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https://osisystemsinc-my.sharepoint.com/personal/jaceves_rapiscansystems_com/Documents/Documentos/RAPISCAN/VARIOS/PROPIO/APP RAP/REPORTES/GLOBAL/"/>
    </mc:Choice>
  </mc:AlternateContent>
  <xr:revisionPtr revIDLastSave="20" documentId="8_{0818B2B8-54E7-490F-85F5-57AD92C3C067}" xr6:coauthVersionLast="47" xr6:coauthVersionMax="47" xr10:uidLastSave="{6B8ED35B-526E-4B7E-A7D4-19493525C10A}"/>
  <bookViews>
    <workbookView showSheetTabs="0" xWindow="-108" yWindow="-108" windowWidth="23256" windowHeight="12456" tabRatio="680" xr2:uid="{5D0CFE11-D17A-41C0-8D09-23FCABF99BAB}"/>
  </bookViews>
  <sheets>
    <sheet name="BUSQUEDA" sheetId="8" r:id="rId1"/>
    <sheet name="LICENCIAS" sheetId="4" r:id="rId2"/>
    <sheet name="EQUIPOS" sheetId="10" r:id="rId3"/>
    <sheet name="GAMMA" sheetId="11" r:id="rId4"/>
    <sheet name="DETECTORES" sheetId="5" r:id="rId5"/>
    <sheet name="BASEPOE-2" sheetId="9" r:id="rId6"/>
    <sheet name="REG y VAL POE - AESR - ESR" sheetId="3" r:id="rId7"/>
    <sheet name="BASEPOE-2 BACKUP" sheetId="12" r:id="rId8"/>
    <sheet name="POE CON DOSIMETRIA" sheetId="6" r:id="rId9"/>
  </sheets>
  <definedNames>
    <definedName name="_xlnm._FilterDatabase" localSheetId="5" hidden="1">'BASEPOE-2'!$A$2:$EVI$50</definedName>
    <definedName name="_xlnm._FilterDatabase" localSheetId="7" hidden="1">'BASEPOE-2 BACKUP'!$A$2:$ERY$49</definedName>
    <definedName name="_xlnm._FilterDatabase" localSheetId="1" hidden="1">LICENCIAS!$A$1:$AE$47</definedName>
    <definedName name="_xlnm._FilterDatabase" localSheetId="8" hidden="1">'POE CON DOSIMETRIA'!$B$1:$E$1</definedName>
    <definedName name="_xlnm._FilterDatabase" localSheetId="6" hidden="1">'REG y VAL POE - AESR - ESR'!$A$1:$AS$3736</definedName>
    <definedName name="ADUANA" localSheetId="2">EQUIPOS!$A$4:$A$48</definedName>
    <definedName name="ADUANA" localSheetId="3">GAMMA!$A$5:$A$49</definedName>
    <definedName name="ADUANA">LICENCIAS!$A$3:$A$47</definedName>
    <definedName name="ADUANAS1">'POE CON DOSIMETRIA'!$K$1:$L$44</definedName>
    <definedName name="BASEDET1">DETECTORES!$1:$1048576</definedName>
    <definedName name="BASEPOE1">'POE CON DOSIMETRIA'!$1:$1048576</definedName>
    <definedName name="BASEPOE2" localSheetId="5">'BASEPOE-2'!$1:$1048576</definedName>
    <definedName name="BASEPOE2" localSheetId="7">'BASEPOE-2 BACKUP'!$1:$1048576</definedName>
    <definedName name="BASEPOE2">'REG y VAL POE - AESR - ESR'!$1:$1048576</definedName>
    <definedName name="BASEPOE3" localSheetId="7">'BASEPOE-2 BACKUP'!$1:$1048576</definedName>
    <definedName name="BASEPOE3">'BASEPOE-2'!$1:$1048576</definedName>
    <definedName name="BASEPOEMIR1">'POE CON DOSIMETRIA'!$1:$1048576</definedName>
    <definedName name="EQRX1">EQUIPOS!$1:$1048576</definedName>
    <definedName name="FTSGM1">GAMMA!$1:$1048576</definedName>
    <definedName name="LICENCIAS1" localSheetId="2">EQUIPOS!$1:$1048576</definedName>
    <definedName name="LICENCIAS1" localSheetId="3">GAMMA!$1:$1048576</definedName>
    <definedName name="LICENCIAS1">LICENCIAS!$1:$1048576</definedName>
    <definedName name="TIPODET1">DETECTORES!$A$72:$B$102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X49" i="5" l="1"/>
  <c r="LX47" i="5"/>
  <c r="LX46" i="5"/>
  <c r="LX45" i="5"/>
  <c r="LX44" i="5"/>
  <c r="LX43" i="5"/>
  <c r="LX42" i="5"/>
  <c r="LX41" i="5"/>
  <c r="LX40" i="5"/>
  <c r="LX39" i="5"/>
  <c r="LX38" i="5"/>
  <c r="LX37" i="5"/>
  <c r="LX36" i="5"/>
  <c r="LX35" i="5"/>
  <c r="LX34" i="5"/>
  <c r="LX33" i="5"/>
  <c r="LX32" i="5"/>
  <c r="LX31" i="5"/>
  <c r="LX30" i="5"/>
  <c r="LX29" i="5"/>
  <c r="LX28" i="5"/>
  <c r="LX27" i="5"/>
  <c r="LX26" i="5"/>
  <c r="LX25" i="5"/>
  <c r="LX24" i="5"/>
  <c r="LX48" i="5"/>
  <c r="LN49" i="5"/>
  <c r="LN48" i="5"/>
  <c r="LN47" i="5"/>
  <c r="LN46" i="5"/>
  <c r="LN45" i="5"/>
  <c r="LN44" i="5"/>
  <c r="LN43" i="5"/>
  <c r="LN42" i="5"/>
  <c r="LN41" i="5"/>
  <c r="LN40" i="5"/>
  <c r="LN39" i="5"/>
  <c r="LN38" i="5"/>
  <c r="LN36" i="5"/>
  <c r="LN35" i="5"/>
  <c r="LN34" i="5"/>
  <c r="LN33" i="5"/>
  <c r="LN32" i="5"/>
  <c r="LN31" i="5"/>
  <c r="LN30" i="5"/>
  <c r="LN29" i="5"/>
  <c r="LN28" i="5"/>
  <c r="LN27" i="5"/>
  <c r="LN26" i="5"/>
  <c r="LN25" i="5"/>
  <c r="LN24" i="5"/>
  <c r="LN23" i="5"/>
  <c r="LN22" i="5"/>
  <c r="LN21" i="5"/>
  <c r="LN20" i="5"/>
  <c r="LN19" i="5"/>
  <c r="LN18" i="5"/>
  <c r="LN17" i="5"/>
  <c r="LN16" i="5"/>
  <c r="LN15" i="5"/>
  <c r="LN14" i="5"/>
  <c r="LN13" i="5"/>
  <c r="LN12" i="5"/>
  <c r="LN11" i="5"/>
  <c r="LN10" i="5"/>
  <c r="LN9" i="5"/>
  <c r="LN8" i="5"/>
  <c r="LN7" i="5"/>
  <c r="LN6" i="5"/>
  <c r="LN5" i="5"/>
  <c r="LN4" i="5"/>
  <c r="LD49" i="5"/>
  <c r="LD48" i="5"/>
  <c r="LE48" i="5" s="1"/>
  <c r="LD47" i="5"/>
  <c r="LD46" i="5"/>
  <c r="LD45" i="5"/>
  <c r="LD44" i="5"/>
  <c r="LD43" i="5"/>
  <c r="LD42" i="5"/>
  <c r="LD41" i="5"/>
  <c r="LD40" i="5"/>
  <c r="LD39" i="5"/>
  <c r="LD38" i="5"/>
  <c r="LD36" i="5"/>
  <c r="LD35" i="5"/>
  <c r="LD34" i="5"/>
  <c r="LD33" i="5"/>
  <c r="LD32" i="5"/>
  <c r="LD31" i="5"/>
  <c r="LD30" i="5"/>
  <c r="LD29" i="5"/>
  <c r="LD28" i="5"/>
  <c r="LD27" i="5"/>
  <c r="LD26" i="5"/>
  <c r="LD25" i="5"/>
  <c r="LD24" i="5"/>
  <c r="LD23" i="5"/>
  <c r="LD22" i="5"/>
  <c r="LD21" i="5"/>
  <c r="LD20" i="5"/>
  <c r="LD19" i="5"/>
  <c r="LD18" i="5"/>
  <c r="LD17" i="5"/>
  <c r="LD16" i="5"/>
  <c r="LD15" i="5"/>
  <c r="LD14" i="5"/>
  <c r="LD13" i="5"/>
  <c r="LD12" i="5"/>
  <c r="LD11" i="5"/>
  <c r="LD10" i="5"/>
  <c r="LD9" i="5"/>
  <c r="LD8" i="5"/>
  <c r="LD7" i="5"/>
  <c r="LD6" i="5"/>
  <c r="LD5" i="5"/>
  <c r="LD4" i="5"/>
  <c r="KT49" i="5"/>
  <c r="KT48" i="5"/>
  <c r="KU48" i="5" s="1"/>
  <c r="KT47" i="5"/>
  <c r="KT46" i="5"/>
  <c r="KT45" i="5"/>
  <c r="KT44" i="5"/>
  <c r="KT43" i="5"/>
  <c r="KT42" i="5"/>
  <c r="KT41" i="5"/>
  <c r="KT40" i="5"/>
  <c r="KT39" i="5"/>
  <c r="KT38" i="5"/>
  <c r="KT36" i="5"/>
  <c r="KT35" i="5"/>
  <c r="KT34" i="5"/>
  <c r="KT33" i="5"/>
  <c r="KT32" i="5"/>
  <c r="KT31" i="5"/>
  <c r="KT30" i="5"/>
  <c r="KT29" i="5"/>
  <c r="KT28" i="5"/>
  <c r="KT27" i="5"/>
  <c r="KT26" i="5"/>
  <c r="KT25" i="5"/>
  <c r="KT24" i="5"/>
  <c r="KT23" i="5"/>
  <c r="KT22" i="5"/>
  <c r="KT21" i="5"/>
  <c r="KT20" i="5"/>
  <c r="KT19" i="5"/>
  <c r="KT18" i="5"/>
  <c r="KT17" i="5"/>
  <c r="KT16" i="5"/>
  <c r="KT15" i="5"/>
  <c r="KT14" i="5"/>
  <c r="KT13" i="5"/>
  <c r="KT12" i="5"/>
  <c r="KT11" i="5"/>
  <c r="KT10" i="5"/>
  <c r="KT9" i="5"/>
  <c r="KT8" i="5"/>
  <c r="KT7" i="5"/>
  <c r="KT6" i="5"/>
  <c r="KT5" i="5"/>
  <c r="KT4" i="5"/>
  <c r="KJ49" i="5"/>
  <c r="KJ48" i="5"/>
  <c r="KK48" i="5" s="1"/>
  <c r="KJ47" i="5"/>
  <c r="KJ46" i="5"/>
  <c r="KJ45" i="5"/>
  <c r="KJ44" i="5"/>
  <c r="KJ43" i="5"/>
  <c r="KJ42" i="5"/>
  <c r="KJ41" i="5"/>
  <c r="KJ40" i="5"/>
  <c r="KJ39" i="5"/>
  <c r="KJ38" i="5"/>
  <c r="KJ36" i="5"/>
  <c r="KJ35" i="5"/>
  <c r="KJ34" i="5"/>
  <c r="KJ33" i="5"/>
  <c r="KJ32" i="5"/>
  <c r="KJ31" i="5"/>
  <c r="KJ30" i="5"/>
  <c r="KJ29" i="5"/>
  <c r="KJ28" i="5"/>
  <c r="KJ27" i="5"/>
  <c r="KJ26" i="5"/>
  <c r="KJ25" i="5"/>
  <c r="KJ24" i="5"/>
  <c r="KJ23" i="5"/>
  <c r="KJ22" i="5"/>
  <c r="KJ21" i="5"/>
  <c r="KJ20" i="5"/>
  <c r="KJ19" i="5"/>
  <c r="KJ18" i="5"/>
  <c r="KJ17" i="5"/>
  <c r="KJ16" i="5"/>
  <c r="KJ15" i="5"/>
  <c r="KJ14" i="5"/>
  <c r="KJ13" i="5"/>
  <c r="KJ12" i="5"/>
  <c r="KJ11" i="5"/>
  <c r="KJ10" i="5"/>
  <c r="KJ9" i="5"/>
  <c r="KJ8" i="5"/>
  <c r="KJ7" i="5"/>
  <c r="KJ6" i="5"/>
  <c r="KJ5" i="5"/>
  <c r="KJ4" i="5"/>
  <c r="JZ49" i="5"/>
  <c r="JZ48" i="5"/>
  <c r="H134" i="8" s="1"/>
  <c r="JZ47" i="5"/>
  <c r="JZ46" i="5"/>
  <c r="JZ45" i="5"/>
  <c r="JZ44" i="5"/>
  <c r="JZ43" i="5"/>
  <c r="JZ42" i="5"/>
  <c r="JZ41" i="5"/>
  <c r="JZ40" i="5"/>
  <c r="JZ39" i="5"/>
  <c r="JZ38" i="5"/>
  <c r="JZ36" i="5"/>
  <c r="JZ35" i="5"/>
  <c r="JZ34" i="5"/>
  <c r="JZ33" i="5"/>
  <c r="JZ32" i="5"/>
  <c r="JZ31" i="5"/>
  <c r="JZ30" i="5"/>
  <c r="JZ29" i="5"/>
  <c r="JZ28" i="5"/>
  <c r="JZ27" i="5"/>
  <c r="JZ26" i="5"/>
  <c r="JZ25" i="5"/>
  <c r="JZ24" i="5"/>
  <c r="JZ23" i="5"/>
  <c r="JZ22" i="5"/>
  <c r="JZ21" i="5"/>
  <c r="JZ20" i="5"/>
  <c r="JZ19" i="5"/>
  <c r="JZ18" i="5"/>
  <c r="JZ17" i="5"/>
  <c r="JZ16" i="5"/>
  <c r="JZ15" i="5"/>
  <c r="JZ14" i="5"/>
  <c r="JZ13" i="5"/>
  <c r="JZ12" i="5"/>
  <c r="JZ11" i="5"/>
  <c r="JZ10" i="5"/>
  <c r="JZ9" i="5"/>
  <c r="JZ8" i="5"/>
  <c r="JZ7" i="5"/>
  <c r="JZ6" i="5"/>
  <c r="JZ5" i="5"/>
  <c r="JZ4" i="5"/>
  <c r="JP49" i="5"/>
  <c r="JP48" i="5"/>
  <c r="H133" i="8" s="1"/>
  <c r="JP47" i="5"/>
  <c r="JP46" i="5"/>
  <c r="JP45" i="5"/>
  <c r="JP44" i="5"/>
  <c r="JP43" i="5"/>
  <c r="JP42" i="5"/>
  <c r="JP41" i="5"/>
  <c r="JP40" i="5"/>
  <c r="JP39" i="5"/>
  <c r="JP38" i="5"/>
  <c r="JP36" i="5"/>
  <c r="JP35" i="5"/>
  <c r="JP34" i="5"/>
  <c r="JP33" i="5"/>
  <c r="JP32" i="5"/>
  <c r="JP31" i="5"/>
  <c r="JP30" i="5"/>
  <c r="JP29" i="5"/>
  <c r="JP28" i="5"/>
  <c r="JP27" i="5"/>
  <c r="JP26" i="5"/>
  <c r="JP25" i="5"/>
  <c r="JP24" i="5"/>
  <c r="JP23" i="5"/>
  <c r="JP22" i="5"/>
  <c r="JP21" i="5"/>
  <c r="JP20" i="5"/>
  <c r="JP19" i="5"/>
  <c r="JP18" i="5"/>
  <c r="JP17" i="5"/>
  <c r="JP16" i="5"/>
  <c r="JP15" i="5"/>
  <c r="JP14" i="5"/>
  <c r="JP13" i="5"/>
  <c r="JP12" i="5"/>
  <c r="JP11" i="5"/>
  <c r="JP10" i="5"/>
  <c r="JP9" i="5"/>
  <c r="JP8" i="5"/>
  <c r="JP7" i="5"/>
  <c r="JP6" i="5"/>
  <c r="JP5" i="5"/>
  <c r="JP4" i="5"/>
  <c r="LN37" i="5"/>
  <c r="LD37" i="5"/>
  <c r="KT37" i="5"/>
  <c r="KJ37" i="5"/>
  <c r="JZ37" i="5"/>
  <c r="JP37" i="5"/>
  <c r="BH36" i="5"/>
  <c r="JF49" i="5"/>
  <c r="JF48" i="5"/>
  <c r="H132" i="8" s="1"/>
  <c r="JF47" i="5"/>
  <c r="JF46" i="5"/>
  <c r="JF45" i="5"/>
  <c r="JF44" i="5"/>
  <c r="JF43" i="5"/>
  <c r="JF42" i="5"/>
  <c r="JF41" i="5"/>
  <c r="JF40" i="5"/>
  <c r="JF39" i="5"/>
  <c r="JF38" i="5"/>
  <c r="JF37" i="5"/>
  <c r="JG37" i="5" s="1"/>
  <c r="JF36" i="5"/>
  <c r="JF35" i="5"/>
  <c r="JF34" i="5"/>
  <c r="JF33" i="5"/>
  <c r="JF32" i="5"/>
  <c r="JF31" i="5"/>
  <c r="JF30" i="5"/>
  <c r="JF29" i="5"/>
  <c r="JF28" i="5"/>
  <c r="JF26" i="5"/>
  <c r="JF25" i="5"/>
  <c r="JF24" i="5"/>
  <c r="JF23" i="5"/>
  <c r="JF22" i="5"/>
  <c r="JF21" i="5"/>
  <c r="JF20" i="5"/>
  <c r="JF19" i="5"/>
  <c r="JF18" i="5"/>
  <c r="JF17" i="5"/>
  <c r="JF16" i="5"/>
  <c r="JF15" i="5"/>
  <c r="JF14" i="5"/>
  <c r="JF13" i="5"/>
  <c r="JF12" i="5"/>
  <c r="JF11" i="5"/>
  <c r="JF10" i="5"/>
  <c r="JF9" i="5"/>
  <c r="JF8" i="5"/>
  <c r="JF7" i="5"/>
  <c r="JF6" i="5"/>
  <c r="JF5" i="5"/>
  <c r="JF4" i="5"/>
  <c r="JF27" i="5"/>
  <c r="IV49" i="5"/>
  <c r="IV48" i="5"/>
  <c r="H131" i="8" s="1"/>
  <c r="IV47" i="5"/>
  <c r="IV46" i="5"/>
  <c r="IV45" i="5"/>
  <c r="IV44" i="5"/>
  <c r="IV43" i="5"/>
  <c r="IV42" i="5"/>
  <c r="IV41" i="5"/>
  <c r="IV40" i="5"/>
  <c r="IV39" i="5"/>
  <c r="IV38" i="5"/>
  <c r="IV37" i="5"/>
  <c r="IV36" i="5"/>
  <c r="IV35" i="5"/>
  <c r="IV34" i="5"/>
  <c r="IV33" i="5"/>
  <c r="IV32" i="5"/>
  <c r="IV31" i="5"/>
  <c r="IV30" i="5"/>
  <c r="IV29" i="5"/>
  <c r="IV28" i="5"/>
  <c r="IV26" i="5"/>
  <c r="IV25" i="5"/>
  <c r="IV24" i="5"/>
  <c r="IV23" i="5"/>
  <c r="IV22" i="5"/>
  <c r="IV21" i="5"/>
  <c r="IV20" i="5"/>
  <c r="IV19" i="5"/>
  <c r="IV18" i="5"/>
  <c r="IV17" i="5"/>
  <c r="IV16" i="5"/>
  <c r="IV15" i="5"/>
  <c r="IV14" i="5"/>
  <c r="IV13" i="5"/>
  <c r="IV12" i="5"/>
  <c r="IV11" i="5"/>
  <c r="IV10" i="5"/>
  <c r="IV9" i="5"/>
  <c r="IV8" i="5"/>
  <c r="IV7" i="5"/>
  <c r="IV6" i="5"/>
  <c r="IV5" i="5"/>
  <c r="IV4" i="5"/>
  <c r="IL26" i="5"/>
  <c r="IL49" i="5"/>
  <c r="IL48" i="5"/>
  <c r="H130" i="8" s="1"/>
  <c r="IL47" i="5"/>
  <c r="IL46" i="5"/>
  <c r="IL45" i="5"/>
  <c r="IL44" i="5"/>
  <c r="IL43" i="5"/>
  <c r="IL42" i="5"/>
  <c r="IL41" i="5"/>
  <c r="IL40" i="5"/>
  <c r="IL39" i="5"/>
  <c r="IL38" i="5"/>
  <c r="IL37" i="5"/>
  <c r="IL36" i="5"/>
  <c r="IL35" i="5"/>
  <c r="IL34" i="5"/>
  <c r="IL33" i="5"/>
  <c r="IL32" i="5"/>
  <c r="IL31" i="5"/>
  <c r="IL30" i="5"/>
  <c r="IL29" i="5"/>
  <c r="IL28" i="5"/>
  <c r="IL25" i="5"/>
  <c r="IL24" i="5"/>
  <c r="IL23" i="5"/>
  <c r="IL22" i="5"/>
  <c r="IL21" i="5"/>
  <c r="IL20" i="5"/>
  <c r="IL19" i="5"/>
  <c r="IL18" i="5"/>
  <c r="IL17" i="5"/>
  <c r="IL16" i="5"/>
  <c r="IL15" i="5"/>
  <c r="IL14" i="5"/>
  <c r="IL13" i="5"/>
  <c r="IL12" i="5"/>
  <c r="IL11" i="5"/>
  <c r="IL10" i="5"/>
  <c r="IL9" i="5"/>
  <c r="IL8" i="5"/>
  <c r="IL7" i="5"/>
  <c r="IL6" i="5"/>
  <c r="IL5" i="5"/>
  <c r="IL4" i="5"/>
  <c r="IV27" i="5"/>
  <c r="IL27" i="5"/>
  <c r="DV27" i="5"/>
  <c r="DW27" i="5"/>
  <c r="IB49" i="5"/>
  <c r="IB48" i="5"/>
  <c r="H129" i="8" s="1"/>
  <c r="IB47" i="5"/>
  <c r="IB46" i="5"/>
  <c r="IB45" i="5"/>
  <c r="IB44" i="5"/>
  <c r="IB43" i="5"/>
  <c r="IB42" i="5"/>
  <c r="IB41" i="5"/>
  <c r="IB40" i="5"/>
  <c r="IB39" i="5"/>
  <c r="IB38" i="5"/>
  <c r="IB37" i="5"/>
  <c r="IC37" i="5" s="1"/>
  <c r="IB36" i="5"/>
  <c r="IB35" i="5"/>
  <c r="IB34" i="5"/>
  <c r="IB33" i="5"/>
  <c r="IB32" i="5"/>
  <c r="IB31" i="5"/>
  <c r="IB30" i="5"/>
  <c r="IB29" i="5"/>
  <c r="IB28" i="5"/>
  <c r="IB27" i="5"/>
  <c r="IB26" i="5"/>
  <c r="IB24" i="5"/>
  <c r="IB23" i="5"/>
  <c r="IB22" i="5"/>
  <c r="IB21" i="5"/>
  <c r="IB20" i="5"/>
  <c r="IB19" i="5"/>
  <c r="IB18" i="5"/>
  <c r="IB17" i="5"/>
  <c r="IB16" i="5"/>
  <c r="IB15" i="5"/>
  <c r="IB14" i="5"/>
  <c r="IB13" i="5"/>
  <c r="IB12" i="5"/>
  <c r="IB11" i="5"/>
  <c r="IB10" i="5"/>
  <c r="IB9" i="5"/>
  <c r="IB8" i="5"/>
  <c r="IB7" i="5"/>
  <c r="IB6" i="5"/>
  <c r="IB5" i="5"/>
  <c r="IB4" i="5"/>
  <c r="HR49" i="5"/>
  <c r="HR48" i="5"/>
  <c r="HR47" i="5"/>
  <c r="HR46" i="5"/>
  <c r="HR45" i="5"/>
  <c r="HR44" i="5"/>
  <c r="HR43" i="5"/>
  <c r="HR42" i="5"/>
  <c r="HR41" i="5"/>
  <c r="HR40" i="5"/>
  <c r="HR39" i="5"/>
  <c r="HR38" i="5"/>
  <c r="HR37" i="5"/>
  <c r="HS37" i="5" s="1"/>
  <c r="HR36" i="5"/>
  <c r="HR35" i="5"/>
  <c r="HR34" i="5"/>
  <c r="HR33" i="5"/>
  <c r="HS33" i="5" s="1"/>
  <c r="HR32" i="5"/>
  <c r="HR31" i="5"/>
  <c r="HR30" i="5"/>
  <c r="HR29" i="5"/>
  <c r="HR28" i="5"/>
  <c r="HR27" i="5"/>
  <c r="HR26" i="5"/>
  <c r="HR24" i="5"/>
  <c r="HR23" i="5"/>
  <c r="HR22" i="5"/>
  <c r="HR21" i="5"/>
  <c r="HR20" i="5"/>
  <c r="HR19" i="5"/>
  <c r="HR18" i="5"/>
  <c r="HR17" i="5"/>
  <c r="HR16" i="5"/>
  <c r="HR15" i="5"/>
  <c r="HR14" i="5"/>
  <c r="HR13" i="5"/>
  <c r="HR12" i="5"/>
  <c r="HR11" i="5"/>
  <c r="HR10" i="5"/>
  <c r="HR9" i="5"/>
  <c r="HR8" i="5"/>
  <c r="HR7" i="5"/>
  <c r="HR6" i="5"/>
  <c r="HR5" i="5"/>
  <c r="HR4" i="5"/>
  <c r="HH49" i="5"/>
  <c r="HH48" i="5"/>
  <c r="HH47" i="5"/>
  <c r="HH46" i="5"/>
  <c r="HH45" i="5"/>
  <c r="HH44" i="5"/>
  <c r="HH43" i="5"/>
  <c r="HH42" i="5"/>
  <c r="HH41" i="5"/>
  <c r="HH40" i="5"/>
  <c r="HH39" i="5"/>
  <c r="HH38" i="5"/>
  <c r="HH37" i="5"/>
  <c r="HI37" i="5" s="1"/>
  <c r="HH36" i="5"/>
  <c r="HH35" i="5"/>
  <c r="HH34" i="5"/>
  <c r="HH33" i="5"/>
  <c r="HI33" i="5" s="1"/>
  <c r="HH32" i="5"/>
  <c r="HH31" i="5"/>
  <c r="HH30" i="5"/>
  <c r="HH29" i="5"/>
  <c r="HH28" i="5"/>
  <c r="HH27" i="5"/>
  <c r="HH26" i="5"/>
  <c r="HH24" i="5"/>
  <c r="HH23" i="5"/>
  <c r="HH22" i="5"/>
  <c r="HH21" i="5"/>
  <c r="HH20" i="5"/>
  <c r="HH19" i="5"/>
  <c r="HH18" i="5"/>
  <c r="HH17" i="5"/>
  <c r="HH16" i="5"/>
  <c r="HH15" i="5"/>
  <c r="HH14" i="5"/>
  <c r="HH13" i="5"/>
  <c r="HH12" i="5"/>
  <c r="HH11" i="5"/>
  <c r="HH10" i="5"/>
  <c r="HH9" i="5"/>
  <c r="HH8" i="5"/>
  <c r="HH7" i="5"/>
  <c r="HH6" i="5"/>
  <c r="HH5" i="5"/>
  <c r="HH4" i="5"/>
  <c r="GX49" i="5"/>
  <c r="GX48" i="5"/>
  <c r="GX47" i="5"/>
  <c r="GX46" i="5"/>
  <c r="GX45" i="5"/>
  <c r="GX44" i="5"/>
  <c r="GX43" i="5"/>
  <c r="GX42" i="5"/>
  <c r="GX41" i="5"/>
  <c r="GX40" i="5"/>
  <c r="GX39" i="5"/>
  <c r="GX38" i="5"/>
  <c r="GX37" i="5"/>
  <c r="GX36" i="5"/>
  <c r="GX35" i="5"/>
  <c r="GX34" i="5"/>
  <c r="GX33" i="5"/>
  <c r="GX32" i="5"/>
  <c r="GX31" i="5"/>
  <c r="GX30" i="5"/>
  <c r="GX29" i="5"/>
  <c r="GX28" i="5"/>
  <c r="GX27" i="5"/>
  <c r="GX26" i="5"/>
  <c r="GX24" i="5"/>
  <c r="GX23" i="5"/>
  <c r="GX22" i="5"/>
  <c r="GX21" i="5"/>
  <c r="GX20" i="5"/>
  <c r="GX19" i="5"/>
  <c r="GX18" i="5"/>
  <c r="GX17" i="5"/>
  <c r="GX16" i="5"/>
  <c r="GX15" i="5"/>
  <c r="GX14" i="5"/>
  <c r="GX13" i="5"/>
  <c r="GX12" i="5"/>
  <c r="GX11" i="5"/>
  <c r="GX10" i="5"/>
  <c r="GX9" i="5"/>
  <c r="GX8" i="5"/>
  <c r="GX7" i="5"/>
  <c r="GX6" i="5"/>
  <c r="GX5" i="5"/>
  <c r="GX4" i="5"/>
  <c r="GN49" i="5"/>
  <c r="GN48" i="5"/>
  <c r="GN47" i="5"/>
  <c r="GN46" i="5"/>
  <c r="GN45" i="5"/>
  <c r="GN44" i="5"/>
  <c r="GN43" i="5"/>
  <c r="GN42" i="5"/>
  <c r="GN41" i="5"/>
  <c r="GN40" i="5"/>
  <c r="GN39" i="5"/>
  <c r="GN38" i="5"/>
  <c r="GN37" i="5"/>
  <c r="GO37" i="5" s="1"/>
  <c r="GN36" i="5"/>
  <c r="GN35" i="5"/>
  <c r="GN34" i="5"/>
  <c r="GN33" i="5"/>
  <c r="GN32" i="5"/>
  <c r="GN31" i="5"/>
  <c r="GN30" i="5"/>
  <c r="GN29" i="5"/>
  <c r="GN28" i="5"/>
  <c r="GN27" i="5"/>
  <c r="GN26" i="5"/>
  <c r="GN24" i="5"/>
  <c r="GN23" i="5"/>
  <c r="GN22" i="5"/>
  <c r="GN21" i="5"/>
  <c r="GN20" i="5"/>
  <c r="GN19" i="5"/>
  <c r="GN18" i="5"/>
  <c r="GN17" i="5"/>
  <c r="GN16" i="5"/>
  <c r="GN15" i="5"/>
  <c r="GN14" i="5"/>
  <c r="GN13" i="5"/>
  <c r="GN12" i="5"/>
  <c r="GN11" i="5"/>
  <c r="GN10" i="5"/>
  <c r="GN9" i="5"/>
  <c r="GN8" i="5"/>
  <c r="GN7" i="5"/>
  <c r="GN6" i="5"/>
  <c r="GN5" i="5"/>
  <c r="GN4" i="5"/>
  <c r="GD49" i="5"/>
  <c r="GD48" i="5"/>
  <c r="GD47" i="5"/>
  <c r="GD46" i="5"/>
  <c r="GD45" i="5"/>
  <c r="GD44" i="5"/>
  <c r="GD43" i="5"/>
  <c r="GD42" i="5"/>
  <c r="GD41" i="5"/>
  <c r="GD40" i="5"/>
  <c r="GD39" i="5"/>
  <c r="GD38" i="5"/>
  <c r="GD37" i="5"/>
  <c r="GD36" i="5"/>
  <c r="GE36" i="5" s="1"/>
  <c r="GD35" i="5"/>
  <c r="GD34" i="5"/>
  <c r="GD33" i="5"/>
  <c r="GE33" i="5" s="1"/>
  <c r="GD32" i="5"/>
  <c r="GD31" i="5"/>
  <c r="GD30" i="5"/>
  <c r="GD29" i="5"/>
  <c r="GD28" i="5"/>
  <c r="GD27" i="5"/>
  <c r="GD26" i="5"/>
  <c r="GD24" i="5"/>
  <c r="GD23" i="5"/>
  <c r="GD22" i="5"/>
  <c r="GD21" i="5"/>
  <c r="GD20" i="5"/>
  <c r="GD19" i="5"/>
  <c r="GD18" i="5"/>
  <c r="GD17" i="5"/>
  <c r="GD16" i="5"/>
  <c r="GD15" i="5"/>
  <c r="GD14" i="5"/>
  <c r="GD13" i="5"/>
  <c r="GD12" i="5"/>
  <c r="GD11" i="5"/>
  <c r="GD10" i="5"/>
  <c r="GD9" i="5"/>
  <c r="GD8" i="5"/>
  <c r="GD7" i="5"/>
  <c r="GD6" i="5"/>
  <c r="GD5" i="5"/>
  <c r="GD4" i="5"/>
  <c r="FT49" i="5"/>
  <c r="FT48" i="5"/>
  <c r="FT47" i="5"/>
  <c r="FT46" i="5"/>
  <c r="FT45" i="5"/>
  <c r="FT44" i="5"/>
  <c r="FT43" i="5"/>
  <c r="FT42" i="5"/>
  <c r="FT41" i="5"/>
  <c r="FT40" i="5"/>
  <c r="FT39" i="5"/>
  <c r="FT38" i="5"/>
  <c r="FT37" i="5"/>
  <c r="FU37" i="5" s="1"/>
  <c r="FT36" i="5"/>
  <c r="FU36" i="5" s="1"/>
  <c r="FT35" i="5"/>
  <c r="FT34" i="5"/>
  <c r="FT33" i="5"/>
  <c r="FU33" i="5" s="1"/>
  <c r="FT32" i="5"/>
  <c r="FT31" i="5"/>
  <c r="FT30" i="5"/>
  <c r="FT29" i="5"/>
  <c r="FT28" i="5"/>
  <c r="FT27" i="5"/>
  <c r="FT26" i="5"/>
  <c r="FT24" i="5"/>
  <c r="FT23" i="5"/>
  <c r="FT22" i="5"/>
  <c r="FT21" i="5"/>
  <c r="FT20" i="5"/>
  <c r="FT19" i="5"/>
  <c r="FT18" i="5"/>
  <c r="FT17" i="5"/>
  <c r="FT16" i="5"/>
  <c r="FT15" i="5"/>
  <c r="FT14" i="5"/>
  <c r="FT13" i="5"/>
  <c r="FT12" i="5"/>
  <c r="FT11" i="5"/>
  <c r="FT10" i="5"/>
  <c r="FT9" i="5"/>
  <c r="FT8" i="5"/>
  <c r="FT7" i="5"/>
  <c r="FT6" i="5"/>
  <c r="FT5" i="5"/>
  <c r="FT4" i="5"/>
  <c r="FJ49" i="5"/>
  <c r="FJ48" i="5"/>
  <c r="FJ47" i="5"/>
  <c r="FJ46" i="5"/>
  <c r="FJ45" i="5"/>
  <c r="FJ44" i="5"/>
  <c r="FJ43" i="5"/>
  <c r="FJ42" i="5"/>
  <c r="FJ41" i="5"/>
  <c r="FJ40" i="5"/>
  <c r="FJ39" i="5"/>
  <c r="FJ38" i="5"/>
  <c r="FJ37" i="5"/>
  <c r="FJ36" i="5"/>
  <c r="FJ35" i="5"/>
  <c r="FJ34" i="5"/>
  <c r="FJ33" i="5"/>
  <c r="FK33" i="5" s="1"/>
  <c r="FJ32" i="5"/>
  <c r="FJ31" i="5"/>
  <c r="FJ30" i="5"/>
  <c r="FJ29" i="5"/>
  <c r="FJ28" i="5"/>
  <c r="FJ27" i="5"/>
  <c r="FJ26" i="5"/>
  <c r="FJ24" i="5"/>
  <c r="FJ23" i="5"/>
  <c r="FJ22" i="5"/>
  <c r="FJ21" i="5"/>
  <c r="FJ20" i="5"/>
  <c r="FJ19" i="5"/>
  <c r="FJ18" i="5"/>
  <c r="FJ17" i="5"/>
  <c r="FJ16" i="5"/>
  <c r="FJ15" i="5"/>
  <c r="FJ14" i="5"/>
  <c r="FJ13" i="5"/>
  <c r="FJ12" i="5"/>
  <c r="FJ11" i="5"/>
  <c r="FJ10" i="5"/>
  <c r="FJ9" i="5"/>
  <c r="FJ8" i="5"/>
  <c r="FJ7" i="5"/>
  <c r="FJ6" i="5"/>
  <c r="FJ5" i="5"/>
  <c r="FJ4" i="5"/>
  <c r="EZ49" i="5"/>
  <c r="EZ48" i="5"/>
  <c r="EZ47" i="5"/>
  <c r="EZ46" i="5"/>
  <c r="EZ45" i="5"/>
  <c r="EZ44" i="5"/>
  <c r="EZ43" i="5"/>
  <c r="EZ42" i="5"/>
  <c r="EZ41" i="5"/>
  <c r="EZ40" i="5"/>
  <c r="EZ39" i="5"/>
  <c r="EZ38" i="5"/>
  <c r="EZ37" i="5"/>
  <c r="EZ36" i="5"/>
  <c r="EZ35" i="5"/>
  <c r="EZ34" i="5"/>
  <c r="EZ33" i="5"/>
  <c r="FA33" i="5" s="1"/>
  <c r="EZ32" i="5"/>
  <c r="EZ31" i="5"/>
  <c r="EZ30" i="5"/>
  <c r="EZ29" i="5"/>
  <c r="EZ28" i="5"/>
  <c r="EZ27" i="5"/>
  <c r="EZ26" i="5"/>
  <c r="EZ24" i="5"/>
  <c r="EZ23" i="5"/>
  <c r="EZ22" i="5"/>
  <c r="EZ21" i="5"/>
  <c r="EZ20" i="5"/>
  <c r="EZ19" i="5"/>
  <c r="EZ18" i="5"/>
  <c r="EZ17" i="5"/>
  <c r="EZ16" i="5"/>
  <c r="EZ15" i="5"/>
  <c r="EZ14" i="5"/>
  <c r="EZ13" i="5"/>
  <c r="EZ12" i="5"/>
  <c r="EZ11" i="5"/>
  <c r="EZ10" i="5"/>
  <c r="EZ9" i="5"/>
  <c r="EZ8" i="5"/>
  <c r="EZ7" i="5"/>
  <c r="EZ6" i="5"/>
  <c r="EZ5" i="5"/>
  <c r="EZ4" i="5"/>
  <c r="EP49" i="5"/>
  <c r="EP48" i="5"/>
  <c r="EP47" i="5"/>
  <c r="EP46" i="5"/>
  <c r="EP45" i="5"/>
  <c r="EP44" i="5"/>
  <c r="EP43" i="5"/>
  <c r="EP42" i="5"/>
  <c r="EP41" i="5"/>
  <c r="EP40" i="5"/>
  <c r="EP39" i="5"/>
  <c r="EP38" i="5"/>
  <c r="EP37" i="5"/>
  <c r="EP36" i="5"/>
  <c r="EP35" i="5"/>
  <c r="EP34" i="5"/>
  <c r="EP33" i="5"/>
  <c r="EQ33" i="5" s="1"/>
  <c r="EP32" i="5"/>
  <c r="EP31" i="5"/>
  <c r="EP30" i="5"/>
  <c r="EP29" i="5"/>
  <c r="EP28" i="5"/>
  <c r="EP27" i="5"/>
  <c r="EP26" i="5"/>
  <c r="EP24" i="5"/>
  <c r="EP23" i="5"/>
  <c r="EP22" i="5"/>
  <c r="EP21" i="5"/>
  <c r="EP20" i="5"/>
  <c r="EP19" i="5"/>
  <c r="EP18" i="5"/>
  <c r="EP17" i="5"/>
  <c r="EP16" i="5"/>
  <c r="EP15" i="5"/>
  <c r="EP14" i="5"/>
  <c r="EP13" i="5"/>
  <c r="EP12" i="5"/>
  <c r="EP11" i="5"/>
  <c r="EP10" i="5"/>
  <c r="EP9" i="5"/>
  <c r="EP8" i="5"/>
  <c r="EP7" i="5"/>
  <c r="EP6" i="5"/>
  <c r="EP5" i="5"/>
  <c r="EP4" i="5"/>
  <c r="EF49" i="5"/>
  <c r="EF48" i="5"/>
  <c r="EF47" i="5"/>
  <c r="EF46" i="5"/>
  <c r="EF45" i="5"/>
  <c r="EF44" i="5"/>
  <c r="EF43" i="5"/>
  <c r="EF42" i="5"/>
  <c r="EF41" i="5"/>
  <c r="EF40" i="5"/>
  <c r="EF39" i="5"/>
  <c r="EF38" i="5"/>
  <c r="EF37" i="5"/>
  <c r="EF36" i="5"/>
  <c r="EF35" i="5"/>
  <c r="EF34" i="5"/>
  <c r="EF33" i="5"/>
  <c r="EF32" i="5"/>
  <c r="EF31" i="5"/>
  <c r="EF30" i="5"/>
  <c r="EF29" i="5"/>
  <c r="EF28" i="5"/>
  <c r="EF27" i="5"/>
  <c r="EF26" i="5"/>
  <c r="EF24" i="5"/>
  <c r="EF23" i="5"/>
  <c r="EF22" i="5"/>
  <c r="EF21" i="5"/>
  <c r="EF20" i="5"/>
  <c r="EF19" i="5"/>
  <c r="EF18" i="5"/>
  <c r="EF17" i="5"/>
  <c r="EF16" i="5"/>
  <c r="EF15" i="5"/>
  <c r="EF14" i="5"/>
  <c r="EF13" i="5"/>
  <c r="EF12" i="5"/>
  <c r="EF11" i="5"/>
  <c r="EF10" i="5"/>
  <c r="EF9" i="5"/>
  <c r="EF8" i="5"/>
  <c r="EG8" i="5" s="1"/>
  <c r="EF7" i="5"/>
  <c r="EF6" i="5"/>
  <c r="EF5" i="5"/>
  <c r="EF4" i="5"/>
  <c r="DV49" i="5"/>
  <c r="DV48" i="5"/>
  <c r="DV47" i="5"/>
  <c r="DV46" i="5"/>
  <c r="DV45" i="5"/>
  <c r="DV44" i="5"/>
  <c r="DV43" i="5"/>
  <c r="DV42" i="5"/>
  <c r="DV41" i="5"/>
  <c r="DV40" i="5"/>
  <c r="DV39" i="5"/>
  <c r="DV38" i="5"/>
  <c r="DV37" i="5"/>
  <c r="DW37" i="5" s="1"/>
  <c r="DV36" i="5"/>
  <c r="DV35" i="5"/>
  <c r="DV34" i="5"/>
  <c r="DV33" i="5"/>
  <c r="DV32" i="5"/>
  <c r="DV31" i="5"/>
  <c r="DV30" i="5"/>
  <c r="DV29" i="5"/>
  <c r="DV28" i="5"/>
  <c r="DV26" i="5"/>
  <c r="DV24" i="5"/>
  <c r="DV23" i="5"/>
  <c r="DV22" i="5"/>
  <c r="DV21" i="5"/>
  <c r="DV20" i="5"/>
  <c r="DV19" i="5"/>
  <c r="DV18" i="5"/>
  <c r="DV17" i="5"/>
  <c r="DV16" i="5"/>
  <c r="DV15" i="5"/>
  <c r="DV14" i="5"/>
  <c r="DV13" i="5"/>
  <c r="DV12" i="5"/>
  <c r="DV11" i="5"/>
  <c r="DV10" i="5"/>
  <c r="DV9" i="5"/>
  <c r="DV8" i="5"/>
  <c r="DW8" i="5" s="1"/>
  <c r="DV7" i="5"/>
  <c r="DV6" i="5"/>
  <c r="DV5" i="5"/>
  <c r="DV4" i="5"/>
  <c r="DL49" i="5"/>
  <c r="DL48" i="5"/>
  <c r="DL47" i="5"/>
  <c r="DL46" i="5"/>
  <c r="DL45" i="5"/>
  <c r="DL44" i="5"/>
  <c r="DL43" i="5"/>
  <c r="DL42" i="5"/>
  <c r="DL41" i="5"/>
  <c r="DL40" i="5"/>
  <c r="DL39" i="5"/>
  <c r="DL38" i="5"/>
  <c r="DL37" i="5"/>
  <c r="DL36" i="5"/>
  <c r="DM36" i="5" s="1"/>
  <c r="DL35" i="5"/>
  <c r="DL34" i="5"/>
  <c r="DL33" i="5"/>
  <c r="DL32" i="5"/>
  <c r="DL31" i="5"/>
  <c r="DL30" i="5"/>
  <c r="DL29" i="5"/>
  <c r="DL28" i="5"/>
  <c r="DL27" i="5"/>
  <c r="DL26" i="5"/>
  <c r="DL24" i="5"/>
  <c r="DL23" i="5"/>
  <c r="DL22" i="5"/>
  <c r="DL21" i="5"/>
  <c r="DL20" i="5"/>
  <c r="DL19" i="5"/>
  <c r="DL18" i="5"/>
  <c r="DL17" i="5"/>
  <c r="DL16" i="5"/>
  <c r="DL15" i="5"/>
  <c r="DL14" i="5"/>
  <c r="DL13" i="5"/>
  <c r="DL12" i="5"/>
  <c r="DL11" i="5"/>
  <c r="DL10" i="5"/>
  <c r="DL9" i="5"/>
  <c r="DL8" i="5"/>
  <c r="DM8" i="5" s="1"/>
  <c r="DL7" i="5"/>
  <c r="DL6" i="5"/>
  <c r="DL5" i="5"/>
  <c r="DL4" i="5"/>
  <c r="DB49" i="5"/>
  <c r="DB48" i="5"/>
  <c r="DB47" i="5"/>
  <c r="DB46" i="5"/>
  <c r="DB45" i="5"/>
  <c r="DB44" i="5"/>
  <c r="DB43" i="5"/>
  <c r="DB42" i="5"/>
  <c r="DB41" i="5"/>
  <c r="DB40" i="5"/>
  <c r="DB39" i="5"/>
  <c r="DB38" i="5"/>
  <c r="DB37" i="5"/>
  <c r="DC37" i="5" s="1"/>
  <c r="DB36" i="5"/>
  <c r="DB35" i="5"/>
  <c r="DB34" i="5"/>
  <c r="DB33" i="5"/>
  <c r="DB32" i="5"/>
  <c r="DB31" i="5"/>
  <c r="DB30" i="5"/>
  <c r="DB29" i="5"/>
  <c r="DB28" i="5"/>
  <c r="DB27" i="5"/>
  <c r="DB26" i="5"/>
  <c r="DB24" i="5"/>
  <c r="DB23" i="5"/>
  <c r="DB22" i="5"/>
  <c r="DB21" i="5"/>
  <c r="DB20" i="5"/>
  <c r="DB19" i="5"/>
  <c r="DB18" i="5"/>
  <c r="DB17" i="5"/>
  <c r="DB16" i="5"/>
  <c r="DB15" i="5"/>
  <c r="DB14" i="5"/>
  <c r="DB13" i="5"/>
  <c r="DB12" i="5"/>
  <c r="DB11" i="5"/>
  <c r="DB10" i="5"/>
  <c r="DB9" i="5"/>
  <c r="DB8" i="5"/>
  <c r="DB7" i="5"/>
  <c r="DB6" i="5"/>
  <c r="DB5" i="5"/>
  <c r="DB4" i="5"/>
  <c r="CR49" i="5"/>
  <c r="CR48" i="5"/>
  <c r="CR47" i="5"/>
  <c r="CR46" i="5"/>
  <c r="CR45" i="5"/>
  <c r="CR44" i="5"/>
  <c r="CR43" i="5"/>
  <c r="CR42" i="5"/>
  <c r="CR41" i="5"/>
  <c r="CR40" i="5"/>
  <c r="CR39" i="5"/>
  <c r="CR38" i="5"/>
  <c r="CR37" i="5"/>
  <c r="CS37" i="5" s="1"/>
  <c r="CR36" i="5"/>
  <c r="CS36" i="5" s="1"/>
  <c r="CR35" i="5"/>
  <c r="CR34" i="5"/>
  <c r="CR33" i="5"/>
  <c r="CR32" i="5"/>
  <c r="CR31" i="5"/>
  <c r="CR30" i="5"/>
  <c r="CR29" i="5"/>
  <c r="CR28" i="5"/>
  <c r="CR27" i="5"/>
  <c r="CR26" i="5"/>
  <c r="CR24" i="5"/>
  <c r="CR23" i="5"/>
  <c r="CR22" i="5"/>
  <c r="CR21" i="5"/>
  <c r="CR20" i="5"/>
  <c r="CR19" i="5"/>
  <c r="CR18" i="5"/>
  <c r="CR17" i="5"/>
  <c r="CR16" i="5"/>
  <c r="CR15" i="5"/>
  <c r="CR14" i="5"/>
  <c r="CR13" i="5"/>
  <c r="CR12" i="5"/>
  <c r="CR11" i="5"/>
  <c r="CR10" i="5"/>
  <c r="CR9" i="5"/>
  <c r="CR8" i="5"/>
  <c r="CR7" i="5"/>
  <c r="CR6" i="5"/>
  <c r="CR5" i="5"/>
  <c r="CR4" i="5"/>
  <c r="CH26" i="5"/>
  <c r="CH27" i="5"/>
  <c r="CH28" i="5"/>
  <c r="CH29" i="5"/>
  <c r="CH30" i="5"/>
  <c r="CH31" i="5"/>
  <c r="CH32" i="5"/>
  <c r="CI32" i="5" s="1"/>
  <c r="CH33" i="5"/>
  <c r="CH34" i="5"/>
  <c r="CH35" i="5"/>
  <c r="CH36" i="5"/>
  <c r="CI36" i="5" s="1"/>
  <c r="CH37" i="5"/>
  <c r="CI37" i="5" s="1"/>
  <c r="CH38" i="5"/>
  <c r="CH39" i="5"/>
  <c r="CH40" i="5"/>
  <c r="CH41" i="5"/>
  <c r="CH42" i="5"/>
  <c r="CH43" i="5"/>
  <c r="CH44" i="5"/>
  <c r="CH45" i="5"/>
  <c r="CH46" i="5"/>
  <c r="CH47" i="5"/>
  <c r="CH48" i="5"/>
  <c r="CH49" i="5"/>
  <c r="CH24" i="5"/>
  <c r="CH23" i="5"/>
  <c r="CH22" i="5"/>
  <c r="CH21" i="5"/>
  <c r="CH20" i="5"/>
  <c r="CH19" i="5"/>
  <c r="CH18" i="5"/>
  <c r="CH17" i="5"/>
  <c r="CH16" i="5"/>
  <c r="CH15" i="5"/>
  <c r="CH14" i="5"/>
  <c r="CH13" i="5"/>
  <c r="CH12" i="5"/>
  <c r="CH11" i="5"/>
  <c r="CH10" i="5"/>
  <c r="CH9" i="5"/>
  <c r="CH8" i="5"/>
  <c r="CH7" i="5"/>
  <c r="CH6" i="5"/>
  <c r="CH5" i="5"/>
  <c r="CH4" i="5"/>
  <c r="BX49" i="5"/>
  <c r="BX48" i="5"/>
  <c r="BX47" i="5"/>
  <c r="BX46" i="5"/>
  <c r="BX45" i="5"/>
  <c r="BX44" i="5"/>
  <c r="BY44" i="5" s="1"/>
  <c r="BX43" i="5"/>
  <c r="BX42" i="5"/>
  <c r="BX41" i="5"/>
  <c r="BX40" i="5"/>
  <c r="BX39" i="5"/>
  <c r="BX38" i="5"/>
  <c r="BX37" i="5"/>
  <c r="BY37" i="5" s="1"/>
  <c r="BX36" i="5"/>
  <c r="BY36" i="5" s="1"/>
  <c r="BX35" i="5"/>
  <c r="BX34" i="5"/>
  <c r="BX33" i="5"/>
  <c r="BY33" i="5" s="1"/>
  <c r="BX32" i="5"/>
  <c r="BX31" i="5"/>
  <c r="BX30" i="5"/>
  <c r="BX29" i="5"/>
  <c r="BX28" i="5"/>
  <c r="BX27" i="5"/>
  <c r="BX26" i="5"/>
  <c r="BX24" i="5"/>
  <c r="BX23" i="5"/>
  <c r="BX22" i="5"/>
  <c r="BX21" i="5"/>
  <c r="BX20" i="5"/>
  <c r="BX19" i="5"/>
  <c r="BX18" i="5"/>
  <c r="BX17" i="5"/>
  <c r="BX16" i="5"/>
  <c r="BX15" i="5"/>
  <c r="BX14" i="5"/>
  <c r="BX13" i="5"/>
  <c r="BX12" i="5"/>
  <c r="BX11" i="5"/>
  <c r="BX10" i="5"/>
  <c r="BX9" i="5"/>
  <c r="BX8" i="5"/>
  <c r="BX7" i="5"/>
  <c r="BX6" i="5"/>
  <c r="BX5" i="5"/>
  <c r="BX4" i="5"/>
  <c r="BN49" i="5"/>
  <c r="BN48" i="5"/>
  <c r="BN47" i="5"/>
  <c r="BN46" i="5"/>
  <c r="BN45" i="5"/>
  <c r="BN44" i="5"/>
  <c r="BO44" i="5" s="1"/>
  <c r="BN43" i="5"/>
  <c r="BN42" i="5"/>
  <c r="BN41" i="5"/>
  <c r="BN40" i="5"/>
  <c r="BN39" i="5"/>
  <c r="BN38" i="5"/>
  <c r="BN37" i="5"/>
  <c r="BN36" i="5"/>
  <c r="BN35" i="5"/>
  <c r="BN34" i="5"/>
  <c r="BN33" i="5"/>
  <c r="BN32" i="5"/>
  <c r="BN31" i="5"/>
  <c r="BN30" i="5"/>
  <c r="BN29" i="5"/>
  <c r="BN28" i="5"/>
  <c r="BN27" i="5"/>
  <c r="BN26" i="5"/>
  <c r="BN24" i="5"/>
  <c r="BN23" i="5"/>
  <c r="BN22" i="5"/>
  <c r="BN21" i="5"/>
  <c r="BN20" i="5"/>
  <c r="BN19" i="5"/>
  <c r="BN18" i="5"/>
  <c r="BN17" i="5"/>
  <c r="BN16" i="5"/>
  <c r="BN15" i="5"/>
  <c r="BN14" i="5"/>
  <c r="BN13" i="5"/>
  <c r="BN12" i="5"/>
  <c r="BN11" i="5"/>
  <c r="BN10" i="5"/>
  <c r="BN9" i="5"/>
  <c r="BN8" i="5"/>
  <c r="BN7" i="5"/>
  <c r="BN6" i="5"/>
  <c r="BN5" i="5"/>
  <c r="BN4" i="5"/>
  <c r="BD49" i="5"/>
  <c r="BD48" i="5"/>
  <c r="BD47" i="5"/>
  <c r="BD46" i="5"/>
  <c r="BD45" i="5"/>
  <c r="BD44" i="5"/>
  <c r="BD43" i="5"/>
  <c r="BD42" i="5"/>
  <c r="BD41" i="5"/>
  <c r="BD40" i="5"/>
  <c r="BD39" i="5"/>
  <c r="BD38" i="5"/>
  <c r="BE38" i="5" s="1"/>
  <c r="BD37" i="5"/>
  <c r="BE37" i="5" s="1"/>
  <c r="BD36" i="5"/>
  <c r="BD35" i="5"/>
  <c r="BD34" i="5"/>
  <c r="BD33" i="5"/>
  <c r="BD32" i="5"/>
  <c r="BE32" i="5" s="1"/>
  <c r="BD31" i="5"/>
  <c r="BD30" i="5"/>
  <c r="BD29" i="5"/>
  <c r="BE29" i="5" s="1"/>
  <c r="BD28" i="5"/>
  <c r="BD27" i="5"/>
  <c r="BD26" i="5"/>
  <c r="BD24" i="5"/>
  <c r="BD23" i="5"/>
  <c r="BD22" i="5"/>
  <c r="BD21" i="5"/>
  <c r="BD20" i="5"/>
  <c r="BD19" i="5"/>
  <c r="BD18" i="5"/>
  <c r="BD17" i="5"/>
  <c r="BD16" i="5"/>
  <c r="BD15" i="5"/>
  <c r="BD14" i="5"/>
  <c r="BD13" i="5"/>
  <c r="BD12" i="5"/>
  <c r="BD11" i="5"/>
  <c r="BD10" i="5"/>
  <c r="BD9" i="5"/>
  <c r="BD8" i="5"/>
  <c r="BD7" i="5"/>
  <c r="BD6" i="5"/>
  <c r="BD5" i="5"/>
  <c r="BD4" i="5"/>
  <c r="AT24" i="5"/>
  <c r="AT23" i="5"/>
  <c r="AT22" i="5"/>
  <c r="AT21" i="5"/>
  <c r="AT20" i="5"/>
  <c r="AT19" i="5"/>
  <c r="AT18" i="5"/>
  <c r="AT17" i="5"/>
  <c r="AT16" i="5"/>
  <c r="AT15" i="5"/>
  <c r="AT14" i="5"/>
  <c r="AT13" i="5"/>
  <c r="AT12" i="5"/>
  <c r="AT11" i="5"/>
  <c r="AT10" i="5"/>
  <c r="AT9" i="5"/>
  <c r="AT8" i="5"/>
  <c r="AT7" i="5"/>
  <c r="AT6" i="5"/>
  <c r="AT5" i="5"/>
  <c r="AT4" i="5"/>
  <c r="AT49" i="5"/>
  <c r="AT48" i="5"/>
  <c r="AT47" i="5"/>
  <c r="AU47" i="5" s="1"/>
  <c r="AT46" i="5"/>
  <c r="AT45" i="5"/>
  <c r="AT44" i="5"/>
  <c r="AT43" i="5"/>
  <c r="AT42" i="5"/>
  <c r="AT41" i="5"/>
  <c r="AT40" i="5"/>
  <c r="AT39" i="5"/>
  <c r="AT38" i="5"/>
  <c r="AU38" i="5" s="1"/>
  <c r="AT37" i="5"/>
  <c r="AU37" i="5" s="1"/>
  <c r="AT36" i="5"/>
  <c r="AU36" i="5" s="1"/>
  <c r="AT35" i="5"/>
  <c r="AT34" i="5"/>
  <c r="AT33" i="5"/>
  <c r="AU33" i="5" s="1"/>
  <c r="AT32" i="5"/>
  <c r="AU32" i="5" s="1"/>
  <c r="AT31" i="5"/>
  <c r="AT30" i="5"/>
  <c r="AT29" i="5"/>
  <c r="AT28" i="5"/>
  <c r="AT27" i="5"/>
  <c r="AT26" i="5"/>
  <c r="AJ24" i="5"/>
  <c r="AJ23" i="5"/>
  <c r="AJ22" i="5"/>
  <c r="AJ21" i="5"/>
  <c r="AJ20" i="5"/>
  <c r="AJ19" i="5"/>
  <c r="AJ18" i="5"/>
  <c r="AJ17" i="5"/>
  <c r="AJ16" i="5"/>
  <c r="AJ15" i="5"/>
  <c r="AJ14" i="5"/>
  <c r="AJ13" i="5"/>
  <c r="AJ12" i="5"/>
  <c r="AJ11" i="5"/>
  <c r="AJ10" i="5"/>
  <c r="AJ9" i="5"/>
  <c r="AJ8" i="5"/>
  <c r="AJ7" i="5"/>
  <c r="AJ6" i="5"/>
  <c r="AJ5" i="5"/>
  <c r="AJ4" i="5"/>
  <c r="AJ49" i="5"/>
  <c r="AJ48" i="5"/>
  <c r="AJ47" i="5"/>
  <c r="AK47" i="5" s="1"/>
  <c r="AJ46" i="5"/>
  <c r="AJ45" i="5"/>
  <c r="AJ44" i="5"/>
  <c r="AK44" i="5" s="1"/>
  <c r="AJ43" i="5"/>
  <c r="AJ42" i="5"/>
  <c r="AJ41" i="5"/>
  <c r="AJ40" i="5"/>
  <c r="AJ39" i="5"/>
  <c r="AJ38" i="5"/>
  <c r="AJ37" i="5"/>
  <c r="AK37" i="5" s="1"/>
  <c r="AJ36" i="5"/>
  <c r="AK36" i="5" s="1"/>
  <c r="AJ35" i="5"/>
  <c r="AJ34" i="5"/>
  <c r="AJ33" i="5"/>
  <c r="AK33" i="5" s="1"/>
  <c r="AJ32" i="5"/>
  <c r="AJ31" i="5"/>
  <c r="AJ30" i="5"/>
  <c r="AJ29" i="5"/>
  <c r="AJ28" i="5"/>
  <c r="AJ27" i="5"/>
  <c r="AJ26" i="5"/>
  <c r="Z24" i="5"/>
  <c r="Z23" i="5"/>
  <c r="Z22" i="5"/>
  <c r="Z21" i="5"/>
  <c r="Z20" i="5"/>
  <c r="Z19" i="5"/>
  <c r="Z18" i="5"/>
  <c r="Z17" i="5"/>
  <c r="Z16" i="5"/>
  <c r="Z15" i="5"/>
  <c r="Z14" i="5"/>
  <c r="Z13" i="5"/>
  <c r="Z12" i="5"/>
  <c r="Z11" i="5"/>
  <c r="Z10" i="5"/>
  <c r="Z9" i="5"/>
  <c r="Z8" i="5"/>
  <c r="Z7" i="5"/>
  <c r="Z6" i="5"/>
  <c r="Z5" i="5"/>
  <c r="Z4" i="5"/>
  <c r="AA4" i="5" s="1"/>
  <c r="Z49" i="5"/>
  <c r="Z48" i="5"/>
  <c r="Z47" i="5"/>
  <c r="AA47" i="5" s="1"/>
  <c r="Z46" i="5"/>
  <c r="Z45" i="5"/>
  <c r="Z44" i="5"/>
  <c r="AA44" i="5" s="1"/>
  <c r="Z43" i="5"/>
  <c r="Z42" i="5"/>
  <c r="Z41" i="5"/>
  <c r="Z40" i="5"/>
  <c r="Z39" i="5"/>
  <c r="Z38" i="5"/>
  <c r="Z37" i="5"/>
  <c r="Z36" i="5"/>
  <c r="Z35" i="5"/>
  <c r="Z34" i="5"/>
  <c r="Z33" i="5"/>
  <c r="Z32" i="5"/>
  <c r="AA32" i="5" s="1"/>
  <c r="Z31" i="5"/>
  <c r="Z30" i="5"/>
  <c r="Z29" i="5"/>
  <c r="AA29" i="5" s="1"/>
  <c r="Z28" i="5"/>
  <c r="Z27" i="5"/>
  <c r="Z26" i="5"/>
  <c r="IB25" i="5"/>
  <c r="IC25" i="5" s="1"/>
  <c r="HR25" i="5"/>
  <c r="HH25" i="5"/>
  <c r="GX25" i="5"/>
  <c r="GN25" i="5"/>
  <c r="GD25" i="5"/>
  <c r="FT25" i="5"/>
  <c r="FJ25" i="5"/>
  <c r="EZ25" i="5"/>
  <c r="EP25" i="5"/>
  <c r="EF25" i="5"/>
  <c r="DV25" i="5"/>
  <c r="DL25" i="5"/>
  <c r="DB25" i="5"/>
  <c r="CR25" i="5"/>
  <c r="CH25" i="5"/>
  <c r="BX25" i="5"/>
  <c r="P36" i="5"/>
  <c r="P49" i="5"/>
  <c r="P48" i="5"/>
  <c r="P47" i="5"/>
  <c r="Q47" i="5" s="1"/>
  <c r="P46" i="5"/>
  <c r="P45" i="5"/>
  <c r="P44" i="5"/>
  <c r="P43" i="5"/>
  <c r="P42" i="5"/>
  <c r="P41" i="5"/>
  <c r="P40" i="5"/>
  <c r="P39" i="5"/>
  <c r="P38" i="5"/>
  <c r="P37" i="5"/>
  <c r="Q37" i="5" s="1"/>
  <c r="P35" i="5"/>
  <c r="P34" i="5"/>
  <c r="P33" i="5"/>
  <c r="P32" i="5"/>
  <c r="P31" i="5"/>
  <c r="P30" i="5"/>
  <c r="P29" i="5"/>
  <c r="Q29" i="5" s="1"/>
  <c r="P28" i="5"/>
  <c r="P27" i="5"/>
  <c r="P26" i="5"/>
  <c r="P25" i="5"/>
  <c r="P24" i="5"/>
  <c r="P23" i="5"/>
  <c r="P22" i="5"/>
  <c r="P21" i="5"/>
  <c r="P20" i="5"/>
  <c r="P19" i="5"/>
  <c r="P18" i="5"/>
  <c r="P17" i="5"/>
  <c r="P16" i="5"/>
  <c r="P15" i="5"/>
  <c r="P14" i="5"/>
  <c r="P13" i="5"/>
  <c r="P12" i="5"/>
  <c r="P11" i="5"/>
  <c r="P10" i="5"/>
  <c r="P9" i="5"/>
  <c r="P8" i="5"/>
  <c r="P7" i="5"/>
  <c r="P6" i="5"/>
  <c r="P5" i="5"/>
  <c r="P4" i="5"/>
  <c r="Q4" i="5" s="1"/>
  <c r="F49" i="5"/>
  <c r="F48" i="5"/>
  <c r="F47" i="5"/>
  <c r="F46" i="5"/>
  <c r="F45" i="5"/>
  <c r="F44" i="5"/>
  <c r="G44" i="5" s="1"/>
  <c r="F43" i="5"/>
  <c r="F42" i="5"/>
  <c r="F41" i="5"/>
  <c r="F40" i="5"/>
  <c r="F39" i="5"/>
  <c r="F38" i="5"/>
  <c r="F37" i="5"/>
  <c r="F36" i="5"/>
  <c r="F35" i="5"/>
  <c r="F34" i="5"/>
  <c r="F33" i="5"/>
  <c r="F32" i="5"/>
  <c r="F31" i="5"/>
  <c r="F30" i="5"/>
  <c r="F29" i="5"/>
  <c r="F28" i="5"/>
  <c r="F27" i="5"/>
  <c r="F26" i="5"/>
  <c r="F24" i="5"/>
  <c r="F23" i="5"/>
  <c r="F22" i="5"/>
  <c r="F21" i="5"/>
  <c r="F20" i="5"/>
  <c r="F19" i="5"/>
  <c r="F18" i="5"/>
  <c r="F17" i="5"/>
  <c r="F16" i="5"/>
  <c r="F15" i="5"/>
  <c r="F14" i="5"/>
  <c r="F13" i="5"/>
  <c r="F12" i="5"/>
  <c r="F11" i="5"/>
  <c r="F10" i="5"/>
  <c r="F9" i="5"/>
  <c r="F8" i="5"/>
  <c r="F7" i="5"/>
  <c r="F6" i="5"/>
  <c r="F5" i="5"/>
  <c r="F4" i="5"/>
  <c r="J32" i="4"/>
  <c r="J31" i="4"/>
  <c r="E363" i="6"/>
  <c r="E364" i="6"/>
  <c r="E365" i="6"/>
  <c r="E366" i="6"/>
  <c r="E367" i="6"/>
  <c r="E368" i="6"/>
  <c r="E369"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JF4" i="9"/>
  <c r="JF3" i="9"/>
  <c r="JF6" i="9"/>
  <c r="JF12" i="9"/>
  <c r="JF23" i="9"/>
  <c r="JF24" i="9"/>
  <c r="JF31" i="9"/>
  <c r="JF32" i="9"/>
  <c r="JF35" i="9"/>
  <c r="JF39" i="9"/>
  <c r="JF41" i="9"/>
  <c r="KX4" i="9"/>
  <c r="KX3" i="9"/>
  <c r="KX6" i="9"/>
  <c r="KX12" i="9"/>
  <c r="KX23" i="9"/>
  <c r="KX24" i="9"/>
  <c r="KX25" i="9"/>
  <c r="KX31" i="9"/>
  <c r="KX32" i="9"/>
  <c r="KX35" i="9"/>
  <c r="KX39" i="9"/>
  <c r="KX41" i="9"/>
  <c r="MP4" i="9"/>
  <c r="MP6" i="9"/>
  <c r="MP12" i="9"/>
  <c r="MP23" i="9"/>
  <c r="MP24" i="9"/>
  <c r="MP25" i="9"/>
  <c r="MP31" i="9"/>
  <c r="MP32" i="9"/>
  <c r="MP35" i="9"/>
  <c r="MP39" i="9"/>
  <c r="OH4" i="9"/>
  <c r="OH6" i="9"/>
  <c r="OH12" i="9"/>
  <c r="OH23" i="9"/>
  <c r="OH24" i="9"/>
  <c r="OH25" i="9"/>
  <c r="OH31" i="9"/>
  <c r="OH32" i="9"/>
  <c r="OH35" i="9"/>
  <c r="OH39" i="9"/>
  <c r="HN3" i="9"/>
  <c r="HN6" i="9"/>
  <c r="HN12" i="9"/>
  <c r="HN23" i="9"/>
  <c r="HN24" i="9"/>
  <c r="HN31" i="9"/>
  <c r="HN32" i="9"/>
  <c r="HN35" i="9"/>
  <c r="HN39" i="9"/>
  <c r="HN41" i="9"/>
  <c r="ABV5" i="9"/>
  <c r="ABV11" i="9"/>
  <c r="ABV23" i="9"/>
  <c r="ABV31" i="9"/>
  <c r="ABV35" i="9"/>
  <c r="ADN5" i="9"/>
  <c r="ADN11" i="9"/>
  <c r="ADN23" i="9"/>
  <c r="ADN31" i="9"/>
  <c r="ADN35" i="9"/>
  <c r="AFF5" i="9"/>
  <c r="AFF11" i="9"/>
  <c r="AFF23" i="9"/>
  <c r="AFF31" i="9"/>
  <c r="AFF35" i="9"/>
  <c r="AGX5" i="9"/>
  <c r="AGX21" i="9"/>
  <c r="AGX23" i="9"/>
  <c r="AGX31" i="9"/>
  <c r="AIP5" i="9"/>
  <c r="AIP21" i="9"/>
  <c r="AIP23" i="9"/>
  <c r="AIP31" i="9"/>
  <c r="AKH5" i="9"/>
  <c r="AKH21" i="9"/>
  <c r="AKH23" i="9"/>
  <c r="AKH31" i="9"/>
  <c r="ALZ5" i="9"/>
  <c r="ALZ21" i="9"/>
  <c r="ALZ23" i="9"/>
  <c r="ALZ31" i="9"/>
  <c r="ANR5" i="9"/>
  <c r="ANR21" i="9"/>
  <c r="ANR23" i="9"/>
  <c r="ANR31" i="9"/>
  <c r="APJ5" i="9"/>
  <c r="APJ21" i="9"/>
  <c r="APJ23" i="9"/>
  <c r="APJ31" i="9"/>
  <c r="ARB5" i="9"/>
  <c r="ARB21" i="9"/>
  <c r="ARB23" i="9"/>
  <c r="ARB31" i="9"/>
  <c r="AST5" i="9"/>
  <c r="AST21" i="9"/>
  <c r="AST23" i="9"/>
  <c r="AST31" i="9"/>
  <c r="AUL5" i="9"/>
  <c r="AUL21" i="9"/>
  <c r="AUL23" i="9"/>
  <c r="AUL31" i="9"/>
  <c r="AWD5" i="9"/>
  <c r="AWD21" i="9"/>
  <c r="AWD23" i="9"/>
  <c r="AWD31" i="9"/>
  <c r="AXV5" i="9"/>
  <c r="AXV7" i="9"/>
  <c r="AXV21" i="9"/>
  <c r="AXV23" i="9"/>
  <c r="AXV31" i="9"/>
  <c r="AZN5" i="9"/>
  <c r="AZN7" i="9"/>
  <c r="AZN21" i="9"/>
  <c r="AZN23" i="9"/>
  <c r="AZN31" i="9"/>
  <c r="B6" i="9"/>
  <c r="B12" i="9"/>
  <c r="B24" i="9"/>
  <c r="B32" i="9"/>
  <c r="B35" i="9"/>
  <c r="B39" i="9"/>
  <c r="B41" i="9"/>
  <c r="AT6" i="9"/>
  <c r="AT12" i="9"/>
  <c r="AT24" i="9"/>
  <c r="AT31" i="9"/>
  <c r="AT32" i="9"/>
  <c r="AT35" i="9"/>
  <c r="AT39" i="9"/>
  <c r="AT41" i="9"/>
  <c r="CL6" i="9"/>
  <c r="CL12" i="9"/>
  <c r="CL24" i="9"/>
  <c r="CL31" i="9"/>
  <c r="CL32" i="9"/>
  <c r="CL35" i="9"/>
  <c r="CL39" i="9"/>
  <c r="CL41" i="9"/>
  <c r="ED6" i="9"/>
  <c r="ED12" i="9"/>
  <c r="ED24" i="9"/>
  <c r="ED31" i="9"/>
  <c r="ED32" i="9"/>
  <c r="ED35" i="9"/>
  <c r="ED39" i="9"/>
  <c r="ED41" i="9"/>
  <c r="FV6" i="9"/>
  <c r="FV12" i="9"/>
  <c r="FV24" i="9"/>
  <c r="FV31" i="9"/>
  <c r="FV32" i="9"/>
  <c r="FV35" i="9"/>
  <c r="FV39" i="9"/>
  <c r="FV41" i="9"/>
  <c r="BBF7" i="9"/>
  <c r="BBF21" i="9"/>
  <c r="BBF23" i="9"/>
  <c r="BBF31" i="9"/>
  <c r="BCX7" i="9"/>
  <c r="BCX21" i="9"/>
  <c r="BCX23" i="9"/>
  <c r="BCX31" i="9"/>
  <c r="BEP7" i="9"/>
  <c r="BEP23" i="9"/>
  <c r="BEP31" i="9"/>
  <c r="BGH7" i="9"/>
  <c r="BGH23" i="9"/>
  <c r="BGH31" i="9"/>
  <c r="BHZ7" i="9"/>
  <c r="BHZ23" i="9"/>
  <c r="BHZ31" i="9"/>
  <c r="BJR7" i="9"/>
  <c r="BJR23" i="9"/>
  <c r="BJR31" i="9"/>
  <c r="BLJ7" i="9"/>
  <c r="BLJ23" i="9"/>
  <c r="BLJ31" i="9"/>
  <c r="BNB7" i="9"/>
  <c r="BNB23" i="9"/>
  <c r="BNB31" i="9"/>
  <c r="BOT7" i="9"/>
  <c r="BOT23" i="9"/>
  <c r="BOT31" i="9"/>
  <c r="BQL7" i="9"/>
  <c r="BQL23" i="9"/>
  <c r="BQL31" i="9"/>
  <c r="BSD7" i="9"/>
  <c r="BSD23" i="9"/>
  <c r="BSD31" i="9"/>
  <c r="BTV7" i="9"/>
  <c r="BTV23" i="9"/>
  <c r="BTV31" i="9"/>
  <c r="BVN7" i="9"/>
  <c r="BVN23" i="9"/>
  <c r="BVN31" i="9"/>
  <c r="BXF7" i="9"/>
  <c r="BXF23" i="9"/>
  <c r="BXF31" i="9"/>
  <c r="BYX7" i="9"/>
  <c r="BYX23" i="9"/>
  <c r="BYX31" i="9"/>
  <c r="CAP7" i="9"/>
  <c r="CAP23" i="9"/>
  <c r="CAP31" i="9"/>
  <c r="CCH7" i="9"/>
  <c r="CCH23" i="9"/>
  <c r="CCH31" i="9"/>
  <c r="CDZ7" i="9"/>
  <c r="CDZ23" i="9"/>
  <c r="CFR7" i="9"/>
  <c r="CFR23" i="9"/>
  <c r="CHJ7" i="9"/>
  <c r="CHJ23" i="9"/>
  <c r="CJB7" i="9"/>
  <c r="CJB23" i="9"/>
  <c r="CKT7" i="9"/>
  <c r="CKT23" i="9"/>
  <c r="CML7" i="9"/>
  <c r="CML23" i="9"/>
  <c r="VB11" i="9"/>
  <c r="VB23" i="9"/>
  <c r="VB24" i="9"/>
  <c r="VB25" i="9"/>
  <c r="VB31" i="9"/>
  <c r="VB32" i="9"/>
  <c r="VB35" i="9"/>
  <c r="WT11" i="9"/>
  <c r="WT23" i="9"/>
  <c r="WT24" i="9"/>
  <c r="WT25" i="9"/>
  <c r="WT31" i="9"/>
  <c r="WT32" i="9"/>
  <c r="WT35" i="9"/>
  <c r="YL11" i="9"/>
  <c r="YL23" i="9"/>
  <c r="YL31" i="9"/>
  <c r="YL35" i="9"/>
  <c r="AAD11" i="9"/>
  <c r="AAD12" i="9"/>
  <c r="AAD23" i="9"/>
  <c r="AAD31" i="9"/>
  <c r="AAD35" i="9"/>
  <c r="RR12" i="9"/>
  <c r="RR23" i="9"/>
  <c r="RR24" i="9"/>
  <c r="RR25" i="9"/>
  <c r="RR31" i="9"/>
  <c r="RR32" i="9"/>
  <c r="RR35" i="9"/>
  <c r="TJ12" i="9"/>
  <c r="TJ23" i="9"/>
  <c r="TJ24" i="9"/>
  <c r="TJ25" i="9"/>
  <c r="TJ31" i="9"/>
  <c r="TJ32" i="9"/>
  <c r="TJ35" i="9"/>
  <c r="PZ12" i="9"/>
  <c r="PZ23" i="9"/>
  <c r="PZ24" i="9"/>
  <c r="PZ25" i="9"/>
  <c r="PZ31" i="9"/>
  <c r="PZ32" i="9"/>
  <c r="PZ35" i="9"/>
  <c r="COD23" i="9"/>
  <c r="CPV23" i="9"/>
  <c r="CRN23" i="9"/>
  <c r="CTF23" i="9"/>
  <c r="CUX23" i="9"/>
  <c r="CWP23" i="9"/>
  <c r="CYH23" i="9"/>
  <c r="CZZ23" i="9"/>
  <c r="DBR23" i="9"/>
  <c r="DDJ23" i="9"/>
  <c r="DFB23" i="9"/>
  <c r="DGT23" i="9"/>
  <c r="DIL23" i="9"/>
  <c r="DKD23" i="9"/>
  <c r="DLV23" i="9"/>
  <c r="DNN23" i="9"/>
  <c r="DPF23" i="9"/>
  <c r="DQX23" i="9"/>
  <c r="DSP23" i="9"/>
  <c r="DUH23" i="9"/>
  <c r="DVZ23" i="9"/>
  <c r="DXR23" i="9"/>
  <c r="DZJ23" i="9"/>
  <c r="EBB23" i="9"/>
  <c r="ECT23" i="9"/>
  <c r="EEL23" i="9"/>
  <c r="EEL50" i="9" s="1"/>
  <c r="EGD23" i="9"/>
  <c r="EGD50" i="9" s="1"/>
  <c r="EHV23" i="9"/>
  <c r="EHV50" i="9" s="1"/>
  <c r="EJN23" i="9"/>
  <c r="EJN50" i="9"/>
  <c r="ELF23" i="9"/>
  <c r="ELF50" i="9" s="1"/>
  <c r="EMX23" i="9"/>
  <c r="EMX50" i="9" s="1"/>
  <c r="CL3" i="9"/>
  <c r="B3" i="9"/>
  <c r="G30" i="8"/>
  <c r="F24" i="8"/>
  <c r="AN20" i="5"/>
  <c r="AN21" i="5"/>
  <c r="AK20" i="5"/>
  <c r="DDJ48" i="9"/>
  <c r="C218" i="8" s="1"/>
  <c r="DDK48" i="9"/>
  <c r="D218" i="8" s="1"/>
  <c r="DDL48" i="9"/>
  <c r="E218" i="8" s="1"/>
  <c r="DDM48" i="9"/>
  <c r="F218" i="8" s="1"/>
  <c r="DDN48" i="9"/>
  <c r="G218" i="8" s="1"/>
  <c r="DDO48" i="9"/>
  <c r="H218" i="8" s="1"/>
  <c r="DDP48" i="9"/>
  <c r="I218" i="8" s="1"/>
  <c r="DDQ48" i="9"/>
  <c r="J218" i="8" s="1"/>
  <c r="DDR48" i="9"/>
  <c r="K218" i="8" s="1"/>
  <c r="DDS48" i="9"/>
  <c r="L218" i="8" s="1"/>
  <c r="DDT48" i="9"/>
  <c r="M218" i="8" s="1"/>
  <c r="DDU48" i="9"/>
  <c r="N218" i="8" s="1"/>
  <c r="DDV48" i="9"/>
  <c r="O218" i="8" s="1"/>
  <c r="DDW48" i="9"/>
  <c r="P218" i="8" s="1"/>
  <c r="DDX48" i="9"/>
  <c r="Q218" i="8" s="1"/>
  <c r="DDY48" i="9"/>
  <c r="R218" i="8" s="1"/>
  <c r="DDZ48" i="9"/>
  <c r="S218" i="8" s="1"/>
  <c r="DEA48" i="9"/>
  <c r="T218" i="8" s="1"/>
  <c r="DEB48" i="9"/>
  <c r="U218" i="8" s="1"/>
  <c r="DEC48" i="9"/>
  <c r="V218" i="8" s="1"/>
  <c r="DED48" i="9"/>
  <c r="W218" i="8" s="1"/>
  <c r="DEE48" i="9"/>
  <c r="X218" i="8" s="1"/>
  <c r="DEF48" i="9"/>
  <c r="Y218" i="8" s="1"/>
  <c r="DEG48" i="9"/>
  <c r="Z218" i="8" s="1"/>
  <c r="DEH48" i="9"/>
  <c r="AA218" i="8" s="1"/>
  <c r="DEI48" i="9"/>
  <c r="AB218" i="8" s="1"/>
  <c r="DEJ48" i="9"/>
  <c r="AC218" i="8" s="1"/>
  <c r="DEK48" i="9"/>
  <c r="AD218" i="8" s="1"/>
  <c r="DEL48" i="9"/>
  <c r="AE218" i="8" s="1"/>
  <c r="DEM48" i="9"/>
  <c r="AF218" i="8" s="1"/>
  <c r="DEN48" i="9"/>
  <c r="AG218" i="8" s="1"/>
  <c r="DEO48" i="9"/>
  <c r="AH218" i="8" s="1"/>
  <c r="DEP48" i="9"/>
  <c r="AI218" i="8" s="1"/>
  <c r="DEQ48" i="9"/>
  <c r="AJ218" i="8" s="1"/>
  <c r="DER48" i="9"/>
  <c r="AK218" i="8" s="1"/>
  <c r="DES48" i="9"/>
  <c r="AL218" i="8" s="1"/>
  <c r="DET48" i="9"/>
  <c r="AM218" i="8" s="1"/>
  <c r="DEU48" i="9"/>
  <c r="AN218" i="8" s="1"/>
  <c r="DEV48" i="9"/>
  <c r="AO218" i="8" s="1"/>
  <c r="DEW48" i="9"/>
  <c r="AP218" i="8" s="1"/>
  <c r="DEX48" i="9"/>
  <c r="AQ218" i="8" s="1"/>
  <c r="DEY48" i="9"/>
  <c r="AR218" i="8" s="1"/>
  <c r="DEZ48" i="9"/>
  <c r="AS218" i="8" s="1"/>
  <c r="DFA48" i="9"/>
  <c r="AT218" i="8" s="1"/>
  <c r="DBR48" i="9"/>
  <c r="C217" i="8" s="1"/>
  <c r="DBS48" i="9"/>
  <c r="D217" i="8" s="1"/>
  <c r="DBT48" i="9"/>
  <c r="E217" i="8" s="1"/>
  <c r="DBU48" i="9"/>
  <c r="F217" i="8" s="1"/>
  <c r="DBV48" i="9"/>
  <c r="G217" i="8" s="1"/>
  <c r="DBW48" i="9"/>
  <c r="H217" i="8" s="1"/>
  <c r="DBX48" i="9"/>
  <c r="I217" i="8" s="1"/>
  <c r="DBY48" i="9"/>
  <c r="J217" i="8" s="1"/>
  <c r="DBZ48" i="9"/>
  <c r="K217" i="8" s="1"/>
  <c r="DCA48" i="9"/>
  <c r="L217" i="8" s="1"/>
  <c r="DCB48" i="9"/>
  <c r="M217" i="8" s="1"/>
  <c r="DCC48" i="9"/>
  <c r="N217" i="8" s="1"/>
  <c r="DCD48" i="9"/>
  <c r="O217" i="8" s="1"/>
  <c r="DCE48" i="9"/>
  <c r="P217" i="8" s="1"/>
  <c r="DCF48" i="9"/>
  <c r="Q217" i="8" s="1"/>
  <c r="DCG48" i="9"/>
  <c r="R217" i="8" s="1"/>
  <c r="DCH48" i="9"/>
  <c r="S217" i="8" s="1"/>
  <c r="DCI48" i="9"/>
  <c r="T217" i="8" s="1"/>
  <c r="DCJ48" i="9"/>
  <c r="U217" i="8" s="1"/>
  <c r="DCK48" i="9"/>
  <c r="V217" i="8" s="1"/>
  <c r="DCL48" i="9"/>
  <c r="W217" i="8" s="1"/>
  <c r="DCM48" i="9"/>
  <c r="X217" i="8" s="1"/>
  <c r="DCN48" i="9"/>
  <c r="Y217" i="8" s="1"/>
  <c r="DCO48" i="9"/>
  <c r="Z217" i="8" s="1"/>
  <c r="DCP48" i="9"/>
  <c r="AA217" i="8" s="1"/>
  <c r="DCQ48" i="9"/>
  <c r="AB217" i="8" s="1"/>
  <c r="DCR48" i="9"/>
  <c r="AC217" i="8" s="1"/>
  <c r="DCS48" i="9"/>
  <c r="AD217" i="8" s="1"/>
  <c r="DCT48" i="9"/>
  <c r="AE217" i="8" s="1"/>
  <c r="DCU48" i="9"/>
  <c r="AF217" i="8" s="1"/>
  <c r="DCV48" i="9"/>
  <c r="AG217" i="8" s="1"/>
  <c r="DCW48" i="9"/>
  <c r="AH217" i="8" s="1"/>
  <c r="DCX48" i="9"/>
  <c r="AI217" i="8" s="1"/>
  <c r="DCY48" i="9"/>
  <c r="AJ217" i="8" s="1"/>
  <c r="DCZ48" i="9"/>
  <c r="AK217" i="8" s="1"/>
  <c r="DDA48" i="9"/>
  <c r="AL217" i="8" s="1"/>
  <c r="DDB48" i="9"/>
  <c r="AM217" i="8" s="1"/>
  <c r="DDC48" i="9"/>
  <c r="AN217" i="8" s="1"/>
  <c r="DDD48" i="9"/>
  <c r="AO217" i="8" s="1"/>
  <c r="DDE48" i="9"/>
  <c r="AP217" i="8" s="1"/>
  <c r="DDF48" i="9"/>
  <c r="AQ217" i="8" s="1"/>
  <c r="DDG48" i="9"/>
  <c r="AR217" i="8" s="1"/>
  <c r="DDH48" i="9"/>
  <c r="AS217" i="8" s="1"/>
  <c r="DDI48" i="9"/>
  <c r="AT217" i="8" s="1"/>
  <c r="CZZ48" i="9"/>
  <c r="C216" i="8" s="1"/>
  <c r="DAA48" i="9"/>
  <c r="D216" i="8" s="1"/>
  <c r="DAB48" i="9"/>
  <c r="DAC48" i="9"/>
  <c r="F216" i="8" s="1"/>
  <c r="DAD48" i="9"/>
  <c r="G216" i="8" s="1"/>
  <c r="DAE48" i="9"/>
  <c r="H216" i="8" s="1"/>
  <c r="DAF48" i="9"/>
  <c r="I216" i="8" s="1"/>
  <c r="DAG48" i="9"/>
  <c r="J216" i="8" s="1"/>
  <c r="DAH48" i="9"/>
  <c r="K216" i="8" s="1"/>
  <c r="DAI48" i="9"/>
  <c r="L216" i="8" s="1"/>
  <c r="DAJ48" i="9"/>
  <c r="M216" i="8" s="1"/>
  <c r="DAK48" i="9"/>
  <c r="N216" i="8" s="1"/>
  <c r="DAL48" i="9"/>
  <c r="O216" i="8" s="1"/>
  <c r="DAM48" i="9"/>
  <c r="P216" i="8" s="1"/>
  <c r="DAN48" i="9"/>
  <c r="Q216" i="8" s="1"/>
  <c r="DAO48" i="9"/>
  <c r="R216" i="8" s="1"/>
  <c r="DAP48" i="9"/>
  <c r="S216" i="8" s="1"/>
  <c r="DAQ48" i="9"/>
  <c r="T216" i="8" s="1"/>
  <c r="DAR48" i="9"/>
  <c r="U216" i="8" s="1"/>
  <c r="DAS48" i="9"/>
  <c r="V216" i="8" s="1"/>
  <c r="DAT48" i="9"/>
  <c r="W216" i="8" s="1"/>
  <c r="DAU48" i="9"/>
  <c r="X216" i="8" s="1"/>
  <c r="DAV48" i="9"/>
  <c r="Y216" i="8" s="1"/>
  <c r="DAW48" i="9"/>
  <c r="Z216" i="8" s="1"/>
  <c r="DAX48" i="9"/>
  <c r="AA216" i="8" s="1"/>
  <c r="DAY48" i="9"/>
  <c r="AB216" i="8" s="1"/>
  <c r="DAZ48" i="9"/>
  <c r="AC216" i="8" s="1"/>
  <c r="DBA48" i="9"/>
  <c r="AD216" i="8" s="1"/>
  <c r="DBB48" i="9"/>
  <c r="AE216" i="8" s="1"/>
  <c r="DBC48" i="9"/>
  <c r="AF216" i="8" s="1"/>
  <c r="DBD48" i="9"/>
  <c r="AG216" i="8" s="1"/>
  <c r="DBE48" i="9"/>
  <c r="AH216" i="8" s="1"/>
  <c r="DBF48" i="9"/>
  <c r="AI216" i="8" s="1"/>
  <c r="DBG48" i="9"/>
  <c r="AJ216" i="8" s="1"/>
  <c r="DBH48" i="9"/>
  <c r="AK216" i="8" s="1"/>
  <c r="DBI48" i="9"/>
  <c r="AL216" i="8" s="1"/>
  <c r="DBJ48" i="9"/>
  <c r="AM216" i="8" s="1"/>
  <c r="DBK48" i="9"/>
  <c r="AN216" i="8" s="1"/>
  <c r="DBL48" i="9"/>
  <c r="AO216" i="8" s="1"/>
  <c r="DBM48" i="9"/>
  <c r="AP216" i="8" s="1"/>
  <c r="DBN48" i="9"/>
  <c r="AQ216" i="8" s="1"/>
  <c r="DBO48" i="9"/>
  <c r="AR216" i="8" s="1"/>
  <c r="DBP48" i="9"/>
  <c r="AS216" i="8" s="1"/>
  <c r="DBQ48" i="9"/>
  <c r="AT216" i="8" s="1"/>
  <c r="CYH48" i="9"/>
  <c r="C215" i="8" s="1"/>
  <c r="CYI48" i="9"/>
  <c r="D215" i="8" s="1"/>
  <c r="CYJ48" i="9"/>
  <c r="E215" i="8" s="1"/>
  <c r="CYK48" i="9"/>
  <c r="F215" i="8" s="1"/>
  <c r="CYL48" i="9"/>
  <c r="G215" i="8" s="1"/>
  <c r="CYM48" i="9"/>
  <c r="H215" i="8" s="1"/>
  <c r="CYN48" i="9"/>
  <c r="I215" i="8" s="1"/>
  <c r="CYO48" i="9"/>
  <c r="J215" i="8" s="1"/>
  <c r="CYP48" i="9"/>
  <c r="K215" i="8" s="1"/>
  <c r="CYQ48" i="9"/>
  <c r="L215" i="8" s="1"/>
  <c r="CYR48" i="9"/>
  <c r="M215" i="8" s="1"/>
  <c r="CYS48" i="9"/>
  <c r="N215" i="8" s="1"/>
  <c r="CYT48" i="9"/>
  <c r="O215" i="8" s="1"/>
  <c r="CYU48" i="9"/>
  <c r="P215" i="8" s="1"/>
  <c r="CYV48" i="9"/>
  <c r="Q215" i="8" s="1"/>
  <c r="CYW48" i="9"/>
  <c r="R215" i="8" s="1"/>
  <c r="CYX48" i="9"/>
  <c r="S215" i="8" s="1"/>
  <c r="CYY48" i="9"/>
  <c r="T215" i="8" s="1"/>
  <c r="CYZ48" i="9"/>
  <c r="U215" i="8" s="1"/>
  <c r="CZA48" i="9"/>
  <c r="V215" i="8" s="1"/>
  <c r="CZB48" i="9"/>
  <c r="W215" i="8" s="1"/>
  <c r="CZC48" i="9"/>
  <c r="X215" i="8" s="1"/>
  <c r="CZD48" i="9"/>
  <c r="Y215" i="8" s="1"/>
  <c r="CZE48" i="9"/>
  <c r="Z215" i="8" s="1"/>
  <c r="CZF48" i="9"/>
  <c r="AA215" i="8" s="1"/>
  <c r="CZG48" i="9"/>
  <c r="AB215" i="8" s="1"/>
  <c r="CZH48" i="9"/>
  <c r="AC215" i="8" s="1"/>
  <c r="CZI48" i="9"/>
  <c r="AD215" i="8" s="1"/>
  <c r="CZJ48" i="9"/>
  <c r="AE215" i="8" s="1"/>
  <c r="CZK48" i="9"/>
  <c r="AF215" i="8" s="1"/>
  <c r="CZL48" i="9"/>
  <c r="AG215" i="8" s="1"/>
  <c r="CZM48" i="9"/>
  <c r="AH215" i="8" s="1"/>
  <c r="CZN48" i="9"/>
  <c r="AI215" i="8" s="1"/>
  <c r="CZO48" i="9"/>
  <c r="AJ215" i="8" s="1"/>
  <c r="CZP48" i="9"/>
  <c r="AK215" i="8" s="1"/>
  <c r="CZQ48" i="9"/>
  <c r="AL215" i="8" s="1"/>
  <c r="CZR48" i="9"/>
  <c r="AM215" i="8" s="1"/>
  <c r="CZS48" i="9"/>
  <c r="AN215" i="8" s="1"/>
  <c r="CZT48" i="9"/>
  <c r="AO215" i="8" s="1"/>
  <c r="CZU48" i="9"/>
  <c r="AP215" i="8" s="1"/>
  <c r="CZV48" i="9"/>
  <c r="AQ215" i="8" s="1"/>
  <c r="CZW48" i="9"/>
  <c r="AR215" i="8" s="1"/>
  <c r="CZX48" i="9"/>
  <c r="AS215" i="8" s="1"/>
  <c r="CZY48" i="9"/>
  <c r="AT215" i="8" s="1"/>
  <c r="CWP48" i="9"/>
  <c r="C214" i="8" s="1"/>
  <c r="CWQ48" i="9"/>
  <c r="D214" i="8" s="1"/>
  <c r="CWR48" i="9"/>
  <c r="E214" i="8" s="1"/>
  <c r="CWS48" i="9"/>
  <c r="F214" i="8" s="1"/>
  <c r="CWT48" i="9"/>
  <c r="G214" i="8" s="1"/>
  <c r="CWU48" i="9"/>
  <c r="H214" i="8" s="1"/>
  <c r="CWV48" i="9"/>
  <c r="I214" i="8" s="1"/>
  <c r="CWW48" i="9"/>
  <c r="J214" i="8" s="1"/>
  <c r="CWX48" i="9"/>
  <c r="K214" i="8" s="1"/>
  <c r="CWY48" i="9"/>
  <c r="L214" i="8" s="1"/>
  <c r="CWZ48" i="9"/>
  <c r="M214" i="8" s="1"/>
  <c r="CXA48" i="9"/>
  <c r="N214" i="8" s="1"/>
  <c r="CXB48" i="9"/>
  <c r="O214" i="8" s="1"/>
  <c r="CXC48" i="9"/>
  <c r="P214" i="8" s="1"/>
  <c r="CXD48" i="9"/>
  <c r="Q214" i="8" s="1"/>
  <c r="CXE48" i="9"/>
  <c r="R214" i="8" s="1"/>
  <c r="CXF48" i="9"/>
  <c r="S214" i="8" s="1"/>
  <c r="CXG48" i="9"/>
  <c r="T214" i="8" s="1"/>
  <c r="CXH48" i="9"/>
  <c r="U214" i="8" s="1"/>
  <c r="CXI48" i="9"/>
  <c r="V214" i="8" s="1"/>
  <c r="CXJ48" i="9"/>
  <c r="W214" i="8" s="1"/>
  <c r="CXK48" i="9"/>
  <c r="X214" i="8" s="1"/>
  <c r="CXL48" i="9"/>
  <c r="Y214" i="8" s="1"/>
  <c r="CXM48" i="9"/>
  <c r="Z214" i="8" s="1"/>
  <c r="CXN48" i="9"/>
  <c r="AA214" i="8" s="1"/>
  <c r="CXO48" i="9"/>
  <c r="AB214" i="8" s="1"/>
  <c r="CXP48" i="9"/>
  <c r="AC214" i="8" s="1"/>
  <c r="CXQ48" i="9"/>
  <c r="AD214" i="8" s="1"/>
  <c r="CXR48" i="9"/>
  <c r="AE214" i="8" s="1"/>
  <c r="CXS48" i="9"/>
  <c r="AF214" i="8" s="1"/>
  <c r="CXT48" i="9"/>
  <c r="AG214" i="8" s="1"/>
  <c r="CXU48" i="9"/>
  <c r="AH214" i="8" s="1"/>
  <c r="CXV48" i="9"/>
  <c r="AI214" i="8" s="1"/>
  <c r="CXW48" i="9"/>
  <c r="AJ214" i="8" s="1"/>
  <c r="CXX48" i="9"/>
  <c r="AK214" i="8" s="1"/>
  <c r="CXY48" i="9"/>
  <c r="AL214" i="8" s="1"/>
  <c r="CXZ48" i="9"/>
  <c r="AM214" i="8" s="1"/>
  <c r="CYA48" i="9"/>
  <c r="AN214" i="8" s="1"/>
  <c r="CYB48" i="9"/>
  <c r="AO214" i="8" s="1"/>
  <c r="CYC48" i="9"/>
  <c r="AP214" i="8" s="1"/>
  <c r="CYD48" i="9"/>
  <c r="AQ214" i="8" s="1"/>
  <c r="CYE48" i="9"/>
  <c r="AR214" i="8" s="1"/>
  <c r="CYF48" i="9"/>
  <c r="AS214" i="8" s="1"/>
  <c r="CYG48" i="9"/>
  <c r="CUX48" i="9"/>
  <c r="C213" i="8" s="1"/>
  <c r="CUY48" i="9"/>
  <c r="D213" i="8" s="1"/>
  <c r="CUZ48" i="9"/>
  <c r="E213" i="8" s="1"/>
  <c r="CVA48" i="9"/>
  <c r="F213" i="8" s="1"/>
  <c r="CVB48" i="9"/>
  <c r="G213" i="8" s="1"/>
  <c r="CVC48" i="9"/>
  <c r="H213" i="8" s="1"/>
  <c r="CVD48" i="9"/>
  <c r="I213" i="8" s="1"/>
  <c r="CVE48" i="9"/>
  <c r="J213" i="8" s="1"/>
  <c r="CVF48" i="9"/>
  <c r="K213" i="8" s="1"/>
  <c r="CVG48" i="9"/>
  <c r="L213" i="8" s="1"/>
  <c r="CVH48" i="9"/>
  <c r="M213" i="8" s="1"/>
  <c r="CVI48" i="9"/>
  <c r="N213" i="8" s="1"/>
  <c r="CVJ48" i="9"/>
  <c r="O213" i="8" s="1"/>
  <c r="CVK48" i="9"/>
  <c r="P213" i="8" s="1"/>
  <c r="CVL48" i="9"/>
  <c r="Q213" i="8" s="1"/>
  <c r="CVM48" i="9"/>
  <c r="R213" i="8" s="1"/>
  <c r="CVN48" i="9"/>
  <c r="S213" i="8" s="1"/>
  <c r="CVO48" i="9"/>
  <c r="T213" i="8" s="1"/>
  <c r="CVP48" i="9"/>
  <c r="U213" i="8" s="1"/>
  <c r="CVQ48" i="9"/>
  <c r="V213" i="8" s="1"/>
  <c r="CVR48" i="9"/>
  <c r="W213" i="8" s="1"/>
  <c r="CVS48" i="9"/>
  <c r="X213" i="8" s="1"/>
  <c r="CVT48" i="9"/>
  <c r="Y213" i="8" s="1"/>
  <c r="CVU48" i="9"/>
  <c r="Z213" i="8" s="1"/>
  <c r="CVV48" i="9"/>
  <c r="AA213" i="8" s="1"/>
  <c r="CVW48" i="9"/>
  <c r="AB213" i="8" s="1"/>
  <c r="CVX48" i="9"/>
  <c r="AC213" i="8" s="1"/>
  <c r="CVY48" i="9"/>
  <c r="AD213" i="8" s="1"/>
  <c r="CVZ48" i="9"/>
  <c r="AE213" i="8" s="1"/>
  <c r="CWA48" i="9"/>
  <c r="AF213" i="8" s="1"/>
  <c r="CWB48" i="9"/>
  <c r="AG213" i="8" s="1"/>
  <c r="CWC48" i="9"/>
  <c r="AH213" i="8" s="1"/>
  <c r="CWD48" i="9"/>
  <c r="AI213" i="8" s="1"/>
  <c r="CWE48" i="9"/>
  <c r="AJ213" i="8" s="1"/>
  <c r="CWF48" i="9"/>
  <c r="AK213" i="8" s="1"/>
  <c r="CWG48" i="9"/>
  <c r="AL213" i="8" s="1"/>
  <c r="CWH48" i="9"/>
  <c r="AM213" i="8" s="1"/>
  <c r="CWI48" i="9"/>
  <c r="AN213" i="8" s="1"/>
  <c r="CWJ48" i="9"/>
  <c r="AO213" i="8" s="1"/>
  <c r="CWK48" i="9"/>
  <c r="AP213" i="8" s="1"/>
  <c r="CWL48" i="9"/>
  <c r="AQ213" i="8" s="1"/>
  <c r="CWM48" i="9"/>
  <c r="AR213" i="8" s="1"/>
  <c r="CWN48" i="9"/>
  <c r="AS213" i="8" s="1"/>
  <c r="CWO48" i="9"/>
  <c r="AT213" i="8" s="1"/>
  <c r="CTF48" i="9"/>
  <c r="C212" i="8" s="1"/>
  <c r="CTG48" i="9"/>
  <c r="D212" i="8" s="1"/>
  <c r="CTH48" i="9"/>
  <c r="E212" i="8" s="1"/>
  <c r="CTI48" i="9"/>
  <c r="F212" i="8" s="1"/>
  <c r="CTJ48" i="9"/>
  <c r="G212" i="8" s="1"/>
  <c r="CTK48" i="9"/>
  <c r="H212" i="8" s="1"/>
  <c r="CTL48" i="9"/>
  <c r="I212" i="8" s="1"/>
  <c r="CTM48" i="9"/>
  <c r="J212" i="8" s="1"/>
  <c r="CTN48" i="9"/>
  <c r="K212" i="8" s="1"/>
  <c r="CTO48" i="9"/>
  <c r="L212" i="8" s="1"/>
  <c r="CTP48" i="9"/>
  <c r="M212" i="8" s="1"/>
  <c r="CTQ48" i="9"/>
  <c r="N212" i="8" s="1"/>
  <c r="CTR48" i="9"/>
  <c r="O212" i="8" s="1"/>
  <c r="CTS48" i="9"/>
  <c r="P212" i="8" s="1"/>
  <c r="CTT48" i="9"/>
  <c r="Q212" i="8" s="1"/>
  <c r="CTU48" i="9"/>
  <c r="R212" i="8" s="1"/>
  <c r="CTV48" i="9"/>
  <c r="S212" i="8" s="1"/>
  <c r="CTW48" i="9"/>
  <c r="T212" i="8" s="1"/>
  <c r="CTX48" i="9"/>
  <c r="U212" i="8" s="1"/>
  <c r="CTY48" i="9"/>
  <c r="V212" i="8" s="1"/>
  <c r="CTZ48" i="9"/>
  <c r="W212" i="8" s="1"/>
  <c r="CUA48" i="9"/>
  <c r="X212" i="8" s="1"/>
  <c r="CUB48" i="9"/>
  <c r="Y212" i="8" s="1"/>
  <c r="CUC48" i="9"/>
  <c r="Z212" i="8" s="1"/>
  <c r="CUD48" i="9"/>
  <c r="AA212" i="8" s="1"/>
  <c r="CUE48" i="9"/>
  <c r="AB212" i="8" s="1"/>
  <c r="CUF48" i="9"/>
  <c r="AC212" i="8" s="1"/>
  <c r="CUG48" i="9"/>
  <c r="AD212" i="8" s="1"/>
  <c r="CUH48" i="9"/>
  <c r="AE212" i="8" s="1"/>
  <c r="CUI48" i="9"/>
  <c r="AF212" i="8" s="1"/>
  <c r="CUJ48" i="9"/>
  <c r="AG212" i="8" s="1"/>
  <c r="CUK48" i="9"/>
  <c r="AH212" i="8" s="1"/>
  <c r="CUL48" i="9"/>
  <c r="AI212" i="8" s="1"/>
  <c r="CUM48" i="9"/>
  <c r="AJ212" i="8" s="1"/>
  <c r="CUN48" i="9"/>
  <c r="AK212" i="8" s="1"/>
  <c r="CUO48" i="9"/>
  <c r="AL212" i="8" s="1"/>
  <c r="CUP48" i="9"/>
  <c r="AM212" i="8" s="1"/>
  <c r="CUQ48" i="9"/>
  <c r="AN212" i="8" s="1"/>
  <c r="CUR48" i="9"/>
  <c r="AO212" i="8" s="1"/>
  <c r="CUS48" i="9"/>
  <c r="AP212" i="8" s="1"/>
  <c r="CUT48" i="9"/>
  <c r="AQ212" i="8" s="1"/>
  <c r="CUU48" i="9"/>
  <c r="AR212" i="8" s="1"/>
  <c r="CUV48" i="9"/>
  <c r="AS212" i="8" s="1"/>
  <c r="CUW48" i="9"/>
  <c r="AT212" i="8" s="1"/>
  <c r="CRN48" i="9"/>
  <c r="C211" i="8" s="1"/>
  <c r="CRO48" i="9"/>
  <c r="D211" i="8" s="1"/>
  <c r="CRP48" i="9"/>
  <c r="E211" i="8" s="1"/>
  <c r="CRQ48" i="9"/>
  <c r="F211" i="8" s="1"/>
  <c r="CRR48" i="9"/>
  <c r="G211" i="8" s="1"/>
  <c r="CRS48" i="9"/>
  <c r="H211" i="8" s="1"/>
  <c r="CRT48" i="9"/>
  <c r="I211" i="8" s="1"/>
  <c r="CRU48" i="9"/>
  <c r="J211" i="8" s="1"/>
  <c r="CRV48" i="9"/>
  <c r="K211" i="8" s="1"/>
  <c r="CRW48" i="9"/>
  <c r="L211" i="8" s="1"/>
  <c r="CRX48" i="9"/>
  <c r="M211" i="8" s="1"/>
  <c r="CRY48" i="9"/>
  <c r="N211" i="8" s="1"/>
  <c r="CRZ48" i="9"/>
  <c r="O211" i="8" s="1"/>
  <c r="CSA48" i="9"/>
  <c r="P211" i="8" s="1"/>
  <c r="CSB48" i="9"/>
  <c r="Q211" i="8" s="1"/>
  <c r="CSC48" i="9"/>
  <c r="R211" i="8" s="1"/>
  <c r="CSD48" i="9"/>
  <c r="S211" i="8" s="1"/>
  <c r="CSE48" i="9"/>
  <c r="T211" i="8" s="1"/>
  <c r="CSF48" i="9"/>
  <c r="U211" i="8" s="1"/>
  <c r="CSG48" i="9"/>
  <c r="V211" i="8" s="1"/>
  <c r="CSH48" i="9"/>
  <c r="W211" i="8" s="1"/>
  <c r="CSI48" i="9"/>
  <c r="X211" i="8" s="1"/>
  <c r="CSJ48" i="9"/>
  <c r="Y211" i="8" s="1"/>
  <c r="CSK48" i="9"/>
  <c r="Z211" i="8" s="1"/>
  <c r="CSL48" i="9"/>
  <c r="AA211" i="8" s="1"/>
  <c r="CSM48" i="9"/>
  <c r="AB211" i="8" s="1"/>
  <c r="CSN48" i="9"/>
  <c r="AC211" i="8" s="1"/>
  <c r="CSO48" i="9"/>
  <c r="AD211" i="8" s="1"/>
  <c r="CSP48" i="9"/>
  <c r="AE211" i="8" s="1"/>
  <c r="CSQ48" i="9"/>
  <c r="AF211" i="8" s="1"/>
  <c r="CSR48" i="9"/>
  <c r="AG211" i="8" s="1"/>
  <c r="CSS48" i="9"/>
  <c r="AH211" i="8" s="1"/>
  <c r="CST48" i="9"/>
  <c r="AI211" i="8" s="1"/>
  <c r="CSU48" i="9"/>
  <c r="AJ211" i="8" s="1"/>
  <c r="CSV48" i="9"/>
  <c r="AK211" i="8" s="1"/>
  <c r="CSW48" i="9"/>
  <c r="AL211" i="8" s="1"/>
  <c r="CSX48" i="9"/>
  <c r="AM211" i="8" s="1"/>
  <c r="CSY48" i="9"/>
  <c r="AN211" i="8" s="1"/>
  <c r="CSZ48" i="9"/>
  <c r="AO211" i="8" s="1"/>
  <c r="CTA48" i="9"/>
  <c r="AP211" i="8" s="1"/>
  <c r="CTB48" i="9"/>
  <c r="AQ211" i="8" s="1"/>
  <c r="CTC48" i="9"/>
  <c r="AR211" i="8" s="1"/>
  <c r="CTD48" i="9"/>
  <c r="AS211" i="8" s="1"/>
  <c r="CTE48" i="9"/>
  <c r="AT211" i="8" s="1"/>
  <c r="CPV48" i="9"/>
  <c r="C210" i="8" s="1"/>
  <c r="CPW48" i="9"/>
  <c r="D210" i="8" s="1"/>
  <c r="CPX48" i="9"/>
  <c r="E210" i="8" s="1"/>
  <c r="CPY48" i="9"/>
  <c r="F210" i="8" s="1"/>
  <c r="CPZ48" i="9"/>
  <c r="G210" i="8" s="1"/>
  <c r="CQA48" i="9"/>
  <c r="H210" i="8" s="1"/>
  <c r="CQB48" i="9"/>
  <c r="I210" i="8" s="1"/>
  <c r="CQC48" i="9"/>
  <c r="J210" i="8" s="1"/>
  <c r="CQD48" i="9"/>
  <c r="K210" i="8" s="1"/>
  <c r="CQE48" i="9"/>
  <c r="L210" i="8" s="1"/>
  <c r="CQF48" i="9"/>
  <c r="M210" i="8" s="1"/>
  <c r="CQG48" i="9"/>
  <c r="N210" i="8" s="1"/>
  <c r="CQH48" i="9"/>
  <c r="O210" i="8" s="1"/>
  <c r="CQI48" i="9"/>
  <c r="P210" i="8" s="1"/>
  <c r="CQJ48" i="9"/>
  <c r="Q210" i="8" s="1"/>
  <c r="CQK48" i="9"/>
  <c r="R210" i="8" s="1"/>
  <c r="CQL48" i="9"/>
  <c r="S210" i="8" s="1"/>
  <c r="CQM48" i="9"/>
  <c r="T210" i="8" s="1"/>
  <c r="CQN48" i="9"/>
  <c r="U210" i="8" s="1"/>
  <c r="CQO48" i="9"/>
  <c r="V210" i="8" s="1"/>
  <c r="CQP48" i="9"/>
  <c r="W210" i="8" s="1"/>
  <c r="CQQ48" i="9"/>
  <c r="X210" i="8" s="1"/>
  <c r="CQR48" i="9"/>
  <c r="Y210" i="8" s="1"/>
  <c r="CQS48" i="9"/>
  <c r="Z210" i="8" s="1"/>
  <c r="CQT48" i="9"/>
  <c r="AA210" i="8" s="1"/>
  <c r="CQU48" i="9"/>
  <c r="AB210" i="8" s="1"/>
  <c r="CQV48" i="9"/>
  <c r="AC210" i="8" s="1"/>
  <c r="CQW48" i="9"/>
  <c r="AD210" i="8" s="1"/>
  <c r="CQX48" i="9"/>
  <c r="AE210" i="8" s="1"/>
  <c r="CQY48" i="9"/>
  <c r="AF210" i="8" s="1"/>
  <c r="CQZ48" i="9"/>
  <c r="AG210" i="8" s="1"/>
  <c r="CRA48" i="9"/>
  <c r="AH210" i="8" s="1"/>
  <c r="CRB48" i="9"/>
  <c r="AI210" i="8" s="1"/>
  <c r="CRC48" i="9"/>
  <c r="AJ210" i="8" s="1"/>
  <c r="CRD48" i="9"/>
  <c r="AK210" i="8" s="1"/>
  <c r="CRE48" i="9"/>
  <c r="AL210" i="8" s="1"/>
  <c r="CRF48" i="9"/>
  <c r="AM210" i="8" s="1"/>
  <c r="CRG48" i="9"/>
  <c r="AN210" i="8" s="1"/>
  <c r="CRH48" i="9"/>
  <c r="AO210" i="8" s="1"/>
  <c r="CRI48" i="9"/>
  <c r="AP210" i="8" s="1"/>
  <c r="CRJ48" i="9"/>
  <c r="AQ210" i="8" s="1"/>
  <c r="CRK48" i="9"/>
  <c r="AR210" i="8" s="1"/>
  <c r="CRL48" i="9"/>
  <c r="AS210" i="8" s="1"/>
  <c r="CRM48" i="9"/>
  <c r="AT210" i="8" s="1"/>
  <c r="COD48" i="9"/>
  <c r="C209" i="8" s="1"/>
  <c r="COE48" i="9"/>
  <c r="D209" i="8" s="1"/>
  <c r="COF48" i="9"/>
  <c r="E209" i="8" s="1"/>
  <c r="COG48" i="9"/>
  <c r="F209" i="8" s="1"/>
  <c r="COH48" i="9"/>
  <c r="G209" i="8" s="1"/>
  <c r="COI48" i="9"/>
  <c r="H209" i="8" s="1"/>
  <c r="COJ48" i="9"/>
  <c r="I209" i="8" s="1"/>
  <c r="COK48" i="9"/>
  <c r="J209" i="8" s="1"/>
  <c r="COL48" i="9"/>
  <c r="K209" i="8" s="1"/>
  <c r="COM48" i="9"/>
  <c r="L209" i="8" s="1"/>
  <c r="CON48" i="9"/>
  <c r="M209" i="8" s="1"/>
  <c r="COO48" i="9"/>
  <c r="N209" i="8" s="1"/>
  <c r="COP48" i="9"/>
  <c r="O209" i="8" s="1"/>
  <c r="COQ48" i="9"/>
  <c r="P209" i="8" s="1"/>
  <c r="COR48" i="9"/>
  <c r="Q209" i="8" s="1"/>
  <c r="COS48" i="9"/>
  <c r="R209" i="8" s="1"/>
  <c r="COT48" i="9"/>
  <c r="S209" i="8" s="1"/>
  <c r="COU48" i="9"/>
  <c r="T209" i="8" s="1"/>
  <c r="COV48" i="9"/>
  <c r="U209" i="8" s="1"/>
  <c r="COW48" i="9"/>
  <c r="V209" i="8" s="1"/>
  <c r="COX48" i="9"/>
  <c r="W209" i="8" s="1"/>
  <c r="COY48" i="9"/>
  <c r="X209" i="8" s="1"/>
  <c r="COZ48" i="9"/>
  <c r="Y209" i="8" s="1"/>
  <c r="CPA48" i="9"/>
  <c r="Z209" i="8" s="1"/>
  <c r="CPB48" i="9"/>
  <c r="AA209" i="8" s="1"/>
  <c r="CPC48" i="9"/>
  <c r="AB209" i="8" s="1"/>
  <c r="CPD48" i="9"/>
  <c r="AC209" i="8" s="1"/>
  <c r="CPE48" i="9"/>
  <c r="AD209" i="8" s="1"/>
  <c r="CPF48" i="9"/>
  <c r="AE209" i="8" s="1"/>
  <c r="CPG48" i="9"/>
  <c r="AF209" i="8" s="1"/>
  <c r="CPH48" i="9"/>
  <c r="AG209" i="8" s="1"/>
  <c r="CPI48" i="9"/>
  <c r="AH209" i="8" s="1"/>
  <c r="CPJ48" i="9"/>
  <c r="AI209" i="8" s="1"/>
  <c r="CPK48" i="9"/>
  <c r="AJ209" i="8" s="1"/>
  <c r="CPL48" i="9"/>
  <c r="AK209" i="8" s="1"/>
  <c r="CPM48" i="9"/>
  <c r="AL209" i="8" s="1"/>
  <c r="CPN48" i="9"/>
  <c r="AM209" i="8" s="1"/>
  <c r="CPO48" i="9"/>
  <c r="AN209" i="8" s="1"/>
  <c r="CPP48" i="9"/>
  <c r="AO209" i="8" s="1"/>
  <c r="CPQ48" i="9"/>
  <c r="AP209" i="8" s="1"/>
  <c r="CPR48" i="9"/>
  <c r="AQ209" i="8" s="1"/>
  <c r="CPS48" i="9"/>
  <c r="AR209" i="8" s="1"/>
  <c r="CPT48" i="9"/>
  <c r="AS209" i="8" s="1"/>
  <c r="CPU48" i="9"/>
  <c r="AT209" i="8" s="1"/>
  <c r="CML48" i="9"/>
  <c r="C208" i="8" s="1"/>
  <c r="CMM48" i="9"/>
  <c r="D208" i="8" s="1"/>
  <c r="CMN48" i="9"/>
  <c r="E208" i="8" s="1"/>
  <c r="CMO48" i="9"/>
  <c r="F208" i="8" s="1"/>
  <c r="CMP48" i="9"/>
  <c r="G208" i="8" s="1"/>
  <c r="CMQ48" i="9"/>
  <c r="H208" i="8" s="1"/>
  <c r="CMR48" i="9"/>
  <c r="I208" i="8" s="1"/>
  <c r="CMS48" i="9"/>
  <c r="J208" i="8" s="1"/>
  <c r="CMT48" i="9"/>
  <c r="K208" i="8" s="1"/>
  <c r="CMU48" i="9"/>
  <c r="L208" i="8" s="1"/>
  <c r="CMV48" i="9"/>
  <c r="M208" i="8" s="1"/>
  <c r="CMW48" i="9"/>
  <c r="N208" i="8" s="1"/>
  <c r="CMX48" i="9"/>
  <c r="O208" i="8" s="1"/>
  <c r="CMY48" i="9"/>
  <c r="P208" i="8" s="1"/>
  <c r="CMZ48" i="9"/>
  <c r="Q208" i="8" s="1"/>
  <c r="CNA48" i="9"/>
  <c r="R208" i="8" s="1"/>
  <c r="CNB48" i="9"/>
  <c r="S208" i="8" s="1"/>
  <c r="CNC48" i="9"/>
  <c r="T208" i="8" s="1"/>
  <c r="CND48" i="9"/>
  <c r="U208" i="8" s="1"/>
  <c r="CNE48" i="9"/>
  <c r="V208" i="8" s="1"/>
  <c r="CNF48" i="9"/>
  <c r="W208" i="8" s="1"/>
  <c r="CNG48" i="9"/>
  <c r="X208" i="8" s="1"/>
  <c r="CNH48" i="9"/>
  <c r="Y208" i="8" s="1"/>
  <c r="CNI48" i="9"/>
  <c r="Z208" i="8" s="1"/>
  <c r="CNJ48" i="9"/>
  <c r="AA208" i="8" s="1"/>
  <c r="CNK48" i="9"/>
  <c r="AB208" i="8" s="1"/>
  <c r="CNL48" i="9"/>
  <c r="AC208" i="8" s="1"/>
  <c r="CNM48" i="9"/>
  <c r="AD208" i="8" s="1"/>
  <c r="CNN48" i="9"/>
  <c r="AE208" i="8" s="1"/>
  <c r="CNO48" i="9"/>
  <c r="AF208" i="8" s="1"/>
  <c r="CNP48" i="9"/>
  <c r="AG208" i="8" s="1"/>
  <c r="CNQ48" i="9"/>
  <c r="AH208" i="8" s="1"/>
  <c r="CNR48" i="9"/>
  <c r="AI208" i="8" s="1"/>
  <c r="CNS48" i="9"/>
  <c r="AJ208" i="8" s="1"/>
  <c r="CNT48" i="9"/>
  <c r="AK208" i="8" s="1"/>
  <c r="CNU48" i="9"/>
  <c r="AL208" i="8" s="1"/>
  <c r="CNV48" i="9"/>
  <c r="AM208" i="8" s="1"/>
  <c r="CNW48" i="9"/>
  <c r="AN208" i="8" s="1"/>
  <c r="CNX48" i="9"/>
  <c r="AO208" i="8" s="1"/>
  <c r="CNY48" i="9"/>
  <c r="AP208" i="8" s="1"/>
  <c r="CNZ48" i="9"/>
  <c r="AQ208" i="8" s="1"/>
  <c r="COA48" i="9"/>
  <c r="AR208" i="8" s="1"/>
  <c r="COB48" i="9"/>
  <c r="AS208" i="8" s="1"/>
  <c r="COC48" i="9"/>
  <c r="AT208" i="8" s="1"/>
  <c r="CKT48" i="9"/>
  <c r="C207" i="8" s="1"/>
  <c r="CKU48" i="9"/>
  <c r="D207" i="8" s="1"/>
  <c r="CKV48" i="9"/>
  <c r="E207" i="8" s="1"/>
  <c r="CKW48" i="9"/>
  <c r="F207" i="8" s="1"/>
  <c r="CKX48" i="9"/>
  <c r="G207" i="8" s="1"/>
  <c r="CKY48" i="9"/>
  <c r="H207" i="8" s="1"/>
  <c r="CKZ48" i="9"/>
  <c r="I207" i="8" s="1"/>
  <c r="CLA48" i="9"/>
  <c r="J207" i="8" s="1"/>
  <c r="CLB48" i="9"/>
  <c r="K207" i="8" s="1"/>
  <c r="CLC48" i="9"/>
  <c r="L207" i="8" s="1"/>
  <c r="CLD48" i="9"/>
  <c r="M207" i="8" s="1"/>
  <c r="CLE48" i="9"/>
  <c r="N207" i="8" s="1"/>
  <c r="CLF48" i="9"/>
  <c r="O207" i="8" s="1"/>
  <c r="CLG48" i="9"/>
  <c r="P207" i="8" s="1"/>
  <c r="CLH48" i="9"/>
  <c r="Q207" i="8" s="1"/>
  <c r="CLI48" i="9"/>
  <c r="R207" i="8" s="1"/>
  <c r="CLJ48" i="9"/>
  <c r="S207" i="8" s="1"/>
  <c r="CLK48" i="9"/>
  <c r="T207" i="8" s="1"/>
  <c r="CLL48" i="9"/>
  <c r="U207" i="8" s="1"/>
  <c r="CLM48" i="9"/>
  <c r="V207" i="8" s="1"/>
  <c r="CLN48" i="9"/>
  <c r="W207" i="8" s="1"/>
  <c r="CLO48" i="9"/>
  <c r="X207" i="8" s="1"/>
  <c r="CLP48" i="9"/>
  <c r="Y207" i="8" s="1"/>
  <c r="CLQ48" i="9"/>
  <c r="Z207" i="8" s="1"/>
  <c r="CLR48" i="9"/>
  <c r="AA207" i="8" s="1"/>
  <c r="CLS48" i="9"/>
  <c r="AB207" i="8" s="1"/>
  <c r="CLT48" i="9"/>
  <c r="AC207" i="8" s="1"/>
  <c r="CLU48" i="9"/>
  <c r="AD207" i="8" s="1"/>
  <c r="CLV48" i="9"/>
  <c r="AE207" i="8" s="1"/>
  <c r="CLW48" i="9"/>
  <c r="AF207" i="8" s="1"/>
  <c r="CLX48" i="9"/>
  <c r="AG207" i="8" s="1"/>
  <c r="CLY48" i="9"/>
  <c r="AH207" i="8" s="1"/>
  <c r="CLZ48" i="9"/>
  <c r="AI207" i="8" s="1"/>
  <c r="CMA48" i="9"/>
  <c r="AJ207" i="8" s="1"/>
  <c r="CMB48" i="9"/>
  <c r="AK207" i="8" s="1"/>
  <c r="CMC48" i="9"/>
  <c r="AL207" i="8" s="1"/>
  <c r="CMD48" i="9"/>
  <c r="AM207" i="8" s="1"/>
  <c r="CME48" i="9"/>
  <c r="AN207" i="8" s="1"/>
  <c r="CMF48" i="9"/>
  <c r="AO207" i="8" s="1"/>
  <c r="CMG48" i="9"/>
  <c r="AP207" i="8" s="1"/>
  <c r="CMH48" i="9"/>
  <c r="AQ207" i="8" s="1"/>
  <c r="CMI48" i="9"/>
  <c r="AR207" i="8" s="1"/>
  <c r="CMJ48" i="9"/>
  <c r="AS207" i="8" s="1"/>
  <c r="CMK48" i="9"/>
  <c r="AT207" i="8" s="1"/>
  <c r="CJB48" i="9"/>
  <c r="C206" i="8" s="1"/>
  <c r="CJC48" i="9"/>
  <c r="D206" i="8" s="1"/>
  <c r="CJD48" i="9"/>
  <c r="E206" i="8" s="1"/>
  <c r="CJE48" i="9"/>
  <c r="F206" i="8" s="1"/>
  <c r="CJF48" i="9"/>
  <c r="G206" i="8" s="1"/>
  <c r="CJG48" i="9"/>
  <c r="H206" i="8" s="1"/>
  <c r="CJH48" i="9"/>
  <c r="I206" i="8" s="1"/>
  <c r="CJI48" i="9"/>
  <c r="J206" i="8" s="1"/>
  <c r="CJJ48" i="9"/>
  <c r="K206" i="8" s="1"/>
  <c r="CJK48" i="9"/>
  <c r="L206" i="8" s="1"/>
  <c r="CJL48" i="9"/>
  <c r="M206" i="8" s="1"/>
  <c r="CJM48" i="9"/>
  <c r="N206" i="8" s="1"/>
  <c r="CJN48" i="9"/>
  <c r="O206" i="8" s="1"/>
  <c r="CJO48" i="9"/>
  <c r="P206" i="8" s="1"/>
  <c r="CJP48" i="9"/>
  <c r="Q206" i="8" s="1"/>
  <c r="CJQ48" i="9"/>
  <c r="R206" i="8" s="1"/>
  <c r="CJR48" i="9"/>
  <c r="S206" i="8" s="1"/>
  <c r="CJS48" i="9"/>
  <c r="T206" i="8" s="1"/>
  <c r="CJT48" i="9"/>
  <c r="U206" i="8" s="1"/>
  <c r="CJU48" i="9"/>
  <c r="V206" i="8" s="1"/>
  <c r="CJV48" i="9"/>
  <c r="W206" i="8" s="1"/>
  <c r="CJW48" i="9"/>
  <c r="X206" i="8" s="1"/>
  <c r="CJX48" i="9"/>
  <c r="Y206" i="8" s="1"/>
  <c r="CJY48" i="9"/>
  <c r="Z206" i="8" s="1"/>
  <c r="CJZ48" i="9"/>
  <c r="AA206" i="8" s="1"/>
  <c r="CKA48" i="9"/>
  <c r="AB206" i="8" s="1"/>
  <c r="CKB48" i="9"/>
  <c r="AC206" i="8" s="1"/>
  <c r="CKC48" i="9"/>
  <c r="AD206" i="8" s="1"/>
  <c r="CKD48" i="9"/>
  <c r="AE206" i="8" s="1"/>
  <c r="CKE48" i="9"/>
  <c r="AF206" i="8" s="1"/>
  <c r="CKF48" i="9"/>
  <c r="AG206" i="8" s="1"/>
  <c r="CKG48" i="9"/>
  <c r="AH206" i="8" s="1"/>
  <c r="CKH48" i="9"/>
  <c r="AI206" i="8" s="1"/>
  <c r="CKI48" i="9"/>
  <c r="AJ206" i="8" s="1"/>
  <c r="CKJ48" i="9"/>
  <c r="AK206" i="8" s="1"/>
  <c r="CKK48" i="9"/>
  <c r="AL206" i="8" s="1"/>
  <c r="CKL48" i="9"/>
  <c r="AM206" i="8" s="1"/>
  <c r="CKM48" i="9"/>
  <c r="AN206" i="8" s="1"/>
  <c r="CKN48" i="9"/>
  <c r="AO206" i="8" s="1"/>
  <c r="CKO48" i="9"/>
  <c r="AP206" i="8" s="1"/>
  <c r="CKP48" i="9"/>
  <c r="AQ206" i="8" s="1"/>
  <c r="CKQ48" i="9"/>
  <c r="AR206" i="8" s="1"/>
  <c r="CKR48" i="9"/>
  <c r="AS206" i="8" s="1"/>
  <c r="CKS48" i="9"/>
  <c r="AT206" i="8" s="1"/>
  <c r="CHJ48" i="9"/>
  <c r="C205" i="8" s="1"/>
  <c r="CHK48" i="9"/>
  <c r="D205" i="8" s="1"/>
  <c r="CHL48" i="9"/>
  <c r="E205" i="8" s="1"/>
  <c r="CHM48" i="9"/>
  <c r="F205" i="8" s="1"/>
  <c r="CHN48" i="9"/>
  <c r="G205" i="8" s="1"/>
  <c r="CHO48" i="9"/>
  <c r="H205" i="8" s="1"/>
  <c r="CHP48" i="9"/>
  <c r="I205" i="8" s="1"/>
  <c r="CHQ48" i="9"/>
  <c r="J205" i="8" s="1"/>
  <c r="CHR48" i="9"/>
  <c r="K205" i="8" s="1"/>
  <c r="CHS48" i="9"/>
  <c r="L205" i="8" s="1"/>
  <c r="CHT48" i="9"/>
  <c r="M205" i="8" s="1"/>
  <c r="CHU48" i="9"/>
  <c r="N205" i="8" s="1"/>
  <c r="CHV48" i="9"/>
  <c r="O205" i="8" s="1"/>
  <c r="CHW48" i="9"/>
  <c r="P205" i="8" s="1"/>
  <c r="CHX48" i="9"/>
  <c r="Q205" i="8" s="1"/>
  <c r="CHY48" i="9"/>
  <c r="R205" i="8" s="1"/>
  <c r="CHZ48" i="9"/>
  <c r="S205" i="8" s="1"/>
  <c r="CIA48" i="9"/>
  <c r="T205" i="8" s="1"/>
  <c r="CIB48" i="9"/>
  <c r="U205" i="8" s="1"/>
  <c r="CIC48" i="9"/>
  <c r="V205" i="8" s="1"/>
  <c r="CID48" i="9"/>
  <c r="W205" i="8" s="1"/>
  <c r="CIE48" i="9"/>
  <c r="X205" i="8" s="1"/>
  <c r="CIF48" i="9"/>
  <c r="Y205" i="8" s="1"/>
  <c r="CIG48" i="9"/>
  <c r="Z205" i="8" s="1"/>
  <c r="CIH48" i="9"/>
  <c r="AA205" i="8" s="1"/>
  <c r="CII48" i="9"/>
  <c r="AB205" i="8" s="1"/>
  <c r="CIJ48" i="9"/>
  <c r="AC205" i="8" s="1"/>
  <c r="CIK48" i="9"/>
  <c r="AD205" i="8" s="1"/>
  <c r="CIL48" i="9"/>
  <c r="AE205" i="8" s="1"/>
  <c r="CIM48" i="9"/>
  <c r="AF205" i="8" s="1"/>
  <c r="CIN48" i="9"/>
  <c r="AG205" i="8" s="1"/>
  <c r="CIO48" i="9"/>
  <c r="AH205" i="8" s="1"/>
  <c r="CIP48" i="9"/>
  <c r="AI205" i="8" s="1"/>
  <c r="CIQ48" i="9"/>
  <c r="AJ205" i="8" s="1"/>
  <c r="CIR48" i="9"/>
  <c r="AK205" i="8" s="1"/>
  <c r="CIS48" i="9"/>
  <c r="AL205" i="8" s="1"/>
  <c r="CIT48" i="9"/>
  <c r="AM205" i="8" s="1"/>
  <c r="CIU48" i="9"/>
  <c r="AN205" i="8" s="1"/>
  <c r="CIV48" i="9"/>
  <c r="AO205" i="8" s="1"/>
  <c r="CIW48" i="9"/>
  <c r="AP205" i="8" s="1"/>
  <c r="CIX48" i="9"/>
  <c r="AQ205" i="8" s="1"/>
  <c r="CIY48" i="9"/>
  <c r="AR205" i="8" s="1"/>
  <c r="CIZ48" i="9"/>
  <c r="AS205" i="8" s="1"/>
  <c r="CJA48" i="9"/>
  <c r="AT205" i="8" s="1"/>
  <c r="CFR48" i="9"/>
  <c r="C204" i="8" s="1"/>
  <c r="CFS48" i="9"/>
  <c r="D204" i="8" s="1"/>
  <c r="CFT48" i="9"/>
  <c r="E204" i="8" s="1"/>
  <c r="CFU48" i="9"/>
  <c r="F204" i="8" s="1"/>
  <c r="CFV48" i="9"/>
  <c r="G204" i="8" s="1"/>
  <c r="CFW48" i="9"/>
  <c r="H204" i="8" s="1"/>
  <c r="CFX48" i="9"/>
  <c r="I204" i="8" s="1"/>
  <c r="CFY48" i="9"/>
  <c r="J204" i="8" s="1"/>
  <c r="CFZ48" i="9"/>
  <c r="K204" i="8" s="1"/>
  <c r="CGA48" i="9"/>
  <c r="L204" i="8" s="1"/>
  <c r="CGB48" i="9"/>
  <c r="M204" i="8" s="1"/>
  <c r="CGC48" i="9"/>
  <c r="N204" i="8" s="1"/>
  <c r="CGD48" i="9"/>
  <c r="O204" i="8" s="1"/>
  <c r="CGE48" i="9"/>
  <c r="P204" i="8" s="1"/>
  <c r="CGF48" i="9"/>
  <c r="Q204" i="8" s="1"/>
  <c r="CGG48" i="9"/>
  <c r="R204" i="8" s="1"/>
  <c r="CGH48" i="9"/>
  <c r="S204" i="8" s="1"/>
  <c r="CGI48" i="9"/>
  <c r="T204" i="8" s="1"/>
  <c r="CGJ48" i="9"/>
  <c r="U204" i="8" s="1"/>
  <c r="CGK48" i="9"/>
  <c r="V204" i="8" s="1"/>
  <c r="CGL48" i="9"/>
  <c r="W204" i="8" s="1"/>
  <c r="CGM48" i="9"/>
  <c r="X204" i="8" s="1"/>
  <c r="CGN48" i="9"/>
  <c r="Y204" i="8" s="1"/>
  <c r="CGO48" i="9"/>
  <c r="Z204" i="8" s="1"/>
  <c r="CGP48" i="9"/>
  <c r="AA204" i="8" s="1"/>
  <c r="CGQ48" i="9"/>
  <c r="AB204" i="8" s="1"/>
  <c r="CGR48" i="9"/>
  <c r="AC204" i="8" s="1"/>
  <c r="CGS48" i="9"/>
  <c r="AD204" i="8" s="1"/>
  <c r="CGT48" i="9"/>
  <c r="AE204" i="8" s="1"/>
  <c r="CGU48" i="9"/>
  <c r="AF204" i="8" s="1"/>
  <c r="CGV48" i="9"/>
  <c r="AG204" i="8" s="1"/>
  <c r="CGW48" i="9"/>
  <c r="AH204" i="8" s="1"/>
  <c r="CGX48" i="9"/>
  <c r="AI204" i="8" s="1"/>
  <c r="CGY48" i="9"/>
  <c r="AJ204" i="8" s="1"/>
  <c r="CGZ48" i="9"/>
  <c r="AK204" i="8" s="1"/>
  <c r="CHA48" i="9"/>
  <c r="AL204" i="8" s="1"/>
  <c r="CHB48" i="9"/>
  <c r="AM204" i="8" s="1"/>
  <c r="CHC48" i="9"/>
  <c r="AN204" i="8" s="1"/>
  <c r="CHD48" i="9"/>
  <c r="AO204" i="8" s="1"/>
  <c r="CHE48" i="9"/>
  <c r="AP204" i="8" s="1"/>
  <c r="CHF48" i="9"/>
  <c r="AQ204" i="8" s="1"/>
  <c r="CHG48" i="9"/>
  <c r="AR204" i="8" s="1"/>
  <c r="CHH48" i="9"/>
  <c r="AS204" i="8" s="1"/>
  <c r="CHI48" i="9"/>
  <c r="AT204" i="8" s="1"/>
  <c r="CDZ48" i="9"/>
  <c r="C203" i="8" s="1"/>
  <c r="CEA48" i="9"/>
  <c r="D203" i="8" s="1"/>
  <c r="CEB48" i="9"/>
  <c r="E203" i="8" s="1"/>
  <c r="CEC48" i="9"/>
  <c r="F203" i="8" s="1"/>
  <c r="CED48" i="9"/>
  <c r="G203" i="8" s="1"/>
  <c r="CEE48" i="9"/>
  <c r="H203" i="8" s="1"/>
  <c r="CEF48" i="9"/>
  <c r="I203" i="8" s="1"/>
  <c r="CEG48" i="9"/>
  <c r="J203" i="8" s="1"/>
  <c r="CEH48" i="9"/>
  <c r="K203" i="8" s="1"/>
  <c r="CEI48" i="9"/>
  <c r="L203" i="8" s="1"/>
  <c r="CEJ48" i="9"/>
  <c r="M203" i="8" s="1"/>
  <c r="CEK48" i="9"/>
  <c r="N203" i="8" s="1"/>
  <c r="CEL48" i="9"/>
  <c r="O203" i="8" s="1"/>
  <c r="CEM48" i="9"/>
  <c r="P203" i="8" s="1"/>
  <c r="CEN48" i="9"/>
  <c r="Q203" i="8" s="1"/>
  <c r="CEO48" i="9"/>
  <c r="R203" i="8" s="1"/>
  <c r="CEP48" i="9"/>
  <c r="S203" i="8" s="1"/>
  <c r="CEQ48" i="9"/>
  <c r="T203" i="8" s="1"/>
  <c r="CER48" i="9"/>
  <c r="U203" i="8" s="1"/>
  <c r="CES48" i="9"/>
  <c r="V203" i="8" s="1"/>
  <c r="CET48" i="9"/>
  <c r="W203" i="8" s="1"/>
  <c r="CEU48" i="9"/>
  <c r="X203" i="8" s="1"/>
  <c r="CEV48" i="9"/>
  <c r="Y203" i="8" s="1"/>
  <c r="CEW48" i="9"/>
  <c r="Z203" i="8" s="1"/>
  <c r="CEX48" i="9"/>
  <c r="AA203" i="8" s="1"/>
  <c r="CEY48" i="9"/>
  <c r="AB203" i="8" s="1"/>
  <c r="CEZ48" i="9"/>
  <c r="AC203" i="8" s="1"/>
  <c r="CFA48" i="9"/>
  <c r="AD203" i="8" s="1"/>
  <c r="CFB48" i="9"/>
  <c r="AE203" i="8" s="1"/>
  <c r="CFC48" i="9"/>
  <c r="AF203" i="8" s="1"/>
  <c r="CFD48" i="9"/>
  <c r="AG203" i="8" s="1"/>
  <c r="CFE48" i="9"/>
  <c r="AH203" i="8" s="1"/>
  <c r="CFF48" i="9"/>
  <c r="AI203" i="8" s="1"/>
  <c r="CFG48" i="9"/>
  <c r="AJ203" i="8" s="1"/>
  <c r="CFH48" i="9"/>
  <c r="AK203" i="8" s="1"/>
  <c r="CFI48" i="9"/>
  <c r="AL203" i="8" s="1"/>
  <c r="CFJ48" i="9"/>
  <c r="AM203" i="8" s="1"/>
  <c r="CFK48" i="9"/>
  <c r="AN203" i="8" s="1"/>
  <c r="CFL48" i="9"/>
  <c r="AO203" i="8" s="1"/>
  <c r="CFM48" i="9"/>
  <c r="AP203" i="8" s="1"/>
  <c r="CFN48" i="9"/>
  <c r="AQ203" i="8" s="1"/>
  <c r="CFO48" i="9"/>
  <c r="AR203" i="8" s="1"/>
  <c r="CFP48" i="9"/>
  <c r="AS203" i="8" s="1"/>
  <c r="CFQ48" i="9"/>
  <c r="AT203" i="8" s="1"/>
  <c r="CCH48" i="9"/>
  <c r="C202" i="8" s="1"/>
  <c r="CCI48" i="9"/>
  <c r="D202" i="8" s="1"/>
  <c r="CCJ48" i="9"/>
  <c r="E202" i="8" s="1"/>
  <c r="CCK48" i="9"/>
  <c r="F202" i="8" s="1"/>
  <c r="CCL48" i="9"/>
  <c r="G202" i="8" s="1"/>
  <c r="CCM48" i="9"/>
  <c r="H202" i="8" s="1"/>
  <c r="CCN48" i="9"/>
  <c r="I202" i="8" s="1"/>
  <c r="CCO48" i="9"/>
  <c r="J202" i="8" s="1"/>
  <c r="CCP48" i="9"/>
  <c r="K202" i="8" s="1"/>
  <c r="CCQ48" i="9"/>
  <c r="L202" i="8" s="1"/>
  <c r="CCR48" i="9"/>
  <c r="M202" i="8" s="1"/>
  <c r="CCS48" i="9"/>
  <c r="N202" i="8" s="1"/>
  <c r="CCT48" i="9"/>
  <c r="O202" i="8" s="1"/>
  <c r="CCU48" i="9"/>
  <c r="P202" i="8" s="1"/>
  <c r="CCV48" i="9"/>
  <c r="Q202" i="8" s="1"/>
  <c r="CCW48" i="9"/>
  <c r="R202" i="8" s="1"/>
  <c r="CCX48" i="9"/>
  <c r="S202" i="8" s="1"/>
  <c r="CCY48" i="9"/>
  <c r="T202" i="8" s="1"/>
  <c r="CCZ48" i="9"/>
  <c r="U202" i="8" s="1"/>
  <c r="CDA48" i="9"/>
  <c r="V202" i="8" s="1"/>
  <c r="CDB48" i="9"/>
  <c r="W202" i="8" s="1"/>
  <c r="CDC48" i="9"/>
  <c r="X202" i="8" s="1"/>
  <c r="CDD48" i="9"/>
  <c r="Y202" i="8" s="1"/>
  <c r="CDE48" i="9"/>
  <c r="Z202" i="8" s="1"/>
  <c r="CDF48" i="9"/>
  <c r="AA202" i="8" s="1"/>
  <c r="CDG48" i="9"/>
  <c r="AB202" i="8" s="1"/>
  <c r="CDH48" i="9"/>
  <c r="AC202" i="8" s="1"/>
  <c r="CDI48" i="9"/>
  <c r="AD202" i="8" s="1"/>
  <c r="CDJ48" i="9"/>
  <c r="AE202" i="8" s="1"/>
  <c r="CDK48" i="9"/>
  <c r="AF202" i="8" s="1"/>
  <c r="CDL48" i="9"/>
  <c r="AG202" i="8" s="1"/>
  <c r="CDM48" i="9"/>
  <c r="AH202" i="8" s="1"/>
  <c r="CDN48" i="9"/>
  <c r="AI202" i="8" s="1"/>
  <c r="CDO48" i="9"/>
  <c r="AJ202" i="8" s="1"/>
  <c r="CDP48" i="9"/>
  <c r="AK202" i="8" s="1"/>
  <c r="CDQ48" i="9"/>
  <c r="AL202" i="8" s="1"/>
  <c r="CDR48" i="9"/>
  <c r="AM202" i="8" s="1"/>
  <c r="CDS48" i="9"/>
  <c r="AN202" i="8" s="1"/>
  <c r="CDT48" i="9"/>
  <c r="AO202" i="8" s="1"/>
  <c r="CDU48" i="9"/>
  <c r="AP202" i="8" s="1"/>
  <c r="CDV48" i="9"/>
  <c r="AQ202" i="8" s="1"/>
  <c r="CDW48" i="9"/>
  <c r="AR202" i="8" s="1"/>
  <c r="CDX48" i="9"/>
  <c r="AS202" i="8" s="1"/>
  <c r="CDY48" i="9"/>
  <c r="AT202" i="8" s="1"/>
  <c r="CAP48" i="9"/>
  <c r="C201" i="8" s="1"/>
  <c r="CAQ48" i="9"/>
  <c r="D201" i="8" s="1"/>
  <c r="CAR48" i="9"/>
  <c r="E201" i="8" s="1"/>
  <c r="CAS48" i="9"/>
  <c r="F201" i="8" s="1"/>
  <c r="CAT48" i="9"/>
  <c r="G201" i="8" s="1"/>
  <c r="CAU48" i="9"/>
  <c r="H201" i="8" s="1"/>
  <c r="CAV48" i="9"/>
  <c r="I201" i="8" s="1"/>
  <c r="CAW48" i="9"/>
  <c r="J201" i="8" s="1"/>
  <c r="CAX48" i="9"/>
  <c r="K201" i="8" s="1"/>
  <c r="CAY48" i="9"/>
  <c r="L201" i="8" s="1"/>
  <c r="CAZ48" i="9"/>
  <c r="M201" i="8" s="1"/>
  <c r="CBA48" i="9"/>
  <c r="N201" i="8" s="1"/>
  <c r="CBB48" i="9"/>
  <c r="O201" i="8" s="1"/>
  <c r="CBC48" i="9"/>
  <c r="P201" i="8" s="1"/>
  <c r="CBD48" i="9"/>
  <c r="Q201" i="8" s="1"/>
  <c r="CBE48" i="9"/>
  <c r="R201" i="8" s="1"/>
  <c r="CBF48" i="9"/>
  <c r="S201" i="8" s="1"/>
  <c r="CBG48" i="9"/>
  <c r="T201" i="8" s="1"/>
  <c r="CBH48" i="9"/>
  <c r="U201" i="8" s="1"/>
  <c r="CBI48" i="9"/>
  <c r="V201" i="8" s="1"/>
  <c r="CBJ48" i="9"/>
  <c r="W201" i="8" s="1"/>
  <c r="CBK48" i="9"/>
  <c r="X201" i="8" s="1"/>
  <c r="CBL48" i="9"/>
  <c r="Y201" i="8" s="1"/>
  <c r="CBM48" i="9"/>
  <c r="Z201" i="8" s="1"/>
  <c r="CBN48" i="9"/>
  <c r="AA201" i="8" s="1"/>
  <c r="CBO48" i="9"/>
  <c r="AB201" i="8" s="1"/>
  <c r="CBP48" i="9"/>
  <c r="AC201" i="8" s="1"/>
  <c r="CBQ48" i="9"/>
  <c r="AD201" i="8" s="1"/>
  <c r="CBR48" i="9"/>
  <c r="AE201" i="8" s="1"/>
  <c r="CBS48" i="9"/>
  <c r="AF201" i="8" s="1"/>
  <c r="CBT48" i="9"/>
  <c r="AG201" i="8" s="1"/>
  <c r="CBU48" i="9"/>
  <c r="AH201" i="8" s="1"/>
  <c r="CBV48" i="9"/>
  <c r="AI201" i="8" s="1"/>
  <c r="CBW48" i="9"/>
  <c r="AJ201" i="8" s="1"/>
  <c r="CBX48" i="9"/>
  <c r="AK201" i="8" s="1"/>
  <c r="CBY48" i="9"/>
  <c r="AL201" i="8" s="1"/>
  <c r="CBZ48" i="9"/>
  <c r="AM201" i="8" s="1"/>
  <c r="CCA48" i="9"/>
  <c r="AN201" i="8" s="1"/>
  <c r="CCB48" i="9"/>
  <c r="AO201" i="8" s="1"/>
  <c r="CCC48" i="9"/>
  <c r="AP201" i="8" s="1"/>
  <c r="CCD48" i="9"/>
  <c r="AQ201" i="8" s="1"/>
  <c r="CCE48" i="9"/>
  <c r="AR201" i="8" s="1"/>
  <c r="CCF48" i="9"/>
  <c r="AS201" i="8" s="1"/>
  <c r="CCG48" i="9"/>
  <c r="AT201" i="8" s="1"/>
  <c r="BYX48" i="9"/>
  <c r="C200" i="8" s="1"/>
  <c r="BYY48" i="9"/>
  <c r="D200" i="8" s="1"/>
  <c r="BYZ48" i="9"/>
  <c r="E200" i="8" s="1"/>
  <c r="BZA48" i="9"/>
  <c r="F200" i="8" s="1"/>
  <c r="BZB48" i="9"/>
  <c r="G200" i="8" s="1"/>
  <c r="BZC48" i="9"/>
  <c r="H200" i="8" s="1"/>
  <c r="BZD48" i="9"/>
  <c r="I200" i="8" s="1"/>
  <c r="BZE48" i="9"/>
  <c r="J200" i="8" s="1"/>
  <c r="BZF48" i="9"/>
  <c r="K200" i="8" s="1"/>
  <c r="BZG48" i="9"/>
  <c r="L200" i="8" s="1"/>
  <c r="BZH48" i="9"/>
  <c r="M200" i="8" s="1"/>
  <c r="BZI48" i="9"/>
  <c r="N200" i="8" s="1"/>
  <c r="BZJ48" i="9"/>
  <c r="O200" i="8" s="1"/>
  <c r="BZK48" i="9"/>
  <c r="P200" i="8" s="1"/>
  <c r="BZL48" i="9"/>
  <c r="Q200" i="8" s="1"/>
  <c r="BZM48" i="9"/>
  <c r="R200" i="8" s="1"/>
  <c r="BZN48" i="9"/>
  <c r="S200" i="8" s="1"/>
  <c r="BZO48" i="9"/>
  <c r="T200" i="8" s="1"/>
  <c r="BZP48" i="9"/>
  <c r="U200" i="8" s="1"/>
  <c r="BZQ48" i="9"/>
  <c r="V200" i="8" s="1"/>
  <c r="BZR48" i="9"/>
  <c r="W200" i="8" s="1"/>
  <c r="BZS48" i="9"/>
  <c r="X200" i="8" s="1"/>
  <c r="BZT48" i="9"/>
  <c r="Y200" i="8" s="1"/>
  <c r="BZU48" i="9"/>
  <c r="Z200" i="8" s="1"/>
  <c r="BZV48" i="9"/>
  <c r="AA200" i="8" s="1"/>
  <c r="BZW48" i="9"/>
  <c r="AB200" i="8" s="1"/>
  <c r="BZX48" i="9"/>
  <c r="AC200" i="8" s="1"/>
  <c r="BZY48" i="9"/>
  <c r="AD200" i="8" s="1"/>
  <c r="BZZ48" i="9"/>
  <c r="AE200" i="8" s="1"/>
  <c r="CAA48" i="9"/>
  <c r="AF200" i="8" s="1"/>
  <c r="CAB48" i="9"/>
  <c r="AG200" i="8" s="1"/>
  <c r="CAC48" i="9"/>
  <c r="AH200" i="8" s="1"/>
  <c r="CAD48" i="9"/>
  <c r="AI200" i="8" s="1"/>
  <c r="CAE48" i="9"/>
  <c r="AJ200" i="8" s="1"/>
  <c r="CAF48" i="9"/>
  <c r="AK200" i="8" s="1"/>
  <c r="CAG48" i="9"/>
  <c r="AL200" i="8" s="1"/>
  <c r="CAH48" i="9"/>
  <c r="AM200" i="8" s="1"/>
  <c r="CAI48" i="9"/>
  <c r="AN200" i="8" s="1"/>
  <c r="CAJ48" i="9"/>
  <c r="AO200" i="8" s="1"/>
  <c r="CAK48" i="9"/>
  <c r="AP200" i="8" s="1"/>
  <c r="CAL48" i="9"/>
  <c r="AQ200" i="8" s="1"/>
  <c r="CAM48" i="9"/>
  <c r="AR200" i="8" s="1"/>
  <c r="CAN48" i="9"/>
  <c r="AS200" i="8" s="1"/>
  <c r="CAO48" i="9"/>
  <c r="AT200" i="8" s="1"/>
  <c r="BXF48" i="9"/>
  <c r="C199" i="8" s="1"/>
  <c r="BXG48" i="9"/>
  <c r="D199" i="8" s="1"/>
  <c r="BXH48" i="9"/>
  <c r="E199" i="8" s="1"/>
  <c r="BXI48" i="9"/>
  <c r="F199" i="8" s="1"/>
  <c r="BXJ48" i="9"/>
  <c r="G199" i="8" s="1"/>
  <c r="BXK48" i="9"/>
  <c r="H199" i="8" s="1"/>
  <c r="BXL48" i="9"/>
  <c r="I199" i="8" s="1"/>
  <c r="BXM48" i="9"/>
  <c r="J199" i="8" s="1"/>
  <c r="BXN48" i="9"/>
  <c r="K199" i="8" s="1"/>
  <c r="BXO48" i="9"/>
  <c r="L199" i="8" s="1"/>
  <c r="BXP48" i="9"/>
  <c r="M199" i="8" s="1"/>
  <c r="BXQ48" i="9"/>
  <c r="N199" i="8" s="1"/>
  <c r="BXR48" i="9"/>
  <c r="O199" i="8" s="1"/>
  <c r="BXS48" i="9"/>
  <c r="P199" i="8" s="1"/>
  <c r="BXT48" i="9"/>
  <c r="Q199" i="8" s="1"/>
  <c r="BXU48" i="9"/>
  <c r="R199" i="8" s="1"/>
  <c r="BXV48" i="9"/>
  <c r="S199" i="8" s="1"/>
  <c r="BXW48" i="9"/>
  <c r="T199" i="8" s="1"/>
  <c r="BXX48" i="9"/>
  <c r="U199" i="8" s="1"/>
  <c r="BXY48" i="9"/>
  <c r="V199" i="8" s="1"/>
  <c r="BXZ48" i="9"/>
  <c r="W199" i="8" s="1"/>
  <c r="BYA48" i="9"/>
  <c r="X199" i="8" s="1"/>
  <c r="BYB48" i="9"/>
  <c r="Y199" i="8" s="1"/>
  <c r="BYC48" i="9"/>
  <c r="Z199" i="8" s="1"/>
  <c r="BYD48" i="9"/>
  <c r="AA199" i="8" s="1"/>
  <c r="BYE48" i="9"/>
  <c r="AB199" i="8" s="1"/>
  <c r="BYF48" i="9"/>
  <c r="AC199" i="8" s="1"/>
  <c r="BYG48" i="9"/>
  <c r="AD199" i="8" s="1"/>
  <c r="BYH48" i="9"/>
  <c r="AE199" i="8" s="1"/>
  <c r="BYI48" i="9"/>
  <c r="AF199" i="8" s="1"/>
  <c r="BYJ48" i="9"/>
  <c r="AG199" i="8" s="1"/>
  <c r="BYK48" i="9"/>
  <c r="AH199" i="8" s="1"/>
  <c r="BYL48" i="9"/>
  <c r="AI199" i="8" s="1"/>
  <c r="BYM48" i="9"/>
  <c r="AJ199" i="8" s="1"/>
  <c r="BYN48" i="9"/>
  <c r="AK199" i="8" s="1"/>
  <c r="BYO48" i="9"/>
  <c r="AL199" i="8" s="1"/>
  <c r="BYP48" i="9"/>
  <c r="AM199" i="8" s="1"/>
  <c r="BYQ48" i="9"/>
  <c r="AN199" i="8" s="1"/>
  <c r="BYR48" i="9"/>
  <c r="AO199" i="8" s="1"/>
  <c r="BYS48" i="9"/>
  <c r="AP199" i="8" s="1"/>
  <c r="BYT48" i="9"/>
  <c r="AQ199" i="8" s="1"/>
  <c r="BYU48" i="9"/>
  <c r="AR199" i="8" s="1"/>
  <c r="BYV48" i="9"/>
  <c r="AS199" i="8" s="1"/>
  <c r="BYW48" i="9"/>
  <c r="AT199" i="8" s="1"/>
  <c r="BVN48" i="9"/>
  <c r="C198" i="8" s="1"/>
  <c r="BVO48" i="9"/>
  <c r="D198" i="8" s="1"/>
  <c r="BVP48" i="9"/>
  <c r="E198" i="8" s="1"/>
  <c r="BVQ48" i="9"/>
  <c r="F198" i="8" s="1"/>
  <c r="BVR48" i="9"/>
  <c r="G198" i="8" s="1"/>
  <c r="BVS48" i="9"/>
  <c r="H198" i="8" s="1"/>
  <c r="BVT48" i="9"/>
  <c r="I198" i="8" s="1"/>
  <c r="BVU48" i="9"/>
  <c r="J198" i="8" s="1"/>
  <c r="BVV48" i="9"/>
  <c r="K198" i="8" s="1"/>
  <c r="BVW48" i="9"/>
  <c r="L198" i="8" s="1"/>
  <c r="BVX48" i="9"/>
  <c r="M198" i="8" s="1"/>
  <c r="BVY48" i="9"/>
  <c r="N198" i="8" s="1"/>
  <c r="BVZ48" i="9"/>
  <c r="O198" i="8" s="1"/>
  <c r="BWA48" i="9"/>
  <c r="P198" i="8" s="1"/>
  <c r="BWB48" i="9"/>
  <c r="Q198" i="8" s="1"/>
  <c r="BWC48" i="9"/>
  <c r="R198" i="8" s="1"/>
  <c r="BWD48" i="9"/>
  <c r="S198" i="8" s="1"/>
  <c r="BWE48" i="9"/>
  <c r="T198" i="8" s="1"/>
  <c r="BWF48" i="9"/>
  <c r="U198" i="8" s="1"/>
  <c r="BWG48" i="9"/>
  <c r="V198" i="8" s="1"/>
  <c r="BWH48" i="9"/>
  <c r="W198" i="8" s="1"/>
  <c r="BWI48" i="9"/>
  <c r="X198" i="8" s="1"/>
  <c r="BWJ48" i="9"/>
  <c r="Y198" i="8" s="1"/>
  <c r="BWK48" i="9"/>
  <c r="Z198" i="8" s="1"/>
  <c r="BWL48" i="9"/>
  <c r="AA198" i="8" s="1"/>
  <c r="BWM48" i="9"/>
  <c r="AB198" i="8" s="1"/>
  <c r="BWN48" i="9"/>
  <c r="AC198" i="8" s="1"/>
  <c r="BWO48" i="9"/>
  <c r="AD198" i="8" s="1"/>
  <c r="BWP48" i="9"/>
  <c r="AE198" i="8" s="1"/>
  <c r="BWQ48" i="9"/>
  <c r="AF198" i="8" s="1"/>
  <c r="BWR48" i="9"/>
  <c r="AG198" i="8" s="1"/>
  <c r="BWS48" i="9"/>
  <c r="AH198" i="8" s="1"/>
  <c r="BWT48" i="9"/>
  <c r="AI198" i="8" s="1"/>
  <c r="BWU48" i="9"/>
  <c r="AJ198" i="8" s="1"/>
  <c r="BWV48" i="9"/>
  <c r="AK198" i="8" s="1"/>
  <c r="BWW48" i="9"/>
  <c r="BWX48" i="9"/>
  <c r="AM198" i="8" s="1"/>
  <c r="BWY48" i="9"/>
  <c r="AN198" i="8" s="1"/>
  <c r="BWZ48" i="9"/>
  <c r="AO198" i="8" s="1"/>
  <c r="BXA48" i="9"/>
  <c r="AP198" i="8" s="1"/>
  <c r="BXB48" i="9"/>
  <c r="AQ198" i="8" s="1"/>
  <c r="BXC48" i="9"/>
  <c r="AR198" i="8" s="1"/>
  <c r="BXD48" i="9"/>
  <c r="AS198" i="8" s="1"/>
  <c r="BXE48" i="9"/>
  <c r="AT198" i="8" s="1"/>
  <c r="BTV48" i="9"/>
  <c r="C197" i="8" s="1"/>
  <c r="BTW48" i="9"/>
  <c r="D197" i="8" s="1"/>
  <c r="BTX48" i="9"/>
  <c r="E197" i="8" s="1"/>
  <c r="BTY48" i="9"/>
  <c r="F197" i="8" s="1"/>
  <c r="BTZ48" i="9"/>
  <c r="G197" i="8" s="1"/>
  <c r="BUA48" i="9"/>
  <c r="H197" i="8" s="1"/>
  <c r="BUB48" i="9"/>
  <c r="I197" i="8" s="1"/>
  <c r="BUC48" i="9"/>
  <c r="J197" i="8" s="1"/>
  <c r="BUD48" i="9"/>
  <c r="K197" i="8" s="1"/>
  <c r="BUE48" i="9"/>
  <c r="L197" i="8" s="1"/>
  <c r="BUF48" i="9"/>
  <c r="M197" i="8" s="1"/>
  <c r="BUG48" i="9"/>
  <c r="N197" i="8" s="1"/>
  <c r="BUH48" i="9"/>
  <c r="O197" i="8" s="1"/>
  <c r="BUI48" i="9"/>
  <c r="P197" i="8" s="1"/>
  <c r="BUJ48" i="9"/>
  <c r="Q197" i="8" s="1"/>
  <c r="BUK48" i="9"/>
  <c r="R197" i="8" s="1"/>
  <c r="BUL48" i="9"/>
  <c r="S197" i="8" s="1"/>
  <c r="BUM48" i="9"/>
  <c r="T197" i="8" s="1"/>
  <c r="BUN48" i="9"/>
  <c r="U197" i="8" s="1"/>
  <c r="BUO48" i="9"/>
  <c r="V197" i="8" s="1"/>
  <c r="BUP48" i="9"/>
  <c r="W197" i="8" s="1"/>
  <c r="BUQ48" i="9"/>
  <c r="X197" i="8" s="1"/>
  <c r="BUR48" i="9"/>
  <c r="Y197" i="8" s="1"/>
  <c r="BUS48" i="9"/>
  <c r="Z197" i="8" s="1"/>
  <c r="BUT48" i="9"/>
  <c r="AA197" i="8" s="1"/>
  <c r="BUU48" i="9"/>
  <c r="AB197" i="8" s="1"/>
  <c r="BUV48" i="9"/>
  <c r="AC197" i="8" s="1"/>
  <c r="BUW48" i="9"/>
  <c r="AD197" i="8" s="1"/>
  <c r="BUX48" i="9"/>
  <c r="AE197" i="8" s="1"/>
  <c r="BUY48" i="9"/>
  <c r="AF197" i="8" s="1"/>
  <c r="BUZ48" i="9"/>
  <c r="AG197" i="8" s="1"/>
  <c r="BVA48" i="9"/>
  <c r="AH197" i="8" s="1"/>
  <c r="BVB48" i="9"/>
  <c r="AI197" i="8" s="1"/>
  <c r="BVC48" i="9"/>
  <c r="AJ197" i="8" s="1"/>
  <c r="BVD48" i="9"/>
  <c r="AK197" i="8" s="1"/>
  <c r="BVE48" i="9"/>
  <c r="AL197" i="8" s="1"/>
  <c r="BVF48" i="9"/>
  <c r="AM197" i="8" s="1"/>
  <c r="BVG48" i="9"/>
  <c r="AN197" i="8" s="1"/>
  <c r="BVH48" i="9"/>
  <c r="AO197" i="8" s="1"/>
  <c r="BVI48" i="9"/>
  <c r="AP197" i="8" s="1"/>
  <c r="BVJ48" i="9"/>
  <c r="AQ197" i="8" s="1"/>
  <c r="BVK48" i="9"/>
  <c r="AR197" i="8" s="1"/>
  <c r="BVL48" i="9"/>
  <c r="AS197" i="8" s="1"/>
  <c r="BVM48" i="9"/>
  <c r="AT197" i="8" s="1"/>
  <c r="BSD48" i="9"/>
  <c r="C196" i="8" s="1"/>
  <c r="BSE48" i="9"/>
  <c r="D196" i="8" s="1"/>
  <c r="BSF48" i="9"/>
  <c r="E196" i="8" s="1"/>
  <c r="BSG48" i="9"/>
  <c r="F196" i="8" s="1"/>
  <c r="BSH48" i="9"/>
  <c r="G196" i="8" s="1"/>
  <c r="BSI48" i="9"/>
  <c r="H196" i="8" s="1"/>
  <c r="BSJ48" i="9"/>
  <c r="I196" i="8" s="1"/>
  <c r="BSK48" i="9"/>
  <c r="J196" i="8" s="1"/>
  <c r="BSL48" i="9"/>
  <c r="K196" i="8" s="1"/>
  <c r="BSM48" i="9"/>
  <c r="L196" i="8" s="1"/>
  <c r="BSN48" i="9"/>
  <c r="M196" i="8" s="1"/>
  <c r="BSO48" i="9"/>
  <c r="N196" i="8" s="1"/>
  <c r="BSP48" i="9"/>
  <c r="O196" i="8" s="1"/>
  <c r="BSQ48" i="9"/>
  <c r="P196" i="8" s="1"/>
  <c r="BSR48" i="9"/>
  <c r="Q196" i="8" s="1"/>
  <c r="BSS48" i="9"/>
  <c r="R196" i="8" s="1"/>
  <c r="BST48" i="9"/>
  <c r="S196" i="8" s="1"/>
  <c r="BSU48" i="9"/>
  <c r="T196" i="8" s="1"/>
  <c r="BSV48" i="9"/>
  <c r="U196" i="8" s="1"/>
  <c r="BSW48" i="9"/>
  <c r="V196" i="8" s="1"/>
  <c r="BSX48" i="9"/>
  <c r="W196" i="8" s="1"/>
  <c r="BSY48" i="9"/>
  <c r="X196" i="8" s="1"/>
  <c r="BSZ48" i="9"/>
  <c r="Y196" i="8" s="1"/>
  <c r="BTA48" i="9"/>
  <c r="Z196" i="8" s="1"/>
  <c r="BTB48" i="9"/>
  <c r="AA196" i="8" s="1"/>
  <c r="BTC48" i="9"/>
  <c r="AB196" i="8" s="1"/>
  <c r="BTD48" i="9"/>
  <c r="AC196" i="8" s="1"/>
  <c r="BTE48" i="9"/>
  <c r="AD196" i="8" s="1"/>
  <c r="BTF48" i="9"/>
  <c r="AE196" i="8" s="1"/>
  <c r="BTG48" i="9"/>
  <c r="AF196" i="8" s="1"/>
  <c r="BTH48" i="9"/>
  <c r="AG196" i="8" s="1"/>
  <c r="BTI48" i="9"/>
  <c r="AH196" i="8" s="1"/>
  <c r="BTJ48" i="9"/>
  <c r="AI196" i="8" s="1"/>
  <c r="BTK48" i="9"/>
  <c r="AJ196" i="8" s="1"/>
  <c r="BTL48" i="9"/>
  <c r="AK196" i="8" s="1"/>
  <c r="BTM48" i="9"/>
  <c r="AL196" i="8" s="1"/>
  <c r="BTN48" i="9"/>
  <c r="AM196" i="8" s="1"/>
  <c r="BTO48" i="9"/>
  <c r="AN196" i="8" s="1"/>
  <c r="BTP48" i="9"/>
  <c r="AO196" i="8" s="1"/>
  <c r="BTQ48" i="9"/>
  <c r="AP196" i="8" s="1"/>
  <c r="BTR48" i="9"/>
  <c r="AQ196" i="8" s="1"/>
  <c r="BTS48" i="9"/>
  <c r="AR196" i="8" s="1"/>
  <c r="BTT48" i="9"/>
  <c r="AS196" i="8" s="1"/>
  <c r="BTU48" i="9"/>
  <c r="AT196" i="8" s="1"/>
  <c r="BQL48" i="9"/>
  <c r="C195" i="8" s="1"/>
  <c r="BQM48" i="9"/>
  <c r="D195" i="8" s="1"/>
  <c r="BQN48" i="9"/>
  <c r="E195" i="8" s="1"/>
  <c r="BQO48" i="9"/>
  <c r="F195" i="8" s="1"/>
  <c r="BQP48" i="9"/>
  <c r="G195" i="8" s="1"/>
  <c r="BQQ48" i="9"/>
  <c r="H195" i="8" s="1"/>
  <c r="BQR48" i="9"/>
  <c r="I195" i="8" s="1"/>
  <c r="BQS48" i="9"/>
  <c r="J195" i="8" s="1"/>
  <c r="BQT48" i="9"/>
  <c r="K195" i="8" s="1"/>
  <c r="BQU48" i="9"/>
  <c r="L195" i="8" s="1"/>
  <c r="BQV48" i="9"/>
  <c r="M195" i="8" s="1"/>
  <c r="BQW48" i="9"/>
  <c r="N195" i="8" s="1"/>
  <c r="BQX48" i="9"/>
  <c r="O195" i="8" s="1"/>
  <c r="BQY48" i="9"/>
  <c r="P195" i="8" s="1"/>
  <c r="BQZ48" i="9"/>
  <c r="Q195" i="8" s="1"/>
  <c r="BRA48" i="9"/>
  <c r="R195" i="8" s="1"/>
  <c r="BRB48" i="9"/>
  <c r="S195" i="8" s="1"/>
  <c r="BRC48" i="9"/>
  <c r="T195" i="8" s="1"/>
  <c r="BRD48" i="9"/>
  <c r="U195" i="8" s="1"/>
  <c r="BRE48" i="9"/>
  <c r="V195" i="8" s="1"/>
  <c r="BRF48" i="9"/>
  <c r="W195" i="8" s="1"/>
  <c r="BRG48" i="9"/>
  <c r="X195" i="8" s="1"/>
  <c r="BRH48" i="9"/>
  <c r="Y195" i="8" s="1"/>
  <c r="BRI48" i="9"/>
  <c r="Z195" i="8" s="1"/>
  <c r="BRJ48" i="9"/>
  <c r="AA195" i="8" s="1"/>
  <c r="BRK48" i="9"/>
  <c r="AB195" i="8" s="1"/>
  <c r="BRL48" i="9"/>
  <c r="AC195" i="8" s="1"/>
  <c r="BRM48" i="9"/>
  <c r="AD195" i="8" s="1"/>
  <c r="BRN48" i="9"/>
  <c r="AE195" i="8" s="1"/>
  <c r="BRO48" i="9"/>
  <c r="AF195" i="8" s="1"/>
  <c r="BRP48" i="9"/>
  <c r="AG195" i="8" s="1"/>
  <c r="BRQ48" i="9"/>
  <c r="AH195" i="8" s="1"/>
  <c r="BRR48" i="9"/>
  <c r="AI195" i="8" s="1"/>
  <c r="BRS48" i="9"/>
  <c r="AJ195" i="8" s="1"/>
  <c r="BRT48" i="9"/>
  <c r="AK195" i="8" s="1"/>
  <c r="BRU48" i="9"/>
  <c r="AL195" i="8" s="1"/>
  <c r="BRV48" i="9"/>
  <c r="AM195" i="8" s="1"/>
  <c r="BRW48" i="9"/>
  <c r="AN195" i="8" s="1"/>
  <c r="BRX48" i="9"/>
  <c r="AO195" i="8" s="1"/>
  <c r="BRY48" i="9"/>
  <c r="AP195" i="8" s="1"/>
  <c r="BRZ48" i="9"/>
  <c r="AQ195" i="8" s="1"/>
  <c r="BSA48" i="9"/>
  <c r="AR195" i="8" s="1"/>
  <c r="BSB48" i="9"/>
  <c r="AS195" i="8" s="1"/>
  <c r="BSC48" i="9"/>
  <c r="AT195" i="8" s="1"/>
  <c r="BOT48" i="9"/>
  <c r="C194" i="8" s="1"/>
  <c r="BOU48" i="9"/>
  <c r="D194" i="8" s="1"/>
  <c r="BOV48" i="9"/>
  <c r="E194" i="8" s="1"/>
  <c r="BOW48" i="9"/>
  <c r="F194" i="8" s="1"/>
  <c r="BOX48" i="9"/>
  <c r="G194" i="8" s="1"/>
  <c r="BOY48" i="9"/>
  <c r="H194" i="8" s="1"/>
  <c r="BOZ48" i="9"/>
  <c r="I194" i="8" s="1"/>
  <c r="BPA48" i="9"/>
  <c r="J194" i="8" s="1"/>
  <c r="BPB48" i="9"/>
  <c r="K194" i="8" s="1"/>
  <c r="BPC48" i="9"/>
  <c r="L194" i="8" s="1"/>
  <c r="BPD48" i="9"/>
  <c r="M194" i="8" s="1"/>
  <c r="BPE48" i="9"/>
  <c r="N194" i="8" s="1"/>
  <c r="BPF48" i="9"/>
  <c r="O194" i="8" s="1"/>
  <c r="BPG48" i="9"/>
  <c r="P194" i="8" s="1"/>
  <c r="BPH48" i="9"/>
  <c r="Q194" i="8" s="1"/>
  <c r="BPI48" i="9"/>
  <c r="R194" i="8" s="1"/>
  <c r="BPJ48" i="9"/>
  <c r="S194" i="8" s="1"/>
  <c r="BPK48" i="9"/>
  <c r="T194" i="8" s="1"/>
  <c r="BPL48" i="9"/>
  <c r="U194" i="8" s="1"/>
  <c r="BPM48" i="9"/>
  <c r="V194" i="8" s="1"/>
  <c r="BPN48" i="9"/>
  <c r="W194" i="8" s="1"/>
  <c r="BPO48" i="9"/>
  <c r="X194" i="8" s="1"/>
  <c r="BPP48" i="9"/>
  <c r="Y194" i="8" s="1"/>
  <c r="BPQ48" i="9"/>
  <c r="Z194" i="8" s="1"/>
  <c r="BPR48" i="9"/>
  <c r="AA194" i="8" s="1"/>
  <c r="BPS48" i="9"/>
  <c r="AB194" i="8" s="1"/>
  <c r="BPT48" i="9"/>
  <c r="AC194" i="8" s="1"/>
  <c r="BPU48" i="9"/>
  <c r="AD194" i="8" s="1"/>
  <c r="BPV48" i="9"/>
  <c r="AE194" i="8" s="1"/>
  <c r="BPW48" i="9"/>
  <c r="AF194" i="8" s="1"/>
  <c r="BPX48" i="9"/>
  <c r="AG194" i="8" s="1"/>
  <c r="BPY48" i="9"/>
  <c r="AH194" i="8" s="1"/>
  <c r="BPZ48" i="9"/>
  <c r="AI194" i="8" s="1"/>
  <c r="BQA48" i="9"/>
  <c r="AJ194" i="8" s="1"/>
  <c r="BQB48" i="9"/>
  <c r="AK194" i="8" s="1"/>
  <c r="BQC48" i="9"/>
  <c r="AL194" i="8" s="1"/>
  <c r="BQD48" i="9"/>
  <c r="AM194" i="8" s="1"/>
  <c r="BQE48" i="9"/>
  <c r="AN194" i="8" s="1"/>
  <c r="BQF48" i="9"/>
  <c r="AO194" i="8" s="1"/>
  <c r="BQG48" i="9"/>
  <c r="AP194" i="8" s="1"/>
  <c r="BQH48" i="9"/>
  <c r="AQ194" i="8" s="1"/>
  <c r="BQI48" i="9"/>
  <c r="AR194" i="8" s="1"/>
  <c r="BQJ48" i="9"/>
  <c r="AS194" i="8" s="1"/>
  <c r="BQK48" i="9"/>
  <c r="AT194" i="8" s="1"/>
  <c r="BNB48" i="9"/>
  <c r="C193" i="8" s="1"/>
  <c r="BNC48" i="9"/>
  <c r="D193" i="8" s="1"/>
  <c r="BND48" i="9"/>
  <c r="E193" i="8" s="1"/>
  <c r="BNE48" i="9"/>
  <c r="F193" i="8" s="1"/>
  <c r="BNF48" i="9"/>
  <c r="G193" i="8" s="1"/>
  <c r="BNG48" i="9"/>
  <c r="H193" i="8" s="1"/>
  <c r="BNH48" i="9"/>
  <c r="I193" i="8" s="1"/>
  <c r="BNI48" i="9"/>
  <c r="J193" i="8" s="1"/>
  <c r="BNJ48" i="9"/>
  <c r="K193" i="8" s="1"/>
  <c r="BNK48" i="9"/>
  <c r="L193" i="8" s="1"/>
  <c r="BNL48" i="9"/>
  <c r="M193" i="8" s="1"/>
  <c r="BNM48" i="9"/>
  <c r="N193" i="8" s="1"/>
  <c r="BNN48" i="9"/>
  <c r="O193" i="8" s="1"/>
  <c r="BNO48" i="9"/>
  <c r="P193" i="8" s="1"/>
  <c r="BNP48" i="9"/>
  <c r="Q193" i="8" s="1"/>
  <c r="BNQ48" i="9"/>
  <c r="R193" i="8" s="1"/>
  <c r="BNR48" i="9"/>
  <c r="S193" i="8" s="1"/>
  <c r="BNS48" i="9"/>
  <c r="T193" i="8" s="1"/>
  <c r="BNT48" i="9"/>
  <c r="U193" i="8" s="1"/>
  <c r="BNU48" i="9"/>
  <c r="V193" i="8" s="1"/>
  <c r="BNV48" i="9"/>
  <c r="W193" i="8" s="1"/>
  <c r="BNW48" i="9"/>
  <c r="X193" i="8" s="1"/>
  <c r="BNX48" i="9"/>
  <c r="Y193" i="8" s="1"/>
  <c r="BNY48" i="9"/>
  <c r="Z193" i="8" s="1"/>
  <c r="BNZ48" i="9"/>
  <c r="AA193" i="8" s="1"/>
  <c r="BOA48" i="9"/>
  <c r="AB193" i="8" s="1"/>
  <c r="BOB48" i="9"/>
  <c r="AC193" i="8" s="1"/>
  <c r="BOC48" i="9"/>
  <c r="AD193" i="8" s="1"/>
  <c r="BOD48" i="9"/>
  <c r="AE193" i="8" s="1"/>
  <c r="BOE48" i="9"/>
  <c r="AF193" i="8" s="1"/>
  <c r="BOF48" i="9"/>
  <c r="AG193" i="8" s="1"/>
  <c r="BOG48" i="9"/>
  <c r="AH193" i="8" s="1"/>
  <c r="BOH48" i="9"/>
  <c r="AI193" i="8" s="1"/>
  <c r="BOI48" i="9"/>
  <c r="AJ193" i="8" s="1"/>
  <c r="BOJ48" i="9"/>
  <c r="AK193" i="8" s="1"/>
  <c r="BOK48" i="9"/>
  <c r="AL193" i="8" s="1"/>
  <c r="BOL48" i="9"/>
  <c r="AM193" i="8" s="1"/>
  <c r="BOM48" i="9"/>
  <c r="AN193" i="8" s="1"/>
  <c r="BON48" i="9"/>
  <c r="AO193" i="8" s="1"/>
  <c r="BOO48" i="9"/>
  <c r="AP193" i="8" s="1"/>
  <c r="BOP48" i="9"/>
  <c r="AQ193" i="8" s="1"/>
  <c r="BOQ48" i="9"/>
  <c r="AR193" i="8" s="1"/>
  <c r="BOR48" i="9"/>
  <c r="AS193" i="8" s="1"/>
  <c r="BOS48" i="9"/>
  <c r="AT193" i="8" s="1"/>
  <c r="BLJ48" i="9"/>
  <c r="C192" i="8" s="1"/>
  <c r="BLK48" i="9"/>
  <c r="D192" i="8" s="1"/>
  <c r="BLL48" i="9"/>
  <c r="E192" i="8" s="1"/>
  <c r="BLM48" i="9"/>
  <c r="F192" i="8" s="1"/>
  <c r="BLN48" i="9"/>
  <c r="G192" i="8" s="1"/>
  <c r="BLO48" i="9"/>
  <c r="H192" i="8" s="1"/>
  <c r="BLP48" i="9"/>
  <c r="I192" i="8" s="1"/>
  <c r="BLQ48" i="9"/>
  <c r="J192" i="8" s="1"/>
  <c r="BLR48" i="9"/>
  <c r="K192" i="8" s="1"/>
  <c r="BLS48" i="9"/>
  <c r="L192" i="8" s="1"/>
  <c r="BLT48" i="9"/>
  <c r="M192" i="8" s="1"/>
  <c r="BLU48" i="9"/>
  <c r="N192" i="8" s="1"/>
  <c r="BLV48" i="9"/>
  <c r="O192" i="8" s="1"/>
  <c r="BLW48" i="9"/>
  <c r="P192" i="8" s="1"/>
  <c r="BLX48" i="9"/>
  <c r="Q192" i="8" s="1"/>
  <c r="BLY48" i="9"/>
  <c r="R192" i="8" s="1"/>
  <c r="BLZ48" i="9"/>
  <c r="S192" i="8" s="1"/>
  <c r="BMA48" i="9"/>
  <c r="T192" i="8" s="1"/>
  <c r="BMB48" i="9"/>
  <c r="U192" i="8" s="1"/>
  <c r="BMC48" i="9"/>
  <c r="V192" i="8" s="1"/>
  <c r="BMD48" i="9"/>
  <c r="W192" i="8" s="1"/>
  <c r="BME48" i="9"/>
  <c r="X192" i="8" s="1"/>
  <c r="BMF48" i="9"/>
  <c r="Y192" i="8" s="1"/>
  <c r="BMG48" i="9"/>
  <c r="Z192" i="8" s="1"/>
  <c r="BMH48" i="9"/>
  <c r="AA192" i="8" s="1"/>
  <c r="BMI48" i="9"/>
  <c r="AB192" i="8" s="1"/>
  <c r="BMJ48" i="9"/>
  <c r="AC192" i="8" s="1"/>
  <c r="BMK48" i="9"/>
  <c r="AD192" i="8" s="1"/>
  <c r="BML48" i="9"/>
  <c r="AE192" i="8" s="1"/>
  <c r="BMM48" i="9"/>
  <c r="AF192" i="8" s="1"/>
  <c r="BMN48" i="9"/>
  <c r="AG192" i="8" s="1"/>
  <c r="BMO48" i="9"/>
  <c r="AH192" i="8" s="1"/>
  <c r="BMP48" i="9"/>
  <c r="AI192" i="8" s="1"/>
  <c r="BMQ48" i="9"/>
  <c r="AJ192" i="8" s="1"/>
  <c r="BMR48" i="9"/>
  <c r="AK192" i="8" s="1"/>
  <c r="BMS48" i="9"/>
  <c r="AL192" i="8" s="1"/>
  <c r="BMT48" i="9"/>
  <c r="AM192" i="8" s="1"/>
  <c r="BMU48" i="9"/>
  <c r="AN192" i="8" s="1"/>
  <c r="BMV48" i="9"/>
  <c r="AO192" i="8" s="1"/>
  <c r="BMW48" i="9"/>
  <c r="AP192" i="8" s="1"/>
  <c r="BMX48" i="9"/>
  <c r="AQ192" i="8" s="1"/>
  <c r="BMY48" i="9"/>
  <c r="AR192" i="8" s="1"/>
  <c r="BMZ48" i="9"/>
  <c r="AS192" i="8" s="1"/>
  <c r="BNA48" i="9"/>
  <c r="AT192" i="8" s="1"/>
  <c r="BJR48" i="9"/>
  <c r="C191" i="8" s="1"/>
  <c r="BJS48" i="9"/>
  <c r="D191" i="8" s="1"/>
  <c r="BJT48" i="9"/>
  <c r="E191" i="8" s="1"/>
  <c r="BJU48" i="9"/>
  <c r="F191" i="8" s="1"/>
  <c r="BJV48" i="9"/>
  <c r="G191" i="8" s="1"/>
  <c r="BJW48" i="9"/>
  <c r="H191" i="8" s="1"/>
  <c r="BJX48" i="9"/>
  <c r="I191" i="8" s="1"/>
  <c r="BJY48" i="9"/>
  <c r="J191" i="8" s="1"/>
  <c r="BJZ48" i="9"/>
  <c r="K191" i="8" s="1"/>
  <c r="BKA48" i="9"/>
  <c r="L191" i="8" s="1"/>
  <c r="BKB48" i="9"/>
  <c r="M191" i="8" s="1"/>
  <c r="BKC48" i="9"/>
  <c r="N191" i="8" s="1"/>
  <c r="BKD48" i="9"/>
  <c r="O191" i="8" s="1"/>
  <c r="BKE48" i="9"/>
  <c r="P191" i="8" s="1"/>
  <c r="BKF48" i="9"/>
  <c r="Q191" i="8" s="1"/>
  <c r="BKG48" i="9"/>
  <c r="R191" i="8" s="1"/>
  <c r="BKH48" i="9"/>
  <c r="S191" i="8" s="1"/>
  <c r="BKI48" i="9"/>
  <c r="T191" i="8" s="1"/>
  <c r="BKJ48" i="9"/>
  <c r="U191" i="8" s="1"/>
  <c r="BKK48" i="9"/>
  <c r="V191" i="8" s="1"/>
  <c r="BKL48" i="9"/>
  <c r="W191" i="8" s="1"/>
  <c r="BKM48" i="9"/>
  <c r="X191" i="8" s="1"/>
  <c r="BKN48" i="9"/>
  <c r="Y191" i="8" s="1"/>
  <c r="BKO48" i="9"/>
  <c r="Z191" i="8" s="1"/>
  <c r="BKP48" i="9"/>
  <c r="AA191" i="8" s="1"/>
  <c r="BKQ48" i="9"/>
  <c r="AB191" i="8" s="1"/>
  <c r="BKR48" i="9"/>
  <c r="AC191" i="8" s="1"/>
  <c r="BKS48" i="9"/>
  <c r="AD191" i="8" s="1"/>
  <c r="BKT48" i="9"/>
  <c r="AE191" i="8" s="1"/>
  <c r="BKU48" i="9"/>
  <c r="AF191" i="8" s="1"/>
  <c r="BKV48" i="9"/>
  <c r="AG191" i="8" s="1"/>
  <c r="BKW48" i="9"/>
  <c r="AH191" i="8" s="1"/>
  <c r="BKX48" i="9"/>
  <c r="AI191" i="8" s="1"/>
  <c r="BKY48" i="9"/>
  <c r="AJ191" i="8" s="1"/>
  <c r="BKZ48" i="9"/>
  <c r="AK191" i="8" s="1"/>
  <c r="BLA48" i="9"/>
  <c r="AL191" i="8" s="1"/>
  <c r="BLB48" i="9"/>
  <c r="AM191" i="8" s="1"/>
  <c r="BLC48" i="9"/>
  <c r="AN191" i="8" s="1"/>
  <c r="BLD48" i="9"/>
  <c r="AO191" i="8" s="1"/>
  <c r="BLE48" i="9"/>
  <c r="AP191" i="8" s="1"/>
  <c r="BLF48" i="9"/>
  <c r="AQ191" i="8" s="1"/>
  <c r="BLG48" i="9"/>
  <c r="AR191" i="8" s="1"/>
  <c r="BLH48" i="9"/>
  <c r="AS191" i="8" s="1"/>
  <c r="BLI48" i="9"/>
  <c r="AT191" i="8" s="1"/>
  <c r="BHZ48" i="9"/>
  <c r="C190" i="8" s="1"/>
  <c r="BIA48" i="9"/>
  <c r="D190" i="8" s="1"/>
  <c r="BIB48" i="9"/>
  <c r="E190" i="8" s="1"/>
  <c r="BIC48" i="9"/>
  <c r="F190" i="8" s="1"/>
  <c r="BID48" i="9"/>
  <c r="G190" i="8" s="1"/>
  <c r="BIE48" i="9"/>
  <c r="H190" i="8" s="1"/>
  <c r="BIF48" i="9"/>
  <c r="I190" i="8" s="1"/>
  <c r="BIG48" i="9"/>
  <c r="J190" i="8" s="1"/>
  <c r="BIH48" i="9"/>
  <c r="K190" i="8" s="1"/>
  <c r="BII48" i="9"/>
  <c r="L190" i="8" s="1"/>
  <c r="BIJ48" i="9"/>
  <c r="M190" i="8" s="1"/>
  <c r="BIK48" i="9"/>
  <c r="N190" i="8" s="1"/>
  <c r="BIL48" i="9"/>
  <c r="O190" i="8" s="1"/>
  <c r="BIM48" i="9"/>
  <c r="P190" i="8" s="1"/>
  <c r="BIN48" i="9"/>
  <c r="Q190" i="8" s="1"/>
  <c r="BIO48" i="9"/>
  <c r="R190" i="8" s="1"/>
  <c r="BIP48" i="9"/>
  <c r="S190" i="8" s="1"/>
  <c r="BIQ48" i="9"/>
  <c r="T190" i="8" s="1"/>
  <c r="BIR48" i="9"/>
  <c r="U190" i="8" s="1"/>
  <c r="BIS48" i="9"/>
  <c r="V190" i="8" s="1"/>
  <c r="BIT48" i="9"/>
  <c r="W190" i="8" s="1"/>
  <c r="BIU48" i="9"/>
  <c r="X190" i="8" s="1"/>
  <c r="BIV48" i="9"/>
  <c r="Y190" i="8" s="1"/>
  <c r="BIW48" i="9"/>
  <c r="Z190" i="8" s="1"/>
  <c r="BIX48" i="9"/>
  <c r="AA190" i="8" s="1"/>
  <c r="BIY48" i="9"/>
  <c r="AB190" i="8" s="1"/>
  <c r="BIZ48" i="9"/>
  <c r="AC190" i="8" s="1"/>
  <c r="BJA48" i="9"/>
  <c r="AD190" i="8" s="1"/>
  <c r="BJB48" i="9"/>
  <c r="AE190" i="8" s="1"/>
  <c r="BJC48" i="9"/>
  <c r="AF190" i="8" s="1"/>
  <c r="BJD48" i="9"/>
  <c r="AG190" i="8" s="1"/>
  <c r="BJE48" i="9"/>
  <c r="AH190" i="8" s="1"/>
  <c r="BJF48" i="9"/>
  <c r="AI190" i="8" s="1"/>
  <c r="BJG48" i="9"/>
  <c r="AJ190" i="8" s="1"/>
  <c r="BJH48" i="9"/>
  <c r="AK190" i="8" s="1"/>
  <c r="BJI48" i="9"/>
  <c r="AL190" i="8" s="1"/>
  <c r="BJJ48" i="9"/>
  <c r="AM190" i="8" s="1"/>
  <c r="BJK48" i="9"/>
  <c r="AN190" i="8" s="1"/>
  <c r="BJL48" i="9"/>
  <c r="AO190" i="8" s="1"/>
  <c r="BJM48" i="9"/>
  <c r="AP190" i="8" s="1"/>
  <c r="BJN48" i="9"/>
  <c r="AQ190" i="8" s="1"/>
  <c r="BJO48" i="9"/>
  <c r="AR190" i="8" s="1"/>
  <c r="BJP48" i="9"/>
  <c r="AS190" i="8" s="1"/>
  <c r="BJQ48" i="9"/>
  <c r="AT190" i="8" s="1"/>
  <c r="BGH48" i="9"/>
  <c r="C189" i="8" s="1"/>
  <c r="BGI48" i="9"/>
  <c r="D189" i="8" s="1"/>
  <c r="BGJ48" i="9"/>
  <c r="E189" i="8" s="1"/>
  <c r="BGK48" i="9"/>
  <c r="F189" i="8" s="1"/>
  <c r="BGL48" i="9"/>
  <c r="G189" i="8" s="1"/>
  <c r="BGM48" i="9"/>
  <c r="H189" i="8" s="1"/>
  <c r="BGN48" i="9"/>
  <c r="I189" i="8" s="1"/>
  <c r="BGO48" i="9"/>
  <c r="J189" i="8" s="1"/>
  <c r="BGP48" i="9"/>
  <c r="K189" i="8" s="1"/>
  <c r="BGQ48" i="9"/>
  <c r="L189" i="8" s="1"/>
  <c r="BGR48" i="9"/>
  <c r="M189" i="8" s="1"/>
  <c r="BGS48" i="9"/>
  <c r="N189" i="8" s="1"/>
  <c r="BGT48" i="9"/>
  <c r="O189" i="8" s="1"/>
  <c r="BGU48" i="9"/>
  <c r="P189" i="8" s="1"/>
  <c r="BGV48" i="9"/>
  <c r="Q189" i="8" s="1"/>
  <c r="BGW48" i="9"/>
  <c r="R189" i="8" s="1"/>
  <c r="BGX48" i="9"/>
  <c r="S189" i="8" s="1"/>
  <c r="BGY48" i="9"/>
  <c r="T189" i="8" s="1"/>
  <c r="BGZ48" i="9"/>
  <c r="U189" i="8" s="1"/>
  <c r="BHA48" i="9"/>
  <c r="V189" i="8" s="1"/>
  <c r="BHB48" i="9"/>
  <c r="W189" i="8" s="1"/>
  <c r="BHC48" i="9"/>
  <c r="X189" i="8" s="1"/>
  <c r="BHD48" i="9"/>
  <c r="Y189" i="8" s="1"/>
  <c r="BHE48" i="9"/>
  <c r="Z189" i="8" s="1"/>
  <c r="BHF48" i="9"/>
  <c r="AA189" i="8" s="1"/>
  <c r="BHG48" i="9"/>
  <c r="AB189" i="8" s="1"/>
  <c r="BHH48" i="9"/>
  <c r="AC189" i="8" s="1"/>
  <c r="BHI48" i="9"/>
  <c r="AD189" i="8" s="1"/>
  <c r="BHJ48" i="9"/>
  <c r="AE189" i="8" s="1"/>
  <c r="BHK48" i="9"/>
  <c r="AF189" i="8" s="1"/>
  <c r="BHL48" i="9"/>
  <c r="AG189" i="8" s="1"/>
  <c r="BHM48" i="9"/>
  <c r="AH189" i="8" s="1"/>
  <c r="BHN48" i="9"/>
  <c r="AI189" i="8" s="1"/>
  <c r="BHO48" i="9"/>
  <c r="AJ189" i="8" s="1"/>
  <c r="BHP48" i="9"/>
  <c r="AK189" i="8" s="1"/>
  <c r="BHQ48" i="9"/>
  <c r="AL189" i="8" s="1"/>
  <c r="BHR48" i="9"/>
  <c r="AM189" i="8" s="1"/>
  <c r="BHS48" i="9"/>
  <c r="AN189" i="8" s="1"/>
  <c r="BHT48" i="9"/>
  <c r="AO189" i="8" s="1"/>
  <c r="BHU48" i="9"/>
  <c r="AP189" i="8" s="1"/>
  <c r="BHV48" i="9"/>
  <c r="AQ189" i="8" s="1"/>
  <c r="BHW48" i="9"/>
  <c r="AR189" i="8" s="1"/>
  <c r="BHX48" i="9"/>
  <c r="AS189" i="8" s="1"/>
  <c r="BHY48" i="9"/>
  <c r="AT189" i="8" s="1"/>
  <c r="BEP48" i="9"/>
  <c r="C188" i="8" s="1"/>
  <c r="BEQ48" i="9"/>
  <c r="D188" i="8" s="1"/>
  <c r="BER48" i="9"/>
  <c r="E188" i="8" s="1"/>
  <c r="BES48" i="9"/>
  <c r="F188" i="8" s="1"/>
  <c r="BET48" i="9"/>
  <c r="G188" i="8" s="1"/>
  <c r="BEU48" i="9"/>
  <c r="H188" i="8" s="1"/>
  <c r="BEV48" i="9"/>
  <c r="I188" i="8" s="1"/>
  <c r="BEW48" i="9"/>
  <c r="J188" i="8" s="1"/>
  <c r="BEX48" i="9"/>
  <c r="K188" i="8" s="1"/>
  <c r="BEY48" i="9"/>
  <c r="L188" i="8" s="1"/>
  <c r="BEZ48" i="9"/>
  <c r="M188" i="8" s="1"/>
  <c r="BFA48" i="9"/>
  <c r="N188" i="8" s="1"/>
  <c r="BFB48" i="9"/>
  <c r="O188" i="8" s="1"/>
  <c r="BFC48" i="9"/>
  <c r="P188" i="8" s="1"/>
  <c r="BFD48" i="9"/>
  <c r="Q188" i="8" s="1"/>
  <c r="BFE48" i="9"/>
  <c r="R188" i="8" s="1"/>
  <c r="BFF48" i="9"/>
  <c r="S188" i="8" s="1"/>
  <c r="BFG48" i="9"/>
  <c r="T188" i="8" s="1"/>
  <c r="BFH48" i="9"/>
  <c r="U188" i="8" s="1"/>
  <c r="BFI48" i="9"/>
  <c r="V188" i="8" s="1"/>
  <c r="BFJ48" i="9"/>
  <c r="W188" i="8" s="1"/>
  <c r="BFK48" i="9"/>
  <c r="X188" i="8" s="1"/>
  <c r="BFL48" i="9"/>
  <c r="Y188" i="8" s="1"/>
  <c r="BFM48" i="9"/>
  <c r="Z188" i="8" s="1"/>
  <c r="BFN48" i="9"/>
  <c r="AA188" i="8" s="1"/>
  <c r="BFO48" i="9"/>
  <c r="AB188" i="8" s="1"/>
  <c r="BFP48" i="9"/>
  <c r="AC188" i="8" s="1"/>
  <c r="BFQ48" i="9"/>
  <c r="AD188" i="8" s="1"/>
  <c r="BFR48" i="9"/>
  <c r="AE188" i="8" s="1"/>
  <c r="BFS48" i="9"/>
  <c r="AF188" i="8" s="1"/>
  <c r="BFT48" i="9"/>
  <c r="AG188" i="8" s="1"/>
  <c r="BFU48" i="9"/>
  <c r="AH188" i="8" s="1"/>
  <c r="BFV48" i="9"/>
  <c r="AI188" i="8" s="1"/>
  <c r="BFW48" i="9"/>
  <c r="AJ188" i="8" s="1"/>
  <c r="BFX48" i="9"/>
  <c r="AK188" i="8" s="1"/>
  <c r="BFY48" i="9"/>
  <c r="AL188" i="8" s="1"/>
  <c r="BFZ48" i="9"/>
  <c r="AM188" i="8" s="1"/>
  <c r="BGA48" i="9"/>
  <c r="AN188" i="8" s="1"/>
  <c r="BGB48" i="9"/>
  <c r="AO188" i="8" s="1"/>
  <c r="BGC48" i="9"/>
  <c r="AP188" i="8" s="1"/>
  <c r="BGD48" i="9"/>
  <c r="AQ188" i="8" s="1"/>
  <c r="BGE48" i="9"/>
  <c r="AR188" i="8" s="1"/>
  <c r="BGF48" i="9"/>
  <c r="AS188" i="8" s="1"/>
  <c r="BGG48" i="9"/>
  <c r="AT188" i="8" s="1"/>
  <c r="BCX48" i="9"/>
  <c r="C187" i="8" s="1"/>
  <c r="BCY48" i="9"/>
  <c r="D187" i="8" s="1"/>
  <c r="BCZ48" i="9"/>
  <c r="E187" i="8" s="1"/>
  <c r="BDA48" i="9"/>
  <c r="F187" i="8" s="1"/>
  <c r="BDB48" i="9"/>
  <c r="G187" i="8" s="1"/>
  <c r="BDC48" i="9"/>
  <c r="H187" i="8" s="1"/>
  <c r="BDD48" i="9"/>
  <c r="I187" i="8" s="1"/>
  <c r="BDE48" i="9"/>
  <c r="J187" i="8" s="1"/>
  <c r="BDF48" i="9"/>
  <c r="K187" i="8" s="1"/>
  <c r="BDG48" i="9"/>
  <c r="L187" i="8" s="1"/>
  <c r="BDH48" i="9"/>
  <c r="M187" i="8" s="1"/>
  <c r="BDI48" i="9"/>
  <c r="N187" i="8" s="1"/>
  <c r="BDJ48" i="9"/>
  <c r="O187" i="8" s="1"/>
  <c r="BDK48" i="9"/>
  <c r="P187" i="8" s="1"/>
  <c r="BDL48" i="9"/>
  <c r="Q187" i="8" s="1"/>
  <c r="BDM48" i="9"/>
  <c r="R187" i="8" s="1"/>
  <c r="BDN48" i="9"/>
  <c r="S187" i="8" s="1"/>
  <c r="BDO48" i="9"/>
  <c r="T187" i="8" s="1"/>
  <c r="BDP48" i="9"/>
  <c r="U187" i="8" s="1"/>
  <c r="BDQ48" i="9"/>
  <c r="V187" i="8" s="1"/>
  <c r="BDR48" i="9"/>
  <c r="W187" i="8" s="1"/>
  <c r="BDS48" i="9"/>
  <c r="X187" i="8" s="1"/>
  <c r="BDT48" i="9"/>
  <c r="Y187" i="8" s="1"/>
  <c r="BDU48" i="9"/>
  <c r="Z187" i="8" s="1"/>
  <c r="BDV48" i="9"/>
  <c r="AA187" i="8" s="1"/>
  <c r="BDW48" i="9"/>
  <c r="AB187" i="8" s="1"/>
  <c r="BDX48" i="9"/>
  <c r="AC187" i="8" s="1"/>
  <c r="BDY48" i="9"/>
  <c r="AD187" i="8" s="1"/>
  <c r="BDZ48" i="9"/>
  <c r="AE187" i="8" s="1"/>
  <c r="BEA48" i="9"/>
  <c r="AF187" i="8" s="1"/>
  <c r="BEB48" i="9"/>
  <c r="AG187" i="8" s="1"/>
  <c r="BEC48" i="9"/>
  <c r="AH187" i="8" s="1"/>
  <c r="BED48" i="9"/>
  <c r="AI187" i="8" s="1"/>
  <c r="BEE48" i="9"/>
  <c r="AJ187" i="8" s="1"/>
  <c r="BEF48" i="9"/>
  <c r="AK187" i="8" s="1"/>
  <c r="BEG48" i="9"/>
  <c r="AL187" i="8" s="1"/>
  <c r="BEH48" i="9"/>
  <c r="AM187" i="8" s="1"/>
  <c r="BEI48" i="9"/>
  <c r="AN187" i="8" s="1"/>
  <c r="BEJ48" i="9"/>
  <c r="AO187" i="8" s="1"/>
  <c r="BEK48" i="9"/>
  <c r="AP187" i="8" s="1"/>
  <c r="BEL48" i="9"/>
  <c r="AQ187" i="8" s="1"/>
  <c r="BEM48" i="9"/>
  <c r="AR187" i="8" s="1"/>
  <c r="BEN48" i="9"/>
  <c r="AS187" i="8" s="1"/>
  <c r="BEO48" i="9"/>
  <c r="AT187" i="8" s="1"/>
  <c r="BBF48" i="9"/>
  <c r="C186" i="8" s="1"/>
  <c r="BBG48" i="9"/>
  <c r="D186" i="8" s="1"/>
  <c r="BBH48" i="9"/>
  <c r="E186" i="8" s="1"/>
  <c r="BBI48" i="9"/>
  <c r="F186" i="8" s="1"/>
  <c r="BBJ48" i="9"/>
  <c r="G186" i="8" s="1"/>
  <c r="BBK48" i="9"/>
  <c r="H186" i="8" s="1"/>
  <c r="BBL48" i="9"/>
  <c r="I186" i="8" s="1"/>
  <c r="BBM48" i="9"/>
  <c r="J186" i="8" s="1"/>
  <c r="BBN48" i="9"/>
  <c r="K186" i="8" s="1"/>
  <c r="BBO48" i="9"/>
  <c r="L186" i="8" s="1"/>
  <c r="BBP48" i="9"/>
  <c r="M186" i="8" s="1"/>
  <c r="BBQ48" i="9"/>
  <c r="N186" i="8" s="1"/>
  <c r="BBR48" i="9"/>
  <c r="O186" i="8" s="1"/>
  <c r="BBS48" i="9"/>
  <c r="P186" i="8" s="1"/>
  <c r="BBT48" i="9"/>
  <c r="Q186" i="8" s="1"/>
  <c r="BBU48" i="9"/>
  <c r="R186" i="8" s="1"/>
  <c r="BBV48" i="9"/>
  <c r="S186" i="8" s="1"/>
  <c r="BBW48" i="9"/>
  <c r="T186" i="8" s="1"/>
  <c r="BBX48" i="9"/>
  <c r="U186" i="8" s="1"/>
  <c r="BBY48" i="9"/>
  <c r="V186" i="8" s="1"/>
  <c r="BBZ48" i="9"/>
  <c r="W186" i="8" s="1"/>
  <c r="BCA48" i="9"/>
  <c r="X186" i="8" s="1"/>
  <c r="BCB48" i="9"/>
  <c r="Y186" i="8" s="1"/>
  <c r="BCC48" i="9"/>
  <c r="Z186" i="8" s="1"/>
  <c r="BCD48" i="9"/>
  <c r="AA186" i="8" s="1"/>
  <c r="BCE48" i="9"/>
  <c r="AB186" i="8" s="1"/>
  <c r="BCF48" i="9"/>
  <c r="AC186" i="8" s="1"/>
  <c r="BCG48" i="9"/>
  <c r="AD186" i="8" s="1"/>
  <c r="BCH48" i="9"/>
  <c r="AE186" i="8" s="1"/>
  <c r="BCI48" i="9"/>
  <c r="AF186" i="8" s="1"/>
  <c r="BCJ48" i="9"/>
  <c r="AG186" i="8" s="1"/>
  <c r="BCK48" i="9"/>
  <c r="AH186" i="8" s="1"/>
  <c r="BCL48" i="9"/>
  <c r="AI186" i="8" s="1"/>
  <c r="BCM48" i="9"/>
  <c r="AJ186" i="8" s="1"/>
  <c r="BCN48" i="9"/>
  <c r="AK186" i="8" s="1"/>
  <c r="BCO48" i="9"/>
  <c r="AL186" i="8" s="1"/>
  <c r="BCP48" i="9"/>
  <c r="AM186" i="8" s="1"/>
  <c r="BCQ48" i="9"/>
  <c r="AN186" i="8" s="1"/>
  <c r="BCR48" i="9"/>
  <c r="AO186" i="8" s="1"/>
  <c r="BCS48" i="9"/>
  <c r="AP186" i="8" s="1"/>
  <c r="BCT48" i="9"/>
  <c r="AQ186" i="8" s="1"/>
  <c r="BCU48" i="9"/>
  <c r="AR186" i="8" s="1"/>
  <c r="BCV48" i="9"/>
  <c r="AS186" i="8" s="1"/>
  <c r="BCW48" i="9"/>
  <c r="AT186" i="8" s="1"/>
  <c r="AZN48" i="9"/>
  <c r="C185" i="8" s="1"/>
  <c r="AZO48" i="9"/>
  <c r="D185" i="8" s="1"/>
  <c r="AZP48" i="9"/>
  <c r="E185" i="8" s="1"/>
  <c r="AZQ48" i="9"/>
  <c r="F185" i="8" s="1"/>
  <c r="AZR48" i="9"/>
  <c r="G185" i="8" s="1"/>
  <c r="AZS48" i="9"/>
  <c r="H185" i="8" s="1"/>
  <c r="AZT48" i="9"/>
  <c r="I185" i="8" s="1"/>
  <c r="AZU48" i="9"/>
  <c r="J185" i="8" s="1"/>
  <c r="AZV48" i="9"/>
  <c r="K185" i="8" s="1"/>
  <c r="AZW48" i="9"/>
  <c r="L185" i="8" s="1"/>
  <c r="AZX48" i="9"/>
  <c r="M185" i="8" s="1"/>
  <c r="AZY48" i="9"/>
  <c r="N185" i="8" s="1"/>
  <c r="AZZ48" i="9"/>
  <c r="O185" i="8" s="1"/>
  <c r="BAA48" i="9"/>
  <c r="P185" i="8" s="1"/>
  <c r="BAB48" i="9"/>
  <c r="Q185" i="8" s="1"/>
  <c r="BAC48" i="9"/>
  <c r="R185" i="8" s="1"/>
  <c r="BAD48" i="9"/>
  <c r="S185" i="8" s="1"/>
  <c r="BAE48" i="9"/>
  <c r="T185" i="8" s="1"/>
  <c r="BAF48" i="9"/>
  <c r="U185" i="8" s="1"/>
  <c r="BAG48" i="9"/>
  <c r="V185" i="8" s="1"/>
  <c r="BAH48" i="9"/>
  <c r="W185" i="8" s="1"/>
  <c r="BAI48" i="9"/>
  <c r="X185" i="8" s="1"/>
  <c r="BAJ48" i="9"/>
  <c r="Y185" i="8" s="1"/>
  <c r="BAK48" i="9"/>
  <c r="Z185" i="8" s="1"/>
  <c r="BAL48" i="9"/>
  <c r="AA185" i="8" s="1"/>
  <c r="BAM48" i="9"/>
  <c r="AB185" i="8" s="1"/>
  <c r="BAN48" i="9"/>
  <c r="AC185" i="8" s="1"/>
  <c r="BAO48" i="9"/>
  <c r="AD185" i="8" s="1"/>
  <c r="BAP48" i="9"/>
  <c r="AE185" i="8" s="1"/>
  <c r="BAQ48" i="9"/>
  <c r="AF185" i="8" s="1"/>
  <c r="BAR48" i="9"/>
  <c r="AG185" i="8" s="1"/>
  <c r="BAS48" i="9"/>
  <c r="AH185" i="8" s="1"/>
  <c r="BAT48" i="9"/>
  <c r="AI185" i="8" s="1"/>
  <c r="BAU48" i="9"/>
  <c r="AJ185" i="8" s="1"/>
  <c r="BAV48" i="9"/>
  <c r="AK185" i="8" s="1"/>
  <c r="BAW48" i="9"/>
  <c r="AL185" i="8" s="1"/>
  <c r="BAX48" i="9"/>
  <c r="AM185" i="8" s="1"/>
  <c r="BAY48" i="9"/>
  <c r="AN185" i="8" s="1"/>
  <c r="BAZ48" i="9"/>
  <c r="AO185" i="8" s="1"/>
  <c r="BBA48" i="9"/>
  <c r="AP185" i="8" s="1"/>
  <c r="BBB48" i="9"/>
  <c r="AQ185" i="8" s="1"/>
  <c r="BBC48" i="9"/>
  <c r="AR185" i="8" s="1"/>
  <c r="BBD48" i="9"/>
  <c r="AS185" i="8" s="1"/>
  <c r="BBE48" i="9"/>
  <c r="AT185" i="8" s="1"/>
  <c r="AXV48" i="9"/>
  <c r="C184" i="8" s="1"/>
  <c r="AXW48" i="9"/>
  <c r="D184" i="8" s="1"/>
  <c r="AXX48" i="9"/>
  <c r="E184" i="8" s="1"/>
  <c r="AXY48" i="9"/>
  <c r="F184" i="8" s="1"/>
  <c r="AXZ48" i="9"/>
  <c r="G184" i="8" s="1"/>
  <c r="AYA48" i="9"/>
  <c r="H184" i="8" s="1"/>
  <c r="AYB48" i="9"/>
  <c r="I184" i="8" s="1"/>
  <c r="AYC48" i="9"/>
  <c r="J184" i="8" s="1"/>
  <c r="AYD48" i="9"/>
  <c r="K184" i="8" s="1"/>
  <c r="AYE48" i="9"/>
  <c r="L184" i="8" s="1"/>
  <c r="AYF48" i="9"/>
  <c r="M184" i="8" s="1"/>
  <c r="AYG48" i="9"/>
  <c r="N184" i="8" s="1"/>
  <c r="AYH48" i="9"/>
  <c r="O184" i="8" s="1"/>
  <c r="AYI48" i="9"/>
  <c r="P184" i="8" s="1"/>
  <c r="AYJ48" i="9"/>
  <c r="Q184" i="8" s="1"/>
  <c r="AYK48" i="9"/>
  <c r="R184" i="8" s="1"/>
  <c r="AYL48" i="9"/>
  <c r="S184" i="8" s="1"/>
  <c r="AYM48" i="9"/>
  <c r="T184" i="8" s="1"/>
  <c r="AYN48" i="9"/>
  <c r="U184" i="8" s="1"/>
  <c r="AYO48" i="9"/>
  <c r="V184" i="8" s="1"/>
  <c r="AYP48" i="9"/>
  <c r="W184" i="8" s="1"/>
  <c r="AYQ48" i="9"/>
  <c r="X184" i="8" s="1"/>
  <c r="AYR48" i="9"/>
  <c r="Y184" i="8" s="1"/>
  <c r="AYS48" i="9"/>
  <c r="Z184" i="8" s="1"/>
  <c r="AYT48" i="9"/>
  <c r="AA184" i="8" s="1"/>
  <c r="AYU48" i="9"/>
  <c r="AB184" i="8" s="1"/>
  <c r="AYV48" i="9"/>
  <c r="AC184" i="8" s="1"/>
  <c r="AYW48" i="9"/>
  <c r="AD184" i="8" s="1"/>
  <c r="AYX48" i="9"/>
  <c r="AE184" i="8" s="1"/>
  <c r="AYY48" i="9"/>
  <c r="AF184" i="8" s="1"/>
  <c r="AYZ48" i="9"/>
  <c r="AG184" i="8" s="1"/>
  <c r="AZA48" i="9"/>
  <c r="AH184" i="8" s="1"/>
  <c r="AZB48" i="9"/>
  <c r="AI184" i="8" s="1"/>
  <c r="AZC48" i="9"/>
  <c r="AJ184" i="8" s="1"/>
  <c r="AZD48" i="9"/>
  <c r="AK184" i="8" s="1"/>
  <c r="AZE48" i="9"/>
  <c r="AL184" i="8" s="1"/>
  <c r="AZF48" i="9"/>
  <c r="AM184" i="8" s="1"/>
  <c r="AZG48" i="9"/>
  <c r="AN184" i="8" s="1"/>
  <c r="AZH48" i="9"/>
  <c r="AO184" i="8" s="1"/>
  <c r="AZI48" i="9"/>
  <c r="AP184" i="8" s="1"/>
  <c r="AZJ48" i="9"/>
  <c r="AQ184" i="8" s="1"/>
  <c r="AZK48" i="9"/>
  <c r="AR184" i="8" s="1"/>
  <c r="AZL48" i="9"/>
  <c r="AS184" i="8" s="1"/>
  <c r="AZM48" i="9"/>
  <c r="AT184" i="8" s="1"/>
  <c r="AWD48" i="9"/>
  <c r="C183" i="8" s="1"/>
  <c r="AWE48" i="9"/>
  <c r="D183" i="8" s="1"/>
  <c r="AWF48" i="9"/>
  <c r="E183" i="8" s="1"/>
  <c r="AWG48" i="9"/>
  <c r="F183" i="8" s="1"/>
  <c r="AWH48" i="9"/>
  <c r="G183" i="8" s="1"/>
  <c r="AWI48" i="9"/>
  <c r="H183" i="8" s="1"/>
  <c r="AWJ48" i="9"/>
  <c r="I183" i="8" s="1"/>
  <c r="AWK48" i="9"/>
  <c r="J183" i="8" s="1"/>
  <c r="AWL48" i="9"/>
  <c r="K183" i="8" s="1"/>
  <c r="AWM48" i="9"/>
  <c r="L183" i="8" s="1"/>
  <c r="AWN48" i="9"/>
  <c r="M183" i="8" s="1"/>
  <c r="AWO48" i="9"/>
  <c r="N183" i="8" s="1"/>
  <c r="AWP48" i="9"/>
  <c r="O183" i="8" s="1"/>
  <c r="AWQ48" i="9"/>
  <c r="P183" i="8" s="1"/>
  <c r="AWR48" i="9"/>
  <c r="Q183" i="8" s="1"/>
  <c r="AWS48" i="9"/>
  <c r="R183" i="8" s="1"/>
  <c r="AWT48" i="9"/>
  <c r="S183" i="8" s="1"/>
  <c r="AWU48" i="9"/>
  <c r="T183" i="8" s="1"/>
  <c r="AWV48" i="9"/>
  <c r="U183" i="8" s="1"/>
  <c r="AWW48" i="9"/>
  <c r="V183" i="8" s="1"/>
  <c r="AWX48" i="9"/>
  <c r="W183" i="8" s="1"/>
  <c r="AWY48" i="9"/>
  <c r="X183" i="8" s="1"/>
  <c r="AWZ48" i="9"/>
  <c r="Y183" i="8" s="1"/>
  <c r="AXA48" i="9"/>
  <c r="Z183" i="8" s="1"/>
  <c r="AXB48" i="9"/>
  <c r="AA183" i="8" s="1"/>
  <c r="AXC48" i="9"/>
  <c r="AB183" i="8" s="1"/>
  <c r="AXD48" i="9"/>
  <c r="AC183" i="8" s="1"/>
  <c r="AXE48" i="9"/>
  <c r="AD183" i="8" s="1"/>
  <c r="AXF48" i="9"/>
  <c r="AE183" i="8" s="1"/>
  <c r="AXG48" i="9"/>
  <c r="AF183" i="8" s="1"/>
  <c r="AXH48" i="9"/>
  <c r="AG183" i="8" s="1"/>
  <c r="AXI48" i="9"/>
  <c r="AH183" i="8" s="1"/>
  <c r="AXJ48" i="9"/>
  <c r="AI183" i="8" s="1"/>
  <c r="AXK48" i="9"/>
  <c r="AJ183" i="8" s="1"/>
  <c r="AXL48" i="9"/>
  <c r="AK183" i="8" s="1"/>
  <c r="AXM48" i="9"/>
  <c r="AL183" i="8" s="1"/>
  <c r="AXN48" i="9"/>
  <c r="AM183" i="8" s="1"/>
  <c r="AXO48" i="9"/>
  <c r="AN183" i="8" s="1"/>
  <c r="AXP48" i="9"/>
  <c r="AO183" i="8" s="1"/>
  <c r="AXQ48" i="9"/>
  <c r="AP183" i="8" s="1"/>
  <c r="AXR48" i="9"/>
  <c r="AQ183" i="8" s="1"/>
  <c r="AXS48" i="9"/>
  <c r="AR183" i="8" s="1"/>
  <c r="AXT48" i="9"/>
  <c r="AS183" i="8" s="1"/>
  <c r="AXU48" i="9"/>
  <c r="AT183" i="8" s="1"/>
  <c r="AUL48" i="9"/>
  <c r="C182" i="8" s="1"/>
  <c r="AUM48" i="9"/>
  <c r="D182" i="8" s="1"/>
  <c r="AUN48" i="9"/>
  <c r="E182" i="8" s="1"/>
  <c r="AUO48" i="9"/>
  <c r="F182" i="8" s="1"/>
  <c r="AUP48" i="9"/>
  <c r="G182" i="8" s="1"/>
  <c r="AUQ48" i="9"/>
  <c r="H182" i="8" s="1"/>
  <c r="AUR48" i="9"/>
  <c r="I182" i="8" s="1"/>
  <c r="AUS48" i="9"/>
  <c r="J182" i="8" s="1"/>
  <c r="AUT48" i="9"/>
  <c r="K182" i="8" s="1"/>
  <c r="AUU48" i="9"/>
  <c r="L182" i="8" s="1"/>
  <c r="AUV48" i="9"/>
  <c r="M182" i="8" s="1"/>
  <c r="AUW48" i="9"/>
  <c r="N182" i="8" s="1"/>
  <c r="AUX48" i="9"/>
  <c r="O182" i="8" s="1"/>
  <c r="AUY48" i="9"/>
  <c r="P182" i="8" s="1"/>
  <c r="AUZ48" i="9"/>
  <c r="Q182" i="8" s="1"/>
  <c r="AVA48" i="9"/>
  <c r="R182" i="8" s="1"/>
  <c r="AVB48" i="9"/>
  <c r="S182" i="8" s="1"/>
  <c r="AVC48" i="9"/>
  <c r="T182" i="8" s="1"/>
  <c r="AVD48" i="9"/>
  <c r="U182" i="8" s="1"/>
  <c r="AVE48" i="9"/>
  <c r="V182" i="8" s="1"/>
  <c r="AVF48" i="9"/>
  <c r="W182" i="8" s="1"/>
  <c r="AVG48" i="9"/>
  <c r="X182" i="8" s="1"/>
  <c r="AVH48" i="9"/>
  <c r="Y182" i="8" s="1"/>
  <c r="AVI48" i="9"/>
  <c r="Z182" i="8" s="1"/>
  <c r="AVJ48" i="9"/>
  <c r="AA182" i="8" s="1"/>
  <c r="AVK48" i="9"/>
  <c r="AB182" i="8" s="1"/>
  <c r="AVL48" i="9"/>
  <c r="AC182" i="8" s="1"/>
  <c r="AVM48" i="9"/>
  <c r="AD182" i="8" s="1"/>
  <c r="AVN48" i="9"/>
  <c r="AE182" i="8" s="1"/>
  <c r="AVO48" i="9"/>
  <c r="AF182" i="8" s="1"/>
  <c r="AVP48" i="9"/>
  <c r="AG182" i="8" s="1"/>
  <c r="AVQ48" i="9"/>
  <c r="AH182" i="8" s="1"/>
  <c r="AVR48" i="9"/>
  <c r="AI182" i="8" s="1"/>
  <c r="AVS48" i="9"/>
  <c r="AJ182" i="8" s="1"/>
  <c r="AVT48" i="9"/>
  <c r="AK182" i="8" s="1"/>
  <c r="AVU48" i="9"/>
  <c r="AL182" i="8" s="1"/>
  <c r="AVV48" i="9"/>
  <c r="AM182" i="8" s="1"/>
  <c r="AVW48" i="9"/>
  <c r="AN182" i="8" s="1"/>
  <c r="AVX48" i="9"/>
  <c r="AO182" i="8" s="1"/>
  <c r="AVY48" i="9"/>
  <c r="AP182" i="8" s="1"/>
  <c r="AVZ48" i="9"/>
  <c r="AQ182" i="8" s="1"/>
  <c r="AWA48" i="9"/>
  <c r="AR182" i="8" s="1"/>
  <c r="AWB48" i="9"/>
  <c r="AS182" i="8" s="1"/>
  <c r="AWC48" i="9"/>
  <c r="AT182" i="8" s="1"/>
  <c r="AST48" i="9"/>
  <c r="C181" i="8" s="1"/>
  <c r="ASU48" i="9"/>
  <c r="D181" i="8" s="1"/>
  <c r="ASV48" i="9"/>
  <c r="E181" i="8" s="1"/>
  <c r="ASW48" i="9"/>
  <c r="F181" i="8" s="1"/>
  <c r="ASX48" i="9"/>
  <c r="G181" i="8" s="1"/>
  <c r="ASY48" i="9"/>
  <c r="H181" i="8" s="1"/>
  <c r="ASZ48" i="9"/>
  <c r="I181" i="8" s="1"/>
  <c r="ATA48" i="9"/>
  <c r="J181" i="8" s="1"/>
  <c r="ATB48" i="9"/>
  <c r="K181" i="8" s="1"/>
  <c r="ATC48" i="9"/>
  <c r="L181" i="8" s="1"/>
  <c r="ATD48" i="9"/>
  <c r="M181" i="8" s="1"/>
  <c r="ATE48" i="9"/>
  <c r="N181" i="8" s="1"/>
  <c r="ATF48" i="9"/>
  <c r="O181" i="8" s="1"/>
  <c r="ATG48" i="9"/>
  <c r="P181" i="8" s="1"/>
  <c r="ATH48" i="9"/>
  <c r="Q181" i="8" s="1"/>
  <c r="ATI48" i="9"/>
  <c r="R181" i="8" s="1"/>
  <c r="ATJ48" i="9"/>
  <c r="S181" i="8" s="1"/>
  <c r="ATK48" i="9"/>
  <c r="T181" i="8" s="1"/>
  <c r="ATL48" i="9"/>
  <c r="U181" i="8" s="1"/>
  <c r="ATM48" i="9"/>
  <c r="V181" i="8" s="1"/>
  <c r="ATN48" i="9"/>
  <c r="W181" i="8" s="1"/>
  <c r="ATO48" i="9"/>
  <c r="X181" i="8" s="1"/>
  <c r="ATP48" i="9"/>
  <c r="Y181" i="8" s="1"/>
  <c r="ATQ48" i="9"/>
  <c r="Z181" i="8" s="1"/>
  <c r="ATR48" i="9"/>
  <c r="AA181" i="8" s="1"/>
  <c r="ATS48" i="9"/>
  <c r="AB181" i="8" s="1"/>
  <c r="ATT48" i="9"/>
  <c r="AC181" i="8" s="1"/>
  <c r="ATU48" i="9"/>
  <c r="AD181" i="8" s="1"/>
  <c r="ATV48" i="9"/>
  <c r="AE181" i="8" s="1"/>
  <c r="ATW48" i="9"/>
  <c r="AF181" i="8" s="1"/>
  <c r="ATX48" i="9"/>
  <c r="AG181" i="8" s="1"/>
  <c r="ATY48" i="9"/>
  <c r="AH181" i="8" s="1"/>
  <c r="ATZ48" i="9"/>
  <c r="AI181" i="8" s="1"/>
  <c r="AUA48" i="9"/>
  <c r="AJ181" i="8" s="1"/>
  <c r="AUB48" i="9"/>
  <c r="AK181" i="8" s="1"/>
  <c r="AUC48" i="9"/>
  <c r="AL181" i="8" s="1"/>
  <c r="AUD48" i="9"/>
  <c r="AM181" i="8" s="1"/>
  <c r="AUE48" i="9"/>
  <c r="AN181" i="8" s="1"/>
  <c r="AUF48" i="9"/>
  <c r="AO181" i="8" s="1"/>
  <c r="AUG48" i="9"/>
  <c r="AP181" i="8" s="1"/>
  <c r="AUH48" i="9"/>
  <c r="AQ181" i="8" s="1"/>
  <c r="AUI48" i="9"/>
  <c r="AR181" i="8" s="1"/>
  <c r="AUJ48" i="9"/>
  <c r="AS181" i="8" s="1"/>
  <c r="AUK48" i="9"/>
  <c r="AT181" i="8" s="1"/>
  <c r="ARB48" i="9"/>
  <c r="C180" i="8" s="1"/>
  <c r="ARC48" i="9"/>
  <c r="D180" i="8" s="1"/>
  <c r="ARD48" i="9"/>
  <c r="E180" i="8" s="1"/>
  <c r="ARE48" i="9"/>
  <c r="F180" i="8" s="1"/>
  <c r="ARF48" i="9"/>
  <c r="G180" i="8" s="1"/>
  <c r="ARG48" i="9"/>
  <c r="H180" i="8" s="1"/>
  <c r="ARH48" i="9"/>
  <c r="I180" i="8" s="1"/>
  <c r="ARI48" i="9"/>
  <c r="J180" i="8" s="1"/>
  <c r="ARJ48" i="9"/>
  <c r="K180" i="8" s="1"/>
  <c r="ARK48" i="9"/>
  <c r="L180" i="8" s="1"/>
  <c r="ARL48" i="9"/>
  <c r="M180" i="8" s="1"/>
  <c r="ARM48" i="9"/>
  <c r="N180" i="8" s="1"/>
  <c r="ARN48" i="9"/>
  <c r="O180" i="8" s="1"/>
  <c r="ARO48" i="9"/>
  <c r="P180" i="8" s="1"/>
  <c r="ARP48" i="9"/>
  <c r="Q180" i="8" s="1"/>
  <c r="ARQ48" i="9"/>
  <c r="R180" i="8" s="1"/>
  <c r="ARR48" i="9"/>
  <c r="S180" i="8" s="1"/>
  <c r="ARS48" i="9"/>
  <c r="T180" i="8" s="1"/>
  <c r="ART48" i="9"/>
  <c r="U180" i="8" s="1"/>
  <c r="ARU48" i="9"/>
  <c r="V180" i="8" s="1"/>
  <c r="ARV48" i="9"/>
  <c r="W180" i="8" s="1"/>
  <c r="ARW48" i="9"/>
  <c r="X180" i="8" s="1"/>
  <c r="ARX48" i="9"/>
  <c r="Y180" i="8" s="1"/>
  <c r="ARY48" i="9"/>
  <c r="Z180" i="8" s="1"/>
  <c r="ARZ48" i="9"/>
  <c r="AA180" i="8" s="1"/>
  <c r="ASA48" i="9"/>
  <c r="AB180" i="8" s="1"/>
  <c r="ASB48" i="9"/>
  <c r="AC180" i="8" s="1"/>
  <c r="ASC48" i="9"/>
  <c r="AD180" i="8" s="1"/>
  <c r="ASD48" i="9"/>
  <c r="AE180" i="8" s="1"/>
  <c r="ASE48" i="9"/>
  <c r="AF180" i="8" s="1"/>
  <c r="ASF48" i="9"/>
  <c r="AG180" i="8" s="1"/>
  <c r="ASG48" i="9"/>
  <c r="AH180" i="8" s="1"/>
  <c r="ASH48" i="9"/>
  <c r="AI180" i="8" s="1"/>
  <c r="ASI48" i="9"/>
  <c r="AJ180" i="8" s="1"/>
  <c r="ASJ48" i="9"/>
  <c r="AK180" i="8" s="1"/>
  <c r="ASK48" i="9"/>
  <c r="AL180" i="8" s="1"/>
  <c r="ASL48" i="9"/>
  <c r="AM180" i="8" s="1"/>
  <c r="ASM48" i="9"/>
  <c r="AN180" i="8" s="1"/>
  <c r="ASN48" i="9"/>
  <c r="AO180" i="8" s="1"/>
  <c r="ASO48" i="9"/>
  <c r="AP180" i="8" s="1"/>
  <c r="ASP48" i="9"/>
  <c r="AQ180" i="8" s="1"/>
  <c r="ASQ48" i="9"/>
  <c r="AR180" i="8" s="1"/>
  <c r="ASR48" i="9"/>
  <c r="AS180" i="8" s="1"/>
  <c r="ASS48" i="9"/>
  <c r="AT180" i="8" s="1"/>
  <c r="APJ48" i="9"/>
  <c r="C179" i="8" s="1"/>
  <c r="APK48" i="9"/>
  <c r="D179" i="8" s="1"/>
  <c r="APL48" i="9"/>
  <c r="E179" i="8" s="1"/>
  <c r="APM48" i="9"/>
  <c r="F179" i="8" s="1"/>
  <c r="APN48" i="9"/>
  <c r="G179" i="8" s="1"/>
  <c r="APO48" i="9"/>
  <c r="H179" i="8" s="1"/>
  <c r="APP48" i="9"/>
  <c r="I179" i="8" s="1"/>
  <c r="APQ48" i="9"/>
  <c r="J179" i="8" s="1"/>
  <c r="APR48" i="9"/>
  <c r="K179" i="8" s="1"/>
  <c r="APS48" i="9"/>
  <c r="L179" i="8" s="1"/>
  <c r="APT48" i="9"/>
  <c r="M179" i="8" s="1"/>
  <c r="APU48" i="9"/>
  <c r="N179" i="8" s="1"/>
  <c r="APV48" i="9"/>
  <c r="O179" i="8" s="1"/>
  <c r="APW48" i="9"/>
  <c r="P179" i="8" s="1"/>
  <c r="APX48" i="9"/>
  <c r="Q179" i="8" s="1"/>
  <c r="APY48" i="9"/>
  <c r="R179" i="8" s="1"/>
  <c r="APZ48" i="9"/>
  <c r="S179" i="8" s="1"/>
  <c r="AQA48" i="9"/>
  <c r="T179" i="8" s="1"/>
  <c r="AQB48" i="9"/>
  <c r="U179" i="8" s="1"/>
  <c r="AQC48" i="9"/>
  <c r="V179" i="8" s="1"/>
  <c r="AQD48" i="9"/>
  <c r="W179" i="8" s="1"/>
  <c r="AQE48" i="9"/>
  <c r="X179" i="8" s="1"/>
  <c r="AQF48" i="9"/>
  <c r="Y179" i="8" s="1"/>
  <c r="AQG48" i="9"/>
  <c r="Z179" i="8" s="1"/>
  <c r="AQH48" i="9"/>
  <c r="AA179" i="8" s="1"/>
  <c r="AQI48" i="9"/>
  <c r="AB179" i="8" s="1"/>
  <c r="AQJ48" i="9"/>
  <c r="AC179" i="8" s="1"/>
  <c r="AQK48" i="9"/>
  <c r="AD179" i="8" s="1"/>
  <c r="AQL48" i="9"/>
  <c r="AE179" i="8" s="1"/>
  <c r="AQM48" i="9"/>
  <c r="AF179" i="8" s="1"/>
  <c r="AQN48" i="9"/>
  <c r="AG179" i="8" s="1"/>
  <c r="AQO48" i="9"/>
  <c r="AH179" i="8" s="1"/>
  <c r="AQP48" i="9"/>
  <c r="AI179" i="8" s="1"/>
  <c r="AQQ48" i="9"/>
  <c r="AJ179" i="8" s="1"/>
  <c r="AQR48" i="9"/>
  <c r="AK179" i="8" s="1"/>
  <c r="AQS48" i="9"/>
  <c r="AL179" i="8" s="1"/>
  <c r="AQT48" i="9"/>
  <c r="AM179" i="8" s="1"/>
  <c r="AQU48" i="9"/>
  <c r="AN179" i="8" s="1"/>
  <c r="AQV48" i="9"/>
  <c r="AO179" i="8" s="1"/>
  <c r="AQW48" i="9"/>
  <c r="AP179" i="8" s="1"/>
  <c r="AQX48" i="9"/>
  <c r="AQ179" i="8" s="1"/>
  <c r="AQY48" i="9"/>
  <c r="AR179" i="8" s="1"/>
  <c r="AQZ48" i="9"/>
  <c r="AS179" i="8" s="1"/>
  <c r="ARA48" i="9"/>
  <c r="AT179" i="8" s="1"/>
  <c r="ANR48" i="9"/>
  <c r="C178" i="8" s="1"/>
  <c r="ANS48" i="9"/>
  <c r="D178" i="8" s="1"/>
  <c r="ANT48" i="9"/>
  <c r="E178" i="8" s="1"/>
  <c r="ANU48" i="9"/>
  <c r="F178" i="8" s="1"/>
  <c r="ANV48" i="9"/>
  <c r="G178" i="8" s="1"/>
  <c r="ANW48" i="9"/>
  <c r="H178" i="8" s="1"/>
  <c r="ANX48" i="9"/>
  <c r="I178" i="8" s="1"/>
  <c r="ANY48" i="9"/>
  <c r="J178" i="8" s="1"/>
  <c r="ANZ48" i="9"/>
  <c r="K178" i="8" s="1"/>
  <c r="AOA48" i="9"/>
  <c r="L178" i="8" s="1"/>
  <c r="AOB48" i="9"/>
  <c r="M178" i="8" s="1"/>
  <c r="AOC48" i="9"/>
  <c r="N178" i="8" s="1"/>
  <c r="AOD48" i="9"/>
  <c r="O178" i="8" s="1"/>
  <c r="AOE48" i="9"/>
  <c r="P178" i="8" s="1"/>
  <c r="AOF48" i="9"/>
  <c r="Q178" i="8" s="1"/>
  <c r="AOG48" i="9"/>
  <c r="R178" i="8" s="1"/>
  <c r="AOH48" i="9"/>
  <c r="S178" i="8" s="1"/>
  <c r="AOI48" i="9"/>
  <c r="T178" i="8" s="1"/>
  <c r="AOJ48" i="9"/>
  <c r="U178" i="8" s="1"/>
  <c r="AOK48" i="9"/>
  <c r="V178" i="8" s="1"/>
  <c r="AOL48" i="9"/>
  <c r="W178" i="8" s="1"/>
  <c r="AOM48" i="9"/>
  <c r="X178" i="8" s="1"/>
  <c r="AON48" i="9"/>
  <c r="Y178" i="8" s="1"/>
  <c r="AOO48" i="9"/>
  <c r="Z178" i="8" s="1"/>
  <c r="AOP48" i="9"/>
  <c r="AA178" i="8" s="1"/>
  <c r="AOQ48" i="9"/>
  <c r="AB178" i="8" s="1"/>
  <c r="AOR48" i="9"/>
  <c r="AC178" i="8" s="1"/>
  <c r="AOS48" i="9"/>
  <c r="AD178" i="8" s="1"/>
  <c r="AOT48" i="9"/>
  <c r="AE178" i="8" s="1"/>
  <c r="AOU48" i="9"/>
  <c r="AF178" i="8" s="1"/>
  <c r="AOV48" i="9"/>
  <c r="AG178" i="8" s="1"/>
  <c r="AOW48" i="9"/>
  <c r="AH178" i="8" s="1"/>
  <c r="AOX48" i="9"/>
  <c r="AI178" i="8" s="1"/>
  <c r="AOY48" i="9"/>
  <c r="AJ178" i="8" s="1"/>
  <c r="AOZ48" i="9"/>
  <c r="AK178" i="8" s="1"/>
  <c r="APA48" i="9"/>
  <c r="AL178" i="8" s="1"/>
  <c r="APB48" i="9"/>
  <c r="AM178" i="8" s="1"/>
  <c r="APC48" i="9"/>
  <c r="AN178" i="8" s="1"/>
  <c r="APD48" i="9"/>
  <c r="AO178" i="8" s="1"/>
  <c r="APE48" i="9"/>
  <c r="AP178" i="8" s="1"/>
  <c r="APF48" i="9"/>
  <c r="AQ178" i="8" s="1"/>
  <c r="APG48" i="9"/>
  <c r="AR178" i="8" s="1"/>
  <c r="APH48" i="9"/>
  <c r="AS178" i="8" s="1"/>
  <c r="API48" i="9"/>
  <c r="AT178" i="8" s="1"/>
  <c r="ALZ48" i="9"/>
  <c r="C177" i="8" s="1"/>
  <c r="AMA48" i="9"/>
  <c r="D177" i="8" s="1"/>
  <c r="AMB48" i="9"/>
  <c r="E177" i="8" s="1"/>
  <c r="AMC48" i="9"/>
  <c r="F177" i="8" s="1"/>
  <c r="AMD48" i="9"/>
  <c r="G177" i="8" s="1"/>
  <c r="AME48" i="9"/>
  <c r="H177" i="8" s="1"/>
  <c r="AMF48" i="9"/>
  <c r="I177" i="8" s="1"/>
  <c r="AMG48" i="9"/>
  <c r="J177" i="8" s="1"/>
  <c r="AMH48" i="9"/>
  <c r="K177" i="8" s="1"/>
  <c r="AMI48" i="9"/>
  <c r="L177" i="8" s="1"/>
  <c r="AMJ48" i="9"/>
  <c r="M177" i="8" s="1"/>
  <c r="AMK48" i="9"/>
  <c r="N177" i="8" s="1"/>
  <c r="AML48" i="9"/>
  <c r="O177" i="8" s="1"/>
  <c r="AMM48" i="9"/>
  <c r="P177" i="8" s="1"/>
  <c r="AMN48" i="9"/>
  <c r="Q177" i="8" s="1"/>
  <c r="AMO48" i="9"/>
  <c r="R177" i="8" s="1"/>
  <c r="AMP48" i="9"/>
  <c r="S177" i="8" s="1"/>
  <c r="AMQ48" i="9"/>
  <c r="T177" i="8" s="1"/>
  <c r="AMR48" i="9"/>
  <c r="U177" i="8" s="1"/>
  <c r="AMS48" i="9"/>
  <c r="V177" i="8" s="1"/>
  <c r="AMT48" i="9"/>
  <c r="W177" i="8" s="1"/>
  <c r="AMU48" i="9"/>
  <c r="X177" i="8" s="1"/>
  <c r="AMV48" i="9"/>
  <c r="Y177" i="8" s="1"/>
  <c r="AMW48" i="9"/>
  <c r="Z177" i="8" s="1"/>
  <c r="AMX48" i="9"/>
  <c r="AA177" i="8" s="1"/>
  <c r="AMY48" i="9"/>
  <c r="AB177" i="8" s="1"/>
  <c r="AMZ48" i="9"/>
  <c r="AC177" i="8" s="1"/>
  <c r="ANA48" i="9"/>
  <c r="AD177" i="8" s="1"/>
  <c r="ANB48" i="9"/>
  <c r="AE177" i="8" s="1"/>
  <c r="ANC48" i="9"/>
  <c r="AF177" i="8" s="1"/>
  <c r="AND48" i="9"/>
  <c r="AG177" i="8" s="1"/>
  <c r="ANE48" i="9"/>
  <c r="AH177" i="8" s="1"/>
  <c r="ANF48" i="9"/>
  <c r="AI177" i="8" s="1"/>
  <c r="ANG48" i="9"/>
  <c r="AJ177" i="8" s="1"/>
  <c r="ANH48" i="9"/>
  <c r="AK177" i="8" s="1"/>
  <c r="ANI48" i="9"/>
  <c r="AL177" i="8" s="1"/>
  <c r="ANJ48" i="9"/>
  <c r="AM177" i="8" s="1"/>
  <c r="ANK48" i="9"/>
  <c r="AN177" i="8" s="1"/>
  <c r="ANL48" i="9"/>
  <c r="AO177" i="8" s="1"/>
  <c r="ANM48" i="9"/>
  <c r="AP177" i="8" s="1"/>
  <c r="ANN48" i="9"/>
  <c r="AQ177" i="8" s="1"/>
  <c r="ANO48" i="9"/>
  <c r="AR177" i="8" s="1"/>
  <c r="ANP48" i="9"/>
  <c r="AS177" i="8" s="1"/>
  <c r="ANQ48" i="9"/>
  <c r="AT177" i="8" s="1"/>
  <c r="AKH48" i="9"/>
  <c r="C176" i="8" s="1"/>
  <c r="AKI48" i="9"/>
  <c r="D176" i="8" s="1"/>
  <c r="AKJ48" i="9"/>
  <c r="E176" i="8" s="1"/>
  <c r="AKK48" i="9"/>
  <c r="F176" i="8" s="1"/>
  <c r="AKL48" i="9"/>
  <c r="G176" i="8" s="1"/>
  <c r="AKM48" i="9"/>
  <c r="H176" i="8" s="1"/>
  <c r="AKN48" i="9"/>
  <c r="I176" i="8" s="1"/>
  <c r="AKO48" i="9"/>
  <c r="J176" i="8" s="1"/>
  <c r="AKP48" i="9"/>
  <c r="K176" i="8" s="1"/>
  <c r="AKQ48" i="9"/>
  <c r="L176" i="8" s="1"/>
  <c r="AKR48" i="9"/>
  <c r="M176" i="8" s="1"/>
  <c r="AKS48" i="9"/>
  <c r="N176" i="8" s="1"/>
  <c r="AKT48" i="9"/>
  <c r="O176" i="8" s="1"/>
  <c r="AKU48" i="9"/>
  <c r="P176" i="8" s="1"/>
  <c r="AKV48" i="9"/>
  <c r="Q176" i="8" s="1"/>
  <c r="AKW48" i="9"/>
  <c r="R176" i="8" s="1"/>
  <c r="AKX48" i="9"/>
  <c r="S176" i="8" s="1"/>
  <c r="AKY48" i="9"/>
  <c r="T176" i="8" s="1"/>
  <c r="AKZ48" i="9"/>
  <c r="U176" i="8" s="1"/>
  <c r="ALA48" i="9"/>
  <c r="V176" i="8" s="1"/>
  <c r="ALB48" i="9"/>
  <c r="W176" i="8" s="1"/>
  <c r="ALC48" i="9"/>
  <c r="X176" i="8" s="1"/>
  <c r="ALD48" i="9"/>
  <c r="Y176" i="8" s="1"/>
  <c r="ALE48" i="9"/>
  <c r="Z176" i="8" s="1"/>
  <c r="ALF48" i="9"/>
  <c r="AA176" i="8" s="1"/>
  <c r="ALG48" i="9"/>
  <c r="AB176" i="8" s="1"/>
  <c r="ALH48" i="9"/>
  <c r="AC176" i="8" s="1"/>
  <c r="ALI48" i="9"/>
  <c r="AD176" i="8" s="1"/>
  <c r="ALJ48" i="9"/>
  <c r="AE176" i="8" s="1"/>
  <c r="ALK48" i="9"/>
  <c r="AF176" i="8" s="1"/>
  <c r="ALL48" i="9"/>
  <c r="AG176" i="8" s="1"/>
  <c r="ALM48" i="9"/>
  <c r="AH176" i="8" s="1"/>
  <c r="ALN48" i="9"/>
  <c r="AI176" i="8" s="1"/>
  <c r="ALO48" i="9"/>
  <c r="AJ176" i="8" s="1"/>
  <c r="ALP48" i="9"/>
  <c r="AK176" i="8" s="1"/>
  <c r="ALQ48" i="9"/>
  <c r="AL176" i="8" s="1"/>
  <c r="ALR48" i="9"/>
  <c r="AM176" i="8" s="1"/>
  <c r="ALS48" i="9"/>
  <c r="AN176" i="8" s="1"/>
  <c r="ALT48" i="9"/>
  <c r="AO176" i="8" s="1"/>
  <c r="ALU48" i="9"/>
  <c r="AP176" i="8" s="1"/>
  <c r="ALV48" i="9"/>
  <c r="AQ176" i="8" s="1"/>
  <c r="ALW48" i="9"/>
  <c r="AR176" i="8" s="1"/>
  <c r="ALX48" i="9"/>
  <c r="AS176" i="8" s="1"/>
  <c r="ALY48" i="9"/>
  <c r="AT176" i="8" s="1"/>
  <c r="AIP48" i="9"/>
  <c r="C175" i="8" s="1"/>
  <c r="AIQ48" i="9"/>
  <c r="D175" i="8" s="1"/>
  <c r="AIR48" i="9"/>
  <c r="E175" i="8" s="1"/>
  <c r="AIS48" i="9"/>
  <c r="F175" i="8" s="1"/>
  <c r="AIT48" i="9"/>
  <c r="G175" i="8" s="1"/>
  <c r="AIU48" i="9"/>
  <c r="H175" i="8" s="1"/>
  <c r="AIV48" i="9"/>
  <c r="I175" i="8" s="1"/>
  <c r="AIW48" i="9"/>
  <c r="J175" i="8" s="1"/>
  <c r="AIX48" i="9"/>
  <c r="K175" i="8" s="1"/>
  <c r="AIY48" i="9"/>
  <c r="L175" i="8" s="1"/>
  <c r="AIZ48" i="9"/>
  <c r="M175" i="8" s="1"/>
  <c r="AJA48" i="9"/>
  <c r="N175" i="8" s="1"/>
  <c r="AJB48" i="9"/>
  <c r="O175" i="8" s="1"/>
  <c r="AJC48" i="9"/>
  <c r="P175" i="8" s="1"/>
  <c r="AJD48" i="9"/>
  <c r="Q175" i="8" s="1"/>
  <c r="AJE48" i="9"/>
  <c r="R175" i="8" s="1"/>
  <c r="AJF48" i="9"/>
  <c r="S175" i="8" s="1"/>
  <c r="AJG48" i="9"/>
  <c r="T175" i="8" s="1"/>
  <c r="AJH48" i="9"/>
  <c r="U175" i="8" s="1"/>
  <c r="AJI48" i="9"/>
  <c r="V175" i="8" s="1"/>
  <c r="AJJ48" i="9"/>
  <c r="W175" i="8" s="1"/>
  <c r="AJK48" i="9"/>
  <c r="X175" i="8" s="1"/>
  <c r="AJL48" i="9"/>
  <c r="Y175" i="8" s="1"/>
  <c r="AJM48" i="9"/>
  <c r="Z175" i="8" s="1"/>
  <c r="AJN48" i="9"/>
  <c r="AA175" i="8" s="1"/>
  <c r="AJO48" i="9"/>
  <c r="AB175" i="8" s="1"/>
  <c r="AJP48" i="9"/>
  <c r="AC175" i="8" s="1"/>
  <c r="AJQ48" i="9"/>
  <c r="AD175" i="8" s="1"/>
  <c r="AJR48" i="9"/>
  <c r="AE175" i="8" s="1"/>
  <c r="AJS48" i="9"/>
  <c r="AF175" i="8" s="1"/>
  <c r="AJT48" i="9"/>
  <c r="AG175" i="8" s="1"/>
  <c r="AJU48" i="9"/>
  <c r="AH175" i="8" s="1"/>
  <c r="AJV48" i="9"/>
  <c r="AI175" i="8" s="1"/>
  <c r="AJW48" i="9"/>
  <c r="AJ175" i="8" s="1"/>
  <c r="AJX48" i="9"/>
  <c r="AK175" i="8" s="1"/>
  <c r="AJY48" i="9"/>
  <c r="AL175" i="8" s="1"/>
  <c r="AJZ48" i="9"/>
  <c r="AM175" i="8" s="1"/>
  <c r="AKA48" i="9"/>
  <c r="AN175" i="8" s="1"/>
  <c r="AKB48" i="9"/>
  <c r="AO175" i="8" s="1"/>
  <c r="AKC48" i="9"/>
  <c r="AP175" i="8" s="1"/>
  <c r="AKD48" i="9"/>
  <c r="AQ175" i="8" s="1"/>
  <c r="AKE48" i="9"/>
  <c r="AR175" i="8" s="1"/>
  <c r="AKF48" i="9"/>
  <c r="AS175" i="8" s="1"/>
  <c r="AKG48" i="9"/>
  <c r="AT175" i="8" s="1"/>
  <c r="AGX48" i="9"/>
  <c r="C174" i="8" s="1"/>
  <c r="AGY48" i="9"/>
  <c r="D174" i="8" s="1"/>
  <c r="AGZ48" i="9"/>
  <c r="E174" i="8" s="1"/>
  <c r="AHA48" i="9"/>
  <c r="F174" i="8" s="1"/>
  <c r="AHB48" i="9"/>
  <c r="G174" i="8" s="1"/>
  <c r="AHC48" i="9"/>
  <c r="H174" i="8" s="1"/>
  <c r="AHD48" i="9"/>
  <c r="I174" i="8" s="1"/>
  <c r="AHE48" i="9"/>
  <c r="J174" i="8" s="1"/>
  <c r="AHF48" i="9"/>
  <c r="K174" i="8" s="1"/>
  <c r="AHG48" i="9"/>
  <c r="L174" i="8" s="1"/>
  <c r="AHH48" i="9"/>
  <c r="M174" i="8" s="1"/>
  <c r="AHI48" i="9"/>
  <c r="N174" i="8" s="1"/>
  <c r="AHJ48" i="9"/>
  <c r="O174" i="8" s="1"/>
  <c r="AHK48" i="9"/>
  <c r="P174" i="8" s="1"/>
  <c r="AHL48" i="9"/>
  <c r="Q174" i="8" s="1"/>
  <c r="AHM48" i="9"/>
  <c r="R174" i="8" s="1"/>
  <c r="AHN48" i="9"/>
  <c r="S174" i="8" s="1"/>
  <c r="AHO48" i="9"/>
  <c r="T174" i="8" s="1"/>
  <c r="AHP48" i="9"/>
  <c r="U174" i="8" s="1"/>
  <c r="AHQ48" i="9"/>
  <c r="V174" i="8" s="1"/>
  <c r="AHR48" i="9"/>
  <c r="W174" i="8" s="1"/>
  <c r="AHS48" i="9"/>
  <c r="X174" i="8" s="1"/>
  <c r="AHT48" i="9"/>
  <c r="Y174" i="8" s="1"/>
  <c r="AHU48" i="9"/>
  <c r="Z174" i="8" s="1"/>
  <c r="AHV48" i="9"/>
  <c r="AA174" i="8" s="1"/>
  <c r="AHW48" i="9"/>
  <c r="AB174" i="8" s="1"/>
  <c r="AHX48" i="9"/>
  <c r="AC174" i="8" s="1"/>
  <c r="AHY48" i="9"/>
  <c r="AD174" i="8" s="1"/>
  <c r="AHZ48" i="9"/>
  <c r="AE174" i="8" s="1"/>
  <c r="AIA48" i="9"/>
  <c r="AF174" i="8" s="1"/>
  <c r="AIB48" i="9"/>
  <c r="AG174" i="8" s="1"/>
  <c r="AIC48" i="9"/>
  <c r="AH174" i="8" s="1"/>
  <c r="AID48" i="9"/>
  <c r="AI174" i="8" s="1"/>
  <c r="AIE48" i="9"/>
  <c r="AJ174" i="8" s="1"/>
  <c r="AIF48" i="9"/>
  <c r="AK174" i="8" s="1"/>
  <c r="AIG48" i="9"/>
  <c r="AL174" i="8" s="1"/>
  <c r="AIH48" i="9"/>
  <c r="AM174" i="8" s="1"/>
  <c r="AII48" i="9"/>
  <c r="AN174" i="8" s="1"/>
  <c r="AIJ48" i="9"/>
  <c r="AO174" i="8" s="1"/>
  <c r="AIK48" i="9"/>
  <c r="AP174" i="8" s="1"/>
  <c r="AIL48" i="9"/>
  <c r="AQ174" i="8" s="1"/>
  <c r="AIM48" i="9"/>
  <c r="AR174" i="8" s="1"/>
  <c r="AIN48" i="9"/>
  <c r="AS174" i="8" s="1"/>
  <c r="AIO48" i="9"/>
  <c r="AT174" i="8" s="1"/>
  <c r="AFF48" i="9"/>
  <c r="C173" i="8" s="1"/>
  <c r="AFG48" i="9"/>
  <c r="D173" i="8" s="1"/>
  <c r="AFH48" i="9"/>
  <c r="E173" i="8" s="1"/>
  <c r="AFI48" i="9"/>
  <c r="F173" i="8" s="1"/>
  <c r="AFJ48" i="9"/>
  <c r="G173" i="8" s="1"/>
  <c r="AFK48" i="9"/>
  <c r="H173" i="8" s="1"/>
  <c r="AFL48" i="9"/>
  <c r="I173" i="8" s="1"/>
  <c r="AFM48" i="9"/>
  <c r="J173" i="8" s="1"/>
  <c r="AFN48" i="9"/>
  <c r="K173" i="8" s="1"/>
  <c r="AFO48" i="9"/>
  <c r="L173" i="8" s="1"/>
  <c r="AFP48" i="9"/>
  <c r="M173" i="8" s="1"/>
  <c r="AFQ48" i="9"/>
  <c r="N173" i="8" s="1"/>
  <c r="AFR48" i="9"/>
  <c r="O173" i="8" s="1"/>
  <c r="AFS48" i="9"/>
  <c r="P173" i="8" s="1"/>
  <c r="AFT48" i="9"/>
  <c r="Q173" i="8" s="1"/>
  <c r="AFU48" i="9"/>
  <c r="R173" i="8" s="1"/>
  <c r="AFV48" i="9"/>
  <c r="S173" i="8" s="1"/>
  <c r="AFW48" i="9"/>
  <c r="T173" i="8" s="1"/>
  <c r="AFX48" i="9"/>
  <c r="U173" i="8" s="1"/>
  <c r="AFY48" i="9"/>
  <c r="V173" i="8" s="1"/>
  <c r="AFZ48" i="9"/>
  <c r="W173" i="8" s="1"/>
  <c r="AGA48" i="9"/>
  <c r="X173" i="8" s="1"/>
  <c r="AGB48" i="9"/>
  <c r="Y173" i="8" s="1"/>
  <c r="AGC48" i="9"/>
  <c r="Z173" i="8" s="1"/>
  <c r="AGD48" i="9"/>
  <c r="AA173" i="8" s="1"/>
  <c r="AGE48" i="9"/>
  <c r="AB173" i="8" s="1"/>
  <c r="AGF48" i="9"/>
  <c r="AC173" i="8" s="1"/>
  <c r="AGG48" i="9"/>
  <c r="AD173" i="8" s="1"/>
  <c r="AGH48" i="9"/>
  <c r="AE173" i="8" s="1"/>
  <c r="AGI48" i="9"/>
  <c r="AF173" i="8" s="1"/>
  <c r="AGJ48" i="9"/>
  <c r="AG173" i="8" s="1"/>
  <c r="AGK48" i="9"/>
  <c r="AH173" i="8" s="1"/>
  <c r="AGL48" i="9"/>
  <c r="AI173" i="8" s="1"/>
  <c r="AGM48" i="9"/>
  <c r="AJ173" i="8" s="1"/>
  <c r="AGN48" i="9"/>
  <c r="AK173" i="8" s="1"/>
  <c r="AGO48" i="9"/>
  <c r="AL173" i="8" s="1"/>
  <c r="AGP48" i="9"/>
  <c r="AM173" i="8" s="1"/>
  <c r="AGQ48" i="9"/>
  <c r="AN173" i="8" s="1"/>
  <c r="AGR48" i="9"/>
  <c r="AO173" i="8" s="1"/>
  <c r="AGS48" i="9"/>
  <c r="AP173" i="8" s="1"/>
  <c r="AGT48" i="9"/>
  <c r="AQ173" i="8" s="1"/>
  <c r="AGU48" i="9"/>
  <c r="AR173" i="8" s="1"/>
  <c r="AGV48" i="9"/>
  <c r="AS173" i="8" s="1"/>
  <c r="AGW48" i="9"/>
  <c r="AT173" i="8" s="1"/>
  <c r="ADN48" i="9"/>
  <c r="C172" i="8" s="1"/>
  <c r="ADO48" i="9"/>
  <c r="D172" i="8" s="1"/>
  <c r="ADP48" i="9"/>
  <c r="E172" i="8" s="1"/>
  <c r="ADQ48" i="9"/>
  <c r="F172" i="8" s="1"/>
  <c r="ADR48" i="9"/>
  <c r="G172" i="8" s="1"/>
  <c r="ADS48" i="9"/>
  <c r="H172" i="8" s="1"/>
  <c r="ADT48" i="9"/>
  <c r="I172" i="8" s="1"/>
  <c r="ADU48" i="9"/>
  <c r="J172" i="8" s="1"/>
  <c r="ADV48" i="9"/>
  <c r="K172" i="8" s="1"/>
  <c r="ADW48" i="9"/>
  <c r="L172" i="8" s="1"/>
  <c r="ADX48" i="9"/>
  <c r="M172" i="8" s="1"/>
  <c r="ADY48" i="9"/>
  <c r="N172" i="8" s="1"/>
  <c r="ADZ48" i="9"/>
  <c r="O172" i="8" s="1"/>
  <c r="AEA48" i="9"/>
  <c r="P172" i="8" s="1"/>
  <c r="AEB48" i="9"/>
  <c r="Q172" i="8" s="1"/>
  <c r="AEC48" i="9"/>
  <c r="R172" i="8" s="1"/>
  <c r="AED48" i="9"/>
  <c r="S172" i="8" s="1"/>
  <c r="AEE48" i="9"/>
  <c r="T172" i="8" s="1"/>
  <c r="AEF48" i="9"/>
  <c r="U172" i="8" s="1"/>
  <c r="AEG48" i="9"/>
  <c r="V172" i="8" s="1"/>
  <c r="AEH48" i="9"/>
  <c r="W172" i="8" s="1"/>
  <c r="AEI48" i="9"/>
  <c r="X172" i="8" s="1"/>
  <c r="AEJ48" i="9"/>
  <c r="Y172" i="8" s="1"/>
  <c r="AEK48" i="9"/>
  <c r="Z172" i="8" s="1"/>
  <c r="AEL48" i="9"/>
  <c r="AA172" i="8" s="1"/>
  <c r="AEM48" i="9"/>
  <c r="AB172" i="8" s="1"/>
  <c r="AEN48" i="9"/>
  <c r="AC172" i="8" s="1"/>
  <c r="AEO48" i="9"/>
  <c r="AD172" i="8" s="1"/>
  <c r="AEP48" i="9"/>
  <c r="AE172" i="8" s="1"/>
  <c r="AEQ48" i="9"/>
  <c r="AF172" i="8" s="1"/>
  <c r="AER48" i="9"/>
  <c r="AG172" i="8" s="1"/>
  <c r="AES48" i="9"/>
  <c r="AH172" i="8" s="1"/>
  <c r="AET48" i="9"/>
  <c r="AI172" i="8" s="1"/>
  <c r="AEU48" i="9"/>
  <c r="AJ172" i="8" s="1"/>
  <c r="AEV48" i="9"/>
  <c r="AK172" i="8" s="1"/>
  <c r="AEW48" i="9"/>
  <c r="AL172" i="8" s="1"/>
  <c r="AEX48" i="9"/>
  <c r="AM172" i="8" s="1"/>
  <c r="AEY48" i="9"/>
  <c r="AN172" i="8" s="1"/>
  <c r="AEZ48" i="9"/>
  <c r="AO172" i="8" s="1"/>
  <c r="AFA48" i="9"/>
  <c r="AP172" i="8" s="1"/>
  <c r="AFB48" i="9"/>
  <c r="AQ172" i="8" s="1"/>
  <c r="AFC48" i="9"/>
  <c r="AR172" i="8" s="1"/>
  <c r="AFD48" i="9"/>
  <c r="AS172" i="8" s="1"/>
  <c r="AFE48" i="9"/>
  <c r="AT172" i="8" s="1"/>
  <c r="ABV48" i="9"/>
  <c r="C171" i="8" s="1"/>
  <c r="ABW48" i="9"/>
  <c r="D171" i="8" s="1"/>
  <c r="ABX48" i="9"/>
  <c r="E171" i="8" s="1"/>
  <c r="ABY48" i="9"/>
  <c r="F171" i="8" s="1"/>
  <c r="ABZ48" i="9"/>
  <c r="G171" i="8" s="1"/>
  <c r="ACA48" i="9"/>
  <c r="H171" i="8" s="1"/>
  <c r="ACB48" i="9"/>
  <c r="I171" i="8" s="1"/>
  <c r="ACC48" i="9"/>
  <c r="J171" i="8" s="1"/>
  <c r="ACD48" i="9"/>
  <c r="K171" i="8" s="1"/>
  <c r="ACE48" i="9"/>
  <c r="L171" i="8" s="1"/>
  <c r="ACF48" i="9"/>
  <c r="M171" i="8" s="1"/>
  <c r="ACG48" i="9"/>
  <c r="N171" i="8" s="1"/>
  <c r="ACH48" i="9"/>
  <c r="O171" i="8" s="1"/>
  <c r="ACI48" i="9"/>
  <c r="P171" i="8" s="1"/>
  <c r="ACJ48" i="9"/>
  <c r="Q171" i="8" s="1"/>
  <c r="ACK48" i="9"/>
  <c r="R171" i="8" s="1"/>
  <c r="ACL48" i="9"/>
  <c r="S171" i="8" s="1"/>
  <c r="ACM48" i="9"/>
  <c r="T171" i="8" s="1"/>
  <c r="ACN48" i="9"/>
  <c r="U171" i="8" s="1"/>
  <c r="ACO48" i="9"/>
  <c r="V171" i="8" s="1"/>
  <c r="ACP48" i="9"/>
  <c r="W171" i="8" s="1"/>
  <c r="ACQ48" i="9"/>
  <c r="X171" i="8" s="1"/>
  <c r="ACR48" i="9"/>
  <c r="Y171" i="8" s="1"/>
  <c r="ACS48" i="9"/>
  <c r="Z171" i="8" s="1"/>
  <c r="ACT48" i="9"/>
  <c r="AA171" i="8" s="1"/>
  <c r="ACU48" i="9"/>
  <c r="AB171" i="8" s="1"/>
  <c r="ACV48" i="9"/>
  <c r="AC171" i="8" s="1"/>
  <c r="ACW48" i="9"/>
  <c r="AD171" i="8" s="1"/>
  <c r="ACX48" i="9"/>
  <c r="AE171" i="8" s="1"/>
  <c r="ACY48" i="9"/>
  <c r="AF171" i="8" s="1"/>
  <c r="ACZ48" i="9"/>
  <c r="AG171" i="8" s="1"/>
  <c r="ADA48" i="9"/>
  <c r="AH171" i="8" s="1"/>
  <c r="ADB48" i="9"/>
  <c r="AI171" i="8" s="1"/>
  <c r="ADC48" i="9"/>
  <c r="AJ171" i="8" s="1"/>
  <c r="ADD48" i="9"/>
  <c r="AK171" i="8" s="1"/>
  <c r="ADE48" i="9"/>
  <c r="AL171" i="8" s="1"/>
  <c r="ADF48" i="9"/>
  <c r="AM171" i="8" s="1"/>
  <c r="ADG48" i="9"/>
  <c r="AN171" i="8" s="1"/>
  <c r="ADH48" i="9"/>
  <c r="AO171" i="8" s="1"/>
  <c r="ADI48" i="9"/>
  <c r="AP171" i="8" s="1"/>
  <c r="ADJ48" i="9"/>
  <c r="AQ171" i="8" s="1"/>
  <c r="ADK48" i="9"/>
  <c r="AR171" i="8" s="1"/>
  <c r="ADL48" i="9"/>
  <c r="AS171" i="8" s="1"/>
  <c r="ADM48" i="9"/>
  <c r="AT171" i="8" s="1"/>
  <c r="AAD48" i="9"/>
  <c r="C170" i="8" s="1"/>
  <c r="AAE48" i="9"/>
  <c r="D170" i="8" s="1"/>
  <c r="AAF48" i="9"/>
  <c r="E170" i="8" s="1"/>
  <c r="AAG48" i="9"/>
  <c r="F170" i="8" s="1"/>
  <c r="AAH48" i="9"/>
  <c r="G170" i="8" s="1"/>
  <c r="AAI48" i="9"/>
  <c r="H170" i="8" s="1"/>
  <c r="AAJ48" i="9"/>
  <c r="I170" i="8" s="1"/>
  <c r="AAK48" i="9"/>
  <c r="J170" i="8" s="1"/>
  <c r="AAL48" i="9"/>
  <c r="K170" i="8" s="1"/>
  <c r="AAM48" i="9"/>
  <c r="L170" i="8" s="1"/>
  <c r="AAN48" i="9"/>
  <c r="M170" i="8" s="1"/>
  <c r="AAO48" i="9"/>
  <c r="N170" i="8" s="1"/>
  <c r="AAP48" i="9"/>
  <c r="O170" i="8" s="1"/>
  <c r="AAQ48" i="9"/>
  <c r="P170" i="8" s="1"/>
  <c r="AAR48" i="9"/>
  <c r="Q170" i="8" s="1"/>
  <c r="AAS48" i="9"/>
  <c r="R170" i="8" s="1"/>
  <c r="AAT48" i="9"/>
  <c r="S170" i="8" s="1"/>
  <c r="AAU48" i="9"/>
  <c r="T170" i="8" s="1"/>
  <c r="AAV48" i="9"/>
  <c r="U170" i="8" s="1"/>
  <c r="AAW48" i="9"/>
  <c r="V170" i="8" s="1"/>
  <c r="AAX48" i="9"/>
  <c r="W170" i="8" s="1"/>
  <c r="AAY48" i="9"/>
  <c r="X170" i="8" s="1"/>
  <c r="AAZ48" i="9"/>
  <c r="Y170" i="8" s="1"/>
  <c r="ABA48" i="9"/>
  <c r="Z170" i="8" s="1"/>
  <c r="ABB48" i="9"/>
  <c r="AA170" i="8" s="1"/>
  <c r="ABC48" i="9"/>
  <c r="AB170" i="8" s="1"/>
  <c r="ABD48" i="9"/>
  <c r="AC170" i="8" s="1"/>
  <c r="ABE48" i="9"/>
  <c r="AD170" i="8" s="1"/>
  <c r="ABF48" i="9"/>
  <c r="AE170" i="8" s="1"/>
  <c r="ABG48" i="9"/>
  <c r="AF170" i="8" s="1"/>
  <c r="ABH48" i="9"/>
  <c r="AG170" i="8" s="1"/>
  <c r="ABI48" i="9"/>
  <c r="AH170" i="8" s="1"/>
  <c r="ABJ48" i="9"/>
  <c r="AI170" i="8" s="1"/>
  <c r="ABK48" i="9"/>
  <c r="AJ170" i="8" s="1"/>
  <c r="ABL48" i="9"/>
  <c r="AK170" i="8" s="1"/>
  <c r="ABM48" i="9"/>
  <c r="AL170" i="8" s="1"/>
  <c r="ABN48" i="9"/>
  <c r="AM170" i="8" s="1"/>
  <c r="ABO48" i="9"/>
  <c r="AN170" i="8" s="1"/>
  <c r="ABP48" i="9"/>
  <c r="AO170" i="8" s="1"/>
  <c r="ABQ48" i="9"/>
  <c r="AP170" i="8" s="1"/>
  <c r="ABR48" i="9"/>
  <c r="AQ170" i="8" s="1"/>
  <c r="ABS48" i="9"/>
  <c r="AR170" i="8" s="1"/>
  <c r="ABT48" i="9"/>
  <c r="AS170" i="8" s="1"/>
  <c r="ABU48" i="9"/>
  <c r="AT170" i="8" s="1"/>
  <c r="YL48" i="9"/>
  <c r="C169" i="8" s="1"/>
  <c r="YM48" i="9"/>
  <c r="D169" i="8" s="1"/>
  <c r="YN48" i="9"/>
  <c r="E169" i="8" s="1"/>
  <c r="YO48" i="9"/>
  <c r="F169" i="8" s="1"/>
  <c r="YP48" i="9"/>
  <c r="G169" i="8" s="1"/>
  <c r="YQ48" i="9"/>
  <c r="H169" i="8" s="1"/>
  <c r="YR48" i="9"/>
  <c r="I169" i="8" s="1"/>
  <c r="YS48" i="9"/>
  <c r="J169" i="8" s="1"/>
  <c r="YT48" i="9"/>
  <c r="K169" i="8" s="1"/>
  <c r="YU48" i="9"/>
  <c r="L169" i="8" s="1"/>
  <c r="YV48" i="9"/>
  <c r="M169" i="8" s="1"/>
  <c r="YW48" i="9"/>
  <c r="N169" i="8" s="1"/>
  <c r="YX48" i="9"/>
  <c r="O169" i="8" s="1"/>
  <c r="YY48" i="9"/>
  <c r="P169" i="8" s="1"/>
  <c r="YZ48" i="9"/>
  <c r="Q169" i="8" s="1"/>
  <c r="ZA48" i="9"/>
  <c r="R169" i="8" s="1"/>
  <c r="ZB48" i="9"/>
  <c r="S169" i="8" s="1"/>
  <c r="ZC48" i="9"/>
  <c r="T169" i="8" s="1"/>
  <c r="ZD48" i="9"/>
  <c r="U169" i="8" s="1"/>
  <c r="ZE48" i="9"/>
  <c r="V169" i="8" s="1"/>
  <c r="ZF48" i="9"/>
  <c r="W169" i="8" s="1"/>
  <c r="ZG48" i="9"/>
  <c r="X169" i="8" s="1"/>
  <c r="ZH48" i="9"/>
  <c r="Y169" i="8" s="1"/>
  <c r="ZI48" i="9"/>
  <c r="Z169" i="8" s="1"/>
  <c r="ZJ48" i="9"/>
  <c r="AA169" i="8" s="1"/>
  <c r="ZK48" i="9"/>
  <c r="AB169" i="8" s="1"/>
  <c r="ZL48" i="9"/>
  <c r="AC169" i="8" s="1"/>
  <c r="ZM48" i="9"/>
  <c r="AD169" i="8" s="1"/>
  <c r="ZN48" i="9"/>
  <c r="AE169" i="8" s="1"/>
  <c r="ZO48" i="9"/>
  <c r="AF169" i="8" s="1"/>
  <c r="ZP48" i="9"/>
  <c r="AG169" i="8" s="1"/>
  <c r="ZQ48" i="9"/>
  <c r="AH169" i="8" s="1"/>
  <c r="ZR48" i="9"/>
  <c r="AI169" i="8" s="1"/>
  <c r="ZS48" i="9"/>
  <c r="AJ169" i="8" s="1"/>
  <c r="ZT48" i="9"/>
  <c r="AK169" i="8" s="1"/>
  <c r="ZU48" i="9"/>
  <c r="AL169" i="8" s="1"/>
  <c r="ZV48" i="9"/>
  <c r="AM169" i="8" s="1"/>
  <c r="ZW48" i="9"/>
  <c r="AN169" i="8" s="1"/>
  <c r="ZX48" i="9"/>
  <c r="AO169" i="8" s="1"/>
  <c r="ZY48" i="9"/>
  <c r="AP169" i="8" s="1"/>
  <c r="ZZ48" i="9"/>
  <c r="AQ169" i="8" s="1"/>
  <c r="AAA48" i="9"/>
  <c r="AR169" i="8" s="1"/>
  <c r="AAB48" i="9"/>
  <c r="AS169" i="8" s="1"/>
  <c r="AAC48" i="9"/>
  <c r="AT169" i="8" s="1"/>
  <c r="WT48" i="9"/>
  <c r="WU48" i="9"/>
  <c r="WV48" i="9"/>
  <c r="WW48" i="9"/>
  <c r="WX48" i="9"/>
  <c r="WY48" i="9"/>
  <c r="WZ48" i="9"/>
  <c r="XA48" i="9"/>
  <c r="XB48" i="9"/>
  <c r="XC48" i="9"/>
  <c r="XD48" i="9"/>
  <c r="XE48" i="9"/>
  <c r="XF48" i="9"/>
  <c r="XG48" i="9"/>
  <c r="XH48" i="9"/>
  <c r="XI48" i="9"/>
  <c r="XJ48" i="9"/>
  <c r="XK48" i="9"/>
  <c r="XL48" i="9"/>
  <c r="XM48" i="9"/>
  <c r="XN48" i="9"/>
  <c r="XO48" i="9"/>
  <c r="X168" i="8" s="1"/>
  <c r="XP48" i="9"/>
  <c r="Y168" i="8" s="1"/>
  <c r="XQ48" i="9"/>
  <c r="XR48" i="9"/>
  <c r="XS48" i="9"/>
  <c r="XT48" i="9"/>
  <c r="XU48" i="9"/>
  <c r="XV48" i="9"/>
  <c r="XW48" i="9"/>
  <c r="XX48" i="9"/>
  <c r="XY48" i="9"/>
  <c r="XZ48" i="9"/>
  <c r="YA48" i="9"/>
  <c r="YB48" i="9"/>
  <c r="YC48" i="9"/>
  <c r="YD48" i="9"/>
  <c r="YE48" i="9"/>
  <c r="YF48" i="9"/>
  <c r="YG48" i="9"/>
  <c r="YH48" i="9"/>
  <c r="YI48" i="9"/>
  <c r="YJ48" i="9"/>
  <c r="YK48" i="9"/>
  <c r="VB48" i="9"/>
  <c r="VC48" i="9"/>
  <c r="D167" i="8" s="1"/>
  <c r="VD48" i="9"/>
  <c r="E167" i="8" s="1"/>
  <c r="VE48" i="9"/>
  <c r="VF48" i="9"/>
  <c r="VG48" i="9"/>
  <c r="VH48" i="9"/>
  <c r="VI48" i="9"/>
  <c r="VJ48" i="9"/>
  <c r="VK48" i="9"/>
  <c r="VL48" i="9"/>
  <c r="VM48" i="9"/>
  <c r="VN48" i="9"/>
  <c r="VO48" i="9"/>
  <c r="VP48" i="9"/>
  <c r="VQ48" i="9"/>
  <c r="VR48" i="9"/>
  <c r="VS48" i="9"/>
  <c r="VT48" i="9"/>
  <c r="VU48" i="9"/>
  <c r="VV48" i="9"/>
  <c r="VW48" i="9"/>
  <c r="VX48" i="9"/>
  <c r="VY48" i="9"/>
  <c r="VZ48" i="9"/>
  <c r="WA48" i="9"/>
  <c r="AB167" i="8" s="1"/>
  <c r="WB48" i="9"/>
  <c r="AC167" i="8" s="1"/>
  <c r="WC48" i="9"/>
  <c r="WD48" i="9"/>
  <c r="WE48" i="9"/>
  <c r="WF48" i="9"/>
  <c r="WG48" i="9"/>
  <c r="WH48" i="9"/>
  <c r="WI48" i="9"/>
  <c r="WJ48" i="9"/>
  <c r="WK48" i="9"/>
  <c r="WL48" i="9"/>
  <c r="WM48" i="9"/>
  <c r="WN48" i="9"/>
  <c r="WO48" i="9"/>
  <c r="WP48" i="9"/>
  <c r="WQ48" i="9"/>
  <c r="WR48" i="9"/>
  <c r="WS48" i="9"/>
  <c r="TJ48" i="9"/>
  <c r="TK48" i="9"/>
  <c r="TL48" i="9"/>
  <c r="TM48" i="9"/>
  <c r="TN48" i="9"/>
  <c r="TO48" i="9"/>
  <c r="H166" i="8" s="1"/>
  <c r="TP48" i="9"/>
  <c r="I166" i="8" s="1"/>
  <c r="TQ48" i="9"/>
  <c r="TR48" i="9"/>
  <c r="TS48" i="9"/>
  <c r="TT48" i="9"/>
  <c r="TU48" i="9"/>
  <c r="TV48" i="9"/>
  <c r="TW48" i="9"/>
  <c r="TX48" i="9"/>
  <c r="TY48" i="9"/>
  <c r="TZ48" i="9"/>
  <c r="UA48" i="9"/>
  <c r="UB48" i="9"/>
  <c r="UC48" i="9"/>
  <c r="UD48" i="9"/>
  <c r="UE48" i="9"/>
  <c r="UF48" i="9"/>
  <c r="UG48" i="9"/>
  <c r="UH48" i="9"/>
  <c r="UI48" i="9"/>
  <c r="UJ48" i="9"/>
  <c r="UK48" i="9"/>
  <c r="UL48" i="9"/>
  <c r="UM48" i="9"/>
  <c r="AF166" i="8" s="1"/>
  <c r="UN48" i="9"/>
  <c r="AG166" i="8" s="1"/>
  <c r="UO48" i="9"/>
  <c r="UP48" i="9"/>
  <c r="UQ48" i="9"/>
  <c r="UR48" i="9"/>
  <c r="US48" i="9"/>
  <c r="UT48" i="9"/>
  <c r="UU48" i="9"/>
  <c r="UV48" i="9"/>
  <c r="UW48" i="9"/>
  <c r="UX48" i="9"/>
  <c r="UY48" i="9"/>
  <c r="UZ48" i="9"/>
  <c r="VA48" i="9"/>
  <c r="RR48" i="9"/>
  <c r="RS48" i="9"/>
  <c r="RT48" i="9"/>
  <c r="RU48" i="9"/>
  <c r="RV48" i="9"/>
  <c r="RW48" i="9"/>
  <c r="RX48" i="9"/>
  <c r="RY48" i="9"/>
  <c r="RZ48" i="9"/>
  <c r="SA48" i="9"/>
  <c r="L165" i="8" s="1"/>
  <c r="SB48" i="9"/>
  <c r="M165" i="8" s="1"/>
  <c r="SC48" i="9"/>
  <c r="SD48" i="9"/>
  <c r="SE48" i="9"/>
  <c r="SF48" i="9"/>
  <c r="SG48" i="9"/>
  <c r="SH48" i="9"/>
  <c r="SI48" i="9"/>
  <c r="SJ48" i="9"/>
  <c r="SK48" i="9"/>
  <c r="SL48" i="9"/>
  <c r="SM48" i="9"/>
  <c r="SN48" i="9"/>
  <c r="SO48" i="9"/>
  <c r="SP48" i="9"/>
  <c r="SQ48" i="9"/>
  <c r="SR48" i="9"/>
  <c r="SS48" i="9"/>
  <c r="ST48" i="9"/>
  <c r="SU48" i="9"/>
  <c r="SV48" i="9"/>
  <c r="SW48" i="9"/>
  <c r="SX48" i="9"/>
  <c r="SY48" i="9"/>
  <c r="AJ165" i="8" s="1"/>
  <c r="SZ48" i="9"/>
  <c r="AK165" i="8" s="1"/>
  <c r="TA48" i="9"/>
  <c r="TB48" i="9"/>
  <c r="TC48" i="9"/>
  <c r="TD48" i="9"/>
  <c r="TE48" i="9"/>
  <c r="TF48" i="9"/>
  <c r="TG48" i="9"/>
  <c r="TH48" i="9"/>
  <c r="TI48" i="9"/>
  <c r="PZ48" i="9"/>
  <c r="QA48" i="9"/>
  <c r="QB48" i="9"/>
  <c r="QC48" i="9"/>
  <c r="QD48" i="9"/>
  <c r="QE48" i="9"/>
  <c r="QF48" i="9"/>
  <c r="QG48" i="9"/>
  <c r="QH48" i="9"/>
  <c r="QI48" i="9"/>
  <c r="QJ48" i="9"/>
  <c r="QK48" i="9"/>
  <c r="QL48" i="9"/>
  <c r="QM48" i="9"/>
  <c r="P164" i="8" s="1"/>
  <c r="QN48" i="9"/>
  <c r="Q164" i="8" s="1"/>
  <c r="QO48" i="9"/>
  <c r="QP48" i="9"/>
  <c r="QQ48" i="9"/>
  <c r="QR48" i="9"/>
  <c r="QS48" i="9"/>
  <c r="QT48" i="9"/>
  <c r="QU48" i="9"/>
  <c r="QV48" i="9"/>
  <c r="QW48" i="9"/>
  <c r="QX48" i="9"/>
  <c r="QY48" i="9"/>
  <c r="QZ48" i="9"/>
  <c r="RA48" i="9"/>
  <c r="RB48" i="9"/>
  <c r="RC48" i="9"/>
  <c r="RD48" i="9"/>
  <c r="RE48" i="9"/>
  <c r="RF48" i="9"/>
  <c r="RG48" i="9"/>
  <c r="RH48" i="9"/>
  <c r="RI48" i="9"/>
  <c r="RJ48" i="9"/>
  <c r="RK48" i="9"/>
  <c r="AN164" i="8" s="1"/>
  <c r="RL48" i="9"/>
  <c r="AO164" i="8" s="1"/>
  <c r="RM48" i="9"/>
  <c r="RN48" i="9"/>
  <c r="RO48" i="9"/>
  <c r="RP48" i="9"/>
  <c r="RQ48" i="9"/>
  <c r="OH48" i="9"/>
  <c r="OI48" i="9"/>
  <c r="OJ48" i="9"/>
  <c r="OK48" i="9"/>
  <c r="OL48" i="9"/>
  <c r="OM48" i="9"/>
  <c r="ON48" i="9"/>
  <c r="OO48" i="9"/>
  <c r="OP48" i="9"/>
  <c r="OQ48" i="9"/>
  <c r="OR48" i="9"/>
  <c r="OS48" i="9"/>
  <c r="OT48" i="9"/>
  <c r="OU48" i="9"/>
  <c r="OV48" i="9"/>
  <c r="OW48" i="9"/>
  <c r="OX48" i="9"/>
  <c r="OY48" i="9"/>
  <c r="OZ48" i="9"/>
  <c r="PA48" i="9"/>
  <c r="PB48" i="9"/>
  <c r="PC48" i="9"/>
  <c r="PD48" i="9"/>
  <c r="PE48" i="9"/>
  <c r="PF48" i="9"/>
  <c r="PG48" i="9"/>
  <c r="PH48" i="9"/>
  <c r="PI48" i="9"/>
  <c r="PJ48" i="9"/>
  <c r="PK48" i="9"/>
  <c r="PL48" i="9"/>
  <c r="PM48" i="9"/>
  <c r="PN48" i="9"/>
  <c r="PO48" i="9"/>
  <c r="PP48" i="9"/>
  <c r="PQ48" i="9"/>
  <c r="PR48" i="9"/>
  <c r="PS48" i="9"/>
  <c r="PT48" i="9"/>
  <c r="PU48" i="9"/>
  <c r="PV48" i="9"/>
  <c r="PW48" i="9"/>
  <c r="PX48" i="9"/>
  <c r="PY48" i="9"/>
  <c r="MP48" i="9"/>
  <c r="MQ48" i="9"/>
  <c r="MR48" i="9"/>
  <c r="MS48" i="9"/>
  <c r="MT48" i="9"/>
  <c r="MU48" i="9"/>
  <c r="MV48" i="9"/>
  <c r="MW48" i="9"/>
  <c r="MX48" i="9"/>
  <c r="MY48" i="9"/>
  <c r="MZ48" i="9"/>
  <c r="NA48" i="9"/>
  <c r="NB48" i="9"/>
  <c r="NC48" i="9"/>
  <c r="ND48" i="9"/>
  <c r="NE48" i="9"/>
  <c r="NF48" i="9"/>
  <c r="NG48" i="9"/>
  <c r="NH48" i="9"/>
  <c r="NI48" i="9"/>
  <c r="NJ48" i="9"/>
  <c r="NK48" i="9"/>
  <c r="X162" i="8" s="1"/>
  <c r="NL48" i="9"/>
  <c r="Y162" i="8" s="1"/>
  <c r="NM48" i="9"/>
  <c r="NN48" i="9"/>
  <c r="NO48" i="9"/>
  <c r="NP48" i="9"/>
  <c r="NQ48" i="9"/>
  <c r="NR48" i="9"/>
  <c r="NS48" i="9"/>
  <c r="NT48" i="9"/>
  <c r="NU48" i="9"/>
  <c r="NV48" i="9"/>
  <c r="NW48" i="9"/>
  <c r="NX48" i="9"/>
  <c r="NY48" i="9"/>
  <c r="NZ48" i="9"/>
  <c r="OA48" i="9"/>
  <c r="OB48" i="9"/>
  <c r="OC48" i="9"/>
  <c r="OD48" i="9"/>
  <c r="OE48" i="9"/>
  <c r="OF48" i="9"/>
  <c r="OG48" i="9"/>
  <c r="KX48" i="9"/>
  <c r="KY48" i="9"/>
  <c r="D161" i="8" s="1"/>
  <c r="KZ48" i="9"/>
  <c r="E161" i="8" s="1"/>
  <c r="LA48" i="9"/>
  <c r="LB48" i="9"/>
  <c r="LC48" i="9"/>
  <c r="LD48" i="9"/>
  <c r="LE48" i="9"/>
  <c r="LF48" i="9"/>
  <c r="LG48" i="9"/>
  <c r="LH48" i="9"/>
  <c r="LI48" i="9"/>
  <c r="LJ48" i="9"/>
  <c r="LK48" i="9"/>
  <c r="LL48" i="9"/>
  <c r="LM48" i="9"/>
  <c r="LN48" i="9"/>
  <c r="LO48" i="9"/>
  <c r="LP48" i="9"/>
  <c r="LQ48" i="9"/>
  <c r="LR48" i="9"/>
  <c r="LS48" i="9"/>
  <c r="LT48" i="9"/>
  <c r="LU48" i="9"/>
  <c r="LV48" i="9"/>
  <c r="LW48" i="9"/>
  <c r="AB161" i="8" s="1"/>
  <c r="LX48" i="9"/>
  <c r="AC161" i="8" s="1"/>
  <c r="LY48" i="9"/>
  <c r="LZ48" i="9"/>
  <c r="MA48" i="9"/>
  <c r="MB48" i="9"/>
  <c r="MC48" i="9"/>
  <c r="MD48" i="9"/>
  <c r="ME48" i="9"/>
  <c r="MF48" i="9"/>
  <c r="MG48" i="9"/>
  <c r="MH48" i="9"/>
  <c r="MI48" i="9"/>
  <c r="MJ48" i="9"/>
  <c r="MK48" i="9"/>
  <c r="ML48" i="9"/>
  <c r="MM48" i="9"/>
  <c r="MN48" i="9"/>
  <c r="MO48" i="9"/>
  <c r="JF48" i="9"/>
  <c r="JG48" i="9"/>
  <c r="JH48" i="9"/>
  <c r="JI48" i="9"/>
  <c r="JJ48" i="9"/>
  <c r="JK48" i="9"/>
  <c r="H160" i="8" s="1"/>
  <c r="JL48" i="9"/>
  <c r="I160" i="8" s="1"/>
  <c r="JM48" i="9"/>
  <c r="JN48" i="9"/>
  <c r="JO48" i="9"/>
  <c r="JP48" i="9"/>
  <c r="JQ48" i="9"/>
  <c r="JR48" i="9"/>
  <c r="JS48" i="9"/>
  <c r="JT48" i="9"/>
  <c r="JU48" i="9"/>
  <c r="JV48" i="9"/>
  <c r="JW48" i="9"/>
  <c r="JX48" i="9"/>
  <c r="JY48" i="9"/>
  <c r="JZ48" i="9"/>
  <c r="KA48" i="9"/>
  <c r="KB48" i="9"/>
  <c r="KC48" i="9"/>
  <c r="KD48" i="9"/>
  <c r="KE48" i="9"/>
  <c r="KF48" i="9"/>
  <c r="KG48" i="9"/>
  <c r="KH48" i="9"/>
  <c r="KI48" i="9"/>
  <c r="AF160" i="8" s="1"/>
  <c r="KJ48" i="9"/>
  <c r="AG160" i="8" s="1"/>
  <c r="KK48" i="9"/>
  <c r="KL48" i="9"/>
  <c r="KM48" i="9"/>
  <c r="KN48" i="9"/>
  <c r="KO48" i="9"/>
  <c r="KP48" i="9"/>
  <c r="KQ48" i="9"/>
  <c r="KR48" i="9"/>
  <c r="KS48" i="9"/>
  <c r="KT48" i="9"/>
  <c r="KU48" i="9"/>
  <c r="KV48" i="9"/>
  <c r="KW48" i="9"/>
  <c r="HN48" i="9"/>
  <c r="HO48" i="9"/>
  <c r="HP48" i="9"/>
  <c r="HQ48" i="9"/>
  <c r="HR48" i="9"/>
  <c r="HS48" i="9"/>
  <c r="HT48" i="9"/>
  <c r="HU48" i="9"/>
  <c r="HV48" i="9"/>
  <c r="HW48" i="9"/>
  <c r="L159" i="8" s="1"/>
  <c r="HX48" i="9"/>
  <c r="M159" i="8" s="1"/>
  <c r="HY48" i="9"/>
  <c r="HZ48" i="9"/>
  <c r="IA48" i="9"/>
  <c r="IB48" i="9"/>
  <c r="IC48" i="9"/>
  <c r="ID48" i="9"/>
  <c r="IE48" i="9"/>
  <c r="IF48" i="9"/>
  <c r="IG48" i="9"/>
  <c r="IH48" i="9"/>
  <c r="II48" i="9"/>
  <c r="IJ48" i="9"/>
  <c r="IK48" i="9"/>
  <c r="IL48" i="9"/>
  <c r="IM48" i="9"/>
  <c r="IN48" i="9"/>
  <c r="IO48" i="9"/>
  <c r="IP48" i="9"/>
  <c r="IQ48" i="9"/>
  <c r="IR48" i="9"/>
  <c r="IS48" i="9"/>
  <c r="IT48" i="9"/>
  <c r="IU48" i="9"/>
  <c r="AJ159" i="8" s="1"/>
  <c r="IV48" i="9"/>
  <c r="AK159" i="8" s="1"/>
  <c r="IW48" i="9"/>
  <c r="IX48" i="9"/>
  <c r="IY48" i="9"/>
  <c r="IZ48" i="9"/>
  <c r="JA48" i="9"/>
  <c r="JB48" i="9"/>
  <c r="JC48" i="9"/>
  <c r="JD48" i="9"/>
  <c r="JE48" i="9"/>
  <c r="FV48" i="9"/>
  <c r="FW48" i="9"/>
  <c r="FX48" i="9"/>
  <c r="FY48" i="9"/>
  <c r="FZ48" i="9"/>
  <c r="GA48" i="9"/>
  <c r="GB48" i="9"/>
  <c r="GC48" i="9"/>
  <c r="GD48" i="9"/>
  <c r="GE48" i="9"/>
  <c r="GF48" i="9"/>
  <c r="GG48" i="9"/>
  <c r="GH48" i="9"/>
  <c r="GI48" i="9"/>
  <c r="P158" i="8" s="1"/>
  <c r="GJ48" i="9"/>
  <c r="Q158" i="8" s="1"/>
  <c r="GK48" i="9"/>
  <c r="GL48" i="9"/>
  <c r="GM48" i="9"/>
  <c r="GN48" i="9"/>
  <c r="GO48" i="9"/>
  <c r="GP48" i="9"/>
  <c r="GQ48" i="9"/>
  <c r="GR48" i="9"/>
  <c r="GS48" i="9"/>
  <c r="GT48" i="9"/>
  <c r="GU48" i="9"/>
  <c r="GV48" i="9"/>
  <c r="GW48" i="9"/>
  <c r="GX48" i="9"/>
  <c r="GY48" i="9"/>
  <c r="GZ48" i="9"/>
  <c r="HA48" i="9"/>
  <c r="HB48" i="9"/>
  <c r="HC48" i="9"/>
  <c r="HD48" i="9"/>
  <c r="HE48" i="9"/>
  <c r="HF48" i="9"/>
  <c r="HG48" i="9"/>
  <c r="AN158" i="8" s="1"/>
  <c r="HH48" i="9"/>
  <c r="AO158" i="8" s="1"/>
  <c r="HI48" i="9"/>
  <c r="HJ48" i="9"/>
  <c r="HK48" i="9"/>
  <c r="HL48" i="9"/>
  <c r="HM48" i="9"/>
  <c r="ED48" i="9"/>
  <c r="EE48" i="9"/>
  <c r="EF48" i="9"/>
  <c r="EG48" i="9"/>
  <c r="EH48" i="9"/>
  <c r="EI48" i="9"/>
  <c r="EJ48" i="9"/>
  <c r="EK48" i="9"/>
  <c r="EL48" i="9"/>
  <c r="EM48" i="9"/>
  <c r="EN48" i="9"/>
  <c r="EO48" i="9"/>
  <c r="EP48" i="9"/>
  <c r="EQ48" i="9"/>
  <c r="ER48" i="9"/>
  <c r="ES48" i="9"/>
  <c r="ET48" i="9"/>
  <c r="EU48" i="9"/>
  <c r="T157" i="8" s="1"/>
  <c r="EV48" i="9"/>
  <c r="U157" i="8" s="1"/>
  <c r="EW48" i="9"/>
  <c r="EX48" i="9"/>
  <c r="EY48" i="9"/>
  <c r="EZ48" i="9"/>
  <c r="FA48" i="9"/>
  <c r="FB48" i="9"/>
  <c r="FC48" i="9"/>
  <c r="FD48" i="9"/>
  <c r="FE48" i="9"/>
  <c r="FF48" i="9"/>
  <c r="FG48" i="9"/>
  <c r="FH48" i="9"/>
  <c r="FI48" i="9"/>
  <c r="FJ48" i="9"/>
  <c r="FK48" i="9"/>
  <c r="FL48" i="9"/>
  <c r="FM48" i="9"/>
  <c r="FN48" i="9"/>
  <c r="FO48" i="9"/>
  <c r="FP48" i="9"/>
  <c r="FQ48" i="9"/>
  <c r="FR48" i="9"/>
  <c r="FS48" i="9"/>
  <c r="AR157" i="8" s="1"/>
  <c r="FT48" i="9"/>
  <c r="AS157" i="8" s="1"/>
  <c r="FU48" i="9"/>
  <c r="CL48" i="9"/>
  <c r="CM48" i="9"/>
  <c r="CN48" i="9"/>
  <c r="CO48" i="9"/>
  <c r="CP48" i="9"/>
  <c r="CQ48" i="9"/>
  <c r="CR48" i="9"/>
  <c r="CS48" i="9"/>
  <c r="CT48" i="9"/>
  <c r="CU48" i="9"/>
  <c r="CV48" i="9"/>
  <c r="CW48" i="9"/>
  <c r="CX48" i="9"/>
  <c r="CY48" i="9"/>
  <c r="CZ48" i="9"/>
  <c r="DA48" i="9"/>
  <c r="DB48" i="9"/>
  <c r="DC48" i="9"/>
  <c r="DD48" i="9"/>
  <c r="DE48" i="9"/>
  <c r="DF48" i="9"/>
  <c r="DG48" i="9"/>
  <c r="X156" i="8" s="1"/>
  <c r="DH48" i="9"/>
  <c r="Y156" i="8" s="1"/>
  <c r="DI48" i="9"/>
  <c r="DJ48" i="9"/>
  <c r="DK48" i="9"/>
  <c r="DL48" i="9"/>
  <c r="DM48" i="9"/>
  <c r="DN48" i="9"/>
  <c r="DO48" i="9"/>
  <c r="DP48" i="9"/>
  <c r="DQ48" i="9"/>
  <c r="DR48" i="9"/>
  <c r="DS48" i="9"/>
  <c r="DT48" i="9"/>
  <c r="DU48" i="9"/>
  <c r="DV48" i="9"/>
  <c r="DW48" i="9"/>
  <c r="DX48" i="9"/>
  <c r="DY48" i="9"/>
  <c r="DZ48" i="9"/>
  <c r="EA48" i="9"/>
  <c r="EB48" i="9"/>
  <c r="EC48" i="9"/>
  <c r="AT48" i="9"/>
  <c r="AU48" i="9"/>
  <c r="D155" i="8" s="1"/>
  <c r="AV48" i="9"/>
  <c r="E155" i="8" s="1"/>
  <c r="AW48" i="9"/>
  <c r="AX48" i="9"/>
  <c r="AY48" i="9"/>
  <c r="AZ48" i="9"/>
  <c r="BA48" i="9"/>
  <c r="BB48" i="9"/>
  <c r="BC48" i="9"/>
  <c r="BD48" i="9"/>
  <c r="BE48" i="9"/>
  <c r="BF48" i="9"/>
  <c r="BG48" i="9"/>
  <c r="BH48" i="9"/>
  <c r="BI48" i="9"/>
  <c r="BJ48" i="9"/>
  <c r="BK48" i="9"/>
  <c r="BL48" i="9"/>
  <c r="BM48" i="9"/>
  <c r="BN48" i="9"/>
  <c r="BO48" i="9"/>
  <c r="BP48" i="9"/>
  <c r="BQ48" i="9"/>
  <c r="BR48" i="9"/>
  <c r="BS48" i="9"/>
  <c r="AB155" i="8" s="1"/>
  <c r="BT48" i="9"/>
  <c r="AC155" i="8" s="1"/>
  <c r="BU48" i="9"/>
  <c r="BV48" i="9"/>
  <c r="BW48" i="9"/>
  <c r="BX48" i="9"/>
  <c r="BY48" i="9"/>
  <c r="BZ48" i="9"/>
  <c r="CA48" i="9"/>
  <c r="CB48" i="9"/>
  <c r="CC48" i="9"/>
  <c r="CD48" i="9"/>
  <c r="CE48" i="9"/>
  <c r="CF48" i="9"/>
  <c r="CG48" i="9"/>
  <c r="CH48" i="9"/>
  <c r="CI48" i="9"/>
  <c r="CJ48" i="9"/>
  <c r="CK48" i="9"/>
  <c r="B48" i="9"/>
  <c r="C48" i="9"/>
  <c r="D48" i="9"/>
  <c r="E48" i="9"/>
  <c r="F48" i="9"/>
  <c r="G48" i="9"/>
  <c r="H154" i="8" s="1"/>
  <c r="H48" i="9"/>
  <c r="I154" i="8" s="1"/>
  <c r="I48" i="9"/>
  <c r="J48" i="9"/>
  <c r="K48" i="9"/>
  <c r="L48" i="9"/>
  <c r="M48" i="9"/>
  <c r="N48" i="9"/>
  <c r="O48" i="9"/>
  <c r="P48" i="9"/>
  <c r="Q48" i="9"/>
  <c r="R48" i="9"/>
  <c r="S48" i="9"/>
  <c r="T48" i="9"/>
  <c r="U48" i="9"/>
  <c r="V48" i="9"/>
  <c r="W48" i="9"/>
  <c r="X48" i="9"/>
  <c r="Y48" i="9"/>
  <c r="Z48" i="9"/>
  <c r="AA48" i="9"/>
  <c r="AB48" i="9"/>
  <c r="AC48" i="9"/>
  <c r="AD48" i="9"/>
  <c r="AE48" i="9"/>
  <c r="AF154" i="8" s="1"/>
  <c r="AF48" i="9"/>
  <c r="AG154" i="8" s="1"/>
  <c r="AG48" i="9"/>
  <c r="AH48" i="9"/>
  <c r="AI48" i="9"/>
  <c r="AJ48" i="9"/>
  <c r="AK48" i="9"/>
  <c r="AL48" i="9"/>
  <c r="AM48" i="9"/>
  <c r="AN48" i="9"/>
  <c r="AO48" i="9"/>
  <c r="AP48" i="9"/>
  <c r="AQ48" i="9"/>
  <c r="AR48" i="9"/>
  <c r="AS48" i="9"/>
  <c r="WT47" i="9"/>
  <c r="WU47" i="9"/>
  <c r="WV47" i="9"/>
  <c r="WW47" i="9"/>
  <c r="WX47" i="9"/>
  <c r="WY47" i="9"/>
  <c r="WZ47" i="9"/>
  <c r="XA47" i="9"/>
  <c r="XB47" i="9"/>
  <c r="XC47" i="9"/>
  <c r="XD47" i="9"/>
  <c r="XE47" i="9"/>
  <c r="XF47" i="9"/>
  <c r="XG47" i="9"/>
  <c r="XH47" i="9"/>
  <c r="XI47" i="9"/>
  <c r="XJ47" i="9"/>
  <c r="XK47" i="9"/>
  <c r="XL47" i="9"/>
  <c r="XM47" i="9"/>
  <c r="XN47" i="9"/>
  <c r="XO47" i="9"/>
  <c r="XP47" i="9"/>
  <c r="XQ47" i="9"/>
  <c r="XR47" i="9"/>
  <c r="XS47" i="9"/>
  <c r="XT47" i="9"/>
  <c r="XU47" i="9"/>
  <c r="XV47" i="9"/>
  <c r="XW47" i="9"/>
  <c r="XX47" i="9"/>
  <c r="XY47" i="9"/>
  <c r="XZ47" i="9"/>
  <c r="YA47" i="9"/>
  <c r="YB47" i="9"/>
  <c r="YC47" i="9"/>
  <c r="YD47" i="9"/>
  <c r="YE47" i="9"/>
  <c r="YF47" i="9"/>
  <c r="YG47" i="9"/>
  <c r="YH47" i="9"/>
  <c r="YI47" i="9"/>
  <c r="YJ47" i="9"/>
  <c r="YK47" i="9"/>
  <c r="VB47" i="9"/>
  <c r="VC47" i="9"/>
  <c r="VD47" i="9"/>
  <c r="VE47" i="9"/>
  <c r="VF47" i="9"/>
  <c r="VG47" i="9"/>
  <c r="VH47" i="9"/>
  <c r="VI47" i="9"/>
  <c r="VJ47" i="9"/>
  <c r="VK47" i="9"/>
  <c r="VL47" i="9"/>
  <c r="VM47" i="9"/>
  <c r="VN47" i="9"/>
  <c r="VO47" i="9"/>
  <c r="VP47" i="9"/>
  <c r="VQ47" i="9"/>
  <c r="VR47" i="9"/>
  <c r="VS47" i="9"/>
  <c r="VT47" i="9"/>
  <c r="VU47" i="9"/>
  <c r="VV47" i="9"/>
  <c r="VW47" i="9"/>
  <c r="VX47" i="9"/>
  <c r="VY47" i="9"/>
  <c r="VZ47" i="9"/>
  <c r="WA47" i="9"/>
  <c r="WB47" i="9"/>
  <c r="WC47" i="9"/>
  <c r="WD47" i="9"/>
  <c r="WE47" i="9"/>
  <c r="WF47" i="9"/>
  <c r="WG47" i="9"/>
  <c r="WH47" i="9"/>
  <c r="WI47" i="9"/>
  <c r="WJ47" i="9"/>
  <c r="WK47" i="9"/>
  <c r="WL47" i="9"/>
  <c r="WM47" i="9"/>
  <c r="WN47" i="9"/>
  <c r="WO47" i="9"/>
  <c r="WP47" i="9"/>
  <c r="WQ47" i="9"/>
  <c r="WR47" i="9"/>
  <c r="WS47" i="9"/>
  <c r="TJ47" i="9"/>
  <c r="TK47" i="9"/>
  <c r="TL47" i="9"/>
  <c r="TM47" i="9"/>
  <c r="TN47" i="9"/>
  <c r="TO47" i="9"/>
  <c r="TP47" i="9"/>
  <c r="TQ47" i="9"/>
  <c r="TR47" i="9"/>
  <c r="TS47" i="9"/>
  <c r="TT47" i="9"/>
  <c r="TU47" i="9"/>
  <c r="TV47" i="9"/>
  <c r="TW47" i="9"/>
  <c r="TX47" i="9"/>
  <c r="TY47" i="9"/>
  <c r="TZ47" i="9"/>
  <c r="UA47" i="9"/>
  <c r="UB47" i="9"/>
  <c r="UC47" i="9"/>
  <c r="UD47" i="9"/>
  <c r="UE47" i="9"/>
  <c r="UF47" i="9"/>
  <c r="UG47" i="9"/>
  <c r="UH47" i="9"/>
  <c r="UI47" i="9"/>
  <c r="UJ47" i="9"/>
  <c r="UK47" i="9"/>
  <c r="UL47" i="9"/>
  <c r="UM47" i="9"/>
  <c r="UN47" i="9"/>
  <c r="UO47" i="9"/>
  <c r="UP47" i="9"/>
  <c r="UQ47" i="9"/>
  <c r="UR47" i="9"/>
  <c r="US47" i="9"/>
  <c r="UT47" i="9"/>
  <c r="UU47" i="9"/>
  <c r="UV47" i="9"/>
  <c r="UW47" i="9"/>
  <c r="UX47" i="9"/>
  <c r="UY47" i="9"/>
  <c r="UZ47" i="9"/>
  <c r="VA47" i="9"/>
  <c r="RR47" i="9"/>
  <c r="RS47" i="9"/>
  <c r="RT47" i="9"/>
  <c r="RU47" i="9"/>
  <c r="RV47" i="9"/>
  <c r="RW47" i="9"/>
  <c r="RX47" i="9"/>
  <c r="RY47" i="9"/>
  <c r="RZ47" i="9"/>
  <c r="SA47" i="9"/>
  <c r="SB47" i="9"/>
  <c r="SC47" i="9"/>
  <c r="SD47" i="9"/>
  <c r="SE47" i="9"/>
  <c r="SF47" i="9"/>
  <c r="SG47" i="9"/>
  <c r="SH47" i="9"/>
  <c r="SI47" i="9"/>
  <c r="SJ47" i="9"/>
  <c r="SK47" i="9"/>
  <c r="SL47" i="9"/>
  <c r="SM47" i="9"/>
  <c r="SN47" i="9"/>
  <c r="SO47" i="9"/>
  <c r="SP47" i="9"/>
  <c r="SQ47" i="9"/>
  <c r="SR47" i="9"/>
  <c r="SS47" i="9"/>
  <c r="ST47" i="9"/>
  <c r="SU47" i="9"/>
  <c r="SV47" i="9"/>
  <c r="SW47" i="9"/>
  <c r="SX47" i="9"/>
  <c r="SY47" i="9"/>
  <c r="SZ47" i="9"/>
  <c r="TA47" i="9"/>
  <c r="TB47" i="9"/>
  <c r="TC47" i="9"/>
  <c r="TD47" i="9"/>
  <c r="TE47" i="9"/>
  <c r="TF47" i="9"/>
  <c r="TG47" i="9"/>
  <c r="TH47" i="9"/>
  <c r="TI47" i="9"/>
  <c r="PZ47" i="9"/>
  <c r="QA47" i="9"/>
  <c r="QB47" i="9"/>
  <c r="QC47" i="9"/>
  <c r="QD47" i="9"/>
  <c r="QE47" i="9"/>
  <c r="QF47" i="9"/>
  <c r="QG47" i="9"/>
  <c r="QH47" i="9"/>
  <c r="QI47" i="9"/>
  <c r="QJ47" i="9"/>
  <c r="QK47" i="9"/>
  <c r="QL47" i="9"/>
  <c r="QM47" i="9"/>
  <c r="QN47" i="9"/>
  <c r="QO47" i="9"/>
  <c r="QP47" i="9"/>
  <c r="QQ47" i="9"/>
  <c r="QR47" i="9"/>
  <c r="QS47" i="9"/>
  <c r="QT47" i="9"/>
  <c r="QU47" i="9"/>
  <c r="QV47" i="9"/>
  <c r="QW47" i="9"/>
  <c r="QX47" i="9"/>
  <c r="QY47" i="9"/>
  <c r="QZ47" i="9"/>
  <c r="RA47" i="9"/>
  <c r="RB47" i="9"/>
  <c r="RC47" i="9"/>
  <c r="RD47" i="9"/>
  <c r="RE47" i="9"/>
  <c r="RF47" i="9"/>
  <c r="RG47" i="9"/>
  <c r="RH47" i="9"/>
  <c r="RI47" i="9"/>
  <c r="RJ47" i="9"/>
  <c r="RK47" i="9"/>
  <c r="RL47" i="9"/>
  <c r="RM47" i="9"/>
  <c r="RN47" i="9"/>
  <c r="RO47" i="9"/>
  <c r="RP47" i="9"/>
  <c r="RQ47" i="9"/>
  <c r="OH47" i="9"/>
  <c r="OI47" i="9"/>
  <c r="OJ47" i="9"/>
  <c r="OK47" i="9"/>
  <c r="OL47" i="9"/>
  <c r="OM47" i="9"/>
  <c r="ON47" i="9"/>
  <c r="OO47" i="9"/>
  <c r="OP47" i="9"/>
  <c r="OQ47" i="9"/>
  <c r="OR47" i="9"/>
  <c r="OS47" i="9"/>
  <c r="OT47" i="9"/>
  <c r="OU47" i="9"/>
  <c r="OV47" i="9"/>
  <c r="OW47" i="9"/>
  <c r="OX47" i="9"/>
  <c r="OY47" i="9"/>
  <c r="OZ47" i="9"/>
  <c r="PA47" i="9"/>
  <c r="PB47" i="9"/>
  <c r="PC47" i="9"/>
  <c r="PD47" i="9"/>
  <c r="PE47" i="9"/>
  <c r="PF47" i="9"/>
  <c r="PG47" i="9"/>
  <c r="PH47" i="9"/>
  <c r="PI47" i="9"/>
  <c r="PJ47" i="9"/>
  <c r="PK47" i="9"/>
  <c r="PL47" i="9"/>
  <c r="PM47" i="9"/>
  <c r="PN47" i="9"/>
  <c r="PO47" i="9"/>
  <c r="PP47" i="9"/>
  <c r="PQ47" i="9"/>
  <c r="PR47" i="9"/>
  <c r="PS47" i="9"/>
  <c r="PT47" i="9"/>
  <c r="PU47" i="9"/>
  <c r="PV47" i="9"/>
  <c r="PW47" i="9"/>
  <c r="PX47" i="9"/>
  <c r="PY47" i="9"/>
  <c r="MP47" i="9"/>
  <c r="MQ47" i="9"/>
  <c r="MR47" i="9"/>
  <c r="MS47" i="9"/>
  <c r="MT47" i="9"/>
  <c r="MU47" i="9"/>
  <c r="MV47" i="9"/>
  <c r="MW47" i="9"/>
  <c r="MX47" i="9"/>
  <c r="MY47" i="9"/>
  <c r="MZ47" i="9"/>
  <c r="NA47" i="9"/>
  <c r="NB47" i="9"/>
  <c r="NC47" i="9"/>
  <c r="ND47" i="9"/>
  <c r="NE47" i="9"/>
  <c r="NF47" i="9"/>
  <c r="NG47" i="9"/>
  <c r="NH47" i="9"/>
  <c r="NI47" i="9"/>
  <c r="NJ47" i="9"/>
  <c r="NK47" i="9"/>
  <c r="NL47" i="9"/>
  <c r="NM47" i="9"/>
  <c r="NN47" i="9"/>
  <c r="NO47" i="9"/>
  <c r="NP47" i="9"/>
  <c r="NQ47" i="9"/>
  <c r="NR47" i="9"/>
  <c r="NS47" i="9"/>
  <c r="NT47" i="9"/>
  <c r="NU47" i="9"/>
  <c r="NV47" i="9"/>
  <c r="NW47" i="9"/>
  <c r="NX47" i="9"/>
  <c r="NY47" i="9"/>
  <c r="NZ47" i="9"/>
  <c r="OA47" i="9"/>
  <c r="OB47" i="9"/>
  <c r="OC47" i="9"/>
  <c r="OD47" i="9"/>
  <c r="OE47" i="9"/>
  <c r="OF47" i="9"/>
  <c r="OG47" i="9"/>
  <c r="KX47" i="9"/>
  <c r="KY47" i="9"/>
  <c r="KZ47" i="9"/>
  <c r="LA47" i="9"/>
  <c r="LB47" i="9"/>
  <c r="LC47" i="9"/>
  <c r="LD47" i="9"/>
  <c r="LE47" i="9"/>
  <c r="LF47" i="9"/>
  <c r="LG47" i="9"/>
  <c r="LH47" i="9"/>
  <c r="LI47" i="9"/>
  <c r="LJ47" i="9"/>
  <c r="LK47" i="9"/>
  <c r="LL47" i="9"/>
  <c r="LM47" i="9"/>
  <c r="LN47" i="9"/>
  <c r="LO47" i="9"/>
  <c r="LP47" i="9"/>
  <c r="LQ47" i="9"/>
  <c r="LR47" i="9"/>
  <c r="LS47" i="9"/>
  <c r="LT47" i="9"/>
  <c r="LU47" i="9"/>
  <c r="LV47" i="9"/>
  <c r="LW47" i="9"/>
  <c r="LX47" i="9"/>
  <c r="LY47" i="9"/>
  <c r="LZ47" i="9"/>
  <c r="MA47" i="9"/>
  <c r="MB47" i="9"/>
  <c r="MC47" i="9"/>
  <c r="MD47" i="9"/>
  <c r="ME47" i="9"/>
  <c r="MF47" i="9"/>
  <c r="MG47" i="9"/>
  <c r="MH47" i="9"/>
  <c r="MI47" i="9"/>
  <c r="MJ47" i="9"/>
  <c r="MK47" i="9"/>
  <c r="ML47" i="9"/>
  <c r="MM47" i="9"/>
  <c r="MN47" i="9"/>
  <c r="MO47" i="9"/>
  <c r="JF47" i="9"/>
  <c r="JG47" i="9"/>
  <c r="JH47" i="9"/>
  <c r="JI47" i="9"/>
  <c r="JJ47" i="9"/>
  <c r="JK47" i="9"/>
  <c r="JL47" i="9"/>
  <c r="JM47" i="9"/>
  <c r="JN47" i="9"/>
  <c r="JO47" i="9"/>
  <c r="JP47" i="9"/>
  <c r="JQ47" i="9"/>
  <c r="JR47" i="9"/>
  <c r="JS47" i="9"/>
  <c r="JT47" i="9"/>
  <c r="JU47" i="9"/>
  <c r="JV47" i="9"/>
  <c r="JW47" i="9"/>
  <c r="JX47" i="9"/>
  <c r="JY47" i="9"/>
  <c r="JZ47" i="9"/>
  <c r="KA47" i="9"/>
  <c r="KB47" i="9"/>
  <c r="KC47" i="9"/>
  <c r="KD47" i="9"/>
  <c r="KE47" i="9"/>
  <c r="KF47" i="9"/>
  <c r="KG47" i="9"/>
  <c r="KH47" i="9"/>
  <c r="KI47" i="9"/>
  <c r="KJ47" i="9"/>
  <c r="KK47" i="9"/>
  <c r="KL47" i="9"/>
  <c r="KM47" i="9"/>
  <c r="KN47" i="9"/>
  <c r="KO47" i="9"/>
  <c r="KP47" i="9"/>
  <c r="KQ47" i="9"/>
  <c r="KR47" i="9"/>
  <c r="KS47" i="9"/>
  <c r="KT47" i="9"/>
  <c r="KU47" i="9"/>
  <c r="KV47" i="9"/>
  <c r="KW47" i="9"/>
  <c r="HN47" i="9"/>
  <c r="HO47" i="9"/>
  <c r="HP47" i="9"/>
  <c r="HQ47" i="9"/>
  <c r="HR47" i="9"/>
  <c r="HS47" i="9"/>
  <c r="HT47" i="9"/>
  <c r="HU47" i="9"/>
  <c r="HV47" i="9"/>
  <c r="HW47" i="9"/>
  <c r="HX47" i="9"/>
  <c r="HY47" i="9"/>
  <c r="HZ47" i="9"/>
  <c r="IA47" i="9"/>
  <c r="IB47" i="9"/>
  <c r="IC47" i="9"/>
  <c r="ID47" i="9"/>
  <c r="IE47" i="9"/>
  <c r="IF47" i="9"/>
  <c r="IG47" i="9"/>
  <c r="IH47" i="9"/>
  <c r="II47" i="9"/>
  <c r="IJ47" i="9"/>
  <c r="IK47" i="9"/>
  <c r="IL47" i="9"/>
  <c r="IM47" i="9"/>
  <c r="IN47" i="9"/>
  <c r="IO47" i="9"/>
  <c r="IP47" i="9"/>
  <c r="IQ47" i="9"/>
  <c r="IR47" i="9"/>
  <c r="IS47" i="9"/>
  <c r="IT47" i="9"/>
  <c r="IU47" i="9"/>
  <c r="IV47" i="9"/>
  <c r="IW47" i="9"/>
  <c r="IX47" i="9"/>
  <c r="IY47" i="9"/>
  <c r="IZ47" i="9"/>
  <c r="JA47" i="9"/>
  <c r="JB47" i="9"/>
  <c r="JC47" i="9"/>
  <c r="JD47" i="9"/>
  <c r="JE47" i="9"/>
  <c r="FV47" i="9"/>
  <c r="FW47" i="9"/>
  <c r="FX47" i="9"/>
  <c r="FY47" i="9"/>
  <c r="FZ47" i="9"/>
  <c r="GA47" i="9"/>
  <c r="GB47" i="9"/>
  <c r="GC47" i="9"/>
  <c r="GD47" i="9"/>
  <c r="GE47" i="9"/>
  <c r="GF47" i="9"/>
  <c r="GG47" i="9"/>
  <c r="GH47" i="9"/>
  <c r="GI47" i="9"/>
  <c r="GJ47" i="9"/>
  <c r="GK47" i="9"/>
  <c r="GL47" i="9"/>
  <c r="GM47" i="9"/>
  <c r="GN47" i="9"/>
  <c r="GO47" i="9"/>
  <c r="GP47" i="9"/>
  <c r="GQ47" i="9"/>
  <c r="GR47" i="9"/>
  <c r="GS47" i="9"/>
  <c r="GT47" i="9"/>
  <c r="GU47" i="9"/>
  <c r="GV47" i="9"/>
  <c r="GW47" i="9"/>
  <c r="GX47" i="9"/>
  <c r="GY47" i="9"/>
  <c r="GZ47" i="9"/>
  <c r="HA47" i="9"/>
  <c r="HB47" i="9"/>
  <c r="HC47" i="9"/>
  <c r="HD47" i="9"/>
  <c r="HE47" i="9"/>
  <c r="HF47" i="9"/>
  <c r="HG47" i="9"/>
  <c r="HH47" i="9"/>
  <c r="HI47" i="9"/>
  <c r="HJ47" i="9"/>
  <c r="HK47" i="9"/>
  <c r="HL47" i="9"/>
  <c r="HM47" i="9"/>
  <c r="ED47" i="9"/>
  <c r="EE47" i="9"/>
  <c r="EF47" i="9"/>
  <c r="EG47" i="9"/>
  <c r="EH47" i="9"/>
  <c r="EI47" i="9"/>
  <c r="EJ47" i="9"/>
  <c r="EK47" i="9"/>
  <c r="EL47" i="9"/>
  <c r="EM47" i="9"/>
  <c r="EN47" i="9"/>
  <c r="EO47" i="9"/>
  <c r="EP47" i="9"/>
  <c r="EQ47" i="9"/>
  <c r="ER47" i="9"/>
  <c r="ES47" i="9"/>
  <c r="ET47" i="9"/>
  <c r="EU47" i="9"/>
  <c r="EV47" i="9"/>
  <c r="EW47" i="9"/>
  <c r="EX47" i="9"/>
  <c r="EY47" i="9"/>
  <c r="EZ47" i="9"/>
  <c r="FA47" i="9"/>
  <c r="FB47" i="9"/>
  <c r="FC47" i="9"/>
  <c r="FD47" i="9"/>
  <c r="FE47" i="9"/>
  <c r="FF47" i="9"/>
  <c r="FG47" i="9"/>
  <c r="FH47" i="9"/>
  <c r="FI47" i="9"/>
  <c r="FJ47" i="9"/>
  <c r="FK47" i="9"/>
  <c r="FL47" i="9"/>
  <c r="FM47" i="9"/>
  <c r="FN47" i="9"/>
  <c r="FO47" i="9"/>
  <c r="FP47" i="9"/>
  <c r="FQ47" i="9"/>
  <c r="FR47" i="9"/>
  <c r="FS47" i="9"/>
  <c r="FT47" i="9"/>
  <c r="FU47" i="9"/>
  <c r="CL47" i="9"/>
  <c r="CM47" i="9"/>
  <c r="CN47" i="9"/>
  <c r="CO47" i="9"/>
  <c r="CP47" i="9"/>
  <c r="CQ47" i="9"/>
  <c r="CR47" i="9"/>
  <c r="CS47" i="9"/>
  <c r="CT47" i="9"/>
  <c r="CU47" i="9"/>
  <c r="CV47" i="9"/>
  <c r="CW47" i="9"/>
  <c r="CX47" i="9"/>
  <c r="CY47" i="9"/>
  <c r="CZ47" i="9"/>
  <c r="DA47" i="9"/>
  <c r="DB47" i="9"/>
  <c r="DC47" i="9"/>
  <c r="DD47" i="9"/>
  <c r="DE47" i="9"/>
  <c r="DF47" i="9"/>
  <c r="DG47" i="9"/>
  <c r="DH47" i="9"/>
  <c r="DI47" i="9"/>
  <c r="DJ47" i="9"/>
  <c r="DK47" i="9"/>
  <c r="DL47" i="9"/>
  <c r="DM47" i="9"/>
  <c r="DN47" i="9"/>
  <c r="DO47" i="9"/>
  <c r="DP47" i="9"/>
  <c r="DQ47" i="9"/>
  <c r="DR47" i="9"/>
  <c r="DS47" i="9"/>
  <c r="DT47" i="9"/>
  <c r="DU47" i="9"/>
  <c r="DV47" i="9"/>
  <c r="DW47" i="9"/>
  <c r="DX47" i="9"/>
  <c r="DY47" i="9"/>
  <c r="DZ47" i="9"/>
  <c r="EA47" i="9"/>
  <c r="EB47" i="9"/>
  <c r="EC47" i="9"/>
  <c r="AT47" i="9"/>
  <c r="AU47" i="9"/>
  <c r="AV47" i="9"/>
  <c r="AW47" i="9"/>
  <c r="AX47" i="9"/>
  <c r="AY47" i="9"/>
  <c r="AZ47" i="9"/>
  <c r="BA47" i="9"/>
  <c r="BB47" i="9"/>
  <c r="BC47" i="9"/>
  <c r="BD47" i="9"/>
  <c r="BE47" i="9"/>
  <c r="BF47" i="9"/>
  <c r="BG47" i="9"/>
  <c r="BH47" i="9"/>
  <c r="BI47" i="9"/>
  <c r="BJ47" i="9"/>
  <c r="BK47" i="9"/>
  <c r="BL47" i="9"/>
  <c r="BM47" i="9"/>
  <c r="BN47" i="9"/>
  <c r="BO47" i="9"/>
  <c r="BP47" i="9"/>
  <c r="BQ47" i="9"/>
  <c r="BR47" i="9"/>
  <c r="BS47" i="9"/>
  <c r="BT47" i="9"/>
  <c r="BU47" i="9"/>
  <c r="BV47" i="9"/>
  <c r="BW47" i="9"/>
  <c r="BX47" i="9"/>
  <c r="BY47" i="9"/>
  <c r="BZ47" i="9"/>
  <c r="CA47" i="9"/>
  <c r="CB47" i="9"/>
  <c r="CC47" i="9"/>
  <c r="CD47" i="9"/>
  <c r="CE47" i="9"/>
  <c r="CF47" i="9"/>
  <c r="CG47" i="9"/>
  <c r="CH47" i="9"/>
  <c r="CI47" i="9"/>
  <c r="CJ47" i="9"/>
  <c r="CK47" i="9"/>
  <c r="B47" i="9"/>
  <c r="C47" i="9"/>
  <c r="D47" i="9"/>
  <c r="E47" i="9"/>
  <c r="F47" i="9"/>
  <c r="G47" i="9"/>
  <c r="H47" i="9"/>
  <c r="I47" i="9"/>
  <c r="J47" i="9"/>
  <c r="K47" i="9"/>
  <c r="L47" i="9"/>
  <c r="M47" i="9"/>
  <c r="N47" i="9"/>
  <c r="O47" i="9"/>
  <c r="P47" i="9"/>
  <c r="Q47" i="9"/>
  <c r="R47" i="9"/>
  <c r="S47" i="9"/>
  <c r="T47" i="9"/>
  <c r="U47" i="9"/>
  <c r="V47" i="9"/>
  <c r="W47" i="9"/>
  <c r="X47" i="9"/>
  <c r="Y47" i="9"/>
  <c r="Z47" i="9"/>
  <c r="AA47" i="9"/>
  <c r="AB47" i="9"/>
  <c r="AC47" i="9"/>
  <c r="AD47" i="9"/>
  <c r="AE47" i="9"/>
  <c r="AF47" i="9"/>
  <c r="AG47" i="9"/>
  <c r="AH47" i="9"/>
  <c r="AI47" i="9"/>
  <c r="AJ47" i="9"/>
  <c r="AK47" i="9"/>
  <c r="AL47" i="9"/>
  <c r="AM47" i="9"/>
  <c r="AN47" i="9"/>
  <c r="AO47" i="9"/>
  <c r="AP47" i="9"/>
  <c r="AQ47" i="9"/>
  <c r="AR47" i="9"/>
  <c r="AS47" i="9"/>
  <c r="FV45" i="9"/>
  <c r="FW45" i="9"/>
  <c r="FX45" i="9"/>
  <c r="FY45" i="9"/>
  <c r="FZ45" i="9"/>
  <c r="GA45" i="9"/>
  <c r="GB45" i="9"/>
  <c r="GC45" i="9"/>
  <c r="GD45" i="9"/>
  <c r="GE45" i="9"/>
  <c r="GF45" i="9"/>
  <c r="GG45" i="9"/>
  <c r="GH45" i="9"/>
  <c r="GI45" i="9"/>
  <c r="GJ45" i="9"/>
  <c r="GK45" i="9"/>
  <c r="GL45" i="9"/>
  <c r="GM45" i="9"/>
  <c r="GN45" i="9"/>
  <c r="GO45" i="9"/>
  <c r="GP45" i="9"/>
  <c r="GQ45" i="9"/>
  <c r="GR45" i="9"/>
  <c r="GS45" i="9"/>
  <c r="GT45" i="9"/>
  <c r="GU45" i="9"/>
  <c r="GV45" i="9"/>
  <c r="GW45" i="9"/>
  <c r="GX45" i="9"/>
  <c r="GY45" i="9"/>
  <c r="GZ45" i="9"/>
  <c r="HA45" i="9"/>
  <c r="HB45" i="9"/>
  <c r="HC45" i="9"/>
  <c r="HD45" i="9"/>
  <c r="HE45" i="9"/>
  <c r="HF45" i="9"/>
  <c r="HG45" i="9"/>
  <c r="HH45" i="9"/>
  <c r="HI45" i="9"/>
  <c r="HJ45" i="9"/>
  <c r="HK45" i="9"/>
  <c r="HL45" i="9"/>
  <c r="HM45" i="9"/>
  <c r="ED45" i="9"/>
  <c r="EE45" i="9"/>
  <c r="EF45" i="9"/>
  <c r="EG45" i="9"/>
  <c r="EH45" i="9"/>
  <c r="EI45" i="9"/>
  <c r="EJ45" i="9"/>
  <c r="EK45" i="9"/>
  <c r="EL45" i="9"/>
  <c r="EM45" i="9"/>
  <c r="EN45" i="9"/>
  <c r="EO45" i="9"/>
  <c r="EP45" i="9"/>
  <c r="EQ45" i="9"/>
  <c r="ER45" i="9"/>
  <c r="ES45" i="9"/>
  <c r="ET45" i="9"/>
  <c r="EU45" i="9"/>
  <c r="EV45" i="9"/>
  <c r="EW45" i="9"/>
  <c r="EX45" i="9"/>
  <c r="EY45" i="9"/>
  <c r="EZ45" i="9"/>
  <c r="FA45" i="9"/>
  <c r="FB45" i="9"/>
  <c r="FC45" i="9"/>
  <c r="FD45" i="9"/>
  <c r="FE45" i="9"/>
  <c r="FF45" i="9"/>
  <c r="FG45" i="9"/>
  <c r="FH45" i="9"/>
  <c r="FI45" i="9"/>
  <c r="FJ45" i="9"/>
  <c r="FK45" i="9"/>
  <c r="FL45" i="9"/>
  <c r="FM45" i="9"/>
  <c r="FN45" i="9"/>
  <c r="FO45" i="9"/>
  <c r="FP45" i="9"/>
  <c r="FQ45" i="9"/>
  <c r="FR45" i="9"/>
  <c r="FS45" i="9"/>
  <c r="FT45" i="9"/>
  <c r="FU45" i="9"/>
  <c r="CL45" i="9"/>
  <c r="CM45" i="9"/>
  <c r="CN45" i="9"/>
  <c r="CO45" i="9"/>
  <c r="CP45" i="9"/>
  <c r="CQ45" i="9"/>
  <c r="CR45" i="9"/>
  <c r="CS45" i="9"/>
  <c r="CT45" i="9"/>
  <c r="CU45" i="9"/>
  <c r="CV45" i="9"/>
  <c r="CW45" i="9"/>
  <c r="CX45" i="9"/>
  <c r="CY45" i="9"/>
  <c r="CZ45" i="9"/>
  <c r="DA45" i="9"/>
  <c r="DB45" i="9"/>
  <c r="DC45" i="9"/>
  <c r="DD45" i="9"/>
  <c r="DE45" i="9"/>
  <c r="DF45" i="9"/>
  <c r="DG45" i="9"/>
  <c r="DH45" i="9"/>
  <c r="DI45" i="9"/>
  <c r="DJ45" i="9"/>
  <c r="DK45" i="9"/>
  <c r="DL45" i="9"/>
  <c r="DM45" i="9"/>
  <c r="DN45" i="9"/>
  <c r="DO45" i="9"/>
  <c r="DP45" i="9"/>
  <c r="DQ45" i="9"/>
  <c r="DR45" i="9"/>
  <c r="DS45" i="9"/>
  <c r="DT45" i="9"/>
  <c r="DU45" i="9"/>
  <c r="DV45" i="9"/>
  <c r="DW45" i="9"/>
  <c r="DX45" i="9"/>
  <c r="DY45" i="9"/>
  <c r="DZ45" i="9"/>
  <c r="EA45" i="9"/>
  <c r="EB45" i="9"/>
  <c r="EC45" i="9"/>
  <c r="AT45" i="9"/>
  <c r="AU45" i="9"/>
  <c r="AV45" i="9"/>
  <c r="AW45" i="9"/>
  <c r="AX45" i="9"/>
  <c r="AY45" i="9"/>
  <c r="AZ45" i="9"/>
  <c r="BA45" i="9"/>
  <c r="BB45" i="9"/>
  <c r="BC45" i="9"/>
  <c r="BD45" i="9"/>
  <c r="BE45" i="9"/>
  <c r="BF45" i="9"/>
  <c r="BG45" i="9"/>
  <c r="BH45" i="9"/>
  <c r="BI45" i="9"/>
  <c r="BJ45" i="9"/>
  <c r="BK45" i="9"/>
  <c r="BL45" i="9"/>
  <c r="BM45" i="9"/>
  <c r="BN45" i="9"/>
  <c r="BO45" i="9"/>
  <c r="BP45" i="9"/>
  <c r="BQ45" i="9"/>
  <c r="BR45" i="9"/>
  <c r="BS45" i="9"/>
  <c r="BT45" i="9"/>
  <c r="BU45" i="9"/>
  <c r="BV45" i="9"/>
  <c r="BW45" i="9"/>
  <c r="BX45" i="9"/>
  <c r="BY45" i="9"/>
  <c r="BZ45" i="9"/>
  <c r="CA45" i="9"/>
  <c r="CB45" i="9"/>
  <c r="CC45" i="9"/>
  <c r="CD45" i="9"/>
  <c r="CE45" i="9"/>
  <c r="CF45" i="9"/>
  <c r="CG45" i="9"/>
  <c r="CH45" i="9"/>
  <c r="CI45" i="9"/>
  <c r="CJ45" i="9"/>
  <c r="CK45" i="9"/>
  <c r="B45" i="9"/>
  <c r="C45" i="9"/>
  <c r="D45" i="9"/>
  <c r="E45" i="9"/>
  <c r="F45" i="9"/>
  <c r="G45" i="9"/>
  <c r="H45" i="9"/>
  <c r="I45" i="9"/>
  <c r="J45" i="9"/>
  <c r="K45" i="9"/>
  <c r="L45" i="9"/>
  <c r="M45"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R45" i="9"/>
  <c r="AS45" i="9"/>
  <c r="BEP44" i="9"/>
  <c r="BEQ44" i="9"/>
  <c r="BER44" i="9"/>
  <c r="BES44" i="9"/>
  <c r="BET44" i="9"/>
  <c r="BEU44" i="9"/>
  <c r="BEV44" i="9"/>
  <c r="BEW44" i="9"/>
  <c r="BEX44" i="9"/>
  <c r="BEY44" i="9"/>
  <c r="BEZ44" i="9"/>
  <c r="BFA44" i="9"/>
  <c r="BFB44" i="9"/>
  <c r="BFC44" i="9"/>
  <c r="BFD44" i="9"/>
  <c r="BFE44" i="9"/>
  <c r="BFF44" i="9"/>
  <c r="BFG44" i="9"/>
  <c r="BFH44" i="9"/>
  <c r="BFI44" i="9"/>
  <c r="BFJ44" i="9"/>
  <c r="BFK44" i="9"/>
  <c r="BFL44" i="9"/>
  <c r="BFM44" i="9"/>
  <c r="BFN44" i="9"/>
  <c r="BFO44" i="9"/>
  <c r="BFP44" i="9"/>
  <c r="BFQ44" i="9"/>
  <c r="BFR44" i="9"/>
  <c r="BFS44" i="9"/>
  <c r="BFT44" i="9"/>
  <c r="BFU44" i="9"/>
  <c r="BFV44" i="9"/>
  <c r="BFW44" i="9"/>
  <c r="BFX44" i="9"/>
  <c r="BFY44" i="9"/>
  <c r="BFZ44" i="9"/>
  <c r="BGA44" i="9"/>
  <c r="BGB44" i="9"/>
  <c r="BGC44" i="9"/>
  <c r="BGD44" i="9"/>
  <c r="BGE44" i="9"/>
  <c r="BGF44" i="9"/>
  <c r="BGG44" i="9"/>
  <c r="BCX44" i="9"/>
  <c r="BCY44" i="9"/>
  <c r="BCZ44" i="9"/>
  <c r="BDA44" i="9"/>
  <c r="BDB44" i="9"/>
  <c r="BDC44" i="9"/>
  <c r="BDD44" i="9"/>
  <c r="BDE44" i="9"/>
  <c r="BDF44" i="9"/>
  <c r="BDG44" i="9"/>
  <c r="BDH44" i="9"/>
  <c r="BDI44" i="9"/>
  <c r="BDJ44" i="9"/>
  <c r="BDK44" i="9"/>
  <c r="BDL44" i="9"/>
  <c r="BDM44" i="9"/>
  <c r="BDN44" i="9"/>
  <c r="BDO44" i="9"/>
  <c r="BDP44" i="9"/>
  <c r="BDQ44" i="9"/>
  <c r="BDR44" i="9"/>
  <c r="BDS44" i="9"/>
  <c r="BDT44" i="9"/>
  <c r="BDU44" i="9"/>
  <c r="BDV44" i="9"/>
  <c r="BDW44" i="9"/>
  <c r="BDX44" i="9"/>
  <c r="BDY44" i="9"/>
  <c r="BDZ44" i="9"/>
  <c r="BEA44" i="9"/>
  <c r="BEB44" i="9"/>
  <c r="BEC44" i="9"/>
  <c r="BED44" i="9"/>
  <c r="BEE44" i="9"/>
  <c r="BEF44" i="9"/>
  <c r="BEG44" i="9"/>
  <c r="BEH44" i="9"/>
  <c r="BEI44" i="9"/>
  <c r="BEJ44" i="9"/>
  <c r="BEK44" i="9"/>
  <c r="BEL44" i="9"/>
  <c r="BEM44" i="9"/>
  <c r="BEN44" i="9"/>
  <c r="BEO44" i="9"/>
  <c r="BBF44" i="9"/>
  <c r="BBG44" i="9"/>
  <c r="BBH44" i="9"/>
  <c r="BBI44" i="9"/>
  <c r="BBJ44" i="9"/>
  <c r="BBK44" i="9"/>
  <c r="BBL44" i="9"/>
  <c r="BBM44" i="9"/>
  <c r="BBN44" i="9"/>
  <c r="BBO44" i="9"/>
  <c r="BBP44" i="9"/>
  <c r="BBQ44" i="9"/>
  <c r="BBR44" i="9"/>
  <c r="BBS44" i="9"/>
  <c r="BBT44" i="9"/>
  <c r="BBU44" i="9"/>
  <c r="BBV44" i="9"/>
  <c r="BBW44" i="9"/>
  <c r="BBX44" i="9"/>
  <c r="BBY44" i="9"/>
  <c r="BBZ44" i="9"/>
  <c r="BCA44" i="9"/>
  <c r="BCB44" i="9"/>
  <c r="BCC44" i="9"/>
  <c r="BCD44" i="9"/>
  <c r="BCE44" i="9"/>
  <c r="BCF44" i="9"/>
  <c r="BCG44" i="9"/>
  <c r="BCH44" i="9"/>
  <c r="BCI44" i="9"/>
  <c r="BCJ44" i="9"/>
  <c r="BCK44" i="9"/>
  <c r="BCL44" i="9"/>
  <c r="BCM44" i="9"/>
  <c r="BCN44" i="9"/>
  <c r="BCO44" i="9"/>
  <c r="BCP44" i="9"/>
  <c r="BCQ44" i="9"/>
  <c r="BCR44" i="9"/>
  <c r="BCS44" i="9"/>
  <c r="BCT44" i="9"/>
  <c r="BCU44" i="9"/>
  <c r="BCV44" i="9"/>
  <c r="BCW44" i="9"/>
  <c r="AZN44" i="9"/>
  <c r="AZO44" i="9"/>
  <c r="AZP44" i="9"/>
  <c r="AZQ44" i="9"/>
  <c r="AZR44" i="9"/>
  <c r="AZS44" i="9"/>
  <c r="AZT44" i="9"/>
  <c r="AZU44" i="9"/>
  <c r="AZV44" i="9"/>
  <c r="AZW44" i="9"/>
  <c r="AZX44" i="9"/>
  <c r="AZY44" i="9"/>
  <c r="AZZ44" i="9"/>
  <c r="BAA44" i="9"/>
  <c r="BAB44" i="9"/>
  <c r="BAC44" i="9"/>
  <c r="BAD44" i="9"/>
  <c r="BAE44" i="9"/>
  <c r="BAF44" i="9"/>
  <c r="BAG44" i="9"/>
  <c r="BAH44" i="9"/>
  <c r="BAI44" i="9"/>
  <c r="BAJ44" i="9"/>
  <c r="BAK44" i="9"/>
  <c r="BAL44" i="9"/>
  <c r="BAM44" i="9"/>
  <c r="BAN44" i="9"/>
  <c r="BAO44" i="9"/>
  <c r="BAP44" i="9"/>
  <c r="BAQ44" i="9"/>
  <c r="BAR44" i="9"/>
  <c r="BAS44" i="9"/>
  <c r="BAT44" i="9"/>
  <c r="BAU44" i="9"/>
  <c r="BAV44" i="9"/>
  <c r="BAW44" i="9"/>
  <c r="BAX44" i="9"/>
  <c r="BAY44" i="9"/>
  <c r="BAZ44" i="9"/>
  <c r="BBA44" i="9"/>
  <c r="BBB44" i="9"/>
  <c r="BBC44" i="9"/>
  <c r="BBD44" i="9"/>
  <c r="BBE44" i="9"/>
  <c r="AXV44" i="9"/>
  <c r="AXW44" i="9"/>
  <c r="AXX44" i="9"/>
  <c r="AXY44" i="9"/>
  <c r="AXZ44" i="9"/>
  <c r="AYA44" i="9"/>
  <c r="AYB44" i="9"/>
  <c r="AYC44" i="9"/>
  <c r="AYD44" i="9"/>
  <c r="AYE44" i="9"/>
  <c r="AYF44" i="9"/>
  <c r="AYG44" i="9"/>
  <c r="AYH44" i="9"/>
  <c r="AYI44" i="9"/>
  <c r="AYJ44" i="9"/>
  <c r="AYK44" i="9"/>
  <c r="AYL44" i="9"/>
  <c r="AYM44" i="9"/>
  <c r="AYN44" i="9"/>
  <c r="AYO44" i="9"/>
  <c r="AYP44" i="9"/>
  <c r="AYQ44" i="9"/>
  <c r="AYR44" i="9"/>
  <c r="AYS44" i="9"/>
  <c r="AYT44" i="9"/>
  <c r="AYU44" i="9"/>
  <c r="AYV44" i="9"/>
  <c r="AYW44" i="9"/>
  <c r="AYX44" i="9"/>
  <c r="AYY44" i="9"/>
  <c r="AYZ44" i="9"/>
  <c r="AZA44" i="9"/>
  <c r="AZB44" i="9"/>
  <c r="AZC44" i="9"/>
  <c r="AZD44" i="9"/>
  <c r="AZE44" i="9"/>
  <c r="AZF44" i="9"/>
  <c r="AZG44" i="9"/>
  <c r="AZH44" i="9"/>
  <c r="AZI44" i="9"/>
  <c r="AZJ44" i="9"/>
  <c r="AZK44" i="9"/>
  <c r="AZL44" i="9"/>
  <c r="AZM44" i="9"/>
  <c r="AWD44" i="9"/>
  <c r="AWE44" i="9"/>
  <c r="AWF44" i="9"/>
  <c r="AWG44" i="9"/>
  <c r="AWH44" i="9"/>
  <c r="AWI44" i="9"/>
  <c r="AWJ44" i="9"/>
  <c r="AWK44" i="9"/>
  <c r="AWL44" i="9"/>
  <c r="AWM44" i="9"/>
  <c r="AWN44" i="9"/>
  <c r="AWO44" i="9"/>
  <c r="AWP44" i="9"/>
  <c r="AWQ44" i="9"/>
  <c r="AWR44" i="9"/>
  <c r="AWS44" i="9"/>
  <c r="AWT44" i="9"/>
  <c r="AWU44" i="9"/>
  <c r="AWV44" i="9"/>
  <c r="AWW44" i="9"/>
  <c r="AWX44" i="9"/>
  <c r="AWY44" i="9"/>
  <c r="AWZ44" i="9"/>
  <c r="AXA44" i="9"/>
  <c r="AXB44" i="9"/>
  <c r="AXC44" i="9"/>
  <c r="AXD44" i="9"/>
  <c r="AXE44" i="9"/>
  <c r="AXF44" i="9"/>
  <c r="AXG44" i="9"/>
  <c r="AXH44" i="9"/>
  <c r="AXI44" i="9"/>
  <c r="AXJ44" i="9"/>
  <c r="AXK44" i="9"/>
  <c r="AXL44" i="9"/>
  <c r="AXM44" i="9"/>
  <c r="AXN44" i="9"/>
  <c r="AXO44" i="9"/>
  <c r="AXP44" i="9"/>
  <c r="AXQ44" i="9"/>
  <c r="AXR44" i="9"/>
  <c r="AXS44" i="9"/>
  <c r="AXT44" i="9"/>
  <c r="AXU44" i="9"/>
  <c r="AUL44" i="9"/>
  <c r="AUM44" i="9"/>
  <c r="AUN44" i="9"/>
  <c r="AUO44" i="9"/>
  <c r="AUP44" i="9"/>
  <c r="AUQ44" i="9"/>
  <c r="AUR44" i="9"/>
  <c r="AUS44" i="9"/>
  <c r="AUT44" i="9"/>
  <c r="AUU44" i="9"/>
  <c r="AUV44" i="9"/>
  <c r="AUW44" i="9"/>
  <c r="AUX44" i="9"/>
  <c r="AUY44" i="9"/>
  <c r="AUZ44" i="9"/>
  <c r="AVA44" i="9"/>
  <c r="AVB44" i="9"/>
  <c r="AVC44" i="9"/>
  <c r="AVD44" i="9"/>
  <c r="AVE44" i="9"/>
  <c r="AVF44" i="9"/>
  <c r="AVG44" i="9"/>
  <c r="AVH44" i="9"/>
  <c r="AVI44" i="9"/>
  <c r="AVJ44" i="9"/>
  <c r="AVK44" i="9"/>
  <c r="AVL44" i="9"/>
  <c r="AVM44" i="9"/>
  <c r="AVN44" i="9"/>
  <c r="AVO44" i="9"/>
  <c r="AVP44" i="9"/>
  <c r="AVQ44" i="9"/>
  <c r="AVR44" i="9"/>
  <c r="AVS44" i="9"/>
  <c r="AVT44" i="9"/>
  <c r="AVU44" i="9"/>
  <c r="AVV44" i="9"/>
  <c r="AVW44" i="9"/>
  <c r="AVX44" i="9"/>
  <c r="AVY44" i="9"/>
  <c r="AVZ44" i="9"/>
  <c r="AWA44" i="9"/>
  <c r="AWB44" i="9"/>
  <c r="AWC44" i="9"/>
  <c r="AST44" i="9"/>
  <c r="ASU44" i="9"/>
  <c r="ASV44" i="9"/>
  <c r="ASW44" i="9"/>
  <c r="ASX44" i="9"/>
  <c r="ASY44" i="9"/>
  <c r="ASZ44" i="9"/>
  <c r="ATA44" i="9"/>
  <c r="ATB44" i="9"/>
  <c r="ATC44" i="9"/>
  <c r="ATD44" i="9"/>
  <c r="ATE44" i="9"/>
  <c r="ATF44" i="9"/>
  <c r="ATG44" i="9"/>
  <c r="ATH44" i="9"/>
  <c r="ATI44" i="9"/>
  <c r="ATJ44" i="9"/>
  <c r="ATK44" i="9"/>
  <c r="ATL44" i="9"/>
  <c r="ATM44" i="9"/>
  <c r="ATN44" i="9"/>
  <c r="ATO44" i="9"/>
  <c r="ATP44" i="9"/>
  <c r="ATQ44" i="9"/>
  <c r="ATR44" i="9"/>
  <c r="ATS44" i="9"/>
  <c r="ATT44" i="9"/>
  <c r="ATU44" i="9"/>
  <c r="ATV44" i="9"/>
  <c r="ATW44" i="9"/>
  <c r="ATX44" i="9"/>
  <c r="ATY44" i="9"/>
  <c r="ATZ44" i="9"/>
  <c r="AUA44" i="9"/>
  <c r="AUB44" i="9"/>
  <c r="AUC44" i="9"/>
  <c r="AUD44" i="9"/>
  <c r="AUE44" i="9"/>
  <c r="AUF44" i="9"/>
  <c r="AUG44" i="9"/>
  <c r="AUH44" i="9"/>
  <c r="AUI44" i="9"/>
  <c r="AUJ44" i="9"/>
  <c r="AUK44" i="9"/>
  <c r="ARB44" i="9"/>
  <c r="ARC44" i="9"/>
  <c r="ARD44" i="9"/>
  <c r="ARE44" i="9"/>
  <c r="ARF44" i="9"/>
  <c r="ARG44" i="9"/>
  <c r="ARH44" i="9"/>
  <c r="ARI44" i="9"/>
  <c r="ARJ44" i="9"/>
  <c r="ARK44" i="9"/>
  <c r="ARL44" i="9"/>
  <c r="ARM44" i="9"/>
  <c r="ARN44" i="9"/>
  <c r="ARO44" i="9"/>
  <c r="ARP44" i="9"/>
  <c r="ARQ44" i="9"/>
  <c r="ARR44" i="9"/>
  <c r="ARS44" i="9"/>
  <c r="ART44" i="9"/>
  <c r="ARU44" i="9"/>
  <c r="ARV44" i="9"/>
  <c r="ARW44" i="9"/>
  <c r="ARX44" i="9"/>
  <c r="ARY44" i="9"/>
  <c r="ARZ44" i="9"/>
  <c r="ASA44" i="9"/>
  <c r="ASB44" i="9"/>
  <c r="ASC44" i="9"/>
  <c r="ASD44" i="9"/>
  <c r="ASE44" i="9"/>
  <c r="ASF44" i="9"/>
  <c r="ASG44" i="9"/>
  <c r="ASH44" i="9"/>
  <c r="ASI44" i="9"/>
  <c r="ASJ44" i="9"/>
  <c r="ASK44" i="9"/>
  <c r="ASL44" i="9"/>
  <c r="ASM44" i="9"/>
  <c r="ASN44" i="9"/>
  <c r="ASO44" i="9"/>
  <c r="ASP44" i="9"/>
  <c r="ASQ44" i="9"/>
  <c r="ASR44" i="9"/>
  <c r="ASS44" i="9"/>
  <c r="APJ44" i="9"/>
  <c r="APK44" i="9"/>
  <c r="APL44" i="9"/>
  <c r="APM44" i="9"/>
  <c r="APN44" i="9"/>
  <c r="APO44" i="9"/>
  <c r="APP44" i="9"/>
  <c r="APQ44" i="9"/>
  <c r="APR44" i="9"/>
  <c r="APS44" i="9"/>
  <c r="APT44" i="9"/>
  <c r="APU44" i="9"/>
  <c r="APV44" i="9"/>
  <c r="APW44" i="9"/>
  <c r="APX44" i="9"/>
  <c r="APY44" i="9"/>
  <c r="APZ44" i="9"/>
  <c r="AQA44" i="9"/>
  <c r="AQB44" i="9"/>
  <c r="AQC44" i="9"/>
  <c r="AQD44" i="9"/>
  <c r="AQE44" i="9"/>
  <c r="AQF44" i="9"/>
  <c r="AQG44" i="9"/>
  <c r="AQH44" i="9"/>
  <c r="AQI44" i="9"/>
  <c r="AQJ44" i="9"/>
  <c r="AQK44" i="9"/>
  <c r="AQL44" i="9"/>
  <c r="AQM44" i="9"/>
  <c r="AQN44" i="9"/>
  <c r="AQO44" i="9"/>
  <c r="AQP44" i="9"/>
  <c r="AQQ44" i="9"/>
  <c r="AQR44" i="9"/>
  <c r="AQS44" i="9"/>
  <c r="AQT44" i="9"/>
  <c r="AQU44" i="9"/>
  <c r="AQV44" i="9"/>
  <c r="AQW44" i="9"/>
  <c r="AQX44" i="9"/>
  <c r="AQY44" i="9"/>
  <c r="AQZ44" i="9"/>
  <c r="ARA44" i="9"/>
  <c r="ANR44" i="9"/>
  <c r="ANS44" i="9"/>
  <c r="ANT44" i="9"/>
  <c r="ANU44" i="9"/>
  <c r="ANV44" i="9"/>
  <c r="ANW44" i="9"/>
  <c r="ANX44" i="9"/>
  <c r="ANY44" i="9"/>
  <c r="ANZ44" i="9"/>
  <c r="AOA44" i="9"/>
  <c r="AOB44" i="9"/>
  <c r="AOC44" i="9"/>
  <c r="AOD44" i="9"/>
  <c r="AOE44" i="9"/>
  <c r="AOF44" i="9"/>
  <c r="AOG44" i="9"/>
  <c r="AOH44" i="9"/>
  <c r="AOI44" i="9"/>
  <c r="AOJ44" i="9"/>
  <c r="AOK44" i="9"/>
  <c r="AOL44" i="9"/>
  <c r="AOM44" i="9"/>
  <c r="AON44" i="9"/>
  <c r="AOO44" i="9"/>
  <c r="AOP44" i="9"/>
  <c r="AOQ44" i="9"/>
  <c r="AOR44" i="9"/>
  <c r="AOS44" i="9"/>
  <c r="AOT44" i="9"/>
  <c r="AOU44" i="9"/>
  <c r="AOV44" i="9"/>
  <c r="AOW44" i="9"/>
  <c r="AOX44" i="9"/>
  <c r="AOY44" i="9"/>
  <c r="AOZ44" i="9"/>
  <c r="APA44" i="9"/>
  <c r="APB44" i="9"/>
  <c r="APC44" i="9"/>
  <c r="APD44" i="9"/>
  <c r="APE44" i="9"/>
  <c r="APF44" i="9"/>
  <c r="APG44" i="9"/>
  <c r="APH44" i="9"/>
  <c r="API44" i="9"/>
  <c r="ALZ44" i="9"/>
  <c r="AMA44" i="9"/>
  <c r="AMB44" i="9"/>
  <c r="AMC44" i="9"/>
  <c r="AMD44" i="9"/>
  <c r="AME44" i="9"/>
  <c r="AMF44" i="9"/>
  <c r="AMG44" i="9"/>
  <c r="AMH44" i="9"/>
  <c r="AMI44" i="9"/>
  <c r="AMJ44" i="9"/>
  <c r="AMK44" i="9"/>
  <c r="AML44" i="9"/>
  <c r="AMM44" i="9"/>
  <c r="AMN44" i="9"/>
  <c r="AMO44" i="9"/>
  <c r="AMP44" i="9"/>
  <c r="AMQ44" i="9"/>
  <c r="AMR44" i="9"/>
  <c r="AMS44" i="9"/>
  <c r="AMT44" i="9"/>
  <c r="AMU44" i="9"/>
  <c r="AMV44" i="9"/>
  <c r="AMW44" i="9"/>
  <c r="AMX44" i="9"/>
  <c r="AMY44" i="9"/>
  <c r="AMZ44" i="9"/>
  <c r="ANA44" i="9"/>
  <c r="ANB44" i="9"/>
  <c r="ANC44" i="9"/>
  <c r="AND44" i="9"/>
  <c r="ANE44" i="9"/>
  <c r="ANF44" i="9"/>
  <c r="ANG44" i="9"/>
  <c r="ANH44" i="9"/>
  <c r="ANI44" i="9"/>
  <c r="ANJ44" i="9"/>
  <c r="ANK44" i="9"/>
  <c r="ANL44" i="9"/>
  <c r="ANM44" i="9"/>
  <c r="ANN44" i="9"/>
  <c r="ANO44" i="9"/>
  <c r="ANP44" i="9"/>
  <c r="ANQ44" i="9"/>
  <c r="AKH44" i="9"/>
  <c r="AKI44" i="9"/>
  <c r="AKJ44" i="9"/>
  <c r="AKK44" i="9"/>
  <c r="AKL44" i="9"/>
  <c r="AKM44" i="9"/>
  <c r="AKN44" i="9"/>
  <c r="AKO44" i="9"/>
  <c r="AKP44" i="9"/>
  <c r="AKQ44" i="9"/>
  <c r="AKR44" i="9"/>
  <c r="AKS44" i="9"/>
  <c r="AKT44" i="9"/>
  <c r="AKU44" i="9"/>
  <c r="AKV44" i="9"/>
  <c r="AKW44" i="9"/>
  <c r="AKX44" i="9"/>
  <c r="AKY44" i="9"/>
  <c r="AKZ44" i="9"/>
  <c r="ALA44" i="9"/>
  <c r="ALB44" i="9"/>
  <c r="ALC44" i="9"/>
  <c r="ALD44" i="9"/>
  <c r="ALE44" i="9"/>
  <c r="ALF44" i="9"/>
  <c r="ALG44" i="9"/>
  <c r="ALH44" i="9"/>
  <c r="ALI44" i="9"/>
  <c r="ALJ44" i="9"/>
  <c r="ALK44" i="9"/>
  <c r="ALL44" i="9"/>
  <c r="ALM44" i="9"/>
  <c r="ALN44" i="9"/>
  <c r="ALO44" i="9"/>
  <c r="ALP44" i="9"/>
  <c r="ALQ44" i="9"/>
  <c r="ALR44" i="9"/>
  <c r="ALS44" i="9"/>
  <c r="ALT44" i="9"/>
  <c r="ALU44" i="9"/>
  <c r="ALV44" i="9"/>
  <c r="ALW44" i="9"/>
  <c r="ALX44" i="9"/>
  <c r="ALY44" i="9"/>
  <c r="AIP44" i="9"/>
  <c r="AIQ44" i="9"/>
  <c r="AIR44" i="9"/>
  <c r="AIS44" i="9"/>
  <c r="AIT44" i="9"/>
  <c r="AIU44" i="9"/>
  <c r="AIV44" i="9"/>
  <c r="AIW44" i="9"/>
  <c r="AIX44" i="9"/>
  <c r="AIY44" i="9"/>
  <c r="AIZ44" i="9"/>
  <c r="AJA44" i="9"/>
  <c r="AJB44" i="9"/>
  <c r="AJC44" i="9"/>
  <c r="AJD44" i="9"/>
  <c r="AJE44" i="9"/>
  <c r="AJF44" i="9"/>
  <c r="AJG44" i="9"/>
  <c r="AJH44" i="9"/>
  <c r="AJI44" i="9"/>
  <c r="AJJ44" i="9"/>
  <c r="AJK44" i="9"/>
  <c r="AJL44" i="9"/>
  <c r="AJM44" i="9"/>
  <c r="AJN44" i="9"/>
  <c r="AJO44" i="9"/>
  <c r="AJP44" i="9"/>
  <c r="AJQ44" i="9"/>
  <c r="AJR44" i="9"/>
  <c r="AJS44" i="9"/>
  <c r="AJT44" i="9"/>
  <c r="AJU44" i="9"/>
  <c r="AJV44" i="9"/>
  <c r="AJW44" i="9"/>
  <c r="AJX44" i="9"/>
  <c r="AJY44" i="9"/>
  <c r="AJZ44" i="9"/>
  <c r="AKA44" i="9"/>
  <c r="AKB44" i="9"/>
  <c r="AKC44" i="9"/>
  <c r="AKD44" i="9"/>
  <c r="AKE44" i="9"/>
  <c r="AKF44" i="9"/>
  <c r="AKG44" i="9"/>
  <c r="AGX44" i="9"/>
  <c r="AGY44" i="9"/>
  <c r="AGZ44" i="9"/>
  <c r="AHA44" i="9"/>
  <c r="AHB44" i="9"/>
  <c r="AHC44" i="9"/>
  <c r="AHD44" i="9"/>
  <c r="AHE44" i="9"/>
  <c r="AHF44" i="9"/>
  <c r="AHG44" i="9"/>
  <c r="AHH44" i="9"/>
  <c r="AHI44" i="9"/>
  <c r="AHJ44" i="9"/>
  <c r="AHK44" i="9"/>
  <c r="AHL44" i="9"/>
  <c r="AHM44" i="9"/>
  <c r="AHN44" i="9"/>
  <c r="AHO44" i="9"/>
  <c r="AHP44" i="9"/>
  <c r="AHQ44" i="9"/>
  <c r="AHR44" i="9"/>
  <c r="AHS44" i="9"/>
  <c r="AHT44" i="9"/>
  <c r="AHU44" i="9"/>
  <c r="AHV44" i="9"/>
  <c r="AHW44" i="9"/>
  <c r="AHX44" i="9"/>
  <c r="AHY44" i="9"/>
  <c r="AHZ44" i="9"/>
  <c r="AIA44" i="9"/>
  <c r="AIB44" i="9"/>
  <c r="AIC44" i="9"/>
  <c r="AID44" i="9"/>
  <c r="AIE44" i="9"/>
  <c r="AIF44" i="9"/>
  <c r="AIG44" i="9"/>
  <c r="AIH44" i="9"/>
  <c r="AII44" i="9"/>
  <c r="AIJ44" i="9"/>
  <c r="AIK44" i="9"/>
  <c r="AIL44" i="9"/>
  <c r="AIM44" i="9"/>
  <c r="AIN44" i="9"/>
  <c r="AIO44" i="9"/>
  <c r="AFF44" i="9"/>
  <c r="AFG44" i="9"/>
  <c r="AFH44" i="9"/>
  <c r="AFI44" i="9"/>
  <c r="AFJ44" i="9"/>
  <c r="AFK44" i="9"/>
  <c r="AFL44" i="9"/>
  <c r="AFM44" i="9"/>
  <c r="AFN44" i="9"/>
  <c r="AFO44" i="9"/>
  <c r="AFP44" i="9"/>
  <c r="AFQ44" i="9"/>
  <c r="AFR44" i="9"/>
  <c r="AFS44" i="9"/>
  <c r="AFT44" i="9"/>
  <c r="AFU44" i="9"/>
  <c r="AFV44" i="9"/>
  <c r="AFW44" i="9"/>
  <c r="AFX44" i="9"/>
  <c r="AFY44" i="9"/>
  <c r="AFZ44" i="9"/>
  <c r="AGA44" i="9"/>
  <c r="AGB44" i="9"/>
  <c r="AGC44" i="9"/>
  <c r="AGD44" i="9"/>
  <c r="AGE44" i="9"/>
  <c r="AGF44" i="9"/>
  <c r="AGG44" i="9"/>
  <c r="AGH44" i="9"/>
  <c r="AGI44" i="9"/>
  <c r="AGJ44" i="9"/>
  <c r="AGK44" i="9"/>
  <c r="AGL44" i="9"/>
  <c r="AGM44" i="9"/>
  <c r="AGN44" i="9"/>
  <c r="AGO44" i="9"/>
  <c r="AGP44" i="9"/>
  <c r="AGQ44" i="9"/>
  <c r="AGR44" i="9"/>
  <c r="AGS44" i="9"/>
  <c r="AGT44" i="9"/>
  <c r="AGU44" i="9"/>
  <c r="AGV44" i="9"/>
  <c r="AGW44" i="9"/>
  <c r="ADN44" i="9"/>
  <c r="ADO44" i="9"/>
  <c r="ADP44" i="9"/>
  <c r="ADQ44" i="9"/>
  <c r="ADR44" i="9"/>
  <c r="ADS44" i="9"/>
  <c r="ADT44" i="9"/>
  <c r="ADU44" i="9"/>
  <c r="ADV44" i="9"/>
  <c r="ADW44" i="9"/>
  <c r="ADX44" i="9"/>
  <c r="ADY44" i="9"/>
  <c r="ADZ44" i="9"/>
  <c r="AEA44" i="9"/>
  <c r="AEB44" i="9"/>
  <c r="AEC44" i="9"/>
  <c r="AED44" i="9"/>
  <c r="AEE44" i="9"/>
  <c r="AEF44" i="9"/>
  <c r="AEG44" i="9"/>
  <c r="AEH44" i="9"/>
  <c r="AEI44" i="9"/>
  <c r="AEJ44" i="9"/>
  <c r="AEK44" i="9"/>
  <c r="AEL44" i="9"/>
  <c r="AEM44" i="9"/>
  <c r="AEN44" i="9"/>
  <c r="AEO44" i="9"/>
  <c r="AEP44" i="9"/>
  <c r="AEQ44" i="9"/>
  <c r="AER44" i="9"/>
  <c r="AES44" i="9"/>
  <c r="AET44" i="9"/>
  <c r="AEU44" i="9"/>
  <c r="AEV44" i="9"/>
  <c r="AEW44" i="9"/>
  <c r="AEX44" i="9"/>
  <c r="AEY44" i="9"/>
  <c r="AEZ44" i="9"/>
  <c r="AFA44" i="9"/>
  <c r="AFB44" i="9"/>
  <c r="AFC44" i="9"/>
  <c r="AFD44" i="9"/>
  <c r="AFE44" i="9"/>
  <c r="ABV44" i="9"/>
  <c r="ABW44" i="9"/>
  <c r="ABX44" i="9"/>
  <c r="ABY44" i="9"/>
  <c r="ABZ44" i="9"/>
  <c r="ACA44" i="9"/>
  <c r="ACB44" i="9"/>
  <c r="ACC44" i="9"/>
  <c r="ACD44" i="9"/>
  <c r="ACE44" i="9"/>
  <c r="ACF44" i="9"/>
  <c r="ACG44" i="9"/>
  <c r="ACH44" i="9"/>
  <c r="ACI44" i="9"/>
  <c r="ACJ44" i="9"/>
  <c r="ACK44" i="9"/>
  <c r="ACL44" i="9"/>
  <c r="ACM44" i="9"/>
  <c r="ACN44" i="9"/>
  <c r="ACO44" i="9"/>
  <c r="ACP44" i="9"/>
  <c r="ACQ44" i="9"/>
  <c r="ACR44" i="9"/>
  <c r="ACS44" i="9"/>
  <c r="ACT44" i="9"/>
  <c r="ACU44" i="9"/>
  <c r="ACV44" i="9"/>
  <c r="ACW44" i="9"/>
  <c r="ACX44" i="9"/>
  <c r="ACY44" i="9"/>
  <c r="ACZ44" i="9"/>
  <c r="ADA44" i="9"/>
  <c r="ADB44" i="9"/>
  <c r="ADC44" i="9"/>
  <c r="ADD44" i="9"/>
  <c r="ADE44" i="9"/>
  <c r="ADF44" i="9"/>
  <c r="ADG44" i="9"/>
  <c r="ADH44" i="9"/>
  <c r="ADI44" i="9"/>
  <c r="ADJ44" i="9"/>
  <c r="ADK44" i="9"/>
  <c r="ADL44" i="9"/>
  <c r="ADM44" i="9"/>
  <c r="AAD44" i="9"/>
  <c r="AAE44" i="9"/>
  <c r="AAF44" i="9"/>
  <c r="AAG44" i="9"/>
  <c r="AAH44" i="9"/>
  <c r="AAI44" i="9"/>
  <c r="AAJ44" i="9"/>
  <c r="AAK44" i="9"/>
  <c r="AAL44" i="9"/>
  <c r="AAM44" i="9"/>
  <c r="AAN44" i="9"/>
  <c r="AAO44" i="9"/>
  <c r="AAP44" i="9"/>
  <c r="AAQ44" i="9"/>
  <c r="AAR44" i="9"/>
  <c r="AAS44" i="9"/>
  <c r="AAT44" i="9"/>
  <c r="AAU44" i="9"/>
  <c r="AAV44" i="9"/>
  <c r="AAW44" i="9"/>
  <c r="AAX44" i="9"/>
  <c r="AAY44" i="9"/>
  <c r="AAZ44" i="9"/>
  <c r="ABA44" i="9"/>
  <c r="ABB44" i="9"/>
  <c r="ABC44" i="9"/>
  <c r="ABD44" i="9"/>
  <c r="ABE44" i="9"/>
  <c r="ABF44" i="9"/>
  <c r="ABG44" i="9"/>
  <c r="ABH44" i="9"/>
  <c r="ABI44" i="9"/>
  <c r="ABJ44" i="9"/>
  <c r="ABK44" i="9"/>
  <c r="ABL44" i="9"/>
  <c r="ABM44" i="9"/>
  <c r="ABN44" i="9"/>
  <c r="ABO44" i="9"/>
  <c r="ABP44" i="9"/>
  <c r="ABQ44" i="9"/>
  <c r="ABR44" i="9"/>
  <c r="ABS44" i="9"/>
  <c r="ABT44" i="9"/>
  <c r="ABU44" i="9"/>
  <c r="YL44" i="9"/>
  <c r="YM44" i="9"/>
  <c r="YN44" i="9"/>
  <c r="YO44" i="9"/>
  <c r="YP44" i="9"/>
  <c r="YQ44" i="9"/>
  <c r="YR44" i="9"/>
  <c r="YS44" i="9"/>
  <c r="YT44" i="9"/>
  <c r="YU44" i="9"/>
  <c r="YV44" i="9"/>
  <c r="YW44" i="9"/>
  <c r="YX44" i="9"/>
  <c r="YY44" i="9"/>
  <c r="YZ44" i="9"/>
  <c r="ZA44" i="9"/>
  <c r="ZB44" i="9"/>
  <c r="ZC44" i="9"/>
  <c r="ZD44" i="9"/>
  <c r="ZE44" i="9"/>
  <c r="ZF44" i="9"/>
  <c r="ZG44" i="9"/>
  <c r="ZH44" i="9"/>
  <c r="ZI44" i="9"/>
  <c r="ZJ44" i="9"/>
  <c r="ZK44" i="9"/>
  <c r="ZL44" i="9"/>
  <c r="ZM44" i="9"/>
  <c r="ZN44" i="9"/>
  <c r="ZO44" i="9"/>
  <c r="ZP44" i="9"/>
  <c r="ZQ44" i="9"/>
  <c r="ZR44" i="9"/>
  <c r="ZS44" i="9"/>
  <c r="ZT44" i="9"/>
  <c r="ZU44" i="9"/>
  <c r="ZV44" i="9"/>
  <c r="ZW44" i="9"/>
  <c r="ZX44" i="9"/>
  <c r="ZY44" i="9"/>
  <c r="ZZ44" i="9"/>
  <c r="AAA44" i="9"/>
  <c r="AAB44" i="9"/>
  <c r="AAC44" i="9"/>
  <c r="WT44" i="9"/>
  <c r="WU44" i="9"/>
  <c r="WV44" i="9"/>
  <c r="WW44" i="9"/>
  <c r="WX44" i="9"/>
  <c r="WY44" i="9"/>
  <c r="WZ44" i="9"/>
  <c r="XA44" i="9"/>
  <c r="XB44" i="9"/>
  <c r="XC44" i="9"/>
  <c r="XD44" i="9"/>
  <c r="XE44" i="9"/>
  <c r="XF44" i="9"/>
  <c r="XG44" i="9"/>
  <c r="XH44" i="9"/>
  <c r="XI44" i="9"/>
  <c r="XJ44" i="9"/>
  <c r="XK44" i="9"/>
  <c r="XL44" i="9"/>
  <c r="XM44" i="9"/>
  <c r="XN44" i="9"/>
  <c r="XO44" i="9"/>
  <c r="XP44" i="9"/>
  <c r="XQ44" i="9"/>
  <c r="XR44" i="9"/>
  <c r="XS44" i="9"/>
  <c r="XT44" i="9"/>
  <c r="XU44" i="9"/>
  <c r="XV44" i="9"/>
  <c r="XW44" i="9"/>
  <c r="XX44" i="9"/>
  <c r="XY44" i="9"/>
  <c r="XZ44" i="9"/>
  <c r="YA44" i="9"/>
  <c r="YB44" i="9"/>
  <c r="YC44" i="9"/>
  <c r="YD44" i="9"/>
  <c r="YE44" i="9"/>
  <c r="YF44" i="9"/>
  <c r="YG44" i="9"/>
  <c r="YH44" i="9"/>
  <c r="YI44" i="9"/>
  <c r="YJ44" i="9"/>
  <c r="YK44" i="9"/>
  <c r="VB44" i="9"/>
  <c r="VC44" i="9"/>
  <c r="VD44" i="9"/>
  <c r="VE44" i="9"/>
  <c r="VF44" i="9"/>
  <c r="VG44" i="9"/>
  <c r="VH44" i="9"/>
  <c r="VI44" i="9"/>
  <c r="VJ44" i="9"/>
  <c r="VK44" i="9"/>
  <c r="VL44" i="9"/>
  <c r="VM44" i="9"/>
  <c r="VN44" i="9"/>
  <c r="VO44" i="9"/>
  <c r="VP44" i="9"/>
  <c r="VQ44" i="9"/>
  <c r="VR44" i="9"/>
  <c r="VS44" i="9"/>
  <c r="VT44" i="9"/>
  <c r="VU44" i="9"/>
  <c r="VV44" i="9"/>
  <c r="VW44" i="9"/>
  <c r="VX44" i="9"/>
  <c r="VY44" i="9"/>
  <c r="VZ44" i="9"/>
  <c r="WA44" i="9"/>
  <c r="WB44" i="9"/>
  <c r="WC44" i="9"/>
  <c r="WD44" i="9"/>
  <c r="WE44" i="9"/>
  <c r="WF44" i="9"/>
  <c r="WG44" i="9"/>
  <c r="WH44" i="9"/>
  <c r="WI44" i="9"/>
  <c r="WJ44" i="9"/>
  <c r="WK44" i="9"/>
  <c r="WL44" i="9"/>
  <c r="WM44" i="9"/>
  <c r="WN44" i="9"/>
  <c r="WO44" i="9"/>
  <c r="WP44" i="9"/>
  <c r="WQ44" i="9"/>
  <c r="WR44" i="9"/>
  <c r="WS44" i="9"/>
  <c r="TJ44" i="9"/>
  <c r="TK44" i="9"/>
  <c r="TL44" i="9"/>
  <c r="TM44" i="9"/>
  <c r="TN44" i="9"/>
  <c r="TO44" i="9"/>
  <c r="TP44" i="9"/>
  <c r="TQ44" i="9"/>
  <c r="TR44" i="9"/>
  <c r="TS44" i="9"/>
  <c r="TT44" i="9"/>
  <c r="TU44" i="9"/>
  <c r="TV44" i="9"/>
  <c r="TW44" i="9"/>
  <c r="TX44" i="9"/>
  <c r="TY44" i="9"/>
  <c r="TZ44" i="9"/>
  <c r="UA44" i="9"/>
  <c r="UB44" i="9"/>
  <c r="UC44" i="9"/>
  <c r="UD44" i="9"/>
  <c r="UE44" i="9"/>
  <c r="UF44" i="9"/>
  <c r="UG44" i="9"/>
  <c r="UH44" i="9"/>
  <c r="UI44" i="9"/>
  <c r="UJ44" i="9"/>
  <c r="UK44" i="9"/>
  <c r="UL44" i="9"/>
  <c r="UM44" i="9"/>
  <c r="UN44" i="9"/>
  <c r="UO44" i="9"/>
  <c r="UP44" i="9"/>
  <c r="UQ44" i="9"/>
  <c r="UR44" i="9"/>
  <c r="US44" i="9"/>
  <c r="UT44" i="9"/>
  <c r="UU44" i="9"/>
  <c r="UV44" i="9"/>
  <c r="UW44" i="9"/>
  <c r="UX44" i="9"/>
  <c r="UY44" i="9"/>
  <c r="UZ44" i="9"/>
  <c r="VA44" i="9"/>
  <c r="RR44" i="9"/>
  <c r="RS44" i="9"/>
  <c r="RT44" i="9"/>
  <c r="RU44" i="9"/>
  <c r="RV44" i="9"/>
  <c r="RW44" i="9"/>
  <c r="RX44" i="9"/>
  <c r="RY44" i="9"/>
  <c r="RZ44" i="9"/>
  <c r="SA44" i="9"/>
  <c r="SB44" i="9"/>
  <c r="SC44" i="9"/>
  <c r="SD44" i="9"/>
  <c r="SE44" i="9"/>
  <c r="SF44" i="9"/>
  <c r="SG44" i="9"/>
  <c r="SH44" i="9"/>
  <c r="SI44" i="9"/>
  <c r="SJ44" i="9"/>
  <c r="SK44" i="9"/>
  <c r="SL44" i="9"/>
  <c r="SM44" i="9"/>
  <c r="SN44" i="9"/>
  <c r="SO44" i="9"/>
  <c r="SP44" i="9"/>
  <c r="SQ44" i="9"/>
  <c r="SR44" i="9"/>
  <c r="SS44" i="9"/>
  <c r="ST44" i="9"/>
  <c r="SU44" i="9"/>
  <c r="SV44" i="9"/>
  <c r="SW44" i="9"/>
  <c r="SX44" i="9"/>
  <c r="SY44" i="9"/>
  <c r="SZ44" i="9"/>
  <c r="TA44" i="9"/>
  <c r="TB44" i="9"/>
  <c r="TC44" i="9"/>
  <c r="TD44" i="9"/>
  <c r="TE44" i="9"/>
  <c r="TF44" i="9"/>
  <c r="TG44" i="9"/>
  <c r="TH44" i="9"/>
  <c r="TI44" i="9"/>
  <c r="PZ44" i="9"/>
  <c r="QA44" i="9"/>
  <c r="QB44" i="9"/>
  <c r="QC44" i="9"/>
  <c r="QD44" i="9"/>
  <c r="QE44" i="9"/>
  <c r="QF44" i="9"/>
  <c r="QG44" i="9"/>
  <c r="QH44" i="9"/>
  <c r="QI44" i="9"/>
  <c r="QJ44" i="9"/>
  <c r="QK44" i="9"/>
  <c r="QL44" i="9"/>
  <c r="QM44" i="9"/>
  <c r="QN44" i="9"/>
  <c r="QO44" i="9"/>
  <c r="QP44" i="9"/>
  <c r="QQ44" i="9"/>
  <c r="QR44" i="9"/>
  <c r="QS44" i="9"/>
  <c r="QT44" i="9"/>
  <c r="QU44" i="9"/>
  <c r="QV44" i="9"/>
  <c r="QW44" i="9"/>
  <c r="QX44" i="9"/>
  <c r="QY44" i="9"/>
  <c r="QZ44" i="9"/>
  <c r="RA44" i="9"/>
  <c r="RB44" i="9"/>
  <c r="RC44" i="9"/>
  <c r="RD44" i="9"/>
  <c r="RE44" i="9"/>
  <c r="RF44" i="9"/>
  <c r="RG44" i="9"/>
  <c r="RH44" i="9"/>
  <c r="RI44" i="9"/>
  <c r="RJ44" i="9"/>
  <c r="RK44" i="9"/>
  <c r="RL44" i="9"/>
  <c r="RM44" i="9"/>
  <c r="RN44" i="9"/>
  <c r="RO44" i="9"/>
  <c r="RP44" i="9"/>
  <c r="RQ44" i="9"/>
  <c r="OH44" i="9"/>
  <c r="OI44" i="9"/>
  <c r="OJ44" i="9"/>
  <c r="OK44" i="9"/>
  <c r="OL44" i="9"/>
  <c r="OM44" i="9"/>
  <c r="ON44" i="9"/>
  <c r="OO44" i="9"/>
  <c r="OP44" i="9"/>
  <c r="OQ44" i="9"/>
  <c r="OR44" i="9"/>
  <c r="OS44" i="9"/>
  <c r="OT44" i="9"/>
  <c r="OU44" i="9"/>
  <c r="OV44" i="9"/>
  <c r="OW44" i="9"/>
  <c r="OX44" i="9"/>
  <c r="OY44" i="9"/>
  <c r="OZ44" i="9"/>
  <c r="PA44" i="9"/>
  <c r="PB44" i="9"/>
  <c r="PC44" i="9"/>
  <c r="PD44" i="9"/>
  <c r="PE44" i="9"/>
  <c r="PF44" i="9"/>
  <c r="PG44" i="9"/>
  <c r="PH44" i="9"/>
  <c r="PI44" i="9"/>
  <c r="PJ44" i="9"/>
  <c r="PK44" i="9"/>
  <c r="PL44" i="9"/>
  <c r="PM44" i="9"/>
  <c r="PN44" i="9"/>
  <c r="PO44" i="9"/>
  <c r="PP44" i="9"/>
  <c r="PQ44" i="9"/>
  <c r="PR44" i="9"/>
  <c r="PS44" i="9"/>
  <c r="PT44" i="9"/>
  <c r="PU44" i="9"/>
  <c r="PV44" i="9"/>
  <c r="PW44" i="9"/>
  <c r="PX44" i="9"/>
  <c r="PY44" i="9"/>
  <c r="MP44" i="9"/>
  <c r="MQ44" i="9"/>
  <c r="MR44" i="9"/>
  <c r="MS44" i="9"/>
  <c r="MT44" i="9"/>
  <c r="MU44" i="9"/>
  <c r="MV44" i="9"/>
  <c r="MW44" i="9"/>
  <c r="MX44" i="9"/>
  <c r="MY44" i="9"/>
  <c r="MZ44" i="9"/>
  <c r="NA44" i="9"/>
  <c r="NB44" i="9"/>
  <c r="NC44" i="9"/>
  <c r="ND44" i="9"/>
  <c r="NE44" i="9"/>
  <c r="NF44" i="9"/>
  <c r="NG44" i="9"/>
  <c r="NH44" i="9"/>
  <c r="NI44" i="9"/>
  <c r="NJ44" i="9"/>
  <c r="NK44" i="9"/>
  <c r="NL44" i="9"/>
  <c r="NM44" i="9"/>
  <c r="NN44" i="9"/>
  <c r="NO44" i="9"/>
  <c r="NP44" i="9"/>
  <c r="NQ44" i="9"/>
  <c r="NR44" i="9"/>
  <c r="NS44" i="9"/>
  <c r="NT44" i="9"/>
  <c r="NU44" i="9"/>
  <c r="NV44" i="9"/>
  <c r="NW44" i="9"/>
  <c r="NX44" i="9"/>
  <c r="NY44" i="9"/>
  <c r="NZ44" i="9"/>
  <c r="OA44" i="9"/>
  <c r="OB44" i="9"/>
  <c r="OC44" i="9"/>
  <c r="OD44" i="9"/>
  <c r="OE44" i="9"/>
  <c r="OF44" i="9"/>
  <c r="OG44" i="9"/>
  <c r="KX44" i="9"/>
  <c r="KY44" i="9"/>
  <c r="KZ44" i="9"/>
  <c r="LA44" i="9"/>
  <c r="LB44" i="9"/>
  <c r="LC44" i="9"/>
  <c r="LD44" i="9"/>
  <c r="LE44" i="9"/>
  <c r="LF44" i="9"/>
  <c r="LG44" i="9"/>
  <c r="LH44" i="9"/>
  <c r="LI44" i="9"/>
  <c r="LJ44" i="9"/>
  <c r="LK44" i="9"/>
  <c r="LL44" i="9"/>
  <c r="LM44" i="9"/>
  <c r="LN44" i="9"/>
  <c r="LO44" i="9"/>
  <c r="LP44" i="9"/>
  <c r="LQ44" i="9"/>
  <c r="LR44" i="9"/>
  <c r="LS44" i="9"/>
  <c r="LT44" i="9"/>
  <c r="LU44" i="9"/>
  <c r="LV44" i="9"/>
  <c r="LW44" i="9"/>
  <c r="LX44" i="9"/>
  <c r="LY44" i="9"/>
  <c r="LZ44" i="9"/>
  <c r="MA44" i="9"/>
  <c r="MB44" i="9"/>
  <c r="MC44" i="9"/>
  <c r="MD44" i="9"/>
  <c r="ME44" i="9"/>
  <c r="MF44" i="9"/>
  <c r="MG44" i="9"/>
  <c r="MH44" i="9"/>
  <c r="MI44" i="9"/>
  <c r="MJ44" i="9"/>
  <c r="MK44" i="9"/>
  <c r="ML44" i="9"/>
  <c r="MM44" i="9"/>
  <c r="MN44" i="9"/>
  <c r="MO44" i="9"/>
  <c r="JF44" i="9"/>
  <c r="JG44" i="9"/>
  <c r="JH44" i="9"/>
  <c r="JI44" i="9"/>
  <c r="JJ44" i="9"/>
  <c r="JK44" i="9"/>
  <c r="JL44" i="9"/>
  <c r="JM44" i="9"/>
  <c r="JN44" i="9"/>
  <c r="JO44" i="9"/>
  <c r="JP44" i="9"/>
  <c r="JQ44" i="9"/>
  <c r="JR44" i="9"/>
  <c r="JS44" i="9"/>
  <c r="JT44" i="9"/>
  <c r="JU44" i="9"/>
  <c r="JV44" i="9"/>
  <c r="JW44" i="9"/>
  <c r="JX44" i="9"/>
  <c r="JY44" i="9"/>
  <c r="JZ44" i="9"/>
  <c r="KA44" i="9"/>
  <c r="KB44" i="9"/>
  <c r="KC44" i="9"/>
  <c r="KD44" i="9"/>
  <c r="KE44" i="9"/>
  <c r="KF44" i="9"/>
  <c r="KG44" i="9"/>
  <c r="KH44" i="9"/>
  <c r="KI44" i="9"/>
  <c r="KJ44" i="9"/>
  <c r="KK44" i="9"/>
  <c r="KL44" i="9"/>
  <c r="KM44" i="9"/>
  <c r="KN44" i="9"/>
  <c r="KO44" i="9"/>
  <c r="KP44" i="9"/>
  <c r="KQ44" i="9"/>
  <c r="KR44" i="9"/>
  <c r="KS44" i="9"/>
  <c r="KT44" i="9"/>
  <c r="KU44" i="9"/>
  <c r="KV44" i="9"/>
  <c r="KW44" i="9"/>
  <c r="HN44" i="9"/>
  <c r="HO44" i="9"/>
  <c r="HP44" i="9"/>
  <c r="HQ44" i="9"/>
  <c r="HR44" i="9"/>
  <c r="HS44" i="9"/>
  <c r="HT44" i="9"/>
  <c r="HU44" i="9"/>
  <c r="HV44" i="9"/>
  <c r="HW44" i="9"/>
  <c r="HX44" i="9"/>
  <c r="HY44" i="9"/>
  <c r="HZ44" i="9"/>
  <c r="IA44" i="9"/>
  <c r="IB44" i="9"/>
  <c r="IC44" i="9"/>
  <c r="ID44" i="9"/>
  <c r="IE44" i="9"/>
  <c r="IF44" i="9"/>
  <c r="IG44" i="9"/>
  <c r="IH44" i="9"/>
  <c r="II44" i="9"/>
  <c r="IJ44" i="9"/>
  <c r="IK44" i="9"/>
  <c r="IL44" i="9"/>
  <c r="IM44" i="9"/>
  <c r="IN44" i="9"/>
  <c r="IO44" i="9"/>
  <c r="IP44" i="9"/>
  <c r="IQ44" i="9"/>
  <c r="IR44" i="9"/>
  <c r="IS44" i="9"/>
  <c r="IT44" i="9"/>
  <c r="IU44" i="9"/>
  <c r="IV44" i="9"/>
  <c r="IW44" i="9"/>
  <c r="IX44" i="9"/>
  <c r="IY44" i="9"/>
  <c r="IZ44" i="9"/>
  <c r="JA44" i="9"/>
  <c r="JB44" i="9"/>
  <c r="JC44" i="9"/>
  <c r="JD44" i="9"/>
  <c r="JE44" i="9"/>
  <c r="FV44" i="9"/>
  <c r="FW44" i="9"/>
  <c r="FX44" i="9"/>
  <c r="FY44" i="9"/>
  <c r="FZ44" i="9"/>
  <c r="GA44" i="9"/>
  <c r="GB44" i="9"/>
  <c r="GC44" i="9"/>
  <c r="GD44" i="9"/>
  <c r="GE44" i="9"/>
  <c r="GF44" i="9"/>
  <c r="GG44" i="9"/>
  <c r="GH44" i="9"/>
  <c r="GI44" i="9"/>
  <c r="GJ44" i="9"/>
  <c r="GK44" i="9"/>
  <c r="GL44" i="9"/>
  <c r="GM44" i="9"/>
  <c r="GN44" i="9"/>
  <c r="GO44" i="9"/>
  <c r="GP44" i="9"/>
  <c r="GQ44" i="9"/>
  <c r="GR44" i="9"/>
  <c r="GS44" i="9"/>
  <c r="GT44" i="9"/>
  <c r="GU44" i="9"/>
  <c r="GV44" i="9"/>
  <c r="GW44" i="9"/>
  <c r="GX44" i="9"/>
  <c r="GY44" i="9"/>
  <c r="GZ44" i="9"/>
  <c r="HA44" i="9"/>
  <c r="HB44" i="9"/>
  <c r="HC44" i="9"/>
  <c r="HD44" i="9"/>
  <c r="HE44" i="9"/>
  <c r="HF44" i="9"/>
  <c r="HG44" i="9"/>
  <c r="HH44" i="9"/>
  <c r="HI44" i="9"/>
  <c r="HJ44" i="9"/>
  <c r="HK44" i="9"/>
  <c r="HL44" i="9"/>
  <c r="HM44" i="9"/>
  <c r="ED44" i="9"/>
  <c r="EE44" i="9"/>
  <c r="EF44" i="9"/>
  <c r="EG44" i="9"/>
  <c r="EH44" i="9"/>
  <c r="EI44" i="9"/>
  <c r="EJ44" i="9"/>
  <c r="EK44" i="9"/>
  <c r="EL44" i="9"/>
  <c r="EM44" i="9"/>
  <c r="EN44" i="9"/>
  <c r="EO44" i="9"/>
  <c r="EP44" i="9"/>
  <c r="EQ44" i="9"/>
  <c r="ER44" i="9"/>
  <c r="ES44" i="9"/>
  <c r="ET44" i="9"/>
  <c r="EU44" i="9"/>
  <c r="EV44" i="9"/>
  <c r="EW44" i="9"/>
  <c r="EX44" i="9"/>
  <c r="EY44" i="9"/>
  <c r="EZ44" i="9"/>
  <c r="FA44" i="9"/>
  <c r="FB44" i="9"/>
  <c r="FC44" i="9"/>
  <c r="FD44" i="9"/>
  <c r="FE44" i="9"/>
  <c r="FF44" i="9"/>
  <c r="FG44" i="9"/>
  <c r="FH44" i="9"/>
  <c r="FI44" i="9"/>
  <c r="FJ44" i="9"/>
  <c r="FK44" i="9"/>
  <c r="FL44" i="9"/>
  <c r="FM44" i="9"/>
  <c r="FN44" i="9"/>
  <c r="FO44" i="9"/>
  <c r="FP44" i="9"/>
  <c r="FQ44" i="9"/>
  <c r="FR44" i="9"/>
  <c r="FS44" i="9"/>
  <c r="FT44" i="9"/>
  <c r="FU44" i="9"/>
  <c r="CL44" i="9"/>
  <c r="CM44" i="9"/>
  <c r="CN44" i="9"/>
  <c r="CO44" i="9"/>
  <c r="CP44" i="9"/>
  <c r="CQ44" i="9"/>
  <c r="CR44" i="9"/>
  <c r="CS44" i="9"/>
  <c r="CT44" i="9"/>
  <c r="CU44" i="9"/>
  <c r="CV44" i="9"/>
  <c r="CW44" i="9"/>
  <c r="CX44" i="9"/>
  <c r="CY44" i="9"/>
  <c r="CZ44" i="9"/>
  <c r="DA44" i="9"/>
  <c r="DB44" i="9"/>
  <c r="DC44" i="9"/>
  <c r="DD44" i="9"/>
  <c r="DE44" i="9"/>
  <c r="DF44" i="9"/>
  <c r="DG44" i="9"/>
  <c r="DH44" i="9"/>
  <c r="DI44" i="9"/>
  <c r="DJ44" i="9"/>
  <c r="DK44" i="9"/>
  <c r="DL44" i="9"/>
  <c r="DM44" i="9"/>
  <c r="DN44" i="9"/>
  <c r="DO44" i="9"/>
  <c r="DP44" i="9"/>
  <c r="DQ44" i="9"/>
  <c r="DR44" i="9"/>
  <c r="DS44" i="9"/>
  <c r="DT44" i="9"/>
  <c r="DU44" i="9"/>
  <c r="DV44" i="9"/>
  <c r="DW44" i="9"/>
  <c r="DX44" i="9"/>
  <c r="DY44" i="9"/>
  <c r="DZ44" i="9"/>
  <c r="EA44" i="9"/>
  <c r="EB44" i="9"/>
  <c r="EC44" i="9"/>
  <c r="AT44" i="9"/>
  <c r="AU44" i="9"/>
  <c r="AV44" i="9"/>
  <c r="AW44" i="9"/>
  <c r="AX44" i="9"/>
  <c r="AY44" i="9"/>
  <c r="AZ44" i="9"/>
  <c r="BA44" i="9"/>
  <c r="BB44" i="9"/>
  <c r="BC44" i="9"/>
  <c r="BD44" i="9"/>
  <c r="BE44" i="9"/>
  <c r="BF44" i="9"/>
  <c r="BG44" i="9"/>
  <c r="BH44" i="9"/>
  <c r="BI44" i="9"/>
  <c r="BJ44" i="9"/>
  <c r="BK44" i="9"/>
  <c r="BL44" i="9"/>
  <c r="BM44" i="9"/>
  <c r="BN44" i="9"/>
  <c r="BO44" i="9"/>
  <c r="BP44" i="9"/>
  <c r="BQ44" i="9"/>
  <c r="BR44" i="9"/>
  <c r="BS44" i="9"/>
  <c r="BT44" i="9"/>
  <c r="BU44" i="9"/>
  <c r="BV44" i="9"/>
  <c r="BW44" i="9"/>
  <c r="BX44" i="9"/>
  <c r="BY44" i="9"/>
  <c r="BZ44" i="9"/>
  <c r="CA44" i="9"/>
  <c r="CB44" i="9"/>
  <c r="CC44" i="9"/>
  <c r="CD44" i="9"/>
  <c r="CE44" i="9"/>
  <c r="CF44" i="9"/>
  <c r="CG44" i="9"/>
  <c r="CH44" i="9"/>
  <c r="CI44" i="9"/>
  <c r="CJ44" i="9"/>
  <c r="CK44" i="9"/>
  <c r="B44" i="9"/>
  <c r="C44" i="9"/>
  <c r="D44" i="9"/>
  <c r="E44" i="9"/>
  <c r="F44" i="9"/>
  <c r="G44"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AI44" i="9"/>
  <c r="AJ44" i="9"/>
  <c r="AK44" i="9"/>
  <c r="AL44" i="9"/>
  <c r="AM44" i="9"/>
  <c r="AN44" i="9"/>
  <c r="AO44" i="9"/>
  <c r="AP44" i="9"/>
  <c r="AQ44" i="9"/>
  <c r="AR44" i="9"/>
  <c r="AS44" i="9"/>
  <c r="OH43" i="9"/>
  <c r="OI43" i="9"/>
  <c r="OJ43" i="9"/>
  <c r="OK43" i="9"/>
  <c r="OL43" i="9"/>
  <c r="OM43" i="9"/>
  <c r="ON43" i="9"/>
  <c r="OO43" i="9"/>
  <c r="OP43" i="9"/>
  <c r="OQ43" i="9"/>
  <c r="OR43" i="9"/>
  <c r="OS43" i="9"/>
  <c r="OT43" i="9"/>
  <c r="OU43" i="9"/>
  <c r="OV43" i="9"/>
  <c r="OW43" i="9"/>
  <c r="OX43" i="9"/>
  <c r="OY43" i="9"/>
  <c r="OZ43" i="9"/>
  <c r="PA43" i="9"/>
  <c r="PB43" i="9"/>
  <c r="PC43" i="9"/>
  <c r="PD43" i="9"/>
  <c r="PE43" i="9"/>
  <c r="PF43" i="9"/>
  <c r="PG43" i="9"/>
  <c r="PH43" i="9"/>
  <c r="PI43" i="9"/>
  <c r="PJ43" i="9"/>
  <c r="PK43" i="9"/>
  <c r="PL43" i="9"/>
  <c r="PM43" i="9"/>
  <c r="PN43" i="9"/>
  <c r="PO43" i="9"/>
  <c r="PP43" i="9"/>
  <c r="PQ43" i="9"/>
  <c r="PR43" i="9"/>
  <c r="PS43" i="9"/>
  <c r="PT43" i="9"/>
  <c r="PU43" i="9"/>
  <c r="PV43" i="9"/>
  <c r="PW43" i="9"/>
  <c r="PX43" i="9"/>
  <c r="PY43" i="9"/>
  <c r="MP43" i="9"/>
  <c r="MQ43" i="9"/>
  <c r="MR43" i="9"/>
  <c r="MS43" i="9"/>
  <c r="MT43" i="9"/>
  <c r="MU43" i="9"/>
  <c r="MV43" i="9"/>
  <c r="MW43" i="9"/>
  <c r="MX43" i="9"/>
  <c r="MY43" i="9"/>
  <c r="MZ43" i="9"/>
  <c r="NA43" i="9"/>
  <c r="NB43" i="9"/>
  <c r="NC43" i="9"/>
  <c r="ND43" i="9"/>
  <c r="NE43" i="9"/>
  <c r="NF43" i="9"/>
  <c r="NG43" i="9"/>
  <c r="NH43" i="9"/>
  <c r="NI43" i="9"/>
  <c r="NJ43" i="9"/>
  <c r="NK43" i="9"/>
  <c r="NL43" i="9"/>
  <c r="NM43" i="9"/>
  <c r="NN43" i="9"/>
  <c r="NO43" i="9"/>
  <c r="NP43" i="9"/>
  <c r="NQ43" i="9"/>
  <c r="NR43" i="9"/>
  <c r="NS43" i="9"/>
  <c r="NT43" i="9"/>
  <c r="NU43" i="9"/>
  <c r="NV43" i="9"/>
  <c r="NW43" i="9"/>
  <c r="NX43" i="9"/>
  <c r="NY43" i="9"/>
  <c r="NZ43" i="9"/>
  <c r="OA43" i="9"/>
  <c r="OB43" i="9"/>
  <c r="OC43" i="9"/>
  <c r="OD43" i="9"/>
  <c r="OE43" i="9"/>
  <c r="OF43" i="9"/>
  <c r="OG43" i="9"/>
  <c r="KX43" i="9"/>
  <c r="KY43" i="9"/>
  <c r="KZ43" i="9"/>
  <c r="LA43" i="9"/>
  <c r="LB43" i="9"/>
  <c r="LC43" i="9"/>
  <c r="LD43" i="9"/>
  <c r="LE43" i="9"/>
  <c r="LF43" i="9"/>
  <c r="LG43" i="9"/>
  <c r="LH43" i="9"/>
  <c r="LI43" i="9"/>
  <c r="LJ43" i="9"/>
  <c r="LK43" i="9"/>
  <c r="LL43" i="9"/>
  <c r="LM43" i="9"/>
  <c r="LN43" i="9"/>
  <c r="LO43" i="9"/>
  <c r="LP43" i="9"/>
  <c r="LQ43" i="9"/>
  <c r="LR43" i="9"/>
  <c r="LS43" i="9"/>
  <c r="LT43" i="9"/>
  <c r="LU43" i="9"/>
  <c r="LV43" i="9"/>
  <c r="LW43" i="9"/>
  <c r="LX43" i="9"/>
  <c r="LY43" i="9"/>
  <c r="LZ43" i="9"/>
  <c r="MA43" i="9"/>
  <c r="MB43" i="9"/>
  <c r="MC43" i="9"/>
  <c r="MD43" i="9"/>
  <c r="ME43" i="9"/>
  <c r="MF43" i="9"/>
  <c r="MG43" i="9"/>
  <c r="MH43" i="9"/>
  <c r="MI43" i="9"/>
  <c r="MJ43" i="9"/>
  <c r="MK43" i="9"/>
  <c r="ML43" i="9"/>
  <c r="MM43" i="9"/>
  <c r="MN43" i="9"/>
  <c r="MO43" i="9"/>
  <c r="JF43" i="9"/>
  <c r="JG43" i="9"/>
  <c r="JH43" i="9"/>
  <c r="JI43" i="9"/>
  <c r="JJ43" i="9"/>
  <c r="JK43" i="9"/>
  <c r="JL43" i="9"/>
  <c r="JM43" i="9"/>
  <c r="JN43" i="9"/>
  <c r="JO43" i="9"/>
  <c r="JP43" i="9"/>
  <c r="JQ43" i="9"/>
  <c r="JR43" i="9"/>
  <c r="JS43" i="9"/>
  <c r="JT43" i="9"/>
  <c r="JU43" i="9"/>
  <c r="JV43" i="9"/>
  <c r="JW43" i="9"/>
  <c r="JX43" i="9"/>
  <c r="JY43" i="9"/>
  <c r="JZ43" i="9"/>
  <c r="KA43" i="9"/>
  <c r="KB43" i="9"/>
  <c r="KC43" i="9"/>
  <c r="KD43" i="9"/>
  <c r="KE43" i="9"/>
  <c r="KF43" i="9"/>
  <c r="KG43" i="9"/>
  <c r="KH43" i="9"/>
  <c r="KI43" i="9"/>
  <c r="KJ43" i="9"/>
  <c r="KK43" i="9"/>
  <c r="KL43" i="9"/>
  <c r="KM43" i="9"/>
  <c r="KN43" i="9"/>
  <c r="KO43" i="9"/>
  <c r="KP43" i="9"/>
  <c r="KQ43" i="9"/>
  <c r="KR43" i="9"/>
  <c r="KS43" i="9"/>
  <c r="KT43" i="9"/>
  <c r="KU43" i="9"/>
  <c r="KV43" i="9"/>
  <c r="KW43" i="9"/>
  <c r="HN43" i="9"/>
  <c r="HO43" i="9"/>
  <c r="HP43" i="9"/>
  <c r="HQ43" i="9"/>
  <c r="HR43" i="9"/>
  <c r="HS43" i="9"/>
  <c r="HT43" i="9"/>
  <c r="HU43" i="9"/>
  <c r="HV43" i="9"/>
  <c r="HW43" i="9"/>
  <c r="HX43" i="9"/>
  <c r="HY43" i="9"/>
  <c r="HZ43" i="9"/>
  <c r="IA43" i="9"/>
  <c r="IB43" i="9"/>
  <c r="IC43" i="9"/>
  <c r="ID43" i="9"/>
  <c r="IE43" i="9"/>
  <c r="IF43" i="9"/>
  <c r="IG43" i="9"/>
  <c r="IH43" i="9"/>
  <c r="II43" i="9"/>
  <c r="IJ43" i="9"/>
  <c r="IK43" i="9"/>
  <c r="IL43" i="9"/>
  <c r="IM43" i="9"/>
  <c r="IN43" i="9"/>
  <c r="IO43" i="9"/>
  <c r="IP43" i="9"/>
  <c r="IQ43" i="9"/>
  <c r="IR43" i="9"/>
  <c r="IS43" i="9"/>
  <c r="IT43" i="9"/>
  <c r="IU43" i="9"/>
  <c r="IV43" i="9"/>
  <c r="IW43" i="9"/>
  <c r="IX43" i="9"/>
  <c r="IY43" i="9"/>
  <c r="IZ43" i="9"/>
  <c r="JA43" i="9"/>
  <c r="JB43" i="9"/>
  <c r="JC43" i="9"/>
  <c r="JD43" i="9"/>
  <c r="JE43" i="9"/>
  <c r="FV43" i="9"/>
  <c r="FW43" i="9"/>
  <c r="FX43" i="9"/>
  <c r="FY43" i="9"/>
  <c r="FZ43" i="9"/>
  <c r="GA43" i="9"/>
  <c r="GB43" i="9"/>
  <c r="GC43" i="9"/>
  <c r="GD43" i="9"/>
  <c r="GE43" i="9"/>
  <c r="GF43" i="9"/>
  <c r="GG43" i="9"/>
  <c r="GH43" i="9"/>
  <c r="GI43" i="9"/>
  <c r="GJ43" i="9"/>
  <c r="GK43" i="9"/>
  <c r="GL43" i="9"/>
  <c r="GM43" i="9"/>
  <c r="GN43" i="9"/>
  <c r="GO43" i="9"/>
  <c r="GP43" i="9"/>
  <c r="GQ43" i="9"/>
  <c r="GR43" i="9"/>
  <c r="GS43" i="9"/>
  <c r="GT43" i="9"/>
  <c r="GU43" i="9"/>
  <c r="GV43" i="9"/>
  <c r="GW43" i="9"/>
  <c r="GX43" i="9"/>
  <c r="GY43" i="9"/>
  <c r="GZ43" i="9"/>
  <c r="HA43" i="9"/>
  <c r="HB43" i="9"/>
  <c r="HC43" i="9"/>
  <c r="HD43" i="9"/>
  <c r="HE43" i="9"/>
  <c r="HF43" i="9"/>
  <c r="HG43" i="9"/>
  <c r="HH43" i="9"/>
  <c r="HI43" i="9"/>
  <c r="HJ43" i="9"/>
  <c r="HK43" i="9"/>
  <c r="HL43" i="9"/>
  <c r="HM43" i="9"/>
  <c r="ED43" i="9"/>
  <c r="EE43" i="9"/>
  <c r="EF43" i="9"/>
  <c r="EG43" i="9"/>
  <c r="EH43" i="9"/>
  <c r="EI43" i="9"/>
  <c r="EJ43" i="9"/>
  <c r="EK43" i="9"/>
  <c r="EL43" i="9"/>
  <c r="EM43" i="9"/>
  <c r="EN43" i="9"/>
  <c r="EO43" i="9"/>
  <c r="EP43" i="9"/>
  <c r="EQ43" i="9"/>
  <c r="ER43" i="9"/>
  <c r="ES43" i="9"/>
  <c r="ET43" i="9"/>
  <c r="EU43" i="9"/>
  <c r="EV43" i="9"/>
  <c r="EW43" i="9"/>
  <c r="EX43" i="9"/>
  <c r="EY43" i="9"/>
  <c r="EZ43" i="9"/>
  <c r="FA43" i="9"/>
  <c r="FB43" i="9"/>
  <c r="FC43" i="9"/>
  <c r="FD43" i="9"/>
  <c r="FE43" i="9"/>
  <c r="FF43" i="9"/>
  <c r="FG43" i="9"/>
  <c r="FH43" i="9"/>
  <c r="FI43" i="9"/>
  <c r="FJ43" i="9"/>
  <c r="FK43" i="9"/>
  <c r="FL43" i="9"/>
  <c r="FM43" i="9"/>
  <c r="FN43" i="9"/>
  <c r="FO43" i="9"/>
  <c r="FP43" i="9"/>
  <c r="FQ43" i="9"/>
  <c r="FR43" i="9"/>
  <c r="FS43" i="9"/>
  <c r="FT43" i="9"/>
  <c r="FU43" i="9"/>
  <c r="CL43" i="9"/>
  <c r="CM43" i="9"/>
  <c r="CN43" i="9"/>
  <c r="CO43" i="9"/>
  <c r="CP43" i="9"/>
  <c r="CQ43" i="9"/>
  <c r="CR43" i="9"/>
  <c r="CS43" i="9"/>
  <c r="CT43" i="9"/>
  <c r="CU43" i="9"/>
  <c r="CV43" i="9"/>
  <c r="CW43" i="9"/>
  <c r="CX43" i="9"/>
  <c r="CY43" i="9"/>
  <c r="CZ43" i="9"/>
  <c r="DA43" i="9"/>
  <c r="DB43" i="9"/>
  <c r="DC43" i="9"/>
  <c r="DD43" i="9"/>
  <c r="DE43" i="9"/>
  <c r="DF43" i="9"/>
  <c r="DG43" i="9"/>
  <c r="DH43" i="9"/>
  <c r="DI43" i="9"/>
  <c r="DJ43" i="9"/>
  <c r="DK43" i="9"/>
  <c r="DL43" i="9"/>
  <c r="DM43" i="9"/>
  <c r="DN43" i="9"/>
  <c r="DO43" i="9"/>
  <c r="DP43" i="9"/>
  <c r="DQ43" i="9"/>
  <c r="DR43" i="9"/>
  <c r="DS43" i="9"/>
  <c r="DT43" i="9"/>
  <c r="DU43" i="9"/>
  <c r="DV43" i="9"/>
  <c r="DW43" i="9"/>
  <c r="DX43" i="9"/>
  <c r="DY43" i="9"/>
  <c r="DZ43" i="9"/>
  <c r="EA43" i="9"/>
  <c r="EB43" i="9"/>
  <c r="EC43" i="9"/>
  <c r="AT43" i="9"/>
  <c r="AU43" i="9"/>
  <c r="AV43" i="9"/>
  <c r="AW43" i="9"/>
  <c r="AX43" i="9"/>
  <c r="AY43" i="9"/>
  <c r="AZ43" i="9"/>
  <c r="BA43" i="9"/>
  <c r="BB43" i="9"/>
  <c r="BC43" i="9"/>
  <c r="BD43" i="9"/>
  <c r="BE43" i="9"/>
  <c r="BF43" i="9"/>
  <c r="BG43" i="9"/>
  <c r="BH43" i="9"/>
  <c r="BI43" i="9"/>
  <c r="BJ43" i="9"/>
  <c r="BK43" i="9"/>
  <c r="BL43" i="9"/>
  <c r="BM43" i="9"/>
  <c r="BN43" i="9"/>
  <c r="BO43" i="9"/>
  <c r="BP43" i="9"/>
  <c r="BQ43" i="9"/>
  <c r="BR43" i="9"/>
  <c r="BS43" i="9"/>
  <c r="BT43" i="9"/>
  <c r="BU43" i="9"/>
  <c r="BV43" i="9"/>
  <c r="BW43" i="9"/>
  <c r="BX43" i="9"/>
  <c r="BY43" i="9"/>
  <c r="BZ43" i="9"/>
  <c r="CA43" i="9"/>
  <c r="CB43" i="9"/>
  <c r="CC43" i="9"/>
  <c r="CD43" i="9"/>
  <c r="CE43" i="9"/>
  <c r="CF43" i="9"/>
  <c r="CG43" i="9"/>
  <c r="CH43" i="9"/>
  <c r="CI43" i="9"/>
  <c r="CJ43" i="9"/>
  <c r="CK43" i="9"/>
  <c r="B43" i="9"/>
  <c r="C43" i="9"/>
  <c r="D43" i="9"/>
  <c r="E43" i="9"/>
  <c r="F43" i="9"/>
  <c r="G43" i="9"/>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AS43" i="9"/>
  <c r="OH42" i="9"/>
  <c r="OI42" i="9"/>
  <c r="OJ42" i="9"/>
  <c r="OK42" i="9"/>
  <c r="OL42" i="9"/>
  <c r="OM42" i="9"/>
  <c r="ON42" i="9"/>
  <c r="OO42" i="9"/>
  <c r="OP42" i="9"/>
  <c r="OQ42" i="9"/>
  <c r="OR42" i="9"/>
  <c r="OS42" i="9"/>
  <c r="OT42" i="9"/>
  <c r="OU42" i="9"/>
  <c r="OV42" i="9"/>
  <c r="OW42" i="9"/>
  <c r="OX42" i="9"/>
  <c r="OY42" i="9"/>
  <c r="OZ42" i="9"/>
  <c r="PA42" i="9"/>
  <c r="PB42" i="9"/>
  <c r="PC42" i="9"/>
  <c r="PD42" i="9"/>
  <c r="PE42" i="9"/>
  <c r="PF42" i="9"/>
  <c r="PG42" i="9"/>
  <c r="PH42" i="9"/>
  <c r="PI42" i="9"/>
  <c r="PJ42" i="9"/>
  <c r="PK42" i="9"/>
  <c r="PL42" i="9"/>
  <c r="PM42" i="9"/>
  <c r="PN42" i="9"/>
  <c r="PO42" i="9"/>
  <c r="PP42" i="9"/>
  <c r="PQ42" i="9"/>
  <c r="PR42" i="9"/>
  <c r="PS42" i="9"/>
  <c r="PT42" i="9"/>
  <c r="PU42" i="9"/>
  <c r="PV42" i="9"/>
  <c r="PW42" i="9"/>
  <c r="PX42" i="9"/>
  <c r="PY42" i="9"/>
  <c r="MP42" i="9"/>
  <c r="MQ42" i="9"/>
  <c r="MR42" i="9"/>
  <c r="MS42" i="9"/>
  <c r="MT42" i="9"/>
  <c r="MU42" i="9"/>
  <c r="MV42" i="9"/>
  <c r="MW42" i="9"/>
  <c r="MX42" i="9"/>
  <c r="MY42" i="9"/>
  <c r="MZ42" i="9"/>
  <c r="NA42" i="9"/>
  <c r="NB42" i="9"/>
  <c r="NC42" i="9"/>
  <c r="ND42" i="9"/>
  <c r="NE42" i="9"/>
  <c r="NF42" i="9"/>
  <c r="NG42" i="9"/>
  <c r="NH42" i="9"/>
  <c r="NI42" i="9"/>
  <c r="NJ42" i="9"/>
  <c r="NK42" i="9"/>
  <c r="NL42" i="9"/>
  <c r="NM42" i="9"/>
  <c r="NN42" i="9"/>
  <c r="NO42" i="9"/>
  <c r="NP42" i="9"/>
  <c r="NQ42" i="9"/>
  <c r="NR42" i="9"/>
  <c r="NS42" i="9"/>
  <c r="NT42" i="9"/>
  <c r="NU42" i="9"/>
  <c r="NV42" i="9"/>
  <c r="NW42" i="9"/>
  <c r="NX42" i="9"/>
  <c r="NY42" i="9"/>
  <c r="NZ42" i="9"/>
  <c r="OA42" i="9"/>
  <c r="OB42" i="9"/>
  <c r="OC42" i="9"/>
  <c r="OD42" i="9"/>
  <c r="OE42" i="9"/>
  <c r="OF42" i="9"/>
  <c r="OG42" i="9"/>
  <c r="KX42" i="9"/>
  <c r="KY42" i="9"/>
  <c r="KZ42" i="9"/>
  <c r="LA42" i="9"/>
  <c r="LB42" i="9"/>
  <c r="LC42" i="9"/>
  <c r="LD42" i="9"/>
  <c r="LE42" i="9"/>
  <c r="LF42" i="9"/>
  <c r="LG42" i="9"/>
  <c r="LH42" i="9"/>
  <c r="LI42" i="9"/>
  <c r="LJ42" i="9"/>
  <c r="LK42" i="9"/>
  <c r="LL42" i="9"/>
  <c r="LM42" i="9"/>
  <c r="LN42" i="9"/>
  <c r="LO42" i="9"/>
  <c r="LP42" i="9"/>
  <c r="LQ42" i="9"/>
  <c r="LR42" i="9"/>
  <c r="LS42" i="9"/>
  <c r="LT42" i="9"/>
  <c r="LU42" i="9"/>
  <c r="LV42" i="9"/>
  <c r="LW42" i="9"/>
  <c r="LX42" i="9"/>
  <c r="LY42" i="9"/>
  <c r="LZ42" i="9"/>
  <c r="MA42" i="9"/>
  <c r="MB42" i="9"/>
  <c r="MC42" i="9"/>
  <c r="MD42" i="9"/>
  <c r="ME42" i="9"/>
  <c r="MF42" i="9"/>
  <c r="MG42" i="9"/>
  <c r="MH42" i="9"/>
  <c r="MI42" i="9"/>
  <c r="MJ42" i="9"/>
  <c r="MK42" i="9"/>
  <c r="ML42" i="9"/>
  <c r="MM42" i="9"/>
  <c r="MN42" i="9"/>
  <c r="MO42" i="9"/>
  <c r="JF42" i="9"/>
  <c r="JG42" i="9"/>
  <c r="JH42" i="9"/>
  <c r="JI42" i="9"/>
  <c r="JJ42" i="9"/>
  <c r="JK42" i="9"/>
  <c r="JL42" i="9"/>
  <c r="JM42" i="9"/>
  <c r="JN42" i="9"/>
  <c r="JO42" i="9"/>
  <c r="JP42" i="9"/>
  <c r="JQ42" i="9"/>
  <c r="JR42" i="9"/>
  <c r="JS42" i="9"/>
  <c r="JT42" i="9"/>
  <c r="JU42" i="9"/>
  <c r="JV42" i="9"/>
  <c r="JW42" i="9"/>
  <c r="JX42" i="9"/>
  <c r="JY42" i="9"/>
  <c r="JZ42" i="9"/>
  <c r="KA42" i="9"/>
  <c r="KB42" i="9"/>
  <c r="KC42" i="9"/>
  <c r="KD42" i="9"/>
  <c r="KE42" i="9"/>
  <c r="KF42" i="9"/>
  <c r="KG42" i="9"/>
  <c r="KH42" i="9"/>
  <c r="KI42" i="9"/>
  <c r="KJ42" i="9"/>
  <c r="KK42" i="9"/>
  <c r="KL42" i="9"/>
  <c r="KM42" i="9"/>
  <c r="KN42" i="9"/>
  <c r="KO42" i="9"/>
  <c r="KP42" i="9"/>
  <c r="KQ42" i="9"/>
  <c r="KR42" i="9"/>
  <c r="KS42" i="9"/>
  <c r="KT42" i="9"/>
  <c r="KU42" i="9"/>
  <c r="KV42" i="9"/>
  <c r="KW42" i="9"/>
  <c r="HN42" i="9"/>
  <c r="HO42" i="9"/>
  <c r="HP42" i="9"/>
  <c r="HQ42" i="9"/>
  <c r="HR42" i="9"/>
  <c r="HS42" i="9"/>
  <c r="HT42" i="9"/>
  <c r="HU42" i="9"/>
  <c r="HV42" i="9"/>
  <c r="HW42" i="9"/>
  <c r="HX42" i="9"/>
  <c r="HY42" i="9"/>
  <c r="HZ42" i="9"/>
  <c r="IA42" i="9"/>
  <c r="IB42" i="9"/>
  <c r="IC42" i="9"/>
  <c r="ID42" i="9"/>
  <c r="IE42" i="9"/>
  <c r="IF42" i="9"/>
  <c r="IG42" i="9"/>
  <c r="IH42" i="9"/>
  <c r="II42" i="9"/>
  <c r="IJ42" i="9"/>
  <c r="IK42" i="9"/>
  <c r="IL42" i="9"/>
  <c r="IM42" i="9"/>
  <c r="IN42" i="9"/>
  <c r="IO42" i="9"/>
  <c r="IP42" i="9"/>
  <c r="IQ42" i="9"/>
  <c r="IR42" i="9"/>
  <c r="IS42" i="9"/>
  <c r="IT42" i="9"/>
  <c r="IU42" i="9"/>
  <c r="IV42" i="9"/>
  <c r="IW42" i="9"/>
  <c r="IX42" i="9"/>
  <c r="IY42" i="9"/>
  <c r="IZ42" i="9"/>
  <c r="JA42" i="9"/>
  <c r="JB42" i="9"/>
  <c r="JC42" i="9"/>
  <c r="JD42" i="9"/>
  <c r="JE42" i="9"/>
  <c r="FV42" i="9"/>
  <c r="FW42" i="9"/>
  <c r="FX42" i="9"/>
  <c r="FY42" i="9"/>
  <c r="FZ42" i="9"/>
  <c r="GA42" i="9"/>
  <c r="GB42" i="9"/>
  <c r="GC42" i="9"/>
  <c r="GD42" i="9"/>
  <c r="GE42" i="9"/>
  <c r="GF42" i="9"/>
  <c r="GG42" i="9"/>
  <c r="GH42" i="9"/>
  <c r="GI42" i="9"/>
  <c r="GJ42" i="9"/>
  <c r="GK42" i="9"/>
  <c r="GL42" i="9"/>
  <c r="GM42" i="9"/>
  <c r="GN42" i="9"/>
  <c r="GO42" i="9"/>
  <c r="GP42" i="9"/>
  <c r="GQ42" i="9"/>
  <c r="GR42" i="9"/>
  <c r="GS42" i="9"/>
  <c r="GT42" i="9"/>
  <c r="GU42" i="9"/>
  <c r="GV42" i="9"/>
  <c r="GW42" i="9"/>
  <c r="GX42" i="9"/>
  <c r="GY42" i="9"/>
  <c r="GZ42" i="9"/>
  <c r="HA42" i="9"/>
  <c r="HB42" i="9"/>
  <c r="HC42" i="9"/>
  <c r="HD42" i="9"/>
  <c r="HE42" i="9"/>
  <c r="HF42" i="9"/>
  <c r="HG42" i="9"/>
  <c r="HH42" i="9"/>
  <c r="HI42" i="9"/>
  <c r="HJ42" i="9"/>
  <c r="HK42" i="9"/>
  <c r="HL42" i="9"/>
  <c r="HM42" i="9"/>
  <c r="ED42" i="9"/>
  <c r="EE42" i="9"/>
  <c r="EF42" i="9"/>
  <c r="EG42" i="9"/>
  <c r="EH42" i="9"/>
  <c r="EI42" i="9"/>
  <c r="EJ42" i="9"/>
  <c r="EK42" i="9"/>
  <c r="EL42" i="9"/>
  <c r="EM42" i="9"/>
  <c r="EN42" i="9"/>
  <c r="EO42" i="9"/>
  <c r="EP42" i="9"/>
  <c r="EQ42" i="9"/>
  <c r="ER42" i="9"/>
  <c r="ES42" i="9"/>
  <c r="ET42" i="9"/>
  <c r="EU42" i="9"/>
  <c r="EV42" i="9"/>
  <c r="EW42" i="9"/>
  <c r="EX42" i="9"/>
  <c r="EY42" i="9"/>
  <c r="EZ42" i="9"/>
  <c r="FA42" i="9"/>
  <c r="FB42" i="9"/>
  <c r="FC42" i="9"/>
  <c r="FD42" i="9"/>
  <c r="FE42" i="9"/>
  <c r="FF42" i="9"/>
  <c r="FG42" i="9"/>
  <c r="FH42" i="9"/>
  <c r="FI42" i="9"/>
  <c r="FJ42" i="9"/>
  <c r="FK42" i="9"/>
  <c r="FL42" i="9"/>
  <c r="FM42" i="9"/>
  <c r="FN42" i="9"/>
  <c r="FO42" i="9"/>
  <c r="FP42" i="9"/>
  <c r="FQ42" i="9"/>
  <c r="FR42" i="9"/>
  <c r="FS42" i="9"/>
  <c r="FT42" i="9"/>
  <c r="FU42" i="9"/>
  <c r="CL42" i="9"/>
  <c r="CM42" i="9"/>
  <c r="CN42" i="9"/>
  <c r="CO42" i="9"/>
  <c r="CP42" i="9"/>
  <c r="CQ42" i="9"/>
  <c r="CR42" i="9"/>
  <c r="CS42" i="9"/>
  <c r="CT42" i="9"/>
  <c r="CU42" i="9"/>
  <c r="CV42" i="9"/>
  <c r="CW42" i="9"/>
  <c r="CX42" i="9"/>
  <c r="CY42" i="9"/>
  <c r="CZ42" i="9"/>
  <c r="DA42" i="9"/>
  <c r="DB42" i="9"/>
  <c r="DC42" i="9"/>
  <c r="DD42" i="9"/>
  <c r="DE42" i="9"/>
  <c r="DF42" i="9"/>
  <c r="DG42" i="9"/>
  <c r="DH42" i="9"/>
  <c r="DI42" i="9"/>
  <c r="DJ42" i="9"/>
  <c r="DK42" i="9"/>
  <c r="DL42" i="9"/>
  <c r="DM42" i="9"/>
  <c r="DN42" i="9"/>
  <c r="DO42" i="9"/>
  <c r="DP42" i="9"/>
  <c r="DQ42" i="9"/>
  <c r="DR42" i="9"/>
  <c r="DS42" i="9"/>
  <c r="DT42" i="9"/>
  <c r="DU42" i="9"/>
  <c r="DV42" i="9"/>
  <c r="DW42" i="9"/>
  <c r="DX42" i="9"/>
  <c r="DY42" i="9"/>
  <c r="DZ42" i="9"/>
  <c r="EA42" i="9"/>
  <c r="EB42" i="9"/>
  <c r="EC42" i="9"/>
  <c r="AT42" i="9"/>
  <c r="AU42" i="9"/>
  <c r="AV42" i="9"/>
  <c r="AW42" i="9"/>
  <c r="AX42" i="9"/>
  <c r="AY42" i="9"/>
  <c r="AZ42" i="9"/>
  <c r="BA42" i="9"/>
  <c r="BB42" i="9"/>
  <c r="BC42" i="9"/>
  <c r="BD42" i="9"/>
  <c r="BE42" i="9"/>
  <c r="BF42" i="9"/>
  <c r="BG42" i="9"/>
  <c r="BH42" i="9"/>
  <c r="BI42" i="9"/>
  <c r="BJ42" i="9"/>
  <c r="BK42" i="9"/>
  <c r="BL42" i="9"/>
  <c r="BM42" i="9"/>
  <c r="BN42" i="9"/>
  <c r="BO42" i="9"/>
  <c r="BP42" i="9"/>
  <c r="BQ42" i="9"/>
  <c r="BR42" i="9"/>
  <c r="BS42" i="9"/>
  <c r="BT42" i="9"/>
  <c r="BU42" i="9"/>
  <c r="BV42" i="9"/>
  <c r="BW42" i="9"/>
  <c r="BX42" i="9"/>
  <c r="BY42" i="9"/>
  <c r="BZ42" i="9"/>
  <c r="CA42" i="9"/>
  <c r="CB42" i="9"/>
  <c r="CC42" i="9"/>
  <c r="CD42" i="9"/>
  <c r="CE42" i="9"/>
  <c r="CF42" i="9"/>
  <c r="CG42" i="9"/>
  <c r="CH42" i="9"/>
  <c r="CI42" i="9"/>
  <c r="CJ42" i="9"/>
  <c r="CK42" i="9"/>
  <c r="B42" i="9"/>
  <c r="C42" i="9"/>
  <c r="D42" i="9"/>
  <c r="E42" i="9"/>
  <c r="F42" i="9"/>
  <c r="G42"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AI42" i="9"/>
  <c r="AJ42" i="9"/>
  <c r="AK42" i="9"/>
  <c r="AL42" i="9"/>
  <c r="AM42" i="9"/>
  <c r="AN42" i="9"/>
  <c r="AO42" i="9"/>
  <c r="AP42" i="9"/>
  <c r="AQ42" i="9"/>
  <c r="AR42" i="9"/>
  <c r="AS42" i="9"/>
  <c r="AFF41" i="9"/>
  <c r="AFG41" i="9"/>
  <c r="AFH41" i="9"/>
  <c r="AFI41" i="9"/>
  <c r="AFJ41" i="9"/>
  <c r="AFK41" i="9"/>
  <c r="AFL41" i="9"/>
  <c r="AFM41" i="9"/>
  <c r="AFN41" i="9"/>
  <c r="AFO41" i="9"/>
  <c r="AFP41" i="9"/>
  <c r="AFQ41" i="9"/>
  <c r="AFR41" i="9"/>
  <c r="AFS41" i="9"/>
  <c r="AFT41" i="9"/>
  <c r="AFU41" i="9"/>
  <c r="AFV41" i="9"/>
  <c r="AFW41" i="9"/>
  <c r="AFX41" i="9"/>
  <c r="AFY41" i="9"/>
  <c r="AFZ41" i="9"/>
  <c r="AGA41" i="9"/>
  <c r="AGB41" i="9"/>
  <c r="AGC41" i="9"/>
  <c r="AGD41" i="9"/>
  <c r="AGE41" i="9"/>
  <c r="AGF41" i="9"/>
  <c r="AGG41" i="9"/>
  <c r="AGH41" i="9"/>
  <c r="AGI41" i="9"/>
  <c r="AGJ41" i="9"/>
  <c r="AGK41" i="9"/>
  <c r="AGL41" i="9"/>
  <c r="AGM41" i="9"/>
  <c r="AGN41" i="9"/>
  <c r="AGO41" i="9"/>
  <c r="AGP41" i="9"/>
  <c r="AGQ41" i="9"/>
  <c r="AGR41" i="9"/>
  <c r="AGS41" i="9"/>
  <c r="AGT41" i="9"/>
  <c r="AGU41" i="9"/>
  <c r="AGV41" i="9"/>
  <c r="AGW41" i="9"/>
  <c r="ADN41" i="9"/>
  <c r="ADO41" i="9"/>
  <c r="ADP41" i="9"/>
  <c r="ADQ41" i="9"/>
  <c r="ADR41" i="9"/>
  <c r="ADS41" i="9"/>
  <c r="ADT41" i="9"/>
  <c r="ADU41" i="9"/>
  <c r="ADV41" i="9"/>
  <c r="ADW41" i="9"/>
  <c r="ADX41" i="9"/>
  <c r="ADY41" i="9"/>
  <c r="ADZ41" i="9"/>
  <c r="AEA41" i="9"/>
  <c r="AEB41" i="9"/>
  <c r="AEC41" i="9"/>
  <c r="AED41" i="9"/>
  <c r="AEE41" i="9"/>
  <c r="AEF41" i="9"/>
  <c r="AEG41" i="9"/>
  <c r="AEH41" i="9"/>
  <c r="AEI41" i="9"/>
  <c r="AEJ41" i="9"/>
  <c r="AEK41" i="9"/>
  <c r="AEL41" i="9"/>
  <c r="AEM41" i="9"/>
  <c r="AEN41" i="9"/>
  <c r="AEO41" i="9"/>
  <c r="AEP41" i="9"/>
  <c r="AEQ41" i="9"/>
  <c r="AER41" i="9"/>
  <c r="AES41" i="9"/>
  <c r="AET41" i="9"/>
  <c r="AEU41" i="9"/>
  <c r="AEV41" i="9"/>
  <c r="AEW41" i="9"/>
  <c r="AEX41" i="9"/>
  <c r="AEY41" i="9"/>
  <c r="AEZ41" i="9"/>
  <c r="AFA41" i="9"/>
  <c r="AFB41" i="9"/>
  <c r="AFC41" i="9"/>
  <c r="AFD41" i="9"/>
  <c r="AFE41" i="9"/>
  <c r="ABV41" i="9"/>
  <c r="ABW41" i="9"/>
  <c r="ABX41" i="9"/>
  <c r="ABY41" i="9"/>
  <c r="ABZ41" i="9"/>
  <c r="ACA41" i="9"/>
  <c r="ACB41" i="9"/>
  <c r="ACC41" i="9"/>
  <c r="ACD41" i="9"/>
  <c r="ACE41" i="9"/>
  <c r="ACF41" i="9"/>
  <c r="ACG41" i="9"/>
  <c r="ACH41" i="9"/>
  <c r="ACI41" i="9"/>
  <c r="ACJ41" i="9"/>
  <c r="ACK41" i="9"/>
  <c r="ACL41" i="9"/>
  <c r="ACM41" i="9"/>
  <c r="ACN41" i="9"/>
  <c r="ACO41" i="9"/>
  <c r="ACP41" i="9"/>
  <c r="ACQ41" i="9"/>
  <c r="ACR41" i="9"/>
  <c r="ACS41" i="9"/>
  <c r="ACT41" i="9"/>
  <c r="ACU41" i="9"/>
  <c r="ACV41" i="9"/>
  <c r="ACW41" i="9"/>
  <c r="ACX41" i="9"/>
  <c r="ACY41" i="9"/>
  <c r="ACZ41" i="9"/>
  <c r="ADA41" i="9"/>
  <c r="ADB41" i="9"/>
  <c r="ADC41" i="9"/>
  <c r="ADD41" i="9"/>
  <c r="ADE41" i="9"/>
  <c r="ADF41" i="9"/>
  <c r="ADG41" i="9"/>
  <c r="ADH41" i="9"/>
  <c r="ADI41" i="9"/>
  <c r="ADJ41" i="9"/>
  <c r="ADK41" i="9"/>
  <c r="ADL41" i="9"/>
  <c r="ADM41" i="9"/>
  <c r="AAD41" i="9"/>
  <c r="AAE41" i="9"/>
  <c r="AAF41" i="9"/>
  <c r="AAG41" i="9"/>
  <c r="AAH41" i="9"/>
  <c r="AAI41" i="9"/>
  <c r="AAJ41" i="9"/>
  <c r="AAK41" i="9"/>
  <c r="AAL41" i="9"/>
  <c r="AAM41" i="9"/>
  <c r="AAN41" i="9"/>
  <c r="AAO41" i="9"/>
  <c r="AAP41" i="9"/>
  <c r="AAQ41" i="9"/>
  <c r="AAR41" i="9"/>
  <c r="AAS41" i="9"/>
  <c r="AAT41" i="9"/>
  <c r="AAU41" i="9"/>
  <c r="AAV41" i="9"/>
  <c r="AAW41" i="9"/>
  <c r="AAX41" i="9"/>
  <c r="AAY41" i="9"/>
  <c r="AAZ41" i="9"/>
  <c r="ABA41" i="9"/>
  <c r="ABB41" i="9"/>
  <c r="ABC41" i="9"/>
  <c r="ABD41" i="9"/>
  <c r="ABE41" i="9"/>
  <c r="ABF41" i="9"/>
  <c r="ABG41" i="9"/>
  <c r="ABH41" i="9"/>
  <c r="ABI41" i="9"/>
  <c r="ABJ41" i="9"/>
  <c r="ABK41" i="9"/>
  <c r="ABL41" i="9"/>
  <c r="ABM41" i="9"/>
  <c r="ABN41" i="9"/>
  <c r="ABO41" i="9"/>
  <c r="ABP41" i="9"/>
  <c r="ABQ41" i="9"/>
  <c r="ABR41" i="9"/>
  <c r="ABS41" i="9"/>
  <c r="ABT41" i="9"/>
  <c r="ABU41" i="9"/>
  <c r="YL41" i="9"/>
  <c r="YM41" i="9"/>
  <c r="YN41" i="9"/>
  <c r="YO41" i="9"/>
  <c r="YP41" i="9"/>
  <c r="YQ41" i="9"/>
  <c r="YR41" i="9"/>
  <c r="YS41" i="9"/>
  <c r="YT41" i="9"/>
  <c r="YU41" i="9"/>
  <c r="YV41" i="9"/>
  <c r="YW41" i="9"/>
  <c r="YX41" i="9"/>
  <c r="YY41" i="9"/>
  <c r="YZ41" i="9"/>
  <c r="ZA41" i="9"/>
  <c r="ZB41" i="9"/>
  <c r="ZC41" i="9"/>
  <c r="ZD41" i="9"/>
  <c r="ZE41" i="9"/>
  <c r="ZF41" i="9"/>
  <c r="ZG41" i="9"/>
  <c r="ZH41" i="9"/>
  <c r="ZI41" i="9"/>
  <c r="ZJ41" i="9"/>
  <c r="ZK41" i="9"/>
  <c r="ZL41" i="9"/>
  <c r="ZM41" i="9"/>
  <c r="ZN41" i="9"/>
  <c r="ZO41" i="9"/>
  <c r="ZP41" i="9"/>
  <c r="ZQ41" i="9"/>
  <c r="ZR41" i="9"/>
  <c r="ZS41" i="9"/>
  <c r="ZT41" i="9"/>
  <c r="ZU41" i="9"/>
  <c r="ZV41" i="9"/>
  <c r="ZW41" i="9"/>
  <c r="ZX41" i="9"/>
  <c r="ZY41" i="9"/>
  <c r="ZZ41" i="9"/>
  <c r="AAA41" i="9"/>
  <c r="AAB41" i="9"/>
  <c r="AAC41" i="9"/>
  <c r="WT41" i="9"/>
  <c r="WU41" i="9"/>
  <c r="WV41" i="9"/>
  <c r="WW41" i="9"/>
  <c r="WX41" i="9"/>
  <c r="WY41" i="9"/>
  <c r="WZ41" i="9"/>
  <c r="XA41" i="9"/>
  <c r="XB41" i="9"/>
  <c r="XC41" i="9"/>
  <c r="XD41" i="9"/>
  <c r="XE41" i="9"/>
  <c r="XF41" i="9"/>
  <c r="XG41" i="9"/>
  <c r="XH41" i="9"/>
  <c r="XI41" i="9"/>
  <c r="XJ41" i="9"/>
  <c r="XK41" i="9"/>
  <c r="XL41" i="9"/>
  <c r="XM41" i="9"/>
  <c r="XN41" i="9"/>
  <c r="XO41" i="9"/>
  <c r="XP41" i="9"/>
  <c r="XQ41" i="9"/>
  <c r="XR41" i="9"/>
  <c r="XS41" i="9"/>
  <c r="XT41" i="9"/>
  <c r="XU41" i="9"/>
  <c r="XV41" i="9"/>
  <c r="XW41" i="9"/>
  <c r="XX41" i="9"/>
  <c r="XY41" i="9"/>
  <c r="XZ41" i="9"/>
  <c r="YA41" i="9"/>
  <c r="YB41" i="9"/>
  <c r="YC41" i="9"/>
  <c r="YD41" i="9"/>
  <c r="YE41" i="9"/>
  <c r="YF41" i="9"/>
  <c r="YG41" i="9"/>
  <c r="YH41" i="9"/>
  <c r="YI41" i="9"/>
  <c r="YJ41" i="9"/>
  <c r="YK41" i="9"/>
  <c r="VB41" i="9"/>
  <c r="VC41" i="9"/>
  <c r="VD41" i="9"/>
  <c r="VE41" i="9"/>
  <c r="VF41" i="9"/>
  <c r="VG41" i="9"/>
  <c r="VH41" i="9"/>
  <c r="VI41" i="9"/>
  <c r="VJ41" i="9"/>
  <c r="VK41" i="9"/>
  <c r="VL41" i="9"/>
  <c r="VM41" i="9"/>
  <c r="VN41" i="9"/>
  <c r="VO41" i="9"/>
  <c r="VP41" i="9"/>
  <c r="VQ41" i="9"/>
  <c r="VR41" i="9"/>
  <c r="VS41" i="9"/>
  <c r="VT41" i="9"/>
  <c r="VU41" i="9"/>
  <c r="VV41" i="9"/>
  <c r="VW41" i="9"/>
  <c r="VX41" i="9"/>
  <c r="VY41" i="9"/>
  <c r="VZ41" i="9"/>
  <c r="WA41" i="9"/>
  <c r="WB41" i="9"/>
  <c r="WC41" i="9"/>
  <c r="WD41" i="9"/>
  <c r="WE41" i="9"/>
  <c r="WF41" i="9"/>
  <c r="WG41" i="9"/>
  <c r="WH41" i="9"/>
  <c r="WI41" i="9"/>
  <c r="WJ41" i="9"/>
  <c r="WK41" i="9"/>
  <c r="WL41" i="9"/>
  <c r="WM41" i="9"/>
  <c r="WN41" i="9"/>
  <c r="WO41" i="9"/>
  <c r="WP41" i="9"/>
  <c r="WQ41" i="9"/>
  <c r="WR41" i="9"/>
  <c r="WS41" i="9"/>
  <c r="TJ41" i="9"/>
  <c r="TK41" i="9"/>
  <c r="TL41" i="9"/>
  <c r="TM41" i="9"/>
  <c r="TN41" i="9"/>
  <c r="TO41" i="9"/>
  <c r="TP41" i="9"/>
  <c r="TQ41" i="9"/>
  <c r="TR41" i="9"/>
  <c r="TS41" i="9"/>
  <c r="TT41" i="9"/>
  <c r="TU41" i="9"/>
  <c r="TV41" i="9"/>
  <c r="TW41" i="9"/>
  <c r="TX41" i="9"/>
  <c r="TY41" i="9"/>
  <c r="TZ41" i="9"/>
  <c r="UA41" i="9"/>
  <c r="UB41" i="9"/>
  <c r="UC41" i="9"/>
  <c r="UD41" i="9"/>
  <c r="UE41" i="9"/>
  <c r="UF41" i="9"/>
  <c r="UG41" i="9"/>
  <c r="UH41" i="9"/>
  <c r="UI41" i="9"/>
  <c r="UJ41" i="9"/>
  <c r="UK41" i="9"/>
  <c r="UL41" i="9"/>
  <c r="UM41" i="9"/>
  <c r="UN41" i="9"/>
  <c r="UO41" i="9"/>
  <c r="UP41" i="9"/>
  <c r="UQ41" i="9"/>
  <c r="UR41" i="9"/>
  <c r="US41" i="9"/>
  <c r="UT41" i="9"/>
  <c r="UU41" i="9"/>
  <c r="UV41" i="9"/>
  <c r="UW41" i="9"/>
  <c r="UX41" i="9"/>
  <c r="UY41" i="9"/>
  <c r="UZ41" i="9"/>
  <c r="VA41" i="9"/>
  <c r="RR41" i="9"/>
  <c r="RS41" i="9"/>
  <c r="RT41" i="9"/>
  <c r="RU41" i="9"/>
  <c r="RV41" i="9"/>
  <c r="RW41" i="9"/>
  <c r="RX41" i="9"/>
  <c r="RY41" i="9"/>
  <c r="RZ41" i="9"/>
  <c r="SA41" i="9"/>
  <c r="SB41" i="9"/>
  <c r="SC41" i="9"/>
  <c r="SD41" i="9"/>
  <c r="SE41" i="9"/>
  <c r="SF41" i="9"/>
  <c r="SG41" i="9"/>
  <c r="SH41" i="9"/>
  <c r="SI41" i="9"/>
  <c r="SJ41" i="9"/>
  <c r="SK41" i="9"/>
  <c r="SL41" i="9"/>
  <c r="SM41" i="9"/>
  <c r="SN41" i="9"/>
  <c r="SO41" i="9"/>
  <c r="SP41" i="9"/>
  <c r="SQ41" i="9"/>
  <c r="SR41" i="9"/>
  <c r="SS41" i="9"/>
  <c r="ST41" i="9"/>
  <c r="SU41" i="9"/>
  <c r="SV41" i="9"/>
  <c r="SW41" i="9"/>
  <c r="SX41" i="9"/>
  <c r="SY41" i="9"/>
  <c r="SZ41" i="9"/>
  <c r="TA41" i="9"/>
  <c r="TB41" i="9"/>
  <c r="TC41" i="9"/>
  <c r="TD41" i="9"/>
  <c r="TE41" i="9"/>
  <c r="TF41" i="9"/>
  <c r="TG41" i="9"/>
  <c r="TH41" i="9"/>
  <c r="TI41" i="9"/>
  <c r="PZ41" i="9"/>
  <c r="QA41" i="9"/>
  <c r="QB41" i="9"/>
  <c r="QC41" i="9"/>
  <c r="QD41" i="9"/>
  <c r="QE41" i="9"/>
  <c r="QF41" i="9"/>
  <c r="QG41" i="9"/>
  <c r="QH41" i="9"/>
  <c r="QI41" i="9"/>
  <c r="QJ41" i="9"/>
  <c r="QK41" i="9"/>
  <c r="QL41" i="9"/>
  <c r="QM41" i="9"/>
  <c r="QN41" i="9"/>
  <c r="QO41" i="9"/>
  <c r="QP41" i="9"/>
  <c r="QQ41" i="9"/>
  <c r="QR41" i="9"/>
  <c r="QS41" i="9"/>
  <c r="QT41" i="9"/>
  <c r="QU41" i="9"/>
  <c r="QV41" i="9"/>
  <c r="QW41" i="9"/>
  <c r="QX41" i="9"/>
  <c r="QY41" i="9"/>
  <c r="QZ41" i="9"/>
  <c r="RA41" i="9"/>
  <c r="RB41" i="9"/>
  <c r="RC41" i="9"/>
  <c r="RD41" i="9"/>
  <c r="RE41" i="9"/>
  <c r="RF41" i="9"/>
  <c r="RG41" i="9"/>
  <c r="RH41" i="9"/>
  <c r="RI41" i="9"/>
  <c r="RJ41" i="9"/>
  <c r="RK41" i="9"/>
  <c r="RL41" i="9"/>
  <c r="RM41" i="9"/>
  <c r="RN41" i="9"/>
  <c r="RO41" i="9"/>
  <c r="RP41" i="9"/>
  <c r="RQ41" i="9"/>
  <c r="OH41" i="9"/>
  <c r="OI41" i="9"/>
  <c r="OJ41" i="9"/>
  <c r="OK41" i="9"/>
  <c r="OL41" i="9"/>
  <c r="OM41" i="9"/>
  <c r="ON41" i="9"/>
  <c r="OO41" i="9"/>
  <c r="OP41" i="9"/>
  <c r="OQ41" i="9"/>
  <c r="OR41" i="9"/>
  <c r="OS41" i="9"/>
  <c r="OT41" i="9"/>
  <c r="OU41" i="9"/>
  <c r="OV41" i="9"/>
  <c r="OW41" i="9"/>
  <c r="OX41" i="9"/>
  <c r="OY41" i="9"/>
  <c r="OZ41" i="9"/>
  <c r="PA41" i="9"/>
  <c r="PB41" i="9"/>
  <c r="PC41" i="9"/>
  <c r="PD41" i="9"/>
  <c r="PE41" i="9"/>
  <c r="PF41" i="9"/>
  <c r="PG41" i="9"/>
  <c r="PH41" i="9"/>
  <c r="PI41" i="9"/>
  <c r="PJ41" i="9"/>
  <c r="PK41" i="9"/>
  <c r="PL41" i="9"/>
  <c r="PM41" i="9"/>
  <c r="PN41" i="9"/>
  <c r="PO41" i="9"/>
  <c r="PP41" i="9"/>
  <c r="PQ41" i="9"/>
  <c r="PR41" i="9"/>
  <c r="PS41" i="9"/>
  <c r="PT41" i="9"/>
  <c r="PU41" i="9"/>
  <c r="PV41" i="9"/>
  <c r="PW41" i="9"/>
  <c r="PX41" i="9"/>
  <c r="PY41" i="9"/>
  <c r="MP41" i="9"/>
  <c r="MQ41" i="9"/>
  <c r="MR41" i="9"/>
  <c r="MS41" i="9"/>
  <c r="MT41" i="9"/>
  <c r="MU41" i="9"/>
  <c r="MV41" i="9"/>
  <c r="MW41" i="9"/>
  <c r="MX41" i="9"/>
  <c r="MY41" i="9"/>
  <c r="MZ41" i="9"/>
  <c r="NA41" i="9"/>
  <c r="NB41" i="9"/>
  <c r="NC41" i="9"/>
  <c r="ND41" i="9"/>
  <c r="NE41" i="9"/>
  <c r="NF41" i="9"/>
  <c r="NG41" i="9"/>
  <c r="NH41" i="9"/>
  <c r="NI41" i="9"/>
  <c r="NJ41" i="9"/>
  <c r="NK41" i="9"/>
  <c r="NL41" i="9"/>
  <c r="NM41" i="9"/>
  <c r="NN41" i="9"/>
  <c r="NO41" i="9"/>
  <c r="NP41" i="9"/>
  <c r="NQ41" i="9"/>
  <c r="NR41" i="9"/>
  <c r="NS41" i="9"/>
  <c r="NT41" i="9"/>
  <c r="NU41" i="9"/>
  <c r="NV41" i="9"/>
  <c r="NW41" i="9"/>
  <c r="NX41" i="9"/>
  <c r="NY41" i="9"/>
  <c r="NZ41" i="9"/>
  <c r="OA41" i="9"/>
  <c r="OB41" i="9"/>
  <c r="OC41" i="9"/>
  <c r="OD41" i="9"/>
  <c r="OE41" i="9"/>
  <c r="OF41" i="9"/>
  <c r="OG41" i="9"/>
  <c r="KY41" i="9"/>
  <c r="KZ41" i="9"/>
  <c r="LA41" i="9"/>
  <c r="LB41" i="9"/>
  <c r="LC41" i="9"/>
  <c r="LD41" i="9"/>
  <c r="LE41" i="9"/>
  <c r="LF41" i="9"/>
  <c r="LG41" i="9"/>
  <c r="LH41" i="9"/>
  <c r="LI41" i="9"/>
  <c r="LJ41" i="9"/>
  <c r="LK41" i="9"/>
  <c r="LL41" i="9"/>
  <c r="LM41" i="9"/>
  <c r="LN41" i="9"/>
  <c r="LO41" i="9"/>
  <c r="LP41" i="9"/>
  <c r="LQ41" i="9"/>
  <c r="LR41" i="9"/>
  <c r="LS41" i="9"/>
  <c r="LT41" i="9"/>
  <c r="LU41" i="9"/>
  <c r="LV41" i="9"/>
  <c r="LW41" i="9"/>
  <c r="LX41" i="9"/>
  <c r="LY41" i="9"/>
  <c r="LZ41" i="9"/>
  <c r="MA41" i="9"/>
  <c r="MB41" i="9"/>
  <c r="MC41" i="9"/>
  <c r="MD41" i="9"/>
  <c r="ME41" i="9"/>
  <c r="MF41" i="9"/>
  <c r="MG41" i="9"/>
  <c r="MH41" i="9"/>
  <c r="MI41" i="9"/>
  <c r="MJ41" i="9"/>
  <c r="MK41" i="9"/>
  <c r="ML41" i="9"/>
  <c r="MM41" i="9"/>
  <c r="MN41" i="9"/>
  <c r="MO41" i="9"/>
  <c r="JG41" i="9"/>
  <c r="JH41" i="9"/>
  <c r="JI41" i="9"/>
  <c r="JJ41" i="9"/>
  <c r="JK41" i="9"/>
  <c r="JL41" i="9"/>
  <c r="JM41" i="9"/>
  <c r="JN41" i="9"/>
  <c r="JO41" i="9"/>
  <c r="JP41" i="9"/>
  <c r="JQ41" i="9"/>
  <c r="JR41" i="9"/>
  <c r="JS41" i="9"/>
  <c r="JT41" i="9"/>
  <c r="JU41" i="9"/>
  <c r="JV41" i="9"/>
  <c r="JW41" i="9"/>
  <c r="JX41" i="9"/>
  <c r="JY41" i="9"/>
  <c r="JZ41" i="9"/>
  <c r="KA41" i="9"/>
  <c r="KB41" i="9"/>
  <c r="KC41" i="9"/>
  <c r="KD41" i="9"/>
  <c r="KE41" i="9"/>
  <c r="KF41" i="9"/>
  <c r="KG41" i="9"/>
  <c r="KH41" i="9"/>
  <c r="KI41" i="9"/>
  <c r="KJ41" i="9"/>
  <c r="KK41" i="9"/>
  <c r="KL41" i="9"/>
  <c r="KM41" i="9"/>
  <c r="KN41" i="9"/>
  <c r="KO41" i="9"/>
  <c r="KP41" i="9"/>
  <c r="KQ41" i="9"/>
  <c r="KR41" i="9"/>
  <c r="KS41" i="9"/>
  <c r="KT41" i="9"/>
  <c r="KU41" i="9"/>
  <c r="KV41" i="9"/>
  <c r="KW41" i="9"/>
  <c r="HO41" i="9"/>
  <c r="HP41" i="9"/>
  <c r="HQ41" i="9"/>
  <c r="HR41" i="9"/>
  <c r="HS41" i="9"/>
  <c r="HT41" i="9"/>
  <c r="HU41" i="9"/>
  <c r="HV41" i="9"/>
  <c r="HW41" i="9"/>
  <c r="HX41" i="9"/>
  <c r="HY41" i="9"/>
  <c r="HZ41" i="9"/>
  <c r="IA41" i="9"/>
  <c r="IB41" i="9"/>
  <c r="IC41" i="9"/>
  <c r="ID41" i="9"/>
  <c r="IE41" i="9"/>
  <c r="IF41" i="9"/>
  <c r="IG41" i="9"/>
  <c r="IH41" i="9"/>
  <c r="II41" i="9"/>
  <c r="IJ41" i="9"/>
  <c r="IK41" i="9"/>
  <c r="IL41" i="9"/>
  <c r="IM41" i="9"/>
  <c r="IN41" i="9"/>
  <c r="IO41" i="9"/>
  <c r="IP41" i="9"/>
  <c r="IQ41" i="9"/>
  <c r="IR41" i="9"/>
  <c r="IS41" i="9"/>
  <c r="IT41" i="9"/>
  <c r="IU41" i="9"/>
  <c r="IV41" i="9"/>
  <c r="IW41" i="9"/>
  <c r="IX41" i="9"/>
  <c r="IY41" i="9"/>
  <c r="IZ41" i="9"/>
  <c r="JA41" i="9"/>
  <c r="JB41" i="9"/>
  <c r="JC41" i="9"/>
  <c r="JD41" i="9"/>
  <c r="JE41" i="9"/>
  <c r="FW41" i="9"/>
  <c r="FX41" i="9"/>
  <c r="FY41" i="9"/>
  <c r="FZ41" i="9"/>
  <c r="GA41" i="9"/>
  <c r="GB41" i="9"/>
  <c r="GC41" i="9"/>
  <c r="GD41" i="9"/>
  <c r="GE41" i="9"/>
  <c r="GF41" i="9"/>
  <c r="GG41" i="9"/>
  <c r="GH41" i="9"/>
  <c r="GI41" i="9"/>
  <c r="GJ41" i="9"/>
  <c r="GK41" i="9"/>
  <c r="GL41" i="9"/>
  <c r="GM41" i="9"/>
  <c r="GN41" i="9"/>
  <c r="GO41" i="9"/>
  <c r="GP41" i="9"/>
  <c r="GQ41" i="9"/>
  <c r="GR41" i="9"/>
  <c r="GS41" i="9"/>
  <c r="GT41" i="9"/>
  <c r="GU41" i="9"/>
  <c r="GV41" i="9"/>
  <c r="GW41" i="9"/>
  <c r="GX41" i="9"/>
  <c r="GY41" i="9"/>
  <c r="GZ41" i="9"/>
  <c r="HA41" i="9"/>
  <c r="HB41" i="9"/>
  <c r="HC41" i="9"/>
  <c r="HD41" i="9"/>
  <c r="HE41" i="9"/>
  <c r="HF41" i="9"/>
  <c r="HG41" i="9"/>
  <c r="HH41" i="9"/>
  <c r="HI41" i="9"/>
  <c r="HJ41" i="9"/>
  <c r="HK41" i="9"/>
  <c r="HL41" i="9"/>
  <c r="HM41" i="9"/>
  <c r="EE41" i="9"/>
  <c r="EF41" i="9"/>
  <c r="EG41" i="9"/>
  <c r="EH41" i="9"/>
  <c r="EI41" i="9"/>
  <c r="EJ41" i="9"/>
  <c r="EK41" i="9"/>
  <c r="EL41" i="9"/>
  <c r="EM41" i="9"/>
  <c r="EN41" i="9"/>
  <c r="EO41" i="9"/>
  <c r="EP41" i="9"/>
  <c r="EQ41" i="9"/>
  <c r="ER41" i="9"/>
  <c r="ES41" i="9"/>
  <c r="ET41" i="9"/>
  <c r="EU41" i="9"/>
  <c r="EV41" i="9"/>
  <c r="EW41" i="9"/>
  <c r="EX41" i="9"/>
  <c r="EY41" i="9"/>
  <c r="EZ41" i="9"/>
  <c r="FA41" i="9"/>
  <c r="FB41" i="9"/>
  <c r="FC41" i="9"/>
  <c r="FD41" i="9"/>
  <c r="FE41" i="9"/>
  <c r="FF41" i="9"/>
  <c r="FG41" i="9"/>
  <c r="FH41" i="9"/>
  <c r="FI41" i="9"/>
  <c r="FJ41" i="9"/>
  <c r="FK41" i="9"/>
  <c r="FL41" i="9"/>
  <c r="FM41" i="9"/>
  <c r="FN41" i="9"/>
  <c r="FO41" i="9"/>
  <c r="FP41" i="9"/>
  <c r="FQ41" i="9"/>
  <c r="FR41" i="9"/>
  <c r="FS41" i="9"/>
  <c r="FT41" i="9"/>
  <c r="FU41" i="9"/>
  <c r="CM41" i="9"/>
  <c r="CN41" i="9"/>
  <c r="CO41" i="9"/>
  <c r="CP41" i="9"/>
  <c r="CQ41" i="9"/>
  <c r="CR41" i="9"/>
  <c r="CS41" i="9"/>
  <c r="CT41" i="9"/>
  <c r="CU41" i="9"/>
  <c r="CV41" i="9"/>
  <c r="CW41" i="9"/>
  <c r="CX41" i="9"/>
  <c r="CY41" i="9"/>
  <c r="CZ41" i="9"/>
  <c r="DA41" i="9"/>
  <c r="DB41" i="9"/>
  <c r="DC41" i="9"/>
  <c r="DD41" i="9"/>
  <c r="DE41" i="9"/>
  <c r="DF41" i="9"/>
  <c r="DG41" i="9"/>
  <c r="DH41" i="9"/>
  <c r="DI41" i="9"/>
  <c r="DJ41" i="9"/>
  <c r="DK41" i="9"/>
  <c r="DL41" i="9"/>
  <c r="DM41" i="9"/>
  <c r="DN41" i="9"/>
  <c r="DO41" i="9"/>
  <c r="DP41" i="9"/>
  <c r="DQ41" i="9"/>
  <c r="DR41" i="9"/>
  <c r="DS41" i="9"/>
  <c r="DT41" i="9"/>
  <c r="DU41" i="9"/>
  <c r="DV41" i="9"/>
  <c r="DW41" i="9"/>
  <c r="DX41" i="9"/>
  <c r="DY41" i="9"/>
  <c r="DZ41" i="9"/>
  <c r="EA41" i="9"/>
  <c r="EB41" i="9"/>
  <c r="EC41" i="9"/>
  <c r="AU41" i="9"/>
  <c r="AV41" i="9"/>
  <c r="AW41" i="9"/>
  <c r="AX41" i="9"/>
  <c r="AY41" i="9"/>
  <c r="AZ41" i="9"/>
  <c r="BA41" i="9"/>
  <c r="BB41" i="9"/>
  <c r="BC41" i="9"/>
  <c r="BD41" i="9"/>
  <c r="BE41" i="9"/>
  <c r="BF41" i="9"/>
  <c r="BG41" i="9"/>
  <c r="BH41" i="9"/>
  <c r="BI41" i="9"/>
  <c r="BJ41" i="9"/>
  <c r="BK41" i="9"/>
  <c r="BL41" i="9"/>
  <c r="BM41" i="9"/>
  <c r="BN41" i="9"/>
  <c r="BO41" i="9"/>
  <c r="BP41" i="9"/>
  <c r="BQ41" i="9"/>
  <c r="BR41" i="9"/>
  <c r="BS41" i="9"/>
  <c r="BT41" i="9"/>
  <c r="BU41" i="9"/>
  <c r="BV41" i="9"/>
  <c r="BW41" i="9"/>
  <c r="BX41" i="9"/>
  <c r="BY41" i="9"/>
  <c r="BZ41" i="9"/>
  <c r="CA41" i="9"/>
  <c r="CB41" i="9"/>
  <c r="CC41" i="9"/>
  <c r="CD41" i="9"/>
  <c r="CE41" i="9"/>
  <c r="CF41" i="9"/>
  <c r="CG41" i="9"/>
  <c r="CH41" i="9"/>
  <c r="CI41" i="9"/>
  <c r="CJ41" i="9"/>
  <c r="CK41" i="9"/>
  <c r="C41" i="9"/>
  <c r="D41" i="9"/>
  <c r="E41" i="9"/>
  <c r="F41" i="9"/>
  <c r="G41"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R41" i="9"/>
  <c r="AS41" i="9"/>
  <c r="AFF40" i="9"/>
  <c r="AFG40" i="9"/>
  <c r="AFH40" i="9"/>
  <c r="AFI40" i="9"/>
  <c r="AFJ40" i="9"/>
  <c r="AFK40" i="9"/>
  <c r="AFL40" i="9"/>
  <c r="AFM40" i="9"/>
  <c r="AFN40" i="9"/>
  <c r="AFO40" i="9"/>
  <c r="AFP40" i="9"/>
  <c r="AFQ40" i="9"/>
  <c r="AFR40" i="9"/>
  <c r="AFS40" i="9"/>
  <c r="AFT40" i="9"/>
  <c r="AFU40" i="9"/>
  <c r="AFV40" i="9"/>
  <c r="AFW40" i="9"/>
  <c r="AFX40" i="9"/>
  <c r="AFY40" i="9"/>
  <c r="AFZ40" i="9"/>
  <c r="AGA40" i="9"/>
  <c r="AGB40" i="9"/>
  <c r="AGC40" i="9"/>
  <c r="AGD40" i="9"/>
  <c r="AGE40" i="9"/>
  <c r="AGF40" i="9"/>
  <c r="AGG40" i="9"/>
  <c r="AGH40" i="9"/>
  <c r="AGI40" i="9"/>
  <c r="AGJ40" i="9"/>
  <c r="AGK40" i="9"/>
  <c r="AGL40" i="9"/>
  <c r="AGM40" i="9"/>
  <c r="AGN40" i="9"/>
  <c r="AGO40" i="9"/>
  <c r="AGP40" i="9"/>
  <c r="AGQ40" i="9"/>
  <c r="AGR40" i="9"/>
  <c r="AGS40" i="9"/>
  <c r="AGT40" i="9"/>
  <c r="AGU40" i="9"/>
  <c r="AGV40" i="9"/>
  <c r="AGW40" i="9"/>
  <c r="ADN40" i="9"/>
  <c r="ADO40" i="9"/>
  <c r="ADP40" i="9"/>
  <c r="ADQ40" i="9"/>
  <c r="ADR40" i="9"/>
  <c r="ADS40" i="9"/>
  <c r="ADT40" i="9"/>
  <c r="ADU40" i="9"/>
  <c r="ADV40" i="9"/>
  <c r="ADW40" i="9"/>
  <c r="ADX40" i="9"/>
  <c r="ADY40" i="9"/>
  <c r="ADZ40" i="9"/>
  <c r="AEA40" i="9"/>
  <c r="AEB40" i="9"/>
  <c r="AEC40" i="9"/>
  <c r="AED40" i="9"/>
  <c r="AEE40" i="9"/>
  <c r="AEF40" i="9"/>
  <c r="AEG40" i="9"/>
  <c r="AEH40" i="9"/>
  <c r="AEI40" i="9"/>
  <c r="AEJ40" i="9"/>
  <c r="AEK40" i="9"/>
  <c r="AEL40" i="9"/>
  <c r="AEM40" i="9"/>
  <c r="AEN40" i="9"/>
  <c r="AEO40" i="9"/>
  <c r="AEP40" i="9"/>
  <c r="AEQ40" i="9"/>
  <c r="AER40" i="9"/>
  <c r="AES40" i="9"/>
  <c r="AET40" i="9"/>
  <c r="AEU40" i="9"/>
  <c r="AEV40" i="9"/>
  <c r="AEW40" i="9"/>
  <c r="AEX40" i="9"/>
  <c r="AEY40" i="9"/>
  <c r="AEZ40" i="9"/>
  <c r="AFA40" i="9"/>
  <c r="AFB40" i="9"/>
  <c r="AFC40" i="9"/>
  <c r="AFD40" i="9"/>
  <c r="AFE40" i="9"/>
  <c r="ABV40" i="9"/>
  <c r="ABW40" i="9"/>
  <c r="ABX40" i="9"/>
  <c r="ABY40" i="9"/>
  <c r="ABZ40" i="9"/>
  <c r="ACA40" i="9"/>
  <c r="ACB40" i="9"/>
  <c r="ACC40" i="9"/>
  <c r="ACD40" i="9"/>
  <c r="ACE40" i="9"/>
  <c r="ACF40" i="9"/>
  <c r="ACG40" i="9"/>
  <c r="ACH40" i="9"/>
  <c r="ACI40" i="9"/>
  <c r="ACJ40" i="9"/>
  <c r="ACK40" i="9"/>
  <c r="ACL40" i="9"/>
  <c r="ACM40" i="9"/>
  <c r="ACN40" i="9"/>
  <c r="ACO40" i="9"/>
  <c r="ACP40" i="9"/>
  <c r="ACQ40" i="9"/>
  <c r="ACR40" i="9"/>
  <c r="ACS40" i="9"/>
  <c r="ACT40" i="9"/>
  <c r="ACU40" i="9"/>
  <c r="ACV40" i="9"/>
  <c r="ACW40" i="9"/>
  <c r="ACX40" i="9"/>
  <c r="ACY40" i="9"/>
  <c r="ACZ40" i="9"/>
  <c r="ADA40" i="9"/>
  <c r="ADB40" i="9"/>
  <c r="ADC40" i="9"/>
  <c r="ADD40" i="9"/>
  <c r="ADE40" i="9"/>
  <c r="ADF40" i="9"/>
  <c r="ADG40" i="9"/>
  <c r="ADH40" i="9"/>
  <c r="ADI40" i="9"/>
  <c r="ADJ40" i="9"/>
  <c r="ADK40" i="9"/>
  <c r="ADL40" i="9"/>
  <c r="ADM40" i="9"/>
  <c r="AAD40" i="9"/>
  <c r="AAE40" i="9"/>
  <c r="AAF40" i="9"/>
  <c r="AAG40" i="9"/>
  <c r="AAH40" i="9"/>
  <c r="AAI40" i="9"/>
  <c r="AAJ40" i="9"/>
  <c r="AAK40" i="9"/>
  <c r="AAL40" i="9"/>
  <c r="AAM40" i="9"/>
  <c r="AAN40" i="9"/>
  <c r="AAO40" i="9"/>
  <c r="AAP40" i="9"/>
  <c r="AAQ40" i="9"/>
  <c r="AAR40" i="9"/>
  <c r="AAS40" i="9"/>
  <c r="AAT40" i="9"/>
  <c r="AAU40" i="9"/>
  <c r="AAV40" i="9"/>
  <c r="AAW40" i="9"/>
  <c r="AAX40" i="9"/>
  <c r="AAY40" i="9"/>
  <c r="AAZ40" i="9"/>
  <c r="ABA40" i="9"/>
  <c r="ABB40" i="9"/>
  <c r="ABC40" i="9"/>
  <c r="ABD40" i="9"/>
  <c r="ABE40" i="9"/>
  <c r="ABF40" i="9"/>
  <c r="ABG40" i="9"/>
  <c r="ABH40" i="9"/>
  <c r="ABI40" i="9"/>
  <c r="ABJ40" i="9"/>
  <c r="ABK40" i="9"/>
  <c r="ABL40" i="9"/>
  <c r="ABM40" i="9"/>
  <c r="ABN40" i="9"/>
  <c r="ABO40" i="9"/>
  <c r="ABP40" i="9"/>
  <c r="ABQ40" i="9"/>
  <c r="ABR40" i="9"/>
  <c r="ABS40" i="9"/>
  <c r="ABT40" i="9"/>
  <c r="ABU40" i="9"/>
  <c r="YL40" i="9"/>
  <c r="YM40" i="9"/>
  <c r="YN40" i="9"/>
  <c r="YO40" i="9"/>
  <c r="YP40" i="9"/>
  <c r="YQ40" i="9"/>
  <c r="YR40" i="9"/>
  <c r="YS40" i="9"/>
  <c r="YT40" i="9"/>
  <c r="YU40" i="9"/>
  <c r="YV40" i="9"/>
  <c r="YW40" i="9"/>
  <c r="YX40" i="9"/>
  <c r="YY40" i="9"/>
  <c r="YZ40" i="9"/>
  <c r="ZA40" i="9"/>
  <c r="ZB40" i="9"/>
  <c r="ZC40" i="9"/>
  <c r="ZD40" i="9"/>
  <c r="ZE40" i="9"/>
  <c r="ZF40" i="9"/>
  <c r="ZG40" i="9"/>
  <c r="ZH40" i="9"/>
  <c r="ZI40" i="9"/>
  <c r="ZJ40" i="9"/>
  <c r="ZK40" i="9"/>
  <c r="ZL40" i="9"/>
  <c r="ZM40" i="9"/>
  <c r="ZN40" i="9"/>
  <c r="ZO40" i="9"/>
  <c r="ZP40" i="9"/>
  <c r="ZQ40" i="9"/>
  <c r="ZR40" i="9"/>
  <c r="ZS40" i="9"/>
  <c r="ZT40" i="9"/>
  <c r="ZU40" i="9"/>
  <c r="ZV40" i="9"/>
  <c r="ZW40" i="9"/>
  <c r="ZX40" i="9"/>
  <c r="ZY40" i="9"/>
  <c r="ZZ40" i="9"/>
  <c r="AAA40" i="9"/>
  <c r="AAB40" i="9"/>
  <c r="AAC40" i="9"/>
  <c r="WT40" i="9"/>
  <c r="WU40" i="9"/>
  <c r="WV40" i="9"/>
  <c r="WW40" i="9"/>
  <c r="WX40" i="9"/>
  <c r="WY40" i="9"/>
  <c r="WZ40" i="9"/>
  <c r="XA40" i="9"/>
  <c r="XB40" i="9"/>
  <c r="XC40" i="9"/>
  <c r="XD40" i="9"/>
  <c r="XE40" i="9"/>
  <c r="XF40" i="9"/>
  <c r="XG40" i="9"/>
  <c r="XH40" i="9"/>
  <c r="XI40" i="9"/>
  <c r="XJ40" i="9"/>
  <c r="XK40" i="9"/>
  <c r="XL40" i="9"/>
  <c r="XM40" i="9"/>
  <c r="XN40" i="9"/>
  <c r="XO40" i="9"/>
  <c r="XP40" i="9"/>
  <c r="XQ40" i="9"/>
  <c r="XR40" i="9"/>
  <c r="XS40" i="9"/>
  <c r="XT40" i="9"/>
  <c r="XU40" i="9"/>
  <c r="XV40" i="9"/>
  <c r="XW40" i="9"/>
  <c r="XX40" i="9"/>
  <c r="XY40" i="9"/>
  <c r="XZ40" i="9"/>
  <c r="YA40" i="9"/>
  <c r="YB40" i="9"/>
  <c r="YC40" i="9"/>
  <c r="YD40" i="9"/>
  <c r="YE40" i="9"/>
  <c r="YF40" i="9"/>
  <c r="YG40" i="9"/>
  <c r="YH40" i="9"/>
  <c r="YI40" i="9"/>
  <c r="YJ40" i="9"/>
  <c r="YK40" i="9"/>
  <c r="VB40" i="9"/>
  <c r="VC40" i="9"/>
  <c r="VD40" i="9"/>
  <c r="VE40" i="9"/>
  <c r="VF40" i="9"/>
  <c r="VG40" i="9"/>
  <c r="VH40" i="9"/>
  <c r="VI40" i="9"/>
  <c r="VJ40" i="9"/>
  <c r="VK40" i="9"/>
  <c r="VL40" i="9"/>
  <c r="VM40" i="9"/>
  <c r="VN40" i="9"/>
  <c r="VO40" i="9"/>
  <c r="VP40" i="9"/>
  <c r="VQ40" i="9"/>
  <c r="VR40" i="9"/>
  <c r="VS40" i="9"/>
  <c r="VT40" i="9"/>
  <c r="VU40" i="9"/>
  <c r="VV40" i="9"/>
  <c r="VW40" i="9"/>
  <c r="VX40" i="9"/>
  <c r="VY40" i="9"/>
  <c r="VZ40" i="9"/>
  <c r="WA40" i="9"/>
  <c r="WB40" i="9"/>
  <c r="WC40" i="9"/>
  <c r="WD40" i="9"/>
  <c r="WE40" i="9"/>
  <c r="WF40" i="9"/>
  <c r="WG40" i="9"/>
  <c r="WH40" i="9"/>
  <c r="WI40" i="9"/>
  <c r="WJ40" i="9"/>
  <c r="WK40" i="9"/>
  <c r="WL40" i="9"/>
  <c r="WM40" i="9"/>
  <c r="WN40" i="9"/>
  <c r="WO40" i="9"/>
  <c r="WP40" i="9"/>
  <c r="WQ40" i="9"/>
  <c r="WR40" i="9"/>
  <c r="WS40" i="9"/>
  <c r="TJ40" i="9"/>
  <c r="TK40" i="9"/>
  <c r="TL40" i="9"/>
  <c r="TM40" i="9"/>
  <c r="TN40" i="9"/>
  <c r="TO40" i="9"/>
  <c r="TP40" i="9"/>
  <c r="TQ40" i="9"/>
  <c r="TR40" i="9"/>
  <c r="TS40" i="9"/>
  <c r="TT40" i="9"/>
  <c r="TU40" i="9"/>
  <c r="TV40" i="9"/>
  <c r="TW40" i="9"/>
  <c r="TX40" i="9"/>
  <c r="TY40" i="9"/>
  <c r="TZ40" i="9"/>
  <c r="UA40" i="9"/>
  <c r="UB40" i="9"/>
  <c r="UC40" i="9"/>
  <c r="UD40" i="9"/>
  <c r="UE40" i="9"/>
  <c r="UF40" i="9"/>
  <c r="UG40" i="9"/>
  <c r="UH40" i="9"/>
  <c r="UI40" i="9"/>
  <c r="UJ40" i="9"/>
  <c r="UK40" i="9"/>
  <c r="UL40" i="9"/>
  <c r="UM40" i="9"/>
  <c r="UN40" i="9"/>
  <c r="UO40" i="9"/>
  <c r="UP40" i="9"/>
  <c r="UQ40" i="9"/>
  <c r="UR40" i="9"/>
  <c r="US40" i="9"/>
  <c r="UT40" i="9"/>
  <c r="UU40" i="9"/>
  <c r="UV40" i="9"/>
  <c r="UW40" i="9"/>
  <c r="UX40" i="9"/>
  <c r="UY40" i="9"/>
  <c r="UZ40" i="9"/>
  <c r="VA40" i="9"/>
  <c r="RR40" i="9"/>
  <c r="RS40" i="9"/>
  <c r="RT40" i="9"/>
  <c r="RU40" i="9"/>
  <c r="RV40" i="9"/>
  <c r="RW40" i="9"/>
  <c r="RX40" i="9"/>
  <c r="RY40" i="9"/>
  <c r="RZ40" i="9"/>
  <c r="SA40" i="9"/>
  <c r="SB40" i="9"/>
  <c r="SC40" i="9"/>
  <c r="SD40" i="9"/>
  <c r="SE40" i="9"/>
  <c r="SF40" i="9"/>
  <c r="SG40" i="9"/>
  <c r="SH40" i="9"/>
  <c r="SI40" i="9"/>
  <c r="SJ40" i="9"/>
  <c r="SK40" i="9"/>
  <c r="SL40" i="9"/>
  <c r="SM40" i="9"/>
  <c r="SN40" i="9"/>
  <c r="SO40" i="9"/>
  <c r="SP40" i="9"/>
  <c r="SQ40" i="9"/>
  <c r="SR40" i="9"/>
  <c r="SS40" i="9"/>
  <c r="ST40" i="9"/>
  <c r="SU40" i="9"/>
  <c r="SV40" i="9"/>
  <c r="SW40" i="9"/>
  <c r="SX40" i="9"/>
  <c r="SY40" i="9"/>
  <c r="SZ40" i="9"/>
  <c r="TA40" i="9"/>
  <c r="TB40" i="9"/>
  <c r="TC40" i="9"/>
  <c r="TD40" i="9"/>
  <c r="TE40" i="9"/>
  <c r="TF40" i="9"/>
  <c r="TG40" i="9"/>
  <c r="TH40" i="9"/>
  <c r="TI40" i="9"/>
  <c r="PZ40" i="9"/>
  <c r="QA40" i="9"/>
  <c r="QB40" i="9"/>
  <c r="QC40" i="9"/>
  <c r="QD40" i="9"/>
  <c r="QE40" i="9"/>
  <c r="QF40" i="9"/>
  <c r="QG40" i="9"/>
  <c r="QH40" i="9"/>
  <c r="QI40" i="9"/>
  <c r="QJ40" i="9"/>
  <c r="QK40" i="9"/>
  <c r="QL40" i="9"/>
  <c r="QM40" i="9"/>
  <c r="QN40" i="9"/>
  <c r="QO40" i="9"/>
  <c r="QP40" i="9"/>
  <c r="QQ40" i="9"/>
  <c r="QR40" i="9"/>
  <c r="QS40" i="9"/>
  <c r="QT40" i="9"/>
  <c r="QU40" i="9"/>
  <c r="QV40" i="9"/>
  <c r="QW40" i="9"/>
  <c r="QX40" i="9"/>
  <c r="QY40" i="9"/>
  <c r="QZ40" i="9"/>
  <c r="RA40" i="9"/>
  <c r="RB40" i="9"/>
  <c r="RC40" i="9"/>
  <c r="RD40" i="9"/>
  <c r="RE40" i="9"/>
  <c r="RF40" i="9"/>
  <c r="RG40" i="9"/>
  <c r="RH40" i="9"/>
  <c r="RI40" i="9"/>
  <c r="RJ40" i="9"/>
  <c r="RK40" i="9"/>
  <c r="RL40" i="9"/>
  <c r="RM40" i="9"/>
  <c r="RN40" i="9"/>
  <c r="RO40" i="9"/>
  <c r="RP40" i="9"/>
  <c r="RQ40" i="9"/>
  <c r="OH40" i="9"/>
  <c r="OI40" i="9"/>
  <c r="OJ40" i="9"/>
  <c r="OK40" i="9"/>
  <c r="OL40" i="9"/>
  <c r="OM40" i="9"/>
  <c r="ON40" i="9"/>
  <c r="OO40" i="9"/>
  <c r="OP40" i="9"/>
  <c r="OQ40" i="9"/>
  <c r="OR40" i="9"/>
  <c r="OS40" i="9"/>
  <c r="OT40" i="9"/>
  <c r="OU40" i="9"/>
  <c r="OV40" i="9"/>
  <c r="OW40" i="9"/>
  <c r="OX40" i="9"/>
  <c r="OY40" i="9"/>
  <c r="OZ40" i="9"/>
  <c r="PA40" i="9"/>
  <c r="PB40" i="9"/>
  <c r="PC40" i="9"/>
  <c r="PD40" i="9"/>
  <c r="PE40" i="9"/>
  <c r="PF40" i="9"/>
  <c r="PG40" i="9"/>
  <c r="PH40" i="9"/>
  <c r="PI40" i="9"/>
  <c r="PJ40" i="9"/>
  <c r="PK40" i="9"/>
  <c r="PL40" i="9"/>
  <c r="PM40" i="9"/>
  <c r="PN40" i="9"/>
  <c r="PO40" i="9"/>
  <c r="PP40" i="9"/>
  <c r="PQ40" i="9"/>
  <c r="PR40" i="9"/>
  <c r="PS40" i="9"/>
  <c r="PT40" i="9"/>
  <c r="PU40" i="9"/>
  <c r="PV40" i="9"/>
  <c r="PW40" i="9"/>
  <c r="PX40" i="9"/>
  <c r="PY40" i="9"/>
  <c r="MP40" i="9"/>
  <c r="MQ40" i="9"/>
  <c r="MR40" i="9"/>
  <c r="MS40" i="9"/>
  <c r="MT40" i="9"/>
  <c r="MU40" i="9"/>
  <c r="MV40" i="9"/>
  <c r="MW40" i="9"/>
  <c r="MX40" i="9"/>
  <c r="MY40" i="9"/>
  <c r="MZ40" i="9"/>
  <c r="NA40" i="9"/>
  <c r="NB40" i="9"/>
  <c r="NC40" i="9"/>
  <c r="ND40" i="9"/>
  <c r="NE40" i="9"/>
  <c r="NF40" i="9"/>
  <c r="NG40" i="9"/>
  <c r="NH40" i="9"/>
  <c r="NI40" i="9"/>
  <c r="NJ40" i="9"/>
  <c r="NK40" i="9"/>
  <c r="NL40" i="9"/>
  <c r="NM40" i="9"/>
  <c r="NN40" i="9"/>
  <c r="NO40" i="9"/>
  <c r="NP40" i="9"/>
  <c r="NQ40" i="9"/>
  <c r="NR40" i="9"/>
  <c r="NS40" i="9"/>
  <c r="NT40" i="9"/>
  <c r="NU40" i="9"/>
  <c r="NV40" i="9"/>
  <c r="NW40" i="9"/>
  <c r="NX40" i="9"/>
  <c r="NY40" i="9"/>
  <c r="NZ40" i="9"/>
  <c r="OA40" i="9"/>
  <c r="OB40" i="9"/>
  <c r="OC40" i="9"/>
  <c r="OD40" i="9"/>
  <c r="OE40" i="9"/>
  <c r="OF40" i="9"/>
  <c r="OG40" i="9"/>
  <c r="KX40" i="9"/>
  <c r="KY40" i="9"/>
  <c r="KZ40" i="9"/>
  <c r="LA40" i="9"/>
  <c r="LB40" i="9"/>
  <c r="LC40" i="9"/>
  <c r="LD40" i="9"/>
  <c r="LE40" i="9"/>
  <c r="LF40" i="9"/>
  <c r="LG40" i="9"/>
  <c r="LH40" i="9"/>
  <c r="LI40" i="9"/>
  <c r="LJ40" i="9"/>
  <c r="LK40" i="9"/>
  <c r="LL40" i="9"/>
  <c r="LM40" i="9"/>
  <c r="LN40" i="9"/>
  <c r="LO40" i="9"/>
  <c r="LP40" i="9"/>
  <c r="LQ40" i="9"/>
  <c r="LR40" i="9"/>
  <c r="LS40" i="9"/>
  <c r="LT40" i="9"/>
  <c r="LU40" i="9"/>
  <c r="LV40" i="9"/>
  <c r="LW40" i="9"/>
  <c r="LX40" i="9"/>
  <c r="LY40" i="9"/>
  <c r="LZ40" i="9"/>
  <c r="MA40" i="9"/>
  <c r="MB40" i="9"/>
  <c r="MC40" i="9"/>
  <c r="MD40" i="9"/>
  <c r="ME40" i="9"/>
  <c r="MF40" i="9"/>
  <c r="MG40" i="9"/>
  <c r="MH40" i="9"/>
  <c r="MI40" i="9"/>
  <c r="MJ40" i="9"/>
  <c r="MK40" i="9"/>
  <c r="ML40" i="9"/>
  <c r="MM40" i="9"/>
  <c r="MN40" i="9"/>
  <c r="MO40" i="9"/>
  <c r="JF40" i="9"/>
  <c r="JG40" i="9"/>
  <c r="JH40" i="9"/>
  <c r="JI40" i="9"/>
  <c r="JJ40" i="9"/>
  <c r="JK40" i="9"/>
  <c r="JL40" i="9"/>
  <c r="JM40" i="9"/>
  <c r="JN40" i="9"/>
  <c r="JO40" i="9"/>
  <c r="JP40" i="9"/>
  <c r="JQ40" i="9"/>
  <c r="JR40" i="9"/>
  <c r="JS40" i="9"/>
  <c r="JT40" i="9"/>
  <c r="JU40" i="9"/>
  <c r="JV40" i="9"/>
  <c r="JW40" i="9"/>
  <c r="JX40" i="9"/>
  <c r="JY40" i="9"/>
  <c r="JZ40" i="9"/>
  <c r="KA40" i="9"/>
  <c r="KB40" i="9"/>
  <c r="KC40" i="9"/>
  <c r="KD40" i="9"/>
  <c r="KE40" i="9"/>
  <c r="KF40" i="9"/>
  <c r="KG40" i="9"/>
  <c r="KH40" i="9"/>
  <c r="KI40" i="9"/>
  <c r="KJ40" i="9"/>
  <c r="KK40" i="9"/>
  <c r="KL40" i="9"/>
  <c r="KM40" i="9"/>
  <c r="KN40" i="9"/>
  <c r="KO40" i="9"/>
  <c r="KP40" i="9"/>
  <c r="KQ40" i="9"/>
  <c r="KR40" i="9"/>
  <c r="KS40" i="9"/>
  <c r="KT40" i="9"/>
  <c r="KU40" i="9"/>
  <c r="KV40" i="9"/>
  <c r="KW40" i="9"/>
  <c r="HN40" i="9"/>
  <c r="HO40" i="9"/>
  <c r="HP40" i="9"/>
  <c r="HQ40" i="9"/>
  <c r="HR40" i="9"/>
  <c r="HS40" i="9"/>
  <c r="HT40" i="9"/>
  <c r="HU40" i="9"/>
  <c r="HV40" i="9"/>
  <c r="HW40" i="9"/>
  <c r="HX40" i="9"/>
  <c r="HY40" i="9"/>
  <c r="HZ40" i="9"/>
  <c r="IA40" i="9"/>
  <c r="IB40" i="9"/>
  <c r="IC40" i="9"/>
  <c r="ID40" i="9"/>
  <c r="IE40" i="9"/>
  <c r="IF40" i="9"/>
  <c r="IG40" i="9"/>
  <c r="IH40" i="9"/>
  <c r="II40" i="9"/>
  <c r="IJ40" i="9"/>
  <c r="IK40" i="9"/>
  <c r="IL40" i="9"/>
  <c r="IM40" i="9"/>
  <c r="IN40" i="9"/>
  <c r="IO40" i="9"/>
  <c r="IP40" i="9"/>
  <c r="IQ40" i="9"/>
  <c r="IR40" i="9"/>
  <c r="IS40" i="9"/>
  <c r="IT40" i="9"/>
  <c r="IU40" i="9"/>
  <c r="IV40" i="9"/>
  <c r="IW40" i="9"/>
  <c r="IX40" i="9"/>
  <c r="IY40" i="9"/>
  <c r="IZ40" i="9"/>
  <c r="JA40" i="9"/>
  <c r="JB40" i="9"/>
  <c r="JC40" i="9"/>
  <c r="JD40" i="9"/>
  <c r="JE40" i="9"/>
  <c r="FV40" i="9"/>
  <c r="FW40" i="9"/>
  <c r="FX40" i="9"/>
  <c r="FY40" i="9"/>
  <c r="FZ40" i="9"/>
  <c r="GA40" i="9"/>
  <c r="GB40" i="9"/>
  <c r="GC40" i="9"/>
  <c r="GD40" i="9"/>
  <c r="GE40" i="9"/>
  <c r="GF40" i="9"/>
  <c r="GG40" i="9"/>
  <c r="GH40" i="9"/>
  <c r="GI40" i="9"/>
  <c r="GJ40" i="9"/>
  <c r="GK40" i="9"/>
  <c r="GL40" i="9"/>
  <c r="GM40" i="9"/>
  <c r="GN40" i="9"/>
  <c r="GO40" i="9"/>
  <c r="GP40" i="9"/>
  <c r="GQ40" i="9"/>
  <c r="GR40" i="9"/>
  <c r="GS40" i="9"/>
  <c r="GT40" i="9"/>
  <c r="GU40" i="9"/>
  <c r="GV40" i="9"/>
  <c r="GW40" i="9"/>
  <c r="GX40" i="9"/>
  <c r="GY40" i="9"/>
  <c r="GZ40" i="9"/>
  <c r="HA40" i="9"/>
  <c r="HB40" i="9"/>
  <c r="HC40" i="9"/>
  <c r="HD40" i="9"/>
  <c r="HE40" i="9"/>
  <c r="HF40" i="9"/>
  <c r="HG40" i="9"/>
  <c r="HH40" i="9"/>
  <c r="HI40" i="9"/>
  <c r="HJ40" i="9"/>
  <c r="HK40" i="9"/>
  <c r="HL40" i="9"/>
  <c r="HM40" i="9"/>
  <c r="ED40" i="9"/>
  <c r="EE40" i="9"/>
  <c r="EF40" i="9"/>
  <c r="EG40" i="9"/>
  <c r="EH40" i="9"/>
  <c r="EI40" i="9"/>
  <c r="EJ40" i="9"/>
  <c r="EK40" i="9"/>
  <c r="EL40" i="9"/>
  <c r="EM40" i="9"/>
  <c r="EN40" i="9"/>
  <c r="EO40" i="9"/>
  <c r="EP40" i="9"/>
  <c r="EQ40" i="9"/>
  <c r="ER40" i="9"/>
  <c r="ES40" i="9"/>
  <c r="ET40" i="9"/>
  <c r="EU40" i="9"/>
  <c r="EV40" i="9"/>
  <c r="EW40" i="9"/>
  <c r="EX40" i="9"/>
  <c r="EY40" i="9"/>
  <c r="EZ40" i="9"/>
  <c r="FA40" i="9"/>
  <c r="FB40" i="9"/>
  <c r="FC40" i="9"/>
  <c r="FD40" i="9"/>
  <c r="FE40" i="9"/>
  <c r="FF40" i="9"/>
  <c r="FG40" i="9"/>
  <c r="FH40" i="9"/>
  <c r="FI40" i="9"/>
  <c r="FJ40" i="9"/>
  <c r="FK40" i="9"/>
  <c r="FL40" i="9"/>
  <c r="FM40" i="9"/>
  <c r="FN40" i="9"/>
  <c r="FO40" i="9"/>
  <c r="FP40" i="9"/>
  <c r="FQ40" i="9"/>
  <c r="FR40" i="9"/>
  <c r="FS40" i="9"/>
  <c r="FT40" i="9"/>
  <c r="FU40" i="9"/>
  <c r="CL40" i="9"/>
  <c r="CM40" i="9"/>
  <c r="CN40" i="9"/>
  <c r="CO40" i="9"/>
  <c r="CP40" i="9"/>
  <c r="CQ40" i="9"/>
  <c r="CR40" i="9"/>
  <c r="CS40" i="9"/>
  <c r="CT40" i="9"/>
  <c r="CU40" i="9"/>
  <c r="CV40" i="9"/>
  <c r="CW40" i="9"/>
  <c r="CX40" i="9"/>
  <c r="CY40" i="9"/>
  <c r="CZ40" i="9"/>
  <c r="DA40" i="9"/>
  <c r="DB40" i="9"/>
  <c r="DC40" i="9"/>
  <c r="DD40" i="9"/>
  <c r="DE40" i="9"/>
  <c r="DF40" i="9"/>
  <c r="DG40" i="9"/>
  <c r="DH40" i="9"/>
  <c r="DI40" i="9"/>
  <c r="DJ40" i="9"/>
  <c r="DK40" i="9"/>
  <c r="DL40" i="9"/>
  <c r="DM40" i="9"/>
  <c r="DN40" i="9"/>
  <c r="DO40" i="9"/>
  <c r="DP40" i="9"/>
  <c r="DQ40" i="9"/>
  <c r="DR40" i="9"/>
  <c r="DS40" i="9"/>
  <c r="DT40" i="9"/>
  <c r="DU40" i="9"/>
  <c r="DV40" i="9"/>
  <c r="DW40" i="9"/>
  <c r="DX40" i="9"/>
  <c r="DY40" i="9"/>
  <c r="DZ40" i="9"/>
  <c r="EA40" i="9"/>
  <c r="EB40" i="9"/>
  <c r="EC40" i="9"/>
  <c r="AT40" i="9"/>
  <c r="AU40" i="9"/>
  <c r="AV40" i="9"/>
  <c r="AW40" i="9"/>
  <c r="AX40" i="9"/>
  <c r="AY40" i="9"/>
  <c r="AZ40" i="9"/>
  <c r="BA40" i="9"/>
  <c r="BB40" i="9"/>
  <c r="BC40" i="9"/>
  <c r="BD40" i="9"/>
  <c r="BE40" i="9"/>
  <c r="BF40" i="9"/>
  <c r="BG40" i="9"/>
  <c r="BH40" i="9"/>
  <c r="BI40" i="9"/>
  <c r="BJ40" i="9"/>
  <c r="BK40" i="9"/>
  <c r="BL40" i="9"/>
  <c r="BM40" i="9"/>
  <c r="BN40" i="9"/>
  <c r="BO40" i="9"/>
  <c r="BP40" i="9"/>
  <c r="BQ40" i="9"/>
  <c r="BR40" i="9"/>
  <c r="BS40" i="9"/>
  <c r="BT40" i="9"/>
  <c r="BU40" i="9"/>
  <c r="BV40" i="9"/>
  <c r="BW40" i="9"/>
  <c r="BX40" i="9"/>
  <c r="BY40" i="9"/>
  <c r="BZ40" i="9"/>
  <c r="CA40" i="9"/>
  <c r="CB40" i="9"/>
  <c r="CC40" i="9"/>
  <c r="CD40" i="9"/>
  <c r="CE40" i="9"/>
  <c r="CF40" i="9"/>
  <c r="CG40" i="9"/>
  <c r="CH40" i="9"/>
  <c r="CI40" i="9"/>
  <c r="CJ40" i="9"/>
  <c r="CK40" i="9"/>
  <c r="B40" i="9"/>
  <c r="C40" i="9"/>
  <c r="D40" i="9"/>
  <c r="E40" i="9"/>
  <c r="F40" i="9"/>
  <c r="G40" i="9"/>
  <c r="H40" i="9"/>
  <c r="I40" i="9"/>
  <c r="J40" i="9"/>
  <c r="K40" i="9"/>
  <c r="L40" i="9"/>
  <c r="M40" i="9"/>
  <c r="N40" i="9"/>
  <c r="O40" i="9"/>
  <c r="P40" i="9"/>
  <c r="Q40" i="9"/>
  <c r="R40" i="9"/>
  <c r="S40" i="9"/>
  <c r="T40" i="9"/>
  <c r="U40" i="9"/>
  <c r="V40" i="9"/>
  <c r="W40" i="9"/>
  <c r="X40" i="9"/>
  <c r="Y40" i="9"/>
  <c r="Z40" i="9"/>
  <c r="AA40" i="9"/>
  <c r="AB40" i="9"/>
  <c r="AC40" i="9"/>
  <c r="AD40" i="9"/>
  <c r="AE40" i="9"/>
  <c r="AF40" i="9"/>
  <c r="AG40" i="9"/>
  <c r="AH40" i="9"/>
  <c r="AI40" i="9"/>
  <c r="AJ40" i="9"/>
  <c r="AK40" i="9"/>
  <c r="AL40" i="9"/>
  <c r="AM40" i="9"/>
  <c r="AN40" i="9"/>
  <c r="AO40" i="9"/>
  <c r="AP40" i="9"/>
  <c r="AQ40" i="9"/>
  <c r="AR40" i="9"/>
  <c r="AS40" i="9"/>
  <c r="OI39" i="9"/>
  <c r="OJ39" i="9"/>
  <c r="OK39" i="9"/>
  <c r="OL39" i="9"/>
  <c r="OM39" i="9"/>
  <c r="ON39" i="9"/>
  <c r="OO39" i="9"/>
  <c r="OP39" i="9"/>
  <c r="OQ39" i="9"/>
  <c r="OR39" i="9"/>
  <c r="OS39" i="9"/>
  <c r="OT39" i="9"/>
  <c r="OU39" i="9"/>
  <c r="OV39" i="9"/>
  <c r="OW39" i="9"/>
  <c r="OX39" i="9"/>
  <c r="OY39" i="9"/>
  <c r="OZ39" i="9"/>
  <c r="PA39" i="9"/>
  <c r="PB39" i="9"/>
  <c r="PC39" i="9"/>
  <c r="PD39" i="9"/>
  <c r="PE39" i="9"/>
  <c r="PF39" i="9"/>
  <c r="PG39" i="9"/>
  <c r="PH39" i="9"/>
  <c r="PI39" i="9"/>
  <c r="PJ39" i="9"/>
  <c r="PK39" i="9"/>
  <c r="PL39" i="9"/>
  <c r="PM39" i="9"/>
  <c r="PN39" i="9"/>
  <c r="PO39" i="9"/>
  <c r="PP39" i="9"/>
  <c r="PQ39" i="9"/>
  <c r="PR39" i="9"/>
  <c r="PS39" i="9"/>
  <c r="PT39" i="9"/>
  <c r="PU39" i="9"/>
  <c r="PV39" i="9"/>
  <c r="PW39" i="9"/>
  <c r="PX39" i="9"/>
  <c r="PY39" i="9"/>
  <c r="MQ39" i="9"/>
  <c r="MR39" i="9"/>
  <c r="MS39" i="9"/>
  <c r="MT39" i="9"/>
  <c r="MU39" i="9"/>
  <c r="MV39" i="9"/>
  <c r="MW39" i="9"/>
  <c r="MX39" i="9"/>
  <c r="MY39" i="9"/>
  <c r="MZ39" i="9"/>
  <c r="NA39" i="9"/>
  <c r="NB39" i="9"/>
  <c r="NC39" i="9"/>
  <c r="ND39" i="9"/>
  <c r="NE39" i="9"/>
  <c r="NF39" i="9"/>
  <c r="NG39" i="9"/>
  <c r="NH39" i="9"/>
  <c r="NI39" i="9"/>
  <c r="NJ39" i="9"/>
  <c r="NK39" i="9"/>
  <c r="NL39" i="9"/>
  <c r="NM39" i="9"/>
  <c r="NN39" i="9"/>
  <c r="NO39" i="9"/>
  <c r="NP39" i="9"/>
  <c r="NQ39" i="9"/>
  <c r="NR39" i="9"/>
  <c r="NS39" i="9"/>
  <c r="NT39" i="9"/>
  <c r="NU39" i="9"/>
  <c r="NV39" i="9"/>
  <c r="NW39" i="9"/>
  <c r="NX39" i="9"/>
  <c r="NY39" i="9"/>
  <c r="NZ39" i="9"/>
  <c r="OA39" i="9"/>
  <c r="OB39" i="9"/>
  <c r="OC39" i="9"/>
  <c r="OD39" i="9"/>
  <c r="OE39" i="9"/>
  <c r="OF39" i="9"/>
  <c r="OG39" i="9"/>
  <c r="KY39" i="9"/>
  <c r="KZ39" i="9"/>
  <c r="LA39" i="9"/>
  <c r="LB39" i="9"/>
  <c r="LC39" i="9"/>
  <c r="LD39" i="9"/>
  <c r="LE39" i="9"/>
  <c r="LF39" i="9"/>
  <c r="LG39" i="9"/>
  <c r="LH39" i="9"/>
  <c r="LI39" i="9"/>
  <c r="LJ39" i="9"/>
  <c r="LK39" i="9"/>
  <c r="LL39" i="9"/>
  <c r="LM39" i="9"/>
  <c r="LN39" i="9"/>
  <c r="LO39" i="9"/>
  <c r="LP39" i="9"/>
  <c r="LQ39" i="9"/>
  <c r="LR39" i="9"/>
  <c r="LS39" i="9"/>
  <c r="LT39" i="9"/>
  <c r="LU39" i="9"/>
  <c r="LV39" i="9"/>
  <c r="LW39" i="9"/>
  <c r="LX39" i="9"/>
  <c r="LY39" i="9"/>
  <c r="LZ39" i="9"/>
  <c r="MA39" i="9"/>
  <c r="MB39" i="9"/>
  <c r="MC39" i="9"/>
  <c r="MD39" i="9"/>
  <c r="ME39" i="9"/>
  <c r="MF39" i="9"/>
  <c r="MG39" i="9"/>
  <c r="MH39" i="9"/>
  <c r="MI39" i="9"/>
  <c r="MJ39" i="9"/>
  <c r="MK39" i="9"/>
  <c r="ML39" i="9"/>
  <c r="MM39" i="9"/>
  <c r="MN39" i="9"/>
  <c r="MO39" i="9"/>
  <c r="JG39" i="9"/>
  <c r="JH39" i="9"/>
  <c r="JI39" i="9"/>
  <c r="JJ39" i="9"/>
  <c r="JK39" i="9"/>
  <c r="JL39" i="9"/>
  <c r="JM39" i="9"/>
  <c r="JN39" i="9"/>
  <c r="JO39" i="9"/>
  <c r="JP39" i="9"/>
  <c r="JQ39" i="9"/>
  <c r="JR39" i="9"/>
  <c r="JS39" i="9"/>
  <c r="JT39" i="9"/>
  <c r="JU39" i="9"/>
  <c r="JV39" i="9"/>
  <c r="JW39" i="9"/>
  <c r="JX39" i="9"/>
  <c r="JY39" i="9"/>
  <c r="JZ39" i="9"/>
  <c r="KA39" i="9"/>
  <c r="KB39" i="9"/>
  <c r="KC39" i="9"/>
  <c r="KD39" i="9"/>
  <c r="KE39" i="9"/>
  <c r="KF39" i="9"/>
  <c r="KG39" i="9"/>
  <c r="KH39" i="9"/>
  <c r="KI39" i="9"/>
  <c r="KJ39" i="9"/>
  <c r="KK39" i="9"/>
  <c r="KL39" i="9"/>
  <c r="KM39" i="9"/>
  <c r="KN39" i="9"/>
  <c r="KO39" i="9"/>
  <c r="KP39" i="9"/>
  <c r="KQ39" i="9"/>
  <c r="KR39" i="9"/>
  <c r="KS39" i="9"/>
  <c r="KT39" i="9"/>
  <c r="KU39" i="9"/>
  <c r="KV39" i="9"/>
  <c r="KW39" i="9"/>
  <c r="HO39" i="9"/>
  <c r="HP39" i="9"/>
  <c r="HQ39" i="9"/>
  <c r="HR39" i="9"/>
  <c r="HS39" i="9"/>
  <c r="HT39" i="9"/>
  <c r="HU39" i="9"/>
  <c r="HV39" i="9"/>
  <c r="HW39" i="9"/>
  <c r="HX39" i="9"/>
  <c r="HY39" i="9"/>
  <c r="HZ39" i="9"/>
  <c r="IA39" i="9"/>
  <c r="IB39" i="9"/>
  <c r="IC39" i="9"/>
  <c r="ID39" i="9"/>
  <c r="IE39" i="9"/>
  <c r="IF39" i="9"/>
  <c r="IG39" i="9"/>
  <c r="IH39" i="9"/>
  <c r="II39" i="9"/>
  <c r="IJ39" i="9"/>
  <c r="IK39" i="9"/>
  <c r="IL39" i="9"/>
  <c r="IM39" i="9"/>
  <c r="IN39" i="9"/>
  <c r="IO39" i="9"/>
  <c r="IP39" i="9"/>
  <c r="IQ39" i="9"/>
  <c r="IR39" i="9"/>
  <c r="IS39" i="9"/>
  <c r="IT39" i="9"/>
  <c r="IU39" i="9"/>
  <c r="IV39" i="9"/>
  <c r="IW39" i="9"/>
  <c r="IX39" i="9"/>
  <c r="IY39" i="9"/>
  <c r="IZ39" i="9"/>
  <c r="JA39" i="9"/>
  <c r="JB39" i="9"/>
  <c r="JC39" i="9"/>
  <c r="JD39" i="9"/>
  <c r="JE39" i="9"/>
  <c r="FW39" i="9"/>
  <c r="FX39" i="9"/>
  <c r="FY39" i="9"/>
  <c r="FZ39" i="9"/>
  <c r="GA39" i="9"/>
  <c r="GB39" i="9"/>
  <c r="GC39" i="9"/>
  <c r="GD39" i="9"/>
  <c r="GE39" i="9"/>
  <c r="GF39" i="9"/>
  <c r="GG39" i="9"/>
  <c r="GH39" i="9"/>
  <c r="GI39" i="9"/>
  <c r="GJ39" i="9"/>
  <c r="GK39" i="9"/>
  <c r="GL39" i="9"/>
  <c r="GM39" i="9"/>
  <c r="GN39" i="9"/>
  <c r="GO39" i="9"/>
  <c r="GP39" i="9"/>
  <c r="GQ39" i="9"/>
  <c r="GR39" i="9"/>
  <c r="GS39" i="9"/>
  <c r="GT39" i="9"/>
  <c r="GU39" i="9"/>
  <c r="GV39" i="9"/>
  <c r="GW39" i="9"/>
  <c r="GX39" i="9"/>
  <c r="GY39" i="9"/>
  <c r="GZ39" i="9"/>
  <c r="HA39" i="9"/>
  <c r="HB39" i="9"/>
  <c r="HC39" i="9"/>
  <c r="HD39" i="9"/>
  <c r="HE39" i="9"/>
  <c r="HF39" i="9"/>
  <c r="HG39" i="9"/>
  <c r="HH39" i="9"/>
  <c r="HI39" i="9"/>
  <c r="HJ39" i="9"/>
  <c r="HK39" i="9"/>
  <c r="HL39" i="9"/>
  <c r="HM39" i="9"/>
  <c r="EE39" i="9"/>
  <c r="EF39" i="9"/>
  <c r="EG39" i="9"/>
  <c r="EH39" i="9"/>
  <c r="EI39" i="9"/>
  <c r="EJ39" i="9"/>
  <c r="EK39" i="9"/>
  <c r="EL39" i="9"/>
  <c r="EM39" i="9"/>
  <c r="EN39" i="9"/>
  <c r="EO39" i="9"/>
  <c r="EP39" i="9"/>
  <c r="EQ39" i="9"/>
  <c r="ER39" i="9"/>
  <c r="ES39" i="9"/>
  <c r="ET39" i="9"/>
  <c r="EU39" i="9"/>
  <c r="EV39" i="9"/>
  <c r="EW39" i="9"/>
  <c r="EX39" i="9"/>
  <c r="EY39" i="9"/>
  <c r="EZ39" i="9"/>
  <c r="FA39" i="9"/>
  <c r="FB39" i="9"/>
  <c r="FC39" i="9"/>
  <c r="FD39" i="9"/>
  <c r="FE39" i="9"/>
  <c r="FF39" i="9"/>
  <c r="FG39" i="9"/>
  <c r="FH39" i="9"/>
  <c r="FI39" i="9"/>
  <c r="FJ39" i="9"/>
  <c r="FK39" i="9"/>
  <c r="FL39" i="9"/>
  <c r="FM39" i="9"/>
  <c r="FN39" i="9"/>
  <c r="FO39" i="9"/>
  <c r="FP39" i="9"/>
  <c r="FQ39" i="9"/>
  <c r="FR39" i="9"/>
  <c r="FS39" i="9"/>
  <c r="FT39" i="9"/>
  <c r="FU39" i="9"/>
  <c r="CM39" i="9"/>
  <c r="CN39" i="9"/>
  <c r="CO39" i="9"/>
  <c r="CP39" i="9"/>
  <c r="CQ39" i="9"/>
  <c r="CR39" i="9"/>
  <c r="CS39" i="9"/>
  <c r="CT39" i="9"/>
  <c r="CU39" i="9"/>
  <c r="CV39" i="9"/>
  <c r="CW39" i="9"/>
  <c r="CX39" i="9"/>
  <c r="CY39" i="9"/>
  <c r="CZ39" i="9"/>
  <c r="DA39" i="9"/>
  <c r="DB39" i="9"/>
  <c r="DC39" i="9"/>
  <c r="DD39" i="9"/>
  <c r="DE39" i="9"/>
  <c r="DF39" i="9"/>
  <c r="DG39" i="9"/>
  <c r="DH39" i="9"/>
  <c r="DI39" i="9"/>
  <c r="DJ39" i="9"/>
  <c r="DK39" i="9"/>
  <c r="DL39" i="9"/>
  <c r="DM39" i="9"/>
  <c r="DN39" i="9"/>
  <c r="DO39" i="9"/>
  <c r="DP39" i="9"/>
  <c r="DQ39" i="9"/>
  <c r="DR39" i="9"/>
  <c r="DS39" i="9"/>
  <c r="DT39" i="9"/>
  <c r="DU39" i="9"/>
  <c r="DV39" i="9"/>
  <c r="DW39" i="9"/>
  <c r="DX39" i="9"/>
  <c r="DY39" i="9"/>
  <c r="DZ39" i="9"/>
  <c r="EA39" i="9"/>
  <c r="EB39" i="9"/>
  <c r="EC39" i="9"/>
  <c r="AU39" i="9"/>
  <c r="AV39" i="9"/>
  <c r="AW39" i="9"/>
  <c r="AX39" i="9"/>
  <c r="AY39" i="9"/>
  <c r="AZ39" i="9"/>
  <c r="BA39" i="9"/>
  <c r="BB39" i="9"/>
  <c r="BC39" i="9"/>
  <c r="BD39" i="9"/>
  <c r="BE39" i="9"/>
  <c r="BF39" i="9"/>
  <c r="BG39" i="9"/>
  <c r="BH39" i="9"/>
  <c r="BI39" i="9"/>
  <c r="BJ39" i="9"/>
  <c r="BK39" i="9"/>
  <c r="BL39" i="9"/>
  <c r="BM39" i="9"/>
  <c r="BN39" i="9"/>
  <c r="BO39" i="9"/>
  <c r="BP39" i="9"/>
  <c r="BQ39" i="9"/>
  <c r="BR39" i="9"/>
  <c r="BS39" i="9"/>
  <c r="BT39" i="9"/>
  <c r="BU39" i="9"/>
  <c r="BV39" i="9"/>
  <c r="BW39" i="9"/>
  <c r="BX39" i="9"/>
  <c r="BY39" i="9"/>
  <c r="BZ39" i="9"/>
  <c r="CA39" i="9"/>
  <c r="CB39" i="9"/>
  <c r="CC39" i="9"/>
  <c r="CD39" i="9"/>
  <c r="CE39" i="9"/>
  <c r="CF39" i="9"/>
  <c r="CG39" i="9"/>
  <c r="CH39" i="9"/>
  <c r="CI39" i="9"/>
  <c r="CJ39" i="9"/>
  <c r="CK39" i="9"/>
  <c r="C39" i="9"/>
  <c r="D39" i="9"/>
  <c r="E39" i="9"/>
  <c r="F39" i="9"/>
  <c r="G39" i="9"/>
  <c r="H39" i="9"/>
  <c r="I39" i="9"/>
  <c r="J39" i="9"/>
  <c r="K39" i="9"/>
  <c r="L39" i="9"/>
  <c r="M39" i="9"/>
  <c r="N39" i="9"/>
  <c r="O39" i="9"/>
  <c r="P39" i="9"/>
  <c r="Q39" i="9"/>
  <c r="R39" i="9"/>
  <c r="S39" i="9"/>
  <c r="T39" i="9"/>
  <c r="U39" i="9"/>
  <c r="V39" i="9"/>
  <c r="W39" i="9"/>
  <c r="X39" i="9"/>
  <c r="Y39" i="9"/>
  <c r="Z39" i="9"/>
  <c r="AA39" i="9"/>
  <c r="AB39" i="9"/>
  <c r="AC39" i="9"/>
  <c r="AD39" i="9"/>
  <c r="AE39" i="9"/>
  <c r="AF39" i="9"/>
  <c r="AG39" i="9"/>
  <c r="AH39" i="9"/>
  <c r="AI39" i="9"/>
  <c r="AJ39" i="9"/>
  <c r="AK39" i="9"/>
  <c r="AL39" i="9"/>
  <c r="AM39" i="9"/>
  <c r="AN39" i="9"/>
  <c r="AO39" i="9"/>
  <c r="AP39" i="9"/>
  <c r="AQ39" i="9"/>
  <c r="AR39" i="9"/>
  <c r="AS39" i="9"/>
  <c r="WT38" i="9"/>
  <c r="WU38" i="9"/>
  <c r="WV38" i="9"/>
  <c r="WW38" i="9"/>
  <c r="WX38" i="9"/>
  <c r="WY38" i="9"/>
  <c r="WZ38" i="9"/>
  <c r="XA38" i="9"/>
  <c r="XB38" i="9"/>
  <c r="XC38" i="9"/>
  <c r="XD38" i="9"/>
  <c r="XE38" i="9"/>
  <c r="XF38" i="9"/>
  <c r="XG38" i="9"/>
  <c r="XH38" i="9"/>
  <c r="XI38" i="9"/>
  <c r="XJ38" i="9"/>
  <c r="XK38" i="9"/>
  <c r="XL38" i="9"/>
  <c r="XM38" i="9"/>
  <c r="XN38" i="9"/>
  <c r="XO38" i="9"/>
  <c r="XP38" i="9"/>
  <c r="XQ38" i="9"/>
  <c r="XR38" i="9"/>
  <c r="XS38" i="9"/>
  <c r="XT38" i="9"/>
  <c r="XU38" i="9"/>
  <c r="XV38" i="9"/>
  <c r="XW38" i="9"/>
  <c r="XX38" i="9"/>
  <c r="XY38" i="9"/>
  <c r="XZ38" i="9"/>
  <c r="YA38" i="9"/>
  <c r="YB38" i="9"/>
  <c r="YC38" i="9"/>
  <c r="YD38" i="9"/>
  <c r="YE38" i="9"/>
  <c r="YF38" i="9"/>
  <c r="YG38" i="9"/>
  <c r="YH38" i="9"/>
  <c r="YI38" i="9"/>
  <c r="YJ38" i="9"/>
  <c r="YK38" i="9"/>
  <c r="VB38" i="9"/>
  <c r="VC38" i="9"/>
  <c r="VD38" i="9"/>
  <c r="VE38" i="9"/>
  <c r="VF38" i="9"/>
  <c r="VG38" i="9"/>
  <c r="VH38" i="9"/>
  <c r="VI38" i="9"/>
  <c r="VJ38" i="9"/>
  <c r="VK38" i="9"/>
  <c r="VL38" i="9"/>
  <c r="VM38" i="9"/>
  <c r="VN38" i="9"/>
  <c r="VO38" i="9"/>
  <c r="VP38" i="9"/>
  <c r="VQ38" i="9"/>
  <c r="VR38" i="9"/>
  <c r="VS38" i="9"/>
  <c r="VT38" i="9"/>
  <c r="VU38" i="9"/>
  <c r="VV38" i="9"/>
  <c r="VW38" i="9"/>
  <c r="VX38" i="9"/>
  <c r="VY38" i="9"/>
  <c r="VZ38" i="9"/>
  <c r="WA38" i="9"/>
  <c r="WB38" i="9"/>
  <c r="WC38" i="9"/>
  <c r="WD38" i="9"/>
  <c r="WE38" i="9"/>
  <c r="WF38" i="9"/>
  <c r="WG38" i="9"/>
  <c r="WH38" i="9"/>
  <c r="WI38" i="9"/>
  <c r="WJ38" i="9"/>
  <c r="WK38" i="9"/>
  <c r="WL38" i="9"/>
  <c r="WM38" i="9"/>
  <c r="WN38" i="9"/>
  <c r="WO38" i="9"/>
  <c r="WP38" i="9"/>
  <c r="WQ38" i="9"/>
  <c r="WR38" i="9"/>
  <c r="WS38" i="9"/>
  <c r="TJ38" i="9"/>
  <c r="TK38" i="9"/>
  <c r="TL38" i="9"/>
  <c r="TM38" i="9"/>
  <c r="TN38" i="9"/>
  <c r="TO38" i="9"/>
  <c r="TP38" i="9"/>
  <c r="TQ38" i="9"/>
  <c r="TR38" i="9"/>
  <c r="TS38" i="9"/>
  <c r="TT38" i="9"/>
  <c r="TU38" i="9"/>
  <c r="TV38" i="9"/>
  <c r="TW38" i="9"/>
  <c r="TX38" i="9"/>
  <c r="TY38" i="9"/>
  <c r="TZ38" i="9"/>
  <c r="UA38" i="9"/>
  <c r="UB38" i="9"/>
  <c r="UC38" i="9"/>
  <c r="UD38" i="9"/>
  <c r="UE38" i="9"/>
  <c r="UF38" i="9"/>
  <c r="UG38" i="9"/>
  <c r="UH38" i="9"/>
  <c r="UI38" i="9"/>
  <c r="UJ38" i="9"/>
  <c r="UK38" i="9"/>
  <c r="UL38" i="9"/>
  <c r="UM38" i="9"/>
  <c r="UN38" i="9"/>
  <c r="UO38" i="9"/>
  <c r="UP38" i="9"/>
  <c r="UQ38" i="9"/>
  <c r="UR38" i="9"/>
  <c r="US38" i="9"/>
  <c r="UT38" i="9"/>
  <c r="UU38" i="9"/>
  <c r="UV38" i="9"/>
  <c r="UW38" i="9"/>
  <c r="UX38" i="9"/>
  <c r="UY38" i="9"/>
  <c r="UZ38" i="9"/>
  <c r="VA38" i="9"/>
  <c r="RR38" i="9"/>
  <c r="RS38" i="9"/>
  <c r="RT38" i="9"/>
  <c r="RU38" i="9"/>
  <c r="RV38" i="9"/>
  <c r="RW38" i="9"/>
  <c r="RX38" i="9"/>
  <c r="RY38" i="9"/>
  <c r="RZ38" i="9"/>
  <c r="SA38" i="9"/>
  <c r="SB38" i="9"/>
  <c r="SC38" i="9"/>
  <c r="SD38" i="9"/>
  <c r="SE38" i="9"/>
  <c r="SF38" i="9"/>
  <c r="SG38" i="9"/>
  <c r="SH38" i="9"/>
  <c r="SI38" i="9"/>
  <c r="SJ38" i="9"/>
  <c r="SK38" i="9"/>
  <c r="SL38" i="9"/>
  <c r="SM38" i="9"/>
  <c r="SN38" i="9"/>
  <c r="SO38" i="9"/>
  <c r="SP38" i="9"/>
  <c r="SQ38" i="9"/>
  <c r="SR38" i="9"/>
  <c r="SS38" i="9"/>
  <c r="ST38" i="9"/>
  <c r="SU38" i="9"/>
  <c r="SV38" i="9"/>
  <c r="SW38" i="9"/>
  <c r="SX38" i="9"/>
  <c r="SY38" i="9"/>
  <c r="SZ38" i="9"/>
  <c r="TA38" i="9"/>
  <c r="TB38" i="9"/>
  <c r="TC38" i="9"/>
  <c r="TD38" i="9"/>
  <c r="TE38" i="9"/>
  <c r="TF38" i="9"/>
  <c r="TG38" i="9"/>
  <c r="TH38" i="9"/>
  <c r="TI38" i="9"/>
  <c r="PZ38" i="9"/>
  <c r="QA38" i="9"/>
  <c r="QB38" i="9"/>
  <c r="QC38" i="9"/>
  <c r="QD38" i="9"/>
  <c r="QE38" i="9"/>
  <c r="QF38" i="9"/>
  <c r="QG38" i="9"/>
  <c r="QH38" i="9"/>
  <c r="QI38" i="9"/>
  <c r="QJ38" i="9"/>
  <c r="QK38" i="9"/>
  <c r="QL38" i="9"/>
  <c r="QM38" i="9"/>
  <c r="QN38" i="9"/>
  <c r="QO38" i="9"/>
  <c r="QP38" i="9"/>
  <c r="QQ38" i="9"/>
  <c r="QR38" i="9"/>
  <c r="QS38" i="9"/>
  <c r="QT38" i="9"/>
  <c r="QU38" i="9"/>
  <c r="QV38" i="9"/>
  <c r="QW38" i="9"/>
  <c r="QX38" i="9"/>
  <c r="QY38" i="9"/>
  <c r="QZ38" i="9"/>
  <c r="RA38" i="9"/>
  <c r="RB38" i="9"/>
  <c r="RC38" i="9"/>
  <c r="RD38" i="9"/>
  <c r="RE38" i="9"/>
  <c r="RF38" i="9"/>
  <c r="RG38" i="9"/>
  <c r="RH38" i="9"/>
  <c r="RI38" i="9"/>
  <c r="RJ38" i="9"/>
  <c r="RK38" i="9"/>
  <c r="RL38" i="9"/>
  <c r="RM38" i="9"/>
  <c r="RN38" i="9"/>
  <c r="RO38" i="9"/>
  <c r="RP38" i="9"/>
  <c r="RQ38" i="9"/>
  <c r="OH38" i="9"/>
  <c r="OI38" i="9"/>
  <c r="OJ38" i="9"/>
  <c r="OK38" i="9"/>
  <c r="OL38" i="9"/>
  <c r="OM38" i="9"/>
  <c r="ON38" i="9"/>
  <c r="OO38" i="9"/>
  <c r="OP38" i="9"/>
  <c r="OQ38" i="9"/>
  <c r="OR38" i="9"/>
  <c r="OS38" i="9"/>
  <c r="OT38" i="9"/>
  <c r="OU38" i="9"/>
  <c r="OV38" i="9"/>
  <c r="OW38" i="9"/>
  <c r="OX38" i="9"/>
  <c r="OY38" i="9"/>
  <c r="OZ38" i="9"/>
  <c r="PA38" i="9"/>
  <c r="PB38" i="9"/>
  <c r="PC38" i="9"/>
  <c r="PD38" i="9"/>
  <c r="PE38" i="9"/>
  <c r="PF38" i="9"/>
  <c r="PG38" i="9"/>
  <c r="PH38" i="9"/>
  <c r="PI38" i="9"/>
  <c r="PJ38" i="9"/>
  <c r="PK38" i="9"/>
  <c r="PL38" i="9"/>
  <c r="PM38" i="9"/>
  <c r="PN38" i="9"/>
  <c r="PO38" i="9"/>
  <c r="PP38" i="9"/>
  <c r="PQ38" i="9"/>
  <c r="PR38" i="9"/>
  <c r="PS38" i="9"/>
  <c r="PT38" i="9"/>
  <c r="PU38" i="9"/>
  <c r="PV38" i="9"/>
  <c r="PW38" i="9"/>
  <c r="PX38" i="9"/>
  <c r="PY38" i="9"/>
  <c r="MP38" i="9"/>
  <c r="MQ38" i="9"/>
  <c r="MR38" i="9"/>
  <c r="MS38" i="9"/>
  <c r="MT38" i="9"/>
  <c r="MU38" i="9"/>
  <c r="MV38" i="9"/>
  <c r="MW38" i="9"/>
  <c r="MX38" i="9"/>
  <c r="MY38" i="9"/>
  <c r="MZ38" i="9"/>
  <c r="NA38" i="9"/>
  <c r="NB38" i="9"/>
  <c r="NC38" i="9"/>
  <c r="ND38" i="9"/>
  <c r="NE38" i="9"/>
  <c r="NF38" i="9"/>
  <c r="NG38" i="9"/>
  <c r="NH38" i="9"/>
  <c r="NI38" i="9"/>
  <c r="NJ38" i="9"/>
  <c r="NK38" i="9"/>
  <c r="NL38" i="9"/>
  <c r="NM38" i="9"/>
  <c r="NN38" i="9"/>
  <c r="NO38" i="9"/>
  <c r="NP38" i="9"/>
  <c r="NQ38" i="9"/>
  <c r="NR38" i="9"/>
  <c r="NS38" i="9"/>
  <c r="NT38" i="9"/>
  <c r="NU38" i="9"/>
  <c r="NV38" i="9"/>
  <c r="NW38" i="9"/>
  <c r="NX38" i="9"/>
  <c r="NY38" i="9"/>
  <c r="NZ38" i="9"/>
  <c r="OA38" i="9"/>
  <c r="OB38" i="9"/>
  <c r="OC38" i="9"/>
  <c r="OD38" i="9"/>
  <c r="OE38" i="9"/>
  <c r="OF38" i="9"/>
  <c r="OG38" i="9"/>
  <c r="KX38" i="9"/>
  <c r="KY38" i="9"/>
  <c r="KZ38" i="9"/>
  <c r="LA38" i="9"/>
  <c r="LB38" i="9"/>
  <c r="LC38" i="9"/>
  <c r="LD38" i="9"/>
  <c r="LE38" i="9"/>
  <c r="LF38" i="9"/>
  <c r="LG38" i="9"/>
  <c r="LH38" i="9"/>
  <c r="LI38" i="9"/>
  <c r="LJ38" i="9"/>
  <c r="LK38" i="9"/>
  <c r="LL38" i="9"/>
  <c r="LM38" i="9"/>
  <c r="LN38" i="9"/>
  <c r="LO38" i="9"/>
  <c r="LP38" i="9"/>
  <c r="LQ38" i="9"/>
  <c r="LR38" i="9"/>
  <c r="LS38" i="9"/>
  <c r="LT38" i="9"/>
  <c r="LU38" i="9"/>
  <c r="LV38" i="9"/>
  <c r="LW38" i="9"/>
  <c r="LX38" i="9"/>
  <c r="LY38" i="9"/>
  <c r="LZ38" i="9"/>
  <c r="MA38" i="9"/>
  <c r="MB38" i="9"/>
  <c r="MC38" i="9"/>
  <c r="MD38" i="9"/>
  <c r="ME38" i="9"/>
  <c r="MF38" i="9"/>
  <c r="MG38" i="9"/>
  <c r="MH38" i="9"/>
  <c r="MI38" i="9"/>
  <c r="MJ38" i="9"/>
  <c r="MK38" i="9"/>
  <c r="ML38" i="9"/>
  <c r="MM38" i="9"/>
  <c r="MN38" i="9"/>
  <c r="MO38" i="9"/>
  <c r="JF38" i="9"/>
  <c r="JG38" i="9"/>
  <c r="JH38" i="9"/>
  <c r="JI38" i="9"/>
  <c r="JJ38" i="9"/>
  <c r="JK38" i="9"/>
  <c r="JL38" i="9"/>
  <c r="JM38" i="9"/>
  <c r="JN38" i="9"/>
  <c r="JO38" i="9"/>
  <c r="JP38" i="9"/>
  <c r="JQ38" i="9"/>
  <c r="JR38" i="9"/>
  <c r="JS38" i="9"/>
  <c r="JT38" i="9"/>
  <c r="JU38" i="9"/>
  <c r="JV38" i="9"/>
  <c r="JW38" i="9"/>
  <c r="JX38" i="9"/>
  <c r="JY38" i="9"/>
  <c r="JZ38" i="9"/>
  <c r="KA38" i="9"/>
  <c r="KB38" i="9"/>
  <c r="KC38" i="9"/>
  <c r="KD38" i="9"/>
  <c r="KE38" i="9"/>
  <c r="KF38" i="9"/>
  <c r="KG38" i="9"/>
  <c r="KH38" i="9"/>
  <c r="KI38" i="9"/>
  <c r="KJ38" i="9"/>
  <c r="KK38" i="9"/>
  <c r="KL38" i="9"/>
  <c r="KM38" i="9"/>
  <c r="KN38" i="9"/>
  <c r="KO38" i="9"/>
  <c r="KP38" i="9"/>
  <c r="KQ38" i="9"/>
  <c r="KR38" i="9"/>
  <c r="KS38" i="9"/>
  <c r="KT38" i="9"/>
  <c r="KU38" i="9"/>
  <c r="KV38" i="9"/>
  <c r="KW38" i="9"/>
  <c r="HN38" i="9"/>
  <c r="HO38" i="9"/>
  <c r="HP38" i="9"/>
  <c r="HQ38" i="9"/>
  <c r="HR38" i="9"/>
  <c r="HS38" i="9"/>
  <c r="HT38" i="9"/>
  <c r="HU38" i="9"/>
  <c r="HV38" i="9"/>
  <c r="HW38" i="9"/>
  <c r="HX38" i="9"/>
  <c r="HY38" i="9"/>
  <c r="HZ38" i="9"/>
  <c r="IA38" i="9"/>
  <c r="IB38" i="9"/>
  <c r="IC38" i="9"/>
  <c r="ID38" i="9"/>
  <c r="IE38" i="9"/>
  <c r="IF38" i="9"/>
  <c r="IG38" i="9"/>
  <c r="IH38" i="9"/>
  <c r="II38" i="9"/>
  <c r="IJ38" i="9"/>
  <c r="IK38" i="9"/>
  <c r="IL38" i="9"/>
  <c r="IM38" i="9"/>
  <c r="IN38" i="9"/>
  <c r="IO38" i="9"/>
  <c r="IP38" i="9"/>
  <c r="IQ38" i="9"/>
  <c r="IR38" i="9"/>
  <c r="IS38" i="9"/>
  <c r="IT38" i="9"/>
  <c r="IU38" i="9"/>
  <c r="IV38" i="9"/>
  <c r="IW38" i="9"/>
  <c r="IX38" i="9"/>
  <c r="IY38" i="9"/>
  <c r="IZ38" i="9"/>
  <c r="JA38" i="9"/>
  <c r="JB38" i="9"/>
  <c r="JC38" i="9"/>
  <c r="JD38" i="9"/>
  <c r="JE38" i="9"/>
  <c r="FV38" i="9"/>
  <c r="FW38" i="9"/>
  <c r="FX38" i="9"/>
  <c r="FY38" i="9"/>
  <c r="FZ38" i="9"/>
  <c r="GA38" i="9"/>
  <c r="GB38" i="9"/>
  <c r="GC38" i="9"/>
  <c r="GD38" i="9"/>
  <c r="GE38" i="9"/>
  <c r="GF38" i="9"/>
  <c r="GG38" i="9"/>
  <c r="GH38" i="9"/>
  <c r="GI38" i="9"/>
  <c r="GJ38" i="9"/>
  <c r="GK38" i="9"/>
  <c r="GL38" i="9"/>
  <c r="GM38" i="9"/>
  <c r="GN38" i="9"/>
  <c r="GO38" i="9"/>
  <c r="GP38" i="9"/>
  <c r="GQ38" i="9"/>
  <c r="GR38" i="9"/>
  <c r="GS38" i="9"/>
  <c r="GT38" i="9"/>
  <c r="GU38" i="9"/>
  <c r="GV38" i="9"/>
  <c r="GW38" i="9"/>
  <c r="GX38" i="9"/>
  <c r="GY38" i="9"/>
  <c r="GZ38" i="9"/>
  <c r="HA38" i="9"/>
  <c r="HB38" i="9"/>
  <c r="HC38" i="9"/>
  <c r="HD38" i="9"/>
  <c r="HE38" i="9"/>
  <c r="HF38" i="9"/>
  <c r="HG38" i="9"/>
  <c r="HH38" i="9"/>
  <c r="HI38" i="9"/>
  <c r="HJ38" i="9"/>
  <c r="HK38" i="9"/>
  <c r="HL38" i="9"/>
  <c r="HM38" i="9"/>
  <c r="ED38" i="9"/>
  <c r="EE38" i="9"/>
  <c r="EF38" i="9"/>
  <c r="EG38" i="9"/>
  <c r="EH38" i="9"/>
  <c r="EI38" i="9"/>
  <c r="EJ38" i="9"/>
  <c r="EK38" i="9"/>
  <c r="EL38" i="9"/>
  <c r="EM38" i="9"/>
  <c r="EN38" i="9"/>
  <c r="EO38" i="9"/>
  <c r="EP38" i="9"/>
  <c r="EQ38" i="9"/>
  <c r="ER38" i="9"/>
  <c r="ES38" i="9"/>
  <c r="ET38" i="9"/>
  <c r="EU38" i="9"/>
  <c r="EV38" i="9"/>
  <c r="EW38" i="9"/>
  <c r="EX38" i="9"/>
  <c r="EY38" i="9"/>
  <c r="EZ38" i="9"/>
  <c r="FA38" i="9"/>
  <c r="FB38" i="9"/>
  <c r="FC38" i="9"/>
  <c r="FD38" i="9"/>
  <c r="FE38" i="9"/>
  <c r="FF38" i="9"/>
  <c r="FG38" i="9"/>
  <c r="FH38" i="9"/>
  <c r="FI38" i="9"/>
  <c r="FJ38" i="9"/>
  <c r="FK38" i="9"/>
  <c r="FL38" i="9"/>
  <c r="FM38" i="9"/>
  <c r="FN38" i="9"/>
  <c r="FO38" i="9"/>
  <c r="FP38" i="9"/>
  <c r="FQ38" i="9"/>
  <c r="FR38" i="9"/>
  <c r="FS38" i="9"/>
  <c r="FT38" i="9"/>
  <c r="FU38" i="9"/>
  <c r="CL38" i="9"/>
  <c r="CM38" i="9"/>
  <c r="CN38" i="9"/>
  <c r="CO38" i="9"/>
  <c r="CP38" i="9"/>
  <c r="CQ38" i="9"/>
  <c r="CR38" i="9"/>
  <c r="CS38" i="9"/>
  <c r="CT38" i="9"/>
  <c r="CU38" i="9"/>
  <c r="CV38" i="9"/>
  <c r="CW38" i="9"/>
  <c r="CX38" i="9"/>
  <c r="CY38" i="9"/>
  <c r="CZ38" i="9"/>
  <c r="DA38" i="9"/>
  <c r="DB38" i="9"/>
  <c r="DC38" i="9"/>
  <c r="DD38" i="9"/>
  <c r="DE38" i="9"/>
  <c r="DF38" i="9"/>
  <c r="DG38" i="9"/>
  <c r="DH38" i="9"/>
  <c r="DI38" i="9"/>
  <c r="DJ38" i="9"/>
  <c r="DK38" i="9"/>
  <c r="DL38" i="9"/>
  <c r="DM38" i="9"/>
  <c r="DN38" i="9"/>
  <c r="DO38" i="9"/>
  <c r="DP38" i="9"/>
  <c r="DQ38" i="9"/>
  <c r="DR38" i="9"/>
  <c r="DS38" i="9"/>
  <c r="DT38" i="9"/>
  <c r="DU38" i="9"/>
  <c r="DV38" i="9"/>
  <c r="DW38" i="9"/>
  <c r="DX38" i="9"/>
  <c r="DY38" i="9"/>
  <c r="DZ38" i="9"/>
  <c r="EA38" i="9"/>
  <c r="EB38" i="9"/>
  <c r="EC38" i="9"/>
  <c r="AT38" i="9"/>
  <c r="AU38" i="9"/>
  <c r="AV38" i="9"/>
  <c r="AW38" i="9"/>
  <c r="AX38" i="9"/>
  <c r="AY38" i="9"/>
  <c r="AZ38" i="9"/>
  <c r="BA38" i="9"/>
  <c r="BB38" i="9"/>
  <c r="BC38" i="9"/>
  <c r="BD38" i="9"/>
  <c r="BE38" i="9"/>
  <c r="BF38" i="9"/>
  <c r="BG38" i="9"/>
  <c r="BH38" i="9"/>
  <c r="BI38" i="9"/>
  <c r="BJ38" i="9"/>
  <c r="BK38" i="9"/>
  <c r="BL38" i="9"/>
  <c r="BM38" i="9"/>
  <c r="BN38" i="9"/>
  <c r="BO38" i="9"/>
  <c r="BP38" i="9"/>
  <c r="BQ38" i="9"/>
  <c r="BR38" i="9"/>
  <c r="BS38" i="9"/>
  <c r="BT38" i="9"/>
  <c r="BU38" i="9"/>
  <c r="BV38" i="9"/>
  <c r="BW38" i="9"/>
  <c r="BX38" i="9"/>
  <c r="BY38" i="9"/>
  <c r="BZ38" i="9"/>
  <c r="CA38" i="9"/>
  <c r="CB38" i="9"/>
  <c r="CC38" i="9"/>
  <c r="CD38" i="9"/>
  <c r="CE38" i="9"/>
  <c r="CF38" i="9"/>
  <c r="CG38" i="9"/>
  <c r="CH38" i="9"/>
  <c r="CI38" i="9"/>
  <c r="CJ38" i="9"/>
  <c r="CK38" i="9"/>
  <c r="B38" i="9"/>
  <c r="C38" i="9"/>
  <c r="D38" i="9"/>
  <c r="E38" i="9"/>
  <c r="F38" i="9"/>
  <c r="G38" i="9"/>
  <c r="H38" i="9"/>
  <c r="I38" i="9"/>
  <c r="J38" i="9"/>
  <c r="K38" i="9"/>
  <c r="L38" i="9"/>
  <c r="M38" i="9"/>
  <c r="N38" i="9"/>
  <c r="O38" i="9"/>
  <c r="P38" i="9"/>
  <c r="Q38" i="9"/>
  <c r="R38" i="9"/>
  <c r="S38" i="9"/>
  <c r="T38" i="9"/>
  <c r="U38" i="9"/>
  <c r="V38" i="9"/>
  <c r="W38" i="9"/>
  <c r="X38" i="9"/>
  <c r="Y38" i="9"/>
  <c r="Z38" i="9"/>
  <c r="AA38" i="9"/>
  <c r="AB38" i="9"/>
  <c r="AC38" i="9"/>
  <c r="AD38" i="9"/>
  <c r="AE38" i="9"/>
  <c r="AF38" i="9"/>
  <c r="AG38" i="9"/>
  <c r="AH38" i="9"/>
  <c r="AI38" i="9"/>
  <c r="AJ38" i="9"/>
  <c r="AK38" i="9"/>
  <c r="AL38" i="9"/>
  <c r="AM38" i="9"/>
  <c r="AN38" i="9"/>
  <c r="AO38" i="9"/>
  <c r="AP38" i="9"/>
  <c r="AQ38" i="9"/>
  <c r="AR38" i="9"/>
  <c r="AS38" i="9"/>
  <c r="AFF37" i="9"/>
  <c r="AFG37" i="9"/>
  <c r="AFH37" i="9"/>
  <c r="AFI37" i="9"/>
  <c r="AFJ37" i="9"/>
  <c r="AFK37" i="9"/>
  <c r="AFL37" i="9"/>
  <c r="AFM37" i="9"/>
  <c r="AFN37" i="9"/>
  <c r="AFO37" i="9"/>
  <c r="AFP37" i="9"/>
  <c r="AFQ37" i="9"/>
  <c r="AFR37" i="9"/>
  <c r="AFS37" i="9"/>
  <c r="AFT37" i="9"/>
  <c r="AFU37" i="9"/>
  <c r="AFV37" i="9"/>
  <c r="AFW37" i="9"/>
  <c r="AFX37" i="9"/>
  <c r="AFY37" i="9"/>
  <c r="AFZ37" i="9"/>
  <c r="AGA37" i="9"/>
  <c r="AGB37" i="9"/>
  <c r="AGC37" i="9"/>
  <c r="AGD37" i="9"/>
  <c r="AGE37" i="9"/>
  <c r="AGF37" i="9"/>
  <c r="AGG37" i="9"/>
  <c r="AGH37" i="9"/>
  <c r="AGI37" i="9"/>
  <c r="AGJ37" i="9"/>
  <c r="AGK37" i="9"/>
  <c r="AGL37" i="9"/>
  <c r="AGM37" i="9"/>
  <c r="AGN37" i="9"/>
  <c r="AGO37" i="9"/>
  <c r="AGP37" i="9"/>
  <c r="AGQ37" i="9"/>
  <c r="AGR37" i="9"/>
  <c r="AGS37" i="9"/>
  <c r="AGT37" i="9"/>
  <c r="AGU37" i="9"/>
  <c r="AGV37" i="9"/>
  <c r="AGW37" i="9"/>
  <c r="ADN37" i="9"/>
  <c r="ADO37" i="9"/>
  <c r="ADP37" i="9"/>
  <c r="ADQ37" i="9"/>
  <c r="ADR37" i="9"/>
  <c r="ADS37" i="9"/>
  <c r="ADT37" i="9"/>
  <c r="ADU37" i="9"/>
  <c r="ADV37" i="9"/>
  <c r="ADW37" i="9"/>
  <c r="ADX37" i="9"/>
  <c r="ADY37" i="9"/>
  <c r="ADZ37" i="9"/>
  <c r="AEA37" i="9"/>
  <c r="AEB37" i="9"/>
  <c r="AEC37" i="9"/>
  <c r="AED37" i="9"/>
  <c r="AEE37" i="9"/>
  <c r="AEF37" i="9"/>
  <c r="AEG37" i="9"/>
  <c r="AEH37" i="9"/>
  <c r="AEI37" i="9"/>
  <c r="AEJ37" i="9"/>
  <c r="AEK37" i="9"/>
  <c r="AEL37" i="9"/>
  <c r="AEM37" i="9"/>
  <c r="AEN37" i="9"/>
  <c r="AEO37" i="9"/>
  <c r="AEP37" i="9"/>
  <c r="AEQ37" i="9"/>
  <c r="AER37" i="9"/>
  <c r="AES37" i="9"/>
  <c r="AET37" i="9"/>
  <c r="AEU37" i="9"/>
  <c r="AEV37" i="9"/>
  <c r="AEW37" i="9"/>
  <c r="AEX37" i="9"/>
  <c r="AEY37" i="9"/>
  <c r="AEZ37" i="9"/>
  <c r="AFA37" i="9"/>
  <c r="AFB37" i="9"/>
  <c r="AFC37" i="9"/>
  <c r="AFD37" i="9"/>
  <c r="AFE37" i="9"/>
  <c r="ABV37" i="9"/>
  <c r="ABW37" i="9"/>
  <c r="ABX37" i="9"/>
  <c r="ABY37" i="9"/>
  <c r="ABZ37" i="9"/>
  <c r="ACA37" i="9"/>
  <c r="ACB37" i="9"/>
  <c r="ACC37" i="9"/>
  <c r="ACD37" i="9"/>
  <c r="ACE37" i="9"/>
  <c r="ACF37" i="9"/>
  <c r="ACG37" i="9"/>
  <c r="ACH37" i="9"/>
  <c r="ACI37" i="9"/>
  <c r="ACJ37" i="9"/>
  <c r="ACK37" i="9"/>
  <c r="ACL37" i="9"/>
  <c r="ACM37" i="9"/>
  <c r="ACN37" i="9"/>
  <c r="ACO37" i="9"/>
  <c r="ACP37" i="9"/>
  <c r="ACQ37" i="9"/>
  <c r="ACR37" i="9"/>
  <c r="ACS37" i="9"/>
  <c r="ACT37" i="9"/>
  <c r="ACU37" i="9"/>
  <c r="ACV37" i="9"/>
  <c r="ACW37" i="9"/>
  <c r="ACX37" i="9"/>
  <c r="ACY37" i="9"/>
  <c r="ACZ37" i="9"/>
  <c r="ADA37" i="9"/>
  <c r="ADB37" i="9"/>
  <c r="ADC37" i="9"/>
  <c r="ADD37" i="9"/>
  <c r="ADE37" i="9"/>
  <c r="ADF37" i="9"/>
  <c r="ADG37" i="9"/>
  <c r="ADH37" i="9"/>
  <c r="ADI37" i="9"/>
  <c r="ADJ37" i="9"/>
  <c r="ADK37" i="9"/>
  <c r="ADL37" i="9"/>
  <c r="ADM37" i="9"/>
  <c r="AAD37" i="9"/>
  <c r="AAE37" i="9"/>
  <c r="AAF37" i="9"/>
  <c r="AAG37" i="9"/>
  <c r="AAH37" i="9"/>
  <c r="AAI37" i="9"/>
  <c r="AAJ37" i="9"/>
  <c r="AAK37" i="9"/>
  <c r="AAL37" i="9"/>
  <c r="AAM37" i="9"/>
  <c r="AAN37" i="9"/>
  <c r="AAO37" i="9"/>
  <c r="AAP37" i="9"/>
  <c r="AAQ37" i="9"/>
  <c r="AAR37" i="9"/>
  <c r="AAS37" i="9"/>
  <c r="AAT37" i="9"/>
  <c r="AAU37" i="9"/>
  <c r="AAV37" i="9"/>
  <c r="AAW37" i="9"/>
  <c r="AAX37" i="9"/>
  <c r="AAY37" i="9"/>
  <c r="AAZ37" i="9"/>
  <c r="ABA37" i="9"/>
  <c r="ABB37" i="9"/>
  <c r="ABC37" i="9"/>
  <c r="ABD37" i="9"/>
  <c r="ABE37" i="9"/>
  <c r="ABF37" i="9"/>
  <c r="ABG37" i="9"/>
  <c r="ABH37" i="9"/>
  <c r="ABI37" i="9"/>
  <c r="ABJ37" i="9"/>
  <c r="ABK37" i="9"/>
  <c r="ABL37" i="9"/>
  <c r="ABM37" i="9"/>
  <c r="ABN37" i="9"/>
  <c r="ABO37" i="9"/>
  <c r="ABP37" i="9"/>
  <c r="ABQ37" i="9"/>
  <c r="ABR37" i="9"/>
  <c r="ABS37" i="9"/>
  <c r="ABT37" i="9"/>
  <c r="ABU37" i="9"/>
  <c r="YL37" i="9"/>
  <c r="YM37" i="9"/>
  <c r="YN37" i="9"/>
  <c r="YO37" i="9"/>
  <c r="YP37" i="9"/>
  <c r="YQ37" i="9"/>
  <c r="YR37" i="9"/>
  <c r="YS37" i="9"/>
  <c r="YT37" i="9"/>
  <c r="YU37" i="9"/>
  <c r="YV37" i="9"/>
  <c r="YW37" i="9"/>
  <c r="YX37" i="9"/>
  <c r="YY37" i="9"/>
  <c r="YZ37" i="9"/>
  <c r="ZA37" i="9"/>
  <c r="ZB37" i="9"/>
  <c r="ZC37" i="9"/>
  <c r="ZD37" i="9"/>
  <c r="ZE37" i="9"/>
  <c r="ZF37" i="9"/>
  <c r="ZG37" i="9"/>
  <c r="ZH37" i="9"/>
  <c r="ZI37" i="9"/>
  <c r="ZJ37" i="9"/>
  <c r="ZK37" i="9"/>
  <c r="ZL37" i="9"/>
  <c r="ZM37" i="9"/>
  <c r="ZN37" i="9"/>
  <c r="ZO37" i="9"/>
  <c r="ZP37" i="9"/>
  <c r="ZQ37" i="9"/>
  <c r="ZR37" i="9"/>
  <c r="ZS37" i="9"/>
  <c r="ZT37" i="9"/>
  <c r="ZU37" i="9"/>
  <c r="ZV37" i="9"/>
  <c r="ZW37" i="9"/>
  <c r="ZX37" i="9"/>
  <c r="ZY37" i="9"/>
  <c r="ZZ37" i="9"/>
  <c r="AAA37" i="9"/>
  <c r="AAB37" i="9"/>
  <c r="AAC37" i="9"/>
  <c r="WT37" i="9"/>
  <c r="WU37" i="9"/>
  <c r="WV37" i="9"/>
  <c r="WW37" i="9"/>
  <c r="WX37" i="9"/>
  <c r="WY37" i="9"/>
  <c r="WZ37" i="9"/>
  <c r="XA37" i="9"/>
  <c r="XB37" i="9"/>
  <c r="XC37" i="9"/>
  <c r="XD37" i="9"/>
  <c r="XE37" i="9"/>
  <c r="XF37" i="9"/>
  <c r="XG37" i="9"/>
  <c r="XH37" i="9"/>
  <c r="XI37" i="9"/>
  <c r="XJ37" i="9"/>
  <c r="XK37" i="9"/>
  <c r="XL37" i="9"/>
  <c r="XM37" i="9"/>
  <c r="XN37" i="9"/>
  <c r="XO37" i="9"/>
  <c r="XP37" i="9"/>
  <c r="XQ37" i="9"/>
  <c r="XR37" i="9"/>
  <c r="XS37" i="9"/>
  <c r="XT37" i="9"/>
  <c r="XU37" i="9"/>
  <c r="XV37" i="9"/>
  <c r="XW37" i="9"/>
  <c r="XX37" i="9"/>
  <c r="XY37" i="9"/>
  <c r="XZ37" i="9"/>
  <c r="YA37" i="9"/>
  <c r="YB37" i="9"/>
  <c r="YC37" i="9"/>
  <c r="YD37" i="9"/>
  <c r="YE37" i="9"/>
  <c r="YF37" i="9"/>
  <c r="YG37" i="9"/>
  <c r="YH37" i="9"/>
  <c r="YI37" i="9"/>
  <c r="YJ37" i="9"/>
  <c r="YK37" i="9"/>
  <c r="VB37" i="9"/>
  <c r="VC37" i="9"/>
  <c r="VD37" i="9"/>
  <c r="VE37" i="9"/>
  <c r="VF37" i="9"/>
  <c r="VG37" i="9"/>
  <c r="VH37" i="9"/>
  <c r="VI37" i="9"/>
  <c r="VJ37" i="9"/>
  <c r="VK37" i="9"/>
  <c r="VL37" i="9"/>
  <c r="VM37" i="9"/>
  <c r="VN37" i="9"/>
  <c r="VO37" i="9"/>
  <c r="VP37" i="9"/>
  <c r="VQ37" i="9"/>
  <c r="VR37" i="9"/>
  <c r="VS37" i="9"/>
  <c r="VT37" i="9"/>
  <c r="VU37" i="9"/>
  <c r="VV37" i="9"/>
  <c r="VW37" i="9"/>
  <c r="VX37" i="9"/>
  <c r="VY37" i="9"/>
  <c r="VZ37" i="9"/>
  <c r="WA37" i="9"/>
  <c r="WB37" i="9"/>
  <c r="WC37" i="9"/>
  <c r="WD37" i="9"/>
  <c r="WE37" i="9"/>
  <c r="WF37" i="9"/>
  <c r="WG37" i="9"/>
  <c r="WH37" i="9"/>
  <c r="WI37" i="9"/>
  <c r="WJ37" i="9"/>
  <c r="WK37" i="9"/>
  <c r="WL37" i="9"/>
  <c r="WM37" i="9"/>
  <c r="WN37" i="9"/>
  <c r="WO37" i="9"/>
  <c r="WP37" i="9"/>
  <c r="WQ37" i="9"/>
  <c r="WR37" i="9"/>
  <c r="WS37" i="9"/>
  <c r="TJ37" i="9"/>
  <c r="TK37" i="9"/>
  <c r="TL37" i="9"/>
  <c r="TM37" i="9"/>
  <c r="TN37" i="9"/>
  <c r="TO37" i="9"/>
  <c r="TP37" i="9"/>
  <c r="TQ37" i="9"/>
  <c r="TR37" i="9"/>
  <c r="TS37" i="9"/>
  <c r="TT37" i="9"/>
  <c r="TU37" i="9"/>
  <c r="TV37" i="9"/>
  <c r="TW37" i="9"/>
  <c r="TX37" i="9"/>
  <c r="TY37" i="9"/>
  <c r="TZ37" i="9"/>
  <c r="UA37" i="9"/>
  <c r="UB37" i="9"/>
  <c r="UC37" i="9"/>
  <c r="UD37" i="9"/>
  <c r="UE37" i="9"/>
  <c r="UF37" i="9"/>
  <c r="UG37" i="9"/>
  <c r="UH37" i="9"/>
  <c r="UI37" i="9"/>
  <c r="UJ37" i="9"/>
  <c r="UK37" i="9"/>
  <c r="UL37" i="9"/>
  <c r="UM37" i="9"/>
  <c r="UN37" i="9"/>
  <c r="UO37" i="9"/>
  <c r="UP37" i="9"/>
  <c r="UQ37" i="9"/>
  <c r="UR37" i="9"/>
  <c r="US37" i="9"/>
  <c r="UT37" i="9"/>
  <c r="UU37" i="9"/>
  <c r="UV37" i="9"/>
  <c r="UW37" i="9"/>
  <c r="UX37" i="9"/>
  <c r="UY37" i="9"/>
  <c r="UZ37" i="9"/>
  <c r="VA37" i="9"/>
  <c r="RR37" i="9"/>
  <c r="RS37" i="9"/>
  <c r="RT37" i="9"/>
  <c r="RU37" i="9"/>
  <c r="RV37" i="9"/>
  <c r="RW37" i="9"/>
  <c r="RX37" i="9"/>
  <c r="RY37" i="9"/>
  <c r="RZ37" i="9"/>
  <c r="SA37" i="9"/>
  <c r="SB37" i="9"/>
  <c r="SC37" i="9"/>
  <c r="SD37" i="9"/>
  <c r="SE37" i="9"/>
  <c r="SF37" i="9"/>
  <c r="SG37" i="9"/>
  <c r="SH37" i="9"/>
  <c r="SI37" i="9"/>
  <c r="SJ37" i="9"/>
  <c r="SK37" i="9"/>
  <c r="SL37" i="9"/>
  <c r="SM37" i="9"/>
  <c r="SN37" i="9"/>
  <c r="SO37" i="9"/>
  <c r="SP37" i="9"/>
  <c r="SQ37" i="9"/>
  <c r="SR37" i="9"/>
  <c r="SS37" i="9"/>
  <c r="ST37" i="9"/>
  <c r="SU37" i="9"/>
  <c r="SV37" i="9"/>
  <c r="SW37" i="9"/>
  <c r="SX37" i="9"/>
  <c r="SY37" i="9"/>
  <c r="SZ37" i="9"/>
  <c r="TA37" i="9"/>
  <c r="TB37" i="9"/>
  <c r="TC37" i="9"/>
  <c r="TD37" i="9"/>
  <c r="TE37" i="9"/>
  <c r="TF37" i="9"/>
  <c r="TG37" i="9"/>
  <c r="TH37" i="9"/>
  <c r="TI37" i="9"/>
  <c r="PZ37" i="9"/>
  <c r="QA37" i="9"/>
  <c r="QB37" i="9"/>
  <c r="QC37" i="9"/>
  <c r="QD37" i="9"/>
  <c r="QE37" i="9"/>
  <c r="QF37" i="9"/>
  <c r="QG37" i="9"/>
  <c r="QH37" i="9"/>
  <c r="QI37" i="9"/>
  <c r="QJ37" i="9"/>
  <c r="QK37" i="9"/>
  <c r="QL37" i="9"/>
  <c r="QM37" i="9"/>
  <c r="QN37" i="9"/>
  <c r="QO37" i="9"/>
  <c r="QP37" i="9"/>
  <c r="QQ37" i="9"/>
  <c r="QR37" i="9"/>
  <c r="QS37" i="9"/>
  <c r="QT37" i="9"/>
  <c r="QU37" i="9"/>
  <c r="QV37" i="9"/>
  <c r="QW37" i="9"/>
  <c r="QX37" i="9"/>
  <c r="QY37" i="9"/>
  <c r="QZ37" i="9"/>
  <c r="RA37" i="9"/>
  <c r="RB37" i="9"/>
  <c r="RC37" i="9"/>
  <c r="RD37" i="9"/>
  <c r="RE37" i="9"/>
  <c r="RF37" i="9"/>
  <c r="RG37" i="9"/>
  <c r="RH37" i="9"/>
  <c r="RI37" i="9"/>
  <c r="RJ37" i="9"/>
  <c r="RK37" i="9"/>
  <c r="RL37" i="9"/>
  <c r="RM37" i="9"/>
  <c r="RN37" i="9"/>
  <c r="RO37" i="9"/>
  <c r="RP37" i="9"/>
  <c r="RQ37" i="9"/>
  <c r="OH37" i="9"/>
  <c r="OI37" i="9"/>
  <c r="OJ37" i="9"/>
  <c r="OK37" i="9"/>
  <c r="OL37" i="9"/>
  <c r="OM37" i="9"/>
  <c r="ON37" i="9"/>
  <c r="OO37" i="9"/>
  <c r="OP37" i="9"/>
  <c r="OQ37" i="9"/>
  <c r="OR37" i="9"/>
  <c r="OS37" i="9"/>
  <c r="OT37" i="9"/>
  <c r="OU37" i="9"/>
  <c r="OV37" i="9"/>
  <c r="OW37" i="9"/>
  <c r="OX37" i="9"/>
  <c r="OY37" i="9"/>
  <c r="OZ37" i="9"/>
  <c r="PA37" i="9"/>
  <c r="PB37" i="9"/>
  <c r="PC37" i="9"/>
  <c r="PD37" i="9"/>
  <c r="PE37" i="9"/>
  <c r="PF37" i="9"/>
  <c r="PG37" i="9"/>
  <c r="PH37" i="9"/>
  <c r="PI37" i="9"/>
  <c r="PJ37" i="9"/>
  <c r="PK37" i="9"/>
  <c r="PL37" i="9"/>
  <c r="PM37" i="9"/>
  <c r="PN37" i="9"/>
  <c r="PO37" i="9"/>
  <c r="PP37" i="9"/>
  <c r="PQ37" i="9"/>
  <c r="PR37" i="9"/>
  <c r="PS37" i="9"/>
  <c r="PT37" i="9"/>
  <c r="PU37" i="9"/>
  <c r="PV37" i="9"/>
  <c r="PW37" i="9"/>
  <c r="PX37" i="9"/>
  <c r="PY37" i="9"/>
  <c r="MP37" i="9"/>
  <c r="MQ37" i="9"/>
  <c r="MR37" i="9"/>
  <c r="MS37" i="9"/>
  <c r="MT37" i="9"/>
  <c r="MU37" i="9"/>
  <c r="MV37" i="9"/>
  <c r="MW37" i="9"/>
  <c r="MX37" i="9"/>
  <c r="MY37" i="9"/>
  <c r="MZ37" i="9"/>
  <c r="NA37" i="9"/>
  <c r="NB37" i="9"/>
  <c r="NC37" i="9"/>
  <c r="ND37" i="9"/>
  <c r="NE37" i="9"/>
  <c r="NF37" i="9"/>
  <c r="NG37" i="9"/>
  <c r="NH37" i="9"/>
  <c r="NI37" i="9"/>
  <c r="NJ37" i="9"/>
  <c r="NK37" i="9"/>
  <c r="NL37" i="9"/>
  <c r="NM37" i="9"/>
  <c r="NN37" i="9"/>
  <c r="NO37" i="9"/>
  <c r="NP37" i="9"/>
  <c r="NQ37" i="9"/>
  <c r="NR37" i="9"/>
  <c r="NS37" i="9"/>
  <c r="NT37" i="9"/>
  <c r="NU37" i="9"/>
  <c r="NV37" i="9"/>
  <c r="NW37" i="9"/>
  <c r="NX37" i="9"/>
  <c r="NY37" i="9"/>
  <c r="NZ37" i="9"/>
  <c r="OA37" i="9"/>
  <c r="OB37" i="9"/>
  <c r="OC37" i="9"/>
  <c r="OD37" i="9"/>
  <c r="OE37" i="9"/>
  <c r="OF37" i="9"/>
  <c r="OG37" i="9"/>
  <c r="KX37" i="9"/>
  <c r="KY37" i="9"/>
  <c r="KZ37" i="9"/>
  <c r="LA37" i="9"/>
  <c r="LB37" i="9"/>
  <c r="LC37" i="9"/>
  <c r="LD37" i="9"/>
  <c r="LE37" i="9"/>
  <c r="LF37" i="9"/>
  <c r="LG37" i="9"/>
  <c r="LH37" i="9"/>
  <c r="LI37" i="9"/>
  <c r="LJ37" i="9"/>
  <c r="LK37" i="9"/>
  <c r="LL37" i="9"/>
  <c r="LM37" i="9"/>
  <c r="LN37" i="9"/>
  <c r="LO37" i="9"/>
  <c r="LP37" i="9"/>
  <c r="LQ37" i="9"/>
  <c r="LR37" i="9"/>
  <c r="LS37" i="9"/>
  <c r="LT37" i="9"/>
  <c r="LU37" i="9"/>
  <c r="LV37" i="9"/>
  <c r="LW37" i="9"/>
  <c r="LX37" i="9"/>
  <c r="LY37" i="9"/>
  <c r="LZ37" i="9"/>
  <c r="MA37" i="9"/>
  <c r="MB37" i="9"/>
  <c r="MC37" i="9"/>
  <c r="MD37" i="9"/>
  <c r="ME37" i="9"/>
  <c r="MF37" i="9"/>
  <c r="MG37" i="9"/>
  <c r="MH37" i="9"/>
  <c r="MI37" i="9"/>
  <c r="MJ37" i="9"/>
  <c r="MK37" i="9"/>
  <c r="ML37" i="9"/>
  <c r="MM37" i="9"/>
  <c r="MN37" i="9"/>
  <c r="MO37" i="9"/>
  <c r="JF37" i="9"/>
  <c r="JG37" i="9"/>
  <c r="JH37" i="9"/>
  <c r="JI37" i="9"/>
  <c r="JJ37" i="9"/>
  <c r="JK37" i="9"/>
  <c r="JL37" i="9"/>
  <c r="JM37" i="9"/>
  <c r="JN37" i="9"/>
  <c r="JO37" i="9"/>
  <c r="JP37" i="9"/>
  <c r="JQ37" i="9"/>
  <c r="JR37" i="9"/>
  <c r="JS37" i="9"/>
  <c r="JT37" i="9"/>
  <c r="JU37" i="9"/>
  <c r="JV37" i="9"/>
  <c r="JW37" i="9"/>
  <c r="JX37" i="9"/>
  <c r="JY37" i="9"/>
  <c r="JZ37" i="9"/>
  <c r="KA37" i="9"/>
  <c r="KB37" i="9"/>
  <c r="KC37" i="9"/>
  <c r="KD37" i="9"/>
  <c r="KE37" i="9"/>
  <c r="KF37" i="9"/>
  <c r="KG37" i="9"/>
  <c r="KH37" i="9"/>
  <c r="KI37" i="9"/>
  <c r="KJ37" i="9"/>
  <c r="KK37" i="9"/>
  <c r="KL37" i="9"/>
  <c r="KM37" i="9"/>
  <c r="KN37" i="9"/>
  <c r="KO37" i="9"/>
  <c r="KP37" i="9"/>
  <c r="KQ37" i="9"/>
  <c r="KR37" i="9"/>
  <c r="KS37" i="9"/>
  <c r="KT37" i="9"/>
  <c r="KU37" i="9"/>
  <c r="KV37" i="9"/>
  <c r="KW37" i="9"/>
  <c r="HN37" i="9"/>
  <c r="HO37" i="9"/>
  <c r="HP37" i="9"/>
  <c r="HQ37" i="9"/>
  <c r="HR37" i="9"/>
  <c r="HS37" i="9"/>
  <c r="HT37" i="9"/>
  <c r="HU37" i="9"/>
  <c r="HV37" i="9"/>
  <c r="HW37" i="9"/>
  <c r="HX37" i="9"/>
  <c r="HY37" i="9"/>
  <c r="HZ37" i="9"/>
  <c r="IA37" i="9"/>
  <c r="IB37" i="9"/>
  <c r="IC37" i="9"/>
  <c r="ID37" i="9"/>
  <c r="IE37" i="9"/>
  <c r="IF37" i="9"/>
  <c r="IG37" i="9"/>
  <c r="IH37" i="9"/>
  <c r="II37" i="9"/>
  <c r="IJ37" i="9"/>
  <c r="IK37" i="9"/>
  <c r="IL37" i="9"/>
  <c r="IM37" i="9"/>
  <c r="IN37" i="9"/>
  <c r="IO37" i="9"/>
  <c r="IP37" i="9"/>
  <c r="IQ37" i="9"/>
  <c r="IR37" i="9"/>
  <c r="IS37" i="9"/>
  <c r="IT37" i="9"/>
  <c r="IU37" i="9"/>
  <c r="IV37" i="9"/>
  <c r="IW37" i="9"/>
  <c r="IX37" i="9"/>
  <c r="IY37" i="9"/>
  <c r="IZ37" i="9"/>
  <c r="JA37" i="9"/>
  <c r="JB37" i="9"/>
  <c r="JC37" i="9"/>
  <c r="JD37" i="9"/>
  <c r="JE37" i="9"/>
  <c r="FV37" i="9"/>
  <c r="FW37" i="9"/>
  <c r="FX37" i="9"/>
  <c r="FY37" i="9"/>
  <c r="FZ37" i="9"/>
  <c r="GA37" i="9"/>
  <c r="GB37" i="9"/>
  <c r="GC37" i="9"/>
  <c r="GD37" i="9"/>
  <c r="GE37" i="9"/>
  <c r="GF37" i="9"/>
  <c r="GG37" i="9"/>
  <c r="GH37" i="9"/>
  <c r="GI37" i="9"/>
  <c r="GJ37" i="9"/>
  <c r="GK37" i="9"/>
  <c r="GL37" i="9"/>
  <c r="GM37" i="9"/>
  <c r="GN37" i="9"/>
  <c r="GO37" i="9"/>
  <c r="GP37" i="9"/>
  <c r="GQ37" i="9"/>
  <c r="GR37" i="9"/>
  <c r="GS37" i="9"/>
  <c r="GT37" i="9"/>
  <c r="GU37" i="9"/>
  <c r="GV37" i="9"/>
  <c r="GW37" i="9"/>
  <c r="GX37" i="9"/>
  <c r="GY37" i="9"/>
  <c r="GZ37" i="9"/>
  <c r="HA37" i="9"/>
  <c r="HB37" i="9"/>
  <c r="HC37" i="9"/>
  <c r="HD37" i="9"/>
  <c r="HE37" i="9"/>
  <c r="HF37" i="9"/>
  <c r="HG37" i="9"/>
  <c r="HH37" i="9"/>
  <c r="HI37" i="9"/>
  <c r="HJ37" i="9"/>
  <c r="HK37" i="9"/>
  <c r="HL37" i="9"/>
  <c r="HM37" i="9"/>
  <c r="ED37" i="9"/>
  <c r="EE37" i="9"/>
  <c r="EF37" i="9"/>
  <c r="EG37" i="9"/>
  <c r="EH37" i="9"/>
  <c r="EI37" i="9"/>
  <c r="EJ37" i="9"/>
  <c r="EK37" i="9"/>
  <c r="EL37" i="9"/>
  <c r="EM37" i="9"/>
  <c r="EN37" i="9"/>
  <c r="EO37" i="9"/>
  <c r="EP37" i="9"/>
  <c r="EQ37" i="9"/>
  <c r="ER37" i="9"/>
  <c r="ES37" i="9"/>
  <c r="ET37" i="9"/>
  <c r="EU37" i="9"/>
  <c r="EV37" i="9"/>
  <c r="EW37" i="9"/>
  <c r="EX37" i="9"/>
  <c r="EY37" i="9"/>
  <c r="EZ37" i="9"/>
  <c r="FA37" i="9"/>
  <c r="FB37" i="9"/>
  <c r="FC37" i="9"/>
  <c r="FD37" i="9"/>
  <c r="FE37" i="9"/>
  <c r="FF37" i="9"/>
  <c r="FG37" i="9"/>
  <c r="FH37" i="9"/>
  <c r="FI37" i="9"/>
  <c r="FJ37" i="9"/>
  <c r="FK37" i="9"/>
  <c r="FL37" i="9"/>
  <c r="FM37" i="9"/>
  <c r="FN37" i="9"/>
  <c r="FO37" i="9"/>
  <c r="FP37" i="9"/>
  <c r="FQ37" i="9"/>
  <c r="FR37" i="9"/>
  <c r="FS37" i="9"/>
  <c r="FT37" i="9"/>
  <c r="FU37" i="9"/>
  <c r="CL37" i="9"/>
  <c r="CM37" i="9"/>
  <c r="CN37" i="9"/>
  <c r="CO37" i="9"/>
  <c r="CP37" i="9"/>
  <c r="CQ37" i="9"/>
  <c r="CR37" i="9"/>
  <c r="CS37" i="9"/>
  <c r="CT37" i="9"/>
  <c r="CU37" i="9"/>
  <c r="CV37" i="9"/>
  <c r="CW37" i="9"/>
  <c r="CX37" i="9"/>
  <c r="CY37" i="9"/>
  <c r="CZ37" i="9"/>
  <c r="DA37" i="9"/>
  <c r="DB37" i="9"/>
  <c r="DC37" i="9"/>
  <c r="DD37" i="9"/>
  <c r="DE37" i="9"/>
  <c r="DF37" i="9"/>
  <c r="DG37" i="9"/>
  <c r="DH37" i="9"/>
  <c r="DI37" i="9"/>
  <c r="DJ37" i="9"/>
  <c r="DK37" i="9"/>
  <c r="DL37" i="9"/>
  <c r="DM37" i="9"/>
  <c r="DN37" i="9"/>
  <c r="DO37" i="9"/>
  <c r="DP37" i="9"/>
  <c r="DQ37" i="9"/>
  <c r="DR37" i="9"/>
  <c r="DS37" i="9"/>
  <c r="DT37" i="9"/>
  <c r="DU37" i="9"/>
  <c r="DV37" i="9"/>
  <c r="DW37" i="9"/>
  <c r="DX37" i="9"/>
  <c r="DY37" i="9"/>
  <c r="DZ37" i="9"/>
  <c r="EA37" i="9"/>
  <c r="EB37" i="9"/>
  <c r="EC37" i="9"/>
  <c r="AT37" i="9"/>
  <c r="AU37" i="9"/>
  <c r="AV37" i="9"/>
  <c r="AW37" i="9"/>
  <c r="AX37" i="9"/>
  <c r="AY37" i="9"/>
  <c r="AZ37" i="9"/>
  <c r="BA37" i="9"/>
  <c r="BB37" i="9"/>
  <c r="BC37" i="9"/>
  <c r="BD37" i="9"/>
  <c r="BE37" i="9"/>
  <c r="BF37" i="9"/>
  <c r="BG37" i="9"/>
  <c r="BH37" i="9"/>
  <c r="BI37" i="9"/>
  <c r="BJ37" i="9"/>
  <c r="BK37" i="9"/>
  <c r="BL37" i="9"/>
  <c r="BM37" i="9"/>
  <c r="BN37" i="9"/>
  <c r="BO37" i="9"/>
  <c r="BP37" i="9"/>
  <c r="BQ37" i="9"/>
  <c r="BR37" i="9"/>
  <c r="BS37" i="9"/>
  <c r="BT37" i="9"/>
  <c r="BU37" i="9"/>
  <c r="BV37" i="9"/>
  <c r="BW37" i="9"/>
  <c r="BX37" i="9"/>
  <c r="BY37" i="9"/>
  <c r="BZ37" i="9"/>
  <c r="CA37" i="9"/>
  <c r="CB37" i="9"/>
  <c r="CC37" i="9"/>
  <c r="CD37" i="9"/>
  <c r="CE37" i="9"/>
  <c r="CF37" i="9"/>
  <c r="CG37" i="9"/>
  <c r="CH37" i="9"/>
  <c r="CI37" i="9"/>
  <c r="CJ37" i="9"/>
  <c r="CK37" i="9"/>
  <c r="B37" i="9"/>
  <c r="C37" i="9"/>
  <c r="D37" i="9"/>
  <c r="E37" i="9"/>
  <c r="F37" i="9"/>
  <c r="G37" i="9"/>
  <c r="H37" i="9"/>
  <c r="I37" i="9"/>
  <c r="J37" i="9"/>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R37" i="9"/>
  <c r="AS37" i="9"/>
  <c r="AFG35" i="9"/>
  <c r="AFH35" i="9"/>
  <c r="AFI35" i="9"/>
  <c r="AFJ35" i="9"/>
  <c r="AFK35" i="9"/>
  <c r="AFL35" i="9"/>
  <c r="AFM35" i="9"/>
  <c r="AFN35" i="9"/>
  <c r="AFO35" i="9"/>
  <c r="AFP35" i="9"/>
  <c r="AFQ35" i="9"/>
  <c r="AFR35" i="9"/>
  <c r="AFS35" i="9"/>
  <c r="AFT35" i="9"/>
  <c r="AFU35" i="9"/>
  <c r="AFV35" i="9"/>
  <c r="AFW35" i="9"/>
  <c r="AFX35" i="9"/>
  <c r="AFY35" i="9"/>
  <c r="AFZ35" i="9"/>
  <c r="AGA35" i="9"/>
  <c r="AGB35" i="9"/>
  <c r="AGC35" i="9"/>
  <c r="AGD35" i="9"/>
  <c r="AGE35" i="9"/>
  <c r="AGF35" i="9"/>
  <c r="AGG35" i="9"/>
  <c r="AGH35" i="9"/>
  <c r="AGI35" i="9"/>
  <c r="AGJ35" i="9"/>
  <c r="AGK35" i="9"/>
  <c r="AGL35" i="9"/>
  <c r="AGM35" i="9"/>
  <c r="AGN35" i="9"/>
  <c r="AGO35" i="9"/>
  <c r="AGP35" i="9"/>
  <c r="AGQ35" i="9"/>
  <c r="AGR35" i="9"/>
  <c r="AGS35" i="9"/>
  <c r="AGT35" i="9"/>
  <c r="AGU35" i="9"/>
  <c r="AGV35" i="9"/>
  <c r="AGW35" i="9"/>
  <c r="ADO35" i="9"/>
  <c r="ADP35" i="9"/>
  <c r="ADQ35" i="9"/>
  <c r="ADR35" i="9"/>
  <c r="ADS35" i="9"/>
  <c r="ADT35" i="9"/>
  <c r="ADU35" i="9"/>
  <c r="ADV35" i="9"/>
  <c r="ADW35" i="9"/>
  <c r="ADX35" i="9"/>
  <c r="ADY35" i="9"/>
  <c r="ADZ35" i="9"/>
  <c r="AEA35" i="9"/>
  <c r="AEB35" i="9"/>
  <c r="AEC35" i="9"/>
  <c r="AED35" i="9"/>
  <c r="AEE35" i="9"/>
  <c r="AEF35" i="9"/>
  <c r="AEG35" i="9"/>
  <c r="AEH35" i="9"/>
  <c r="AEI35" i="9"/>
  <c r="AEJ35" i="9"/>
  <c r="AEK35" i="9"/>
  <c r="AEL35" i="9"/>
  <c r="AEM35" i="9"/>
  <c r="AEN35" i="9"/>
  <c r="AEO35" i="9"/>
  <c r="AEP35" i="9"/>
  <c r="AEQ35" i="9"/>
  <c r="AER35" i="9"/>
  <c r="AES35" i="9"/>
  <c r="AET35" i="9"/>
  <c r="AEU35" i="9"/>
  <c r="AEV35" i="9"/>
  <c r="AEW35" i="9"/>
  <c r="AEX35" i="9"/>
  <c r="AEY35" i="9"/>
  <c r="AEZ35" i="9"/>
  <c r="AFA35" i="9"/>
  <c r="AFB35" i="9"/>
  <c r="AFC35" i="9"/>
  <c r="AFD35" i="9"/>
  <c r="AFE35" i="9"/>
  <c r="ABW35" i="9"/>
  <c r="ABX35" i="9"/>
  <c r="ABY35" i="9"/>
  <c r="ABZ35" i="9"/>
  <c r="ACA35" i="9"/>
  <c r="ACB35" i="9"/>
  <c r="ACC35" i="9"/>
  <c r="ACD35" i="9"/>
  <c r="ACE35" i="9"/>
  <c r="ACF35" i="9"/>
  <c r="ACG35" i="9"/>
  <c r="ACH35" i="9"/>
  <c r="ACI35" i="9"/>
  <c r="ACJ35" i="9"/>
  <c r="ACK35" i="9"/>
  <c r="ACL35" i="9"/>
  <c r="ACM35" i="9"/>
  <c r="ACN35" i="9"/>
  <c r="ACO35" i="9"/>
  <c r="ACP35" i="9"/>
  <c r="ACQ35" i="9"/>
  <c r="ACR35" i="9"/>
  <c r="ACS35" i="9"/>
  <c r="ACT35" i="9"/>
  <c r="ACU35" i="9"/>
  <c r="ACV35" i="9"/>
  <c r="ACW35" i="9"/>
  <c r="ACX35" i="9"/>
  <c r="ACY35" i="9"/>
  <c r="ACZ35" i="9"/>
  <c r="ADA35" i="9"/>
  <c r="ADB35" i="9"/>
  <c r="ADC35" i="9"/>
  <c r="ADD35" i="9"/>
  <c r="ADE35" i="9"/>
  <c r="ADF35" i="9"/>
  <c r="ADG35" i="9"/>
  <c r="ADH35" i="9"/>
  <c r="ADI35" i="9"/>
  <c r="ADJ35" i="9"/>
  <c r="ADK35" i="9"/>
  <c r="ADL35" i="9"/>
  <c r="ADM35" i="9"/>
  <c r="AAE35" i="9"/>
  <c r="AAF35" i="9"/>
  <c r="AAG35" i="9"/>
  <c r="AAH35" i="9"/>
  <c r="AAI35" i="9"/>
  <c r="AAJ35" i="9"/>
  <c r="AAK35" i="9"/>
  <c r="AAL35" i="9"/>
  <c r="AAM35" i="9"/>
  <c r="AAN35" i="9"/>
  <c r="AAO35" i="9"/>
  <c r="AAP35" i="9"/>
  <c r="AAQ35" i="9"/>
  <c r="AAR35" i="9"/>
  <c r="AAS35" i="9"/>
  <c r="AAT35" i="9"/>
  <c r="AAU35" i="9"/>
  <c r="AAV35" i="9"/>
  <c r="AAW35" i="9"/>
  <c r="AAX35" i="9"/>
  <c r="AAY35" i="9"/>
  <c r="AAZ35" i="9"/>
  <c r="ABA35" i="9"/>
  <c r="ABB35" i="9"/>
  <c r="ABC35" i="9"/>
  <c r="ABD35" i="9"/>
  <c r="ABE35" i="9"/>
  <c r="ABF35" i="9"/>
  <c r="ABG35" i="9"/>
  <c r="ABH35" i="9"/>
  <c r="ABI35" i="9"/>
  <c r="ABJ35" i="9"/>
  <c r="ABK35" i="9"/>
  <c r="ABL35" i="9"/>
  <c r="ABM35" i="9"/>
  <c r="ABN35" i="9"/>
  <c r="ABO35" i="9"/>
  <c r="ABP35" i="9"/>
  <c r="ABQ35" i="9"/>
  <c r="ABR35" i="9"/>
  <c r="ABS35" i="9"/>
  <c r="ABT35" i="9"/>
  <c r="ABU35" i="9"/>
  <c r="YM35" i="9"/>
  <c r="YN35" i="9"/>
  <c r="YO35" i="9"/>
  <c r="YP35" i="9"/>
  <c r="YQ35" i="9"/>
  <c r="YR35" i="9"/>
  <c r="YS35" i="9"/>
  <c r="YT35" i="9"/>
  <c r="YU35" i="9"/>
  <c r="YV35" i="9"/>
  <c r="YW35" i="9"/>
  <c r="YX35" i="9"/>
  <c r="YY35" i="9"/>
  <c r="YZ35" i="9"/>
  <c r="ZA35" i="9"/>
  <c r="ZB35" i="9"/>
  <c r="ZC35" i="9"/>
  <c r="ZD35" i="9"/>
  <c r="ZE35" i="9"/>
  <c r="ZF35" i="9"/>
  <c r="ZG35" i="9"/>
  <c r="ZH35" i="9"/>
  <c r="ZI35" i="9"/>
  <c r="ZJ35" i="9"/>
  <c r="ZK35" i="9"/>
  <c r="ZL35" i="9"/>
  <c r="ZM35" i="9"/>
  <c r="ZN35" i="9"/>
  <c r="ZO35" i="9"/>
  <c r="ZP35" i="9"/>
  <c r="ZQ35" i="9"/>
  <c r="ZR35" i="9"/>
  <c r="ZS35" i="9"/>
  <c r="ZT35" i="9"/>
  <c r="ZU35" i="9"/>
  <c r="ZV35" i="9"/>
  <c r="ZW35" i="9"/>
  <c r="ZX35" i="9"/>
  <c r="ZY35" i="9"/>
  <c r="ZZ35" i="9"/>
  <c r="AAA35" i="9"/>
  <c r="AAB35" i="9"/>
  <c r="AAC35" i="9"/>
  <c r="WU35" i="9"/>
  <c r="WV35" i="9"/>
  <c r="WW35" i="9"/>
  <c r="WX35" i="9"/>
  <c r="WY35" i="9"/>
  <c r="WZ35" i="9"/>
  <c r="XA35" i="9"/>
  <c r="XB35" i="9"/>
  <c r="XC35" i="9"/>
  <c r="XD35" i="9"/>
  <c r="XE35" i="9"/>
  <c r="XF35" i="9"/>
  <c r="XG35" i="9"/>
  <c r="XH35" i="9"/>
  <c r="XI35" i="9"/>
  <c r="XJ35" i="9"/>
  <c r="XK35" i="9"/>
  <c r="XL35" i="9"/>
  <c r="XM35" i="9"/>
  <c r="XN35" i="9"/>
  <c r="XO35" i="9"/>
  <c r="XP35" i="9"/>
  <c r="XQ35" i="9"/>
  <c r="XR35" i="9"/>
  <c r="XS35" i="9"/>
  <c r="XT35" i="9"/>
  <c r="XU35" i="9"/>
  <c r="XV35" i="9"/>
  <c r="XW35" i="9"/>
  <c r="XX35" i="9"/>
  <c r="XY35" i="9"/>
  <c r="XZ35" i="9"/>
  <c r="YA35" i="9"/>
  <c r="YB35" i="9"/>
  <c r="YC35" i="9"/>
  <c r="YD35" i="9"/>
  <c r="YE35" i="9"/>
  <c r="YF35" i="9"/>
  <c r="YG35" i="9"/>
  <c r="YH35" i="9"/>
  <c r="YI35" i="9"/>
  <c r="YJ35" i="9"/>
  <c r="YK35" i="9"/>
  <c r="VC35" i="9"/>
  <c r="VD35" i="9"/>
  <c r="VE35" i="9"/>
  <c r="VF35" i="9"/>
  <c r="VG35" i="9"/>
  <c r="VH35" i="9"/>
  <c r="VI35" i="9"/>
  <c r="VJ35" i="9"/>
  <c r="VK35" i="9"/>
  <c r="VL35" i="9"/>
  <c r="VM35" i="9"/>
  <c r="VN35" i="9"/>
  <c r="VO35" i="9"/>
  <c r="VP35" i="9"/>
  <c r="VQ35" i="9"/>
  <c r="VR35" i="9"/>
  <c r="VS35" i="9"/>
  <c r="VT35" i="9"/>
  <c r="VU35" i="9"/>
  <c r="VV35" i="9"/>
  <c r="VW35" i="9"/>
  <c r="VX35" i="9"/>
  <c r="VY35" i="9"/>
  <c r="VZ35" i="9"/>
  <c r="WA35" i="9"/>
  <c r="WB35" i="9"/>
  <c r="WC35" i="9"/>
  <c r="WD35" i="9"/>
  <c r="WE35" i="9"/>
  <c r="WF35" i="9"/>
  <c r="WG35" i="9"/>
  <c r="WH35" i="9"/>
  <c r="WI35" i="9"/>
  <c r="WJ35" i="9"/>
  <c r="WK35" i="9"/>
  <c r="WL35" i="9"/>
  <c r="WM35" i="9"/>
  <c r="WN35" i="9"/>
  <c r="WO35" i="9"/>
  <c r="WP35" i="9"/>
  <c r="WQ35" i="9"/>
  <c r="WR35" i="9"/>
  <c r="WS35" i="9"/>
  <c r="TK35" i="9"/>
  <c r="TL35" i="9"/>
  <c r="TM35" i="9"/>
  <c r="TN35" i="9"/>
  <c r="TO35" i="9"/>
  <c r="TP35" i="9"/>
  <c r="TQ35" i="9"/>
  <c r="TR35" i="9"/>
  <c r="TS35" i="9"/>
  <c r="TT35" i="9"/>
  <c r="TU35" i="9"/>
  <c r="TV35" i="9"/>
  <c r="TW35" i="9"/>
  <c r="TX35" i="9"/>
  <c r="TY35" i="9"/>
  <c r="TZ35" i="9"/>
  <c r="UA35" i="9"/>
  <c r="UB35" i="9"/>
  <c r="UC35" i="9"/>
  <c r="UD35" i="9"/>
  <c r="UE35" i="9"/>
  <c r="UF35" i="9"/>
  <c r="UG35" i="9"/>
  <c r="UH35" i="9"/>
  <c r="UI35" i="9"/>
  <c r="UJ35" i="9"/>
  <c r="UK35" i="9"/>
  <c r="UL35" i="9"/>
  <c r="UM35" i="9"/>
  <c r="UN35" i="9"/>
  <c r="UO35" i="9"/>
  <c r="UP35" i="9"/>
  <c r="UQ35" i="9"/>
  <c r="UR35" i="9"/>
  <c r="US35" i="9"/>
  <c r="UT35" i="9"/>
  <c r="UU35" i="9"/>
  <c r="UV35" i="9"/>
  <c r="UW35" i="9"/>
  <c r="UX35" i="9"/>
  <c r="UY35" i="9"/>
  <c r="UZ35" i="9"/>
  <c r="VA35" i="9"/>
  <c r="RS35" i="9"/>
  <c r="RT35" i="9"/>
  <c r="RU35" i="9"/>
  <c r="RV35" i="9"/>
  <c r="RW35" i="9"/>
  <c r="RX35" i="9"/>
  <c r="RY35" i="9"/>
  <c r="RZ35" i="9"/>
  <c r="SA35" i="9"/>
  <c r="SB35" i="9"/>
  <c r="SC35" i="9"/>
  <c r="SD35" i="9"/>
  <c r="SE35" i="9"/>
  <c r="SF35" i="9"/>
  <c r="SG35" i="9"/>
  <c r="SH35" i="9"/>
  <c r="SI35" i="9"/>
  <c r="SJ35" i="9"/>
  <c r="SK35" i="9"/>
  <c r="SL35" i="9"/>
  <c r="SM35" i="9"/>
  <c r="SN35" i="9"/>
  <c r="SO35" i="9"/>
  <c r="SP35" i="9"/>
  <c r="SQ35" i="9"/>
  <c r="SR35" i="9"/>
  <c r="SS35" i="9"/>
  <c r="ST35" i="9"/>
  <c r="SU35" i="9"/>
  <c r="SV35" i="9"/>
  <c r="SW35" i="9"/>
  <c r="SX35" i="9"/>
  <c r="SY35" i="9"/>
  <c r="SZ35" i="9"/>
  <c r="TA35" i="9"/>
  <c r="TB35" i="9"/>
  <c r="TC35" i="9"/>
  <c r="TD35" i="9"/>
  <c r="TE35" i="9"/>
  <c r="TF35" i="9"/>
  <c r="TG35" i="9"/>
  <c r="TH35" i="9"/>
  <c r="TI35" i="9"/>
  <c r="QA35" i="9"/>
  <c r="QB35" i="9"/>
  <c r="QC35" i="9"/>
  <c r="QD35" i="9"/>
  <c r="QE35" i="9"/>
  <c r="QF35" i="9"/>
  <c r="QG35" i="9"/>
  <c r="QH35" i="9"/>
  <c r="QI35" i="9"/>
  <c r="QJ35" i="9"/>
  <c r="QK35" i="9"/>
  <c r="QL35" i="9"/>
  <c r="QM35" i="9"/>
  <c r="QN35" i="9"/>
  <c r="QO35" i="9"/>
  <c r="QP35" i="9"/>
  <c r="QQ35" i="9"/>
  <c r="QR35" i="9"/>
  <c r="QS35" i="9"/>
  <c r="QT35" i="9"/>
  <c r="QU35" i="9"/>
  <c r="QV35" i="9"/>
  <c r="QW35" i="9"/>
  <c r="QX35" i="9"/>
  <c r="QY35" i="9"/>
  <c r="QZ35" i="9"/>
  <c r="RA35" i="9"/>
  <c r="RB35" i="9"/>
  <c r="RC35" i="9"/>
  <c r="RD35" i="9"/>
  <c r="RE35" i="9"/>
  <c r="RF35" i="9"/>
  <c r="RG35" i="9"/>
  <c r="RH35" i="9"/>
  <c r="RI35" i="9"/>
  <c r="RJ35" i="9"/>
  <c r="RK35" i="9"/>
  <c r="RL35" i="9"/>
  <c r="RM35" i="9"/>
  <c r="RN35" i="9"/>
  <c r="RO35" i="9"/>
  <c r="RP35" i="9"/>
  <c r="RQ35" i="9"/>
  <c r="OI35" i="9"/>
  <c r="OJ35" i="9"/>
  <c r="OK35" i="9"/>
  <c r="OL35" i="9"/>
  <c r="OM35" i="9"/>
  <c r="ON35" i="9"/>
  <c r="OO35" i="9"/>
  <c r="OP35" i="9"/>
  <c r="OQ35" i="9"/>
  <c r="OR35" i="9"/>
  <c r="OS35" i="9"/>
  <c r="OT35" i="9"/>
  <c r="OU35" i="9"/>
  <c r="OV35" i="9"/>
  <c r="OW35" i="9"/>
  <c r="OX35" i="9"/>
  <c r="OY35" i="9"/>
  <c r="OZ35" i="9"/>
  <c r="PA35" i="9"/>
  <c r="PB35" i="9"/>
  <c r="PC35" i="9"/>
  <c r="PD35" i="9"/>
  <c r="PE35" i="9"/>
  <c r="PF35" i="9"/>
  <c r="PG35" i="9"/>
  <c r="PH35" i="9"/>
  <c r="PI35" i="9"/>
  <c r="PJ35" i="9"/>
  <c r="PK35" i="9"/>
  <c r="PL35" i="9"/>
  <c r="PM35" i="9"/>
  <c r="PN35" i="9"/>
  <c r="PO35" i="9"/>
  <c r="PP35" i="9"/>
  <c r="PQ35" i="9"/>
  <c r="PR35" i="9"/>
  <c r="PS35" i="9"/>
  <c r="PT35" i="9"/>
  <c r="PU35" i="9"/>
  <c r="PV35" i="9"/>
  <c r="PW35" i="9"/>
  <c r="PX35" i="9"/>
  <c r="PY35" i="9"/>
  <c r="MQ35" i="9"/>
  <c r="MR35" i="9"/>
  <c r="MS35" i="9"/>
  <c r="MT35" i="9"/>
  <c r="MU35" i="9"/>
  <c r="MV35" i="9"/>
  <c r="MW35" i="9"/>
  <c r="MX35" i="9"/>
  <c r="MY35" i="9"/>
  <c r="MZ35" i="9"/>
  <c r="NA35" i="9"/>
  <c r="NB35" i="9"/>
  <c r="NC35" i="9"/>
  <c r="ND35" i="9"/>
  <c r="NE35" i="9"/>
  <c r="NF35" i="9"/>
  <c r="NG35" i="9"/>
  <c r="NH35" i="9"/>
  <c r="NI35" i="9"/>
  <c r="NJ35" i="9"/>
  <c r="NK35" i="9"/>
  <c r="NL35" i="9"/>
  <c r="NM35" i="9"/>
  <c r="NN35" i="9"/>
  <c r="NO35" i="9"/>
  <c r="NP35" i="9"/>
  <c r="NQ35" i="9"/>
  <c r="NR35" i="9"/>
  <c r="NS35" i="9"/>
  <c r="NT35" i="9"/>
  <c r="NU35" i="9"/>
  <c r="NV35" i="9"/>
  <c r="NW35" i="9"/>
  <c r="NX35" i="9"/>
  <c r="NY35" i="9"/>
  <c r="NZ35" i="9"/>
  <c r="OA35" i="9"/>
  <c r="OB35" i="9"/>
  <c r="OC35" i="9"/>
  <c r="OD35" i="9"/>
  <c r="OE35" i="9"/>
  <c r="OF35" i="9"/>
  <c r="OG35" i="9"/>
  <c r="KY35" i="9"/>
  <c r="KZ35" i="9"/>
  <c r="LA35" i="9"/>
  <c r="LB35" i="9"/>
  <c r="LC35" i="9"/>
  <c r="LD35" i="9"/>
  <c r="LE35" i="9"/>
  <c r="LF35" i="9"/>
  <c r="LG35" i="9"/>
  <c r="LH35" i="9"/>
  <c r="LI35" i="9"/>
  <c r="LJ35" i="9"/>
  <c r="LK35" i="9"/>
  <c r="LL35" i="9"/>
  <c r="LM35" i="9"/>
  <c r="LN35" i="9"/>
  <c r="LO35" i="9"/>
  <c r="LP35" i="9"/>
  <c r="LQ35" i="9"/>
  <c r="LR35" i="9"/>
  <c r="LS35" i="9"/>
  <c r="LT35" i="9"/>
  <c r="LU35" i="9"/>
  <c r="LV35" i="9"/>
  <c r="LW35" i="9"/>
  <c r="LX35" i="9"/>
  <c r="LY35" i="9"/>
  <c r="LZ35" i="9"/>
  <c r="MA35" i="9"/>
  <c r="MB35" i="9"/>
  <c r="MC35" i="9"/>
  <c r="MD35" i="9"/>
  <c r="ME35" i="9"/>
  <c r="MF35" i="9"/>
  <c r="MG35" i="9"/>
  <c r="MH35" i="9"/>
  <c r="MI35" i="9"/>
  <c r="MJ35" i="9"/>
  <c r="MK35" i="9"/>
  <c r="ML35" i="9"/>
  <c r="MM35" i="9"/>
  <c r="MN35" i="9"/>
  <c r="MO35" i="9"/>
  <c r="JG35" i="9"/>
  <c r="JH35" i="9"/>
  <c r="JI35" i="9"/>
  <c r="JJ35" i="9"/>
  <c r="JK35" i="9"/>
  <c r="JL35" i="9"/>
  <c r="JM35" i="9"/>
  <c r="JN35" i="9"/>
  <c r="JO35" i="9"/>
  <c r="JP35" i="9"/>
  <c r="JQ35" i="9"/>
  <c r="JR35" i="9"/>
  <c r="JS35" i="9"/>
  <c r="JT35" i="9"/>
  <c r="JU35" i="9"/>
  <c r="JV35" i="9"/>
  <c r="JW35" i="9"/>
  <c r="JX35" i="9"/>
  <c r="JY35" i="9"/>
  <c r="JZ35" i="9"/>
  <c r="KA35" i="9"/>
  <c r="KB35" i="9"/>
  <c r="KC35" i="9"/>
  <c r="KD35" i="9"/>
  <c r="KE35" i="9"/>
  <c r="KF35" i="9"/>
  <c r="KG35" i="9"/>
  <c r="KH35" i="9"/>
  <c r="KI35" i="9"/>
  <c r="KJ35" i="9"/>
  <c r="KK35" i="9"/>
  <c r="KL35" i="9"/>
  <c r="KM35" i="9"/>
  <c r="KN35" i="9"/>
  <c r="KO35" i="9"/>
  <c r="KP35" i="9"/>
  <c r="KQ35" i="9"/>
  <c r="KR35" i="9"/>
  <c r="KS35" i="9"/>
  <c r="KT35" i="9"/>
  <c r="KU35" i="9"/>
  <c r="KV35" i="9"/>
  <c r="KW35" i="9"/>
  <c r="HO35" i="9"/>
  <c r="HP35" i="9"/>
  <c r="HQ35" i="9"/>
  <c r="HR35" i="9"/>
  <c r="HS35" i="9"/>
  <c r="HT35" i="9"/>
  <c r="HU35" i="9"/>
  <c r="HV35" i="9"/>
  <c r="HW35" i="9"/>
  <c r="HX35" i="9"/>
  <c r="HY35" i="9"/>
  <c r="HZ35" i="9"/>
  <c r="IA35" i="9"/>
  <c r="IB35" i="9"/>
  <c r="IC35" i="9"/>
  <c r="ID35" i="9"/>
  <c r="IE35" i="9"/>
  <c r="IF35" i="9"/>
  <c r="IG35" i="9"/>
  <c r="IH35" i="9"/>
  <c r="II35" i="9"/>
  <c r="IJ35" i="9"/>
  <c r="IK35" i="9"/>
  <c r="IL35" i="9"/>
  <c r="IM35" i="9"/>
  <c r="IN35" i="9"/>
  <c r="IO35" i="9"/>
  <c r="IP35" i="9"/>
  <c r="IQ35" i="9"/>
  <c r="IR35" i="9"/>
  <c r="IS35" i="9"/>
  <c r="IT35" i="9"/>
  <c r="IU35" i="9"/>
  <c r="IV35" i="9"/>
  <c r="IW35" i="9"/>
  <c r="IX35" i="9"/>
  <c r="IY35" i="9"/>
  <c r="IZ35" i="9"/>
  <c r="JA35" i="9"/>
  <c r="JB35" i="9"/>
  <c r="JC35" i="9"/>
  <c r="JD35" i="9"/>
  <c r="JE35" i="9"/>
  <c r="FW35" i="9"/>
  <c r="FX35" i="9"/>
  <c r="FY35" i="9"/>
  <c r="FZ35" i="9"/>
  <c r="GA35" i="9"/>
  <c r="GB35" i="9"/>
  <c r="GC35" i="9"/>
  <c r="GD35" i="9"/>
  <c r="GE35" i="9"/>
  <c r="GF35" i="9"/>
  <c r="GG35" i="9"/>
  <c r="GH35" i="9"/>
  <c r="GI35" i="9"/>
  <c r="GJ35" i="9"/>
  <c r="GK35" i="9"/>
  <c r="GL35" i="9"/>
  <c r="GM35" i="9"/>
  <c r="GN35" i="9"/>
  <c r="GO35" i="9"/>
  <c r="GP35" i="9"/>
  <c r="GQ35" i="9"/>
  <c r="GR35" i="9"/>
  <c r="GS35" i="9"/>
  <c r="GT35" i="9"/>
  <c r="GU35" i="9"/>
  <c r="GV35" i="9"/>
  <c r="GW35" i="9"/>
  <c r="GX35" i="9"/>
  <c r="GY35" i="9"/>
  <c r="GZ35" i="9"/>
  <c r="HA35" i="9"/>
  <c r="HB35" i="9"/>
  <c r="HC35" i="9"/>
  <c r="HD35" i="9"/>
  <c r="HE35" i="9"/>
  <c r="HF35" i="9"/>
  <c r="HG35" i="9"/>
  <c r="HH35" i="9"/>
  <c r="HI35" i="9"/>
  <c r="HJ35" i="9"/>
  <c r="HK35" i="9"/>
  <c r="HL35" i="9"/>
  <c r="HM35" i="9"/>
  <c r="EE35" i="9"/>
  <c r="EF35" i="9"/>
  <c r="EG35" i="9"/>
  <c r="EH35" i="9"/>
  <c r="EI35" i="9"/>
  <c r="EJ35" i="9"/>
  <c r="EK35" i="9"/>
  <c r="EL35" i="9"/>
  <c r="EM35" i="9"/>
  <c r="EN35" i="9"/>
  <c r="EO35" i="9"/>
  <c r="EP35" i="9"/>
  <c r="EQ35" i="9"/>
  <c r="ER35" i="9"/>
  <c r="ES35" i="9"/>
  <c r="ET35" i="9"/>
  <c r="EU35" i="9"/>
  <c r="EV35" i="9"/>
  <c r="EW35" i="9"/>
  <c r="EX35" i="9"/>
  <c r="EY35" i="9"/>
  <c r="EZ35" i="9"/>
  <c r="FA35" i="9"/>
  <c r="FB35" i="9"/>
  <c r="FC35" i="9"/>
  <c r="FD35" i="9"/>
  <c r="FE35" i="9"/>
  <c r="FF35" i="9"/>
  <c r="FG35" i="9"/>
  <c r="FH35" i="9"/>
  <c r="FI35" i="9"/>
  <c r="FJ35" i="9"/>
  <c r="FK35" i="9"/>
  <c r="FL35" i="9"/>
  <c r="FM35" i="9"/>
  <c r="FN35" i="9"/>
  <c r="FO35" i="9"/>
  <c r="FP35" i="9"/>
  <c r="FQ35" i="9"/>
  <c r="FR35" i="9"/>
  <c r="FS35" i="9"/>
  <c r="FT35" i="9"/>
  <c r="FU35" i="9"/>
  <c r="CM35" i="9"/>
  <c r="CN35" i="9"/>
  <c r="CO35" i="9"/>
  <c r="CP35" i="9"/>
  <c r="CQ35" i="9"/>
  <c r="CR35" i="9"/>
  <c r="CS35" i="9"/>
  <c r="CT35" i="9"/>
  <c r="CU35" i="9"/>
  <c r="CV35" i="9"/>
  <c r="CW35" i="9"/>
  <c r="CX35" i="9"/>
  <c r="CY35" i="9"/>
  <c r="CZ35" i="9"/>
  <c r="DA35" i="9"/>
  <c r="DB35" i="9"/>
  <c r="DC35" i="9"/>
  <c r="DD35" i="9"/>
  <c r="DE35" i="9"/>
  <c r="DF35" i="9"/>
  <c r="DG35" i="9"/>
  <c r="DH35" i="9"/>
  <c r="DI35" i="9"/>
  <c r="DJ35" i="9"/>
  <c r="DK35" i="9"/>
  <c r="DL35" i="9"/>
  <c r="DM35" i="9"/>
  <c r="DN35" i="9"/>
  <c r="DO35" i="9"/>
  <c r="DP35" i="9"/>
  <c r="DQ35" i="9"/>
  <c r="DR35" i="9"/>
  <c r="DS35" i="9"/>
  <c r="DT35" i="9"/>
  <c r="DU35" i="9"/>
  <c r="DV35" i="9"/>
  <c r="DW35" i="9"/>
  <c r="DX35" i="9"/>
  <c r="DY35" i="9"/>
  <c r="DZ35" i="9"/>
  <c r="EA35" i="9"/>
  <c r="EB35" i="9"/>
  <c r="EC35" i="9"/>
  <c r="AU35" i="9"/>
  <c r="AV35" i="9"/>
  <c r="AW35" i="9"/>
  <c r="AX35" i="9"/>
  <c r="AY35" i="9"/>
  <c r="AZ35" i="9"/>
  <c r="BA35" i="9"/>
  <c r="BB35" i="9"/>
  <c r="BC35" i="9"/>
  <c r="BD35" i="9"/>
  <c r="BE35" i="9"/>
  <c r="BF35" i="9"/>
  <c r="BG35" i="9"/>
  <c r="BH35" i="9"/>
  <c r="BI35" i="9"/>
  <c r="BJ35" i="9"/>
  <c r="BK35" i="9"/>
  <c r="BL35" i="9"/>
  <c r="BM35" i="9"/>
  <c r="BN35" i="9"/>
  <c r="BO35" i="9"/>
  <c r="BP35" i="9"/>
  <c r="BQ35" i="9"/>
  <c r="BR35" i="9"/>
  <c r="BS35" i="9"/>
  <c r="BT35" i="9"/>
  <c r="BU35" i="9"/>
  <c r="BV35" i="9"/>
  <c r="BW35" i="9"/>
  <c r="BX35" i="9"/>
  <c r="BY35" i="9"/>
  <c r="BZ35" i="9"/>
  <c r="CA35" i="9"/>
  <c r="CB35" i="9"/>
  <c r="CC35" i="9"/>
  <c r="CD35" i="9"/>
  <c r="CE35" i="9"/>
  <c r="CF35" i="9"/>
  <c r="CG35" i="9"/>
  <c r="CH35" i="9"/>
  <c r="CI35" i="9"/>
  <c r="CJ35" i="9"/>
  <c r="CK35" i="9"/>
  <c r="C35" i="9"/>
  <c r="D35" i="9"/>
  <c r="E35" i="9"/>
  <c r="F35" i="9"/>
  <c r="G35" i="9"/>
  <c r="H35" i="9"/>
  <c r="I35" i="9"/>
  <c r="J35" i="9"/>
  <c r="K35" i="9"/>
  <c r="L35" i="9"/>
  <c r="M35" i="9"/>
  <c r="N35" i="9"/>
  <c r="O35" i="9"/>
  <c r="P35" i="9"/>
  <c r="Q35" i="9"/>
  <c r="R35" i="9"/>
  <c r="S35" i="9"/>
  <c r="T35" i="9"/>
  <c r="U35" i="9"/>
  <c r="V35" i="9"/>
  <c r="W35" i="9"/>
  <c r="X35" i="9"/>
  <c r="Y35" i="9"/>
  <c r="Z35" i="9"/>
  <c r="AA35" i="9"/>
  <c r="AB35" i="9"/>
  <c r="AC35" i="9"/>
  <c r="AD35" i="9"/>
  <c r="AE35" i="9"/>
  <c r="AF35" i="9"/>
  <c r="AG35" i="9"/>
  <c r="AH35" i="9"/>
  <c r="AI35" i="9"/>
  <c r="AJ35" i="9"/>
  <c r="AK35" i="9"/>
  <c r="AL35" i="9"/>
  <c r="AM35" i="9"/>
  <c r="AN35" i="9"/>
  <c r="AO35" i="9"/>
  <c r="AP35" i="9"/>
  <c r="AQ35" i="9"/>
  <c r="AR35" i="9"/>
  <c r="AS35" i="9"/>
  <c r="OH36" i="9"/>
  <c r="OI36" i="9"/>
  <c r="OJ36" i="9"/>
  <c r="OK36" i="9"/>
  <c r="OL36" i="9"/>
  <c r="OM36" i="9"/>
  <c r="ON36" i="9"/>
  <c r="OO36" i="9"/>
  <c r="OP36" i="9"/>
  <c r="OQ36" i="9"/>
  <c r="OR36" i="9"/>
  <c r="OS36" i="9"/>
  <c r="OT36" i="9"/>
  <c r="OU36" i="9"/>
  <c r="OV36" i="9"/>
  <c r="OW36" i="9"/>
  <c r="OX36" i="9"/>
  <c r="OY36" i="9"/>
  <c r="OZ36" i="9"/>
  <c r="PA36" i="9"/>
  <c r="PB36" i="9"/>
  <c r="PC36" i="9"/>
  <c r="PD36" i="9"/>
  <c r="PE36" i="9"/>
  <c r="PF36" i="9"/>
  <c r="PG36" i="9"/>
  <c r="PH36" i="9"/>
  <c r="PI36" i="9"/>
  <c r="PJ36" i="9"/>
  <c r="PK36" i="9"/>
  <c r="PL36" i="9"/>
  <c r="PM36" i="9"/>
  <c r="PN36" i="9"/>
  <c r="PO36" i="9"/>
  <c r="PP36" i="9"/>
  <c r="PQ36" i="9"/>
  <c r="PR36" i="9"/>
  <c r="PS36" i="9"/>
  <c r="PT36" i="9"/>
  <c r="PU36" i="9"/>
  <c r="PV36" i="9"/>
  <c r="PW36" i="9"/>
  <c r="PX36" i="9"/>
  <c r="PY36" i="9"/>
  <c r="MP36" i="9"/>
  <c r="MQ36" i="9"/>
  <c r="MR36" i="9"/>
  <c r="MS36" i="9"/>
  <c r="MT36" i="9"/>
  <c r="MU36" i="9"/>
  <c r="MV36" i="9"/>
  <c r="MW36" i="9"/>
  <c r="MX36" i="9"/>
  <c r="MY36" i="9"/>
  <c r="MZ36" i="9"/>
  <c r="NA36" i="9"/>
  <c r="NB36" i="9"/>
  <c r="NC36" i="9"/>
  <c r="ND36" i="9"/>
  <c r="NE36" i="9"/>
  <c r="NF36" i="9"/>
  <c r="NG36" i="9"/>
  <c r="NH36" i="9"/>
  <c r="NI36" i="9"/>
  <c r="NJ36" i="9"/>
  <c r="NK36" i="9"/>
  <c r="NL36" i="9"/>
  <c r="NM36" i="9"/>
  <c r="NN36" i="9"/>
  <c r="NO36" i="9"/>
  <c r="NP36" i="9"/>
  <c r="NQ36" i="9"/>
  <c r="NR36" i="9"/>
  <c r="NS36" i="9"/>
  <c r="NT36" i="9"/>
  <c r="NU36" i="9"/>
  <c r="NV36" i="9"/>
  <c r="NW36" i="9"/>
  <c r="NX36" i="9"/>
  <c r="NY36" i="9"/>
  <c r="NZ36" i="9"/>
  <c r="OA36" i="9"/>
  <c r="OB36" i="9"/>
  <c r="OC36" i="9"/>
  <c r="OD36" i="9"/>
  <c r="OE36" i="9"/>
  <c r="OF36" i="9"/>
  <c r="OG36" i="9"/>
  <c r="KX36" i="9"/>
  <c r="KY36" i="9"/>
  <c r="KZ36" i="9"/>
  <c r="LA36" i="9"/>
  <c r="LB36" i="9"/>
  <c r="LC36" i="9"/>
  <c r="LD36" i="9"/>
  <c r="LE36" i="9"/>
  <c r="LF36" i="9"/>
  <c r="LG36" i="9"/>
  <c r="LH36" i="9"/>
  <c r="LI36" i="9"/>
  <c r="LJ36" i="9"/>
  <c r="LK36" i="9"/>
  <c r="LL36" i="9"/>
  <c r="LM36" i="9"/>
  <c r="LN36" i="9"/>
  <c r="LO36" i="9"/>
  <c r="LP36" i="9"/>
  <c r="LQ36" i="9"/>
  <c r="LR36" i="9"/>
  <c r="LS36" i="9"/>
  <c r="LT36" i="9"/>
  <c r="LU36" i="9"/>
  <c r="LV36" i="9"/>
  <c r="LW36" i="9"/>
  <c r="LX36" i="9"/>
  <c r="LY36" i="9"/>
  <c r="LZ36" i="9"/>
  <c r="MA36" i="9"/>
  <c r="MB36" i="9"/>
  <c r="MC36" i="9"/>
  <c r="MD36" i="9"/>
  <c r="ME36" i="9"/>
  <c r="MF36" i="9"/>
  <c r="MG36" i="9"/>
  <c r="MH36" i="9"/>
  <c r="MI36" i="9"/>
  <c r="MJ36" i="9"/>
  <c r="MK36" i="9"/>
  <c r="ML36" i="9"/>
  <c r="MM36" i="9"/>
  <c r="MN36" i="9"/>
  <c r="MO36" i="9"/>
  <c r="JF36" i="9"/>
  <c r="JG36" i="9"/>
  <c r="JH36" i="9"/>
  <c r="JI36" i="9"/>
  <c r="JJ36" i="9"/>
  <c r="JK36" i="9"/>
  <c r="JL36" i="9"/>
  <c r="JM36" i="9"/>
  <c r="JN36" i="9"/>
  <c r="JO36" i="9"/>
  <c r="JP36" i="9"/>
  <c r="JQ36" i="9"/>
  <c r="JR36" i="9"/>
  <c r="JS36" i="9"/>
  <c r="JT36" i="9"/>
  <c r="JU36" i="9"/>
  <c r="JV36" i="9"/>
  <c r="JW36" i="9"/>
  <c r="JX36" i="9"/>
  <c r="JY36" i="9"/>
  <c r="JZ36" i="9"/>
  <c r="KA36" i="9"/>
  <c r="KB36" i="9"/>
  <c r="KC36" i="9"/>
  <c r="KD36" i="9"/>
  <c r="KE36" i="9"/>
  <c r="KF36" i="9"/>
  <c r="KG36" i="9"/>
  <c r="KH36" i="9"/>
  <c r="KI36" i="9"/>
  <c r="KJ36" i="9"/>
  <c r="KK36" i="9"/>
  <c r="KL36" i="9"/>
  <c r="KM36" i="9"/>
  <c r="KN36" i="9"/>
  <c r="KO36" i="9"/>
  <c r="KP36" i="9"/>
  <c r="KQ36" i="9"/>
  <c r="KR36" i="9"/>
  <c r="KS36" i="9"/>
  <c r="KT36" i="9"/>
  <c r="KU36" i="9"/>
  <c r="KV36" i="9"/>
  <c r="KW36" i="9"/>
  <c r="HN36" i="9"/>
  <c r="HO36" i="9"/>
  <c r="HP36" i="9"/>
  <c r="HQ36" i="9"/>
  <c r="HR36" i="9"/>
  <c r="HS36" i="9"/>
  <c r="HT36" i="9"/>
  <c r="HU36" i="9"/>
  <c r="HV36" i="9"/>
  <c r="HW36" i="9"/>
  <c r="HX36" i="9"/>
  <c r="HY36" i="9"/>
  <c r="HZ36" i="9"/>
  <c r="IA36" i="9"/>
  <c r="IB36" i="9"/>
  <c r="IC36" i="9"/>
  <c r="ID36" i="9"/>
  <c r="IE36" i="9"/>
  <c r="IF36" i="9"/>
  <c r="IG36" i="9"/>
  <c r="IH36" i="9"/>
  <c r="II36" i="9"/>
  <c r="IJ36" i="9"/>
  <c r="IK36" i="9"/>
  <c r="IL36" i="9"/>
  <c r="IM36" i="9"/>
  <c r="IN36" i="9"/>
  <c r="IO36" i="9"/>
  <c r="IP36" i="9"/>
  <c r="IQ36" i="9"/>
  <c r="IR36" i="9"/>
  <c r="IS36" i="9"/>
  <c r="IT36" i="9"/>
  <c r="IU36" i="9"/>
  <c r="IV36" i="9"/>
  <c r="IW36" i="9"/>
  <c r="IX36" i="9"/>
  <c r="IY36" i="9"/>
  <c r="IZ36" i="9"/>
  <c r="JA36" i="9"/>
  <c r="JB36" i="9"/>
  <c r="JC36" i="9"/>
  <c r="JD36" i="9"/>
  <c r="JE36" i="9"/>
  <c r="FV36" i="9"/>
  <c r="FW36" i="9"/>
  <c r="FX36" i="9"/>
  <c r="FY36" i="9"/>
  <c r="FZ36" i="9"/>
  <c r="GA36" i="9"/>
  <c r="GB36" i="9"/>
  <c r="GC36" i="9"/>
  <c r="GD36" i="9"/>
  <c r="GE36" i="9"/>
  <c r="GF36" i="9"/>
  <c r="GG36" i="9"/>
  <c r="GH36" i="9"/>
  <c r="GI36" i="9"/>
  <c r="GJ36" i="9"/>
  <c r="GK36" i="9"/>
  <c r="GL36" i="9"/>
  <c r="GM36" i="9"/>
  <c r="GN36" i="9"/>
  <c r="GO36" i="9"/>
  <c r="GP36" i="9"/>
  <c r="GQ36" i="9"/>
  <c r="GR36" i="9"/>
  <c r="GS36" i="9"/>
  <c r="GT36" i="9"/>
  <c r="GU36" i="9"/>
  <c r="GV36" i="9"/>
  <c r="GW36" i="9"/>
  <c r="GX36" i="9"/>
  <c r="GY36" i="9"/>
  <c r="GZ36" i="9"/>
  <c r="HA36" i="9"/>
  <c r="HB36" i="9"/>
  <c r="HC36" i="9"/>
  <c r="HD36" i="9"/>
  <c r="HE36" i="9"/>
  <c r="HF36" i="9"/>
  <c r="HG36" i="9"/>
  <c r="HH36" i="9"/>
  <c r="HI36" i="9"/>
  <c r="HJ36" i="9"/>
  <c r="HK36" i="9"/>
  <c r="HL36" i="9"/>
  <c r="HM36" i="9"/>
  <c r="ED36" i="9"/>
  <c r="EE36" i="9"/>
  <c r="EF36" i="9"/>
  <c r="EG36" i="9"/>
  <c r="EH36" i="9"/>
  <c r="EI36" i="9"/>
  <c r="EJ36" i="9"/>
  <c r="EK36" i="9"/>
  <c r="EL36" i="9"/>
  <c r="EM36" i="9"/>
  <c r="EN36" i="9"/>
  <c r="EO36" i="9"/>
  <c r="EP36" i="9"/>
  <c r="EQ36" i="9"/>
  <c r="ER36" i="9"/>
  <c r="ES36" i="9"/>
  <c r="ET36" i="9"/>
  <c r="EU36" i="9"/>
  <c r="EV36" i="9"/>
  <c r="EW36" i="9"/>
  <c r="EX36" i="9"/>
  <c r="EY36" i="9"/>
  <c r="EZ36" i="9"/>
  <c r="FA36" i="9"/>
  <c r="FB36" i="9"/>
  <c r="FC36" i="9"/>
  <c r="FD36" i="9"/>
  <c r="FE36" i="9"/>
  <c r="FF36" i="9"/>
  <c r="FG36" i="9"/>
  <c r="FH36" i="9"/>
  <c r="FI36" i="9"/>
  <c r="FJ36" i="9"/>
  <c r="FK36" i="9"/>
  <c r="FL36" i="9"/>
  <c r="FM36" i="9"/>
  <c r="FN36" i="9"/>
  <c r="FO36" i="9"/>
  <c r="FP36" i="9"/>
  <c r="FQ36" i="9"/>
  <c r="FR36" i="9"/>
  <c r="FS36" i="9"/>
  <c r="FT36" i="9"/>
  <c r="FU36" i="9"/>
  <c r="CL36" i="9"/>
  <c r="CM36" i="9"/>
  <c r="CN36" i="9"/>
  <c r="CO36" i="9"/>
  <c r="CP36" i="9"/>
  <c r="CQ36" i="9"/>
  <c r="CR36" i="9"/>
  <c r="CS36" i="9"/>
  <c r="CT36" i="9"/>
  <c r="CU36" i="9"/>
  <c r="CV36" i="9"/>
  <c r="CW36" i="9"/>
  <c r="CX36" i="9"/>
  <c r="CY36" i="9"/>
  <c r="CZ36" i="9"/>
  <c r="DA36" i="9"/>
  <c r="DB36" i="9"/>
  <c r="DC36" i="9"/>
  <c r="DD36" i="9"/>
  <c r="DE36" i="9"/>
  <c r="DF36" i="9"/>
  <c r="DG36" i="9"/>
  <c r="DH36" i="9"/>
  <c r="DI36" i="9"/>
  <c r="DJ36" i="9"/>
  <c r="DK36" i="9"/>
  <c r="DL36" i="9"/>
  <c r="DM36" i="9"/>
  <c r="DN36" i="9"/>
  <c r="DO36" i="9"/>
  <c r="DP36" i="9"/>
  <c r="DQ36" i="9"/>
  <c r="DR36" i="9"/>
  <c r="DS36" i="9"/>
  <c r="DT36" i="9"/>
  <c r="DU36" i="9"/>
  <c r="DV36" i="9"/>
  <c r="DW36" i="9"/>
  <c r="DX36" i="9"/>
  <c r="DY36" i="9"/>
  <c r="DZ36" i="9"/>
  <c r="EA36" i="9"/>
  <c r="EB36" i="9"/>
  <c r="EC36" i="9"/>
  <c r="AT36" i="9"/>
  <c r="AU36" i="9"/>
  <c r="AV36" i="9"/>
  <c r="AW36" i="9"/>
  <c r="AX36" i="9"/>
  <c r="AY36" i="9"/>
  <c r="AZ36" i="9"/>
  <c r="BA36" i="9"/>
  <c r="BB36" i="9"/>
  <c r="BC36" i="9"/>
  <c r="BD36" i="9"/>
  <c r="BE36" i="9"/>
  <c r="BF36" i="9"/>
  <c r="BG36" i="9"/>
  <c r="BH36" i="9"/>
  <c r="BI36" i="9"/>
  <c r="BJ36" i="9"/>
  <c r="BK36" i="9"/>
  <c r="BL36" i="9"/>
  <c r="BM36" i="9"/>
  <c r="BN36" i="9"/>
  <c r="BO36" i="9"/>
  <c r="BP36" i="9"/>
  <c r="BQ36" i="9"/>
  <c r="BR36" i="9"/>
  <c r="BS36" i="9"/>
  <c r="BT36" i="9"/>
  <c r="BU36" i="9"/>
  <c r="BV36" i="9"/>
  <c r="BW36" i="9"/>
  <c r="BX36" i="9"/>
  <c r="BY36" i="9"/>
  <c r="BZ36" i="9"/>
  <c r="CA36" i="9"/>
  <c r="CB36" i="9"/>
  <c r="CC36" i="9"/>
  <c r="CD36" i="9"/>
  <c r="CE36" i="9"/>
  <c r="CF36" i="9"/>
  <c r="CG36" i="9"/>
  <c r="CH36" i="9"/>
  <c r="CI36" i="9"/>
  <c r="CJ36" i="9"/>
  <c r="CK36" i="9"/>
  <c r="B36" i="9"/>
  <c r="C36" i="9"/>
  <c r="D36" i="9"/>
  <c r="E36" i="9"/>
  <c r="F36" i="9"/>
  <c r="G36" i="9"/>
  <c r="H36" i="9"/>
  <c r="I36" i="9"/>
  <c r="J36" i="9"/>
  <c r="K36" i="9"/>
  <c r="L36" i="9"/>
  <c r="M36" i="9"/>
  <c r="N36" i="9"/>
  <c r="O36" i="9"/>
  <c r="P36" i="9"/>
  <c r="Q36" i="9"/>
  <c r="R36" i="9"/>
  <c r="S36" i="9"/>
  <c r="T36" i="9"/>
  <c r="U36" i="9"/>
  <c r="V36" i="9"/>
  <c r="W36" i="9"/>
  <c r="X36" i="9"/>
  <c r="Y36" i="9"/>
  <c r="Z36" i="9"/>
  <c r="AA36" i="9"/>
  <c r="AB36" i="9"/>
  <c r="AC36" i="9"/>
  <c r="AD36" i="9"/>
  <c r="AE36" i="9"/>
  <c r="AF36" i="9"/>
  <c r="AG36" i="9"/>
  <c r="AH36" i="9"/>
  <c r="AI36" i="9"/>
  <c r="AJ36" i="9"/>
  <c r="AK36" i="9"/>
  <c r="AL36" i="9"/>
  <c r="AM36" i="9"/>
  <c r="AN36" i="9"/>
  <c r="AO36" i="9"/>
  <c r="AP36" i="9"/>
  <c r="AQ36" i="9"/>
  <c r="AR36" i="9"/>
  <c r="AS36" i="9"/>
  <c r="OH34" i="9"/>
  <c r="OI34" i="9"/>
  <c r="OJ34" i="9"/>
  <c r="OK34" i="9"/>
  <c r="OL34" i="9"/>
  <c r="OM34" i="9"/>
  <c r="ON34" i="9"/>
  <c r="OO34" i="9"/>
  <c r="OP34" i="9"/>
  <c r="OQ34" i="9"/>
  <c r="OR34" i="9"/>
  <c r="OS34" i="9"/>
  <c r="OT34" i="9"/>
  <c r="OU34" i="9"/>
  <c r="OV34" i="9"/>
  <c r="OW34" i="9"/>
  <c r="OX34" i="9"/>
  <c r="OY34" i="9"/>
  <c r="OZ34" i="9"/>
  <c r="PA34" i="9"/>
  <c r="PB34" i="9"/>
  <c r="PC34" i="9"/>
  <c r="PD34" i="9"/>
  <c r="PE34" i="9"/>
  <c r="PF34" i="9"/>
  <c r="PG34" i="9"/>
  <c r="PH34" i="9"/>
  <c r="PI34" i="9"/>
  <c r="PJ34" i="9"/>
  <c r="PK34" i="9"/>
  <c r="PL34" i="9"/>
  <c r="PM34" i="9"/>
  <c r="PN34" i="9"/>
  <c r="PO34" i="9"/>
  <c r="PP34" i="9"/>
  <c r="PQ34" i="9"/>
  <c r="PR34" i="9"/>
  <c r="PS34" i="9"/>
  <c r="PT34" i="9"/>
  <c r="PU34" i="9"/>
  <c r="PV34" i="9"/>
  <c r="PW34" i="9"/>
  <c r="PX34" i="9"/>
  <c r="PY34" i="9"/>
  <c r="MP34" i="9"/>
  <c r="MQ34" i="9"/>
  <c r="MR34" i="9"/>
  <c r="MS34" i="9"/>
  <c r="MT34" i="9"/>
  <c r="MU34" i="9"/>
  <c r="MV34" i="9"/>
  <c r="MW34" i="9"/>
  <c r="MX34" i="9"/>
  <c r="MY34" i="9"/>
  <c r="MZ34" i="9"/>
  <c r="NA34" i="9"/>
  <c r="NB34" i="9"/>
  <c r="NC34" i="9"/>
  <c r="ND34" i="9"/>
  <c r="NE34" i="9"/>
  <c r="NF34" i="9"/>
  <c r="NG34" i="9"/>
  <c r="NH34" i="9"/>
  <c r="NI34" i="9"/>
  <c r="NJ34" i="9"/>
  <c r="NK34" i="9"/>
  <c r="NL34" i="9"/>
  <c r="NM34" i="9"/>
  <c r="NN34" i="9"/>
  <c r="NO34" i="9"/>
  <c r="NP34" i="9"/>
  <c r="NQ34" i="9"/>
  <c r="NR34" i="9"/>
  <c r="NS34" i="9"/>
  <c r="NT34" i="9"/>
  <c r="NU34" i="9"/>
  <c r="NV34" i="9"/>
  <c r="NW34" i="9"/>
  <c r="NX34" i="9"/>
  <c r="NY34" i="9"/>
  <c r="NZ34" i="9"/>
  <c r="OA34" i="9"/>
  <c r="OB34" i="9"/>
  <c r="OC34" i="9"/>
  <c r="OD34" i="9"/>
  <c r="OE34" i="9"/>
  <c r="OF34" i="9"/>
  <c r="OG34" i="9"/>
  <c r="KX34" i="9"/>
  <c r="KY34" i="9"/>
  <c r="KZ34" i="9"/>
  <c r="LA34" i="9"/>
  <c r="LB34" i="9"/>
  <c r="LC34" i="9"/>
  <c r="LD34" i="9"/>
  <c r="LE34" i="9"/>
  <c r="LF34" i="9"/>
  <c r="LG34" i="9"/>
  <c r="LH34" i="9"/>
  <c r="LI34" i="9"/>
  <c r="LJ34" i="9"/>
  <c r="LK34" i="9"/>
  <c r="LL34" i="9"/>
  <c r="LM34" i="9"/>
  <c r="LN34" i="9"/>
  <c r="LO34" i="9"/>
  <c r="LP34" i="9"/>
  <c r="LQ34" i="9"/>
  <c r="LR34" i="9"/>
  <c r="LS34" i="9"/>
  <c r="LT34" i="9"/>
  <c r="LU34" i="9"/>
  <c r="LV34" i="9"/>
  <c r="LW34" i="9"/>
  <c r="LX34" i="9"/>
  <c r="LY34" i="9"/>
  <c r="LZ34" i="9"/>
  <c r="MA34" i="9"/>
  <c r="MB34" i="9"/>
  <c r="MC34" i="9"/>
  <c r="MD34" i="9"/>
  <c r="ME34" i="9"/>
  <c r="MF34" i="9"/>
  <c r="MG34" i="9"/>
  <c r="MH34" i="9"/>
  <c r="MI34" i="9"/>
  <c r="MJ34" i="9"/>
  <c r="MK34" i="9"/>
  <c r="ML34" i="9"/>
  <c r="MM34" i="9"/>
  <c r="MN34" i="9"/>
  <c r="MO34" i="9"/>
  <c r="JF34" i="9"/>
  <c r="JG34" i="9"/>
  <c r="JH34" i="9"/>
  <c r="JI34" i="9"/>
  <c r="JJ34" i="9"/>
  <c r="JK34" i="9"/>
  <c r="JL34" i="9"/>
  <c r="JM34" i="9"/>
  <c r="JN34" i="9"/>
  <c r="JO34" i="9"/>
  <c r="JP34" i="9"/>
  <c r="JQ34" i="9"/>
  <c r="JR34" i="9"/>
  <c r="JS34" i="9"/>
  <c r="JT34" i="9"/>
  <c r="JU34" i="9"/>
  <c r="JV34" i="9"/>
  <c r="JW34" i="9"/>
  <c r="JX34" i="9"/>
  <c r="JY34" i="9"/>
  <c r="JZ34" i="9"/>
  <c r="KA34" i="9"/>
  <c r="KB34" i="9"/>
  <c r="KC34" i="9"/>
  <c r="KD34" i="9"/>
  <c r="KE34" i="9"/>
  <c r="KF34" i="9"/>
  <c r="KG34" i="9"/>
  <c r="KH34" i="9"/>
  <c r="KI34" i="9"/>
  <c r="KJ34" i="9"/>
  <c r="KK34" i="9"/>
  <c r="KL34" i="9"/>
  <c r="KM34" i="9"/>
  <c r="KN34" i="9"/>
  <c r="KO34" i="9"/>
  <c r="KP34" i="9"/>
  <c r="KQ34" i="9"/>
  <c r="KR34" i="9"/>
  <c r="KS34" i="9"/>
  <c r="KT34" i="9"/>
  <c r="KU34" i="9"/>
  <c r="KV34" i="9"/>
  <c r="KW34" i="9"/>
  <c r="HN34" i="9"/>
  <c r="HO34" i="9"/>
  <c r="HP34" i="9"/>
  <c r="HQ34" i="9"/>
  <c r="HR34" i="9"/>
  <c r="HS34" i="9"/>
  <c r="HT34" i="9"/>
  <c r="HU34" i="9"/>
  <c r="HV34" i="9"/>
  <c r="HW34" i="9"/>
  <c r="HX34" i="9"/>
  <c r="HY34" i="9"/>
  <c r="HZ34" i="9"/>
  <c r="IA34" i="9"/>
  <c r="IB34" i="9"/>
  <c r="IC34" i="9"/>
  <c r="ID34" i="9"/>
  <c r="IE34" i="9"/>
  <c r="IF34" i="9"/>
  <c r="IG34" i="9"/>
  <c r="IH34" i="9"/>
  <c r="II34" i="9"/>
  <c r="IJ34" i="9"/>
  <c r="IK34" i="9"/>
  <c r="IL34" i="9"/>
  <c r="IM34" i="9"/>
  <c r="IN34" i="9"/>
  <c r="IO34" i="9"/>
  <c r="IP34" i="9"/>
  <c r="IQ34" i="9"/>
  <c r="IR34" i="9"/>
  <c r="IS34" i="9"/>
  <c r="IT34" i="9"/>
  <c r="IU34" i="9"/>
  <c r="IV34" i="9"/>
  <c r="IW34" i="9"/>
  <c r="IX34" i="9"/>
  <c r="IY34" i="9"/>
  <c r="IZ34" i="9"/>
  <c r="JA34" i="9"/>
  <c r="JB34" i="9"/>
  <c r="JC34" i="9"/>
  <c r="JD34" i="9"/>
  <c r="JE34" i="9"/>
  <c r="FV34" i="9"/>
  <c r="FW34" i="9"/>
  <c r="FX34" i="9"/>
  <c r="FY34" i="9"/>
  <c r="FZ34" i="9"/>
  <c r="GA34" i="9"/>
  <c r="GB34" i="9"/>
  <c r="GC34" i="9"/>
  <c r="GD34" i="9"/>
  <c r="GE34" i="9"/>
  <c r="GF34" i="9"/>
  <c r="GG34" i="9"/>
  <c r="GH34" i="9"/>
  <c r="GI34" i="9"/>
  <c r="GJ34" i="9"/>
  <c r="GK34" i="9"/>
  <c r="GL34" i="9"/>
  <c r="GM34" i="9"/>
  <c r="GN34" i="9"/>
  <c r="GO34" i="9"/>
  <c r="GP34" i="9"/>
  <c r="GQ34" i="9"/>
  <c r="GR34" i="9"/>
  <c r="GS34" i="9"/>
  <c r="GT34" i="9"/>
  <c r="GU34" i="9"/>
  <c r="GV34" i="9"/>
  <c r="GW34" i="9"/>
  <c r="GX34" i="9"/>
  <c r="GY34" i="9"/>
  <c r="GZ34" i="9"/>
  <c r="HA34" i="9"/>
  <c r="HB34" i="9"/>
  <c r="HC34" i="9"/>
  <c r="HD34" i="9"/>
  <c r="HE34" i="9"/>
  <c r="HF34" i="9"/>
  <c r="HG34" i="9"/>
  <c r="HH34" i="9"/>
  <c r="HI34" i="9"/>
  <c r="HJ34" i="9"/>
  <c r="HK34" i="9"/>
  <c r="HL34" i="9"/>
  <c r="HM34" i="9"/>
  <c r="ED34" i="9"/>
  <c r="EE34" i="9"/>
  <c r="EF34" i="9"/>
  <c r="EG34" i="9"/>
  <c r="EH34" i="9"/>
  <c r="EI34" i="9"/>
  <c r="EJ34" i="9"/>
  <c r="EK34" i="9"/>
  <c r="EL34" i="9"/>
  <c r="EM34" i="9"/>
  <c r="EN34" i="9"/>
  <c r="EO34" i="9"/>
  <c r="EP34" i="9"/>
  <c r="EQ34" i="9"/>
  <c r="ER34" i="9"/>
  <c r="ES34" i="9"/>
  <c r="ET34" i="9"/>
  <c r="EU34" i="9"/>
  <c r="EV34" i="9"/>
  <c r="EW34" i="9"/>
  <c r="EX34" i="9"/>
  <c r="EY34" i="9"/>
  <c r="EZ34" i="9"/>
  <c r="FA34" i="9"/>
  <c r="FB34" i="9"/>
  <c r="FC34" i="9"/>
  <c r="FD34" i="9"/>
  <c r="FE34" i="9"/>
  <c r="FF34" i="9"/>
  <c r="FG34" i="9"/>
  <c r="FH34" i="9"/>
  <c r="FI34" i="9"/>
  <c r="FJ34" i="9"/>
  <c r="FK34" i="9"/>
  <c r="FL34" i="9"/>
  <c r="FM34" i="9"/>
  <c r="FN34" i="9"/>
  <c r="FO34" i="9"/>
  <c r="FP34" i="9"/>
  <c r="FQ34" i="9"/>
  <c r="FR34" i="9"/>
  <c r="FS34" i="9"/>
  <c r="FT34" i="9"/>
  <c r="FU34" i="9"/>
  <c r="CL34" i="9"/>
  <c r="CM34" i="9"/>
  <c r="CN34" i="9"/>
  <c r="CO34" i="9"/>
  <c r="CP34" i="9"/>
  <c r="CQ34" i="9"/>
  <c r="CR34" i="9"/>
  <c r="CS34" i="9"/>
  <c r="CT34" i="9"/>
  <c r="CU34" i="9"/>
  <c r="CV34" i="9"/>
  <c r="CW34" i="9"/>
  <c r="CX34" i="9"/>
  <c r="CY34" i="9"/>
  <c r="CZ34" i="9"/>
  <c r="DA34" i="9"/>
  <c r="DB34" i="9"/>
  <c r="DC34" i="9"/>
  <c r="DD34" i="9"/>
  <c r="DE34" i="9"/>
  <c r="DF34" i="9"/>
  <c r="DG34" i="9"/>
  <c r="DH34" i="9"/>
  <c r="DI34" i="9"/>
  <c r="DJ34" i="9"/>
  <c r="DK34" i="9"/>
  <c r="DL34" i="9"/>
  <c r="DM34" i="9"/>
  <c r="DN34" i="9"/>
  <c r="DO34" i="9"/>
  <c r="DP34" i="9"/>
  <c r="DQ34" i="9"/>
  <c r="DR34" i="9"/>
  <c r="DS34" i="9"/>
  <c r="DT34" i="9"/>
  <c r="DU34" i="9"/>
  <c r="DV34" i="9"/>
  <c r="DW34" i="9"/>
  <c r="DX34" i="9"/>
  <c r="DY34" i="9"/>
  <c r="DZ34" i="9"/>
  <c r="EA34" i="9"/>
  <c r="EB34" i="9"/>
  <c r="EC34" i="9"/>
  <c r="AT34" i="9"/>
  <c r="AU34" i="9"/>
  <c r="AV34" i="9"/>
  <c r="AW34" i="9"/>
  <c r="AX34" i="9"/>
  <c r="AY34" i="9"/>
  <c r="AZ34" i="9"/>
  <c r="BA34" i="9"/>
  <c r="BB34" i="9"/>
  <c r="BC34" i="9"/>
  <c r="BD34" i="9"/>
  <c r="BE34" i="9"/>
  <c r="BF34" i="9"/>
  <c r="BG34" i="9"/>
  <c r="BH34" i="9"/>
  <c r="BI34" i="9"/>
  <c r="BJ34" i="9"/>
  <c r="BK34" i="9"/>
  <c r="BL34" i="9"/>
  <c r="BM34" i="9"/>
  <c r="BN34" i="9"/>
  <c r="BO34" i="9"/>
  <c r="BP34" i="9"/>
  <c r="BQ34" i="9"/>
  <c r="BR34" i="9"/>
  <c r="BS34" i="9"/>
  <c r="BT34" i="9"/>
  <c r="BU34" i="9"/>
  <c r="BV34" i="9"/>
  <c r="BW34" i="9"/>
  <c r="BX34" i="9"/>
  <c r="BY34" i="9"/>
  <c r="BZ34" i="9"/>
  <c r="CA34" i="9"/>
  <c r="CB34" i="9"/>
  <c r="CC34" i="9"/>
  <c r="CD34" i="9"/>
  <c r="CE34" i="9"/>
  <c r="CF34" i="9"/>
  <c r="CG34" i="9"/>
  <c r="CH34" i="9"/>
  <c r="CI34" i="9"/>
  <c r="CJ34" i="9"/>
  <c r="CK34" i="9"/>
  <c r="B34" i="9"/>
  <c r="C34" i="9"/>
  <c r="D34" i="9"/>
  <c r="E34" i="9"/>
  <c r="F34" i="9"/>
  <c r="G34" i="9"/>
  <c r="H34" i="9"/>
  <c r="I34" i="9"/>
  <c r="J34" i="9"/>
  <c r="K34" i="9"/>
  <c r="L34" i="9"/>
  <c r="M34" i="9"/>
  <c r="N34" i="9"/>
  <c r="O34" i="9"/>
  <c r="P34" i="9"/>
  <c r="Q34" i="9"/>
  <c r="R34" i="9"/>
  <c r="S34" i="9"/>
  <c r="T34" i="9"/>
  <c r="U34" i="9"/>
  <c r="V34" i="9"/>
  <c r="W34" i="9"/>
  <c r="X34" i="9"/>
  <c r="Y34" i="9"/>
  <c r="Z34" i="9"/>
  <c r="AA34" i="9"/>
  <c r="AB34" i="9"/>
  <c r="AC34" i="9"/>
  <c r="AD34" i="9"/>
  <c r="AE34" i="9"/>
  <c r="AF34" i="9"/>
  <c r="AG34" i="9"/>
  <c r="AH34" i="9"/>
  <c r="AI34" i="9"/>
  <c r="AJ34" i="9"/>
  <c r="AK34" i="9"/>
  <c r="AL34" i="9"/>
  <c r="AM34" i="9"/>
  <c r="AN34" i="9"/>
  <c r="AO34" i="9"/>
  <c r="AP34" i="9"/>
  <c r="AQ34" i="9"/>
  <c r="AR34" i="9"/>
  <c r="AS34" i="9"/>
  <c r="WT33" i="9"/>
  <c r="WU33" i="9"/>
  <c r="WV33" i="9"/>
  <c r="WW33" i="9"/>
  <c r="WX33" i="9"/>
  <c r="WY33" i="9"/>
  <c r="WZ33" i="9"/>
  <c r="XA33" i="9"/>
  <c r="XB33" i="9"/>
  <c r="XC33" i="9"/>
  <c r="XD33" i="9"/>
  <c r="XE33" i="9"/>
  <c r="XF33" i="9"/>
  <c r="XG33" i="9"/>
  <c r="XH33" i="9"/>
  <c r="XI33" i="9"/>
  <c r="XJ33" i="9"/>
  <c r="XK33" i="9"/>
  <c r="XL33" i="9"/>
  <c r="XM33" i="9"/>
  <c r="XN33" i="9"/>
  <c r="XO33" i="9"/>
  <c r="XP33" i="9"/>
  <c r="XQ33" i="9"/>
  <c r="XR33" i="9"/>
  <c r="XS33" i="9"/>
  <c r="XT33" i="9"/>
  <c r="XU33" i="9"/>
  <c r="XV33" i="9"/>
  <c r="XW33" i="9"/>
  <c r="XX33" i="9"/>
  <c r="XY33" i="9"/>
  <c r="XZ33" i="9"/>
  <c r="YA33" i="9"/>
  <c r="YB33" i="9"/>
  <c r="YC33" i="9"/>
  <c r="YD33" i="9"/>
  <c r="YE33" i="9"/>
  <c r="YF33" i="9"/>
  <c r="YG33" i="9"/>
  <c r="YH33" i="9"/>
  <c r="YI33" i="9"/>
  <c r="YJ33" i="9"/>
  <c r="YK33" i="9"/>
  <c r="VB33" i="9"/>
  <c r="VC33" i="9"/>
  <c r="VD33" i="9"/>
  <c r="VE33" i="9"/>
  <c r="VF33" i="9"/>
  <c r="VG33" i="9"/>
  <c r="VH33" i="9"/>
  <c r="VI33" i="9"/>
  <c r="VJ33" i="9"/>
  <c r="VK33" i="9"/>
  <c r="VL33" i="9"/>
  <c r="VM33" i="9"/>
  <c r="VN33" i="9"/>
  <c r="VO33" i="9"/>
  <c r="VP33" i="9"/>
  <c r="VQ33" i="9"/>
  <c r="VR33" i="9"/>
  <c r="VS33" i="9"/>
  <c r="VT33" i="9"/>
  <c r="VU33" i="9"/>
  <c r="VV33" i="9"/>
  <c r="VW33" i="9"/>
  <c r="VX33" i="9"/>
  <c r="VY33" i="9"/>
  <c r="VZ33" i="9"/>
  <c r="WA33" i="9"/>
  <c r="WB33" i="9"/>
  <c r="WC33" i="9"/>
  <c r="WD33" i="9"/>
  <c r="WE33" i="9"/>
  <c r="WF33" i="9"/>
  <c r="WG33" i="9"/>
  <c r="WH33" i="9"/>
  <c r="WI33" i="9"/>
  <c r="WJ33" i="9"/>
  <c r="WK33" i="9"/>
  <c r="WL33" i="9"/>
  <c r="WM33" i="9"/>
  <c r="WN33" i="9"/>
  <c r="WO33" i="9"/>
  <c r="WP33" i="9"/>
  <c r="WQ33" i="9"/>
  <c r="WR33" i="9"/>
  <c r="WS33" i="9"/>
  <c r="TJ33" i="9"/>
  <c r="TK33" i="9"/>
  <c r="TL33" i="9"/>
  <c r="TM33" i="9"/>
  <c r="TN33" i="9"/>
  <c r="TO33" i="9"/>
  <c r="TP33" i="9"/>
  <c r="TQ33" i="9"/>
  <c r="TR33" i="9"/>
  <c r="TS33" i="9"/>
  <c r="TT33" i="9"/>
  <c r="TU33" i="9"/>
  <c r="TV33" i="9"/>
  <c r="TW33" i="9"/>
  <c r="TX33" i="9"/>
  <c r="TY33" i="9"/>
  <c r="TZ33" i="9"/>
  <c r="UA33" i="9"/>
  <c r="UB33" i="9"/>
  <c r="UC33" i="9"/>
  <c r="UD33" i="9"/>
  <c r="UE33" i="9"/>
  <c r="UF33" i="9"/>
  <c r="UG33" i="9"/>
  <c r="UH33" i="9"/>
  <c r="UI33" i="9"/>
  <c r="UJ33" i="9"/>
  <c r="UK33" i="9"/>
  <c r="UL33" i="9"/>
  <c r="UM33" i="9"/>
  <c r="UN33" i="9"/>
  <c r="UO33" i="9"/>
  <c r="UP33" i="9"/>
  <c r="UQ33" i="9"/>
  <c r="UR33" i="9"/>
  <c r="US33" i="9"/>
  <c r="UT33" i="9"/>
  <c r="UU33" i="9"/>
  <c r="UV33" i="9"/>
  <c r="UW33" i="9"/>
  <c r="UX33" i="9"/>
  <c r="UY33" i="9"/>
  <c r="UZ33" i="9"/>
  <c r="VA33" i="9"/>
  <c r="RR33" i="9"/>
  <c r="RS33" i="9"/>
  <c r="RT33" i="9"/>
  <c r="RU33" i="9"/>
  <c r="RV33" i="9"/>
  <c r="RW33" i="9"/>
  <c r="RX33" i="9"/>
  <c r="RY33" i="9"/>
  <c r="RZ33" i="9"/>
  <c r="SA33" i="9"/>
  <c r="SB33" i="9"/>
  <c r="SC33" i="9"/>
  <c r="SD33" i="9"/>
  <c r="SE33" i="9"/>
  <c r="SF33" i="9"/>
  <c r="SG33" i="9"/>
  <c r="SH33" i="9"/>
  <c r="SI33" i="9"/>
  <c r="SJ33" i="9"/>
  <c r="SK33" i="9"/>
  <c r="SL33" i="9"/>
  <c r="SM33" i="9"/>
  <c r="SN33" i="9"/>
  <c r="SO33" i="9"/>
  <c r="SP33" i="9"/>
  <c r="SQ33" i="9"/>
  <c r="SR33" i="9"/>
  <c r="SS33" i="9"/>
  <c r="ST33" i="9"/>
  <c r="SU33" i="9"/>
  <c r="SV33" i="9"/>
  <c r="SW33" i="9"/>
  <c r="SX33" i="9"/>
  <c r="SY33" i="9"/>
  <c r="SZ33" i="9"/>
  <c r="TA33" i="9"/>
  <c r="TB33" i="9"/>
  <c r="TC33" i="9"/>
  <c r="TD33" i="9"/>
  <c r="TE33" i="9"/>
  <c r="TF33" i="9"/>
  <c r="TG33" i="9"/>
  <c r="TH33" i="9"/>
  <c r="TI33" i="9"/>
  <c r="PZ33" i="9"/>
  <c r="QA33" i="9"/>
  <c r="QB33" i="9"/>
  <c r="QC33" i="9"/>
  <c r="QD33" i="9"/>
  <c r="QE33" i="9"/>
  <c r="QF33" i="9"/>
  <c r="QG33" i="9"/>
  <c r="QH33" i="9"/>
  <c r="QI33" i="9"/>
  <c r="QJ33" i="9"/>
  <c r="QK33" i="9"/>
  <c r="QL33" i="9"/>
  <c r="QM33" i="9"/>
  <c r="QN33" i="9"/>
  <c r="QO33" i="9"/>
  <c r="QP33" i="9"/>
  <c r="QQ33" i="9"/>
  <c r="QR33" i="9"/>
  <c r="QS33" i="9"/>
  <c r="QT33" i="9"/>
  <c r="QU33" i="9"/>
  <c r="QV33" i="9"/>
  <c r="QW33" i="9"/>
  <c r="QX33" i="9"/>
  <c r="QY33" i="9"/>
  <c r="QZ33" i="9"/>
  <c r="RA33" i="9"/>
  <c r="RB33" i="9"/>
  <c r="RC33" i="9"/>
  <c r="RD33" i="9"/>
  <c r="RE33" i="9"/>
  <c r="RF33" i="9"/>
  <c r="RG33" i="9"/>
  <c r="RH33" i="9"/>
  <c r="RI33" i="9"/>
  <c r="RJ33" i="9"/>
  <c r="RK33" i="9"/>
  <c r="RL33" i="9"/>
  <c r="RM33" i="9"/>
  <c r="RN33" i="9"/>
  <c r="RO33" i="9"/>
  <c r="RP33" i="9"/>
  <c r="RQ33" i="9"/>
  <c r="OH33" i="9"/>
  <c r="OI33" i="9"/>
  <c r="OJ33" i="9"/>
  <c r="OK33" i="9"/>
  <c r="OL33" i="9"/>
  <c r="OM33" i="9"/>
  <c r="ON33" i="9"/>
  <c r="OO33" i="9"/>
  <c r="OP33" i="9"/>
  <c r="OQ33" i="9"/>
  <c r="OR33" i="9"/>
  <c r="OS33" i="9"/>
  <c r="OT33" i="9"/>
  <c r="OU33" i="9"/>
  <c r="OV33" i="9"/>
  <c r="OW33" i="9"/>
  <c r="OX33" i="9"/>
  <c r="OY33" i="9"/>
  <c r="OZ33" i="9"/>
  <c r="PA33" i="9"/>
  <c r="PB33" i="9"/>
  <c r="PC33" i="9"/>
  <c r="PD33" i="9"/>
  <c r="PE33" i="9"/>
  <c r="PF33" i="9"/>
  <c r="PG33" i="9"/>
  <c r="PH33" i="9"/>
  <c r="PI33" i="9"/>
  <c r="PJ33" i="9"/>
  <c r="PK33" i="9"/>
  <c r="PL33" i="9"/>
  <c r="PM33" i="9"/>
  <c r="PN33" i="9"/>
  <c r="PO33" i="9"/>
  <c r="PP33" i="9"/>
  <c r="PQ33" i="9"/>
  <c r="PR33" i="9"/>
  <c r="PS33" i="9"/>
  <c r="PT33" i="9"/>
  <c r="PU33" i="9"/>
  <c r="PV33" i="9"/>
  <c r="PW33" i="9"/>
  <c r="PX33" i="9"/>
  <c r="PY33" i="9"/>
  <c r="MP33" i="9"/>
  <c r="MQ33" i="9"/>
  <c r="MR33" i="9"/>
  <c r="MS33" i="9"/>
  <c r="MT33" i="9"/>
  <c r="MU33" i="9"/>
  <c r="MV33" i="9"/>
  <c r="MW33" i="9"/>
  <c r="MX33" i="9"/>
  <c r="MY33" i="9"/>
  <c r="MZ33" i="9"/>
  <c r="NA33" i="9"/>
  <c r="NB33" i="9"/>
  <c r="NC33" i="9"/>
  <c r="ND33" i="9"/>
  <c r="NE33" i="9"/>
  <c r="NF33" i="9"/>
  <c r="NG33" i="9"/>
  <c r="NH33" i="9"/>
  <c r="NI33" i="9"/>
  <c r="NJ33" i="9"/>
  <c r="NK33" i="9"/>
  <c r="NL33" i="9"/>
  <c r="NM33" i="9"/>
  <c r="NN33" i="9"/>
  <c r="NO33" i="9"/>
  <c r="NP33" i="9"/>
  <c r="NQ33" i="9"/>
  <c r="NR33" i="9"/>
  <c r="NS33" i="9"/>
  <c r="NT33" i="9"/>
  <c r="NU33" i="9"/>
  <c r="NV33" i="9"/>
  <c r="NW33" i="9"/>
  <c r="NX33" i="9"/>
  <c r="NY33" i="9"/>
  <c r="NZ33" i="9"/>
  <c r="OA33" i="9"/>
  <c r="OB33" i="9"/>
  <c r="OC33" i="9"/>
  <c r="OD33" i="9"/>
  <c r="OE33" i="9"/>
  <c r="OF33" i="9"/>
  <c r="OG33" i="9"/>
  <c r="KX33" i="9"/>
  <c r="KY33" i="9"/>
  <c r="KZ33" i="9"/>
  <c r="LA33" i="9"/>
  <c r="LB33" i="9"/>
  <c r="LC33" i="9"/>
  <c r="LD33" i="9"/>
  <c r="LE33" i="9"/>
  <c r="LF33" i="9"/>
  <c r="LG33" i="9"/>
  <c r="LH33" i="9"/>
  <c r="LI33" i="9"/>
  <c r="LJ33" i="9"/>
  <c r="LK33" i="9"/>
  <c r="LL33" i="9"/>
  <c r="LM33" i="9"/>
  <c r="LN33" i="9"/>
  <c r="LO33" i="9"/>
  <c r="LP33" i="9"/>
  <c r="LQ33" i="9"/>
  <c r="LR33" i="9"/>
  <c r="LS33" i="9"/>
  <c r="LT33" i="9"/>
  <c r="LU33" i="9"/>
  <c r="LV33" i="9"/>
  <c r="LW33" i="9"/>
  <c r="LX33" i="9"/>
  <c r="LY33" i="9"/>
  <c r="LZ33" i="9"/>
  <c r="MA33" i="9"/>
  <c r="MB33" i="9"/>
  <c r="MC33" i="9"/>
  <c r="MD33" i="9"/>
  <c r="ME33" i="9"/>
  <c r="MF33" i="9"/>
  <c r="MG33" i="9"/>
  <c r="MH33" i="9"/>
  <c r="MI33" i="9"/>
  <c r="MJ33" i="9"/>
  <c r="MK33" i="9"/>
  <c r="ML33" i="9"/>
  <c r="MM33" i="9"/>
  <c r="MN33" i="9"/>
  <c r="MO33" i="9"/>
  <c r="JF33" i="9"/>
  <c r="JG33" i="9"/>
  <c r="JH33" i="9"/>
  <c r="JI33" i="9"/>
  <c r="JJ33" i="9"/>
  <c r="JK33" i="9"/>
  <c r="JL33" i="9"/>
  <c r="JM33" i="9"/>
  <c r="JN33" i="9"/>
  <c r="JO33" i="9"/>
  <c r="JP33" i="9"/>
  <c r="JQ33" i="9"/>
  <c r="JR33" i="9"/>
  <c r="JS33" i="9"/>
  <c r="JT33" i="9"/>
  <c r="JU33" i="9"/>
  <c r="JV33" i="9"/>
  <c r="JW33" i="9"/>
  <c r="JX33" i="9"/>
  <c r="JY33" i="9"/>
  <c r="JZ33" i="9"/>
  <c r="KA33" i="9"/>
  <c r="KB33" i="9"/>
  <c r="KC33" i="9"/>
  <c r="KD33" i="9"/>
  <c r="KE33" i="9"/>
  <c r="KF33" i="9"/>
  <c r="KG33" i="9"/>
  <c r="KH33" i="9"/>
  <c r="KI33" i="9"/>
  <c r="KJ33" i="9"/>
  <c r="KK33" i="9"/>
  <c r="KL33" i="9"/>
  <c r="KM33" i="9"/>
  <c r="KN33" i="9"/>
  <c r="KO33" i="9"/>
  <c r="KP33" i="9"/>
  <c r="KQ33" i="9"/>
  <c r="KR33" i="9"/>
  <c r="KS33" i="9"/>
  <c r="KT33" i="9"/>
  <c r="KU33" i="9"/>
  <c r="KV33" i="9"/>
  <c r="KW33" i="9"/>
  <c r="HN33" i="9"/>
  <c r="HO33" i="9"/>
  <c r="HP33" i="9"/>
  <c r="HQ33" i="9"/>
  <c r="HR33" i="9"/>
  <c r="HS33" i="9"/>
  <c r="HT33" i="9"/>
  <c r="HU33" i="9"/>
  <c r="HV33" i="9"/>
  <c r="HW33" i="9"/>
  <c r="HX33" i="9"/>
  <c r="HY33" i="9"/>
  <c r="HZ33" i="9"/>
  <c r="IA33" i="9"/>
  <c r="IB33" i="9"/>
  <c r="IC33" i="9"/>
  <c r="ID33" i="9"/>
  <c r="IE33" i="9"/>
  <c r="IF33" i="9"/>
  <c r="IG33" i="9"/>
  <c r="IH33" i="9"/>
  <c r="II33" i="9"/>
  <c r="IJ33" i="9"/>
  <c r="IK33" i="9"/>
  <c r="IL33" i="9"/>
  <c r="IM33" i="9"/>
  <c r="IN33" i="9"/>
  <c r="IO33" i="9"/>
  <c r="IP33" i="9"/>
  <c r="IQ33" i="9"/>
  <c r="IR33" i="9"/>
  <c r="IS33" i="9"/>
  <c r="IT33" i="9"/>
  <c r="IU33" i="9"/>
  <c r="IV33" i="9"/>
  <c r="IW33" i="9"/>
  <c r="IX33" i="9"/>
  <c r="IY33" i="9"/>
  <c r="IZ33" i="9"/>
  <c r="JA33" i="9"/>
  <c r="JB33" i="9"/>
  <c r="JC33" i="9"/>
  <c r="JD33" i="9"/>
  <c r="JE33" i="9"/>
  <c r="FV33" i="9"/>
  <c r="FW33" i="9"/>
  <c r="FX33" i="9"/>
  <c r="FY33" i="9"/>
  <c r="FZ33" i="9"/>
  <c r="GA33" i="9"/>
  <c r="GB33" i="9"/>
  <c r="GC33" i="9"/>
  <c r="GD33" i="9"/>
  <c r="GE33" i="9"/>
  <c r="GF33" i="9"/>
  <c r="GG33" i="9"/>
  <c r="GH33" i="9"/>
  <c r="GI33" i="9"/>
  <c r="GJ33" i="9"/>
  <c r="GK33" i="9"/>
  <c r="GL33" i="9"/>
  <c r="GM33" i="9"/>
  <c r="GN33" i="9"/>
  <c r="GO33" i="9"/>
  <c r="GP33" i="9"/>
  <c r="GQ33" i="9"/>
  <c r="GR33" i="9"/>
  <c r="GS33" i="9"/>
  <c r="GT33" i="9"/>
  <c r="GU33" i="9"/>
  <c r="GV33" i="9"/>
  <c r="GW33" i="9"/>
  <c r="GX33" i="9"/>
  <c r="GY33" i="9"/>
  <c r="GZ33" i="9"/>
  <c r="HA33" i="9"/>
  <c r="HB33" i="9"/>
  <c r="HC33" i="9"/>
  <c r="HD33" i="9"/>
  <c r="HE33" i="9"/>
  <c r="HF33" i="9"/>
  <c r="HG33" i="9"/>
  <c r="HH33" i="9"/>
  <c r="HI33" i="9"/>
  <c r="HJ33" i="9"/>
  <c r="HK33" i="9"/>
  <c r="HL33" i="9"/>
  <c r="HM33" i="9"/>
  <c r="ED33" i="9"/>
  <c r="EE33" i="9"/>
  <c r="EF33" i="9"/>
  <c r="EG33" i="9"/>
  <c r="EH33" i="9"/>
  <c r="EI33" i="9"/>
  <c r="EJ33" i="9"/>
  <c r="EK33" i="9"/>
  <c r="EL33" i="9"/>
  <c r="EM33" i="9"/>
  <c r="EN33" i="9"/>
  <c r="EO33" i="9"/>
  <c r="EP33" i="9"/>
  <c r="EQ33" i="9"/>
  <c r="ER33" i="9"/>
  <c r="ES33" i="9"/>
  <c r="ET33" i="9"/>
  <c r="EU33" i="9"/>
  <c r="EV33" i="9"/>
  <c r="EW33" i="9"/>
  <c r="EX33" i="9"/>
  <c r="EY33" i="9"/>
  <c r="EZ33" i="9"/>
  <c r="FA33" i="9"/>
  <c r="FB33" i="9"/>
  <c r="FC33" i="9"/>
  <c r="FD33" i="9"/>
  <c r="FE33" i="9"/>
  <c r="FF33" i="9"/>
  <c r="FG33" i="9"/>
  <c r="FH33" i="9"/>
  <c r="FI33" i="9"/>
  <c r="FJ33" i="9"/>
  <c r="FK33" i="9"/>
  <c r="FL33" i="9"/>
  <c r="FM33" i="9"/>
  <c r="FN33" i="9"/>
  <c r="FO33" i="9"/>
  <c r="FP33" i="9"/>
  <c r="FQ33" i="9"/>
  <c r="FR33" i="9"/>
  <c r="FS33" i="9"/>
  <c r="FT33" i="9"/>
  <c r="FU33" i="9"/>
  <c r="CL33" i="9"/>
  <c r="CM33" i="9"/>
  <c r="CN33" i="9"/>
  <c r="CO33" i="9"/>
  <c r="CP33" i="9"/>
  <c r="CQ33" i="9"/>
  <c r="CR33" i="9"/>
  <c r="CS33" i="9"/>
  <c r="CT33" i="9"/>
  <c r="CU33" i="9"/>
  <c r="CV33" i="9"/>
  <c r="CW33" i="9"/>
  <c r="CX33" i="9"/>
  <c r="CY33" i="9"/>
  <c r="CZ33" i="9"/>
  <c r="DA33" i="9"/>
  <c r="DB33" i="9"/>
  <c r="DC33" i="9"/>
  <c r="DD33" i="9"/>
  <c r="DE33" i="9"/>
  <c r="DF33" i="9"/>
  <c r="DG33" i="9"/>
  <c r="DH33" i="9"/>
  <c r="DI33" i="9"/>
  <c r="DJ33" i="9"/>
  <c r="DK33" i="9"/>
  <c r="DL33" i="9"/>
  <c r="DM33" i="9"/>
  <c r="DN33" i="9"/>
  <c r="DO33" i="9"/>
  <c r="DP33" i="9"/>
  <c r="DQ33" i="9"/>
  <c r="DR33" i="9"/>
  <c r="DS33" i="9"/>
  <c r="DT33" i="9"/>
  <c r="DU33" i="9"/>
  <c r="DV33" i="9"/>
  <c r="DW33" i="9"/>
  <c r="DX33" i="9"/>
  <c r="DY33" i="9"/>
  <c r="DZ33" i="9"/>
  <c r="EA33" i="9"/>
  <c r="EB33" i="9"/>
  <c r="EC33" i="9"/>
  <c r="AT33" i="9"/>
  <c r="AU33" i="9"/>
  <c r="AV33" i="9"/>
  <c r="AW33" i="9"/>
  <c r="AX33" i="9"/>
  <c r="AY33" i="9"/>
  <c r="AZ33" i="9"/>
  <c r="BA33" i="9"/>
  <c r="BB33" i="9"/>
  <c r="BC33" i="9"/>
  <c r="BD33" i="9"/>
  <c r="BE33" i="9"/>
  <c r="BF33" i="9"/>
  <c r="BG33" i="9"/>
  <c r="BH33" i="9"/>
  <c r="BI33" i="9"/>
  <c r="BJ33" i="9"/>
  <c r="BK33" i="9"/>
  <c r="BL33" i="9"/>
  <c r="BM33" i="9"/>
  <c r="BN33" i="9"/>
  <c r="BO33" i="9"/>
  <c r="BP33" i="9"/>
  <c r="BQ33" i="9"/>
  <c r="BR33" i="9"/>
  <c r="BS33" i="9"/>
  <c r="BT33" i="9"/>
  <c r="BU33" i="9"/>
  <c r="BV33" i="9"/>
  <c r="BW33" i="9"/>
  <c r="BX33" i="9"/>
  <c r="BY33" i="9"/>
  <c r="BZ33" i="9"/>
  <c r="CA33" i="9"/>
  <c r="CB33" i="9"/>
  <c r="CC33" i="9"/>
  <c r="CD33" i="9"/>
  <c r="CE33" i="9"/>
  <c r="CF33" i="9"/>
  <c r="CG33" i="9"/>
  <c r="CH33" i="9"/>
  <c r="CI33" i="9"/>
  <c r="CJ33" i="9"/>
  <c r="CK33" i="9"/>
  <c r="B33" i="9"/>
  <c r="C33" i="9"/>
  <c r="D33" i="9"/>
  <c r="E33" i="9"/>
  <c r="F33" i="9"/>
  <c r="G33" i="9"/>
  <c r="H33" i="9"/>
  <c r="I33" i="9"/>
  <c r="J33" i="9"/>
  <c r="K33" i="9"/>
  <c r="L33" i="9"/>
  <c r="M33" i="9"/>
  <c r="N33" i="9"/>
  <c r="O33" i="9"/>
  <c r="P33" i="9"/>
  <c r="Q33" i="9"/>
  <c r="R33" i="9"/>
  <c r="S33" i="9"/>
  <c r="T33" i="9"/>
  <c r="U33" i="9"/>
  <c r="V33" i="9"/>
  <c r="W33" i="9"/>
  <c r="X33" i="9"/>
  <c r="Y33" i="9"/>
  <c r="Z33" i="9"/>
  <c r="AA33" i="9"/>
  <c r="AB33" i="9"/>
  <c r="AC33" i="9"/>
  <c r="AD33" i="9"/>
  <c r="AE33" i="9"/>
  <c r="AF33" i="9"/>
  <c r="AG33" i="9"/>
  <c r="AH33" i="9"/>
  <c r="AI33" i="9"/>
  <c r="AJ33" i="9"/>
  <c r="AK33" i="9"/>
  <c r="AL33" i="9"/>
  <c r="AM33" i="9"/>
  <c r="AN33" i="9"/>
  <c r="AO33" i="9"/>
  <c r="AP33" i="9"/>
  <c r="AQ33" i="9"/>
  <c r="AR33" i="9"/>
  <c r="AS33" i="9"/>
  <c r="WU32" i="9"/>
  <c r="WV32" i="9"/>
  <c r="WW32" i="9"/>
  <c r="WX32" i="9"/>
  <c r="WY32" i="9"/>
  <c r="WZ32" i="9"/>
  <c r="XA32" i="9"/>
  <c r="XB32" i="9"/>
  <c r="XC32" i="9"/>
  <c r="XD32" i="9"/>
  <c r="XE32" i="9"/>
  <c r="XF32" i="9"/>
  <c r="XG32" i="9"/>
  <c r="XH32" i="9"/>
  <c r="XI32" i="9"/>
  <c r="XJ32" i="9"/>
  <c r="XK32" i="9"/>
  <c r="XL32" i="9"/>
  <c r="XM32" i="9"/>
  <c r="XN32" i="9"/>
  <c r="XO32" i="9"/>
  <c r="XP32" i="9"/>
  <c r="XQ32" i="9"/>
  <c r="XR32" i="9"/>
  <c r="XS32" i="9"/>
  <c r="XT32" i="9"/>
  <c r="XU32" i="9"/>
  <c r="XV32" i="9"/>
  <c r="XW32" i="9"/>
  <c r="XX32" i="9"/>
  <c r="XY32" i="9"/>
  <c r="XZ32" i="9"/>
  <c r="YA32" i="9"/>
  <c r="YB32" i="9"/>
  <c r="YC32" i="9"/>
  <c r="YD32" i="9"/>
  <c r="YE32" i="9"/>
  <c r="YF32" i="9"/>
  <c r="YG32" i="9"/>
  <c r="YH32" i="9"/>
  <c r="YI32" i="9"/>
  <c r="YJ32" i="9"/>
  <c r="YK32" i="9"/>
  <c r="VC32" i="9"/>
  <c r="VD32" i="9"/>
  <c r="VE32" i="9"/>
  <c r="VF32" i="9"/>
  <c r="VG32" i="9"/>
  <c r="VH32" i="9"/>
  <c r="VI32" i="9"/>
  <c r="VJ32" i="9"/>
  <c r="VK32" i="9"/>
  <c r="VL32" i="9"/>
  <c r="VM32" i="9"/>
  <c r="VN32" i="9"/>
  <c r="VO32" i="9"/>
  <c r="VP32" i="9"/>
  <c r="VQ32" i="9"/>
  <c r="VR32" i="9"/>
  <c r="VS32" i="9"/>
  <c r="VT32" i="9"/>
  <c r="VU32" i="9"/>
  <c r="VV32" i="9"/>
  <c r="VW32" i="9"/>
  <c r="VX32" i="9"/>
  <c r="VY32" i="9"/>
  <c r="VZ32" i="9"/>
  <c r="WA32" i="9"/>
  <c r="WB32" i="9"/>
  <c r="WC32" i="9"/>
  <c r="WD32" i="9"/>
  <c r="WE32" i="9"/>
  <c r="WF32" i="9"/>
  <c r="WG32" i="9"/>
  <c r="WH32" i="9"/>
  <c r="WI32" i="9"/>
  <c r="WJ32" i="9"/>
  <c r="WK32" i="9"/>
  <c r="WL32" i="9"/>
  <c r="WM32" i="9"/>
  <c r="WN32" i="9"/>
  <c r="WO32" i="9"/>
  <c r="WP32" i="9"/>
  <c r="WQ32" i="9"/>
  <c r="WR32" i="9"/>
  <c r="WS32" i="9"/>
  <c r="TK32" i="9"/>
  <c r="TL32" i="9"/>
  <c r="TM32" i="9"/>
  <c r="TN32" i="9"/>
  <c r="TO32" i="9"/>
  <c r="TP32" i="9"/>
  <c r="TQ32" i="9"/>
  <c r="TR32" i="9"/>
  <c r="TS32" i="9"/>
  <c r="TT32" i="9"/>
  <c r="TU32" i="9"/>
  <c r="TV32" i="9"/>
  <c r="TW32" i="9"/>
  <c r="TX32" i="9"/>
  <c r="TY32" i="9"/>
  <c r="TZ32" i="9"/>
  <c r="UA32" i="9"/>
  <c r="UB32" i="9"/>
  <c r="UC32" i="9"/>
  <c r="UD32" i="9"/>
  <c r="UE32" i="9"/>
  <c r="UF32" i="9"/>
  <c r="UG32" i="9"/>
  <c r="UH32" i="9"/>
  <c r="UI32" i="9"/>
  <c r="UJ32" i="9"/>
  <c r="UK32" i="9"/>
  <c r="UL32" i="9"/>
  <c r="UM32" i="9"/>
  <c r="UN32" i="9"/>
  <c r="UO32" i="9"/>
  <c r="UP32" i="9"/>
  <c r="UQ32" i="9"/>
  <c r="UR32" i="9"/>
  <c r="US32" i="9"/>
  <c r="UT32" i="9"/>
  <c r="UU32" i="9"/>
  <c r="UV32" i="9"/>
  <c r="UW32" i="9"/>
  <c r="UX32" i="9"/>
  <c r="UY32" i="9"/>
  <c r="UZ32" i="9"/>
  <c r="VA32" i="9"/>
  <c r="RS32" i="9"/>
  <c r="RT32" i="9"/>
  <c r="RU32" i="9"/>
  <c r="RV32" i="9"/>
  <c r="RW32" i="9"/>
  <c r="RX32" i="9"/>
  <c r="RY32" i="9"/>
  <c r="RZ32" i="9"/>
  <c r="SA32" i="9"/>
  <c r="SB32" i="9"/>
  <c r="SC32" i="9"/>
  <c r="SD32" i="9"/>
  <c r="SE32" i="9"/>
  <c r="SF32" i="9"/>
  <c r="SG32" i="9"/>
  <c r="SH32" i="9"/>
  <c r="SI32" i="9"/>
  <c r="SJ32" i="9"/>
  <c r="SK32" i="9"/>
  <c r="SL32" i="9"/>
  <c r="SM32" i="9"/>
  <c r="SN32" i="9"/>
  <c r="SO32" i="9"/>
  <c r="SP32" i="9"/>
  <c r="SQ32" i="9"/>
  <c r="SR32" i="9"/>
  <c r="SS32" i="9"/>
  <c r="ST32" i="9"/>
  <c r="SU32" i="9"/>
  <c r="SV32" i="9"/>
  <c r="SW32" i="9"/>
  <c r="SX32" i="9"/>
  <c r="SY32" i="9"/>
  <c r="SZ32" i="9"/>
  <c r="TA32" i="9"/>
  <c r="TB32" i="9"/>
  <c r="TC32" i="9"/>
  <c r="TD32" i="9"/>
  <c r="TE32" i="9"/>
  <c r="TF32" i="9"/>
  <c r="TG32" i="9"/>
  <c r="TH32" i="9"/>
  <c r="TI32" i="9"/>
  <c r="QA32" i="9"/>
  <c r="QB32" i="9"/>
  <c r="QC32" i="9"/>
  <c r="QD32" i="9"/>
  <c r="QE32" i="9"/>
  <c r="QF32" i="9"/>
  <c r="QG32" i="9"/>
  <c r="QH32" i="9"/>
  <c r="QI32" i="9"/>
  <c r="QJ32" i="9"/>
  <c r="QK32" i="9"/>
  <c r="QL32" i="9"/>
  <c r="QM32" i="9"/>
  <c r="QN32" i="9"/>
  <c r="QO32" i="9"/>
  <c r="QP32" i="9"/>
  <c r="QQ32" i="9"/>
  <c r="QR32" i="9"/>
  <c r="QS32" i="9"/>
  <c r="QT32" i="9"/>
  <c r="QU32" i="9"/>
  <c r="QV32" i="9"/>
  <c r="QW32" i="9"/>
  <c r="QX32" i="9"/>
  <c r="QY32" i="9"/>
  <c r="QZ32" i="9"/>
  <c r="RA32" i="9"/>
  <c r="RB32" i="9"/>
  <c r="RC32" i="9"/>
  <c r="RD32" i="9"/>
  <c r="RE32" i="9"/>
  <c r="RF32" i="9"/>
  <c r="RG32" i="9"/>
  <c r="RH32" i="9"/>
  <c r="RI32" i="9"/>
  <c r="RJ32" i="9"/>
  <c r="RK32" i="9"/>
  <c r="RL32" i="9"/>
  <c r="RM32" i="9"/>
  <c r="RN32" i="9"/>
  <c r="RO32" i="9"/>
  <c r="RP32" i="9"/>
  <c r="RQ32" i="9"/>
  <c r="OI32" i="9"/>
  <c r="OJ32" i="9"/>
  <c r="OK32" i="9"/>
  <c r="OL32" i="9"/>
  <c r="OM32" i="9"/>
  <c r="ON32" i="9"/>
  <c r="OO32" i="9"/>
  <c r="OP32" i="9"/>
  <c r="OQ32" i="9"/>
  <c r="OR32" i="9"/>
  <c r="OS32" i="9"/>
  <c r="OT32" i="9"/>
  <c r="OU32" i="9"/>
  <c r="OV32" i="9"/>
  <c r="OW32" i="9"/>
  <c r="OX32" i="9"/>
  <c r="OY32" i="9"/>
  <c r="OZ32" i="9"/>
  <c r="PA32" i="9"/>
  <c r="PB32" i="9"/>
  <c r="PC32" i="9"/>
  <c r="PD32" i="9"/>
  <c r="PE32" i="9"/>
  <c r="PF32" i="9"/>
  <c r="PG32" i="9"/>
  <c r="PH32" i="9"/>
  <c r="PI32" i="9"/>
  <c r="PJ32" i="9"/>
  <c r="PK32" i="9"/>
  <c r="PL32" i="9"/>
  <c r="PM32" i="9"/>
  <c r="PN32" i="9"/>
  <c r="PO32" i="9"/>
  <c r="PP32" i="9"/>
  <c r="PQ32" i="9"/>
  <c r="PR32" i="9"/>
  <c r="PS32" i="9"/>
  <c r="PT32" i="9"/>
  <c r="PU32" i="9"/>
  <c r="PV32" i="9"/>
  <c r="PW32" i="9"/>
  <c r="PX32" i="9"/>
  <c r="PY32" i="9"/>
  <c r="MQ32" i="9"/>
  <c r="MR32" i="9"/>
  <c r="MS32" i="9"/>
  <c r="MT32" i="9"/>
  <c r="MU32" i="9"/>
  <c r="MV32" i="9"/>
  <c r="MW32" i="9"/>
  <c r="MX32" i="9"/>
  <c r="MY32" i="9"/>
  <c r="MZ32" i="9"/>
  <c r="NA32" i="9"/>
  <c r="NB32" i="9"/>
  <c r="NC32" i="9"/>
  <c r="ND32" i="9"/>
  <c r="NE32" i="9"/>
  <c r="NF32" i="9"/>
  <c r="NG32" i="9"/>
  <c r="NH32" i="9"/>
  <c r="NI32" i="9"/>
  <c r="NJ32" i="9"/>
  <c r="NK32" i="9"/>
  <c r="NL32" i="9"/>
  <c r="NM32" i="9"/>
  <c r="NN32" i="9"/>
  <c r="NO32" i="9"/>
  <c r="NP32" i="9"/>
  <c r="NQ32" i="9"/>
  <c r="NR32" i="9"/>
  <c r="NS32" i="9"/>
  <c r="NT32" i="9"/>
  <c r="NU32" i="9"/>
  <c r="NV32" i="9"/>
  <c r="NW32" i="9"/>
  <c r="NX32" i="9"/>
  <c r="NY32" i="9"/>
  <c r="NZ32" i="9"/>
  <c r="OA32" i="9"/>
  <c r="OB32" i="9"/>
  <c r="OC32" i="9"/>
  <c r="OD32" i="9"/>
  <c r="OE32" i="9"/>
  <c r="OF32" i="9"/>
  <c r="OG32" i="9"/>
  <c r="KY32" i="9"/>
  <c r="KZ32" i="9"/>
  <c r="LA32" i="9"/>
  <c r="LB32" i="9"/>
  <c r="LC32" i="9"/>
  <c r="LD32" i="9"/>
  <c r="LE32" i="9"/>
  <c r="LF32" i="9"/>
  <c r="LG32" i="9"/>
  <c r="LH32" i="9"/>
  <c r="LI32" i="9"/>
  <c r="LJ32" i="9"/>
  <c r="LK32" i="9"/>
  <c r="LL32" i="9"/>
  <c r="LM32" i="9"/>
  <c r="LN32" i="9"/>
  <c r="LO32" i="9"/>
  <c r="LP32" i="9"/>
  <c r="LQ32" i="9"/>
  <c r="LR32" i="9"/>
  <c r="LS32" i="9"/>
  <c r="LT32" i="9"/>
  <c r="LU32" i="9"/>
  <c r="LV32" i="9"/>
  <c r="LW32" i="9"/>
  <c r="LX32" i="9"/>
  <c r="LY32" i="9"/>
  <c r="LZ32" i="9"/>
  <c r="MA32" i="9"/>
  <c r="MB32" i="9"/>
  <c r="MC32" i="9"/>
  <c r="MD32" i="9"/>
  <c r="ME32" i="9"/>
  <c r="MF32" i="9"/>
  <c r="MG32" i="9"/>
  <c r="MH32" i="9"/>
  <c r="MI32" i="9"/>
  <c r="MJ32" i="9"/>
  <c r="MK32" i="9"/>
  <c r="ML32" i="9"/>
  <c r="MM32" i="9"/>
  <c r="MN32" i="9"/>
  <c r="MO32" i="9"/>
  <c r="JG32" i="9"/>
  <c r="JH32" i="9"/>
  <c r="JI32" i="9"/>
  <c r="JJ32" i="9"/>
  <c r="JK32" i="9"/>
  <c r="JL32" i="9"/>
  <c r="JM32" i="9"/>
  <c r="JN32" i="9"/>
  <c r="JO32" i="9"/>
  <c r="JP32" i="9"/>
  <c r="JQ32" i="9"/>
  <c r="JR32" i="9"/>
  <c r="JS32" i="9"/>
  <c r="JT32" i="9"/>
  <c r="JU32" i="9"/>
  <c r="JV32" i="9"/>
  <c r="JW32" i="9"/>
  <c r="JX32" i="9"/>
  <c r="JY32" i="9"/>
  <c r="JZ32" i="9"/>
  <c r="KA32" i="9"/>
  <c r="KB32" i="9"/>
  <c r="KC32" i="9"/>
  <c r="KD32" i="9"/>
  <c r="KE32" i="9"/>
  <c r="KF32" i="9"/>
  <c r="KG32" i="9"/>
  <c r="KH32" i="9"/>
  <c r="KI32" i="9"/>
  <c r="KJ32" i="9"/>
  <c r="KK32" i="9"/>
  <c r="KL32" i="9"/>
  <c r="KM32" i="9"/>
  <c r="KN32" i="9"/>
  <c r="KO32" i="9"/>
  <c r="KP32" i="9"/>
  <c r="KQ32" i="9"/>
  <c r="KR32" i="9"/>
  <c r="KS32" i="9"/>
  <c r="KT32" i="9"/>
  <c r="KU32" i="9"/>
  <c r="KV32" i="9"/>
  <c r="KW32" i="9"/>
  <c r="HO32" i="9"/>
  <c r="HP32" i="9"/>
  <c r="HQ32" i="9"/>
  <c r="HR32" i="9"/>
  <c r="HS32" i="9"/>
  <c r="HT32" i="9"/>
  <c r="HU32" i="9"/>
  <c r="HV32" i="9"/>
  <c r="HW32" i="9"/>
  <c r="HX32" i="9"/>
  <c r="HY32" i="9"/>
  <c r="HZ32" i="9"/>
  <c r="IA32" i="9"/>
  <c r="IB32" i="9"/>
  <c r="IC32" i="9"/>
  <c r="ID32" i="9"/>
  <c r="IE32" i="9"/>
  <c r="IF32" i="9"/>
  <c r="IG32" i="9"/>
  <c r="IH32" i="9"/>
  <c r="II32" i="9"/>
  <c r="IJ32" i="9"/>
  <c r="IK32" i="9"/>
  <c r="IL32" i="9"/>
  <c r="IM32" i="9"/>
  <c r="IN32" i="9"/>
  <c r="IO32" i="9"/>
  <c r="IP32" i="9"/>
  <c r="IQ32" i="9"/>
  <c r="IR32" i="9"/>
  <c r="IS32" i="9"/>
  <c r="IT32" i="9"/>
  <c r="IU32" i="9"/>
  <c r="IV32" i="9"/>
  <c r="IW32" i="9"/>
  <c r="IX32" i="9"/>
  <c r="IY32" i="9"/>
  <c r="IZ32" i="9"/>
  <c r="JA32" i="9"/>
  <c r="JB32" i="9"/>
  <c r="JC32" i="9"/>
  <c r="JD32" i="9"/>
  <c r="JE32" i="9"/>
  <c r="FW32" i="9"/>
  <c r="FX32" i="9"/>
  <c r="FY32" i="9"/>
  <c r="FZ32" i="9"/>
  <c r="GA32" i="9"/>
  <c r="GB32" i="9"/>
  <c r="GC32" i="9"/>
  <c r="GD32" i="9"/>
  <c r="GE32" i="9"/>
  <c r="GF32" i="9"/>
  <c r="GG32" i="9"/>
  <c r="GH32" i="9"/>
  <c r="GI32" i="9"/>
  <c r="GJ32" i="9"/>
  <c r="GK32" i="9"/>
  <c r="GL32" i="9"/>
  <c r="GM32" i="9"/>
  <c r="GN32" i="9"/>
  <c r="GO32" i="9"/>
  <c r="GP32" i="9"/>
  <c r="GQ32" i="9"/>
  <c r="GR32" i="9"/>
  <c r="GS32" i="9"/>
  <c r="GT32" i="9"/>
  <c r="GU32" i="9"/>
  <c r="GV32" i="9"/>
  <c r="GW32" i="9"/>
  <c r="GX32" i="9"/>
  <c r="GY32" i="9"/>
  <c r="GZ32" i="9"/>
  <c r="HA32" i="9"/>
  <c r="HB32" i="9"/>
  <c r="HC32" i="9"/>
  <c r="HD32" i="9"/>
  <c r="HE32" i="9"/>
  <c r="HF32" i="9"/>
  <c r="HG32" i="9"/>
  <c r="HH32" i="9"/>
  <c r="HI32" i="9"/>
  <c r="HJ32" i="9"/>
  <c r="HK32" i="9"/>
  <c r="HL32" i="9"/>
  <c r="HM32" i="9"/>
  <c r="EE32" i="9"/>
  <c r="EF32" i="9"/>
  <c r="EG32" i="9"/>
  <c r="EH32" i="9"/>
  <c r="EI32" i="9"/>
  <c r="EJ32" i="9"/>
  <c r="EK32" i="9"/>
  <c r="EL32" i="9"/>
  <c r="EM32" i="9"/>
  <c r="EN32" i="9"/>
  <c r="EO32" i="9"/>
  <c r="EP32" i="9"/>
  <c r="EQ32" i="9"/>
  <c r="ER32" i="9"/>
  <c r="ES32" i="9"/>
  <c r="ET32" i="9"/>
  <c r="EU32" i="9"/>
  <c r="EV32" i="9"/>
  <c r="EW32" i="9"/>
  <c r="EX32" i="9"/>
  <c r="EY32" i="9"/>
  <c r="EZ32" i="9"/>
  <c r="FA32" i="9"/>
  <c r="FB32" i="9"/>
  <c r="FC32" i="9"/>
  <c r="FD32" i="9"/>
  <c r="FE32" i="9"/>
  <c r="FF32" i="9"/>
  <c r="FG32" i="9"/>
  <c r="FH32" i="9"/>
  <c r="FI32" i="9"/>
  <c r="FJ32" i="9"/>
  <c r="FK32" i="9"/>
  <c r="FL32" i="9"/>
  <c r="FM32" i="9"/>
  <c r="FN32" i="9"/>
  <c r="FO32" i="9"/>
  <c r="FP32" i="9"/>
  <c r="FQ32" i="9"/>
  <c r="FR32" i="9"/>
  <c r="FS32" i="9"/>
  <c r="FT32" i="9"/>
  <c r="FU32" i="9"/>
  <c r="CM32" i="9"/>
  <c r="CN32" i="9"/>
  <c r="CO32" i="9"/>
  <c r="CP32" i="9"/>
  <c r="CQ32" i="9"/>
  <c r="CR32" i="9"/>
  <c r="CS32" i="9"/>
  <c r="CT32" i="9"/>
  <c r="CU32" i="9"/>
  <c r="CV32" i="9"/>
  <c r="CW32" i="9"/>
  <c r="CX32" i="9"/>
  <c r="CY32" i="9"/>
  <c r="CZ32" i="9"/>
  <c r="DA32" i="9"/>
  <c r="DB32" i="9"/>
  <c r="DC32" i="9"/>
  <c r="DD32" i="9"/>
  <c r="DE32" i="9"/>
  <c r="DF32" i="9"/>
  <c r="DG32" i="9"/>
  <c r="DH32" i="9"/>
  <c r="DI32" i="9"/>
  <c r="DJ32" i="9"/>
  <c r="DK32" i="9"/>
  <c r="DL32" i="9"/>
  <c r="DM32" i="9"/>
  <c r="DN32" i="9"/>
  <c r="DO32" i="9"/>
  <c r="DP32" i="9"/>
  <c r="DQ32" i="9"/>
  <c r="DR32" i="9"/>
  <c r="DS32" i="9"/>
  <c r="DT32" i="9"/>
  <c r="DU32" i="9"/>
  <c r="DV32" i="9"/>
  <c r="DW32" i="9"/>
  <c r="DX32" i="9"/>
  <c r="DY32" i="9"/>
  <c r="DZ32" i="9"/>
  <c r="EA32" i="9"/>
  <c r="EB32" i="9"/>
  <c r="EC32" i="9"/>
  <c r="AU32" i="9"/>
  <c r="AV32" i="9"/>
  <c r="AW32" i="9"/>
  <c r="AX32" i="9"/>
  <c r="AY32" i="9"/>
  <c r="AZ32" i="9"/>
  <c r="BA32" i="9"/>
  <c r="BB32" i="9"/>
  <c r="BC32" i="9"/>
  <c r="BD32" i="9"/>
  <c r="BE32" i="9"/>
  <c r="BF32" i="9"/>
  <c r="BG32" i="9"/>
  <c r="BH32" i="9"/>
  <c r="BI32" i="9"/>
  <c r="BJ32" i="9"/>
  <c r="BK32" i="9"/>
  <c r="BL32" i="9"/>
  <c r="BM32" i="9"/>
  <c r="BN32" i="9"/>
  <c r="BO32" i="9"/>
  <c r="BP32" i="9"/>
  <c r="BQ32" i="9"/>
  <c r="BR32" i="9"/>
  <c r="BS32" i="9"/>
  <c r="BT32" i="9"/>
  <c r="BU32" i="9"/>
  <c r="BV32" i="9"/>
  <c r="BW32" i="9"/>
  <c r="BX32" i="9"/>
  <c r="BY32" i="9"/>
  <c r="BZ32" i="9"/>
  <c r="CA32" i="9"/>
  <c r="CB32" i="9"/>
  <c r="CC32" i="9"/>
  <c r="CD32" i="9"/>
  <c r="CE32" i="9"/>
  <c r="CF32" i="9"/>
  <c r="CG32" i="9"/>
  <c r="CH32" i="9"/>
  <c r="CI32" i="9"/>
  <c r="CJ32" i="9"/>
  <c r="CK32" i="9"/>
  <c r="C32" i="9"/>
  <c r="D32" i="9"/>
  <c r="E32" i="9"/>
  <c r="F32" i="9"/>
  <c r="G32" i="9"/>
  <c r="H32" i="9"/>
  <c r="I32" i="9"/>
  <c r="J32" i="9"/>
  <c r="K32" i="9"/>
  <c r="L32" i="9"/>
  <c r="M32" i="9"/>
  <c r="N32" i="9"/>
  <c r="O32" i="9"/>
  <c r="P32" i="9"/>
  <c r="Q32" i="9"/>
  <c r="R32" i="9"/>
  <c r="S32" i="9"/>
  <c r="T32" i="9"/>
  <c r="U32" i="9"/>
  <c r="V32" i="9"/>
  <c r="W32" i="9"/>
  <c r="X32" i="9"/>
  <c r="Y32" i="9"/>
  <c r="Z32" i="9"/>
  <c r="AA32" i="9"/>
  <c r="AB32" i="9"/>
  <c r="AC32" i="9"/>
  <c r="AD32" i="9"/>
  <c r="AE32" i="9"/>
  <c r="AF32" i="9"/>
  <c r="AG32" i="9"/>
  <c r="AH32" i="9"/>
  <c r="AI32" i="9"/>
  <c r="AJ32" i="9"/>
  <c r="AK32" i="9"/>
  <c r="AL32" i="9"/>
  <c r="AM32" i="9"/>
  <c r="AN32" i="9"/>
  <c r="AO32" i="9"/>
  <c r="AP32" i="9"/>
  <c r="AQ32" i="9"/>
  <c r="AR32" i="9"/>
  <c r="AS32" i="9"/>
  <c r="CDZ31" i="9"/>
  <c r="CEA31" i="9"/>
  <c r="CEB31" i="9"/>
  <c r="CEC31" i="9"/>
  <c r="CED31" i="9"/>
  <c r="CEE31" i="9"/>
  <c r="CEF31" i="9"/>
  <c r="CEG31" i="9"/>
  <c r="CEH31" i="9"/>
  <c r="CEI31" i="9"/>
  <c r="CEJ31" i="9"/>
  <c r="CEK31" i="9"/>
  <c r="CEL31" i="9"/>
  <c r="CEM31" i="9"/>
  <c r="CEN31" i="9"/>
  <c r="CEO31" i="9"/>
  <c r="CEP31" i="9"/>
  <c r="CEQ31" i="9"/>
  <c r="CER31" i="9"/>
  <c r="CES31" i="9"/>
  <c r="CET31" i="9"/>
  <c r="CEU31" i="9"/>
  <c r="CEV31" i="9"/>
  <c r="CEW31" i="9"/>
  <c r="CEX31" i="9"/>
  <c r="CEY31" i="9"/>
  <c r="CEZ31" i="9"/>
  <c r="CFA31" i="9"/>
  <c r="CFB31" i="9"/>
  <c r="CFC31" i="9"/>
  <c r="CFD31" i="9"/>
  <c r="CFE31" i="9"/>
  <c r="CFF31" i="9"/>
  <c r="CFG31" i="9"/>
  <c r="CFH31" i="9"/>
  <c r="CFI31" i="9"/>
  <c r="CFJ31" i="9"/>
  <c r="CFK31" i="9"/>
  <c r="CFL31" i="9"/>
  <c r="CFM31" i="9"/>
  <c r="CFN31" i="9"/>
  <c r="CFO31" i="9"/>
  <c r="CFP31" i="9"/>
  <c r="CFQ31" i="9"/>
  <c r="CCI31" i="9"/>
  <c r="CCJ31" i="9"/>
  <c r="CCK31" i="9"/>
  <c r="CCL31" i="9"/>
  <c r="CCM31" i="9"/>
  <c r="CCN31" i="9"/>
  <c r="CCO31" i="9"/>
  <c r="CCP31" i="9"/>
  <c r="CCQ31" i="9"/>
  <c r="CCR31" i="9"/>
  <c r="CCS31" i="9"/>
  <c r="CCT31" i="9"/>
  <c r="CCU31" i="9"/>
  <c r="CCV31" i="9"/>
  <c r="CCW31" i="9"/>
  <c r="CCX31" i="9"/>
  <c r="CCY31" i="9"/>
  <c r="CCZ31" i="9"/>
  <c r="CDA31" i="9"/>
  <c r="CDB31" i="9"/>
  <c r="CDC31" i="9"/>
  <c r="CDD31" i="9"/>
  <c r="CDE31" i="9"/>
  <c r="CDF31" i="9"/>
  <c r="CDG31" i="9"/>
  <c r="CDH31" i="9"/>
  <c r="CDI31" i="9"/>
  <c r="CDJ31" i="9"/>
  <c r="CDK31" i="9"/>
  <c r="CDL31" i="9"/>
  <c r="CDM31" i="9"/>
  <c r="CDN31" i="9"/>
  <c r="CDO31" i="9"/>
  <c r="CDP31" i="9"/>
  <c r="CDQ31" i="9"/>
  <c r="CDR31" i="9"/>
  <c r="CDS31" i="9"/>
  <c r="CDT31" i="9"/>
  <c r="CDU31" i="9"/>
  <c r="CDV31" i="9"/>
  <c r="CDW31" i="9"/>
  <c r="CDX31" i="9"/>
  <c r="CDY31" i="9"/>
  <c r="CAQ31" i="9"/>
  <c r="CAR31" i="9"/>
  <c r="CAS31" i="9"/>
  <c r="CAT31" i="9"/>
  <c r="CAU31" i="9"/>
  <c r="CAV31" i="9"/>
  <c r="CAW31" i="9"/>
  <c r="CAX31" i="9"/>
  <c r="CAY31" i="9"/>
  <c r="CAZ31" i="9"/>
  <c r="CBA31" i="9"/>
  <c r="CBB31" i="9"/>
  <c r="CBC31" i="9"/>
  <c r="CBD31" i="9"/>
  <c r="CBE31" i="9"/>
  <c r="CBF31" i="9"/>
  <c r="CBG31" i="9"/>
  <c r="CBH31" i="9"/>
  <c r="CBI31" i="9"/>
  <c r="CBJ31" i="9"/>
  <c r="CBK31" i="9"/>
  <c r="CBL31" i="9"/>
  <c r="CBM31" i="9"/>
  <c r="CBN31" i="9"/>
  <c r="CBO31" i="9"/>
  <c r="CBP31" i="9"/>
  <c r="CBQ31" i="9"/>
  <c r="CBR31" i="9"/>
  <c r="CBS31" i="9"/>
  <c r="CBT31" i="9"/>
  <c r="CBU31" i="9"/>
  <c r="CBV31" i="9"/>
  <c r="CBW31" i="9"/>
  <c r="CBX31" i="9"/>
  <c r="CBY31" i="9"/>
  <c r="CBZ31" i="9"/>
  <c r="CCA31" i="9"/>
  <c r="CCB31" i="9"/>
  <c r="CCC31" i="9"/>
  <c r="CCD31" i="9"/>
  <c r="CCE31" i="9"/>
  <c r="CCF31" i="9"/>
  <c r="CCG31" i="9"/>
  <c r="BYY31" i="9"/>
  <c r="BYZ31" i="9"/>
  <c r="BZA31" i="9"/>
  <c r="BZB31" i="9"/>
  <c r="BZC31" i="9"/>
  <c r="BZD31" i="9"/>
  <c r="BZE31" i="9"/>
  <c r="BZF31" i="9"/>
  <c r="BZG31" i="9"/>
  <c r="BZH31" i="9"/>
  <c r="BZI31" i="9"/>
  <c r="BZJ31" i="9"/>
  <c r="BZK31" i="9"/>
  <c r="BZL31" i="9"/>
  <c r="BZM31" i="9"/>
  <c r="BZN31" i="9"/>
  <c r="BZO31" i="9"/>
  <c r="BZP31" i="9"/>
  <c r="BZQ31" i="9"/>
  <c r="BZR31" i="9"/>
  <c r="BZS31" i="9"/>
  <c r="BZT31" i="9"/>
  <c r="BZU31" i="9"/>
  <c r="BZV31" i="9"/>
  <c r="BZW31" i="9"/>
  <c r="BZX31" i="9"/>
  <c r="BZY31" i="9"/>
  <c r="BZZ31" i="9"/>
  <c r="CAA31" i="9"/>
  <c r="CAB31" i="9"/>
  <c r="CAC31" i="9"/>
  <c r="CAD31" i="9"/>
  <c r="CAE31" i="9"/>
  <c r="CAF31" i="9"/>
  <c r="CAG31" i="9"/>
  <c r="CAH31" i="9"/>
  <c r="CAI31" i="9"/>
  <c r="CAJ31" i="9"/>
  <c r="CAK31" i="9"/>
  <c r="CAL31" i="9"/>
  <c r="CAM31" i="9"/>
  <c r="CAN31" i="9"/>
  <c r="CAO31" i="9"/>
  <c r="BXG31" i="9"/>
  <c r="BXH31" i="9"/>
  <c r="BXI31" i="9"/>
  <c r="BXJ31" i="9"/>
  <c r="BXK31" i="9"/>
  <c r="BXL31" i="9"/>
  <c r="BXM31" i="9"/>
  <c r="BXN31" i="9"/>
  <c r="BXO31" i="9"/>
  <c r="BXP31" i="9"/>
  <c r="BXQ31" i="9"/>
  <c r="BXR31" i="9"/>
  <c r="BXS31" i="9"/>
  <c r="BXT31" i="9"/>
  <c r="BXU31" i="9"/>
  <c r="BXV31" i="9"/>
  <c r="BXW31" i="9"/>
  <c r="BXX31" i="9"/>
  <c r="BXY31" i="9"/>
  <c r="BXZ31" i="9"/>
  <c r="BYA31" i="9"/>
  <c r="BYB31" i="9"/>
  <c r="BYC31" i="9"/>
  <c r="BYD31" i="9"/>
  <c r="BYE31" i="9"/>
  <c r="BYF31" i="9"/>
  <c r="BYG31" i="9"/>
  <c r="BYH31" i="9"/>
  <c r="BYI31" i="9"/>
  <c r="BYJ31" i="9"/>
  <c r="BYK31" i="9"/>
  <c r="BYL31" i="9"/>
  <c r="BYM31" i="9"/>
  <c r="BYN31" i="9"/>
  <c r="BYO31" i="9"/>
  <c r="BYP31" i="9"/>
  <c r="BYQ31" i="9"/>
  <c r="BYR31" i="9"/>
  <c r="BYS31" i="9"/>
  <c r="BYT31" i="9"/>
  <c r="BYU31" i="9"/>
  <c r="BYV31" i="9"/>
  <c r="BYW31" i="9"/>
  <c r="BVO31" i="9"/>
  <c r="BVP31" i="9"/>
  <c r="BVQ31" i="9"/>
  <c r="BVR31" i="9"/>
  <c r="BVS31" i="9"/>
  <c r="BVT31" i="9"/>
  <c r="BVU31" i="9"/>
  <c r="BVV31" i="9"/>
  <c r="BVW31" i="9"/>
  <c r="BVX31" i="9"/>
  <c r="BVY31" i="9"/>
  <c r="BVZ31" i="9"/>
  <c r="BWA31" i="9"/>
  <c r="BWB31" i="9"/>
  <c r="BWC31" i="9"/>
  <c r="BWD31" i="9"/>
  <c r="BWE31" i="9"/>
  <c r="BWF31" i="9"/>
  <c r="BWG31" i="9"/>
  <c r="BWH31" i="9"/>
  <c r="BWI31" i="9"/>
  <c r="BWJ31" i="9"/>
  <c r="BWK31" i="9"/>
  <c r="BWL31" i="9"/>
  <c r="BWM31" i="9"/>
  <c r="BWN31" i="9"/>
  <c r="BWO31" i="9"/>
  <c r="BWP31" i="9"/>
  <c r="BWQ31" i="9"/>
  <c r="BWR31" i="9"/>
  <c r="BWS31" i="9"/>
  <c r="BWT31" i="9"/>
  <c r="BWU31" i="9"/>
  <c r="BWV31" i="9"/>
  <c r="BWW31" i="9"/>
  <c r="BWX31" i="9"/>
  <c r="BWY31" i="9"/>
  <c r="BWZ31" i="9"/>
  <c r="BXA31" i="9"/>
  <c r="BXB31" i="9"/>
  <c r="BXC31" i="9"/>
  <c r="BXD31" i="9"/>
  <c r="BXE31" i="9"/>
  <c r="BTW31" i="9"/>
  <c r="BTX31" i="9"/>
  <c r="BTY31" i="9"/>
  <c r="BTZ31" i="9"/>
  <c r="BUA31" i="9"/>
  <c r="BUB31" i="9"/>
  <c r="BUC31" i="9"/>
  <c r="BUD31" i="9"/>
  <c r="BUE31" i="9"/>
  <c r="BUF31" i="9"/>
  <c r="BUG31" i="9"/>
  <c r="BUH31" i="9"/>
  <c r="BUI31" i="9"/>
  <c r="BUJ31" i="9"/>
  <c r="BUK31" i="9"/>
  <c r="BUL31" i="9"/>
  <c r="BUM31" i="9"/>
  <c r="BUN31" i="9"/>
  <c r="BUO31" i="9"/>
  <c r="BUP31" i="9"/>
  <c r="BUQ31" i="9"/>
  <c r="BUR31" i="9"/>
  <c r="BUS31" i="9"/>
  <c r="BUT31" i="9"/>
  <c r="BUU31" i="9"/>
  <c r="BUV31" i="9"/>
  <c r="BUW31" i="9"/>
  <c r="BUX31" i="9"/>
  <c r="BUY31" i="9"/>
  <c r="BUZ31" i="9"/>
  <c r="BVA31" i="9"/>
  <c r="BVB31" i="9"/>
  <c r="BVC31" i="9"/>
  <c r="BVD31" i="9"/>
  <c r="BVE31" i="9"/>
  <c r="BVF31" i="9"/>
  <c r="BVG31" i="9"/>
  <c r="BVH31" i="9"/>
  <c r="BVI31" i="9"/>
  <c r="BVJ31" i="9"/>
  <c r="BVK31" i="9"/>
  <c r="BVL31" i="9"/>
  <c r="BVM31" i="9"/>
  <c r="BSE31" i="9"/>
  <c r="BSF31" i="9"/>
  <c r="BSG31" i="9"/>
  <c r="BSH31" i="9"/>
  <c r="BSI31" i="9"/>
  <c r="BSJ31" i="9"/>
  <c r="BSK31" i="9"/>
  <c r="BSL31" i="9"/>
  <c r="BSM31" i="9"/>
  <c r="BSN31" i="9"/>
  <c r="BSO31" i="9"/>
  <c r="BSP31" i="9"/>
  <c r="BSQ31" i="9"/>
  <c r="BSR31" i="9"/>
  <c r="BSS31" i="9"/>
  <c r="BST31" i="9"/>
  <c r="BSU31" i="9"/>
  <c r="BSV31" i="9"/>
  <c r="BSW31" i="9"/>
  <c r="BSX31" i="9"/>
  <c r="BSY31" i="9"/>
  <c r="BSZ31" i="9"/>
  <c r="BTA31" i="9"/>
  <c r="BTB31" i="9"/>
  <c r="BTC31" i="9"/>
  <c r="BTD31" i="9"/>
  <c r="BTE31" i="9"/>
  <c r="BTF31" i="9"/>
  <c r="BTG31" i="9"/>
  <c r="BTH31" i="9"/>
  <c r="BTI31" i="9"/>
  <c r="BTJ31" i="9"/>
  <c r="BTK31" i="9"/>
  <c r="BTL31" i="9"/>
  <c r="BTM31" i="9"/>
  <c r="BTN31" i="9"/>
  <c r="BTO31" i="9"/>
  <c r="BTP31" i="9"/>
  <c r="BTQ31" i="9"/>
  <c r="BTR31" i="9"/>
  <c r="BTS31" i="9"/>
  <c r="BTT31" i="9"/>
  <c r="BTU31" i="9"/>
  <c r="BQM31" i="9"/>
  <c r="BQN31" i="9"/>
  <c r="BQO31" i="9"/>
  <c r="BQP31" i="9"/>
  <c r="BQQ31" i="9"/>
  <c r="BQR31" i="9"/>
  <c r="BQS31" i="9"/>
  <c r="BQT31" i="9"/>
  <c r="BQU31" i="9"/>
  <c r="BQV31" i="9"/>
  <c r="BQW31" i="9"/>
  <c r="BQX31" i="9"/>
  <c r="BQY31" i="9"/>
  <c r="BQZ31" i="9"/>
  <c r="BRA31" i="9"/>
  <c r="BRB31" i="9"/>
  <c r="BRC31" i="9"/>
  <c r="BRD31" i="9"/>
  <c r="BRE31" i="9"/>
  <c r="BRF31" i="9"/>
  <c r="BRG31" i="9"/>
  <c r="BRH31" i="9"/>
  <c r="BRI31" i="9"/>
  <c r="BRJ31" i="9"/>
  <c r="BRK31" i="9"/>
  <c r="BRL31" i="9"/>
  <c r="BRM31" i="9"/>
  <c r="BRN31" i="9"/>
  <c r="BRO31" i="9"/>
  <c r="BRP31" i="9"/>
  <c r="BRQ31" i="9"/>
  <c r="BRR31" i="9"/>
  <c r="BRS31" i="9"/>
  <c r="BRT31" i="9"/>
  <c r="BRU31" i="9"/>
  <c r="BRV31" i="9"/>
  <c r="BRW31" i="9"/>
  <c r="BRX31" i="9"/>
  <c r="BRY31" i="9"/>
  <c r="BRZ31" i="9"/>
  <c r="BSA31" i="9"/>
  <c r="BSB31" i="9"/>
  <c r="BSC31" i="9"/>
  <c r="BOU31" i="9"/>
  <c r="BOV31" i="9"/>
  <c r="BOW31" i="9"/>
  <c r="BOX31" i="9"/>
  <c r="BOY31" i="9"/>
  <c r="BOZ31" i="9"/>
  <c r="BPA31" i="9"/>
  <c r="BPB31" i="9"/>
  <c r="BPC31" i="9"/>
  <c r="BPD31" i="9"/>
  <c r="BPE31" i="9"/>
  <c r="BPF31" i="9"/>
  <c r="BPG31" i="9"/>
  <c r="BPH31" i="9"/>
  <c r="BPI31" i="9"/>
  <c r="BPJ31" i="9"/>
  <c r="BPK31" i="9"/>
  <c r="BPL31" i="9"/>
  <c r="BPM31" i="9"/>
  <c r="BPN31" i="9"/>
  <c r="BPO31" i="9"/>
  <c r="BPP31" i="9"/>
  <c r="BPQ31" i="9"/>
  <c r="BPR31" i="9"/>
  <c r="BPS31" i="9"/>
  <c r="BPT31" i="9"/>
  <c r="BPU31" i="9"/>
  <c r="BPV31" i="9"/>
  <c r="BPW31" i="9"/>
  <c r="BPX31" i="9"/>
  <c r="BPY31" i="9"/>
  <c r="BPZ31" i="9"/>
  <c r="BQA31" i="9"/>
  <c r="BQB31" i="9"/>
  <c r="BQC31" i="9"/>
  <c r="BQD31" i="9"/>
  <c r="BQE31" i="9"/>
  <c r="BQF31" i="9"/>
  <c r="BQG31" i="9"/>
  <c r="BQH31" i="9"/>
  <c r="BQI31" i="9"/>
  <c r="BQJ31" i="9"/>
  <c r="BQK31" i="9"/>
  <c r="BNC31" i="9"/>
  <c r="BND31" i="9"/>
  <c r="BNE31" i="9"/>
  <c r="BNF31" i="9"/>
  <c r="BNG31" i="9"/>
  <c r="BNH31" i="9"/>
  <c r="BNI31" i="9"/>
  <c r="BNJ31" i="9"/>
  <c r="BNK31" i="9"/>
  <c r="BNL31" i="9"/>
  <c r="BNM31" i="9"/>
  <c r="BNN31" i="9"/>
  <c r="BNO31" i="9"/>
  <c r="BNP31" i="9"/>
  <c r="BNQ31" i="9"/>
  <c r="BNR31" i="9"/>
  <c r="BNS31" i="9"/>
  <c r="BNT31" i="9"/>
  <c r="BNU31" i="9"/>
  <c r="BNV31" i="9"/>
  <c r="BNW31" i="9"/>
  <c r="BNX31" i="9"/>
  <c r="BNY31" i="9"/>
  <c r="BNZ31" i="9"/>
  <c r="BOA31" i="9"/>
  <c r="BOB31" i="9"/>
  <c r="BOC31" i="9"/>
  <c r="BOD31" i="9"/>
  <c r="BOE31" i="9"/>
  <c r="BOF31" i="9"/>
  <c r="BOG31" i="9"/>
  <c r="BOH31" i="9"/>
  <c r="BOI31" i="9"/>
  <c r="BOJ31" i="9"/>
  <c r="BOK31" i="9"/>
  <c r="BOL31" i="9"/>
  <c r="BOM31" i="9"/>
  <c r="BON31" i="9"/>
  <c r="BOO31" i="9"/>
  <c r="BOP31" i="9"/>
  <c r="BOQ31" i="9"/>
  <c r="BOR31" i="9"/>
  <c r="BOS31" i="9"/>
  <c r="BLK31" i="9"/>
  <c r="BLL31" i="9"/>
  <c r="BLM31" i="9"/>
  <c r="BLN31" i="9"/>
  <c r="BLO31" i="9"/>
  <c r="BLP31" i="9"/>
  <c r="BLQ31" i="9"/>
  <c r="BLR31" i="9"/>
  <c r="BLS31" i="9"/>
  <c r="BLT31" i="9"/>
  <c r="BLU31" i="9"/>
  <c r="BLV31" i="9"/>
  <c r="BLW31" i="9"/>
  <c r="BLX31" i="9"/>
  <c r="BLY31" i="9"/>
  <c r="BLZ31" i="9"/>
  <c r="BMA31" i="9"/>
  <c r="BMB31" i="9"/>
  <c r="BMC31" i="9"/>
  <c r="BMD31" i="9"/>
  <c r="BME31" i="9"/>
  <c r="BMF31" i="9"/>
  <c r="BMG31" i="9"/>
  <c r="BMH31" i="9"/>
  <c r="BMI31" i="9"/>
  <c r="BMJ31" i="9"/>
  <c r="BMK31" i="9"/>
  <c r="BML31" i="9"/>
  <c r="BMM31" i="9"/>
  <c r="BMN31" i="9"/>
  <c r="BMO31" i="9"/>
  <c r="BMP31" i="9"/>
  <c r="BMQ31" i="9"/>
  <c r="BMR31" i="9"/>
  <c r="BMS31" i="9"/>
  <c r="BMT31" i="9"/>
  <c r="BMU31" i="9"/>
  <c r="BMV31" i="9"/>
  <c r="BMW31" i="9"/>
  <c r="BMX31" i="9"/>
  <c r="BMY31" i="9"/>
  <c r="BMZ31" i="9"/>
  <c r="BNA31" i="9"/>
  <c r="BJS31" i="9"/>
  <c r="BJT31" i="9"/>
  <c r="BJU31" i="9"/>
  <c r="BJV31" i="9"/>
  <c r="BJW31" i="9"/>
  <c r="BJX31" i="9"/>
  <c r="BJY31" i="9"/>
  <c r="BJZ31" i="9"/>
  <c r="BKA31" i="9"/>
  <c r="BKB31" i="9"/>
  <c r="BKC31" i="9"/>
  <c r="BKD31" i="9"/>
  <c r="BKE31" i="9"/>
  <c r="BKF31" i="9"/>
  <c r="BKG31" i="9"/>
  <c r="BKH31" i="9"/>
  <c r="BKI31" i="9"/>
  <c r="BKJ31" i="9"/>
  <c r="BKK31" i="9"/>
  <c r="BKL31" i="9"/>
  <c r="BKM31" i="9"/>
  <c r="BKN31" i="9"/>
  <c r="BKO31" i="9"/>
  <c r="BKP31" i="9"/>
  <c r="BKQ31" i="9"/>
  <c r="BKR31" i="9"/>
  <c r="BKS31" i="9"/>
  <c r="BKT31" i="9"/>
  <c r="BKU31" i="9"/>
  <c r="BKV31" i="9"/>
  <c r="BKW31" i="9"/>
  <c r="BKX31" i="9"/>
  <c r="BKY31" i="9"/>
  <c r="BKZ31" i="9"/>
  <c r="BLA31" i="9"/>
  <c r="BLB31" i="9"/>
  <c r="BLC31" i="9"/>
  <c r="BLD31" i="9"/>
  <c r="BLE31" i="9"/>
  <c r="BLF31" i="9"/>
  <c r="BLG31" i="9"/>
  <c r="BLH31" i="9"/>
  <c r="BLI31" i="9"/>
  <c r="BIA31" i="9"/>
  <c r="BIB31" i="9"/>
  <c r="BIC31" i="9"/>
  <c r="BID31" i="9"/>
  <c r="BIE31" i="9"/>
  <c r="BIF31" i="9"/>
  <c r="BIG31" i="9"/>
  <c r="BIH31" i="9"/>
  <c r="BII31" i="9"/>
  <c r="BIJ31" i="9"/>
  <c r="BIK31" i="9"/>
  <c r="BIL31" i="9"/>
  <c r="BIM31" i="9"/>
  <c r="BIN31" i="9"/>
  <c r="BIO31" i="9"/>
  <c r="BIP31" i="9"/>
  <c r="BIQ31" i="9"/>
  <c r="BIR31" i="9"/>
  <c r="BIS31" i="9"/>
  <c r="BIT31" i="9"/>
  <c r="BIU31" i="9"/>
  <c r="BIV31" i="9"/>
  <c r="BIW31" i="9"/>
  <c r="BIX31" i="9"/>
  <c r="BIY31" i="9"/>
  <c r="BIZ31" i="9"/>
  <c r="BJA31" i="9"/>
  <c r="BJB31" i="9"/>
  <c r="BJC31" i="9"/>
  <c r="BJD31" i="9"/>
  <c r="BJE31" i="9"/>
  <c r="BJF31" i="9"/>
  <c r="BJG31" i="9"/>
  <c r="BJH31" i="9"/>
  <c r="BJI31" i="9"/>
  <c r="BJJ31" i="9"/>
  <c r="BJK31" i="9"/>
  <c r="BJL31" i="9"/>
  <c r="BJM31" i="9"/>
  <c r="BJN31" i="9"/>
  <c r="BJO31" i="9"/>
  <c r="BJP31" i="9"/>
  <c r="BJQ31" i="9"/>
  <c r="BGI31" i="9"/>
  <c r="BGJ31" i="9"/>
  <c r="BGK31" i="9"/>
  <c r="BGL31" i="9"/>
  <c r="BGM31" i="9"/>
  <c r="BGN31" i="9"/>
  <c r="BGO31" i="9"/>
  <c r="BGP31" i="9"/>
  <c r="BGQ31" i="9"/>
  <c r="BGR31" i="9"/>
  <c r="BGS31" i="9"/>
  <c r="BGT31" i="9"/>
  <c r="BGU31" i="9"/>
  <c r="BGV31" i="9"/>
  <c r="BGW31" i="9"/>
  <c r="BGX31" i="9"/>
  <c r="BGY31" i="9"/>
  <c r="BGZ31" i="9"/>
  <c r="BHA31" i="9"/>
  <c r="BHB31" i="9"/>
  <c r="BHC31" i="9"/>
  <c r="BHD31" i="9"/>
  <c r="BHE31" i="9"/>
  <c r="BHF31" i="9"/>
  <c r="BHG31" i="9"/>
  <c r="BHH31" i="9"/>
  <c r="BHI31" i="9"/>
  <c r="BHJ31" i="9"/>
  <c r="BHK31" i="9"/>
  <c r="BHL31" i="9"/>
  <c r="BHM31" i="9"/>
  <c r="BHN31" i="9"/>
  <c r="BHO31" i="9"/>
  <c r="BHP31" i="9"/>
  <c r="BHQ31" i="9"/>
  <c r="BHR31" i="9"/>
  <c r="BHS31" i="9"/>
  <c r="BHT31" i="9"/>
  <c r="BHU31" i="9"/>
  <c r="BHV31" i="9"/>
  <c r="BHW31" i="9"/>
  <c r="BHX31" i="9"/>
  <c r="BHY31" i="9"/>
  <c r="BEQ31" i="9"/>
  <c r="BER31" i="9"/>
  <c r="BES31" i="9"/>
  <c r="BET31" i="9"/>
  <c r="BEU31" i="9"/>
  <c r="BEV31" i="9"/>
  <c r="BEW31" i="9"/>
  <c r="BEX31" i="9"/>
  <c r="BEY31" i="9"/>
  <c r="BEZ31" i="9"/>
  <c r="BFA31" i="9"/>
  <c r="BFB31" i="9"/>
  <c r="BFC31" i="9"/>
  <c r="BFD31" i="9"/>
  <c r="BFE31" i="9"/>
  <c r="BFF31" i="9"/>
  <c r="BFG31" i="9"/>
  <c r="BFH31" i="9"/>
  <c r="BFI31" i="9"/>
  <c r="BFJ31" i="9"/>
  <c r="BFK31" i="9"/>
  <c r="BFL31" i="9"/>
  <c r="BFM31" i="9"/>
  <c r="BFN31" i="9"/>
  <c r="BFO31" i="9"/>
  <c r="BFP31" i="9"/>
  <c r="BFQ31" i="9"/>
  <c r="BFR31" i="9"/>
  <c r="BFS31" i="9"/>
  <c r="BFT31" i="9"/>
  <c r="BFU31" i="9"/>
  <c r="BFV31" i="9"/>
  <c r="BFW31" i="9"/>
  <c r="BFX31" i="9"/>
  <c r="BFY31" i="9"/>
  <c r="BFZ31" i="9"/>
  <c r="BGA31" i="9"/>
  <c r="BGB31" i="9"/>
  <c r="BGC31" i="9"/>
  <c r="BGD31" i="9"/>
  <c r="BGE31" i="9"/>
  <c r="BGF31" i="9"/>
  <c r="BGG31" i="9"/>
  <c r="BCY31" i="9"/>
  <c r="BCZ31" i="9"/>
  <c r="BDA31" i="9"/>
  <c r="BDB31" i="9"/>
  <c r="BDC31" i="9"/>
  <c r="BDD31" i="9"/>
  <c r="BDE31" i="9"/>
  <c r="BDF31" i="9"/>
  <c r="BDG31" i="9"/>
  <c r="BDH31" i="9"/>
  <c r="BDI31" i="9"/>
  <c r="BDJ31" i="9"/>
  <c r="BDK31" i="9"/>
  <c r="BDL31" i="9"/>
  <c r="BDM31" i="9"/>
  <c r="BDN31" i="9"/>
  <c r="BDO31" i="9"/>
  <c r="BDP31" i="9"/>
  <c r="BDQ31" i="9"/>
  <c r="BDR31" i="9"/>
  <c r="BDS31" i="9"/>
  <c r="BDT31" i="9"/>
  <c r="BDU31" i="9"/>
  <c r="BDV31" i="9"/>
  <c r="BDW31" i="9"/>
  <c r="BDX31" i="9"/>
  <c r="BDY31" i="9"/>
  <c r="BDZ31" i="9"/>
  <c r="BEA31" i="9"/>
  <c r="BEB31" i="9"/>
  <c r="BEC31" i="9"/>
  <c r="BED31" i="9"/>
  <c r="BEE31" i="9"/>
  <c r="BEF31" i="9"/>
  <c r="BEG31" i="9"/>
  <c r="BEH31" i="9"/>
  <c r="BEI31" i="9"/>
  <c r="BEJ31" i="9"/>
  <c r="BEK31" i="9"/>
  <c r="BEL31" i="9"/>
  <c r="BEM31" i="9"/>
  <c r="BEN31" i="9"/>
  <c r="BEO31" i="9"/>
  <c r="BBG31" i="9"/>
  <c r="BBH31" i="9"/>
  <c r="BBI31" i="9"/>
  <c r="BBJ31" i="9"/>
  <c r="BBK31" i="9"/>
  <c r="BBL31" i="9"/>
  <c r="BBM31" i="9"/>
  <c r="BBN31" i="9"/>
  <c r="BBO31" i="9"/>
  <c r="BBP31" i="9"/>
  <c r="BBQ31" i="9"/>
  <c r="BBR31" i="9"/>
  <c r="BBS31" i="9"/>
  <c r="BBT31" i="9"/>
  <c r="BBU31" i="9"/>
  <c r="BBV31" i="9"/>
  <c r="BBW31" i="9"/>
  <c r="BBX31" i="9"/>
  <c r="BBY31" i="9"/>
  <c r="BBZ31" i="9"/>
  <c r="BCA31" i="9"/>
  <c r="BCB31" i="9"/>
  <c r="BCC31" i="9"/>
  <c r="BCD31" i="9"/>
  <c r="BCE31" i="9"/>
  <c r="BCF31" i="9"/>
  <c r="BCG31" i="9"/>
  <c r="BCH31" i="9"/>
  <c r="BCI31" i="9"/>
  <c r="BCJ31" i="9"/>
  <c r="BCK31" i="9"/>
  <c r="BCL31" i="9"/>
  <c r="BCM31" i="9"/>
  <c r="BCN31" i="9"/>
  <c r="BCO31" i="9"/>
  <c r="BCP31" i="9"/>
  <c r="BCQ31" i="9"/>
  <c r="BCR31" i="9"/>
  <c r="BCS31" i="9"/>
  <c r="BCT31" i="9"/>
  <c r="BCU31" i="9"/>
  <c r="BCV31" i="9"/>
  <c r="BCW31" i="9"/>
  <c r="AZO31" i="9"/>
  <c r="AZP31" i="9"/>
  <c r="AZQ31" i="9"/>
  <c r="AZR31" i="9"/>
  <c r="AZS31" i="9"/>
  <c r="AZT31" i="9"/>
  <c r="AZU31" i="9"/>
  <c r="AZV31" i="9"/>
  <c r="AZW31" i="9"/>
  <c r="AZX31" i="9"/>
  <c r="AZY31" i="9"/>
  <c r="AZZ31" i="9"/>
  <c r="BAA31" i="9"/>
  <c r="BAB31" i="9"/>
  <c r="BAC31" i="9"/>
  <c r="BAD31" i="9"/>
  <c r="BAE31" i="9"/>
  <c r="BAF31" i="9"/>
  <c r="BAG31" i="9"/>
  <c r="BAH31" i="9"/>
  <c r="BAI31" i="9"/>
  <c r="BAJ31" i="9"/>
  <c r="BAK31" i="9"/>
  <c r="BAL31" i="9"/>
  <c r="BAM31" i="9"/>
  <c r="BAN31" i="9"/>
  <c r="BAO31" i="9"/>
  <c r="BAP31" i="9"/>
  <c r="BAQ31" i="9"/>
  <c r="BAR31" i="9"/>
  <c r="BAS31" i="9"/>
  <c r="BAT31" i="9"/>
  <c r="BAU31" i="9"/>
  <c r="BAV31" i="9"/>
  <c r="BAW31" i="9"/>
  <c r="BAX31" i="9"/>
  <c r="BAY31" i="9"/>
  <c r="BAZ31" i="9"/>
  <c r="BBA31" i="9"/>
  <c r="BBB31" i="9"/>
  <c r="BBC31" i="9"/>
  <c r="BBD31" i="9"/>
  <c r="BBE31" i="9"/>
  <c r="AXW31" i="9"/>
  <c r="AXX31" i="9"/>
  <c r="AXY31" i="9"/>
  <c r="AXZ31" i="9"/>
  <c r="AYA31" i="9"/>
  <c r="AYB31" i="9"/>
  <c r="AYC31" i="9"/>
  <c r="AYD31" i="9"/>
  <c r="AYE31" i="9"/>
  <c r="AYF31" i="9"/>
  <c r="AYG31" i="9"/>
  <c r="AYH31" i="9"/>
  <c r="AYI31" i="9"/>
  <c r="AYJ31" i="9"/>
  <c r="AYK31" i="9"/>
  <c r="AYL31" i="9"/>
  <c r="AYM31" i="9"/>
  <c r="AYN31" i="9"/>
  <c r="AYO31" i="9"/>
  <c r="AYP31" i="9"/>
  <c r="AYQ31" i="9"/>
  <c r="AYR31" i="9"/>
  <c r="AYS31" i="9"/>
  <c r="AYT31" i="9"/>
  <c r="AYU31" i="9"/>
  <c r="AYV31" i="9"/>
  <c r="AYW31" i="9"/>
  <c r="AYX31" i="9"/>
  <c r="AYY31" i="9"/>
  <c r="AYZ31" i="9"/>
  <c r="AZA31" i="9"/>
  <c r="AZB31" i="9"/>
  <c r="AZC31" i="9"/>
  <c r="AZD31" i="9"/>
  <c r="AZE31" i="9"/>
  <c r="AZF31" i="9"/>
  <c r="AZG31" i="9"/>
  <c r="AZH31" i="9"/>
  <c r="AZI31" i="9"/>
  <c r="AZJ31" i="9"/>
  <c r="AZK31" i="9"/>
  <c r="AZL31" i="9"/>
  <c r="AZM31" i="9"/>
  <c r="AWE31" i="9"/>
  <c r="AWF31" i="9"/>
  <c r="AWG31" i="9"/>
  <c r="AWH31" i="9"/>
  <c r="AWI31" i="9"/>
  <c r="AWJ31" i="9"/>
  <c r="AWK31" i="9"/>
  <c r="AWL31" i="9"/>
  <c r="AWM31" i="9"/>
  <c r="AWN31" i="9"/>
  <c r="AWO31" i="9"/>
  <c r="AWP31" i="9"/>
  <c r="AWQ31" i="9"/>
  <c r="AWR31" i="9"/>
  <c r="AWS31" i="9"/>
  <c r="AWT31" i="9"/>
  <c r="AWU31" i="9"/>
  <c r="AWV31" i="9"/>
  <c r="AWW31" i="9"/>
  <c r="AWX31" i="9"/>
  <c r="AWY31" i="9"/>
  <c r="AWZ31" i="9"/>
  <c r="AXA31" i="9"/>
  <c r="AXB31" i="9"/>
  <c r="AXC31" i="9"/>
  <c r="AXD31" i="9"/>
  <c r="AXE31" i="9"/>
  <c r="AXF31" i="9"/>
  <c r="AXG31" i="9"/>
  <c r="AXH31" i="9"/>
  <c r="AXI31" i="9"/>
  <c r="AXJ31" i="9"/>
  <c r="AXK31" i="9"/>
  <c r="AXL31" i="9"/>
  <c r="AXM31" i="9"/>
  <c r="AXN31" i="9"/>
  <c r="AXO31" i="9"/>
  <c r="AXP31" i="9"/>
  <c r="AXQ31" i="9"/>
  <c r="AXR31" i="9"/>
  <c r="AXS31" i="9"/>
  <c r="AXT31" i="9"/>
  <c r="AXU31" i="9"/>
  <c r="AUM31" i="9"/>
  <c r="AUN31" i="9"/>
  <c r="AUO31" i="9"/>
  <c r="AUP31" i="9"/>
  <c r="AUQ31" i="9"/>
  <c r="AUR31" i="9"/>
  <c r="AUS31" i="9"/>
  <c r="AUT31" i="9"/>
  <c r="AUU31" i="9"/>
  <c r="AUV31" i="9"/>
  <c r="AUW31" i="9"/>
  <c r="AUX31" i="9"/>
  <c r="AUY31" i="9"/>
  <c r="AUZ31" i="9"/>
  <c r="AVA31" i="9"/>
  <c r="AVB31" i="9"/>
  <c r="AVC31" i="9"/>
  <c r="AVD31" i="9"/>
  <c r="AVE31" i="9"/>
  <c r="AVF31" i="9"/>
  <c r="AVG31" i="9"/>
  <c r="AVH31" i="9"/>
  <c r="AVI31" i="9"/>
  <c r="AVJ31" i="9"/>
  <c r="AVK31" i="9"/>
  <c r="AVL31" i="9"/>
  <c r="AVM31" i="9"/>
  <c r="AVN31" i="9"/>
  <c r="AVO31" i="9"/>
  <c r="AVP31" i="9"/>
  <c r="AVQ31" i="9"/>
  <c r="AVR31" i="9"/>
  <c r="AVS31" i="9"/>
  <c r="AVT31" i="9"/>
  <c r="AVU31" i="9"/>
  <c r="AVV31" i="9"/>
  <c r="AVW31" i="9"/>
  <c r="AVX31" i="9"/>
  <c r="AVY31" i="9"/>
  <c r="AVZ31" i="9"/>
  <c r="AWA31" i="9"/>
  <c r="AWB31" i="9"/>
  <c r="AWC31" i="9"/>
  <c r="ASU31" i="9"/>
  <c r="ASV31" i="9"/>
  <c r="ASW31" i="9"/>
  <c r="ASX31" i="9"/>
  <c r="ASY31" i="9"/>
  <c r="ASZ31" i="9"/>
  <c r="ATA31" i="9"/>
  <c r="ATB31" i="9"/>
  <c r="ATC31" i="9"/>
  <c r="ATD31" i="9"/>
  <c r="ATE31" i="9"/>
  <c r="ATF31" i="9"/>
  <c r="ATG31" i="9"/>
  <c r="ATH31" i="9"/>
  <c r="ATI31" i="9"/>
  <c r="ATJ31" i="9"/>
  <c r="ATK31" i="9"/>
  <c r="ATL31" i="9"/>
  <c r="ATM31" i="9"/>
  <c r="ATN31" i="9"/>
  <c r="ATO31" i="9"/>
  <c r="ATP31" i="9"/>
  <c r="ATQ31" i="9"/>
  <c r="ATR31" i="9"/>
  <c r="ATS31" i="9"/>
  <c r="ATT31" i="9"/>
  <c r="ATU31" i="9"/>
  <c r="ATV31" i="9"/>
  <c r="ATW31" i="9"/>
  <c r="ATX31" i="9"/>
  <c r="ATY31" i="9"/>
  <c r="ATZ31" i="9"/>
  <c r="AUA31" i="9"/>
  <c r="AUB31" i="9"/>
  <c r="AUC31" i="9"/>
  <c r="AUD31" i="9"/>
  <c r="AUE31" i="9"/>
  <c r="AUF31" i="9"/>
  <c r="AUG31" i="9"/>
  <c r="AUH31" i="9"/>
  <c r="AUI31" i="9"/>
  <c r="AUJ31" i="9"/>
  <c r="AUK31" i="9"/>
  <c r="ARC31" i="9"/>
  <c r="ARD31" i="9"/>
  <c r="ARE31" i="9"/>
  <c r="ARF31" i="9"/>
  <c r="ARG31" i="9"/>
  <c r="ARH31" i="9"/>
  <c r="ARI31" i="9"/>
  <c r="ARJ31" i="9"/>
  <c r="ARK31" i="9"/>
  <c r="ARL31" i="9"/>
  <c r="ARM31" i="9"/>
  <c r="ARN31" i="9"/>
  <c r="ARO31" i="9"/>
  <c r="ARP31" i="9"/>
  <c r="ARQ31" i="9"/>
  <c r="ARR31" i="9"/>
  <c r="ARS31" i="9"/>
  <c r="ART31" i="9"/>
  <c r="ARU31" i="9"/>
  <c r="ARV31" i="9"/>
  <c r="ARW31" i="9"/>
  <c r="ARX31" i="9"/>
  <c r="ARY31" i="9"/>
  <c r="ARZ31" i="9"/>
  <c r="ASA31" i="9"/>
  <c r="ASB31" i="9"/>
  <c r="ASC31" i="9"/>
  <c r="ASD31" i="9"/>
  <c r="ASE31" i="9"/>
  <c r="ASF31" i="9"/>
  <c r="ASG31" i="9"/>
  <c r="ASH31" i="9"/>
  <c r="ASI31" i="9"/>
  <c r="ASJ31" i="9"/>
  <c r="ASK31" i="9"/>
  <c r="ASL31" i="9"/>
  <c r="ASM31" i="9"/>
  <c r="ASN31" i="9"/>
  <c r="ASO31" i="9"/>
  <c r="ASP31" i="9"/>
  <c r="ASQ31" i="9"/>
  <c r="ASR31" i="9"/>
  <c r="ASS31" i="9"/>
  <c r="APK31" i="9"/>
  <c r="APL31" i="9"/>
  <c r="APM31" i="9"/>
  <c r="APN31" i="9"/>
  <c r="APO31" i="9"/>
  <c r="APP31" i="9"/>
  <c r="APQ31" i="9"/>
  <c r="APR31" i="9"/>
  <c r="APS31" i="9"/>
  <c r="APT31" i="9"/>
  <c r="APU31" i="9"/>
  <c r="APV31" i="9"/>
  <c r="APW31" i="9"/>
  <c r="APX31" i="9"/>
  <c r="APY31" i="9"/>
  <c r="APZ31" i="9"/>
  <c r="AQA31" i="9"/>
  <c r="AQB31" i="9"/>
  <c r="AQC31" i="9"/>
  <c r="AQD31" i="9"/>
  <c r="AQE31" i="9"/>
  <c r="AQF31" i="9"/>
  <c r="AQG31" i="9"/>
  <c r="AQH31" i="9"/>
  <c r="AQI31" i="9"/>
  <c r="AQJ31" i="9"/>
  <c r="AQK31" i="9"/>
  <c r="AQL31" i="9"/>
  <c r="AQM31" i="9"/>
  <c r="AQN31" i="9"/>
  <c r="AQO31" i="9"/>
  <c r="AQP31" i="9"/>
  <c r="AQQ31" i="9"/>
  <c r="AQR31" i="9"/>
  <c r="AQS31" i="9"/>
  <c r="AQT31" i="9"/>
  <c r="AQU31" i="9"/>
  <c r="AQV31" i="9"/>
  <c r="AQW31" i="9"/>
  <c r="AQX31" i="9"/>
  <c r="AQY31" i="9"/>
  <c r="AQZ31" i="9"/>
  <c r="ARA31" i="9"/>
  <c r="ANS31" i="9"/>
  <c r="ANT31" i="9"/>
  <c r="ANU31" i="9"/>
  <c r="ANV31" i="9"/>
  <c r="ANW31" i="9"/>
  <c r="ANX31" i="9"/>
  <c r="ANY31" i="9"/>
  <c r="ANZ31" i="9"/>
  <c r="AOA31" i="9"/>
  <c r="AOB31" i="9"/>
  <c r="AOC31" i="9"/>
  <c r="AOD31" i="9"/>
  <c r="AOE31" i="9"/>
  <c r="AOF31" i="9"/>
  <c r="AOG31" i="9"/>
  <c r="AOH31" i="9"/>
  <c r="AOI31" i="9"/>
  <c r="AOJ31" i="9"/>
  <c r="AOK31" i="9"/>
  <c r="AOL31" i="9"/>
  <c r="AOM31" i="9"/>
  <c r="AON31" i="9"/>
  <c r="AOO31" i="9"/>
  <c r="AOP31" i="9"/>
  <c r="AOQ31" i="9"/>
  <c r="AOR31" i="9"/>
  <c r="AOS31" i="9"/>
  <c r="AOT31" i="9"/>
  <c r="AOU31" i="9"/>
  <c r="AOV31" i="9"/>
  <c r="AOW31" i="9"/>
  <c r="AOX31" i="9"/>
  <c r="AOY31" i="9"/>
  <c r="AOZ31" i="9"/>
  <c r="APA31" i="9"/>
  <c r="APB31" i="9"/>
  <c r="APC31" i="9"/>
  <c r="APD31" i="9"/>
  <c r="APE31" i="9"/>
  <c r="APF31" i="9"/>
  <c r="APG31" i="9"/>
  <c r="APH31" i="9"/>
  <c r="API31" i="9"/>
  <c r="AMA31" i="9"/>
  <c r="AMB31" i="9"/>
  <c r="AMC31" i="9"/>
  <c r="AMD31" i="9"/>
  <c r="AME31" i="9"/>
  <c r="AMF31" i="9"/>
  <c r="AMG31" i="9"/>
  <c r="AMH31" i="9"/>
  <c r="AMI31" i="9"/>
  <c r="AMJ31" i="9"/>
  <c r="AMK31" i="9"/>
  <c r="AML31" i="9"/>
  <c r="AMM31" i="9"/>
  <c r="AMN31" i="9"/>
  <c r="AMO31" i="9"/>
  <c r="AMP31" i="9"/>
  <c r="AMQ31" i="9"/>
  <c r="AMR31" i="9"/>
  <c r="AMS31" i="9"/>
  <c r="AMT31" i="9"/>
  <c r="AMU31" i="9"/>
  <c r="AMV31" i="9"/>
  <c r="AMW31" i="9"/>
  <c r="AMX31" i="9"/>
  <c r="AMY31" i="9"/>
  <c r="AMZ31" i="9"/>
  <c r="ANA31" i="9"/>
  <c r="ANB31" i="9"/>
  <c r="ANC31" i="9"/>
  <c r="AND31" i="9"/>
  <c r="ANE31" i="9"/>
  <c r="ANF31" i="9"/>
  <c r="ANG31" i="9"/>
  <c r="ANH31" i="9"/>
  <c r="ANI31" i="9"/>
  <c r="ANJ31" i="9"/>
  <c r="ANK31" i="9"/>
  <c r="ANL31" i="9"/>
  <c r="ANM31" i="9"/>
  <c r="ANN31" i="9"/>
  <c r="ANO31" i="9"/>
  <c r="ANP31" i="9"/>
  <c r="ANQ31" i="9"/>
  <c r="AKI31" i="9"/>
  <c r="AKJ31" i="9"/>
  <c r="AKK31" i="9"/>
  <c r="AKL31" i="9"/>
  <c r="AKM31" i="9"/>
  <c r="AKN31" i="9"/>
  <c r="AKO31" i="9"/>
  <c r="AKP31" i="9"/>
  <c r="AKQ31" i="9"/>
  <c r="AKR31" i="9"/>
  <c r="AKS31" i="9"/>
  <c r="AKT31" i="9"/>
  <c r="AKU31" i="9"/>
  <c r="AKV31" i="9"/>
  <c r="AKW31" i="9"/>
  <c r="AKX31" i="9"/>
  <c r="AKY31" i="9"/>
  <c r="AKZ31" i="9"/>
  <c r="ALA31" i="9"/>
  <c r="ALB31" i="9"/>
  <c r="ALC31" i="9"/>
  <c r="ALD31" i="9"/>
  <c r="ALE31" i="9"/>
  <c r="ALF31" i="9"/>
  <c r="ALG31" i="9"/>
  <c r="ALH31" i="9"/>
  <c r="ALI31" i="9"/>
  <c r="ALJ31" i="9"/>
  <c r="ALK31" i="9"/>
  <c r="ALL31" i="9"/>
  <c r="ALM31" i="9"/>
  <c r="ALN31" i="9"/>
  <c r="ALO31" i="9"/>
  <c r="ALP31" i="9"/>
  <c r="ALQ31" i="9"/>
  <c r="ALR31" i="9"/>
  <c r="ALS31" i="9"/>
  <c r="ALT31" i="9"/>
  <c r="ALU31" i="9"/>
  <c r="ALV31" i="9"/>
  <c r="ALW31" i="9"/>
  <c r="ALX31" i="9"/>
  <c r="ALY31" i="9"/>
  <c r="AIQ31" i="9"/>
  <c r="AIR31" i="9"/>
  <c r="AIS31" i="9"/>
  <c r="AIT31" i="9"/>
  <c r="AIU31" i="9"/>
  <c r="AIV31" i="9"/>
  <c r="AIW31" i="9"/>
  <c r="AIX31" i="9"/>
  <c r="AIY31" i="9"/>
  <c r="AIZ31" i="9"/>
  <c r="AJA31" i="9"/>
  <c r="AJB31" i="9"/>
  <c r="AJC31" i="9"/>
  <c r="AJD31" i="9"/>
  <c r="AJE31" i="9"/>
  <c r="AJF31" i="9"/>
  <c r="AJG31" i="9"/>
  <c r="AJH31" i="9"/>
  <c r="AJI31" i="9"/>
  <c r="AJJ31" i="9"/>
  <c r="AJK31" i="9"/>
  <c r="AJL31" i="9"/>
  <c r="AJM31" i="9"/>
  <c r="AJN31" i="9"/>
  <c r="AJO31" i="9"/>
  <c r="AJP31" i="9"/>
  <c r="AJQ31" i="9"/>
  <c r="AJR31" i="9"/>
  <c r="AJS31" i="9"/>
  <c r="AJT31" i="9"/>
  <c r="AJU31" i="9"/>
  <c r="AJV31" i="9"/>
  <c r="AJW31" i="9"/>
  <c r="AJX31" i="9"/>
  <c r="AJY31" i="9"/>
  <c r="AJZ31" i="9"/>
  <c r="AKA31" i="9"/>
  <c r="AKB31" i="9"/>
  <c r="AKC31" i="9"/>
  <c r="AKD31" i="9"/>
  <c r="AKE31" i="9"/>
  <c r="AKF31" i="9"/>
  <c r="AKG31" i="9"/>
  <c r="AGY31" i="9"/>
  <c r="AGZ31" i="9"/>
  <c r="AHA31" i="9"/>
  <c r="AHB31" i="9"/>
  <c r="AHC31" i="9"/>
  <c r="AHD31" i="9"/>
  <c r="AHE31" i="9"/>
  <c r="AHF31" i="9"/>
  <c r="AHG31" i="9"/>
  <c r="AHH31" i="9"/>
  <c r="AHI31" i="9"/>
  <c r="AHJ31" i="9"/>
  <c r="AHK31" i="9"/>
  <c r="AHL31" i="9"/>
  <c r="AHM31" i="9"/>
  <c r="AHN31" i="9"/>
  <c r="AHO31" i="9"/>
  <c r="AHP31" i="9"/>
  <c r="AHQ31" i="9"/>
  <c r="AHR31" i="9"/>
  <c r="AHS31" i="9"/>
  <c r="AHT31" i="9"/>
  <c r="AHU31" i="9"/>
  <c r="AHV31" i="9"/>
  <c r="AHW31" i="9"/>
  <c r="AHX31" i="9"/>
  <c r="AHY31" i="9"/>
  <c r="AHZ31" i="9"/>
  <c r="AIA31" i="9"/>
  <c r="AIB31" i="9"/>
  <c r="AIC31" i="9"/>
  <c r="AID31" i="9"/>
  <c r="AIE31" i="9"/>
  <c r="AIF31" i="9"/>
  <c r="AIG31" i="9"/>
  <c r="AIH31" i="9"/>
  <c r="AII31" i="9"/>
  <c r="AIJ31" i="9"/>
  <c r="AIK31" i="9"/>
  <c r="AIL31" i="9"/>
  <c r="AIM31" i="9"/>
  <c r="AIN31" i="9"/>
  <c r="AIO31" i="9"/>
  <c r="AFG31" i="9"/>
  <c r="AFH31" i="9"/>
  <c r="AFI31" i="9"/>
  <c r="AFJ31" i="9"/>
  <c r="AFK31" i="9"/>
  <c r="AFL31" i="9"/>
  <c r="AFM31" i="9"/>
  <c r="AFN31" i="9"/>
  <c r="AFO31" i="9"/>
  <c r="AFP31" i="9"/>
  <c r="AFQ31" i="9"/>
  <c r="AFR31" i="9"/>
  <c r="AFS31" i="9"/>
  <c r="AFT31" i="9"/>
  <c r="AFU31" i="9"/>
  <c r="AFV31" i="9"/>
  <c r="AFW31" i="9"/>
  <c r="AFX31" i="9"/>
  <c r="AFY31" i="9"/>
  <c r="AFZ31" i="9"/>
  <c r="AGA31" i="9"/>
  <c r="AGB31" i="9"/>
  <c r="AGC31" i="9"/>
  <c r="AGD31" i="9"/>
  <c r="AGE31" i="9"/>
  <c r="AGF31" i="9"/>
  <c r="AGG31" i="9"/>
  <c r="AGH31" i="9"/>
  <c r="AGI31" i="9"/>
  <c r="AGJ31" i="9"/>
  <c r="AGK31" i="9"/>
  <c r="AGL31" i="9"/>
  <c r="AGM31" i="9"/>
  <c r="AGN31" i="9"/>
  <c r="AGO31" i="9"/>
  <c r="AGP31" i="9"/>
  <c r="AGQ31" i="9"/>
  <c r="AGR31" i="9"/>
  <c r="AGS31" i="9"/>
  <c r="AGT31" i="9"/>
  <c r="AGU31" i="9"/>
  <c r="AGV31" i="9"/>
  <c r="AGW31" i="9"/>
  <c r="ADO31" i="9"/>
  <c r="ADP31" i="9"/>
  <c r="ADQ31" i="9"/>
  <c r="ADR31" i="9"/>
  <c r="ADS31" i="9"/>
  <c r="ADT31" i="9"/>
  <c r="ADU31" i="9"/>
  <c r="ADV31" i="9"/>
  <c r="ADW31" i="9"/>
  <c r="ADX31" i="9"/>
  <c r="ADY31" i="9"/>
  <c r="ADZ31" i="9"/>
  <c r="AEA31" i="9"/>
  <c r="AEB31" i="9"/>
  <c r="AEC31" i="9"/>
  <c r="AED31" i="9"/>
  <c r="AEE31" i="9"/>
  <c r="AEF31" i="9"/>
  <c r="AEG31" i="9"/>
  <c r="AEH31" i="9"/>
  <c r="AEI31" i="9"/>
  <c r="AEJ31" i="9"/>
  <c r="AEK31" i="9"/>
  <c r="AEL31" i="9"/>
  <c r="AEM31" i="9"/>
  <c r="AEN31" i="9"/>
  <c r="AEO31" i="9"/>
  <c r="AEP31" i="9"/>
  <c r="AEQ31" i="9"/>
  <c r="AER31" i="9"/>
  <c r="AES31" i="9"/>
  <c r="AET31" i="9"/>
  <c r="AEU31" i="9"/>
  <c r="AEV31" i="9"/>
  <c r="AEW31" i="9"/>
  <c r="AEX31" i="9"/>
  <c r="AEY31" i="9"/>
  <c r="AEZ31" i="9"/>
  <c r="AFA31" i="9"/>
  <c r="AFB31" i="9"/>
  <c r="AFC31" i="9"/>
  <c r="AFD31" i="9"/>
  <c r="AFE31" i="9"/>
  <c r="ABW31" i="9"/>
  <c r="ABX31" i="9"/>
  <c r="ABY31" i="9"/>
  <c r="ABZ31" i="9"/>
  <c r="ACA31" i="9"/>
  <c r="ACB31" i="9"/>
  <c r="ACC31" i="9"/>
  <c r="ACD31" i="9"/>
  <c r="ACE31" i="9"/>
  <c r="ACF31" i="9"/>
  <c r="ACG31" i="9"/>
  <c r="ACH31" i="9"/>
  <c r="ACI31" i="9"/>
  <c r="ACJ31" i="9"/>
  <c r="ACK31" i="9"/>
  <c r="ACL31" i="9"/>
  <c r="ACM31" i="9"/>
  <c r="ACN31" i="9"/>
  <c r="ACO31" i="9"/>
  <c r="ACP31" i="9"/>
  <c r="ACQ31" i="9"/>
  <c r="ACR31" i="9"/>
  <c r="ACS31" i="9"/>
  <c r="ACT31" i="9"/>
  <c r="ACU31" i="9"/>
  <c r="ACV31" i="9"/>
  <c r="ACW31" i="9"/>
  <c r="ACX31" i="9"/>
  <c r="ACY31" i="9"/>
  <c r="ACZ31" i="9"/>
  <c r="ADA31" i="9"/>
  <c r="ADB31" i="9"/>
  <c r="ADC31" i="9"/>
  <c r="ADD31" i="9"/>
  <c r="ADE31" i="9"/>
  <c r="ADF31" i="9"/>
  <c r="ADG31" i="9"/>
  <c r="ADH31" i="9"/>
  <c r="ADI31" i="9"/>
  <c r="ADJ31" i="9"/>
  <c r="ADK31" i="9"/>
  <c r="ADL31" i="9"/>
  <c r="ADM31" i="9"/>
  <c r="AAE31" i="9"/>
  <c r="AAF31" i="9"/>
  <c r="AAG31" i="9"/>
  <c r="AAH31" i="9"/>
  <c r="AAI31" i="9"/>
  <c r="AAJ31" i="9"/>
  <c r="AAK31" i="9"/>
  <c r="AAL31" i="9"/>
  <c r="AAM31" i="9"/>
  <c r="AAN31" i="9"/>
  <c r="AAO31" i="9"/>
  <c r="AAP31" i="9"/>
  <c r="AAQ31" i="9"/>
  <c r="AAR31" i="9"/>
  <c r="AAS31" i="9"/>
  <c r="AAT31" i="9"/>
  <c r="AAU31" i="9"/>
  <c r="AAV31" i="9"/>
  <c r="AAW31" i="9"/>
  <c r="AAX31" i="9"/>
  <c r="AAY31" i="9"/>
  <c r="AAZ31" i="9"/>
  <c r="ABA31" i="9"/>
  <c r="ABB31" i="9"/>
  <c r="ABC31" i="9"/>
  <c r="ABD31" i="9"/>
  <c r="ABE31" i="9"/>
  <c r="ABF31" i="9"/>
  <c r="ABG31" i="9"/>
  <c r="ABH31" i="9"/>
  <c r="ABI31" i="9"/>
  <c r="ABJ31" i="9"/>
  <c r="ABK31" i="9"/>
  <c r="ABL31" i="9"/>
  <c r="ABM31" i="9"/>
  <c r="ABN31" i="9"/>
  <c r="ABO31" i="9"/>
  <c r="ABP31" i="9"/>
  <c r="ABQ31" i="9"/>
  <c r="ABR31" i="9"/>
  <c r="ABS31" i="9"/>
  <c r="ABT31" i="9"/>
  <c r="ABU31" i="9"/>
  <c r="YM31" i="9"/>
  <c r="YN31" i="9"/>
  <c r="YO31" i="9"/>
  <c r="YP31" i="9"/>
  <c r="YQ31" i="9"/>
  <c r="YR31" i="9"/>
  <c r="YS31" i="9"/>
  <c r="YT31" i="9"/>
  <c r="YU31" i="9"/>
  <c r="YV31" i="9"/>
  <c r="YW31" i="9"/>
  <c r="YX31" i="9"/>
  <c r="YY31" i="9"/>
  <c r="YZ31" i="9"/>
  <c r="ZA31" i="9"/>
  <c r="ZB31" i="9"/>
  <c r="ZC31" i="9"/>
  <c r="ZD31" i="9"/>
  <c r="ZE31" i="9"/>
  <c r="ZF31" i="9"/>
  <c r="ZG31" i="9"/>
  <c r="ZH31" i="9"/>
  <c r="ZI31" i="9"/>
  <c r="ZJ31" i="9"/>
  <c r="ZK31" i="9"/>
  <c r="ZL31" i="9"/>
  <c r="ZM31" i="9"/>
  <c r="ZN31" i="9"/>
  <c r="ZO31" i="9"/>
  <c r="ZP31" i="9"/>
  <c r="ZQ31" i="9"/>
  <c r="ZR31" i="9"/>
  <c r="ZS31" i="9"/>
  <c r="ZT31" i="9"/>
  <c r="ZU31" i="9"/>
  <c r="ZV31" i="9"/>
  <c r="ZW31" i="9"/>
  <c r="ZX31" i="9"/>
  <c r="ZY31" i="9"/>
  <c r="ZZ31" i="9"/>
  <c r="AAA31" i="9"/>
  <c r="AAB31" i="9"/>
  <c r="AAC31" i="9"/>
  <c r="WU31" i="9"/>
  <c r="WV31" i="9"/>
  <c r="WW31" i="9"/>
  <c r="WX31" i="9"/>
  <c r="WY31" i="9"/>
  <c r="WZ31" i="9"/>
  <c r="XA31" i="9"/>
  <c r="XB31" i="9"/>
  <c r="XC31" i="9"/>
  <c r="XD31" i="9"/>
  <c r="XE31" i="9"/>
  <c r="XF31" i="9"/>
  <c r="XG31" i="9"/>
  <c r="XH31" i="9"/>
  <c r="XI31" i="9"/>
  <c r="XJ31" i="9"/>
  <c r="XK31" i="9"/>
  <c r="XL31" i="9"/>
  <c r="XM31" i="9"/>
  <c r="XN31" i="9"/>
  <c r="XO31" i="9"/>
  <c r="XP31" i="9"/>
  <c r="XQ31" i="9"/>
  <c r="XR31" i="9"/>
  <c r="XS31" i="9"/>
  <c r="XT31" i="9"/>
  <c r="XU31" i="9"/>
  <c r="XV31" i="9"/>
  <c r="XW31" i="9"/>
  <c r="XX31" i="9"/>
  <c r="XY31" i="9"/>
  <c r="XZ31" i="9"/>
  <c r="YA31" i="9"/>
  <c r="YB31" i="9"/>
  <c r="YC31" i="9"/>
  <c r="YD31" i="9"/>
  <c r="YE31" i="9"/>
  <c r="YF31" i="9"/>
  <c r="YG31" i="9"/>
  <c r="YH31" i="9"/>
  <c r="YI31" i="9"/>
  <c r="YJ31" i="9"/>
  <c r="YK31" i="9"/>
  <c r="VC31" i="9"/>
  <c r="VD31" i="9"/>
  <c r="VE31" i="9"/>
  <c r="VF31" i="9"/>
  <c r="VG31" i="9"/>
  <c r="VH31" i="9"/>
  <c r="VI31" i="9"/>
  <c r="VJ31" i="9"/>
  <c r="VK31" i="9"/>
  <c r="VL31" i="9"/>
  <c r="VM31" i="9"/>
  <c r="VN31" i="9"/>
  <c r="VO31" i="9"/>
  <c r="VP31" i="9"/>
  <c r="VQ31" i="9"/>
  <c r="VR31" i="9"/>
  <c r="VS31" i="9"/>
  <c r="VT31" i="9"/>
  <c r="VU31" i="9"/>
  <c r="VV31" i="9"/>
  <c r="VW31" i="9"/>
  <c r="VX31" i="9"/>
  <c r="VY31" i="9"/>
  <c r="VZ31" i="9"/>
  <c r="WA31" i="9"/>
  <c r="WB31" i="9"/>
  <c r="WC31" i="9"/>
  <c r="WD31" i="9"/>
  <c r="WE31" i="9"/>
  <c r="WF31" i="9"/>
  <c r="WG31" i="9"/>
  <c r="WH31" i="9"/>
  <c r="WI31" i="9"/>
  <c r="WJ31" i="9"/>
  <c r="WK31" i="9"/>
  <c r="WL31" i="9"/>
  <c r="WM31" i="9"/>
  <c r="WN31" i="9"/>
  <c r="WO31" i="9"/>
  <c r="WP31" i="9"/>
  <c r="WQ31" i="9"/>
  <c r="WR31" i="9"/>
  <c r="WS31" i="9"/>
  <c r="TK31" i="9"/>
  <c r="TL31" i="9"/>
  <c r="TM31" i="9"/>
  <c r="TN31" i="9"/>
  <c r="TO31" i="9"/>
  <c r="TP31" i="9"/>
  <c r="TQ31" i="9"/>
  <c r="TR31" i="9"/>
  <c r="TS31" i="9"/>
  <c r="TT31" i="9"/>
  <c r="TU31" i="9"/>
  <c r="TV31" i="9"/>
  <c r="TW31" i="9"/>
  <c r="TX31" i="9"/>
  <c r="TY31" i="9"/>
  <c r="TZ31" i="9"/>
  <c r="UA31" i="9"/>
  <c r="UB31" i="9"/>
  <c r="UC31" i="9"/>
  <c r="UD31" i="9"/>
  <c r="UE31" i="9"/>
  <c r="UF31" i="9"/>
  <c r="UG31" i="9"/>
  <c r="UH31" i="9"/>
  <c r="UI31" i="9"/>
  <c r="UJ31" i="9"/>
  <c r="UK31" i="9"/>
  <c r="UL31" i="9"/>
  <c r="UM31" i="9"/>
  <c r="UN31" i="9"/>
  <c r="UO31" i="9"/>
  <c r="UP31" i="9"/>
  <c r="UQ31" i="9"/>
  <c r="UR31" i="9"/>
  <c r="US31" i="9"/>
  <c r="UT31" i="9"/>
  <c r="UU31" i="9"/>
  <c r="UV31" i="9"/>
  <c r="UW31" i="9"/>
  <c r="UX31" i="9"/>
  <c r="UY31" i="9"/>
  <c r="UZ31" i="9"/>
  <c r="VA31" i="9"/>
  <c r="RS31" i="9"/>
  <c r="RT31" i="9"/>
  <c r="RU31" i="9"/>
  <c r="RV31" i="9"/>
  <c r="RW31" i="9"/>
  <c r="RX31" i="9"/>
  <c r="RY31" i="9"/>
  <c r="RZ31" i="9"/>
  <c r="SA31" i="9"/>
  <c r="SB31" i="9"/>
  <c r="SC31" i="9"/>
  <c r="SD31" i="9"/>
  <c r="SE31" i="9"/>
  <c r="SF31" i="9"/>
  <c r="SG31" i="9"/>
  <c r="SH31" i="9"/>
  <c r="SI31" i="9"/>
  <c r="SJ31" i="9"/>
  <c r="SK31" i="9"/>
  <c r="SL31" i="9"/>
  <c r="SM31" i="9"/>
  <c r="SN31" i="9"/>
  <c r="SO31" i="9"/>
  <c r="SP31" i="9"/>
  <c r="SQ31" i="9"/>
  <c r="SR31" i="9"/>
  <c r="SS31" i="9"/>
  <c r="ST31" i="9"/>
  <c r="SU31" i="9"/>
  <c r="SV31" i="9"/>
  <c r="SW31" i="9"/>
  <c r="SX31" i="9"/>
  <c r="SY31" i="9"/>
  <c r="SZ31" i="9"/>
  <c r="TA31" i="9"/>
  <c r="TB31" i="9"/>
  <c r="TC31" i="9"/>
  <c r="TD31" i="9"/>
  <c r="TE31" i="9"/>
  <c r="TF31" i="9"/>
  <c r="TG31" i="9"/>
  <c r="TH31" i="9"/>
  <c r="TI31" i="9"/>
  <c r="QA31" i="9"/>
  <c r="QB31" i="9"/>
  <c r="QC31" i="9"/>
  <c r="QD31" i="9"/>
  <c r="QE31" i="9"/>
  <c r="QF31" i="9"/>
  <c r="QG31" i="9"/>
  <c r="QH31" i="9"/>
  <c r="QI31" i="9"/>
  <c r="QJ31" i="9"/>
  <c r="QK31" i="9"/>
  <c r="QL31" i="9"/>
  <c r="QM31" i="9"/>
  <c r="QN31" i="9"/>
  <c r="QO31" i="9"/>
  <c r="QP31" i="9"/>
  <c r="QQ31" i="9"/>
  <c r="QR31" i="9"/>
  <c r="QS31" i="9"/>
  <c r="QT31" i="9"/>
  <c r="QU31" i="9"/>
  <c r="QV31" i="9"/>
  <c r="QW31" i="9"/>
  <c r="QX31" i="9"/>
  <c r="QY31" i="9"/>
  <c r="QZ31" i="9"/>
  <c r="RA31" i="9"/>
  <c r="RB31" i="9"/>
  <c r="RC31" i="9"/>
  <c r="RD31" i="9"/>
  <c r="RE31" i="9"/>
  <c r="RF31" i="9"/>
  <c r="RG31" i="9"/>
  <c r="RH31" i="9"/>
  <c r="RI31" i="9"/>
  <c r="RJ31" i="9"/>
  <c r="RK31" i="9"/>
  <c r="RL31" i="9"/>
  <c r="RM31" i="9"/>
  <c r="RN31" i="9"/>
  <c r="RO31" i="9"/>
  <c r="RP31" i="9"/>
  <c r="RQ31" i="9"/>
  <c r="OI31" i="9"/>
  <c r="OJ31" i="9"/>
  <c r="OK31" i="9"/>
  <c r="OL31" i="9"/>
  <c r="OM31" i="9"/>
  <c r="ON31" i="9"/>
  <c r="OO31" i="9"/>
  <c r="OP31" i="9"/>
  <c r="OQ31" i="9"/>
  <c r="OR31" i="9"/>
  <c r="OS31" i="9"/>
  <c r="OT31" i="9"/>
  <c r="OU31" i="9"/>
  <c r="OV31" i="9"/>
  <c r="OW31" i="9"/>
  <c r="OX31" i="9"/>
  <c r="OY31" i="9"/>
  <c r="OZ31" i="9"/>
  <c r="PA31" i="9"/>
  <c r="PB31" i="9"/>
  <c r="PC31" i="9"/>
  <c r="PD31" i="9"/>
  <c r="PE31" i="9"/>
  <c r="PF31" i="9"/>
  <c r="PG31" i="9"/>
  <c r="PH31" i="9"/>
  <c r="PI31" i="9"/>
  <c r="PJ31" i="9"/>
  <c r="PK31" i="9"/>
  <c r="PL31" i="9"/>
  <c r="PM31" i="9"/>
  <c r="PN31" i="9"/>
  <c r="PO31" i="9"/>
  <c r="PP31" i="9"/>
  <c r="PQ31" i="9"/>
  <c r="PR31" i="9"/>
  <c r="PS31" i="9"/>
  <c r="PT31" i="9"/>
  <c r="PU31" i="9"/>
  <c r="PV31" i="9"/>
  <c r="PW31" i="9"/>
  <c r="PX31" i="9"/>
  <c r="PY31" i="9"/>
  <c r="MQ31" i="9"/>
  <c r="MR31" i="9"/>
  <c r="MS31" i="9"/>
  <c r="MT31" i="9"/>
  <c r="MU31" i="9"/>
  <c r="MV31" i="9"/>
  <c r="MW31" i="9"/>
  <c r="MX31" i="9"/>
  <c r="MY31" i="9"/>
  <c r="MZ31" i="9"/>
  <c r="NA31" i="9"/>
  <c r="NB31" i="9"/>
  <c r="NC31" i="9"/>
  <c r="ND31" i="9"/>
  <c r="NE31" i="9"/>
  <c r="NF31" i="9"/>
  <c r="NG31" i="9"/>
  <c r="NH31" i="9"/>
  <c r="NI31" i="9"/>
  <c r="NJ31" i="9"/>
  <c r="NK31" i="9"/>
  <c r="NL31" i="9"/>
  <c r="NM31" i="9"/>
  <c r="NN31" i="9"/>
  <c r="NO31" i="9"/>
  <c r="NP31" i="9"/>
  <c r="NQ31" i="9"/>
  <c r="NR31" i="9"/>
  <c r="NS31" i="9"/>
  <c r="NT31" i="9"/>
  <c r="NU31" i="9"/>
  <c r="NV31" i="9"/>
  <c r="NW31" i="9"/>
  <c r="NX31" i="9"/>
  <c r="NY31" i="9"/>
  <c r="NZ31" i="9"/>
  <c r="OA31" i="9"/>
  <c r="OB31" i="9"/>
  <c r="OC31" i="9"/>
  <c r="OD31" i="9"/>
  <c r="OE31" i="9"/>
  <c r="OF31" i="9"/>
  <c r="OG31" i="9"/>
  <c r="KY31" i="9"/>
  <c r="KZ31" i="9"/>
  <c r="LA31" i="9"/>
  <c r="LB31" i="9"/>
  <c r="LC31" i="9"/>
  <c r="LD31" i="9"/>
  <c r="LE31" i="9"/>
  <c r="LF31" i="9"/>
  <c r="LG31" i="9"/>
  <c r="LH31" i="9"/>
  <c r="LI31" i="9"/>
  <c r="LJ31" i="9"/>
  <c r="LK31" i="9"/>
  <c r="LL31" i="9"/>
  <c r="LM31" i="9"/>
  <c r="LN31" i="9"/>
  <c r="LO31" i="9"/>
  <c r="LP31" i="9"/>
  <c r="LQ31" i="9"/>
  <c r="LR31" i="9"/>
  <c r="LS31" i="9"/>
  <c r="LT31" i="9"/>
  <c r="LU31" i="9"/>
  <c r="LV31" i="9"/>
  <c r="LW31" i="9"/>
  <c r="LX31" i="9"/>
  <c r="LY31" i="9"/>
  <c r="LZ31" i="9"/>
  <c r="MA31" i="9"/>
  <c r="MB31" i="9"/>
  <c r="MC31" i="9"/>
  <c r="MD31" i="9"/>
  <c r="ME31" i="9"/>
  <c r="MF31" i="9"/>
  <c r="MG31" i="9"/>
  <c r="MH31" i="9"/>
  <c r="MI31" i="9"/>
  <c r="MJ31" i="9"/>
  <c r="MK31" i="9"/>
  <c r="ML31" i="9"/>
  <c r="MM31" i="9"/>
  <c r="MN31" i="9"/>
  <c r="MO31" i="9"/>
  <c r="JG31" i="9"/>
  <c r="JH31" i="9"/>
  <c r="JI31" i="9"/>
  <c r="JJ31" i="9"/>
  <c r="JK31" i="9"/>
  <c r="JL31" i="9"/>
  <c r="JM31" i="9"/>
  <c r="JN31" i="9"/>
  <c r="JO31" i="9"/>
  <c r="JP31" i="9"/>
  <c r="JQ31" i="9"/>
  <c r="JR31" i="9"/>
  <c r="JS31" i="9"/>
  <c r="JT31" i="9"/>
  <c r="JU31" i="9"/>
  <c r="JV31" i="9"/>
  <c r="JW31" i="9"/>
  <c r="JX31" i="9"/>
  <c r="JY31" i="9"/>
  <c r="JZ31" i="9"/>
  <c r="KA31" i="9"/>
  <c r="KB31" i="9"/>
  <c r="KC31" i="9"/>
  <c r="KD31" i="9"/>
  <c r="KE31" i="9"/>
  <c r="KF31" i="9"/>
  <c r="KG31" i="9"/>
  <c r="KH31" i="9"/>
  <c r="KI31" i="9"/>
  <c r="KJ31" i="9"/>
  <c r="KK31" i="9"/>
  <c r="KL31" i="9"/>
  <c r="KM31" i="9"/>
  <c r="KN31" i="9"/>
  <c r="KO31" i="9"/>
  <c r="KP31" i="9"/>
  <c r="KQ31" i="9"/>
  <c r="KR31" i="9"/>
  <c r="KS31" i="9"/>
  <c r="KT31" i="9"/>
  <c r="KU31" i="9"/>
  <c r="KV31" i="9"/>
  <c r="KW31" i="9"/>
  <c r="HO31" i="9"/>
  <c r="HP31" i="9"/>
  <c r="HQ31" i="9"/>
  <c r="HR31" i="9"/>
  <c r="HS31" i="9"/>
  <c r="HT31" i="9"/>
  <c r="HU31" i="9"/>
  <c r="HV31" i="9"/>
  <c r="HW31" i="9"/>
  <c r="HX31" i="9"/>
  <c r="HY31" i="9"/>
  <c r="HZ31" i="9"/>
  <c r="IA31" i="9"/>
  <c r="IB31" i="9"/>
  <c r="IC31" i="9"/>
  <c r="ID31" i="9"/>
  <c r="IE31" i="9"/>
  <c r="IF31" i="9"/>
  <c r="IG31" i="9"/>
  <c r="IH31" i="9"/>
  <c r="II31" i="9"/>
  <c r="IJ31" i="9"/>
  <c r="IK31" i="9"/>
  <c r="IL31" i="9"/>
  <c r="IM31" i="9"/>
  <c r="IN31" i="9"/>
  <c r="IO31" i="9"/>
  <c r="IP31" i="9"/>
  <c r="IQ31" i="9"/>
  <c r="IR31" i="9"/>
  <c r="IS31" i="9"/>
  <c r="IT31" i="9"/>
  <c r="IU31" i="9"/>
  <c r="IV31" i="9"/>
  <c r="IW31" i="9"/>
  <c r="IX31" i="9"/>
  <c r="IY31" i="9"/>
  <c r="IZ31" i="9"/>
  <c r="JA31" i="9"/>
  <c r="JB31" i="9"/>
  <c r="JC31" i="9"/>
  <c r="JD31" i="9"/>
  <c r="JE31" i="9"/>
  <c r="FW31" i="9"/>
  <c r="FX31" i="9"/>
  <c r="FY31" i="9"/>
  <c r="FZ31" i="9"/>
  <c r="GA31" i="9"/>
  <c r="GB31" i="9"/>
  <c r="GC31" i="9"/>
  <c r="GD31" i="9"/>
  <c r="GE31" i="9"/>
  <c r="GF31" i="9"/>
  <c r="GG31" i="9"/>
  <c r="GH31" i="9"/>
  <c r="GI31" i="9"/>
  <c r="GJ31" i="9"/>
  <c r="GK31" i="9"/>
  <c r="GL31" i="9"/>
  <c r="GM31" i="9"/>
  <c r="GN31" i="9"/>
  <c r="GO31" i="9"/>
  <c r="GP31" i="9"/>
  <c r="GQ31" i="9"/>
  <c r="GR31" i="9"/>
  <c r="GS31" i="9"/>
  <c r="GT31" i="9"/>
  <c r="GU31" i="9"/>
  <c r="GV31" i="9"/>
  <c r="GW31" i="9"/>
  <c r="GX31" i="9"/>
  <c r="GY31" i="9"/>
  <c r="GZ31" i="9"/>
  <c r="HA31" i="9"/>
  <c r="HB31" i="9"/>
  <c r="HC31" i="9"/>
  <c r="HD31" i="9"/>
  <c r="HE31" i="9"/>
  <c r="HF31" i="9"/>
  <c r="HG31" i="9"/>
  <c r="HH31" i="9"/>
  <c r="HI31" i="9"/>
  <c r="HJ31" i="9"/>
  <c r="HK31" i="9"/>
  <c r="HL31" i="9"/>
  <c r="HM31" i="9"/>
  <c r="EE31" i="9"/>
  <c r="EF31" i="9"/>
  <c r="EG31" i="9"/>
  <c r="EH31" i="9"/>
  <c r="EI31" i="9"/>
  <c r="EJ31" i="9"/>
  <c r="EK31" i="9"/>
  <c r="EL31" i="9"/>
  <c r="EM31" i="9"/>
  <c r="EN31" i="9"/>
  <c r="EO31" i="9"/>
  <c r="EP31" i="9"/>
  <c r="EQ31" i="9"/>
  <c r="ER31" i="9"/>
  <c r="ES31" i="9"/>
  <c r="ET31" i="9"/>
  <c r="EU31" i="9"/>
  <c r="EV31" i="9"/>
  <c r="EW31" i="9"/>
  <c r="EX31" i="9"/>
  <c r="EY31" i="9"/>
  <c r="EZ31" i="9"/>
  <c r="FA31" i="9"/>
  <c r="FB31" i="9"/>
  <c r="FC31" i="9"/>
  <c r="FD31" i="9"/>
  <c r="FE31" i="9"/>
  <c r="FF31" i="9"/>
  <c r="FG31" i="9"/>
  <c r="FH31" i="9"/>
  <c r="FI31" i="9"/>
  <c r="FJ31" i="9"/>
  <c r="FK31" i="9"/>
  <c r="FL31" i="9"/>
  <c r="FM31" i="9"/>
  <c r="FN31" i="9"/>
  <c r="FO31" i="9"/>
  <c r="FP31" i="9"/>
  <c r="FQ31" i="9"/>
  <c r="FR31" i="9"/>
  <c r="FS31" i="9"/>
  <c r="FT31" i="9"/>
  <c r="FU31" i="9"/>
  <c r="CM31" i="9"/>
  <c r="CN31" i="9"/>
  <c r="CO31" i="9"/>
  <c r="CP31" i="9"/>
  <c r="CQ31" i="9"/>
  <c r="CR31" i="9"/>
  <c r="CS31" i="9"/>
  <c r="CT31" i="9"/>
  <c r="CU31" i="9"/>
  <c r="CV31" i="9"/>
  <c r="CW31" i="9"/>
  <c r="CX31" i="9"/>
  <c r="CY31" i="9"/>
  <c r="CZ31" i="9"/>
  <c r="DA31" i="9"/>
  <c r="DB31" i="9"/>
  <c r="DC31" i="9"/>
  <c r="DD31" i="9"/>
  <c r="DE31" i="9"/>
  <c r="DF31" i="9"/>
  <c r="DG31" i="9"/>
  <c r="DH31" i="9"/>
  <c r="DI31" i="9"/>
  <c r="DJ31" i="9"/>
  <c r="DK31" i="9"/>
  <c r="DL31" i="9"/>
  <c r="DM31" i="9"/>
  <c r="DN31" i="9"/>
  <c r="DO31" i="9"/>
  <c r="DP31" i="9"/>
  <c r="DQ31" i="9"/>
  <c r="DR31" i="9"/>
  <c r="DS31" i="9"/>
  <c r="DT31" i="9"/>
  <c r="DU31" i="9"/>
  <c r="DV31" i="9"/>
  <c r="DW31" i="9"/>
  <c r="DX31" i="9"/>
  <c r="DY31" i="9"/>
  <c r="DZ31" i="9"/>
  <c r="EA31" i="9"/>
  <c r="EB31" i="9"/>
  <c r="EC31" i="9"/>
  <c r="AU31" i="9"/>
  <c r="AV31" i="9"/>
  <c r="AW31" i="9"/>
  <c r="AX31" i="9"/>
  <c r="AY31" i="9"/>
  <c r="AZ31" i="9"/>
  <c r="BA31" i="9"/>
  <c r="BB31" i="9"/>
  <c r="BC31" i="9"/>
  <c r="BD31" i="9"/>
  <c r="BE31" i="9"/>
  <c r="BF31" i="9"/>
  <c r="BG31" i="9"/>
  <c r="BH31" i="9"/>
  <c r="BI31" i="9"/>
  <c r="BJ31" i="9"/>
  <c r="BK31" i="9"/>
  <c r="BL31" i="9"/>
  <c r="BM31" i="9"/>
  <c r="BN31" i="9"/>
  <c r="BO31" i="9"/>
  <c r="BP31" i="9"/>
  <c r="BQ31" i="9"/>
  <c r="BR31" i="9"/>
  <c r="BS31" i="9"/>
  <c r="BT31" i="9"/>
  <c r="BU31" i="9"/>
  <c r="BV31" i="9"/>
  <c r="BW31" i="9"/>
  <c r="BX31" i="9"/>
  <c r="BY31" i="9"/>
  <c r="BZ31" i="9"/>
  <c r="CA31" i="9"/>
  <c r="CB31" i="9"/>
  <c r="CC31" i="9"/>
  <c r="CD31" i="9"/>
  <c r="CE31" i="9"/>
  <c r="CF31" i="9"/>
  <c r="CG31" i="9"/>
  <c r="CH31" i="9"/>
  <c r="CI31" i="9"/>
  <c r="CJ31" i="9"/>
  <c r="CK31" i="9"/>
  <c r="B31" i="9"/>
  <c r="C31" i="9"/>
  <c r="D31" i="9"/>
  <c r="E31" i="9"/>
  <c r="F31" i="9"/>
  <c r="G31" i="9"/>
  <c r="H31" i="9"/>
  <c r="I31" i="9"/>
  <c r="J31" i="9"/>
  <c r="K31" i="9"/>
  <c r="L31" i="9"/>
  <c r="M31" i="9"/>
  <c r="N31" i="9"/>
  <c r="O31" i="9"/>
  <c r="P31" i="9"/>
  <c r="Q31" i="9"/>
  <c r="R31" i="9"/>
  <c r="S31" i="9"/>
  <c r="T31" i="9"/>
  <c r="U31" i="9"/>
  <c r="V31" i="9"/>
  <c r="W31" i="9"/>
  <c r="X31" i="9"/>
  <c r="Y31" i="9"/>
  <c r="Z31" i="9"/>
  <c r="AA31" i="9"/>
  <c r="AB31" i="9"/>
  <c r="AC31" i="9"/>
  <c r="AD31" i="9"/>
  <c r="AE31" i="9"/>
  <c r="AF31" i="9"/>
  <c r="AG31" i="9"/>
  <c r="AH31" i="9"/>
  <c r="AI31" i="9"/>
  <c r="AJ31" i="9"/>
  <c r="AK31" i="9"/>
  <c r="AL31" i="9"/>
  <c r="AM31" i="9"/>
  <c r="AN31" i="9"/>
  <c r="AO31" i="9"/>
  <c r="AP31" i="9"/>
  <c r="AQ31" i="9"/>
  <c r="AR31" i="9"/>
  <c r="AS31" i="9"/>
  <c r="WT30" i="9"/>
  <c r="WU30" i="9"/>
  <c r="WV30" i="9"/>
  <c r="WW30" i="9"/>
  <c r="WX30" i="9"/>
  <c r="WY30" i="9"/>
  <c r="WZ30" i="9"/>
  <c r="XA30" i="9"/>
  <c r="XB30" i="9"/>
  <c r="XC30" i="9"/>
  <c r="XD30" i="9"/>
  <c r="XE30" i="9"/>
  <c r="XF30" i="9"/>
  <c r="XG30" i="9"/>
  <c r="XH30" i="9"/>
  <c r="XI30" i="9"/>
  <c r="XJ30" i="9"/>
  <c r="XK30" i="9"/>
  <c r="XL30" i="9"/>
  <c r="XM30" i="9"/>
  <c r="XN30" i="9"/>
  <c r="XO30" i="9"/>
  <c r="XP30" i="9"/>
  <c r="XQ30" i="9"/>
  <c r="XR30" i="9"/>
  <c r="XS30" i="9"/>
  <c r="XT30" i="9"/>
  <c r="XU30" i="9"/>
  <c r="XV30" i="9"/>
  <c r="XW30" i="9"/>
  <c r="XX30" i="9"/>
  <c r="XY30" i="9"/>
  <c r="XZ30" i="9"/>
  <c r="YA30" i="9"/>
  <c r="YB30" i="9"/>
  <c r="YC30" i="9"/>
  <c r="YD30" i="9"/>
  <c r="YE30" i="9"/>
  <c r="YF30" i="9"/>
  <c r="YG30" i="9"/>
  <c r="YH30" i="9"/>
  <c r="YI30" i="9"/>
  <c r="YJ30" i="9"/>
  <c r="YK30" i="9"/>
  <c r="VB30" i="9"/>
  <c r="VC30" i="9"/>
  <c r="VD30" i="9"/>
  <c r="VE30" i="9"/>
  <c r="VF30" i="9"/>
  <c r="VG30" i="9"/>
  <c r="VH30" i="9"/>
  <c r="VI30" i="9"/>
  <c r="VJ30" i="9"/>
  <c r="VK30" i="9"/>
  <c r="VL30" i="9"/>
  <c r="VM30" i="9"/>
  <c r="VN30" i="9"/>
  <c r="VO30" i="9"/>
  <c r="VP30" i="9"/>
  <c r="VQ30" i="9"/>
  <c r="VR30" i="9"/>
  <c r="VS30" i="9"/>
  <c r="VT30" i="9"/>
  <c r="VU30" i="9"/>
  <c r="VV30" i="9"/>
  <c r="VW30" i="9"/>
  <c r="VX30" i="9"/>
  <c r="VY30" i="9"/>
  <c r="VZ30" i="9"/>
  <c r="WA30" i="9"/>
  <c r="WB30" i="9"/>
  <c r="WC30" i="9"/>
  <c r="WD30" i="9"/>
  <c r="WE30" i="9"/>
  <c r="WF30" i="9"/>
  <c r="WG30" i="9"/>
  <c r="WH30" i="9"/>
  <c r="WI30" i="9"/>
  <c r="WJ30" i="9"/>
  <c r="WK30" i="9"/>
  <c r="WL30" i="9"/>
  <c r="WM30" i="9"/>
  <c r="WN30" i="9"/>
  <c r="WO30" i="9"/>
  <c r="WP30" i="9"/>
  <c r="WQ30" i="9"/>
  <c r="WR30" i="9"/>
  <c r="WS30" i="9"/>
  <c r="TJ30" i="9"/>
  <c r="TK30" i="9"/>
  <c r="TL30" i="9"/>
  <c r="TM30" i="9"/>
  <c r="TN30" i="9"/>
  <c r="TO30" i="9"/>
  <c r="TP30" i="9"/>
  <c r="TQ30" i="9"/>
  <c r="TR30" i="9"/>
  <c r="TS30" i="9"/>
  <c r="TT30" i="9"/>
  <c r="TU30" i="9"/>
  <c r="TV30" i="9"/>
  <c r="TW30" i="9"/>
  <c r="TX30" i="9"/>
  <c r="TY30" i="9"/>
  <c r="TZ30" i="9"/>
  <c r="UA30" i="9"/>
  <c r="UB30" i="9"/>
  <c r="UC30" i="9"/>
  <c r="UD30" i="9"/>
  <c r="UE30" i="9"/>
  <c r="UF30" i="9"/>
  <c r="UG30" i="9"/>
  <c r="UH30" i="9"/>
  <c r="UI30" i="9"/>
  <c r="UJ30" i="9"/>
  <c r="UK30" i="9"/>
  <c r="UL30" i="9"/>
  <c r="UM30" i="9"/>
  <c r="UN30" i="9"/>
  <c r="UO30" i="9"/>
  <c r="UP30" i="9"/>
  <c r="UQ30" i="9"/>
  <c r="UR30" i="9"/>
  <c r="US30" i="9"/>
  <c r="UT30" i="9"/>
  <c r="UU30" i="9"/>
  <c r="UV30" i="9"/>
  <c r="UW30" i="9"/>
  <c r="UX30" i="9"/>
  <c r="UY30" i="9"/>
  <c r="UZ30" i="9"/>
  <c r="VA30" i="9"/>
  <c r="RR30" i="9"/>
  <c r="RS30" i="9"/>
  <c r="RT30" i="9"/>
  <c r="RU30" i="9"/>
  <c r="RV30" i="9"/>
  <c r="RW30" i="9"/>
  <c r="RX30" i="9"/>
  <c r="RY30" i="9"/>
  <c r="RZ30" i="9"/>
  <c r="SA30" i="9"/>
  <c r="SB30" i="9"/>
  <c r="SC30" i="9"/>
  <c r="SD30" i="9"/>
  <c r="SE30" i="9"/>
  <c r="SF30" i="9"/>
  <c r="SG30" i="9"/>
  <c r="SH30" i="9"/>
  <c r="SI30" i="9"/>
  <c r="SJ30" i="9"/>
  <c r="SK30" i="9"/>
  <c r="SL30" i="9"/>
  <c r="SM30" i="9"/>
  <c r="SN30" i="9"/>
  <c r="SO30" i="9"/>
  <c r="SP30" i="9"/>
  <c r="SQ30" i="9"/>
  <c r="SR30" i="9"/>
  <c r="SS30" i="9"/>
  <c r="ST30" i="9"/>
  <c r="SU30" i="9"/>
  <c r="SV30" i="9"/>
  <c r="SW30" i="9"/>
  <c r="SX30" i="9"/>
  <c r="SY30" i="9"/>
  <c r="SZ30" i="9"/>
  <c r="TA30" i="9"/>
  <c r="TB30" i="9"/>
  <c r="TC30" i="9"/>
  <c r="TD30" i="9"/>
  <c r="TE30" i="9"/>
  <c r="TF30" i="9"/>
  <c r="TG30" i="9"/>
  <c r="TH30" i="9"/>
  <c r="TI30" i="9"/>
  <c r="PZ30" i="9"/>
  <c r="QA30" i="9"/>
  <c r="QB30" i="9"/>
  <c r="QC30" i="9"/>
  <c r="QD30" i="9"/>
  <c r="QE30" i="9"/>
  <c r="QF30" i="9"/>
  <c r="QG30" i="9"/>
  <c r="QH30" i="9"/>
  <c r="QI30" i="9"/>
  <c r="QJ30" i="9"/>
  <c r="QK30" i="9"/>
  <c r="QL30" i="9"/>
  <c r="QM30" i="9"/>
  <c r="QN30" i="9"/>
  <c r="QO30" i="9"/>
  <c r="QP30" i="9"/>
  <c r="QQ30" i="9"/>
  <c r="QR30" i="9"/>
  <c r="QS30" i="9"/>
  <c r="QT30" i="9"/>
  <c r="QU30" i="9"/>
  <c r="QV30" i="9"/>
  <c r="QW30" i="9"/>
  <c r="QX30" i="9"/>
  <c r="QY30" i="9"/>
  <c r="QZ30" i="9"/>
  <c r="RA30" i="9"/>
  <c r="RB30" i="9"/>
  <c r="RC30" i="9"/>
  <c r="RD30" i="9"/>
  <c r="RE30" i="9"/>
  <c r="RF30" i="9"/>
  <c r="RG30" i="9"/>
  <c r="RH30" i="9"/>
  <c r="RI30" i="9"/>
  <c r="RJ30" i="9"/>
  <c r="RK30" i="9"/>
  <c r="RL30" i="9"/>
  <c r="RM30" i="9"/>
  <c r="RN30" i="9"/>
  <c r="RO30" i="9"/>
  <c r="RP30" i="9"/>
  <c r="RQ30" i="9"/>
  <c r="OH30" i="9"/>
  <c r="OI30" i="9"/>
  <c r="OJ30" i="9"/>
  <c r="OK30" i="9"/>
  <c r="OL30" i="9"/>
  <c r="OM30" i="9"/>
  <c r="ON30" i="9"/>
  <c r="OO30" i="9"/>
  <c r="OP30" i="9"/>
  <c r="OQ30" i="9"/>
  <c r="OR30" i="9"/>
  <c r="OS30" i="9"/>
  <c r="OT30" i="9"/>
  <c r="OU30" i="9"/>
  <c r="OV30" i="9"/>
  <c r="OW30" i="9"/>
  <c r="OX30" i="9"/>
  <c r="OY30" i="9"/>
  <c r="OZ30" i="9"/>
  <c r="PA30" i="9"/>
  <c r="PB30" i="9"/>
  <c r="PC30" i="9"/>
  <c r="PD30" i="9"/>
  <c r="PE30" i="9"/>
  <c r="PF30" i="9"/>
  <c r="PG30" i="9"/>
  <c r="PH30" i="9"/>
  <c r="PI30" i="9"/>
  <c r="PJ30" i="9"/>
  <c r="PK30" i="9"/>
  <c r="PL30" i="9"/>
  <c r="PM30" i="9"/>
  <c r="PN30" i="9"/>
  <c r="PO30" i="9"/>
  <c r="PP30" i="9"/>
  <c r="PQ30" i="9"/>
  <c r="PR30" i="9"/>
  <c r="PS30" i="9"/>
  <c r="PT30" i="9"/>
  <c r="PU30" i="9"/>
  <c r="PV30" i="9"/>
  <c r="PW30" i="9"/>
  <c r="PX30" i="9"/>
  <c r="PY30" i="9"/>
  <c r="MP30" i="9"/>
  <c r="MQ30" i="9"/>
  <c r="MR30" i="9"/>
  <c r="MS30" i="9"/>
  <c r="MT30" i="9"/>
  <c r="MU30" i="9"/>
  <c r="MV30" i="9"/>
  <c r="MW30" i="9"/>
  <c r="MX30" i="9"/>
  <c r="MY30" i="9"/>
  <c r="MZ30" i="9"/>
  <c r="NA30" i="9"/>
  <c r="NB30" i="9"/>
  <c r="NC30" i="9"/>
  <c r="ND30" i="9"/>
  <c r="NE30" i="9"/>
  <c r="NF30" i="9"/>
  <c r="NG30" i="9"/>
  <c r="NH30" i="9"/>
  <c r="NI30" i="9"/>
  <c r="NJ30" i="9"/>
  <c r="NK30" i="9"/>
  <c r="NL30" i="9"/>
  <c r="NM30" i="9"/>
  <c r="NN30" i="9"/>
  <c r="NO30" i="9"/>
  <c r="NP30" i="9"/>
  <c r="NQ30" i="9"/>
  <c r="NR30" i="9"/>
  <c r="NS30" i="9"/>
  <c r="NT30" i="9"/>
  <c r="NU30" i="9"/>
  <c r="NV30" i="9"/>
  <c r="NW30" i="9"/>
  <c r="NX30" i="9"/>
  <c r="NY30" i="9"/>
  <c r="NZ30" i="9"/>
  <c r="OA30" i="9"/>
  <c r="OB30" i="9"/>
  <c r="OC30" i="9"/>
  <c r="OD30" i="9"/>
  <c r="OE30" i="9"/>
  <c r="OF30" i="9"/>
  <c r="OG30" i="9"/>
  <c r="KX30" i="9"/>
  <c r="KY30" i="9"/>
  <c r="KZ30" i="9"/>
  <c r="LA30" i="9"/>
  <c r="LB30" i="9"/>
  <c r="LC30" i="9"/>
  <c r="LD30" i="9"/>
  <c r="LE30" i="9"/>
  <c r="LF30" i="9"/>
  <c r="LG30" i="9"/>
  <c r="LH30" i="9"/>
  <c r="LI30" i="9"/>
  <c r="LJ30" i="9"/>
  <c r="LK30" i="9"/>
  <c r="LL30" i="9"/>
  <c r="LM30" i="9"/>
  <c r="LN30" i="9"/>
  <c r="LO30" i="9"/>
  <c r="LP30" i="9"/>
  <c r="LQ30" i="9"/>
  <c r="LR30" i="9"/>
  <c r="LS30" i="9"/>
  <c r="LT30" i="9"/>
  <c r="LU30" i="9"/>
  <c r="LV30" i="9"/>
  <c r="LW30" i="9"/>
  <c r="LX30" i="9"/>
  <c r="LY30" i="9"/>
  <c r="LZ30" i="9"/>
  <c r="MA30" i="9"/>
  <c r="MB30" i="9"/>
  <c r="MC30" i="9"/>
  <c r="MD30" i="9"/>
  <c r="ME30" i="9"/>
  <c r="MF30" i="9"/>
  <c r="MG30" i="9"/>
  <c r="MH30" i="9"/>
  <c r="MI30" i="9"/>
  <c r="MJ30" i="9"/>
  <c r="MK30" i="9"/>
  <c r="ML30" i="9"/>
  <c r="MM30" i="9"/>
  <c r="MN30" i="9"/>
  <c r="MO30" i="9"/>
  <c r="JF30" i="9"/>
  <c r="JG30" i="9"/>
  <c r="JH30" i="9"/>
  <c r="JI30" i="9"/>
  <c r="JJ30" i="9"/>
  <c r="JK30" i="9"/>
  <c r="JL30" i="9"/>
  <c r="JM30" i="9"/>
  <c r="JN30" i="9"/>
  <c r="JO30" i="9"/>
  <c r="JP30" i="9"/>
  <c r="JQ30" i="9"/>
  <c r="JR30" i="9"/>
  <c r="JS30" i="9"/>
  <c r="JT30" i="9"/>
  <c r="JU30" i="9"/>
  <c r="JV30" i="9"/>
  <c r="JW30" i="9"/>
  <c r="JX30" i="9"/>
  <c r="JY30" i="9"/>
  <c r="JZ30" i="9"/>
  <c r="KA30" i="9"/>
  <c r="KB30" i="9"/>
  <c r="KC30" i="9"/>
  <c r="KD30" i="9"/>
  <c r="KE30" i="9"/>
  <c r="KF30" i="9"/>
  <c r="KG30" i="9"/>
  <c r="KH30" i="9"/>
  <c r="KI30" i="9"/>
  <c r="KJ30" i="9"/>
  <c r="KK30" i="9"/>
  <c r="KL30" i="9"/>
  <c r="KM30" i="9"/>
  <c r="KN30" i="9"/>
  <c r="KO30" i="9"/>
  <c r="KP30" i="9"/>
  <c r="KQ30" i="9"/>
  <c r="KR30" i="9"/>
  <c r="KS30" i="9"/>
  <c r="KT30" i="9"/>
  <c r="KU30" i="9"/>
  <c r="KV30" i="9"/>
  <c r="KW30" i="9"/>
  <c r="HN30" i="9"/>
  <c r="HO30" i="9"/>
  <c r="HP30" i="9"/>
  <c r="HQ30" i="9"/>
  <c r="HR30" i="9"/>
  <c r="HS30" i="9"/>
  <c r="HT30" i="9"/>
  <c r="HU30" i="9"/>
  <c r="HV30" i="9"/>
  <c r="HW30" i="9"/>
  <c r="HX30" i="9"/>
  <c r="HY30" i="9"/>
  <c r="HZ30" i="9"/>
  <c r="IA30" i="9"/>
  <c r="IB30" i="9"/>
  <c r="IC30" i="9"/>
  <c r="ID30" i="9"/>
  <c r="IE30" i="9"/>
  <c r="IF30" i="9"/>
  <c r="IG30" i="9"/>
  <c r="IH30" i="9"/>
  <c r="II30" i="9"/>
  <c r="IJ30" i="9"/>
  <c r="IK30" i="9"/>
  <c r="IL30" i="9"/>
  <c r="IM30" i="9"/>
  <c r="IN30" i="9"/>
  <c r="IO30" i="9"/>
  <c r="IP30" i="9"/>
  <c r="IQ30" i="9"/>
  <c r="IR30" i="9"/>
  <c r="IS30" i="9"/>
  <c r="IT30" i="9"/>
  <c r="IU30" i="9"/>
  <c r="IV30" i="9"/>
  <c r="IW30" i="9"/>
  <c r="IX30" i="9"/>
  <c r="IY30" i="9"/>
  <c r="IZ30" i="9"/>
  <c r="JA30" i="9"/>
  <c r="JB30" i="9"/>
  <c r="JC30" i="9"/>
  <c r="JD30" i="9"/>
  <c r="JE30" i="9"/>
  <c r="FV30" i="9"/>
  <c r="FW30" i="9"/>
  <c r="FX30" i="9"/>
  <c r="FY30" i="9"/>
  <c r="FZ30" i="9"/>
  <c r="GA30" i="9"/>
  <c r="GB30" i="9"/>
  <c r="GC30" i="9"/>
  <c r="GD30" i="9"/>
  <c r="GE30" i="9"/>
  <c r="GF30" i="9"/>
  <c r="GG30" i="9"/>
  <c r="GH30" i="9"/>
  <c r="GI30" i="9"/>
  <c r="GJ30" i="9"/>
  <c r="GK30" i="9"/>
  <c r="GL30" i="9"/>
  <c r="GM30" i="9"/>
  <c r="GN30" i="9"/>
  <c r="GO30" i="9"/>
  <c r="GP30" i="9"/>
  <c r="GQ30" i="9"/>
  <c r="GR30" i="9"/>
  <c r="GS30" i="9"/>
  <c r="GT30" i="9"/>
  <c r="GU30" i="9"/>
  <c r="GV30" i="9"/>
  <c r="GW30" i="9"/>
  <c r="GX30" i="9"/>
  <c r="GY30" i="9"/>
  <c r="GZ30" i="9"/>
  <c r="HA30" i="9"/>
  <c r="HB30" i="9"/>
  <c r="HC30" i="9"/>
  <c r="HD30" i="9"/>
  <c r="HE30" i="9"/>
  <c r="HF30" i="9"/>
  <c r="HG30" i="9"/>
  <c r="HH30" i="9"/>
  <c r="HI30" i="9"/>
  <c r="HJ30" i="9"/>
  <c r="HK30" i="9"/>
  <c r="HL30" i="9"/>
  <c r="HM30" i="9"/>
  <c r="ED30" i="9"/>
  <c r="EE30" i="9"/>
  <c r="EF30" i="9"/>
  <c r="EG30" i="9"/>
  <c r="EH30" i="9"/>
  <c r="EI30" i="9"/>
  <c r="EJ30" i="9"/>
  <c r="EK30" i="9"/>
  <c r="EL30" i="9"/>
  <c r="EM30" i="9"/>
  <c r="EN30" i="9"/>
  <c r="EO30" i="9"/>
  <c r="EP30" i="9"/>
  <c r="EQ30" i="9"/>
  <c r="ER30" i="9"/>
  <c r="ES30" i="9"/>
  <c r="ET30" i="9"/>
  <c r="EU30" i="9"/>
  <c r="EV30" i="9"/>
  <c r="EW30" i="9"/>
  <c r="EX30" i="9"/>
  <c r="EY30" i="9"/>
  <c r="EZ30" i="9"/>
  <c r="FA30" i="9"/>
  <c r="FB30" i="9"/>
  <c r="FC30" i="9"/>
  <c r="FD30" i="9"/>
  <c r="FE30" i="9"/>
  <c r="FF30" i="9"/>
  <c r="FG30" i="9"/>
  <c r="FH30" i="9"/>
  <c r="FI30" i="9"/>
  <c r="FJ30" i="9"/>
  <c r="FK30" i="9"/>
  <c r="FL30" i="9"/>
  <c r="FM30" i="9"/>
  <c r="FN30" i="9"/>
  <c r="FO30" i="9"/>
  <c r="FP30" i="9"/>
  <c r="FQ30" i="9"/>
  <c r="FR30" i="9"/>
  <c r="FS30" i="9"/>
  <c r="FT30" i="9"/>
  <c r="FU30" i="9"/>
  <c r="CL30" i="9"/>
  <c r="CM30" i="9"/>
  <c r="CN30" i="9"/>
  <c r="CO30" i="9"/>
  <c r="CP30" i="9"/>
  <c r="CQ30" i="9"/>
  <c r="CR30" i="9"/>
  <c r="CS30" i="9"/>
  <c r="CT30" i="9"/>
  <c r="CU30" i="9"/>
  <c r="CV30" i="9"/>
  <c r="CW30" i="9"/>
  <c r="CX30" i="9"/>
  <c r="CY30" i="9"/>
  <c r="CZ30" i="9"/>
  <c r="DA30" i="9"/>
  <c r="DB30" i="9"/>
  <c r="DC30" i="9"/>
  <c r="DD30" i="9"/>
  <c r="DE30" i="9"/>
  <c r="DF30" i="9"/>
  <c r="DG30" i="9"/>
  <c r="DH30" i="9"/>
  <c r="DI30" i="9"/>
  <c r="DJ30" i="9"/>
  <c r="DK30" i="9"/>
  <c r="DL30" i="9"/>
  <c r="DM30" i="9"/>
  <c r="DN30" i="9"/>
  <c r="DO30" i="9"/>
  <c r="DP30" i="9"/>
  <c r="DQ30" i="9"/>
  <c r="DR30" i="9"/>
  <c r="DS30" i="9"/>
  <c r="DT30" i="9"/>
  <c r="DU30" i="9"/>
  <c r="DV30" i="9"/>
  <c r="DW30" i="9"/>
  <c r="DX30" i="9"/>
  <c r="DY30" i="9"/>
  <c r="DZ30" i="9"/>
  <c r="EA30" i="9"/>
  <c r="EB30" i="9"/>
  <c r="EC30" i="9"/>
  <c r="AT30" i="9"/>
  <c r="AU30" i="9"/>
  <c r="AV30" i="9"/>
  <c r="AW30" i="9"/>
  <c r="AX30" i="9"/>
  <c r="AY30" i="9"/>
  <c r="AZ30" i="9"/>
  <c r="BA30" i="9"/>
  <c r="BB30" i="9"/>
  <c r="BC30" i="9"/>
  <c r="BD30" i="9"/>
  <c r="BE30" i="9"/>
  <c r="BF30" i="9"/>
  <c r="BG30" i="9"/>
  <c r="BH30" i="9"/>
  <c r="BI30" i="9"/>
  <c r="BJ30" i="9"/>
  <c r="BK30" i="9"/>
  <c r="BL30" i="9"/>
  <c r="BM30" i="9"/>
  <c r="BN30" i="9"/>
  <c r="BO30" i="9"/>
  <c r="BP30" i="9"/>
  <c r="BQ30" i="9"/>
  <c r="BR30" i="9"/>
  <c r="BS30" i="9"/>
  <c r="BT30" i="9"/>
  <c r="BU30" i="9"/>
  <c r="BV30" i="9"/>
  <c r="BW30" i="9"/>
  <c r="BX30" i="9"/>
  <c r="BY30" i="9"/>
  <c r="BZ30" i="9"/>
  <c r="CA30" i="9"/>
  <c r="CB30" i="9"/>
  <c r="CC30" i="9"/>
  <c r="CD30" i="9"/>
  <c r="CE30" i="9"/>
  <c r="CF30" i="9"/>
  <c r="CG30" i="9"/>
  <c r="CH30" i="9"/>
  <c r="CI30" i="9"/>
  <c r="CJ30" i="9"/>
  <c r="CK30" i="9"/>
  <c r="B30" i="9"/>
  <c r="C30" i="9"/>
  <c r="D30"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WT29" i="9"/>
  <c r="WU29" i="9"/>
  <c r="WV29" i="9"/>
  <c r="WW29" i="9"/>
  <c r="WX29" i="9"/>
  <c r="WY29" i="9"/>
  <c r="WZ29" i="9"/>
  <c r="XA29" i="9"/>
  <c r="XB29" i="9"/>
  <c r="XC29" i="9"/>
  <c r="XD29" i="9"/>
  <c r="XE29" i="9"/>
  <c r="XF29" i="9"/>
  <c r="XG29" i="9"/>
  <c r="XH29" i="9"/>
  <c r="XI29" i="9"/>
  <c r="XJ29" i="9"/>
  <c r="XK29" i="9"/>
  <c r="XL29" i="9"/>
  <c r="XM29" i="9"/>
  <c r="XN29" i="9"/>
  <c r="XO29" i="9"/>
  <c r="XP29" i="9"/>
  <c r="XQ29" i="9"/>
  <c r="XR29" i="9"/>
  <c r="XS29" i="9"/>
  <c r="XT29" i="9"/>
  <c r="XU29" i="9"/>
  <c r="XV29" i="9"/>
  <c r="XW29" i="9"/>
  <c r="XX29" i="9"/>
  <c r="XY29" i="9"/>
  <c r="XZ29" i="9"/>
  <c r="YA29" i="9"/>
  <c r="YB29" i="9"/>
  <c r="YC29" i="9"/>
  <c r="YD29" i="9"/>
  <c r="YE29" i="9"/>
  <c r="YF29" i="9"/>
  <c r="YG29" i="9"/>
  <c r="YH29" i="9"/>
  <c r="YI29" i="9"/>
  <c r="YJ29" i="9"/>
  <c r="YK29" i="9"/>
  <c r="VB29" i="9"/>
  <c r="VC29" i="9"/>
  <c r="VD29" i="9"/>
  <c r="VE29" i="9"/>
  <c r="VF29" i="9"/>
  <c r="VG29" i="9"/>
  <c r="VH29" i="9"/>
  <c r="VI29" i="9"/>
  <c r="VJ29" i="9"/>
  <c r="VK29" i="9"/>
  <c r="VL29" i="9"/>
  <c r="VM29" i="9"/>
  <c r="VN29" i="9"/>
  <c r="VO29" i="9"/>
  <c r="VP29" i="9"/>
  <c r="VQ29" i="9"/>
  <c r="VR29" i="9"/>
  <c r="VS29" i="9"/>
  <c r="VT29" i="9"/>
  <c r="VU29" i="9"/>
  <c r="VV29" i="9"/>
  <c r="VW29" i="9"/>
  <c r="VX29" i="9"/>
  <c r="VY29" i="9"/>
  <c r="VZ29" i="9"/>
  <c r="WA29" i="9"/>
  <c r="WB29" i="9"/>
  <c r="WC29" i="9"/>
  <c r="WD29" i="9"/>
  <c r="WE29" i="9"/>
  <c r="WF29" i="9"/>
  <c r="WG29" i="9"/>
  <c r="WH29" i="9"/>
  <c r="WI29" i="9"/>
  <c r="WJ29" i="9"/>
  <c r="WK29" i="9"/>
  <c r="WL29" i="9"/>
  <c r="WM29" i="9"/>
  <c r="WN29" i="9"/>
  <c r="WO29" i="9"/>
  <c r="WP29" i="9"/>
  <c r="WQ29" i="9"/>
  <c r="WR29" i="9"/>
  <c r="WS29" i="9"/>
  <c r="TJ29" i="9"/>
  <c r="TK29" i="9"/>
  <c r="TL29" i="9"/>
  <c r="TM29" i="9"/>
  <c r="TN29" i="9"/>
  <c r="TO29" i="9"/>
  <c r="TP29" i="9"/>
  <c r="TQ29" i="9"/>
  <c r="TR29" i="9"/>
  <c r="TS29" i="9"/>
  <c r="TT29" i="9"/>
  <c r="TU29" i="9"/>
  <c r="TV29" i="9"/>
  <c r="TW29" i="9"/>
  <c r="TX29" i="9"/>
  <c r="TY29" i="9"/>
  <c r="TZ29" i="9"/>
  <c r="UA29" i="9"/>
  <c r="UB29" i="9"/>
  <c r="UC29" i="9"/>
  <c r="UD29" i="9"/>
  <c r="UE29" i="9"/>
  <c r="UF29" i="9"/>
  <c r="UG29" i="9"/>
  <c r="UH29" i="9"/>
  <c r="UI29" i="9"/>
  <c r="UJ29" i="9"/>
  <c r="UK29" i="9"/>
  <c r="UL29" i="9"/>
  <c r="UM29" i="9"/>
  <c r="UN29" i="9"/>
  <c r="UO29" i="9"/>
  <c r="UP29" i="9"/>
  <c r="UQ29" i="9"/>
  <c r="UR29" i="9"/>
  <c r="US29" i="9"/>
  <c r="UT29" i="9"/>
  <c r="UU29" i="9"/>
  <c r="UV29" i="9"/>
  <c r="UW29" i="9"/>
  <c r="UX29" i="9"/>
  <c r="UY29" i="9"/>
  <c r="UZ29" i="9"/>
  <c r="VA29" i="9"/>
  <c r="RR29" i="9"/>
  <c r="RS29" i="9"/>
  <c r="RT29" i="9"/>
  <c r="RU29" i="9"/>
  <c r="RV29" i="9"/>
  <c r="RW29" i="9"/>
  <c r="RX29" i="9"/>
  <c r="RY29" i="9"/>
  <c r="RZ29" i="9"/>
  <c r="SA29" i="9"/>
  <c r="SB29" i="9"/>
  <c r="SC29" i="9"/>
  <c r="SD29" i="9"/>
  <c r="SE29" i="9"/>
  <c r="SF29" i="9"/>
  <c r="SG29" i="9"/>
  <c r="SH29" i="9"/>
  <c r="SI29" i="9"/>
  <c r="SJ29" i="9"/>
  <c r="SK29" i="9"/>
  <c r="SL29" i="9"/>
  <c r="SM29" i="9"/>
  <c r="SN29" i="9"/>
  <c r="SO29" i="9"/>
  <c r="SP29" i="9"/>
  <c r="SQ29" i="9"/>
  <c r="SR29" i="9"/>
  <c r="SS29" i="9"/>
  <c r="ST29" i="9"/>
  <c r="SU29" i="9"/>
  <c r="SV29" i="9"/>
  <c r="SW29" i="9"/>
  <c r="SX29" i="9"/>
  <c r="SY29" i="9"/>
  <c r="SZ29" i="9"/>
  <c r="TA29" i="9"/>
  <c r="TB29" i="9"/>
  <c r="TC29" i="9"/>
  <c r="TD29" i="9"/>
  <c r="TE29" i="9"/>
  <c r="TF29" i="9"/>
  <c r="TG29" i="9"/>
  <c r="TH29" i="9"/>
  <c r="TI29" i="9"/>
  <c r="PZ29" i="9"/>
  <c r="QA29" i="9"/>
  <c r="QB29" i="9"/>
  <c r="QC29" i="9"/>
  <c r="QD29" i="9"/>
  <c r="QE29" i="9"/>
  <c r="QF29" i="9"/>
  <c r="QG29" i="9"/>
  <c r="QH29" i="9"/>
  <c r="QI29" i="9"/>
  <c r="QJ29" i="9"/>
  <c r="QK29" i="9"/>
  <c r="QL29" i="9"/>
  <c r="QM29" i="9"/>
  <c r="QN29" i="9"/>
  <c r="QO29" i="9"/>
  <c r="QP29" i="9"/>
  <c r="QQ29" i="9"/>
  <c r="QR29" i="9"/>
  <c r="QS29" i="9"/>
  <c r="QT29" i="9"/>
  <c r="QU29" i="9"/>
  <c r="QV29" i="9"/>
  <c r="QW29" i="9"/>
  <c r="QX29" i="9"/>
  <c r="QY29" i="9"/>
  <c r="QZ29" i="9"/>
  <c r="RA29" i="9"/>
  <c r="RB29" i="9"/>
  <c r="RC29" i="9"/>
  <c r="RD29" i="9"/>
  <c r="RE29" i="9"/>
  <c r="RF29" i="9"/>
  <c r="RG29" i="9"/>
  <c r="RH29" i="9"/>
  <c r="RI29" i="9"/>
  <c r="RJ29" i="9"/>
  <c r="RK29" i="9"/>
  <c r="RL29" i="9"/>
  <c r="RM29" i="9"/>
  <c r="RN29" i="9"/>
  <c r="RO29" i="9"/>
  <c r="RP29" i="9"/>
  <c r="RQ29" i="9"/>
  <c r="OH29" i="9"/>
  <c r="OI29" i="9"/>
  <c r="OJ29" i="9"/>
  <c r="OK29" i="9"/>
  <c r="OL29" i="9"/>
  <c r="OM29" i="9"/>
  <c r="ON29" i="9"/>
  <c r="OO29" i="9"/>
  <c r="OP29" i="9"/>
  <c r="OQ29" i="9"/>
  <c r="OR29" i="9"/>
  <c r="OS29" i="9"/>
  <c r="OT29" i="9"/>
  <c r="OU29" i="9"/>
  <c r="OV29" i="9"/>
  <c r="OW29" i="9"/>
  <c r="OX29" i="9"/>
  <c r="OY29" i="9"/>
  <c r="OZ29" i="9"/>
  <c r="PA29" i="9"/>
  <c r="PB29" i="9"/>
  <c r="PC29" i="9"/>
  <c r="PD29" i="9"/>
  <c r="PE29" i="9"/>
  <c r="PF29" i="9"/>
  <c r="PG29" i="9"/>
  <c r="PH29" i="9"/>
  <c r="PI29" i="9"/>
  <c r="PJ29" i="9"/>
  <c r="PK29" i="9"/>
  <c r="PL29" i="9"/>
  <c r="PM29" i="9"/>
  <c r="PN29" i="9"/>
  <c r="PO29" i="9"/>
  <c r="PP29" i="9"/>
  <c r="PQ29" i="9"/>
  <c r="PR29" i="9"/>
  <c r="PS29" i="9"/>
  <c r="PT29" i="9"/>
  <c r="PU29" i="9"/>
  <c r="PV29" i="9"/>
  <c r="PW29" i="9"/>
  <c r="PX29" i="9"/>
  <c r="PY29" i="9"/>
  <c r="MP29" i="9"/>
  <c r="MQ29" i="9"/>
  <c r="MR29" i="9"/>
  <c r="MS29" i="9"/>
  <c r="MT29" i="9"/>
  <c r="MU29" i="9"/>
  <c r="MV29" i="9"/>
  <c r="MW29" i="9"/>
  <c r="MX29" i="9"/>
  <c r="MY29" i="9"/>
  <c r="MZ29" i="9"/>
  <c r="NA29" i="9"/>
  <c r="NB29" i="9"/>
  <c r="NC29" i="9"/>
  <c r="ND29" i="9"/>
  <c r="NE29" i="9"/>
  <c r="NF29" i="9"/>
  <c r="NG29" i="9"/>
  <c r="NH29" i="9"/>
  <c r="NI29" i="9"/>
  <c r="NJ29" i="9"/>
  <c r="NK29" i="9"/>
  <c r="NL29" i="9"/>
  <c r="NM29" i="9"/>
  <c r="NN29" i="9"/>
  <c r="NO29" i="9"/>
  <c r="NP29" i="9"/>
  <c r="NQ29" i="9"/>
  <c r="NR29" i="9"/>
  <c r="NS29" i="9"/>
  <c r="NT29" i="9"/>
  <c r="NU29" i="9"/>
  <c r="NV29" i="9"/>
  <c r="NW29" i="9"/>
  <c r="NX29" i="9"/>
  <c r="NY29" i="9"/>
  <c r="NZ29" i="9"/>
  <c r="OA29" i="9"/>
  <c r="OB29" i="9"/>
  <c r="OC29" i="9"/>
  <c r="OD29" i="9"/>
  <c r="OE29" i="9"/>
  <c r="OF29" i="9"/>
  <c r="OG29" i="9"/>
  <c r="KX29" i="9"/>
  <c r="KY29" i="9"/>
  <c r="KZ29" i="9"/>
  <c r="LA29" i="9"/>
  <c r="LB29" i="9"/>
  <c r="LC29" i="9"/>
  <c r="LD29" i="9"/>
  <c r="LE29" i="9"/>
  <c r="LF29" i="9"/>
  <c r="LG29" i="9"/>
  <c r="LH29" i="9"/>
  <c r="LI29" i="9"/>
  <c r="LJ29" i="9"/>
  <c r="LK29" i="9"/>
  <c r="LL29" i="9"/>
  <c r="LM29" i="9"/>
  <c r="LN29" i="9"/>
  <c r="LO29" i="9"/>
  <c r="LP29" i="9"/>
  <c r="LQ29" i="9"/>
  <c r="LR29" i="9"/>
  <c r="LS29" i="9"/>
  <c r="LT29" i="9"/>
  <c r="LU29" i="9"/>
  <c r="LV29" i="9"/>
  <c r="LW29" i="9"/>
  <c r="LX29" i="9"/>
  <c r="LY29" i="9"/>
  <c r="LZ29" i="9"/>
  <c r="MA29" i="9"/>
  <c r="MB29" i="9"/>
  <c r="MC29" i="9"/>
  <c r="MD29" i="9"/>
  <c r="ME29" i="9"/>
  <c r="MF29" i="9"/>
  <c r="MG29" i="9"/>
  <c r="MH29" i="9"/>
  <c r="MI29" i="9"/>
  <c r="MJ29" i="9"/>
  <c r="MK29" i="9"/>
  <c r="ML29" i="9"/>
  <c r="MM29" i="9"/>
  <c r="MN29" i="9"/>
  <c r="MO29" i="9"/>
  <c r="JF29" i="9"/>
  <c r="JG29" i="9"/>
  <c r="JH29" i="9"/>
  <c r="JI29" i="9"/>
  <c r="JJ29" i="9"/>
  <c r="JK29" i="9"/>
  <c r="JL29" i="9"/>
  <c r="JM29" i="9"/>
  <c r="JN29" i="9"/>
  <c r="JO29" i="9"/>
  <c r="JP29" i="9"/>
  <c r="JQ29" i="9"/>
  <c r="JR29" i="9"/>
  <c r="JS29" i="9"/>
  <c r="JT29" i="9"/>
  <c r="JU29" i="9"/>
  <c r="JV29" i="9"/>
  <c r="JW29" i="9"/>
  <c r="JX29" i="9"/>
  <c r="JY29" i="9"/>
  <c r="JZ29" i="9"/>
  <c r="KA29" i="9"/>
  <c r="KB29" i="9"/>
  <c r="KC29" i="9"/>
  <c r="KD29" i="9"/>
  <c r="KE29" i="9"/>
  <c r="KF29" i="9"/>
  <c r="KG29" i="9"/>
  <c r="KH29" i="9"/>
  <c r="KI29" i="9"/>
  <c r="KJ29" i="9"/>
  <c r="KK29" i="9"/>
  <c r="KL29" i="9"/>
  <c r="KM29" i="9"/>
  <c r="KN29" i="9"/>
  <c r="KO29" i="9"/>
  <c r="KP29" i="9"/>
  <c r="KQ29" i="9"/>
  <c r="KR29" i="9"/>
  <c r="KS29" i="9"/>
  <c r="KT29" i="9"/>
  <c r="KU29" i="9"/>
  <c r="KV29" i="9"/>
  <c r="KW29" i="9"/>
  <c r="HN29" i="9"/>
  <c r="HO29" i="9"/>
  <c r="HP29" i="9"/>
  <c r="HQ29" i="9"/>
  <c r="HR29" i="9"/>
  <c r="HS29" i="9"/>
  <c r="HT29" i="9"/>
  <c r="HU29" i="9"/>
  <c r="HV29" i="9"/>
  <c r="HW29" i="9"/>
  <c r="HX29" i="9"/>
  <c r="HY29" i="9"/>
  <c r="HZ29" i="9"/>
  <c r="IA29" i="9"/>
  <c r="IB29" i="9"/>
  <c r="IC29" i="9"/>
  <c r="ID29" i="9"/>
  <c r="IE29" i="9"/>
  <c r="IF29" i="9"/>
  <c r="IG29" i="9"/>
  <c r="IH29" i="9"/>
  <c r="II29" i="9"/>
  <c r="IJ29" i="9"/>
  <c r="IK29" i="9"/>
  <c r="IL29" i="9"/>
  <c r="IM29" i="9"/>
  <c r="IN29" i="9"/>
  <c r="IO29" i="9"/>
  <c r="IP29" i="9"/>
  <c r="IQ29" i="9"/>
  <c r="IR29" i="9"/>
  <c r="IS29" i="9"/>
  <c r="IT29" i="9"/>
  <c r="IU29" i="9"/>
  <c r="IV29" i="9"/>
  <c r="IW29" i="9"/>
  <c r="IX29" i="9"/>
  <c r="IY29" i="9"/>
  <c r="IZ29" i="9"/>
  <c r="JA29" i="9"/>
  <c r="JB29" i="9"/>
  <c r="JC29" i="9"/>
  <c r="JD29" i="9"/>
  <c r="JE29" i="9"/>
  <c r="FV29" i="9"/>
  <c r="FW29" i="9"/>
  <c r="FX29" i="9"/>
  <c r="FY29" i="9"/>
  <c r="FZ29" i="9"/>
  <c r="GA29" i="9"/>
  <c r="GB29" i="9"/>
  <c r="GC29" i="9"/>
  <c r="GD29" i="9"/>
  <c r="GE29" i="9"/>
  <c r="GF29" i="9"/>
  <c r="GG29" i="9"/>
  <c r="GH29" i="9"/>
  <c r="GI29" i="9"/>
  <c r="GJ29" i="9"/>
  <c r="GK29" i="9"/>
  <c r="GL29" i="9"/>
  <c r="GM29" i="9"/>
  <c r="GN29" i="9"/>
  <c r="GO29" i="9"/>
  <c r="GP29" i="9"/>
  <c r="GQ29" i="9"/>
  <c r="GR29" i="9"/>
  <c r="GS29" i="9"/>
  <c r="GT29" i="9"/>
  <c r="GU29" i="9"/>
  <c r="GV29" i="9"/>
  <c r="GW29" i="9"/>
  <c r="GX29" i="9"/>
  <c r="GY29" i="9"/>
  <c r="GZ29" i="9"/>
  <c r="HA29" i="9"/>
  <c r="HB29" i="9"/>
  <c r="HC29" i="9"/>
  <c r="HD29" i="9"/>
  <c r="HE29" i="9"/>
  <c r="HF29" i="9"/>
  <c r="HG29" i="9"/>
  <c r="HH29" i="9"/>
  <c r="HI29" i="9"/>
  <c r="HJ29" i="9"/>
  <c r="HK29" i="9"/>
  <c r="HL29" i="9"/>
  <c r="HM29" i="9"/>
  <c r="ED29" i="9"/>
  <c r="EE29" i="9"/>
  <c r="EF29" i="9"/>
  <c r="EG29" i="9"/>
  <c r="EH29" i="9"/>
  <c r="EI29" i="9"/>
  <c r="EJ29" i="9"/>
  <c r="EK29" i="9"/>
  <c r="EL29" i="9"/>
  <c r="EM29" i="9"/>
  <c r="EN29" i="9"/>
  <c r="EO29" i="9"/>
  <c r="EP29" i="9"/>
  <c r="EQ29" i="9"/>
  <c r="ER29" i="9"/>
  <c r="ES29" i="9"/>
  <c r="ET29" i="9"/>
  <c r="EU29" i="9"/>
  <c r="EV29" i="9"/>
  <c r="EW29" i="9"/>
  <c r="EX29" i="9"/>
  <c r="EY29" i="9"/>
  <c r="EZ29" i="9"/>
  <c r="FA29" i="9"/>
  <c r="FB29" i="9"/>
  <c r="FC29" i="9"/>
  <c r="FD29" i="9"/>
  <c r="FE29" i="9"/>
  <c r="FF29" i="9"/>
  <c r="FG29" i="9"/>
  <c r="FH29" i="9"/>
  <c r="FI29" i="9"/>
  <c r="FJ29" i="9"/>
  <c r="FK29" i="9"/>
  <c r="FL29" i="9"/>
  <c r="FM29" i="9"/>
  <c r="FN29" i="9"/>
  <c r="FO29" i="9"/>
  <c r="FP29" i="9"/>
  <c r="FQ29" i="9"/>
  <c r="FR29" i="9"/>
  <c r="FS29" i="9"/>
  <c r="FT29" i="9"/>
  <c r="FU29" i="9"/>
  <c r="CL29" i="9"/>
  <c r="CM29" i="9"/>
  <c r="CN29" i="9"/>
  <c r="CO29" i="9"/>
  <c r="CP29" i="9"/>
  <c r="CQ29" i="9"/>
  <c r="CR29" i="9"/>
  <c r="CS29" i="9"/>
  <c r="CT29" i="9"/>
  <c r="CU29" i="9"/>
  <c r="CV29" i="9"/>
  <c r="CW29" i="9"/>
  <c r="CX29" i="9"/>
  <c r="CY29" i="9"/>
  <c r="CZ29" i="9"/>
  <c r="DA29" i="9"/>
  <c r="DB29" i="9"/>
  <c r="DC29" i="9"/>
  <c r="DD29" i="9"/>
  <c r="DE29" i="9"/>
  <c r="DF29" i="9"/>
  <c r="DG29" i="9"/>
  <c r="DH29" i="9"/>
  <c r="DI29" i="9"/>
  <c r="DJ29" i="9"/>
  <c r="DK29" i="9"/>
  <c r="DL29" i="9"/>
  <c r="DM29" i="9"/>
  <c r="DN29" i="9"/>
  <c r="DO29" i="9"/>
  <c r="DP29" i="9"/>
  <c r="DQ29" i="9"/>
  <c r="DR29" i="9"/>
  <c r="DS29" i="9"/>
  <c r="DT29" i="9"/>
  <c r="DU29" i="9"/>
  <c r="DV29" i="9"/>
  <c r="DW29" i="9"/>
  <c r="DX29" i="9"/>
  <c r="DY29" i="9"/>
  <c r="DZ29" i="9"/>
  <c r="EA29" i="9"/>
  <c r="EB29" i="9"/>
  <c r="EC29" i="9"/>
  <c r="AT29" i="9"/>
  <c r="AU29" i="9"/>
  <c r="AV29" i="9"/>
  <c r="AW29" i="9"/>
  <c r="AX29" i="9"/>
  <c r="AY29" i="9"/>
  <c r="AZ29" i="9"/>
  <c r="BA29" i="9"/>
  <c r="BB29" i="9"/>
  <c r="BC29" i="9"/>
  <c r="BD29" i="9"/>
  <c r="BE29" i="9"/>
  <c r="BF29" i="9"/>
  <c r="BG29" i="9"/>
  <c r="BH29" i="9"/>
  <c r="BI29" i="9"/>
  <c r="BJ29" i="9"/>
  <c r="BK29" i="9"/>
  <c r="BL29" i="9"/>
  <c r="BM29" i="9"/>
  <c r="BN29" i="9"/>
  <c r="BO29" i="9"/>
  <c r="BP29" i="9"/>
  <c r="BQ29" i="9"/>
  <c r="BR29" i="9"/>
  <c r="BS29" i="9"/>
  <c r="BT29" i="9"/>
  <c r="BU29" i="9"/>
  <c r="BV29" i="9"/>
  <c r="BW29" i="9"/>
  <c r="BX29" i="9"/>
  <c r="BY29" i="9"/>
  <c r="BZ29" i="9"/>
  <c r="CA29" i="9"/>
  <c r="CB29" i="9"/>
  <c r="CC29" i="9"/>
  <c r="CD29" i="9"/>
  <c r="CE29" i="9"/>
  <c r="CF29" i="9"/>
  <c r="CG29" i="9"/>
  <c r="CH29" i="9"/>
  <c r="CI29" i="9"/>
  <c r="CJ29" i="9"/>
  <c r="CK29" i="9"/>
  <c r="B29" i="9"/>
  <c r="C29" i="9"/>
  <c r="D29" i="9"/>
  <c r="E29" i="9"/>
  <c r="F29" i="9"/>
  <c r="G29"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R29" i="9"/>
  <c r="AS29" i="9"/>
  <c r="WT28" i="9"/>
  <c r="WU28" i="9"/>
  <c r="WV28" i="9"/>
  <c r="WW28" i="9"/>
  <c r="WX28" i="9"/>
  <c r="WY28" i="9"/>
  <c r="WZ28" i="9"/>
  <c r="XA28" i="9"/>
  <c r="XB28" i="9"/>
  <c r="XC28" i="9"/>
  <c r="XD28" i="9"/>
  <c r="XE28" i="9"/>
  <c r="XF28" i="9"/>
  <c r="XG28" i="9"/>
  <c r="XH28" i="9"/>
  <c r="XI28" i="9"/>
  <c r="XJ28" i="9"/>
  <c r="XK28" i="9"/>
  <c r="XL28" i="9"/>
  <c r="XM28" i="9"/>
  <c r="XN28" i="9"/>
  <c r="XO28" i="9"/>
  <c r="XP28" i="9"/>
  <c r="XQ28" i="9"/>
  <c r="XR28" i="9"/>
  <c r="XS28" i="9"/>
  <c r="XT28" i="9"/>
  <c r="XU28" i="9"/>
  <c r="XV28" i="9"/>
  <c r="XW28" i="9"/>
  <c r="XX28" i="9"/>
  <c r="XY28" i="9"/>
  <c r="XZ28" i="9"/>
  <c r="YA28" i="9"/>
  <c r="YB28" i="9"/>
  <c r="YC28" i="9"/>
  <c r="YD28" i="9"/>
  <c r="YE28" i="9"/>
  <c r="YF28" i="9"/>
  <c r="YG28" i="9"/>
  <c r="YH28" i="9"/>
  <c r="YI28" i="9"/>
  <c r="YJ28" i="9"/>
  <c r="YK28" i="9"/>
  <c r="VB28" i="9"/>
  <c r="VC28" i="9"/>
  <c r="VD28" i="9"/>
  <c r="VE28" i="9"/>
  <c r="VF28" i="9"/>
  <c r="VG28" i="9"/>
  <c r="VH28" i="9"/>
  <c r="VI28" i="9"/>
  <c r="VJ28" i="9"/>
  <c r="VK28" i="9"/>
  <c r="VL28" i="9"/>
  <c r="VM28" i="9"/>
  <c r="VN28" i="9"/>
  <c r="VO28" i="9"/>
  <c r="VP28" i="9"/>
  <c r="VQ28" i="9"/>
  <c r="VR28" i="9"/>
  <c r="VS28" i="9"/>
  <c r="VT28" i="9"/>
  <c r="VU28" i="9"/>
  <c r="VV28" i="9"/>
  <c r="VW28" i="9"/>
  <c r="VX28" i="9"/>
  <c r="VY28" i="9"/>
  <c r="VZ28" i="9"/>
  <c r="WA28" i="9"/>
  <c r="WB28" i="9"/>
  <c r="WC28" i="9"/>
  <c r="WD28" i="9"/>
  <c r="WE28" i="9"/>
  <c r="WF28" i="9"/>
  <c r="WG28" i="9"/>
  <c r="WH28" i="9"/>
  <c r="WI28" i="9"/>
  <c r="WJ28" i="9"/>
  <c r="WK28" i="9"/>
  <c r="WL28" i="9"/>
  <c r="WM28" i="9"/>
  <c r="WN28" i="9"/>
  <c r="WO28" i="9"/>
  <c r="WP28" i="9"/>
  <c r="WQ28" i="9"/>
  <c r="WR28" i="9"/>
  <c r="WS28" i="9"/>
  <c r="TJ28" i="9"/>
  <c r="TK28" i="9"/>
  <c r="TL28" i="9"/>
  <c r="TM28" i="9"/>
  <c r="TN28" i="9"/>
  <c r="TO28" i="9"/>
  <c r="TP28" i="9"/>
  <c r="TQ28" i="9"/>
  <c r="TR28" i="9"/>
  <c r="TS28" i="9"/>
  <c r="TT28" i="9"/>
  <c r="TU28" i="9"/>
  <c r="TV28" i="9"/>
  <c r="TW28" i="9"/>
  <c r="TX28" i="9"/>
  <c r="TY28" i="9"/>
  <c r="TZ28" i="9"/>
  <c r="UA28" i="9"/>
  <c r="UB28" i="9"/>
  <c r="UC28" i="9"/>
  <c r="UD28" i="9"/>
  <c r="UE28" i="9"/>
  <c r="UF28" i="9"/>
  <c r="UG28" i="9"/>
  <c r="UH28" i="9"/>
  <c r="UI28" i="9"/>
  <c r="UJ28" i="9"/>
  <c r="UK28" i="9"/>
  <c r="UL28" i="9"/>
  <c r="UM28" i="9"/>
  <c r="UN28" i="9"/>
  <c r="UO28" i="9"/>
  <c r="UP28" i="9"/>
  <c r="UQ28" i="9"/>
  <c r="UR28" i="9"/>
  <c r="US28" i="9"/>
  <c r="UT28" i="9"/>
  <c r="UU28" i="9"/>
  <c r="UV28" i="9"/>
  <c r="UW28" i="9"/>
  <c r="UX28" i="9"/>
  <c r="UY28" i="9"/>
  <c r="UZ28" i="9"/>
  <c r="VA28" i="9"/>
  <c r="RR28" i="9"/>
  <c r="RS28" i="9"/>
  <c r="RT28" i="9"/>
  <c r="RU28" i="9"/>
  <c r="RV28" i="9"/>
  <c r="RW28" i="9"/>
  <c r="RX28" i="9"/>
  <c r="RY28" i="9"/>
  <c r="RZ28" i="9"/>
  <c r="SA28" i="9"/>
  <c r="SB28" i="9"/>
  <c r="SC28" i="9"/>
  <c r="SD28" i="9"/>
  <c r="SE28" i="9"/>
  <c r="SF28" i="9"/>
  <c r="SG28" i="9"/>
  <c r="SH28" i="9"/>
  <c r="SI28" i="9"/>
  <c r="SJ28" i="9"/>
  <c r="SK28" i="9"/>
  <c r="SL28" i="9"/>
  <c r="SM28" i="9"/>
  <c r="SN28" i="9"/>
  <c r="SO28" i="9"/>
  <c r="SP28" i="9"/>
  <c r="SQ28" i="9"/>
  <c r="SR28" i="9"/>
  <c r="SS28" i="9"/>
  <c r="ST28" i="9"/>
  <c r="SU28" i="9"/>
  <c r="SV28" i="9"/>
  <c r="SW28" i="9"/>
  <c r="SX28" i="9"/>
  <c r="SY28" i="9"/>
  <c r="SZ28" i="9"/>
  <c r="TA28" i="9"/>
  <c r="TB28" i="9"/>
  <c r="TC28" i="9"/>
  <c r="TD28" i="9"/>
  <c r="TE28" i="9"/>
  <c r="TF28" i="9"/>
  <c r="TG28" i="9"/>
  <c r="TH28" i="9"/>
  <c r="TI28" i="9"/>
  <c r="PZ28" i="9"/>
  <c r="QA28" i="9"/>
  <c r="QB28" i="9"/>
  <c r="QC28" i="9"/>
  <c r="QD28" i="9"/>
  <c r="QE28" i="9"/>
  <c r="QF28" i="9"/>
  <c r="QG28" i="9"/>
  <c r="QH28" i="9"/>
  <c r="QI28" i="9"/>
  <c r="QJ28" i="9"/>
  <c r="QK28" i="9"/>
  <c r="QL28" i="9"/>
  <c r="QM28" i="9"/>
  <c r="QN28" i="9"/>
  <c r="QO28" i="9"/>
  <c r="QP28" i="9"/>
  <c r="QQ28" i="9"/>
  <c r="QR28" i="9"/>
  <c r="QS28" i="9"/>
  <c r="QT28" i="9"/>
  <c r="QU28" i="9"/>
  <c r="QV28" i="9"/>
  <c r="QW28" i="9"/>
  <c r="QX28" i="9"/>
  <c r="QY28" i="9"/>
  <c r="QZ28" i="9"/>
  <c r="RA28" i="9"/>
  <c r="RB28" i="9"/>
  <c r="RC28" i="9"/>
  <c r="RD28" i="9"/>
  <c r="RE28" i="9"/>
  <c r="RF28" i="9"/>
  <c r="RG28" i="9"/>
  <c r="RH28" i="9"/>
  <c r="RI28" i="9"/>
  <c r="RJ28" i="9"/>
  <c r="RK28" i="9"/>
  <c r="RL28" i="9"/>
  <c r="RM28" i="9"/>
  <c r="RN28" i="9"/>
  <c r="RO28" i="9"/>
  <c r="RP28" i="9"/>
  <c r="RQ28" i="9"/>
  <c r="OH28" i="9"/>
  <c r="OI28" i="9"/>
  <c r="OJ28" i="9"/>
  <c r="OK28" i="9"/>
  <c r="OL28" i="9"/>
  <c r="OM28" i="9"/>
  <c r="ON28" i="9"/>
  <c r="OO28" i="9"/>
  <c r="OP28" i="9"/>
  <c r="OQ28" i="9"/>
  <c r="OR28" i="9"/>
  <c r="OS28" i="9"/>
  <c r="OT28" i="9"/>
  <c r="OU28" i="9"/>
  <c r="OV28" i="9"/>
  <c r="OW28" i="9"/>
  <c r="OX28" i="9"/>
  <c r="OY28" i="9"/>
  <c r="OZ28" i="9"/>
  <c r="PA28" i="9"/>
  <c r="PB28" i="9"/>
  <c r="PC28" i="9"/>
  <c r="PD28" i="9"/>
  <c r="PE28" i="9"/>
  <c r="PF28" i="9"/>
  <c r="PG28" i="9"/>
  <c r="PH28" i="9"/>
  <c r="PI28" i="9"/>
  <c r="PJ28" i="9"/>
  <c r="PK28" i="9"/>
  <c r="PL28" i="9"/>
  <c r="PM28" i="9"/>
  <c r="PN28" i="9"/>
  <c r="PO28" i="9"/>
  <c r="PP28" i="9"/>
  <c r="PQ28" i="9"/>
  <c r="PR28" i="9"/>
  <c r="PS28" i="9"/>
  <c r="PT28" i="9"/>
  <c r="PU28" i="9"/>
  <c r="PV28" i="9"/>
  <c r="PW28" i="9"/>
  <c r="PX28" i="9"/>
  <c r="PY28" i="9"/>
  <c r="MP28" i="9"/>
  <c r="MQ28" i="9"/>
  <c r="MR28" i="9"/>
  <c r="MS28" i="9"/>
  <c r="MT28" i="9"/>
  <c r="MU28" i="9"/>
  <c r="MV28" i="9"/>
  <c r="MW28" i="9"/>
  <c r="MX28" i="9"/>
  <c r="MY28" i="9"/>
  <c r="MZ28" i="9"/>
  <c r="NA28" i="9"/>
  <c r="NB28" i="9"/>
  <c r="NC28" i="9"/>
  <c r="ND28" i="9"/>
  <c r="NE28" i="9"/>
  <c r="NF28" i="9"/>
  <c r="NG28" i="9"/>
  <c r="NH28" i="9"/>
  <c r="NI28" i="9"/>
  <c r="NJ28" i="9"/>
  <c r="NK28" i="9"/>
  <c r="NL28" i="9"/>
  <c r="NM28" i="9"/>
  <c r="NN28" i="9"/>
  <c r="NO28" i="9"/>
  <c r="NP28" i="9"/>
  <c r="NQ28" i="9"/>
  <c r="NR28" i="9"/>
  <c r="NS28" i="9"/>
  <c r="NT28" i="9"/>
  <c r="NU28" i="9"/>
  <c r="NV28" i="9"/>
  <c r="NW28" i="9"/>
  <c r="NX28" i="9"/>
  <c r="NY28" i="9"/>
  <c r="NZ28" i="9"/>
  <c r="OA28" i="9"/>
  <c r="OB28" i="9"/>
  <c r="OC28" i="9"/>
  <c r="OD28" i="9"/>
  <c r="OE28" i="9"/>
  <c r="OF28" i="9"/>
  <c r="OG28" i="9"/>
  <c r="KX28" i="9"/>
  <c r="KY28" i="9"/>
  <c r="KZ28" i="9"/>
  <c r="LA28" i="9"/>
  <c r="LB28" i="9"/>
  <c r="LC28" i="9"/>
  <c r="LD28" i="9"/>
  <c r="LE28" i="9"/>
  <c r="LF28" i="9"/>
  <c r="LG28" i="9"/>
  <c r="LH28" i="9"/>
  <c r="LI28" i="9"/>
  <c r="LJ28" i="9"/>
  <c r="LK28" i="9"/>
  <c r="LL28" i="9"/>
  <c r="LM28" i="9"/>
  <c r="LN28" i="9"/>
  <c r="LO28" i="9"/>
  <c r="LP28" i="9"/>
  <c r="LQ28" i="9"/>
  <c r="LR28" i="9"/>
  <c r="LS28" i="9"/>
  <c r="LT28" i="9"/>
  <c r="LU28" i="9"/>
  <c r="LV28" i="9"/>
  <c r="LW28" i="9"/>
  <c r="LX28" i="9"/>
  <c r="LY28" i="9"/>
  <c r="LZ28" i="9"/>
  <c r="MA28" i="9"/>
  <c r="MB28" i="9"/>
  <c r="MC28" i="9"/>
  <c r="MD28" i="9"/>
  <c r="ME28" i="9"/>
  <c r="MF28" i="9"/>
  <c r="MG28" i="9"/>
  <c r="MH28" i="9"/>
  <c r="MI28" i="9"/>
  <c r="MJ28" i="9"/>
  <c r="MK28" i="9"/>
  <c r="ML28" i="9"/>
  <c r="MM28" i="9"/>
  <c r="MN28" i="9"/>
  <c r="MO28" i="9"/>
  <c r="JF28" i="9"/>
  <c r="JG28" i="9"/>
  <c r="JH28" i="9"/>
  <c r="JI28" i="9"/>
  <c r="JJ28" i="9"/>
  <c r="JK28" i="9"/>
  <c r="JL28" i="9"/>
  <c r="JM28" i="9"/>
  <c r="JN28" i="9"/>
  <c r="JO28" i="9"/>
  <c r="JP28" i="9"/>
  <c r="JQ28" i="9"/>
  <c r="JR28" i="9"/>
  <c r="JS28" i="9"/>
  <c r="JT28" i="9"/>
  <c r="JU28" i="9"/>
  <c r="JV28" i="9"/>
  <c r="JW28" i="9"/>
  <c r="JX28" i="9"/>
  <c r="JY28" i="9"/>
  <c r="JZ28" i="9"/>
  <c r="KA28" i="9"/>
  <c r="KB28" i="9"/>
  <c r="KC28" i="9"/>
  <c r="KD28" i="9"/>
  <c r="KE28" i="9"/>
  <c r="KF28" i="9"/>
  <c r="KG28" i="9"/>
  <c r="KH28" i="9"/>
  <c r="KI28" i="9"/>
  <c r="KJ28" i="9"/>
  <c r="KK28" i="9"/>
  <c r="KL28" i="9"/>
  <c r="KM28" i="9"/>
  <c r="KN28" i="9"/>
  <c r="KO28" i="9"/>
  <c r="KP28" i="9"/>
  <c r="KQ28" i="9"/>
  <c r="KR28" i="9"/>
  <c r="KS28" i="9"/>
  <c r="KT28" i="9"/>
  <c r="KU28" i="9"/>
  <c r="KV28" i="9"/>
  <c r="KW28" i="9"/>
  <c r="HN28" i="9"/>
  <c r="HO28" i="9"/>
  <c r="HP28" i="9"/>
  <c r="HQ28" i="9"/>
  <c r="HR28" i="9"/>
  <c r="HS28" i="9"/>
  <c r="HT28" i="9"/>
  <c r="HU28" i="9"/>
  <c r="HV28" i="9"/>
  <c r="HW28" i="9"/>
  <c r="HX28" i="9"/>
  <c r="HY28" i="9"/>
  <c r="HZ28" i="9"/>
  <c r="IA28" i="9"/>
  <c r="IB28" i="9"/>
  <c r="IC28" i="9"/>
  <c r="ID28" i="9"/>
  <c r="IE28" i="9"/>
  <c r="IF28" i="9"/>
  <c r="IG28" i="9"/>
  <c r="IH28" i="9"/>
  <c r="II28" i="9"/>
  <c r="IJ28" i="9"/>
  <c r="IK28" i="9"/>
  <c r="IL28" i="9"/>
  <c r="IM28" i="9"/>
  <c r="IN28" i="9"/>
  <c r="IO28" i="9"/>
  <c r="IP28" i="9"/>
  <c r="IQ28" i="9"/>
  <c r="IR28" i="9"/>
  <c r="IS28" i="9"/>
  <c r="IT28" i="9"/>
  <c r="IU28" i="9"/>
  <c r="IV28" i="9"/>
  <c r="IW28" i="9"/>
  <c r="IX28" i="9"/>
  <c r="IY28" i="9"/>
  <c r="IZ28" i="9"/>
  <c r="JA28" i="9"/>
  <c r="JB28" i="9"/>
  <c r="JC28" i="9"/>
  <c r="JD28" i="9"/>
  <c r="JE28" i="9"/>
  <c r="FV28" i="9"/>
  <c r="FW28" i="9"/>
  <c r="FX28" i="9"/>
  <c r="FY28" i="9"/>
  <c r="FZ28" i="9"/>
  <c r="GA28" i="9"/>
  <c r="GB28" i="9"/>
  <c r="GC28" i="9"/>
  <c r="GD28" i="9"/>
  <c r="GE28" i="9"/>
  <c r="GF28" i="9"/>
  <c r="GG28" i="9"/>
  <c r="GH28" i="9"/>
  <c r="GI28" i="9"/>
  <c r="GJ28" i="9"/>
  <c r="GK28" i="9"/>
  <c r="GL28" i="9"/>
  <c r="GM28" i="9"/>
  <c r="GN28" i="9"/>
  <c r="GO28" i="9"/>
  <c r="GP28" i="9"/>
  <c r="GQ28" i="9"/>
  <c r="GR28" i="9"/>
  <c r="GS28" i="9"/>
  <c r="GT28" i="9"/>
  <c r="GU28" i="9"/>
  <c r="GV28" i="9"/>
  <c r="GW28" i="9"/>
  <c r="GX28" i="9"/>
  <c r="GY28" i="9"/>
  <c r="GZ28" i="9"/>
  <c r="HA28" i="9"/>
  <c r="HB28" i="9"/>
  <c r="HC28" i="9"/>
  <c r="HD28" i="9"/>
  <c r="HE28" i="9"/>
  <c r="HF28" i="9"/>
  <c r="HG28" i="9"/>
  <c r="HH28" i="9"/>
  <c r="HI28" i="9"/>
  <c r="HJ28" i="9"/>
  <c r="HK28" i="9"/>
  <c r="HL28" i="9"/>
  <c r="HM28" i="9"/>
  <c r="ED28" i="9"/>
  <c r="EE28" i="9"/>
  <c r="EF28" i="9"/>
  <c r="EG28" i="9"/>
  <c r="EH28" i="9"/>
  <c r="EI28" i="9"/>
  <c r="EJ28" i="9"/>
  <c r="EK28" i="9"/>
  <c r="EL28" i="9"/>
  <c r="EM28" i="9"/>
  <c r="EN28" i="9"/>
  <c r="EO28" i="9"/>
  <c r="EP28" i="9"/>
  <c r="EQ28" i="9"/>
  <c r="ER28" i="9"/>
  <c r="ES28" i="9"/>
  <c r="ET28" i="9"/>
  <c r="EU28" i="9"/>
  <c r="EV28" i="9"/>
  <c r="EW28" i="9"/>
  <c r="EX28" i="9"/>
  <c r="EY28" i="9"/>
  <c r="EZ28" i="9"/>
  <c r="FA28" i="9"/>
  <c r="FB28" i="9"/>
  <c r="FC28" i="9"/>
  <c r="FD28" i="9"/>
  <c r="FE28" i="9"/>
  <c r="FF28" i="9"/>
  <c r="FG28" i="9"/>
  <c r="FH28" i="9"/>
  <c r="FI28" i="9"/>
  <c r="FJ28" i="9"/>
  <c r="FK28" i="9"/>
  <c r="FL28" i="9"/>
  <c r="FM28" i="9"/>
  <c r="FN28" i="9"/>
  <c r="FO28" i="9"/>
  <c r="FP28" i="9"/>
  <c r="FQ28" i="9"/>
  <c r="FR28" i="9"/>
  <c r="FS28" i="9"/>
  <c r="FT28" i="9"/>
  <c r="FU28" i="9"/>
  <c r="CL28" i="9"/>
  <c r="CM28" i="9"/>
  <c r="CN28" i="9"/>
  <c r="CO28" i="9"/>
  <c r="CP28" i="9"/>
  <c r="CQ28" i="9"/>
  <c r="CR28" i="9"/>
  <c r="CS28" i="9"/>
  <c r="CT28" i="9"/>
  <c r="CU28" i="9"/>
  <c r="CV28" i="9"/>
  <c r="CW28" i="9"/>
  <c r="CX28" i="9"/>
  <c r="CY28" i="9"/>
  <c r="CZ28" i="9"/>
  <c r="DA28" i="9"/>
  <c r="DB28" i="9"/>
  <c r="DC28" i="9"/>
  <c r="DD28" i="9"/>
  <c r="DE28" i="9"/>
  <c r="DF28" i="9"/>
  <c r="DG28" i="9"/>
  <c r="DH28" i="9"/>
  <c r="DI28" i="9"/>
  <c r="DJ28" i="9"/>
  <c r="DK28" i="9"/>
  <c r="DL28" i="9"/>
  <c r="DM28" i="9"/>
  <c r="DN28" i="9"/>
  <c r="DO28" i="9"/>
  <c r="DP28" i="9"/>
  <c r="DQ28" i="9"/>
  <c r="DR28" i="9"/>
  <c r="DS28" i="9"/>
  <c r="DT28" i="9"/>
  <c r="DU28" i="9"/>
  <c r="DV28" i="9"/>
  <c r="DW28" i="9"/>
  <c r="DX28" i="9"/>
  <c r="DY28" i="9"/>
  <c r="DZ28" i="9"/>
  <c r="EA28" i="9"/>
  <c r="EB28" i="9"/>
  <c r="EC28" i="9"/>
  <c r="AT28" i="9"/>
  <c r="AU28" i="9"/>
  <c r="AV28" i="9"/>
  <c r="AW28" i="9"/>
  <c r="AX28" i="9"/>
  <c r="AY28" i="9"/>
  <c r="AZ28" i="9"/>
  <c r="BA28" i="9"/>
  <c r="BB28" i="9"/>
  <c r="BC28" i="9"/>
  <c r="BD28" i="9"/>
  <c r="BE28" i="9"/>
  <c r="BF28" i="9"/>
  <c r="BG28" i="9"/>
  <c r="BH28" i="9"/>
  <c r="BI28" i="9"/>
  <c r="BJ28" i="9"/>
  <c r="BK28" i="9"/>
  <c r="BL28" i="9"/>
  <c r="BM28" i="9"/>
  <c r="BN28" i="9"/>
  <c r="BO28" i="9"/>
  <c r="BP28" i="9"/>
  <c r="BQ28" i="9"/>
  <c r="BR28" i="9"/>
  <c r="BS28" i="9"/>
  <c r="BT28" i="9"/>
  <c r="BU28" i="9"/>
  <c r="BV28" i="9"/>
  <c r="BW28" i="9"/>
  <c r="BX28" i="9"/>
  <c r="BY28" i="9"/>
  <c r="BZ28" i="9"/>
  <c r="CA28" i="9"/>
  <c r="CB28" i="9"/>
  <c r="CC28" i="9"/>
  <c r="CD28" i="9"/>
  <c r="CE28" i="9"/>
  <c r="CF28" i="9"/>
  <c r="CG28" i="9"/>
  <c r="CH28" i="9"/>
  <c r="CI28" i="9"/>
  <c r="CJ28" i="9"/>
  <c r="CK28" i="9"/>
  <c r="B28" i="9"/>
  <c r="C28" i="9"/>
  <c r="D28" i="9"/>
  <c r="E28" i="9"/>
  <c r="F28" i="9"/>
  <c r="G28"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AI28" i="9"/>
  <c r="AJ28" i="9"/>
  <c r="AK28" i="9"/>
  <c r="AL28" i="9"/>
  <c r="AM28" i="9"/>
  <c r="AN28" i="9"/>
  <c r="AO28" i="9"/>
  <c r="AP28" i="9"/>
  <c r="AQ28" i="9"/>
  <c r="AR28" i="9"/>
  <c r="AS28" i="9"/>
  <c r="WT27" i="9"/>
  <c r="WU27" i="9"/>
  <c r="WV27" i="9"/>
  <c r="WW27" i="9"/>
  <c r="WX27" i="9"/>
  <c r="WY27" i="9"/>
  <c r="WZ27" i="9"/>
  <c r="XA27" i="9"/>
  <c r="XB27" i="9"/>
  <c r="XC27" i="9"/>
  <c r="XD27" i="9"/>
  <c r="XE27" i="9"/>
  <c r="XF27" i="9"/>
  <c r="XG27" i="9"/>
  <c r="XH27" i="9"/>
  <c r="XI27" i="9"/>
  <c r="XJ27" i="9"/>
  <c r="XK27" i="9"/>
  <c r="XL27" i="9"/>
  <c r="XM27" i="9"/>
  <c r="XN27" i="9"/>
  <c r="XO27" i="9"/>
  <c r="XP27" i="9"/>
  <c r="XQ27" i="9"/>
  <c r="XR27" i="9"/>
  <c r="XS27" i="9"/>
  <c r="XT27" i="9"/>
  <c r="XU27" i="9"/>
  <c r="XV27" i="9"/>
  <c r="XW27" i="9"/>
  <c r="XX27" i="9"/>
  <c r="XY27" i="9"/>
  <c r="XZ27" i="9"/>
  <c r="YA27" i="9"/>
  <c r="YB27" i="9"/>
  <c r="YC27" i="9"/>
  <c r="YD27" i="9"/>
  <c r="YE27" i="9"/>
  <c r="YF27" i="9"/>
  <c r="YG27" i="9"/>
  <c r="YH27" i="9"/>
  <c r="YI27" i="9"/>
  <c r="YJ27" i="9"/>
  <c r="YK27" i="9"/>
  <c r="VB27" i="9"/>
  <c r="VC27" i="9"/>
  <c r="VD27" i="9"/>
  <c r="VE27" i="9"/>
  <c r="VF27" i="9"/>
  <c r="VG27" i="9"/>
  <c r="VH27" i="9"/>
  <c r="VI27" i="9"/>
  <c r="VJ27" i="9"/>
  <c r="VK27" i="9"/>
  <c r="VL27" i="9"/>
  <c r="VM27" i="9"/>
  <c r="VN27" i="9"/>
  <c r="VO27" i="9"/>
  <c r="VP27" i="9"/>
  <c r="VQ27" i="9"/>
  <c r="VR27" i="9"/>
  <c r="VS27" i="9"/>
  <c r="VT27" i="9"/>
  <c r="VU27" i="9"/>
  <c r="VV27" i="9"/>
  <c r="VW27" i="9"/>
  <c r="VX27" i="9"/>
  <c r="VY27" i="9"/>
  <c r="VZ27" i="9"/>
  <c r="WA27" i="9"/>
  <c r="WB27" i="9"/>
  <c r="WC27" i="9"/>
  <c r="WD27" i="9"/>
  <c r="WE27" i="9"/>
  <c r="WF27" i="9"/>
  <c r="WG27" i="9"/>
  <c r="WH27" i="9"/>
  <c r="WI27" i="9"/>
  <c r="WJ27" i="9"/>
  <c r="WK27" i="9"/>
  <c r="WL27" i="9"/>
  <c r="WM27" i="9"/>
  <c r="WN27" i="9"/>
  <c r="WO27" i="9"/>
  <c r="WP27" i="9"/>
  <c r="WQ27" i="9"/>
  <c r="WR27" i="9"/>
  <c r="WS27" i="9"/>
  <c r="TJ27" i="9"/>
  <c r="TK27" i="9"/>
  <c r="TL27" i="9"/>
  <c r="TM27" i="9"/>
  <c r="TN27" i="9"/>
  <c r="TO27" i="9"/>
  <c r="TP27" i="9"/>
  <c r="TQ27" i="9"/>
  <c r="TR27" i="9"/>
  <c r="TS27" i="9"/>
  <c r="TT27" i="9"/>
  <c r="TU27" i="9"/>
  <c r="TV27" i="9"/>
  <c r="TW27" i="9"/>
  <c r="TX27" i="9"/>
  <c r="TY27" i="9"/>
  <c r="TZ27" i="9"/>
  <c r="UA27" i="9"/>
  <c r="UB27" i="9"/>
  <c r="UC27" i="9"/>
  <c r="UD27" i="9"/>
  <c r="UE27" i="9"/>
  <c r="UF27" i="9"/>
  <c r="UG27" i="9"/>
  <c r="UH27" i="9"/>
  <c r="UI27" i="9"/>
  <c r="UJ27" i="9"/>
  <c r="UK27" i="9"/>
  <c r="UL27" i="9"/>
  <c r="UM27" i="9"/>
  <c r="UN27" i="9"/>
  <c r="UO27" i="9"/>
  <c r="UP27" i="9"/>
  <c r="UQ27" i="9"/>
  <c r="UR27" i="9"/>
  <c r="US27" i="9"/>
  <c r="UT27" i="9"/>
  <c r="UU27" i="9"/>
  <c r="UV27" i="9"/>
  <c r="UW27" i="9"/>
  <c r="UX27" i="9"/>
  <c r="UY27" i="9"/>
  <c r="UZ27" i="9"/>
  <c r="VA27" i="9"/>
  <c r="RR27" i="9"/>
  <c r="RS27" i="9"/>
  <c r="RT27" i="9"/>
  <c r="RU27" i="9"/>
  <c r="RV27" i="9"/>
  <c r="RW27" i="9"/>
  <c r="RX27" i="9"/>
  <c r="RY27" i="9"/>
  <c r="RZ27" i="9"/>
  <c r="SA27" i="9"/>
  <c r="SB27" i="9"/>
  <c r="SC27" i="9"/>
  <c r="SD27" i="9"/>
  <c r="SE27" i="9"/>
  <c r="SF27" i="9"/>
  <c r="SG27" i="9"/>
  <c r="SH27" i="9"/>
  <c r="SI27" i="9"/>
  <c r="SJ27" i="9"/>
  <c r="SK27" i="9"/>
  <c r="SL27" i="9"/>
  <c r="SM27" i="9"/>
  <c r="SN27" i="9"/>
  <c r="SO27" i="9"/>
  <c r="SP27" i="9"/>
  <c r="SQ27" i="9"/>
  <c r="SR27" i="9"/>
  <c r="SS27" i="9"/>
  <c r="ST27" i="9"/>
  <c r="SU27" i="9"/>
  <c r="SV27" i="9"/>
  <c r="SW27" i="9"/>
  <c r="SX27" i="9"/>
  <c r="SY27" i="9"/>
  <c r="SZ27" i="9"/>
  <c r="TA27" i="9"/>
  <c r="TB27" i="9"/>
  <c r="TC27" i="9"/>
  <c r="TD27" i="9"/>
  <c r="TE27" i="9"/>
  <c r="TF27" i="9"/>
  <c r="TG27" i="9"/>
  <c r="TH27" i="9"/>
  <c r="TI27" i="9"/>
  <c r="PZ27" i="9"/>
  <c r="QA27" i="9"/>
  <c r="QB27" i="9"/>
  <c r="QC27" i="9"/>
  <c r="QD27" i="9"/>
  <c r="QE27" i="9"/>
  <c r="QF27" i="9"/>
  <c r="QG27" i="9"/>
  <c r="QH27" i="9"/>
  <c r="QI27" i="9"/>
  <c r="QJ27" i="9"/>
  <c r="QK27" i="9"/>
  <c r="QL27" i="9"/>
  <c r="QM27" i="9"/>
  <c r="QN27" i="9"/>
  <c r="QO27" i="9"/>
  <c r="QP27" i="9"/>
  <c r="QQ27" i="9"/>
  <c r="QR27" i="9"/>
  <c r="QS27" i="9"/>
  <c r="QT27" i="9"/>
  <c r="QU27" i="9"/>
  <c r="QV27" i="9"/>
  <c r="QW27" i="9"/>
  <c r="QX27" i="9"/>
  <c r="QY27" i="9"/>
  <c r="QZ27" i="9"/>
  <c r="RA27" i="9"/>
  <c r="RB27" i="9"/>
  <c r="RC27" i="9"/>
  <c r="RD27" i="9"/>
  <c r="RE27" i="9"/>
  <c r="RF27" i="9"/>
  <c r="RG27" i="9"/>
  <c r="RH27" i="9"/>
  <c r="RI27" i="9"/>
  <c r="RJ27" i="9"/>
  <c r="RK27" i="9"/>
  <c r="RL27" i="9"/>
  <c r="RM27" i="9"/>
  <c r="RN27" i="9"/>
  <c r="RO27" i="9"/>
  <c r="RP27" i="9"/>
  <c r="RQ27" i="9"/>
  <c r="OH27" i="9"/>
  <c r="OI27" i="9"/>
  <c r="OJ27" i="9"/>
  <c r="OK27" i="9"/>
  <c r="OL27" i="9"/>
  <c r="OM27" i="9"/>
  <c r="ON27" i="9"/>
  <c r="OO27" i="9"/>
  <c r="OP27" i="9"/>
  <c r="OQ27" i="9"/>
  <c r="OR27" i="9"/>
  <c r="OS27" i="9"/>
  <c r="OT27" i="9"/>
  <c r="OU27" i="9"/>
  <c r="OV27" i="9"/>
  <c r="OW27" i="9"/>
  <c r="OX27" i="9"/>
  <c r="OY27" i="9"/>
  <c r="OZ27" i="9"/>
  <c r="PA27" i="9"/>
  <c r="PB27" i="9"/>
  <c r="PC27" i="9"/>
  <c r="PD27" i="9"/>
  <c r="PE27" i="9"/>
  <c r="PF27" i="9"/>
  <c r="PG27" i="9"/>
  <c r="PH27" i="9"/>
  <c r="PI27" i="9"/>
  <c r="PJ27" i="9"/>
  <c r="PK27" i="9"/>
  <c r="PL27" i="9"/>
  <c r="PM27" i="9"/>
  <c r="PN27" i="9"/>
  <c r="PO27" i="9"/>
  <c r="PP27" i="9"/>
  <c r="PQ27" i="9"/>
  <c r="PR27" i="9"/>
  <c r="PS27" i="9"/>
  <c r="PT27" i="9"/>
  <c r="PU27" i="9"/>
  <c r="PV27" i="9"/>
  <c r="PW27" i="9"/>
  <c r="PX27" i="9"/>
  <c r="PY27" i="9"/>
  <c r="MP27" i="9"/>
  <c r="MQ27" i="9"/>
  <c r="MR27" i="9"/>
  <c r="MS27" i="9"/>
  <c r="MT27" i="9"/>
  <c r="MU27" i="9"/>
  <c r="MV27" i="9"/>
  <c r="MW27" i="9"/>
  <c r="MX27" i="9"/>
  <c r="MY27" i="9"/>
  <c r="MZ27" i="9"/>
  <c r="NA27" i="9"/>
  <c r="NB27" i="9"/>
  <c r="NC27" i="9"/>
  <c r="ND27" i="9"/>
  <c r="NE27" i="9"/>
  <c r="NF27" i="9"/>
  <c r="NG27" i="9"/>
  <c r="NH27" i="9"/>
  <c r="NI27" i="9"/>
  <c r="NJ27" i="9"/>
  <c r="NK27" i="9"/>
  <c r="NL27" i="9"/>
  <c r="NM27" i="9"/>
  <c r="NN27" i="9"/>
  <c r="NO27" i="9"/>
  <c r="NP27" i="9"/>
  <c r="NQ27" i="9"/>
  <c r="NR27" i="9"/>
  <c r="NS27" i="9"/>
  <c r="NT27" i="9"/>
  <c r="NU27" i="9"/>
  <c r="NV27" i="9"/>
  <c r="NW27" i="9"/>
  <c r="NX27" i="9"/>
  <c r="NY27" i="9"/>
  <c r="NZ27" i="9"/>
  <c r="OA27" i="9"/>
  <c r="OB27" i="9"/>
  <c r="OC27" i="9"/>
  <c r="OD27" i="9"/>
  <c r="OE27" i="9"/>
  <c r="OF27" i="9"/>
  <c r="OG27" i="9"/>
  <c r="KX27" i="9"/>
  <c r="KY27" i="9"/>
  <c r="KZ27" i="9"/>
  <c r="LA27" i="9"/>
  <c r="LB27" i="9"/>
  <c r="LC27" i="9"/>
  <c r="LD27" i="9"/>
  <c r="LE27" i="9"/>
  <c r="LF27" i="9"/>
  <c r="LG27" i="9"/>
  <c r="LH27" i="9"/>
  <c r="LI27" i="9"/>
  <c r="LJ27" i="9"/>
  <c r="LK27" i="9"/>
  <c r="LL27" i="9"/>
  <c r="LM27" i="9"/>
  <c r="LN27" i="9"/>
  <c r="LO27" i="9"/>
  <c r="LP27" i="9"/>
  <c r="LQ27" i="9"/>
  <c r="LR27" i="9"/>
  <c r="LS27" i="9"/>
  <c r="LT27" i="9"/>
  <c r="LU27" i="9"/>
  <c r="LV27" i="9"/>
  <c r="LW27" i="9"/>
  <c r="LX27" i="9"/>
  <c r="LY27" i="9"/>
  <c r="LZ27" i="9"/>
  <c r="MA27" i="9"/>
  <c r="MB27" i="9"/>
  <c r="MC27" i="9"/>
  <c r="MD27" i="9"/>
  <c r="ME27" i="9"/>
  <c r="MF27" i="9"/>
  <c r="MG27" i="9"/>
  <c r="MH27" i="9"/>
  <c r="MI27" i="9"/>
  <c r="MJ27" i="9"/>
  <c r="MK27" i="9"/>
  <c r="ML27" i="9"/>
  <c r="MM27" i="9"/>
  <c r="MN27" i="9"/>
  <c r="MO27" i="9"/>
  <c r="JF27" i="9"/>
  <c r="JG27" i="9"/>
  <c r="JH27" i="9"/>
  <c r="JI27" i="9"/>
  <c r="JJ27" i="9"/>
  <c r="JK27" i="9"/>
  <c r="JL27" i="9"/>
  <c r="JM27" i="9"/>
  <c r="JN27" i="9"/>
  <c r="JO27" i="9"/>
  <c r="JP27" i="9"/>
  <c r="JQ27" i="9"/>
  <c r="JR27" i="9"/>
  <c r="JS27" i="9"/>
  <c r="JT27" i="9"/>
  <c r="JU27" i="9"/>
  <c r="JV27" i="9"/>
  <c r="JW27" i="9"/>
  <c r="JX27" i="9"/>
  <c r="JY27" i="9"/>
  <c r="JZ27" i="9"/>
  <c r="KA27" i="9"/>
  <c r="KB27" i="9"/>
  <c r="KC27" i="9"/>
  <c r="KD27" i="9"/>
  <c r="KE27" i="9"/>
  <c r="KF27" i="9"/>
  <c r="KG27" i="9"/>
  <c r="KH27" i="9"/>
  <c r="KI27" i="9"/>
  <c r="KJ27" i="9"/>
  <c r="KK27" i="9"/>
  <c r="KL27" i="9"/>
  <c r="KM27" i="9"/>
  <c r="KN27" i="9"/>
  <c r="KO27" i="9"/>
  <c r="KP27" i="9"/>
  <c r="KQ27" i="9"/>
  <c r="KR27" i="9"/>
  <c r="KS27" i="9"/>
  <c r="KT27" i="9"/>
  <c r="KU27" i="9"/>
  <c r="KV27" i="9"/>
  <c r="KW27" i="9"/>
  <c r="HN27" i="9"/>
  <c r="HO27" i="9"/>
  <c r="HP27" i="9"/>
  <c r="HQ27" i="9"/>
  <c r="HR27" i="9"/>
  <c r="HS27" i="9"/>
  <c r="HT27" i="9"/>
  <c r="HU27" i="9"/>
  <c r="HV27" i="9"/>
  <c r="HW27" i="9"/>
  <c r="HX27" i="9"/>
  <c r="HY27" i="9"/>
  <c r="HZ27" i="9"/>
  <c r="IA27" i="9"/>
  <c r="IB27" i="9"/>
  <c r="IC27" i="9"/>
  <c r="ID27" i="9"/>
  <c r="IE27" i="9"/>
  <c r="IF27" i="9"/>
  <c r="IG27" i="9"/>
  <c r="IH27" i="9"/>
  <c r="II27" i="9"/>
  <c r="IJ27" i="9"/>
  <c r="IK27" i="9"/>
  <c r="IL27" i="9"/>
  <c r="IM27" i="9"/>
  <c r="IN27" i="9"/>
  <c r="IO27" i="9"/>
  <c r="IP27" i="9"/>
  <c r="IQ27" i="9"/>
  <c r="IR27" i="9"/>
  <c r="IS27" i="9"/>
  <c r="IT27" i="9"/>
  <c r="IU27" i="9"/>
  <c r="IV27" i="9"/>
  <c r="IW27" i="9"/>
  <c r="IX27" i="9"/>
  <c r="IY27" i="9"/>
  <c r="IZ27" i="9"/>
  <c r="JA27" i="9"/>
  <c r="JB27" i="9"/>
  <c r="JC27" i="9"/>
  <c r="JD27" i="9"/>
  <c r="JE27" i="9"/>
  <c r="FV27" i="9"/>
  <c r="FW27" i="9"/>
  <c r="FX27" i="9"/>
  <c r="FY27" i="9"/>
  <c r="FZ27" i="9"/>
  <c r="GA27" i="9"/>
  <c r="GB27" i="9"/>
  <c r="GC27" i="9"/>
  <c r="GD27" i="9"/>
  <c r="GE27" i="9"/>
  <c r="GF27" i="9"/>
  <c r="GG27" i="9"/>
  <c r="GH27" i="9"/>
  <c r="GI27" i="9"/>
  <c r="GJ27" i="9"/>
  <c r="GK27" i="9"/>
  <c r="GL27" i="9"/>
  <c r="GM27" i="9"/>
  <c r="GN27" i="9"/>
  <c r="GO27" i="9"/>
  <c r="GP27" i="9"/>
  <c r="GQ27" i="9"/>
  <c r="GR27" i="9"/>
  <c r="GS27" i="9"/>
  <c r="GT27" i="9"/>
  <c r="GU27" i="9"/>
  <c r="GV27" i="9"/>
  <c r="GW27" i="9"/>
  <c r="GX27" i="9"/>
  <c r="GY27" i="9"/>
  <c r="GZ27" i="9"/>
  <c r="HA27" i="9"/>
  <c r="HB27" i="9"/>
  <c r="HC27" i="9"/>
  <c r="HD27" i="9"/>
  <c r="HE27" i="9"/>
  <c r="HF27" i="9"/>
  <c r="HG27" i="9"/>
  <c r="HH27" i="9"/>
  <c r="HI27" i="9"/>
  <c r="HJ27" i="9"/>
  <c r="HK27" i="9"/>
  <c r="HL27" i="9"/>
  <c r="HM27" i="9"/>
  <c r="ED27" i="9"/>
  <c r="EE27" i="9"/>
  <c r="EF27" i="9"/>
  <c r="EG27" i="9"/>
  <c r="EH27" i="9"/>
  <c r="EI27" i="9"/>
  <c r="EJ27" i="9"/>
  <c r="EK27" i="9"/>
  <c r="EL27" i="9"/>
  <c r="EM27" i="9"/>
  <c r="EN27" i="9"/>
  <c r="EO27" i="9"/>
  <c r="EP27" i="9"/>
  <c r="EQ27" i="9"/>
  <c r="ER27" i="9"/>
  <c r="ES27" i="9"/>
  <c r="ET27" i="9"/>
  <c r="EU27" i="9"/>
  <c r="EV27" i="9"/>
  <c r="EW27" i="9"/>
  <c r="EX27" i="9"/>
  <c r="EY27" i="9"/>
  <c r="EZ27" i="9"/>
  <c r="FA27" i="9"/>
  <c r="FB27" i="9"/>
  <c r="FC27" i="9"/>
  <c r="FD27" i="9"/>
  <c r="FE27" i="9"/>
  <c r="FF27" i="9"/>
  <c r="FG27" i="9"/>
  <c r="FH27" i="9"/>
  <c r="FI27" i="9"/>
  <c r="FJ27" i="9"/>
  <c r="FK27" i="9"/>
  <c r="FL27" i="9"/>
  <c r="FM27" i="9"/>
  <c r="FN27" i="9"/>
  <c r="FO27" i="9"/>
  <c r="FP27" i="9"/>
  <c r="FQ27" i="9"/>
  <c r="FR27" i="9"/>
  <c r="FS27" i="9"/>
  <c r="FT27" i="9"/>
  <c r="FU27" i="9"/>
  <c r="CL27" i="9"/>
  <c r="CM27" i="9"/>
  <c r="CN27" i="9"/>
  <c r="CO27" i="9"/>
  <c r="CP27" i="9"/>
  <c r="CQ27" i="9"/>
  <c r="CR27" i="9"/>
  <c r="CS27" i="9"/>
  <c r="CT27" i="9"/>
  <c r="CU27" i="9"/>
  <c r="CV27" i="9"/>
  <c r="CW27" i="9"/>
  <c r="CX27" i="9"/>
  <c r="CY27" i="9"/>
  <c r="CZ27" i="9"/>
  <c r="DA27" i="9"/>
  <c r="DB27" i="9"/>
  <c r="DC27" i="9"/>
  <c r="DD27" i="9"/>
  <c r="DE27" i="9"/>
  <c r="DF27" i="9"/>
  <c r="DG27" i="9"/>
  <c r="DH27" i="9"/>
  <c r="DI27" i="9"/>
  <c r="DJ27" i="9"/>
  <c r="DK27" i="9"/>
  <c r="DL27" i="9"/>
  <c r="DM27" i="9"/>
  <c r="DN27" i="9"/>
  <c r="DO27" i="9"/>
  <c r="DP27" i="9"/>
  <c r="DQ27" i="9"/>
  <c r="DR27" i="9"/>
  <c r="DS27" i="9"/>
  <c r="DT27" i="9"/>
  <c r="DU27" i="9"/>
  <c r="DV27" i="9"/>
  <c r="DW27" i="9"/>
  <c r="DX27" i="9"/>
  <c r="DY27" i="9"/>
  <c r="DZ27" i="9"/>
  <c r="EA27" i="9"/>
  <c r="EB27" i="9"/>
  <c r="EC27" i="9"/>
  <c r="AT27" i="9"/>
  <c r="AU27" i="9"/>
  <c r="AV27" i="9"/>
  <c r="AW27" i="9"/>
  <c r="AX27" i="9"/>
  <c r="AY27" i="9"/>
  <c r="AZ27" i="9"/>
  <c r="BA27" i="9"/>
  <c r="BB27" i="9"/>
  <c r="BC27" i="9"/>
  <c r="BD27" i="9"/>
  <c r="BE27" i="9"/>
  <c r="BF27" i="9"/>
  <c r="BG27" i="9"/>
  <c r="BH27" i="9"/>
  <c r="BI27" i="9"/>
  <c r="BJ27" i="9"/>
  <c r="BK27" i="9"/>
  <c r="BL27" i="9"/>
  <c r="BM27" i="9"/>
  <c r="BN27" i="9"/>
  <c r="BO27" i="9"/>
  <c r="BP27" i="9"/>
  <c r="BQ27" i="9"/>
  <c r="BR27" i="9"/>
  <c r="BS27" i="9"/>
  <c r="BT27" i="9"/>
  <c r="BU27" i="9"/>
  <c r="BV27" i="9"/>
  <c r="BW27" i="9"/>
  <c r="BX27" i="9"/>
  <c r="BY27" i="9"/>
  <c r="BZ27" i="9"/>
  <c r="CA27" i="9"/>
  <c r="CB27" i="9"/>
  <c r="CC27" i="9"/>
  <c r="CD27" i="9"/>
  <c r="CE27" i="9"/>
  <c r="CF27" i="9"/>
  <c r="CG27" i="9"/>
  <c r="CH27" i="9"/>
  <c r="CI27" i="9"/>
  <c r="CJ27" i="9"/>
  <c r="CK27" i="9"/>
  <c r="B27" i="9"/>
  <c r="C27" i="9"/>
  <c r="D27" i="9"/>
  <c r="E27" i="9"/>
  <c r="F27" i="9"/>
  <c r="G27" i="9"/>
  <c r="H27" i="9"/>
  <c r="I27" i="9"/>
  <c r="J27" i="9"/>
  <c r="K27" i="9"/>
  <c r="L27" i="9"/>
  <c r="M27"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AS27" i="9"/>
  <c r="AFF26" i="9"/>
  <c r="AFG26" i="9"/>
  <c r="AFH26" i="9"/>
  <c r="AFI26" i="9"/>
  <c r="AFJ26" i="9"/>
  <c r="AFK26" i="9"/>
  <c r="AFL26" i="9"/>
  <c r="AFM26" i="9"/>
  <c r="AFN26" i="9"/>
  <c r="AFO26" i="9"/>
  <c r="AFP26" i="9"/>
  <c r="AFQ26" i="9"/>
  <c r="AFR26" i="9"/>
  <c r="AFS26" i="9"/>
  <c r="AFT26" i="9"/>
  <c r="AFU26" i="9"/>
  <c r="AFV26" i="9"/>
  <c r="AFW26" i="9"/>
  <c r="AFX26" i="9"/>
  <c r="AFY26" i="9"/>
  <c r="AFZ26" i="9"/>
  <c r="AGA26" i="9"/>
  <c r="AGB26" i="9"/>
  <c r="AGC26" i="9"/>
  <c r="AGD26" i="9"/>
  <c r="AGE26" i="9"/>
  <c r="AGF26" i="9"/>
  <c r="AGG26" i="9"/>
  <c r="AGH26" i="9"/>
  <c r="AGI26" i="9"/>
  <c r="AGJ26" i="9"/>
  <c r="AGK26" i="9"/>
  <c r="AGL26" i="9"/>
  <c r="AGM26" i="9"/>
  <c r="AGN26" i="9"/>
  <c r="AGO26" i="9"/>
  <c r="AGP26" i="9"/>
  <c r="AGQ26" i="9"/>
  <c r="AGR26" i="9"/>
  <c r="AGS26" i="9"/>
  <c r="AGT26" i="9"/>
  <c r="AGU26" i="9"/>
  <c r="AGV26" i="9"/>
  <c r="AGW26" i="9"/>
  <c r="ADN26" i="9"/>
  <c r="ADO26" i="9"/>
  <c r="ADP26" i="9"/>
  <c r="ADQ26" i="9"/>
  <c r="ADR26" i="9"/>
  <c r="ADS26" i="9"/>
  <c r="ADT26" i="9"/>
  <c r="ADU26" i="9"/>
  <c r="ADV26" i="9"/>
  <c r="ADW26" i="9"/>
  <c r="ADX26" i="9"/>
  <c r="ADY26" i="9"/>
  <c r="ADZ26" i="9"/>
  <c r="AEA26" i="9"/>
  <c r="AEB26" i="9"/>
  <c r="AEC26" i="9"/>
  <c r="AED26" i="9"/>
  <c r="AEE26" i="9"/>
  <c r="AEF26" i="9"/>
  <c r="AEG26" i="9"/>
  <c r="AEH26" i="9"/>
  <c r="AEI26" i="9"/>
  <c r="AEJ26" i="9"/>
  <c r="AEK26" i="9"/>
  <c r="AEL26" i="9"/>
  <c r="AEM26" i="9"/>
  <c r="AEN26" i="9"/>
  <c r="AEO26" i="9"/>
  <c r="AEP26" i="9"/>
  <c r="AEQ26" i="9"/>
  <c r="AER26" i="9"/>
  <c r="AES26" i="9"/>
  <c r="AET26" i="9"/>
  <c r="AEU26" i="9"/>
  <c r="AEV26" i="9"/>
  <c r="AEW26" i="9"/>
  <c r="AEX26" i="9"/>
  <c r="AEY26" i="9"/>
  <c r="AEZ26" i="9"/>
  <c r="AFA26" i="9"/>
  <c r="AFB26" i="9"/>
  <c r="AFC26" i="9"/>
  <c r="AFD26" i="9"/>
  <c r="AFE26" i="9"/>
  <c r="ABV26" i="9"/>
  <c r="ABW26" i="9"/>
  <c r="ABX26" i="9"/>
  <c r="ABY26" i="9"/>
  <c r="ABZ26" i="9"/>
  <c r="ACA26" i="9"/>
  <c r="ACB26" i="9"/>
  <c r="ACC26" i="9"/>
  <c r="ACD26" i="9"/>
  <c r="ACE26" i="9"/>
  <c r="ACF26" i="9"/>
  <c r="ACG26" i="9"/>
  <c r="ACH26" i="9"/>
  <c r="ACI26" i="9"/>
  <c r="ACJ26" i="9"/>
  <c r="ACK26" i="9"/>
  <c r="ACL26" i="9"/>
  <c r="ACM26" i="9"/>
  <c r="ACN26" i="9"/>
  <c r="ACO26" i="9"/>
  <c r="ACP26" i="9"/>
  <c r="ACQ26" i="9"/>
  <c r="ACR26" i="9"/>
  <c r="ACS26" i="9"/>
  <c r="ACT26" i="9"/>
  <c r="ACU26" i="9"/>
  <c r="ACV26" i="9"/>
  <c r="ACW26" i="9"/>
  <c r="ACX26" i="9"/>
  <c r="ACY26" i="9"/>
  <c r="ACZ26" i="9"/>
  <c r="ADA26" i="9"/>
  <c r="ADB26" i="9"/>
  <c r="ADC26" i="9"/>
  <c r="ADD26" i="9"/>
  <c r="ADE26" i="9"/>
  <c r="ADF26" i="9"/>
  <c r="ADG26" i="9"/>
  <c r="ADH26" i="9"/>
  <c r="ADI26" i="9"/>
  <c r="ADJ26" i="9"/>
  <c r="ADK26" i="9"/>
  <c r="ADL26" i="9"/>
  <c r="ADM26" i="9"/>
  <c r="AAD26" i="9"/>
  <c r="AAE26" i="9"/>
  <c r="AAF26" i="9"/>
  <c r="AAG26" i="9"/>
  <c r="AAH26" i="9"/>
  <c r="AAI26" i="9"/>
  <c r="AAJ26" i="9"/>
  <c r="AAK26" i="9"/>
  <c r="AAL26" i="9"/>
  <c r="AAM26" i="9"/>
  <c r="AAN26" i="9"/>
  <c r="AAO26" i="9"/>
  <c r="AAP26" i="9"/>
  <c r="AAQ26" i="9"/>
  <c r="AAR26" i="9"/>
  <c r="AAS26" i="9"/>
  <c r="AAT26" i="9"/>
  <c r="AAU26" i="9"/>
  <c r="AAV26" i="9"/>
  <c r="AAW26" i="9"/>
  <c r="AAX26" i="9"/>
  <c r="AAY26" i="9"/>
  <c r="AAZ26" i="9"/>
  <c r="ABA26" i="9"/>
  <c r="ABB26" i="9"/>
  <c r="ABC26" i="9"/>
  <c r="ABD26" i="9"/>
  <c r="ABE26" i="9"/>
  <c r="ABF26" i="9"/>
  <c r="ABG26" i="9"/>
  <c r="ABH26" i="9"/>
  <c r="ABI26" i="9"/>
  <c r="ABJ26" i="9"/>
  <c r="ABK26" i="9"/>
  <c r="ABL26" i="9"/>
  <c r="ABM26" i="9"/>
  <c r="ABN26" i="9"/>
  <c r="ABO26" i="9"/>
  <c r="ABP26" i="9"/>
  <c r="ABQ26" i="9"/>
  <c r="ABR26" i="9"/>
  <c r="ABS26" i="9"/>
  <c r="ABT26" i="9"/>
  <c r="ABU26" i="9"/>
  <c r="YL26" i="9"/>
  <c r="YM26" i="9"/>
  <c r="YN26" i="9"/>
  <c r="YO26" i="9"/>
  <c r="YP26" i="9"/>
  <c r="YQ26" i="9"/>
  <c r="YR26" i="9"/>
  <c r="YS26" i="9"/>
  <c r="YT26" i="9"/>
  <c r="YU26" i="9"/>
  <c r="YV26" i="9"/>
  <c r="YW26" i="9"/>
  <c r="YX26" i="9"/>
  <c r="YY26" i="9"/>
  <c r="YZ26" i="9"/>
  <c r="ZA26" i="9"/>
  <c r="ZB26" i="9"/>
  <c r="ZC26" i="9"/>
  <c r="ZD26" i="9"/>
  <c r="ZE26" i="9"/>
  <c r="ZF26" i="9"/>
  <c r="ZG26" i="9"/>
  <c r="ZH26" i="9"/>
  <c r="ZI26" i="9"/>
  <c r="ZJ26" i="9"/>
  <c r="ZK26" i="9"/>
  <c r="ZL26" i="9"/>
  <c r="ZM26" i="9"/>
  <c r="ZN26" i="9"/>
  <c r="ZO26" i="9"/>
  <c r="ZP26" i="9"/>
  <c r="ZQ26" i="9"/>
  <c r="ZR26" i="9"/>
  <c r="ZS26" i="9"/>
  <c r="ZT26" i="9"/>
  <c r="ZU26" i="9"/>
  <c r="ZV26" i="9"/>
  <c r="ZW26" i="9"/>
  <c r="ZX26" i="9"/>
  <c r="ZY26" i="9"/>
  <c r="ZZ26" i="9"/>
  <c r="AAA26" i="9"/>
  <c r="AAB26" i="9"/>
  <c r="AAC26" i="9"/>
  <c r="WT26" i="9"/>
  <c r="WU26" i="9"/>
  <c r="WV26" i="9"/>
  <c r="WW26" i="9"/>
  <c r="WX26" i="9"/>
  <c r="WY26" i="9"/>
  <c r="WZ26" i="9"/>
  <c r="XA26" i="9"/>
  <c r="XB26" i="9"/>
  <c r="XC26" i="9"/>
  <c r="XD26" i="9"/>
  <c r="XE26" i="9"/>
  <c r="XF26" i="9"/>
  <c r="XG26" i="9"/>
  <c r="XH26" i="9"/>
  <c r="XI26" i="9"/>
  <c r="XJ26" i="9"/>
  <c r="XK26" i="9"/>
  <c r="XL26" i="9"/>
  <c r="XM26" i="9"/>
  <c r="XN26" i="9"/>
  <c r="XO26" i="9"/>
  <c r="XP26" i="9"/>
  <c r="XQ26" i="9"/>
  <c r="XR26" i="9"/>
  <c r="XS26" i="9"/>
  <c r="XT26" i="9"/>
  <c r="XU26" i="9"/>
  <c r="XV26" i="9"/>
  <c r="XW26" i="9"/>
  <c r="XX26" i="9"/>
  <c r="XY26" i="9"/>
  <c r="XZ26" i="9"/>
  <c r="YA26" i="9"/>
  <c r="YB26" i="9"/>
  <c r="YC26" i="9"/>
  <c r="YD26" i="9"/>
  <c r="YE26" i="9"/>
  <c r="YF26" i="9"/>
  <c r="YG26" i="9"/>
  <c r="YH26" i="9"/>
  <c r="YI26" i="9"/>
  <c r="YJ26" i="9"/>
  <c r="YK26" i="9"/>
  <c r="VB26" i="9"/>
  <c r="VC26" i="9"/>
  <c r="VD26" i="9"/>
  <c r="VE26" i="9"/>
  <c r="VF26" i="9"/>
  <c r="VG26" i="9"/>
  <c r="VH26" i="9"/>
  <c r="VI26" i="9"/>
  <c r="VJ26" i="9"/>
  <c r="VK26" i="9"/>
  <c r="VL26" i="9"/>
  <c r="VM26" i="9"/>
  <c r="VN26" i="9"/>
  <c r="VO26" i="9"/>
  <c r="VP26" i="9"/>
  <c r="VQ26" i="9"/>
  <c r="VR26" i="9"/>
  <c r="VS26" i="9"/>
  <c r="VT26" i="9"/>
  <c r="VU26" i="9"/>
  <c r="VV26" i="9"/>
  <c r="VW26" i="9"/>
  <c r="VX26" i="9"/>
  <c r="VY26" i="9"/>
  <c r="VZ26" i="9"/>
  <c r="WA26" i="9"/>
  <c r="WB26" i="9"/>
  <c r="WC26" i="9"/>
  <c r="WD26" i="9"/>
  <c r="WE26" i="9"/>
  <c r="WF26" i="9"/>
  <c r="WG26" i="9"/>
  <c r="WH26" i="9"/>
  <c r="WI26" i="9"/>
  <c r="WJ26" i="9"/>
  <c r="WK26" i="9"/>
  <c r="WL26" i="9"/>
  <c r="WM26" i="9"/>
  <c r="WN26" i="9"/>
  <c r="WO26" i="9"/>
  <c r="WP26" i="9"/>
  <c r="WQ26" i="9"/>
  <c r="WR26" i="9"/>
  <c r="WS26" i="9"/>
  <c r="TJ26" i="9"/>
  <c r="TK26" i="9"/>
  <c r="TL26" i="9"/>
  <c r="TM26" i="9"/>
  <c r="TN26" i="9"/>
  <c r="TO26" i="9"/>
  <c r="TP26" i="9"/>
  <c r="TQ26" i="9"/>
  <c r="TR26" i="9"/>
  <c r="TS26" i="9"/>
  <c r="TT26" i="9"/>
  <c r="TU26" i="9"/>
  <c r="TV26" i="9"/>
  <c r="TW26" i="9"/>
  <c r="TX26" i="9"/>
  <c r="TY26" i="9"/>
  <c r="TZ26" i="9"/>
  <c r="UA26" i="9"/>
  <c r="UB26" i="9"/>
  <c r="UC26" i="9"/>
  <c r="UD26" i="9"/>
  <c r="UE26" i="9"/>
  <c r="UF26" i="9"/>
  <c r="UG26" i="9"/>
  <c r="UH26" i="9"/>
  <c r="UI26" i="9"/>
  <c r="UJ26" i="9"/>
  <c r="UK26" i="9"/>
  <c r="UL26" i="9"/>
  <c r="UM26" i="9"/>
  <c r="UN26" i="9"/>
  <c r="UO26" i="9"/>
  <c r="UP26" i="9"/>
  <c r="UQ26" i="9"/>
  <c r="UR26" i="9"/>
  <c r="US26" i="9"/>
  <c r="UT26" i="9"/>
  <c r="UU26" i="9"/>
  <c r="UV26" i="9"/>
  <c r="UW26" i="9"/>
  <c r="UX26" i="9"/>
  <c r="UY26" i="9"/>
  <c r="UZ26" i="9"/>
  <c r="VA26" i="9"/>
  <c r="RR26" i="9"/>
  <c r="RS26" i="9"/>
  <c r="RT26" i="9"/>
  <c r="RU26" i="9"/>
  <c r="RV26" i="9"/>
  <c r="RW26" i="9"/>
  <c r="RX26" i="9"/>
  <c r="RY26" i="9"/>
  <c r="RZ26" i="9"/>
  <c r="SA26" i="9"/>
  <c r="SB26" i="9"/>
  <c r="SC26" i="9"/>
  <c r="SD26" i="9"/>
  <c r="SE26" i="9"/>
  <c r="SF26" i="9"/>
  <c r="SG26" i="9"/>
  <c r="SH26" i="9"/>
  <c r="SI26" i="9"/>
  <c r="SJ26" i="9"/>
  <c r="SK26" i="9"/>
  <c r="SL26" i="9"/>
  <c r="SM26" i="9"/>
  <c r="SN26" i="9"/>
  <c r="SO26" i="9"/>
  <c r="SP26" i="9"/>
  <c r="SQ26" i="9"/>
  <c r="SR26" i="9"/>
  <c r="SS26" i="9"/>
  <c r="ST26" i="9"/>
  <c r="SU26" i="9"/>
  <c r="SV26" i="9"/>
  <c r="SW26" i="9"/>
  <c r="SX26" i="9"/>
  <c r="SY26" i="9"/>
  <c r="SZ26" i="9"/>
  <c r="TA26" i="9"/>
  <c r="TB26" i="9"/>
  <c r="TC26" i="9"/>
  <c r="TD26" i="9"/>
  <c r="TE26" i="9"/>
  <c r="TF26" i="9"/>
  <c r="TG26" i="9"/>
  <c r="TH26" i="9"/>
  <c r="TI26" i="9"/>
  <c r="PZ26" i="9"/>
  <c r="QA26" i="9"/>
  <c r="QB26" i="9"/>
  <c r="QC26" i="9"/>
  <c r="QD26" i="9"/>
  <c r="QE26" i="9"/>
  <c r="QF26" i="9"/>
  <c r="QG26" i="9"/>
  <c r="QH26" i="9"/>
  <c r="QI26" i="9"/>
  <c r="QJ26" i="9"/>
  <c r="QK26" i="9"/>
  <c r="QL26" i="9"/>
  <c r="QM26" i="9"/>
  <c r="QN26" i="9"/>
  <c r="QO26" i="9"/>
  <c r="QP26" i="9"/>
  <c r="QQ26" i="9"/>
  <c r="QR26" i="9"/>
  <c r="QS26" i="9"/>
  <c r="QT26" i="9"/>
  <c r="QU26" i="9"/>
  <c r="QV26" i="9"/>
  <c r="QW26" i="9"/>
  <c r="QX26" i="9"/>
  <c r="QY26" i="9"/>
  <c r="QZ26" i="9"/>
  <c r="RA26" i="9"/>
  <c r="RB26" i="9"/>
  <c r="RC26" i="9"/>
  <c r="RD26" i="9"/>
  <c r="RE26" i="9"/>
  <c r="RF26" i="9"/>
  <c r="RG26" i="9"/>
  <c r="RH26" i="9"/>
  <c r="RI26" i="9"/>
  <c r="RJ26" i="9"/>
  <c r="RK26" i="9"/>
  <c r="RL26" i="9"/>
  <c r="RM26" i="9"/>
  <c r="RN26" i="9"/>
  <c r="RO26" i="9"/>
  <c r="RP26" i="9"/>
  <c r="RQ26" i="9"/>
  <c r="OH26" i="9"/>
  <c r="OI26" i="9"/>
  <c r="OJ26" i="9"/>
  <c r="OK26" i="9"/>
  <c r="OL26" i="9"/>
  <c r="OM26" i="9"/>
  <c r="ON26" i="9"/>
  <c r="OO26" i="9"/>
  <c r="OP26" i="9"/>
  <c r="OQ26" i="9"/>
  <c r="OR26" i="9"/>
  <c r="OS26" i="9"/>
  <c r="OT26" i="9"/>
  <c r="OU26" i="9"/>
  <c r="OV26" i="9"/>
  <c r="OW26" i="9"/>
  <c r="OX26" i="9"/>
  <c r="OY26" i="9"/>
  <c r="OZ26" i="9"/>
  <c r="PA26" i="9"/>
  <c r="PB26" i="9"/>
  <c r="PC26" i="9"/>
  <c r="PD26" i="9"/>
  <c r="PE26" i="9"/>
  <c r="PF26" i="9"/>
  <c r="PG26" i="9"/>
  <c r="PH26" i="9"/>
  <c r="PI26" i="9"/>
  <c r="PJ26" i="9"/>
  <c r="PK26" i="9"/>
  <c r="PL26" i="9"/>
  <c r="PM26" i="9"/>
  <c r="PN26" i="9"/>
  <c r="PO26" i="9"/>
  <c r="PP26" i="9"/>
  <c r="PQ26" i="9"/>
  <c r="PR26" i="9"/>
  <c r="PS26" i="9"/>
  <c r="PT26" i="9"/>
  <c r="PU26" i="9"/>
  <c r="PV26" i="9"/>
  <c r="PW26" i="9"/>
  <c r="PX26" i="9"/>
  <c r="PY26" i="9"/>
  <c r="MP26" i="9"/>
  <c r="MQ26" i="9"/>
  <c r="MR26" i="9"/>
  <c r="MS26" i="9"/>
  <c r="MT26" i="9"/>
  <c r="MU26" i="9"/>
  <c r="MV26" i="9"/>
  <c r="MW26" i="9"/>
  <c r="MX26" i="9"/>
  <c r="MY26" i="9"/>
  <c r="MZ26" i="9"/>
  <c r="NA26" i="9"/>
  <c r="NB26" i="9"/>
  <c r="NC26" i="9"/>
  <c r="ND26" i="9"/>
  <c r="NE26" i="9"/>
  <c r="NF26" i="9"/>
  <c r="NG26" i="9"/>
  <c r="NH26" i="9"/>
  <c r="NI26" i="9"/>
  <c r="NJ26" i="9"/>
  <c r="NK26" i="9"/>
  <c r="NL26" i="9"/>
  <c r="NM26" i="9"/>
  <c r="NN26" i="9"/>
  <c r="NO26" i="9"/>
  <c r="NP26" i="9"/>
  <c r="NQ26" i="9"/>
  <c r="NR26" i="9"/>
  <c r="NS26" i="9"/>
  <c r="NT26" i="9"/>
  <c r="NU26" i="9"/>
  <c r="NV26" i="9"/>
  <c r="NW26" i="9"/>
  <c r="NX26" i="9"/>
  <c r="NY26" i="9"/>
  <c r="NZ26" i="9"/>
  <c r="OA26" i="9"/>
  <c r="OB26" i="9"/>
  <c r="OC26" i="9"/>
  <c r="OD26" i="9"/>
  <c r="OE26" i="9"/>
  <c r="OF26" i="9"/>
  <c r="OG26" i="9"/>
  <c r="KX26" i="9"/>
  <c r="KY26" i="9"/>
  <c r="KZ26" i="9"/>
  <c r="LA26" i="9"/>
  <c r="LB26" i="9"/>
  <c r="LC26" i="9"/>
  <c r="LD26" i="9"/>
  <c r="LE26" i="9"/>
  <c r="LF26" i="9"/>
  <c r="LG26" i="9"/>
  <c r="LH26" i="9"/>
  <c r="LI26" i="9"/>
  <c r="LJ26" i="9"/>
  <c r="LK26" i="9"/>
  <c r="LL26" i="9"/>
  <c r="LM26" i="9"/>
  <c r="LN26" i="9"/>
  <c r="LO26" i="9"/>
  <c r="LP26" i="9"/>
  <c r="LQ26" i="9"/>
  <c r="LR26" i="9"/>
  <c r="LS26" i="9"/>
  <c r="LT26" i="9"/>
  <c r="LU26" i="9"/>
  <c r="LV26" i="9"/>
  <c r="LW26" i="9"/>
  <c r="LX26" i="9"/>
  <c r="LY26" i="9"/>
  <c r="LZ26" i="9"/>
  <c r="MA26" i="9"/>
  <c r="MB26" i="9"/>
  <c r="MC26" i="9"/>
  <c r="MD26" i="9"/>
  <c r="ME26" i="9"/>
  <c r="MF26" i="9"/>
  <c r="MG26" i="9"/>
  <c r="MH26" i="9"/>
  <c r="MI26" i="9"/>
  <c r="MJ26" i="9"/>
  <c r="MK26" i="9"/>
  <c r="ML26" i="9"/>
  <c r="MM26" i="9"/>
  <c r="MN26" i="9"/>
  <c r="MO26" i="9"/>
  <c r="JF26" i="9"/>
  <c r="JG26" i="9"/>
  <c r="JH26" i="9"/>
  <c r="JI26" i="9"/>
  <c r="JJ26" i="9"/>
  <c r="JK26" i="9"/>
  <c r="JL26" i="9"/>
  <c r="JM26" i="9"/>
  <c r="JN26" i="9"/>
  <c r="JO26" i="9"/>
  <c r="JP26" i="9"/>
  <c r="JQ26" i="9"/>
  <c r="JR26" i="9"/>
  <c r="JS26" i="9"/>
  <c r="JT26" i="9"/>
  <c r="JU26" i="9"/>
  <c r="JV26" i="9"/>
  <c r="JW26" i="9"/>
  <c r="JX26" i="9"/>
  <c r="JY26" i="9"/>
  <c r="JZ26" i="9"/>
  <c r="KA26" i="9"/>
  <c r="KB26" i="9"/>
  <c r="KC26" i="9"/>
  <c r="KD26" i="9"/>
  <c r="KE26" i="9"/>
  <c r="KF26" i="9"/>
  <c r="KG26" i="9"/>
  <c r="KH26" i="9"/>
  <c r="KI26" i="9"/>
  <c r="KJ26" i="9"/>
  <c r="KK26" i="9"/>
  <c r="KL26" i="9"/>
  <c r="KM26" i="9"/>
  <c r="KN26" i="9"/>
  <c r="KO26" i="9"/>
  <c r="KP26" i="9"/>
  <c r="KQ26" i="9"/>
  <c r="KR26" i="9"/>
  <c r="KS26" i="9"/>
  <c r="KT26" i="9"/>
  <c r="KU26" i="9"/>
  <c r="KV26" i="9"/>
  <c r="KW26" i="9"/>
  <c r="HN26" i="9"/>
  <c r="HO26" i="9"/>
  <c r="HP26" i="9"/>
  <c r="HQ26" i="9"/>
  <c r="HR26" i="9"/>
  <c r="HS26" i="9"/>
  <c r="HT26" i="9"/>
  <c r="HU26" i="9"/>
  <c r="HV26" i="9"/>
  <c r="HW26" i="9"/>
  <c r="HX26" i="9"/>
  <c r="HY26" i="9"/>
  <c r="HZ26" i="9"/>
  <c r="IA26" i="9"/>
  <c r="IB26" i="9"/>
  <c r="IC26" i="9"/>
  <c r="ID26" i="9"/>
  <c r="IE26" i="9"/>
  <c r="IF26" i="9"/>
  <c r="IG26" i="9"/>
  <c r="IH26" i="9"/>
  <c r="II26" i="9"/>
  <c r="IJ26" i="9"/>
  <c r="IK26" i="9"/>
  <c r="IL26" i="9"/>
  <c r="IM26" i="9"/>
  <c r="IN26" i="9"/>
  <c r="IO26" i="9"/>
  <c r="IP26" i="9"/>
  <c r="IQ26" i="9"/>
  <c r="IR26" i="9"/>
  <c r="IS26" i="9"/>
  <c r="IT26" i="9"/>
  <c r="IU26" i="9"/>
  <c r="IV26" i="9"/>
  <c r="IW26" i="9"/>
  <c r="IX26" i="9"/>
  <c r="IY26" i="9"/>
  <c r="IZ26" i="9"/>
  <c r="JA26" i="9"/>
  <c r="JB26" i="9"/>
  <c r="JC26" i="9"/>
  <c r="JD26" i="9"/>
  <c r="JE26" i="9"/>
  <c r="FV26" i="9"/>
  <c r="FW26" i="9"/>
  <c r="FX26" i="9"/>
  <c r="FY26" i="9"/>
  <c r="FZ26" i="9"/>
  <c r="GA26" i="9"/>
  <c r="GB26" i="9"/>
  <c r="GC26" i="9"/>
  <c r="GD26" i="9"/>
  <c r="GE26" i="9"/>
  <c r="GF26" i="9"/>
  <c r="GG26" i="9"/>
  <c r="GH26" i="9"/>
  <c r="GI26" i="9"/>
  <c r="GJ26" i="9"/>
  <c r="GK26" i="9"/>
  <c r="GL26" i="9"/>
  <c r="GM26" i="9"/>
  <c r="GN26" i="9"/>
  <c r="GO26" i="9"/>
  <c r="GP26" i="9"/>
  <c r="GQ26" i="9"/>
  <c r="GR26" i="9"/>
  <c r="GS26" i="9"/>
  <c r="GT26" i="9"/>
  <c r="GU26" i="9"/>
  <c r="GV26" i="9"/>
  <c r="GW26" i="9"/>
  <c r="GX26" i="9"/>
  <c r="GY26" i="9"/>
  <c r="GZ26" i="9"/>
  <c r="HA26" i="9"/>
  <c r="HB26" i="9"/>
  <c r="HC26" i="9"/>
  <c r="HD26" i="9"/>
  <c r="HE26" i="9"/>
  <c r="HF26" i="9"/>
  <c r="HG26" i="9"/>
  <c r="HH26" i="9"/>
  <c r="HI26" i="9"/>
  <c r="HJ26" i="9"/>
  <c r="HK26" i="9"/>
  <c r="HL26" i="9"/>
  <c r="HM26" i="9"/>
  <c r="ED26" i="9"/>
  <c r="EE26" i="9"/>
  <c r="EF26" i="9"/>
  <c r="EG26" i="9"/>
  <c r="EH26" i="9"/>
  <c r="EI26" i="9"/>
  <c r="EJ26" i="9"/>
  <c r="EK26" i="9"/>
  <c r="EL26" i="9"/>
  <c r="EM26" i="9"/>
  <c r="EN26" i="9"/>
  <c r="EO26" i="9"/>
  <c r="EP26" i="9"/>
  <c r="EQ26" i="9"/>
  <c r="ER26" i="9"/>
  <c r="ES26" i="9"/>
  <c r="ET26" i="9"/>
  <c r="EU26" i="9"/>
  <c r="EV26" i="9"/>
  <c r="EW26" i="9"/>
  <c r="EX26" i="9"/>
  <c r="EY26" i="9"/>
  <c r="EZ26" i="9"/>
  <c r="FA26" i="9"/>
  <c r="FB26" i="9"/>
  <c r="FC26" i="9"/>
  <c r="FD26" i="9"/>
  <c r="FE26" i="9"/>
  <c r="FF26" i="9"/>
  <c r="FG26" i="9"/>
  <c r="FH26" i="9"/>
  <c r="FI26" i="9"/>
  <c r="FJ26" i="9"/>
  <c r="FK26" i="9"/>
  <c r="FL26" i="9"/>
  <c r="FM26" i="9"/>
  <c r="FN26" i="9"/>
  <c r="FO26" i="9"/>
  <c r="FP26" i="9"/>
  <c r="FQ26" i="9"/>
  <c r="FR26" i="9"/>
  <c r="FS26" i="9"/>
  <c r="FT26" i="9"/>
  <c r="FU26" i="9"/>
  <c r="CL26" i="9"/>
  <c r="CM26" i="9"/>
  <c r="CN26" i="9"/>
  <c r="CO26" i="9"/>
  <c r="CP26" i="9"/>
  <c r="CQ26" i="9"/>
  <c r="CR26" i="9"/>
  <c r="CS26" i="9"/>
  <c r="CT26" i="9"/>
  <c r="CU26" i="9"/>
  <c r="CV26" i="9"/>
  <c r="CW26" i="9"/>
  <c r="CX26" i="9"/>
  <c r="CY26" i="9"/>
  <c r="CZ26" i="9"/>
  <c r="DA26" i="9"/>
  <c r="DB26" i="9"/>
  <c r="DC26" i="9"/>
  <c r="DD26" i="9"/>
  <c r="DE26" i="9"/>
  <c r="DF26" i="9"/>
  <c r="DG26" i="9"/>
  <c r="DH26" i="9"/>
  <c r="DI26" i="9"/>
  <c r="DJ26" i="9"/>
  <c r="DK26" i="9"/>
  <c r="DL26" i="9"/>
  <c r="DM26" i="9"/>
  <c r="DN26" i="9"/>
  <c r="DO26" i="9"/>
  <c r="DP26" i="9"/>
  <c r="DQ26" i="9"/>
  <c r="DR26" i="9"/>
  <c r="DS26" i="9"/>
  <c r="DT26" i="9"/>
  <c r="DU26" i="9"/>
  <c r="DV26" i="9"/>
  <c r="DW26" i="9"/>
  <c r="DX26" i="9"/>
  <c r="DY26" i="9"/>
  <c r="DZ26" i="9"/>
  <c r="EA26" i="9"/>
  <c r="EB26" i="9"/>
  <c r="EC26" i="9"/>
  <c r="AT26" i="9"/>
  <c r="AU26" i="9"/>
  <c r="AV26" i="9"/>
  <c r="AW26" i="9"/>
  <c r="AX26" i="9"/>
  <c r="AY26" i="9"/>
  <c r="AZ26" i="9"/>
  <c r="BA26" i="9"/>
  <c r="BB26" i="9"/>
  <c r="BC26" i="9"/>
  <c r="BD26" i="9"/>
  <c r="BE26" i="9"/>
  <c r="BF26" i="9"/>
  <c r="BG26" i="9"/>
  <c r="BH26" i="9"/>
  <c r="BI26" i="9"/>
  <c r="BJ26" i="9"/>
  <c r="BK26" i="9"/>
  <c r="BL26" i="9"/>
  <c r="BM26" i="9"/>
  <c r="BN26" i="9"/>
  <c r="BO26" i="9"/>
  <c r="BP26" i="9"/>
  <c r="BQ26" i="9"/>
  <c r="BR26" i="9"/>
  <c r="BS26" i="9"/>
  <c r="BT26" i="9"/>
  <c r="BU26" i="9"/>
  <c r="BV26" i="9"/>
  <c r="BW26" i="9"/>
  <c r="BX26" i="9"/>
  <c r="BY26" i="9"/>
  <c r="BZ26" i="9"/>
  <c r="CA26" i="9"/>
  <c r="CB26" i="9"/>
  <c r="CC26" i="9"/>
  <c r="CD26" i="9"/>
  <c r="CE26" i="9"/>
  <c r="CF26" i="9"/>
  <c r="CG26" i="9"/>
  <c r="CH26" i="9"/>
  <c r="CI26" i="9"/>
  <c r="CJ26" i="9"/>
  <c r="CK26" i="9"/>
  <c r="B26" i="9"/>
  <c r="C26" i="9"/>
  <c r="D26"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AS26" i="9"/>
  <c r="AFF25" i="9"/>
  <c r="AFG25" i="9"/>
  <c r="AFH25" i="9"/>
  <c r="AFI25" i="9"/>
  <c r="AFJ25" i="9"/>
  <c r="AFK25" i="9"/>
  <c r="AFL25" i="9"/>
  <c r="AFM25" i="9"/>
  <c r="AFN25" i="9"/>
  <c r="AFO25" i="9"/>
  <c r="AFP25" i="9"/>
  <c r="AFQ25" i="9"/>
  <c r="AFR25" i="9"/>
  <c r="AFS25" i="9"/>
  <c r="AFT25" i="9"/>
  <c r="AFU25" i="9"/>
  <c r="AFV25" i="9"/>
  <c r="AFW25" i="9"/>
  <c r="AFX25" i="9"/>
  <c r="AFY25" i="9"/>
  <c r="AFZ25" i="9"/>
  <c r="AGA25" i="9"/>
  <c r="AGB25" i="9"/>
  <c r="AGC25" i="9"/>
  <c r="AGD25" i="9"/>
  <c r="AGE25" i="9"/>
  <c r="AGF25" i="9"/>
  <c r="AGG25" i="9"/>
  <c r="AGH25" i="9"/>
  <c r="AGI25" i="9"/>
  <c r="AGJ25" i="9"/>
  <c r="AGK25" i="9"/>
  <c r="AGL25" i="9"/>
  <c r="AGM25" i="9"/>
  <c r="AGN25" i="9"/>
  <c r="AGO25" i="9"/>
  <c r="AGP25" i="9"/>
  <c r="AGQ25" i="9"/>
  <c r="AGR25" i="9"/>
  <c r="AGS25" i="9"/>
  <c r="AGT25" i="9"/>
  <c r="AGU25" i="9"/>
  <c r="AGV25" i="9"/>
  <c r="AGW25" i="9"/>
  <c r="ADN25" i="9"/>
  <c r="ADO25" i="9"/>
  <c r="ADP25" i="9"/>
  <c r="ADQ25" i="9"/>
  <c r="ADR25" i="9"/>
  <c r="ADS25" i="9"/>
  <c r="ADT25" i="9"/>
  <c r="ADU25" i="9"/>
  <c r="ADV25" i="9"/>
  <c r="ADW25" i="9"/>
  <c r="ADX25" i="9"/>
  <c r="ADY25" i="9"/>
  <c r="ADZ25" i="9"/>
  <c r="AEA25" i="9"/>
  <c r="AEB25" i="9"/>
  <c r="AEC25" i="9"/>
  <c r="AED25" i="9"/>
  <c r="AEE25" i="9"/>
  <c r="AEF25" i="9"/>
  <c r="AEG25" i="9"/>
  <c r="AEH25" i="9"/>
  <c r="AEI25" i="9"/>
  <c r="AEJ25" i="9"/>
  <c r="AEK25" i="9"/>
  <c r="AEL25" i="9"/>
  <c r="AEM25" i="9"/>
  <c r="AEN25" i="9"/>
  <c r="AEO25" i="9"/>
  <c r="AEP25" i="9"/>
  <c r="AEQ25" i="9"/>
  <c r="AER25" i="9"/>
  <c r="AES25" i="9"/>
  <c r="AET25" i="9"/>
  <c r="AEU25" i="9"/>
  <c r="AEV25" i="9"/>
  <c r="AEW25" i="9"/>
  <c r="AEX25" i="9"/>
  <c r="AEY25" i="9"/>
  <c r="AEZ25" i="9"/>
  <c r="AFA25" i="9"/>
  <c r="AFB25" i="9"/>
  <c r="AFC25" i="9"/>
  <c r="AFD25" i="9"/>
  <c r="AFE25" i="9"/>
  <c r="ABV25" i="9"/>
  <c r="ABW25" i="9"/>
  <c r="ABX25" i="9"/>
  <c r="ABY25" i="9"/>
  <c r="ABZ25" i="9"/>
  <c r="ACA25" i="9"/>
  <c r="ACB25" i="9"/>
  <c r="ACC25" i="9"/>
  <c r="ACD25" i="9"/>
  <c r="ACE25" i="9"/>
  <c r="ACF25" i="9"/>
  <c r="ACG25" i="9"/>
  <c r="ACH25" i="9"/>
  <c r="ACI25" i="9"/>
  <c r="ACJ25" i="9"/>
  <c r="ACK25" i="9"/>
  <c r="ACL25" i="9"/>
  <c r="ACM25" i="9"/>
  <c r="ACN25" i="9"/>
  <c r="ACO25" i="9"/>
  <c r="ACP25" i="9"/>
  <c r="ACQ25" i="9"/>
  <c r="ACR25" i="9"/>
  <c r="ACS25" i="9"/>
  <c r="ACT25" i="9"/>
  <c r="ACU25" i="9"/>
  <c r="ACV25" i="9"/>
  <c r="ACW25" i="9"/>
  <c r="ACX25" i="9"/>
  <c r="ACY25" i="9"/>
  <c r="ACZ25" i="9"/>
  <c r="ADA25" i="9"/>
  <c r="ADB25" i="9"/>
  <c r="ADC25" i="9"/>
  <c r="ADD25" i="9"/>
  <c r="ADE25" i="9"/>
  <c r="ADF25" i="9"/>
  <c r="ADG25" i="9"/>
  <c r="ADH25" i="9"/>
  <c r="ADI25" i="9"/>
  <c r="ADJ25" i="9"/>
  <c r="ADK25" i="9"/>
  <c r="ADL25" i="9"/>
  <c r="ADM25" i="9"/>
  <c r="AAD25" i="9"/>
  <c r="AAE25" i="9"/>
  <c r="AAF25" i="9"/>
  <c r="AAG25" i="9"/>
  <c r="AAH25" i="9"/>
  <c r="AAI25" i="9"/>
  <c r="AAJ25" i="9"/>
  <c r="AAK25" i="9"/>
  <c r="AAL25" i="9"/>
  <c r="AAM25" i="9"/>
  <c r="AAN25" i="9"/>
  <c r="AAO25" i="9"/>
  <c r="AAP25" i="9"/>
  <c r="AAQ25" i="9"/>
  <c r="AAR25" i="9"/>
  <c r="AAS25" i="9"/>
  <c r="AAT25" i="9"/>
  <c r="AAU25" i="9"/>
  <c r="AAV25" i="9"/>
  <c r="AAW25" i="9"/>
  <c r="AAX25" i="9"/>
  <c r="AAY25" i="9"/>
  <c r="AAZ25" i="9"/>
  <c r="ABA25" i="9"/>
  <c r="ABB25" i="9"/>
  <c r="ABC25" i="9"/>
  <c r="ABD25" i="9"/>
  <c r="ABE25" i="9"/>
  <c r="ABF25" i="9"/>
  <c r="ABG25" i="9"/>
  <c r="ABH25" i="9"/>
  <c r="ABI25" i="9"/>
  <c r="ABJ25" i="9"/>
  <c r="ABK25" i="9"/>
  <c r="ABL25" i="9"/>
  <c r="ABM25" i="9"/>
  <c r="ABN25" i="9"/>
  <c r="ABO25" i="9"/>
  <c r="ABP25" i="9"/>
  <c r="ABQ25" i="9"/>
  <c r="ABR25" i="9"/>
  <c r="ABS25" i="9"/>
  <c r="ABT25" i="9"/>
  <c r="ABU25" i="9"/>
  <c r="YL25" i="9"/>
  <c r="YM25" i="9"/>
  <c r="YN25" i="9"/>
  <c r="YO25" i="9"/>
  <c r="YP25" i="9"/>
  <c r="YQ25" i="9"/>
  <c r="YR25" i="9"/>
  <c r="YS25" i="9"/>
  <c r="YT25" i="9"/>
  <c r="YU25" i="9"/>
  <c r="YV25" i="9"/>
  <c r="YW25" i="9"/>
  <c r="YX25" i="9"/>
  <c r="YY25" i="9"/>
  <c r="YZ25" i="9"/>
  <c r="ZA25" i="9"/>
  <c r="ZB25" i="9"/>
  <c r="ZC25" i="9"/>
  <c r="ZD25" i="9"/>
  <c r="ZE25" i="9"/>
  <c r="ZF25" i="9"/>
  <c r="ZG25" i="9"/>
  <c r="ZH25" i="9"/>
  <c r="ZI25" i="9"/>
  <c r="ZJ25" i="9"/>
  <c r="ZK25" i="9"/>
  <c r="ZL25" i="9"/>
  <c r="ZM25" i="9"/>
  <c r="ZN25" i="9"/>
  <c r="ZO25" i="9"/>
  <c r="ZP25" i="9"/>
  <c r="ZQ25" i="9"/>
  <c r="ZR25" i="9"/>
  <c r="ZS25" i="9"/>
  <c r="ZT25" i="9"/>
  <c r="ZU25" i="9"/>
  <c r="ZV25" i="9"/>
  <c r="ZW25" i="9"/>
  <c r="ZX25" i="9"/>
  <c r="ZY25" i="9"/>
  <c r="ZZ25" i="9"/>
  <c r="AAA25" i="9"/>
  <c r="AAB25" i="9"/>
  <c r="AAC25" i="9"/>
  <c r="WU25" i="9"/>
  <c r="WV25" i="9"/>
  <c r="WW25" i="9"/>
  <c r="WX25" i="9"/>
  <c r="WY25" i="9"/>
  <c r="WZ25" i="9"/>
  <c r="XA25" i="9"/>
  <c r="XB25" i="9"/>
  <c r="XC25" i="9"/>
  <c r="XD25" i="9"/>
  <c r="XE25" i="9"/>
  <c r="XF25" i="9"/>
  <c r="XG25" i="9"/>
  <c r="XH25" i="9"/>
  <c r="XI25" i="9"/>
  <c r="XJ25" i="9"/>
  <c r="XK25" i="9"/>
  <c r="XL25" i="9"/>
  <c r="XM25" i="9"/>
  <c r="XN25" i="9"/>
  <c r="XO25" i="9"/>
  <c r="XP25" i="9"/>
  <c r="XQ25" i="9"/>
  <c r="XR25" i="9"/>
  <c r="XS25" i="9"/>
  <c r="XT25" i="9"/>
  <c r="XU25" i="9"/>
  <c r="XV25" i="9"/>
  <c r="XW25" i="9"/>
  <c r="XX25" i="9"/>
  <c r="XY25" i="9"/>
  <c r="XZ25" i="9"/>
  <c r="YA25" i="9"/>
  <c r="YB25" i="9"/>
  <c r="YC25" i="9"/>
  <c r="YD25" i="9"/>
  <c r="YE25" i="9"/>
  <c r="YF25" i="9"/>
  <c r="YG25" i="9"/>
  <c r="YH25" i="9"/>
  <c r="YI25" i="9"/>
  <c r="YJ25" i="9"/>
  <c r="YK25" i="9"/>
  <c r="VC25" i="9"/>
  <c r="VD25" i="9"/>
  <c r="VE25" i="9"/>
  <c r="VF25" i="9"/>
  <c r="VG25" i="9"/>
  <c r="VH25" i="9"/>
  <c r="VI25" i="9"/>
  <c r="VJ25" i="9"/>
  <c r="VK25" i="9"/>
  <c r="VL25" i="9"/>
  <c r="VM25" i="9"/>
  <c r="VN25" i="9"/>
  <c r="VO25" i="9"/>
  <c r="VP25" i="9"/>
  <c r="VQ25" i="9"/>
  <c r="VR25" i="9"/>
  <c r="VS25" i="9"/>
  <c r="VT25" i="9"/>
  <c r="VU25" i="9"/>
  <c r="VV25" i="9"/>
  <c r="VW25" i="9"/>
  <c r="VX25" i="9"/>
  <c r="VY25" i="9"/>
  <c r="VZ25" i="9"/>
  <c r="WA25" i="9"/>
  <c r="WB25" i="9"/>
  <c r="WC25" i="9"/>
  <c r="WD25" i="9"/>
  <c r="WE25" i="9"/>
  <c r="WF25" i="9"/>
  <c r="WG25" i="9"/>
  <c r="WH25" i="9"/>
  <c r="WI25" i="9"/>
  <c r="WJ25" i="9"/>
  <c r="WK25" i="9"/>
  <c r="WL25" i="9"/>
  <c r="WM25" i="9"/>
  <c r="WN25" i="9"/>
  <c r="WO25" i="9"/>
  <c r="WP25" i="9"/>
  <c r="WQ25" i="9"/>
  <c r="WR25" i="9"/>
  <c r="WS25" i="9"/>
  <c r="TK25" i="9"/>
  <c r="TL25" i="9"/>
  <c r="TM25" i="9"/>
  <c r="TN25" i="9"/>
  <c r="TO25" i="9"/>
  <c r="TP25" i="9"/>
  <c r="TQ25" i="9"/>
  <c r="TR25" i="9"/>
  <c r="TS25" i="9"/>
  <c r="TT25" i="9"/>
  <c r="TU25" i="9"/>
  <c r="TV25" i="9"/>
  <c r="TW25" i="9"/>
  <c r="TX25" i="9"/>
  <c r="TY25" i="9"/>
  <c r="TZ25" i="9"/>
  <c r="UA25" i="9"/>
  <c r="UB25" i="9"/>
  <c r="UC25" i="9"/>
  <c r="UD25" i="9"/>
  <c r="UE25" i="9"/>
  <c r="UF25" i="9"/>
  <c r="UG25" i="9"/>
  <c r="UH25" i="9"/>
  <c r="UI25" i="9"/>
  <c r="UJ25" i="9"/>
  <c r="UK25" i="9"/>
  <c r="UL25" i="9"/>
  <c r="UM25" i="9"/>
  <c r="UN25" i="9"/>
  <c r="UO25" i="9"/>
  <c r="UP25" i="9"/>
  <c r="UQ25" i="9"/>
  <c r="UR25" i="9"/>
  <c r="US25" i="9"/>
  <c r="UT25" i="9"/>
  <c r="UU25" i="9"/>
  <c r="UV25" i="9"/>
  <c r="UW25" i="9"/>
  <c r="UX25" i="9"/>
  <c r="UY25" i="9"/>
  <c r="UZ25" i="9"/>
  <c r="VA25" i="9"/>
  <c r="RS25" i="9"/>
  <c r="RT25" i="9"/>
  <c r="RU25" i="9"/>
  <c r="RV25" i="9"/>
  <c r="RW25" i="9"/>
  <c r="RX25" i="9"/>
  <c r="RY25" i="9"/>
  <c r="RZ25" i="9"/>
  <c r="SA25" i="9"/>
  <c r="SB25" i="9"/>
  <c r="SC25" i="9"/>
  <c r="SD25" i="9"/>
  <c r="SE25" i="9"/>
  <c r="SF25" i="9"/>
  <c r="SG25" i="9"/>
  <c r="SH25" i="9"/>
  <c r="SI25" i="9"/>
  <c r="SJ25" i="9"/>
  <c r="SK25" i="9"/>
  <c r="SL25" i="9"/>
  <c r="SM25" i="9"/>
  <c r="SN25" i="9"/>
  <c r="SO25" i="9"/>
  <c r="SP25" i="9"/>
  <c r="SQ25" i="9"/>
  <c r="SR25" i="9"/>
  <c r="SS25" i="9"/>
  <c r="ST25" i="9"/>
  <c r="SU25" i="9"/>
  <c r="SV25" i="9"/>
  <c r="SW25" i="9"/>
  <c r="SX25" i="9"/>
  <c r="SY25" i="9"/>
  <c r="SZ25" i="9"/>
  <c r="TA25" i="9"/>
  <c r="TB25" i="9"/>
  <c r="TC25" i="9"/>
  <c r="TD25" i="9"/>
  <c r="TE25" i="9"/>
  <c r="TF25" i="9"/>
  <c r="TG25" i="9"/>
  <c r="TH25" i="9"/>
  <c r="TI25" i="9"/>
  <c r="QA25" i="9"/>
  <c r="QB25" i="9"/>
  <c r="QC25" i="9"/>
  <c r="QD25" i="9"/>
  <c r="QE25" i="9"/>
  <c r="QF25" i="9"/>
  <c r="QG25" i="9"/>
  <c r="QH25" i="9"/>
  <c r="QI25" i="9"/>
  <c r="QJ25" i="9"/>
  <c r="QK25" i="9"/>
  <c r="QL25" i="9"/>
  <c r="QM25" i="9"/>
  <c r="QN25" i="9"/>
  <c r="QO25" i="9"/>
  <c r="QP25" i="9"/>
  <c r="QQ25" i="9"/>
  <c r="QR25" i="9"/>
  <c r="QS25" i="9"/>
  <c r="QT25" i="9"/>
  <c r="QU25" i="9"/>
  <c r="QV25" i="9"/>
  <c r="QW25" i="9"/>
  <c r="QX25" i="9"/>
  <c r="QY25" i="9"/>
  <c r="QZ25" i="9"/>
  <c r="RA25" i="9"/>
  <c r="RB25" i="9"/>
  <c r="RC25" i="9"/>
  <c r="RD25" i="9"/>
  <c r="RE25" i="9"/>
  <c r="RF25" i="9"/>
  <c r="RG25" i="9"/>
  <c r="RH25" i="9"/>
  <c r="RI25" i="9"/>
  <c r="RJ25" i="9"/>
  <c r="RK25" i="9"/>
  <c r="RL25" i="9"/>
  <c r="RM25" i="9"/>
  <c r="RN25" i="9"/>
  <c r="RO25" i="9"/>
  <c r="RP25" i="9"/>
  <c r="RQ25" i="9"/>
  <c r="OI25" i="9"/>
  <c r="OJ25" i="9"/>
  <c r="OK25" i="9"/>
  <c r="OL25" i="9"/>
  <c r="OM25" i="9"/>
  <c r="ON25" i="9"/>
  <c r="OO25" i="9"/>
  <c r="OP25" i="9"/>
  <c r="OQ25" i="9"/>
  <c r="OR25" i="9"/>
  <c r="OS25" i="9"/>
  <c r="OT25" i="9"/>
  <c r="OU25" i="9"/>
  <c r="OV25" i="9"/>
  <c r="OW25" i="9"/>
  <c r="OX25" i="9"/>
  <c r="OY25" i="9"/>
  <c r="OZ25" i="9"/>
  <c r="PA25" i="9"/>
  <c r="PB25" i="9"/>
  <c r="PC25" i="9"/>
  <c r="PD25" i="9"/>
  <c r="PE25" i="9"/>
  <c r="PF25" i="9"/>
  <c r="PG25" i="9"/>
  <c r="PH25" i="9"/>
  <c r="PI25" i="9"/>
  <c r="PJ25" i="9"/>
  <c r="PK25" i="9"/>
  <c r="PL25" i="9"/>
  <c r="PM25" i="9"/>
  <c r="PN25" i="9"/>
  <c r="PO25" i="9"/>
  <c r="PP25" i="9"/>
  <c r="PQ25" i="9"/>
  <c r="PR25" i="9"/>
  <c r="PS25" i="9"/>
  <c r="PT25" i="9"/>
  <c r="PU25" i="9"/>
  <c r="PV25" i="9"/>
  <c r="PW25" i="9"/>
  <c r="PX25" i="9"/>
  <c r="PY25" i="9"/>
  <c r="MQ25" i="9"/>
  <c r="MR25" i="9"/>
  <c r="MS25" i="9"/>
  <c r="MT25" i="9"/>
  <c r="MU25" i="9"/>
  <c r="MV25" i="9"/>
  <c r="MW25" i="9"/>
  <c r="MX25" i="9"/>
  <c r="MY25" i="9"/>
  <c r="MZ25" i="9"/>
  <c r="NA25" i="9"/>
  <c r="NB25" i="9"/>
  <c r="NC25" i="9"/>
  <c r="ND25" i="9"/>
  <c r="NE25" i="9"/>
  <c r="NF25" i="9"/>
  <c r="NG25" i="9"/>
  <c r="NH25" i="9"/>
  <c r="NI25" i="9"/>
  <c r="NJ25" i="9"/>
  <c r="NK25" i="9"/>
  <c r="NL25" i="9"/>
  <c r="NM25" i="9"/>
  <c r="NN25" i="9"/>
  <c r="NO25" i="9"/>
  <c r="NP25" i="9"/>
  <c r="NQ25" i="9"/>
  <c r="NR25" i="9"/>
  <c r="NS25" i="9"/>
  <c r="NT25" i="9"/>
  <c r="NU25" i="9"/>
  <c r="NV25" i="9"/>
  <c r="NW25" i="9"/>
  <c r="NX25" i="9"/>
  <c r="NY25" i="9"/>
  <c r="NZ25" i="9"/>
  <c r="OA25" i="9"/>
  <c r="OB25" i="9"/>
  <c r="OC25" i="9"/>
  <c r="OD25" i="9"/>
  <c r="OE25" i="9"/>
  <c r="OF25" i="9"/>
  <c r="OG25" i="9"/>
  <c r="KY25" i="9"/>
  <c r="KZ25" i="9"/>
  <c r="LA25" i="9"/>
  <c r="LB25" i="9"/>
  <c r="LC25" i="9"/>
  <c r="LD25" i="9"/>
  <c r="LE25" i="9"/>
  <c r="LF25" i="9"/>
  <c r="LG25" i="9"/>
  <c r="LH25" i="9"/>
  <c r="LI25" i="9"/>
  <c r="LJ25" i="9"/>
  <c r="LK25" i="9"/>
  <c r="LL25" i="9"/>
  <c r="LM25" i="9"/>
  <c r="LN25" i="9"/>
  <c r="LO25" i="9"/>
  <c r="LP25" i="9"/>
  <c r="LQ25" i="9"/>
  <c r="LR25" i="9"/>
  <c r="LS25" i="9"/>
  <c r="LT25" i="9"/>
  <c r="LU25" i="9"/>
  <c r="LV25" i="9"/>
  <c r="LW25" i="9"/>
  <c r="LX25" i="9"/>
  <c r="LY25" i="9"/>
  <c r="LZ25" i="9"/>
  <c r="MA25" i="9"/>
  <c r="MB25" i="9"/>
  <c r="MC25" i="9"/>
  <c r="MD25" i="9"/>
  <c r="ME25" i="9"/>
  <c r="MF25" i="9"/>
  <c r="MG25" i="9"/>
  <c r="MH25" i="9"/>
  <c r="MI25" i="9"/>
  <c r="MJ25" i="9"/>
  <c r="MK25" i="9"/>
  <c r="ML25" i="9"/>
  <c r="MM25" i="9"/>
  <c r="MN25" i="9"/>
  <c r="MO25" i="9"/>
  <c r="JF25" i="9"/>
  <c r="JG25" i="9"/>
  <c r="JH25" i="9"/>
  <c r="JI25" i="9"/>
  <c r="JJ25" i="9"/>
  <c r="JK25" i="9"/>
  <c r="JL25" i="9"/>
  <c r="JM25" i="9"/>
  <c r="JN25" i="9"/>
  <c r="JO25" i="9"/>
  <c r="JP25" i="9"/>
  <c r="JQ25" i="9"/>
  <c r="JR25" i="9"/>
  <c r="JS25" i="9"/>
  <c r="JT25" i="9"/>
  <c r="JU25" i="9"/>
  <c r="JV25" i="9"/>
  <c r="JW25" i="9"/>
  <c r="JX25" i="9"/>
  <c r="JY25" i="9"/>
  <c r="JZ25" i="9"/>
  <c r="KA25" i="9"/>
  <c r="KB25" i="9"/>
  <c r="KC25" i="9"/>
  <c r="KD25" i="9"/>
  <c r="KE25" i="9"/>
  <c r="KF25" i="9"/>
  <c r="KG25" i="9"/>
  <c r="KH25" i="9"/>
  <c r="KI25" i="9"/>
  <c r="KJ25" i="9"/>
  <c r="KK25" i="9"/>
  <c r="KL25" i="9"/>
  <c r="KM25" i="9"/>
  <c r="KN25" i="9"/>
  <c r="KO25" i="9"/>
  <c r="KP25" i="9"/>
  <c r="KQ25" i="9"/>
  <c r="KR25" i="9"/>
  <c r="KS25" i="9"/>
  <c r="KT25" i="9"/>
  <c r="KU25" i="9"/>
  <c r="KV25" i="9"/>
  <c r="KW25" i="9"/>
  <c r="HN25" i="9"/>
  <c r="HO25" i="9"/>
  <c r="HP25" i="9"/>
  <c r="HQ25" i="9"/>
  <c r="HR25" i="9"/>
  <c r="HS25" i="9"/>
  <c r="HT25" i="9"/>
  <c r="HU25" i="9"/>
  <c r="HV25" i="9"/>
  <c r="HW25" i="9"/>
  <c r="HX25" i="9"/>
  <c r="HY25" i="9"/>
  <c r="HZ25" i="9"/>
  <c r="IA25" i="9"/>
  <c r="IB25" i="9"/>
  <c r="IC25" i="9"/>
  <c r="ID25" i="9"/>
  <c r="IE25" i="9"/>
  <c r="IF25" i="9"/>
  <c r="IG25" i="9"/>
  <c r="IH25" i="9"/>
  <c r="II25" i="9"/>
  <c r="IJ25" i="9"/>
  <c r="IK25" i="9"/>
  <c r="IL25" i="9"/>
  <c r="IM25" i="9"/>
  <c r="IN25" i="9"/>
  <c r="IO25" i="9"/>
  <c r="IP25" i="9"/>
  <c r="IQ25" i="9"/>
  <c r="IR25" i="9"/>
  <c r="IS25" i="9"/>
  <c r="IT25" i="9"/>
  <c r="IU25" i="9"/>
  <c r="IV25" i="9"/>
  <c r="IW25" i="9"/>
  <c r="IX25" i="9"/>
  <c r="IY25" i="9"/>
  <c r="IZ25" i="9"/>
  <c r="JA25" i="9"/>
  <c r="JB25" i="9"/>
  <c r="JC25" i="9"/>
  <c r="JD25" i="9"/>
  <c r="JE25" i="9"/>
  <c r="FV25" i="9"/>
  <c r="FW25" i="9"/>
  <c r="FX25" i="9"/>
  <c r="FY25" i="9"/>
  <c r="FZ25" i="9"/>
  <c r="GA25" i="9"/>
  <c r="GB25" i="9"/>
  <c r="GC25" i="9"/>
  <c r="GD25" i="9"/>
  <c r="GE25" i="9"/>
  <c r="GF25" i="9"/>
  <c r="GG25" i="9"/>
  <c r="GH25" i="9"/>
  <c r="GI25" i="9"/>
  <c r="GJ25" i="9"/>
  <c r="GK25" i="9"/>
  <c r="GL25" i="9"/>
  <c r="GM25" i="9"/>
  <c r="GN25" i="9"/>
  <c r="GO25" i="9"/>
  <c r="GP25" i="9"/>
  <c r="GQ25" i="9"/>
  <c r="GR25" i="9"/>
  <c r="GS25" i="9"/>
  <c r="GT25" i="9"/>
  <c r="GU25" i="9"/>
  <c r="GV25" i="9"/>
  <c r="GW25" i="9"/>
  <c r="GX25" i="9"/>
  <c r="GY25" i="9"/>
  <c r="GZ25" i="9"/>
  <c r="HA25" i="9"/>
  <c r="HB25" i="9"/>
  <c r="HC25" i="9"/>
  <c r="HD25" i="9"/>
  <c r="HE25" i="9"/>
  <c r="HF25" i="9"/>
  <c r="HG25" i="9"/>
  <c r="HH25" i="9"/>
  <c r="HI25" i="9"/>
  <c r="HJ25" i="9"/>
  <c r="HK25" i="9"/>
  <c r="HL25" i="9"/>
  <c r="HM25" i="9"/>
  <c r="ED25" i="9"/>
  <c r="EE25" i="9"/>
  <c r="EF25" i="9"/>
  <c r="EG25" i="9"/>
  <c r="EH25" i="9"/>
  <c r="EI25" i="9"/>
  <c r="EJ25" i="9"/>
  <c r="EK25" i="9"/>
  <c r="EL25" i="9"/>
  <c r="EM25" i="9"/>
  <c r="EN25" i="9"/>
  <c r="EO25" i="9"/>
  <c r="EP25" i="9"/>
  <c r="EQ25" i="9"/>
  <c r="ER25" i="9"/>
  <c r="ES25" i="9"/>
  <c r="ET25" i="9"/>
  <c r="EU25" i="9"/>
  <c r="EV25" i="9"/>
  <c r="EW25" i="9"/>
  <c r="EX25" i="9"/>
  <c r="EY25" i="9"/>
  <c r="EZ25" i="9"/>
  <c r="FA25" i="9"/>
  <c r="FB25" i="9"/>
  <c r="FC25" i="9"/>
  <c r="FD25" i="9"/>
  <c r="FE25" i="9"/>
  <c r="FF25" i="9"/>
  <c r="FG25" i="9"/>
  <c r="FH25" i="9"/>
  <c r="FI25" i="9"/>
  <c r="FJ25" i="9"/>
  <c r="FK25" i="9"/>
  <c r="FL25" i="9"/>
  <c r="FM25" i="9"/>
  <c r="FN25" i="9"/>
  <c r="FO25" i="9"/>
  <c r="FP25" i="9"/>
  <c r="FQ25" i="9"/>
  <c r="FR25" i="9"/>
  <c r="FS25" i="9"/>
  <c r="FT25" i="9"/>
  <c r="FU25" i="9"/>
  <c r="CL25" i="9"/>
  <c r="CM25" i="9"/>
  <c r="CN25" i="9"/>
  <c r="CO25" i="9"/>
  <c r="CP25" i="9"/>
  <c r="CQ25" i="9"/>
  <c r="CR25" i="9"/>
  <c r="CS25" i="9"/>
  <c r="CT25" i="9"/>
  <c r="CU25" i="9"/>
  <c r="CV25" i="9"/>
  <c r="CW25"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DY25" i="9"/>
  <c r="DZ25" i="9"/>
  <c r="EA25" i="9"/>
  <c r="EB25" i="9"/>
  <c r="EC25" i="9"/>
  <c r="AT25" i="9"/>
  <c r="AU25" i="9"/>
  <c r="AV25" i="9"/>
  <c r="AW25" i="9"/>
  <c r="AX25" i="9"/>
  <c r="AY25" i="9"/>
  <c r="AZ25" i="9"/>
  <c r="BA25" i="9"/>
  <c r="BB25" i="9"/>
  <c r="BC25" i="9"/>
  <c r="BD25" i="9"/>
  <c r="BE25" i="9"/>
  <c r="BF25" i="9"/>
  <c r="BG25" i="9"/>
  <c r="BH25" i="9"/>
  <c r="BI25" i="9"/>
  <c r="BJ25" i="9"/>
  <c r="BK25" i="9"/>
  <c r="BL25" i="9"/>
  <c r="BM25" i="9"/>
  <c r="BN25" i="9"/>
  <c r="BO25" i="9"/>
  <c r="BP25" i="9"/>
  <c r="BQ25" i="9"/>
  <c r="BR25" i="9"/>
  <c r="BS25" i="9"/>
  <c r="BT25" i="9"/>
  <c r="BU25" i="9"/>
  <c r="BV25" i="9"/>
  <c r="BW25" i="9"/>
  <c r="BX25" i="9"/>
  <c r="BY25" i="9"/>
  <c r="BZ25" i="9"/>
  <c r="CA25" i="9"/>
  <c r="CB25" i="9"/>
  <c r="CC25" i="9"/>
  <c r="CD25" i="9"/>
  <c r="CE25" i="9"/>
  <c r="CF25" i="9"/>
  <c r="CG25" i="9"/>
  <c r="CH25" i="9"/>
  <c r="CI25" i="9"/>
  <c r="CJ25" i="9"/>
  <c r="CK25" i="9"/>
  <c r="B25" i="9"/>
  <c r="C25" i="9"/>
  <c r="D25" i="9"/>
  <c r="E25"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AS25" i="9"/>
  <c r="WU24" i="9"/>
  <c r="WV24" i="9"/>
  <c r="WW24" i="9"/>
  <c r="WX24" i="9"/>
  <c r="WY24" i="9"/>
  <c r="WZ24" i="9"/>
  <c r="XA24" i="9"/>
  <c r="XB24" i="9"/>
  <c r="XC24" i="9"/>
  <c r="XD24" i="9"/>
  <c r="XE24" i="9"/>
  <c r="XF24" i="9"/>
  <c r="XG24" i="9"/>
  <c r="XH24" i="9"/>
  <c r="XI24" i="9"/>
  <c r="XJ24" i="9"/>
  <c r="XK24" i="9"/>
  <c r="XL24" i="9"/>
  <c r="XM24" i="9"/>
  <c r="XN24" i="9"/>
  <c r="XO24" i="9"/>
  <c r="XP24" i="9"/>
  <c r="XQ24" i="9"/>
  <c r="XR24" i="9"/>
  <c r="XS24" i="9"/>
  <c r="XT24" i="9"/>
  <c r="XU24" i="9"/>
  <c r="XV24" i="9"/>
  <c r="XW24" i="9"/>
  <c r="XX24" i="9"/>
  <c r="XY24" i="9"/>
  <c r="XZ24" i="9"/>
  <c r="YA24" i="9"/>
  <c r="YB24" i="9"/>
  <c r="YC24" i="9"/>
  <c r="YD24" i="9"/>
  <c r="YE24" i="9"/>
  <c r="YF24" i="9"/>
  <c r="YG24" i="9"/>
  <c r="YH24" i="9"/>
  <c r="YI24" i="9"/>
  <c r="YJ24" i="9"/>
  <c r="YK24" i="9"/>
  <c r="VC24" i="9"/>
  <c r="VD24" i="9"/>
  <c r="VE24" i="9"/>
  <c r="VF24" i="9"/>
  <c r="VG24" i="9"/>
  <c r="VH24" i="9"/>
  <c r="VI24" i="9"/>
  <c r="VJ24" i="9"/>
  <c r="VK24" i="9"/>
  <c r="VL24" i="9"/>
  <c r="VM24" i="9"/>
  <c r="VN24" i="9"/>
  <c r="VO24" i="9"/>
  <c r="VP24" i="9"/>
  <c r="VQ24" i="9"/>
  <c r="VR24" i="9"/>
  <c r="VS24" i="9"/>
  <c r="VT24" i="9"/>
  <c r="VU24" i="9"/>
  <c r="VV24" i="9"/>
  <c r="VW24" i="9"/>
  <c r="VX24" i="9"/>
  <c r="VY24" i="9"/>
  <c r="VZ24" i="9"/>
  <c r="WA24" i="9"/>
  <c r="WB24" i="9"/>
  <c r="WC24" i="9"/>
  <c r="WD24" i="9"/>
  <c r="WE24" i="9"/>
  <c r="WF24" i="9"/>
  <c r="WG24" i="9"/>
  <c r="WH24" i="9"/>
  <c r="WI24" i="9"/>
  <c r="WJ24" i="9"/>
  <c r="WK24" i="9"/>
  <c r="WL24" i="9"/>
  <c r="WM24" i="9"/>
  <c r="WN24" i="9"/>
  <c r="WO24" i="9"/>
  <c r="WP24" i="9"/>
  <c r="WQ24" i="9"/>
  <c r="WR24" i="9"/>
  <c r="WS24" i="9"/>
  <c r="TK24" i="9"/>
  <c r="TL24" i="9"/>
  <c r="TM24" i="9"/>
  <c r="TN24" i="9"/>
  <c r="TO24" i="9"/>
  <c r="TP24" i="9"/>
  <c r="TQ24" i="9"/>
  <c r="TR24" i="9"/>
  <c r="TS24" i="9"/>
  <c r="TT24" i="9"/>
  <c r="TU24" i="9"/>
  <c r="TV24" i="9"/>
  <c r="TW24" i="9"/>
  <c r="TX24" i="9"/>
  <c r="TY24" i="9"/>
  <c r="TZ24" i="9"/>
  <c r="UA24" i="9"/>
  <c r="UB24" i="9"/>
  <c r="UC24" i="9"/>
  <c r="UD24" i="9"/>
  <c r="UE24" i="9"/>
  <c r="UF24" i="9"/>
  <c r="UG24" i="9"/>
  <c r="UH24" i="9"/>
  <c r="UI24" i="9"/>
  <c r="UJ24" i="9"/>
  <c r="UK24" i="9"/>
  <c r="UL24" i="9"/>
  <c r="UM24" i="9"/>
  <c r="UN24" i="9"/>
  <c r="UO24" i="9"/>
  <c r="UP24" i="9"/>
  <c r="UQ24" i="9"/>
  <c r="UR24" i="9"/>
  <c r="US24" i="9"/>
  <c r="UT24" i="9"/>
  <c r="UU24" i="9"/>
  <c r="UV24" i="9"/>
  <c r="UW24" i="9"/>
  <c r="UX24" i="9"/>
  <c r="UY24" i="9"/>
  <c r="UZ24" i="9"/>
  <c r="VA24" i="9"/>
  <c r="RS24" i="9"/>
  <c r="RT24" i="9"/>
  <c r="RU24" i="9"/>
  <c r="RV24" i="9"/>
  <c r="RW24" i="9"/>
  <c r="RX24" i="9"/>
  <c r="RY24" i="9"/>
  <c r="RZ24" i="9"/>
  <c r="SA24" i="9"/>
  <c r="SB24" i="9"/>
  <c r="SC24" i="9"/>
  <c r="SD24" i="9"/>
  <c r="SE24" i="9"/>
  <c r="SF24" i="9"/>
  <c r="SG24" i="9"/>
  <c r="SH24" i="9"/>
  <c r="SI24" i="9"/>
  <c r="SJ24" i="9"/>
  <c r="SK24" i="9"/>
  <c r="SL24" i="9"/>
  <c r="SM24" i="9"/>
  <c r="SN24" i="9"/>
  <c r="SO24" i="9"/>
  <c r="SP24" i="9"/>
  <c r="SQ24" i="9"/>
  <c r="SR24" i="9"/>
  <c r="SS24" i="9"/>
  <c r="ST24" i="9"/>
  <c r="SU24" i="9"/>
  <c r="SV24" i="9"/>
  <c r="SW24" i="9"/>
  <c r="SX24" i="9"/>
  <c r="SY24" i="9"/>
  <c r="SZ24" i="9"/>
  <c r="TA24" i="9"/>
  <c r="TB24" i="9"/>
  <c r="TC24" i="9"/>
  <c r="TD24" i="9"/>
  <c r="TE24" i="9"/>
  <c r="TF24" i="9"/>
  <c r="TG24" i="9"/>
  <c r="TH24" i="9"/>
  <c r="TI24" i="9"/>
  <c r="QA24" i="9"/>
  <c r="QB24" i="9"/>
  <c r="QC24" i="9"/>
  <c r="QD24" i="9"/>
  <c r="QE24" i="9"/>
  <c r="QF24" i="9"/>
  <c r="QG24" i="9"/>
  <c r="QH24" i="9"/>
  <c r="QI24" i="9"/>
  <c r="QJ24" i="9"/>
  <c r="QK24" i="9"/>
  <c r="QL24" i="9"/>
  <c r="QM24" i="9"/>
  <c r="QN24" i="9"/>
  <c r="QO24" i="9"/>
  <c r="QP24" i="9"/>
  <c r="QQ24" i="9"/>
  <c r="QR24" i="9"/>
  <c r="QS24" i="9"/>
  <c r="QT24" i="9"/>
  <c r="QU24" i="9"/>
  <c r="QV24" i="9"/>
  <c r="QW24" i="9"/>
  <c r="QX24" i="9"/>
  <c r="QY24" i="9"/>
  <c r="QZ24" i="9"/>
  <c r="RA24" i="9"/>
  <c r="RB24" i="9"/>
  <c r="RC24" i="9"/>
  <c r="RD24" i="9"/>
  <c r="RE24" i="9"/>
  <c r="RF24" i="9"/>
  <c r="RG24" i="9"/>
  <c r="RH24" i="9"/>
  <c r="RI24" i="9"/>
  <c r="RJ24" i="9"/>
  <c r="RK24" i="9"/>
  <c r="RL24" i="9"/>
  <c r="RM24" i="9"/>
  <c r="RN24" i="9"/>
  <c r="RO24" i="9"/>
  <c r="RP24" i="9"/>
  <c r="RQ24" i="9"/>
  <c r="OI24" i="9"/>
  <c r="OJ24" i="9"/>
  <c r="OK24" i="9"/>
  <c r="OL24" i="9"/>
  <c r="OM24" i="9"/>
  <c r="ON24" i="9"/>
  <c r="OO24" i="9"/>
  <c r="OP24" i="9"/>
  <c r="OQ24" i="9"/>
  <c r="OR24" i="9"/>
  <c r="OS24" i="9"/>
  <c r="OT24" i="9"/>
  <c r="OU24" i="9"/>
  <c r="OV24" i="9"/>
  <c r="OW24" i="9"/>
  <c r="OX24" i="9"/>
  <c r="OY24" i="9"/>
  <c r="OZ24" i="9"/>
  <c r="PA24" i="9"/>
  <c r="PB24" i="9"/>
  <c r="PC24" i="9"/>
  <c r="PD24" i="9"/>
  <c r="PE24" i="9"/>
  <c r="PF24" i="9"/>
  <c r="PG24" i="9"/>
  <c r="PH24" i="9"/>
  <c r="PI24" i="9"/>
  <c r="PJ24" i="9"/>
  <c r="PK24" i="9"/>
  <c r="PL24" i="9"/>
  <c r="PM24" i="9"/>
  <c r="PN24" i="9"/>
  <c r="PO24" i="9"/>
  <c r="PP24" i="9"/>
  <c r="PQ24" i="9"/>
  <c r="PR24" i="9"/>
  <c r="PS24" i="9"/>
  <c r="PT24" i="9"/>
  <c r="PU24" i="9"/>
  <c r="PV24" i="9"/>
  <c r="PW24" i="9"/>
  <c r="PX24" i="9"/>
  <c r="PY24" i="9"/>
  <c r="MQ24" i="9"/>
  <c r="MR24" i="9"/>
  <c r="MS24" i="9"/>
  <c r="MT24" i="9"/>
  <c r="MU24" i="9"/>
  <c r="MV24" i="9"/>
  <c r="MW24" i="9"/>
  <c r="MX24" i="9"/>
  <c r="MY24" i="9"/>
  <c r="MZ24" i="9"/>
  <c r="NA24" i="9"/>
  <c r="NB24" i="9"/>
  <c r="NC24" i="9"/>
  <c r="ND24" i="9"/>
  <c r="NE24" i="9"/>
  <c r="NF24" i="9"/>
  <c r="NG24" i="9"/>
  <c r="NH24" i="9"/>
  <c r="NI24" i="9"/>
  <c r="NJ24" i="9"/>
  <c r="NK24" i="9"/>
  <c r="NL24" i="9"/>
  <c r="NM24" i="9"/>
  <c r="NN24" i="9"/>
  <c r="NO24" i="9"/>
  <c r="NP24" i="9"/>
  <c r="NQ24" i="9"/>
  <c r="NR24" i="9"/>
  <c r="NS24" i="9"/>
  <c r="NT24" i="9"/>
  <c r="NU24" i="9"/>
  <c r="NV24" i="9"/>
  <c r="NW24" i="9"/>
  <c r="NX24" i="9"/>
  <c r="NY24" i="9"/>
  <c r="NZ24" i="9"/>
  <c r="OA24" i="9"/>
  <c r="OB24" i="9"/>
  <c r="OC24" i="9"/>
  <c r="OD24" i="9"/>
  <c r="OE24" i="9"/>
  <c r="OF24" i="9"/>
  <c r="OG24" i="9"/>
  <c r="KY24" i="9"/>
  <c r="KZ24" i="9"/>
  <c r="LA24" i="9"/>
  <c r="LB24" i="9"/>
  <c r="LC24" i="9"/>
  <c r="LD24" i="9"/>
  <c r="LE24" i="9"/>
  <c r="LF24" i="9"/>
  <c r="LG24" i="9"/>
  <c r="LH24" i="9"/>
  <c r="LI24" i="9"/>
  <c r="LJ24" i="9"/>
  <c r="LK24" i="9"/>
  <c r="LL24" i="9"/>
  <c r="LM24" i="9"/>
  <c r="LN24" i="9"/>
  <c r="LO24" i="9"/>
  <c r="LP24" i="9"/>
  <c r="LQ24" i="9"/>
  <c r="LR24" i="9"/>
  <c r="LS24" i="9"/>
  <c r="LT24" i="9"/>
  <c r="LU24" i="9"/>
  <c r="LV24" i="9"/>
  <c r="LW24" i="9"/>
  <c r="LX24" i="9"/>
  <c r="LY24" i="9"/>
  <c r="LZ24" i="9"/>
  <c r="MA24" i="9"/>
  <c r="MB24" i="9"/>
  <c r="MC24" i="9"/>
  <c r="MD24" i="9"/>
  <c r="ME24" i="9"/>
  <c r="MF24" i="9"/>
  <c r="MG24" i="9"/>
  <c r="MH24" i="9"/>
  <c r="MI24" i="9"/>
  <c r="MJ24" i="9"/>
  <c r="MK24" i="9"/>
  <c r="ML24" i="9"/>
  <c r="MM24" i="9"/>
  <c r="MN24" i="9"/>
  <c r="MO24" i="9"/>
  <c r="JG24" i="9"/>
  <c r="JH24" i="9"/>
  <c r="JI24" i="9"/>
  <c r="JJ24" i="9"/>
  <c r="JK24" i="9"/>
  <c r="JL24" i="9"/>
  <c r="JM24" i="9"/>
  <c r="JN24" i="9"/>
  <c r="JO24" i="9"/>
  <c r="JP24" i="9"/>
  <c r="JQ24" i="9"/>
  <c r="JR24" i="9"/>
  <c r="JS24" i="9"/>
  <c r="JT24" i="9"/>
  <c r="JU24" i="9"/>
  <c r="JV24" i="9"/>
  <c r="JW24" i="9"/>
  <c r="JX24" i="9"/>
  <c r="JY24" i="9"/>
  <c r="JZ24" i="9"/>
  <c r="KA24" i="9"/>
  <c r="KB24" i="9"/>
  <c r="KC24" i="9"/>
  <c r="KD24" i="9"/>
  <c r="KE24" i="9"/>
  <c r="KF24" i="9"/>
  <c r="KG24" i="9"/>
  <c r="KH24" i="9"/>
  <c r="KI24" i="9"/>
  <c r="KJ24" i="9"/>
  <c r="KK24" i="9"/>
  <c r="KL24" i="9"/>
  <c r="KM24" i="9"/>
  <c r="KN24" i="9"/>
  <c r="KO24" i="9"/>
  <c r="KP24" i="9"/>
  <c r="KQ24" i="9"/>
  <c r="KR24" i="9"/>
  <c r="KS24" i="9"/>
  <c r="KT24" i="9"/>
  <c r="KU24" i="9"/>
  <c r="KV24" i="9"/>
  <c r="KW24" i="9"/>
  <c r="HO24" i="9"/>
  <c r="HP24" i="9"/>
  <c r="HQ24" i="9"/>
  <c r="HR24" i="9"/>
  <c r="HS24" i="9"/>
  <c r="HT24" i="9"/>
  <c r="HU24" i="9"/>
  <c r="HV24" i="9"/>
  <c r="HW24" i="9"/>
  <c r="HX24" i="9"/>
  <c r="HY24" i="9"/>
  <c r="HZ24" i="9"/>
  <c r="IA24" i="9"/>
  <c r="IB24" i="9"/>
  <c r="IC24" i="9"/>
  <c r="ID24" i="9"/>
  <c r="IE24" i="9"/>
  <c r="IF24" i="9"/>
  <c r="IG24" i="9"/>
  <c r="IH24" i="9"/>
  <c r="II24" i="9"/>
  <c r="IJ24" i="9"/>
  <c r="IK24" i="9"/>
  <c r="IL24" i="9"/>
  <c r="IM24" i="9"/>
  <c r="IN24" i="9"/>
  <c r="IO24" i="9"/>
  <c r="IP24" i="9"/>
  <c r="IQ24" i="9"/>
  <c r="IR24" i="9"/>
  <c r="IS24" i="9"/>
  <c r="IT24" i="9"/>
  <c r="IU24" i="9"/>
  <c r="IV24" i="9"/>
  <c r="IW24" i="9"/>
  <c r="IX24" i="9"/>
  <c r="IY24" i="9"/>
  <c r="IZ24" i="9"/>
  <c r="JA24" i="9"/>
  <c r="JB24" i="9"/>
  <c r="JC24" i="9"/>
  <c r="JD24" i="9"/>
  <c r="JE24" i="9"/>
  <c r="FW24" i="9"/>
  <c r="FX24" i="9"/>
  <c r="FY24" i="9"/>
  <c r="FZ24" i="9"/>
  <c r="GA24" i="9"/>
  <c r="GB24" i="9"/>
  <c r="GC24" i="9"/>
  <c r="GD24" i="9"/>
  <c r="GE24" i="9"/>
  <c r="GF24" i="9"/>
  <c r="GG24" i="9"/>
  <c r="GH24" i="9"/>
  <c r="GI24" i="9"/>
  <c r="GJ24" i="9"/>
  <c r="GK24" i="9"/>
  <c r="GL24" i="9"/>
  <c r="GM24" i="9"/>
  <c r="GN24" i="9"/>
  <c r="GO24" i="9"/>
  <c r="GP24" i="9"/>
  <c r="GQ24" i="9"/>
  <c r="GR24" i="9"/>
  <c r="GS24" i="9"/>
  <c r="GT24" i="9"/>
  <c r="GU24" i="9"/>
  <c r="GV24" i="9"/>
  <c r="GW24" i="9"/>
  <c r="GX24" i="9"/>
  <c r="GY24" i="9"/>
  <c r="GZ24" i="9"/>
  <c r="HA24" i="9"/>
  <c r="HB24" i="9"/>
  <c r="HC24" i="9"/>
  <c r="HD24" i="9"/>
  <c r="HE24" i="9"/>
  <c r="HF24" i="9"/>
  <c r="HG24" i="9"/>
  <c r="HH24" i="9"/>
  <c r="HI24" i="9"/>
  <c r="HJ24" i="9"/>
  <c r="HK24" i="9"/>
  <c r="HL24" i="9"/>
  <c r="HM24" i="9"/>
  <c r="EE24" i="9"/>
  <c r="EF24" i="9"/>
  <c r="EG24" i="9"/>
  <c r="EH24" i="9"/>
  <c r="EI24" i="9"/>
  <c r="EJ24" i="9"/>
  <c r="EK24" i="9"/>
  <c r="EL24" i="9"/>
  <c r="EM24" i="9"/>
  <c r="EN24" i="9"/>
  <c r="EO24" i="9"/>
  <c r="EP24" i="9"/>
  <c r="EQ24" i="9"/>
  <c r="ER24" i="9"/>
  <c r="ES24" i="9"/>
  <c r="ET24" i="9"/>
  <c r="EU24" i="9"/>
  <c r="EV24" i="9"/>
  <c r="EW24" i="9"/>
  <c r="EX24" i="9"/>
  <c r="EY24" i="9"/>
  <c r="EZ24" i="9"/>
  <c r="FA24" i="9"/>
  <c r="FB24" i="9"/>
  <c r="FC24" i="9"/>
  <c r="FD24" i="9"/>
  <c r="FE24" i="9"/>
  <c r="FF24" i="9"/>
  <c r="FG24" i="9"/>
  <c r="FH24" i="9"/>
  <c r="FI24" i="9"/>
  <c r="FJ24" i="9"/>
  <c r="FK24" i="9"/>
  <c r="FL24" i="9"/>
  <c r="FM24" i="9"/>
  <c r="FN24" i="9"/>
  <c r="FO24" i="9"/>
  <c r="FP24" i="9"/>
  <c r="FQ24" i="9"/>
  <c r="FR24" i="9"/>
  <c r="FS24" i="9"/>
  <c r="FT24" i="9"/>
  <c r="FU24" i="9"/>
  <c r="CM24" i="9"/>
  <c r="CN24" i="9"/>
  <c r="CO24" i="9"/>
  <c r="CP24" i="9"/>
  <c r="CQ24" i="9"/>
  <c r="CR24" i="9"/>
  <c r="CS24" i="9"/>
  <c r="CT24" i="9"/>
  <c r="CU24" i="9"/>
  <c r="CV24" i="9"/>
  <c r="CW24" i="9"/>
  <c r="CX24" i="9"/>
  <c r="CY24" i="9"/>
  <c r="CZ24" i="9"/>
  <c r="DA24" i="9"/>
  <c r="DB24" i="9"/>
  <c r="DC24" i="9"/>
  <c r="DD24" i="9"/>
  <c r="DE24" i="9"/>
  <c r="DF24" i="9"/>
  <c r="DG24" i="9"/>
  <c r="DH24" i="9"/>
  <c r="DI24" i="9"/>
  <c r="DJ24" i="9"/>
  <c r="DK24" i="9"/>
  <c r="DL24" i="9"/>
  <c r="DM24" i="9"/>
  <c r="DN24" i="9"/>
  <c r="DO24" i="9"/>
  <c r="DP24" i="9"/>
  <c r="DQ24" i="9"/>
  <c r="DR24" i="9"/>
  <c r="DS24" i="9"/>
  <c r="DT24" i="9"/>
  <c r="DU24" i="9"/>
  <c r="DV24" i="9"/>
  <c r="DW24" i="9"/>
  <c r="DX24" i="9"/>
  <c r="DY24" i="9"/>
  <c r="DZ24" i="9"/>
  <c r="EA24" i="9"/>
  <c r="EB24" i="9"/>
  <c r="EC24" i="9"/>
  <c r="AU24" i="9"/>
  <c r="AV24" i="9"/>
  <c r="AW24" i="9"/>
  <c r="AX24" i="9"/>
  <c r="AY24" i="9"/>
  <c r="AZ24" i="9"/>
  <c r="BA24" i="9"/>
  <c r="BB24" i="9"/>
  <c r="BC24" i="9"/>
  <c r="BD24" i="9"/>
  <c r="BE24" i="9"/>
  <c r="BF24" i="9"/>
  <c r="BG24" i="9"/>
  <c r="BH24" i="9"/>
  <c r="BI24" i="9"/>
  <c r="BJ24" i="9"/>
  <c r="BK24" i="9"/>
  <c r="BL24" i="9"/>
  <c r="BM24" i="9"/>
  <c r="BN24" i="9"/>
  <c r="BO24" i="9"/>
  <c r="BP24" i="9"/>
  <c r="BQ24" i="9"/>
  <c r="BR24" i="9"/>
  <c r="BS24" i="9"/>
  <c r="BT24" i="9"/>
  <c r="BU24" i="9"/>
  <c r="BV24" i="9"/>
  <c r="BW24" i="9"/>
  <c r="BX24" i="9"/>
  <c r="BY24" i="9"/>
  <c r="BZ24" i="9"/>
  <c r="CA24" i="9"/>
  <c r="CB24" i="9"/>
  <c r="CC24" i="9"/>
  <c r="CD24" i="9"/>
  <c r="CE24" i="9"/>
  <c r="CF24" i="9"/>
  <c r="CG24" i="9"/>
  <c r="CH24" i="9"/>
  <c r="CI24" i="9"/>
  <c r="CJ24" i="9"/>
  <c r="CK24" i="9"/>
  <c r="C24" i="9"/>
  <c r="D24" i="9"/>
  <c r="E24" i="9"/>
  <c r="F24" i="9"/>
  <c r="G24" i="9"/>
  <c r="H24" i="9"/>
  <c r="I24" i="9"/>
  <c r="J24" i="9"/>
  <c r="K24" i="9"/>
  <c r="L24" i="9"/>
  <c r="M24" i="9"/>
  <c r="N24" i="9"/>
  <c r="O24" i="9"/>
  <c r="P24" i="9"/>
  <c r="Q24" i="9"/>
  <c r="R24" i="9"/>
  <c r="S24" i="9"/>
  <c r="T24" i="9"/>
  <c r="U24" i="9"/>
  <c r="V24" i="9"/>
  <c r="W24" i="9"/>
  <c r="X24" i="9"/>
  <c r="Y24" i="9"/>
  <c r="Z24" i="9"/>
  <c r="AA24" i="9"/>
  <c r="AB24" i="9"/>
  <c r="AC24" i="9"/>
  <c r="AD24" i="9"/>
  <c r="AE24" i="9"/>
  <c r="AF24" i="9"/>
  <c r="AG24" i="9"/>
  <c r="AH24" i="9"/>
  <c r="AI24" i="9"/>
  <c r="AJ24" i="9"/>
  <c r="AK24" i="9"/>
  <c r="AL24" i="9"/>
  <c r="AM24" i="9"/>
  <c r="AN24" i="9"/>
  <c r="AO24" i="9"/>
  <c r="AP24" i="9"/>
  <c r="AQ24" i="9"/>
  <c r="AR24" i="9"/>
  <c r="AS24" i="9"/>
  <c r="ETR23" i="9"/>
  <c r="ETR50" i="9" s="1"/>
  <c r="ETS23" i="9"/>
  <c r="ETT23" i="9"/>
  <c r="ETU23" i="9"/>
  <c r="ETV23" i="9"/>
  <c r="ETW23" i="9"/>
  <c r="ETX23" i="9"/>
  <c r="ETY23" i="9"/>
  <c r="ETZ23" i="9"/>
  <c r="EUA23" i="9"/>
  <c r="EUB23" i="9"/>
  <c r="EUC23" i="9"/>
  <c r="EUD23" i="9"/>
  <c r="EUE23" i="9"/>
  <c r="EUF23" i="9"/>
  <c r="EUG23" i="9"/>
  <c r="EUH23" i="9"/>
  <c r="EUI23" i="9"/>
  <c r="EUJ23" i="9"/>
  <c r="EUK23" i="9"/>
  <c r="EUL23" i="9"/>
  <c r="EUM23" i="9"/>
  <c r="EUN23" i="9"/>
  <c r="EUO23" i="9"/>
  <c r="EUP23" i="9"/>
  <c r="EUQ23" i="9"/>
  <c r="EUR23" i="9"/>
  <c r="EUS23" i="9"/>
  <c r="EUT23" i="9"/>
  <c r="EUU23" i="9"/>
  <c r="EUV23" i="9"/>
  <c r="EUW23" i="9"/>
  <c r="EUX23" i="9"/>
  <c r="EUY23" i="9"/>
  <c r="EUZ23" i="9"/>
  <c r="EVA23" i="9"/>
  <c r="EVB23" i="9"/>
  <c r="EVC23" i="9"/>
  <c r="EVD23" i="9"/>
  <c r="EVE23" i="9"/>
  <c r="EVF23" i="9"/>
  <c r="EVG23" i="9"/>
  <c r="EVH23" i="9"/>
  <c r="EVI23" i="9"/>
  <c r="ERZ23" i="9"/>
  <c r="ERZ50" i="9" s="1"/>
  <c r="ESA23" i="9"/>
  <c r="ESB23" i="9"/>
  <c r="ESC23" i="9"/>
  <c r="ESD23" i="9"/>
  <c r="ESE23" i="9"/>
  <c r="ESF23" i="9"/>
  <c r="ESG23" i="9"/>
  <c r="ESH23" i="9"/>
  <c r="ESI23" i="9"/>
  <c r="ESJ23" i="9"/>
  <c r="ESK23" i="9"/>
  <c r="ESL23" i="9"/>
  <c r="ESM23" i="9"/>
  <c r="ESN23" i="9"/>
  <c r="ESO23" i="9"/>
  <c r="ESP23" i="9"/>
  <c r="ESQ23" i="9"/>
  <c r="ESR23" i="9"/>
  <c r="ESS23" i="9"/>
  <c r="EST23" i="9"/>
  <c r="ESU23" i="9"/>
  <c r="ESV23" i="9"/>
  <c r="ESW23" i="9"/>
  <c r="ESX23" i="9"/>
  <c r="ESY23" i="9"/>
  <c r="ESZ23" i="9"/>
  <c r="ETA23" i="9"/>
  <c r="ETB23" i="9"/>
  <c r="ETC23" i="9"/>
  <c r="ETD23" i="9"/>
  <c r="ETE23" i="9"/>
  <c r="ETF23" i="9"/>
  <c r="ETG23" i="9"/>
  <c r="ETH23" i="9"/>
  <c r="ETI23" i="9"/>
  <c r="ETJ23" i="9"/>
  <c r="ETK23" i="9"/>
  <c r="ETL23" i="9"/>
  <c r="ETM23" i="9"/>
  <c r="ETN23" i="9"/>
  <c r="ETO23" i="9"/>
  <c r="ETP23" i="9"/>
  <c r="ETQ23" i="9"/>
  <c r="EQH23" i="9"/>
  <c r="EQH50" i="9" s="1"/>
  <c r="EQI23" i="9"/>
  <c r="EQJ23" i="9"/>
  <c r="EQK23" i="9"/>
  <c r="EQL23" i="9"/>
  <c r="EQM23" i="9"/>
  <c r="EQN23" i="9"/>
  <c r="EQO23" i="9"/>
  <c r="EQP23" i="9"/>
  <c r="EQQ23" i="9"/>
  <c r="EQR23" i="9"/>
  <c r="EQS23" i="9"/>
  <c r="EQT23" i="9"/>
  <c r="EQU23" i="9"/>
  <c r="EQV23" i="9"/>
  <c r="EQW23" i="9"/>
  <c r="EQX23" i="9"/>
  <c r="EQY23" i="9"/>
  <c r="EQZ23" i="9"/>
  <c r="ERA23" i="9"/>
  <c r="ERB23" i="9"/>
  <c r="ERC23" i="9"/>
  <c r="ERD23" i="9"/>
  <c r="ERE23" i="9"/>
  <c r="ERF23" i="9"/>
  <c r="ERG23" i="9"/>
  <c r="ERH23" i="9"/>
  <c r="ERI23" i="9"/>
  <c r="ERJ23" i="9"/>
  <c r="ERK23" i="9"/>
  <c r="ERL23" i="9"/>
  <c r="ERM23" i="9"/>
  <c r="ERN23" i="9"/>
  <c r="ERO23" i="9"/>
  <c r="ERP23" i="9"/>
  <c r="ERQ23" i="9"/>
  <c r="ERR23" i="9"/>
  <c r="ERS23" i="9"/>
  <c r="ERT23" i="9"/>
  <c r="ERU23" i="9"/>
  <c r="ERV23" i="9"/>
  <c r="ERW23" i="9"/>
  <c r="ERX23" i="9"/>
  <c r="ERY23" i="9"/>
  <c r="EOP23" i="9"/>
  <c r="EOP50" i="9" s="1"/>
  <c r="EOQ23" i="9"/>
  <c r="EOR23" i="9"/>
  <c r="EOS23" i="9"/>
  <c r="EOT23" i="9"/>
  <c r="EOU23" i="9"/>
  <c r="EOV23" i="9"/>
  <c r="EOW23" i="9"/>
  <c r="EOX23" i="9"/>
  <c r="EOY23" i="9"/>
  <c r="EOZ23" i="9"/>
  <c r="EPA23" i="9"/>
  <c r="EPB23" i="9"/>
  <c r="EPC23" i="9"/>
  <c r="EPD23" i="9"/>
  <c r="EPE23" i="9"/>
  <c r="EPF23" i="9"/>
  <c r="EPG23" i="9"/>
  <c r="EPH23" i="9"/>
  <c r="EPI23" i="9"/>
  <c r="EPJ23" i="9"/>
  <c r="EPK23" i="9"/>
  <c r="EPL23" i="9"/>
  <c r="EPM23" i="9"/>
  <c r="EPN23" i="9"/>
  <c r="EPO23" i="9"/>
  <c r="EPP23" i="9"/>
  <c r="EPQ23" i="9"/>
  <c r="EPR23" i="9"/>
  <c r="EPS23" i="9"/>
  <c r="EPT23" i="9"/>
  <c r="EPU23" i="9"/>
  <c r="EPV23" i="9"/>
  <c r="EPW23" i="9"/>
  <c r="EPX23" i="9"/>
  <c r="EPY23" i="9"/>
  <c r="EPZ23" i="9"/>
  <c r="EQA23" i="9"/>
  <c r="EQB23" i="9"/>
  <c r="EQC23" i="9"/>
  <c r="EQD23" i="9"/>
  <c r="EQE23" i="9"/>
  <c r="EQF23" i="9"/>
  <c r="EQG23" i="9"/>
  <c r="EVI47" i="9"/>
  <c r="EVI46" i="9"/>
  <c r="EVI45" i="9"/>
  <c r="EVI44" i="9"/>
  <c r="EVI43" i="9"/>
  <c r="EVI42" i="9"/>
  <c r="EVI41" i="9"/>
  <c r="EVI40" i="9"/>
  <c r="EVI39" i="9"/>
  <c r="EVI38" i="9"/>
  <c r="EVI37" i="9"/>
  <c r="EVI36" i="9"/>
  <c r="EVI35" i="9"/>
  <c r="EVI34" i="9"/>
  <c r="EVI33" i="9"/>
  <c r="EVI32" i="9"/>
  <c r="EVI31" i="9"/>
  <c r="EVI30" i="9"/>
  <c r="EVI29" i="9"/>
  <c r="EVI28" i="9"/>
  <c r="EVI27" i="9"/>
  <c r="EVI26" i="9"/>
  <c r="EVI25" i="9"/>
  <c r="EVI24" i="9"/>
  <c r="EVI22" i="9"/>
  <c r="EVI21" i="9"/>
  <c r="EVI20" i="9"/>
  <c r="EVI19" i="9"/>
  <c r="EVI18" i="9"/>
  <c r="EVI17" i="9"/>
  <c r="EVI16" i="9"/>
  <c r="EVI15" i="9"/>
  <c r="EVI14" i="9"/>
  <c r="EVI13" i="9"/>
  <c r="EVI12" i="9"/>
  <c r="EVI11" i="9"/>
  <c r="EVI10" i="9"/>
  <c r="EVI9" i="9"/>
  <c r="EVI8" i="9"/>
  <c r="EVI7" i="9"/>
  <c r="EVI6" i="9"/>
  <c r="EVI5" i="9"/>
  <c r="EVI4" i="9"/>
  <c r="EVI3" i="9"/>
  <c r="ERY47" i="9"/>
  <c r="ERY46" i="9"/>
  <c r="ERY45" i="9"/>
  <c r="ERY44" i="9"/>
  <c r="ERY43" i="9"/>
  <c r="ERY42" i="9"/>
  <c r="ERY41" i="9"/>
  <c r="ERY40" i="9"/>
  <c r="ERY39" i="9"/>
  <c r="ERY38" i="9"/>
  <c r="ERY37" i="9"/>
  <c r="ERY36" i="9"/>
  <c r="ERY35" i="9"/>
  <c r="ERY34" i="9"/>
  <c r="ERY33" i="9"/>
  <c r="ERY32" i="9"/>
  <c r="ERY31" i="9"/>
  <c r="ERY30" i="9"/>
  <c r="ERY29" i="9"/>
  <c r="ERY28" i="9"/>
  <c r="ERY27" i="9"/>
  <c r="ERY26" i="9"/>
  <c r="ERY25" i="9"/>
  <c r="ERY24" i="9"/>
  <c r="ERY22" i="9"/>
  <c r="ERY21" i="9"/>
  <c r="ERY20" i="9"/>
  <c r="ERY19" i="9"/>
  <c r="ERY18" i="9"/>
  <c r="ERY17" i="9"/>
  <c r="ERY16" i="9"/>
  <c r="ERY15" i="9"/>
  <c r="ERY14" i="9"/>
  <c r="ERY13" i="9"/>
  <c r="ERY12" i="9"/>
  <c r="ERY11" i="9"/>
  <c r="ERY10" i="9"/>
  <c r="ERY9" i="9"/>
  <c r="ERY8" i="9"/>
  <c r="ERY7" i="9"/>
  <c r="ERY6" i="9"/>
  <c r="ERY5" i="9"/>
  <c r="ERY4" i="9"/>
  <c r="ERY3" i="9"/>
  <c r="EMY23" i="9"/>
  <c r="EMZ23" i="9"/>
  <c r="ENA23" i="9"/>
  <c r="ENB23" i="9"/>
  <c r="ENC23" i="9"/>
  <c r="END23" i="9"/>
  <c r="ENE23" i="9"/>
  <c r="ENF23" i="9"/>
  <c r="ENG23" i="9"/>
  <c r="ENH23" i="9"/>
  <c r="ENI23" i="9"/>
  <c r="ENJ23" i="9"/>
  <c r="ENK23" i="9"/>
  <c r="ENL23" i="9"/>
  <c r="ENM23" i="9"/>
  <c r="ENN23" i="9"/>
  <c r="ENO23" i="9"/>
  <c r="ENP23" i="9"/>
  <c r="ENQ23" i="9"/>
  <c r="ENR23" i="9"/>
  <c r="ENS23" i="9"/>
  <c r="ENT23" i="9"/>
  <c r="ENU23" i="9"/>
  <c r="ENV23" i="9"/>
  <c r="ENW23" i="9"/>
  <c r="ENX23" i="9"/>
  <c r="ENY23" i="9"/>
  <c r="ENZ23" i="9"/>
  <c r="EOA23" i="9"/>
  <c r="EOB23" i="9"/>
  <c r="EOC23" i="9"/>
  <c r="EOD23" i="9"/>
  <c r="EOE23" i="9"/>
  <c r="EOF23" i="9"/>
  <c r="EOG23" i="9"/>
  <c r="EOH23" i="9"/>
  <c r="EOI23" i="9"/>
  <c r="EOJ23" i="9"/>
  <c r="EOK23" i="9"/>
  <c r="EOL23" i="9"/>
  <c r="EOM23" i="9"/>
  <c r="EON23" i="9"/>
  <c r="EOO23" i="9"/>
  <c r="ELG23" i="9"/>
  <c r="ELH23" i="9"/>
  <c r="ELI23" i="9"/>
  <c r="ELJ23" i="9"/>
  <c r="ELK23" i="9"/>
  <c r="ELL23" i="9"/>
  <c r="ELM23" i="9"/>
  <c r="ELN23" i="9"/>
  <c r="ELO23" i="9"/>
  <c r="ELP23" i="9"/>
  <c r="ELQ23" i="9"/>
  <c r="ELR23" i="9"/>
  <c r="ELS23" i="9"/>
  <c r="ELT23" i="9"/>
  <c r="ELU23" i="9"/>
  <c r="ELV23" i="9"/>
  <c r="ELW23" i="9"/>
  <c r="ELX23" i="9"/>
  <c r="ELY23" i="9"/>
  <c r="ELZ23" i="9"/>
  <c r="EMA23" i="9"/>
  <c r="EMB23" i="9"/>
  <c r="EMC23" i="9"/>
  <c r="EMD23" i="9"/>
  <c r="EME23" i="9"/>
  <c r="EMF23" i="9"/>
  <c r="EMG23" i="9"/>
  <c r="EMH23" i="9"/>
  <c r="EMI23" i="9"/>
  <c r="EMJ23" i="9"/>
  <c r="EMK23" i="9"/>
  <c r="EML23" i="9"/>
  <c r="EMM23" i="9"/>
  <c r="EMN23" i="9"/>
  <c r="EMO23" i="9"/>
  <c r="EMP23" i="9"/>
  <c r="EMQ23" i="9"/>
  <c r="EMR23" i="9"/>
  <c r="EMS23" i="9"/>
  <c r="EMT23" i="9"/>
  <c r="EMU23" i="9"/>
  <c r="EMV23" i="9"/>
  <c r="EMW23" i="9"/>
  <c r="EJO23" i="9"/>
  <c r="EJP23" i="9"/>
  <c r="EJQ23" i="9"/>
  <c r="EJR23" i="9"/>
  <c r="EJS23" i="9"/>
  <c r="EJT23" i="9"/>
  <c r="EJU23" i="9"/>
  <c r="EJV23" i="9"/>
  <c r="EJW23" i="9"/>
  <c r="EJX23" i="9"/>
  <c r="EJY23" i="9"/>
  <c r="EJZ23" i="9"/>
  <c r="EKA23" i="9"/>
  <c r="EKB23" i="9"/>
  <c r="EKC23" i="9"/>
  <c r="EKD23" i="9"/>
  <c r="EKE23" i="9"/>
  <c r="EKF23" i="9"/>
  <c r="EKG23" i="9"/>
  <c r="EKH23" i="9"/>
  <c r="EKI23" i="9"/>
  <c r="EKJ23" i="9"/>
  <c r="EKK23" i="9"/>
  <c r="EKL23" i="9"/>
  <c r="EKM23" i="9"/>
  <c r="EKN23" i="9"/>
  <c r="EKO23" i="9"/>
  <c r="EKP23" i="9"/>
  <c r="EKQ23" i="9"/>
  <c r="EKR23" i="9"/>
  <c r="EKS23" i="9"/>
  <c r="EKT23" i="9"/>
  <c r="EKU23" i="9"/>
  <c r="EKV23" i="9"/>
  <c r="EKW23" i="9"/>
  <c r="EKX23" i="9"/>
  <c r="EKY23" i="9"/>
  <c r="EKZ23" i="9"/>
  <c r="ELA23" i="9"/>
  <c r="ELB23" i="9"/>
  <c r="ELC23" i="9"/>
  <c r="ELD23" i="9"/>
  <c r="ELE23" i="9"/>
  <c r="EHW23" i="9"/>
  <c r="EHX23" i="9"/>
  <c r="EHY23" i="9"/>
  <c r="EHZ23" i="9"/>
  <c r="EIA23" i="9"/>
  <c r="EIB23" i="9"/>
  <c r="EIC23" i="9"/>
  <c r="EID23" i="9"/>
  <c r="EIE23" i="9"/>
  <c r="EIF23" i="9"/>
  <c r="EIG23" i="9"/>
  <c r="EIH23" i="9"/>
  <c r="EII23" i="9"/>
  <c r="EIJ23" i="9"/>
  <c r="EIK23" i="9"/>
  <c r="EIL23" i="9"/>
  <c r="EIM23" i="9"/>
  <c r="EIN23" i="9"/>
  <c r="EIO23" i="9"/>
  <c r="EIP23" i="9"/>
  <c r="EIQ23" i="9"/>
  <c r="EIR23" i="9"/>
  <c r="EIS23" i="9"/>
  <c r="EIT23" i="9"/>
  <c r="EIU23" i="9"/>
  <c r="EIV23" i="9"/>
  <c r="EIW23" i="9"/>
  <c r="EIX23" i="9"/>
  <c r="EIY23" i="9"/>
  <c r="EIZ23" i="9"/>
  <c r="EJA23" i="9"/>
  <c r="EJB23" i="9"/>
  <c r="EJC23" i="9"/>
  <c r="EJD23" i="9"/>
  <c r="EJE23" i="9"/>
  <c r="EJF23" i="9"/>
  <c r="EJG23" i="9"/>
  <c r="EJH23" i="9"/>
  <c r="EJI23" i="9"/>
  <c r="EJJ23" i="9"/>
  <c r="EJK23" i="9"/>
  <c r="EJL23" i="9"/>
  <c r="EJM23" i="9"/>
  <c r="EGE23" i="9"/>
  <c r="EGF23" i="9"/>
  <c r="EGG23" i="9"/>
  <c r="EGH23" i="9"/>
  <c r="EGI23" i="9"/>
  <c r="EGJ23" i="9"/>
  <c r="EGK23" i="9"/>
  <c r="EGL23" i="9"/>
  <c r="EGM23" i="9"/>
  <c r="EGN23" i="9"/>
  <c r="EGO23" i="9"/>
  <c r="EGP23" i="9"/>
  <c r="EGQ23" i="9"/>
  <c r="EGR23" i="9"/>
  <c r="EGS23" i="9"/>
  <c r="EGT23" i="9"/>
  <c r="EGU23" i="9"/>
  <c r="EGV23" i="9"/>
  <c r="EGW23" i="9"/>
  <c r="EGX23" i="9"/>
  <c r="EGY23" i="9"/>
  <c r="EGZ23" i="9"/>
  <c r="EHA23" i="9"/>
  <c r="EHB23" i="9"/>
  <c r="EHC23" i="9"/>
  <c r="EHD23" i="9"/>
  <c r="EHE23" i="9"/>
  <c r="EHF23" i="9"/>
  <c r="EHG23" i="9"/>
  <c r="EHH23" i="9"/>
  <c r="EHI23" i="9"/>
  <c r="EHJ23" i="9"/>
  <c r="EHK23" i="9"/>
  <c r="EHL23" i="9"/>
  <c r="EHM23" i="9"/>
  <c r="EHN23" i="9"/>
  <c r="EHO23" i="9"/>
  <c r="EHP23" i="9"/>
  <c r="EHQ23" i="9"/>
  <c r="EHR23" i="9"/>
  <c r="EHS23" i="9"/>
  <c r="EHT23" i="9"/>
  <c r="EHU23" i="9"/>
  <c r="EEM23" i="9"/>
  <c r="EEN23" i="9"/>
  <c r="EEO23" i="9"/>
  <c r="EEP23" i="9"/>
  <c r="EEQ23" i="9"/>
  <c r="EER23" i="9"/>
  <c r="EES23" i="9"/>
  <c r="EET23" i="9"/>
  <c r="EEU23" i="9"/>
  <c r="EEV23" i="9"/>
  <c r="EEW23" i="9"/>
  <c r="EEX23" i="9"/>
  <c r="EEY23" i="9"/>
  <c r="EEZ23" i="9"/>
  <c r="EFA23" i="9"/>
  <c r="EFB23" i="9"/>
  <c r="EFC23" i="9"/>
  <c r="EFD23" i="9"/>
  <c r="EFE23" i="9"/>
  <c r="EFF23" i="9"/>
  <c r="EFG23" i="9"/>
  <c r="EFH23" i="9"/>
  <c r="EFI23" i="9"/>
  <c r="EFJ23" i="9"/>
  <c r="EFK23" i="9"/>
  <c r="EFL23" i="9"/>
  <c r="EFM23" i="9"/>
  <c r="EFN23" i="9"/>
  <c r="EFO23" i="9"/>
  <c r="EFP23" i="9"/>
  <c r="EFQ23" i="9"/>
  <c r="EFR23" i="9"/>
  <c r="EFS23" i="9"/>
  <c r="EFT23" i="9"/>
  <c r="EFU23" i="9"/>
  <c r="EFV23" i="9"/>
  <c r="EFW23" i="9"/>
  <c r="EFX23" i="9"/>
  <c r="EFY23" i="9"/>
  <c r="EFZ23" i="9"/>
  <c r="EGA23" i="9"/>
  <c r="EGB23" i="9"/>
  <c r="EGC23" i="9"/>
  <c r="ECU23" i="9"/>
  <c r="ECV23" i="9"/>
  <c r="ECW23" i="9"/>
  <c r="ECX23" i="9"/>
  <c r="ECY23" i="9"/>
  <c r="ECZ23" i="9"/>
  <c r="EDA23" i="9"/>
  <c r="EDB23" i="9"/>
  <c r="EDC23" i="9"/>
  <c r="EDD23" i="9"/>
  <c r="EDE23" i="9"/>
  <c r="EDF23" i="9"/>
  <c r="EDG23" i="9"/>
  <c r="EDH23" i="9"/>
  <c r="EDI23" i="9"/>
  <c r="EDJ23" i="9"/>
  <c r="EDK23" i="9"/>
  <c r="EDL23" i="9"/>
  <c r="EDM23" i="9"/>
  <c r="EDN23" i="9"/>
  <c r="EDO23" i="9"/>
  <c r="EDP23" i="9"/>
  <c r="EDQ23" i="9"/>
  <c r="EDR23" i="9"/>
  <c r="EDS23" i="9"/>
  <c r="EDT23" i="9"/>
  <c r="EDU23" i="9"/>
  <c r="EDV23" i="9"/>
  <c r="EDW23" i="9"/>
  <c r="EDX23" i="9"/>
  <c r="EDY23" i="9"/>
  <c r="EDZ23" i="9"/>
  <c r="EEA23" i="9"/>
  <c r="EEB23" i="9"/>
  <c r="EEC23" i="9"/>
  <c r="EED23" i="9"/>
  <c r="EEE23" i="9"/>
  <c r="EEF23" i="9"/>
  <c r="EEG23" i="9"/>
  <c r="EEH23" i="9"/>
  <c r="EEI23" i="9"/>
  <c r="EEJ23" i="9"/>
  <c r="EEK23" i="9"/>
  <c r="EBC23" i="9"/>
  <c r="EBD23" i="9"/>
  <c r="EBE23" i="9"/>
  <c r="EBF23" i="9"/>
  <c r="EBG23" i="9"/>
  <c r="EBH23" i="9"/>
  <c r="EBI23" i="9"/>
  <c r="EBJ23" i="9"/>
  <c r="EBK23" i="9"/>
  <c r="EBL23" i="9"/>
  <c r="EBM23" i="9"/>
  <c r="EBN23" i="9"/>
  <c r="EBO23" i="9"/>
  <c r="EBP23" i="9"/>
  <c r="EBQ23" i="9"/>
  <c r="EBR23" i="9"/>
  <c r="EBS23" i="9"/>
  <c r="EBT23" i="9"/>
  <c r="EBU23" i="9"/>
  <c r="EBV23" i="9"/>
  <c r="EBW23" i="9"/>
  <c r="EBX23" i="9"/>
  <c r="EBY23" i="9"/>
  <c r="EBZ23" i="9"/>
  <c r="ECA23" i="9"/>
  <c r="ECB23" i="9"/>
  <c r="ECC23" i="9"/>
  <c r="ECD23" i="9"/>
  <c r="ECE23" i="9"/>
  <c r="ECF23" i="9"/>
  <c r="ECG23" i="9"/>
  <c r="ECH23" i="9"/>
  <c r="ECI23" i="9"/>
  <c r="ECJ23" i="9"/>
  <c r="ECK23" i="9"/>
  <c r="ECL23" i="9"/>
  <c r="ECM23" i="9"/>
  <c r="ECN23" i="9"/>
  <c r="ECO23" i="9"/>
  <c r="ECP23" i="9"/>
  <c r="ECQ23" i="9"/>
  <c r="ECR23" i="9"/>
  <c r="ECS23" i="9"/>
  <c r="DZK23" i="9"/>
  <c r="DZL23" i="9"/>
  <c r="DZM23" i="9"/>
  <c r="DZN23" i="9"/>
  <c r="DZO23" i="9"/>
  <c r="DZP23" i="9"/>
  <c r="DZQ23" i="9"/>
  <c r="DZR23" i="9"/>
  <c r="DZS23" i="9"/>
  <c r="DZT23" i="9"/>
  <c r="DZU23" i="9"/>
  <c r="DZV23" i="9"/>
  <c r="DZW23" i="9"/>
  <c r="DZX23" i="9"/>
  <c r="DZY23" i="9"/>
  <c r="DZZ23" i="9"/>
  <c r="EAA23" i="9"/>
  <c r="EAB23" i="9"/>
  <c r="EAC23" i="9"/>
  <c r="EAD23" i="9"/>
  <c r="EAE23" i="9"/>
  <c r="EAF23" i="9"/>
  <c r="EAG23" i="9"/>
  <c r="EAH23" i="9"/>
  <c r="EAI23" i="9"/>
  <c r="EAJ23" i="9"/>
  <c r="EAK23" i="9"/>
  <c r="EAL23" i="9"/>
  <c r="EAM23" i="9"/>
  <c r="EAN23" i="9"/>
  <c r="EAO23" i="9"/>
  <c r="EAP23" i="9"/>
  <c r="EAQ23" i="9"/>
  <c r="EAR23" i="9"/>
  <c r="EAS23" i="9"/>
  <c r="EAT23" i="9"/>
  <c r="EAU23" i="9"/>
  <c r="EAV23" i="9"/>
  <c r="EAW23" i="9"/>
  <c r="EAX23" i="9"/>
  <c r="EAY23" i="9"/>
  <c r="EAZ23" i="9"/>
  <c r="EBA23" i="9"/>
  <c r="DXS23" i="9"/>
  <c r="DXT23" i="9"/>
  <c r="DXU23" i="9"/>
  <c r="DXV23" i="9"/>
  <c r="DXW23" i="9"/>
  <c r="DXX23" i="9"/>
  <c r="DXY23" i="9"/>
  <c r="DXZ23" i="9"/>
  <c r="DYA23" i="9"/>
  <c r="DYB23" i="9"/>
  <c r="DYC23" i="9"/>
  <c r="DYD23" i="9"/>
  <c r="DYE23" i="9"/>
  <c r="DYF23" i="9"/>
  <c r="DYG23" i="9"/>
  <c r="DYH23" i="9"/>
  <c r="DYI23" i="9"/>
  <c r="DYJ23" i="9"/>
  <c r="DYK23" i="9"/>
  <c r="DYL23" i="9"/>
  <c r="DYM23" i="9"/>
  <c r="DYN23" i="9"/>
  <c r="DYO23" i="9"/>
  <c r="DYP23" i="9"/>
  <c r="DYQ23" i="9"/>
  <c r="DYR23" i="9"/>
  <c r="DYS23" i="9"/>
  <c r="DYT23" i="9"/>
  <c r="DYU23" i="9"/>
  <c r="DYV23" i="9"/>
  <c r="DYW23" i="9"/>
  <c r="DYX23" i="9"/>
  <c r="DYY23" i="9"/>
  <c r="DYZ23" i="9"/>
  <c r="DZA23" i="9"/>
  <c r="DZB23" i="9"/>
  <c r="DZC23" i="9"/>
  <c r="DZD23" i="9"/>
  <c r="DZE23" i="9"/>
  <c r="DZF23" i="9"/>
  <c r="DZG23" i="9"/>
  <c r="DZH23" i="9"/>
  <c r="DZI23" i="9"/>
  <c r="DWA23" i="9"/>
  <c r="DWB23" i="9"/>
  <c r="DWC23" i="9"/>
  <c r="DWD23" i="9"/>
  <c r="DWE23" i="9"/>
  <c r="DWF23" i="9"/>
  <c r="DWG23" i="9"/>
  <c r="DWH23" i="9"/>
  <c r="DWI23" i="9"/>
  <c r="DWJ23" i="9"/>
  <c r="DWK23" i="9"/>
  <c r="DWL23" i="9"/>
  <c r="DWM23" i="9"/>
  <c r="DWN23" i="9"/>
  <c r="DWO23" i="9"/>
  <c r="DWP23" i="9"/>
  <c r="DWQ23" i="9"/>
  <c r="DWR23" i="9"/>
  <c r="DWS23" i="9"/>
  <c r="DWT23" i="9"/>
  <c r="DWU23" i="9"/>
  <c r="DWV23" i="9"/>
  <c r="DWW23" i="9"/>
  <c r="DWX23" i="9"/>
  <c r="DWY23" i="9"/>
  <c r="DWZ23" i="9"/>
  <c r="DXA23" i="9"/>
  <c r="DXB23" i="9"/>
  <c r="DXC23" i="9"/>
  <c r="DXD23" i="9"/>
  <c r="DXE23" i="9"/>
  <c r="DXF23" i="9"/>
  <c r="DXG23" i="9"/>
  <c r="DXH23" i="9"/>
  <c r="DXI23" i="9"/>
  <c r="DXJ23" i="9"/>
  <c r="DXK23" i="9"/>
  <c r="DXL23" i="9"/>
  <c r="DXM23" i="9"/>
  <c r="DXN23" i="9"/>
  <c r="DXO23" i="9"/>
  <c r="DXP23" i="9"/>
  <c r="DXQ23" i="9"/>
  <c r="DUI23" i="9"/>
  <c r="DUJ23" i="9"/>
  <c r="DUK23" i="9"/>
  <c r="DUL23" i="9"/>
  <c r="DUM23" i="9"/>
  <c r="DUN23" i="9"/>
  <c r="DUO23" i="9"/>
  <c r="DUP23" i="9"/>
  <c r="DUQ23" i="9"/>
  <c r="DUR23" i="9"/>
  <c r="DUS23" i="9"/>
  <c r="DUT23" i="9"/>
  <c r="DUU23" i="9"/>
  <c r="DUV23" i="9"/>
  <c r="DUW23" i="9"/>
  <c r="DUX23" i="9"/>
  <c r="DUY23" i="9"/>
  <c r="DUZ23" i="9"/>
  <c r="DVA23" i="9"/>
  <c r="DVB23" i="9"/>
  <c r="DVC23" i="9"/>
  <c r="DVD23" i="9"/>
  <c r="DVE23" i="9"/>
  <c r="DVF23" i="9"/>
  <c r="DVG23" i="9"/>
  <c r="DVH23" i="9"/>
  <c r="DVI23" i="9"/>
  <c r="DVJ23" i="9"/>
  <c r="DVK23" i="9"/>
  <c r="DVL23" i="9"/>
  <c r="DVM23" i="9"/>
  <c r="DVN23" i="9"/>
  <c r="DVO23" i="9"/>
  <c r="DVP23" i="9"/>
  <c r="DVQ23" i="9"/>
  <c r="DVR23" i="9"/>
  <c r="DVS23" i="9"/>
  <c r="DVT23" i="9"/>
  <c r="DVU23" i="9"/>
  <c r="DVV23" i="9"/>
  <c r="DVW23" i="9"/>
  <c r="DVX23" i="9"/>
  <c r="DVY23" i="9"/>
  <c r="DSQ23" i="9"/>
  <c r="DSR23" i="9"/>
  <c r="DSS23" i="9"/>
  <c r="DST23" i="9"/>
  <c r="DSU23" i="9"/>
  <c r="DSV23" i="9"/>
  <c r="DSW23" i="9"/>
  <c r="DSX23" i="9"/>
  <c r="DSY23" i="9"/>
  <c r="DSZ23" i="9"/>
  <c r="DTA23" i="9"/>
  <c r="DTB23" i="9"/>
  <c r="DTC23" i="9"/>
  <c r="DTD23" i="9"/>
  <c r="DTE23" i="9"/>
  <c r="DTF23" i="9"/>
  <c r="DTG23" i="9"/>
  <c r="DTH23" i="9"/>
  <c r="DTI23" i="9"/>
  <c r="DTJ23" i="9"/>
  <c r="DTK23" i="9"/>
  <c r="DTL23" i="9"/>
  <c r="DTM23" i="9"/>
  <c r="DTN23" i="9"/>
  <c r="DTO23" i="9"/>
  <c r="DTP23" i="9"/>
  <c r="DTQ23" i="9"/>
  <c r="DTR23" i="9"/>
  <c r="DTS23" i="9"/>
  <c r="DTT23" i="9"/>
  <c r="DTU23" i="9"/>
  <c r="DTV23" i="9"/>
  <c r="DTW23" i="9"/>
  <c r="DTX23" i="9"/>
  <c r="DTY23" i="9"/>
  <c r="DTZ23" i="9"/>
  <c r="DUA23" i="9"/>
  <c r="DUB23" i="9"/>
  <c r="DUC23" i="9"/>
  <c r="DUD23" i="9"/>
  <c r="DUE23" i="9"/>
  <c r="DUF23" i="9"/>
  <c r="DUG23" i="9"/>
  <c r="DQY23" i="9"/>
  <c r="DQZ23" i="9"/>
  <c r="DRA23" i="9"/>
  <c r="DRB23" i="9"/>
  <c r="DRC23" i="9"/>
  <c r="DRD23" i="9"/>
  <c r="DRE23" i="9"/>
  <c r="DRF23" i="9"/>
  <c r="DRG23" i="9"/>
  <c r="DRH23" i="9"/>
  <c r="DRI23" i="9"/>
  <c r="DRJ23" i="9"/>
  <c r="DRK23" i="9"/>
  <c r="DRL23" i="9"/>
  <c r="DRM23" i="9"/>
  <c r="DRN23" i="9"/>
  <c r="DRO23" i="9"/>
  <c r="DRP23" i="9"/>
  <c r="DRQ23" i="9"/>
  <c r="DRR23" i="9"/>
  <c r="DRS23" i="9"/>
  <c r="DRT23" i="9"/>
  <c r="DRU23" i="9"/>
  <c r="DRV23" i="9"/>
  <c r="DRW23" i="9"/>
  <c r="DRX23" i="9"/>
  <c r="DRY23" i="9"/>
  <c r="DRZ23" i="9"/>
  <c r="DSA23" i="9"/>
  <c r="DSB23" i="9"/>
  <c r="DSC23" i="9"/>
  <c r="DSD23" i="9"/>
  <c r="DSE23" i="9"/>
  <c r="DSF23" i="9"/>
  <c r="DSG23" i="9"/>
  <c r="DSH23" i="9"/>
  <c r="DSI23" i="9"/>
  <c r="DSJ23" i="9"/>
  <c r="DSK23" i="9"/>
  <c r="DSL23" i="9"/>
  <c r="DSM23" i="9"/>
  <c r="DSN23" i="9"/>
  <c r="DSO23" i="9"/>
  <c r="DPG23" i="9"/>
  <c r="DPH23" i="9"/>
  <c r="DPI23" i="9"/>
  <c r="DPJ23" i="9"/>
  <c r="DPK23" i="9"/>
  <c r="DPL23" i="9"/>
  <c r="DPM23" i="9"/>
  <c r="DPN23" i="9"/>
  <c r="DPO23" i="9"/>
  <c r="DPP23" i="9"/>
  <c r="DPQ23" i="9"/>
  <c r="DPR23" i="9"/>
  <c r="DPS23" i="9"/>
  <c r="DPT23" i="9"/>
  <c r="DPU23" i="9"/>
  <c r="DPV23" i="9"/>
  <c r="DPW23" i="9"/>
  <c r="DPX23" i="9"/>
  <c r="DPY23" i="9"/>
  <c r="DPZ23" i="9"/>
  <c r="DQA23" i="9"/>
  <c r="DQB23" i="9"/>
  <c r="DQC23" i="9"/>
  <c r="DQD23" i="9"/>
  <c r="DQE23" i="9"/>
  <c r="DQF23" i="9"/>
  <c r="DQG23" i="9"/>
  <c r="DQH23" i="9"/>
  <c r="DQI23" i="9"/>
  <c r="DQJ23" i="9"/>
  <c r="DQK23" i="9"/>
  <c r="DQL23" i="9"/>
  <c r="DQM23" i="9"/>
  <c r="DQN23" i="9"/>
  <c r="DQO23" i="9"/>
  <c r="DQP23" i="9"/>
  <c r="DQQ23" i="9"/>
  <c r="DQR23" i="9"/>
  <c r="DQS23" i="9"/>
  <c r="DQT23" i="9"/>
  <c r="DQU23" i="9"/>
  <c r="DQV23" i="9"/>
  <c r="DQW23" i="9"/>
  <c r="DNO23" i="9"/>
  <c r="DNP23" i="9"/>
  <c r="DNQ23" i="9"/>
  <c r="DNR23" i="9"/>
  <c r="DNS23" i="9"/>
  <c r="DNT23" i="9"/>
  <c r="DNU23" i="9"/>
  <c r="DNV23" i="9"/>
  <c r="DNW23" i="9"/>
  <c r="DNX23" i="9"/>
  <c r="DNY23" i="9"/>
  <c r="DNZ23" i="9"/>
  <c r="DOA23" i="9"/>
  <c r="DOB23" i="9"/>
  <c r="DOC23" i="9"/>
  <c r="DOD23" i="9"/>
  <c r="DOE23" i="9"/>
  <c r="DOF23" i="9"/>
  <c r="DOG23" i="9"/>
  <c r="DOH23" i="9"/>
  <c r="DOI23" i="9"/>
  <c r="DOJ23" i="9"/>
  <c r="DOK23" i="9"/>
  <c r="DOL23" i="9"/>
  <c r="DOM23" i="9"/>
  <c r="DON23" i="9"/>
  <c r="DOO23" i="9"/>
  <c r="DOP23" i="9"/>
  <c r="DOQ23" i="9"/>
  <c r="DOR23" i="9"/>
  <c r="DOS23" i="9"/>
  <c r="DOT23" i="9"/>
  <c r="DOU23" i="9"/>
  <c r="DOV23" i="9"/>
  <c r="DOW23" i="9"/>
  <c r="DOX23" i="9"/>
  <c r="DOY23" i="9"/>
  <c r="DOZ23" i="9"/>
  <c r="DPA23" i="9"/>
  <c r="DPB23" i="9"/>
  <c r="DPC23" i="9"/>
  <c r="DPD23" i="9"/>
  <c r="DPE23" i="9"/>
  <c r="DLW23" i="9"/>
  <c r="DLX23" i="9"/>
  <c r="DLY23" i="9"/>
  <c r="DLZ23" i="9"/>
  <c r="DMA23" i="9"/>
  <c r="DMB23" i="9"/>
  <c r="DMC23" i="9"/>
  <c r="DMD23" i="9"/>
  <c r="DME23" i="9"/>
  <c r="DMF23" i="9"/>
  <c r="DMG23" i="9"/>
  <c r="DMH23" i="9"/>
  <c r="DMI23" i="9"/>
  <c r="DMJ23" i="9"/>
  <c r="DMK23" i="9"/>
  <c r="DML23" i="9"/>
  <c r="DMM23" i="9"/>
  <c r="DMN23" i="9"/>
  <c r="DMO23" i="9"/>
  <c r="DMP23" i="9"/>
  <c r="DMQ23" i="9"/>
  <c r="DMR23" i="9"/>
  <c r="DMS23" i="9"/>
  <c r="DMT23" i="9"/>
  <c r="DMU23" i="9"/>
  <c r="DMV23" i="9"/>
  <c r="DMW23" i="9"/>
  <c r="DMX23" i="9"/>
  <c r="DMY23" i="9"/>
  <c r="DMZ23" i="9"/>
  <c r="DNA23" i="9"/>
  <c r="DNB23" i="9"/>
  <c r="DNC23" i="9"/>
  <c r="DND23" i="9"/>
  <c r="DNE23" i="9"/>
  <c r="DNF23" i="9"/>
  <c r="DNG23" i="9"/>
  <c r="DNH23" i="9"/>
  <c r="DNI23" i="9"/>
  <c r="DNJ23" i="9"/>
  <c r="DNK23" i="9"/>
  <c r="DNL23" i="9"/>
  <c r="DNM23" i="9"/>
  <c r="DKE23" i="9"/>
  <c r="DKF23" i="9"/>
  <c r="DKG23" i="9"/>
  <c r="DKH23" i="9"/>
  <c r="DKI23" i="9"/>
  <c r="DKJ23" i="9"/>
  <c r="DKK23" i="9"/>
  <c r="DKL23" i="9"/>
  <c r="DKM23" i="9"/>
  <c r="DKN23" i="9"/>
  <c r="DKO23" i="9"/>
  <c r="DKP23" i="9"/>
  <c r="DKQ23" i="9"/>
  <c r="DKR23" i="9"/>
  <c r="DKS23" i="9"/>
  <c r="DKT23" i="9"/>
  <c r="DKU23" i="9"/>
  <c r="DKV23" i="9"/>
  <c r="DKW23" i="9"/>
  <c r="DKX23" i="9"/>
  <c r="DKY23" i="9"/>
  <c r="DKZ23" i="9"/>
  <c r="DLA23" i="9"/>
  <c r="DLB23" i="9"/>
  <c r="DLC23" i="9"/>
  <c r="DLD23" i="9"/>
  <c r="DLE23" i="9"/>
  <c r="DLF23" i="9"/>
  <c r="DLG23" i="9"/>
  <c r="DLH23" i="9"/>
  <c r="DLI23" i="9"/>
  <c r="DLJ23" i="9"/>
  <c r="DLK23" i="9"/>
  <c r="DLL23" i="9"/>
  <c r="DLM23" i="9"/>
  <c r="DLN23" i="9"/>
  <c r="DLO23" i="9"/>
  <c r="DLP23" i="9"/>
  <c r="DLQ23" i="9"/>
  <c r="DLR23" i="9"/>
  <c r="DLS23" i="9"/>
  <c r="DLT23" i="9"/>
  <c r="DLU23" i="9"/>
  <c r="DIM23" i="9"/>
  <c r="DIN23" i="9"/>
  <c r="DIO23" i="9"/>
  <c r="DIP23" i="9"/>
  <c r="DIQ23" i="9"/>
  <c r="DIR23" i="9"/>
  <c r="DIS23" i="9"/>
  <c r="DIT23" i="9"/>
  <c r="DIU23" i="9"/>
  <c r="DIV23" i="9"/>
  <c r="DIW23" i="9"/>
  <c r="DIX23" i="9"/>
  <c r="DIY23" i="9"/>
  <c r="DIZ23" i="9"/>
  <c r="DJA23" i="9"/>
  <c r="DJB23" i="9"/>
  <c r="DJC23" i="9"/>
  <c r="DJD23" i="9"/>
  <c r="DJE23" i="9"/>
  <c r="DJF23" i="9"/>
  <c r="DJG23" i="9"/>
  <c r="DJH23" i="9"/>
  <c r="DJI23" i="9"/>
  <c r="DJJ23" i="9"/>
  <c r="DJK23" i="9"/>
  <c r="DJL23" i="9"/>
  <c r="DJM23" i="9"/>
  <c r="DJN23" i="9"/>
  <c r="DJO23" i="9"/>
  <c r="DJP23" i="9"/>
  <c r="DJQ23" i="9"/>
  <c r="DJR23" i="9"/>
  <c r="DJS23" i="9"/>
  <c r="DJT23" i="9"/>
  <c r="DJU23" i="9"/>
  <c r="DJV23" i="9"/>
  <c r="DJW23" i="9"/>
  <c r="DJX23" i="9"/>
  <c r="DJY23" i="9"/>
  <c r="DJZ23" i="9"/>
  <c r="DKA23" i="9"/>
  <c r="DKB23" i="9"/>
  <c r="DKC23" i="9"/>
  <c r="DGU23" i="9"/>
  <c r="DGV23" i="9"/>
  <c r="DGW23" i="9"/>
  <c r="DGX23" i="9"/>
  <c r="DGY23" i="9"/>
  <c r="DGZ23" i="9"/>
  <c r="DHA23" i="9"/>
  <c r="DHB23" i="9"/>
  <c r="DHC23" i="9"/>
  <c r="DHD23" i="9"/>
  <c r="DHE23" i="9"/>
  <c r="DHF23" i="9"/>
  <c r="DHG23" i="9"/>
  <c r="DHH23" i="9"/>
  <c r="DHI23" i="9"/>
  <c r="DHJ23" i="9"/>
  <c r="DHK23" i="9"/>
  <c r="DHL23" i="9"/>
  <c r="DHM23" i="9"/>
  <c r="DHN23" i="9"/>
  <c r="DHO23" i="9"/>
  <c r="DHP23" i="9"/>
  <c r="DHQ23" i="9"/>
  <c r="DHR23" i="9"/>
  <c r="DHS23" i="9"/>
  <c r="DHT23" i="9"/>
  <c r="DHU23" i="9"/>
  <c r="DHV23" i="9"/>
  <c r="DHW23" i="9"/>
  <c r="DHX23" i="9"/>
  <c r="DHY23" i="9"/>
  <c r="DHZ23" i="9"/>
  <c r="DIA23" i="9"/>
  <c r="DIB23" i="9"/>
  <c r="DIC23" i="9"/>
  <c r="DID23" i="9"/>
  <c r="DIE23" i="9"/>
  <c r="DIF23" i="9"/>
  <c r="DIG23" i="9"/>
  <c r="DIH23" i="9"/>
  <c r="DII23" i="9"/>
  <c r="DIJ23" i="9"/>
  <c r="DIK23" i="9"/>
  <c r="DFC23" i="9"/>
  <c r="DFD23" i="9"/>
  <c r="DFE23" i="9"/>
  <c r="DFF23" i="9"/>
  <c r="DFG23" i="9"/>
  <c r="DFH23" i="9"/>
  <c r="DFI23" i="9"/>
  <c r="DFJ23" i="9"/>
  <c r="DFK23" i="9"/>
  <c r="DFL23" i="9"/>
  <c r="DFM23" i="9"/>
  <c r="DFN23" i="9"/>
  <c r="DFO23" i="9"/>
  <c r="DFP23" i="9"/>
  <c r="DFQ23" i="9"/>
  <c r="DFR23" i="9"/>
  <c r="DFS23" i="9"/>
  <c r="DFT23" i="9"/>
  <c r="DFU23" i="9"/>
  <c r="DFV23" i="9"/>
  <c r="DFW23" i="9"/>
  <c r="DFX23" i="9"/>
  <c r="DFY23" i="9"/>
  <c r="DFZ23" i="9"/>
  <c r="DGA23" i="9"/>
  <c r="DGB23" i="9"/>
  <c r="DGC23" i="9"/>
  <c r="DGD23" i="9"/>
  <c r="DGE23" i="9"/>
  <c r="DGF23" i="9"/>
  <c r="DGG23" i="9"/>
  <c r="DGH23" i="9"/>
  <c r="DGI23" i="9"/>
  <c r="DGJ23" i="9"/>
  <c r="DGK23" i="9"/>
  <c r="DGL23" i="9"/>
  <c r="DGM23" i="9"/>
  <c r="DGN23" i="9"/>
  <c r="DGO23" i="9"/>
  <c r="DGP23" i="9"/>
  <c r="DGQ23" i="9"/>
  <c r="DGR23" i="9"/>
  <c r="DGS23" i="9"/>
  <c r="DDK23" i="9"/>
  <c r="DDL23" i="9"/>
  <c r="DDM23" i="9"/>
  <c r="DDN23" i="9"/>
  <c r="DDO23" i="9"/>
  <c r="DDP23" i="9"/>
  <c r="DDQ23" i="9"/>
  <c r="DDR23" i="9"/>
  <c r="DDS23" i="9"/>
  <c r="DDT23" i="9"/>
  <c r="DDU23" i="9"/>
  <c r="DDV23" i="9"/>
  <c r="DDW23" i="9"/>
  <c r="DDX23" i="9"/>
  <c r="DDY23" i="9"/>
  <c r="DDZ23" i="9"/>
  <c r="DEA23" i="9"/>
  <c r="DEB23" i="9"/>
  <c r="DEC23" i="9"/>
  <c r="DED23" i="9"/>
  <c r="DEE23" i="9"/>
  <c r="DEF23" i="9"/>
  <c r="DEG23" i="9"/>
  <c r="DEH23" i="9"/>
  <c r="DEI23" i="9"/>
  <c r="DEJ23" i="9"/>
  <c r="DEK23" i="9"/>
  <c r="DEL23" i="9"/>
  <c r="DEM23" i="9"/>
  <c r="DEN23" i="9"/>
  <c r="DEO23" i="9"/>
  <c r="DEP23" i="9"/>
  <c r="DEQ23" i="9"/>
  <c r="DER23" i="9"/>
  <c r="DES23" i="9"/>
  <c r="DET23" i="9"/>
  <c r="DEU23" i="9"/>
  <c r="DEV23" i="9"/>
  <c r="DEW23" i="9"/>
  <c r="DEX23" i="9"/>
  <c r="DEY23" i="9"/>
  <c r="DEZ23" i="9"/>
  <c r="DFA23" i="9"/>
  <c r="DBS23" i="9"/>
  <c r="DBT23" i="9"/>
  <c r="DBU23" i="9"/>
  <c r="DBV23" i="9"/>
  <c r="DBW23" i="9"/>
  <c r="DBX23" i="9"/>
  <c r="DBY23" i="9"/>
  <c r="DBZ23" i="9"/>
  <c r="DCA23" i="9"/>
  <c r="DCB23" i="9"/>
  <c r="DCC23" i="9"/>
  <c r="DCD23" i="9"/>
  <c r="DCE23" i="9"/>
  <c r="DCF23" i="9"/>
  <c r="DCG23" i="9"/>
  <c r="DCH23" i="9"/>
  <c r="DCI23" i="9"/>
  <c r="DCJ23" i="9"/>
  <c r="DCK23" i="9"/>
  <c r="DCL23" i="9"/>
  <c r="DCM23" i="9"/>
  <c r="DCN23" i="9"/>
  <c r="DCO23" i="9"/>
  <c r="DCP23" i="9"/>
  <c r="DCQ23" i="9"/>
  <c r="DCR23" i="9"/>
  <c r="DCS23" i="9"/>
  <c r="DCT23" i="9"/>
  <c r="DCU23" i="9"/>
  <c r="DCV23" i="9"/>
  <c r="DCW23" i="9"/>
  <c r="DCX23" i="9"/>
  <c r="DCY23" i="9"/>
  <c r="DCZ23" i="9"/>
  <c r="DDA23" i="9"/>
  <c r="DDB23" i="9"/>
  <c r="DDC23" i="9"/>
  <c r="DDD23" i="9"/>
  <c r="DDE23" i="9"/>
  <c r="DDF23" i="9"/>
  <c r="DDG23" i="9"/>
  <c r="DDH23" i="9"/>
  <c r="DDI23" i="9"/>
  <c r="DAA23" i="9"/>
  <c r="DAB23" i="9"/>
  <c r="DAC23" i="9"/>
  <c r="DAD23" i="9"/>
  <c r="DAE23" i="9"/>
  <c r="DAF23" i="9"/>
  <c r="DAG23" i="9"/>
  <c r="DAH23" i="9"/>
  <c r="DAI23" i="9"/>
  <c r="DAJ23" i="9"/>
  <c r="DAK23" i="9"/>
  <c r="DAL23" i="9"/>
  <c r="DAM23" i="9"/>
  <c r="DAN23" i="9"/>
  <c r="DAO23" i="9"/>
  <c r="DAP23" i="9"/>
  <c r="DAQ23" i="9"/>
  <c r="DAR23" i="9"/>
  <c r="DAS23" i="9"/>
  <c r="DAT23" i="9"/>
  <c r="DAU23" i="9"/>
  <c r="DAV23" i="9"/>
  <c r="DAW23" i="9"/>
  <c r="DAX23" i="9"/>
  <c r="DAY23" i="9"/>
  <c r="DAZ23" i="9"/>
  <c r="DBA23" i="9"/>
  <c r="DBB23" i="9"/>
  <c r="DBC23" i="9"/>
  <c r="DBD23" i="9"/>
  <c r="DBE23" i="9"/>
  <c r="DBF23" i="9"/>
  <c r="DBG23" i="9"/>
  <c r="DBH23" i="9"/>
  <c r="DBI23" i="9"/>
  <c r="DBJ23" i="9"/>
  <c r="DBK23" i="9"/>
  <c r="DBL23" i="9"/>
  <c r="DBM23" i="9"/>
  <c r="DBN23" i="9"/>
  <c r="DBO23" i="9"/>
  <c r="DBP23" i="9"/>
  <c r="DBQ23" i="9"/>
  <c r="CYI23" i="9"/>
  <c r="CYJ23" i="9"/>
  <c r="CYK23" i="9"/>
  <c r="CYL23" i="9"/>
  <c r="CYM23" i="9"/>
  <c r="CYN23" i="9"/>
  <c r="CYO23" i="9"/>
  <c r="CYP23" i="9"/>
  <c r="CYQ23" i="9"/>
  <c r="CYR23" i="9"/>
  <c r="CYS23" i="9"/>
  <c r="CYT23" i="9"/>
  <c r="CYU23" i="9"/>
  <c r="CYV23" i="9"/>
  <c r="CYW23" i="9"/>
  <c r="CYX23" i="9"/>
  <c r="CYY23" i="9"/>
  <c r="CYZ23" i="9"/>
  <c r="CZA23" i="9"/>
  <c r="CZB23" i="9"/>
  <c r="CZC23" i="9"/>
  <c r="CZD23" i="9"/>
  <c r="CZE23" i="9"/>
  <c r="CZF23" i="9"/>
  <c r="CZG23" i="9"/>
  <c r="CZH23" i="9"/>
  <c r="CZI23" i="9"/>
  <c r="CZJ23" i="9"/>
  <c r="CZK23" i="9"/>
  <c r="CZL23" i="9"/>
  <c r="CZM23" i="9"/>
  <c r="CZN23" i="9"/>
  <c r="CZO23" i="9"/>
  <c r="CZP23" i="9"/>
  <c r="CZQ23" i="9"/>
  <c r="CZR23" i="9"/>
  <c r="CZS23" i="9"/>
  <c r="CZT23" i="9"/>
  <c r="CZU23" i="9"/>
  <c r="CZV23" i="9"/>
  <c r="CZW23" i="9"/>
  <c r="CZX23" i="9"/>
  <c r="CZY23" i="9"/>
  <c r="CWQ23" i="9"/>
  <c r="CWR23" i="9"/>
  <c r="CWS23" i="9"/>
  <c r="CWT23" i="9"/>
  <c r="CWU23" i="9"/>
  <c r="CWV23" i="9"/>
  <c r="CWW23" i="9"/>
  <c r="CWX23" i="9"/>
  <c r="CWY23" i="9"/>
  <c r="CWZ23" i="9"/>
  <c r="CXA23" i="9"/>
  <c r="CXB23" i="9"/>
  <c r="CXC23" i="9"/>
  <c r="CXD23" i="9"/>
  <c r="CXE23" i="9"/>
  <c r="CXF23" i="9"/>
  <c r="CXG23" i="9"/>
  <c r="CXH23" i="9"/>
  <c r="CXI23" i="9"/>
  <c r="CXJ23" i="9"/>
  <c r="CXK23" i="9"/>
  <c r="CXL23" i="9"/>
  <c r="CXM23" i="9"/>
  <c r="CXN23" i="9"/>
  <c r="CXO23" i="9"/>
  <c r="CXP23" i="9"/>
  <c r="CXQ23" i="9"/>
  <c r="CXR23" i="9"/>
  <c r="CXS23" i="9"/>
  <c r="CXT23" i="9"/>
  <c r="CXU23" i="9"/>
  <c r="CXV23" i="9"/>
  <c r="CXW23" i="9"/>
  <c r="CXX23" i="9"/>
  <c r="CXY23" i="9"/>
  <c r="CXZ23" i="9"/>
  <c r="CYA23" i="9"/>
  <c r="CYB23" i="9"/>
  <c r="CYC23" i="9"/>
  <c r="CYD23" i="9"/>
  <c r="CYE23" i="9"/>
  <c r="CYF23" i="9"/>
  <c r="CYG23" i="9"/>
  <c r="CUY23" i="9"/>
  <c r="CUZ23" i="9"/>
  <c r="CVA23" i="9"/>
  <c r="CVB23" i="9"/>
  <c r="CVC23" i="9"/>
  <c r="CVD23" i="9"/>
  <c r="CVE23" i="9"/>
  <c r="CVF23" i="9"/>
  <c r="CVG23" i="9"/>
  <c r="CVH23" i="9"/>
  <c r="CVI23" i="9"/>
  <c r="CVJ23" i="9"/>
  <c r="CVK23" i="9"/>
  <c r="CVL23" i="9"/>
  <c r="CVM23" i="9"/>
  <c r="CVN23" i="9"/>
  <c r="CVO23" i="9"/>
  <c r="CVP23" i="9"/>
  <c r="CVQ23" i="9"/>
  <c r="CVR23" i="9"/>
  <c r="CVS23" i="9"/>
  <c r="CVT23" i="9"/>
  <c r="CVU23" i="9"/>
  <c r="CVV23" i="9"/>
  <c r="CVW23" i="9"/>
  <c r="CVX23" i="9"/>
  <c r="CVY23" i="9"/>
  <c r="CVZ23" i="9"/>
  <c r="CWA23" i="9"/>
  <c r="CWB23" i="9"/>
  <c r="CWC23" i="9"/>
  <c r="CWD23" i="9"/>
  <c r="CWE23" i="9"/>
  <c r="CWF23" i="9"/>
  <c r="CWG23" i="9"/>
  <c r="CWH23" i="9"/>
  <c r="CWI23" i="9"/>
  <c r="CWJ23" i="9"/>
  <c r="CWK23" i="9"/>
  <c r="CWL23" i="9"/>
  <c r="CWM23" i="9"/>
  <c r="CWN23" i="9"/>
  <c r="CWO23" i="9"/>
  <c r="CTG23" i="9"/>
  <c r="CTH23" i="9"/>
  <c r="CTI23" i="9"/>
  <c r="CTJ23" i="9"/>
  <c r="CTK23" i="9"/>
  <c r="CTL23" i="9"/>
  <c r="CTM23" i="9"/>
  <c r="CTN23" i="9"/>
  <c r="CTO23" i="9"/>
  <c r="CTP23" i="9"/>
  <c r="CTQ23" i="9"/>
  <c r="CTR23" i="9"/>
  <c r="CTS23" i="9"/>
  <c r="CTT23" i="9"/>
  <c r="CTU23" i="9"/>
  <c r="CTV23" i="9"/>
  <c r="CTW23" i="9"/>
  <c r="CTX23" i="9"/>
  <c r="CTY23" i="9"/>
  <c r="CTZ23" i="9"/>
  <c r="CUA23" i="9"/>
  <c r="CUB23" i="9"/>
  <c r="CUC23" i="9"/>
  <c r="CUD23" i="9"/>
  <c r="CUE23" i="9"/>
  <c r="CUF23" i="9"/>
  <c r="CUG23" i="9"/>
  <c r="CUH23" i="9"/>
  <c r="CUI23" i="9"/>
  <c r="CUJ23" i="9"/>
  <c r="CUK23" i="9"/>
  <c r="CUL23" i="9"/>
  <c r="CUM23" i="9"/>
  <c r="CUN23" i="9"/>
  <c r="CUO23" i="9"/>
  <c r="CUP23" i="9"/>
  <c r="CUQ23" i="9"/>
  <c r="CUR23" i="9"/>
  <c r="CUS23" i="9"/>
  <c r="CUT23" i="9"/>
  <c r="CUU23" i="9"/>
  <c r="CUV23" i="9"/>
  <c r="CUW23" i="9"/>
  <c r="CRO23" i="9"/>
  <c r="CRP23" i="9"/>
  <c r="CRQ23" i="9"/>
  <c r="CRR23" i="9"/>
  <c r="CRS23" i="9"/>
  <c r="CRT23" i="9"/>
  <c r="CRU23" i="9"/>
  <c r="CRV23" i="9"/>
  <c r="CRW23" i="9"/>
  <c r="CRX23" i="9"/>
  <c r="CRY23" i="9"/>
  <c r="CRZ23" i="9"/>
  <c r="CSA23" i="9"/>
  <c r="CSB23" i="9"/>
  <c r="CSC23" i="9"/>
  <c r="CSD23" i="9"/>
  <c r="CSE23" i="9"/>
  <c r="CSF23" i="9"/>
  <c r="CSG23" i="9"/>
  <c r="CSH23" i="9"/>
  <c r="CSI23" i="9"/>
  <c r="CSJ23" i="9"/>
  <c r="CSK23" i="9"/>
  <c r="CSL23" i="9"/>
  <c r="CSM23" i="9"/>
  <c r="CSN23" i="9"/>
  <c r="CSO23" i="9"/>
  <c r="CSP23" i="9"/>
  <c r="CSQ23" i="9"/>
  <c r="CSR23" i="9"/>
  <c r="CSS23" i="9"/>
  <c r="CST23" i="9"/>
  <c r="CSU23" i="9"/>
  <c r="CSV23" i="9"/>
  <c r="CSW23" i="9"/>
  <c r="CSX23" i="9"/>
  <c r="CSY23" i="9"/>
  <c r="CSZ23" i="9"/>
  <c r="CTA23" i="9"/>
  <c r="CTB23" i="9"/>
  <c r="CTC23" i="9"/>
  <c r="CTD23" i="9"/>
  <c r="CTE23" i="9"/>
  <c r="CPW23" i="9"/>
  <c r="CPX23" i="9"/>
  <c r="CPY23" i="9"/>
  <c r="CPZ23" i="9"/>
  <c r="CQA23" i="9"/>
  <c r="CQB23" i="9"/>
  <c r="CQC23" i="9"/>
  <c r="CQD23" i="9"/>
  <c r="CQE23" i="9"/>
  <c r="CQF23" i="9"/>
  <c r="CQG23" i="9"/>
  <c r="CQH23" i="9"/>
  <c r="CQI23" i="9"/>
  <c r="CQJ23" i="9"/>
  <c r="CQK23" i="9"/>
  <c r="CQL23" i="9"/>
  <c r="CQM23" i="9"/>
  <c r="CQN23" i="9"/>
  <c r="CQO23" i="9"/>
  <c r="CQP23" i="9"/>
  <c r="CQQ23" i="9"/>
  <c r="CQR23" i="9"/>
  <c r="CQS23" i="9"/>
  <c r="CQT23" i="9"/>
  <c r="CQU23" i="9"/>
  <c r="CQV23" i="9"/>
  <c r="CQW23" i="9"/>
  <c r="CQX23" i="9"/>
  <c r="CQY23" i="9"/>
  <c r="CQZ23" i="9"/>
  <c r="CRA23" i="9"/>
  <c r="CRB23" i="9"/>
  <c r="CRC23" i="9"/>
  <c r="CRD23" i="9"/>
  <c r="CRE23" i="9"/>
  <c r="CRF23" i="9"/>
  <c r="CRG23" i="9"/>
  <c r="CRH23" i="9"/>
  <c r="CRI23" i="9"/>
  <c r="CRJ23" i="9"/>
  <c r="CRK23" i="9"/>
  <c r="CRL23" i="9"/>
  <c r="CRM23" i="9"/>
  <c r="COE23" i="9"/>
  <c r="COF23" i="9"/>
  <c r="COG23" i="9"/>
  <c r="COH23" i="9"/>
  <c r="COI23" i="9"/>
  <c r="COJ23" i="9"/>
  <c r="COK23" i="9"/>
  <c r="COL23" i="9"/>
  <c r="COM23" i="9"/>
  <c r="CON23" i="9"/>
  <c r="COO23" i="9"/>
  <c r="COP23" i="9"/>
  <c r="COQ23" i="9"/>
  <c r="COR23" i="9"/>
  <c r="COS23" i="9"/>
  <c r="COT23" i="9"/>
  <c r="COU23" i="9"/>
  <c r="COV23" i="9"/>
  <c r="COW23" i="9"/>
  <c r="COX23" i="9"/>
  <c r="COY23" i="9"/>
  <c r="COZ23" i="9"/>
  <c r="CPA23" i="9"/>
  <c r="CPB23" i="9"/>
  <c r="CPC23" i="9"/>
  <c r="CPD23" i="9"/>
  <c r="CPE23" i="9"/>
  <c r="CPF23" i="9"/>
  <c r="CPG23" i="9"/>
  <c r="CPH23" i="9"/>
  <c r="CPI23" i="9"/>
  <c r="CPJ23" i="9"/>
  <c r="CPK23" i="9"/>
  <c r="CPL23" i="9"/>
  <c r="CPM23" i="9"/>
  <c r="CPN23" i="9"/>
  <c r="CPO23" i="9"/>
  <c r="CPP23" i="9"/>
  <c r="CPQ23" i="9"/>
  <c r="CPR23" i="9"/>
  <c r="CPS23" i="9"/>
  <c r="CPT23" i="9"/>
  <c r="CPU23" i="9"/>
  <c r="CMM23" i="9"/>
  <c r="CMN23" i="9"/>
  <c r="CMO23" i="9"/>
  <c r="CMP23" i="9"/>
  <c r="CMQ23" i="9"/>
  <c r="CMR23" i="9"/>
  <c r="CMS23" i="9"/>
  <c r="CMT23" i="9"/>
  <c r="CMU23" i="9"/>
  <c r="CMV23" i="9"/>
  <c r="CMW23" i="9"/>
  <c r="CMX23" i="9"/>
  <c r="CMY23" i="9"/>
  <c r="CMZ23" i="9"/>
  <c r="CNA23" i="9"/>
  <c r="CNB23" i="9"/>
  <c r="CNC23" i="9"/>
  <c r="CND23" i="9"/>
  <c r="CNE23" i="9"/>
  <c r="CNF23" i="9"/>
  <c r="CNG23" i="9"/>
  <c r="CNH23" i="9"/>
  <c r="CNI23" i="9"/>
  <c r="CNJ23" i="9"/>
  <c r="CNK23" i="9"/>
  <c r="CNL23" i="9"/>
  <c r="CNM23" i="9"/>
  <c r="CNN23" i="9"/>
  <c r="CNO23" i="9"/>
  <c r="CNP23" i="9"/>
  <c r="CNQ23" i="9"/>
  <c r="CNR23" i="9"/>
  <c r="CNS23" i="9"/>
  <c r="CNT23" i="9"/>
  <c r="CNU23" i="9"/>
  <c r="CNV23" i="9"/>
  <c r="CNW23" i="9"/>
  <c r="CNX23" i="9"/>
  <c r="CNY23" i="9"/>
  <c r="CNZ23" i="9"/>
  <c r="COA23" i="9"/>
  <c r="COB23" i="9"/>
  <c r="COC23" i="9"/>
  <c r="CKU23" i="9"/>
  <c r="CKV23" i="9"/>
  <c r="CKW23" i="9"/>
  <c r="CKX23" i="9"/>
  <c r="CKY23" i="9"/>
  <c r="CKZ23" i="9"/>
  <c r="CLA23" i="9"/>
  <c r="CLB23" i="9"/>
  <c r="CLC23" i="9"/>
  <c r="CLD23" i="9"/>
  <c r="CLE23" i="9"/>
  <c r="CLF23" i="9"/>
  <c r="CLG23" i="9"/>
  <c r="CLH23" i="9"/>
  <c r="CLI23" i="9"/>
  <c r="CLJ23" i="9"/>
  <c r="CLK23" i="9"/>
  <c r="CLL23" i="9"/>
  <c r="CLM23" i="9"/>
  <c r="CLN23" i="9"/>
  <c r="CLO23" i="9"/>
  <c r="CLP23" i="9"/>
  <c r="CLQ23" i="9"/>
  <c r="CLR23" i="9"/>
  <c r="CLS23" i="9"/>
  <c r="CLT23" i="9"/>
  <c r="CLU23" i="9"/>
  <c r="CLV23" i="9"/>
  <c r="CLW23" i="9"/>
  <c r="CLX23" i="9"/>
  <c r="CLY23" i="9"/>
  <c r="CLZ23" i="9"/>
  <c r="CMA23" i="9"/>
  <c r="CMB23" i="9"/>
  <c r="CMC23" i="9"/>
  <c r="CMD23" i="9"/>
  <c r="CME23" i="9"/>
  <c r="CMF23" i="9"/>
  <c r="CMG23" i="9"/>
  <c r="CMH23" i="9"/>
  <c r="CMI23" i="9"/>
  <c r="CMJ23" i="9"/>
  <c r="CMK23" i="9"/>
  <c r="CJC23" i="9"/>
  <c r="CJD23" i="9"/>
  <c r="CJE23" i="9"/>
  <c r="CJF23" i="9"/>
  <c r="CJG23" i="9"/>
  <c r="CJH23" i="9"/>
  <c r="CJI23" i="9"/>
  <c r="CJJ23" i="9"/>
  <c r="CJK23" i="9"/>
  <c r="CJL23" i="9"/>
  <c r="CJM23" i="9"/>
  <c r="CJN23" i="9"/>
  <c r="CJO23" i="9"/>
  <c r="CJP23" i="9"/>
  <c r="CJQ23" i="9"/>
  <c r="CJR23" i="9"/>
  <c r="CJS23" i="9"/>
  <c r="CJT23" i="9"/>
  <c r="CJU23" i="9"/>
  <c r="CJV23" i="9"/>
  <c r="CJW23" i="9"/>
  <c r="CJX23" i="9"/>
  <c r="CJY23" i="9"/>
  <c r="CJZ23" i="9"/>
  <c r="CKA23" i="9"/>
  <c r="CKB23" i="9"/>
  <c r="CKC23" i="9"/>
  <c r="CKD23" i="9"/>
  <c r="CKE23" i="9"/>
  <c r="CKF23" i="9"/>
  <c r="CKG23" i="9"/>
  <c r="CKH23" i="9"/>
  <c r="CKI23" i="9"/>
  <c r="CKJ23" i="9"/>
  <c r="CKK23" i="9"/>
  <c r="CKL23" i="9"/>
  <c r="CKM23" i="9"/>
  <c r="CKN23" i="9"/>
  <c r="CKO23" i="9"/>
  <c r="CKP23" i="9"/>
  <c r="CKQ23" i="9"/>
  <c r="CKR23" i="9"/>
  <c r="CKS23" i="9"/>
  <c r="CHK23" i="9"/>
  <c r="CHL23" i="9"/>
  <c r="CHM23" i="9"/>
  <c r="CHN23" i="9"/>
  <c r="CHO23" i="9"/>
  <c r="CHP23" i="9"/>
  <c r="CHQ23" i="9"/>
  <c r="CHR23" i="9"/>
  <c r="CHS23" i="9"/>
  <c r="CHT23" i="9"/>
  <c r="CHU23" i="9"/>
  <c r="CHV23" i="9"/>
  <c r="CHW23" i="9"/>
  <c r="CHX23" i="9"/>
  <c r="CHY23" i="9"/>
  <c r="CHZ23" i="9"/>
  <c r="CIA23" i="9"/>
  <c r="CIB23" i="9"/>
  <c r="CIC23" i="9"/>
  <c r="CID23" i="9"/>
  <c r="CIE23" i="9"/>
  <c r="CIF23" i="9"/>
  <c r="CIG23" i="9"/>
  <c r="CIH23" i="9"/>
  <c r="CII23" i="9"/>
  <c r="CIJ23" i="9"/>
  <c r="CIK23" i="9"/>
  <c r="CIL23" i="9"/>
  <c r="CIM23" i="9"/>
  <c r="CIN23" i="9"/>
  <c r="CIO23" i="9"/>
  <c r="CIP23" i="9"/>
  <c r="CIQ23" i="9"/>
  <c r="CIR23" i="9"/>
  <c r="CIS23" i="9"/>
  <c r="CIT23" i="9"/>
  <c r="CIU23" i="9"/>
  <c r="CIV23" i="9"/>
  <c r="CIW23" i="9"/>
  <c r="CIX23" i="9"/>
  <c r="CIY23" i="9"/>
  <c r="CIZ23" i="9"/>
  <c r="CJA23" i="9"/>
  <c r="CFS23" i="9"/>
  <c r="CFT23" i="9"/>
  <c r="CFU23" i="9"/>
  <c r="CFV23" i="9"/>
  <c r="CFW23" i="9"/>
  <c r="CFX23" i="9"/>
  <c r="CFY23" i="9"/>
  <c r="CFZ23" i="9"/>
  <c r="CGA23" i="9"/>
  <c r="CGB23" i="9"/>
  <c r="CGC23" i="9"/>
  <c r="CGD23" i="9"/>
  <c r="CGE23" i="9"/>
  <c r="CGF23" i="9"/>
  <c r="CGG23" i="9"/>
  <c r="CGH23" i="9"/>
  <c r="CGI23" i="9"/>
  <c r="CGJ23" i="9"/>
  <c r="CGK23" i="9"/>
  <c r="CGL23" i="9"/>
  <c r="CGM23" i="9"/>
  <c r="CGN23" i="9"/>
  <c r="CGO23" i="9"/>
  <c r="CGP23" i="9"/>
  <c r="CGQ23" i="9"/>
  <c r="CGR23" i="9"/>
  <c r="CGS23" i="9"/>
  <c r="CGT23" i="9"/>
  <c r="CGU23" i="9"/>
  <c r="CGV23" i="9"/>
  <c r="CGW23" i="9"/>
  <c r="CGX23" i="9"/>
  <c r="CGY23" i="9"/>
  <c r="CGZ23" i="9"/>
  <c r="CHA23" i="9"/>
  <c r="CHB23" i="9"/>
  <c r="CHC23" i="9"/>
  <c r="CHD23" i="9"/>
  <c r="CHE23" i="9"/>
  <c r="CHF23" i="9"/>
  <c r="CHG23" i="9"/>
  <c r="CHH23" i="9"/>
  <c r="CHI23" i="9"/>
  <c r="CEA23" i="9"/>
  <c r="CEB23" i="9"/>
  <c r="CEC23" i="9"/>
  <c r="CED23" i="9"/>
  <c r="CEE23" i="9"/>
  <c r="CEF23" i="9"/>
  <c r="CEG23" i="9"/>
  <c r="CEH23" i="9"/>
  <c r="CEI23" i="9"/>
  <c r="CEJ23" i="9"/>
  <c r="CEK23" i="9"/>
  <c r="CEL23" i="9"/>
  <c r="CEM23" i="9"/>
  <c r="CEN23" i="9"/>
  <c r="CEO23" i="9"/>
  <c r="CEP23" i="9"/>
  <c r="CEQ23" i="9"/>
  <c r="CER23" i="9"/>
  <c r="CES23" i="9"/>
  <c r="CET23" i="9"/>
  <c r="CEU23" i="9"/>
  <c r="CEV23" i="9"/>
  <c r="CEW23" i="9"/>
  <c r="CEX23" i="9"/>
  <c r="CEY23" i="9"/>
  <c r="CEZ23" i="9"/>
  <c r="CFA23" i="9"/>
  <c r="CFB23" i="9"/>
  <c r="CFC23" i="9"/>
  <c r="CFD23" i="9"/>
  <c r="CFE23" i="9"/>
  <c r="CFF23" i="9"/>
  <c r="CFG23" i="9"/>
  <c r="CFH23" i="9"/>
  <c r="CFI23" i="9"/>
  <c r="CFJ23" i="9"/>
  <c r="CFK23" i="9"/>
  <c r="CFL23" i="9"/>
  <c r="CFM23" i="9"/>
  <c r="CFN23" i="9"/>
  <c r="CFO23" i="9"/>
  <c r="CFP23" i="9"/>
  <c r="CFQ23" i="9"/>
  <c r="CCI23" i="9"/>
  <c r="CCJ23" i="9"/>
  <c r="CCK23" i="9"/>
  <c r="CCL23" i="9"/>
  <c r="CCM23" i="9"/>
  <c r="CCN23" i="9"/>
  <c r="CCO23" i="9"/>
  <c r="CCP23" i="9"/>
  <c r="CCQ23" i="9"/>
  <c r="CCR23" i="9"/>
  <c r="CCS23" i="9"/>
  <c r="CCT23" i="9"/>
  <c r="CCU23" i="9"/>
  <c r="CCV23" i="9"/>
  <c r="CCW23" i="9"/>
  <c r="CCX23" i="9"/>
  <c r="CCY23" i="9"/>
  <c r="CCZ23" i="9"/>
  <c r="CDA23" i="9"/>
  <c r="CDB23" i="9"/>
  <c r="CDC23" i="9"/>
  <c r="CDD23" i="9"/>
  <c r="CDE23" i="9"/>
  <c r="CDF23" i="9"/>
  <c r="CDG23" i="9"/>
  <c r="CDH23" i="9"/>
  <c r="CDI23" i="9"/>
  <c r="CDJ23" i="9"/>
  <c r="CDK23" i="9"/>
  <c r="CDL23" i="9"/>
  <c r="CDM23" i="9"/>
  <c r="CDN23" i="9"/>
  <c r="CDO23" i="9"/>
  <c r="CDP23" i="9"/>
  <c r="CDQ23" i="9"/>
  <c r="CDR23" i="9"/>
  <c r="CDS23" i="9"/>
  <c r="CDT23" i="9"/>
  <c r="CDU23" i="9"/>
  <c r="CDV23" i="9"/>
  <c r="CDW23" i="9"/>
  <c r="CDX23" i="9"/>
  <c r="CDY23" i="9"/>
  <c r="CAQ23" i="9"/>
  <c r="CAR23" i="9"/>
  <c r="CAS23" i="9"/>
  <c r="CAT23" i="9"/>
  <c r="CAU23" i="9"/>
  <c r="CAV23" i="9"/>
  <c r="CAW23" i="9"/>
  <c r="CAX23" i="9"/>
  <c r="CAY23" i="9"/>
  <c r="CAZ23" i="9"/>
  <c r="CBA23" i="9"/>
  <c r="CBB23" i="9"/>
  <c r="CBC23" i="9"/>
  <c r="CBD23" i="9"/>
  <c r="CBE23" i="9"/>
  <c r="CBF23" i="9"/>
  <c r="CBG23" i="9"/>
  <c r="CBH23" i="9"/>
  <c r="CBI23" i="9"/>
  <c r="CBJ23" i="9"/>
  <c r="CBK23" i="9"/>
  <c r="CBL23" i="9"/>
  <c r="CBM23" i="9"/>
  <c r="CBN23" i="9"/>
  <c r="CBO23" i="9"/>
  <c r="CBP23" i="9"/>
  <c r="CBQ23" i="9"/>
  <c r="CBR23" i="9"/>
  <c r="CBS23" i="9"/>
  <c r="CBT23" i="9"/>
  <c r="CBU23" i="9"/>
  <c r="CBV23" i="9"/>
  <c r="CBW23" i="9"/>
  <c r="CBX23" i="9"/>
  <c r="CBY23" i="9"/>
  <c r="CBZ23" i="9"/>
  <c r="CCA23" i="9"/>
  <c r="CCB23" i="9"/>
  <c r="CCC23" i="9"/>
  <c r="CCD23" i="9"/>
  <c r="CCE23" i="9"/>
  <c r="CCF23" i="9"/>
  <c r="CCG23" i="9"/>
  <c r="BYY23" i="9"/>
  <c r="BYZ23" i="9"/>
  <c r="BZA23" i="9"/>
  <c r="BZB23" i="9"/>
  <c r="BZC23" i="9"/>
  <c r="BZD23" i="9"/>
  <c r="BZE23" i="9"/>
  <c r="BZF23" i="9"/>
  <c r="BZG23" i="9"/>
  <c r="BZH23" i="9"/>
  <c r="BZI23" i="9"/>
  <c r="BZJ23" i="9"/>
  <c r="BZK23" i="9"/>
  <c r="BZL23" i="9"/>
  <c r="BZM23" i="9"/>
  <c r="BZN23" i="9"/>
  <c r="BZO23" i="9"/>
  <c r="BZP23" i="9"/>
  <c r="BZQ23" i="9"/>
  <c r="BZR23" i="9"/>
  <c r="BZS23" i="9"/>
  <c r="BZT23" i="9"/>
  <c r="BZU23" i="9"/>
  <c r="BZV23" i="9"/>
  <c r="BZW23" i="9"/>
  <c r="BZX23" i="9"/>
  <c r="BZY23" i="9"/>
  <c r="BZZ23" i="9"/>
  <c r="CAA23" i="9"/>
  <c r="CAB23" i="9"/>
  <c r="CAC23" i="9"/>
  <c r="CAD23" i="9"/>
  <c r="CAE23" i="9"/>
  <c r="CAF23" i="9"/>
  <c r="CAG23" i="9"/>
  <c r="CAH23" i="9"/>
  <c r="CAI23" i="9"/>
  <c r="CAJ23" i="9"/>
  <c r="CAK23" i="9"/>
  <c r="CAL23" i="9"/>
  <c r="CAM23" i="9"/>
  <c r="CAN23" i="9"/>
  <c r="CAO23" i="9"/>
  <c r="BXG23" i="9"/>
  <c r="BXH23" i="9"/>
  <c r="BXI23" i="9"/>
  <c r="BXJ23" i="9"/>
  <c r="BXK23" i="9"/>
  <c r="BXL23" i="9"/>
  <c r="BXM23" i="9"/>
  <c r="BXN23" i="9"/>
  <c r="BXO23" i="9"/>
  <c r="BXP23" i="9"/>
  <c r="BXQ23" i="9"/>
  <c r="BXR23" i="9"/>
  <c r="BXS23" i="9"/>
  <c r="BXT23" i="9"/>
  <c r="BXU23" i="9"/>
  <c r="BXV23" i="9"/>
  <c r="BXW23" i="9"/>
  <c r="BXX23" i="9"/>
  <c r="BXY23" i="9"/>
  <c r="BXZ23" i="9"/>
  <c r="BYA23" i="9"/>
  <c r="BYB23" i="9"/>
  <c r="BYC23" i="9"/>
  <c r="BYD23" i="9"/>
  <c r="BYE23" i="9"/>
  <c r="BYF23" i="9"/>
  <c r="BYG23" i="9"/>
  <c r="BYH23" i="9"/>
  <c r="BYI23" i="9"/>
  <c r="BYJ23" i="9"/>
  <c r="BYK23" i="9"/>
  <c r="BYL23" i="9"/>
  <c r="BYM23" i="9"/>
  <c r="BYN23" i="9"/>
  <c r="BYO23" i="9"/>
  <c r="BYP23" i="9"/>
  <c r="BYQ23" i="9"/>
  <c r="BYR23" i="9"/>
  <c r="BYS23" i="9"/>
  <c r="BYT23" i="9"/>
  <c r="BYU23" i="9"/>
  <c r="BYV23" i="9"/>
  <c r="BYW23" i="9"/>
  <c r="BVO23" i="9"/>
  <c r="BVP23" i="9"/>
  <c r="BVQ23" i="9"/>
  <c r="BVR23" i="9"/>
  <c r="BVS23" i="9"/>
  <c r="BVT23" i="9"/>
  <c r="BVU23" i="9"/>
  <c r="BVV23" i="9"/>
  <c r="BVW23" i="9"/>
  <c r="BVX23" i="9"/>
  <c r="BVY23" i="9"/>
  <c r="BVZ23" i="9"/>
  <c r="BWA23" i="9"/>
  <c r="BWB23" i="9"/>
  <c r="BWC23" i="9"/>
  <c r="BWD23" i="9"/>
  <c r="BWE23" i="9"/>
  <c r="BWF23" i="9"/>
  <c r="BWG23" i="9"/>
  <c r="BWH23" i="9"/>
  <c r="BWI23" i="9"/>
  <c r="BWJ23" i="9"/>
  <c r="BWK23" i="9"/>
  <c r="BWL23" i="9"/>
  <c r="BWM23" i="9"/>
  <c r="BWN23" i="9"/>
  <c r="BWO23" i="9"/>
  <c r="BWP23" i="9"/>
  <c r="BWQ23" i="9"/>
  <c r="BWR23" i="9"/>
  <c r="BWS23" i="9"/>
  <c r="BWT23" i="9"/>
  <c r="BWU23" i="9"/>
  <c r="BWV23" i="9"/>
  <c r="BWW23" i="9"/>
  <c r="BWX23" i="9"/>
  <c r="BWY23" i="9"/>
  <c r="BWZ23" i="9"/>
  <c r="BXA23" i="9"/>
  <c r="BXB23" i="9"/>
  <c r="BXC23" i="9"/>
  <c r="BXD23" i="9"/>
  <c r="BXE23" i="9"/>
  <c r="BTW23" i="9"/>
  <c r="BTX23" i="9"/>
  <c r="BTY23" i="9"/>
  <c r="BTZ23" i="9"/>
  <c r="BUA23" i="9"/>
  <c r="BUB23" i="9"/>
  <c r="BUC23" i="9"/>
  <c r="BUD23" i="9"/>
  <c r="BUE23" i="9"/>
  <c r="BUF23" i="9"/>
  <c r="BUG23" i="9"/>
  <c r="BUH23" i="9"/>
  <c r="BUI23" i="9"/>
  <c r="BUJ23" i="9"/>
  <c r="BUK23" i="9"/>
  <c r="BUL23" i="9"/>
  <c r="BUM23" i="9"/>
  <c r="BUN23" i="9"/>
  <c r="BUO23" i="9"/>
  <c r="BUP23" i="9"/>
  <c r="BUQ23" i="9"/>
  <c r="BUR23" i="9"/>
  <c r="BUS23" i="9"/>
  <c r="BUT23" i="9"/>
  <c r="BUU23" i="9"/>
  <c r="BUV23" i="9"/>
  <c r="BUW23" i="9"/>
  <c r="BUX23" i="9"/>
  <c r="BUY23" i="9"/>
  <c r="BUZ23" i="9"/>
  <c r="BVA23" i="9"/>
  <c r="BVB23" i="9"/>
  <c r="BVC23" i="9"/>
  <c r="BVD23" i="9"/>
  <c r="BVE23" i="9"/>
  <c r="BVF23" i="9"/>
  <c r="BVG23" i="9"/>
  <c r="BVH23" i="9"/>
  <c r="BVI23" i="9"/>
  <c r="BVJ23" i="9"/>
  <c r="BVK23" i="9"/>
  <c r="BVL23" i="9"/>
  <c r="BVM23" i="9"/>
  <c r="BSE23" i="9"/>
  <c r="BSF23" i="9"/>
  <c r="BSG23" i="9"/>
  <c r="BSH23" i="9"/>
  <c r="BSI23" i="9"/>
  <c r="BSJ23" i="9"/>
  <c r="BSK23" i="9"/>
  <c r="BSL23" i="9"/>
  <c r="BSM23" i="9"/>
  <c r="BSN23" i="9"/>
  <c r="BSO23" i="9"/>
  <c r="BSP23" i="9"/>
  <c r="BSQ23" i="9"/>
  <c r="BSR23" i="9"/>
  <c r="BSS23" i="9"/>
  <c r="BST23" i="9"/>
  <c r="BSU23" i="9"/>
  <c r="BSV23" i="9"/>
  <c r="BSW23" i="9"/>
  <c r="BSX23" i="9"/>
  <c r="BSY23" i="9"/>
  <c r="BSZ23" i="9"/>
  <c r="BTA23" i="9"/>
  <c r="BTB23" i="9"/>
  <c r="BTC23" i="9"/>
  <c r="BTD23" i="9"/>
  <c r="BTE23" i="9"/>
  <c r="BTF23" i="9"/>
  <c r="BTG23" i="9"/>
  <c r="BTH23" i="9"/>
  <c r="BTI23" i="9"/>
  <c r="BTJ23" i="9"/>
  <c r="BTK23" i="9"/>
  <c r="BTL23" i="9"/>
  <c r="BTM23" i="9"/>
  <c r="BTN23" i="9"/>
  <c r="BTO23" i="9"/>
  <c r="BTP23" i="9"/>
  <c r="BTQ23" i="9"/>
  <c r="BTR23" i="9"/>
  <c r="BTS23" i="9"/>
  <c r="BTT23" i="9"/>
  <c r="BTU23" i="9"/>
  <c r="BQM23" i="9"/>
  <c r="BQN23" i="9"/>
  <c r="BQO23" i="9"/>
  <c r="BQP23" i="9"/>
  <c r="BQQ23" i="9"/>
  <c r="BQR23" i="9"/>
  <c r="BQS23" i="9"/>
  <c r="BQT23" i="9"/>
  <c r="BQU23" i="9"/>
  <c r="BQV23" i="9"/>
  <c r="BQW23" i="9"/>
  <c r="BQX23" i="9"/>
  <c r="BQY23" i="9"/>
  <c r="BQZ23" i="9"/>
  <c r="BRA23" i="9"/>
  <c r="BRB23" i="9"/>
  <c r="BRC23" i="9"/>
  <c r="BRD23" i="9"/>
  <c r="BRE23" i="9"/>
  <c r="BRF23" i="9"/>
  <c r="BRG23" i="9"/>
  <c r="BRH23" i="9"/>
  <c r="BRI23" i="9"/>
  <c r="BRJ23" i="9"/>
  <c r="BRK23" i="9"/>
  <c r="BRL23" i="9"/>
  <c r="BRM23" i="9"/>
  <c r="BRN23" i="9"/>
  <c r="BRO23" i="9"/>
  <c r="BRP23" i="9"/>
  <c r="BRQ23" i="9"/>
  <c r="BRR23" i="9"/>
  <c r="BRS23" i="9"/>
  <c r="BRT23" i="9"/>
  <c r="BRU23" i="9"/>
  <c r="BRV23" i="9"/>
  <c r="BRW23" i="9"/>
  <c r="BRX23" i="9"/>
  <c r="BRY23" i="9"/>
  <c r="BRZ23" i="9"/>
  <c r="BSA23" i="9"/>
  <c r="BSB23" i="9"/>
  <c r="BSC23" i="9"/>
  <c r="BOU23" i="9"/>
  <c r="BOV23" i="9"/>
  <c r="BOW23" i="9"/>
  <c r="BOX23" i="9"/>
  <c r="BOY23" i="9"/>
  <c r="BOZ23" i="9"/>
  <c r="BPA23" i="9"/>
  <c r="BPB23" i="9"/>
  <c r="BPC23" i="9"/>
  <c r="BPD23" i="9"/>
  <c r="BPE23" i="9"/>
  <c r="BPF23" i="9"/>
  <c r="BPG23" i="9"/>
  <c r="BPH23" i="9"/>
  <c r="BPI23" i="9"/>
  <c r="BPJ23" i="9"/>
  <c r="BPK23" i="9"/>
  <c r="BPL23" i="9"/>
  <c r="BPM23" i="9"/>
  <c r="BPN23" i="9"/>
  <c r="BPO23" i="9"/>
  <c r="BPP23" i="9"/>
  <c r="BPQ23" i="9"/>
  <c r="BPR23" i="9"/>
  <c r="BPS23" i="9"/>
  <c r="BPT23" i="9"/>
  <c r="BPU23" i="9"/>
  <c r="BPV23" i="9"/>
  <c r="BPW23" i="9"/>
  <c r="BPX23" i="9"/>
  <c r="BPY23" i="9"/>
  <c r="BPZ23" i="9"/>
  <c r="BQA23" i="9"/>
  <c r="BQB23" i="9"/>
  <c r="BQC23" i="9"/>
  <c r="BQD23" i="9"/>
  <c r="BQE23" i="9"/>
  <c r="BQF23" i="9"/>
  <c r="BQG23" i="9"/>
  <c r="BQH23" i="9"/>
  <c r="BQI23" i="9"/>
  <c r="BQJ23" i="9"/>
  <c r="BQK23" i="9"/>
  <c r="BNC23" i="9"/>
  <c r="BND23" i="9"/>
  <c r="BNE23" i="9"/>
  <c r="BNF23" i="9"/>
  <c r="BNG23" i="9"/>
  <c r="BNH23" i="9"/>
  <c r="BNI23" i="9"/>
  <c r="BNJ23" i="9"/>
  <c r="BNK23" i="9"/>
  <c r="BNL23" i="9"/>
  <c r="BNM23" i="9"/>
  <c r="BNN23" i="9"/>
  <c r="BNO23" i="9"/>
  <c r="BNP23" i="9"/>
  <c r="BNQ23" i="9"/>
  <c r="BNR23" i="9"/>
  <c r="BNS23" i="9"/>
  <c r="BNT23" i="9"/>
  <c r="BNU23" i="9"/>
  <c r="BNV23" i="9"/>
  <c r="BNW23" i="9"/>
  <c r="BNX23" i="9"/>
  <c r="BNY23" i="9"/>
  <c r="BNZ23" i="9"/>
  <c r="BOA23" i="9"/>
  <c r="BOB23" i="9"/>
  <c r="BOC23" i="9"/>
  <c r="BOD23" i="9"/>
  <c r="BOE23" i="9"/>
  <c r="BOF23" i="9"/>
  <c r="BOG23" i="9"/>
  <c r="BOH23" i="9"/>
  <c r="BOI23" i="9"/>
  <c r="BOJ23" i="9"/>
  <c r="BOK23" i="9"/>
  <c r="BOL23" i="9"/>
  <c r="BOM23" i="9"/>
  <c r="BON23" i="9"/>
  <c r="BOO23" i="9"/>
  <c r="BOP23" i="9"/>
  <c r="BOQ23" i="9"/>
  <c r="BOR23" i="9"/>
  <c r="BOS23" i="9"/>
  <c r="BLK23" i="9"/>
  <c r="BLL23" i="9"/>
  <c r="BLM23" i="9"/>
  <c r="BLN23" i="9"/>
  <c r="BLO23" i="9"/>
  <c r="BLP23" i="9"/>
  <c r="BLQ23" i="9"/>
  <c r="BLR23" i="9"/>
  <c r="BLS23" i="9"/>
  <c r="BLT23" i="9"/>
  <c r="BLU23" i="9"/>
  <c r="BLV23" i="9"/>
  <c r="BLW23" i="9"/>
  <c r="BLX23" i="9"/>
  <c r="BLY23" i="9"/>
  <c r="BLZ23" i="9"/>
  <c r="BMA23" i="9"/>
  <c r="BMB23" i="9"/>
  <c r="BMC23" i="9"/>
  <c r="BMD23" i="9"/>
  <c r="BME23" i="9"/>
  <c r="BMF23" i="9"/>
  <c r="BMG23" i="9"/>
  <c r="BMH23" i="9"/>
  <c r="BMI23" i="9"/>
  <c r="BMJ23" i="9"/>
  <c r="BMK23" i="9"/>
  <c r="BML23" i="9"/>
  <c r="BMM23" i="9"/>
  <c r="BMN23" i="9"/>
  <c r="BMO23" i="9"/>
  <c r="BMP23" i="9"/>
  <c r="BMQ23" i="9"/>
  <c r="BMR23" i="9"/>
  <c r="BMS23" i="9"/>
  <c r="BMT23" i="9"/>
  <c r="BMU23" i="9"/>
  <c r="BMV23" i="9"/>
  <c r="BMW23" i="9"/>
  <c r="BMX23" i="9"/>
  <c r="BMY23" i="9"/>
  <c r="BMZ23" i="9"/>
  <c r="BNA23" i="9"/>
  <c r="BJS23" i="9"/>
  <c r="BJT23" i="9"/>
  <c r="BJU23" i="9"/>
  <c r="BJV23" i="9"/>
  <c r="BJW23" i="9"/>
  <c r="BJX23" i="9"/>
  <c r="BJY23" i="9"/>
  <c r="BJZ23" i="9"/>
  <c r="BKA23" i="9"/>
  <c r="BKB23" i="9"/>
  <c r="BKC23" i="9"/>
  <c r="BKD23" i="9"/>
  <c r="BKE23" i="9"/>
  <c r="BKF23" i="9"/>
  <c r="BKG23" i="9"/>
  <c r="BKH23" i="9"/>
  <c r="BKI23" i="9"/>
  <c r="BKJ23" i="9"/>
  <c r="BKK23" i="9"/>
  <c r="BKL23" i="9"/>
  <c r="BKM23" i="9"/>
  <c r="BKN23" i="9"/>
  <c r="BKO23" i="9"/>
  <c r="BKP23" i="9"/>
  <c r="BKQ23" i="9"/>
  <c r="BKR23" i="9"/>
  <c r="BKS23" i="9"/>
  <c r="BKT23" i="9"/>
  <c r="BKU23" i="9"/>
  <c r="BKV23" i="9"/>
  <c r="BKW23" i="9"/>
  <c r="BKX23" i="9"/>
  <c r="BKY23" i="9"/>
  <c r="BKZ23" i="9"/>
  <c r="BLA23" i="9"/>
  <c r="BLB23" i="9"/>
  <c r="BLC23" i="9"/>
  <c r="BLD23" i="9"/>
  <c r="BLE23" i="9"/>
  <c r="BLF23" i="9"/>
  <c r="BLG23" i="9"/>
  <c r="BLH23" i="9"/>
  <c r="BLI23" i="9"/>
  <c r="BIA23" i="9"/>
  <c r="BIB23" i="9"/>
  <c r="BIC23" i="9"/>
  <c r="BID23" i="9"/>
  <c r="BIE23" i="9"/>
  <c r="BIF23" i="9"/>
  <c r="BIG23" i="9"/>
  <c r="BIH23" i="9"/>
  <c r="BII23" i="9"/>
  <c r="BIJ23" i="9"/>
  <c r="BIK23" i="9"/>
  <c r="BIL23" i="9"/>
  <c r="BIM23" i="9"/>
  <c r="BIN23" i="9"/>
  <c r="BIO23" i="9"/>
  <c r="BIP23" i="9"/>
  <c r="BIQ23" i="9"/>
  <c r="BIR23" i="9"/>
  <c r="BIS23" i="9"/>
  <c r="BIT23" i="9"/>
  <c r="BIU23" i="9"/>
  <c r="BIV23" i="9"/>
  <c r="BIW23" i="9"/>
  <c r="BIX23" i="9"/>
  <c r="BIY23" i="9"/>
  <c r="BIZ23" i="9"/>
  <c r="BJA23" i="9"/>
  <c r="BJB23" i="9"/>
  <c r="BJC23" i="9"/>
  <c r="BJD23" i="9"/>
  <c r="BJE23" i="9"/>
  <c r="BJF23" i="9"/>
  <c r="BJG23" i="9"/>
  <c r="BJH23" i="9"/>
  <c r="BJI23" i="9"/>
  <c r="BJJ23" i="9"/>
  <c r="BJK23" i="9"/>
  <c r="BJL23" i="9"/>
  <c r="BJM23" i="9"/>
  <c r="BJN23" i="9"/>
  <c r="BJO23" i="9"/>
  <c r="BJP23" i="9"/>
  <c r="BJQ23" i="9"/>
  <c r="BGI23" i="9"/>
  <c r="BGJ23" i="9"/>
  <c r="BGK23" i="9"/>
  <c r="BGL23" i="9"/>
  <c r="BGM23" i="9"/>
  <c r="BGN23" i="9"/>
  <c r="BGO23" i="9"/>
  <c r="BGP23" i="9"/>
  <c r="BGQ23" i="9"/>
  <c r="BGR23" i="9"/>
  <c r="BGS23" i="9"/>
  <c r="BGT23" i="9"/>
  <c r="BGU23" i="9"/>
  <c r="BGV23" i="9"/>
  <c r="BGW23" i="9"/>
  <c r="BGX23" i="9"/>
  <c r="BGY23" i="9"/>
  <c r="BGZ23" i="9"/>
  <c r="BHA23" i="9"/>
  <c r="BHB23" i="9"/>
  <c r="BHC23" i="9"/>
  <c r="BHD23" i="9"/>
  <c r="BHE23" i="9"/>
  <c r="BHF23" i="9"/>
  <c r="BHG23" i="9"/>
  <c r="BHH23" i="9"/>
  <c r="BHI23" i="9"/>
  <c r="BHJ23" i="9"/>
  <c r="BHK23" i="9"/>
  <c r="BHL23" i="9"/>
  <c r="BHM23" i="9"/>
  <c r="BHN23" i="9"/>
  <c r="BHO23" i="9"/>
  <c r="BHP23" i="9"/>
  <c r="BHQ23" i="9"/>
  <c r="BHR23" i="9"/>
  <c r="BHS23" i="9"/>
  <c r="BHT23" i="9"/>
  <c r="BHU23" i="9"/>
  <c r="BHV23" i="9"/>
  <c r="BHW23" i="9"/>
  <c r="BHX23" i="9"/>
  <c r="BHY23" i="9"/>
  <c r="BEQ23" i="9"/>
  <c r="BER23" i="9"/>
  <c r="BES23" i="9"/>
  <c r="BET23" i="9"/>
  <c r="BEU23" i="9"/>
  <c r="BEV23" i="9"/>
  <c r="BEW23" i="9"/>
  <c r="BEX23" i="9"/>
  <c r="BEY23" i="9"/>
  <c r="BEZ23" i="9"/>
  <c r="BFA23" i="9"/>
  <c r="BFB23" i="9"/>
  <c r="BFC23" i="9"/>
  <c r="BFD23" i="9"/>
  <c r="BFE23" i="9"/>
  <c r="BFF23" i="9"/>
  <c r="BFG23" i="9"/>
  <c r="BFH23" i="9"/>
  <c r="BFI23" i="9"/>
  <c r="BFJ23" i="9"/>
  <c r="BFK23" i="9"/>
  <c r="BFL23" i="9"/>
  <c r="BFM23" i="9"/>
  <c r="BFN23" i="9"/>
  <c r="BFO23" i="9"/>
  <c r="BFP23" i="9"/>
  <c r="BFQ23" i="9"/>
  <c r="BFR23" i="9"/>
  <c r="BFS23" i="9"/>
  <c r="BFT23" i="9"/>
  <c r="BFU23" i="9"/>
  <c r="BFV23" i="9"/>
  <c r="BFW23" i="9"/>
  <c r="BFX23" i="9"/>
  <c r="BFY23" i="9"/>
  <c r="BFZ23" i="9"/>
  <c r="BGA23" i="9"/>
  <c r="BGB23" i="9"/>
  <c r="BGC23" i="9"/>
  <c r="BGD23" i="9"/>
  <c r="BGE23" i="9"/>
  <c r="BGF23" i="9"/>
  <c r="BGG23" i="9"/>
  <c r="BCY23" i="9"/>
  <c r="BCZ23" i="9"/>
  <c r="BDA23" i="9"/>
  <c r="BDB23" i="9"/>
  <c r="BDC23" i="9"/>
  <c r="BDD23" i="9"/>
  <c r="BDE23" i="9"/>
  <c r="BDF23" i="9"/>
  <c r="BDG23" i="9"/>
  <c r="BDH23" i="9"/>
  <c r="BDI23" i="9"/>
  <c r="BDJ23" i="9"/>
  <c r="BDK23" i="9"/>
  <c r="BDL23" i="9"/>
  <c r="BDM23" i="9"/>
  <c r="BDN23" i="9"/>
  <c r="BDO23" i="9"/>
  <c r="BDP23" i="9"/>
  <c r="BDQ23" i="9"/>
  <c r="BDR23" i="9"/>
  <c r="BDS23" i="9"/>
  <c r="BDT23" i="9"/>
  <c r="BDU23" i="9"/>
  <c r="BDV23" i="9"/>
  <c r="BDW23" i="9"/>
  <c r="BDX23" i="9"/>
  <c r="BDY23" i="9"/>
  <c r="BDZ23" i="9"/>
  <c r="BEA23" i="9"/>
  <c r="BEB23" i="9"/>
  <c r="BEC23" i="9"/>
  <c r="BED23" i="9"/>
  <c r="BEE23" i="9"/>
  <c r="BEF23" i="9"/>
  <c r="BEG23" i="9"/>
  <c r="BEH23" i="9"/>
  <c r="BEI23" i="9"/>
  <c r="BEJ23" i="9"/>
  <c r="BEK23" i="9"/>
  <c r="BEL23" i="9"/>
  <c r="BEM23" i="9"/>
  <c r="BEN23" i="9"/>
  <c r="BEO23" i="9"/>
  <c r="BBG23" i="9"/>
  <c r="BBH23" i="9"/>
  <c r="BBI23" i="9"/>
  <c r="BBJ23" i="9"/>
  <c r="BBK23" i="9"/>
  <c r="BBL23" i="9"/>
  <c r="BBM23" i="9"/>
  <c r="BBN23" i="9"/>
  <c r="BBO23" i="9"/>
  <c r="BBP23" i="9"/>
  <c r="BBQ23" i="9"/>
  <c r="BBR23" i="9"/>
  <c r="BBS23" i="9"/>
  <c r="BBT23" i="9"/>
  <c r="BBU23" i="9"/>
  <c r="BBV23" i="9"/>
  <c r="BBW23" i="9"/>
  <c r="BBX23" i="9"/>
  <c r="BBY23" i="9"/>
  <c r="BBZ23" i="9"/>
  <c r="BCA23" i="9"/>
  <c r="BCB23" i="9"/>
  <c r="BCC23" i="9"/>
  <c r="BCD23" i="9"/>
  <c r="BCE23" i="9"/>
  <c r="BCF23" i="9"/>
  <c r="BCG23" i="9"/>
  <c r="BCH23" i="9"/>
  <c r="BCI23" i="9"/>
  <c r="BCJ23" i="9"/>
  <c r="BCK23" i="9"/>
  <c r="BCL23" i="9"/>
  <c r="BCM23" i="9"/>
  <c r="BCN23" i="9"/>
  <c r="BCO23" i="9"/>
  <c r="BCP23" i="9"/>
  <c r="BCQ23" i="9"/>
  <c r="BCR23" i="9"/>
  <c r="BCS23" i="9"/>
  <c r="BCT23" i="9"/>
  <c r="BCU23" i="9"/>
  <c r="BCV23" i="9"/>
  <c r="BCW23" i="9"/>
  <c r="AZO23" i="9"/>
  <c r="AZP23" i="9"/>
  <c r="AZQ23" i="9"/>
  <c r="AZR23" i="9"/>
  <c r="AZS23" i="9"/>
  <c r="AZT23" i="9"/>
  <c r="AZU23" i="9"/>
  <c r="AZV23" i="9"/>
  <c r="AZW23" i="9"/>
  <c r="AZX23" i="9"/>
  <c r="AZY23" i="9"/>
  <c r="AZZ23" i="9"/>
  <c r="BAA23" i="9"/>
  <c r="BAB23" i="9"/>
  <c r="BAC23" i="9"/>
  <c r="BAD23" i="9"/>
  <c r="BAE23" i="9"/>
  <c r="BAF23" i="9"/>
  <c r="BAG23" i="9"/>
  <c r="BAH23" i="9"/>
  <c r="BAI23" i="9"/>
  <c r="BAJ23" i="9"/>
  <c r="BAK23" i="9"/>
  <c r="BAL23" i="9"/>
  <c r="BAM23" i="9"/>
  <c r="BAN23" i="9"/>
  <c r="BAO23" i="9"/>
  <c r="BAP23" i="9"/>
  <c r="BAQ23" i="9"/>
  <c r="BAR23" i="9"/>
  <c r="BAS23" i="9"/>
  <c r="BAT23" i="9"/>
  <c r="BAU23" i="9"/>
  <c r="BAV23" i="9"/>
  <c r="BAW23" i="9"/>
  <c r="BAX23" i="9"/>
  <c r="BAY23" i="9"/>
  <c r="BAZ23" i="9"/>
  <c r="BBA23" i="9"/>
  <c r="BBB23" i="9"/>
  <c r="BBC23" i="9"/>
  <c r="BBD23" i="9"/>
  <c r="BBE23" i="9"/>
  <c r="AXW23" i="9"/>
  <c r="AXX23" i="9"/>
  <c r="AXY23" i="9"/>
  <c r="AXZ23" i="9"/>
  <c r="AYA23" i="9"/>
  <c r="AYB23" i="9"/>
  <c r="AYC23" i="9"/>
  <c r="AYD23" i="9"/>
  <c r="AYE23" i="9"/>
  <c r="AYF23" i="9"/>
  <c r="AYG23" i="9"/>
  <c r="AYH23" i="9"/>
  <c r="AYI23" i="9"/>
  <c r="AYJ23" i="9"/>
  <c r="AYK23" i="9"/>
  <c r="AYL23" i="9"/>
  <c r="AYM23" i="9"/>
  <c r="AYN23" i="9"/>
  <c r="AYO23" i="9"/>
  <c r="AYP23" i="9"/>
  <c r="AYQ23" i="9"/>
  <c r="AYR23" i="9"/>
  <c r="AYS23" i="9"/>
  <c r="AYT23" i="9"/>
  <c r="AYU23" i="9"/>
  <c r="AYV23" i="9"/>
  <c r="AYW23" i="9"/>
  <c r="AYX23" i="9"/>
  <c r="AYY23" i="9"/>
  <c r="AYZ23" i="9"/>
  <c r="AZA23" i="9"/>
  <c r="AZB23" i="9"/>
  <c r="AZC23" i="9"/>
  <c r="AZD23" i="9"/>
  <c r="AZE23" i="9"/>
  <c r="AZF23" i="9"/>
  <c r="AZG23" i="9"/>
  <c r="AZH23" i="9"/>
  <c r="AZI23" i="9"/>
  <c r="AZJ23" i="9"/>
  <c r="AZK23" i="9"/>
  <c r="AZL23" i="9"/>
  <c r="AZM23" i="9"/>
  <c r="AWE23" i="9"/>
  <c r="AWF23" i="9"/>
  <c r="AWG23" i="9"/>
  <c r="AWH23" i="9"/>
  <c r="AWI23" i="9"/>
  <c r="AWJ23" i="9"/>
  <c r="AWK23" i="9"/>
  <c r="AWL23" i="9"/>
  <c r="AWM23" i="9"/>
  <c r="AWN23" i="9"/>
  <c r="AWO23" i="9"/>
  <c r="AWP23" i="9"/>
  <c r="AWQ23" i="9"/>
  <c r="AWR23" i="9"/>
  <c r="AWS23" i="9"/>
  <c r="AWT23" i="9"/>
  <c r="AWU23" i="9"/>
  <c r="AWV23" i="9"/>
  <c r="AWW23" i="9"/>
  <c r="AWX23" i="9"/>
  <c r="AWY23" i="9"/>
  <c r="AWZ23" i="9"/>
  <c r="AXA23" i="9"/>
  <c r="AXB23" i="9"/>
  <c r="AXC23" i="9"/>
  <c r="AXD23" i="9"/>
  <c r="AXE23" i="9"/>
  <c r="AXF23" i="9"/>
  <c r="AXG23" i="9"/>
  <c r="AXH23" i="9"/>
  <c r="AXI23" i="9"/>
  <c r="AXJ23" i="9"/>
  <c r="AXK23" i="9"/>
  <c r="AXL23" i="9"/>
  <c r="AXM23" i="9"/>
  <c r="AXN23" i="9"/>
  <c r="AXO23" i="9"/>
  <c r="AXP23" i="9"/>
  <c r="AXQ23" i="9"/>
  <c r="AXR23" i="9"/>
  <c r="AXS23" i="9"/>
  <c r="AXT23" i="9"/>
  <c r="AXU23" i="9"/>
  <c r="AUM23" i="9"/>
  <c r="AUN23" i="9"/>
  <c r="AUO23" i="9"/>
  <c r="AUP23" i="9"/>
  <c r="AUQ23" i="9"/>
  <c r="AUR23" i="9"/>
  <c r="AUS23" i="9"/>
  <c r="AUT23" i="9"/>
  <c r="AUU23" i="9"/>
  <c r="AUV23" i="9"/>
  <c r="AUW23" i="9"/>
  <c r="AUX23" i="9"/>
  <c r="AUY23" i="9"/>
  <c r="AUZ23" i="9"/>
  <c r="AVA23" i="9"/>
  <c r="AVB23" i="9"/>
  <c r="AVC23" i="9"/>
  <c r="AVD23" i="9"/>
  <c r="AVE23" i="9"/>
  <c r="AVF23" i="9"/>
  <c r="AVG23" i="9"/>
  <c r="AVH23" i="9"/>
  <c r="AVI23" i="9"/>
  <c r="AVJ23" i="9"/>
  <c r="AVK23" i="9"/>
  <c r="AVL23" i="9"/>
  <c r="AVM23" i="9"/>
  <c r="AVN23" i="9"/>
  <c r="AVO23" i="9"/>
  <c r="AVP23" i="9"/>
  <c r="AVQ23" i="9"/>
  <c r="AVR23" i="9"/>
  <c r="AVS23" i="9"/>
  <c r="AVT23" i="9"/>
  <c r="AVU23" i="9"/>
  <c r="AVV23" i="9"/>
  <c r="AVW23" i="9"/>
  <c r="AVX23" i="9"/>
  <c r="AVY23" i="9"/>
  <c r="AVZ23" i="9"/>
  <c r="AWA23" i="9"/>
  <c r="AWB23" i="9"/>
  <c r="AWC23" i="9"/>
  <c r="ASU23" i="9"/>
  <c r="ASV23" i="9"/>
  <c r="ASW23" i="9"/>
  <c r="ASX23" i="9"/>
  <c r="ASY23" i="9"/>
  <c r="ASZ23" i="9"/>
  <c r="ATA23" i="9"/>
  <c r="ATB23" i="9"/>
  <c r="ATC23" i="9"/>
  <c r="ATD23" i="9"/>
  <c r="ATE23" i="9"/>
  <c r="ATF23" i="9"/>
  <c r="ATG23" i="9"/>
  <c r="ATH23" i="9"/>
  <c r="ATI23" i="9"/>
  <c r="ATJ23" i="9"/>
  <c r="ATK23" i="9"/>
  <c r="ATL23" i="9"/>
  <c r="ATM23" i="9"/>
  <c r="ATN23" i="9"/>
  <c r="ATO23" i="9"/>
  <c r="ATP23" i="9"/>
  <c r="ATQ23" i="9"/>
  <c r="ATR23" i="9"/>
  <c r="ATS23" i="9"/>
  <c r="ATT23" i="9"/>
  <c r="ATU23" i="9"/>
  <c r="ATV23" i="9"/>
  <c r="ATW23" i="9"/>
  <c r="ATX23" i="9"/>
  <c r="ATY23" i="9"/>
  <c r="ATZ23" i="9"/>
  <c r="AUA23" i="9"/>
  <c r="AUB23" i="9"/>
  <c r="AUC23" i="9"/>
  <c r="AUD23" i="9"/>
  <c r="AUE23" i="9"/>
  <c r="AUF23" i="9"/>
  <c r="AUG23" i="9"/>
  <c r="AUH23" i="9"/>
  <c r="AUI23" i="9"/>
  <c r="AUJ23" i="9"/>
  <c r="AUK23" i="9"/>
  <c r="ARC23" i="9"/>
  <c r="ARD23" i="9"/>
  <c r="ARE23" i="9"/>
  <c r="ARF23" i="9"/>
  <c r="ARG23" i="9"/>
  <c r="ARH23" i="9"/>
  <c r="ARI23" i="9"/>
  <c r="ARJ23" i="9"/>
  <c r="ARK23" i="9"/>
  <c r="ARL23" i="9"/>
  <c r="ARM23" i="9"/>
  <c r="ARN23" i="9"/>
  <c r="ARO23" i="9"/>
  <c r="ARP23" i="9"/>
  <c r="ARQ23" i="9"/>
  <c r="ARR23" i="9"/>
  <c r="ARS23" i="9"/>
  <c r="ART23" i="9"/>
  <c r="ARU23" i="9"/>
  <c r="ARV23" i="9"/>
  <c r="ARW23" i="9"/>
  <c r="ARX23" i="9"/>
  <c r="ARY23" i="9"/>
  <c r="ARZ23" i="9"/>
  <c r="ASA23" i="9"/>
  <c r="ASB23" i="9"/>
  <c r="ASC23" i="9"/>
  <c r="ASD23" i="9"/>
  <c r="ASE23" i="9"/>
  <c r="ASF23" i="9"/>
  <c r="ASG23" i="9"/>
  <c r="ASH23" i="9"/>
  <c r="ASI23" i="9"/>
  <c r="ASJ23" i="9"/>
  <c r="ASK23" i="9"/>
  <c r="ASL23" i="9"/>
  <c r="ASM23" i="9"/>
  <c r="ASN23" i="9"/>
  <c r="ASO23" i="9"/>
  <c r="ASP23" i="9"/>
  <c r="ASQ23" i="9"/>
  <c r="ASR23" i="9"/>
  <c r="ASS23" i="9"/>
  <c r="APK23" i="9"/>
  <c r="APL23" i="9"/>
  <c r="APM23" i="9"/>
  <c r="APN23" i="9"/>
  <c r="APO23" i="9"/>
  <c r="APP23" i="9"/>
  <c r="APQ23" i="9"/>
  <c r="APR23" i="9"/>
  <c r="APS23" i="9"/>
  <c r="APT23" i="9"/>
  <c r="APU23" i="9"/>
  <c r="APV23" i="9"/>
  <c r="APW23" i="9"/>
  <c r="APX23" i="9"/>
  <c r="APY23" i="9"/>
  <c r="APZ23" i="9"/>
  <c r="AQA23" i="9"/>
  <c r="AQB23" i="9"/>
  <c r="AQC23" i="9"/>
  <c r="AQD23" i="9"/>
  <c r="AQE23" i="9"/>
  <c r="AQF23" i="9"/>
  <c r="AQG23" i="9"/>
  <c r="AQH23" i="9"/>
  <c r="AQI23" i="9"/>
  <c r="AQJ23" i="9"/>
  <c r="AQK23" i="9"/>
  <c r="AQL23" i="9"/>
  <c r="AQM23" i="9"/>
  <c r="AQN23" i="9"/>
  <c r="AQO23" i="9"/>
  <c r="AQP23" i="9"/>
  <c r="AQQ23" i="9"/>
  <c r="AQR23" i="9"/>
  <c r="AQS23" i="9"/>
  <c r="AQT23" i="9"/>
  <c r="AQU23" i="9"/>
  <c r="AQV23" i="9"/>
  <c r="AQW23" i="9"/>
  <c r="AQX23" i="9"/>
  <c r="AQY23" i="9"/>
  <c r="AQZ23" i="9"/>
  <c r="ARA23" i="9"/>
  <c r="ANS23" i="9"/>
  <c r="ANT23" i="9"/>
  <c r="ANU23" i="9"/>
  <c r="ANV23" i="9"/>
  <c r="ANW23" i="9"/>
  <c r="ANX23" i="9"/>
  <c r="ANY23" i="9"/>
  <c r="ANZ23" i="9"/>
  <c r="AOA23" i="9"/>
  <c r="AOB23" i="9"/>
  <c r="AOC23" i="9"/>
  <c r="AOD23" i="9"/>
  <c r="AOE23" i="9"/>
  <c r="AOF23" i="9"/>
  <c r="AOG23" i="9"/>
  <c r="AOH23" i="9"/>
  <c r="AOI23" i="9"/>
  <c r="AOJ23" i="9"/>
  <c r="AOK23" i="9"/>
  <c r="AOL23" i="9"/>
  <c r="AOM23" i="9"/>
  <c r="AON23" i="9"/>
  <c r="AOO23" i="9"/>
  <c r="AOP23" i="9"/>
  <c r="AOQ23" i="9"/>
  <c r="AOR23" i="9"/>
  <c r="AOS23" i="9"/>
  <c r="AOT23" i="9"/>
  <c r="AOU23" i="9"/>
  <c r="AOV23" i="9"/>
  <c r="AOW23" i="9"/>
  <c r="AOX23" i="9"/>
  <c r="AOY23" i="9"/>
  <c r="AOZ23" i="9"/>
  <c r="APA23" i="9"/>
  <c r="APB23" i="9"/>
  <c r="APC23" i="9"/>
  <c r="APD23" i="9"/>
  <c r="APE23" i="9"/>
  <c r="APF23" i="9"/>
  <c r="APG23" i="9"/>
  <c r="APH23" i="9"/>
  <c r="API23" i="9"/>
  <c r="AMA23" i="9"/>
  <c r="AMB23" i="9"/>
  <c r="AMC23" i="9"/>
  <c r="AMD23" i="9"/>
  <c r="AME23" i="9"/>
  <c r="AMF23" i="9"/>
  <c r="AMG23" i="9"/>
  <c r="AMH23" i="9"/>
  <c r="AMI23" i="9"/>
  <c r="AMJ23" i="9"/>
  <c r="AMK23" i="9"/>
  <c r="AML23" i="9"/>
  <c r="AMM23" i="9"/>
  <c r="AMN23" i="9"/>
  <c r="AMO23" i="9"/>
  <c r="AMP23" i="9"/>
  <c r="AMQ23" i="9"/>
  <c r="AMR23" i="9"/>
  <c r="AMS23" i="9"/>
  <c r="AMT23" i="9"/>
  <c r="AMU23" i="9"/>
  <c r="AMV23" i="9"/>
  <c r="AMW23" i="9"/>
  <c r="AMX23" i="9"/>
  <c r="AMY23" i="9"/>
  <c r="AMZ23" i="9"/>
  <c r="ANA23" i="9"/>
  <c r="ANB23" i="9"/>
  <c r="ANC23" i="9"/>
  <c r="AND23" i="9"/>
  <c r="ANE23" i="9"/>
  <c r="ANF23" i="9"/>
  <c r="ANG23" i="9"/>
  <c r="ANH23" i="9"/>
  <c r="ANI23" i="9"/>
  <c r="ANJ23" i="9"/>
  <c r="ANK23" i="9"/>
  <c r="ANL23" i="9"/>
  <c r="ANM23" i="9"/>
  <c r="ANN23" i="9"/>
  <c r="ANO23" i="9"/>
  <c r="ANP23" i="9"/>
  <c r="ANQ23" i="9"/>
  <c r="AKI23" i="9"/>
  <c r="AKJ23" i="9"/>
  <c r="AKK23" i="9"/>
  <c r="AKL23" i="9"/>
  <c r="AKM23" i="9"/>
  <c r="AKN23" i="9"/>
  <c r="AKO23" i="9"/>
  <c r="AKP23" i="9"/>
  <c r="AKQ23" i="9"/>
  <c r="AKR23" i="9"/>
  <c r="AKS23" i="9"/>
  <c r="AKT23" i="9"/>
  <c r="AKU23" i="9"/>
  <c r="AKV23" i="9"/>
  <c r="AKW23" i="9"/>
  <c r="AKX23" i="9"/>
  <c r="AKY23" i="9"/>
  <c r="AKZ23" i="9"/>
  <c r="ALA23" i="9"/>
  <c r="ALB23" i="9"/>
  <c r="ALC23" i="9"/>
  <c r="ALD23" i="9"/>
  <c r="ALE23" i="9"/>
  <c r="ALF23" i="9"/>
  <c r="ALG23" i="9"/>
  <c r="ALH23" i="9"/>
  <c r="ALI23" i="9"/>
  <c r="ALJ23" i="9"/>
  <c r="ALK23" i="9"/>
  <c r="ALL23" i="9"/>
  <c r="ALM23" i="9"/>
  <c r="ALN23" i="9"/>
  <c r="ALO23" i="9"/>
  <c r="ALP23" i="9"/>
  <c r="ALQ23" i="9"/>
  <c r="ALR23" i="9"/>
  <c r="ALS23" i="9"/>
  <c r="ALT23" i="9"/>
  <c r="ALU23" i="9"/>
  <c r="ALV23" i="9"/>
  <c r="ALW23" i="9"/>
  <c r="ALX23" i="9"/>
  <c r="ALY23" i="9"/>
  <c r="AIQ23" i="9"/>
  <c r="AIR23" i="9"/>
  <c r="AIS23" i="9"/>
  <c r="AIT23" i="9"/>
  <c r="AIU23" i="9"/>
  <c r="AIV23" i="9"/>
  <c r="AIW23" i="9"/>
  <c r="AIX23" i="9"/>
  <c r="AIY23" i="9"/>
  <c r="AIZ23" i="9"/>
  <c r="AJA23" i="9"/>
  <c r="AJB23" i="9"/>
  <c r="AJC23" i="9"/>
  <c r="AJD23" i="9"/>
  <c r="AJE23" i="9"/>
  <c r="AJF23" i="9"/>
  <c r="AJG23" i="9"/>
  <c r="AJH23" i="9"/>
  <c r="AJI23" i="9"/>
  <c r="AJJ23" i="9"/>
  <c r="AJK23" i="9"/>
  <c r="AJL23" i="9"/>
  <c r="AJM23" i="9"/>
  <c r="AJN23" i="9"/>
  <c r="AJO23" i="9"/>
  <c r="AJP23" i="9"/>
  <c r="AJQ23" i="9"/>
  <c r="AJR23" i="9"/>
  <c r="AJS23" i="9"/>
  <c r="AJT23" i="9"/>
  <c r="AJU23" i="9"/>
  <c r="AJV23" i="9"/>
  <c r="AJW23" i="9"/>
  <c r="AJX23" i="9"/>
  <c r="AJY23" i="9"/>
  <c r="AJZ23" i="9"/>
  <c r="AKA23" i="9"/>
  <c r="AKB23" i="9"/>
  <c r="AKC23" i="9"/>
  <c r="AKD23" i="9"/>
  <c r="AKE23" i="9"/>
  <c r="AKF23" i="9"/>
  <c r="AKG23" i="9"/>
  <c r="AGY23" i="9"/>
  <c r="AGZ23" i="9"/>
  <c r="AHA23" i="9"/>
  <c r="AHB23" i="9"/>
  <c r="AHC23" i="9"/>
  <c r="AHD23" i="9"/>
  <c r="AHE23" i="9"/>
  <c r="AHF23" i="9"/>
  <c r="AHG23" i="9"/>
  <c r="AHH23" i="9"/>
  <c r="AHI23" i="9"/>
  <c r="AHJ23" i="9"/>
  <c r="AHK23" i="9"/>
  <c r="AHL23" i="9"/>
  <c r="AHM23" i="9"/>
  <c r="AHN23" i="9"/>
  <c r="AHO23" i="9"/>
  <c r="AHP23" i="9"/>
  <c r="AHQ23" i="9"/>
  <c r="AHR23" i="9"/>
  <c r="AHS23" i="9"/>
  <c r="AHT23" i="9"/>
  <c r="AHU23" i="9"/>
  <c r="AHV23" i="9"/>
  <c r="AHW23" i="9"/>
  <c r="AHX23" i="9"/>
  <c r="AHY23" i="9"/>
  <c r="AHZ23" i="9"/>
  <c r="AIA23" i="9"/>
  <c r="AIB23" i="9"/>
  <c r="AIC23" i="9"/>
  <c r="AID23" i="9"/>
  <c r="AIE23" i="9"/>
  <c r="AIF23" i="9"/>
  <c r="AIG23" i="9"/>
  <c r="AIH23" i="9"/>
  <c r="AII23" i="9"/>
  <c r="AIJ23" i="9"/>
  <c r="AIK23" i="9"/>
  <c r="AIL23" i="9"/>
  <c r="AIM23" i="9"/>
  <c r="AIN23" i="9"/>
  <c r="AIO23" i="9"/>
  <c r="AFG23" i="9"/>
  <c r="AFH23" i="9"/>
  <c r="AFI23" i="9"/>
  <c r="AFJ23" i="9"/>
  <c r="AFK23" i="9"/>
  <c r="AFL23" i="9"/>
  <c r="AFM23" i="9"/>
  <c r="AFN23" i="9"/>
  <c r="AFO23" i="9"/>
  <c r="AFP23" i="9"/>
  <c r="AFQ23" i="9"/>
  <c r="AFR23" i="9"/>
  <c r="AFS23" i="9"/>
  <c r="AFT23" i="9"/>
  <c r="AFU23" i="9"/>
  <c r="AFV23" i="9"/>
  <c r="AFW23" i="9"/>
  <c r="AFX23" i="9"/>
  <c r="AFY23" i="9"/>
  <c r="AFZ23" i="9"/>
  <c r="AGA23" i="9"/>
  <c r="AGB23" i="9"/>
  <c r="AGC23" i="9"/>
  <c r="AGD23" i="9"/>
  <c r="AGE23" i="9"/>
  <c r="AGF23" i="9"/>
  <c r="AGG23" i="9"/>
  <c r="AGH23" i="9"/>
  <c r="AGI23" i="9"/>
  <c r="AGJ23" i="9"/>
  <c r="AGK23" i="9"/>
  <c r="AGL23" i="9"/>
  <c r="AGM23" i="9"/>
  <c r="AGN23" i="9"/>
  <c r="AGO23" i="9"/>
  <c r="AGP23" i="9"/>
  <c r="AGQ23" i="9"/>
  <c r="AGR23" i="9"/>
  <c r="AGS23" i="9"/>
  <c r="AGT23" i="9"/>
  <c r="AGU23" i="9"/>
  <c r="AGV23" i="9"/>
  <c r="AGW23" i="9"/>
  <c r="ADO23" i="9"/>
  <c r="ADP23" i="9"/>
  <c r="ADQ23" i="9"/>
  <c r="ADR23" i="9"/>
  <c r="ADS23" i="9"/>
  <c r="ADT23" i="9"/>
  <c r="ADU23" i="9"/>
  <c r="ADV23" i="9"/>
  <c r="ADW23" i="9"/>
  <c r="ADX23" i="9"/>
  <c r="ADY23" i="9"/>
  <c r="ADZ23" i="9"/>
  <c r="AEA23" i="9"/>
  <c r="AEB23" i="9"/>
  <c r="AEC23" i="9"/>
  <c r="AED23" i="9"/>
  <c r="AEE23" i="9"/>
  <c r="AEF23" i="9"/>
  <c r="AEG23" i="9"/>
  <c r="AEH23" i="9"/>
  <c r="AEI23" i="9"/>
  <c r="AEJ23" i="9"/>
  <c r="AEK23" i="9"/>
  <c r="AEL23" i="9"/>
  <c r="AEM23" i="9"/>
  <c r="AEN23" i="9"/>
  <c r="AEO23" i="9"/>
  <c r="AEP23" i="9"/>
  <c r="AEQ23" i="9"/>
  <c r="AER23" i="9"/>
  <c r="AES23" i="9"/>
  <c r="AET23" i="9"/>
  <c r="AEU23" i="9"/>
  <c r="AEV23" i="9"/>
  <c r="AEW23" i="9"/>
  <c r="AEX23" i="9"/>
  <c r="AEY23" i="9"/>
  <c r="AEZ23" i="9"/>
  <c r="AFA23" i="9"/>
  <c r="AFB23" i="9"/>
  <c r="AFC23" i="9"/>
  <c r="AFD23" i="9"/>
  <c r="AFE23" i="9"/>
  <c r="ABW23" i="9"/>
  <c r="ABX23" i="9"/>
  <c r="ABY23" i="9"/>
  <c r="ABZ23" i="9"/>
  <c r="ACA23" i="9"/>
  <c r="ACB23" i="9"/>
  <c r="ACC23" i="9"/>
  <c r="ACD23" i="9"/>
  <c r="ACE23" i="9"/>
  <c r="ACF23" i="9"/>
  <c r="ACG23" i="9"/>
  <c r="ACH23" i="9"/>
  <c r="ACI23" i="9"/>
  <c r="ACJ23" i="9"/>
  <c r="ACK23" i="9"/>
  <c r="ACL23" i="9"/>
  <c r="ACM23" i="9"/>
  <c r="ACN23" i="9"/>
  <c r="ACO23" i="9"/>
  <c r="ACP23" i="9"/>
  <c r="ACQ23" i="9"/>
  <c r="ACR23" i="9"/>
  <c r="ACS23" i="9"/>
  <c r="ACT23" i="9"/>
  <c r="ACU23" i="9"/>
  <c r="ACV23" i="9"/>
  <c r="ACW23" i="9"/>
  <c r="ACX23" i="9"/>
  <c r="ACY23" i="9"/>
  <c r="ACZ23" i="9"/>
  <c r="ADA23" i="9"/>
  <c r="ADB23" i="9"/>
  <c r="ADC23" i="9"/>
  <c r="ADD23" i="9"/>
  <c r="ADE23" i="9"/>
  <c r="ADF23" i="9"/>
  <c r="ADG23" i="9"/>
  <c r="ADH23" i="9"/>
  <c r="ADI23" i="9"/>
  <c r="ADJ23" i="9"/>
  <c r="ADK23" i="9"/>
  <c r="ADL23" i="9"/>
  <c r="ADM23" i="9"/>
  <c r="AAE23" i="9"/>
  <c r="AAF23" i="9"/>
  <c r="AAG23" i="9"/>
  <c r="AAH23" i="9"/>
  <c r="AAI23" i="9"/>
  <c r="AAJ23" i="9"/>
  <c r="AAK23" i="9"/>
  <c r="AAL23" i="9"/>
  <c r="AAM23" i="9"/>
  <c r="AAN23" i="9"/>
  <c r="AAO23" i="9"/>
  <c r="AAP23" i="9"/>
  <c r="AAQ23" i="9"/>
  <c r="AAR23" i="9"/>
  <c r="AAS23" i="9"/>
  <c r="AAT23" i="9"/>
  <c r="AAU23" i="9"/>
  <c r="AAV23" i="9"/>
  <c r="AAW23" i="9"/>
  <c r="AAX23" i="9"/>
  <c r="AAY23" i="9"/>
  <c r="AAZ23" i="9"/>
  <c r="ABA23" i="9"/>
  <c r="ABB23" i="9"/>
  <c r="ABC23" i="9"/>
  <c r="ABD23" i="9"/>
  <c r="ABE23" i="9"/>
  <c r="ABF23" i="9"/>
  <c r="ABG23" i="9"/>
  <c r="ABH23" i="9"/>
  <c r="ABI23" i="9"/>
  <c r="ABJ23" i="9"/>
  <c r="ABK23" i="9"/>
  <c r="ABL23" i="9"/>
  <c r="ABM23" i="9"/>
  <c r="ABN23" i="9"/>
  <c r="ABO23" i="9"/>
  <c r="ABP23" i="9"/>
  <c r="ABQ23" i="9"/>
  <c r="ABR23" i="9"/>
  <c r="ABS23" i="9"/>
  <c r="ABT23" i="9"/>
  <c r="ABU23" i="9"/>
  <c r="YM23" i="9"/>
  <c r="YN23" i="9"/>
  <c r="YO23" i="9"/>
  <c r="YP23" i="9"/>
  <c r="YQ23" i="9"/>
  <c r="YR23" i="9"/>
  <c r="YS23" i="9"/>
  <c r="YT23" i="9"/>
  <c r="YU23" i="9"/>
  <c r="YV23" i="9"/>
  <c r="YW23" i="9"/>
  <c r="YX23" i="9"/>
  <c r="YY23" i="9"/>
  <c r="YZ23" i="9"/>
  <c r="ZA23" i="9"/>
  <c r="ZB23" i="9"/>
  <c r="ZC23" i="9"/>
  <c r="ZD23" i="9"/>
  <c r="ZE23" i="9"/>
  <c r="ZF23" i="9"/>
  <c r="ZG23" i="9"/>
  <c r="ZH23" i="9"/>
  <c r="ZI23" i="9"/>
  <c r="ZJ23" i="9"/>
  <c r="ZK23" i="9"/>
  <c r="ZL23" i="9"/>
  <c r="ZM23" i="9"/>
  <c r="ZN23" i="9"/>
  <c r="ZO23" i="9"/>
  <c r="ZP23" i="9"/>
  <c r="ZQ23" i="9"/>
  <c r="ZR23" i="9"/>
  <c r="ZS23" i="9"/>
  <c r="ZT23" i="9"/>
  <c r="ZU23" i="9"/>
  <c r="ZV23" i="9"/>
  <c r="ZW23" i="9"/>
  <c r="ZX23" i="9"/>
  <c r="ZY23" i="9"/>
  <c r="ZZ23" i="9"/>
  <c r="AAA23" i="9"/>
  <c r="AAB23" i="9"/>
  <c r="AAC23" i="9"/>
  <c r="WU23" i="9"/>
  <c r="WV23" i="9"/>
  <c r="WW23" i="9"/>
  <c r="WX23" i="9"/>
  <c r="WY23" i="9"/>
  <c r="WZ23" i="9"/>
  <c r="XA23" i="9"/>
  <c r="XB23" i="9"/>
  <c r="XC23" i="9"/>
  <c r="XD23" i="9"/>
  <c r="XE23" i="9"/>
  <c r="XF23" i="9"/>
  <c r="XG23" i="9"/>
  <c r="XH23" i="9"/>
  <c r="XI23" i="9"/>
  <c r="XJ23" i="9"/>
  <c r="XK23" i="9"/>
  <c r="XL23" i="9"/>
  <c r="XM23" i="9"/>
  <c r="XN23" i="9"/>
  <c r="XO23" i="9"/>
  <c r="XP23" i="9"/>
  <c r="XQ23" i="9"/>
  <c r="XR23" i="9"/>
  <c r="XS23" i="9"/>
  <c r="XT23" i="9"/>
  <c r="XU23" i="9"/>
  <c r="XV23" i="9"/>
  <c r="XW23" i="9"/>
  <c r="XX23" i="9"/>
  <c r="XY23" i="9"/>
  <c r="XZ23" i="9"/>
  <c r="YA23" i="9"/>
  <c r="YB23" i="9"/>
  <c r="YC23" i="9"/>
  <c r="YD23" i="9"/>
  <c r="YE23" i="9"/>
  <c r="YF23" i="9"/>
  <c r="YG23" i="9"/>
  <c r="YH23" i="9"/>
  <c r="YI23" i="9"/>
  <c r="YJ23" i="9"/>
  <c r="YK23" i="9"/>
  <c r="VC23" i="9"/>
  <c r="VD23" i="9"/>
  <c r="VE23" i="9"/>
  <c r="VF23" i="9"/>
  <c r="VG23" i="9"/>
  <c r="VH23" i="9"/>
  <c r="VI23" i="9"/>
  <c r="VJ23" i="9"/>
  <c r="VK23" i="9"/>
  <c r="VL23" i="9"/>
  <c r="VM23" i="9"/>
  <c r="VN23" i="9"/>
  <c r="VO23" i="9"/>
  <c r="VP23" i="9"/>
  <c r="VQ23" i="9"/>
  <c r="VR23" i="9"/>
  <c r="VS23" i="9"/>
  <c r="VT23" i="9"/>
  <c r="VU23" i="9"/>
  <c r="VV23" i="9"/>
  <c r="VW23" i="9"/>
  <c r="VX23" i="9"/>
  <c r="VY23" i="9"/>
  <c r="VZ23" i="9"/>
  <c r="WA23" i="9"/>
  <c r="WB23" i="9"/>
  <c r="WC23" i="9"/>
  <c r="WD23" i="9"/>
  <c r="WE23" i="9"/>
  <c r="WF23" i="9"/>
  <c r="WG23" i="9"/>
  <c r="WH23" i="9"/>
  <c r="WI23" i="9"/>
  <c r="WJ23" i="9"/>
  <c r="WK23" i="9"/>
  <c r="WL23" i="9"/>
  <c r="WM23" i="9"/>
  <c r="WN23" i="9"/>
  <c r="WO23" i="9"/>
  <c r="WP23" i="9"/>
  <c r="WQ23" i="9"/>
  <c r="WR23" i="9"/>
  <c r="WS23" i="9"/>
  <c r="TK23" i="9"/>
  <c r="TL23" i="9"/>
  <c r="TM23" i="9"/>
  <c r="TN23" i="9"/>
  <c r="TO23" i="9"/>
  <c r="TP23" i="9"/>
  <c r="TQ23" i="9"/>
  <c r="TR23" i="9"/>
  <c r="TS23" i="9"/>
  <c r="TT23" i="9"/>
  <c r="TU23" i="9"/>
  <c r="TV23" i="9"/>
  <c r="TW23" i="9"/>
  <c r="TX23" i="9"/>
  <c r="TY23" i="9"/>
  <c r="TZ23" i="9"/>
  <c r="UA23" i="9"/>
  <c r="UB23" i="9"/>
  <c r="UC23" i="9"/>
  <c r="UD23" i="9"/>
  <c r="UE23" i="9"/>
  <c r="UF23" i="9"/>
  <c r="UG23" i="9"/>
  <c r="UH23" i="9"/>
  <c r="UI23" i="9"/>
  <c r="UJ23" i="9"/>
  <c r="UK23" i="9"/>
  <c r="UL23" i="9"/>
  <c r="UM23" i="9"/>
  <c r="UN23" i="9"/>
  <c r="UO23" i="9"/>
  <c r="UP23" i="9"/>
  <c r="UQ23" i="9"/>
  <c r="UR23" i="9"/>
  <c r="US23" i="9"/>
  <c r="UT23" i="9"/>
  <c r="UU23" i="9"/>
  <c r="UV23" i="9"/>
  <c r="UW23" i="9"/>
  <c r="UX23" i="9"/>
  <c r="UY23" i="9"/>
  <c r="UZ23" i="9"/>
  <c r="VA23" i="9"/>
  <c r="RS23" i="9"/>
  <c r="RT23" i="9"/>
  <c r="RU23" i="9"/>
  <c r="RV23" i="9"/>
  <c r="RW23" i="9"/>
  <c r="RX23" i="9"/>
  <c r="RY23" i="9"/>
  <c r="RZ23" i="9"/>
  <c r="SA23" i="9"/>
  <c r="SB23" i="9"/>
  <c r="SC23" i="9"/>
  <c r="SD23" i="9"/>
  <c r="SE23" i="9"/>
  <c r="SF23" i="9"/>
  <c r="SG23" i="9"/>
  <c r="SH23" i="9"/>
  <c r="SI23" i="9"/>
  <c r="SJ23" i="9"/>
  <c r="SK23" i="9"/>
  <c r="SL23" i="9"/>
  <c r="SM23" i="9"/>
  <c r="SN23" i="9"/>
  <c r="SO23" i="9"/>
  <c r="SP23" i="9"/>
  <c r="SQ23" i="9"/>
  <c r="SR23" i="9"/>
  <c r="SS23" i="9"/>
  <c r="ST23" i="9"/>
  <c r="SU23" i="9"/>
  <c r="SV23" i="9"/>
  <c r="SW23" i="9"/>
  <c r="SX23" i="9"/>
  <c r="SY23" i="9"/>
  <c r="SZ23" i="9"/>
  <c r="TA23" i="9"/>
  <c r="TB23" i="9"/>
  <c r="TC23" i="9"/>
  <c r="TD23" i="9"/>
  <c r="TE23" i="9"/>
  <c r="TF23" i="9"/>
  <c r="TG23" i="9"/>
  <c r="TH23" i="9"/>
  <c r="TI23" i="9"/>
  <c r="QA23" i="9"/>
  <c r="QB23" i="9"/>
  <c r="QC23" i="9"/>
  <c r="QD23" i="9"/>
  <c r="QE23" i="9"/>
  <c r="QF23" i="9"/>
  <c r="QG23" i="9"/>
  <c r="QH23" i="9"/>
  <c r="QI23" i="9"/>
  <c r="QJ23" i="9"/>
  <c r="QK23" i="9"/>
  <c r="QL23" i="9"/>
  <c r="QM23" i="9"/>
  <c r="QN23" i="9"/>
  <c r="QO23" i="9"/>
  <c r="QP23" i="9"/>
  <c r="QQ23" i="9"/>
  <c r="QR23" i="9"/>
  <c r="QS23" i="9"/>
  <c r="QT23" i="9"/>
  <c r="QU23" i="9"/>
  <c r="QV23" i="9"/>
  <c r="QW23" i="9"/>
  <c r="QX23" i="9"/>
  <c r="QY23" i="9"/>
  <c r="QZ23" i="9"/>
  <c r="RA23" i="9"/>
  <c r="RB23" i="9"/>
  <c r="RC23" i="9"/>
  <c r="RD23" i="9"/>
  <c r="RE23" i="9"/>
  <c r="RF23" i="9"/>
  <c r="RG23" i="9"/>
  <c r="RH23" i="9"/>
  <c r="RI23" i="9"/>
  <c r="RJ23" i="9"/>
  <c r="RK23" i="9"/>
  <c r="RL23" i="9"/>
  <c r="RM23" i="9"/>
  <c r="RN23" i="9"/>
  <c r="RO23" i="9"/>
  <c r="RP23" i="9"/>
  <c r="RQ23" i="9"/>
  <c r="OI23" i="9"/>
  <c r="OJ23" i="9"/>
  <c r="OK23" i="9"/>
  <c r="OL23" i="9"/>
  <c r="OM23" i="9"/>
  <c r="ON23" i="9"/>
  <c r="OO23" i="9"/>
  <c r="OP23" i="9"/>
  <c r="OQ23" i="9"/>
  <c r="OR23" i="9"/>
  <c r="OS23" i="9"/>
  <c r="OT23" i="9"/>
  <c r="OU23" i="9"/>
  <c r="OV23" i="9"/>
  <c r="OW23" i="9"/>
  <c r="OX23" i="9"/>
  <c r="OY23" i="9"/>
  <c r="OZ23" i="9"/>
  <c r="PA23" i="9"/>
  <c r="PB23" i="9"/>
  <c r="PC23" i="9"/>
  <c r="PD23" i="9"/>
  <c r="PE23" i="9"/>
  <c r="PF23" i="9"/>
  <c r="PG23" i="9"/>
  <c r="PH23" i="9"/>
  <c r="PI23" i="9"/>
  <c r="PJ23" i="9"/>
  <c r="PK23" i="9"/>
  <c r="PL23" i="9"/>
  <c r="PM23" i="9"/>
  <c r="PN23" i="9"/>
  <c r="PO23" i="9"/>
  <c r="PP23" i="9"/>
  <c r="PQ23" i="9"/>
  <c r="PR23" i="9"/>
  <c r="PS23" i="9"/>
  <c r="PT23" i="9"/>
  <c r="PU23" i="9"/>
  <c r="PV23" i="9"/>
  <c r="PW23" i="9"/>
  <c r="PX23" i="9"/>
  <c r="PY23" i="9"/>
  <c r="MQ23" i="9"/>
  <c r="MR23" i="9"/>
  <c r="MS23" i="9"/>
  <c r="MT23" i="9"/>
  <c r="MU23" i="9"/>
  <c r="MV23" i="9"/>
  <c r="MW23" i="9"/>
  <c r="MX23" i="9"/>
  <c r="MY23" i="9"/>
  <c r="MZ23" i="9"/>
  <c r="NA23" i="9"/>
  <c r="NB23" i="9"/>
  <c r="NC23" i="9"/>
  <c r="ND23" i="9"/>
  <c r="NE23" i="9"/>
  <c r="NF23" i="9"/>
  <c r="NG23" i="9"/>
  <c r="NH23" i="9"/>
  <c r="NI23" i="9"/>
  <c r="NJ23" i="9"/>
  <c r="NK23" i="9"/>
  <c r="NL23" i="9"/>
  <c r="NM23" i="9"/>
  <c r="NN23" i="9"/>
  <c r="NO23" i="9"/>
  <c r="NP23" i="9"/>
  <c r="NQ23" i="9"/>
  <c r="NR23" i="9"/>
  <c r="NS23" i="9"/>
  <c r="NT23" i="9"/>
  <c r="NU23" i="9"/>
  <c r="NV23" i="9"/>
  <c r="NW23" i="9"/>
  <c r="NX23" i="9"/>
  <c r="NY23" i="9"/>
  <c r="NZ23" i="9"/>
  <c r="OA23" i="9"/>
  <c r="OB23" i="9"/>
  <c r="OC23" i="9"/>
  <c r="OD23" i="9"/>
  <c r="OE23" i="9"/>
  <c r="OF23" i="9"/>
  <c r="OG23" i="9"/>
  <c r="KY23" i="9"/>
  <c r="KZ23" i="9"/>
  <c r="LA23" i="9"/>
  <c r="LB23" i="9"/>
  <c r="LC23" i="9"/>
  <c r="LD23" i="9"/>
  <c r="LE23" i="9"/>
  <c r="LF23" i="9"/>
  <c r="LG23" i="9"/>
  <c r="LH23" i="9"/>
  <c r="LI23" i="9"/>
  <c r="LJ23" i="9"/>
  <c r="LK23" i="9"/>
  <c r="LL23" i="9"/>
  <c r="LM23" i="9"/>
  <c r="LN23" i="9"/>
  <c r="LO23" i="9"/>
  <c r="LP23" i="9"/>
  <c r="LQ23" i="9"/>
  <c r="LR23" i="9"/>
  <c r="LS23" i="9"/>
  <c r="LT23" i="9"/>
  <c r="LU23" i="9"/>
  <c r="LV23" i="9"/>
  <c r="LW23" i="9"/>
  <c r="LX23" i="9"/>
  <c r="LY23" i="9"/>
  <c r="LZ23" i="9"/>
  <c r="MA23" i="9"/>
  <c r="MB23" i="9"/>
  <c r="MC23" i="9"/>
  <c r="MD23" i="9"/>
  <c r="ME23" i="9"/>
  <c r="MF23" i="9"/>
  <c r="MG23" i="9"/>
  <c r="MH23" i="9"/>
  <c r="MI23" i="9"/>
  <c r="MJ23" i="9"/>
  <c r="MK23" i="9"/>
  <c r="ML23" i="9"/>
  <c r="MM23" i="9"/>
  <c r="MN23" i="9"/>
  <c r="MO23" i="9"/>
  <c r="JG23" i="9"/>
  <c r="JH23" i="9"/>
  <c r="JI23" i="9"/>
  <c r="JJ23" i="9"/>
  <c r="JK23" i="9"/>
  <c r="JL23" i="9"/>
  <c r="JM23" i="9"/>
  <c r="JN23" i="9"/>
  <c r="JO23" i="9"/>
  <c r="JP23" i="9"/>
  <c r="JQ23" i="9"/>
  <c r="JR23" i="9"/>
  <c r="JS23" i="9"/>
  <c r="JT23" i="9"/>
  <c r="JU23" i="9"/>
  <c r="JV23" i="9"/>
  <c r="JW23" i="9"/>
  <c r="JX23" i="9"/>
  <c r="JY23" i="9"/>
  <c r="JZ23" i="9"/>
  <c r="KA23" i="9"/>
  <c r="KB23" i="9"/>
  <c r="KC23" i="9"/>
  <c r="KD23" i="9"/>
  <c r="KE23" i="9"/>
  <c r="KF23" i="9"/>
  <c r="KG23" i="9"/>
  <c r="KH23" i="9"/>
  <c r="KI23" i="9"/>
  <c r="KJ23" i="9"/>
  <c r="KK23" i="9"/>
  <c r="KL23" i="9"/>
  <c r="KM23" i="9"/>
  <c r="KN23" i="9"/>
  <c r="KO23" i="9"/>
  <c r="KP23" i="9"/>
  <c r="KQ23" i="9"/>
  <c r="KR23" i="9"/>
  <c r="KS23" i="9"/>
  <c r="KT23" i="9"/>
  <c r="KU23" i="9"/>
  <c r="KV23" i="9"/>
  <c r="KW23" i="9"/>
  <c r="HO23" i="9"/>
  <c r="HP23" i="9"/>
  <c r="HQ23" i="9"/>
  <c r="HR23" i="9"/>
  <c r="HS23" i="9"/>
  <c r="HT23" i="9"/>
  <c r="HU23" i="9"/>
  <c r="HV23" i="9"/>
  <c r="HW23" i="9"/>
  <c r="HX23" i="9"/>
  <c r="HY23" i="9"/>
  <c r="HZ23" i="9"/>
  <c r="IA23" i="9"/>
  <c r="IB23" i="9"/>
  <c r="IC23" i="9"/>
  <c r="ID23" i="9"/>
  <c r="IE23" i="9"/>
  <c r="IF23" i="9"/>
  <c r="IG23" i="9"/>
  <c r="IH23" i="9"/>
  <c r="II23" i="9"/>
  <c r="IJ23" i="9"/>
  <c r="IK23" i="9"/>
  <c r="IL23" i="9"/>
  <c r="IM23" i="9"/>
  <c r="IN23" i="9"/>
  <c r="IO23" i="9"/>
  <c r="IP23" i="9"/>
  <c r="IQ23" i="9"/>
  <c r="IR23" i="9"/>
  <c r="IS23" i="9"/>
  <c r="IT23" i="9"/>
  <c r="IU23" i="9"/>
  <c r="IV23" i="9"/>
  <c r="IW23" i="9"/>
  <c r="IX23" i="9"/>
  <c r="IY23" i="9"/>
  <c r="IZ23" i="9"/>
  <c r="JA23" i="9"/>
  <c r="JB23" i="9"/>
  <c r="JC23" i="9"/>
  <c r="JD23" i="9"/>
  <c r="JE23" i="9"/>
  <c r="FV23" i="9"/>
  <c r="FW23" i="9"/>
  <c r="FX23" i="9"/>
  <c r="FY23" i="9"/>
  <c r="FZ23" i="9"/>
  <c r="GA23" i="9"/>
  <c r="GB23" i="9"/>
  <c r="GC23" i="9"/>
  <c r="GD23" i="9"/>
  <c r="GE23" i="9"/>
  <c r="GF23" i="9"/>
  <c r="GG23" i="9"/>
  <c r="GH23" i="9"/>
  <c r="GI23" i="9"/>
  <c r="GJ23" i="9"/>
  <c r="GK23" i="9"/>
  <c r="GL23" i="9"/>
  <c r="GM23" i="9"/>
  <c r="GN23" i="9"/>
  <c r="GO23" i="9"/>
  <c r="GP23" i="9"/>
  <c r="GQ23" i="9"/>
  <c r="GR23" i="9"/>
  <c r="GS23" i="9"/>
  <c r="GT23" i="9"/>
  <c r="GU23" i="9"/>
  <c r="GV23" i="9"/>
  <c r="GW23" i="9"/>
  <c r="GX23" i="9"/>
  <c r="GY23" i="9"/>
  <c r="GZ23" i="9"/>
  <c r="HA23" i="9"/>
  <c r="HB23" i="9"/>
  <c r="HC23" i="9"/>
  <c r="HD23" i="9"/>
  <c r="HE23" i="9"/>
  <c r="HF23" i="9"/>
  <c r="HG23" i="9"/>
  <c r="HH23" i="9"/>
  <c r="HI23" i="9"/>
  <c r="HJ23" i="9"/>
  <c r="HK23" i="9"/>
  <c r="HL23" i="9"/>
  <c r="HM23" i="9"/>
  <c r="ED23" i="9"/>
  <c r="EE23" i="9"/>
  <c r="EF23" i="9"/>
  <c r="EG23" i="9"/>
  <c r="EH23" i="9"/>
  <c r="EI23" i="9"/>
  <c r="EJ23" i="9"/>
  <c r="EK23" i="9"/>
  <c r="EL23" i="9"/>
  <c r="EM23" i="9"/>
  <c r="EN23" i="9"/>
  <c r="EO23" i="9"/>
  <c r="EP23" i="9"/>
  <c r="EQ23" i="9"/>
  <c r="ER23" i="9"/>
  <c r="ES23" i="9"/>
  <c r="ET23" i="9"/>
  <c r="EU23" i="9"/>
  <c r="EV23" i="9"/>
  <c r="EW23" i="9"/>
  <c r="EX23" i="9"/>
  <c r="EY23" i="9"/>
  <c r="EZ23" i="9"/>
  <c r="FA23" i="9"/>
  <c r="FB23" i="9"/>
  <c r="FC23" i="9"/>
  <c r="FD23" i="9"/>
  <c r="FE23" i="9"/>
  <c r="FF23" i="9"/>
  <c r="FG23" i="9"/>
  <c r="FH23" i="9"/>
  <c r="FI23" i="9"/>
  <c r="FJ23" i="9"/>
  <c r="FK23" i="9"/>
  <c r="FL23" i="9"/>
  <c r="FM23" i="9"/>
  <c r="FN23" i="9"/>
  <c r="FO23" i="9"/>
  <c r="FP23" i="9"/>
  <c r="FQ23" i="9"/>
  <c r="FR23" i="9"/>
  <c r="FS23" i="9"/>
  <c r="FT23" i="9"/>
  <c r="FU23" i="9"/>
  <c r="CL23" i="9"/>
  <c r="CM23" i="9"/>
  <c r="CN23" i="9"/>
  <c r="CO23" i="9"/>
  <c r="CP23" i="9"/>
  <c r="CQ23" i="9"/>
  <c r="CR23" i="9"/>
  <c r="CS23" i="9"/>
  <c r="CT23" i="9"/>
  <c r="CU23" i="9"/>
  <c r="CV23" i="9"/>
  <c r="CW23" i="9"/>
  <c r="CX23" i="9"/>
  <c r="CY23" i="9"/>
  <c r="CZ23" i="9"/>
  <c r="DA23" i="9"/>
  <c r="DB23" i="9"/>
  <c r="DC23" i="9"/>
  <c r="DD23" i="9"/>
  <c r="DE23" i="9"/>
  <c r="DF23" i="9"/>
  <c r="DG23" i="9"/>
  <c r="DH23" i="9"/>
  <c r="DI23" i="9"/>
  <c r="DJ23" i="9"/>
  <c r="DK23" i="9"/>
  <c r="DL23" i="9"/>
  <c r="DM23" i="9"/>
  <c r="DN23" i="9"/>
  <c r="DO23" i="9"/>
  <c r="DP23" i="9"/>
  <c r="DQ23" i="9"/>
  <c r="DR23" i="9"/>
  <c r="DS23" i="9"/>
  <c r="DT23" i="9"/>
  <c r="DU23" i="9"/>
  <c r="DV23" i="9"/>
  <c r="DW23" i="9"/>
  <c r="DX23" i="9"/>
  <c r="DY23" i="9"/>
  <c r="DZ23" i="9"/>
  <c r="EA23" i="9"/>
  <c r="EB23" i="9"/>
  <c r="EC23" i="9"/>
  <c r="AT23" i="9"/>
  <c r="AU23" i="9"/>
  <c r="AV23" i="9"/>
  <c r="AW23" i="9"/>
  <c r="AX23" i="9"/>
  <c r="AY23" i="9"/>
  <c r="AZ23" i="9"/>
  <c r="BA23" i="9"/>
  <c r="BB23" i="9"/>
  <c r="BC23" i="9"/>
  <c r="BD23" i="9"/>
  <c r="BE23" i="9"/>
  <c r="BF23" i="9"/>
  <c r="BG23" i="9"/>
  <c r="BH23" i="9"/>
  <c r="BI23" i="9"/>
  <c r="BJ23" i="9"/>
  <c r="BK23" i="9"/>
  <c r="BL23" i="9"/>
  <c r="BM23" i="9"/>
  <c r="BN23" i="9"/>
  <c r="BO23" i="9"/>
  <c r="BP23" i="9"/>
  <c r="BQ23" i="9"/>
  <c r="BR23" i="9"/>
  <c r="BS23" i="9"/>
  <c r="BT23" i="9"/>
  <c r="BU23" i="9"/>
  <c r="BV23" i="9"/>
  <c r="BW23" i="9"/>
  <c r="BX23" i="9"/>
  <c r="BY23" i="9"/>
  <c r="BZ23" i="9"/>
  <c r="CA23" i="9"/>
  <c r="CB23" i="9"/>
  <c r="CC23" i="9"/>
  <c r="CD23" i="9"/>
  <c r="CE23" i="9"/>
  <c r="CF23" i="9"/>
  <c r="CG23" i="9"/>
  <c r="CH23" i="9"/>
  <c r="CI23" i="9"/>
  <c r="CJ23" i="9"/>
  <c r="CK23" i="9"/>
  <c r="B23" i="9"/>
  <c r="C23" i="9"/>
  <c r="D23" i="9"/>
  <c r="E23" i="9"/>
  <c r="F23" i="9"/>
  <c r="G23" i="9"/>
  <c r="H23" i="9"/>
  <c r="I23" i="9"/>
  <c r="J23" i="9"/>
  <c r="K23" i="9"/>
  <c r="L23" i="9"/>
  <c r="M23" i="9"/>
  <c r="N23" i="9"/>
  <c r="O23" i="9"/>
  <c r="P23" i="9"/>
  <c r="Q23" i="9"/>
  <c r="R23" i="9"/>
  <c r="S23" i="9"/>
  <c r="T23" i="9"/>
  <c r="U23" i="9"/>
  <c r="V23" i="9"/>
  <c r="W23" i="9"/>
  <c r="X23" i="9"/>
  <c r="Y23" i="9"/>
  <c r="Z23" i="9"/>
  <c r="AA23" i="9"/>
  <c r="AB23" i="9"/>
  <c r="AC23" i="9"/>
  <c r="AD23" i="9"/>
  <c r="AE23" i="9"/>
  <c r="AF23" i="9"/>
  <c r="AG23" i="9"/>
  <c r="AH23" i="9"/>
  <c r="AI23" i="9"/>
  <c r="AJ23" i="9"/>
  <c r="AK23" i="9"/>
  <c r="AL23" i="9"/>
  <c r="AM23" i="9"/>
  <c r="AN23" i="9"/>
  <c r="AO23" i="9"/>
  <c r="AP23" i="9"/>
  <c r="AQ23" i="9"/>
  <c r="AR23" i="9"/>
  <c r="AS23" i="9"/>
  <c r="OH22" i="9"/>
  <c r="OI22" i="9"/>
  <c r="OJ22" i="9"/>
  <c r="OK22" i="9"/>
  <c r="OL22" i="9"/>
  <c r="OM22" i="9"/>
  <c r="ON22" i="9"/>
  <c r="OO22" i="9"/>
  <c r="OP22" i="9"/>
  <c r="OQ22" i="9"/>
  <c r="OR22" i="9"/>
  <c r="OS22" i="9"/>
  <c r="OT22" i="9"/>
  <c r="OU22" i="9"/>
  <c r="OV22" i="9"/>
  <c r="OW22" i="9"/>
  <c r="OX22" i="9"/>
  <c r="OY22" i="9"/>
  <c r="OZ22" i="9"/>
  <c r="PA22" i="9"/>
  <c r="PB22" i="9"/>
  <c r="PC22" i="9"/>
  <c r="PD22" i="9"/>
  <c r="PE22" i="9"/>
  <c r="PF22" i="9"/>
  <c r="PG22" i="9"/>
  <c r="PH22" i="9"/>
  <c r="PI22" i="9"/>
  <c r="PJ22" i="9"/>
  <c r="PK22" i="9"/>
  <c r="PL22" i="9"/>
  <c r="PM22" i="9"/>
  <c r="PN22" i="9"/>
  <c r="PO22" i="9"/>
  <c r="PP22" i="9"/>
  <c r="PQ22" i="9"/>
  <c r="PR22" i="9"/>
  <c r="PS22" i="9"/>
  <c r="PT22" i="9"/>
  <c r="PU22" i="9"/>
  <c r="PV22" i="9"/>
  <c r="PW22" i="9"/>
  <c r="PX22" i="9"/>
  <c r="PY22" i="9"/>
  <c r="MP22" i="9"/>
  <c r="MQ22" i="9"/>
  <c r="MR22" i="9"/>
  <c r="MS22" i="9"/>
  <c r="MT22" i="9"/>
  <c r="MU22" i="9"/>
  <c r="MV22" i="9"/>
  <c r="MW22" i="9"/>
  <c r="MX22" i="9"/>
  <c r="MY22" i="9"/>
  <c r="MZ22" i="9"/>
  <c r="NA22" i="9"/>
  <c r="NB22" i="9"/>
  <c r="NC22" i="9"/>
  <c r="ND22" i="9"/>
  <c r="NE22" i="9"/>
  <c r="NF22" i="9"/>
  <c r="NG22" i="9"/>
  <c r="NH22" i="9"/>
  <c r="NI22" i="9"/>
  <c r="NJ22" i="9"/>
  <c r="NK22" i="9"/>
  <c r="NL22" i="9"/>
  <c r="NM22" i="9"/>
  <c r="NN22" i="9"/>
  <c r="NO22" i="9"/>
  <c r="NP22" i="9"/>
  <c r="NQ22" i="9"/>
  <c r="NR22" i="9"/>
  <c r="NS22" i="9"/>
  <c r="NT22" i="9"/>
  <c r="NU22" i="9"/>
  <c r="NV22" i="9"/>
  <c r="NW22" i="9"/>
  <c r="NX22" i="9"/>
  <c r="NY22" i="9"/>
  <c r="NZ22" i="9"/>
  <c r="OA22" i="9"/>
  <c r="OB22" i="9"/>
  <c r="OC22" i="9"/>
  <c r="OD22" i="9"/>
  <c r="OE22" i="9"/>
  <c r="OF22" i="9"/>
  <c r="OG22" i="9"/>
  <c r="KX22" i="9"/>
  <c r="KY22" i="9"/>
  <c r="KZ22" i="9"/>
  <c r="LA22" i="9"/>
  <c r="LB22" i="9"/>
  <c r="LC22" i="9"/>
  <c r="LD22" i="9"/>
  <c r="LE22" i="9"/>
  <c r="LF22" i="9"/>
  <c r="LG22" i="9"/>
  <c r="LH22" i="9"/>
  <c r="LI22" i="9"/>
  <c r="LJ22" i="9"/>
  <c r="LK22" i="9"/>
  <c r="LL22" i="9"/>
  <c r="LM22" i="9"/>
  <c r="LN22" i="9"/>
  <c r="LO22" i="9"/>
  <c r="LP22" i="9"/>
  <c r="LQ22" i="9"/>
  <c r="LR22" i="9"/>
  <c r="LS22" i="9"/>
  <c r="LT22" i="9"/>
  <c r="LU22" i="9"/>
  <c r="LV22" i="9"/>
  <c r="LW22" i="9"/>
  <c r="LX22" i="9"/>
  <c r="LY22" i="9"/>
  <c r="LZ22" i="9"/>
  <c r="MA22" i="9"/>
  <c r="MB22" i="9"/>
  <c r="MC22" i="9"/>
  <c r="MD22" i="9"/>
  <c r="ME22" i="9"/>
  <c r="MF22" i="9"/>
  <c r="MG22" i="9"/>
  <c r="MH22" i="9"/>
  <c r="MI22" i="9"/>
  <c r="MJ22" i="9"/>
  <c r="MK22" i="9"/>
  <c r="ML22" i="9"/>
  <c r="MM22" i="9"/>
  <c r="MN22" i="9"/>
  <c r="MO22" i="9"/>
  <c r="JF22" i="9"/>
  <c r="JG22" i="9"/>
  <c r="JH22" i="9"/>
  <c r="JI22" i="9"/>
  <c r="JJ22" i="9"/>
  <c r="JK22" i="9"/>
  <c r="JL22" i="9"/>
  <c r="JM22" i="9"/>
  <c r="JN22" i="9"/>
  <c r="JO22" i="9"/>
  <c r="JP22" i="9"/>
  <c r="JQ22" i="9"/>
  <c r="JR22" i="9"/>
  <c r="JS22" i="9"/>
  <c r="JT22" i="9"/>
  <c r="JU22" i="9"/>
  <c r="JV22" i="9"/>
  <c r="JW22" i="9"/>
  <c r="JX22" i="9"/>
  <c r="JY22" i="9"/>
  <c r="JZ22" i="9"/>
  <c r="KA22" i="9"/>
  <c r="KB22" i="9"/>
  <c r="KC22" i="9"/>
  <c r="KD22" i="9"/>
  <c r="KE22" i="9"/>
  <c r="KF22" i="9"/>
  <c r="KG22" i="9"/>
  <c r="KH22" i="9"/>
  <c r="KI22" i="9"/>
  <c r="KJ22" i="9"/>
  <c r="KK22" i="9"/>
  <c r="KL22" i="9"/>
  <c r="KM22" i="9"/>
  <c r="KN22" i="9"/>
  <c r="KO22" i="9"/>
  <c r="KP22" i="9"/>
  <c r="KQ22" i="9"/>
  <c r="KR22" i="9"/>
  <c r="KS22" i="9"/>
  <c r="KT22" i="9"/>
  <c r="KU22" i="9"/>
  <c r="KV22" i="9"/>
  <c r="KW22" i="9"/>
  <c r="HN22" i="9"/>
  <c r="HO22" i="9"/>
  <c r="HP22" i="9"/>
  <c r="HQ22" i="9"/>
  <c r="HR22" i="9"/>
  <c r="HS22" i="9"/>
  <c r="HT22" i="9"/>
  <c r="HU22" i="9"/>
  <c r="HV22" i="9"/>
  <c r="HW22" i="9"/>
  <c r="HX22" i="9"/>
  <c r="HY22" i="9"/>
  <c r="HZ22" i="9"/>
  <c r="IA22" i="9"/>
  <c r="IB22" i="9"/>
  <c r="IC22" i="9"/>
  <c r="ID22" i="9"/>
  <c r="IE22" i="9"/>
  <c r="IF22" i="9"/>
  <c r="IG22" i="9"/>
  <c r="IH22" i="9"/>
  <c r="II22" i="9"/>
  <c r="IJ22" i="9"/>
  <c r="IK22" i="9"/>
  <c r="IL22" i="9"/>
  <c r="IM22" i="9"/>
  <c r="IN22" i="9"/>
  <c r="IO22" i="9"/>
  <c r="IP22" i="9"/>
  <c r="IQ22" i="9"/>
  <c r="IR22" i="9"/>
  <c r="IS22" i="9"/>
  <c r="IT22" i="9"/>
  <c r="IU22" i="9"/>
  <c r="IV22" i="9"/>
  <c r="IW22" i="9"/>
  <c r="IX22" i="9"/>
  <c r="IY22" i="9"/>
  <c r="IZ22" i="9"/>
  <c r="JA22" i="9"/>
  <c r="JB22" i="9"/>
  <c r="JC22" i="9"/>
  <c r="JD22" i="9"/>
  <c r="JE22" i="9"/>
  <c r="FV22" i="9"/>
  <c r="FW22" i="9"/>
  <c r="FX22" i="9"/>
  <c r="FY22" i="9"/>
  <c r="FZ22" i="9"/>
  <c r="GA22" i="9"/>
  <c r="GB22" i="9"/>
  <c r="GC22" i="9"/>
  <c r="GD22" i="9"/>
  <c r="GE22" i="9"/>
  <c r="GF22" i="9"/>
  <c r="GG22" i="9"/>
  <c r="GH22" i="9"/>
  <c r="GI22" i="9"/>
  <c r="GJ22" i="9"/>
  <c r="GK22" i="9"/>
  <c r="GL22" i="9"/>
  <c r="GM22" i="9"/>
  <c r="GN22" i="9"/>
  <c r="GO22" i="9"/>
  <c r="GP22" i="9"/>
  <c r="GQ22" i="9"/>
  <c r="GR22" i="9"/>
  <c r="GS22" i="9"/>
  <c r="GT22" i="9"/>
  <c r="GU22" i="9"/>
  <c r="GV22" i="9"/>
  <c r="GW22" i="9"/>
  <c r="GX22" i="9"/>
  <c r="GY22" i="9"/>
  <c r="GZ22" i="9"/>
  <c r="HA22" i="9"/>
  <c r="HB22" i="9"/>
  <c r="HC22" i="9"/>
  <c r="HD22" i="9"/>
  <c r="HE22" i="9"/>
  <c r="HF22" i="9"/>
  <c r="HG22" i="9"/>
  <c r="HH22" i="9"/>
  <c r="HI22" i="9"/>
  <c r="HJ22" i="9"/>
  <c r="HK22" i="9"/>
  <c r="HL22" i="9"/>
  <c r="HM22" i="9"/>
  <c r="ED22" i="9"/>
  <c r="EE22" i="9"/>
  <c r="EF22" i="9"/>
  <c r="EG22" i="9"/>
  <c r="EH22" i="9"/>
  <c r="EI22" i="9"/>
  <c r="EJ22" i="9"/>
  <c r="EK22" i="9"/>
  <c r="EL22" i="9"/>
  <c r="EM22" i="9"/>
  <c r="EN22" i="9"/>
  <c r="EO22" i="9"/>
  <c r="EP22" i="9"/>
  <c r="EQ22" i="9"/>
  <c r="ER22" i="9"/>
  <c r="ES22" i="9"/>
  <c r="ET22" i="9"/>
  <c r="EU22" i="9"/>
  <c r="EV22" i="9"/>
  <c r="EW22" i="9"/>
  <c r="EX22" i="9"/>
  <c r="EY22" i="9"/>
  <c r="EZ22" i="9"/>
  <c r="FA22" i="9"/>
  <c r="FB22" i="9"/>
  <c r="FC22" i="9"/>
  <c r="FD22" i="9"/>
  <c r="FE22" i="9"/>
  <c r="FF22" i="9"/>
  <c r="FG22" i="9"/>
  <c r="FH22" i="9"/>
  <c r="FI22" i="9"/>
  <c r="FJ22" i="9"/>
  <c r="FK22" i="9"/>
  <c r="FL22" i="9"/>
  <c r="FM22" i="9"/>
  <c r="FN22" i="9"/>
  <c r="FO22" i="9"/>
  <c r="FP22" i="9"/>
  <c r="FQ22" i="9"/>
  <c r="FR22" i="9"/>
  <c r="FS22" i="9"/>
  <c r="FT22" i="9"/>
  <c r="FU22" i="9"/>
  <c r="CL22" i="9"/>
  <c r="CM22" i="9"/>
  <c r="CN22" i="9"/>
  <c r="CO22" i="9"/>
  <c r="CP22" i="9"/>
  <c r="CQ22" i="9"/>
  <c r="CR22" i="9"/>
  <c r="CS22" i="9"/>
  <c r="CT22" i="9"/>
  <c r="CU22" i="9"/>
  <c r="CV22" i="9"/>
  <c r="CW22" i="9"/>
  <c r="CX22" i="9"/>
  <c r="CY22" i="9"/>
  <c r="CZ22" i="9"/>
  <c r="DA22" i="9"/>
  <c r="DB22" i="9"/>
  <c r="DC22" i="9"/>
  <c r="DD22" i="9"/>
  <c r="DE22" i="9"/>
  <c r="DF22" i="9"/>
  <c r="DG22" i="9"/>
  <c r="DH22" i="9"/>
  <c r="DI22" i="9"/>
  <c r="DJ22" i="9"/>
  <c r="DK22" i="9"/>
  <c r="DL22" i="9"/>
  <c r="DM22" i="9"/>
  <c r="DN22" i="9"/>
  <c r="DO22" i="9"/>
  <c r="DP22" i="9"/>
  <c r="DQ22" i="9"/>
  <c r="DR22" i="9"/>
  <c r="DS22" i="9"/>
  <c r="DT22" i="9"/>
  <c r="DU22" i="9"/>
  <c r="DV22" i="9"/>
  <c r="DW22" i="9"/>
  <c r="DX22" i="9"/>
  <c r="DY22" i="9"/>
  <c r="DZ22" i="9"/>
  <c r="EA22" i="9"/>
  <c r="EB22" i="9"/>
  <c r="EC22" i="9"/>
  <c r="AT22" i="9"/>
  <c r="AU22" i="9"/>
  <c r="AV22" i="9"/>
  <c r="AW22" i="9"/>
  <c r="AX22" i="9"/>
  <c r="AY22" i="9"/>
  <c r="AZ22" i="9"/>
  <c r="BA22" i="9"/>
  <c r="BB22" i="9"/>
  <c r="BC22" i="9"/>
  <c r="BD22" i="9"/>
  <c r="BE22" i="9"/>
  <c r="BF22" i="9"/>
  <c r="BG22" i="9"/>
  <c r="BH22" i="9"/>
  <c r="BI22" i="9"/>
  <c r="BJ22" i="9"/>
  <c r="BK22" i="9"/>
  <c r="BL22" i="9"/>
  <c r="BM22" i="9"/>
  <c r="BN22" i="9"/>
  <c r="BO22" i="9"/>
  <c r="BP22" i="9"/>
  <c r="BQ22" i="9"/>
  <c r="BR22" i="9"/>
  <c r="BS22" i="9"/>
  <c r="BT22" i="9"/>
  <c r="BU22" i="9"/>
  <c r="BV22" i="9"/>
  <c r="BW22" i="9"/>
  <c r="BX22" i="9"/>
  <c r="BY22" i="9"/>
  <c r="BZ22" i="9"/>
  <c r="CA22" i="9"/>
  <c r="CB22" i="9"/>
  <c r="CC22" i="9"/>
  <c r="CD22" i="9"/>
  <c r="CE22" i="9"/>
  <c r="CF22" i="9"/>
  <c r="CG22" i="9"/>
  <c r="CH22" i="9"/>
  <c r="CI22" i="9"/>
  <c r="CJ22" i="9"/>
  <c r="CK22" i="9"/>
  <c r="B22" i="9"/>
  <c r="C22" i="9"/>
  <c r="D22" i="9"/>
  <c r="E22" i="9"/>
  <c r="F22" i="9"/>
  <c r="G22" i="9"/>
  <c r="H22" i="9"/>
  <c r="I22" i="9"/>
  <c r="J22" i="9"/>
  <c r="K22" i="9"/>
  <c r="L22" i="9"/>
  <c r="M22" i="9"/>
  <c r="N22" i="9"/>
  <c r="O22" i="9"/>
  <c r="P22" i="9"/>
  <c r="Q22" i="9"/>
  <c r="R22" i="9"/>
  <c r="S22" i="9"/>
  <c r="T22" i="9"/>
  <c r="U22" i="9"/>
  <c r="V22" i="9"/>
  <c r="W22" i="9"/>
  <c r="X22" i="9"/>
  <c r="Y22" i="9"/>
  <c r="Z22" i="9"/>
  <c r="AA22" i="9"/>
  <c r="AB22" i="9"/>
  <c r="AC22" i="9"/>
  <c r="AD22" i="9"/>
  <c r="AE22" i="9"/>
  <c r="AF22" i="9"/>
  <c r="AG22" i="9"/>
  <c r="AH22" i="9"/>
  <c r="AI22" i="9"/>
  <c r="AJ22" i="9"/>
  <c r="AK22" i="9"/>
  <c r="AL22" i="9"/>
  <c r="AM22" i="9"/>
  <c r="AN22" i="9"/>
  <c r="AO22" i="9"/>
  <c r="AP22" i="9"/>
  <c r="AQ22" i="9"/>
  <c r="AR22" i="9"/>
  <c r="AS22" i="9"/>
  <c r="BNB21" i="9"/>
  <c r="BNC21" i="9"/>
  <c r="BND21" i="9"/>
  <c r="BNE21" i="9"/>
  <c r="BNF21" i="9"/>
  <c r="BNG21" i="9"/>
  <c r="BNH21" i="9"/>
  <c r="BNI21" i="9"/>
  <c r="BNJ21" i="9"/>
  <c r="BNK21" i="9"/>
  <c r="BNL21" i="9"/>
  <c r="BNM21" i="9"/>
  <c r="BNN21" i="9"/>
  <c r="BNO21" i="9"/>
  <c r="BNP21" i="9"/>
  <c r="BNQ21" i="9"/>
  <c r="BNR21" i="9"/>
  <c r="BNS21" i="9"/>
  <c r="BNT21" i="9"/>
  <c r="BNU21" i="9"/>
  <c r="BNV21" i="9"/>
  <c r="BNW21" i="9"/>
  <c r="BNX21" i="9"/>
  <c r="BNY21" i="9"/>
  <c r="BNZ21" i="9"/>
  <c r="BOA21" i="9"/>
  <c r="BOB21" i="9"/>
  <c r="BOC21" i="9"/>
  <c r="BOD21" i="9"/>
  <c r="BOE21" i="9"/>
  <c r="BOF21" i="9"/>
  <c r="BOG21" i="9"/>
  <c r="BOH21" i="9"/>
  <c r="BOI21" i="9"/>
  <c r="BOJ21" i="9"/>
  <c r="BOK21" i="9"/>
  <c r="BOL21" i="9"/>
  <c r="BOM21" i="9"/>
  <c r="BON21" i="9"/>
  <c r="BOO21" i="9"/>
  <c r="BOP21" i="9"/>
  <c r="BOQ21" i="9"/>
  <c r="BOR21" i="9"/>
  <c r="BOS21" i="9"/>
  <c r="BLJ21" i="9"/>
  <c r="BLK21" i="9"/>
  <c r="BLL21" i="9"/>
  <c r="BLM21" i="9"/>
  <c r="BLN21" i="9"/>
  <c r="BLO21" i="9"/>
  <c r="BLP21" i="9"/>
  <c r="BLQ21" i="9"/>
  <c r="BLR21" i="9"/>
  <c r="BLS21" i="9"/>
  <c r="BLT21" i="9"/>
  <c r="BLU21" i="9"/>
  <c r="BLV21" i="9"/>
  <c r="BLW21" i="9"/>
  <c r="BLX21" i="9"/>
  <c r="BLY21" i="9"/>
  <c r="BLZ21" i="9"/>
  <c r="BMA21" i="9"/>
  <c r="BMB21" i="9"/>
  <c r="BMC21" i="9"/>
  <c r="BMD21" i="9"/>
  <c r="BME21" i="9"/>
  <c r="BMF21" i="9"/>
  <c r="BMG21" i="9"/>
  <c r="BMH21" i="9"/>
  <c r="BMI21" i="9"/>
  <c r="BMJ21" i="9"/>
  <c r="BMK21" i="9"/>
  <c r="BML21" i="9"/>
  <c r="BMM21" i="9"/>
  <c r="BMN21" i="9"/>
  <c r="BMO21" i="9"/>
  <c r="BMP21" i="9"/>
  <c r="BMQ21" i="9"/>
  <c r="BMR21" i="9"/>
  <c r="BMS21" i="9"/>
  <c r="BMT21" i="9"/>
  <c r="BMU21" i="9"/>
  <c r="BMV21" i="9"/>
  <c r="BMW21" i="9"/>
  <c r="BMX21" i="9"/>
  <c r="BMY21" i="9"/>
  <c r="BMZ21" i="9"/>
  <c r="BNA21" i="9"/>
  <c r="BJR21" i="9"/>
  <c r="BJS21" i="9"/>
  <c r="BJT21" i="9"/>
  <c r="BJU21" i="9"/>
  <c r="BJV21" i="9"/>
  <c r="BJW21" i="9"/>
  <c r="BJX21" i="9"/>
  <c r="BJY21" i="9"/>
  <c r="BJZ21" i="9"/>
  <c r="BKA21" i="9"/>
  <c r="BKB21" i="9"/>
  <c r="BKC21" i="9"/>
  <c r="BKD21" i="9"/>
  <c r="BKE21" i="9"/>
  <c r="BKF21" i="9"/>
  <c r="BKG21" i="9"/>
  <c r="BKH21" i="9"/>
  <c r="BKI21" i="9"/>
  <c r="BKJ21" i="9"/>
  <c r="BKK21" i="9"/>
  <c r="BKL21" i="9"/>
  <c r="BKM21" i="9"/>
  <c r="BKN21" i="9"/>
  <c r="BKO21" i="9"/>
  <c r="BKP21" i="9"/>
  <c r="BKQ21" i="9"/>
  <c r="BKR21" i="9"/>
  <c r="BKS21" i="9"/>
  <c r="BKT21" i="9"/>
  <c r="BKU21" i="9"/>
  <c r="BKV21" i="9"/>
  <c r="BKW21" i="9"/>
  <c r="BKX21" i="9"/>
  <c r="BKY21" i="9"/>
  <c r="BKZ21" i="9"/>
  <c r="BLA21" i="9"/>
  <c r="BLB21" i="9"/>
  <c r="BLC21" i="9"/>
  <c r="BLD21" i="9"/>
  <c r="BLE21" i="9"/>
  <c r="BLF21" i="9"/>
  <c r="BLG21" i="9"/>
  <c r="BLH21" i="9"/>
  <c r="BLI21" i="9"/>
  <c r="BHZ21" i="9"/>
  <c r="BIA21" i="9"/>
  <c r="BIB21" i="9"/>
  <c r="BIC21" i="9"/>
  <c r="BID21" i="9"/>
  <c r="BIE21" i="9"/>
  <c r="BIF21" i="9"/>
  <c r="BIG21" i="9"/>
  <c r="BIH21" i="9"/>
  <c r="BII21" i="9"/>
  <c r="BIJ21" i="9"/>
  <c r="BIK21" i="9"/>
  <c r="BIL21" i="9"/>
  <c r="BIM21" i="9"/>
  <c r="BIN21" i="9"/>
  <c r="BIO21" i="9"/>
  <c r="BIP21" i="9"/>
  <c r="BIQ21" i="9"/>
  <c r="BIR21" i="9"/>
  <c r="BIS21" i="9"/>
  <c r="BIT21" i="9"/>
  <c r="BIU21" i="9"/>
  <c r="BIV21" i="9"/>
  <c r="BIW21" i="9"/>
  <c r="BIX21" i="9"/>
  <c r="BIY21" i="9"/>
  <c r="BIZ21" i="9"/>
  <c r="BJA21" i="9"/>
  <c r="BJB21" i="9"/>
  <c r="BJC21" i="9"/>
  <c r="BJD21" i="9"/>
  <c r="BJE21" i="9"/>
  <c r="BJF21" i="9"/>
  <c r="BJG21" i="9"/>
  <c r="BJH21" i="9"/>
  <c r="BJI21" i="9"/>
  <c r="BJJ21" i="9"/>
  <c r="BJK21" i="9"/>
  <c r="BJL21" i="9"/>
  <c r="BJM21" i="9"/>
  <c r="BJN21" i="9"/>
  <c r="BJO21" i="9"/>
  <c r="BJP21" i="9"/>
  <c r="BJQ21" i="9"/>
  <c r="BGH21" i="9"/>
  <c r="BGI21" i="9"/>
  <c r="BGJ21" i="9"/>
  <c r="BGK21" i="9"/>
  <c r="BGL21" i="9"/>
  <c r="BGM21" i="9"/>
  <c r="BGN21" i="9"/>
  <c r="BGO21" i="9"/>
  <c r="BGP21" i="9"/>
  <c r="BGQ21" i="9"/>
  <c r="BGR21" i="9"/>
  <c r="BGS21" i="9"/>
  <c r="BGT21" i="9"/>
  <c r="BGU21" i="9"/>
  <c r="BGV21" i="9"/>
  <c r="BGW21" i="9"/>
  <c r="BGX21" i="9"/>
  <c r="BGY21" i="9"/>
  <c r="BGZ21" i="9"/>
  <c r="BHA21" i="9"/>
  <c r="BHB21" i="9"/>
  <c r="BHC21" i="9"/>
  <c r="BHD21" i="9"/>
  <c r="BHE21" i="9"/>
  <c r="BHF21" i="9"/>
  <c r="BHG21" i="9"/>
  <c r="BHH21" i="9"/>
  <c r="BHI21" i="9"/>
  <c r="BHJ21" i="9"/>
  <c r="BHK21" i="9"/>
  <c r="BHL21" i="9"/>
  <c r="BHM21" i="9"/>
  <c r="BHN21" i="9"/>
  <c r="BHO21" i="9"/>
  <c r="BHP21" i="9"/>
  <c r="BHQ21" i="9"/>
  <c r="BHR21" i="9"/>
  <c r="BHS21" i="9"/>
  <c r="BHT21" i="9"/>
  <c r="BHU21" i="9"/>
  <c r="BHV21" i="9"/>
  <c r="BHW21" i="9"/>
  <c r="BHX21" i="9"/>
  <c r="BHY21" i="9"/>
  <c r="BEP21" i="9"/>
  <c r="BEQ21" i="9"/>
  <c r="BER21" i="9"/>
  <c r="BES21" i="9"/>
  <c r="BET21" i="9"/>
  <c r="BEU21" i="9"/>
  <c r="BEV21" i="9"/>
  <c r="BEW21" i="9"/>
  <c r="BEX21" i="9"/>
  <c r="BEY21" i="9"/>
  <c r="BEZ21" i="9"/>
  <c r="BFA21" i="9"/>
  <c r="BFB21" i="9"/>
  <c r="BFC21" i="9"/>
  <c r="BFD21" i="9"/>
  <c r="BFE21" i="9"/>
  <c r="BFF21" i="9"/>
  <c r="BFG21" i="9"/>
  <c r="BFH21" i="9"/>
  <c r="BFI21" i="9"/>
  <c r="BFJ21" i="9"/>
  <c r="BFK21" i="9"/>
  <c r="BFL21" i="9"/>
  <c r="BFM21" i="9"/>
  <c r="BFN21" i="9"/>
  <c r="BFO21" i="9"/>
  <c r="BFP21" i="9"/>
  <c r="BFQ21" i="9"/>
  <c r="BFR21" i="9"/>
  <c r="BFS21" i="9"/>
  <c r="BFT21" i="9"/>
  <c r="BFU21" i="9"/>
  <c r="BFV21" i="9"/>
  <c r="BFW21" i="9"/>
  <c r="BFX21" i="9"/>
  <c r="BFY21" i="9"/>
  <c r="BFZ21" i="9"/>
  <c r="BGA21" i="9"/>
  <c r="BGB21" i="9"/>
  <c r="BGC21" i="9"/>
  <c r="BGD21" i="9"/>
  <c r="BGE21" i="9"/>
  <c r="BGF21" i="9"/>
  <c r="BGG21" i="9"/>
  <c r="BCY21" i="9"/>
  <c r="BCZ21" i="9"/>
  <c r="BDA21" i="9"/>
  <c r="BDB21" i="9"/>
  <c r="BDC21" i="9"/>
  <c r="BDD21" i="9"/>
  <c r="BDE21" i="9"/>
  <c r="BDF21" i="9"/>
  <c r="BDG21" i="9"/>
  <c r="BDH21" i="9"/>
  <c r="BDI21" i="9"/>
  <c r="BDJ21" i="9"/>
  <c r="BDK21" i="9"/>
  <c r="BDL21" i="9"/>
  <c r="BDM21" i="9"/>
  <c r="BDN21" i="9"/>
  <c r="BDO21" i="9"/>
  <c r="BDP21" i="9"/>
  <c r="BDQ21" i="9"/>
  <c r="BDR21" i="9"/>
  <c r="BDS21" i="9"/>
  <c r="BDT21" i="9"/>
  <c r="BDU21" i="9"/>
  <c r="BDV21" i="9"/>
  <c r="BDW21" i="9"/>
  <c r="BDX21" i="9"/>
  <c r="BDY21" i="9"/>
  <c r="BDZ21" i="9"/>
  <c r="BEA21" i="9"/>
  <c r="BEB21" i="9"/>
  <c r="BEC21" i="9"/>
  <c r="BED21" i="9"/>
  <c r="BEE21" i="9"/>
  <c r="BEF21" i="9"/>
  <c r="BEG21" i="9"/>
  <c r="BEH21" i="9"/>
  <c r="BEI21" i="9"/>
  <c r="BEJ21" i="9"/>
  <c r="BEK21" i="9"/>
  <c r="BEL21" i="9"/>
  <c r="BEM21" i="9"/>
  <c r="BEN21" i="9"/>
  <c r="BEO21" i="9"/>
  <c r="BBG21" i="9"/>
  <c r="BBH21" i="9"/>
  <c r="BBI21" i="9"/>
  <c r="BBJ21" i="9"/>
  <c r="BBK21" i="9"/>
  <c r="BBL21" i="9"/>
  <c r="BBM21" i="9"/>
  <c r="BBN21" i="9"/>
  <c r="BBO21" i="9"/>
  <c r="BBP21" i="9"/>
  <c r="BBQ21" i="9"/>
  <c r="BBR21" i="9"/>
  <c r="BBS21" i="9"/>
  <c r="BBT21" i="9"/>
  <c r="BBU21" i="9"/>
  <c r="BBV21" i="9"/>
  <c r="BBW21" i="9"/>
  <c r="BBX21" i="9"/>
  <c r="BBY21" i="9"/>
  <c r="BBZ21" i="9"/>
  <c r="BCA21" i="9"/>
  <c r="BCB21" i="9"/>
  <c r="BCC21" i="9"/>
  <c r="BCD21" i="9"/>
  <c r="BCE21" i="9"/>
  <c r="BCF21" i="9"/>
  <c r="BCG21" i="9"/>
  <c r="BCH21" i="9"/>
  <c r="BCI21" i="9"/>
  <c r="BCJ21" i="9"/>
  <c r="BCK21" i="9"/>
  <c r="BCL21" i="9"/>
  <c r="BCM21" i="9"/>
  <c r="BCN21" i="9"/>
  <c r="BCO21" i="9"/>
  <c r="BCP21" i="9"/>
  <c r="BCQ21" i="9"/>
  <c r="BCR21" i="9"/>
  <c r="BCS21" i="9"/>
  <c r="BCT21" i="9"/>
  <c r="BCU21" i="9"/>
  <c r="BCV21" i="9"/>
  <c r="BCW21" i="9"/>
  <c r="AZO21" i="9"/>
  <c r="AZP21" i="9"/>
  <c r="AZQ21" i="9"/>
  <c r="AZR21" i="9"/>
  <c r="AZS21" i="9"/>
  <c r="AZT21" i="9"/>
  <c r="AZU21" i="9"/>
  <c r="AZV21" i="9"/>
  <c r="AZW21" i="9"/>
  <c r="AZX21" i="9"/>
  <c r="AZY21" i="9"/>
  <c r="AZZ21" i="9"/>
  <c r="BAA21" i="9"/>
  <c r="BAB21" i="9"/>
  <c r="BAC21" i="9"/>
  <c r="BAD21" i="9"/>
  <c r="BAE21" i="9"/>
  <c r="BAF21" i="9"/>
  <c r="BAG21" i="9"/>
  <c r="BAH21" i="9"/>
  <c r="BAI21" i="9"/>
  <c r="BAJ21" i="9"/>
  <c r="BAK21" i="9"/>
  <c r="BAL21" i="9"/>
  <c r="BAM21" i="9"/>
  <c r="BAN21" i="9"/>
  <c r="BAO21" i="9"/>
  <c r="BAP21" i="9"/>
  <c r="BAQ21" i="9"/>
  <c r="BAR21" i="9"/>
  <c r="BAS21" i="9"/>
  <c r="BAT21" i="9"/>
  <c r="BAU21" i="9"/>
  <c r="BAV21" i="9"/>
  <c r="BAW21" i="9"/>
  <c r="BAX21" i="9"/>
  <c r="BAY21" i="9"/>
  <c r="BAZ21" i="9"/>
  <c r="BBA21" i="9"/>
  <c r="BBB21" i="9"/>
  <c r="BBC21" i="9"/>
  <c r="BBD21" i="9"/>
  <c r="BBE21" i="9"/>
  <c r="AXW21" i="9"/>
  <c r="AXX21" i="9"/>
  <c r="AXY21" i="9"/>
  <c r="AXZ21" i="9"/>
  <c r="AYA21" i="9"/>
  <c r="AYB21" i="9"/>
  <c r="AYC21" i="9"/>
  <c r="AYD21" i="9"/>
  <c r="AYE21" i="9"/>
  <c r="AYF21" i="9"/>
  <c r="AYG21" i="9"/>
  <c r="AYH21" i="9"/>
  <c r="AYI21" i="9"/>
  <c r="AYJ21" i="9"/>
  <c r="AYK21" i="9"/>
  <c r="AYL21" i="9"/>
  <c r="AYM21" i="9"/>
  <c r="AYN21" i="9"/>
  <c r="AYO21" i="9"/>
  <c r="AYP21" i="9"/>
  <c r="AYQ21" i="9"/>
  <c r="AYR21" i="9"/>
  <c r="AYS21" i="9"/>
  <c r="AYT21" i="9"/>
  <c r="AYU21" i="9"/>
  <c r="AYV21" i="9"/>
  <c r="AYW21" i="9"/>
  <c r="AYX21" i="9"/>
  <c r="AYY21" i="9"/>
  <c r="AYZ21" i="9"/>
  <c r="AZA21" i="9"/>
  <c r="AZB21" i="9"/>
  <c r="AZC21" i="9"/>
  <c r="AZD21" i="9"/>
  <c r="AZE21" i="9"/>
  <c r="AZF21" i="9"/>
  <c r="AZG21" i="9"/>
  <c r="AZH21" i="9"/>
  <c r="AZI21" i="9"/>
  <c r="AZJ21" i="9"/>
  <c r="AZK21" i="9"/>
  <c r="AZL21" i="9"/>
  <c r="AZM21" i="9"/>
  <c r="AWE21" i="9"/>
  <c r="AWF21" i="9"/>
  <c r="AWG21" i="9"/>
  <c r="AWH21" i="9"/>
  <c r="AWI21" i="9"/>
  <c r="AWJ21" i="9"/>
  <c r="AWK21" i="9"/>
  <c r="AWL21" i="9"/>
  <c r="AWM21" i="9"/>
  <c r="AWN21" i="9"/>
  <c r="AWO21" i="9"/>
  <c r="AWP21" i="9"/>
  <c r="AWQ21" i="9"/>
  <c r="AWR21" i="9"/>
  <c r="AWS21" i="9"/>
  <c r="AWT21" i="9"/>
  <c r="AWU21" i="9"/>
  <c r="AWV21" i="9"/>
  <c r="AWW21" i="9"/>
  <c r="AWX21" i="9"/>
  <c r="AWY21" i="9"/>
  <c r="AWZ21" i="9"/>
  <c r="AXA21" i="9"/>
  <c r="AXB21" i="9"/>
  <c r="AXC21" i="9"/>
  <c r="AXD21" i="9"/>
  <c r="AXE21" i="9"/>
  <c r="AXF21" i="9"/>
  <c r="AXG21" i="9"/>
  <c r="AXH21" i="9"/>
  <c r="AXI21" i="9"/>
  <c r="AXJ21" i="9"/>
  <c r="AXK21" i="9"/>
  <c r="AXL21" i="9"/>
  <c r="AXM21" i="9"/>
  <c r="AXN21" i="9"/>
  <c r="AXO21" i="9"/>
  <c r="AXP21" i="9"/>
  <c r="AXQ21" i="9"/>
  <c r="AXR21" i="9"/>
  <c r="AXS21" i="9"/>
  <c r="AXT21" i="9"/>
  <c r="AXU21" i="9"/>
  <c r="AUM21" i="9"/>
  <c r="AUN21" i="9"/>
  <c r="AUO21" i="9"/>
  <c r="AUP21" i="9"/>
  <c r="AUQ21" i="9"/>
  <c r="AUR21" i="9"/>
  <c r="AUS21" i="9"/>
  <c r="AUT21" i="9"/>
  <c r="AUU21" i="9"/>
  <c r="AUV21" i="9"/>
  <c r="AUW21" i="9"/>
  <c r="AUX21" i="9"/>
  <c r="AUY21" i="9"/>
  <c r="AUZ21" i="9"/>
  <c r="AVA21" i="9"/>
  <c r="AVB21" i="9"/>
  <c r="AVC21" i="9"/>
  <c r="AVD21" i="9"/>
  <c r="AVE21" i="9"/>
  <c r="AVF21" i="9"/>
  <c r="AVG21" i="9"/>
  <c r="AVH21" i="9"/>
  <c r="AVI21" i="9"/>
  <c r="AVJ21" i="9"/>
  <c r="AVK21" i="9"/>
  <c r="AVL21" i="9"/>
  <c r="AVM21" i="9"/>
  <c r="AVN21" i="9"/>
  <c r="AVO21" i="9"/>
  <c r="AVP21" i="9"/>
  <c r="AVQ21" i="9"/>
  <c r="AVR21" i="9"/>
  <c r="AVS21" i="9"/>
  <c r="AVT21" i="9"/>
  <c r="AVU21" i="9"/>
  <c r="AVV21" i="9"/>
  <c r="AVW21" i="9"/>
  <c r="AVX21" i="9"/>
  <c r="AVY21" i="9"/>
  <c r="AVZ21" i="9"/>
  <c r="AWA21" i="9"/>
  <c r="AWB21" i="9"/>
  <c r="AWC21" i="9"/>
  <c r="ASU21" i="9"/>
  <c r="ASV21" i="9"/>
  <c r="ASW21" i="9"/>
  <c r="ASX21" i="9"/>
  <c r="ASY21" i="9"/>
  <c r="ASZ21" i="9"/>
  <c r="ATA21" i="9"/>
  <c r="ATB21" i="9"/>
  <c r="ATC21" i="9"/>
  <c r="ATD21" i="9"/>
  <c r="ATE21" i="9"/>
  <c r="ATF21" i="9"/>
  <c r="ATG21" i="9"/>
  <c r="ATH21" i="9"/>
  <c r="ATI21" i="9"/>
  <c r="ATJ21" i="9"/>
  <c r="ATK21" i="9"/>
  <c r="ATL21" i="9"/>
  <c r="ATM21" i="9"/>
  <c r="ATN21" i="9"/>
  <c r="ATO21" i="9"/>
  <c r="ATP21" i="9"/>
  <c r="ATQ21" i="9"/>
  <c r="ATR21" i="9"/>
  <c r="ATS21" i="9"/>
  <c r="ATT21" i="9"/>
  <c r="ATU21" i="9"/>
  <c r="ATV21" i="9"/>
  <c r="ATW21" i="9"/>
  <c r="ATX21" i="9"/>
  <c r="ATY21" i="9"/>
  <c r="ATZ21" i="9"/>
  <c r="AUA21" i="9"/>
  <c r="AUB21" i="9"/>
  <c r="AUC21" i="9"/>
  <c r="AUD21" i="9"/>
  <c r="AUE21" i="9"/>
  <c r="AUF21" i="9"/>
  <c r="AUG21" i="9"/>
  <c r="AUH21" i="9"/>
  <c r="AUI21" i="9"/>
  <c r="AUJ21" i="9"/>
  <c r="AUK21" i="9"/>
  <c r="ARC21" i="9"/>
  <c r="ARD21" i="9"/>
  <c r="ARE21" i="9"/>
  <c r="ARF21" i="9"/>
  <c r="ARG21" i="9"/>
  <c r="ARH21" i="9"/>
  <c r="ARI21" i="9"/>
  <c r="ARJ21" i="9"/>
  <c r="ARK21" i="9"/>
  <c r="ARL21" i="9"/>
  <c r="ARM21" i="9"/>
  <c r="ARN21" i="9"/>
  <c r="ARO21" i="9"/>
  <c r="ARP21" i="9"/>
  <c r="ARQ21" i="9"/>
  <c r="ARR21" i="9"/>
  <c r="ARS21" i="9"/>
  <c r="ART21" i="9"/>
  <c r="ARU21" i="9"/>
  <c r="ARV21" i="9"/>
  <c r="ARW21" i="9"/>
  <c r="ARX21" i="9"/>
  <c r="ARY21" i="9"/>
  <c r="ARZ21" i="9"/>
  <c r="ASA21" i="9"/>
  <c r="ASB21" i="9"/>
  <c r="ASC21" i="9"/>
  <c r="ASD21" i="9"/>
  <c r="ASE21" i="9"/>
  <c r="ASF21" i="9"/>
  <c r="ASG21" i="9"/>
  <c r="ASH21" i="9"/>
  <c r="ASI21" i="9"/>
  <c r="ASJ21" i="9"/>
  <c r="ASK21" i="9"/>
  <c r="ASL21" i="9"/>
  <c r="ASM21" i="9"/>
  <c r="ASN21" i="9"/>
  <c r="ASO21" i="9"/>
  <c r="ASP21" i="9"/>
  <c r="ASQ21" i="9"/>
  <c r="ASR21" i="9"/>
  <c r="ASS21" i="9"/>
  <c r="APK21" i="9"/>
  <c r="APL21" i="9"/>
  <c r="APM21" i="9"/>
  <c r="APN21" i="9"/>
  <c r="APO21" i="9"/>
  <c r="APP21" i="9"/>
  <c r="APQ21" i="9"/>
  <c r="APR21" i="9"/>
  <c r="APS21" i="9"/>
  <c r="APT21" i="9"/>
  <c r="APU21" i="9"/>
  <c r="APV21" i="9"/>
  <c r="APW21" i="9"/>
  <c r="APX21" i="9"/>
  <c r="APY21" i="9"/>
  <c r="APZ21" i="9"/>
  <c r="AQA21" i="9"/>
  <c r="AQB21" i="9"/>
  <c r="AQC21" i="9"/>
  <c r="AQD21" i="9"/>
  <c r="AQE21" i="9"/>
  <c r="AQF21" i="9"/>
  <c r="AQG21" i="9"/>
  <c r="AQH21" i="9"/>
  <c r="AQI21" i="9"/>
  <c r="AQJ21" i="9"/>
  <c r="AQK21" i="9"/>
  <c r="AQL21" i="9"/>
  <c r="AQM21" i="9"/>
  <c r="AQN21" i="9"/>
  <c r="AQO21" i="9"/>
  <c r="AQP21" i="9"/>
  <c r="AQQ21" i="9"/>
  <c r="AQR21" i="9"/>
  <c r="AQS21" i="9"/>
  <c r="AQT21" i="9"/>
  <c r="AQU21" i="9"/>
  <c r="AQV21" i="9"/>
  <c r="AQW21" i="9"/>
  <c r="AQX21" i="9"/>
  <c r="AQY21" i="9"/>
  <c r="AQZ21" i="9"/>
  <c r="ARA21" i="9"/>
  <c r="ANS21" i="9"/>
  <c r="ANT21" i="9"/>
  <c r="ANU21" i="9"/>
  <c r="ANV21" i="9"/>
  <c r="ANW21" i="9"/>
  <c r="ANX21" i="9"/>
  <c r="ANY21" i="9"/>
  <c r="ANZ21" i="9"/>
  <c r="AOA21" i="9"/>
  <c r="AOB21" i="9"/>
  <c r="AOC21" i="9"/>
  <c r="AOD21" i="9"/>
  <c r="AOE21" i="9"/>
  <c r="AOF21" i="9"/>
  <c r="AOG21" i="9"/>
  <c r="AOH21" i="9"/>
  <c r="AOI21" i="9"/>
  <c r="AOJ21" i="9"/>
  <c r="AOK21" i="9"/>
  <c r="AOL21" i="9"/>
  <c r="AOM21" i="9"/>
  <c r="AON21" i="9"/>
  <c r="AOO21" i="9"/>
  <c r="AOP21" i="9"/>
  <c r="AOQ21" i="9"/>
  <c r="AOR21" i="9"/>
  <c r="AOS21" i="9"/>
  <c r="AOT21" i="9"/>
  <c r="AOU21" i="9"/>
  <c r="AOV21" i="9"/>
  <c r="AOW21" i="9"/>
  <c r="AOX21" i="9"/>
  <c r="AOY21" i="9"/>
  <c r="AOZ21" i="9"/>
  <c r="APA21" i="9"/>
  <c r="APB21" i="9"/>
  <c r="APC21" i="9"/>
  <c r="APD21" i="9"/>
  <c r="APE21" i="9"/>
  <c r="APF21" i="9"/>
  <c r="APG21" i="9"/>
  <c r="APH21" i="9"/>
  <c r="API21" i="9"/>
  <c r="AMA21" i="9"/>
  <c r="AMB21" i="9"/>
  <c r="AMC21" i="9"/>
  <c r="AMD21" i="9"/>
  <c r="AME21" i="9"/>
  <c r="AMF21" i="9"/>
  <c r="AMG21" i="9"/>
  <c r="AMH21" i="9"/>
  <c r="AMI21" i="9"/>
  <c r="AMJ21" i="9"/>
  <c r="AMK21" i="9"/>
  <c r="AML21" i="9"/>
  <c r="AMM21" i="9"/>
  <c r="AMN21" i="9"/>
  <c r="AMO21" i="9"/>
  <c r="AMP21" i="9"/>
  <c r="AMQ21" i="9"/>
  <c r="AMR21" i="9"/>
  <c r="AMS21" i="9"/>
  <c r="AMT21" i="9"/>
  <c r="AMU21" i="9"/>
  <c r="AMV21" i="9"/>
  <c r="AMW21" i="9"/>
  <c r="AMX21" i="9"/>
  <c r="AMY21" i="9"/>
  <c r="AMZ21" i="9"/>
  <c r="ANA21" i="9"/>
  <c r="ANB21" i="9"/>
  <c r="ANC21" i="9"/>
  <c r="AND21" i="9"/>
  <c r="ANE21" i="9"/>
  <c r="ANF21" i="9"/>
  <c r="ANG21" i="9"/>
  <c r="ANH21" i="9"/>
  <c r="ANI21" i="9"/>
  <c r="ANJ21" i="9"/>
  <c r="ANK21" i="9"/>
  <c r="ANL21" i="9"/>
  <c r="ANM21" i="9"/>
  <c r="ANN21" i="9"/>
  <c r="ANO21" i="9"/>
  <c r="ANP21" i="9"/>
  <c r="ANQ21" i="9"/>
  <c r="AKI21" i="9"/>
  <c r="AKJ21" i="9"/>
  <c r="AKK21" i="9"/>
  <c r="AKL21" i="9"/>
  <c r="AKM21" i="9"/>
  <c r="AKN21" i="9"/>
  <c r="AKO21" i="9"/>
  <c r="AKP21" i="9"/>
  <c r="AKQ21" i="9"/>
  <c r="AKR21" i="9"/>
  <c r="AKS21" i="9"/>
  <c r="AKT21" i="9"/>
  <c r="AKU21" i="9"/>
  <c r="AKV21" i="9"/>
  <c r="AKW21" i="9"/>
  <c r="AKX21" i="9"/>
  <c r="AKY21" i="9"/>
  <c r="AKZ21" i="9"/>
  <c r="ALA21" i="9"/>
  <c r="ALB21" i="9"/>
  <c r="ALC21" i="9"/>
  <c r="ALD21" i="9"/>
  <c r="ALE21" i="9"/>
  <c r="ALF21" i="9"/>
  <c r="ALG21" i="9"/>
  <c r="ALH21" i="9"/>
  <c r="ALI21" i="9"/>
  <c r="ALJ21" i="9"/>
  <c r="ALK21" i="9"/>
  <c r="ALL21" i="9"/>
  <c r="ALM21" i="9"/>
  <c r="ALN21" i="9"/>
  <c r="ALO21" i="9"/>
  <c r="ALP21" i="9"/>
  <c r="ALQ21" i="9"/>
  <c r="ALR21" i="9"/>
  <c r="ALS21" i="9"/>
  <c r="ALT21" i="9"/>
  <c r="ALU21" i="9"/>
  <c r="ALV21" i="9"/>
  <c r="ALW21" i="9"/>
  <c r="ALX21" i="9"/>
  <c r="ALY21" i="9"/>
  <c r="AIQ21" i="9"/>
  <c r="AIR21" i="9"/>
  <c r="AIS21" i="9"/>
  <c r="AIT21" i="9"/>
  <c r="AIU21" i="9"/>
  <c r="AIV21" i="9"/>
  <c r="AIW21" i="9"/>
  <c r="AIX21" i="9"/>
  <c r="AIY21" i="9"/>
  <c r="AIZ21" i="9"/>
  <c r="AJA21" i="9"/>
  <c r="AJB21" i="9"/>
  <c r="AJC21" i="9"/>
  <c r="AJD21" i="9"/>
  <c r="AJE21" i="9"/>
  <c r="AJF21" i="9"/>
  <c r="AJG21" i="9"/>
  <c r="AJH21" i="9"/>
  <c r="AJI21" i="9"/>
  <c r="AJJ21" i="9"/>
  <c r="AJK21" i="9"/>
  <c r="AJL21" i="9"/>
  <c r="AJM21" i="9"/>
  <c r="AJN21" i="9"/>
  <c r="AJO21" i="9"/>
  <c r="AJP21" i="9"/>
  <c r="AJQ21" i="9"/>
  <c r="AJR21" i="9"/>
  <c r="AJS21" i="9"/>
  <c r="AJT21" i="9"/>
  <c r="AJU21" i="9"/>
  <c r="AJV21" i="9"/>
  <c r="AJW21" i="9"/>
  <c r="AJX21" i="9"/>
  <c r="AJY21" i="9"/>
  <c r="AJZ21" i="9"/>
  <c r="AKA21" i="9"/>
  <c r="AKB21" i="9"/>
  <c r="AKC21" i="9"/>
  <c r="AKD21" i="9"/>
  <c r="AKE21" i="9"/>
  <c r="AKF21" i="9"/>
  <c r="AKG21" i="9"/>
  <c r="AGY21" i="9"/>
  <c r="AGZ21" i="9"/>
  <c r="AHA21" i="9"/>
  <c r="AHB21" i="9"/>
  <c r="AHC21" i="9"/>
  <c r="AHD21" i="9"/>
  <c r="AHE21" i="9"/>
  <c r="AHF21" i="9"/>
  <c r="AHG21" i="9"/>
  <c r="AHH21" i="9"/>
  <c r="AHI21" i="9"/>
  <c r="AHJ21" i="9"/>
  <c r="AHK21" i="9"/>
  <c r="AHL21" i="9"/>
  <c r="AHM21" i="9"/>
  <c r="AHN21" i="9"/>
  <c r="AHO21" i="9"/>
  <c r="AHP21" i="9"/>
  <c r="AHQ21" i="9"/>
  <c r="AHR21" i="9"/>
  <c r="AHS21" i="9"/>
  <c r="AHT21" i="9"/>
  <c r="AHU21" i="9"/>
  <c r="AHV21" i="9"/>
  <c r="AHW21" i="9"/>
  <c r="AHX21" i="9"/>
  <c r="AHY21" i="9"/>
  <c r="AHZ21" i="9"/>
  <c r="AIA21" i="9"/>
  <c r="AIB21" i="9"/>
  <c r="AIC21" i="9"/>
  <c r="AID21" i="9"/>
  <c r="AIE21" i="9"/>
  <c r="AIF21" i="9"/>
  <c r="AIG21" i="9"/>
  <c r="AIH21" i="9"/>
  <c r="AII21" i="9"/>
  <c r="AIJ21" i="9"/>
  <c r="AIK21" i="9"/>
  <c r="AIL21" i="9"/>
  <c r="AIM21" i="9"/>
  <c r="AIN21" i="9"/>
  <c r="AIO21" i="9"/>
  <c r="AFF21" i="9"/>
  <c r="AFG21" i="9"/>
  <c r="AFH21" i="9"/>
  <c r="AFI21" i="9"/>
  <c r="AFJ21" i="9"/>
  <c r="AFK21" i="9"/>
  <c r="AFL21" i="9"/>
  <c r="AFM21" i="9"/>
  <c r="AFN21" i="9"/>
  <c r="AFO21" i="9"/>
  <c r="AFP21" i="9"/>
  <c r="AFQ21" i="9"/>
  <c r="AFR21" i="9"/>
  <c r="AFS21" i="9"/>
  <c r="AFT21" i="9"/>
  <c r="AFU21" i="9"/>
  <c r="AFV21" i="9"/>
  <c r="AFW21" i="9"/>
  <c r="AFX21" i="9"/>
  <c r="AFY21" i="9"/>
  <c r="AFZ21" i="9"/>
  <c r="AGA21" i="9"/>
  <c r="AGB21" i="9"/>
  <c r="AGC21" i="9"/>
  <c r="AGD21" i="9"/>
  <c r="AGE21" i="9"/>
  <c r="AGF21" i="9"/>
  <c r="AGG21" i="9"/>
  <c r="AGH21" i="9"/>
  <c r="AGI21" i="9"/>
  <c r="AGJ21" i="9"/>
  <c r="AGK21" i="9"/>
  <c r="AGL21" i="9"/>
  <c r="AGM21" i="9"/>
  <c r="AGN21" i="9"/>
  <c r="AGO21" i="9"/>
  <c r="AGP21" i="9"/>
  <c r="AGQ21" i="9"/>
  <c r="AGR21" i="9"/>
  <c r="AGS21" i="9"/>
  <c r="AGT21" i="9"/>
  <c r="AGU21" i="9"/>
  <c r="AGV21" i="9"/>
  <c r="AGW21" i="9"/>
  <c r="ADN21" i="9"/>
  <c r="ADO21" i="9"/>
  <c r="ADP21" i="9"/>
  <c r="ADQ21" i="9"/>
  <c r="ADR21" i="9"/>
  <c r="ADS21" i="9"/>
  <c r="ADT21" i="9"/>
  <c r="ADU21" i="9"/>
  <c r="ADV21" i="9"/>
  <c r="ADW21" i="9"/>
  <c r="ADX21" i="9"/>
  <c r="ADY21" i="9"/>
  <c r="ADZ21" i="9"/>
  <c r="AEA21" i="9"/>
  <c r="AEB21" i="9"/>
  <c r="AEC21" i="9"/>
  <c r="AED21" i="9"/>
  <c r="AEE21" i="9"/>
  <c r="AEF21" i="9"/>
  <c r="AEG21" i="9"/>
  <c r="AEH21" i="9"/>
  <c r="AEI21" i="9"/>
  <c r="AEJ21" i="9"/>
  <c r="AEK21" i="9"/>
  <c r="AEL21" i="9"/>
  <c r="AEM21" i="9"/>
  <c r="AEN21" i="9"/>
  <c r="AEO21" i="9"/>
  <c r="AEP21" i="9"/>
  <c r="AEQ21" i="9"/>
  <c r="AER21" i="9"/>
  <c r="AES21" i="9"/>
  <c r="AET21" i="9"/>
  <c r="AEU21" i="9"/>
  <c r="AEV21" i="9"/>
  <c r="AEW21" i="9"/>
  <c r="AEX21" i="9"/>
  <c r="AEY21" i="9"/>
  <c r="AEZ21" i="9"/>
  <c r="AFA21" i="9"/>
  <c r="AFB21" i="9"/>
  <c r="AFC21" i="9"/>
  <c r="AFD21" i="9"/>
  <c r="AFE21" i="9"/>
  <c r="ABV21" i="9"/>
  <c r="ABW21" i="9"/>
  <c r="ABX21" i="9"/>
  <c r="ABY21" i="9"/>
  <c r="ABZ21" i="9"/>
  <c r="ACA21" i="9"/>
  <c r="ACB21" i="9"/>
  <c r="ACC21" i="9"/>
  <c r="ACD21" i="9"/>
  <c r="ACE21" i="9"/>
  <c r="ACF21" i="9"/>
  <c r="ACG21" i="9"/>
  <c r="ACH21" i="9"/>
  <c r="ACI21" i="9"/>
  <c r="ACJ21" i="9"/>
  <c r="ACK21" i="9"/>
  <c r="ACL21" i="9"/>
  <c r="ACM21" i="9"/>
  <c r="ACN21" i="9"/>
  <c r="ACO21" i="9"/>
  <c r="ACP21" i="9"/>
  <c r="ACQ21" i="9"/>
  <c r="ACR21" i="9"/>
  <c r="ACS21" i="9"/>
  <c r="ACT21" i="9"/>
  <c r="ACU21" i="9"/>
  <c r="ACV21" i="9"/>
  <c r="ACW21" i="9"/>
  <c r="ACX21" i="9"/>
  <c r="ACY21" i="9"/>
  <c r="ACZ21" i="9"/>
  <c r="ADA21" i="9"/>
  <c r="ADB21" i="9"/>
  <c r="ADC21" i="9"/>
  <c r="ADD21" i="9"/>
  <c r="ADE21" i="9"/>
  <c r="ADF21" i="9"/>
  <c r="ADG21" i="9"/>
  <c r="ADH21" i="9"/>
  <c r="ADI21" i="9"/>
  <c r="ADJ21" i="9"/>
  <c r="ADK21" i="9"/>
  <c r="ADL21" i="9"/>
  <c r="ADM21" i="9"/>
  <c r="AAD21" i="9"/>
  <c r="AAE21" i="9"/>
  <c r="AAF21" i="9"/>
  <c r="AAG21" i="9"/>
  <c r="AAH21" i="9"/>
  <c r="AAI21" i="9"/>
  <c r="AAJ21" i="9"/>
  <c r="AAK21" i="9"/>
  <c r="AAL21" i="9"/>
  <c r="AAM21" i="9"/>
  <c r="AAN21" i="9"/>
  <c r="AAO21" i="9"/>
  <c r="AAP21" i="9"/>
  <c r="AAQ21" i="9"/>
  <c r="AAR21" i="9"/>
  <c r="AAS21" i="9"/>
  <c r="AAT21" i="9"/>
  <c r="AAU21" i="9"/>
  <c r="AAV21" i="9"/>
  <c r="AAW21" i="9"/>
  <c r="AAX21" i="9"/>
  <c r="AAY21" i="9"/>
  <c r="AAZ21" i="9"/>
  <c r="ABA21" i="9"/>
  <c r="ABB21" i="9"/>
  <c r="ABC21" i="9"/>
  <c r="ABD21" i="9"/>
  <c r="ABE21" i="9"/>
  <c r="ABF21" i="9"/>
  <c r="ABG21" i="9"/>
  <c r="ABH21" i="9"/>
  <c r="ABI21" i="9"/>
  <c r="ABJ21" i="9"/>
  <c r="ABK21" i="9"/>
  <c r="ABL21" i="9"/>
  <c r="ABM21" i="9"/>
  <c r="ABN21" i="9"/>
  <c r="ABO21" i="9"/>
  <c r="ABP21" i="9"/>
  <c r="ABQ21" i="9"/>
  <c r="ABR21" i="9"/>
  <c r="ABS21" i="9"/>
  <c r="ABT21" i="9"/>
  <c r="ABU21" i="9"/>
  <c r="YL21" i="9"/>
  <c r="YM21" i="9"/>
  <c r="YN21" i="9"/>
  <c r="YO21" i="9"/>
  <c r="YP21" i="9"/>
  <c r="YQ21" i="9"/>
  <c r="YR21" i="9"/>
  <c r="YS21" i="9"/>
  <c r="YT21" i="9"/>
  <c r="YU21" i="9"/>
  <c r="YV21" i="9"/>
  <c r="YW21" i="9"/>
  <c r="YX21" i="9"/>
  <c r="YY21" i="9"/>
  <c r="YZ21" i="9"/>
  <c r="ZA21" i="9"/>
  <c r="ZB21" i="9"/>
  <c r="ZC21" i="9"/>
  <c r="ZD21" i="9"/>
  <c r="ZE21" i="9"/>
  <c r="ZF21" i="9"/>
  <c r="ZG21" i="9"/>
  <c r="ZH21" i="9"/>
  <c r="ZI21" i="9"/>
  <c r="ZJ21" i="9"/>
  <c r="ZK21" i="9"/>
  <c r="ZL21" i="9"/>
  <c r="ZM21" i="9"/>
  <c r="ZN21" i="9"/>
  <c r="ZO21" i="9"/>
  <c r="ZP21" i="9"/>
  <c r="ZQ21" i="9"/>
  <c r="ZR21" i="9"/>
  <c r="ZS21" i="9"/>
  <c r="ZT21" i="9"/>
  <c r="ZU21" i="9"/>
  <c r="ZV21" i="9"/>
  <c r="ZW21" i="9"/>
  <c r="ZX21" i="9"/>
  <c r="ZY21" i="9"/>
  <c r="ZZ21" i="9"/>
  <c r="AAA21" i="9"/>
  <c r="AAB21" i="9"/>
  <c r="AAC21" i="9"/>
  <c r="WT21" i="9"/>
  <c r="WU21" i="9"/>
  <c r="WV21" i="9"/>
  <c r="WW21" i="9"/>
  <c r="WX21" i="9"/>
  <c r="WY21" i="9"/>
  <c r="WZ21" i="9"/>
  <c r="XA21" i="9"/>
  <c r="XB21" i="9"/>
  <c r="XC21" i="9"/>
  <c r="XD21" i="9"/>
  <c r="XE21" i="9"/>
  <c r="XF21" i="9"/>
  <c r="XG21" i="9"/>
  <c r="XH21" i="9"/>
  <c r="XI21" i="9"/>
  <c r="XJ21" i="9"/>
  <c r="XK21" i="9"/>
  <c r="XL21" i="9"/>
  <c r="XM21" i="9"/>
  <c r="XN21" i="9"/>
  <c r="XO21" i="9"/>
  <c r="XP21" i="9"/>
  <c r="XQ21" i="9"/>
  <c r="XR21" i="9"/>
  <c r="XS21" i="9"/>
  <c r="XT21" i="9"/>
  <c r="XU21" i="9"/>
  <c r="XV21" i="9"/>
  <c r="XW21" i="9"/>
  <c r="XX21" i="9"/>
  <c r="XY21" i="9"/>
  <c r="XZ21" i="9"/>
  <c r="YA21" i="9"/>
  <c r="YB21" i="9"/>
  <c r="YC21" i="9"/>
  <c r="YD21" i="9"/>
  <c r="YE21" i="9"/>
  <c r="YF21" i="9"/>
  <c r="YG21" i="9"/>
  <c r="YH21" i="9"/>
  <c r="YI21" i="9"/>
  <c r="YJ21" i="9"/>
  <c r="YK21" i="9"/>
  <c r="VB21" i="9"/>
  <c r="VC21" i="9"/>
  <c r="VD21" i="9"/>
  <c r="VE21" i="9"/>
  <c r="VF21" i="9"/>
  <c r="VG21" i="9"/>
  <c r="VH21" i="9"/>
  <c r="VI21" i="9"/>
  <c r="VJ21" i="9"/>
  <c r="VK21" i="9"/>
  <c r="VL21" i="9"/>
  <c r="VM21" i="9"/>
  <c r="VN21" i="9"/>
  <c r="VO21" i="9"/>
  <c r="VP21" i="9"/>
  <c r="VQ21" i="9"/>
  <c r="VR21" i="9"/>
  <c r="VS21" i="9"/>
  <c r="VT21" i="9"/>
  <c r="VU21" i="9"/>
  <c r="VV21" i="9"/>
  <c r="VW21" i="9"/>
  <c r="VX21" i="9"/>
  <c r="VY21" i="9"/>
  <c r="VZ21" i="9"/>
  <c r="WA21" i="9"/>
  <c r="WB21" i="9"/>
  <c r="WC21" i="9"/>
  <c r="WD21" i="9"/>
  <c r="WE21" i="9"/>
  <c r="WF21" i="9"/>
  <c r="WG21" i="9"/>
  <c r="WH21" i="9"/>
  <c r="WI21" i="9"/>
  <c r="WJ21" i="9"/>
  <c r="WK21" i="9"/>
  <c r="WL21" i="9"/>
  <c r="WM21" i="9"/>
  <c r="WN21" i="9"/>
  <c r="WO21" i="9"/>
  <c r="WP21" i="9"/>
  <c r="WQ21" i="9"/>
  <c r="WR21" i="9"/>
  <c r="WS21" i="9"/>
  <c r="TJ21" i="9"/>
  <c r="TK21" i="9"/>
  <c r="TL21" i="9"/>
  <c r="TM21" i="9"/>
  <c r="TN21" i="9"/>
  <c r="TO21" i="9"/>
  <c r="TP21" i="9"/>
  <c r="TQ21" i="9"/>
  <c r="TR21" i="9"/>
  <c r="TS21" i="9"/>
  <c r="TT21" i="9"/>
  <c r="TU21" i="9"/>
  <c r="TV21" i="9"/>
  <c r="TW21" i="9"/>
  <c r="TX21" i="9"/>
  <c r="TY21" i="9"/>
  <c r="TZ21" i="9"/>
  <c r="UA21" i="9"/>
  <c r="UB21" i="9"/>
  <c r="UC21" i="9"/>
  <c r="UD21" i="9"/>
  <c r="UE21" i="9"/>
  <c r="UF21" i="9"/>
  <c r="UG21" i="9"/>
  <c r="UH21" i="9"/>
  <c r="UI21" i="9"/>
  <c r="UJ21" i="9"/>
  <c r="UK21" i="9"/>
  <c r="UL21" i="9"/>
  <c r="UM21" i="9"/>
  <c r="UN21" i="9"/>
  <c r="UO21" i="9"/>
  <c r="UP21" i="9"/>
  <c r="UQ21" i="9"/>
  <c r="UR21" i="9"/>
  <c r="US21" i="9"/>
  <c r="UT21" i="9"/>
  <c r="UU21" i="9"/>
  <c r="UV21" i="9"/>
  <c r="UW21" i="9"/>
  <c r="UX21" i="9"/>
  <c r="UY21" i="9"/>
  <c r="UZ21" i="9"/>
  <c r="VA21" i="9"/>
  <c r="RR21" i="9"/>
  <c r="RS21" i="9"/>
  <c r="RT21" i="9"/>
  <c r="RU21" i="9"/>
  <c r="RV21" i="9"/>
  <c r="RW21" i="9"/>
  <c r="RX21" i="9"/>
  <c r="RY21" i="9"/>
  <c r="RZ21" i="9"/>
  <c r="SA21" i="9"/>
  <c r="SB21" i="9"/>
  <c r="SC21" i="9"/>
  <c r="SD21" i="9"/>
  <c r="SE21" i="9"/>
  <c r="SF21" i="9"/>
  <c r="SG21" i="9"/>
  <c r="SH21" i="9"/>
  <c r="SI21" i="9"/>
  <c r="SJ21" i="9"/>
  <c r="SK21" i="9"/>
  <c r="SL21" i="9"/>
  <c r="SM21" i="9"/>
  <c r="SN21" i="9"/>
  <c r="SO21" i="9"/>
  <c r="SP21" i="9"/>
  <c r="SQ21" i="9"/>
  <c r="SR21" i="9"/>
  <c r="SS21" i="9"/>
  <c r="ST21" i="9"/>
  <c r="SU21" i="9"/>
  <c r="SV21" i="9"/>
  <c r="SW21" i="9"/>
  <c r="SX21" i="9"/>
  <c r="SY21" i="9"/>
  <c r="SZ21" i="9"/>
  <c r="TA21" i="9"/>
  <c r="TB21" i="9"/>
  <c r="TC21" i="9"/>
  <c r="TD21" i="9"/>
  <c r="TE21" i="9"/>
  <c r="TF21" i="9"/>
  <c r="TG21" i="9"/>
  <c r="TH21" i="9"/>
  <c r="TI21" i="9"/>
  <c r="PZ21" i="9"/>
  <c r="QA21" i="9"/>
  <c r="QB21" i="9"/>
  <c r="QC21" i="9"/>
  <c r="QD21" i="9"/>
  <c r="QE21" i="9"/>
  <c r="QF21" i="9"/>
  <c r="QG21" i="9"/>
  <c r="QH21" i="9"/>
  <c r="QI21" i="9"/>
  <c r="QJ21" i="9"/>
  <c r="QK21" i="9"/>
  <c r="QL21" i="9"/>
  <c r="QM21" i="9"/>
  <c r="QN21" i="9"/>
  <c r="QO21" i="9"/>
  <c r="QP21" i="9"/>
  <c r="QQ21" i="9"/>
  <c r="QR21" i="9"/>
  <c r="QS21" i="9"/>
  <c r="QT21" i="9"/>
  <c r="QU21" i="9"/>
  <c r="QV21" i="9"/>
  <c r="QW21" i="9"/>
  <c r="QX21" i="9"/>
  <c r="QY21" i="9"/>
  <c r="QZ21" i="9"/>
  <c r="RA21" i="9"/>
  <c r="RB21" i="9"/>
  <c r="RC21" i="9"/>
  <c r="RD21" i="9"/>
  <c r="RE21" i="9"/>
  <c r="RF21" i="9"/>
  <c r="RG21" i="9"/>
  <c r="RH21" i="9"/>
  <c r="RI21" i="9"/>
  <c r="RJ21" i="9"/>
  <c r="RK21" i="9"/>
  <c r="RL21" i="9"/>
  <c r="RM21" i="9"/>
  <c r="RN21" i="9"/>
  <c r="RO21" i="9"/>
  <c r="RP21" i="9"/>
  <c r="RQ21" i="9"/>
  <c r="OH21" i="9"/>
  <c r="OI21" i="9"/>
  <c r="OJ21" i="9"/>
  <c r="OK21" i="9"/>
  <c r="OL21" i="9"/>
  <c r="OM21" i="9"/>
  <c r="ON21" i="9"/>
  <c r="OO21" i="9"/>
  <c r="OP21" i="9"/>
  <c r="OQ21" i="9"/>
  <c r="OR21" i="9"/>
  <c r="OS21" i="9"/>
  <c r="OT21" i="9"/>
  <c r="OU21" i="9"/>
  <c r="OV21" i="9"/>
  <c r="OW21" i="9"/>
  <c r="OX21" i="9"/>
  <c r="OY21" i="9"/>
  <c r="OZ21" i="9"/>
  <c r="PA21" i="9"/>
  <c r="PB21" i="9"/>
  <c r="PC21" i="9"/>
  <c r="PD21" i="9"/>
  <c r="PE21" i="9"/>
  <c r="PF21" i="9"/>
  <c r="PG21" i="9"/>
  <c r="PH21" i="9"/>
  <c r="PI21" i="9"/>
  <c r="PJ21" i="9"/>
  <c r="PK21" i="9"/>
  <c r="PL21" i="9"/>
  <c r="PM21" i="9"/>
  <c r="PN21" i="9"/>
  <c r="PO21" i="9"/>
  <c r="PP21" i="9"/>
  <c r="PQ21" i="9"/>
  <c r="PR21" i="9"/>
  <c r="PS21" i="9"/>
  <c r="PT21" i="9"/>
  <c r="PU21" i="9"/>
  <c r="PV21" i="9"/>
  <c r="PW21" i="9"/>
  <c r="PX21" i="9"/>
  <c r="PY21" i="9"/>
  <c r="MP21" i="9"/>
  <c r="MQ21" i="9"/>
  <c r="MR21" i="9"/>
  <c r="MS21" i="9"/>
  <c r="MT21" i="9"/>
  <c r="MU21" i="9"/>
  <c r="MV21" i="9"/>
  <c r="MW21" i="9"/>
  <c r="MX21" i="9"/>
  <c r="MY21" i="9"/>
  <c r="MZ21" i="9"/>
  <c r="NA21" i="9"/>
  <c r="NB21" i="9"/>
  <c r="NC21" i="9"/>
  <c r="ND21" i="9"/>
  <c r="NE21" i="9"/>
  <c r="NF21" i="9"/>
  <c r="NG21" i="9"/>
  <c r="NH21" i="9"/>
  <c r="NI21" i="9"/>
  <c r="NJ21" i="9"/>
  <c r="NK21" i="9"/>
  <c r="NL21" i="9"/>
  <c r="NM21" i="9"/>
  <c r="NN21" i="9"/>
  <c r="NO21" i="9"/>
  <c r="NP21" i="9"/>
  <c r="NQ21" i="9"/>
  <c r="NR21" i="9"/>
  <c r="NS21" i="9"/>
  <c r="NT21" i="9"/>
  <c r="NU21" i="9"/>
  <c r="NV21" i="9"/>
  <c r="NW21" i="9"/>
  <c r="NX21" i="9"/>
  <c r="NY21" i="9"/>
  <c r="NZ21" i="9"/>
  <c r="OA21" i="9"/>
  <c r="OB21" i="9"/>
  <c r="OC21" i="9"/>
  <c r="OD21" i="9"/>
  <c r="OE21" i="9"/>
  <c r="OF21" i="9"/>
  <c r="OG21" i="9"/>
  <c r="KX21" i="9"/>
  <c r="KY21" i="9"/>
  <c r="KZ21" i="9"/>
  <c r="LA21" i="9"/>
  <c r="LB21" i="9"/>
  <c r="LC21" i="9"/>
  <c r="LD21" i="9"/>
  <c r="LE21" i="9"/>
  <c r="LF21" i="9"/>
  <c r="LG21" i="9"/>
  <c r="LH21" i="9"/>
  <c r="LI21" i="9"/>
  <c r="LJ21" i="9"/>
  <c r="LK21" i="9"/>
  <c r="LL21" i="9"/>
  <c r="LM21" i="9"/>
  <c r="LN21" i="9"/>
  <c r="LO21" i="9"/>
  <c r="LP21" i="9"/>
  <c r="LQ21" i="9"/>
  <c r="LR21" i="9"/>
  <c r="LS21" i="9"/>
  <c r="LT21" i="9"/>
  <c r="LU21" i="9"/>
  <c r="LV21" i="9"/>
  <c r="LW21" i="9"/>
  <c r="LX21" i="9"/>
  <c r="LY21" i="9"/>
  <c r="LZ21" i="9"/>
  <c r="MA21" i="9"/>
  <c r="MB21" i="9"/>
  <c r="MC21" i="9"/>
  <c r="MD21" i="9"/>
  <c r="ME21" i="9"/>
  <c r="MF21" i="9"/>
  <c r="MG21" i="9"/>
  <c r="MH21" i="9"/>
  <c r="MI21" i="9"/>
  <c r="MJ21" i="9"/>
  <c r="MK21" i="9"/>
  <c r="ML21" i="9"/>
  <c r="MM21" i="9"/>
  <c r="MN21" i="9"/>
  <c r="MO21" i="9"/>
  <c r="JF21" i="9"/>
  <c r="JG21" i="9"/>
  <c r="JH21" i="9"/>
  <c r="JI21" i="9"/>
  <c r="JJ21" i="9"/>
  <c r="JK21" i="9"/>
  <c r="JL21" i="9"/>
  <c r="JM21" i="9"/>
  <c r="JN21" i="9"/>
  <c r="JO21" i="9"/>
  <c r="JP21" i="9"/>
  <c r="JQ21" i="9"/>
  <c r="JR21" i="9"/>
  <c r="JS21" i="9"/>
  <c r="JT21" i="9"/>
  <c r="JU21" i="9"/>
  <c r="JV21" i="9"/>
  <c r="JW21" i="9"/>
  <c r="JX21" i="9"/>
  <c r="JY21" i="9"/>
  <c r="JZ21" i="9"/>
  <c r="KA21" i="9"/>
  <c r="KB21" i="9"/>
  <c r="KC21" i="9"/>
  <c r="KD21" i="9"/>
  <c r="KE21" i="9"/>
  <c r="KF21" i="9"/>
  <c r="KG21" i="9"/>
  <c r="KH21" i="9"/>
  <c r="KI21" i="9"/>
  <c r="KJ21" i="9"/>
  <c r="KK21" i="9"/>
  <c r="KL21" i="9"/>
  <c r="KM21" i="9"/>
  <c r="KN21" i="9"/>
  <c r="KO21" i="9"/>
  <c r="KP21" i="9"/>
  <c r="KQ21" i="9"/>
  <c r="KR21" i="9"/>
  <c r="KS21" i="9"/>
  <c r="KT21" i="9"/>
  <c r="KU21" i="9"/>
  <c r="KV21" i="9"/>
  <c r="KW21" i="9"/>
  <c r="HN21" i="9"/>
  <c r="HO21" i="9"/>
  <c r="HP21" i="9"/>
  <c r="HQ21" i="9"/>
  <c r="HR21" i="9"/>
  <c r="HS21" i="9"/>
  <c r="HT21" i="9"/>
  <c r="HU21" i="9"/>
  <c r="HV21" i="9"/>
  <c r="HW21" i="9"/>
  <c r="HX21" i="9"/>
  <c r="HY21" i="9"/>
  <c r="HZ21" i="9"/>
  <c r="IA21" i="9"/>
  <c r="IB21" i="9"/>
  <c r="IC21" i="9"/>
  <c r="ID21" i="9"/>
  <c r="IE21" i="9"/>
  <c r="IF21" i="9"/>
  <c r="IG21" i="9"/>
  <c r="IH21" i="9"/>
  <c r="II21" i="9"/>
  <c r="IJ21" i="9"/>
  <c r="IK21" i="9"/>
  <c r="IL21" i="9"/>
  <c r="IM21" i="9"/>
  <c r="IN21" i="9"/>
  <c r="IO21" i="9"/>
  <c r="IP21" i="9"/>
  <c r="IQ21" i="9"/>
  <c r="IR21" i="9"/>
  <c r="IS21" i="9"/>
  <c r="IT21" i="9"/>
  <c r="IU21" i="9"/>
  <c r="IV21" i="9"/>
  <c r="IW21" i="9"/>
  <c r="IX21" i="9"/>
  <c r="IY21" i="9"/>
  <c r="IZ21" i="9"/>
  <c r="JA21" i="9"/>
  <c r="JB21" i="9"/>
  <c r="JC21" i="9"/>
  <c r="JD21" i="9"/>
  <c r="JE21" i="9"/>
  <c r="FV21" i="9"/>
  <c r="FW21" i="9"/>
  <c r="FX21" i="9"/>
  <c r="FY21" i="9"/>
  <c r="FZ21" i="9"/>
  <c r="GA21" i="9"/>
  <c r="GB21" i="9"/>
  <c r="GC21" i="9"/>
  <c r="GD21" i="9"/>
  <c r="GE21" i="9"/>
  <c r="GF21" i="9"/>
  <c r="GG21" i="9"/>
  <c r="GH21" i="9"/>
  <c r="GI21" i="9"/>
  <c r="GJ21" i="9"/>
  <c r="GK21" i="9"/>
  <c r="GL21" i="9"/>
  <c r="GM21" i="9"/>
  <c r="GN21" i="9"/>
  <c r="GO21" i="9"/>
  <c r="GP21" i="9"/>
  <c r="GQ21" i="9"/>
  <c r="GR21" i="9"/>
  <c r="GS21" i="9"/>
  <c r="GT21" i="9"/>
  <c r="GU21" i="9"/>
  <c r="GV21" i="9"/>
  <c r="GW21" i="9"/>
  <c r="GX21" i="9"/>
  <c r="GY21" i="9"/>
  <c r="GZ21" i="9"/>
  <c r="HA21" i="9"/>
  <c r="HB21" i="9"/>
  <c r="HC21" i="9"/>
  <c r="HD21" i="9"/>
  <c r="HE21" i="9"/>
  <c r="HF21" i="9"/>
  <c r="HG21" i="9"/>
  <c r="HH21" i="9"/>
  <c r="HI21" i="9"/>
  <c r="HJ21" i="9"/>
  <c r="HK21" i="9"/>
  <c r="HL21" i="9"/>
  <c r="HM21" i="9"/>
  <c r="ED21" i="9"/>
  <c r="EE21" i="9"/>
  <c r="EF21" i="9"/>
  <c r="EG21" i="9"/>
  <c r="EH21" i="9"/>
  <c r="EI21" i="9"/>
  <c r="EJ21" i="9"/>
  <c r="EK21" i="9"/>
  <c r="EL21" i="9"/>
  <c r="EM21" i="9"/>
  <c r="EN21" i="9"/>
  <c r="EO21" i="9"/>
  <c r="EP21" i="9"/>
  <c r="EQ21" i="9"/>
  <c r="ER21" i="9"/>
  <c r="ES21" i="9"/>
  <c r="ET21" i="9"/>
  <c r="EU21" i="9"/>
  <c r="EV21" i="9"/>
  <c r="EW21" i="9"/>
  <c r="EX21" i="9"/>
  <c r="EY21" i="9"/>
  <c r="EZ21" i="9"/>
  <c r="FA21" i="9"/>
  <c r="FB21" i="9"/>
  <c r="FC21" i="9"/>
  <c r="FD21" i="9"/>
  <c r="FE21" i="9"/>
  <c r="FF21" i="9"/>
  <c r="FG21" i="9"/>
  <c r="FH21" i="9"/>
  <c r="FI21" i="9"/>
  <c r="FJ21" i="9"/>
  <c r="FK21" i="9"/>
  <c r="FL21" i="9"/>
  <c r="FM21" i="9"/>
  <c r="FN21" i="9"/>
  <c r="FO21" i="9"/>
  <c r="FP21" i="9"/>
  <c r="FQ21" i="9"/>
  <c r="FR21" i="9"/>
  <c r="FS21" i="9"/>
  <c r="FT21" i="9"/>
  <c r="FU21" i="9"/>
  <c r="CL21" i="9"/>
  <c r="CM21" i="9"/>
  <c r="CN21" i="9"/>
  <c r="CO21" i="9"/>
  <c r="CP21" i="9"/>
  <c r="CQ21" i="9"/>
  <c r="CR21" i="9"/>
  <c r="CS21" i="9"/>
  <c r="CT21" i="9"/>
  <c r="CU21" i="9"/>
  <c r="CV21" i="9"/>
  <c r="CW21"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DY21" i="9"/>
  <c r="DZ21" i="9"/>
  <c r="EA21" i="9"/>
  <c r="EB21" i="9"/>
  <c r="EC21" i="9"/>
  <c r="AT21" i="9"/>
  <c r="AU21" i="9"/>
  <c r="AV21" i="9"/>
  <c r="AW21" i="9"/>
  <c r="AX21" i="9"/>
  <c r="AY21" i="9"/>
  <c r="AZ21" i="9"/>
  <c r="BA21" i="9"/>
  <c r="BB21" i="9"/>
  <c r="BC21" i="9"/>
  <c r="BD21" i="9"/>
  <c r="BE21" i="9"/>
  <c r="BF21" i="9"/>
  <c r="BG21" i="9"/>
  <c r="BH21" i="9"/>
  <c r="BI21" i="9"/>
  <c r="BJ21" i="9"/>
  <c r="BK21" i="9"/>
  <c r="BL21" i="9"/>
  <c r="BM21" i="9"/>
  <c r="BN21" i="9"/>
  <c r="BO21" i="9"/>
  <c r="BP21" i="9"/>
  <c r="BQ21" i="9"/>
  <c r="BR21" i="9"/>
  <c r="BS21" i="9"/>
  <c r="BT21" i="9"/>
  <c r="BU21" i="9"/>
  <c r="BV21" i="9"/>
  <c r="BW21" i="9"/>
  <c r="BX21" i="9"/>
  <c r="BY21" i="9"/>
  <c r="BZ21" i="9"/>
  <c r="CA21" i="9"/>
  <c r="CB21" i="9"/>
  <c r="CC21" i="9"/>
  <c r="CD21" i="9"/>
  <c r="CE21" i="9"/>
  <c r="CF21" i="9"/>
  <c r="CG21" i="9"/>
  <c r="CH21" i="9"/>
  <c r="CI21" i="9"/>
  <c r="CJ21" i="9"/>
  <c r="CK21" i="9"/>
  <c r="B21" i="9"/>
  <c r="C21" i="9"/>
  <c r="D21" i="9"/>
  <c r="E21" i="9"/>
  <c r="F21" i="9"/>
  <c r="G21" i="9"/>
  <c r="H21" i="9"/>
  <c r="I21" i="9"/>
  <c r="J21" i="9"/>
  <c r="K21" i="9"/>
  <c r="L21" i="9"/>
  <c r="M21" i="9"/>
  <c r="N21" i="9"/>
  <c r="O21" i="9"/>
  <c r="P21" i="9"/>
  <c r="Q21" i="9"/>
  <c r="R21" i="9"/>
  <c r="S21" i="9"/>
  <c r="T21" i="9"/>
  <c r="U21" i="9"/>
  <c r="V21" i="9"/>
  <c r="W21" i="9"/>
  <c r="X21" i="9"/>
  <c r="Y21" i="9"/>
  <c r="Z21" i="9"/>
  <c r="AA21" i="9"/>
  <c r="AB21" i="9"/>
  <c r="AC21" i="9"/>
  <c r="AD21" i="9"/>
  <c r="AE21" i="9"/>
  <c r="AF21" i="9"/>
  <c r="AG21" i="9"/>
  <c r="AH21" i="9"/>
  <c r="AI21" i="9"/>
  <c r="AJ21" i="9"/>
  <c r="AK21" i="9"/>
  <c r="AL21" i="9"/>
  <c r="AM21" i="9"/>
  <c r="AN21" i="9"/>
  <c r="AO21" i="9"/>
  <c r="AP21" i="9"/>
  <c r="AQ21" i="9"/>
  <c r="AR21" i="9"/>
  <c r="AS21" i="9"/>
  <c r="OH20" i="9"/>
  <c r="OI20" i="9"/>
  <c r="OJ20" i="9"/>
  <c r="OK20" i="9"/>
  <c r="OL20" i="9"/>
  <c r="OM20" i="9"/>
  <c r="ON20" i="9"/>
  <c r="OO20" i="9"/>
  <c r="OP20" i="9"/>
  <c r="OQ20" i="9"/>
  <c r="OR20" i="9"/>
  <c r="OS20" i="9"/>
  <c r="OT20" i="9"/>
  <c r="OU20" i="9"/>
  <c r="OV20" i="9"/>
  <c r="OW20" i="9"/>
  <c r="OX20" i="9"/>
  <c r="OY20" i="9"/>
  <c r="OZ20" i="9"/>
  <c r="PA20" i="9"/>
  <c r="PB20" i="9"/>
  <c r="PC20" i="9"/>
  <c r="PD20" i="9"/>
  <c r="PE20" i="9"/>
  <c r="PF20" i="9"/>
  <c r="PG20" i="9"/>
  <c r="PH20" i="9"/>
  <c r="PI20" i="9"/>
  <c r="PJ20" i="9"/>
  <c r="PK20" i="9"/>
  <c r="PL20" i="9"/>
  <c r="PM20" i="9"/>
  <c r="PN20" i="9"/>
  <c r="PO20" i="9"/>
  <c r="PP20" i="9"/>
  <c r="PQ20" i="9"/>
  <c r="PR20" i="9"/>
  <c r="PS20" i="9"/>
  <c r="PT20" i="9"/>
  <c r="PU20" i="9"/>
  <c r="PV20" i="9"/>
  <c r="PW20" i="9"/>
  <c r="PX20" i="9"/>
  <c r="PY20" i="9"/>
  <c r="MP20" i="9"/>
  <c r="MQ20" i="9"/>
  <c r="MR20" i="9"/>
  <c r="MS20" i="9"/>
  <c r="MT20" i="9"/>
  <c r="MU20" i="9"/>
  <c r="MV20" i="9"/>
  <c r="MW20" i="9"/>
  <c r="MX20" i="9"/>
  <c r="MY20" i="9"/>
  <c r="MZ20" i="9"/>
  <c r="NA20" i="9"/>
  <c r="NB20" i="9"/>
  <c r="NC20" i="9"/>
  <c r="ND20" i="9"/>
  <c r="NE20" i="9"/>
  <c r="NF20" i="9"/>
  <c r="NG20" i="9"/>
  <c r="NH20" i="9"/>
  <c r="NI20" i="9"/>
  <c r="NJ20" i="9"/>
  <c r="NK20" i="9"/>
  <c r="NL20" i="9"/>
  <c r="NM20" i="9"/>
  <c r="NN20" i="9"/>
  <c r="NO20" i="9"/>
  <c r="NP20" i="9"/>
  <c r="NQ20" i="9"/>
  <c r="NR20" i="9"/>
  <c r="NS20" i="9"/>
  <c r="NT20" i="9"/>
  <c r="NU20" i="9"/>
  <c r="NV20" i="9"/>
  <c r="NW20" i="9"/>
  <c r="NX20" i="9"/>
  <c r="NY20" i="9"/>
  <c r="NZ20" i="9"/>
  <c r="OA20" i="9"/>
  <c r="OB20" i="9"/>
  <c r="OC20" i="9"/>
  <c r="OD20" i="9"/>
  <c r="OE20" i="9"/>
  <c r="OF20" i="9"/>
  <c r="OG20" i="9"/>
  <c r="KX20" i="9"/>
  <c r="KY20" i="9"/>
  <c r="KZ20" i="9"/>
  <c r="LA20" i="9"/>
  <c r="LB20" i="9"/>
  <c r="LC20" i="9"/>
  <c r="LD20" i="9"/>
  <c r="LE20" i="9"/>
  <c r="LF20" i="9"/>
  <c r="LG20" i="9"/>
  <c r="LH20" i="9"/>
  <c r="LI20" i="9"/>
  <c r="LJ20" i="9"/>
  <c r="LK20" i="9"/>
  <c r="LL20" i="9"/>
  <c r="LM20" i="9"/>
  <c r="LN20" i="9"/>
  <c r="LO20" i="9"/>
  <c r="LP20" i="9"/>
  <c r="LQ20" i="9"/>
  <c r="LR20" i="9"/>
  <c r="LS20" i="9"/>
  <c r="LT20" i="9"/>
  <c r="LU20" i="9"/>
  <c r="LV20" i="9"/>
  <c r="LW20" i="9"/>
  <c r="LX20" i="9"/>
  <c r="LY20" i="9"/>
  <c r="LZ20" i="9"/>
  <c r="MA20" i="9"/>
  <c r="MB20" i="9"/>
  <c r="MC20" i="9"/>
  <c r="MD20" i="9"/>
  <c r="ME20" i="9"/>
  <c r="MF20" i="9"/>
  <c r="MG20" i="9"/>
  <c r="MH20" i="9"/>
  <c r="MI20" i="9"/>
  <c r="MJ20" i="9"/>
  <c r="MK20" i="9"/>
  <c r="ML20" i="9"/>
  <c r="MM20" i="9"/>
  <c r="MN20" i="9"/>
  <c r="MO20" i="9"/>
  <c r="JF20" i="9"/>
  <c r="JG20" i="9"/>
  <c r="JH20" i="9"/>
  <c r="JI20" i="9"/>
  <c r="JJ20" i="9"/>
  <c r="JK20" i="9"/>
  <c r="JL20" i="9"/>
  <c r="JM20" i="9"/>
  <c r="JN20" i="9"/>
  <c r="JO20" i="9"/>
  <c r="JP20" i="9"/>
  <c r="JQ20" i="9"/>
  <c r="JR20" i="9"/>
  <c r="JS20" i="9"/>
  <c r="JT20" i="9"/>
  <c r="JU20" i="9"/>
  <c r="JV20" i="9"/>
  <c r="JW20" i="9"/>
  <c r="JX20" i="9"/>
  <c r="JY20" i="9"/>
  <c r="JZ20" i="9"/>
  <c r="KA20" i="9"/>
  <c r="KB20" i="9"/>
  <c r="KC20" i="9"/>
  <c r="KD20" i="9"/>
  <c r="KE20" i="9"/>
  <c r="KF20" i="9"/>
  <c r="KG20" i="9"/>
  <c r="KH20" i="9"/>
  <c r="KI20" i="9"/>
  <c r="KJ20" i="9"/>
  <c r="KK20" i="9"/>
  <c r="KL20" i="9"/>
  <c r="KM20" i="9"/>
  <c r="KN20" i="9"/>
  <c r="KO20" i="9"/>
  <c r="KP20" i="9"/>
  <c r="KQ20" i="9"/>
  <c r="KR20" i="9"/>
  <c r="KS20" i="9"/>
  <c r="KT20" i="9"/>
  <c r="KU20" i="9"/>
  <c r="KV20" i="9"/>
  <c r="KW20" i="9"/>
  <c r="HN20" i="9"/>
  <c r="HO20" i="9"/>
  <c r="HP20" i="9"/>
  <c r="HQ20" i="9"/>
  <c r="HR20" i="9"/>
  <c r="HS20" i="9"/>
  <c r="HT20" i="9"/>
  <c r="HU20" i="9"/>
  <c r="HV20" i="9"/>
  <c r="HW20" i="9"/>
  <c r="HX20" i="9"/>
  <c r="HY20" i="9"/>
  <c r="HZ20" i="9"/>
  <c r="IA20" i="9"/>
  <c r="IB20" i="9"/>
  <c r="IC20" i="9"/>
  <c r="ID20" i="9"/>
  <c r="IE20" i="9"/>
  <c r="IF20" i="9"/>
  <c r="IG20" i="9"/>
  <c r="IH20" i="9"/>
  <c r="II20" i="9"/>
  <c r="IJ20" i="9"/>
  <c r="IK20" i="9"/>
  <c r="IL20" i="9"/>
  <c r="IM20" i="9"/>
  <c r="IN20" i="9"/>
  <c r="IO20" i="9"/>
  <c r="IP20" i="9"/>
  <c r="IQ20" i="9"/>
  <c r="IR20" i="9"/>
  <c r="IS20" i="9"/>
  <c r="IT20" i="9"/>
  <c r="IU20" i="9"/>
  <c r="IV20" i="9"/>
  <c r="IW20" i="9"/>
  <c r="IX20" i="9"/>
  <c r="IY20" i="9"/>
  <c r="IZ20" i="9"/>
  <c r="JA20" i="9"/>
  <c r="JB20" i="9"/>
  <c r="JC20" i="9"/>
  <c r="JD20" i="9"/>
  <c r="JE20" i="9"/>
  <c r="FV20" i="9"/>
  <c r="FW20" i="9"/>
  <c r="FX20" i="9"/>
  <c r="FY20" i="9"/>
  <c r="FZ20" i="9"/>
  <c r="GA20" i="9"/>
  <c r="GB20" i="9"/>
  <c r="GC20" i="9"/>
  <c r="GD20" i="9"/>
  <c r="GE20" i="9"/>
  <c r="GF20" i="9"/>
  <c r="GG20" i="9"/>
  <c r="GH20" i="9"/>
  <c r="GI20" i="9"/>
  <c r="GJ20" i="9"/>
  <c r="GK20" i="9"/>
  <c r="GL20" i="9"/>
  <c r="GM20" i="9"/>
  <c r="GN20" i="9"/>
  <c r="GO20" i="9"/>
  <c r="GP20" i="9"/>
  <c r="GQ20" i="9"/>
  <c r="GR20" i="9"/>
  <c r="GS20" i="9"/>
  <c r="GT20" i="9"/>
  <c r="GU20" i="9"/>
  <c r="GV20" i="9"/>
  <c r="GW20" i="9"/>
  <c r="GX20" i="9"/>
  <c r="GY20" i="9"/>
  <c r="GZ20" i="9"/>
  <c r="HA20" i="9"/>
  <c r="HB20" i="9"/>
  <c r="HC20" i="9"/>
  <c r="HD20" i="9"/>
  <c r="HE20" i="9"/>
  <c r="HF20" i="9"/>
  <c r="HG20" i="9"/>
  <c r="HH20" i="9"/>
  <c r="HI20" i="9"/>
  <c r="HJ20" i="9"/>
  <c r="HK20" i="9"/>
  <c r="HL20" i="9"/>
  <c r="HM20" i="9"/>
  <c r="ED20" i="9"/>
  <c r="EE20" i="9"/>
  <c r="EF20" i="9"/>
  <c r="EG20" i="9"/>
  <c r="EH20" i="9"/>
  <c r="EI20" i="9"/>
  <c r="EJ20" i="9"/>
  <c r="EK20" i="9"/>
  <c r="EL20" i="9"/>
  <c r="EM20" i="9"/>
  <c r="EN20" i="9"/>
  <c r="EO20" i="9"/>
  <c r="EP20" i="9"/>
  <c r="EQ20" i="9"/>
  <c r="ER20" i="9"/>
  <c r="ES20" i="9"/>
  <c r="ET20" i="9"/>
  <c r="EU20" i="9"/>
  <c r="EV20" i="9"/>
  <c r="EW20" i="9"/>
  <c r="EX20" i="9"/>
  <c r="EY20" i="9"/>
  <c r="EZ20" i="9"/>
  <c r="FA20" i="9"/>
  <c r="FB20" i="9"/>
  <c r="FC20" i="9"/>
  <c r="FD20" i="9"/>
  <c r="FE20" i="9"/>
  <c r="FF20" i="9"/>
  <c r="FG20" i="9"/>
  <c r="FH20" i="9"/>
  <c r="FI20" i="9"/>
  <c r="FJ20" i="9"/>
  <c r="FK20" i="9"/>
  <c r="FL20" i="9"/>
  <c r="FM20" i="9"/>
  <c r="FN20" i="9"/>
  <c r="FO20" i="9"/>
  <c r="FP20" i="9"/>
  <c r="FQ20" i="9"/>
  <c r="FR20" i="9"/>
  <c r="FS20" i="9"/>
  <c r="FT20" i="9"/>
  <c r="FU20" i="9"/>
  <c r="CL20" i="9"/>
  <c r="CM20" i="9"/>
  <c r="CN20" i="9"/>
  <c r="CO20" i="9"/>
  <c r="CP20" i="9"/>
  <c r="CQ20" i="9"/>
  <c r="CR20" i="9"/>
  <c r="CS20" i="9"/>
  <c r="CT20" i="9"/>
  <c r="CU20" i="9"/>
  <c r="CV20" i="9"/>
  <c r="CW20" i="9"/>
  <c r="CX20" i="9"/>
  <c r="CY20" i="9"/>
  <c r="CZ20" i="9"/>
  <c r="DA20" i="9"/>
  <c r="DB20" i="9"/>
  <c r="DC20" i="9"/>
  <c r="DD20" i="9"/>
  <c r="DE20" i="9"/>
  <c r="DF20" i="9"/>
  <c r="DG20" i="9"/>
  <c r="DH20" i="9"/>
  <c r="DI20" i="9"/>
  <c r="DJ20" i="9"/>
  <c r="DK20" i="9"/>
  <c r="DL20" i="9"/>
  <c r="DM20" i="9"/>
  <c r="DN20" i="9"/>
  <c r="DO20" i="9"/>
  <c r="DP20" i="9"/>
  <c r="DQ20" i="9"/>
  <c r="DR20" i="9"/>
  <c r="DS20" i="9"/>
  <c r="DT20" i="9"/>
  <c r="DU20" i="9"/>
  <c r="DV20" i="9"/>
  <c r="DW20" i="9"/>
  <c r="DX20" i="9"/>
  <c r="DY20" i="9"/>
  <c r="DZ20" i="9"/>
  <c r="EA20" i="9"/>
  <c r="EB20" i="9"/>
  <c r="EC20" i="9"/>
  <c r="AT20" i="9"/>
  <c r="AU20" i="9"/>
  <c r="AV20" i="9"/>
  <c r="AW20" i="9"/>
  <c r="AX20" i="9"/>
  <c r="AY20" i="9"/>
  <c r="AZ20" i="9"/>
  <c r="BA20" i="9"/>
  <c r="BB20" i="9"/>
  <c r="BC20" i="9"/>
  <c r="BD20" i="9"/>
  <c r="BE20" i="9"/>
  <c r="BF20" i="9"/>
  <c r="BG20" i="9"/>
  <c r="BH20" i="9"/>
  <c r="BI20" i="9"/>
  <c r="BJ20" i="9"/>
  <c r="BK20" i="9"/>
  <c r="BL20" i="9"/>
  <c r="BM20" i="9"/>
  <c r="BN20" i="9"/>
  <c r="BO20" i="9"/>
  <c r="BP20" i="9"/>
  <c r="BQ20" i="9"/>
  <c r="BR20" i="9"/>
  <c r="BS20" i="9"/>
  <c r="BT20" i="9"/>
  <c r="BU20" i="9"/>
  <c r="BV20" i="9"/>
  <c r="BW20" i="9"/>
  <c r="BX20" i="9"/>
  <c r="BY20" i="9"/>
  <c r="BZ20" i="9"/>
  <c r="CA20" i="9"/>
  <c r="CB20" i="9"/>
  <c r="CC20" i="9"/>
  <c r="CD20" i="9"/>
  <c r="CE20" i="9"/>
  <c r="CF20" i="9"/>
  <c r="CG20" i="9"/>
  <c r="CH20" i="9"/>
  <c r="CI20" i="9"/>
  <c r="CJ20" i="9"/>
  <c r="CK20" i="9"/>
  <c r="B20" i="9"/>
  <c r="C20" i="9"/>
  <c r="D20"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H20" i="9"/>
  <c r="AI20" i="9"/>
  <c r="AJ20" i="9"/>
  <c r="AK20" i="9"/>
  <c r="AL20" i="9"/>
  <c r="AM20" i="9"/>
  <c r="AN20" i="9"/>
  <c r="AO20" i="9"/>
  <c r="AP20" i="9"/>
  <c r="AQ20" i="9"/>
  <c r="AR20" i="9"/>
  <c r="AS20" i="9"/>
  <c r="BNB19" i="9"/>
  <c r="BNC19" i="9"/>
  <c r="BND19" i="9"/>
  <c r="BNE19" i="9"/>
  <c r="BNF19" i="9"/>
  <c r="BNG19" i="9"/>
  <c r="BNH19" i="9"/>
  <c r="BNI19" i="9"/>
  <c r="BNJ19" i="9"/>
  <c r="BNK19" i="9"/>
  <c r="BNL19" i="9"/>
  <c r="BNM19" i="9"/>
  <c r="BNN19" i="9"/>
  <c r="BNO19" i="9"/>
  <c r="BNP19" i="9"/>
  <c r="BNQ19" i="9"/>
  <c r="BNR19" i="9"/>
  <c r="BNS19" i="9"/>
  <c r="BNT19" i="9"/>
  <c r="BNU19" i="9"/>
  <c r="BNV19" i="9"/>
  <c r="BNW19" i="9"/>
  <c r="BNX19" i="9"/>
  <c r="BNY19" i="9"/>
  <c r="BNZ19" i="9"/>
  <c r="BOA19" i="9"/>
  <c r="BOB19" i="9"/>
  <c r="BOC19" i="9"/>
  <c r="BOD19" i="9"/>
  <c r="BOE19" i="9"/>
  <c r="BOF19" i="9"/>
  <c r="BOG19" i="9"/>
  <c r="BOH19" i="9"/>
  <c r="BOI19" i="9"/>
  <c r="BOJ19" i="9"/>
  <c r="BOK19" i="9"/>
  <c r="BOL19" i="9"/>
  <c r="BOM19" i="9"/>
  <c r="BON19" i="9"/>
  <c r="BOO19" i="9"/>
  <c r="BOP19" i="9"/>
  <c r="BOQ19" i="9"/>
  <c r="BOR19" i="9"/>
  <c r="BOS19" i="9"/>
  <c r="BLJ19" i="9"/>
  <c r="BLK19" i="9"/>
  <c r="BLL19" i="9"/>
  <c r="BLM19" i="9"/>
  <c r="BLN19" i="9"/>
  <c r="BLO19" i="9"/>
  <c r="BLP19" i="9"/>
  <c r="BLQ19" i="9"/>
  <c r="BLR19" i="9"/>
  <c r="BLS19" i="9"/>
  <c r="BLT19" i="9"/>
  <c r="BLU19" i="9"/>
  <c r="BLV19" i="9"/>
  <c r="BLW19" i="9"/>
  <c r="BLX19" i="9"/>
  <c r="BLY19" i="9"/>
  <c r="BLZ19" i="9"/>
  <c r="BMA19" i="9"/>
  <c r="BMB19" i="9"/>
  <c r="BMC19" i="9"/>
  <c r="BMD19" i="9"/>
  <c r="BME19" i="9"/>
  <c r="BMF19" i="9"/>
  <c r="BMG19" i="9"/>
  <c r="BMH19" i="9"/>
  <c r="BMI19" i="9"/>
  <c r="BMJ19" i="9"/>
  <c r="BMK19" i="9"/>
  <c r="BML19" i="9"/>
  <c r="BMM19" i="9"/>
  <c r="BMN19" i="9"/>
  <c r="BMO19" i="9"/>
  <c r="BMP19" i="9"/>
  <c r="BMQ19" i="9"/>
  <c r="BMR19" i="9"/>
  <c r="BMS19" i="9"/>
  <c r="BMT19" i="9"/>
  <c r="BMU19" i="9"/>
  <c r="BMV19" i="9"/>
  <c r="BMW19" i="9"/>
  <c r="BMX19" i="9"/>
  <c r="BMY19" i="9"/>
  <c r="BMZ19" i="9"/>
  <c r="BNA19" i="9"/>
  <c r="BJR19" i="9"/>
  <c r="BJS19" i="9"/>
  <c r="BJT19" i="9"/>
  <c r="BJU19" i="9"/>
  <c r="BJV19" i="9"/>
  <c r="BJW19" i="9"/>
  <c r="BJX19" i="9"/>
  <c r="BJY19" i="9"/>
  <c r="BJZ19" i="9"/>
  <c r="BKA19" i="9"/>
  <c r="BKB19" i="9"/>
  <c r="BKC19" i="9"/>
  <c r="BKD19" i="9"/>
  <c r="BKE19" i="9"/>
  <c r="BKF19" i="9"/>
  <c r="BKG19" i="9"/>
  <c r="BKH19" i="9"/>
  <c r="BKI19" i="9"/>
  <c r="BKJ19" i="9"/>
  <c r="BKK19" i="9"/>
  <c r="BKL19" i="9"/>
  <c r="BKM19" i="9"/>
  <c r="BKN19" i="9"/>
  <c r="BKO19" i="9"/>
  <c r="BKP19" i="9"/>
  <c r="BKQ19" i="9"/>
  <c r="BKR19" i="9"/>
  <c r="BKS19" i="9"/>
  <c r="BKT19" i="9"/>
  <c r="BKU19" i="9"/>
  <c r="BKV19" i="9"/>
  <c r="BKW19" i="9"/>
  <c r="BKX19" i="9"/>
  <c r="BKY19" i="9"/>
  <c r="BKZ19" i="9"/>
  <c r="BLA19" i="9"/>
  <c r="BLB19" i="9"/>
  <c r="BLC19" i="9"/>
  <c r="BLD19" i="9"/>
  <c r="BLE19" i="9"/>
  <c r="BLF19" i="9"/>
  <c r="BLG19" i="9"/>
  <c r="BLH19" i="9"/>
  <c r="BLI19" i="9"/>
  <c r="BHZ19" i="9"/>
  <c r="BIA19" i="9"/>
  <c r="BIB19" i="9"/>
  <c r="BIC19" i="9"/>
  <c r="BID19" i="9"/>
  <c r="BIE19" i="9"/>
  <c r="BIF19" i="9"/>
  <c r="BIG19" i="9"/>
  <c r="BIH19" i="9"/>
  <c r="BII19" i="9"/>
  <c r="BIJ19" i="9"/>
  <c r="BIK19" i="9"/>
  <c r="BIL19" i="9"/>
  <c r="BIM19" i="9"/>
  <c r="BIN19" i="9"/>
  <c r="BIO19" i="9"/>
  <c r="BIP19" i="9"/>
  <c r="BIQ19" i="9"/>
  <c r="BIR19" i="9"/>
  <c r="BIS19" i="9"/>
  <c r="BIT19" i="9"/>
  <c r="BIU19" i="9"/>
  <c r="BIV19" i="9"/>
  <c r="BIW19" i="9"/>
  <c r="BIX19" i="9"/>
  <c r="BIY19" i="9"/>
  <c r="BIZ19" i="9"/>
  <c r="BJA19" i="9"/>
  <c r="BJB19" i="9"/>
  <c r="BJC19" i="9"/>
  <c r="BJD19" i="9"/>
  <c r="BJE19" i="9"/>
  <c r="BJF19" i="9"/>
  <c r="BJG19" i="9"/>
  <c r="BJH19" i="9"/>
  <c r="BJI19" i="9"/>
  <c r="BJJ19" i="9"/>
  <c r="BJK19" i="9"/>
  <c r="BJL19" i="9"/>
  <c r="BJM19" i="9"/>
  <c r="BJN19" i="9"/>
  <c r="BJO19" i="9"/>
  <c r="BJP19" i="9"/>
  <c r="BJQ19" i="9"/>
  <c r="BGH19" i="9"/>
  <c r="BGI19" i="9"/>
  <c r="BGJ19" i="9"/>
  <c r="BGK19" i="9"/>
  <c r="BGL19" i="9"/>
  <c r="BGM19" i="9"/>
  <c r="BGN19" i="9"/>
  <c r="BGO19" i="9"/>
  <c r="BGP19" i="9"/>
  <c r="BGQ19" i="9"/>
  <c r="BGR19" i="9"/>
  <c r="BGS19" i="9"/>
  <c r="BGT19" i="9"/>
  <c r="BGU19" i="9"/>
  <c r="BGV19" i="9"/>
  <c r="BGW19" i="9"/>
  <c r="BGX19" i="9"/>
  <c r="BGY19" i="9"/>
  <c r="BGZ19" i="9"/>
  <c r="BHA19" i="9"/>
  <c r="BHB19" i="9"/>
  <c r="BHC19" i="9"/>
  <c r="BHD19" i="9"/>
  <c r="BHE19" i="9"/>
  <c r="BHF19" i="9"/>
  <c r="BHG19" i="9"/>
  <c r="BHH19" i="9"/>
  <c r="BHI19" i="9"/>
  <c r="BHJ19" i="9"/>
  <c r="BHK19" i="9"/>
  <c r="BHL19" i="9"/>
  <c r="BHM19" i="9"/>
  <c r="BHN19" i="9"/>
  <c r="BHO19" i="9"/>
  <c r="BHP19" i="9"/>
  <c r="BHQ19" i="9"/>
  <c r="BHR19" i="9"/>
  <c r="BHS19" i="9"/>
  <c r="BHT19" i="9"/>
  <c r="BHU19" i="9"/>
  <c r="BHV19" i="9"/>
  <c r="BHW19" i="9"/>
  <c r="BHX19" i="9"/>
  <c r="BHY19" i="9"/>
  <c r="BEP19" i="9"/>
  <c r="BEQ19" i="9"/>
  <c r="BER19" i="9"/>
  <c r="BES19" i="9"/>
  <c r="BET19" i="9"/>
  <c r="BEU19" i="9"/>
  <c r="BEV19" i="9"/>
  <c r="BEW19" i="9"/>
  <c r="BEX19" i="9"/>
  <c r="BEY19" i="9"/>
  <c r="BEZ19" i="9"/>
  <c r="BFA19" i="9"/>
  <c r="BFB19" i="9"/>
  <c r="BFC19" i="9"/>
  <c r="BFD19" i="9"/>
  <c r="BFE19" i="9"/>
  <c r="BFF19" i="9"/>
  <c r="BFG19" i="9"/>
  <c r="BFH19" i="9"/>
  <c r="BFI19" i="9"/>
  <c r="BFJ19" i="9"/>
  <c r="BFK19" i="9"/>
  <c r="BFL19" i="9"/>
  <c r="BFM19" i="9"/>
  <c r="BFN19" i="9"/>
  <c r="BFO19" i="9"/>
  <c r="BFP19" i="9"/>
  <c r="BFQ19" i="9"/>
  <c r="BFR19" i="9"/>
  <c r="BFS19" i="9"/>
  <c r="BFT19" i="9"/>
  <c r="BFU19" i="9"/>
  <c r="BFV19" i="9"/>
  <c r="BFW19" i="9"/>
  <c r="BFX19" i="9"/>
  <c r="BFY19" i="9"/>
  <c r="BFZ19" i="9"/>
  <c r="BGA19" i="9"/>
  <c r="BGB19" i="9"/>
  <c r="BGC19" i="9"/>
  <c r="BGD19" i="9"/>
  <c r="BGE19" i="9"/>
  <c r="BGF19" i="9"/>
  <c r="BGG19" i="9"/>
  <c r="BCX19" i="9"/>
  <c r="BCY19" i="9"/>
  <c r="BCZ19" i="9"/>
  <c r="BDA19" i="9"/>
  <c r="BDB19" i="9"/>
  <c r="BDC19" i="9"/>
  <c r="BDD19" i="9"/>
  <c r="BDE19" i="9"/>
  <c r="BDF19" i="9"/>
  <c r="BDG19" i="9"/>
  <c r="BDH19" i="9"/>
  <c r="BDI19" i="9"/>
  <c r="BDJ19" i="9"/>
  <c r="BDK19" i="9"/>
  <c r="BDL19" i="9"/>
  <c r="BDM19" i="9"/>
  <c r="BDN19" i="9"/>
  <c r="BDO19" i="9"/>
  <c r="BDP19" i="9"/>
  <c r="BDQ19" i="9"/>
  <c r="BDR19" i="9"/>
  <c r="BDS19" i="9"/>
  <c r="BDT19" i="9"/>
  <c r="BDU19" i="9"/>
  <c r="BDV19" i="9"/>
  <c r="BDW19" i="9"/>
  <c r="BDX19" i="9"/>
  <c r="BDY19" i="9"/>
  <c r="BDZ19" i="9"/>
  <c r="BEA19" i="9"/>
  <c r="BEB19" i="9"/>
  <c r="BEC19" i="9"/>
  <c r="BED19" i="9"/>
  <c r="BEE19" i="9"/>
  <c r="BEF19" i="9"/>
  <c r="BEG19" i="9"/>
  <c r="BEH19" i="9"/>
  <c r="BEI19" i="9"/>
  <c r="BEJ19" i="9"/>
  <c r="BEK19" i="9"/>
  <c r="BEL19" i="9"/>
  <c r="BEM19" i="9"/>
  <c r="BEN19" i="9"/>
  <c r="BEO19" i="9"/>
  <c r="BBF19" i="9"/>
  <c r="BBG19" i="9"/>
  <c r="BBH19" i="9"/>
  <c r="BBI19" i="9"/>
  <c r="BBJ19" i="9"/>
  <c r="BBK19" i="9"/>
  <c r="BBL19" i="9"/>
  <c r="BBM19" i="9"/>
  <c r="BBN19" i="9"/>
  <c r="BBO19" i="9"/>
  <c r="BBP19" i="9"/>
  <c r="BBQ19" i="9"/>
  <c r="BBR19" i="9"/>
  <c r="BBS19" i="9"/>
  <c r="BBT19" i="9"/>
  <c r="BBU19" i="9"/>
  <c r="BBV19" i="9"/>
  <c r="BBW19" i="9"/>
  <c r="BBX19" i="9"/>
  <c r="BBY19" i="9"/>
  <c r="BBZ19" i="9"/>
  <c r="BCA19" i="9"/>
  <c r="BCB19" i="9"/>
  <c r="BCC19" i="9"/>
  <c r="BCD19" i="9"/>
  <c r="BCE19" i="9"/>
  <c r="BCF19" i="9"/>
  <c r="BCG19" i="9"/>
  <c r="BCH19" i="9"/>
  <c r="BCI19" i="9"/>
  <c r="BCJ19" i="9"/>
  <c r="BCK19" i="9"/>
  <c r="BCL19" i="9"/>
  <c r="BCM19" i="9"/>
  <c r="BCN19" i="9"/>
  <c r="BCO19" i="9"/>
  <c r="BCP19" i="9"/>
  <c r="BCQ19" i="9"/>
  <c r="BCR19" i="9"/>
  <c r="BCS19" i="9"/>
  <c r="BCT19" i="9"/>
  <c r="BCU19" i="9"/>
  <c r="BCV19" i="9"/>
  <c r="BCW19" i="9"/>
  <c r="AZN19" i="9"/>
  <c r="AZO19" i="9"/>
  <c r="AZP19" i="9"/>
  <c r="AZQ19" i="9"/>
  <c r="AZR19" i="9"/>
  <c r="AZS19" i="9"/>
  <c r="AZT19" i="9"/>
  <c r="AZU19" i="9"/>
  <c r="AZV19" i="9"/>
  <c r="AZW19" i="9"/>
  <c r="AZX19" i="9"/>
  <c r="AZY19" i="9"/>
  <c r="AZZ19" i="9"/>
  <c r="BAA19" i="9"/>
  <c r="BAB19" i="9"/>
  <c r="BAC19" i="9"/>
  <c r="BAD19" i="9"/>
  <c r="BAE19" i="9"/>
  <c r="BAF19" i="9"/>
  <c r="BAG19" i="9"/>
  <c r="BAH19" i="9"/>
  <c r="BAI19" i="9"/>
  <c r="BAJ19" i="9"/>
  <c r="BAK19" i="9"/>
  <c r="BAL19" i="9"/>
  <c r="BAM19" i="9"/>
  <c r="BAN19" i="9"/>
  <c r="BAO19" i="9"/>
  <c r="BAP19" i="9"/>
  <c r="BAQ19" i="9"/>
  <c r="BAR19" i="9"/>
  <c r="BAS19" i="9"/>
  <c r="BAT19" i="9"/>
  <c r="BAU19" i="9"/>
  <c r="BAV19" i="9"/>
  <c r="BAW19" i="9"/>
  <c r="BAX19" i="9"/>
  <c r="BAY19" i="9"/>
  <c r="BAZ19" i="9"/>
  <c r="BBA19" i="9"/>
  <c r="BBB19" i="9"/>
  <c r="BBC19" i="9"/>
  <c r="BBD19" i="9"/>
  <c r="BBE19" i="9"/>
  <c r="AXV19" i="9"/>
  <c r="AXW19" i="9"/>
  <c r="AXX19" i="9"/>
  <c r="AXY19" i="9"/>
  <c r="AXZ19" i="9"/>
  <c r="AYA19" i="9"/>
  <c r="AYB19" i="9"/>
  <c r="AYC19" i="9"/>
  <c r="AYD19" i="9"/>
  <c r="AYE19" i="9"/>
  <c r="AYF19" i="9"/>
  <c r="AYG19" i="9"/>
  <c r="AYH19" i="9"/>
  <c r="AYI19" i="9"/>
  <c r="AYJ19" i="9"/>
  <c r="AYK19" i="9"/>
  <c r="AYL19" i="9"/>
  <c r="AYM19" i="9"/>
  <c r="AYN19" i="9"/>
  <c r="AYO19" i="9"/>
  <c r="AYP19" i="9"/>
  <c r="AYQ19" i="9"/>
  <c r="AYR19" i="9"/>
  <c r="AYS19" i="9"/>
  <c r="AYT19" i="9"/>
  <c r="AYU19" i="9"/>
  <c r="AYV19" i="9"/>
  <c r="AYW19" i="9"/>
  <c r="AYX19" i="9"/>
  <c r="AYY19" i="9"/>
  <c r="AYZ19" i="9"/>
  <c r="AZA19" i="9"/>
  <c r="AZB19" i="9"/>
  <c r="AZC19" i="9"/>
  <c r="AZD19" i="9"/>
  <c r="AZE19" i="9"/>
  <c r="AZF19" i="9"/>
  <c r="AZG19" i="9"/>
  <c r="AZH19" i="9"/>
  <c r="AZI19" i="9"/>
  <c r="AZJ19" i="9"/>
  <c r="AZK19" i="9"/>
  <c r="AZL19" i="9"/>
  <c r="AZM19" i="9"/>
  <c r="AWD19" i="9"/>
  <c r="AWE19" i="9"/>
  <c r="AWF19" i="9"/>
  <c r="AWG19" i="9"/>
  <c r="AWH19" i="9"/>
  <c r="AWI19" i="9"/>
  <c r="AWJ19" i="9"/>
  <c r="AWK19" i="9"/>
  <c r="AWL19" i="9"/>
  <c r="AWM19" i="9"/>
  <c r="AWN19" i="9"/>
  <c r="AWO19" i="9"/>
  <c r="AWP19" i="9"/>
  <c r="AWQ19" i="9"/>
  <c r="AWR19" i="9"/>
  <c r="AWS19" i="9"/>
  <c r="AWT19" i="9"/>
  <c r="AWU19" i="9"/>
  <c r="AWV19" i="9"/>
  <c r="AWW19" i="9"/>
  <c r="AWX19" i="9"/>
  <c r="AWY19" i="9"/>
  <c r="AWZ19" i="9"/>
  <c r="AXA19" i="9"/>
  <c r="AXB19" i="9"/>
  <c r="AXC19" i="9"/>
  <c r="AXD19" i="9"/>
  <c r="AXE19" i="9"/>
  <c r="AXF19" i="9"/>
  <c r="AXG19" i="9"/>
  <c r="AXH19" i="9"/>
  <c r="AXI19" i="9"/>
  <c r="AXJ19" i="9"/>
  <c r="AXK19" i="9"/>
  <c r="AXL19" i="9"/>
  <c r="AXM19" i="9"/>
  <c r="AXN19" i="9"/>
  <c r="AXO19" i="9"/>
  <c r="AXP19" i="9"/>
  <c r="AXQ19" i="9"/>
  <c r="AXR19" i="9"/>
  <c r="AXS19" i="9"/>
  <c r="AXT19" i="9"/>
  <c r="AXU19" i="9"/>
  <c r="AUL19" i="9"/>
  <c r="AUM19" i="9"/>
  <c r="AUN19" i="9"/>
  <c r="AUO19" i="9"/>
  <c r="AUP19" i="9"/>
  <c r="AUQ19" i="9"/>
  <c r="AUR19" i="9"/>
  <c r="AUS19" i="9"/>
  <c r="AUT19" i="9"/>
  <c r="AUU19" i="9"/>
  <c r="AUV19" i="9"/>
  <c r="AUW19" i="9"/>
  <c r="AUX19" i="9"/>
  <c r="AUY19" i="9"/>
  <c r="AUZ19" i="9"/>
  <c r="AVA19" i="9"/>
  <c r="AVB19" i="9"/>
  <c r="AVC19" i="9"/>
  <c r="AVD19" i="9"/>
  <c r="AVE19" i="9"/>
  <c r="AVF19" i="9"/>
  <c r="AVG19" i="9"/>
  <c r="AVH19" i="9"/>
  <c r="AVI19" i="9"/>
  <c r="AVJ19" i="9"/>
  <c r="AVK19" i="9"/>
  <c r="AVL19" i="9"/>
  <c r="AVM19" i="9"/>
  <c r="AVN19" i="9"/>
  <c r="AVO19" i="9"/>
  <c r="AVP19" i="9"/>
  <c r="AVQ19" i="9"/>
  <c r="AVR19" i="9"/>
  <c r="AVS19" i="9"/>
  <c r="AVT19" i="9"/>
  <c r="AVU19" i="9"/>
  <c r="AVV19" i="9"/>
  <c r="AVW19" i="9"/>
  <c r="AVX19" i="9"/>
  <c r="AVY19" i="9"/>
  <c r="AVZ19" i="9"/>
  <c r="AWA19" i="9"/>
  <c r="AWB19" i="9"/>
  <c r="AWC19" i="9"/>
  <c r="AST19" i="9"/>
  <c r="ASU19" i="9"/>
  <c r="ASV19" i="9"/>
  <c r="ASW19" i="9"/>
  <c r="ASX19" i="9"/>
  <c r="ASY19" i="9"/>
  <c r="ASZ19" i="9"/>
  <c r="ATA19" i="9"/>
  <c r="ATB19" i="9"/>
  <c r="ATC19" i="9"/>
  <c r="ATD19" i="9"/>
  <c r="ATE19" i="9"/>
  <c r="ATF19" i="9"/>
  <c r="ATG19" i="9"/>
  <c r="ATH19" i="9"/>
  <c r="ATI19" i="9"/>
  <c r="ATJ19" i="9"/>
  <c r="ATK19" i="9"/>
  <c r="ATL19" i="9"/>
  <c r="ATM19" i="9"/>
  <c r="ATN19" i="9"/>
  <c r="ATO19" i="9"/>
  <c r="ATP19" i="9"/>
  <c r="ATQ19" i="9"/>
  <c r="ATR19" i="9"/>
  <c r="ATS19" i="9"/>
  <c r="ATT19" i="9"/>
  <c r="ATU19" i="9"/>
  <c r="ATV19" i="9"/>
  <c r="ATW19" i="9"/>
  <c r="ATX19" i="9"/>
  <c r="ATY19" i="9"/>
  <c r="ATZ19" i="9"/>
  <c r="AUA19" i="9"/>
  <c r="AUB19" i="9"/>
  <c r="AUC19" i="9"/>
  <c r="AUD19" i="9"/>
  <c r="AUE19" i="9"/>
  <c r="AUF19" i="9"/>
  <c r="AUG19" i="9"/>
  <c r="AUH19" i="9"/>
  <c r="AUI19" i="9"/>
  <c r="AUJ19" i="9"/>
  <c r="AUK19" i="9"/>
  <c r="ARB19" i="9"/>
  <c r="ARC19" i="9"/>
  <c r="ARD19" i="9"/>
  <c r="ARE19" i="9"/>
  <c r="ARF19" i="9"/>
  <c r="ARG19" i="9"/>
  <c r="ARH19" i="9"/>
  <c r="ARI19" i="9"/>
  <c r="ARJ19" i="9"/>
  <c r="ARK19" i="9"/>
  <c r="ARL19" i="9"/>
  <c r="ARM19" i="9"/>
  <c r="ARN19" i="9"/>
  <c r="ARO19" i="9"/>
  <c r="ARP19" i="9"/>
  <c r="ARQ19" i="9"/>
  <c r="ARR19" i="9"/>
  <c r="ARS19" i="9"/>
  <c r="ART19" i="9"/>
  <c r="ARU19" i="9"/>
  <c r="ARV19" i="9"/>
  <c r="ARW19" i="9"/>
  <c r="ARX19" i="9"/>
  <c r="ARY19" i="9"/>
  <c r="ARZ19" i="9"/>
  <c r="ASA19" i="9"/>
  <c r="ASB19" i="9"/>
  <c r="ASC19" i="9"/>
  <c r="ASD19" i="9"/>
  <c r="ASE19" i="9"/>
  <c r="ASF19" i="9"/>
  <c r="ASG19" i="9"/>
  <c r="ASH19" i="9"/>
  <c r="ASI19" i="9"/>
  <c r="ASJ19" i="9"/>
  <c r="ASK19" i="9"/>
  <c r="ASL19" i="9"/>
  <c r="ASM19" i="9"/>
  <c r="ASN19" i="9"/>
  <c r="ASO19" i="9"/>
  <c r="ASP19" i="9"/>
  <c r="ASQ19" i="9"/>
  <c r="ASR19" i="9"/>
  <c r="ASS19" i="9"/>
  <c r="APJ19" i="9"/>
  <c r="APK19" i="9"/>
  <c r="APL19" i="9"/>
  <c r="APM19" i="9"/>
  <c r="APN19" i="9"/>
  <c r="APO19" i="9"/>
  <c r="APP19" i="9"/>
  <c r="APQ19" i="9"/>
  <c r="APR19" i="9"/>
  <c r="APS19" i="9"/>
  <c r="APT19" i="9"/>
  <c r="APU19" i="9"/>
  <c r="APV19" i="9"/>
  <c r="APW19" i="9"/>
  <c r="APX19" i="9"/>
  <c r="APY19" i="9"/>
  <c r="APZ19" i="9"/>
  <c r="AQA19" i="9"/>
  <c r="AQB19" i="9"/>
  <c r="AQC19" i="9"/>
  <c r="AQD19" i="9"/>
  <c r="AQE19" i="9"/>
  <c r="AQF19" i="9"/>
  <c r="AQG19" i="9"/>
  <c r="AQH19" i="9"/>
  <c r="AQI19" i="9"/>
  <c r="AQJ19" i="9"/>
  <c r="AQK19" i="9"/>
  <c r="AQL19" i="9"/>
  <c r="AQM19" i="9"/>
  <c r="AQN19" i="9"/>
  <c r="AQO19" i="9"/>
  <c r="AQP19" i="9"/>
  <c r="AQQ19" i="9"/>
  <c r="AQR19" i="9"/>
  <c r="AQS19" i="9"/>
  <c r="AQT19" i="9"/>
  <c r="AQU19" i="9"/>
  <c r="AQV19" i="9"/>
  <c r="AQW19" i="9"/>
  <c r="AQX19" i="9"/>
  <c r="AQY19" i="9"/>
  <c r="AQZ19" i="9"/>
  <c r="ARA19" i="9"/>
  <c r="ANR19" i="9"/>
  <c r="ANS19" i="9"/>
  <c r="ANT19" i="9"/>
  <c r="ANU19" i="9"/>
  <c r="ANV19" i="9"/>
  <c r="ANW19" i="9"/>
  <c r="ANX19" i="9"/>
  <c r="ANY19" i="9"/>
  <c r="ANZ19" i="9"/>
  <c r="AOA19" i="9"/>
  <c r="AOB19" i="9"/>
  <c r="AOC19" i="9"/>
  <c r="AOD19" i="9"/>
  <c r="AOE19" i="9"/>
  <c r="AOF19" i="9"/>
  <c r="AOG19" i="9"/>
  <c r="AOH19" i="9"/>
  <c r="AOI19" i="9"/>
  <c r="AOJ19" i="9"/>
  <c r="AOK19" i="9"/>
  <c r="AOL19" i="9"/>
  <c r="AOM19" i="9"/>
  <c r="AON19" i="9"/>
  <c r="AOO19" i="9"/>
  <c r="AOP19" i="9"/>
  <c r="AOQ19" i="9"/>
  <c r="AOR19" i="9"/>
  <c r="AOS19" i="9"/>
  <c r="AOT19" i="9"/>
  <c r="AOU19" i="9"/>
  <c r="AOV19" i="9"/>
  <c r="AOW19" i="9"/>
  <c r="AOX19" i="9"/>
  <c r="AOY19" i="9"/>
  <c r="AOZ19" i="9"/>
  <c r="APA19" i="9"/>
  <c r="APB19" i="9"/>
  <c r="APC19" i="9"/>
  <c r="APD19" i="9"/>
  <c r="APE19" i="9"/>
  <c r="APF19" i="9"/>
  <c r="APG19" i="9"/>
  <c r="APH19" i="9"/>
  <c r="API19" i="9"/>
  <c r="ALZ19" i="9"/>
  <c r="AMA19" i="9"/>
  <c r="AMB19" i="9"/>
  <c r="AMC19" i="9"/>
  <c r="AMD19" i="9"/>
  <c r="AME19" i="9"/>
  <c r="AMF19" i="9"/>
  <c r="AMG19" i="9"/>
  <c r="AMH19" i="9"/>
  <c r="AMI19" i="9"/>
  <c r="AMJ19" i="9"/>
  <c r="AMK19" i="9"/>
  <c r="AML19" i="9"/>
  <c r="AMM19" i="9"/>
  <c r="AMN19" i="9"/>
  <c r="AMO19" i="9"/>
  <c r="AMP19" i="9"/>
  <c r="AMQ19" i="9"/>
  <c r="AMR19" i="9"/>
  <c r="AMS19" i="9"/>
  <c r="AMT19" i="9"/>
  <c r="AMU19" i="9"/>
  <c r="AMV19" i="9"/>
  <c r="AMW19" i="9"/>
  <c r="AMX19" i="9"/>
  <c r="AMY19" i="9"/>
  <c r="AMZ19" i="9"/>
  <c r="ANA19" i="9"/>
  <c r="ANB19" i="9"/>
  <c r="ANC19" i="9"/>
  <c r="AND19" i="9"/>
  <c r="ANE19" i="9"/>
  <c r="ANF19" i="9"/>
  <c r="ANG19" i="9"/>
  <c r="ANH19" i="9"/>
  <c r="ANI19" i="9"/>
  <c r="ANJ19" i="9"/>
  <c r="ANK19" i="9"/>
  <c r="ANL19" i="9"/>
  <c r="ANM19" i="9"/>
  <c r="ANN19" i="9"/>
  <c r="ANO19" i="9"/>
  <c r="ANP19" i="9"/>
  <c r="ANQ19" i="9"/>
  <c r="AKH19" i="9"/>
  <c r="AKI19" i="9"/>
  <c r="AKJ19" i="9"/>
  <c r="AKK19" i="9"/>
  <c r="AKL19" i="9"/>
  <c r="AKM19" i="9"/>
  <c r="AKN19" i="9"/>
  <c r="AKO19" i="9"/>
  <c r="AKP19" i="9"/>
  <c r="AKQ19" i="9"/>
  <c r="AKR19" i="9"/>
  <c r="AKS19" i="9"/>
  <c r="AKT19" i="9"/>
  <c r="AKU19" i="9"/>
  <c r="AKV19" i="9"/>
  <c r="AKW19" i="9"/>
  <c r="AKX19" i="9"/>
  <c r="AKY19" i="9"/>
  <c r="AKZ19" i="9"/>
  <c r="ALA19" i="9"/>
  <c r="ALB19" i="9"/>
  <c r="ALC19" i="9"/>
  <c r="ALD19" i="9"/>
  <c r="ALE19" i="9"/>
  <c r="ALF19" i="9"/>
  <c r="ALG19" i="9"/>
  <c r="ALH19" i="9"/>
  <c r="ALI19" i="9"/>
  <c r="ALJ19" i="9"/>
  <c r="ALK19" i="9"/>
  <c r="ALL19" i="9"/>
  <c r="ALM19" i="9"/>
  <c r="ALN19" i="9"/>
  <c r="ALO19" i="9"/>
  <c r="ALP19" i="9"/>
  <c r="ALQ19" i="9"/>
  <c r="ALR19" i="9"/>
  <c r="ALS19" i="9"/>
  <c r="ALT19" i="9"/>
  <c r="ALU19" i="9"/>
  <c r="ALV19" i="9"/>
  <c r="ALW19" i="9"/>
  <c r="ALX19" i="9"/>
  <c r="ALY19" i="9"/>
  <c r="AIP19" i="9"/>
  <c r="AIQ19" i="9"/>
  <c r="AIR19" i="9"/>
  <c r="AIS19" i="9"/>
  <c r="AIT19" i="9"/>
  <c r="AIU19" i="9"/>
  <c r="AIV19" i="9"/>
  <c r="AIW19" i="9"/>
  <c r="AIX19" i="9"/>
  <c r="AIY19" i="9"/>
  <c r="AIZ19" i="9"/>
  <c r="AJA19" i="9"/>
  <c r="AJB19" i="9"/>
  <c r="AJC19" i="9"/>
  <c r="AJD19" i="9"/>
  <c r="AJE19" i="9"/>
  <c r="AJF19" i="9"/>
  <c r="AJG19" i="9"/>
  <c r="AJH19" i="9"/>
  <c r="AJI19" i="9"/>
  <c r="AJJ19" i="9"/>
  <c r="AJK19" i="9"/>
  <c r="AJL19" i="9"/>
  <c r="AJM19" i="9"/>
  <c r="AJN19" i="9"/>
  <c r="AJO19" i="9"/>
  <c r="AJP19" i="9"/>
  <c r="AJQ19" i="9"/>
  <c r="AJR19" i="9"/>
  <c r="AJS19" i="9"/>
  <c r="AJT19" i="9"/>
  <c r="AJU19" i="9"/>
  <c r="AJV19" i="9"/>
  <c r="AJW19" i="9"/>
  <c r="AJX19" i="9"/>
  <c r="AJY19" i="9"/>
  <c r="AJZ19" i="9"/>
  <c r="AKA19" i="9"/>
  <c r="AKB19" i="9"/>
  <c r="AKC19" i="9"/>
  <c r="AKD19" i="9"/>
  <c r="AKE19" i="9"/>
  <c r="AKF19" i="9"/>
  <c r="AKG19" i="9"/>
  <c r="AGX19" i="9"/>
  <c r="AGY19" i="9"/>
  <c r="AGZ19" i="9"/>
  <c r="AHA19" i="9"/>
  <c r="AHB19" i="9"/>
  <c r="AHC19" i="9"/>
  <c r="AHD19" i="9"/>
  <c r="AHE19" i="9"/>
  <c r="AHF19" i="9"/>
  <c r="AHG19" i="9"/>
  <c r="AHH19" i="9"/>
  <c r="AHI19" i="9"/>
  <c r="AHJ19" i="9"/>
  <c r="AHK19" i="9"/>
  <c r="AHL19" i="9"/>
  <c r="AHM19" i="9"/>
  <c r="AHN19" i="9"/>
  <c r="AHO19" i="9"/>
  <c r="AHP19" i="9"/>
  <c r="AHQ19" i="9"/>
  <c r="AHR19" i="9"/>
  <c r="AHS19" i="9"/>
  <c r="AHT19" i="9"/>
  <c r="AHU19" i="9"/>
  <c r="AHV19" i="9"/>
  <c r="AHW19" i="9"/>
  <c r="AHX19" i="9"/>
  <c r="AHY19" i="9"/>
  <c r="AHZ19" i="9"/>
  <c r="AIA19" i="9"/>
  <c r="AIB19" i="9"/>
  <c r="AIC19" i="9"/>
  <c r="AID19" i="9"/>
  <c r="AIE19" i="9"/>
  <c r="AIF19" i="9"/>
  <c r="AIG19" i="9"/>
  <c r="AIH19" i="9"/>
  <c r="AII19" i="9"/>
  <c r="AIJ19" i="9"/>
  <c r="AIK19" i="9"/>
  <c r="AIL19" i="9"/>
  <c r="AIM19" i="9"/>
  <c r="AIN19" i="9"/>
  <c r="AIO19" i="9"/>
  <c r="AFF19" i="9"/>
  <c r="AFG19" i="9"/>
  <c r="AFH19" i="9"/>
  <c r="AFI19" i="9"/>
  <c r="AFJ19" i="9"/>
  <c r="AFK19" i="9"/>
  <c r="AFL19" i="9"/>
  <c r="AFM19" i="9"/>
  <c r="AFN19" i="9"/>
  <c r="AFO19" i="9"/>
  <c r="AFP19" i="9"/>
  <c r="AFQ19" i="9"/>
  <c r="AFR19" i="9"/>
  <c r="AFS19" i="9"/>
  <c r="AFT19" i="9"/>
  <c r="AFU19" i="9"/>
  <c r="AFV19" i="9"/>
  <c r="AFW19" i="9"/>
  <c r="AFX19" i="9"/>
  <c r="AFY19" i="9"/>
  <c r="AFZ19" i="9"/>
  <c r="AGA19" i="9"/>
  <c r="AGB19" i="9"/>
  <c r="AGC19" i="9"/>
  <c r="AGD19" i="9"/>
  <c r="AGE19" i="9"/>
  <c r="AGF19" i="9"/>
  <c r="AGG19" i="9"/>
  <c r="AGH19" i="9"/>
  <c r="AGI19" i="9"/>
  <c r="AGJ19" i="9"/>
  <c r="AGK19" i="9"/>
  <c r="AGL19" i="9"/>
  <c r="AGM19" i="9"/>
  <c r="AGN19" i="9"/>
  <c r="AGO19" i="9"/>
  <c r="AGP19" i="9"/>
  <c r="AGQ19" i="9"/>
  <c r="AGR19" i="9"/>
  <c r="AGS19" i="9"/>
  <c r="AGT19" i="9"/>
  <c r="AGU19" i="9"/>
  <c r="AGV19" i="9"/>
  <c r="AGW19" i="9"/>
  <c r="ADN19" i="9"/>
  <c r="ADO19" i="9"/>
  <c r="ADP19" i="9"/>
  <c r="ADQ19" i="9"/>
  <c r="ADR19" i="9"/>
  <c r="ADS19" i="9"/>
  <c r="ADT19" i="9"/>
  <c r="ADU19" i="9"/>
  <c r="ADV19" i="9"/>
  <c r="ADW19" i="9"/>
  <c r="ADX19" i="9"/>
  <c r="ADY19" i="9"/>
  <c r="ADZ19" i="9"/>
  <c r="AEA19" i="9"/>
  <c r="AEB19" i="9"/>
  <c r="AEC19" i="9"/>
  <c r="AED19" i="9"/>
  <c r="AEE19" i="9"/>
  <c r="AEF19" i="9"/>
  <c r="AEG19" i="9"/>
  <c r="AEH19" i="9"/>
  <c r="AEI19" i="9"/>
  <c r="AEJ19" i="9"/>
  <c r="AEK19" i="9"/>
  <c r="AEL19" i="9"/>
  <c r="AEM19" i="9"/>
  <c r="AEN19" i="9"/>
  <c r="AEO19" i="9"/>
  <c r="AEP19" i="9"/>
  <c r="AEQ19" i="9"/>
  <c r="AER19" i="9"/>
  <c r="AES19" i="9"/>
  <c r="AET19" i="9"/>
  <c r="AEU19" i="9"/>
  <c r="AEV19" i="9"/>
  <c r="AEW19" i="9"/>
  <c r="AEX19" i="9"/>
  <c r="AEY19" i="9"/>
  <c r="AEZ19" i="9"/>
  <c r="AFA19" i="9"/>
  <c r="AFB19" i="9"/>
  <c r="AFC19" i="9"/>
  <c r="AFD19" i="9"/>
  <c r="AFE19" i="9"/>
  <c r="ABV19" i="9"/>
  <c r="ABW19" i="9"/>
  <c r="ABX19" i="9"/>
  <c r="ABY19" i="9"/>
  <c r="ABZ19" i="9"/>
  <c r="ACA19" i="9"/>
  <c r="ACB19" i="9"/>
  <c r="ACC19" i="9"/>
  <c r="ACD19" i="9"/>
  <c r="ACE19" i="9"/>
  <c r="ACF19" i="9"/>
  <c r="ACG19" i="9"/>
  <c r="ACH19" i="9"/>
  <c r="ACI19" i="9"/>
  <c r="ACJ19" i="9"/>
  <c r="ACK19" i="9"/>
  <c r="ACL19" i="9"/>
  <c r="ACM19" i="9"/>
  <c r="ACN19" i="9"/>
  <c r="ACO19" i="9"/>
  <c r="ACP19" i="9"/>
  <c r="ACQ19" i="9"/>
  <c r="ACR19" i="9"/>
  <c r="ACS19" i="9"/>
  <c r="ACT19" i="9"/>
  <c r="ACU19" i="9"/>
  <c r="ACV19" i="9"/>
  <c r="ACW19" i="9"/>
  <c r="ACX19" i="9"/>
  <c r="ACY19" i="9"/>
  <c r="ACZ19" i="9"/>
  <c r="ADA19" i="9"/>
  <c r="ADB19" i="9"/>
  <c r="ADC19" i="9"/>
  <c r="ADD19" i="9"/>
  <c r="ADE19" i="9"/>
  <c r="ADF19" i="9"/>
  <c r="ADG19" i="9"/>
  <c r="ADH19" i="9"/>
  <c r="ADI19" i="9"/>
  <c r="ADJ19" i="9"/>
  <c r="ADK19" i="9"/>
  <c r="ADL19" i="9"/>
  <c r="ADM19" i="9"/>
  <c r="AAD19" i="9"/>
  <c r="AAE19" i="9"/>
  <c r="AAF19" i="9"/>
  <c r="AAG19" i="9"/>
  <c r="AAH19" i="9"/>
  <c r="AAI19" i="9"/>
  <c r="AAJ19" i="9"/>
  <c r="AAK19" i="9"/>
  <c r="AAL19" i="9"/>
  <c r="AAM19" i="9"/>
  <c r="AAN19" i="9"/>
  <c r="AAO19" i="9"/>
  <c r="AAP19" i="9"/>
  <c r="AAQ19" i="9"/>
  <c r="AAR19" i="9"/>
  <c r="AAS19" i="9"/>
  <c r="AAT19" i="9"/>
  <c r="AAU19" i="9"/>
  <c r="AAV19" i="9"/>
  <c r="AAW19" i="9"/>
  <c r="AAX19" i="9"/>
  <c r="AAY19" i="9"/>
  <c r="AAZ19" i="9"/>
  <c r="ABA19" i="9"/>
  <c r="ABB19" i="9"/>
  <c r="ABC19" i="9"/>
  <c r="ABD19" i="9"/>
  <c r="ABE19" i="9"/>
  <c r="ABF19" i="9"/>
  <c r="ABG19" i="9"/>
  <c r="ABH19" i="9"/>
  <c r="ABI19" i="9"/>
  <c r="ABJ19" i="9"/>
  <c r="ABK19" i="9"/>
  <c r="ABL19" i="9"/>
  <c r="ABM19" i="9"/>
  <c r="ABN19" i="9"/>
  <c r="ABO19" i="9"/>
  <c r="ABP19" i="9"/>
  <c r="ABQ19" i="9"/>
  <c r="ABR19" i="9"/>
  <c r="ABS19" i="9"/>
  <c r="ABT19" i="9"/>
  <c r="ABU19" i="9"/>
  <c r="YL19" i="9"/>
  <c r="YM19" i="9"/>
  <c r="YN19" i="9"/>
  <c r="YO19" i="9"/>
  <c r="YP19" i="9"/>
  <c r="YQ19" i="9"/>
  <c r="YR19" i="9"/>
  <c r="YS19" i="9"/>
  <c r="YT19" i="9"/>
  <c r="YU19" i="9"/>
  <c r="YV19" i="9"/>
  <c r="YW19" i="9"/>
  <c r="YX19" i="9"/>
  <c r="YY19" i="9"/>
  <c r="YZ19" i="9"/>
  <c r="ZA19" i="9"/>
  <c r="ZB19" i="9"/>
  <c r="ZC19" i="9"/>
  <c r="ZD19" i="9"/>
  <c r="ZE19" i="9"/>
  <c r="ZF19" i="9"/>
  <c r="ZG19" i="9"/>
  <c r="ZH19" i="9"/>
  <c r="ZI19" i="9"/>
  <c r="ZJ19" i="9"/>
  <c r="ZK19" i="9"/>
  <c r="ZL19" i="9"/>
  <c r="ZM19" i="9"/>
  <c r="ZN19" i="9"/>
  <c r="ZO19" i="9"/>
  <c r="ZP19" i="9"/>
  <c r="ZQ19" i="9"/>
  <c r="ZR19" i="9"/>
  <c r="ZS19" i="9"/>
  <c r="ZT19" i="9"/>
  <c r="ZU19" i="9"/>
  <c r="ZV19" i="9"/>
  <c r="ZW19" i="9"/>
  <c r="ZX19" i="9"/>
  <c r="ZY19" i="9"/>
  <c r="ZZ19" i="9"/>
  <c r="AAA19" i="9"/>
  <c r="AAB19" i="9"/>
  <c r="AAC19" i="9"/>
  <c r="WT19" i="9"/>
  <c r="WU19" i="9"/>
  <c r="WV19" i="9"/>
  <c r="WW19" i="9"/>
  <c r="WX19" i="9"/>
  <c r="WY19" i="9"/>
  <c r="WZ19" i="9"/>
  <c r="XA19" i="9"/>
  <c r="XB19" i="9"/>
  <c r="XC19" i="9"/>
  <c r="XD19" i="9"/>
  <c r="XE19" i="9"/>
  <c r="XF19" i="9"/>
  <c r="XG19" i="9"/>
  <c r="XH19" i="9"/>
  <c r="XI19" i="9"/>
  <c r="XJ19" i="9"/>
  <c r="XK19" i="9"/>
  <c r="XL19" i="9"/>
  <c r="XM19" i="9"/>
  <c r="XN19" i="9"/>
  <c r="XO19" i="9"/>
  <c r="XP19" i="9"/>
  <c r="XQ19" i="9"/>
  <c r="XR19" i="9"/>
  <c r="XS19" i="9"/>
  <c r="XT19" i="9"/>
  <c r="XU19" i="9"/>
  <c r="XV19" i="9"/>
  <c r="XW19" i="9"/>
  <c r="XX19" i="9"/>
  <c r="XY19" i="9"/>
  <c r="XZ19" i="9"/>
  <c r="YA19" i="9"/>
  <c r="YB19" i="9"/>
  <c r="YC19" i="9"/>
  <c r="YD19" i="9"/>
  <c r="YE19" i="9"/>
  <c r="YF19" i="9"/>
  <c r="YG19" i="9"/>
  <c r="YH19" i="9"/>
  <c r="YI19" i="9"/>
  <c r="YJ19" i="9"/>
  <c r="YK19" i="9"/>
  <c r="VB19" i="9"/>
  <c r="VC19" i="9"/>
  <c r="VD19" i="9"/>
  <c r="VE19" i="9"/>
  <c r="VF19" i="9"/>
  <c r="VG19" i="9"/>
  <c r="VH19" i="9"/>
  <c r="VI19" i="9"/>
  <c r="VJ19" i="9"/>
  <c r="VK19" i="9"/>
  <c r="VL19" i="9"/>
  <c r="VM19" i="9"/>
  <c r="VN19" i="9"/>
  <c r="VO19" i="9"/>
  <c r="VP19" i="9"/>
  <c r="VQ19" i="9"/>
  <c r="VR19" i="9"/>
  <c r="VS19" i="9"/>
  <c r="VT19" i="9"/>
  <c r="VU19" i="9"/>
  <c r="VV19" i="9"/>
  <c r="VW19" i="9"/>
  <c r="VX19" i="9"/>
  <c r="VY19" i="9"/>
  <c r="VZ19" i="9"/>
  <c r="WA19" i="9"/>
  <c r="WB19" i="9"/>
  <c r="WC19" i="9"/>
  <c r="WD19" i="9"/>
  <c r="WE19" i="9"/>
  <c r="WF19" i="9"/>
  <c r="WG19" i="9"/>
  <c r="WH19" i="9"/>
  <c r="WI19" i="9"/>
  <c r="WJ19" i="9"/>
  <c r="WK19" i="9"/>
  <c r="WL19" i="9"/>
  <c r="WM19" i="9"/>
  <c r="WN19" i="9"/>
  <c r="WO19" i="9"/>
  <c r="WP19" i="9"/>
  <c r="WQ19" i="9"/>
  <c r="WR19" i="9"/>
  <c r="WS19" i="9"/>
  <c r="TJ19" i="9"/>
  <c r="TK19" i="9"/>
  <c r="TL19" i="9"/>
  <c r="TM19" i="9"/>
  <c r="TN19" i="9"/>
  <c r="TO19" i="9"/>
  <c r="TP19" i="9"/>
  <c r="TQ19" i="9"/>
  <c r="TR19" i="9"/>
  <c r="TS19" i="9"/>
  <c r="TT19" i="9"/>
  <c r="TU19" i="9"/>
  <c r="TV19" i="9"/>
  <c r="TW19" i="9"/>
  <c r="TX19" i="9"/>
  <c r="TY19" i="9"/>
  <c r="TZ19" i="9"/>
  <c r="UA19" i="9"/>
  <c r="UB19" i="9"/>
  <c r="UC19" i="9"/>
  <c r="UD19" i="9"/>
  <c r="UE19" i="9"/>
  <c r="UF19" i="9"/>
  <c r="UG19" i="9"/>
  <c r="UH19" i="9"/>
  <c r="UI19" i="9"/>
  <c r="UJ19" i="9"/>
  <c r="UK19" i="9"/>
  <c r="UL19" i="9"/>
  <c r="UM19" i="9"/>
  <c r="UN19" i="9"/>
  <c r="UO19" i="9"/>
  <c r="UP19" i="9"/>
  <c r="UQ19" i="9"/>
  <c r="UR19" i="9"/>
  <c r="US19" i="9"/>
  <c r="UT19" i="9"/>
  <c r="UU19" i="9"/>
  <c r="UV19" i="9"/>
  <c r="UW19" i="9"/>
  <c r="UX19" i="9"/>
  <c r="UY19" i="9"/>
  <c r="UZ19" i="9"/>
  <c r="VA19" i="9"/>
  <c r="RR19" i="9"/>
  <c r="RS19" i="9"/>
  <c r="RT19" i="9"/>
  <c r="RU19" i="9"/>
  <c r="RV19" i="9"/>
  <c r="RW19" i="9"/>
  <c r="RX19" i="9"/>
  <c r="RY19" i="9"/>
  <c r="RZ19" i="9"/>
  <c r="SA19" i="9"/>
  <c r="SB19" i="9"/>
  <c r="SC19" i="9"/>
  <c r="SD19" i="9"/>
  <c r="SE19" i="9"/>
  <c r="SF19" i="9"/>
  <c r="SG19" i="9"/>
  <c r="SH19" i="9"/>
  <c r="SI19" i="9"/>
  <c r="SJ19" i="9"/>
  <c r="SK19" i="9"/>
  <c r="SL19" i="9"/>
  <c r="SM19" i="9"/>
  <c r="SN19" i="9"/>
  <c r="SO19" i="9"/>
  <c r="SP19" i="9"/>
  <c r="SQ19" i="9"/>
  <c r="SR19" i="9"/>
  <c r="SS19" i="9"/>
  <c r="ST19" i="9"/>
  <c r="SU19" i="9"/>
  <c r="SV19" i="9"/>
  <c r="SW19" i="9"/>
  <c r="SX19" i="9"/>
  <c r="SY19" i="9"/>
  <c r="SZ19" i="9"/>
  <c r="TA19" i="9"/>
  <c r="TB19" i="9"/>
  <c r="TC19" i="9"/>
  <c r="TD19" i="9"/>
  <c r="TE19" i="9"/>
  <c r="TF19" i="9"/>
  <c r="TG19" i="9"/>
  <c r="TH19" i="9"/>
  <c r="TI19" i="9"/>
  <c r="PZ19" i="9"/>
  <c r="QA19" i="9"/>
  <c r="QB19" i="9"/>
  <c r="QC19" i="9"/>
  <c r="QD19" i="9"/>
  <c r="QE19" i="9"/>
  <c r="QF19" i="9"/>
  <c r="QG19" i="9"/>
  <c r="QH19" i="9"/>
  <c r="QI19" i="9"/>
  <c r="QJ19" i="9"/>
  <c r="QK19" i="9"/>
  <c r="QL19" i="9"/>
  <c r="QM19" i="9"/>
  <c r="QN19" i="9"/>
  <c r="QO19" i="9"/>
  <c r="QP19" i="9"/>
  <c r="QQ19" i="9"/>
  <c r="QR19" i="9"/>
  <c r="QS19" i="9"/>
  <c r="QT19" i="9"/>
  <c r="QU19" i="9"/>
  <c r="QV19" i="9"/>
  <c r="QW19" i="9"/>
  <c r="QX19" i="9"/>
  <c r="QY19" i="9"/>
  <c r="QZ19" i="9"/>
  <c r="RA19" i="9"/>
  <c r="RB19" i="9"/>
  <c r="RC19" i="9"/>
  <c r="RD19" i="9"/>
  <c r="RE19" i="9"/>
  <c r="RF19" i="9"/>
  <c r="RG19" i="9"/>
  <c r="RH19" i="9"/>
  <c r="RI19" i="9"/>
  <c r="RJ19" i="9"/>
  <c r="RK19" i="9"/>
  <c r="RL19" i="9"/>
  <c r="RM19" i="9"/>
  <c r="RN19" i="9"/>
  <c r="RO19" i="9"/>
  <c r="RP19" i="9"/>
  <c r="RQ19" i="9"/>
  <c r="OH19" i="9"/>
  <c r="OI19" i="9"/>
  <c r="OJ19" i="9"/>
  <c r="OK19" i="9"/>
  <c r="OL19" i="9"/>
  <c r="OM19" i="9"/>
  <c r="ON19" i="9"/>
  <c r="OO19" i="9"/>
  <c r="OP19" i="9"/>
  <c r="OQ19" i="9"/>
  <c r="OR19" i="9"/>
  <c r="OS19" i="9"/>
  <c r="OT19" i="9"/>
  <c r="OU19" i="9"/>
  <c r="OV19" i="9"/>
  <c r="OW19" i="9"/>
  <c r="OX19" i="9"/>
  <c r="OY19" i="9"/>
  <c r="OZ19" i="9"/>
  <c r="PA19" i="9"/>
  <c r="PB19" i="9"/>
  <c r="PC19" i="9"/>
  <c r="PD19" i="9"/>
  <c r="PE19" i="9"/>
  <c r="PF19" i="9"/>
  <c r="PG19" i="9"/>
  <c r="PH19" i="9"/>
  <c r="PI19" i="9"/>
  <c r="PJ19" i="9"/>
  <c r="PK19" i="9"/>
  <c r="PL19" i="9"/>
  <c r="PM19" i="9"/>
  <c r="PN19" i="9"/>
  <c r="PO19" i="9"/>
  <c r="PP19" i="9"/>
  <c r="PQ19" i="9"/>
  <c r="PR19" i="9"/>
  <c r="PS19" i="9"/>
  <c r="PT19" i="9"/>
  <c r="PU19" i="9"/>
  <c r="PV19" i="9"/>
  <c r="PW19" i="9"/>
  <c r="PX19" i="9"/>
  <c r="PY19" i="9"/>
  <c r="MP19" i="9"/>
  <c r="MQ19" i="9"/>
  <c r="MR19" i="9"/>
  <c r="MS19" i="9"/>
  <c r="MT19" i="9"/>
  <c r="MU19" i="9"/>
  <c r="MV19" i="9"/>
  <c r="MW19" i="9"/>
  <c r="MX19" i="9"/>
  <c r="MY19" i="9"/>
  <c r="MZ19" i="9"/>
  <c r="NA19" i="9"/>
  <c r="NB19" i="9"/>
  <c r="NC19" i="9"/>
  <c r="ND19" i="9"/>
  <c r="NE19" i="9"/>
  <c r="NF19" i="9"/>
  <c r="NG19" i="9"/>
  <c r="NH19" i="9"/>
  <c r="NI19" i="9"/>
  <c r="NJ19" i="9"/>
  <c r="NK19" i="9"/>
  <c r="NL19" i="9"/>
  <c r="NM19" i="9"/>
  <c r="NN19" i="9"/>
  <c r="NO19" i="9"/>
  <c r="NP19" i="9"/>
  <c r="NQ19" i="9"/>
  <c r="NR19" i="9"/>
  <c r="NS19" i="9"/>
  <c r="NT19" i="9"/>
  <c r="NU19" i="9"/>
  <c r="NV19" i="9"/>
  <c r="NW19" i="9"/>
  <c r="NX19" i="9"/>
  <c r="NY19" i="9"/>
  <c r="NZ19" i="9"/>
  <c r="OA19" i="9"/>
  <c r="OB19" i="9"/>
  <c r="OC19" i="9"/>
  <c r="OD19" i="9"/>
  <c r="OE19" i="9"/>
  <c r="OF19" i="9"/>
  <c r="OG19" i="9"/>
  <c r="KX19" i="9"/>
  <c r="KY19" i="9"/>
  <c r="KZ19" i="9"/>
  <c r="LA19" i="9"/>
  <c r="LB19" i="9"/>
  <c r="LC19" i="9"/>
  <c r="LD19" i="9"/>
  <c r="LE19" i="9"/>
  <c r="LF19" i="9"/>
  <c r="LG19" i="9"/>
  <c r="LH19" i="9"/>
  <c r="LI19" i="9"/>
  <c r="LJ19" i="9"/>
  <c r="LK19" i="9"/>
  <c r="LL19" i="9"/>
  <c r="LM19" i="9"/>
  <c r="LN19" i="9"/>
  <c r="LO19" i="9"/>
  <c r="LP19" i="9"/>
  <c r="LQ19" i="9"/>
  <c r="LR19" i="9"/>
  <c r="LS19" i="9"/>
  <c r="LT19" i="9"/>
  <c r="LU19" i="9"/>
  <c r="LV19" i="9"/>
  <c r="LW19" i="9"/>
  <c r="LX19" i="9"/>
  <c r="LY19" i="9"/>
  <c r="LZ19" i="9"/>
  <c r="MA19" i="9"/>
  <c r="MB19" i="9"/>
  <c r="MC19" i="9"/>
  <c r="MD19" i="9"/>
  <c r="ME19" i="9"/>
  <c r="MF19" i="9"/>
  <c r="MG19" i="9"/>
  <c r="MH19" i="9"/>
  <c r="MI19" i="9"/>
  <c r="MJ19" i="9"/>
  <c r="MK19" i="9"/>
  <c r="ML19" i="9"/>
  <c r="MM19" i="9"/>
  <c r="MN19" i="9"/>
  <c r="MO19" i="9"/>
  <c r="JF19" i="9"/>
  <c r="JG19" i="9"/>
  <c r="JH19" i="9"/>
  <c r="JI19" i="9"/>
  <c r="JJ19" i="9"/>
  <c r="JK19" i="9"/>
  <c r="JL19" i="9"/>
  <c r="JM19" i="9"/>
  <c r="JN19" i="9"/>
  <c r="JO19" i="9"/>
  <c r="JP19" i="9"/>
  <c r="JQ19" i="9"/>
  <c r="JR19" i="9"/>
  <c r="JS19" i="9"/>
  <c r="JT19" i="9"/>
  <c r="JU19" i="9"/>
  <c r="JV19" i="9"/>
  <c r="JW19" i="9"/>
  <c r="JX19" i="9"/>
  <c r="JY19" i="9"/>
  <c r="JZ19" i="9"/>
  <c r="KA19" i="9"/>
  <c r="KB19" i="9"/>
  <c r="KC19" i="9"/>
  <c r="KD19" i="9"/>
  <c r="KE19" i="9"/>
  <c r="KF19" i="9"/>
  <c r="KG19" i="9"/>
  <c r="KH19" i="9"/>
  <c r="KI19" i="9"/>
  <c r="KJ19" i="9"/>
  <c r="KK19" i="9"/>
  <c r="KL19" i="9"/>
  <c r="KM19" i="9"/>
  <c r="KN19" i="9"/>
  <c r="KO19" i="9"/>
  <c r="KP19" i="9"/>
  <c r="KQ19" i="9"/>
  <c r="KR19" i="9"/>
  <c r="KS19" i="9"/>
  <c r="KT19" i="9"/>
  <c r="KU19" i="9"/>
  <c r="KV19" i="9"/>
  <c r="KW19" i="9"/>
  <c r="HN19" i="9"/>
  <c r="HO19" i="9"/>
  <c r="HP19" i="9"/>
  <c r="HQ19" i="9"/>
  <c r="HR19" i="9"/>
  <c r="HS19" i="9"/>
  <c r="HT19" i="9"/>
  <c r="HU19" i="9"/>
  <c r="HV19" i="9"/>
  <c r="HW19" i="9"/>
  <c r="HX19" i="9"/>
  <c r="HY19" i="9"/>
  <c r="HZ19" i="9"/>
  <c r="IA19" i="9"/>
  <c r="IB19" i="9"/>
  <c r="IC19" i="9"/>
  <c r="ID19" i="9"/>
  <c r="IE19" i="9"/>
  <c r="IF19" i="9"/>
  <c r="IG19" i="9"/>
  <c r="IH19" i="9"/>
  <c r="II19" i="9"/>
  <c r="IJ19" i="9"/>
  <c r="IK19" i="9"/>
  <c r="IL19" i="9"/>
  <c r="IM19" i="9"/>
  <c r="IN19" i="9"/>
  <c r="IO19" i="9"/>
  <c r="IP19" i="9"/>
  <c r="IQ19" i="9"/>
  <c r="IR19" i="9"/>
  <c r="IS19" i="9"/>
  <c r="IT19" i="9"/>
  <c r="IU19" i="9"/>
  <c r="IV19" i="9"/>
  <c r="IW19" i="9"/>
  <c r="IX19" i="9"/>
  <c r="IY19" i="9"/>
  <c r="IZ19" i="9"/>
  <c r="JA19" i="9"/>
  <c r="JB19" i="9"/>
  <c r="JC19" i="9"/>
  <c r="JD19" i="9"/>
  <c r="JE19" i="9"/>
  <c r="FV19" i="9"/>
  <c r="FW19" i="9"/>
  <c r="FX19" i="9"/>
  <c r="FY19" i="9"/>
  <c r="FZ19" i="9"/>
  <c r="GA19" i="9"/>
  <c r="GB19" i="9"/>
  <c r="GC19" i="9"/>
  <c r="GD19" i="9"/>
  <c r="GE19" i="9"/>
  <c r="GF19" i="9"/>
  <c r="GG19" i="9"/>
  <c r="GH19" i="9"/>
  <c r="GI19" i="9"/>
  <c r="GJ19" i="9"/>
  <c r="GK19" i="9"/>
  <c r="GL19" i="9"/>
  <c r="GM19" i="9"/>
  <c r="GN19" i="9"/>
  <c r="GO19" i="9"/>
  <c r="GP19" i="9"/>
  <c r="GQ19" i="9"/>
  <c r="GR19" i="9"/>
  <c r="GS19" i="9"/>
  <c r="GT19" i="9"/>
  <c r="GU19" i="9"/>
  <c r="GV19" i="9"/>
  <c r="GW19" i="9"/>
  <c r="GX19" i="9"/>
  <c r="GY19" i="9"/>
  <c r="GZ19" i="9"/>
  <c r="HA19" i="9"/>
  <c r="HB19" i="9"/>
  <c r="HC19" i="9"/>
  <c r="HD19" i="9"/>
  <c r="HE19" i="9"/>
  <c r="HF19" i="9"/>
  <c r="HG19" i="9"/>
  <c r="HH19" i="9"/>
  <c r="HI19" i="9"/>
  <c r="HJ19" i="9"/>
  <c r="HK19" i="9"/>
  <c r="HL19" i="9"/>
  <c r="HM19" i="9"/>
  <c r="ED19" i="9"/>
  <c r="EE19" i="9"/>
  <c r="EF19" i="9"/>
  <c r="EG19" i="9"/>
  <c r="EH19" i="9"/>
  <c r="EI19" i="9"/>
  <c r="EJ19" i="9"/>
  <c r="EK19" i="9"/>
  <c r="EL19" i="9"/>
  <c r="EM19" i="9"/>
  <c r="EN19" i="9"/>
  <c r="EO19" i="9"/>
  <c r="EP19" i="9"/>
  <c r="EQ19" i="9"/>
  <c r="ER19" i="9"/>
  <c r="ES19" i="9"/>
  <c r="ET19" i="9"/>
  <c r="EU19" i="9"/>
  <c r="EV19" i="9"/>
  <c r="EW19" i="9"/>
  <c r="EX19" i="9"/>
  <c r="EY19" i="9"/>
  <c r="EZ19" i="9"/>
  <c r="FA19" i="9"/>
  <c r="FB19" i="9"/>
  <c r="FC19" i="9"/>
  <c r="FD19" i="9"/>
  <c r="FE19" i="9"/>
  <c r="FF19" i="9"/>
  <c r="FG19" i="9"/>
  <c r="FH19" i="9"/>
  <c r="FI19" i="9"/>
  <c r="FJ19" i="9"/>
  <c r="FK19" i="9"/>
  <c r="FL19" i="9"/>
  <c r="FM19" i="9"/>
  <c r="FN19" i="9"/>
  <c r="FO19" i="9"/>
  <c r="FP19" i="9"/>
  <c r="FQ19" i="9"/>
  <c r="FR19" i="9"/>
  <c r="FS19" i="9"/>
  <c r="FT19" i="9"/>
  <c r="FU19" i="9"/>
  <c r="CL19" i="9"/>
  <c r="CM19" i="9"/>
  <c r="CN19" i="9"/>
  <c r="CO19" i="9"/>
  <c r="CP19" i="9"/>
  <c r="CQ19" i="9"/>
  <c r="CR19" i="9"/>
  <c r="CS19" i="9"/>
  <c r="CT19" i="9"/>
  <c r="CU19" i="9"/>
  <c r="CV19" i="9"/>
  <c r="CW19" i="9"/>
  <c r="CX19" i="9"/>
  <c r="CY19" i="9"/>
  <c r="CZ19" i="9"/>
  <c r="DA19" i="9"/>
  <c r="DB19" i="9"/>
  <c r="DC19" i="9"/>
  <c r="DD19" i="9"/>
  <c r="DE19" i="9"/>
  <c r="DF19" i="9"/>
  <c r="DG19" i="9"/>
  <c r="DH19" i="9"/>
  <c r="DI19" i="9"/>
  <c r="DJ19" i="9"/>
  <c r="DK19" i="9"/>
  <c r="DL19" i="9"/>
  <c r="DM19" i="9"/>
  <c r="DN19" i="9"/>
  <c r="DO19" i="9"/>
  <c r="DP19" i="9"/>
  <c r="DQ19" i="9"/>
  <c r="DR19" i="9"/>
  <c r="DS19" i="9"/>
  <c r="DT19" i="9"/>
  <c r="DU19" i="9"/>
  <c r="DV19" i="9"/>
  <c r="DW19" i="9"/>
  <c r="DX19" i="9"/>
  <c r="DY19" i="9"/>
  <c r="DZ19" i="9"/>
  <c r="EA19" i="9"/>
  <c r="EB19" i="9"/>
  <c r="EC19" i="9"/>
  <c r="AT19" i="9"/>
  <c r="AU19" i="9"/>
  <c r="AV19" i="9"/>
  <c r="AW19" i="9"/>
  <c r="AX19" i="9"/>
  <c r="AY19" i="9"/>
  <c r="AZ19" i="9"/>
  <c r="BA19" i="9"/>
  <c r="BB19" i="9"/>
  <c r="BC19" i="9"/>
  <c r="BD19" i="9"/>
  <c r="BE19" i="9"/>
  <c r="BF19" i="9"/>
  <c r="BG19" i="9"/>
  <c r="BH19" i="9"/>
  <c r="BI19" i="9"/>
  <c r="BJ19" i="9"/>
  <c r="BK19" i="9"/>
  <c r="BL19" i="9"/>
  <c r="BM19" i="9"/>
  <c r="BN19" i="9"/>
  <c r="BO19" i="9"/>
  <c r="BP19" i="9"/>
  <c r="BQ19" i="9"/>
  <c r="BR19" i="9"/>
  <c r="BS19" i="9"/>
  <c r="BT19" i="9"/>
  <c r="BU19" i="9"/>
  <c r="BV19" i="9"/>
  <c r="BW19" i="9"/>
  <c r="BX19" i="9"/>
  <c r="BY19" i="9"/>
  <c r="BZ19" i="9"/>
  <c r="CA19" i="9"/>
  <c r="CB19" i="9"/>
  <c r="CC19" i="9"/>
  <c r="CD19" i="9"/>
  <c r="CE19" i="9"/>
  <c r="CF19" i="9"/>
  <c r="CG19" i="9"/>
  <c r="CH19" i="9"/>
  <c r="CI19" i="9"/>
  <c r="CJ19" i="9"/>
  <c r="CK19" i="9"/>
  <c r="B19" i="9"/>
  <c r="C19" i="9"/>
  <c r="D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AO19" i="9"/>
  <c r="AP19" i="9"/>
  <c r="AQ19" i="9"/>
  <c r="AR19" i="9"/>
  <c r="AS19" i="9"/>
  <c r="AT18" i="9"/>
  <c r="AU18" i="9"/>
  <c r="AV18" i="9"/>
  <c r="AW18" i="9"/>
  <c r="AX18" i="9"/>
  <c r="AY18" i="9"/>
  <c r="AZ18" i="9"/>
  <c r="BA18" i="9"/>
  <c r="BB18" i="9"/>
  <c r="BC18" i="9"/>
  <c r="BD18" i="9"/>
  <c r="BE18" i="9"/>
  <c r="BF18" i="9"/>
  <c r="BG18" i="9"/>
  <c r="BH18" i="9"/>
  <c r="BI18" i="9"/>
  <c r="BJ18" i="9"/>
  <c r="BK18" i="9"/>
  <c r="BL18" i="9"/>
  <c r="BM18" i="9"/>
  <c r="BN18" i="9"/>
  <c r="BO18" i="9"/>
  <c r="BP18" i="9"/>
  <c r="BQ18" i="9"/>
  <c r="BR18" i="9"/>
  <c r="BS18" i="9"/>
  <c r="BT18" i="9"/>
  <c r="BU18" i="9"/>
  <c r="BV18" i="9"/>
  <c r="BW18" i="9"/>
  <c r="BX18" i="9"/>
  <c r="BY18" i="9"/>
  <c r="BZ18" i="9"/>
  <c r="CA18" i="9"/>
  <c r="CB18" i="9"/>
  <c r="CC18" i="9"/>
  <c r="CD18" i="9"/>
  <c r="CE18" i="9"/>
  <c r="CF18" i="9"/>
  <c r="CG18" i="9"/>
  <c r="CH18" i="9"/>
  <c r="CI18" i="9"/>
  <c r="CJ18" i="9"/>
  <c r="CK18" i="9"/>
  <c r="B18" i="9"/>
  <c r="C18" i="9"/>
  <c r="D18" i="9"/>
  <c r="E18" i="9"/>
  <c r="F18" i="9"/>
  <c r="G18" i="9"/>
  <c r="H18" i="9"/>
  <c r="I18" i="9"/>
  <c r="J18" i="9"/>
  <c r="K18" i="9"/>
  <c r="L18" i="9"/>
  <c r="M18" i="9"/>
  <c r="N18" i="9"/>
  <c r="O18"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OH17" i="9"/>
  <c r="OI17" i="9"/>
  <c r="OJ17" i="9"/>
  <c r="OK17" i="9"/>
  <c r="OL17" i="9"/>
  <c r="OM17" i="9"/>
  <c r="ON17" i="9"/>
  <c r="OO17" i="9"/>
  <c r="OP17" i="9"/>
  <c r="OQ17" i="9"/>
  <c r="OR17" i="9"/>
  <c r="OS17" i="9"/>
  <c r="OT17" i="9"/>
  <c r="OU17" i="9"/>
  <c r="OV17" i="9"/>
  <c r="OW17" i="9"/>
  <c r="OX17" i="9"/>
  <c r="OY17" i="9"/>
  <c r="OZ17" i="9"/>
  <c r="PA17" i="9"/>
  <c r="PB17" i="9"/>
  <c r="PC17" i="9"/>
  <c r="PD17" i="9"/>
  <c r="PE17" i="9"/>
  <c r="PF17" i="9"/>
  <c r="PG17" i="9"/>
  <c r="PH17" i="9"/>
  <c r="PI17" i="9"/>
  <c r="PJ17" i="9"/>
  <c r="PK17" i="9"/>
  <c r="PL17" i="9"/>
  <c r="PM17" i="9"/>
  <c r="PN17" i="9"/>
  <c r="PO17" i="9"/>
  <c r="PP17" i="9"/>
  <c r="PQ17" i="9"/>
  <c r="PR17" i="9"/>
  <c r="PS17" i="9"/>
  <c r="PT17" i="9"/>
  <c r="PU17" i="9"/>
  <c r="PV17" i="9"/>
  <c r="PW17" i="9"/>
  <c r="PX17" i="9"/>
  <c r="PY17" i="9"/>
  <c r="MP17" i="9"/>
  <c r="MQ17" i="9"/>
  <c r="MR17" i="9"/>
  <c r="MS17" i="9"/>
  <c r="MT17" i="9"/>
  <c r="MU17" i="9"/>
  <c r="MV17" i="9"/>
  <c r="MW17" i="9"/>
  <c r="MX17" i="9"/>
  <c r="MY17" i="9"/>
  <c r="MZ17" i="9"/>
  <c r="NA17" i="9"/>
  <c r="NB17" i="9"/>
  <c r="NC17" i="9"/>
  <c r="ND17" i="9"/>
  <c r="NE17" i="9"/>
  <c r="NF17" i="9"/>
  <c r="NG17" i="9"/>
  <c r="NH17" i="9"/>
  <c r="NI17" i="9"/>
  <c r="NJ17" i="9"/>
  <c r="NK17" i="9"/>
  <c r="NL17" i="9"/>
  <c r="NM17" i="9"/>
  <c r="NN17" i="9"/>
  <c r="NO17" i="9"/>
  <c r="NP17" i="9"/>
  <c r="NQ17" i="9"/>
  <c r="NR17" i="9"/>
  <c r="NS17" i="9"/>
  <c r="NT17" i="9"/>
  <c r="NU17" i="9"/>
  <c r="NV17" i="9"/>
  <c r="NW17" i="9"/>
  <c r="NX17" i="9"/>
  <c r="NY17" i="9"/>
  <c r="NZ17" i="9"/>
  <c r="OA17" i="9"/>
  <c r="OB17" i="9"/>
  <c r="OC17" i="9"/>
  <c r="OD17" i="9"/>
  <c r="OE17" i="9"/>
  <c r="OF17" i="9"/>
  <c r="OG17" i="9"/>
  <c r="KX17" i="9"/>
  <c r="KY17" i="9"/>
  <c r="KZ17" i="9"/>
  <c r="LA17" i="9"/>
  <c r="LB17" i="9"/>
  <c r="LC17" i="9"/>
  <c r="LD17" i="9"/>
  <c r="LE17" i="9"/>
  <c r="LF17" i="9"/>
  <c r="LG17" i="9"/>
  <c r="LH17" i="9"/>
  <c r="LI17" i="9"/>
  <c r="LJ17" i="9"/>
  <c r="LK17" i="9"/>
  <c r="LL17" i="9"/>
  <c r="LM17" i="9"/>
  <c r="LN17" i="9"/>
  <c r="LO17" i="9"/>
  <c r="LP17" i="9"/>
  <c r="LQ17" i="9"/>
  <c r="LR17" i="9"/>
  <c r="LS17" i="9"/>
  <c r="LT17" i="9"/>
  <c r="LU17" i="9"/>
  <c r="LV17" i="9"/>
  <c r="LW17" i="9"/>
  <c r="LX17" i="9"/>
  <c r="LY17" i="9"/>
  <c r="LZ17" i="9"/>
  <c r="MA17" i="9"/>
  <c r="MB17" i="9"/>
  <c r="MC17" i="9"/>
  <c r="MD17" i="9"/>
  <c r="ME17" i="9"/>
  <c r="MF17" i="9"/>
  <c r="MG17" i="9"/>
  <c r="MH17" i="9"/>
  <c r="MI17" i="9"/>
  <c r="MJ17" i="9"/>
  <c r="MK17" i="9"/>
  <c r="ML17" i="9"/>
  <c r="MM17" i="9"/>
  <c r="MN17" i="9"/>
  <c r="MO17" i="9"/>
  <c r="JF17" i="9"/>
  <c r="JG17" i="9"/>
  <c r="JH17" i="9"/>
  <c r="JI17" i="9"/>
  <c r="JJ17" i="9"/>
  <c r="JK17" i="9"/>
  <c r="JL17" i="9"/>
  <c r="JM17" i="9"/>
  <c r="JN17" i="9"/>
  <c r="JO17" i="9"/>
  <c r="JP17" i="9"/>
  <c r="JQ17" i="9"/>
  <c r="JR17" i="9"/>
  <c r="JS17" i="9"/>
  <c r="JT17" i="9"/>
  <c r="JU17" i="9"/>
  <c r="JV17" i="9"/>
  <c r="JW17" i="9"/>
  <c r="JX17" i="9"/>
  <c r="JY17" i="9"/>
  <c r="JZ17" i="9"/>
  <c r="KA17" i="9"/>
  <c r="KB17" i="9"/>
  <c r="KC17" i="9"/>
  <c r="KD17" i="9"/>
  <c r="KE17" i="9"/>
  <c r="KF17" i="9"/>
  <c r="KG17" i="9"/>
  <c r="KH17" i="9"/>
  <c r="KI17" i="9"/>
  <c r="KJ17" i="9"/>
  <c r="KK17" i="9"/>
  <c r="KL17" i="9"/>
  <c r="KM17" i="9"/>
  <c r="KN17" i="9"/>
  <c r="KO17" i="9"/>
  <c r="KP17" i="9"/>
  <c r="KQ17" i="9"/>
  <c r="KR17" i="9"/>
  <c r="KS17" i="9"/>
  <c r="KT17" i="9"/>
  <c r="KU17" i="9"/>
  <c r="KV17" i="9"/>
  <c r="KW17" i="9"/>
  <c r="HN17" i="9"/>
  <c r="HO17" i="9"/>
  <c r="HP17" i="9"/>
  <c r="HQ17" i="9"/>
  <c r="HR17" i="9"/>
  <c r="HS17" i="9"/>
  <c r="HT17" i="9"/>
  <c r="HU17" i="9"/>
  <c r="HV17" i="9"/>
  <c r="HW17" i="9"/>
  <c r="HX17" i="9"/>
  <c r="HY17" i="9"/>
  <c r="HZ17" i="9"/>
  <c r="IA17" i="9"/>
  <c r="IB17" i="9"/>
  <c r="IC17" i="9"/>
  <c r="ID17" i="9"/>
  <c r="IE17" i="9"/>
  <c r="IF17" i="9"/>
  <c r="IG17" i="9"/>
  <c r="IH17" i="9"/>
  <c r="II17" i="9"/>
  <c r="IJ17" i="9"/>
  <c r="IK17" i="9"/>
  <c r="IL17" i="9"/>
  <c r="IM17" i="9"/>
  <c r="IN17" i="9"/>
  <c r="IO17" i="9"/>
  <c r="IP17" i="9"/>
  <c r="IQ17" i="9"/>
  <c r="IR17" i="9"/>
  <c r="IS17" i="9"/>
  <c r="IT17" i="9"/>
  <c r="IU17" i="9"/>
  <c r="IV17" i="9"/>
  <c r="IW17" i="9"/>
  <c r="IX17" i="9"/>
  <c r="IY17" i="9"/>
  <c r="IZ17" i="9"/>
  <c r="JA17" i="9"/>
  <c r="JB17" i="9"/>
  <c r="JC17" i="9"/>
  <c r="JD17" i="9"/>
  <c r="JE17" i="9"/>
  <c r="FV17" i="9"/>
  <c r="FW17" i="9"/>
  <c r="FX17" i="9"/>
  <c r="FY17" i="9"/>
  <c r="FZ17" i="9"/>
  <c r="GA17" i="9"/>
  <c r="GB17" i="9"/>
  <c r="GC17" i="9"/>
  <c r="GD17" i="9"/>
  <c r="GE17" i="9"/>
  <c r="GF17" i="9"/>
  <c r="GG17" i="9"/>
  <c r="GH17" i="9"/>
  <c r="GI17" i="9"/>
  <c r="GJ17" i="9"/>
  <c r="GK17" i="9"/>
  <c r="GL17" i="9"/>
  <c r="GM17" i="9"/>
  <c r="GN17" i="9"/>
  <c r="GO17" i="9"/>
  <c r="GP17" i="9"/>
  <c r="GQ17" i="9"/>
  <c r="GR17" i="9"/>
  <c r="GS17" i="9"/>
  <c r="GT17" i="9"/>
  <c r="GU17" i="9"/>
  <c r="GV17" i="9"/>
  <c r="GW17" i="9"/>
  <c r="GX17" i="9"/>
  <c r="GY17" i="9"/>
  <c r="GZ17" i="9"/>
  <c r="HA17" i="9"/>
  <c r="HB17" i="9"/>
  <c r="HC17" i="9"/>
  <c r="HD17" i="9"/>
  <c r="HE17" i="9"/>
  <c r="HF17" i="9"/>
  <c r="HG17" i="9"/>
  <c r="HH17" i="9"/>
  <c r="HI17" i="9"/>
  <c r="HJ17" i="9"/>
  <c r="HK17" i="9"/>
  <c r="HL17" i="9"/>
  <c r="HM17" i="9"/>
  <c r="ED17" i="9"/>
  <c r="EE17" i="9"/>
  <c r="EF17" i="9"/>
  <c r="EG17" i="9"/>
  <c r="EH17" i="9"/>
  <c r="EI17" i="9"/>
  <c r="EJ17" i="9"/>
  <c r="EK17" i="9"/>
  <c r="EL17" i="9"/>
  <c r="EM17" i="9"/>
  <c r="EN17" i="9"/>
  <c r="EO17" i="9"/>
  <c r="EP17" i="9"/>
  <c r="EQ17" i="9"/>
  <c r="ER17" i="9"/>
  <c r="ES17" i="9"/>
  <c r="ET17" i="9"/>
  <c r="EU17" i="9"/>
  <c r="EV17" i="9"/>
  <c r="EW17" i="9"/>
  <c r="EX17" i="9"/>
  <c r="EY17" i="9"/>
  <c r="EZ17" i="9"/>
  <c r="FA17" i="9"/>
  <c r="FB17" i="9"/>
  <c r="FC17" i="9"/>
  <c r="FD17" i="9"/>
  <c r="FE17" i="9"/>
  <c r="FF17" i="9"/>
  <c r="FG17" i="9"/>
  <c r="FH17" i="9"/>
  <c r="FI17" i="9"/>
  <c r="FJ17" i="9"/>
  <c r="FK17" i="9"/>
  <c r="FL17" i="9"/>
  <c r="FM17" i="9"/>
  <c r="FN17" i="9"/>
  <c r="FO17" i="9"/>
  <c r="FP17" i="9"/>
  <c r="FQ17" i="9"/>
  <c r="FR17" i="9"/>
  <c r="FS17" i="9"/>
  <c r="FT17" i="9"/>
  <c r="FU17" i="9"/>
  <c r="CL17" i="9"/>
  <c r="CM17" i="9"/>
  <c r="CN17" i="9"/>
  <c r="CO17" i="9"/>
  <c r="CP17" i="9"/>
  <c r="CQ17" i="9"/>
  <c r="CR17" i="9"/>
  <c r="CS17" i="9"/>
  <c r="CT17" i="9"/>
  <c r="CU17" i="9"/>
  <c r="CV17" i="9"/>
  <c r="CW17" i="9"/>
  <c r="CX17" i="9"/>
  <c r="CY17" i="9"/>
  <c r="CZ17" i="9"/>
  <c r="DA17" i="9"/>
  <c r="DB17" i="9"/>
  <c r="DC17" i="9"/>
  <c r="DD17" i="9"/>
  <c r="DE17" i="9"/>
  <c r="DF17" i="9"/>
  <c r="DG17" i="9"/>
  <c r="DH17" i="9"/>
  <c r="DI17" i="9"/>
  <c r="DJ17" i="9"/>
  <c r="DK17" i="9"/>
  <c r="DL17" i="9"/>
  <c r="DM17" i="9"/>
  <c r="DN17" i="9"/>
  <c r="DO17" i="9"/>
  <c r="DP17" i="9"/>
  <c r="DQ17" i="9"/>
  <c r="DR17" i="9"/>
  <c r="DS17" i="9"/>
  <c r="DT17" i="9"/>
  <c r="DU17" i="9"/>
  <c r="DV17" i="9"/>
  <c r="DW17" i="9"/>
  <c r="DX17" i="9"/>
  <c r="DY17" i="9"/>
  <c r="DZ17" i="9"/>
  <c r="EA17" i="9"/>
  <c r="EB17" i="9"/>
  <c r="EC17" i="9"/>
  <c r="AT17" i="9"/>
  <c r="AU17" i="9"/>
  <c r="AV17" i="9"/>
  <c r="AW17" i="9"/>
  <c r="AX17" i="9"/>
  <c r="AY17" i="9"/>
  <c r="AZ17" i="9"/>
  <c r="BA17" i="9"/>
  <c r="BB17" i="9"/>
  <c r="BC17" i="9"/>
  <c r="BD17" i="9"/>
  <c r="BE17" i="9"/>
  <c r="BF17" i="9"/>
  <c r="BG17" i="9"/>
  <c r="BH17" i="9"/>
  <c r="BI17" i="9"/>
  <c r="BJ17" i="9"/>
  <c r="BK17" i="9"/>
  <c r="BL17" i="9"/>
  <c r="BM17" i="9"/>
  <c r="BN17" i="9"/>
  <c r="BO17" i="9"/>
  <c r="BP17" i="9"/>
  <c r="BQ17" i="9"/>
  <c r="BR17" i="9"/>
  <c r="BS17" i="9"/>
  <c r="BT17" i="9"/>
  <c r="BU17" i="9"/>
  <c r="BV17" i="9"/>
  <c r="BW17" i="9"/>
  <c r="BX17" i="9"/>
  <c r="BY17" i="9"/>
  <c r="BZ17" i="9"/>
  <c r="CA17" i="9"/>
  <c r="CB17" i="9"/>
  <c r="CC17" i="9"/>
  <c r="CD17" i="9"/>
  <c r="CE17" i="9"/>
  <c r="CF17" i="9"/>
  <c r="CG17" i="9"/>
  <c r="CH17" i="9"/>
  <c r="CI17" i="9"/>
  <c r="CJ17" i="9"/>
  <c r="CK17" i="9"/>
  <c r="B17" i="9"/>
  <c r="C17" i="9"/>
  <c r="D17" i="9"/>
  <c r="E17" i="9"/>
  <c r="F17" i="9"/>
  <c r="G17" i="9"/>
  <c r="H17" i="9"/>
  <c r="I17" i="9"/>
  <c r="J17" i="9"/>
  <c r="K17" i="9"/>
  <c r="L17" i="9"/>
  <c r="M17" i="9"/>
  <c r="N17" i="9"/>
  <c r="O17" i="9"/>
  <c r="P17" i="9"/>
  <c r="Q17" i="9"/>
  <c r="R17" i="9"/>
  <c r="S17" i="9"/>
  <c r="T17" i="9"/>
  <c r="U17" i="9"/>
  <c r="V17" i="9"/>
  <c r="W17" i="9"/>
  <c r="X17" i="9"/>
  <c r="Y17" i="9"/>
  <c r="Z17" i="9"/>
  <c r="AA17" i="9"/>
  <c r="AB17" i="9"/>
  <c r="AC17" i="9"/>
  <c r="AD17" i="9"/>
  <c r="AE17" i="9"/>
  <c r="AF17" i="9"/>
  <c r="AG17" i="9"/>
  <c r="AH17" i="9"/>
  <c r="AI17" i="9"/>
  <c r="AJ17" i="9"/>
  <c r="AK17" i="9"/>
  <c r="AL17" i="9"/>
  <c r="AM17" i="9"/>
  <c r="AN17" i="9"/>
  <c r="AO17" i="9"/>
  <c r="AP17" i="9"/>
  <c r="AQ17" i="9"/>
  <c r="AR17" i="9"/>
  <c r="AS17" i="9"/>
  <c r="OH16" i="9"/>
  <c r="OI16" i="9"/>
  <c r="OJ16" i="9"/>
  <c r="OK16" i="9"/>
  <c r="OL16" i="9"/>
  <c r="OM16" i="9"/>
  <c r="ON16" i="9"/>
  <c r="OO16" i="9"/>
  <c r="OP16" i="9"/>
  <c r="OQ16" i="9"/>
  <c r="OR16" i="9"/>
  <c r="OS16" i="9"/>
  <c r="OT16" i="9"/>
  <c r="OU16" i="9"/>
  <c r="OV16" i="9"/>
  <c r="OW16" i="9"/>
  <c r="OX16" i="9"/>
  <c r="OY16" i="9"/>
  <c r="OZ16" i="9"/>
  <c r="PA16" i="9"/>
  <c r="PB16" i="9"/>
  <c r="PC16" i="9"/>
  <c r="PD16" i="9"/>
  <c r="PE16" i="9"/>
  <c r="PF16" i="9"/>
  <c r="PG16" i="9"/>
  <c r="PH16" i="9"/>
  <c r="PI16" i="9"/>
  <c r="PJ16" i="9"/>
  <c r="PK16" i="9"/>
  <c r="PL16" i="9"/>
  <c r="PM16" i="9"/>
  <c r="PN16" i="9"/>
  <c r="PO16" i="9"/>
  <c r="PP16" i="9"/>
  <c r="PQ16" i="9"/>
  <c r="PR16" i="9"/>
  <c r="PS16" i="9"/>
  <c r="PT16" i="9"/>
  <c r="PU16" i="9"/>
  <c r="PV16" i="9"/>
  <c r="PW16" i="9"/>
  <c r="PX16" i="9"/>
  <c r="PY16" i="9"/>
  <c r="MP16" i="9"/>
  <c r="MQ16" i="9"/>
  <c r="MR16" i="9"/>
  <c r="MS16" i="9"/>
  <c r="MT16" i="9"/>
  <c r="MU16" i="9"/>
  <c r="MV16" i="9"/>
  <c r="MW16" i="9"/>
  <c r="MX16" i="9"/>
  <c r="MY16" i="9"/>
  <c r="MZ16" i="9"/>
  <c r="NA16" i="9"/>
  <c r="NB16" i="9"/>
  <c r="NC16" i="9"/>
  <c r="ND16" i="9"/>
  <c r="NE16" i="9"/>
  <c r="NF16" i="9"/>
  <c r="NG16" i="9"/>
  <c r="NH16" i="9"/>
  <c r="NI16" i="9"/>
  <c r="NJ16" i="9"/>
  <c r="NK16" i="9"/>
  <c r="NL16" i="9"/>
  <c r="NM16" i="9"/>
  <c r="NN16" i="9"/>
  <c r="NO16" i="9"/>
  <c r="NP16" i="9"/>
  <c r="NQ16" i="9"/>
  <c r="NR16" i="9"/>
  <c r="NS16" i="9"/>
  <c r="NT16" i="9"/>
  <c r="NU16" i="9"/>
  <c r="NV16" i="9"/>
  <c r="NW16" i="9"/>
  <c r="NX16" i="9"/>
  <c r="NY16" i="9"/>
  <c r="NZ16" i="9"/>
  <c r="OA16" i="9"/>
  <c r="OB16" i="9"/>
  <c r="OC16" i="9"/>
  <c r="OD16" i="9"/>
  <c r="OE16" i="9"/>
  <c r="OF16" i="9"/>
  <c r="OG16" i="9"/>
  <c r="KX16" i="9"/>
  <c r="KY16" i="9"/>
  <c r="KZ16" i="9"/>
  <c r="LA16" i="9"/>
  <c r="LB16" i="9"/>
  <c r="LC16" i="9"/>
  <c r="LD16" i="9"/>
  <c r="LE16" i="9"/>
  <c r="LF16" i="9"/>
  <c r="LG16" i="9"/>
  <c r="LH16" i="9"/>
  <c r="LI16" i="9"/>
  <c r="LJ16" i="9"/>
  <c r="LK16" i="9"/>
  <c r="LL16" i="9"/>
  <c r="LM16" i="9"/>
  <c r="LN16" i="9"/>
  <c r="LO16" i="9"/>
  <c r="LP16" i="9"/>
  <c r="LQ16" i="9"/>
  <c r="LR16" i="9"/>
  <c r="LS16" i="9"/>
  <c r="LT16" i="9"/>
  <c r="LU16" i="9"/>
  <c r="LV16" i="9"/>
  <c r="LW16" i="9"/>
  <c r="LX16" i="9"/>
  <c r="LY16" i="9"/>
  <c r="LZ16" i="9"/>
  <c r="MA16" i="9"/>
  <c r="MB16" i="9"/>
  <c r="MC16" i="9"/>
  <c r="MD16" i="9"/>
  <c r="ME16" i="9"/>
  <c r="MF16" i="9"/>
  <c r="MG16" i="9"/>
  <c r="MH16" i="9"/>
  <c r="MI16" i="9"/>
  <c r="MJ16" i="9"/>
  <c r="MK16" i="9"/>
  <c r="ML16" i="9"/>
  <c r="MM16" i="9"/>
  <c r="MN16" i="9"/>
  <c r="MO16" i="9"/>
  <c r="JF16" i="9"/>
  <c r="JG16" i="9"/>
  <c r="JH16" i="9"/>
  <c r="JI16" i="9"/>
  <c r="JJ16" i="9"/>
  <c r="JK16" i="9"/>
  <c r="JL16" i="9"/>
  <c r="JM16" i="9"/>
  <c r="JN16" i="9"/>
  <c r="JO16" i="9"/>
  <c r="JP16" i="9"/>
  <c r="JQ16" i="9"/>
  <c r="JR16" i="9"/>
  <c r="JS16" i="9"/>
  <c r="JT16" i="9"/>
  <c r="JU16" i="9"/>
  <c r="JV16" i="9"/>
  <c r="JW16" i="9"/>
  <c r="JX16" i="9"/>
  <c r="JY16" i="9"/>
  <c r="JZ16" i="9"/>
  <c r="KA16" i="9"/>
  <c r="KB16" i="9"/>
  <c r="KC16" i="9"/>
  <c r="KD16" i="9"/>
  <c r="KE16" i="9"/>
  <c r="KF16" i="9"/>
  <c r="KG16" i="9"/>
  <c r="KH16" i="9"/>
  <c r="KI16" i="9"/>
  <c r="KJ16" i="9"/>
  <c r="KK16" i="9"/>
  <c r="KL16" i="9"/>
  <c r="KM16" i="9"/>
  <c r="KN16" i="9"/>
  <c r="KO16" i="9"/>
  <c r="KP16" i="9"/>
  <c r="KQ16" i="9"/>
  <c r="KR16" i="9"/>
  <c r="KS16" i="9"/>
  <c r="KT16" i="9"/>
  <c r="KU16" i="9"/>
  <c r="KV16" i="9"/>
  <c r="KW16" i="9"/>
  <c r="HN16" i="9"/>
  <c r="HO16" i="9"/>
  <c r="HP16" i="9"/>
  <c r="HQ16" i="9"/>
  <c r="HR16" i="9"/>
  <c r="HS16" i="9"/>
  <c r="HT16" i="9"/>
  <c r="HU16" i="9"/>
  <c r="HV16" i="9"/>
  <c r="HW16" i="9"/>
  <c r="HX16" i="9"/>
  <c r="HY16" i="9"/>
  <c r="HZ16" i="9"/>
  <c r="IA16" i="9"/>
  <c r="IB16" i="9"/>
  <c r="IC16" i="9"/>
  <c r="ID16" i="9"/>
  <c r="IE16" i="9"/>
  <c r="IF16" i="9"/>
  <c r="IG16" i="9"/>
  <c r="IH16" i="9"/>
  <c r="II16" i="9"/>
  <c r="IJ16" i="9"/>
  <c r="IK16" i="9"/>
  <c r="IL16" i="9"/>
  <c r="IM16" i="9"/>
  <c r="IN16" i="9"/>
  <c r="IO16" i="9"/>
  <c r="IP16" i="9"/>
  <c r="IQ16" i="9"/>
  <c r="IR16" i="9"/>
  <c r="IS16" i="9"/>
  <c r="IT16" i="9"/>
  <c r="IU16" i="9"/>
  <c r="IV16" i="9"/>
  <c r="IW16" i="9"/>
  <c r="IX16" i="9"/>
  <c r="IY16" i="9"/>
  <c r="IZ16" i="9"/>
  <c r="JA16" i="9"/>
  <c r="JB16" i="9"/>
  <c r="JC16" i="9"/>
  <c r="JD16" i="9"/>
  <c r="JE16" i="9"/>
  <c r="FV16" i="9"/>
  <c r="FW16" i="9"/>
  <c r="FX16" i="9"/>
  <c r="FY16" i="9"/>
  <c r="FZ16" i="9"/>
  <c r="GA16" i="9"/>
  <c r="GB16" i="9"/>
  <c r="GC16" i="9"/>
  <c r="GD16" i="9"/>
  <c r="GE16" i="9"/>
  <c r="GF16" i="9"/>
  <c r="GG16" i="9"/>
  <c r="GH16" i="9"/>
  <c r="GI16" i="9"/>
  <c r="GJ16" i="9"/>
  <c r="GK16" i="9"/>
  <c r="GL16" i="9"/>
  <c r="GM16" i="9"/>
  <c r="GN16" i="9"/>
  <c r="GO16" i="9"/>
  <c r="GP16" i="9"/>
  <c r="GQ16" i="9"/>
  <c r="GR16" i="9"/>
  <c r="GS16" i="9"/>
  <c r="GT16" i="9"/>
  <c r="GU16" i="9"/>
  <c r="GV16" i="9"/>
  <c r="GW16" i="9"/>
  <c r="GX16" i="9"/>
  <c r="GY16" i="9"/>
  <c r="GZ16" i="9"/>
  <c r="HA16" i="9"/>
  <c r="HB16" i="9"/>
  <c r="HC16" i="9"/>
  <c r="HD16" i="9"/>
  <c r="HE16" i="9"/>
  <c r="HF16" i="9"/>
  <c r="HG16" i="9"/>
  <c r="HH16" i="9"/>
  <c r="HI16" i="9"/>
  <c r="HJ16" i="9"/>
  <c r="HK16" i="9"/>
  <c r="HL16" i="9"/>
  <c r="HM16" i="9"/>
  <c r="ED16" i="9"/>
  <c r="EE16" i="9"/>
  <c r="EF16" i="9"/>
  <c r="EG16" i="9"/>
  <c r="EH16" i="9"/>
  <c r="EI16" i="9"/>
  <c r="EJ16" i="9"/>
  <c r="EK16" i="9"/>
  <c r="EL16" i="9"/>
  <c r="EM16" i="9"/>
  <c r="EN16" i="9"/>
  <c r="EO16" i="9"/>
  <c r="EP16" i="9"/>
  <c r="EQ16" i="9"/>
  <c r="ER16" i="9"/>
  <c r="ES16" i="9"/>
  <c r="ET16" i="9"/>
  <c r="EU16" i="9"/>
  <c r="EV16" i="9"/>
  <c r="EW16" i="9"/>
  <c r="EX16" i="9"/>
  <c r="EY16" i="9"/>
  <c r="EZ16" i="9"/>
  <c r="FA16" i="9"/>
  <c r="FB16" i="9"/>
  <c r="FC16" i="9"/>
  <c r="FD16" i="9"/>
  <c r="FE16" i="9"/>
  <c r="FF16" i="9"/>
  <c r="FG16" i="9"/>
  <c r="FH16" i="9"/>
  <c r="FI16" i="9"/>
  <c r="FJ16" i="9"/>
  <c r="FK16" i="9"/>
  <c r="FL16" i="9"/>
  <c r="FM16" i="9"/>
  <c r="FN16" i="9"/>
  <c r="FO16" i="9"/>
  <c r="FP16" i="9"/>
  <c r="FQ16" i="9"/>
  <c r="FR16" i="9"/>
  <c r="FS16" i="9"/>
  <c r="FT16" i="9"/>
  <c r="FU16" i="9"/>
  <c r="CL16" i="9"/>
  <c r="CM16" i="9"/>
  <c r="CN16" i="9"/>
  <c r="CO16" i="9"/>
  <c r="CP16" i="9"/>
  <c r="CQ16" i="9"/>
  <c r="CR16" i="9"/>
  <c r="CS16" i="9"/>
  <c r="CT16" i="9"/>
  <c r="CU16" i="9"/>
  <c r="CV16" i="9"/>
  <c r="CW16" i="9"/>
  <c r="CX16" i="9"/>
  <c r="CY16" i="9"/>
  <c r="CZ16" i="9"/>
  <c r="DA16" i="9"/>
  <c r="DB16" i="9"/>
  <c r="DC16" i="9"/>
  <c r="DD16" i="9"/>
  <c r="DE16" i="9"/>
  <c r="DF16" i="9"/>
  <c r="DG16" i="9"/>
  <c r="DH16" i="9"/>
  <c r="DI16" i="9"/>
  <c r="DJ16" i="9"/>
  <c r="DK16" i="9"/>
  <c r="DL16" i="9"/>
  <c r="DM16" i="9"/>
  <c r="DN16" i="9"/>
  <c r="DO16" i="9"/>
  <c r="DP16" i="9"/>
  <c r="DQ16" i="9"/>
  <c r="DR16" i="9"/>
  <c r="DS16" i="9"/>
  <c r="DT16" i="9"/>
  <c r="DU16" i="9"/>
  <c r="DV16" i="9"/>
  <c r="DW16" i="9"/>
  <c r="DX16" i="9"/>
  <c r="DY16" i="9"/>
  <c r="DZ16" i="9"/>
  <c r="EA16" i="9"/>
  <c r="EB16" i="9"/>
  <c r="EC16" i="9"/>
  <c r="AT16" i="9"/>
  <c r="AU16" i="9"/>
  <c r="AV16" i="9"/>
  <c r="AW16" i="9"/>
  <c r="AX16" i="9"/>
  <c r="AY16" i="9"/>
  <c r="AZ16" i="9"/>
  <c r="BA16" i="9"/>
  <c r="BB16" i="9"/>
  <c r="BC16" i="9"/>
  <c r="BD16" i="9"/>
  <c r="BE16" i="9"/>
  <c r="BF16" i="9"/>
  <c r="BG16" i="9"/>
  <c r="BH16" i="9"/>
  <c r="BI16" i="9"/>
  <c r="BJ16" i="9"/>
  <c r="BK16" i="9"/>
  <c r="BL16" i="9"/>
  <c r="BM16" i="9"/>
  <c r="BN16" i="9"/>
  <c r="BO16" i="9"/>
  <c r="BP16" i="9"/>
  <c r="BQ16" i="9"/>
  <c r="BR16" i="9"/>
  <c r="BS16" i="9"/>
  <c r="BT16" i="9"/>
  <c r="BU16" i="9"/>
  <c r="BV16" i="9"/>
  <c r="BW16" i="9"/>
  <c r="BX16" i="9"/>
  <c r="BY16" i="9"/>
  <c r="BZ16" i="9"/>
  <c r="CA16" i="9"/>
  <c r="CB16" i="9"/>
  <c r="CC16" i="9"/>
  <c r="CD16" i="9"/>
  <c r="CE16" i="9"/>
  <c r="CF16" i="9"/>
  <c r="CG16" i="9"/>
  <c r="CH16" i="9"/>
  <c r="CI16" i="9"/>
  <c r="CJ16" i="9"/>
  <c r="CK16" i="9"/>
  <c r="B16" i="9"/>
  <c r="C16" i="9"/>
  <c r="D16" i="9"/>
  <c r="E16" i="9"/>
  <c r="F16" i="9"/>
  <c r="G16" i="9"/>
  <c r="H16" i="9"/>
  <c r="I16" i="9"/>
  <c r="J16" i="9"/>
  <c r="K16" i="9"/>
  <c r="L16" i="9"/>
  <c r="M16" i="9"/>
  <c r="N16" i="9"/>
  <c r="O16" i="9"/>
  <c r="P16" i="9"/>
  <c r="Q16" i="9"/>
  <c r="R16" i="9"/>
  <c r="S16" i="9"/>
  <c r="T16" i="9"/>
  <c r="U16" i="9"/>
  <c r="V16" i="9"/>
  <c r="W16" i="9"/>
  <c r="X16" i="9"/>
  <c r="Y16" i="9"/>
  <c r="Z16" i="9"/>
  <c r="AA16" i="9"/>
  <c r="AB16" i="9"/>
  <c r="AC16" i="9"/>
  <c r="AD16" i="9"/>
  <c r="AE16" i="9"/>
  <c r="AF16" i="9"/>
  <c r="AG16" i="9"/>
  <c r="AH16" i="9"/>
  <c r="AI16" i="9"/>
  <c r="AJ16" i="9"/>
  <c r="AK16" i="9"/>
  <c r="AL16" i="9"/>
  <c r="AM16" i="9"/>
  <c r="AN16" i="9"/>
  <c r="AO16" i="9"/>
  <c r="AP16" i="9"/>
  <c r="AQ16" i="9"/>
  <c r="AR16" i="9"/>
  <c r="AS16" i="9"/>
  <c r="OH15" i="9"/>
  <c r="OI15" i="9"/>
  <c r="OJ15" i="9"/>
  <c r="OK15" i="9"/>
  <c r="OL15" i="9"/>
  <c r="OM15" i="9"/>
  <c r="ON15" i="9"/>
  <c r="OO15" i="9"/>
  <c r="OP15" i="9"/>
  <c r="OQ15" i="9"/>
  <c r="OR15" i="9"/>
  <c r="OS15" i="9"/>
  <c r="OT15" i="9"/>
  <c r="OU15" i="9"/>
  <c r="OV15" i="9"/>
  <c r="OW15" i="9"/>
  <c r="OX15" i="9"/>
  <c r="OY15" i="9"/>
  <c r="OZ15" i="9"/>
  <c r="PA15" i="9"/>
  <c r="PB15" i="9"/>
  <c r="PC15" i="9"/>
  <c r="PD15" i="9"/>
  <c r="PE15" i="9"/>
  <c r="PF15" i="9"/>
  <c r="PG15" i="9"/>
  <c r="PH15" i="9"/>
  <c r="PI15" i="9"/>
  <c r="PJ15" i="9"/>
  <c r="PK15" i="9"/>
  <c r="PL15" i="9"/>
  <c r="PM15" i="9"/>
  <c r="PN15" i="9"/>
  <c r="PO15" i="9"/>
  <c r="PP15" i="9"/>
  <c r="PQ15" i="9"/>
  <c r="PR15" i="9"/>
  <c r="PS15" i="9"/>
  <c r="PT15" i="9"/>
  <c r="PU15" i="9"/>
  <c r="PV15" i="9"/>
  <c r="PW15" i="9"/>
  <c r="PX15" i="9"/>
  <c r="PY15" i="9"/>
  <c r="MP15" i="9"/>
  <c r="MQ15" i="9"/>
  <c r="MR15" i="9"/>
  <c r="MS15" i="9"/>
  <c r="MT15" i="9"/>
  <c r="MU15" i="9"/>
  <c r="MV15" i="9"/>
  <c r="MW15" i="9"/>
  <c r="MX15" i="9"/>
  <c r="MY15" i="9"/>
  <c r="MZ15" i="9"/>
  <c r="NA15" i="9"/>
  <c r="NB15" i="9"/>
  <c r="NC15" i="9"/>
  <c r="ND15" i="9"/>
  <c r="NE15" i="9"/>
  <c r="NF15" i="9"/>
  <c r="NG15" i="9"/>
  <c r="NH15" i="9"/>
  <c r="NI15" i="9"/>
  <c r="NJ15" i="9"/>
  <c r="NK15" i="9"/>
  <c r="NL15" i="9"/>
  <c r="NM15" i="9"/>
  <c r="NN15" i="9"/>
  <c r="NO15" i="9"/>
  <c r="NP15" i="9"/>
  <c r="NQ15" i="9"/>
  <c r="NR15" i="9"/>
  <c r="NS15" i="9"/>
  <c r="NT15" i="9"/>
  <c r="NU15" i="9"/>
  <c r="NV15" i="9"/>
  <c r="NW15" i="9"/>
  <c r="NX15" i="9"/>
  <c r="NY15" i="9"/>
  <c r="NZ15" i="9"/>
  <c r="OA15" i="9"/>
  <c r="OB15" i="9"/>
  <c r="OC15" i="9"/>
  <c r="OD15" i="9"/>
  <c r="OE15" i="9"/>
  <c r="OF15" i="9"/>
  <c r="OG15" i="9"/>
  <c r="KX15" i="9"/>
  <c r="KY15" i="9"/>
  <c r="KZ15" i="9"/>
  <c r="LA15" i="9"/>
  <c r="LB15" i="9"/>
  <c r="LC15" i="9"/>
  <c r="LD15" i="9"/>
  <c r="LE15" i="9"/>
  <c r="LF15" i="9"/>
  <c r="LG15" i="9"/>
  <c r="LH15" i="9"/>
  <c r="LI15" i="9"/>
  <c r="LJ15" i="9"/>
  <c r="LK15" i="9"/>
  <c r="LL15" i="9"/>
  <c r="LM15" i="9"/>
  <c r="LN15" i="9"/>
  <c r="LO15" i="9"/>
  <c r="LP15" i="9"/>
  <c r="LQ15" i="9"/>
  <c r="LR15" i="9"/>
  <c r="LS15" i="9"/>
  <c r="LT15" i="9"/>
  <c r="LU15" i="9"/>
  <c r="LV15" i="9"/>
  <c r="LW15" i="9"/>
  <c r="LX15" i="9"/>
  <c r="LY15" i="9"/>
  <c r="LZ15" i="9"/>
  <c r="MA15" i="9"/>
  <c r="MB15" i="9"/>
  <c r="MC15" i="9"/>
  <c r="MD15" i="9"/>
  <c r="ME15" i="9"/>
  <c r="MF15" i="9"/>
  <c r="MG15" i="9"/>
  <c r="MH15" i="9"/>
  <c r="MI15" i="9"/>
  <c r="MJ15" i="9"/>
  <c r="MK15" i="9"/>
  <c r="ML15" i="9"/>
  <c r="MM15" i="9"/>
  <c r="MN15" i="9"/>
  <c r="MO15" i="9"/>
  <c r="JF15" i="9"/>
  <c r="JG15" i="9"/>
  <c r="JH15" i="9"/>
  <c r="JI15" i="9"/>
  <c r="JJ15" i="9"/>
  <c r="JK15" i="9"/>
  <c r="JL15" i="9"/>
  <c r="JM15" i="9"/>
  <c r="JN15" i="9"/>
  <c r="JO15" i="9"/>
  <c r="JP15" i="9"/>
  <c r="JQ15" i="9"/>
  <c r="JR15" i="9"/>
  <c r="JS15" i="9"/>
  <c r="JT15" i="9"/>
  <c r="JU15" i="9"/>
  <c r="JV15" i="9"/>
  <c r="JW15" i="9"/>
  <c r="JX15" i="9"/>
  <c r="JY15" i="9"/>
  <c r="JZ15" i="9"/>
  <c r="KA15" i="9"/>
  <c r="KB15" i="9"/>
  <c r="KC15" i="9"/>
  <c r="KD15" i="9"/>
  <c r="KE15" i="9"/>
  <c r="KF15" i="9"/>
  <c r="KG15" i="9"/>
  <c r="KH15" i="9"/>
  <c r="KI15" i="9"/>
  <c r="KJ15" i="9"/>
  <c r="KK15" i="9"/>
  <c r="KL15" i="9"/>
  <c r="KM15" i="9"/>
  <c r="KN15" i="9"/>
  <c r="KO15" i="9"/>
  <c r="KP15" i="9"/>
  <c r="KQ15" i="9"/>
  <c r="KR15" i="9"/>
  <c r="KS15" i="9"/>
  <c r="KT15" i="9"/>
  <c r="KU15" i="9"/>
  <c r="KV15" i="9"/>
  <c r="KW15" i="9"/>
  <c r="HN15" i="9"/>
  <c r="HO15" i="9"/>
  <c r="HP15" i="9"/>
  <c r="HQ15" i="9"/>
  <c r="HR15" i="9"/>
  <c r="HS15" i="9"/>
  <c r="HT15" i="9"/>
  <c r="HU15" i="9"/>
  <c r="HV15" i="9"/>
  <c r="HW15" i="9"/>
  <c r="HX15" i="9"/>
  <c r="HY15" i="9"/>
  <c r="HZ15" i="9"/>
  <c r="IA15" i="9"/>
  <c r="IB15" i="9"/>
  <c r="IC15" i="9"/>
  <c r="ID15" i="9"/>
  <c r="IE15" i="9"/>
  <c r="IF15" i="9"/>
  <c r="IG15" i="9"/>
  <c r="IH15" i="9"/>
  <c r="II15" i="9"/>
  <c r="IJ15" i="9"/>
  <c r="IK15" i="9"/>
  <c r="IL15" i="9"/>
  <c r="IM15" i="9"/>
  <c r="IN15" i="9"/>
  <c r="IO15" i="9"/>
  <c r="IP15" i="9"/>
  <c r="IQ15" i="9"/>
  <c r="IR15" i="9"/>
  <c r="IS15" i="9"/>
  <c r="IT15" i="9"/>
  <c r="IU15" i="9"/>
  <c r="IV15" i="9"/>
  <c r="IW15" i="9"/>
  <c r="IX15" i="9"/>
  <c r="IY15" i="9"/>
  <c r="IZ15" i="9"/>
  <c r="JA15" i="9"/>
  <c r="JB15" i="9"/>
  <c r="JC15" i="9"/>
  <c r="JD15" i="9"/>
  <c r="JE15" i="9"/>
  <c r="FV15" i="9"/>
  <c r="FW15" i="9"/>
  <c r="FX15" i="9"/>
  <c r="FY15" i="9"/>
  <c r="FZ15" i="9"/>
  <c r="GA15" i="9"/>
  <c r="GB15" i="9"/>
  <c r="GC15" i="9"/>
  <c r="GD15" i="9"/>
  <c r="GE15" i="9"/>
  <c r="GF15" i="9"/>
  <c r="GG15" i="9"/>
  <c r="GH15" i="9"/>
  <c r="GI15" i="9"/>
  <c r="GJ15" i="9"/>
  <c r="GK15" i="9"/>
  <c r="GL15" i="9"/>
  <c r="GM15" i="9"/>
  <c r="GN15" i="9"/>
  <c r="GO15" i="9"/>
  <c r="GP15" i="9"/>
  <c r="GQ15" i="9"/>
  <c r="GR15" i="9"/>
  <c r="GS15" i="9"/>
  <c r="GT15" i="9"/>
  <c r="GU15" i="9"/>
  <c r="GV15" i="9"/>
  <c r="GW15" i="9"/>
  <c r="GX15" i="9"/>
  <c r="GY15" i="9"/>
  <c r="GZ15" i="9"/>
  <c r="HA15" i="9"/>
  <c r="HB15" i="9"/>
  <c r="HC15" i="9"/>
  <c r="HD15" i="9"/>
  <c r="HE15" i="9"/>
  <c r="HF15" i="9"/>
  <c r="HG15" i="9"/>
  <c r="HH15" i="9"/>
  <c r="HI15" i="9"/>
  <c r="HJ15" i="9"/>
  <c r="HK15" i="9"/>
  <c r="HL15" i="9"/>
  <c r="HM15" i="9"/>
  <c r="ED15" i="9"/>
  <c r="EE15" i="9"/>
  <c r="EF15" i="9"/>
  <c r="EG15" i="9"/>
  <c r="EH15" i="9"/>
  <c r="EI15" i="9"/>
  <c r="EJ15" i="9"/>
  <c r="EK15" i="9"/>
  <c r="EL15" i="9"/>
  <c r="EM15" i="9"/>
  <c r="EN15" i="9"/>
  <c r="EO15" i="9"/>
  <c r="EP15" i="9"/>
  <c r="EQ15" i="9"/>
  <c r="ER15" i="9"/>
  <c r="ES15" i="9"/>
  <c r="ET15" i="9"/>
  <c r="EU15" i="9"/>
  <c r="EV15" i="9"/>
  <c r="EW15" i="9"/>
  <c r="EX15" i="9"/>
  <c r="EY15" i="9"/>
  <c r="EZ15" i="9"/>
  <c r="FA15" i="9"/>
  <c r="FB15" i="9"/>
  <c r="FC15" i="9"/>
  <c r="FD15" i="9"/>
  <c r="FE15" i="9"/>
  <c r="FF15" i="9"/>
  <c r="FG15" i="9"/>
  <c r="FH15" i="9"/>
  <c r="FI15" i="9"/>
  <c r="FJ15" i="9"/>
  <c r="FK15" i="9"/>
  <c r="FL15" i="9"/>
  <c r="FM15" i="9"/>
  <c r="FN15" i="9"/>
  <c r="FO15" i="9"/>
  <c r="FP15" i="9"/>
  <c r="FQ15" i="9"/>
  <c r="FR15" i="9"/>
  <c r="FS15" i="9"/>
  <c r="FT15" i="9"/>
  <c r="FU15" i="9"/>
  <c r="CL15" i="9"/>
  <c r="CM15" i="9"/>
  <c r="CN15" i="9"/>
  <c r="CO15" i="9"/>
  <c r="CP15" i="9"/>
  <c r="CQ15" i="9"/>
  <c r="CR15" i="9"/>
  <c r="CS15" i="9"/>
  <c r="CT15" i="9"/>
  <c r="CU15" i="9"/>
  <c r="CV15" i="9"/>
  <c r="CW15" i="9"/>
  <c r="CX15" i="9"/>
  <c r="CY15" i="9"/>
  <c r="CZ15" i="9"/>
  <c r="DA15" i="9"/>
  <c r="DB15" i="9"/>
  <c r="DC15" i="9"/>
  <c r="DD15" i="9"/>
  <c r="DE15" i="9"/>
  <c r="DF15" i="9"/>
  <c r="DG15" i="9"/>
  <c r="DH15" i="9"/>
  <c r="DI15" i="9"/>
  <c r="DJ15" i="9"/>
  <c r="DK15" i="9"/>
  <c r="DL15" i="9"/>
  <c r="DM15" i="9"/>
  <c r="DN15" i="9"/>
  <c r="DO15" i="9"/>
  <c r="DP15" i="9"/>
  <c r="DQ15" i="9"/>
  <c r="DR15" i="9"/>
  <c r="DS15" i="9"/>
  <c r="DT15" i="9"/>
  <c r="DU15" i="9"/>
  <c r="DV15" i="9"/>
  <c r="DW15" i="9"/>
  <c r="DX15" i="9"/>
  <c r="DY15" i="9"/>
  <c r="DZ15" i="9"/>
  <c r="EA15" i="9"/>
  <c r="EB15" i="9"/>
  <c r="EC15" i="9"/>
  <c r="AT15" i="9"/>
  <c r="AU15" i="9"/>
  <c r="AV15" i="9"/>
  <c r="AW15" i="9"/>
  <c r="AX15" i="9"/>
  <c r="AY15" i="9"/>
  <c r="AZ15" i="9"/>
  <c r="BA15" i="9"/>
  <c r="BB15" i="9"/>
  <c r="BC15" i="9"/>
  <c r="BD15" i="9"/>
  <c r="BE15" i="9"/>
  <c r="BF15" i="9"/>
  <c r="BG15" i="9"/>
  <c r="BH15" i="9"/>
  <c r="BI15" i="9"/>
  <c r="BJ15" i="9"/>
  <c r="BK15" i="9"/>
  <c r="BL15" i="9"/>
  <c r="BM15" i="9"/>
  <c r="BN15" i="9"/>
  <c r="BO15" i="9"/>
  <c r="BP15" i="9"/>
  <c r="BQ15" i="9"/>
  <c r="BR15" i="9"/>
  <c r="BS15" i="9"/>
  <c r="BT15" i="9"/>
  <c r="BU15" i="9"/>
  <c r="BV15" i="9"/>
  <c r="BW15" i="9"/>
  <c r="BX15" i="9"/>
  <c r="BY15" i="9"/>
  <c r="BZ15" i="9"/>
  <c r="CA15" i="9"/>
  <c r="CB15" i="9"/>
  <c r="CC15" i="9"/>
  <c r="CD15" i="9"/>
  <c r="CE15" i="9"/>
  <c r="CF15" i="9"/>
  <c r="CG15" i="9"/>
  <c r="CH15" i="9"/>
  <c r="CI15" i="9"/>
  <c r="CJ15" i="9"/>
  <c r="CK15" i="9"/>
  <c r="B15" i="9"/>
  <c r="C15" i="9"/>
  <c r="D15" i="9"/>
  <c r="E15" i="9"/>
  <c r="F15" i="9"/>
  <c r="G15" i="9"/>
  <c r="H15" i="9"/>
  <c r="I15" i="9"/>
  <c r="J15" i="9"/>
  <c r="K15" i="9"/>
  <c r="L15" i="9"/>
  <c r="M15" i="9"/>
  <c r="N15" i="9"/>
  <c r="O15" i="9"/>
  <c r="P15" i="9"/>
  <c r="Q15" i="9"/>
  <c r="R15" i="9"/>
  <c r="S15" i="9"/>
  <c r="T15" i="9"/>
  <c r="U15" i="9"/>
  <c r="V15" i="9"/>
  <c r="W15" i="9"/>
  <c r="X15" i="9"/>
  <c r="Y15" i="9"/>
  <c r="Z15" i="9"/>
  <c r="AA15" i="9"/>
  <c r="AB15" i="9"/>
  <c r="AC15" i="9"/>
  <c r="AD15" i="9"/>
  <c r="AE15" i="9"/>
  <c r="AF15" i="9"/>
  <c r="AG15" i="9"/>
  <c r="AH15" i="9"/>
  <c r="AI15" i="9"/>
  <c r="AJ15" i="9"/>
  <c r="AK15" i="9"/>
  <c r="AL15" i="9"/>
  <c r="AM15" i="9"/>
  <c r="AN15" i="9"/>
  <c r="AO15" i="9"/>
  <c r="AP15" i="9"/>
  <c r="AQ15" i="9"/>
  <c r="AR15" i="9"/>
  <c r="AS15" i="9"/>
  <c r="WT14" i="9"/>
  <c r="WU14" i="9"/>
  <c r="WV14" i="9"/>
  <c r="WW14" i="9"/>
  <c r="WX14" i="9"/>
  <c r="WY14" i="9"/>
  <c r="WZ14" i="9"/>
  <c r="XA14" i="9"/>
  <c r="XB14" i="9"/>
  <c r="XC14" i="9"/>
  <c r="XD14" i="9"/>
  <c r="XE14" i="9"/>
  <c r="XF14" i="9"/>
  <c r="XG14" i="9"/>
  <c r="XH14" i="9"/>
  <c r="XI14" i="9"/>
  <c r="XJ14" i="9"/>
  <c r="XK14" i="9"/>
  <c r="XL14" i="9"/>
  <c r="XM14" i="9"/>
  <c r="XN14" i="9"/>
  <c r="XO14" i="9"/>
  <c r="XP14" i="9"/>
  <c r="XQ14" i="9"/>
  <c r="XR14" i="9"/>
  <c r="XS14" i="9"/>
  <c r="XT14" i="9"/>
  <c r="XU14" i="9"/>
  <c r="XV14" i="9"/>
  <c r="XW14" i="9"/>
  <c r="XX14" i="9"/>
  <c r="XY14" i="9"/>
  <c r="XZ14" i="9"/>
  <c r="YA14" i="9"/>
  <c r="YB14" i="9"/>
  <c r="YC14" i="9"/>
  <c r="YD14" i="9"/>
  <c r="YE14" i="9"/>
  <c r="YF14" i="9"/>
  <c r="YG14" i="9"/>
  <c r="YH14" i="9"/>
  <c r="YI14" i="9"/>
  <c r="YJ14" i="9"/>
  <c r="YK14" i="9"/>
  <c r="VB14" i="9"/>
  <c r="VC14" i="9"/>
  <c r="VD14" i="9"/>
  <c r="VE14" i="9"/>
  <c r="VF14" i="9"/>
  <c r="VG14" i="9"/>
  <c r="VH14" i="9"/>
  <c r="VI14" i="9"/>
  <c r="VJ14" i="9"/>
  <c r="VK14" i="9"/>
  <c r="VL14" i="9"/>
  <c r="VM14" i="9"/>
  <c r="VN14" i="9"/>
  <c r="VO14" i="9"/>
  <c r="VP14" i="9"/>
  <c r="VQ14" i="9"/>
  <c r="VR14" i="9"/>
  <c r="VS14" i="9"/>
  <c r="VT14" i="9"/>
  <c r="VU14" i="9"/>
  <c r="VV14" i="9"/>
  <c r="VW14" i="9"/>
  <c r="VX14" i="9"/>
  <c r="VY14" i="9"/>
  <c r="VZ14" i="9"/>
  <c r="WA14" i="9"/>
  <c r="WB14" i="9"/>
  <c r="WC14" i="9"/>
  <c r="WD14" i="9"/>
  <c r="WE14" i="9"/>
  <c r="WF14" i="9"/>
  <c r="WG14" i="9"/>
  <c r="WH14" i="9"/>
  <c r="WI14" i="9"/>
  <c r="WJ14" i="9"/>
  <c r="WK14" i="9"/>
  <c r="WL14" i="9"/>
  <c r="WM14" i="9"/>
  <c r="WN14" i="9"/>
  <c r="WO14" i="9"/>
  <c r="WP14" i="9"/>
  <c r="WQ14" i="9"/>
  <c r="WR14" i="9"/>
  <c r="WS14" i="9"/>
  <c r="TJ14" i="9"/>
  <c r="TK14" i="9"/>
  <c r="TL14" i="9"/>
  <c r="TM14" i="9"/>
  <c r="TN14" i="9"/>
  <c r="TO14" i="9"/>
  <c r="TP14" i="9"/>
  <c r="TQ14" i="9"/>
  <c r="TR14" i="9"/>
  <c r="TS14" i="9"/>
  <c r="TT14" i="9"/>
  <c r="TU14" i="9"/>
  <c r="TV14" i="9"/>
  <c r="TW14" i="9"/>
  <c r="TX14" i="9"/>
  <c r="TY14" i="9"/>
  <c r="TZ14" i="9"/>
  <c r="UA14" i="9"/>
  <c r="UB14" i="9"/>
  <c r="UC14" i="9"/>
  <c r="UD14" i="9"/>
  <c r="UE14" i="9"/>
  <c r="UF14" i="9"/>
  <c r="UG14" i="9"/>
  <c r="UH14" i="9"/>
  <c r="UI14" i="9"/>
  <c r="UJ14" i="9"/>
  <c r="UK14" i="9"/>
  <c r="UL14" i="9"/>
  <c r="UM14" i="9"/>
  <c r="UN14" i="9"/>
  <c r="UO14" i="9"/>
  <c r="UP14" i="9"/>
  <c r="UQ14" i="9"/>
  <c r="UR14" i="9"/>
  <c r="US14" i="9"/>
  <c r="UT14" i="9"/>
  <c r="UU14" i="9"/>
  <c r="UV14" i="9"/>
  <c r="UW14" i="9"/>
  <c r="UX14" i="9"/>
  <c r="UY14" i="9"/>
  <c r="UZ14" i="9"/>
  <c r="VA14" i="9"/>
  <c r="RR14" i="9"/>
  <c r="RS14" i="9"/>
  <c r="RT14" i="9"/>
  <c r="RU14" i="9"/>
  <c r="RV14" i="9"/>
  <c r="RW14" i="9"/>
  <c r="RX14" i="9"/>
  <c r="RY14" i="9"/>
  <c r="RZ14" i="9"/>
  <c r="SA14" i="9"/>
  <c r="SB14" i="9"/>
  <c r="SC14" i="9"/>
  <c r="SD14" i="9"/>
  <c r="SE14" i="9"/>
  <c r="SF14" i="9"/>
  <c r="SG14" i="9"/>
  <c r="SH14" i="9"/>
  <c r="SI14" i="9"/>
  <c r="SJ14" i="9"/>
  <c r="SK14" i="9"/>
  <c r="SL14" i="9"/>
  <c r="SM14" i="9"/>
  <c r="SN14" i="9"/>
  <c r="SO14" i="9"/>
  <c r="SP14" i="9"/>
  <c r="SQ14" i="9"/>
  <c r="SR14" i="9"/>
  <c r="SS14" i="9"/>
  <c r="ST14" i="9"/>
  <c r="SU14" i="9"/>
  <c r="SV14" i="9"/>
  <c r="SW14" i="9"/>
  <c r="SX14" i="9"/>
  <c r="SY14" i="9"/>
  <c r="SZ14" i="9"/>
  <c r="TA14" i="9"/>
  <c r="TB14" i="9"/>
  <c r="TC14" i="9"/>
  <c r="TD14" i="9"/>
  <c r="TE14" i="9"/>
  <c r="TF14" i="9"/>
  <c r="TG14" i="9"/>
  <c r="TH14" i="9"/>
  <c r="TI14" i="9"/>
  <c r="PZ14" i="9"/>
  <c r="QA14" i="9"/>
  <c r="QB14" i="9"/>
  <c r="QC14" i="9"/>
  <c r="QD14" i="9"/>
  <c r="QE14" i="9"/>
  <c r="QF14" i="9"/>
  <c r="QG14" i="9"/>
  <c r="QH14" i="9"/>
  <c r="QI14" i="9"/>
  <c r="QJ14" i="9"/>
  <c r="QK14" i="9"/>
  <c r="QL14" i="9"/>
  <c r="QM14" i="9"/>
  <c r="QN14" i="9"/>
  <c r="QO14" i="9"/>
  <c r="QP14" i="9"/>
  <c r="QQ14" i="9"/>
  <c r="QR14" i="9"/>
  <c r="QS14" i="9"/>
  <c r="QT14" i="9"/>
  <c r="QU14" i="9"/>
  <c r="QV14" i="9"/>
  <c r="QW14" i="9"/>
  <c r="QX14" i="9"/>
  <c r="QY14" i="9"/>
  <c r="QZ14" i="9"/>
  <c r="RA14" i="9"/>
  <c r="RB14" i="9"/>
  <c r="RC14" i="9"/>
  <c r="RD14" i="9"/>
  <c r="RE14" i="9"/>
  <c r="RF14" i="9"/>
  <c r="RG14" i="9"/>
  <c r="RH14" i="9"/>
  <c r="RI14" i="9"/>
  <c r="RJ14" i="9"/>
  <c r="RK14" i="9"/>
  <c r="RL14" i="9"/>
  <c r="RM14" i="9"/>
  <c r="RN14" i="9"/>
  <c r="RO14" i="9"/>
  <c r="RP14" i="9"/>
  <c r="RQ14" i="9"/>
  <c r="OH14" i="9"/>
  <c r="OI14" i="9"/>
  <c r="OJ14" i="9"/>
  <c r="OK14" i="9"/>
  <c r="OL14" i="9"/>
  <c r="OM14" i="9"/>
  <c r="ON14" i="9"/>
  <c r="OO14" i="9"/>
  <c r="OP14" i="9"/>
  <c r="OQ14" i="9"/>
  <c r="OR14" i="9"/>
  <c r="OS14" i="9"/>
  <c r="OT14" i="9"/>
  <c r="OU14" i="9"/>
  <c r="OV14" i="9"/>
  <c r="OW14" i="9"/>
  <c r="OX14" i="9"/>
  <c r="OY14" i="9"/>
  <c r="OZ14" i="9"/>
  <c r="PA14" i="9"/>
  <c r="PB14" i="9"/>
  <c r="PC14" i="9"/>
  <c r="PD14" i="9"/>
  <c r="PE14" i="9"/>
  <c r="PF14" i="9"/>
  <c r="PG14" i="9"/>
  <c r="PH14" i="9"/>
  <c r="PI14" i="9"/>
  <c r="PJ14" i="9"/>
  <c r="PK14" i="9"/>
  <c r="PL14" i="9"/>
  <c r="PM14" i="9"/>
  <c r="PN14" i="9"/>
  <c r="PO14" i="9"/>
  <c r="PP14" i="9"/>
  <c r="PQ14" i="9"/>
  <c r="PR14" i="9"/>
  <c r="PS14" i="9"/>
  <c r="PT14" i="9"/>
  <c r="PU14" i="9"/>
  <c r="PV14" i="9"/>
  <c r="PW14" i="9"/>
  <c r="PX14" i="9"/>
  <c r="PY14" i="9"/>
  <c r="MP14" i="9"/>
  <c r="MQ14" i="9"/>
  <c r="MR14" i="9"/>
  <c r="MS14" i="9"/>
  <c r="MT14" i="9"/>
  <c r="MU14" i="9"/>
  <c r="MV14" i="9"/>
  <c r="MW14" i="9"/>
  <c r="MX14" i="9"/>
  <c r="MY14" i="9"/>
  <c r="MZ14" i="9"/>
  <c r="NA14" i="9"/>
  <c r="NB14" i="9"/>
  <c r="NC14" i="9"/>
  <c r="ND14" i="9"/>
  <c r="NE14" i="9"/>
  <c r="NF14" i="9"/>
  <c r="NG14" i="9"/>
  <c r="NH14" i="9"/>
  <c r="NI14" i="9"/>
  <c r="NJ14" i="9"/>
  <c r="NK14" i="9"/>
  <c r="NL14" i="9"/>
  <c r="NM14" i="9"/>
  <c r="NN14" i="9"/>
  <c r="NO14" i="9"/>
  <c r="NP14" i="9"/>
  <c r="NQ14" i="9"/>
  <c r="NR14" i="9"/>
  <c r="NS14" i="9"/>
  <c r="NT14" i="9"/>
  <c r="NU14" i="9"/>
  <c r="NV14" i="9"/>
  <c r="NW14" i="9"/>
  <c r="NX14" i="9"/>
  <c r="NY14" i="9"/>
  <c r="NZ14" i="9"/>
  <c r="OA14" i="9"/>
  <c r="OB14" i="9"/>
  <c r="OC14" i="9"/>
  <c r="OD14" i="9"/>
  <c r="OE14" i="9"/>
  <c r="OF14" i="9"/>
  <c r="OG14" i="9"/>
  <c r="KX14" i="9"/>
  <c r="KY14" i="9"/>
  <c r="KZ14" i="9"/>
  <c r="LA14" i="9"/>
  <c r="LB14" i="9"/>
  <c r="LC14" i="9"/>
  <c r="LD14" i="9"/>
  <c r="LE14" i="9"/>
  <c r="LF14" i="9"/>
  <c r="LG14" i="9"/>
  <c r="LH14" i="9"/>
  <c r="LI14" i="9"/>
  <c r="LJ14" i="9"/>
  <c r="LK14" i="9"/>
  <c r="LL14" i="9"/>
  <c r="LM14" i="9"/>
  <c r="LN14" i="9"/>
  <c r="LO14" i="9"/>
  <c r="LP14" i="9"/>
  <c r="LQ14" i="9"/>
  <c r="LR14" i="9"/>
  <c r="LS14" i="9"/>
  <c r="LT14" i="9"/>
  <c r="LU14" i="9"/>
  <c r="LV14" i="9"/>
  <c r="LW14" i="9"/>
  <c r="LX14" i="9"/>
  <c r="LY14" i="9"/>
  <c r="LZ14" i="9"/>
  <c r="MA14" i="9"/>
  <c r="MB14" i="9"/>
  <c r="MC14" i="9"/>
  <c r="MD14" i="9"/>
  <c r="ME14" i="9"/>
  <c r="MF14" i="9"/>
  <c r="MG14" i="9"/>
  <c r="MH14" i="9"/>
  <c r="MI14" i="9"/>
  <c r="MJ14" i="9"/>
  <c r="MK14" i="9"/>
  <c r="ML14" i="9"/>
  <c r="MM14" i="9"/>
  <c r="MN14" i="9"/>
  <c r="MO14" i="9"/>
  <c r="JF14" i="9"/>
  <c r="JG14" i="9"/>
  <c r="JH14" i="9"/>
  <c r="JI14" i="9"/>
  <c r="JJ14" i="9"/>
  <c r="JK14" i="9"/>
  <c r="JL14" i="9"/>
  <c r="JM14" i="9"/>
  <c r="JN14" i="9"/>
  <c r="JO14" i="9"/>
  <c r="JP14" i="9"/>
  <c r="JQ14" i="9"/>
  <c r="JR14" i="9"/>
  <c r="JS14" i="9"/>
  <c r="JT14" i="9"/>
  <c r="JU14" i="9"/>
  <c r="JV14" i="9"/>
  <c r="JW14" i="9"/>
  <c r="JX14" i="9"/>
  <c r="JY14" i="9"/>
  <c r="JZ14" i="9"/>
  <c r="KA14" i="9"/>
  <c r="KB14" i="9"/>
  <c r="KC14" i="9"/>
  <c r="KD14" i="9"/>
  <c r="KE14" i="9"/>
  <c r="KF14" i="9"/>
  <c r="KG14" i="9"/>
  <c r="KH14" i="9"/>
  <c r="KI14" i="9"/>
  <c r="KJ14" i="9"/>
  <c r="KK14" i="9"/>
  <c r="KL14" i="9"/>
  <c r="KM14" i="9"/>
  <c r="KN14" i="9"/>
  <c r="KO14" i="9"/>
  <c r="KP14" i="9"/>
  <c r="KQ14" i="9"/>
  <c r="KR14" i="9"/>
  <c r="KS14" i="9"/>
  <c r="KT14" i="9"/>
  <c r="KU14" i="9"/>
  <c r="KV14" i="9"/>
  <c r="KW14" i="9"/>
  <c r="HN14" i="9"/>
  <c r="HO14" i="9"/>
  <c r="HP14" i="9"/>
  <c r="HQ14" i="9"/>
  <c r="HR14" i="9"/>
  <c r="HS14" i="9"/>
  <c r="HT14" i="9"/>
  <c r="HU14" i="9"/>
  <c r="HV14" i="9"/>
  <c r="HW14" i="9"/>
  <c r="HX14" i="9"/>
  <c r="HY14" i="9"/>
  <c r="HZ14" i="9"/>
  <c r="IA14" i="9"/>
  <c r="IB14" i="9"/>
  <c r="IC14" i="9"/>
  <c r="ID14" i="9"/>
  <c r="IE14" i="9"/>
  <c r="IF14" i="9"/>
  <c r="IG14" i="9"/>
  <c r="IH14" i="9"/>
  <c r="II14" i="9"/>
  <c r="IJ14" i="9"/>
  <c r="IK14" i="9"/>
  <c r="IL14" i="9"/>
  <c r="IM14" i="9"/>
  <c r="IN14" i="9"/>
  <c r="IO14" i="9"/>
  <c r="IP14" i="9"/>
  <c r="IQ14" i="9"/>
  <c r="IR14" i="9"/>
  <c r="IS14" i="9"/>
  <c r="IT14" i="9"/>
  <c r="IU14" i="9"/>
  <c r="IV14" i="9"/>
  <c r="IW14" i="9"/>
  <c r="IX14" i="9"/>
  <c r="IY14" i="9"/>
  <c r="IZ14" i="9"/>
  <c r="JA14" i="9"/>
  <c r="JB14" i="9"/>
  <c r="JC14" i="9"/>
  <c r="JD14" i="9"/>
  <c r="JE14" i="9"/>
  <c r="FV14" i="9"/>
  <c r="FW14" i="9"/>
  <c r="FX14" i="9"/>
  <c r="FY14" i="9"/>
  <c r="FZ14" i="9"/>
  <c r="GA14" i="9"/>
  <c r="GB14" i="9"/>
  <c r="GC14" i="9"/>
  <c r="GD14" i="9"/>
  <c r="GE14" i="9"/>
  <c r="GF14" i="9"/>
  <c r="GG14" i="9"/>
  <c r="GH14" i="9"/>
  <c r="GI14" i="9"/>
  <c r="GJ14" i="9"/>
  <c r="GK14" i="9"/>
  <c r="GL14" i="9"/>
  <c r="GM14" i="9"/>
  <c r="GN14" i="9"/>
  <c r="GO14" i="9"/>
  <c r="GP14" i="9"/>
  <c r="GQ14" i="9"/>
  <c r="GR14" i="9"/>
  <c r="GS14" i="9"/>
  <c r="GT14" i="9"/>
  <c r="GU14" i="9"/>
  <c r="GV14" i="9"/>
  <c r="GW14" i="9"/>
  <c r="GX14" i="9"/>
  <c r="GY14" i="9"/>
  <c r="GZ14" i="9"/>
  <c r="HA14" i="9"/>
  <c r="HB14" i="9"/>
  <c r="HC14" i="9"/>
  <c r="HD14" i="9"/>
  <c r="HE14" i="9"/>
  <c r="HF14" i="9"/>
  <c r="HG14" i="9"/>
  <c r="HH14" i="9"/>
  <c r="HI14" i="9"/>
  <c r="HJ14" i="9"/>
  <c r="HK14" i="9"/>
  <c r="HL14" i="9"/>
  <c r="HM14" i="9"/>
  <c r="ED14" i="9"/>
  <c r="EE14" i="9"/>
  <c r="EF14" i="9"/>
  <c r="EG14" i="9"/>
  <c r="EH14" i="9"/>
  <c r="EI14" i="9"/>
  <c r="EJ14" i="9"/>
  <c r="EK14" i="9"/>
  <c r="EL14" i="9"/>
  <c r="EM14" i="9"/>
  <c r="EN14" i="9"/>
  <c r="EO14" i="9"/>
  <c r="EP14" i="9"/>
  <c r="EQ14" i="9"/>
  <c r="ER14" i="9"/>
  <c r="ES14" i="9"/>
  <c r="ET14" i="9"/>
  <c r="EU14" i="9"/>
  <c r="EV14" i="9"/>
  <c r="EW14" i="9"/>
  <c r="EX14" i="9"/>
  <c r="EY14" i="9"/>
  <c r="EZ14" i="9"/>
  <c r="FA14" i="9"/>
  <c r="FB14" i="9"/>
  <c r="FC14" i="9"/>
  <c r="FD14" i="9"/>
  <c r="FE14" i="9"/>
  <c r="FF14" i="9"/>
  <c r="FG14" i="9"/>
  <c r="FH14" i="9"/>
  <c r="FI14" i="9"/>
  <c r="FJ14" i="9"/>
  <c r="FK14" i="9"/>
  <c r="FL14" i="9"/>
  <c r="FM14" i="9"/>
  <c r="FN14" i="9"/>
  <c r="FO14" i="9"/>
  <c r="FP14" i="9"/>
  <c r="FQ14" i="9"/>
  <c r="FR14" i="9"/>
  <c r="FS14" i="9"/>
  <c r="FT14" i="9"/>
  <c r="FU14" i="9"/>
  <c r="CL14" i="9"/>
  <c r="CM14" i="9"/>
  <c r="CN14" i="9"/>
  <c r="CO14" i="9"/>
  <c r="CP14" i="9"/>
  <c r="CQ14" i="9"/>
  <c r="CR14" i="9"/>
  <c r="CS14" i="9"/>
  <c r="CT14" i="9"/>
  <c r="CU14" i="9"/>
  <c r="CV14" i="9"/>
  <c r="CW14" i="9"/>
  <c r="CX14" i="9"/>
  <c r="CY14" i="9"/>
  <c r="CZ14" i="9"/>
  <c r="DA14" i="9"/>
  <c r="DB14" i="9"/>
  <c r="DC14" i="9"/>
  <c r="DD14" i="9"/>
  <c r="DE14" i="9"/>
  <c r="DF14" i="9"/>
  <c r="DG14" i="9"/>
  <c r="DH14" i="9"/>
  <c r="DI14" i="9"/>
  <c r="DJ14" i="9"/>
  <c r="DK14" i="9"/>
  <c r="DL14" i="9"/>
  <c r="DM14" i="9"/>
  <c r="DN14" i="9"/>
  <c r="DO14" i="9"/>
  <c r="DP14" i="9"/>
  <c r="DQ14" i="9"/>
  <c r="DR14" i="9"/>
  <c r="DS14" i="9"/>
  <c r="DT14" i="9"/>
  <c r="DU14" i="9"/>
  <c r="DV14" i="9"/>
  <c r="DW14" i="9"/>
  <c r="DX14" i="9"/>
  <c r="DY14" i="9"/>
  <c r="DZ14" i="9"/>
  <c r="EA14" i="9"/>
  <c r="EB14" i="9"/>
  <c r="EC14" i="9"/>
  <c r="AT14" i="9"/>
  <c r="AU14" i="9"/>
  <c r="AV14" i="9"/>
  <c r="AW14" i="9"/>
  <c r="AX14" i="9"/>
  <c r="AY14" i="9"/>
  <c r="AZ14" i="9"/>
  <c r="BA14" i="9"/>
  <c r="BB14" i="9"/>
  <c r="BC14" i="9"/>
  <c r="BD14" i="9"/>
  <c r="BE14" i="9"/>
  <c r="BF14" i="9"/>
  <c r="BG14" i="9"/>
  <c r="BH14" i="9"/>
  <c r="BI14" i="9"/>
  <c r="BJ14" i="9"/>
  <c r="BK14" i="9"/>
  <c r="BL14" i="9"/>
  <c r="BM14" i="9"/>
  <c r="BN14" i="9"/>
  <c r="BO14" i="9"/>
  <c r="BP14" i="9"/>
  <c r="BQ14" i="9"/>
  <c r="BR14" i="9"/>
  <c r="BS14" i="9"/>
  <c r="BT14" i="9"/>
  <c r="BU14" i="9"/>
  <c r="BV14" i="9"/>
  <c r="BW14" i="9"/>
  <c r="BX14" i="9"/>
  <c r="BY14" i="9"/>
  <c r="BZ14" i="9"/>
  <c r="CA14" i="9"/>
  <c r="CB14" i="9"/>
  <c r="CC14" i="9"/>
  <c r="CD14" i="9"/>
  <c r="CE14" i="9"/>
  <c r="CF14" i="9"/>
  <c r="CG14" i="9"/>
  <c r="CH14" i="9"/>
  <c r="CI14" i="9"/>
  <c r="CJ14" i="9"/>
  <c r="CK14" i="9"/>
  <c r="B14" i="9"/>
  <c r="C14" i="9"/>
  <c r="D14" i="9"/>
  <c r="E14" i="9"/>
  <c r="F14" i="9"/>
  <c r="G14" i="9"/>
  <c r="H14" i="9"/>
  <c r="I14" i="9"/>
  <c r="J14" i="9"/>
  <c r="K14" i="9"/>
  <c r="L14" i="9"/>
  <c r="M14" i="9"/>
  <c r="N14" i="9"/>
  <c r="O14" i="9"/>
  <c r="P14" i="9"/>
  <c r="Q14" i="9"/>
  <c r="R14" i="9"/>
  <c r="S14" i="9"/>
  <c r="T14" i="9"/>
  <c r="U14" i="9"/>
  <c r="V14" i="9"/>
  <c r="W14" i="9"/>
  <c r="X14" i="9"/>
  <c r="Y14" i="9"/>
  <c r="Z14" i="9"/>
  <c r="AA14" i="9"/>
  <c r="AB14" i="9"/>
  <c r="AC14" i="9"/>
  <c r="AD14" i="9"/>
  <c r="AE14" i="9"/>
  <c r="AF14" i="9"/>
  <c r="AG14" i="9"/>
  <c r="AH14" i="9"/>
  <c r="AI14" i="9"/>
  <c r="AJ14" i="9"/>
  <c r="AK14" i="9"/>
  <c r="AL14" i="9"/>
  <c r="AM14" i="9"/>
  <c r="AN14" i="9"/>
  <c r="AO14" i="9"/>
  <c r="AP14" i="9"/>
  <c r="AQ14" i="9"/>
  <c r="AR14" i="9"/>
  <c r="AS14" i="9"/>
  <c r="WT13" i="9"/>
  <c r="WU13" i="9"/>
  <c r="WV13" i="9"/>
  <c r="WW13" i="9"/>
  <c r="WX13" i="9"/>
  <c r="WY13" i="9"/>
  <c r="WZ13" i="9"/>
  <c r="XA13" i="9"/>
  <c r="XB13" i="9"/>
  <c r="XC13" i="9"/>
  <c r="XD13" i="9"/>
  <c r="XE13" i="9"/>
  <c r="XF13" i="9"/>
  <c r="XG13" i="9"/>
  <c r="XH13" i="9"/>
  <c r="XI13" i="9"/>
  <c r="XJ13" i="9"/>
  <c r="XK13" i="9"/>
  <c r="XL13" i="9"/>
  <c r="XM13" i="9"/>
  <c r="XN13" i="9"/>
  <c r="XO13" i="9"/>
  <c r="XP13" i="9"/>
  <c r="XQ13" i="9"/>
  <c r="XR13" i="9"/>
  <c r="XS13" i="9"/>
  <c r="XT13" i="9"/>
  <c r="XU13" i="9"/>
  <c r="XV13" i="9"/>
  <c r="XW13" i="9"/>
  <c r="XX13" i="9"/>
  <c r="XY13" i="9"/>
  <c r="XZ13" i="9"/>
  <c r="YA13" i="9"/>
  <c r="YB13" i="9"/>
  <c r="YC13" i="9"/>
  <c r="YD13" i="9"/>
  <c r="YE13" i="9"/>
  <c r="YF13" i="9"/>
  <c r="YG13" i="9"/>
  <c r="YH13" i="9"/>
  <c r="YI13" i="9"/>
  <c r="YJ13" i="9"/>
  <c r="YK13" i="9"/>
  <c r="VB13" i="9"/>
  <c r="VC13" i="9"/>
  <c r="VD13" i="9"/>
  <c r="VE13" i="9"/>
  <c r="VF13" i="9"/>
  <c r="VG13" i="9"/>
  <c r="VH13" i="9"/>
  <c r="VI13" i="9"/>
  <c r="VJ13" i="9"/>
  <c r="VK13" i="9"/>
  <c r="VL13" i="9"/>
  <c r="VM13" i="9"/>
  <c r="VN13" i="9"/>
  <c r="VO13" i="9"/>
  <c r="VP13" i="9"/>
  <c r="VQ13" i="9"/>
  <c r="VR13" i="9"/>
  <c r="VS13" i="9"/>
  <c r="VT13" i="9"/>
  <c r="VU13" i="9"/>
  <c r="VV13" i="9"/>
  <c r="VW13" i="9"/>
  <c r="VX13" i="9"/>
  <c r="VY13" i="9"/>
  <c r="VZ13" i="9"/>
  <c r="WA13" i="9"/>
  <c r="WB13" i="9"/>
  <c r="WC13" i="9"/>
  <c r="WD13" i="9"/>
  <c r="WE13" i="9"/>
  <c r="WF13" i="9"/>
  <c r="WG13" i="9"/>
  <c r="WH13" i="9"/>
  <c r="WI13" i="9"/>
  <c r="WJ13" i="9"/>
  <c r="WK13" i="9"/>
  <c r="WL13" i="9"/>
  <c r="WM13" i="9"/>
  <c r="WN13" i="9"/>
  <c r="WO13" i="9"/>
  <c r="WP13" i="9"/>
  <c r="WQ13" i="9"/>
  <c r="WR13" i="9"/>
  <c r="WS13" i="9"/>
  <c r="TJ13" i="9"/>
  <c r="TK13" i="9"/>
  <c r="TL13" i="9"/>
  <c r="TM13" i="9"/>
  <c r="TN13" i="9"/>
  <c r="TO13" i="9"/>
  <c r="TP13" i="9"/>
  <c r="TQ13" i="9"/>
  <c r="TR13" i="9"/>
  <c r="TS13" i="9"/>
  <c r="TT13" i="9"/>
  <c r="TU13" i="9"/>
  <c r="TV13" i="9"/>
  <c r="TW13" i="9"/>
  <c r="TX13" i="9"/>
  <c r="TY13" i="9"/>
  <c r="TZ13" i="9"/>
  <c r="UA13" i="9"/>
  <c r="UB13" i="9"/>
  <c r="UC13" i="9"/>
  <c r="UD13" i="9"/>
  <c r="UE13" i="9"/>
  <c r="UF13" i="9"/>
  <c r="UG13" i="9"/>
  <c r="UH13" i="9"/>
  <c r="UI13" i="9"/>
  <c r="UJ13" i="9"/>
  <c r="UK13" i="9"/>
  <c r="UL13" i="9"/>
  <c r="UM13" i="9"/>
  <c r="UN13" i="9"/>
  <c r="UO13" i="9"/>
  <c r="UP13" i="9"/>
  <c r="UQ13" i="9"/>
  <c r="UR13" i="9"/>
  <c r="US13" i="9"/>
  <c r="UT13" i="9"/>
  <c r="UU13" i="9"/>
  <c r="UV13" i="9"/>
  <c r="UW13" i="9"/>
  <c r="UX13" i="9"/>
  <c r="UY13" i="9"/>
  <c r="UZ13" i="9"/>
  <c r="VA13" i="9"/>
  <c r="RR13" i="9"/>
  <c r="RS13" i="9"/>
  <c r="RT13" i="9"/>
  <c r="RU13" i="9"/>
  <c r="RV13" i="9"/>
  <c r="RW13" i="9"/>
  <c r="RX13" i="9"/>
  <c r="RY13" i="9"/>
  <c r="RZ13" i="9"/>
  <c r="SA13" i="9"/>
  <c r="SB13" i="9"/>
  <c r="SC13" i="9"/>
  <c r="SD13" i="9"/>
  <c r="SE13" i="9"/>
  <c r="SF13" i="9"/>
  <c r="SG13" i="9"/>
  <c r="SH13" i="9"/>
  <c r="SI13" i="9"/>
  <c r="SJ13" i="9"/>
  <c r="SK13" i="9"/>
  <c r="SL13" i="9"/>
  <c r="SM13" i="9"/>
  <c r="SN13" i="9"/>
  <c r="SO13" i="9"/>
  <c r="SP13" i="9"/>
  <c r="SQ13" i="9"/>
  <c r="SR13" i="9"/>
  <c r="SS13" i="9"/>
  <c r="ST13" i="9"/>
  <c r="SU13" i="9"/>
  <c r="SV13" i="9"/>
  <c r="SW13" i="9"/>
  <c r="SX13" i="9"/>
  <c r="SY13" i="9"/>
  <c r="SZ13" i="9"/>
  <c r="TA13" i="9"/>
  <c r="TB13" i="9"/>
  <c r="TC13" i="9"/>
  <c r="TD13" i="9"/>
  <c r="TE13" i="9"/>
  <c r="TF13" i="9"/>
  <c r="TG13" i="9"/>
  <c r="TH13" i="9"/>
  <c r="TI13" i="9"/>
  <c r="PZ13" i="9"/>
  <c r="QA13" i="9"/>
  <c r="QB13" i="9"/>
  <c r="QC13" i="9"/>
  <c r="QD13" i="9"/>
  <c r="QE13" i="9"/>
  <c r="QF13" i="9"/>
  <c r="QG13" i="9"/>
  <c r="QH13" i="9"/>
  <c r="QI13" i="9"/>
  <c r="QJ13" i="9"/>
  <c r="QK13" i="9"/>
  <c r="QL13" i="9"/>
  <c r="QM13" i="9"/>
  <c r="QN13" i="9"/>
  <c r="QO13" i="9"/>
  <c r="QP13" i="9"/>
  <c r="QQ13" i="9"/>
  <c r="QR13" i="9"/>
  <c r="QS13" i="9"/>
  <c r="QT13" i="9"/>
  <c r="QU13" i="9"/>
  <c r="QV13" i="9"/>
  <c r="QW13" i="9"/>
  <c r="QX13" i="9"/>
  <c r="QY13" i="9"/>
  <c r="QZ13" i="9"/>
  <c r="RA13" i="9"/>
  <c r="RB13" i="9"/>
  <c r="RC13" i="9"/>
  <c r="RD13" i="9"/>
  <c r="RE13" i="9"/>
  <c r="RF13" i="9"/>
  <c r="RG13" i="9"/>
  <c r="RH13" i="9"/>
  <c r="RI13" i="9"/>
  <c r="RJ13" i="9"/>
  <c r="RK13" i="9"/>
  <c r="RL13" i="9"/>
  <c r="RM13" i="9"/>
  <c r="RN13" i="9"/>
  <c r="RO13" i="9"/>
  <c r="RP13" i="9"/>
  <c r="RQ13" i="9"/>
  <c r="OH13" i="9"/>
  <c r="OI13" i="9"/>
  <c r="OJ13" i="9"/>
  <c r="OK13" i="9"/>
  <c r="OL13" i="9"/>
  <c r="OM13" i="9"/>
  <c r="ON13" i="9"/>
  <c r="OO13" i="9"/>
  <c r="OP13" i="9"/>
  <c r="OQ13" i="9"/>
  <c r="OR13" i="9"/>
  <c r="OS13" i="9"/>
  <c r="OT13" i="9"/>
  <c r="OU13" i="9"/>
  <c r="OV13" i="9"/>
  <c r="OW13" i="9"/>
  <c r="OX13" i="9"/>
  <c r="OY13" i="9"/>
  <c r="OZ13" i="9"/>
  <c r="PA13" i="9"/>
  <c r="PB13" i="9"/>
  <c r="PC13" i="9"/>
  <c r="PD13" i="9"/>
  <c r="PE13" i="9"/>
  <c r="PF13" i="9"/>
  <c r="PG13" i="9"/>
  <c r="PH13" i="9"/>
  <c r="PI13" i="9"/>
  <c r="PJ13" i="9"/>
  <c r="PK13" i="9"/>
  <c r="PL13" i="9"/>
  <c r="PM13" i="9"/>
  <c r="PN13" i="9"/>
  <c r="PO13" i="9"/>
  <c r="PP13" i="9"/>
  <c r="PQ13" i="9"/>
  <c r="PR13" i="9"/>
  <c r="PS13" i="9"/>
  <c r="PT13" i="9"/>
  <c r="PU13" i="9"/>
  <c r="PV13" i="9"/>
  <c r="PW13" i="9"/>
  <c r="PX13" i="9"/>
  <c r="PY13" i="9"/>
  <c r="MP13" i="9"/>
  <c r="MQ13" i="9"/>
  <c r="MR13" i="9"/>
  <c r="MS13" i="9"/>
  <c r="MT13" i="9"/>
  <c r="MU13" i="9"/>
  <c r="MV13" i="9"/>
  <c r="MW13" i="9"/>
  <c r="MX13" i="9"/>
  <c r="MY13" i="9"/>
  <c r="MZ13" i="9"/>
  <c r="NA13" i="9"/>
  <c r="NB13" i="9"/>
  <c r="NC13" i="9"/>
  <c r="ND13" i="9"/>
  <c r="NE13" i="9"/>
  <c r="NF13" i="9"/>
  <c r="NG13" i="9"/>
  <c r="NH13" i="9"/>
  <c r="NI13" i="9"/>
  <c r="NJ13" i="9"/>
  <c r="NK13" i="9"/>
  <c r="NL13" i="9"/>
  <c r="NM13" i="9"/>
  <c r="NN13" i="9"/>
  <c r="NO13" i="9"/>
  <c r="NP13" i="9"/>
  <c r="NQ13" i="9"/>
  <c r="NR13" i="9"/>
  <c r="NS13" i="9"/>
  <c r="NT13" i="9"/>
  <c r="NU13" i="9"/>
  <c r="NV13" i="9"/>
  <c r="NW13" i="9"/>
  <c r="NX13" i="9"/>
  <c r="NY13" i="9"/>
  <c r="NZ13" i="9"/>
  <c r="OA13" i="9"/>
  <c r="OB13" i="9"/>
  <c r="OC13" i="9"/>
  <c r="OD13" i="9"/>
  <c r="OE13" i="9"/>
  <c r="OF13" i="9"/>
  <c r="OG13" i="9"/>
  <c r="KX13" i="9"/>
  <c r="KY13" i="9"/>
  <c r="KZ13" i="9"/>
  <c r="LA13" i="9"/>
  <c r="LB13" i="9"/>
  <c r="LC13" i="9"/>
  <c r="LD13" i="9"/>
  <c r="LE13" i="9"/>
  <c r="LF13" i="9"/>
  <c r="LG13" i="9"/>
  <c r="LH13" i="9"/>
  <c r="LI13" i="9"/>
  <c r="LJ13" i="9"/>
  <c r="LK13" i="9"/>
  <c r="LL13" i="9"/>
  <c r="LM13" i="9"/>
  <c r="LN13" i="9"/>
  <c r="LO13" i="9"/>
  <c r="LP13" i="9"/>
  <c r="LQ13" i="9"/>
  <c r="LR13" i="9"/>
  <c r="LS13" i="9"/>
  <c r="LT13" i="9"/>
  <c r="LU13" i="9"/>
  <c r="LV13" i="9"/>
  <c r="LW13" i="9"/>
  <c r="LX13" i="9"/>
  <c r="LY13" i="9"/>
  <c r="LZ13" i="9"/>
  <c r="MA13" i="9"/>
  <c r="MB13" i="9"/>
  <c r="MC13" i="9"/>
  <c r="MD13" i="9"/>
  <c r="ME13" i="9"/>
  <c r="MF13" i="9"/>
  <c r="MG13" i="9"/>
  <c r="MH13" i="9"/>
  <c r="MI13" i="9"/>
  <c r="MJ13" i="9"/>
  <c r="MK13" i="9"/>
  <c r="ML13" i="9"/>
  <c r="MM13" i="9"/>
  <c r="MN13" i="9"/>
  <c r="MO13" i="9"/>
  <c r="JF13" i="9"/>
  <c r="JG13" i="9"/>
  <c r="JH13" i="9"/>
  <c r="JI13" i="9"/>
  <c r="JJ13" i="9"/>
  <c r="JK13" i="9"/>
  <c r="JL13" i="9"/>
  <c r="JM13" i="9"/>
  <c r="JN13" i="9"/>
  <c r="JO13" i="9"/>
  <c r="JP13" i="9"/>
  <c r="JQ13" i="9"/>
  <c r="JR13" i="9"/>
  <c r="JS13" i="9"/>
  <c r="JT13" i="9"/>
  <c r="JU13" i="9"/>
  <c r="JV13" i="9"/>
  <c r="JW13" i="9"/>
  <c r="JX13" i="9"/>
  <c r="JY13" i="9"/>
  <c r="JZ13" i="9"/>
  <c r="KA13" i="9"/>
  <c r="KB13" i="9"/>
  <c r="KC13" i="9"/>
  <c r="KD13" i="9"/>
  <c r="KE13" i="9"/>
  <c r="KF13" i="9"/>
  <c r="KG13" i="9"/>
  <c r="KH13" i="9"/>
  <c r="KI13" i="9"/>
  <c r="KJ13" i="9"/>
  <c r="KK13" i="9"/>
  <c r="KL13" i="9"/>
  <c r="KM13" i="9"/>
  <c r="KN13" i="9"/>
  <c r="KO13" i="9"/>
  <c r="KP13" i="9"/>
  <c r="KQ13" i="9"/>
  <c r="KR13" i="9"/>
  <c r="KS13" i="9"/>
  <c r="KT13" i="9"/>
  <c r="KU13" i="9"/>
  <c r="KV13" i="9"/>
  <c r="KW13" i="9"/>
  <c r="HN13" i="9"/>
  <c r="HO13" i="9"/>
  <c r="HP13" i="9"/>
  <c r="HQ13" i="9"/>
  <c r="HR13" i="9"/>
  <c r="HS13" i="9"/>
  <c r="HT13" i="9"/>
  <c r="HU13" i="9"/>
  <c r="HV13" i="9"/>
  <c r="HW13" i="9"/>
  <c r="HX13" i="9"/>
  <c r="HY13" i="9"/>
  <c r="HZ13" i="9"/>
  <c r="IA13" i="9"/>
  <c r="IB13" i="9"/>
  <c r="IC13" i="9"/>
  <c r="ID13" i="9"/>
  <c r="IE13" i="9"/>
  <c r="IF13" i="9"/>
  <c r="IG13" i="9"/>
  <c r="IH13" i="9"/>
  <c r="II13" i="9"/>
  <c r="IJ13" i="9"/>
  <c r="IK13" i="9"/>
  <c r="IL13" i="9"/>
  <c r="IM13" i="9"/>
  <c r="IN13" i="9"/>
  <c r="IO13" i="9"/>
  <c r="IP13" i="9"/>
  <c r="IQ13" i="9"/>
  <c r="IR13" i="9"/>
  <c r="IS13" i="9"/>
  <c r="IT13" i="9"/>
  <c r="IU13" i="9"/>
  <c r="IV13" i="9"/>
  <c r="IW13" i="9"/>
  <c r="IX13" i="9"/>
  <c r="IY13" i="9"/>
  <c r="IZ13" i="9"/>
  <c r="JA13" i="9"/>
  <c r="JB13" i="9"/>
  <c r="JC13" i="9"/>
  <c r="JD13" i="9"/>
  <c r="JE13" i="9"/>
  <c r="FV13" i="9"/>
  <c r="FW13" i="9"/>
  <c r="FX13" i="9"/>
  <c r="FY13" i="9"/>
  <c r="FZ13" i="9"/>
  <c r="GA13" i="9"/>
  <c r="GB13" i="9"/>
  <c r="GC13" i="9"/>
  <c r="GD13" i="9"/>
  <c r="GE13" i="9"/>
  <c r="GF13" i="9"/>
  <c r="GG13" i="9"/>
  <c r="GH13" i="9"/>
  <c r="GI13" i="9"/>
  <c r="GJ13" i="9"/>
  <c r="GK13" i="9"/>
  <c r="GL13" i="9"/>
  <c r="GM13" i="9"/>
  <c r="GN13" i="9"/>
  <c r="GO13" i="9"/>
  <c r="GP13" i="9"/>
  <c r="GQ13" i="9"/>
  <c r="GR13" i="9"/>
  <c r="GS13" i="9"/>
  <c r="GT13" i="9"/>
  <c r="GU13" i="9"/>
  <c r="GV13" i="9"/>
  <c r="GW13" i="9"/>
  <c r="GX13" i="9"/>
  <c r="GY13" i="9"/>
  <c r="GZ13" i="9"/>
  <c r="HA13" i="9"/>
  <c r="HB13" i="9"/>
  <c r="HC13" i="9"/>
  <c r="HD13" i="9"/>
  <c r="HE13" i="9"/>
  <c r="HF13" i="9"/>
  <c r="HG13" i="9"/>
  <c r="HH13" i="9"/>
  <c r="HI13" i="9"/>
  <c r="HJ13" i="9"/>
  <c r="HK13" i="9"/>
  <c r="HL13" i="9"/>
  <c r="HM13" i="9"/>
  <c r="ED13" i="9"/>
  <c r="EE13" i="9"/>
  <c r="EF13" i="9"/>
  <c r="EG13" i="9"/>
  <c r="EH13" i="9"/>
  <c r="EI13" i="9"/>
  <c r="EJ13" i="9"/>
  <c r="EK13" i="9"/>
  <c r="EL13" i="9"/>
  <c r="EM13" i="9"/>
  <c r="EN13" i="9"/>
  <c r="EO13" i="9"/>
  <c r="EP13" i="9"/>
  <c r="EQ13" i="9"/>
  <c r="ER13" i="9"/>
  <c r="ES13" i="9"/>
  <c r="ET13" i="9"/>
  <c r="EU13" i="9"/>
  <c r="EV13" i="9"/>
  <c r="EW13" i="9"/>
  <c r="EX13" i="9"/>
  <c r="EY13" i="9"/>
  <c r="EZ13" i="9"/>
  <c r="FA13" i="9"/>
  <c r="FB13" i="9"/>
  <c r="FC13" i="9"/>
  <c r="FD13" i="9"/>
  <c r="FE13" i="9"/>
  <c r="FF13" i="9"/>
  <c r="FG13" i="9"/>
  <c r="FH13" i="9"/>
  <c r="FI13" i="9"/>
  <c r="FJ13" i="9"/>
  <c r="FK13" i="9"/>
  <c r="FL13" i="9"/>
  <c r="FM13" i="9"/>
  <c r="FN13" i="9"/>
  <c r="FO13" i="9"/>
  <c r="FP13" i="9"/>
  <c r="FQ13" i="9"/>
  <c r="FR13" i="9"/>
  <c r="FS13" i="9"/>
  <c r="FT13" i="9"/>
  <c r="FU13" i="9"/>
  <c r="CL13" i="9"/>
  <c r="CM13" i="9"/>
  <c r="CN13" i="9"/>
  <c r="CO13" i="9"/>
  <c r="CP13" i="9"/>
  <c r="CQ13" i="9"/>
  <c r="CR13" i="9"/>
  <c r="CS13" i="9"/>
  <c r="CT13" i="9"/>
  <c r="CU13" i="9"/>
  <c r="CV13" i="9"/>
  <c r="CW13" i="9"/>
  <c r="CX13" i="9"/>
  <c r="CY13" i="9"/>
  <c r="CZ13" i="9"/>
  <c r="DA13" i="9"/>
  <c r="DB13" i="9"/>
  <c r="DC13" i="9"/>
  <c r="DD13" i="9"/>
  <c r="DE13" i="9"/>
  <c r="DF13" i="9"/>
  <c r="DG13" i="9"/>
  <c r="DH13" i="9"/>
  <c r="DI13" i="9"/>
  <c r="DJ13" i="9"/>
  <c r="DK13" i="9"/>
  <c r="DL13" i="9"/>
  <c r="DM13" i="9"/>
  <c r="DN13" i="9"/>
  <c r="DO13" i="9"/>
  <c r="DP13" i="9"/>
  <c r="DQ13" i="9"/>
  <c r="DR13" i="9"/>
  <c r="DS13" i="9"/>
  <c r="DT13" i="9"/>
  <c r="DU13" i="9"/>
  <c r="DV13" i="9"/>
  <c r="DW13" i="9"/>
  <c r="DX13" i="9"/>
  <c r="DY13" i="9"/>
  <c r="DZ13" i="9"/>
  <c r="EA13" i="9"/>
  <c r="EB13" i="9"/>
  <c r="EC13" i="9"/>
  <c r="AT13" i="9"/>
  <c r="AU13" i="9"/>
  <c r="AV13" i="9"/>
  <c r="AW13" i="9"/>
  <c r="AX13" i="9"/>
  <c r="AY13" i="9"/>
  <c r="AZ13" i="9"/>
  <c r="BA13" i="9"/>
  <c r="BB13" i="9"/>
  <c r="BC13" i="9"/>
  <c r="BD13" i="9"/>
  <c r="BE13" i="9"/>
  <c r="BF13" i="9"/>
  <c r="BG13" i="9"/>
  <c r="BH13" i="9"/>
  <c r="BI13" i="9"/>
  <c r="BJ13" i="9"/>
  <c r="BK13" i="9"/>
  <c r="BL13" i="9"/>
  <c r="BM13" i="9"/>
  <c r="BN13" i="9"/>
  <c r="BO13" i="9"/>
  <c r="BP13" i="9"/>
  <c r="BQ13" i="9"/>
  <c r="BR13" i="9"/>
  <c r="BS13" i="9"/>
  <c r="BT13" i="9"/>
  <c r="BU13" i="9"/>
  <c r="BV13" i="9"/>
  <c r="BW13" i="9"/>
  <c r="BX13" i="9"/>
  <c r="BY13" i="9"/>
  <c r="BZ13" i="9"/>
  <c r="CA13" i="9"/>
  <c r="CB13" i="9"/>
  <c r="CC13" i="9"/>
  <c r="CD13" i="9"/>
  <c r="CE13" i="9"/>
  <c r="CF13" i="9"/>
  <c r="CG13" i="9"/>
  <c r="CH13" i="9"/>
  <c r="CI13" i="9"/>
  <c r="CJ13" i="9"/>
  <c r="CK13" i="9"/>
  <c r="B13" i="9"/>
  <c r="C13" i="9"/>
  <c r="D13" i="9"/>
  <c r="E13" i="9"/>
  <c r="F13" i="9"/>
  <c r="G13" i="9"/>
  <c r="H13" i="9"/>
  <c r="I13" i="9"/>
  <c r="J13" i="9"/>
  <c r="K13" i="9"/>
  <c r="L13" i="9"/>
  <c r="M13" i="9"/>
  <c r="N13" i="9"/>
  <c r="O13" i="9"/>
  <c r="P13" i="9"/>
  <c r="Q13" i="9"/>
  <c r="R13" i="9"/>
  <c r="S13" i="9"/>
  <c r="T13" i="9"/>
  <c r="U13" i="9"/>
  <c r="V13" i="9"/>
  <c r="W13" i="9"/>
  <c r="X13" i="9"/>
  <c r="Y13" i="9"/>
  <c r="Z13" i="9"/>
  <c r="AA13" i="9"/>
  <c r="AB13" i="9"/>
  <c r="AC13" i="9"/>
  <c r="AD13" i="9"/>
  <c r="AE13" i="9"/>
  <c r="AF13" i="9"/>
  <c r="AG13" i="9"/>
  <c r="AH13" i="9"/>
  <c r="AI13" i="9"/>
  <c r="AJ13" i="9"/>
  <c r="AK13" i="9"/>
  <c r="AL13" i="9"/>
  <c r="AM13" i="9"/>
  <c r="AN13" i="9"/>
  <c r="AO13" i="9"/>
  <c r="AP13" i="9"/>
  <c r="AQ13" i="9"/>
  <c r="AR13" i="9"/>
  <c r="AS13" i="9"/>
  <c r="AFF12" i="9"/>
  <c r="AFG12" i="9"/>
  <c r="AFH12" i="9"/>
  <c r="AFI12" i="9"/>
  <c r="AFJ12" i="9"/>
  <c r="AFK12" i="9"/>
  <c r="AFL12" i="9"/>
  <c r="AFM12" i="9"/>
  <c r="AFN12" i="9"/>
  <c r="AFO12" i="9"/>
  <c r="AFP12" i="9"/>
  <c r="AFQ12" i="9"/>
  <c r="AFR12" i="9"/>
  <c r="AFS12" i="9"/>
  <c r="AFT12" i="9"/>
  <c r="AFU12" i="9"/>
  <c r="AFV12" i="9"/>
  <c r="AFW12" i="9"/>
  <c r="AFX12" i="9"/>
  <c r="AFY12" i="9"/>
  <c r="AFZ12" i="9"/>
  <c r="AGA12" i="9"/>
  <c r="AGB12" i="9"/>
  <c r="AGC12" i="9"/>
  <c r="AGD12" i="9"/>
  <c r="AGE12" i="9"/>
  <c r="AGF12" i="9"/>
  <c r="AGG12" i="9"/>
  <c r="AGH12" i="9"/>
  <c r="AGI12" i="9"/>
  <c r="AGJ12" i="9"/>
  <c r="AGK12" i="9"/>
  <c r="AGL12" i="9"/>
  <c r="AGM12" i="9"/>
  <c r="AGN12" i="9"/>
  <c r="AGO12" i="9"/>
  <c r="AGP12" i="9"/>
  <c r="AGQ12" i="9"/>
  <c r="AGR12" i="9"/>
  <c r="AGS12" i="9"/>
  <c r="AGT12" i="9"/>
  <c r="AGU12" i="9"/>
  <c r="AGV12" i="9"/>
  <c r="AGW12" i="9"/>
  <c r="ADN12" i="9"/>
  <c r="ADO12" i="9"/>
  <c r="ADP12" i="9"/>
  <c r="ADQ12" i="9"/>
  <c r="ADR12" i="9"/>
  <c r="ADS12" i="9"/>
  <c r="ADT12" i="9"/>
  <c r="ADU12" i="9"/>
  <c r="ADV12" i="9"/>
  <c r="ADW12" i="9"/>
  <c r="ADX12" i="9"/>
  <c r="ADY12" i="9"/>
  <c r="ADZ12" i="9"/>
  <c r="AEA12" i="9"/>
  <c r="AEB12" i="9"/>
  <c r="AEC12" i="9"/>
  <c r="AED12" i="9"/>
  <c r="AEE12" i="9"/>
  <c r="AEF12" i="9"/>
  <c r="AEG12" i="9"/>
  <c r="AEH12" i="9"/>
  <c r="AEI12" i="9"/>
  <c r="AEJ12" i="9"/>
  <c r="AEK12" i="9"/>
  <c r="AEL12" i="9"/>
  <c r="AEM12" i="9"/>
  <c r="AEN12" i="9"/>
  <c r="AEO12" i="9"/>
  <c r="AEP12" i="9"/>
  <c r="AEQ12" i="9"/>
  <c r="AER12" i="9"/>
  <c r="AES12" i="9"/>
  <c r="AET12" i="9"/>
  <c r="AEU12" i="9"/>
  <c r="AEV12" i="9"/>
  <c r="AEW12" i="9"/>
  <c r="AEX12" i="9"/>
  <c r="AEY12" i="9"/>
  <c r="AEZ12" i="9"/>
  <c r="AFA12" i="9"/>
  <c r="AFB12" i="9"/>
  <c r="AFC12" i="9"/>
  <c r="AFD12" i="9"/>
  <c r="AFE12" i="9"/>
  <c r="ABV12" i="9"/>
  <c r="ABW12" i="9"/>
  <c r="ABX12" i="9"/>
  <c r="ABY12" i="9"/>
  <c r="ABZ12" i="9"/>
  <c r="ACA12" i="9"/>
  <c r="ACB12" i="9"/>
  <c r="ACC12" i="9"/>
  <c r="ACD12" i="9"/>
  <c r="ACE12" i="9"/>
  <c r="ACF12" i="9"/>
  <c r="ACG12" i="9"/>
  <c r="ACH12" i="9"/>
  <c r="ACI12" i="9"/>
  <c r="ACJ12" i="9"/>
  <c r="ACK12" i="9"/>
  <c r="ACL12" i="9"/>
  <c r="ACM12" i="9"/>
  <c r="ACN12" i="9"/>
  <c r="ACO12" i="9"/>
  <c r="ACP12" i="9"/>
  <c r="ACQ12" i="9"/>
  <c r="ACR12" i="9"/>
  <c r="ACS12" i="9"/>
  <c r="ACT12" i="9"/>
  <c r="ACU12" i="9"/>
  <c r="ACV12" i="9"/>
  <c r="ACW12" i="9"/>
  <c r="ACX12" i="9"/>
  <c r="ACY12" i="9"/>
  <c r="ACZ12" i="9"/>
  <c r="ADA12" i="9"/>
  <c r="ADB12" i="9"/>
  <c r="ADC12" i="9"/>
  <c r="ADD12" i="9"/>
  <c r="ADE12" i="9"/>
  <c r="ADF12" i="9"/>
  <c r="ADG12" i="9"/>
  <c r="ADH12" i="9"/>
  <c r="ADI12" i="9"/>
  <c r="ADJ12" i="9"/>
  <c r="ADK12" i="9"/>
  <c r="ADL12" i="9"/>
  <c r="ADM12" i="9"/>
  <c r="AAE12" i="9"/>
  <c r="AAF12" i="9"/>
  <c r="AAG12" i="9"/>
  <c r="AAH12" i="9"/>
  <c r="AAI12" i="9"/>
  <c r="AAJ12" i="9"/>
  <c r="AAK12" i="9"/>
  <c r="AAL12" i="9"/>
  <c r="AAM12" i="9"/>
  <c r="AAN12" i="9"/>
  <c r="AAO12" i="9"/>
  <c r="AAP12" i="9"/>
  <c r="AAQ12" i="9"/>
  <c r="AAR12" i="9"/>
  <c r="AAS12" i="9"/>
  <c r="AAT12" i="9"/>
  <c r="AAU12" i="9"/>
  <c r="AAV12" i="9"/>
  <c r="AAW12" i="9"/>
  <c r="AAX12" i="9"/>
  <c r="AAY12" i="9"/>
  <c r="AAZ12" i="9"/>
  <c r="ABA12" i="9"/>
  <c r="ABB12" i="9"/>
  <c r="ABC12" i="9"/>
  <c r="ABD12" i="9"/>
  <c r="ABE12" i="9"/>
  <c r="ABF12" i="9"/>
  <c r="ABG12" i="9"/>
  <c r="ABH12" i="9"/>
  <c r="ABI12" i="9"/>
  <c r="ABJ12" i="9"/>
  <c r="ABK12" i="9"/>
  <c r="ABL12" i="9"/>
  <c r="ABM12" i="9"/>
  <c r="ABN12" i="9"/>
  <c r="ABO12" i="9"/>
  <c r="ABP12" i="9"/>
  <c r="ABQ12" i="9"/>
  <c r="ABR12" i="9"/>
  <c r="ABS12" i="9"/>
  <c r="ABT12" i="9"/>
  <c r="ABU12" i="9"/>
  <c r="YL12" i="9"/>
  <c r="YM12" i="9"/>
  <c r="YN12" i="9"/>
  <c r="YO12" i="9"/>
  <c r="YP12" i="9"/>
  <c r="YQ12" i="9"/>
  <c r="YR12" i="9"/>
  <c r="YS12" i="9"/>
  <c r="YT12" i="9"/>
  <c r="YU12" i="9"/>
  <c r="YV12" i="9"/>
  <c r="YW12" i="9"/>
  <c r="YX12" i="9"/>
  <c r="YY12" i="9"/>
  <c r="YZ12" i="9"/>
  <c r="ZA12" i="9"/>
  <c r="ZB12" i="9"/>
  <c r="ZC12" i="9"/>
  <c r="ZD12" i="9"/>
  <c r="ZE12" i="9"/>
  <c r="ZF12" i="9"/>
  <c r="ZG12" i="9"/>
  <c r="ZH12" i="9"/>
  <c r="ZI12" i="9"/>
  <c r="ZJ12" i="9"/>
  <c r="ZK12" i="9"/>
  <c r="ZL12" i="9"/>
  <c r="ZM12" i="9"/>
  <c r="ZN12" i="9"/>
  <c r="ZO12" i="9"/>
  <c r="ZP12" i="9"/>
  <c r="ZQ12" i="9"/>
  <c r="ZR12" i="9"/>
  <c r="ZS12" i="9"/>
  <c r="ZT12" i="9"/>
  <c r="ZU12" i="9"/>
  <c r="ZV12" i="9"/>
  <c r="ZW12" i="9"/>
  <c r="ZX12" i="9"/>
  <c r="ZY12" i="9"/>
  <c r="ZZ12" i="9"/>
  <c r="AAA12" i="9"/>
  <c r="AAB12" i="9"/>
  <c r="AAC12" i="9"/>
  <c r="WT12" i="9"/>
  <c r="WU12" i="9"/>
  <c r="WV12" i="9"/>
  <c r="WW12" i="9"/>
  <c r="WX12" i="9"/>
  <c r="WY12" i="9"/>
  <c r="WZ12" i="9"/>
  <c r="XA12" i="9"/>
  <c r="XB12" i="9"/>
  <c r="XC12" i="9"/>
  <c r="XD12" i="9"/>
  <c r="XE12" i="9"/>
  <c r="XF12" i="9"/>
  <c r="XG12" i="9"/>
  <c r="XH12" i="9"/>
  <c r="XI12" i="9"/>
  <c r="XJ12" i="9"/>
  <c r="XK12" i="9"/>
  <c r="XL12" i="9"/>
  <c r="XM12" i="9"/>
  <c r="XN12" i="9"/>
  <c r="XO12" i="9"/>
  <c r="XP12" i="9"/>
  <c r="XQ12" i="9"/>
  <c r="XR12" i="9"/>
  <c r="XS12" i="9"/>
  <c r="XT12" i="9"/>
  <c r="XU12" i="9"/>
  <c r="XV12" i="9"/>
  <c r="XW12" i="9"/>
  <c r="XX12" i="9"/>
  <c r="XY12" i="9"/>
  <c r="XZ12" i="9"/>
  <c r="YA12" i="9"/>
  <c r="YB12" i="9"/>
  <c r="YC12" i="9"/>
  <c r="YD12" i="9"/>
  <c r="YE12" i="9"/>
  <c r="YF12" i="9"/>
  <c r="YG12" i="9"/>
  <c r="YH12" i="9"/>
  <c r="YI12" i="9"/>
  <c r="YJ12" i="9"/>
  <c r="YK12" i="9"/>
  <c r="VB12" i="9"/>
  <c r="VC12" i="9"/>
  <c r="VD12" i="9"/>
  <c r="VE12" i="9"/>
  <c r="VF12" i="9"/>
  <c r="VG12" i="9"/>
  <c r="VH12" i="9"/>
  <c r="VI12" i="9"/>
  <c r="VJ12" i="9"/>
  <c r="VK12" i="9"/>
  <c r="VL12" i="9"/>
  <c r="VM12" i="9"/>
  <c r="VN12" i="9"/>
  <c r="VO12" i="9"/>
  <c r="VP12" i="9"/>
  <c r="VQ12" i="9"/>
  <c r="VR12" i="9"/>
  <c r="VS12" i="9"/>
  <c r="VT12" i="9"/>
  <c r="VU12" i="9"/>
  <c r="VV12" i="9"/>
  <c r="VW12" i="9"/>
  <c r="VX12" i="9"/>
  <c r="VY12" i="9"/>
  <c r="VZ12" i="9"/>
  <c r="WA12" i="9"/>
  <c r="WB12" i="9"/>
  <c r="WC12" i="9"/>
  <c r="WD12" i="9"/>
  <c r="WE12" i="9"/>
  <c r="WF12" i="9"/>
  <c r="WG12" i="9"/>
  <c r="WH12" i="9"/>
  <c r="WI12" i="9"/>
  <c r="WJ12" i="9"/>
  <c r="WK12" i="9"/>
  <c r="WL12" i="9"/>
  <c r="WM12" i="9"/>
  <c r="WN12" i="9"/>
  <c r="WO12" i="9"/>
  <c r="WP12" i="9"/>
  <c r="WQ12" i="9"/>
  <c r="WR12" i="9"/>
  <c r="WS12" i="9"/>
  <c r="TK12" i="9"/>
  <c r="TL12" i="9"/>
  <c r="TM12" i="9"/>
  <c r="TN12" i="9"/>
  <c r="TO12" i="9"/>
  <c r="TP12" i="9"/>
  <c r="TQ12" i="9"/>
  <c r="TR12" i="9"/>
  <c r="TS12" i="9"/>
  <c r="TT12" i="9"/>
  <c r="TU12" i="9"/>
  <c r="TV12" i="9"/>
  <c r="TW12" i="9"/>
  <c r="TX12" i="9"/>
  <c r="TY12" i="9"/>
  <c r="TZ12" i="9"/>
  <c r="UA12" i="9"/>
  <c r="UB12" i="9"/>
  <c r="UC12" i="9"/>
  <c r="UD12" i="9"/>
  <c r="UE12" i="9"/>
  <c r="UF12" i="9"/>
  <c r="UG12" i="9"/>
  <c r="UH12" i="9"/>
  <c r="UI12" i="9"/>
  <c r="UJ12" i="9"/>
  <c r="UK12" i="9"/>
  <c r="UL12" i="9"/>
  <c r="UM12" i="9"/>
  <c r="UN12" i="9"/>
  <c r="UO12" i="9"/>
  <c r="UP12" i="9"/>
  <c r="UQ12" i="9"/>
  <c r="UR12" i="9"/>
  <c r="US12" i="9"/>
  <c r="UT12" i="9"/>
  <c r="UU12" i="9"/>
  <c r="UV12" i="9"/>
  <c r="UW12" i="9"/>
  <c r="UX12" i="9"/>
  <c r="UY12" i="9"/>
  <c r="UZ12" i="9"/>
  <c r="VA12" i="9"/>
  <c r="RS12" i="9"/>
  <c r="RT12" i="9"/>
  <c r="RU12" i="9"/>
  <c r="RV12" i="9"/>
  <c r="RW12" i="9"/>
  <c r="RX12" i="9"/>
  <c r="RY12" i="9"/>
  <c r="RZ12" i="9"/>
  <c r="SA12" i="9"/>
  <c r="SB12" i="9"/>
  <c r="SC12" i="9"/>
  <c r="SD12" i="9"/>
  <c r="SE12" i="9"/>
  <c r="SF12" i="9"/>
  <c r="SG12" i="9"/>
  <c r="SH12" i="9"/>
  <c r="SI12" i="9"/>
  <c r="SJ12" i="9"/>
  <c r="SK12" i="9"/>
  <c r="SL12" i="9"/>
  <c r="SM12" i="9"/>
  <c r="SN12" i="9"/>
  <c r="SO12" i="9"/>
  <c r="SP12" i="9"/>
  <c r="SQ12" i="9"/>
  <c r="SR12" i="9"/>
  <c r="SS12" i="9"/>
  <c r="ST12" i="9"/>
  <c r="SU12" i="9"/>
  <c r="SV12" i="9"/>
  <c r="SW12" i="9"/>
  <c r="SX12" i="9"/>
  <c r="SY12" i="9"/>
  <c r="SZ12" i="9"/>
  <c r="TA12" i="9"/>
  <c r="TB12" i="9"/>
  <c r="TC12" i="9"/>
  <c r="TD12" i="9"/>
  <c r="TE12" i="9"/>
  <c r="TF12" i="9"/>
  <c r="TG12" i="9"/>
  <c r="TH12" i="9"/>
  <c r="TI12" i="9"/>
  <c r="QA12" i="9"/>
  <c r="QB12" i="9"/>
  <c r="QC12" i="9"/>
  <c r="QD12" i="9"/>
  <c r="QE12" i="9"/>
  <c r="QF12" i="9"/>
  <c r="QG12" i="9"/>
  <c r="QH12" i="9"/>
  <c r="QI12" i="9"/>
  <c r="QJ12" i="9"/>
  <c r="QK12" i="9"/>
  <c r="QL12" i="9"/>
  <c r="QM12" i="9"/>
  <c r="QN12" i="9"/>
  <c r="QO12" i="9"/>
  <c r="QP12" i="9"/>
  <c r="QQ12" i="9"/>
  <c r="QR12" i="9"/>
  <c r="QS12" i="9"/>
  <c r="QT12" i="9"/>
  <c r="QU12" i="9"/>
  <c r="QV12" i="9"/>
  <c r="QW12" i="9"/>
  <c r="QX12" i="9"/>
  <c r="QY12" i="9"/>
  <c r="QZ12" i="9"/>
  <c r="RA12" i="9"/>
  <c r="RB12" i="9"/>
  <c r="RC12" i="9"/>
  <c r="RD12" i="9"/>
  <c r="RE12" i="9"/>
  <c r="RF12" i="9"/>
  <c r="RG12" i="9"/>
  <c r="RH12" i="9"/>
  <c r="RI12" i="9"/>
  <c r="RJ12" i="9"/>
  <c r="RK12" i="9"/>
  <c r="RL12" i="9"/>
  <c r="RM12" i="9"/>
  <c r="RN12" i="9"/>
  <c r="RO12" i="9"/>
  <c r="RP12" i="9"/>
  <c r="RQ12" i="9"/>
  <c r="OI12" i="9"/>
  <c r="OJ12" i="9"/>
  <c r="OK12" i="9"/>
  <c r="OL12" i="9"/>
  <c r="OM12" i="9"/>
  <c r="ON12" i="9"/>
  <c r="OO12" i="9"/>
  <c r="OP12" i="9"/>
  <c r="OQ12" i="9"/>
  <c r="OR12" i="9"/>
  <c r="OS12" i="9"/>
  <c r="OT12" i="9"/>
  <c r="OU12" i="9"/>
  <c r="OV12" i="9"/>
  <c r="OW12" i="9"/>
  <c r="OX12" i="9"/>
  <c r="OY12" i="9"/>
  <c r="OZ12" i="9"/>
  <c r="PA12" i="9"/>
  <c r="PB12" i="9"/>
  <c r="PC12" i="9"/>
  <c r="PD12" i="9"/>
  <c r="PE12" i="9"/>
  <c r="PF12" i="9"/>
  <c r="PG12" i="9"/>
  <c r="PH12" i="9"/>
  <c r="PI12" i="9"/>
  <c r="PJ12" i="9"/>
  <c r="PK12" i="9"/>
  <c r="PL12" i="9"/>
  <c r="PM12" i="9"/>
  <c r="PN12" i="9"/>
  <c r="PO12" i="9"/>
  <c r="PP12" i="9"/>
  <c r="PQ12" i="9"/>
  <c r="PR12" i="9"/>
  <c r="PS12" i="9"/>
  <c r="PT12" i="9"/>
  <c r="PU12" i="9"/>
  <c r="PV12" i="9"/>
  <c r="PW12" i="9"/>
  <c r="PX12" i="9"/>
  <c r="PY12" i="9"/>
  <c r="MQ12" i="9"/>
  <c r="MR12" i="9"/>
  <c r="MS12" i="9"/>
  <c r="MT12" i="9"/>
  <c r="MU12" i="9"/>
  <c r="MV12" i="9"/>
  <c r="MW12" i="9"/>
  <c r="MX12" i="9"/>
  <c r="MY12" i="9"/>
  <c r="MZ12" i="9"/>
  <c r="NA12" i="9"/>
  <c r="NB12" i="9"/>
  <c r="NC12" i="9"/>
  <c r="ND12" i="9"/>
  <c r="NE12" i="9"/>
  <c r="NF12" i="9"/>
  <c r="NG12" i="9"/>
  <c r="NH12" i="9"/>
  <c r="NI12" i="9"/>
  <c r="NJ12" i="9"/>
  <c r="NK12" i="9"/>
  <c r="NL12" i="9"/>
  <c r="NM12" i="9"/>
  <c r="NN12" i="9"/>
  <c r="NO12" i="9"/>
  <c r="NP12" i="9"/>
  <c r="NQ12" i="9"/>
  <c r="NR12" i="9"/>
  <c r="NS12" i="9"/>
  <c r="NT12" i="9"/>
  <c r="NU12" i="9"/>
  <c r="NV12" i="9"/>
  <c r="NW12" i="9"/>
  <c r="NX12" i="9"/>
  <c r="NY12" i="9"/>
  <c r="NZ12" i="9"/>
  <c r="OA12" i="9"/>
  <c r="OB12" i="9"/>
  <c r="OC12" i="9"/>
  <c r="OD12" i="9"/>
  <c r="OE12" i="9"/>
  <c r="OF12" i="9"/>
  <c r="OG12" i="9"/>
  <c r="KY12" i="9"/>
  <c r="KZ12" i="9"/>
  <c r="LA12" i="9"/>
  <c r="LB12" i="9"/>
  <c r="LC12" i="9"/>
  <c r="LD12" i="9"/>
  <c r="LE12" i="9"/>
  <c r="LF12" i="9"/>
  <c r="LG12" i="9"/>
  <c r="LH12" i="9"/>
  <c r="LI12" i="9"/>
  <c r="LJ12" i="9"/>
  <c r="LK12" i="9"/>
  <c r="LL12" i="9"/>
  <c r="LM12" i="9"/>
  <c r="LN12" i="9"/>
  <c r="LO12" i="9"/>
  <c r="LP12" i="9"/>
  <c r="LQ12" i="9"/>
  <c r="LR12" i="9"/>
  <c r="LS12" i="9"/>
  <c r="LT12" i="9"/>
  <c r="LU12" i="9"/>
  <c r="LV12" i="9"/>
  <c r="LW12" i="9"/>
  <c r="LX12" i="9"/>
  <c r="LY12" i="9"/>
  <c r="LZ12" i="9"/>
  <c r="MA12" i="9"/>
  <c r="MB12" i="9"/>
  <c r="MC12" i="9"/>
  <c r="MD12" i="9"/>
  <c r="ME12" i="9"/>
  <c r="MF12" i="9"/>
  <c r="MG12" i="9"/>
  <c r="MH12" i="9"/>
  <c r="MI12" i="9"/>
  <c r="MJ12" i="9"/>
  <c r="MK12" i="9"/>
  <c r="ML12" i="9"/>
  <c r="MM12" i="9"/>
  <c r="MN12" i="9"/>
  <c r="MO12" i="9"/>
  <c r="JG12" i="9"/>
  <c r="JH12" i="9"/>
  <c r="JI12" i="9"/>
  <c r="JJ12" i="9"/>
  <c r="JK12" i="9"/>
  <c r="JL12" i="9"/>
  <c r="JM12" i="9"/>
  <c r="JN12" i="9"/>
  <c r="JO12" i="9"/>
  <c r="JP12" i="9"/>
  <c r="JQ12" i="9"/>
  <c r="JR12" i="9"/>
  <c r="JS12" i="9"/>
  <c r="JT12" i="9"/>
  <c r="JU12" i="9"/>
  <c r="JV12" i="9"/>
  <c r="JW12" i="9"/>
  <c r="JX12" i="9"/>
  <c r="JY12" i="9"/>
  <c r="JZ12" i="9"/>
  <c r="KA12" i="9"/>
  <c r="KB12" i="9"/>
  <c r="KC12" i="9"/>
  <c r="KD12" i="9"/>
  <c r="KE12" i="9"/>
  <c r="KF12" i="9"/>
  <c r="KG12" i="9"/>
  <c r="KH12" i="9"/>
  <c r="KI12" i="9"/>
  <c r="KJ12" i="9"/>
  <c r="KK12" i="9"/>
  <c r="KL12" i="9"/>
  <c r="KM12" i="9"/>
  <c r="KN12" i="9"/>
  <c r="KO12" i="9"/>
  <c r="KP12" i="9"/>
  <c r="KQ12" i="9"/>
  <c r="KR12" i="9"/>
  <c r="KS12" i="9"/>
  <c r="KT12" i="9"/>
  <c r="KU12" i="9"/>
  <c r="KV12" i="9"/>
  <c r="KW12" i="9"/>
  <c r="HO12" i="9"/>
  <c r="HP12" i="9"/>
  <c r="HQ12" i="9"/>
  <c r="HR12" i="9"/>
  <c r="HS12" i="9"/>
  <c r="HT12" i="9"/>
  <c r="HU12" i="9"/>
  <c r="HV12" i="9"/>
  <c r="HW12" i="9"/>
  <c r="HX12" i="9"/>
  <c r="HY12" i="9"/>
  <c r="HZ12" i="9"/>
  <c r="IA12" i="9"/>
  <c r="IB12" i="9"/>
  <c r="IC12" i="9"/>
  <c r="ID12" i="9"/>
  <c r="IE12" i="9"/>
  <c r="IF12" i="9"/>
  <c r="IG12" i="9"/>
  <c r="IH12" i="9"/>
  <c r="II12" i="9"/>
  <c r="IJ12" i="9"/>
  <c r="IK12" i="9"/>
  <c r="IL12" i="9"/>
  <c r="IM12" i="9"/>
  <c r="IN12" i="9"/>
  <c r="IO12" i="9"/>
  <c r="IP12" i="9"/>
  <c r="IQ12" i="9"/>
  <c r="IR12" i="9"/>
  <c r="IS12" i="9"/>
  <c r="IT12" i="9"/>
  <c r="IU12" i="9"/>
  <c r="IV12" i="9"/>
  <c r="IW12" i="9"/>
  <c r="IX12" i="9"/>
  <c r="IY12" i="9"/>
  <c r="IZ12" i="9"/>
  <c r="JA12" i="9"/>
  <c r="JB12" i="9"/>
  <c r="JC12" i="9"/>
  <c r="JD12" i="9"/>
  <c r="JE12" i="9"/>
  <c r="FW12" i="9"/>
  <c r="FX12" i="9"/>
  <c r="FY12" i="9"/>
  <c r="FZ12" i="9"/>
  <c r="GA12" i="9"/>
  <c r="GB12" i="9"/>
  <c r="GC12" i="9"/>
  <c r="GD12" i="9"/>
  <c r="GE12" i="9"/>
  <c r="GF12" i="9"/>
  <c r="GG12" i="9"/>
  <c r="GH12" i="9"/>
  <c r="GI12" i="9"/>
  <c r="GJ12" i="9"/>
  <c r="GK12" i="9"/>
  <c r="GL12" i="9"/>
  <c r="GM12" i="9"/>
  <c r="GN12" i="9"/>
  <c r="GO12" i="9"/>
  <c r="GP12" i="9"/>
  <c r="GQ12" i="9"/>
  <c r="GR12" i="9"/>
  <c r="GS12" i="9"/>
  <c r="GT12" i="9"/>
  <c r="GU12" i="9"/>
  <c r="GV12" i="9"/>
  <c r="GW12" i="9"/>
  <c r="GX12" i="9"/>
  <c r="GY12" i="9"/>
  <c r="GZ12" i="9"/>
  <c r="HA12" i="9"/>
  <c r="HB12" i="9"/>
  <c r="HC12" i="9"/>
  <c r="HD12" i="9"/>
  <c r="HE12" i="9"/>
  <c r="HF12" i="9"/>
  <c r="HG12" i="9"/>
  <c r="HH12" i="9"/>
  <c r="HI12" i="9"/>
  <c r="HJ12" i="9"/>
  <c r="HK12" i="9"/>
  <c r="HL12" i="9"/>
  <c r="HM12" i="9"/>
  <c r="EE12" i="9"/>
  <c r="EF12" i="9"/>
  <c r="EG12" i="9"/>
  <c r="EH12" i="9"/>
  <c r="EI12" i="9"/>
  <c r="EJ12" i="9"/>
  <c r="EK12" i="9"/>
  <c r="EL12" i="9"/>
  <c r="EM12" i="9"/>
  <c r="EN12" i="9"/>
  <c r="EO12" i="9"/>
  <c r="EP12" i="9"/>
  <c r="EQ12" i="9"/>
  <c r="ER12" i="9"/>
  <c r="ES12" i="9"/>
  <c r="ET12" i="9"/>
  <c r="EU12" i="9"/>
  <c r="EV12" i="9"/>
  <c r="EW12" i="9"/>
  <c r="EX12" i="9"/>
  <c r="EY12" i="9"/>
  <c r="EZ12" i="9"/>
  <c r="FA12" i="9"/>
  <c r="FB12" i="9"/>
  <c r="FC12" i="9"/>
  <c r="FD12" i="9"/>
  <c r="FE12" i="9"/>
  <c r="FF12" i="9"/>
  <c r="FG12" i="9"/>
  <c r="FH12" i="9"/>
  <c r="FI12" i="9"/>
  <c r="FJ12" i="9"/>
  <c r="FK12" i="9"/>
  <c r="FL12" i="9"/>
  <c r="FM12" i="9"/>
  <c r="FN12" i="9"/>
  <c r="FO12" i="9"/>
  <c r="FP12" i="9"/>
  <c r="FQ12" i="9"/>
  <c r="FR12" i="9"/>
  <c r="FS12" i="9"/>
  <c r="FT12" i="9"/>
  <c r="FU12" i="9"/>
  <c r="CM12" i="9"/>
  <c r="CN12" i="9"/>
  <c r="CO12" i="9"/>
  <c r="CP12" i="9"/>
  <c r="CQ12" i="9"/>
  <c r="CR12" i="9"/>
  <c r="CS12" i="9"/>
  <c r="CT12" i="9"/>
  <c r="CU12" i="9"/>
  <c r="CV12" i="9"/>
  <c r="CW12" i="9"/>
  <c r="CX12" i="9"/>
  <c r="CY12" i="9"/>
  <c r="CZ12" i="9"/>
  <c r="DA12" i="9"/>
  <c r="DB12" i="9"/>
  <c r="DC12" i="9"/>
  <c r="DD12" i="9"/>
  <c r="DE12" i="9"/>
  <c r="DF12" i="9"/>
  <c r="DG12" i="9"/>
  <c r="DH12" i="9"/>
  <c r="DI12" i="9"/>
  <c r="DJ12" i="9"/>
  <c r="DK12" i="9"/>
  <c r="DL12" i="9"/>
  <c r="DM12" i="9"/>
  <c r="DN12" i="9"/>
  <c r="DO12" i="9"/>
  <c r="DP12" i="9"/>
  <c r="DQ12" i="9"/>
  <c r="DR12" i="9"/>
  <c r="DS12" i="9"/>
  <c r="DT12" i="9"/>
  <c r="DU12" i="9"/>
  <c r="DV12" i="9"/>
  <c r="DW12" i="9"/>
  <c r="DX12" i="9"/>
  <c r="DY12" i="9"/>
  <c r="DZ12" i="9"/>
  <c r="EA12" i="9"/>
  <c r="EB12" i="9"/>
  <c r="EC12" i="9"/>
  <c r="AU12" i="9"/>
  <c r="AV12" i="9"/>
  <c r="AW12" i="9"/>
  <c r="AX12" i="9"/>
  <c r="AY12" i="9"/>
  <c r="AZ12" i="9"/>
  <c r="BA12" i="9"/>
  <c r="BB12" i="9"/>
  <c r="BC12" i="9"/>
  <c r="BD12" i="9"/>
  <c r="BE12" i="9"/>
  <c r="BF12" i="9"/>
  <c r="BG12" i="9"/>
  <c r="BH12" i="9"/>
  <c r="BI12" i="9"/>
  <c r="BJ12" i="9"/>
  <c r="BK12" i="9"/>
  <c r="BL12" i="9"/>
  <c r="BM12" i="9"/>
  <c r="BN12" i="9"/>
  <c r="BO12" i="9"/>
  <c r="BP12" i="9"/>
  <c r="BQ12" i="9"/>
  <c r="BR12" i="9"/>
  <c r="BS12" i="9"/>
  <c r="BT12" i="9"/>
  <c r="BU12" i="9"/>
  <c r="BV12" i="9"/>
  <c r="BW12" i="9"/>
  <c r="BX12" i="9"/>
  <c r="BY12" i="9"/>
  <c r="BZ12" i="9"/>
  <c r="CA12" i="9"/>
  <c r="CB12" i="9"/>
  <c r="CC12" i="9"/>
  <c r="CD12" i="9"/>
  <c r="CE12" i="9"/>
  <c r="CF12" i="9"/>
  <c r="CG12" i="9"/>
  <c r="CH12" i="9"/>
  <c r="CI12" i="9"/>
  <c r="CJ12" i="9"/>
  <c r="CK12" i="9"/>
  <c r="C12" i="9"/>
  <c r="D12"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AS12" i="9"/>
  <c r="AFG11" i="9"/>
  <c r="AFH11" i="9"/>
  <c r="AFI11" i="9"/>
  <c r="AFJ11" i="9"/>
  <c r="AFK11" i="9"/>
  <c r="AFL11" i="9"/>
  <c r="AFM11" i="9"/>
  <c r="AFN11" i="9"/>
  <c r="AFO11" i="9"/>
  <c r="AFP11" i="9"/>
  <c r="AFQ11" i="9"/>
  <c r="AFR11" i="9"/>
  <c r="AFS11" i="9"/>
  <c r="AFT11" i="9"/>
  <c r="AFU11" i="9"/>
  <c r="AFV11" i="9"/>
  <c r="AFW11" i="9"/>
  <c r="AFX11" i="9"/>
  <c r="AFY11" i="9"/>
  <c r="AFZ11" i="9"/>
  <c r="AGA11" i="9"/>
  <c r="AGB11" i="9"/>
  <c r="AGC11" i="9"/>
  <c r="AGD11" i="9"/>
  <c r="AGE11" i="9"/>
  <c r="AGF11" i="9"/>
  <c r="AGG11" i="9"/>
  <c r="AGH11" i="9"/>
  <c r="AGI11" i="9"/>
  <c r="AGJ11" i="9"/>
  <c r="AGK11" i="9"/>
  <c r="AGL11" i="9"/>
  <c r="AGM11" i="9"/>
  <c r="AGN11" i="9"/>
  <c r="AGO11" i="9"/>
  <c r="AGP11" i="9"/>
  <c r="AGQ11" i="9"/>
  <c r="AGR11" i="9"/>
  <c r="AGS11" i="9"/>
  <c r="AGT11" i="9"/>
  <c r="AGU11" i="9"/>
  <c r="AGV11" i="9"/>
  <c r="AGW11" i="9"/>
  <c r="ADO11" i="9"/>
  <c r="ADP11" i="9"/>
  <c r="ADQ11" i="9"/>
  <c r="ADR11" i="9"/>
  <c r="ADS11" i="9"/>
  <c r="ADT11" i="9"/>
  <c r="ADU11" i="9"/>
  <c r="ADV11" i="9"/>
  <c r="ADW11" i="9"/>
  <c r="ADX11" i="9"/>
  <c r="ADY11" i="9"/>
  <c r="ADZ11" i="9"/>
  <c r="AEA11" i="9"/>
  <c r="AEB11" i="9"/>
  <c r="AEC11" i="9"/>
  <c r="AED11" i="9"/>
  <c r="AEE11" i="9"/>
  <c r="AEF11" i="9"/>
  <c r="AEG11" i="9"/>
  <c r="AEH11" i="9"/>
  <c r="AEI11" i="9"/>
  <c r="AEJ11" i="9"/>
  <c r="AEK11" i="9"/>
  <c r="AEL11" i="9"/>
  <c r="AEM11" i="9"/>
  <c r="AEN11" i="9"/>
  <c r="AEO11" i="9"/>
  <c r="AEP11" i="9"/>
  <c r="AEQ11" i="9"/>
  <c r="AER11" i="9"/>
  <c r="AES11" i="9"/>
  <c r="AET11" i="9"/>
  <c r="AEU11" i="9"/>
  <c r="AEV11" i="9"/>
  <c r="AEW11" i="9"/>
  <c r="AEX11" i="9"/>
  <c r="AEY11" i="9"/>
  <c r="AEZ11" i="9"/>
  <c r="AFA11" i="9"/>
  <c r="AFB11" i="9"/>
  <c r="AFC11" i="9"/>
  <c r="AFD11" i="9"/>
  <c r="AFE11" i="9"/>
  <c r="ABW11" i="9"/>
  <c r="ABX11" i="9"/>
  <c r="ABY11" i="9"/>
  <c r="ABZ11" i="9"/>
  <c r="ACA11" i="9"/>
  <c r="ACB11" i="9"/>
  <c r="ACC11" i="9"/>
  <c r="ACD11" i="9"/>
  <c r="ACE11" i="9"/>
  <c r="ACF11" i="9"/>
  <c r="ACG11" i="9"/>
  <c r="ACH11" i="9"/>
  <c r="ACI11" i="9"/>
  <c r="ACJ11" i="9"/>
  <c r="ACK11" i="9"/>
  <c r="ACL11" i="9"/>
  <c r="ACM11" i="9"/>
  <c r="ACN11" i="9"/>
  <c r="ACO11" i="9"/>
  <c r="ACP11" i="9"/>
  <c r="ACQ11" i="9"/>
  <c r="ACR11" i="9"/>
  <c r="ACS11" i="9"/>
  <c r="ACT11" i="9"/>
  <c r="ACU11" i="9"/>
  <c r="ACV11" i="9"/>
  <c r="ACW11" i="9"/>
  <c r="ACX11" i="9"/>
  <c r="ACY11" i="9"/>
  <c r="ACZ11" i="9"/>
  <c r="ADA11" i="9"/>
  <c r="ADB11" i="9"/>
  <c r="ADC11" i="9"/>
  <c r="ADD11" i="9"/>
  <c r="ADE11" i="9"/>
  <c r="ADF11" i="9"/>
  <c r="ADG11" i="9"/>
  <c r="ADH11" i="9"/>
  <c r="ADI11" i="9"/>
  <c r="ADJ11" i="9"/>
  <c r="ADK11" i="9"/>
  <c r="ADL11" i="9"/>
  <c r="ADM11" i="9"/>
  <c r="AAE11" i="9"/>
  <c r="AAF11" i="9"/>
  <c r="AAG11" i="9"/>
  <c r="AAH11" i="9"/>
  <c r="AAI11" i="9"/>
  <c r="AAJ11" i="9"/>
  <c r="AAK11" i="9"/>
  <c r="AAL11" i="9"/>
  <c r="AAM11" i="9"/>
  <c r="AAN11" i="9"/>
  <c r="AAO11" i="9"/>
  <c r="AAP11" i="9"/>
  <c r="AAQ11" i="9"/>
  <c r="AAR11" i="9"/>
  <c r="AAS11" i="9"/>
  <c r="AAT11" i="9"/>
  <c r="AAU11" i="9"/>
  <c r="AAV11" i="9"/>
  <c r="AAW11" i="9"/>
  <c r="AAX11" i="9"/>
  <c r="AAY11" i="9"/>
  <c r="AAZ11" i="9"/>
  <c r="ABA11" i="9"/>
  <c r="ABB11" i="9"/>
  <c r="ABC11" i="9"/>
  <c r="ABD11" i="9"/>
  <c r="ABE11" i="9"/>
  <c r="ABF11" i="9"/>
  <c r="ABG11" i="9"/>
  <c r="ABH11" i="9"/>
  <c r="ABI11" i="9"/>
  <c r="ABJ11" i="9"/>
  <c r="ABK11" i="9"/>
  <c r="ABL11" i="9"/>
  <c r="ABM11" i="9"/>
  <c r="ABN11" i="9"/>
  <c r="ABO11" i="9"/>
  <c r="ABP11" i="9"/>
  <c r="ABQ11" i="9"/>
  <c r="ABR11" i="9"/>
  <c r="ABS11" i="9"/>
  <c r="ABT11" i="9"/>
  <c r="ABU11" i="9"/>
  <c r="YM11" i="9"/>
  <c r="YN11" i="9"/>
  <c r="YO11" i="9"/>
  <c r="YP11" i="9"/>
  <c r="YQ11" i="9"/>
  <c r="YR11" i="9"/>
  <c r="YS11" i="9"/>
  <c r="YT11" i="9"/>
  <c r="YU11" i="9"/>
  <c r="YV11" i="9"/>
  <c r="YW11" i="9"/>
  <c r="YX11" i="9"/>
  <c r="YY11" i="9"/>
  <c r="YZ11" i="9"/>
  <c r="ZA11" i="9"/>
  <c r="ZB11" i="9"/>
  <c r="ZC11" i="9"/>
  <c r="ZD11" i="9"/>
  <c r="ZE11" i="9"/>
  <c r="ZF11" i="9"/>
  <c r="ZG11" i="9"/>
  <c r="ZH11" i="9"/>
  <c r="ZI11" i="9"/>
  <c r="ZJ11" i="9"/>
  <c r="ZK11" i="9"/>
  <c r="ZL11" i="9"/>
  <c r="ZM11" i="9"/>
  <c r="ZN11" i="9"/>
  <c r="ZO11" i="9"/>
  <c r="ZP11" i="9"/>
  <c r="ZQ11" i="9"/>
  <c r="ZR11" i="9"/>
  <c r="ZS11" i="9"/>
  <c r="ZT11" i="9"/>
  <c r="ZU11" i="9"/>
  <c r="ZV11" i="9"/>
  <c r="ZW11" i="9"/>
  <c r="ZX11" i="9"/>
  <c r="ZY11" i="9"/>
  <c r="ZZ11" i="9"/>
  <c r="AAA11" i="9"/>
  <c r="AAB11" i="9"/>
  <c r="AAC11" i="9"/>
  <c r="WU11" i="9"/>
  <c r="WV11" i="9"/>
  <c r="WW11" i="9"/>
  <c r="WX11" i="9"/>
  <c r="WY11" i="9"/>
  <c r="WZ11" i="9"/>
  <c r="XA11" i="9"/>
  <c r="XB11" i="9"/>
  <c r="XC11" i="9"/>
  <c r="XD11" i="9"/>
  <c r="XE11" i="9"/>
  <c r="XF11" i="9"/>
  <c r="XG11" i="9"/>
  <c r="XH11" i="9"/>
  <c r="XI11" i="9"/>
  <c r="XJ11" i="9"/>
  <c r="XK11" i="9"/>
  <c r="XL11" i="9"/>
  <c r="XM11" i="9"/>
  <c r="XN11" i="9"/>
  <c r="XO11" i="9"/>
  <c r="XP11" i="9"/>
  <c r="XQ11" i="9"/>
  <c r="XR11" i="9"/>
  <c r="XS11" i="9"/>
  <c r="XT11" i="9"/>
  <c r="XU11" i="9"/>
  <c r="XV11" i="9"/>
  <c r="XW11" i="9"/>
  <c r="XX11" i="9"/>
  <c r="XY11" i="9"/>
  <c r="XZ11" i="9"/>
  <c r="YA11" i="9"/>
  <c r="YB11" i="9"/>
  <c r="YC11" i="9"/>
  <c r="YD11" i="9"/>
  <c r="YE11" i="9"/>
  <c r="YF11" i="9"/>
  <c r="YG11" i="9"/>
  <c r="YH11" i="9"/>
  <c r="YI11" i="9"/>
  <c r="YJ11" i="9"/>
  <c r="YK11" i="9"/>
  <c r="VC11" i="9"/>
  <c r="VD11" i="9"/>
  <c r="VE11" i="9"/>
  <c r="VF11" i="9"/>
  <c r="VG11" i="9"/>
  <c r="VH11" i="9"/>
  <c r="VI11" i="9"/>
  <c r="VJ11" i="9"/>
  <c r="VK11" i="9"/>
  <c r="VL11" i="9"/>
  <c r="VM11" i="9"/>
  <c r="VN11" i="9"/>
  <c r="VO11" i="9"/>
  <c r="VP11" i="9"/>
  <c r="VQ11" i="9"/>
  <c r="VR11" i="9"/>
  <c r="VS11" i="9"/>
  <c r="VT11" i="9"/>
  <c r="VU11" i="9"/>
  <c r="VV11" i="9"/>
  <c r="VW11" i="9"/>
  <c r="VX11" i="9"/>
  <c r="VY11" i="9"/>
  <c r="VZ11" i="9"/>
  <c r="WA11" i="9"/>
  <c r="WB11" i="9"/>
  <c r="WC11" i="9"/>
  <c r="WD11" i="9"/>
  <c r="WE11" i="9"/>
  <c r="WF11" i="9"/>
  <c r="WG11" i="9"/>
  <c r="WH11" i="9"/>
  <c r="WI11" i="9"/>
  <c r="WJ11" i="9"/>
  <c r="WK11" i="9"/>
  <c r="WL11" i="9"/>
  <c r="WM11" i="9"/>
  <c r="WN11" i="9"/>
  <c r="WO11" i="9"/>
  <c r="WP11" i="9"/>
  <c r="WQ11" i="9"/>
  <c r="WR11" i="9"/>
  <c r="WS11" i="9"/>
  <c r="TJ11" i="9"/>
  <c r="TK11" i="9"/>
  <c r="TL11" i="9"/>
  <c r="TM11" i="9"/>
  <c r="TN11" i="9"/>
  <c r="TO11" i="9"/>
  <c r="TP11" i="9"/>
  <c r="TQ11" i="9"/>
  <c r="TR11" i="9"/>
  <c r="TS11" i="9"/>
  <c r="TT11" i="9"/>
  <c r="TU11" i="9"/>
  <c r="TV11" i="9"/>
  <c r="TW11" i="9"/>
  <c r="TX11" i="9"/>
  <c r="TY11" i="9"/>
  <c r="TZ11" i="9"/>
  <c r="UA11" i="9"/>
  <c r="UB11" i="9"/>
  <c r="UC11" i="9"/>
  <c r="UD11" i="9"/>
  <c r="UE11" i="9"/>
  <c r="UF11" i="9"/>
  <c r="UG11" i="9"/>
  <c r="UH11" i="9"/>
  <c r="UI11" i="9"/>
  <c r="UJ11" i="9"/>
  <c r="UK11" i="9"/>
  <c r="UL11" i="9"/>
  <c r="UM11" i="9"/>
  <c r="UN11" i="9"/>
  <c r="UO11" i="9"/>
  <c r="UP11" i="9"/>
  <c r="UQ11" i="9"/>
  <c r="UR11" i="9"/>
  <c r="US11" i="9"/>
  <c r="UT11" i="9"/>
  <c r="UU11" i="9"/>
  <c r="UV11" i="9"/>
  <c r="UW11" i="9"/>
  <c r="UX11" i="9"/>
  <c r="UY11" i="9"/>
  <c r="UZ11" i="9"/>
  <c r="VA11" i="9"/>
  <c r="RR11" i="9"/>
  <c r="RS11" i="9"/>
  <c r="RT11" i="9"/>
  <c r="RU11" i="9"/>
  <c r="RV11" i="9"/>
  <c r="RW11" i="9"/>
  <c r="RX11" i="9"/>
  <c r="RY11" i="9"/>
  <c r="RZ11" i="9"/>
  <c r="SA11" i="9"/>
  <c r="SB11" i="9"/>
  <c r="SC11" i="9"/>
  <c r="SD11" i="9"/>
  <c r="SE11" i="9"/>
  <c r="SF11" i="9"/>
  <c r="SG11" i="9"/>
  <c r="SH11" i="9"/>
  <c r="SI11" i="9"/>
  <c r="SJ11" i="9"/>
  <c r="SK11" i="9"/>
  <c r="SL11" i="9"/>
  <c r="SM11" i="9"/>
  <c r="SN11" i="9"/>
  <c r="SO11" i="9"/>
  <c r="SP11" i="9"/>
  <c r="SQ11" i="9"/>
  <c r="SR11" i="9"/>
  <c r="SS11" i="9"/>
  <c r="ST11" i="9"/>
  <c r="SU11" i="9"/>
  <c r="SV11" i="9"/>
  <c r="SW11" i="9"/>
  <c r="SX11" i="9"/>
  <c r="SY11" i="9"/>
  <c r="SZ11" i="9"/>
  <c r="TA11" i="9"/>
  <c r="TB11" i="9"/>
  <c r="TC11" i="9"/>
  <c r="TD11" i="9"/>
  <c r="TE11" i="9"/>
  <c r="TF11" i="9"/>
  <c r="TG11" i="9"/>
  <c r="TH11" i="9"/>
  <c r="TI11" i="9"/>
  <c r="PZ11" i="9"/>
  <c r="QA11" i="9"/>
  <c r="QB11" i="9"/>
  <c r="QC11" i="9"/>
  <c r="QD11" i="9"/>
  <c r="QE11" i="9"/>
  <c r="QF11" i="9"/>
  <c r="QG11" i="9"/>
  <c r="QH11" i="9"/>
  <c r="QI11" i="9"/>
  <c r="QJ11" i="9"/>
  <c r="QK11" i="9"/>
  <c r="QL11" i="9"/>
  <c r="QM11" i="9"/>
  <c r="QN11" i="9"/>
  <c r="QO11" i="9"/>
  <c r="QP11" i="9"/>
  <c r="QQ11" i="9"/>
  <c r="QR11" i="9"/>
  <c r="QS11" i="9"/>
  <c r="QT11" i="9"/>
  <c r="QU11" i="9"/>
  <c r="QV11" i="9"/>
  <c r="QW11" i="9"/>
  <c r="QX11" i="9"/>
  <c r="QY11" i="9"/>
  <c r="QZ11" i="9"/>
  <c r="RA11" i="9"/>
  <c r="RB11" i="9"/>
  <c r="RC11" i="9"/>
  <c r="RD11" i="9"/>
  <c r="RE11" i="9"/>
  <c r="RF11" i="9"/>
  <c r="RG11" i="9"/>
  <c r="RH11" i="9"/>
  <c r="RI11" i="9"/>
  <c r="RJ11" i="9"/>
  <c r="RK11" i="9"/>
  <c r="RL11" i="9"/>
  <c r="RM11" i="9"/>
  <c r="RN11" i="9"/>
  <c r="RO11" i="9"/>
  <c r="RP11" i="9"/>
  <c r="RQ11" i="9"/>
  <c r="OH11" i="9"/>
  <c r="OI11" i="9"/>
  <c r="OJ11" i="9"/>
  <c r="OK11" i="9"/>
  <c r="OL11" i="9"/>
  <c r="OM11" i="9"/>
  <c r="ON11" i="9"/>
  <c r="OO11" i="9"/>
  <c r="OP11" i="9"/>
  <c r="OQ11" i="9"/>
  <c r="OR11" i="9"/>
  <c r="OS11" i="9"/>
  <c r="OT11" i="9"/>
  <c r="OU11" i="9"/>
  <c r="OV11" i="9"/>
  <c r="OW11" i="9"/>
  <c r="OX11" i="9"/>
  <c r="OY11" i="9"/>
  <c r="OZ11" i="9"/>
  <c r="PA11" i="9"/>
  <c r="PB11" i="9"/>
  <c r="PC11" i="9"/>
  <c r="PD11" i="9"/>
  <c r="PE11" i="9"/>
  <c r="PF11" i="9"/>
  <c r="PG11" i="9"/>
  <c r="PH11" i="9"/>
  <c r="PI11" i="9"/>
  <c r="PJ11" i="9"/>
  <c r="PK11" i="9"/>
  <c r="PL11" i="9"/>
  <c r="PM11" i="9"/>
  <c r="PN11" i="9"/>
  <c r="PO11" i="9"/>
  <c r="PP11" i="9"/>
  <c r="PQ11" i="9"/>
  <c r="PR11" i="9"/>
  <c r="PS11" i="9"/>
  <c r="PT11" i="9"/>
  <c r="PU11" i="9"/>
  <c r="PV11" i="9"/>
  <c r="PW11" i="9"/>
  <c r="PX11" i="9"/>
  <c r="PY11" i="9"/>
  <c r="MP11" i="9"/>
  <c r="MQ11" i="9"/>
  <c r="MR11" i="9"/>
  <c r="MS11" i="9"/>
  <c r="MT11" i="9"/>
  <c r="MU11" i="9"/>
  <c r="MV11" i="9"/>
  <c r="MW11" i="9"/>
  <c r="MX11" i="9"/>
  <c r="MY11" i="9"/>
  <c r="MZ11" i="9"/>
  <c r="NA11" i="9"/>
  <c r="NB11" i="9"/>
  <c r="NC11" i="9"/>
  <c r="ND11" i="9"/>
  <c r="NE11" i="9"/>
  <c r="NF11" i="9"/>
  <c r="NG11" i="9"/>
  <c r="NH11" i="9"/>
  <c r="NI11" i="9"/>
  <c r="NJ11" i="9"/>
  <c r="NK11" i="9"/>
  <c r="NL11" i="9"/>
  <c r="NM11" i="9"/>
  <c r="NN11" i="9"/>
  <c r="NO11" i="9"/>
  <c r="NP11" i="9"/>
  <c r="NQ11" i="9"/>
  <c r="NR11" i="9"/>
  <c r="NS11" i="9"/>
  <c r="NT11" i="9"/>
  <c r="NU11" i="9"/>
  <c r="NV11" i="9"/>
  <c r="NW11" i="9"/>
  <c r="NX11" i="9"/>
  <c r="NY11" i="9"/>
  <c r="NZ11" i="9"/>
  <c r="OA11" i="9"/>
  <c r="OB11" i="9"/>
  <c r="OC11" i="9"/>
  <c r="OD11" i="9"/>
  <c r="OE11" i="9"/>
  <c r="OF11" i="9"/>
  <c r="OG11" i="9"/>
  <c r="KX11" i="9"/>
  <c r="KY11" i="9"/>
  <c r="KZ11" i="9"/>
  <c r="LA11" i="9"/>
  <c r="LB11" i="9"/>
  <c r="LC11" i="9"/>
  <c r="LD11" i="9"/>
  <c r="LE11" i="9"/>
  <c r="LF11" i="9"/>
  <c r="LG11" i="9"/>
  <c r="LH11" i="9"/>
  <c r="LI11" i="9"/>
  <c r="LJ11" i="9"/>
  <c r="LK11" i="9"/>
  <c r="LL11" i="9"/>
  <c r="LM11" i="9"/>
  <c r="LN11" i="9"/>
  <c r="LO11" i="9"/>
  <c r="LP11" i="9"/>
  <c r="LQ11" i="9"/>
  <c r="LR11" i="9"/>
  <c r="LS11" i="9"/>
  <c r="LT11" i="9"/>
  <c r="LU11" i="9"/>
  <c r="LV11" i="9"/>
  <c r="LW11" i="9"/>
  <c r="LX11" i="9"/>
  <c r="LY11" i="9"/>
  <c r="LZ11" i="9"/>
  <c r="MA11" i="9"/>
  <c r="MB11" i="9"/>
  <c r="MC11" i="9"/>
  <c r="MD11" i="9"/>
  <c r="ME11" i="9"/>
  <c r="MF11" i="9"/>
  <c r="MG11" i="9"/>
  <c r="MH11" i="9"/>
  <c r="MI11" i="9"/>
  <c r="MJ11" i="9"/>
  <c r="MK11" i="9"/>
  <c r="ML11" i="9"/>
  <c r="MM11" i="9"/>
  <c r="MN11" i="9"/>
  <c r="MO11" i="9"/>
  <c r="JF11" i="9"/>
  <c r="JG11" i="9"/>
  <c r="JH11" i="9"/>
  <c r="JI11" i="9"/>
  <c r="JJ11" i="9"/>
  <c r="JK11" i="9"/>
  <c r="JL11" i="9"/>
  <c r="JM11" i="9"/>
  <c r="JN11" i="9"/>
  <c r="JO11" i="9"/>
  <c r="JP11" i="9"/>
  <c r="JQ11" i="9"/>
  <c r="JR11" i="9"/>
  <c r="JS11" i="9"/>
  <c r="JT11" i="9"/>
  <c r="JU11" i="9"/>
  <c r="JV11" i="9"/>
  <c r="JW11" i="9"/>
  <c r="JX11" i="9"/>
  <c r="JY11" i="9"/>
  <c r="JZ11" i="9"/>
  <c r="KA11" i="9"/>
  <c r="KB11" i="9"/>
  <c r="KC11" i="9"/>
  <c r="KD11" i="9"/>
  <c r="KE11" i="9"/>
  <c r="KF11" i="9"/>
  <c r="KG11" i="9"/>
  <c r="KH11" i="9"/>
  <c r="KI11" i="9"/>
  <c r="KJ11" i="9"/>
  <c r="KK11" i="9"/>
  <c r="KL11" i="9"/>
  <c r="KM11" i="9"/>
  <c r="KN11" i="9"/>
  <c r="KO11" i="9"/>
  <c r="KP11" i="9"/>
  <c r="KQ11" i="9"/>
  <c r="KR11" i="9"/>
  <c r="KS11" i="9"/>
  <c r="KT11" i="9"/>
  <c r="KU11" i="9"/>
  <c r="KV11" i="9"/>
  <c r="KW11" i="9"/>
  <c r="HN11" i="9"/>
  <c r="HO11" i="9"/>
  <c r="HP11" i="9"/>
  <c r="HQ11" i="9"/>
  <c r="HR11" i="9"/>
  <c r="HS11" i="9"/>
  <c r="HT11" i="9"/>
  <c r="HU11" i="9"/>
  <c r="HV11" i="9"/>
  <c r="HW11" i="9"/>
  <c r="HX11" i="9"/>
  <c r="HY11" i="9"/>
  <c r="HZ11" i="9"/>
  <c r="IA11" i="9"/>
  <c r="IB11" i="9"/>
  <c r="IC11" i="9"/>
  <c r="ID11" i="9"/>
  <c r="IE11" i="9"/>
  <c r="IF11" i="9"/>
  <c r="IG11" i="9"/>
  <c r="IH11" i="9"/>
  <c r="II11" i="9"/>
  <c r="IJ11" i="9"/>
  <c r="IK11" i="9"/>
  <c r="IL11" i="9"/>
  <c r="IM11" i="9"/>
  <c r="IN11" i="9"/>
  <c r="IO11" i="9"/>
  <c r="IP11" i="9"/>
  <c r="IQ11" i="9"/>
  <c r="IR11" i="9"/>
  <c r="IS11" i="9"/>
  <c r="IT11" i="9"/>
  <c r="IU11" i="9"/>
  <c r="IV11" i="9"/>
  <c r="IW11" i="9"/>
  <c r="IX11" i="9"/>
  <c r="IY11" i="9"/>
  <c r="IZ11" i="9"/>
  <c r="JA11" i="9"/>
  <c r="JB11" i="9"/>
  <c r="JC11" i="9"/>
  <c r="JD11" i="9"/>
  <c r="JE11" i="9"/>
  <c r="FV11" i="9"/>
  <c r="FW11" i="9"/>
  <c r="FX11" i="9"/>
  <c r="FY11" i="9"/>
  <c r="FZ11" i="9"/>
  <c r="GA11" i="9"/>
  <c r="GB11" i="9"/>
  <c r="GC11" i="9"/>
  <c r="GD11" i="9"/>
  <c r="GE11" i="9"/>
  <c r="GF11" i="9"/>
  <c r="GG11" i="9"/>
  <c r="GH11" i="9"/>
  <c r="GI11" i="9"/>
  <c r="GJ11" i="9"/>
  <c r="GK11" i="9"/>
  <c r="GL11" i="9"/>
  <c r="GM11" i="9"/>
  <c r="GN11" i="9"/>
  <c r="GO11" i="9"/>
  <c r="GP11" i="9"/>
  <c r="GQ11" i="9"/>
  <c r="GR11" i="9"/>
  <c r="GS11" i="9"/>
  <c r="GT11" i="9"/>
  <c r="GU11" i="9"/>
  <c r="GV11" i="9"/>
  <c r="GW11" i="9"/>
  <c r="GX11" i="9"/>
  <c r="GY11" i="9"/>
  <c r="GZ11" i="9"/>
  <c r="HA11" i="9"/>
  <c r="HB11" i="9"/>
  <c r="HC11" i="9"/>
  <c r="HD11" i="9"/>
  <c r="HE11" i="9"/>
  <c r="HF11" i="9"/>
  <c r="HG11" i="9"/>
  <c r="HH11" i="9"/>
  <c r="HI11" i="9"/>
  <c r="HJ11" i="9"/>
  <c r="HK11" i="9"/>
  <c r="HL11" i="9"/>
  <c r="HM11" i="9"/>
  <c r="ED11" i="9"/>
  <c r="EE11" i="9"/>
  <c r="EF11" i="9"/>
  <c r="EG11" i="9"/>
  <c r="EH11" i="9"/>
  <c r="EI11" i="9"/>
  <c r="EJ11" i="9"/>
  <c r="EK11" i="9"/>
  <c r="EL11" i="9"/>
  <c r="EM11" i="9"/>
  <c r="EN11" i="9"/>
  <c r="EO11" i="9"/>
  <c r="EP11" i="9"/>
  <c r="EQ11" i="9"/>
  <c r="ER11" i="9"/>
  <c r="ES11" i="9"/>
  <c r="ET11" i="9"/>
  <c r="EU11" i="9"/>
  <c r="EV11" i="9"/>
  <c r="EW11" i="9"/>
  <c r="EX11" i="9"/>
  <c r="EY11" i="9"/>
  <c r="EZ11" i="9"/>
  <c r="FA11" i="9"/>
  <c r="FB11" i="9"/>
  <c r="FC11" i="9"/>
  <c r="FD11" i="9"/>
  <c r="FE11" i="9"/>
  <c r="FF11" i="9"/>
  <c r="FG11" i="9"/>
  <c r="FH11" i="9"/>
  <c r="FI11" i="9"/>
  <c r="FJ11" i="9"/>
  <c r="FK11" i="9"/>
  <c r="FL11" i="9"/>
  <c r="FM11" i="9"/>
  <c r="FN11" i="9"/>
  <c r="FO11" i="9"/>
  <c r="FP11" i="9"/>
  <c r="FQ11" i="9"/>
  <c r="FR11" i="9"/>
  <c r="FS11" i="9"/>
  <c r="FT11" i="9"/>
  <c r="FU11" i="9"/>
  <c r="CL11" i="9"/>
  <c r="CM11" i="9"/>
  <c r="CN11" i="9"/>
  <c r="CO11" i="9"/>
  <c r="CP11" i="9"/>
  <c r="CQ11" i="9"/>
  <c r="CR11" i="9"/>
  <c r="CS11" i="9"/>
  <c r="CT11" i="9"/>
  <c r="CU11" i="9"/>
  <c r="CV11" i="9"/>
  <c r="CW11" i="9"/>
  <c r="CX11" i="9"/>
  <c r="CY11" i="9"/>
  <c r="CZ11" i="9"/>
  <c r="DA11" i="9"/>
  <c r="DB11" i="9"/>
  <c r="DC11" i="9"/>
  <c r="DD11" i="9"/>
  <c r="DE11" i="9"/>
  <c r="DF11" i="9"/>
  <c r="DG11" i="9"/>
  <c r="DH11" i="9"/>
  <c r="DI11" i="9"/>
  <c r="DJ11" i="9"/>
  <c r="DK11" i="9"/>
  <c r="DL11" i="9"/>
  <c r="DM11" i="9"/>
  <c r="DN11" i="9"/>
  <c r="DO11" i="9"/>
  <c r="DP11" i="9"/>
  <c r="DQ11" i="9"/>
  <c r="DR11" i="9"/>
  <c r="DS11" i="9"/>
  <c r="DT11" i="9"/>
  <c r="DU11" i="9"/>
  <c r="DV11" i="9"/>
  <c r="DW11" i="9"/>
  <c r="DX11" i="9"/>
  <c r="DY11" i="9"/>
  <c r="DZ11" i="9"/>
  <c r="EA11" i="9"/>
  <c r="EB11" i="9"/>
  <c r="EC11" i="9"/>
  <c r="B11" i="9"/>
  <c r="C11" i="9"/>
  <c r="D11" i="9"/>
  <c r="E11"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AS11" i="9"/>
  <c r="AT11" i="9"/>
  <c r="AU11" i="9"/>
  <c r="AV11" i="9"/>
  <c r="AW11" i="9"/>
  <c r="AX11" i="9"/>
  <c r="AY11" i="9"/>
  <c r="AZ11" i="9"/>
  <c r="BA11" i="9"/>
  <c r="BB11" i="9"/>
  <c r="BC11" i="9"/>
  <c r="BD11" i="9"/>
  <c r="BE11" i="9"/>
  <c r="BF11" i="9"/>
  <c r="BG11" i="9"/>
  <c r="BH11" i="9"/>
  <c r="BI11" i="9"/>
  <c r="BJ11" i="9"/>
  <c r="BK11" i="9"/>
  <c r="BL11" i="9"/>
  <c r="BM11" i="9"/>
  <c r="BN11" i="9"/>
  <c r="BO11" i="9"/>
  <c r="BP11" i="9"/>
  <c r="BQ11" i="9"/>
  <c r="BR11" i="9"/>
  <c r="BS11" i="9"/>
  <c r="BT11" i="9"/>
  <c r="BU11" i="9"/>
  <c r="BV11" i="9"/>
  <c r="BW11" i="9"/>
  <c r="BX11" i="9"/>
  <c r="BY11" i="9"/>
  <c r="BZ11" i="9"/>
  <c r="CA11" i="9"/>
  <c r="CB11" i="9"/>
  <c r="CC11" i="9"/>
  <c r="CD11" i="9"/>
  <c r="CE11" i="9"/>
  <c r="CF11" i="9"/>
  <c r="CG11" i="9"/>
  <c r="CH11" i="9"/>
  <c r="CI11" i="9"/>
  <c r="CJ11" i="9"/>
  <c r="CK11" i="9"/>
  <c r="WT10" i="9"/>
  <c r="WU10" i="9"/>
  <c r="WV10" i="9"/>
  <c r="WW10" i="9"/>
  <c r="WX10" i="9"/>
  <c r="WY10" i="9"/>
  <c r="WZ10" i="9"/>
  <c r="XA10" i="9"/>
  <c r="XB10" i="9"/>
  <c r="XC10" i="9"/>
  <c r="XD10" i="9"/>
  <c r="XE10" i="9"/>
  <c r="XF10" i="9"/>
  <c r="XG10" i="9"/>
  <c r="XH10" i="9"/>
  <c r="XI10" i="9"/>
  <c r="XJ10" i="9"/>
  <c r="XK10" i="9"/>
  <c r="XL10" i="9"/>
  <c r="XM10" i="9"/>
  <c r="XN10" i="9"/>
  <c r="XO10" i="9"/>
  <c r="XP10" i="9"/>
  <c r="XQ10" i="9"/>
  <c r="XR10" i="9"/>
  <c r="XS10" i="9"/>
  <c r="XT10" i="9"/>
  <c r="XU10" i="9"/>
  <c r="XV10" i="9"/>
  <c r="XW10" i="9"/>
  <c r="XX10" i="9"/>
  <c r="XY10" i="9"/>
  <c r="XZ10" i="9"/>
  <c r="YA10" i="9"/>
  <c r="YB10" i="9"/>
  <c r="YC10" i="9"/>
  <c r="YD10" i="9"/>
  <c r="YE10" i="9"/>
  <c r="YF10" i="9"/>
  <c r="YG10" i="9"/>
  <c r="YH10" i="9"/>
  <c r="YI10" i="9"/>
  <c r="YJ10" i="9"/>
  <c r="YK10" i="9"/>
  <c r="VB10" i="9"/>
  <c r="VC10" i="9"/>
  <c r="VD10" i="9"/>
  <c r="VE10" i="9"/>
  <c r="VF10" i="9"/>
  <c r="VG10" i="9"/>
  <c r="VH10" i="9"/>
  <c r="VI10" i="9"/>
  <c r="VJ10" i="9"/>
  <c r="VK10" i="9"/>
  <c r="VL10" i="9"/>
  <c r="VM10" i="9"/>
  <c r="VN10" i="9"/>
  <c r="VO10" i="9"/>
  <c r="VP10" i="9"/>
  <c r="VQ10" i="9"/>
  <c r="VR10" i="9"/>
  <c r="VS10" i="9"/>
  <c r="VT10" i="9"/>
  <c r="VU10" i="9"/>
  <c r="VV10" i="9"/>
  <c r="VW10" i="9"/>
  <c r="VX10" i="9"/>
  <c r="VY10" i="9"/>
  <c r="VZ10" i="9"/>
  <c r="WA10" i="9"/>
  <c r="WB10" i="9"/>
  <c r="WC10" i="9"/>
  <c r="WD10" i="9"/>
  <c r="WE10" i="9"/>
  <c r="WF10" i="9"/>
  <c r="WG10" i="9"/>
  <c r="WH10" i="9"/>
  <c r="WI10" i="9"/>
  <c r="WJ10" i="9"/>
  <c r="WK10" i="9"/>
  <c r="WL10" i="9"/>
  <c r="WM10" i="9"/>
  <c r="WN10" i="9"/>
  <c r="WO10" i="9"/>
  <c r="WP10" i="9"/>
  <c r="WQ10" i="9"/>
  <c r="WR10" i="9"/>
  <c r="WS10" i="9"/>
  <c r="TJ10" i="9"/>
  <c r="TK10" i="9"/>
  <c r="TL10" i="9"/>
  <c r="TM10" i="9"/>
  <c r="TN10" i="9"/>
  <c r="TO10" i="9"/>
  <c r="TP10" i="9"/>
  <c r="TQ10" i="9"/>
  <c r="TR10" i="9"/>
  <c r="TS10" i="9"/>
  <c r="TT10" i="9"/>
  <c r="TU10" i="9"/>
  <c r="TV10" i="9"/>
  <c r="TW10" i="9"/>
  <c r="TX10" i="9"/>
  <c r="TY10" i="9"/>
  <c r="TZ10" i="9"/>
  <c r="UA10" i="9"/>
  <c r="UB10" i="9"/>
  <c r="UC10" i="9"/>
  <c r="UD10" i="9"/>
  <c r="UE10" i="9"/>
  <c r="UF10" i="9"/>
  <c r="UG10" i="9"/>
  <c r="UH10" i="9"/>
  <c r="UI10" i="9"/>
  <c r="UJ10" i="9"/>
  <c r="UK10" i="9"/>
  <c r="UL10" i="9"/>
  <c r="UM10" i="9"/>
  <c r="UN10" i="9"/>
  <c r="UO10" i="9"/>
  <c r="UP10" i="9"/>
  <c r="UQ10" i="9"/>
  <c r="UR10" i="9"/>
  <c r="US10" i="9"/>
  <c r="UT10" i="9"/>
  <c r="UU10" i="9"/>
  <c r="UV10" i="9"/>
  <c r="UW10" i="9"/>
  <c r="UX10" i="9"/>
  <c r="UY10" i="9"/>
  <c r="UZ10" i="9"/>
  <c r="VA10" i="9"/>
  <c r="RR10" i="9"/>
  <c r="RS10" i="9"/>
  <c r="RT10" i="9"/>
  <c r="RU10" i="9"/>
  <c r="RV10" i="9"/>
  <c r="RW10" i="9"/>
  <c r="RX10" i="9"/>
  <c r="RY10" i="9"/>
  <c r="RZ10" i="9"/>
  <c r="SA10" i="9"/>
  <c r="SB10" i="9"/>
  <c r="SC10" i="9"/>
  <c r="SD10" i="9"/>
  <c r="SE10" i="9"/>
  <c r="SF10" i="9"/>
  <c r="SG10" i="9"/>
  <c r="SH10" i="9"/>
  <c r="SI10" i="9"/>
  <c r="SJ10" i="9"/>
  <c r="SK10" i="9"/>
  <c r="SL10" i="9"/>
  <c r="SM10" i="9"/>
  <c r="SN10" i="9"/>
  <c r="SO10" i="9"/>
  <c r="SP10" i="9"/>
  <c r="SQ10" i="9"/>
  <c r="SR10" i="9"/>
  <c r="SS10" i="9"/>
  <c r="ST10" i="9"/>
  <c r="SU10" i="9"/>
  <c r="SV10" i="9"/>
  <c r="SW10" i="9"/>
  <c r="SX10" i="9"/>
  <c r="SY10" i="9"/>
  <c r="SZ10" i="9"/>
  <c r="TA10" i="9"/>
  <c r="TB10" i="9"/>
  <c r="TC10" i="9"/>
  <c r="TD10" i="9"/>
  <c r="TE10" i="9"/>
  <c r="TF10" i="9"/>
  <c r="TG10" i="9"/>
  <c r="TH10" i="9"/>
  <c r="TI10" i="9"/>
  <c r="PZ10" i="9"/>
  <c r="QA10" i="9"/>
  <c r="QB10" i="9"/>
  <c r="QC10" i="9"/>
  <c r="QD10" i="9"/>
  <c r="QE10" i="9"/>
  <c r="QF10" i="9"/>
  <c r="QG10" i="9"/>
  <c r="QH10" i="9"/>
  <c r="QI10" i="9"/>
  <c r="QJ10" i="9"/>
  <c r="QK10" i="9"/>
  <c r="QL10" i="9"/>
  <c r="QM10" i="9"/>
  <c r="QN10" i="9"/>
  <c r="QO10" i="9"/>
  <c r="QP10" i="9"/>
  <c r="QQ10" i="9"/>
  <c r="QR10" i="9"/>
  <c r="QS10" i="9"/>
  <c r="QT10" i="9"/>
  <c r="QU10" i="9"/>
  <c r="QV10" i="9"/>
  <c r="QW10" i="9"/>
  <c r="QX10" i="9"/>
  <c r="QY10" i="9"/>
  <c r="QZ10" i="9"/>
  <c r="RA10" i="9"/>
  <c r="RB10" i="9"/>
  <c r="RC10" i="9"/>
  <c r="RD10" i="9"/>
  <c r="RE10" i="9"/>
  <c r="RF10" i="9"/>
  <c r="RG10" i="9"/>
  <c r="RH10" i="9"/>
  <c r="RI10" i="9"/>
  <c r="RJ10" i="9"/>
  <c r="RK10" i="9"/>
  <c r="RL10" i="9"/>
  <c r="RM10" i="9"/>
  <c r="RN10" i="9"/>
  <c r="RO10" i="9"/>
  <c r="RP10" i="9"/>
  <c r="RQ10" i="9"/>
  <c r="OH10" i="9"/>
  <c r="OI10" i="9"/>
  <c r="OJ10" i="9"/>
  <c r="OK10" i="9"/>
  <c r="OL10" i="9"/>
  <c r="OM10" i="9"/>
  <c r="ON10" i="9"/>
  <c r="OO10" i="9"/>
  <c r="OP10" i="9"/>
  <c r="OQ10" i="9"/>
  <c r="OR10" i="9"/>
  <c r="OS10" i="9"/>
  <c r="OT10" i="9"/>
  <c r="OU10" i="9"/>
  <c r="OV10" i="9"/>
  <c r="OW10" i="9"/>
  <c r="OX10" i="9"/>
  <c r="OY10" i="9"/>
  <c r="OZ10" i="9"/>
  <c r="PA10" i="9"/>
  <c r="PB10" i="9"/>
  <c r="PC10" i="9"/>
  <c r="PD10" i="9"/>
  <c r="PE10" i="9"/>
  <c r="PF10" i="9"/>
  <c r="PG10" i="9"/>
  <c r="PH10" i="9"/>
  <c r="PI10" i="9"/>
  <c r="PJ10" i="9"/>
  <c r="PK10" i="9"/>
  <c r="PL10" i="9"/>
  <c r="PM10" i="9"/>
  <c r="PN10" i="9"/>
  <c r="PO10" i="9"/>
  <c r="PP10" i="9"/>
  <c r="PQ10" i="9"/>
  <c r="PR10" i="9"/>
  <c r="PS10" i="9"/>
  <c r="PT10" i="9"/>
  <c r="PU10" i="9"/>
  <c r="PV10" i="9"/>
  <c r="PW10" i="9"/>
  <c r="PX10" i="9"/>
  <c r="PY10" i="9"/>
  <c r="MP10" i="9"/>
  <c r="MQ10" i="9"/>
  <c r="MR10" i="9"/>
  <c r="MS10" i="9"/>
  <c r="MT10" i="9"/>
  <c r="MU10" i="9"/>
  <c r="MV10" i="9"/>
  <c r="MW10" i="9"/>
  <c r="MX10" i="9"/>
  <c r="MY10" i="9"/>
  <c r="MZ10" i="9"/>
  <c r="NA10" i="9"/>
  <c r="NB10" i="9"/>
  <c r="NC10" i="9"/>
  <c r="ND10" i="9"/>
  <c r="NE10" i="9"/>
  <c r="NF10" i="9"/>
  <c r="NG10" i="9"/>
  <c r="NH10" i="9"/>
  <c r="NI10" i="9"/>
  <c r="NJ10" i="9"/>
  <c r="NK10" i="9"/>
  <c r="NL10" i="9"/>
  <c r="NM10" i="9"/>
  <c r="NN10" i="9"/>
  <c r="NO10" i="9"/>
  <c r="NP10" i="9"/>
  <c r="NQ10" i="9"/>
  <c r="NR10" i="9"/>
  <c r="NS10" i="9"/>
  <c r="NT10" i="9"/>
  <c r="NU10" i="9"/>
  <c r="NV10" i="9"/>
  <c r="NW10" i="9"/>
  <c r="NX10" i="9"/>
  <c r="NY10" i="9"/>
  <c r="NZ10" i="9"/>
  <c r="OA10" i="9"/>
  <c r="OB10" i="9"/>
  <c r="OC10" i="9"/>
  <c r="OD10" i="9"/>
  <c r="OE10" i="9"/>
  <c r="OF10" i="9"/>
  <c r="OG10" i="9"/>
  <c r="KX10" i="9"/>
  <c r="KY10" i="9"/>
  <c r="KZ10" i="9"/>
  <c r="LA10" i="9"/>
  <c r="LB10" i="9"/>
  <c r="LC10" i="9"/>
  <c r="LD10" i="9"/>
  <c r="LE10" i="9"/>
  <c r="LF10" i="9"/>
  <c r="LG10" i="9"/>
  <c r="LH10" i="9"/>
  <c r="LI10" i="9"/>
  <c r="LJ10" i="9"/>
  <c r="LK10" i="9"/>
  <c r="LL10" i="9"/>
  <c r="LM10" i="9"/>
  <c r="LN10" i="9"/>
  <c r="LO10" i="9"/>
  <c r="LP10" i="9"/>
  <c r="LQ10" i="9"/>
  <c r="LR10" i="9"/>
  <c r="LS10" i="9"/>
  <c r="LT10" i="9"/>
  <c r="LU10" i="9"/>
  <c r="LV10" i="9"/>
  <c r="LW10" i="9"/>
  <c r="LX10" i="9"/>
  <c r="LY10" i="9"/>
  <c r="LZ10" i="9"/>
  <c r="MA10" i="9"/>
  <c r="MB10" i="9"/>
  <c r="MC10" i="9"/>
  <c r="MD10" i="9"/>
  <c r="ME10" i="9"/>
  <c r="MF10" i="9"/>
  <c r="MG10" i="9"/>
  <c r="MH10" i="9"/>
  <c r="MI10" i="9"/>
  <c r="MJ10" i="9"/>
  <c r="MK10" i="9"/>
  <c r="ML10" i="9"/>
  <c r="MM10" i="9"/>
  <c r="MN10" i="9"/>
  <c r="MO10" i="9"/>
  <c r="JF10" i="9"/>
  <c r="JG10" i="9"/>
  <c r="JH10" i="9"/>
  <c r="JI10" i="9"/>
  <c r="JJ10" i="9"/>
  <c r="JK10" i="9"/>
  <c r="JL10" i="9"/>
  <c r="JM10" i="9"/>
  <c r="JN10" i="9"/>
  <c r="JO10" i="9"/>
  <c r="JP10" i="9"/>
  <c r="JQ10" i="9"/>
  <c r="JR10" i="9"/>
  <c r="JS10" i="9"/>
  <c r="JT10" i="9"/>
  <c r="JU10" i="9"/>
  <c r="JV10" i="9"/>
  <c r="JW10" i="9"/>
  <c r="JX10" i="9"/>
  <c r="JY10" i="9"/>
  <c r="JZ10" i="9"/>
  <c r="KA10" i="9"/>
  <c r="KB10" i="9"/>
  <c r="KC10" i="9"/>
  <c r="KD10" i="9"/>
  <c r="KE10" i="9"/>
  <c r="KF10" i="9"/>
  <c r="KG10" i="9"/>
  <c r="KH10" i="9"/>
  <c r="KI10" i="9"/>
  <c r="KJ10" i="9"/>
  <c r="KK10" i="9"/>
  <c r="KL10" i="9"/>
  <c r="KM10" i="9"/>
  <c r="KN10" i="9"/>
  <c r="KO10" i="9"/>
  <c r="KP10" i="9"/>
  <c r="KQ10" i="9"/>
  <c r="KR10" i="9"/>
  <c r="KS10" i="9"/>
  <c r="KT10" i="9"/>
  <c r="KU10" i="9"/>
  <c r="KV10" i="9"/>
  <c r="KW10" i="9"/>
  <c r="HN10" i="9"/>
  <c r="HO10" i="9"/>
  <c r="HP10" i="9"/>
  <c r="HQ10" i="9"/>
  <c r="HR10" i="9"/>
  <c r="HS10" i="9"/>
  <c r="HT10" i="9"/>
  <c r="HU10" i="9"/>
  <c r="HV10" i="9"/>
  <c r="HW10" i="9"/>
  <c r="HX10" i="9"/>
  <c r="HY10" i="9"/>
  <c r="HZ10" i="9"/>
  <c r="IA10" i="9"/>
  <c r="IB10" i="9"/>
  <c r="IC10" i="9"/>
  <c r="ID10" i="9"/>
  <c r="IE10" i="9"/>
  <c r="IF10" i="9"/>
  <c r="IG10" i="9"/>
  <c r="IH10" i="9"/>
  <c r="II10" i="9"/>
  <c r="IJ10" i="9"/>
  <c r="IK10" i="9"/>
  <c r="IL10" i="9"/>
  <c r="IM10" i="9"/>
  <c r="IN10" i="9"/>
  <c r="IO10" i="9"/>
  <c r="IP10" i="9"/>
  <c r="IQ10" i="9"/>
  <c r="IR10" i="9"/>
  <c r="IS10" i="9"/>
  <c r="IT10" i="9"/>
  <c r="IU10" i="9"/>
  <c r="IV10" i="9"/>
  <c r="IW10" i="9"/>
  <c r="IX10" i="9"/>
  <c r="IY10" i="9"/>
  <c r="IZ10" i="9"/>
  <c r="JA10" i="9"/>
  <c r="JB10" i="9"/>
  <c r="JC10" i="9"/>
  <c r="JD10" i="9"/>
  <c r="JE10" i="9"/>
  <c r="FV10" i="9"/>
  <c r="FW10" i="9"/>
  <c r="FX10" i="9"/>
  <c r="FY10" i="9"/>
  <c r="FZ10" i="9"/>
  <c r="GA10" i="9"/>
  <c r="GB10" i="9"/>
  <c r="GC10" i="9"/>
  <c r="GD10" i="9"/>
  <c r="GE10" i="9"/>
  <c r="GF10" i="9"/>
  <c r="GG10" i="9"/>
  <c r="GH10" i="9"/>
  <c r="GI10" i="9"/>
  <c r="GJ10" i="9"/>
  <c r="GK10" i="9"/>
  <c r="GL10" i="9"/>
  <c r="GM10" i="9"/>
  <c r="GN10" i="9"/>
  <c r="GO10" i="9"/>
  <c r="GP10" i="9"/>
  <c r="GQ10" i="9"/>
  <c r="GR10" i="9"/>
  <c r="GS10" i="9"/>
  <c r="GT10" i="9"/>
  <c r="GU10" i="9"/>
  <c r="GV10" i="9"/>
  <c r="GW10" i="9"/>
  <c r="GX10" i="9"/>
  <c r="GY10" i="9"/>
  <c r="GZ10" i="9"/>
  <c r="HA10" i="9"/>
  <c r="HB10" i="9"/>
  <c r="HC10" i="9"/>
  <c r="HD10" i="9"/>
  <c r="HE10" i="9"/>
  <c r="HF10" i="9"/>
  <c r="HG10" i="9"/>
  <c r="HH10" i="9"/>
  <c r="HI10" i="9"/>
  <c r="HJ10" i="9"/>
  <c r="HK10" i="9"/>
  <c r="HL10" i="9"/>
  <c r="HM10" i="9"/>
  <c r="ED10" i="9"/>
  <c r="EE10" i="9"/>
  <c r="EF10" i="9"/>
  <c r="EG10" i="9"/>
  <c r="EH10" i="9"/>
  <c r="EI10" i="9"/>
  <c r="EJ10" i="9"/>
  <c r="EK10" i="9"/>
  <c r="EL10" i="9"/>
  <c r="EM10" i="9"/>
  <c r="EN10" i="9"/>
  <c r="EO10" i="9"/>
  <c r="EP10" i="9"/>
  <c r="EQ10" i="9"/>
  <c r="ER10" i="9"/>
  <c r="ES10" i="9"/>
  <c r="ET10" i="9"/>
  <c r="EU10" i="9"/>
  <c r="EV10" i="9"/>
  <c r="EW10" i="9"/>
  <c r="EX10" i="9"/>
  <c r="EY10" i="9"/>
  <c r="EZ10" i="9"/>
  <c r="FA10" i="9"/>
  <c r="FB10" i="9"/>
  <c r="FC10" i="9"/>
  <c r="FD10" i="9"/>
  <c r="FE10" i="9"/>
  <c r="FF10" i="9"/>
  <c r="FG10" i="9"/>
  <c r="FH10" i="9"/>
  <c r="FI10" i="9"/>
  <c r="FJ10" i="9"/>
  <c r="FK10" i="9"/>
  <c r="FL10" i="9"/>
  <c r="FM10" i="9"/>
  <c r="FN10" i="9"/>
  <c r="FO10" i="9"/>
  <c r="FP10" i="9"/>
  <c r="FQ10" i="9"/>
  <c r="FR10" i="9"/>
  <c r="FS10" i="9"/>
  <c r="FT10" i="9"/>
  <c r="FU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BY10" i="9"/>
  <c r="BZ10" i="9"/>
  <c r="CA10" i="9"/>
  <c r="CB10" i="9"/>
  <c r="CC10" i="9"/>
  <c r="CD10" i="9"/>
  <c r="CE10" i="9"/>
  <c r="CF10" i="9"/>
  <c r="CG10" i="9"/>
  <c r="CH10" i="9"/>
  <c r="CI10" i="9"/>
  <c r="CJ10" i="9"/>
  <c r="CK10" i="9"/>
  <c r="B10" i="9"/>
  <c r="C10" i="9"/>
  <c r="D10" i="9"/>
  <c r="E10"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AS10" i="9"/>
  <c r="OH9" i="9"/>
  <c r="OI9" i="9"/>
  <c r="OJ9" i="9"/>
  <c r="OK9" i="9"/>
  <c r="OL9" i="9"/>
  <c r="OM9" i="9"/>
  <c r="ON9" i="9"/>
  <c r="OO9" i="9"/>
  <c r="OP9" i="9"/>
  <c r="OQ9" i="9"/>
  <c r="OR9" i="9"/>
  <c r="OS9" i="9"/>
  <c r="OT9" i="9"/>
  <c r="OU9" i="9"/>
  <c r="OV9" i="9"/>
  <c r="OW9" i="9"/>
  <c r="OX9" i="9"/>
  <c r="OY9" i="9"/>
  <c r="OZ9" i="9"/>
  <c r="PA9" i="9"/>
  <c r="PB9" i="9"/>
  <c r="PC9" i="9"/>
  <c r="PD9" i="9"/>
  <c r="PE9" i="9"/>
  <c r="PF9" i="9"/>
  <c r="PG9" i="9"/>
  <c r="PH9" i="9"/>
  <c r="PI9" i="9"/>
  <c r="PJ9" i="9"/>
  <c r="PK9" i="9"/>
  <c r="PL9" i="9"/>
  <c r="PM9" i="9"/>
  <c r="PN9" i="9"/>
  <c r="PO9" i="9"/>
  <c r="PP9" i="9"/>
  <c r="PQ9" i="9"/>
  <c r="PR9" i="9"/>
  <c r="PS9" i="9"/>
  <c r="PT9" i="9"/>
  <c r="PU9" i="9"/>
  <c r="PV9" i="9"/>
  <c r="PW9" i="9"/>
  <c r="PX9" i="9"/>
  <c r="PY9" i="9"/>
  <c r="MP9" i="9"/>
  <c r="MQ9" i="9"/>
  <c r="MR9" i="9"/>
  <c r="MS9" i="9"/>
  <c r="MT9" i="9"/>
  <c r="MU9" i="9"/>
  <c r="MV9" i="9"/>
  <c r="MW9" i="9"/>
  <c r="MX9" i="9"/>
  <c r="MY9" i="9"/>
  <c r="MZ9" i="9"/>
  <c r="NA9" i="9"/>
  <c r="NB9" i="9"/>
  <c r="NC9" i="9"/>
  <c r="ND9" i="9"/>
  <c r="NE9" i="9"/>
  <c r="NF9" i="9"/>
  <c r="NG9" i="9"/>
  <c r="NH9" i="9"/>
  <c r="NI9" i="9"/>
  <c r="NJ9" i="9"/>
  <c r="NK9" i="9"/>
  <c r="NL9" i="9"/>
  <c r="NM9" i="9"/>
  <c r="NN9" i="9"/>
  <c r="NO9" i="9"/>
  <c r="NP9" i="9"/>
  <c r="NQ9" i="9"/>
  <c r="NR9" i="9"/>
  <c r="NS9" i="9"/>
  <c r="NT9" i="9"/>
  <c r="NU9" i="9"/>
  <c r="NV9" i="9"/>
  <c r="NW9" i="9"/>
  <c r="NX9" i="9"/>
  <c r="NY9" i="9"/>
  <c r="NZ9" i="9"/>
  <c r="OA9" i="9"/>
  <c r="OB9" i="9"/>
  <c r="OC9" i="9"/>
  <c r="OD9" i="9"/>
  <c r="OE9" i="9"/>
  <c r="OF9" i="9"/>
  <c r="OG9" i="9"/>
  <c r="KX9" i="9"/>
  <c r="KY9" i="9"/>
  <c r="KZ9" i="9"/>
  <c r="LA9" i="9"/>
  <c r="LB9" i="9"/>
  <c r="LC9" i="9"/>
  <c r="LD9" i="9"/>
  <c r="LE9" i="9"/>
  <c r="LF9" i="9"/>
  <c r="LG9" i="9"/>
  <c r="LH9" i="9"/>
  <c r="LI9" i="9"/>
  <c r="LJ9" i="9"/>
  <c r="LK9" i="9"/>
  <c r="LL9" i="9"/>
  <c r="LM9" i="9"/>
  <c r="LN9" i="9"/>
  <c r="LO9" i="9"/>
  <c r="LP9" i="9"/>
  <c r="LQ9" i="9"/>
  <c r="LR9" i="9"/>
  <c r="LS9" i="9"/>
  <c r="LT9" i="9"/>
  <c r="LU9" i="9"/>
  <c r="LV9" i="9"/>
  <c r="LW9" i="9"/>
  <c r="LX9" i="9"/>
  <c r="LY9" i="9"/>
  <c r="LZ9" i="9"/>
  <c r="MA9" i="9"/>
  <c r="MB9" i="9"/>
  <c r="MC9" i="9"/>
  <c r="MD9" i="9"/>
  <c r="ME9" i="9"/>
  <c r="MF9" i="9"/>
  <c r="MG9" i="9"/>
  <c r="MH9" i="9"/>
  <c r="MI9" i="9"/>
  <c r="MJ9" i="9"/>
  <c r="MK9" i="9"/>
  <c r="ML9" i="9"/>
  <c r="MM9" i="9"/>
  <c r="MN9" i="9"/>
  <c r="MO9" i="9"/>
  <c r="JF9" i="9"/>
  <c r="JG9" i="9"/>
  <c r="JH9" i="9"/>
  <c r="JI9" i="9"/>
  <c r="JJ9" i="9"/>
  <c r="JK9" i="9"/>
  <c r="JL9" i="9"/>
  <c r="JM9" i="9"/>
  <c r="JN9" i="9"/>
  <c r="JO9" i="9"/>
  <c r="JP9" i="9"/>
  <c r="JQ9" i="9"/>
  <c r="JR9" i="9"/>
  <c r="JS9" i="9"/>
  <c r="JT9" i="9"/>
  <c r="JU9" i="9"/>
  <c r="JV9" i="9"/>
  <c r="JW9" i="9"/>
  <c r="JX9" i="9"/>
  <c r="JY9" i="9"/>
  <c r="JZ9" i="9"/>
  <c r="KA9" i="9"/>
  <c r="KB9" i="9"/>
  <c r="KC9" i="9"/>
  <c r="KD9" i="9"/>
  <c r="KE9" i="9"/>
  <c r="KF9" i="9"/>
  <c r="KG9" i="9"/>
  <c r="KH9" i="9"/>
  <c r="KI9" i="9"/>
  <c r="KJ9" i="9"/>
  <c r="KK9" i="9"/>
  <c r="KL9" i="9"/>
  <c r="KM9" i="9"/>
  <c r="KN9" i="9"/>
  <c r="KO9" i="9"/>
  <c r="KP9" i="9"/>
  <c r="KQ9" i="9"/>
  <c r="KR9" i="9"/>
  <c r="KS9" i="9"/>
  <c r="KT9" i="9"/>
  <c r="KU9" i="9"/>
  <c r="KV9" i="9"/>
  <c r="KW9" i="9"/>
  <c r="HN9" i="9"/>
  <c r="HO9" i="9"/>
  <c r="HP9" i="9"/>
  <c r="HQ9" i="9"/>
  <c r="HR9" i="9"/>
  <c r="HS9" i="9"/>
  <c r="HT9" i="9"/>
  <c r="HU9" i="9"/>
  <c r="HV9" i="9"/>
  <c r="HW9" i="9"/>
  <c r="HX9" i="9"/>
  <c r="HY9" i="9"/>
  <c r="HZ9" i="9"/>
  <c r="IA9" i="9"/>
  <c r="IB9" i="9"/>
  <c r="IC9" i="9"/>
  <c r="ID9" i="9"/>
  <c r="IE9" i="9"/>
  <c r="IF9" i="9"/>
  <c r="IG9" i="9"/>
  <c r="IH9" i="9"/>
  <c r="II9" i="9"/>
  <c r="IJ9" i="9"/>
  <c r="IK9" i="9"/>
  <c r="IL9" i="9"/>
  <c r="IM9" i="9"/>
  <c r="IN9" i="9"/>
  <c r="IO9" i="9"/>
  <c r="IP9" i="9"/>
  <c r="IQ9" i="9"/>
  <c r="IR9" i="9"/>
  <c r="IS9" i="9"/>
  <c r="IT9" i="9"/>
  <c r="IU9" i="9"/>
  <c r="IV9" i="9"/>
  <c r="IW9" i="9"/>
  <c r="IX9" i="9"/>
  <c r="IY9" i="9"/>
  <c r="IZ9" i="9"/>
  <c r="JA9" i="9"/>
  <c r="JB9" i="9"/>
  <c r="JC9" i="9"/>
  <c r="JD9" i="9"/>
  <c r="JE9" i="9"/>
  <c r="FV9" i="9"/>
  <c r="FW9" i="9"/>
  <c r="FX9" i="9"/>
  <c r="FY9" i="9"/>
  <c r="FZ9" i="9"/>
  <c r="GA9" i="9"/>
  <c r="GB9" i="9"/>
  <c r="GC9" i="9"/>
  <c r="GD9" i="9"/>
  <c r="GE9" i="9"/>
  <c r="GF9" i="9"/>
  <c r="GG9" i="9"/>
  <c r="GH9" i="9"/>
  <c r="GI9" i="9"/>
  <c r="GJ9" i="9"/>
  <c r="GK9" i="9"/>
  <c r="GL9" i="9"/>
  <c r="GM9" i="9"/>
  <c r="GN9" i="9"/>
  <c r="GO9" i="9"/>
  <c r="GP9" i="9"/>
  <c r="GQ9" i="9"/>
  <c r="GR9" i="9"/>
  <c r="GS9" i="9"/>
  <c r="GT9" i="9"/>
  <c r="GU9" i="9"/>
  <c r="GV9" i="9"/>
  <c r="GW9" i="9"/>
  <c r="GX9" i="9"/>
  <c r="GY9" i="9"/>
  <c r="GZ9" i="9"/>
  <c r="HA9" i="9"/>
  <c r="HB9" i="9"/>
  <c r="HC9" i="9"/>
  <c r="HD9" i="9"/>
  <c r="HE9" i="9"/>
  <c r="HF9" i="9"/>
  <c r="HG9" i="9"/>
  <c r="HH9" i="9"/>
  <c r="HI9" i="9"/>
  <c r="HJ9" i="9"/>
  <c r="HK9" i="9"/>
  <c r="HL9" i="9"/>
  <c r="HM9" i="9"/>
  <c r="ED9" i="9"/>
  <c r="EE9" i="9"/>
  <c r="EF9" i="9"/>
  <c r="EG9" i="9"/>
  <c r="EH9" i="9"/>
  <c r="EI9" i="9"/>
  <c r="EJ9" i="9"/>
  <c r="EK9" i="9"/>
  <c r="EL9" i="9"/>
  <c r="EM9" i="9"/>
  <c r="EN9" i="9"/>
  <c r="EO9" i="9"/>
  <c r="EP9" i="9"/>
  <c r="EQ9" i="9"/>
  <c r="ER9" i="9"/>
  <c r="ES9" i="9"/>
  <c r="ET9" i="9"/>
  <c r="EU9" i="9"/>
  <c r="EV9" i="9"/>
  <c r="EW9" i="9"/>
  <c r="EX9" i="9"/>
  <c r="EY9" i="9"/>
  <c r="EZ9" i="9"/>
  <c r="FA9" i="9"/>
  <c r="FB9" i="9"/>
  <c r="FC9" i="9"/>
  <c r="FD9" i="9"/>
  <c r="FE9" i="9"/>
  <c r="FF9" i="9"/>
  <c r="FG9" i="9"/>
  <c r="FH9" i="9"/>
  <c r="FI9" i="9"/>
  <c r="FJ9" i="9"/>
  <c r="FK9" i="9"/>
  <c r="FL9" i="9"/>
  <c r="FM9" i="9"/>
  <c r="FN9" i="9"/>
  <c r="FO9" i="9"/>
  <c r="FP9" i="9"/>
  <c r="FQ9" i="9"/>
  <c r="FR9" i="9"/>
  <c r="FS9" i="9"/>
  <c r="FT9" i="9"/>
  <c r="FU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AT9" i="9"/>
  <c r="AU9" i="9"/>
  <c r="AV9" i="9"/>
  <c r="AW9" i="9"/>
  <c r="AX9" i="9"/>
  <c r="AY9" i="9"/>
  <c r="AZ9" i="9"/>
  <c r="BA9" i="9"/>
  <c r="BB9" i="9"/>
  <c r="BC9" i="9"/>
  <c r="BD9" i="9"/>
  <c r="BE9" i="9"/>
  <c r="BF9" i="9"/>
  <c r="BG9" i="9"/>
  <c r="BH9" i="9"/>
  <c r="BI9" i="9"/>
  <c r="BJ9" i="9"/>
  <c r="BK9" i="9"/>
  <c r="BL9" i="9"/>
  <c r="BM9" i="9"/>
  <c r="BN9" i="9"/>
  <c r="BO9" i="9"/>
  <c r="BP9" i="9"/>
  <c r="BQ9" i="9"/>
  <c r="BR9" i="9"/>
  <c r="BS9" i="9"/>
  <c r="BT9" i="9"/>
  <c r="BU9" i="9"/>
  <c r="BV9" i="9"/>
  <c r="BW9" i="9"/>
  <c r="BX9" i="9"/>
  <c r="BY9" i="9"/>
  <c r="BZ9" i="9"/>
  <c r="CA9" i="9"/>
  <c r="CB9" i="9"/>
  <c r="CC9" i="9"/>
  <c r="CD9" i="9"/>
  <c r="CE9" i="9"/>
  <c r="CF9" i="9"/>
  <c r="CG9" i="9"/>
  <c r="CH9" i="9"/>
  <c r="CI9" i="9"/>
  <c r="CJ9" i="9"/>
  <c r="CK9" i="9"/>
  <c r="B9" i="9"/>
  <c r="C9" i="9"/>
  <c r="D9" i="9"/>
  <c r="E9"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WT8" i="9"/>
  <c r="WU8" i="9"/>
  <c r="WV8" i="9"/>
  <c r="WW8" i="9"/>
  <c r="WX8" i="9"/>
  <c r="WY8" i="9"/>
  <c r="WZ8" i="9"/>
  <c r="XA8" i="9"/>
  <c r="XB8" i="9"/>
  <c r="XC8" i="9"/>
  <c r="XD8" i="9"/>
  <c r="XE8" i="9"/>
  <c r="XF8" i="9"/>
  <c r="XG8" i="9"/>
  <c r="XH8" i="9"/>
  <c r="XI8" i="9"/>
  <c r="XJ8" i="9"/>
  <c r="XK8" i="9"/>
  <c r="XL8" i="9"/>
  <c r="XM8" i="9"/>
  <c r="XN8" i="9"/>
  <c r="XO8" i="9"/>
  <c r="XP8" i="9"/>
  <c r="XQ8" i="9"/>
  <c r="XR8" i="9"/>
  <c r="XS8" i="9"/>
  <c r="XT8" i="9"/>
  <c r="XU8" i="9"/>
  <c r="XV8" i="9"/>
  <c r="XW8" i="9"/>
  <c r="XX8" i="9"/>
  <c r="XY8" i="9"/>
  <c r="XZ8" i="9"/>
  <c r="YA8" i="9"/>
  <c r="YB8" i="9"/>
  <c r="YC8" i="9"/>
  <c r="YD8" i="9"/>
  <c r="YE8" i="9"/>
  <c r="YF8" i="9"/>
  <c r="YG8" i="9"/>
  <c r="YH8" i="9"/>
  <c r="YI8" i="9"/>
  <c r="YJ8" i="9"/>
  <c r="YK8" i="9"/>
  <c r="VB8" i="9"/>
  <c r="VC8" i="9"/>
  <c r="VD8" i="9"/>
  <c r="VE8" i="9"/>
  <c r="VF8" i="9"/>
  <c r="VG8" i="9"/>
  <c r="VH8" i="9"/>
  <c r="VI8" i="9"/>
  <c r="VJ8" i="9"/>
  <c r="VK8" i="9"/>
  <c r="VL8" i="9"/>
  <c r="VM8" i="9"/>
  <c r="VN8" i="9"/>
  <c r="VO8" i="9"/>
  <c r="VP8" i="9"/>
  <c r="VQ8" i="9"/>
  <c r="VR8" i="9"/>
  <c r="VS8" i="9"/>
  <c r="VT8" i="9"/>
  <c r="VU8" i="9"/>
  <c r="VV8" i="9"/>
  <c r="VW8" i="9"/>
  <c r="VX8" i="9"/>
  <c r="VY8" i="9"/>
  <c r="VZ8" i="9"/>
  <c r="WA8" i="9"/>
  <c r="WB8" i="9"/>
  <c r="WC8" i="9"/>
  <c r="WD8" i="9"/>
  <c r="WE8" i="9"/>
  <c r="WF8" i="9"/>
  <c r="WG8" i="9"/>
  <c r="WH8" i="9"/>
  <c r="WI8" i="9"/>
  <c r="WJ8" i="9"/>
  <c r="WK8" i="9"/>
  <c r="WL8" i="9"/>
  <c r="WM8" i="9"/>
  <c r="WN8" i="9"/>
  <c r="WO8" i="9"/>
  <c r="WP8" i="9"/>
  <c r="WQ8" i="9"/>
  <c r="WR8" i="9"/>
  <c r="WS8" i="9"/>
  <c r="TJ8" i="9"/>
  <c r="TK8" i="9"/>
  <c r="TL8" i="9"/>
  <c r="TM8" i="9"/>
  <c r="TN8" i="9"/>
  <c r="TO8" i="9"/>
  <c r="TP8" i="9"/>
  <c r="TQ8" i="9"/>
  <c r="TR8" i="9"/>
  <c r="TS8" i="9"/>
  <c r="TT8" i="9"/>
  <c r="TU8" i="9"/>
  <c r="TV8" i="9"/>
  <c r="TW8" i="9"/>
  <c r="TX8" i="9"/>
  <c r="TY8" i="9"/>
  <c r="TZ8" i="9"/>
  <c r="UA8" i="9"/>
  <c r="UB8" i="9"/>
  <c r="UC8" i="9"/>
  <c r="UD8" i="9"/>
  <c r="UE8" i="9"/>
  <c r="UF8" i="9"/>
  <c r="UG8" i="9"/>
  <c r="UH8" i="9"/>
  <c r="UI8" i="9"/>
  <c r="UJ8" i="9"/>
  <c r="UK8" i="9"/>
  <c r="UL8" i="9"/>
  <c r="UM8" i="9"/>
  <c r="UN8" i="9"/>
  <c r="UO8" i="9"/>
  <c r="UP8" i="9"/>
  <c r="UQ8" i="9"/>
  <c r="UR8" i="9"/>
  <c r="US8" i="9"/>
  <c r="UT8" i="9"/>
  <c r="UU8" i="9"/>
  <c r="UV8" i="9"/>
  <c r="UW8" i="9"/>
  <c r="UX8" i="9"/>
  <c r="UY8" i="9"/>
  <c r="UZ8" i="9"/>
  <c r="VA8" i="9"/>
  <c r="RR8" i="9"/>
  <c r="RS8" i="9"/>
  <c r="RT8" i="9"/>
  <c r="RU8" i="9"/>
  <c r="RV8" i="9"/>
  <c r="RW8" i="9"/>
  <c r="RX8" i="9"/>
  <c r="RY8" i="9"/>
  <c r="RZ8" i="9"/>
  <c r="SA8" i="9"/>
  <c r="SB8" i="9"/>
  <c r="SC8" i="9"/>
  <c r="SD8" i="9"/>
  <c r="SE8" i="9"/>
  <c r="SF8" i="9"/>
  <c r="SG8" i="9"/>
  <c r="SH8" i="9"/>
  <c r="SI8" i="9"/>
  <c r="SJ8" i="9"/>
  <c r="SK8" i="9"/>
  <c r="SL8" i="9"/>
  <c r="SM8" i="9"/>
  <c r="SN8" i="9"/>
  <c r="SO8" i="9"/>
  <c r="SP8" i="9"/>
  <c r="SQ8" i="9"/>
  <c r="SR8" i="9"/>
  <c r="SS8" i="9"/>
  <c r="ST8" i="9"/>
  <c r="SU8" i="9"/>
  <c r="SV8" i="9"/>
  <c r="SW8" i="9"/>
  <c r="SX8" i="9"/>
  <c r="SY8" i="9"/>
  <c r="SZ8" i="9"/>
  <c r="TA8" i="9"/>
  <c r="TB8" i="9"/>
  <c r="TC8" i="9"/>
  <c r="TD8" i="9"/>
  <c r="TE8" i="9"/>
  <c r="TF8" i="9"/>
  <c r="TG8" i="9"/>
  <c r="TH8" i="9"/>
  <c r="TI8" i="9"/>
  <c r="PZ8" i="9"/>
  <c r="QA8" i="9"/>
  <c r="QB8" i="9"/>
  <c r="QC8" i="9"/>
  <c r="QD8" i="9"/>
  <c r="QE8" i="9"/>
  <c r="QF8" i="9"/>
  <c r="QG8" i="9"/>
  <c r="QH8" i="9"/>
  <c r="QI8" i="9"/>
  <c r="QJ8" i="9"/>
  <c r="QK8" i="9"/>
  <c r="QL8" i="9"/>
  <c r="QM8" i="9"/>
  <c r="QN8" i="9"/>
  <c r="QO8" i="9"/>
  <c r="QP8" i="9"/>
  <c r="QQ8" i="9"/>
  <c r="QR8" i="9"/>
  <c r="QS8" i="9"/>
  <c r="QT8" i="9"/>
  <c r="QU8" i="9"/>
  <c r="QV8" i="9"/>
  <c r="QW8" i="9"/>
  <c r="QX8" i="9"/>
  <c r="QY8" i="9"/>
  <c r="QZ8" i="9"/>
  <c r="RA8" i="9"/>
  <c r="RB8" i="9"/>
  <c r="RC8" i="9"/>
  <c r="RD8" i="9"/>
  <c r="RE8" i="9"/>
  <c r="RF8" i="9"/>
  <c r="RG8" i="9"/>
  <c r="RH8" i="9"/>
  <c r="RI8" i="9"/>
  <c r="RJ8" i="9"/>
  <c r="RK8" i="9"/>
  <c r="RL8" i="9"/>
  <c r="RM8" i="9"/>
  <c r="RN8" i="9"/>
  <c r="RO8" i="9"/>
  <c r="RP8" i="9"/>
  <c r="RQ8" i="9"/>
  <c r="OH8" i="9"/>
  <c r="OI8" i="9"/>
  <c r="OJ8" i="9"/>
  <c r="OK8" i="9"/>
  <c r="OL8" i="9"/>
  <c r="OM8" i="9"/>
  <c r="ON8" i="9"/>
  <c r="OO8" i="9"/>
  <c r="OP8" i="9"/>
  <c r="OQ8" i="9"/>
  <c r="OR8" i="9"/>
  <c r="OS8" i="9"/>
  <c r="OT8" i="9"/>
  <c r="OU8" i="9"/>
  <c r="OV8" i="9"/>
  <c r="OW8" i="9"/>
  <c r="OX8" i="9"/>
  <c r="OY8" i="9"/>
  <c r="OZ8" i="9"/>
  <c r="PA8" i="9"/>
  <c r="PB8" i="9"/>
  <c r="PC8" i="9"/>
  <c r="PD8" i="9"/>
  <c r="PE8" i="9"/>
  <c r="PF8" i="9"/>
  <c r="PG8" i="9"/>
  <c r="PH8" i="9"/>
  <c r="PI8" i="9"/>
  <c r="PJ8" i="9"/>
  <c r="PK8" i="9"/>
  <c r="PL8" i="9"/>
  <c r="PM8" i="9"/>
  <c r="PN8" i="9"/>
  <c r="PO8" i="9"/>
  <c r="PP8" i="9"/>
  <c r="PQ8" i="9"/>
  <c r="PR8" i="9"/>
  <c r="PS8" i="9"/>
  <c r="PT8" i="9"/>
  <c r="PU8" i="9"/>
  <c r="PV8" i="9"/>
  <c r="PW8" i="9"/>
  <c r="PX8" i="9"/>
  <c r="PY8" i="9"/>
  <c r="MP8" i="9"/>
  <c r="MQ8" i="9"/>
  <c r="MR8" i="9"/>
  <c r="MS8" i="9"/>
  <c r="MT8" i="9"/>
  <c r="MU8" i="9"/>
  <c r="MV8" i="9"/>
  <c r="MW8" i="9"/>
  <c r="MX8" i="9"/>
  <c r="MY8" i="9"/>
  <c r="MZ8" i="9"/>
  <c r="NA8" i="9"/>
  <c r="NB8" i="9"/>
  <c r="NC8" i="9"/>
  <c r="ND8" i="9"/>
  <c r="NE8" i="9"/>
  <c r="NF8" i="9"/>
  <c r="NG8" i="9"/>
  <c r="NH8" i="9"/>
  <c r="NI8" i="9"/>
  <c r="NJ8" i="9"/>
  <c r="NK8" i="9"/>
  <c r="NL8" i="9"/>
  <c r="NM8" i="9"/>
  <c r="NN8" i="9"/>
  <c r="NO8" i="9"/>
  <c r="NP8" i="9"/>
  <c r="NQ8" i="9"/>
  <c r="NR8" i="9"/>
  <c r="NS8" i="9"/>
  <c r="NT8" i="9"/>
  <c r="NU8" i="9"/>
  <c r="NV8" i="9"/>
  <c r="NW8" i="9"/>
  <c r="NX8" i="9"/>
  <c r="NY8" i="9"/>
  <c r="NZ8" i="9"/>
  <c r="OA8" i="9"/>
  <c r="OB8" i="9"/>
  <c r="OC8" i="9"/>
  <c r="OD8" i="9"/>
  <c r="OE8" i="9"/>
  <c r="OF8" i="9"/>
  <c r="OG8" i="9"/>
  <c r="KX8" i="9"/>
  <c r="KY8" i="9"/>
  <c r="KZ8" i="9"/>
  <c r="LA8" i="9"/>
  <c r="LB8" i="9"/>
  <c r="LC8" i="9"/>
  <c r="LD8" i="9"/>
  <c r="LE8" i="9"/>
  <c r="LF8" i="9"/>
  <c r="LG8" i="9"/>
  <c r="LH8" i="9"/>
  <c r="LI8" i="9"/>
  <c r="LJ8" i="9"/>
  <c r="LK8" i="9"/>
  <c r="LL8" i="9"/>
  <c r="LM8" i="9"/>
  <c r="LN8" i="9"/>
  <c r="LO8" i="9"/>
  <c r="LP8" i="9"/>
  <c r="LQ8" i="9"/>
  <c r="LR8" i="9"/>
  <c r="LS8" i="9"/>
  <c r="LT8" i="9"/>
  <c r="LU8" i="9"/>
  <c r="LV8" i="9"/>
  <c r="LW8" i="9"/>
  <c r="LX8" i="9"/>
  <c r="LY8" i="9"/>
  <c r="LZ8" i="9"/>
  <c r="MA8" i="9"/>
  <c r="MB8" i="9"/>
  <c r="MC8" i="9"/>
  <c r="MD8" i="9"/>
  <c r="ME8" i="9"/>
  <c r="MF8" i="9"/>
  <c r="MG8" i="9"/>
  <c r="MH8" i="9"/>
  <c r="MI8" i="9"/>
  <c r="MJ8" i="9"/>
  <c r="MK8" i="9"/>
  <c r="ML8" i="9"/>
  <c r="MM8" i="9"/>
  <c r="MN8" i="9"/>
  <c r="MO8" i="9"/>
  <c r="JF8" i="9"/>
  <c r="JG8" i="9"/>
  <c r="JH8" i="9"/>
  <c r="JI8" i="9"/>
  <c r="JJ8" i="9"/>
  <c r="JK8" i="9"/>
  <c r="JL8" i="9"/>
  <c r="JM8" i="9"/>
  <c r="JN8" i="9"/>
  <c r="JO8" i="9"/>
  <c r="JP8" i="9"/>
  <c r="JQ8" i="9"/>
  <c r="JR8" i="9"/>
  <c r="JS8" i="9"/>
  <c r="JT8" i="9"/>
  <c r="JU8" i="9"/>
  <c r="JV8" i="9"/>
  <c r="JW8" i="9"/>
  <c r="JX8" i="9"/>
  <c r="JY8" i="9"/>
  <c r="JZ8" i="9"/>
  <c r="KA8" i="9"/>
  <c r="KB8" i="9"/>
  <c r="KC8" i="9"/>
  <c r="KD8" i="9"/>
  <c r="KE8" i="9"/>
  <c r="KF8" i="9"/>
  <c r="KG8" i="9"/>
  <c r="KH8" i="9"/>
  <c r="KI8" i="9"/>
  <c r="KJ8" i="9"/>
  <c r="KK8" i="9"/>
  <c r="KL8" i="9"/>
  <c r="KM8" i="9"/>
  <c r="KN8" i="9"/>
  <c r="KO8" i="9"/>
  <c r="KP8" i="9"/>
  <c r="KQ8" i="9"/>
  <c r="KR8" i="9"/>
  <c r="KS8" i="9"/>
  <c r="KT8" i="9"/>
  <c r="KU8" i="9"/>
  <c r="KV8" i="9"/>
  <c r="KW8" i="9"/>
  <c r="HN8" i="9"/>
  <c r="HO8" i="9"/>
  <c r="HP8" i="9"/>
  <c r="HQ8" i="9"/>
  <c r="HR8" i="9"/>
  <c r="HS8" i="9"/>
  <c r="HT8" i="9"/>
  <c r="HU8" i="9"/>
  <c r="HV8" i="9"/>
  <c r="HW8" i="9"/>
  <c r="HX8" i="9"/>
  <c r="HY8" i="9"/>
  <c r="HZ8" i="9"/>
  <c r="IA8" i="9"/>
  <c r="IB8" i="9"/>
  <c r="IC8" i="9"/>
  <c r="ID8" i="9"/>
  <c r="IE8" i="9"/>
  <c r="IF8" i="9"/>
  <c r="IG8" i="9"/>
  <c r="IH8" i="9"/>
  <c r="II8" i="9"/>
  <c r="IJ8" i="9"/>
  <c r="IK8" i="9"/>
  <c r="IL8" i="9"/>
  <c r="IM8" i="9"/>
  <c r="IN8" i="9"/>
  <c r="IO8" i="9"/>
  <c r="IP8" i="9"/>
  <c r="IQ8" i="9"/>
  <c r="IR8" i="9"/>
  <c r="IS8" i="9"/>
  <c r="IT8" i="9"/>
  <c r="IU8" i="9"/>
  <c r="IV8" i="9"/>
  <c r="IW8" i="9"/>
  <c r="IX8" i="9"/>
  <c r="IY8" i="9"/>
  <c r="IZ8" i="9"/>
  <c r="JA8" i="9"/>
  <c r="JB8" i="9"/>
  <c r="JC8" i="9"/>
  <c r="JD8" i="9"/>
  <c r="JE8" i="9"/>
  <c r="FV8" i="9"/>
  <c r="FW8" i="9"/>
  <c r="FX8" i="9"/>
  <c r="FY8" i="9"/>
  <c r="FZ8" i="9"/>
  <c r="GA8" i="9"/>
  <c r="GB8" i="9"/>
  <c r="GC8" i="9"/>
  <c r="GD8" i="9"/>
  <c r="GE8" i="9"/>
  <c r="GF8" i="9"/>
  <c r="GG8" i="9"/>
  <c r="GH8" i="9"/>
  <c r="GI8" i="9"/>
  <c r="GJ8" i="9"/>
  <c r="GK8" i="9"/>
  <c r="GL8" i="9"/>
  <c r="GM8" i="9"/>
  <c r="GN8" i="9"/>
  <c r="GO8" i="9"/>
  <c r="GP8" i="9"/>
  <c r="GQ8" i="9"/>
  <c r="GR8" i="9"/>
  <c r="GS8" i="9"/>
  <c r="GT8" i="9"/>
  <c r="GU8" i="9"/>
  <c r="GV8" i="9"/>
  <c r="GW8" i="9"/>
  <c r="GX8" i="9"/>
  <c r="GY8" i="9"/>
  <c r="GZ8" i="9"/>
  <c r="HA8" i="9"/>
  <c r="HB8" i="9"/>
  <c r="HC8" i="9"/>
  <c r="HD8" i="9"/>
  <c r="HE8" i="9"/>
  <c r="HF8" i="9"/>
  <c r="HG8" i="9"/>
  <c r="HH8" i="9"/>
  <c r="HI8" i="9"/>
  <c r="HJ8" i="9"/>
  <c r="HK8" i="9"/>
  <c r="HL8" i="9"/>
  <c r="HM8" i="9"/>
  <c r="ED8" i="9"/>
  <c r="EE8" i="9"/>
  <c r="EF8" i="9"/>
  <c r="EG8" i="9"/>
  <c r="EH8" i="9"/>
  <c r="EI8" i="9"/>
  <c r="EJ8" i="9"/>
  <c r="EK8" i="9"/>
  <c r="EL8" i="9"/>
  <c r="EM8" i="9"/>
  <c r="EN8" i="9"/>
  <c r="EO8" i="9"/>
  <c r="EP8" i="9"/>
  <c r="EQ8" i="9"/>
  <c r="ER8" i="9"/>
  <c r="ES8" i="9"/>
  <c r="ET8" i="9"/>
  <c r="EU8" i="9"/>
  <c r="EV8" i="9"/>
  <c r="EW8" i="9"/>
  <c r="EX8" i="9"/>
  <c r="EY8" i="9"/>
  <c r="EZ8" i="9"/>
  <c r="FA8" i="9"/>
  <c r="FB8" i="9"/>
  <c r="FC8" i="9"/>
  <c r="FD8" i="9"/>
  <c r="FE8" i="9"/>
  <c r="FF8" i="9"/>
  <c r="FG8" i="9"/>
  <c r="FH8" i="9"/>
  <c r="FI8" i="9"/>
  <c r="FJ8" i="9"/>
  <c r="FK8" i="9"/>
  <c r="FL8" i="9"/>
  <c r="FM8" i="9"/>
  <c r="FN8" i="9"/>
  <c r="FO8" i="9"/>
  <c r="FP8" i="9"/>
  <c r="FQ8" i="9"/>
  <c r="FR8" i="9"/>
  <c r="FS8" i="9"/>
  <c r="FT8" i="9"/>
  <c r="FU8" i="9"/>
  <c r="CL8" i="9"/>
  <c r="CM8" i="9"/>
  <c r="CN8" i="9"/>
  <c r="CO8" i="9"/>
  <c r="CP8" i="9"/>
  <c r="CQ8" i="9"/>
  <c r="CR8" i="9"/>
  <c r="CS8" i="9"/>
  <c r="CT8" i="9"/>
  <c r="CU8" i="9"/>
  <c r="CV8" i="9"/>
  <c r="CW8" i="9"/>
  <c r="CX8" i="9"/>
  <c r="CY8" i="9"/>
  <c r="CZ8" i="9"/>
  <c r="DA8" i="9"/>
  <c r="DB8" i="9"/>
  <c r="DC8" i="9"/>
  <c r="DD8" i="9"/>
  <c r="DE8" i="9"/>
  <c r="DF8" i="9"/>
  <c r="DG8" i="9"/>
  <c r="DH8" i="9"/>
  <c r="DI8" i="9"/>
  <c r="DJ8" i="9"/>
  <c r="DK8" i="9"/>
  <c r="DL8" i="9"/>
  <c r="DM8" i="9"/>
  <c r="DN8" i="9"/>
  <c r="DO8" i="9"/>
  <c r="DP8" i="9"/>
  <c r="DQ8" i="9"/>
  <c r="DR8" i="9"/>
  <c r="DS8" i="9"/>
  <c r="DT8" i="9"/>
  <c r="DU8" i="9"/>
  <c r="DV8" i="9"/>
  <c r="DW8" i="9"/>
  <c r="DX8" i="9"/>
  <c r="DY8" i="9"/>
  <c r="DZ8" i="9"/>
  <c r="EA8" i="9"/>
  <c r="EB8" i="9"/>
  <c r="EC8" i="9"/>
  <c r="AT8" i="9"/>
  <c r="AU8" i="9"/>
  <c r="AV8" i="9"/>
  <c r="AW8" i="9"/>
  <c r="AX8" i="9"/>
  <c r="AY8" i="9"/>
  <c r="AZ8" i="9"/>
  <c r="BA8" i="9"/>
  <c r="BB8" i="9"/>
  <c r="BC8" i="9"/>
  <c r="BD8" i="9"/>
  <c r="BE8" i="9"/>
  <c r="BF8" i="9"/>
  <c r="BG8" i="9"/>
  <c r="BH8" i="9"/>
  <c r="BI8" i="9"/>
  <c r="BJ8" i="9"/>
  <c r="BK8" i="9"/>
  <c r="BL8" i="9"/>
  <c r="BM8" i="9"/>
  <c r="BN8" i="9"/>
  <c r="BO8" i="9"/>
  <c r="BP8" i="9"/>
  <c r="BQ8" i="9"/>
  <c r="BR8" i="9"/>
  <c r="BS8" i="9"/>
  <c r="BT8" i="9"/>
  <c r="BU8" i="9"/>
  <c r="BV8" i="9"/>
  <c r="BW8" i="9"/>
  <c r="BX8" i="9"/>
  <c r="BY8" i="9"/>
  <c r="BZ8" i="9"/>
  <c r="CA8" i="9"/>
  <c r="CB8" i="9"/>
  <c r="CC8" i="9"/>
  <c r="CD8" i="9"/>
  <c r="CE8" i="9"/>
  <c r="CF8" i="9"/>
  <c r="CG8" i="9"/>
  <c r="CH8" i="9"/>
  <c r="CI8" i="9"/>
  <c r="CJ8" i="9"/>
  <c r="CK8" i="9"/>
  <c r="B8" i="9"/>
  <c r="C8" i="9"/>
  <c r="D8" i="9"/>
  <c r="E8" i="9"/>
  <c r="F8" i="9"/>
  <c r="G8" i="9"/>
  <c r="H8" i="9"/>
  <c r="I8" i="9"/>
  <c r="J8" i="9"/>
  <c r="K8" i="9"/>
  <c r="L8" i="9"/>
  <c r="M8" i="9"/>
  <c r="N8"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AS8" i="9"/>
  <c r="CMM7" i="9"/>
  <c r="CMN7" i="9"/>
  <c r="CMO7" i="9"/>
  <c r="CMP7" i="9"/>
  <c r="CMQ7" i="9"/>
  <c r="CMR7" i="9"/>
  <c r="CMS7" i="9"/>
  <c r="CMT7" i="9"/>
  <c r="CMU7" i="9"/>
  <c r="CMV7" i="9"/>
  <c r="CMW7" i="9"/>
  <c r="CMX7" i="9"/>
  <c r="CMY7" i="9"/>
  <c r="CMZ7" i="9"/>
  <c r="CNA7" i="9"/>
  <c r="CNB7" i="9"/>
  <c r="CNC7" i="9"/>
  <c r="CND7" i="9"/>
  <c r="CNE7" i="9"/>
  <c r="CNF7" i="9"/>
  <c r="CNG7" i="9"/>
  <c r="CNH7" i="9"/>
  <c r="CNI7" i="9"/>
  <c r="CNJ7" i="9"/>
  <c r="CNK7" i="9"/>
  <c r="CNL7" i="9"/>
  <c r="CNM7" i="9"/>
  <c r="CNN7" i="9"/>
  <c r="CNO7" i="9"/>
  <c r="CNP7" i="9"/>
  <c r="CNQ7" i="9"/>
  <c r="CNR7" i="9"/>
  <c r="CNS7" i="9"/>
  <c r="CNT7" i="9"/>
  <c r="CNU7" i="9"/>
  <c r="CNV7" i="9"/>
  <c r="CNW7" i="9"/>
  <c r="CNX7" i="9"/>
  <c r="CNY7" i="9"/>
  <c r="CNZ7" i="9"/>
  <c r="COA7" i="9"/>
  <c r="COB7" i="9"/>
  <c r="COC7" i="9"/>
  <c r="CKU7" i="9"/>
  <c r="CKV7" i="9"/>
  <c r="CKW7" i="9"/>
  <c r="CKX7" i="9"/>
  <c r="CKY7" i="9"/>
  <c r="CKZ7" i="9"/>
  <c r="CLA7" i="9"/>
  <c r="CLB7" i="9"/>
  <c r="CLC7" i="9"/>
  <c r="CLD7" i="9"/>
  <c r="CLE7" i="9"/>
  <c r="CLF7" i="9"/>
  <c r="CLG7" i="9"/>
  <c r="CLH7" i="9"/>
  <c r="CLI7" i="9"/>
  <c r="CLJ7" i="9"/>
  <c r="CLK7" i="9"/>
  <c r="CLL7" i="9"/>
  <c r="CLM7" i="9"/>
  <c r="CLN7" i="9"/>
  <c r="CLO7" i="9"/>
  <c r="CLP7" i="9"/>
  <c r="CLQ7" i="9"/>
  <c r="CLR7" i="9"/>
  <c r="CLS7" i="9"/>
  <c r="CLT7" i="9"/>
  <c r="CLU7" i="9"/>
  <c r="CLV7" i="9"/>
  <c r="CLW7" i="9"/>
  <c r="CLX7" i="9"/>
  <c r="CLY7" i="9"/>
  <c r="CLZ7" i="9"/>
  <c r="CMA7" i="9"/>
  <c r="CMB7" i="9"/>
  <c r="CMC7" i="9"/>
  <c r="CMD7" i="9"/>
  <c r="CME7" i="9"/>
  <c r="CMF7" i="9"/>
  <c r="CMG7" i="9"/>
  <c r="CMH7" i="9"/>
  <c r="CMI7" i="9"/>
  <c r="CMJ7" i="9"/>
  <c r="CMK7" i="9"/>
  <c r="CJC7" i="9"/>
  <c r="CJD7" i="9"/>
  <c r="CJE7" i="9"/>
  <c r="CJF7" i="9"/>
  <c r="CJG7" i="9"/>
  <c r="CJH7" i="9"/>
  <c r="CJI7" i="9"/>
  <c r="CJJ7" i="9"/>
  <c r="CJK7" i="9"/>
  <c r="CJL7" i="9"/>
  <c r="CJM7" i="9"/>
  <c r="CJN7" i="9"/>
  <c r="CJO7" i="9"/>
  <c r="CJP7" i="9"/>
  <c r="CJQ7" i="9"/>
  <c r="CJR7" i="9"/>
  <c r="CJS7" i="9"/>
  <c r="CJT7" i="9"/>
  <c r="CJU7" i="9"/>
  <c r="CJV7" i="9"/>
  <c r="CJW7" i="9"/>
  <c r="CJX7" i="9"/>
  <c r="CJY7" i="9"/>
  <c r="CJZ7" i="9"/>
  <c r="CKA7" i="9"/>
  <c r="CKB7" i="9"/>
  <c r="CKC7" i="9"/>
  <c r="CKD7" i="9"/>
  <c r="CKE7" i="9"/>
  <c r="CKF7" i="9"/>
  <c r="CKG7" i="9"/>
  <c r="CKH7" i="9"/>
  <c r="CKI7" i="9"/>
  <c r="CKJ7" i="9"/>
  <c r="CKK7" i="9"/>
  <c r="CKL7" i="9"/>
  <c r="CKM7" i="9"/>
  <c r="CKN7" i="9"/>
  <c r="CKO7" i="9"/>
  <c r="CKP7" i="9"/>
  <c r="CKQ7" i="9"/>
  <c r="CKR7" i="9"/>
  <c r="CKS7" i="9"/>
  <c r="CHK7" i="9"/>
  <c r="CHL7" i="9"/>
  <c r="CHM7" i="9"/>
  <c r="CHN7" i="9"/>
  <c r="CHO7" i="9"/>
  <c r="CHP7" i="9"/>
  <c r="CHQ7" i="9"/>
  <c r="CHR7" i="9"/>
  <c r="CHS7" i="9"/>
  <c r="CHT7" i="9"/>
  <c r="CHU7" i="9"/>
  <c r="CHV7" i="9"/>
  <c r="CHW7" i="9"/>
  <c r="CHX7" i="9"/>
  <c r="CHY7" i="9"/>
  <c r="CHZ7" i="9"/>
  <c r="CIA7" i="9"/>
  <c r="CIB7" i="9"/>
  <c r="CIC7" i="9"/>
  <c r="CID7" i="9"/>
  <c r="CIE7" i="9"/>
  <c r="CIF7" i="9"/>
  <c r="CIG7" i="9"/>
  <c r="CIH7" i="9"/>
  <c r="CII7" i="9"/>
  <c r="CIJ7" i="9"/>
  <c r="CIK7" i="9"/>
  <c r="CIL7" i="9"/>
  <c r="CIM7" i="9"/>
  <c r="CIN7" i="9"/>
  <c r="CIO7" i="9"/>
  <c r="CIP7" i="9"/>
  <c r="CIQ7" i="9"/>
  <c r="CIR7" i="9"/>
  <c r="CIS7" i="9"/>
  <c r="CIT7" i="9"/>
  <c r="CIU7" i="9"/>
  <c r="CIV7" i="9"/>
  <c r="CIW7" i="9"/>
  <c r="CIX7" i="9"/>
  <c r="CIY7" i="9"/>
  <c r="CIZ7" i="9"/>
  <c r="CJA7" i="9"/>
  <c r="CFS7" i="9"/>
  <c r="CFT7" i="9"/>
  <c r="CFU7" i="9"/>
  <c r="CFV7" i="9"/>
  <c r="CFW7" i="9"/>
  <c r="CFX7" i="9"/>
  <c r="CFY7" i="9"/>
  <c r="CFZ7" i="9"/>
  <c r="CGA7" i="9"/>
  <c r="CGB7" i="9"/>
  <c r="CGC7" i="9"/>
  <c r="CGD7" i="9"/>
  <c r="CGE7" i="9"/>
  <c r="CGF7" i="9"/>
  <c r="CGG7" i="9"/>
  <c r="CGH7" i="9"/>
  <c r="CGI7" i="9"/>
  <c r="CGJ7" i="9"/>
  <c r="CGK7" i="9"/>
  <c r="CGL7" i="9"/>
  <c r="CGM7" i="9"/>
  <c r="CGN7" i="9"/>
  <c r="CGO7" i="9"/>
  <c r="CGP7" i="9"/>
  <c r="CGQ7" i="9"/>
  <c r="CGR7" i="9"/>
  <c r="CGS7" i="9"/>
  <c r="CGT7" i="9"/>
  <c r="CGU7" i="9"/>
  <c r="CGV7" i="9"/>
  <c r="CGW7" i="9"/>
  <c r="CGX7" i="9"/>
  <c r="CGY7" i="9"/>
  <c r="CGZ7" i="9"/>
  <c r="CHA7" i="9"/>
  <c r="CHB7" i="9"/>
  <c r="CHC7" i="9"/>
  <c r="CHD7" i="9"/>
  <c r="CHE7" i="9"/>
  <c r="CHF7" i="9"/>
  <c r="CHG7" i="9"/>
  <c r="CHH7" i="9"/>
  <c r="CHI7" i="9"/>
  <c r="CEA7" i="9"/>
  <c r="CEB7" i="9"/>
  <c r="CEC7" i="9"/>
  <c r="CED7" i="9"/>
  <c r="CEE7" i="9"/>
  <c r="CEF7" i="9"/>
  <c r="CEG7" i="9"/>
  <c r="CEH7" i="9"/>
  <c r="CEI7" i="9"/>
  <c r="CEJ7" i="9"/>
  <c r="CEK7" i="9"/>
  <c r="CEL7" i="9"/>
  <c r="CEM7" i="9"/>
  <c r="CEN7" i="9"/>
  <c r="CEO7" i="9"/>
  <c r="CEP7" i="9"/>
  <c r="CEQ7" i="9"/>
  <c r="CER7" i="9"/>
  <c r="CES7" i="9"/>
  <c r="CET7" i="9"/>
  <c r="CEU7" i="9"/>
  <c r="CEV7" i="9"/>
  <c r="CEW7" i="9"/>
  <c r="CEX7" i="9"/>
  <c r="CEY7" i="9"/>
  <c r="CEZ7" i="9"/>
  <c r="CFA7" i="9"/>
  <c r="CFB7" i="9"/>
  <c r="CFC7" i="9"/>
  <c r="CFD7" i="9"/>
  <c r="CFE7" i="9"/>
  <c r="CFF7" i="9"/>
  <c r="CFG7" i="9"/>
  <c r="CFH7" i="9"/>
  <c r="CFI7" i="9"/>
  <c r="CFJ7" i="9"/>
  <c r="CFK7" i="9"/>
  <c r="CFL7" i="9"/>
  <c r="CFM7" i="9"/>
  <c r="CFN7" i="9"/>
  <c r="CFO7" i="9"/>
  <c r="CFP7" i="9"/>
  <c r="CFQ7" i="9"/>
  <c r="CCI7" i="9"/>
  <c r="CCJ7" i="9"/>
  <c r="CCK7" i="9"/>
  <c r="CCL7" i="9"/>
  <c r="CCM7" i="9"/>
  <c r="CCN7" i="9"/>
  <c r="CCO7" i="9"/>
  <c r="CCP7" i="9"/>
  <c r="CCQ7" i="9"/>
  <c r="CCR7" i="9"/>
  <c r="CCS7" i="9"/>
  <c r="CCT7" i="9"/>
  <c r="CCU7" i="9"/>
  <c r="CCV7" i="9"/>
  <c r="CCW7" i="9"/>
  <c r="CCX7" i="9"/>
  <c r="CCY7" i="9"/>
  <c r="CCZ7" i="9"/>
  <c r="CDA7" i="9"/>
  <c r="CDB7" i="9"/>
  <c r="CDC7" i="9"/>
  <c r="CDD7" i="9"/>
  <c r="CDE7" i="9"/>
  <c r="CDF7" i="9"/>
  <c r="CDG7" i="9"/>
  <c r="CDH7" i="9"/>
  <c r="CDI7" i="9"/>
  <c r="CDJ7" i="9"/>
  <c r="CDK7" i="9"/>
  <c r="CDL7" i="9"/>
  <c r="CDM7" i="9"/>
  <c r="CDN7" i="9"/>
  <c r="CDO7" i="9"/>
  <c r="CDP7" i="9"/>
  <c r="CDQ7" i="9"/>
  <c r="CDR7" i="9"/>
  <c r="CDS7" i="9"/>
  <c r="CDT7" i="9"/>
  <c r="CDU7" i="9"/>
  <c r="CDV7" i="9"/>
  <c r="CDW7" i="9"/>
  <c r="CDX7" i="9"/>
  <c r="CDY7" i="9"/>
  <c r="CAQ7" i="9"/>
  <c r="CAR7" i="9"/>
  <c r="CAS7" i="9"/>
  <c r="CAT7" i="9"/>
  <c r="CAU7" i="9"/>
  <c r="CAV7" i="9"/>
  <c r="CAW7" i="9"/>
  <c r="CAX7" i="9"/>
  <c r="CAY7" i="9"/>
  <c r="CAZ7" i="9"/>
  <c r="CBA7" i="9"/>
  <c r="CBB7" i="9"/>
  <c r="CBC7" i="9"/>
  <c r="CBD7" i="9"/>
  <c r="CBE7" i="9"/>
  <c r="CBF7" i="9"/>
  <c r="CBG7" i="9"/>
  <c r="CBH7" i="9"/>
  <c r="CBI7" i="9"/>
  <c r="CBJ7" i="9"/>
  <c r="CBK7" i="9"/>
  <c r="CBL7" i="9"/>
  <c r="CBM7" i="9"/>
  <c r="CBN7" i="9"/>
  <c r="CBO7" i="9"/>
  <c r="CBP7" i="9"/>
  <c r="CBQ7" i="9"/>
  <c r="CBR7" i="9"/>
  <c r="CBS7" i="9"/>
  <c r="CBT7" i="9"/>
  <c r="CBU7" i="9"/>
  <c r="CBV7" i="9"/>
  <c r="CBW7" i="9"/>
  <c r="CBX7" i="9"/>
  <c r="CBY7" i="9"/>
  <c r="CBZ7" i="9"/>
  <c r="CCA7" i="9"/>
  <c r="CCB7" i="9"/>
  <c r="CCC7" i="9"/>
  <c r="CCD7" i="9"/>
  <c r="CCE7" i="9"/>
  <c r="CCF7" i="9"/>
  <c r="CCG7" i="9"/>
  <c r="BYY7" i="9"/>
  <c r="BYZ7" i="9"/>
  <c r="BZA7" i="9"/>
  <c r="BZB7" i="9"/>
  <c r="BZC7" i="9"/>
  <c r="BZD7" i="9"/>
  <c r="BZE7" i="9"/>
  <c r="BZF7" i="9"/>
  <c r="BZG7" i="9"/>
  <c r="BZH7" i="9"/>
  <c r="BZI7" i="9"/>
  <c r="BZJ7" i="9"/>
  <c r="BZK7" i="9"/>
  <c r="BZL7" i="9"/>
  <c r="BZM7" i="9"/>
  <c r="BZN7" i="9"/>
  <c r="BZO7" i="9"/>
  <c r="BZP7" i="9"/>
  <c r="BZQ7" i="9"/>
  <c r="BZR7" i="9"/>
  <c r="BZS7" i="9"/>
  <c r="BZT7" i="9"/>
  <c r="BZU7" i="9"/>
  <c r="BZV7" i="9"/>
  <c r="BZW7" i="9"/>
  <c r="BZX7" i="9"/>
  <c r="BZY7" i="9"/>
  <c r="BZZ7" i="9"/>
  <c r="CAA7" i="9"/>
  <c r="CAB7" i="9"/>
  <c r="CAC7" i="9"/>
  <c r="CAD7" i="9"/>
  <c r="CAE7" i="9"/>
  <c r="CAF7" i="9"/>
  <c r="CAG7" i="9"/>
  <c r="CAH7" i="9"/>
  <c r="CAI7" i="9"/>
  <c r="CAJ7" i="9"/>
  <c r="CAK7" i="9"/>
  <c r="CAL7" i="9"/>
  <c r="CAM7" i="9"/>
  <c r="CAN7" i="9"/>
  <c r="CAO7" i="9"/>
  <c r="BXG7" i="9"/>
  <c r="BXH7" i="9"/>
  <c r="BXI7" i="9"/>
  <c r="BXJ7" i="9"/>
  <c r="BXK7" i="9"/>
  <c r="BXL7" i="9"/>
  <c r="BXM7" i="9"/>
  <c r="BXN7" i="9"/>
  <c r="BXO7" i="9"/>
  <c r="BXP7" i="9"/>
  <c r="BXQ7" i="9"/>
  <c r="BXR7" i="9"/>
  <c r="BXS7" i="9"/>
  <c r="BXT7" i="9"/>
  <c r="BXU7" i="9"/>
  <c r="BXV7" i="9"/>
  <c r="BXW7" i="9"/>
  <c r="BXX7" i="9"/>
  <c r="BXY7" i="9"/>
  <c r="BXZ7" i="9"/>
  <c r="BYA7" i="9"/>
  <c r="BYB7" i="9"/>
  <c r="BYC7" i="9"/>
  <c r="BYD7" i="9"/>
  <c r="BYE7" i="9"/>
  <c r="BYF7" i="9"/>
  <c r="BYG7" i="9"/>
  <c r="BYH7" i="9"/>
  <c r="BYI7" i="9"/>
  <c r="BYJ7" i="9"/>
  <c r="BYK7" i="9"/>
  <c r="BYL7" i="9"/>
  <c r="BYM7" i="9"/>
  <c r="BYN7" i="9"/>
  <c r="BYO7" i="9"/>
  <c r="BYP7" i="9"/>
  <c r="BYQ7" i="9"/>
  <c r="BYR7" i="9"/>
  <c r="BYS7" i="9"/>
  <c r="BYT7" i="9"/>
  <c r="BYU7" i="9"/>
  <c r="BYV7" i="9"/>
  <c r="BYW7" i="9"/>
  <c r="BVO7" i="9"/>
  <c r="BVP7" i="9"/>
  <c r="BVQ7" i="9"/>
  <c r="BVR7" i="9"/>
  <c r="BVS7" i="9"/>
  <c r="BVT7" i="9"/>
  <c r="BVU7" i="9"/>
  <c r="BVV7" i="9"/>
  <c r="BVW7" i="9"/>
  <c r="BVX7" i="9"/>
  <c r="BVY7" i="9"/>
  <c r="BVZ7" i="9"/>
  <c r="BWA7" i="9"/>
  <c r="BWB7" i="9"/>
  <c r="BWC7" i="9"/>
  <c r="BWD7" i="9"/>
  <c r="BWE7" i="9"/>
  <c r="BWF7" i="9"/>
  <c r="BWG7" i="9"/>
  <c r="BWH7" i="9"/>
  <c r="BWI7" i="9"/>
  <c r="BWJ7" i="9"/>
  <c r="BWK7" i="9"/>
  <c r="BWL7" i="9"/>
  <c r="BWM7" i="9"/>
  <c r="BWN7" i="9"/>
  <c r="BWO7" i="9"/>
  <c r="BWP7" i="9"/>
  <c r="BWQ7" i="9"/>
  <c r="BWR7" i="9"/>
  <c r="BWS7" i="9"/>
  <c r="BWT7" i="9"/>
  <c r="BWU7" i="9"/>
  <c r="BWV7" i="9"/>
  <c r="BWW7" i="9"/>
  <c r="BWX7" i="9"/>
  <c r="BWY7" i="9"/>
  <c r="BWZ7" i="9"/>
  <c r="BXA7" i="9"/>
  <c r="BXB7" i="9"/>
  <c r="BXC7" i="9"/>
  <c r="BXD7" i="9"/>
  <c r="BXE7" i="9"/>
  <c r="BTW7" i="9"/>
  <c r="BTX7" i="9"/>
  <c r="BTY7" i="9"/>
  <c r="BTZ7" i="9"/>
  <c r="BUA7" i="9"/>
  <c r="BUB7" i="9"/>
  <c r="BUC7" i="9"/>
  <c r="BUD7" i="9"/>
  <c r="BUE7" i="9"/>
  <c r="BUF7" i="9"/>
  <c r="BUG7" i="9"/>
  <c r="BUH7" i="9"/>
  <c r="BUI7" i="9"/>
  <c r="BUJ7" i="9"/>
  <c r="BUK7" i="9"/>
  <c r="BUL7" i="9"/>
  <c r="BUM7" i="9"/>
  <c r="BUN7" i="9"/>
  <c r="BUO7" i="9"/>
  <c r="BUP7" i="9"/>
  <c r="BUQ7" i="9"/>
  <c r="BUR7" i="9"/>
  <c r="BUS7" i="9"/>
  <c r="BUT7" i="9"/>
  <c r="BUU7" i="9"/>
  <c r="BUV7" i="9"/>
  <c r="BUW7" i="9"/>
  <c r="BUX7" i="9"/>
  <c r="BUY7" i="9"/>
  <c r="BUZ7" i="9"/>
  <c r="BVA7" i="9"/>
  <c r="BVB7" i="9"/>
  <c r="BVC7" i="9"/>
  <c r="BVD7" i="9"/>
  <c r="BVE7" i="9"/>
  <c r="BVF7" i="9"/>
  <c r="BVG7" i="9"/>
  <c r="BVH7" i="9"/>
  <c r="BVI7" i="9"/>
  <c r="BVJ7" i="9"/>
  <c r="BVK7" i="9"/>
  <c r="BVL7" i="9"/>
  <c r="BVM7" i="9"/>
  <c r="BSE7" i="9"/>
  <c r="BSF7" i="9"/>
  <c r="BSG7" i="9"/>
  <c r="BSH7" i="9"/>
  <c r="BSI7" i="9"/>
  <c r="BSJ7" i="9"/>
  <c r="BSK7" i="9"/>
  <c r="BSL7" i="9"/>
  <c r="BSM7" i="9"/>
  <c r="BSN7" i="9"/>
  <c r="BSO7" i="9"/>
  <c r="BSP7" i="9"/>
  <c r="BSQ7" i="9"/>
  <c r="BSR7" i="9"/>
  <c r="BSS7" i="9"/>
  <c r="BST7" i="9"/>
  <c r="BSU7" i="9"/>
  <c r="BSV7" i="9"/>
  <c r="BSW7" i="9"/>
  <c r="BSX7" i="9"/>
  <c r="BSY7" i="9"/>
  <c r="BSZ7" i="9"/>
  <c r="BTA7" i="9"/>
  <c r="BTB7" i="9"/>
  <c r="BTC7" i="9"/>
  <c r="BTD7" i="9"/>
  <c r="BTE7" i="9"/>
  <c r="BTF7" i="9"/>
  <c r="BTG7" i="9"/>
  <c r="BTH7" i="9"/>
  <c r="BTI7" i="9"/>
  <c r="BTJ7" i="9"/>
  <c r="BTK7" i="9"/>
  <c r="BTL7" i="9"/>
  <c r="BTM7" i="9"/>
  <c r="BTN7" i="9"/>
  <c r="BTO7" i="9"/>
  <c r="BTP7" i="9"/>
  <c r="BTQ7" i="9"/>
  <c r="BTR7" i="9"/>
  <c r="BTS7" i="9"/>
  <c r="BTT7" i="9"/>
  <c r="BTU7" i="9"/>
  <c r="BQM7" i="9"/>
  <c r="BQN7" i="9"/>
  <c r="BQO7" i="9"/>
  <c r="BQP7" i="9"/>
  <c r="BQQ7" i="9"/>
  <c r="BQR7" i="9"/>
  <c r="BQS7" i="9"/>
  <c r="BQT7" i="9"/>
  <c r="BQU7" i="9"/>
  <c r="BQV7" i="9"/>
  <c r="BQW7" i="9"/>
  <c r="BQX7" i="9"/>
  <c r="BQY7" i="9"/>
  <c r="BQZ7" i="9"/>
  <c r="BRA7" i="9"/>
  <c r="BRB7" i="9"/>
  <c r="BRC7" i="9"/>
  <c r="BRD7" i="9"/>
  <c r="BRE7" i="9"/>
  <c r="BRF7" i="9"/>
  <c r="BRG7" i="9"/>
  <c r="BRH7" i="9"/>
  <c r="BRI7" i="9"/>
  <c r="BRJ7" i="9"/>
  <c r="BRK7" i="9"/>
  <c r="BRL7" i="9"/>
  <c r="BRM7" i="9"/>
  <c r="BRN7" i="9"/>
  <c r="BRO7" i="9"/>
  <c r="BRP7" i="9"/>
  <c r="BRQ7" i="9"/>
  <c r="BRR7" i="9"/>
  <c r="BRS7" i="9"/>
  <c r="BRT7" i="9"/>
  <c r="BRU7" i="9"/>
  <c r="BRV7" i="9"/>
  <c r="BRW7" i="9"/>
  <c r="BRX7" i="9"/>
  <c r="BRY7" i="9"/>
  <c r="BRZ7" i="9"/>
  <c r="BSA7" i="9"/>
  <c r="BSB7" i="9"/>
  <c r="BSC7" i="9"/>
  <c r="BOU7" i="9"/>
  <c r="BOV7" i="9"/>
  <c r="BOW7" i="9"/>
  <c r="BOX7" i="9"/>
  <c r="BOY7" i="9"/>
  <c r="BOZ7" i="9"/>
  <c r="BPA7" i="9"/>
  <c r="BPB7" i="9"/>
  <c r="BPC7" i="9"/>
  <c r="BPD7" i="9"/>
  <c r="BPE7" i="9"/>
  <c r="BPF7" i="9"/>
  <c r="BPG7" i="9"/>
  <c r="BPH7" i="9"/>
  <c r="BPI7" i="9"/>
  <c r="BPJ7" i="9"/>
  <c r="BPK7" i="9"/>
  <c r="BPL7" i="9"/>
  <c r="BPM7" i="9"/>
  <c r="BPN7" i="9"/>
  <c r="BPO7" i="9"/>
  <c r="BPP7" i="9"/>
  <c r="BPQ7" i="9"/>
  <c r="BPR7" i="9"/>
  <c r="BPS7" i="9"/>
  <c r="BPT7" i="9"/>
  <c r="BPU7" i="9"/>
  <c r="BPV7" i="9"/>
  <c r="BPW7" i="9"/>
  <c r="BPX7" i="9"/>
  <c r="BPY7" i="9"/>
  <c r="BPZ7" i="9"/>
  <c r="BQA7" i="9"/>
  <c r="BQB7" i="9"/>
  <c r="BQC7" i="9"/>
  <c r="BQD7" i="9"/>
  <c r="BQE7" i="9"/>
  <c r="BQF7" i="9"/>
  <c r="BQG7" i="9"/>
  <c r="BQH7" i="9"/>
  <c r="BQI7" i="9"/>
  <c r="BQJ7" i="9"/>
  <c r="BQK7" i="9"/>
  <c r="BNC7" i="9"/>
  <c r="BND7" i="9"/>
  <c r="BNE7" i="9"/>
  <c r="BNF7" i="9"/>
  <c r="BNG7" i="9"/>
  <c r="BNH7" i="9"/>
  <c r="BNI7" i="9"/>
  <c r="BNJ7" i="9"/>
  <c r="BNK7" i="9"/>
  <c r="BNL7" i="9"/>
  <c r="BNM7" i="9"/>
  <c r="BNN7" i="9"/>
  <c r="BNO7" i="9"/>
  <c r="BNP7" i="9"/>
  <c r="BNQ7" i="9"/>
  <c r="BNR7" i="9"/>
  <c r="BNS7" i="9"/>
  <c r="BNT7" i="9"/>
  <c r="BNU7" i="9"/>
  <c r="BNV7" i="9"/>
  <c r="BNW7" i="9"/>
  <c r="BNX7" i="9"/>
  <c r="BNY7" i="9"/>
  <c r="BNZ7" i="9"/>
  <c r="BOA7" i="9"/>
  <c r="BOB7" i="9"/>
  <c r="BOC7" i="9"/>
  <c r="BOD7" i="9"/>
  <c r="BOE7" i="9"/>
  <c r="BOF7" i="9"/>
  <c r="BOG7" i="9"/>
  <c r="BOH7" i="9"/>
  <c r="BOI7" i="9"/>
  <c r="BOJ7" i="9"/>
  <c r="BOK7" i="9"/>
  <c r="BOL7" i="9"/>
  <c r="BOM7" i="9"/>
  <c r="BON7" i="9"/>
  <c r="BOO7" i="9"/>
  <c r="BOP7" i="9"/>
  <c r="BOQ7" i="9"/>
  <c r="BOR7" i="9"/>
  <c r="BOS7" i="9"/>
  <c r="BLK7" i="9"/>
  <c r="BLL7" i="9"/>
  <c r="BLM7" i="9"/>
  <c r="BLN7" i="9"/>
  <c r="BLO7" i="9"/>
  <c r="BLP7" i="9"/>
  <c r="BLQ7" i="9"/>
  <c r="BLR7" i="9"/>
  <c r="BLS7" i="9"/>
  <c r="BLT7" i="9"/>
  <c r="BLU7" i="9"/>
  <c r="BLV7" i="9"/>
  <c r="BLW7" i="9"/>
  <c r="BLX7" i="9"/>
  <c r="BLY7" i="9"/>
  <c r="BLZ7" i="9"/>
  <c r="BMA7" i="9"/>
  <c r="BMB7" i="9"/>
  <c r="BMC7" i="9"/>
  <c r="BMD7" i="9"/>
  <c r="BME7" i="9"/>
  <c r="BMF7" i="9"/>
  <c r="BMG7" i="9"/>
  <c r="BMH7" i="9"/>
  <c r="BMI7" i="9"/>
  <c r="BMJ7" i="9"/>
  <c r="BMK7" i="9"/>
  <c r="BML7" i="9"/>
  <c r="BMM7" i="9"/>
  <c r="BMN7" i="9"/>
  <c r="BMO7" i="9"/>
  <c r="BMP7" i="9"/>
  <c r="BMQ7" i="9"/>
  <c r="BMR7" i="9"/>
  <c r="BMS7" i="9"/>
  <c r="BMT7" i="9"/>
  <c r="BMU7" i="9"/>
  <c r="BMV7" i="9"/>
  <c r="BMW7" i="9"/>
  <c r="BMX7" i="9"/>
  <c r="BMY7" i="9"/>
  <c r="BMZ7" i="9"/>
  <c r="BNA7" i="9"/>
  <c r="BJS7" i="9"/>
  <c r="BJT7" i="9"/>
  <c r="BJU7" i="9"/>
  <c r="BJV7" i="9"/>
  <c r="BJW7" i="9"/>
  <c r="BJX7" i="9"/>
  <c r="BJY7" i="9"/>
  <c r="BJZ7" i="9"/>
  <c r="BKA7" i="9"/>
  <c r="BKB7" i="9"/>
  <c r="BKC7" i="9"/>
  <c r="BKD7" i="9"/>
  <c r="BKE7" i="9"/>
  <c r="BKF7" i="9"/>
  <c r="BKG7" i="9"/>
  <c r="BKH7" i="9"/>
  <c r="BKI7" i="9"/>
  <c r="BKJ7" i="9"/>
  <c r="BKK7" i="9"/>
  <c r="BKL7" i="9"/>
  <c r="BKM7" i="9"/>
  <c r="BKN7" i="9"/>
  <c r="BKO7" i="9"/>
  <c r="BKP7" i="9"/>
  <c r="BKQ7" i="9"/>
  <c r="BKR7" i="9"/>
  <c r="BKS7" i="9"/>
  <c r="BKT7" i="9"/>
  <c r="BKU7" i="9"/>
  <c r="BKV7" i="9"/>
  <c r="BKW7" i="9"/>
  <c r="BKX7" i="9"/>
  <c r="BKY7" i="9"/>
  <c r="BKZ7" i="9"/>
  <c r="BLA7" i="9"/>
  <c r="BLB7" i="9"/>
  <c r="BLC7" i="9"/>
  <c r="BLD7" i="9"/>
  <c r="BLE7" i="9"/>
  <c r="BLF7" i="9"/>
  <c r="BLG7" i="9"/>
  <c r="BLH7" i="9"/>
  <c r="BLI7" i="9"/>
  <c r="BIA7" i="9"/>
  <c r="BIB7" i="9"/>
  <c r="BIC7" i="9"/>
  <c r="BID7" i="9"/>
  <c r="BIE7" i="9"/>
  <c r="BIF7" i="9"/>
  <c r="BIG7" i="9"/>
  <c r="BIH7" i="9"/>
  <c r="BII7" i="9"/>
  <c r="BIJ7" i="9"/>
  <c r="BIK7" i="9"/>
  <c r="BIL7" i="9"/>
  <c r="BIM7" i="9"/>
  <c r="BIN7" i="9"/>
  <c r="BIO7" i="9"/>
  <c r="BIP7" i="9"/>
  <c r="BIQ7" i="9"/>
  <c r="BIR7" i="9"/>
  <c r="BIS7" i="9"/>
  <c r="BIT7" i="9"/>
  <c r="BIU7" i="9"/>
  <c r="BIV7" i="9"/>
  <c r="BIW7" i="9"/>
  <c r="BIX7" i="9"/>
  <c r="BIY7" i="9"/>
  <c r="BIZ7" i="9"/>
  <c r="BJA7" i="9"/>
  <c r="BJB7" i="9"/>
  <c r="BJC7" i="9"/>
  <c r="BJD7" i="9"/>
  <c r="BJE7" i="9"/>
  <c r="BJF7" i="9"/>
  <c r="BJG7" i="9"/>
  <c r="BJH7" i="9"/>
  <c r="BJI7" i="9"/>
  <c r="BJJ7" i="9"/>
  <c r="BJK7" i="9"/>
  <c r="BJL7" i="9"/>
  <c r="BJM7" i="9"/>
  <c r="BJN7" i="9"/>
  <c r="BJO7" i="9"/>
  <c r="BJP7" i="9"/>
  <c r="BJQ7" i="9"/>
  <c r="BGI7" i="9"/>
  <c r="BGJ7" i="9"/>
  <c r="BGK7" i="9"/>
  <c r="BGL7" i="9"/>
  <c r="BGM7" i="9"/>
  <c r="BGN7" i="9"/>
  <c r="BGO7" i="9"/>
  <c r="BGP7" i="9"/>
  <c r="BGQ7" i="9"/>
  <c r="BGR7" i="9"/>
  <c r="BGS7" i="9"/>
  <c r="BGT7" i="9"/>
  <c r="BGU7" i="9"/>
  <c r="BGV7" i="9"/>
  <c r="BGW7" i="9"/>
  <c r="BGX7" i="9"/>
  <c r="BGY7" i="9"/>
  <c r="BGZ7" i="9"/>
  <c r="BHA7" i="9"/>
  <c r="BHB7" i="9"/>
  <c r="BHC7" i="9"/>
  <c r="BHD7" i="9"/>
  <c r="BHE7" i="9"/>
  <c r="BHF7" i="9"/>
  <c r="BHG7" i="9"/>
  <c r="BHH7" i="9"/>
  <c r="BHI7" i="9"/>
  <c r="BHJ7" i="9"/>
  <c r="BHK7" i="9"/>
  <c r="BHL7" i="9"/>
  <c r="BHM7" i="9"/>
  <c r="BHN7" i="9"/>
  <c r="BHO7" i="9"/>
  <c r="BHP7" i="9"/>
  <c r="BHQ7" i="9"/>
  <c r="BHR7" i="9"/>
  <c r="BHS7" i="9"/>
  <c r="BHT7" i="9"/>
  <c r="BHU7" i="9"/>
  <c r="BHV7" i="9"/>
  <c r="BHW7" i="9"/>
  <c r="BHX7" i="9"/>
  <c r="BHY7" i="9"/>
  <c r="BEQ7" i="9"/>
  <c r="BER7" i="9"/>
  <c r="BES7" i="9"/>
  <c r="BET7" i="9"/>
  <c r="BEU7" i="9"/>
  <c r="BEV7" i="9"/>
  <c r="BEW7" i="9"/>
  <c r="BEX7" i="9"/>
  <c r="BEY7" i="9"/>
  <c r="BEZ7" i="9"/>
  <c r="BFA7" i="9"/>
  <c r="BFB7" i="9"/>
  <c r="BFC7" i="9"/>
  <c r="BFD7" i="9"/>
  <c r="BFE7" i="9"/>
  <c r="BFF7" i="9"/>
  <c r="BFG7" i="9"/>
  <c r="BFH7" i="9"/>
  <c r="BFI7" i="9"/>
  <c r="BFJ7" i="9"/>
  <c r="BFK7" i="9"/>
  <c r="BFL7" i="9"/>
  <c r="BFM7" i="9"/>
  <c r="BFN7" i="9"/>
  <c r="BFO7" i="9"/>
  <c r="BFP7" i="9"/>
  <c r="BFQ7" i="9"/>
  <c r="BFR7" i="9"/>
  <c r="BFS7" i="9"/>
  <c r="BFT7" i="9"/>
  <c r="BFU7" i="9"/>
  <c r="BFV7" i="9"/>
  <c r="BFW7" i="9"/>
  <c r="BFX7" i="9"/>
  <c r="BFY7" i="9"/>
  <c r="BFZ7" i="9"/>
  <c r="BGA7" i="9"/>
  <c r="BGB7" i="9"/>
  <c r="BGC7" i="9"/>
  <c r="BGD7" i="9"/>
  <c r="BGE7" i="9"/>
  <c r="BGF7" i="9"/>
  <c r="BGG7" i="9"/>
  <c r="BCY7" i="9"/>
  <c r="BCZ7" i="9"/>
  <c r="BDA7" i="9"/>
  <c r="BDB7" i="9"/>
  <c r="BDC7" i="9"/>
  <c r="BDD7" i="9"/>
  <c r="BDE7" i="9"/>
  <c r="BDF7" i="9"/>
  <c r="BDG7" i="9"/>
  <c r="BDH7" i="9"/>
  <c r="BDI7" i="9"/>
  <c r="BDJ7" i="9"/>
  <c r="BDK7" i="9"/>
  <c r="BDL7" i="9"/>
  <c r="BDM7" i="9"/>
  <c r="BDN7" i="9"/>
  <c r="BDO7" i="9"/>
  <c r="BDP7" i="9"/>
  <c r="BDQ7" i="9"/>
  <c r="BDR7" i="9"/>
  <c r="BDS7" i="9"/>
  <c r="BDT7" i="9"/>
  <c r="BDU7" i="9"/>
  <c r="BDV7" i="9"/>
  <c r="BDW7" i="9"/>
  <c r="BDX7" i="9"/>
  <c r="BDY7" i="9"/>
  <c r="BDZ7" i="9"/>
  <c r="BEA7" i="9"/>
  <c r="BEB7" i="9"/>
  <c r="BEC7" i="9"/>
  <c r="BED7" i="9"/>
  <c r="BEE7" i="9"/>
  <c r="BEF7" i="9"/>
  <c r="BEG7" i="9"/>
  <c r="BEH7" i="9"/>
  <c r="BEI7" i="9"/>
  <c r="BEJ7" i="9"/>
  <c r="BEK7" i="9"/>
  <c r="BEL7" i="9"/>
  <c r="BEM7" i="9"/>
  <c r="BEN7" i="9"/>
  <c r="BEO7" i="9"/>
  <c r="BBG7" i="9"/>
  <c r="BBH7" i="9"/>
  <c r="BBI7" i="9"/>
  <c r="BBJ7" i="9"/>
  <c r="BBK7" i="9"/>
  <c r="BBL7" i="9"/>
  <c r="BBM7" i="9"/>
  <c r="BBN7" i="9"/>
  <c r="BBO7" i="9"/>
  <c r="BBP7" i="9"/>
  <c r="BBQ7" i="9"/>
  <c r="BBR7" i="9"/>
  <c r="BBS7" i="9"/>
  <c r="BBT7" i="9"/>
  <c r="BBU7" i="9"/>
  <c r="BBV7" i="9"/>
  <c r="BBW7" i="9"/>
  <c r="BBX7" i="9"/>
  <c r="BBY7" i="9"/>
  <c r="BBZ7" i="9"/>
  <c r="BCA7" i="9"/>
  <c r="BCB7" i="9"/>
  <c r="BCC7" i="9"/>
  <c r="BCD7" i="9"/>
  <c r="BCE7" i="9"/>
  <c r="BCF7" i="9"/>
  <c r="BCG7" i="9"/>
  <c r="BCH7" i="9"/>
  <c r="BCI7" i="9"/>
  <c r="BCJ7" i="9"/>
  <c r="BCK7" i="9"/>
  <c r="BCL7" i="9"/>
  <c r="BCM7" i="9"/>
  <c r="BCN7" i="9"/>
  <c r="BCO7" i="9"/>
  <c r="BCP7" i="9"/>
  <c r="BCQ7" i="9"/>
  <c r="BCR7" i="9"/>
  <c r="BCS7" i="9"/>
  <c r="BCT7" i="9"/>
  <c r="BCU7" i="9"/>
  <c r="BCV7" i="9"/>
  <c r="BCW7" i="9"/>
  <c r="AZO7" i="9"/>
  <c r="AZP7" i="9"/>
  <c r="AZQ7" i="9"/>
  <c r="AZR7" i="9"/>
  <c r="AZS7" i="9"/>
  <c r="AZT7" i="9"/>
  <c r="AZU7" i="9"/>
  <c r="AZV7" i="9"/>
  <c r="AZW7" i="9"/>
  <c r="AZX7" i="9"/>
  <c r="AZY7" i="9"/>
  <c r="AZZ7" i="9"/>
  <c r="BAA7" i="9"/>
  <c r="BAB7" i="9"/>
  <c r="BAC7" i="9"/>
  <c r="BAD7" i="9"/>
  <c r="BAE7" i="9"/>
  <c r="BAF7" i="9"/>
  <c r="BAG7" i="9"/>
  <c r="BAH7" i="9"/>
  <c r="BAI7" i="9"/>
  <c r="BAJ7" i="9"/>
  <c r="BAK7" i="9"/>
  <c r="BAL7" i="9"/>
  <c r="BAM7" i="9"/>
  <c r="BAN7" i="9"/>
  <c r="BAO7" i="9"/>
  <c r="BAP7" i="9"/>
  <c r="BAQ7" i="9"/>
  <c r="BAR7" i="9"/>
  <c r="BAS7" i="9"/>
  <c r="BAT7" i="9"/>
  <c r="BAU7" i="9"/>
  <c r="BAV7" i="9"/>
  <c r="BAW7" i="9"/>
  <c r="BAX7" i="9"/>
  <c r="BAY7" i="9"/>
  <c r="BAZ7" i="9"/>
  <c r="BBA7" i="9"/>
  <c r="BBB7" i="9"/>
  <c r="BBC7" i="9"/>
  <c r="BBD7" i="9"/>
  <c r="BBE7" i="9"/>
  <c r="AXW7" i="9"/>
  <c r="AXX7" i="9"/>
  <c r="AXY7" i="9"/>
  <c r="AXZ7" i="9"/>
  <c r="AYA7" i="9"/>
  <c r="AYB7" i="9"/>
  <c r="AYC7" i="9"/>
  <c r="AYD7" i="9"/>
  <c r="AYE7" i="9"/>
  <c r="AYF7" i="9"/>
  <c r="AYG7" i="9"/>
  <c r="AYH7" i="9"/>
  <c r="AYI7" i="9"/>
  <c r="AYJ7" i="9"/>
  <c r="AYK7" i="9"/>
  <c r="AYL7" i="9"/>
  <c r="AYM7" i="9"/>
  <c r="AYN7" i="9"/>
  <c r="AYO7" i="9"/>
  <c r="AYP7" i="9"/>
  <c r="AYQ7" i="9"/>
  <c r="AYR7" i="9"/>
  <c r="AYS7" i="9"/>
  <c r="AYT7" i="9"/>
  <c r="AYU7" i="9"/>
  <c r="AYV7" i="9"/>
  <c r="AYW7" i="9"/>
  <c r="AYX7" i="9"/>
  <c r="AYY7" i="9"/>
  <c r="AYZ7" i="9"/>
  <c r="AZA7" i="9"/>
  <c r="AZB7" i="9"/>
  <c r="AZC7" i="9"/>
  <c r="AZD7" i="9"/>
  <c r="AZE7" i="9"/>
  <c r="AZF7" i="9"/>
  <c r="AZG7" i="9"/>
  <c r="AZH7" i="9"/>
  <c r="AZI7" i="9"/>
  <c r="AZJ7" i="9"/>
  <c r="AZK7" i="9"/>
  <c r="AZL7" i="9"/>
  <c r="AZM7" i="9"/>
  <c r="AWD7" i="9"/>
  <c r="AWE7" i="9"/>
  <c r="AWF7" i="9"/>
  <c r="AWG7" i="9"/>
  <c r="AWH7" i="9"/>
  <c r="AWI7" i="9"/>
  <c r="AWJ7" i="9"/>
  <c r="AWK7" i="9"/>
  <c r="AWL7" i="9"/>
  <c r="AWM7" i="9"/>
  <c r="AWN7" i="9"/>
  <c r="AWO7" i="9"/>
  <c r="AWP7" i="9"/>
  <c r="AWQ7" i="9"/>
  <c r="AWR7" i="9"/>
  <c r="AWS7" i="9"/>
  <c r="AWT7" i="9"/>
  <c r="AWU7" i="9"/>
  <c r="AWV7" i="9"/>
  <c r="AWW7" i="9"/>
  <c r="AWX7" i="9"/>
  <c r="AWY7" i="9"/>
  <c r="AWZ7" i="9"/>
  <c r="AXA7" i="9"/>
  <c r="AXB7" i="9"/>
  <c r="AXC7" i="9"/>
  <c r="AXD7" i="9"/>
  <c r="AXE7" i="9"/>
  <c r="AXF7" i="9"/>
  <c r="AXG7" i="9"/>
  <c r="AXH7" i="9"/>
  <c r="AXI7" i="9"/>
  <c r="AXJ7" i="9"/>
  <c r="AXK7" i="9"/>
  <c r="AXL7" i="9"/>
  <c r="AXM7" i="9"/>
  <c r="AXN7" i="9"/>
  <c r="AXO7" i="9"/>
  <c r="AXP7" i="9"/>
  <c r="AXQ7" i="9"/>
  <c r="AXR7" i="9"/>
  <c r="AXS7" i="9"/>
  <c r="AXT7" i="9"/>
  <c r="AXU7" i="9"/>
  <c r="AUL7" i="9"/>
  <c r="AUM7" i="9"/>
  <c r="AUN7" i="9"/>
  <c r="AUO7" i="9"/>
  <c r="AUP7" i="9"/>
  <c r="AUQ7" i="9"/>
  <c r="AUR7" i="9"/>
  <c r="AUS7" i="9"/>
  <c r="AUT7" i="9"/>
  <c r="AUU7" i="9"/>
  <c r="AUV7" i="9"/>
  <c r="AUW7" i="9"/>
  <c r="AUX7" i="9"/>
  <c r="AUY7" i="9"/>
  <c r="AUZ7" i="9"/>
  <c r="AVA7" i="9"/>
  <c r="AVB7" i="9"/>
  <c r="AVC7" i="9"/>
  <c r="AVD7" i="9"/>
  <c r="AVE7" i="9"/>
  <c r="AVF7" i="9"/>
  <c r="AVG7" i="9"/>
  <c r="AVH7" i="9"/>
  <c r="AVI7" i="9"/>
  <c r="AVJ7" i="9"/>
  <c r="AVK7" i="9"/>
  <c r="AVL7" i="9"/>
  <c r="AVM7" i="9"/>
  <c r="AVN7" i="9"/>
  <c r="AVO7" i="9"/>
  <c r="AVP7" i="9"/>
  <c r="AVQ7" i="9"/>
  <c r="AVR7" i="9"/>
  <c r="AVS7" i="9"/>
  <c r="AVT7" i="9"/>
  <c r="AVU7" i="9"/>
  <c r="AVV7" i="9"/>
  <c r="AVW7" i="9"/>
  <c r="AVX7" i="9"/>
  <c r="AVY7" i="9"/>
  <c r="AVZ7" i="9"/>
  <c r="AWA7" i="9"/>
  <c r="AWB7" i="9"/>
  <c r="AWC7" i="9"/>
  <c r="AST7" i="9"/>
  <c r="ASU7" i="9"/>
  <c r="ASV7" i="9"/>
  <c r="ASW7" i="9"/>
  <c r="ASX7" i="9"/>
  <c r="ASY7" i="9"/>
  <c r="ASZ7" i="9"/>
  <c r="ATA7" i="9"/>
  <c r="ATB7" i="9"/>
  <c r="ATC7" i="9"/>
  <c r="ATD7" i="9"/>
  <c r="ATE7" i="9"/>
  <c r="ATF7" i="9"/>
  <c r="ATG7" i="9"/>
  <c r="ATH7" i="9"/>
  <c r="ATI7" i="9"/>
  <c r="ATJ7" i="9"/>
  <c r="ATK7" i="9"/>
  <c r="ATL7" i="9"/>
  <c r="ATM7" i="9"/>
  <c r="ATN7" i="9"/>
  <c r="ATO7" i="9"/>
  <c r="ATP7" i="9"/>
  <c r="ATQ7" i="9"/>
  <c r="ATR7" i="9"/>
  <c r="ATS7" i="9"/>
  <c r="ATT7" i="9"/>
  <c r="ATU7" i="9"/>
  <c r="ATV7" i="9"/>
  <c r="ATW7" i="9"/>
  <c r="ATX7" i="9"/>
  <c r="ATY7" i="9"/>
  <c r="ATZ7" i="9"/>
  <c r="AUA7" i="9"/>
  <c r="AUB7" i="9"/>
  <c r="AUC7" i="9"/>
  <c r="AUD7" i="9"/>
  <c r="AUE7" i="9"/>
  <c r="AUF7" i="9"/>
  <c r="AUG7" i="9"/>
  <c r="AUH7" i="9"/>
  <c r="AUI7" i="9"/>
  <c r="AUJ7" i="9"/>
  <c r="AUK7" i="9"/>
  <c r="ARB7" i="9"/>
  <c r="ARC7" i="9"/>
  <c r="ARD7" i="9"/>
  <c r="ARE7" i="9"/>
  <c r="ARF7" i="9"/>
  <c r="ARG7" i="9"/>
  <c r="ARH7" i="9"/>
  <c r="ARI7" i="9"/>
  <c r="ARJ7" i="9"/>
  <c r="ARK7" i="9"/>
  <c r="ARL7" i="9"/>
  <c r="ARM7" i="9"/>
  <c r="ARN7" i="9"/>
  <c r="ARO7" i="9"/>
  <c r="ARP7" i="9"/>
  <c r="ARQ7" i="9"/>
  <c r="ARR7" i="9"/>
  <c r="ARS7" i="9"/>
  <c r="ART7" i="9"/>
  <c r="ARU7" i="9"/>
  <c r="ARV7" i="9"/>
  <c r="ARW7" i="9"/>
  <c r="ARX7" i="9"/>
  <c r="ARY7" i="9"/>
  <c r="ARZ7" i="9"/>
  <c r="ASA7" i="9"/>
  <c r="ASB7" i="9"/>
  <c r="ASC7" i="9"/>
  <c r="ASD7" i="9"/>
  <c r="ASE7" i="9"/>
  <c r="ASF7" i="9"/>
  <c r="ASG7" i="9"/>
  <c r="ASH7" i="9"/>
  <c r="ASI7" i="9"/>
  <c r="ASJ7" i="9"/>
  <c r="ASK7" i="9"/>
  <c r="ASL7" i="9"/>
  <c r="ASM7" i="9"/>
  <c r="ASN7" i="9"/>
  <c r="ASO7" i="9"/>
  <c r="ASP7" i="9"/>
  <c r="ASQ7" i="9"/>
  <c r="ASR7" i="9"/>
  <c r="ASS7" i="9"/>
  <c r="APJ7" i="9"/>
  <c r="APK7" i="9"/>
  <c r="APL7" i="9"/>
  <c r="APM7" i="9"/>
  <c r="APN7" i="9"/>
  <c r="APO7" i="9"/>
  <c r="APP7" i="9"/>
  <c r="APQ7" i="9"/>
  <c r="APR7" i="9"/>
  <c r="APS7" i="9"/>
  <c r="APT7" i="9"/>
  <c r="APU7" i="9"/>
  <c r="APV7" i="9"/>
  <c r="APW7" i="9"/>
  <c r="APX7" i="9"/>
  <c r="APY7" i="9"/>
  <c r="APZ7" i="9"/>
  <c r="AQA7" i="9"/>
  <c r="AQB7" i="9"/>
  <c r="AQC7" i="9"/>
  <c r="AQD7" i="9"/>
  <c r="AQE7" i="9"/>
  <c r="AQF7" i="9"/>
  <c r="AQG7" i="9"/>
  <c r="AQH7" i="9"/>
  <c r="AQI7" i="9"/>
  <c r="AQJ7" i="9"/>
  <c r="AQK7" i="9"/>
  <c r="AQL7" i="9"/>
  <c r="AQM7" i="9"/>
  <c r="AQN7" i="9"/>
  <c r="AQO7" i="9"/>
  <c r="AQP7" i="9"/>
  <c r="AQQ7" i="9"/>
  <c r="AQR7" i="9"/>
  <c r="AQS7" i="9"/>
  <c r="AQT7" i="9"/>
  <c r="AQU7" i="9"/>
  <c r="AQV7" i="9"/>
  <c r="AQW7" i="9"/>
  <c r="AQX7" i="9"/>
  <c r="AQY7" i="9"/>
  <c r="AQZ7" i="9"/>
  <c r="ARA7" i="9"/>
  <c r="ANR7" i="9"/>
  <c r="ANS7" i="9"/>
  <c r="ANT7" i="9"/>
  <c r="ANU7" i="9"/>
  <c r="ANV7" i="9"/>
  <c r="ANW7" i="9"/>
  <c r="ANX7" i="9"/>
  <c r="ANY7" i="9"/>
  <c r="ANZ7" i="9"/>
  <c r="AOA7" i="9"/>
  <c r="AOB7" i="9"/>
  <c r="AOC7" i="9"/>
  <c r="AOD7" i="9"/>
  <c r="AOE7" i="9"/>
  <c r="AOF7" i="9"/>
  <c r="AOG7" i="9"/>
  <c r="AOH7" i="9"/>
  <c r="AOI7" i="9"/>
  <c r="AOJ7" i="9"/>
  <c r="AOK7" i="9"/>
  <c r="AOL7" i="9"/>
  <c r="AOM7" i="9"/>
  <c r="AON7" i="9"/>
  <c r="AOO7" i="9"/>
  <c r="AOP7" i="9"/>
  <c r="AOQ7" i="9"/>
  <c r="AOR7" i="9"/>
  <c r="AOS7" i="9"/>
  <c r="AOT7" i="9"/>
  <c r="AOU7" i="9"/>
  <c r="AOV7" i="9"/>
  <c r="AOW7" i="9"/>
  <c r="AOX7" i="9"/>
  <c r="AOY7" i="9"/>
  <c r="AOZ7" i="9"/>
  <c r="APA7" i="9"/>
  <c r="APB7" i="9"/>
  <c r="APC7" i="9"/>
  <c r="APD7" i="9"/>
  <c r="APE7" i="9"/>
  <c r="APF7" i="9"/>
  <c r="APG7" i="9"/>
  <c r="APH7" i="9"/>
  <c r="API7" i="9"/>
  <c r="ALZ7" i="9"/>
  <c r="AMA7" i="9"/>
  <c r="AMB7" i="9"/>
  <c r="AMC7" i="9"/>
  <c r="AMD7" i="9"/>
  <c r="AME7" i="9"/>
  <c r="AMF7" i="9"/>
  <c r="AMG7" i="9"/>
  <c r="AMH7" i="9"/>
  <c r="AMI7" i="9"/>
  <c r="AMJ7" i="9"/>
  <c r="AMK7" i="9"/>
  <c r="AML7" i="9"/>
  <c r="AMM7" i="9"/>
  <c r="AMN7" i="9"/>
  <c r="AMO7" i="9"/>
  <c r="AMP7" i="9"/>
  <c r="AMQ7" i="9"/>
  <c r="AMR7" i="9"/>
  <c r="AMS7" i="9"/>
  <c r="AMT7" i="9"/>
  <c r="AMU7" i="9"/>
  <c r="AMV7" i="9"/>
  <c r="AMW7" i="9"/>
  <c r="AMX7" i="9"/>
  <c r="AMY7" i="9"/>
  <c r="AMZ7" i="9"/>
  <c r="ANA7" i="9"/>
  <c r="ANB7" i="9"/>
  <c r="ANC7" i="9"/>
  <c r="AND7" i="9"/>
  <c r="ANE7" i="9"/>
  <c r="ANF7" i="9"/>
  <c r="ANG7" i="9"/>
  <c r="ANH7" i="9"/>
  <c r="ANI7" i="9"/>
  <c r="ANJ7" i="9"/>
  <c r="ANK7" i="9"/>
  <c r="ANL7" i="9"/>
  <c r="ANM7" i="9"/>
  <c r="ANN7" i="9"/>
  <c r="ANO7" i="9"/>
  <c r="ANP7" i="9"/>
  <c r="ANQ7" i="9"/>
  <c r="AKH7" i="9"/>
  <c r="AKI7" i="9"/>
  <c r="AKJ7" i="9"/>
  <c r="AKK7" i="9"/>
  <c r="AKL7" i="9"/>
  <c r="AKM7" i="9"/>
  <c r="AKN7" i="9"/>
  <c r="AKO7" i="9"/>
  <c r="AKP7" i="9"/>
  <c r="AKQ7" i="9"/>
  <c r="AKR7" i="9"/>
  <c r="AKS7" i="9"/>
  <c r="AKT7" i="9"/>
  <c r="AKU7" i="9"/>
  <c r="AKV7" i="9"/>
  <c r="AKW7" i="9"/>
  <c r="AKX7" i="9"/>
  <c r="AKY7" i="9"/>
  <c r="AKZ7" i="9"/>
  <c r="ALA7" i="9"/>
  <c r="ALB7" i="9"/>
  <c r="ALC7" i="9"/>
  <c r="ALD7" i="9"/>
  <c r="ALE7" i="9"/>
  <c r="ALF7" i="9"/>
  <c r="ALG7" i="9"/>
  <c r="ALH7" i="9"/>
  <c r="ALI7" i="9"/>
  <c r="ALJ7" i="9"/>
  <c r="ALK7" i="9"/>
  <c r="ALL7" i="9"/>
  <c r="ALM7" i="9"/>
  <c r="ALN7" i="9"/>
  <c r="ALO7" i="9"/>
  <c r="ALP7" i="9"/>
  <c r="ALQ7" i="9"/>
  <c r="ALR7" i="9"/>
  <c r="ALS7" i="9"/>
  <c r="ALT7" i="9"/>
  <c r="ALU7" i="9"/>
  <c r="ALV7" i="9"/>
  <c r="ALW7" i="9"/>
  <c r="ALX7" i="9"/>
  <c r="ALY7" i="9"/>
  <c r="AIP7" i="9"/>
  <c r="AIQ7" i="9"/>
  <c r="AIR7" i="9"/>
  <c r="AIS7" i="9"/>
  <c r="AIT7" i="9"/>
  <c r="AIU7" i="9"/>
  <c r="AIV7" i="9"/>
  <c r="AIW7" i="9"/>
  <c r="AIX7" i="9"/>
  <c r="AIY7" i="9"/>
  <c r="AIZ7" i="9"/>
  <c r="AJA7" i="9"/>
  <c r="AJB7" i="9"/>
  <c r="AJC7" i="9"/>
  <c r="AJD7" i="9"/>
  <c r="AJE7" i="9"/>
  <c r="AJF7" i="9"/>
  <c r="AJG7" i="9"/>
  <c r="AJH7" i="9"/>
  <c r="AJI7" i="9"/>
  <c r="AJJ7" i="9"/>
  <c r="AJK7" i="9"/>
  <c r="AJL7" i="9"/>
  <c r="AJM7" i="9"/>
  <c r="AJN7" i="9"/>
  <c r="AJO7" i="9"/>
  <c r="AJP7" i="9"/>
  <c r="AJQ7" i="9"/>
  <c r="AJR7" i="9"/>
  <c r="AJS7" i="9"/>
  <c r="AJT7" i="9"/>
  <c r="AJU7" i="9"/>
  <c r="AJV7" i="9"/>
  <c r="AJW7" i="9"/>
  <c r="AJX7" i="9"/>
  <c r="AJY7" i="9"/>
  <c r="AJZ7" i="9"/>
  <c r="AKA7" i="9"/>
  <c r="AKB7" i="9"/>
  <c r="AKC7" i="9"/>
  <c r="AKD7" i="9"/>
  <c r="AKE7" i="9"/>
  <c r="AKF7" i="9"/>
  <c r="AKG7" i="9"/>
  <c r="AGX7" i="9"/>
  <c r="AGY7" i="9"/>
  <c r="AGZ7" i="9"/>
  <c r="AHA7" i="9"/>
  <c r="AHB7" i="9"/>
  <c r="AHC7" i="9"/>
  <c r="AHD7" i="9"/>
  <c r="AHE7" i="9"/>
  <c r="AHF7" i="9"/>
  <c r="AHG7" i="9"/>
  <c r="AHH7" i="9"/>
  <c r="AHI7" i="9"/>
  <c r="AHJ7" i="9"/>
  <c r="AHK7" i="9"/>
  <c r="AHL7" i="9"/>
  <c r="AHM7" i="9"/>
  <c r="AHN7" i="9"/>
  <c r="AHO7" i="9"/>
  <c r="AHP7" i="9"/>
  <c r="AHQ7" i="9"/>
  <c r="AHR7" i="9"/>
  <c r="AHS7" i="9"/>
  <c r="AHT7" i="9"/>
  <c r="AHU7" i="9"/>
  <c r="AHV7" i="9"/>
  <c r="AHW7" i="9"/>
  <c r="AHX7" i="9"/>
  <c r="AHY7" i="9"/>
  <c r="AHZ7" i="9"/>
  <c r="AIA7" i="9"/>
  <c r="AIB7" i="9"/>
  <c r="AIC7" i="9"/>
  <c r="AID7" i="9"/>
  <c r="AIE7" i="9"/>
  <c r="AIF7" i="9"/>
  <c r="AIG7" i="9"/>
  <c r="AIH7" i="9"/>
  <c r="AII7" i="9"/>
  <c r="AIJ7" i="9"/>
  <c r="AIK7" i="9"/>
  <c r="AIL7" i="9"/>
  <c r="AIM7" i="9"/>
  <c r="AIN7" i="9"/>
  <c r="AIO7" i="9"/>
  <c r="AFF7" i="9"/>
  <c r="AFG7" i="9"/>
  <c r="AFH7" i="9"/>
  <c r="AFI7" i="9"/>
  <c r="AFJ7" i="9"/>
  <c r="AFK7" i="9"/>
  <c r="AFL7" i="9"/>
  <c r="AFM7" i="9"/>
  <c r="AFN7" i="9"/>
  <c r="AFO7" i="9"/>
  <c r="AFP7" i="9"/>
  <c r="AFQ7" i="9"/>
  <c r="AFR7" i="9"/>
  <c r="AFS7" i="9"/>
  <c r="AFT7" i="9"/>
  <c r="AFU7" i="9"/>
  <c r="AFV7" i="9"/>
  <c r="AFW7" i="9"/>
  <c r="AFX7" i="9"/>
  <c r="AFY7" i="9"/>
  <c r="AFZ7" i="9"/>
  <c r="AGA7" i="9"/>
  <c r="AGB7" i="9"/>
  <c r="AGC7" i="9"/>
  <c r="AGD7" i="9"/>
  <c r="AGE7" i="9"/>
  <c r="AGF7" i="9"/>
  <c r="AGG7" i="9"/>
  <c r="AGH7" i="9"/>
  <c r="AGI7" i="9"/>
  <c r="AGJ7" i="9"/>
  <c r="AGK7" i="9"/>
  <c r="AGL7" i="9"/>
  <c r="AGM7" i="9"/>
  <c r="AGN7" i="9"/>
  <c r="AGO7" i="9"/>
  <c r="AGP7" i="9"/>
  <c r="AGQ7" i="9"/>
  <c r="AGR7" i="9"/>
  <c r="AGS7" i="9"/>
  <c r="AGT7" i="9"/>
  <c r="AGU7" i="9"/>
  <c r="AGV7" i="9"/>
  <c r="AGW7" i="9"/>
  <c r="ADN7" i="9"/>
  <c r="ADO7" i="9"/>
  <c r="ADP7" i="9"/>
  <c r="ADQ7" i="9"/>
  <c r="ADR7" i="9"/>
  <c r="ADS7" i="9"/>
  <c r="ADT7" i="9"/>
  <c r="ADU7" i="9"/>
  <c r="ADV7" i="9"/>
  <c r="ADW7" i="9"/>
  <c r="ADX7" i="9"/>
  <c r="ADY7" i="9"/>
  <c r="ADZ7" i="9"/>
  <c r="AEA7" i="9"/>
  <c r="AEB7" i="9"/>
  <c r="AEC7" i="9"/>
  <c r="AED7" i="9"/>
  <c r="AEE7" i="9"/>
  <c r="AEF7" i="9"/>
  <c r="AEG7" i="9"/>
  <c r="AEH7" i="9"/>
  <c r="AEI7" i="9"/>
  <c r="AEJ7" i="9"/>
  <c r="AEK7" i="9"/>
  <c r="AEL7" i="9"/>
  <c r="AEM7" i="9"/>
  <c r="AEN7" i="9"/>
  <c r="AEO7" i="9"/>
  <c r="AEP7" i="9"/>
  <c r="AEQ7" i="9"/>
  <c r="AER7" i="9"/>
  <c r="AES7" i="9"/>
  <c r="AET7" i="9"/>
  <c r="AEU7" i="9"/>
  <c r="AEV7" i="9"/>
  <c r="AEW7" i="9"/>
  <c r="AEX7" i="9"/>
  <c r="AEY7" i="9"/>
  <c r="AEZ7" i="9"/>
  <c r="AFA7" i="9"/>
  <c r="AFB7" i="9"/>
  <c r="AFC7" i="9"/>
  <c r="AFD7" i="9"/>
  <c r="AFE7" i="9"/>
  <c r="ABV7" i="9"/>
  <c r="ABW7" i="9"/>
  <c r="ABX7" i="9"/>
  <c r="ABY7" i="9"/>
  <c r="ABZ7" i="9"/>
  <c r="ACA7" i="9"/>
  <c r="ACB7" i="9"/>
  <c r="ACC7" i="9"/>
  <c r="ACD7" i="9"/>
  <c r="ACE7" i="9"/>
  <c r="ACF7" i="9"/>
  <c r="ACG7" i="9"/>
  <c r="ACH7" i="9"/>
  <c r="ACI7" i="9"/>
  <c r="ACJ7" i="9"/>
  <c r="ACK7" i="9"/>
  <c r="ACL7" i="9"/>
  <c r="ACM7" i="9"/>
  <c r="ACN7" i="9"/>
  <c r="ACO7" i="9"/>
  <c r="ACP7" i="9"/>
  <c r="ACQ7" i="9"/>
  <c r="ACR7" i="9"/>
  <c r="ACS7" i="9"/>
  <c r="ACT7" i="9"/>
  <c r="ACU7" i="9"/>
  <c r="ACV7" i="9"/>
  <c r="ACW7" i="9"/>
  <c r="ACX7" i="9"/>
  <c r="ACY7" i="9"/>
  <c r="ACZ7" i="9"/>
  <c r="ADA7" i="9"/>
  <c r="ADB7" i="9"/>
  <c r="ADC7" i="9"/>
  <c r="ADD7" i="9"/>
  <c r="ADE7" i="9"/>
  <c r="ADF7" i="9"/>
  <c r="ADG7" i="9"/>
  <c r="ADH7" i="9"/>
  <c r="ADI7" i="9"/>
  <c r="ADJ7" i="9"/>
  <c r="ADK7" i="9"/>
  <c r="ADL7" i="9"/>
  <c r="ADM7" i="9"/>
  <c r="AAD7" i="9"/>
  <c r="AAE7" i="9"/>
  <c r="AAF7" i="9"/>
  <c r="AAG7" i="9"/>
  <c r="AAH7" i="9"/>
  <c r="AAI7" i="9"/>
  <c r="AAJ7" i="9"/>
  <c r="AAK7" i="9"/>
  <c r="AAL7" i="9"/>
  <c r="AAM7" i="9"/>
  <c r="AAN7" i="9"/>
  <c r="AAO7" i="9"/>
  <c r="AAP7" i="9"/>
  <c r="AAQ7" i="9"/>
  <c r="AAR7" i="9"/>
  <c r="AAS7" i="9"/>
  <c r="AAT7" i="9"/>
  <c r="AAU7" i="9"/>
  <c r="AAV7" i="9"/>
  <c r="AAW7" i="9"/>
  <c r="AAX7" i="9"/>
  <c r="AAY7" i="9"/>
  <c r="AAZ7" i="9"/>
  <c r="ABA7" i="9"/>
  <c r="ABB7" i="9"/>
  <c r="ABC7" i="9"/>
  <c r="ABD7" i="9"/>
  <c r="ABE7" i="9"/>
  <c r="ABF7" i="9"/>
  <c r="ABG7" i="9"/>
  <c r="ABH7" i="9"/>
  <c r="ABI7" i="9"/>
  <c r="ABJ7" i="9"/>
  <c r="ABK7" i="9"/>
  <c r="ABL7" i="9"/>
  <c r="ABM7" i="9"/>
  <c r="ABN7" i="9"/>
  <c r="ABO7" i="9"/>
  <c r="ABP7" i="9"/>
  <c r="ABQ7" i="9"/>
  <c r="ABR7" i="9"/>
  <c r="ABS7" i="9"/>
  <c r="ABT7" i="9"/>
  <c r="ABU7" i="9"/>
  <c r="YL7" i="9"/>
  <c r="YM7" i="9"/>
  <c r="YN7" i="9"/>
  <c r="YO7" i="9"/>
  <c r="YP7" i="9"/>
  <c r="YQ7" i="9"/>
  <c r="YR7" i="9"/>
  <c r="YS7" i="9"/>
  <c r="YT7" i="9"/>
  <c r="YU7" i="9"/>
  <c r="YV7" i="9"/>
  <c r="YW7" i="9"/>
  <c r="YX7" i="9"/>
  <c r="YY7" i="9"/>
  <c r="YZ7" i="9"/>
  <c r="ZA7" i="9"/>
  <c r="ZB7" i="9"/>
  <c r="ZC7" i="9"/>
  <c r="ZD7" i="9"/>
  <c r="ZE7" i="9"/>
  <c r="ZF7" i="9"/>
  <c r="ZG7" i="9"/>
  <c r="ZH7" i="9"/>
  <c r="ZI7" i="9"/>
  <c r="ZJ7" i="9"/>
  <c r="ZK7" i="9"/>
  <c r="ZL7" i="9"/>
  <c r="ZM7" i="9"/>
  <c r="ZN7" i="9"/>
  <c r="ZO7" i="9"/>
  <c r="ZP7" i="9"/>
  <c r="ZQ7" i="9"/>
  <c r="ZR7" i="9"/>
  <c r="ZS7" i="9"/>
  <c r="ZT7" i="9"/>
  <c r="ZU7" i="9"/>
  <c r="ZV7" i="9"/>
  <c r="ZW7" i="9"/>
  <c r="ZX7" i="9"/>
  <c r="ZY7" i="9"/>
  <c r="ZZ7" i="9"/>
  <c r="AAA7" i="9"/>
  <c r="AAB7" i="9"/>
  <c r="AAC7" i="9"/>
  <c r="WT7" i="9"/>
  <c r="WU7" i="9"/>
  <c r="WV7" i="9"/>
  <c r="WW7" i="9"/>
  <c r="WX7" i="9"/>
  <c r="WY7" i="9"/>
  <c r="WZ7" i="9"/>
  <c r="XA7" i="9"/>
  <c r="XB7" i="9"/>
  <c r="XC7" i="9"/>
  <c r="XD7" i="9"/>
  <c r="XE7" i="9"/>
  <c r="XF7" i="9"/>
  <c r="XG7" i="9"/>
  <c r="XH7" i="9"/>
  <c r="XI7" i="9"/>
  <c r="XJ7" i="9"/>
  <c r="XK7" i="9"/>
  <c r="XL7" i="9"/>
  <c r="XM7" i="9"/>
  <c r="XN7" i="9"/>
  <c r="XO7" i="9"/>
  <c r="XP7" i="9"/>
  <c r="XQ7" i="9"/>
  <c r="XR7" i="9"/>
  <c r="XS7" i="9"/>
  <c r="XT7" i="9"/>
  <c r="XU7" i="9"/>
  <c r="XV7" i="9"/>
  <c r="XW7" i="9"/>
  <c r="XX7" i="9"/>
  <c r="XY7" i="9"/>
  <c r="XZ7" i="9"/>
  <c r="YA7" i="9"/>
  <c r="YB7" i="9"/>
  <c r="YC7" i="9"/>
  <c r="YD7" i="9"/>
  <c r="YE7" i="9"/>
  <c r="YF7" i="9"/>
  <c r="YG7" i="9"/>
  <c r="YH7" i="9"/>
  <c r="YI7" i="9"/>
  <c r="YJ7" i="9"/>
  <c r="YK7" i="9"/>
  <c r="VB7" i="9"/>
  <c r="VC7" i="9"/>
  <c r="VD7" i="9"/>
  <c r="VE7" i="9"/>
  <c r="VF7" i="9"/>
  <c r="VG7" i="9"/>
  <c r="VH7" i="9"/>
  <c r="VI7" i="9"/>
  <c r="VJ7" i="9"/>
  <c r="VK7" i="9"/>
  <c r="VL7" i="9"/>
  <c r="VM7" i="9"/>
  <c r="VN7" i="9"/>
  <c r="VO7" i="9"/>
  <c r="VP7" i="9"/>
  <c r="VQ7" i="9"/>
  <c r="VR7" i="9"/>
  <c r="VS7" i="9"/>
  <c r="VT7" i="9"/>
  <c r="VU7" i="9"/>
  <c r="VV7" i="9"/>
  <c r="VW7" i="9"/>
  <c r="VX7" i="9"/>
  <c r="VY7" i="9"/>
  <c r="VZ7" i="9"/>
  <c r="WA7" i="9"/>
  <c r="WB7" i="9"/>
  <c r="WC7" i="9"/>
  <c r="WD7" i="9"/>
  <c r="WE7" i="9"/>
  <c r="WF7" i="9"/>
  <c r="WG7" i="9"/>
  <c r="WH7" i="9"/>
  <c r="WI7" i="9"/>
  <c r="WJ7" i="9"/>
  <c r="WK7" i="9"/>
  <c r="WL7" i="9"/>
  <c r="WM7" i="9"/>
  <c r="WN7" i="9"/>
  <c r="WO7" i="9"/>
  <c r="WP7" i="9"/>
  <c r="WQ7" i="9"/>
  <c r="WR7" i="9"/>
  <c r="WS7" i="9"/>
  <c r="TJ7" i="9"/>
  <c r="TK7" i="9"/>
  <c r="TL7" i="9"/>
  <c r="TM7" i="9"/>
  <c r="TN7" i="9"/>
  <c r="TO7" i="9"/>
  <c r="TP7" i="9"/>
  <c r="TQ7" i="9"/>
  <c r="TR7" i="9"/>
  <c r="TS7" i="9"/>
  <c r="TT7" i="9"/>
  <c r="TU7" i="9"/>
  <c r="TV7" i="9"/>
  <c r="TW7" i="9"/>
  <c r="TX7" i="9"/>
  <c r="TY7" i="9"/>
  <c r="TZ7" i="9"/>
  <c r="UA7" i="9"/>
  <c r="UB7" i="9"/>
  <c r="UC7" i="9"/>
  <c r="UD7" i="9"/>
  <c r="UE7" i="9"/>
  <c r="UF7" i="9"/>
  <c r="UG7" i="9"/>
  <c r="UH7" i="9"/>
  <c r="UI7" i="9"/>
  <c r="UJ7" i="9"/>
  <c r="UK7" i="9"/>
  <c r="UL7" i="9"/>
  <c r="UM7" i="9"/>
  <c r="UN7" i="9"/>
  <c r="UO7" i="9"/>
  <c r="UP7" i="9"/>
  <c r="UQ7" i="9"/>
  <c r="UR7" i="9"/>
  <c r="US7" i="9"/>
  <c r="UT7" i="9"/>
  <c r="UU7" i="9"/>
  <c r="UV7" i="9"/>
  <c r="UW7" i="9"/>
  <c r="UX7" i="9"/>
  <c r="UY7" i="9"/>
  <c r="UZ7" i="9"/>
  <c r="VA7" i="9"/>
  <c r="RR7" i="9"/>
  <c r="RS7" i="9"/>
  <c r="RT7" i="9"/>
  <c r="RU7" i="9"/>
  <c r="RV7" i="9"/>
  <c r="RW7" i="9"/>
  <c r="RX7" i="9"/>
  <c r="RY7" i="9"/>
  <c r="RZ7" i="9"/>
  <c r="SA7" i="9"/>
  <c r="SB7" i="9"/>
  <c r="SC7" i="9"/>
  <c r="SD7" i="9"/>
  <c r="SE7" i="9"/>
  <c r="SF7" i="9"/>
  <c r="SG7" i="9"/>
  <c r="SH7" i="9"/>
  <c r="SI7" i="9"/>
  <c r="SJ7" i="9"/>
  <c r="SK7" i="9"/>
  <c r="SL7" i="9"/>
  <c r="SM7" i="9"/>
  <c r="SN7" i="9"/>
  <c r="SO7" i="9"/>
  <c r="SP7" i="9"/>
  <c r="SQ7" i="9"/>
  <c r="SR7" i="9"/>
  <c r="SS7" i="9"/>
  <c r="ST7" i="9"/>
  <c r="SU7" i="9"/>
  <c r="SV7" i="9"/>
  <c r="SW7" i="9"/>
  <c r="SX7" i="9"/>
  <c r="SY7" i="9"/>
  <c r="SZ7" i="9"/>
  <c r="TA7" i="9"/>
  <c r="TB7" i="9"/>
  <c r="TC7" i="9"/>
  <c r="TD7" i="9"/>
  <c r="TE7" i="9"/>
  <c r="TF7" i="9"/>
  <c r="TG7" i="9"/>
  <c r="TH7" i="9"/>
  <c r="TI7" i="9"/>
  <c r="PZ7" i="9"/>
  <c r="QA7" i="9"/>
  <c r="QB7" i="9"/>
  <c r="QC7" i="9"/>
  <c r="QD7" i="9"/>
  <c r="QE7" i="9"/>
  <c r="QF7" i="9"/>
  <c r="QG7" i="9"/>
  <c r="QH7" i="9"/>
  <c r="QI7" i="9"/>
  <c r="QJ7" i="9"/>
  <c r="QK7" i="9"/>
  <c r="QL7" i="9"/>
  <c r="QM7" i="9"/>
  <c r="QN7" i="9"/>
  <c r="QO7" i="9"/>
  <c r="QP7" i="9"/>
  <c r="QQ7" i="9"/>
  <c r="QR7" i="9"/>
  <c r="QS7" i="9"/>
  <c r="QT7" i="9"/>
  <c r="QU7" i="9"/>
  <c r="QV7" i="9"/>
  <c r="QW7" i="9"/>
  <c r="QX7" i="9"/>
  <c r="QY7" i="9"/>
  <c r="QZ7" i="9"/>
  <c r="RA7" i="9"/>
  <c r="RB7" i="9"/>
  <c r="RC7" i="9"/>
  <c r="RD7" i="9"/>
  <c r="RE7" i="9"/>
  <c r="RF7" i="9"/>
  <c r="RG7" i="9"/>
  <c r="RH7" i="9"/>
  <c r="RI7" i="9"/>
  <c r="RJ7" i="9"/>
  <c r="RK7" i="9"/>
  <c r="RL7" i="9"/>
  <c r="RM7" i="9"/>
  <c r="RN7" i="9"/>
  <c r="RO7" i="9"/>
  <c r="RP7" i="9"/>
  <c r="RQ7" i="9"/>
  <c r="OH7" i="9"/>
  <c r="OI7" i="9"/>
  <c r="OJ7" i="9"/>
  <c r="OK7" i="9"/>
  <c r="OL7" i="9"/>
  <c r="OM7" i="9"/>
  <c r="ON7" i="9"/>
  <c r="OO7" i="9"/>
  <c r="OP7" i="9"/>
  <c r="OQ7" i="9"/>
  <c r="OR7" i="9"/>
  <c r="OS7" i="9"/>
  <c r="OT7" i="9"/>
  <c r="OU7" i="9"/>
  <c r="OV7" i="9"/>
  <c r="OW7" i="9"/>
  <c r="OX7" i="9"/>
  <c r="OY7" i="9"/>
  <c r="OZ7" i="9"/>
  <c r="PA7" i="9"/>
  <c r="PB7" i="9"/>
  <c r="PC7" i="9"/>
  <c r="PD7" i="9"/>
  <c r="PE7" i="9"/>
  <c r="PF7" i="9"/>
  <c r="PG7" i="9"/>
  <c r="PH7" i="9"/>
  <c r="PI7" i="9"/>
  <c r="PJ7" i="9"/>
  <c r="PK7" i="9"/>
  <c r="PL7" i="9"/>
  <c r="PM7" i="9"/>
  <c r="PN7" i="9"/>
  <c r="PO7" i="9"/>
  <c r="PP7" i="9"/>
  <c r="PQ7" i="9"/>
  <c r="PR7" i="9"/>
  <c r="PS7" i="9"/>
  <c r="PT7" i="9"/>
  <c r="PU7" i="9"/>
  <c r="PV7" i="9"/>
  <c r="PW7" i="9"/>
  <c r="PX7" i="9"/>
  <c r="PY7" i="9"/>
  <c r="MP7" i="9"/>
  <c r="MQ7" i="9"/>
  <c r="MR7" i="9"/>
  <c r="MS7" i="9"/>
  <c r="MT7" i="9"/>
  <c r="MU7" i="9"/>
  <c r="MV7" i="9"/>
  <c r="MW7" i="9"/>
  <c r="MX7" i="9"/>
  <c r="MY7" i="9"/>
  <c r="MZ7" i="9"/>
  <c r="NA7" i="9"/>
  <c r="NB7" i="9"/>
  <c r="NC7" i="9"/>
  <c r="ND7" i="9"/>
  <c r="NE7" i="9"/>
  <c r="NF7" i="9"/>
  <c r="NG7" i="9"/>
  <c r="NH7" i="9"/>
  <c r="NI7" i="9"/>
  <c r="NJ7" i="9"/>
  <c r="NK7" i="9"/>
  <c r="NL7" i="9"/>
  <c r="NM7" i="9"/>
  <c r="NN7" i="9"/>
  <c r="NO7" i="9"/>
  <c r="NP7" i="9"/>
  <c r="NQ7" i="9"/>
  <c r="NR7" i="9"/>
  <c r="NS7" i="9"/>
  <c r="NT7" i="9"/>
  <c r="NU7" i="9"/>
  <c r="NV7" i="9"/>
  <c r="NW7" i="9"/>
  <c r="NX7" i="9"/>
  <c r="NY7" i="9"/>
  <c r="NZ7" i="9"/>
  <c r="OA7" i="9"/>
  <c r="OB7" i="9"/>
  <c r="OC7" i="9"/>
  <c r="OD7" i="9"/>
  <c r="OE7" i="9"/>
  <c r="OF7" i="9"/>
  <c r="OG7" i="9"/>
  <c r="KX7" i="9"/>
  <c r="KY7" i="9"/>
  <c r="KZ7" i="9"/>
  <c r="LA7" i="9"/>
  <c r="LB7" i="9"/>
  <c r="LC7" i="9"/>
  <c r="LD7" i="9"/>
  <c r="LE7" i="9"/>
  <c r="LF7" i="9"/>
  <c r="LG7" i="9"/>
  <c r="LH7" i="9"/>
  <c r="LI7" i="9"/>
  <c r="LJ7" i="9"/>
  <c r="LK7" i="9"/>
  <c r="LL7" i="9"/>
  <c r="LM7" i="9"/>
  <c r="LN7" i="9"/>
  <c r="LO7" i="9"/>
  <c r="LP7" i="9"/>
  <c r="LQ7" i="9"/>
  <c r="LR7" i="9"/>
  <c r="LS7" i="9"/>
  <c r="LT7" i="9"/>
  <c r="LU7" i="9"/>
  <c r="LV7" i="9"/>
  <c r="LW7" i="9"/>
  <c r="LX7" i="9"/>
  <c r="LY7" i="9"/>
  <c r="LZ7" i="9"/>
  <c r="MA7" i="9"/>
  <c r="MB7" i="9"/>
  <c r="MC7" i="9"/>
  <c r="MD7" i="9"/>
  <c r="ME7" i="9"/>
  <c r="MF7" i="9"/>
  <c r="MG7" i="9"/>
  <c r="MH7" i="9"/>
  <c r="MI7" i="9"/>
  <c r="MJ7" i="9"/>
  <c r="MK7" i="9"/>
  <c r="ML7" i="9"/>
  <c r="MM7" i="9"/>
  <c r="MN7" i="9"/>
  <c r="MO7" i="9"/>
  <c r="JF7" i="9"/>
  <c r="JG7" i="9"/>
  <c r="JH7" i="9"/>
  <c r="JI7" i="9"/>
  <c r="JJ7" i="9"/>
  <c r="JK7" i="9"/>
  <c r="JL7" i="9"/>
  <c r="JM7" i="9"/>
  <c r="JN7" i="9"/>
  <c r="JO7" i="9"/>
  <c r="JP7" i="9"/>
  <c r="JQ7" i="9"/>
  <c r="JR7" i="9"/>
  <c r="JS7" i="9"/>
  <c r="JT7" i="9"/>
  <c r="JU7" i="9"/>
  <c r="JV7" i="9"/>
  <c r="JW7" i="9"/>
  <c r="JX7" i="9"/>
  <c r="JY7" i="9"/>
  <c r="JZ7" i="9"/>
  <c r="KA7" i="9"/>
  <c r="KB7" i="9"/>
  <c r="KC7" i="9"/>
  <c r="KD7" i="9"/>
  <c r="KE7" i="9"/>
  <c r="KF7" i="9"/>
  <c r="KG7" i="9"/>
  <c r="KH7" i="9"/>
  <c r="KI7" i="9"/>
  <c r="KJ7" i="9"/>
  <c r="KK7" i="9"/>
  <c r="KL7" i="9"/>
  <c r="KM7" i="9"/>
  <c r="KN7" i="9"/>
  <c r="KO7" i="9"/>
  <c r="KP7" i="9"/>
  <c r="KQ7" i="9"/>
  <c r="KR7" i="9"/>
  <c r="KS7" i="9"/>
  <c r="KT7" i="9"/>
  <c r="KU7" i="9"/>
  <c r="KV7" i="9"/>
  <c r="KW7" i="9"/>
  <c r="HN7" i="9"/>
  <c r="HO7" i="9"/>
  <c r="HP7" i="9"/>
  <c r="HQ7" i="9"/>
  <c r="HR7" i="9"/>
  <c r="HS7" i="9"/>
  <c r="HT7" i="9"/>
  <c r="HU7" i="9"/>
  <c r="HV7" i="9"/>
  <c r="HW7" i="9"/>
  <c r="HX7" i="9"/>
  <c r="HY7" i="9"/>
  <c r="HZ7" i="9"/>
  <c r="IA7" i="9"/>
  <c r="IB7" i="9"/>
  <c r="IC7" i="9"/>
  <c r="ID7" i="9"/>
  <c r="IE7" i="9"/>
  <c r="IF7" i="9"/>
  <c r="IG7" i="9"/>
  <c r="IH7" i="9"/>
  <c r="II7" i="9"/>
  <c r="IJ7" i="9"/>
  <c r="IK7" i="9"/>
  <c r="IL7" i="9"/>
  <c r="IM7" i="9"/>
  <c r="IN7" i="9"/>
  <c r="IO7" i="9"/>
  <c r="IP7" i="9"/>
  <c r="IQ7" i="9"/>
  <c r="IR7" i="9"/>
  <c r="IS7" i="9"/>
  <c r="IT7" i="9"/>
  <c r="IU7" i="9"/>
  <c r="IV7" i="9"/>
  <c r="IW7" i="9"/>
  <c r="IX7" i="9"/>
  <c r="IY7" i="9"/>
  <c r="IZ7" i="9"/>
  <c r="JA7" i="9"/>
  <c r="JB7" i="9"/>
  <c r="JC7" i="9"/>
  <c r="JD7" i="9"/>
  <c r="JE7" i="9"/>
  <c r="FV7" i="9"/>
  <c r="FW7" i="9"/>
  <c r="FX7" i="9"/>
  <c r="FY7" i="9"/>
  <c r="FZ7" i="9"/>
  <c r="GA7" i="9"/>
  <c r="GB7" i="9"/>
  <c r="GC7" i="9"/>
  <c r="GD7" i="9"/>
  <c r="GE7" i="9"/>
  <c r="GF7" i="9"/>
  <c r="GG7" i="9"/>
  <c r="GH7" i="9"/>
  <c r="GI7" i="9"/>
  <c r="GJ7" i="9"/>
  <c r="GK7" i="9"/>
  <c r="GL7" i="9"/>
  <c r="GM7" i="9"/>
  <c r="GN7" i="9"/>
  <c r="GO7" i="9"/>
  <c r="GP7" i="9"/>
  <c r="GQ7" i="9"/>
  <c r="GR7" i="9"/>
  <c r="GS7" i="9"/>
  <c r="GT7" i="9"/>
  <c r="GU7" i="9"/>
  <c r="GV7" i="9"/>
  <c r="GW7" i="9"/>
  <c r="GX7" i="9"/>
  <c r="GY7" i="9"/>
  <c r="GZ7" i="9"/>
  <c r="HA7" i="9"/>
  <c r="HB7" i="9"/>
  <c r="HC7" i="9"/>
  <c r="HD7" i="9"/>
  <c r="HE7" i="9"/>
  <c r="HF7" i="9"/>
  <c r="HG7" i="9"/>
  <c r="HH7" i="9"/>
  <c r="HI7" i="9"/>
  <c r="HJ7" i="9"/>
  <c r="HK7" i="9"/>
  <c r="HL7" i="9"/>
  <c r="HM7" i="9"/>
  <c r="ED7" i="9"/>
  <c r="EE7" i="9"/>
  <c r="EF7" i="9"/>
  <c r="EG7" i="9"/>
  <c r="EH7" i="9"/>
  <c r="EI7" i="9"/>
  <c r="EJ7" i="9"/>
  <c r="EK7" i="9"/>
  <c r="EL7" i="9"/>
  <c r="EM7" i="9"/>
  <c r="EN7" i="9"/>
  <c r="EO7" i="9"/>
  <c r="EP7" i="9"/>
  <c r="EQ7" i="9"/>
  <c r="ER7" i="9"/>
  <c r="ES7" i="9"/>
  <c r="ET7" i="9"/>
  <c r="EU7" i="9"/>
  <c r="EV7" i="9"/>
  <c r="EW7" i="9"/>
  <c r="EX7" i="9"/>
  <c r="EY7" i="9"/>
  <c r="EZ7" i="9"/>
  <c r="FA7" i="9"/>
  <c r="FB7" i="9"/>
  <c r="FC7" i="9"/>
  <c r="FD7" i="9"/>
  <c r="FE7" i="9"/>
  <c r="FF7" i="9"/>
  <c r="FG7" i="9"/>
  <c r="FH7" i="9"/>
  <c r="FI7" i="9"/>
  <c r="FJ7" i="9"/>
  <c r="FK7" i="9"/>
  <c r="FL7" i="9"/>
  <c r="FM7" i="9"/>
  <c r="FN7" i="9"/>
  <c r="FO7" i="9"/>
  <c r="FP7" i="9"/>
  <c r="FQ7" i="9"/>
  <c r="FR7" i="9"/>
  <c r="FS7" i="9"/>
  <c r="FT7" i="9"/>
  <c r="FU7" i="9"/>
  <c r="CL7" i="9"/>
  <c r="CM7" i="9"/>
  <c r="CN7" i="9"/>
  <c r="CO7" i="9"/>
  <c r="CP7" i="9"/>
  <c r="CQ7" i="9"/>
  <c r="CR7" i="9"/>
  <c r="CS7" i="9"/>
  <c r="CT7" i="9"/>
  <c r="CU7" i="9"/>
  <c r="CV7" i="9"/>
  <c r="CW7" i="9"/>
  <c r="CX7" i="9"/>
  <c r="CY7" i="9"/>
  <c r="CZ7" i="9"/>
  <c r="DA7" i="9"/>
  <c r="DB7" i="9"/>
  <c r="DC7" i="9"/>
  <c r="DD7" i="9"/>
  <c r="DE7" i="9"/>
  <c r="DF7" i="9"/>
  <c r="DG7" i="9"/>
  <c r="DH7" i="9"/>
  <c r="DI7" i="9"/>
  <c r="DJ7" i="9"/>
  <c r="DK7" i="9"/>
  <c r="DL7" i="9"/>
  <c r="DM7" i="9"/>
  <c r="DN7" i="9"/>
  <c r="DO7" i="9"/>
  <c r="DP7" i="9"/>
  <c r="DQ7" i="9"/>
  <c r="DR7" i="9"/>
  <c r="DS7" i="9"/>
  <c r="DT7" i="9"/>
  <c r="DU7" i="9"/>
  <c r="DV7" i="9"/>
  <c r="DW7" i="9"/>
  <c r="DX7" i="9"/>
  <c r="DY7" i="9"/>
  <c r="DZ7" i="9"/>
  <c r="EA7" i="9"/>
  <c r="EB7" i="9"/>
  <c r="EC7" i="9"/>
  <c r="AT7" i="9"/>
  <c r="AU7" i="9"/>
  <c r="AV7" i="9"/>
  <c r="AW7" i="9"/>
  <c r="AX7" i="9"/>
  <c r="AY7" i="9"/>
  <c r="AZ7" i="9"/>
  <c r="BA7" i="9"/>
  <c r="BB7" i="9"/>
  <c r="BC7" i="9"/>
  <c r="BD7" i="9"/>
  <c r="BE7" i="9"/>
  <c r="BF7" i="9"/>
  <c r="BG7" i="9"/>
  <c r="BH7" i="9"/>
  <c r="BI7" i="9"/>
  <c r="BJ7" i="9"/>
  <c r="BK7" i="9"/>
  <c r="BL7" i="9"/>
  <c r="BM7" i="9"/>
  <c r="BN7" i="9"/>
  <c r="BO7" i="9"/>
  <c r="BP7" i="9"/>
  <c r="BQ7" i="9"/>
  <c r="BR7" i="9"/>
  <c r="BS7" i="9"/>
  <c r="BT7" i="9"/>
  <c r="BU7" i="9"/>
  <c r="BV7" i="9"/>
  <c r="BW7" i="9"/>
  <c r="BX7" i="9"/>
  <c r="BY7" i="9"/>
  <c r="BZ7" i="9"/>
  <c r="CA7" i="9"/>
  <c r="CB7" i="9"/>
  <c r="CC7" i="9"/>
  <c r="CD7" i="9"/>
  <c r="CE7" i="9"/>
  <c r="CF7" i="9"/>
  <c r="CG7" i="9"/>
  <c r="CH7" i="9"/>
  <c r="CI7" i="9"/>
  <c r="CJ7" i="9"/>
  <c r="CK7" i="9"/>
  <c r="B7" i="9"/>
  <c r="C7" i="9"/>
  <c r="D7" i="9"/>
  <c r="E7" i="9"/>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AS7" i="9"/>
  <c r="OI6" i="9"/>
  <c r="OJ6" i="9"/>
  <c r="OK6" i="9"/>
  <c r="OL6" i="9"/>
  <c r="OM6" i="9"/>
  <c r="ON6" i="9"/>
  <c r="OO6" i="9"/>
  <c r="OP6" i="9"/>
  <c r="OQ6" i="9"/>
  <c r="OR6" i="9"/>
  <c r="OS6" i="9"/>
  <c r="OT6" i="9"/>
  <c r="OU6" i="9"/>
  <c r="OV6" i="9"/>
  <c r="OW6" i="9"/>
  <c r="OX6" i="9"/>
  <c r="OY6" i="9"/>
  <c r="OZ6" i="9"/>
  <c r="PA6" i="9"/>
  <c r="PB6" i="9"/>
  <c r="PC6" i="9"/>
  <c r="PD6" i="9"/>
  <c r="PE6" i="9"/>
  <c r="PF6" i="9"/>
  <c r="PG6" i="9"/>
  <c r="PH6" i="9"/>
  <c r="PI6" i="9"/>
  <c r="PJ6" i="9"/>
  <c r="PK6" i="9"/>
  <c r="PL6" i="9"/>
  <c r="PM6" i="9"/>
  <c r="PN6" i="9"/>
  <c r="PO6" i="9"/>
  <c r="PP6" i="9"/>
  <c r="PQ6" i="9"/>
  <c r="PR6" i="9"/>
  <c r="PS6" i="9"/>
  <c r="PT6" i="9"/>
  <c r="PU6" i="9"/>
  <c r="PV6" i="9"/>
  <c r="PW6" i="9"/>
  <c r="PX6" i="9"/>
  <c r="PY6" i="9"/>
  <c r="MQ6" i="9"/>
  <c r="MR6" i="9"/>
  <c r="MS6" i="9"/>
  <c r="MT6" i="9"/>
  <c r="MU6" i="9"/>
  <c r="MV6" i="9"/>
  <c r="MW6" i="9"/>
  <c r="MX6" i="9"/>
  <c r="MY6" i="9"/>
  <c r="MZ6" i="9"/>
  <c r="NA6" i="9"/>
  <c r="NB6" i="9"/>
  <c r="NC6" i="9"/>
  <c r="ND6" i="9"/>
  <c r="NE6" i="9"/>
  <c r="NF6" i="9"/>
  <c r="NG6" i="9"/>
  <c r="NH6" i="9"/>
  <c r="NI6" i="9"/>
  <c r="NJ6" i="9"/>
  <c r="NK6" i="9"/>
  <c r="NL6" i="9"/>
  <c r="NM6" i="9"/>
  <c r="NN6" i="9"/>
  <c r="NO6" i="9"/>
  <c r="NP6" i="9"/>
  <c r="NQ6" i="9"/>
  <c r="NR6" i="9"/>
  <c r="NS6" i="9"/>
  <c r="NT6" i="9"/>
  <c r="NU6" i="9"/>
  <c r="NV6" i="9"/>
  <c r="NW6" i="9"/>
  <c r="NX6" i="9"/>
  <c r="NY6" i="9"/>
  <c r="NZ6" i="9"/>
  <c r="OA6" i="9"/>
  <c r="OB6" i="9"/>
  <c r="OC6" i="9"/>
  <c r="OD6" i="9"/>
  <c r="OE6" i="9"/>
  <c r="OF6" i="9"/>
  <c r="OG6" i="9"/>
  <c r="KY6" i="9"/>
  <c r="KZ6" i="9"/>
  <c r="LA6" i="9"/>
  <c r="LB6" i="9"/>
  <c r="LC6" i="9"/>
  <c r="LD6" i="9"/>
  <c r="LE6" i="9"/>
  <c r="LF6" i="9"/>
  <c r="LG6" i="9"/>
  <c r="LH6" i="9"/>
  <c r="LI6" i="9"/>
  <c r="LJ6" i="9"/>
  <c r="LK6" i="9"/>
  <c r="LL6" i="9"/>
  <c r="LM6" i="9"/>
  <c r="LN6" i="9"/>
  <c r="LO6" i="9"/>
  <c r="LP6" i="9"/>
  <c r="LQ6" i="9"/>
  <c r="LR6" i="9"/>
  <c r="LS6" i="9"/>
  <c r="LT6" i="9"/>
  <c r="LU6" i="9"/>
  <c r="LV6" i="9"/>
  <c r="LW6" i="9"/>
  <c r="LX6" i="9"/>
  <c r="LY6" i="9"/>
  <c r="LZ6" i="9"/>
  <c r="MA6" i="9"/>
  <c r="MB6" i="9"/>
  <c r="MC6" i="9"/>
  <c r="MD6" i="9"/>
  <c r="ME6" i="9"/>
  <c r="MF6" i="9"/>
  <c r="MG6" i="9"/>
  <c r="MH6" i="9"/>
  <c r="MI6" i="9"/>
  <c r="MJ6" i="9"/>
  <c r="MK6" i="9"/>
  <c r="ML6" i="9"/>
  <c r="MM6" i="9"/>
  <c r="MN6" i="9"/>
  <c r="MO6" i="9"/>
  <c r="JG6" i="9"/>
  <c r="JH6" i="9"/>
  <c r="JI6" i="9"/>
  <c r="JJ6" i="9"/>
  <c r="JK6" i="9"/>
  <c r="JL6" i="9"/>
  <c r="JM6" i="9"/>
  <c r="JN6" i="9"/>
  <c r="JO6" i="9"/>
  <c r="JP6" i="9"/>
  <c r="JQ6" i="9"/>
  <c r="JR6" i="9"/>
  <c r="JS6" i="9"/>
  <c r="JT6" i="9"/>
  <c r="JU6" i="9"/>
  <c r="JV6" i="9"/>
  <c r="JW6" i="9"/>
  <c r="JX6" i="9"/>
  <c r="JY6" i="9"/>
  <c r="JZ6" i="9"/>
  <c r="KA6" i="9"/>
  <c r="KB6" i="9"/>
  <c r="KC6" i="9"/>
  <c r="KD6" i="9"/>
  <c r="KE6" i="9"/>
  <c r="KF6" i="9"/>
  <c r="KG6" i="9"/>
  <c r="KH6" i="9"/>
  <c r="KI6" i="9"/>
  <c r="KJ6" i="9"/>
  <c r="KK6" i="9"/>
  <c r="KL6" i="9"/>
  <c r="KM6" i="9"/>
  <c r="KN6" i="9"/>
  <c r="KO6" i="9"/>
  <c r="KP6" i="9"/>
  <c r="KQ6" i="9"/>
  <c r="KR6" i="9"/>
  <c r="KS6" i="9"/>
  <c r="KT6" i="9"/>
  <c r="KU6" i="9"/>
  <c r="KV6" i="9"/>
  <c r="KW6" i="9"/>
  <c r="HO6" i="9"/>
  <c r="HP6" i="9"/>
  <c r="HQ6" i="9"/>
  <c r="HR6" i="9"/>
  <c r="HS6" i="9"/>
  <c r="HT6" i="9"/>
  <c r="HU6" i="9"/>
  <c r="HV6" i="9"/>
  <c r="HW6" i="9"/>
  <c r="HX6" i="9"/>
  <c r="HY6" i="9"/>
  <c r="HZ6" i="9"/>
  <c r="IA6" i="9"/>
  <c r="IB6" i="9"/>
  <c r="IC6" i="9"/>
  <c r="ID6" i="9"/>
  <c r="IE6" i="9"/>
  <c r="IF6" i="9"/>
  <c r="IG6" i="9"/>
  <c r="IH6" i="9"/>
  <c r="II6" i="9"/>
  <c r="IJ6" i="9"/>
  <c r="IK6" i="9"/>
  <c r="IL6" i="9"/>
  <c r="IM6" i="9"/>
  <c r="IN6" i="9"/>
  <c r="IO6" i="9"/>
  <c r="IP6" i="9"/>
  <c r="IQ6" i="9"/>
  <c r="IR6" i="9"/>
  <c r="IS6" i="9"/>
  <c r="IT6" i="9"/>
  <c r="IU6" i="9"/>
  <c r="IV6" i="9"/>
  <c r="IW6" i="9"/>
  <c r="IX6" i="9"/>
  <c r="IY6" i="9"/>
  <c r="IZ6" i="9"/>
  <c r="JA6" i="9"/>
  <c r="JB6" i="9"/>
  <c r="JC6" i="9"/>
  <c r="JD6" i="9"/>
  <c r="JE6" i="9"/>
  <c r="FW6" i="9"/>
  <c r="FX6" i="9"/>
  <c r="FY6" i="9"/>
  <c r="FZ6" i="9"/>
  <c r="GA6" i="9"/>
  <c r="GB6" i="9"/>
  <c r="GC6" i="9"/>
  <c r="GD6" i="9"/>
  <c r="GE6" i="9"/>
  <c r="GF6" i="9"/>
  <c r="GG6" i="9"/>
  <c r="GH6" i="9"/>
  <c r="GI6" i="9"/>
  <c r="GJ6" i="9"/>
  <c r="GK6" i="9"/>
  <c r="GL6" i="9"/>
  <c r="GM6" i="9"/>
  <c r="GN6" i="9"/>
  <c r="GO6" i="9"/>
  <c r="GP6" i="9"/>
  <c r="GQ6" i="9"/>
  <c r="GR6" i="9"/>
  <c r="GS6" i="9"/>
  <c r="GT6" i="9"/>
  <c r="GU6" i="9"/>
  <c r="GV6" i="9"/>
  <c r="GW6" i="9"/>
  <c r="GX6" i="9"/>
  <c r="GY6" i="9"/>
  <c r="GZ6" i="9"/>
  <c r="HA6" i="9"/>
  <c r="HB6" i="9"/>
  <c r="HC6" i="9"/>
  <c r="HD6" i="9"/>
  <c r="HE6" i="9"/>
  <c r="HF6" i="9"/>
  <c r="HG6" i="9"/>
  <c r="HH6" i="9"/>
  <c r="HI6" i="9"/>
  <c r="HJ6" i="9"/>
  <c r="HK6" i="9"/>
  <c r="HL6" i="9"/>
  <c r="HM6" i="9"/>
  <c r="EE6" i="9"/>
  <c r="EF6" i="9"/>
  <c r="EG6" i="9"/>
  <c r="EH6" i="9"/>
  <c r="EI6" i="9"/>
  <c r="EJ6" i="9"/>
  <c r="EK6" i="9"/>
  <c r="EL6" i="9"/>
  <c r="EM6" i="9"/>
  <c r="EN6" i="9"/>
  <c r="EO6" i="9"/>
  <c r="EP6" i="9"/>
  <c r="EQ6" i="9"/>
  <c r="ER6" i="9"/>
  <c r="ES6" i="9"/>
  <c r="ET6" i="9"/>
  <c r="EU6" i="9"/>
  <c r="EV6" i="9"/>
  <c r="EW6" i="9"/>
  <c r="EX6" i="9"/>
  <c r="EY6" i="9"/>
  <c r="EZ6" i="9"/>
  <c r="FA6" i="9"/>
  <c r="FB6" i="9"/>
  <c r="FC6" i="9"/>
  <c r="FD6" i="9"/>
  <c r="FE6" i="9"/>
  <c r="FF6" i="9"/>
  <c r="FG6" i="9"/>
  <c r="FH6" i="9"/>
  <c r="FI6" i="9"/>
  <c r="FJ6" i="9"/>
  <c r="FK6" i="9"/>
  <c r="FL6" i="9"/>
  <c r="FM6" i="9"/>
  <c r="FN6" i="9"/>
  <c r="FO6" i="9"/>
  <c r="FP6" i="9"/>
  <c r="FQ6" i="9"/>
  <c r="FR6" i="9"/>
  <c r="FS6" i="9"/>
  <c r="FT6" i="9"/>
  <c r="FU6" i="9"/>
  <c r="CM6" i="9"/>
  <c r="CN6" i="9"/>
  <c r="CO6" i="9"/>
  <c r="CP6" i="9"/>
  <c r="CQ6" i="9"/>
  <c r="CR6" i="9"/>
  <c r="CS6" i="9"/>
  <c r="CT6" i="9"/>
  <c r="CU6" i="9"/>
  <c r="CV6" i="9"/>
  <c r="CW6" i="9"/>
  <c r="CX6" i="9"/>
  <c r="CY6" i="9"/>
  <c r="CZ6" i="9"/>
  <c r="DA6" i="9"/>
  <c r="DB6" i="9"/>
  <c r="DC6" i="9"/>
  <c r="DD6" i="9"/>
  <c r="DE6" i="9"/>
  <c r="DF6" i="9"/>
  <c r="DG6" i="9"/>
  <c r="DH6" i="9"/>
  <c r="DI6" i="9"/>
  <c r="DJ6" i="9"/>
  <c r="DK6" i="9"/>
  <c r="DL6" i="9"/>
  <c r="DM6" i="9"/>
  <c r="DN6" i="9"/>
  <c r="DO6" i="9"/>
  <c r="DP6" i="9"/>
  <c r="DQ6" i="9"/>
  <c r="DR6" i="9"/>
  <c r="DS6" i="9"/>
  <c r="DT6" i="9"/>
  <c r="DU6" i="9"/>
  <c r="DV6" i="9"/>
  <c r="DW6" i="9"/>
  <c r="DX6" i="9"/>
  <c r="DY6" i="9"/>
  <c r="DZ6" i="9"/>
  <c r="EA6" i="9"/>
  <c r="EB6" i="9"/>
  <c r="EC6" i="9"/>
  <c r="AU6" i="9"/>
  <c r="AV6" i="9"/>
  <c r="AW6" i="9"/>
  <c r="AX6" i="9"/>
  <c r="AY6" i="9"/>
  <c r="AZ6" i="9"/>
  <c r="BA6" i="9"/>
  <c r="BB6" i="9"/>
  <c r="BC6" i="9"/>
  <c r="BD6" i="9"/>
  <c r="BE6" i="9"/>
  <c r="BF6" i="9"/>
  <c r="BG6" i="9"/>
  <c r="BH6" i="9"/>
  <c r="BI6" i="9"/>
  <c r="BJ6" i="9"/>
  <c r="BK6" i="9"/>
  <c r="BL6" i="9"/>
  <c r="BM6" i="9"/>
  <c r="BN6" i="9"/>
  <c r="BO6" i="9"/>
  <c r="BP6" i="9"/>
  <c r="BQ6" i="9"/>
  <c r="BR6" i="9"/>
  <c r="BS6" i="9"/>
  <c r="BT6" i="9"/>
  <c r="BU6" i="9"/>
  <c r="BV6" i="9"/>
  <c r="BW6" i="9"/>
  <c r="BX6" i="9"/>
  <c r="BY6" i="9"/>
  <c r="BZ6" i="9"/>
  <c r="CA6" i="9"/>
  <c r="CB6" i="9"/>
  <c r="CC6" i="9"/>
  <c r="CD6" i="9"/>
  <c r="CE6" i="9"/>
  <c r="CF6" i="9"/>
  <c r="CG6" i="9"/>
  <c r="CH6" i="9"/>
  <c r="CI6" i="9"/>
  <c r="CJ6" i="9"/>
  <c r="CK6" i="9"/>
  <c r="C6" i="9"/>
  <c r="D6" i="9"/>
  <c r="E6" i="9"/>
  <c r="F6" i="9"/>
  <c r="G6" i="9"/>
  <c r="H6" i="9"/>
  <c r="I6" i="9"/>
  <c r="J6" i="9"/>
  <c r="K6" i="9"/>
  <c r="L6" i="9"/>
  <c r="M6" i="9"/>
  <c r="N6"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ECT5" i="9"/>
  <c r="ECU5" i="9"/>
  <c r="ECV5" i="9"/>
  <c r="ECW5" i="9"/>
  <c r="ECX5" i="9"/>
  <c r="ECY5" i="9"/>
  <c r="ECZ5" i="9"/>
  <c r="EDA5" i="9"/>
  <c r="EDB5" i="9"/>
  <c r="EDC5" i="9"/>
  <c r="EDD5" i="9"/>
  <c r="EDE5" i="9"/>
  <c r="EDF5" i="9"/>
  <c r="EDG5" i="9"/>
  <c r="EDH5" i="9"/>
  <c r="EDI5" i="9"/>
  <c r="EDJ5" i="9"/>
  <c r="EDK5" i="9"/>
  <c r="EDL5" i="9"/>
  <c r="EDM5" i="9"/>
  <c r="EDN5" i="9"/>
  <c r="EDO5" i="9"/>
  <c r="EDP5" i="9"/>
  <c r="EDQ5" i="9"/>
  <c r="EDR5" i="9"/>
  <c r="EDS5" i="9"/>
  <c r="EDT5" i="9"/>
  <c r="EDU5" i="9"/>
  <c r="EDV5" i="9"/>
  <c r="EDW5" i="9"/>
  <c r="EDX5" i="9"/>
  <c r="EDY5" i="9"/>
  <c r="EDZ5" i="9"/>
  <c r="EEA5" i="9"/>
  <c r="EEB5" i="9"/>
  <c r="EEC5" i="9"/>
  <c r="EED5" i="9"/>
  <c r="EEE5" i="9"/>
  <c r="EEF5" i="9"/>
  <c r="EEG5" i="9"/>
  <c r="EEH5" i="9"/>
  <c r="EEI5" i="9"/>
  <c r="EEJ5" i="9"/>
  <c r="EEK5" i="9"/>
  <c r="EBB5" i="9"/>
  <c r="EBC5" i="9"/>
  <c r="EBD5" i="9"/>
  <c r="EBE5" i="9"/>
  <c r="EBF5" i="9"/>
  <c r="EBG5" i="9"/>
  <c r="EBH5" i="9"/>
  <c r="EBI5" i="9"/>
  <c r="EBJ5" i="9"/>
  <c r="EBK5" i="9"/>
  <c r="EBL5" i="9"/>
  <c r="EBM5" i="9"/>
  <c r="EBN5" i="9"/>
  <c r="EBO5" i="9"/>
  <c r="EBP5" i="9"/>
  <c r="EBQ5" i="9"/>
  <c r="EBR5" i="9"/>
  <c r="EBS5" i="9"/>
  <c r="EBT5" i="9"/>
  <c r="EBU5" i="9"/>
  <c r="EBV5" i="9"/>
  <c r="EBW5" i="9"/>
  <c r="EBX5" i="9"/>
  <c r="EBY5" i="9"/>
  <c r="EBZ5" i="9"/>
  <c r="ECA5" i="9"/>
  <c r="ECB5" i="9"/>
  <c r="ECC5" i="9"/>
  <c r="ECD5" i="9"/>
  <c r="ECE5" i="9"/>
  <c r="ECF5" i="9"/>
  <c r="ECG5" i="9"/>
  <c r="ECH5" i="9"/>
  <c r="ECI5" i="9"/>
  <c r="ECJ5" i="9"/>
  <c r="ECK5" i="9"/>
  <c r="ECL5" i="9"/>
  <c r="ECM5" i="9"/>
  <c r="ECN5" i="9"/>
  <c r="ECO5" i="9"/>
  <c r="ECP5" i="9"/>
  <c r="ECQ5" i="9"/>
  <c r="ECR5" i="9"/>
  <c r="ECS5" i="9"/>
  <c r="DZJ5" i="9"/>
  <c r="DZK5" i="9"/>
  <c r="DZL5" i="9"/>
  <c r="DZM5" i="9"/>
  <c r="DZN5" i="9"/>
  <c r="DZO5" i="9"/>
  <c r="DZP5" i="9"/>
  <c r="DZQ5" i="9"/>
  <c r="DZR5" i="9"/>
  <c r="DZS5" i="9"/>
  <c r="DZT5" i="9"/>
  <c r="DZU5" i="9"/>
  <c r="DZV5" i="9"/>
  <c r="DZW5" i="9"/>
  <c r="DZX5" i="9"/>
  <c r="DZY5" i="9"/>
  <c r="DZZ5" i="9"/>
  <c r="EAA5" i="9"/>
  <c r="EAB5" i="9"/>
  <c r="EAC5" i="9"/>
  <c r="EAD5" i="9"/>
  <c r="EAE5" i="9"/>
  <c r="EAF5" i="9"/>
  <c r="EAG5" i="9"/>
  <c r="EAH5" i="9"/>
  <c r="EAI5" i="9"/>
  <c r="EAJ5" i="9"/>
  <c r="EAK5" i="9"/>
  <c r="EAL5" i="9"/>
  <c r="EAM5" i="9"/>
  <c r="EAN5" i="9"/>
  <c r="EAO5" i="9"/>
  <c r="EAP5" i="9"/>
  <c r="EAQ5" i="9"/>
  <c r="EAR5" i="9"/>
  <c r="EAS5" i="9"/>
  <c r="EAT5" i="9"/>
  <c r="EAU5" i="9"/>
  <c r="EAV5" i="9"/>
  <c r="EAW5" i="9"/>
  <c r="EAX5" i="9"/>
  <c r="EAY5" i="9"/>
  <c r="EAZ5" i="9"/>
  <c r="EBA5" i="9"/>
  <c r="DXR5" i="9"/>
  <c r="DXS5" i="9"/>
  <c r="DXT5" i="9"/>
  <c r="DXU5" i="9"/>
  <c r="DXV5" i="9"/>
  <c r="DXW5" i="9"/>
  <c r="DXX5" i="9"/>
  <c r="DXY5" i="9"/>
  <c r="DXZ5" i="9"/>
  <c r="DYA5" i="9"/>
  <c r="DYB5" i="9"/>
  <c r="DYC5" i="9"/>
  <c r="DYD5" i="9"/>
  <c r="DYE5" i="9"/>
  <c r="DYF5" i="9"/>
  <c r="DYG5" i="9"/>
  <c r="DYH5" i="9"/>
  <c r="DYI5" i="9"/>
  <c r="DYJ5" i="9"/>
  <c r="DYK5" i="9"/>
  <c r="DYL5" i="9"/>
  <c r="DYM5" i="9"/>
  <c r="DYN5" i="9"/>
  <c r="DYO5" i="9"/>
  <c r="DYP5" i="9"/>
  <c r="DYQ5" i="9"/>
  <c r="DYR5" i="9"/>
  <c r="DYS5" i="9"/>
  <c r="DYT5" i="9"/>
  <c r="DYU5" i="9"/>
  <c r="DYV5" i="9"/>
  <c r="DYW5" i="9"/>
  <c r="DYX5" i="9"/>
  <c r="DYY5" i="9"/>
  <c r="DYZ5" i="9"/>
  <c r="DZA5" i="9"/>
  <c r="DZB5" i="9"/>
  <c r="DZC5" i="9"/>
  <c r="DZD5" i="9"/>
  <c r="DZE5" i="9"/>
  <c r="DZF5" i="9"/>
  <c r="DZG5" i="9"/>
  <c r="DZH5" i="9"/>
  <c r="DZI5" i="9"/>
  <c r="DVZ5" i="9"/>
  <c r="DWA5" i="9"/>
  <c r="DWB5" i="9"/>
  <c r="DWC5" i="9"/>
  <c r="DWD5" i="9"/>
  <c r="DWE5" i="9"/>
  <c r="DWF5" i="9"/>
  <c r="DWG5" i="9"/>
  <c r="DWH5" i="9"/>
  <c r="DWI5" i="9"/>
  <c r="DWJ5" i="9"/>
  <c r="DWK5" i="9"/>
  <c r="DWL5" i="9"/>
  <c r="DWM5" i="9"/>
  <c r="DWN5" i="9"/>
  <c r="DWO5" i="9"/>
  <c r="DWP5" i="9"/>
  <c r="DWQ5" i="9"/>
  <c r="DWR5" i="9"/>
  <c r="DWS5" i="9"/>
  <c r="DWT5" i="9"/>
  <c r="DWU5" i="9"/>
  <c r="DWV5" i="9"/>
  <c r="DWW5" i="9"/>
  <c r="DWX5" i="9"/>
  <c r="DWY5" i="9"/>
  <c r="DWZ5" i="9"/>
  <c r="DXA5" i="9"/>
  <c r="DXB5" i="9"/>
  <c r="DXC5" i="9"/>
  <c r="DXD5" i="9"/>
  <c r="DXE5" i="9"/>
  <c r="DXF5" i="9"/>
  <c r="DXG5" i="9"/>
  <c r="DXH5" i="9"/>
  <c r="DXI5" i="9"/>
  <c r="DXJ5" i="9"/>
  <c r="DXK5" i="9"/>
  <c r="DXL5" i="9"/>
  <c r="DXM5" i="9"/>
  <c r="DXN5" i="9"/>
  <c r="DXO5" i="9"/>
  <c r="DXP5" i="9"/>
  <c r="DXQ5" i="9"/>
  <c r="DUH5" i="9"/>
  <c r="DUI5" i="9"/>
  <c r="DUJ5" i="9"/>
  <c r="DUK5" i="9"/>
  <c r="DUL5" i="9"/>
  <c r="DUM5" i="9"/>
  <c r="DUN5" i="9"/>
  <c r="DUO5" i="9"/>
  <c r="DUP5" i="9"/>
  <c r="DUQ5" i="9"/>
  <c r="DUR5" i="9"/>
  <c r="DUS5" i="9"/>
  <c r="DUT5" i="9"/>
  <c r="DUU5" i="9"/>
  <c r="DUV5" i="9"/>
  <c r="DUW5" i="9"/>
  <c r="DUX5" i="9"/>
  <c r="DUY5" i="9"/>
  <c r="DUZ5" i="9"/>
  <c r="DVA5" i="9"/>
  <c r="DVB5" i="9"/>
  <c r="DVC5" i="9"/>
  <c r="DVD5" i="9"/>
  <c r="DVE5" i="9"/>
  <c r="DVF5" i="9"/>
  <c r="DVG5" i="9"/>
  <c r="DVH5" i="9"/>
  <c r="DVI5" i="9"/>
  <c r="DVJ5" i="9"/>
  <c r="DVK5" i="9"/>
  <c r="DVL5" i="9"/>
  <c r="DVM5" i="9"/>
  <c r="DVN5" i="9"/>
  <c r="DVO5" i="9"/>
  <c r="DVP5" i="9"/>
  <c r="DVQ5" i="9"/>
  <c r="DVR5" i="9"/>
  <c r="DVS5" i="9"/>
  <c r="DVT5" i="9"/>
  <c r="DVU5" i="9"/>
  <c r="DVV5" i="9"/>
  <c r="DVW5" i="9"/>
  <c r="DVX5" i="9"/>
  <c r="DVY5" i="9"/>
  <c r="DSP5" i="9"/>
  <c r="DSQ5" i="9"/>
  <c r="DSR5" i="9"/>
  <c r="DSS5" i="9"/>
  <c r="DST5" i="9"/>
  <c r="DSU5" i="9"/>
  <c r="DSV5" i="9"/>
  <c r="DSW5" i="9"/>
  <c r="DSX5" i="9"/>
  <c r="DSY5" i="9"/>
  <c r="DSZ5" i="9"/>
  <c r="DTA5" i="9"/>
  <c r="DTB5" i="9"/>
  <c r="DTC5" i="9"/>
  <c r="DTD5" i="9"/>
  <c r="DTE5" i="9"/>
  <c r="DTF5" i="9"/>
  <c r="DTG5" i="9"/>
  <c r="DTH5" i="9"/>
  <c r="DTI5" i="9"/>
  <c r="DTJ5" i="9"/>
  <c r="DTK5" i="9"/>
  <c r="DTL5" i="9"/>
  <c r="DTM5" i="9"/>
  <c r="DTN5" i="9"/>
  <c r="DTO5" i="9"/>
  <c r="DTP5" i="9"/>
  <c r="DTQ5" i="9"/>
  <c r="DTR5" i="9"/>
  <c r="DTS5" i="9"/>
  <c r="DTT5" i="9"/>
  <c r="DTU5" i="9"/>
  <c r="DTV5" i="9"/>
  <c r="DTW5" i="9"/>
  <c r="DTX5" i="9"/>
  <c r="DTY5" i="9"/>
  <c r="DTZ5" i="9"/>
  <c r="DUA5" i="9"/>
  <c r="DUB5" i="9"/>
  <c r="DUC5" i="9"/>
  <c r="DUD5" i="9"/>
  <c r="DUE5" i="9"/>
  <c r="DUF5" i="9"/>
  <c r="DUG5" i="9"/>
  <c r="DQX5" i="9"/>
  <c r="DQY5" i="9"/>
  <c r="DQZ5" i="9"/>
  <c r="DRA5" i="9"/>
  <c r="DRB5" i="9"/>
  <c r="DRC5" i="9"/>
  <c r="DRD5" i="9"/>
  <c r="DRE5" i="9"/>
  <c r="DRF5" i="9"/>
  <c r="DRG5" i="9"/>
  <c r="DRH5" i="9"/>
  <c r="DRI5" i="9"/>
  <c r="DRJ5" i="9"/>
  <c r="DRK5" i="9"/>
  <c r="DRL5" i="9"/>
  <c r="DRM5" i="9"/>
  <c r="DRN5" i="9"/>
  <c r="DRO5" i="9"/>
  <c r="DRP5" i="9"/>
  <c r="DRQ5" i="9"/>
  <c r="DRR5" i="9"/>
  <c r="DRS5" i="9"/>
  <c r="DRT5" i="9"/>
  <c r="DRU5" i="9"/>
  <c r="DRV5" i="9"/>
  <c r="DRW5" i="9"/>
  <c r="DRX5" i="9"/>
  <c r="DRY5" i="9"/>
  <c r="DRZ5" i="9"/>
  <c r="DSA5" i="9"/>
  <c r="DSB5" i="9"/>
  <c r="DSC5" i="9"/>
  <c r="DSD5" i="9"/>
  <c r="DSE5" i="9"/>
  <c r="DSF5" i="9"/>
  <c r="DSG5" i="9"/>
  <c r="DSH5" i="9"/>
  <c r="DSI5" i="9"/>
  <c r="DSJ5" i="9"/>
  <c r="DSK5" i="9"/>
  <c r="DSL5" i="9"/>
  <c r="DSM5" i="9"/>
  <c r="DSN5" i="9"/>
  <c r="DSO5" i="9"/>
  <c r="DPF5" i="9"/>
  <c r="DPG5" i="9"/>
  <c r="DPH5" i="9"/>
  <c r="DPI5" i="9"/>
  <c r="DPJ5" i="9"/>
  <c r="DPK5" i="9"/>
  <c r="DPL5" i="9"/>
  <c r="DPM5" i="9"/>
  <c r="DPN5" i="9"/>
  <c r="DPO5" i="9"/>
  <c r="DPP5" i="9"/>
  <c r="DPQ5" i="9"/>
  <c r="DPR5" i="9"/>
  <c r="DPS5" i="9"/>
  <c r="DPT5" i="9"/>
  <c r="DPU5" i="9"/>
  <c r="DPV5" i="9"/>
  <c r="DPW5" i="9"/>
  <c r="DPX5" i="9"/>
  <c r="DPY5" i="9"/>
  <c r="DPZ5" i="9"/>
  <c r="DQA5" i="9"/>
  <c r="DQB5" i="9"/>
  <c r="DQC5" i="9"/>
  <c r="DQD5" i="9"/>
  <c r="DQE5" i="9"/>
  <c r="DQF5" i="9"/>
  <c r="DQG5" i="9"/>
  <c r="DQH5" i="9"/>
  <c r="DQI5" i="9"/>
  <c r="DQJ5" i="9"/>
  <c r="DQK5" i="9"/>
  <c r="DQL5" i="9"/>
  <c r="DQM5" i="9"/>
  <c r="DQN5" i="9"/>
  <c r="DQO5" i="9"/>
  <c r="DQP5" i="9"/>
  <c r="DQQ5" i="9"/>
  <c r="DQR5" i="9"/>
  <c r="DQS5" i="9"/>
  <c r="DQT5" i="9"/>
  <c r="DQU5" i="9"/>
  <c r="DQV5" i="9"/>
  <c r="DQW5" i="9"/>
  <c r="DNN5" i="9"/>
  <c r="DNO5" i="9"/>
  <c r="DNP5" i="9"/>
  <c r="DNQ5" i="9"/>
  <c r="DNR5" i="9"/>
  <c r="DNS5" i="9"/>
  <c r="DNT5" i="9"/>
  <c r="DNU5" i="9"/>
  <c r="DNV5" i="9"/>
  <c r="DNW5" i="9"/>
  <c r="DNX5" i="9"/>
  <c r="DNY5" i="9"/>
  <c r="DNZ5" i="9"/>
  <c r="DOA5" i="9"/>
  <c r="DOB5" i="9"/>
  <c r="DOC5" i="9"/>
  <c r="DOD5" i="9"/>
  <c r="DOE5" i="9"/>
  <c r="DOF5" i="9"/>
  <c r="DOG5" i="9"/>
  <c r="DOH5" i="9"/>
  <c r="DOI5" i="9"/>
  <c r="DOJ5" i="9"/>
  <c r="DOK5" i="9"/>
  <c r="DOL5" i="9"/>
  <c r="DOM5" i="9"/>
  <c r="DON5" i="9"/>
  <c r="DOO5" i="9"/>
  <c r="DOP5" i="9"/>
  <c r="DOQ5" i="9"/>
  <c r="DOR5" i="9"/>
  <c r="DOS5" i="9"/>
  <c r="DOT5" i="9"/>
  <c r="DOU5" i="9"/>
  <c r="DOV5" i="9"/>
  <c r="DOW5" i="9"/>
  <c r="DOX5" i="9"/>
  <c r="DOY5" i="9"/>
  <c r="DOZ5" i="9"/>
  <c r="DPA5" i="9"/>
  <c r="DPB5" i="9"/>
  <c r="DPC5" i="9"/>
  <c r="DPD5" i="9"/>
  <c r="DPE5" i="9"/>
  <c r="DLV5" i="9"/>
  <c r="DLW5" i="9"/>
  <c r="DLX5" i="9"/>
  <c r="DLY5" i="9"/>
  <c r="DLZ5" i="9"/>
  <c r="DMA5" i="9"/>
  <c r="DMB5" i="9"/>
  <c r="DMC5" i="9"/>
  <c r="DMD5" i="9"/>
  <c r="DME5" i="9"/>
  <c r="DMF5" i="9"/>
  <c r="DMG5" i="9"/>
  <c r="DMH5" i="9"/>
  <c r="DMI5" i="9"/>
  <c r="DMJ5" i="9"/>
  <c r="DMK5" i="9"/>
  <c r="DML5" i="9"/>
  <c r="DMM5" i="9"/>
  <c r="DMN5" i="9"/>
  <c r="DMO5" i="9"/>
  <c r="DMP5" i="9"/>
  <c r="DMQ5" i="9"/>
  <c r="DMR5" i="9"/>
  <c r="DMS5" i="9"/>
  <c r="DMT5" i="9"/>
  <c r="DMU5" i="9"/>
  <c r="DMV5" i="9"/>
  <c r="DMW5" i="9"/>
  <c r="DMX5" i="9"/>
  <c r="DMY5" i="9"/>
  <c r="DMZ5" i="9"/>
  <c r="DNA5" i="9"/>
  <c r="DNB5" i="9"/>
  <c r="DNC5" i="9"/>
  <c r="DND5" i="9"/>
  <c r="DNE5" i="9"/>
  <c r="DNF5" i="9"/>
  <c r="DNG5" i="9"/>
  <c r="DNH5" i="9"/>
  <c r="DNI5" i="9"/>
  <c r="DNJ5" i="9"/>
  <c r="DNK5" i="9"/>
  <c r="DNL5" i="9"/>
  <c r="DNM5" i="9"/>
  <c r="DKD5" i="9"/>
  <c r="DKE5" i="9"/>
  <c r="DKF5" i="9"/>
  <c r="DKG5" i="9"/>
  <c r="DKH5" i="9"/>
  <c r="DKI5" i="9"/>
  <c r="DKJ5" i="9"/>
  <c r="DKK5" i="9"/>
  <c r="DKL5" i="9"/>
  <c r="DKM5" i="9"/>
  <c r="DKN5" i="9"/>
  <c r="DKO5" i="9"/>
  <c r="DKP5" i="9"/>
  <c r="DKQ5" i="9"/>
  <c r="DKR5" i="9"/>
  <c r="DKS5" i="9"/>
  <c r="DKT5" i="9"/>
  <c r="DKU5" i="9"/>
  <c r="DKV5" i="9"/>
  <c r="DKW5" i="9"/>
  <c r="DKX5" i="9"/>
  <c r="DKY5" i="9"/>
  <c r="DKZ5" i="9"/>
  <c r="DLA5" i="9"/>
  <c r="DLB5" i="9"/>
  <c r="DLC5" i="9"/>
  <c r="DLD5" i="9"/>
  <c r="DLE5" i="9"/>
  <c r="DLF5" i="9"/>
  <c r="DLG5" i="9"/>
  <c r="DLH5" i="9"/>
  <c r="DLI5" i="9"/>
  <c r="DLJ5" i="9"/>
  <c r="DLK5" i="9"/>
  <c r="DLL5" i="9"/>
  <c r="DLM5" i="9"/>
  <c r="DLN5" i="9"/>
  <c r="DLO5" i="9"/>
  <c r="DLP5" i="9"/>
  <c r="DLQ5" i="9"/>
  <c r="DLR5" i="9"/>
  <c r="DLS5" i="9"/>
  <c r="DLT5" i="9"/>
  <c r="DLU5" i="9"/>
  <c r="DIL5" i="9"/>
  <c r="DIM5" i="9"/>
  <c r="DIN5" i="9"/>
  <c r="DIO5" i="9"/>
  <c r="DIP5" i="9"/>
  <c r="DIQ5" i="9"/>
  <c r="DIR5" i="9"/>
  <c r="DIS5" i="9"/>
  <c r="DIT5" i="9"/>
  <c r="DIU5" i="9"/>
  <c r="DIV5" i="9"/>
  <c r="DIW5" i="9"/>
  <c r="DIX5" i="9"/>
  <c r="DIY5" i="9"/>
  <c r="DIZ5" i="9"/>
  <c r="DJA5" i="9"/>
  <c r="DJB5" i="9"/>
  <c r="DJC5" i="9"/>
  <c r="DJD5" i="9"/>
  <c r="DJE5" i="9"/>
  <c r="DJF5" i="9"/>
  <c r="DJG5" i="9"/>
  <c r="DJH5" i="9"/>
  <c r="DJI5" i="9"/>
  <c r="DJJ5" i="9"/>
  <c r="DJK5" i="9"/>
  <c r="DJL5" i="9"/>
  <c r="DJM5" i="9"/>
  <c r="DJN5" i="9"/>
  <c r="DJO5" i="9"/>
  <c r="DJP5" i="9"/>
  <c r="DJQ5" i="9"/>
  <c r="DJR5" i="9"/>
  <c r="DJS5" i="9"/>
  <c r="DJT5" i="9"/>
  <c r="DJU5" i="9"/>
  <c r="DJV5" i="9"/>
  <c r="DJW5" i="9"/>
  <c r="DJX5" i="9"/>
  <c r="DJY5" i="9"/>
  <c r="DJZ5" i="9"/>
  <c r="DKA5" i="9"/>
  <c r="DKB5" i="9"/>
  <c r="DKC5" i="9"/>
  <c r="DGT5" i="9"/>
  <c r="DGU5" i="9"/>
  <c r="DGV5" i="9"/>
  <c r="DGW5" i="9"/>
  <c r="DGX5" i="9"/>
  <c r="DGY5" i="9"/>
  <c r="DGZ5" i="9"/>
  <c r="DHA5" i="9"/>
  <c r="DHB5" i="9"/>
  <c r="DHC5" i="9"/>
  <c r="DHD5" i="9"/>
  <c r="DHE5" i="9"/>
  <c r="DHF5" i="9"/>
  <c r="DHG5" i="9"/>
  <c r="DHH5" i="9"/>
  <c r="DHI5" i="9"/>
  <c r="DHJ5" i="9"/>
  <c r="DHK5" i="9"/>
  <c r="DHL5" i="9"/>
  <c r="DHM5" i="9"/>
  <c r="DHN5" i="9"/>
  <c r="DHO5" i="9"/>
  <c r="DHP5" i="9"/>
  <c r="DHQ5" i="9"/>
  <c r="DHR5" i="9"/>
  <c r="DHS5" i="9"/>
  <c r="DHT5" i="9"/>
  <c r="DHU5" i="9"/>
  <c r="DHV5" i="9"/>
  <c r="DHW5" i="9"/>
  <c r="DHX5" i="9"/>
  <c r="DHY5" i="9"/>
  <c r="DHZ5" i="9"/>
  <c r="DIA5" i="9"/>
  <c r="DIB5" i="9"/>
  <c r="DIC5" i="9"/>
  <c r="DID5" i="9"/>
  <c r="DIE5" i="9"/>
  <c r="DIF5" i="9"/>
  <c r="DIG5" i="9"/>
  <c r="DIH5" i="9"/>
  <c r="DII5" i="9"/>
  <c r="DIJ5" i="9"/>
  <c r="DIK5" i="9"/>
  <c r="DFB5" i="9"/>
  <c r="DFC5" i="9"/>
  <c r="DFD5" i="9"/>
  <c r="DFE5" i="9"/>
  <c r="DFF5" i="9"/>
  <c r="DFG5" i="9"/>
  <c r="DFH5" i="9"/>
  <c r="DFI5" i="9"/>
  <c r="DFJ5" i="9"/>
  <c r="DFK5" i="9"/>
  <c r="DFL5" i="9"/>
  <c r="DFM5" i="9"/>
  <c r="DFN5" i="9"/>
  <c r="DFO5" i="9"/>
  <c r="DFP5" i="9"/>
  <c r="DFQ5" i="9"/>
  <c r="DFR5" i="9"/>
  <c r="DFS5" i="9"/>
  <c r="DFT5" i="9"/>
  <c r="DFU5" i="9"/>
  <c r="DFV5" i="9"/>
  <c r="DFW5" i="9"/>
  <c r="DFX5" i="9"/>
  <c r="DFY5" i="9"/>
  <c r="DFZ5" i="9"/>
  <c r="DGA5" i="9"/>
  <c r="DGB5" i="9"/>
  <c r="DGC5" i="9"/>
  <c r="DGD5" i="9"/>
  <c r="DGE5" i="9"/>
  <c r="DGF5" i="9"/>
  <c r="DGG5" i="9"/>
  <c r="DGH5" i="9"/>
  <c r="DGI5" i="9"/>
  <c r="DGJ5" i="9"/>
  <c r="DGK5" i="9"/>
  <c r="DGL5" i="9"/>
  <c r="DGM5" i="9"/>
  <c r="DGN5" i="9"/>
  <c r="DGO5" i="9"/>
  <c r="DGP5" i="9"/>
  <c r="DGQ5" i="9"/>
  <c r="DGR5" i="9"/>
  <c r="DGS5" i="9"/>
  <c r="DDJ5" i="9"/>
  <c r="DDK5" i="9"/>
  <c r="DDL5" i="9"/>
  <c r="DDM5" i="9"/>
  <c r="DDN5" i="9"/>
  <c r="DDO5" i="9"/>
  <c r="DDP5" i="9"/>
  <c r="DDQ5" i="9"/>
  <c r="DDR5" i="9"/>
  <c r="DDS5" i="9"/>
  <c r="DDT5" i="9"/>
  <c r="DDU5" i="9"/>
  <c r="DDV5" i="9"/>
  <c r="DDW5" i="9"/>
  <c r="DDX5" i="9"/>
  <c r="DDY5" i="9"/>
  <c r="DDZ5" i="9"/>
  <c r="DEA5" i="9"/>
  <c r="DEB5" i="9"/>
  <c r="DEC5" i="9"/>
  <c r="DED5" i="9"/>
  <c r="DEE5" i="9"/>
  <c r="DEF5" i="9"/>
  <c r="DEG5" i="9"/>
  <c r="DEH5" i="9"/>
  <c r="DEI5" i="9"/>
  <c r="DEJ5" i="9"/>
  <c r="DEK5" i="9"/>
  <c r="DEL5" i="9"/>
  <c r="DEM5" i="9"/>
  <c r="DEN5" i="9"/>
  <c r="DEO5" i="9"/>
  <c r="DEP5" i="9"/>
  <c r="DEQ5" i="9"/>
  <c r="DER5" i="9"/>
  <c r="DES5" i="9"/>
  <c r="DET5" i="9"/>
  <c r="DEU5" i="9"/>
  <c r="DEV5" i="9"/>
  <c r="DEW5" i="9"/>
  <c r="DEX5" i="9"/>
  <c r="DEY5" i="9"/>
  <c r="DEZ5" i="9"/>
  <c r="DFA5" i="9"/>
  <c r="DBR5" i="9"/>
  <c r="DBS5" i="9"/>
  <c r="DBT5" i="9"/>
  <c r="DBU5" i="9"/>
  <c r="DBV5" i="9"/>
  <c r="DBW5" i="9"/>
  <c r="DBX5" i="9"/>
  <c r="DBY5" i="9"/>
  <c r="DBZ5" i="9"/>
  <c r="DCA5" i="9"/>
  <c r="DCB5" i="9"/>
  <c r="DCC5" i="9"/>
  <c r="DCD5" i="9"/>
  <c r="DCE5" i="9"/>
  <c r="DCF5" i="9"/>
  <c r="DCG5" i="9"/>
  <c r="DCH5" i="9"/>
  <c r="DCI5" i="9"/>
  <c r="DCJ5" i="9"/>
  <c r="DCK5" i="9"/>
  <c r="DCL5" i="9"/>
  <c r="DCM5" i="9"/>
  <c r="DCN5" i="9"/>
  <c r="DCO5" i="9"/>
  <c r="DCP5" i="9"/>
  <c r="DCQ5" i="9"/>
  <c r="DCR5" i="9"/>
  <c r="DCS5" i="9"/>
  <c r="DCT5" i="9"/>
  <c r="DCU5" i="9"/>
  <c r="DCV5" i="9"/>
  <c r="DCW5" i="9"/>
  <c r="DCX5" i="9"/>
  <c r="DCY5" i="9"/>
  <c r="DCZ5" i="9"/>
  <c r="DDA5" i="9"/>
  <c r="DDB5" i="9"/>
  <c r="DDC5" i="9"/>
  <c r="DDD5" i="9"/>
  <c r="DDE5" i="9"/>
  <c r="DDF5" i="9"/>
  <c r="DDG5" i="9"/>
  <c r="DDH5" i="9"/>
  <c r="DDI5" i="9"/>
  <c r="CZZ5" i="9"/>
  <c r="DAA5" i="9"/>
  <c r="DAB5" i="9"/>
  <c r="DAC5" i="9"/>
  <c r="DAD5" i="9"/>
  <c r="DAE5" i="9"/>
  <c r="DAF5" i="9"/>
  <c r="DAG5" i="9"/>
  <c r="DAH5" i="9"/>
  <c r="DAI5" i="9"/>
  <c r="DAJ5" i="9"/>
  <c r="DAK5" i="9"/>
  <c r="DAL5" i="9"/>
  <c r="DAM5" i="9"/>
  <c r="DAN5" i="9"/>
  <c r="DAO5" i="9"/>
  <c r="DAP5" i="9"/>
  <c r="DAQ5" i="9"/>
  <c r="DAR5" i="9"/>
  <c r="DAS5" i="9"/>
  <c r="DAT5" i="9"/>
  <c r="DAU5" i="9"/>
  <c r="DAV5" i="9"/>
  <c r="DAW5" i="9"/>
  <c r="DAX5" i="9"/>
  <c r="DAY5" i="9"/>
  <c r="DAZ5" i="9"/>
  <c r="DBA5" i="9"/>
  <c r="DBB5" i="9"/>
  <c r="DBC5" i="9"/>
  <c r="DBD5" i="9"/>
  <c r="DBE5" i="9"/>
  <c r="DBF5" i="9"/>
  <c r="DBG5" i="9"/>
  <c r="DBH5" i="9"/>
  <c r="DBI5" i="9"/>
  <c r="DBJ5" i="9"/>
  <c r="DBK5" i="9"/>
  <c r="DBL5" i="9"/>
  <c r="DBM5" i="9"/>
  <c r="DBN5" i="9"/>
  <c r="DBO5" i="9"/>
  <c r="DBP5" i="9"/>
  <c r="DBQ5" i="9"/>
  <c r="CYH5" i="9"/>
  <c r="CYI5" i="9"/>
  <c r="CYJ5" i="9"/>
  <c r="CYK5" i="9"/>
  <c r="CYL5" i="9"/>
  <c r="CYM5" i="9"/>
  <c r="CYN5" i="9"/>
  <c r="CYO5" i="9"/>
  <c r="CYP5" i="9"/>
  <c r="CYQ5" i="9"/>
  <c r="CYR5" i="9"/>
  <c r="CYS5" i="9"/>
  <c r="CYT5" i="9"/>
  <c r="CYU5" i="9"/>
  <c r="CYV5" i="9"/>
  <c r="CYW5" i="9"/>
  <c r="CYX5" i="9"/>
  <c r="CYY5" i="9"/>
  <c r="CYZ5" i="9"/>
  <c r="CZA5" i="9"/>
  <c r="CZB5" i="9"/>
  <c r="CZC5" i="9"/>
  <c r="CZD5" i="9"/>
  <c r="CZE5" i="9"/>
  <c r="CZF5" i="9"/>
  <c r="CZG5" i="9"/>
  <c r="CZH5" i="9"/>
  <c r="CZI5" i="9"/>
  <c r="CZJ5" i="9"/>
  <c r="CZK5" i="9"/>
  <c r="CZL5" i="9"/>
  <c r="CZM5" i="9"/>
  <c r="CZN5" i="9"/>
  <c r="CZO5" i="9"/>
  <c r="CZP5" i="9"/>
  <c r="CZQ5" i="9"/>
  <c r="CZR5" i="9"/>
  <c r="CZS5" i="9"/>
  <c r="CZT5" i="9"/>
  <c r="CZU5" i="9"/>
  <c r="CZV5" i="9"/>
  <c r="CZW5" i="9"/>
  <c r="CZX5" i="9"/>
  <c r="CZY5" i="9"/>
  <c r="CWP5" i="9"/>
  <c r="CWQ5" i="9"/>
  <c r="CWR5" i="9"/>
  <c r="CWS5" i="9"/>
  <c r="CWT5" i="9"/>
  <c r="CWU5" i="9"/>
  <c r="CWV5" i="9"/>
  <c r="CWW5" i="9"/>
  <c r="CWX5" i="9"/>
  <c r="CWY5" i="9"/>
  <c r="CWZ5" i="9"/>
  <c r="CXA5" i="9"/>
  <c r="CXB5" i="9"/>
  <c r="CXC5" i="9"/>
  <c r="CXD5" i="9"/>
  <c r="CXE5" i="9"/>
  <c r="CXF5" i="9"/>
  <c r="CXG5" i="9"/>
  <c r="CXH5" i="9"/>
  <c r="CXI5" i="9"/>
  <c r="CXJ5" i="9"/>
  <c r="CXK5" i="9"/>
  <c r="CXL5" i="9"/>
  <c r="CXM5" i="9"/>
  <c r="CXN5" i="9"/>
  <c r="CXO5" i="9"/>
  <c r="CXP5" i="9"/>
  <c r="CXQ5" i="9"/>
  <c r="CXR5" i="9"/>
  <c r="CXS5" i="9"/>
  <c r="CXT5" i="9"/>
  <c r="CXU5" i="9"/>
  <c r="CXV5" i="9"/>
  <c r="CXW5" i="9"/>
  <c r="CXX5" i="9"/>
  <c r="CXY5" i="9"/>
  <c r="CXZ5" i="9"/>
  <c r="CYA5" i="9"/>
  <c r="CYB5" i="9"/>
  <c r="CYC5" i="9"/>
  <c r="CYD5" i="9"/>
  <c r="CYE5" i="9"/>
  <c r="CYF5" i="9"/>
  <c r="CYG5" i="9"/>
  <c r="CUX5" i="9"/>
  <c r="CUY5" i="9"/>
  <c r="CUZ5" i="9"/>
  <c r="CVA5" i="9"/>
  <c r="CVB5" i="9"/>
  <c r="CVC5" i="9"/>
  <c r="CVD5" i="9"/>
  <c r="CVE5" i="9"/>
  <c r="CVF5" i="9"/>
  <c r="CVG5" i="9"/>
  <c r="CVH5" i="9"/>
  <c r="CVI5" i="9"/>
  <c r="CVJ5" i="9"/>
  <c r="CVK5" i="9"/>
  <c r="CVL5" i="9"/>
  <c r="CVM5" i="9"/>
  <c r="CVN5" i="9"/>
  <c r="CVO5" i="9"/>
  <c r="CVP5" i="9"/>
  <c r="CVQ5" i="9"/>
  <c r="CVR5" i="9"/>
  <c r="CVS5" i="9"/>
  <c r="CVT5" i="9"/>
  <c r="CVU5" i="9"/>
  <c r="CVV5" i="9"/>
  <c r="CVW5" i="9"/>
  <c r="CVX5" i="9"/>
  <c r="CVY5" i="9"/>
  <c r="CVZ5" i="9"/>
  <c r="CWA5" i="9"/>
  <c r="CWB5" i="9"/>
  <c r="CWC5" i="9"/>
  <c r="CWD5" i="9"/>
  <c r="CWE5" i="9"/>
  <c r="CWF5" i="9"/>
  <c r="CWG5" i="9"/>
  <c r="CWH5" i="9"/>
  <c r="CWI5" i="9"/>
  <c r="CWJ5" i="9"/>
  <c r="CWK5" i="9"/>
  <c r="CWL5" i="9"/>
  <c r="CWM5" i="9"/>
  <c r="CWN5" i="9"/>
  <c r="CWO5" i="9"/>
  <c r="CTF5" i="9"/>
  <c r="CTG5" i="9"/>
  <c r="CTH5" i="9"/>
  <c r="CTI5" i="9"/>
  <c r="CTJ5" i="9"/>
  <c r="CTK5" i="9"/>
  <c r="CTL5" i="9"/>
  <c r="CTM5" i="9"/>
  <c r="CTN5" i="9"/>
  <c r="CTO5" i="9"/>
  <c r="CTP5" i="9"/>
  <c r="CTQ5" i="9"/>
  <c r="CTR5" i="9"/>
  <c r="CTS5" i="9"/>
  <c r="CTT5" i="9"/>
  <c r="CTU5" i="9"/>
  <c r="CTV5" i="9"/>
  <c r="CTW5" i="9"/>
  <c r="CTX5" i="9"/>
  <c r="CTY5" i="9"/>
  <c r="CTZ5" i="9"/>
  <c r="CUA5" i="9"/>
  <c r="CUB5" i="9"/>
  <c r="CUC5" i="9"/>
  <c r="CUD5" i="9"/>
  <c r="CUE5" i="9"/>
  <c r="CUF5" i="9"/>
  <c r="CUG5" i="9"/>
  <c r="CUH5" i="9"/>
  <c r="CUI5" i="9"/>
  <c r="CUJ5" i="9"/>
  <c r="CUK5" i="9"/>
  <c r="CUL5" i="9"/>
  <c r="CUM5" i="9"/>
  <c r="CUN5" i="9"/>
  <c r="CUO5" i="9"/>
  <c r="CUP5" i="9"/>
  <c r="CUQ5" i="9"/>
  <c r="CUR5" i="9"/>
  <c r="CUS5" i="9"/>
  <c r="CUT5" i="9"/>
  <c r="CUU5" i="9"/>
  <c r="CUV5" i="9"/>
  <c r="CUW5" i="9"/>
  <c r="CRN5" i="9"/>
  <c r="CRO5" i="9"/>
  <c r="CRP5" i="9"/>
  <c r="CRQ5" i="9"/>
  <c r="CRR5" i="9"/>
  <c r="CRS5" i="9"/>
  <c r="CRT5" i="9"/>
  <c r="CRU5" i="9"/>
  <c r="CRV5" i="9"/>
  <c r="CRW5" i="9"/>
  <c r="CRX5" i="9"/>
  <c r="CRY5" i="9"/>
  <c r="CRZ5" i="9"/>
  <c r="CSA5" i="9"/>
  <c r="CSB5" i="9"/>
  <c r="CSC5" i="9"/>
  <c r="CSD5" i="9"/>
  <c r="CSE5" i="9"/>
  <c r="CSF5" i="9"/>
  <c r="CSG5" i="9"/>
  <c r="CSH5" i="9"/>
  <c r="CSI5" i="9"/>
  <c r="CSJ5" i="9"/>
  <c r="CSK5" i="9"/>
  <c r="CSL5" i="9"/>
  <c r="CSM5" i="9"/>
  <c r="CSN5" i="9"/>
  <c r="CSO5" i="9"/>
  <c r="CSP5" i="9"/>
  <c r="CSQ5" i="9"/>
  <c r="CSR5" i="9"/>
  <c r="CSS5" i="9"/>
  <c r="CST5" i="9"/>
  <c r="CSU5" i="9"/>
  <c r="CSV5" i="9"/>
  <c r="CSW5" i="9"/>
  <c r="CSX5" i="9"/>
  <c r="CSY5" i="9"/>
  <c r="CSZ5" i="9"/>
  <c r="CTA5" i="9"/>
  <c r="CTB5" i="9"/>
  <c r="CTC5" i="9"/>
  <c r="CTD5" i="9"/>
  <c r="CTE5" i="9"/>
  <c r="CPV5" i="9"/>
  <c r="CPW5" i="9"/>
  <c r="CPX5" i="9"/>
  <c r="CPY5" i="9"/>
  <c r="CPZ5" i="9"/>
  <c r="CQA5" i="9"/>
  <c r="CQB5" i="9"/>
  <c r="CQC5" i="9"/>
  <c r="CQD5" i="9"/>
  <c r="CQE5" i="9"/>
  <c r="CQF5" i="9"/>
  <c r="CQG5" i="9"/>
  <c r="CQH5" i="9"/>
  <c r="CQI5" i="9"/>
  <c r="CQJ5" i="9"/>
  <c r="CQK5" i="9"/>
  <c r="CQL5" i="9"/>
  <c r="CQM5" i="9"/>
  <c r="CQN5" i="9"/>
  <c r="CQO5" i="9"/>
  <c r="CQP5" i="9"/>
  <c r="CQQ5" i="9"/>
  <c r="CQR5" i="9"/>
  <c r="CQS5" i="9"/>
  <c r="CQT5" i="9"/>
  <c r="CQU5" i="9"/>
  <c r="CQV5" i="9"/>
  <c r="CQW5" i="9"/>
  <c r="CQX5" i="9"/>
  <c r="CQY5" i="9"/>
  <c r="CQZ5" i="9"/>
  <c r="CRA5" i="9"/>
  <c r="CRB5" i="9"/>
  <c r="CRC5" i="9"/>
  <c r="CRD5" i="9"/>
  <c r="CRE5" i="9"/>
  <c r="CRF5" i="9"/>
  <c r="CRG5" i="9"/>
  <c r="CRH5" i="9"/>
  <c r="CRI5" i="9"/>
  <c r="CRJ5" i="9"/>
  <c r="CRK5" i="9"/>
  <c r="CRL5" i="9"/>
  <c r="CRM5" i="9"/>
  <c r="COD5" i="9"/>
  <c r="COE5" i="9"/>
  <c r="COF5" i="9"/>
  <c r="COG5" i="9"/>
  <c r="COH5" i="9"/>
  <c r="COI5" i="9"/>
  <c r="COJ5" i="9"/>
  <c r="COK5" i="9"/>
  <c r="COL5" i="9"/>
  <c r="COM5" i="9"/>
  <c r="CON5" i="9"/>
  <c r="COO5" i="9"/>
  <c r="COP5" i="9"/>
  <c r="COQ5" i="9"/>
  <c r="COR5" i="9"/>
  <c r="COS5" i="9"/>
  <c r="COT5" i="9"/>
  <c r="COU5" i="9"/>
  <c r="COV5" i="9"/>
  <c r="COW5" i="9"/>
  <c r="COX5" i="9"/>
  <c r="COY5" i="9"/>
  <c r="COZ5" i="9"/>
  <c r="CPA5" i="9"/>
  <c r="CPB5" i="9"/>
  <c r="CPC5" i="9"/>
  <c r="CPD5" i="9"/>
  <c r="CPE5" i="9"/>
  <c r="CPF5" i="9"/>
  <c r="CPG5" i="9"/>
  <c r="CPH5" i="9"/>
  <c r="CPI5" i="9"/>
  <c r="CPJ5" i="9"/>
  <c r="CPK5" i="9"/>
  <c r="CPL5" i="9"/>
  <c r="CPM5" i="9"/>
  <c r="CPN5" i="9"/>
  <c r="CPO5" i="9"/>
  <c r="CPP5" i="9"/>
  <c r="CPQ5" i="9"/>
  <c r="CPR5" i="9"/>
  <c r="CPS5" i="9"/>
  <c r="CPT5" i="9"/>
  <c r="CPU5" i="9"/>
  <c r="CML5" i="9"/>
  <c r="CMM5" i="9"/>
  <c r="CMN5" i="9"/>
  <c r="CMO5" i="9"/>
  <c r="CMP5" i="9"/>
  <c r="CMQ5" i="9"/>
  <c r="CMR5" i="9"/>
  <c r="CMS5" i="9"/>
  <c r="CMT5" i="9"/>
  <c r="CMU5" i="9"/>
  <c r="CMV5" i="9"/>
  <c r="CMW5" i="9"/>
  <c r="CMX5" i="9"/>
  <c r="CMY5" i="9"/>
  <c r="CMZ5" i="9"/>
  <c r="CNA5" i="9"/>
  <c r="CNB5" i="9"/>
  <c r="CNC5" i="9"/>
  <c r="CND5" i="9"/>
  <c r="CNE5" i="9"/>
  <c r="CNF5" i="9"/>
  <c r="CNG5" i="9"/>
  <c r="CNH5" i="9"/>
  <c r="CNI5" i="9"/>
  <c r="CNJ5" i="9"/>
  <c r="CNK5" i="9"/>
  <c r="CNL5" i="9"/>
  <c r="CNM5" i="9"/>
  <c r="CNN5" i="9"/>
  <c r="CNO5" i="9"/>
  <c r="CNP5" i="9"/>
  <c r="CNQ5" i="9"/>
  <c r="CNR5" i="9"/>
  <c r="CNS5" i="9"/>
  <c r="CNT5" i="9"/>
  <c r="CNU5" i="9"/>
  <c r="CNV5" i="9"/>
  <c r="CNW5" i="9"/>
  <c r="CNX5" i="9"/>
  <c r="CNY5" i="9"/>
  <c r="CNZ5" i="9"/>
  <c r="COA5" i="9"/>
  <c r="COB5" i="9"/>
  <c r="COC5" i="9"/>
  <c r="CKT5" i="9"/>
  <c r="CKU5" i="9"/>
  <c r="CKV5" i="9"/>
  <c r="CKW5" i="9"/>
  <c r="CKX5" i="9"/>
  <c r="CKY5" i="9"/>
  <c r="CKZ5" i="9"/>
  <c r="CLA5" i="9"/>
  <c r="CLB5" i="9"/>
  <c r="CLC5" i="9"/>
  <c r="CLD5" i="9"/>
  <c r="CLE5" i="9"/>
  <c r="CLF5" i="9"/>
  <c r="CLG5" i="9"/>
  <c r="CLH5" i="9"/>
  <c r="CLI5" i="9"/>
  <c r="CLJ5" i="9"/>
  <c r="CLK5" i="9"/>
  <c r="CLL5" i="9"/>
  <c r="CLM5" i="9"/>
  <c r="CLN5" i="9"/>
  <c r="CLO5" i="9"/>
  <c r="CLP5" i="9"/>
  <c r="CLQ5" i="9"/>
  <c r="CLR5" i="9"/>
  <c r="CLS5" i="9"/>
  <c r="CLT5" i="9"/>
  <c r="CLU5" i="9"/>
  <c r="CLV5" i="9"/>
  <c r="CLW5" i="9"/>
  <c r="CLX5" i="9"/>
  <c r="CLY5" i="9"/>
  <c r="CLZ5" i="9"/>
  <c r="CMA5" i="9"/>
  <c r="CMB5" i="9"/>
  <c r="CMC5" i="9"/>
  <c r="CMD5" i="9"/>
  <c r="CME5" i="9"/>
  <c r="CMF5" i="9"/>
  <c r="CMG5" i="9"/>
  <c r="CMH5" i="9"/>
  <c r="CMI5" i="9"/>
  <c r="CMJ5" i="9"/>
  <c r="CMK5" i="9"/>
  <c r="CJB5" i="9"/>
  <c r="CJC5" i="9"/>
  <c r="CJD5" i="9"/>
  <c r="CJE5" i="9"/>
  <c r="CJF5" i="9"/>
  <c r="CJG5" i="9"/>
  <c r="CJH5" i="9"/>
  <c r="CJI5" i="9"/>
  <c r="CJJ5" i="9"/>
  <c r="CJK5" i="9"/>
  <c r="CJL5" i="9"/>
  <c r="CJM5" i="9"/>
  <c r="CJN5" i="9"/>
  <c r="CJO5" i="9"/>
  <c r="CJP5" i="9"/>
  <c r="CJQ5" i="9"/>
  <c r="CJR5" i="9"/>
  <c r="CJS5" i="9"/>
  <c r="CJT5" i="9"/>
  <c r="CJU5" i="9"/>
  <c r="CJV5" i="9"/>
  <c r="CJW5" i="9"/>
  <c r="CJX5" i="9"/>
  <c r="CJY5" i="9"/>
  <c r="CJZ5" i="9"/>
  <c r="CKA5" i="9"/>
  <c r="CKB5" i="9"/>
  <c r="CKC5" i="9"/>
  <c r="CKD5" i="9"/>
  <c r="CKE5" i="9"/>
  <c r="CKF5" i="9"/>
  <c r="CKG5" i="9"/>
  <c r="CKH5" i="9"/>
  <c r="CKI5" i="9"/>
  <c r="CKJ5" i="9"/>
  <c r="CKK5" i="9"/>
  <c r="CKL5" i="9"/>
  <c r="CKM5" i="9"/>
  <c r="CKN5" i="9"/>
  <c r="CKO5" i="9"/>
  <c r="CKP5" i="9"/>
  <c r="CKQ5" i="9"/>
  <c r="CKR5" i="9"/>
  <c r="CKS5" i="9"/>
  <c r="CHJ5" i="9"/>
  <c r="CHK5" i="9"/>
  <c r="CHL5" i="9"/>
  <c r="CHM5" i="9"/>
  <c r="CHN5" i="9"/>
  <c r="CHO5" i="9"/>
  <c r="CHP5" i="9"/>
  <c r="CHQ5" i="9"/>
  <c r="CHR5" i="9"/>
  <c r="CHS5" i="9"/>
  <c r="CHT5" i="9"/>
  <c r="CHU5" i="9"/>
  <c r="CHV5" i="9"/>
  <c r="CHW5" i="9"/>
  <c r="CHX5" i="9"/>
  <c r="CHY5" i="9"/>
  <c r="CHZ5" i="9"/>
  <c r="CIA5" i="9"/>
  <c r="CIB5" i="9"/>
  <c r="CIC5" i="9"/>
  <c r="CID5" i="9"/>
  <c r="CIE5" i="9"/>
  <c r="CIF5" i="9"/>
  <c r="CIG5" i="9"/>
  <c r="CIH5" i="9"/>
  <c r="CII5" i="9"/>
  <c r="CIJ5" i="9"/>
  <c r="CIK5" i="9"/>
  <c r="CIL5" i="9"/>
  <c r="CIM5" i="9"/>
  <c r="CIN5" i="9"/>
  <c r="CIO5" i="9"/>
  <c r="CIP5" i="9"/>
  <c r="CIQ5" i="9"/>
  <c r="CIR5" i="9"/>
  <c r="CIS5" i="9"/>
  <c r="CIT5" i="9"/>
  <c r="CIU5" i="9"/>
  <c r="CIV5" i="9"/>
  <c r="CIW5" i="9"/>
  <c r="CIX5" i="9"/>
  <c r="CIY5" i="9"/>
  <c r="CIZ5" i="9"/>
  <c r="CJA5" i="9"/>
  <c r="CFR5" i="9"/>
  <c r="CFS5" i="9"/>
  <c r="CFT5" i="9"/>
  <c r="CFU5" i="9"/>
  <c r="CFV5" i="9"/>
  <c r="CFW5" i="9"/>
  <c r="CFX5" i="9"/>
  <c r="CFY5" i="9"/>
  <c r="CFZ5" i="9"/>
  <c r="CGA5" i="9"/>
  <c r="CGB5" i="9"/>
  <c r="CGC5" i="9"/>
  <c r="CGD5" i="9"/>
  <c r="CGE5" i="9"/>
  <c r="CGF5" i="9"/>
  <c r="CGG5" i="9"/>
  <c r="CGH5" i="9"/>
  <c r="CGI5" i="9"/>
  <c r="CGJ5" i="9"/>
  <c r="CGK5" i="9"/>
  <c r="CGL5" i="9"/>
  <c r="CGM5" i="9"/>
  <c r="CGN5" i="9"/>
  <c r="CGO5" i="9"/>
  <c r="CGP5" i="9"/>
  <c r="CGQ5" i="9"/>
  <c r="CGR5" i="9"/>
  <c r="CGS5" i="9"/>
  <c r="CGT5" i="9"/>
  <c r="CGU5" i="9"/>
  <c r="CGV5" i="9"/>
  <c r="CGW5" i="9"/>
  <c r="CGX5" i="9"/>
  <c r="CGY5" i="9"/>
  <c r="CGZ5" i="9"/>
  <c r="CHA5" i="9"/>
  <c r="CHB5" i="9"/>
  <c r="CHC5" i="9"/>
  <c r="CHD5" i="9"/>
  <c r="CHE5" i="9"/>
  <c r="CHF5" i="9"/>
  <c r="CHG5" i="9"/>
  <c r="CHH5" i="9"/>
  <c r="CHI5" i="9"/>
  <c r="CDZ5" i="9"/>
  <c r="CEA5" i="9"/>
  <c r="CEB5" i="9"/>
  <c r="CEC5" i="9"/>
  <c r="CED5" i="9"/>
  <c r="CEE5" i="9"/>
  <c r="CEF5" i="9"/>
  <c r="CEG5" i="9"/>
  <c r="CEH5" i="9"/>
  <c r="CEI5" i="9"/>
  <c r="CEJ5" i="9"/>
  <c r="CEK5" i="9"/>
  <c r="CEL5" i="9"/>
  <c r="CEM5" i="9"/>
  <c r="CEN5" i="9"/>
  <c r="CEO5" i="9"/>
  <c r="CEP5" i="9"/>
  <c r="CEQ5" i="9"/>
  <c r="CER5" i="9"/>
  <c r="CES5" i="9"/>
  <c r="CET5" i="9"/>
  <c r="CEU5" i="9"/>
  <c r="CEV5" i="9"/>
  <c r="CEW5" i="9"/>
  <c r="CEX5" i="9"/>
  <c r="CEY5" i="9"/>
  <c r="CEZ5" i="9"/>
  <c r="CFA5" i="9"/>
  <c r="CFB5" i="9"/>
  <c r="CFC5" i="9"/>
  <c r="CFD5" i="9"/>
  <c r="CFE5" i="9"/>
  <c r="CFF5" i="9"/>
  <c r="CFG5" i="9"/>
  <c r="CFH5" i="9"/>
  <c r="CFI5" i="9"/>
  <c r="CFJ5" i="9"/>
  <c r="CFK5" i="9"/>
  <c r="CFL5" i="9"/>
  <c r="CFM5" i="9"/>
  <c r="CFN5" i="9"/>
  <c r="CFO5" i="9"/>
  <c r="CFP5" i="9"/>
  <c r="CFQ5" i="9"/>
  <c r="CCH5" i="9"/>
  <c r="CCI5" i="9"/>
  <c r="CCJ5" i="9"/>
  <c r="CCK5" i="9"/>
  <c r="CCL5" i="9"/>
  <c r="CCM5" i="9"/>
  <c r="CCN5" i="9"/>
  <c r="CCO5" i="9"/>
  <c r="CCP5" i="9"/>
  <c r="CCQ5" i="9"/>
  <c r="CCR5" i="9"/>
  <c r="CCS5" i="9"/>
  <c r="CCT5" i="9"/>
  <c r="CCU5" i="9"/>
  <c r="CCV5" i="9"/>
  <c r="CCW5" i="9"/>
  <c r="CCX5" i="9"/>
  <c r="CCY5" i="9"/>
  <c r="CCZ5" i="9"/>
  <c r="CDA5" i="9"/>
  <c r="CDB5" i="9"/>
  <c r="CDC5" i="9"/>
  <c r="CDD5" i="9"/>
  <c r="CDE5" i="9"/>
  <c r="CDF5" i="9"/>
  <c r="CDG5" i="9"/>
  <c r="CDH5" i="9"/>
  <c r="CDI5" i="9"/>
  <c r="CDJ5" i="9"/>
  <c r="CDK5" i="9"/>
  <c r="CDL5" i="9"/>
  <c r="CDM5" i="9"/>
  <c r="CDN5" i="9"/>
  <c r="CDO5" i="9"/>
  <c r="CDP5" i="9"/>
  <c r="CDQ5" i="9"/>
  <c r="CDR5" i="9"/>
  <c r="CDS5" i="9"/>
  <c r="CDT5" i="9"/>
  <c r="CDU5" i="9"/>
  <c r="CDV5" i="9"/>
  <c r="CDW5" i="9"/>
  <c r="CDX5" i="9"/>
  <c r="CDY5" i="9"/>
  <c r="CAP5" i="9"/>
  <c r="CAQ5" i="9"/>
  <c r="CAR5" i="9"/>
  <c r="CAS5" i="9"/>
  <c r="CAT5" i="9"/>
  <c r="CAU5" i="9"/>
  <c r="CAV5" i="9"/>
  <c r="CAW5" i="9"/>
  <c r="CAX5" i="9"/>
  <c r="CAY5" i="9"/>
  <c r="CAZ5" i="9"/>
  <c r="CBA5" i="9"/>
  <c r="CBB5" i="9"/>
  <c r="CBC5" i="9"/>
  <c r="CBD5" i="9"/>
  <c r="CBE5" i="9"/>
  <c r="CBF5" i="9"/>
  <c r="CBG5" i="9"/>
  <c r="CBH5" i="9"/>
  <c r="CBI5" i="9"/>
  <c r="CBJ5" i="9"/>
  <c r="CBK5" i="9"/>
  <c r="CBL5" i="9"/>
  <c r="CBM5" i="9"/>
  <c r="CBN5" i="9"/>
  <c r="CBO5" i="9"/>
  <c r="CBP5" i="9"/>
  <c r="CBQ5" i="9"/>
  <c r="CBR5" i="9"/>
  <c r="CBS5" i="9"/>
  <c r="CBT5" i="9"/>
  <c r="CBU5" i="9"/>
  <c r="CBV5" i="9"/>
  <c r="CBW5" i="9"/>
  <c r="CBX5" i="9"/>
  <c r="CBY5" i="9"/>
  <c r="CBZ5" i="9"/>
  <c r="CCA5" i="9"/>
  <c r="CCB5" i="9"/>
  <c r="CCC5" i="9"/>
  <c r="CCD5" i="9"/>
  <c r="CCE5" i="9"/>
  <c r="CCF5" i="9"/>
  <c r="CCG5" i="9"/>
  <c r="BYX5" i="9"/>
  <c r="BYY5" i="9"/>
  <c r="BYZ5" i="9"/>
  <c r="BZA5" i="9"/>
  <c r="BZB5" i="9"/>
  <c r="BZC5" i="9"/>
  <c r="BZD5" i="9"/>
  <c r="BZE5" i="9"/>
  <c r="BZF5" i="9"/>
  <c r="BZG5" i="9"/>
  <c r="BZH5" i="9"/>
  <c r="BZI5" i="9"/>
  <c r="BZJ5" i="9"/>
  <c r="BZK5" i="9"/>
  <c r="BZL5" i="9"/>
  <c r="BZM5" i="9"/>
  <c r="BZN5" i="9"/>
  <c r="BZO5" i="9"/>
  <c r="BZP5" i="9"/>
  <c r="BZQ5" i="9"/>
  <c r="BZR5" i="9"/>
  <c r="BZS5" i="9"/>
  <c r="BZT5" i="9"/>
  <c r="BZU5" i="9"/>
  <c r="BZV5" i="9"/>
  <c r="BZW5" i="9"/>
  <c r="BZX5" i="9"/>
  <c r="BZY5" i="9"/>
  <c r="BZZ5" i="9"/>
  <c r="CAA5" i="9"/>
  <c r="CAB5" i="9"/>
  <c r="CAC5" i="9"/>
  <c r="CAD5" i="9"/>
  <c r="CAE5" i="9"/>
  <c r="CAF5" i="9"/>
  <c r="CAG5" i="9"/>
  <c r="CAH5" i="9"/>
  <c r="CAI5" i="9"/>
  <c r="CAJ5" i="9"/>
  <c r="CAK5" i="9"/>
  <c r="CAL5" i="9"/>
  <c r="CAM5" i="9"/>
  <c r="CAN5" i="9"/>
  <c r="CAO5" i="9"/>
  <c r="BXF5" i="9"/>
  <c r="BXG5" i="9"/>
  <c r="BXH5" i="9"/>
  <c r="BXI5" i="9"/>
  <c r="BXJ5" i="9"/>
  <c r="BXK5" i="9"/>
  <c r="BXL5" i="9"/>
  <c r="BXM5" i="9"/>
  <c r="BXN5" i="9"/>
  <c r="BXO5" i="9"/>
  <c r="BXP5" i="9"/>
  <c r="BXQ5" i="9"/>
  <c r="BXR5" i="9"/>
  <c r="BXS5" i="9"/>
  <c r="BXT5" i="9"/>
  <c r="BXU5" i="9"/>
  <c r="BXV5" i="9"/>
  <c r="BXW5" i="9"/>
  <c r="BXX5" i="9"/>
  <c r="BXY5" i="9"/>
  <c r="BXZ5" i="9"/>
  <c r="BYA5" i="9"/>
  <c r="BYB5" i="9"/>
  <c r="BYC5" i="9"/>
  <c r="BYD5" i="9"/>
  <c r="BYE5" i="9"/>
  <c r="BYF5" i="9"/>
  <c r="BYG5" i="9"/>
  <c r="BYH5" i="9"/>
  <c r="BYI5" i="9"/>
  <c r="BYJ5" i="9"/>
  <c r="BYK5" i="9"/>
  <c r="BYL5" i="9"/>
  <c r="BYM5" i="9"/>
  <c r="BYN5" i="9"/>
  <c r="BYO5" i="9"/>
  <c r="BYP5" i="9"/>
  <c r="BYQ5" i="9"/>
  <c r="BYR5" i="9"/>
  <c r="BYS5" i="9"/>
  <c r="BYT5" i="9"/>
  <c r="BYU5" i="9"/>
  <c r="BYV5" i="9"/>
  <c r="BYW5" i="9"/>
  <c r="BVN5" i="9"/>
  <c r="BVO5" i="9"/>
  <c r="BVP5" i="9"/>
  <c r="BVQ5" i="9"/>
  <c r="BVR5" i="9"/>
  <c r="BVS5" i="9"/>
  <c r="BVT5" i="9"/>
  <c r="BVU5" i="9"/>
  <c r="BVV5" i="9"/>
  <c r="BVW5" i="9"/>
  <c r="BVX5" i="9"/>
  <c r="BVY5" i="9"/>
  <c r="BVZ5" i="9"/>
  <c r="BWA5" i="9"/>
  <c r="BWB5" i="9"/>
  <c r="BWC5" i="9"/>
  <c r="BWD5" i="9"/>
  <c r="BWE5" i="9"/>
  <c r="BWF5" i="9"/>
  <c r="BWG5" i="9"/>
  <c r="BWH5" i="9"/>
  <c r="BWI5" i="9"/>
  <c r="BWJ5" i="9"/>
  <c r="BWK5" i="9"/>
  <c r="BWL5" i="9"/>
  <c r="BWM5" i="9"/>
  <c r="BWN5" i="9"/>
  <c r="BWO5" i="9"/>
  <c r="BWP5" i="9"/>
  <c r="BWQ5" i="9"/>
  <c r="BWR5" i="9"/>
  <c r="BWS5" i="9"/>
  <c r="BWT5" i="9"/>
  <c r="BWU5" i="9"/>
  <c r="BWV5" i="9"/>
  <c r="BWW5" i="9"/>
  <c r="BWX5" i="9"/>
  <c r="BWY5" i="9"/>
  <c r="BWZ5" i="9"/>
  <c r="BXA5" i="9"/>
  <c r="BXB5" i="9"/>
  <c r="BXC5" i="9"/>
  <c r="BXD5" i="9"/>
  <c r="BXE5" i="9"/>
  <c r="BTV5" i="9"/>
  <c r="BTW5" i="9"/>
  <c r="BTX5" i="9"/>
  <c r="BTY5" i="9"/>
  <c r="BTZ5" i="9"/>
  <c r="BUA5" i="9"/>
  <c r="BUB5" i="9"/>
  <c r="BUC5" i="9"/>
  <c r="BUD5" i="9"/>
  <c r="BUE5" i="9"/>
  <c r="BUF5" i="9"/>
  <c r="BUG5" i="9"/>
  <c r="BUH5" i="9"/>
  <c r="BUI5" i="9"/>
  <c r="BUJ5" i="9"/>
  <c r="BUK5" i="9"/>
  <c r="BUL5" i="9"/>
  <c r="BUM5" i="9"/>
  <c r="BUN5" i="9"/>
  <c r="BUO5" i="9"/>
  <c r="BUP5" i="9"/>
  <c r="BUQ5" i="9"/>
  <c r="BUR5" i="9"/>
  <c r="BUS5" i="9"/>
  <c r="BUT5" i="9"/>
  <c r="BUU5" i="9"/>
  <c r="BUV5" i="9"/>
  <c r="BUW5" i="9"/>
  <c r="BUX5" i="9"/>
  <c r="BUY5" i="9"/>
  <c r="BUZ5" i="9"/>
  <c r="BVA5" i="9"/>
  <c r="BVB5" i="9"/>
  <c r="BVC5" i="9"/>
  <c r="BVD5" i="9"/>
  <c r="BVE5" i="9"/>
  <c r="BVF5" i="9"/>
  <c r="BVG5" i="9"/>
  <c r="BVH5" i="9"/>
  <c r="BVI5" i="9"/>
  <c r="BVJ5" i="9"/>
  <c r="BVK5" i="9"/>
  <c r="BVL5" i="9"/>
  <c r="BVM5" i="9"/>
  <c r="BSD5" i="9"/>
  <c r="BSE5" i="9"/>
  <c r="BSF5" i="9"/>
  <c r="BSG5" i="9"/>
  <c r="BSH5" i="9"/>
  <c r="BSI5" i="9"/>
  <c r="BSJ5" i="9"/>
  <c r="BSK5" i="9"/>
  <c r="BSL5" i="9"/>
  <c r="BSM5" i="9"/>
  <c r="BSN5" i="9"/>
  <c r="BSO5" i="9"/>
  <c r="BSP5" i="9"/>
  <c r="BSQ5" i="9"/>
  <c r="BSR5" i="9"/>
  <c r="BSS5" i="9"/>
  <c r="BST5" i="9"/>
  <c r="BSU5" i="9"/>
  <c r="BSV5" i="9"/>
  <c r="BSW5" i="9"/>
  <c r="BSX5" i="9"/>
  <c r="BSY5" i="9"/>
  <c r="BSZ5" i="9"/>
  <c r="BTA5" i="9"/>
  <c r="BTB5" i="9"/>
  <c r="BTC5" i="9"/>
  <c r="BTD5" i="9"/>
  <c r="BTE5" i="9"/>
  <c r="BTF5" i="9"/>
  <c r="BTG5" i="9"/>
  <c r="BTH5" i="9"/>
  <c r="BTI5" i="9"/>
  <c r="BTJ5" i="9"/>
  <c r="BTK5" i="9"/>
  <c r="BTL5" i="9"/>
  <c r="BTM5" i="9"/>
  <c r="BTN5" i="9"/>
  <c r="BTO5" i="9"/>
  <c r="BTP5" i="9"/>
  <c r="BTQ5" i="9"/>
  <c r="BTR5" i="9"/>
  <c r="BTS5" i="9"/>
  <c r="BTT5" i="9"/>
  <c r="BTU5" i="9"/>
  <c r="BQL5" i="9"/>
  <c r="BQM5" i="9"/>
  <c r="BQN5" i="9"/>
  <c r="BQO5" i="9"/>
  <c r="BQP5" i="9"/>
  <c r="BQQ5" i="9"/>
  <c r="BQR5" i="9"/>
  <c r="BQS5" i="9"/>
  <c r="BQT5" i="9"/>
  <c r="BQU5" i="9"/>
  <c r="BQV5" i="9"/>
  <c r="BQW5" i="9"/>
  <c r="BQX5" i="9"/>
  <c r="BQY5" i="9"/>
  <c r="BQZ5" i="9"/>
  <c r="BRA5" i="9"/>
  <c r="BRB5" i="9"/>
  <c r="BRC5" i="9"/>
  <c r="BRD5" i="9"/>
  <c r="BRE5" i="9"/>
  <c r="BRF5" i="9"/>
  <c r="BRG5" i="9"/>
  <c r="BRH5" i="9"/>
  <c r="BRI5" i="9"/>
  <c r="BRJ5" i="9"/>
  <c r="BRK5" i="9"/>
  <c r="BRL5" i="9"/>
  <c r="BRM5" i="9"/>
  <c r="BRN5" i="9"/>
  <c r="BRO5" i="9"/>
  <c r="BRP5" i="9"/>
  <c r="BRQ5" i="9"/>
  <c r="BRR5" i="9"/>
  <c r="BRS5" i="9"/>
  <c r="BRT5" i="9"/>
  <c r="BRU5" i="9"/>
  <c r="BRV5" i="9"/>
  <c r="BRW5" i="9"/>
  <c r="BRX5" i="9"/>
  <c r="BRY5" i="9"/>
  <c r="BRZ5" i="9"/>
  <c r="BSA5" i="9"/>
  <c r="BSB5" i="9"/>
  <c r="BSC5" i="9"/>
  <c r="BOT5" i="9"/>
  <c r="BOU5" i="9"/>
  <c r="BOV5" i="9"/>
  <c r="BOW5" i="9"/>
  <c r="BOX5" i="9"/>
  <c r="BOY5" i="9"/>
  <c r="BOZ5" i="9"/>
  <c r="BPA5" i="9"/>
  <c r="BPB5" i="9"/>
  <c r="BPC5" i="9"/>
  <c r="BPD5" i="9"/>
  <c r="BPE5" i="9"/>
  <c r="BPF5" i="9"/>
  <c r="BPG5" i="9"/>
  <c r="BPH5" i="9"/>
  <c r="BPI5" i="9"/>
  <c r="BPJ5" i="9"/>
  <c r="BPK5" i="9"/>
  <c r="BPL5" i="9"/>
  <c r="BPM5" i="9"/>
  <c r="BPN5" i="9"/>
  <c r="BPO5" i="9"/>
  <c r="BPP5" i="9"/>
  <c r="BPQ5" i="9"/>
  <c r="BPR5" i="9"/>
  <c r="BPS5" i="9"/>
  <c r="BPT5" i="9"/>
  <c r="BPU5" i="9"/>
  <c r="BPV5" i="9"/>
  <c r="BPW5" i="9"/>
  <c r="BPX5" i="9"/>
  <c r="BPY5" i="9"/>
  <c r="BPZ5" i="9"/>
  <c r="BQA5" i="9"/>
  <c r="BQB5" i="9"/>
  <c r="BQC5" i="9"/>
  <c r="BQD5" i="9"/>
  <c r="BQE5" i="9"/>
  <c r="BQF5" i="9"/>
  <c r="BQG5" i="9"/>
  <c r="BQH5" i="9"/>
  <c r="BQI5" i="9"/>
  <c r="BQJ5" i="9"/>
  <c r="BQK5" i="9"/>
  <c r="BNB5" i="9"/>
  <c r="BNC5" i="9"/>
  <c r="BND5" i="9"/>
  <c r="BNE5" i="9"/>
  <c r="BNF5" i="9"/>
  <c r="BNG5" i="9"/>
  <c r="BNH5" i="9"/>
  <c r="BNI5" i="9"/>
  <c r="BNJ5" i="9"/>
  <c r="BNK5" i="9"/>
  <c r="BNL5" i="9"/>
  <c r="BNM5" i="9"/>
  <c r="BNN5" i="9"/>
  <c r="BNO5" i="9"/>
  <c r="BNP5" i="9"/>
  <c r="BNQ5" i="9"/>
  <c r="BNR5" i="9"/>
  <c r="BNS5" i="9"/>
  <c r="BNT5" i="9"/>
  <c r="BNU5" i="9"/>
  <c r="BNV5" i="9"/>
  <c r="BNW5" i="9"/>
  <c r="BNX5" i="9"/>
  <c r="BNY5" i="9"/>
  <c r="BNZ5" i="9"/>
  <c r="BOA5" i="9"/>
  <c r="BOB5" i="9"/>
  <c r="BOC5" i="9"/>
  <c r="BOD5" i="9"/>
  <c r="BOE5" i="9"/>
  <c r="BOF5" i="9"/>
  <c r="BOG5" i="9"/>
  <c r="BOH5" i="9"/>
  <c r="BOI5" i="9"/>
  <c r="BOJ5" i="9"/>
  <c r="BOK5" i="9"/>
  <c r="BOL5" i="9"/>
  <c r="BOM5" i="9"/>
  <c r="BON5" i="9"/>
  <c r="BOO5" i="9"/>
  <c r="BOP5" i="9"/>
  <c r="BOQ5" i="9"/>
  <c r="BOR5" i="9"/>
  <c r="BOS5" i="9"/>
  <c r="BLJ5" i="9"/>
  <c r="BLK5" i="9"/>
  <c r="BLL5" i="9"/>
  <c r="BLM5" i="9"/>
  <c r="BLN5" i="9"/>
  <c r="BLO5" i="9"/>
  <c r="BLP5" i="9"/>
  <c r="BLQ5" i="9"/>
  <c r="BLR5" i="9"/>
  <c r="BLS5" i="9"/>
  <c r="BLT5" i="9"/>
  <c r="BLU5" i="9"/>
  <c r="BLV5" i="9"/>
  <c r="BLW5" i="9"/>
  <c r="BLX5" i="9"/>
  <c r="BLY5" i="9"/>
  <c r="BLZ5" i="9"/>
  <c r="BMA5" i="9"/>
  <c r="BMB5" i="9"/>
  <c r="BMC5" i="9"/>
  <c r="BMD5" i="9"/>
  <c r="BME5" i="9"/>
  <c r="BMF5" i="9"/>
  <c r="BMG5" i="9"/>
  <c r="BMH5" i="9"/>
  <c r="BMI5" i="9"/>
  <c r="BMJ5" i="9"/>
  <c r="BMK5" i="9"/>
  <c r="BML5" i="9"/>
  <c r="BMM5" i="9"/>
  <c r="BMN5" i="9"/>
  <c r="BMO5" i="9"/>
  <c r="BMP5" i="9"/>
  <c r="BMQ5" i="9"/>
  <c r="BMR5" i="9"/>
  <c r="BMS5" i="9"/>
  <c r="BMT5" i="9"/>
  <c r="BMU5" i="9"/>
  <c r="BMV5" i="9"/>
  <c r="BMW5" i="9"/>
  <c r="BMX5" i="9"/>
  <c r="BMY5" i="9"/>
  <c r="BMZ5" i="9"/>
  <c r="BNA5" i="9"/>
  <c r="BJR5" i="9"/>
  <c r="BJS5" i="9"/>
  <c r="BJT5" i="9"/>
  <c r="BJU5" i="9"/>
  <c r="BJV5" i="9"/>
  <c r="BJW5" i="9"/>
  <c r="BJX5" i="9"/>
  <c r="BJY5" i="9"/>
  <c r="BJZ5" i="9"/>
  <c r="BKA5" i="9"/>
  <c r="BKB5" i="9"/>
  <c r="BKC5" i="9"/>
  <c r="BKD5" i="9"/>
  <c r="BKE5" i="9"/>
  <c r="BKF5" i="9"/>
  <c r="BKG5" i="9"/>
  <c r="BKH5" i="9"/>
  <c r="BKI5" i="9"/>
  <c r="BKJ5" i="9"/>
  <c r="BKK5" i="9"/>
  <c r="BKL5" i="9"/>
  <c r="BKM5" i="9"/>
  <c r="BKN5" i="9"/>
  <c r="BKO5" i="9"/>
  <c r="BKP5" i="9"/>
  <c r="BKQ5" i="9"/>
  <c r="BKR5" i="9"/>
  <c r="BKS5" i="9"/>
  <c r="BKT5" i="9"/>
  <c r="BKU5" i="9"/>
  <c r="BKV5" i="9"/>
  <c r="BKW5" i="9"/>
  <c r="BKX5" i="9"/>
  <c r="BKY5" i="9"/>
  <c r="BKZ5" i="9"/>
  <c r="BLA5" i="9"/>
  <c r="BLB5" i="9"/>
  <c r="BLC5" i="9"/>
  <c r="BLD5" i="9"/>
  <c r="BLE5" i="9"/>
  <c r="BLF5" i="9"/>
  <c r="BLG5" i="9"/>
  <c r="BLH5" i="9"/>
  <c r="BLI5" i="9"/>
  <c r="BHZ5" i="9"/>
  <c r="BIA5" i="9"/>
  <c r="BIB5" i="9"/>
  <c r="BIC5" i="9"/>
  <c r="BID5" i="9"/>
  <c r="BIE5" i="9"/>
  <c r="BIF5" i="9"/>
  <c r="BIG5" i="9"/>
  <c r="BIH5" i="9"/>
  <c r="BII5" i="9"/>
  <c r="BIJ5" i="9"/>
  <c r="BIK5" i="9"/>
  <c r="BIL5" i="9"/>
  <c r="BIM5" i="9"/>
  <c r="BIN5" i="9"/>
  <c r="BIO5" i="9"/>
  <c r="BIP5" i="9"/>
  <c r="BIQ5" i="9"/>
  <c r="BIR5" i="9"/>
  <c r="BIS5" i="9"/>
  <c r="BIT5" i="9"/>
  <c r="BIU5" i="9"/>
  <c r="BIV5" i="9"/>
  <c r="BIW5" i="9"/>
  <c r="BIX5" i="9"/>
  <c r="BIY5" i="9"/>
  <c r="BIZ5" i="9"/>
  <c r="BJA5" i="9"/>
  <c r="BJB5" i="9"/>
  <c r="BJC5" i="9"/>
  <c r="BJD5" i="9"/>
  <c r="BJE5" i="9"/>
  <c r="BJF5" i="9"/>
  <c r="BJG5" i="9"/>
  <c r="BJH5" i="9"/>
  <c r="BJI5" i="9"/>
  <c r="BJJ5" i="9"/>
  <c r="BJK5" i="9"/>
  <c r="BJL5" i="9"/>
  <c r="BJM5" i="9"/>
  <c r="BJN5" i="9"/>
  <c r="BJO5" i="9"/>
  <c r="BJP5" i="9"/>
  <c r="BJQ5" i="9"/>
  <c r="BGH5" i="9"/>
  <c r="BGI5" i="9"/>
  <c r="BGJ5" i="9"/>
  <c r="BGK5" i="9"/>
  <c r="BGL5" i="9"/>
  <c r="BGM5" i="9"/>
  <c r="BGN5" i="9"/>
  <c r="BGO5" i="9"/>
  <c r="BGP5" i="9"/>
  <c r="BGQ5" i="9"/>
  <c r="BGR5" i="9"/>
  <c r="BGS5" i="9"/>
  <c r="BGT5" i="9"/>
  <c r="BGU5" i="9"/>
  <c r="BGV5" i="9"/>
  <c r="BGW5" i="9"/>
  <c r="BGX5" i="9"/>
  <c r="BGY5" i="9"/>
  <c r="BGZ5" i="9"/>
  <c r="BHA5" i="9"/>
  <c r="BHB5" i="9"/>
  <c r="BHC5" i="9"/>
  <c r="BHD5" i="9"/>
  <c r="BHE5" i="9"/>
  <c r="BHF5" i="9"/>
  <c r="BHG5" i="9"/>
  <c r="BHH5" i="9"/>
  <c r="BHI5" i="9"/>
  <c r="BHJ5" i="9"/>
  <c r="BHK5" i="9"/>
  <c r="BHL5" i="9"/>
  <c r="BHM5" i="9"/>
  <c r="BHN5" i="9"/>
  <c r="BHO5" i="9"/>
  <c r="BHP5" i="9"/>
  <c r="BHQ5" i="9"/>
  <c r="BHR5" i="9"/>
  <c r="BHS5" i="9"/>
  <c r="BHT5" i="9"/>
  <c r="BHU5" i="9"/>
  <c r="BHV5" i="9"/>
  <c r="BHW5" i="9"/>
  <c r="BHX5" i="9"/>
  <c r="BHY5" i="9"/>
  <c r="BEP5" i="9"/>
  <c r="BEQ5" i="9"/>
  <c r="BER5" i="9"/>
  <c r="BES5" i="9"/>
  <c r="BET5" i="9"/>
  <c r="BEU5" i="9"/>
  <c r="BEV5" i="9"/>
  <c r="BEW5" i="9"/>
  <c r="BEX5" i="9"/>
  <c r="BEY5" i="9"/>
  <c r="BEZ5" i="9"/>
  <c r="BFA5" i="9"/>
  <c r="BFB5" i="9"/>
  <c r="BFC5" i="9"/>
  <c r="BFD5" i="9"/>
  <c r="BFE5" i="9"/>
  <c r="BFF5" i="9"/>
  <c r="BFG5" i="9"/>
  <c r="BFH5" i="9"/>
  <c r="BFI5" i="9"/>
  <c r="BFJ5" i="9"/>
  <c r="BFK5" i="9"/>
  <c r="BFL5" i="9"/>
  <c r="BFM5" i="9"/>
  <c r="BFN5" i="9"/>
  <c r="BFO5" i="9"/>
  <c r="BFP5" i="9"/>
  <c r="BFQ5" i="9"/>
  <c r="BFR5" i="9"/>
  <c r="BFS5" i="9"/>
  <c r="BFT5" i="9"/>
  <c r="BFU5" i="9"/>
  <c r="BFV5" i="9"/>
  <c r="BFW5" i="9"/>
  <c r="BFX5" i="9"/>
  <c r="BFY5" i="9"/>
  <c r="BFZ5" i="9"/>
  <c r="BGA5" i="9"/>
  <c r="BGB5" i="9"/>
  <c r="BGC5" i="9"/>
  <c r="BGD5" i="9"/>
  <c r="BGE5" i="9"/>
  <c r="BGF5" i="9"/>
  <c r="BGG5" i="9"/>
  <c r="BCX5" i="9"/>
  <c r="BCY5" i="9"/>
  <c r="BCZ5" i="9"/>
  <c r="BDA5" i="9"/>
  <c r="BDB5" i="9"/>
  <c r="BDC5" i="9"/>
  <c r="BDD5" i="9"/>
  <c r="BDE5" i="9"/>
  <c r="BDF5" i="9"/>
  <c r="BDG5" i="9"/>
  <c r="BDH5" i="9"/>
  <c r="BDI5" i="9"/>
  <c r="BDJ5" i="9"/>
  <c r="BDK5" i="9"/>
  <c r="BDL5" i="9"/>
  <c r="BDM5" i="9"/>
  <c r="BDN5" i="9"/>
  <c r="BDO5" i="9"/>
  <c r="BDP5" i="9"/>
  <c r="BDQ5" i="9"/>
  <c r="BDR5" i="9"/>
  <c r="BDS5" i="9"/>
  <c r="BDT5" i="9"/>
  <c r="BDU5" i="9"/>
  <c r="BDV5" i="9"/>
  <c r="BDW5" i="9"/>
  <c r="BDX5" i="9"/>
  <c r="BDY5" i="9"/>
  <c r="BDZ5" i="9"/>
  <c r="BEA5" i="9"/>
  <c r="BEB5" i="9"/>
  <c r="BEC5" i="9"/>
  <c r="BED5" i="9"/>
  <c r="BEE5" i="9"/>
  <c r="BEF5" i="9"/>
  <c r="BEG5" i="9"/>
  <c r="BEH5" i="9"/>
  <c r="BEI5" i="9"/>
  <c r="BEJ5" i="9"/>
  <c r="BEK5" i="9"/>
  <c r="BEL5" i="9"/>
  <c r="BEM5" i="9"/>
  <c r="BEN5" i="9"/>
  <c r="BEO5" i="9"/>
  <c r="BBF5" i="9"/>
  <c r="BBG5" i="9"/>
  <c r="BBH5" i="9"/>
  <c r="BBI5" i="9"/>
  <c r="BBJ5" i="9"/>
  <c r="BBK5" i="9"/>
  <c r="BBL5" i="9"/>
  <c r="BBM5" i="9"/>
  <c r="BBN5" i="9"/>
  <c r="BBO5" i="9"/>
  <c r="BBP5" i="9"/>
  <c r="BBQ5" i="9"/>
  <c r="BBR5" i="9"/>
  <c r="BBS5" i="9"/>
  <c r="BBT5" i="9"/>
  <c r="BBU5" i="9"/>
  <c r="BBV5" i="9"/>
  <c r="BBW5" i="9"/>
  <c r="BBX5" i="9"/>
  <c r="BBY5" i="9"/>
  <c r="BBZ5" i="9"/>
  <c r="BCA5" i="9"/>
  <c r="BCB5" i="9"/>
  <c r="BCC5" i="9"/>
  <c r="BCD5" i="9"/>
  <c r="BCE5" i="9"/>
  <c r="BCF5" i="9"/>
  <c r="BCG5" i="9"/>
  <c r="BCH5" i="9"/>
  <c r="BCI5" i="9"/>
  <c r="BCJ5" i="9"/>
  <c r="BCK5" i="9"/>
  <c r="BCL5" i="9"/>
  <c r="BCM5" i="9"/>
  <c r="BCN5" i="9"/>
  <c r="BCO5" i="9"/>
  <c r="BCP5" i="9"/>
  <c r="BCQ5" i="9"/>
  <c r="BCR5" i="9"/>
  <c r="BCS5" i="9"/>
  <c r="BCT5" i="9"/>
  <c r="BCU5" i="9"/>
  <c r="BCV5" i="9"/>
  <c r="BCW5" i="9"/>
  <c r="AZO5" i="9"/>
  <c r="AZP5" i="9"/>
  <c r="AZQ5" i="9"/>
  <c r="AZR5" i="9"/>
  <c r="AZS5" i="9"/>
  <c r="AZT5" i="9"/>
  <c r="AZU5" i="9"/>
  <c r="AZV5" i="9"/>
  <c r="AZW5" i="9"/>
  <c r="AZX5" i="9"/>
  <c r="AZY5" i="9"/>
  <c r="AZZ5" i="9"/>
  <c r="BAA5" i="9"/>
  <c r="BAB5" i="9"/>
  <c r="BAC5" i="9"/>
  <c r="BAD5" i="9"/>
  <c r="BAE5" i="9"/>
  <c r="BAF5" i="9"/>
  <c r="BAG5" i="9"/>
  <c r="BAH5" i="9"/>
  <c r="BAI5" i="9"/>
  <c r="BAJ5" i="9"/>
  <c r="BAK5" i="9"/>
  <c r="BAL5" i="9"/>
  <c r="BAM5" i="9"/>
  <c r="BAN5" i="9"/>
  <c r="BAO5" i="9"/>
  <c r="BAP5" i="9"/>
  <c r="BAQ5" i="9"/>
  <c r="BAR5" i="9"/>
  <c r="BAS5" i="9"/>
  <c r="BAT5" i="9"/>
  <c r="BAU5" i="9"/>
  <c r="BAV5" i="9"/>
  <c r="BAW5" i="9"/>
  <c r="BAX5" i="9"/>
  <c r="BAY5" i="9"/>
  <c r="BAZ5" i="9"/>
  <c r="BBA5" i="9"/>
  <c r="BBB5" i="9"/>
  <c r="BBC5" i="9"/>
  <c r="BBD5" i="9"/>
  <c r="BBE5" i="9"/>
  <c r="AXW5" i="9"/>
  <c r="AXX5" i="9"/>
  <c r="AXY5" i="9"/>
  <c r="AXZ5" i="9"/>
  <c r="AYA5" i="9"/>
  <c r="AYB5" i="9"/>
  <c r="AYC5" i="9"/>
  <c r="AYD5" i="9"/>
  <c r="AYE5" i="9"/>
  <c r="AYF5" i="9"/>
  <c r="AYG5" i="9"/>
  <c r="AYH5" i="9"/>
  <c r="AYI5" i="9"/>
  <c r="AYJ5" i="9"/>
  <c r="AYK5" i="9"/>
  <c r="AYL5" i="9"/>
  <c r="AYM5" i="9"/>
  <c r="AYN5" i="9"/>
  <c r="AYO5" i="9"/>
  <c r="AYP5" i="9"/>
  <c r="AYQ5" i="9"/>
  <c r="AYR5" i="9"/>
  <c r="AYS5" i="9"/>
  <c r="AYT5" i="9"/>
  <c r="AYU5" i="9"/>
  <c r="AYV5" i="9"/>
  <c r="AYW5" i="9"/>
  <c r="AYX5" i="9"/>
  <c r="AYY5" i="9"/>
  <c r="AYZ5" i="9"/>
  <c r="AZA5" i="9"/>
  <c r="AZB5" i="9"/>
  <c r="AZC5" i="9"/>
  <c r="AZD5" i="9"/>
  <c r="AZE5" i="9"/>
  <c r="AZF5" i="9"/>
  <c r="AZG5" i="9"/>
  <c r="AZH5" i="9"/>
  <c r="AZI5" i="9"/>
  <c r="AZJ5" i="9"/>
  <c r="AZK5" i="9"/>
  <c r="AZL5" i="9"/>
  <c r="AZM5" i="9"/>
  <c r="AWE5" i="9"/>
  <c r="AWF5" i="9"/>
  <c r="AWG5" i="9"/>
  <c r="AWH5" i="9"/>
  <c r="AWI5" i="9"/>
  <c r="AWJ5" i="9"/>
  <c r="AWK5" i="9"/>
  <c r="AWL5" i="9"/>
  <c r="AWM5" i="9"/>
  <c r="AWN5" i="9"/>
  <c r="AWO5" i="9"/>
  <c r="AWP5" i="9"/>
  <c r="AWQ5" i="9"/>
  <c r="AWR5" i="9"/>
  <c r="AWS5" i="9"/>
  <c r="AWT5" i="9"/>
  <c r="AWU5" i="9"/>
  <c r="AWV5" i="9"/>
  <c r="AWW5" i="9"/>
  <c r="AWX5" i="9"/>
  <c r="AWY5" i="9"/>
  <c r="AWZ5" i="9"/>
  <c r="AXA5" i="9"/>
  <c r="AXB5" i="9"/>
  <c r="AXC5" i="9"/>
  <c r="AXD5" i="9"/>
  <c r="AXE5" i="9"/>
  <c r="AXF5" i="9"/>
  <c r="AXG5" i="9"/>
  <c r="AXH5" i="9"/>
  <c r="AXI5" i="9"/>
  <c r="AXJ5" i="9"/>
  <c r="AXK5" i="9"/>
  <c r="AXL5" i="9"/>
  <c r="AXM5" i="9"/>
  <c r="AXN5" i="9"/>
  <c r="AXO5" i="9"/>
  <c r="AXP5" i="9"/>
  <c r="AXQ5" i="9"/>
  <c r="AXR5" i="9"/>
  <c r="AXS5" i="9"/>
  <c r="AXT5" i="9"/>
  <c r="AXU5" i="9"/>
  <c r="AUM5" i="9"/>
  <c r="AUN5" i="9"/>
  <c r="AUO5" i="9"/>
  <c r="AUP5" i="9"/>
  <c r="AUQ5" i="9"/>
  <c r="AUR5" i="9"/>
  <c r="AUS5" i="9"/>
  <c r="AUT5" i="9"/>
  <c r="AUU5" i="9"/>
  <c r="AUV5" i="9"/>
  <c r="AUW5" i="9"/>
  <c r="AUX5" i="9"/>
  <c r="AUY5" i="9"/>
  <c r="AUZ5" i="9"/>
  <c r="AVA5" i="9"/>
  <c r="AVB5" i="9"/>
  <c r="AVC5" i="9"/>
  <c r="AVD5" i="9"/>
  <c r="AVE5" i="9"/>
  <c r="AVF5" i="9"/>
  <c r="AVG5" i="9"/>
  <c r="AVH5" i="9"/>
  <c r="AVI5" i="9"/>
  <c r="AVJ5" i="9"/>
  <c r="AVK5" i="9"/>
  <c r="AVL5" i="9"/>
  <c r="AVM5" i="9"/>
  <c r="AVN5" i="9"/>
  <c r="AVO5" i="9"/>
  <c r="AVP5" i="9"/>
  <c r="AVQ5" i="9"/>
  <c r="AVR5" i="9"/>
  <c r="AVS5" i="9"/>
  <c r="AVT5" i="9"/>
  <c r="AVU5" i="9"/>
  <c r="AVV5" i="9"/>
  <c r="AVW5" i="9"/>
  <c r="AVX5" i="9"/>
  <c r="AVY5" i="9"/>
  <c r="AVZ5" i="9"/>
  <c r="AWA5" i="9"/>
  <c r="AWB5" i="9"/>
  <c r="AWC5" i="9"/>
  <c r="ASU5" i="9"/>
  <c r="ASV5" i="9"/>
  <c r="ASW5" i="9"/>
  <c r="ASX5" i="9"/>
  <c r="ASY5" i="9"/>
  <c r="ASZ5" i="9"/>
  <c r="ATA5" i="9"/>
  <c r="ATB5" i="9"/>
  <c r="ATC5" i="9"/>
  <c r="ATD5" i="9"/>
  <c r="ATE5" i="9"/>
  <c r="ATF5" i="9"/>
  <c r="ATG5" i="9"/>
  <c r="ATH5" i="9"/>
  <c r="ATI5" i="9"/>
  <c r="ATJ5" i="9"/>
  <c r="ATK5" i="9"/>
  <c r="ATL5" i="9"/>
  <c r="ATM5" i="9"/>
  <c r="ATN5" i="9"/>
  <c r="ATO5" i="9"/>
  <c r="ATP5" i="9"/>
  <c r="ATQ5" i="9"/>
  <c r="ATR5" i="9"/>
  <c r="ATS5" i="9"/>
  <c r="ATT5" i="9"/>
  <c r="ATU5" i="9"/>
  <c r="ATV5" i="9"/>
  <c r="ATW5" i="9"/>
  <c r="ATX5" i="9"/>
  <c r="ATY5" i="9"/>
  <c r="ATZ5" i="9"/>
  <c r="AUA5" i="9"/>
  <c r="AUB5" i="9"/>
  <c r="AUC5" i="9"/>
  <c r="AUD5" i="9"/>
  <c r="AUE5" i="9"/>
  <c r="AUF5" i="9"/>
  <c r="AUG5" i="9"/>
  <c r="AUH5" i="9"/>
  <c r="AUI5" i="9"/>
  <c r="AUJ5" i="9"/>
  <c r="AUK5" i="9"/>
  <c r="ARC5" i="9"/>
  <c r="ARD5" i="9"/>
  <c r="ARE5" i="9"/>
  <c r="ARF5" i="9"/>
  <c r="ARG5" i="9"/>
  <c r="ARH5" i="9"/>
  <c r="ARI5" i="9"/>
  <c r="ARJ5" i="9"/>
  <c r="ARK5" i="9"/>
  <c r="ARL5" i="9"/>
  <c r="ARM5" i="9"/>
  <c r="ARN5" i="9"/>
  <c r="ARO5" i="9"/>
  <c r="ARP5" i="9"/>
  <c r="ARQ5" i="9"/>
  <c r="ARR5" i="9"/>
  <c r="ARS5" i="9"/>
  <c r="ART5" i="9"/>
  <c r="ARU5" i="9"/>
  <c r="ARV5" i="9"/>
  <c r="ARW5" i="9"/>
  <c r="ARX5" i="9"/>
  <c r="ARY5" i="9"/>
  <c r="ARZ5" i="9"/>
  <c r="ASA5" i="9"/>
  <c r="ASB5" i="9"/>
  <c r="ASC5" i="9"/>
  <c r="ASD5" i="9"/>
  <c r="ASE5" i="9"/>
  <c r="ASF5" i="9"/>
  <c r="ASG5" i="9"/>
  <c r="ASH5" i="9"/>
  <c r="ASI5" i="9"/>
  <c r="ASJ5" i="9"/>
  <c r="ASK5" i="9"/>
  <c r="ASL5" i="9"/>
  <c r="ASM5" i="9"/>
  <c r="ASN5" i="9"/>
  <c r="ASO5" i="9"/>
  <c r="ASP5" i="9"/>
  <c r="ASQ5" i="9"/>
  <c r="ASR5" i="9"/>
  <c r="ASS5" i="9"/>
  <c r="APK5" i="9"/>
  <c r="APL5" i="9"/>
  <c r="APM5" i="9"/>
  <c r="APN5" i="9"/>
  <c r="APO5" i="9"/>
  <c r="APP5" i="9"/>
  <c r="APQ5" i="9"/>
  <c r="APR5" i="9"/>
  <c r="APS5" i="9"/>
  <c r="APT5" i="9"/>
  <c r="APU5" i="9"/>
  <c r="APV5" i="9"/>
  <c r="APW5" i="9"/>
  <c r="APX5" i="9"/>
  <c r="APY5" i="9"/>
  <c r="APZ5" i="9"/>
  <c r="AQA5" i="9"/>
  <c r="AQB5" i="9"/>
  <c r="AQC5" i="9"/>
  <c r="AQD5" i="9"/>
  <c r="AQE5" i="9"/>
  <c r="AQF5" i="9"/>
  <c r="AQG5" i="9"/>
  <c r="AQH5" i="9"/>
  <c r="AQI5" i="9"/>
  <c r="AQJ5" i="9"/>
  <c r="AQK5" i="9"/>
  <c r="AQL5" i="9"/>
  <c r="AQM5" i="9"/>
  <c r="AQN5" i="9"/>
  <c r="AQO5" i="9"/>
  <c r="AQP5" i="9"/>
  <c r="AQQ5" i="9"/>
  <c r="AQR5" i="9"/>
  <c r="AQS5" i="9"/>
  <c r="AQT5" i="9"/>
  <c r="AQU5" i="9"/>
  <c r="AQV5" i="9"/>
  <c r="AQW5" i="9"/>
  <c r="AQX5" i="9"/>
  <c r="AQY5" i="9"/>
  <c r="AQZ5" i="9"/>
  <c r="ARA5" i="9"/>
  <c r="ANS5" i="9"/>
  <c r="ANT5" i="9"/>
  <c r="ANU5" i="9"/>
  <c r="ANV5" i="9"/>
  <c r="ANW5" i="9"/>
  <c r="ANX5" i="9"/>
  <c r="ANY5" i="9"/>
  <c r="ANZ5" i="9"/>
  <c r="AOA5" i="9"/>
  <c r="AOB5" i="9"/>
  <c r="AOC5" i="9"/>
  <c r="AOD5" i="9"/>
  <c r="AOE5" i="9"/>
  <c r="AOF5" i="9"/>
  <c r="AOG5" i="9"/>
  <c r="AOH5" i="9"/>
  <c r="AOI5" i="9"/>
  <c r="AOJ5" i="9"/>
  <c r="AOK5" i="9"/>
  <c r="AOL5" i="9"/>
  <c r="AOM5" i="9"/>
  <c r="AON5" i="9"/>
  <c r="AOO5" i="9"/>
  <c r="AOP5" i="9"/>
  <c r="AOQ5" i="9"/>
  <c r="AOR5" i="9"/>
  <c r="AOS5" i="9"/>
  <c r="AOT5" i="9"/>
  <c r="AOU5" i="9"/>
  <c r="AOV5" i="9"/>
  <c r="AOW5" i="9"/>
  <c r="AOX5" i="9"/>
  <c r="AOY5" i="9"/>
  <c r="AOZ5" i="9"/>
  <c r="APA5" i="9"/>
  <c r="APB5" i="9"/>
  <c r="APC5" i="9"/>
  <c r="APD5" i="9"/>
  <c r="APE5" i="9"/>
  <c r="APF5" i="9"/>
  <c r="APG5" i="9"/>
  <c r="APH5" i="9"/>
  <c r="API5" i="9"/>
  <c r="AMA5" i="9"/>
  <c r="AMB5" i="9"/>
  <c r="AMC5" i="9"/>
  <c r="AMD5" i="9"/>
  <c r="AME5" i="9"/>
  <c r="AMF5" i="9"/>
  <c r="AMG5" i="9"/>
  <c r="AMH5" i="9"/>
  <c r="AMI5" i="9"/>
  <c r="AMJ5" i="9"/>
  <c r="AMK5" i="9"/>
  <c r="AML5" i="9"/>
  <c r="AMM5" i="9"/>
  <c r="AMN5" i="9"/>
  <c r="AMO5" i="9"/>
  <c r="AMP5" i="9"/>
  <c r="AMQ5" i="9"/>
  <c r="AMR5" i="9"/>
  <c r="AMS5" i="9"/>
  <c r="AMT5" i="9"/>
  <c r="AMU5" i="9"/>
  <c r="AMV5" i="9"/>
  <c r="AMW5" i="9"/>
  <c r="AMX5" i="9"/>
  <c r="AMY5" i="9"/>
  <c r="AMZ5" i="9"/>
  <c r="ANA5" i="9"/>
  <c r="ANB5" i="9"/>
  <c r="ANC5" i="9"/>
  <c r="AND5" i="9"/>
  <c r="ANE5" i="9"/>
  <c r="ANF5" i="9"/>
  <c r="ANG5" i="9"/>
  <c r="ANH5" i="9"/>
  <c r="ANI5" i="9"/>
  <c r="ANJ5" i="9"/>
  <c r="ANK5" i="9"/>
  <c r="ANL5" i="9"/>
  <c r="ANM5" i="9"/>
  <c r="ANN5" i="9"/>
  <c r="ANO5" i="9"/>
  <c r="ANP5" i="9"/>
  <c r="ANQ5" i="9"/>
  <c r="AKI5" i="9"/>
  <c r="AKJ5" i="9"/>
  <c r="AKK5" i="9"/>
  <c r="AKL5" i="9"/>
  <c r="AKM5" i="9"/>
  <c r="AKN5" i="9"/>
  <c r="AKO5" i="9"/>
  <c r="AKP5" i="9"/>
  <c r="AKQ5" i="9"/>
  <c r="AKR5" i="9"/>
  <c r="AKS5" i="9"/>
  <c r="AKT5" i="9"/>
  <c r="AKU5" i="9"/>
  <c r="AKV5" i="9"/>
  <c r="AKW5" i="9"/>
  <c r="AKX5" i="9"/>
  <c r="AKY5" i="9"/>
  <c r="AKZ5" i="9"/>
  <c r="ALA5" i="9"/>
  <c r="ALB5" i="9"/>
  <c r="ALC5" i="9"/>
  <c r="ALD5" i="9"/>
  <c r="ALE5" i="9"/>
  <c r="ALF5" i="9"/>
  <c r="ALG5" i="9"/>
  <c r="ALH5" i="9"/>
  <c r="ALI5" i="9"/>
  <c r="ALJ5" i="9"/>
  <c r="ALK5" i="9"/>
  <c r="ALL5" i="9"/>
  <c r="ALM5" i="9"/>
  <c r="ALN5" i="9"/>
  <c r="ALO5" i="9"/>
  <c r="ALP5" i="9"/>
  <c r="ALQ5" i="9"/>
  <c r="ALR5" i="9"/>
  <c r="ALS5" i="9"/>
  <c r="ALT5" i="9"/>
  <c r="ALU5" i="9"/>
  <c r="ALV5" i="9"/>
  <c r="ALW5" i="9"/>
  <c r="ALX5" i="9"/>
  <c r="ALY5" i="9"/>
  <c r="AIQ5" i="9"/>
  <c r="AIR5" i="9"/>
  <c r="AIS5" i="9"/>
  <c r="AIT5" i="9"/>
  <c r="AIU5" i="9"/>
  <c r="AIV5" i="9"/>
  <c r="AIW5" i="9"/>
  <c r="AIX5" i="9"/>
  <c r="AIY5" i="9"/>
  <c r="AIZ5" i="9"/>
  <c r="AJA5" i="9"/>
  <c r="AJB5" i="9"/>
  <c r="AJC5" i="9"/>
  <c r="AJD5" i="9"/>
  <c r="AJE5" i="9"/>
  <c r="AJF5" i="9"/>
  <c r="AJG5" i="9"/>
  <c r="AJH5" i="9"/>
  <c r="AJI5" i="9"/>
  <c r="AJJ5" i="9"/>
  <c r="AJK5" i="9"/>
  <c r="AJL5" i="9"/>
  <c r="AJM5" i="9"/>
  <c r="AJN5" i="9"/>
  <c r="AJO5" i="9"/>
  <c r="AJP5" i="9"/>
  <c r="AJQ5" i="9"/>
  <c r="AJR5" i="9"/>
  <c r="AJS5" i="9"/>
  <c r="AJT5" i="9"/>
  <c r="AJU5" i="9"/>
  <c r="AJV5" i="9"/>
  <c r="AJW5" i="9"/>
  <c r="AJX5" i="9"/>
  <c r="AJY5" i="9"/>
  <c r="AJZ5" i="9"/>
  <c r="AKA5" i="9"/>
  <c r="AKB5" i="9"/>
  <c r="AKC5" i="9"/>
  <c r="AKD5" i="9"/>
  <c r="AKE5" i="9"/>
  <c r="AKF5" i="9"/>
  <c r="AKG5" i="9"/>
  <c r="AGY5" i="9"/>
  <c r="AGZ5" i="9"/>
  <c r="AHA5" i="9"/>
  <c r="AHB5" i="9"/>
  <c r="AHC5" i="9"/>
  <c r="AHD5" i="9"/>
  <c r="AHE5" i="9"/>
  <c r="AHF5" i="9"/>
  <c r="AHG5" i="9"/>
  <c r="AHH5" i="9"/>
  <c r="AHI5" i="9"/>
  <c r="AHJ5" i="9"/>
  <c r="AHK5" i="9"/>
  <c r="AHL5" i="9"/>
  <c r="AHM5" i="9"/>
  <c r="AHN5" i="9"/>
  <c r="AHO5" i="9"/>
  <c r="AHP5" i="9"/>
  <c r="AHQ5" i="9"/>
  <c r="AHR5" i="9"/>
  <c r="AHS5" i="9"/>
  <c r="AHT5" i="9"/>
  <c r="AHU5" i="9"/>
  <c r="AHV5" i="9"/>
  <c r="AHW5" i="9"/>
  <c r="AHX5" i="9"/>
  <c r="AHY5" i="9"/>
  <c r="AHZ5" i="9"/>
  <c r="AIA5" i="9"/>
  <c r="AIB5" i="9"/>
  <c r="AIC5" i="9"/>
  <c r="AID5" i="9"/>
  <c r="AIE5" i="9"/>
  <c r="AIF5" i="9"/>
  <c r="AIG5" i="9"/>
  <c r="AIH5" i="9"/>
  <c r="AII5" i="9"/>
  <c r="AIJ5" i="9"/>
  <c r="AIK5" i="9"/>
  <c r="AIL5" i="9"/>
  <c r="AIM5" i="9"/>
  <c r="AIN5" i="9"/>
  <c r="AIO5" i="9"/>
  <c r="AFG5" i="9"/>
  <c r="AFH5" i="9"/>
  <c r="AFI5" i="9"/>
  <c r="AFJ5" i="9"/>
  <c r="AFK5" i="9"/>
  <c r="AFL5" i="9"/>
  <c r="AFM5" i="9"/>
  <c r="AFN5" i="9"/>
  <c r="AFO5" i="9"/>
  <c r="AFP5" i="9"/>
  <c r="AFQ5" i="9"/>
  <c r="AFR5" i="9"/>
  <c r="AFS5" i="9"/>
  <c r="AFT5" i="9"/>
  <c r="AFU5" i="9"/>
  <c r="AFV5" i="9"/>
  <c r="AFW5" i="9"/>
  <c r="AFX5" i="9"/>
  <c r="AFY5" i="9"/>
  <c r="AFZ5" i="9"/>
  <c r="AGA5" i="9"/>
  <c r="AGB5" i="9"/>
  <c r="AGC5" i="9"/>
  <c r="AGD5" i="9"/>
  <c r="AGE5" i="9"/>
  <c r="AGF5" i="9"/>
  <c r="AGG5" i="9"/>
  <c r="AGH5" i="9"/>
  <c r="AGI5" i="9"/>
  <c r="AGJ5" i="9"/>
  <c r="AGK5" i="9"/>
  <c r="AGL5" i="9"/>
  <c r="AGM5" i="9"/>
  <c r="AGN5" i="9"/>
  <c r="AGO5" i="9"/>
  <c r="AGP5" i="9"/>
  <c r="AGQ5" i="9"/>
  <c r="AGR5" i="9"/>
  <c r="AGS5" i="9"/>
  <c r="AGT5" i="9"/>
  <c r="AGU5" i="9"/>
  <c r="AGV5" i="9"/>
  <c r="AGW5" i="9"/>
  <c r="ADO5" i="9"/>
  <c r="ADP5" i="9"/>
  <c r="ADQ5" i="9"/>
  <c r="ADR5" i="9"/>
  <c r="ADS5" i="9"/>
  <c r="ADT5" i="9"/>
  <c r="ADU5" i="9"/>
  <c r="ADV5" i="9"/>
  <c r="ADW5" i="9"/>
  <c r="ADX5" i="9"/>
  <c r="ADY5" i="9"/>
  <c r="ADZ5" i="9"/>
  <c r="AEA5" i="9"/>
  <c r="AEB5" i="9"/>
  <c r="AEC5" i="9"/>
  <c r="AED5" i="9"/>
  <c r="AEE5" i="9"/>
  <c r="AEF5" i="9"/>
  <c r="AEG5" i="9"/>
  <c r="AEH5" i="9"/>
  <c r="AEI5" i="9"/>
  <c r="AEJ5" i="9"/>
  <c r="AEK5" i="9"/>
  <c r="AEL5" i="9"/>
  <c r="AEM5" i="9"/>
  <c r="AEN5" i="9"/>
  <c r="AEO5" i="9"/>
  <c r="AEP5" i="9"/>
  <c r="AEQ5" i="9"/>
  <c r="AER5" i="9"/>
  <c r="AES5" i="9"/>
  <c r="AET5" i="9"/>
  <c r="AEU5" i="9"/>
  <c r="AEV5" i="9"/>
  <c r="AEW5" i="9"/>
  <c r="AEX5" i="9"/>
  <c r="AEY5" i="9"/>
  <c r="AEZ5" i="9"/>
  <c r="AFA5" i="9"/>
  <c r="AFB5" i="9"/>
  <c r="AFC5" i="9"/>
  <c r="AFD5" i="9"/>
  <c r="AFE5" i="9"/>
  <c r="ABW5" i="9"/>
  <c r="ABX5" i="9"/>
  <c r="ABY5" i="9"/>
  <c r="ABZ5" i="9"/>
  <c r="ACA5" i="9"/>
  <c r="ACB5" i="9"/>
  <c r="ACC5" i="9"/>
  <c r="ACD5" i="9"/>
  <c r="ACE5" i="9"/>
  <c r="ACF5" i="9"/>
  <c r="ACG5" i="9"/>
  <c r="ACH5" i="9"/>
  <c r="ACI5" i="9"/>
  <c r="ACJ5" i="9"/>
  <c r="ACK5" i="9"/>
  <c r="ACL5" i="9"/>
  <c r="ACM5" i="9"/>
  <c r="ACN5" i="9"/>
  <c r="ACO5" i="9"/>
  <c r="ACP5" i="9"/>
  <c r="ACQ5" i="9"/>
  <c r="ACR5" i="9"/>
  <c r="ACS5" i="9"/>
  <c r="ACT5" i="9"/>
  <c r="ACU5" i="9"/>
  <c r="ACV5" i="9"/>
  <c r="ACW5" i="9"/>
  <c r="ACX5" i="9"/>
  <c r="ACY5" i="9"/>
  <c r="ACZ5" i="9"/>
  <c r="ADA5" i="9"/>
  <c r="ADB5" i="9"/>
  <c r="ADC5" i="9"/>
  <c r="ADD5" i="9"/>
  <c r="ADE5" i="9"/>
  <c r="ADF5" i="9"/>
  <c r="ADG5" i="9"/>
  <c r="ADH5" i="9"/>
  <c r="ADI5" i="9"/>
  <c r="ADJ5" i="9"/>
  <c r="ADK5" i="9"/>
  <c r="ADL5" i="9"/>
  <c r="ADM5" i="9"/>
  <c r="AAD5" i="9"/>
  <c r="AAE5" i="9"/>
  <c r="AAF5" i="9"/>
  <c r="AAG5" i="9"/>
  <c r="AAH5" i="9"/>
  <c r="AAI5" i="9"/>
  <c r="AAJ5" i="9"/>
  <c r="AAK5" i="9"/>
  <c r="AAL5" i="9"/>
  <c r="AAM5" i="9"/>
  <c r="AAN5" i="9"/>
  <c r="AAO5" i="9"/>
  <c r="AAP5" i="9"/>
  <c r="AAQ5" i="9"/>
  <c r="AAR5" i="9"/>
  <c r="AAS5" i="9"/>
  <c r="AAT5" i="9"/>
  <c r="AAU5" i="9"/>
  <c r="AAV5" i="9"/>
  <c r="AAW5" i="9"/>
  <c r="AAX5" i="9"/>
  <c r="AAY5" i="9"/>
  <c r="AAZ5" i="9"/>
  <c r="ABA5" i="9"/>
  <c r="ABB5" i="9"/>
  <c r="ABC5" i="9"/>
  <c r="ABD5" i="9"/>
  <c r="ABE5" i="9"/>
  <c r="ABF5" i="9"/>
  <c r="ABG5" i="9"/>
  <c r="ABH5" i="9"/>
  <c r="ABI5" i="9"/>
  <c r="ABJ5" i="9"/>
  <c r="ABK5" i="9"/>
  <c r="ABL5" i="9"/>
  <c r="ABM5" i="9"/>
  <c r="ABN5" i="9"/>
  <c r="ABO5" i="9"/>
  <c r="ABP5" i="9"/>
  <c r="ABQ5" i="9"/>
  <c r="ABR5" i="9"/>
  <c r="ABS5" i="9"/>
  <c r="ABT5" i="9"/>
  <c r="ABU5" i="9"/>
  <c r="YL5" i="9"/>
  <c r="YM5" i="9"/>
  <c r="YN5" i="9"/>
  <c r="YO5" i="9"/>
  <c r="YP5" i="9"/>
  <c r="YQ5" i="9"/>
  <c r="YR5" i="9"/>
  <c r="YS5" i="9"/>
  <c r="YT5" i="9"/>
  <c r="YU5" i="9"/>
  <c r="YV5" i="9"/>
  <c r="YW5" i="9"/>
  <c r="YX5" i="9"/>
  <c r="YY5" i="9"/>
  <c r="YZ5" i="9"/>
  <c r="ZA5" i="9"/>
  <c r="ZB5" i="9"/>
  <c r="ZC5" i="9"/>
  <c r="ZD5" i="9"/>
  <c r="ZE5" i="9"/>
  <c r="ZF5" i="9"/>
  <c r="ZG5" i="9"/>
  <c r="ZH5" i="9"/>
  <c r="ZI5" i="9"/>
  <c r="ZJ5" i="9"/>
  <c r="ZK5" i="9"/>
  <c r="ZL5" i="9"/>
  <c r="ZM5" i="9"/>
  <c r="ZN5" i="9"/>
  <c r="ZO5" i="9"/>
  <c r="ZP5" i="9"/>
  <c r="ZQ5" i="9"/>
  <c r="ZR5" i="9"/>
  <c r="ZS5" i="9"/>
  <c r="ZT5" i="9"/>
  <c r="ZU5" i="9"/>
  <c r="ZV5" i="9"/>
  <c r="ZW5" i="9"/>
  <c r="ZX5" i="9"/>
  <c r="ZY5" i="9"/>
  <c r="ZZ5" i="9"/>
  <c r="AAA5" i="9"/>
  <c r="AAB5" i="9"/>
  <c r="AAC5" i="9"/>
  <c r="WT5" i="9"/>
  <c r="WU5" i="9"/>
  <c r="WV5" i="9"/>
  <c r="WW5" i="9"/>
  <c r="WX5" i="9"/>
  <c r="WY5" i="9"/>
  <c r="WZ5" i="9"/>
  <c r="XA5" i="9"/>
  <c r="XB5" i="9"/>
  <c r="XC5" i="9"/>
  <c r="XD5" i="9"/>
  <c r="XE5" i="9"/>
  <c r="XF5" i="9"/>
  <c r="XG5" i="9"/>
  <c r="XH5" i="9"/>
  <c r="XI5" i="9"/>
  <c r="XJ5" i="9"/>
  <c r="XK5" i="9"/>
  <c r="XL5" i="9"/>
  <c r="XM5" i="9"/>
  <c r="XN5" i="9"/>
  <c r="XO5" i="9"/>
  <c r="XP5" i="9"/>
  <c r="XQ5" i="9"/>
  <c r="XR5" i="9"/>
  <c r="XS5" i="9"/>
  <c r="XT5" i="9"/>
  <c r="XU5" i="9"/>
  <c r="XV5" i="9"/>
  <c r="XW5" i="9"/>
  <c r="XX5" i="9"/>
  <c r="XY5" i="9"/>
  <c r="XZ5" i="9"/>
  <c r="YA5" i="9"/>
  <c r="YB5" i="9"/>
  <c r="YC5" i="9"/>
  <c r="YD5" i="9"/>
  <c r="YE5" i="9"/>
  <c r="YF5" i="9"/>
  <c r="YG5" i="9"/>
  <c r="YH5" i="9"/>
  <c r="YI5" i="9"/>
  <c r="YJ5" i="9"/>
  <c r="YK5" i="9"/>
  <c r="VB5" i="9"/>
  <c r="VC5" i="9"/>
  <c r="VD5" i="9"/>
  <c r="VE5" i="9"/>
  <c r="VF5" i="9"/>
  <c r="VG5" i="9"/>
  <c r="VH5" i="9"/>
  <c r="VI5" i="9"/>
  <c r="VJ5" i="9"/>
  <c r="VK5" i="9"/>
  <c r="VL5" i="9"/>
  <c r="VM5" i="9"/>
  <c r="VN5" i="9"/>
  <c r="VO5" i="9"/>
  <c r="VP5" i="9"/>
  <c r="VQ5" i="9"/>
  <c r="VR5" i="9"/>
  <c r="VS5" i="9"/>
  <c r="VT5" i="9"/>
  <c r="VU5" i="9"/>
  <c r="VV5" i="9"/>
  <c r="VW5" i="9"/>
  <c r="VX5" i="9"/>
  <c r="VY5" i="9"/>
  <c r="VZ5" i="9"/>
  <c r="WA5" i="9"/>
  <c r="WB5" i="9"/>
  <c r="WC5" i="9"/>
  <c r="WD5" i="9"/>
  <c r="WE5" i="9"/>
  <c r="WF5" i="9"/>
  <c r="WG5" i="9"/>
  <c r="WH5" i="9"/>
  <c r="WI5" i="9"/>
  <c r="WJ5" i="9"/>
  <c r="WK5" i="9"/>
  <c r="WL5" i="9"/>
  <c r="WM5" i="9"/>
  <c r="WN5" i="9"/>
  <c r="WO5" i="9"/>
  <c r="WP5" i="9"/>
  <c r="WQ5" i="9"/>
  <c r="WR5" i="9"/>
  <c r="WS5" i="9"/>
  <c r="TJ5" i="9"/>
  <c r="TK5" i="9"/>
  <c r="TL5" i="9"/>
  <c r="TM5" i="9"/>
  <c r="TN5" i="9"/>
  <c r="TO5" i="9"/>
  <c r="TP5" i="9"/>
  <c r="TQ5" i="9"/>
  <c r="TR5" i="9"/>
  <c r="TS5" i="9"/>
  <c r="TT5" i="9"/>
  <c r="TU5" i="9"/>
  <c r="TV5" i="9"/>
  <c r="TW5" i="9"/>
  <c r="TX5" i="9"/>
  <c r="TY5" i="9"/>
  <c r="TZ5" i="9"/>
  <c r="UA5" i="9"/>
  <c r="UB5" i="9"/>
  <c r="UC5" i="9"/>
  <c r="UD5" i="9"/>
  <c r="UE5" i="9"/>
  <c r="UF5" i="9"/>
  <c r="UG5" i="9"/>
  <c r="UH5" i="9"/>
  <c r="UI5" i="9"/>
  <c r="UJ5" i="9"/>
  <c r="UK5" i="9"/>
  <c r="UL5" i="9"/>
  <c r="UM5" i="9"/>
  <c r="UN5" i="9"/>
  <c r="UO5" i="9"/>
  <c r="UP5" i="9"/>
  <c r="UQ5" i="9"/>
  <c r="UR5" i="9"/>
  <c r="US5" i="9"/>
  <c r="UT5" i="9"/>
  <c r="UU5" i="9"/>
  <c r="UV5" i="9"/>
  <c r="UW5" i="9"/>
  <c r="UX5" i="9"/>
  <c r="UY5" i="9"/>
  <c r="UZ5" i="9"/>
  <c r="VA5" i="9"/>
  <c r="RR5" i="9"/>
  <c r="RS5" i="9"/>
  <c r="RT5" i="9"/>
  <c r="RU5" i="9"/>
  <c r="RV5" i="9"/>
  <c r="RW5" i="9"/>
  <c r="RX5" i="9"/>
  <c r="RY5" i="9"/>
  <c r="RZ5" i="9"/>
  <c r="SA5" i="9"/>
  <c r="SB5" i="9"/>
  <c r="SC5" i="9"/>
  <c r="SD5" i="9"/>
  <c r="SE5" i="9"/>
  <c r="SF5" i="9"/>
  <c r="SG5" i="9"/>
  <c r="SH5" i="9"/>
  <c r="SI5" i="9"/>
  <c r="SJ5" i="9"/>
  <c r="SK5" i="9"/>
  <c r="SL5" i="9"/>
  <c r="SM5" i="9"/>
  <c r="SN5" i="9"/>
  <c r="SO5" i="9"/>
  <c r="SP5" i="9"/>
  <c r="SQ5" i="9"/>
  <c r="SR5" i="9"/>
  <c r="SS5" i="9"/>
  <c r="ST5" i="9"/>
  <c r="SU5" i="9"/>
  <c r="SV5" i="9"/>
  <c r="SW5" i="9"/>
  <c r="SX5" i="9"/>
  <c r="SY5" i="9"/>
  <c r="SZ5" i="9"/>
  <c r="TA5" i="9"/>
  <c r="TB5" i="9"/>
  <c r="TC5" i="9"/>
  <c r="TD5" i="9"/>
  <c r="TE5" i="9"/>
  <c r="TF5" i="9"/>
  <c r="TG5" i="9"/>
  <c r="TH5" i="9"/>
  <c r="TI5" i="9"/>
  <c r="PZ5" i="9"/>
  <c r="QA5" i="9"/>
  <c r="QB5" i="9"/>
  <c r="QC5" i="9"/>
  <c r="QD5" i="9"/>
  <c r="QE5" i="9"/>
  <c r="QF5" i="9"/>
  <c r="QG5" i="9"/>
  <c r="QH5" i="9"/>
  <c r="QI5" i="9"/>
  <c r="QJ5" i="9"/>
  <c r="QK5" i="9"/>
  <c r="QL5" i="9"/>
  <c r="QM5" i="9"/>
  <c r="QN5" i="9"/>
  <c r="QO5" i="9"/>
  <c r="QP5" i="9"/>
  <c r="QQ5" i="9"/>
  <c r="QR5" i="9"/>
  <c r="QS5" i="9"/>
  <c r="QT5" i="9"/>
  <c r="QU5" i="9"/>
  <c r="QV5" i="9"/>
  <c r="QW5" i="9"/>
  <c r="QX5" i="9"/>
  <c r="QY5" i="9"/>
  <c r="QZ5" i="9"/>
  <c r="RA5" i="9"/>
  <c r="RB5" i="9"/>
  <c r="RC5" i="9"/>
  <c r="RD5" i="9"/>
  <c r="RE5" i="9"/>
  <c r="RF5" i="9"/>
  <c r="RG5" i="9"/>
  <c r="RH5" i="9"/>
  <c r="RI5" i="9"/>
  <c r="RJ5" i="9"/>
  <c r="RK5" i="9"/>
  <c r="RL5" i="9"/>
  <c r="RM5" i="9"/>
  <c r="RN5" i="9"/>
  <c r="RO5" i="9"/>
  <c r="RP5" i="9"/>
  <c r="RQ5" i="9"/>
  <c r="OH5" i="9"/>
  <c r="OI5" i="9"/>
  <c r="OJ5" i="9"/>
  <c r="OK5" i="9"/>
  <c r="OL5" i="9"/>
  <c r="OM5" i="9"/>
  <c r="ON5" i="9"/>
  <c r="OO5" i="9"/>
  <c r="OP5" i="9"/>
  <c r="OQ5" i="9"/>
  <c r="OR5" i="9"/>
  <c r="OS5" i="9"/>
  <c r="OT5" i="9"/>
  <c r="OU5" i="9"/>
  <c r="OV5" i="9"/>
  <c r="OW5" i="9"/>
  <c r="OX5" i="9"/>
  <c r="OY5" i="9"/>
  <c r="OZ5" i="9"/>
  <c r="PA5" i="9"/>
  <c r="PB5" i="9"/>
  <c r="PC5" i="9"/>
  <c r="PD5" i="9"/>
  <c r="PE5" i="9"/>
  <c r="PF5" i="9"/>
  <c r="PG5" i="9"/>
  <c r="PH5" i="9"/>
  <c r="PI5" i="9"/>
  <c r="PJ5" i="9"/>
  <c r="PK5" i="9"/>
  <c r="PL5" i="9"/>
  <c r="PM5" i="9"/>
  <c r="PN5" i="9"/>
  <c r="PO5" i="9"/>
  <c r="PP5" i="9"/>
  <c r="PQ5" i="9"/>
  <c r="PR5" i="9"/>
  <c r="PS5" i="9"/>
  <c r="PT5" i="9"/>
  <c r="PU5" i="9"/>
  <c r="PV5" i="9"/>
  <c r="PW5" i="9"/>
  <c r="PX5" i="9"/>
  <c r="PY5" i="9"/>
  <c r="MP5" i="9"/>
  <c r="MQ5" i="9"/>
  <c r="MR5" i="9"/>
  <c r="MS5" i="9"/>
  <c r="MT5" i="9"/>
  <c r="MU5" i="9"/>
  <c r="MV5" i="9"/>
  <c r="MW5" i="9"/>
  <c r="MX5" i="9"/>
  <c r="MY5" i="9"/>
  <c r="MZ5" i="9"/>
  <c r="NA5" i="9"/>
  <c r="NB5" i="9"/>
  <c r="NC5" i="9"/>
  <c r="ND5" i="9"/>
  <c r="NE5" i="9"/>
  <c r="NF5" i="9"/>
  <c r="NG5" i="9"/>
  <c r="NH5" i="9"/>
  <c r="NI5" i="9"/>
  <c r="NJ5" i="9"/>
  <c r="NK5" i="9"/>
  <c r="NL5" i="9"/>
  <c r="NM5" i="9"/>
  <c r="NN5" i="9"/>
  <c r="NO5" i="9"/>
  <c r="NP5" i="9"/>
  <c r="NQ5" i="9"/>
  <c r="NR5" i="9"/>
  <c r="NS5" i="9"/>
  <c r="NT5" i="9"/>
  <c r="NU5" i="9"/>
  <c r="NV5" i="9"/>
  <c r="NW5" i="9"/>
  <c r="NX5" i="9"/>
  <c r="NY5" i="9"/>
  <c r="NZ5" i="9"/>
  <c r="OA5" i="9"/>
  <c r="OB5" i="9"/>
  <c r="OC5" i="9"/>
  <c r="OD5" i="9"/>
  <c r="OE5" i="9"/>
  <c r="OF5" i="9"/>
  <c r="OG5" i="9"/>
  <c r="KX5" i="9"/>
  <c r="KY5" i="9"/>
  <c r="KZ5" i="9"/>
  <c r="LA5" i="9"/>
  <c r="LB5" i="9"/>
  <c r="LC5" i="9"/>
  <c r="LD5" i="9"/>
  <c r="LE5" i="9"/>
  <c r="LF5" i="9"/>
  <c r="LG5" i="9"/>
  <c r="LH5" i="9"/>
  <c r="LI5" i="9"/>
  <c r="LJ5" i="9"/>
  <c r="LK5" i="9"/>
  <c r="LL5" i="9"/>
  <c r="LM5" i="9"/>
  <c r="LN5" i="9"/>
  <c r="LO5" i="9"/>
  <c r="LP5" i="9"/>
  <c r="LQ5" i="9"/>
  <c r="LR5" i="9"/>
  <c r="LS5" i="9"/>
  <c r="LT5" i="9"/>
  <c r="LU5" i="9"/>
  <c r="LV5" i="9"/>
  <c r="LW5" i="9"/>
  <c r="LX5" i="9"/>
  <c r="LY5" i="9"/>
  <c r="LZ5" i="9"/>
  <c r="MA5" i="9"/>
  <c r="MB5" i="9"/>
  <c r="MC5" i="9"/>
  <c r="MD5" i="9"/>
  <c r="ME5" i="9"/>
  <c r="MF5" i="9"/>
  <c r="MG5" i="9"/>
  <c r="MH5" i="9"/>
  <c r="MI5" i="9"/>
  <c r="MJ5" i="9"/>
  <c r="MK5" i="9"/>
  <c r="ML5" i="9"/>
  <c r="MM5" i="9"/>
  <c r="MN5" i="9"/>
  <c r="MO5" i="9"/>
  <c r="JF5" i="9"/>
  <c r="JG5" i="9"/>
  <c r="JH5" i="9"/>
  <c r="JI5" i="9"/>
  <c r="JJ5" i="9"/>
  <c r="JK5" i="9"/>
  <c r="JL5" i="9"/>
  <c r="JM5" i="9"/>
  <c r="JN5" i="9"/>
  <c r="JO5" i="9"/>
  <c r="JP5" i="9"/>
  <c r="JQ5" i="9"/>
  <c r="JR5" i="9"/>
  <c r="JS5" i="9"/>
  <c r="JT5" i="9"/>
  <c r="JU5" i="9"/>
  <c r="JV5" i="9"/>
  <c r="JW5" i="9"/>
  <c r="JX5" i="9"/>
  <c r="JY5" i="9"/>
  <c r="JZ5" i="9"/>
  <c r="KA5" i="9"/>
  <c r="KB5" i="9"/>
  <c r="KC5" i="9"/>
  <c r="KD5" i="9"/>
  <c r="KE5" i="9"/>
  <c r="KF5" i="9"/>
  <c r="KG5" i="9"/>
  <c r="KH5" i="9"/>
  <c r="KI5" i="9"/>
  <c r="KJ5" i="9"/>
  <c r="KK5" i="9"/>
  <c r="KL5" i="9"/>
  <c r="KM5" i="9"/>
  <c r="KN5" i="9"/>
  <c r="KO5" i="9"/>
  <c r="KP5" i="9"/>
  <c r="KQ5" i="9"/>
  <c r="KR5" i="9"/>
  <c r="KS5" i="9"/>
  <c r="KT5" i="9"/>
  <c r="KU5" i="9"/>
  <c r="KV5" i="9"/>
  <c r="KW5" i="9"/>
  <c r="HN5" i="9"/>
  <c r="HO5" i="9"/>
  <c r="HP5" i="9"/>
  <c r="HQ5" i="9"/>
  <c r="HR5" i="9"/>
  <c r="HS5" i="9"/>
  <c r="HT5" i="9"/>
  <c r="HU5" i="9"/>
  <c r="HV5" i="9"/>
  <c r="HW5" i="9"/>
  <c r="HX5" i="9"/>
  <c r="HY5" i="9"/>
  <c r="HZ5" i="9"/>
  <c r="IA5" i="9"/>
  <c r="IB5" i="9"/>
  <c r="IC5" i="9"/>
  <c r="ID5" i="9"/>
  <c r="IE5" i="9"/>
  <c r="IF5" i="9"/>
  <c r="IG5" i="9"/>
  <c r="IH5" i="9"/>
  <c r="II5" i="9"/>
  <c r="IJ5" i="9"/>
  <c r="IK5" i="9"/>
  <c r="IL5" i="9"/>
  <c r="IM5" i="9"/>
  <c r="IN5" i="9"/>
  <c r="IO5" i="9"/>
  <c r="IP5" i="9"/>
  <c r="IQ5" i="9"/>
  <c r="IR5" i="9"/>
  <c r="IS5" i="9"/>
  <c r="IT5" i="9"/>
  <c r="IU5" i="9"/>
  <c r="IV5" i="9"/>
  <c r="IW5" i="9"/>
  <c r="IX5" i="9"/>
  <c r="IY5" i="9"/>
  <c r="IZ5" i="9"/>
  <c r="JA5" i="9"/>
  <c r="JB5" i="9"/>
  <c r="JC5" i="9"/>
  <c r="JD5" i="9"/>
  <c r="JE5" i="9"/>
  <c r="FV5" i="9"/>
  <c r="FW5" i="9"/>
  <c r="FX5" i="9"/>
  <c r="FY5" i="9"/>
  <c r="FZ5" i="9"/>
  <c r="GA5" i="9"/>
  <c r="GB5" i="9"/>
  <c r="GC5" i="9"/>
  <c r="GD5" i="9"/>
  <c r="GE5" i="9"/>
  <c r="GF5" i="9"/>
  <c r="GG5" i="9"/>
  <c r="GH5" i="9"/>
  <c r="GI5" i="9"/>
  <c r="GJ5" i="9"/>
  <c r="GK5" i="9"/>
  <c r="GL5" i="9"/>
  <c r="GM5" i="9"/>
  <c r="GN5" i="9"/>
  <c r="GO5" i="9"/>
  <c r="GP5" i="9"/>
  <c r="GQ5" i="9"/>
  <c r="GR5" i="9"/>
  <c r="GS5" i="9"/>
  <c r="GT5" i="9"/>
  <c r="GU5" i="9"/>
  <c r="GV5" i="9"/>
  <c r="GW5" i="9"/>
  <c r="GX5" i="9"/>
  <c r="GY5" i="9"/>
  <c r="GZ5" i="9"/>
  <c r="HA5" i="9"/>
  <c r="HB5" i="9"/>
  <c r="HC5" i="9"/>
  <c r="HD5" i="9"/>
  <c r="HE5" i="9"/>
  <c r="HF5" i="9"/>
  <c r="HG5" i="9"/>
  <c r="HH5" i="9"/>
  <c r="HI5" i="9"/>
  <c r="HJ5" i="9"/>
  <c r="HK5" i="9"/>
  <c r="HL5" i="9"/>
  <c r="HM5" i="9"/>
  <c r="ED5" i="9"/>
  <c r="EE5" i="9"/>
  <c r="EF5" i="9"/>
  <c r="EG5" i="9"/>
  <c r="EH5" i="9"/>
  <c r="EI5" i="9"/>
  <c r="EJ5" i="9"/>
  <c r="EK5" i="9"/>
  <c r="EL5" i="9"/>
  <c r="EM5" i="9"/>
  <c r="EN5" i="9"/>
  <c r="EO5" i="9"/>
  <c r="EP5" i="9"/>
  <c r="EQ5" i="9"/>
  <c r="ER5" i="9"/>
  <c r="ES5" i="9"/>
  <c r="ET5" i="9"/>
  <c r="EU5" i="9"/>
  <c r="EV5" i="9"/>
  <c r="EW5" i="9"/>
  <c r="EX5" i="9"/>
  <c r="EY5" i="9"/>
  <c r="EZ5" i="9"/>
  <c r="FA5" i="9"/>
  <c r="FB5" i="9"/>
  <c r="FC5" i="9"/>
  <c r="FD5" i="9"/>
  <c r="FE5" i="9"/>
  <c r="FF5" i="9"/>
  <c r="FG5" i="9"/>
  <c r="FH5" i="9"/>
  <c r="FI5" i="9"/>
  <c r="FJ5" i="9"/>
  <c r="FK5" i="9"/>
  <c r="FL5" i="9"/>
  <c r="FM5" i="9"/>
  <c r="FN5" i="9"/>
  <c r="FO5" i="9"/>
  <c r="FP5" i="9"/>
  <c r="FQ5" i="9"/>
  <c r="FR5" i="9"/>
  <c r="FS5" i="9"/>
  <c r="FT5" i="9"/>
  <c r="FU5" i="9"/>
  <c r="CL5" i="9"/>
  <c r="CM5" i="9"/>
  <c r="CN5" i="9"/>
  <c r="CO5" i="9"/>
  <c r="CP5" i="9"/>
  <c r="CQ5" i="9"/>
  <c r="CR5" i="9"/>
  <c r="CS5" i="9"/>
  <c r="CT5" i="9"/>
  <c r="CU5" i="9"/>
  <c r="CV5" i="9"/>
  <c r="CW5" i="9"/>
  <c r="CX5" i="9"/>
  <c r="CY5" i="9"/>
  <c r="CZ5" i="9"/>
  <c r="DA5" i="9"/>
  <c r="DB5" i="9"/>
  <c r="DC5" i="9"/>
  <c r="DD5" i="9"/>
  <c r="DE5" i="9"/>
  <c r="DF5" i="9"/>
  <c r="DG5" i="9"/>
  <c r="DH5" i="9"/>
  <c r="DI5" i="9"/>
  <c r="DJ5" i="9"/>
  <c r="DK5" i="9"/>
  <c r="DL5" i="9"/>
  <c r="DM5" i="9"/>
  <c r="DN5" i="9"/>
  <c r="DO5" i="9"/>
  <c r="DP5" i="9"/>
  <c r="DQ5" i="9"/>
  <c r="DR5" i="9"/>
  <c r="DS5" i="9"/>
  <c r="DT5" i="9"/>
  <c r="DU5" i="9"/>
  <c r="DV5" i="9"/>
  <c r="DW5" i="9"/>
  <c r="DX5" i="9"/>
  <c r="DY5" i="9"/>
  <c r="DZ5" i="9"/>
  <c r="EA5" i="9"/>
  <c r="EB5" i="9"/>
  <c r="EC5" i="9"/>
  <c r="AT5" i="9"/>
  <c r="AU5" i="9"/>
  <c r="AV5" i="9"/>
  <c r="AW5" i="9"/>
  <c r="AX5" i="9"/>
  <c r="AY5" i="9"/>
  <c r="AZ5" i="9"/>
  <c r="BA5" i="9"/>
  <c r="BB5" i="9"/>
  <c r="BC5" i="9"/>
  <c r="BD5" i="9"/>
  <c r="BE5" i="9"/>
  <c r="BF5" i="9"/>
  <c r="BG5" i="9"/>
  <c r="BH5" i="9"/>
  <c r="BI5" i="9"/>
  <c r="BJ5" i="9"/>
  <c r="BK5" i="9"/>
  <c r="BL5" i="9"/>
  <c r="BM5" i="9"/>
  <c r="BN5" i="9"/>
  <c r="BO5" i="9"/>
  <c r="BP5" i="9"/>
  <c r="BQ5" i="9"/>
  <c r="BR5" i="9"/>
  <c r="BS5" i="9"/>
  <c r="BT5" i="9"/>
  <c r="BU5" i="9"/>
  <c r="BV5" i="9"/>
  <c r="BW5" i="9"/>
  <c r="BX5" i="9"/>
  <c r="BY5" i="9"/>
  <c r="BZ5" i="9"/>
  <c r="CA5" i="9"/>
  <c r="CB5" i="9"/>
  <c r="CC5" i="9"/>
  <c r="CD5" i="9"/>
  <c r="CE5" i="9"/>
  <c r="CF5" i="9"/>
  <c r="CG5" i="9"/>
  <c r="CH5" i="9"/>
  <c r="CI5" i="9"/>
  <c r="CJ5" i="9"/>
  <c r="CK5" i="9"/>
  <c r="B5" i="9"/>
  <c r="C5" i="9"/>
  <c r="D5" i="9"/>
  <c r="E5" i="9"/>
  <c r="F5" i="9"/>
  <c r="G5" i="9"/>
  <c r="H5" i="9"/>
  <c r="I5" i="9"/>
  <c r="J5" i="9"/>
  <c r="K5" i="9"/>
  <c r="L5" i="9"/>
  <c r="M5" i="9"/>
  <c r="N5" i="9"/>
  <c r="O5" i="9"/>
  <c r="P5" i="9"/>
  <c r="Q5" i="9"/>
  <c r="R5" i="9"/>
  <c r="S5" i="9"/>
  <c r="T5" i="9"/>
  <c r="U5" i="9"/>
  <c r="V5" i="9"/>
  <c r="W5" i="9"/>
  <c r="X5" i="9"/>
  <c r="Y5" i="9"/>
  <c r="Z5" i="9"/>
  <c r="AA5" i="9"/>
  <c r="AB5" i="9"/>
  <c r="AC5" i="9"/>
  <c r="AD5" i="9"/>
  <c r="AE5" i="9"/>
  <c r="AF5" i="9"/>
  <c r="AG5" i="9"/>
  <c r="AH5" i="9"/>
  <c r="AI5" i="9"/>
  <c r="AJ5" i="9"/>
  <c r="AK5" i="9"/>
  <c r="AL5" i="9"/>
  <c r="AM5" i="9"/>
  <c r="AN5" i="9"/>
  <c r="AO5" i="9"/>
  <c r="AP5" i="9"/>
  <c r="AQ5" i="9"/>
  <c r="AR5" i="9"/>
  <c r="AS5" i="9"/>
  <c r="ECT4" i="9"/>
  <c r="ECU4" i="9"/>
  <c r="ECV4" i="9"/>
  <c r="ECW4" i="9"/>
  <c r="ECX4" i="9"/>
  <c r="ECY4" i="9"/>
  <c r="ECZ4" i="9"/>
  <c r="EDA4" i="9"/>
  <c r="EDB4" i="9"/>
  <c r="EDC4" i="9"/>
  <c r="EDD4" i="9"/>
  <c r="EDE4" i="9"/>
  <c r="EDF4" i="9"/>
  <c r="EDG4" i="9"/>
  <c r="EDH4" i="9"/>
  <c r="EDI4" i="9"/>
  <c r="EDJ4" i="9"/>
  <c r="EDK4" i="9"/>
  <c r="EDL4" i="9"/>
  <c r="EDM4" i="9"/>
  <c r="EDN4" i="9"/>
  <c r="EDO4" i="9"/>
  <c r="EDP4" i="9"/>
  <c r="EDQ4" i="9"/>
  <c r="EDR4" i="9"/>
  <c r="EDS4" i="9"/>
  <c r="EDT4" i="9"/>
  <c r="EDU4" i="9"/>
  <c r="EDV4" i="9"/>
  <c r="EDW4" i="9"/>
  <c r="EDX4" i="9"/>
  <c r="EDY4" i="9"/>
  <c r="EDZ4" i="9"/>
  <c r="EEA4" i="9"/>
  <c r="EEB4" i="9"/>
  <c r="EEC4" i="9"/>
  <c r="EED4" i="9"/>
  <c r="EEE4" i="9"/>
  <c r="EEF4" i="9"/>
  <c r="EEG4" i="9"/>
  <c r="EEH4" i="9"/>
  <c r="EEI4" i="9"/>
  <c r="EEJ4" i="9"/>
  <c r="EEK4" i="9"/>
  <c r="EBB4" i="9"/>
  <c r="EBC4" i="9"/>
  <c r="EBD4" i="9"/>
  <c r="EBE4" i="9"/>
  <c r="EBF4" i="9"/>
  <c r="EBG4" i="9"/>
  <c r="EBH4" i="9"/>
  <c r="EBI4" i="9"/>
  <c r="EBJ4" i="9"/>
  <c r="EBK4" i="9"/>
  <c r="EBL4" i="9"/>
  <c r="EBM4" i="9"/>
  <c r="EBN4" i="9"/>
  <c r="EBO4" i="9"/>
  <c r="EBP4" i="9"/>
  <c r="EBQ4" i="9"/>
  <c r="EBR4" i="9"/>
  <c r="EBS4" i="9"/>
  <c r="EBT4" i="9"/>
  <c r="EBU4" i="9"/>
  <c r="EBV4" i="9"/>
  <c r="EBW4" i="9"/>
  <c r="EBX4" i="9"/>
  <c r="EBY4" i="9"/>
  <c r="EBZ4" i="9"/>
  <c r="ECA4" i="9"/>
  <c r="ECB4" i="9"/>
  <c r="ECC4" i="9"/>
  <c r="ECD4" i="9"/>
  <c r="ECE4" i="9"/>
  <c r="ECF4" i="9"/>
  <c r="ECG4" i="9"/>
  <c r="ECH4" i="9"/>
  <c r="ECI4" i="9"/>
  <c r="ECJ4" i="9"/>
  <c r="ECK4" i="9"/>
  <c r="ECL4" i="9"/>
  <c r="ECM4" i="9"/>
  <c r="ECN4" i="9"/>
  <c r="ECO4" i="9"/>
  <c r="ECP4" i="9"/>
  <c r="ECQ4" i="9"/>
  <c r="ECR4" i="9"/>
  <c r="ECS4" i="9"/>
  <c r="DZJ4" i="9"/>
  <c r="DZK4" i="9"/>
  <c r="DZL4" i="9"/>
  <c r="DZM4" i="9"/>
  <c r="DZN4" i="9"/>
  <c r="DZO4" i="9"/>
  <c r="DZP4" i="9"/>
  <c r="DZQ4" i="9"/>
  <c r="DZR4" i="9"/>
  <c r="DZS4" i="9"/>
  <c r="DZT4" i="9"/>
  <c r="DZU4" i="9"/>
  <c r="DZV4" i="9"/>
  <c r="DZW4" i="9"/>
  <c r="DZX4" i="9"/>
  <c r="DZY4" i="9"/>
  <c r="DZZ4" i="9"/>
  <c r="EAA4" i="9"/>
  <c r="EAB4" i="9"/>
  <c r="EAC4" i="9"/>
  <c r="EAD4" i="9"/>
  <c r="EAE4" i="9"/>
  <c r="EAF4" i="9"/>
  <c r="EAG4" i="9"/>
  <c r="EAH4" i="9"/>
  <c r="EAI4" i="9"/>
  <c r="EAJ4" i="9"/>
  <c r="EAK4" i="9"/>
  <c r="EAL4" i="9"/>
  <c r="EAM4" i="9"/>
  <c r="EAN4" i="9"/>
  <c r="EAO4" i="9"/>
  <c r="EAP4" i="9"/>
  <c r="EAQ4" i="9"/>
  <c r="EAR4" i="9"/>
  <c r="EAS4" i="9"/>
  <c r="EAT4" i="9"/>
  <c r="EAU4" i="9"/>
  <c r="EAV4" i="9"/>
  <c r="EAW4" i="9"/>
  <c r="EAX4" i="9"/>
  <c r="EAY4" i="9"/>
  <c r="EAZ4" i="9"/>
  <c r="EBA4" i="9"/>
  <c r="DXR4" i="9"/>
  <c r="DXS4" i="9"/>
  <c r="DXT4" i="9"/>
  <c r="DXU4" i="9"/>
  <c r="DXV4" i="9"/>
  <c r="DXW4" i="9"/>
  <c r="DXX4" i="9"/>
  <c r="DXY4" i="9"/>
  <c r="DXZ4" i="9"/>
  <c r="DYA4" i="9"/>
  <c r="DYB4" i="9"/>
  <c r="DYC4" i="9"/>
  <c r="DYD4" i="9"/>
  <c r="DYE4" i="9"/>
  <c r="DYF4" i="9"/>
  <c r="DYG4" i="9"/>
  <c r="DYH4" i="9"/>
  <c r="DYI4" i="9"/>
  <c r="DYJ4" i="9"/>
  <c r="DYK4" i="9"/>
  <c r="DYL4" i="9"/>
  <c r="DYM4" i="9"/>
  <c r="DYN4" i="9"/>
  <c r="DYO4" i="9"/>
  <c r="DYP4" i="9"/>
  <c r="DYQ4" i="9"/>
  <c r="DYR4" i="9"/>
  <c r="DYS4" i="9"/>
  <c r="DYT4" i="9"/>
  <c r="DYU4" i="9"/>
  <c r="DYV4" i="9"/>
  <c r="DYW4" i="9"/>
  <c r="DYX4" i="9"/>
  <c r="DYY4" i="9"/>
  <c r="DYZ4" i="9"/>
  <c r="DZA4" i="9"/>
  <c r="DZB4" i="9"/>
  <c r="DZC4" i="9"/>
  <c r="DZD4" i="9"/>
  <c r="DZE4" i="9"/>
  <c r="DZF4" i="9"/>
  <c r="DZG4" i="9"/>
  <c r="DZH4" i="9"/>
  <c r="DZI4" i="9"/>
  <c r="DVZ4" i="9"/>
  <c r="DWA4" i="9"/>
  <c r="DWB4" i="9"/>
  <c r="DWC4" i="9"/>
  <c r="DWD4" i="9"/>
  <c r="DWE4" i="9"/>
  <c r="DWF4" i="9"/>
  <c r="DWG4" i="9"/>
  <c r="DWH4" i="9"/>
  <c r="DWI4" i="9"/>
  <c r="DWJ4" i="9"/>
  <c r="DWK4" i="9"/>
  <c r="DWL4" i="9"/>
  <c r="DWM4" i="9"/>
  <c r="DWN4" i="9"/>
  <c r="DWO4" i="9"/>
  <c r="DWP4" i="9"/>
  <c r="DWQ4" i="9"/>
  <c r="DWR4" i="9"/>
  <c r="DWS4" i="9"/>
  <c r="DWT4" i="9"/>
  <c r="DWU4" i="9"/>
  <c r="DWV4" i="9"/>
  <c r="DWW4" i="9"/>
  <c r="DWX4" i="9"/>
  <c r="DWY4" i="9"/>
  <c r="DWZ4" i="9"/>
  <c r="DXA4" i="9"/>
  <c r="DXB4" i="9"/>
  <c r="DXC4" i="9"/>
  <c r="DXD4" i="9"/>
  <c r="DXE4" i="9"/>
  <c r="DXF4" i="9"/>
  <c r="DXG4" i="9"/>
  <c r="DXH4" i="9"/>
  <c r="DXI4" i="9"/>
  <c r="DXJ4" i="9"/>
  <c r="DXK4" i="9"/>
  <c r="DXL4" i="9"/>
  <c r="DXM4" i="9"/>
  <c r="DXN4" i="9"/>
  <c r="DXO4" i="9"/>
  <c r="DXP4" i="9"/>
  <c r="DXQ4" i="9"/>
  <c r="DUH4" i="9"/>
  <c r="DUI4" i="9"/>
  <c r="DUJ4" i="9"/>
  <c r="DUK4" i="9"/>
  <c r="DUL4" i="9"/>
  <c r="DUM4" i="9"/>
  <c r="DUN4" i="9"/>
  <c r="DUO4" i="9"/>
  <c r="DUP4" i="9"/>
  <c r="DUQ4" i="9"/>
  <c r="DUR4" i="9"/>
  <c r="DUS4" i="9"/>
  <c r="DUT4" i="9"/>
  <c r="DUU4" i="9"/>
  <c r="DUV4" i="9"/>
  <c r="DUW4" i="9"/>
  <c r="DUX4" i="9"/>
  <c r="DUY4" i="9"/>
  <c r="DUZ4" i="9"/>
  <c r="DVA4" i="9"/>
  <c r="DVB4" i="9"/>
  <c r="DVC4" i="9"/>
  <c r="DVD4" i="9"/>
  <c r="DVE4" i="9"/>
  <c r="DVF4" i="9"/>
  <c r="DVG4" i="9"/>
  <c r="DVH4" i="9"/>
  <c r="DVI4" i="9"/>
  <c r="DVJ4" i="9"/>
  <c r="DVK4" i="9"/>
  <c r="DVL4" i="9"/>
  <c r="DVM4" i="9"/>
  <c r="DVN4" i="9"/>
  <c r="DVO4" i="9"/>
  <c r="DVP4" i="9"/>
  <c r="DVQ4" i="9"/>
  <c r="DVR4" i="9"/>
  <c r="DVS4" i="9"/>
  <c r="DVT4" i="9"/>
  <c r="DVU4" i="9"/>
  <c r="DVV4" i="9"/>
  <c r="DVW4" i="9"/>
  <c r="DVX4" i="9"/>
  <c r="DVY4" i="9"/>
  <c r="DSP4" i="9"/>
  <c r="DSQ4" i="9"/>
  <c r="DSR4" i="9"/>
  <c r="DSS4" i="9"/>
  <c r="DST4" i="9"/>
  <c r="DSU4" i="9"/>
  <c r="DSV4" i="9"/>
  <c r="DSW4" i="9"/>
  <c r="DSX4" i="9"/>
  <c r="DSY4" i="9"/>
  <c r="DSZ4" i="9"/>
  <c r="DTA4" i="9"/>
  <c r="DTB4" i="9"/>
  <c r="DTC4" i="9"/>
  <c r="DTD4" i="9"/>
  <c r="DTE4" i="9"/>
  <c r="DTF4" i="9"/>
  <c r="DTG4" i="9"/>
  <c r="DTH4" i="9"/>
  <c r="DTI4" i="9"/>
  <c r="DTJ4" i="9"/>
  <c r="DTK4" i="9"/>
  <c r="DTL4" i="9"/>
  <c r="DTM4" i="9"/>
  <c r="DTN4" i="9"/>
  <c r="DTO4" i="9"/>
  <c r="DTP4" i="9"/>
  <c r="DTQ4" i="9"/>
  <c r="DTR4" i="9"/>
  <c r="DTS4" i="9"/>
  <c r="DTT4" i="9"/>
  <c r="DTU4" i="9"/>
  <c r="DTV4" i="9"/>
  <c r="DTW4" i="9"/>
  <c r="DTX4" i="9"/>
  <c r="DTY4" i="9"/>
  <c r="DTZ4" i="9"/>
  <c r="DUA4" i="9"/>
  <c r="DUB4" i="9"/>
  <c r="DUC4" i="9"/>
  <c r="DUD4" i="9"/>
  <c r="DUE4" i="9"/>
  <c r="DUF4" i="9"/>
  <c r="DUG4" i="9"/>
  <c r="DQX4" i="9"/>
  <c r="DQY4" i="9"/>
  <c r="DQZ4" i="9"/>
  <c r="DRA4" i="9"/>
  <c r="DRB4" i="9"/>
  <c r="DRC4" i="9"/>
  <c r="DRD4" i="9"/>
  <c r="DRE4" i="9"/>
  <c r="DRF4" i="9"/>
  <c r="DRG4" i="9"/>
  <c r="DRH4" i="9"/>
  <c r="DRI4" i="9"/>
  <c r="DRJ4" i="9"/>
  <c r="DRK4" i="9"/>
  <c r="DRL4" i="9"/>
  <c r="DRM4" i="9"/>
  <c r="DRN4" i="9"/>
  <c r="DRO4" i="9"/>
  <c r="DRP4" i="9"/>
  <c r="DRQ4" i="9"/>
  <c r="DRR4" i="9"/>
  <c r="DRS4" i="9"/>
  <c r="DRT4" i="9"/>
  <c r="DRU4" i="9"/>
  <c r="DRV4" i="9"/>
  <c r="DRW4" i="9"/>
  <c r="DRX4" i="9"/>
  <c r="DRY4" i="9"/>
  <c r="DRZ4" i="9"/>
  <c r="DSA4" i="9"/>
  <c r="DSB4" i="9"/>
  <c r="DSC4" i="9"/>
  <c r="DSD4" i="9"/>
  <c r="DSE4" i="9"/>
  <c r="DSF4" i="9"/>
  <c r="DSG4" i="9"/>
  <c r="DSH4" i="9"/>
  <c r="DSI4" i="9"/>
  <c r="DSJ4" i="9"/>
  <c r="DSK4" i="9"/>
  <c r="DSL4" i="9"/>
  <c r="DSM4" i="9"/>
  <c r="DSN4" i="9"/>
  <c r="DSO4" i="9"/>
  <c r="DPF4" i="9"/>
  <c r="DPG4" i="9"/>
  <c r="DPH4" i="9"/>
  <c r="DPI4" i="9"/>
  <c r="DPJ4" i="9"/>
  <c r="DPK4" i="9"/>
  <c r="DPL4" i="9"/>
  <c r="DPM4" i="9"/>
  <c r="DPN4" i="9"/>
  <c r="DPO4" i="9"/>
  <c r="DPP4" i="9"/>
  <c r="DPQ4" i="9"/>
  <c r="DPR4" i="9"/>
  <c r="DPS4" i="9"/>
  <c r="DPT4" i="9"/>
  <c r="DPU4" i="9"/>
  <c r="DPV4" i="9"/>
  <c r="DPW4" i="9"/>
  <c r="DPX4" i="9"/>
  <c r="DPY4" i="9"/>
  <c r="DPZ4" i="9"/>
  <c r="DQA4" i="9"/>
  <c r="DQB4" i="9"/>
  <c r="DQC4" i="9"/>
  <c r="DQD4" i="9"/>
  <c r="DQE4" i="9"/>
  <c r="DQF4" i="9"/>
  <c r="DQG4" i="9"/>
  <c r="DQH4" i="9"/>
  <c r="DQI4" i="9"/>
  <c r="DQJ4" i="9"/>
  <c r="DQK4" i="9"/>
  <c r="DQL4" i="9"/>
  <c r="DQM4" i="9"/>
  <c r="DQN4" i="9"/>
  <c r="DQO4" i="9"/>
  <c r="DQP4" i="9"/>
  <c r="DQQ4" i="9"/>
  <c r="DQR4" i="9"/>
  <c r="DQS4" i="9"/>
  <c r="DQT4" i="9"/>
  <c r="DQU4" i="9"/>
  <c r="DQV4" i="9"/>
  <c r="DQW4" i="9"/>
  <c r="DNN4" i="9"/>
  <c r="DNO4" i="9"/>
  <c r="DNP4" i="9"/>
  <c r="DNQ4" i="9"/>
  <c r="DNR4" i="9"/>
  <c r="DNS4" i="9"/>
  <c r="DNT4" i="9"/>
  <c r="DNU4" i="9"/>
  <c r="DNV4" i="9"/>
  <c r="DNW4" i="9"/>
  <c r="DNX4" i="9"/>
  <c r="DNY4" i="9"/>
  <c r="DNZ4" i="9"/>
  <c r="DOA4" i="9"/>
  <c r="DOB4" i="9"/>
  <c r="DOC4" i="9"/>
  <c r="DOD4" i="9"/>
  <c r="DOE4" i="9"/>
  <c r="DOF4" i="9"/>
  <c r="DOG4" i="9"/>
  <c r="DOH4" i="9"/>
  <c r="DOI4" i="9"/>
  <c r="DOJ4" i="9"/>
  <c r="DOK4" i="9"/>
  <c r="DOL4" i="9"/>
  <c r="DOM4" i="9"/>
  <c r="DON4" i="9"/>
  <c r="DOO4" i="9"/>
  <c r="DOP4" i="9"/>
  <c r="DOQ4" i="9"/>
  <c r="DOR4" i="9"/>
  <c r="DOS4" i="9"/>
  <c r="DOT4" i="9"/>
  <c r="DOU4" i="9"/>
  <c r="DOV4" i="9"/>
  <c r="DOW4" i="9"/>
  <c r="DOX4" i="9"/>
  <c r="DOY4" i="9"/>
  <c r="DOZ4" i="9"/>
  <c r="DPA4" i="9"/>
  <c r="DPB4" i="9"/>
  <c r="DPC4" i="9"/>
  <c r="DPD4" i="9"/>
  <c r="DPE4" i="9"/>
  <c r="DLV4" i="9"/>
  <c r="DLW4" i="9"/>
  <c r="DLX4" i="9"/>
  <c r="DLY4" i="9"/>
  <c r="DLZ4" i="9"/>
  <c r="DMA4" i="9"/>
  <c r="DMB4" i="9"/>
  <c r="DMC4" i="9"/>
  <c r="DMD4" i="9"/>
  <c r="DME4" i="9"/>
  <c r="DMF4" i="9"/>
  <c r="DMG4" i="9"/>
  <c r="DMH4" i="9"/>
  <c r="DMI4" i="9"/>
  <c r="DMJ4" i="9"/>
  <c r="DMK4" i="9"/>
  <c r="DML4" i="9"/>
  <c r="DMM4" i="9"/>
  <c r="DMN4" i="9"/>
  <c r="DMO4" i="9"/>
  <c r="DMP4" i="9"/>
  <c r="DMQ4" i="9"/>
  <c r="DMR4" i="9"/>
  <c r="DMS4" i="9"/>
  <c r="DMT4" i="9"/>
  <c r="DMU4" i="9"/>
  <c r="DMV4" i="9"/>
  <c r="DMW4" i="9"/>
  <c r="DMX4" i="9"/>
  <c r="DMY4" i="9"/>
  <c r="DMZ4" i="9"/>
  <c r="DNA4" i="9"/>
  <c r="DNB4" i="9"/>
  <c r="DNC4" i="9"/>
  <c r="DND4" i="9"/>
  <c r="DNE4" i="9"/>
  <c r="DNF4" i="9"/>
  <c r="DNG4" i="9"/>
  <c r="DNH4" i="9"/>
  <c r="DNI4" i="9"/>
  <c r="DNJ4" i="9"/>
  <c r="DNK4" i="9"/>
  <c r="DNL4" i="9"/>
  <c r="DNM4" i="9"/>
  <c r="DKD4" i="9"/>
  <c r="DKE4" i="9"/>
  <c r="DKF4" i="9"/>
  <c r="DKG4" i="9"/>
  <c r="DKH4" i="9"/>
  <c r="DKI4" i="9"/>
  <c r="DKJ4" i="9"/>
  <c r="DKK4" i="9"/>
  <c r="DKL4" i="9"/>
  <c r="DKM4" i="9"/>
  <c r="DKN4" i="9"/>
  <c r="DKO4" i="9"/>
  <c r="DKP4" i="9"/>
  <c r="DKQ4" i="9"/>
  <c r="DKR4" i="9"/>
  <c r="DKS4" i="9"/>
  <c r="DKT4" i="9"/>
  <c r="DKU4" i="9"/>
  <c r="DKV4" i="9"/>
  <c r="DKW4" i="9"/>
  <c r="DKX4" i="9"/>
  <c r="DKY4" i="9"/>
  <c r="DKZ4" i="9"/>
  <c r="DLA4" i="9"/>
  <c r="DLB4" i="9"/>
  <c r="DLC4" i="9"/>
  <c r="DLD4" i="9"/>
  <c r="DLE4" i="9"/>
  <c r="DLF4" i="9"/>
  <c r="DLG4" i="9"/>
  <c r="DLH4" i="9"/>
  <c r="DLI4" i="9"/>
  <c r="DLJ4" i="9"/>
  <c r="DLK4" i="9"/>
  <c r="DLL4" i="9"/>
  <c r="DLM4" i="9"/>
  <c r="DLN4" i="9"/>
  <c r="DLO4" i="9"/>
  <c r="DLP4" i="9"/>
  <c r="DLQ4" i="9"/>
  <c r="DLR4" i="9"/>
  <c r="DLS4" i="9"/>
  <c r="DLT4" i="9"/>
  <c r="DLU4" i="9"/>
  <c r="DIL4" i="9"/>
  <c r="DIM4" i="9"/>
  <c r="DIN4" i="9"/>
  <c r="DIO4" i="9"/>
  <c r="DIP4" i="9"/>
  <c r="DIQ4" i="9"/>
  <c r="DIR4" i="9"/>
  <c r="DIS4" i="9"/>
  <c r="DIT4" i="9"/>
  <c r="DIU4" i="9"/>
  <c r="DIV4" i="9"/>
  <c r="DIW4" i="9"/>
  <c r="DIX4" i="9"/>
  <c r="DIY4" i="9"/>
  <c r="DIZ4" i="9"/>
  <c r="DJA4" i="9"/>
  <c r="DJB4" i="9"/>
  <c r="DJC4" i="9"/>
  <c r="DJD4" i="9"/>
  <c r="DJE4" i="9"/>
  <c r="DJF4" i="9"/>
  <c r="DJG4" i="9"/>
  <c r="DJH4" i="9"/>
  <c r="DJI4" i="9"/>
  <c r="DJJ4" i="9"/>
  <c r="DJK4" i="9"/>
  <c r="DJL4" i="9"/>
  <c r="DJM4" i="9"/>
  <c r="DJN4" i="9"/>
  <c r="DJO4" i="9"/>
  <c r="DJP4" i="9"/>
  <c r="DJQ4" i="9"/>
  <c r="DJR4" i="9"/>
  <c r="DJS4" i="9"/>
  <c r="DJT4" i="9"/>
  <c r="DJU4" i="9"/>
  <c r="DJV4" i="9"/>
  <c r="DJW4" i="9"/>
  <c r="DJX4" i="9"/>
  <c r="DJY4" i="9"/>
  <c r="DJZ4" i="9"/>
  <c r="DKA4" i="9"/>
  <c r="DKB4" i="9"/>
  <c r="DKC4" i="9"/>
  <c r="DGT4" i="9"/>
  <c r="DGU4" i="9"/>
  <c r="DGV4" i="9"/>
  <c r="DGW4" i="9"/>
  <c r="DGX4" i="9"/>
  <c r="DGY4" i="9"/>
  <c r="DGZ4" i="9"/>
  <c r="DHA4" i="9"/>
  <c r="DHB4" i="9"/>
  <c r="DHC4" i="9"/>
  <c r="DHD4" i="9"/>
  <c r="DHE4" i="9"/>
  <c r="DHF4" i="9"/>
  <c r="DHG4" i="9"/>
  <c r="DHH4" i="9"/>
  <c r="DHI4" i="9"/>
  <c r="DHJ4" i="9"/>
  <c r="DHK4" i="9"/>
  <c r="DHL4" i="9"/>
  <c r="DHM4" i="9"/>
  <c r="DHN4" i="9"/>
  <c r="DHO4" i="9"/>
  <c r="DHP4" i="9"/>
  <c r="DHQ4" i="9"/>
  <c r="DHR4" i="9"/>
  <c r="DHS4" i="9"/>
  <c r="DHT4" i="9"/>
  <c r="DHU4" i="9"/>
  <c r="DHV4" i="9"/>
  <c r="DHW4" i="9"/>
  <c r="DHX4" i="9"/>
  <c r="DHY4" i="9"/>
  <c r="DHZ4" i="9"/>
  <c r="DIA4" i="9"/>
  <c r="DIB4" i="9"/>
  <c r="DIC4" i="9"/>
  <c r="DID4" i="9"/>
  <c r="DIE4" i="9"/>
  <c r="DIF4" i="9"/>
  <c r="DIG4" i="9"/>
  <c r="DIH4" i="9"/>
  <c r="DII4" i="9"/>
  <c r="DIJ4" i="9"/>
  <c r="DIK4" i="9"/>
  <c r="DFB4" i="9"/>
  <c r="DFC4" i="9"/>
  <c r="DFD4" i="9"/>
  <c r="DFE4" i="9"/>
  <c r="DFF4" i="9"/>
  <c r="DFG4" i="9"/>
  <c r="DFH4" i="9"/>
  <c r="DFI4" i="9"/>
  <c r="DFJ4" i="9"/>
  <c r="DFK4" i="9"/>
  <c r="DFL4" i="9"/>
  <c r="DFM4" i="9"/>
  <c r="DFN4" i="9"/>
  <c r="DFO4" i="9"/>
  <c r="DFP4" i="9"/>
  <c r="DFQ4" i="9"/>
  <c r="DFR4" i="9"/>
  <c r="DFS4" i="9"/>
  <c r="DFT4" i="9"/>
  <c r="DFU4" i="9"/>
  <c r="DFV4" i="9"/>
  <c r="DFW4" i="9"/>
  <c r="DFX4" i="9"/>
  <c r="DFY4" i="9"/>
  <c r="DFZ4" i="9"/>
  <c r="DGA4" i="9"/>
  <c r="DGB4" i="9"/>
  <c r="DGC4" i="9"/>
  <c r="DGD4" i="9"/>
  <c r="DGE4" i="9"/>
  <c r="DGF4" i="9"/>
  <c r="DGG4" i="9"/>
  <c r="DGH4" i="9"/>
  <c r="DGI4" i="9"/>
  <c r="DGJ4" i="9"/>
  <c r="DGK4" i="9"/>
  <c r="DGL4" i="9"/>
  <c r="DGM4" i="9"/>
  <c r="DGN4" i="9"/>
  <c r="DGO4" i="9"/>
  <c r="DGP4" i="9"/>
  <c r="DGQ4" i="9"/>
  <c r="DGR4" i="9"/>
  <c r="DGS4" i="9"/>
  <c r="DDJ4" i="9"/>
  <c r="DDK4" i="9"/>
  <c r="DDL4" i="9"/>
  <c r="DDM4" i="9"/>
  <c r="DDN4" i="9"/>
  <c r="DDO4" i="9"/>
  <c r="DDP4" i="9"/>
  <c r="DDQ4" i="9"/>
  <c r="DDR4" i="9"/>
  <c r="DDS4" i="9"/>
  <c r="DDT4" i="9"/>
  <c r="DDU4" i="9"/>
  <c r="DDV4" i="9"/>
  <c r="DDW4" i="9"/>
  <c r="DDX4" i="9"/>
  <c r="DDY4" i="9"/>
  <c r="DDZ4" i="9"/>
  <c r="DEA4" i="9"/>
  <c r="DEB4" i="9"/>
  <c r="DEC4" i="9"/>
  <c r="DED4" i="9"/>
  <c r="DEE4" i="9"/>
  <c r="DEF4" i="9"/>
  <c r="DEG4" i="9"/>
  <c r="DEH4" i="9"/>
  <c r="DEI4" i="9"/>
  <c r="DEJ4" i="9"/>
  <c r="DEK4" i="9"/>
  <c r="DEL4" i="9"/>
  <c r="DEM4" i="9"/>
  <c r="DEN4" i="9"/>
  <c r="DEO4" i="9"/>
  <c r="DEP4" i="9"/>
  <c r="DEQ4" i="9"/>
  <c r="DER4" i="9"/>
  <c r="DES4" i="9"/>
  <c r="DET4" i="9"/>
  <c r="DEU4" i="9"/>
  <c r="DEV4" i="9"/>
  <c r="DEW4" i="9"/>
  <c r="DEX4" i="9"/>
  <c r="DEY4" i="9"/>
  <c r="DEZ4" i="9"/>
  <c r="DFA4" i="9"/>
  <c r="DBR4" i="9"/>
  <c r="DBS4" i="9"/>
  <c r="DBT4" i="9"/>
  <c r="DBU4" i="9"/>
  <c r="DBV4" i="9"/>
  <c r="DBW4" i="9"/>
  <c r="DBX4" i="9"/>
  <c r="DBY4" i="9"/>
  <c r="DBZ4" i="9"/>
  <c r="DCA4" i="9"/>
  <c r="DCB4" i="9"/>
  <c r="DCC4" i="9"/>
  <c r="DCD4" i="9"/>
  <c r="DCE4" i="9"/>
  <c r="DCF4" i="9"/>
  <c r="DCG4" i="9"/>
  <c r="DCH4" i="9"/>
  <c r="DCI4" i="9"/>
  <c r="DCJ4" i="9"/>
  <c r="DCK4" i="9"/>
  <c r="DCL4" i="9"/>
  <c r="DCM4" i="9"/>
  <c r="DCN4" i="9"/>
  <c r="DCO4" i="9"/>
  <c r="DCP4" i="9"/>
  <c r="DCQ4" i="9"/>
  <c r="DCR4" i="9"/>
  <c r="DCS4" i="9"/>
  <c r="DCT4" i="9"/>
  <c r="DCU4" i="9"/>
  <c r="DCV4" i="9"/>
  <c r="DCW4" i="9"/>
  <c r="DCX4" i="9"/>
  <c r="DCY4" i="9"/>
  <c r="DCZ4" i="9"/>
  <c r="DDA4" i="9"/>
  <c r="DDB4" i="9"/>
  <c r="DDC4" i="9"/>
  <c r="DDD4" i="9"/>
  <c r="DDE4" i="9"/>
  <c r="DDF4" i="9"/>
  <c r="DDG4" i="9"/>
  <c r="DDH4" i="9"/>
  <c r="DDI4" i="9"/>
  <c r="CZZ4" i="9"/>
  <c r="DAA4" i="9"/>
  <c r="DAB4" i="9"/>
  <c r="DAC4" i="9"/>
  <c r="DAD4" i="9"/>
  <c r="DAE4" i="9"/>
  <c r="DAF4" i="9"/>
  <c r="DAG4" i="9"/>
  <c r="DAH4" i="9"/>
  <c r="DAI4" i="9"/>
  <c r="DAJ4" i="9"/>
  <c r="DAK4" i="9"/>
  <c r="DAL4" i="9"/>
  <c r="DAM4" i="9"/>
  <c r="DAN4" i="9"/>
  <c r="DAO4" i="9"/>
  <c r="DAP4" i="9"/>
  <c r="DAQ4" i="9"/>
  <c r="DAR4" i="9"/>
  <c r="DAS4" i="9"/>
  <c r="DAT4" i="9"/>
  <c r="DAU4" i="9"/>
  <c r="DAV4" i="9"/>
  <c r="DAW4" i="9"/>
  <c r="DAX4" i="9"/>
  <c r="DAY4" i="9"/>
  <c r="DAZ4" i="9"/>
  <c r="DBA4" i="9"/>
  <c r="DBB4" i="9"/>
  <c r="DBC4" i="9"/>
  <c r="DBD4" i="9"/>
  <c r="DBE4" i="9"/>
  <c r="DBF4" i="9"/>
  <c r="DBG4" i="9"/>
  <c r="DBH4" i="9"/>
  <c r="DBI4" i="9"/>
  <c r="DBJ4" i="9"/>
  <c r="DBK4" i="9"/>
  <c r="DBL4" i="9"/>
  <c r="DBM4" i="9"/>
  <c r="DBN4" i="9"/>
  <c r="DBO4" i="9"/>
  <c r="DBP4" i="9"/>
  <c r="DBQ4" i="9"/>
  <c r="CYH4" i="9"/>
  <c r="CYI4" i="9"/>
  <c r="CYJ4" i="9"/>
  <c r="CYK4" i="9"/>
  <c r="CYL4" i="9"/>
  <c r="CYM4" i="9"/>
  <c r="CYN4" i="9"/>
  <c r="CYO4" i="9"/>
  <c r="CYP4" i="9"/>
  <c r="CYQ4" i="9"/>
  <c r="CYR4" i="9"/>
  <c r="CYS4" i="9"/>
  <c r="CYT4" i="9"/>
  <c r="CYU4" i="9"/>
  <c r="CYV4" i="9"/>
  <c r="CYW4" i="9"/>
  <c r="CYX4" i="9"/>
  <c r="CYY4" i="9"/>
  <c r="CYZ4" i="9"/>
  <c r="CZA4" i="9"/>
  <c r="CZB4" i="9"/>
  <c r="CZC4" i="9"/>
  <c r="CZD4" i="9"/>
  <c r="CZE4" i="9"/>
  <c r="CZF4" i="9"/>
  <c r="CZG4" i="9"/>
  <c r="CZH4" i="9"/>
  <c r="CZI4" i="9"/>
  <c r="CZJ4" i="9"/>
  <c r="CZK4" i="9"/>
  <c r="CZL4" i="9"/>
  <c r="CZM4" i="9"/>
  <c r="CZN4" i="9"/>
  <c r="CZO4" i="9"/>
  <c r="CZP4" i="9"/>
  <c r="CZQ4" i="9"/>
  <c r="CZR4" i="9"/>
  <c r="CZS4" i="9"/>
  <c r="CZT4" i="9"/>
  <c r="CZU4" i="9"/>
  <c r="CZV4" i="9"/>
  <c r="CZW4" i="9"/>
  <c r="CZX4" i="9"/>
  <c r="CZY4" i="9"/>
  <c r="CWP4" i="9"/>
  <c r="CWQ4" i="9"/>
  <c r="CWR4" i="9"/>
  <c r="CWS4" i="9"/>
  <c r="CWT4" i="9"/>
  <c r="CWU4" i="9"/>
  <c r="CWV4" i="9"/>
  <c r="CWW4" i="9"/>
  <c r="CWX4" i="9"/>
  <c r="CWY4" i="9"/>
  <c r="CWZ4" i="9"/>
  <c r="CXA4" i="9"/>
  <c r="CXB4" i="9"/>
  <c r="CXC4" i="9"/>
  <c r="CXD4" i="9"/>
  <c r="CXE4" i="9"/>
  <c r="CXF4" i="9"/>
  <c r="CXG4" i="9"/>
  <c r="CXH4" i="9"/>
  <c r="CXI4" i="9"/>
  <c r="CXJ4" i="9"/>
  <c r="CXK4" i="9"/>
  <c r="CXL4" i="9"/>
  <c r="CXM4" i="9"/>
  <c r="CXN4" i="9"/>
  <c r="CXO4" i="9"/>
  <c r="CXP4" i="9"/>
  <c r="CXQ4" i="9"/>
  <c r="CXR4" i="9"/>
  <c r="CXS4" i="9"/>
  <c r="CXT4" i="9"/>
  <c r="CXU4" i="9"/>
  <c r="CXV4" i="9"/>
  <c r="CXW4" i="9"/>
  <c r="CXX4" i="9"/>
  <c r="CXY4" i="9"/>
  <c r="CXZ4" i="9"/>
  <c r="CYA4" i="9"/>
  <c r="CYB4" i="9"/>
  <c r="CYC4" i="9"/>
  <c r="CYD4" i="9"/>
  <c r="CYE4" i="9"/>
  <c r="CYF4" i="9"/>
  <c r="CYG4" i="9"/>
  <c r="CUX4" i="9"/>
  <c r="CUY4" i="9"/>
  <c r="CUZ4" i="9"/>
  <c r="CVA4" i="9"/>
  <c r="CVB4" i="9"/>
  <c r="CVC4" i="9"/>
  <c r="CVD4" i="9"/>
  <c r="CVE4" i="9"/>
  <c r="CVF4" i="9"/>
  <c r="CVG4" i="9"/>
  <c r="CVH4" i="9"/>
  <c r="CVI4" i="9"/>
  <c r="CVJ4" i="9"/>
  <c r="CVK4" i="9"/>
  <c r="CVL4" i="9"/>
  <c r="CVM4" i="9"/>
  <c r="CVN4" i="9"/>
  <c r="CVO4" i="9"/>
  <c r="CVP4" i="9"/>
  <c r="CVQ4" i="9"/>
  <c r="CVR4" i="9"/>
  <c r="CVS4" i="9"/>
  <c r="CVT4" i="9"/>
  <c r="CVU4" i="9"/>
  <c r="CVV4" i="9"/>
  <c r="CVW4" i="9"/>
  <c r="CVX4" i="9"/>
  <c r="CVY4" i="9"/>
  <c r="CVZ4" i="9"/>
  <c r="CWA4" i="9"/>
  <c r="CWB4" i="9"/>
  <c r="CWC4" i="9"/>
  <c r="CWD4" i="9"/>
  <c r="CWE4" i="9"/>
  <c r="CWF4" i="9"/>
  <c r="CWG4" i="9"/>
  <c r="CWH4" i="9"/>
  <c r="CWI4" i="9"/>
  <c r="CWJ4" i="9"/>
  <c r="CWK4" i="9"/>
  <c r="CWL4" i="9"/>
  <c r="CWM4" i="9"/>
  <c r="CWN4" i="9"/>
  <c r="CWO4" i="9"/>
  <c r="CTF4" i="9"/>
  <c r="CTG4" i="9"/>
  <c r="CTH4" i="9"/>
  <c r="CTI4" i="9"/>
  <c r="CTJ4" i="9"/>
  <c r="CTK4" i="9"/>
  <c r="CTL4" i="9"/>
  <c r="CTM4" i="9"/>
  <c r="CTN4" i="9"/>
  <c r="CTO4" i="9"/>
  <c r="CTP4" i="9"/>
  <c r="CTQ4" i="9"/>
  <c r="CTR4" i="9"/>
  <c r="CTS4" i="9"/>
  <c r="CTT4" i="9"/>
  <c r="CTU4" i="9"/>
  <c r="CTV4" i="9"/>
  <c r="CTW4" i="9"/>
  <c r="CTX4" i="9"/>
  <c r="CTY4" i="9"/>
  <c r="CTZ4" i="9"/>
  <c r="CUA4" i="9"/>
  <c r="CUB4" i="9"/>
  <c r="CUC4" i="9"/>
  <c r="CUD4" i="9"/>
  <c r="CUE4" i="9"/>
  <c r="CUF4" i="9"/>
  <c r="CUG4" i="9"/>
  <c r="CUH4" i="9"/>
  <c r="CUI4" i="9"/>
  <c r="CUJ4" i="9"/>
  <c r="CUK4" i="9"/>
  <c r="CUL4" i="9"/>
  <c r="CUM4" i="9"/>
  <c r="CUN4" i="9"/>
  <c r="CUO4" i="9"/>
  <c r="CUP4" i="9"/>
  <c r="CUQ4" i="9"/>
  <c r="CUR4" i="9"/>
  <c r="CUS4" i="9"/>
  <c r="CUT4" i="9"/>
  <c r="CUU4" i="9"/>
  <c r="CUV4" i="9"/>
  <c r="CUW4" i="9"/>
  <c r="CRN4" i="9"/>
  <c r="CRO4" i="9"/>
  <c r="CRP4" i="9"/>
  <c r="CRQ4" i="9"/>
  <c r="CRR4" i="9"/>
  <c r="CRS4" i="9"/>
  <c r="CRT4" i="9"/>
  <c r="CRU4" i="9"/>
  <c r="CRV4" i="9"/>
  <c r="CRW4" i="9"/>
  <c r="CRX4" i="9"/>
  <c r="CRY4" i="9"/>
  <c r="CRZ4" i="9"/>
  <c r="CSA4" i="9"/>
  <c r="CSB4" i="9"/>
  <c r="CSC4" i="9"/>
  <c r="CSD4" i="9"/>
  <c r="CSE4" i="9"/>
  <c r="CSF4" i="9"/>
  <c r="CSG4" i="9"/>
  <c r="CSH4" i="9"/>
  <c r="CSI4" i="9"/>
  <c r="CSJ4" i="9"/>
  <c r="CSK4" i="9"/>
  <c r="CSL4" i="9"/>
  <c r="CSM4" i="9"/>
  <c r="CSN4" i="9"/>
  <c r="CSO4" i="9"/>
  <c r="CSP4" i="9"/>
  <c r="CSQ4" i="9"/>
  <c r="CSR4" i="9"/>
  <c r="CSS4" i="9"/>
  <c r="CST4" i="9"/>
  <c r="CSU4" i="9"/>
  <c r="CSV4" i="9"/>
  <c r="CSW4" i="9"/>
  <c r="CSX4" i="9"/>
  <c r="CSY4" i="9"/>
  <c r="CSZ4" i="9"/>
  <c r="CTA4" i="9"/>
  <c r="CTB4" i="9"/>
  <c r="CTC4" i="9"/>
  <c r="CTD4" i="9"/>
  <c r="CTE4" i="9"/>
  <c r="CPV4" i="9"/>
  <c r="CPW4" i="9"/>
  <c r="CPX4" i="9"/>
  <c r="CPY4" i="9"/>
  <c r="CPZ4" i="9"/>
  <c r="CQA4" i="9"/>
  <c r="CQB4" i="9"/>
  <c r="CQC4" i="9"/>
  <c r="CQD4" i="9"/>
  <c r="CQE4" i="9"/>
  <c r="CQF4" i="9"/>
  <c r="CQG4" i="9"/>
  <c r="CQH4" i="9"/>
  <c r="CQI4" i="9"/>
  <c r="CQJ4" i="9"/>
  <c r="CQK4" i="9"/>
  <c r="CQL4" i="9"/>
  <c r="CQM4" i="9"/>
  <c r="CQN4" i="9"/>
  <c r="CQO4" i="9"/>
  <c r="CQP4" i="9"/>
  <c r="CQQ4" i="9"/>
  <c r="CQR4" i="9"/>
  <c r="CQS4" i="9"/>
  <c r="CQT4" i="9"/>
  <c r="CQU4" i="9"/>
  <c r="CQV4" i="9"/>
  <c r="CQW4" i="9"/>
  <c r="CQX4" i="9"/>
  <c r="CQY4" i="9"/>
  <c r="CQZ4" i="9"/>
  <c r="CRA4" i="9"/>
  <c r="CRB4" i="9"/>
  <c r="CRC4" i="9"/>
  <c r="CRD4" i="9"/>
  <c r="CRE4" i="9"/>
  <c r="CRF4" i="9"/>
  <c r="CRG4" i="9"/>
  <c r="CRH4" i="9"/>
  <c r="CRI4" i="9"/>
  <c r="CRJ4" i="9"/>
  <c r="CRK4" i="9"/>
  <c r="CRL4" i="9"/>
  <c r="CRM4" i="9"/>
  <c r="COD4" i="9"/>
  <c r="COE4" i="9"/>
  <c r="COF4" i="9"/>
  <c r="COG4" i="9"/>
  <c r="COH4" i="9"/>
  <c r="COI4" i="9"/>
  <c r="COJ4" i="9"/>
  <c r="COK4" i="9"/>
  <c r="COL4" i="9"/>
  <c r="COM4" i="9"/>
  <c r="CON4" i="9"/>
  <c r="COO4" i="9"/>
  <c r="COP4" i="9"/>
  <c r="COQ4" i="9"/>
  <c r="COR4" i="9"/>
  <c r="COS4" i="9"/>
  <c r="COT4" i="9"/>
  <c r="COU4" i="9"/>
  <c r="COV4" i="9"/>
  <c r="COW4" i="9"/>
  <c r="COX4" i="9"/>
  <c r="COY4" i="9"/>
  <c r="COZ4" i="9"/>
  <c r="CPA4" i="9"/>
  <c r="CPB4" i="9"/>
  <c r="CPC4" i="9"/>
  <c r="CPD4" i="9"/>
  <c r="CPE4" i="9"/>
  <c r="CPF4" i="9"/>
  <c r="CPG4" i="9"/>
  <c r="CPH4" i="9"/>
  <c r="CPI4" i="9"/>
  <c r="CPJ4" i="9"/>
  <c r="CPK4" i="9"/>
  <c r="CPL4" i="9"/>
  <c r="CPM4" i="9"/>
  <c r="CPN4" i="9"/>
  <c r="CPO4" i="9"/>
  <c r="CPP4" i="9"/>
  <c r="CPQ4" i="9"/>
  <c r="CPR4" i="9"/>
  <c r="CPS4" i="9"/>
  <c r="CPT4" i="9"/>
  <c r="CPU4" i="9"/>
  <c r="CML4" i="9"/>
  <c r="CMM4" i="9"/>
  <c r="CMN4" i="9"/>
  <c r="CMO4" i="9"/>
  <c r="CMP4" i="9"/>
  <c r="CMQ4" i="9"/>
  <c r="CMR4" i="9"/>
  <c r="CMS4" i="9"/>
  <c r="CMT4" i="9"/>
  <c r="CMU4" i="9"/>
  <c r="CMV4" i="9"/>
  <c r="CMW4" i="9"/>
  <c r="CMX4" i="9"/>
  <c r="CMY4" i="9"/>
  <c r="CMZ4" i="9"/>
  <c r="CNA4" i="9"/>
  <c r="CNB4" i="9"/>
  <c r="CNC4" i="9"/>
  <c r="CND4" i="9"/>
  <c r="CNE4" i="9"/>
  <c r="CNF4" i="9"/>
  <c r="CNG4" i="9"/>
  <c r="CNH4" i="9"/>
  <c r="CNI4" i="9"/>
  <c r="CNJ4" i="9"/>
  <c r="CNK4" i="9"/>
  <c r="CNL4" i="9"/>
  <c r="CNM4" i="9"/>
  <c r="CNN4" i="9"/>
  <c r="CNO4" i="9"/>
  <c r="CNP4" i="9"/>
  <c r="CNQ4" i="9"/>
  <c r="CNR4" i="9"/>
  <c r="CNS4" i="9"/>
  <c r="CNT4" i="9"/>
  <c r="CNU4" i="9"/>
  <c r="CNV4" i="9"/>
  <c r="CNW4" i="9"/>
  <c r="CNX4" i="9"/>
  <c r="CNY4" i="9"/>
  <c r="CNZ4" i="9"/>
  <c r="COA4" i="9"/>
  <c r="COB4" i="9"/>
  <c r="COC4" i="9"/>
  <c r="CKT4" i="9"/>
  <c r="CKU4" i="9"/>
  <c r="CKV4" i="9"/>
  <c r="CKW4" i="9"/>
  <c r="CKX4" i="9"/>
  <c r="CKY4" i="9"/>
  <c r="CKZ4" i="9"/>
  <c r="CLA4" i="9"/>
  <c r="CLB4" i="9"/>
  <c r="CLC4" i="9"/>
  <c r="CLD4" i="9"/>
  <c r="CLE4" i="9"/>
  <c r="CLF4" i="9"/>
  <c r="CLG4" i="9"/>
  <c r="CLH4" i="9"/>
  <c r="CLI4" i="9"/>
  <c r="CLJ4" i="9"/>
  <c r="CLK4" i="9"/>
  <c r="CLL4" i="9"/>
  <c r="CLM4" i="9"/>
  <c r="CLN4" i="9"/>
  <c r="CLO4" i="9"/>
  <c r="CLP4" i="9"/>
  <c r="CLQ4" i="9"/>
  <c r="CLR4" i="9"/>
  <c r="CLS4" i="9"/>
  <c r="CLT4" i="9"/>
  <c r="CLU4" i="9"/>
  <c r="CLV4" i="9"/>
  <c r="CLW4" i="9"/>
  <c r="CLX4" i="9"/>
  <c r="CLY4" i="9"/>
  <c r="CLZ4" i="9"/>
  <c r="CMA4" i="9"/>
  <c r="CMB4" i="9"/>
  <c r="CMC4" i="9"/>
  <c r="CMD4" i="9"/>
  <c r="CME4" i="9"/>
  <c r="CMF4" i="9"/>
  <c r="CMG4" i="9"/>
  <c r="CMH4" i="9"/>
  <c r="CMI4" i="9"/>
  <c r="CMJ4" i="9"/>
  <c r="CMK4" i="9"/>
  <c r="CJB4" i="9"/>
  <c r="CJC4" i="9"/>
  <c r="CJD4" i="9"/>
  <c r="CJE4" i="9"/>
  <c r="CJF4" i="9"/>
  <c r="CJG4" i="9"/>
  <c r="CJH4" i="9"/>
  <c r="CJI4" i="9"/>
  <c r="CJJ4" i="9"/>
  <c r="CJK4" i="9"/>
  <c r="CJL4" i="9"/>
  <c r="CJM4" i="9"/>
  <c r="CJN4" i="9"/>
  <c r="CJO4" i="9"/>
  <c r="CJP4" i="9"/>
  <c r="CJQ4" i="9"/>
  <c r="CJR4" i="9"/>
  <c r="CJS4" i="9"/>
  <c r="CJT4" i="9"/>
  <c r="CJU4" i="9"/>
  <c r="CJV4" i="9"/>
  <c r="CJW4" i="9"/>
  <c r="CJX4" i="9"/>
  <c r="CJY4" i="9"/>
  <c r="CJZ4" i="9"/>
  <c r="CKA4" i="9"/>
  <c r="CKB4" i="9"/>
  <c r="CKC4" i="9"/>
  <c r="CKD4" i="9"/>
  <c r="CKE4" i="9"/>
  <c r="CKF4" i="9"/>
  <c r="CKG4" i="9"/>
  <c r="CKH4" i="9"/>
  <c r="CKI4" i="9"/>
  <c r="CKJ4" i="9"/>
  <c r="CKK4" i="9"/>
  <c r="CKL4" i="9"/>
  <c r="CKM4" i="9"/>
  <c r="CKN4" i="9"/>
  <c r="CKO4" i="9"/>
  <c r="CKP4" i="9"/>
  <c r="CKQ4" i="9"/>
  <c r="CKR4" i="9"/>
  <c r="CKS4" i="9"/>
  <c r="CHJ4" i="9"/>
  <c r="CHK4" i="9"/>
  <c r="CHL4" i="9"/>
  <c r="CHM4" i="9"/>
  <c r="CHN4" i="9"/>
  <c r="CHO4" i="9"/>
  <c r="CHP4" i="9"/>
  <c r="CHQ4" i="9"/>
  <c r="CHR4" i="9"/>
  <c r="CHS4" i="9"/>
  <c r="CHT4" i="9"/>
  <c r="CHU4" i="9"/>
  <c r="CHV4" i="9"/>
  <c r="CHW4" i="9"/>
  <c r="CHX4" i="9"/>
  <c r="CHY4" i="9"/>
  <c r="CHZ4" i="9"/>
  <c r="CIA4" i="9"/>
  <c r="CIB4" i="9"/>
  <c r="CIC4" i="9"/>
  <c r="CID4" i="9"/>
  <c r="CIE4" i="9"/>
  <c r="CIF4" i="9"/>
  <c r="CIG4" i="9"/>
  <c r="CIH4" i="9"/>
  <c r="CII4" i="9"/>
  <c r="CIJ4" i="9"/>
  <c r="CIK4" i="9"/>
  <c r="CIL4" i="9"/>
  <c r="CIM4" i="9"/>
  <c r="CIN4" i="9"/>
  <c r="CIO4" i="9"/>
  <c r="CIP4" i="9"/>
  <c r="CIQ4" i="9"/>
  <c r="CIR4" i="9"/>
  <c r="CIS4" i="9"/>
  <c r="CIT4" i="9"/>
  <c r="CIU4" i="9"/>
  <c r="CIV4" i="9"/>
  <c r="CIW4" i="9"/>
  <c r="CIX4" i="9"/>
  <c r="CIY4" i="9"/>
  <c r="CIZ4" i="9"/>
  <c r="CJA4" i="9"/>
  <c r="CFR4" i="9"/>
  <c r="CFS4" i="9"/>
  <c r="CFT4" i="9"/>
  <c r="CFU4" i="9"/>
  <c r="CFV4" i="9"/>
  <c r="CFW4" i="9"/>
  <c r="CFX4" i="9"/>
  <c r="CFY4" i="9"/>
  <c r="CFZ4" i="9"/>
  <c r="CGA4" i="9"/>
  <c r="CGB4" i="9"/>
  <c r="CGC4" i="9"/>
  <c r="CGD4" i="9"/>
  <c r="CGE4" i="9"/>
  <c r="CGF4" i="9"/>
  <c r="CGG4" i="9"/>
  <c r="CGH4" i="9"/>
  <c r="CGI4" i="9"/>
  <c r="CGJ4" i="9"/>
  <c r="CGK4" i="9"/>
  <c r="CGL4" i="9"/>
  <c r="CGM4" i="9"/>
  <c r="CGN4" i="9"/>
  <c r="CGO4" i="9"/>
  <c r="CGP4" i="9"/>
  <c r="CGQ4" i="9"/>
  <c r="CGR4" i="9"/>
  <c r="CGS4" i="9"/>
  <c r="CGT4" i="9"/>
  <c r="CGU4" i="9"/>
  <c r="CGV4" i="9"/>
  <c r="CGW4" i="9"/>
  <c r="CGX4" i="9"/>
  <c r="CGY4" i="9"/>
  <c r="CGZ4" i="9"/>
  <c r="CHA4" i="9"/>
  <c r="CHB4" i="9"/>
  <c r="CHC4" i="9"/>
  <c r="CHD4" i="9"/>
  <c r="CHE4" i="9"/>
  <c r="CHF4" i="9"/>
  <c r="CHG4" i="9"/>
  <c r="CHH4" i="9"/>
  <c r="CHI4" i="9"/>
  <c r="CDZ4" i="9"/>
  <c r="CEA4" i="9"/>
  <c r="CEB4" i="9"/>
  <c r="CEC4" i="9"/>
  <c r="CED4" i="9"/>
  <c r="CEE4" i="9"/>
  <c r="CEF4" i="9"/>
  <c r="CEG4" i="9"/>
  <c r="CEH4" i="9"/>
  <c r="CEI4" i="9"/>
  <c r="CEJ4" i="9"/>
  <c r="CEK4" i="9"/>
  <c r="CEL4" i="9"/>
  <c r="CEM4" i="9"/>
  <c r="CEN4" i="9"/>
  <c r="CEO4" i="9"/>
  <c r="CEP4" i="9"/>
  <c r="CEQ4" i="9"/>
  <c r="CER4" i="9"/>
  <c r="CES4" i="9"/>
  <c r="CET4" i="9"/>
  <c r="CEU4" i="9"/>
  <c r="CEV4" i="9"/>
  <c r="CEW4" i="9"/>
  <c r="CEX4" i="9"/>
  <c r="CEY4" i="9"/>
  <c r="CEZ4" i="9"/>
  <c r="CFA4" i="9"/>
  <c r="CFB4" i="9"/>
  <c r="CFC4" i="9"/>
  <c r="CFD4" i="9"/>
  <c r="CFE4" i="9"/>
  <c r="CFF4" i="9"/>
  <c r="CFG4" i="9"/>
  <c r="CFH4" i="9"/>
  <c r="CFI4" i="9"/>
  <c r="CFJ4" i="9"/>
  <c r="CFK4" i="9"/>
  <c r="CFL4" i="9"/>
  <c r="CFM4" i="9"/>
  <c r="CFN4" i="9"/>
  <c r="CFO4" i="9"/>
  <c r="CFP4" i="9"/>
  <c r="CFQ4" i="9"/>
  <c r="CCH4" i="9"/>
  <c r="CCI4" i="9"/>
  <c r="CCJ4" i="9"/>
  <c r="CCK4" i="9"/>
  <c r="CCL4" i="9"/>
  <c r="CCM4" i="9"/>
  <c r="CCN4" i="9"/>
  <c r="CCO4" i="9"/>
  <c r="CCP4" i="9"/>
  <c r="CCQ4" i="9"/>
  <c r="CCR4" i="9"/>
  <c r="CCS4" i="9"/>
  <c r="CCT4" i="9"/>
  <c r="CCU4" i="9"/>
  <c r="CCV4" i="9"/>
  <c r="CCW4" i="9"/>
  <c r="CCX4" i="9"/>
  <c r="CCY4" i="9"/>
  <c r="CCZ4" i="9"/>
  <c r="CDA4" i="9"/>
  <c r="CDB4" i="9"/>
  <c r="CDC4" i="9"/>
  <c r="CDD4" i="9"/>
  <c r="CDE4" i="9"/>
  <c r="CDF4" i="9"/>
  <c r="CDG4" i="9"/>
  <c r="CDH4" i="9"/>
  <c r="CDI4" i="9"/>
  <c r="CDJ4" i="9"/>
  <c r="CDK4" i="9"/>
  <c r="CDL4" i="9"/>
  <c r="CDM4" i="9"/>
  <c r="CDN4" i="9"/>
  <c r="CDO4" i="9"/>
  <c r="CDP4" i="9"/>
  <c r="CDQ4" i="9"/>
  <c r="CDR4" i="9"/>
  <c r="CDS4" i="9"/>
  <c r="CDT4" i="9"/>
  <c r="CDU4" i="9"/>
  <c r="CDV4" i="9"/>
  <c r="CDW4" i="9"/>
  <c r="CDX4" i="9"/>
  <c r="CDY4" i="9"/>
  <c r="CAP4" i="9"/>
  <c r="CAQ4" i="9"/>
  <c r="CAR4" i="9"/>
  <c r="CAS4" i="9"/>
  <c r="CAT4" i="9"/>
  <c r="CAU4" i="9"/>
  <c r="CAV4" i="9"/>
  <c r="CAW4" i="9"/>
  <c r="CAX4" i="9"/>
  <c r="CAY4" i="9"/>
  <c r="CAZ4" i="9"/>
  <c r="CBA4" i="9"/>
  <c r="CBB4" i="9"/>
  <c r="CBC4" i="9"/>
  <c r="CBD4" i="9"/>
  <c r="CBE4" i="9"/>
  <c r="CBF4" i="9"/>
  <c r="CBG4" i="9"/>
  <c r="CBH4" i="9"/>
  <c r="CBI4" i="9"/>
  <c r="CBJ4" i="9"/>
  <c r="CBK4" i="9"/>
  <c r="CBL4" i="9"/>
  <c r="CBM4" i="9"/>
  <c r="CBN4" i="9"/>
  <c r="CBO4" i="9"/>
  <c r="CBP4" i="9"/>
  <c r="CBQ4" i="9"/>
  <c r="CBR4" i="9"/>
  <c r="CBS4" i="9"/>
  <c r="CBT4" i="9"/>
  <c r="CBU4" i="9"/>
  <c r="CBV4" i="9"/>
  <c r="CBW4" i="9"/>
  <c r="CBX4" i="9"/>
  <c r="CBY4" i="9"/>
  <c r="CBZ4" i="9"/>
  <c r="CCA4" i="9"/>
  <c r="CCB4" i="9"/>
  <c r="CCC4" i="9"/>
  <c r="CCD4" i="9"/>
  <c r="CCE4" i="9"/>
  <c r="CCF4" i="9"/>
  <c r="CCG4" i="9"/>
  <c r="BYX4" i="9"/>
  <c r="BYY4" i="9"/>
  <c r="BYZ4" i="9"/>
  <c r="BZA4" i="9"/>
  <c r="BZB4" i="9"/>
  <c r="BZC4" i="9"/>
  <c r="BZD4" i="9"/>
  <c r="BZE4" i="9"/>
  <c r="BZF4" i="9"/>
  <c r="BZG4" i="9"/>
  <c r="BZH4" i="9"/>
  <c r="BZI4" i="9"/>
  <c r="BZJ4" i="9"/>
  <c r="BZK4" i="9"/>
  <c r="BZL4" i="9"/>
  <c r="BZM4" i="9"/>
  <c r="BZN4" i="9"/>
  <c r="BZO4" i="9"/>
  <c r="BZP4" i="9"/>
  <c r="BZQ4" i="9"/>
  <c r="BZR4" i="9"/>
  <c r="BZS4" i="9"/>
  <c r="BZT4" i="9"/>
  <c r="BZU4" i="9"/>
  <c r="BZV4" i="9"/>
  <c r="BZW4" i="9"/>
  <c r="BZX4" i="9"/>
  <c r="BZY4" i="9"/>
  <c r="BZZ4" i="9"/>
  <c r="CAA4" i="9"/>
  <c r="CAB4" i="9"/>
  <c r="CAC4" i="9"/>
  <c r="CAD4" i="9"/>
  <c r="CAE4" i="9"/>
  <c r="CAF4" i="9"/>
  <c r="CAG4" i="9"/>
  <c r="CAH4" i="9"/>
  <c r="CAI4" i="9"/>
  <c r="CAJ4" i="9"/>
  <c r="CAK4" i="9"/>
  <c r="CAL4" i="9"/>
  <c r="CAM4" i="9"/>
  <c r="CAN4" i="9"/>
  <c r="CAO4" i="9"/>
  <c r="BXF4" i="9"/>
  <c r="BXG4" i="9"/>
  <c r="BXH4" i="9"/>
  <c r="BXI4" i="9"/>
  <c r="BXJ4" i="9"/>
  <c r="BXK4" i="9"/>
  <c r="BXL4" i="9"/>
  <c r="BXM4" i="9"/>
  <c r="BXN4" i="9"/>
  <c r="BXO4" i="9"/>
  <c r="BXP4" i="9"/>
  <c r="BXQ4" i="9"/>
  <c r="BXR4" i="9"/>
  <c r="BXS4" i="9"/>
  <c r="BXT4" i="9"/>
  <c r="BXU4" i="9"/>
  <c r="BXV4" i="9"/>
  <c r="BXW4" i="9"/>
  <c r="BXX4" i="9"/>
  <c r="BXY4" i="9"/>
  <c r="BXZ4" i="9"/>
  <c r="BYA4" i="9"/>
  <c r="BYB4" i="9"/>
  <c r="BYC4" i="9"/>
  <c r="BYD4" i="9"/>
  <c r="BYE4" i="9"/>
  <c r="BYF4" i="9"/>
  <c r="BYG4" i="9"/>
  <c r="BYH4" i="9"/>
  <c r="BYI4" i="9"/>
  <c r="BYJ4" i="9"/>
  <c r="BYK4" i="9"/>
  <c r="BYL4" i="9"/>
  <c r="BYM4" i="9"/>
  <c r="BYN4" i="9"/>
  <c r="BYO4" i="9"/>
  <c r="BYP4" i="9"/>
  <c r="BYQ4" i="9"/>
  <c r="BYR4" i="9"/>
  <c r="BYS4" i="9"/>
  <c r="BYT4" i="9"/>
  <c r="BYU4" i="9"/>
  <c r="BYV4" i="9"/>
  <c r="BYW4" i="9"/>
  <c r="BVN4" i="9"/>
  <c r="BVO4" i="9"/>
  <c r="BVP4" i="9"/>
  <c r="BVQ4" i="9"/>
  <c r="BVR4" i="9"/>
  <c r="BVS4" i="9"/>
  <c r="BVT4" i="9"/>
  <c r="BVU4" i="9"/>
  <c r="BVV4" i="9"/>
  <c r="BVW4" i="9"/>
  <c r="BVX4" i="9"/>
  <c r="BVY4" i="9"/>
  <c r="BVZ4" i="9"/>
  <c r="BWA4" i="9"/>
  <c r="BWB4" i="9"/>
  <c r="BWC4" i="9"/>
  <c r="BWD4" i="9"/>
  <c r="BWE4" i="9"/>
  <c r="BWF4" i="9"/>
  <c r="BWG4" i="9"/>
  <c r="BWH4" i="9"/>
  <c r="BWI4" i="9"/>
  <c r="BWJ4" i="9"/>
  <c r="BWK4" i="9"/>
  <c r="BWL4" i="9"/>
  <c r="BWM4" i="9"/>
  <c r="BWN4" i="9"/>
  <c r="BWO4" i="9"/>
  <c r="BWP4" i="9"/>
  <c r="BWQ4" i="9"/>
  <c r="BWR4" i="9"/>
  <c r="BWS4" i="9"/>
  <c r="BWT4" i="9"/>
  <c r="BWU4" i="9"/>
  <c r="BWV4" i="9"/>
  <c r="BWW4" i="9"/>
  <c r="BWX4" i="9"/>
  <c r="BWY4" i="9"/>
  <c r="BWZ4" i="9"/>
  <c r="BXA4" i="9"/>
  <c r="BXB4" i="9"/>
  <c r="BXC4" i="9"/>
  <c r="BXD4" i="9"/>
  <c r="BXE4" i="9"/>
  <c r="BTV4" i="9"/>
  <c r="BTW4" i="9"/>
  <c r="BTX4" i="9"/>
  <c r="BTY4" i="9"/>
  <c r="BTZ4" i="9"/>
  <c r="BUA4" i="9"/>
  <c r="BUB4" i="9"/>
  <c r="BUC4" i="9"/>
  <c r="BUD4" i="9"/>
  <c r="BUE4" i="9"/>
  <c r="BUF4" i="9"/>
  <c r="BUG4" i="9"/>
  <c r="BUH4" i="9"/>
  <c r="BUI4" i="9"/>
  <c r="BUJ4" i="9"/>
  <c r="BUK4" i="9"/>
  <c r="BUL4" i="9"/>
  <c r="BUM4" i="9"/>
  <c r="BUN4" i="9"/>
  <c r="BUO4" i="9"/>
  <c r="BUP4" i="9"/>
  <c r="BUQ4" i="9"/>
  <c r="BUR4" i="9"/>
  <c r="BUS4" i="9"/>
  <c r="BUT4" i="9"/>
  <c r="BUU4" i="9"/>
  <c r="BUV4" i="9"/>
  <c r="BUW4" i="9"/>
  <c r="BUX4" i="9"/>
  <c r="BUY4" i="9"/>
  <c r="BUZ4" i="9"/>
  <c r="BVA4" i="9"/>
  <c r="BVB4" i="9"/>
  <c r="BVC4" i="9"/>
  <c r="BVD4" i="9"/>
  <c r="BVE4" i="9"/>
  <c r="BVF4" i="9"/>
  <c r="BVG4" i="9"/>
  <c r="BVH4" i="9"/>
  <c r="BVI4" i="9"/>
  <c r="BVJ4" i="9"/>
  <c r="BVK4" i="9"/>
  <c r="BVL4" i="9"/>
  <c r="BVM4" i="9"/>
  <c r="BSD4" i="9"/>
  <c r="BSE4" i="9"/>
  <c r="BSF4" i="9"/>
  <c r="BSG4" i="9"/>
  <c r="BSH4" i="9"/>
  <c r="BSI4" i="9"/>
  <c r="BSJ4" i="9"/>
  <c r="BSK4" i="9"/>
  <c r="BSL4" i="9"/>
  <c r="BSM4" i="9"/>
  <c r="BSN4" i="9"/>
  <c r="BSO4" i="9"/>
  <c r="BSP4" i="9"/>
  <c r="BSQ4" i="9"/>
  <c r="BSR4" i="9"/>
  <c r="BSS4" i="9"/>
  <c r="BST4" i="9"/>
  <c r="BSU4" i="9"/>
  <c r="BSV4" i="9"/>
  <c r="BSW4" i="9"/>
  <c r="BSX4" i="9"/>
  <c r="BSY4" i="9"/>
  <c r="BSZ4" i="9"/>
  <c r="BTA4" i="9"/>
  <c r="BTB4" i="9"/>
  <c r="BTC4" i="9"/>
  <c r="BTD4" i="9"/>
  <c r="BTE4" i="9"/>
  <c r="BTF4" i="9"/>
  <c r="BTG4" i="9"/>
  <c r="BTH4" i="9"/>
  <c r="BTI4" i="9"/>
  <c r="BTJ4" i="9"/>
  <c r="BTK4" i="9"/>
  <c r="BTL4" i="9"/>
  <c r="BTM4" i="9"/>
  <c r="BTN4" i="9"/>
  <c r="BTO4" i="9"/>
  <c r="BTP4" i="9"/>
  <c r="BTQ4" i="9"/>
  <c r="BTR4" i="9"/>
  <c r="BTS4" i="9"/>
  <c r="BTT4" i="9"/>
  <c r="BTU4" i="9"/>
  <c r="BQL4" i="9"/>
  <c r="BQM4" i="9"/>
  <c r="BQN4" i="9"/>
  <c r="BQO4" i="9"/>
  <c r="BQP4" i="9"/>
  <c r="BQQ4" i="9"/>
  <c r="BQR4" i="9"/>
  <c r="BQS4" i="9"/>
  <c r="BQT4" i="9"/>
  <c r="BQU4" i="9"/>
  <c r="BQV4" i="9"/>
  <c r="BQW4" i="9"/>
  <c r="BQX4" i="9"/>
  <c r="BQY4" i="9"/>
  <c r="BQZ4" i="9"/>
  <c r="BRA4" i="9"/>
  <c r="BRB4" i="9"/>
  <c r="BRC4" i="9"/>
  <c r="BRD4" i="9"/>
  <c r="BRE4" i="9"/>
  <c r="BRF4" i="9"/>
  <c r="BRG4" i="9"/>
  <c r="BRH4" i="9"/>
  <c r="BRI4" i="9"/>
  <c r="BRJ4" i="9"/>
  <c r="BRK4" i="9"/>
  <c r="BRL4" i="9"/>
  <c r="BRM4" i="9"/>
  <c r="BRN4" i="9"/>
  <c r="BRO4" i="9"/>
  <c r="BRP4" i="9"/>
  <c r="BRQ4" i="9"/>
  <c r="BRR4" i="9"/>
  <c r="BRS4" i="9"/>
  <c r="BRT4" i="9"/>
  <c r="BRU4" i="9"/>
  <c r="BRV4" i="9"/>
  <c r="BRW4" i="9"/>
  <c r="BRX4" i="9"/>
  <c r="BRY4" i="9"/>
  <c r="BRZ4" i="9"/>
  <c r="BSA4" i="9"/>
  <c r="BSB4" i="9"/>
  <c r="BSC4" i="9"/>
  <c r="BOT4" i="9"/>
  <c r="BOU4" i="9"/>
  <c r="BOV4" i="9"/>
  <c r="BOW4" i="9"/>
  <c r="BOX4" i="9"/>
  <c r="BOY4" i="9"/>
  <c r="BOZ4" i="9"/>
  <c r="BPA4" i="9"/>
  <c r="BPB4" i="9"/>
  <c r="BPC4" i="9"/>
  <c r="BPD4" i="9"/>
  <c r="BPE4" i="9"/>
  <c r="BPF4" i="9"/>
  <c r="BPG4" i="9"/>
  <c r="BPH4" i="9"/>
  <c r="BPI4" i="9"/>
  <c r="BPJ4" i="9"/>
  <c r="BPK4" i="9"/>
  <c r="BPL4" i="9"/>
  <c r="BPM4" i="9"/>
  <c r="BPN4" i="9"/>
  <c r="BPO4" i="9"/>
  <c r="BPP4" i="9"/>
  <c r="BPQ4" i="9"/>
  <c r="BPR4" i="9"/>
  <c r="BPS4" i="9"/>
  <c r="BPT4" i="9"/>
  <c r="BPU4" i="9"/>
  <c r="BPV4" i="9"/>
  <c r="BPW4" i="9"/>
  <c r="BPX4" i="9"/>
  <c r="BPY4" i="9"/>
  <c r="BPZ4" i="9"/>
  <c r="BQA4" i="9"/>
  <c r="BQB4" i="9"/>
  <c r="BQC4" i="9"/>
  <c r="BQD4" i="9"/>
  <c r="BQE4" i="9"/>
  <c r="BQF4" i="9"/>
  <c r="BQG4" i="9"/>
  <c r="BQH4" i="9"/>
  <c r="BQI4" i="9"/>
  <c r="BQJ4" i="9"/>
  <c r="BQK4" i="9"/>
  <c r="BNB4" i="9"/>
  <c r="BNC4" i="9"/>
  <c r="BND4" i="9"/>
  <c r="BNE4" i="9"/>
  <c r="BNF4" i="9"/>
  <c r="BNG4" i="9"/>
  <c r="BNH4" i="9"/>
  <c r="BNI4" i="9"/>
  <c r="BNJ4" i="9"/>
  <c r="BNK4" i="9"/>
  <c r="BNL4" i="9"/>
  <c r="BNM4" i="9"/>
  <c r="BNN4" i="9"/>
  <c r="BNO4" i="9"/>
  <c r="BNP4" i="9"/>
  <c r="BNQ4" i="9"/>
  <c r="BNR4" i="9"/>
  <c r="BNS4" i="9"/>
  <c r="BNT4" i="9"/>
  <c r="BNU4" i="9"/>
  <c r="BNV4" i="9"/>
  <c r="BNW4" i="9"/>
  <c r="BNX4" i="9"/>
  <c r="BNY4" i="9"/>
  <c r="BNZ4" i="9"/>
  <c r="BOA4" i="9"/>
  <c r="BOB4" i="9"/>
  <c r="BOC4" i="9"/>
  <c r="BOD4" i="9"/>
  <c r="BOE4" i="9"/>
  <c r="BOF4" i="9"/>
  <c r="BOG4" i="9"/>
  <c r="BOH4" i="9"/>
  <c r="BOI4" i="9"/>
  <c r="BOJ4" i="9"/>
  <c r="BOK4" i="9"/>
  <c r="BOL4" i="9"/>
  <c r="BOM4" i="9"/>
  <c r="BON4" i="9"/>
  <c r="BOO4" i="9"/>
  <c r="BOP4" i="9"/>
  <c r="BOQ4" i="9"/>
  <c r="BOR4" i="9"/>
  <c r="BOS4" i="9"/>
  <c r="BLJ4" i="9"/>
  <c r="BLK4" i="9"/>
  <c r="BLL4" i="9"/>
  <c r="BLM4" i="9"/>
  <c r="BLN4" i="9"/>
  <c r="BLO4" i="9"/>
  <c r="BLP4" i="9"/>
  <c r="BLQ4" i="9"/>
  <c r="BLR4" i="9"/>
  <c r="BLS4" i="9"/>
  <c r="BLT4" i="9"/>
  <c r="BLU4" i="9"/>
  <c r="BLV4" i="9"/>
  <c r="BLW4" i="9"/>
  <c r="BLX4" i="9"/>
  <c r="BLY4" i="9"/>
  <c r="BLZ4" i="9"/>
  <c r="BMA4" i="9"/>
  <c r="BMB4" i="9"/>
  <c r="BMC4" i="9"/>
  <c r="BMD4" i="9"/>
  <c r="BME4" i="9"/>
  <c r="BMF4" i="9"/>
  <c r="BMG4" i="9"/>
  <c r="BMH4" i="9"/>
  <c r="BMI4" i="9"/>
  <c r="BMJ4" i="9"/>
  <c r="BMK4" i="9"/>
  <c r="BML4" i="9"/>
  <c r="BMM4" i="9"/>
  <c r="BMN4" i="9"/>
  <c r="BMO4" i="9"/>
  <c r="BMP4" i="9"/>
  <c r="BMQ4" i="9"/>
  <c r="BMR4" i="9"/>
  <c r="BMS4" i="9"/>
  <c r="BMT4" i="9"/>
  <c r="BMU4" i="9"/>
  <c r="BMV4" i="9"/>
  <c r="BMW4" i="9"/>
  <c r="BMX4" i="9"/>
  <c r="BMY4" i="9"/>
  <c r="BMZ4" i="9"/>
  <c r="BNA4" i="9"/>
  <c r="BJR4" i="9"/>
  <c r="BJS4" i="9"/>
  <c r="BJT4" i="9"/>
  <c r="BJU4" i="9"/>
  <c r="BJV4" i="9"/>
  <c r="BJW4" i="9"/>
  <c r="BJX4" i="9"/>
  <c r="BJY4" i="9"/>
  <c r="BJZ4" i="9"/>
  <c r="BKA4" i="9"/>
  <c r="BKB4" i="9"/>
  <c r="BKC4" i="9"/>
  <c r="BKD4" i="9"/>
  <c r="BKE4" i="9"/>
  <c r="BKF4" i="9"/>
  <c r="BKG4" i="9"/>
  <c r="BKH4" i="9"/>
  <c r="BKI4" i="9"/>
  <c r="BKJ4" i="9"/>
  <c r="BKK4" i="9"/>
  <c r="BKL4" i="9"/>
  <c r="BKM4" i="9"/>
  <c r="BKN4" i="9"/>
  <c r="BKO4" i="9"/>
  <c r="BKP4" i="9"/>
  <c r="BKQ4" i="9"/>
  <c r="BKR4" i="9"/>
  <c r="BKS4" i="9"/>
  <c r="BKT4" i="9"/>
  <c r="BKU4" i="9"/>
  <c r="BKV4" i="9"/>
  <c r="BKW4" i="9"/>
  <c r="BKX4" i="9"/>
  <c r="BKY4" i="9"/>
  <c r="BKZ4" i="9"/>
  <c r="BLA4" i="9"/>
  <c r="BLB4" i="9"/>
  <c r="BLC4" i="9"/>
  <c r="BLD4" i="9"/>
  <c r="BLE4" i="9"/>
  <c r="BLF4" i="9"/>
  <c r="BLG4" i="9"/>
  <c r="BLH4" i="9"/>
  <c r="BLI4" i="9"/>
  <c r="BHZ4" i="9"/>
  <c r="BIA4" i="9"/>
  <c r="BIB4" i="9"/>
  <c r="BIC4" i="9"/>
  <c r="BID4" i="9"/>
  <c r="BIE4" i="9"/>
  <c r="BIF4" i="9"/>
  <c r="BIG4" i="9"/>
  <c r="BIH4" i="9"/>
  <c r="BII4" i="9"/>
  <c r="BIJ4" i="9"/>
  <c r="BIK4" i="9"/>
  <c r="BIL4" i="9"/>
  <c r="BIM4" i="9"/>
  <c r="BIN4" i="9"/>
  <c r="BIO4" i="9"/>
  <c r="BIP4" i="9"/>
  <c r="BIQ4" i="9"/>
  <c r="BIR4" i="9"/>
  <c r="BIS4" i="9"/>
  <c r="BIT4" i="9"/>
  <c r="BIU4" i="9"/>
  <c r="BIV4" i="9"/>
  <c r="BIW4" i="9"/>
  <c r="BIX4" i="9"/>
  <c r="BIY4" i="9"/>
  <c r="BIZ4" i="9"/>
  <c r="BJA4" i="9"/>
  <c r="BJB4" i="9"/>
  <c r="BJC4" i="9"/>
  <c r="BJD4" i="9"/>
  <c r="BJE4" i="9"/>
  <c r="BJF4" i="9"/>
  <c r="BJG4" i="9"/>
  <c r="BJH4" i="9"/>
  <c r="BJI4" i="9"/>
  <c r="BJJ4" i="9"/>
  <c r="BJK4" i="9"/>
  <c r="BJL4" i="9"/>
  <c r="BJM4" i="9"/>
  <c r="BJN4" i="9"/>
  <c r="BJO4" i="9"/>
  <c r="BJP4" i="9"/>
  <c r="BJQ4" i="9"/>
  <c r="BGH4" i="9"/>
  <c r="BGI4" i="9"/>
  <c r="BGJ4" i="9"/>
  <c r="BGK4" i="9"/>
  <c r="BGL4" i="9"/>
  <c r="BGM4" i="9"/>
  <c r="BGN4" i="9"/>
  <c r="BGO4" i="9"/>
  <c r="BGP4" i="9"/>
  <c r="BGQ4" i="9"/>
  <c r="BGR4" i="9"/>
  <c r="BGS4" i="9"/>
  <c r="BGT4" i="9"/>
  <c r="BGU4" i="9"/>
  <c r="BGV4" i="9"/>
  <c r="BGW4" i="9"/>
  <c r="BGX4" i="9"/>
  <c r="BGY4" i="9"/>
  <c r="BGZ4" i="9"/>
  <c r="BHA4" i="9"/>
  <c r="BHB4" i="9"/>
  <c r="BHC4" i="9"/>
  <c r="BHD4" i="9"/>
  <c r="BHE4" i="9"/>
  <c r="BHF4" i="9"/>
  <c r="BHG4" i="9"/>
  <c r="BHH4" i="9"/>
  <c r="BHI4" i="9"/>
  <c r="BHJ4" i="9"/>
  <c r="BHK4" i="9"/>
  <c r="BHL4" i="9"/>
  <c r="BHM4" i="9"/>
  <c r="BHN4" i="9"/>
  <c r="BHO4" i="9"/>
  <c r="BHP4" i="9"/>
  <c r="BHQ4" i="9"/>
  <c r="BHR4" i="9"/>
  <c r="BHS4" i="9"/>
  <c r="BHT4" i="9"/>
  <c r="BHU4" i="9"/>
  <c r="BHV4" i="9"/>
  <c r="BHW4" i="9"/>
  <c r="BHX4" i="9"/>
  <c r="BHY4" i="9"/>
  <c r="BEP4" i="9"/>
  <c r="BEQ4" i="9"/>
  <c r="BER4" i="9"/>
  <c r="BES4" i="9"/>
  <c r="BET4" i="9"/>
  <c r="BEU4" i="9"/>
  <c r="BEV4" i="9"/>
  <c r="BEW4" i="9"/>
  <c r="BEX4" i="9"/>
  <c r="BEY4" i="9"/>
  <c r="BEZ4" i="9"/>
  <c r="BFA4" i="9"/>
  <c r="BFB4" i="9"/>
  <c r="BFC4" i="9"/>
  <c r="BFD4" i="9"/>
  <c r="BFE4" i="9"/>
  <c r="BFF4" i="9"/>
  <c r="BFG4" i="9"/>
  <c r="BFH4" i="9"/>
  <c r="BFI4" i="9"/>
  <c r="BFJ4" i="9"/>
  <c r="BFK4" i="9"/>
  <c r="BFL4" i="9"/>
  <c r="BFM4" i="9"/>
  <c r="BFN4" i="9"/>
  <c r="BFO4" i="9"/>
  <c r="BFP4" i="9"/>
  <c r="BFQ4" i="9"/>
  <c r="BFR4" i="9"/>
  <c r="BFS4" i="9"/>
  <c r="BFT4" i="9"/>
  <c r="BFU4" i="9"/>
  <c r="BFV4" i="9"/>
  <c r="BFW4" i="9"/>
  <c r="BFX4" i="9"/>
  <c r="BFY4" i="9"/>
  <c r="BFZ4" i="9"/>
  <c r="BGA4" i="9"/>
  <c r="BGB4" i="9"/>
  <c r="BGC4" i="9"/>
  <c r="BGD4" i="9"/>
  <c r="BGE4" i="9"/>
  <c r="BGF4" i="9"/>
  <c r="BGG4" i="9"/>
  <c r="BCX4" i="9"/>
  <c r="BCY4" i="9"/>
  <c r="BCZ4" i="9"/>
  <c r="BDA4" i="9"/>
  <c r="BDB4" i="9"/>
  <c r="BDC4" i="9"/>
  <c r="BDD4" i="9"/>
  <c r="BDE4" i="9"/>
  <c r="BDF4" i="9"/>
  <c r="BDG4" i="9"/>
  <c r="BDH4" i="9"/>
  <c r="BDI4" i="9"/>
  <c r="BDJ4" i="9"/>
  <c r="BDK4" i="9"/>
  <c r="BDL4" i="9"/>
  <c r="BDM4" i="9"/>
  <c r="BDN4" i="9"/>
  <c r="BDO4" i="9"/>
  <c r="BDP4" i="9"/>
  <c r="BDQ4" i="9"/>
  <c r="BDR4" i="9"/>
  <c r="BDS4" i="9"/>
  <c r="BDT4" i="9"/>
  <c r="BDU4" i="9"/>
  <c r="BDV4" i="9"/>
  <c r="BDW4" i="9"/>
  <c r="BDX4" i="9"/>
  <c r="BDY4" i="9"/>
  <c r="BDZ4" i="9"/>
  <c r="BEA4" i="9"/>
  <c r="BEB4" i="9"/>
  <c r="BEC4" i="9"/>
  <c r="BED4" i="9"/>
  <c r="BEE4" i="9"/>
  <c r="BEF4" i="9"/>
  <c r="BEG4" i="9"/>
  <c r="BEH4" i="9"/>
  <c r="BEI4" i="9"/>
  <c r="BEJ4" i="9"/>
  <c r="BEK4" i="9"/>
  <c r="BEL4" i="9"/>
  <c r="BEM4" i="9"/>
  <c r="BEN4" i="9"/>
  <c r="BEO4" i="9"/>
  <c r="BBF4" i="9"/>
  <c r="BBG4" i="9"/>
  <c r="BBH4" i="9"/>
  <c r="BBI4" i="9"/>
  <c r="BBJ4" i="9"/>
  <c r="BBK4" i="9"/>
  <c r="BBL4" i="9"/>
  <c r="BBM4" i="9"/>
  <c r="BBN4" i="9"/>
  <c r="BBO4" i="9"/>
  <c r="BBP4" i="9"/>
  <c r="BBQ4" i="9"/>
  <c r="BBR4" i="9"/>
  <c r="BBS4" i="9"/>
  <c r="BBT4" i="9"/>
  <c r="BBU4" i="9"/>
  <c r="BBV4" i="9"/>
  <c r="BBW4" i="9"/>
  <c r="BBX4" i="9"/>
  <c r="BBY4" i="9"/>
  <c r="BBZ4" i="9"/>
  <c r="BCA4" i="9"/>
  <c r="BCB4" i="9"/>
  <c r="BCC4" i="9"/>
  <c r="BCD4" i="9"/>
  <c r="BCE4" i="9"/>
  <c r="BCF4" i="9"/>
  <c r="BCG4" i="9"/>
  <c r="BCH4" i="9"/>
  <c r="BCI4" i="9"/>
  <c r="BCJ4" i="9"/>
  <c r="BCK4" i="9"/>
  <c r="BCL4" i="9"/>
  <c r="BCM4" i="9"/>
  <c r="BCN4" i="9"/>
  <c r="BCO4" i="9"/>
  <c r="BCP4" i="9"/>
  <c r="BCQ4" i="9"/>
  <c r="BCR4" i="9"/>
  <c r="BCS4" i="9"/>
  <c r="BCT4" i="9"/>
  <c r="BCU4" i="9"/>
  <c r="BCV4" i="9"/>
  <c r="BCW4" i="9"/>
  <c r="AZN4" i="9"/>
  <c r="AZO4" i="9"/>
  <c r="AZP4" i="9"/>
  <c r="AZQ4" i="9"/>
  <c r="AZR4" i="9"/>
  <c r="AZS4" i="9"/>
  <c r="AZT4" i="9"/>
  <c r="AZU4" i="9"/>
  <c r="AZV4" i="9"/>
  <c r="AZW4" i="9"/>
  <c r="AZX4" i="9"/>
  <c r="AZY4" i="9"/>
  <c r="AZZ4" i="9"/>
  <c r="BAA4" i="9"/>
  <c r="BAB4" i="9"/>
  <c r="BAC4" i="9"/>
  <c r="BAD4" i="9"/>
  <c r="BAE4" i="9"/>
  <c r="BAF4" i="9"/>
  <c r="BAG4" i="9"/>
  <c r="BAH4" i="9"/>
  <c r="BAI4" i="9"/>
  <c r="BAJ4" i="9"/>
  <c r="BAK4" i="9"/>
  <c r="BAL4" i="9"/>
  <c r="BAM4" i="9"/>
  <c r="BAN4" i="9"/>
  <c r="BAO4" i="9"/>
  <c r="BAP4" i="9"/>
  <c r="BAQ4" i="9"/>
  <c r="BAR4" i="9"/>
  <c r="BAS4" i="9"/>
  <c r="BAT4" i="9"/>
  <c r="BAU4" i="9"/>
  <c r="BAV4" i="9"/>
  <c r="BAW4" i="9"/>
  <c r="BAX4" i="9"/>
  <c r="BAY4" i="9"/>
  <c r="BAZ4" i="9"/>
  <c r="BBA4" i="9"/>
  <c r="BBB4" i="9"/>
  <c r="BBC4" i="9"/>
  <c r="BBD4" i="9"/>
  <c r="BBE4" i="9"/>
  <c r="AXV4" i="9"/>
  <c r="AXW4" i="9"/>
  <c r="AXX4" i="9"/>
  <c r="AXY4" i="9"/>
  <c r="AXZ4" i="9"/>
  <c r="AYA4" i="9"/>
  <c r="AYB4" i="9"/>
  <c r="AYC4" i="9"/>
  <c r="AYD4" i="9"/>
  <c r="AYE4" i="9"/>
  <c r="AYF4" i="9"/>
  <c r="AYG4" i="9"/>
  <c r="AYH4" i="9"/>
  <c r="AYI4" i="9"/>
  <c r="AYJ4" i="9"/>
  <c r="AYK4" i="9"/>
  <c r="AYL4" i="9"/>
  <c r="AYM4" i="9"/>
  <c r="AYN4" i="9"/>
  <c r="AYO4" i="9"/>
  <c r="AYP4" i="9"/>
  <c r="AYQ4" i="9"/>
  <c r="AYR4" i="9"/>
  <c r="AYS4" i="9"/>
  <c r="AYT4" i="9"/>
  <c r="AYU4" i="9"/>
  <c r="AYV4" i="9"/>
  <c r="AYW4" i="9"/>
  <c r="AYX4" i="9"/>
  <c r="AYY4" i="9"/>
  <c r="AYZ4" i="9"/>
  <c r="AZA4" i="9"/>
  <c r="AZB4" i="9"/>
  <c r="AZC4" i="9"/>
  <c r="AZD4" i="9"/>
  <c r="AZE4" i="9"/>
  <c r="AZF4" i="9"/>
  <c r="AZG4" i="9"/>
  <c r="AZH4" i="9"/>
  <c r="AZI4" i="9"/>
  <c r="AZJ4" i="9"/>
  <c r="AZK4" i="9"/>
  <c r="AZL4" i="9"/>
  <c r="AZM4" i="9"/>
  <c r="AWD4" i="9"/>
  <c r="AWE4" i="9"/>
  <c r="AWF4" i="9"/>
  <c r="AWG4" i="9"/>
  <c r="AWH4" i="9"/>
  <c r="AWI4" i="9"/>
  <c r="AWJ4" i="9"/>
  <c r="AWK4" i="9"/>
  <c r="AWL4" i="9"/>
  <c r="AWM4" i="9"/>
  <c r="AWN4" i="9"/>
  <c r="AWO4" i="9"/>
  <c r="AWP4" i="9"/>
  <c r="AWQ4" i="9"/>
  <c r="AWR4" i="9"/>
  <c r="AWS4" i="9"/>
  <c r="AWT4" i="9"/>
  <c r="AWU4" i="9"/>
  <c r="AWV4" i="9"/>
  <c r="AWW4" i="9"/>
  <c r="AWX4" i="9"/>
  <c r="AWY4" i="9"/>
  <c r="AWZ4" i="9"/>
  <c r="AXA4" i="9"/>
  <c r="AXB4" i="9"/>
  <c r="AXC4" i="9"/>
  <c r="AXD4" i="9"/>
  <c r="AXE4" i="9"/>
  <c r="AXF4" i="9"/>
  <c r="AXG4" i="9"/>
  <c r="AXH4" i="9"/>
  <c r="AXI4" i="9"/>
  <c r="AXJ4" i="9"/>
  <c r="AXK4" i="9"/>
  <c r="AXL4" i="9"/>
  <c r="AXM4" i="9"/>
  <c r="AXN4" i="9"/>
  <c r="AXO4" i="9"/>
  <c r="AXP4" i="9"/>
  <c r="AXQ4" i="9"/>
  <c r="AXR4" i="9"/>
  <c r="AXS4" i="9"/>
  <c r="AXT4" i="9"/>
  <c r="AXU4" i="9"/>
  <c r="AUL4" i="9"/>
  <c r="AUM4" i="9"/>
  <c r="AUN4" i="9"/>
  <c r="AUO4" i="9"/>
  <c r="AUP4" i="9"/>
  <c r="AUQ4" i="9"/>
  <c r="AUR4" i="9"/>
  <c r="AUS4" i="9"/>
  <c r="AUT4" i="9"/>
  <c r="AUU4" i="9"/>
  <c r="AUV4" i="9"/>
  <c r="AUW4" i="9"/>
  <c r="AUX4" i="9"/>
  <c r="AUY4" i="9"/>
  <c r="AUZ4" i="9"/>
  <c r="AVA4" i="9"/>
  <c r="AVB4" i="9"/>
  <c r="AVC4" i="9"/>
  <c r="AVD4" i="9"/>
  <c r="AVE4" i="9"/>
  <c r="AVF4" i="9"/>
  <c r="AVG4" i="9"/>
  <c r="AVH4" i="9"/>
  <c r="AVI4" i="9"/>
  <c r="AVJ4" i="9"/>
  <c r="AVK4" i="9"/>
  <c r="AVL4" i="9"/>
  <c r="AVM4" i="9"/>
  <c r="AVN4" i="9"/>
  <c r="AVO4" i="9"/>
  <c r="AVP4" i="9"/>
  <c r="AVQ4" i="9"/>
  <c r="AVR4" i="9"/>
  <c r="AVS4" i="9"/>
  <c r="AVT4" i="9"/>
  <c r="AVU4" i="9"/>
  <c r="AVV4" i="9"/>
  <c r="AVW4" i="9"/>
  <c r="AVX4" i="9"/>
  <c r="AVY4" i="9"/>
  <c r="AVZ4" i="9"/>
  <c r="AWA4" i="9"/>
  <c r="AWB4" i="9"/>
  <c r="AWC4" i="9"/>
  <c r="AST4" i="9"/>
  <c r="ASU4" i="9"/>
  <c r="ASV4" i="9"/>
  <c r="ASW4" i="9"/>
  <c r="ASX4" i="9"/>
  <c r="ASY4" i="9"/>
  <c r="ASZ4" i="9"/>
  <c r="ATA4" i="9"/>
  <c r="ATB4" i="9"/>
  <c r="ATC4" i="9"/>
  <c r="ATD4" i="9"/>
  <c r="ATE4" i="9"/>
  <c r="ATF4" i="9"/>
  <c r="ATG4" i="9"/>
  <c r="ATH4" i="9"/>
  <c r="ATI4" i="9"/>
  <c r="ATJ4" i="9"/>
  <c r="ATK4" i="9"/>
  <c r="ATL4" i="9"/>
  <c r="ATM4" i="9"/>
  <c r="ATN4" i="9"/>
  <c r="ATO4" i="9"/>
  <c r="ATP4" i="9"/>
  <c r="ATQ4" i="9"/>
  <c r="ATR4" i="9"/>
  <c r="ATS4" i="9"/>
  <c r="ATT4" i="9"/>
  <c r="ATU4" i="9"/>
  <c r="ATV4" i="9"/>
  <c r="ATW4" i="9"/>
  <c r="ATX4" i="9"/>
  <c r="ATY4" i="9"/>
  <c r="ATZ4" i="9"/>
  <c r="AUA4" i="9"/>
  <c r="AUB4" i="9"/>
  <c r="AUC4" i="9"/>
  <c r="AUD4" i="9"/>
  <c r="AUE4" i="9"/>
  <c r="AUF4" i="9"/>
  <c r="AUG4" i="9"/>
  <c r="AUH4" i="9"/>
  <c r="AUI4" i="9"/>
  <c r="AUJ4" i="9"/>
  <c r="AUK4" i="9"/>
  <c r="ARB4" i="9"/>
  <c r="ARC4" i="9"/>
  <c r="ARD4" i="9"/>
  <c r="ARE4" i="9"/>
  <c r="ARF4" i="9"/>
  <c r="ARG4" i="9"/>
  <c r="ARH4" i="9"/>
  <c r="ARI4" i="9"/>
  <c r="ARJ4" i="9"/>
  <c r="ARK4" i="9"/>
  <c r="ARL4" i="9"/>
  <c r="ARM4" i="9"/>
  <c r="ARN4" i="9"/>
  <c r="ARO4" i="9"/>
  <c r="ARP4" i="9"/>
  <c r="ARQ4" i="9"/>
  <c r="ARR4" i="9"/>
  <c r="ARS4" i="9"/>
  <c r="ART4" i="9"/>
  <c r="ARU4" i="9"/>
  <c r="ARV4" i="9"/>
  <c r="ARW4" i="9"/>
  <c r="ARX4" i="9"/>
  <c r="ARY4" i="9"/>
  <c r="ARZ4" i="9"/>
  <c r="ASA4" i="9"/>
  <c r="ASB4" i="9"/>
  <c r="ASC4" i="9"/>
  <c r="ASD4" i="9"/>
  <c r="ASE4" i="9"/>
  <c r="ASF4" i="9"/>
  <c r="ASG4" i="9"/>
  <c r="ASH4" i="9"/>
  <c r="ASI4" i="9"/>
  <c r="ASJ4" i="9"/>
  <c r="ASK4" i="9"/>
  <c r="ASL4" i="9"/>
  <c r="ASM4" i="9"/>
  <c r="ASN4" i="9"/>
  <c r="ASO4" i="9"/>
  <c r="ASP4" i="9"/>
  <c r="ASQ4" i="9"/>
  <c r="ASR4" i="9"/>
  <c r="ASS4" i="9"/>
  <c r="APJ4" i="9"/>
  <c r="APK4" i="9"/>
  <c r="APL4" i="9"/>
  <c r="APM4" i="9"/>
  <c r="APN4" i="9"/>
  <c r="APO4" i="9"/>
  <c r="APP4" i="9"/>
  <c r="APQ4" i="9"/>
  <c r="APR4" i="9"/>
  <c r="APS4" i="9"/>
  <c r="APT4" i="9"/>
  <c r="APU4" i="9"/>
  <c r="APV4" i="9"/>
  <c r="APW4" i="9"/>
  <c r="APX4" i="9"/>
  <c r="APY4" i="9"/>
  <c r="APZ4" i="9"/>
  <c r="AQA4" i="9"/>
  <c r="AQB4" i="9"/>
  <c r="AQC4" i="9"/>
  <c r="AQD4" i="9"/>
  <c r="AQE4" i="9"/>
  <c r="AQF4" i="9"/>
  <c r="AQG4" i="9"/>
  <c r="AQH4" i="9"/>
  <c r="AQI4" i="9"/>
  <c r="AQJ4" i="9"/>
  <c r="AQK4" i="9"/>
  <c r="AQL4" i="9"/>
  <c r="AQM4" i="9"/>
  <c r="AQN4" i="9"/>
  <c r="AQO4" i="9"/>
  <c r="AQP4" i="9"/>
  <c r="AQQ4" i="9"/>
  <c r="AQR4" i="9"/>
  <c r="AQS4" i="9"/>
  <c r="AQT4" i="9"/>
  <c r="AQU4" i="9"/>
  <c r="AQV4" i="9"/>
  <c r="AQW4" i="9"/>
  <c r="AQX4" i="9"/>
  <c r="AQY4" i="9"/>
  <c r="AQZ4" i="9"/>
  <c r="ARA4" i="9"/>
  <c r="ANR4" i="9"/>
  <c r="ANS4" i="9"/>
  <c r="ANT4" i="9"/>
  <c r="ANU4" i="9"/>
  <c r="ANV4" i="9"/>
  <c r="ANW4" i="9"/>
  <c r="ANX4" i="9"/>
  <c r="ANY4" i="9"/>
  <c r="ANZ4" i="9"/>
  <c r="AOA4" i="9"/>
  <c r="AOB4" i="9"/>
  <c r="AOC4" i="9"/>
  <c r="AOD4" i="9"/>
  <c r="AOE4" i="9"/>
  <c r="AOF4" i="9"/>
  <c r="AOG4" i="9"/>
  <c r="AOH4" i="9"/>
  <c r="AOI4" i="9"/>
  <c r="AOJ4" i="9"/>
  <c r="AOK4" i="9"/>
  <c r="AOL4" i="9"/>
  <c r="AOM4" i="9"/>
  <c r="AON4" i="9"/>
  <c r="AOO4" i="9"/>
  <c r="AOP4" i="9"/>
  <c r="AOQ4" i="9"/>
  <c r="AOR4" i="9"/>
  <c r="AOS4" i="9"/>
  <c r="AOT4" i="9"/>
  <c r="AOU4" i="9"/>
  <c r="AOV4" i="9"/>
  <c r="AOW4" i="9"/>
  <c r="AOX4" i="9"/>
  <c r="AOY4" i="9"/>
  <c r="AOZ4" i="9"/>
  <c r="APA4" i="9"/>
  <c r="APB4" i="9"/>
  <c r="APC4" i="9"/>
  <c r="APD4" i="9"/>
  <c r="APE4" i="9"/>
  <c r="APF4" i="9"/>
  <c r="APG4" i="9"/>
  <c r="APH4" i="9"/>
  <c r="API4" i="9"/>
  <c r="ALZ4" i="9"/>
  <c r="AMA4" i="9"/>
  <c r="AMB4" i="9"/>
  <c r="AMC4" i="9"/>
  <c r="AMD4" i="9"/>
  <c r="AME4" i="9"/>
  <c r="AMF4" i="9"/>
  <c r="AMG4" i="9"/>
  <c r="AMH4" i="9"/>
  <c r="AMI4" i="9"/>
  <c r="AMJ4" i="9"/>
  <c r="AMK4" i="9"/>
  <c r="AML4" i="9"/>
  <c r="AMM4" i="9"/>
  <c r="AMN4" i="9"/>
  <c r="AMO4" i="9"/>
  <c r="AMP4" i="9"/>
  <c r="AMQ4" i="9"/>
  <c r="AMR4" i="9"/>
  <c r="AMS4" i="9"/>
  <c r="AMT4" i="9"/>
  <c r="AMU4" i="9"/>
  <c r="AMV4" i="9"/>
  <c r="AMW4" i="9"/>
  <c r="AMX4" i="9"/>
  <c r="AMY4" i="9"/>
  <c r="AMZ4" i="9"/>
  <c r="ANA4" i="9"/>
  <c r="ANB4" i="9"/>
  <c r="ANC4" i="9"/>
  <c r="AND4" i="9"/>
  <c r="ANE4" i="9"/>
  <c r="ANF4" i="9"/>
  <c r="ANG4" i="9"/>
  <c r="ANH4" i="9"/>
  <c r="ANI4" i="9"/>
  <c r="ANJ4" i="9"/>
  <c r="ANK4" i="9"/>
  <c r="ANL4" i="9"/>
  <c r="ANM4" i="9"/>
  <c r="ANN4" i="9"/>
  <c r="ANO4" i="9"/>
  <c r="ANP4" i="9"/>
  <c r="ANQ4" i="9"/>
  <c r="AKH4" i="9"/>
  <c r="AKI4" i="9"/>
  <c r="AKJ4" i="9"/>
  <c r="AKK4" i="9"/>
  <c r="AKL4" i="9"/>
  <c r="AKM4" i="9"/>
  <c r="AKN4" i="9"/>
  <c r="AKO4" i="9"/>
  <c r="AKP4" i="9"/>
  <c r="AKQ4" i="9"/>
  <c r="AKR4" i="9"/>
  <c r="AKS4" i="9"/>
  <c r="AKT4" i="9"/>
  <c r="AKU4" i="9"/>
  <c r="AKV4" i="9"/>
  <c r="AKW4" i="9"/>
  <c r="AKX4" i="9"/>
  <c r="AKY4" i="9"/>
  <c r="AKZ4" i="9"/>
  <c r="ALA4" i="9"/>
  <c r="ALB4" i="9"/>
  <c r="ALC4" i="9"/>
  <c r="ALD4" i="9"/>
  <c r="ALE4" i="9"/>
  <c r="ALF4" i="9"/>
  <c r="ALG4" i="9"/>
  <c r="ALH4" i="9"/>
  <c r="ALI4" i="9"/>
  <c r="ALJ4" i="9"/>
  <c r="ALK4" i="9"/>
  <c r="ALL4" i="9"/>
  <c r="ALM4" i="9"/>
  <c r="ALN4" i="9"/>
  <c r="ALO4" i="9"/>
  <c r="ALP4" i="9"/>
  <c r="ALQ4" i="9"/>
  <c r="ALR4" i="9"/>
  <c r="ALS4" i="9"/>
  <c r="ALT4" i="9"/>
  <c r="ALU4" i="9"/>
  <c r="ALV4" i="9"/>
  <c r="ALW4" i="9"/>
  <c r="ALX4" i="9"/>
  <c r="ALY4" i="9"/>
  <c r="AIP4" i="9"/>
  <c r="AIQ4" i="9"/>
  <c r="AIR4" i="9"/>
  <c r="AIS4" i="9"/>
  <c r="AIT4" i="9"/>
  <c r="AIU4" i="9"/>
  <c r="AIV4" i="9"/>
  <c r="AIW4" i="9"/>
  <c r="AIX4" i="9"/>
  <c r="AIY4" i="9"/>
  <c r="AIZ4" i="9"/>
  <c r="AJA4" i="9"/>
  <c r="AJB4" i="9"/>
  <c r="AJC4" i="9"/>
  <c r="AJD4" i="9"/>
  <c r="AJE4" i="9"/>
  <c r="AJF4" i="9"/>
  <c r="AJG4" i="9"/>
  <c r="AJH4" i="9"/>
  <c r="AJI4" i="9"/>
  <c r="AJJ4" i="9"/>
  <c r="AJK4" i="9"/>
  <c r="AJL4" i="9"/>
  <c r="AJM4" i="9"/>
  <c r="AJN4" i="9"/>
  <c r="AJO4" i="9"/>
  <c r="AJP4" i="9"/>
  <c r="AJQ4" i="9"/>
  <c r="AJR4" i="9"/>
  <c r="AJS4" i="9"/>
  <c r="AJT4" i="9"/>
  <c r="AJU4" i="9"/>
  <c r="AJV4" i="9"/>
  <c r="AJW4" i="9"/>
  <c r="AJX4" i="9"/>
  <c r="AJY4" i="9"/>
  <c r="AJZ4" i="9"/>
  <c r="AKA4" i="9"/>
  <c r="AKB4" i="9"/>
  <c r="AKC4" i="9"/>
  <c r="AKD4" i="9"/>
  <c r="AKE4" i="9"/>
  <c r="AKF4" i="9"/>
  <c r="AKG4" i="9"/>
  <c r="AGX4" i="9"/>
  <c r="AGY4" i="9"/>
  <c r="AGZ4" i="9"/>
  <c r="AHA4" i="9"/>
  <c r="AHB4" i="9"/>
  <c r="AHC4" i="9"/>
  <c r="AHD4" i="9"/>
  <c r="AHE4" i="9"/>
  <c r="AHF4" i="9"/>
  <c r="AHG4" i="9"/>
  <c r="AHH4" i="9"/>
  <c r="AHI4" i="9"/>
  <c r="AHJ4" i="9"/>
  <c r="AHK4" i="9"/>
  <c r="AHL4" i="9"/>
  <c r="AHM4" i="9"/>
  <c r="AHN4" i="9"/>
  <c r="AHO4" i="9"/>
  <c r="AHP4" i="9"/>
  <c r="AHQ4" i="9"/>
  <c r="AHR4" i="9"/>
  <c r="AHS4" i="9"/>
  <c r="AHT4" i="9"/>
  <c r="AHU4" i="9"/>
  <c r="AHV4" i="9"/>
  <c r="AHW4" i="9"/>
  <c r="AHX4" i="9"/>
  <c r="AHY4" i="9"/>
  <c r="AHZ4" i="9"/>
  <c r="AIA4" i="9"/>
  <c r="AIB4" i="9"/>
  <c r="AIC4" i="9"/>
  <c r="AID4" i="9"/>
  <c r="AIE4" i="9"/>
  <c r="AIF4" i="9"/>
  <c r="AIG4" i="9"/>
  <c r="AIH4" i="9"/>
  <c r="AII4" i="9"/>
  <c r="AIJ4" i="9"/>
  <c r="AIK4" i="9"/>
  <c r="AIL4" i="9"/>
  <c r="AIM4" i="9"/>
  <c r="AIN4" i="9"/>
  <c r="AIO4" i="9"/>
  <c r="AFF4" i="9"/>
  <c r="AFG4" i="9"/>
  <c r="AFH4" i="9"/>
  <c r="AFI4" i="9"/>
  <c r="AFJ4" i="9"/>
  <c r="AFK4" i="9"/>
  <c r="AFL4" i="9"/>
  <c r="AFM4" i="9"/>
  <c r="AFN4" i="9"/>
  <c r="AFO4" i="9"/>
  <c r="AFP4" i="9"/>
  <c r="AFQ4" i="9"/>
  <c r="AFR4" i="9"/>
  <c r="AFS4" i="9"/>
  <c r="AFT4" i="9"/>
  <c r="AFU4" i="9"/>
  <c r="AFV4" i="9"/>
  <c r="AFW4" i="9"/>
  <c r="AFX4" i="9"/>
  <c r="AFY4" i="9"/>
  <c r="AFZ4" i="9"/>
  <c r="AGA4" i="9"/>
  <c r="AGB4" i="9"/>
  <c r="AGC4" i="9"/>
  <c r="AGD4" i="9"/>
  <c r="AGE4" i="9"/>
  <c r="AGF4" i="9"/>
  <c r="AGG4" i="9"/>
  <c r="AGH4" i="9"/>
  <c r="AGI4" i="9"/>
  <c r="AGJ4" i="9"/>
  <c r="AGK4" i="9"/>
  <c r="AGL4" i="9"/>
  <c r="AGM4" i="9"/>
  <c r="AGN4" i="9"/>
  <c r="AGO4" i="9"/>
  <c r="AGP4" i="9"/>
  <c r="AGQ4" i="9"/>
  <c r="AGR4" i="9"/>
  <c r="AGS4" i="9"/>
  <c r="AGT4" i="9"/>
  <c r="AGU4" i="9"/>
  <c r="AGV4" i="9"/>
  <c r="AGW4" i="9"/>
  <c r="ADN4" i="9"/>
  <c r="ADO4" i="9"/>
  <c r="ADP4" i="9"/>
  <c r="ADQ4" i="9"/>
  <c r="ADR4" i="9"/>
  <c r="ADS4" i="9"/>
  <c r="ADT4" i="9"/>
  <c r="ADU4" i="9"/>
  <c r="ADV4" i="9"/>
  <c r="ADW4" i="9"/>
  <c r="ADX4" i="9"/>
  <c r="ADY4" i="9"/>
  <c r="ADZ4" i="9"/>
  <c r="AEA4" i="9"/>
  <c r="AEB4" i="9"/>
  <c r="AEC4" i="9"/>
  <c r="AED4" i="9"/>
  <c r="AEE4" i="9"/>
  <c r="AEF4" i="9"/>
  <c r="AEG4" i="9"/>
  <c r="AEH4" i="9"/>
  <c r="AEI4" i="9"/>
  <c r="AEJ4" i="9"/>
  <c r="AEK4" i="9"/>
  <c r="AEL4" i="9"/>
  <c r="AEM4" i="9"/>
  <c r="AEN4" i="9"/>
  <c r="AEO4" i="9"/>
  <c r="AEP4" i="9"/>
  <c r="AEQ4" i="9"/>
  <c r="AER4" i="9"/>
  <c r="AES4" i="9"/>
  <c r="AET4" i="9"/>
  <c r="AEU4" i="9"/>
  <c r="AEV4" i="9"/>
  <c r="AEW4" i="9"/>
  <c r="AEX4" i="9"/>
  <c r="AEY4" i="9"/>
  <c r="AEZ4" i="9"/>
  <c r="AFA4" i="9"/>
  <c r="AFB4" i="9"/>
  <c r="AFC4" i="9"/>
  <c r="AFD4" i="9"/>
  <c r="AFE4" i="9"/>
  <c r="ABV4" i="9"/>
  <c r="ABW4" i="9"/>
  <c r="ABX4" i="9"/>
  <c r="ABY4" i="9"/>
  <c r="ABZ4" i="9"/>
  <c r="ACA4" i="9"/>
  <c r="ACB4" i="9"/>
  <c r="ACC4" i="9"/>
  <c r="ACD4" i="9"/>
  <c r="ACE4" i="9"/>
  <c r="ACF4" i="9"/>
  <c r="ACG4" i="9"/>
  <c r="ACH4" i="9"/>
  <c r="ACI4" i="9"/>
  <c r="ACJ4" i="9"/>
  <c r="ACK4" i="9"/>
  <c r="ACL4" i="9"/>
  <c r="ACM4" i="9"/>
  <c r="ACN4" i="9"/>
  <c r="ACO4" i="9"/>
  <c r="ACP4" i="9"/>
  <c r="ACQ4" i="9"/>
  <c r="ACR4" i="9"/>
  <c r="ACS4" i="9"/>
  <c r="ACT4" i="9"/>
  <c r="ACU4" i="9"/>
  <c r="ACV4" i="9"/>
  <c r="ACW4" i="9"/>
  <c r="ACX4" i="9"/>
  <c r="ACY4" i="9"/>
  <c r="ACZ4" i="9"/>
  <c r="ADA4" i="9"/>
  <c r="ADB4" i="9"/>
  <c r="ADC4" i="9"/>
  <c r="ADD4" i="9"/>
  <c r="ADE4" i="9"/>
  <c r="ADF4" i="9"/>
  <c r="ADG4" i="9"/>
  <c r="ADH4" i="9"/>
  <c r="ADI4" i="9"/>
  <c r="ADJ4" i="9"/>
  <c r="ADK4" i="9"/>
  <c r="ADL4" i="9"/>
  <c r="ADM4" i="9"/>
  <c r="AAD4" i="9"/>
  <c r="AAE4" i="9"/>
  <c r="AAF4" i="9"/>
  <c r="AAG4" i="9"/>
  <c r="AAH4" i="9"/>
  <c r="AAI4" i="9"/>
  <c r="AAJ4" i="9"/>
  <c r="AAK4" i="9"/>
  <c r="AAL4" i="9"/>
  <c r="AAM4" i="9"/>
  <c r="AAN4" i="9"/>
  <c r="AAO4" i="9"/>
  <c r="AAP4" i="9"/>
  <c r="AAQ4" i="9"/>
  <c r="AAR4" i="9"/>
  <c r="AAS4" i="9"/>
  <c r="AAT4" i="9"/>
  <c r="AAU4" i="9"/>
  <c r="AAV4" i="9"/>
  <c r="AAW4" i="9"/>
  <c r="AAX4" i="9"/>
  <c r="AAY4" i="9"/>
  <c r="AAZ4" i="9"/>
  <c r="ABA4" i="9"/>
  <c r="ABB4" i="9"/>
  <c r="ABC4" i="9"/>
  <c r="ABD4" i="9"/>
  <c r="ABE4" i="9"/>
  <c r="ABF4" i="9"/>
  <c r="ABG4" i="9"/>
  <c r="ABH4" i="9"/>
  <c r="ABI4" i="9"/>
  <c r="ABJ4" i="9"/>
  <c r="ABK4" i="9"/>
  <c r="ABL4" i="9"/>
  <c r="ABM4" i="9"/>
  <c r="ABN4" i="9"/>
  <c r="ABO4" i="9"/>
  <c r="ABP4" i="9"/>
  <c r="ABQ4" i="9"/>
  <c r="ABR4" i="9"/>
  <c r="ABS4" i="9"/>
  <c r="ABT4" i="9"/>
  <c r="ABU4" i="9"/>
  <c r="YL4" i="9"/>
  <c r="YM4" i="9"/>
  <c r="YN4" i="9"/>
  <c r="YO4" i="9"/>
  <c r="YP4" i="9"/>
  <c r="YQ4" i="9"/>
  <c r="YR4" i="9"/>
  <c r="YS4" i="9"/>
  <c r="YT4" i="9"/>
  <c r="YU4" i="9"/>
  <c r="YV4" i="9"/>
  <c r="YW4" i="9"/>
  <c r="YX4" i="9"/>
  <c r="YY4" i="9"/>
  <c r="YZ4" i="9"/>
  <c r="ZA4" i="9"/>
  <c r="ZB4" i="9"/>
  <c r="ZC4" i="9"/>
  <c r="ZD4" i="9"/>
  <c r="ZE4" i="9"/>
  <c r="ZF4" i="9"/>
  <c r="ZG4" i="9"/>
  <c r="ZH4" i="9"/>
  <c r="ZI4" i="9"/>
  <c r="ZJ4" i="9"/>
  <c r="ZK4" i="9"/>
  <c r="ZL4" i="9"/>
  <c r="ZM4" i="9"/>
  <c r="ZN4" i="9"/>
  <c r="ZO4" i="9"/>
  <c r="ZP4" i="9"/>
  <c r="ZQ4" i="9"/>
  <c r="ZR4" i="9"/>
  <c r="ZS4" i="9"/>
  <c r="ZT4" i="9"/>
  <c r="ZU4" i="9"/>
  <c r="ZV4" i="9"/>
  <c r="ZW4" i="9"/>
  <c r="ZX4" i="9"/>
  <c r="ZY4" i="9"/>
  <c r="ZZ4" i="9"/>
  <c r="AAA4" i="9"/>
  <c r="AAB4" i="9"/>
  <c r="AAC4" i="9"/>
  <c r="WT4" i="9"/>
  <c r="WU4" i="9"/>
  <c r="WV4" i="9"/>
  <c r="WW4" i="9"/>
  <c r="WX4" i="9"/>
  <c r="WY4" i="9"/>
  <c r="WZ4" i="9"/>
  <c r="XA4" i="9"/>
  <c r="XB4" i="9"/>
  <c r="XC4" i="9"/>
  <c r="XD4" i="9"/>
  <c r="XE4" i="9"/>
  <c r="XF4" i="9"/>
  <c r="XG4" i="9"/>
  <c r="XH4" i="9"/>
  <c r="XI4" i="9"/>
  <c r="XJ4" i="9"/>
  <c r="XK4" i="9"/>
  <c r="XL4" i="9"/>
  <c r="XM4" i="9"/>
  <c r="XN4" i="9"/>
  <c r="XO4" i="9"/>
  <c r="XP4" i="9"/>
  <c r="XQ4" i="9"/>
  <c r="XR4" i="9"/>
  <c r="XS4" i="9"/>
  <c r="XT4" i="9"/>
  <c r="XU4" i="9"/>
  <c r="XV4" i="9"/>
  <c r="XW4" i="9"/>
  <c r="XX4" i="9"/>
  <c r="XY4" i="9"/>
  <c r="XZ4" i="9"/>
  <c r="YA4" i="9"/>
  <c r="YB4" i="9"/>
  <c r="YC4" i="9"/>
  <c r="YD4" i="9"/>
  <c r="YE4" i="9"/>
  <c r="YF4" i="9"/>
  <c r="YG4" i="9"/>
  <c r="YH4" i="9"/>
  <c r="YI4" i="9"/>
  <c r="YJ4" i="9"/>
  <c r="YK4" i="9"/>
  <c r="VC4" i="9"/>
  <c r="VB4" i="9"/>
  <c r="VD4" i="9"/>
  <c r="VE4" i="9"/>
  <c r="VF4" i="9"/>
  <c r="VG4" i="9"/>
  <c r="VH4" i="9"/>
  <c r="VI4" i="9"/>
  <c r="VJ4" i="9"/>
  <c r="VK4" i="9"/>
  <c r="VL4" i="9"/>
  <c r="VM4" i="9"/>
  <c r="VN4" i="9"/>
  <c r="VO4" i="9"/>
  <c r="VP4" i="9"/>
  <c r="VQ4" i="9"/>
  <c r="VR4" i="9"/>
  <c r="VS4" i="9"/>
  <c r="VT4" i="9"/>
  <c r="VU4" i="9"/>
  <c r="VV4" i="9"/>
  <c r="VW4" i="9"/>
  <c r="VX4" i="9"/>
  <c r="VY4" i="9"/>
  <c r="VZ4" i="9"/>
  <c r="WA4" i="9"/>
  <c r="WB4" i="9"/>
  <c r="WC4" i="9"/>
  <c r="WD4" i="9"/>
  <c r="WE4" i="9"/>
  <c r="WF4" i="9"/>
  <c r="WG4" i="9"/>
  <c r="WH4" i="9"/>
  <c r="WI4" i="9"/>
  <c r="WJ4" i="9"/>
  <c r="WK4" i="9"/>
  <c r="WL4" i="9"/>
  <c r="WM4" i="9"/>
  <c r="WN4" i="9"/>
  <c r="WO4" i="9"/>
  <c r="WP4" i="9"/>
  <c r="WQ4" i="9"/>
  <c r="WR4" i="9"/>
  <c r="WS4" i="9"/>
  <c r="TJ4" i="9"/>
  <c r="TK4" i="9"/>
  <c r="TL4" i="9"/>
  <c r="TM4" i="9"/>
  <c r="TN4" i="9"/>
  <c r="TO4" i="9"/>
  <c r="TP4" i="9"/>
  <c r="TQ4" i="9"/>
  <c r="TR4" i="9"/>
  <c r="TS4" i="9"/>
  <c r="TT4" i="9"/>
  <c r="TU4" i="9"/>
  <c r="TV4" i="9"/>
  <c r="TW4" i="9"/>
  <c r="TX4" i="9"/>
  <c r="TY4" i="9"/>
  <c r="TZ4" i="9"/>
  <c r="UA4" i="9"/>
  <c r="UB4" i="9"/>
  <c r="UC4" i="9"/>
  <c r="UD4" i="9"/>
  <c r="UE4" i="9"/>
  <c r="UF4" i="9"/>
  <c r="UG4" i="9"/>
  <c r="UH4" i="9"/>
  <c r="UI4" i="9"/>
  <c r="UJ4" i="9"/>
  <c r="UK4" i="9"/>
  <c r="UL4" i="9"/>
  <c r="UM4" i="9"/>
  <c r="UN4" i="9"/>
  <c r="UO4" i="9"/>
  <c r="UP4" i="9"/>
  <c r="UQ4" i="9"/>
  <c r="UR4" i="9"/>
  <c r="US4" i="9"/>
  <c r="UT4" i="9"/>
  <c r="UU4" i="9"/>
  <c r="UV4" i="9"/>
  <c r="UW4" i="9"/>
  <c r="UX4" i="9"/>
  <c r="UY4" i="9"/>
  <c r="UZ4" i="9"/>
  <c r="VA4" i="9"/>
  <c r="RR4" i="9"/>
  <c r="RS4" i="9"/>
  <c r="RT4" i="9"/>
  <c r="RU4" i="9"/>
  <c r="RV4" i="9"/>
  <c r="RW4" i="9"/>
  <c r="RX4" i="9"/>
  <c r="RY4" i="9"/>
  <c r="RZ4" i="9"/>
  <c r="SA4" i="9"/>
  <c r="SB4" i="9"/>
  <c r="SC4" i="9"/>
  <c r="SD4" i="9"/>
  <c r="SE4" i="9"/>
  <c r="SF4" i="9"/>
  <c r="SG4" i="9"/>
  <c r="SH4" i="9"/>
  <c r="SI4" i="9"/>
  <c r="SJ4" i="9"/>
  <c r="SK4" i="9"/>
  <c r="SL4" i="9"/>
  <c r="SM4" i="9"/>
  <c r="SN4" i="9"/>
  <c r="SO4" i="9"/>
  <c r="SP4" i="9"/>
  <c r="SQ4" i="9"/>
  <c r="SR4" i="9"/>
  <c r="SS4" i="9"/>
  <c r="ST4" i="9"/>
  <c r="SU4" i="9"/>
  <c r="SV4" i="9"/>
  <c r="SW4" i="9"/>
  <c r="SX4" i="9"/>
  <c r="SY4" i="9"/>
  <c r="SZ4" i="9"/>
  <c r="TA4" i="9"/>
  <c r="TB4" i="9"/>
  <c r="TC4" i="9"/>
  <c r="TD4" i="9"/>
  <c r="TE4" i="9"/>
  <c r="TF4" i="9"/>
  <c r="TG4" i="9"/>
  <c r="TH4" i="9"/>
  <c r="TI4" i="9"/>
  <c r="PZ4" i="9"/>
  <c r="QA4" i="9"/>
  <c r="QB4" i="9"/>
  <c r="QC4" i="9"/>
  <c r="QD4" i="9"/>
  <c r="QE4" i="9"/>
  <c r="QF4" i="9"/>
  <c r="QG4" i="9"/>
  <c r="QH4" i="9"/>
  <c r="QI4" i="9"/>
  <c r="QJ4" i="9"/>
  <c r="QK4" i="9"/>
  <c r="QL4" i="9"/>
  <c r="QM4" i="9"/>
  <c r="QN4" i="9"/>
  <c r="QO4" i="9"/>
  <c r="QP4" i="9"/>
  <c r="QQ4" i="9"/>
  <c r="QR4" i="9"/>
  <c r="QS4" i="9"/>
  <c r="QT4" i="9"/>
  <c r="QU4" i="9"/>
  <c r="QV4" i="9"/>
  <c r="QW4" i="9"/>
  <c r="QX4" i="9"/>
  <c r="QY4" i="9"/>
  <c r="QZ4" i="9"/>
  <c r="RA4" i="9"/>
  <c r="RB4" i="9"/>
  <c r="RC4" i="9"/>
  <c r="RD4" i="9"/>
  <c r="RE4" i="9"/>
  <c r="RF4" i="9"/>
  <c r="RG4" i="9"/>
  <c r="RH4" i="9"/>
  <c r="RI4" i="9"/>
  <c r="RJ4" i="9"/>
  <c r="RK4" i="9"/>
  <c r="RL4" i="9"/>
  <c r="RM4" i="9"/>
  <c r="RN4" i="9"/>
  <c r="RO4" i="9"/>
  <c r="RP4" i="9"/>
  <c r="RQ4" i="9"/>
  <c r="OI4" i="9"/>
  <c r="OJ4" i="9"/>
  <c r="OK4" i="9"/>
  <c r="OL4" i="9"/>
  <c r="OM4" i="9"/>
  <c r="ON4" i="9"/>
  <c r="OO4" i="9"/>
  <c r="OP4" i="9"/>
  <c r="OQ4" i="9"/>
  <c r="OR4" i="9"/>
  <c r="OS4" i="9"/>
  <c r="OT4" i="9"/>
  <c r="OU4" i="9"/>
  <c r="OV4" i="9"/>
  <c r="OW4" i="9"/>
  <c r="OX4" i="9"/>
  <c r="OY4" i="9"/>
  <c r="OZ4" i="9"/>
  <c r="PA4" i="9"/>
  <c r="PB4" i="9"/>
  <c r="PC4" i="9"/>
  <c r="PD4" i="9"/>
  <c r="PE4" i="9"/>
  <c r="PF4" i="9"/>
  <c r="PG4" i="9"/>
  <c r="PH4" i="9"/>
  <c r="PI4" i="9"/>
  <c r="PJ4" i="9"/>
  <c r="PK4" i="9"/>
  <c r="PL4" i="9"/>
  <c r="PM4" i="9"/>
  <c r="PN4" i="9"/>
  <c r="PO4" i="9"/>
  <c r="PP4" i="9"/>
  <c r="PQ4" i="9"/>
  <c r="PR4" i="9"/>
  <c r="PS4" i="9"/>
  <c r="PT4" i="9"/>
  <c r="PU4" i="9"/>
  <c r="PV4" i="9"/>
  <c r="PW4" i="9"/>
  <c r="PX4" i="9"/>
  <c r="PY4" i="9"/>
  <c r="MQ4" i="9"/>
  <c r="MR4" i="9"/>
  <c r="MS4" i="9"/>
  <c r="MT4" i="9"/>
  <c r="MU4" i="9"/>
  <c r="MV4" i="9"/>
  <c r="MW4" i="9"/>
  <c r="MX4" i="9"/>
  <c r="MY4" i="9"/>
  <c r="MZ4" i="9"/>
  <c r="NA4" i="9"/>
  <c r="NB4" i="9"/>
  <c r="NC4" i="9"/>
  <c r="ND4" i="9"/>
  <c r="NE4" i="9"/>
  <c r="NF4" i="9"/>
  <c r="NG4" i="9"/>
  <c r="NH4" i="9"/>
  <c r="NI4" i="9"/>
  <c r="NJ4" i="9"/>
  <c r="NK4" i="9"/>
  <c r="NL4" i="9"/>
  <c r="NM4" i="9"/>
  <c r="NN4" i="9"/>
  <c r="NO4" i="9"/>
  <c r="NP4" i="9"/>
  <c r="NQ4" i="9"/>
  <c r="NR4" i="9"/>
  <c r="NS4" i="9"/>
  <c r="NT4" i="9"/>
  <c r="NU4" i="9"/>
  <c r="NV4" i="9"/>
  <c r="NW4" i="9"/>
  <c r="NX4" i="9"/>
  <c r="NY4" i="9"/>
  <c r="NZ4" i="9"/>
  <c r="OA4" i="9"/>
  <c r="OB4" i="9"/>
  <c r="OC4" i="9"/>
  <c r="OD4" i="9"/>
  <c r="OE4" i="9"/>
  <c r="OF4" i="9"/>
  <c r="OG4" i="9"/>
  <c r="KY4" i="9"/>
  <c r="KZ4" i="9"/>
  <c r="LA4" i="9"/>
  <c r="LB4" i="9"/>
  <c r="LC4" i="9"/>
  <c r="LD4" i="9"/>
  <c r="LE4" i="9"/>
  <c r="LF4" i="9"/>
  <c r="LG4" i="9"/>
  <c r="LH4" i="9"/>
  <c r="LI4" i="9"/>
  <c r="LJ4" i="9"/>
  <c r="LK4" i="9"/>
  <c r="LL4" i="9"/>
  <c r="LM4" i="9"/>
  <c r="LN4" i="9"/>
  <c r="LO4" i="9"/>
  <c r="LP4" i="9"/>
  <c r="LQ4" i="9"/>
  <c r="LR4" i="9"/>
  <c r="LS4" i="9"/>
  <c r="LT4" i="9"/>
  <c r="LU4" i="9"/>
  <c r="LV4" i="9"/>
  <c r="LW4" i="9"/>
  <c r="LX4" i="9"/>
  <c r="LY4" i="9"/>
  <c r="LZ4" i="9"/>
  <c r="MA4" i="9"/>
  <c r="MB4" i="9"/>
  <c r="MC4" i="9"/>
  <c r="MD4" i="9"/>
  <c r="ME4" i="9"/>
  <c r="MF4" i="9"/>
  <c r="MG4" i="9"/>
  <c r="MH4" i="9"/>
  <c r="MI4" i="9"/>
  <c r="MJ4" i="9"/>
  <c r="MK4" i="9"/>
  <c r="ML4" i="9"/>
  <c r="MM4" i="9"/>
  <c r="MN4" i="9"/>
  <c r="MO4" i="9"/>
  <c r="JG4" i="9"/>
  <c r="JH4" i="9"/>
  <c r="JI4" i="9"/>
  <c r="JJ4" i="9"/>
  <c r="JK4" i="9"/>
  <c r="JL4" i="9"/>
  <c r="JM4" i="9"/>
  <c r="JN4" i="9"/>
  <c r="JO4" i="9"/>
  <c r="JP4" i="9"/>
  <c r="JQ4" i="9"/>
  <c r="JR4" i="9"/>
  <c r="JS4" i="9"/>
  <c r="JT4" i="9"/>
  <c r="JU4" i="9"/>
  <c r="JV4" i="9"/>
  <c r="JW4" i="9"/>
  <c r="JX4" i="9"/>
  <c r="JY4" i="9"/>
  <c r="JZ4" i="9"/>
  <c r="KA4" i="9"/>
  <c r="KB4" i="9"/>
  <c r="KC4" i="9"/>
  <c r="KD4" i="9"/>
  <c r="KE4" i="9"/>
  <c r="KF4" i="9"/>
  <c r="KG4" i="9"/>
  <c r="KH4" i="9"/>
  <c r="KI4" i="9"/>
  <c r="KJ4" i="9"/>
  <c r="KK4" i="9"/>
  <c r="KL4" i="9"/>
  <c r="KM4" i="9"/>
  <c r="KN4" i="9"/>
  <c r="KO4" i="9"/>
  <c r="KP4" i="9"/>
  <c r="KQ4" i="9"/>
  <c r="KR4" i="9"/>
  <c r="KS4" i="9"/>
  <c r="KT4" i="9"/>
  <c r="KU4" i="9"/>
  <c r="KV4" i="9"/>
  <c r="KW4" i="9"/>
  <c r="HN4" i="9"/>
  <c r="HO4" i="9"/>
  <c r="HP4" i="9"/>
  <c r="HQ4" i="9"/>
  <c r="HR4" i="9"/>
  <c r="HS4" i="9"/>
  <c r="HT4" i="9"/>
  <c r="HU4" i="9"/>
  <c r="HV4" i="9"/>
  <c r="HW4" i="9"/>
  <c r="HX4" i="9"/>
  <c r="HY4" i="9"/>
  <c r="HZ4" i="9"/>
  <c r="IA4" i="9"/>
  <c r="IB4" i="9"/>
  <c r="IC4" i="9"/>
  <c r="ID4" i="9"/>
  <c r="IE4" i="9"/>
  <c r="IF4" i="9"/>
  <c r="IG4" i="9"/>
  <c r="IH4" i="9"/>
  <c r="II4" i="9"/>
  <c r="IJ4" i="9"/>
  <c r="IK4" i="9"/>
  <c r="IL4" i="9"/>
  <c r="IM4" i="9"/>
  <c r="IN4" i="9"/>
  <c r="IO4" i="9"/>
  <c r="IP4" i="9"/>
  <c r="IQ4" i="9"/>
  <c r="IR4" i="9"/>
  <c r="IS4" i="9"/>
  <c r="IT4" i="9"/>
  <c r="IU4" i="9"/>
  <c r="IV4" i="9"/>
  <c r="IW4" i="9"/>
  <c r="IX4" i="9"/>
  <c r="IY4" i="9"/>
  <c r="IZ4" i="9"/>
  <c r="JA4" i="9"/>
  <c r="JB4" i="9"/>
  <c r="JC4" i="9"/>
  <c r="JD4" i="9"/>
  <c r="JE4" i="9"/>
  <c r="FV4" i="9"/>
  <c r="FW4" i="9"/>
  <c r="FX4" i="9"/>
  <c r="FY4" i="9"/>
  <c r="FZ4" i="9"/>
  <c r="GA4" i="9"/>
  <c r="GB4" i="9"/>
  <c r="GC4" i="9"/>
  <c r="GD4" i="9"/>
  <c r="GE4" i="9"/>
  <c r="GF4" i="9"/>
  <c r="GG4" i="9"/>
  <c r="GH4" i="9"/>
  <c r="GI4" i="9"/>
  <c r="GJ4" i="9"/>
  <c r="GK4" i="9"/>
  <c r="GL4" i="9"/>
  <c r="GM4" i="9"/>
  <c r="GN4" i="9"/>
  <c r="GO4" i="9"/>
  <c r="GP4" i="9"/>
  <c r="GQ4" i="9"/>
  <c r="GR4" i="9"/>
  <c r="GS4" i="9"/>
  <c r="GT4" i="9"/>
  <c r="GU4" i="9"/>
  <c r="GV4" i="9"/>
  <c r="GW4" i="9"/>
  <c r="GX4" i="9"/>
  <c r="GY4" i="9"/>
  <c r="GZ4" i="9"/>
  <c r="HA4" i="9"/>
  <c r="HB4" i="9"/>
  <c r="HC4" i="9"/>
  <c r="HD4" i="9"/>
  <c r="HE4" i="9"/>
  <c r="HF4" i="9"/>
  <c r="HG4" i="9"/>
  <c r="HH4" i="9"/>
  <c r="HI4" i="9"/>
  <c r="HJ4" i="9"/>
  <c r="HK4" i="9"/>
  <c r="HL4" i="9"/>
  <c r="HM4" i="9"/>
  <c r="ED4" i="9"/>
  <c r="EE4" i="9"/>
  <c r="EF4" i="9"/>
  <c r="EG4" i="9"/>
  <c r="EH4" i="9"/>
  <c r="EI4" i="9"/>
  <c r="EJ4" i="9"/>
  <c r="EK4" i="9"/>
  <c r="EL4" i="9"/>
  <c r="EM4" i="9"/>
  <c r="EN4" i="9"/>
  <c r="EO4" i="9"/>
  <c r="EP4" i="9"/>
  <c r="EQ4" i="9"/>
  <c r="ER4" i="9"/>
  <c r="ES4" i="9"/>
  <c r="ET4" i="9"/>
  <c r="EU4" i="9"/>
  <c r="EV4" i="9"/>
  <c r="EW4" i="9"/>
  <c r="EX4" i="9"/>
  <c r="EY4" i="9"/>
  <c r="EZ4" i="9"/>
  <c r="FA4" i="9"/>
  <c r="FB4" i="9"/>
  <c r="FC4" i="9"/>
  <c r="FD4" i="9"/>
  <c r="FE4" i="9"/>
  <c r="FF4" i="9"/>
  <c r="FG4" i="9"/>
  <c r="FH4" i="9"/>
  <c r="FI4" i="9"/>
  <c r="FJ4" i="9"/>
  <c r="FK4" i="9"/>
  <c r="FL4" i="9"/>
  <c r="FM4" i="9"/>
  <c r="FN4" i="9"/>
  <c r="FO4" i="9"/>
  <c r="FP4" i="9"/>
  <c r="FQ4" i="9"/>
  <c r="FR4" i="9"/>
  <c r="FS4" i="9"/>
  <c r="FT4" i="9"/>
  <c r="FU4" i="9"/>
  <c r="CL4" i="9"/>
  <c r="CM4" i="9"/>
  <c r="CN4" i="9"/>
  <c r="CO4" i="9"/>
  <c r="CP4" i="9"/>
  <c r="CQ4" i="9"/>
  <c r="CR4" i="9"/>
  <c r="CS4" i="9"/>
  <c r="CT4" i="9"/>
  <c r="CU4" i="9"/>
  <c r="CV4" i="9"/>
  <c r="CW4" i="9"/>
  <c r="CX4" i="9"/>
  <c r="CY4" i="9"/>
  <c r="CZ4" i="9"/>
  <c r="DA4" i="9"/>
  <c r="DB4" i="9"/>
  <c r="DC4" i="9"/>
  <c r="DD4" i="9"/>
  <c r="DE4" i="9"/>
  <c r="DF4" i="9"/>
  <c r="DG4" i="9"/>
  <c r="DH4" i="9"/>
  <c r="DI4" i="9"/>
  <c r="DJ4" i="9"/>
  <c r="DK4" i="9"/>
  <c r="DL4" i="9"/>
  <c r="DM4" i="9"/>
  <c r="DN4" i="9"/>
  <c r="DO4" i="9"/>
  <c r="DP4" i="9"/>
  <c r="DQ4" i="9"/>
  <c r="DR4" i="9"/>
  <c r="DS4" i="9"/>
  <c r="DT4" i="9"/>
  <c r="DU4" i="9"/>
  <c r="DV4" i="9"/>
  <c r="DW4" i="9"/>
  <c r="DX4" i="9"/>
  <c r="DY4" i="9"/>
  <c r="DZ4" i="9"/>
  <c r="EA4" i="9"/>
  <c r="EB4" i="9"/>
  <c r="EC4" i="9"/>
  <c r="AT4" i="9"/>
  <c r="AU4" i="9"/>
  <c r="AV4" i="9"/>
  <c r="AW4" i="9"/>
  <c r="AX4" i="9"/>
  <c r="AY4" i="9"/>
  <c r="AZ4" i="9"/>
  <c r="BA4" i="9"/>
  <c r="BB4" i="9"/>
  <c r="BC4" i="9"/>
  <c r="BD4" i="9"/>
  <c r="BE4" i="9"/>
  <c r="BF4" i="9"/>
  <c r="BG4" i="9"/>
  <c r="BH4" i="9"/>
  <c r="BI4" i="9"/>
  <c r="BJ4" i="9"/>
  <c r="BK4" i="9"/>
  <c r="BL4" i="9"/>
  <c r="BM4" i="9"/>
  <c r="BN4" i="9"/>
  <c r="BO4" i="9"/>
  <c r="BP4" i="9"/>
  <c r="BQ4" i="9"/>
  <c r="BR4" i="9"/>
  <c r="BS4" i="9"/>
  <c r="BT4" i="9"/>
  <c r="BU4" i="9"/>
  <c r="BV4" i="9"/>
  <c r="BW4" i="9"/>
  <c r="BX4" i="9"/>
  <c r="BY4" i="9"/>
  <c r="BZ4" i="9"/>
  <c r="CA4" i="9"/>
  <c r="CB4" i="9"/>
  <c r="CC4" i="9"/>
  <c r="CD4" i="9"/>
  <c r="CE4" i="9"/>
  <c r="CF4" i="9"/>
  <c r="CG4" i="9"/>
  <c r="CH4" i="9"/>
  <c r="CI4" i="9"/>
  <c r="CJ4" i="9"/>
  <c r="CK4" i="9"/>
  <c r="B4" i="9"/>
  <c r="C4" i="9"/>
  <c r="D4" i="9"/>
  <c r="E4" i="9"/>
  <c r="F4" i="9"/>
  <c r="G4" i="9"/>
  <c r="H4" i="9"/>
  <c r="I4" i="9"/>
  <c r="J4" i="9"/>
  <c r="K4" i="9"/>
  <c r="L4" i="9"/>
  <c r="M4" i="9"/>
  <c r="N4" i="9"/>
  <c r="O4" i="9"/>
  <c r="P4" i="9"/>
  <c r="Q4" i="9"/>
  <c r="R4" i="9"/>
  <c r="S4" i="9"/>
  <c r="T4" i="9"/>
  <c r="U4" i="9"/>
  <c r="V4" i="9"/>
  <c r="W4" i="9"/>
  <c r="X4" i="9"/>
  <c r="Y4" i="9"/>
  <c r="Z4" i="9"/>
  <c r="AA4" i="9"/>
  <c r="AB4" i="9"/>
  <c r="AC4" i="9"/>
  <c r="AD4" i="9"/>
  <c r="AE4" i="9"/>
  <c r="AF4" i="9"/>
  <c r="AG4" i="9"/>
  <c r="AH4" i="9"/>
  <c r="AI4" i="9"/>
  <c r="AJ4" i="9"/>
  <c r="AK4" i="9"/>
  <c r="AL4" i="9"/>
  <c r="AM4" i="9"/>
  <c r="AN4" i="9"/>
  <c r="AO4" i="9"/>
  <c r="AP4" i="9"/>
  <c r="AQ4" i="9"/>
  <c r="AR4" i="9"/>
  <c r="AS4" i="9"/>
  <c r="ECT3" i="9"/>
  <c r="ECU3" i="9"/>
  <c r="ECV3" i="9"/>
  <c r="ECW3" i="9"/>
  <c r="ECX3" i="9"/>
  <c r="ECY3" i="9"/>
  <c r="ECZ3" i="9"/>
  <c r="EDA3" i="9"/>
  <c r="EDB3" i="9"/>
  <c r="EDC3" i="9"/>
  <c r="EDD3" i="9"/>
  <c r="EDE3" i="9"/>
  <c r="EDF3" i="9"/>
  <c r="EDG3" i="9"/>
  <c r="EDH3" i="9"/>
  <c r="EDI3" i="9"/>
  <c r="EDJ3" i="9"/>
  <c r="EDK3" i="9"/>
  <c r="EDL3" i="9"/>
  <c r="EDM3" i="9"/>
  <c r="EDN3" i="9"/>
  <c r="EDO3" i="9"/>
  <c r="EDP3" i="9"/>
  <c r="EDQ3" i="9"/>
  <c r="EDR3" i="9"/>
  <c r="EDS3" i="9"/>
  <c r="EDT3" i="9"/>
  <c r="EDU3" i="9"/>
  <c r="EDV3" i="9"/>
  <c r="EDW3" i="9"/>
  <c r="EDX3" i="9"/>
  <c r="EDY3" i="9"/>
  <c r="EDZ3" i="9"/>
  <c r="EEA3" i="9"/>
  <c r="EEB3" i="9"/>
  <c r="EEC3" i="9"/>
  <c r="EED3" i="9"/>
  <c r="EEE3" i="9"/>
  <c r="EEF3" i="9"/>
  <c r="EEG3" i="9"/>
  <c r="EEH3" i="9"/>
  <c r="EEI3" i="9"/>
  <c r="EEJ3" i="9"/>
  <c r="EEK3" i="9"/>
  <c r="EBB3" i="9"/>
  <c r="EBC3" i="9"/>
  <c r="EBD3" i="9"/>
  <c r="EBE3" i="9"/>
  <c r="EBF3" i="9"/>
  <c r="EBG3" i="9"/>
  <c r="EBH3" i="9"/>
  <c r="EBI3" i="9"/>
  <c r="EBJ3" i="9"/>
  <c r="EBK3" i="9"/>
  <c r="EBL3" i="9"/>
  <c r="EBM3" i="9"/>
  <c r="EBN3" i="9"/>
  <c r="EBO3" i="9"/>
  <c r="EBP3" i="9"/>
  <c r="EBQ3" i="9"/>
  <c r="EBR3" i="9"/>
  <c r="EBS3" i="9"/>
  <c r="EBT3" i="9"/>
  <c r="EBU3" i="9"/>
  <c r="EBV3" i="9"/>
  <c r="EBW3" i="9"/>
  <c r="EBX3" i="9"/>
  <c r="EBY3" i="9"/>
  <c r="EBZ3" i="9"/>
  <c r="ECA3" i="9"/>
  <c r="ECB3" i="9"/>
  <c r="ECC3" i="9"/>
  <c r="ECD3" i="9"/>
  <c r="ECE3" i="9"/>
  <c r="ECF3" i="9"/>
  <c r="ECG3" i="9"/>
  <c r="ECH3" i="9"/>
  <c r="ECI3" i="9"/>
  <c r="ECJ3" i="9"/>
  <c r="ECK3" i="9"/>
  <c r="ECL3" i="9"/>
  <c r="ECM3" i="9"/>
  <c r="ECN3" i="9"/>
  <c r="ECO3" i="9"/>
  <c r="ECP3" i="9"/>
  <c r="ECQ3" i="9"/>
  <c r="ECR3" i="9"/>
  <c r="ECS3" i="9"/>
  <c r="DZJ3" i="9"/>
  <c r="DZK3" i="9"/>
  <c r="DZL3" i="9"/>
  <c r="DZM3" i="9"/>
  <c r="DZN3" i="9"/>
  <c r="DZO3" i="9"/>
  <c r="DZP3" i="9"/>
  <c r="DZQ3" i="9"/>
  <c r="DZR3" i="9"/>
  <c r="DZS3" i="9"/>
  <c r="DZT3" i="9"/>
  <c r="DZU3" i="9"/>
  <c r="DZV3" i="9"/>
  <c r="DZW3" i="9"/>
  <c r="DZX3" i="9"/>
  <c r="DZY3" i="9"/>
  <c r="DZZ3" i="9"/>
  <c r="EAA3" i="9"/>
  <c r="EAB3" i="9"/>
  <c r="EAC3" i="9"/>
  <c r="EAD3" i="9"/>
  <c r="EAE3" i="9"/>
  <c r="EAF3" i="9"/>
  <c r="EAG3" i="9"/>
  <c r="EAH3" i="9"/>
  <c r="EAI3" i="9"/>
  <c r="EAJ3" i="9"/>
  <c r="EAK3" i="9"/>
  <c r="EAL3" i="9"/>
  <c r="EAM3" i="9"/>
  <c r="EAN3" i="9"/>
  <c r="EAO3" i="9"/>
  <c r="EAP3" i="9"/>
  <c r="EAQ3" i="9"/>
  <c r="EAR3" i="9"/>
  <c r="EAS3" i="9"/>
  <c r="EAT3" i="9"/>
  <c r="EAU3" i="9"/>
  <c r="EAV3" i="9"/>
  <c r="EAW3" i="9"/>
  <c r="EAX3" i="9"/>
  <c r="EAY3" i="9"/>
  <c r="EAZ3" i="9"/>
  <c r="EBA3" i="9"/>
  <c r="DXR3" i="9"/>
  <c r="DXS3" i="9"/>
  <c r="DXT3" i="9"/>
  <c r="DXU3" i="9"/>
  <c r="DXV3" i="9"/>
  <c r="DXW3" i="9"/>
  <c r="DXX3" i="9"/>
  <c r="DXY3" i="9"/>
  <c r="DXZ3" i="9"/>
  <c r="DYA3" i="9"/>
  <c r="DYB3" i="9"/>
  <c r="DYC3" i="9"/>
  <c r="DYD3" i="9"/>
  <c r="DYE3" i="9"/>
  <c r="DYF3" i="9"/>
  <c r="DYG3" i="9"/>
  <c r="DYH3" i="9"/>
  <c r="DYI3" i="9"/>
  <c r="DYJ3" i="9"/>
  <c r="DYK3" i="9"/>
  <c r="DYL3" i="9"/>
  <c r="DYM3" i="9"/>
  <c r="DYN3" i="9"/>
  <c r="DYO3" i="9"/>
  <c r="DYP3" i="9"/>
  <c r="DYQ3" i="9"/>
  <c r="DYR3" i="9"/>
  <c r="DYS3" i="9"/>
  <c r="DYT3" i="9"/>
  <c r="DYU3" i="9"/>
  <c r="DYV3" i="9"/>
  <c r="DYW3" i="9"/>
  <c r="DYX3" i="9"/>
  <c r="DYY3" i="9"/>
  <c r="DYZ3" i="9"/>
  <c r="DZA3" i="9"/>
  <c r="DZB3" i="9"/>
  <c r="DZC3" i="9"/>
  <c r="DZD3" i="9"/>
  <c r="DZE3" i="9"/>
  <c r="DZF3" i="9"/>
  <c r="DZG3" i="9"/>
  <c r="DZH3" i="9"/>
  <c r="DZI3" i="9"/>
  <c r="DVZ3" i="9"/>
  <c r="DWA3" i="9"/>
  <c r="DWB3" i="9"/>
  <c r="DWC3" i="9"/>
  <c r="DWD3" i="9"/>
  <c r="DWE3" i="9"/>
  <c r="DWF3" i="9"/>
  <c r="DWG3" i="9"/>
  <c r="DWH3" i="9"/>
  <c r="DWI3" i="9"/>
  <c r="DWJ3" i="9"/>
  <c r="DWK3" i="9"/>
  <c r="DWL3" i="9"/>
  <c r="DWM3" i="9"/>
  <c r="DWN3" i="9"/>
  <c r="DWO3" i="9"/>
  <c r="DWP3" i="9"/>
  <c r="DWQ3" i="9"/>
  <c r="DWR3" i="9"/>
  <c r="DWS3" i="9"/>
  <c r="DWT3" i="9"/>
  <c r="DWU3" i="9"/>
  <c r="DWV3" i="9"/>
  <c r="DWW3" i="9"/>
  <c r="DWX3" i="9"/>
  <c r="DWY3" i="9"/>
  <c r="DWZ3" i="9"/>
  <c r="DXA3" i="9"/>
  <c r="DXB3" i="9"/>
  <c r="DXC3" i="9"/>
  <c r="DXD3" i="9"/>
  <c r="DXE3" i="9"/>
  <c r="DXF3" i="9"/>
  <c r="DXG3" i="9"/>
  <c r="DXH3" i="9"/>
  <c r="DXI3" i="9"/>
  <c r="DXJ3" i="9"/>
  <c r="DXK3" i="9"/>
  <c r="DXL3" i="9"/>
  <c r="DXM3" i="9"/>
  <c r="DXN3" i="9"/>
  <c r="DXO3" i="9"/>
  <c r="DXP3" i="9"/>
  <c r="DXQ3" i="9"/>
  <c r="DUH3" i="9"/>
  <c r="DUI3" i="9"/>
  <c r="DUJ3" i="9"/>
  <c r="DUK3" i="9"/>
  <c r="DUL3" i="9"/>
  <c r="DUM3" i="9"/>
  <c r="DUN3" i="9"/>
  <c r="DUO3" i="9"/>
  <c r="DUP3" i="9"/>
  <c r="DUQ3" i="9"/>
  <c r="DUR3" i="9"/>
  <c r="DUS3" i="9"/>
  <c r="DUT3" i="9"/>
  <c r="DUU3" i="9"/>
  <c r="DUV3" i="9"/>
  <c r="DUW3" i="9"/>
  <c r="DUX3" i="9"/>
  <c r="DUY3" i="9"/>
  <c r="DUZ3" i="9"/>
  <c r="DVA3" i="9"/>
  <c r="DVB3" i="9"/>
  <c r="DVC3" i="9"/>
  <c r="DVD3" i="9"/>
  <c r="DVE3" i="9"/>
  <c r="DVF3" i="9"/>
  <c r="DVG3" i="9"/>
  <c r="DVH3" i="9"/>
  <c r="DVI3" i="9"/>
  <c r="DVJ3" i="9"/>
  <c r="DVK3" i="9"/>
  <c r="DVL3" i="9"/>
  <c r="DVM3" i="9"/>
  <c r="DVN3" i="9"/>
  <c r="DVO3" i="9"/>
  <c r="DVP3" i="9"/>
  <c r="DVQ3" i="9"/>
  <c r="DVR3" i="9"/>
  <c r="DVS3" i="9"/>
  <c r="DVT3" i="9"/>
  <c r="DVU3" i="9"/>
  <c r="DVV3" i="9"/>
  <c r="DVW3" i="9"/>
  <c r="DVX3" i="9"/>
  <c r="DVY3" i="9"/>
  <c r="DSP3" i="9"/>
  <c r="DSQ3" i="9"/>
  <c r="DSR3" i="9"/>
  <c r="DSS3" i="9"/>
  <c r="DST3" i="9"/>
  <c r="DSU3" i="9"/>
  <c r="DSV3" i="9"/>
  <c r="DSW3" i="9"/>
  <c r="DSX3" i="9"/>
  <c r="DSY3" i="9"/>
  <c r="DSZ3" i="9"/>
  <c r="DTA3" i="9"/>
  <c r="DTB3" i="9"/>
  <c r="DTC3" i="9"/>
  <c r="DTD3" i="9"/>
  <c r="DTE3" i="9"/>
  <c r="DTF3" i="9"/>
  <c r="DTG3" i="9"/>
  <c r="DTH3" i="9"/>
  <c r="DTI3" i="9"/>
  <c r="DTJ3" i="9"/>
  <c r="DTK3" i="9"/>
  <c r="DTL3" i="9"/>
  <c r="DTM3" i="9"/>
  <c r="DTN3" i="9"/>
  <c r="DTO3" i="9"/>
  <c r="DTP3" i="9"/>
  <c r="DTQ3" i="9"/>
  <c r="DTR3" i="9"/>
  <c r="DTS3" i="9"/>
  <c r="DTT3" i="9"/>
  <c r="DTU3" i="9"/>
  <c r="DTV3" i="9"/>
  <c r="DTW3" i="9"/>
  <c r="DTX3" i="9"/>
  <c r="DTY3" i="9"/>
  <c r="DTZ3" i="9"/>
  <c r="DUA3" i="9"/>
  <c r="DUB3" i="9"/>
  <c r="DUC3" i="9"/>
  <c r="DUD3" i="9"/>
  <c r="DUE3" i="9"/>
  <c r="DUF3" i="9"/>
  <c r="DUG3" i="9"/>
  <c r="DQX3" i="9"/>
  <c r="DQY3" i="9"/>
  <c r="DQZ3" i="9"/>
  <c r="DRA3" i="9"/>
  <c r="DRB3" i="9"/>
  <c r="DRC3" i="9"/>
  <c r="DRD3" i="9"/>
  <c r="DRE3" i="9"/>
  <c r="DRF3" i="9"/>
  <c r="DRG3" i="9"/>
  <c r="DRH3" i="9"/>
  <c r="DRI3" i="9"/>
  <c r="DRJ3" i="9"/>
  <c r="DRK3" i="9"/>
  <c r="DRL3" i="9"/>
  <c r="DRM3" i="9"/>
  <c r="DRN3" i="9"/>
  <c r="DRO3" i="9"/>
  <c r="DRP3" i="9"/>
  <c r="DRQ3" i="9"/>
  <c r="DRR3" i="9"/>
  <c r="DRS3" i="9"/>
  <c r="DRT3" i="9"/>
  <c r="DRU3" i="9"/>
  <c r="DRV3" i="9"/>
  <c r="DRW3" i="9"/>
  <c r="DRX3" i="9"/>
  <c r="DRY3" i="9"/>
  <c r="DRZ3" i="9"/>
  <c r="DSA3" i="9"/>
  <c r="DSB3" i="9"/>
  <c r="DSC3" i="9"/>
  <c r="DSD3" i="9"/>
  <c r="DSE3" i="9"/>
  <c r="DSF3" i="9"/>
  <c r="DSG3" i="9"/>
  <c r="DSH3" i="9"/>
  <c r="DSI3" i="9"/>
  <c r="DSJ3" i="9"/>
  <c r="DSK3" i="9"/>
  <c r="DSL3" i="9"/>
  <c r="DSM3" i="9"/>
  <c r="DSN3" i="9"/>
  <c r="DSO3" i="9"/>
  <c r="DPF3" i="9"/>
  <c r="DPG3" i="9"/>
  <c r="DPH3" i="9"/>
  <c r="DPI3" i="9"/>
  <c r="DPJ3" i="9"/>
  <c r="DPK3" i="9"/>
  <c r="DPL3" i="9"/>
  <c r="DPM3" i="9"/>
  <c r="DPN3" i="9"/>
  <c r="DPO3" i="9"/>
  <c r="DPP3" i="9"/>
  <c r="DPQ3" i="9"/>
  <c r="DPR3" i="9"/>
  <c r="DPS3" i="9"/>
  <c r="DPT3" i="9"/>
  <c r="DPU3" i="9"/>
  <c r="DPV3" i="9"/>
  <c r="DPW3" i="9"/>
  <c r="DPX3" i="9"/>
  <c r="DPY3" i="9"/>
  <c r="DPZ3" i="9"/>
  <c r="DQA3" i="9"/>
  <c r="DQB3" i="9"/>
  <c r="DQC3" i="9"/>
  <c r="DQD3" i="9"/>
  <c r="DQE3" i="9"/>
  <c r="DQF3" i="9"/>
  <c r="DQG3" i="9"/>
  <c r="DQH3" i="9"/>
  <c r="DQI3" i="9"/>
  <c r="DQJ3" i="9"/>
  <c r="DQK3" i="9"/>
  <c r="DQL3" i="9"/>
  <c r="DQM3" i="9"/>
  <c r="DQN3" i="9"/>
  <c r="DQO3" i="9"/>
  <c r="DQP3" i="9"/>
  <c r="DQQ3" i="9"/>
  <c r="DQR3" i="9"/>
  <c r="DQS3" i="9"/>
  <c r="DQT3" i="9"/>
  <c r="DQU3" i="9"/>
  <c r="DQV3" i="9"/>
  <c r="DQW3" i="9"/>
  <c r="DNN3" i="9"/>
  <c r="DNO3" i="9"/>
  <c r="DNP3" i="9"/>
  <c r="DNQ3" i="9"/>
  <c r="DNR3" i="9"/>
  <c r="DNS3" i="9"/>
  <c r="DNT3" i="9"/>
  <c r="DNU3" i="9"/>
  <c r="DNV3" i="9"/>
  <c r="DNW3" i="9"/>
  <c r="DNX3" i="9"/>
  <c r="DNY3" i="9"/>
  <c r="DNZ3" i="9"/>
  <c r="DOA3" i="9"/>
  <c r="DOB3" i="9"/>
  <c r="DOC3" i="9"/>
  <c r="DOD3" i="9"/>
  <c r="DOE3" i="9"/>
  <c r="DOF3" i="9"/>
  <c r="DOG3" i="9"/>
  <c r="DOH3" i="9"/>
  <c r="DOI3" i="9"/>
  <c r="DOJ3" i="9"/>
  <c r="DOK3" i="9"/>
  <c r="DOL3" i="9"/>
  <c r="DOM3" i="9"/>
  <c r="DON3" i="9"/>
  <c r="DOO3" i="9"/>
  <c r="DOP3" i="9"/>
  <c r="DOQ3" i="9"/>
  <c r="DOR3" i="9"/>
  <c r="DOS3" i="9"/>
  <c r="DOT3" i="9"/>
  <c r="DOU3" i="9"/>
  <c r="DOV3" i="9"/>
  <c r="DOW3" i="9"/>
  <c r="DOX3" i="9"/>
  <c r="DOY3" i="9"/>
  <c r="DOZ3" i="9"/>
  <c r="DPA3" i="9"/>
  <c r="DPB3" i="9"/>
  <c r="DPC3" i="9"/>
  <c r="DPD3" i="9"/>
  <c r="DPE3" i="9"/>
  <c r="DLV3" i="9"/>
  <c r="DLW3" i="9"/>
  <c r="DLX3" i="9"/>
  <c r="DLY3" i="9"/>
  <c r="DLZ3" i="9"/>
  <c r="DMA3" i="9"/>
  <c r="DMB3" i="9"/>
  <c r="DMC3" i="9"/>
  <c r="DMD3" i="9"/>
  <c r="DME3" i="9"/>
  <c r="DMF3" i="9"/>
  <c r="DMG3" i="9"/>
  <c r="DMH3" i="9"/>
  <c r="DMI3" i="9"/>
  <c r="DMJ3" i="9"/>
  <c r="DMK3" i="9"/>
  <c r="DML3" i="9"/>
  <c r="DMM3" i="9"/>
  <c r="DMN3" i="9"/>
  <c r="DMO3" i="9"/>
  <c r="DMP3" i="9"/>
  <c r="DMQ3" i="9"/>
  <c r="DMR3" i="9"/>
  <c r="DMS3" i="9"/>
  <c r="DMT3" i="9"/>
  <c r="DMU3" i="9"/>
  <c r="DMV3" i="9"/>
  <c r="DMW3" i="9"/>
  <c r="DMX3" i="9"/>
  <c r="DMY3" i="9"/>
  <c r="DMZ3" i="9"/>
  <c r="DNA3" i="9"/>
  <c r="DNB3" i="9"/>
  <c r="DNC3" i="9"/>
  <c r="DND3" i="9"/>
  <c r="DNE3" i="9"/>
  <c r="DNF3" i="9"/>
  <c r="DNG3" i="9"/>
  <c r="DNH3" i="9"/>
  <c r="DNI3" i="9"/>
  <c r="DNJ3" i="9"/>
  <c r="DNK3" i="9"/>
  <c r="DNL3" i="9"/>
  <c r="DNM3" i="9"/>
  <c r="DKD3" i="9"/>
  <c r="DKE3" i="9"/>
  <c r="DKF3" i="9"/>
  <c r="DKG3" i="9"/>
  <c r="DKH3" i="9"/>
  <c r="DKI3" i="9"/>
  <c r="DKJ3" i="9"/>
  <c r="DKK3" i="9"/>
  <c r="DKL3" i="9"/>
  <c r="DKM3" i="9"/>
  <c r="DKN3" i="9"/>
  <c r="DKO3" i="9"/>
  <c r="DKP3" i="9"/>
  <c r="DKQ3" i="9"/>
  <c r="DKR3" i="9"/>
  <c r="DKS3" i="9"/>
  <c r="DKT3" i="9"/>
  <c r="DKU3" i="9"/>
  <c r="DKV3" i="9"/>
  <c r="DKW3" i="9"/>
  <c r="DKX3" i="9"/>
  <c r="DKY3" i="9"/>
  <c r="DKZ3" i="9"/>
  <c r="DLA3" i="9"/>
  <c r="DLB3" i="9"/>
  <c r="DLC3" i="9"/>
  <c r="DLD3" i="9"/>
  <c r="DLE3" i="9"/>
  <c r="DLF3" i="9"/>
  <c r="DLG3" i="9"/>
  <c r="DLH3" i="9"/>
  <c r="DLI3" i="9"/>
  <c r="DLJ3" i="9"/>
  <c r="DLK3" i="9"/>
  <c r="DLL3" i="9"/>
  <c r="DLM3" i="9"/>
  <c r="DLN3" i="9"/>
  <c r="DLO3" i="9"/>
  <c r="DLP3" i="9"/>
  <c r="DLQ3" i="9"/>
  <c r="DLR3" i="9"/>
  <c r="DLS3" i="9"/>
  <c r="DLT3" i="9"/>
  <c r="DLU3" i="9"/>
  <c r="DIL3" i="9"/>
  <c r="DIM3" i="9"/>
  <c r="DIN3" i="9"/>
  <c r="DIO3" i="9"/>
  <c r="DIP3" i="9"/>
  <c r="DIQ3" i="9"/>
  <c r="DIR3" i="9"/>
  <c r="DIS3" i="9"/>
  <c r="DIT3" i="9"/>
  <c r="DIU3" i="9"/>
  <c r="DIV3" i="9"/>
  <c r="DIW3" i="9"/>
  <c r="DIX3" i="9"/>
  <c r="DIY3" i="9"/>
  <c r="DIZ3" i="9"/>
  <c r="DJA3" i="9"/>
  <c r="DJB3" i="9"/>
  <c r="DJC3" i="9"/>
  <c r="DJD3" i="9"/>
  <c r="DJE3" i="9"/>
  <c r="DJF3" i="9"/>
  <c r="DJG3" i="9"/>
  <c r="DJH3" i="9"/>
  <c r="DJI3" i="9"/>
  <c r="DJJ3" i="9"/>
  <c r="DJK3" i="9"/>
  <c r="DJL3" i="9"/>
  <c r="DJM3" i="9"/>
  <c r="DJN3" i="9"/>
  <c r="DJO3" i="9"/>
  <c r="DJP3" i="9"/>
  <c r="DJQ3" i="9"/>
  <c r="DJR3" i="9"/>
  <c r="DJS3" i="9"/>
  <c r="DJT3" i="9"/>
  <c r="DJU3" i="9"/>
  <c r="DJV3" i="9"/>
  <c r="DJW3" i="9"/>
  <c r="DJX3" i="9"/>
  <c r="DJY3" i="9"/>
  <c r="DJZ3" i="9"/>
  <c r="DKA3" i="9"/>
  <c r="DKB3" i="9"/>
  <c r="DKC3" i="9"/>
  <c r="DGT3" i="9"/>
  <c r="DGU3" i="9"/>
  <c r="DGV3" i="9"/>
  <c r="DGW3" i="9"/>
  <c r="DGX3" i="9"/>
  <c r="DGY3" i="9"/>
  <c r="DGZ3" i="9"/>
  <c r="DHA3" i="9"/>
  <c r="DHB3" i="9"/>
  <c r="DHC3" i="9"/>
  <c r="DHD3" i="9"/>
  <c r="DHE3" i="9"/>
  <c r="DHF3" i="9"/>
  <c r="DHG3" i="9"/>
  <c r="DHH3" i="9"/>
  <c r="DHI3" i="9"/>
  <c r="DHJ3" i="9"/>
  <c r="DHK3" i="9"/>
  <c r="DHL3" i="9"/>
  <c r="DHM3" i="9"/>
  <c r="DHN3" i="9"/>
  <c r="DHO3" i="9"/>
  <c r="DHP3" i="9"/>
  <c r="DHQ3" i="9"/>
  <c r="DHR3" i="9"/>
  <c r="DHS3" i="9"/>
  <c r="DHT3" i="9"/>
  <c r="DHU3" i="9"/>
  <c r="DHV3" i="9"/>
  <c r="DHW3" i="9"/>
  <c r="DHX3" i="9"/>
  <c r="DHY3" i="9"/>
  <c r="DHZ3" i="9"/>
  <c r="DIA3" i="9"/>
  <c r="DIB3" i="9"/>
  <c r="DIC3" i="9"/>
  <c r="DID3" i="9"/>
  <c r="DIE3" i="9"/>
  <c r="DIF3" i="9"/>
  <c r="DIG3" i="9"/>
  <c r="DIH3" i="9"/>
  <c r="DII3" i="9"/>
  <c r="DIJ3" i="9"/>
  <c r="DIK3" i="9"/>
  <c r="DFB3" i="9"/>
  <c r="DFC3" i="9"/>
  <c r="DFD3" i="9"/>
  <c r="DFE3" i="9"/>
  <c r="DFF3" i="9"/>
  <c r="DFG3" i="9"/>
  <c r="DFH3" i="9"/>
  <c r="DFI3" i="9"/>
  <c r="DFJ3" i="9"/>
  <c r="DFK3" i="9"/>
  <c r="DFL3" i="9"/>
  <c r="DFM3" i="9"/>
  <c r="DFN3" i="9"/>
  <c r="DFO3" i="9"/>
  <c r="DFP3" i="9"/>
  <c r="DFQ3" i="9"/>
  <c r="DFR3" i="9"/>
  <c r="DFS3" i="9"/>
  <c r="DFT3" i="9"/>
  <c r="DFU3" i="9"/>
  <c r="DFV3" i="9"/>
  <c r="DFW3" i="9"/>
  <c r="DFX3" i="9"/>
  <c r="DFY3" i="9"/>
  <c r="DFZ3" i="9"/>
  <c r="DGA3" i="9"/>
  <c r="DGB3" i="9"/>
  <c r="DGC3" i="9"/>
  <c r="DGD3" i="9"/>
  <c r="DGE3" i="9"/>
  <c r="DGF3" i="9"/>
  <c r="DGG3" i="9"/>
  <c r="DGH3" i="9"/>
  <c r="DGI3" i="9"/>
  <c r="DGJ3" i="9"/>
  <c r="DGK3" i="9"/>
  <c r="DGL3" i="9"/>
  <c r="DGM3" i="9"/>
  <c r="DGN3" i="9"/>
  <c r="DGO3" i="9"/>
  <c r="DGP3" i="9"/>
  <c r="DGQ3" i="9"/>
  <c r="DGR3" i="9"/>
  <c r="DGS3" i="9"/>
  <c r="DDJ3" i="9"/>
  <c r="DDK3" i="9"/>
  <c r="DDL3" i="9"/>
  <c r="DDM3" i="9"/>
  <c r="DDN3" i="9"/>
  <c r="DDO3" i="9"/>
  <c r="DDP3" i="9"/>
  <c r="DDQ3" i="9"/>
  <c r="DDR3" i="9"/>
  <c r="DDS3" i="9"/>
  <c r="DDT3" i="9"/>
  <c r="DDU3" i="9"/>
  <c r="DDV3" i="9"/>
  <c r="DDW3" i="9"/>
  <c r="DDX3" i="9"/>
  <c r="DDY3" i="9"/>
  <c r="DDZ3" i="9"/>
  <c r="DEA3" i="9"/>
  <c r="DEB3" i="9"/>
  <c r="DEC3" i="9"/>
  <c r="DED3" i="9"/>
  <c r="DEE3" i="9"/>
  <c r="DEF3" i="9"/>
  <c r="DEG3" i="9"/>
  <c r="DEH3" i="9"/>
  <c r="DEI3" i="9"/>
  <c r="DEJ3" i="9"/>
  <c r="DEK3" i="9"/>
  <c r="DEL3" i="9"/>
  <c r="DEM3" i="9"/>
  <c r="DEN3" i="9"/>
  <c r="DEO3" i="9"/>
  <c r="DEP3" i="9"/>
  <c r="DEQ3" i="9"/>
  <c r="DER3" i="9"/>
  <c r="DES3" i="9"/>
  <c r="DET3" i="9"/>
  <c r="DEU3" i="9"/>
  <c r="DEV3" i="9"/>
  <c r="DEW3" i="9"/>
  <c r="DEX3" i="9"/>
  <c r="DEY3" i="9"/>
  <c r="DEZ3" i="9"/>
  <c r="DFA3" i="9"/>
  <c r="DBR3" i="9"/>
  <c r="DBS3" i="9"/>
  <c r="DBT3" i="9"/>
  <c r="DBU3" i="9"/>
  <c r="DBV3" i="9"/>
  <c r="DBW3" i="9"/>
  <c r="DBX3" i="9"/>
  <c r="DBY3" i="9"/>
  <c r="DBZ3" i="9"/>
  <c r="DCA3" i="9"/>
  <c r="DCB3" i="9"/>
  <c r="DCC3" i="9"/>
  <c r="DCD3" i="9"/>
  <c r="DCE3" i="9"/>
  <c r="DCF3" i="9"/>
  <c r="DCG3" i="9"/>
  <c r="DCH3" i="9"/>
  <c r="DCI3" i="9"/>
  <c r="DCJ3" i="9"/>
  <c r="DCK3" i="9"/>
  <c r="DCL3" i="9"/>
  <c r="DCM3" i="9"/>
  <c r="DCN3" i="9"/>
  <c r="DCO3" i="9"/>
  <c r="DCP3" i="9"/>
  <c r="DCQ3" i="9"/>
  <c r="DCR3" i="9"/>
  <c r="DCS3" i="9"/>
  <c r="DCT3" i="9"/>
  <c r="DCU3" i="9"/>
  <c r="DCV3" i="9"/>
  <c r="DCW3" i="9"/>
  <c r="DCX3" i="9"/>
  <c r="DCY3" i="9"/>
  <c r="DCZ3" i="9"/>
  <c r="DDA3" i="9"/>
  <c r="DDB3" i="9"/>
  <c r="DDC3" i="9"/>
  <c r="DDD3" i="9"/>
  <c r="DDE3" i="9"/>
  <c r="DDF3" i="9"/>
  <c r="DDG3" i="9"/>
  <c r="DDH3" i="9"/>
  <c r="DDI3" i="9"/>
  <c r="CZZ3" i="9"/>
  <c r="DAA3" i="9"/>
  <c r="DAB3" i="9"/>
  <c r="DAC3" i="9"/>
  <c r="DAD3" i="9"/>
  <c r="DAE3" i="9"/>
  <c r="DAF3" i="9"/>
  <c r="DAG3" i="9"/>
  <c r="DAH3" i="9"/>
  <c r="DAI3" i="9"/>
  <c r="DAJ3" i="9"/>
  <c r="DAK3" i="9"/>
  <c r="DAL3" i="9"/>
  <c r="DAM3" i="9"/>
  <c r="DAN3" i="9"/>
  <c r="DAO3" i="9"/>
  <c r="DAP3" i="9"/>
  <c r="DAQ3" i="9"/>
  <c r="DAR3" i="9"/>
  <c r="DAS3" i="9"/>
  <c r="DAT3" i="9"/>
  <c r="DAU3" i="9"/>
  <c r="DAV3" i="9"/>
  <c r="DAW3" i="9"/>
  <c r="DAX3" i="9"/>
  <c r="DAY3" i="9"/>
  <c r="DAZ3" i="9"/>
  <c r="DBA3" i="9"/>
  <c r="DBB3" i="9"/>
  <c r="DBC3" i="9"/>
  <c r="DBD3" i="9"/>
  <c r="DBE3" i="9"/>
  <c r="DBF3" i="9"/>
  <c r="DBG3" i="9"/>
  <c r="DBH3" i="9"/>
  <c r="DBI3" i="9"/>
  <c r="DBJ3" i="9"/>
  <c r="DBK3" i="9"/>
  <c r="DBL3" i="9"/>
  <c r="DBM3" i="9"/>
  <c r="DBN3" i="9"/>
  <c r="DBO3" i="9"/>
  <c r="DBP3" i="9"/>
  <c r="DBQ3" i="9"/>
  <c r="CYH3" i="9"/>
  <c r="CYI3" i="9"/>
  <c r="CYJ3" i="9"/>
  <c r="CYK3" i="9"/>
  <c r="CYL3" i="9"/>
  <c r="CYM3" i="9"/>
  <c r="CYN3" i="9"/>
  <c r="CYO3" i="9"/>
  <c r="CYP3" i="9"/>
  <c r="CYQ3" i="9"/>
  <c r="CYR3" i="9"/>
  <c r="CYS3" i="9"/>
  <c r="CYT3" i="9"/>
  <c r="CYU3" i="9"/>
  <c r="CYV3" i="9"/>
  <c r="CYW3" i="9"/>
  <c r="CYX3" i="9"/>
  <c r="CYY3" i="9"/>
  <c r="CYZ3" i="9"/>
  <c r="CZA3" i="9"/>
  <c r="CZB3" i="9"/>
  <c r="CZC3" i="9"/>
  <c r="CZD3" i="9"/>
  <c r="CZE3" i="9"/>
  <c r="CZF3" i="9"/>
  <c r="CZG3" i="9"/>
  <c r="CZH3" i="9"/>
  <c r="CZI3" i="9"/>
  <c r="CZJ3" i="9"/>
  <c r="CZK3" i="9"/>
  <c r="CZL3" i="9"/>
  <c r="CZM3" i="9"/>
  <c r="CZN3" i="9"/>
  <c r="CZO3" i="9"/>
  <c r="CZP3" i="9"/>
  <c r="CZQ3" i="9"/>
  <c r="CZR3" i="9"/>
  <c r="CZS3" i="9"/>
  <c r="CZT3" i="9"/>
  <c r="CZU3" i="9"/>
  <c r="CZV3" i="9"/>
  <c r="CZW3" i="9"/>
  <c r="CZX3" i="9"/>
  <c r="CZY3" i="9"/>
  <c r="CWP3" i="9"/>
  <c r="CWQ3" i="9"/>
  <c r="CWR3" i="9"/>
  <c r="CWS3" i="9"/>
  <c r="CWT3" i="9"/>
  <c r="CWU3" i="9"/>
  <c r="CWV3" i="9"/>
  <c r="CWW3" i="9"/>
  <c r="CWX3" i="9"/>
  <c r="CWY3" i="9"/>
  <c r="CWZ3" i="9"/>
  <c r="CXA3" i="9"/>
  <c r="CXB3" i="9"/>
  <c r="CXC3" i="9"/>
  <c r="CXD3" i="9"/>
  <c r="CXE3" i="9"/>
  <c r="CXF3" i="9"/>
  <c r="CXG3" i="9"/>
  <c r="CXH3" i="9"/>
  <c r="CXI3" i="9"/>
  <c r="CXJ3" i="9"/>
  <c r="CXK3" i="9"/>
  <c r="CXL3" i="9"/>
  <c r="CXM3" i="9"/>
  <c r="CXN3" i="9"/>
  <c r="CXO3" i="9"/>
  <c r="CXP3" i="9"/>
  <c r="CXQ3" i="9"/>
  <c r="CXR3" i="9"/>
  <c r="CXS3" i="9"/>
  <c r="CXT3" i="9"/>
  <c r="CXU3" i="9"/>
  <c r="CXV3" i="9"/>
  <c r="CXW3" i="9"/>
  <c r="CXX3" i="9"/>
  <c r="CXY3" i="9"/>
  <c r="CXZ3" i="9"/>
  <c r="CYA3" i="9"/>
  <c r="CYB3" i="9"/>
  <c r="CYC3" i="9"/>
  <c r="CYD3" i="9"/>
  <c r="CYE3" i="9"/>
  <c r="CYF3" i="9"/>
  <c r="CYG3" i="9"/>
  <c r="CUX3" i="9"/>
  <c r="CUY3" i="9"/>
  <c r="CUZ3" i="9"/>
  <c r="CVA3" i="9"/>
  <c r="CVB3" i="9"/>
  <c r="CVC3" i="9"/>
  <c r="CVD3" i="9"/>
  <c r="CVE3" i="9"/>
  <c r="CVF3" i="9"/>
  <c r="CVG3" i="9"/>
  <c r="CVH3" i="9"/>
  <c r="CVI3" i="9"/>
  <c r="CVJ3" i="9"/>
  <c r="CVK3" i="9"/>
  <c r="CVL3" i="9"/>
  <c r="CVM3" i="9"/>
  <c r="CVN3" i="9"/>
  <c r="CVO3" i="9"/>
  <c r="CVP3" i="9"/>
  <c r="CVQ3" i="9"/>
  <c r="CVR3" i="9"/>
  <c r="CVS3" i="9"/>
  <c r="CVT3" i="9"/>
  <c r="CVU3" i="9"/>
  <c r="CVV3" i="9"/>
  <c r="CVW3" i="9"/>
  <c r="CVX3" i="9"/>
  <c r="CVY3" i="9"/>
  <c r="CVZ3" i="9"/>
  <c r="CWA3" i="9"/>
  <c r="CWB3" i="9"/>
  <c r="CWC3" i="9"/>
  <c r="CWD3" i="9"/>
  <c r="CWE3" i="9"/>
  <c r="CWF3" i="9"/>
  <c r="CWG3" i="9"/>
  <c r="CWH3" i="9"/>
  <c r="CWI3" i="9"/>
  <c r="CWJ3" i="9"/>
  <c r="CWK3" i="9"/>
  <c r="CWL3" i="9"/>
  <c r="CWM3" i="9"/>
  <c r="CWN3" i="9"/>
  <c r="CWO3" i="9"/>
  <c r="CTF3" i="9"/>
  <c r="CTG3" i="9"/>
  <c r="CTH3" i="9"/>
  <c r="CTI3" i="9"/>
  <c r="CTJ3" i="9"/>
  <c r="CTK3" i="9"/>
  <c r="CTL3" i="9"/>
  <c r="CTM3" i="9"/>
  <c r="CTN3" i="9"/>
  <c r="CTO3" i="9"/>
  <c r="CTP3" i="9"/>
  <c r="CTQ3" i="9"/>
  <c r="CTR3" i="9"/>
  <c r="CTS3" i="9"/>
  <c r="CTT3" i="9"/>
  <c r="CTU3" i="9"/>
  <c r="CTV3" i="9"/>
  <c r="CTW3" i="9"/>
  <c r="CTX3" i="9"/>
  <c r="CTY3" i="9"/>
  <c r="CTZ3" i="9"/>
  <c r="CUA3" i="9"/>
  <c r="CUB3" i="9"/>
  <c r="CUC3" i="9"/>
  <c r="CUD3" i="9"/>
  <c r="CUE3" i="9"/>
  <c r="CUF3" i="9"/>
  <c r="CUG3" i="9"/>
  <c r="CUH3" i="9"/>
  <c r="CUI3" i="9"/>
  <c r="CUJ3" i="9"/>
  <c r="CUK3" i="9"/>
  <c r="CUL3" i="9"/>
  <c r="CUM3" i="9"/>
  <c r="CUN3" i="9"/>
  <c r="CUO3" i="9"/>
  <c r="CUP3" i="9"/>
  <c r="CUQ3" i="9"/>
  <c r="CUR3" i="9"/>
  <c r="CUS3" i="9"/>
  <c r="CUT3" i="9"/>
  <c r="CUU3" i="9"/>
  <c r="CUV3" i="9"/>
  <c r="CUW3" i="9"/>
  <c r="CRN3" i="9"/>
  <c r="CRO3" i="9"/>
  <c r="CRP3" i="9"/>
  <c r="CRQ3" i="9"/>
  <c r="CRR3" i="9"/>
  <c r="CRS3" i="9"/>
  <c r="CRT3" i="9"/>
  <c r="CRU3" i="9"/>
  <c r="CRV3" i="9"/>
  <c r="CRW3" i="9"/>
  <c r="CRX3" i="9"/>
  <c r="CRY3" i="9"/>
  <c r="CRZ3" i="9"/>
  <c r="CSA3" i="9"/>
  <c r="CSB3" i="9"/>
  <c r="CSC3" i="9"/>
  <c r="CSD3" i="9"/>
  <c r="CSE3" i="9"/>
  <c r="CSF3" i="9"/>
  <c r="CSG3" i="9"/>
  <c r="CSH3" i="9"/>
  <c r="CSI3" i="9"/>
  <c r="CSJ3" i="9"/>
  <c r="CSK3" i="9"/>
  <c r="CSL3" i="9"/>
  <c r="CSM3" i="9"/>
  <c r="CSN3" i="9"/>
  <c r="CSO3" i="9"/>
  <c r="CSP3" i="9"/>
  <c r="CSQ3" i="9"/>
  <c r="CSR3" i="9"/>
  <c r="CSS3" i="9"/>
  <c r="CST3" i="9"/>
  <c r="CSU3" i="9"/>
  <c r="CSV3" i="9"/>
  <c r="CSW3" i="9"/>
  <c r="CSX3" i="9"/>
  <c r="CSY3" i="9"/>
  <c r="CSZ3" i="9"/>
  <c r="CTA3" i="9"/>
  <c r="CTB3" i="9"/>
  <c r="CTC3" i="9"/>
  <c r="CTD3" i="9"/>
  <c r="CTE3" i="9"/>
  <c r="CPV3" i="9"/>
  <c r="CPW3" i="9"/>
  <c r="CPX3" i="9"/>
  <c r="CPY3" i="9"/>
  <c r="CPZ3" i="9"/>
  <c r="CQA3" i="9"/>
  <c r="CQB3" i="9"/>
  <c r="CQC3" i="9"/>
  <c r="CQD3" i="9"/>
  <c r="CQE3" i="9"/>
  <c r="CQF3" i="9"/>
  <c r="CQG3" i="9"/>
  <c r="CQH3" i="9"/>
  <c r="CQI3" i="9"/>
  <c r="CQJ3" i="9"/>
  <c r="CQK3" i="9"/>
  <c r="CQL3" i="9"/>
  <c r="CQM3" i="9"/>
  <c r="CQN3" i="9"/>
  <c r="CQO3" i="9"/>
  <c r="CQP3" i="9"/>
  <c r="CQQ3" i="9"/>
  <c r="CQR3" i="9"/>
  <c r="CQS3" i="9"/>
  <c r="CQT3" i="9"/>
  <c r="CQU3" i="9"/>
  <c r="CQV3" i="9"/>
  <c r="CQW3" i="9"/>
  <c r="CQX3" i="9"/>
  <c r="CQY3" i="9"/>
  <c r="CQZ3" i="9"/>
  <c r="CRA3" i="9"/>
  <c r="CRB3" i="9"/>
  <c r="CRC3" i="9"/>
  <c r="CRD3" i="9"/>
  <c r="CRE3" i="9"/>
  <c r="CRF3" i="9"/>
  <c r="CRG3" i="9"/>
  <c r="CRH3" i="9"/>
  <c r="CRI3" i="9"/>
  <c r="CRJ3" i="9"/>
  <c r="CRK3" i="9"/>
  <c r="CRL3" i="9"/>
  <c r="CRM3" i="9"/>
  <c r="COD3" i="9"/>
  <c r="COE3" i="9"/>
  <c r="COF3" i="9"/>
  <c r="COG3" i="9"/>
  <c r="COH3" i="9"/>
  <c r="COI3" i="9"/>
  <c r="COJ3" i="9"/>
  <c r="COK3" i="9"/>
  <c r="COL3" i="9"/>
  <c r="COM3" i="9"/>
  <c r="CON3" i="9"/>
  <c r="COO3" i="9"/>
  <c r="COP3" i="9"/>
  <c r="COQ3" i="9"/>
  <c r="COR3" i="9"/>
  <c r="COS3" i="9"/>
  <c r="COT3" i="9"/>
  <c r="COU3" i="9"/>
  <c r="COV3" i="9"/>
  <c r="COW3" i="9"/>
  <c r="COX3" i="9"/>
  <c r="COY3" i="9"/>
  <c r="COZ3" i="9"/>
  <c r="CPA3" i="9"/>
  <c r="CPB3" i="9"/>
  <c r="CPC3" i="9"/>
  <c r="CPD3" i="9"/>
  <c r="CPE3" i="9"/>
  <c r="CPF3" i="9"/>
  <c r="CPG3" i="9"/>
  <c r="CPH3" i="9"/>
  <c r="CPI3" i="9"/>
  <c r="CPJ3" i="9"/>
  <c r="CPK3" i="9"/>
  <c r="CPL3" i="9"/>
  <c r="CPM3" i="9"/>
  <c r="CPN3" i="9"/>
  <c r="CPO3" i="9"/>
  <c r="CPP3" i="9"/>
  <c r="CPQ3" i="9"/>
  <c r="CPR3" i="9"/>
  <c r="CPS3" i="9"/>
  <c r="CPT3" i="9"/>
  <c r="CPU3" i="9"/>
  <c r="CML3" i="9"/>
  <c r="CMM3" i="9"/>
  <c r="CMN3" i="9"/>
  <c r="CMO3" i="9"/>
  <c r="CMP3" i="9"/>
  <c r="CMQ3" i="9"/>
  <c r="CMR3" i="9"/>
  <c r="CMS3" i="9"/>
  <c r="CMT3" i="9"/>
  <c r="CMU3" i="9"/>
  <c r="CMV3" i="9"/>
  <c r="CMW3" i="9"/>
  <c r="CMX3" i="9"/>
  <c r="CMY3" i="9"/>
  <c r="CMZ3" i="9"/>
  <c r="CNA3" i="9"/>
  <c r="CNB3" i="9"/>
  <c r="CNC3" i="9"/>
  <c r="CND3" i="9"/>
  <c r="CNE3" i="9"/>
  <c r="CNF3" i="9"/>
  <c r="CNG3" i="9"/>
  <c r="CNH3" i="9"/>
  <c r="CNI3" i="9"/>
  <c r="CNJ3" i="9"/>
  <c r="CNK3" i="9"/>
  <c r="CNL3" i="9"/>
  <c r="CNM3" i="9"/>
  <c r="CNN3" i="9"/>
  <c r="CNO3" i="9"/>
  <c r="CNP3" i="9"/>
  <c r="CNQ3" i="9"/>
  <c r="CNR3" i="9"/>
  <c r="CNS3" i="9"/>
  <c r="CNT3" i="9"/>
  <c r="CNU3" i="9"/>
  <c r="CNV3" i="9"/>
  <c r="CNW3" i="9"/>
  <c r="CNX3" i="9"/>
  <c r="CNY3" i="9"/>
  <c r="CNZ3" i="9"/>
  <c r="COA3" i="9"/>
  <c r="COB3" i="9"/>
  <c r="COC3" i="9"/>
  <c r="CKT3" i="9"/>
  <c r="CKU3" i="9"/>
  <c r="CKV3" i="9"/>
  <c r="CKW3" i="9"/>
  <c r="CKX3" i="9"/>
  <c r="CKY3" i="9"/>
  <c r="CKZ3" i="9"/>
  <c r="CLA3" i="9"/>
  <c r="CLB3" i="9"/>
  <c r="CLC3" i="9"/>
  <c r="CLD3" i="9"/>
  <c r="CLE3" i="9"/>
  <c r="CLF3" i="9"/>
  <c r="CLG3" i="9"/>
  <c r="CLH3" i="9"/>
  <c r="CLI3" i="9"/>
  <c r="CLJ3" i="9"/>
  <c r="CLK3" i="9"/>
  <c r="CLL3" i="9"/>
  <c r="CLM3" i="9"/>
  <c r="CLN3" i="9"/>
  <c r="CLO3" i="9"/>
  <c r="CLP3" i="9"/>
  <c r="CLQ3" i="9"/>
  <c r="CLR3" i="9"/>
  <c r="CLS3" i="9"/>
  <c r="CLT3" i="9"/>
  <c r="CLU3" i="9"/>
  <c r="CLV3" i="9"/>
  <c r="CLW3" i="9"/>
  <c r="CLX3" i="9"/>
  <c r="CLY3" i="9"/>
  <c r="CLZ3" i="9"/>
  <c r="CMA3" i="9"/>
  <c r="CMB3" i="9"/>
  <c r="CMC3" i="9"/>
  <c r="CMD3" i="9"/>
  <c r="CME3" i="9"/>
  <c r="CMF3" i="9"/>
  <c r="CMG3" i="9"/>
  <c r="CMH3" i="9"/>
  <c r="CMI3" i="9"/>
  <c r="CMJ3" i="9"/>
  <c r="CMK3" i="9"/>
  <c r="CJB3" i="9"/>
  <c r="CJC3" i="9"/>
  <c r="CJD3" i="9"/>
  <c r="CJE3" i="9"/>
  <c r="CJF3" i="9"/>
  <c r="CJG3" i="9"/>
  <c r="CJH3" i="9"/>
  <c r="CJI3" i="9"/>
  <c r="CJJ3" i="9"/>
  <c r="CJK3" i="9"/>
  <c r="CJL3" i="9"/>
  <c r="CJM3" i="9"/>
  <c r="CJN3" i="9"/>
  <c r="CJO3" i="9"/>
  <c r="CJP3" i="9"/>
  <c r="CJQ3" i="9"/>
  <c r="CJR3" i="9"/>
  <c r="CJS3" i="9"/>
  <c r="CJT3" i="9"/>
  <c r="CJU3" i="9"/>
  <c r="CJV3" i="9"/>
  <c r="CJW3" i="9"/>
  <c r="CJX3" i="9"/>
  <c r="CJY3" i="9"/>
  <c r="CJZ3" i="9"/>
  <c r="CKA3" i="9"/>
  <c r="CKB3" i="9"/>
  <c r="CKC3" i="9"/>
  <c r="CKD3" i="9"/>
  <c r="CKE3" i="9"/>
  <c r="CKF3" i="9"/>
  <c r="CKG3" i="9"/>
  <c r="CKH3" i="9"/>
  <c r="CKI3" i="9"/>
  <c r="CKJ3" i="9"/>
  <c r="CKK3" i="9"/>
  <c r="CKL3" i="9"/>
  <c r="CKM3" i="9"/>
  <c r="CKN3" i="9"/>
  <c r="CKO3" i="9"/>
  <c r="CKP3" i="9"/>
  <c r="CKQ3" i="9"/>
  <c r="CKR3" i="9"/>
  <c r="CKS3" i="9"/>
  <c r="CHJ3" i="9"/>
  <c r="CHK3" i="9"/>
  <c r="CHL3" i="9"/>
  <c r="CHM3" i="9"/>
  <c r="CHN3" i="9"/>
  <c r="CHO3" i="9"/>
  <c r="CHP3" i="9"/>
  <c r="CHQ3" i="9"/>
  <c r="CHR3" i="9"/>
  <c r="CHS3" i="9"/>
  <c r="CHT3" i="9"/>
  <c r="CHU3" i="9"/>
  <c r="CHV3" i="9"/>
  <c r="CHW3" i="9"/>
  <c r="CHX3" i="9"/>
  <c r="CHY3" i="9"/>
  <c r="CHZ3" i="9"/>
  <c r="CIA3" i="9"/>
  <c r="CIB3" i="9"/>
  <c r="CIC3" i="9"/>
  <c r="CID3" i="9"/>
  <c r="CIE3" i="9"/>
  <c r="CIF3" i="9"/>
  <c r="CIG3" i="9"/>
  <c r="CIH3" i="9"/>
  <c r="CII3" i="9"/>
  <c r="CIJ3" i="9"/>
  <c r="CIK3" i="9"/>
  <c r="CIL3" i="9"/>
  <c r="CIM3" i="9"/>
  <c r="CIN3" i="9"/>
  <c r="CIO3" i="9"/>
  <c r="CIP3" i="9"/>
  <c r="CIQ3" i="9"/>
  <c r="CIR3" i="9"/>
  <c r="CIS3" i="9"/>
  <c r="CIT3" i="9"/>
  <c r="CIU3" i="9"/>
  <c r="CIV3" i="9"/>
  <c r="CIW3" i="9"/>
  <c r="CIX3" i="9"/>
  <c r="CIY3" i="9"/>
  <c r="CIZ3" i="9"/>
  <c r="CJA3" i="9"/>
  <c r="CFR3" i="9"/>
  <c r="CFS3" i="9"/>
  <c r="CFT3" i="9"/>
  <c r="CFU3" i="9"/>
  <c r="CFV3" i="9"/>
  <c r="CFW3" i="9"/>
  <c r="CFX3" i="9"/>
  <c r="CFY3" i="9"/>
  <c r="CFZ3" i="9"/>
  <c r="CGA3" i="9"/>
  <c r="CGB3" i="9"/>
  <c r="CGC3" i="9"/>
  <c r="CGD3" i="9"/>
  <c r="CGE3" i="9"/>
  <c r="CGF3" i="9"/>
  <c r="CGG3" i="9"/>
  <c r="CGH3" i="9"/>
  <c r="CGI3" i="9"/>
  <c r="CGJ3" i="9"/>
  <c r="CGK3" i="9"/>
  <c r="CGL3" i="9"/>
  <c r="CGM3" i="9"/>
  <c r="CGN3" i="9"/>
  <c r="CGO3" i="9"/>
  <c r="CGP3" i="9"/>
  <c r="CGQ3" i="9"/>
  <c r="CGR3" i="9"/>
  <c r="CGS3" i="9"/>
  <c r="CGT3" i="9"/>
  <c r="CGU3" i="9"/>
  <c r="CGV3" i="9"/>
  <c r="CGW3" i="9"/>
  <c r="CGX3" i="9"/>
  <c r="CGY3" i="9"/>
  <c r="CGZ3" i="9"/>
  <c r="CHA3" i="9"/>
  <c r="CHB3" i="9"/>
  <c r="CHC3" i="9"/>
  <c r="CHD3" i="9"/>
  <c r="CHE3" i="9"/>
  <c r="CHF3" i="9"/>
  <c r="CHG3" i="9"/>
  <c r="CHH3" i="9"/>
  <c r="CHI3" i="9"/>
  <c r="CDZ3" i="9"/>
  <c r="CEA3" i="9"/>
  <c r="CEB3" i="9"/>
  <c r="CEC3" i="9"/>
  <c r="CED3" i="9"/>
  <c r="CEE3" i="9"/>
  <c r="CEF3" i="9"/>
  <c r="CEG3" i="9"/>
  <c r="CEH3" i="9"/>
  <c r="CEI3" i="9"/>
  <c r="CEJ3" i="9"/>
  <c r="CEK3" i="9"/>
  <c r="CEL3" i="9"/>
  <c r="CEM3" i="9"/>
  <c r="CEN3" i="9"/>
  <c r="CEO3" i="9"/>
  <c r="CEP3" i="9"/>
  <c r="CEQ3" i="9"/>
  <c r="CER3" i="9"/>
  <c r="CES3" i="9"/>
  <c r="CET3" i="9"/>
  <c r="CEU3" i="9"/>
  <c r="CEV3" i="9"/>
  <c r="CEW3" i="9"/>
  <c r="CEX3" i="9"/>
  <c r="CEY3" i="9"/>
  <c r="CEZ3" i="9"/>
  <c r="CFA3" i="9"/>
  <c r="CFB3" i="9"/>
  <c r="CFC3" i="9"/>
  <c r="CFD3" i="9"/>
  <c r="CFE3" i="9"/>
  <c r="CFF3" i="9"/>
  <c r="CFG3" i="9"/>
  <c r="CFH3" i="9"/>
  <c r="CFI3" i="9"/>
  <c r="CFJ3" i="9"/>
  <c r="CFK3" i="9"/>
  <c r="CFL3" i="9"/>
  <c r="CFM3" i="9"/>
  <c r="CFN3" i="9"/>
  <c r="CFO3" i="9"/>
  <c r="CFP3" i="9"/>
  <c r="CFQ3" i="9"/>
  <c r="CCH3" i="9"/>
  <c r="CCI3" i="9"/>
  <c r="CCJ3" i="9"/>
  <c r="CCK3" i="9"/>
  <c r="CCL3" i="9"/>
  <c r="CCM3" i="9"/>
  <c r="CCN3" i="9"/>
  <c r="CCO3" i="9"/>
  <c r="CCP3" i="9"/>
  <c r="CCQ3" i="9"/>
  <c r="CCR3" i="9"/>
  <c r="CCS3" i="9"/>
  <c r="CCT3" i="9"/>
  <c r="CCU3" i="9"/>
  <c r="CCV3" i="9"/>
  <c r="CCW3" i="9"/>
  <c r="CCX3" i="9"/>
  <c r="CCY3" i="9"/>
  <c r="CCZ3" i="9"/>
  <c r="CDA3" i="9"/>
  <c r="CDB3" i="9"/>
  <c r="CDC3" i="9"/>
  <c r="CDD3" i="9"/>
  <c r="CDE3" i="9"/>
  <c r="CDF3" i="9"/>
  <c r="CDG3" i="9"/>
  <c r="CDH3" i="9"/>
  <c r="CDI3" i="9"/>
  <c r="CDJ3" i="9"/>
  <c r="CDK3" i="9"/>
  <c r="CDL3" i="9"/>
  <c r="CDM3" i="9"/>
  <c r="CDN3" i="9"/>
  <c r="CDO3" i="9"/>
  <c r="CDP3" i="9"/>
  <c r="CDQ3" i="9"/>
  <c r="CDR3" i="9"/>
  <c r="CDS3" i="9"/>
  <c r="CDT3" i="9"/>
  <c r="CDU3" i="9"/>
  <c r="CDV3" i="9"/>
  <c r="CDW3" i="9"/>
  <c r="CDX3" i="9"/>
  <c r="CDY3" i="9"/>
  <c r="CAP3" i="9"/>
  <c r="CAQ3" i="9"/>
  <c r="CAR3" i="9"/>
  <c r="CAS3" i="9"/>
  <c r="CAT3" i="9"/>
  <c r="CAU3" i="9"/>
  <c r="CAV3" i="9"/>
  <c r="CAW3" i="9"/>
  <c r="CAX3" i="9"/>
  <c r="CAY3" i="9"/>
  <c r="CAZ3" i="9"/>
  <c r="CBA3" i="9"/>
  <c r="CBB3" i="9"/>
  <c r="CBC3" i="9"/>
  <c r="CBD3" i="9"/>
  <c r="CBE3" i="9"/>
  <c r="CBF3" i="9"/>
  <c r="CBG3" i="9"/>
  <c r="CBH3" i="9"/>
  <c r="CBI3" i="9"/>
  <c r="CBJ3" i="9"/>
  <c r="CBK3" i="9"/>
  <c r="CBL3" i="9"/>
  <c r="CBM3" i="9"/>
  <c r="CBN3" i="9"/>
  <c r="CBO3" i="9"/>
  <c r="CBP3" i="9"/>
  <c r="CBQ3" i="9"/>
  <c r="CBR3" i="9"/>
  <c r="CBS3" i="9"/>
  <c r="CBT3" i="9"/>
  <c r="CBU3" i="9"/>
  <c r="CBV3" i="9"/>
  <c r="CBW3" i="9"/>
  <c r="CBX3" i="9"/>
  <c r="CBY3" i="9"/>
  <c r="CBZ3" i="9"/>
  <c r="CCA3" i="9"/>
  <c r="CCB3" i="9"/>
  <c r="CCC3" i="9"/>
  <c r="CCD3" i="9"/>
  <c r="CCE3" i="9"/>
  <c r="CCF3" i="9"/>
  <c r="CCG3" i="9"/>
  <c r="BYX3" i="9"/>
  <c r="BYY3" i="9"/>
  <c r="BYZ3" i="9"/>
  <c r="BZA3" i="9"/>
  <c r="BZB3" i="9"/>
  <c r="BZC3" i="9"/>
  <c r="BZD3" i="9"/>
  <c r="BZE3" i="9"/>
  <c r="BZF3" i="9"/>
  <c r="BZG3" i="9"/>
  <c r="BZH3" i="9"/>
  <c r="BZI3" i="9"/>
  <c r="BZJ3" i="9"/>
  <c r="BZK3" i="9"/>
  <c r="BZL3" i="9"/>
  <c r="BZM3" i="9"/>
  <c r="BZN3" i="9"/>
  <c r="BZO3" i="9"/>
  <c r="BZP3" i="9"/>
  <c r="BZQ3" i="9"/>
  <c r="BZR3" i="9"/>
  <c r="BZS3" i="9"/>
  <c r="BZT3" i="9"/>
  <c r="BZU3" i="9"/>
  <c r="BZV3" i="9"/>
  <c r="BZW3" i="9"/>
  <c r="BZX3" i="9"/>
  <c r="BZY3" i="9"/>
  <c r="BZZ3" i="9"/>
  <c r="CAA3" i="9"/>
  <c r="CAB3" i="9"/>
  <c r="CAC3" i="9"/>
  <c r="CAD3" i="9"/>
  <c r="CAE3" i="9"/>
  <c r="CAF3" i="9"/>
  <c r="CAG3" i="9"/>
  <c r="CAH3" i="9"/>
  <c r="CAI3" i="9"/>
  <c r="CAJ3" i="9"/>
  <c r="CAK3" i="9"/>
  <c r="CAL3" i="9"/>
  <c r="CAM3" i="9"/>
  <c r="CAN3" i="9"/>
  <c r="CAO3" i="9"/>
  <c r="BXF3" i="9"/>
  <c r="BXG3" i="9"/>
  <c r="BXH3" i="9"/>
  <c r="BXI3" i="9"/>
  <c r="BXJ3" i="9"/>
  <c r="BXK3" i="9"/>
  <c r="BXL3" i="9"/>
  <c r="BXM3" i="9"/>
  <c r="BXN3" i="9"/>
  <c r="BXO3" i="9"/>
  <c r="BXP3" i="9"/>
  <c r="BXQ3" i="9"/>
  <c r="BXR3" i="9"/>
  <c r="BXS3" i="9"/>
  <c r="BXT3" i="9"/>
  <c r="BXU3" i="9"/>
  <c r="BXV3" i="9"/>
  <c r="BXW3" i="9"/>
  <c r="BXX3" i="9"/>
  <c r="BXY3" i="9"/>
  <c r="BXZ3" i="9"/>
  <c r="BYA3" i="9"/>
  <c r="BYB3" i="9"/>
  <c r="BYC3" i="9"/>
  <c r="BYD3" i="9"/>
  <c r="BYE3" i="9"/>
  <c r="BYF3" i="9"/>
  <c r="BYG3" i="9"/>
  <c r="BYH3" i="9"/>
  <c r="BYI3" i="9"/>
  <c r="BYJ3" i="9"/>
  <c r="BYK3" i="9"/>
  <c r="BYL3" i="9"/>
  <c r="BYM3" i="9"/>
  <c r="BYN3" i="9"/>
  <c r="BYO3" i="9"/>
  <c r="BYP3" i="9"/>
  <c r="BYQ3" i="9"/>
  <c r="BYR3" i="9"/>
  <c r="BYS3" i="9"/>
  <c r="BYT3" i="9"/>
  <c r="BYU3" i="9"/>
  <c r="BYV3" i="9"/>
  <c r="BYW3" i="9"/>
  <c r="BVN3" i="9"/>
  <c r="BVO3" i="9"/>
  <c r="BVP3" i="9"/>
  <c r="BVQ3" i="9"/>
  <c r="BVR3" i="9"/>
  <c r="BVS3" i="9"/>
  <c r="BVT3" i="9"/>
  <c r="BVU3" i="9"/>
  <c r="BVV3" i="9"/>
  <c r="BVW3" i="9"/>
  <c r="BVX3" i="9"/>
  <c r="BVY3" i="9"/>
  <c r="BVZ3" i="9"/>
  <c r="BWA3" i="9"/>
  <c r="BWB3" i="9"/>
  <c r="BWC3" i="9"/>
  <c r="BWD3" i="9"/>
  <c r="BWE3" i="9"/>
  <c r="BWF3" i="9"/>
  <c r="BWG3" i="9"/>
  <c r="BWH3" i="9"/>
  <c r="BWI3" i="9"/>
  <c r="BWJ3" i="9"/>
  <c r="BWK3" i="9"/>
  <c r="BWL3" i="9"/>
  <c r="BWM3" i="9"/>
  <c r="BWN3" i="9"/>
  <c r="BWO3" i="9"/>
  <c r="BWP3" i="9"/>
  <c r="BWQ3" i="9"/>
  <c r="BWR3" i="9"/>
  <c r="BWS3" i="9"/>
  <c r="BWT3" i="9"/>
  <c r="BWU3" i="9"/>
  <c r="BWV3" i="9"/>
  <c r="BWW3" i="9"/>
  <c r="BWX3" i="9"/>
  <c r="BWY3" i="9"/>
  <c r="BWZ3" i="9"/>
  <c r="BXA3" i="9"/>
  <c r="BXB3" i="9"/>
  <c r="BXC3" i="9"/>
  <c r="BXD3" i="9"/>
  <c r="BXE3" i="9"/>
  <c r="BTV3" i="9"/>
  <c r="BTW3" i="9"/>
  <c r="BTX3" i="9"/>
  <c r="BTY3" i="9"/>
  <c r="BTZ3" i="9"/>
  <c r="BUA3" i="9"/>
  <c r="BUB3" i="9"/>
  <c r="BUC3" i="9"/>
  <c r="BUD3" i="9"/>
  <c r="BUE3" i="9"/>
  <c r="BUF3" i="9"/>
  <c r="BUG3" i="9"/>
  <c r="BUH3" i="9"/>
  <c r="BUI3" i="9"/>
  <c r="BUJ3" i="9"/>
  <c r="BUK3" i="9"/>
  <c r="BUL3" i="9"/>
  <c r="BUM3" i="9"/>
  <c r="BUN3" i="9"/>
  <c r="BUO3" i="9"/>
  <c r="BUP3" i="9"/>
  <c r="BUQ3" i="9"/>
  <c r="BUR3" i="9"/>
  <c r="BUS3" i="9"/>
  <c r="BUT3" i="9"/>
  <c r="BUU3" i="9"/>
  <c r="BUV3" i="9"/>
  <c r="BUW3" i="9"/>
  <c r="BUX3" i="9"/>
  <c r="BUY3" i="9"/>
  <c r="BUZ3" i="9"/>
  <c r="BVA3" i="9"/>
  <c r="BVB3" i="9"/>
  <c r="BVC3" i="9"/>
  <c r="BVD3" i="9"/>
  <c r="BVE3" i="9"/>
  <c r="BVF3" i="9"/>
  <c r="BVG3" i="9"/>
  <c r="BVH3" i="9"/>
  <c r="BVI3" i="9"/>
  <c r="BVJ3" i="9"/>
  <c r="BVK3" i="9"/>
  <c r="BVL3" i="9"/>
  <c r="BVM3" i="9"/>
  <c r="BSD3" i="9"/>
  <c r="BSE3" i="9"/>
  <c r="BSF3" i="9"/>
  <c r="BSG3" i="9"/>
  <c r="BSH3" i="9"/>
  <c r="BSI3" i="9"/>
  <c r="BSJ3" i="9"/>
  <c r="BSK3" i="9"/>
  <c r="BSL3" i="9"/>
  <c r="BSM3" i="9"/>
  <c r="BSN3" i="9"/>
  <c r="BSO3" i="9"/>
  <c r="BSP3" i="9"/>
  <c r="BSQ3" i="9"/>
  <c r="BSR3" i="9"/>
  <c r="BSS3" i="9"/>
  <c r="BST3" i="9"/>
  <c r="BSU3" i="9"/>
  <c r="BSV3" i="9"/>
  <c r="BSW3" i="9"/>
  <c r="BSX3" i="9"/>
  <c r="BSY3" i="9"/>
  <c r="BSZ3" i="9"/>
  <c r="BTA3" i="9"/>
  <c r="BTB3" i="9"/>
  <c r="BTC3" i="9"/>
  <c r="BTD3" i="9"/>
  <c r="BTE3" i="9"/>
  <c r="BTF3" i="9"/>
  <c r="BTG3" i="9"/>
  <c r="BTH3" i="9"/>
  <c r="BTI3" i="9"/>
  <c r="BTJ3" i="9"/>
  <c r="BTK3" i="9"/>
  <c r="BTL3" i="9"/>
  <c r="BTM3" i="9"/>
  <c r="BTN3" i="9"/>
  <c r="BTO3" i="9"/>
  <c r="BTP3" i="9"/>
  <c r="BTQ3" i="9"/>
  <c r="BTR3" i="9"/>
  <c r="BTS3" i="9"/>
  <c r="BTT3" i="9"/>
  <c r="BTU3" i="9"/>
  <c r="BQL3" i="9"/>
  <c r="BQM3" i="9"/>
  <c r="BQN3" i="9"/>
  <c r="BQO3" i="9"/>
  <c r="BQP3" i="9"/>
  <c r="BQQ3" i="9"/>
  <c r="BQR3" i="9"/>
  <c r="BQS3" i="9"/>
  <c r="BQT3" i="9"/>
  <c r="BQU3" i="9"/>
  <c r="BQV3" i="9"/>
  <c r="BQW3" i="9"/>
  <c r="BQX3" i="9"/>
  <c r="BQY3" i="9"/>
  <c r="BQZ3" i="9"/>
  <c r="BRA3" i="9"/>
  <c r="BRB3" i="9"/>
  <c r="BRC3" i="9"/>
  <c r="BRD3" i="9"/>
  <c r="BRE3" i="9"/>
  <c r="BRF3" i="9"/>
  <c r="BRG3" i="9"/>
  <c r="BRH3" i="9"/>
  <c r="BRI3" i="9"/>
  <c r="BRJ3" i="9"/>
  <c r="BRK3" i="9"/>
  <c r="BRL3" i="9"/>
  <c r="BRM3" i="9"/>
  <c r="BRN3" i="9"/>
  <c r="BRO3" i="9"/>
  <c r="BRP3" i="9"/>
  <c r="BRQ3" i="9"/>
  <c r="BRR3" i="9"/>
  <c r="BRS3" i="9"/>
  <c r="BRT3" i="9"/>
  <c r="BRU3" i="9"/>
  <c r="BRV3" i="9"/>
  <c r="BRW3" i="9"/>
  <c r="BRX3" i="9"/>
  <c r="BRY3" i="9"/>
  <c r="BRZ3" i="9"/>
  <c r="BSA3" i="9"/>
  <c r="BSB3" i="9"/>
  <c r="BSC3" i="9"/>
  <c r="BOT3" i="9"/>
  <c r="BOU3" i="9"/>
  <c r="BOV3" i="9"/>
  <c r="BOW3" i="9"/>
  <c r="BOX3" i="9"/>
  <c r="BOY3" i="9"/>
  <c r="BOZ3" i="9"/>
  <c r="BPA3" i="9"/>
  <c r="BPB3" i="9"/>
  <c r="BPC3" i="9"/>
  <c r="BPD3" i="9"/>
  <c r="BPE3" i="9"/>
  <c r="BPF3" i="9"/>
  <c r="BPG3" i="9"/>
  <c r="BPH3" i="9"/>
  <c r="BPI3" i="9"/>
  <c r="BPJ3" i="9"/>
  <c r="BPK3" i="9"/>
  <c r="BPL3" i="9"/>
  <c r="BPM3" i="9"/>
  <c r="BPN3" i="9"/>
  <c r="BPO3" i="9"/>
  <c r="BPP3" i="9"/>
  <c r="BPQ3" i="9"/>
  <c r="BPR3" i="9"/>
  <c r="BPS3" i="9"/>
  <c r="BPT3" i="9"/>
  <c r="BPU3" i="9"/>
  <c r="BPV3" i="9"/>
  <c r="BPW3" i="9"/>
  <c r="BPX3" i="9"/>
  <c r="BPY3" i="9"/>
  <c r="BPZ3" i="9"/>
  <c r="BQA3" i="9"/>
  <c r="BQB3" i="9"/>
  <c r="BQC3" i="9"/>
  <c r="BQD3" i="9"/>
  <c r="BQE3" i="9"/>
  <c r="BQF3" i="9"/>
  <c r="BQG3" i="9"/>
  <c r="BQH3" i="9"/>
  <c r="BQI3" i="9"/>
  <c r="BQJ3" i="9"/>
  <c r="BQK3" i="9"/>
  <c r="BNB3" i="9"/>
  <c r="BNC3" i="9"/>
  <c r="BND3" i="9"/>
  <c r="BNE3" i="9"/>
  <c r="BNF3" i="9"/>
  <c r="BNG3" i="9"/>
  <c r="BNH3" i="9"/>
  <c r="BNI3" i="9"/>
  <c r="BNJ3" i="9"/>
  <c r="BNK3" i="9"/>
  <c r="BNL3" i="9"/>
  <c r="BNM3" i="9"/>
  <c r="BNN3" i="9"/>
  <c r="BNO3" i="9"/>
  <c r="BNP3" i="9"/>
  <c r="BNQ3" i="9"/>
  <c r="BNR3" i="9"/>
  <c r="BNS3" i="9"/>
  <c r="BNT3" i="9"/>
  <c r="BNU3" i="9"/>
  <c r="BNV3" i="9"/>
  <c r="BNW3" i="9"/>
  <c r="BNX3" i="9"/>
  <c r="BNY3" i="9"/>
  <c r="BNZ3" i="9"/>
  <c r="BOA3" i="9"/>
  <c r="BOB3" i="9"/>
  <c r="BOC3" i="9"/>
  <c r="BOD3" i="9"/>
  <c r="BOE3" i="9"/>
  <c r="BOF3" i="9"/>
  <c r="BOG3" i="9"/>
  <c r="BOH3" i="9"/>
  <c r="BOI3" i="9"/>
  <c r="BOJ3" i="9"/>
  <c r="BOK3" i="9"/>
  <c r="BOL3" i="9"/>
  <c r="BOM3" i="9"/>
  <c r="BON3" i="9"/>
  <c r="BOO3" i="9"/>
  <c r="BOP3" i="9"/>
  <c r="BOQ3" i="9"/>
  <c r="BOR3" i="9"/>
  <c r="BOS3" i="9"/>
  <c r="BLJ3" i="9"/>
  <c r="BLK3" i="9"/>
  <c r="BLL3" i="9"/>
  <c r="BLM3" i="9"/>
  <c r="BLN3" i="9"/>
  <c r="BLO3" i="9"/>
  <c r="BLP3" i="9"/>
  <c r="BLQ3" i="9"/>
  <c r="BLR3" i="9"/>
  <c r="BLS3" i="9"/>
  <c r="BLT3" i="9"/>
  <c r="BLU3" i="9"/>
  <c r="BLV3" i="9"/>
  <c r="BLW3" i="9"/>
  <c r="BLX3" i="9"/>
  <c r="BLY3" i="9"/>
  <c r="BLZ3" i="9"/>
  <c r="BMA3" i="9"/>
  <c r="BMB3" i="9"/>
  <c r="BMC3" i="9"/>
  <c r="BMD3" i="9"/>
  <c r="BME3" i="9"/>
  <c r="BMF3" i="9"/>
  <c r="BMG3" i="9"/>
  <c r="BMH3" i="9"/>
  <c r="BMI3" i="9"/>
  <c r="BMJ3" i="9"/>
  <c r="BMK3" i="9"/>
  <c r="BML3" i="9"/>
  <c r="BMM3" i="9"/>
  <c r="BMN3" i="9"/>
  <c r="BMO3" i="9"/>
  <c r="BMP3" i="9"/>
  <c r="BMQ3" i="9"/>
  <c r="BMR3" i="9"/>
  <c r="BMS3" i="9"/>
  <c r="BMT3" i="9"/>
  <c r="BMU3" i="9"/>
  <c r="BMV3" i="9"/>
  <c r="BMW3" i="9"/>
  <c r="BMX3" i="9"/>
  <c r="BMY3" i="9"/>
  <c r="BMZ3" i="9"/>
  <c r="BNA3" i="9"/>
  <c r="BJR3" i="9"/>
  <c r="BJS3" i="9"/>
  <c r="BJT3" i="9"/>
  <c r="BJU3" i="9"/>
  <c r="BJV3" i="9"/>
  <c r="BJW3" i="9"/>
  <c r="BJX3" i="9"/>
  <c r="BJY3" i="9"/>
  <c r="BJZ3" i="9"/>
  <c r="BKA3" i="9"/>
  <c r="BKB3" i="9"/>
  <c r="BKC3" i="9"/>
  <c r="BKD3" i="9"/>
  <c r="BKE3" i="9"/>
  <c r="BKF3" i="9"/>
  <c r="BKG3" i="9"/>
  <c r="BKH3" i="9"/>
  <c r="BKI3" i="9"/>
  <c r="BKJ3" i="9"/>
  <c r="BKK3" i="9"/>
  <c r="BKL3" i="9"/>
  <c r="BKM3" i="9"/>
  <c r="BKN3" i="9"/>
  <c r="BKO3" i="9"/>
  <c r="BKP3" i="9"/>
  <c r="BKQ3" i="9"/>
  <c r="BKR3" i="9"/>
  <c r="BKS3" i="9"/>
  <c r="BKT3" i="9"/>
  <c r="BKU3" i="9"/>
  <c r="BKV3" i="9"/>
  <c r="BKW3" i="9"/>
  <c r="BKX3" i="9"/>
  <c r="BKY3" i="9"/>
  <c r="BKZ3" i="9"/>
  <c r="BLA3" i="9"/>
  <c r="BLB3" i="9"/>
  <c r="BLC3" i="9"/>
  <c r="BLD3" i="9"/>
  <c r="BLE3" i="9"/>
  <c r="BLF3" i="9"/>
  <c r="BLG3" i="9"/>
  <c r="BLH3" i="9"/>
  <c r="BLI3" i="9"/>
  <c r="BHZ3" i="9"/>
  <c r="BIA3" i="9"/>
  <c r="BIB3" i="9"/>
  <c r="BIC3" i="9"/>
  <c r="BID3" i="9"/>
  <c r="BIE3" i="9"/>
  <c r="BIF3" i="9"/>
  <c r="BIG3" i="9"/>
  <c r="BIH3" i="9"/>
  <c r="BII3" i="9"/>
  <c r="BIJ3" i="9"/>
  <c r="BIK3" i="9"/>
  <c r="BIL3" i="9"/>
  <c r="BIM3" i="9"/>
  <c r="BIN3" i="9"/>
  <c r="BIO3" i="9"/>
  <c r="BIP3" i="9"/>
  <c r="BIQ3" i="9"/>
  <c r="BIR3" i="9"/>
  <c r="BIS3" i="9"/>
  <c r="BIT3" i="9"/>
  <c r="BIU3" i="9"/>
  <c r="BIV3" i="9"/>
  <c r="BIW3" i="9"/>
  <c r="BIX3" i="9"/>
  <c r="BIY3" i="9"/>
  <c r="BIZ3" i="9"/>
  <c r="BJA3" i="9"/>
  <c r="BJB3" i="9"/>
  <c r="BJC3" i="9"/>
  <c r="BJD3" i="9"/>
  <c r="BJE3" i="9"/>
  <c r="BJF3" i="9"/>
  <c r="BJG3" i="9"/>
  <c r="BJH3" i="9"/>
  <c r="BJI3" i="9"/>
  <c r="BJJ3" i="9"/>
  <c r="BJK3" i="9"/>
  <c r="BJL3" i="9"/>
  <c r="BJM3" i="9"/>
  <c r="BJN3" i="9"/>
  <c r="BJO3" i="9"/>
  <c r="BJP3" i="9"/>
  <c r="BJQ3" i="9"/>
  <c r="BGH3" i="9"/>
  <c r="BGI3" i="9"/>
  <c r="BGJ3" i="9"/>
  <c r="BGK3" i="9"/>
  <c r="BGL3" i="9"/>
  <c r="BGM3" i="9"/>
  <c r="BGN3" i="9"/>
  <c r="BGO3" i="9"/>
  <c r="BGP3" i="9"/>
  <c r="BGQ3" i="9"/>
  <c r="BGR3" i="9"/>
  <c r="BGS3" i="9"/>
  <c r="BGT3" i="9"/>
  <c r="BGU3" i="9"/>
  <c r="BGV3" i="9"/>
  <c r="BGW3" i="9"/>
  <c r="BGX3" i="9"/>
  <c r="BGY3" i="9"/>
  <c r="BGZ3" i="9"/>
  <c r="BHA3" i="9"/>
  <c r="BHB3" i="9"/>
  <c r="BHC3" i="9"/>
  <c r="BHD3" i="9"/>
  <c r="BHE3" i="9"/>
  <c r="BHF3" i="9"/>
  <c r="BHG3" i="9"/>
  <c r="BHH3" i="9"/>
  <c r="BHI3" i="9"/>
  <c r="BHJ3" i="9"/>
  <c r="BHK3" i="9"/>
  <c r="BHL3" i="9"/>
  <c r="BHM3" i="9"/>
  <c r="BHN3" i="9"/>
  <c r="BHO3" i="9"/>
  <c r="BHP3" i="9"/>
  <c r="BHQ3" i="9"/>
  <c r="BHR3" i="9"/>
  <c r="BHS3" i="9"/>
  <c r="BHT3" i="9"/>
  <c r="BHU3" i="9"/>
  <c r="BHV3" i="9"/>
  <c r="BHW3" i="9"/>
  <c r="BHX3" i="9"/>
  <c r="BHY3" i="9"/>
  <c r="BEP3" i="9"/>
  <c r="BEQ3" i="9"/>
  <c r="BER3" i="9"/>
  <c r="BES3" i="9"/>
  <c r="BET3" i="9"/>
  <c r="BEU3" i="9"/>
  <c r="BEV3" i="9"/>
  <c r="BEW3" i="9"/>
  <c r="BEX3" i="9"/>
  <c r="BEY3" i="9"/>
  <c r="BEZ3" i="9"/>
  <c r="BFA3" i="9"/>
  <c r="BFB3" i="9"/>
  <c r="BFC3" i="9"/>
  <c r="BFD3" i="9"/>
  <c r="BFE3" i="9"/>
  <c r="BFF3" i="9"/>
  <c r="BFG3" i="9"/>
  <c r="BFH3" i="9"/>
  <c r="BFI3" i="9"/>
  <c r="BFJ3" i="9"/>
  <c r="BFK3" i="9"/>
  <c r="BFL3" i="9"/>
  <c r="BFM3" i="9"/>
  <c r="BFN3" i="9"/>
  <c r="BFO3" i="9"/>
  <c r="BFP3" i="9"/>
  <c r="BFQ3" i="9"/>
  <c r="BFR3" i="9"/>
  <c r="BFS3" i="9"/>
  <c r="BFT3" i="9"/>
  <c r="BFU3" i="9"/>
  <c r="BFV3" i="9"/>
  <c r="BFW3" i="9"/>
  <c r="BFX3" i="9"/>
  <c r="BFY3" i="9"/>
  <c r="BFZ3" i="9"/>
  <c r="BGA3" i="9"/>
  <c r="BGB3" i="9"/>
  <c r="BGC3" i="9"/>
  <c r="BGD3" i="9"/>
  <c r="BGE3" i="9"/>
  <c r="BGF3" i="9"/>
  <c r="BGG3" i="9"/>
  <c r="BCX3" i="9"/>
  <c r="BCY3" i="9"/>
  <c r="BCZ3" i="9"/>
  <c r="BDA3" i="9"/>
  <c r="BDB3" i="9"/>
  <c r="BDC3" i="9"/>
  <c r="BDD3" i="9"/>
  <c r="BDE3" i="9"/>
  <c r="BDF3" i="9"/>
  <c r="BDG3" i="9"/>
  <c r="BDH3" i="9"/>
  <c r="BDI3" i="9"/>
  <c r="BDJ3" i="9"/>
  <c r="BDK3" i="9"/>
  <c r="BDL3" i="9"/>
  <c r="BDM3" i="9"/>
  <c r="BDN3" i="9"/>
  <c r="BDO3" i="9"/>
  <c r="BDP3" i="9"/>
  <c r="BDQ3" i="9"/>
  <c r="BDR3" i="9"/>
  <c r="BDS3" i="9"/>
  <c r="BDT3" i="9"/>
  <c r="BDU3" i="9"/>
  <c r="BDV3" i="9"/>
  <c r="BDW3" i="9"/>
  <c r="BDX3" i="9"/>
  <c r="BDY3" i="9"/>
  <c r="BDZ3" i="9"/>
  <c r="BEA3" i="9"/>
  <c r="BEB3" i="9"/>
  <c r="BEC3" i="9"/>
  <c r="BED3" i="9"/>
  <c r="BEE3" i="9"/>
  <c r="BEF3" i="9"/>
  <c r="BEG3" i="9"/>
  <c r="BEH3" i="9"/>
  <c r="BEI3" i="9"/>
  <c r="BEJ3" i="9"/>
  <c r="BEK3" i="9"/>
  <c r="BEL3" i="9"/>
  <c r="BEM3" i="9"/>
  <c r="BEN3" i="9"/>
  <c r="BEO3" i="9"/>
  <c r="BBF3" i="9"/>
  <c r="BBG3" i="9"/>
  <c r="BBH3" i="9"/>
  <c r="BBI3" i="9"/>
  <c r="BBJ3" i="9"/>
  <c r="BBK3" i="9"/>
  <c r="BBL3" i="9"/>
  <c r="BBM3" i="9"/>
  <c r="BBN3" i="9"/>
  <c r="BBO3" i="9"/>
  <c r="BBP3" i="9"/>
  <c r="BBQ3" i="9"/>
  <c r="BBR3" i="9"/>
  <c r="BBS3" i="9"/>
  <c r="BBT3" i="9"/>
  <c r="BBU3" i="9"/>
  <c r="BBV3" i="9"/>
  <c r="BBW3" i="9"/>
  <c r="BBX3" i="9"/>
  <c r="BBY3" i="9"/>
  <c r="BBZ3" i="9"/>
  <c r="BCA3" i="9"/>
  <c r="BCB3" i="9"/>
  <c r="BCC3" i="9"/>
  <c r="BCD3" i="9"/>
  <c r="BCE3" i="9"/>
  <c r="BCF3" i="9"/>
  <c r="BCG3" i="9"/>
  <c r="BCH3" i="9"/>
  <c r="BCI3" i="9"/>
  <c r="BCJ3" i="9"/>
  <c r="BCK3" i="9"/>
  <c r="BCL3" i="9"/>
  <c r="BCM3" i="9"/>
  <c r="BCN3" i="9"/>
  <c r="BCO3" i="9"/>
  <c r="BCP3" i="9"/>
  <c r="BCQ3" i="9"/>
  <c r="BCR3" i="9"/>
  <c r="BCS3" i="9"/>
  <c r="BCT3" i="9"/>
  <c r="BCU3" i="9"/>
  <c r="BCV3" i="9"/>
  <c r="BCW3" i="9"/>
  <c r="AZN3" i="9"/>
  <c r="AZO3" i="9"/>
  <c r="AZP3" i="9"/>
  <c r="AZQ3" i="9"/>
  <c r="AZR3" i="9"/>
  <c r="AZS3" i="9"/>
  <c r="AZT3" i="9"/>
  <c r="AZU3" i="9"/>
  <c r="AZV3" i="9"/>
  <c r="AZW3" i="9"/>
  <c r="AZX3" i="9"/>
  <c r="AZY3" i="9"/>
  <c r="AZZ3" i="9"/>
  <c r="BAA3" i="9"/>
  <c r="BAB3" i="9"/>
  <c r="BAC3" i="9"/>
  <c r="BAD3" i="9"/>
  <c r="BAE3" i="9"/>
  <c r="BAF3" i="9"/>
  <c r="BAG3" i="9"/>
  <c r="BAH3" i="9"/>
  <c r="BAI3" i="9"/>
  <c r="BAJ3" i="9"/>
  <c r="BAK3" i="9"/>
  <c r="BAL3" i="9"/>
  <c r="BAM3" i="9"/>
  <c r="BAN3" i="9"/>
  <c r="BAO3" i="9"/>
  <c r="BAP3" i="9"/>
  <c r="BAQ3" i="9"/>
  <c r="BAR3" i="9"/>
  <c r="BAS3" i="9"/>
  <c r="BAT3" i="9"/>
  <c r="BAU3" i="9"/>
  <c r="BAV3" i="9"/>
  <c r="BAW3" i="9"/>
  <c r="BAX3" i="9"/>
  <c r="BAY3" i="9"/>
  <c r="BAZ3" i="9"/>
  <c r="BBA3" i="9"/>
  <c r="BBB3" i="9"/>
  <c r="BBC3" i="9"/>
  <c r="BBD3" i="9"/>
  <c r="BBE3" i="9"/>
  <c r="AXV3" i="9"/>
  <c r="AXW3" i="9"/>
  <c r="AXX3" i="9"/>
  <c r="AXY3" i="9"/>
  <c r="AXZ3" i="9"/>
  <c r="AYA3" i="9"/>
  <c r="AYB3" i="9"/>
  <c r="AYC3" i="9"/>
  <c r="AYD3" i="9"/>
  <c r="AYE3" i="9"/>
  <c r="AYF3" i="9"/>
  <c r="AYG3" i="9"/>
  <c r="AYH3" i="9"/>
  <c r="AYI3" i="9"/>
  <c r="AYJ3" i="9"/>
  <c r="AYK3" i="9"/>
  <c r="AYL3" i="9"/>
  <c r="AYM3" i="9"/>
  <c r="AYN3" i="9"/>
  <c r="AYO3" i="9"/>
  <c r="AYP3" i="9"/>
  <c r="AYQ3" i="9"/>
  <c r="AYR3" i="9"/>
  <c r="AYS3" i="9"/>
  <c r="AYT3" i="9"/>
  <c r="AYU3" i="9"/>
  <c r="AYV3" i="9"/>
  <c r="AYW3" i="9"/>
  <c r="AYX3" i="9"/>
  <c r="AYY3" i="9"/>
  <c r="AYZ3" i="9"/>
  <c r="AZA3" i="9"/>
  <c r="AZB3" i="9"/>
  <c r="AZC3" i="9"/>
  <c r="AZD3" i="9"/>
  <c r="AZE3" i="9"/>
  <c r="AZF3" i="9"/>
  <c r="AZG3" i="9"/>
  <c r="AZH3" i="9"/>
  <c r="AZI3" i="9"/>
  <c r="AZJ3" i="9"/>
  <c r="AZK3" i="9"/>
  <c r="AZL3" i="9"/>
  <c r="AZM3" i="9"/>
  <c r="AWD3" i="9"/>
  <c r="AWE3" i="9"/>
  <c r="AWF3" i="9"/>
  <c r="AWG3" i="9"/>
  <c r="AWH3" i="9"/>
  <c r="AWI3" i="9"/>
  <c r="AWJ3" i="9"/>
  <c r="AWK3" i="9"/>
  <c r="AWL3" i="9"/>
  <c r="AWM3" i="9"/>
  <c r="AWN3" i="9"/>
  <c r="AWO3" i="9"/>
  <c r="AWP3" i="9"/>
  <c r="AWQ3" i="9"/>
  <c r="AWR3" i="9"/>
  <c r="AWS3" i="9"/>
  <c r="AWT3" i="9"/>
  <c r="AWU3" i="9"/>
  <c r="AWV3" i="9"/>
  <c r="AWW3" i="9"/>
  <c r="AWX3" i="9"/>
  <c r="AWY3" i="9"/>
  <c r="AWZ3" i="9"/>
  <c r="AXA3" i="9"/>
  <c r="AXB3" i="9"/>
  <c r="AXC3" i="9"/>
  <c r="AXD3" i="9"/>
  <c r="AXE3" i="9"/>
  <c r="AXF3" i="9"/>
  <c r="AXG3" i="9"/>
  <c r="AXH3" i="9"/>
  <c r="AXI3" i="9"/>
  <c r="AXJ3" i="9"/>
  <c r="AXK3" i="9"/>
  <c r="AXL3" i="9"/>
  <c r="AXM3" i="9"/>
  <c r="AXN3" i="9"/>
  <c r="AXO3" i="9"/>
  <c r="AXP3" i="9"/>
  <c r="AXQ3" i="9"/>
  <c r="AXR3" i="9"/>
  <c r="AXS3" i="9"/>
  <c r="AXT3" i="9"/>
  <c r="AXU3" i="9"/>
  <c r="AUL3" i="9"/>
  <c r="AUM3" i="9"/>
  <c r="AUN3" i="9"/>
  <c r="AUO3" i="9"/>
  <c r="AUP3" i="9"/>
  <c r="AUQ3" i="9"/>
  <c r="AUR3" i="9"/>
  <c r="AUS3" i="9"/>
  <c r="AUT3" i="9"/>
  <c r="AUU3" i="9"/>
  <c r="AUV3" i="9"/>
  <c r="AUW3" i="9"/>
  <c r="AUX3" i="9"/>
  <c r="AUY3" i="9"/>
  <c r="AUZ3" i="9"/>
  <c r="AVA3" i="9"/>
  <c r="AVB3" i="9"/>
  <c r="AVC3" i="9"/>
  <c r="AVD3" i="9"/>
  <c r="AVE3" i="9"/>
  <c r="AVF3" i="9"/>
  <c r="AVG3" i="9"/>
  <c r="AVH3" i="9"/>
  <c r="AVI3" i="9"/>
  <c r="AVJ3" i="9"/>
  <c r="AVK3" i="9"/>
  <c r="AVL3" i="9"/>
  <c r="AVM3" i="9"/>
  <c r="AVN3" i="9"/>
  <c r="AVO3" i="9"/>
  <c r="AVP3" i="9"/>
  <c r="AVQ3" i="9"/>
  <c r="AVR3" i="9"/>
  <c r="AVS3" i="9"/>
  <c r="AVT3" i="9"/>
  <c r="AVU3" i="9"/>
  <c r="AVV3" i="9"/>
  <c r="AVW3" i="9"/>
  <c r="AVX3" i="9"/>
  <c r="AVY3" i="9"/>
  <c r="AVZ3" i="9"/>
  <c r="AWA3" i="9"/>
  <c r="AWB3" i="9"/>
  <c r="AWC3" i="9"/>
  <c r="AST3" i="9"/>
  <c r="ASU3" i="9"/>
  <c r="ASV3" i="9"/>
  <c r="ASW3" i="9"/>
  <c r="ASX3" i="9"/>
  <c r="ASY3" i="9"/>
  <c r="ASZ3" i="9"/>
  <c r="ATA3" i="9"/>
  <c r="ATB3" i="9"/>
  <c r="ATC3" i="9"/>
  <c r="ATD3" i="9"/>
  <c r="ATE3" i="9"/>
  <c r="ATF3" i="9"/>
  <c r="ATG3" i="9"/>
  <c r="ATH3" i="9"/>
  <c r="ATI3" i="9"/>
  <c r="ATJ3" i="9"/>
  <c r="ATK3" i="9"/>
  <c r="ATL3" i="9"/>
  <c r="ATM3" i="9"/>
  <c r="ATN3" i="9"/>
  <c r="ATO3" i="9"/>
  <c r="ATP3" i="9"/>
  <c r="ATQ3" i="9"/>
  <c r="ATR3" i="9"/>
  <c r="ATS3" i="9"/>
  <c r="ATT3" i="9"/>
  <c r="ATU3" i="9"/>
  <c r="ATV3" i="9"/>
  <c r="ATW3" i="9"/>
  <c r="ATX3" i="9"/>
  <c r="ATY3" i="9"/>
  <c r="ATZ3" i="9"/>
  <c r="AUA3" i="9"/>
  <c r="AUB3" i="9"/>
  <c r="AUC3" i="9"/>
  <c r="AUD3" i="9"/>
  <c r="AUE3" i="9"/>
  <c r="AUF3" i="9"/>
  <c r="AUG3" i="9"/>
  <c r="AUH3" i="9"/>
  <c r="AUI3" i="9"/>
  <c r="AUJ3" i="9"/>
  <c r="AUK3" i="9"/>
  <c r="ARB3" i="9"/>
  <c r="ARC3" i="9"/>
  <c r="ARD3" i="9"/>
  <c r="ARE3" i="9"/>
  <c r="ARF3" i="9"/>
  <c r="ARG3" i="9"/>
  <c r="ARH3" i="9"/>
  <c r="ARI3" i="9"/>
  <c r="ARJ3" i="9"/>
  <c r="ARK3" i="9"/>
  <c r="ARL3" i="9"/>
  <c r="ARM3" i="9"/>
  <c r="ARN3" i="9"/>
  <c r="ARO3" i="9"/>
  <c r="ARP3" i="9"/>
  <c r="ARQ3" i="9"/>
  <c r="ARR3" i="9"/>
  <c r="ARS3" i="9"/>
  <c r="ART3" i="9"/>
  <c r="ARU3" i="9"/>
  <c r="ARV3" i="9"/>
  <c r="ARW3" i="9"/>
  <c r="ARX3" i="9"/>
  <c r="ARY3" i="9"/>
  <c r="ARZ3" i="9"/>
  <c r="ASA3" i="9"/>
  <c r="ASB3" i="9"/>
  <c r="ASC3" i="9"/>
  <c r="ASD3" i="9"/>
  <c r="ASE3" i="9"/>
  <c r="ASF3" i="9"/>
  <c r="ASG3" i="9"/>
  <c r="ASH3" i="9"/>
  <c r="ASI3" i="9"/>
  <c r="ASJ3" i="9"/>
  <c r="ASK3" i="9"/>
  <c r="ASL3" i="9"/>
  <c r="ASM3" i="9"/>
  <c r="ASN3" i="9"/>
  <c r="ASO3" i="9"/>
  <c r="ASP3" i="9"/>
  <c r="ASQ3" i="9"/>
  <c r="ASR3" i="9"/>
  <c r="ASS3" i="9"/>
  <c r="APJ3" i="9"/>
  <c r="APK3" i="9"/>
  <c r="APL3" i="9"/>
  <c r="APM3" i="9"/>
  <c r="APN3" i="9"/>
  <c r="APO3" i="9"/>
  <c r="APP3" i="9"/>
  <c r="APQ3" i="9"/>
  <c r="APR3" i="9"/>
  <c r="APS3" i="9"/>
  <c r="APT3" i="9"/>
  <c r="APU3" i="9"/>
  <c r="APV3" i="9"/>
  <c r="APW3" i="9"/>
  <c r="APX3" i="9"/>
  <c r="APY3" i="9"/>
  <c r="APZ3" i="9"/>
  <c r="AQA3" i="9"/>
  <c r="AQB3" i="9"/>
  <c r="AQC3" i="9"/>
  <c r="AQD3" i="9"/>
  <c r="AQE3" i="9"/>
  <c r="AQF3" i="9"/>
  <c r="AQG3" i="9"/>
  <c r="AQH3" i="9"/>
  <c r="AQI3" i="9"/>
  <c r="AQJ3" i="9"/>
  <c r="AQK3" i="9"/>
  <c r="AQL3" i="9"/>
  <c r="AQM3" i="9"/>
  <c r="AQN3" i="9"/>
  <c r="AQO3" i="9"/>
  <c r="AQP3" i="9"/>
  <c r="AQQ3" i="9"/>
  <c r="AQR3" i="9"/>
  <c r="AQS3" i="9"/>
  <c r="AQT3" i="9"/>
  <c r="AQU3" i="9"/>
  <c r="AQV3" i="9"/>
  <c r="AQW3" i="9"/>
  <c r="AQX3" i="9"/>
  <c r="AQY3" i="9"/>
  <c r="AQZ3" i="9"/>
  <c r="ARA3" i="9"/>
  <c r="ANR3" i="9"/>
  <c r="ANS3" i="9"/>
  <c r="ANT3" i="9"/>
  <c r="ANU3" i="9"/>
  <c r="ANV3" i="9"/>
  <c r="ANW3" i="9"/>
  <c r="ANX3" i="9"/>
  <c r="ANY3" i="9"/>
  <c r="ANZ3" i="9"/>
  <c r="AOA3" i="9"/>
  <c r="AOB3" i="9"/>
  <c r="AOC3" i="9"/>
  <c r="AOD3" i="9"/>
  <c r="AOE3" i="9"/>
  <c r="AOF3" i="9"/>
  <c r="AOG3" i="9"/>
  <c r="AOH3" i="9"/>
  <c r="AOI3" i="9"/>
  <c r="AOJ3" i="9"/>
  <c r="AOK3" i="9"/>
  <c r="AOL3" i="9"/>
  <c r="AOM3" i="9"/>
  <c r="AON3" i="9"/>
  <c r="AOO3" i="9"/>
  <c r="AOP3" i="9"/>
  <c r="AOQ3" i="9"/>
  <c r="AOR3" i="9"/>
  <c r="AOS3" i="9"/>
  <c r="AOT3" i="9"/>
  <c r="AOU3" i="9"/>
  <c r="AOV3" i="9"/>
  <c r="AOW3" i="9"/>
  <c r="AOX3" i="9"/>
  <c r="AOY3" i="9"/>
  <c r="AOZ3" i="9"/>
  <c r="APA3" i="9"/>
  <c r="APB3" i="9"/>
  <c r="APC3" i="9"/>
  <c r="APD3" i="9"/>
  <c r="APE3" i="9"/>
  <c r="APF3" i="9"/>
  <c r="APG3" i="9"/>
  <c r="APH3" i="9"/>
  <c r="API3" i="9"/>
  <c r="ALZ3" i="9"/>
  <c r="AMA3" i="9"/>
  <c r="AMB3" i="9"/>
  <c r="AMC3" i="9"/>
  <c r="AMD3" i="9"/>
  <c r="AME3" i="9"/>
  <c r="AMF3" i="9"/>
  <c r="AMG3" i="9"/>
  <c r="AMH3" i="9"/>
  <c r="AMI3" i="9"/>
  <c r="AMJ3" i="9"/>
  <c r="AMK3" i="9"/>
  <c r="AML3" i="9"/>
  <c r="AMM3" i="9"/>
  <c r="AMN3" i="9"/>
  <c r="AMO3" i="9"/>
  <c r="AMP3" i="9"/>
  <c r="AMQ3" i="9"/>
  <c r="AMR3" i="9"/>
  <c r="AMS3" i="9"/>
  <c r="AMT3" i="9"/>
  <c r="AMU3" i="9"/>
  <c r="AMV3" i="9"/>
  <c r="AMW3" i="9"/>
  <c r="AMX3" i="9"/>
  <c r="AMY3" i="9"/>
  <c r="AMZ3" i="9"/>
  <c r="ANA3" i="9"/>
  <c r="ANB3" i="9"/>
  <c r="ANC3" i="9"/>
  <c r="AND3" i="9"/>
  <c r="ANE3" i="9"/>
  <c r="ANF3" i="9"/>
  <c r="ANG3" i="9"/>
  <c r="ANH3" i="9"/>
  <c r="ANI3" i="9"/>
  <c r="ANJ3" i="9"/>
  <c r="ANK3" i="9"/>
  <c r="ANL3" i="9"/>
  <c r="ANM3" i="9"/>
  <c r="ANN3" i="9"/>
  <c r="ANO3" i="9"/>
  <c r="ANP3" i="9"/>
  <c r="ANQ3" i="9"/>
  <c r="AKH3" i="9"/>
  <c r="AKI3" i="9"/>
  <c r="AKJ3" i="9"/>
  <c r="AKK3" i="9"/>
  <c r="AKL3" i="9"/>
  <c r="AKM3" i="9"/>
  <c r="AKN3" i="9"/>
  <c r="AKO3" i="9"/>
  <c r="AKP3" i="9"/>
  <c r="AKQ3" i="9"/>
  <c r="AKR3" i="9"/>
  <c r="AKS3" i="9"/>
  <c r="AKT3" i="9"/>
  <c r="AKU3" i="9"/>
  <c r="AKV3" i="9"/>
  <c r="AKW3" i="9"/>
  <c r="AKX3" i="9"/>
  <c r="AKY3" i="9"/>
  <c r="AKZ3" i="9"/>
  <c r="ALA3" i="9"/>
  <c r="ALB3" i="9"/>
  <c r="ALC3" i="9"/>
  <c r="ALD3" i="9"/>
  <c r="ALE3" i="9"/>
  <c r="ALF3" i="9"/>
  <c r="ALG3" i="9"/>
  <c r="ALH3" i="9"/>
  <c r="ALI3" i="9"/>
  <c r="ALJ3" i="9"/>
  <c r="ALK3" i="9"/>
  <c r="ALL3" i="9"/>
  <c r="ALM3" i="9"/>
  <c r="ALN3" i="9"/>
  <c r="ALO3" i="9"/>
  <c r="ALP3" i="9"/>
  <c r="ALQ3" i="9"/>
  <c r="ALR3" i="9"/>
  <c r="ALS3" i="9"/>
  <c r="ALT3" i="9"/>
  <c r="ALU3" i="9"/>
  <c r="ALV3" i="9"/>
  <c r="ALW3" i="9"/>
  <c r="ALX3" i="9"/>
  <c r="ALY3" i="9"/>
  <c r="AIP3" i="9"/>
  <c r="AIQ3" i="9"/>
  <c r="AIR3" i="9"/>
  <c r="AIS3" i="9"/>
  <c r="AIT3" i="9"/>
  <c r="AIU3" i="9"/>
  <c r="AIV3" i="9"/>
  <c r="AIW3" i="9"/>
  <c r="AIX3" i="9"/>
  <c r="AIY3" i="9"/>
  <c r="AIZ3" i="9"/>
  <c r="AJA3" i="9"/>
  <c r="AJB3" i="9"/>
  <c r="AJC3" i="9"/>
  <c r="AJD3" i="9"/>
  <c r="AJE3" i="9"/>
  <c r="AJF3" i="9"/>
  <c r="AJG3" i="9"/>
  <c r="AJH3" i="9"/>
  <c r="AJI3" i="9"/>
  <c r="AJJ3" i="9"/>
  <c r="AJK3" i="9"/>
  <c r="AJL3" i="9"/>
  <c r="AJM3" i="9"/>
  <c r="AJN3" i="9"/>
  <c r="AJO3" i="9"/>
  <c r="AJP3" i="9"/>
  <c r="AJQ3" i="9"/>
  <c r="AJR3" i="9"/>
  <c r="AJS3" i="9"/>
  <c r="AJT3" i="9"/>
  <c r="AJU3" i="9"/>
  <c r="AJV3" i="9"/>
  <c r="AJW3" i="9"/>
  <c r="AJX3" i="9"/>
  <c r="AJY3" i="9"/>
  <c r="AJZ3" i="9"/>
  <c r="AKA3" i="9"/>
  <c r="AKB3" i="9"/>
  <c r="AKC3" i="9"/>
  <c r="AKD3" i="9"/>
  <c r="AKE3" i="9"/>
  <c r="AKF3" i="9"/>
  <c r="AKG3" i="9"/>
  <c r="AGX3" i="9"/>
  <c r="AGY3" i="9"/>
  <c r="AGZ3" i="9"/>
  <c r="AHA3" i="9"/>
  <c r="AHB3" i="9"/>
  <c r="AHC3" i="9"/>
  <c r="AHD3" i="9"/>
  <c r="AHE3" i="9"/>
  <c r="AHF3" i="9"/>
  <c r="AHG3" i="9"/>
  <c r="AHH3" i="9"/>
  <c r="AHI3" i="9"/>
  <c r="AHJ3" i="9"/>
  <c r="AHK3" i="9"/>
  <c r="AHL3" i="9"/>
  <c r="AHM3" i="9"/>
  <c r="AHN3" i="9"/>
  <c r="AHO3" i="9"/>
  <c r="AHP3" i="9"/>
  <c r="AHQ3" i="9"/>
  <c r="AHR3" i="9"/>
  <c r="AHS3" i="9"/>
  <c r="AHT3" i="9"/>
  <c r="AHU3" i="9"/>
  <c r="AHV3" i="9"/>
  <c r="AHW3" i="9"/>
  <c r="AHX3" i="9"/>
  <c r="AHY3" i="9"/>
  <c r="AHZ3" i="9"/>
  <c r="AIA3" i="9"/>
  <c r="AIB3" i="9"/>
  <c r="AIC3" i="9"/>
  <c r="AID3" i="9"/>
  <c r="AIE3" i="9"/>
  <c r="AIF3" i="9"/>
  <c r="AIG3" i="9"/>
  <c r="AIH3" i="9"/>
  <c r="AII3" i="9"/>
  <c r="AIJ3" i="9"/>
  <c r="AIK3" i="9"/>
  <c r="AIL3" i="9"/>
  <c r="AIM3" i="9"/>
  <c r="AIN3" i="9"/>
  <c r="AIO3" i="9"/>
  <c r="AFF3" i="9"/>
  <c r="AFG3" i="9"/>
  <c r="AFH3" i="9"/>
  <c r="AFI3" i="9"/>
  <c r="AFJ3" i="9"/>
  <c r="AFK3" i="9"/>
  <c r="AFL3" i="9"/>
  <c r="AFM3" i="9"/>
  <c r="AFN3" i="9"/>
  <c r="AFO3" i="9"/>
  <c r="AFP3" i="9"/>
  <c r="AFQ3" i="9"/>
  <c r="AFR3" i="9"/>
  <c r="AFS3" i="9"/>
  <c r="AFT3" i="9"/>
  <c r="AFU3" i="9"/>
  <c r="AFV3" i="9"/>
  <c r="AFW3" i="9"/>
  <c r="AFX3" i="9"/>
  <c r="AFY3" i="9"/>
  <c r="AFZ3" i="9"/>
  <c r="AGA3" i="9"/>
  <c r="AGB3" i="9"/>
  <c r="AGC3" i="9"/>
  <c r="AGD3" i="9"/>
  <c r="AGE3" i="9"/>
  <c r="AGF3" i="9"/>
  <c r="AGG3" i="9"/>
  <c r="AGH3" i="9"/>
  <c r="AGI3" i="9"/>
  <c r="AGJ3" i="9"/>
  <c r="AGK3" i="9"/>
  <c r="AGL3" i="9"/>
  <c r="AGM3" i="9"/>
  <c r="AGN3" i="9"/>
  <c r="AGO3" i="9"/>
  <c r="AGP3" i="9"/>
  <c r="AGQ3" i="9"/>
  <c r="AGR3" i="9"/>
  <c r="AGS3" i="9"/>
  <c r="AGT3" i="9"/>
  <c r="AGU3" i="9"/>
  <c r="AGV3" i="9"/>
  <c r="AGW3" i="9"/>
  <c r="ADN3" i="9"/>
  <c r="ADO3" i="9"/>
  <c r="ADP3" i="9"/>
  <c r="ADQ3" i="9"/>
  <c r="ADR3" i="9"/>
  <c r="ADS3" i="9"/>
  <c r="ADT3" i="9"/>
  <c r="ADU3" i="9"/>
  <c r="ADV3" i="9"/>
  <c r="ADW3" i="9"/>
  <c r="ADX3" i="9"/>
  <c r="ADY3" i="9"/>
  <c r="ADZ3" i="9"/>
  <c r="AEA3" i="9"/>
  <c r="AEB3" i="9"/>
  <c r="AEC3" i="9"/>
  <c r="AED3" i="9"/>
  <c r="AEE3" i="9"/>
  <c r="AEF3" i="9"/>
  <c r="AEG3" i="9"/>
  <c r="AEH3" i="9"/>
  <c r="AEI3" i="9"/>
  <c r="AEJ3" i="9"/>
  <c r="AEK3" i="9"/>
  <c r="AEL3" i="9"/>
  <c r="AEM3" i="9"/>
  <c r="AEN3" i="9"/>
  <c r="AEO3" i="9"/>
  <c r="AEP3" i="9"/>
  <c r="AEQ3" i="9"/>
  <c r="AER3" i="9"/>
  <c r="AES3" i="9"/>
  <c r="AET3" i="9"/>
  <c r="AEU3" i="9"/>
  <c r="AEV3" i="9"/>
  <c r="AEW3" i="9"/>
  <c r="AEX3" i="9"/>
  <c r="AEY3" i="9"/>
  <c r="AEZ3" i="9"/>
  <c r="AFA3" i="9"/>
  <c r="AFB3" i="9"/>
  <c r="AFC3" i="9"/>
  <c r="AFD3" i="9"/>
  <c r="AFE3" i="9"/>
  <c r="ABV3" i="9"/>
  <c r="ABW3" i="9"/>
  <c r="ABX3" i="9"/>
  <c r="ABY3" i="9"/>
  <c r="ABZ3" i="9"/>
  <c r="ACA3" i="9"/>
  <c r="ACB3" i="9"/>
  <c r="ACC3" i="9"/>
  <c r="ACD3" i="9"/>
  <c r="ACE3" i="9"/>
  <c r="ACF3" i="9"/>
  <c r="ACG3" i="9"/>
  <c r="ACH3" i="9"/>
  <c r="ACI3" i="9"/>
  <c r="ACJ3" i="9"/>
  <c r="ACK3" i="9"/>
  <c r="ACL3" i="9"/>
  <c r="ACM3" i="9"/>
  <c r="ACN3" i="9"/>
  <c r="ACO3" i="9"/>
  <c r="ACP3" i="9"/>
  <c r="ACQ3" i="9"/>
  <c r="ACR3" i="9"/>
  <c r="ACS3" i="9"/>
  <c r="ACT3" i="9"/>
  <c r="ACU3" i="9"/>
  <c r="ACV3" i="9"/>
  <c r="ACW3" i="9"/>
  <c r="ACX3" i="9"/>
  <c r="ACY3" i="9"/>
  <c r="ACZ3" i="9"/>
  <c r="ADA3" i="9"/>
  <c r="ADB3" i="9"/>
  <c r="ADC3" i="9"/>
  <c r="ADD3" i="9"/>
  <c r="ADE3" i="9"/>
  <c r="ADF3" i="9"/>
  <c r="ADG3" i="9"/>
  <c r="ADH3" i="9"/>
  <c r="ADI3" i="9"/>
  <c r="ADJ3" i="9"/>
  <c r="ADK3" i="9"/>
  <c r="ADL3" i="9"/>
  <c r="ADM3" i="9"/>
  <c r="AAD3" i="9"/>
  <c r="AAE3" i="9"/>
  <c r="AAF3" i="9"/>
  <c r="AAG3" i="9"/>
  <c r="AAH3" i="9"/>
  <c r="AAI3" i="9"/>
  <c r="AAJ3" i="9"/>
  <c r="AAK3" i="9"/>
  <c r="AAL3" i="9"/>
  <c r="AAM3" i="9"/>
  <c r="AAN3" i="9"/>
  <c r="AAO3" i="9"/>
  <c r="AAP3" i="9"/>
  <c r="AAQ3" i="9"/>
  <c r="AAR3" i="9"/>
  <c r="AAS3" i="9"/>
  <c r="AAT3" i="9"/>
  <c r="AAU3" i="9"/>
  <c r="AAV3" i="9"/>
  <c r="AAW3" i="9"/>
  <c r="AAX3" i="9"/>
  <c r="AAY3" i="9"/>
  <c r="AAZ3" i="9"/>
  <c r="ABA3" i="9"/>
  <c r="ABB3" i="9"/>
  <c r="ABC3" i="9"/>
  <c r="ABD3" i="9"/>
  <c r="ABE3" i="9"/>
  <c r="ABF3" i="9"/>
  <c r="ABG3" i="9"/>
  <c r="ABH3" i="9"/>
  <c r="ABI3" i="9"/>
  <c r="ABJ3" i="9"/>
  <c r="ABK3" i="9"/>
  <c r="ABL3" i="9"/>
  <c r="ABM3" i="9"/>
  <c r="ABN3" i="9"/>
  <c r="ABO3" i="9"/>
  <c r="ABP3" i="9"/>
  <c r="ABQ3" i="9"/>
  <c r="ABR3" i="9"/>
  <c r="ABS3" i="9"/>
  <c r="ABT3" i="9"/>
  <c r="ABU3" i="9"/>
  <c r="YL3" i="9"/>
  <c r="YM3" i="9"/>
  <c r="YN3" i="9"/>
  <c r="YO3" i="9"/>
  <c r="YP3" i="9"/>
  <c r="YQ3" i="9"/>
  <c r="YR3" i="9"/>
  <c r="YS3" i="9"/>
  <c r="YT3" i="9"/>
  <c r="YU3" i="9"/>
  <c r="YV3" i="9"/>
  <c r="YW3" i="9"/>
  <c r="YX3" i="9"/>
  <c r="YY3" i="9"/>
  <c r="YZ3" i="9"/>
  <c r="ZA3" i="9"/>
  <c r="ZB3" i="9"/>
  <c r="ZC3" i="9"/>
  <c r="ZD3" i="9"/>
  <c r="ZE3" i="9"/>
  <c r="ZF3" i="9"/>
  <c r="ZG3" i="9"/>
  <c r="ZH3" i="9"/>
  <c r="ZI3" i="9"/>
  <c r="ZJ3" i="9"/>
  <c r="ZK3" i="9"/>
  <c r="ZL3" i="9"/>
  <c r="ZM3" i="9"/>
  <c r="ZN3" i="9"/>
  <c r="ZO3" i="9"/>
  <c r="ZP3" i="9"/>
  <c r="ZQ3" i="9"/>
  <c r="ZR3" i="9"/>
  <c r="ZS3" i="9"/>
  <c r="ZT3" i="9"/>
  <c r="ZU3" i="9"/>
  <c r="ZV3" i="9"/>
  <c r="ZW3" i="9"/>
  <c r="ZX3" i="9"/>
  <c r="ZY3" i="9"/>
  <c r="ZZ3" i="9"/>
  <c r="AAA3" i="9"/>
  <c r="AAB3" i="9"/>
  <c r="AAC3" i="9"/>
  <c r="WT3" i="9"/>
  <c r="WU3" i="9"/>
  <c r="WV3" i="9"/>
  <c r="WW3" i="9"/>
  <c r="WX3" i="9"/>
  <c r="WY3" i="9"/>
  <c r="WZ3" i="9"/>
  <c r="XA3" i="9"/>
  <c r="XB3" i="9"/>
  <c r="XC3" i="9"/>
  <c r="XD3" i="9"/>
  <c r="XE3" i="9"/>
  <c r="XF3" i="9"/>
  <c r="XG3" i="9"/>
  <c r="XH3" i="9"/>
  <c r="XI3" i="9"/>
  <c r="XJ3" i="9"/>
  <c r="XK3" i="9"/>
  <c r="XL3" i="9"/>
  <c r="XM3" i="9"/>
  <c r="XN3" i="9"/>
  <c r="XO3" i="9"/>
  <c r="XP3" i="9"/>
  <c r="XQ3" i="9"/>
  <c r="XR3" i="9"/>
  <c r="XS3" i="9"/>
  <c r="XT3" i="9"/>
  <c r="XU3" i="9"/>
  <c r="XV3" i="9"/>
  <c r="XW3" i="9"/>
  <c r="XX3" i="9"/>
  <c r="XY3" i="9"/>
  <c r="XZ3" i="9"/>
  <c r="YA3" i="9"/>
  <c r="YB3" i="9"/>
  <c r="YC3" i="9"/>
  <c r="YD3" i="9"/>
  <c r="YE3" i="9"/>
  <c r="YF3" i="9"/>
  <c r="YG3" i="9"/>
  <c r="YH3" i="9"/>
  <c r="YI3" i="9"/>
  <c r="YJ3" i="9"/>
  <c r="YK3" i="9"/>
  <c r="VB3" i="9"/>
  <c r="VC3" i="9"/>
  <c r="VD3" i="9"/>
  <c r="VE3" i="9"/>
  <c r="VF3" i="9"/>
  <c r="VG3" i="9"/>
  <c r="VH3" i="9"/>
  <c r="VI3" i="9"/>
  <c r="VJ3" i="9"/>
  <c r="VK3" i="9"/>
  <c r="VL3" i="9"/>
  <c r="VM3" i="9"/>
  <c r="VN3" i="9"/>
  <c r="VO3" i="9"/>
  <c r="VP3" i="9"/>
  <c r="VQ3" i="9"/>
  <c r="VR3" i="9"/>
  <c r="VS3" i="9"/>
  <c r="VT3" i="9"/>
  <c r="VU3" i="9"/>
  <c r="VV3" i="9"/>
  <c r="VW3" i="9"/>
  <c r="VX3" i="9"/>
  <c r="VY3" i="9"/>
  <c r="VZ3" i="9"/>
  <c r="WA3" i="9"/>
  <c r="WB3" i="9"/>
  <c r="WC3" i="9"/>
  <c r="WD3" i="9"/>
  <c r="WE3" i="9"/>
  <c r="WF3" i="9"/>
  <c r="WG3" i="9"/>
  <c r="WH3" i="9"/>
  <c r="WI3" i="9"/>
  <c r="WJ3" i="9"/>
  <c r="WK3" i="9"/>
  <c r="WL3" i="9"/>
  <c r="WM3" i="9"/>
  <c r="WN3" i="9"/>
  <c r="WO3" i="9"/>
  <c r="WP3" i="9"/>
  <c r="WQ3" i="9"/>
  <c r="WR3" i="9"/>
  <c r="WS3" i="9"/>
  <c r="TJ3" i="9"/>
  <c r="TK3" i="9"/>
  <c r="TL3" i="9"/>
  <c r="TM3" i="9"/>
  <c r="TN3" i="9"/>
  <c r="TO3" i="9"/>
  <c r="TP3" i="9"/>
  <c r="TQ3" i="9"/>
  <c r="TR3" i="9"/>
  <c r="TS3" i="9"/>
  <c r="TT3" i="9"/>
  <c r="TU3" i="9"/>
  <c r="TV3" i="9"/>
  <c r="TW3" i="9"/>
  <c r="TX3" i="9"/>
  <c r="TY3" i="9"/>
  <c r="TZ3" i="9"/>
  <c r="UA3" i="9"/>
  <c r="UB3" i="9"/>
  <c r="UC3" i="9"/>
  <c r="UD3" i="9"/>
  <c r="UE3" i="9"/>
  <c r="UF3" i="9"/>
  <c r="UG3" i="9"/>
  <c r="UH3" i="9"/>
  <c r="UI3" i="9"/>
  <c r="UJ3" i="9"/>
  <c r="UK3" i="9"/>
  <c r="UL3" i="9"/>
  <c r="UM3" i="9"/>
  <c r="UN3" i="9"/>
  <c r="UO3" i="9"/>
  <c r="UP3" i="9"/>
  <c r="UQ3" i="9"/>
  <c r="UR3" i="9"/>
  <c r="US3" i="9"/>
  <c r="UT3" i="9"/>
  <c r="UU3" i="9"/>
  <c r="UV3" i="9"/>
  <c r="UW3" i="9"/>
  <c r="UX3" i="9"/>
  <c r="UY3" i="9"/>
  <c r="UZ3" i="9"/>
  <c r="VA3" i="9"/>
  <c r="RR3" i="9"/>
  <c r="RS3" i="9"/>
  <c r="RT3" i="9"/>
  <c r="RU3" i="9"/>
  <c r="RV3" i="9"/>
  <c r="RW3" i="9"/>
  <c r="RX3" i="9"/>
  <c r="RY3" i="9"/>
  <c r="RZ3" i="9"/>
  <c r="SA3" i="9"/>
  <c r="SB3" i="9"/>
  <c r="SC3" i="9"/>
  <c r="SD3" i="9"/>
  <c r="SE3" i="9"/>
  <c r="SF3" i="9"/>
  <c r="SG3" i="9"/>
  <c r="SH3" i="9"/>
  <c r="SI3" i="9"/>
  <c r="SJ3" i="9"/>
  <c r="SK3" i="9"/>
  <c r="SL3" i="9"/>
  <c r="SM3" i="9"/>
  <c r="SN3" i="9"/>
  <c r="SO3" i="9"/>
  <c r="SP3" i="9"/>
  <c r="SQ3" i="9"/>
  <c r="SR3" i="9"/>
  <c r="SS3" i="9"/>
  <c r="ST3" i="9"/>
  <c r="SU3" i="9"/>
  <c r="SV3" i="9"/>
  <c r="SW3" i="9"/>
  <c r="SX3" i="9"/>
  <c r="SY3" i="9"/>
  <c r="SZ3" i="9"/>
  <c r="TA3" i="9"/>
  <c r="TB3" i="9"/>
  <c r="TC3" i="9"/>
  <c r="TD3" i="9"/>
  <c r="TE3" i="9"/>
  <c r="TF3" i="9"/>
  <c r="TG3" i="9"/>
  <c r="TH3" i="9"/>
  <c r="TI3" i="9"/>
  <c r="PZ3" i="9"/>
  <c r="QA3" i="9"/>
  <c r="QB3" i="9"/>
  <c r="QC3" i="9"/>
  <c r="QD3" i="9"/>
  <c r="QE3" i="9"/>
  <c r="QF3" i="9"/>
  <c r="QG3" i="9"/>
  <c r="QH3" i="9"/>
  <c r="QI3" i="9"/>
  <c r="QJ3" i="9"/>
  <c r="QK3" i="9"/>
  <c r="QL3" i="9"/>
  <c r="QM3" i="9"/>
  <c r="QN3" i="9"/>
  <c r="QO3" i="9"/>
  <c r="QP3" i="9"/>
  <c r="QQ3" i="9"/>
  <c r="QR3" i="9"/>
  <c r="QS3" i="9"/>
  <c r="QT3" i="9"/>
  <c r="QU3" i="9"/>
  <c r="QV3" i="9"/>
  <c r="QW3" i="9"/>
  <c r="QX3" i="9"/>
  <c r="QY3" i="9"/>
  <c r="QZ3" i="9"/>
  <c r="RA3" i="9"/>
  <c r="RB3" i="9"/>
  <c r="RC3" i="9"/>
  <c r="RD3" i="9"/>
  <c r="RE3" i="9"/>
  <c r="RF3" i="9"/>
  <c r="RG3" i="9"/>
  <c r="RH3" i="9"/>
  <c r="RI3" i="9"/>
  <c r="RJ3" i="9"/>
  <c r="RK3" i="9"/>
  <c r="RL3" i="9"/>
  <c r="RM3" i="9"/>
  <c r="RN3" i="9"/>
  <c r="RO3" i="9"/>
  <c r="RP3" i="9"/>
  <c r="RQ3" i="9"/>
  <c r="OH3" i="9"/>
  <c r="OI3" i="9"/>
  <c r="OJ3" i="9"/>
  <c r="OK3" i="9"/>
  <c r="OL3" i="9"/>
  <c r="OM3" i="9"/>
  <c r="ON3" i="9"/>
  <c r="OO3" i="9"/>
  <c r="OP3" i="9"/>
  <c r="OQ3" i="9"/>
  <c r="OR3" i="9"/>
  <c r="OS3" i="9"/>
  <c r="OT3" i="9"/>
  <c r="OU3" i="9"/>
  <c r="OV3" i="9"/>
  <c r="OW3" i="9"/>
  <c r="OX3" i="9"/>
  <c r="OY3" i="9"/>
  <c r="OZ3" i="9"/>
  <c r="PA3" i="9"/>
  <c r="PB3" i="9"/>
  <c r="PC3" i="9"/>
  <c r="PD3" i="9"/>
  <c r="PE3" i="9"/>
  <c r="PF3" i="9"/>
  <c r="PG3" i="9"/>
  <c r="PH3" i="9"/>
  <c r="PI3" i="9"/>
  <c r="PJ3" i="9"/>
  <c r="PK3" i="9"/>
  <c r="PL3" i="9"/>
  <c r="PM3" i="9"/>
  <c r="PN3" i="9"/>
  <c r="PO3" i="9"/>
  <c r="PP3" i="9"/>
  <c r="PQ3" i="9"/>
  <c r="PR3" i="9"/>
  <c r="PS3" i="9"/>
  <c r="PT3" i="9"/>
  <c r="PU3" i="9"/>
  <c r="PV3" i="9"/>
  <c r="PW3" i="9"/>
  <c r="PX3" i="9"/>
  <c r="PY3" i="9"/>
  <c r="MP3" i="9"/>
  <c r="MQ3" i="9"/>
  <c r="MR3" i="9"/>
  <c r="MS3" i="9"/>
  <c r="MT3" i="9"/>
  <c r="MU3" i="9"/>
  <c r="MV3" i="9"/>
  <c r="MW3" i="9"/>
  <c r="MX3" i="9"/>
  <c r="MY3" i="9"/>
  <c r="MZ3" i="9"/>
  <c r="NA3" i="9"/>
  <c r="NB3" i="9"/>
  <c r="NC3" i="9"/>
  <c r="ND3" i="9"/>
  <c r="NE3" i="9"/>
  <c r="NF3" i="9"/>
  <c r="NG3" i="9"/>
  <c r="NH3" i="9"/>
  <c r="NI3" i="9"/>
  <c r="NJ3" i="9"/>
  <c r="NK3" i="9"/>
  <c r="NL3" i="9"/>
  <c r="NM3" i="9"/>
  <c r="NN3" i="9"/>
  <c r="NO3" i="9"/>
  <c r="NP3" i="9"/>
  <c r="NQ3" i="9"/>
  <c r="NR3" i="9"/>
  <c r="NS3" i="9"/>
  <c r="NT3" i="9"/>
  <c r="NU3" i="9"/>
  <c r="NV3" i="9"/>
  <c r="NW3" i="9"/>
  <c r="NX3" i="9"/>
  <c r="NY3" i="9"/>
  <c r="NZ3" i="9"/>
  <c r="OA3" i="9"/>
  <c r="OB3" i="9"/>
  <c r="OC3" i="9"/>
  <c r="OD3" i="9"/>
  <c r="OE3" i="9"/>
  <c r="OF3" i="9"/>
  <c r="OG3" i="9"/>
  <c r="KY3" i="9"/>
  <c r="KZ3" i="9"/>
  <c r="LA3" i="9"/>
  <c r="LB3" i="9"/>
  <c r="LC3" i="9"/>
  <c r="LD3" i="9"/>
  <c r="LE3" i="9"/>
  <c r="LF3" i="9"/>
  <c r="LG3" i="9"/>
  <c r="LH3" i="9"/>
  <c r="LI3" i="9"/>
  <c r="LJ3" i="9"/>
  <c r="LK3" i="9"/>
  <c r="LL3" i="9"/>
  <c r="LM3" i="9"/>
  <c r="LN3" i="9"/>
  <c r="LO3" i="9"/>
  <c r="LP3" i="9"/>
  <c r="LQ3" i="9"/>
  <c r="LR3" i="9"/>
  <c r="LS3" i="9"/>
  <c r="LT3" i="9"/>
  <c r="LU3" i="9"/>
  <c r="LV3" i="9"/>
  <c r="LW3" i="9"/>
  <c r="LX3" i="9"/>
  <c r="LY3" i="9"/>
  <c r="LZ3" i="9"/>
  <c r="MA3" i="9"/>
  <c r="MB3" i="9"/>
  <c r="MC3" i="9"/>
  <c r="MD3" i="9"/>
  <c r="ME3" i="9"/>
  <c r="MF3" i="9"/>
  <c r="MG3" i="9"/>
  <c r="MH3" i="9"/>
  <c r="MI3" i="9"/>
  <c r="MJ3" i="9"/>
  <c r="MK3" i="9"/>
  <c r="ML3" i="9"/>
  <c r="MM3" i="9"/>
  <c r="MN3" i="9"/>
  <c r="MO3" i="9"/>
  <c r="JG3" i="9"/>
  <c r="JH3" i="9"/>
  <c r="JI3" i="9"/>
  <c r="JJ3" i="9"/>
  <c r="JK3" i="9"/>
  <c r="JL3" i="9"/>
  <c r="JM3" i="9"/>
  <c r="JN3" i="9"/>
  <c r="JO3" i="9"/>
  <c r="JP3" i="9"/>
  <c r="JQ3" i="9"/>
  <c r="JR3" i="9"/>
  <c r="JS3" i="9"/>
  <c r="JT3" i="9"/>
  <c r="JU3" i="9"/>
  <c r="JV3" i="9"/>
  <c r="JW3" i="9"/>
  <c r="JX3" i="9"/>
  <c r="JY3" i="9"/>
  <c r="JZ3" i="9"/>
  <c r="KA3" i="9"/>
  <c r="KB3" i="9"/>
  <c r="KC3" i="9"/>
  <c r="KD3" i="9"/>
  <c r="KE3" i="9"/>
  <c r="KF3" i="9"/>
  <c r="KG3" i="9"/>
  <c r="KH3" i="9"/>
  <c r="KI3" i="9"/>
  <c r="KJ3" i="9"/>
  <c r="KK3" i="9"/>
  <c r="KL3" i="9"/>
  <c r="KM3" i="9"/>
  <c r="KN3" i="9"/>
  <c r="KO3" i="9"/>
  <c r="KP3" i="9"/>
  <c r="KQ3" i="9"/>
  <c r="KR3" i="9"/>
  <c r="KS3" i="9"/>
  <c r="KT3" i="9"/>
  <c r="KU3" i="9"/>
  <c r="KV3" i="9"/>
  <c r="KW3" i="9"/>
  <c r="HO3" i="9"/>
  <c r="HP3" i="9"/>
  <c r="HQ3" i="9"/>
  <c r="HR3" i="9"/>
  <c r="HS3" i="9"/>
  <c r="HT3" i="9"/>
  <c r="HU3" i="9"/>
  <c r="HV3" i="9"/>
  <c r="HW3" i="9"/>
  <c r="HX3" i="9"/>
  <c r="HY3" i="9"/>
  <c r="HZ3" i="9"/>
  <c r="IA3" i="9"/>
  <c r="IB3" i="9"/>
  <c r="IC3" i="9"/>
  <c r="ID3" i="9"/>
  <c r="IE3" i="9"/>
  <c r="IF3" i="9"/>
  <c r="IG3" i="9"/>
  <c r="IH3" i="9"/>
  <c r="II3" i="9"/>
  <c r="IJ3" i="9"/>
  <c r="IK3" i="9"/>
  <c r="IL3" i="9"/>
  <c r="IM3" i="9"/>
  <c r="IN3" i="9"/>
  <c r="IO3" i="9"/>
  <c r="IP3" i="9"/>
  <c r="IQ3" i="9"/>
  <c r="IR3" i="9"/>
  <c r="IS3" i="9"/>
  <c r="IT3" i="9"/>
  <c r="IU3" i="9"/>
  <c r="IV3" i="9"/>
  <c r="IW3" i="9"/>
  <c r="IX3" i="9"/>
  <c r="IY3" i="9"/>
  <c r="IZ3" i="9"/>
  <c r="JA3" i="9"/>
  <c r="JB3" i="9"/>
  <c r="JC3" i="9"/>
  <c r="JD3" i="9"/>
  <c r="JE3" i="9"/>
  <c r="FV3" i="9"/>
  <c r="FW3" i="9"/>
  <c r="FX3" i="9"/>
  <c r="FY3" i="9"/>
  <c r="FZ3" i="9"/>
  <c r="GA3" i="9"/>
  <c r="GB3" i="9"/>
  <c r="GC3" i="9"/>
  <c r="GD3" i="9"/>
  <c r="GE3" i="9"/>
  <c r="GF3" i="9"/>
  <c r="GG3" i="9"/>
  <c r="GH3" i="9"/>
  <c r="GI3" i="9"/>
  <c r="GJ3" i="9"/>
  <c r="GK3" i="9"/>
  <c r="GL3" i="9"/>
  <c r="GM3" i="9"/>
  <c r="GN3" i="9"/>
  <c r="GO3" i="9"/>
  <c r="GP3" i="9"/>
  <c r="GQ3" i="9"/>
  <c r="GR3" i="9"/>
  <c r="GS3" i="9"/>
  <c r="GT3" i="9"/>
  <c r="GU3" i="9"/>
  <c r="GV3" i="9"/>
  <c r="GW3" i="9"/>
  <c r="GX3" i="9"/>
  <c r="GY3" i="9"/>
  <c r="GZ3" i="9"/>
  <c r="HA3" i="9"/>
  <c r="HB3" i="9"/>
  <c r="HC3" i="9"/>
  <c r="HD3" i="9"/>
  <c r="HE3" i="9"/>
  <c r="HF3" i="9"/>
  <c r="HG3" i="9"/>
  <c r="HH3" i="9"/>
  <c r="HI3" i="9"/>
  <c r="HJ3" i="9"/>
  <c r="HK3" i="9"/>
  <c r="HL3" i="9"/>
  <c r="HM3" i="9"/>
  <c r="ED3" i="9"/>
  <c r="EE3" i="9"/>
  <c r="EF3" i="9"/>
  <c r="EG3" i="9"/>
  <c r="EH3" i="9"/>
  <c r="EI3" i="9"/>
  <c r="EJ3" i="9"/>
  <c r="EK3" i="9"/>
  <c r="EL3" i="9"/>
  <c r="EM3" i="9"/>
  <c r="EN3" i="9"/>
  <c r="EO3" i="9"/>
  <c r="EP3" i="9"/>
  <c r="EQ3" i="9"/>
  <c r="ER3" i="9"/>
  <c r="ES3" i="9"/>
  <c r="ET3" i="9"/>
  <c r="EU3" i="9"/>
  <c r="EV3" i="9"/>
  <c r="EW3" i="9"/>
  <c r="EX3" i="9"/>
  <c r="EY3" i="9"/>
  <c r="EZ3" i="9"/>
  <c r="FA3" i="9"/>
  <c r="FB3" i="9"/>
  <c r="FC3" i="9"/>
  <c r="FD3" i="9"/>
  <c r="FE3" i="9"/>
  <c r="FF3" i="9"/>
  <c r="FG3" i="9"/>
  <c r="FH3" i="9"/>
  <c r="FI3" i="9"/>
  <c r="FJ3" i="9"/>
  <c r="FK3" i="9"/>
  <c r="FL3" i="9"/>
  <c r="FM3" i="9"/>
  <c r="FN3" i="9"/>
  <c r="FO3" i="9"/>
  <c r="FP3" i="9"/>
  <c r="FQ3" i="9"/>
  <c r="FR3" i="9"/>
  <c r="FS3" i="9"/>
  <c r="FT3" i="9"/>
  <c r="FU3" i="9"/>
  <c r="CM3" i="9"/>
  <c r="CN3" i="9"/>
  <c r="CO3" i="9"/>
  <c r="CP3" i="9"/>
  <c r="CQ3" i="9"/>
  <c r="CR3" i="9"/>
  <c r="CS3" i="9"/>
  <c r="CT3" i="9"/>
  <c r="CU3" i="9"/>
  <c r="CV3" i="9"/>
  <c r="CW3" i="9"/>
  <c r="CX3" i="9"/>
  <c r="CY3" i="9"/>
  <c r="CZ3" i="9"/>
  <c r="DA3" i="9"/>
  <c r="DB3" i="9"/>
  <c r="DC3" i="9"/>
  <c r="DD3" i="9"/>
  <c r="DE3" i="9"/>
  <c r="DF3" i="9"/>
  <c r="DG3" i="9"/>
  <c r="DH3" i="9"/>
  <c r="DI3" i="9"/>
  <c r="DJ3" i="9"/>
  <c r="DK3" i="9"/>
  <c r="DL3" i="9"/>
  <c r="DM3" i="9"/>
  <c r="DN3" i="9"/>
  <c r="DO3" i="9"/>
  <c r="DP3" i="9"/>
  <c r="DQ3" i="9"/>
  <c r="DR3" i="9"/>
  <c r="DS3" i="9"/>
  <c r="DT3" i="9"/>
  <c r="DU3" i="9"/>
  <c r="DV3" i="9"/>
  <c r="DW3" i="9"/>
  <c r="DX3" i="9"/>
  <c r="DY3" i="9"/>
  <c r="DZ3" i="9"/>
  <c r="EA3" i="9"/>
  <c r="EB3" i="9"/>
  <c r="EC3" i="9"/>
  <c r="AT3" i="9"/>
  <c r="AU3" i="9"/>
  <c r="AV3" i="9"/>
  <c r="AW3" i="9"/>
  <c r="AX3" i="9"/>
  <c r="AY3" i="9"/>
  <c r="AZ3" i="9"/>
  <c r="BA3" i="9"/>
  <c r="BB3" i="9"/>
  <c r="BC3" i="9"/>
  <c r="BD3" i="9"/>
  <c r="BE3" i="9"/>
  <c r="BF3" i="9"/>
  <c r="BG3" i="9"/>
  <c r="BH3" i="9"/>
  <c r="BI3" i="9"/>
  <c r="BJ3" i="9"/>
  <c r="BK3" i="9"/>
  <c r="BL3" i="9"/>
  <c r="BM3" i="9"/>
  <c r="BN3" i="9"/>
  <c r="BO3" i="9"/>
  <c r="BP3" i="9"/>
  <c r="BQ3" i="9"/>
  <c r="BR3" i="9"/>
  <c r="BS3" i="9"/>
  <c r="BT3" i="9"/>
  <c r="BU3" i="9"/>
  <c r="BV3" i="9"/>
  <c r="BW3" i="9"/>
  <c r="BX3" i="9"/>
  <c r="BY3" i="9"/>
  <c r="BZ3" i="9"/>
  <c r="CA3" i="9"/>
  <c r="CB3" i="9"/>
  <c r="CC3" i="9"/>
  <c r="CD3" i="9"/>
  <c r="CE3" i="9"/>
  <c r="CF3" i="9"/>
  <c r="CG3" i="9"/>
  <c r="CH3" i="9"/>
  <c r="CI3" i="9"/>
  <c r="CJ3" i="9"/>
  <c r="CK3" i="9"/>
  <c r="C3" i="9"/>
  <c r="D3" i="9"/>
  <c r="E3" i="9"/>
  <c r="F3" i="9"/>
  <c r="G3" i="9"/>
  <c r="H3" i="9"/>
  <c r="I3" i="9"/>
  <c r="J3" i="9"/>
  <c r="K3" i="9"/>
  <c r="L3" i="9"/>
  <c r="M3" i="9"/>
  <c r="N3" i="9"/>
  <c r="O3" i="9"/>
  <c r="P3" i="9"/>
  <c r="Q3" i="9"/>
  <c r="R3" i="9"/>
  <c r="S3" i="9"/>
  <c r="T3" i="9"/>
  <c r="U3" i="9"/>
  <c r="V3" i="9"/>
  <c r="W3" i="9"/>
  <c r="X3" i="9"/>
  <c r="Y3" i="9"/>
  <c r="Z3" i="9"/>
  <c r="AA3" i="9"/>
  <c r="AB3" i="9"/>
  <c r="AC3" i="9"/>
  <c r="AD3" i="9"/>
  <c r="AE3" i="9"/>
  <c r="AF3" i="9"/>
  <c r="AG3" i="9"/>
  <c r="AH3" i="9"/>
  <c r="AI3" i="9"/>
  <c r="AJ3" i="9"/>
  <c r="AK3" i="9"/>
  <c r="AL3" i="9"/>
  <c r="AM3" i="9"/>
  <c r="AN3" i="9"/>
  <c r="AO3" i="9"/>
  <c r="AP3" i="9"/>
  <c r="AQ3" i="9"/>
  <c r="AR3" i="9"/>
  <c r="AS3" i="9"/>
  <c r="EMX50" i="12"/>
  <c r="ELF50" i="12"/>
  <c r="EJN50" i="12"/>
  <c r="EHV50" i="12"/>
  <c r="EGD50" i="12"/>
  <c r="EEL50" i="12"/>
  <c r="ECT50" i="12"/>
  <c r="EBB50" i="12"/>
  <c r="DZJ50" i="12"/>
  <c r="DXR50" i="12"/>
  <c r="DVZ50" i="12"/>
  <c r="DUH50" i="12"/>
  <c r="DSP50" i="12"/>
  <c r="DQX50" i="12"/>
  <c r="DPF50" i="12"/>
  <c r="DNN50" i="12"/>
  <c r="DLV50" i="12"/>
  <c r="DKD50" i="12"/>
  <c r="DIL50" i="12"/>
  <c r="DGT50" i="12"/>
  <c r="DFB50" i="12"/>
  <c r="DDJ50" i="12"/>
  <c r="DBR50" i="12"/>
  <c r="CZZ50" i="12"/>
  <c r="CYH50" i="12"/>
  <c r="CWP50" i="12"/>
  <c r="CUX50" i="12"/>
  <c r="CTF50" i="12"/>
  <c r="CRN50" i="12"/>
  <c r="CPV50" i="12"/>
  <c r="COD50" i="12"/>
  <c r="CML50" i="12"/>
  <c r="CKT50" i="12"/>
  <c r="CJB50" i="12"/>
  <c r="CHJ50" i="12"/>
  <c r="CFR50" i="12"/>
  <c r="CDZ50" i="12"/>
  <c r="CCH50" i="12"/>
  <c r="CAP50" i="12"/>
  <c r="BYX50" i="12"/>
  <c r="BXF50" i="12"/>
  <c r="BVN50" i="12"/>
  <c r="BTV50" i="12"/>
  <c r="BSD50" i="12"/>
  <c r="BQL50" i="12"/>
  <c r="BOT50" i="12"/>
  <c r="BNB50" i="12"/>
  <c r="BLJ50" i="12"/>
  <c r="BJR50" i="12"/>
  <c r="BHZ50" i="12"/>
  <c r="BGH50" i="12"/>
  <c r="BEP50" i="12"/>
  <c r="BCX50" i="12"/>
  <c r="BBF50" i="12"/>
  <c r="AZN50" i="12"/>
  <c r="AXV50" i="12"/>
  <c r="AWD50" i="12"/>
  <c r="AUL50" i="12"/>
  <c r="AST50" i="12"/>
  <c r="ARB50" i="12"/>
  <c r="APJ50" i="12"/>
  <c r="ANR50" i="12"/>
  <c r="ALZ50" i="12"/>
  <c r="AKH50" i="12"/>
  <c r="AIP50" i="12"/>
  <c r="AGX50" i="12"/>
  <c r="AFF50" i="12"/>
  <c r="ADN50" i="12"/>
  <c r="ABV50" i="12"/>
  <c r="AAD50" i="12"/>
  <c r="YL50" i="12"/>
  <c r="WT50" i="12"/>
  <c r="VB50" i="12"/>
  <c r="TJ50" i="12"/>
  <c r="RR50" i="12"/>
  <c r="PZ50" i="12"/>
  <c r="OH50" i="12"/>
  <c r="MP50" i="12"/>
  <c r="KX50" i="12"/>
  <c r="JF50" i="12"/>
  <c r="HN50" i="12"/>
  <c r="FV50" i="12"/>
  <c r="ED50" i="12"/>
  <c r="CL50" i="12"/>
  <c r="AT50" i="12"/>
  <c r="B50" i="12"/>
  <c r="EOO49" i="12"/>
  <c r="D49" i="12"/>
  <c r="DBX48" i="12"/>
  <c r="DBT48" i="12"/>
  <c r="DAF48" i="12"/>
  <c r="DAB48" i="12"/>
  <c r="CYN48" i="12"/>
  <c r="CYJ48" i="12"/>
  <c r="CWV48" i="12"/>
  <c r="CWR48" i="12"/>
  <c r="CVD48" i="12"/>
  <c r="CUZ48" i="12"/>
  <c r="CTL48" i="12"/>
  <c r="CTH48" i="12"/>
  <c r="CRT48" i="12"/>
  <c r="CRP48" i="12"/>
  <c r="CQB48" i="12"/>
  <c r="CPX48" i="12"/>
  <c r="COJ48" i="12"/>
  <c r="COF48" i="12"/>
  <c r="CMR48" i="12"/>
  <c r="CMN48" i="12"/>
  <c r="CKZ48" i="12"/>
  <c r="CKV48" i="12"/>
  <c r="CJH48" i="12"/>
  <c r="CJD48" i="12"/>
  <c r="CHP48" i="12"/>
  <c r="CHL48" i="12"/>
  <c r="CFX48" i="12"/>
  <c r="CFT48" i="12"/>
  <c r="CEF48" i="12"/>
  <c r="CEB48" i="12"/>
  <c r="CCN48" i="12"/>
  <c r="CCJ48" i="12"/>
  <c r="CAV48" i="12"/>
  <c r="CAR48" i="12"/>
  <c r="BZD48" i="12"/>
  <c r="BYZ48" i="12"/>
  <c r="BXL48" i="12"/>
  <c r="BXH48" i="12"/>
  <c r="BVT48" i="12"/>
  <c r="BVP48" i="12"/>
  <c r="BUB48" i="12"/>
  <c r="BTX48" i="12"/>
  <c r="BSJ48" i="12"/>
  <c r="BSF48" i="12"/>
  <c r="BQR48" i="12"/>
  <c r="BQN48" i="12"/>
  <c r="BOZ48" i="12"/>
  <c r="BOV48" i="12"/>
  <c r="BNH48" i="12"/>
  <c r="BND48" i="12"/>
  <c r="BLP48" i="12"/>
  <c r="BLL48" i="12"/>
  <c r="BJX48" i="12"/>
  <c r="BJT48" i="12"/>
  <c r="BIF48" i="12"/>
  <c r="BIB48" i="12"/>
  <c r="BGN48" i="12"/>
  <c r="BGJ48" i="12"/>
  <c r="BEV48" i="12"/>
  <c r="BER48" i="12"/>
  <c r="BDD48" i="12"/>
  <c r="BCZ48" i="12"/>
  <c r="BBL48" i="12"/>
  <c r="BBH48" i="12"/>
  <c r="AZT48" i="12"/>
  <c r="AZP48" i="12"/>
  <c r="AYB48" i="12"/>
  <c r="AXX48" i="12"/>
  <c r="AWJ48" i="12"/>
  <c r="AWF48" i="12"/>
  <c r="AUR48" i="12"/>
  <c r="AUN48" i="12"/>
  <c r="ASZ48" i="12"/>
  <c r="ASV48" i="12"/>
  <c r="ARH48" i="12"/>
  <c r="ARD48" i="12"/>
  <c r="APP48" i="12"/>
  <c r="APL48" i="12"/>
  <c r="ANX48" i="12"/>
  <c r="ANT48" i="12"/>
  <c r="AMF48" i="12"/>
  <c r="AMB48" i="12"/>
  <c r="AKN48" i="12"/>
  <c r="AKJ48" i="12"/>
  <c r="AIV48" i="12"/>
  <c r="AIR48" i="12"/>
  <c r="AHD48" i="12"/>
  <c r="AGZ48" i="12"/>
  <c r="AFL48" i="12"/>
  <c r="AFH48" i="12"/>
  <c r="ADT48" i="12"/>
  <c r="ADP48" i="12"/>
  <c r="ACB48" i="12"/>
  <c r="ABX48" i="12"/>
  <c r="AAJ48" i="12"/>
  <c r="AAF48" i="12"/>
  <c r="YR48" i="12"/>
  <c r="YN48" i="12"/>
  <c r="WZ48" i="12"/>
  <c r="WV48" i="12"/>
  <c r="VH48" i="12"/>
  <c r="VD48" i="12"/>
  <c r="TP48" i="12"/>
  <c r="TL48" i="12"/>
  <c r="RX48" i="12"/>
  <c r="RT48" i="12"/>
  <c r="QF48" i="12"/>
  <c r="QB48" i="12"/>
  <c r="ON48" i="12"/>
  <c r="OJ48" i="12"/>
  <c r="MV48" i="12"/>
  <c r="MR48" i="12"/>
  <c r="LD48" i="12"/>
  <c r="KZ48" i="12"/>
  <c r="JL48" i="12"/>
  <c r="JH48" i="12"/>
  <c r="HT48" i="12"/>
  <c r="HP48" i="12"/>
  <c r="GB48" i="12"/>
  <c r="FX48" i="12"/>
  <c r="EJ48" i="12"/>
  <c r="EF48" i="12"/>
  <c r="CR48" i="12"/>
  <c r="CN48" i="12"/>
  <c r="AZ48" i="12"/>
  <c r="AV48" i="12"/>
  <c r="D48" i="12"/>
  <c r="EOO47" i="12"/>
  <c r="D47" i="12"/>
  <c r="EOO46" i="12"/>
  <c r="D46" i="12"/>
  <c r="EOO45" i="12"/>
  <c r="D45" i="12"/>
  <c r="EOO44" i="12"/>
  <c r="AHD44" i="12"/>
  <c r="AGZ44" i="12"/>
  <c r="AFL44" i="12"/>
  <c r="AFH44" i="12"/>
  <c r="ADT44" i="12"/>
  <c r="ADP44" i="12"/>
  <c r="ACB44" i="12"/>
  <c r="ABX44" i="12"/>
  <c r="AAJ44" i="12"/>
  <c r="AAF44" i="12"/>
  <c r="YR44" i="12"/>
  <c r="YN44" i="12"/>
  <c r="WZ44" i="12"/>
  <c r="WV44" i="12"/>
  <c r="VH44" i="12"/>
  <c r="VD44" i="12"/>
  <c r="TP44" i="12"/>
  <c r="TL44" i="12"/>
  <c r="RX44" i="12"/>
  <c r="RT44" i="12"/>
  <c r="QF44" i="12"/>
  <c r="QB44" i="12"/>
  <c r="ON44" i="12"/>
  <c r="OJ44" i="12"/>
  <c r="MV44" i="12"/>
  <c r="MR44" i="12"/>
  <c r="LD44" i="12"/>
  <c r="KZ44" i="12"/>
  <c r="JL44" i="12"/>
  <c r="JH44" i="12"/>
  <c r="HT44" i="12"/>
  <c r="HP44" i="12"/>
  <c r="GB44" i="12"/>
  <c r="FX44" i="12"/>
  <c r="EJ44" i="12"/>
  <c r="EF44" i="12"/>
  <c r="CR44" i="12"/>
  <c r="CN44" i="12"/>
  <c r="AZ44" i="12"/>
  <c r="AV44" i="12"/>
  <c r="H44" i="12"/>
  <c r="D44" i="12"/>
  <c r="EOO43" i="12"/>
  <c r="D43" i="12"/>
  <c r="EOO42" i="12"/>
  <c r="YR42" i="12"/>
  <c r="YN42" i="12"/>
  <c r="WZ42" i="12"/>
  <c r="WV42" i="12"/>
  <c r="VH42" i="12"/>
  <c r="VD42" i="12"/>
  <c r="TP42" i="12"/>
  <c r="TL42" i="12"/>
  <c r="RX42" i="12"/>
  <c r="RT42" i="12"/>
  <c r="QF42" i="12"/>
  <c r="QB42" i="12"/>
  <c r="ON42" i="12"/>
  <c r="OJ42" i="12"/>
  <c r="MV42" i="12"/>
  <c r="MR42" i="12"/>
  <c r="LD42" i="12"/>
  <c r="KZ42" i="12"/>
  <c r="JL42" i="12"/>
  <c r="JH42" i="12"/>
  <c r="HT42" i="12"/>
  <c r="HP42" i="12"/>
  <c r="GB42" i="12"/>
  <c r="FX42" i="12"/>
  <c r="EJ42" i="12"/>
  <c r="EF42" i="12"/>
  <c r="CR42" i="12"/>
  <c r="CN42" i="12"/>
  <c r="AZ42" i="12"/>
  <c r="AV42" i="12"/>
  <c r="H42" i="12"/>
  <c r="D42" i="12"/>
  <c r="EOO41" i="12"/>
  <c r="D41" i="12"/>
  <c r="EOO40" i="12"/>
  <c r="CR40" i="12"/>
  <c r="CN40" i="12"/>
  <c r="AZ40" i="12"/>
  <c r="AV40" i="12"/>
  <c r="D40" i="12"/>
  <c r="EOO39" i="12"/>
  <c r="D39" i="12"/>
  <c r="EOO38" i="12"/>
  <c r="CR38" i="12"/>
  <c r="CN38" i="12"/>
  <c r="AZ38" i="12"/>
  <c r="AV38" i="12"/>
  <c r="H38" i="12"/>
  <c r="D38" i="12"/>
  <c r="EOO37" i="12"/>
  <c r="D37" i="12"/>
  <c r="EOO36" i="12"/>
  <c r="D36" i="12"/>
  <c r="EOO35" i="12"/>
  <c r="AIV35" i="12"/>
  <c r="AIR35" i="12"/>
  <c r="AHD35" i="12"/>
  <c r="AGZ35" i="12"/>
  <c r="AFL35" i="12"/>
  <c r="AFH35" i="12"/>
  <c r="ADT35" i="12"/>
  <c r="ADP35" i="12"/>
  <c r="ACB35" i="12"/>
  <c r="ABX35" i="12"/>
  <c r="AAJ35" i="12"/>
  <c r="AAF35" i="12"/>
  <c r="YR35" i="12"/>
  <c r="YN35" i="12"/>
  <c r="WZ35" i="12"/>
  <c r="WV35" i="12"/>
  <c r="VH35" i="12"/>
  <c r="VD35" i="12"/>
  <c r="TP35" i="12"/>
  <c r="TL35" i="12"/>
  <c r="RX35" i="12"/>
  <c r="RT35" i="12"/>
  <c r="QF35" i="12"/>
  <c r="QB35" i="12"/>
  <c r="ON35" i="12"/>
  <c r="OJ35" i="12"/>
  <c r="MR35" i="12"/>
  <c r="LD35" i="12"/>
  <c r="KZ35" i="12"/>
  <c r="JL35" i="12"/>
  <c r="JH35" i="12"/>
  <c r="HT35" i="12"/>
  <c r="HP35" i="12"/>
  <c r="FX35" i="12"/>
  <c r="EJ35" i="12"/>
  <c r="EF35" i="12"/>
  <c r="CR35" i="12"/>
  <c r="CN35" i="12"/>
  <c r="AZ35" i="12"/>
  <c r="AV35" i="12"/>
  <c r="H35" i="12"/>
  <c r="D35" i="12"/>
  <c r="EOO34" i="12"/>
  <c r="D34" i="12"/>
  <c r="EOO33" i="12"/>
  <c r="D33" i="12"/>
  <c r="EOO32" i="12"/>
  <c r="D32" i="12"/>
  <c r="EOO31" i="12"/>
  <c r="AZ31" i="12"/>
  <c r="AV31" i="12"/>
  <c r="H31" i="12"/>
  <c r="D31" i="12"/>
  <c r="EOO30" i="12"/>
  <c r="AIV30" i="12"/>
  <c r="AIR30" i="12"/>
  <c r="AHD30" i="12"/>
  <c r="AGZ30" i="12"/>
  <c r="AFL30" i="12"/>
  <c r="AFH30" i="12"/>
  <c r="ADT30" i="12"/>
  <c r="ADP30" i="12"/>
  <c r="ACB30" i="12"/>
  <c r="ABX30" i="12"/>
  <c r="AAJ30" i="12"/>
  <c r="AAF30" i="12"/>
  <c r="YR30" i="12"/>
  <c r="YN30" i="12"/>
  <c r="WZ30" i="12"/>
  <c r="WV30" i="12"/>
  <c r="VH30" i="12"/>
  <c r="VD30" i="12"/>
  <c r="TP30" i="12"/>
  <c r="TL30" i="12"/>
  <c r="RX30" i="12"/>
  <c r="RT30" i="12"/>
  <c r="QF30" i="12"/>
  <c r="QB30" i="12"/>
  <c r="ON30" i="12"/>
  <c r="OJ30" i="12"/>
  <c r="MV30" i="12"/>
  <c r="MR30" i="12"/>
  <c r="LD30" i="12"/>
  <c r="KZ30" i="12"/>
  <c r="JL30" i="12"/>
  <c r="JH30" i="12"/>
  <c r="HT30" i="12"/>
  <c r="HP30" i="12"/>
  <c r="GB30" i="12"/>
  <c r="FX30" i="12"/>
  <c r="EJ30" i="12"/>
  <c r="EF30" i="12"/>
  <c r="CR30" i="12"/>
  <c r="CN30" i="12"/>
  <c r="AZ30" i="12"/>
  <c r="AV30" i="12"/>
  <c r="H30" i="12"/>
  <c r="D30" i="12"/>
  <c r="EOO29" i="12"/>
  <c r="D29" i="12"/>
  <c r="EOO28" i="12"/>
  <c r="RT28" i="12"/>
  <c r="QB28" i="12"/>
  <c r="OJ28" i="12"/>
  <c r="MR28" i="12"/>
  <c r="KZ28" i="12"/>
  <c r="JH28" i="12"/>
  <c r="HP28" i="12"/>
  <c r="FX28" i="12"/>
  <c r="EF28" i="12"/>
  <c r="CR28" i="12"/>
  <c r="CN28" i="12"/>
  <c r="AZ28" i="12"/>
  <c r="AV28" i="12"/>
  <c r="H28" i="12"/>
  <c r="D28" i="12"/>
  <c r="EOO27" i="12"/>
  <c r="D27" i="12"/>
  <c r="EOO26" i="12"/>
  <c r="VD26" i="12"/>
  <c r="TL26" i="12"/>
  <c r="RT26" i="12"/>
  <c r="QB26" i="12"/>
  <c r="OJ26" i="12"/>
  <c r="MR26" i="12"/>
  <c r="KZ26" i="12"/>
  <c r="JH26" i="12"/>
  <c r="HP26" i="12"/>
  <c r="FX26" i="12"/>
  <c r="EF26" i="12"/>
  <c r="CN26" i="12"/>
  <c r="AV26" i="12"/>
  <c r="D26" i="12"/>
  <c r="EOO25" i="12"/>
  <c r="D25" i="12"/>
  <c r="EOO24" i="12"/>
  <c r="MV24" i="12"/>
  <c r="MR24" i="12"/>
  <c r="LD24" i="12"/>
  <c r="KZ24" i="12"/>
  <c r="JL24" i="12"/>
  <c r="JH24" i="12"/>
  <c r="HT24" i="12"/>
  <c r="HP24" i="12"/>
  <c r="FX24" i="12"/>
  <c r="EF24" i="12"/>
  <c r="CN24" i="12"/>
  <c r="AZ24" i="12"/>
  <c r="AV24" i="12"/>
  <c r="D24" i="12"/>
  <c r="EOO23" i="12"/>
  <c r="D23" i="12"/>
  <c r="EOO22" i="12"/>
  <c r="D22" i="12"/>
  <c r="EOO21" i="12"/>
  <c r="D21" i="12"/>
  <c r="EOO20" i="12"/>
  <c r="H20" i="12"/>
  <c r="D20" i="12"/>
  <c r="EOO19" i="12"/>
  <c r="AZ19" i="12"/>
  <c r="AV19" i="12"/>
  <c r="H19" i="12"/>
  <c r="D19" i="12"/>
  <c r="EOO18" i="12"/>
  <c r="AZ18" i="12"/>
  <c r="AV18" i="12"/>
  <c r="H18" i="12"/>
  <c r="D18" i="12"/>
  <c r="EOO17" i="12"/>
  <c r="D17" i="12"/>
  <c r="EOO16" i="12"/>
  <c r="D16" i="12"/>
  <c r="EOO15" i="12"/>
  <c r="D15" i="12"/>
  <c r="EOO14" i="12"/>
  <c r="JL14" i="12"/>
  <c r="JH14" i="12"/>
  <c r="HT14" i="12"/>
  <c r="HP14" i="12"/>
  <c r="GB14" i="12"/>
  <c r="FX14" i="12"/>
  <c r="EJ14" i="12"/>
  <c r="EF14" i="12"/>
  <c r="CR14" i="12"/>
  <c r="CN14" i="12"/>
  <c r="AZ14" i="12"/>
  <c r="AV14" i="12"/>
  <c r="H14" i="12"/>
  <c r="D14" i="12"/>
  <c r="EOO13" i="12"/>
  <c r="H13" i="12"/>
  <c r="D13" i="12"/>
  <c r="EOO12" i="12"/>
  <c r="D12" i="12"/>
  <c r="EOO11" i="12"/>
  <c r="H11" i="12"/>
  <c r="D11" i="12"/>
  <c r="EOO10" i="12"/>
  <c r="D10" i="12"/>
  <c r="EOO9" i="12"/>
  <c r="D9" i="12"/>
  <c r="EOO8" i="12"/>
  <c r="D8" i="12"/>
  <c r="EOO7" i="12"/>
  <c r="AUN7" i="12"/>
  <c r="ASV7" i="12"/>
  <c r="ARD7" i="12"/>
  <c r="APL7" i="12"/>
  <c r="ANT7" i="12"/>
  <c r="AMB7" i="12"/>
  <c r="AKJ7" i="12"/>
  <c r="AIR7" i="12"/>
  <c r="AGZ7" i="12"/>
  <c r="AFH7" i="12"/>
  <c r="ADP7" i="12"/>
  <c r="ABX7" i="12"/>
  <c r="AAF7" i="12"/>
  <c r="YN7" i="12"/>
  <c r="WV7" i="12"/>
  <c r="VD7" i="12"/>
  <c r="TL7" i="12"/>
  <c r="RX7" i="12"/>
  <c r="RT7" i="12"/>
  <c r="QF7" i="12"/>
  <c r="QB7" i="12"/>
  <c r="ON7" i="12"/>
  <c r="OJ7" i="12"/>
  <c r="MV7" i="12"/>
  <c r="MR7" i="12"/>
  <c r="LD7" i="12"/>
  <c r="KZ7" i="12"/>
  <c r="JL7" i="12"/>
  <c r="JH7" i="12"/>
  <c r="HT7" i="12"/>
  <c r="HP7" i="12"/>
  <c r="GB7" i="12"/>
  <c r="FX7" i="12"/>
  <c r="EJ7" i="12"/>
  <c r="EF7" i="12"/>
  <c r="CR7" i="12"/>
  <c r="CN7" i="12"/>
  <c r="AZ7" i="12"/>
  <c r="AV7" i="12"/>
  <c r="D7" i="12"/>
  <c r="EOO6" i="12"/>
  <c r="D6" i="12"/>
  <c r="EOO5" i="12"/>
  <c r="HP5" i="12"/>
  <c r="FX5" i="12"/>
  <c r="EF5" i="12"/>
  <c r="CN5" i="12"/>
  <c r="AV5" i="12"/>
  <c r="D5" i="12"/>
  <c r="EOO4" i="12"/>
  <c r="TP4" i="12"/>
  <c r="TL4" i="12"/>
  <c r="RX4" i="12"/>
  <c r="RT4" i="12"/>
  <c r="QF4" i="12"/>
  <c r="QB4" i="12"/>
  <c r="ON4" i="12"/>
  <c r="OJ4" i="12"/>
  <c r="MV4" i="12"/>
  <c r="MR4" i="12"/>
  <c r="LD4" i="12"/>
  <c r="KZ4" i="12"/>
  <c r="JL4" i="12"/>
  <c r="JH4" i="12"/>
  <c r="HT4" i="12"/>
  <c r="HP4" i="12"/>
  <c r="GB4" i="12"/>
  <c r="FX4" i="12"/>
  <c r="EJ4" i="12"/>
  <c r="EF4" i="12"/>
  <c r="CR4" i="12"/>
  <c r="CN4" i="12"/>
  <c r="AZ4" i="12"/>
  <c r="AV4" i="12"/>
  <c r="H4" i="12"/>
  <c r="D4" i="12"/>
  <c r="EOO3" i="12"/>
  <c r="VH3" i="12"/>
  <c r="VD3" i="12"/>
  <c r="TP3" i="12"/>
  <c r="TL3" i="12"/>
  <c r="RX3" i="12"/>
  <c r="RT3" i="12"/>
  <c r="QF3" i="12"/>
  <c r="QB3" i="12"/>
  <c r="ON3" i="12"/>
  <c r="OJ3" i="12"/>
  <c r="MV3" i="12"/>
  <c r="MR3" i="12"/>
  <c r="LD3" i="12"/>
  <c r="KZ3" i="12"/>
  <c r="JL3" i="12"/>
  <c r="JH3" i="12"/>
  <c r="HT3" i="12"/>
  <c r="HP3" i="12"/>
  <c r="GB3" i="12"/>
  <c r="FX3" i="12"/>
  <c r="EJ3" i="12"/>
  <c r="EF3" i="12"/>
  <c r="CR3" i="12"/>
  <c r="CN3" i="12"/>
  <c r="AZ3" i="12"/>
  <c r="AV3" i="12"/>
  <c r="H3" i="12"/>
  <c r="D3" i="12"/>
  <c r="B1" i="12"/>
  <c r="C1" i="12"/>
  <c r="D1" i="12"/>
  <c r="E1" i="12"/>
  <c r="F1" i="12"/>
  <c r="G1" i="12"/>
  <c r="H1" i="12"/>
  <c r="I1" i="12"/>
  <c r="J1" i="12"/>
  <c r="K1" i="12"/>
  <c r="L1" i="12"/>
  <c r="M1" i="12"/>
  <c r="N1" i="12"/>
  <c r="O1" i="12"/>
  <c r="P1" i="12"/>
  <c r="Q1" i="12"/>
  <c r="R1" i="12"/>
  <c r="S1" i="12"/>
  <c r="T1" i="12"/>
  <c r="U1" i="12"/>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CO1" i="12"/>
  <c r="CP1" i="12"/>
  <c r="CQ1" i="12"/>
  <c r="CR1" i="12"/>
  <c r="CS1" i="12"/>
  <c r="CT1" i="12"/>
  <c r="CU1" i="12"/>
  <c r="CV1" i="12"/>
  <c r="CW1" i="12"/>
  <c r="CX1" i="12"/>
  <c r="CY1" i="12"/>
  <c r="CZ1" i="12"/>
  <c r="DA1" i="12"/>
  <c r="DB1" i="12"/>
  <c r="DC1" i="12"/>
  <c r="DD1" i="12"/>
  <c r="DE1" i="12"/>
  <c r="DF1" i="12"/>
  <c r="DG1" i="12"/>
  <c r="DH1" i="12"/>
  <c r="DI1" i="12"/>
  <c r="DJ1" i="12"/>
  <c r="DK1" i="12"/>
  <c r="DL1" i="12"/>
  <c r="DM1" i="12"/>
  <c r="DN1" i="12"/>
  <c r="DO1" i="12"/>
  <c r="DP1" i="12"/>
  <c r="DQ1" i="12"/>
  <c r="DR1" i="12"/>
  <c r="DS1" i="12"/>
  <c r="DT1" i="12"/>
  <c r="DU1" i="12"/>
  <c r="DV1" i="12"/>
  <c r="DW1" i="12"/>
  <c r="DX1" i="12"/>
  <c r="DY1" i="12"/>
  <c r="DZ1" i="12"/>
  <c r="EA1" i="12"/>
  <c r="EB1" i="12"/>
  <c r="EC1" i="12"/>
  <c r="ED1" i="12"/>
  <c r="EE1" i="12"/>
  <c r="EF1" i="12"/>
  <c r="EG1" i="12"/>
  <c r="EH1" i="12"/>
  <c r="EI1" i="12"/>
  <c r="EJ1" i="12"/>
  <c r="EK1" i="12"/>
  <c r="EL1" i="12"/>
  <c r="EM1" i="12"/>
  <c r="EN1" i="12"/>
  <c r="EO1" i="12"/>
  <c r="EP1" i="12"/>
  <c r="EQ1" i="12"/>
  <c r="ER1" i="12"/>
  <c r="ES1" i="12"/>
  <c r="ET1" i="12"/>
  <c r="EU1" i="12"/>
  <c r="EV1" i="12"/>
  <c r="EW1" i="12"/>
  <c r="EX1" i="12"/>
  <c r="EY1" i="12"/>
  <c r="EZ1" i="12"/>
  <c r="FA1" i="12"/>
  <c r="FB1" i="12"/>
  <c r="FC1" i="12"/>
  <c r="FD1" i="12"/>
  <c r="FE1" i="12"/>
  <c r="FF1" i="12"/>
  <c r="FG1" i="12"/>
  <c r="FH1" i="12"/>
  <c r="FI1" i="12"/>
  <c r="FJ1" i="12"/>
  <c r="FK1" i="12"/>
  <c r="FL1" i="12"/>
  <c r="FM1" i="12"/>
  <c r="FN1" i="12"/>
  <c r="FO1" i="12"/>
  <c r="FP1" i="12"/>
  <c r="FQ1" i="12"/>
  <c r="FR1" i="12"/>
  <c r="FS1" i="12"/>
  <c r="FT1" i="12"/>
  <c r="FU1" i="12"/>
  <c r="FV1" i="12"/>
  <c r="FW1" i="12"/>
  <c r="FX1" i="12"/>
  <c r="FY1" i="12"/>
  <c r="FZ1" i="12"/>
  <c r="GA1" i="12"/>
  <c r="GB1" i="12"/>
  <c r="GC1" i="12"/>
  <c r="GD1" i="12"/>
  <c r="GE1" i="12"/>
  <c r="GF1" i="12"/>
  <c r="GG1" i="12"/>
  <c r="GH1" i="12"/>
  <c r="GI1" i="12"/>
  <c r="GJ1" i="12"/>
  <c r="GK1" i="12"/>
  <c r="GL1" i="12"/>
  <c r="GM1" i="12"/>
  <c r="GN1" i="12"/>
  <c r="GO1" i="12"/>
  <c r="GP1" i="12"/>
  <c r="GQ1" i="12"/>
  <c r="GR1" i="12"/>
  <c r="GS1" i="12"/>
  <c r="GT1" i="12"/>
  <c r="GU1" i="12"/>
  <c r="GV1" i="12"/>
  <c r="GW1" i="12"/>
  <c r="GX1" i="12"/>
  <c r="GY1" i="12"/>
  <c r="GZ1" i="12"/>
  <c r="HA1" i="12"/>
  <c r="HB1" i="12"/>
  <c r="HC1" i="12"/>
  <c r="HD1" i="12"/>
  <c r="HE1" i="12"/>
  <c r="HF1" i="12"/>
  <c r="HG1" i="12"/>
  <c r="HH1" i="12"/>
  <c r="HI1" i="12"/>
  <c r="HJ1" i="12"/>
  <c r="HK1" i="12"/>
  <c r="HL1" i="12"/>
  <c r="HM1" i="12"/>
  <c r="HN1" i="12"/>
  <c r="HO1" i="12"/>
  <c r="HP1" i="12"/>
  <c r="HQ1" i="12"/>
  <c r="HR1" i="12"/>
  <c r="HS1" i="12"/>
  <c r="HT1" i="12"/>
  <c r="HU1" i="12"/>
  <c r="HV1" i="12"/>
  <c r="HW1" i="12"/>
  <c r="HX1" i="12"/>
  <c r="HY1" i="12"/>
  <c r="HZ1" i="12"/>
  <c r="IA1" i="12"/>
  <c r="IB1" i="12"/>
  <c r="IC1" i="12"/>
  <c r="ID1" i="12"/>
  <c r="IE1" i="12"/>
  <c r="IF1" i="12"/>
  <c r="IG1" i="12"/>
  <c r="IH1" i="12"/>
  <c r="II1" i="12"/>
  <c r="IJ1" i="12"/>
  <c r="IK1" i="12"/>
  <c r="IL1" i="12"/>
  <c r="IM1" i="12"/>
  <c r="IN1" i="12"/>
  <c r="IO1" i="12"/>
  <c r="IP1" i="12"/>
  <c r="IQ1" i="12"/>
  <c r="IR1" i="12"/>
  <c r="IS1" i="12"/>
  <c r="IT1" i="12"/>
  <c r="IU1" i="12"/>
  <c r="IV1" i="12"/>
  <c r="IW1" i="12"/>
  <c r="IX1" i="12"/>
  <c r="IY1" i="12"/>
  <c r="IZ1" i="12"/>
  <c r="JA1" i="12"/>
  <c r="JB1" i="12"/>
  <c r="JC1" i="12"/>
  <c r="JD1" i="12"/>
  <c r="JE1" i="12"/>
  <c r="JF1" i="12"/>
  <c r="JG1" i="12"/>
  <c r="JH1" i="12"/>
  <c r="JI1" i="12"/>
  <c r="JJ1" i="12"/>
  <c r="JK1" i="12"/>
  <c r="JL1" i="12"/>
  <c r="JM1" i="12"/>
  <c r="JN1" i="12"/>
  <c r="JO1" i="12"/>
  <c r="JP1" i="12"/>
  <c r="JQ1" i="12"/>
  <c r="JR1" i="12"/>
  <c r="JS1" i="12"/>
  <c r="JT1" i="12"/>
  <c r="JU1" i="12"/>
  <c r="JV1" i="12"/>
  <c r="JW1" i="12"/>
  <c r="JX1" i="12"/>
  <c r="JY1" i="12"/>
  <c r="JZ1" i="12"/>
  <c r="KA1" i="12"/>
  <c r="KB1" i="12"/>
  <c r="KC1" i="12"/>
  <c r="KD1" i="12"/>
  <c r="KE1" i="12"/>
  <c r="KF1" i="12"/>
  <c r="KG1" i="12"/>
  <c r="KH1" i="12"/>
  <c r="KI1" i="12"/>
  <c r="KJ1" i="12"/>
  <c r="KK1" i="12"/>
  <c r="KL1" i="12"/>
  <c r="KM1" i="12"/>
  <c r="KN1" i="12"/>
  <c r="KO1" i="12"/>
  <c r="KP1" i="12"/>
  <c r="KQ1" i="12"/>
  <c r="KR1" i="12"/>
  <c r="KS1" i="12"/>
  <c r="KT1" i="12"/>
  <c r="KU1" i="12"/>
  <c r="KV1" i="12"/>
  <c r="KW1" i="12"/>
  <c r="KX1" i="12"/>
  <c r="KY1" i="12"/>
  <c r="KZ1" i="12"/>
  <c r="LA1" i="12"/>
  <c r="LB1" i="12"/>
  <c r="LC1" i="12"/>
  <c r="LD1" i="12"/>
  <c r="LE1" i="12"/>
  <c r="LF1" i="12"/>
  <c r="LG1" i="12"/>
  <c r="LH1" i="12"/>
  <c r="LI1" i="12"/>
  <c r="LJ1" i="12"/>
  <c r="LK1" i="12"/>
  <c r="LL1" i="12"/>
  <c r="LM1" i="12"/>
  <c r="LN1" i="12"/>
  <c r="LO1" i="12"/>
  <c r="LP1" i="12"/>
  <c r="LQ1" i="12"/>
  <c r="LR1" i="12"/>
  <c r="LS1" i="12"/>
  <c r="LT1" i="12"/>
  <c r="LU1" i="12"/>
  <c r="LV1" i="12"/>
  <c r="LW1" i="12"/>
  <c r="LX1" i="12"/>
  <c r="LY1" i="12"/>
  <c r="LZ1" i="12"/>
  <c r="MA1" i="12"/>
  <c r="MB1" i="12"/>
  <c r="MC1" i="12"/>
  <c r="MD1" i="12"/>
  <c r="ME1" i="12"/>
  <c r="MF1" i="12"/>
  <c r="MG1" i="12"/>
  <c r="MH1" i="12"/>
  <c r="MI1" i="12"/>
  <c r="MJ1" i="12"/>
  <c r="MK1" i="12"/>
  <c r="ML1" i="12"/>
  <c r="MM1" i="12"/>
  <c r="MN1" i="12"/>
  <c r="MO1" i="12"/>
  <c r="MP1" i="12"/>
  <c r="MQ1" i="12"/>
  <c r="MR1" i="12"/>
  <c r="MS1" i="12"/>
  <c r="MT1" i="12"/>
  <c r="MU1" i="12"/>
  <c r="MV1" i="12"/>
  <c r="MW1" i="12"/>
  <c r="MX1" i="12"/>
  <c r="MY1" i="12"/>
  <c r="MZ1" i="12"/>
  <c r="NA1" i="12"/>
  <c r="NB1" i="12"/>
  <c r="NC1" i="12"/>
  <c r="ND1" i="12"/>
  <c r="NE1" i="12"/>
  <c r="NF1" i="12"/>
  <c r="NG1" i="12"/>
  <c r="NH1" i="12"/>
  <c r="NI1" i="12"/>
  <c r="NJ1" i="12"/>
  <c r="NK1" i="12"/>
  <c r="NL1" i="12"/>
  <c r="NM1" i="12"/>
  <c r="NN1" i="12"/>
  <c r="NO1" i="12"/>
  <c r="NP1" i="12"/>
  <c r="NQ1" i="12"/>
  <c r="NR1" i="12"/>
  <c r="NS1" i="12"/>
  <c r="NT1" i="12"/>
  <c r="NU1" i="12"/>
  <c r="NV1" i="12"/>
  <c r="NW1" i="12"/>
  <c r="NX1" i="12"/>
  <c r="NY1" i="12"/>
  <c r="NZ1" i="12"/>
  <c r="OA1" i="12"/>
  <c r="OB1" i="12"/>
  <c r="OC1" i="12"/>
  <c r="OD1" i="12"/>
  <c r="OE1" i="12"/>
  <c r="OF1" i="12"/>
  <c r="OG1" i="12"/>
  <c r="OH1" i="12"/>
  <c r="OI1" i="12"/>
  <c r="OJ1" i="12"/>
  <c r="OK1" i="12"/>
  <c r="OL1" i="12"/>
  <c r="OM1" i="12"/>
  <c r="ON1" i="12"/>
  <c r="OO1" i="12"/>
  <c r="OP1" i="12"/>
  <c r="OQ1" i="12"/>
  <c r="OR1" i="12"/>
  <c r="OS1" i="12"/>
  <c r="OT1" i="12"/>
  <c r="OU1" i="12"/>
  <c r="OV1" i="12"/>
  <c r="OW1" i="12"/>
  <c r="OX1" i="12"/>
  <c r="OY1" i="12"/>
  <c r="OZ1" i="12"/>
  <c r="PA1" i="12"/>
  <c r="PB1" i="12"/>
  <c r="PC1" i="12"/>
  <c r="PD1" i="12"/>
  <c r="PE1" i="12"/>
  <c r="PF1" i="12"/>
  <c r="PG1" i="12"/>
  <c r="PH1" i="12"/>
  <c r="PI1" i="12"/>
  <c r="PJ1" i="12"/>
  <c r="PK1" i="12"/>
  <c r="PL1" i="12"/>
  <c r="PM1" i="12"/>
  <c r="PN1" i="12"/>
  <c r="PO1" i="12"/>
  <c r="PP1" i="12"/>
  <c r="PQ1" i="12"/>
  <c r="PR1" i="12"/>
  <c r="PS1" i="12"/>
  <c r="PT1" i="12"/>
  <c r="PU1" i="12"/>
  <c r="PV1" i="12"/>
  <c r="PW1" i="12"/>
  <c r="PX1" i="12"/>
  <c r="PY1" i="12"/>
  <c r="PZ1" i="12"/>
  <c r="QA1" i="12"/>
  <c r="QB1" i="12"/>
  <c r="QC1" i="12"/>
  <c r="QD1" i="12"/>
  <c r="QE1" i="12"/>
  <c r="QF1" i="12"/>
  <c r="QG1" i="12"/>
  <c r="QH1" i="12"/>
  <c r="QI1" i="12"/>
  <c r="QJ1" i="12"/>
  <c r="QK1" i="12"/>
  <c r="QL1" i="12"/>
  <c r="QM1" i="12"/>
  <c r="QN1" i="12"/>
  <c r="QO1" i="12"/>
  <c r="QP1" i="12"/>
  <c r="QQ1" i="12"/>
  <c r="QR1" i="12"/>
  <c r="QS1" i="12"/>
  <c r="QT1" i="12"/>
  <c r="QU1" i="12"/>
  <c r="QV1" i="12"/>
  <c r="QW1" i="12"/>
  <c r="QX1" i="12"/>
  <c r="QY1" i="12"/>
  <c r="QZ1" i="12"/>
  <c r="RA1" i="12"/>
  <c r="RB1" i="12"/>
  <c r="RC1" i="12"/>
  <c r="RD1" i="12"/>
  <c r="RE1" i="12"/>
  <c r="RF1" i="12"/>
  <c r="RG1" i="12"/>
  <c r="RH1" i="12"/>
  <c r="RI1" i="12"/>
  <c r="RJ1" i="12"/>
  <c r="RK1" i="12"/>
  <c r="RL1" i="12"/>
  <c r="RM1" i="12"/>
  <c r="RN1" i="12"/>
  <c r="RO1" i="12"/>
  <c r="RP1" i="12"/>
  <c r="RQ1" i="12"/>
  <c r="RR1" i="12"/>
  <c r="RS1" i="12"/>
  <c r="RT1" i="12"/>
  <c r="RU1" i="12"/>
  <c r="RV1" i="12"/>
  <c r="RW1" i="12"/>
  <c r="RX1" i="12"/>
  <c r="RY1" i="12"/>
  <c r="RZ1" i="12"/>
  <c r="SA1" i="12"/>
  <c r="SB1" i="12"/>
  <c r="SC1" i="12"/>
  <c r="SD1" i="12"/>
  <c r="SE1" i="12"/>
  <c r="SF1" i="12"/>
  <c r="SG1" i="12"/>
  <c r="SH1" i="12"/>
  <c r="SI1" i="12"/>
  <c r="SJ1" i="12"/>
  <c r="SK1" i="12"/>
  <c r="SL1" i="12"/>
  <c r="SM1" i="12"/>
  <c r="SN1" i="12"/>
  <c r="SO1" i="12"/>
  <c r="SP1" i="12"/>
  <c r="SQ1" i="12"/>
  <c r="SR1" i="12"/>
  <c r="SS1" i="12"/>
  <c r="ST1" i="12"/>
  <c r="SU1" i="12"/>
  <c r="SV1" i="12"/>
  <c r="SW1" i="12"/>
  <c r="SX1" i="12"/>
  <c r="SY1" i="12"/>
  <c r="SZ1" i="12"/>
  <c r="TA1" i="12"/>
  <c r="TB1" i="12"/>
  <c r="TC1" i="12"/>
  <c r="TD1" i="12"/>
  <c r="TE1" i="12"/>
  <c r="TF1" i="12"/>
  <c r="TG1" i="12"/>
  <c r="TH1" i="12"/>
  <c r="TI1" i="12"/>
  <c r="TJ1" i="12"/>
  <c r="TK1" i="12"/>
  <c r="TL1" i="12"/>
  <c r="TM1" i="12"/>
  <c r="TN1" i="12"/>
  <c r="TO1" i="12"/>
  <c r="TP1" i="12"/>
  <c r="TQ1" i="12"/>
  <c r="TR1" i="12"/>
  <c r="TS1" i="12"/>
  <c r="TT1" i="12"/>
  <c r="TU1" i="12"/>
  <c r="TV1" i="12"/>
  <c r="TW1" i="12"/>
  <c r="TX1" i="12"/>
  <c r="TY1" i="12"/>
  <c r="TZ1" i="12"/>
  <c r="UA1" i="12"/>
  <c r="UB1" i="12"/>
  <c r="UC1" i="12"/>
  <c r="UD1" i="12"/>
  <c r="UE1" i="12"/>
  <c r="UF1" i="12"/>
  <c r="UG1" i="12"/>
  <c r="UH1" i="12"/>
  <c r="UI1" i="12"/>
  <c r="UJ1" i="12"/>
  <c r="UK1" i="12"/>
  <c r="UL1" i="12"/>
  <c r="UM1" i="12"/>
  <c r="UN1" i="12"/>
  <c r="UO1" i="12"/>
  <c r="UP1" i="12"/>
  <c r="UQ1" i="12"/>
  <c r="UR1" i="12"/>
  <c r="US1" i="12"/>
  <c r="UT1" i="12"/>
  <c r="UU1" i="12"/>
  <c r="UV1" i="12"/>
  <c r="UW1" i="12"/>
  <c r="UX1" i="12"/>
  <c r="UY1" i="12"/>
  <c r="UZ1" i="12"/>
  <c r="VA1" i="12"/>
  <c r="VB1" i="12"/>
  <c r="VC1" i="12"/>
  <c r="VD1" i="12"/>
  <c r="VE1" i="12"/>
  <c r="VF1" i="12"/>
  <c r="VG1" i="12"/>
  <c r="VH1" i="12"/>
  <c r="VI1" i="12"/>
  <c r="VJ1" i="12"/>
  <c r="VK1" i="12"/>
  <c r="VL1" i="12"/>
  <c r="VM1" i="12"/>
  <c r="VN1" i="12"/>
  <c r="VO1" i="12"/>
  <c r="VP1" i="12"/>
  <c r="VQ1" i="12"/>
  <c r="VR1" i="12"/>
  <c r="VS1" i="12"/>
  <c r="VT1" i="12"/>
  <c r="VU1" i="12"/>
  <c r="VV1" i="12"/>
  <c r="VW1" i="12"/>
  <c r="VX1" i="12"/>
  <c r="VY1" i="12"/>
  <c r="VZ1" i="12"/>
  <c r="WA1" i="12"/>
  <c r="WB1" i="12"/>
  <c r="WC1" i="12"/>
  <c r="WD1" i="12"/>
  <c r="WE1" i="12"/>
  <c r="WF1" i="12"/>
  <c r="WG1" i="12"/>
  <c r="WH1" i="12"/>
  <c r="WI1" i="12"/>
  <c r="WJ1" i="12"/>
  <c r="WK1" i="12"/>
  <c r="WL1" i="12"/>
  <c r="WM1" i="12"/>
  <c r="WN1" i="12"/>
  <c r="WO1" i="12"/>
  <c r="WP1" i="12"/>
  <c r="WQ1" i="12"/>
  <c r="WR1" i="12"/>
  <c r="WS1" i="12"/>
  <c r="WT1" i="12"/>
  <c r="WU1" i="12"/>
  <c r="WV1" i="12"/>
  <c r="WW1" i="12"/>
  <c r="WX1" i="12"/>
  <c r="WY1" i="12"/>
  <c r="WZ1" i="12"/>
  <c r="XA1" i="12"/>
  <c r="XB1" i="12"/>
  <c r="XC1" i="12"/>
  <c r="XD1" i="12"/>
  <c r="XE1" i="12"/>
  <c r="XF1" i="12"/>
  <c r="XG1" i="12"/>
  <c r="XH1" i="12"/>
  <c r="XI1" i="12"/>
  <c r="XJ1" i="12"/>
  <c r="XK1" i="12"/>
  <c r="XL1" i="12"/>
  <c r="XM1" i="12"/>
  <c r="XN1" i="12"/>
  <c r="XO1" i="12"/>
  <c r="XP1" i="12"/>
  <c r="XQ1" i="12"/>
  <c r="XR1" i="12"/>
  <c r="XS1" i="12"/>
  <c r="XT1" i="12"/>
  <c r="XU1" i="12"/>
  <c r="XV1" i="12"/>
  <c r="XW1" i="12"/>
  <c r="XX1" i="12"/>
  <c r="XY1" i="12"/>
  <c r="XZ1" i="12"/>
  <c r="YA1" i="12"/>
  <c r="YB1" i="12"/>
  <c r="YC1" i="12"/>
  <c r="YD1" i="12"/>
  <c r="YE1" i="12"/>
  <c r="YF1" i="12"/>
  <c r="YG1" i="12"/>
  <c r="YH1" i="12"/>
  <c r="YI1" i="12"/>
  <c r="YJ1" i="12"/>
  <c r="YK1" i="12"/>
  <c r="YL1" i="12"/>
  <c r="YM1" i="12"/>
  <c r="YN1" i="12"/>
  <c r="YO1" i="12"/>
  <c r="YP1" i="12"/>
  <c r="YQ1" i="12"/>
  <c r="YR1" i="12"/>
  <c r="YS1" i="12"/>
  <c r="YT1" i="12"/>
  <c r="YU1" i="12"/>
  <c r="YV1" i="12"/>
  <c r="YW1" i="12"/>
  <c r="YX1" i="12"/>
  <c r="YY1" i="12"/>
  <c r="YZ1" i="12"/>
  <c r="ZA1" i="12"/>
  <c r="ZB1" i="12"/>
  <c r="ZC1" i="12"/>
  <c r="ZD1" i="12"/>
  <c r="ZE1" i="12"/>
  <c r="ZF1" i="12"/>
  <c r="ZG1" i="12"/>
  <c r="ZH1" i="12"/>
  <c r="ZI1" i="12"/>
  <c r="ZJ1" i="12"/>
  <c r="ZK1" i="12"/>
  <c r="ZL1" i="12"/>
  <c r="ZM1" i="12"/>
  <c r="ZN1" i="12"/>
  <c r="ZO1" i="12"/>
  <c r="ZP1" i="12"/>
  <c r="ZQ1" i="12"/>
  <c r="ZR1" i="12"/>
  <c r="ZS1" i="12"/>
  <c r="ZT1" i="12"/>
  <c r="ZU1" i="12"/>
  <c r="ZV1" i="12"/>
  <c r="ZW1" i="12"/>
  <c r="ZX1" i="12"/>
  <c r="ZY1" i="12"/>
  <c r="ZZ1" i="12"/>
  <c r="AAA1" i="12"/>
  <c r="AAB1" i="12"/>
  <c r="AAC1" i="12"/>
  <c r="AAD1" i="12"/>
  <c r="AAE1" i="12"/>
  <c r="AAF1" i="12"/>
  <c r="AAG1" i="12"/>
  <c r="AAH1" i="12"/>
  <c r="AAI1" i="12"/>
  <c r="AAJ1" i="12"/>
  <c r="AAK1" i="12"/>
  <c r="AAL1" i="12"/>
  <c r="AAM1" i="12"/>
  <c r="AAN1" i="12"/>
  <c r="AAO1" i="12"/>
  <c r="AAP1" i="12"/>
  <c r="AAQ1" i="12"/>
  <c r="AAR1" i="12"/>
  <c r="AAS1" i="12"/>
  <c r="AAT1" i="12"/>
  <c r="AAU1" i="12"/>
  <c r="AAV1" i="12"/>
  <c r="AAW1" i="12"/>
  <c r="AAX1" i="12"/>
  <c r="AAY1" i="12"/>
  <c r="AAZ1" i="12"/>
  <c r="ABA1" i="12"/>
  <c r="ABB1" i="12"/>
  <c r="ABC1" i="12"/>
  <c r="ABD1" i="12"/>
  <c r="ABE1" i="12"/>
  <c r="ABF1" i="12"/>
  <c r="ABG1" i="12"/>
  <c r="ABH1" i="12"/>
  <c r="ABI1" i="12"/>
  <c r="ABJ1" i="12"/>
  <c r="ABK1" i="12"/>
  <c r="ABL1" i="12"/>
  <c r="ABM1" i="12"/>
  <c r="ABN1" i="12"/>
  <c r="ABO1" i="12"/>
  <c r="ABP1" i="12"/>
  <c r="ABQ1" i="12"/>
  <c r="ABR1" i="12"/>
  <c r="ABS1" i="12"/>
  <c r="ABT1" i="12"/>
  <c r="ABU1" i="12"/>
  <c r="ABV1" i="12"/>
  <c r="ABW1" i="12"/>
  <c r="ABX1" i="12"/>
  <c r="ABY1" i="12"/>
  <c r="ABZ1" i="12"/>
  <c r="ACA1" i="12"/>
  <c r="ACB1" i="12"/>
  <c r="ACC1" i="12"/>
  <c r="ACD1" i="12"/>
  <c r="ACE1" i="12"/>
  <c r="ACF1" i="12"/>
  <c r="ACG1" i="12"/>
  <c r="ACH1" i="12"/>
  <c r="ACI1" i="12"/>
  <c r="ACJ1" i="12"/>
  <c r="ACK1" i="12"/>
  <c r="ACL1" i="12"/>
  <c r="ACM1" i="12"/>
  <c r="ACN1" i="12"/>
  <c r="ACO1" i="12"/>
  <c r="ACP1" i="12"/>
  <c r="ACQ1" i="12"/>
  <c r="ACR1" i="12"/>
  <c r="ACS1" i="12"/>
  <c r="ACT1" i="12"/>
  <c r="ACU1" i="12"/>
  <c r="ACV1" i="12"/>
  <c r="ACW1" i="12"/>
  <c r="ACX1" i="12"/>
  <c r="ACY1" i="12"/>
  <c r="ACZ1" i="12"/>
  <c r="ADA1" i="12"/>
  <c r="ADB1" i="12"/>
  <c r="ADC1" i="12"/>
  <c r="ADD1" i="12"/>
  <c r="ADE1" i="12"/>
  <c r="ADF1" i="12"/>
  <c r="ADG1" i="12"/>
  <c r="ADH1" i="12"/>
  <c r="ADI1" i="12"/>
  <c r="ADJ1" i="12"/>
  <c r="ADK1" i="12"/>
  <c r="ADL1" i="12"/>
  <c r="ADM1" i="12"/>
  <c r="ADN1" i="12"/>
  <c r="ADO1" i="12"/>
  <c r="ADP1" i="12"/>
  <c r="ADQ1" i="12"/>
  <c r="ADR1" i="12"/>
  <c r="ADS1" i="12"/>
  <c r="ADT1" i="12"/>
  <c r="ADU1" i="12"/>
  <c r="ADV1" i="12"/>
  <c r="ADW1" i="12"/>
  <c r="ADX1" i="12"/>
  <c r="ADY1" i="12"/>
  <c r="ADZ1" i="12"/>
  <c r="AEA1" i="12"/>
  <c r="AEB1" i="12"/>
  <c r="AEC1" i="12"/>
  <c r="AED1" i="12"/>
  <c r="AEE1" i="12"/>
  <c r="AEF1" i="12"/>
  <c r="AEG1" i="12"/>
  <c r="AEH1" i="12"/>
  <c r="AEI1" i="12"/>
  <c r="AEJ1" i="12"/>
  <c r="AEK1" i="12"/>
  <c r="AEL1" i="12"/>
  <c r="AEM1" i="12"/>
  <c r="AEN1" i="12"/>
  <c r="AEO1" i="12"/>
  <c r="AEP1" i="12"/>
  <c r="AEQ1" i="12"/>
  <c r="AER1" i="12"/>
  <c r="AES1" i="12"/>
  <c r="AET1" i="12"/>
  <c r="AEU1" i="12"/>
  <c r="AEV1" i="12"/>
  <c r="AEW1" i="12"/>
  <c r="AEX1" i="12"/>
  <c r="AEY1" i="12"/>
  <c r="AEZ1" i="12"/>
  <c r="AFA1" i="12"/>
  <c r="AFB1" i="12"/>
  <c r="AFC1" i="12"/>
  <c r="AFD1" i="12"/>
  <c r="AFE1" i="12"/>
  <c r="AFF1" i="12"/>
  <c r="AFG1" i="12"/>
  <c r="AFH1" i="12"/>
  <c r="AFI1" i="12"/>
  <c r="AFJ1" i="12"/>
  <c r="AFK1" i="12"/>
  <c r="AFL1" i="12"/>
  <c r="AFM1" i="12"/>
  <c r="AFN1" i="12"/>
  <c r="AFO1" i="12"/>
  <c r="AFP1" i="12"/>
  <c r="AFQ1" i="12"/>
  <c r="AFR1" i="12"/>
  <c r="AFS1" i="12"/>
  <c r="AFT1" i="12"/>
  <c r="AFU1" i="12"/>
  <c r="AFV1" i="12"/>
  <c r="AFW1" i="12"/>
  <c r="AFX1" i="12"/>
  <c r="AFY1" i="12"/>
  <c r="AFZ1" i="12"/>
  <c r="AGA1" i="12"/>
  <c r="AGB1" i="12"/>
  <c r="AGC1" i="12"/>
  <c r="AGD1" i="12"/>
  <c r="AGE1" i="12"/>
  <c r="AGF1" i="12"/>
  <c r="AGG1" i="12"/>
  <c r="AGH1" i="12"/>
  <c r="AGI1" i="12"/>
  <c r="AGJ1" i="12"/>
  <c r="AGK1" i="12"/>
  <c r="AGL1" i="12"/>
  <c r="AGM1" i="12"/>
  <c r="AGN1" i="12"/>
  <c r="AGO1" i="12"/>
  <c r="AGP1" i="12"/>
  <c r="AGQ1" i="12"/>
  <c r="AGR1" i="12"/>
  <c r="AGS1" i="12"/>
  <c r="AGT1" i="12"/>
  <c r="AGU1" i="12"/>
  <c r="AGV1" i="12"/>
  <c r="AGW1" i="12"/>
  <c r="AGX1" i="12"/>
  <c r="AGY1" i="12"/>
  <c r="AGZ1" i="12"/>
  <c r="AHA1" i="12"/>
  <c r="AHB1" i="12"/>
  <c r="AHC1" i="12"/>
  <c r="AHD1" i="12"/>
  <c r="AHE1" i="12"/>
  <c r="AHF1" i="12"/>
  <c r="AHG1" i="12"/>
  <c r="AHH1" i="12"/>
  <c r="AHI1" i="12"/>
  <c r="AHJ1" i="12"/>
  <c r="AHK1" i="12"/>
  <c r="AHL1" i="12"/>
  <c r="AHM1" i="12"/>
  <c r="AHN1" i="12"/>
  <c r="AHO1" i="12"/>
  <c r="AHP1" i="12"/>
  <c r="AHQ1" i="12"/>
  <c r="AHR1" i="12"/>
  <c r="AHS1" i="12"/>
  <c r="AHT1" i="12"/>
  <c r="AHU1" i="12"/>
  <c r="AHV1" i="12"/>
  <c r="AHW1" i="12"/>
  <c r="AHX1" i="12"/>
  <c r="AHY1" i="12"/>
  <c r="AHZ1" i="12"/>
  <c r="AIA1" i="12"/>
  <c r="AIB1" i="12"/>
  <c r="AIC1" i="12"/>
  <c r="AID1" i="12"/>
  <c r="AIE1" i="12"/>
  <c r="AIF1" i="12"/>
  <c r="AIG1" i="12"/>
  <c r="AIH1" i="12"/>
  <c r="AII1" i="12"/>
  <c r="AIJ1" i="12"/>
  <c r="AIK1" i="12"/>
  <c r="AIL1" i="12"/>
  <c r="AIM1" i="12"/>
  <c r="AIN1" i="12"/>
  <c r="AIO1" i="12"/>
  <c r="AIP1" i="12"/>
  <c r="AIQ1" i="12"/>
  <c r="AIR1" i="12"/>
  <c r="AIS1" i="12"/>
  <c r="AIT1" i="12"/>
  <c r="AIU1" i="12"/>
  <c r="AIV1" i="12"/>
  <c r="AIW1" i="12"/>
  <c r="AIX1" i="12"/>
  <c r="AIY1" i="12"/>
  <c r="AIZ1" i="12"/>
  <c r="AJA1" i="12"/>
  <c r="AJB1" i="12"/>
  <c r="AJC1" i="12"/>
  <c r="AJD1" i="12"/>
  <c r="AJE1" i="12"/>
  <c r="AJF1" i="12"/>
  <c r="AJG1" i="12"/>
  <c r="AJH1" i="12"/>
  <c r="AJI1" i="12"/>
  <c r="AJJ1" i="12"/>
  <c r="AJK1" i="12"/>
  <c r="AJL1" i="12"/>
  <c r="AJM1" i="12"/>
  <c r="AJN1" i="12"/>
  <c r="AJO1" i="12"/>
  <c r="AJP1" i="12"/>
  <c r="AJQ1" i="12"/>
  <c r="AJR1" i="12"/>
  <c r="AJS1" i="12"/>
  <c r="AJT1" i="12"/>
  <c r="AJU1" i="12"/>
  <c r="AJV1" i="12"/>
  <c r="AJW1" i="12"/>
  <c r="AJX1" i="12"/>
  <c r="AJY1" i="12"/>
  <c r="AJZ1" i="12"/>
  <c r="AKA1" i="12"/>
  <c r="AKB1" i="12"/>
  <c r="AKC1" i="12"/>
  <c r="AKD1" i="12"/>
  <c r="AKE1" i="12"/>
  <c r="AKF1" i="12"/>
  <c r="AKG1" i="12"/>
  <c r="AKH1" i="12"/>
  <c r="AKI1" i="12"/>
  <c r="AKJ1" i="12"/>
  <c r="AKK1" i="12"/>
  <c r="AKL1" i="12"/>
  <c r="AKM1" i="12"/>
  <c r="AKN1" i="12"/>
  <c r="AKO1" i="12"/>
  <c r="AKP1" i="12"/>
  <c r="AKQ1" i="12"/>
  <c r="AKR1" i="12"/>
  <c r="AKS1" i="12"/>
  <c r="AKT1" i="12"/>
  <c r="AKU1" i="12"/>
  <c r="AKV1" i="12"/>
  <c r="AKW1" i="12"/>
  <c r="AKX1" i="12"/>
  <c r="AKY1" i="12"/>
  <c r="AKZ1" i="12"/>
  <c r="ALA1" i="12"/>
  <c r="ALB1" i="12"/>
  <c r="ALC1" i="12"/>
  <c r="ALD1" i="12"/>
  <c r="ALE1" i="12"/>
  <c r="ALF1" i="12"/>
  <c r="ALG1" i="12"/>
  <c r="ALH1" i="12"/>
  <c r="ALI1" i="12"/>
  <c r="ALJ1" i="12"/>
  <c r="ALK1" i="12"/>
  <c r="ALL1" i="12"/>
  <c r="ALM1" i="12"/>
  <c r="ALN1" i="12"/>
  <c r="ALO1" i="12"/>
  <c r="ALP1" i="12"/>
  <c r="ALQ1" i="12"/>
  <c r="ALR1" i="12"/>
  <c r="ALS1" i="12"/>
  <c r="ALT1" i="12"/>
  <c r="ALU1" i="12"/>
  <c r="ALV1" i="12"/>
  <c r="ALW1" i="12"/>
  <c r="ALX1" i="12"/>
  <c r="ALY1" i="12"/>
  <c r="ALZ1" i="12"/>
  <c r="AMA1" i="12"/>
  <c r="AMB1" i="12"/>
  <c r="AMC1" i="12"/>
  <c r="AMD1" i="12"/>
  <c r="AME1" i="12"/>
  <c r="AMF1" i="12"/>
  <c r="AMG1" i="12"/>
  <c r="AMH1" i="12"/>
  <c r="AMI1" i="12"/>
  <c r="AMJ1" i="12"/>
  <c r="AMK1" i="12"/>
  <c r="AML1" i="12"/>
  <c r="AMM1" i="12"/>
  <c r="AMN1" i="12"/>
  <c r="AMO1" i="12"/>
  <c r="AMP1" i="12"/>
  <c r="AMQ1" i="12"/>
  <c r="AMR1" i="12"/>
  <c r="AMS1" i="12"/>
  <c r="AMT1" i="12"/>
  <c r="AMU1" i="12"/>
  <c r="AMV1" i="12"/>
  <c r="AMW1" i="12"/>
  <c r="AMX1" i="12"/>
  <c r="AMY1" i="12"/>
  <c r="AMZ1" i="12"/>
  <c r="ANA1" i="12"/>
  <c r="ANB1" i="12"/>
  <c r="ANC1" i="12"/>
  <c r="AND1" i="12"/>
  <c r="ANE1" i="12"/>
  <c r="ANF1" i="12"/>
  <c r="ANG1" i="12"/>
  <c r="ANH1" i="12"/>
  <c r="ANI1" i="12"/>
  <c r="ANJ1" i="12"/>
  <c r="ANK1" i="12"/>
  <c r="ANL1" i="12"/>
  <c r="ANM1" i="12"/>
  <c r="ANN1" i="12"/>
  <c r="ANO1" i="12"/>
  <c r="ANP1" i="12"/>
  <c r="ANQ1" i="12"/>
  <c r="ANR1" i="12"/>
  <c r="ANS1" i="12"/>
  <c r="ANT1" i="12"/>
  <c r="ANU1" i="12"/>
  <c r="ANV1" i="12"/>
  <c r="ANW1" i="12"/>
  <c r="ANX1" i="12"/>
  <c r="ANY1" i="12"/>
  <c r="ANZ1" i="12"/>
  <c r="AOA1" i="12"/>
  <c r="AOB1" i="12"/>
  <c r="AOC1" i="12"/>
  <c r="AOD1" i="12"/>
  <c r="AOE1" i="12"/>
  <c r="AOF1" i="12"/>
  <c r="AOG1" i="12"/>
  <c r="AOH1" i="12"/>
  <c r="AOI1" i="12"/>
  <c r="AOJ1" i="12"/>
  <c r="AOK1" i="12"/>
  <c r="AOL1" i="12"/>
  <c r="AOM1" i="12"/>
  <c r="AON1" i="12"/>
  <c r="AOO1" i="12"/>
  <c r="AOP1" i="12"/>
  <c r="AOQ1" i="12"/>
  <c r="AOR1" i="12"/>
  <c r="AOS1" i="12"/>
  <c r="AOT1" i="12"/>
  <c r="AOU1" i="12"/>
  <c r="AOV1" i="12"/>
  <c r="AOW1" i="12"/>
  <c r="AOX1" i="12"/>
  <c r="AOY1" i="12"/>
  <c r="AOZ1" i="12"/>
  <c r="APA1" i="12"/>
  <c r="APB1" i="12"/>
  <c r="APC1" i="12"/>
  <c r="APD1" i="12"/>
  <c r="APE1" i="12"/>
  <c r="APF1" i="12"/>
  <c r="APG1" i="12"/>
  <c r="APH1" i="12"/>
  <c r="API1" i="12"/>
  <c r="APJ1" i="12"/>
  <c r="APK1" i="12"/>
  <c r="APL1" i="12"/>
  <c r="APM1" i="12"/>
  <c r="APN1" i="12"/>
  <c r="APO1" i="12"/>
  <c r="APP1" i="12"/>
  <c r="APQ1" i="12"/>
  <c r="APR1" i="12"/>
  <c r="APS1" i="12"/>
  <c r="APT1" i="12"/>
  <c r="APU1" i="12"/>
  <c r="APV1" i="12"/>
  <c r="APW1" i="12"/>
  <c r="APX1" i="12"/>
  <c r="APY1" i="12"/>
  <c r="APZ1" i="12"/>
  <c r="AQA1" i="12"/>
  <c r="AQB1" i="12"/>
  <c r="AQC1" i="12"/>
  <c r="AQD1" i="12"/>
  <c r="AQE1" i="12"/>
  <c r="AQF1" i="12"/>
  <c r="AQG1" i="12"/>
  <c r="AQH1" i="12"/>
  <c r="AQI1" i="12"/>
  <c r="AQJ1" i="12"/>
  <c r="AQK1" i="12"/>
  <c r="AQL1" i="12"/>
  <c r="AQM1" i="12"/>
  <c r="AQN1" i="12"/>
  <c r="AQO1" i="12"/>
  <c r="AQP1" i="12"/>
  <c r="AQQ1" i="12"/>
  <c r="AQR1" i="12"/>
  <c r="AQS1" i="12"/>
  <c r="AQT1" i="12"/>
  <c r="AQU1" i="12"/>
  <c r="AQV1" i="12"/>
  <c r="AQW1" i="12"/>
  <c r="AQX1" i="12"/>
  <c r="AQY1" i="12"/>
  <c r="AQZ1" i="12"/>
  <c r="ARA1" i="12"/>
  <c r="ARB1" i="12"/>
  <c r="ARC1" i="12"/>
  <c r="ARD1" i="12"/>
  <c r="ARE1" i="12"/>
  <c r="ARF1" i="12"/>
  <c r="ARG1" i="12"/>
  <c r="ARH1" i="12"/>
  <c r="ARI1" i="12"/>
  <c r="ARJ1" i="12"/>
  <c r="ARK1" i="12"/>
  <c r="ARL1" i="12"/>
  <c r="ARM1" i="12"/>
  <c r="ARN1" i="12"/>
  <c r="ARO1" i="12"/>
  <c r="ARP1" i="12"/>
  <c r="ARQ1" i="12"/>
  <c r="ARR1" i="12"/>
  <c r="ARS1" i="12"/>
  <c r="ART1" i="12"/>
  <c r="ARU1" i="12"/>
  <c r="ARV1" i="12"/>
  <c r="ARW1" i="12"/>
  <c r="ARX1" i="12"/>
  <c r="ARY1" i="12"/>
  <c r="ARZ1" i="12"/>
  <c r="ASA1" i="12"/>
  <c r="ASB1" i="12"/>
  <c r="ASC1" i="12"/>
  <c r="ASD1" i="12"/>
  <c r="ASE1" i="12"/>
  <c r="ASF1" i="12"/>
  <c r="ASG1" i="12"/>
  <c r="ASH1" i="12"/>
  <c r="ASI1" i="12"/>
  <c r="ASJ1" i="12"/>
  <c r="ASK1" i="12"/>
  <c r="ASL1" i="12"/>
  <c r="ASM1" i="12"/>
  <c r="ASN1" i="12"/>
  <c r="ASO1" i="12"/>
  <c r="ASP1" i="12"/>
  <c r="ASQ1" i="12"/>
  <c r="ASR1" i="12"/>
  <c r="ASS1" i="12"/>
  <c r="AST1" i="12"/>
  <c r="ASU1" i="12"/>
  <c r="ASV1" i="12"/>
  <c r="ASW1" i="12"/>
  <c r="ASX1" i="12"/>
  <c r="ASY1" i="12"/>
  <c r="ASZ1" i="12"/>
  <c r="ATA1" i="12"/>
  <c r="ATB1" i="12"/>
  <c r="ATC1" i="12"/>
  <c r="ATD1" i="12"/>
  <c r="ATE1" i="12"/>
  <c r="ATF1" i="12"/>
  <c r="ATG1" i="12"/>
  <c r="ATH1" i="12"/>
  <c r="ATI1" i="12"/>
  <c r="ATJ1" i="12"/>
  <c r="ATK1" i="12"/>
  <c r="ATL1" i="12"/>
  <c r="ATM1" i="12"/>
  <c r="ATN1" i="12"/>
  <c r="ATO1" i="12"/>
  <c r="ATP1" i="12"/>
  <c r="ATQ1" i="12"/>
  <c r="ATR1" i="12"/>
  <c r="ATS1" i="12"/>
  <c r="ATT1" i="12"/>
  <c r="ATU1" i="12"/>
  <c r="ATV1" i="12"/>
  <c r="ATW1" i="12"/>
  <c r="ATX1" i="12"/>
  <c r="ATY1" i="12"/>
  <c r="ATZ1" i="12"/>
  <c r="AUA1" i="12"/>
  <c r="AUB1" i="12"/>
  <c r="AUC1" i="12"/>
  <c r="AUD1" i="12"/>
  <c r="AUE1" i="12"/>
  <c r="AUF1" i="12"/>
  <c r="AUG1" i="12"/>
  <c r="AUH1" i="12"/>
  <c r="AUI1" i="12"/>
  <c r="AUJ1" i="12"/>
  <c r="AUK1" i="12"/>
  <c r="AUL1" i="12"/>
  <c r="AUM1" i="12"/>
  <c r="AUN1" i="12"/>
  <c r="AUO1" i="12"/>
  <c r="AUP1" i="12"/>
  <c r="AUQ1" i="12"/>
  <c r="AUR1" i="12"/>
  <c r="AUS1" i="12"/>
  <c r="AUT1" i="12"/>
  <c r="AUU1" i="12"/>
  <c r="AUV1" i="12"/>
  <c r="AUW1" i="12"/>
  <c r="AUX1" i="12"/>
  <c r="AUY1" i="12"/>
  <c r="AUZ1" i="12"/>
  <c r="AVA1" i="12"/>
  <c r="AVB1" i="12"/>
  <c r="AVC1" i="12"/>
  <c r="AVD1" i="12"/>
  <c r="AVE1" i="12"/>
  <c r="AVF1" i="12"/>
  <c r="AVG1" i="12"/>
  <c r="AVH1" i="12"/>
  <c r="AVI1" i="12"/>
  <c r="AVJ1" i="12"/>
  <c r="AVK1" i="12"/>
  <c r="AVL1" i="12"/>
  <c r="AVM1" i="12"/>
  <c r="AVN1" i="12"/>
  <c r="AVO1" i="12"/>
  <c r="AVP1" i="12"/>
  <c r="AVQ1" i="12"/>
  <c r="AVR1" i="12"/>
  <c r="AVS1" i="12"/>
  <c r="AVT1" i="12"/>
  <c r="AVU1" i="12"/>
  <c r="AVV1" i="12"/>
  <c r="AVW1" i="12"/>
  <c r="AVX1" i="12"/>
  <c r="AVY1" i="12"/>
  <c r="AVZ1" i="12"/>
  <c r="AWA1" i="12"/>
  <c r="AWB1" i="12"/>
  <c r="AWC1" i="12"/>
  <c r="AWD1" i="12"/>
  <c r="AWE1" i="12"/>
  <c r="AWF1" i="12"/>
  <c r="AWG1" i="12"/>
  <c r="AWH1" i="12"/>
  <c r="AWI1" i="12"/>
  <c r="AWJ1" i="12"/>
  <c r="AWK1" i="12"/>
  <c r="AWL1" i="12"/>
  <c r="AWM1" i="12"/>
  <c r="AWN1" i="12"/>
  <c r="AWO1" i="12"/>
  <c r="AWP1" i="12"/>
  <c r="AWQ1" i="12"/>
  <c r="AWR1" i="12"/>
  <c r="AWS1" i="12"/>
  <c r="AWT1" i="12"/>
  <c r="AWU1" i="12"/>
  <c r="AWV1" i="12"/>
  <c r="AWW1" i="12"/>
  <c r="AWX1" i="12"/>
  <c r="AWY1" i="12"/>
  <c r="AWZ1" i="12"/>
  <c r="AXA1" i="12"/>
  <c r="AXB1" i="12"/>
  <c r="AXC1" i="12"/>
  <c r="AXD1" i="12"/>
  <c r="AXE1" i="12"/>
  <c r="AXF1" i="12"/>
  <c r="AXG1" i="12"/>
  <c r="AXH1" i="12"/>
  <c r="AXI1" i="12"/>
  <c r="AXJ1" i="12"/>
  <c r="AXK1" i="12"/>
  <c r="AXL1" i="12"/>
  <c r="AXM1" i="12"/>
  <c r="AXN1" i="12"/>
  <c r="AXO1" i="12"/>
  <c r="AXP1" i="12"/>
  <c r="AXQ1" i="12"/>
  <c r="AXR1" i="12"/>
  <c r="AXS1" i="12"/>
  <c r="AXT1" i="12"/>
  <c r="AXU1" i="12"/>
  <c r="AXV1" i="12"/>
  <c r="AXW1" i="12"/>
  <c r="AXX1" i="12"/>
  <c r="AXY1" i="12"/>
  <c r="AXZ1" i="12"/>
  <c r="AYA1" i="12"/>
  <c r="AYB1" i="12"/>
  <c r="AYC1" i="12"/>
  <c r="AYD1" i="12"/>
  <c r="AYE1" i="12"/>
  <c r="AYF1" i="12"/>
  <c r="AYG1" i="12"/>
  <c r="AYH1" i="12"/>
  <c r="AYI1" i="12"/>
  <c r="AYJ1" i="12"/>
  <c r="AYK1" i="12"/>
  <c r="AYL1" i="12"/>
  <c r="AYM1" i="12"/>
  <c r="AYN1" i="12"/>
  <c r="AYO1" i="12"/>
  <c r="AYP1" i="12"/>
  <c r="AYQ1" i="12"/>
  <c r="AYR1" i="12"/>
  <c r="AYS1" i="12"/>
  <c r="AYT1" i="12"/>
  <c r="AYU1" i="12"/>
  <c r="AYV1" i="12"/>
  <c r="AYW1" i="12"/>
  <c r="AYX1" i="12"/>
  <c r="AYY1" i="12"/>
  <c r="AYZ1" i="12"/>
  <c r="AZA1" i="12"/>
  <c r="AZB1" i="12"/>
  <c r="AZC1" i="12"/>
  <c r="AZD1" i="12"/>
  <c r="AZE1" i="12"/>
  <c r="AZF1" i="12"/>
  <c r="AZG1" i="12"/>
  <c r="AZH1" i="12"/>
  <c r="AZI1" i="12"/>
  <c r="AZJ1" i="12"/>
  <c r="AZK1" i="12"/>
  <c r="AZL1" i="12"/>
  <c r="AZM1" i="12"/>
  <c r="AZN1" i="12"/>
  <c r="AZO1" i="12"/>
  <c r="AZP1" i="12"/>
  <c r="AZQ1" i="12"/>
  <c r="AZR1" i="12"/>
  <c r="AZS1" i="12"/>
  <c r="AZT1" i="12"/>
  <c r="AZU1" i="12"/>
  <c r="AZV1" i="12"/>
  <c r="AZW1" i="12"/>
  <c r="AZX1" i="12"/>
  <c r="AZY1" i="12"/>
  <c r="AZZ1" i="12"/>
  <c r="BAA1" i="12"/>
  <c r="BAB1" i="12"/>
  <c r="BAC1" i="12"/>
  <c r="BAD1" i="12"/>
  <c r="BAE1" i="12"/>
  <c r="BAF1" i="12"/>
  <c r="BAG1" i="12"/>
  <c r="BAH1" i="12"/>
  <c r="BAI1" i="12"/>
  <c r="BAJ1" i="12"/>
  <c r="BAK1" i="12"/>
  <c r="BAL1" i="12"/>
  <c r="BAM1" i="12"/>
  <c r="BAN1" i="12"/>
  <c r="BAO1" i="12"/>
  <c r="BAP1" i="12"/>
  <c r="BAQ1" i="12"/>
  <c r="BAR1" i="12"/>
  <c r="BAS1" i="12"/>
  <c r="BAT1" i="12"/>
  <c r="BAU1" i="12"/>
  <c r="BAV1" i="12"/>
  <c r="BAW1" i="12"/>
  <c r="BAX1" i="12"/>
  <c r="BAY1" i="12"/>
  <c r="BAZ1" i="12"/>
  <c r="BBA1" i="12"/>
  <c r="BBB1" i="12"/>
  <c r="BBC1" i="12"/>
  <c r="BBD1" i="12"/>
  <c r="BBE1" i="12"/>
  <c r="BBF1" i="12"/>
  <c r="BBG1" i="12"/>
  <c r="BBH1" i="12"/>
  <c r="BBI1" i="12"/>
  <c r="BBJ1" i="12"/>
  <c r="BBK1" i="12"/>
  <c r="BBL1" i="12"/>
  <c r="BBM1" i="12"/>
  <c r="BBN1" i="12"/>
  <c r="BBO1" i="12"/>
  <c r="BBP1" i="12"/>
  <c r="BBQ1" i="12"/>
  <c r="BBR1" i="12"/>
  <c r="BBS1" i="12"/>
  <c r="BBT1" i="12"/>
  <c r="BBU1" i="12"/>
  <c r="BBV1" i="12"/>
  <c r="BBW1" i="12"/>
  <c r="BBX1" i="12"/>
  <c r="BBY1" i="12"/>
  <c r="BBZ1" i="12"/>
  <c r="BCA1" i="12"/>
  <c r="BCB1" i="12"/>
  <c r="BCC1" i="12"/>
  <c r="BCD1" i="12"/>
  <c r="BCE1" i="12"/>
  <c r="BCF1" i="12"/>
  <c r="BCG1" i="12"/>
  <c r="BCH1" i="12"/>
  <c r="BCI1" i="12"/>
  <c r="BCJ1" i="12"/>
  <c r="BCK1" i="12"/>
  <c r="BCL1" i="12"/>
  <c r="BCM1" i="12"/>
  <c r="BCN1" i="12"/>
  <c r="BCO1" i="12"/>
  <c r="BCP1" i="12"/>
  <c r="BCQ1" i="12"/>
  <c r="BCR1" i="12"/>
  <c r="BCS1" i="12"/>
  <c r="BCT1" i="12"/>
  <c r="BCU1" i="12"/>
  <c r="BCV1" i="12"/>
  <c r="BCW1" i="12"/>
  <c r="BCX1" i="12"/>
  <c r="BCY1" i="12"/>
  <c r="BCZ1" i="12"/>
  <c r="BDA1" i="12"/>
  <c r="BDB1" i="12"/>
  <c r="BDC1" i="12"/>
  <c r="BDD1" i="12"/>
  <c r="BDE1" i="12"/>
  <c r="BDF1" i="12"/>
  <c r="BDG1" i="12"/>
  <c r="BDH1" i="12"/>
  <c r="BDI1" i="12"/>
  <c r="BDJ1" i="12"/>
  <c r="BDK1" i="12"/>
  <c r="BDL1" i="12"/>
  <c r="BDM1" i="12"/>
  <c r="BDN1" i="12"/>
  <c r="BDO1" i="12"/>
  <c r="BDP1" i="12"/>
  <c r="BDQ1" i="12"/>
  <c r="BDR1" i="12"/>
  <c r="BDS1" i="12"/>
  <c r="BDT1" i="12"/>
  <c r="BDU1" i="12"/>
  <c r="BDV1" i="12"/>
  <c r="BDW1" i="12"/>
  <c r="BDX1" i="12"/>
  <c r="BDY1" i="12"/>
  <c r="BDZ1" i="12"/>
  <c r="BEA1" i="12"/>
  <c r="BEB1" i="12"/>
  <c r="BEC1" i="12"/>
  <c r="BED1" i="12"/>
  <c r="BEE1" i="12"/>
  <c r="BEF1" i="12"/>
  <c r="BEG1" i="12"/>
  <c r="BEH1" i="12"/>
  <c r="BEI1" i="12"/>
  <c r="BEJ1" i="12"/>
  <c r="BEK1" i="12"/>
  <c r="BEL1" i="12"/>
  <c r="BEM1" i="12"/>
  <c r="BEN1" i="12"/>
  <c r="BEO1" i="12"/>
  <c r="BEP1" i="12"/>
  <c r="BEQ1" i="12"/>
  <c r="BER1" i="12"/>
  <c r="BES1" i="12"/>
  <c r="BET1" i="12"/>
  <c r="BEU1" i="12"/>
  <c r="BEV1" i="12"/>
  <c r="BEW1" i="12"/>
  <c r="BEX1" i="12"/>
  <c r="BEY1" i="12"/>
  <c r="BEZ1" i="12"/>
  <c r="BFA1" i="12"/>
  <c r="BFB1" i="12"/>
  <c r="BFC1" i="12"/>
  <c r="BFD1" i="12"/>
  <c r="BFE1" i="12"/>
  <c r="BFF1" i="12"/>
  <c r="BFG1" i="12"/>
  <c r="BFH1" i="12"/>
  <c r="BFI1" i="12"/>
  <c r="BFJ1" i="12"/>
  <c r="BFK1" i="12"/>
  <c r="BFL1" i="12"/>
  <c r="BFM1" i="12"/>
  <c r="BFN1" i="12"/>
  <c r="BFO1" i="12"/>
  <c r="BFP1" i="12"/>
  <c r="BFQ1" i="12"/>
  <c r="BFR1" i="12"/>
  <c r="BFS1" i="12"/>
  <c r="BFT1" i="12"/>
  <c r="BFU1" i="12"/>
  <c r="BFV1" i="12"/>
  <c r="BFW1" i="12"/>
  <c r="BFX1" i="12"/>
  <c r="BFY1" i="12"/>
  <c r="BFZ1" i="12"/>
  <c r="BGA1" i="12"/>
  <c r="BGB1" i="12"/>
  <c r="BGC1" i="12"/>
  <c r="BGD1" i="12"/>
  <c r="BGE1" i="12"/>
  <c r="BGF1" i="12"/>
  <c r="BGG1" i="12"/>
  <c r="BGH1" i="12"/>
  <c r="BGI1" i="12"/>
  <c r="BGJ1" i="12"/>
  <c r="BGK1" i="12"/>
  <c r="BGL1" i="12"/>
  <c r="BGM1" i="12"/>
  <c r="BGN1" i="12"/>
  <c r="BGO1" i="12"/>
  <c r="BGP1" i="12"/>
  <c r="BGQ1" i="12"/>
  <c r="BGR1" i="12"/>
  <c r="BGS1" i="12"/>
  <c r="BGT1" i="12"/>
  <c r="BGU1" i="12"/>
  <c r="BGV1" i="12"/>
  <c r="BGW1" i="12"/>
  <c r="BGX1" i="12"/>
  <c r="BGY1" i="12"/>
  <c r="BGZ1" i="12"/>
  <c r="BHA1" i="12"/>
  <c r="BHB1" i="12"/>
  <c r="BHC1" i="12"/>
  <c r="BHD1" i="12"/>
  <c r="BHE1" i="12"/>
  <c r="BHF1" i="12"/>
  <c r="BHG1" i="12"/>
  <c r="BHH1" i="12"/>
  <c r="BHI1" i="12"/>
  <c r="BHJ1" i="12"/>
  <c r="BHK1" i="12"/>
  <c r="BHL1" i="12"/>
  <c r="BHM1" i="12"/>
  <c r="BHN1" i="12"/>
  <c r="BHO1" i="12"/>
  <c r="BHP1" i="12"/>
  <c r="BHQ1" i="12"/>
  <c r="BHR1" i="12"/>
  <c r="BHS1" i="12"/>
  <c r="BHT1" i="12"/>
  <c r="BHU1" i="12"/>
  <c r="BHV1" i="12"/>
  <c r="BHW1" i="12"/>
  <c r="BHX1" i="12"/>
  <c r="BHY1" i="12"/>
  <c r="BHZ1" i="12"/>
  <c r="BIA1" i="12"/>
  <c r="BIB1" i="12"/>
  <c r="BIC1" i="12"/>
  <c r="BID1" i="12"/>
  <c r="BIE1" i="12"/>
  <c r="BIF1" i="12"/>
  <c r="BIG1" i="12"/>
  <c r="BIH1" i="12"/>
  <c r="BII1" i="12"/>
  <c r="BIJ1" i="12"/>
  <c r="BIK1" i="12"/>
  <c r="BIL1" i="12"/>
  <c r="BIM1" i="12"/>
  <c r="BIN1" i="12"/>
  <c r="BIO1" i="12"/>
  <c r="BIP1" i="12"/>
  <c r="BIQ1" i="12"/>
  <c r="BIR1" i="12"/>
  <c r="BIS1" i="12"/>
  <c r="BIT1" i="12"/>
  <c r="BIU1" i="12"/>
  <c r="BIV1" i="12"/>
  <c r="BIW1" i="12"/>
  <c r="BIX1" i="12"/>
  <c r="BIY1" i="12"/>
  <c r="BIZ1" i="12"/>
  <c r="BJA1" i="12"/>
  <c r="BJB1" i="12"/>
  <c r="BJC1" i="12"/>
  <c r="BJD1" i="12"/>
  <c r="BJE1" i="12"/>
  <c r="BJF1" i="12"/>
  <c r="BJG1" i="12"/>
  <c r="BJH1" i="12"/>
  <c r="BJI1" i="12"/>
  <c r="BJJ1" i="12"/>
  <c r="BJK1" i="12"/>
  <c r="BJL1" i="12"/>
  <c r="BJM1" i="12"/>
  <c r="BJN1" i="12"/>
  <c r="BJO1" i="12"/>
  <c r="BJP1" i="12"/>
  <c r="BJQ1" i="12"/>
  <c r="BJR1" i="12"/>
  <c r="BJS1" i="12"/>
  <c r="BJT1" i="12"/>
  <c r="BJU1" i="12"/>
  <c r="BJV1" i="12"/>
  <c r="BJW1" i="12"/>
  <c r="BJX1" i="12"/>
  <c r="BJY1" i="12"/>
  <c r="BJZ1" i="12"/>
  <c r="BKA1" i="12"/>
  <c r="BKB1" i="12"/>
  <c r="BKC1" i="12"/>
  <c r="BKD1" i="12"/>
  <c r="BKE1" i="12"/>
  <c r="BKF1" i="12"/>
  <c r="BKG1" i="12"/>
  <c r="BKH1" i="12"/>
  <c r="BKI1" i="12"/>
  <c r="BKJ1" i="12"/>
  <c r="BKK1" i="12"/>
  <c r="BKL1" i="12"/>
  <c r="BKM1" i="12"/>
  <c r="BKN1" i="12"/>
  <c r="BKO1" i="12"/>
  <c r="BKP1" i="12"/>
  <c r="BKQ1" i="12"/>
  <c r="BKR1" i="12"/>
  <c r="BKS1" i="12"/>
  <c r="BKT1" i="12"/>
  <c r="BKU1" i="12"/>
  <c r="BKV1" i="12"/>
  <c r="BKW1" i="12"/>
  <c r="BKX1" i="12"/>
  <c r="BKY1" i="12"/>
  <c r="BKZ1" i="12"/>
  <c r="BLA1" i="12"/>
  <c r="BLB1" i="12"/>
  <c r="BLC1" i="12"/>
  <c r="BLD1" i="12"/>
  <c r="BLE1" i="12"/>
  <c r="BLF1" i="12"/>
  <c r="BLG1" i="12"/>
  <c r="BLH1" i="12"/>
  <c r="BLI1" i="12"/>
  <c r="BLJ1" i="12"/>
  <c r="BLK1" i="12"/>
  <c r="BLL1" i="12"/>
  <c r="BLM1" i="12"/>
  <c r="BLN1" i="12"/>
  <c r="BLO1" i="12"/>
  <c r="BLP1" i="12"/>
  <c r="BLQ1" i="12"/>
  <c r="BLR1" i="12"/>
  <c r="BLS1" i="12"/>
  <c r="BLT1" i="12"/>
  <c r="BLU1" i="12"/>
  <c r="BLV1" i="12"/>
  <c r="BLW1" i="12"/>
  <c r="BLX1" i="12"/>
  <c r="BLY1" i="12"/>
  <c r="BLZ1" i="12"/>
  <c r="BMA1" i="12"/>
  <c r="BMB1" i="12"/>
  <c r="BMC1" i="12"/>
  <c r="BMD1" i="12"/>
  <c r="BME1" i="12"/>
  <c r="BMF1" i="12"/>
  <c r="BMG1" i="12"/>
  <c r="BMH1" i="12"/>
  <c r="BMI1" i="12"/>
  <c r="BMJ1" i="12"/>
  <c r="BMK1" i="12"/>
  <c r="BML1" i="12"/>
  <c r="BMM1" i="12"/>
  <c r="BMN1" i="12"/>
  <c r="BMO1" i="12"/>
  <c r="BMP1" i="12"/>
  <c r="BMQ1" i="12"/>
  <c r="BMR1" i="12"/>
  <c r="BMS1" i="12"/>
  <c r="BMT1" i="12"/>
  <c r="BMU1" i="12"/>
  <c r="BMV1" i="12"/>
  <c r="BMW1" i="12"/>
  <c r="BMX1" i="12"/>
  <c r="BMY1" i="12"/>
  <c r="BMZ1" i="12"/>
  <c r="BNA1" i="12"/>
  <c r="BNB1" i="12"/>
  <c r="BNC1" i="12"/>
  <c r="BND1" i="12"/>
  <c r="BNE1" i="12"/>
  <c r="BNF1" i="12"/>
  <c r="BNG1" i="12"/>
  <c r="BNH1" i="12"/>
  <c r="BNI1" i="12"/>
  <c r="BNJ1" i="12"/>
  <c r="BNK1" i="12"/>
  <c r="BNL1" i="12"/>
  <c r="BNM1" i="12"/>
  <c r="BNN1" i="12"/>
  <c r="BNO1" i="12"/>
  <c r="BNP1" i="12"/>
  <c r="BNQ1" i="12"/>
  <c r="BNR1" i="12"/>
  <c r="BNS1" i="12"/>
  <c r="BNT1" i="12"/>
  <c r="BNU1" i="12"/>
  <c r="BNV1" i="12"/>
  <c r="BNW1" i="12"/>
  <c r="BNX1" i="12"/>
  <c r="BNY1" i="12"/>
  <c r="BNZ1" i="12"/>
  <c r="BOA1" i="12"/>
  <c r="BOB1" i="12"/>
  <c r="BOC1" i="12"/>
  <c r="BOD1" i="12"/>
  <c r="BOE1" i="12"/>
  <c r="BOF1" i="12"/>
  <c r="BOG1" i="12"/>
  <c r="BOH1" i="12"/>
  <c r="BOI1" i="12"/>
  <c r="BOJ1" i="12"/>
  <c r="BOK1" i="12"/>
  <c r="BOL1" i="12"/>
  <c r="BOM1" i="12"/>
  <c r="BON1" i="12"/>
  <c r="BOO1" i="12"/>
  <c r="BOP1" i="12"/>
  <c r="BOQ1" i="12"/>
  <c r="BOR1" i="12"/>
  <c r="BOS1" i="12"/>
  <c r="BOT1" i="12"/>
  <c r="BOU1" i="12"/>
  <c r="BOV1" i="12"/>
  <c r="BOW1" i="12"/>
  <c r="BOX1" i="12"/>
  <c r="BOY1" i="12"/>
  <c r="BOZ1" i="12"/>
  <c r="BPA1" i="12"/>
  <c r="BPB1" i="12"/>
  <c r="BPC1" i="12"/>
  <c r="BPD1" i="12"/>
  <c r="BPE1" i="12"/>
  <c r="BPF1" i="12"/>
  <c r="BPG1" i="12"/>
  <c r="BPH1" i="12"/>
  <c r="BPI1" i="12"/>
  <c r="BPJ1" i="12"/>
  <c r="BPK1" i="12"/>
  <c r="BPL1" i="12"/>
  <c r="BPM1" i="12"/>
  <c r="BPN1" i="12"/>
  <c r="BPO1" i="12"/>
  <c r="BPP1" i="12"/>
  <c r="BPQ1" i="12"/>
  <c r="BPR1" i="12"/>
  <c r="BPS1" i="12"/>
  <c r="BPT1" i="12"/>
  <c r="BPU1" i="12"/>
  <c r="BPV1" i="12"/>
  <c r="BPW1" i="12"/>
  <c r="BPX1" i="12"/>
  <c r="BPY1" i="12"/>
  <c r="BPZ1" i="12"/>
  <c r="BQA1" i="12"/>
  <c r="BQB1" i="12"/>
  <c r="BQC1" i="12"/>
  <c r="BQD1" i="12"/>
  <c r="BQE1" i="12"/>
  <c r="BQF1" i="12"/>
  <c r="BQG1" i="12"/>
  <c r="BQH1" i="12"/>
  <c r="BQI1" i="12"/>
  <c r="BQJ1" i="12"/>
  <c r="BQK1" i="12"/>
  <c r="BQL1" i="12"/>
  <c r="BQM1" i="12"/>
  <c r="BQN1" i="12"/>
  <c r="BQO1" i="12"/>
  <c r="BQP1" i="12"/>
  <c r="BQQ1" i="12"/>
  <c r="BQR1" i="12"/>
  <c r="BQS1" i="12"/>
  <c r="BQT1" i="12"/>
  <c r="BQU1" i="12"/>
  <c r="BQV1" i="12"/>
  <c r="BQW1" i="12"/>
  <c r="BQX1" i="12"/>
  <c r="BQY1" i="12"/>
  <c r="BQZ1" i="12"/>
  <c r="BRA1" i="12"/>
  <c r="BRB1" i="12"/>
  <c r="BRC1" i="12"/>
  <c r="BRD1" i="12"/>
  <c r="BRE1" i="12"/>
  <c r="BRF1" i="12"/>
  <c r="BRG1" i="12"/>
  <c r="BRH1" i="12"/>
  <c r="BRI1" i="12"/>
  <c r="BRJ1" i="12"/>
  <c r="BRK1" i="12"/>
  <c r="BRL1" i="12"/>
  <c r="BRM1" i="12"/>
  <c r="BRN1" i="12"/>
  <c r="BRO1" i="12"/>
  <c r="BRP1" i="12"/>
  <c r="BRQ1" i="12"/>
  <c r="BRR1" i="12"/>
  <c r="BRS1" i="12"/>
  <c r="BRT1" i="12"/>
  <c r="BRU1" i="12"/>
  <c r="BRV1" i="12"/>
  <c r="BRW1" i="12"/>
  <c r="BRX1" i="12"/>
  <c r="BRY1" i="12"/>
  <c r="BRZ1" i="12"/>
  <c r="BSA1" i="12"/>
  <c r="BSB1" i="12"/>
  <c r="BSC1" i="12"/>
  <c r="BSD1" i="12"/>
  <c r="BSE1" i="12"/>
  <c r="BSF1" i="12"/>
  <c r="BSG1" i="12"/>
  <c r="BSH1" i="12"/>
  <c r="BSI1" i="12"/>
  <c r="BSJ1" i="12"/>
  <c r="BSK1" i="12"/>
  <c r="BSL1" i="12"/>
  <c r="BSM1" i="12"/>
  <c r="BSN1" i="12"/>
  <c r="BSO1" i="12"/>
  <c r="BSP1" i="12"/>
  <c r="BSQ1" i="12"/>
  <c r="BSR1" i="12"/>
  <c r="BSS1" i="12"/>
  <c r="BST1" i="12"/>
  <c r="BSU1" i="12"/>
  <c r="BSV1" i="12"/>
  <c r="BSW1" i="12"/>
  <c r="BSX1" i="12"/>
  <c r="BSY1" i="12"/>
  <c r="BSZ1" i="12"/>
  <c r="BTA1" i="12"/>
  <c r="BTB1" i="12"/>
  <c r="BTC1" i="12"/>
  <c r="BTD1" i="12"/>
  <c r="BTE1" i="12"/>
  <c r="BTF1" i="12"/>
  <c r="BTG1" i="12"/>
  <c r="BTH1" i="12"/>
  <c r="BTI1" i="12"/>
  <c r="BTJ1" i="12"/>
  <c r="BTK1" i="12"/>
  <c r="BTL1" i="12"/>
  <c r="BTM1" i="12"/>
  <c r="BTN1" i="12"/>
  <c r="BTO1" i="12"/>
  <c r="BTP1" i="12"/>
  <c r="BTQ1" i="12"/>
  <c r="BTR1" i="12"/>
  <c r="BTS1" i="12"/>
  <c r="BTT1" i="12"/>
  <c r="BTU1" i="12"/>
  <c r="BTV1" i="12"/>
  <c r="BTW1" i="12"/>
  <c r="BTX1" i="12"/>
  <c r="BTY1" i="12"/>
  <c r="BTZ1" i="12"/>
  <c r="BUA1" i="12"/>
  <c r="BUB1" i="12"/>
  <c r="BUC1" i="12"/>
  <c r="BUD1" i="12"/>
  <c r="BUE1" i="12"/>
  <c r="BUF1" i="12"/>
  <c r="BUG1" i="12"/>
  <c r="BUH1" i="12"/>
  <c r="BUI1" i="12"/>
  <c r="BUJ1" i="12"/>
  <c r="BUK1" i="12"/>
  <c r="BUL1" i="12"/>
  <c r="BUM1" i="12"/>
  <c r="BUN1" i="12"/>
  <c r="BUO1" i="12"/>
  <c r="BUP1" i="12"/>
  <c r="BUQ1" i="12"/>
  <c r="BUR1" i="12"/>
  <c r="BUS1" i="12"/>
  <c r="BUT1" i="12"/>
  <c r="BUU1" i="12"/>
  <c r="BUV1" i="12"/>
  <c r="BUW1" i="12"/>
  <c r="BUX1" i="12"/>
  <c r="BUY1" i="12"/>
  <c r="BUZ1" i="12"/>
  <c r="BVA1" i="12"/>
  <c r="BVB1" i="12"/>
  <c r="BVC1" i="12"/>
  <c r="BVD1" i="12"/>
  <c r="BVE1" i="12"/>
  <c r="BVF1" i="12"/>
  <c r="BVG1" i="12"/>
  <c r="BVH1" i="12"/>
  <c r="BVI1" i="12"/>
  <c r="BVJ1" i="12"/>
  <c r="BVK1" i="12"/>
  <c r="BVL1" i="12"/>
  <c r="BVM1" i="12"/>
  <c r="BVN1" i="12"/>
  <c r="BVO1" i="12"/>
  <c r="BVP1" i="12"/>
  <c r="BVQ1" i="12"/>
  <c r="BVR1" i="12"/>
  <c r="BVS1" i="12"/>
  <c r="BVT1" i="12"/>
  <c r="BVU1" i="12"/>
  <c r="BVV1" i="12"/>
  <c r="BVW1" i="12"/>
  <c r="BVX1" i="12"/>
  <c r="BVY1" i="12"/>
  <c r="BVZ1" i="12"/>
  <c r="BWA1" i="12"/>
  <c r="BWB1" i="12"/>
  <c r="BWC1" i="12"/>
  <c r="BWD1" i="12"/>
  <c r="BWE1" i="12"/>
  <c r="BWF1" i="12"/>
  <c r="BWG1" i="12"/>
  <c r="BWH1" i="12"/>
  <c r="BWI1" i="12"/>
  <c r="BWJ1" i="12"/>
  <c r="BWK1" i="12"/>
  <c r="BWL1" i="12"/>
  <c r="BWM1" i="12"/>
  <c r="BWN1" i="12"/>
  <c r="BWO1" i="12"/>
  <c r="BWP1" i="12"/>
  <c r="BWQ1" i="12"/>
  <c r="BWR1" i="12"/>
  <c r="BWS1" i="12"/>
  <c r="BWT1" i="12"/>
  <c r="BWU1" i="12"/>
  <c r="BWV1" i="12"/>
  <c r="BWW1" i="12"/>
  <c r="BWX1" i="12"/>
  <c r="BWY1" i="12"/>
  <c r="BWZ1" i="12"/>
  <c r="BXA1" i="12"/>
  <c r="BXB1" i="12"/>
  <c r="BXC1" i="12"/>
  <c r="BXD1" i="12"/>
  <c r="BXE1" i="12"/>
  <c r="BXF1" i="12"/>
  <c r="BXG1" i="12"/>
  <c r="BXH1" i="12"/>
  <c r="BXI1" i="12"/>
  <c r="BXJ1" i="12"/>
  <c r="BXK1" i="12"/>
  <c r="BXL1" i="12"/>
  <c r="BXM1" i="12"/>
  <c r="BXN1" i="12"/>
  <c r="BXO1" i="12"/>
  <c r="BXP1" i="12"/>
  <c r="BXQ1" i="12"/>
  <c r="BXR1" i="12"/>
  <c r="BXS1" i="12"/>
  <c r="BXT1" i="12"/>
  <c r="BXU1" i="12"/>
  <c r="BXV1" i="12"/>
  <c r="BXW1" i="12"/>
  <c r="BXX1" i="12"/>
  <c r="BXY1" i="12"/>
  <c r="BXZ1" i="12"/>
  <c r="BYA1" i="12"/>
  <c r="BYB1" i="12"/>
  <c r="BYC1" i="12"/>
  <c r="BYD1" i="12"/>
  <c r="BYE1" i="12"/>
  <c r="BYF1" i="12"/>
  <c r="BYG1" i="12"/>
  <c r="BYH1" i="12"/>
  <c r="BYI1" i="12"/>
  <c r="BYJ1" i="12"/>
  <c r="BYK1" i="12"/>
  <c r="BYL1" i="12"/>
  <c r="BYM1" i="12"/>
  <c r="BYN1" i="12"/>
  <c r="BYO1" i="12"/>
  <c r="BYP1" i="12"/>
  <c r="BYQ1" i="12"/>
  <c r="BYR1" i="12"/>
  <c r="BYS1" i="12"/>
  <c r="BYT1" i="12"/>
  <c r="BYU1" i="12"/>
  <c r="BYV1" i="12"/>
  <c r="BYW1" i="12"/>
  <c r="BYX1" i="12"/>
  <c r="BYY1" i="12"/>
  <c r="BYZ1" i="12"/>
  <c r="BZA1" i="12"/>
  <c r="BZB1" i="12"/>
  <c r="BZC1" i="12"/>
  <c r="BZD1" i="12"/>
  <c r="BZE1" i="12"/>
  <c r="BZF1" i="12"/>
  <c r="BZG1" i="12"/>
  <c r="BZH1" i="12"/>
  <c r="BZI1" i="12"/>
  <c r="BZJ1" i="12"/>
  <c r="BZK1" i="12"/>
  <c r="BZL1" i="12"/>
  <c r="BZM1" i="12"/>
  <c r="BZN1" i="12"/>
  <c r="BZO1" i="12"/>
  <c r="BZP1" i="12"/>
  <c r="BZQ1" i="12"/>
  <c r="BZR1" i="12"/>
  <c r="BZS1" i="12"/>
  <c r="BZT1" i="12"/>
  <c r="BZU1" i="12"/>
  <c r="BZV1" i="12"/>
  <c r="BZW1" i="12"/>
  <c r="BZX1" i="12"/>
  <c r="BZY1" i="12"/>
  <c r="BZZ1" i="12"/>
  <c r="CAA1" i="12"/>
  <c r="CAB1" i="12"/>
  <c r="CAC1" i="12"/>
  <c r="CAD1" i="12"/>
  <c r="CAE1" i="12"/>
  <c r="CAF1" i="12"/>
  <c r="CAG1" i="12"/>
  <c r="CAH1" i="12"/>
  <c r="CAI1" i="12"/>
  <c r="CAJ1" i="12"/>
  <c r="CAK1" i="12"/>
  <c r="CAL1" i="12"/>
  <c r="CAM1" i="12"/>
  <c r="CAN1" i="12"/>
  <c r="CAO1" i="12"/>
  <c r="CAP1" i="12"/>
  <c r="CAQ1" i="12"/>
  <c r="CAR1" i="12"/>
  <c r="CAS1" i="12"/>
  <c r="CAT1" i="12"/>
  <c r="CAU1" i="12"/>
  <c r="CAV1" i="12"/>
  <c r="CAW1" i="12"/>
  <c r="CAX1" i="12"/>
  <c r="CAY1" i="12"/>
  <c r="CAZ1" i="12"/>
  <c r="CBA1" i="12"/>
  <c r="CBB1" i="12"/>
  <c r="CBC1" i="12"/>
  <c r="CBD1" i="12"/>
  <c r="CBE1" i="12"/>
  <c r="CBF1" i="12"/>
  <c r="CBG1" i="12"/>
  <c r="CBH1" i="12"/>
  <c r="CBI1" i="12"/>
  <c r="CBJ1" i="12"/>
  <c r="CBK1" i="12"/>
  <c r="CBL1" i="12"/>
  <c r="CBM1" i="12"/>
  <c r="CBN1" i="12"/>
  <c r="CBO1" i="12"/>
  <c r="CBP1" i="12"/>
  <c r="CBQ1" i="12"/>
  <c r="CBR1" i="12"/>
  <c r="CBS1" i="12"/>
  <c r="CBT1" i="12"/>
  <c r="CBU1" i="12"/>
  <c r="CBV1" i="12"/>
  <c r="CBW1" i="12"/>
  <c r="CBX1" i="12"/>
  <c r="CBY1" i="12"/>
  <c r="CBZ1" i="12"/>
  <c r="CCA1" i="12"/>
  <c r="CCB1" i="12"/>
  <c r="CCC1" i="12"/>
  <c r="CCD1" i="12"/>
  <c r="CCE1" i="12"/>
  <c r="CCF1" i="12"/>
  <c r="CCG1" i="12"/>
  <c r="CCH1" i="12"/>
  <c r="CCI1" i="12"/>
  <c r="CCJ1" i="12"/>
  <c r="CCK1" i="12"/>
  <c r="CCL1" i="12"/>
  <c r="CCM1" i="12"/>
  <c r="CCN1" i="12"/>
  <c r="CCO1" i="12"/>
  <c r="CCP1" i="12"/>
  <c r="CCQ1" i="12"/>
  <c r="CCR1" i="12"/>
  <c r="CCS1" i="12"/>
  <c r="CCT1" i="12"/>
  <c r="CCU1" i="12"/>
  <c r="CCV1" i="12"/>
  <c r="CCW1" i="12"/>
  <c r="CCX1" i="12"/>
  <c r="CCY1" i="12"/>
  <c r="CCZ1" i="12"/>
  <c r="CDA1" i="12"/>
  <c r="CDB1" i="12"/>
  <c r="CDC1" i="12"/>
  <c r="CDD1" i="12"/>
  <c r="CDE1" i="12"/>
  <c r="CDF1" i="12"/>
  <c r="CDG1" i="12"/>
  <c r="CDH1" i="12"/>
  <c r="CDI1" i="12"/>
  <c r="CDJ1" i="12"/>
  <c r="CDK1" i="12"/>
  <c r="CDL1" i="12"/>
  <c r="CDM1" i="12"/>
  <c r="CDN1" i="12"/>
  <c r="CDO1" i="12"/>
  <c r="CDP1" i="12"/>
  <c r="CDQ1" i="12"/>
  <c r="CDR1" i="12"/>
  <c r="CDS1" i="12"/>
  <c r="CDT1" i="12"/>
  <c r="CDU1" i="12"/>
  <c r="CDV1" i="12"/>
  <c r="CDW1" i="12"/>
  <c r="CDX1" i="12"/>
  <c r="CDY1" i="12"/>
  <c r="CDZ1" i="12"/>
  <c r="CEA1" i="12"/>
  <c r="CEB1" i="12"/>
  <c r="CEC1" i="12"/>
  <c r="CED1" i="12"/>
  <c r="CEE1" i="12"/>
  <c r="CEF1" i="12"/>
  <c r="CEG1" i="12"/>
  <c r="CEH1" i="12"/>
  <c r="CEI1" i="12"/>
  <c r="CEJ1" i="12"/>
  <c r="CEK1" i="12"/>
  <c r="CEL1" i="12"/>
  <c r="CEM1" i="12"/>
  <c r="CEN1" i="12"/>
  <c r="CEO1" i="12"/>
  <c r="CEP1" i="12"/>
  <c r="CEQ1" i="12"/>
  <c r="CER1" i="12"/>
  <c r="CES1" i="12"/>
  <c r="CET1" i="12"/>
  <c r="CEU1" i="12"/>
  <c r="CEV1" i="12"/>
  <c r="CEW1" i="12"/>
  <c r="CEX1" i="12"/>
  <c r="CEY1" i="12"/>
  <c r="CEZ1" i="12"/>
  <c r="CFA1" i="12"/>
  <c r="CFB1" i="12"/>
  <c r="CFC1" i="12"/>
  <c r="CFD1" i="12"/>
  <c r="CFE1" i="12"/>
  <c r="CFF1" i="12"/>
  <c r="CFG1" i="12"/>
  <c r="CFH1" i="12"/>
  <c r="CFI1" i="12"/>
  <c r="CFJ1" i="12"/>
  <c r="CFK1" i="12"/>
  <c r="CFL1" i="12"/>
  <c r="CFM1" i="12"/>
  <c r="CFN1" i="12"/>
  <c r="CFO1" i="12"/>
  <c r="CFP1" i="12"/>
  <c r="CFQ1" i="12"/>
  <c r="CFR1" i="12"/>
  <c r="CFS1" i="12"/>
  <c r="CFT1" i="12"/>
  <c r="CFU1" i="12"/>
  <c r="CFV1" i="12"/>
  <c r="CFW1" i="12"/>
  <c r="CFX1" i="12"/>
  <c r="CFY1" i="12"/>
  <c r="CFZ1" i="12"/>
  <c r="CGA1" i="12"/>
  <c r="CGB1" i="12"/>
  <c r="CGC1" i="12"/>
  <c r="CGD1" i="12"/>
  <c r="CGE1" i="12"/>
  <c r="CGF1" i="12"/>
  <c r="CGG1" i="12"/>
  <c r="CGH1" i="12"/>
  <c r="CGI1" i="12"/>
  <c r="CGJ1" i="12"/>
  <c r="CGK1" i="12"/>
  <c r="CGL1" i="12"/>
  <c r="CGM1" i="12"/>
  <c r="CGN1" i="12"/>
  <c r="CGO1" i="12"/>
  <c r="CGP1" i="12"/>
  <c r="CGQ1" i="12"/>
  <c r="CGR1" i="12"/>
  <c r="CGS1" i="12"/>
  <c r="CGT1" i="12"/>
  <c r="CGU1" i="12"/>
  <c r="CGV1" i="12"/>
  <c r="CGW1" i="12"/>
  <c r="CGX1" i="12"/>
  <c r="CGY1" i="12"/>
  <c r="CGZ1" i="12"/>
  <c r="CHA1" i="12"/>
  <c r="CHB1" i="12"/>
  <c r="CHC1" i="12"/>
  <c r="CHD1" i="12"/>
  <c r="CHE1" i="12"/>
  <c r="CHF1" i="12"/>
  <c r="CHG1" i="12"/>
  <c r="CHH1" i="12"/>
  <c r="CHI1" i="12"/>
  <c r="CHJ1" i="12"/>
  <c r="CHK1" i="12"/>
  <c r="CHL1" i="12"/>
  <c r="CHM1" i="12"/>
  <c r="CHN1" i="12"/>
  <c r="CHO1" i="12"/>
  <c r="CHP1" i="12"/>
  <c r="CHQ1" i="12"/>
  <c r="CHR1" i="12"/>
  <c r="CHS1" i="12"/>
  <c r="CHT1" i="12"/>
  <c r="CHU1" i="12"/>
  <c r="CHV1" i="12"/>
  <c r="CHW1" i="12"/>
  <c r="CHX1" i="12"/>
  <c r="CHY1" i="12"/>
  <c r="CHZ1" i="12"/>
  <c r="CIA1" i="12"/>
  <c r="CIB1" i="12"/>
  <c r="CIC1" i="12"/>
  <c r="CID1" i="12"/>
  <c r="CIE1" i="12"/>
  <c r="CIF1" i="12"/>
  <c r="CIG1" i="12"/>
  <c r="CIH1" i="12"/>
  <c r="CII1" i="12"/>
  <c r="CIJ1" i="12"/>
  <c r="CIK1" i="12"/>
  <c r="CIL1" i="12"/>
  <c r="CIM1" i="12"/>
  <c r="CIN1" i="12"/>
  <c r="CIO1" i="12"/>
  <c r="CIP1" i="12"/>
  <c r="CIQ1" i="12"/>
  <c r="CIR1" i="12"/>
  <c r="CIS1" i="12"/>
  <c r="CIT1" i="12"/>
  <c r="CIU1" i="12"/>
  <c r="CIV1" i="12"/>
  <c r="CIW1" i="12"/>
  <c r="CIX1" i="12"/>
  <c r="CIY1" i="12"/>
  <c r="CIZ1" i="12"/>
  <c r="CJA1" i="12"/>
  <c r="CJB1" i="12"/>
  <c r="CJC1" i="12"/>
  <c r="CJD1" i="12"/>
  <c r="CJE1" i="12"/>
  <c r="CJF1" i="12"/>
  <c r="CJG1" i="12"/>
  <c r="CJH1" i="12"/>
  <c r="CJI1" i="12"/>
  <c r="CJJ1" i="12"/>
  <c r="CJK1" i="12"/>
  <c r="CJL1" i="12"/>
  <c r="CJM1" i="12"/>
  <c r="CJN1" i="12"/>
  <c r="CJO1" i="12"/>
  <c r="CJP1" i="12"/>
  <c r="CJQ1" i="12"/>
  <c r="CJR1" i="12"/>
  <c r="CJS1" i="12"/>
  <c r="CJT1" i="12"/>
  <c r="CJU1" i="12"/>
  <c r="CJV1" i="12"/>
  <c r="CJW1" i="12"/>
  <c r="CJX1" i="12"/>
  <c r="CJY1" i="12"/>
  <c r="CJZ1" i="12"/>
  <c r="CKA1" i="12"/>
  <c r="CKB1" i="12"/>
  <c r="CKC1" i="12"/>
  <c r="CKD1" i="12"/>
  <c r="CKE1" i="12"/>
  <c r="CKF1" i="12"/>
  <c r="CKG1" i="12"/>
  <c r="CKH1" i="12"/>
  <c r="CKI1" i="12"/>
  <c r="CKJ1" i="12"/>
  <c r="CKK1" i="12"/>
  <c r="CKL1" i="12"/>
  <c r="CKM1" i="12"/>
  <c r="CKN1" i="12"/>
  <c r="CKO1" i="12"/>
  <c r="CKP1" i="12"/>
  <c r="CKQ1" i="12"/>
  <c r="CKR1" i="12"/>
  <c r="CKS1" i="12"/>
  <c r="CKT1" i="12"/>
  <c r="CKU1" i="12"/>
  <c r="CKV1" i="12"/>
  <c r="CKW1" i="12"/>
  <c r="CKX1" i="12"/>
  <c r="CKY1" i="12"/>
  <c r="CKZ1" i="12"/>
  <c r="CLA1" i="12"/>
  <c r="CLB1" i="12"/>
  <c r="CLC1" i="12"/>
  <c r="CLD1" i="12"/>
  <c r="CLE1" i="12"/>
  <c r="CLF1" i="12"/>
  <c r="CLG1" i="12"/>
  <c r="CLH1" i="12"/>
  <c r="CLI1" i="12"/>
  <c r="CLJ1" i="12"/>
  <c r="CLK1" i="12"/>
  <c r="CLL1" i="12"/>
  <c r="CLM1" i="12"/>
  <c r="CLN1" i="12"/>
  <c r="CLO1" i="12"/>
  <c r="CLP1" i="12"/>
  <c r="CLQ1" i="12"/>
  <c r="CLR1" i="12"/>
  <c r="CLS1" i="12"/>
  <c r="CLT1" i="12"/>
  <c r="CLU1" i="12"/>
  <c r="CLV1" i="12"/>
  <c r="CLW1" i="12"/>
  <c r="CLX1" i="12"/>
  <c r="CLY1" i="12"/>
  <c r="CLZ1" i="12"/>
  <c r="CMA1" i="12"/>
  <c r="CMB1" i="12"/>
  <c r="CMC1" i="12"/>
  <c r="CMD1" i="12"/>
  <c r="CME1" i="12"/>
  <c r="CMF1" i="12"/>
  <c r="CMG1" i="12"/>
  <c r="CMH1" i="12"/>
  <c r="CMI1" i="12"/>
  <c r="CMJ1" i="12"/>
  <c r="CMK1" i="12"/>
  <c r="CML1" i="12"/>
  <c r="CMM1" i="12"/>
  <c r="CMN1" i="12"/>
  <c r="CMO1" i="12"/>
  <c r="CMP1" i="12"/>
  <c r="CMQ1" i="12"/>
  <c r="CMR1" i="12"/>
  <c r="CMS1" i="12"/>
  <c r="CMT1" i="12"/>
  <c r="CMU1" i="12"/>
  <c r="CMV1" i="12"/>
  <c r="CMW1" i="12"/>
  <c r="CMX1" i="12"/>
  <c r="CMY1" i="12"/>
  <c r="CMZ1" i="12"/>
  <c r="CNA1" i="12"/>
  <c r="CNB1" i="12"/>
  <c r="CNC1" i="12"/>
  <c r="CND1" i="12"/>
  <c r="CNE1" i="12"/>
  <c r="CNF1" i="12"/>
  <c r="CNG1" i="12"/>
  <c r="CNH1" i="12"/>
  <c r="CNI1" i="12"/>
  <c r="CNJ1" i="12"/>
  <c r="CNK1" i="12"/>
  <c r="CNL1" i="12"/>
  <c r="CNM1" i="12"/>
  <c r="CNN1" i="12"/>
  <c r="CNO1" i="12"/>
  <c r="CNP1" i="12"/>
  <c r="CNQ1" i="12"/>
  <c r="CNR1" i="12"/>
  <c r="CNS1" i="12"/>
  <c r="CNT1" i="12"/>
  <c r="CNU1" i="12"/>
  <c r="CNV1" i="12"/>
  <c r="CNW1" i="12"/>
  <c r="CNX1" i="12"/>
  <c r="CNY1" i="12"/>
  <c r="CNZ1" i="12"/>
  <c r="COA1" i="12"/>
  <c r="COB1" i="12"/>
  <c r="COC1" i="12"/>
  <c r="COD1" i="12"/>
  <c r="COE1" i="12"/>
  <c r="COF1" i="12"/>
  <c r="COG1" i="12"/>
  <c r="COH1" i="12"/>
  <c r="COI1" i="12"/>
  <c r="COJ1" i="12"/>
  <c r="COK1" i="12"/>
  <c r="COL1" i="12"/>
  <c r="COM1" i="12"/>
  <c r="CON1" i="12"/>
  <c r="COO1" i="12"/>
  <c r="COP1" i="12"/>
  <c r="COQ1" i="12"/>
  <c r="COR1" i="12"/>
  <c r="COS1" i="12"/>
  <c r="COT1" i="12"/>
  <c r="COU1" i="12"/>
  <c r="COV1" i="12"/>
  <c r="COW1" i="12"/>
  <c r="COX1" i="12"/>
  <c r="COY1" i="12"/>
  <c r="COZ1" i="12"/>
  <c r="CPA1" i="12"/>
  <c r="CPB1" i="12"/>
  <c r="CPC1" i="12"/>
  <c r="CPD1" i="12"/>
  <c r="CPE1" i="12"/>
  <c r="CPF1" i="12"/>
  <c r="CPG1" i="12"/>
  <c r="CPH1" i="12"/>
  <c r="CPI1" i="12"/>
  <c r="CPJ1" i="12"/>
  <c r="CPK1" i="12"/>
  <c r="CPL1" i="12"/>
  <c r="CPM1" i="12"/>
  <c r="CPN1" i="12"/>
  <c r="CPO1" i="12"/>
  <c r="CPP1" i="12"/>
  <c r="CPQ1" i="12"/>
  <c r="CPR1" i="12"/>
  <c r="CPS1" i="12"/>
  <c r="CPT1" i="12"/>
  <c r="CPU1" i="12"/>
  <c r="CPV1" i="12"/>
  <c r="CPW1" i="12"/>
  <c r="CPX1" i="12"/>
  <c r="CPY1" i="12"/>
  <c r="CPZ1" i="12"/>
  <c r="CQA1" i="12"/>
  <c r="CQB1" i="12"/>
  <c r="CQC1" i="12"/>
  <c r="CQD1" i="12"/>
  <c r="CQE1" i="12"/>
  <c r="CQF1" i="12"/>
  <c r="CQG1" i="12"/>
  <c r="CQH1" i="12"/>
  <c r="CQI1" i="12"/>
  <c r="CQJ1" i="12"/>
  <c r="CQK1" i="12"/>
  <c r="CQL1" i="12"/>
  <c r="CQM1" i="12"/>
  <c r="CQN1" i="12"/>
  <c r="CQO1" i="12"/>
  <c r="CQP1" i="12"/>
  <c r="CQQ1" i="12"/>
  <c r="CQR1" i="12"/>
  <c r="CQS1" i="12"/>
  <c r="CQT1" i="12"/>
  <c r="CQU1" i="12"/>
  <c r="CQV1" i="12"/>
  <c r="CQW1" i="12"/>
  <c r="CQX1" i="12"/>
  <c r="CQY1" i="12"/>
  <c r="CQZ1" i="12"/>
  <c r="CRA1" i="12"/>
  <c r="CRB1" i="12"/>
  <c r="CRC1" i="12"/>
  <c r="CRD1" i="12"/>
  <c r="CRE1" i="12"/>
  <c r="CRF1" i="12"/>
  <c r="CRG1" i="12"/>
  <c r="CRH1" i="12"/>
  <c r="CRI1" i="12"/>
  <c r="CRJ1" i="12"/>
  <c r="CRK1" i="12"/>
  <c r="CRL1" i="12"/>
  <c r="CRM1" i="12"/>
  <c r="CRN1" i="12"/>
  <c r="CRO1" i="12"/>
  <c r="CRP1" i="12"/>
  <c r="CRQ1" i="12"/>
  <c r="CRR1" i="12"/>
  <c r="CRS1" i="12"/>
  <c r="CRT1" i="12"/>
  <c r="CRU1" i="12"/>
  <c r="CRV1" i="12"/>
  <c r="CRW1" i="12"/>
  <c r="CRX1" i="12"/>
  <c r="CRY1" i="12"/>
  <c r="CRZ1" i="12"/>
  <c r="CSA1" i="12"/>
  <c r="CSB1" i="12"/>
  <c r="CSC1" i="12"/>
  <c r="CSD1" i="12"/>
  <c r="CSE1" i="12"/>
  <c r="CSF1" i="12"/>
  <c r="CSG1" i="12"/>
  <c r="CSH1" i="12"/>
  <c r="CSI1" i="12"/>
  <c r="CSJ1" i="12"/>
  <c r="CSK1" i="12"/>
  <c r="CSL1" i="12"/>
  <c r="CSM1" i="12"/>
  <c r="CSN1" i="12"/>
  <c r="CSO1" i="12"/>
  <c r="CSP1" i="12"/>
  <c r="CSQ1" i="12"/>
  <c r="CSR1" i="12"/>
  <c r="CSS1" i="12"/>
  <c r="CST1" i="12"/>
  <c r="CSU1" i="12"/>
  <c r="CSV1" i="12"/>
  <c r="CSW1" i="12"/>
  <c r="CSX1" i="12"/>
  <c r="CSY1" i="12"/>
  <c r="CSZ1" i="12"/>
  <c r="CTA1" i="12"/>
  <c r="CTB1" i="12"/>
  <c r="CTC1" i="12"/>
  <c r="CTD1" i="12"/>
  <c r="CTE1" i="12"/>
  <c r="CTF1" i="12"/>
  <c r="CTG1" i="12"/>
  <c r="CTH1" i="12"/>
  <c r="CTI1" i="12"/>
  <c r="CTJ1" i="12"/>
  <c r="CTK1" i="12"/>
  <c r="CTL1" i="12"/>
  <c r="CTM1" i="12"/>
  <c r="CTN1" i="12"/>
  <c r="CTO1" i="12"/>
  <c r="CTP1" i="12"/>
  <c r="CTQ1" i="12"/>
  <c r="CTR1" i="12"/>
  <c r="CTS1" i="12"/>
  <c r="CTT1" i="12"/>
  <c r="CTU1" i="12"/>
  <c r="CTV1" i="12"/>
  <c r="CTW1" i="12"/>
  <c r="CTX1" i="12"/>
  <c r="CTY1" i="12"/>
  <c r="CTZ1" i="12"/>
  <c r="CUA1" i="12"/>
  <c r="CUB1" i="12"/>
  <c r="CUC1" i="12"/>
  <c r="CUD1" i="12"/>
  <c r="CUE1" i="12"/>
  <c r="CUF1" i="12"/>
  <c r="CUG1" i="12"/>
  <c r="CUH1" i="12"/>
  <c r="CUI1" i="12"/>
  <c r="CUJ1" i="12"/>
  <c r="CUK1" i="12"/>
  <c r="CUL1" i="12"/>
  <c r="CUM1" i="12"/>
  <c r="CUN1" i="12"/>
  <c r="CUO1" i="12"/>
  <c r="CUP1" i="12"/>
  <c r="CUQ1" i="12"/>
  <c r="CUR1" i="12"/>
  <c r="CUS1" i="12"/>
  <c r="CUT1" i="12"/>
  <c r="CUU1" i="12"/>
  <c r="CUV1" i="12"/>
  <c r="CUW1" i="12"/>
  <c r="CUX1" i="12"/>
  <c r="CUY1" i="12"/>
  <c r="CUZ1" i="12"/>
  <c r="CVA1" i="12"/>
  <c r="CVB1" i="12"/>
  <c r="CVC1" i="12"/>
  <c r="CVD1" i="12"/>
  <c r="CVE1" i="12"/>
  <c r="CVF1" i="12"/>
  <c r="CVG1" i="12"/>
  <c r="CVH1" i="12"/>
  <c r="CVI1" i="12"/>
  <c r="CVJ1" i="12"/>
  <c r="CVK1" i="12"/>
  <c r="CVL1" i="12"/>
  <c r="CVM1" i="12"/>
  <c r="CVN1" i="12"/>
  <c r="CVO1" i="12"/>
  <c r="CVP1" i="12"/>
  <c r="CVQ1" i="12"/>
  <c r="CVR1" i="12"/>
  <c r="CVS1" i="12"/>
  <c r="CVT1" i="12"/>
  <c r="CVU1" i="12"/>
  <c r="CVV1" i="12"/>
  <c r="CVW1" i="12"/>
  <c r="CVX1" i="12"/>
  <c r="CVY1" i="12"/>
  <c r="CVZ1" i="12"/>
  <c r="CWA1" i="12"/>
  <c r="CWB1" i="12"/>
  <c r="CWC1" i="12"/>
  <c r="CWD1" i="12"/>
  <c r="CWE1" i="12"/>
  <c r="CWF1" i="12"/>
  <c r="CWG1" i="12"/>
  <c r="CWH1" i="12"/>
  <c r="CWI1" i="12"/>
  <c r="CWJ1" i="12"/>
  <c r="CWK1" i="12"/>
  <c r="CWL1" i="12"/>
  <c r="CWM1" i="12"/>
  <c r="CWN1" i="12"/>
  <c r="CWO1" i="12"/>
  <c r="CWP1" i="12"/>
  <c r="CWQ1" i="12"/>
  <c r="CWR1" i="12"/>
  <c r="CWS1" i="12"/>
  <c r="CWT1" i="12"/>
  <c r="CWU1" i="12"/>
  <c r="CWV1" i="12"/>
  <c r="CWW1" i="12"/>
  <c r="CWX1" i="12"/>
  <c r="CWY1" i="12"/>
  <c r="CWZ1" i="12"/>
  <c r="CXA1" i="12"/>
  <c r="CXB1" i="12"/>
  <c r="CXC1" i="12"/>
  <c r="CXD1" i="12"/>
  <c r="CXE1" i="12"/>
  <c r="CXF1" i="12"/>
  <c r="CXG1" i="12"/>
  <c r="CXH1" i="12"/>
  <c r="CXI1" i="12"/>
  <c r="CXJ1" i="12"/>
  <c r="CXK1" i="12"/>
  <c r="CXL1" i="12"/>
  <c r="CXM1" i="12"/>
  <c r="CXN1" i="12"/>
  <c r="CXO1" i="12"/>
  <c r="CXP1" i="12"/>
  <c r="CXQ1" i="12"/>
  <c r="CXR1" i="12"/>
  <c r="CXS1" i="12"/>
  <c r="CXT1" i="12"/>
  <c r="CXU1" i="12"/>
  <c r="CXV1" i="12"/>
  <c r="CXW1" i="12"/>
  <c r="CXX1" i="12"/>
  <c r="CXY1" i="12"/>
  <c r="CXZ1" i="12"/>
  <c r="CYA1" i="12"/>
  <c r="CYB1" i="12"/>
  <c r="CYC1" i="12"/>
  <c r="CYD1" i="12"/>
  <c r="CYE1" i="12"/>
  <c r="CYF1" i="12"/>
  <c r="CYG1" i="12"/>
  <c r="CYH1" i="12"/>
  <c r="CYI1" i="12"/>
  <c r="CYJ1" i="12"/>
  <c r="CYK1" i="12"/>
  <c r="CYL1" i="12"/>
  <c r="CYM1" i="12"/>
  <c r="CYN1" i="12"/>
  <c r="CYO1" i="12"/>
  <c r="CYP1" i="12"/>
  <c r="CYQ1" i="12"/>
  <c r="CYR1" i="12"/>
  <c r="CYS1" i="12"/>
  <c r="CYT1" i="12"/>
  <c r="CYU1" i="12"/>
  <c r="CYV1" i="12"/>
  <c r="CYW1" i="12"/>
  <c r="CYX1" i="12"/>
  <c r="CYY1" i="12"/>
  <c r="CYZ1" i="12"/>
  <c r="CZA1" i="12"/>
  <c r="CZB1" i="12"/>
  <c r="CZC1" i="12"/>
  <c r="CZD1" i="12"/>
  <c r="CZE1" i="12"/>
  <c r="CZF1" i="12"/>
  <c r="CZG1" i="12"/>
  <c r="CZH1" i="12"/>
  <c r="CZI1" i="12"/>
  <c r="CZJ1" i="12"/>
  <c r="CZK1" i="12"/>
  <c r="CZL1" i="12"/>
  <c r="CZM1" i="12"/>
  <c r="CZN1" i="12"/>
  <c r="CZO1" i="12"/>
  <c r="CZP1" i="12"/>
  <c r="CZQ1" i="12"/>
  <c r="CZR1" i="12"/>
  <c r="CZS1" i="12"/>
  <c r="CZT1" i="12"/>
  <c r="CZU1" i="12"/>
  <c r="CZV1" i="12"/>
  <c r="CZW1" i="12"/>
  <c r="CZX1" i="12"/>
  <c r="CZY1" i="12"/>
  <c r="CZZ1" i="12"/>
  <c r="DAA1" i="12"/>
  <c r="DAB1" i="12"/>
  <c r="DAC1" i="12"/>
  <c r="DAD1" i="12"/>
  <c r="DAE1" i="12"/>
  <c r="DAF1" i="12"/>
  <c r="DAG1" i="12"/>
  <c r="DAH1" i="12"/>
  <c r="DAI1" i="12"/>
  <c r="DAJ1" i="12"/>
  <c r="DAK1" i="12"/>
  <c r="DAL1" i="12"/>
  <c r="DAM1" i="12"/>
  <c r="DAN1" i="12"/>
  <c r="DAO1" i="12"/>
  <c r="DAP1" i="12"/>
  <c r="DAQ1" i="12"/>
  <c r="DAR1" i="12"/>
  <c r="DAS1" i="12"/>
  <c r="DAT1" i="12"/>
  <c r="DAU1" i="12"/>
  <c r="DAV1" i="12"/>
  <c r="DAW1" i="12"/>
  <c r="DAX1" i="12"/>
  <c r="DAY1" i="12"/>
  <c r="DAZ1" i="12"/>
  <c r="DBA1" i="12"/>
  <c r="DBB1" i="12"/>
  <c r="DBC1" i="12"/>
  <c r="DBD1" i="12"/>
  <c r="DBE1" i="12"/>
  <c r="DBF1" i="12"/>
  <c r="DBG1" i="12"/>
  <c r="DBH1" i="12"/>
  <c r="DBI1" i="12"/>
  <c r="DBJ1" i="12"/>
  <c r="DBK1" i="12"/>
  <c r="DBL1" i="12"/>
  <c r="DBM1" i="12"/>
  <c r="DBN1" i="12"/>
  <c r="DBO1" i="12"/>
  <c r="DBP1" i="12"/>
  <c r="DBQ1" i="12"/>
  <c r="DBR1" i="12"/>
  <c r="DBS1" i="12"/>
  <c r="DBT1" i="12"/>
  <c r="DBU1" i="12"/>
  <c r="DBV1" i="12"/>
  <c r="DBW1" i="12"/>
  <c r="DBX1" i="12"/>
  <c r="DBY1" i="12"/>
  <c r="DBZ1" i="12"/>
  <c r="DCA1" i="12"/>
  <c r="DCB1" i="12"/>
  <c r="DCC1" i="12"/>
  <c r="DCD1" i="12"/>
  <c r="DCE1" i="12"/>
  <c r="DCF1" i="12"/>
  <c r="DCG1" i="12"/>
  <c r="DCH1" i="12"/>
  <c r="DCI1" i="12"/>
  <c r="DCJ1" i="12"/>
  <c r="DCK1" i="12"/>
  <c r="DCL1" i="12"/>
  <c r="DCM1" i="12"/>
  <c r="DCN1" i="12"/>
  <c r="DCO1" i="12"/>
  <c r="DCP1" i="12"/>
  <c r="DCQ1" i="12"/>
  <c r="DCR1" i="12"/>
  <c r="DCS1" i="12"/>
  <c r="DCT1" i="12"/>
  <c r="DCU1" i="12"/>
  <c r="DCV1" i="12"/>
  <c r="DCW1" i="12"/>
  <c r="DCX1" i="12"/>
  <c r="DCY1" i="12"/>
  <c r="DCZ1" i="12"/>
  <c r="DDA1" i="12"/>
  <c r="DDB1" i="12"/>
  <c r="DDC1" i="12"/>
  <c r="DDD1" i="12"/>
  <c r="DDE1" i="12"/>
  <c r="DDF1" i="12"/>
  <c r="DDG1" i="12"/>
  <c r="DDH1" i="12"/>
  <c r="DDI1" i="12"/>
  <c r="DDJ1" i="12"/>
  <c r="DDK1" i="12"/>
  <c r="DDL1" i="12"/>
  <c r="DDM1" i="12"/>
  <c r="DDN1" i="12"/>
  <c r="DDO1" i="12"/>
  <c r="DDP1" i="12"/>
  <c r="DDQ1" i="12"/>
  <c r="DDR1" i="12"/>
  <c r="DDS1" i="12"/>
  <c r="DDT1" i="12"/>
  <c r="DDU1" i="12"/>
  <c r="DDV1" i="12"/>
  <c r="DDW1" i="12"/>
  <c r="DDX1" i="12"/>
  <c r="DDY1" i="12"/>
  <c r="DDZ1" i="12"/>
  <c r="DEA1" i="12"/>
  <c r="DEB1" i="12"/>
  <c r="DEC1" i="12"/>
  <c r="DED1" i="12"/>
  <c r="DEE1" i="12"/>
  <c r="DEF1" i="12"/>
  <c r="DEG1" i="12"/>
  <c r="DEH1" i="12"/>
  <c r="DEI1" i="12"/>
  <c r="DEJ1" i="12"/>
  <c r="DEK1" i="12"/>
  <c r="DEL1" i="12"/>
  <c r="DEM1" i="12"/>
  <c r="DEN1" i="12"/>
  <c r="DEO1" i="12"/>
  <c r="DEP1" i="12"/>
  <c r="DEQ1" i="12"/>
  <c r="DER1" i="12"/>
  <c r="DES1" i="12"/>
  <c r="DET1" i="12"/>
  <c r="DEU1" i="12"/>
  <c r="DEV1" i="12"/>
  <c r="DEW1" i="12"/>
  <c r="DEX1" i="12"/>
  <c r="DEY1" i="12"/>
  <c r="DEZ1" i="12"/>
  <c r="DFA1" i="12"/>
  <c r="DFB1" i="12"/>
  <c r="DFC1" i="12"/>
  <c r="DFD1" i="12"/>
  <c r="DFE1" i="12"/>
  <c r="DFF1" i="12"/>
  <c r="DFG1" i="12"/>
  <c r="DFH1" i="12"/>
  <c r="DFI1" i="12"/>
  <c r="DFJ1" i="12"/>
  <c r="DFK1" i="12"/>
  <c r="DFL1" i="12"/>
  <c r="DFM1" i="12"/>
  <c r="DFN1" i="12"/>
  <c r="DFO1" i="12"/>
  <c r="DFP1" i="12"/>
  <c r="DFQ1" i="12"/>
  <c r="DFR1" i="12"/>
  <c r="DFS1" i="12"/>
  <c r="DFT1" i="12"/>
  <c r="DFU1" i="12"/>
  <c r="DFV1" i="12"/>
  <c r="DFW1" i="12"/>
  <c r="DFX1" i="12"/>
  <c r="DFY1" i="12"/>
  <c r="DFZ1" i="12"/>
  <c r="DGA1" i="12"/>
  <c r="DGB1" i="12"/>
  <c r="DGC1" i="12"/>
  <c r="DGD1" i="12"/>
  <c r="DGE1" i="12"/>
  <c r="DGF1" i="12"/>
  <c r="DGG1" i="12"/>
  <c r="DGH1" i="12"/>
  <c r="DGI1" i="12"/>
  <c r="DGJ1" i="12"/>
  <c r="DGK1" i="12"/>
  <c r="DGL1" i="12"/>
  <c r="DGM1" i="12"/>
  <c r="DGN1" i="12"/>
  <c r="DGO1" i="12"/>
  <c r="DGP1" i="12"/>
  <c r="DGQ1" i="12"/>
  <c r="DGR1" i="12"/>
  <c r="DGS1" i="12"/>
  <c r="DGT1" i="12"/>
  <c r="DGU1" i="12"/>
  <c r="DGV1" i="12"/>
  <c r="DGW1" i="12"/>
  <c r="DGX1" i="12"/>
  <c r="DGY1" i="12"/>
  <c r="DGZ1" i="12"/>
  <c r="DHA1" i="12"/>
  <c r="DHB1" i="12"/>
  <c r="DHC1" i="12"/>
  <c r="DHD1" i="12"/>
  <c r="DHE1" i="12"/>
  <c r="DHF1" i="12"/>
  <c r="DHG1" i="12"/>
  <c r="DHH1" i="12"/>
  <c r="DHI1" i="12"/>
  <c r="DHJ1" i="12"/>
  <c r="DHK1" i="12"/>
  <c r="DHL1" i="12"/>
  <c r="DHM1" i="12"/>
  <c r="DHN1" i="12"/>
  <c r="DHO1" i="12"/>
  <c r="DHP1" i="12"/>
  <c r="DHQ1" i="12"/>
  <c r="DHR1" i="12"/>
  <c r="DHS1" i="12"/>
  <c r="DHT1" i="12"/>
  <c r="DHU1" i="12"/>
  <c r="DHV1" i="12"/>
  <c r="DHW1" i="12"/>
  <c r="DHX1" i="12"/>
  <c r="DHY1" i="12"/>
  <c r="DHZ1" i="12"/>
  <c r="DIA1" i="12"/>
  <c r="DIB1" i="12"/>
  <c r="DIC1" i="12"/>
  <c r="DID1" i="12"/>
  <c r="DIE1" i="12"/>
  <c r="DIF1" i="12"/>
  <c r="DIG1" i="12"/>
  <c r="DIH1" i="12"/>
  <c r="DII1" i="12"/>
  <c r="DIJ1" i="12"/>
  <c r="DIK1" i="12"/>
  <c r="DIL1" i="12"/>
  <c r="DIM1" i="12"/>
  <c r="DIN1" i="12"/>
  <c r="DIO1" i="12"/>
  <c r="DIP1" i="12"/>
  <c r="DIQ1" i="12"/>
  <c r="DIR1" i="12"/>
  <c r="DIS1" i="12"/>
  <c r="DIT1" i="12"/>
  <c r="DIU1" i="12"/>
  <c r="DIV1" i="12"/>
  <c r="DIW1" i="12"/>
  <c r="DIX1" i="12"/>
  <c r="DIY1" i="12"/>
  <c r="DIZ1" i="12"/>
  <c r="DJA1" i="12"/>
  <c r="DJB1" i="12"/>
  <c r="DJC1" i="12"/>
  <c r="DJD1" i="12"/>
  <c r="DJE1" i="12"/>
  <c r="DJF1" i="12"/>
  <c r="DJG1" i="12"/>
  <c r="DJH1" i="12"/>
  <c r="DJI1" i="12"/>
  <c r="DJJ1" i="12"/>
  <c r="DJK1" i="12"/>
  <c r="DJL1" i="12"/>
  <c r="DJM1" i="12"/>
  <c r="DJN1" i="12"/>
  <c r="DJO1" i="12"/>
  <c r="DJP1" i="12"/>
  <c r="DJQ1" i="12"/>
  <c r="DJR1" i="12"/>
  <c r="DJS1" i="12"/>
  <c r="DJT1" i="12"/>
  <c r="DJU1" i="12"/>
  <c r="DJV1" i="12"/>
  <c r="DJW1" i="12"/>
  <c r="DJX1" i="12"/>
  <c r="DJY1" i="12"/>
  <c r="DJZ1" i="12"/>
  <c r="DKA1" i="12"/>
  <c r="DKB1" i="12"/>
  <c r="DKC1" i="12"/>
  <c r="DKD1" i="12"/>
  <c r="DKE1" i="12"/>
  <c r="DKF1" i="12"/>
  <c r="DKG1" i="12"/>
  <c r="DKH1" i="12"/>
  <c r="DKI1" i="12"/>
  <c r="DKJ1" i="12"/>
  <c r="DKK1" i="12"/>
  <c r="DKL1" i="12"/>
  <c r="DKM1" i="12"/>
  <c r="DKN1" i="12"/>
  <c r="DKO1" i="12"/>
  <c r="DKP1" i="12"/>
  <c r="DKQ1" i="12"/>
  <c r="DKR1" i="12"/>
  <c r="DKS1" i="12"/>
  <c r="DKT1" i="12"/>
  <c r="DKU1" i="12"/>
  <c r="DKV1" i="12"/>
  <c r="DKW1" i="12"/>
  <c r="DKX1" i="12"/>
  <c r="DKY1" i="12"/>
  <c r="DKZ1" i="12"/>
  <c r="DLA1" i="12"/>
  <c r="DLB1" i="12"/>
  <c r="DLC1" i="12"/>
  <c r="DLD1" i="12"/>
  <c r="DLE1" i="12"/>
  <c r="DLF1" i="12"/>
  <c r="DLG1" i="12"/>
  <c r="DLH1" i="12"/>
  <c r="DLI1" i="12"/>
  <c r="DLJ1" i="12"/>
  <c r="DLK1" i="12"/>
  <c r="DLL1" i="12"/>
  <c r="DLM1" i="12"/>
  <c r="DLN1" i="12"/>
  <c r="DLO1" i="12"/>
  <c r="DLP1" i="12"/>
  <c r="DLQ1" i="12"/>
  <c r="DLR1" i="12"/>
  <c r="DLS1" i="12"/>
  <c r="DLT1" i="12"/>
  <c r="DLU1" i="12"/>
  <c r="DLV1" i="12"/>
  <c r="DLW1" i="12"/>
  <c r="DLX1" i="12"/>
  <c r="DLY1" i="12"/>
  <c r="DLZ1" i="12"/>
  <c r="DMA1" i="12"/>
  <c r="DMB1" i="12"/>
  <c r="DMC1" i="12"/>
  <c r="DMD1" i="12"/>
  <c r="DME1" i="12"/>
  <c r="DMF1" i="12"/>
  <c r="DMG1" i="12"/>
  <c r="DMH1" i="12"/>
  <c r="DMI1" i="12"/>
  <c r="DMJ1" i="12"/>
  <c r="DMK1" i="12"/>
  <c r="DML1" i="12"/>
  <c r="DMM1" i="12"/>
  <c r="DMN1" i="12"/>
  <c r="DMO1" i="12"/>
  <c r="DMP1" i="12"/>
  <c r="DMQ1" i="12"/>
  <c r="DMR1" i="12"/>
  <c r="DMS1" i="12"/>
  <c r="DMT1" i="12"/>
  <c r="DMU1" i="12"/>
  <c r="DMV1" i="12"/>
  <c r="DMW1" i="12"/>
  <c r="DMX1" i="12"/>
  <c r="DMY1" i="12"/>
  <c r="DMZ1" i="12"/>
  <c r="DNA1" i="12"/>
  <c r="DNB1" i="12"/>
  <c r="DNC1" i="12"/>
  <c r="DND1" i="12"/>
  <c r="DNE1" i="12"/>
  <c r="DNF1" i="12"/>
  <c r="DNG1" i="12"/>
  <c r="DNH1" i="12"/>
  <c r="DNI1" i="12"/>
  <c r="DNJ1" i="12"/>
  <c r="DNK1" i="12"/>
  <c r="DNL1" i="12"/>
  <c r="DNM1" i="12"/>
  <c r="DNN1" i="12"/>
  <c r="DNO1" i="12"/>
  <c r="DNP1" i="12"/>
  <c r="DNQ1" i="12"/>
  <c r="DNR1" i="12"/>
  <c r="DNS1" i="12"/>
  <c r="DNT1" i="12"/>
  <c r="DNU1" i="12"/>
  <c r="DNV1" i="12"/>
  <c r="DNW1" i="12"/>
  <c r="DNX1" i="12"/>
  <c r="DNY1" i="12"/>
  <c r="DNZ1" i="12"/>
  <c r="DOA1" i="12"/>
  <c r="DOB1" i="12"/>
  <c r="DOC1" i="12"/>
  <c r="DOD1" i="12"/>
  <c r="DOE1" i="12"/>
  <c r="DOF1" i="12"/>
  <c r="DOG1" i="12"/>
  <c r="DOH1" i="12"/>
  <c r="DOI1" i="12"/>
  <c r="DOJ1" i="12"/>
  <c r="DOK1" i="12"/>
  <c r="DOL1" i="12"/>
  <c r="DOM1" i="12"/>
  <c r="DON1" i="12"/>
  <c r="DOO1" i="12"/>
  <c r="DOP1" i="12"/>
  <c r="DOQ1" i="12"/>
  <c r="DOR1" i="12"/>
  <c r="DOS1" i="12"/>
  <c r="DOT1" i="12"/>
  <c r="DOU1" i="12"/>
  <c r="DOV1" i="12"/>
  <c r="DOW1" i="12"/>
  <c r="DOX1" i="12"/>
  <c r="DOY1" i="12"/>
  <c r="DOZ1" i="12"/>
  <c r="DPA1" i="12"/>
  <c r="DPB1" i="12"/>
  <c r="DPC1" i="12"/>
  <c r="DPD1" i="12"/>
  <c r="DPE1" i="12"/>
  <c r="DPF1" i="12"/>
  <c r="DPG1" i="12"/>
  <c r="DPH1" i="12"/>
  <c r="DPI1" i="12"/>
  <c r="DPJ1" i="12"/>
  <c r="DPK1" i="12"/>
  <c r="DPL1" i="12"/>
  <c r="DPM1" i="12"/>
  <c r="DPN1" i="12"/>
  <c r="DPO1" i="12"/>
  <c r="DPP1" i="12"/>
  <c r="DPQ1" i="12"/>
  <c r="DPR1" i="12"/>
  <c r="DPS1" i="12"/>
  <c r="DPT1" i="12"/>
  <c r="DPU1" i="12"/>
  <c r="DPV1" i="12"/>
  <c r="DPW1" i="12"/>
  <c r="DPX1" i="12"/>
  <c r="DPY1" i="12"/>
  <c r="DPZ1" i="12"/>
  <c r="DQA1" i="12"/>
  <c r="DQB1" i="12"/>
  <c r="DQC1" i="12"/>
  <c r="DQD1" i="12"/>
  <c r="DQE1" i="12"/>
  <c r="DQF1" i="12"/>
  <c r="DQG1" i="12"/>
  <c r="DQH1" i="12"/>
  <c r="DQI1" i="12"/>
  <c r="DQJ1" i="12"/>
  <c r="DQK1" i="12"/>
  <c r="DQL1" i="12"/>
  <c r="DQM1" i="12"/>
  <c r="DQN1" i="12"/>
  <c r="DQO1" i="12"/>
  <c r="DQP1" i="12"/>
  <c r="DQQ1" i="12"/>
  <c r="DQR1" i="12"/>
  <c r="DQS1" i="12"/>
  <c r="DQT1" i="12"/>
  <c r="DQU1" i="12"/>
  <c r="DQV1" i="12"/>
  <c r="DQW1" i="12"/>
  <c r="DQX1" i="12"/>
  <c r="DQY1" i="12"/>
  <c r="DQZ1" i="12"/>
  <c r="DRA1" i="12"/>
  <c r="DRB1" i="12"/>
  <c r="DRC1" i="12"/>
  <c r="DRD1" i="12"/>
  <c r="DRE1" i="12"/>
  <c r="DRF1" i="12"/>
  <c r="DRG1" i="12"/>
  <c r="DRH1" i="12"/>
  <c r="DRI1" i="12"/>
  <c r="DRJ1" i="12"/>
  <c r="DRK1" i="12"/>
  <c r="DRL1" i="12"/>
  <c r="DRM1" i="12"/>
  <c r="DRN1" i="12"/>
  <c r="DRO1" i="12"/>
  <c r="DRP1" i="12"/>
  <c r="DRQ1" i="12"/>
  <c r="DRR1" i="12"/>
  <c r="DRS1" i="12"/>
  <c r="DRT1" i="12"/>
  <c r="DRU1" i="12"/>
  <c r="DRV1" i="12"/>
  <c r="DRW1" i="12"/>
  <c r="DRX1" i="12"/>
  <c r="DRY1" i="12"/>
  <c r="DRZ1" i="12"/>
  <c r="DSA1" i="12"/>
  <c r="DSB1" i="12"/>
  <c r="DSC1" i="12"/>
  <c r="DSD1" i="12"/>
  <c r="DSE1" i="12"/>
  <c r="DSF1" i="12"/>
  <c r="DSG1" i="12"/>
  <c r="DSH1" i="12"/>
  <c r="DSI1" i="12"/>
  <c r="DSJ1" i="12"/>
  <c r="DSK1" i="12"/>
  <c r="DSL1" i="12"/>
  <c r="DSM1" i="12"/>
  <c r="DSN1" i="12"/>
  <c r="DSO1" i="12"/>
  <c r="DSP1" i="12"/>
  <c r="DSQ1" i="12"/>
  <c r="DSR1" i="12"/>
  <c r="DSS1" i="12"/>
  <c r="DST1" i="12"/>
  <c r="DSU1" i="12"/>
  <c r="DSV1" i="12"/>
  <c r="DSW1" i="12"/>
  <c r="DSX1" i="12"/>
  <c r="DSY1" i="12"/>
  <c r="DSZ1" i="12"/>
  <c r="DTA1" i="12"/>
  <c r="DTB1" i="12"/>
  <c r="DTC1" i="12"/>
  <c r="DTD1" i="12"/>
  <c r="DTE1" i="12"/>
  <c r="DTF1" i="12"/>
  <c r="DTG1" i="12"/>
  <c r="DTH1" i="12"/>
  <c r="DTI1" i="12"/>
  <c r="DTJ1" i="12"/>
  <c r="DTK1" i="12"/>
  <c r="DTL1" i="12"/>
  <c r="DTM1" i="12"/>
  <c r="DTN1" i="12"/>
  <c r="DTO1" i="12"/>
  <c r="DTP1" i="12"/>
  <c r="DTQ1" i="12"/>
  <c r="DTR1" i="12"/>
  <c r="DTS1" i="12"/>
  <c r="DTT1" i="12"/>
  <c r="DTU1" i="12"/>
  <c r="DTV1" i="12"/>
  <c r="DTW1" i="12"/>
  <c r="DTX1" i="12"/>
  <c r="DTY1" i="12"/>
  <c r="DTZ1" i="12"/>
  <c r="DUA1" i="12"/>
  <c r="DUB1" i="12"/>
  <c r="DUC1" i="12"/>
  <c r="DUD1" i="12"/>
  <c r="DUE1" i="12"/>
  <c r="DUF1" i="12"/>
  <c r="DUG1" i="12"/>
  <c r="DUH1" i="12"/>
  <c r="DUI1" i="12"/>
  <c r="DUJ1" i="12"/>
  <c r="DUK1" i="12"/>
  <c r="DUL1" i="12"/>
  <c r="DUM1" i="12"/>
  <c r="DUN1" i="12"/>
  <c r="DUO1" i="12"/>
  <c r="DUP1" i="12"/>
  <c r="DUQ1" i="12"/>
  <c r="DUR1" i="12"/>
  <c r="DUS1" i="12"/>
  <c r="DUT1" i="12"/>
  <c r="DUU1" i="12"/>
  <c r="DUV1" i="12"/>
  <c r="DUW1" i="12"/>
  <c r="DUX1" i="12"/>
  <c r="DUY1" i="12"/>
  <c r="DUZ1" i="12"/>
  <c r="DVA1" i="12"/>
  <c r="DVB1" i="12"/>
  <c r="DVC1" i="12"/>
  <c r="DVD1" i="12"/>
  <c r="DVE1" i="12"/>
  <c r="DVF1" i="12"/>
  <c r="DVG1" i="12"/>
  <c r="DVH1" i="12"/>
  <c r="DVI1" i="12"/>
  <c r="DVJ1" i="12"/>
  <c r="DVK1" i="12"/>
  <c r="DVL1" i="12"/>
  <c r="DVM1" i="12"/>
  <c r="DVN1" i="12"/>
  <c r="DVO1" i="12"/>
  <c r="DVP1" i="12"/>
  <c r="DVQ1" i="12"/>
  <c r="DVR1" i="12"/>
  <c r="DVS1" i="12"/>
  <c r="DVT1" i="12"/>
  <c r="DVU1" i="12"/>
  <c r="DVV1" i="12"/>
  <c r="DVW1" i="12"/>
  <c r="DVX1" i="12"/>
  <c r="DVY1" i="12"/>
  <c r="DVZ1" i="12"/>
  <c r="DWA1" i="12"/>
  <c r="DWB1" i="12"/>
  <c r="DWC1" i="12"/>
  <c r="DWD1" i="12"/>
  <c r="DWE1" i="12"/>
  <c r="DWF1" i="12"/>
  <c r="DWG1" i="12"/>
  <c r="DWH1" i="12"/>
  <c r="DWI1" i="12"/>
  <c r="DWJ1" i="12"/>
  <c r="DWK1" i="12"/>
  <c r="DWL1" i="12"/>
  <c r="DWM1" i="12"/>
  <c r="DWN1" i="12"/>
  <c r="DWO1" i="12"/>
  <c r="DWP1" i="12"/>
  <c r="DWQ1" i="12"/>
  <c r="DWR1" i="12"/>
  <c r="DWS1" i="12"/>
  <c r="DWT1" i="12"/>
  <c r="DWU1" i="12"/>
  <c r="DWV1" i="12"/>
  <c r="DWW1" i="12"/>
  <c r="DWX1" i="12"/>
  <c r="DWY1" i="12"/>
  <c r="DWZ1" i="12"/>
  <c r="DXA1" i="12"/>
  <c r="DXB1" i="12"/>
  <c r="DXC1" i="12"/>
  <c r="DXD1" i="12"/>
  <c r="DXE1" i="12"/>
  <c r="DXF1" i="12"/>
  <c r="DXG1" i="12"/>
  <c r="DXH1" i="12"/>
  <c r="DXI1" i="12"/>
  <c r="DXJ1" i="12"/>
  <c r="DXK1" i="12"/>
  <c r="DXL1" i="12"/>
  <c r="DXM1" i="12"/>
  <c r="DXN1" i="12"/>
  <c r="DXO1" i="12"/>
  <c r="DXP1" i="12"/>
  <c r="DXQ1" i="12"/>
  <c r="DXR1" i="12"/>
  <c r="DXS1" i="12"/>
  <c r="DXT1" i="12"/>
  <c r="DXU1" i="12"/>
  <c r="DXV1" i="12"/>
  <c r="DXW1" i="12"/>
  <c r="DXX1" i="12"/>
  <c r="DXY1" i="12"/>
  <c r="DXZ1" i="12"/>
  <c r="DYA1" i="12"/>
  <c r="DYB1" i="12"/>
  <c r="DYC1" i="12"/>
  <c r="DYD1" i="12"/>
  <c r="DYE1" i="12"/>
  <c r="DYF1" i="12"/>
  <c r="DYG1" i="12"/>
  <c r="DYH1" i="12"/>
  <c r="DYI1" i="12"/>
  <c r="DYJ1" i="12"/>
  <c r="DYK1" i="12"/>
  <c r="DYL1" i="12"/>
  <c r="DYM1" i="12"/>
  <c r="DYN1" i="12"/>
  <c r="DYO1" i="12"/>
  <c r="DYP1" i="12"/>
  <c r="DYQ1" i="12"/>
  <c r="DYR1" i="12"/>
  <c r="DYS1" i="12"/>
  <c r="DYT1" i="12"/>
  <c r="DYU1" i="12"/>
  <c r="DYV1" i="12"/>
  <c r="DYW1" i="12"/>
  <c r="DYX1" i="12"/>
  <c r="DYY1" i="12"/>
  <c r="DYZ1" i="12"/>
  <c r="DZA1" i="12"/>
  <c r="DZB1" i="12"/>
  <c r="DZC1" i="12"/>
  <c r="DZD1" i="12"/>
  <c r="DZE1" i="12"/>
  <c r="DZF1" i="12"/>
  <c r="DZG1" i="12"/>
  <c r="DZH1" i="12"/>
  <c r="DZI1" i="12"/>
  <c r="DZJ1" i="12"/>
  <c r="DZK1" i="12"/>
  <c r="DZL1" i="12"/>
  <c r="DZM1" i="12"/>
  <c r="DZN1" i="12"/>
  <c r="DZO1" i="12"/>
  <c r="DZP1" i="12"/>
  <c r="DZQ1" i="12"/>
  <c r="DZR1" i="12"/>
  <c r="DZS1" i="12"/>
  <c r="DZT1" i="12"/>
  <c r="DZU1" i="12"/>
  <c r="DZV1" i="12"/>
  <c r="DZW1" i="12"/>
  <c r="DZX1" i="12"/>
  <c r="DZY1" i="12"/>
  <c r="DZZ1" i="12"/>
  <c r="EAA1" i="12"/>
  <c r="EAB1" i="12"/>
  <c r="EAC1" i="12"/>
  <c r="EAD1" i="12"/>
  <c r="EAE1" i="12"/>
  <c r="EAF1" i="12"/>
  <c r="EAG1" i="12"/>
  <c r="EAH1" i="12"/>
  <c r="EAI1" i="12"/>
  <c r="EAJ1" i="12"/>
  <c r="EAK1" i="12"/>
  <c r="EAL1" i="12"/>
  <c r="EAM1" i="12"/>
  <c r="EAN1" i="12"/>
  <c r="EAO1" i="12"/>
  <c r="EAP1" i="12"/>
  <c r="EAQ1" i="12"/>
  <c r="EAR1" i="12"/>
  <c r="EAS1" i="12"/>
  <c r="EAT1" i="12"/>
  <c r="EAU1" i="12"/>
  <c r="EAV1" i="12"/>
  <c r="EAW1" i="12"/>
  <c r="EAX1" i="12"/>
  <c r="EAY1" i="12"/>
  <c r="EAZ1" i="12"/>
  <c r="EBA1" i="12"/>
  <c r="EBB1" i="12"/>
  <c r="EBC1" i="12"/>
  <c r="EBD1" i="12"/>
  <c r="EBE1" i="12"/>
  <c r="EBF1" i="12"/>
  <c r="EBG1" i="12"/>
  <c r="EBH1" i="12"/>
  <c r="EBI1" i="12"/>
  <c r="EBJ1" i="12"/>
  <c r="EBK1" i="12"/>
  <c r="EBL1" i="12"/>
  <c r="EBM1" i="12"/>
  <c r="EBN1" i="12"/>
  <c r="EBO1" i="12"/>
  <c r="EBP1" i="12"/>
  <c r="EBQ1" i="12"/>
  <c r="EBR1" i="12"/>
  <c r="EBS1" i="12"/>
  <c r="EBT1" i="12"/>
  <c r="EBU1" i="12"/>
  <c r="EBV1" i="12"/>
  <c r="EBW1" i="12"/>
  <c r="EBX1" i="12"/>
  <c r="EBY1" i="12"/>
  <c r="EBZ1" i="12"/>
  <c r="ECA1" i="12"/>
  <c r="ECB1" i="12"/>
  <c r="ECC1" i="12"/>
  <c r="ECD1" i="12"/>
  <c r="ECE1" i="12"/>
  <c r="ECF1" i="12"/>
  <c r="ECG1" i="12"/>
  <c r="ECH1" i="12"/>
  <c r="ECI1" i="12"/>
  <c r="ECJ1" i="12"/>
  <c r="ECK1" i="12"/>
  <c r="ECL1" i="12"/>
  <c r="ECM1" i="12"/>
  <c r="ECN1" i="12"/>
  <c r="ECO1" i="12"/>
  <c r="ECP1" i="12"/>
  <c r="ECQ1" i="12"/>
  <c r="ECR1" i="12"/>
  <c r="ECS1" i="12"/>
  <c r="ECT1" i="12"/>
  <c r="ECU1" i="12"/>
  <c r="ECV1" i="12"/>
  <c r="ECW1" i="12"/>
  <c r="ECX1" i="12"/>
  <c r="ECY1" i="12"/>
  <c r="ECZ1" i="12"/>
  <c r="EDA1" i="12"/>
  <c r="EDB1" i="12"/>
  <c r="EDC1" i="12"/>
  <c r="EDD1" i="12"/>
  <c r="EDE1" i="12"/>
  <c r="EDF1" i="12"/>
  <c r="EDG1" i="12"/>
  <c r="EDH1" i="12"/>
  <c r="EDI1" i="12"/>
  <c r="EDJ1" i="12"/>
  <c r="EDK1" i="12"/>
  <c r="EDL1" i="12"/>
  <c r="EDM1" i="12"/>
  <c r="EDN1" i="12"/>
  <c r="EDO1" i="12"/>
  <c r="EDP1" i="12"/>
  <c r="EDQ1" i="12"/>
  <c r="EDR1" i="12"/>
  <c r="EDS1" i="12"/>
  <c r="EDT1" i="12"/>
  <c r="EDU1" i="12"/>
  <c r="EDV1" i="12"/>
  <c r="EDW1" i="12"/>
  <c r="EDX1" i="12"/>
  <c r="EDY1" i="12"/>
  <c r="EDZ1" i="12"/>
  <c r="EEA1" i="12"/>
  <c r="EEB1" i="12"/>
  <c r="EEC1" i="12"/>
  <c r="EED1" i="12"/>
  <c r="EEE1" i="12"/>
  <c r="EEF1" i="12"/>
  <c r="EEG1" i="12"/>
  <c r="EEH1" i="12"/>
  <c r="EEI1" i="12"/>
  <c r="EEJ1" i="12"/>
  <c r="EEK1" i="12"/>
  <c r="EEL1" i="12"/>
  <c r="EEM1" i="12"/>
  <c r="EEN1" i="12"/>
  <c r="EEO1" i="12"/>
  <c r="EEP1" i="12"/>
  <c r="EEQ1" i="12"/>
  <c r="EER1" i="12"/>
  <c r="EES1" i="12"/>
  <c r="EET1" i="12"/>
  <c r="EEU1" i="12"/>
  <c r="EEV1" i="12"/>
  <c r="EEW1" i="12"/>
  <c r="EEX1" i="12"/>
  <c r="EEY1" i="12"/>
  <c r="EEZ1" i="12"/>
  <c r="EFA1" i="12"/>
  <c r="EFB1" i="12"/>
  <c r="EFC1" i="12"/>
  <c r="EFD1" i="12"/>
  <c r="EFE1" i="12"/>
  <c r="EFF1" i="12"/>
  <c r="EFG1" i="12"/>
  <c r="EFH1" i="12"/>
  <c r="EFI1" i="12"/>
  <c r="EFJ1" i="12"/>
  <c r="EFK1" i="12"/>
  <c r="EFL1" i="12"/>
  <c r="EFM1" i="12"/>
  <c r="EFN1" i="12"/>
  <c r="EFO1" i="12"/>
  <c r="EFP1" i="12"/>
  <c r="EFQ1" i="12"/>
  <c r="EFR1" i="12"/>
  <c r="EFS1" i="12"/>
  <c r="EFT1" i="12"/>
  <c r="EFU1" i="12"/>
  <c r="EFV1" i="12"/>
  <c r="EFW1" i="12"/>
  <c r="EFX1" i="12"/>
  <c r="EFY1" i="12"/>
  <c r="EFZ1" i="12"/>
  <c r="EGA1" i="12"/>
  <c r="EGB1" i="12"/>
  <c r="EGC1" i="12"/>
  <c r="EGD1" i="12"/>
  <c r="EGE1" i="12"/>
  <c r="EGF1" i="12"/>
  <c r="EGG1" i="12"/>
  <c r="EGH1" i="12"/>
  <c r="EGI1" i="12"/>
  <c r="EGJ1" i="12"/>
  <c r="EGK1" i="12"/>
  <c r="EGL1" i="12"/>
  <c r="EGM1" i="12"/>
  <c r="EGN1" i="12"/>
  <c r="EGO1" i="12"/>
  <c r="EGP1" i="12"/>
  <c r="EGQ1" i="12"/>
  <c r="EGR1" i="12"/>
  <c r="EGS1" i="12"/>
  <c r="EGT1" i="12"/>
  <c r="EGU1" i="12"/>
  <c r="EGV1" i="12"/>
  <c r="EGW1" i="12"/>
  <c r="EGX1" i="12"/>
  <c r="EGY1" i="12"/>
  <c r="EGZ1" i="12"/>
  <c r="EHA1" i="12"/>
  <c r="EHB1" i="12"/>
  <c r="EHC1" i="12"/>
  <c r="EHD1" i="12"/>
  <c r="EHE1" i="12"/>
  <c r="EHF1" i="12"/>
  <c r="EHG1" i="12"/>
  <c r="EHH1" i="12"/>
  <c r="EHI1" i="12"/>
  <c r="EHJ1" i="12"/>
  <c r="EHK1" i="12"/>
  <c r="EHL1" i="12"/>
  <c r="EHM1" i="12"/>
  <c r="EHN1" i="12"/>
  <c r="EHO1" i="12"/>
  <c r="EHP1" i="12"/>
  <c r="EHQ1" i="12"/>
  <c r="EHR1" i="12"/>
  <c r="EHS1" i="12"/>
  <c r="EHT1" i="12"/>
  <c r="EHU1" i="12"/>
  <c r="EHV1" i="12"/>
  <c r="EHW1" i="12"/>
  <c r="EHX1" i="12"/>
  <c r="EHY1" i="12"/>
  <c r="EHZ1" i="12"/>
  <c r="EIA1" i="12"/>
  <c r="EIB1" i="12"/>
  <c r="EIC1" i="12"/>
  <c r="EID1" i="12"/>
  <c r="EIE1" i="12"/>
  <c r="EIF1" i="12"/>
  <c r="EIG1" i="12"/>
  <c r="EIH1" i="12"/>
  <c r="EII1" i="12"/>
  <c r="EIJ1" i="12"/>
  <c r="EIK1" i="12"/>
  <c r="EIL1" i="12"/>
  <c r="EIM1" i="12"/>
  <c r="EIN1" i="12"/>
  <c r="EIO1" i="12"/>
  <c r="EIP1" i="12"/>
  <c r="EIQ1" i="12"/>
  <c r="EIR1" i="12"/>
  <c r="EIS1" i="12"/>
  <c r="EIT1" i="12"/>
  <c r="EIU1" i="12"/>
  <c r="EIV1" i="12"/>
  <c r="EIW1" i="12"/>
  <c r="EIX1" i="12"/>
  <c r="EIY1" i="12"/>
  <c r="EIZ1" i="12"/>
  <c r="EJA1" i="12"/>
  <c r="EJB1" i="12"/>
  <c r="EJC1" i="12"/>
  <c r="EJD1" i="12"/>
  <c r="EJE1" i="12"/>
  <c r="EJF1" i="12"/>
  <c r="EJG1" i="12"/>
  <c r="EJH1" i="12"/>
  <c r="EJI1" i="12"/>
  <c r="EJJ1" i="12"/>
  <c r="EJK1" i="12"/>
  <c r="EJL1" i="12"/>
  <c r="EJM1" i="12"/>
  <c r="EJN1" i="12"/>
  <c r="EJO1" i="12"/>
  <c r="EJP1" i="12"/>
  <c r="EJQ1" i="12"/>
  <c r="EJR1" i="12"/>
  <c r="EJS1" i="12"/>
  <c r="EJT1" i="12"/>
  <c r="EJU1" i="12"/>
  <c r="EJV1" i="12"/>
  <c r="EJW1" i="12"/>
  <c r="EJX1" i="12"/>
  <c r="EJY1" i="12"/>
  <c r="EJZ1" i="12"/>
  <c r="EKA1" i="12"/>
  <c r="EKB1" i="12"/>
  <c r="EKC1" i="12"/>
  <c r="EKD1" i="12"/>
  <c r="EKE1" i="12"/>
  <c r="EKF1" i="12"/>
  <c r="EKG1" i="12"/>
  <c r="EKH1" i="12"/>
  <c r="EKI1" i="12"/>
  <c r="EKJ1" i="12"/>
  <c r="EKK1" i="12"/>
  <c r="EKL1" i="12"/>
  <c r="EKM1" i="12"/>
  <c r="EKN1" i="12"/>
  <c r="EKO1" i="12"/>
  <c r="EKP1" i="12"/>
  <c r="EKQ1" i="12"/>
  <c r="EKR1" i="12"/>
  <c r="EKS1" i="12"/>
  <c r="EKT1" i="12"/>
  <c r="EKU1" i="12"/>
  <c r="EKV1" i="12"/>
  <c r="EKW1" i="12"/>
  <c r="EKX1" i="12"/>
  <c r="EKY1" i="12"/>
  <c r="EKZ1" i="12"/>
  <c r="ELA1" i="12"/>
  <c r="ELB1" i="12"/>
  <c r="ELC1" i="12"/>
  <c r="ELD1" i="12"/>
  <c r="ELE1" i="12"/>
  <c r="ELF1" i="12"/>
  <c r="ELG1" i="12"/>
  <c r="ELH1" i="12"/>
  <c r="ELI1" i="12"/>
  <c r="ELJ1" i="12"/>
  <c r="ELK1" i="12"/>
  <c r="ELL1" i="12"/>
  <c r="ELM1" i="12"/>
  <c r="ELN1" i="12"/>
  <c r="ELO1" i="12"/>
  <c r="ELP1" i="12"/>
  <c r="ELQ1" i="12"/>
  <c r="ELR1" i="12"/>
  <c r="ELS1" i="12"/>
  <c r="ELT1" i="12"/>
  <c r="ELU1" i="12"/>
  <c r="ELV1" i="12"/>
  <c r="ELW1" i="12"/>
  <c r="ELX1" i="12"/>
  <c r="ELY1" i="12"/>
  <c r="ELZ1" i="12"/>
  <c r="EMA1" i="12"/>
  <c r="EMB1" i="12"/>
  <c r="EMC1" i="12"/>
  <c r="EMD1" i="12"/>
  <c r="EME1" i="12"/>
  <c r="EMF1" i="12"/>
  <c r="EMG1" i="12"/>
  <c r="EMH1" i="12"/>
  <c r="EMI1" i="12"/>
  <c r="EMJ1" i="12"/>
  <c r="EMK1" i="12"/>
  <c r="EML1" i="12"/>
  <c r="EMM1" i="12"/>
  <c r="EMN1" i="12"/>
  <c r="EMO1" i="12"/>
  <c r="EMP1" i="12"/>
  <c r="EMQ1" i="12"/>
  <c r="EMR1" i="12"/>
  <c r="EMS1" i="12"/>
  <c r="EMT1" i="12"/>
  <c r="EMU1" i="12"/>
  <c r="EMV1" i="12"/>
  <c r="EMW1" i="12"/>
  <c r="EMX1" i="12"/>
  <c r="EMY1" i="12"/>
  <c r="EMZ1" i="12"/>
  <c r="ENA1" i="12"/>
  <c r="ENB1" i="12"/>
  <c r="ENC1" i="12"/>
  <c r="END1" i="12"/>
  <c r="ENE1" i="12"/>
  <c r="ENF1" i="12"/>
  <c r="ENG1" i="12"/>
  <c r="ENH1" i="12"/>
  <c r="ENI1" i="12"/>
  <c r="ENJ1" i="12"/>
  <c r="ENK1" i="12"/>
  <c r="ENL1" i="12"/>
  <c r="ENM1" i="12"/>
  <c r="ENN1" i="12"/>
  <c r="ENO1" i="12"/>
  <c r="ENP1" i="12"/>
  <c r="ENQ1" i="12"/>
  <c r="ENR1" i="12"/>
  <c r="ENS1" i="12"/>
  <c r="ENT1" i="12"/>
  <c r="ENU1" i="12"/>
  <c r="ENV1" i="12"/>
  <c r="ENW1" i="12"/>
  <c r="ENX1" i="12"/>
  <c r="ENY1" i="12"/>
  <c r="ENZ1" i="12"/>
  <c r="EOA1" i="12"/>
  <c r="EOB1" i="12"/>
  <c r="EOC1" i="12"/>
  <c r="EOD1" i="12"/>
  <c r="EOE1" i="12"/>
  <c r="EOF1" i="12"/>
  <c r="EOG1" i="12"/>
  <c r="EOH1" i="12"/>
  <c r="EOI1" i="12"/>
  <c r="EOJ1" i="12"/>
  <c r="EOK1" i="12"/>
  <c r="EOL1" i="12"/>
  <c r="EOM1" i="12"/>
  <c r="EON1" i="12"/>
  <c r="EOO1" i="12"/>
  <c r="EOP1" i="12"/>
  <c r="EOQ1" i="12"/>
  <c r="EOR1" i="12"/>
  <c r="EOS1" i="12"/>
  <c r="EOT1" i="12"/>
  <c r="EOU1" i="12"/>
  <c r="EOV1" i="12"/>
  <c r="EOW1" i="12"/>
  <c r="EOX1" i="12"/>
  <c r="EOY1" i="12"/>
  <c r="EOZ1" i="12"/>
  <c r="EPA1" i="12"/>
  <c r="EPB1" i="12"/>
  <c r="EPC1" i="12"/>
  <c r="EPD1" i="12"/>
  <c r="EPE1" i="12"/>
  <c r="EPF1" i="12"/>
  <c r="EPG1" i="12"/>
  <c r="EPH1" i="12"/>
  <c r="EPI1" i="12"/>
  <c r="EPJ1" i="12"/>
  <c r="EPK1" i="12"/>
  <c r="EPL1" i="12"/>
  <c r="EPM1" i="12"/>
  <c r="EPN1" i="12"/>
  <c r="EPO1" i="12"/>
  <c r="EPP1" i="12"/>
  <c r="EPQ1" i="12"/>
  <c r="EPR1" i="12"/>
  <c r="EPS1" i="12"/>
  <c r="EPT1" i="12"/>
  <c r="EPU1" i="12"/>
  <c r="EPV1" i="12"/>
  <c r="EPW1" i="12"/>
  <c r="EPX1" i="12"/>
  <c r="EPY1" i="12"/>
  <c r="EPZ1" i="12"/>
  <c r="EQA1" i="12"/>
  <c r="EQB1" i="12"/>
  <c r="EQC1" i="12"/>
  <c r="EQD1" i="12"/>
  <c r="EQE1" i="12"/>
  <c r="EQF1" i="12"/>
  <c r="EQG1" i="12"/>
  <c r="EQH1" i="12"/>
  <c r="EQI1" i="12"/>
  <c r="EQJ1" i="12"/>
  <c r="EQK1" i="12"/>
  <c r="EQL1" i="12"/>
  <c r="EQM1" i="12"/>
  <c r="EQN1" i="12"/>
  <c r="EQO1" i="12"/>
  <c r="EQP1" i="12"/>
  <c r="EQQ1" i="12"/>
  <c r="EQR1" i="12"/>
  <c r="EQS1" i="12"/>
  <c r="EQT1" i="12"/>
  <c r="EQU1" i="12"/>
  <c r="EQV1" i="12"/>
  <c r="EQW1" i="12"/>
  <c r="EQX1" i="12"/>
  <c r="EQY1" i="12"/>
  <c r="EQZ1" i="12"/>
  <c r="ERA1" i="12"/>
  <c r="ERB1" i="12"/>
  <c r="ERC1" i="12"/>
  <c r="ERD1" i="12"/>
  <c r="ERE1" i="12"/>
  <c r="ERF1" i="12"/>
  <c r="ERG1" i="12"/>
  <c r="ERH1" i="12"/>
  <c r="ERI1" i="12"/>
  <c r="ERJ1" i="12"/>
  <c r="ERK1" i="12"/>
  <c r="ERL1" i="12"/>
  <c r="ERM1" i="12"/>
  <c r="ERN1" i="12"/>
  <c r="ERO1" i="12"/>
  <c r="ERP1" i="12"/>
  <c r="ERQ1" i="12"/>
  <c r="ERR1" i="12"/>
  <c r="ERS1" i="12"/>
  <c r="ERT1" i="12"/>
  <c r="ERU1" i="12"/>
  <c r="ERV1" i="12"/>
  <c r="ERW1" i="12"/>
  <c r="ERX1" i="12"/>
  <c r="ERY1" i="12"/>
  <c r="C118" i="8"/>
  <c r="D118" i="8" s="1"/>
  <c r="IF48" i="5"/>
  <c r="HV48" i="5"/>
  <c r="HS48" i="5"/>
  <c r="IP48" i="5"/>
  <c r="HL48" i="5"/>
  <c r="HI48" i="5"/>
  <c r="HB48" i="5"/>
  <c r="GY48" i="5"/>
  <c r="GR48" i="5"/>
  <c r="GO48" i="5"/>
  <c r="GH48" i="5"/>
  <c r="GE48" i="5"/>
  <c r="FX48" i="5"/>
  <c r="FU48" i="5"/>
  <c r="FN48" i="5"/>
  <c r="FK48" i="5"/>
  <c r="FD48" i="5"/>
  <c r="FA48" i="5"/>
  <c r="ET48" i="5"/>
  <c r="EQ48" i="5"/>
  <c r="EJ48" i="5"/>
  <c r="EG48" i="5"/>
  <c r="DZ48" i="5"/>
  <c r="DW48" i="5"/>
  <c r="DP48" i="5"/>
  <c r="DM48" i="5"/>
  <c r="DF48" i="5"/>
  <c r="DC48" i="5"/>
  <c r="CV48" i="5"/>
  <c r="CS48" i="5"/>
  <c r="CL48" i="5"/>
  <c r="CI48" i="5"/>
  <c r="CB48" i="5"/>
  <c r="BY48" i="5"/>
  <c r="BR48" i="5"/>
  <c r="BO48" i="5"/>
  <c r="BH48" i="5"/>
  <c r="BE48" i="5"/>
  <c r="AX48" i="5"/>
  <c r="AU48" i="5"/>
  <c r="AN48" i="5"/>
  <c r="AK48" i="5"/>
  <c r="AD48" i="5"/>
  <c r="AA48" i="5"/>
  <c r="T48" i="5"/>
  <c r="Q48" i="5"/>
  <c r="J48" i="5"/>
  <c r="G48" i="5"/>
  <c r="A53" i="12"/>
  <c r="B52" i="12"/>
  <c r="G21" i="5"/>
  <c r="J20" i="4"/>
  <c r="J47" i="5"/>
  <c r="G47" i="5"/>
  <c r="J46" i="5"/>
  <c r="G46" i="5"/>
  <c r="T42" i="5"/>
  <c r="Q42" i="5"/>
  <c r="Q41" i="5"/>
  <c r="J42" i="5"/>
  <c r="G42" i="5"/>
  <c r="J38" i="5"/>
  <c r="G38" i="5"/>
  <c r="AD36" i="5"/>
  <c r="J34" i="5"/>
  <c r="G34" i="5"/>
  <c r="AN32" i="5"/>
  <c r="AK32" i="5"/>
  <c r="AD32" i="5"/>
  <c r="T32" i="5"/>
  <c r="Q32" i="5"/>
  <c r="J32" i="5"/>
  <c r="G32" i="5"/>
  <c r="T30" i="5"/>
  <c r="Q30" i="5"/>
  <c r="J30" i="5"/>
  <c r="G30" i="5"/>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AD24" i="5"/>
  <c r="J24" i="5"/>
  <c r="G24" i="5"/>
  <c r="AX14" i="5"/>
  <c r="AN14" i="5"/>
  <c r="CB8" i="5"/>
  <c r="BO8" i="5"/>
  <c r="AA8" i="5"/>
  <c r="T8" i="5"/>
  <c r="Q8" i="5"/>
  <c r="J8" i="5"/>
  <c r="G8" i="5"/>
  <c r="G7" i="5"/>
  <c r="AK6" i="5"/>
  <c r="Q6" i="5"/>
  <c r="G6" i="5"/>
  <c r="AA33" i="5"/>
  <c r="G33" i="5"/>
  <c r="J33" i="5"/>
  <c r="Q33" i="5"/>
  <c r="T33" i="5"/>
  <c r="AD33" i="5"/>
  <c r="AN33" i="5"/>
  <c r="AX33" i="5"/>
  <c r="BE33" i="5"/>
  <c r="BH33" i="5"/>
  <c r="BO33" i="5"/>
  <c r="BE27" i="5"/>
  <c r="AX27" i="5"/>
  <c r="AU27" i="5"/>
  <c r="AN27" i="5"/>
  <c r="AK27" i="5"/>
  <c r="AD19" i="5"/>
  <c r="AD20" i="5"/>
  <c r="AD21" i="5"/>
  <c r="AD22" i="5"/>
  <c r="AD23" i="5"/>
  <c r="AD25" i="5"/>
  <c r="AD26" i="5"/>
  <c r="AD27" i="5"/>
  <c r="AD28" i="5"/>
  <c r="AD29" i="5"/>
  <c r="AD30" i="5"/>
  <c r="AD31" i="5"/>
  <c r="AD18" i="5"/>
  <c r="AA27" i="5"/>
  <c r="T27" i="5"/>
  <c r="Q27" i="5"/>
  <c r="G27" i="5"/>
  <c r="J27" i="5"/>
  <c r="BH49" i="5"/>
  <c r="BO49" i="5"/>
  <c r="BR49" i="5"/>
  <c r="BY49" i="5"/>
  <c r="CB49" i="5"/>
  <c r="CI49" i="5"/>
  <c r="CL49" i="5"/>
  <c r="CS49" i="5"/>
  <c r="CV49" i="5"/>
  <c r="DC49" i="5"/>
  <c r="DF49" i="5"/>
  <c r="DM49" i="5"/>
  <c r="DP49" i="5"/>
  <c r="DW49" i="5"/>
  <c r="DZ49" i="5"/>
  <c r="EG49" i="5"/>
  <c r="EJ49" i="5"/>
  <c r="EQ49" i="5"/>
  <c r="ET49" i="5"/>
  <c r="FA49" i="5"/>
  <c r="FD49" i="5"/>
  <c r="FK49" i="5"/>
  <c r="FN49" i="5"/>
  <c r="FU49" i="5"/>
  <c r="FX49" i="5"/>
  <c r="GE49" i="5"/>
  <c r="GH49" i="5"/>
  <c r="GO49" i="5"/>
  <c r="GR49" i="5"/>
  <c r="GY49" i="5"/>
  <c r="HB49" i="5"/>
  <c r="HI49" i="5"/>
  <c r="HL49" i="5"/>
  <c r="HS49" i="5"/>
  <c r="HV49" i="5"/>
  <c r="IC49" i="5"/>
  <c r="IF49" i="5"/>
  <c r="IM49" i="5"/>
  <c r="IP49" i="5"/>
  <c r="IW49" i="5"/>
  <c r="IZ49" i="5"/>
  <c r="JG49" i="5"/>
  <c r="JJ49" i="5"/>
  <c r="JQ49" i="5"/>
  <c r="JT49" i="5"/>
  <c r="KA49" i="5"/>
  <c r="KD49" i="5"/>
  <c r="KK49" i="5"/>
  <c r="KN49" i="5"/>
  <c r="KU49" i="5"/>
  <c r="KX49" i="5"/>
  <c r="LE49" i="5"/>
  <c r="LH49" i="5"/>
  <c r="LO49" i="5"/>
  <c r="LR49" i="5"/>
  <c r="LY49" i="5"/>
  <c r="MB49" i="5"/>
  <c r="MI49" i="5"/>
  <c r="ML49" i="5"/>
  <c r="MS49" i="5"/>
  <c r="MV49" i="5"/>
  <c r="NC49" i="5"/>
  <c r="NF49" i="5"/>
  <c r="NM49" i="5"/>
  <c r="NP49" i="5"/>
  <c r="NW49" i="5"/>
  <c r="NZ49" i="5"/>
  <c r="OG49" i="5"/>
  <c r="OJ49" i="5"/>
  <c r="BE49" i="5"/>
  <c r="AX49" i="5"/>
  <c r="AU49" i="5"/>
  <c r="AN49" i="5"/>
  <c r="AK49" i="5"/>
  <c r="AD49" i="5"/>
  <c r="AA49" i="5"/>
  <c r="T49" i="5"/>
  <c r="Q49" i="5"/>
  <c r="J49" i="5"/>
  <c r="G49" i="5"/>
  <c r="YR42" i="9"/>
  <c r="WZ42" i="9"/>
  <c r="VH42" i="9"/>
  <c r="TP42" i="9"/>
  <c r="RX42" i="9"/>
  <c r="QF42" i="9"/>
  <c r="AIV30" i="9"/>
  <c r="AHD30" i="9"/>
  <c r="AFL30" i="9"/>
  <c r="ADT30" i="9"/>
  <c r="ACB30" i="9"/>
  <c r="AAJ30" i="9"/>
  <c r="YR30" i="9"/>
  <c r="AIV35" i="9"/>
  <c r="AHD35" i="9"/>
  <c r="E216" i="8"/>
  <c r="AT238" i="8"/>
  <c r="AS238" i="8"/>
  <c r="AR238" i="8"/>
  <c r="AQ238" i="8"/>
  <c r="AP238" i="8"/>
  <c r="AO238" i="8"/>
  <c r="AN238" i="8"/>
  <c r="AM238" i="8"/>
  <c r="AL238"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AT237" i="8"/>
  <c r="AS237" i="8"/>
  <c r="AR237" i="8"/>
  <c r="AQ237" i="8"/>
  <c r="AP237" i="8"/>
  <c r="AO237" i="8"/>
  <c r="AN237" i="8"/>
  <c r="AM237" i="8"/>
  <c r="AL237"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AT236" i="8"/>
  <c r="AS236" i="8"/>
  <c r="AR236" i="8"/>
  <c r="AQ236" i="8"/>
  <c r="AP236" i="8"/>
  <c r="AO236" i="8"/>
  <c r="AN236" i="8"/>
  <c r="AM236" i="8"/>
  <c r="AL236"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AT235" i="8"/>
  <c r="AS235" i="8"/>
  <c r="AR235" i="8"/>
  <c r="AQ235" i="8"/>
  <c r="AP235" i="8"/>
  <c r="AO235" i="8"/>
  <c r="AN235" i="8"/>
  <c r="AM235" i="8"/>
  <c r="AL235"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AT234" i="8"/>
  <c r="AS234" i="8"/>
  <c r="AR234" i="8"/>
  <c r="AQ234" i="8"/>
  <c r="AP234" i="8"/>
  <c r="AO234" i="8"/>
  <c r="AN234" i="8"/>
  <c r="AM234" i="8"/>
  <c r="AL234"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AT232" i="8"/>
  <c r="AS232" i="8"/>
  <c r="AR232" i="8"/>
  <c r="AQ232" i="8"/>
  <c r="AP232" i="8"/>
  <c r="AO232" i="8"/>
  <c r="AN232" i="8"/>
  <c r="AM232" i="8"/>
  <c r="AL232" i="8"/>
  <c r="AK232" i="8"/>
  <c r="AJ232" i="8"/>
  <c r="AI232" i="8"/>
  <c r="AH232" i="8"/>
  <c r="AG232" i="8"/>
  <c r="AF232" i="8"/>
  <c r="AD232" i="8"/>
  <c r="AE232" i="8"/>
  <c r="AC232" i="8"/>
  <c r="AB232" i="8"/>
  <c r="AA232" i="8"/>
  <c r="Z232" i="8"/>
  <c r="Y232" i="8"/>
  <c r="X232" i="8"/>
  <c r="W232" i="8"/>
  <c r="V232" i="8"/>
  <c r="U232" i="8"/>
  <c r="T232" i="8"/>
  <c r="S232" i="8"/>
  <c r="R232" i="8"/>
  <c r="Q232" i="8"/>
  <c r="P232" i="8"/>
  <c r="O232" i="8"/>
  <c r="N232" i="8"/>
  <c r="M232" i="8"/>
  <c r="L232" i="8"/>
  <c r="K232" i="8"/>
  <c r="J232" i="8"/>
  <c r="I232" i="8"/>
  <c r="H232" i="8"/>
  <c r="G232" i="8"/>
  <c r="F232" i="8"/>
  <c r="AT231" i="8"/>
  <c r="AS231" i="8"/>
  <c r="AR231" i="8"/>
  <c r="AQ231" i="8"/>
  <c r="AP231" i="8"/>
  <c r="AO231" i="8"/>
  <c r="AN231"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AT230" i="8"/>
  <c r="AS230" i="8"/>
  <c r="AR230" i="8"/>
  <c r="AQ230" i="8"/>
  <c r="AP230" i="8"/>
  <c r="AO230" i="8"/>
  <c r="AN230" i="8"/>
  <c r="AM230" i="8"/>
  <c r="AL230"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AT229" i="8"/>
  <c r="AS229" i="8"/>
  <c r="AR229" i="8"/>
  <c r="AQ229" i="8"/>
  <c r="AP229" i="8"/>
  <c r="AO229" i="8"/>
  <c r="AN229" i="8"/>
  <c r="AM229" i="8"/>
  <c r="AL229"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AT228" i="8"/>
  <c r="AS228" i="8"/>
  <c r="AR228" i="8"/>
  <c r="AQ228" i="8"/>
  <c r="AP228" i="8"/>
  <c r="AO228" i="8"/>
  <c r="AN228" i="8"/>
  <c r="AM228" i="8"/>
  <c r="AL228"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AT227" i="8"/>
  <c r="AS227" i="8"/>
  <c r="AR227" i="8"/>
  <c r="AQ227" i="8"/>
  <c r="AP227" i="8"/>
  <c r="AO227" i="8"/>
  <c r="AN227"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AT226" i="8"/>
  <c r="AS226" i="8"/>
  <c r="AR226" i="8"/>
  <c r="AQ226" i="8"/>
  <c r="AP226" i="8"/>
  <c r="AO226" i="8"/>
  <c r="AN226" i="8"/>
  <c r="AM226" i="8"/>
  <c r="AL226"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AT225" i="8"/>
  <c r="AS225" i="8"/>
  <c r="AR225" i="8"/>
  <c r="AQ225" i="8"/>
  <c r="AP225" i="8"/>
  <c r="AO225" i="8"/>
  <c r="AN225"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AT224" i="8"/>
  <c r="AS224" i="8"/>
  <c r="AR224" i="8"/>
  <c r="AQ224" i="8"/>
  <c r="AP224" i="8"/>
  <c r="AO224" i="8"/>
  <c r="AN224" i="8"/>
  <c r="AM224" i="8"/>
  <c r="AL224"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AT223" i="8"/>
  <c r="AS223" i="8"/>
  <c r="AR223" i="8"/>
  <c r="AQ223" i="8"/>
  <c r="AP223" i="8"/>
  <c r="AO223" i="8"/>
  <c r="AN223" i="8"/>
  <c r="AM223" i="8"/>
  <c r="AL223"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AT222" i="8"/>
  <c r="AS222" i="8"/>
  <c r="AR222" i="8"/>
  <c r="AQ222" i="8"/>
  <c r="AP222" i="8"/>
  <c r="AO222" i="8"/>
  <c r="AN222" i="8"/>
  <c r="AM222" i="8"/>
  <c r="AL222"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AT221" i="8"/>
  <c r="AS221" i="8"/>
  <c r="AR221" i="8"/>
  <c r="AQ221" i="8"/>
  <c r="AP221" i="8"/>
  <c r="AO221" i="8"/>
  <c r="AN221" i="8"/>
  <c r="AM221" i="8"/>
  <c r="AL221"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AT220" i="8"/>
  <c r="AS220"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AT219" i="8"/>
  <c r="AS219" i="8"/>
  <c r="AR219" i="8"/>
  <c r="AQ219" i="8"/>
  <c r="AP219" i="8"/>
  <c r="AO219" i="8"/>
  <c r="AN219" i="8"/>
  <c r="AM219" i="8"/>
  <c r="AL219"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AT214" i="8"/>
  <c r="T18" i="5"/>
  <c r="AA23" i="5"/>
  <c r="E238" i="8"/>
  <c r="E237" i="8"/>
  <c r="E236" i="8"/>
  <c r="E235" i="8"/>
  <c r="E234" i="8"/>
  <c r="E233" i="8"/>
  <c r="E232" i="8"/>
  <c r="E231" i="8"/>
  <c r="E230" i="8"/>
  <c r="E229" i="8"/>
  <c r="E228" i="8"/>
  <c r="E227" i="8"/>
  <c r="E226" i="8"/>
  <c r="E225" i="8"/>
  <c r="E224" i="8"/>
  <c r="E223" i="8"/>
  <c r="E222" i="8"/>
  <c r="E221" i="8"/>
  <c r="E220" i="8"/>
  <c r="E219" i="8"/>
  <c r="D238" i="8"/>
  <c r="D237" i="8"/>
  <c r="D236" i="8"/>
  <c r="D235" i="8"/>
  <c r="D234" i="8"/>
  <c r="D233" i="8"/>
  <c r="D232" i="8"/>
  <c r="D231" i="8"/>
  <c r="D230" i="8"/>
  <c r="D229" i="8"/>
  <c r="D228" i="8"/>
  <c r="D227" i="8"/>
  <c r="D226" i="8"/>
  <c r="D225" i="8"/>
  <c r="D224" i="8"/>
  <c r="D223" i="8"/>
  <c r="D222" i="8"/>
  <c r="D221" i="8"/>
  <c r="D220" i="8"/>
  <c r="D219" i="8"/>
  <c r="C238" i="8"/>
  <c r="C237" i="8"/>
  <c r="C236" i="8"/>
  <c r="C235" i="8"/>
  <c r="C234" i="8"/>
  <c r="C233" i="8"/>
  <c r="C232" i="8"/>
  <c r="C231" i="8"/>
  <c r="C230" i="8"/>
  <c r="C229" i="8"/>
  <c r="C228" i="8"/>
  <c r="C227" i="8"/>
  <c r="C226" i="8"/>
  <c r="C225" i="8"/>
  <c r="C224" i="8"/>
  <c r="C223" i="8"/>
  <c r="C222" i="8"/>
  <c r="C221" i="8"/>
  <c r="C220" i="8"/>
  <c r="C219" i="8"/>
  <c r="EOO36" i="9"/>
  <c r="EOO5" i="9"/>
  <c r="B1" i="9"/>
  <c r="C1" i="9"/>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P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FO1" i="9"/>
  <c r="FP1" i="9"/>
  <c r="FQ1" i="9"/>
  <c r="FR1" i="9"/>
  <c r="FS1" i="9"/>
  <c r="FT1" i="9"/>
  <c r="FU1" i="9"/>
  <c r="FV1" i="9"/>
  <c r="FW1" i="9"/>
  <c r="FX1" i="9"/>
  <c r="FY1" i="9"/>
  <c r="FZ1" i="9"/>
  <c r="GA1" i="9"/>
  <c r="GB1" i="9"/>
  <c r="GC1" i="9"/>
  <c r="GD1" i="9"/>
  <c r="GE1" i="9"/>
  <c r="GF1" i="9"/>
  <c r="GG1" i="9"/>
  <c r="GH1" i="9"/>
  <c r="GI1" i="9"/>
  <c r="GJ1" i="9"/>
  <c r="GK1" i="9"/>
  <c r="GL1" i="9"/>
  <c r="GM1" i="9"/>
  <c r="GN1" i="9"/>
  <c r="GO1" i="9"/>
  <c r="GP1" i="9"/>
  <c r="GQ1" i="9"/>
  <c r="GR1" i="9"/>
  <c r="GS1" i="9"/>
  <c r="GT1" i="9"/>
  <c r="GU1" i="9"/>
  <c r="GV1" i="9"/>
  <c r="GW1" i="9"/>
  <c r="GX1" i="9"/>
  <c r="GY1" i="9"/>
  <c r="GZ1" i="9"/>
  <c r="HA1" i="9"/>
  <c r="HB1" i="9"/>
  <c r="HC1" i="9"/>
  <c r="HD1" i="9"/>
  <c r="HE1" i="9"/>
  <c r="HF1" i="9"/>
  <c r="HG1" i="9"/>
  <c r="HH1" i="9"/>
  <c r="HI1" i="9"/>
  <c r="HJ1" i="9"/>
  <c r="HK1" i="9"/>
  <c r="HL1" i="9"/>
  <c r="HM1" i="9"/>
  <c r="HN1" i="9"/>
  <c r="HO1" i="9"/>
  <c r="HP1" i="9"/>
  <c r="HQ1" i="9"/>
  <c r="HR1" i="9"/>
  <c r="HS1" i="9"/>
  <c r="HT1" i="9"/>
  <c r="HU1" i="9"/>
  <c r="HV1" i="9"/>
  <c r="HW1" i="9"/>
  <c r="HX1" i="9"/>
  <c r="HY1" i="9"/>
  <c r="HZ1" i="9"/>
  <c r="IA1" i="9"/>
  <c r="IB1" i="9"/>
  <c r="IC1" i="9"/>
  <c r="ID1" i="9"/>
  <c r="IE1" i="9"/>
  <c r="IF1" i="9"/>
  <c r="IG1" i="9"/>
  <c r="IH1" i="9"/>
  <c r="II1" i="9"/>
  <c r="IJ1" i="9"/>
  <c r="IK1" i="9"/>
  <c r="IL1" i="9"/>
  <c r="IM1" i="9"/>
  <c r="IN1" i="9"/>
  <c r="IO1" i="9"/>
  <c r="IP1" i="9"/>
  <c r="IQ1" i="9"/>
  <c r="IR1" i="9"/>
  <c r="IS1" i="9"/>
  <c r="IT1" i="9"/>
  <c r="IU1" i="9"/>
  <c r="IV1" i="9"/>
  <c r="IW1" i="9"/>
  <c r="IX1" i="9"/>
  <c r="IY1" i="9"/>
  <c r="IZ1" i="9"/>
  <c r="JA1" i="9"/>
  <c r="JB1" i="9"/>
  <c r="JC1" i="9"/>
  <c r="JD1" i="9"/>
  <c r="JE1" i="9"/>
  <c r="JF1" i="9"/>
  <c r="JG1" i="9"/>
  <c r="JH1" i="9"/>
  <c r="JI1" i="9"/>
  <c r="JJ1" i="9"/>
  <c r="JK1" i="9"/>
  <c r="JL1" i="9"/>
  <c r="JM1" i="9"/>
  <c r="JN1" i="9"/>
  <c r="JO1" i="9"/>
  <c r="JP1" i="9"/>
  <c r="JQ1" i="9"/>
  <c r="JR1" i="9"/>
  <c r="JS1" i="9"/>
  <c r="JT1" i="9"/>
  <c r="JU1" i="9"/>
  <c r="JV1" i="9"/>
  <c r="JW1" i="9"/>
  <c r="JX1" i="9"/>
  <c r="JY1" i="9"/>
  <c r="JZ1" i="9"/>
  <c r="KA1" i="9"/>
  <c r="KB1" i="9"/>
  <c r="KC1" i="9"/>
  <c r="KD1" i="9"/>
  <c r="KE1" i="9"/>
  <c r="KF1" i="9"/>
  <c r="KG1" i="9"/>
  <c r="KH1" i="9"/>
  <c r="KI1" i="9"/>
  <c r="KJ1" i="9"/>
  <c r="KK1" i="9"/>
  <c r="KL1" i="9"/>
  <c r="KM1" i="9"/>
  <c r="KN1" i="9"/>
  <c r="KO1" i="9"/>
  <c r="KP1" i="9"/>
  <c r="KQ1" i="9"/>
  <c r="KR1" i="9"/>
  <c r="KS1" i="9"/>
  <c r="KT1" i="9"/>
  <c r="KU1" i="9"/>
  <c r="KV1" i="9"/>
  <c r="KW1" i="9"/>
  <c r="KX1" i="9"/>
  <c r="KY1" i="9"/>
  <c r="KZ1" i="9"/>
  <c r="LA1" i="9"/>
  <c r="LB1" i="9"/>
  <c r="LC1" i="9"/>
  <c r="LD1" i="9"/>
  <c r="LE1" i="9"/>
  <c r="LF1" i="9"/>
  <c r="LG1" i="9"/>
  <c r="LH1" i="9"/>
  <c r="LI1" i="9"/>
  <c r="LJ1" i="9"/>
  <c r="LK1" i="9"/>
  <c r="LL1" i="9"/>
  <c r="LM1" i="9"/>
  <c r="LN1" i="9"/>
  <c r="LO1" i="9"/>
  <c r="LP1" i="9"/>
  <c r="LQ1" i="9"/>
  <c r="LR1" i="9"/>
  <c r="LS1" i="9"/>
  <c r="LT1" i="9"/>
  <c r="LU1" i="9"/>
  <c r="LV1" i="9"/>
  <c r="LW1" i="9"/>
  <c r="LX1" i="9"/>
  <c r="LY1" i="9"/>
  <c r="LZ1" i="9"/>
  <c r="MA1" i="9"/>
  <c r="MB1" i="9"/>
  <c r="MC1" i="9"/>
  <c r="MD1" i="9"/>
  <c r="ME1" i="9"/>
  <c r="MF1" i="9"/>
  <c r="MG1" i="9"/>
  <c r="MH1" i="9"/>
  <c r="MI1" i="9"/>
  <c r="MJ1" i="9"/>
  <c r="MK1" i="9"/>
  <c r="ML1" i="9"/>
  <c r="MM1" i="9"/>
  <c r="MN1" i="9"/>
  <c r="MO1" i="9"/>
  <c r="MP1" i="9"/>
  <c r="MQ1" i="9"/>
  <c r="MR1" i="9"/>
  <c r="MS1" i="9"/>
  <c r="MT1" i="9"/>
  <c r="MU1" i="9"/>
  <c r="MV1" i="9"/>
  <c r="MW1" i="9"/>
  <c r="MX1" i="9"/>
  <c r="MY1" i="9"/>
  <c r="MZ1" i="9"/>
  <c r="NA1" i="9"/>
  <c r="NB1" i="9"/>
  <c r="NC1" i="9"/>
  <c r="ND1" i="9"/>
  <c r="NE1" i="9"/>
  <c r="NF1" i="9"/>
  <c r="NG1" i="9"/>
  <c r="NH1" i="9"/>
  <c r="NI1" i="9"/>
  <c r="NJ1" i="9"/>
  <c r="NK1" i="9"/>
  <c r="NL1" i="9"/>
  <c r="NM1" i="9"/>
  <c r="NN1" i="9"/>
  <c r="NO1" i="9"/>
  <c r="NP1" i="9"/>
  <c r="NQ1" i="9"/>
  <c r="NR1" i="9"/>
  <c r="NS1" i="9"/>
  <c r="NT1" i="9"/>
  <c r="NU1" i="9"/>
  <c r="NV1" i="9"/>
  <c r="NW1" i="9"/>
  <c r="NX1" i="9"/>
  <c r="NY1" i="9"/>
  <c r="NZ1" i="9"/>
  <c r="OA1" i="9"/>
  <c r="OB1" i="9"/>
  <c r="OC1" i="9"/>
  <c r="OD1" i="9"/>
  <c r="OE1" i="9"/>
  <c r="OF1" i="9"/>
  <c r="OG1" i="9"/>
  <c r="OH1" i="9"/>
  <c r="OI1" i="9"/>
  <c r="OJ1" i="9"/>
  <c r="OK1" i="9"/>
  <c r="OL1" i="9"/>
  <c r="OM1" i="9"/>
  <c r="ON1" i="9"/>
  <c r="OO1" i="9"/>
  <c r="OP1" i="9"/>
  <c r="OQ1" i="9"/>
  <c r="OR1" i="9"/>
  <c r="OS1" i="9"/>
  <c r="OT1" i="9"/>
  <c r="OU1" i="9"/>
  <c r="OV1" i="9"/>
  <c r="OW1" i="9"/>
  <c r="OX1" i="9"/>
  <c r="OY1" i="9"/>
  <c r="OZ1" i="9"/>
  <c r="PA1" i="9"/>
  <c r="PB1" i="9"/>
  <c r="PC1" i="9"/>
  <c r="PD1" i="9"/>
  <c r="PE1" i="9"/>
  <c r="PF1" i="9"/>
  <c r="PG1" i="9"/>
  <c r="PH1" i="9"/>
  <c r="PI1" i="9"/>
  <c r="PJ1" i="9"/>
  <c r="PK1" i="9"/>
  <c r="PL1" i="9"/>
  <c r="PM1" i="9"/>
  <c r="PN1" i="9"/>
  <c r="PO1" i="9"/>
  <c r="PP1" i="9"/>
  <c r="PQ1" i="9"/>
  <c r="PR1" i="9"/>
  <c r="PS1" i="9"/>
  <c r="PT1" i="9"/>
  <c r="PU1" i="9"/>
  <c r="PV1" i="9"/>
  <c r="PW1" i="9"/>
  <c r="PX1" i="9"/>
  <c r="PY1" i="9"/>
  <c r="PZ1" i="9"/>
  <c r="QA1" i="9"/>
  <c r="QB1" i="9"/>
  <c r="QC1" i="9"/>
  <c r="QD1" i="9"/>
  <c r="QE1" i="9"/>
  <c r="QF1" i="9"/>
  <c r="QG1" i="9"/>
  <c r="QH1" i="9"/>
  <c r="QI1" i="9"/>
  <c r="QJ1" i="9"/>
  <c r="QK1" i="9"/>
  <c r="QL1" i="9"/>
  <c r="QM1" i="9"/>
  <c r="QN1" i="9"/>
  <c r="QO1" i="9"/>
  <c r="QP1" i="9"/>
  <c r="QQ1" i="9"/>
  <c r="QR1" i="9"/>
  <c r="QS1" i="9"/>
  <c r="QT1" i="9"/>
  <c r="QU1" i="9"/>
  <c r="QV1" i="9"/>
  <c r="QW1" i="9"/>
  <c r="QX1" i="9"/>
  <c r="QY1" i="9"/>
  <c r="QZ1" i="9"/>
  <c r="RA1" i="9"/>
  <c r="RB1" i="9"/>
  <c r="RC1" i="9"/>
  <c r="RD1" i="9"/>
  <c r="RE1" i="9"/>
  <c r="RF1" i="9"/>
  <c r="RG1" i="9"/>
  <c r="RH1" i="9"/>
  <c r="RI1" i="9"/>
  <c r="RJ1" i="9"/>
  <c r="RK1" i="9"/>
  <c r="RL1" i="9"/>
  <c r="RM1" i="9"/>
  <c r="RN1" i="9"/>
  <c r="RO1" i="9"/>
  <c r="RP1" i="9"/>
  <c r="RQ1" i="9"/>
  <c r="RR1" i="9"/>
  <c r="RS1" i="9"/>
  <c r="RT1" i="9"/>
  <c r="RU1" i="9"/>
  <c r="RV1" i="9"/>
  <c r="RW1" i="9"/>
  <c r="RX1" i="9"/>
  <c r="RY1" i="9"/>
  <c r="RZ1" i="9"/>
  <c r="SA1" i="9"/>
  <c r="SB1" i="9"/>
  <c r="SC1" i="9"/>
  <c r="SD1" i="9"/>
  <c r="SE1" i="9"/>
  <c r="SF1" i="9"/>
  <c r="SG1" i="9"/>
  <c r="SH1" i="9"/>
  <c r="SI1" i="9"/>
  <c r="SJ1" i="9"/>
  <c r="SK1" i="9"/>
  <c r="SL1" i="9"/>
  <c r="SM1" i="9"/>
  <c r="SN1" i="9"/>
  <c r="SO1" i="9"/>
  <c r="SP1" i="9"/>
  <c r="SQ1" i="9"/>
  <c r="SR1" i="9"/>
  <c r="SS1" i="9"/>
  <c r="ST1" i="9"/>
  <c r="SU1" i="9"/>
  <c r="SV1" i="9"/>
  <c r="SW1" i="9"/>
  <c r="SX1" i="9"/>
  <c r="SY1" i="9"/>
  <c r="SZ1" i="9"/>
  <c r="TA1" i="9"/>
  <c r="TB1" i="9"/>
  <c r="TC1" i="9"/>
  <c r="TD1" i="9"/>
  <c r="TE1" i="9"/>
  <c r="TF1" i="9"/>
  <c r="TG1" i="9"/>
  <c r="TH1" i="9"/>
  <c r="TI1" i="9"/>
  <c r="TJ1" i="9"/>
  <c r="TK1" i="9"/>
  <c r="TL1" i="9"/>
  <c r="TM1" i="9"/>
  <c r="TN1" i="9"/>
  <c r="TO1" i="9"/>
  <c r="TP1" i="9"/>
  <c r="TQ1" i="9"/>
  <c r="TR1" i="9"/>
  <c r="TS1" i="9"/>
  <c r="TT1" i="9"/>
  <c r="TU1" i="9"/>
  <c r="TV1" i="9"/>
  <c r="TW1" i="9"/>
  <c r="TX1" i="9"/>
  <c r="TY1" i="9"/>
  <c r="TZ1" i="9"/>
  <c r="UA1" i="9"/>
  <c r="UB1" i="9"/>
  <c r="UC1" i="9"/>
  <c r="UD1" i="9"/>
  <c r="UE1" i="9"/>
  <c r="UF1" i="9"/>
  <c r="UG1" i="9"/>
  <c r="UH1" i="9"/>
  <c r="UI1" i="9"/>
  <c r="UJ1" i="9"/>
  <c r="UK1" i="9"/>
  <c r="UL1" i="9"/>
  <c r="UM1" i="9"/>
  <c r="UN1" i="9"/>
  <c r="UO1" i="9"/>
  <c r="UP1" i="9"/>
  <c r="UQ1" i="9"/>
  <c r="UR1" i="9"/>
  <c r="US1" i="9"/>
  <c r="UT1" i="9"/>
  <c r="UU1" i="9"/>
  <c r="UV1" i="9"/>
  <c r="UW1" i="9"/>
  <c r="UX1" i="9"/>
  <c r="UY1" i="9"/>
  <c r="UZ1" i="9"/>
  <c r="VA1" i="9"/>
  <c r="VB1" i="9"/>
  <c r="VC1" i="9"/>
  <c r="VD1" i="9"/>
  <c r="VE1" i="9"/>
  <c r="VF1" i="9"/>
  <c r="VG1" i="9"/>
  <c r="VH1" i="9"/>
  <c r="VI1" i="9"/>
  <c r="VJ1" i="9"/>
  <c r="VK1" i="9"/>
  <c r="VL1" i="9"/>
  <c r="VM1" i="9"/>
  <c r="VN1" i="9"/>
  <c r="VO1" i="9"/>
  <c r="VP1" i="9"/>
  <c r="VQ1" i="9"/>
  <c r="VR1" i="9"/>
  <c r="VS1" i="9"/>
  <c r="VT1" i="9"/>
  <c r="VU1" i="9"/>
  <c r="VV1" i="9"/>
  <c r="VW1" i="9"/>
  <c r="VX1" i="9"/>
  <c r="VY1" i="9"/>
  <c r="VZ1" i="9"/>
  <c r="WA1" i="9"/>
  <c r="WB1" i="9"/>
  <c r="WC1" i="9"/>
  <c r="WD1" i="9"/>
  <c r="WE1" i="9"/>
  <c r="WF1" i="9"/>
  <c r="WG1" i="9"/>
  <c r="WH1" i="9"/>
  <c r="WI1" i="9"/>
  <c r="WJ1" i="9"/>
  <c r="WK1" i="9"/>
  <c r="WL1" i="9"/>
  <c r="WM1" i="9"/>
  <c r="WN1" i="9"/>
  <c r="WO1" i="9"/>
  <c r="WP1" i="9"/>
  <c r="WQ1" i="9"/>
  <c r="WR1" i="9"/>
  <c r="WS1" i="9"/>
  <c r="WT1" i="9"/>
  <c r="WU1" i="9"/>
  <c r="WV1" i="9"/>
  <c r="WW1" i="9"/>
  <c r="WX1" i="9"/>
  <c r="WY1" i="9"/>
  <c r="WZ1" i="9"/>
  <c r="XA1" i="9"/>
  <c r="XB1" i="9"/>
  <c r="XC1" i="9"/>
  <c r="XD1" i="9"/>
  <c r="XE1" i="9"/>
  <c r="XF1" i="9"/>
  <c r="XG1" i="9"/>
  <c r="XH1" i="9"/>
  <c r="XI1" i="9"/>
  <c r="XJ1" i="9"/>
  <c r="XK1" i="9"/>
  <c r="XL1" i="9"/>
  <c r="XM1" i="9"/>
  <c r="XN1" i="9"/>
  <c r="XO1" i="9"/>
  <c r="XP1" i="9"/>
  <c r="XQ1" i="9"/>
  <c r="XR1" i="9"/>
  <c r="XS1" i="9"/>
  <c r="XT1" i="9"/>
  <c r="XU1" i="9"/>
  <c r="XV1" i="9"/>
  <c r="XW1" i="9"/>
  <c r="XX1" i="9"/>
  <c r="XY1" i="9"/>
  <c r="XZ1" i="9"/>
  <c r="YA1" i="9"/>
  <c r="YB1" i="9"/>
  <c r="YC1" i="9"/>
  <c r="YD1" i="9"/>
  <c r="YE1" i="9"/>
  <c r="YF1" i="9"/>
  <c r="YG1" i="9"/>
  <c r="YH1" i="9"/>
  <c r="YI1" i="9"/>
  <c r="YJ1" i="9"/>
  <c r="YK1" i="9"/>
  <c r="YL1" i="9"/>
  <c r="YM1" i="9"/>
  <c r="YN1" i="9"/>
  <c r="YO1" i="9"/>
  <c r="YP1" i="9"/>
  <c r="YQ1" i="9"/>
  <c r="YR1" i="9"/>
  <c r="YS1" i="9"/>
  <c r="YT1" i="9"/>
  <c r="YU1" i="9"/>
  <c r="YV1" i="9"/>
  <c r="YW1" i="9"/>
  <c r="YX1" i="9"/>
  <c r="YY1" i="9"/>
  <c r="YZ1" i="9"/>
  <c r="ZA1" i="9"/>
  <c r="ZB1" i="9"/>
  <c r="ZC1" i="9"/>
  <c r="ZD1" i="9"/>
  <c r="ZE1" i="9"/>
  <c r="ZF1" i="9"/>
  <c r="ZG1" i="9"/>
  <c r="ZH1" i="9"/>
  <c r="ZI1" i="9"/>
  <c r="ZJ1" i="9"/>
  <c r="ZK1" i="9"/>
  <c r="ZL1" i="9"/>
  <c r="ZM1" i="9"/>
  <c r="ZN1" i="9"/>
  <c r="ZO1" i="9"/>
  <c r="ZP1" i="9"/>
  <c r="ZQ1" i="9"/>
  <c r="ZR1" i="9"/>
  <c r="ZS1" i="9"/>
  <c r="ZT1" i="9"/>
  <c r="ZU1" i="9"/>
  <c r="ZV1" i="9"/>
  <c r="ZW1" i="9"/>
  <c r="ZX1" i="9"/>
  <c r="ZY1" i="9"/>
  <c r="ZZ1" i="9"/>
  <c r="AAA1" i="9"/>
  <c r="AAB1" i="9"/>
  <c r="AAC1" i="9"/>
  <c r="AAD1" i="9"/>
  <c r="AAE1" i="9"/>
  <c r="AAF1" i="9"/>
  <c r="AAG1" i="9"/>
  <c r="AAH1" i="9"/>
  <c r="AAI1" i="9"/>
  <c r="AAJ1" i="9"/>
  <c r="AAK1" i="9"/>
  <c r="AAL1" i="9"/>
  <c r="AAM1" i="9"/>
  <c r="AAN1" i="9"/>
  <c r="AAO1" i="9"/>
  <c r="AAP1" i="9"/>
  <c r="AAQ1" i="9"/>
  <c r="AAR1" i="9"/>
  <c r="AAS1" i="9"/>
  <c r="AAT1" i="9"/>
  <c r="AAU1" i="9"/>
  <c r="AAV1" i="9"/>
  <c r="AAW1" i="9"/>
  <c r="AAX1" i="9"/>
  <c r="AAY1" i="9"/>
  <c r="AAZ1" i="9"/>
  <c r="ABA1" i="9"/>
  <c r="ABB1" i="9"/>
  <c r="ABC1" i="9"/>
  <c r="ABD1" i="9"/>
  <c r="ABE1" i="9"/>
  <c r="ABF1" i="9"/>
  <c r="ABG1" i="9"/>
  <c r="ABH1" i="9"/>
  <c r="ABI1" i="9"/>
  <c r="ABJ1" i="9"/>
  <c r="ABK1" i="9"/>
  <c r="ABL1" i="9"/>
  <c r="ABM1" i="9"/>
  <c r="ABN1" i="9"/>
  <c r="ABO1" i="9"/>
  <c r="ABP1" i="9"/>
  <c r="ABQ1" i="9"/>
  <c r="ABR1" i="9"/>
  <c r="ABS1" i="9"/>
  <c r="ABT1" i="9"/>
  <c r="ABU1" i="9"/>
  <c r="ABV1" i="9"/>
  <c r="ABW1" i="9"/>
  <c r="ABX1" i="9"/>
  <c r="ABY1" i="9"/>
  <c r="ABZ1" i="9"/>
  <c r="ACA1" i="9"/>
  <c r="ACB1" i="9"/>
  <c r="ACC1" i="9"/>
  <c r="ACD1" i="9"/>
  <c r="ACE1" i="9"/>
  <c r="ACF1" i="9"/>
  <c r="ACG1" i="9"/>
  <c r="ACH1" i="9"/>
  <c r="ACI1" i="9"/>
  <c r="ACJ1" i="9"/>
  <c r="ACK1" i="9"/>
  <c r="ACL1" i="9"/>
  <c r="ACM1" i="9"/>
  <c r="ACN1" i="9"/>
  <c r="ACO1" i="9"/>
  <c r="ACP1" i="9"/>
  <c r="ACQ1" i="9"/>
  <c r="ACR1" i="9"/>
  <c r="ACS1" i="9"/>
  <c r="ACT1" i="9"/>
  <c r="ACU1" i="9"/>
  <c r="ACV1" i="9"/>
  <c r="ACW1" i="9"/>
  <c r="ACX1" i="9"/>
  <c r="ACY1" i="9"/>
  <c r="ACZ1" i="9"/>
  <c r="ADA1" i="9"/>
  <c r="ADB1" i="9"/>
  <c r="ADC1" i="9"/>
  <c r="ADD1" i="9"/>
  <c r="ADE1" i="9"/>
  <c r="ADF1" i="9"/>
  <c r="ADG1" i="9"/>
  <c r="ADH1" i="9"/>
  <c r="ADI1" i="9"/>
  <c r="ADJ1" i="9"/>
  <c r="ADK1" i="9"/>
  <c r="ADL1" i="9"/>
  <c r="ADM1" i="9"/>
  <c r="ADN1" i="9"/>
  <c r="ADO1" i="9"/>
  <c r="ADP1" i="9"/>
  <c r="ADQ1" i="9"/>
  <c r="ADR1" i="9"/>
  <c r="ADS1" i="9"/>
  <c r="ADT1" i="9"/>
  <c r="ADU1" i="9"/>
  <c r="ADV1" i="9"/>
  <c r="ADW1" i="9"/>
  <c r="ADX1" i="9"/>
  <c r="ADY1" i="9"/>
  <c r="ADZ1" i="9"/>
  <c r="AEA1" i="9"/>
  <c r="AEB1" i="9"/>
  <c r="AEC1" i="9"/>
  <c r="AED1" i="9"/>
  <c r="AEE1" i="9"/>
  <c r="AEF1" i="9"/>
  <c r="AEG1" i="9"/>
  <c r="AEH1" i="9"/>
  <c r="AEI1" i="9"/>
  <c r="AEJ1" i="9"/>
  <c r="AEK1" i="9"/>
  <c r="AEL1" i="9"/>
  <c r="AEM1" i="9"/>
  <c r="AEN1" i="9"/>
  <c r="AEO1" i="9"/>
  <c r="AEP1" i="9"/>
  <c r="AEQ1" i="9"/>
  <c r="AER1" i="9"/>
  <c r="AES1" i="9"/>
  <c r="AET1" i="9"/>
  <c r="AEU1" i="9"/>
  <c r="AEV1" i="9"/>
  <c r="AEW1" i="9"/>
  <c r="AEX1" i="9"/>
  <c r="AEY1" i="9"/>
  <c r="AEZ1" i="9"/>
  <c r="AFA1" i="9"/>
  <c r="AFB1" i="9"/>
  <c r="AFC1" i="9"/>
  <c r="AFD1" i="9"/>
  <c r="AFE1" i="9"/>
  <c r="AFF1" i="9"/>
  <c r="AFG1" i="9"/>
  <c r="AFH1" i="9"/>
  <c r="AFI1" i="9"/>
  <c r="AFJ1" i="9"/>
  <c r="AFK1" i="9"/>
  <c r="AFL1" i="9"/>
  <c r="AFM1" i="9"/>
  <c r="AFN1" i="9"/>
  <c r="AFO1" i="9"/>
  <c r="AFP1" i="9"/>
  <c r="AFQ1" i="9"/>
  <c r="AFR1" i="9"/>
  <c r="AFS1" i="9"/>
  <c r="AFT1" i="9"/>
  <c r="AFU1" i="9"/>
  <c r="AFV1" i="9"/>
  <c r="AFW1" i="9"/>
  <c r="AFX1" i="9"/>
  <c r="AFY1" i="9"/>
  <c r="AFZ1" i="9"/>
  <c r="AGA1" i="9"/>
  <c r="AGB1" i="9"/>
  <c r="AGC1" i="9"/>
  <c r="AGD1" i="9"/>
  <c r="AGE1" i="9"/>
  <c r="AGF1" i="9"/>
  <c r="AGG1" i="9"/>
  <c r="AGH1" i="9"/>
  <c r="AGI1" i="9"/>
  <c r="AGJ1" i="9"/>
  <c r="AGK1" i="9"/>
  <c r="AGL1" i="9"/>
  <c r="AGM1" i="9"/>
  <c r="AGN1" i="9"/>
  <c r="AGO1" i="9"/>
  <c r="AGP1" i="9"/>
  <c r="AGQ1" i="9"/>
  <c r="AGR1" i="9"/>
  <c r="AGS1" i="9"/>
  <c r="AGT1" i="9"/>
  <c r="AGU1" i="9"/>
  <c r="AGV1" i="9"/>
  <c r="AGW1" i="9"/>
  <c r="AGX1" i="9"/>
  <c r="AGY1" i="9"/>
  <c r="AGZ1" i="9"/>
  <c r="AHA1" i="9"/>
  <c r="AHB1" i="9"/>
  <c r="AHC1" i="9"/>
  <c r="AHD1" i="9"/>
  <c r="AHE1" i="9"/>
  <c r="AHF1" i="9"/>
  <c r="AHG1" i="9"/>
  <c r="AHH1" i="9"/>
  <c r="AHI1" i="9"/>
  <c r="AHJ1" i="9"/>
  <c r="AHK1" i="9"/>
  <c r="AHL1" i="9"/>
  <c r="AHM1" i="9"/>
  <c r="AHN1" i="9"/>
  <c r="AHO1" i="9"/>
  <c r="AHP1" i="9"/>
  <c r="AHQ1" i="9"/>
  <c r="AHR1" i="9"/>
  <c r="AHS1" i="9"/>
  <c r="AHT1" i="9"/>
  <c r="AHU1" i="9"/>
  <c r="AHV1" i="9"/>
  <c r="AHW1" i="9"/>
  <c r="AHX1" i="9"/>
  <c r="AHY1" i="9"/>
  <c r="AHZ1" i="9"/>
  <c r="AIA1" i="9"/>
  <c r="AIB1" i="9"/>
  <c r="AIC1" i="9"/>
  <c r="AID1" i="9"/>
  <c r="AIE1" i="9"/>
  <c r="AIF1" i="9"/>
  <c r="AIG1" i="9"/>
  <c r="AIH1" i="9"/>
  <c r="AII1" i="9"/>
  <c r="AIJ1" i="9"/>
  <c r="AIK1" i="9"/>
  <c r="AIL1" i="9"/>
  <c r="AIM1" i="9"/>
  <c r="AIN1" i="9"/>
  <c r="AIO1" i="9"/>
  <c r="AIP1" i="9"/>
  <c r="AIQ1" i="9"/>
  <c r="AIR1" i="9"/>
  <c r="AIS1" i="9"/>
  <c r="AIT1" i="9"/>
  <c r="AIU1" i="9"/>
  <c r="AIV1" i="9"/>
  <c r="AIW1" i="9"/>
  <c r="AIX1" i="9"/>
  <c r="AIY1" i="9"/>
  <c r="AIZ1" i="9"/>
  <c r="AJA1" i="9"/>
  <c r="AJB1" i="9"/>
  <c r="AJC1" i="9"/>
  <c r="AJD1" i="9"/>
  <c r="AJE1" i="9"/>
  <c r="AJF1" i="9"/>
  <c r="AJG1" i="9"/>
  <c r="AJH1" i="9"/>
  <c r="AJI1" i="9"/>
  <c r="AJJ1" i="9"/>
  <c r="AJK1" i="9"/>
  <c r="AJL1" i="9"/>
  <c r="AJM1" i="9"/>
  <c r="AJN1" i="9"/>
  <c r="AJO1" i="9"/>
  <c r="AJP1" i="9"/>
  <c r="AJQ1" i="9"/>
  <c r="AJR1" i="9"/>
  <c r="AJS1" i="9"/>
  <c r="AJT1" i="9"/>
  <c r="AJU1" i="9"/>
  <c r="AJV1" i="9"/>
  <c r="AJW1" i="9"/>
  <c r="AJX1" i="9"/>
  <c r="AJY1" i="9"/>
  <c r="AJZ1" i="9"/>
  <c r="AKA1" i="9"/>
  <c r="AKB1" i="9"/>
  <c r="AKC1" i="9"/>
  <c r="AKD1" i="9"/>
  <c r="AKE1" i="9"/>
  <c r="AKF1" i="9"/>
  <c r="AKG1" i="9"/>
  <c r="AKH1" i="9"/>
  <c r="AKI1" i="9"/>
  <c r="AKJ1" i="9"/>
  <c r="AKK1" i="9"/>
  <c r="AKL1" i="9"/>
  <c r="AKM1" i="9"/>
  <c r="AKN1" i="9"/>
  <c r="AKO1" i="9"/>
  <c r="AKP1" i="9"/>
  <c r="AKQ1" i="9"/>
  <c r="AKR1" i="9"/>
  <c r="AKS1" i="9"/>
  <c r="AKT1" i="9"/>
  <c r="AKU1" i="9"/>
  <c r="AKV1" i="9"/>
  <c r="AKW1" i="9"/>
  <c r="AKX1" i="9"/>
  <c r="AKY1" i="9"/>
  <c r="AKZ1" i="9"/>
  <c r="ALA1" i="9"/>
  <c r="ALB1" i="9"/>
  <c r="ALC1" i="9"/>
  <c r="ALD1" i="9"/>
  <c r="ALE1" i="9"/>
  <c r="ALF1" i="9"/>
  <c r="ALG1" i="9"/>
  <c r="ALH1" i="9"/>
  <c r="ALI1" i="9"/>
  <c r="ALJ1" i="9"/>
  <c r="ALK1" i="9"/>
  <c r="ALL1" i="9"/>
  <c r="ALM1" i="9"/>
  <c r="ALN1" i="9"/>
  <c r="ALO1" i="9"/>
  <c r="ALP1" i="9"/>
  <c r="ALQ1" i="9"/>
  <c r="ALR1" i="9"/>
  <c r="ALS1" i="9"/>
  <c r="ALT1" i="9"/>
  <c r="ALU1" i="9"/>
  <c r="ALV1" i="9"/>
  <c r="ALW1" i="9"/>
  <c r="ALX1" i="9"/>
  <c r="ALY1" i="9"/>
  <c r="ALZ1" i="9"/>
  <c r="AMA1" i="9"/>
  <c r="AMB1" i="9"/>
  <c r="AMC1" i="9"/>
  <c r="AMD1" i="9"/>
  <c r="AME1" i="9"/>
  <c r="AMF1" i="9"/>
  <c r="AMG1" i="9"/>
  <c r="AMH1" i="9"/>
  <c r="AMI1" i="9"/>
  <c r="AMJ1" i="9"/>
  <c r="AMK1" i="9"/>
  <c r="AML1" i="9"/>
  <c r="AMM1" i="9"/>
  <c r="AMN1" i="9"/>
  <c r="AMO1" i="9"/>
  <c r="AMP1" i="9"/>
  <c r="AMQ1" i="9"/>
  <c r="AMR1" i="9"/>
  <c r="AMS1" i="9"/>
  <c r="AMT1" i="9"/>
  <c r="AMU1" i="9"/>
  <c r="AMV1" i="9"/>
  <c r="AMW1" i="9"/>
  <c r="AMX1" i="9"/>
  <c r="AMY1" i="9"/>
  <c r="AMZ1" i="9"/>
  <c r="ANA1" i="9"/>
  <c r="ANB1" i="9"/>
  <c r="ANC1" i="9"/>
  <c r="AND1" i="9"/>
  <c r="ANE1" i="9"/>
  <c r="ANF1" i="9"/>
  <c r="ANG1" i="9"/>
  <c r="ANH1" i="9"/>
  <c r="ANI1" i="9"/>
  <c r="ANJ1" i="9"/>
  <c r="ANK1" i="9"/>
  <c r="ANL1" i="9"/>
  <c r="ANM1" i="9"/>
  <c r="ANN1" i="9"/>
  <c r="ANO1" i="9"/>
  <c r="ANP1" i="9"/>
  <c r="ANQ1" i="9"/>
  <c r="ANR1" i="9"/>
  <c r="ANS1" i="9"/>
  <c r="ANT1" i="9"/>
  <c r="ANU1" i="9"/>
  <c r="ANV1" i="9"/>
  <c r="ANW1" i="9"/>
  <c r="ANX1" i="9"/>
  <c r="ANY1" i="9"/>
  <c r="ANZ1" i="9"/>
  <c r="AOA1" i="9"/>
  <c r="AOB1" i="9"/>
  <c r="AOC1" i="9"/>
  <c r="AOD1" i="9"/>
  <c r="AOE1" i="9"/>
  <c r="AOF1" i="9"/>
  <c r="AOG1" i="9"/>
  <c r="AOH1" i="9"/>
  <c r="AOI1" i="9"/>
  <c r="AOJ1" i="9"/>
  <c r="AOK1" i="9"/>
  <c r="AOL1" i="9"/>
  <c r="AOM1" i="9"/>
  <c r="AON1" i="9"/>
  <c r="AOO1" i="9"/>
  <c r="AOP1" i="9"/>
  <c r="AOQ1" i="9"/>
  <c r="AOR1" i="9"/>
  <c r="AOS1" i="9"/>
  <c r="AOT1" i="9"/>
  <c r="AOU1" i="9"/>
  <c r="AOV1" i="9"/>
  <c r="AOW1" i="9"/>
  <c r="AOX1" i="9"/>
  <c r="AOY1" i="9"/>
  <c r="AOZ1" i="9"/>
  <c r="APA1" i="9"/>
  <c r="APB1" i="9"/>
  <c r="APC1" i="9"/>
  <c r="APD1" i="9"/>
  <c r="APE1" i="9"/>
  <c r="APF1" i="9"/>
  <c r="APG1" i="9"/>
  <c r="APH1" i="9"/>
  <c r="API1" i="9"/>
  <c r="APJ1" i="9"/>
  <c r="APK1" i="9"/>
  <c r="APL1" i="9"/>
  <c r="APM1" i="9"/>
  <c r="APN1" i="9"/>
  <c r="APO1" i="9"/>
  <c r="APP1" i="9"/>
  <c r="APQ1" i="9"/>
  <c r="APR1" i="9"/>
  <c r="APS1" i="9"/>
  <c r="APT1" i="9"/>
  <c r="APU1" i="9"/>
  <c r="APV1" i="9"/>
  <c r="APW1" i="9"/>
  <c r="APX1" i="9"/>
  <c r="APY1" i="9"/>
  <c r="APZ1" i="9"/>
  <c r="AQA1" i="9"/>
  <c r="AQB1" i="9"/>
  <c r="AQC1" i="9"/>
  <c r="AQD1" i="9"/>
  <c r="AQE1" i="9"/>
  <c r="AQF1" i="9"/>
  <c r="AQG1" i="9"/>
  <c r="AQH1" i="9"/>
  <c r="AQI1" i="9"/>
  <c r="AQJ1" i="9"/>
  <c r="AQK1" i="9"/>
  <c r="AQL1" i="9"/>
  <c r="AQM1" i="9"/>
  <c r="AQN1" i="9"/>
  <c r="AQO1" i="9"/>
  <c r="AQP1" i="9"/>
  <c r="AQQ1" i="9"/>
  <c r="AQR1" i="9"/>
  <c r="AQS1" i="9"/>
  <c r="AQT1" i="9"/>
  <c r="AQU1" i="9"/>
  <c r="AQV1" i="9"/>
  <c r="AQW1" i="9"/>
  <c r="AQX1" i="9"/>
  <c r="AQY1" i="9"/>
  <c r="AQZ1" i="9"/>
  <c r="ARA1" i="9"/>
  <c r="ARB1" i="9"/>
  <c r="ARC1" i="9"/>
  <c r="ARD1" i="9"/>
  <c r="ARE1" i="9"/>
  <c r="ARF1" i="9"/>
  <c r="ARG1" i="9"/>
  <c r="ARH1" i="9"/>
  <c r="ARI1" i="9"/>
  <c r="ARJ1" i="9"/>
  <c r="ARK1" i="9"/>
  <c r="ARL1" i="9"/>
  <c r="ARM1" i="9"/>
  <c r="ARN1" i="9"/>
  <c r="ARO1" i="9"/>
  <c r="ARP1" i="9"/>
  <c r="ARQ1" i="9"/>
  <c r="ARR1" i="9"/>
  <c r="ARS1" i="9"/>
  <c r="ART1" i="9"/>
  <c r="ARU1" i="9"/>
  <c r="ARV1" i="9"/>
  <c r="ARW1" i="9"/>
  <c r="ARX1" i="9"/>
  <c r="ARY1" i="9"/>
  <c r="ARZ1" i="9"/>
  <c r="ASA1" i="9"/>
  <c r="ASB1" i="9"/>
  <c r="ASC1" i="9"/>
  <c r="ASD1" i="9"/>
  <c r="ASE1" i="9"/>
  <c r="ASF1" i="9"/>
  <c r="ASG1" i="9"/>
  <c r="ASH1" i="9"/>
  <c r="ASI1" i="9"/>
  <c r="ASJ1" i="9"/>
  <c r="ASK1" i="9"/>
  <c r="ASL1" i="9"/>
  <c r="ASM1" i="9"/>
  <c r="ASN1" i="9"/>
  <c r="ASO1" i="9"/>
  <c r="ASP1" i="9"/>
  <c r="ASQ1" i="9"/>
  <c r="ASR1" i="9"/>
  <c r="ASS1" i="9"/>
  <c r="AST1" i="9"/>
  <c r="ASU1" i="9"/>
  <c r="ASV1" i="9"/>
  <c r="ASW1" i="9"/>
  <c r="ASX1" i="9"/>
  <c r="ASY1" i="9"/>
  <c r="ASZ1" i="9"/>
  <c r="ATA1" i="9"/>
  <c r="ATB1" i="9"/>
  <c r="ATC1" i="9"/>
  <c r="ATD1" i="9"/>
  <c r="ATE1" i="9"/>
  <c r="ATF1" i="9"/>
  <c r="ATG1" i="9"/>
  <c r="ATH1" i="9"/>
  <c r="ATI1" i="9"/>
  <c r="ATJ1" i="9"/>
  <c r="ATK1" i="9"/>
  <c r="ATL1" i="9"/>
  <c r="ATM1" i="9"/>
  <c r="ATN1" i="9"/>
  <c r="ATO1" i="9"/>
  <c r="ATP1" i="9"/>
  <c r="ATQ1" i="9"/>
  <c r="ATR1" i="9"/>
  <c r="ATS1" i="9"/>
  <c r="ATT1" i="9"/>
  <c r="ATU1" i="9"/>
  <c r="ATV1" i="9"/>
  <c r="ATW1" i="9"/>
  <c r="ATX1" i="9"/>
  <c r="ATY1" i="9"/>
  <c r="ATZ1" i="9"/>
  <c r="AUA1" i="9"/>
  <c r="AUB1" i="9"/>
  <c r="AUC1" i="9"/>
  <c r="AUD1" i="9"/>
  <c r="AUE1" i="9"/>
  <c r="AUF1" i="9"/>
  <c r="AUG1" i="9"/>
  <c r="AUH1" i="9"/>
  <c r="AUI1" i="9"/>
  <c r="AUJ1" i="9"/>
  <c r="AUK1" i="9"/>
  <c r="AUL1" i="9"/>
  <c r="AUM1" i="9"/>
  <c r="AUN1" i="9"/>
  <c r="AUO1" i="9"/>
  <c r="AUP1" i="9"/>
  <c r="AUQ1" i="9"/>
  <c r="AUR1" i="9"/>
  <c r="AUS1" i="9"/>
  <c r="AUT1" i="9"/>
  <c r="AUU1" i="9"/>
  <c r="AUV1" i="9"/>
  <c r="AUW1" i="9"/>
  <c r="AUX1" i="9"/>
  <c r="AUY1" i="9"/>
  <c r="AUZ1" i="9"/>
  <c r="AVA1" i="9"/>
  <c r="AVB1" i="9"/>
  <c r="AVC1" i="9"/>
  <c r="AVD1" i="9"/>
  <c r="AVE1" i="9"/>
  <c r="AVF1" i="9"/>
  <c r="AVG1" i="9"/>
  <c r="AVH1" i="9"/>
  <c r="AVI1" i="9"/>
  <c r="AVJ1" i="9"/>
  <c r="AVK1" i="9"/>
  <c r="AVL1" i="9"/>
  <c r="AVM1" i="9"/>
  <c r="AVN1" i="9"/>
  <c r="AVO1" i="9"/>
  <c r="AVP1" i="9"/>
  <c r="AVQ1" i="9"/>
  <c r="AVR1" i="9"/>
  <c r="AVS1" i="9"/>
  <c r="AVT1" i="9"/>
  <c r="AVU1" i="9"/>
  <c r="AVV1" i="9"/>
  <c r="AVW1" i="9"/>
  <c r="AVX1" i="9"/>
  <c r="AVY1" i="9"/>
  <c r="AVZ1" i="9"/>
  <c r="AWA1" i="9"/>
  <c r="AWB1" i="9"/>
  <c r="AWC1" i="9"/>
  <c r="AWD1" i="9"/>
  <c r="AWE1" i="9"/>
  <c r="AWF1" i="9"/>
  <c r="AWG1" i="9"/>
  <c r="AWH1" i="9"/>
  <c r="AWI1" i="9"/>
  <c r="AWJ1" i="9"/>
  <c r="AWK1" i="9"/>
  <c r="AWL1" i="9"/>
  <c r="AWM1" i="9"/>
  <c r="AWN1" i="9"/>
  <c r="AWO1" i="9"/>
  <c r="AWP1" i="9"/>
  <c r="AWQ1" i="9"/>
  <c r="AWR1" i="9"/>
  <c r="AWS1" i="9"/>
  <c r="AWT1" i="9"/>
  <c r="AWU1" i="9"/>
  <c r="AWV1" i="9"/>
  <c r="AWW1" i="9"/>
  <c r="AWX1" i="9"/>
  <c r="AWY1" i="9"/>
  <c r="AWZ1" i="9"/>
  <c r="AXA1" i="9"/>
  <c r="AXB1" i="9"/>
  <c r="AXC1" i="9"/>
  <c r="AXD1" i="9"/>
  <c r="AXE1" i="9"/>
  <c r="AXF1" i="9"/>
  <c r="AXG1" i="9"/>
  <c r="AXH1" i="9"/>
  <c r="AXI1" i="9"/>
  <c r="AXJ1" i="9"/>
  <c r="AXK1" i="9"/>
  <c r="AXL1" i="9"/>
  <c r="AXM1" i="9"/>
  <c r="AXN1" i="9"/>
  <c r="AXO1" i="9"/>
  <c r="AXP1" i="9"/>
  <c r="AXQ1" i="9"/>
  <c r="AXR1" i="9"/>
  <c r="AXS1" i="9"/>
  <c r="AXT1" i="9"/>
  <c r="AXU1" i="9"/>
  <c r="AXV1" i="9"/>
  <c r="AXW1" i="9"/>
  <c r="AXX1" i="9"/>
  <c r="AXY1" i="9"/>
  <c r="AXZ1" i="9"/>
  <c r="AYA1" i="9"/>
  <c r="AYB1" i="9"/>
  <c r="AYC1" i="9"/>
  <c r="AYD1" i="9"/>
  <c r="AYE1" i="9"/>
  <c r="AYF1" i="9"/>
  <c r="AYG1" i="9"/>
  <c r="AYH1" i="9"/>
  <c r="AYI1" i="9"/>
  <c r="AYJ1" i="9"/>
  <c r="AYK1" i="9"/>
  <c r="AYL1" i="9"/>
  <c r="AYM1" i="9"/>
  <c r="AYN1" i="9"/>
  <c r="AYO1" i="9"/>
  <c r="AYP1" i="9"/>
  <c r="AYQ1" i="9"/>
  <c r="AYR1" i="9"/>
  <c r="AYS1" i="9"/>
  <c r="AYT1" i="9"/>
  <c r="AYU1" i="9"/>
  <c r="AYV1" i="9"/>
  <c r="AYW1" i="9"/>
  <c r="AYX1" i="9"/>
  <c r="AYY1" i="9"/>
  <c r="AYZ1" i="9"/>
  <c r="AZA1" i="9"/>
  <c r="AZB1" i="9"/>
  <c r="AZC1" i="9"/>
  <c r="AZD1" i="9"/>
  <c r="AZE1" i="9"/>
  <c r="AZF1" i="9"/>
  <c r="AZG1" i="9"/>
  <c r="AZH1" i="9"/>
  <c r="AZI1" i="9"/>
  <c r="AZJ1" i="9"/>
  <c r="AZK1" i="9"/>
  <c r="AZL1" i="9"/>
  <c r="AZM1" i="9"/>
  <c r="AZN1" i="9"/>
  <c r="AZO1" i="9"/>
  <c r="AZP1" i="9"/>
  <c r="AZQ1" i="9"/>
  <c r="AZR1" i="9"/>
  <c r="AZS1" i="9"/>
  <c r="AZT1" i="9"/>
  <c r="AZU1" i="9"/>
  <c r="AZV1" i="9"/>
  <c r="AZW1" i="9"/>
  <c r="AZX1" i="9"/>
  <c r="AZY1" i="9"/>
  <c r="AZZ1" i="9"/>
  <c r="BAA1" i="9"/>
  <c r="BAB1" i="9"/>
  <c r="BAC1" i="9"/>
  <c r="BAD1" i="9"/>
  <c r="BAE1" i="9"/>
  <c r="BAF1" i="9"/>
  <c r="BAG1" i="9"/>
  <c r="BAH1" i="9"/>
  <c r="BAI1" i="9"/>
  <c r="BAJ1" i="9"/>
  <c r="BAK1" i="9"/>
  <c r="BAL1" i="9"/>
  <c r="BAM1" i="9"/>
  <c r="BAN1" i="9"/>
  <c r="BAO1" i="9"/>
  <c r="BAP1" i="9"/>
  <c r="BAQ1" i="9"/>
  <c r="BAR1" i="9"/>
  <c r="BAS1" i="9"/>
  <c r="BAT1" i="9"/>
  <c r="BAU1" i="9"/>
  <c r="BAV1" i="9"/>
  <c r="BAW1" i="9"/>
  <c r="BAX1" i="9"/>
  <c r="BAY1" i="9"/>
  <c r="BAZ1" i="9"/>
  <c r="BBA1" i="9"/>
  <c r="BBB1" i="9"/>
  <c r="BBC1" i="9"/>
  <c r="BBD1" i="9"/>
  <c r="BBE1" i="9"/>
  <c r="BBF1" i="9"/>
  <c r="BBG1" i="9"/>
  <c r="BBH1" i="9"/>
  <c r="BBI1" i="9"/>
  <c r="BBJ1" i="9"/>
  <c r="BBK1" i="9"/>
  <c r="BBL1" i="9"/>
  <c r="BBM1" i="9"/>
  <c r="BBN1" i="9"/>
  <c r="BBO1" i="9"/>
  <c r="BBP1" i="9"/>
  <c r="BBQ1" i="9"/>
  <c r="BBR1" i="9"/>
  <c r="BBS1" i="9"/>
  <c r="BBT1" i="9"/>
  <c r="BBU1" i="9"/>
  <c r="BBV1" i="9"/>
  <c r="BBW1" i="9"/>
  <c r="BBX1" i="9"/>
  <c r="BBY1" i="9"/>
  <c r="BBZ1" i="9"/>
  <c r="BCA1" i="9"/>
  <c r="BCB1" i="9"/>
  <c r="BCC1" i="9"/>
  <c r="BCD1" i="9"/>
  <c r="BCE1" i="9"/>
  <c r="BCF1" i="9"/>
  <c r="BCG1" i="9"/>
  <c r="BCH1" i="9"/>
  <c r="BCI1" i="9"/>
  <c r="BCJ1" i="9"/>
  <c r="BCK1" i="9"/>
  <c r="BCL1" i="9"/>
  <c r="BCM1" i="9"/>
  <c r="BCN1" i="9"/>
  <c r="BCO1" i="9"/>
  <c r="BCP1" i="9"/>
  <c r="BCQ1" i="9"/>
  <c r="BCR1" i="9"/>
  <c r="BCS1" i="9"/>
  <c r="BCT1" i="9"/>
  <c r="BCU1" i="9"/>
  <c r="BCV1" i="9"/>
  <c r="BCW1" i="9"/>
  <c r="BCX1" i="9"/>
  <c r="BCY1" i="9"/>
  <c r="BCZ1" i="9"/>
  <c r="BDA1" i="9"/>
  <c r="BDB1" i="9"/>
  <c r="BDC1" i="9"/>
  <c r="BDD1" i="9"/>
  <c r="BDE1" i="9"/>
  <c r="BDF1" i="9"/>
  <c r="BDG1" i="9"/>
  <c r="BDH1" i="9"/>
  <c r="BDI1" i="9"/>
  <c r="BDJ1" i="9"/>
  <c r="BDK1" i="9"/>
  <c r="BDL1" i="9"/>
  <c r="BDM1" i="9"/>
  <c r="BDN1" i="9"/>
  <c r="BDO1" i="9"/>
  <c r="BDP1" i="9"/>
  <c r="BDQ1" i="9"/>
  <c r="BDR1" i="9"/>
  <c r="BDS1" i="9"/>
  <c r="BDT1" i="9"/>
  <c r="BDU1" i="9"/>
  <c r="BDV1" i="9"/>
  <c r="BDW1" i="9"/>
  <c r="BDX1" i="9"/>
  <c r="BDY1" i="9"/>
  <c r="BDZ1" i="9"/>
  <c r="BEA1" i="9"/>
  <c r="BEB1" i="9"/>
  <c r="BEC1" i="9"/>
  <c r="BED1" i="9"/>
  <c r="BEE1" i="9"/>
  <c r="BEF1" i="9"/>
  <c r="BEG1" i="9"/>
  <c r="BEH1" i="9"/>
  <c r="BEI1" i="9"/>
  <c r="BEJ1" i="9"/>
  <c r="BEK1" i="9"/>
  <c r="BEL1" i="9"/>
  <c r="BEM1" i="9"/>
  <c r="BEN1" i="9"/>
  <c r="BEO1" i="9"/>
  <c r="BEP1" i="9"/>
  <c r="BEQ1" i="9"/>
  <c r="BER1" i="9"/>
  <c r="BES1" i="9"/>
  <c r="BET1" i="9"/>
  <c r="BEU1" i="9"/>
  <c r="BEV1" i="9"/>
  <c r="BEW1" i="9"/>
  <c r="BEX1" i="9"/>
  <c r="BEY1" i="9"/>
  <c r="BEZ1" i="9"/>
  <c r="BFA1" i="9"/>
  <c r="BFB1" i="9"/>
  <c r="BFC1" i="9"/>
  <c r="BFD1" i="9"/>
  <c r="BFE1" i="9"/>
  <c r="BFF1" i="9"/>
  <c r="BFG1" i="9"/>
  <c r="BFH1" i="9"/>
  <c r="BFI1" i="9"/>
  <c r="BFJ1" i="9"/>
  <c r="BFK1" i="9"/>
  <c r="BFL1" i="9"/>
  <c r="BFM1" i="9"/>
  <c r="BFN1" i="9"/>
  <c r="BFO1" i="9"/>
  <c r="BFP1" i="9"/>
  <c r="BFQ1" i="9"/>
  <c r="BFR1" i="9"/>
  <c r="BFS1" i="9"/>
  <c r="BFT1" i="9"/>
  <c r="BFU1" i="9"/>
  <c r="BFV1" i="9"/>
  <c r="BFW1" i="9"/>
  <c r="BFX1" i="9"/>
  <c r="BFY1" i="9"/>
  <c r="BFZ1" i="9"/>
  <c r="BGA1" i="9"/>
  <c r="BGB1" i="9"/>
  <c r="BGC1" i="9"/>
  <c r="BGD1" i="9"/>
  <c r="BGE1" i="9"/>
  <c r="BGF1" i="9"/>
  <c r="BGG1" i="9"/>
  <c r="BGH1" i="9"/>
  <c r="BGI1" i="9"/>
  <c r="BGJ1" i="9"/>
  <c r="BGK1" i="9"/>
  <c r="BGL1" i="9"/>
  <c r="BGM1" i="9"/>
  <c r="BGN1" i="9"/>
  <c r="BGO1" i="9"/>
  <c r="BGP1" i="9"/>
  <c r="BGQ1" i="9"/>
  <c r="BGR1" i="9"/>
  <c r="BGS1" i="9"/>
  <c r="BGT1" i="9"/>
  <c r="BGU1" i="9"/>
  <c r="BGV1" i="9"/>
  <c r="BGW1" i="9"/>
  <c r="BGX1" i="9"/>
  <c r="BGY1" i="9"/>
  <c r="BGZ1" i="9"/>
  <c r="BHA1" i="9"/>
  <c r="BHB1" i="9"/>
  <c r="BHC1" i="9"/>
  <c r="BHD1" i="9"/>
  <c r="BHE1" i="9"/>
  <c r="BHF1" i="9"/>
  <c r="BHG1" i="9"/>
  <c r="BHH1" i="9"/>
  <c r="BHI1" i="9"/>
  <c r="BHJ1" i="9"/>
  <c r="BHK1" i="9"/>
  <c r="BHL1" i="9"/>
  <c r="BHM1" i="9"/>
  <c r="BHN1" i="9"/>
  <c r="BHO1" i="9"/>
  <c r="BHP1" i="9"/>
  <c r="BHQ1" i="9"/>
  <c r="BHR1" i="9"/>
  <c r="BHS1" i="9"/>
  <c r="BHT1" i="9"/>
  <c r="BHU1" i="9"/>
  <c r="BHV1" i="9"/>
  <c r="BHW1" i="9"/>
  <c r="BHX1" i="9"/>
  <c r="BHY1" i="9"/>
  <c r="BHZ1" i="9"/>
  <c r="BIA1" i="9"/>
  <c r="BIB1" i="9"/>
  <c r="BIC1" i="9"/>
  <c r="BID1" i="9"/>
  <c r="BIE1" i="9"/>
  <c r="BIF1" i="9"/>
  <c r="BIG1" i="9"/>
  <c r="BIH1" i="9"/>
  <c r="BII1" i="9"/>
  <c r="BIJ1" i="9"/>
  <c r="BIK1" i="9"/>
  <c r="BIL1" i="9"/>
  <c r="BIM1" i="9"/>
  <c r="BIN1" i="9"/>
  <c r="BIO1" i="9"/>
  <c r="BIP1" i="9"/>
  <c r="BIQ1" i="9"/>
  <c r="BIR1" i="9"/>
  <c r="BIS1" i="9"/>
  <c r="BIT1" i="9"/>
  <c r="BIU1" i="9"/>
  <c r="BIV1" i="9"/>
  <c r="BIW1" i="9"/>
  <c r="BIX1" i="9"/>
  <c r="BIY1" i="9"/>
  <c r="BIZ1" i="9"/>
  <c r="BJA1" i="9"/>
  <c r="BJB1" i="9"/>
  <c r="BJC1" i="9"/>
  <c r="BJD1" i="9"/>
  <c r="BJE1" i="9"/>
  <c r="BJF1" i="9"/>
  <c r="BJG1" i="9"/>
  <c r="BJH1" i="9"/>
  <c r="BJI1" i="9"/>
  <c r="BJJ1" i="9"/>
  <c r="BJK1" i="9"/>
  <c r="BJL1" i="9"/>
  <c r="BJM1" i="9"/>
  <c r="BJN1" i="9"/>
  <c r="BJO1" i="9"/>
  <c r="BJP1" i="9"/>
  <c r="BJQ1" i="9"/>
  <c r="BJR1" i="9"/>
  <c r="BJS1" i="9"/>
  <c r="BJT1" i="9"/>
  <c r="BJU1" i="9"/>
  <c r="BJV1" i="9"/>
  <c r="BJW1" i="9"/>
  <c r="BJX1" i="9"/>
  <c r="BJY1" i="9"/>
  <c r="BJZ1" i="9"/>
  <c r="BKA1" i="9"/>
  <c r="BKB1" i="9"/>
  <c r="BKC1" i="9"/>
  <c r="BKD1" i="9"/>
  <c r="BKE1" i="9"/>
  <c r="BKF1" i="9"/>
  <c r="BKG1" i="9"/>
  <c r="BKH1" i="9"/>
  <c r="BKI1" i="9"/>
  <c r="BKJ1" i="9"/>
  <c r="BKK1" i="9"/>
  <c r="BKL1" i="9"/>
  <c r="BKM1" i="9"/>
  <c r="BKN1" i="9"/>
  <c r="BKO1" i="9"/>
  <c r="BKP1" i="9"/>
  <c r="BKQ1" i="9"/>
  <c r="BKR1" i="9"/>
  <c r="BKS1" i="9"/>
  <c r="BKT1" i="9"/>
  <c r="BKU1" i="9"/>
  <c r="BKV1" i="9"/>
  <c r="BKW1" i="9"/>
  <c r="BKX1" i="9"/>
  <c r="BKY1" i="9"/>
  <c r="BKZ1" i="9"/>
  <c r="BLA1" i="9"/>
  <c r="BLB1" i="9"/>
  <c r="BLC1" i="9"/>
  <c r="BLD1" i="9"/>
  <c r="BLE1" i="9"/>
  <c r="BLF1" i="9"/>
  <c r="BLG1" i="9"/>
  <c r="BLH1" i="9"/>
  <c r="BLI1" i="9"/>
  <c r="BLJ1" i="9"/>
  <c r="BLK1" i="9"/>
  <c r="BLL1" i="9"/>
  <c r="BLM1" i="9"/>
  <c r="BLN1" i="9"/>
  <c r="BLO1" i="9"/>
  <c r="BLP1" i="9"/>
  <c r="BLQ1" i="9"/>
  <c r="BLR1" i="9"/>
  <c r="BLS1" i="9"/>
  <c r="BLT1" i="9"/>
  <c r="BLU1" i="9"/>
  <c r="BLV1" i="9"/>
  <c r="BLW1" i="9"/>
  <c r="BLX1" i="9"/>
  <c r="BLY1" i="9"/>
  <c r="BLZ1" i="9"/>
  <c r="BMA1" i="9"/>
  <c r="BMB1" i="9"/>
  <c r="BMC1" i="9"/>
  <c r="BMD1" i="9"/>
  <c r="BME1" i="9"/>
  <c r="BMF1" i="9"/>
  <c r="BMG1" i="9"/>
  <c r="BMH1" i="9"/>
  <c r="BMI1" i="9"/>
  <c r="BMJ1" i="9"/>
  <c r="BMK1" i="9"/>
  <c r="BML1" i="9"/>
  <c r="BMM1" i="9"/>
  <c r="BMN1" i="9"/>
  <c r="BMO1" i="9"/>
  <c r="BMP1" i="9"/>
  <c r="BMQ1" i="9"/>
  <c r="BMR1" i="9"/>
  <c r="BMS1" i="9"/>
  <c r="BMT1" i="9"/>
  <c r="BMU1" i="9"/>
  <c r="BMV1" i="9"/>
  <c r="BMW1" i="9"/>
  <c r="BMX1" i="9"/>
  <c r="BMY1" i="9"/>
  <c r="BMZ1" i="9"/>
  <c r="BNA1" i="9"/>
  <c r="BNB1" i="9"/>
  <c r="BNC1" i="9"/>
  <c r="BND1" i="9"/>
  <c r="BNE1" i="9"/>
  <c r="BNF1" i="9"/>
  <c r="BNG1" i="9"/>
  <c r="BNH1" i="9"/>
  <c r="BNI1" i="9"/>
  <c r="BNJ1" i="9"/>
  <c r="BNK1" i="9"/>
  <c r="BNL1" i="9"/>
  <c r="BNM1" i="9"/>
  <c r="BNN1" i="9"/>
  <c r="BNO1" i="9"/>
  <c r="BNP1" i="9"/>
  <c r="BNQ1" i="9"/>
  <c r="BNR1" i="9"/>
  <c r="BNS1" i="9"/>
  <c r="BNT1" i="9"/>
  <c r="BNU1" i="9"/>
  <c r="BNV1" i="9"/>
  <c r="BNW1" i="9"/>
  <c r="BNX1" i="9"/>
  <c r="BNY1" i="9"/>
  <c r="BNZ1" i="9"/>
  <c r="BOA1" i="9"/>
  <c r="BOB1" i="9"/>
  <c r="BOC1" i="9"/>
  <c r="BOD1" i="9"/>
  <c r="BOE1" i="9"/>
  <c r="BOF1" i="9"/>
  <c r="BOG1" i="9"/>
  <c r="BOH1" i="9"/>
  <c r="BOI1" i="9"/>
  <c r="BOJ1" i="9"/>
  <c r="BOK1" i="9"/>
  <c r="BOL1" i="9"/>
  <c r="BOM1" i="9"/>
  <c r="BON1" i="9"/>
  <c r="BOO1" i="9"/>
  <c r="BOP1" i="9"/>
  <c r="BOQ1" i="9"/>
  <c r="BOR1" i="9"/>
  <c r="BOS1" i="9"/>
  <c r="BOT1" i="9"/>
  <c r="BOU1" i="9"/>
  <c r="BOV1" i="9"/>
  <c r="BOW1" i="9"/>
  <c r="BOX1" i="9"/>
  <c r="BOY1" i="9"/>
  <c r="BOZ1" i="9"/>
  <c r="BPA1" i="9"/>
  <c r="BPB1" i="9"/>
  <c r="BPC1" i="9"/>
  <c r="BPD1" i="9"/>
  <c r="BPE1" i="9"/>
  <c r="BPF1" i="9"/>
  <c r="BPG1" i="9"/>
  <c r="BPH1" i="9"/>
  <c r="BPI1" i="9"/>
  <c r="BPJ1" i="9"/>
  <c r="BPK1" i="9"/>
  <c r="BPL1" i="9"/>
  <c r="BPM1" i="9"/>
  <c r="BPN1" i="9"/>
  <c r="BPO1" i="9"/>
  <c r="BPP1" i="9"/>
  <c r="BPQ1" i="9"/>
  <c r="BPR1" i="9"/>
  <c r="BPS1" i="9"/>
  <c r="BPT1" i="9"/>
  <c r="BPU1" i="9"/>
  <c r="BPV1" i="9"/>
  <c r="BPW1" i="9"/>
  <c r="BPX1" i="9"/>
  <c r="BPY1" i="9"/>
  <c r="BPZ1" i="9"/>
  <c r="BQA1" i="9"/>
  <c r="BQB1" i="9"/>
  <c r="BQC1" i="9"/>
  <c r="BQD1" i="9"/>
  <c r="BQE1" i="9"/>
  <c r="BQF1" i="9"/>
  <c r="BQG1" i="9"/>
  <c r="BQH1" i="9"/>
  <c r="BQI1" i="9"/>
  <c r="BQJ1" i="9"/>
  <c r="BQK1" i="9"/>
  <c r="BQL1" i="9"/>
  <c r="BQM1" i="9"/>
  <c r="BQN1" i="9"/>
  <c r="BQO1" i="9"/>
  <c r="BQP1" i="9"/>
  <c r="BQQ1" i="9"/>
  <c r="BQR1" i="9"/>
  <c r="BQS1" i="9"/>
  <c r="BQT1" i="9"/>
  <c r="BQU1" i="9"/>
  <c r="BQV1" i="9"/>
  <c r="BQW1" i="9"/>
  <c r="BQX1" i="9"/>
  <c r="BQY1" i="9"/>
  <c r="BQZ1" i="9"/>
  <c r="BRA1" i="9"/>
  <c r="BRB1" i="9"/>
  <c r="BRC1" i="9"/>
  <c r="BRD1" i="9"/>
  <c r="BRE1" i="9"/>
  <c r="BRF1" i="9"/>
  <c r="BRG1" i="9"/>
  <c r="BRH1" i="9"/>
  <c r="BRI1" i="9"/>
  <c r="BRJ1" i="9"/>
  <c r="BRK1" i="9"/>
  <c r="BRL1" i="9"/>
  <c r="BRM1" i="9"/>
  <c r="BRN1" i="9"/>
  <c r="BRO1" i="9"/>
  <c r="BRP1" i="9"/>
  <c r="BRQ1" i="9"/>
  <c r="BRR1" i="9"/>
  <c r="BRS1" i="9"/>
  <c r="BRT1" i="9"/>
  <c r="BRU1" i="9"/>
  <c r="BRV1" i="9"/>
  <c r="BRW1" i="9"/>
  <c r="BRX1" i="9"/>
  <c r="BRY1" i="9"/>
  <c r="BRZ1" i="9"/>
  <c r="BSA1" i="9"/>
  <c r="BSB1" i="9"/>
  <c r="BSC1" i="9"/>
  <c r="BSD1" i="9"/>
  <c r="BSE1" i="9"/>
  <c r="BSF1" i="9"/>
  <c r="BSG1" i="9"/>
  <c r="BSH1" i="9"/>
  <c r="BSI1" i="9"/>
  <c r="BSJ1" i="9"/>
  <c r="BSK1" i="9"/>
  <c r="BSL1" i="9"/>
  <c r="BSM1" i="9"/>
  <c r="BSN1" i="9"/>
  <c r="BSO1" i="9"/>
  <c r="BSP1" i="9"/>
  <c r="BSQ1" i="9"/>
  <c r="BSR1" i="9"/>
  <c r="BSS1" i="9"/>
  <c r="BST1" i="9"/>
  <c r="BSU1" i="9"/>
  <c r="BSV1" i="9"/>
  <c r="BSW1" i="9"/>
  <c r="BSX1" i="9"/>
  <c r="BSY1" i="9"/>
  <c r="BSZ1" i="9"/>
  <c r="BTA1" i="9"/>
  <c r="BTB1" i="9"/>
  <c r="BTC1" i="9"/>
  <c r="BTD1" i="9"/>
  <c r="BTE1" i="9"/>
  <c r="BTF1" i="9"/>
  <c r="BTG1" i="9"/>
  <c r="BTH1" i="9"/>
  <c r="BTI1" i="9"/>
  <c r="BTJ1" i="9"/>
  <c r="BTK1" i="9"/>
  <c r="BTL1" i="9"/>
  <c r="BTM1" i="9"/>
  <c r="BTN1" i="9"/>
  <c r="BTO1" i="9"/>
  <c r="BTP1" i="9"/>
  <c r="BTQ1" i="9"/>
  <c r="BTR1" i="9"/>
  <c r="BTS1" i="9"/>
  <c r="BTT1" i="9"/>
  <c r="BTU1" i="9"/>
  <c r="BTV1" i="9"/>
  <c r="BTW1" i="9"/>
  <c r="BTX1" i="9"/>
  <c r="BTY1" i="9"/>
  <c r="BTZ1" i="9"/>
  <c r="BUA1" i="9"/>
  <c r="BUB1" i="9"/>
  <c r="BUC1" i="9"/>
  <c r="BUD1" i="9"/>
  <c r="BUE1" i="9"/>
  <c r="BUF1" i="9"/>
  <c r="BUG1" i="9"/>
  <c r="BUH1" i="9"/>
  <c r="BUI1" i="9"/>
  <c r="BUJ1" i="9"/>
  <c r="BUK1" i="9"/>
  <c r="BUL1" i="9"/>
  <c r="BUM1" i="9"/>
  <c r="BUN1" i="9"/>
  <c r="BUO1" i="9"/>
  <c r="BUP1" i="9"/>
  <c r="BUQ1" i="9"/>
  <c r="BUR1" i="9"/>
  <c r="BUS1" i="9"/>
  <c r="BUT1" i="9"/>
  <c r="BUU1" i="9"/>
  <c r="BUV1" i="9"/>
  <c r="BUW1" i="9"/>
  <c r="BUX1" i="9"/>
  <c r="BUY1" i="9"/>
  <c r="BUZ1" i="9"/>
  <c r="BVA1" i="9"/>
  <c r="BVB1" i="9"/>
  <c r="BVC1" i="9"/>
  <c r="BVD1" i="9"/>
  <c r="BVE1" i="9"/>
  <c r="BVF1" i="9"/>
  <c r="BVG1" i="9"/>
  <c r="BVH1" i="9"/>
  <c r="BVI1" i="9"/>
  <c r="BVJ1" i="9"/>
  <c r="BVK1" i="9"/>
  <c r="BVL1" i="9"/>
  <c r="BVM1" i="9"/>
  <c r="BVN1" i="9"/>
  <c r="BVO1" i="9"/>
  <c r="BVP1" i="9"/>
  <c r="BVQ1" i="9"/>
  <c r="BVR1" i="9"/>
  <c r="BVS1" i="9"/>
  <c r="BVT1" i="9"/>
  <c r="BVU1" i="9"/>
  <c r="BVV1" i="9"/>
  <c r="BVW1" i="9"/>
  <c r="BVX1" i="9"/>
  <c r="BVY1" i="9"/>
  <c r="BVZ1" i="9"/>
  <c r="BWA1" i="9"/>
  <c r="BWB1" i="9"/>
  <c r="BWC1" i="9"/>
  <c r="BWD1" i="9"/>
  <c r="BWE1" i="9"/>
  <c r="BWF1" i="9"/>
  <c r="BWG1" i="9"/>
  <c r="BWH1" i="9"/>
  <c r="BWI1" i="9"/>
  <c r="BWJ1" i="9"/>
  <c r="BWK1" i="9"/>
  <c r="BWL1" i="9"/>
  <c r="BWM1" i="9"/>
  <c r="BWN1" i="9"/>
  <c r="BWO1" i="9"/>
  <c r="BWP1" i="9"/>
  <c r="BWQ1" i="9"/>
  <c r="BWR1" i="9"/>
  <c r="BWS1" i="9"/>
  <c r="BWT1" i="9"/>
  <c r="BWU1" i="9"/>
  <c r="BWV1" i="9"/>
  <c r="BWW1" i="9"/>
  <c r="BWX1" i="9"/>
  <c r="BWY1" i="9"/>
  <c r="BWZ1" i="9"/>
  <c r="BXA1" i="9"/>
  <c r="BXB1" i="9"/>
  <c r="BXC1" i="9"/>
  <c r="BXD1" i="9"/>
  <c r="BXE1" i="9"/>
  <c r="BXF1" i="9"/>
  <c r="BXG1" i="9"/>
  <c r="BXH1" i="9"/>
  <c r="BXI1" i="9"/>
  <c r="BXJ1" i="9"/>
  <c r="BXK1" i="9"/>
  <c r="BXL1" i="9"/>
  <c r="BXM1" i="9"/>
  <c r="BXN1" i="9"/>
  <c r="BXO1" i="9"/>
  <c r="BXP1" i="9"/>
  <c r="BXQ1" i="9"/>
  <c r="BXR1" i="9"/>
  <c r="BXS1" i="9"/>
  <c r="BXT1" i="9"/>
  <c r="BXU1" i="9"/>
  <c r="BXV1" i="9"/>
  <c r="BXW1" i="9"/>
  <c r="BXX1" i="9"/>
  <c r="BXY1" i="9"/>
  <c r="BXZ1" i="9"/>
  <c r="BYA1" i="9"/>
  <c r="BYB1" i="9"/>
  <c r="BYC1" i="9"/>
  <c r="BYD1" i="9"/>
  <c r="BYE1" i="9"/>
  <c r="BYF1" i="9"/>
  <c r="BYG1" i="9"/>
  <c r="BYH1" i="9"/>
  <c r="BYI1" i="9"/>
  <c r="BYJ1" i="9"/>
  <c r="BYK1" i="9"/>
  <c r="BYL1" i="9"/>
  <c r="BYM1" i="9"/>
  <c r="BYN1" i="9"/>
  <c r="BYO1" i="9"/>
  <c r="BYP1" i="9"/>
  <c r="BYQ1" i="9"/>
  <c r="BYR1" i="9"/>
  <c r="BYS1" i="9"/>
  <c r="BYT1" i="9"/>
  <c r="BYU1" i="9"/>
  <c r="BYV1" i="9"/>
  <c r="BYW1" i="9"/>
  <c r="BYX1" i="9"/>
  <c r="BYY1" i="9"/>
  <c r="BYZ1" i="9"/>
  <c r="BZA1" i="9"/>
  <c r="BZB1" i="9"/>
  <c r="BZC1" i="9"/>
  <c r="BZD1" i="9"/>
  <c r="BZE1" i="9"/>
  <c r="BZF1" i="9"/>
  <c r="BZG1" i="9"/>
  <c r="BZH1" i="9"/>
  <c r="BZI1" i="9"/>
  <c r="BZJ1" i="9"/>
  <c r="BZK1" i="9"/>
  <c r="BZL1" i="9"/>
  <c r="BZM1" i="9"/>
  <c r="BZN1" i="9"/>
  <c r="BZO1" i="9"/>
  <c r="BZP1" i="9"/>
  <c r="BZQ1" i="9"/>
  <c r="BZR1" i="9"/>
  <c r="BZS1" i="9"/>
  <c r="BZT1" i="9"/>
  <c r="BZU1" i="9"/>
  <c r="BZV1" i="9"/>
  <c r="BZW1" i="9"/>
  <c r="BZX1" i="9"/>
  <c r="BZY1" i="9"/>
  <c r="BZZ1" i="9"/>
  <c r="CAA1" i="9"/>
  <c r="CAB1" i="9"/>
  <c r="CAC1" i="9"/>
  <c r="CAD1" i="9"/>
  <c r="CAE1" i="9"/>
  <c r="CAF1" i="9"/>
  <c r="CAG1" i="9"/>
  <c r="CAH1" i="9"/>
  <c r="CAI1" i="9"/>
  <c r="CAJ1" i="9"/>
  <c r="CAK1" i="9"/>
  <c r="CAL1" i="9"/>
  <c r="CAM1" i="9"/>
  <c r="CAN1" i="9"/>
  <c r="CAO1" i="9"/>
  <c r="CAP1" i="9"/>
  <c r="CAQ1" i="9"/>
  <c r="CAR1" i="9"/>
  <c r="CAS1" i="9"/>
  <c r="CAT1" i="9"/>
  <c r="CAU1" i="9"/>
  <c r="CAV1" i="9"/>
  <c r="CAW1" i="9"/>
  <c r="CAX1" i="9"/>
  <c r="CAY1" i="9"/>
  <c r="CAZ1" i="9"/>
  <c r="CBA1" i="9"/>
  <c r="CBB1" i="9"/>
  <c r="CBC1" i="9"/>
  <c r="CBD1" i="9"/>
  <c r="CBE1" i="9"/>
  <c r="CBF1" i="9"/>
  <c r="CBG1" i="9"/>
  <c r="CBH1" i="9"/>
  <c r="CBI1" i="9"/>
  <c r="CBJ1" i="9"/>
  <c r="CBK1" i="9"/>
  <c r="CBL1" i="9"/>
  <c r="CBM1" i="9"/>
  <c r="CBN1" i="9"/>
  <c r="CBO1" i="9"/>
  <c r="CBP1" i="9"/>
  <c r="CBQ1" i="9"/>
  <c r="CBR1" i="9"/>
  <c r="CBS1" i="9"/>
  <c r="CBT1" i="9"/>
  <c r="CBU1" i="9"/>
  <c r="CBV1" i="9"/>
  <c r="CBW1" i="9"/>
  <c r="CBX1" i="9"/>
  <c r="CBY1" i="9"/>
  <c r="CBZ1" i="9"/>
  <c r="CCA1" i="9"/>
  <c r="CCB1" i="9"/>
  <c r="CCC1" i="9"/>
  <c r="CCD1" i="9"/>
  <c r="CCE1" i="9"/>
  <c r="CCF1" i="9"/>
  <c r="CCG1" i="9"/>
  <c r="CCH1" i="9"/>
  <c r="CCI1" i="9"/>
  <c r="CCJ1" i="9"/>
  <c r="CCK1" i="9"/>
  <c r="CCL1" i="9"/>
  <c r="CCM1" i="9"/>
  <c r="CCN1" i="9"/>
  <c r="CCO1" i="9"/>
  <c r="CCP1" i="9"/>
  <c r="CCQ1" i="9"/>
  <c r="CCR1" i="9"/>
  <c r="CCS1" i="9"/>
  <c r="CCT1" i="9"/>
  <c r="CCU1" i="9"/>
  <c r="CCV1" i="9"/>
  <c r="CCW1" i="9"/>
  <c r="CCX1" i="9"/>
  <c r="CCY1" i="9"/>
  <c r="CCZ1" i="9"/>
  <c r="CDA1" i="9"/>
  <c r="CDB1" i="9"/>
  <c r="CDC1" i="9"/>
  <c r="CDD1" i="9"/>
  <c r="CDE1" i="9"/>
  <c r="CDF1" i="9"/>
  <c r="CDG1" i="9"/>
  <c r="CDH1" i="9"/>
  <c r="CDI1" i="9"/>
  <c r="CDJ1" i="9"/>
  <c r="CDK1" i="9"/>
  <c r="CDL1" i="9"/>
  <c r="CDM1" i="9"/>
  <c r="CDN1" i="9"/>
  <c r="CDO1" i="9"/>
  <c r="CDP1" i="9"/>
  <c r="CDQ1" i="9"/>
  <c r="CDR1" i="9"/>
  <c r="CDS1" i="9"/>
  <c r="CDT1" i="9"/>
  <c r="CDU1" i="9"/>
  <c r="CDV1" i="9"/>
  <c r="CDW1" i="9"/>
  <c r="CDX1" i="9"/>
  <c r="CDY1" i="9"/>
  <c r="CDZ1" i="9"/>
  <c r="CEA1" i="9"/>
  <c r="CEB1" i="9"/>
  <c r="CEC1" i="9"/>
  <c r="CED1" i="9"/>
  <c r="CEE1" i="9"/>
  <c r="CEF1" i="9"/>
  <c r="CEG1" i="9"/>
  <c r="CEH1" i="9"/>
  <c r="CEI1" i="9"/>
  <c r="CEJ1" i="9"/>
  <c r="CEK1" i="9"/>
  <c r="CEL1" i="9"/>
  <c r="CEM1" i="9"/>
  <c r="CEN1" i="9"/>
  <c r="CEO1" i="9"/>
  <c r="CEP1" i="9"/>
  <c r="CEQ1" i="9"/>
  <c r="CER1" i="9"/>
  <c r="CES1" i="9"/>
  <c r="CET1" i="9"/>
  <c r="CEU1" i="9"/>
  <c r="CEV1" i="9"/>
  <c r="CEW1" i="9"/>
  <c r="CEX1" i="9"/>
  <c r="CEY1" i="9"/>
  <c r="CEZ1" i="9"/>
  <c r="CFA1" i="9"/>
  <c r="CFB1" i="9"/>
  <c r="CFC1" i="9"/>
  <c r="CFD1" i="9"/>
  <c r="CFE1" i="9"/>
  <c r="CFF1" i="9"/>
  <c r="CFG1" i="9"/>
  <c r="CFH1" i="9"/>
  <c r="CFI1" i="9"/>
  <c r="CFJ1" i="9"/>
  <c r="CFK1" i="9"/>
  <c r="CFL1" i="9"/>
  <c r="CFM1" i="9"/>
  <c r="CFN1" i="9"/>
  <c r="CFO1" i="9"/>
  <c r="CFP1" i="9"/>
  <c r="CFQ1" i="9"/>
  <c r="CFR1" i="9"/>
  <c r="CFS1" i="9"/>
  <c r="CFT1" i="9"/>
  <c r="CFU1" i="9"/>
  <c r="CFV1" i="9"/>
  <c r="CFW1" i="9"/>
  <c r="CFX1" i="9"/>
  <c r="CFY1" i="9"/>
  <c r="CFZ1" i="9"/>
  <c r="CGA1" i="9"/>
  <c r="CGB1" i="9"/>
  <c r="CGC1" i="9"/>
  <c r="CGD1" i="9"/>
  <c r="CGE1" i="9"/>
  <c r="CGF1" i="9"/>
  <c r="CGG1" i="9"/>
  <c r="CGH1" i="9"/>
  <c r="CGI1" i="9"/>
  <c r="CGJ1" i="9"/>
  <c r="CGK1" i="9"/>
  <c r="CGL1" i="9"/>
  <c r="CGM1" i="9"/>
  <c r="CGN1" i="9"/>
  <c r="CGO1" i="9"/>
  <c r="CGP1" i="9"/>
  <c r="CGQ1" i="9"/>
  <c r="CGR1" i="9"/>
  <c r="CGS1" i="9"/>
  <c r="CGT1" i="9"/>
  <c r="CGU1" i="9"/>
  <c r="CGV1" i="9"/>
  <c r="CGW1" i="9"/>
  <c r="CGX1" i="9"/>
  <c r="CGY1" i="9"/>
  <c r="CGZ1" i="9"/>
  <c r="CHA1" i="9"/>
  <c r="CHB1" i="9"/>
  <c r="CHC1" i="9"/>
  <c r="CHD1" i="9"/>
  <c r="CHE1" i="9"/>
  <c r="CHF1" i="9"/>
  <c r="CHG1" i="9"/>
  <c r="CHH1" i="9"/>
  <c r="CHI1" i="9"/>
  <c r="CHJ1" i="9"/>
  <c r="CHK1" i="9"/>
  <c r="CHL1" i="9"/>
  <c r="CHM1" i="9"/>
  <c r="CHN1" i="9"/>
  <c r="CHO1" i="9"/>
  <c r="CHP1" i="9"/>
  <c r="CHQ1" i="9"/>
  <c r="CHR1" i="9"/>
  <c r="CHS1" i="9"/>
  <c r="CHT1" i="9"/>
  <c r="CHU1" i="9"/>
  <c r="CHV1" i="9"/>
  <c r="CHW1" i="9"/>
  <c r="CHX1" i="9"/>
  <c r="CHY1" i="9"/>
  <c r="CHZ1" i="9"/>
  <c r="CIA1" i="9"/>
  <c r="CIB1" i="9"/>
  <c r="CIC1" i="9"/>
  <c r="CID1" i="9"/>
  <c r="CIE1" i="9"/>
  <c r="CIF1" i="9"/>
  <c r="CIG1" i="9"/>
  <c r="CIH1" i="9"/>
  <c r="CII1" i="9"/>
  <c r="CIJ1" i="9"/>
  <c r="CIK1" i="9"/>
  <c r="CIL1" i="9"/>
  <c r="CIM1" i="9"/>
  <c r="CIN1" i="9"/>
  <c r="CIO1" i="9"/>
  <c r="CIP1" i="9"/>
  <c r="CIQ1" i="9"/>
  <c r="CIR1" i="9"/>
  <c r="CIS1" i="9"/>
  <c r="CIT1" i="9"/>
  <c r="CIU1" i="9"/>
  <c r="CIV1" i="9"/>
  <c r="CIW1" i="9"/>
  <c r="CIX1" i="9"/>
  <c r="CIY1" i="9"/>
  <c r="CIZ1" i="9"/>
  <c r="CJA1" i="9"/>
  <c r="CJB1" i="9"/>
  <c r="CJC1" i="9"/>
  <c r="CJD1" i="9"/>
  <c r="CJE1" i="9"/>
  <c r="CJF1" i="9"/>
  <c r="CJG1" i="9"/>
  <c r="CJH1" i="9"/>
  <c r="CJI1" i="9"/>
  <c r="CJJ1" i="9"/>
  <c r="CJK1" i="9"/>
  <c r="CJL1" i="9"/>
  <c r="CJM1" i="9"/>
  <c r="CJN1" i="9"/>
  <c r="CJO1" i="9"/>
  <c r="CJP1" i="9"/>
  <c r="CJQ1" i="9"/>
  <c r="CJR1" i="9"/>
  <c r="CJS1" i="9"/>
  <c r="CJT1" i="9"/>
  <c r="CJU1" i="9"/>
  <c r="CJV1" i="9"/>
  <c r="CJW1" i="9"/>
  <c r="CJX1" i="9"/>
  <c r="CJY1" i="9"/>
  <c r="CJZ1" i="9"/>
  <c r="CKA1" i="9"/>
  <c r="CKB1" i="9"/>
  <c r="CKC1" i="9"/>
  <c r="CKD1" i="9"/>
  <c r="CKE1" i="9"/>
  <c r="CKF1" i="9"/>
  <c r="CKG1" i="9"/>
  <c r="CKH1" i="9"/>
  <c r="CKI1" i="9"/>
  <c r="CKJ1" i="9"/>
  <c r="CKK1" i="9"/>
  <c r="CKL1" i="9"/>
  <c r="CKM1" i="9"/>
  <c r="CKN1" i="9"/>
  <c r="CKO1" i="9"/>
  <c r="CKP1" i="9"/>
  <c r="CKQ1" i="9"/>
  <c r="CKR1" i="9"/>
  <c r="CKS1" i="9"/>
  <c r="CKT1" i="9"/>
  <c r="CKU1" i="9"/>
  <c r="CKV1" i="9"/>
  <c r="CKW1" i="9"/>
  <c r="CKX1" i="9"/>
  <c r="CKY1" i="9"/>
  <c r="CKZ1" i="9"/>
  <c r="CLA1" i="9"/>
  <c r="CLB1" i="9"/>
  <c r="CLC1" i="9"/>
  <c r="CLD1" i="9"/>
  <c r="CLE1" i="9"/>
  <c r="CLF1" i="9"/>
  <c r="CLG1" i="9"/>
  <c r="CLH1" i="9"/>
  <c r="CLI1" i="9"/>
  <c r="CLJ1" i="9"/>
  <c r="CLK1" i="9"/>
  <c r="CLL1" i="9"/>
  <c r="CLM1" i="9"/>
  <c r="CLN1" i="9"/>
  <c r="CLO1" i="9"/>
  <c r="CLP1" i="9"/>
  <c r="CLQ1" i="9"/>
  <c r="CLR1" i="9"/>
  <c r="CLS1" i="9"/>
  <c r="CLT1" i="9"/>
  <c r="CLU1" i="9"/>
  <c r="CLV1" i="9"/>
  <c r="CLW1" i="9"/>
  <c r="CLX1" i="9"/>
  <c r="CLY1" i="9"/>
  <c r="CLZ1" i="9"/>
  <c r="CMA1" i="9"/>
  <c r="CMB1" i="9"/>
  <c r="CMC1" i="9"/>
  <c r="CMD1" i="9"/>
  <c r="CME1" i="9"/>
  <c r="CMF1" i="9"/>
  <c r="CMG1" i="9"/>
  <c r="CMH1" i="9"/>
  <c r="CMI1" i="9"/>
  <c r="CMJ1" i="9"/>
  <c r="CMK1" i="9"/>
  <c r="CML1" i="9"/>
  <c r="CMM1" i="9"/>
  <c r="CMN1" i="9"/>
  <c r="CMO1" i="9"/>
  <c r="CMP1" i="9"/>
  <c r="CMQ1" i="9"/>
  <c r="CMR1" i="9"/>
  <c r="CMS1" i="9"/>
  <c r="CMT1" i="9"/>
  <c r="CMU1" i="9"/>
  <c r="CMV1" i="9"/>
  <c r="CMW1" i="9"/>
  <c r="CMX1" i="9"/>
  <c r="CMY1" i="9"/>
  <c r="CMZ1" i="9"/>
  <c r="CNA1" i="9"/>
  <c r="CNB1" i="9"/>
  <c r="CNC1" i="9"/>
  <c r="CND1" i="9"/>
  <c r="CNE1" i="9"/>
  <c r="CNF1" i="9"/>
  <c r="CNG1" i="9"/>
  <c r="CNH1" i="9"/>
  <c r="CNI1" i="9"/>
  <c r="CNJ1" i="9"/>
  <c r="CNK1" i="9"/>
  <c r="CNL1" i="9"/>
  <c r="CNM1" i="9"/>
  <c r="CNN1" i="9"/>
  <c r="CNO1" i="9"/>
  <c r="CNP1" i="9"/>
  <c r="CNQ1" i="9"/>
  <c r="CNR1" i="9"/>
  <c r="CNS1" i="9"/>
  <c r="CNT1" i="9"/>
  <c r="CNU1" i="9"/>
  <c r="CNV1" i="9"/>
  <c r="CNW1" i="9"/>
  <c r="CNX1" i="9"/>
  <c r="CNY1" i="9"/>
  <c r="CNZ1" i="9"/>
  <c r="COA1" i="9"/>
  <c r="COB1" i="9"/>
  <c r="COC1" i="9"/>
  <c r="COD1" i="9"/>
  <c r="COE1" i="9"/>
  <c r="COF1" i="9"/>
  <c r="COG1" i="9"/>
  <c r="COH1" i="9"/>
  <c r="COI1" i="9"/>
  <c r="COJ1" i="9"/>
  <c r="COK1" i="9"/>
  <c r="COL1" i="9"/>
  <c r="COM1" i="9"/>
  <c r="CON1" i="9"/>
  <c r="COO1" i="9"/>
  <c r="COP1" i="9"/>
  <c r="COQ1" i="9"/>
  <c r="COR1" i="9"/>
  <c r="COS1" i="9"/>
  <c r="COT1" i="9"/>
  <c r="COU1" i="9"/>
  <c r="COV1" i="9"/>
  <c r="COW1" i="9"/>
  <c r="COX1" i="9"/>
  <c r="COY1" i="9"/>
  <c r="COZ1" i="9"/>
  <c r="CPA1" i="9"/>
  <c r="CPB1" i="9"/>
  <c r="CPC1" i="9"/>
  <c r="CPD1" i="9"/>
  <c r="CPE1" i="9"/>
  <c r="CPF1" i="9"/>
  <c r="CPG1" i="9"/>
  <c r="CPH1" i="9"/>
  <c r="CPI1" i="9"/>
  <c r="CPJ1" i="9"/>
  <c r="CPK1" i="9"/>
  <c r="CPL1" i="9"/>
  <c r="CPM1" i="9"/>
  <c r="CPN1" i="9"/>
  <c r="CPO1" i="9"/>
  <c r="CPP1" i="9"/>
  <c r="CPQ1" i="9"/>
  <c r="CPR1" i="9"/>
  <c r="CPS1" i="9"/>
  <c r="CPT1" i="9"/>
  <c r="CPU1" i="9"/>
  <c r="CPV1" i="9"/>
  <c r="CPW1" i="9"/>
  <c r="CPX1" i="9"/>
  <c r="CPY1" i="9"/>
  <c r="CPZ1" i="9"/>
  <c r="CQA1" i="9"/>
  <c r="CQB1" i="9"/>
  <c r="CQC1" i="9"/>
  <c r="CQD1" i="9"/>
  <c r="CQE1" i="9"/>
  <c r="CQF1" i="9"/>
  <c r="CQG1" i="9"/>
  <c r="CQH1" i="9"/>
  <c r="CQI1" i="9"/>
  <c r="CQJ1" i="9"/>
  <c r="CQK1" i="9"/>
  <c r="CQL1" i="9"/>
  <c r="CQM1" i="9"/>
  <c r="CQN1" i="9"/>
  <c r="CQO1" i="9"/>
  <c r="CQP1" i="9"/>
  <c r="CQQ1" i="9"/>
  <c r="CQR1" i="9"/>
  <c r="CQS1" i="9"/>
  <c r="CQT1" i="9"/>
  <c r="CQU1" i="9"/>
  <c r="CQV1" i="9"/>
  <c r="CQW1" i="9"/>
  <c r="CQX1" i="9"/>
  <c r="CQY1" i="9"/>
  <c r="CQZ1" i="9"/>
  <c r="CRA1" i="9"/>
  <c r="CRB1" i="9"/>
  <c r="CRC1" i="9"/>
  <c r="CRD1" i="9"/>
  <c r="CRE1" i="9"/>
  <c r="CRF1" i="9"/>
  <c r="CRG1" i="9"/>
  <c r="CRH1" i="9"/>
  <c r="CRI1" i="9"/>
  <c r="CRJ1" i="9"/>
  <c r="CRK1" i="9"/>
  <c r="CRL1" i="9"/>
  <c r="CRM1" i="9"/>
  <c r="CRN1" i="9"/>
  <c r="CRO1" i="9"/>
  <c r="CRP1" i="9"/>
  <c r="CRQ1" i="9"/>
  <c r="CRR1" i="9"/>
  <c r="CRS1" i="9"/>
  <c r="CRT1" i="9"/>
  <c r="CRU1" i="9"/>
  <c r="CRV1" i="9"/>
  <c r="CRW1" i="9"/>
  <c r="CRX1" i="9"/>
  <c r="CRY1" i="9"/>
  <c r="CRZ1" i="9"/>
  <c r="CSA1" i="9"/>
  <c r="CSB1" i="9"/>
  <c r="CSC1" i="9"/>
  <c r="CSD1" i="9"/>
  <c r="CSE1" i="9"/>
  <c r="CSF1" i="9"/>
  <c r="CSG1" i="9"/>
  <c r="CSH1" i="9"/>
  <c r="CSI1" i="9"/>
  <c r="CSJ1" i="9"/>
  <c r="CSK1" i="9"/>
  <c r="CSL1" i="9"/>
  <c r="CSM1" i="9"/>
  <c r="CSN1" i="9"/>
  <c r="CSO1" i="9"/>
  <c r="CSP1" i="9"/>
  <c r="CSQ1" i="9"/>
  <c r="CSR1" i="9"/>
  <c r="CSS1" i="9"/>
  <c r="CST1" i="9"/>
  <c r="CSU1" i="9"/>
  <c r="CSV1" i="9"/>
  <c r="CSW1" i="9"/>
  <c r="CSX1" i="9"/>
  <c r="CSY1" i="9"/>
  <c r="CSZ1" i="9"/>
  <c r="CTA1" i="9"/>
  <c r="CTB1" i="9"/>
  <c r="CTC1" i="9"/>
  <c r="CTD1" i="9"/>
  <c r="CTE1" i="9"/>
  <c r="CTF1" i="9"/>
  <c r="CTG1" i="9"/>
  <c r="CTH1" i="9"/>
  <c r="CTI1" i="9"/>
  <c r="CTJ1" i="9"/>
  <c r="CTK1" i="9"/>
  <c r="CTL1" i="9"/>
  <c r="CTM1" i="9"/>
  <c r="CTN1" i="9"/>
  <c r="CTO1" i="9"/>
  <c r="CTP1" i="9"/>
  <c r="CTQ1" i="9"/>
  <c r="CTR1" i="9"/>
  <c r="CTS1" i="9"/>
  <c r="CTT1" i="9"/>
  <c r="CTU1" i="9"/>
  <c r="CTV1" i="9"/>
  <c r="CTW1" i="9"/>
  <c r="CTX1" i="9"/>
  <c r="CTY1" i="9"/>
  <c r="CTZ1" i="9"/>
  <c r="CUA1" i="9"/>
  <c r="CUB1" i="9"/>
  <c r="CUC1" i="9"/>
  <c r="CUD1" i="9"/>
  <c r="CUE1" i="9"/>
  <c r="CUF1" i="9"/>
  <c r="CUG1" i="9"/>
  <c r="CUH1" i="9"/>
  <c r="CUI1" i="9"/>
  <c r="CUJ1" i="9"/>
  <c r="CUK1" i="9"/>
  <c r="CUL1" i="9"/>
  <c r="CUM1" i="9"/>
  <c r="CUN1" i="9"/>
  <c r="CUO1" i="9"/>
  <c r="CUP1" i="9"/>
  <c r="CUQ1" i="9"/>
  <c r="CUR1" i="9"/>
  <c r="CUS1" i="9"/>
  <c r="CUT1" i="9"/>
  <c r="CUU1" i="9"/>
  <c r="CUV1" i="9"/>
  <c r="CUW1" i="9"/>
  <c r="CUX1" i="9"/>
  <c r="CUY1" i="9"/>
  <c r="CUZ1" i="9"/>
  <c r="CVA1" i="9"/>
  <c r="CVB1" i="9"/>
  <c r="CVC1" i="9"/>
  <c r="CVD1" i="9"/>
  <c r="CVE1" i="9"/>
  <c r="CVF1" i="9"/>
  <c r="CVG1" i="9"/>
  <c r="CVH1" i="9"/>
  <c r="CVI1" i="9"/>
  <c r="CVJ1" i="9"/>
  <c r="CVK1" i="9"/>
  <c r="CVL1" i="9"/>
  <c r="CVM1" i="9"/>
  <c r="CVN1" i="9"/>
  <c r="CVO1" i="9"/>
  <c r="CVP1" i="9"/>
  <c r="CVQ1" i="9"/>
  <c r="CVR1" i="9"/>
  <c r="CVS1" i="9"/>
  <c r="CVT1" i="9"/>
  <c r="CVU1" i="9"/>
  <c r="CVV1" i="9"/>
  <c r="CVW1" i="9"/>
  <c r="CVX1" i="9"/>
  <c r="CVY1" i="9"/>
  <c r="CVZ1" i="9"/>
  <c r="CWA1" i="9"/>
  <c r="CWB1" i="9"/>
  <c r="CWC1" i="9"/>
  <c r="CWD1" i="9"/>
  <c r="CWE1" i="9"/>
  <c r="CWF1" i="9"/>
  <c r="CWG1" i="9"/>
  <c r="CWH1" i="9"/>
  <c r="CWI1" i="9"/>
  <c r="CWJ1" i="9"/>
  <c r="CWK1" i="9"/>
  <c r="CWL1" i="9"/>
  <c r="CWM1" i="9"/>
  <c r="CWN1" i="9"/>
  <c r="CWO1" i="9"/>
  <c r="CWP1" i="9"/>
  <c r="CWQ1" i="9"/>
  <c r="CWR1" i="9"/>
  <c r="CWS1" i="9"/>
  <c r="CWT1" i="9"/>
  <c r="CWU1" i="9"/>
  <c r="CWV1" i="9"/>
  <c r="CWW1" i="9"/>
  <c r="CWX1" i="9"/>
  <c r="CWY1" i="9"/>
  <c r="CWZ1" i="9"/>
  <c r="CXA1" i="9"/>
  <c r="CXB1" i="9"/>
  <c r="CXC1" i="9"/>
  <c r="CXD1" i="9"/>
  <c r="CXE1" i="9"/>
  <c r="CXF1" i="9"/>
  <c r="CXG1" i="9"/>
  <c r="CXH1" i="9"/>
  <c r="CXI1" i="9"/>
  <c r="CXJ1" i="9"/>
  <c r="CXK1" i="9"/>
  <c r="CXL1" i="9"/>
  <c r="CXM1" i="9"/>
  <c r="CXN1" i="9"/>
  <c r="CXO1" i="9"/>
  <c r="CXP1" i="9"/>
  <c r="CXQ1" i="9"/>
  <c r="CXR1" i="9"/>
  <c r="CXS1" i="9"/>
  <c r="CXT1" i="9"/>
  <c r="CXU1" i="9"/>
  <c r="CXV1" i="9"/>
  <c r="CXW1" i="9"/>
  <c r="CXX1" i="9"/>
  <c r="CXY1" i="9"/>
  <c r="CXZ1" i="9"/>
  <c r="CYA1" i="9"/>
  <c r="CYB1" i="9"/>
  <c r="CYC1" i="9"/>
  <c r="CYD1" i="9"/>
  <c r="CYE1" i="9"/>
  <c r="CYF1" i="9"/>
  <c r="CYG1" i="9"/>
  <c r="CYH1" i="9"/>
  <c r="CYI1" i="9"/>
  <c r="CYJ1" i="9"/>
  <c r="CYK1" i="9"/>
  <c r="CYL1" i="9"/>
  <c r="CYM1" i="9"/>
  <c r="CYN1" i="9"/>
  <c r="CYO1" i="9"/>
  <c r="CYP1" i="9"/>
  <c r="CYQ1" i="9"/>
  <c r="CYR1" i="9"/>
  <c r="CYS1" i="9"/>
  <c r="CYT1" i="9"/>
  <c r="CYU1" i="9"/>
  <c r="CYV1" i="9"/>
  <c r="CYW1" i="9"/>
  <c r="CYX1" i="9"/>
  <c r="CYY1" i="9"/>
  <c r="CYZ1" i="9"/>
  <c r="CZA1" i="9"/>
  <c r="CZB1" i="9"/>
  <c r="CZC1" i="9"/>
  <c r="CZD1" i="9"/>
  <c r="CZE1" i="9"/>
  <c r="CZF1" i="9"/>
  <c r="CZG1" i="9"/>
  <c r="CZH1" i="9"/>
  <c r="CZI1" i="9"/>
  <c r="CZJ1" i="9"/>
  <c r="CZK1" i="9"/>
  <c r="CZL1" i="9"/>
  <c r="CZM1" i="9"/>
  <c r="CZN1" i="9"/>
  <c r="CZO1" i="9"/>
  <c r="CZP1" i="9"/>
  <c r="CZQ1" i="9"/>
  <c r="CZR1" i="9"/>
  <c r="CZS1" i="9"/>
  <c r="CZT1" i="9"/>
  <c r="CZU1" i="9"/>
  <c r="CZV1" i="9"/>
  <c r="CZW1" i="9"/>
  <c r="CZX1" i="9"/>
  <c r="CZY1" i="9"/>
  <c r="CZZ1" i="9"/>
  <c r="DAA1" i="9"/>
  <c r="DAB1" i="9"/>
  <c r="DAC1" i="9"/>
  <c r="DAD1" i="9"/>
  <c r="DAE1" i="9"/>
  <c r="DAF1" i="9"/>
  <c r="DAG1" i="9"/>
  <c r="DAH1" i="9"/>
  <c r="DAI1" i="9"/>
  <c r="DAJ1" i="9"/>
  <c r="DAK1" i="9"/>
  <c r="DAL1" i="9"/>
  <c r="DAM1" i="9"/>
  <c r="DAN1" i="9"/>
  <c r="DAO1" i="9"/>
  <c r="DAP1" i="9"/>
  <c r="DAQ1" i="9"/>
  <c r="DAR1" i="9"/>
  <c r="DAS1" i="9"/>
  <c r="DAT1" i="9"/>
  <c r="DAU1" i="9"/>
  <c r="DAV1" i="9"/>
  <c r="DAW1" i="9"/>
  <c r="DAX1" i="9"/>
  <c r="DAY1" i="9"/>
  <c r="DAZ1" i="9"/>
  <c r="DBA1" i="9"/>
  <c r="DBB1" i="9"/>
  <c r="DBC1" i="9"/>
  <c r="DBD1" i="9"/>
  <c r="DBE1" i="9"/>
  <c r="DBF1" i="9"/>
  <c r="DBG1" i="9"/>
  <c r="DBH1" i="9"/>
  <c r="DBI1" i="9"/>
  <c r="DBJ1" i="9"/>
  <c r="DBK1" i="9"/>
  <c r="DBL1" i="9"/>
  <c r="DBM1" i="9"/>
  <c r="DBN1" i="9"/>
  <c r="DBO1" i="9"/>
  <c r="DBP1" i="9"/>
  <c r="DBQ1" i="9"/>
  <c r="DBR1" i="9"/>
  <c r="DBS1" i="9"/>
  <c r="DBT1" i="9"/>
  <c r="DBU1" i="9"/>
  <c r="DBV1" i="9"/>
  <c r="DBW1" i="9"/>
  <c r="DBX1" i="9"/>
  <c r="DBY1" i="9"/>
  <c r="DBZ1" i="9"/>
  <c r="DCA1" i="9"/>
  <c r="DCB1" i="9"/>
  <c r="DCC1" i="9"/>
  <c r="DCD1" i="9"/>
  <c r="DCE1" i="9"/>
  <c r="DCF1" i="9"/>
  <c r="DCG1" i="9"/>
  <c r="DCH1" i="9"/>
  <c r="DCI1" i="9"/>
  <c r="DCJ1" i="9"/>
  <c r="DCK1" i="9"/>
  <c r="DCL1" i="9"/>
  <c r="DCM1" i="9"/>
  <c r="DCN1" i="9"/>
  <c r="DCO1" i="9"/>
  <c r="DCP1" i="9"/>
  <c r="DCQ1" i="9"/>
  <c r="DCR1" i="9"/>
  <c r="DCS1" i="9"/>
  <c r="DCT1" i="9"/>
  <c r="DCU1" i="9"/>
  <c r="DCV1" i="9"/>
  <c r="DCW1" i="9"/>
  <c r="DCX1" i="9"/>
  <c r="DCY1" i="9"/>
  <c r="DCZ1" i="9"/>
  <c r="DDA1" i="9"/>
  <c r="DDB1" i="9"/>
  <c r="DDC1" i="9"/>
  <c r="DDD1" i="9"/>
  <c r="DDE1" i="9"/>
  <c r="DDF1" i="9"/>
  <c r="DDG1" i="9"/>
  <c r="DDH1" i="9"/>
  <c r="DDI1" i="9"/>
  <c r="DDJ1" i="9"/>
  <c r="DDK1" i="9"/>
  <c r="DDL1" i="9"/>
  <c r="DDM1" i="9"/>
  <c r="DDN1" i="9"/>
  <c r="DDO1" i="9"/>
  <c r="DDP1" i="9"/>
  <c r="DDQ1" i="9"/>
  <c r="DDR1" i="9"/>
  <c r="DDS1" i="9"/>
  <c r="DDT1" i="9"/>
  <c r="DDU1" i="9"/>
  <c r="DDV1" i="9"/>
  <c r="DDW1" i="9"/>
  <c r="DDX1" i="9"/>
  <c r="DDY1" i="9"/>
  <c r="DDZ1" i="9"/>
  <c r="DEA1" i="9"/>
  <c r="DEB1" i="9"/>
  <c r="DEC1" i="9"/>
  <c r="DED1" i="9"/>
  <c r="DEE1" i="9"/>
  <c r="DEF1" i="9"/>
  <c r="DEG1" i="9"/>
  <c r="DEH1" i="9"/>
  <c r="DEI1" i="9"/>
  <c r="DEJ1" i="9"/>
  <c r="DEK1" i="9"/>
  <c r="DEL1" i="9"/>
  <c r="DEM1" i="9"/>
  <c r="DEN1" i="9"/>
  <c r="DEO1" i="9"/>
  <c r="DEP1" i="9"/>
  <c r="DEQ1" i="9"/>
  <c r="DER1" i="9"/>
  <c r="DES1" i="9"/>
  <c r="DET1" i="9"/>
  <c r="DEU1" i="9"/>
  <c r="DEV1" i="9"/>
  <c r="DEW1" i="9"/>
  <c r="DEX1" i="9"/>
  <c r="DEY1" i="9"/>
  <c r="DEZ1" i="9"/>
  <c r="DFA1" i="9"/>
  <c r="DFB1" i="9"/>
  <c r="DFC1" i="9"/>
  <c r="DFD1" i="9"/>
  <c r="DFE1" i="9"/>
  <c r="DFF1" i="9"/>
  <c r="DFG1" i="9"/>
  <c r="DFH1" i="9"/>
  <c r="DFI1" i="9"/>
  <c r="DFJ1" i="9"/>
  <c r="DFK1" i="9"/>
  <c r="DFL1" i="9"/>
  <c r="DFM1" i="9"/>
  <c r="DFN1" i="9"/>
  <c r="DFO1" i="9"/>
  <c r="DFP1" i="9"/>
  <c r="DFQ1" i="9"/>
  <c r="DFR1" i="9"/>
  <c r="DFS1" i="9"/>
  <c r="DFT1" i="9"/>
  <c r="DFU1" i="9"/>
  <c r="DFV1" i="9"/>
  <c r="DFW1" i="9"/>
  <c r="DFX1" i="9"/>
  <c r="DFY1" i="9"/>
  <c r="DFZ1" i="9"/>
  <c r="DGA1" i="9"/>
  <c r="DGB1" i="9"/>
  <c r="DGC1" i="9"/>
  <c r="DGD1" i="9"/>
  <c r="DGE1" i="9"/>
  <c r="DGF1" i="9"/>
  <c r="DGG1" i="9"/>
  <c r="DGH1" i="9"/>
  <c r="DGI1" i="9"/>
  <c r="DGJ1" i="9"/>
  <c r="DGK1" i="9"/>
  <c r="DGL1" i="9"/>
  <c r="DGM1" i="9"/>
  <c r="DGN1" i="9"/>
  <c r="DGO1" i="9"/>
  <c r="DGP1" i="9"/>
  <c r="DGQ1" i="9"/>
  <c r="DGR1" i="9"/>
  <c r="DGS1" i="9"/>
  <c r="DGT1" i="9"/>
  <c r="DGU1" i="9"/>
  <c r="DGV1" i="9"/>
  <c r="DGW1" i="9"/>
  <c r="DGX1" i="9"/>
  <c r="DGY1" i="9"/>
  <c r="DGZ1" i="9"/>
  <c r="DHA1" i="9"/>
  <c r="DHB1" i="9"/>
  <c r="DHC1" i="9"/>
  <c r="DHD1" i="9"/>
  <c r="DHE1" i="9"/>
  <c r="DHF1" i="9"/>
  <c r="DHG1" i="9"/>
  <c r="DHH1" i="9"/>
  <c r="DHI1" i="9"/>
  <c r="DHJ1" i="9"/>
  <c r="DHK1" i="9"/>
  <c r="DHL1" i="9"/>
  <c r="DHM1" i="9"/>
  <c r="DHN1" i="9"/>
  <c r="DHO1" i="9"/>
  <c r="DHP1" i="9"/>
  <c r="DHQ1" i="9"/>
  <c r="DHR1" i="9"/>
  <c r="DHS1" i="9"/>
  <c r="DHT1" i="9"/>
  <c r="DHU1" i="9"/>
  <c r="DHV1" i="9"/>
  <c r="DHW1" i="9"/>
  <c r="DHX1" i="9"/>
  <c r="DHY1" i="9"/>
  <c r="DHZ1" i="9"/>
  <c r="DIA1" i="9"/>
  <c r="DIB1" i="9"/>
  <c r="DIC1" i="9"/>
  <c r="DID1" i="9"/>
  <c r="DIE1" i="9"/>
  <c r="DIF1" i="9"/>
  <c r="DIG1" i="9"/>
  <c r="DIH1" i="9"/>
  <c r="DII1" i="9"/>
  <c r="DIJ1" i="9"/>
  <c r="DIK1" i="9"/>
  <c r="DIL1" i="9"/>
  <c r="DIM1" i="9"/>
  <c r="DIN1" i="9"/>
  <c r="DIO1" i="9"/>
  <c r="DIP1" i="9"/>
  <c r="DIQ1" i="9"/>
  <c r="DIR1" i="9"/>
  <c r="DIS1" i="9"/>
  <c r="DIT1" i="9"/>
  <c r="DIU1" i="9"/>
  <c r="DIV1" i="9"/>
  <c r="DIW1" i="9"/>
  <c r="DIX1" i="9"/>
  <c r="DIY1" i="9"/>
  <c r="DIZ1" i="9"/>
  <c r="DJA1" i="9"/>
  <c r="DJB1" i="9"/>
  <c r="DJC1" i="9"/>
  <c r="DJD1" i="9"/>
  <c r="DJE1" i="9"/>
  <c r="DJF1" i="9"/>
  <c r="DJG1" i="9"/>
  <c r="DJH1" i="9"/>
  <c r="DJI1" i="9"/>
  <c r="DJJ1" i="9"/>
  <c r="DJK1" i="9"/>
  <c r="DJL1" i="9"/>
  <c r="DJM1" i="9"/>
  <c r="DJN1" i="9"/>
  <c r="DJO1" i="9"/>
  <c r="DJP1" i="9"/>
  <c r="DJQ1" i="9"/>
  <c r="DJR1" i="9"/>
  <c r="DJS1" i="9"/>
  <c r="DJT1" i="9"/>
  <c r="DJU1" i="9"/>
  <c r="DJV1" i="9"/>
  <c r="DJW1" i="9"/>
  <c r="DJX1" i="9"/>
  <c r="DJY1" i="9"/>
  <c r="DJZ1" i="9"/>
  <c r="DKA1" i="9"/>
  <c r="DKB1" i="9"/>
  <c r="DKC1" i="9"/>
  <c r="DKD1" i="9"/>
  <c r="DKE1" i="9"/>
  <c r="DKF1" i="9"/>
  <c r="DKG1" i="9"/>
  <c r="DKH1" i="9"/>
  <c r="DKI1" i="9"/>
  <c r="DKJ1" i="9"/>
  <c r="DKK1" i="9"/>
  <c r="DKL1" i="9"/>
  <c r="DKM1" i="9"/>
  <c r="DKN1" i="9"/>
  <c r="DKO1" i="9"/>
  <c r="DKP1" i="9"/>
  <c r="DKQ1" i="9"/>
  <c r="DKR1" i="9"/>
  <c r="DKS1" i="9"/>
  <c r="DKT1" i="9"/>
  <c r="DKU1" i="9"/>
  <c r="DKV1" i="9"/>
  <c r="DKW1" i="9"/>
  <c r="DKX1" i="9"/>
  <c r="DKY1" i="9"/>
  <c r="DKZ1" i="9"/>
  <c r="DLA1" i="9"/>
  <c r="DLB1" i="9"/>
  <c r="DLC1" i="9"/>
  <c r="DLD1" i="9"/>
  <c r="DLE1" i="9"/>
  <c r="DLF1" i="9"/>
  <c r="DLG1" i="9"/>
  <c r="DLH1" i="9"/>
  <c r="DLI1" i="9"/>
  <c r="DLJ1" i="9"/>
  <c r="DLK1" i="9"/>
  <c r="DLL1" i="9"/>
  <c r="DLM1" i="9"/>
  <c r="DLN1" i="9"/>
  <c r="DLO1" i="9"/>
  <c r="DLP1" i="9"/>
  <c r="DLQ1" i="9"/>
  <c r="DLR1" i="9"/>
  <c r="DLS1" i="9"/>
  <c r="DLT1" i="9"/>
  <c r="DLU1" i="9"/>
  <c r="DLV1" i="9"/>
  <c r="DLW1" i="9"/>
  <c r="DLX1" i="9"/>
  <c r="DLY1" i="9"/>
  <c r="DLZ1" i="9"/>
  <c r="DMA1" i="9"/>
  <c r="DMB1" i="9"/>
  <c r="DMC1" i="9"/>
  <c r="DMD1" i="9"/>
  <c r="DME1" i="9"/>
  <c r="DMF1" i="9"/>
  <c r="DMG1" i="9"/>
  <c r="DMH1" i="9"/>
  <c r="DMI1" i="9"/>
  <c r="DMJ1" i="9"/>
  <c r="DMK1" i="9"/>
  <c r="DML1" i="9"/>
  <c r="DMM1" i="9"/>
  <c r="DMN1" i="9"/>
  <c r="DMO1" i="9"/>
  <c r="DMP1" i="9"/>
  <c r="DMQ1" i="9"/>
  <c r="DMR1" i="9"/>
  <c r="DMS1" i="9"/>
  <c r="DMT1" i="9"/>
  <c r="DMU1" i="9"/>
  <c r="DMV1" i="9"/>
  <c r="DMW1" i="9"/>
  <c r="DMX1" i="9"/>
  <c r="DMY1" i="9"/>
  <c r="DMZ1" i="9"/>
  <c r="DNA1" i="9"/>
  <c r="DNB1" i="9"/>
  <c r="DNC1" i="9"/>
  <c r="DND1" i="9"/>
  <c r="DNE1" i="9"/>
  <c r="DNF1" i="9"/>
  <c r="DNG1" i="9"/>
  <c r="DNH1" i="9"/>
  <c r="DNI1" i="9"/>
  <c r="DNJ1" i="9"/>
  <c r="DNK1" i="9"/>
  <c r="DNL1" i="9"/>
  <c r="DNM1" i="9"/>
  <c r="DNN1" i="9"/>
  <c r="DNO1" i="9"/>
  <c r="DNP1" i="9"/>
  <c r="DNQ1" i="9"/>
  <c r="DNR1" i="9"/>
  <c r="DNS1" i="9"/>
  <c r="DNT1" i="9"/>
  <c r="DNU1" i="9"/>
  <c r="DNV1" i="9"/>
  <c r="DNW1" i="9"/>
  <c r="DNX1" i="9"/>
  <c r="DNY1" i="9"/>
  <c r="DNZ1" i="9"/>
  <c r="DOA1" i="9"/>
  <c r="DOB1" i="9"/>
  <c r="DOC1" i="9"/>
  <c r="DOD1" i="9"/>
  <c r="DOE1" i="9"/>
  <c r="DOF1" i="9"/>
  <c r="DOG1" i="9"/>
  <c r="DOH1" i="9"/>
  <c r="DOI1" i="9"/>
  <c r="DOJ1" i="9"/>
  <c r="DOK1" i="9"/>
  <c r="DOL1" i="9"/>
  <c r="DOM1" i="9"/>
  <c r="DON1" i="9"/>
  <c r="DOO1" i="9"/>
  <c r="DOP1" i="9"/>
  <c r="DOQ1" i="9"/>
  <c r="DOR1" i="9"/>
  <c r="DOS1" i="9"/>
  <c r="DOT1" i="9"/>
  <c r="DOU1" i="9"/>
  <c r="DOV1" i="9"/>
  <c r="DOW1" i="9"/>
  <c r="DOX1" i="9"/>
  <c r="DOY1" i="9"/>
  <c r="DOZ1" i="9"/>
  <c r="DPA1" i="9"/>
  <c r="DPB1" i="9"/>
  <c r="DPC1" i="9"/>
  <c r="DPD1" i="9"/>
  <c r="DPE1" i="9"/>
  <c r="DPF1" i="9"/>
  <c r="DPG1" i="9"/>
  <c r="DPH1" i="9"/>
  <c r="DPI1" i="9"/>
  <c r="DPJ1" i="9"/>
  <c r="DPK1" i="9"/>
  <c r="DPL1" i="9"/>
  <c r="DPM1" i="9"/>
  <c r="DPN1" i="9"/>
  <c r="DPO1" i="9"/>
  <c r="DPP1" i="9"/>
  <c r="DPQ1" i="9"/>
  <c r="DPR1" i="9"/>
  <c r="DPS1" i="9"/>
  <c r="DPT1" i="9"/>
  <c r="DPU1" i="9"/>
  <c r="DPV1" i="9"/>
  <c r="DPW1" i="9"/>
  <c r="DPX1" i="9"/>
  <c r="DPY1" i="9"/>
  <c r="DPZ1" i="9"/>
  <c r="DQA1" i="9"/>
  <c r="DQB1" i="9"/>
  <c r="DQC1" i="9"/>
  <c r="DQD1" i="9"/>
  <c r="DQE1" i="9"/>
  <c r="DQF1" i="9"/>
  <c r="DQG1" i="9"/>
  <c r="DQH1" i="9"/>
  <c r="DQI1" i="9"/>
  <c r="DQJ1" i="9"/>
  <c r="DQK1" i="9"/>
  <c r="DQL1" i="9"/>
  <c r="DQM1" i="9"/>
  <c r="DQN1" i="9"/>
  <c r="DQO1" i="9"/>
  <c r="DQP1" i="9"/>
  <c r="DQQ1" i="9"/>
  <c r="DQR1" i="9"/>
  <c r="DQS1" i="9"/>
  <c r="DQT1" i="9"/>
  <c r="DQU1" i="9"/>
  <c r="DQV1" i="9"/>
  <c r="DQW1" i="9"/>
  <c r="DQX1" i="9"/>
  <c r="DQY1" i="9"/>
  <c r="DQZ1" i="9"/>
  <c r="DRA1" i="9"/>
  <c r="DRB1" i="9"/>
  <c r="DRC1" i="9"/>
  <c r="DRD1" i="9"/>
  <c r="DRE1" i="9"/>
  <c r="DRF1" i="9"/>
  <c r="DRG1" i="9"/>
  <c r="DRH1" i="9"/>
  <c r="DRI1" i="9"/>
  <c r="DRJ1" i="9"/>
  <c r="DRK1" i="9"/>
  <c r="DRL1" i="9"/>
  <c r="DRM1" i="9"/>
  <c r="DRN1" i="9"/>
  <c r="DRO1" i="9"/>
  <c r="DRP1" i="9"/>
  <c r="DRQ1" i="9"/>
  <c r="DRR1" i="9"/>
  <c r="DRS1" i="9"/>
  <c r="DRT1" i="9"/>
  <c r="DRU1" i="9"/>
  <c r="DRV1" i="9"/>
  <c r="DRW1" i="9"/>
  <c r="DRX1" i="9"/>
  <c r="DRY1" i="9"/>
  <c r="DRZ1" i="9"/>
  <c r="DSA1" i="9"/>
  <c r="DSB1" i="9"/>
  <c r="DSC1" i="9"/>
  <c r="DSD1" i="9"/>
  <c r="DSE1" i="9"/>
  <c r="DSF1" i="9"/>
  <c r="DSG1" i="9"/>
  <c r="DSH1" i="9"/>
  <c r="DSI1" i="9"/>
  <c r="DSJ1" i="9"/>
  <c r="DSK1" i="9"/>
  <c r="DSL1" i="9"/>
  <c r="DSM1" i="9"/>
  <c r="DSN1" i="9"/>
  <c r="DSO1" i="9"/>
  <c r="DSP1" i="9"/>
  <c r="DSQ1" i="9"/>
  <c r="DSR1" i="9"/>
  <c r="DSS1" i="9"/>
  <c r="DST1" i="9"/>
  <c r="DSU1" i="9"/>
  <c r="DSV1" i="9"/>
  <c r="DSW1" i="9"/>
  <c r="DSX1" i="9"/>
  <c r="DSY1" i="9"/>
  <c r="DSZ1" i="9"/>
  <c r="DTA1" i="9"/>
  <c r="DTB1" i="9"/>
  <c r="DTC1" i="9"/>
  <c r="DTD1" i="9"/>
  <c r="DTE1" i="9"/>
  <c r="DTF1" i="9"/>
  <c r="DTG1" i="9"/>
  <c r="DTH1" i="9"/>
  <c r="DTI1" i="9"/>
  <c r="DTJ1" i="9"/>
  <c r="DTK1" i="9"/>
  <c r="DTL1" i="9"/>
  <c r="DTM1" i="9"/>
  <c r="DTN1" i="9"/>
  <c r="DTO1" i="9"/>
  <c r="DTP1" i="9"/>
  <c r="DTQ1" i="9"/>
  <c r="DTR1" i="9"/>
  <c r="DTS1" i="9"/>
  <c r="DTT1" i="9"/>
  <c r="DTU1" i="9"/>
  <c r="DTV1" i="9"/>
  <c r="DTW1" i="9"/>
  <c r="DTX1" i="9"/>
  <c r="DTY1" i="9"/>
  <c r="DTZ1" i="9"/>
  <c r="DUA1" i="9"/>
  <c r="DUB1" i="9"/>
  <c r="DUC1" i="9"/>
  <c r="DUD1" i="9"/>
  <c r="DUE1" i="9"/>
  <c r="DUF1" i="9"/>
  <c r="DUG1" i="9"/>
  <c r="DUH1" i="9"/>
  <c r="DUI1" i="9"/>
  <c r="DUJ1" i="9"/>
  <c r="DUK1" i="9"/>
  <c r="DUL1" i="9"/>
  <c r="DUM1" i="9"/>
  <c r="DUN1" i="9"/>
  <c r="DUO1" i="9"/>
  <c r="DUP1" i="9"/>
  <c r="DUQ1" i="9"/>
  <c r="DUR1" i="9"/>
  <c r="DUS1" i="9"/>
  <c r="DUT1" i="9"/>
  <c r="DUU1" i="9"/>
  <c r="DUV1" i="9"/>
  <c r="DUW1" i="9"/>
  <c r="DUX1" i="9"/>
  <c r="DUY1" i="9"/>
  <c r="DUZ1" i="9"/>
  <c r="DVA1" i="9"/>
  <c r="DVB1" i="9"/>
  <c r="DVC1" i="9"/>
  <c r="DVD1" i="9"/>
  <c r="DVE1" i="9"/>
  <c r="DVF1" i="9"/>
  <c r="DVG1" i="9"/>
  <c r="DVH1" i="9"/>
  <c r="DVI1" i="9"/>
  <c r="DVJ1" i="9"/>
  <c r="DVK1" i="9"/>
  <c r="DVL1" i="9"/>
  <c r="DVM1" i="9"/>
  <c r="DVN1" i="9"/>
  <c r="DVO1" i="9"/>
  <c r="DVP1" i="9"/>
  <c r="DVQ1" i="9"/>
  <c r="DVR1" i="9"/>
  <c r="DVS1" i="9"/>
  <c r="DVT1" i="9"/>
  <c r="DVU1" i="9"/>
  <c r="DVV1" i="9"/>
  <c r="DVW1" i="9"/>
  <c r="DVX1" i="9"/>
  <c r="DVY1" i="9"/>
  <c r="DVZ1" i="9"/>
  <c r="DWA1" i="9"/>
  <c r="DWB1" i="9"/>
  <c r="DWC1" i="9"/>
  <c r="DWD1" i="9"/>
  <c r="DWE1" i="9"/>
  <c r="DWF1" i="9"/>
  <c r="DWG1" i="9"/>
  <c r="DWH1" i="9"/>
  <c r="DWI1" i="9"/>
  <c r="DWJ1" i="9"/>
  <c r="DWK1" i="9"/>
  <c r="DWL1" i="9"/>
  <c r="DWM1" i="9"/>
  <c r="DWN1" i="9"/>
  <c r="DWO1" i="9"/>
  <c r="DWP1" i="9"/>
  <c r="DWQ1" i="9"/>
  <c r="DWR1" i="9"/>
  <c r="DWS1" i="9"/>
  <c r="DWT1" i="9"/>
  <c r="DWU1" i="9"/>
  <c r="DWV1" i="9"/>
  <c r="DWW1" i="9"/>
  <c r="DWX1" i="9"/>
  <c r="DWY1" i="9"/>
  <c r="DWZ1" i="9"/>
  <c r="DXA1" i="9"/>
  <c r="DXB1" i="9"/>
  <c r="DXC1" i="9"/>
  <c r="DXD1" i="9"/>
  <c r="DXE1" i="9"/>
  <c r="DXF1" i="9"/>
  <c r="DXG1" i="9"/>
  <c r="DXH1" i="9"/>
  <c r="DXI1" i="9"/>
  <c r="DXJ1" i="9"/>
  <c r="DXK1" i="9"/>
  <c r="DXL1" i="9"/>
  <c r="DXM1" i="9"/>
  <c r="DXN1" i="9"/>
  <c r="DXO1" i="9"/>
  <c r="DXP1" i="9"/>
  <c r="DXQ1" i="9"/>
  <c r="DXR1" i="9"/>
  <c r="DXS1" i="9"/>
  <c r="DXT1" i="9"/>
  <c r="DXU1" i="9"/>
  <c r="DXV1" i="9"/>
  <c r="DXW1" i="9"/>
  <c r="DXX1" i="9"/>
  <c r="DXY1" i="9"/>
  <c r="DXZ1" i="9"/>
  <c r="DYA1" i="9"/>
  <c r="DYB1" i="9"/>
  <c r="DYC1" i="9"/>
  <c r="DYD1" i="9"/>
  <c r="DYE1" i="9"/>
  <c r="DYF1" i="9"/>
  <c r="DYG1" i="9"/>
  <c r="DYH1" i="9"/>
  <c r="DYI1" i="9"/>
  <c r="DYJ1" i="9"/>
  <c r="DYK1" i="9"/>
  <c r="DYL1" i="9"/>
  <c r="DYM1" i="9"/>
  <c r="DYN1" i="9"/>
  <c r="DYO1" i="9"/>
  <c r="DYP1" i="9"/>
  <c r="DYQ1" i="9"/>
  <c r="DYR1" i="9"/>
  <c r="DYS1" i="9"/>
  <c r="DYT1" i="9"/>
  <c r="DYU1" i="9"/>
  <c r="DYV1" i="9"/>
  <c r="DYW1" i="9"/>
  <c r="DYX1" i="9"/>
  <c r="DYY1" i="9"/>
  <c r="DYZ1" i="9"/>
  <c r="DZA1" i="9"/>
  <c r="DZB1" i="9"/>
  <c r="DZC1" i="9"/>
  <c r="DZD1" i="9"/>
  <c r="DZE1" i="9"/>
  <c r="DZF1" i="9"/>
  <c r="DZG1" i="9"/>
  <c r="DZH1" i="9"/>
  <c r="DZI1" i="9"/>
  <c r="DZJ1" i="9"/>
  <c r="DZK1" i="9"/>
  <c r="DZL1" i="9"/>
  <c r="DZM1" i="9"/>
  <c r="DZN1" i="9"/>
  <c r="DZO1" i="9"/>
  <c r="DZP1" i="9"/>
  <c r="DZQ1" i="9"/>
  <c r="DZR1" i="9"/>
  <c r="DZS1" i="9"/>
  <c r="DZT1" i="9"/>
  <c r="DZU1" i="9"/>
  <c r="DZV1" i="9"/>
  <c r="DZW1" i="9"/>
  <c r="DZX1" i="9"/>
  <c r="DZY1" i="9"/>
  <c r="DZZ1" i="9"/>
  <c r="EAA1" i="9"/>
  <c r="EAB1" i="9"/>
  <c r="EAC1" i="9"/>
  <c r="EAD1" i="9"/>
  <c r="EAE1" i="9"/>
  <c r="EAF1" i="9"/>
  <c r="EAG1" i="9"/>
  <c r="EAH1" i="9"/>
  <c r="EAI1" i="9"/>
  <c r="EAJ1" i="9"/>
  <c r="EAK1" i="9"/>
  <c r="EAL1" i="9"/>
  <c r="EAM1" i="9"/>
  <c r="EAN1" i="9"/>
  <c r="EAO1" i="9"/>
  <c r="EAP1" i="9"/>
  <c r="EAQ1" i="9"/>
  <c r="EAR1" i="9"/>
  <c r="EAS1" i="9"/>
  <c r="EAT1" i="9"/>
  <c r="EAU1" i="9"/>
  <c r="EAV1" i="9"/>
  <c r="EAW1" i="9"/>
  <c r="EAX1" i="9"/>
  <c r="EAY1" i="9"/>
  <c r="EAZ1" i="9"/>
  <c r="EBA1" i="9"/>
  <c r="EBB1" i="9"/>
  <c r="EBC1" i="9"/>
  <c r="EBD1" i="9"/>
  <c r="EBE1" i="9"/>
  <c r="EBF1" i="9"/>
  <c r="EBG1" i="9"/>
  <c r="EBH1" i="9"/>
  <c r="EBI1" i="9"/>
  <c r="EBJ1" i="9"/>
  <c r="EBK1" i="9"/>
  <c r="EBL1" i="9"/>
  <c r="EBM1" i="9"/>
  <c r="EBN1" i="9"/>
  <c r="EBO1" i="9"/>
  <c r="EBP1" i="9"/>
  <c r="EBQ1" i="9"/>
  <c r="EBR1" i="9"/>
  <c r="EBS1" i="9"/>
  <c r="EBT1" i="9"/>
  <c r="EBU1" i="9"/>
  <c r="EBV1" i="9"/>
  <c r="EBW1" i="9"/>
  <c r="EBX1" i="9"/>
  <c r="EBY1" i="9"/>
  <c r="EBZ1" i="9"/>
  <c r="ECA1" i="9"/>
  <c r="ECB1" i="9"/>
  <c r="ECC1" i="9"/>
  <c r="ECD1" i="9"/>
  <c r="ECE1" i="9"/>
  <c r="ECF1" i="9"/>
  <c r="ECG1" i="9"/>
  <c r="ECH1" i="9"/>
  <c r="ECI1" i="9"/>
  <c r="ECJ1" i="9"/>
  <c r="ECK1" i="9"/>
  <c r="ECL1" i="9"/>
  <c r="ECM1" i="9"/>
  <c r="ECN1" i="9"/>
  <c r="ECO1" i="9"/>
  <c r="ECP1" i="9"/>
  <c r="ECQ1" i="9"/>
  <c r="ECR1" i="9"/>
  <c r="ECS1" i="9"/>
  <c r="ECT1" i="9"/>
  <c r="ECU1" i="9"/>
  <c r="ECV1" i="9"/>
  <c r="ECW1" i="9"/>
  <c r="ECX1" i="9"/>
  <c r="ECY1" i="9"/>
  <c r="ECZ1" i="9"/>
  <c r="EDA1" i="9"/>
  <c r="EDB1" i="9"/>
  <c r="EDC1" i="9"/>
  <c r="EDD1" i="9"/>
  <c r="EDE1" i="9"/>
  <c r="EDF1" i="9"/>
  <c r="EDG1" i="9"/>
  <c r="EDH1" i="9"/>
  <c r="EDI1" i="9"/>
  <c r="EDJ1" i="9"/>
  <c r="EDK1" i="9"/>
  <c r="EDL1" i="9"/>
  <c r="EDM1" i="9"/>
  <c r="EDN1" i="9"/>
  <c r="EDO1" i="9"/>
  <c r="EDP1" i="9"/>
  <c r="EDQ1" i="9"/>
  <c r="EDR1" i="9"/>
  <c r="EDS1" i="9"/>
  <c r="EDT1" i="9"/>
  <c r="EDU1" i="9"/>
  <c r="EDV1" i="9"/>
  <c r="EDW1" i="9"/>
  <c r="EDX1" i="9"/>
  <c r="EDY1" i="9"/>
  <c r="EDZ1" i="9"/>
  <c r="EEA1" i="9"/>
  <c r="EEB1" i="9"/>
  <c r="EEC1" i="9"/>
  <c r="EED1" i="9"/>
  <c r="EEE1" i="9"/>
  <c r="EEF1" i="9"/>
  <c r="EEG1" i="9"/>
  <c r="EEH1" i="9"/>
  <c r="EEI1" i="9"/>
  <c r="EEJ1" i="9"/>
  <c r="EEK1" i="9"/>
  <c r="EEL1" i="9"/>
  <c r="EEM1" i="9"/>
  <c r="EEN1" i="9"/>
  <c r="EEO1" i="9"/>
  <c r="EEP1" i="9"/>
  <c r="EEQ1" i="9"/>
  <c r="EER1" i="9"/>
  <c r="EES1" i="9"/>
  <c r="EET1" i="9"/>
  <c r="EEU1" i="9"/>
  <c r="EEV1" i="9"/>
  <c r="EEW1" i="9"/>
  <c r="EEX1" i="9"/>
  <c r="EEY1" i="9"/>
  <c r="EEZ1" i="9"/>
  <c r="EFA1" i="9"/>
  <c r="EFB1" i="9"/>
  <c r="EFC1" i="9"/>
  <c r="EFD1" i="9"/>
  <c r="EFE1" i="9"/>
  <c r="EFF1" i="9"/>
  <c r="EFG1" i="9"/>
  <c r="EFH1" i="9"/>
  <c r="EFI1" i="9"/>
  <c r="EFJ1" i="9"/>
  <c r="EFK1" i="9"/>
  <c r="EFL1" i="9"/>
  <c r="EFM1" i="9"/>
  <c r="EFN1" i="9"/>
  <c r="EFO1" i="9"/>
  <c r="EFP1" i="9"/>
  <c r="EFQ1" i="9"/>
  <c r="EFR1" i="9"/>
  <c r="EFS1" i="9"/>
  <c r="EFT1" i="9"/>
  <c r="EFU1" i="9"/>
  <c r="EFV1" i="9"/>
  <c r="EFW1" i="9"/>
  <c r="EFX1" i="9"/>
  <c r="EFY1" i="9"/>
  <c r="EFZ1" i="9"/>
  <c r="EGA1" i="9"/>
  <c r="EGB1" i="9"/>
  <c r="EGC1" i="9"/>
  <c r="EGD1" i="9"/>
  <c r="EGE1" i="9"/>
  <c r="EGF1" i="9"/>
  <c r="EGG1" i="9"/>
  <c r="EGH1" i="9"/>
  <c r="EGI1" i="9"/>
  <c r="EGJ1" i="9"/>
  <c r="EGK1" i="9"/>
  <c r="EGL1" i="9"/>
  <c r="EGM1" i="9"/>
  <c r="EGN1" i="9"/>
  <c r="EGO1" i="9"/>
  <c r="EGP1" i="9"/>
  <c r="EGQ1" i="9"/>
  <c r="EGR1" i="9"/>
  <c r="EGS1" i="9"/>
  <c r="EGT1" i="9"/>
  <c r="EGU1" i="9"/>
  <c r="EGV1" i="9"/>
  <c r="EGW1" i="9"/>
  <c r="EGX1" i="9"/>
  <c r="EGY1" i="9"/>
  <c r="EGZ1" i="9"/>
  <c r="EHA1" i="9"/>
  <c r="EHB1" i="9"/>
  <c r="EHC1" i="9"/>
  <c r="EHD1" i="9"/>
  <c r="EHE1" i="9"/>
  <c r="EHF1" i="9"/>
  <c r="EHG1" i="9"/>
  <c r="EHH1" i="9"/>
  <c r="EHI1" i="9"/>
  <c r="EHJ1" i="9"/>
  <c r="EHK1" i="9"/>
  <c r="EHL1" i="9"/>
  <c r="EHM1" i="9"/>
  <c r="EHN1" i="9"/>
  <c r="EHO1" i="9"/>
  <c r="EHP1" i="9"/>
  <c r="EHQ1" i="9"/>
  <c r="EHR1" i="9"/>
  <c r="EHS1" i="9"/>
  <c r="EHT1" i="9"/>
  <c r="EHU1" i="9"/>
  <c r="EHV1" i="9"/>
  <c r="EHW1" i="9"/>
  <c r="EHX1" i="9"/>
  <c r="EHY1" i="9"/>
  <c r="EHZ1" i="9"/>
  <c r="EIA1" i="9"/>
  <c r="EIB1" i="9"/>
  <c r="EIC1" i="9"/>
  <c r="EID1" i="9"/>
  <c r="EIE1" i="9"/>
  <c r="EIF1" i="9"/>
  <c r="EIG1" i="9"/>
  <c r="EIH1" i="9"/>
  <c r="EII1" i="9"/>
  <c r="EIJ1" i="9"/>
  <c r="EIK1" i="9"/>
  <c r="EIL1" i="9"/>
  <c r="EIM1" i="9"/>
  <c r="EIN1" i="9"/>
  <c r="EIO1" i="9"/>
  <c r="EIP1" i="9"/>
  <c r="EIQ1" i="9"/>
  <c r="EIR1" i="9"/>
  <c r="EIS1" i="9"/>
  <c r="EIT1" i="9"/>
  <c r="EIU1" i="9"/>
  <c r="EIV1" i="9"/>
  <c r="EIW1" i="9"/>
  <c r="EIX1" i="9"/>
  <c r="EIY1" i="9"/>
  <c r="EIZ1" i="9"/>
  <c r="EJA1" i="9"/>
  <c r="EJB1" i="9"/>
  <c r="EJC1" i="9"/>
  <c r="EJD1" i="9"/>
  <c r="EJE1" i="9"/>
  <c r="EJF1" i="9"/>
  <c r="EJG1" i="9"/>
  <c r="EJH1" i="9"/>
  <c r="EJI1" i="9"/>
  <c r="EJJ1" i="9"/>
  <c r="EJK1" i="9"/>
  <c r="EJL1" i="9"/>
  <c r="EJM1" i="9"/>
  <c r="EJN1" i="9"/>
  <c r="EJO1" i="9"/>
  <c r="EJP1" i="9"/>
  <c r="EJQ1" i="9"/>
  <c r="EJR1" i="9"/>
  <c r="EJS1" i="9"/>
  <c r="EJT1" i="9"/>
  <c r="EJU1" i="9"/>
  <c r="EJV1" i="9"/>
  <c r="EJW1" i="9"/>
  <c r="EJX1" i="9"/>
  <c r="EJY1" i="9"/>
  <c r="EJZ1" i="9"/>
  <c r="EKA1" i="9"/>
  <c r="EKB1" i="9"/>
  <c r="EKC1" i="9"/>
  <c r="EKD1" i="9"/>
  <c r="EKE1" i="9"/>
  <c r="EKF1" i="9"/>
  <c r="EKG1" i="9"/>
  <c r="EKH1" i="9"/>
  <c r="EKI1" i="9"/>
  <c r="EKJ1" i="9"/>
  <c r="EKK1" i="9"/>
  <c r="EKL1" i="9"/>
  <c r="EKM1" i="9"/>
  <c r="EKN1" i="9"/>
  <c r="EKO1" i="9"/>
  <c r="EKP1" i="9"/>
  <c r="EKQ1" i="9"/>
  <c r="EKR1" i="9"/>
  <c r="EKS1" i="9"/>
  <c r="EKT1" i="9"/>
  <c r="EKU1" i="9"/>
  <c r="EKV1" i="9"/>
  <c r="EKW1" i="9"/>
  <c r="EKX1" i="9"/>
  <c r="EKY1" i="9"/>
  <c r="EKZ1" i="9"/>
  <c r="ELA1" i="9"/>
  <c r="ELB1" i="9"/>
  <c r="ELC1" i="9"/>
  <c r="ELD1" i="9"/>
  <c r="ELE1" i="9"/>
  <c r="ELF1" i="9"/>
  <c r="ELG1" i="9"/>
  <c r="ELH1" i="9"/>
  <c r="ELI1" i="9"/>
  <c r="ELJ1" i="9"/>
  <c r="ELK1" i="9"/>
  <c r="ELL1" i="9"/>
  <c r="ELM1" i="9"/>
  <c r="ELN1" i="9"/>
  <c r="ELO1" i="9"/>
  <c r="ELP1" i="9"/>
  <c r="ELQ1" i="9"/>
  <c r="ELR1" i="9"/>
  <c r="ELS1" i="9"/>
  <c r="ELT1" i="9"/>
  <c r="ELU1" i="9"/>
  <c r="ELV1" i="9"/>
  <c r="ELW1" i="9"/>
  <c r="ELX1" i="9"/>
  <c r="ELY1" i="9"/>
  <c r="ELZ1" i="9"/>
  <c r="EMA1" i="9"/>
  <c r="EMB1" i="9"/>
  <c r="EMC1" i="9"/>
  <c r="EMD1" i="9"/>
  <c r="EME1" i="9"/>
  <c r="EMF1" i="9"/>
  <c r="EMG1" i="9"/>
  <c r="EMH1" i="9"/>
  <c r="EMI1" i="9"/>
  <c r="EMJ1" i="9"/>
  <c r="EMK1" i="9"/>
  <c r="EML1" i="9"/>
  <c r="EMM1" i="9"/>
  <c r="EMN1" i="9"/>
  <c r="EMO1" i="9"/>
  <c r="EMP1" i="9"/>
  <c r="EMQ1" i="9"/>
  <c r="EMR1" i="9"/>
  <c r="EMS1" i="9"/>
  <c r="EMT1" i="9"/>
  <c r="EMU1" i="9"/>
  <c r="EMV1" i="9"/>
  <c r="EMW1" i="9"/>
  <c r="EMX1" i="9"/>
  <c r="EMY1" i="9"/>
  <c r="EMZ1" i="9"/>
  <c r="ENA1" i="9"/>
  <c r="ENB1" i="9"/>
  <c r="ENC1" i="9"/>
  <c r="END1" i="9"/>
  <c r="ENE1" i="9"/>
  <c r="ENF1" i="9"/>
  <c r="ENG1" i="9"/>
  <c r="ENH1" i="9"/>
  <c r="ENI1" i="9"/>
  <c r="ENJ1" i="9"/>
  <c r="ENK1" i="9"/>
  <c r="ENL1" i="9"/>
  <c r="ENM1" i="9"/>
  <c r="ENN1" i="9"/>
  <c r="ENO1" i="9"/>
  <c r="ENP1" i="9"/>
  <c r="ENQ1" i="9"/>
  <c r="ENR1" i="9"/>
  <c r="ENS1" i="9"/>
  <c r="ENT1" i="9"/>
  <c r="ENU1" i="9"/>
  <c r="ENV1" i="9"/>
  <c r="ENW1" i="9"/>
  <c r="ENX1" i="9"/>
  <c r="ENY1" i="9"/>
  <c r="ENZ1" i="9"/>
  <c r="EOA1" i="9"/>
  <c r="EOB1" i="9"/>
  <c r="EOC1" i="9"/>
  <c r="EOD1" i="9"/>
  <c r="EOE1" i="9"/>
  <c r="EOF1" i="9"/>
  <c r="EOG1" i="9"/>
  <c r="EOH1" i="9"/>
  <c r="EOI1" i="9"/>
  <c r="EOJ1" i="9"/>
  <c r="EOK1" i="9"/>
  <c r="EOL1" i="9"/>
  <c r="EOM1" i="9"/>
  <c r="EON1" i="9"/>
  <c r="EOO1" i="9"/>
  <c r="EOP1" i="9"/>
  <c r="EOQ1" i="9"/>
  <c r="EOR1" i="9"/>
  <c r="EOS1" i="9"/>
  <c r="EOT1" i="9"/>
  <c r="EOU1" i="9"/>
  <c r="EOV1" i="9"/>
  <c r="EOW1" i="9"/>
  <c r="EOX1" i="9"/>
  <c r="EOY1" i="9"/>
  <c r="EOZ1" i="9"/>
  <c r="EPA1" i="9"/>
  <c r="EPB1" i="9"/>
  <c r="EPC1" i="9"/>
  <c r="EPD1" i="9"/>
  <c r="EPE1" i="9"/>
  <c r="EPF1" i="9"/>
  <c r="EPG1" i="9"/>
  <c r="EPH1" i="9"/>
  <c r="EPI1" i="9"/>
  <c r="EPJ1" i="9"/>
  <c r="EPK1" i="9"/>
  <c r="EPL1" i="9"/>
  <c r="EPM1" i="9"/>
  <c r="EPN1" i="9"/>
  <c r="EPO1" i="9"/>
  <c r="EPP1" i="9"/>
  <c r="EPQ1" i="9"/>
  <c r="EPR1" i="9"/>
  <c r="EPS1" i="9"/>
  <c r="EPT1" i="9"/>
  <c r="EPU1" i="9"/>
  <c r="EPV1" i="9"/>
  <c r="EPW1" i="9"/>
  <c r="EPX1" i="9"/>
  <c r="EPY1" i="9"/>
  <c r="EPZ1" i="9"/>
  <c r="EQA1" i="9"/>
  <c r="EQB1" i="9"/>
  <c r="EQC1" i="9"/>
  <c r="EQD1" i="9"/>
  <c r="EQE1" i="9"/>
  <c r="EQF1" i="9"/>
  <c r="EQG1" i="9"/>
  <c r="EQH1" i="9"/>
  <c r="EQI1" i="9"/>
  <c r="EQJ1" i="9"/>
  <c r="EQK1" i="9"/>
  <c r="EQL1" i="9"/>
  <c r="EQM1" i="9"/>
  <c r="EQN1" i="9"/>
  <c r="EQO1" i="9"/>
  <c r="EQP1" i="9"/>
  <c r="EQQ1" i="9"/>
  <c r="EQR1" i="9"/>
  <c r="EQS1" i="9"/>
  <c r="EQT1" i="9"/>
  <c r="EQU1" i="9"/>
  <c r="EQV1" i="9"/>
  <c r="EQW1" i="9"/>
  <c r="EQX1" i="9"/>
  <c r="EQY1" i="9"/>
  <c r="EQZ1" i="9"/>
  <c r="ERA1" i="9"/>
  <c r="ERB1" i="9"/>
  <c r="ERC1" i="9"/>
  <c r="ERD1" i="9"/>
  <c r="ERE1" i="9"/>
  <c r="ERF1" i="9"/>
  <c r="ERG1" i="9"/>
  <c r="ERH1" i="9"/>
  <c r="ERI1" i="9"/>
  <c r="ERJ1" i="9"/>
  <c r="ERK1" i="9"/>
  <c r="ERL1" i="9"/>
  <c r="ERM1" i="9"/>
  <c r="ERN1" i="9"/>
  <c r="ERO1" i="9"/>
  <c r="ERP1" i="9"/>
  <c r="ERQ1" i="9"/>
  <c r="ERR1" i="9"/>
  <c r="ERS1" i="9"/>
  <c r="ERT1" i="9"/>
  <c r="ERU1" i="9"/>
  <c r="ERV1" i="9"/>
  <c r="ERW1" i="9"/>
  <c r="ERX1" i="9"/>
  <c r="ERY1" i="9"/>
  <c r="ERZ1" i="9"/>
  <c r="ESA1" i="9"/>
  <c r="ESB1" i="9"/>
  <c r="ESC1" i="9"/>
  <c r="ESD1" i="9"/>
  <c r="ESE1" i="9"/>
  <c r="ESF1" i="9"/>
  <c r="ESG1" i="9"/>
  <c r="ESH1" i="9"/>
  <c r="ESI1" i="9"/>
  <c r="ESJ1" i="9"/>
  <c r="ESK1" i="9"/>
  <c r="ESL1" i="9"/>
  <c r="ESM1" i="9"/>
  <c r="ESN1" i="9"/>
  <c r="ESO1" i="9"/>
  <c r="ESP1" i="9"/>
  <c r="ESQ1" i="9"/>
  <c r="ESR1" i="9"/>
  <c r="ESS1" i="9"/>
  <c r="EST1" i="9"/>
  <c r="ESU1" i="9"/>
  <c r="ESV1" i="9"/>
  <c r="ESW1" i="9"/>
  <c r="ESX1" i="9"/>
  <c r="ESY1" i="9"/>
  <c r="ESZ1" i="9"/>
  <c r="ETA1" i="9"/>
  <c r="ETB1" i="9"/>
  <c r="ETC1" i="9"/>
  <c r="ETD1" i="9"/>
  <c r="ETE1" i="9"/>
  <c r="ETF1" i="9"/>
  <c r="ETG1" i="9"/>
  <c r="ETH1" i="9"/>
  <c r="ETI1" i="9"/>
  <c r="ETJ1" i="9"/>
  <c r="ETK1" i="9"/>
  <c r="ETL1" i="9"/>
  <c r="ETM1" i="9"/>
  <c r="ETN1" i="9"/>
  <c r="ETO1" i="9"/>
  <c r="ETP1" i="9"/>
  <c r="ETQ1" i="9"/>
  <c r="ETR1" i="9"/>
  <c r="ETS1" i="9"/>
  <c r="ETT1" i="9"/>
  <c r="ETU1" i="9"/>
  <c r="ETV1" i="9"/>
  <c r="ETW1" i="9"/>
  <c r="ETX1" i="9"/>
  <c r="ETY1" i="9"/>
  <c r="ETZ1" i="9"/>
  <c r="EUA1" i="9"/>
  <c r="EUB1" i="9"/>
  <c r="EUC1" i="9"/>
  <c r="EUD1" i="9"/>
  <c r="EUE1" i="9"/>
  <c r="EUF1" i="9"/>
  <c r="EUG1" i="9"/>
  <c r="EUH1" i="9"/>
  <c r="EUI1" i="9"/>
  <c r="EUJ1" i="9"/>
  <c r="EUK1" i="9"/>
  <c r="EUL1" i="9"/>
  <c r="EUM1" i="9"/>
  <c r="EUN1" i="9"/>
  <c r="EUO1" i="9"/>
  <c r="EUP1" i="9"/>
  <c r="EUQ1" i="9"/>
  <c r="EUR1" i="9"/>
  <c r="EUS1" i="9"/>
  <c r="EUT1" i="9"/>
  <c r="EUU1" i="9"/>
  <c r="EUV1" i="9"/>
  <c r="EUW1" i="9"/>
  <c r="EUX1" i="9"/>
  <c r="EUY1" i="9"/>
  <c r="EUZ1" i="9"/>
  <c r="EVA1" i="9"/>
  <c r="EVB1" i="9"/>
  <c r="EVC1" i="9"/>
  <c r="EVD1" i="9"/>
  <c r="EVE1" i="9"/>
  <c r="EVF1" i="9"/>
  <c r="EVG1" i="9"/>
  <c r="EVH1" i="9"/>
  <c r="EVI1" i="9"/>
  <c r="E42" i="6"/>
  <c r="E43" i="6"/>
  <c r="E44" i="6"/>
  <c r="E45" i="6"/>
  <c r="E46" i="6"/>
  <c r="E47" i="6"/>
  <c r="E27" i="6"/>
  <c r="E28" i="6"/>
  <c r="E29" i="6"/>
  <c r="EOO32" i="9"/>
  <c r="E3" i="6"/>
  <c r="E4" i="6"/>
  <c r="E5" i="6"/>
  <c r="E6" i="6"/>
  <c r="E7" i="6"/>
  <c r="E8" i="6"/>
  <c r="E9" i="6"/>
  <c r="E10" i="6"/>
  <c r="E11" i="6"/>
  <c r="E12" i="6"/>
  <c r="E13" i="6"/>
  <c r="E14" i="6"/>
  <c r="E15" i="6"/>
  <c r="E16" i="6"/>
  <c r="E17" i="6"/>
  <c r="E18" i="6"/>
  <c r="E19" i="6"/>
  <c r="E20" i="6"/>
  <c r="E21" i="6"/>
  <c r="E22" i="6"/>
  <c r="E23" i="6"/>
  <c r="E24" i="6"/>
  <c r="E25" i="6"/>
  <c r="E26" i="6"/>
  <c r="E30" i="6"/>
  <c r="E31" i="6"/>
  <c r="E32" i="6"/>
  <c r="E33" i="6"/>
  <c r="E34" i="6"/>
  <c r="E35" i="6"/>
  <c r="E36" i="6"/>
  <c r="E37" i="6"/>
  <c r="E38" i="6"/>
  <c r="E39" i="6"/>
  <c r="E40" i="6"/>
  <c r="E41" i="6"/>
  <c r="E2" i="6"/>
  <c r="G11" i="5"/>
  <c r="K39" i="8"/>
  <c r="K38" i="8"/>
  <c r="K37" i="8"/>
  <c r="K36" i="8"/>
  <c r="K35" i="8"/>
  <c r="K34" i="8"/>
  <c r="K33" i="8"/>
  <c r="K32" i="8"/>
  <c r="K31" i="8"/>
  <c r="K30" i="8"/>
  <c r="K29" i="8"/>
  <c r="K28" i="8"/>
  <c r="K27" i="8"/>
  <c r="K26" i="8"/>
  <c r="K25" i="8"/>
  <c r="K24" i="8"/>
  <c r="K63" i="8"/>
  <c r="K62" i="8"/>
  <c r="K61" i="8"/>
  <c r="K60" i="8"/>
  <c r="K59" i="8"/>
  <c r="K58" i="8"/>
  <c r="K57" i="8"/>
  <c r="K56" i="8"/>
  <c r="K55" i="8"/>
  <c r="K54" i="8"/>
  <c r="K53" i="8"/>
  <c r="K52" i="8"/>
  <c r="K51" i="8"/>
  <c r="K50" i="8"/>
  <c r="K49" i="8"/>
  <c r="K48" i="8"/>
  <c r="K47" i="8"/>
  <c r="K46" i="8"/>
  <c r="K45" i="8"/>
  <c r="K44" i="8"/>
  <c r="K43" i="8"/>
  <c r="K42" i="8"/>
  <c r="K41" i="8"/>
  <c r="K40" i="8"/>
  <c r="CL19" i="5"/>
  <c r="CI19" i="5"/>
  <c r="CB19" i="5"/>
  <c r="BY19" i="5"/>
  <c r="B8" i="8" a="1"/>
  <c r="B8" i="8"/>
  <c r="E9" i="8"/>
  <c r="AU31" i="5"/>
  <c r="AK31" i="5"/>
  <c r="AA31" i="5"/>
  <c r="G31" i="5"/>
  <c r="Y37" i="11"/>
  <c r="D37" i="11"/>
  <c r="Y24" i="11"/>
  <c r="D24" i="11"/>
  <c r="Q26" i="5"/>
  <c r="G26" i="5"/>
  <c r="BY25" i="5"/>
  <c r="BD25" i="5"/>
  <c r="BE25" i="5"/>
  <c r="BN25" i="5"/>
  <c r="AT25" i="5"/>
  <c r="AU25" i="5"/>
  <c r="AJ25" i="5"/>
  <c r="AK25" i="5"/>
  <c r="Z25" i="5"/>
  <c r="AA25" i="5"/>
  <c r="Q25" i="5"/>
  <c r="F25" i="5"/>
  <c r="OG48" i="5"/>
  <c r="OG47" i="5"/>
  <c r="OG46" i="5"/>
  <c r="OG45" i="5"/>
  <c r="OG44" i="5"/>
  <c r="OG43" i="5"/>
  <c r="OG42" i="5"/>
  <c r="OG41" i="5"/>
  <c r="OG40" i="5"/>
  <c r="OG39" i="5"/>
  <c r="OG38" i="5"/>
  <c r="OG37" i="5"/>
  <c r="OG36" i="5"/>
  <c r="OG35" i="5"/>
  <c r="OG34" i="5"/>
  <c r="OG33" i="5"/>
  <c r="OG32" i="5"/>
  <c r="OG31" i="5"/>
  <c r="OG30" i="5"/>
  <c r="OG29" i="5"/>
  <c r="OG28" i="5"/>
  <c r="OG27" i="5"/>
  <c r="OG26" i="5"/>
  <c r="OG25" i="5"/>
  <c r="OG24" i="5"/>
  <c r="OG23" i="5"/>
  <c r="OG22" i="5"/>
  <c r="OG21" i="5"/>
  <c r="OG20" i="5"/>
  <c r="OG19" i="5"/>
  <c r="OG18" i="5"/>
  <c r="OG17" i="5"/>
  <c r="OG16" i="5"/>
  <c r="OG15" i="5"/>
  <c r="OG14" i="5"/>
  <c r="OG13" i="5"/>
  <c r="OG12" i="5"/>
  <c r="OG11" i="5"/>
  <c r="OG10" i="5"/>
  <c r="OG9" i="5"/>
  <c r="OG8" i="5"/>
  <c r="OG7" i="5"/>
  <c r="OG6" i="5"/>
  <c r="OG5" i="5"/>
  <c r="OG4" i="5"/>
  <c r="NW48" i="5"/>
  <c r="NW47" i="5"/>
  <c r="NW46" i="5"/>
  <c r="NW45" i="5"/>
  <c r="NW44" i="5"/>
  <c r="NW43" i="5"/>
  <c r="NW42" i="5"/>
  <c r="NW41" i="5"/>
  <c r="NW40" i="5"/>
  <c r="NW39" i="5"/>
  <c r="NW38" i="5"/>
  <c r="NW37" i="5"/>
  <c r="NW36" i="5"/>
  <c r="NW35" i="5"/>
  <c r="NW34" i="5"/>
  <c r="NW33" i="5"/>
  <c r="NW32" i="5"/>
  <c r="NW31" i="5"/>
  <c r="NW30" i="5"/>
  <c r="NW29" i="5"/>
  <c r="NW28" i="5"/>
  <c r="NW27" i="5"/>
  <c r="NW26" i="5"/>
  <c r="NW25" i="5"/>
  <c r="NW23" i="5"/>
  <c r="NW22" i="5"/>
  <c r="NW21" i="5"/>
  <c r="NW20" i="5"/>
  <c r="NW19" i="5"/>
  <c r="NW18" i="5"/>
  <c r="NW17" i="5"/>
  <c r="NW16" i="5"/>
  <c r="NW15" i="5"/>
  <c r="NW14" i="5"/>
  <c r="NW13" i="5"/>
  <c r="NW12" i="5"/>
  <c r="NW11" i="5"/>
  <c r="NW10" i="5"/>
  <c r="NW9" i="5"/>
  <c r="NW8" i="5"/>
  <c r="NW7" i="5"/>
  <c r="NW6" i="5"/>
  <c r="NW5" i="5"/>
  <c r="NW4" i="5"/>
  <c r="NM48" i="5"/>
  <c r="NM47" i="5"/>
  <c r="NM46" i="5"/>
  <c r="NM45" i="5"/>
  <c r="NM44" i="5"/>
  <c r="NM43" i="5"/>
  <c r="NM42" i="5"/>
  <c r="NM41" i="5"/>
  <c r="NM40" i="5"/>
  <c r="NM39" i="5"/>
  <c r="NM38" i="5"/>
  <c r="NM37" i="5"/>
  <c r="NM36" i="5"/>
  <c r="NM35" i="5"/>
  <c r="NM34" i="5"/>
  <c r="NM33" i="5"/>
  <c r="NM32" i="5"/>
  <c r="NM31" i="5"/>
  <c r="NM30" i="5"/>
  <c r="NM29" i="5"/>
  <c r="NM28" i="5"/>
  <c r="NM27" i="5"/>
  <c r="NM26" i="5"/>
  <c r="NM25" i="5"/>
  <c r="NM23" i="5"/>
  <c r="NM22" i="5"/>
  <c r="NM21" i="5"/>
  <c r="NM20" i="5"/>
  <c r="NM19" i="5"/>
  <c r="NM18" i="5"/>
  <c r="NM17" i="5"/>
  <c r="NM16" i="5"/>
  <c r="NM15" i="5"/>
  <c r="NM14" i="5"/>
  <c r="NM13" i="5"/>
  <c r="NM12" i="5"/>
  <c r="NM11" i="5"/>
  <c r="NM10" i="5"/>
  <c r="NM9" i="5"/>
  <c r="NM8" i="5"/>
  <c r="NM7" i="5"/>
  <c r="NM6" i="5"/>
  <c r="NM5" i="5"/>
  <c r="NM4" i="5"/>
  <c r="NC48" i="5"/>
  <c r="NC47" i="5"/>
  <c r="NC46" i="5"/>
  <c r="NC45" i="5"/>
  <c r="NC44" i="5"/>
  <c r="NC43" i="5"/>
  <c r="NC42" i="5"/>
  <c r="NC41" i="5"/>
  <c r="NC40" i="5"/>
  <c r="NC39" i="5"/>
  <c r="NC38" i="5"/>
  <c r="NC37" i="5"/>
  <c r="NC36" i="5"/>
  <c r="NC35" i="5"/>
  <c r="NC34" i="5"/>
  <c r="NC33" i="5"/>
  <c r="NC32" i="5"/>
  <c r="NC31" i="5"/>
  <c r="NC30" i="5"/>
  <c r="NC29" i="5"/>
  <c r="NC28" i="5"/>
  <c r="NC27" i="5"/>
  <c r="NC26" i="5"/>
  <c r="NC25" i="5"/>
  <c r="NC23" i="5"/>
  <c r="NC22" i="5"/>
  <c r="NC21" i="5"/>
  <c r="NC20" i="5"/>
  <c r="NC19" i="5"/>
  <c r="NC18" i="5"/>
  <c r="NC17" i="5"/>
  <c r="NC16" i="5"/>
  <c r="NC15" i="5"/>
  <c r="NC14" i="5"/>
  <c r="NC13" i="5"/>
  <c r="NC12" i="5"/>
  <c r="NC11" i="5"/>
  <c r="NC10" i="5"/>
  <c r="NC9" i="5"/>
  <c r="NC8" i="5"/>
  <c r="NC7" i="5"/>
  <c r="NC6" i="5"/>
  <c r="NC5" i="5"/>
  <c r="NC4" i="5"/>
  <c r="MS48" i="5"/>
  <c r="MS47" i="5"/>
  <c r="MS46" i="5"/>
  <c r="MS45" i="5"/>
  <c r="MS44" i="5"/>
  <c r="MS43" i="5"/>
  <c r="MS42" i="5"/>
  <c r="MS41" i="5"/>
  <c r="MS40" i="5"/>
  <c r="MS39" i="5"/>
  <c r="MS38" i="5"/>
  <c r="MS37" i="5"/>
  <c r="MS36" i="5"/>
  <c r="MS35" i="5"/>
  <c r="MS34" i="5"/>
  <c r="MS33" i="5"/>
  <c r="MS32" i="5"/>
  <c r="MS31" i="5"/>
  <c r="MS30" i="5"/>
  <c r="MS29" i="5"/>
  <c r="MS28" i="5"/>
  <c r="MS27" i="5"/>
  <c r="MS26" i="5"/>
  <c r="MS25" i="5"/>
  <c r="MS23" i="5"/>
  <c r="MS22" i="5"/>
  <c r="MS21" i="5"/>
  <c r="MS20" i="5"/>
  <c r="MS19" i="5"/>
  <c r="MS18" i="5"/>
  <c r="MS17" i="5"/>
  <c r="MS16" i="5"/>
  <c r="MS15" i="5"/>
  <c r="MS14" i="5"/>
  <c r="MS13" i="5"/>
  <c r="MS12" i="5"/>
  <c r="MS11" i="5"/>
  <c r="MS10" i="5"/>
  <c r="MS9" i="5"/>
  <c r="MS8" i="5"/>
  <c r="MS7" i="5"/>
  <c r="MS6" i="5"/>
  <c r="MS5" i="5"/>
  <c r="MS4" i="5"/>
  <c r="MI48" i="5"/>
  <c r="MI47" i="5"/>
  <c r="MI46" i="5"/>
  <c r="MI45" i="5"/>
  <c r="MI44" i="5"/>
  <c r="MI43" i="5"/>
  <c r="MI42" i="5"/>
  <c r="MI41" i="5"/>
  <c r="MI40" i="5"/>
  <c r="MI39" i="5"/>
  <c r="MI38" i="5"/>
  <c r="MI37" i="5"/>
  <c r="MI36" i="5"/>
  <c r="MI35" i="5"/>
  <c r="MI34" i="5"/>
  <c r="MI33" i="5"/>
  <c r="MI32" i="5"/>
  <c r="MI31" i="5"/>
  <c r="MI30" i="5"/>
  <c r="MI29" i="5"/>
  <c r="MI28" i="5"/>
  <c r="MI27" i="5"/>
  <c r="MI26" i="5"/>
  <c r="MI25" i="5"/>
  <c r="MI23" i="5"/>
  <c r="MI22" i="5"/>
  <c r="MI21" i="5"/>
  <c r="MI20" i="5"/>
  <c r="MI19" i="5"/>
  <c r="MI18" i="5"/>
  <c r="MI17" i="5"/>
  <c r="MI16" i="5"/>
  <c r="MI15" i="5"/>
  <c r="MI14" i="5"/>
  <c r="MI13" i="5"/>
  <c r="MI12" i="5"/>
  <c r="MI11" i="5"/>
  <c r="MI10" i="5"/>
  <c r="MI9" i="5"/>
  <c r="MI8" i="5"/>
  <c r="MI7" i="5"/>
  <c r="MI6" i="5"/>
  <c r="MI5" i="5"/>
  <c r="MI4" i="5"/>
  <c r="LY48" i="5"/>
  <c r="LY47" i="5"/>
  <c r="LY46" i="5"/>
  <c r="LY45" i="5"/>
  <c r="LY44" i="5"/>
  <c r="LY43" i="5"/>
  <c r="LY42" i="5"/>
  <c r="LY41" i="5"/>
  <c r="LY40" i="5"/>
  <c r="LY39" i="5"/>
  <c r="LY38" i="5"/>
  <c r="LY37" i="5"/>
  <c r="LY36" i="5"/>
  <c r="LY35" i="5"/>
  <c r="LY34" i="5"/>
  <c r="LY33" i="5"/>
  <c r="LY32" i="5"/>
  <c r="LY31" i="5"/>
  <c r="LY30" i="5"/>
  <c r="LY29" i="5"/>
  <c r="LY28" i="5"/>
  <c r="LY27" i="5"/>
  <c r="LY26" i="5"/>
  <c r="LY25" i="5"/>
  <c r="LY23" i="5"/>
  <c r="LY22" i="5"/>
  <c r="LY21" i="5"/>
  <c r="LY20" i="5"/>
  <c r="LY19" i="5"/>
  <c r="LY18" i="5"/>
  <c r="LY17" i="5"/>
  <c r="LY16" i="5"/>
  <c r="LY15" i="5"/>
  <c r="LY14" i="5"/>
  <c r="LY13" i="5"/>
  <c r="LY12" i="5"/>
  <c r="LY11" i="5"/>
  <c r="LY10" i="5"/>
  <c r="LY9" i="5"/>
  <c r="LY8" i="5"/>
  <c r="LY7" i="5"/>
  <c r="LY6" i="5"/>
  <c r="LY5" i="5"/>
  <c r="LY4" i="5"/>
  <c r="LO48" i="5"/>
  <c r="LO47" i="5"/>
  <c r="LO46" i="5"/>
  <c r="LO45" i="5"/>
  <c r="LO44" i="5"/>
  <c r="LO43" i="5"/>
  <c r="LO42" i="5"/>
  <c r="LO41" i="5"/>
  <c r="LO40" i="5"/>
  <c r="LO39" i="5"/>
  <c r="LO38" i="5"/>
  <c r="LO37" i="5"/>
  <c r="LO36" i="5"/>
  <c r="LO35" i="5"/>
  <c r="LO34" i="5"/>
  <c r="LO33" i="5"/>
  <c r="LO32" i="5"/>
  <c r="LO31" i="5"/>
  <c r="LO30" i="5"/>
  <c r="LO29" i="5"/>
  <c r="LO28" i="5"/>
  <c r="LO27" i="5"/>
  <c r="LO26" i="5"/>
  <c r="LO25" i="5"/>
  <c r="LO23" i="5"/>
  <c r="LO22" i="5"/>
  <c r="LO21" i="5"/>
  <c r="LO20" i="5"/>
  <c r="LO19" i="5"/>
  <c r="LO18" i="5"/>
  <c r="LO17" i="5"/>
  <c r="LO16" i="5"/>
  <c r="LO15" i="5"/>
  <c r="LO14" i="5"/>
  <c r="LO13" i="5"/>
  <c r="LO12" i="5"/>
  <c r="LO11" i="5"/>
  <c r="LO10" i="5"/>
  <c r="LO9" i="5"/>
  <c r="LO8" i="5"/>
  <c r="LO7" i="5"/>
  <c r="LO6" i="5"/>
  <c r="LO5" i="5"/>
  <c r="LO4" i="5"/>
  <c r="LE47" i="5"/>
  <c r="LE46" i="5"/>
  <c r="LE45" i="5"/>
  <c r="LE44" i="5"/>
  <c r="LE43" i="5"/>
  <c r="LE42" i="5"/>
  <c r="LE41" i="5"/>
  <c r="LE40" i="5"/>
  <c r="LE39" i="5"/>
  <c r="LE38" i="5"/>
  <c r="LE37" i="5"/>
  <c r="LE36" i="5"/>
  <c r="LE35" i="5"/>
  <c r="LE34" i="5"/>
  <c r="LE33" i="5"/>
  <c r="LE32" i="5"/>
  <c r="LE31" i="5"/>
  <c r="LE30" i="5"/>
  <c r="LE29" i="5"/>
  <c r="LE28" i="5"/>
  <c r="LE27" i="5"/>
  <c r="LE26" i="5"/>
  <c r="LE25" i="5"/>
  <c r="LE23" i="5"/>
  <c r="LE22" i="5"/>
  <c r="LE21" i="5"/>
  <c r="LE20" i="5"/>
  <c r="LE19" i="5"/>
  <c r="LE18" i="5"/>
  <c r="LE17" i="5"/>
  <c r="LE16" i="5"/>
  <c r="LE15" i="5"/>
  <c r="LE14" i="5"/>
  <c r="LE13" i="5"/>
  <c r="LE12" i="5"/>
  <c r="LE11" i="5"/>
  <c r="LE10" i="5"/>
  <c r="LE9" i="5"/>
  <c r="LE8" i="5"/>
  <c r="LE7" i="5"/>
  <c r="LE6" i="5"/>
  <c r="LE5" i="5"/>
  <c r="LE4" i="5"/>
  <c r="KU47" i="5"/>
  <c r="KU46" i="5"/>
  <c r="KU45" i="5"/>
  <c r="KU44" i="5"/>
  <c r="KU43" i="5"/>
  <c r="KU42" i="5"/>
  <c r="KU41" i="5"/>
  <c r="KU40" i="5"/>
  <c r="KU39" i="5"/>
  <c r="KU38" i="5"/>
  <c r="KU37" i="5"/>
  <c r="KU36" i="5"/>
  <c r="KU35" i="5"/>
  <c r="KU34" i="5"/>
  <c r="KU33" i="5"/>
  <c r="KU32" i="5"/>
  <c r="KU31" i="5"/>
  <c r="KU30" i="5"/>
  <c r="KU29" i="5"/>
  <c r="KU28" i="5"/>
  <c r="KU27" i="5"/>
  <c r="KU26" i="5"/>
  <c r="KU25" i="5"/>
  <c r="KU23" i="5"/>
  <c r="KU22" i="5"/>
  <c r="KU21" i="5"/>
  <c r="KU20" i="5"/>
  <c r="KU19" i="5"/>
  <c r="KU18" i="5"/>
  <c r="KU17" i="5"/>
  <c r="KU16" i="5"/>
  <c r="KU15" i="5"/>
  <c r="KU14" i="5"/>
  <c r="KU13" i="5"/>
  <c r="KU12" i="5"/>
  <c r="KU11" i="5"/>
  <c r="KU10" i="5"/>
  <c r="KU9" i="5"/>
  <c r="KU8" i="5"/>
  <c r="KU7" i="5"/>
  <c r="KU6" i="5"/>
  <c r="KU5" i="5"/>
  <c r="KU4" i="5"/>
  <c r="KK47" i="5"/>
  <c r="KK46" i="5"/>
  <c r="KK45" i="5"/>
  <c r="KK44" i="5"/>
  <c r="KK43" i="5"/>
  <c r="KK42" i="5"/>
  <c r="KK41" i="5"/>
  <c r="KK40" i="5"/>
  <c r="KK39" i="5"/>
  <c r="KK38" i="5"/>
  <c r="KK37" i="5"/>
  <c r="KK36" i="5"/>
  <c r="KK35" i="5"/>
  <c r="KK34" i="5"/>
  <c r="KK33" i="5"/>
  <c r="KK32" i="5"/>
  <c r="KK31" i="5"/>
  <c r="KK30" i="5"/>
  <c r="KK29" i="5"/>
  <c r="KK28" i="5"/>
  <c r="KK27" i="5"/>
  <c r="KK26" i="5"/>
  <c r="KK25" i="5"/>
  <c r="KK24" i="5"/>
  <c r="KK23" i="5"/>
  <c r="KK22" i="5"/>
  <c r="KK21" i="5"/>
  <c r="KK20" i="5"/>
  <c r="KK19" i="5"/>
  <c r="KK18" i="5"/>
  <c r="KK17" i="5"/>
  <c r="KK16" i="5"/>
  <c r="KK15" i="5"/>
  <c r="KK14" i="5"/>
  <c r="KK13" i="5"/>
  <c r="KK12" i="5"/>
  <c r="KK11" i="5"/>
  <c r="KK10" i="5"/>
  <c r="KK9" i="5"/>
  <c r="KK8" i="5"/>
  <c r="KK7" i="5"/>
  <c r="KK6" i="5"/>
  <c r="KK5" i="5"/>
  <c r="KK4" i="5"/>
  <c r="KA47" i="5"/>
  <c r="KA46" i="5"/>
  <c r="KA45" i="5"/>
  <c r="KA44" i="5"/>
  <c r="KA43" i="5"/>
  <c r="KA42" i="5"/>
  <c r="KA41" i="5"/>
  <c r="KA40" i="5"/>
  <c r="KA39" i="5"/>
  <c r="KA38" i="5"/>
  <c r="KA37" i="5"/>
  <c r="KA36" i="5"/>
  <c r="KA35" i="5"/>
  <c r="KA34" i="5"/>
  <c r="KA33" i="5"/>
  <c r="KA32" i="5"/>
  <c r="KA31" i="5"/>
  <c r="KA30" i="5"/>
  <c r="KA29" i="5"/>
  <c r="KA28" i="5"/>
  <c r="KA27" i="5"/>
  <c r="KA26" i="5"/>
  <c r="KA25" i="5"/>
  <c r="KA24" i="5"/>
  <c r="KA23" i="5"/>
  <c r="KA22" i="5"/>
  <c r="KA21" i="5"/>
  <c r="KA20" i="5"/>
  <c r="KA19" i="5"/>
  <c r="KA18" i="5"/>
  <c r="KA17" i="5"/>
  <c r="KA16" i="5"/>
  <c r="KA15" i="5"/>
  <c r="KA14" i="5"/>
  <c r="KA13" i="5"/>
  <c r="KA12" i="5"/>
  <c r="KA11" i="5"/>
  <c r="KA10" i="5"/>
  <c r="KA9" i="5"/>
  <c r="KA8" i="5"/>
  <c r="KA7" i="5"/>
  <c r="KA6" i="5"/>
  <c r="KA5" i="5"/>
  <c r="KA4" i="5"/>
  <c r="JQ48" i="5"/>
  <c r="JQ47" i="5"/>
  <c r="JQ46" i="5"/>
  <c r="JQ45" i="5"/>
  <c r="JQ44" i="5"/>
  <c r="JQ43" i="5"/>
  <c r="JQ42" i="5"/>
  <c r="JQ41" i="5"/>
  <c r="JQ40" i="5"/>
  <c r="JQ39" i="5"/>
  <c r="JQ38" i="5"/>
  <c r="JQ37" i="5"/>
  <c r="JQ36" i="5"/>
  <c r="JQ35" i="5"/>
  <c r="JQ34" i="5"/>
  <c r="JQ33" i="5"/>
  <c r="JQ32" i="5"/>
  <c r="JQ31" i="5"/>
  <c r="JQ30" i="5"/>
  <c r="JQ29" i="5"/>
  <c r="JQ28" i="5"/>
  <c r="JQ27" i="5"/>
  <c r="JQ26" i="5"/>
  <c r="JQ25" i="5"/>
  <c r="JQ24" i="5"/>
  <c r="JQ23" i="5"/>
  <c r="JQ22" i="5"/>
  <c r="JQ21" i="5"/>
  <c r="JQ20" i="5"/>
  <c r="JQ19" i="5"/>
  <c r="JQ18" i="5"/>
  <c r="JQ17" i="5"/>
  <c r="JQ16" i="5"/>
  <c r="JQ15" i="5"/>
  <c r="JQ14" i="5"/>
  <c r="JQ13" i="5"/>
  <c r="JQ12" i="5"/>
  <c r="JQ11" i="5"/>
  <c r="JQ10" i="5"/>
  <c r="JQ9" i="5"/>
  <c r="JQ8" i="5"/>
  <c r="JQ7" i="5"/>
  <c r="JQ6" i="5"/>
  <c r="JQ5" i="5"/>
  <c r="JQ4" i="5"/>
  <c r="JG48" i="5"/>
  <c r="JG47" i="5"/>
  <c r="JG46" i="5"/>
  <c r="JG45" i="5"/>
  <c r="JG44" i="5"/>
  <c r="JG43" i="5"/>
  <c r="JG42" i="5"/>
  <c r="JG41" i="5"/>
  <c r="JG40" i="5"/>
  <c r="JG39" i="5"/>
  <c r="JG38" i="5"/>
  <c r="JG36" i="5"/>
  <c r="JG35" i="5"/>
  <c r="JG34" i="5"/>
  <c r="JG33" i="5"/>
  <c r="JG32" i="5"/>
  <c r="JG31" i="5"/>
  <c r="JG30" i="5"/>
  <c r="JG29" i="5"/>
  <c r="JG28" i="5"/>
  <c r="JG27" i="5"/>
  <c r="JG26" i="5"/>
  <c r="JG25" i="5"/>
  <c r="JG24" i="5"/>
  <c r="JG23" i="5"/>
  <c r="JG22" i="5"/>
  <c r="JG21" i="5"/>
  <c r="JG20" i="5"/>
  <c r="JG19" i="5"/>
  <c r="JG18" i="5"/>
  <c r="JG17" i="5"/>
  <c r="JG16" i="5"/>
  <c r="JG15" i="5"/>
  <c r="JG14" i="5"/>
  <c r="JG13" i="5"/>
  <c r="JG12" i="5"/>
  <c r="JG11" i="5"/>
  <c r="JG10" i="5"/>
  <c r="JG9" i="5"/>
  <c r="JG8" i="5"/>
  <c r="JG7" i="5"/>
  <c r="JG6" i="5"/>
  <c r="JG5" i="5"/>
  <c r="JG4" i="5"/>
  <c r="IW48" i="5"/>
  <c r="IW47" i="5"/>
  <c r="IW46" i="5"/>
  <c r="IW45" i="5"/>
  <c r="IW44" i="5"/>
  <c r="IW43" i="5"/>
  <c r="IW42" i="5"/>
  <c r="IW41" i="5"/>
  <c r="IW40" i="5"/>
  <c r="IW39" i="5"/>
  <c r="IW38" i="5"/>
  <c r="IW37" i="5"/>
  <c r="IW36" i="5"/>
  <c r="IW35" i="5"/>
  <c r="IW34" i="5"/>
  <c r="IW33" i="5"/>
  <c r="IW32" i="5"/>
  <c r="IW31" i="5"/>
  <c r="IW30" i="5"/>
  <c r="IW29" i="5"/>
  <c r="IW28" i="5"/>
  <c r="IW27" i="5"/>
  <c r="IW26" i="5"/>
  <c r="IW25" i="5"/>
  <c r="IW24" i="5"/>
  <c r="IW23" i="5"/>
  <c r="IW22" i="5"/>
  <c r="IW21" i="5"/>
  <c r="IW20" i="5"/>
  <c r="IW19" i="5"/>
  <c r="IW18" i="5"/>
  <c r="IW17" i="5"/>
  <c r="IW16" i="5"/>
  <c r="IW15" i="5"/>
  <c r="IW14" i="5"/>
  <c r="IW13" i="5"/>
  <c r="IW12" i="5"/>
  <c r="IW11" i="5"/>
  <c r="IW10" i="5"/>
  <c r="IW9" i="5"/>
  <c r="IW8" i="5"/>
  <c r="IW7" i="5"/>
  <c r="IW6" i="5"/>
  <c r="IW5" i="5"/>
  <c r="IW4" i="5"/>
  <c r="IM47" i="5"/>
  <c r="IM46" i="5"/>
  <c r="IM45" i="5"/>
  <c r="IM44" i="5"/>
  <c r="IM43" i="5"/>
  <c r="IM42" i="5"/>
  <c r="IM41" i="5"/>
  <c r="IM40" i="5"/>
  <c r="IM39" i="5"/>
  <c r="IM38" i="5"/>
  <c r="IM37" i="5"/>
  <c r="IM36" i="5"/>
  <c r="IM35" i="5"/>
  <c r="IM34" i="5"/>
  <c r="IM33" i="5"/>
  <c r="IM32" i="5"/>
  <c r="IM31" i="5"/>
  <c r="IM30" i="5"/>
  <c r="IM29" i="5"/>
  <c r="IM28" i="5"/>
  <c r="IM27" i="5"/>
  <c r="IM26" i="5"/>
  <c r="IM25" i="5"/>
  <c r="IM24" i="5"/>
  <c r="IM23" i="5"/>
  <c r="IM22" i="5"/>
  <c r="IM21" i="5"/>
  <c r="IM20" i="5"/>
  <c r="IM19" i="5"/>
  <c r="IM18" i="5"/>
  <c r="IM17" i="5"/>
  <c r="IM16" i="5"/>
  <c r="IM15" i="5"/>
  <c r="IM14" i="5"/>
  <c r="IM13" i="5"/>
  <c r="IM12" i="5"/>
  <c r="IM11" i="5"/>
  <c r="IM10" i="5"/>
  <c r="IM9" i="5"/>
  <c r="IM8" i="5"/>
  <c r="IM7" i="5"/>
  <c r="IM6" i="5"/>
  <c r="IM5" i="5"/>
  <c r="IM4" i="5"/>
  <c r="IC47" i="5"/>
  <c r="IC46" i="5"/>
  <c r="IC45" i="5"/>
  <c r="IC44" i="5"/>
  <c r="IC43" i="5"/>
  <c r="IC42" i="5"/>
  <c r="IC41" i="5"/>
  <c r="IC40" i="5"/>
  <c r="IC39" i="5"/>
  <c r="IC38" i="5"/>
  <c r="IC36" i="5"/>
  <c r="IC35" i="5"/>
  <c r="IC34" i="5"/>
  <c r="IC33" i="5"/>
  <c r="IC32" i="5"/>
  <c r="IC31" i="5"/>
  <c r="IC30" i="5"/>
  <c r="IC29" i="5"/>
  <c r="IC28" i="5"/>
  <c r="IC27" i="5"/>
  <c r="IC26" i="5"/>
  <c r="IC24" i="5"/>
  <c r="IC23" i="5"/>
  <c r="IC22" i="5"/>
  <c r="IC21" i="5"/>
  <c r="IC20" i="5"/>
  <c r="IC19" i="5"/>
  <c r="IC18" i="5"/>
  <c r="IC17" i="5"/>
  <c r="IC16" i="5"/>
  <c r="IC15" i="5"/>
  <c r="IC14" i="5"/>
  <c r="IC13" i="5"/>
  <c r="IC12" i="5"/>
  <c r="IC11" i="5"/>
  <c r="IC10" i="5"/>
  <c r="IC9" i="5"/>
  <c r="IC8" i="5"/>
  <c r="IC7" i="5"/>
  <c r="IC6" i="5"/>
  <c r="IC5" i="5"/>
  <c r="IC4" i="5"/>
  <c r="HS47" i="5"/>
  <c r="HS46" i="5"/>
  <c r="HS45" i="5"/>
  <c r="HS44" i="5"/>
  <c r="HS43" i="5"/>
  <c r="HS42" i="5"/>
  <c r="HS41" i="5"/>
  <c r="HS40" i="5"/>
  <c r="HS39" i="5"/>
  <c r="HS38" i="5"/>
  <c r="HS36" i="5"/>
  <c r="HS35" i="5"/>
  <c r="HS34" i="5"/>
  <c r="HS32" i="5"/>
  <c r="HS31" i="5"/>
  <c r="HS30" i="5"/>
  <c r="HS29" i="5"/>
  <c r="HS28" i="5"/>
  <c r="HS27" i="5"/>
  <c r="HS26" i="5"/>
  <c r="HS25" i="5"/>
  <c r="HS24" i="5"/>
  <c r="HS23" i="5"/>
  <c r="HS22" i="5"/>
  <c r="HS21" i="5"/>
  <c r="HS20" i="5"/>
  <c r="HS19" i="5"/>
  <c r="HS18" i="5"/>
  <c r="HS17" i="5"/>
  <c r="HS16" i="5"/>
  <c r="HS15" i="5"/>
  <c r="HS14" i="5"/>
  <c r="HS13" i="5"/>
  <c r="HS12" i="5"/>
  <c r="HS11" i="5"/>
  <c r="HS10" i="5"/>
  <c r="HS9" i="5"/>
  <c r="HS8" i="5"/>
  <c r="HS7" i="5"/>
  <c r="HS6" i="5"/>
  <c r="HS5" i="5"/>
  <c r="HS4" i="5"/>
  <c r="HI47" i="5"/>
  <c r="HI46" i="5"/>
  <c r="HI45" i="5"/>
  <c r="HI44" i="5"/>
  <c r="HI43" i="5"/>
  <c r="HI42" i="5"/>
  <c r="HI41" i="5"/>
  <c r="HI40" i="5"/>
  <c r="HI39" i="5"/>
  <c r="HI38" i="5"/>
  <c r="HI36" i="5"/>
  <c r="HI35" i="5"/>
  <c r="HI34" i="5"/>
  <c r="HI32" i="5"/>
  <c r="HI31" i="5"/>
  <c r="HI30" i="5"/>
  <c r="HI29" i="5"/>
  <c r="HI28" i="5"/>
  <c r="HI27" i="5"/>
  <c r="HI26" i="5"/>
  <c r="HI25" i="5"/>
  <c r="HI24" i="5"/>
  <c r="HI23" i="5"/>
  <c r="HI22" i="5"/>
  <c r="HI21" i="5"/>
  <c r="HI20" i="5"/>
  <c r="HI19" i="5"/>
  <c r="HI18" i="5"/>
  <c r="HI17" i="5"/>
  <c r="HI16" i="5"/>
  <c r="HI15" i="5"/>
  <c r="HI14" i="5"/>
  <c r="HI13" i="5"/>
  <c r="HI12" i="5"/>
  <c r="HI11" i="5"/>
  <c r="HI10" i="5"/>
  <c r="HI9" i="5"/>
  <c r="HI8" i="5"/>
  <c r="HI7" i="5"/>
  <c r="HI6" i="5"/>
  <c r="HI5" i="5"/>
  <c r="HI4" i="5"/>
  <c r="GY47" i="5"/>
  <c r="GY46" i="5"/>
  <c r="GY45" i="5"/>
  <c r="GY44" i="5"/>
  <c r="GY43" i="5"/>
  <c r="GY42" i="5"/>
  <c r="GY41" i="5"/>
  <c r="GY40" i="5"/>
  <c r="GY39" i="5"/>
  <c r="GY38" i="5"/>
  <c r="GY37" i="5"/>
  <c r="GY36" i="5"/>
  <c r="GY35" i="5"/>
  <c r="GY34" i="5"/>
  <c r="GY33" i="5"/>
  <c r="GY32" i="5"/>
  <c r="GY31" i="5"/>
  <c r="GY30" i="5"/>
  <c r="GY29" i="5"/>
  <c r="GY28" i="5"/>
  <c r="GY27" i="5"/>
  <c r="GY26" i="5"/>
  <c r="GY25" i="5"/>
  <c r="GY24" i="5"/>
  <c r="GY23" i="5"/>
  <c r="GY22" i="5"/>
  <c r="GY21" i="5"/>
  <c r="GY20" i="5"/>
  <c r="GY19" i="5"/>
  <c r="GY18" i="5"/>
  <c r="GY17" i="5"/>
  <c r="GY16" i="5"/>
  <c r="GY15" i="5"/>
  <c r="GY14" i="5"/>
  <c r="GY13" i="5"/>
  <c r="GY12" i="5"/>
  <c r="GY11" i="5"/>
  <c r="GY10" i="5"/>
  <c r="GY9" i="5"/>
  <c r="GY8" i="5"/>
  <c r="GY7" i="5"/>
  <c r="GY6" i="5"/>
  <c r="GY5" i="5"/>
  <c r="GY4" i="5"/>
  <c r="GO47" i="5"/>
  <c r="GO46" i="5"/>
  <c r="GO45" i="5"/>
  <c r="GO44" i="5"/>
  <c r="GO43" i="5"/>
  <c r="GO42" i="5"/>
  <c r="GO41" i="5"/>
  <c r="GO40" i="5"/>
  <c r="GO39" i="5"/>
  <c r="GO38" i="5"/>
  <c r="GO36" i="5"/>
  <c r="GO35" i="5"/>
  <c r="GO34" i="5"/>
  <c r="GO33" i="5"/>
  <c r="GO32" i="5"/>
  <c r="GO31" i="5"/>
  <c r="GO30" i="5"/>
  <c r="GO29" i="5"/>
  <c r="GO28" i="5"/>
  <c r="GO27" i="5"/>
  <c r="GO26" i="5"/>
  <c r="GO25" i="5"/>
  <c r="GO24" i="5"/>
  <c r="GO23" i="5"/>
  <c r="GO22" i="5"/>
  <c r="GO21" i="5"/>
  <c r="GO20" i="5"/>
  <c r="GO19" i="5"/>
  <c r="GO18" i="5"/>
  <c r="GO17" i="5"/>
  <c r="GO16" i="5"/>
  <c r="GO15" i="5"/>
  <c r="GO14" i="5"/>
  <c r="GO13" i="5"/>
  <c r="GO12" i="5"/>
  <c r="GO11" i="5"/>
  <c r="GO10" i="5"/>
  <c r="GO9" i="5"/>
  <c r="GO8" i="5"/>
  <c r="GO7" i="5"/>
  <c r="GO6" i="5"/>
  <c r="GO5" i="5"/>
  <c r="GO4" i="5"/>
  <c r="GE47" i="5"/>
  <c r="GE46" i="5"/>
  <c r="GE45" i="5"/>
  <c r="GE44" i="5"/>
  <c r="GE43" i="5"/>
  <c r="GE42" i="5"/>
  <c r="GE41" i="5"/>
  <c r="GE40" i="5"/>
  <c r="GE39" i="5"/>
  <c r="GE38" i="5"/>
  <c r="GE37" i="5"/>
  <c r="GE35" i="5"/>
  <c r="GE34" i="5"/>
  <c r="GE32" i="5"/>
  <c r="GE31" i="5"/>
  <c r="GE30" i="5"/>
  <c r="GE29" i="5"/>
  <c r="GE28" i="5"/>
  <c r="GE27" i="5"/>
  <c r="GE26" i="5"/>
  <c r="GE25" i="5"/>
  <c r="GE24" i="5"/>
  <c r="GE23" i="5"/>
  <c r="GE22" i="5"/>
  <c r="GE21" i="5"/>
  <c r="GE20" i="5"/>
  <c r="GE19" i="5"/>
  <c r="GE18" i="5"/>
  <c r="GE17" i="5"/>
  <c r="GE16" i="5"/>
  <c r="GE15" i="5"/>
  <c r="GE14" i="5"/>
  <c r="GE13" i="5"/>
  <c r="GE12" i="5"/>
  <c r="GE11" i="5"/>
  <c r="GE10" i="5"/>
  <c r="GE9" i="5"/>
  <c r="GE8" i="5"/>
  <c r="GE7" i="5"/>
  <c r="GE6" i="5"/>
  <c r="GE5" i="5"/>
  <c r="GE4" i="5"/>
  <c r="FU47" i="5"/>
  <c r="FU46" i="5"/>
  <c r="FU45" i="5"/>
  <c r="FU44" i="5"/>
  <c r="FU43" i="5"/>
  <c r="FU42" i="5"/>
  <c r="FU41" i="5"/>
  <c r="FU40" i="5"/>
  <c r="FU39" i="5"/>
  <c r="FU38" i="5"/>
  <c r="FU35" i="5"/>
  <c r="FU34" i="5"/>
  <c r="FU32" i="5"/>
  <c r="FU31" i="5"/>
  <c r="FU30" i="5"/>
  <c r="FU29" i="5"/>
  <c r="FU28" i="5"/>
  <c r="FU27" i="5"/>
  <c r="FU26" i="5"/>
  <c r="FU25" i="5"/>
  <c r="FU24" i="5"/>
  <c r="FU23" i="5"/>
  <c r="FU22" i="5"/>
  <c r="FU21" i="5"/>
  <c r="FU20" i="5"/>
  <c r="FU19" i="5"/>
  <c r="FU18" i="5"/>
  <c r="FU17" i="5"/>
  <c r="FU16" i="5"/>
  <c r="FU15" i="5"/>
  <c r="FU14" i="5"/>
  <c r="FU13" i="5"/>
  <c r="FU12" i="5"/>
  <c r="FU11" i="5"/>
  <c r="FU10" i="5"/>
  <c r="FU9" i="5"/>
  <c r="FU8" i="5"/>
  <c r="FU7" i="5"/>
  <c r="FU6" i="5"/>
  <c r="FU5" i="5"/>
  <c r="FU4" i="5"/>
  <c r="FK47" i="5"/>
  <c r="FK46" i="5"/>
  <c r="FK45" i="5"/>
  <c r="FK44" i="5"/>
  <c r="FK43" i="5"/>
  <c r="FK42" i="5"/>
  <c r="FK41" i="5"/>
  <c r="FK40" i="5"/>
  <c r="FK39" i="5"/>
  <c r="FK38" i="5"/>
  <c r="FK37" i="5"/>
  <c r="FK36" i="5"/>
  <c r="FK35" i="5"/>
  <c r="FK34" i="5"/>
  <c r="FK32" i="5"/>
  <c r="FK31" i="5"/>
  <c r="FK30" i="5"/>
  <c r="FK29" i="5"/>
  <c r="FK28" i="5"/>
  <c r="FK27" i="5"/>
  <c r="FK26" i="5"/>
  <c r="FK25" i="5"/>
  <c r="FK24" i="5"/>
  <c r="FK23" i="5"/>
  <c r="FK22" i="5"/>
  <c r="FK21" i="5"/>
  <c r="FK20" i="5"/>
  <c r="FK19" i="5"/>
  <c r="FK18" i="5"/>
  <c r="FK17" i="5"/>
  <c r="FK16" i="5"/>
  <c r="FK15" i="5"/>
  <c r="FK14" i="5"/>
  <c r="FK13" i="5"/>
  <c r="FK12" i="5"/>
  <c r="FK11" i="5"/>
  <c r="FK10" i="5"/>
  <c r="FK9" i="5"/>
  <c r="FK8" i="5"/>
  <c r="FK7" i="5"/>
  <c r="FK6" i="5"/>
  <c r="FK5" i="5"/>
  <c r="FK4" i="5"/>
  <c r="FA47" i="5"/>
  <c r="FA46" i="5"/>
  <c r="FA45" i="5"/>
  <c r="FA44" i="5"/>
  <c r="FA43" i="5"/>
  <c r="FA42" i="5"/>
  <c r="FA41" i="5"/>
  <c r="FA40" i="5"/>
  <c r="FA39" i="5"/>
  <c r="FA38" i="5"/>
  <c r="FA37" i="5"/>
  <c r="FA36" i="5"/>
  <c r="FA35" i="5"/>
  <c r="FA34" i="5"/>
  <c r="FA32" i="5"/>
  <c r="FA31" i="5"/>
  <c r="FA30" i="5"/>
  <c r="FA29" i="5"/>
  <c r="FA28" i="5"/>
  <c r="FA27" i="5"/>
  <c r="FA26" i="5"/>
  <c r="FA25" i="5"/>
  <c r="FA24" i="5"/>
  <c r="FA23" i="5"/>
  <c r="FA22" i="5"/>
  <c r="FA21" i="5"/>
  <c r="FA20" i="5"/>
  <c r="FA19" i="5"/>
  <c r="FA18" i="5"/>
  <c r="FA17" i="5"/>
  <c r="FA16" i="5"/>
  <c r="FA15" i="5"/>
  <c r="FA14" i="5"/>
  <c r="FA13" i="5"/>
  <c r="FA12" i="5"/>
  <c r="FA11" i="5"/>
  <c r="FA10" i="5"/>
  <c r="FA9" i="5"/>
  <c r="FA8" i="5"/>
  <c r="FA7" i="5"/>
  <c r="FA6" i="5"/>
  <c r="FA5" i="5"/>
  <c r="FA4" i="5"/>
  <c r="EQ47" i="5"/>
  <c r="EQ46" i="5"/>
  <c r="EQ45" i="5"/>
  <c r="EQ44" i="5"/>
  <c r="EQ43" i="5"/>
  <c r="EQ42" i="5"/>
  <c r="EQ41" i="5"/>
  <c r="EQ40" i="5"/>
  <c r="EQ39" i="5"/>
  <c r="EQ38" i="5"/>
  <c r="EQ37" i="5"/>
  <c r="EQ36" i="5"/>
  <c r="EQ35" i="5"/>
  <c r="EQ34" i="5"/>
  <c r="EQ32" i="5"/>
  <c r="EQ31" i="5"/>
  <c r="EQ30" i="5"/>
  <c r="EQ29" i="5"/>
  <c r="EQ28" i="5"/>
  <c r="EQ27" i="5"/>
  <c r="EQ26" i="5"/>
  <c r="EQ25" i="5"/>
  <c r="EQ24" i="5"/>
  <c r="EQ23" i="5"/>
  <c r="EQ22" i="5"/>
  <c r="EQ21" i="5"/>
  <c r="EQ20" i="5"/>
  <c r="EQ19" i="5"/>
  <c r="EQ18" i="5"/>
  <c r="EQ17" i="5"/>
  <c r="EQ16" i="5"/>
  <c r="EQ15" i="5"/>
  <c r="EQ14" i="5"/>
  <c r="EQ13" i="5"/>
  <c r="EQ12" i="5"/>
  <c r="EQ11" i="5"/>
  <c r="EQ10" i="5"/>
  <c r="EQ9" i="5"/>
  <c r="EQ7" i="5"/>
  <c r="EQ6" i="5"/>
  <c r="EQ5" i="5"/>
  <c r="EQ4" i="5"/>
  <c r="EG47" i="5"/>
  <c r="EG46" i="5"/>
  <c r="EG45" i="5"/>
  <c r="EG44" i="5"/>
  <c r="EG43" i="5"/>
  <c r="EG42" i="5"/>
  <c r="EG41" i="5"/>
  <c r="EG40" i="5"/>
  <c r="EG39" i="5"/>
  <c r="EG38" i="5"/>
  <c r="EG37" i="5"/>
  <c r="EG36" i="5"/>
  <c r="EG35" i="5"/>
  <c r="EG34" i="5"/>
  <c r="EG33" i="5"/>
  <c r="EG32" i="5"/>
  <c r="EG31" i="5"/>
  <c r="EG30" i="5"/>
  <c r="EG29" i="5"/>
  <c r="EG28" i="5"/>
  <c r="EG27" i="5"/>
  <c r="EG26" i="5"/>
  <c r="EG25" i="5"/>
  <c r="EG24" i="5"/>
  <c r="EG23" i="5"/>
  <c r="EG22" i="5"/>
  <c r="EG21" i="5"/>
  <c r="EG20" i="5"/>
  <c r="EG19" i="5"/>
  <c r="EG18" i="5"/>
  <c r="EG17" i="5"/>
  <c r="EG16" i="5"/>
  <c r="EG15" i="5"/>
  <c r="EG14" i="5"/>
  <c r="EG13" i="5"/>
  <c r="EG12" i="5"/>
  <c r="EG11" i="5"/>
  <c r="EG10" i="5"/>
  <c r="EG9" i="5"/>
  <c r="EG7" i="5"/>
  <c r="EG6" i="5"/>
  <c r="EG5" i="5"/>
  <c r="EG4" i="5"/>
  <c r="DW47" i="5"/>
  <c r="DW46" i="5"/>
  <c r="DW45" i="5"/>
  <c r="DW44" i="5"/>
  <c r="DW43" i="5"/>
  <c r="DW42" i="5"/>
  <c r="DW41" i="5"/>
  <c r="DW40" i="5"/>
  <c r="DW39" i="5"/>
  <c r="DW38" i="5"/>
  <c r="DW36" i="5"/>
  <c r="DW35" i="5"/>
  <c r="DW34" i="5"/>
  <c r="DW33" i="5"/>
  <c r="DW32" i="5"/>
  <c r="DW31" i="5"/>
  <c r="DW30" i="5"/>
  <c r="DW29" i="5"/>
  <c r="DW28" i="5"/>
  <c r="DM27" i="5"/>
  <c r="DW26" i="5"/>
  <c r="DW25" i="5"/>
  <c r="DW24" i="5"/>
  <c r="DW23" i="5"/>
  <c r="DW22" i="5"/>
  <c r="DW21" i="5"/>
  <c r="DW20" i="5"/>
  <c r="DW19" i="5"/>
  <c r="DW18" i="5"/>
  <c r="DW17" i="5"/>
  <c r="DW16" i="5"/>
  <c r="DW15" i="5"/>
  <c r="DW14" i="5"/>
  <c r="DW13" i="5"/>
  <c r="DW12" i="5"/>
  <c r="DW11" i="5"/>
  <c r="DW10" i="5"/>
  <c r="DW9" i="5"/>
  <c r="DW7" i="5"/>
  <c r="DW6" i="5"/>
  <c r="DW5" i="5"/>
  <c r="DW4" i="5"/>
  <c r="DM47" i="5"/>
  <c r="DM46" i="5"/>
  <c r="DM45" i="5"/>
  <c r="DM44" i="5"/>
  <c r="DM43" i="5"/>
  <c r="DM42" i="5"/>
  <c r="DM41" i="5"/>
  <c r="DM40" i="5"/>
  <c r="DM39" i="5"/>
  <c r="DM38" i="5"/>
  <c r="DM37" i="5"/>
  <c r="DM35" i="5"/>
  <c r="DM34" i="5"/>
  <c r="DM33" i="5"/>
  <c r="DM32" i="5"/>
  <c r="DM31" i="5"/>
  <c r="DM30" i="5"/>
  <c r="DM29" i="5"/>
  <c r="DM28" i="5"/>
  <c r="DC27" i="5"/>
  <c r="DM26" i="5"/>
  <c r="DM25" i="5"/>
  <c r="DM24" i="5"/>
  <c r="DM23" i="5"/>
  <c r="DM22" i="5"/>
  <c r="DM21" i="5"/>
  <c r="DM20" i="5"/>
  <c r="DM19" i="5"/>
  <c r="DM18" i="5"/>
  <c r="DM17" i="5"/>
  <c r="DM16" i="5"/>
  <c r="DM15" i="5"/>
  <c r="DM14" i="5"/>
  <c r="DM13" i="5"/>
  <c r="DM12" i="5"/>
  <c r="DM11" i="5"/>
  <c r="DM10" i="5"/>
  <c r="DM9" i="5"/>
  <c r="DM7" i="5"/>
  <c r="DM6" i="5"/>
  <c r="DM5" i="5"/>
  <c r="DM4" i="5"/>
  <c r="DC47" i="5"/>
  <c r="DC46" i="5"/>
  <c r="DC45" i="5"/>
  <c r="DC44" i="5"/>
  <c r="DC43" i="5"/>
  <c r="DC42" i="5"/>
  <c r="DC41" i="5"/>
  <c r="DC40" i="5"/>
  <c r="DC39" i="5"/>
  <c r="DC38" i="5"/>
  <c r="DC36" i="5"/>
  <c r="DC35" i="5"/>
  <c r="DC34" i="5"/>
  <c r="DC33" i="5"/>
  <c r="DC32" i="5"/>
  <c r="DC31" i="5"/>
  <c r="DC30" i="5"/>
  <c r="DC29" i="5"/>
  <c r="DC28" i="5"/>
  <c r="CS27" i="5"/>
  <c r="DC26" i="5"/>
  <c r="DC25" i="5"/>
  <c r="DC24" i="5"/>
  <c r="DC23" i="5"/>
  <c r="DC22" i="5"/>
  <c r="DC21" i="5"/>
  <c r="DC20" i="5"/>
  <c r="DC19" i="5"/>
  <c r="DC18" i="5"/>
  <c r="DC17" i="5"/>
  <c r="DC16" i="5"/>
  <c r="DC15" i="5"/>
  <c r="DC14" i="5"/>
  <c r="DC13" i="5"/>
  <c r="DC12" i="5"/>
  <c r="DC11" i="5"/>
  <c r="DC10" i="5"/>
  <c r="DC9" i="5"/>
  <c r="DC8" i="5"/>
  <c r="DC7" i="5"/>
  <c r="DC6" i="5"/>
  <c r="DC5" i="5"/>
  <c r="DC4" i="5"/>
  <c r="CS47" i="5"/>
  <c r="CS46" i="5"/>
  <c r="CS45" i="5"/>
  <c r="CS44" i="5"/>
  <c r="CS43" i="5"/>
  <c r="CS42" i="5"/>
  <c r="CS41" i="5"/>
  <c r="CS40" i="5"/>
  <c r="CS39" i="5"/>
  <c r="CS38" i="5"/>
  <c r="CS35" i="5"/>
  <c r="CS34" i="5"/>
  <c r="CS33" i="5"/>
  <c r="CS32" i="5"/>
  <c r="CS31" i="5"/>
  <c r="CS30" i="5"/>
  <c r="CS29" i="5"/>
  <c r="CS28" i="5"/>
  <c r="CI27" i="5"/>
  <c r="CS26" i="5"/>
  <c r="CS25" i="5"/>
  <c r="CS24" i="5"/>
  <c r="CS23" i="5"/>
  <c r="CS22" i="5"/>
  <c r="CS21" i="5"/>
  <c r="CS20" i="5"/>
  <c r="CS19" i="5"/>
  <c r="CS18" i="5"/>
  <c r="CS17" i="5"/>
  <c r="CS16" i="5"/>
  <c r="CS15" i="5"/>
  <c r="CS14" i="5"/>
  <c r="CS13" i="5"/>
  <c r="CS12" i="5"/>
  <c r="CS11" i="5"/>
  <c r="CS10" i="5"/>
  <c r="CS9" i="5"/>
  <c r="CS8" i="5"/>
  <c r="CS7" i="5"/>
  <c r="CS6" i="5"/>
  <c r="CS5" i="5"/>
  <c r="CS4" i="5"/>
  <c r="CI47" i="5"/>
  <c r="CI46" i="5"/>
  <c r="CI45" i="5"/>
  <c r="CI44" i="5"/>
  <c r="CI43" i="5"/>
  <c r="CI42" i="5"/>
  <c r="CI41" i="5"/>
  <c r="CI40" i="5"/>
  <c r="CI39" i="5"/>
  <c r="CI38" i="5"/>
  <c r="CI35" i="5"/>
  <c r="CI34" i="5"/>
  <c r="CI33" i="5"/>
  <c r="CI31" i="5"/>
  <c r="CI30" i="5"/>
  <c r="CI29" i="5"/>
  <c r="CI28" i="5"/>
  <c r="BY27" i="5"/>
  <c r="CI26" i="5"/>
  <c r="CI25" i="5"/>
  <c r="CI23" i="5"/>
  <c r="CI22" i="5"/>
  <c r="CI21" i="5"/>
  <c r="CI20" i="5"/>
  <c r="CI18" i="5"/>
  <c r="CI17" i="5"/>
  <c r="CI16" i="5"/>
  <c r="CI15" i="5"/>
  <c r="CI14" i="5"/>
  <c r="CI13" i="5"/>
  <c r="CI12" i="5"/>
  <c r="CI11" i="5"/>
  <c r="CI10" i="5"/>
  <c r="CI9" i="5"/>
  <c r="CI8" i="5"/>
  <c r="CI7" i="5"/>
  <c r="CI6" i="5"/>
  <c r="CI5" i="5"/>
  <c r="CI4" i="5"/>
  <c r="BY47" i="5"/>
  <c r="BY46" i="5"/>
  <c r="BY45" i="5"/>
  <c r="BY43" i="5"/>
  <c r="BY42" i="5"/>
  <c r="BY41" i="5"/>
  <c r="BY40" i="5"/>
  <c r="BY39" i="5"/>
  <c r="BY38" i="5"/>
  <c r="BY35" i="5"/>
  <c r="BY34" i="5"/>
  <c r="BY32" i="5"/>
  <c r="BY31" i="5"/>
  <c r="BY30" i="5"/>
  <c r="BY29" i="5"/>
  <c r="BY28" i="5"/>
  <c r="BO27" i="5"/>
  <c r="BY26" i="5"/>
  <c r="BY23" i="5"/>
  <c r="BY22" i="5"/>
  <c r="BY21" i="5"/>
  <c r="BY20" i="5"/>
  <c r="BY18" i="5"/>
  <c r="BY17" i="5"/>
  <c r="BY16" i="5"/>
  <c r="BY15" i="5"/>
  <c r="BY14" i="5"/>
  <c r="BY13" i="5"/>
  <c r="BY12" i="5"/>
  <c r="BY11" i="5"/>
  <c r="BY10" i="5"/>
  <c r="BY9" i="5"/>
  <c r="BY8" i="5"/>
  <c r="BY7" i="5"/>
  <c r="BY6" i="5"/>
  <c r="BY5" i="5"/>
  <c r="BY4" i="5"/>
  <c r="BO47" i="5"/>
  <c r="BO46" i="5"/>
  <c r="BO45" i="5"/>
  <c r="BO43" i="5"/>
  <c r="BO42" i="5"/>
  <c r="BO41" i="5"/>
  <c r="BO40" i="5"/>
  <c r="BO39" i="5"/>
  <c r="BO38" i="5"/>
  <c r="BO37" i="5"/>
  <c r="BO36" i="5"/>
  <c r="BO35" i="5"/>
  <c r="BO34" i="5"/>
  <c r="BO32" i="5"/>
  <c r="BO31" i="5"/>
  <c r="BO30" i="5"/>
  <c r="BO29" i="5"/>
  <c r="BO28" i="5"/>
  <c r="BO26" i="5"/>
  <c r="BO25" i="5"/>
  <c r="BO23" i="5"/>
  <c r="BO22" i="5"/>
  <c r="BO21" i="5"/>
  <c r="BO20" i="5"/>
  <c r="BO18" i="5"/>
  <c r="BO17" i="5"/>
  <c r="BO16" i="5"/>
  <c r="BO15" i="5"/>
  <c r="BO14" i="5"/>
  <c r="BO13" i="5"/>
  <c r="BO12" i="5"/>
  <c r="BO11" i="5"/>
  <c r="BO10" i="5"/>
  <c r="BO9" i="5"/>
  <c r="BO7" i="5"/>
  <c r="BO6" i="5"/>
  <c r="BO5" i="5"/>
  <c r="BO4" i="5"/>
  <c r="BE47" i="5"/>
  <c r="BE46" i="5"/>
  <c r="BE45" i="5"/>
  <c r="BE44" i="5"/>
  <c r="BE43" i="5"/>
  <c r="BE42" i="5"/>
  <c r="BE41" i="5"/>
  <c r="BE40" i="5"/>
  <c r="BE39" i="5"/>
  <c r="BE36" i="5"/>
  <c r="BE35" i="5"/>
  <c r="BE34" i="5"/>
  <c r="BE31" i="5"/>
  <c r="BE30" i="5"/>
  <c r="BE28" i="5"/>
  <c r="BE26" i="5"/>
  <c r="BE23" i="5"/>
  <c r="BE22" i="5"/>
  <c r="BE21" i="5"/>
  <c r="BE20" i="5"/>
  <c r="BE19" i="5"/>
  <c r="BE18" i="5"/>
  <c r="BE17" i="5"/>
  <c r="BE16" i="5"/>
  <c r="BE15" i="5"/>
  <c r="BE14" i="5"/>
  <c r="BE13" i="5"/>
  <c r="BE12" i="5"/>
  <c r="BE11" i="5"/>
  <c r="BE10" i="5"/>
  <c r="BE9" i="5"/>
  <c r="BE8" i="5"/>
  <c r="BE7" i="5"/>
  <c r="BE5" i="5"/>
  <c r="BE4" i="5"/>
  <c r="AU46" i="5"/>
  <c r="AU45" i="5"/>
  <c r="AU44" i="5"/>
  <c r="AU43" i="5"/>
  <c r="AU42" i="5"/>
  <c r="AU41" i="5"/>
  <c r="AU40" i="5"/>
  <c r="AU39" i="5"/>
  <c r="AU35" i="5"/>
  <c r="AU34" i="5"/>
  <c r="AU30" i="5"/>
  <c r="AU29" i="5"/>
  <c r="AU28" i="5"/>
  <c r="AU26" i="5"/>
  <c r="AU23" i="5"/>
  <c r="AU22" i="5"/>
  <c r="AU21" i="5"/>
  <c r="AU20" i="5"/>
  <c r="AU19" i="5"/>
  <c r="AU18" i="5"/>
  <c r="AU17" i="5"/>
  <c r="AU16" i="5"/>
  <c r="AU15" i="5"/>
  <c r="AU14" i="5"/>
  <c r="AU13" i="5"/>
  <c r="AU12" i="5"/>
  <c r="AU11" i="5"/>
  <c r="AU10" i="5"/>
  <c r="AU9" i="5"/>
  <c r="AU8" i="5"/>
  <c r="AU7" i="5"/>
  <c r="AU5" i="5"/>
  <c r="AU4" i="5"/>
  <c r="AK46" i="5"/>
  <c r="AK45" i="5"/>
  <c r="AK43" i="5"/>
  <c r="AK42" i="5"/>
  <c r="AK41" i="5"/>
  <c r="AK40" i="5"/>
  <c r="AK39" i="5"/>
  <c r="AK38" i="5"/>
  <c r="AK35" i="5"/>
  <c r="AK34" i="5"/>
  <c r="AK30" i="5"/>
  <c r="AK29" i="5"/>
  <c r="AK28" i="5"/>
  <c r="AK26" i="5"/>
  <c r="AK24" i="5"/>
  <c r="AK23" i="5"/>
  <c r="AK22" i="5"/>
  <c r="AK21" i="5"/>
  <c r="AK19" i="5"/>
  <c r="AK18" i="5"/>
  <c r="AK17" i="5"/>
  <c r="AK16" i="5"/>
  <c r="AK15" i="5"/>
  <c r="AK14" i="5"/>
  <c r="AK13" i="5"/>
  <c r="AK12" i="5"/>
  <c r="AK11" i="5"/>
  <c r="AK10" i="5"/>
  <c r="AK9" i="5"/>
  <c r="AK8" i="5"/>
  <c r="AK7" i="5"/>
  <c r="AK5" i="5"/>
  <c r="AK4" i="5"/>
  <c r="AA46" i="5"/>
  <c r="AA45" i="5"/>
  <c r="AA43" i="5"/>
  <c r="AA42" i="5"/>
  <c r="AA41" i="5"/>
  <c r="AA40" i="5"/>
  <c r="AA39" i="5"/>
  <c r="AA38" i="5"/>
  <c r="AA37" i="5"/>
  <c r="AA36" i="5"/>
  <c r="AA35" i="5"/>
  <c r="AA34" i="5"/>
  <c r="AA30" i="5"/>
  <c r="AA28" i="5"/>
  <c r="AA26" i="5"/>
  <c r="AA24" i="5"/>
  <c r="AA22" i="5"/>
  <c r="AA21" i="5"/>
  <c r="AA20" i="5"/>
  <c r="AA19" i="5"/>
  <c r="AA18" i="5"/>
  <c r="AA17" i="5"/>
  <c r="AA16" i="5"/>
  <c r="AA15" i="5"/>
  <c r="AA14" i="5"/>
  <c r="AA13" i="5"/>
  <c r="AA12" i="5"/>
  <c r="AA11" i="5"/>
  <c r="AA10" i="5"/>
  <c r="AA9" i="5"/>
  <c r="AA7" i="5"/>
  <c r="AA6" i="5"/>
  <c r="AA5" i="5"/>
  <c r="Q46" i="5"/>
  <c r="Q45" i="5"/>
  <c r="Q44" i="5"/>
  <c r="Q43" i="5"/>
  <c r="Q40" i="5"/>
  <c r="Q39" i="5"/>
  <c r="Q38" i="5"/>
  <c r="Q36" i="5"/>
  <c r="Q35" i="5"/>
  <c r="Q34" i="5"/>
  <c r="Q31" i="5"/>
  <c r="Q28" i="5"/>
  <c r="Q24" i="5"/>
  <c r="Q23" i="5"/>
  <c r="Q22" i="5"/>
  <c r="Q21" i="5"/>
  <c r="Q20" i="5"/>
  <c r="Q19" i="5"/>
  <c r="Q18" i="5"/>
  <c r="Q17" i="5"/>
  <c r="Q16" i="5"/>
  <c r="Q15" i="5"/>
  <c r="Q14" i="5"/>
  <c r="Q13" i="5"/>
  <c r="Q12" i="5"/>
  <c r="Q11" i="5"/>
  <c r="Q10" i="5"/>
  <c r="Q9" i="5"/>
  <c r="Q7" i="5"/>
  <c r="Q5" i="5"/>
  <c r="G45" i="5"/>
  <c r="G43" i="5"/>
  <c r="G41" i="5"/>
  <c r="G40" i="5"/>
  <c r="G39" i="5"/>
  <c r="G37" i="5"/>
  <c r="G36" i="5"/>
  <c r="G35" i="5"/>
  <c r="G29" i="5"/>
  <c r="G28" i="5"/>
  <c r="G25" i="5"/>
  <c r="G23" i="5"/>
  <c r="G22" i="5"/>
  <c r="G20" i="5"/>
  <c r="G19" i="5"/>
  <c r="G18" i="5"/>
  <c r="G17" i="5"/>
  <c r="G16" i="5"/>
  <c r="G15" i="5"/>
  <c r="G14" i="5"/>
  <c r="G13" i="5"/>
  <c r="G12" i="5"/>
  <c r="G10" i="5"/>
  <c r="G9" i="5"/>
  <c r="G5" i="5"/>
  <c r="G4" i="5"/>
  <c r="H145" i="8"/>
  <c r="G145" i="8"/>
  <c r="F145" i="8"/>
  <c r="E145" i="8"/>
  <c r="H144" i="8"/>
  <c r="G144" i="8"/>
  <c r="F144" i="8"/>
  <c r="E144" i="8"/>
  <c r="NV24" i="5"/>
  <c r="NW24" i="5"/>
  <c r="NL24" i="5"/>
  <c r="NM24" i="5"/>
  <c r="H143" i="8"/>
  <c r="G143" i="8"/>
  <c r="F143" i="8"/>
  <c r="E143" i="8"/>
  <c r="H142" i="8"/>
  <c r="G142" i="8"/>
  <c r="I142" i="8" s="1"/>
  <c r="F142" i="8"/>
  <c r="E142" i="8"/>
  <c r="H141" i="8"/>
  <c r="G141" i="8"/>
  <c r="F141" i="8"/>
  <c r="E141" i="8"/>
  <c r="C145" i="8"/>
  <c r="D145" i="8" s="1"/>
  <c r="C144" i="8"/>
  <c r="D144" i="8" s="1"/>
  <c r="C143" i="8"/>
  <c r="D143" i="8" s="1"/>
  <c r="C142" i="8"/>
  <c r="D142" i="8" s="1"/>
  <c r="C141" i="8"/>
  <c r="D141" i="8" s="1"/>
  <c r="NB24" i="5"/>
  <c r="NC24" i="5"/>
  <c r="MS24" i="5"/>
  <c r="MH24" i="5"/>
  <c r="MI24" i="5"/>
  <c r="LY24" i="5"/>
  <c r="LO24" i="5"/>
  <c r="LE24" i="5"/>
  <c r="KU24" i="5"/>
  <c r="L91" i="8"/>
  <c r="J91" i="8"/>
  <c r="RL25" i="11"/>
  <c r="RM25" i="11"/>
  <c r="QQ25" i="11"/>
  <c r="QR25" i="11"/>
  <c r="H140" i="8"/>
  <c r="H139" i="8"/>
  <c r="H138" i="8"/>
  <c r="G140" i="8"/>
  <c r="F140" i="8"/>
  <c r="G139" i="8"/>
  <c r="F139" i="8"/>
  <c r="G138" i="8"/>
  <c r="F138" i="8"/>
  <c r="G137" i="8"/>
  <c r="F137" i="8"/>
  <c r="G136" i="8"/>
  <c r="F136" i="8"/>
  <c r="E140" i="8"/>
  <c r="E139" i="8"/>
  <c r="E138" i="8"/>
  <c r="E137" i="8"/>
  <c r="E136" i="8"/>
  <c r="C140" i="8"/>
  <c r="D140" i="8" s="1"/>
  <c r="C139" i="8"/>
  <c r="D139" i="8" s="1"/>
  <c r="C138" i="8"/>
  <c r="D138" i="8" s="1"/>
  <c r="C137" i="8"/>
  <c r="D137" i="8" s="1"/>
  <c r="C136" i="8"/>
  <c r="D136" i="8" s="1"/>
  <c r="OJ24" i="5"/>
  <c r="NZ24" i="5"/>
  <c r="NP24" i="5"/>
  <c r="NF24" i="5"/>
  <c r="MV24" i="5"/>
  <c r="ML24" i="5"/>
  <c r="MB24" i="5"/>
  <c r="LR24" i="5"/>
  <c r="LH24" i="5"/>
  <c r="KX24" i="5"/>
  <c r="OJ48" i="5"/>
  <c r="NZ48" i="5"/>
  <c r="OJ47" i="5"/>
  <c r="NZ47" i="5"/>
  <c r="OJ46" i="5"/>
  <c r="NZ46" i="5"/>
  <c r="OJ45" i="5"/>
  <c r="NZ45" i="5"/>
  <c r="OJ44" i="5"/>
  <c r="NZ44" i="5"/>
  <c r="OJ43" i="5"/>
  <c r="NZ43" i="5"/>
  <c r="OJ42" i="5"/>
  <c r="NZ42" i="5"/>
  <c r="OJ41" i="5"/>
  <c r="NZ41" i="5"/>
  <c r="OJ40" i="5"/>
  <c r="NZ40" i="5"/>
  <c r="OJ39" i="5"/>
  <c r="NZ39" i="5"/>
  <c r="OJ38" i="5"/>
  <c r="NZ38" i="5"/>
  <c r="OJ37" i="5"/>
  <c r="NZ37" i="5"/>
  <c r="OJ36" i="5"/>
  <c r="NZ36" i="5"/>
  <c r="OJ35" i="5"/>
  <c r="NZ35" i="5"/>
  <c r="OJ34" i="5"/>
  <c r="NZ34" i="5"/>
  <c r="OJ33" i="5"/>
  <c r="NZ33" i="5"/>
  <c r="OJ32" i="5"/>
  <c r="NZ32" i="5"/>
  <c r="OJ31" i="5"/>
  <c r="NZ31" i="5"/>
  <c r="OJ30" i="5"/>
  <c r="NZ30" i="5"/>
  <c r="OJ29" i="5"/>
  <c r="NZ29" i="5"/>
  <c r="OJ28" i="5"/>
  <c r="NZ28" i="5"/>
  <c r="OJ27" i="5"/>
  <c r="NZ27" i="5"/>
  <c r="OJ26" i="5"/>
  <c r="NZ26" i="5"/>
  <c r="OJ25" i="5"/>
  <c r="NZ25" i="5"/>
  <c r="OJ23" i="5"/>
  <c r="NZ23" i="5"/>
  <c r="OJ22" i="5"/>
  <c r="NZ22" i="5"/>
  <c r="OJ21" i="5"/>
  <c r="NZ21" i="5"/>
  <c r="OJ20" i="5"/>
  <c r="NZ20" i="5"/>
  <c r="OJ19" i="5"/>
  <c r="NZ19" i="5"/>
  <c r="OJ18" i="5"/>
  <c r="NZ18" i="5"/>
  <c r="OJ17" i="5"/>
  <c r="NZ17" i="5"/>
  <c r="OJ16" i="5"/>
  <c r="NZ16" i="5"/>
  <c r="OJ15" i="5"/>
  <c r="NZ15" i="5"/>
  <c r="OJ14" i="5"/>
  <c r="NZ14" i="5"/>
  <c r="OJ13" i="5"/>
  <c r="NZ13" i="5"/>
  <c r="OJ12" i="5"/>
  <c r="NZ12" i="5"/>
  <c r="OJ11" i="5"/>
  <c r="NZ11" i="5"/>
  <c r="OJ10" i="5"/>
  <c r="NZ10" i="5"/>
  <c r="OJ9" i="5"/>
  <c r="NZ9" i="5"/>
  <c r="OJ8" i="5"/>
  <c r="NZ8" i="5"/>
  <c r="OJ7" i="5"/>
  <c r="NZ7" i="5"/>
  <c r="OJ6" i="5"/>
  <c r="NZ6" i="5"/>
  <c r="OJ5" i="5"/>
  <c r="NZ5" i="5"/>
  <c r="OJ4" i="5"/>
  <c r="NZ4" i="5"/>
  <c r="NP48" i="5"/>
  <c r="NF48" i="5"/>
  <c r="NP47" i="5"/>
  <c r="NF47" i="5"/>
  <c r="NP46" i="5"/>
  <c r="NF46" i="5"/>
  <c r="NP45" i="5"/>
  <c r="NF45" i="5"/>
  <c r="NP44" i="5"/>
  <c r="NF44" i="5"/>
  <c r="NP43" i="5"/>
  <c r="NF43" i="5"/>
  <c r="NP42" i="5"/>
  <c r="NF42" i="5"/>
  <c r="NP41" i="5"/>
  <c r="NF41" i="5"/>
  <c r="NP40" i="5"/>
  <c r="NF40" i="5"/>
  <c r="NP39" i="5"/>
  <c r="NF39" i="5"/>
  <c r="NP38" i="5"/>
  <c r="NF38" i="5"/>
  <c r="NP37" i="5"/>
  <c r="NF37" i="5"/>
  <c r="NP36" i="5"/>
  <c r="NF36" i="5"/>
  <c r="NP35" i="5"/>
  <c r="NF35" i="5"/>
  <c r="NP34" i="5"/>
  <c r="NF34" i="5"/>
  <c r="NP33" i="5"/>
  <c r="NF33" i="5"/>
  <c r="NP32" i="5"/>
  <c r="NF32" i="5"/>
  <c r="NP31" i="5"/>
  <c r="NF31" i="5"/>
  <c r="NP30" i="5"/>
  <c r="NF30" i="5"/>
  <c r="NP29" i="5"/>
  <c r="NF29" i="5"/>
  <c r="NP28" i="5"/>
  <c r="NF28" i="5"/>
  <c r="NP27" i="5"/>
  <c r="NF27" i="5"/>
  <c r="NP26" i="5"/>
  <c r="NF26" i="5"/>
  <c r="NP25" i="5"/>
  <c r="NF25" i="5"/>
  <c r="NP23" i="5"/>
  <c r="NF23" i="5"/>
  <c r="NP22" i="5"/>
  <c r="NF22" i="5"/>
  <c r="NP21" i="5"/>
  <c r="NF21" i="5"/>
  <c r="NP20" i="5"/>
  <c r="NF20" i="5"/>
  <c r="NP19" i="5"/>
  <c r="NF19" i="5"/>
  <c r="NP18" i="5"/>
  <c r="NF18" i="5"/>
  <c r="NP17" i="5"/>
  <c r="NF17" i="5"/>
  <c r="NP16" i="5"/>
  <c r="NF16" i="5"/>
  <c r="NP15" i="5"/>
  <c r="NF15" i="5"/>
  <c r="NP14" i="5"/>
  <c r="NF14" i="5"/>
  <c r="NP13" i="5"/>
  <c r="NF13" i="5"/>
  <c r="NP12" i="5"/>
  <c r="NF12" i="5"/>
  <c r="NP11" i="5"/>
  <c r="NF11" i="5"/>
  <c r="NP10" i="5"/>
  <c r="NF10" i="5"/>
  <c r="NP9" i="5"/>
  <c r="NF9" i="5"/>
  <c r="NP8" i="5"/>
  <c r="NF8" i="5"/>
  <c r="NP7" i="5"/>
  <c r="NF7" i="5"/>
  <c r="NP6" i="5"/>
  <c r="NF6" i="5"/>
  <c r="NP5" i="5"/>
  <c r="NF5" i="5"/>
  <c r="NP4" i="5"/>
  <c r="NF4" i="5"/>
  <c r="MV48" i="5"/>
  <c r="ML48" i="5"/>
  <c r="MV47" i="5"/>
  <c r="ML47" i="5"/>
  <c r="MV46" i="5"/>
  <c r="ML46" i="5"/>
  <c r="MV45" i="5"/>
  <c r="ML45" i="5"/>
  <c r="MV44" i="5"/>
  <c r="ML44" i="5"/>
  <c r="MV43" i="5"/>
  <c r="ML43" i="5"/>
  <c r="MV42" i="5"/>
  <c r="ML42" i="5"/>
  <c r="MV41" i="5"/>
  <c r="ML41" i="5"/>
  <c r="MV40" i="5"/>
  <c r="ML40" i="5"/>
  <c r="MV39" i="5"/>
  <c r="ML39" i="5"/>
  <c r="MV38" i="5"/>
  <c r="ML38" i="5"/>
  <c r="MV37" i="5"/>
  <c r="ML37" i="5"/>
  <c r="MV36" i="5"/>
  <c r="ML36" i="5"/>
  <c r="MV35" i="5"/>
  <c r="ML35" i="5"/>
  <c r="MV34" i="5"/>
  <c r="ML34" i="5"/>
  <c r="MV33" i="5"/>
  <c r="ML33" i="5"/>
  <c r="MV32" i="5"/>
  <c r="ML32" i="5"/>
  <c r="MV31" i="5"/>
  <c r="ML31" i="5"/>
  <c r="MV30" i="5"/>
  <c r="ML30" i="5"/>
  <c r="MV29" i="5"/>
  <c r="ML29" i="5"/>
  <c r="MV28" i="5"/>
  <c r="ML28" i="5"/>
  <c r="MV27" i="5"/>
  <c r="ML27" i="5"/>
  <c r="MV26" i="5"/>
  <c r="ML26" i="5"/>
  <c r="MV25" i="5"/>
  <c r="ML25" i="5"/>
  <c r="MV23" i="5"/>
  <c r="ML23" i="5"/>
  <c r="MV22" i="5"/>
  <c r="ML22" i="5"/>
  <c r="MV21" i="5"/>
  <c r="ML21" i="5"/>
  <c r="MV20" i="5"/>
  <c r="ML20" i="5"/>
  <c r="MV19" i="5"/>
  <c r="ML19" i="5"/>
  <c r="MV18" i="5"/>
  <c r="ML18" i="5"/>
  <c r="MV17" i="5"/>
  <c r="ML17" i="5"/>
  <c r="MV16" i="5"/>
  <c r="ML16" i="5"/>
  <c r="MV15" i="5"/>
  <c r="ML15" i="5"/>
  <c r="MV14" i="5"/>
  <c r="ML14" i="5"/>
  <c r="MV13" i="5"/>
  <c r="ML13" i="5"/>
  <c r="MV12" i="5"/>
  <c r="ML12" i="5"/>
  <c r="MV11" i="5"/>
  <c r="ML11" i="5"/>
  <c r="MV10" i="5"/>
  <c r="ML10" i="5"/>
  <c r="MV9" i="5"/>
  <c r="ML9" i="5"/>
  <c r="MV8" i="5"/>
  <c r="ML8" i="5"/>
  <c r="MV7" i="5"/>
  <c r="ML7" i="5"/>
  <c r="MV6" i="5"/>
  <c r="ML6" i="5"/>
  <c r="MV5" i="5"/>
  <c r="ML5" i="5"/>
  <c r="MV4" i="5"/>
  <c r="ML4" i="5"/>
  <c r="MB48" i="5"/>
  <c r="LR48" i="5"/>
  <c r="MB47" i="5"/>
  <c r="LR47" i="5"/>
  <c r="MB46" i="5"/>
  <c r="LR46" i="5"/>
  <c r="MB45" i="5"/>
  <c r="LR45" i="5"/>
  <c r="MB44" i="5"/>
  <c r="LR44" i="5"/>
  <c r="MB43" i="5"/>
  <c r="LR43" i="5"/>
  <c r="MB42" i="5"/>
  <c r="LR42" i="5"/>
  <c r="MB41" i="5"/>
  <c r="LR41" i="5"/>
  <c r="MB40" i="5"/>
  <c r="LR40" i="5"/>
  <c r="MB39" i="5"/>
  <c r="LR39" i="5"/>
  <c r="MB38" i="5"/>
  <c r="LR38" i="5"/>
  <c r="MB37" i="5"/>
  <c r="LR37" i="5"/>
  <c r="MB36" i="5"/>
  <c r="LR36" i="5"/>
  <c r="MB35" i="5"/>
  <c r="LR35" i="5"/>
  <c r="MB34" i="5"/>
  <c r="LR34" i="5"/>
  <c r="MB33" i="5"/>
  <c r="LR33" i="5"/>
  <c r="MB32" i="5"/>
  <c r="LR32" i="5"/>
  <c r="MB31" i="5"/>
  <c r="LR31" i="5"/>
  <c r="MB30" i="5"/>
  <c r="LR30" i="5"/>
  <c r="MB29" i="5"/>
  <c r="LR29" i="5"/>
  <c r="MB28" i="5"/>
  <c r="LR28" i="5"/>
  <c r="MB27" i="5"/>
  <c r="LR27" i="5"/>
  <c r="MB26" i="5"/>
  <c r="LR26" i="5"/>
  <c r="MB25" i="5"/>
  <c r="LR25" i="5"/>
  <c r="MB23" i="5"/>
  <c r="LR23" i="5"/>
  <c r="MB22" i="5"/>
  <c r="LR22" i="5"/>
  <c r="MB21" i="5"/>
  <c r="LR21" i="5"/>
  <c r="MB20" i="5"/>
  <c r="LR20" i="5"/>
  <c r="MB19" i="5"/>
  <c r="LR19" i="5"/>
  <c r="MB18" i="5"/>
  <c r="LR18" i="5"/>
  <c r="MB17" i="5"/>
  <c r="LR17" i="5"/>
  <c r="MB16" i="5"/>
  <c r="LR16" i="5"/>
  <c r="MB15" i="5"/>
  <c r="LR15" i="5"/>
  <c r="MB14" i="5"/>
  <c r="LR14" i="5"/>
  <c r="MB13" i="5"/>
  <c r="LR13" i="5"/>
  <c r="MB12" i="5"/>
  <c r="LR12" i="5"/>
  <c r="MB11" i="5"/>
  <c r="LR11" i="5"/>
  <c r="MB10" i="5"/>
  <c r="LR10" i="5"/>
  <c r="MB9" i="5"/>
  <c r="LR9" i="5"/>
  <c r="MB8" i="5"/>
  <c r="LR8" i="5"/>
  <c r="MB7" i="5"/>
  <c r="LR7" i="5"/>
  <c r="MB6" i="5"/>
  <c r="LR6" i="5"/>
  <c r="MB5" i="5"/>
  <c r="LR5" i="5"/>
  <c r="MB4" i="5"/>
  <c r="LR4" i="5"/>
  <c r="LH48" i="5"/>
  <c r="KX48" i="5"/>
  <c r="LH47" i="5"/>
  <c r="KX47" i="5"/>
  <c r="LH46" i="5"/>
  <c r="KX46" i="5"/>
  <c r="LH45" i="5"/>
  <c r="KX45" i="5"/>
  <c r="LH44" i="5"/>
  <c r="KX44" i="5"/>
  <c r="LH43" i="5"/>
  <c r="KX43" i="5"/>
  <c r="LH42" i="5"/>
  <c r="KX42" i="5"/>
  <c r="LH41" i="5"/>
  <c r="KX41" i="5"/>
  <c r="LH40" i="5"/>
  <c r="KX40" i="5"/>
  <c r="LH39" i="5"/>
  <c r="KX39" i="5"/>
  <c r="LH38" i="5"/>
  <c r="KX38" i="5"/>
  <c r="LH37" i="5"/>
  <c r="KX37" i="5"/>
  <c r="LH36" i="5"/>
  <c r="KX36" i="5"/>
  <c r="LH35" i="5"/>
  <c r="KX35" i="5"/>
  <c r="LH34" i="5"/>
  <c r="KX34" i="5"/>
  <c r="LH33" i="5"/>
  <c r="KX33" i="5"/>
  <c r="LH32" i="5"/>
  <c r="KX32" i="5"/>
  <c r="LH31" i="5"/>
  <c r="KX31" i="5"/>
  <c r="LH30" i="5"/>
  <c r="KX30" i="5"/>
  <c r="LH29" i="5"/>
  <c r="KX29" i="5"/>
  <c r="LH28" i="5"/>
  <c r="KX28" i="5"/>
  <c r="LH27" i="5"/>
  <c r="KX27" i="5"/>
  <c r="LH26" i="5"/>
  <c r="KX26" i="5"/>
  <c r="LH25" i="5"/>
  <c r="KX25" i="5"/>
  <c r="LH23" i="5"/>
  <c r="KX23" i="5"/>
  <c r="LH22" i="5"/>
  <c r="KX22" i="5"/>
  <c r="LH21" i="5"/>
  <c r="KX21" i="5"/>
  <c r="LH20" i="5"/>
  <c r="KX20" i="5"/>
  <c r="LH19" i="5"/>
  <c r="KX19" i="5"/>
  <c r="LH18" i="5"/>
  <c r="KX18" i="5"/>
  <c r="LH17" i="5"/>
  <c r="KX17" i="5"/>
  <c r="LH16" i="5"/>
  <c r="KX16" i="5"/>
  <c r="LH15" i="5"/>
  <c r="KX15" i="5"/>
  <c r="LH14" i="5"/>
  <c r="KX14" i="5"/>
  <c r="LH13" i="5"/>
  <c r="KX13" i="5"/>
  <c r="LH12" i="5"/>
  <c r="KX12" i="5"/>
  <c r="LH11" i="5"/>
  <c r="KX11" i="5"/>
  <c r="LH10" i="5"/>
  <c r="KX10" i="5"/>
  <c r="LH9" i="5"/>
  <c r="KX9" i="5"/>
  <c r="LH8" i="5"/>
  <c r="KX8" i="5"/>
  <c r="LH7" i="5"/>
  <c r="KX7" i="5"/>
  <c r="LH6" i="5"/>
  <c r="KX6" i="5"/>
  <c r="LH5" i="5"/>
  <c r="KX5" i="5"/>
  <c r="LH4" i="5"/>
  <c r="KX4" i="5"/>
  <c r="CI24" i="5"/>
  <c r="BY24" i="5"/>
  <c r="BO24" i="5"/>
  <c r="BE24" i="5"/>
  <c r="AU24" i="5"/>
  <c r="L99" i="8"/>
  <c r="M99" i="8" s="1"/>
  <c r="N99" i="8"/>
  <c r="L98" i="8"/>
  <c r="N98" i="8" s="1"/>
  <c r="M98" i="8"/>
  <c r="L97" i="8"/>
  <c r="M97" i="8" s="1"/>
  <c r="L96" i="8"/>
  <c r="N96" i="8" s="1"/>
  <c r="L95" i="8"/>
  <c r="N95" i="8" s="1"/>
  <c r="L94" i="8"/>
  <c r="N94" i="8" s="1"/>
  <c r="L93" i="8"/>
  <c r="N93" i="8" s="1"/>
  <c r="M93" i="8"/>
  <c r="L92" i="8"/>
  <c r="N92" i="8" s="1"/>
  <c r="M92" i="8"/>
  <c r="L90" i="8"/>
  <c r="N90" i="8" s="1"/>
  <c r="L89" i="8"/>
  <c r="N89" i="8" s="1"/>
  <c r="L88" i="8"/>
  <c r="N88" i="8" s="1"/>
  <c r="L87" i="8"/>
  <c r="N87" i="8" s="1"/>
  <c r="L86" i="8"/>
  <c r="M86" i="8" s="1"/>
  <c r="L85" i="8"/>
  <c r="N85" i="8" s="1"/>
  <c r="M85" i="8"/>
  <c r="L84" i="8"/>
  <c r="N84" i="8" s="1"/>
  <c r="M84" i="8"/>
  <c r="L83" i="8"/>
  <c r="M83" i="8" s="1"/>
  <c r="L82" i="8"/>
  <c r="N82" i="8" s="1"/>
  <c r="L81" i="8"/>
  <c r="N81" i="8" s="1"/>
  <c r="L80" i="8"/>
  <c r="N80" i="8"/>
  <c r="L79" i="8"/>
  <c r="N79" i="8" s="1"/>
  <c r="L78" i="8"/>
  <c r="N78" i="8" s="1"/>
  <c r="L77" i="8"/>
  <c r="M77" i="8"/>
  <c r="L76" i="8"/>
  <c r="N76" i="8" s="1"/>
  <c r="L75" i="8"/>
  <c r="M75" i="8" s="1"/>
  <c r="L74" i="8"/>
  <c r="M74" i="8" s="1"/>
  <c r="L73" i="8"/>
  <c r="M73" i="8" s="1"/>
  <c r="N73" i="8"/>
  <c r="L72" i="8"/>
  <c r="M72" i="8" s="1"/>
  <c r="L71" i="8"/>
  <c r="N71" i="8" s="1"/>
  <c r="L70" i="8"/>
  <c r="M70" i="8" s="1"/>
  <c r="N7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J99" i="8"/>
  <c r="J98" i="8"/>
  <c r="J97" i="8"/>
  <c r="J96" i="8"/>
  <c r="J95" i="8"/>
  <c r="J94" i="8"/>
  <c r="J93" i="8"/>
  <c r="J92" i="8"/>
  <c r="J90" i="8"/>
  <c r="J89" i="8"/>
  <c r="J88" i="8"/>
  <c r="J87" i="8"/>
  <c r="J86" i="8"/>
  <c r="J85" i="8"/>
  <c r="J84" i="8"/>
  <c r="J83" i="8"/>
  <c r="J82" i="8"/>
  <c r="J81" i="8"/>
  <c r="J80" i="8"/>
  <c r="J79" i="8"/>
  <c r="J78" i="8"/>
  <c r="J77" i="8"/>
  <c r="J76" i="8"/>
  <c r="J75" i="8"/>
  <c r="J74" i="8"/>
  <c r="J73" i="8"/>
  <c r="J72" i="8"/>
  <c r="J71" i="8"/>
  <c r="J7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G99" i="8"/>
  <c r="F99" i="8"/>
  <c r="G98" i="8"/>
  <c r="F98" i="8"/>
  <c r="G97" i="8"/>
  <c r="F97" i="8"/>
  <c r="G96" i="8"/>
  <c r="F96" i="8"/>
  <c r="G95" i="8"/>
  <c r="F95" i="8"/>
  <c r="G94" i="8"/>
  <c r="F94" i="8"/>
  <c r="G93" i="8"/>
  <c r="F93" i="8"/>
  <c r="G92" i="8"/>
  <c r="F92" i="8"/>
  <c r="G91" i="8"/>
  <c r="F91" i="8"/>
  <c r="G90" i="8"/>
  <c r="F90" i="8"/>
  <c r="G89" i="8"/>
  <c r="F89" i="8"/>
  <c r="G88" i="8"/>
  <c r="F88" i="8"/>
  <c r="G87" i="8"/>
  <c r="F87" i="8"/>
  <c r="G86" i="8"/>
  <c r="F86" i="8"/>
  <c r="G85" i="8"/>
  <c r="F85" i="8"/>
  <c r="G84" i="8"/>
  <c r="F84" i="8"/>
  <c r="G83" i="8"/>
  <c r="F83" i="8"/>
  <c r="G82" i="8"/>
  <c r="F82" i="8"/>
  <c r="G81" i="8"/>
  <c r="F81" i="8"/>
  <c r="G80" i="8"/>
  <c r="F80" i="8"/>
  <c r="G79" i="8"/>
  <c r="F79" i="8"/>
  <c r="G78" i="8"/>
  <c r="F78" i="8"/>
  <c r="G77" i="8"/>
  <c r="F77" i="8"/>
  <c r="G76" i="8"/>
  <c r="F76" i="8"/>
  <c r="G75" i="8"/>
  <c r="F75" i="8"/>
  <c r="G74" i="8"/>
  <c r="F74" i="8"/>
  <c r="G73" i="8"/>
  <c r="F73" i="8"/>
  <c r="G72" i="8"/>
  <c r="F72" i="8"/>
  <c r="G71" i="8"/>
  <c r="F71" i="8"/>
  <c r="G70" i="8"/>
  <c r="F7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J3" i="4"/>
  <c r="J28" i="4"/>
  <c r="J29" i="4"/>
  <c r="J30" i="4"/>
  <c r="J27" i="4"/>
  <c r="J26" i="4"/>
  <c r="J25" i="4"/>
  <c r="J24" i="4"/>
  <c r="J23" i="4"/>
  <c r="J14" i="4"/>
  <c r="J22" i="4"/>
  <c r="J21" i="4"/>
  <c r="J13" i="4"/>
  <c r="J12" i="4"/>
  <c r="J19" i="4"/>
  <c r="J18" i="4"/>
  <c r="J17" i="4"/>
  <c r="J16" i="4"/>
  <c r="J15" i="4"/>
  <c r="J11" i="4"/>
  <c r="J8" i="4"/>
  <c r="J7" i="4"/>
  <c r="J10" i="4"/>
  <c r="J6" i="4"/>
  <c r="J5" i="4"/>
  <c r="J4" i="4"/>
  <c r="J9" i="4"/>
  <c r="KN48" i="5"/>
  <c r="KN47" i="5"/>
  <c r="KN46" i="5"/>
  <c r="KN45" i="5"/>
  <c r="KN44" i="5"/>
  <c r="KN43" i="5"/>
  <c r="KN42" i="5"/>
  <c r="KN41" i="5"/>
  <c r="KN40" i="5"/>
  <c r="KN39" i="5"/>
  <c r="KN38" i="5"/>
  <c r="KN37" i="5"/>
  <c r="KN36" i="5"/>
  <c r="KN35" i="5"/>
  <c r="KN34" i="5"/>
  <c r="KN33" i="5"/>
  <c r="KN32" i="5"/>
  <c r="KN31" i="5"/>
  <c r="KN30" i="5"/>
  <c r="KN29" i="5"/>
  <c r="KN28" i="5"/>
  <c r="KN27" i="5"/>
  <c r="KN26" i="5"/>
  <c r="KN25" i="5"/>
  <c r="KN24" i="5"/>
  <c r="KN23" i="5"/>
  <c r="KN22" i="5"/>
  <c r="KN21" i="5"/>
  <c r="KN20" i="5"/>
  <c r="KN19" i="5"/>
  <c r="KN18" i="5"/>
  <c r="KN17" i="5"/>
  <c r="KN16" i="5"/>
  <c r="KN15" i="5"/>
  <c r="KN14" i="5"/>
  <c r="KN13" i="5"/>
  <c r="KN12" i="5"/>
  <c r="KN11" i="5"/>
  <c r="KN10" i="5"/>
  <c r="KN9" i="5"/>
  <c r="KN8" i="5"/>
  <c r="KN7" i="5"/>
  <c r="KN6" i="5"/>
  <c r="KN5" i="5"/>
  <c r="KN4" i="5"/>
  <c r="KD48" i="5"/>
  <c r="KD47" i="5"/>
  <c r="KD46" i="5"/>
  <c r="KD45" i="5"/>
  <c r="KD44" i="5"/>
  <c r="KD43" i="5"/>
  <c r="KD42" i="5"/>
  <c r="KD41" i="5"/>
  <c r="KD40" i="5"/>
  <c r="KD39" i="5"/>
  <c r="KD38" i="5"/>
  <c r="KD37" i="5"/>
  <c r="KD36" i="5"/>
  <c r="KD35" i="5"/>
  <c r="KD34" i="5"/>
  <c r="KD33" i="5"/>
  <c r="KD32" i="5"/>
  <c r="KD31" i="5"/>
  <c r="KD30" i="5"/>
  <c r="KD29" i="5"/>
  <c r="KD28" i="5"/>
  <c r="KD27" i="5"/>
  <c r="KD26" i="5"/>
  <c r="KD25" i="5"/>
  <c r="KD24" i="5"/>
  <c r="KD23" i="5"/>
  <c r="KD22" i="5"/>
  <c r="KD21" i="5"/>
  <c r="KD20" i="5"/>
  <c r="KD19" i="5"/>
  <c r="KD18" i="5"/>
  <c r="KD17" i="5"/>
  <c r="KD16" i="5"/>
  <c r="KD15" i="5"/>
  <c r="KD14" i="5"/>
  <c r="KD13" i="5"/>
  <c r="KD12" i="5"/>
  <c r="KD11" i="5"/>
  <c r="KD10" i="5"/>
  <c r="KD9" i="5"/>
  <c r="KD8" i="5"/>
  <c r="KD7" i="5"/>
  <c r="KD6" i="5"/>
  <c r="KD5" i="5"/>
  <c r="KD4" i="5"/>
  <c r="JT48" i="5"/>
  <c r="JT47" i="5"/>
  <c r="JT46" i="5"/>
  <c r="JT45" i="5"/>
  <c r="JT44" i="5"/>
  <c r="JT43" i="5"/>
  <c r="JT42" i="5"/>
  <c r="JT41" i="5"/>
  <c r="JT40" i="5"/>
  <c r="JT39" i="5"/>
  <c r="JT38" i="5"/>
  <c r="JT37" i="5"/>
  <c r="JT36" i="5"/>
  <c r="JT35" i="5"/>
  <c r="JT34" i="5"/>
  <c r="JT33" i="5"/>
  <c r="JT32" i="5"/>
  <c r="JT31" i="5"/>
  <c r="JT30" i="5"/>
  <c r="JT29" i="5"/>
  <c r="JT28" i="5"/>
  <c r="JT27" i="5"/>
  <c r="JT26" i="5"/>
  <c r="JT25" i="5"/>
  <c r="JT24" i="5"/>
  <c r="JT23" i="5"/>
  <c r="JT22" i="5"/>
  <c r="JT21" i="5"/>
  <c r="JT20" i="5"/>
  <c r="JT19" i="5"/>
  <c r="JT18" i="5"/>
  <c r="JT17" i="5"/>
  <c r="JT16" i="5"/>
  <c r="JT15" i="5"/>
  <c r="JT14" i="5"/>
  <c r="JT13" i="5"/>
  <c r="JT12" i="5"/>
  <c r="JT11" i="5"/>
  <c r="JT10" i="5"/>
  <c r="JT9" i="5"/>
  <c r="JT8" i="5"/>
  <c r="JT7" i="5"/>
  <c r="JT6" i="5"/>
  <c r="JT5" i="5"/>
  <c r="JT4" i="5"/>
  <c r="JJ48" i="5"/>
  <c r="JJ47" i="5"/>
  <c r="JJ46" i="5"/>
  <c r="JJ45" i="5"/>
  <c r="JJ44" i="5"/>
  <c r="JJ43" i="5"/>
  <c r="JJ42" i="5"/>
  <c r="JJ41" i="5"/>
  <c r="JJ40" i="5"/>
  <c r="JJ39" i="5"/>
  <c r="JJ38" i="5"/>
  <c r="JJ37" i="5"/>
  <c r="JJ36" i="5"/>
  <c r="JJ35" i="5"/>
  <c r="JJ34" i="5"/>
  <c r="JJ33" i="5"/>
  <c r="JJ32" i="5"/>
  <c r="JJ31" i="5"/>
  <c r="JJ30" i="5"/>
  <c r="JJ29" i="5"/>
  <c r="JJ28" i="5"/>
  <c r="JJ27" i="5"/>
  <c r="JJ26" i="5"/>
  <c r="JJ25" i="5"/>
  <c r="JJ24" i="5"/>
  <c r="JJ23" i="5"/>
  <c r="JJ22" i="5"/>
  <c r="JJ21" i="5"/>
  <c r="JJ20" i="5"/>
  <c r="JJ19" i="5"/>
  <c r="JJ18" i="5"/>
  <c r="JJ17" i="5"/>
  <c r="JJ16" i="5"/>
  <c r="JJ15" i="5"/>
  <c r="JJ14" i="5"/>
  <c r="JJ13" i="5"/>
  <c r="JJ12" i="5"/>
  <c r="JJ11" i="5"/>
  <c r="JJ10" i="5"/>
  <c r="JJ9" i="5"/>
  <c r="JJ8" i="5"/>
  <c r="JJ7" i="5"/>
  <c r="JJ6" i="5"/>
  <c r="JJ5" i="5"/>
  <c r="JJ4" i="5"/>
  <c r="IZ48" i="5"/>
  <c r="IZ47" i="5"/>
  <c r="IZ46" i="5"/>
  <c r="IZ45" i="5"/>
  <c r="IZ44" i="5"/>
  <c r="IZ43" i="5"/>
  <c r="IZ42" i="5"/>
  <c r="IZ41" i="5"/>
  <c r="IZ40" i="5"/>
  <c r="IZ39" i="5"/>
  <c r="IZ38" i="5"/>
  <c r="IZ37" i="5"/>
  <c r="IZ36" i="5"/>
  <c r="IZ35" i="5"/>
  <c r="IZ34" i="5"/>
  <c r="IZ33" i="5"/>
  <c r="IZ32" i="5"/>
  <c r="IZ31" i="5"/>
  <c r="IZ30" i="5"/>
  <c r="IZ29" i="5"/>
  <c r="IZ28" i="5"/>
  <c r="IZ27" i="5"/>
  <c r="IZ26" i="5"/>
  <c r="IZ25" i="5"/>
  <c r="IZ24" i="5"/>
  <c r="IZ23" i="5"/>
  <c r="IZ22" i="5"/>
  <c r="IZ21" i="5"/>
  <c r="IZ20" i="5"/>
  <c r="IZ19" i="5"/>
  <c r="IZ18" i="5"/>
  <c r="IZ17" i="5"/>
  <c r="IZ16" i="5"/>
  <c r="IZ15" i="5"/>
  <c r="IZ14" i="5"/>
  <c r="IZ13" i="5"/>
  <c r="IZ12" i="5"/>
  <c r="IZ11" i="5"/>
  <c r="IZ10" i="5"/>
  <c r="IZ9" i="5"/>
  <c r="IZ8" i="5"/>
  <c r="IZ7" i="5"/>
  <c r="IZ6" i="5"/>
  <c r="IZ5" i="5"/>
  <c r="IZ4" i="5"/>
  <c r="IP47" i="5"/>
  <c r="IP46" i="5"/>
  <c r="IP45" i="5"/>
  <c r="IP44" i="5"/>
  <c r="IP43" i="5"/>
  <c r="IP42" i="5"/>
  <c r="IP41" i="5"/>
  <c r="IP40" i="5"/>
  <c r="IP39" i="5"/>
  <c r="IP38" i="5"/>
  <c r="IP37" i="5"/>
  <c r="IP36" i="5"/>
  <c r="IP35" i="5"/>
  <c r="IP34" i="5"/>
  <c r="IP33" i="5"/>
  <c r="IP32" i="5"/>
  <c r="IP31" i="5"/>
  <c r="IP30" i="5"/>
  <c r="IP29" i="5"/>
  <c r="IP28" i="5"/>
  <c r="IP27" i="5"/>
  <c r="IP26" i="5"/>
  <c r="IP25" i="5"/>
  <c r="IP24" i="5"/>
  <c r="IP23" i="5"/>
  <c r="IP22" i="5"/>
  <c r="IP21" i="5"/>
  <c r="IP20" i="5"/>
  <c r="IP19" i="5"/>
  <c r="IP18" i="5"/>
  <c r="IP17" i="5"/>
  <c r="IP16" i="5"/>
  <c r="IP15" i="5"/>
  <c r="IP14" i="5"/>
  <c r="IP13" i="5"/>
  <c r="IP12" i="5"/>
  <c r="IP11" i="5"/>
  <c r="IP10" i="5"/>
  <c r="IP9" i="5"/>
  <c r="IP8" i="5"/>
  <c r="IP7" i="5"/>
  <c r="IP6" i="5"/>
  <c r="IP5" i="5"/>
  <c r="IP4" i="5"/>
  <c r="IF47" i="5"/>
  <c r="IF46" i="5"/>
  <c r="IF45" i="5"/>
  <c r="IF44" i="5"/>
  <c r="IF43" i="5"/>
  <c r="IF42" i="5"/>
  <c r="IF41" i="5"/>
  <c r="IF40" i="5"/>
  <c r="IF39" i="5"/>
  <c r="IF38" i="5"/>
  <c r="IF37" i="5"/>
  <c r="IF36" i="5"/>
  <c r="IF35" i="5"/>
  <c r="IF34" i="5"/>
  <c r="IF33" i="5"/>
  <c r="IF32" i="5"/>
  <c r="IF31" i="5"/>
  <c r="IF30" i="5"/>
  <c r="IF29" i="5"/>
  <c r="IF28" i="5"/>
  <c r="IF27" i="5"/>
  <c r="IF26" i="5"/>
  <c r="IF25" i="5"/>
  <c r="IF24" i="5"/>
  <c r="IF23" i="5"/>
  <c r="IF22" i="5"/>
  <c r="IF21" i="5"/>
  <c r="IF20" i="5"/>
  <c r="IF19" i="5"/>
  <c r="IF18" i="5"/>
  <c r="IF17" i="5"/>
  <c r="IF16" i="5"/>
  <c r="IF15" i="5"/>
  <c r="IF14" i="5"/>
  <c r="IF13" i="5"/>
  <c r="IF12" i="5"/>
  <c r="IF11" i="5"/>
  <c r="IF10" i="5"/>
  <c r="IF9" i="5"/>
  <c r="IF8" i="5"/>
  <c r="IF7" i="5"/>
  <c r="IF6" i="5"/>
  <c r="IF5" i="5"/>
  <c r="IF4" i="5"/>
  <c r="HV47" i="5"/>
  <c r="HV46" i="5"/>
  <c r="HV45" i="5"/>
  <c r="HV44" i="5"/>
  <c r="HV43" i="5"/>
  <c r="HV42" i="5"/>
  <c r="HV41" i="5"/>
  <c r="HV40" i="5"/>
  <c r="HV39" i="5"/>
  <c r="HV38" i="5"/>
  <c r="HV37" i="5"/>
  <c r="HV36" i="5"/>
  <c r="HV35" i="5"/>
  <c r="HV34" i="5"/>
  <c r="HV33" i="5"/>
  <c r="HV32" i="5"/>
  <c r="HV31" i="5"/>
  <c r="HV30" i="5"/>
  <c r="HV29" i="5"/>
  <c r="HV28" i="5"/>
  <c r="HV27" i="5"/>
  <c r="HV26" i="5"/>
  <c r="HV25" i="5"/>
  <c r="HV24" i="5"/>
  <c r="HV23" i="5"/>
  <c r="HV22" i="5"/>
  <c r="HV21" i="5"/>
  <c r="HV20" i="5"/>
  <c r="HV19" i="5"/>
  <c r="HV18" i="5"/>
  <c r="HV17" i="5"/>
  <c r="HV16" i="5"/>
  <c r="HV15" i="5"/>
  <c r="HV14" i="5"/>
  <c r="HV13" i="5"/>
  <c r="HV12" i="5"/>
  <c r="HV11" i="5"/>
  <c r="HV10" i="5"/>
  <c r="HV9" i="5"/>
  <c r="HV8" i="5"/>
  <c r="HV7" i="5"/>
  <c r="HV6" i="5"/>
  <c r="HV5" i="5"/>
  <c r="HV4" i="5"/>
  <c r="HL47" i="5"/>
  <c r="HL46" i="5"/>
  <c r="HL45" i="5"/>
  <c r="HL44" i="5"/>
  <c r="HL43" i="5"/>
  <c r="HL42" i="5"/>
  <c r="HL41" i="5"/>
  <c r="HL40" i="5"/>
  <c r="HL39" i="5"/>
  <c r="HL38" i="5"/>
  <c r="HL37" i="5"/>
  <c r="HL36" i="5"/>
  <c r="HL35" i="5"/>
  <c r="HL34" i="5"/>
  <c r="HL33" i="5"/>
  <c r="HL32" i="5"/>
  <c r="HL31" i="5"/>
  <c r="HL30" i="5"/>
  <c r="HL29" i="5"/>
  <c r="HL28" i="5"/>
  <c r="HL27" i="5"/>
  <c r="HL26" i="5"/>
  <c r="HL25" i="5"/>
  <c r="HL24" i="5"/>
  <c r="HL23" i="5"/>
  <c r="HL22" i="5"/>
  <c r="HL21" i="5"/>
  <c r="HL20" i="5"/>
  <c r="HL19" i="5"/>
  <c r="HL18" i="5"/>
  <c r="HL17" i="5"/>
  <c r="HL16" i="5"/>
  <c r="HL15" i="5"/>
  <c r="HL14" i="5"/>
  <c r="HL13" i="5"/>
  <c r="HL12" i="5"/>
  <c r="HL11" i="5"/>
  <c r="HL10" i="5"/>
  <c r="HL9" i="5"/>
  <c r="HL8" i="5"/>
  <c r="HL7" i="5"/>
  <c r="HL6" i="5"/>
  <c r="HL5" i="5"/>
  <c r="HL4" i="5"/>
  <c r="HB47" i="5"/>
  <c r="HB46" i="5"/>
  <c r="HB45" i="5"/>
  <c r="HB44" i="5"/>
  <c r="HB43" i="5"/>
  <c r="HB42" i="5"/>
  <c r="HB41" i="5"/>
  <c r="HB40" i="5"/>
  <c r="HB39" i="5"/>
  <c r="HB38" i="5"/>
  <c r="HB37" i="5"/>
  <c r="HB36" i="5"/>
  <c r="HB35" i="5"/>
  <c r="HB34" i="5"/>
  <c r="HB33" i="5"/>
  <c r="HB32" i="5"/>
  <c r="HB31" i="5"/>
  <c r="HB30" i="5"/>
  <c r="HB29" i="5"/>
  <c r="HB28" i="5"/>
  <c r="HB27" i="5"/>
  <c r="HB26" i="5"/>
  <c r="HB25" i="5"/>
  <c r="HB24" i="5"/>
  <c r="HB23" i="5"/>
  <c r="HB22" i="5"/>
  <c r="HB21" i="5"/>
  <c r="HB20" i="5"/>
  <c r="HB19" i="5"/>
  <c r="HB18" i="5"/>
  <c r="HB17" i="5"/>
  <c r="HB16" i="5"/>
  <c r="HB15" i="5"/>
  <c r="HB14" i="5"/>
  <c r="HB13" i="5"/>
  <c r="HB12" i="5"/>
  <c r="HB11" i="5"/>
  <c r="HB10" i="5"/>
  <c r="HB9" i="5"/>
  <c r="HB8" i="5"/>
  <c r="HB7" i="5"/>
  <c r="HB6" i="5"/>
  <c r="HB5" i="5"/>
  <c r="HB4" i="5"/>
  <c r="GR47" i="5"/>
  <c r="GR46" i="5"/>
  <c r="GR45" i="5"/>
  <c r="GR44" i="5"/>
  <c r="GR43" i="5"/>
  <c r="GR42" i="5"/>
  <c r="GR41" i="5"/>
  <c r="GR40" i="5"/>
  <c r="GR39" i="5"/>
  <c r="GR38" i="5"/>
  <c r="GR37" i="5"/>
  <c r="GR36" i="5"/>
  <c r="GR35" i="5"/>
  <c r="GR34" i="5"/>
  <c r="GR33" i="5"/>
  <c r="GR32" i="5"/>
  <c r="GR31" i="5"/>
  <c r="GR30" i="5"/>
  <c r="GR29" i="5"/>
  <c r="GR28" i="5"/>
  <c r="GR27" i="5"/>
  <c r="GR26" i="5"/>
  <c r="GR25" i="5"/>
  <c r="GR24" i="5"/>
  <c r="GR23" i="5"/>
  <c r="GR22" i="5"/>
  <c r="GR21" i="5"/>
  <c r="GR20" i="5"/>
  <c r="GR19" i="5"/>
  <c r="GR18" i="5"/>
  <c r="GR17" i="5"/>
  <c r="GR16" i="5"/>
  <c r="GR15" i="5"/>
  <c r="GR14" i="5"/>
  <c r="GR13" i="5"/>
  <c r="GR12" i="5"/>
  <c r="GR11" i="5"/>
  <c r="GR10" i="5"/>
  <c r="GR9" i="5"/>
  <c r="GR8" i="5"/>
  <c r="GR7" i="5"/>
  <c r="GR6" i="5"/>
  <c r="GR5" i="5"/>
  <c r="GR4" i="5"/>
  <c r="GH47" i="5"/>
  <c r="GH46" i="5"/>
  <c r="GH45" i="5"/>
  <c r="GH44" i="5"/>
  <c r="GH43" i="5"/>
  <c r="GH42" i="5"/>
  <c r="GH41" i="5"/>
  <c r="GH40" i="5"/>
  <c r="GH39" i="5"/>
  <c r="GH38" i="5"/>
  <c r="GH37" i="5"/>
  <c r="GH36" i="5"/>
  <c r="GH35" i="5"/>
  <c r="GH34" i="5"/>
  <c r="GH33" i="5"/>
  <c r="GH32" i="5"/>
  <c r="GH31" i="5"/>
  <c r="GH30" i="5"/>
  <c r="GH29" i="5"/>
  <c r="GH28" i="5"/>
  <c r="GH27" i="5"/>
  <c r="GH26" i="5"/>
  <c r="GH25" i="5"/>
  <c r="GH24" i="5"/>
  <c r="GH23" i="5"/>
  <c r="GH22" i="5"/>
  <c r="GH21" i="5"/>
  <c r="GH20" i="5"/>
  <c r="GH19" i="5"/>
  <c r="GH18" i="5"/>
  <c r="GH17" i="5"/>
  <c r="GH16" i="5"/>
  <c r="GH15" i="5"/>
  <c r="GH14" i="5"/>
  <c r="GH13" i="5"/>
  <c r="GH12" i="5"/>
  <c r="GH11" i="5"/>
  <c r="GH10" i="5"/>
  <c r="GH9" i="5"/>
  <c r="GH8" i="5"/>
  <c r="GH7" i="5"/>
  <c r="GH6" i="5"/>
  <c r="GH5" i="5"/>
  <c r="GH4" i="5"/>
  <c r="FX47" i="5"/>
  <c r="FX46" i="5"/>
  <c r="FX45" i="5"/>
  <c r="FX44" i="5"/>
  <c r="FX43" i="5"/>
  <c r="FX42" i="5"/>
  <c r="FX41" i="5"/>
  <c r="FX40" i="5"/>
  <c r="FX39" i="5"/>
  <c r="FX38" i="5"/>
  <c r="FX37" i="5"/>
  <c r="FX36" i="5"/>
  <c r="FX35" i="5"/>
  <c r="FX34" i="5"/>
  <c r="FX33" i="5"/>
  <c r="FX32" i="5"/>
  <c r="FX31" i="5"/>
  <c r="FX30" i="5"/>
  <c r="FX29" i="5"/>
  <c r="FX28" i="5"/>
  <c r="FX27" i="5"/>
  <c r="FX26" i="5"/>
  <c r="FX25" i="5"/>
  <c r="FX24" i="5"/>
  <c r="FX23" i="5"/>
  <c r="FX22" i="5"/>
  <c r="FX21" i="5"/>
  <c r="FX20" i="5"/>
  <c r="FX19" i="5"/>
  <c r="FX18" i="5"/>
  <c r="FX17" i="5"/>
  <c r="FX16" i="5"/>
  <c r="FX15" i="5"/>
  <c r="FX14" i="5"/>
  <c r="FX13" i="5"/>
  <c r="FX12" i="5"/>
  <c r="FX11" i="5"/>
  <c r="FX10" i="5"/>
  <c r="FX9" i="5"/>
  <c r="FX8" i="5"/>
  <c r="FX7" i="5"/>
  <c r="FX6" i="5"/>
  <c r="FX5" i="5"/>
  <c r="FX4" i="5"/>
  <c r="FN47" i="5"/>
  <c r="FN46" i="5"/>
  <c r="FN45" i="5"/>
  <c r="FN44" i="5"/>
  <c r="FN43" i="5"/>
  <c r="FN42" i="5"/>
  <c r="FN41" i="5"/>
  <c r="FN40" i="5"/>
  <c r="FN39" i="5"/>
  <c r="FN38" i="5"/>
  <c r="FN37" i="5"/>
  <c r="FN36" i="5"/>
  <c r="FN35" i="5"/>
  <c r="FN34" i="5"/>
  <c r="FN33" i="5"/>
  <c r="FN32" i="5"/>
  <c r="FN31" i="5"/>
  <c r="FN30" i="5"/>
  <c r="FN29" i="5"/>
  <c r="FN28" i="5"/>
  <c r="FN27" i="5"/>
  <c r="FN26" i="5"/>
  <c r="FN25" i="5"/>
  <c r="FN24" i="5"/>
  <c r="FN23" i="5"/>
  <c r="FN22" i="5"/>
  <c r="FN21" i="5"/>
  <c r="FN20" i="5"/>
  <c r="FN19" i="5"/>
  <c r="FN18" i="5"/>
  <c r="FN17" i="5"/>
  <c r="FN16" i="5"/>
  <c r="FN15" i="5"/>
  <c r="FN14" i="5"/>
  <c r="FN13" i="5"/>
  <c r="FN12" i="5"/>
  <c r="FN11" i="5"/>
  <c r="FN10" i="5"/>
  <c r="FN9" i="5"/>
  <c r="FN8" i="5"/>
  <c r="FN7" i="5"/>
  <c r="FN6" i="5"/>
  <c r="FN5" i="5"/>
  <c r="FN4" i="5"/>
  <c r="FD47" i="5"/>
  <c r="FD46" i="5"/>
  <c r="FD45" i="5"/>
  <c r="FD44" i="5"/>
  <c r="FD43" i="5"/>
  <c r="FD42" i="5"/>
  <c r="FD41" i="5"/>
  <c r="FD40" i="5"/>
  <c r="FD39" i="5"/>
  <c r="FD38" i="5"/>
  <c r="FD37" i="5"/>
  <c r="FD36" i="5"/>
  <c r="FD35" i="5"/>
  <c r="FD34" i="5"/>
  <c r="FD33" i="5"/>
  <c r="FD32" i="5"/>
  <c r="FD31" i="5"/>
  <c r="FD30" i="5"/>
  <c r="FD29" i="5"/>
  <c r="FD28" i="5"/>
  <c r="FD27" i="5"/>
  <c r="FD26" i="5"/>
  <c r="FD25" i="5"/>
  <c r="FD24" i="5"/>
  <c r="FD23" i="5"/>
  <c r="FD22" i="5"/>
  <c r="FD21" i="5"/>
  <c r="FD20" i="5"/>
  <c r="FD19" i="5"/>
  <c r="FD18" i="5"/>
  <c r="FD17" i="5"/>
  <c r="FD16" i="5"/>
  <c r="FD15" i="5"/>
  <c r="FD14" i="5"/>
  <c r="FD13" i="5"/>
  <c r="FD12" i="5"/>
  <c r="FD11" i="5"/>
  <c r="FD10" i="5"/>
  <c r="FD9" i="5"/>
  <c r="FD8" i="5"/>
  <c r="FD7" i="5"/>
  <c r="FD6" i="5"/>
  <c r="FD5" i="5"/>
  <c r="FD4" i="5"/>
  <c r="ET47" i="5"/>
  <c r="ET46" i="5"/>
  <c r="ET45" i="5"/>
  <c r="ET44" i="5"/>
  <c r="ET43" i="5"/>
  <c r="ET42" i="5"/>
  <c r="ET41" i="5"/>
  <c r="ET40" i="5"/>
  <c r="ET39" i="5"/>
  <c r="ET38" i="5"/>
  <c r="ET37" i="5"/>
  <c r="ET36" i="5"/>
  <c r="ET35" i="5"/>
  <c r="ET34" i="5"/>
  <c r="ET33" i="5"/>
  <c r="ET32" i="5"/>
  <c r="ET31" i="5"/>
  <c r="ET30" i="5"/>
  <c r="ET29" i="5"/>
  <c r="ET28" i="5"/>
  <c r="ET27" i="5"/>
  <c r="ET26" i="5"/>
  <c r="ET25" i="5"/>
  <c r="ET24" i="5"/>
  <c r="ET23" i="5"/>
  <c r="ET22" i="5"/>
  <c r="ET21" i="5"/>
  <c r="ET20" i="5"/>
  <c r="ET19" i="5"/>
  <c r="ET18" i="5"/>
  <c r="ET17" i="5"/>
  <c r="ET16" i="5"/>
  <c r="ET15" i="5"/>
  <c r="ET14" i="5"/>
  <c r="ET13" i="5"/>
  <c r="ET12" i="5"/>
  <c r="ET11" i="5"/>
  <c r="ET10" i="5"/>
  <c r="ET9" i="5"/>
  <c r="ET8" i="5"/>
  <c r="ET7" i="5"/>
  <c r="ET6" i="5"/>
  <c r="ET5" i="5"/>
  <c r="ET4" i="5"/>
  <c r="EJ47" i="5"/>
  <c r="EJ46" i="5"/>
  <c r="EJ45" i="5"/>
  <c r="EJ44" i="5"/>
  <c r="EJ43" i="5"/>
  <c r="EJ42" i="5"/>
  <c r="EJ41" i="5"/>
  <c r="EJ40" i="5"/>
  <c r="EJ39" i="5"/>
  <c r="EJ38" i="5"/>
  <c r="EJ37" i="5"/>
  <c r="EJ36" i="5"/>
  <c r="EJ35" i="5"/>
  <c r="EJ34" i="5"/>
  <c r="EJ33" i="5"/>
  <c r="EJ32" i="5"/>
  <c r="EJ31" i="5"/>
  <c r="EJ30" i="5"/>
  <c r="EJ29" i="5"/>
  <c r="EJ28" i="5"/>
  <c r="EJ27" i="5"/>
  <c r="EJ26" i="5"/>
  <c r="EJ25" i="5"/>
  <c r="EJ24" i="5"/>
  <c r="EJ23" i="5"/>
  <c r="EJ22" i="5"/>
  <c r="EJ21" i="5"/>
  <c r="EJ20" i="5"/>
  <c r="EJ19" i="5"/>
  <c r="EJ18" i="5"/>
  <c r="EJ17" i="5"/>
  <c r="EJ16" i="5"/>
  <c r="EJ15" i="5"/>
  <c r="EJ14" i="5"/>
  <c r="EJ13" i="5"/>
  <c r="EJ12" i="5"/>
  <c r="EJ11" i="5"/>
  <c r="EJ10" i="5"/>
  <c r="EJ9" i="5"/>
  <c r="EJ8" i="5"/>
  <c r="EJ7" i="5"/>
  <c r="EJ6" i="5"/>
  <c r="EJ5" i="5"/>
  <c r="EJ4" i="5"/>
  <c r="DZ47" i="5"/>
  <c r="DZ46" i="5"/>
  <c r="DZ45" i="5"/>
  <c r="DZ44" i="5"/>
  <c r="DZ43" i="5"/>
  <c r="DZ42" i="5"/>
  <c r="DZ41" i="5"/>
  <c r="DZ40" i="5"/>
  <c r="DZ39" i="5"/>
  <c r="DZ38" i="5"/>
  <c r="DZ37" i="5"/>
  <c r="DZ36" i="5"/>
  <c r="DZ35" i="5"/>
  <c r="DZ34" i="5"/>
  <c r="DZ33" i="5"/>
  <c r="DZ32" i="5"/>
  <c r="DZ31" i="5"/>
  <c r="DZ30" i="5"/>
  <c r="DZ29" i="5"/>
  <c r="DZ28" i="5"/>
  <c r="DP27" i="5"/>
  <c r="DZ26" i="5"/>
  <c r="DZ25" i="5"/>
  <c r="DZ24" i="5"/>
  <c r="DZ23" i="5"/>
  <c r="DZ22" i="5"/>
  <c r="DZ21" i="5"/>
  <c r="DZ20" i="5"/>
  <c r="DZ19" i="5"/>
  <c r="DZ18" i="5"/>
  <c r="DZ17" i="5"/>
  <c r="DZ16" i="5"/>
  <c r="DZ15" i="5"/>
  <c r="DZ14" i="5"/>
  <c r="DZ13" i="5"/>
  <c r="DZ12" i="5"/>
  <c r="DZ11" i="5"/>
  <c r="DZ10" i="5"/>
  <c r="DZ9" i="5"/>
  <c r="DZ8" i="5"/>
  <c r="DZ7" i="5"/>
  <c r="DZ6" i="5"/>
  <c r="DZ5" i="5"/>
  <c r="DZ4" i="5"/>
  <c r="DP47" i="5"/>
  <c r="DP46" i="5"/>
  <c r="DP45" i="5"/>
  <c r="DP44" i="5"/>
  <c r="DP43" i="5"/>
  <c r="DP42" i="5"/>
  <c r="DP41" i="5"/>
  <c r="DP40" i="5"/>
  <c r="DP39" i="5"/>
  <c r="DP38" i="5"/>
  <c r="DP37" i="5"/>
  <c r="DP36" i="5"/>
  <c r="DP35" i="5"/>
  <c r="DP34" i="5"/>
  <c r="DP33" i="5"/>
  <c r="DP32" i="5"/>
  <c r="DP31" i="5"/>
  <c r="DP30" i="5"/>
  <c r="DP29" i="5"/>
  <c r="DP28" i="5"/>
  <c r="DF27" i="5"/>
  <c r="DP26" i="5"/>
  <c r="DP25" i="5"/>
  <c r="DP24" i="5"/>
  <c r="DP23" i="5"/>
  <c r="DP22" i="5"/>
  <c r="DP21" i="5"/>
  <c r="DP20" i="5"/>
  <c r="DP19" i="5"/>
  <c r="DP18" i="5"/>
  <c r="DP17" i="5"/>
  <c r="DP16" i="5"/>
  <c r="DP15" i="5"/>
  <c r="DP14" i="5"/>
  <c r="DP13" i="5"/>
  <c r="DP12" i="5"/>
  <c r="DP11" i="5"/>
  <c r="DP10" i="5"/>
  <c r="DP9" i="5"/>
  <c r="DP8" i="5"/>
  <c r="DP7" i="5"/>
  <c r="DP6" i="5"/>
  <c r="DP5" i="5"/>
  <c r="DP4" i="5"/>
  <c r="DF47" i="5"/>
  <c r="DF46" i="5"/>
  <c r="DF45" i="5"/>
  <c r="DF44" i="5"/>
  <c r="DF43" i="5"/>
  <c r="DF42" i="5"/>
  <c r="DF41" i="5"/>
  <c r="DF40" i="5"/>
  <c r="DF39" i="5"/>
  <c r="DF38" i="5"/>
  <c r="DF37" i="5"/>
  <c r="DF36" i="5"/>
  <c r="DF35" i="5"/>
  <c r="DF34" i="5"/>
  <c r="DF33" i="5"/>
  <c r="DF32" i="5"/>
  <c r="DF31" i="5"/>
  <c r="DF30" i="5"/>
  <c r="DF29" i="5"/>
  <c r="DF28" i="5"/>
  <c r="CV27" i="5"/>
  <c r="DF26" i="5"/>
  <c r="DF25" i="5"/>
  <c r="DF24" i="5"/>
  <c r="DF23" i="5"/>
  <c r="DF22" i="5"/>
  <c r="DF21" i="5"/>
  <c r="DF20" i="5"/>
  <c r="DF19" i="5"/>
  <c r="DF18" i="5"/>
  <c r="DF17" i="5"/>
  <c r="DF16" i="5"/>
  <c r="DF15" i="5"/>
  <c r="DF14" i="5"/>
  <c r="DF13" i="5"/>
  <c r="DF12" i="5"/>
  <c r="DF11" i="5"/>
  <c r="DF10" i="5"/>
  <c r="DF9" i="5"/>
  <c r="DF8" i="5"/>
  <c r="DF7" i="5"/>
  <c r="DF6" i="5"/>
  <c r="DF5" i="5"/>
  <c r="DF4" i="5"/>
  <c r="CV47" i="5"/>
  <c r="CV46" i="5"/>
  <c r="CV45" i="5"/>
  <c r="CV44" i="5"/>
  <c r="CV43" i="5"/>
  <c r="CV42" i="5"/>
  <c r="CV41" i="5"/>
  <c r="CV40" i="5"/>
  <c r="CV39" i="5"/>
  <c r="CV38" i="5"/>
  <c r="CV37" i="5"/>
  <c r="CV36" i="5"/>
  <c r="CV35" i="5"/>
  <c r="CV34" i="5"/>
  <c r="CV33" i="5"/>
  <c r="CV32" i="5"/>
  <c r="CV31" i="5"/>
  <c r="CV30" i="5"/>
  <c r="CV29" i="5"/>
  <c r="CV28" i="5"/>
  <c r="CL27" i="5"/>
  <c r="CV26" i="5"/>
  <c r="CV25" i="5"/>
  <c r="CV24" i="5"/>
  <c r="CV23" i="5"/>
  <c r="CV22" i="5"/>
  <c r="CV21" i="5"/>
  <c r="CV20" i="5"/>
  <c r="CV19" i="5"/>
  <c r="CV18" i="5"/>
  <c r="CV17" i="5"/>
  <c r="CV16" i="5"/>
  <c r="CV15" i="5"/>
  <c r="CV14" i="5"/>
  <c r="CV13" i="5"/>
  <c r="CV12" i="5"/>
  <c r="CV11" i="5"/>
  <c r="CV10" i="5"/>
  <c r="CV9" i="5"/>
  <c r="CV8" i="5"/>
  <c r="CV7" i="5"/>
  <c r="CV6" i="5"/>
  <c r="CV5" i="5"/>
  <c r="CV4" i="5"/>
  <c r="CL47" i="5"/>
  <c r="CL46" i="5"/>
  <c r="CL45" i="5"/>
  <c r="CL44" i="5"/>
  <c r="CL43" i="5"/>
  <c r="CL42" i="5"/>
  <c r="CL41" i="5"/>
  <c r="CL40" i="5"/>
  <c r="CL39" i="5"/>
  <c r="CL38" i="5"/>
  <c r="CL37" i="5"/>
  <c r="CL36" i="5"/>
  <c r="CL35" i="5"/>
  <c r="CL34" i="5"/>
  <c r="CL33" i="5"/>
  <c r="CL32" i="5"/>
  <c r="CL31" i="5"/>
  <c r="CL30" i="5"/>
  <c r="CL29" i="5"/>
  <c r="CL28" i="5"/>
  <c r="CB27" i="5"/>
  <c r="CL26" i="5"/>
  <c r="CL25" i="5"/>
  <c r="CL24" i="5"/>
  <c r="CL23" i="5"/>
  <c r="CL22" i="5"/>
  <c r="CL21" i="5"/>
  <c r="CL20" i="5"/>
  <c r="CL18" i="5"/>
  <c r="CL17" i="5"/>
  <c r="CL16" i="5"/>
  <c r="CL15" i="5"/>
  <c r="CL14" i="5"/>
  <c r="CL13" i="5"/>
  <c r="CL12" i="5"/>
  <c r="CL11" i="5"/>
  <c r="CL10" i="5"/>
  <c r="CL9" i="5"/>
  <c r="CL8" i="5"/>
  <c r="CL7" i="5"/>
  <c r="CL6" i="5"/>
  <c r="CL5" i="5"/>
  <c r="CL4" i="5"/>
  <c r="CB47" i="5"/>
  <c r="CB46" i="5"/>
  <c r="CB45" i="5"/>
  <c r="CB44" i="5"/>
  <c r="CB43" i="5"/>
  <c r="CB42" i="5"/>
  <c r="CB41" i="5"/>
  <c r="CB40" i="5"/>
  <c r="CB39" i="5"/>
  <c r="CB38" i="5"/>
  <c r="CB37" i="5"/>
  <c r="CB36" i="5"/>
  <c r="CB35" i="5"/>
  <c r="CB34" i="5"/>
  <c r="CB33" i="5"/>
  <c r="CB32" i="5"/>
  <c r="CB31" i="5"/>
  <c r="CB30" i="5"/>
  <c r="CB29" i="5"/>
  <c r="CB28" i="5"/>
  <c r="BR27" i="5"/>
  <c r="CB26" i="5"/>
  <c r="CB25" i="5"/>
  <c r="CB24" i="5"/>
  <c r="CB23" i="5"/>
  <c r="CB22" i="5"/>
  <c r="CB21" i="5"/>
  <c r="CB20" i="5"/>
  <c r="CB18" i="5"/>
  <c r="CB17" i="5"/>
  <c r="CB16" i="5"/>
  <c r="CB15" i="5"/>
  <c r="CB14" i="5"/>
  <c r="CB13" i="5"/>
  <c r="CB12" i="5"/>
  <c r="CB11" i="5"/>
  <c r="CB10" i="5"/>
  <c r="CB9" i="5"/>
  <c r="CB7" i="5"/>
  <c r="CB6" i="5"/>
  <c r="CB5" i="5"/>
  <c r="CB4" i="5"/>
  <c r="BR47" i="5"/>
  <c r="BR46" i="5"/>
  <c r="BR45" i="5"/>
  <c r="BR44" i="5"/>
  <c r="BR43" i="5"/>
  <c r="BR42" i="5"/>
  <c r="BR41" i="5"/>
  <c r="BR40" i="5"/>
  <c r="BR39" i="5"/>
  <c r="BR38" i="5"/>
  <c r="BR37" i="5"/>
  <c r="BR36" i="5"/>
  <c r="BR35" i="5"/>
  <c r="BR34" i="5"/>
  <c r="BR33" i="5"/>
  <c r="BR32" i="5"/>
  <c r="BR31" i="5"/>
  <c r="BR30" i="5"/>
  <c r="BR29" i="5"/>
  <c r="BR28" i="5"/>
  <c r="BH27" i="5"/>
  <c r="BR26" i="5"/>
  <c r="BR25" i="5"/>
  <c r="BR24" i="5"/>
  <c r="BR23" i="5"/>
  <c r="BR22" i="5"/>
  <c r="BR21" i="5"/>
  <c r="BR20" i="5"/>
  <c r="BR19" i="5"/>
  <c r="BR18" i="5"/>
  <c r="BR17" i="5"/>
  <c r="BR16" i="5"/>
  <c r="BR15" i="5"/>
  <c r="BR14" i="5"/>
  <c r="BR13" i="5"/>
  <c r="BR12" i="5"/>
  <c r="BR11" i="5"/>
  <c r="BR10" i="5"/>
  <c r="BR9" i="5"/>
  <c r="BR8" i="5"/>
  <c r="BR7" i="5"/>
  <c r="BR6" i="5"/>
  <c r="BR5" i="5"/>
  <c r="BR4" i="5"/>
  <c r="BH47" i="5"/>
  <c r="BH46" i="5"/>
  <c r="BH45" i="5"/>
  <c r="BH44" i="5"/>
  <c r="BH43" i="5"/>
  <c r="BH42" i="5"/>
  <c r="BH41" i="5"/>
  <c r="BH40" i="5"/>
  <c r="BH39" i="5"/>
  <c r="BH38" i="5"/>
  <c r="BH37" i="5"/>
  <c r="BH35" i="5"/>
  <c r="BH34" i="5"/>
  <c r="BH32" i="5"/>
  <c r="BH31" i="5"/>
  <c r="BH30" i="5"/>
  <c r="BH29" i="5"/>
  <c r="BH28" i="5"/>
  <c r="BH26" i="5"/>
  <c r="BH25" i="5"/>
  <c r="BH24" i="5"/>
  <c r="BH23" i="5"/>
  <c r="BH22" i="5"/>
  <c r="BH21" i="5"/>
  <c r="BH20" i="5"/>
  <c r="BH19" i="5"/>
  <c r="BH18" i="5"/>
  <c r="BH17" i="5"/>
  <c r="BH16" i="5"/>
  <c r="BH15" i="5"/>
  <c r="BH14" i="5"/>
  <c r="BH13" i="5"/>
  <c r="BH12" i="5"/>
  <c r="BH11" i="5"/>
  <c r="BH10" i="5"/>
  <c r="BH9" i="5"/>
  <c r="BH8" i="5"/>
  <c r="BH7" i="5"/>
  <c r="BH6" i="5"/>
  <c r="BH5" i="5"/>
  <c r="BH4" i="5"/>
  <c r="AX47" i="5"/>
  <c r="AX46" i="5"/>
  <c r="AX45" i="5"/>
  <c r="AX44" i="5"/>
  <c r="AX43" i="5"/>
  <c r="AX42" i="5"/>
  <c r="AX41" i="5"/>
  <c r="AX40" i="5"/>
  <c r="AX39" i="5"/>
  <c r="AX38" i="5"/>
  <c r="AX37" i="5"/>
  <c r="AX36" i="5"/>
  <c r="AX35" i="5"/>
  <c r="AX34" i="5"/>
  <c r="AX31" i="5"/>
  <c r="AX30" i="5"/>
  <c r="AX29" i="5"/>
  <c r="AX28" i="5"/>
  <c r="AX26" i="5"/>
  <c r="AX25" i="5"/>
  <c r="AX24" i="5"/>
  <c r="AX23" i="5"/>
  <c r="AX22" i="5"/>
  <c r="AX21" i="5"/>
  <c r="AX20" i="5"/>
  <c r="AX19" i="5"/>
  <c r="AX18" i="5"/>
  <c r="AX17" i="5"/>
  <c r="AX16" i="5"/>
  <c r="AX15" i="5"/>
  <c r="AX13" i="5"/>
  <c r="AX12" i="5"/>
  <c r="AX11" i="5"/>
  <c r="AX10" i="5"/>
  <c r="AX9" i="5"/>
  <c r="AX8" i="5"/>
  <c r="AX7" i="5"/>
  <c r="AX6" i="5"/>
  <c r="AX5" i="5"/>
  <c r="AX4" i="5"/>
  <c r="AN47" i="5"/>
  <c r="AN46" i="5"/>
  <c r="AN45" i="5"/>
  <c r="AN44" i="5"/>
  <c r="AN43" i="5"/>
  <c r="AN42" i="5"/>
  <c r="AN41" i="5"/>
  <c r="AN40" i="5"/>
  <c r="AN39" i="5"/>
  <c r="AN38" i="5"/>
  <c r="AN37" i="5"/>
  <c r="AN36" i="5"/>
  <c r="AN35" i="5"/>
  <c r="AN34" i="5"/>
  <c r="AN31" i="5"/>
  <c r="AN30" i="5"/>
  <c r="AN29" i="5"/>
  <c r="AN28" i="5"/>
  <c r="AN26" i="5"/>
  <c r="AN25" i="5"/>
  <c r="AN24" i="5"/>
  <c r="AN23" i="5"/>
  <c r="AN22" i="5"/>
  <c r="AN19" i="5"/>
  <c r="AN18" i="5"/>
  <c r="AN17" i="5"/>
  <c r="AN16" i="5"/>
  <c r="AN15" i="5"/>
  <c r="AN13" i="5"/>
  <c r="AN12" i="5"/>
  <c r="AN11" i="5"/>
  <c r="AN10" i="5"/>
  <c r="AN9" i="5"/>
  <c r="AN8" i="5"/>
  <c r="AN7" i="5"/>
  <c r="AN6" i="5"/>
  <c r="AN5" i="5"/>
  <c r="AN4" i="5"/>
  <c r="AD47" i="5"/>
  <c r="AD46" i="5"/>
  <c r="AD45" i="5"/>
  <c r="AD44" i="5"/>
  <c r="AD43" i="5"/>
  <c r="AD42" i="5"/>
  <c r="AD41" i="5"/>
  <c r="AD40" i="5"/>
  <c r="AD39" i="5"/>
  <c r="AD38" i="5"/>
  <c r="AD37" i="5"/>
  <c r="AD35" i="5"/>
  <c r="AD34" i="5"/>
  <c r="AD17" i="5"/>
  <c r="AD16" i="5"/>
  <c r="AD15" i="5"/>
  <c r="AD14" i="5"/>
  <c r="AD13" i="5"/>
  <c r="AD12" i="5"/>
  <c r="AD11" i="5"/>
  <c r="AD10" i="5"/>
  <c r="AD9" i="5"/>
  <c r="AD8" i="5"/>
  <c r="AD7" i="5"/>
  <c r="AD6" i="5"/>
  <c r="AD5" i="5"/>
  <c r="AD4" i="5"/>
  <c r="T47" i="5"/>
  <c r="T46" i="5"/>
  <c r="T45" i="5"/>
  <c r="T44" i="5"/>
  <c r="T43" i="5"/>
  <c r="T41" i="5"/>
  <c r="T40" i="5"/>
  <c r="T39" i="5"/>
  <c r="T38" i="5"/>
  <c r="T37" i="5"/>
  <c r="T36" i="5"/>
  <c r="T35" i="5"/>
  <c r="T34" i="5"/>
  <c r="T31" i="5"/>
  <c r="T29" i="5"/>
  <c r="T28" i="5"/>
  <c r="T26" i="5"/>
  <c r="T25" i="5"/>
  <c r="T24" i="5"/>
  <c r="T23" i="5"/>
  <c r="T22" i="5"/>
  <c r="T21" i="5"/>
  <c r="T20" i="5"/>
  <c r="T19" i="5"/>
  <c r="T17" i="5"/>
  <c r="T16" i="5"/>
  <c r="T15" i="5"/>
  <c r="T14" i="5"/>
  <c r="T13" i="5"/>
  <c r="T12" i="5"/>
  <c r="T11" i="5"/>
  <c r="T10" i="5"/>
  <c r="T9" i="5"/>
  <c r="T7" i="5"/>
  <c r="T6" i="5"/>
  <c r="T5" i="5"/>
  <c r="T4" i="5"/>
  <c r="J45" i="5"/>
  <c r="J44" i="5"/>
  <c r="J43" i="5"/>
  <c r="J41" i="5"/>
  <c r="J40" i="5"/>
  <c r="J39" i="5"/>
  <c r="J37" i="5"/>
  <c r="J36" i="5"/>
  <c r="J35" i="5"/>
  <c r="J31" i="5"/>
  <c r="J29" i="5"/>
  <c r="J28" i="5"/>
  <c r="J26" i="5"/>
  <c r="J25" i="5"/>
  <c r="J23" i="5"/>
  <c r="J22" i="5"/>
  <c r="J21" i="5"/>
  <c r="J20" i="5"/>
  <c r="J19" i="5"/>
  <c r="J18" i="5"/>
  <c r="J17" i="5"/>
  <c r="J16" i="5"/>
  <c r="J15" i="5"/>
  <c r="J14" i="5"/>
  <c r="J13" i="5"/>
  <c r="J12" i="5"/>
  <c r="J11" i="5"/>
  <c r="J9" i="5"/>
  <c r="J7" i="5"/>
  <c r="J6" i="5"/>
  <c r="J5" i="5"/>
  <c r="J4" i="5"/>
  <c r="J36" i="8"/>
  <c r="I36" i="8"/>
  <c r="H36" i="8"/>
  <c r="G36" i="8"/>
  <c r="J63" i="8"/>
  <c r="I63" i="8"/>
  <c r="H63" i="8"/>
  <c r="G63" i="8"/>
  <c r="F63" i="8"/>
  <c r="E63" i="8"/>
  <c r="D63" i="8"/>
  <c r="J62" i="8"/>
  <c r="I62" i="8"/>
  <c r="H62" i="8"/>
  <c r="G62" i="8"/>
  <c r="F62" i="8"/>
  <c r="E62" i="8"/>
  <c r="D62" i="8"/>
  <c r="J61" i="8"/>
  <c r="I61" i="8"/>
  <c r="H61" i="8"/>
  <c r="G61" i="8"/>
  <c r="F61" i="8"/>
  <c r="E61" i="8"/>
  <c r="D61" i="8"/>
  <c r="J60" i="8"/>
  <c r="I60" i="8"/>
  <c r="H60" i="8"/>
  <c r="G60" i="8"/>
  <c r="F60" i="8"/>
  <c r="E60" i="8"/>
  <c r="D60" i="8"/>
  <c r="J59" i="8"/>
  <c r="I59" i="8"/>
  <c r="H59" i="8"/>
  <c r="G59" i="8"/>
  <c r="F59" i="8"/>
  <c r="E59" i="8"/>
  <c r="D59" i="8"/>
  <c r="J58" i="8"/>
  <c r="I58" i="8"/>
  <c r="H58" i="8"/>
  <c r="G58" i="8"/>
  <c r="F58" i="8"/>
  <c r="E58" i="8"/>
  <c r="D58" i="8"/>
  <c r="J57" i="8"/>
  <c r="I57" i="8"/>
  <c r="H57" i="8"/>
  <c r="G57" i="8"/>
  <c r="F57" i="8"/>
  <c r="E57" i="8"/>
  <c r="D57" i="8"/>
  <c r="J56" i="8"/>
  <c r="I56" i="8"/>
  <c r="H56" i="8"/>
  <c r="G56" i="8"/>
  <c r="F56" i="8"/>
  <c r="E56" i="8"/>
  <c r="D56" i="8"/>
  <c r="J55" i="8"/>
  <c r="I55" i="8"/>
  <c r="H55" i="8"/>
  <c r="G55" i="8"/>
  <c r="F55" i="8"/>
  <c r="E55" i="8"/>
  <c r="D55" i="8"/>
  <c r="J54" i="8"/>
  <c r="I54" i="8"/>
  <c r="H54" i="8"/>
  <c r="G54" i="8"/>
  <c r="F54" i="8"/>
  <c r="E54" i="8"/>
  <c r="D54" i="8"/>
  <c r="C63" i="8"/>
  <c r="C62" i="8"/>
  <c r="C61" i="8"/>
  <c r="C60" i="8"/>
  <c r="C59" i="8"/>
  <c r="C58" i="8"/>
  <c r="C57" i="8"/>
  <c r="C56" i="8"/>
  <c r="C55" i="8"/>
  <c r="C54" i="8"/>
  <c r="G106" i="8"/>
  <c r="G135" i="8"/>
  <c r="F135" i="8"/>
  <c r="E135" i="8"/>
  <c r="G134" i="8"/>
  <c r="F134" i="8"/>
  <c r="E134" i="8"/>
  <c r="G133" i="8"/>
  <c r="F133" i="8"/>
  <c r="E133" i="8"/>
  <c r="G132" i="8"/>
  <c r="F132" i="8"/>
  <c r="E132" i="8"/>
  <c r="G131" i="8"/>
  <c r="F131" i="8"/>
  <c r="E131" i="8"/>
  <c r="G130" i="8"/>
  <c r="F130" i="8"/>
  <c r="E130" i="8"/>
  <c r="G129" i="8"/>
  <c r="F129" i="8"/>
  <c r="E129" i="8"/>
  <c r="H128" i="8"/>
  <c r="G128" i="8"/>
  <c r="F128" i="8"/>
  <c r="E128" i="8"/>
  <c r="H127" i="8"/>
  <c r="G127" i="8"/>
  <c r="F127" i="8"/>
  <c r="E127" i="8"/>
  <c r="H126" i="8"/>
  <c r="G126" i="8"/>
  <c r="F126" i="8"/>
  <c r="E126" i="8"/>
  <c r="H125" i="8"/>
  <c r="G125" i="8"/>
  <c r="F125" i="8"/>
  <c r="E125" i="8"/>
  <c r="H124" i="8"/>
  <c r="G124" i="8"/>
  <c r="F124" i="8"/>
  <c r="E124" i="8"/>
  <c r="H123" i="8"/>
  <c r="G123" i="8"/>
  <c r="F123" i="8"/>
  <c r="E123" i="8"/>
  <c r="H122" i="8"/>
  <c r="G122" i="8"/>
  <c r="F122" i="8"/>
  <c r="E122" i="8"/>
  <c r="H121" i="8"/>
  <c r="G121" i="8"/>
  <c r="F121" i="8"/>
  <c r="E121" i="8"/>
  <c r="H120" i="8"/>
  <c r="G120" i="8"/>
  <c r="F120" i="8"/>
  <c r="E120" i="8"/>
  <c r="H119" i="8"/>
  <c r="G119" i="8"/>
  <c r="F119" i="8"/>
  <c r="E119" i="8"/>
  <c r="H118" i="8"/>
  <c r="G118" i="8"/>
  <c r="F118" i="8"/>
  <c r="E118" i="8"/>
  <c r="H117" i="8"/>
  <c r="G117" i="8"/>
  <c r="F117" i="8"/>
  <c r="E117" i="8"/>
  <c r="H116" i="8"/>
  <c r="G116" i="8"/>
  <c r="F116" i="8"/>
  <c r="E116" i="8"/>
  <c r="H115" i="8"/>
  <c r="G115" i="8"/>
  <c r="F115" i="8"/>
  <c r="E115" i="8"/>
  <c r="H114" i="8"/>
  <c r="G114" i="8"/>
  <c r="F114" i="8"/>
  <c r="E114" i="8"/>
  <c r="H113" i="8"/>
  <c r="G113" i="8"/>
  <c r="F113" i="8"/>
  <c r="E113" i="8"/>
  <c r="H112" i="8"/>
  <c r="G112" i="8"/>
  <c r="F112" i="8"/>
  <c r="E112" i="8"/>
  <c r="H111" i="8"/>
  <c r="G111" i="8"/>
  <c r="F111" i="8"/>
  <c r="E111" i="8"/>
  <c r="H110" i="8"/>
  <c r="G110" i="8"/>
  <c r="F110" i="8"/>
  <c r="E110" i="8"/>
  <c r="H109" i="8"/>
  <c r="G109" i="8"/>
  <c r="F109" i="8"/>
  <c r="E109" i="8"/>
  <c r="H108" i="8"/>
  <c r="G108" i="8"/>
  <c r="F108" i="8"/>
  <c r="E108" i="8"/>
  <c r="H107" i="8"/>
  <c r="G107" i="8"/>
  <c r="F107" i="8"/>
  <c r="E107" i="8"/>
  <c r="C135" i="8"/>
  <c r="D135" i="8" s="1"/>
  <c r="C134" i="8"/>
  <c r="D134" i="8" s="1"/>
  <c r="C133" i="8"/>
  <c r="D133" i="8" s="1"/>
  <c r="C132" i="8"/>
  <c r="D132" i="8" s="1"/>
  <c r="C131" i="8"/>
  <c r="D131" i="8" s="1"/>
  <c r="C130" i="8"/>
  <c r="D130" i="8" s="1"/>
  <c r="C129" i="8"/>
  <c r="D129" i="8" s="1"/>
  <c r="C128" i="8"/>
  <c r="D128" i="8" s="1"/>
  <c r="C127" i="8"/>
  <c r="D127" i="8" s="1"/>
  <c r="C126" i="8"/>
  <c r="D126" i="8" s="1"/>
  <c r="C125" i="8"/>
  <c r="D125" i="8" s="1"/>
  <c r="C124" i="8"/>
  <c r="D124" i="8" s="1"/>
  <c r="C123" i="8"/>
  <c r="D123" i="8" s="1"/>
  <c r="C122" i="8"/>
  <c r="D122" i="8" s="1"/>
  <c r="C121" i="8"/>
  <c r="D121" i="8" s="1"/>
  <c r="C120" i="8"/>
  <c r="D120" i="8" s="1"/>
  <c r="C119" i="8"/>
  <c r="D119" i="8" s="1"/>
  <c r="C117" i="8"/>
  <c r="D117" i="8" s="1"/>
  <c r="C116" i="8"/>
  <c r="D116" i="8" s="1"/>
  <c r="C115" i="8"/>
  <c r="D115" i="8" s="1"/>
  <c r="C114" i="8"/>
  <c r="D114" i="8" s="1"/>
  <c r="C113" i="8"/>
  <c r="D113" i="8" s="1"/>
  <c r="C112" i="8"/>
  <c r="D112" i="8" s="1"/>
  <c r="C111" i="8"/>
  <c r="D111" i="8" s="1"/>
  <c r="C110" i="8"/>
  <c r="D110" i="8" s="1"/>
  <c r="C109" i="8"/>
  <c r="D109" i="8" s="1"/>
  <c r="C108" i="8"/>
  <c r="D108" i="8" s="1"/>
  <c r="C107" i="8"/>
  <c r="D107" i="8" s="1"/>
  <c r="H106" i="8"/>
  <c r="F106" i="8"/>
  <c r="E106" i="8"/>
  <c r="C106" i="8"/>
  <c r="D106" i="8" s="1"/>
  <c r="J53" i="8"/>
  <c r="I53" i="8"/>
  <c r="H53" i="8"/>
  <c r="G53" i="8"/>
  <c r="F53" i="8"/>
  <c r="E53" i="8"/>
  <c r="D53" i="8"/>
  <c r="J52" i="8"/>
  <c r="I52" i="8"/>
  <c r="H52" i="8"/>
  <c r="G52" i="8"/>
  <c r="F52" i="8"/>
  <c r="E52" i="8"/>
  <c r="D52" i="8"/>
  <c r="J51" i="8"/>
  <c r="I51" i="8"/>
  <c r="H51" i="8"/>
  <c r="G51" i="8"/>
  <c r="F51" i="8"/>
  <c r="E51" i="8"/>
  <c r="D51" i="8"/>
  <c r="J50" i="8"/>
  <c r="I50" i="8"/>
  <c r="H50" i="8"/>
  <c r="G50" i="8"/>
  <c r="F50" i="8"/>
  <c r="E50" i="8"/>
  <c r="D50" i="8"/>
  <c r="J49" i="8"/>
  <c r="I49" i="8"/>
  <c r="H49" i="8"/>
  <c r="G49" i="8"/>
  <c r="F49" i="8"/>
  <c r="E49" i="8"/>
  <c r="D49" i="8"/>
  <c r="J48" i="8"/>
  <c r="I48" i="8"/>
  <c r="H48" i="8"/>
  <c r="G48" i="8"/>
  <c r="F48" i="8"/>
  <c r="E48" i="8"/>
  <c r="D48" i="8"/>
  <c r="J47" i="8"/>
  <c r="I47" i="8"/>
  <c r="H47" i="8"/>
  <c r="G47" i="8"/>
  <c r="F47" i="8"/>
  <c r="E47" i="8"/>
  <c r="D47" i="8"/>
  <c r="J46" i="8"/>
  <c r="I46" i="8"/>
  <c r="H46" i="8"/>
  <c r="G46" i="8"/>
  <c r="F46" i="8"/>
  <c r="E46" i="8"/>
  <c r="D46" i="8"/>
  <c r="J45" i="8"/>
  <c r="I45" i="8"/>
  <c r="H45" i="8"/>
  <c r="G45" i="8"/>
  <c r="F45" i="8"/>
  <c r="E45" i="8"/>
  <c r="D45" i="8"/>
  <c r="J44" i="8"/>
  <c r="I44" i="8"/>
  <c r="H44" i="8"/>
  <c r="G44" i="8"/>
  <c r="F44" i="8"/>
  <c r="E44" i="8"/>
  <c r="D44" i="8"/>
  <c r="J43" i="8"/>
  <c r="I43" i="8"/>
  <c r="H43" i="8"/>
  <c r="G43" i="8"/>
  <c r="F43" i="8"/>
  <c r="E43" i="8"/>
  <c r="D43" i="8"/>
  <c r="J42" i="8"/>
  <c r="I42" i="8"/>
  <c r="H42" i="8"/>
  <c r="G42" i="8"/>
  <c r="F42" i="8"/>
  <c r="E42" i="8"/>
  <c r="D42" i="8"/>
  <c r="J41" i="8"/>
  <c r="I41" i="8"/>
  <c r="H41" i="8"/>
  <c r="G41" i="8"/>
  <c r="F41" i="8"/>
  <c r="E41" i="8"/>
  <c r="D41" i="8"/>
  <c r="J40" i="8"/>
  <c r="I40" i="8"/>
  <c r="H40" i="8"/>
  <c r="G40" i="8"/>
  <c r="F40" i="8"/>
  <c r="E40" i="8"/>
  <c r="D40" i="8"/>
  <c r="J39" i="8"/>
  <c r="I39" i="8"/>
  <c r="H39" i="8"/>
  <c r="G39" i="8"/>
  <c r="F39" i="8"/>
  <c r="E39" i="8"/>
  <c r="D39" i="8"/>
  <c r="J38" i="8"/>
  <c r="I38" i="8"/>
  <c r="H38" i="8"/>
  <c r="G38" i="8"/>
  <c r="F38" i="8"/>
  <c r="E38" i="8"/>
  <c r="D38" i="8"/>
  <c r="J37" i="8"/>
  <c r="I37" i="8"/>
  <c r="H37" i="8"/>
  <c r="G37" i="8"/>
  <c r="F37" i="8"/>
  <c r="E37" i="8"/>
  <c r="D37" i="8"/>
  <c r="F36" i="8"/>
  <c r="E36" i="8"/>
  <c r="D36" i="8"/>
  <c r="J35" i="8"/>
  <c r="I35" i="8"/>
  <c r="H35" i="8"/>
  <c r="G35" i="8"/>
  <c r="F35" i="8"/>
  <c r="E35" i="8"/>
  <c r="D35" i="8"/>
  <c r="J34" i="8"/>
  <c r="I34" i="8"/>
  <c r="H34" i="8"/>
  <c r="G34" i="8"/>
  <c r="F34" i="8"/>
  <c r="E34" i="8"/>
  <c r="D34" i="8"/>
  <c r="J33" i="8"/>
  <c r="I33" i="8"/>
  <c r="H33" i="8"/>
  <c r="G33" i="8"/>
  <c r="F33" i="8"/>
  <c r="E33" i="8"/>
  <c r="D33" i="8"/>
  <c r="C53" i="8"/>
  <c r="C52" i="8"/>
  <c r="C51" i="8"/>
  <c r="C50" i="8"/>
  <c r="C49" i="8"/>
  <c r="C48" i="8"/>
  <c r="C47" i="8"/>
  <c r="C46" i="8"/>
  <c r="C45" i="8"/>
  <c r="C44" i="8"/>
  <c r="C43" i="8"/>
  <c r="C42" i="8"/>
  <c r="C41" i="8"/>
  <c r="C40" i="8"/>
  <c r="C39" i="8"/>
  <c r="C38" i="8"/>
  <c r="C37" i="8"/>
  <c r="C36" i="8"/>
  <c r="C35" i="8"/>
  <c r="C34" i="8"/>
  <c r="C33" i="8"/>
  <c r="J32" i="8"/>
  <c r="I32" i="8"/>
  <c r="H32" i="8"/>
  <c r="G32" i="8"/>
  <c r="F32" i="8"/>
  <c r="E32" i="8"/>
  <c r="D32" i="8"/>
  <c r="C32" i="8"/>
  <c r="J31" i="8"/>
  <c r="I31" i="8"/>
  <c r="H31" i="8"/>
  <c r="G31" i="8"/>
  <c r="F31" i="8"/>
  <c r="E31" i="8"/>
  <c r="D31" i="8"/>
  <c r="C31" i="8"/>
  <c r="J30" i="8"/>
  <c r="I30" i="8"/>
  <c r="H30" i="8"/>
  <c r="F30" i="8"/>
  <c r="E30" i="8"/>
  <c r="D30" i="8"/>
  <c r="C30" i="8"/>
  <c r="J29" i="8"/>
  <c r="I29" i="8"/>
  <c r="H29" i="8"/>
  <c r="G29" i="8"/>
  <c r="F29" i="8"/>
  <c r="E29" i="8"/>
  <c r="D29" i="8"/>
  <c r="C29" i="8"/>
  <c r="J28" i="8"/>
  <c r="I28" i="8"/>
  <c r="H28" i="8"/>
  <c r="G28" i="8"/>
  <c r="F28" i="8"/>
  <c r="E28" i="8"/>
  <c r="D28" i="8"/>
  <c r="C28" i="8"/>
  <c r="J27" i="8"/>
  <c r="I27" i="8"/>
  <c r="H27" i="8"/>
  <c r="G27" i="8"/>
  <c r="F27" i="8"/>
  <c r="E27" i="8"/>
  <c r="D27" i="8"/>
  <c r="C27" i="8"/>
  <c r="J26" i="8"/>
  <c r="I26" i="8"/>
  <c r="H26" i="8"/>
  <c r="G26" i="8"/>
  <c r="F26" i="8"/>
  <c r="E26" i="8"/>
  <c r="D26" i="8"/>
  <c r="C26" i="8"/>
  <c r="J25" i="8"/>
  <c r="I25" i="8"/>
  <c r="H25" i="8"/>
  <c r="G25" i="8"/>
  <c r="F25" i="8"/>
  <c r="E25" i="8"/>
  <c r="D25" i="8"/>
  <c r="C25" i="8"/>
  <c r="C24" i="8"/>
  <c r="J24" i="8"/>
  <c r="I24" i="8"/>
  <c r="H24" i="8"/>
  <c r="G24" i="8"/>
  <c r="E24" i="8"/>
  <c r="D24" i="8"/>
  <c r="E18" i="8"/>
  <c r="D17" i="8"/>
  <c r="D16" i="8"/>
  <c r="E14" i="8"/>
  <c r="E15" i="8" s="1"/>
  <c r="E12" i="8"/>
  <c r="E13" i="8" s="1"/>
  <c r="E11" i="8"/>
  <c r="E10" i="8"/>
  <c r="E8" i="8"/>
  <c r="AL198" i="8"/>
  <c r="EOO33" i="9"/>
  <c r="TL42" i="9"/>
  <c r="EOO34" i="9"/>
  <c r="EOO35" i="9"/>
  <c r="EOO37" i="9"/>
  <c r="EOO41" i="9"/>
  <c r="EOO17" i="9"/>
  <c r="EOO20" i="9"/>
  <c r="QB42" i="9"/>
  <c r="EOO21" i="9"/>
  <c r="AFH30" i="9"/>
  <c r="EOO12" i="9"/>
  <c r="EOO13" i="9"/>
  <c r="AGZ30" i="9"/>
  <c r="EOO18" i="9"/>
  <c r="AIR30" i="9"/>
  <c r="ABX30" i="9"/>
  <c r="EOO40" i="9"/>
  <c r="EOO28" i="9"/>
  <c r="EOO16" i="9"/>
  <c r="EOO4" i="9"/>
  <c r="EOO14" i="9"/>
  <c r="VD42" i="9"/>
  <c r="AIR35" i="9"/>
  <c r="EOO39" i="9"/>
  <c r="EOO27" i="9"/>
  <c r="EOO15" i="9"/>
  <c r="EOO3" i="9"/>
  <c r="EOO38" i="9"/>
  <c r="AAF30" i="9"/>
  <c r="EOO26" i="9"/>
  <c r="YN42" i="9"/>
  <c r="EOO43" i="9"/>
  <c r="EOO31" i="9"/>
  <c r="EOO19" i="9"/>
  <c r="EOO7" i="9"/>
  <c r="ADP30" i="9"/>
  <c r="EOO47" i="9"/>
  <c r="EOO30" i="9"/>
  <c r="EOO11" i="9"/>
  <c r="EOO46" i="9"/>
  <c r="EOO29" i="9"/>
  <c r="AGZ35" i="9"/>
  <c r="EOO10" i="9"/>
  <c r="EOO45" i="9"/>
  <c r="EOO25" i="9"/>
  <c r="EOO9" i="9"/>
  <c r="EOO44" i="9"/>
  <c r="EOO24" i="9"/>
  <c r="EOO8" i="9"/>
  <c r="WV42" i="9"/>
  <c r="YN30" i="9"/>
  <c r="EOO42" i="9"/>
  <c r="EOO6" i="9"/>
  <c r="EOO22" i="9"/>
  <c r="RT42" i="9"/>
  <c r="D46" i="9"/>
  <c r="M78" i="8"/>
  <c r="N77" i="8"/>
  <c r="M89" i="8"/>
  <c r="M90" i="8"/>
  <c r="M82" i="8"/>
  <c r="M95" i="8"/>
  <c r="M80" i="8"/>
  <c r="N91" i="8"/>
  <c r="M91" i="8"/>
  <c r="M94" i="8"/>
  <c r="M87" i="8"/>
  <c r="M81" i="8"/>
  <c r="N74" i="8" l="1"/>
  <c r="N97" i="8"/>
  <c r="M76" i="8"/>
  <c r="N72" i="8"/>
  <c r="M79" i="8"/>
  <c r="N86" i="8"/>
  <c r="I107" i="8"/>
  <c r="I111" i="8"/>
  <c r="I135" i="8"/>
  <c r="I141" i="8"/>
  <c r="I120" i="8"/>
  <c r="AP154" i="8"/>
  <c r="R154" i="8"/>
  <c r="AL155" i="8"/>
  <c r="N155" i="8"/>
  <c r="AH156" i="8"/>
  <c r="J156" i="8"/>
  <c r="AD157" i="8"/>
  <c r="AT159" i="8"/>
  <c r="V159" i="8"/>
  <c r="AP160" i="8"/>
  <c r="R160" i="8"/>
  <c r="AL161" i="8"/>
  <c r="N161" i="8"/>
  <c r="AH162" i="8"/>
  <c r="J162" i="8"/>
  <c r="F163" i="8"/>
  <c r="Z164" i="8"/>
  <c r="AT165" i="8"/>
  <c r="V165" i="8"/>
  <c r="AP166" i="8"/>
  <c r="R166" i="8"/>
  <c r="AL167" i="8"/>
  <c r="N167" i="8"/>
  <c r="AH168" i="8"/>
  <c r="J168" i="8"/>
  <c r="Z158" i="8"/>
  <c r="F157" i="8"/>
  <c r="AE154" i="8"/>
  <c r="AA155" i="8"/>
  <c r="W156" i="8"/>
  <c r="S157" i="8"/>
  <c r="O158" i="8"/>
  <c r="K159" i="8"/>
  <c r="G160" i="8"/>
  <c r="C161" i="8"/>
  <c r="AM164" i="8"/>
  <c r="AI165" i="8"/>
  <c r="AE166" i="8"/>
  <c r="AA167" i="8"/>
  <c r="W168" i="8"/>
  <c r="G154" i="8"/>
  <c r="C155" i="8"/>
  <c r="AQ157" i="8"/>
  <c r="AM158" i="8"/>
  <c r="AI159" i="8"/>
  <c r="AE160" i="8"/>
  <c r="AA161" i="8"/>
  <c r="W162" i="8"/>
  <c r="O164" i="8"/>
  <c r="K165" i="8"/>
  <c r="G166" i="8"/>
  <c r="C167" i="8"/>
  <c r="AD154" i="8"/>
  <c r="Z155" i="8"/>
  <c r="V156" i="8"/>
  <c r="R157" i="8"/>
  <c r="N158" i="8"/>
  <c r="J159" i="8"/>
  <c r="F160" i="8"/>
  <c r="V162" i="8"/>
  <c r="N164" i="8"/>
  <c r="J165" i="8"/>
  <c r="F166" i="8"/>
  <c r="AT168" i="8"/>
  <c r="F154" i="8"/>
  <c r="AT156" i="8"/>
  <c r="AP157" i="8"/>
  <c r="AL158" i="8"/>
  <c r="AH159" i="8"/>
  <c r="AD160" i="8"/>
  <c r="Z161" i="8"/>
  <c r="AT162" i="8"/>
  <c r="AL164" i="8"/>
  <c r="AH165" i="8"/>
  <c r="AD166" i="8"/>
  <c r="Z167" i="8"/>
  <c r="V168" i="8"/>
  <c r="AS154" i="8"/>
  <c r="U154" i="8"/>
  <c r="AO155" i="8"/>
  <c r="Q155" i="8"/>
  <c r="AK156" i="8"/>
  <c r="AG157" i="8"/>
  <c r="I157" i="8"/>
  <c r="AC158" i="8"/>
  <c r="E158" i="8"/>
  <c r="Y159" i="8"/>
  <c r="AS160" i="8"/>
  <c r="U160" i="8"/>
  <c r="AO161" i="8"/>
  <c r="Q161" i="8"/>
  <c r="AK162" i="8"/>
  <c r="M162" i="8"/>
  <c r="AC164" i="8"/>
  <c r="E164" i="8"/>
  <c r="Y165" i="8"/>
  <c r="AS166" i="8"/>
  <c r="U166" i="8"/>
  <c r="AO167" i="8"/>
  <c r="Q167" i="8"/>
  <c r="AK168" i="8"/>
  <c r="M168" i="8"/>
  <c r="AR154" i="8"/>
  <c r="T154" i="8"/>
  <c r="AN155" i="8"/>
  <c r="P155" i="8"/>
  <c r="AJ156" i="8"/>
  <c r="R163" i="8"/>
  <c r="AF157" i="8"/>
  <c r="H157" i="8"/>
  <c r="AB158" i="8"/>
  <c r="D158" i="8"/>
  <c r="X159" i="8"/>
  <c r="AR160" i="8"/>
  <c r="T160" i="8"/>
  <c r="AN161" i="8"/>
  <c r="P161" i="8"/>
  <c r="AJ162" i="8"/>
  <c r="L162" i="8"/>
  <c r="AB164" i="8"/>
  <c r="D164" i="8"/>
  <c r="X165" i="8"/>
  <c r="AR166" i="8"/>
  <c r="T166" i="8"/>
  <c r="AN167" i="8"/>
  <c r="P167" i="8"/>
  <c r="AJ168" i="8"/>
  <c r="L168" i="8"/>
  <c r="I106" i="8"/>
  <c r="AQ154" i="8"/>
  <c r="S154" i="8"/>
  <c r="AM155" i="8"/>
  <c r="O155" i="8"/>
  <c r="AI156" i="8"/>
  <c r="K156" i="8"/>
  <c r="AE157" i="8"/>
  <c r="G157" i="8"/>
  <c r="AA158" i="8"/>
  <c r="C158" i="8"/>
  <c r="W159" i="8"/>
  <c r="AQ160" i="8"/>
  <c r="S160" i="8"/>
  <c r="AM161" i="8"/>
  <c r="O161" i="8"/>
  <c r="AI162" i="8"/>
  <c r="K162" i="8"/>
  <c r="AA164" i="8"/>
  <c r="C164" i="8"/>
  <c r="W165" i="8"/>
  <c r="AQ166" i="8"/>
  <c r="S166" i="8"/>
  <c r="AM167" i="8"/>
  <c r="O167" i="8"/>
  <c r="AI168" i="8"/>
  <c r="K168" i="8"/>
  <c r="I126" i="8"/>
  <c r="U164" i="8"/>
  <c r="AC154" i="8"/>
  <c r="E154" i="8"/>
  <c r="Y155" i="8"/>
  <c r="AS156" i="8"/>
  <c r="U156" i="8"/>
  <c r="AO157" i="8"/>
  <c r="Q157" i="8"/>
  <c r="AK158" i="8"/>
  <c r="M158" i="8"/>
  <c r="AG159" i="8"/>
  <c r="I159" i="8"/>
  <c r="AC160" i="8"/>
  <c r="E160" i="8"/>
  <c r="Y161" i="8"/>
  <c r="AS162" i="8"/>
  <c r="U162" i="8"/>
  <c r="AK164" i="8"/>
  <c r="M164" i="8"/>
  <c r="AG165" i="8"/>
  <c r="I165" i="8"/>
  <c r="AC166" i="8"/>
  <c r="E166" i="8"/>
  <c r="Y167" i="8"/>
  <c r="AS168" i="8"/>
  <c r="U168" i="8"/>
  <c r="I114" i="8"/>
  <c r="AA154" i="8"/>
  <c r="C154" i="8"/>
  <c r="W155" i="8"/>
  <c r="AQ156" i="8"/>
  <c r="S156" i="8"/>
  <c r="AM157" i="8"/>
  <c r="O157" i="8"/>
  <c r="AI158" i="8"/>
  <c r="K158" i="8"/>
  <c r="AE159" i="8"/>
  <c r="G159" i="8"/>
  <c r="AA160" i="8"/>
  <c r="C160" i="8"/>
  <c r="W161" i="8"/>
  <c r="AQ162" i="8"/>
  <c r="S162" i="8"/>
  <c r="AI164" i="8"/>
  <c r="K164" i="8"/>
  <c r="AE165" i="8"/>
  <c r="G165" i="8"/>
  <c r="AA166" i="8"/>
  <c r="C166" i="8"/>
  <c r="W167" i="8"/>
  <c r="AQ168" i="8"/>
  <c r="S168" i="8"/>
  <c r="I118" i="8"/>
  <c r="AO154" i="8"/>
  <c r="M155" i="8"/>
  <c r="AC157" i="8"/>
  <c r="AS159" i="8"/>
  <c r="AO160" i="8"/>
  <c r="M161" i="8"/>
  <c r="E163" i="8"/>
  <c r="U165" i="8"/>
  <c r="Q166" i="8"/>
  <c r="AG168" i="8"/>
  <c r="AJ155" i="8"/>
  <c r="H156" i="8"/>
  <c r="X158" i="8"/>
  <c r="AN160" i="8"/>
  <c r="AJ161" i="8"/>
  <c r="H162" i="8"/>
  <c r="AR165" i="8"/>
  <c r="P166" i="8"/>
  <c r="AF168" i="8"/>
  <c r="AS164" i="8"/>
  <c r="AK155" i="8"/>
  <c r="I156" i="8"/>
  <c r="E157" i="8"/>
  <c r="U159" i="8"/>
  <c r="AK161" i="8"/>
  <c r="I162" i="8"/>
  <c r="AS165" i="8"/>
  <c r="AO166" i="8"/>
  <c r="AK167" i="8"/>
  <c r="I168" i="8"/>
  <c r="P154" i="8"/>
  <c r="AF156" i="8"/>
  <c r="D157" i="8"/>
  <c r="T159" i="8"/>
  <c r="P160" i="8"/>
  <c r="AF162" i="8"/>
  <c r="X164" i="8"/>
  <c r="AN166" i="8"/>
  <c r="L167" i="8"/>
  <c r="O154" i="8"/>
  <c r="K155" i="8"/>
  <c r="AA157" i="8"/>
  <c r="C157" i="8"/>
  <c r="S159" i="8"/>
  <c r="O160" i="8"/>
  <c r="AI161" i="8"/>
  <c r="AE162" i="8"/>
  <c r="G162" i="8"/>
  <c r="W164" i="8"/>
  <c r="S165" i="8"/>
  <c r="AM166" i="8"/>
  <c r="AI167" i="8"/>
  <c r="K167" i="8"/>
  <c r="AE168" i="8"/>
  <c r="G168" i="8"/>
  <c r="Z157" i="8"/>
  <c r="F162" i="8"/>
  <c r="J167" i="8"/>
  <c r="F168" i="8"/>
  <c r="AO165" i="8"/>
  <c r="Q154" i="8"/>
  <c r="AG156" i="8"/>
  <c r="Y158" i="8"/>
  <c r="Q160" i="8"/>
  <c r="AG162" i="8"/>
  <c r="Y164" i="8"/>
  <c r="M167" i="8"/>
  <c r="AN154" i="8"/>
  <c r="L155" i="8"/>
  <c r="AB157" i="8"/>
  <c r="AR159" i="8"/>
  <c r="L161" i="8"/>
  <c r="D163" i="8"/>
  <c r="T165" i="8"/>
  <c r="AJ167" i="8"/>
  <c r="H168" i="8"/>
  <c r="AM154" i="8"/>
  <c r="AI155" i="8"/>
  <c r="AE156" i="8"/>
  <c r="W158" i="8"/>
  <c r="AQ159" i="8"/>
  <c r="AM160" i="8"/>
  <c r="K161" i="8"/>
  <c r="C163" i="8"/>
  <c r="AQ165" i="8"/>
  <c r="O166" i="8"/>
  <c r="AL154" i="8"/>
  <c r="N154" i="8"/>
  <c r="AH155" i="8"/>
  <c r="J155" i="8"/>
  <c r="AD156" i="8"/>
  <c r="F156" i="8"/>
  <c r="AT158" i="8"/>
  <c r="V158" i="8"/>
  <c r="AP159" i="8"/>
  <c r="R159" i="8"/>
  <c r="AL160" i="8"/>
  <c r="N160" i="8"/>
  <c r="AH161" i="8"/>
  <c r="J161" i="8"/>
  <c r="AD162" i="8"/>
  <c r="AT164" i="8"/>
  <c r="V164" i="8"/>
  <c r="AP165" i="8"/>
  <c r="R165" i="8"/>
  <c r="AL166" i="8"/>
  <c r="N166" i="8"/>
  <c r="AH167" i="8"/>
  <c r="AD168" i="8"/>
  <c r="AK154" i="8"/>
  <c r="M154" i="8"/>
  <c r="AG155" i="8"/>
  <c r="I155" i="8"/>
  <c r="AC156" i="8"/>
  <c r="E156" i="8"/>
  <c r="Y157" i="8"/>
  <c r="AS158" i="8"/>
  <c r="U158" i="8"/>
  <c r="AO159" i="8"/>
  <c r="Q159" i="8"/>
  <c r="AK160" i="8"/>
  <c r="M160" i="8"/>
  <c r="AG161" i="8"/>
  <c r="I161" i="8"/>
  <c r="AC162" i="8"/>
  <c r="E162" i="8"/>
  <c r="Q165" i="8"/>
  <c r="AB154" i="8"/>
  <c r="X155" i="8"/>
  <c r="T156" i="8"/>
  <c r="AN157" i="8"/>
  <c r="AJ158" i="8"/>
  <c r="AF159" i="8"/>
  <c r="AB160" i="8"/>
  <c r="X161" i="8"/>
  <c r="T162" i="8"/>
  <c r="L164" i="8"/>
  <c r="H165" i="8"/>
  <c r="D166" i="8"/>
  <c r="T168" i="8"/>
  <c r="D154" i="8"/>
  <c r="AR156" i="8"/>
  <c r="P157" i="8"/>
  <c r="L158" i="8"/>
  <c r="H159" i="8"/>
  <c r="D160" i="8"/>
  <c r="AR162" i="8"/>
  <c r="AJ164" i="8"/>
  <c r="AF165" i="8"/>
  <c r="AB166" i="8"/>
  <c r="X167" i="8"/>
  <c r="AR168" i="8"/>
  <c r="Z154" i="8"/>
  <c r="AT155" i="8"/>
  <c r="V155" i="8"/>
  <c r="AP156" i="8"/>
  <c r="R156" i="8"/>
  <c r="AL157" i="8"/>
  <c r="N157" i="8"/>
  <c r="AH158" i="8"/>
  <c r="J158" i="8"/>
  <c r="AD159" i="8"/>
  <c r="F159" i="8"/>
  <c r="Z160" i="8"/>
  <c r="AT161" i="8"/>
  <c r="V161" i="8"/>
  <c r="AP162" i="8"/>
  <c r="R162" i="8"/>
  <c r="AH164" i="8"/>
  <c r="J164" i="8"/>
  <c r="AD165" i="8"/>
  <c r="F165" i="8"/>
  <c r="Z166" i="8"/>
  <c r="AT167" i="8"/>
  <c r="V167" i="8"/>
  <c r="AP168" i="8"/>
  <c r="R168" i="8"/>
  <c r="AK166" i="8"/>
  <c r="M166" i="8"/>
  <c r="AG167" i="8"/>
  <c r="I167" i="8"/>
  <c r="AC168" i="8"/>
  <c r="E168" i="8"/>
  <c r="AJ154" i="8"/>
  <c r="L154" i="8"/>
  <c r="AF155" i="8"/>
  <c r="H155" i="8"/>
  <c r="AB156" i="8"/>
  <c r="D156" i="8"/>
  <c r="X157" i="8"/>
  <c r="AR158" i="8"/>
  <c r="T158" i="8"/>
  <c r="AN159" i="8"/>
  <c r="P159" i="8"/>
  <c r="AJ160" i="8"/>
  <c r="L160" i="8"/>
  <c r="AF161" i="8"/>
  <c r="H161" i="8"/>
  <c r="AB162" i="8"/>
  <c r="D162" i="8"/>
  <c r="AR164" i="8"/>
  <c r="T164" i="8"/>
  <c r="AN165" i="8"/>
  <c r="P165" i="8"/>
  <c r="AJ166" i="8"/>
  <c r="L166" i="8"/>
  <c r="AF167" i="8"/>
  <c r="H167" i="8"/>
  <c r="AB168" i="8"/>
  <c r="D168" i="8"/>
  <c r="AI154" i="8"/>
  <c r="K154" i="8"/>
  <c r="AE155" i="8"/>
  <c r="G155" i="8"/>
  <c r="AA156" i="8"/>
  <c r="C156" i="8"/>
  <c r="W157" i="8"/>
  <c r="AQ158" i="8"/>
  <c r="S158" i="8"/>
  <c r="AM159" i="8"/>
  <c r="O159" i="8"/>
  <c r="AI160" i="8"/>
  <c r="K160" i="8"/>
  <c r="AE161" i="8"/>
  <c r="G161" i="8"/>
  <c r="AA162" i="8"/>
  <c r="C162" i="8"/>
  <c r="AQ164" i="8"/>
  <c r="S164" i="8"/>
  <c r="AM165" i="8"/>
  <c r="O165" i="8"/>
  <c r="AI166" i="8"/>
  <c r="K166" i="8"/>
  <c r="AE167" i="8"/>
  <c r="G167" i="8"/>
  <c r="AA168" i="8"/>
  <c r="C168" i="8"/>
  <c r="AH154" i="8"/>
  <c r="J154" i="8"/>
  <c r="AD155" i="8"/>
  <c r="F155" i="8"/>
  <c r="Z156" i="8"/>
  <c r="AT157" i="8"/>
  <c r="V157" i="8"/>
  <c r="AP158" i="8"/>
  <c r="R158" i="8"/>
  <c r="AL159" i="8"/>
  <c r="N159" i="8"/>
  <c r="AH160" i="8"/>
  <c r="J160" i="8"/>
  <c r="AD161" i="8"/>
  <c r="F161" i="8"/>
  <c r="Z162" i="8"/>
  <c r="AP164" i="8"/>
  <c r="R164" i="8"/>
  <c r="AL165" i="8"/>
  <c r="N165" i="8"/>
  <c r="AH166" i="8"/>
  <c r="J166" i="8"/>
  <c r="AD167" i="8"/>
  <c r="F167" i="8"/>
  <c r="Z168" i="8"/>
  <c r="Y154" i="8"/>
  <c r="U155" i="8"/>
  <c r="Q156" i="8"/>
  <c r="M157" i="8"/>
  <c r="I158" i="8"/>
  <c r="E159" i="8"/>
  <c r="Y160" i="8"/>
  <c r="AS161" i="8"/>
  <c r="AO162" i="8"/>
  <c r="Q162" i="8"/>
  <c r="AG164" i="8"/>
  <c r="I164" i="8"/>
  <c r="AC165" i="8"/>
  <c r="E165" i="8"/>
  <c r="Y166" i="8"/>
  <c r="AS167" i="8"/>
  <c r="U167" i="8"/>
  <c r="AO168" i="8"/>
  <c r="Q168" i="8"/>
  <c r="AS155" i="8"/>
  <c r="AO156" i="8"/>
  <c r="AK157" i="8"/>
  <c r="AG158" i="8"/>
  <c r="AC159" i="8"/>
  <c r="U161" i="8"/>
  <c r="X154" i="8"/>
  <c r="AR155" i="8"/>
  <c r="T155" i="8"/>
  <c r="AN156" i="8"/>
  <c r="P156" i="8"/>
  <c r="AJ157" i="8"/>
  <c r="L157" i="8"/>
  <c r="AF158" i="8"/>
  <c r="H158" i="8"/>
  <c r="AB159" i="8"/>
  <c r="D159" i="8"/>
  <c r="X160" i="8"/>
  <c r="AR161" i="8"/>
  <c r="T161" i="8"/>
  <c r="AN162" i="8"/>
  <c r="P162" i="8"/>
  <c r="AF164" i="8"/>
  <c r="H164" i="8"/>
  <c r="AB165" i="8"/>
  <c r="D165" i="8"/>
  <c r="X166" i="8"/>
  <c r="AR167" i="8"/>
  <c r="T167" i="8"/>
  <c r="AN168" i="8"/>
  <c r="P168" i="8"/>
  <c r="W154" i="8"/>
  <c r="AQ155" i="8"/>
  <c r="S155" i="8"/>
  <c r="AM156" i="8"/>
  <c r="AO163" i="8"/>
  <c r="AI157" i="8"/>
  <c r="K157" i="8"/>
  <c r="AE158" i="8"/>
  <c r="G158" i="8"/>
  <c r="AA159" i="8"/>
  <c r="C159" i="8"/>
  <c r="W160" i="8"/>
  <c r="AQ161" i="8"/>
  <c r="S161" i="8"/>
  <c r="AM162" i="8"/>
  <c r="O162" i="8"/>
  <c r="AE164" i="8"/>
  <c r="G164" i="8"/>
  <c r="AA165" i="8"/>
  <c r="C165" i="8"/>
  <c r="W166" i="8"/>
  <c r="AQ167" i="8"/>
  <c r="S167" i="8"/>
  <c r="AM168" i="8"/>
  <c r="O168" i="8"/>
  <c r="AT154" i="8"/>
  <c r="V154" i="8"/>
  <c r="AP155" i="8"/>
  <c r="R155" i="8"/>
  <c r="AL156" i="8"/>
  <c r="AB163" i="8"/>
  <c r="AH157" i="8"/>
  <c r="J157" i="8"/>
  <c r="AD158" i="8"/>
  <c r="F158" i="8"/>
  <c r="Z159" i="8"/>
  <c r="AT160" i="8"/>
  <c r="V160" i="8"/>
  <c r="AP161" i="8"/>
  <c r="R161" i="8"/>
  <c r="AL162" i="8"/>
  <c r="N162" i="8"/>
  <c r="AD164" i="8"/>
  <c r="F164" i="8"/>
  <c r="Z165" i="8"/>
  <c r="AT166" i="8"/>
  <c r="V166" i="8"/>
  <c r="AP167" i="8"/>
  <c r="R167" i="8"/>
  <c r="AL168" i="8"/>
  <c r="N168" i="8"/>
  <c r="I117" i="8"/>
  <c r="I136" i="8"/>
  <c r="N75" i="8"/>
  <c r="I108" i="8"/>
  <c r="I121" i="8"/>
  <c r="I110" i="8"/>
  <c r="I122" i="8"/>
  <c r="M71" i="8"/>
  <c r="M88" i="8"/>
  <c r="I125" i="8"/>
  <c r="B24" i="8" a="1"/>
  <c r="B24" i="8" s="1"/>
  <c r="I143" i="8"/>
  <c r="B70" i="8" a="1"/>
  <c r="B70" i="8" s="1"/>
  <c r="I140" i="8"/>
  <c r="I109" i="8"/>
  <c r="I139" i="8"/>
  <c r="I123" i="8"/>
  <c r="I145" i="8"/>
  <c r="I133" i="8"/>
  <c r="I112" i="8"/>
  <c r="I124" i="8"/>
  <c r="I116" i="8"/>
  <c r="M96" i="8"/>
  <c r="I119" i="8"/>
  <c r="N83" i="8"/>
  <c r="I138" i="8"/>
  <c r="I144" i="8"/>
  <c r="I113" i="8"/>
  <c r="I132" i="8"/>
  <c r="I115" i="8"/>
  <c r="I127" i="8"/>
  <c r="I131" i="8"/>
  <c r="I128" i="8"/>
  <c r="I137" i="8"/>
  <c r="COD50" i="9"/>
  <c r="ECT50" i="9"/>
  <c r="Z163" i="8"/>
  <c r="P163" i="8"/>
  <c r="X163" i="8"/>
  <c r="S163" i="8"/>
  <c r="W163" i="8"/>
  <c r="H163" i="8"/>
  <c r="APJ50" i="9"/>
  <c r="AXV50" i="9"/>
  <c r="BEP50" i="9"/>
  <c r="FV50" i="9"/>
  <c r="DNN50" i="9"/>
  <c r="BJR50" i="9"/>
  <c r="AAD50" i="9"/>
  <c r="AN163" i="8"/>
  <c r="DBR50" i="9"/>
  <c r="ED50" i="9"/>
  <c r="BQL50" i="9"/>
  <c r="M156" i="8"/>
  <c r="AA163" i="8"/>
  <c r="L156" i="8"/>
  <c r="T163" i="8"/>
  <c r="Y163" i="8"/>
  <c r="BOT50" i="9"/>
  <c r="DDJ50" i="9"/>
  <c r="DXR50" i="9"/>
  <c r="CFR50" i="9"/>
  <c r="BSD50" i="9"/>
  <c r="CCH50" i="9"/>
  <c r="CML50" i="9"/>
  <c r="DLV50" i="9"/>
  <c r="PZ50" i="9"/>
  <c r="MP50" i="9"/>
  <c r="AR163" i="8"/>
  <c r="AC163" i="8"/>
  <c r="AF163" i="8"/>
  <c r="J163" i="8"/>
  <c r="M163" i="8"/>
  <c r="L163" i="8"/>
  <c r="K163" i="8"/>
  <c r="U163" i="8"/>
  <c r="AP163" i="8"/>
  <c r="AQ163" i="8"/>
  <c r="G156" i="8"/>
  <c r="G163" i="8"/>
  <c r="AG163" i="8"/>
  <c r="ALZ50" i="9"/>
  <c r="AWD50" i="9"/>
  <c r="CAP50" i="9"/>
  <c r="CKT50" i="9"/>
  <c r="CUX50" i="9"/>
  <c r="DFB50" i="9"/>
  <c r="DPF50" i="9"/>
  <c r="DZJ50" i="9"/>
  <c r="JF50" i="9"/>
  <c r="Q163" i="8"/>
  <c r="O163" i="8"/>
  <c r="I163" i="8"/>
  <c r="BCX50" i="9"/>
  <c r="N163" i="8"/>
  <c r="V163" i="8"/>
  <c r="BYX50" i="9"/>
  <c r="CJB50" i="9"/>
  <c r="CTF50" i="9"/>
  <c r="DGT50" i="9"/>
  <c r="BTV50" i="9"/>
  <c r="BHZ50" i="9"/>
  <c r="YL50" i="9"/>
  <c r="BNB50" i="9"/>
  <c r="BXF50" i="9"/>
  <c r="DVZ50" i="9"/>
  <c r="CL50" i="9"/>
  <c r="RR50" i="9"/>
  <c r="ABV50" i="9"/>
  <c r="BGH50" i="9"/>
  <c r="AS163" i="8"/>
  <c r="AT163" i="8"/>
  <c r="WT50" i="9"/>
  <c r="BBF50" i="9"/>
  <c r="CPV50" i="9"/>
  <c r="DUH50" i="9"/>
  <c r="ARB50" i="9"/>
  <c r="DKD50" i="9"/>
  <c r="AM163" i="8"/>
  <c r="AL163" i="8"/>
  <c r="AK163" i="8"/>
  <c r="AJ163" i="8"/>
  <c r="AI163" i="8"/>
  <c r="AH163" i="8"/>
  <c r="O156" i="8"/>
  <c r="BLJ50" i="9"/>
  <c r="VB50" i="9"/>
  <c r="AFF50" i="9"/>
  <c r="AZN50" i="9"/>
  <c r="CDZ50" i="9"/>
  <c r="CYH50" i="9"/>
  <c r="DIL50" i="9"/>
  <c r="DSP50" i="9"/>
  <c r="HN50" i="9"/>
  <c r="AKH50" i="9"/>
  <c r="AUL50" i="9"/>
  <c r="AGX50" i="9"/>
  <c r="BVN50" i="9"/>
  <c r="CZZ50" i="9"/>
  <c r="N156" i="8"/>
  <c r="AT50" i="9"/>
  <c r="TJ50" i="9"/>
  <c r="ADN50" i="9"/>
  <c r="ANR50" i="9"/>
  <c r="CWP50" i="9"/>
  <c r="DQX50" i="9"/>
  <c r="EBB50" i="9"/>
  <c r="KX50" i="9"/>
  <c r="B50" i="9"/>
  <c r="OH50" i="9"/>
  <c r="AIP50" i="9"/>
  <c r="AST50" i="9"/>
  <c r="CHJ50" i="9"/>
  <c r="CRN50" i="9"/>
  <c r="H135" i="8"/>
  <c r="IM48" i="5"/>
  <c r="I130" i="8" s="1"/>
  <c r="H137" i="8"/>
  <c r="H136" i="8"/>
  <c r="KA48" i="5"/>
  <c r="I134" i="8" s="1"/>
  <c r="IC48" i="5"/>
  <c r="I129" i="8" s="1"/>
  <c r="D147" i="8"/>
  <c r="B106" i="8" a="1"/>
  <c r="B106" i="8" s="1"/>
  <c r="B154" i="8" l="1" a="1"/>
  <c r="B154" i="8" s="1"/>
  <c r="B54" i="9"/>
  <c r="A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Aceves</author>
  </authors>
  <commentList>
    <comment ref="E7" authorId="0" shapeId="0" xr:uid="{88231A17-2BC3-4CE9-B5E9-B5B2FA123F0A}">
      <text>
        <r>
          <rPr>
            <b/>
            <sz val="9"/>
            <color indexed="81"/>
            <rFont val="Tahoma"/>
            <family val="2"/>
          </rPr>
          <t>SELECCIONE LA ADUANA A CONSULTAR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Julio Aceves</author>
  </authors>
  <commentList>
    <comment ref="B13" authorId="0" shapeId="0" xr:uid="{6D13D9D0-D31A-4514-8DE8-9D96C792C6BD}">
      <text>
        <r>
          <rPr>
            <b/>
            <sz val="9"/>
            <color indexed="81"/>
            <rFont val="Tahoma"/>
            <family val="2"/>
          </rPr>
          <t>EN LA SOLICITUD INDICA M60</t>
        </r>
      </text>
    </comment>
    <comment ref="AR18" authorId="0" shapeId="0" xr:uid="{64808B9F-75E2-4C31-8403-2A4E78AB9AE5}">
      <text>
        <r>
          <rPr>
            <b/>
            <sz val="9"/>
            <color indexed="81"/>
            <rFont val="Tahoma"/>
            <family val="2"/>
          </rPr>
          <t>Equipo trasladado de AIFA. Escrito 31-Mar-23.</t>
        </r>
      </text>
    </comment>
    <comment ref="D24" authorId="0" shapeId="0" xr:uid="{ED3BDFA2-9977-4B08-9586-9DAB3AC5B057}">
      <text>
        <r>
          <rPr>
            <b/>
            <sz val="9"/>
            <color indexed="81"/>
            <rFont val="Tahoma"/>
            <family val="2"/>
          </rPr>
          <t>Equipo trasladado de AIFA. Escrito 31-Mar-23.</t>
        </r>
      </text>
    </comment>
    <comment ref="N31" authorId="0" shapeId="0" xr:uid="{ED349E1A-EC7A-4B19-BBCA-2A69771A4C41}">
      <text>
        <r>
          <rPr>
            <b/>
            <sz val="9"/>
            <color indexed="81"/>
            <rFont val="Tahoma"/>
            <family val="2"/>
          </rPr>
          <t>Equipo trasladado de AIFA. Escrito 31-Mar-23.</t>
        </r>
      </text>
    </comment>
    <comment ref="D48" authorId="0" shapeId="0" xr:uid="{6DE6D8EC-6E6A-4041-AE5D-E0C6C8136E3F}">
      <text>
        <r>
          <rPr>
            <b/>
            <sz val="9"/>
            <color indexed="81"/>
            <rFont val="Tahoma"/>
            <family val="2"/>
          </rPr>
          <t>Equipo trasladado de AIFA. Escrito 31-Mar-23.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Julio Aceves</author>
  </authors>
  <commentList>
    <comment ref="A10" authorId="0" shapeId="0" xr:uid="{E0E61849-02A0-4251-8AD1-AB2EEC4237F8}">
      <text>
        <r>
          <rPr>
            <b/>
            <sz val="9"/>
            <color indexed="81"/>
            <rFont val="Tahoma"/>
            <family val="2"/>
          </rPr>
          <t>Actividad diferente en solicitud de licencia y Licencia.
37 GBq</t>
        </r>
      </text>
    </comment>
    <comment ref="K26" authorId="0" shapeId="0" xr:uid="{986B478C-0B98-470A-B6D7-51FA57710D7E}">
      <text>
        <r>
          <rPr>
            <b/>
            <sz val="9"/>
            <color indexed="81"/>
            <rFont val="Tahoma"/>
            <family val="2"/>
          </rPr>
          <t>En la solicitud indica q es Co-60</t>
        </r>
      </text>
    </comment>
    <comment ref="AF26" authorId="0" shapeId="0" xr:uid="{6AF36989-93AA-4FC8-93C5-CF19B3E1403F}">
      <text>
        <r>
          <rPr>
            <b/>
            <sz val="9"/>
            <color indexed="81"/>
            <rFont val="Tahoma"/>
            <family val="2"/>
          </rPr>
          <t>En la solicitud se indica q es Cs-137</t>
        </r>
      </text>
    </comment>
    <comment ref="BA26" authorId="0" shapeId="0" xr:uid="{D4B5CA6D-9CE5-49E8-8E5D-3D9E9E1343F2}">
      <text>
        <r>
          <rPr>
            <b/>
            <sz val="9"/>
            <color indexed="81"/>
            <rFont val="Tahoma"/>
            <family val="2"/>
          </rPr>
          <t>En la solicitud se indica q es Cs-137</t>
        </r>
      </text>
    </comment>
    <comment ref="BV26" authorId="0" shapeId="0" xr:uid="{4A1DD3EF-5453-4765-842B-F21D62BA7BB4}">
      <text>
        <r>
          <rPr>
            <b/>
            <sz val="9"/>
            <color indexed="81"/>
            <rFont val="Tahoma"/>
            <family val="2"/>
          </rPr>
          <t>En la solicitud indica q es Co-60</t>
        </r>
      </text>
    </comment>
    <comment ref="CR26" authorId="0" shapeId="0" xr:uid="{1B5B785E-2866-431C-8900-996FE57C2C29}">
      <text>
        <r>
          <rPr>
            <b/>
            <sz val="9"/>
            <color indexed="81"/>
            <rFont val="Tahoma"/>
            <family val="2"/>
          </rPr>
          <t>No aparece esta fuente en la licencia</t>
        </r>
      </text>
    </comment>
    <comment ref="DL26" authorId="0" shapeId="0" xr:uid="{0440277B-C3D2-4CEC-9BB3-CD5DE6C89CF5}">
      <text>
        <r>
          <rPr>
            <b/>
            <sz val="9"/>
            <color indexed="81"/>
            <rFont val="Tahoma"/>
            <family val="2"/>
          </rPr>
          <t>En la solicitud indica q es Co-60</t>
        </r>
      </text>
    </comment>
    <comment ref="EG26" authorId="0" shapeId="0" xr:uid="{C9B08206-FD96-450E-B31E-331D1D84826E}">
      <text>
        <r>
          <rPr>
            <b/>
            <sz val="9"/>
            <color indexed="81"/>
            <rFont val="Tahoma"/>
            <family val="2"/>
          </rPr>
          <t>En la solicitud indica q es Co-60</t>
        </r>
      </text>
    </comment>
    <comment ref="L37" authorId="0" shapeId="0" xr:uid="{BCE11A4F-5252-4DCD-B8CA-C54660EFA083}">
      <text>
        <r>
          <rPr>
            <b/>
            <sz val="9"/>
            <color indexed="81"/>
            <rFont val="Tahoma"/>
            <family val="2"/>
          </rPr>
          <t>Error de conversión en la solicitud original</t>
        </r>
      </text>
    </comment>
    <comment ref="AG37" authorId="0" shapeId="0" xr:uid="{A787AE7A-D95E-4DD3-A8E1-028CE52E710D}">
      <text>
        <r>
          <rPr>
            <b/>
            <sz val="9"/>
            <color indexed="81"/>
            <rFont val="Tahoma"/>
            <family val="2"/>
          </rPr>
          <t>Error de conversión en la solicitud original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Julio Cesar Aceves Cisneros</author>
  </authors>
  <commentList>
    <comment ref="C7" authorId="0" shapeId="0" xr:uid="{10B5708A-F58E-40A2-B614-D6508310DB16}">
      <text>
        <r>
          <rPr>
            <sz val="11"/>
            <color theme="1"/>
            <rFont val="Calibri"/>
            <family val="2"/>
            <scheme val="minor"/>
          </rPr>
          <t>400-03-00-00-00-2023-7194 Actualizacion de datos.pdf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Julio Aceves</author>
  </authors>
  <commentList>
    <comment ref="BYZ5" authorId="0" shapeId="0" xr:uid="{A99B1987-D252-4456-B243-ED80429944B3}">
      <text>
        <r>
          <rPr>
            <b/>
            <sz val="9"/>
            <color indexed="81"/>
            <rFont val="Tahoma"/>
            <family val="2"/>
          </rPr>
          <t>REVISAR LOC</t>
        </r>
      </text>
    </comment>
    <comment ref="CCJ5" authorId="0" shapeId="0" xr:uid="{F851E27D-BC52-4AEE-AF1F-A648BFBBA3C8}">
      <text>
        <r>
          <rPr>
            <b/>
            <sz val="9"/>
            <color indexed="81"/>
            <rFont val="Tahoma"/>
            <family val="2"/>
          </rPr>
          <t>REVISAR LOC</t>
        </r>
      </text>
    </comment>
    <comment ref="CFT5" authorId="0" shapeId="0" xr:uid="{8A683879-24E4-4C70-9186-1C0DF9541145}">
      <text>
        <r>
          <rPr>
            <b/>
            <sz val="9"/>
            <color indexed="81"/>
            <rFont val="Tahoma"/>
            <family val="2"/>
          </rPr>
          <t>REVISAR LOC</t>
        </r>
      </text>
    </comment>
    <comment ref="CJD5" authorId="0" shapeId="0" xr:uid="{2000EDA7-C98F-4482-926C-F01BCF4B592F}">
      <text>
        <r>
          <rPr>
            <b/>
            <sz val="9"/>
            <color indexed="81"/>
            <rFont val="Tahoma"/>
            <family val="2"/>
          </rPr>
          <t>REVISAR LOC</t>
        </r>
      </text>
    </comment>
    <comment ref="CMN5" authorId="0" shapeId="0" xr:uid="{6AF1DDB5-9852-4435-AABC-AEC5781AB5F5}">
      <text>
        <r>
          <rPr>
            <b/>
            <sz val="9"/>
            <color indexed="81"/>
            <rFont val="Tahoma"/>
            <family val="2"/>
          </rPr>
          <t>REVISAR LOC</t>
        </r>
      </text>
    </comment>
    <comment ref="CPX5" authorId="0" shapeId="0" xr:uid="{15227494-B0F2-4A6E-AA7D-2B409D56209C}">
      <text>
        <r>
          <rPr>
            <b/>
            <sz val="9"/>
            <color indexed="81"/>
            <rFont val="Tahoma"/>
            <family val="2"/>
          </rPr>
          <t>REVISAR LOC</t>
        </r>
      </text>
    </comment>
    <comment ref="CTH5" authorId="0" shapeId="0" xr:uid="{254752B3-6811-4870-976E-15330783D8F2}">
      <text>
        <r>
          <rPr>
            <b/>
            <sz val="9"/>
            <color indexed="81"/>
            <rFont val="Tahoma"/>
            <family val="2"/>
          </rPr>
          <t>REVISAR LOC</t>
        </r>
      </text>
    </comment>
    <comment ref="CWR5" authorId="0" shapeId="0" xr:uid="{76337CBA-D777-4E80-886D-3B741550D754}">
      <text>
        <r>
          <rPr>
            <b/>
            <sz val="9"/>
            <color indexed="81"/>
            <rFont val="Tahoma"/>
            <family val="2"/>
          </rPr>
          <t>REVISAR LOC</t>
        </r>
      </text>
    </comment>
    <comment ref="DAB5" authorId="0" shapeId="0" xr:uid="{33938725-A69A-4BAB-B789-5E2FF4CA7733}">
      <text>
        <r>
          <rPr>
            <b/>
            <sz val="9"/>
            <color indexed="81"/>
            <rFont val="Tahoma"/>
            <family val="2"/>
          </rPr>
          <t>REVISAR LOC</t>
        </r>
      </text>
    </comment>
    <comment ref="DDL5" authorId="0" shapeId="0" xr:uid="{42FF71D5-0C84-47D0-B0F3-AC4C5DD9A5A9}">
      <text>
        <r>
          <rPr>
            <b/>
            <sz val="9"/>
            <color indexed="81"/>
            <rFont val="Tahoma"/>
            <family val="2"/>
          </rPr>
          <t>REVISAR LOC</t>
        </r>
      </text>
    </comment>
    <comment ref="DGV5" authorId="0" shapeId="0" xr:uid="{98DAAF34-0B3B-40E7-B2CC-061707EFAE11}">
      <text>
        <r>
          <rPr>
            <b/>
            <sz val="9"/>
            <color indexed="81"/>
            <rFont val="Tahoma"/>
            <family val="2"/>
          </rPr>
          <t>REVISAR LOC</t>
        </r>
      </text>
    </comment>
    <comment ref="DKF5" authorId="0" shapeId="0" xr:uid="{7D82854C-B876-4458-A4C7-DF243D65F590}">
      <text>
        <r>
          <rPr>
            <b/>
            <sz val="9"/>
            <color indexed="81"/>
            <rFont val="Tahoma"/>
            <family val="2"/>
          </rPr>
          <t>REVISAR LOC</t>
        </r>
      </text>
    </comment>
    <comment ref="DNP5" authorId="0" shapeId="0" xr:uid="{CD272DBA-3DBF-445D-98B4-C49C36C10EB5}">
      <text>
        <r>
          <rPr>
            <b/>
            <sz val="9"/>
            <color indexed="81"/>
            <rFont val="Tahoma"/>
            <family val="2"/>
          </rPr>
          <t>REVISAR LOC</t>
        </r>
      </text>
    </comment>
    <comment ref="DQZ5" authorId="0" shapeId="0" xr:uid="{C442E829-B041-4095-ADA6-ABC4F6E5C18B}">
      <text>
        <r>
          <rPr>
            <b/>
            <sz val="9"/>
            <color indexed="81"/>
            <rFont val="Tahoma"/>
            <family val="2"/>
          </rPr>
          <t>REVISAR LOC</t>
        </r>
      </text>
    </comment>
    <comment ref="DUJ5" authorId="0" shapeId="0" xr:uid="{E649A864-67AE-464C-BBC0-1B7A06C1181B}">
      <text>
        <r>
          <rPr>
            <b/>
            <sz val="9"/>
            <color indexed="81"/>
            <rFont val="Tahoma"/>
            <family val="2"/>
          </rPr>
          <t>REVISAR LOC</t>
        </r>
      </text>
    </comment>
    <comment ref="DXT5" authorId="0" shapeId="0" xr:uid="{DC490094-3542-4586-A058-5EA65CD6B921}">
      <text>
        <r>
          <rPr>
            <b/>
            <sz val="9"/>
            <color indexed="81"/>
            <rFont val="Tahoma"/>
            <family val="2"/>
          </rPr>
          <t>REVISAR LOC</t>
        </r>
      </text>
    </comment>
    <comment ref="EBD5" authorId="0" shapeId="0" xr:uid="{7A997BB4-1E27-413E-887B-1B6971093BF5}">
      <text>
        <r>
          <rPr>
            <b/>
            <sz val="9"/>
            <color indexed="81"/>
            <rFont val="Tahoma"/>
            <family val="2"/>
          </rPr>
          <t>REVISAR LOC</t>
        </r>
      </text>
    </comment>
    <comment ref="EEN5" authorId="0" shapeId="0" xr:uid="{10939AED-25BB-4596-A8EF-23017280DEE3}">
      <text>
        <r>
          <rPr>
            <b/>
            <sz val="9"/>
            <color indexed="81"/>
            <rFont val="Tahoma"/>
            <family val="2"/>
          </rPr>
          <t>REVISAR LOC</t>
        </r>
      </text>
    </comment>
    <comment ref="EHX5" authorId="0" shapeId="0" xr:uid="{8BDADD39-6639-416D-ADD7-C232AB2361AB}">
      <text>
        <r>
          <rPr>
            <b/>
            <sz val="9"/>
            <color indexed="81"/>
            <rFont val="Tahoma"/>
            <family val="2"/>
          </rPr>
          <t>REVISAR LOC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Julio Aceves</author>
  </authors>
  <commentList>
    <comment ref="BYZ5" authorId="0" shapeId="0" xr:uid="{7B109C7D-70ED-4B39-9C85-FCA5AE6EE8D8}">
      <text>
        <r>
          <rPr>
            <b/>
            <sz val="9"/>
            <color indexed="81"/>
            <rFont val="Tahoma"/>
            <family val="2"/>
          </rPr>
          <t>REVISAR LOC</t>
        </r>
      </text>
    </comment>
    <comment ref="CCJ5" authorId="0" shapeId="0" xr:uid="{392914AE-C9E5-4DBC-A785-1231D6C17484}">
      <text>
        <r>
          <rPr>
            <b/>
            <sz val="9"/>
            <color indexed="81"/>
            <rFont val="Tahoma"/>
            <family val="2"/>
          </rPr>
          <t>REVISAR LOC</t>
        </r>
      </text>
    </comment>
    <comment ref="CFT5" authorId="0" shapeId="0" xr:uid="{C3B5F0D0-8B8E-469D-B37F-6F1A1B24B244}">
      <text>
        <r>
          <rPr>
            <b/>
            <sz val="9"/>
            <color indexed="81"/>
            <rFont val="Tahoma"/>
            <family val="2"/>
          </rPr>
          <t>REVISAR LOC</t>
        </r>
      </text>
    </comment>
    <comment ref="CJD5" authorId="0" shapeId="0" xr:uid="{23078AA1-1B46-4C02-BB1B-A0F36147DF42}">
      <text>
        <r>
          <rPr>
            <b/>
            <sz val="9"/>
            <color indexed="81"/>
            <rFont val="Tahoma"/>
            <family val="2"/>
          </rPr>
          <t>REVISAR LOC</t>
        </r>
      </text>
    </comment>
    <comment ref="CMN5" authorId="0" shapeId="0" xr:uid="{2E68BEDC-2079-4993-A748-8949087CC555}">
      <text>
        <r>
          <rPr>
            <b/>
            <sz val="9"/>
            <color indexed="81"/>
            <rFont val="Tahoma"/>
            <family val="2"/>
          </rPr>
          <t>REVISAR LOC</t>
        </r>
      </text>
    </comment>
    <comment ref="CPX5" authorId="0" shapeId="0" xr:uid="{E3DE76A5-FE6E-4134-8160-107080BC1E6D}">
      <text>
        <r>
          <rPr>
            <b/>
            <sz val="9"/>
            <color indexed="81"/>
            <rFont val="Tahoma"/>
            <family val="2"/>
          </rPr>
          <t>REVISAR LOC</t>
        </r>
      </text>
    </comment>
    <comment ref="CTH5" authorId="0" shapeId="0" xr:uid="{E3532D31-C5BD-4544-9821-13E9D9BD9EF5}">
      <text>
        <r>
          <rPr>
            <b/>
            <sz val="9"/>
            <color indexed="81"/>
            <rFont val="Tahoma"/>
            <family val="2"/>
          </rPr>
          <t>REVISAR LOC</t>
        </r>
      </text>
    </comment>
    <comment ref="CWR5" authorId="0" shapeId="0" xr:uid="{22F97C3F-6B2B-4414-A471-2D247E104A32}">
      <text>
        <r>
          <rPr>
            <b/>
            <sz val="9"/>
            <color indexed="81"/>
            <rFont val="Tahoma"/>
            <family val="2"/>
          </rPr>
          <t>REVISAR LOC</t>
        </r>
      </text>
    </comment>
    <comment ref="DAB5" authorId="0" shapeId="0" xr:uid="{9CAA6601-CD32-4F57-8381-DE43DFEA0E63}">
      <text>
        <r>
          <rPr>
            <b/>
            <sz val="9"/>
            <color indexed="81"/>
            <rFont val="Tahoma"/>
            <family val="2"/>
          </rPr>
          <t>REVISAR LOC</t>
        </r>
      </text>
    </comment>
    <comment ref="DDL5" authorId="0" shapeId="0" xr:uid="{010E2606-2AF7-4700-AA8E-B7FC7C155F51}">
      <text>
        <r>
          <rPr>
            <b/>
            <sz val="9"/>
            <color indexed="81"/>
            <rFont val="Tahoma"/>
            <family val="2"/>
          </rPr>
          <t>REVISAR LOC</t>
        </r>
      </text>
    </comment>
    <comment ref="DGV5" authorId="0" shapeId="0" xr:uid="{2038CA64-07FE-4433-AE72-4E115BD76763}">
      <text>
        <r>
          <rPr>
            <b/>
            <sz val="9"/>
            <color indexed="81"/>
            <rFont val="Tahoma"/>
            <family val="2"/>
          </rPr>
          <t>REVISAR LOC</t>
        </r>
      </text>
    </comment>
    <comment ref="DKF5" authorId="0" shapeId="0" xr:uid="{1C752035-9E42-4417-B404-9891D9B6F698}">
      <text>
        <r>
          <rPr>
            <b/>
            <sz val="9"/>
            <color indexed="81"/>
            <rFont val="Tahoma"/>
            <family val="2"/>
          </rPr>
          <t>REVISAR LOC</t>
        </r>
      </text>
    </comment>
    <comment ref="DNP5" authorId="0" shapeId="0" xr:uid="{614976E5-CD36-4FE9-AB0C-2E840C1E7BA4}">
      <text>
        <r>
          <rPr>
            <b/>
            <sz val="9"/>
            <color indexed="81"/>
            <rFont val="Tahoma"/>
            <family val="2"/>
          </rPr>
          <t>REVISAR LOC</t>
        </r>
      </text>
    </comment>
    <comment ref="DQZ5" authorId="0" shapeId="0" xr:uid="{4278FA4A-E81F-46BE-9287-E152C7AF08A3}">
      <text>
        <r>
          <rPr>
            <b/>
            <sz val="9"/>
            <color indexed="81"/>
            <rFont val="Tahoma"/>
            <family val="2"/>
          </rPr>
          <t>REVISAR LOC</t>
        </r>
      </text>
    </comment>
    <comment ref="DUJ5" authorId="0" shapeId="0" xr:uid="{CC70D87A-1426-4F7D-986A-447DF13402D6}">
      <text>
        <r>
          <rPr>
            <b/>
            <sz val="9"/>
            <color indexed="81"/>
            <rFont val="Tahoma"/>
            <family val="2"/>
          </rPr>
          <t>REVISAR LOC</t>
        </r>
      </text>
    </comment>
    <comment ref="DXT5" authorId="0" shapeId="0" xr:uid="{2E0092AF-80A2-4CD5-AD75-005A3BFA6EC4}">
      <text>
        <r>
          <rPr>
            <b/>
            <sz val="9"/>
            <color indexed="81"/>
            <rFont val="Tahoma"/>
            <family val="2"/>
          </rPr>
          <t>REVISAR LOC</t>
        </r>
      </text>
    </comment>
    <comment ref="EBD5" authorId="0" shapeId="0" xr:uid="{4547BAE0-1FED-45FE-A78A-A5C1793AF66A}">
      <text>
        <r>
          <rPr>
            <b/>
            <sz val="9"/>
            <color indexed="81"/>
            <rFont val="Tahoma"/>
            <family val="2"/>
          </rPr>
          <t>REVISAR LOC</t>
        </r>
      </text>
    </comment>
    <comment ref="EEN5" authorId="0" shapeId="0" xr:uid="{A46D82F9-59EC-4041-88F6-C68EEB146C8A}">
      <text>
        <r>
          <rPr>
            <b/>
            <sz val="9"/>
            <color indexed="81"/>
            <rFont val="Tahoma"/>
            <family val="2"/>
          </rPr>
          <t>REVISAR LOC</t>
        </r>
      </text>
    </comment>
    <comment ref="EHX5" authorId="0" shapeId="0" xr:uid="{39DB7788-773F-468D-A4B4-55ACBA2882AF}">
      <text>
        <r>
          <rPr>
            <b/>
            <sz val="9"/>
            <color indexed="81"/>
            <rFont val="Tahoma"/>
            <family val="2"/>
          </rPr>
          <t>REVISAR LOC</t>
        </r>
      </text>
    </comment>
    <comment ref="ELH5" authorId="0" shapeId="0" xr:uid="{6A9FB8BF-37E4-45D6-B7BF-635032983DDA}">
      <text>
        <r>
          <rPr>
            <b/>
            <sz val="9"/>
            <color indexed="81"/>
            <rFont val="Tahoma"/>
            <family val="2"/>
          </rPr>
          <t>REVISAR LOC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<sst xmlns="http://schemas.openxmlformats.org/spreadsheetml/2006/main" count="24786" uniqueCount="5944">
  <si>
    <t>LICENCIA DE OPERACIÓN</t>
  </si>
  <si>
    <t>#</t>
  </si>
  <si>
    <t>NOMBRE DE LA ADUANA:</t>
  </si>
  <si>
    <t>Veracruz</t>
  </si>
  <si>
    <t>No. de Licencia:</t>
  </si>
  <si>
    <t>Expediente:</t>
  </si>
  <si>
    <t>INEM:</t>
  </si>
  <si>
    <t>Fecha de Expedición:</t>
  </si>
  <si>
    <t>Fecha de Vencimiento:</t>
  </si>
  <si>
    <t>Estatus de Licencia:</t>
  </si>
  <si>
    <t>Informe Anual:</t>
  </si>
  <si>
    <t>Estatus de Informe Anual</t>
  </si>
  <si>
    <t>Alcance y Ubicación:</t>
  </si>
  <si>
    <t>Representante Legal:</t>
  </si>
  <si>
    <t>Institución en colaboración:</t>
  </si>
  <si>
    <t>EQUIPOS</t>
  </si>
  <si>
    <t>MARCA</t>
  </si>
  <si>
    <t>No. SERIE</t>
  </si>
  <si>
    <t>ENERGÍA MÁXIMA</t>
  </si>
  <si>
    <t>CORRIENTE MÁX.</t>
  </si>
  <si>
    <t>MARCA DEL TUBO GENERADOR</t>
  </si>
  <si>
    <t>MODELO</t>
  </si>
  <si>
    <t>UBICACION</t>
  </si>
  <si>
    <t>FUENTES</t>
  </si>
  <si>
    <t>MATERIAL RADIACTIVO</t>
  </si>
  <si>
    <t>No. DE SERIE</t>
  </si>
  <si>
    <t>CANTIDAD</t>
  </si>
  <si>
    <t>ACTIVIDAD MAXIMA PERMITIDA</t>
  </si>
  <si>
    <t>MODELO / No. DE CERTIFICADO</t>
  </si>
  <si>
    <t>EQUIPO GAMMA</t>
  </si>
  <si>
    <t>FUENTE                 ABIERTA / SELLADA</t>
  </si>
  <si>
    <t>FECHA DE PRUEBA FROTIS</t>
  </si>
  <si>
    <t>SIGUIENTE FECHA P/PRUEBA FROTIS</t>
  </si>
  <si>
    <t>ESTATUS</t>
  </si>
  <si>
    <t>DETECTORES</t>
  </si>
  <si>
    <t>MARCA DEL DETECTOR</t>
  </si>
  <si>
    <t>TIPO</t>
  </si>
  <si>
    <t>No. CERTIFICADO</t>
  </si>
  <si>
    <t>FECHA DE CALIBRACION</t>
  </si>
  <si>
    <t>SIGUIENTE FECHA DE CALIBRACIÓN</t>
  </si>
  <si>
    <t>PERSONAL OCUPACIONAL EXPUESTO - DOSIMETRÍA</t>
  </si>
  <si>
    <t>Nombre del POE</t>
  </si>
  <si>
    <t>Cargo</t>
  </si>
  <si>
    <t>No. Dosimetro</t>
  </si>
  <si>
    <t>Clave (CNSNS)</t>
  </si>
  <si>
    <t>Expediente</t>
  </si>
  <si>
    <t>Fecha de Última Valoración Médica</t>
  </si>
  <si>
    <t>Fecha Siguiente de Valoración Médica</t>
  </si>
  <si>
    <t>Biometría Hemática</t>
  </si>
  <si>
    <t>Estatus de Biometría Hemática</t>
  </si>
  <si>
    <t>Química Sanguínea</t>
  </si>
  <si>
    <t>Estatus Química Sanguínea</t>
  </si>
  <si>
    <t>Apéndices A, B, C, D - Completos</t>
  </si>
  <si>
    <t>Estatus Apéndices - Completos</t>
  </si>
  <si>
    <t>Título</t>
  </si>
  <si>
    <t>Cédula</t>
  </si>
  <si>
    <t>CURP</t>
  </si>
  <si>
    <t>INE</t>
  </si>
  <si>
    <t>CV</t>
  </si>
  <si>
    <t>CV -Teléfono</t>
  </si>
  <si>
    <t>CV -Correo</t>
  </si>
  <si>
    <t>Certificado de Curso POE</t>
  </si>
  <si>
    <t>Certificado de Curso ESR</t>
  </si>
  <si>
    <t>Constancia de Reentrenamiento</t>
  </si>
  <si>
    <t>Constancia de Reentrenamiento de los Últimos Años</t>
  </si>
  <si>
    <t>Carta Aceptación de Funciones</t>
  </si>
  <si>
    <t>Comprobante de Domicilio</t>
  </si>
  <si>
    <t>Certificado de Uso de Tecnologías</t>
  </si>
  <si>
    <t>Eagle P60</t>
  </si>
  <si>
    <t>Z Portal</t>
  </si>
  <si>
    <t>Carview In Lane</t>
  </si>
  <si>
    <t>ZBV</t>
  </si>
  <si>
    <t>Nuctech
MT1213DE</t>
  </si>
  <si>
    <t>G60</t>
  </si>
  <si>
    <t>G10</t>
  </si>
  <si>
    <t>M60</t>
  </si>
  <si>
    <t>R60</t>
  </si>
  <si>
    <t>VACIS FERRO</t>
  </si>
  <si>
    <t>VACIS FS</t>
  </si>
  <si>
    <t>VACIS IP 6500</t>
  </si>
  <si>
    <t>VACIS IR 6500</t>
  </si>
  <si>
    <t>VACIS M6500</t>
  </si>
  <si>
    <t>VACIS OM</t>
  </si>
  <si>
    <t>OTROS</t>
  </si>
  <si>
    <t>Aduana</t>
  </si>
  <si>
    <t>Institución</t>
  </si>
  <si>
    <t>Representante Legal</t>
  </si>
  <si>
    <t>Licencia No.</t>
  </si>
  <si>
    <t>Expediente INEM</t>
  </si>
  <si>
    <t>Alcance y Ubicación</t>
  </si>
  <si>
    <t>Fecha de Expedición de Licencia</t>
  </si>
  <si>
    <t>Fecha de Vencimiento</t>
  </si>
  <si>
    <t>Informe Anual de Actividades (Protección Radiológica)</t>
  </si>
  <si>
    <t>Estatus de Vencimiento de Licencia</t>
  </si>
  <si>
    <t>Teléfono</t>
  </si>
  <si>
    <t>Agua Prieta</t>
  </si>
  <si>
    <t>SEDENA</t>
  </si>
  <si>
    <t>Ing. Albert Alexander Secundo Ortiz</t>
  </si>
  <si>
    <t>A00.200/1294/2024</t>
  </si>
  <si>
    <t>Aduana de Agua Prieta, Av. Panamericana S/N Calles 1 y 2, Col. Centro, 84200, Agua Prieta, Sonora</t>
  </si>
  <si>
    <t>A00.1S.04/414/2024</t>
  </si>
  <si>
    <t>AICM</t>
  </si>
  <si>
    <t>SEMAR</t>
  </si>
  <si>
    <t>A00.200/0627/2023</t>
  </si>
  <si>
    <t>INSPECCION ADUANERA - Aduana del Aeropuerto Internacional de la Ciudad de México</t>
  </si>
  <si>
    <t>A00.1S.04/3203/2023</t>
  </si>
  <si>
    <t>AIFA</t>
  </si>
  <si>
    <t>A00.200/1135/2024</t>
  </si>
  <si>
    <t>"Terminal de Carga y Aduanas" del Aeropuerto Internacional Felipe Ángeles ubicado en Carretera Federal México - Pachuca, Km. 42.5 Campo Militar JNHo.37B, Santa Lucía, Zumpango de Ocampo, Edo. De México, CP 55600, México.</t>
  </si>
  <si>
    <t>A00.1S.04/701/2024</t>
  </si>
  <si>
    <t>Altamira, Tamps.</t>
  </si>
  <si>
    <t>A00.200/0602/2023</t>
  </si>
  <si>
    <t>INSPECCION ADUANERA - Aduana del Altamira</t>
  </si>
  <si>
    <t>A00.1S.04/3410/2023</t>
  </si>
  <si>
    <t>Cancun, Q. Roo</t>
  </si>
  <si>
    <t>En Proceso</t>
  </si>
  <si>
    <t>Av. Rafael Rueda Molina S/N</t>
  </si>
  <si>
    <t>Catazaja</t>
  </si>
  <si>
    <t>Ciudad Acuña, Coah.</t>
  </si>
  <si>
    <t>A00.200/2240/2023</t>
  </si>
  <si>
    <t>INSPECCIÓN ADUANERA - Aduana de Cd. Acuña, ubicada en Miguel Hidalgo y Nicolás Bravo S/N, Col. Edificio Puerto de México, Cudad Acuña, Coahuila de Zaragoza, México, C.P. 26200</t>
  </si>
  <si>
    <t>A00.1S.04/1503/2023</t>
  </si>
  <si>
    <t>Ciudad Camargo, Tamps.</t>
  </si>
  <si>
    <t>A00.200/2330/2023</t>
  </si>
  <si>
    <t>INSPECCION ADUANERA - Aduana de Camargo, Carretera Puente Internacional Km 6, Col. Puente Internacional Camargo, 88440, Tamps., México</t>
  </si>
  <si>
    <t>A00.1S.04/1601/2023</t>
  </si>
  <si>
    <t>Ciudad del Carmen</t>
  </si>
  <si>
    <t>A00.200/1400/2024</t>
  </si>
  <si>
    <t>INSPECCION ADUANERA - Aduana de Cd. del Carmen, ubicada(s) en Avenida Adolfo López Mateos s/n, entre calles 4 y 5 Sur, Recinto Portuario, Isla del Carmen, Col. Puerto Pesquero, Del Carmen, 24129, Camp., México.</t>
  </si>
  <si>
    <t>A00.1S.04/1425/2024</t>
  </si>
  <si>
    <t>Ciudad Hidalgo, Chis.</t>
  </si>
  <si>
    <t>A00.200/2401/2023</t>
  </si>
  <si>
    <t>INSPECCION ADUANERA - Aduana Ciudad Hidalgo, Suchiate, en Carretera Federal Tepic - Talismán tramo Tapachula. Cd. Hidalgo, km 24,400, en el municipiuo Suchiate, Chiapas CP 30840; Trinitaria, - km 195 de la carretera federal 190, Comitán - Cd Cuauhtémoc, municipio de Trinitaria. CP 30098, Comitán, Chiapas, México. Aduana de Cd Hidalgo, Huixtla, Carretera Federal 200, Huixtla - Lázaro Cárdenas, km 8.5, Municipio de Huixtla, Tapachula, Chiapas, México.</t>
  </si>
  <si>
    <t>A00.1S.04/1735/2023</t>
  </si>
  <si>
    <t>Ciudad Juárez, Chih.</t>
  </si>
  <si>
    <t>A00.200/1816/2023</t>
  </si>
  <si>
    <t>INSPECCION ADUANERA - Aduana de Ciudad Juárez, ubicado en Puente Libre de Códova S/N, Col. Area del Chamizal, Cd. Juárez, 32310, Chihuahua, México.</t>
  </si>
  <si>
    <t>A00.1S.04/1603/2023</t>
  </si>
  <si>
    <t>Ciudad Miguel Alemán</t>
  </si>
  <si>
    <t>A00.200/0052/2024</t>
  </si>
  <si>
    <t>INSPECCION ADUANERA - Puente Internacional Miguel Alemán, Aduana Miguel Aleman, Avenida Hidalgo y Calle Primera No. 655, Zona Centro, Ciudad Miguel Aleman, Tamps. CP 88300</t>
  </si>
  <si>
    <t>A00.1S.04/1767/2023</t>
  </si>
  <si>
    <t>Coatzacoalcos, Ver.</t>
  </si>
  <si>
    <t>A00.200/0682/2023</t>
  </si>
  <si>
    <t>Aduana de Coatzacoalcos</t>
  </si>
  <si>
    <t>A00.1S.04/3408/2023</t>
  </si>
  <si>
    <t>Colombia, Nvo. León</t>
  </si>
  <si>
    <t>A00.200/0780/2023</t>
  </si>
  <si>
    <t>INSPECCION ADUANERA - Aduana de Colombia, Puente Internacional Solidaridad, ubicado en Carretera Nuevo Laredo - Piedras Negras, Col. Anáhuac, Colombia, 56000, N.L., México.</t>
  </si>
  <si>
    <t>A00.1S.04/943/2023</t>
  </si>
  <si>
    <t>Dos Bocas</t>
  </si>
  <si>
    <t>A00.200/1788/2023</t>
  </si>
  <si>
    <t>INPECCION ADUANERA - Aduana Dos Bocas</t>
  </si>
  <si>
    <t>A00.IS.04/3409/2023</t>
  </si>
  <si>
    <t>Ensenada, BCN</t>
  </si>
  <si>
    <t>A00.200/1869/2023</t>
  </si>
  <si>
    <t>INSPECCION ADUANERA - Recinto Portuario Aduana Ensenada, ubicado en Boulevard Teniente Azueta, interior del recinto porturario s/n, Col. Centro, Ensenada, 22800, BC, México</t>
  </si>
  <si>
    <t>A00.1S.04/1504/2023</t>
  </si>
  <si>
    <t>Guadalajara, Jal</t>
  </si>
  <si>
    <t>Guaymas, Son.</t>
  </si>
  <si>
    <t>A00.200/0509/2024</t>
  </si>
  <si>
    <t>INSPECCIÓN ADUANERA - Recinto de la Aduana de Guaymas, ubicada(s) en Avenida Aquiles Serdan No. 26, Col. Centro, Guaymas, 85400, Son., México.</t>
  </si>
  <si>
    <t>AOO.1S.04/1740/2023</t>
  </si>
  <si>
    <t>La Paz, BCS</t>
  </si>
  <si>
    <t>A00.200/1402/2024</t>
  </si>
  <si>
    <t>INSPECCIÓN ADUANERA - Aduana de La Paz, ubicada(s) en Km. 17, carretera Pichilingue, Col. Puerto Comercial, La Paz, 23010, BCS, México</t>
  </si>
  <si>
    <t>A00.1S.04/1573/2024</t>
  </si>
  <si>
    <t>Lázaro Cárdenas, Mich.</t>
  </si>
  <si>
    <t>A00.200/0679/2023</t>
  </si>
  <si>
    <t>Aduana de Lázaro Cárdenas</t>
  </si>
  <si>
    <t>A00.1S.04/2993/2023</t>
  </si>
  <si>
    <t>Manzanillo</t>
  </si>
  <si>
    <t>A00.200/0645/2023</t>
  </si>
  <si>
    <t>INSPECCION ADUANERA - Aduana de Manzanillo, ubicado en Blvd. Miguel de la Madrid S/N, Col. Tepeixtles, Manzanillo, CP 28876, Colima, México</t>
  </si>
  <si>
    <t>A00.1S.04/716/2023</t>
  </si>
  <si>
    <t>Matamoros</t>
  </si>
  <si>
    <t>A00.200/1769/2023</t>
  </si>
  <si>
    <t>INSPECCION ADUANERA - Aduana de Matamoros, Av. Acción Cívica y Av. División del Norte S/N, Col. Doctores, CP 87440, Heroica Matamoros, Tamaulipas</t>
  </si>
  <si>
    <t>A00.1S.04/1505/2023</t>
  </si>
  <si>
    <t>Mazatlán</t>
  </si>
  <si>
    <t>A00.200/1626/2023</t>
  </si>
  <si>
    <t>INSPECCION ADUANERA - Av. Emilio Barragán S/N, Col. Lazaro Cardenas, CP 82040, Mazatlan, Sin. y Topolobampo, S/N acceso Parque Industrial, S/N, CP 81370, Sin.</t>
  </si>
  <si>
    <t>A00.1S.04/1413/2023</t>
  </si>
  <si>
    <t>Mexicali</t>
  </si>
  <si>
    <t>A00.200/2033/2023</t>
  </si>
  <si>
    <t>INSPECCION ADUANERA - Puente Fronterizo Mexicali II, Ubicado en Cto. Brasil 58, Col Industrial Alamo, Mexicali, CP 21229, BC, Mexico</t>
  </si>
  <si>
    <t>A00.1S.04/1734/2023</t>
  </si>
  <si>
    <t>Naco</t>
  </si>
  <si>
    <t>Nogales, Son.</t>
  </si>
  <si>
    <t>A00.200/1973/2023</t>
  </si>
  <si>
    <t>INSPECCION ADUANERA - Aduana de Nogales, Puente Fronterizo Nogales III, Libramiento Fiscal 4320, Colonia Sector Seguro Social, CP 54000, Nogales, Son.</t>
  </si>
  <si>
    <t>A00.1S.04/1736/2023</t>
  </si>
  <si>
    <t>Nuevo Laredo</t>
  </si>
  <si>
    <t>A00.200/0726/2023</t>
  </si>
  <si>
    <t>Aduana de Nuevo Laredo, Pte. II</t>
  </si>
  <si>
    <t>A00.1S.04/2709/2023</t>
  </si>
  <si>
    <t>Ojinaga</t>
  </si>
  <si>
    <t>A00.200/0671/2023</t>
  </si>
  <si>
    <t>INSPECCION ADUANERA - Aduana de Ojinaga, Chihuahua</t>
  </si>
  <si>
    <t>A00.1S.04/861/2023</t>
  </si>
  <si>
    <t>Pantaco (Interior)</t>
  </si>
  <si>
    <t>A00.200/0683/2023</t>
  </si>
  <si>
    <t>INSPECCIÓN ADUANERA. Aduana de Pantaco, ubicada(s) en Ferrocarril Central S/N, Col. Cosmopolita, Azcapotzalco, 02670, CDMX, México.</t>
  </si>
  <si>
    <t>A00.1S.04/2329/2023</t>
  </si>
  <si>
    <t>Piedras Negras</t>
  </si>
  <si>
    <t>A00.200/0696/2023</t>
  </si>
  <si>
    <t>INSPECCION ADUANERA - Avenida Progreso No. 403, Colonia González, CP 26020, Piedras Negras, Coahuila</t>
  </si>
  <si>
    <t>A00.1S.04/3202/2023</t>
  </si>
  <si>
    <t>Puerto Chiapas</t>
  </si>
  <si>
    <t>Puerto Morelos</t>
  </si>
  <si>
    <t xml:space="preserve"> </t>
  </si>
  <si>
    <t>Puerto Palomas</t>
  </si>
  <si>
    <t>Puerto Progreso</t>
  </si>
  <si>
    <t>A00.200/0108/2024</t>
  </si>
  <si>
    <t>INSPECCIÓN ADUANERA. Aduana Progreso, ubicada en Cadenamiento 3+200, Muelle Fiscal, Col. Centro, Progreso, CP 97320, Yucatán, México, y Aduana Puerto Morelos, ubicada en Rafael E. Melgar, Edificio 1-A, Muelle Fiscal, Puerto Morelos, Quintana Roo, CP 77580.</t>
  </si>
  <si>
    <t>VIGENTE</t>
  </si>
  <si>
    <t>Reynosa, Tamps.</t>
  </si>
  <si>
    <t>A00.200/0715/2023</t>
  </si>
  <si>
    <t>INSPECCION ADUANERA - Pte. Int. Nuevo Amanecer de Reynosa, Tamaulipas</t>
  </si>
  <si>
    <t>POR VENCER</t>
  </si>
  <si>
    <t>A00.1S.04/3411/2023</t>
  </si>
  <si>
    <t>Salina Cruz</t>
  </si>
  <si>
    <t>A00.200/2294/2023</t>
  </si>
  <si>
    <t>INSPECCIÓN ADUANERA. Aduana de Salina Cruz, ubicada(s) en Av. Miramar S/N. Col. Cantarranas, Salina Cruz, CP 70680, Oaxaca, México, y Aduana de Puerto Chiapas ubicada en carretera a Playa Linda km 4 Interior de Recinto Portuario, Calle Mesoamérica, Parque Industrial de Puerto Chiapas, Tapachula, CP 30830, Chiapas</t>
  </si>
  <si>
    <t>A00.1S.04/1412/2023</t>
  </si>
  <si>
    <t>San Luis Río Colorado</t>
  </si>
  <si>
    <t>A00.200/1018/2024</t>
  </si>
  <si>
    <t>INSPECCIÓN ADUANERA. Puente Fronterizo San Luis Rio Colorado I y II, ubicada(s) en Carretera Federal 2, Col. San Luis Rio Colorado Sonoyta Km 6, San Luis Rio Colorado, 83455, Son., México</t>
  </si>
  <si>
    <t>A00.1S.04/441/2024</t>
  </si>
  <si>
    <t>Sonoyta</t>
  </si>
  <si>
    <t>A00.200/1943/2023</t>
  </si>
  <si>
    <t>INSPECCIPON ADUANERA. Aduana de Sonoyta, ubicada(s) en San Emeterio, Km 27 Carretera Federal No. 2 Tramo Sonoyta - Caborca, Col. Gral. Plutarco Elias Calles, Sonoyta, CP 83570, Son., México</t>
  </si>
  <si>
    <t>A00.1S.04/1595/2024</t>
  </si>
  <si>
    <t>Subteniente Lopez</t>
  </si>
  <si>
    <t>A00.200/0043/2024</t>
  </si>
  <si>
    <t>INSPECCIÓN ADUANERA.</t>
  </si>
  <si>
    <t>A00.1S.04/1602/2023</t>
  </si>
  <si>
    <t>Tampico</t>
  </si>
  <si>
    <t>A00.200/1774/2023</t>
  </si>
  <si>
    <t>INSPECCIÓN ADUANERA. Aduana de Tampico, ubicaca(s) en Calzada Blanca S/N, Interior Recinto Fiscal, Col. Morelos, Tampico, CP89290, Tamps., México</t>
  </si>
  <si>
    <t>A00.1S.04/1741/2023</t>
  </si>
  <si>
    <t>Tecate</t>
  </si>
  <si>
    <t>A00.200/1203/2024</t>
  </si>
  <si>
    <t>INSPECCIÓN ADUANERA. Aduana de Tecate, ubicada(s) en Avenida Lázaro Cárdenas Callejón Madero No. 201, Col. Centro, Tecate, 21400, BC, México</t>
  </si>
  <si>
    <t>A00.1S.04/431/2024</t>
  </si>
  <si>
    <t>Tijuana</t>
  </si>
  <si>
    <t>A00.200/1932/2023</t>
  </si>
  <si>
    <t>INSPECCION ADUANERA - Aduana Puerta México "El Chaparral", ubicado en Av. Línea Internacional S/N, Col. Fraccionamiento Mesa de Otay, Tijuana, 22509, Baja California, México, y en Av. Internacional S/N, Colonia Garita de Otay, 22430, Tijuana, Baja California</t>
  </si>
  <si>
    <t>A00.1S.04/1502/2023</t>
  </si>
  <si>
    <t>Toluca</t>
  </si>
  <si>
    <t>A00.200/0433/2024</t>
  </si>
  <si>
    <t>INSPECCIÓN ADUANERA. Aduana de Toluca, ubicado en la Carretera Toluca - Atlacomulco Km 15.5, San Cayetano Morelos, Toluca de Lerdo, Mex., 50295</t>
  </si>
  <si>
    <t>A00.1S.04/1739/2023</t>
  </si>
  <si>
    <t>Topolobampo</t>
  </si>
  <si>
    <t>Tuxpan</t>
  </si>
  <si>
    <t>A00.200/07/81/2023</t>
  </si>
  <si>
    <t>INSPECCIÓN ADUANERA. Aduana de Tuxpan, ubicado en Carretera La Barra Sur Km 8, Col. Recinto Fiscal, Tuxpan, CP 92770, Ver., México.</t>
  </si>
  <si>
    <t>A00.1S.04/944/2023</t>
  </si>
  <si>
    <t>A00.200/0587/2023</t>
  </si>
  <si>
    <t>INSPECCIÓN DE VEHÍCULOS DE CARGA. Interior del Recinto Fiscal, Aduana de Veracruz y Punta Gorda, Dentro del Recinto Fiscal Aduana de Veracruz, ubicado en Km. 3.5 S/N Carretera a San Juan de Ulúa y Ex Ejido Vergara, Col. Centro y Ex Hacienda Buena Vista, Veracruz, CP 91700, Ver., México.</t>
  </si>
  <si>
    <t>VENCIDO</t>
  </si>
  <si>
    <t>A00.1S.04/3406/2023</t>
  </si>
  <si>
    <t>EQUIPO 1</t>
  </si>
  <si>
    <t>EQUIPO 2</t>
  </si>
  <si>
    <t>EQUIPO 3</t>
  </si>
  <si>
    <t>EQUIPO 4</t>
  </si>
  <si>
    <t>EQUIPO 5</t>
  </si>
  <si>
    <t>EQUIPO 6</t>
  </si>
  <si>
    <t>EQUIPO 7</t>
  </si>
  <si>
    <t>EQUIPO 8</t>
  </si>
  <si>
    <t>EQUIPO 9</t>
  </si>
  <si>
    <t>EQUIPO 10</t>
  </si>
  <si>
    <t>EQUIPO 11</t>
  </si>
  <si>
    <t>EQUIPO 12</t>
  </si>
  <si>
    <t>EQUIPO 13</t>
  </si>
  <si>
    <t>EQUIPO 14</t>
  </si>
  <si>
    <t>EQUIPO 15</t>
  </si>
  <si>
    <t>EQUIPO 16</t>
  </si>
  <si>
    <t>EQUIPO 17</t>
  </si>
  <si>
    <t>EQUIPO 18</t>
  </si>
  <si>
    <t>EQUIPO 19</t>
  </si>
  <si>
    <t>EQUIPO 20</t>
  </si>
  <si>
    <t>EQUIPO 21</t>
  </si>
  <si>
    <t>EQUIPO 22</t>
  </si>
  <si>
    <t>EQUIPO 23</t>
  </si>
  <si>
    <t>EQUIPO 24</t>
  </si>
  <si>
    <t>EQUIPO 25</t>
  </si>
  <si>
    <t>EQUIPO 26</t>
  </si>
  <si>
    <t>EQUIPO 27</t>
  </si>
  <si>
    <t>EQUIPO 28</t>
  </si>
  <si>
    <t>EQUIPO 29</t>
  </si>
  <si>
    <t>EQUIPO 30</t>
  </si>
  <si>
    <t>EQUIPO 31</t>
  </si>
  <si>
    <t>EQUIPO 32</t>
  </si>
  <si>
    <t>EQUIPO 33</t>
  </si>
  <si>
    <t>EQUIPO 34</t>
  </si>
  <si>
    <t>EQUIPO 35</t>
  </si>
  <si>
    <t>EQUIPO 36</t>
  </si>
  <si>
    <t>EQUIPO 37</t>
  </si>
  <si>
    <t>EQUIPO 38</t>
  </si>
  <si>
    <t>EQUIPO 39</t>
  </si>
  <si>
    <t>EQUIPO 40</t>
  </si>
  <si>
    <t>EQUIPO 41</t>
  </si>
  <si>
    <t>EQUIPO 42</t>
  </si>
  <si>
    <t>EQUIPO 43</t>
  </si>
  <si>
    <t>EQUIPO 44</t>
  </si>
  <si>
    <t>EQUIPO 45</t>
  </si>
  <si>
    <t>EQUIPO 46</t>
  </si>
  <si>
    <t>EQUIPO 47</t>
  </si>
  <si>
    <t>EQUIPO 48</t>
  </si>
  <si>
    <t>EQUIPO 49</t>
  </si>
  <si>
    <t>EQUIPO 50</t>
  </si>
  <si>
    <t>EQUIPO</t>
  </si>
  <si>
    <t>CarView</t>
  </si>
  <si>
    <t>AS&amp;E INC</t>
  </si>
  <si>
    <t>Pendiente</t>
  </si>
  <si>
    <t>225 keV</t>
  </si>
  <si>
    <t>10.9 mA</t>
  </si>
  <si>
    <t>Rapiscan / AS&amp;E</t>
  </si>
  <si>
    <t>Carview</t>
  </si>
  <si>
    <t>ZBV-353</t>
  </si>
  <si>
    <t>13 mA</t>
  </si>
  <si>
    <t>N/A</t>
  </si>
  <si>
    <t>ZBV353/WDB90
61531N342255</t>
  </si>
  <si>
    <t>Vacis M6500</t>
  </si>
  <si>
    <t>SAIC VACIS (LEIDOS)</t>
  </si>
  <si>
    <t>VMX0004</t>
  </si>
  <si>
    <t>7.5 MeV</t>
  </si>
  <si>
    <t>1.2 mA</t>
  </si>
  <si>
    <t>JME, LTD Limited</t>
  </si>
  <si>
    <t>PXB-7.55</t>
  </si>
  <si>
    <t>Rapiscan Systems</t>
  </si>
  <si>
    <t>6 MeV</t>
  </si>
  <si>
    <t>1 mA</t>
  </si>
  <si>
    <t>Varex Imaging</t>
  </si>
  <si>
    <t>Mi6SSD</t>
  </si>
  <si>
    <t>225 KeV</t>
  </si>
  <si>
    <t>Carview Portal</t>
  </si>
  <si>
    <t>PTL083</t>
  </si>
  <si>
    <t>220 keV</t>
  </si>
  <si>
    <t>AS&amp;E</t>
  </si>
  <si>
    <t>ND</t>
  </si>
  <si>
    <t>MTH6X2-160047</t>
  </si>
  <si>
    <t>PTL084</t>
  </si>
  <si>
    <t>VXML00015</t>
  </si>
  <si>
    <t>Sentry Portal</t>
  </si>
  <si>
    <t>SEN104</t>
  </si>
  <si>
    <t>ZBV-489</t>
  </si>
  <si>
    <t>Vacis IP6500</t>
  </si>
  <si>
    <t>SAIV VACIS (LEIDOS)</t>
  </si>
  <si>
    <t>VIFX00003</t>
  </si>
  <si>
    <t>9 MeV</t>
  </si>
  <si>
    <t>Leidos</t>
  </si>
  <si>
    <t>PXB-08D</t>
  </si>
  <si>
    <t>1011394/02PC</t>
  </si>
  <si>
    <t>ZBV491</t>
  </si>
  <si>
    <t>WDB9061531N414025</t>
  </si>
  <si>
    <t>ZBV472</t>
  </si>
  <si>
    <t>WDB9061531N411016</t>
  </si>
  <si>
    <t>Nuctech MT1213DE</t>
  </si>
  <si>
    <t>Nuctech Company Limited</t>
  </si>
  <si>
    <t>TFN CK-11054</t>
  </si>
  <si>
    <t>HEXTRON-6D/24</t>
  </si>
  <si>
    <t>NTH6X2-160056</t>
  </si>
  <si>
    <t>Nuctech
 MT1213DE</t>
  </si>
  <si>
    <t>TFN CK-11062</t>
  </si>
  <si>
    <t>MTH6X2-160048</t>
  </si>
  <si>
    <t>Nuctech
FS6000</t>
  </si>
  <si>
    <t>TFN-EG11699</t>
  </si>
  <si>
    <t>FTN-EG11700</t>
  </si>
  <si>
    <t>TFN-EG11701</t>
  </si>
  <si>
    <t>TFN-EG11702</t>
  </si>
  <si>
    <t>Eagle M60</t>
  </si>
  <si>
    <t>Eagle G60</t>
  </si>
  <si>
    <t>G6005-142</t>
  </si>
  <si>
    <t>Mi6</t>
  </si>
  <si>
    <t>H3G6304</t>
  </si>
  <si>
    <t>Mi6SSM</t>
  </si>
  <si>
    <t>VMX0003</t>
  </si>
  <si>
    <t>JME</t>
  </si>
  <si>
    <t>VXML00016</t>
  </si>
  <si>
    <t>TFN CK-11067</t>
  </si>
  <si>
    <t>MTH6X2-160059</t>
  </si>
  <si>
    <t>Nuctech</t>
  </si>
  <si>
    <t>MT1213DE</t>
  </si>
  <si>
    <t>TFN CK-11033</t>
  </si>
  <si>
    <t>1N2AX17C1FM001595</t>
  </si>
  <si>
    <t>ZBV489/WDB9061531N412729</t>
  </si>
  <si>
    <t>TFN CK-11039</t>
  </si>
  <si>
    <t>MTH6X2-160044</t>
  </si>
  <si>
    <t>TFN CK-11064</t>
  </si>
  <si>
    <t>Z-Portal</t>
  </si>
  <si>
    <t>TFN CK-11038</t>
  </si>
  <si>
    <t>MTH6X2-160040</t>
  </si>
  <si>
    <t>TFN CK-11037</t>
  </si>
  <si>
    <t>MTH6X2-160046</t>
  </si>
  <si>
    <t>TFN CK-11041</t>
  </si>
  <si>
    <t>MTH6X2-160045</t>
  </si>
  <si>
    <t>MTH6X2-170013</t>
  </si>
  <si>
    <t>Pto. Fronterizo Suchiate II Km 24+400 de la Carretera Federal 200, Tepic - Talismán tramo Tapachula - Ciudad Hidalgo. Munic. de Suchiate, Chiapas, CP 30840</t>
  </si>
  <si>
    <t>Aduana de Cd. Hidalgo, Huixtla Carr. Federal 200 Huixtla - Lázaro Cárdenas Km 8.5 Munic. de Huixtla, Tapachula, Chis., México</t>
  </si>
  <si>
    <t>Pto. Fronterizo Cd. Hidalgo Suchiate I, Carr. México - Guatemala, Pte. Int. Km 27, Cd. Hidalgo, Munic. de Suchiate, Chiapas, CP 30840</t>
  </si>
  <si>
    <t>Pto. Fronterizo El Talismán Km 311+300 de la Carretera Federal 200, Tepic - Puente Talismán, Poblado Frontera Talisman, Munic. de Tuxtla Chico, Chiapas, CP 30870</t>
  </si>
  <si>
    <t>ZBV-380</t>
  </si>
  <si>
    <t>ZBV380/WDB9061531N350424</t>
  </si>
  <si>
    <t>Aduana de Cd. Hidalgo, Suchiate Carr. Federal Tepic - Talismán, tramo Tapachula - Cd. Hidalgo, km24 400. Suchiate, Hidalgo, CP 30840, Chiapas, México</t>
  </si>
  <si>
    <t>Pto. Fronterizo Suchiate II Km 24-400 de la Carretera Federal 200, Tepic - Talismán tramo Tapachula - Ciudad Hidalgo. Munic. de Suchiate, Chiapas, CP 30840</t>
  </si>
  <si>
    <t>G6005-146</t>
  </si>
  <si>
    <t>1 Ma</t>
  </si>
  <si>
    <t>VARIAN</t>
  </si>
  <si>
    <t>MI6</t>
  </si>
  <si>
    <t>H3G6308</t>
  </si>
  <si>
    <t>Aduana de Cd. Hidalgo, Huixtla Carr. Federal 200 Huixtla - Lázaro Cárdenas km 8.5, Munic. de Huixtla, Tapachula, Chis., México</t>
  </si>
  <si>
    <t>Eagle G10</t>
  </si>
  <si>
    <t>G1001-105</t>
  </si>
  <si>
    <t>1 MeV</t>
  </si>
  <si>
    <t>CX-1</t>
  </si>
  <si>
    <t>H3C0033</t>
  </si>
  <si>
    <t>IP6500</t>
  </si>
  <si>
    <t>SIAC VACIS</t>
  </si>
  <si>
    <t>VIPL00001</t>
  </si>
  <si>
    <t>1.2 Ma</t>
  </si>
  <si>
    <t>PXB-09D</t>
  </si>
  <si>
    <t>1616723P</t>
  </si>
  <si>
    <t>Trinitaria km 195 de la carretera federal 190, Comitán - Cd. Cuauhtémoc, Munic. de la Trinitaria, CP 30098, Comitán Chiapas</t>
  </si>
  <si>
    <t>VMX0007</t>
  </si>
  <si>
    <t>N/D</t>
  </si>
  <si>
    <t>G6005-150</t>
  </si>
  <si>
    <t>H3G6309</t>
  </si>
  <si>
    <t>G6005-143</t>
  </si>
  <si>
    <t>H3G6305</t>
  </si>
  <si>
    <t>G6005-138</t>
  </si>
  <si>
    <t>H3G6300</t>
  </si>
  <si>
    <t>G6005137</t>
  </si>
  <si>
    <t>H3G6295</t>
  </si>
  <si>
    <t>G6005-144</t>
  </si>
  <si>
    <t>H3G6306</t>
  </si>
  <si>
    <t>G1001-104</t>
  </si>
  <si>
    <t>H3C0028</t>
  </si>
  <si>
    <t>ZBV-359</t>
  </si>
  <si>
    <t>ZBV359/WDB9061531N342249</t>
  </si>
  <si>
    <t>MT 1213DE</t>
  </si>
  <si>
    <t>Nuctech Limited</t>
  </si>
  <si>
    <t>TFN CK-11074</t>
  </si>
  <si>
    <t>MTH6X2-170008</t>
  </si>
  <si>
    <t>TFN CK-11040</t>
  </si>
  <si>
    <t>MTH6X2-160041</t>
  </si>
  <si>
    <t>VIFX00002</t>
  </si>
  <si>
    <t>ZBV-503</t>
  </si>
  <si>
    <t>ZBV-477</t>
  </si>
  <si>
    <t>G6005-156</t>
  </si>
  <si>
    <t>H3G3329</t>
  </si>
  <si>
    <t>G6005-139</t>
  </si>
  <si>
    <t>H3G6301</t>
  </si>
  <si>
    <t>TFN CK-11036</t>
  </si>
  <si>
    <t>HECTRON-6D/24</t>
  </si>
  <si>
    <t>MTH6X2-160039</t>
  </si>
  <si>
    <t>VMX0008</t>
  </si>
  <si>
    <t>G6005-151</t>
  </si>
  <si>
    <t>H3G6321</t>
  </si>
  <si>
    <t>HEXTRO N-6D/24</t>
  </si>
  <si>
    <t>MTH6X2-160054</t>
  </si>
  <si>
    <t>MTH6X2-160043</t>
  </si>
  <si>
    <t>VMX0002</t>
  </si>
  <si>
    <t>VXML00017</t>
  </si>
  <si>
    <t>ZBV-378</t>
  </si>
  <si>
    <t>ZBV378/WDB9061531N350422</t>
  </si>
  <si>
    <t>ZBV-492</t>
  </si>
  <si>
    <t>ZBV492/WDB9061521N414026</t>
  </si>
  <si>
    <t>ZBV-363</t>
  </si>
  <si>
    <t>ZBV363/WDB9061531N342253</t>
  </si>
  <si>
    <t>ZBV-502</t>
  </si>
  <si>
    <t>ZBV502/WDB9061531N467092</t>
  </si>
  <si>
    <t>G6005-160</t>
  </si>
  <si>
    <t>H3G6313</t>
  </si>
  <si>
    <t>TFN CK-11075</t>
  </si>
  <si>
    <t>MTH6X2-160055</t>
  </si>
  <si>
    <t>G6005-136</t>
  </si>
  <si>
    <t>H3M6281</t>
  </si>
  <si>
    <t>G6005-140</t>
  </si>
  <si>
    <t>H3G6302</t>
  </si>
  <si>
    <t>G6005-131</t>
  </si>
  <si>
    <t>H3G6278</t>
  </si>
  <si>
    <t>G6005-158</t>
  </si>
  <si>
    <t>H3G6314</t>
  </si>
  <si>
    <t>G1001-108</t>
  </si>
  <si>
    <t>H300023</t>
  </si>
  <si>
    <t>G1001-107</t>
  </si>
  <si>
    <t>H300024</t>
  </si>
  <si>
    <t>TFN CK-11032</t>
  </si>
  <si>
    <t>MTH6X2-160021</t>
  </si>
  <si>
    <t>ZBV-473</t>
  </si>
  <si>
    <t>ZBV473WDB9061531N411014</t>
  </si>
  <si>
    <t>TFN CK-11069</t>
  </si>
  <si>
    <t>MTH6X2-170002</t>
  </si>
  <si>
    <t>G1001-103</t>
  </si>
  <si>
    <t>H3C0032</t>
  </si>
  <si>
    <t>G6005-149</t>
  </si>
  <si>
    <t>H3G6316</t>
  </si>
  <si>
    <t>ZBV-379</t>
  </si>
  <si>
    <t>ZBV379 / WDB8061531N350423</t>
  </si>
  <si>
    <t>VIFX00001</t>
  </si>
  <si>
    <t>ZBV-493</t>
  </si>
  <si>
    <t>TFN CK-11061</t>
  </si>
  <si>
    <t>TFN CK-11034</t>
  </si>
  <si>
    <t>MTH6X2-160038</t>
  </si>
  <si>
    <t>MTH6X2-160056</t>
  </si>
  <si>
    <t>G6005-155</t>
  </si>
  <si>
    <t>H3G6315</t>
  </si>
  <si>
    <t>ZBV-366</t>
  </si>
  <si>
    <t>G6005-145</t>
  </si>
  <si>
    <t>H3G6324</t>
  </si>
  <si>
    <t>TFN CK-11070</t>
  </si>
  <si>
    <t>MTH6X2-170006</t>
  </si>
  <si>
    <t>ZBV-365</t>
  </si>
  <si>
    <t>WDB9061531N341891</t>
  </si>
  <si>
    <t>RAPISCAN SYSTEMS</t>
  </si>
  <si>
    <t>VM500</t>
  </si>
  <si>
    <t>Sentry 
Portal</t>
  </si>
  <si>
    <t>Vacis
IP6500</t>
  </si>
  <si>
    <t>Portal Vacis FullScan</t>
  </si>
  <si>
    <t>Nuctech FS6000</t>
  </si>
  <si>
    <t>FUENTE 1</t>
  </si>
  <si>
    <t>FUENTE 2</t>
  </si>
  <si>
    <t>FUENTE 3</t>
  </si>
  <si>
    <t>FUENTE 4</t>
  </si>
  <si>
    <t>FUENTE 5</t>
  </si>
  <si>
    <t>FUENTE 6</t>
  </si>
  <si>
    <t>FUENTE 7</t>
  </si>
  <si>
    <t>FUENTE 8</t>
  </si>
  <si>
    <t>FUENTE 9</t>
  </si>
  <si>
    <t>FUENTE 10</t>
  </si>
  <si>
    <t>FUENTE 11</t>
  </si>
  <si>
    <t>FUENTE 12</t>
  </si>
  <si>
    <t>FUENTE 13</t>
  </si>
  <si>
    <t>FUENTE 14</t>
  </si>
  <si>
    <t>FUENTE 15</t>
  </si>
  <si>
    <t>FUENTE 16</t>
  </si>
  <si>
    <t>FUENTE 17</t>
  </si>
  <si>
    <t>FUENTE 18</t>
  </si>
  <si>
    <t>FUENTE 19</t>
  </si>
  <si>
    <t>FUENTE 20</t>
  </si>
  <si>
    <t>FUENTE 21</t>
  </si>
  <si>
    <t>FUENTE 22</t>
  </si>
  <si>
    <t>FUENTE 23</t>
  </si>
  <si>
    <t>FUENTE 24</t>
  </si>
  <si>
    <t>FUENTE 25</t>
  </si>
  <si>
    <t>FUENTE 26</t>
  </si>
  <si>
    <t>FUENTE 27</t>
  </si>
  <si>
    <t>FUENTE 28</t>
  </si>
  <si>
    <t>FUENTE 29</t>
  </si>
  <si>
    <t>FUENTE 30</t>
  </si>
  <si>
    <t>FUENTE 31</t>
  </si>
  <si>
    <t>CONTENEDOR</t>
  </si>
  <si>
    <t>FUENTE SELLADA</t>
  </si>
  <si>
    <t>FECHA DE RECEPCION</t>
  </si>
  <si>
    <t>MODELO / No. CERT.</t>
  </si>
  <si>
    <t>RADIOISOTOPO</t>
  </si>
  <si>
    <t>ACTIVIDAD MÁX. PERMITIDA</t>
  </si>
  <si>
    <t>UNIDADES</t>
  </si>
  <si>
    <t>TIPO DE FUENTE (ABIERTA / SELLADA)</t>
  </si>
  <si>
    <t>FECHA EN QUE ES VALIDA (FECHA DE CALIB.)</t>
  </si>
  <si>
    <t>FECHA PRUEBA FROTIS</t>
  </si>
  <si>
    <t>SIGUIENTE FECHA PRUEBA FROTIS</t>
  </si>
  <si>
    <t>FECHA Y CAUSA DE RETIRO DEL TRABAJO RUTINARIO</t>
  </si>
  <si>
    <t>DESTINO FINAL</t>
  </si>
  <si>
    <t>Co-57</t>
  </si>
  <si>
    <t>kBq</t>
  </si>
  <si>
    <t>S</t>
  </si>
  <si>
    <t>QSA GLOBAL, INC</t>
  </si>
  <si>
    <t>CKC.P4</t>
  </si>
  <si>
    <t>87786G</t>
  </si>
  <si>
    <t>Co-60</t>
  </si>
  <si>
    <t>GBq</t>
  </si>
  <si>
    <t>VPL00026</t>
  </si>
  <si>
    <t>Cs-137</t>
  </si>
  <si>
    <t>Cf-252</t>
  </si>
  <si>
    <t>ECKERT &amp; ZIEGLER</t>
  </si>
  <si>
    <t>GF-137-10D</t>
  </si>
  <si>
    <t>2071.87.1</t>
  </si>
  <si>
    <t>FUENTE REFERENCIA</t>
  </si>
  <si>
    <t>QSA GLOBAL, INC INC</t>
  </si>
  <si>
    <t>CDC.711M / CKC.P4</t>
  </si>
  <si>
    <t>87528B / 87482B</t>
  </si>
  <si>
    <t>VP00017</t>
  </si>
  <si>
    <t>CDC.711M</t>
  </si>
  <si>
    <t>50282G</t>
  </si>
  <si>
    <t>VR00041</t>
  </si>
  <si>
    <t>AEA TECHNOLOGY</t>
  </si>
  <si>
    <t>50254G</t>
  </si>
  <si>
    <t>VP00059</t>
  </si>
  <si>
    <t>QSA INC</t>
  </si>
  <si>
    <t>50373G</t>
  </si>
  <si>
    <t>50252G</t>
  </si>
  <si>
    <t>VP00090</t>
  </si>
  <si>
    <t>97502B</t>
  </si>
  <si>
    <t>VR00106</t>
  </si>
  <si>
    <t>97488B</t>
  </si>
  <si>
    <t>1995CO</t>
  </si>
  <si>
    <t>CKC.P4 / CKC.P5</t>
  </si>
  <si>
    <t>1995CO / 1535CO</t>
  </si>
  <si>
    <t>VP00093</t>
  </si>
  <si>
    <t>3168CG</t>
  </si>
  <si>
    <t>VP00016</t>
  </si>
  <si>
    <t>AEA Technology</t>
  </si>
  <si>
    <t>3167CG</t>
  </si>
  <si>
    <t>GF-057-10D</t>
  </si>
  <si>
    <t>1492.10.5</t>
  </si>
  <si>
    <t>ECKERT &amp; SIEGLER</t>
  </si>
  <si>
    <t>CF230140005U-A</t>
  </si>
  <si>
    <t>RS-443</t>
  </si>
  <si>
    <t>Cs-252</t>
  </si>
  <si>
    <t>50330G</t>
  </si>
  <si>
    <t>VP00037</t>
  </si>
  <si>
    <t>50377G</t>
  </si>
  <si>
    <t>87541B</t>
  </si>
  <si>
    <t>VR00038</t>
  </si>
  <si>
    <t>69221G</t>
  </si>
  <si>
    <t>VP00013</t>
  </si>
  <si>
    <t>69230G</t>
  </si>
  <si>
    <t>50244G</t>
  </si>
  <si>
    <t>VP00036</t>
  </si>
  <si>
    <t>50248G</t>
  </si>
  <si>
    <t>69119G</t>
  </si>
  <si>
    <t>VP00054</t>
  </si>
  <si>
    <t>69143G</t>
  </si>
  <si>
    <t>Vega Americas, Inc.</t>
  </si>
  <si>
    <t>SH-F2S</t>
  </si>
  <si>
    <t>7999CN</t>
  </si>
  <si>
    <t>VP00080</t>
  </si>
  <si>
    <t>8000CN</t>
  </si>
  <si>
    <t>SH-F4</t>
  </si>
  <si>
    <t>97464B</t>
  </si>
  <si>
    <t>VP00086</t>
  </si>
  <si>
    <t>97467B</t>
  </si>
  <si>
    <t>8071CN</t>
  </si>
  <si>
    <t>VP00078</t>
  </si>
  <si>
    <t>8070CN</t>
  </si>
  <si>
    <t>50360G</t>
  </si>
  <si>
    <t>VP00061</t>
  </si>
  <si>
    <t>50380G</t>
  </si>
  <si>
    <t>Eckert &amp; Ziegler</t>
  </si>
  <si>
    <t>RSM2021-PF-0624</t>
  </si>
  <si>
    <t>1741-62</t>
  </si>
  <si>
    <t>Fuente de Referencia</t>
  </si>
  <si>
    <t>RSM2021-PF-0625</t>
  </si>
  <si>
    <t>RSM2021-PF-EXT009</t>
  </si>
  <si>
    <t>L5-127</t>
  </si>
  <si>
    <t>0946CR</t>
  </si>
  <si>
    <t>VP00009</t>
  </si>
  <si>
    <t>0948CR</t>
  </si>
  <si>
    <t>97418B</t>
  </si>
  <si>
    <t>VP00041</t>
  </si>
  <si>
    <t>97459B</t>
  </si>
  <si>
    <t>50302G</t>
  </si>
  <si>
    <t>VP00040</t>
  </si>
  <si>
    <t>50311G</t>
  </si>
  <si>
    <t>50334G</t>
  </si>
  <si>
    <t>VP00043</t>
  </si>
  <si>
    <t>50340G</t>
  </si>
  <si>
    <t>50256G</t>
  </si>
  <si>
    <t>VP00042</t>
  </si>
  <si>
    <t>50280G</t>
  </si>
  <si>
    <t>3224CN</t>
  </si>
  <si>
    <t>VP00076</t>
  </si>
  <si>
    <t>9890CM</t>
  </si>
  <si>
    <t>50347G</t>
  </si>
  <si>
    <t>VP00053</t>
  </si>
  <si>
    <t>50371G</t>
  </si>
  <si>
    <t>69163G</t>
  </si>
  <si>
    <t>VR00014</t>
  </si>
  <si>
    <t>97438B</t>
  </si>
  <si>
    <t>VP00034</t>
  </si>
  <si>
    <t>97484B</t>
  </si>
  <si>
    <t>97456B</t>
  </si>
  <si>
    <t>VR00039</t>
  </si>
  <si>
    <t>97483B</t>
  </si>
  <si>
    <t>VR00040</t>
  </si>
  <si>
    <t>50260G</t>
  </si>
  <si>
    <t>VP00051</t>
  </si>
  <si>
    <t>50343G</t>
  </si>
  <si>
    <t>1974CO</t>
  </si>
  <si>
    <t>VP00091</t>
  </si>
  <si>
    <t>1981CO</t>
  </si>
  <si>
    <t>1991CO</t>
  </si>
  <si>
    <t>VP00092</t>
  </si>
  <si>
    <t>2000CO</t>
  </si>
  <si>
    <t>69170G</t>
  </si>
  <si>
    <t>VP00096</t>
  </si>
  <si>
    <t>69228G</t>
  </si>
  <si>
    <t>97491B</t>
  </si>
  <si>
    <t>VP00107</t>
  </si>
  <si>
    <t>97492B</t>
  </si>
  <si>
    <t>50310G</t>
  </si>
  <si>
    <t>VP00108</t>
  </si>
  <si>
    <t>KBq</t>
  </si>
  <si>
    <t>R5-443</t>
  </si>
  <si>
    <t>69132G</t>
  </si>
  <si>
    <t>VP00048</t>
  </si>
  <si>
    <t>69135G</t>
  </si>
  <si>
    <t>69244G</t>
  </si>
  <si>
    <t>VR00017</t>
  </si>
  <si>
    <t>69204G</t>
  </si>
  <si>
    <t>VP00006</t>
  </si>
  <si>
    <t>69211G</t>
  </si>
  <si>
    <t>69208G</t>
  </si>
  <si>
    <t>VP00007</t>
  </si>
  <si>
    <t>69196G</t>
  </si>
  <si>
    <t>0952CR</t>
  </si>
  <si>
    <t>VP00008</t>
  </si>
  <si>
    <t>0954CR</t>
  </si>
  <si>
    <t>69187G</t>
  </si>
  <si>
    <t>VP00073</t>
  </si>
  <si>
    <t>69185G</t>
  </si>
  <si>
    <t>97420B</t>
  </si>
  <si>
    <t>VP00088</t>
  </si>
  <si>
    <t>50253G</t>
  </si>
  <si>
    <t>50288G</t>
  </si>
  <si>
    <t>VP00089</t>
  </si>
  <si>
    <t>50365G</t>
  </si>
  <si>
    <t>50278G</t>
  </si>
  <si>
    <t>VP00098</t>
  </si>
  <si>
    <t>69148G</t>
  </si>
  <si>
    <t>69145G</t>
  </si>
  <si>
    <t>VP00099</t>
  </si>
  <si>
    <t>69157G</t>
  </si>
  <si>
    <t>2307CO</t>
  </si>
  <si>
    <t>VP00100</t>
  </si>
  <si>
    <t>2305CO</t>
  </si>
  <si>
    <t>69150G</t>
  </si>
  <si>
    <t>VP00101</t>
  </si>
  <si>
    <t>69252G</t>
  </si>
  <si>
    <t>RSM2023-PF-0799</t>
  </si>
  <si>
    <t>2071-87-3</t>
  </si>
  <si>
    <t>RSM2023-PF-0800</t>
  </si>
  <si>
    <t>1212-75-25</t>
  </si>
  <si>
    <t>69158G</t>
  </si>
  <si>
    <t>0951CR</t>
  </si>
  <si>
    <t>VP00010</t>
  </si>
  <si>
    <t>0953CR</t>
  </si>
  <si>
    <t>50341G</t>
  </si>
  <si>
    <t>VP00038</t>
  </si>
  <si>
    <t>50322G</t>
  </si>
  <si>
    <t>50368G</t>
  </si>
  <si>
    <t>50370G</t>
  </si>
  <si>
    <t>7996CN</t>
  </si>
  <si>
    <t>VP00075</t>
  </si>
  <si>
    <t>7994CN</t>
  </si>
  <si>
    <t>97445B</t>
  </si>
  <si>
    <t>s</t>
  </si>
  <si>
    <t>VP00019</t>
  </si>
  <si>
    <t>69178G</t>
  </si>
  <si>
    <t>69261G</t>
  </si>
  <si>
    <t>VR00023</t>
  </si>
  <si>
    <t>QSA GLOBAL</t>
  </si>
  <si>
    <t>50318G</t>
  </si>
  <si>
    <t>10-AGO-17</t>
  </si>
  <si>
    <t>VP00045</t>
  </si>
  <si>
    <t>50337G</t>
  </si>
  <si>
    <t>69184G</t>
  </si>
  <si>
    <t>VP00018</t>
  </si>
  <si>
    <t>69186G</t>
  </si>
  <si>
    <t>50346G</t>
  </si>
  <si>
    <t>VP00060</t>
  </si>
  <si>
    <t>50352G</t>
  </si>
  <si>
    <t>50328G</t>
  </si>
  <si>
    <t>VP00050</t>
  </si>
  <si>
    <t>97450B</t>
  </si>
  <si>
    <t>50320G</t>
  </si>
  <si>
    <t>VP00052</t>
  </si>
  <si>
    <t>50356G</t>
  </si>
  <si>
    <t>50385G</t>
  </si>
  <si>
    <t>VR00010</t>
  </si>
  <si>
    <t>69248G</t>
  </si>
  <si>
    <t>VP00015</t>
  </si>
  <si>
    <t>69258G</t>
  </si>
  <si>
    <t>50332G</t>
  </si>
  <si>
    <t>VP00057</t>
  </si>
  <si>
    <t>50323G</t>
  </si>
  <si>
    <t>69152G</t>
  </si>
  <si>
    <t>VR00008</t>
  </si>
  <si>
    <t>69171G</t>
  </si>
  <si>
    <t>VP00079</t>
  </si>
  <si>
    <t>69173G</t>
  </si>
  <si>
    <t>DETECTOR 1</t>
  </si>
  <si>
    <t>DETECTOR 2</t>
  </si>
  <si>
    <t>DETECTOR 3</t>
  </si>
  <si>
    <t>DETECTOR 4</t>
  </si>
  <si>
    <t>DETECTOR 5</t>
  </si>
  <si>
    <t>DETECTOR 6</t>
  </si>
  <si>
    <t>DETECTOR 7</t>
  </si>
  <si>
    <t>DETECTOR 8</t>
  </si>
  <si>
    <t>DETECTOR 9</t>
  </si>
  <si>
    <t>DETECTOR 10</t>
  </si>
  <si>
    <t>DETECTOR 11</t>
  </si>
  <si>
    <t>DETECTOR 12</t>
  </si>
  <si>
    <t>DETECTOR 13</t>
  </si>
  <si>
    <t>DETECTOR 14</t>
  </si>
  <si>
    <t>DETECTOR 15</t>
  </si>
  <si>
    <t>DETECTOR 16</t>
  </si>
  <si>
    <t>DETECTOR 17</t>
  </si>
  <si>
    <t>DETECTOR 18</t>
  </si>
  <si>
    <t>DETECTOR 19</t>
  </si>
  <si>
    <t>DETECTOR 20</t>
  </si>
  <si>
    <t>DETECTOR 21</t>
  </si>
  <si>
    <t>DETECTOR 22</t>
  </si>
  <si>
    <t>DETECTOR 23</t>
  </si>
  <si>
    <t>DETECTOR 24</t>
  </si>
  <si>
    <t>DETECTOR 25</t>
  </si>
  <si>
    <t>DETECTOR 26</t>
  </si>
  <si>
    <t>DETECTOR 27</t>
  </si>
  <si>
    <t>DETECTOR 28</t>
  </si>
  <si>
    <t>DETECTOR 29</t>
  </si>
  <si>
    <t>DETECTOR 30</t>
  </si>
  <si>
    <t>DETECTOR 31</t>
  </si>
  <si>
    <t>DETECTOR 32</t>
  </si>
  <si>
    <t>DETECTOR 33</t>
  </si>
  <si>
    <t>DETECTOR 34</t>
  </si>
  <si>
    <t>DETECTOR 35</t>
  </si>
  <si>
    <t>DETECTOR 36</t>
  </si>
  <si>
    <t>DETECTOR 37</t>
  </si>
  <si>
    <t>DETECTOR 38</t>
  </si>
  <si>
    <t>DETECTOR 39</t>
  </si>
  <si>
    <t>DETECTOR 40</t>
  </si>
  <si>
    <t>Marca y Modelo del Detector</t>
  </si>
  <si>
    <t>No. de Serie</t>
  </si>
  <si>
    <t>No. de Certificado</t>
  </si>
  <si>
    <t>Fecha de Calibración</t>
  </si>
  <si>
    <t>Siguiente Fecha de Calibración</t>
  </si>
  <si>
    <t>Estatus</t>
  </si>
  <si>
    <t>Equipo</t>
  </si>
  <si>
    <t>Licencia</t>
  </si>
  <si>
    <t>Tipo</t>
  </si>
  <si>
    <t>No. de serie</t>
  </si>
  <si>
    <t>Fluke Biomedical 451P-RYR</t>
  </si>
  <si>
    <t>124B</t>
  </si>
  <si>
    <t>RSM2024-CAL-11296</t>
  </si>
  <si>
    <t>RSM2024-CAL-11198</t>
  </si>
  <si>
    <t>Fluke Biomedical 451P-DE-SI-RYR</t>
  </si>
  <si>
    <t>311B</t>
  </si>
  <si>
    <t>RSM2025-CAL-11313</t>
  </si>
  <si>
    <t>Atomtex AT1123</t>
  </si>
  <si>
    <t>940A</t>
  </si>
  <si>
    <t>RSM2023-CAL-11022</t>
  </si>
  <si>
    <t>352B</t>
  </si>
  <si>
    <t>RSM2025-CAL-11348</t>
  </si>
  <si>
    <t>428B</t>
  </si>
  <si>
    <t>RSM2025-CAL-11349</t>
  </si>
  <si>
    <t>407B</t>
  </si>
  <si>
    <t>RSM2025-CAL-11350</t>
  </si>
  <si>
    <t>345B</t>
  </si>
  <si>
    <t>RSM2025-CAL-11351</t>
  </si>
  <si>
    <t>380B</t>
  </si>
  <si>
    <t>RSM2025-CAL-11352</t>
  </si>
  <si>
    <t>LUDLUM 14C/44-9</t>
  </si>
  <si>
    <t>235221/PR248364</t>
  </si>
  <si>
    <t>RSM2024-CAL-11247</t>
  </si>
  <si>
    <t>RSM2024-CAL-11290</t>
  </si>
  <si>
    <t>RSM2024-CAL-11291</t>
  </si>
  <si>
    <t>RSM2024-CAL-11292</t>
  </si>
  <si>
    <t>RSM2024-CAL-11303</t>
  </si>
  <si>
    <t>RSM2025-CAL-11400</t>
  </si>
  <si>
    <t>Genstar Electronic GH-1021</t>
  </si>
  <si>
    <t>Genstar Electronic GH-102A</t>
  </si>
  <si>
    <t>RSM2024-CAL-11148</t>
  </si>
  <si>
    <t>RSM2024-CAL-11180</t>
  </si>
  <si>
    <t>Thermo Scientific FH 40 G-L</t>
  </si>
  <si>
    <t>RSM2024-CAL-11181</t>
  </si>
  <si>
    <t>SE INTERNATIONAL Ranger</t>
  </si>
  <si>
    <t>RSM2024-CAL-11182</t>
  </si>
  <si>
    <t>902A</t>
  </si>
  <si>
    <t>RSM2024-CAL-11242</t>
  </si>
  <si>
    <t>RSM2024-CAL-11243</t>
  </si>
  <si>
    <t>Thermo Scientific Rad Eye G</t>
  </si>
  <si>
    <t>RSM2024-CAL-11244</t>
  </si>
  <si>
    <t>Thermo Electron Corporation ESM FH 40 GL</t>
  </si>
  <si>
    <t>RSM2024-CAL-11249</t>
  </si>
  <si>
    <t>RSM2024-CAL-11304</t>
  </si>
  <si>
    <t>RSM2024-CAL-11306</t>
  </si>
  <si>
    <t>RSM2024-CAL-11307</t>
  </si>
  <si>
    <t>RSM2025-CAL-11309</t>
  </si>
  <si>
    <t>224357/PR236665</t>
  </si>
  <si>
    <t>RSM2025-CAL-11310</t>
  </si>
  <si>
    <t>FLUKE BIOMEDICAL 451P-DE-SI-RYR</t>
  </si>
  <si>
    <t>993A</t>
  </si>
  <si>
    <t>RSM2025-CAL-11401</t>
  </si>
  <si>
    <t>101B</t>
  </si>
  <si>
    <t>RSM2025-CAL-11402</t>
  </si>
  <si>
    <t>998A</t>
  </si>
  <si>
    <t>RSM2025-CAL-11403</t>
  </si>
  <si>
    <t>328B</t>
  </si>
  <si>
    <t>RSM2025-CAL-11435</t>
  </si>
  <si>
    <t>RSM2021-CAL-10667</t>
  </si>
  <si>
    <t>Cancun</t>
  </si>
  <si>
    <t>C.I.</t>
  </si>
  <si>
    <t>917A</t>
  </si>
  <si>
    <t>RSM2025-CAL-11429</t>
  </si>
  <si>
    <t>THERMO SCIENTIFIC FH 40 G-L</t>
  </si>
  <si>
    <t>RSM2020-CAL-10503</t>
  </si>
  <si>
    <t>335B</t>
  </si>
  <si>
    <t>RSM2025-CAL-11378</t>
  </si>
  <si>
    <t>333B</t>
  </si>
  <si>
    <t>RSM2025-CAL-11379</t>
  </si>
  <si>
    <t>278B</t>
  </si>
  <si>
    <t>RSM2025-CAL-11380</t>
  </si>
  <si>
    <t>SE INTERNATIONAL MONITOR 1000</t>
  </si>
  <si>
    <t>RSM2025-CAL-11424</t>
  </si>
  <si>
    <t>20/03/2025</t>
  </si>
  <si>
    <t>231118/PR248360</t>
  </si>
  <si>
    <t>RSM2025-CAL-11426</t>
  </si>
  <si>
    <t>936A</t>
  </si>
  <si>
    <t>RSM2024-CAL-11194</t>
  </si>
  <si>
    <t>SE INTERNATIONAL Monitor 1000</t>
  </si>
  <si>
    <t>RSM2024-CAL-11199</t>
  </si>
  <si>
    <t>RSM2024-CAL-11200</t>
  </si>
  <si>
    <t>RSM2024-CAL-11201</t>
  </si>
  <si>
    <t>SE INTERNATIONAL Monitor 5</t>
  </si>
  <si>
    <t>RSM2024-CAL-11250</t>
  </si>
  <si>
    <t>152B</t>
  </si>
  <si>
    <t>RSM2025-CAL-11408</t>
  </si>
  <si>
    <t>153B</t>
  </si>
  <si>
    <t>RSM2025-CAL-11409</t>
  </si>
  <si>
    <t>RSM2023-CAL-10917</t>
  </si>
  <si>
    <t>RSM2023-CAL-10945</t>
  </si>
  <si>
    <t>RSM2023-CAL-10944</t>
  </si>
  <si>
    <t>Guadalajara</t>
  </si>
  <si>
    <t>RSM2024-CAL-11191</t>
  </si>
  <si>
    <t>231018/PR248369</t>
  </si>
  <si>
    <t>RSM2024-CAL-11246</t>
  </si>
  <si>
    <t>RSM2022-CAL-10748</t>
  </si>
  <si>
    <t>RSM2023-CAL-10867</t>
  </si>
  <si>
    <t>RSM2023-CAL-10876</t>
  </si>
  <si>
    <t>RSM2023-CAL-10877</t>
  </si>
  <si>
    <t>211935 / PR222677</t>
  </si>
  <si>
    <t>RSM2023-CAL-10874</t>
  </si>
  <si>
    <t>230092 / pr248378</t>
  </si>
  <si>
    <t>RSM2022-CAL-10755</t>
  </si>
  <si>
    <t>235187 / pr281910</t>
  </si>
  <si>
    <t>RSM2023-CAL-10875</t>
  </si>
  <si>
    <t>RSM2025-CAL-11346</t>
  </si>
  <si>
    <t>RSM2025-CAL-11344</t>
  </si>
  <si>
    <t>RSM2025-CAL-11345</t>
  </si>
  <si>
    <t>RSM2025-CAL-11340</t>
  </si>
  <si>
    <t>908A</t>
  </si>
  <si>
    <t>RSM2025-CAL-11341</t>
  </si>
  <si>
    <t>909A</t>
  </si>
  <si>
    <t>RSM2025-CAL-11342</t>
  </si>
  <si>
    <t>907A</t>
  </si>
  <si>
    <t>RSM2025-CAL-11343</t>
  </si>
  <si>
    <t>RSM2025-CAL-11465</t>
  </si>
  <si>
    <t>RSM2025-CAL-11466</t>
  </si>
  <si>
    <t>RSM2022-CAL-10686</t>
  </si>
  <si>
    <t>910A</t>
  </si>
  <si>
    <t>RSM2025-CAL-11463</t>
  </si>
  <si>
    <t>975A</t>
  </si>
  <si>
    <t>RSM2025-CAL-11464</t>
  </si>
  <si>
    <t>RSM2025-CAL-11480</t>
  </si>
  <si>
    <t>RSM2025-CAL-11469</t>
  </si>
  <si>
    <t>RSM2025-CAL-11472</t>
  </si>
  <si>
    <t>RSM2025-CAL-11470</t>
  </si>
  <si>
    <t>Thermo Scientific FH 40 G-L10</t>
  </si>
  <si>
    <t>RSM2025-CAL-11467</t>
  </si>
  <si>
    <t>RSM2025-CAL-11474</t>
  </si>
  <si>
    <t>RSM2025-CAL-11479</t>
  </si>
  <si>
    <t>RSM2025-CAL-11473</t>
  </si>
  <si>
    <t>RSM2025-CAL-11468</t>
  </si>
  <si>
    <t>Thermo Electron Corporation ESM FH 40 G-L</t>
  </si>
  <si>
    <t>RSM2025-CAL-11471</t>
  </si>
  <si>
    <t>AT1123</t>
  </si>
  <si>
    <t>RSM2025-CAL-11476</t>
  </si>
  <si>
    <t>RSM2025-CAL-11311</t>
  </si>
  <si>
    <t>577B</t>
  </si>
  <si>
    <t>RSM2025-CAL-11314</t>
  </si>
  <si>
    <t>584B</t>
  </si>
  <si>
    <t>RSM2025-CAL-11315</t>
  </si>
  <si>
    <t>591B</t>
  </si>
  <si>
    <t>RSM2025-CAL-11316</t>
  </si>
  <si>
    <t>638B</t>
  </si>
  <si>
    <t>RSM2025-CAL-11317</t>
  </si>
  <si>
    <t>RSM2024-CAL-11146</t>
  </si>
  <si>
    <t>RSM2024-CAL-11147</t>
  </si>
  <si>
    <t>RSM2024-CAL-11170</t>
  </si>
  <si>
    <t>RSM2024-CAL-11179</t>
  </si>
  <si>
    <t>LUDLUM 3/44-38</t>
  </si>
  <si>
    <t>208123/PR212798</t>
  </si>
  <si>
    <t>RSM2024-CAL-11183</t>
  </si>
  <si>
    <t>RSM2024-CAL-11232</t>
  </si>
  <si>
    <t>590B</t>
  </si>
  <si>
    <t>RSM2024-CAL-11241</t>
  </si>
  <si>
    <t>235207/PR248371</t>
  </si>
  <si>
    <t>RSM2024-CAL-11248</t>
  </si>
  <si>
    <t>RSM2024-CAL-11271</t>
  </si>
  <si>
    <t>RSM2024-CAL-11272</t>
  </si>
  <si>
    <t>RSM2024-CAL-11273</t>
  </si>
  <si>
    <t>RSM2024-CAL-11274</t>
  </si>
  <si>
    <t>RSM2024-CAL-11289</t>
  </si>
  <si>
    <t>RSM2025-CAL-11325</t>
  </si>
  <si>
    <t>230114-PR248362</t>
  </si>
  <si>
    <t>RSM2022-CAL-10677</t>
  </si>
  <si>
    <t>RSM2024-CAL-11205</t>
  </si>
  <si>
    <t>RSM2021-CAL-10583</t>
  </si>
  <si>
    <t>211691 / PR222676</t>
  </si>
  <si>
    <t>RSM2021-CAL-10616</t>
  </si>
  <si>
    <t>RSM2019-CAL-10360</t>
  </si>
  <si>
    <t>RSM2024-CAL-11230</t>
  </si>
  <si>
    <t>916A</t>
  </si>
  <si>
    <t>RSM2025-CAL-11318</t>
  </si>
  <si>
    <t>915A</t>
  </si>
  <si>
    <t>RSM2025-CAL-11437</t>
  </si>
  <si>
    <t>913A</t>
  </si>
  <si>
    <t>RSM2025-CAL-11438</t>
  </si>
  <si>
    <t>279B</t>
  </si>
  <si>
    <t>RSM2025-CAL-11449</t>
  </si>
  <si>
    <t>329B</t>
  </si>
  <si>
    <t>RSM2025-CAL-11450</t>
  </si>
  <si>
    <t>301B</t>
  </si>
  <si>
    <t>RSM2025-CAL-11451</t>
  </si>
  <si>
    <t>292B</t>
  </si>
  <si>
    <t>RSM2025-CAL-11452</t>
  </si>
  <si>
    <t>215B</t>
  </si>
  <si>
    <t>RSM2025-CAL-11453</t>
  </si>
  <si>
    <t>307B</t>
  </si>
  <si>
    <t>RSM2025-CAL-11454</t>
  </si>
  <si>
    <t>276B</t>
  </si>
  <si>
    <t>RSM2025-CAL-11455</t>
  </si>
  <si>
    <t>324B</t>
  </si>
  <si>
    <t>RSM2025-CAL-11456</t>
  </si>
  <si>
    <t>277B</t>
  </si>
  <si>
    <t>RSM2025-CAL-11457</t>
  </si>
  <si>
    <t>130B</t>
  </si>
  <si>
    <t>RSM2025-CAL-11458</t>
  </si>
  <si>
    <t>148B</t>
  </si>
  <si>
    <t>RSM2025-CAL-11459</t>
  </si>
  <si>
    <t>136B</t>
  </si>
  <si>
    <t>RSM2025-CAL-11460</t>
  </si>
  <si>
    <t>131B</t>
  </si>
  <si>
    <t>RSM2025-CAL-11461</t>
  </si>
  <si>
    <t>141B</t>
  </si>
  <si>
    <t>RSM2025-CAL-11462</t>
  </si>
  <si>
    <t>RSM2024-CAL-11176</t>
  </si>
  <si>
    <t>RSM2024-CAL-11177</t>
  </si>
  <si>
    <t>973A</t>
  </si>
  <si>
    <t>RSM2024-CAL-11202</t>
  </si>
  <si>
    <t>971A</t>
  </si>
  <si>
    <t>RSM2024-CAL-11203</t>
  </si>
  <si>
    <t>RSM2025-CAL-11399</t>
  </si>
  <si>
    <t>397B</t>
  </si>
  <si>
    <t>RSM2024-CAL-11210</t>
  </si>
  <si>
    <t>416B</t>
  </si>
  <si>
    <t>RSM2024-CAL-11211</t>
  </si>
  <si>
    <t>403B</t>
  </si>
  <si>
    <t>RSM2024-CAL-11212</t>
  </si>
  <si>
    <t>405B</t>
  </si>
  <si>
    <t>RSM2024-CAL-11213</t>
  </si>
  <si>
    <t>408B</t>
  </si>
  <si>
    <t>RSM2024-CAL-11214</t>
  </si>
  <si>
    <t>404B</t>
  </si>
  <si>
    <t>RSM2024-CAL-11215</t>
  </si>
  <si>
    <t>456B</t>
  </si>
  <si>
    <t>RSM2024-CAL-11216</t>
  </si>
  <si>
    <t>532B</t>
  </si>
  <si>
    <t>RSM2024-CAL-11217</t>
  </si>
  <si>
    <t>514B</t>
  </si>
  <si>
    <t>RSM2024-CAL-11218</t>
  </si>
  <si>
    <t>515B</t>
  </si>
  <si>
    <t>RSM2024-CAL-11219</t>
  </si>
  <si>
    <t>550B</t>
  </si>
  <si>
    <t>RSM2024-CAL-11220</t>
  </si>
  <si>
    <t>563B</t>
  </si>
  <si>
    <t>RSM2024-CAL-11221</t>
  </si>
  <si>
    <t>528B</t>
  </si>
  <si>
    <t>RSM2024-CAL-11222</t>
  </si>
  <si>
    <t>502B</t>
  </si>
  <si>
    <t>RSM2024-CAL-11223</t>
  </si>
  <si>
    <t>488B</t>
  </si>
  <si>
    <t>RSM2024-CAL-11224</t>
  </si>
  <si>
    <t>549B</t>
  </si>
  <si>
    <t>RSM2024-CAL-11225</t>
  </si>
  <si>
    <t>513B</t>
  </si>
  <si>
    <t>RSM2024-CAL-11226</t>
  </si>
  <si>
    <t>520B</t>
  </si>
  <si>
    <t>RSM2024-CAL-11227</t>
  </si>
  <si>
    <t>633B</t>
  </si>
  <si>
    <t>RSM2024-CAL-11228</t>
  </si>
  <si>
    <t>637B</t>
  </si>
  <si>
    <t>RSM2024-CAL-11229</t>
  </si>
  <si>
    <t>RSM2024-CAL-11231</t>
  </si>
  <si>
    <t>RSM2024-CAL-11233</t>
  </si>
  <si>
    <t>RSM2024-CAL-11235</t>
  </si>
  <si>
    <t>234297/PR245330</t>
  </si>
  <si>
    <t>RSM2024-CAL-11240</t>
  </si>
  <si>
    <t>RSM2025-CAL-11410</t>
  </si>
  <si>
    <t>RSM2025-CAL-11411</t>
  </si>
  <si>
    <t>RSM2025-CAL-11434</t>
  </si>
  <si>
    <t>RSM2024-CAL-11178</t>
  </si>
  <si>
    <t>508B</t>
  </si>
  <si>
    <t>RSM2025-CAL-11353</t>
  </si>
  <si>
    <t>606B</t>
  </si>
  <si>
    <t>RSM2025-CAL-11354</t>
  </si>
  <si>
    <t>568B</t>
  </si>
  <si>
    <t>RSM2025-CAL-11355</t>
  </si>
  <si>
    <t>516B</t>
  </si>
  <si>
    <t>RSM2025-CAL-11356</t>
  </si>
  <si>
    <t>543B</t>
  </si>
  <si>
    <t>RSM2025-CAL-11357</t>
  </si>
  <si>
    <t>558B</t>
  </si>
  <si>
    <t>RSM2025-CAL-11358</t>
  </si>
  <si>
    <t>RSM2024-CAL-11236</t>
  </si>
  <si>
    <t>RSM2024-CAL-11237</t>
  </si>
  <si>
    <t>SAIC Exploranium</t>
  </si>
  <si>
    <t>RSM2022-CAL-11052</t>
  </si>
  <si>
    <t>RSM2022-CAL-11043</t>
  </si>
  <si>
    <t>920A</t>
  </si>
  <si>
    <t>RSM2022-CAL-11013</t>
  </si>
  <si>
    <t>919A</t>
  </si>
  <si>
    <t>RSM2024-CAL-11196</t>
  </si>
  <si>
    <t>RSM2024-CAL-11197</t>
  </si>
  <si>
    <t>RSM2024-CAL-11206</t>
  </si>
  <si>
    <t>RSM2024-CAL-11234</t>
  </si>
  <si>
    <t>RSM2025-CAL-11319</t>
  </si>
  <si>
    <t>211693/PR222079</t>
  </si>
  <si>
    <t>RSM2025-CAL-11322</t>
  </si>
  <si>
    <t>RSM2025-CAL-11323</t>
  </si>
  <si>
    <t>RSM2025-CAL-11324</t>
  </si>
  <si>
    <t>RSM2025-CAL-11484</t>
  </si>
  <si>
    <t>602B</t>
  </si>
  <si>
    <t>RSM2024-CAL-11275</t>
  </si>
  <si>
    <t>396B</t>
  </si>
  <si>
    <t>RSM2024-CAL-11276</t>
  </si>
  <si>
    <t>402B</t>
  </si>
  <si>
    <t>RSM2024-CAL-11277</t>
  </si>
  <si>
    <t>406B</t>
  </si>
  <si>
    <t>RSM2024-CAL-11278</t>
  </si>
  <si>
    <t>411B</t>
  </si>
  <si>
    <t>RSM2024-CAL-11279</t>
  </si>
  <si>
    <t>450B</t>
  </si>
  <si>
    <t>RSM2024-CAL-11280</t>
  </si>
  <si>
    <t>453B</t>
  </si>
  <si>
    <t>RSM2024-CAL-11281</t>
  </si>
  <si>
    <t>498B</t>
  </si>
  <si>
    <t>RSM2024-CAL-11282</t>
  </si>
  <si>
    <t>505B</t>
  </si>
  <si>
    <t>RSM2024-CAL-11283</t>
  </si>
  <si>
    <t>527B</t>
  </si>
  <si>
    <t>RSM2024-CAL-11284</t>
  </si>
  <si>
    <t>537B</t>
  </si>
  <si>
    <t>RSM2024-CAL-11285</t>
  </si>
  <si>
    <t>548B</t>
  </si>
  <si>
    <t>RSM2024-CAL-11286</t>
  </si>
  <si>
    <t>570B</t>
  </si>
  <si>
    <t>RSM2024-CAL-11287</t>
  </si>
  <si>
    <t>615B</t>
  </si>
  <si>
    <t>RSM2024-CAL-11288</t>
  </si>
  <si>
    <t>RSM2024-CAL-11184</t>
  </si>
  <si>
    <t>RSM2024-CAL-11207</t>
  </si>
  <si>
    <t>RSM2024-CAL-11208</t>
  </si>
  <si>
    <t>RSM2025-CAL-11441</t>
  </si>
  <si>
    <t>918A</t>
  </si>
  <si>
    <t>RSM2025-CAL-11442</t>
  </si>
  <si>
    <t>RSM2024-CAL-11158</t>
  </si>
  <si>
    <t>RSM2024-CAL-11262</t>
  </si>
  <si>
    <t>RSM2024-CAL-11263</t>
  </si>
  <si>
    <t>RSM2024-CAL-11264</t>
  </si>
  <si>
    <t>RSM2024-CAL-11265</t>
  </si>
  <si>
    <t>RSM2024-CAL-11266</t>
  </si>
  <si>
    <t>RSM2024-CAL-11267</t>
  </si>
  <si>
    <t>RSM2024-CAL-11190</t>
  </si>
  <si>
    <t>RSM2024-CAL-11268</t>
  </si>
  <si>
    <t>RSM2024-CAL-11269</t>
  </si>
  <si>
    <t>Bicron Surveyor 2000</t>
  </si>
  <si>
    <t>I089C/I903B</t>
  </si>
  <si>
    <t>RSM2024-CAL-11270</t>
  </si>
  <si>
    <t>RSM2024-CAL-11259</t>
  </si>
  <si>
    <t>RSM2024-CAL-11260</t>
  </si>
  <si>
    <t>491B</t>
  </si>
  <si>
    <t>RSM2025-CAL-11326</t>
  </si>
  <si>
    <t>574B</t>
  </si>
  <si>
    <t>RSM2025-CAL-11327</t>
  </si>
  <si>
    <t>582B</t>
  </si>
  <si>
    <t>RSM2025-CAL-11328</t>
  </si>
  <si>
    <t>586B</t>
  </si>
  <si>
    <t>RSM2025-CAL-11329</t>
  </si>
  <si>
    <t>592B</t>
  </si>
  <si>
    <t>RSM2025-CAL-11330</t>
  </si>
  <si>
    <t>608B</t>
  </si>
  <si>
    <t>RSM2025-CAL-11331</t>
  </si>
  <si>
    <t>492B</t>
  </si>
  <si>
    <t>RSM2025-CAL-11332</t>
  </si>
  <si>
    <t>538B</t>
  </si>
  <si>
    <t>RSM2025-CAL-11333</t>
  </si>
  <si>
    <t>551B</t>
  </si>
  <si>
    <t>RSM2025-CAL-11334</t>
  </si>
  <si>
    <t>541B</t>
  </si>
  <si>
    <t>RSM2025-CAL-11335</t>
  </si>
  <si>
    <t>596B</t>
  </si>
  <si>
    <t>RSM2025-CAL-11336</t>
  </si>
  <si>
    <t>564B</t>
  </si>
  <si>
    <t>RSM2025-CAL-11337</t>
  </si>
  <si>
    <t>448B</t>
  </si>
  <si>
    <t>RSM2025-CAL-11338</t>
  </si>
  <si>
    <t>350B</t>
  </si>
  <si>
    <t>RSM2025-CAL-11339</t>
  </si>
  <si>
    <t>RSM2025-CAL-11359</t>
  </si>
  <si>
    <t>RSM2025-CAL-11360</t>
  </si>
  <si>
    <t>RSM2025-CAL-11361</t>
  </si>
  <si>
    <t>369B</t>
  </si>
  <si>
    <t>RSM2025-CAL-11381</t>
  </si>
  <si>
    <t>442B</t>
  </si>
  <si>
    <t>RSM2025-CAL-11382</t>
  </si>
  <si>
    <t>144B</t>
  </si>
  <si>
    <t>RSM2025-CAL-11383</t>
  </si>
  <si>
    <t>304B</t>
  </si>
  <si>
    <t>RSM2025-CAL-11384</t>
  </si>
  <si>
    <t>271B</t>
  </si>
  <si>
    <t>RSM2025-CAL-11385</t>
  </si>
  <si>
    <t>303B</t>
  </si>
  <si>
    <t>RSM2025-CAL-11386</t>
  </si>
  <si>
    <t>287B</t>
  </si>
  <si>
    <t>RSM2025-CAL-11387</t>
  </si>
  <si>
    <t>296B</t>
  </si>
  <si>
    <t>RSM2025-CAL-11388</t>
  </si>
  <si>
    <t>326B</t>
  </si>
  <si>
    <t>RSM2025-CAL-11389</t>
  </si>
  <si>
    <t>315B</t>
  </si>
  <si>
    <t>RSM2025-CAL-11390</t>
  </si>
  <si>
    <t>284B</t>
  </si>
  <si>
    <t>RSM2025-CAL-11391</t>
  </si>
  <si>
    <t>212B</t>
  </si>
  <si>
    <t>RSM2025-CAL-11392</t>
  </si>
  <si>
    <t>154B</t>
  </si>
  <si>
    <t>RSM2025-CAL-11393</t>
  </si>
  <si>
    <t>149B</t>
  </si>
  <si>
    <t>RSM2025-CAL-11394</t>
  </si>
  <si>
    <t>145B</t>
  </si>
  <si>
    <t>RSM2025-CAL-11395</t>
  </si>
  <si>
    <t>305B</t>
  </si>
  <si>
    <t>RSM2025-CAL-11396</t>
  </si>
  <si>
    <t>294B</t>
  </si>
  <si>
    <t>RSM2025-CAL-11397</t>
  </si>
  <si>
    <t>295B</t>
  </si>
  <si>
    <t>RSM2025-CAL-11398</t>
  </si>
  <si>
    <t>280B</t>
  </si>
  <si>
    <t>RSM2025-CAL-11412</t>
  </si>
  <si>
    <t>156B</t>
  </si>
  <si>
    <t>RSM2025-CAL-11413</t>
  </si>
  <si>
    <t>236B</t>
  </si>
  <si>
    <t>RSM2025-CAL-11414</t>
  </si>
  <si>
    <t>312B</t>
  </si>
  <si>
    <t>RSM2025-CAL-11415</t>
  </si>
  <si>
    <t>286B</t>
  </si>
  <si>
    <t>RSM2025-CAL-11416</t>
  </si>
  <si>
    <t>213B</t>
  </si>
  <si>
    <t>RSM2025-CAL-11417</t>
  </si>
  <si>
    <t>263B</t>
  </si>
  <si>
    <t>RSM2025-CAL-11418</t>
  </si>
  <si>
    <t>309B</t>
  </si>
  <si>
    <t>RSM2025-CAL-11419</t>
  </si>
  <si>
    <t>325B</t>
  </si>
  <si>
    <t>RSM2025-CAL-11420</t>
  </si>
  <si>
    <t>298B</t>
  </si>
  <si>
    <t>RSM2025-CAL-11421</t>
  </si>
  <si>
    <t>283B</t>
  </si>
  <si>
    <t>RSM2025-CAL-11422</t>
  </si>
  <si>
    <t>275B</t>
  </si>
  <si>
    <t>RSM2025-CAL-11423</t>
  </si>
  <si>
    <t>RSM2024-CAL-11169</t>
  </si>
  <si>
    <t>RSM2024-CAL-11305</t>
  </si>
  <si>
    <t>151B</t>
  </si>
  <si>
    <t>RSM2025-CAL-11436</t>
  </si>
  <si>
    <t>978A</t>
  </si>
  <si>
    <t>RSM2025-CAL-11443</t>
  </si>
  <si>
    <t>444A</t>
  </si>
  <si>
    <t>RSM2025-CAL-11481</t>
  </si>
  <si>
    <t>521B</t>
  </si>
  <si>
    <t>RSM2025-CAL-11482</t>
  </si>
  <si>
    <t>378B</t>
  </si>
  <si>
    <t>RSM2024-CAL-11297</t>
  </si>
  <si>
    <t>455B</t>
  </si>
  <si>
    <t>RSM2024-CAL-11298</t>
  </si>
  <si>
    <t>523B</t>
  </si>
  <si>
    <t>RSM2024-CAL-11299</t>
  </si>
  <si>
    <t>531B</t>
  </si>
  <si>
    <t>RSM2024-CAL-11300</t>
  </si>
  <si>
    <t>RSM2024-CAL-11308</t>
  </si>
  <si>
    <t>992A</t>
  </si>
  <si>
    <t>RSM2024-CAL-11159</t>
  </si>
  <si>
    <t>120B</t>
  </si>
  <si>
    <t>RSM2024-CAL-11160</t>
  </si>
  <si>
    <t>121B</t>
  </si>
  <si>
    <t>RSM2024-CAL-11161</t>
  </si>
  <si>
    <t>122B</t>
  </si>
  <si>
    <t>RSM2024-CAL-11162</t>
  </si>
  <si>
    <t>123B</t>
  </si>
  <si>
    <t>RSM2024-CAL-11163</t>
  </si>
  <si>
    <t>125B</t>
  </si>
  <si>
    <t>RSM2024-CAL-11164</t>
  </si>
  <si>
    <t>126B</t>
  </si>
  <si>
    <t>RSM2024-CAL-11165</t>
  </si>
  <si>
    <t>127B</t>
  </si>
  <si>
    <t>RSM2024-CAL-11166</t>
  </si>
  <si>
    <t>128B</t>
  </si>
  <si>
    <t>RSM2024-CAL-11167</t>
  </si>
  <si>
    <t>129B</t>
  </si>
  <si>
    <t>RSM2024-CAL-11168</t>
  </si>
  <si>
    <t>RSM2024-CAL-11293</t>
  </si>
  <si>
    <t>RSM2024-CAL-11294</t>
  </si>
  <si>
    <t>931A</t>
  </si>
  <si>
    <t>RSM2024-CAL-11295</t>
  </si>
  <si>
    <t>RSM2024-CAL-11238</t>
  </si>
  <si>
    <t>989A</t>
  </si>
  <si>
    <t>RSM2024-CAL-11245</t>
  </si>
  <si>
    <t>977A</t>
  </si>
  <si>
    <t>RSM2024-CAL-11204</t>
  </si>
  <si>
    <t>RSM2024-CAL-11239</t>
  </si>
  <si>
    <t>561B</t>
  </si>
  <si>
    <t>RSM2024-CAL-11154</t>
  </si>
  <si>
    <t>569B</t>
  </si>
  <si>
    <t>RSM2024-CAL-11155</t>
  </si>
  <si>
    <t>518B</t>
  </si>
  <si>
    <t>RSM2024-CAL-11156</t>
  </si>
  <si>
    <t>542B</t>
  </si>
  <si>
    <t>RSM2024-CAL-11157</t>
  </si>
  <si>
    <t>RSM2024-CAL-11171</t>
  </si>
  <si>
    <t>RSM2024-CAL-11172</t>
  </si>
  <si>
    <t>RSM2024-CAL-11173</t>
  </si>
  <si>
    <t>RSM2024-CAL-11174</t>
  </si>
  <si>
    <t>RSM2024-CAL-11175</t>
  </si>
  <si>
    <t>400B</t>
  </si>
  <si>
    <t>RSM2024-CAL-11185</t>
  </si>
  <si>
    <t>413B</t>
  </si>
  <si>
    <t>RSM2024-CAL-11186</t>
  </si>
  <si>
    <t>429B</t>
  </si>
  <si>
    <t>RSM2024-CAL-11187</t>
  </si>
  <si>
    <t>449B</t>
  </si>
  <si>
    <t>RSM2024-CAL-11188</t>
  </si>
  <si>
    <t>343B</t>
  </si>
  <si>
    <t>RSM2024-CAL-11189</t>
  </si>
  <si>
    <t>RSM2024-CAL-11193</t>
  </si>
  <si>
    <t>RSM2024-CAL-11195</t>
  </si>
  <si>
    <t>511B</t>
  </si>
  <si>
    <t>RSM2024-CAL-11252</t>
  </si>
  <si>
    <t>539B</t>
  </si>
  <si>
    <t>RSM2024-CAL-11253</t>
  </si>
  <si>
    <t>RSM2024-CAL-11254</t>
  </si>
  <si>
    <t>571B</t>
  </si>
  <si>
    <t>RSM2024-CAL-11255</t>
  </si>
  <si>
    <t>579B</t>
  </si>
  <si>
    <t>RSM2024-CAL-11256</t>
  </si>
  <si>
    <t>624B</t>
  </si>
  <si>
    <t>RSM2024-CAL-11257</t>
  </si>
  <si>
    <t>634B</t>
  </si>
  <si>
    <t>RSM2024-CAL-11258</t>
  </si>
  <si>
    <t>RSM2024-CAL-11301</t>
  </si>
  <si>
    <t>RSM2024-CAL-11302</t>
  </si>
  <si>
    <t>C.C.</t>
  </si>
  <si>
    <t>D.P.</t>
  </si>
  <si>
    <t>G.M.</t>
  </si>
  <si>
    <t>FLIR IdentiFINDER 2</t>
  </si>
  <si>
    <t>C.C. &amp; G.M.</t>
  </si>
  <si>
    <t>SE INTERNATIONAL RANGER</t>
  </si>
  <si>
    <t>SE INTERNATIONAL MONITOR 5</t>
  </si>
  <si>
    <t>Nombre</t>
  </si>
  <si>
    <t>Dosimetro</t>
  </si>
  <si>
    <t>Clave (C.N.S.N.S.)</t>
  </si>
  <si>
    <t>Incluidos en Mazatlán</t>
  </si>
  <si>
    <t>TOTAL POE´s</t>
  </si>
  <si>
    <t>ACUÑA 1</t>
  </si>
  <si>
    <t xml:space="preserve">Avena Lima Miguel Angel </t>
  </si>
  <si>
    <t>Sin Registro</t>
  </si>
  <si>
    <t>ACUÑA 2</t>
  </si>
  <si>
    <t xml:space="preserve">Bautista Franco Miguel Angel </t>
  </si>
  <si>
    <t>POE</t>
  </si>
  <si>
    <t>SI</t>
  </si>
  <si>
    <t>Vigente</t>
  </si>
  <si>
    <t>Completo</t>
  </si>
  <si>
    <t>ASTROPHISICS</t>
  </si>
  <si>
    <t>ACUÑA 3</t>
  </si>
  <si>
    <t>Bravo Martinez Saul Antonio</t>
  </si>
  <si>
    <t>CONSTANCIA DE CREDITOS</t>
  </si>
  <si>
    <t>ACUÑA 4</t>
  </si>
  <si>
    <t>Ramirez Martinez Yuilma Gisel</t>
  </si>
  <si>
    <t>ESR</t>
  </si>
  <si>
    <t>Si</t>
  </si>
  <si>
    <t>ACUÑA 5</t>
  </si>
  <si>
    <t>ACUÑA 6</t>
  </si>
  <si>
    <t>ACUÑA 7</t>
  </si>
  <si>
    <t>ACUÑA 8</t>
  </si>
  <si>
    <t>ACUÑA 9</t>
  </si>
  <si>
    <t>ACUÑA 10</t>
  </si>
  <si>
    <t>ACUÑA 11</t>
  </si>
  <si>
    <t>ACUÑA 12</t>
  </si>
  <si>
    <t>ACUÑA 13</t>
  </si>
  <si>
    <t>ACUÑA 14</t>
  </si>
  <si>
    <t>ACUÑA 15</t>
  </si>
  <si>
    <t>ACUÑA 16</t>
  </si>
  <si>
    <t>ACUÑA 17</t>
  </si>
  <si>
    <t>ACUÑA 18</t>
  </si>
  <si>
    <t>ACUÑA 19</t>
  </si>
  <si>
    <t>ACUÑA 20</t>
  </si>
  <si>
    <t>ACUÑA 21</t>
  </si>
  <si>
    <t>ACUÑA 22</t>
  </si>
  <si>
    <t>ACUÑA 23</t>
  </si>
  <si>
    <t>ACUÑA 24</t>
  </si>
  <si>
    <t>ACUÑA 25</t>
  </si>
  <si>
    <t>ACUÑA 26</t>
  </si>
  <si>
    <t>ACUÑA 27</t>
  </si>
  <si>
    <t>ACUÑA 28</t>
  </si>
  <si>
    <t>ACUÑA 29</t>
  </si>
  <si>
    <t>ACUÑA 30</t>
  </si>
  <si>
    <t>ACUÑA 31</t>
  </si>
  <si>
    <t>ACUÑA 32</t>
  </si>
  <si>
    <t>ACUÑA 33</t>
  </si>
  <si>
    <t>ACUÑA 34</t>
  </si>
  <si>
    <t>ACUÑA 35</t>
  </si>
  <si>
    <t>ACUÑA 36</t>
  </si>
  <si>
    <t>ACUÑA 37</t>
  </si>
  <si>
    <t>ACUÑA 38</t>
  </si>
  <si>
    <t>ACUÑA 39</t>
  </si>
  <si>
    <t>ACUÑA 40</t>
  </si>
  <si>
    <t>ACUÑA 41</t>
  </si>
  <si>
    <t>ACUÑA 42</t>
  </si>
  <si>
    <t>ACUÑA 43</t>
  </si>
  <si>
    <t>ACUÑA 44</t>
  </si>
  <si>
    <t>ACUÑA 45</t>
  </si>
  <si>
    <t>ACUÑA 46</t>
  </si>
  <si>
    <t>ACUÑA 47</t>
  </si>
  <si>
    <t>ACUÑA 48</t>
  </si>
  <si>
    <t>ACUÑA 49</t>
  </si>
  <si>
    <t>ACUÑA 50</t>
  </si>
  <si>
    <t>ACUÑA 51</t>
  </si>
  <si>
    <t>ACUÑA 52</t>
  </si>
  <si>
    <t>ACUÑA 53</t>
  </si>
  <si>
    <t>ACUÑA 54</t>
  </si>
  <si>
    <t>ACUÑA 55</t>
  </si>
  <si>
    <t>ACUÑA 56</t>
  </si>
  <si>
    <t>ACUÑA 57</t>
  </si>
  <si>
    <t>ACUÑA 58</t>
  </si>
  <si>
    <t>ACUÑA 59</t>
  </si>
  <si>
    <t>ACUÑA 60</t>
  </si>
  <si>
    <t>ACUÑA 61</t>
  </si>
  <si>
    <t>ACUÑA 62</t>
  </si>
  <si>
    <t>ACUÑA 63</t>
  </si>
  <si>
    <t>ACUÑA 64</t>
  </si>
  <si>
    <t>ACUÑA 65</t>
  </si>
  <si>
    <t>ACUÑA 66</t>
  </si>
  <si>
    <t>ACUÑA 67</t>
  </si>
  <si>
    <t>ACUÑA 68</t>
  </si>
  <si>
    <t>ACUÑA 69</t>
  </si>
  <si>
    <t>ACUÑA 70</t>
  </si>
  <si>
    <t>ACUÑA 71</t>
  </si>
  <si>
    <t>ACUÑA 72</t>
  </si>
  <si>
    <t>ACUÑA 73</t>
  </si>
  <si>
    <t>ACUÑA 74</t>
  </si>
  <si>
    <t>ACUÑA 75</t>
  </si>
  <si>
    <t>ACUÑA 76</t>
  </si>
  <si>
    <t>ACUÑA 77</t>
  </si>
  <si>
    <t>ACUÑA 78</t>
  </si>
  <si>
    <t>ACUÑA 79</t>
  </si>
  <si>
    <t>ACUÑA 80</t>
  </si>
  <si>
    <t>AGUA PRIETA 1</t>
  </si>
  <si>
    <t>Ibanez Hernandez Dagoberto</t>
  </si>
  <si>
    <t>NO</t>
  </si>
  <si>
    <t>Apendice ByC no llenos-c/historial aparte-falta firma RL</t>
  </si>
  <si>
    <t>AGUA PRIETA 2</t>
  </si>
  <si>
    <t xml:space="preserve">Nava Morales Ivan </t>
  </si>
  <si>
    <t>AGUA PRIETA 3</t>
  </si>
  <si>
    <t>Parra Aguiar Irving Arland</t>
  </si>
  <si>
    <t>AGUA PRIETA 4</t>
  </si>
  <si>
    <t>Verazaluce Sanchez Manuel Alejandro</t>
  </si>
  <si>
    <t>AGUA PRIETA 5</t>
  </si>
  <si>
    <t>AGUA PRIETA 6</t>
  </si>
  <si>
    <t>AGUA PRIETA 7</t>
  </si>
  <si>
    <t>AGUA PRIETA 8</t>
  </si>
  <si>
    <t>AGUA PRIETA 9</t>
  </si>
  <si>
    <t>AGUA PRIETA 10</t>
  </si>
  <si>
    <t>AGUA PRIETA 11</t>
  </si>
  <si>
    <t>AGUA PRIETA 12</t>
  </si>
  <si>
    <t>AGUA PRIETA 13</t>
  </si>
  <si>
    <t>AGUA PRIETA 14</t>
  </si>
  <si>
    <t>AGUA PRIETA 15</t>
  </si>
  <si>
    <t>AGUA PRIETA 16</t>
  </si>
  <si>
    <t>AGUA PRIETA 17</t>
  </si>
  <si>
    <t>AGUA PRIETA 18</t>
  </si>
  <si>
    <t>AGUA PRIETA 19</t>
  </si>
  <si>
    <t>AGUA PRIETA 20</t>
  </si>
  <si>
    <t>AGUA PRIETA 21</t>
  </si>
  <si>
    <t>AGUA PRIETA 22</t>
  </si>
  <si>
    <t>AGUA PRIETA 23</t>
  </si>
  <si>
    <t>AGUA PRIETA 24</t>
  </si>
  <si>
    <t>AGUA PRIETA 25</t>
  </si>
  <si>
    <t>AGUA PRIETA 26</t>
  </si>
  <si>
    <t>AGUA PRIETA 27</t>
  </si>
  <si>
    <t>AGUA PRIETA 28</t>
  </si>
  <si>
    <t>AGUA PRIETA 29</t>
  </si>
  <si>
    <t>AGUA PRIETA 30</t>
  </si>
  <si>
    <t>AGUA PRIETA 31</t>
  </si>
  <si>
    <t>AGUA PRIETA 32</t>
  </si>
  <si>
    <t>AGUA PRIETA 33</t>
  </si>
  <si>
    <t>AGUA PRIETA 34</t>
  </si>
  <si>
    <t>AGUA PRIETA 35</t>
  </si>
  <si>
    <t>AGUA PRIETA 36</t>
  </si>
  <si>
    <t>AGUA PRIETA 37</t>
  </si>
  <si>
    <t>AGUA PRIETA 38</t>
  </si>
  <si>
    <t>AGUA PRIETA 39</t>
  </si>
  <si>
    <t>AGUA PRIETA 40</t>
  </si>
  <si>
    <t>AGUA PRIETA 41</t>
  </si>
  <si>
    <t>AGUA PRIETA 42</t>
  </si>
  <si>
    <t>AGUA PRIETA 43</t>
  </si>
  <si>
    <t>AGUA PRIETA 44</t>
  </si>
  <si>
    <t>AGUA PRIETA 45</t>
  </si>
  <si>
    <t>AGUA PRIETA 46</t>
  </si>
  <si>
    <t>AGUA PRIETA 47</t>
  </si>
  <si>
    <t>AGUA PRIETA 48</t>
  </si>
  <si>
    <t>AGUA PRIETA 49</t>
  </si>
  <si>
    <t>AGUA PRIETA 50</t>
  </si>
  <si>
    <t>AGUA PRIETA 51</t>
  </si>
  <si>
    <t>AGUA PRIETA 52</t>
  </si>
  <si>
    <t>AGUA PRIETA 53</t>
  </si>
  <si>
    <t>AGUA PRIETA 54</t>
  </si>
  <si>
    <t>AGUA PRIETA 55</t>
  </si>
  <si>
    <t>AGUA PRIETA 56</t>
  </si>
  <si>
    <t>AGUA PRIETA 57</t>
  </si>
  <si>
    <t>AGUA PRIETA 58</t>
  </si>
  <si>
    <t>AGUA PRIETA 59</t>
  </si>
  <si>
    <t>AGUA PRIETA 60</t>
  </si>
  <si>
    <t>AGUA PRIETA 61</t>
  </si>
  <si>
    <t>AGUA PRIETA 62</t>
  </si>
  <si>
    <t>AGUA PRIETA 63</t>
  </si>
  <si>
    <t>AGUA PRIETA 64</t>
  </si>
  <si>
    <t>AGUA PRIETA 65</t>
  </si>
  <si>
    <t>AGUA PRIETA 66</t>
  </si>
  <si>
    <t>AGUA PRIETA 67</t>
  </si>
  <si>
    <t>AGUA PRIETA 68</t>
  </si>
  <si>
    <t>AGUA PRIETA 69</t>
  </si>
  <si>
    <t>AGUA PRIETA 70</t>
  </si>
  <si>
    <t>AGUA PRIETA 71</t>
  </si>
  <si>
    <t>AGUA PRIETA 72</t>
  </si>
  <si>
    <t>AGUA PRIETA 73</t>
  </si>
  <si>
    <t>AGUA PRIETA 74</t>
  </si>
  <si>
    <t>AGUA PRIETA 75</t>
  </si>
  <si>
    <t>AGUA PRIETA 76</t>
  </si>
  <si>
    <t>AGUA PRIETA 77</t>
  </si>
  <si>
    <t>AGUA PRIETA 78</t>
  </si>
  <si>
    <t>AGUA PRIETA 79</t>
  </si>
  <si>
    <t>AGUA PRIETA 80</t>
  </si>
  <si>
    <t>AICM 1</t>
  </si>
  <si>
    <t xml:space="preserve">Aguilar Valdez Manuel </t>
  </si>
  <si>
    <t>AICM 2</t>
  </si>
  <si>
    <t xml:space="preserve">Cruz Ayala Elvia </t>
  </si>
  <si>
    <t>AICM 3</t>
  </si>
  <si>
    <t xml:space="preserve">Gutierrez Arias Irving Daniel </t>
  </si>
  <si>
    <t>AICM 4</t>
  </si>
  <si>
    <t xml:space="preserve">Hernandez Marin Francisca </t>
  </si>
  <si>
    <t>AICM 5</t>
  </si>
  <si>
    <t xml:space="preserve">Lopez Lopez Tania Guadalupe </t>
  </si>
  <si>
    <t>AICM 6</t>
  </si>
  <si>
    <t xml:space="preserve">Maldonado Sanchez Heber </t>
  </si>
  <si>
    <t>AICM 7</t>
  </si>
  <si>
    <t xml:space="preserve">Martinez Fernandez Raul Eduardo </t>
  </si>
  <si>
    <t>AICM 8</t>
  </si>
  <si>
    <t xml:space="preserve">Martinez Mondragon Carlos Isaias </t>
  </si>
  <si>
    <t>AICM 9</t>
  </si>
  <si>
    <t xml:space="preserve">Moreno Maldonado Victor Hugo </t>
  </si>
  <si>
    <t>AICM 10</t>
  </si>
  <si>
    <t xml:space="preserve">Olan De La Rosa Franklin </t>
  </si>
  <si>
    <t>AICM 11</t>
  </si>
  <si>
    <t xml:space="preserve">Palomino Mendez Maria De Jesus </t>
  </si>
  <si>
    <t>AICM 12</t>
  </si>
  <si>
    <t xml:space="preserve">Rivera Perez Pedro </t>
  </si>
  <si>
    <t>AICM 13</t>
  </si>
  <si>
    <t>Samano Miranda Ulises</t>
  </si>
  <si>
    <t>AICM 14</t>
  </si>
  <si>
    <t xml:space="preserve">Toscano Romero Juan Antonio </t>
  </si>
  <si>
    <t>AICM 15</t>
  </si>
  <si>
    <t xml:space="preserve">Vargas Cruz Emmanuel </t>
  </si>
  <si>
    <t>AICM 16</t>
  </si>
  <si>
    <t>AICM 17</t>
  </si>
  <si>
    <t>AICM 18</t>
  </si>
  <si>
    <t>AICM 19</t>
  </si>
  <si>
    <t>AICM 20</t>
  </si>
  <si>
    <t>AICM 21</t>
  </si>
  <si>
    <t>AICM 22</t>
  </si>
  <si>
    <t>AICM 23</t>
  </si>
  <si>
    <t>AICM 24</t>
  </si>
  <si>
    <t>AICM 25</t>
  </si>
  <si>
    <t>AICM 26</t>
  </si>
  <si>
    <t>AICM 27</t>
  </si>
  <si>
    <t>AICM 28</t>
  </si>
  <si>
    <t>AICM 29</t>
  </si>
  <si>
    <t>AICM 30</t>
  </si>
  <si>
    <t>AICM 31</t>
  </si>
  <si>
    <t>AICM 32</t>
  </si>
  <si>
    <t>AICM 33</t>
  </si>
  <si>
    <t>AICM 34</t>
  </si>
  <si>
    <t>AICM 35</t>
  </si>
  <si>
    <t>AICM 36</t>
  </si>
  <si>
    <t>AICM 37</t>
  </si>
  <si>
    <t>AICM 38</t>
  </si>
  <si>
    <t>AICM 39</t>
  </si>
  <si>
    <t>AICM 40</t>
  </si>
  <si>
    <t>AICM 41</t>
  </si>
  <si>
    <t>AICM 42</t>
  </si>
  <si>
    <t>AICM 43</t>
  </si>
  <si>
    <t>AICM 44</t>
  </si>
  <si>
    <t>AICM 45</t>
  </si>
  <si>
    <t>AICM 46</t>
  </si>
  <si>
    <t>AICM 47</t>
  </si>
  <si>
    <t>AICM 48</t>
  </si>
  <si>
    <t>AICM 49</t>
  </si>
  <si>
    <t>AICM 50</t>
  </si>
  <si>
    <t>AICM 51</t>
  </si>
  <si>
    <t>AICM 52</t>
  </si>
  <si>
    <t>AICM 53</t>
  </si>
  <si>
    <t>AICM 54</t>
  </si>
  <si>
    <t>AICM 55</t>
  </si>
  <si>
    <t>AICM 56</t>
  </si>
  <si>
    <t>AICM 57</t>
  </si>
  <si>
    <t>AICM 58</t>
  </si>
  <si>
    <t>AICM 59</t>
  </si>
  <si>
    <t>AICM 60</t>
  </si>
  <si>
    <t>AICM 61</t>
  </si>
  <si>
    <t>AICM 62</t>
  </si>
  <si>
    <t>AICM 63</t>
  </si>
  <si>
    <t>AICM 64</t>
  </si>
  <si>
    <t>AICM 65</t>
  </si>
  <si>
    <t>AICM 66</t>
  </si>
  <si>
    <t>AICM 67</t>
  </si>
  <si>
    <t>AICM 68</t>
  </si>
  <si>
    <t>AICM 69</t>
  </si>
  <si>
    <t>AICM 70</t>
  </si>
  <si>
    <t>AICM 71</t>
  </si>
  <si>
    <t>AICM 72</t>
  </si>
  <si>
    <t>AICM 73</t>
  </si>
  <si>
    <t>AICM 74</t>
  </si>
  <si>
    <t>AICM 75</t>
  </si>
  <si>
    <t>AICM 76</t>
  </si>
  <si>
    <t>AICM 77</t>
  </si>
  <si>
    <t>AICM 78</t>
  </si>
  <si>
    <t>AICM 79</t>
  </si>
  <si>
    <t>AICM 80</t>
  </si>
  <si>
    <t>AIFA 1</t>
  </si>
  <si>
    <t xml:space="preserve">Abidan Martinez Eliacib </t>
  </si>
  <si>
    <t>AIFA 2</t>
  </si>
  <si>
    <t xml:space="preserve">Acosta Rivas Alejandra </t>
  </si>
  <si>
    <t>AIFA 3</t>
  </si>
  <si>
    <t xml:space="preserve">Ambros Toto Hector </t>
  </si>
  <si>
    <t>AIFA 4</t>
  </si>
  <si>
    <t xml:space="preserve">Apolonio Cisneros Brandon </t>
  </si>
  <si>
    <t>AIFA 5</t>
  </si>
  <si>
    <t xml:space="preserve">Arambula Briseo Jaime </t>
  </si>
  <si>
    <t>AIFA 6</t>
  </si>
  <si>
    <t xml:space="preserve">Aranza Rivera Carlos Miguel </t>
  </si>
  <si>
    <t>AIFA 7</t>
  </si>
  <si>
    <t xml:space="preserve">Arroyo Maya Eli </t>
  </si>
  <si>
    <t>AIFA 8</t>
  </si>
  <si>
    <t xml:space="preserve">Barrera Garrido Elizabeth </t>
  </si>
  <si>
    <t>AIFA 9</t>
  </si>
  <si>
    <t xml:space="preserve">Barrera Mendez Kateryne Dayanara </t>
  </si>
  <si>
    <t>AIFA 10</t>
  </si>
  <si>
    <t xml:space="preserve">Beltran Teran Hugo Jaciel </t>
  </si>
  <si>
    <t>AIFA 11</t>
  </si>
  <si>
    <t xml:space="preserve">Cab Chan Manuel Agustin </t>
  </si>
  <si>
    <t>AIFA 12</t>
  </si>
  <si>
    <t xml:space="preserve">Cantera Perez Apolinar </t>
  </si>
  <si>
    <t>AIFA 13</t>
  </si>
  <si>
    <t xml:space="preserve">Castillo Mendez Jordi </t>
  </si>
  <si>
    <t>AIFA 14</t>
  </si>
  <si>
    <t xml:space="preserve">Cervantes Gutierrez Adolfo </t>
  </si>
  <si>
    <t>AIFA 15</t>
  </si>
  <si>
    <t xml:space="preserve">Cruz Carrillo Cristian </t>
  </si>
  <si>
    <t>AIFA 16</t>
  </si>
  <si>
    <t xml:space="preserve">Cruz Mendez Salli Janeth </t>
  </si>
  <si>
    <t>AIFA 17</t>
  </si>
  <si>
    <t xml:space="preserve">Cruz Sandoval Julio Cesar </t>
  </si>
  <si>
    <t>AIFA 18</t>
  </si>
  <si>
    <t xml:space="preserve">Cruz Vasquez Judith Fernanda </t>
  </si>
  <si>
    <t>AIFA 19</t>
  </si>
  <si>
    <t xml:space="preserve">Diaz Armengol Josue </t>
  </si>
  <si>
    <t>AIFA 20</t>
  </si>
  <si>
    <t xml:space="preserve">Espejel Rojas Ricardo </t>
  </si>
  <si>
    <t>AIFA 21</t>
  </si>
  <si>
    <t xml:space="preserve">Flores Flores Gil Manuel </t>
  </si>
  <si>
    <t>AIFA 22</t>
  </si>
  <si>
    <t xml:space="preserve">Garcia Coronel Sandra </t>
  </si>
  <si>
    <t>AIFA 23</t>
  </si>
  <si>
    <t xml:space="preserve">Garcia Hernandez Cristian Antonio </t>
  </si>
  <si>
    <t>AIFA 24</t>
  </si>
  <si>
    <t xml:space="preserve">Gonzalez Miguel Gonzalo </t>
  </si>
  <si>
    <t>AIFA 25</t>
  </si>
  <si>
    <t xml:space="preserve">Gonzalez Santiago Jesus </t>
  </si>
  <si>
    <t>AIFA 26</t>
  </si>
  <si>
    <t xml:space="preserve">Gutierrez Pedro Gustavo Angel </t>
  </si>
  <si>
    <t>AIFA 27</t>
  </si>
  <si>
    <t xml:space="preserve">Hernandez Arias Lizbeth Anahi </t>
  </si>
  <si>
    <t>AIFA 28</t>
  </si>
  <si>
    <t xml:space="preserve">Hinojos Mata Erik Gustavo </t>
  </si>
  <si>
    <t>AIFA 29</t>
  </si>
  <si>
    <t xml:space="preserve">Juarez Cruz Nicolas </t>
  </si>
  <si>
    <t>AIFA 30</t>
  </si>
  <si>
    <t xml:space="preserve">Lopez Ruiz Felipe Alberto </t>
  </si>
  <si>
    <t>AIFA 31</t>
  </si>
  <si>
    <t xml:space="preserve">Mandujano Cruz Emmanuel </t>
  </si>
  <si>
    <t>AIFA 32</t>
  </si>
  <si>
    <t xml:space="preserve">Martinez Santos Esteban </t>
  </si>
  <si>
    <t>AIFA 33</t>
  </si>
  <si>
    <t xml:space="preserve">Molina Trejo Ana Guillermina </t>
  </si>
  <si>
    <t>AIFA 34</t>
  </si>
  <si>
    <t xml:space="preserve">Murga Ramos Alondra Amelia </t>
  </si>
  <si>
    <t>AIFA 35</t>
  </si>
  <si>
    <t xml:space="preserve">Nuez Gutierrez Horacio </t>
  </si>
  <si>
    <t>AIFA 36</t>
  </si>
  <si>
    <t xml:space="preserve">Ramirez Ramirez Adriana </t>
  </si>
  <si>
    <t>AIFA 37</t>
  </si>
  <si>
    <t xml:space="preserve">Rojas Jimenez Catalina Citlali </t>
  </si>
  <si>
    <t>AIFA 38</t>
  </si>
  <si>
    <t xml:space="preserve">Rosales Muoz Kevin Uriel </t>
  </si>
  <si>
    <t>AIFA 39</t>
  </si>
  <si>
    <t xml:space="preserve">Segura Marin Jennifer Itzayana </t>
  </si>
  <si>
    <t>AIFA 40</t>
  </si>
  <si>
    <t>AIFA 41</t>
  </si>
  <si>
    <t>AIFA 42</t>
  </si>
  <si>
    <t>AIFA 43</t>
  </si>
  <si>
    <t>AIFA 44</t>
  </si>
  <si>
    <t>AIFA 45</t>
  </si>
  <si>
    <t>AIFA 46</t>
  </si>
  <si>
    <t>AIFA 47</t>
  </si>
  <si>
    <t>AIFA 48</t>
  </si>
  <si>
    <t>AIFA 49</t>
  </si>
  <si>
    <t>AIFA 50</t>
  </si>
  <si>
    <t>AIFA 51</t>
  </si>
  <si>
    <t>AIFA 52</t>
  </si>
  <si>
    <t>AIFA 53</t>
  </si>
  <si>
    <t>AIFA 54</t>
  </si>
  <si>
    <t>AIFA 55</t>
  </si>
  <si>
    <t>AIFA 56</t>
  </si>
  <si>
    <t>AIFA 57</t>
  </si>
  <si>
    <t>AIFA 58</t>
  </si>
  <si>
    <t>AIFA 59</t>
  </si>
  <si>
    <t>AIFA 60</t>
  </si>
  <si>
    <t>AIFA 61</t>
  </si>
  <si>
    <t>AIFA 62</t>
  </si>
  <si>
    <t>AIFA 63</t>
  </si>
  <si>
    <t>AIFA 64</t>
  </si>
  <si>
    <t>AIFA 65</t>
  </si>
  <si>
    <t>AIFA 66</t>
  </si>
  <si>
    <t>AIFA 67</t>
  </si>
  <si>
    <t>AIFA 68</t>
  </si>
  <si>
    <t>AIFA 69</t>
  </si>
  <si>
    <t>AIFA 70</t>
  </si>
  <si>
    <t>AIFA 71</t>
  </si>
  <si>
    <t>AIFA 72</t>
  </si>
  <si>
    <t>AIFA 73</t>
  </si>
  <si>
    <t>AIFA 74</t>
  </si>
  <si>
    <t>AIFA 75</t>
  </si>
  <si>
    <t>AIFA 76</t>
  </si>
  <si>
    <t>AIFA 77</t>
  </si>
  <si>
    <t>AIFA 78</t>
  </si>
  <si>
    <t>AIFA 79</t>
  </si>
  <si>
    <t>AIFA 80</t>
  </si>
  <si>
    <t>ALTAMIRA 1</t>
  </si>
  <si>
    <t xml:space="preserve">Avalos Mendez Claudia Alexandra </t>
  </si>
  <si>
    <t>ALTAMIRA 2</t>
  </si>
  <si>
    <t xml:space="preserve">Becerra Poot Monica </t>
  </si>
  <si>
    <t>ALTAMIRA 3</t>
  </si>
  <si>
    <t xml:space="preserve">Castillo Zarate Pedro Alberto </t>
  </si>
  <si>
    <t>ALTAMIRA 4</t>
  </si>
  <si>
    <t>Cervantes Morgado Manuel</t>
  </si>
  <si>
    <t>INE NO LEGIBLE</t>
  </si>
  <si>
    <t>VACIS PORTAL</t>
  </si>
  <si>
    <t>ALTAMIRA 5</t>
  </si>
  <si>
    <t xml:space="preserve">Chao Pedraza Carlos Alberto </t>
  </si>
  <si>
    <t>ALTAMIRA 6</t>
  </si>
  <si>
    <t>Cruz Hernandez Griselda</t>
  </si>
  <si>
    <t>26-ABR-23</t>
  </si>
  <si>
    <t>VENCIDA</t>
  </si>
  <si>
    <t>ALTAMIRA 7</t>
  </si>
  <si>
    <t>Diaz Rodriguez Sergio</t>
  </si>
  <si>
    <t>25-ABR-23</t>
  </si>
  <si>
    <t>ALTAMIRA 8</t>
  </si>
  <si>
    <t xml:space="preserve">Fernando Nino David </t>
  </si>
  <si>
    <t>ALTAMIRA 9</t>
  </si>
  <si>
    <t>Flores Rodriguez Mayra</t>
  </si>
  <si>
    <t>CARTA PASANTE</t>
  </si>
  <si>
    <t>THSCAN</t>
  </si>
  <si>
    <t>ALTAMIRA 10</t>
  </si>
  <si>
    <t>Gallegos Lazaro Estephania Yulieth</t>
  </si>
  <si>
    <t>CONSTANCIA</t>
  </si>
  <si>
    <t>ALTAMIRA 11</t>
  </si>
  <si>
    <t>Gomez Trejo David Abraham</t>
  </si>
  <si>
    <t>Vencida</t>
  </si>
  <si>
    <t>ALTAMIRA 12</t>
  </si>
  <si>
    <t>Gonzalez Garcia Jose Antonio</t>
  </si>
  <si>
    <t>CONSTANCIA CALIF DE CIENCIAS SOC Y HUM</t>
  </si>
  <si>
    <t>ALTAMIRA 13</t>
  </si>
  <si>
    <t>Gonzalez Perez Federico</t>
  </si>
  <si>
    <t>ALTAMIRA 14</t>
  </si>
  <si>
    <t xml:space="preserve">Gonzalez Silva Maria De Los Angele </t>
  </si>
  <si>
    <t>ALTAMIRA 15</t>
  </si>
  <si>
    <t>Gonzalez Trejo Maria Guadalupe</t>
  </si>
  <si>
    <t>ALTAMIRA 16</t>
  </si>
  <si>
    <t>Guzman Perez Jose Alfredo</t>
  </si>
  <si>
    <t>ALTAMIRA 17</t>
  </si>
  <si>
    <t xml:space="preserve">Lopez Tzab Leydi </t>
  </si>
  <si>
    <t>ALTAMIRA 18</t>
  </si>
  <si>
    <t xml:space="preserve">Lopez Velarde Maria Juana </t>
  </si>
  <si>
    <t>ALTAMIRA 19</t>
  </si>
  <si>
    <t xml:space="preserve">Mac Butchart Avalos Maria Guadalupe </t>
  </si>
  <si>
    <t>ALTAMIRA 20</t>
  </si>
  <si>
    <t>Medina Reyes Cristina Alma</t>
  </si>
  <si>
    <t>ALTAMIRA 21</t>
  </si>
  <si>
    <t>Narro Prieto Oscar Ronaldo</t>
  </si>
  <si>
    <t>ALTAMIRA 22</t>
  </si>
  <si>
    <t>Poot Lopez Pedro Jose</t>
  </si>
  <si>
    <t>TITULO EN DERECHO</t>
  </si>
  <si>
    <t>ALTAMIRA 23</t>
  </si>
  <si>
    <t>Reyna Perez Leticia</t>
  </si>
  <si>
    <t>ALTAMIRA 24</t>
  </si>
  <si>
    <t>Ruiseor Martinez Omara</t>
  </si>
  <si>
    <t>ALTAMIRA 25</t>
  </si>
  <si>
    <t>Sanchez Casango Ignacio</t>
  </si>
  <si>
    <t>BACHILLERATO</t>
  </si>
  <si>
    <t>INE CON FOTO NO LEGIBLE</t>
  </si>
  <si>
    <t>ALTAMIRA 26</t>
  </si>
  <si>
    <t>Santos Hernandez Daniel De Jesus</t>
  </si>
  <si>
    <t>ALTAMIRA 27</t>
  </si>
  <si>
    <t>Varela Gonzalez Karla Cristina</t>
  </si>
  <si>
    <t>AUX ESR</t>
  </si>
  <si>
    <t>24-ABR-23</t>
  </si>
  <si>
    <t>FOTO DE INE</t>
  </si>
  <si>
    <t>ALTAMIRA 28</t>
  </si>
  <si>
    <t xml:space="preserve">Vazquez Alvarez Luis Miguel </t>
  </si>
  <si>
    <t>ALTAMIRA 29</t>
  </si>
  <si>
    <t>Villalba Garcia Jose Alberto</t>
  </si>
  <si>
    <t>ALTAMIRA 30</t>
  </si>
  <si>
    <t>ALTAMIRA 31</t>
  </si>
  <si>
    <t>ALTAMIRA 32</t>
  </si>
  <si>
    <t>ALTAMIRA 33</t>
  </si>
  <si>
    <t>ALTAMIRA 34</t>
  </si>
  <si>
    <t>ALTAMIRA 35</t>
  </si>
  <si>
    <t>ALTAMIRA 36</t>
  </si>
  <si>
    <t>ALTAMIRA 37</t>
  </si>
  <si>
    <t>ALTAMIRA 38</t>
  </si>
  <si>
    <t>ALTAMIRA 39</t>
  </si>
  <si>
    <t>ALTAMIRA 40</t>
  </si>
  <si>
    <t>ALTAMIRA 41</t>
  </si>
  <si>
    <t>ALTAMIRA 42</t>
  </si>
  <si>
    <t>ALTAMIRA 43</t>
  </si>
  <si>
    <t>ALTAMIRA 44</t>
  </si>
  <si>
    <t>ALTAMIRA 45</t>
  </si>
  <si>
    <t>ALTAMIRA 46</t>
  </si>
  <si>
    <t>ALTAMIRA 47</t>
  </si>
  <si>
    <t>ALTAMIRA 48</t>
  </si>
  <si>
    <t>ALTAMIRA 49</t>
  </si>
  <si>
    <t>ALTAMIRA 50</t>
  </si>
  <si>
    <t>ALTAMIRA 51</t>
  </si>
  <si>
    <t>ALTAMIRA 52</t>
  </si>
  <si>
    <t>ALTAMIRA 53</t>
  </si>
  <si>
    <t>ALTAMIRA 54</t>
  </si>
  <si>
    <t>ALTAMIRA 55</t>
  </si>
  <si>
    <t>ALTAMIRA 56</t>
  </si>
  <si>
    <t>ALTAMIRA 57</t>
  </si>
  <si>
    <t>ALTAMIRA 58</t>
  </si>
  <si>
    <t>ALTAMIRA 59</t>
  </si>
  <si>
    <t>ALTAMIRA 60</t>
  </si>
  <si>
    <t>ALTAMIRA 61</t>
  </si>
  <si>
    <t>ALTAMIRA 62</t>
  </si>
  <si>
    <t>ALTAMIRA 63</t>
  </si>
  <si>
    <t>ALTAMIRA 64</t>
  </si>
  <si>
    <t>ALTAMIRA 65</t>
  </si>
  <si>
    <t>ALTAMIRA 66</t>
  </si>
  <si>
    <t>ALTAMIRA 67</t>
  </si>
  <si>
    <t>ALTAMIRA 68</t>
  </si>
  <si>
    <t>ALTAMIRA 69</t>
  </si>
  <si>
    <t>ALTAMIRA 70</t>
  </si>
  <si>
    <t>ALTAMIRA 71</t>
  </si>
  <si>
    <t>ALTAMIRA 72</t>
  </si>
  <si>
    <t>ALTAMIRA 73</t>
  </si>
  <si>
    <t>ALTAMIRA 74</t>
  </si>
  <si>
    <t>ALTAMIRA 75</t>
  </si>
  <si>
    <t>ALTAMIRA 76</t>
  </si>
  <si>
    <t>ALTAMIRA 77</t>
  </si>
  <si>
    <t>ALTAMIRA 78</t>
  </si>
  <si>
    <t>ALTAMIRA 79</t>
  </si>
  <si>
    <t>ALTAMIRA 80</t>
  </si>
  <si>
    <t>CANCUN 1</t>
  </si>
  <si>
    <t xml:space="preserve">Baxin Ixtepan Valentin </t>
  </si>
  <si>
    <t>CANCUN 2</t>
  </si>
  <si>
    <t xml:space="preserve">Guillen Sanchez Francisco Javier </t>
  </si>
  <si>
    <t>CANCUN 3</t>
  </si>
  <si>
    <t>CANCUN 4</t>
  </si>
  <si>
    <t>CANCUN 5</t>
  </si>
  <si>
    <t>CANCUN 6</t>
  </si>
  <si>
    <t>CANCUN 7</t>
  </si>
  <si>
    <t>CANCUN 8</t>
  </si>
  <si>
    <t>CANCUN 9</t>
  </si>
  <si>
    <t>CANCUN 10</t>
  </si>
  <si>
    <t>CANCUN 11</t>
  </si>
  <si>
    <t>CANCUN 12</t>
  </si>
  <si>
    <t>CANCUN 13</t>
  </si>
  <si>
    <t>CANCUN 14</t>
  </si>
  <si>
    <t>CANCUN 15</t>
  </si>
  <si>
    <t>CANCUN 16</t>
  </si>
  <si>
    <t>CANCUN 17</t>
  </si>
  <si>
    <t>CANCUN 18</t>
  </si>
  <si>
    <t>CANCUN 19</t>
  </si>
  <si>
    <t>CANCUN 20</t>
  </si>
  <si>
    <t>CANCUN 21</t>
  </si>
  <si>
    <t>CANCUN 22</t>
  </si>
  <si>
    <t>CANCUN 23</t>
  </si>
  <si>
    <t>CANCUN 24</t>
  </si>
  <si>
    <t>CANCUN 25</t>
  </si>
  <si>
    <t>CANCUN 26</t>
  </si>
  <si>
    <t>CANCUN 27</t>
  </si>
  <si>
    <t>CANCUN 28</t>
  </si>
  <si>
    <t>CANCUN 29</t>
  </si>
  <si>
    <t>CANCUN 30</t>
  </si>
  <si>
    <t>CANCUN 31</t>
  </si>
  <si>
    <t>CANCUN 32</t>
  </si>
  <si>
    <t>CANCUN 33</t>
  </si>
  <si>
    <t>CANCUN 34</t>
  </si>
  <si>
    <t>CANCUN 35</t>
  </si>
  <si>
    <t>CANCUN 36</t>
  </si>
  <si>
    <t>CANCUN 37</t>
  </si>
  <si>
    <t>CANCUN 38</t>
  </si>
  <si>
    <t>CANCUN 39</t>
  </si>
  <si>
    <t>CANCUN 40</t>
  </si>
  <si>
    <t>CANCUN 41</t>
  </si>
  <si>
    <t>CANCUN 42</t>
  </si>
  <si>
    <t>CANCUN 43</t>
  </si>
  <si>
    <t>CANCUN 44</t>
  </si>
  <si>
    <t>CANCUN 45</t>
  </si>
  <si>
    <t>CANCUN 46</t>
  </si>
  <si>
    <t>CANCUN 47</t>
  </si>
  <si>
    <t>CANCUN 48</t>
  </si>
  <si>
    <t>CANCUN 49</t>
  </si>
  <si>
    <t>CANCUN 50</t>
  </si>
  <si>
    <t>CANCUN 51</t>
  </si>
  <si>
    <t>CANCUN 52</t>
  </si>
  <si>
    <t>CANCUN 53</t>
  </si>
  <si>
    <t>CANCUN 54</t>
  </si>
  <si>
    <t>CANCUN 55</t>
  </si>
  <si>
    <t>CANCUN 56</t>
  </si>
  <si>
    <t>CANCUN 57</t>
  </si>
  <si>
    <t>CANCUN 58</t>
  </si>
  <si>
    <t>CANCUN 59</t>
  </si>
  <si>
    <t>CANCUN 60</t>
  </si>
  <si>
    <t>CANCUN 61</t>
  </si>
  <si>
    <t>CANCUN 62</t>
  </si>
  <si>
    <t>CANCUN 63</t>
  </si>
  <si>
    <t>CANCUN 64</t>
  </si>
  <si>
    <t>CANCUN 65</t>
  </si>
  <si>
    <t>CANCUN 66</t>
  </si>
  <si>
    <t>CANCUN 67</t>
  </si>
  <si>
    <t>CANCUN 68</t>
  </si>
  <si>
    <t>CANCUN 69</t>
  </si>
  <si>
    <t>CANCUN 70</t>
  </si>
  <si>
    <t>CANCUN 71</t>
  </si>
  <si>
    <t>CANCUN 72</t>
  </si>
  <si>
    <t>CANCUN 73</t>
  </si>
  <si>
    <t>CANCUN 74</t>
  </si>
  <si>
    <t>CANCUN 75</t>
  </si>
  <si>
    <t>CANCUN 76</t>
  </si>
  <si>
    <t>CANCUN 77</t>
  </si>
  <si>
    <t>CANCUN 78</t>
  </si>
  <si>
    <t>CANCUN 79</t>
  </si>
  <si>
    <t>CANCUN 80</t>
  </si>
  <si>
    <t>CAMPECHE 1</t>
  </si>
  <si>
    <t xml:space="preserve">Castillo Barrera Jocelyn </t>
  </si>
  <si>
    <t>CAMPECHE 2</t>
  </si>
  <si>
    <t xml:space="preserve">Enciso Austria Jonatan </t>
  </si>
  <si>
    <t>CAMPECHE 3</t>
  </si>
  <si>
    <t xml:space="preserve">Espinosa Arroyo Griselda </t>
  </si>
  <si>
    <t>CAMPECHE 4</t>
  </si>
  <si>
    <t xml:space="preserve">Jimenez Perez Marcelo </t>
  </si>
  <si>
    <t>CAMPECHE 5</t>
  </si>
  <si>
    <t xml:space="preserve">Madrid Hernandez Jorge Moises </t>
  </si>
  <si>
    <t>CAMPECHE 6</t>
  </si>
  <si>
    <t>Madrigal Gutierrez Alondra Gissel</t>
  </si>
  <si>
    <t>CAMPECHE 7</t>
  </si>
  <si>
    <t xml:space="preserve">Maldonado Murrieta Erika Jailene </t>
  </si>
  <si>
    <t>CAMPECHE 8</t>
  </si>
  <si>
    <t xml:space="preserve">Roldan Brindis Alfredo </t>
  </si>
  <si>
    <t>CAMPECHE 9</t>
  </si>
  <si>
    <t xml:space="preserve">Salinas Alarcon Denisse </t>
  </si>
  <si>
    <t>CAMPECHE 10</t>
  </si>
  <si>
    <t xml:space="preserve">Sanchez Hernandez Manolo </t>
  </si>
  <si>
    <t>CAMPECHE 11</t>
  </si>
  <si>
    <t xml:space="preserve">Santos Cordova Adrian </t>
  </si>
  <si>
    <t>CAMPECHE 12</t>
  </si>
  <si>
    <t>CAMPECHE 13</t>
  </si>
  <si>
    <t>CAMPECHE 14</t>
  </si>
  <si>
    <t>CAMPECHE 15</t>
  </si>
  <si>
    <t>CAMPECHE 16</t>
  </si>
  <si>
    <t>CAMPECHE 17</t>
  </si>
  <si>
    <t>CAMPECHE 18</t>
  </si>
  <si>
    <t>CAMPECHE 19</t>
  </si>
  <si>
    <t>CAMPECHE 20</t>
  </si>
  <si>
    <t>CAMPECHE 21</t>
  </si>
  <si>
    <t>CAMPECHE 22</t>
  </si>
  <si>
    <t>CAMPECHE 23</t>
  </si>
  <si>
    <t>CAMPECHE 24</t>
  </si>
  <si>
    <t>CAMPECHE 25</t>
  </si>
  <si>
    <t>CAMPECHE 26</t>
  </si>
  <si>
    <t>CAMPECHE 27</t>
  </si>
  <si>
    <t>CAMPECHE 28</t>
  </si>
  <si>
    <t>CAMPECHE 29</t>
  </si>
  <si>
    <t>CAMPECHE 30</t>
  </si>
  <si>
    <t>CAMPECHE 31</t>
  </si>
  <si>
    <t>CAMPECHE 32</t>
  </si>
  <si>
    <t>CAMPECHE 33</t>
  </si>
  <si>
    <t>CAMPECHE 34</t>
  </si>
  <si>
    <t>CAMPECHE 35</t>
  </si>
  <si>
    <t>CAMPECHE 36</t>
  </si>
  <si>
    <t>CAMPECHE 37</t>
  </si>
  <si>
    <t>CAMPECHE 38</t>
  </si>
  <si>
    <t>CAMPECHE 39</t>
  </si>
  <si>
    <t>CAMPECHE 40</t>
  </si>
  <si>
    <t>CAMPECHE 41</t>
  </si>
  <si>
    <t>CAMPECHE 42</t>
  </si>
  <si>
    <t>CAMPECHE 43</t>
  </si>
  <si>
    <t>CAMPECHE 44</t>
  </si>
  <si>
    <t>CAMPECHE 45</t>
  </si>
  <si>
    <t>CAMPECHE 46</t>
  </si>
  <si>
    <t>CAMPECHE 47</t>
  </si>
  <si>
    <t>CAMPECHE 48</t>
  </si>
  <si>
    <t>CAMPECHE 49</t>
  </si>
  <si>
    <t>CAMPECHE 50</t>
  </si>
  <si>
    <t>CAMPECHE 51</t>
  </si>
  <si>
    <t>CAMPECHE 52</t>
  </si>
  <si>
    <t>CAMPECHE 53</t>
  </si>
  <si>
    <t>CAMPECHE 54</t>
  </si>
  <si>
    <t>CAMPECHE 55</t>
  </si>
  <si>
    <t>CAMPECHE 56</t>
  </si>
  <si>
    <t>CAMPECHE 57</t>
  </si>
  <si>
    <t>CAMPECHE 58</t>
  </si>
  <si>
    <t>CAMPECHE 59</t>
  </si>
  <si>
    <t>CAMPECHE 60</t>
  </si>
  <si>
    <t>CAMPECHE 61</t>
  </si>
  <si>
    <t>CAMPECHE 62</t>
  </si>
  <si>
    <t>CAMPECHE 63</t>
  </si>
  <si>
    <t>CAMPECHE 64</t>
  </si>
  <si>
    <t>CAMPECHE 65</t>
  </si>
  <si>
    <t>CAMPECHE 66</t>
  </si>
  <si>
    <t>CAMPECHE 67</t>
  </si>
  <si>
    <t>CAMPECHE 68</t>
  </si>
  <si>
    <t>CAMPECHE 69</t>
  </si>
  <si>
    <t>CAMPECHE 70</t>
  </si>
  <si>
    <t>CAMPECHE 71</t>
  </si>
  <si>
    <t>CAMPECHE 72</t>
  </si>
  <si>
    <t>CAMPECHE 73</t>
  </si>
  <si>
    <t>CAMPECHE 74</t>
  </si>
  <si>
    <t>CAMPECHE 75</t>
  </si>
  <si>
    <t>CAMPECHE 76</t>
  </si>
  <si>
    <t>CAMPECHE 77</t>
  </si>
  <si>
    <t>CAMPECHE 78</t>
  </si>
  <si>
    <t>CAMPECHE 79</t>
  </si>
  <si>
    <t>CAMPECHE 80</t>
  </si>
  <si>
    <t>CATAZAJA 1</t>
  </si>
  <si>
    <t>Arias Rodriguez Jesus Manuel</t>
  </si>
  <si>
    <t>Apendice ByC no llenos-falta firma RL</t>
  </si>
  <si>
    <t>CATAZAJA 2</t>
  </si>
  <si>
    <t>Gutierrez Lopez Jose Alberto</t>
  </si>
  <si>
    <t>CATAZAJA 3</t>
  </si>
  <si>
    <t>Meza Rodriguez Enrique Alonso</t>
  </si>
  <si>
    <t>APENDICES LLENOS PERO FIRMADOS X ESR</t>
  </si>
  <si>
    <t>CATAZAJA 4</t>
  </si>
  <si>
    <t>Ocampo Montejo Marcela</t>
  </si>
  <si>
    <t>FIRMADO POR ESE Y NO POR RL</t>
  </si>
  <si>
    <t>CATAZAJA 5</t>
  </si>
  <si>
    <t>Perez Leyva Jose Alfredo</t>
  </si>
  <si>
    <t>CATAZAJA 6</t>
  </si>
  <si>
    <t>CATAZAJA 7</t>
  </si>
  <si>
    <t>CATAZAJA 8</t>
  </si>
  <si>
    <t>CATAZAJA 9</t>
  </si>
  <si>
    <t>CATAZAJA 10</t>
  </si>
  <si>
    <t>CATAZAJA 11</t>
  </si>
  <si>
    <t>CATAZAJA 12</t>
  </si>
  <si>
    <t>CATAZAJA 13</t>
  </si>
  <si>
    <t>CATAZAJA 14</t>
  </si>
  <si>
    <t>CATAZAJA 15</t>
  </si>
  <si>
    <t>CATAZAJA 16</t>
  </si>
  <si>
    <t>CATAZAJA 17</t>
  </si>
  <si>
    <t>CATAZAJA 18</t>
  </si>
  <si>
    <t>CATAZAJA 19</t>
  </si>
  <si>
    <t>CATAZAJA 20</t>
  </si>
  <si>
    <t>CATAZAJA 21</t>
  </si>
  <si>
    <t>CATAZAJA 22</t>
  </si>
  <si>
    <t>CATAZAJA 23</t>
  </si>
  <si>
    <t>CATAZAJA 24</t>
  </si>
  <si>
    <t>CATAZAJA 25</t>
  </si>
  <si>
    <t>CATAZAJA 26</t>
  </si>
  <si>
    <t>CATAZAJA 27</t>
  </si>
  <si>
    <t>CATAZAJA 28</t>
  </si>
  <si>
    <t>CATAZAJA 29</t>
  </si>
  <si>
    <t>CATAZAJA 30</t>
  </si>
  <si>
    <t>CATAZAJA 31</t>
  </si>
  <si>
    <t>CATAZAJA 32</t>
  </si>
  <si>
    <t>CATAZAJA 33</t>
  </si>
  <si>
    <t>CATAZAJA 34</t>
  </si>
  <si>
    <t>CATAZAJA 35</t>
  </si>
  <si>
    <t>CATAZAJA 36</t>
  </si>
  <si>
    <t>CATAZAJA 37</t>
  </si>
  <si>
    <t>CATAZAJA 38</t>
  </si>
  <si>
    <t>CATAZAJA 39</t>
  </si>
  <si>
    <t>CATAZAJA 40</t>
  </si>
  <si>
    <t>CATAZAJA 41</t>
  </si>
  <si>
    <t>CATAZAJA 42</t>
  </si>
  <si>
    <t>CATAZAJA 43</t>
  </si>
  <si>
    <t>CATAZAJA 44</t>
  </si>
  <si>
    <t>CATAZAJA 45</t>
  </si>
  <si>
    <t>CATAZAJA 46</t>
  </si>
  <si>
    <t>CATAZAJA 47</t>
  </si>
  <si>
    <t>CATAZAJA 48</t>
  </si>
  <si>
    <t>CATAZAJA 49</t>
  </si>
  <si>
    <t>CATAZAJA 50</t>
  </si>
  <si>
    <t>CATAZAJA 51</t>
  </si>
  <si>
    <t>CATAZAJA 52</t>
  </si>
  <si>
    <t>CATAZAJA 53</t>
  </si>
  <si>
    <t>CATAZAJA 54</t>
  </si>
  <si>
    <t>CATAZAJA 55</t>
  </si>
  <si>
    <t>CATAZAJA 56</t>
  </si>
  <si>
    <t>CATAZAJA 57</t>
  </si>
  <si>
    <t>CATAZAJA 58</t>
  </si>
  <si>
    <t>CATAZAJA 59</t>
  </si>
  <si>
    <t>CATAZAJA 60</t>
  </si>
  <si>
    <t>CATAZAJA 61</t>
  </si>
  <si>
    <t>CATAZAJA 62</t>
  </si>
  <si>
    <t>CATAZAJA 63</t>
  </si>
  <si>
    <t>CATAZAJA 64</t>
  </si>
  <si>
    <t>CATAZAJA 65</t>
  </si>
  <si>
    <t>CATAZAJA 66</t>
  </si>
  <si>
    <t>CATAZAJA 67</t>
  </si>
  <si>
    <t>CATAZAJA 68</t>
  </si>
  <si>
    <t>CATAZAJA 69</t>
  </si>
  <si>
    <t>CATAZAJA 70</t>
  </si>
  <si>
    <t>CATAZAJA 71</t>
  </si>
  <si>
    <t>CATAZAJA 72</t>
  </si>
  <si>
    <t>CATAZAJA 73</t>
  </si>
  <si>
    <t>CATAZAJA 74</t>
  </si>
  <si>
    <t>CATAZAJA 75</t>
  </si>
  <si>
    <t>CATAZAJA 76</t>
  </si>
  <si>
    <t>CATAZAJA 77</t>
  </si>
  <si>
    <t>CATAZAJA 78</t>
  </si>
  <si>
    <t>CATAZAJA 79</t>
  </si>
  <si>
    <t>CATAZAJA 80</t>
  </si>
  <si>
    <t>COATZACOALCOS 1</t>
  </si>
  <si>
    <t xml:space="preserve">De Leon Valencia Abraham </t>
  </si>
  <si>
    <t>COATZACOALCOS 2</t>
  </si>
  <si>
    <t xml:space="preserve">Galmich Cruz Tomas </t>
  </si>
  <si>
    <t>COATZACOALCOS 3</t>
  </si>
  <si>
    <t xml:space="preserve">Hernandez Castro Jesica Maebeline </t>
  </si>
  <si>
    <t>COATZACOALCOS 4</t>
  </si>
  <si>
    <t xml:space="preserve">Jimenez Juarez Benito </t>
  </si>
  <si>
    <t>COATZACOALCOS 5</t>
  </si>
  <si>
    <t xml:space="preserve">Juarez Otero Julian Javier </t>
  </si>
  <si>
    <t>COATZACOALCOS 6</t>
  </si>
  <si>
    <t xml:space="preserve">Montalvo Cruz Harvey Francisco </t>
  </si>
  <si>
    <t>COATZACOALCOS 7</t>
  </si>
  <si>
    <t xml:space="preserve">Morales Cruz Omar </t>
  </si>
  <si>
    <t>COATZACOALCOS 8</t>
  </si>
  <si>
    <t xml:space="preserve">Palacios Moguel Antonio </t>
  </si>
  <si>
    <t>COATZACOALCOS 9</t>
  </si>
  <si>
    <t xml:space="preserve">Perales Mata Fernando Gustavo </t>
  </si>
  <si>
    <t>COATZACOALCOS 10</t>
  </si>
  <si>
    <t xml:space="preserve">Perez Isidoro David </t>
  </si>
  <si>
    <t>COATZACOALCOS 11</t>
  </si>
  <si>
    <t xml:space="preserve">Pestana Flores Pablo Cesar </t>
  </si>
  <si>
    <t>COATZACOALCOS 12</t>
  </si>
  <si>
    <t xml:space="preserve">Ponce Alvarez Israel </t>
  </si>
  <si>
    <t>COATZACOALCOS 13</t>
  </si>
  <si>
    <t xml:space="preserve">Reyes Oscar Antonio </t>
  </si>
  <si>
    <t>COATZACOALCOS 14</t>
  </si>
  <si>
    <t xml:space="preserve">Rodriguez Jimenez Ana </t>
  </si>
  <si>
    <t>COATZACOALCOS 15</t>
  </si>
  <si>
    <t xml:space="preserve">Sosa Villalobos Marisol </t>
  </si>
  <si>
    <t>COATZACOALCOS 16</t>
  </si>
  <si>
    <t xml:space="preserve">Suarez Ortiz Antonio Eduardo </t>
  </si>
  <si>
    <t>COATZACOALCOS 17</t>
  </si>
  <si>
    <t xml:space="preserve">Tello Villa Ramon Rito </t>
  </si>
  <si>
    <t>COATZACOALCOS 18</t>
  </si>
  <si>
    <t xml:space="preserve">Torrea Uscanga Hansel </t>
  </si>
  <si>
    <t>COATZACOALCOS 19</t>
  </si>
  <si>
    <t>COATZACOALCOS 20</t>
  </si>
  <si>
    <t>COATZACOALCOS 21</t>
  </si>
  <si>
    <t>COATZACOALCOS 22</t>
  </si>
  <si>
    <t>COATZACOALCOS 23</t>
  </si>
  <si>
    <t>COATZACOALCOS 24</t>
  </si>
  <si>
    <t>COATZACOALCOS 25</t>
  </si>
  <si>
    <t>COATZACOALCOS 26</t>
  </si>
  <si>
    <t>COATZACOALCOS 27</t>
  </si>
  <si>
    <t>COATZACOALCOS 28</t>
  </si>
  <si>
    <t>COATZACOALCOS 29</t>
  </si>
  <si>
    <t>COATZACOALCOS 30</t>
  </si>
  <si>
    <t>COATZACOALCOS 31</t>
  </si>
  <si>
    <t>COATZACOALCOS 32</t>
  </si>
  <si>
    <t>COATZACOALCOS 33</t>
  </si>
  <si>
    <t>COATZACOALCOS 34</t>
  </si>
  <si>
    <t>COATZACOALCOS 35</t>
  </si>
  <si>
    <t>COATZACOALCOS 36</t>
  </si>
  <si>
    <t>COATZACOALCOS 37</t>
  </si>
  <si>
    <t>COATZACOALCOS 38</t>
  </si>
  <si>
    <t>COATZACOALCOS 39</t>
  </si>
  <si>
    <t>COATZACOALCOS 40</t>
  </si>
  <si>
    <t>COATZACOALCOS 41</t>
  </si>
  <si>
    <t>COATZACOALCOS 42</t>
  </si>
  <si>
    <t>COATZACOALCOS 43</t>
  </si>
  <si>
    <t>COATZACOALCOS 44</t>
  </si>
  <si>
    <t>COATZACOALCOS 45</t>
  </si>
  <si>
    <t>COATZACOALCOS 46</t>
  </si>
  <si>
    <t>COATZACOALCOS 47</t>
  </si>
  <si>
    <t>COATZACOALCOS 48</t>
  </si>
  <si>
    <t>COATZACOALCOS 49</t>
  </si>
  <si>
    <t>COATZACOALCOS 50</t>
  </si>
  <si>
    <t>COATZACOALCOS 51</t>
  </si>
  <si>
    <t>COATZACOALCOS 52</t>
  </si>
  <si>
    <t>COATZACOALCOS 53</t>
  </si>
  <si>
    <t>COATZACOALCOS 54</t>
  </si>
  <si>
    <t>COATZACOALCOS 55</t>
  </si>
  <si>
    <t>COATZACOALCOS 56</t>
  </si>
  <si>
    <t>COATZACOALCOS 57</t>
  </si>
  <si>
    <t>COATZACOALCOS 58</t>
  </si>
  <si>
    <t>COATZACOALCOS 59</t>
  </si>
  <si>
    <t>COATZACOALCOS 60</t>
  </si>
  <si>
    <t>COATZACOALCOS 61</t>
  </si>
  <si>
    <t>COATZACOALCOS 62</t>
  </si>
  <si>
    <t>COATZACOALCOS 63</t>
  </si>
  <si>
    <t>COATZACOALCOS 64</t>
  </si>
  <si>
    <t>COATZACOALCOS 65</t>
  </si>
  <si>
    <t>COATZACOALCOS 66</t>
  </si>
  <si>
    <t>COATZACOALCOS 67</t>
  </si>
  <si>
    <t>COATZACOALCOS 68</t>
  </si>
  <si>
    <t>COATZACOALCOS 69</t>
  </si>
  <si>
    <t>COATZACOALCOS 70</t>
  </si>
  <si>
    <t>COATZACOALCOS 71</t>
  </si>
  <si>
    <t>COATZACOALCOS 72</t>
  </si>
  <si>
    <t>COATZACOALCOS 73</t>
  </si>
  <si>
    <t>COATZACOALCOS 74</t>
  </si>
  <si>
    <t>COATZACOALCOS 75</t>
  </si>
  <si>
    <t>COATZACOALCOS 76</t>
  </si>
  <si>
    <t>COATZACOALCOS 77</t>
  </si>
  <si>
    <t>COATZACOALCOS 78</t>
  </si>
  <si>
    <t>COATZACOALCOS 79</t>
  </si>
  <si>
    <t>COATZACOALCOS 80</t>
  </si>
  <si>
    <t>ENSENADA 1</t>
  </si>
  <si>
    <t xml:space="preserve">Armenta Rodriguez Jesus Aaron </t>
  </si>
  <si>
    <t>ENSENADA 2</t>
  </si>
  <si>
    <t xml:space="preserve">Beltran Ambriz Oscar Gerardo </t>
  </si>
  <si>
    <t>ENSENADA 3</t>
  </si>
  <si>
    <t xml:space="preserve">Bojorquez Gaxiola Joel Humberto </t>
  </si>
  <si>
    <t>ENSENADA 4</t>
  </si>
  <si>
    <t xml:space="preserve">Gonzalez Basilio Jesus Octavio </t>
  </si>
  <si>
    <t>ENSENADA 5</t>
  </si>
  <si>
    <t xml:space="preserve">Hernandez Arroyo Dulce Naidyt </t>
  </si>
  <si>
    <t>ENSENADA 6</t>
  </si>
  <si>
    <t xml:space="preserve">Landeros Canas Jared Alilud </t>
  </si>
  <si>
    <t>ENSENADA 7</t>
  </si>
  <si>
    <t xml:space="preserve">Munoz Castillo Ndat Zee </t>
  </si>
  <si>
    <t>ENSENADA 8</t>
  </si>
  <si>
    <t xml:space="preserve">Ramos Lozada Ana Laura </t>
  </si>
  <si>
    <t>ENSENADA 9</t>
  </si>
  <si>
    <t xml:space="preserve">Valenzuela Montoya Hernan </t>
  </si>
  <si>
    <t>ENSENADA 10</t>
  </si>
  <si>
    <t>ENSENADA 11</t>
  </si>
  <si>
    <t>ENSENADA 12</t>
  </si>
  <si>
    <t>ENSENADA 13</t>
  </si>
  <si>
    <t>ENSENADA 14</t>
  </si>
  <si>
    <t>ENSENADA 15</t>
  </si>
  <si>
    <t>ENSENADA 16</t>
  </si>
  <si>
    <t>ENSENADA 17</t>
  </si>
  <si>
    <t>ENSENADA 18</t>
  </si>
  <si>
    <t>ENSENADA 19</t>
  </si>
  <si>
    <t>ENSENADA 20</t>
  </si>
  <si>
    <t>ENSENADA 21</t>
  </si>
  <si>
    <t>ENSENADA 22</t>
  </si>
  <si>
    <t>ENSENADA 23</t>
  </si>
  <si>
    <t>ENSENADA 24</t>
  </si>
  <si>
    <t>ENSENADA 25</t>
  </si>
  <si>
    <t>ENSENADA 26</t>
  </si>
  <si>
    <t>ENSENADA 27</t>
  </si>
  <si>
    <t>ENSENADA 28</t>
  </si>
  <si>
    <t>ENSENADA 29</t>
  </si>
  <si>
    <t>ENSENADA 30</t>
  </si>
  <si>
    <t>ENSENADA 31</t>
  </si>
  <si>
    <t>ENSENADA 32</t>
  </si>
  <si>
    <t>ENSENADA 33</t>
  </si>
  <si>
    <t>ENSENADA 34</t>
  </si>
  <si>
    <t>ENSENADA 35</t>
  </si>
  <si>
    <t>ENSENADA 36</t>
  </si>
  <si>
    <t>ENSENADA 37</t>
  </si>
  <si>
    <t>ENSENADA 38</t>
  </si>
  <si>
    <t>ENSENADA 39</t>
  </si>
  <si>
    <t>ENSENADA 40</t>
  </si>
  <si>
    <t>ENSENADA 41</t>
  </si>
  <si>
    <t>ENSENADA 42</t>
  </si>
  <si>
    <t>ENSENADA 43</t>
  </si>
  <si>
    <t>ENSENADA 44</t>
  </si>
  <si>
    <t>ENSENADA 45</t>
  </si>
  <si>
    <t>ENSENADA 46</t>
  </si>
  <si>
    <t>ENSENADA 47</t>
  </si>
  <si>
    <t>ENSENADA 48</t>
  </si>
  <si>
    <t>ENSENADA 49</t>
  </si>
  <si>
    <t>ENSENADA 50</t>
  </si>
  <si>
    <t>ENSENADA 51</t>
  </si>
  <si>
    <t>ENSENADA 52</t>
  </si>
  <si>
    <t>ENSENADA 53</t>
  </si>
  <si>
    <t>ENSENADA 54</t>
  </si>
  <si>
    <t>ENSENADA 55</t>
  </si>
  <si>
    <t>ENSENADA 56</t>
  </si>
  <si>
    <t>ENSENADA 57</t>
  </si>
  <si>
    <t>ENSENADA 58</t>
  </si>
  <si>
    <t>ENSENADA 59</t>
  </si>
  <si>
    <t>ENSENADA 60</t>
  </si>
  <si>
    <t>ENSENADA 61</t>
  </si>
  <si>
    <t>ENSENADA 62</t>
  </si>
  <si>
    <t>ENSENADA 63</t>
  </si>
  <si>
    <t>ENSENADA 64</t>
  </si>
  <si>
    <t>ENSENADA 65</t>
  </si>
  <si>
    <t>ENSENADA 66</t>
  </si>
  <si>
    <t>ENSENADA 67</t>
  </si>
  <si>
    <t>ENSENADA 68</t>
  </si>
  <si>
    <t>ENSENADA 69</t>
  </si>
  <si>
    <t>ENSENADA 70</t>
  </si>
  <si>
    <t>ENSENADA 71</t>
  </si>
  <si>
    <t>ENSENADA 72</t>
  </si>
  <si>
    <t>ENSENADA 73</t>
  </si>
  <si>
    <t>ENSENADA 74</t>
  </si>
  <si>
    <t>ENSENADA 75</t>
  </si>
  <si>
    <t>ENSENADA 76</t>
  </si>
  <si>
    <t>ENSENADA 77</t>
  </si>
  <si>
    <t>ENSENADA 78</t>
  </si>
  <si>
    <t>ENSENADA 79</t>
  </si>
  <si>
    <t>ENSENADA 80</t>
  </si>
  <si>
    <t>GUADALAJARA 1</t>
  </si>
  <si>
    <t xml:space="preserve">Cruz Valdez Maria Dolores Orqui </t>
  </si>
  <si>
    <t>GUADALAJARA 2</t>
  </si>
  <si>
    <t xml:space="preserve">Franco Reyes Samuel </t>
  </si>
  <si>
    <t>GUADALAJARA 3</t>
  </si>
  <si>
    <t>GUADALAJARA 4</t>
  </si>
  <si>
    <t>GUADALAJARA 5</t>
  </si>
  <si>
    <t>GUADALAJARA 6</t>
  </si>
  <si>
    <t>GUADALAJARA 7</t>
  </si>
  <si>
    <t>GUADALAJARA 8</t>
  </si>
  <si>
    <t>GUADALAJARA 9</t>
  </si>
  <si>
    <t>GUADALAJARA 10</t>
  </si>
  <si>
    <t>GUADALAJARA 11</t>
  </si>
  <si>
    <t>GUADALAJARA 12</t>
  </si>
  <si>
    <t>GUADALAJARA 13</t>
  </si>
  <si>
    <t>GUADALAJARA 14</t>
  </si>
  <si>
    <t>GUADALAJARA 15</t>
  </si>
  <si>
    <t>GUADALAJARA 16</t>
  </si>
  <si>
    <t>GUADALAJARA 17</t>
  </si>
  <si>
    <t>GUADALAJARA 18</t>
  </si>
  <si>
    <t>GUADALAJARA 19</t>
  </si>
  <si>
    <t>GUADALAJARA 20</t>
  </si>
  <si>
    <t>GUADALAJARA 21</t>
  </si>
  <si>
    <t>GUADALAJARA 22</t>
  </si>
  <si>
    <t>GUADALAJARA 23</t>
  </si>
  <si>
    <t>GUADALAJARA 24</t>
  </si>
  <si>
    <t>GUADALAJARA 25</t>
  </si>
  <si>
    <t>GUADALAJARA 26</t>
  </si>
  <si>
    <t>GUADALAJARA 27</t>
  </si>
  <si>
    <t>GUADALAJARA 28</t>
  </si>
  <si>
    <t>GUADALAJARA 29</t>
  </si>
  <si>
    <t>GUADALAJARA 30</t>
  </si>
  <si>
    <t>GUADALAJARA 31</t>
  </si>
  <si>
    <t>GUADALAJARA 32</t>
  </si>
  <si>
    <t>GUADALAJARA 33</t>
  </si>
  <si>
    <t>GUADALAJARA 34</t>
  </si>
  <si>
    <t>GUADALAJARA 35</t>
  </si>
  <si>
    <t>GUADALAJARA 36</t>
  </si>
  <si>
    <t>GUADALAJARA 37</t>
  </si>
  <si>
    <t>GUADALAJARA 38</t>
  </si>
  <si>
    <t>GUADALAJARA 39</t>
  </si>
  <si>
    <t>GUADALAJARA 40</t>
  </si>
  <si>
    <t>GUADALAJARA 41</t>
  </si>
  <si>
    <t>GUADALAJARA 42</t>
  </si>
  <si>
    <t>GUADALAJARA 43</t>
  </si>
  <si>
    <t>GUADALAJARA 44</t>
  </si>
  <si>
    <t>GUADALAJARA 45</t>
  </si>
  <si>
    <t>GUADALAJARA 46</t>
  </si>
  <si>
    <t>GUADALAJARA 47</t>
  </si>
  <si>
    <t>GUADALAJARA 48</t>
  </si>
  <si>
    <t>GUADALAJARA 49</t>
  </si>
  <si>
    <t>GUADALAJARA 50</t>
  </si>
  <si>
    <t>GUADALAJARA 51</t>
  </si>
  <si>
    <t>GUADALAJARA 52</t>
  </si>
  <si>
    <t>GUADALAJARA 53</t>
  </si>
  <si>
    <t>GUADALAJARA 54</t>
  </si>
  <si>
    <t>GUADALAJARA 55</t>
  </si>
  <si>
    <t>GUADALAJARA 56</t>
  </si>
  <si>
    <t>GUADALAJARA 57</t>
  </si>
  <si>
    <t>GUADALAJARA 58</t>
  </si>
  <si>
    <t>GUADALAJARA 59</t>
  </si>
  <si>
    <t>GUADALAJARA 60</t>
  </si>
  <si>
    <t>GUADALAJARA 61</t>
  </si>
  <si>
    <t>GUADALAJARA 62</t>
  </si>
  <si>
    <t>GUADALAJARA 63</t>
  </si>
  <si>
    <t>GUADALAJARA 64</t>
  </si>
  <si>
    <t>GUADALAJARA 65</t>
  </si>
  <si>
    <t>GUADALAJARA 66</t>
  </si>
  <si>
    <t>GUADALAJARA 67</t>
  </si>
  <si>
    <t>GUADALAJARA 68</t>
  </si>
  <si>
    <t>GUADALAJARA 69</t>
  </si>
  <si>
    <t>GUADALAJARA 70</t>
  </si>
  <si>
    <t>GUADALAJARA 71</t>
  </si>
  <si>
    <t>GUADALAJARA 72</t>
  </si>
  <si>
    <t>GUADALAJARA 73</t>
  </si>
  <si>
    <t>GUADALAJARA 74</t>
  </si>
  <si>
    <t>GUADALAJARA 75</t>
  </si>
  <si>
    <t>GUADALAJARA 76</t>
  </si>
  <si>
    <t>GUADALAJARA 77</t>
  </si>
  <si>
    <t>GUADALAJARA 78</t>
  </si>
  <si>
    <t>GUADALAJARA 79</t>
  </si>
  <si>
    <t>GUADALAJARA 80</t>
  </si>
  <si>
    <t>GUAYMAS 1</t>
  </si>
  <si>
    <t xml:space="preserve">Barojas Lopez Dario Euripides </t>
  </si>
  <si>
    <t>GUAYMAS 2</t>
  </si>
  <si>
    <t xml:space="preserve">Montoya Araujo Francisco Javier </t>
  </si>
  <si>
    <t>GUAYMAS 3</t>
  </si>
  <si>
    <t xml:space="preserve">Quintana Amaya Ramon Eduardo </t>
  </si>
  <si>
    <t>GUAYMAS 4</t>
  </si>
  <si>
    <t xml:space="preserve">Vergara Robles Oscar Antonio </t>
  </si>
  <si>
    <t>GUAYMAS 5</t>
  </si>
  <si>
    <t xml:space="preserve">Vielma Lopez Marco Antonio </t>
  </si>
  <si>
    <t>GUAYMAS 6</t>
  </si>
  <si>
    <t>GUAYMAS 7</t>
  </si>
  <si>
    <t>GUAYMAS 8</t>
  </si>
  <si>
    <t>GUAYMAS 9</t>
  </si>
  <si>
    <t>GUAYMAS 10</t>
  </si>
  <si>
    <t>GUAYMAS 11</t>
  </si>
  <si>
    <t>GUAYMAS 12</t>
  </si>
  <si>
    <t>GUAYMAS 13</t>
  </si>
  <si>
    <t>GUAYMAS 14</t>
  </si>
  <si>
    <t>GUAYMAS 15</t>
  </si>
  <si>
    <t>GUAYMAS 16</t>
  </si>
  <si>
    <t>GUAYMAS 17</t>
  </si>
  <si>
    <t>GUAYMAS 18</t>
  </si>
  <si>
    <t>GUAYMAS 19</t>
  </si>
  <si>
    <t>GUAYMAS 20</t>
  </si>
  <si>
    <t>GUAYMAS 21</t>
  </si>
  <si>
    <t>GUAYMAS 22</t>
  </si>
  <si>
    <t>GUAYMAS 23</t>
  </si>
  <si>
    <t>GUAYMAS 24</t>
  </si>
  <si>
    <t>GUAYMAS 25</t>
  </si>
  <si>
    <t>GUAYMAS 26</t>
  </si>
  <si>
    <t>GUAYMAS 27</t>
  </si>
  <si>
    <t>GUAYMAS 28</t>
  </si>
  <si>
    <t>GUAYMAS 29</t>
  </si>
  <si>
    <t>GUAYMAS 30</t>
  </si>
  <si>
    <t>GUAYMAS 31</t>
  </si>
  <si>
    <t>GUAYMAS 32</t>
  </si>
  <si>
    <t>GUAYMAS 33</t>
  </si>
  <si>
    <t>GUAYMAS 34</t>
  </si>
  <si>
    <t>GUAYMAS 35</t>
  </si>
  <si>
    <t>GUAYMAS 36</t>
  </si>
  <si>
    <t>GUAYMAS 37</t>
  </si>
  <si>
    <t>GUAYMAS 38</t>
  </si>
  <si>
    <t>GUAYMAS 39</t>
  </si>
  <si>
    <t>GUAYMAS 40</t>
  </si>
  <si>
    <t>GUAYMAS 41</t>
  </si>
  <si>
    <t>GUAYMAS 42</t>
  </si>
  <si>
    <t>GUAYMAS 43</t>
  </si>
  <si>
    <t>GUAYMAS 44</t>
  </si>
  <si>
    <t>GUAYMAS 45</t>
  </si>
  <si>
    <t>GUAYMAS 46</t>
  </si>
  <si>
    <t>GUAYMAS 47</t>
  </si>
  <si>
    <t>GUAYMAS 48</t>
  </si>
  <si>
    <t>GUAYMAS 49</t>
  </si>
  <si>
    <t>GUAYMAS 50</t>
  </si>
  <si>
    <t>GUAYMAS 51</t>
  </si>
  <si>
    <t>GUAYMAS 52</t>
  </si>
  <si>
    <t>GUAYMAS 53</t>
  </si>
  <si>
    <t>GUAYMAS 54</t>
  </si>
  <si>
    <t>GUAYMAS 55</t>
  </si>
  <si>
    <t>GUAYMAS 56</t>
  </si>
  <si>
    <t>GUAYMAS 57</t>
  </si>
  <si>
    <t>GUAYMAS 58</t>
  </si>
  <si>
    <t>GUAYMAS 59</t>
  </si>
  <si>
    <t>GUAYMAS 60</t>
  </si>
  <si>
    <t>GUAYMAS 61</t>
  </si>
  <si>
    <t>GUAYMAS 62</t>
  </si>
  <si>
    <t>GUAYMAS 63</t>
  </si>
  <si>
    <t>GUAYMAS 64</t>
  </si>
  <si>
    <t>GUAYMAS 65</t>
  </si>
  <si>
    <t>GUAYMAS 66</t>
  </si>
  <si>
    <t>GUAYMAS 67</t>
  </si>
  <si>
    <t>GUAYMAS 68</t>
  </si>
  <si>
    <t>GUAYMAS 69</t>
  </si>
  <si>
    <t>GUAYMAS 70</t>
  </si>
  <si>
    <t>GUAYMAS 71</t>
  </si>
  <si>
    <t>GUAYMAS 72</t>
  </si>
  <si>
    <t>GUAYMAS 73</t>
  </si>
  <si>
    <t>GUAYMAS 74</t>
  </si>
  <si>
    <t>GUAYMAS 75</t>
  </si>
  <si>
    <t>GUAYMAS 76</t>
  </si>
  <si>
    <t>GUAYMAS 77</t>
  </si>
  <si>
    <t>GUAYMAS 78</t>
  </si>
  <si>
    <t>GUAYMAS 79</t>
  </si>
  <si>
    <t>GUAYMAS 80</t>
  </si>
  <si>
    <t>CAMARGO 1</t>
  </si>
  <si>
    <t>CAMARGO 2</t>
  </si>
  <si>
    <t>CAMARGO 3</t>
  </si>
  <si>
    <t>CAMARGO 4</t>
  </si>
  <si>
    <t>CAMARGO 5</t>
  </si>
  <si>
    <t>CAMARGO 6</t>
  </si>
  <si>
    <t>CAMARGO 7</t>
  </si>
  <si>
    <t>CAMARGO 8</t>
  </si>
  <si>
    <t>CAMARGO 9</t>
  </si>
  <si>
    <t>CAMARGO 10</t>
  </si>
  <si>
    <t>CAMARGO 11</t>
  </si>
  <si>
    <t>CAMARGO 12</t>
  </si>
  <si>
    <t>CAMARGO 13</t>
  </si>
  <si>
    <t>CAMARGO 14</t>
  </si>
  <si>
    <t>CAMARGO 15</t>
  </si>
  <si>
    <t>CAMARGO 16</t>
  </si>
  <si>
    <t>CAMARGO 17</t>
  </si>
  <si>
    <t>CAMARGO 18</t>
  </si>
  <si>
    <t>CAMARGO 19</t>
  </si>
  <si>
    <t>CAMARGO 20</t>
  </si>
  <si>
    <t>CAMARGO 21</t>
  </si>
  <si>
    <t>CAMARGO 22</t>
  </si>
  <si>
    <t>CAMARGO 23</t>
  </si>
  <si>
    <t>CAMARGO 24</t>
  </si>
  <si>
    <t>CAMARGO 25</t>
  </si>
  <si>
    <t>CAMARGO 26</t>
  </si>
  <si>
    <t>CAMARGO 27</t>
  </si>
  <si>
    <t>CAMARGO 28</t>
  </si>
  <si>
    <t>CAMARGO 29</t>
  </si>
  <si>
    <t>CAMARGO 30</t>
  </si>
  <si>
    <t>CAMARGO 31</t>
  </si>
  <si>
    <t>CAMARGO 32</t>
  </si>
  <si>
    <t>CAMARGO 33</t>
  </si>
  <si>
    <t>CAMARGO 34</t>
  </si>
  <si>
    <t>CAMARGO 35</t>
  </si>
  <si>
    <t>CAMARGO 36</t>
  </si>
  <si>
    <t>CAMARGO 37</t>
  </si>
  <si>
    <t>CAMARGO 38</t>
  </si>
  <si>
    <t>CAMARGO 39</t>
  </si>
  <si>
    <t>CAMARGO 40</t>
  </si>
  <si>
    <t>CAMARGO 41</t>
  </si>
  <si>
    <t>CAMARGO 42</t>
  </si>
  <si>
    <t>CAMARGO 43</t>
  </si>
  <si>
    <t>CAMARGO 44</t>
  </si>
  <si>
    <t>CAMARGO 45</t>
  </si>
  <si>
    <t>CAMARGO 46</t>
  </si>
  <si>
    <t>CAMARGO 47</t>
  </si>
  <si>
    <t>CAMARGO 48</t>
  </si>
  <si>
    <t>CAMARGO 49</t>
  </si>
  <si>
    <t>CAMARGO 50</t>
  </si>
  <si>
    <t>CAMARGO 51</t>
  </si>
  <si>
    <t>CAMARGO 52</t>
  </si>
  <si>
    <t>CAMARGO 53</t>
  </si>
  <si>
    <t>CAMARGO 54</t>
  </si>
  <si>
    <t>CAMARGO 55</t>
  </si>
  <si>
    <t>CAMARGO 56</t>
  </si>
  <si>
    <t>CAMARGO 57</t>
  </si>
  <si>
    <t>CAMARGO 58</t>
  </si>
  <si>
    <t>CAMARGO 59</t>
  </si>
  <si>
    <t>CAMARGO 60</t>
  </si>
  <si>
    <t>CAMARGO 61</t>
  </si>
  <si>
    <t>CAMARGO 62</t>
  </si>
  <si>
    <t>CAMARGO 63</t>
  </si>
  <si>
    <t>CAMARGO 64</t>
  </si>
  <si>
    <t>CAMARGO 65</t>
  </si>
  <si>
    <t>CAMARGO 66</t>
  </si>
  <si>
    <t>CAMARGO 67</t>
  </si>
  <si>
    <t>CAMARGO 68</t>
  </si>
  <si>
    <t>CAMARGO 69</t>
  </si>
  <si>
    <t>CAMARGO 70</t>
  </si>
  <si>
    <t>CAMARGO 71</t>
  </si>
  <si>
    <t>CAMARGO 72</t>
  </si>
  <si>
    <t>CAMARGO 73</t>
  </si>
  <si>
    <t>CAMARGO 74</t>
  </si>
  <si>
    <t>CAMARGO 75</t>
  </si>
  <si>
    <t>CAMARGO 76</t>
  </si>
  <si>
    <t>CAMARGO 77</t>
  </si>
  <si>
    <t>CAMARGO 78</t>
  </si>
  <si>
    <t>CAMARGO 79</t>
  </si>
  <si>
    <t>CAMARGO 80</t>
  </si>
  <si>
    <t>CIUDAD HIDALGO 1</t>
  </si>
  <si>
    <t>Morales Claros Fernando</t>
  </si>
  <si>
    <t>Completo -falta firma RL</t>
  </si>
  <si>
    <t>CERTIFICADO</t>
  </si>
  <si>
    <t>CIUDAD HIDALGO 2</t>
  </si>
  <si>
    <t>Rodas Fuentes Alberto Vladimir</t>
  </si>
  <si>
    <t>Completo-falta firma RL</t>
  </si>
  <si>
    <t>CIUDAD HIDALGO 3</t>
  </si>
  <si>
    <t>CIUDAD HIDALGO 4</t>
  </si>
  <si>
    <t>CIUDAD HIDALGO 5</t>
  </si>
  <si>
    <t>CIUDAD HIDALGO 6</t>
  </si>
  <si>
    <t>CIUDAD HIDALGO 7</t>
  </si>
  <si>
    <t>CIUDAD HIDALGO 8</t>
  </si>
  <si>
    <t>CIUDAD HIDALGO 9</t>
  </si>
  <si>
    <t>CIUDAD HIDALGO 10</t>
  </si>
  <si>
    <t>CIUDAD HIDALGO 11</t>
  </si>
  <si>
    <t>CIUDAD HIDALGO 12</t>
  </si>
  <si>
    <t>CIUDAD HIDALGO 13</t>
  </si>
  <si>
    <t>CIUDAD HIDALGO 14</t>
  </si>
  <si>
    <t>CIUDAD HIDALGO 15</t>
  </si>
  <si>
    <t>CIUDAD HIDALGO 16</t>
  </si>
  <si>
    <t>CIUDAD HIDALGO 17</t>
  </si>
  <si>
    <t>CIUDAD HIDALGO 18</t>
  </si>
  <si>
    <t>CIUDAD HIDALGO 19</t>
  </si>
  <si>
    <t>CIUDAD HIDALGO 20</t>
  </si>
  <si>
    <t>CIUDAD HIDALGO 21</t>
  </si>
  <si>
    <t>CIUDAD HIDALGO 22</t>
  </si>
  <si>
    <t>CIUDAD HIDALGO 23</t>
  </si>
  <si>
    <t>CIUDAD HIDALGO 24</t>
  </si>
  <si>
    <t>CIUDAD HIDALGO 25</t>
  </si>
  <si>
    <t>CIUDAD HIDALGO 26</t>
  </si>
  <si>
    <t>CIUDAD HIDALGO 27</t>
  </si>
  <si>
    <t>CIUDAD HIDALGO 28</t>
  </si>
  <si>
    <t>CIUDAD HIDALGO 29</t>
  </si>
  <si>
    <t>CIUDAD HIDALGO 30</t>
  </si>
  <si>
    <t>CIUDAD HIDALGO 31</t>
  </si>
  <si>
    <t>CIUDAD HIDALGO 32</t>
  </si>
  <si>
    <t>CIUDAD HIDALGO 33</t>
  </si>
  <si>
    <t>CIUDAD HIDALGO 34</t>
  </si>
  <si>
    <t>CIUDAD HIDALGO 35</t>
  </si>
  <si>
    <t>CIUDAD HIDALGO 36</t>
  </si>
  <si>
    <t>CIUDAD HIDALGO 37</t>
  </si>
  <si>
    <t>CIUDAD HIDALGO 38</t>
  </si>
  <si>
    <t>CIUDAD HIDALGO 39</t>
  </si>
  <si>
    <t>CIUDAD HIDALGO 40</t>
  </si>
  <si>
    <t>CIUDAD HIDALGO 41</t>
  </si>
  <si>
    <t>CIUDAD HIDALGO 42</t>
  </si>
  <si>
    <t>CIUDAD HIDALGO 43</t>
  </si>
  <si>
    <t>CIUDAD HIDALGO 44</t>
  </si>
  <si>
    <t>CIUDAD HIDALGO 45</t>
  </si>
  <si>
    <t>CIUDAD HIDALGO 46</t>
  </si>
  <si>
    <t>CIUDAD HIDALGO 47</t>
  </si>
  <si>
    <t>CIUDAD HIDALGO 48</t>
  </si>
  <si>
    <t>CIUDAD HIDALGO 49</t>
  </si>
  <si>
    <t>CIUDAD HIDALGO 50</t>
  </si>
  <si>
    <t>CIUDAD HIDALGO 51</t>
  </si>
  <si>
    <t>CIUDAD HIDALGO 52</t>
  </si>
  <si>
    <t>CIUDAD HIDALGO 53</t>
  </si>
  <si>
    <t>CIUDAD HIDALGO 54</t>
  </si>
  <si>
    <t>CIUDAD HIDALGO 55</t>
  </si>
  <si>
    <t>CIUDAD HIDALGO 56</t>
  </si>
  <si>
    <t>CIUDAD HIDALGO 57</t>
  </si>
  <si>
    <t>CIUDAD HIDALGO 58</t>
  </si>
  <si>
    <t>CIUDAD HIDALGO 59</t>
  </si>
  <si>
    <t>CIUDAD HIDALGO 60</t>
  </si>
  <si>
    <t>CIUDAD HIDALGO 61</t>
  </si>
  <si>
    <t>CIUDAD HIDALGO 62</t>
  </si>
  <si>
    <t>CIUDAD HIDALGO 63</t>
  </si>
  <si>
    <t>CIUDAD HIDALGO 64</t>
  </si>
  <si>
    <t>CIUDAD HIDALGO 65</t>
  </si>
  <si>
    <t>CIUDAD HIDALGO 66</t>
  </si>
  <si>
    <t>CIUDAD HIDALGO 67</t>
  </si>
  <si>
    <t>CIUDAD HIDALGO 68</t>
  </si>
  <si>
    <t>CIUDAD HIDALGO 69</t>
  </si>
  <si>
    <t>CIUDAD HIDALGO 70</t>
  </si>
  <si>
    <t>CIUDAD HIDALGO 71</t>
  </si>
  <si>
    <t>CIUDAD HIDALGO 72</t>
  </si>
  <si>
    <t>CIUDAD HIDALGO 73</t>
  </si>
  <si>
    <t>CIUDAD HIDALGO 74</t>
  </si>
  <si>
    <t>CIUDAD HIDALGO 75</t>
  </si>
  <si>
    <t>CIUDAD HIDALGO 76</t>
  </si>
  <si>
    <t>CIUDAD HIDALGO 77</t>
  </si>
  <si>
    <t>CIUDAD HIDALGO 78</t>
  </si>
  <si>
    <t>CIUDAD HIDALGO 79</t>
  </si>
  <si>
    <t>CIUDAD HIDALGO 80</t>
  </si>
  <si>
    <t>CD. JUAREZ 1</t>
  </si>
  <si>
    <t xml:space="preserve">Alonso Garrido Cristian Fidel </t>
  </si>
  <si>
    <t>CD. JUAREZ 2</t>
  </si>
  <si>
    <t xml:space="preserve">Arcos Hernandez Agustin </t>
  </si>
  <si>
    <t>CD. JUAREZ 3</t>
  </si>
  <si>
    <t xml:space="preserve">Ayala Olvera Cristian </t>
  </si>
  <si>
    <t>CD. JUAREZ 4</t>
  </si>
  <si>
    <t xml:space="preserve">Campos Nolasco Rene </t>
  </si>
  <si>
    <t>CD. JUAREZ 5</t>
  </si>
  <si>
    <t xml:space="preserve">Castaneda Baez Monica Alejandra </t>
  </si>
  <si>
    <t>CD. JUAREZ 6</t>
  </si>
  <si>
    <t xml:space="preserve">Garcia Prez Efren </t>
  </si>
  <si>
    <t>CD. JUAREZ 7</t>
  </si>
  <si>
    <t xml:space="preserve">Garrido Cabrera Gustavo </t>
  </si>
  <si>
    <t>CD. JUAREZ 8</t>
  </si>
  <si>
    <t xml:space="preserve">Gomez Gomez Erick Fabian </t>
  </si>
  <si>
    <t>CD. JUAREZ 9</t>
  </si>
  <si>
    <t xml:space="preserve">Lopez Herrera Jose Armando </t>
  </si>
  <si>
    <t>CD. JUAREZ 10</t>
  </si>
  <si>
    <t>Luna Lazcano Carlos</t>
  </si>
  <si>
    <t>Completo (huellas no visibles)-falta firma del RL</t>
  </si>
  <si>
    <t>CD. JUAREZ 11</t>
  </si>
  <si>
    <t xml:space="preserve">Montan Ixtepan Oscar </t>
  </si>
  <si>
    <t>CD. JUAREZ 12</t>
  </si>
  <si>
    <t xml:space="preserve">Mora Perez Maricela </t>
  </si>
  <si>
    <t>CD. JUAREZ 13</t>
  </si>
  <si>
    <t xml:space="preserve">Morantes Anzures Magaly Jaqueline </t>
  </si>
  <si>
    <t>CD. JUAREZ 14</t>
  </si>
  <si>
    <t xml:space="preserve">Nevarez Gomez Daniel </t>
  </si>
  <si>
    <t>CD. JUAREZ 15</t>
  </si>
  <si>
    <t xml:space="preserve">Olaya Hernandez Luis Antonio </t>
  </si>
  <si>
    <t>CD. JUAREZ 16</t>
  </si>
  <si>
    <t xml:space="preserve">Osorio Mendoza Sahian Michelle </t>
  </si>
  <si>
    <t>CD. JUAREZ 17</t>
  </si>
  <si>
    <t xml:space="preserve">Pelaez Barrera Juan Carlos </t>
  </si>
  <si>
    <t>CD. JUAREZ 18</t>
  </si>
  <si>
    <t xml:space="preserve">Rodriguez Bobadilla Alma Deli A </t>
  </si>
  <si>
    <t>CD. JUAREZ 19</t>
  </si>
  <si>
    <t>Rodriguez Hernandez Manuel Alejandro</t>
  </si>
  <si>
    <t>FALTA HISTORIAL (APENDICE C)-falta firma del RL</t>
  </si>
  <si>
    <t>CD. JUAREZ 20</t>
  </si>
  <si>
    <t xml:space="preserve">Ruiz Martinez Alan </t>
  </si>
  <si>
    <t>CD. JUAREZ 21</t>
  </si>
  <si>
    <t xml:space="preserve">Sanchez Perez Maria Jose </t>
  </si>
  <si>
    <t>CD. JUAREZ 22</t>
  </si>
  <si>
    <t xml:space="preserve">Sanchez Josue Luis </t>
  </si>
  <si>
    <t>CD. JUAREZ 23</t>
  </si>
  <si>
    <t xml:space="preserve">Temich Toto Emmanuel </t>
  </si>
  <si>
    <t>CD. JUAREZ 24</t>
  </si>
  <si>
    <t xml:space="preserve">Valencia Martinez Ricardo Ramon </t>
  </si>
  <si>
    <t>CD. JUAREZ 25</t>
  </si>
  <si>
    <t xml:space="preserve">Vera Reyes Estrella </t>
  </si>
  <si>
    <t>CD. JUAREZ 26</t>
  </si>
  <si>
    <t>CD. JUAREZ 27</t>
  </si>
  <si>
    <t>CD. JUAREZ 28</t>
  </si>
  <si>
    <t>CD. JUAREZ 29</t>
  </si>
  <si>
    <t>CD. JUAREZ 30</t>
  </si>
  <si>
    <t>CD. JUAREZ 31</t>
  </si>
  <si>
    <t>CD. JUAREZ 32</t>
  </si>
  <si>
    <t>CD. JUAREZ 33</t>
  </si>
  <si>
    <t>CD. JUAREZ 34</t>
  </si>
  <si>
    <t>CD. JUAREZ 35</t>
  </si>
  <si>
    <t>CD. JUAREZ 36</t>
  </si>
  <si>
    <t>CD. JUAREZ 37</t>
  </si>
  <si>
    <t>CD. JUAREZ 38</t>
  </si>
  <si>
    <t>CD. JUAREZ 39</t>
  </si>
  <si>
    <t>CD. JUAREZ 40</t>
  </si>
  <si>
    <t>CD. JUAREZ 41</t>
  </si>
  <si>
    <t>CD. JUAREZ 42</t>
  </si>
  <si>
    <t>CD. JUAREZ 43</t>
  </si>
  <si>
    <t>CD. JUAREZ 44</t>
  </si>
  <si>
    <t>CD. JUAREZ 45</t>
  </si>
  <si>
    <t>CD. JUAREZ 46</t>
  </si>
  <si>
    <t>CD. JUAREZ 47</t>
  </si>
  <si>
    <t>CD. JUAREZ 48</t>
  </si>
  <si>
    <t>CD. JUAREZ 49</t>
  </si>
  <si>
    <t>CD. JUAREZ 50</t>
  </si>
  <si>
    <t>CD. JUAREZ 51</t>
  </si>
  <si>
    <t>CD. JUAREZ 52</t>
  </si>
  <si>
    <t>CD. JUAREZ 53</t>
  </si>
  <si>
    <t>CD. JUAREZ 54</t>
  </si>
  <si>
    <t>CD. JUAREZ 55</t>
  </si>
  <si>
    <t>CD. JUAREZ 56</t>
  </si>
  <si>
    <t>CD. JUAREZ 57</t>
  </si>
  <si>
    <t>CD. JUAREZ 58</t>
  </si>
  <si>
    <t>CD. JUAREZ 59</t>
  </si>
  <si>
    <t>CD. JUAREZ 60</t>
  </si>
  <si>
    <t>CD. JUAREZ 61</t>
  </si>
  <si>
    <t>CD. JUAREZ 62</t>
  </si>
  <si>
    <t>CD. JUAREZ 63</t>
  </si>
  <si>
    <t>CD. JUAREZ 64</t>
  </si>
  <si>
    <t>CD. JUAREZ 65</t>
  </si>
  <si>
    <t>CD. JUAREZ 66</t>
  </si>
  <si>
    <t>CD. JUAREZ 67</t>
  </si>
  <si>
    <t>CD. JUAREZ 68</t>
  </si>
  <si>
    <t>CD. JUAREZ 69</t>
  </si>
  <si>
    <t>CD. JUAREZ 70</t>
  </si>
  <si>
    <t>CD. JUAREZ 71</t>
  </si>
  <si>
    <t>CD. JUAREZ 72</t>
  </si>
  <si>
    <t>CD. JUAREZ 73</t>
  </si>
  <si>
    <t>CD. JUAREZ 74</t>
  </si>
  <si>
    <t>CD. JUAREZ 75</t>
  </si>
  <si>
    <t>CD. JUAREZ 76</t>
  </si>
  <si>
    <t>CD. JUAREZ 77</t>
  </si>
  <si>
    <t>CD. JUAREZ 78</t>
  </si>
  <si>
    <t>CD. JUAREZ 79</t>
  </si>
  <si>
    <t>CD. JUAREZ 80</t>
  </si>
  <si>
    <t>COLOMBIA 1</t>
  </si>
  <si>
    <t>Velez Moreno Maria Jessica</t>
  </si>
  <si>
    <t>COLOMBIA 2</t>
  </si>
  <si>
    <t>COLOMBIA 3</t>
  </si>
  <si>
    <t>COLOMBIA 4</t>
  </si>
  <si>
    <t>COLOMBIA 5</t>
  </si>
  <si>
    <t>COLOMBIA 6</t>
  </si>
  <si>
    <t>COLOMBIA 7</t>
  </si>
  <si>
    <t>COLOMBIA 8</t>
  </si>
  <si>
    <t>COLOMBIA 9</t>
  </si>
  <si>
    <t>COLOMBIA 10</t>
  </si>
  <si>
    <t>COLOMBIA 11</t>
  </si>
  <si>
    <t>COLOMBIA 12</t>
  </si>
  <si>
    <t>COLOMBIA 13</t>
  </si>
  <si>
    <t>COLOMBIA 14</t>
  </si>
  <si>
    <t>COLOMBIA 15</t>
  </si>
  <si>
    <t>COLOMBIA 16</t>
  </si>
  <si>
    <t>COLOMBIA 17</t>
  </si>
  <si>
    <t>COLOMBIA 18</t>
  </si>
  <si>
    <t>COLOMBIA 19</t>
  </si>
  <si>
    <t>COLOMBIA 20</t>
  </si>
  <si>
    <t>COLOMBIA 21</t>
  </si>
  <si>
    <t>COLOMBIA 22</t>
  </si>
  <si>
    <t>COLOMBIA 23</t>
  </si>
  <si>
    <t>COLOMBIA 24</t>
  </si>
  <si>
    <t>COLOMBIA 25</t>
  </si>
  <si>
    <t>COLOMBIA 26</t>
  </si>
  <si>
    <t>COLOMBIA 27</t>
  </si>
  <si>
    <t>COLOMBIA 28</t>
  </si>
  <si>
    <t>COLOMBIA 29</t>
  </si>
  <si>
    <t>COLOMBIA 30</t>
  </si>
  <si>
    <t>COLOMBIA 31</t>
  </si>
  <si>
    <t>COLOMBIA 32</t>
  </si>
  <si>
    <t>COLOMBIA 33</t>
  </si>
  <si>
    <t>COLOMBIA 34</t>
  </si>
  <si>
    <t>COLOMBIA 35</t>
  </si>
  <si>
    <t>COLOMBIA 36</t>
  </si>
  <si>
    <t>COLOMBIA 37</t>
  </si>
  <si>
    <t>COLOMBIA 38</t>
  </si>
  <si>
    <t>COLOMBIA 39</t>
  </si>
  <si>
    <t>COLOMBIA 40</t>
  </si>
  <si>
    <t>COLOMBIA 41</t>
  </si>
  <si>
    <t>COLOMBIA 42</t>
  </si>
  <si>
    <t>COLOMBIA 43</t>
  </si>
  <si>
    <t>COLOMBIA 44</t>
  </si>
  <si>
    <t>COLOMBIA 45</t>
  </si>
  <si>
    <t>COLOMBIA 46</t>
  </si>
  <si>
    <t>COLOMBIA 47</t>
  </si>
  <si>
    <t>COLOMBIA 48</t>
  </si>
  <si>
    <t>COLOMBIA 49</t>
  </si>
  <si>
    <t>COLOMBIA 50</t>
  </si>
  <si>
    <t>COLOMBIA 51</t>
  </si>
  <si>
    <t>COLOMBIA 52</t>
  </si>
  <si>
    <t>COLOMBIA 53</t>
  </si>
  <si>
    <t>COLOMBIA 54</t>
  </si>
  <si>
    <t>COLOMBIA 55</t>
  </si>
  <si>
    <t>COLOMBIA 56</t>
  </si>
  <si>
    <t>COLOMBIA 57</t>
  </si>
  <si>
    <t>COLOMBIA 58</t>
  </si>
  <si>
    <t>COLOMBIA 59</t>
  </si>
  <si>
    <t>COLOMBIA 60</t>
  </si>
  <si>
    <t>COLOMBIA 61</t>
  </si>
  <si>
    <t>COLOMBIA 62</t>
  </si>
  <si>
    <t>COLOMBIA 63</t>
  </si>
  <si>
    <t>COLOMBIA 64</t>
  </si>
  <si>
    <t>COLOMBIA 65</t>
  </si>
  <si>
    <t>COLOMBIA 66</t>
  </si>
  <si>
    <t>COLOMBIA 67</t>
  </si>
  <si>
    <t>COLOMBIA 68</t>
  </si>
  <si>
    <t>COLOMBIA 69</t>
  </si>
  <si>
    <t>COLOMBIA 70</t>
  </si>
  <si>
    <t>COLOMBIA 71</t>
  </si>
  <si>
    <t>COLOMBIA 72</t>
  </si>
  <si>
    <t>COLOMBIA 73</t>
  </si>
  <si>
    <t>COLOMBIA 74</t>
  </si>
  <si>
    <t>COLOMBIA 75</t>
  </si>
  <si>
    <t>COLOMBIA 76</t>
  </si>
  <si>
    <t>COLOMBIA 77</t>
  </si>
  <si>
    <t>COLOMBIA 78</t>
  </si>
  <si>
    <t>COLOMBIA 79</t>
  </si>
  <si>
    <t>COLOMBIA 80</t>
  </si>
  <si>
    <t>LA PAZ 01</t>
  </si>
  <si>
    <t>Castillo Calzada Raul</t>
  </si>
  <si>
    <t>ES UN DICTAMEN MEDICO</t>
  </si>
  <si>
    <t>LA PAZ 02</t>
  </si>
  <si>
    <t>LA PAZ 03</t>
  </si>
  <si>
    <t>LA PAZ 04</t>
  </si>
  <si>
    <t>LA PAZ 05</t>
  </si>
  <si>
    <t>LA PAZ 06</t>
  </si>
  <si>
    <t>LA PAZ 07</t>
  </si>
  <si>
    <t>LA PAZ 08</t>
  </si>
  <si>
    <t>LA PAZ 09</t>
  </si>
  <si>
    <t>LA PAZ 10</t>
  </si>
  <si>
    <t>LA PAZ 11</t>
  </si>
  <si>
    <t>LA PAZ 12</t>
  </si>
  <si>
    <t>LA PAZ 13</t>
  </si>
  <si>
    <t>LA PAZ 14</t>
  </si>
  <si>
    <t>LA PAZ 15</t>
  </si>
  <si>
    <t>LA PAZ 16</t>
  </si>
  <si>
    <t>LA PAZ 17</t>
  </si>
  <si>
    <t>LA PAZ 18</t>
  </si>
  <si>
    <t>LA PAZ 19</t>
  </si>
  <si>
    <t>LA PAZ 20</t>
  </si>
  <si>
    <t>LA PAZ 21</t>
  </si>
  <si>
    <t>LA PAZ 22</t>
  </si>
  <si>
    <t>LA PAZ 23</t>
  </si>
  <si>
    <t>LA PAZ 24</t>
  </si>
  <si>
    <t>LA PAZ 25</t>
  </si>
  <si>
    <t>LA PAZ 26</t>
  </si>
  <si>
    <t>LA PAZ 27</t>
  </si>
  <si>
    <t>LA PAZ 28</t>
  </si>
  <si>
    <t>LA PAZ 29</t>
  </si>
  <si>
    <t>LA PAZ 30</t>
  </si>
  <si>
    <t>LA PAZ 31</t>
  </si>
  <si>
    <t>LA PAZ 32</t>
  </si>
  <si>
    <t>LA PAZ 33</t>
  </si>
  <si>
    <t>LA PAZ 34</t>
  </si>
  <si>
    <t>LA PAZ 35</t>
  </si>
  <si>
    <t>LA PAZ 36</t>
  </si>
  <si>
    <t>LA PAZ 37</t>
  </si>
  <si>
    <t>LA PAZ 38</t>
  </si>
  <si>
    <t>LA PAZ 39</t>
  </si>
  <si>
    <t>LA PAZ 40</t>
  </si>
  <si>
    <t>LA PAZ 41</t>
  </si>
  <si>
    <t>LA PAZ 42</t>
  </si>
  <si>
    <t>LA PAZ 43</t>
  </si>
  <si>
    <t>LA PAZ 44</t>
  </si>
  <si>
    <t>LA PAZ 45</t>
  </si>
  <si>
    <t>LA PAZ 46</t>
  </si>
  <si>
    <t>LA PAZ 47</t>
  </si>
  <si>
    <t>LA PAZ 48</t>
  </si>
  <si>
    <t>LA PAZ 49</t>
  </si>
  <si>
    <t>LA PAZ 50</t>
  </si>
  <si>
    <t>LA PAZ 51</t>
  </si>
  <si>
    <t>LA PAZ 52</t>
  </si>
  <si>
    <t>LA PAZ 53</t>
  </si>
  <si>
    <t>LA PAZ 54</t>
  </si>
  <si>
    <t>LA PAZ 55</t>
  </si>
  <si>
    <t>LA PAZ 56</t>
  </si>
  <si>
    <t>LA PAZ 57</t>
  </si>
  <si>
    <t>LA PAZ 58</t>
  </si>
  <si>
    <t>LA PAZ 59</t>
  </si>
  <si>
    <t>LA PAZ 60</t>
  </si>
  <si>
    <t>LA PAZ 61</t>
  </si>
  <si>
    <t>LA PAZ 62</t>
  </si>
  <si>
    <t>LA PAZ 63</t>
  </si>
  <si>
    <t>LA PAZ 64</t>
  </si>
  <si>
    <t>LA PAZ 65</t>
  </si>
  <si>
    <t>LA PAZ 66</t>
  </si>
  <si>
    <t>LA PAZ 67</t>
  </si>
  <si>
    <t>LA PAZ 68</t>
  </si>
  <si>
    <t>LA PAZ 69</t>
  </si>
  <si>
    <t>LA PAZ 70</t>
  </si>
  <si>
    <t>LA PAZ 71</t>
  </si>
  <si>
    <t>LA PAZ 72</t>
  </si>
  <si>
    <t>LA PAZ 73</t>
  </si>
  <si>
    <t>LA PAZ 74</t>
  </si>
  <si>
    <t>LA PAZ 75</t>
  </si>
  <si>
    <t>LA PAZ 76</t>
  </si>
  <si>
    <t>LA PAZ 77</t>
  </si>
  <si>
    <t>LA PAZ 78</t>
  </si>
  <si>
    <t>LA PAZ 79</t>
  </si>
  <si>
    <t>LA PAZ 80</t>
  </si>
  <si>
    <t>LÁZARO CÁRDENAS 1</t>
  </si>
  <si>
    <t xml:space="preserve">Aguilera Pacheco Victor </t>
  </si>
  <si>
    <t>LÁZARO CÁRDENAS 2</t>
  </si>
  <si>
    <t xml:space="preserve">Alonso Galicia Osmara Del Carmen </t>
  </si>
  <si>
    <t>LÁZARO CÁRDENAS 3</t>
  </si>
  <si>
    <t xml:space="preserve">Bibiano Rebollar Gustavo </t>
  </si>
  <si>
    <t>LÁZARO CÁRDENAS 4</t>
  </si>
  <si>
    <t xml:space="preserve">Carballo Carranza David </t>
  </si>
  <si>
    <t>LÁZARO CÁRDENAS 5</t>
  </si>
  <si>
    <t xml:space="preserve">Cruz Colector Jose </t>
  </si>
  <si>
    <t>LÁZARO CÁRDENAS 6</t>
  </si>
  <si>
    <t xml:space="preserve">Diaz Alvarado Jesus </t>
  </si>
  <si>
    <t>LÁZARO CÁRDENAS 7</t>
  </si>
  <si>
    <t xml:space="preserve">Escobar Aquino Maviza </t>
  </si>
  <si>
    <t>LÁZARO CÁRDENAS 8</t>
  </si>
  <si>
    <t xml:space="preserve">Estrada Lucas Daniel Ernesto </t>
  </si>
  <si>
    <t>LÁZARO CÁRDENAS 9</t>
  </si>
  <si>
    <t xml:space="preserve">Farias Hernandez Hector Manuel </t>
  </si>
  <si>
    <t>LÁZARO CÁRDENAS 10</t>
  </si>
  <si>
    <t xml:space="preserve">Fuentes Santos Luis Ernesto </t>
  </si>
  <si>
    <t>LÁZARO CÁRDENAS 11</t>
  </si>
  <si>
    <t xml:space="preserve">Garcia Aguilar Veronica </t>
  </si>
  <si>
    <t>LÁZARO CÁRDENAS 12</t>
  </si>
  <si>
    <t xml:space="preserve">Hernandez Palafox Carlos Francisco </t>
  </si>
  <si>
    <t>LÁZARO CÁRDENAS 13</t>
  </si>
  <si>
    <t xml:space="preserve">Herrera Herrera Alberto </t>
  </si>
  <si>
    <t>LÁZARO CÁRDENAS 14</t>
  </si>
  <si>
    <t xml:space="preserve">Jimenez Campos Julio Antonio </t>
  </si>
  <si>
    <t>LÁZARO CÁRDENAS 15</t>
  </si>
  <si>
    <t xml:space="preserve">Jimenez Figueroa Mauricio </t>
  </si>
  <si>
    <t>LÁZARO CÁRDENAS 16</t>
  </si>
  <si>
    <t xml:space="preserve">Jimenez Garcia Saire </t>
  </si>
  <si>
    <t>LÁZARO CÁRDENAS 17</t>
  </si>
  <si>
    <t xml:space="preserve">Lopez Barajas Eyder Arturo </t>
  </si>
  <si>
    <t>LÁZARO CÁRDENAS 18</t>
  </si>
  <si>
    <t xml:space="preserve">Lopez Moreno Ruben </t>
  </si>
  <si>
    <t>LÁZARO CÁRDENAS 19</t>
  </si>
  <si>
    <t xml:space="preserve">Martinez Del Viento Javier </t>
  </si>
  <si>
    <t>LÁZARO CÁRDENAS 20</t>
  </si>
  <si>
    <t xml:space="preserve">Martinez Inclan Mariela </t>
  </si>
  <si>
    <t>LÁZARO CÁRDENAS 21</t>
  </si>
  <si>
    <t xml:space="preserve">Martinez Santiago Martin </t>
  </si>
  <si>
    <t>LÁZARO CÁRDENAS 22</t>
  </si>
  <si>
    <t xml:space="preserve">Mayo Galmichi Omar </t>
  </si>
  <si>
    <t>LÁZARO CÁRDENAS 23</t>
  </si>
  <si>
    <t xml:space="preserve">Morales Lopez Laura </t>
  </si>
  <si>
    <t>LÁZARO CÁRDENAS 24</t>
  </si>
  <si>
    <t xml:space="preserve">Ortega Tolentino Rubith </t>
  </si>
  <si>
    <t>LÁZARO CÁRDENAS 25</t>
  </si>
  <si>
    <t xml:space="preserve">Ortegon Chaparro Farley </t>
  </si>
  <si>
    <t>LÁZARO CÁRDENAS 26</t>
  </si>
  <si>
    <t xml:space="preserve">Pina Arriaga Brandol </t>
  </si>
  <si>
    <t>LÁZARO CÁRDENAS 27</t>
  </si>
  <si>
    <t xml:space="preserve">Ramirez Torres Sergio Jesus </t>
  </si>
  <si>
    <t>LÁZARO CÁRDENAS 28</t>
  </si>
  <si>
    <t xml:space="preserve">Rodriguez Naranjo Perla Dalia </t>
  </si>
  <si>
    <t>LÁZARO CÁRDENAS 29</t>
  </si>
  <si>
    <t xml:space="preserve">Ruiz Nunez Fabiola Anabel </t>
  </si>
  <si>
    <t>LÁZARO CÁRDENAS 30</t>
  </si>
  <si>
    <t xml:space="preserve">Sanchez De La Cruz Arturo </t>
  </si>
  <si>
    <t>LÁZARO CÁRDENAS 31</t>
  </si>
  <si>
    <t xml:space="preserve">Vazquez Santacruz Francisco Javier </t>
  </si>
  <si>
    <t>LÁZARO CÁRDENAS 32</t>
  </si>
  <si>
    <t xml:space="preserve">Villegas Valenzuela Juan Alberto </t>
  </si>
  <si>
    <t>LÁZARO CÁRDENAS 33</t>
  </si>
  <si>
    <t xml:space="preserve">Virgen Palacios Leovigildo Israel </t>
  </si>
  <si>
    <t>LÁZARO CÁRDENAS 34</t>
  </si>
  <si>
    <t>LÁZARO CÁRDENAS 35</t>
  </si>
  <si>
    <t>LÁZARO CÁRDENAS 36</t>
  </si>
  <si>
    <t>LÁZARO CÁRDENAS 37</t>
  </si>
  <si>
    <t>LÁZARO CÁRDENAS 38</t>
  </si>
  <si>
    <t>LÁZARO CÁRDENAS 39</t>
  </si>
  <si>
    <t>LÁZARO CÁRDENAS 40</t>
  </si>
  <si>
    <t>LÁZARO CÁRDENAS 41</t>
  </si>
  <si>
    <t>LÁZARO CÁRDENAS 42</t>
  </si>
  <si>
    <t>LÁZARO CÁRDENAS 43</t>
  </si>
  <si>
    <t>LÁZARO CÁRDENAS 44</t>
  </si>
  <si>
    <t>LÁZARO CÁRDENAS 45</t>
  </si>
  <si>
    <t>LÁZARO CÁRDENAS 46</t>
  </si>
  <si>
    <t>LÁZARO CÁRDENAS 47</t>
  </si>
  <si>
    <t>LÁZARO CÁRDENAS 48</t>
  </si>
  <si>
    <t>LÁZARO CÁRDENAS 49</t>
  </si>
  <si>
    <t>LÁZARO CÁRDENAS 50</t>
  </si>
  <si>
    <t>LÁZARO CÁRDENAS 51</t>
  </si>
  <si>
    <t>LÁZARO CÁRDENAS 52</t>
  </si>
  <si>
    <t>LÁZARO CÁRDENAS 53</t>
  </si>
  <si>
    <t>LÁZARO CÁRDENAS 54</t>
  </si>
  <si>
    <t>LÁZARO CÁRDENAS 55</t>
  </si>
  <si>
    <t>LÁZARO CÁRDENAS 56</t>
  </si>
  <si>
    <t>LÁZARO CÁRDENAS 57</t>
  </si>
  <si>
    <t>LÁZARO CÁRDENAS 58</t>
  </si>
  <si>
    <t>LÁZARO CÁRDENAS 59</t>
  </si>
  <si>
    <t>LÁZARO CÁRDENAS 60</t>
  </si>
  <si>
    <t>LÁZARO CÁRDENAS 61</t>
  </si>
  <si>
    <t>LÁZARO CÁRDENAS 62</t>
  </si>
  <si>
    <t>LÁZARO CÁRDENAS 63</t>
  </si>
  <si>
    <t>LÁZARO CÁRDENAS 64</t>
  </si>
  <si>
    <t>LÁZARO CÁRDENAS 65</t>
  </si>
  <si>
    <t>LÁZARO CÁRDENAS 66</t>
  </si>
  <si>
    <t>LÁZARO CÁRDENAS 67</t>
  </si>
  <si>
    <t>LÁZARO CÁRDENAS 68</t>
  </si>
  <si>
    <t>LÁZARO CÁRDENAS 69</t>
  </si>
  <si>
    <t>LÁZARO CÁRDENAS 70</t>
  </si>
  <si>
    <t>LÁZARO CÁRDENAS 71</t>
  </si>
  <si>
    <t>LÁZARO CÁRDENAS 72</t>
  </si>
  <si>
    <t>LÁZARO CÁRDENAS 73</t>
  </si>
  <si>
    <t>LÁZARO CÁRDENAS 74</t>
  </si>
  <si>
    <t>LÁZARO CÁRDENAS 75</t>
  </si>
  <si>
    <t>LÁZARO CÁRDENAS 76</t>
  </si>
  <si>
    <t>LÁZARO CÁRDENAS 77</t>
  </si>
  <si>
    <t>LÁZARO CÁRDENAS 78</t>
  </si>
  <si>
    <t>LÁZARO CÁRDENAS 79</t>
  </si>
  <si>
    <t>LÁZARO CÁRDENAS 80</t>
  </si>
  <si>
    <t>MIGUEL ALEMAN 1</t>
  </si>
  <si>
    <t xml:space="preserve">Reza Castaneda Roberto Alejandro </t>
  </si>
  <si>
    <t>MIGUEL ALEMAN 2</t>
  </si>
  <si>
    <t>MIGUEL ALEMAN 3</t>
  </si>
  <si>
    <t>MIGUEL ALEMAN 4</t>
  </si>
  <si>
    <t>MIGUEL ALEMAN 5</t>
  </si>
  <si>
    <t>MIGUEL ALEMAN 6</t>
  </si>
  <si>
    <t>MIGUEL ALEMAN 7</t>
  </si>
  <si>
    <t>MIGUEL ALEMAN 8</t>
  </si>
  <si>
    <t>MIGUEL ALEMAN 9</t>
  </si>
  <si>
    <t>MIGUEL ALEMAN 10</t>
  </si>
  <si>
    <t>MIGUEL ALEMAN 11</t>
  </si>
  <si>
    <t>MIGUEL ALEMAN 12</t>
  </si>
  <si>
    <t>MIGUEL ALEMAN 13</t>
  </si>
  <si>
    <t>MIGUEL ALEMAN 14</t>
  </si>
  <si>
    <t>MIGUEL ALEMAN 15</t>
  </si>
  <si>
    <t>MIGUEL ALEMAN 16</t>
  </si>
  <si>
    <t>MIGUEL ALEMAN 17</t>
  </si>
  <si>
    <t>MIGUEL ALEMAN 18</t>
  </si>
  <si>
    <t>MIGUEL ALEMAN 19</t>
  </si>
  <si>
    <t>MIGUEL ALEMAN 20</t>
  </si>
  <si>
    <t>MIGUEL ALEMAN 21</t>
  </si>
  <si>
    <t>MIGUEL ALEMAN 22</t>
  </si>
  <si>
    <t>MIGUEL ALEMAN 23</t>
  </si>
  <si>
    <t>MIGUEL ALEMAN 24</t>
  </si>
  <si>
    <t>MIGUEL ALEMAN 25</t>
  </si>
  <si>
    <t>MIGUEL ALEMAN 26</t>
  </si>
  <si>
    <t>MIGUEL ALEMAN 27</t>
  </si>
  <si>
    <t>MIGUEL ALEMAN 28</t>
  </si>
  <si>
    <t>MIGUEL ALEMAN 29</t>
  </si>
  <si>
    <t>MIGUEL ALEMAN 30</t>
  </si>
  <si>
    <t>MIGUEL ALEMAN 31</t>
  </si>
  <si>
    <t>MIGUEL ALEMAN 32</t>
  </si>
  <si>
    <t>MIGUEL ALEMAN 33</t>
  </si>
  <si>
    <t>MIGUEL ALEMAN 34</t>
  </si>
  <si>
    <t>MIGUEL ALEMAN 35</t>
  </si>
  <si>
    <t>MIGUEL ALEMAN 36</t>
  </si>
  <si>
    <t>MIGUEL ALEMAN 37</t>
  </si>
  <si>
    <t>MIGUEL ALEMAN 38</t>
  </si>
  <si>
    <t>MIGUEL ALEMAN 39</t>
  </si>
  <si>
    <t>MIGUEL ALEMAN 40</t>
  </si>
  <si>
    <t>MIGUEL ALEMAN 41</t>
  </si>
  <si>
    <t>MIGUEL ALEMAN 42</t>
  </si>
  <si>
    <t>MIGUEL ALEMAN 43</t>
  </si>
  <si>
    <t>MIGUEL ALEMAN 44</t>
  </si>
  <si>
    <t>MIGUEL ALEMAN 45</t>
  </si>
  <si>
    <t>MIGUEL ALEMAN 46</t>
  </si>
  <si>
    <t>MIGUEL ALEMAN 47</t>
  </si>
  <si>
    <t>MIGUEL ALEMAN 48</t>
  </si>
  <si>
    <t>MIGUEL ALEMAN 49</t>
  </si>
  <si>
    <t>MIGUEL ALEMAN 50</t>
  </si>
  <si>
    <t>MIGUEL ALEMAN 51</t>
  </si>
  <si>
    <t>MIGUEL ALEMAN 52</t>
  </si>
  <si>
    <t>MIGUEL ALEMAN 53</t>
  </si>
  <si>
    <t>MIGUEL ALEMAN 54</t>
  </si>
  <si>
    <t>MIGUEL ALEMAN 55</t>
  </si>
  <si>
    <t>MIGUEL ALEMAN 56</t>
  </si>
  <si>
    <t>MIGUEL ALEMAN 57</t>
  </si>
  <si>
    <t>MIGUEL ALEMAN 58</t>
  </si>
  <si>
    <t>MIGUEL ALEMAN 59</t>
  </si>
  <si>
    <t>MIGUEL ALEMAN 60</t>
  </si>
  <si>
    <t>MIGUEL ALEMAN 61</t>
  </si>
  <si>
    <t>MIGUEL ALEMAN 62</t>
  </si>
  <si>
    <t>MIGUEL ALEMAN 63</t>
  </si>
  <si>
    <t>MIGUEL ALEMAN 64</t>
  </si>
  <si>
    <t>MIGUEL ALEMAN 65</t>
  </si>
  <si>
    <t>MIGUEL ALEMAN 66</t>
  </si>
  <si>
    <t>MIGUEL ALEMAN 67</t>
  </si>
  <si>
    <t>MIGUEL ALEMAN 68</t>
  </si>
  <si>
    <t>MIGUEL ALEMAN 69</t>
  </si>
  <si>
    <t>MIGUEL ALEMAN 70</t>
  </si>
  <si>
    <t>MIGUEL ALEMAN 71</t>
  </si>
  <si>
    <t>MIGUEL ALEMAN 72</t>
  </si>
  <si>
    <t>MIGUEL ALEMAN 73</t>
  </si>
  <si>
    <t>MIGUEL ALEMAN 74</t>
  </si>
  <si>
    <t>MIGUEL ALEMAN 75</t>
  </si>
  <si>
    <t>MIGUEL ALEMAN 76</t>
  </si>
  <si>
    <t>MIGUEL ALEMAN 77</t>
  </si>
  <si>
    <t>MIGUEL ALEMAN 78</t>
  </si>
  <si>
    <t>MIGUEL ALEMAN 79</t>
  </si>
  <si>
    <t>MIGUEL ALEMAN 80</t>
  </si>
  <si>
    <t>MANZANILLO 1</t>
  </si>
  <si>
    <t xml:space="preserve">Acosta Gutierrez Angel Eduardo </t>
  </si>
  <si>
    <t>MANZANILLO 2</t>
  </si>
  <si>
    <t xml:space="preserve">Alfaro Galindo Yurintzi Del Rosari </t>
  </si>
  <si>
    <t>MANZANILLO 3</t>
  </si>
  <si>
    <t xml:space="preserve">Alvarez Burgos Francisco </t>
  </si>
  <si>
    <t>MANZANILLO 4</t>
  </si>
  <si>
    <t xml:space="preserve">Amaya Lopez Aaron </t>
  </si>
  <si>
    <t>MANZANILLO 5</t>
  </si>
  <si>
    <t xml:space="preserve">Aramburo Lizarraga Cesar De Jesus </t>
  </si>
  <si>
    <t>MANZANILLO 6</t>
  </si>
  <si>
    <t xml:space="preserve">Archila Solar Diana Abigail </t>
  </si>
  <si>
    <t>MANZANILLO 7</t>
  </si>
  <si>
    <t xml:space="preserve">Ayala Rochin Juan Felipe </t>
  </si>
  <si>
    <t>MANZANILLO 8</t>
  </si>
  <si>
    <t xml:space="preserve">Cabrera Morgan Stephanie </t>
  </si>
  <si>
    <t>MANZANILLO 9</t>
  </si>
  <si>
    <t xml:space="preserve">Cardenas Salazar Cuauthemoc </t>
  </si>
  <si>
    <t>MANZANILLO 10</t>
  </si>
  <si>
    <t xml:space="preserve">Castillo Velasco Romeo </t>
  </si>
  <si>
    <t>MANZANILLO 11</t>
  </si>
  <si>
    <t xml:space="preserve">Castro Ramirez Raul </t>
  </si>
  <si>
    <t>MANZANILLO 12</t>
  </si>
  <si>
    <t xml:space="preserve">Chavez Lopez Carmen Alicia Guada </t>
  </si>
  <si>
    <t>MANZANILLO 13</t>
  </si>
  <si>
    <t xml:space="preserve">Chocoteco Hinojosa Ana Isabel </t>
  </si>
  <si>
    <t>MANZANILLO 14</t>
  </si>
  <si>
    <t xml:space="preserve">Cruz Juarez Humberto Antonio </t>
  </si>
  <si>
    <t>MANZANILLO 15</t>
  </si>
  <si>
    <t xml:space="preserve">Cruz Ramirez Nery Zuleyma </t>
  </si>
  <si>
    <t>MANZANILLO 16</t>
  </si>
  <si>
    <t xml:space="preserve">Damian Vilorio Omar Alfredo </t>
  </si>
  <si>
    <t>MANZANILLO 17</t>
  </si>
  <si>
    <t xml:space="preserve">De La Pena Rincon Daniel </t>
  </si>
  <si>
    <t>MANZANILLO 18</t>
  </si>
  <si>
    <t xml:space="preserve">Delgado Ventura Miriam Odette </t>
  </si>
  <si>
    <t>MANZANILLO 19</t>
  </si>
  <si>
    <t xml:space="preserve">Diaz Vite Ulises </t>
  </si>
  <si>
    <t>MANZANILLO 20</t>
  </si>
  <si>
    <t xml:space="preserve">Elizaldi Benitez Alfredo </t>
  </si>
  <si>
    <t>MANZANILLO 21</t>
  </si>
  <si>
    <t xml:space="preserve">Figueroa Rivera Esmeralda Guadalupe </t>
  </si>
  <si>
    <t>MANZANILLO 22</t>
  </si>
  <si>
    <t xml:space="preserve">Flores Martinez Eli German </t>
  </si>
  <si>
    <t>MANZANILLO 23</t>
  </si>
  <si>
    <t xml:space="preserve">Garcia Ramirez Francisco Eduardo </t>
  </si>
  <si>
    <t>MANZANILLO 24</t>
  </si>
  <si>
    <t xml:space="preserve">Godinez Velazquez Karla Natali </t>
  </si>
  <si>
    <t>MANZANILLO 25</t>
  </si>
  <si>
    <t xml:space="preserve">Gomez Eslava Lidia Saori </t>
  </si>
  <si>
    <t>MANZANILLO 26</t>
  </si>
  <si>
    <t xml:space="preserve">Gomez Perez Maria Elena </t>
  </si>
  <si>
    <t>MANZANILLO 27</t>
  </si>
  <si>
    <t xml:space="preserve">Gonzalez Larios Sergio </t>
  </si>
  <si>
    <t>MANZANILLO 28</t>
  </si>
  <si>
    <t xml:space="preserve">Guexpal Arana Ramon Efren </t>
  </si>
  <si>
    <t>MANZANILLO 29</t>
  </si>
  <si>
    <t xml:space="preserve">Guzman Gomez Sergio Maximiliano </t>
  </si>
  <si>
    <t>MANZANILLO 30</t>
  </si>
  <si>
    <t xml:space="preserve">Hernandez Hernandez Veronica Natali </t>
  </si>
  <si>
    <t>MANZANILLO 31</t>
  </si>
  <si>
    <t xml:space="preserve">Hernandez Ramirez Myriam Esmeralda </t>
  </si>
  <si>
    <t>MANZANILLO 32</t>
  </si>
  <si>
    <t xml:space="preserve">Hernandez Ruiz Ivan Erick </t>
  </si>
  <si>
    <t>MANZANILLO 33</t>
  </si>
  <si>
    <t xml:space="preserve">Labra Vargas Erasmo Noe </t>
  </si>
  <si>
    <t>MANZANILLO 34</t>
  </si>
  <si>
    <t xml:space="preserve">Lopez Galvez Esmeralda Del Rosio </t>
  </si>
  <si>
    <t>MANZANILLO 35</t>
  </si>
  <si>
    <t xml:space="preserve">Lopez Guillen Juan Carlos </t>
  </si>
  <si>
    <t>MANZANILLO 36</t>
  </si>
  <si>
    <t xml:space="preserve">Lopez Juarez Yuridiana Hosiris </t>
  </si>
  <si>
    <t>MANZANILLO 37</t>
  </si>
  <si>
    <t xml:space="preserve">Lopez Roman Daniel </t>
  </si>
  <si>
    <t>MANZANILLO 38</t>
  </si>
  <si>
    <t xml:space="preserve">Magana Espinoza Fabiola Del Carmen </t>
  </si>
  <si>
    <t>MANZANILLO 39</t>
  </si>
  <si>
    <t xml:space="preserve">Maldondo Arteaga Diego Abraham </t>
  </si>
  <si>
    <t>MANZANILLO 40</t>
  </si>
  <si>
    <t xml:space="preserve">Malvaez Rodriguez Antonio De Jesus </t>
  </si>
  <si>
    <t>MANZANILLO 41</t>
  </si>
  <si>
    <t xml:space="preserve">Martinez Agudo Lourdes </t>
  </si>
  <si>
    <t>MANZANILLO 42</t>
  </si>
  <si>
    <t xml:space="preserve">Martinez Nogueda Rigoberto </t>
  </si>
  <si>
    <t>MANZANILLO 43</t>
  </si>
  <si>
    <t xml:space="preserve">Martinez Perez Jose Juan </t>
  </si>
  <si>
    <t>MANZANILLO 44</t>
  </si>
  <si>
    <t xml:space="preserve">Martinez Torres Martin </t>
  </si>
  <si>
    <t>MANZANILLO 45</t>
  </si>
  <si>
    <t xml:space="preserve">Martinez Valdez Julio Alejandro </t>
  </si>
  <si>
    <t>MANZANILLO 46</t>
  </si>
  <si>
    <t xml:space="preserve">Monreal Estrada Magdalena </t>
  </si>
  <si>
    <t>MANZANILLO 47</t>
  </si>
  <si>
    <t xml:space="preserve">Montanez Cerdio Victor Esau </t>
  </si>
  <si>
    <t>MANZANILLO 48</t>
  </si>
  <si>
    <t xml:space="preserve">Ocana Peralta Isai </t>
  </si>
  <si>
    <t>MANZANILLO 49</t>
  </si>
  <si>
    <t xml:space="preserve">Orduno Zazueta German Ernesto </t>
  </si>
  <si>
    <t>MANZANILLO 50</t>
  </si>
  <si>
    <t xml:space="preserve">Perez Contreras Hector Noe </t>
  </si>
  <si>
    <t>MANZANILLO 51</t>
  </si>
  <si>
    <t xml:space="preserve">Perez Montes Roberto </t>
  </si>
  <si>
    <t>MANZANILLO 52</t>
  </si>
  <si>
    <t xml:space="preserve">Perez Uc Jose Efrain </t>
  </si>
  <si>
    <t>MANZANILLO 53</t>
  </si>
  <si>
    <t xml:space="preserve">Quinones Cabellos Noel Alejandro </t>
  </si>
  <si>
    <t>MANZANILLO 54</t>
  </si>
  <si>
    <t xml:space="preserve">Rafael Martinez Luis Angel </t>
  </si>
  <si>
    <t>MANZANILLO 55</t>
  </si>
  <si>
    <t xml:space="preserve">Ramirez Mandujano Jose Francisco </t>
  </si>
  <si>
    <t>MANZANILLO 56</t>
  </si>
  <si>
    <t xml:space="preserve">Ramos Garcia Alan Yozimar </t>
  </si>
  <si>
    <t>MANZANILLO 57</t>
  </si>
  <si>
    <t xml:space="preserve">Rico Ruiz Glenda Elizabeth </t>
  </si>
  <si>
    <t>MANZANILLO 58</t>
  </si>
  <si>
    <t xml:space="preserve">Rodriguez Avila Edgar </t>
  </si>
  <si>
    <t>MANZANILLO 59</t>
  </si>
  <si>
    <t xml:space="preserve">Rodriguez Rodriguez Angel Mauricio </t>
  </si>
  <si>
    <t>MANZANILLO 60</t>
  </si>
  <si>
    <t xml:space="preserve">Rodriguez Zambrano Arturo Cristaldi </t>
  </si>
  <si>
    <t>MANZANILLO 61</t>
  </si>
  <si>
    <t xml:space="preserve">Rojas Bautista Miguel Martin </t>
  </si>
  <si>
    <t>MANZANILLO 62</t>
  </si>
  <si>
    <t xml:space="preserve">Romero Diaz Erick </t>
  </si>
  <si>
    <t>MANZANILLO 63</t>
  </si>
  <si>
    <t xml:space="preserve">Romero Quevedo Diego Alberto </t>
  </si>
  <si>
    <t>MANZANILLO 64</t>
  </si>
  <si>
    <t xml:space="preserve">Rubio Cordero Adela Maria </t>
  </si>
  <si>
    <t>MANZANILLO 65</t>
  </si>
  <si>
    <t xml:space="preserve">Rueda Guzman Jehovani David </t>
  </si>
  <si>
    <t>MANZANILLO 66</t>
  </si>
  <si>
    <t xml:space="preserve">Ruiz Hernandez Rodolfo </t>
  </si>
  <si>
    <t>MANZANILLO 67</t>
  </si>
  <si>
    <t xml:space="preserve">Ruiz Reynoso Jaime Rafael </t>
  </si>
  <si>
    <t>MANZANILLO 68</t>
  </si>
  <si>
    <t xml:space="preserve">Salas Cortez Estrella </t>
  </si>
  <si>
    <t>MANZANILLO 69</t>
  </si>
  <si>
    <t xml:space="preserve">Sanchez Velez Jose Jorge </t>
  </si>
  <si>
    <t>MANZANILLO 70</t>
  </si>
  <si>
    <t xml:space="preserve">Santiago Lucas Miguel Angel </t>
  </si>
  <si>
    <t>MANZANILLO 71</t>
  </si>
  <si>
    <t xml:space="preserve">Santiago Martinez Edwin De Jesus </t>
  </si>
  <si>
    <t>MANZANILLO 72</t>
  </si>
  <si>
    <t xml:space="preserve">Sosa Orobio Jesus </t>
  </si>
  <si>
    <t>MANZANILLO 73</t>
  </si>
  <si>
    <t xml:space="preserve">Soto Salazar Clara Isabel </t>
  </si>
  <si>
    <t>MANZANILLO 74</t>
  </si>
  <si>
    <t xml:space="preserve">Tejeda Castaneda Jose Alfredo </t>
  </si>
  <si>
    <t>MANZANILLO 75</t>
  </si>
  <si>
    <t xml:space="preserve">Toledo Hernandez Maria Del Rocio </t>
  </si>
  <si>
    <t>MANZANILLO 76</t>
  </si>
  <si>
    <t xml:space="preserve">Torres Laguna Roberto </t>
  </si>
  <si>
    <t>MANZANILLO 77</t>
  </si>
  <si>
    <t xml:space="preserve">Torres Lugo Mirtha Berenice </t>
  </si>
  <si>
    <t>MANZANILLO 78</t>
  </si>
  <si>
    <t xml:space="preserve">Valdez Gildo Raquel Alejandra </t>
  </si>
  <si>
    <t>MANZANILLO 79</t>
  </si>
  <si>
    <t xml:space="preserve">Vazquez Alvarado Jose De Jesus </t>
  </si>
  <si>
    <t>MANZANILLO 80</t>
  </si>
  <si>
    <t xml:space="preserve">Villegas Cabezas Cesar Fabian </t>
  </si>
  <si>
    <t>MANZANILLO 81</t>
  </si>
  <si>
    <t xml:space="preserve">Zarate Lopez Juan Francisco </t>
  </si>
  <si>
    <t>MANZANILLO 82</t>
  </si>
  <si>
    <t>MANZANILLO 83</t>
  </si>
  <si>
    <t>MANZANILLO 84</t>
  </si>
  <si>
    <t>MANZANILLO 85</t>
  </si>
  <si>
    <t>MANZANILLO 86</t>
  </si>
  <si>
    <t>MANZANILLO 87</t>
  </si>
  <si>
    <t>MANZANILLO 88</t>
  </si>
  <si>
    <t>MANZANILLO 89</t>
  </si>
  <si>
    <t>MANZANILLO 90</t>
  </si>
  <si>
    <t>MATAMOROS 1</t>
  </si>
  <si>
    <t>Bocanegra Cervantes Carlos Alberto</t>
  </si>
  <si>
    <t>Apendice ByC no llenos-Histotial aparte</t>
  </si>
  <si>
    <t>MATAMOROS 2</t>
  </si>
  <si>
    <t xml:space="preserve">Cordoba Guzman Lizet Yazmin </t>
  </si>
  <si>
    <t>MATAMOROS 3</t>
  </si>
  <si>
    <t>Delgado Ibarra Gerardo</t>
  </si>
  <si>
    <t>Vigente-error en nombre</t>
  </si>
  <si>
    <t>MATAMOROS 4</t>
  </si>
  <si>
    <t>Lara Baez Jesus Javier</t>
  </si>
  <si>
    <t>Apendice ByC no llenos-HISTORIAL APARTE -falta firma RL</t>
  </si>
  <si>
    <t>MATAMOROS 5</t>
  </si>
  <si>
    <t>Murillo Garza Julio Jaime</t>
  </si>
  <si>
    <t>MATAMOROS 6</t>
  </si>
  <si>
    <t xml:space="preserve">Ortiz Yanez Miriam </t>
  </si>
  <si>
    <t>MATAMOROS 7</t>
  </si>
  <si>
    <t>Ramirez Cruz Juan Carlos</t>
  </si>
  <si>
    <t>MATAMOROS 8</t>
  </si>
  <si>
    <t xml:space="preserve">Rivera Del Angel Marco Antonio </t>
  </si>
  <si>
    <t>MATAMOROS 9</t>
  </si>
  <si>
    <t>Salinas Zamarripa Julio Cesar</t>
  </si>
  <si>
    <t>MATAMOROS 10</t>
  </si>
  <si>
    <t>MATAMOROS 11</t>
  </si>
  <si>
    <t>MATAMOROS 12</t>
  </si>
  <si>
    <t>MATAMOROS 13</t>
  </si>
  <si>
    <t>MATAMOROS 14</t>
  </si>
  <si>
    <t>MATAMOROS 15</t>
  </si>
  <si>
    <t>MATAMOROS 16</t>
  </si>
  <si>
    <t>MATAMOROS 17</t>
  </si>
  <si>
    <t>MATAMOROS 18</t>
  </si>
  <si>
    <t>MATAMOROS 19</t>
  </si>
  <si>
    <t>MATAMOROS 20</t>
  </si>
  <si>
    <t>MATAMOROS 21</t>
  </si>
  <si>
    <t>MATAMOROS 22</t>
  </si>
  <si>
    <t>MATAMOROS 23</t>
  </si>
  <si>
    <t>MATAMOROS 24</t>
  </si>
  <si>
    <t>MATAMOROS 25</t>
  </si>
  <si>
    <t>MATAMOROS 26</t>
  </si>
  <si>
    <t>MATAMOROS 27</t>
  </si>
  <si>
    <t>MATAMOROS 28</t>
  </si>
  <si>
    <t>MATAMOROS 29</t>
  </si>
  <si>
    <t>MATAMOROS 30</t>
  </si>
  <si>
    <t>MATAMOROS 31</t>
  </si>
  <si>
    <t>MATAMOROS 32</t>
  </si>
  <si>
    <t>MATAMOROS 33</t>
  </si>
  <si>
    <t>MATAMOROS 34</t>
  </si>
  <si>
    <t>MATAMOROS 35</t>
  </si>
  <si>
    <t>MATAMOROS 36</t>
  </si>
  <si>
    <t>MATAMOROS 37</t>
  </si>
  <si>
    <t>MATAMOROS 38</t>
  </si>
  <si>
    <t>MATAMOROS 39</t>
  </si>
  <si>
    <t>MATAMOROS 40</t>
  </si>
  <si>
    <t>MATAMOROS 41</t>
  </si>
  <si>
    <t>MATAMOROS 42</t>
  </si>
  <si>
    <t>MATAMOROS 43</t>
  </si>
  <si>
    <t>MATAMOROS 44</t>
  </si>
  <si>
    <t>MATAMOROS 45</t>
  </si>
  <si>
    <t>MATAMOROS 46</t>
  </si>
  <si>
    <t>MATAMOROS 47</t>
  </si>
  <si>
    <t>MATAMOROS 48</t>
  </si>
  <si>
    <t>MATAMOROS 49</t>
  </si>
  <si>
    <t>MATAMOROS 50</t>
  </si>
  <si>
    <t>MATAMOROS 51</t>
  </si>
  <si>
    <t>MATAMOROS 52</t>
  </si>
  <si>
    <t>MATAMOROS 53</t>
  </si>
  <si>
    <t>MATAMOROS 54</t>
  </si>
  <si>
    <t>MATAMOROS 55</t>
  </si>
  <si>
    <t>MATAMOROS 56</t>
  </si>
  <si>
    <t>MATAMOROS 57</t>
  </si>
  <si>
    <t>MATAMOROS 58</t>
  </si>
  <si>
    <t>MATAMOROS 59</t>
  </si>
  <si>
    <t>MATAMOROS 60</t>
  </si>
  <si>
    <t>MATAMOROS 61</t>
  </si>
  <si>
    <t>MATAMOROS 62</t>
  </si>
  <si>
    <t>MATAMOROS 63</t>
  </si>
  <si>
    <t>MATAMOROS 64</t>
  </si>
  <si>
    <t>MATAMOROS 65</t>
  </si>
  <si>
    <t>MATAMOROS 66</t>
  </si>
  <si>
    <t>MATAMOROS 67</t>
  </si>
  <si>
    <t>MATAMOROS 68</t>
  </si>
  <si>
    <t>MATAMOROS 69</t>
  </si>
  <si>
    <t>MATAMOROS 70</t>
  </si>
  <si>
    <t>MATAMOROS 71</t>
  </si>
  <si>
    <t>MATAMOROS 72</t>
  </si>
  <si>
    <t>MATAMOROS 73</t>
  </si>
  <si>
    <t>MATAMOROS 74</t>
  </si>
  <si>
    <t>MATAMOROS 75</t>
  </si>
  <si>
    <t>MATAMOROS 76</t>
  </si>
  <si>
    <t>MATAMOROS 77</t>
  </si>
  <si>
    <t>MATAMOROS 78</t>
  </si>
  <si>
    <t>MATAMOROS 79</t>
  </si>
  <si>
    <t>MATAMOROS 80</t>
  </si>
  <si>
    <t>MAZATLAN 1</t>
  </si>
  <si>
    <t xml:space="preserve">Castillo Sinsel Oscar Francisco </t>
  </si>
  <si>
    <t>MAZATLAN 2</t>
  </si>
  <si>
    <t xml:space="preserve">Contreras Gutierrez Jose Alberto </t>
  </si>
  <si>
    <t>MAZATLAN 3</t>
  </si>
  <si>
    <t xml:space="preserve">Herrera Valenzuela Carlos Armando </t>
  </si>
  <si>
    <t>MAZATLAN 4</t>
  </si>
  <si>
    <t>MAZATLAN 5</t>
  </si>
  <si>
    <t xml:space="preserve">Mendoza Toribio Victor Alfonso </t>
  </si>
  <si>
    <t>MAZATLAN 6</t>
  </si>
  <si>
    <t xml:space="preserve">Morales Sanchez Porfirio </t>
  </si>
  <si>
    <t>MAZATLAN 7</t>
  </si>
  <si>
    <t xml:space="preserve">Moreno Rivera Miguel Adolfo </t>
  </si>
  <si>
    <t>MAZATLAN 8</t>
  </si>
  <si>
    <t xml:space="preserve">Nuno Alvarez Perla Ingrid </t>
  </si>
  <si>
    <t>MAZATLAN 9</t>
  </si>
  <si>
    <t xml:space="preserve">Quinones Gonzalez Maria Del Socorro D </t>
  </si>
  <si>
    <t>MAZATLAN 10</t>
  </si>
  <si>
    <t xml:space="preserve">Ruelas Leal Margarita </t>
  </si>
  <si>
    <t>MAZATLAN 11</t>
  </si>
  <si>
    <t xml:space="preserve">Sanchez Alatorre Oscar Fernando </t>
  </si>
  <si>
    <t>MAZATLAN 12</t>
  </si>
  <si>
    <t xml:space="preserve">Sarabia Cruz Edgar Eduardo </t>
  </si>
  <si>
    <t>MAZATLAN 13</t>
  </si>
  <si>
    <t xml:space="preserve">Sotelo Asuncion Natally Maricarmen </t>
  </si>
  <si>
    <t>MAZATLAN 14</t>
  </si>
  <si>
    <t xml:space="preserve">Tamayo Rivas Jose Fernando </t>
  </si>
  <si>
    <t>MAZATLAN 15</t>
  </si>
  <si>
    <t xml:space="preserve">Zatarain Ortiz Rangel Urbano </t>
  </si>
  <si>
    <t>MAZATLAN 16</t>
  </si>
  <si>
    <t>MAZATLAN 17</t>
  </si>
  <si>
    <t>MAZATLAN 18</t>
  </si>
  <si>
    <t>MAZATLAN 19</t>
  </si>
  <si>
    <t>MAZATLAN 20</t>
  </si>
  <si>
    <t>MAZATLAN 21</t>
  </si>
  <si>
    <t>MAZATLAN 22</t>
  </si>
  <si>
    <t>MAZATLAN 23</t>
  </si>
  <si>
    <t>MAZATLAN 24</t>
  </si>
  <si>
    <t>MAZATLAN 25</t>
  </si>
  <si>
    <t>MAZATLAN 26</t>
  </si>
  <si>
    <t>MAZATLAN 27</t>
  </si>
  <si>
    <t>MAZATLAN 28</t>
  </si>
  <si>
    <t>MAZATLAN 29</t>
  </si>
  <si>
    <t>MAZATLAN 30</t>
  </si>
  <si>
    <t>MAZATLAN 31</t>
  </si>
  <si>
    <t>MAZATLAN 32</t>
  </si>
  <si>
    <t>MAZATLAN 33</t>
  </si>
  <si>
    <t>MAZATLAN 34</t>
  </si>
  <si>
    <t>MAZATLAN 35</t>
  </si>
  <si>
    <t>MAZATLAN 36</t>
  </si>
  <si>
    <t>MAZATLAN 37</t>
  </si>
  <si>
    <t>MAZATLAN 38</t>
  </si>
  <si>
    <t>MAZATLAN 39</t>
  </si>
  <si>
    <t>MAZATLAN 40</t>
  </si>
  <si>
    <t>MAZATLAN 41</t>
  </si>
  <si>
    <t>MAZATLAN 42</t>
  </si>
  <si>
    <t>MAZATLAN 43</t>
  </si>
  <si>
    <t>MAZATLAN 44</t>
  </si>
  <si>
    <t>MAZATLAN 45</t>
  </si>
  <si>
    <t>MAZATLAN 46</t>
  </si>
  <si>
    <t>MAZATLAN 47</t>
  </si>
  <si>
    <t>MAZATLAN 48</t>
  </si>
  <si>
    <t>MAZATLAN 49</t>
  </si>
  <si>
    <t>MAZATLAN 50</t>
  </si>
  <si>
    <t>MAZATLAN 51</t>
  </si>
  <si>
    <t>MAZATLAN 52</t>
  </si>
  <si>
    <t>MAZATLAN 53</t>
  </si>
  <si>
    <t>MAZATLAN 54</t>
  </si>
  <si>
    <t>MAZATLAN 55</t>
  </si>
  <si>
    <t>MAZATLAN 56</t>
  </si>
  <si>
    <t>MAZATLAN 57</t>
  </si>
  <si>
    <t>MAZATLAN 58</t>
  </si>
  <si>
    <t>MAZATLAN 59</t>
  </si>
  <si>
    <t>MAZATLAN 60</t>
  </si>
  <si>
    <t>MAZATLAN 61</t>
  </si>
  <si>
    <t>MAZATLAN 62</t>
  </si>
  <si>
    <t>MAZATLAN 63</t>
  </si>
  <si>
    <t>MAZATLAN 64</t>
  </si>
  <si>
    <t>MAZATLAN 65</t>
  </si>
  <si>
    <t>MAZATLAN 66</t>
  </si>
  <si>
    <t>MAZATLAN 67</t>
  </si>
  <si>
    <t>MAZATLAN 68</t>
  </si>
  <si>
    <t>MAZATLAN 69</t>
  </si>
  <si>
    <t>MAZATLAN 70</t>
  </si>
  <si>
    <t>MAZATLAN 71</t>
  </si>
  <si>
    <t>MAZATLAN 72</t>
  </si>
  <si>
    <t>MAZATLAN 73</t>
  </si>
  <si>
    <t>MAZATLAN 74</t>
  </si>
  <si>
    <t>MAZATLAN 75</t>
  </si>
  <si>
    <t>MAZATLAN 76</t>
  </si>
  <si>
    <t>MAZATLAN 77</t>
  </si>
  <si>
    <t>MAZATLAN 78</t>
  </si>
  <si>
    <t>MAZATLAN 79</t>
  </si>
  <si>
    <t>MAZATLAN 80</t>
  </si>
  <si>
    <t>MEXICALI 1</t>
  </si>
  <si>
    <t>Avila Mendoza Diego Abel</t>
  </si>
  <si>
    <t>falta firma RL-VENCIDOS</t>
  </si>
  <si>
    <t>CARTILLA MILITAR</t>
  </si>
  <si>
    <t>MEXICALI 2</t>
  </si>
  <si>
    <t>Bermejo Garcia Hugo</t>
  </si>
  <si>
    <t>22-AGO-23</t>
  </si>
  <si>
    <t>MEXICALI 3</t>
  </si>
  <si>
    <t xml:space="preserve">Guerrero Orozco Maria Abigail </t>
  </si>
  <si>
    <t>MEXICALI 4</t>
  </si>
  <si>
    <t xml:space="preserve">Lopez Cardona Rene </t>
  </si>
  <si>
    <t>MEXICALI 5</t>
  </si>
  <si>
    <t xml:space="preserve">Lopez Robles Elizabeth </t>
  </si>
  <si>
    <t>MEXICALI 6</t>
  </si>
  <si>
    <t xml:space="preserve">Melendez Sandoval Jose Eduardo </t>
  </si>
  <si>
    <t>MEXICALI 7</t>
  </si>
  <si>
    <t>Munoz Espindola Erick</t>
  </si>
  <si>
    <t>CERTIFICADO DE CALIFICACIONES</t>
  </si>
  <si>
    <t>MEXICALI 8</t>
  </si>
  <si>
    <t xml:space="preserve">Rescalvo Pena Christopher Hernan </t>
  </si>
  <si>
    <t>MEXICALI 9</t>
  </si>
  <si>
    <t xml:space="preserve">Reyes Gonzales Leticia Isabel </t>
  </si>
  <si>
    <t>MEXICALI 10</t>
  </si>
  <si>
    <t>Rodriguez Martinez Jazmin</t>
  </si>
  <si>
    <t>MEXICALI 11</t>
  </si>
  <si>
    <t>Seba Temich Miriam</t>
  </si>
  <si>
    <t>CEDULA NO VISIBLE</t>
  </si>
  <si>
    <t>MEXICALI 12</t>
  </si>
  <si>
    <t>Valverde Buendia Luis Antonio</t>
  </si>
  <si>
    <t>INE SOLO POR UN LADO</t>
  </si>
  <si>
    <t>MEXICALI 13</t>
  </si>
  <si>
    <t>Yllescas Angulo Ivan</t>
  </si>
  <si>
    <t>MEXICALI 14</t>
  </si>
  <si>
    <t>MEXICALI 15</t>
  </si>
  <si>
    <t>MEXICALI 16</t>
  </si>
  <si>
    <t>MEXICALI 17</t>
  </si>
  <si>
    <t>MEXICALI 18</t>
  </si>
  <si>
    <t>MEXICALI 19</t>
  </si>
  <si>
    <t>MEXICALI 20</t>
  </si>
  <si>
    <t>MEXICALI 21</t>
  </si>
  <si>
    <t>MEXICALI 22</t>
  </si>
  <si>
    <t>MEXICALI 23</t>
  </si>
  <si>
    <t>MEXICALI 24</t>
  </si>
  <si>
    <t>MEXICALI 25</t>
  </si>
  <si>
    <t>MEXICALI 26</t>
  </si>
  <si>
    <t>MEXICALI 27</t>
  </si>
  <si>
    <t>MEXICALI 28</t>
  </si>
  <si>
    <t>MEXICALI 29</t>
  </si>
  <si>
    <t>MEXICALI 30</t>
  </si>
  <si>
    <t>MEXICALI 31</t>
  </si>
  <si>
    <t>MEXICALI 32</t>
  </si>
  <si>
    <t>MEXICALI 33</t>
  </si>
  <si>
    <t>MEXICALI 34</t>
  </si>
  <si>
    <t>MEXICALI 35</t>
  </si>
  <si>
    <t>MEXICALI 36</t>
  </si>
  <si>
    <t>MEXICALI 37</t>
  </si>
  <si>
    <t>MEXICALI 38</t>
  </si>
  <si>
    <t>MEXICALI 39</t>
  </si>
  <si>
    <t>MEXICALI 40</t>
  </si>
  <si>
    <t>MEXICALI 41</t>
  </si>
  <si>
    <t>MEXICALI 42</t>
  </si>
  <si>
    <t>MEXICALI 43</t>
  </si>
  <si>
    <t>MEXICALI 44</t>
  </si>
  <si>
    <t>MEXICALI 45</t>
  </si>
  <si>
    <t>MEXICALI 46</t>
  </si>
  <si>
    <t>MEXICALI 47</t>
  </si>
  <si>
    <t>MEXICALI 48</t>
  </si>
  <si>
    <t>MEXICALI 49</t>
  </si>
  <si>
    <t>MEXICALI 50</t>
  </si>
  <si>
    <t>MEXICALI 51</t>
  </si>
  <si>
    <t>MEXICALI 52</t>
  </si>
  <si>
    <t>MEXICALI 53</t>
  </si>
  <si>
    <t>MEXICALI 54</t>
  </si>
  <si>
    <t>MEXICALI 55</t>
  </si>
  <si>
    <t>MEXICALI 56</t>
  </si>
  <si>
    <t>MEXICALI 57</t>
  </si>
  <si>
    <t>MEXICALI 58</t>
  </si>
  <si>
    <t>MEXICALI 59</t>
  </si>
  <si>
    <t>MEXICALI 60</t>
  </si>
  <si>
    <t>MEXICALI 61</t>
  </si>
  <si>
    <t>MEXICALI 62</t>
  </si>
  <si>
    <t>MEXICALI 63</t>
  </si>
  <si>
    <t>MEXICALI 64</t>
  </si>
  <si>
    <t>MEXICALI 65</t>
  </si>
  <si>
    <t>MEXICALI 66</t>
  </si>
  <si>
    <t>MEXICALI 67</t>
  </si>
  <si>
    <t>MEXICALI 68</t>
  </si>
  <si>
    <t>MEXICALI 69</t>
  </si>
  <si>
    <t>MEXICALI 70</t>
  </si>
  <si>
    <t>MEXICALI 71</t>
  </si>
  <si>
    <t>MEXICALI 72</t>
  </si>
  <si>
    <t>MEXICALI 73</t>
  </si>
  <si>
    <t>MEXICALI 74</t>
  </si>
  <si>
    <t>MEXICALI 75</t>
  </si>
  <si>
    <t>MEXICALI 76</t>
  </si>
  <si>
    <t>MEXICALI 77</t>
  </si>
  <si>
    <t>MEXICALI 78</t>
  </si>
  <si>
    <t>MEXICALI 79</t>
  </si>
  <si>
    <t>MEXICALI 80</t>
  </si>
  <si>
    <t>NACO 1</t>
  </si>
  <si>
    <t xml:space="preserve">Alcantar Mendoza Rosa Yesenia </t>
  </si>
  <si>
    <t>NACO 2</t>
  </si>
  <si>
    <t xml:space="preserve">Ballesteros Espinosa Rosa Del Carmen </t>
  </si>
  <si>
    <t>NACO 3</t>
  </si>
  <si>
    <t xml:space="preserve">Castro Valdez Victor Manuel </t>
  </si>
  <si>
    <t>NACO 4</t>
  </si>
  <si>
    <t xml:space="preserve">Estrada Martinez Arcelia </t>
  </si>
  <si>
    <t>NACO 5</t>
  </si>
  <si>
    <t xml:space="preserve">Gonzalez Moreno Ofelia </t>
  </si>
  <si>
    <t>NACO 6</t>
  </si>
  <si>
    <t xml:space="preserve">Martinez Yriki Veronica Patricia </t>
  </si>
  <si>
    <t>NACO 7</t>
  </si>
  <si>
    <t xml:space="preserve">Ojendiz Carbajal Luis Armando </t>
  </si>
  <si>
    <t>NACO 8</t>
  </si>
  <si>
    <t xml:space="preserve">Silva Vazquez Cesar </t>
  </si>
  <si>
    <t>NACO 9</t>
  </si>
  <si>
    <t>NACO 10</t>
  </si>
  <si>
    <t>NACO 11</t>
  </si>
  <si>
    <t>NACO 12</t>
  </si>
  <si>
    <t>NACO 13</t>
  </si>
  <si>
    <t>NACO 14</t>
  </si>
  <si>
    <t>NACO 15</t>
  </si>
  <si>
    <t>NACO 16</t>
  </si>
  <si>
    <t>NACO 17</t>
  </si>
  <si>
    <t>NACO 18</t>
  </si>
  <si>
    <t>NACO 19</t>
  </si>
  <si>
    <t>NACO 20</t>
  </si>
  <si>
    <t>NACO 21</t>
  </si>
  <si>
    <t>NACO 22</t>
  </si>
  <si>
    <t>NACO 23</t>
  </si>
  <si>
    <t>NACO 24</t>
  </si>
  <si>
    <t>NACO 25</t>
  </si>
  <si>
    <t>NACO 26</t>
  </si>
  <si>
    <t>NACO 27</t>
  </si>
  <si>
    <t>NACO 28</t>
  </si>
  <si>
    <t>NACO 29</t>
  </si>
  <si>
    <t>NACO 30</t>
  </si>
  <si>
    <t>NACO 31</t>
  </si>
  <si>
    <t>NACO 32</t>
  </si>
  <si>
    <t>NACO 33</t>
  </si>
  <si>
    <t>NACO 34</t>
  </si>
  <si>
    <t>NACO 35</t>
  </si>
  <si>
    <t>NACO 36</t>
  </si>
  <si>
    <t>NACO 37</t>
  </si>
  <si>
    <t>NACO 38</t>
  </si>
  <si>
    <t>NACO 39</t>
  </si>
  <si>
    <t>NACO 40</t>
  </si>
  <si>
    <t>NACO 41</t>
  </si>
  <si>
    <t>NACO 42</t>
  </si>
  <si>
    <t>NACO 43</t>
  </si>
  <si>
    <t>NACO 44</t>
  </si>
  <si>
    <t>NACO 45</t>
  </si>
  <si>
    <t>NACO 46</t>
  </si>
  <si>
    <t>NACO 47</t>
  </si>
  <si>
    <t>NACO 48</t>
  </si>
  <si>
    <t>NACO 49</t>
  </si>
  <si>
    <t>NACO 50</t>
  </si>
  <si>
    <t>NACO 51</t>
  </si>
  <si>
    <t>NACO 52</t>
  </si>
  <si>
    <t>NACO 53</t>
  </si>
  <si>
    <t>NACO 54</t>
  </si>
  <si>
    <t>NACO 55</t>
  </si>
  <si>
    <t>NACO 56</t>
  </si>
  <si>
    <t>NACO 57</t>
  </si>
  <si>
    <t>NACO 58</t>
  </si>
  <si>
    <t>NACO 59</t>
  </si>
  <si>
    <t>NACO 60</t>
  </si>
  <si>
    <t>NACO 61</t>
  </si>
  <si>
    <t>NACO 62</t>
  </si>
  <si>
    <t>NACO 63</t>
  </si>
  <si>
    <t>NACO 64</t>
  </si>
  <si>
    <t>NACO 65</t>
  </si>
  <si>
    <t>NACO 66</t>
  </si>
  <si>
    <t>NACO 67</t>
  </si>
  <si>
    <t>NACO 68</t>
  </si>
  <si>
    <t>NACO 69</t>
  </si>
  <si>
    <t>NACO 70</t>
  </si>
  <si>
    <t>NACO 71</t>
  </si>
  <si>
    <t>NACO 72</t>
  </si>
  <si>
    <t>NACO 73</t>
  </si>
  <si>
    <t>NACO 74</t>
  </si>
  <si>
    <t>NACO 75</t>
  </si>
  <si>
    <t>NACO 76</t>
  </si>
  <si>
    <t>NACO 77</t>
  </si>
  <si>
    <t>NACO 78</t>
  </si>
  <si>
    <t>NACO 79</t>
  </si>
  <si>
    <t>NACO 80</t>
  </si>
  <si>
    <t>NUEVO LAREDO 1</t>
  </si>
  <si>
    <t xml:space="preserve">Acosta Ramos Catalina </t>
  </si>
  <si>
    <t>NUEVO LAREDO 2</t>
  </si>
  <si>
    <t xml:space="preserve">Aguilera Nohpal Rocio </t>
  </si>
  <si>
    <t>NUEVO LAREDO 3</t>
  </si>
  <si>
    <t xml:space="preserve">Alvarado Venegas Martin </t>
  </si>
  <si>
    <t>NUEVO LAREDO 4</t>
  </si>
  <si>
    <t xml:space="preserve">Azuara Hernandez Edgardo Antonio </t>
  </si>
  <si>
    <t>NUEVO LAREDO 5</t>
  </si>
  <si>
    <t xml:space="preserve">Bautista Vasquez Jorge Alberto </t>
  </si>
  <si>
    <t>NUEVO LAREDO 6</t>
  </si>
  <si>
    <t xml:space="preserve">Beltran Valencia Krisbel </t>
  </si>
  <si>
    <t>NUEVO LAREDO 7</t>
  </si>
  <si>
    <t xml:space="preserve">Carrera Guzman Maria Cristina </t>
  </si>
  <si>
    <t>NUEVO LAREDO 8</t>
  </si>
  <si>
    <t xml:space="preserve">Castillo Resendiz Edelmira Walkiria </t>
  </si>
  <si>
    <t>NUEVO LAREDO 9</t>
  </si>
  <si>
    <t xml:space="preserve">Cayetano Rosas Lohicel </t>
  </si>
  <si>
    <t>NUEVO LAREDO 10</t>
  </si>
  <si>
    <t xml:space="preserve">Chong Avila Miguel Angel </t>
  </si>
  <si>
    <t>NUEVO LAREDO 11</t>
  </si>
  <si>
    <t xml:space="preserve">Cortez Hernandez Fatima </t>
  </si>
  <si>
    <t>NUEVO LAREDO 12</t>
  </si>
  <si>
    <t>Dominguez Flores Jorge</t>
  </si>
  <si>
    <t>FALTA APENDICE B-NO TIENE- FIRMA RL</t>
  </si>
  <si>
    <t>NUEVO LAREDO 13</t>
  </si>
  <si>
    <t xml:space="preserve">Duenez Canela Rosa Maria </t>
  </si>
  <si>
    <t>NUEVO LAREDO 14</t>
  </si>
  <si>
    <t xml:space="preserve">Eligio Gonzalez Julio Adrian </t>
  </si>
  <si>
    <t>NUEVO LAREDO 15</t>
  </si>
  <si>
    <t xml:space="preserve">Espinoza Rodriguez Nancy Rocio </t>
  </si>
  <si>
    <t>NUEVO LAREDO 16</t>
  </si>
  <si>
    <t xml:space="preserve">Garcia Melchor Omar </t>
  </si>
  <si>
    <t>NUEVO LAREDO 17</t>
  </si>
  <si>
    <t xml:space="preserve">Garcia Roger Luis Alberto </t>
  </si>
  <si>
    <t>NUEVO LAREDO 18</t>
  </si>
  <si>
    <t xml:space="preserve">Geronimo Jeronimo Jesus Alejandro </t>
  </si>
  <si>
    <t>NUEVO LAREDO 19</t>
  </si>
  <si>
    <t xml:space="preserve">Giron Perez Emiliano </t>
  </si>
  <si>
    <t>NUEVO LAREDO 20</t>
  </si>
  <si>
    <t xml:space="preserve">Gomez Vazquez Adrian </t>
  </si>
  <si>
    <t>NUEVO LAREDO 21</t>
  </si>
  <si>
    <t xml:space="preserve">Guzman Alvarado Erick Jesus </t>
  </si>
  <si>
    <t>NUEVO LAREDO 22</t>
  </si>
  <si>
    <t xml:space="preserve">Hernandez Bustos Antonio </t>
  </si>
  <si>
    <t>NUEVO LAREDO 23</t>
  </si>
  <si>
    <t xml:space="preserve">Hernandez Pineda Francisco </t>
  </si>
  <si>
    <t>NUEVO LAREDO 24</t>
  </si>
  <si>
    <t xml:space="preserve">Hernandez Abel Antonio </t>
  </si>
  <si>
    <t>NUEVO LAREDO 25</t>
  </si>
  <si>
    <t xml:space="preserve">Isai Serrano Dan </t>
  </si>
  <si>
    <t>NUEVO LAREDO 26</t>
  </si>
  <si>
    <t xml:space="preserve">Islas Salayez Audalberto </t>
  </si>
  <si>
    <t>NUEVO LAREDO 27</t>
  </si>
  <si>
    <t xml:space="preserve">Lopez Escobar Cinthya Ivette </t>
  </si>
  <si>
    <t>NUEVO LAREDO 28</t>
  </si>
  <si>
    <t xml:space="preserve">Lopez Soto William </t>
  </si>
  <si>
    <t>NUEVO LAREDO 29</t>
  </si>
  <si>
    <t xml:space="preserve">Martinez Estrada Cristian Jovany </t>
  </si>
  <si>
    <t>NUEVO LAREDO 30</t>
  </si>
  <si>
    <t xml:space="preserve">Martinez Gonzalez Miguel </t>
  </si>
  <si>
    <t>NUEVO LAREDO 31</t>
  </si>
  <si>
    <t xml:space="preserve">Martinez Rodriguez Jose Maria </t>
  </si>
  <si>
    <t>NUEVO LAREDO 32</t>
  </si>
  <si>
    <t xml:space="preserve">Martinez Santoya Luis Daniel </t>
  </si>
  <si>
    <t>NUEVO LAREDO 33</t>
  </si>
  <si>
    <t>Mendiola Cepeda Hilda Yolanda</t>
  </si>
  <si>
    <t>FALTA APENDICE B-NO TIENE FIRMA RL-TACHON EN FECHA APEND A</t>
  </si>
  <si>
    <t>NUEVO LAREDO 34</t>
  </si>
  <si>
    <t xml:space="preserve">Morales Meza Juan Jose </t>
  </si>
  <si>
    <t>NUEVO LAREDO 35</t>
  </si>
  <si>
    <t xml:space="preserve">Navarrete Santos Juan Carlos </t>
  </si>
  <si>
    <t>NUEVO LAREDO 36</t>
  </si>
  <si>
    <t xml:space="preserve">Palacio Estrada Grendy Yareth </t>
  </si>
  <si>
    <t>NUEVO LAREDO 37</t>
  </si>
  <si>
    <t xml:space="preserve">Perez Garcia Claudia Gabriela </t>
  </si>
  <si>
    <t>NUEVO LAREDO 38</t>
  </si>
  <si>
    <t xml:space="preserve">Ramirez Garcia Joel </t>
  </si>
  <si>
    <t>NUEVO LAREDO 39</t>
  </si>
  <si>
    <t xml:space="preserve">Rodriguez Diaz Maria Aline </t>
  </si>
  <si>
    <t>NUEVO LAREDO 40</t>
  </si>
  <si>
    <t xml:space="preserve">Rojas Peralta Fernando </t>
  </si>
  <si>
    <t>NUEVO LAREDO 41</t>
  </si>
  <si>
    <t xml:space="preserve">Sanchez Godines Adan </t>
  </si>
  <si>
    <t>NUEVO LAREDO 42</t>
  </si>
  <si>
    <t xml:space="preserve">Santiago Torres Jose Adrian </t>
  </si>
  <si>
    <t>NUEVO LAREDO 43</t>
  </si>
  <si>
    <t xml:space="preserve">Tehuitzin Visca Adolfo Uriel </t>
  </si>
  <si>
    <t>NUEVO LAREDO 44</t>
  </si>
  <si>
    <t xml:space="preserve">Torres Garcia Daniela Monserratt </t>
  </si>
  <si>
    <t>NUEVO LAREDO 45</t>
  </si>
  <si>
    <t xml:space="preserve">Tovilla Lopez Cesar Augusto </t>
  </si>
  <si>
    <t>NUEVO LAREDO 46</t>
  </si>
  <si>
    <t>NUEVO LAREDO 47</t>
  </si>
  <si>
    <t>NUEVO LAREDO 48</t>
  </si>
  <si>
    <t>NUEVO LAREDO 49</t>
  </si>
  <si>
    <t>NUEVO LAREDO 50</t>
  </si>
  <si>
    <t>NUEVO LAREDO 51</t>
  </si>
  <si>
    <t>NUEVO LAREDO 52</t>
  </si>
  <si>
    <t>NUEVO LAREDO 53</t>
  </si>
  <si>
    <t>NUEVO LAREDO 54</t>
  </si>
  <si>
    <t>NUEVO LAREDO 55</t>
  </si>
  <si>
    <t>NUEVO LAREDO 56</t>
  </si>
  <si>
    <t>NUEVO LAREDO 57</t>
  </si>
  <si>
    <t>NUEVO LAREDO 58</t>
  </si>
  <si>
    <t>NUEVO LAREDO 59</t>
  </si>
  <si>
    <t>NUEVO LAREDO 60</t>
  </si>
  <si>
    <t>NUEVO LAREDO 61</t>
  </si>
  <si>
    <t>NUEVO LAREDO 62</t>
  </si>
  <si>
    <t>NUEVO LAREDO 63</t>
  </si>
  <si>
    <t>NUEVO LAREDO 64</t>
  </si>
  <si>
    <t>NUEVO LAREDO 65</t>
  </si>
  <si>
    <t>NUEVO LAREDO 66</t>
  </si>
  <si>
    <t>NUEVO LAREDO 67</t>
  </si>
  <si>
    <t>NUEVO LAREDO 68</t>
  </si>
  <si>
    <t>NUEVO LAREDO 69</t>
  </si>
  <si>
    <t>NUEVO LAREDO 70</t>
  </si>
  <si>
    <t>NUEVO LAREDO 71</t>
  </si>
  <si>
    <t>NUEVO LAREDO 72</t>
  </si>
  <si>
    <t>NUEVO LAREDO 73</t>
  </si>
  <si>
    <t>NUEVO LAREDO 74</t>
  </si>
  <si>
    <t>NUEVO LAREDO 75</t>
  </si>
  <si>
    <t>NUEVO LAREDO 76</t>
  </si>
  <si>
    <t>NUEVO LAREDO 77</t>
  </si>
  <si>
    <t>NUEVO LAREDO 78</t>
  </si>
  <si>
    <t>NUEVO LAREDO 79</t>
  </si>
  <si>
    <t>NUEVO LAREDO 80</t>
  </si>
  <si>
    <t>NOGALES 1</t>
  </si>
  <si>
    <t xml:space="preserve">Carpio Ramirez Nancy </t>
  </si>
  <si>
    <t>NOGALES 2</t>
  </si>
  <si>
    <t xml:space="preserve">Ceja Sauceda Javier </t>
  </si>
  <si>
    <t>NOGALES 3</t>
  </si>
  <si>
    <t xml:space="preserve">Cruz Miron Mayte </t>
  </si>
  <si>
    <t>NOGALES 4</t>
  </si>
  <si>
    <t xml:space="preserve">De La Cruz Velazquez Juan Jesus </t>
  </si>
  <si>
    <t>NOGALES 5</t>
  </si>
  <si>
    <t xml:space="preserve">Encinas Portillo Diana Marcela </t>
  </si>
  <si>
    <t>NOGALES 6</t>
  </si>
  <si>
    <t xml:space="preserve">Flores Esparza Wendi Calletana </t>
  </si>
  <si>
    <t>NOGALES 7</t>
  </si>
  <si>
    <t>NOGALES 8</t>
  </si>
  <si>
    <t xml:space="preserve">Garcia Zamora Darwi Jhovanny </t>
  </si>
  <si>
    <t>NOGALES 9</t>
  </si>
  <si>
    <t xml:space="preserve">Luis Jimenez Moises </t>
  </si>
  <si>
    <t>NOGALES 10</t>
  </si>
  <si>
    <t xml:space="preserve">Mariles Ruiz Francisco Adolfo </t>
  </si>
  <si>
    <t>NOGALES 11</t>
  </si>
  <si>
    <t xml:space="preserve">Maximo Francisco Abril Citlali </t>
  </si>
  <si>
    <t>NOGALES 12</t>
  </si>
  <si>
    <t xml:space="preserve">Rodriguez Ventura Luis Alberto </t>
  </si>
  <si>
    <t>NOGALES 13</t>
  </si>
  <si>
    <t xml:space="preserve">Rosas Garcia Cinthia Stephania </t>
  </si>
  <si>
    <t>NOGALES 14</t>
  </si>
  <si>
    <t xml:space="preserve">Solano Garcia Kenny Melesio </t>
  </si>
  <si>
    <t>NOGALES 15</t>
  </si>
  <si>
    <t xml:space="preserve">Soto Duarte Jose Luis </t>
  </si>
  <si>
    <t>NOGALES 16</t>
  </si>
  <si>
    <t>NOGALES 17</t>
  </si>
  <si>
    <t>NOGALES 18</t>
  </si>
  <si>
    <t>NOGALES 19</t>
  </si>
  <si>
    <t>NOGALES 20</t>
  </si>
  <si>
    <t>NOGALES 21</t>
  </si>
  <si>
    <t>NOGALES 22</t>
  </si>
  <si>
    <t>NOGALES 23</t>
  </si>
  <si>
    <t>NOGALES 24</t>
  </si>
  <si>
    <t>NOGALES 25</t>
  </si>
  <si>
    <t>NOGALES 26</t>
  </si>
  <si>
    <t>NOGALES 27</t>
  </si>
  <si>
    <t>NOGALES 28</t>
  </si>
  <si>
    <t>NOGALES 29</t>
  </si>
  <si>
    <t>NOGALES 30</t>
  </si>
  <si>
    <t>NOGALES 31</t>
  </si>
  <si>
    <t>NOGALES 32</t>
  </si>
  <si>
    <t>NOGALES 33</t>
  </si>
  <si>
    <t>NOGALES 34</t>
  </si>
  <si>
    <t>NOGALES 35</t>
  </si>
  <si>
    <t>NOGALES 36</t>
  </si>
  <si>
    <t>NOGALES 37</t>
  </si>
  <si>
    <t>NOGALES 38</t>
  </si>
  <si>
    <t>NOGALES 39</t>
  </si>
  <si>
    <t>NOGALES 40</t>
  </si>
  <si>
    <t>NOGALES 41</t>
  </si>
  <si>
    <t>NOGALES 42</t>
  </si>
  <si>
    <t>NOGALES 43</t>
  </si>
  <si>
    <t>NOGALES 44</t>
  </si>
  <si>
    <t>NOGALES 45</t>
  </si>
  <si>
    <t>NOGALES 46</t>
  </si>
  <si>
    <t>NOGALES 47</t>
  </si>
  <si>
    <t>NOGALES 48</t>
  </si>
  <si>
    <t>NOGALES 49</t>
  </si>
  <si>
    <t>NOGALES 50</t>
  </si>
  <si>
    <t>NOGALES 51</t>
  </si>
  <si>
    <t>NOGALES 52</t>
  </si>
  <si>
    <t>NOGALES 53</t>
  </si>
  <si>
    <t>NOGALES 54</t>
  </si>
  <si>
    <t>NOGALES 55</t>
  </si>
  <si>
    <t>NOGALES 56</t>
  </si>
  <si>
    <t>NOGALES 57</t>
  </si>
  <si>
    <t>NOGALES 58</t>
  </si>
  <si>
    <t>NOGALES 59</t>
  </si>
  <si>
    <t>NOGALES 60</t>
  </si>
  <si>
    <t>NOGALES 61</t>
  </si>
  <si>
    <t>NOGALES 62</t>
  </si>
  <si>
    <t>NOGALES 63</t>
  </si>
  <si>
    <t>NOGALES 64</t>
  </si>
  <si>
    <t>NOGALES 65</t>
  </si>
  <si>
    <t>NOGALES 66</t>
  </si>
  <si>
    <t>NOGALES 67</t>
  </si>
  <si>
    <t>NOGALES 68</t>
  </si>
  <si>
    <t>NOGALES 69</t>
  </si>
  <si>
    <t>NOGALES 70</t>
  </si>
  <si>
    <t>NOGALES 71</t>
  </si>
  <si>
    <t>NOGALES 72</t>
  </si>
  <si>
    <t>NOGALES 73</t>
  </si>
  <si>
    <t>NOGALES 74</t>
  </si>
  <si>
    <t>NOGALES 75</t>
  </si>
  <si>
    <t>NOGALES 76</t>
  </si>
  <si>
    <t>NOGALES 77</t>
  </si>
  <si>
    <t>NOGALES 78</t>
  </si>
  <si>
    <t>NOGALES 79</t>
  </si>
  <si>
    <t>NOGALES 80</t>
  </si>
  <si>
    <t>OJINAGA 1</t>
  </si>
  <si>
    <t>Avila Flores Jesus Jose</t>
  </si>
  <si>
    <t>falta firma RL</t>
  </si>
  <si>
    <t>OJINAGA 2</t>
  </si>
  <si>
    <t>Barrios Jurado Rocio</t>
  </si>
  <si>
    <t>OJINAGA 3</t>
  </si>
  <si>
    <t>Olivas Castillo Diana Mariela</t>
  </si>
  <si>
    <t>OJINAGA 4</t>
  </si>
  <si>
    <t>OJINAGA 5</t>
  </si>
  <si>
    <t>OJINAGA 6</t>
  </si>
  <si>
    <t>OJINAGA 7</t>
  </si>
  <si>
    <t>OJINAGA 8</t>
  </si>
  <si>
    <t>OJINAGA 9</t>
  </si>
  <si>
    <t>OJINAGA 10</t>
  </si>
  <si>
    <t>OJINAGA 11</t>
  </si>
  <si>
    <t>OJINAGA 12</t>
  </si>
  <si>
    <t>OJINAGA 13</t>
  </si>
  <si>
    <t>OJINAGA 14</t>
  </si>
  <si>
    <t>OJINAGA 15</t>
  </si>
  <si>
    <t>OJINAGA 16</t>
  </si>
  <si>
    <t>OJINAGA 17</t>
  </si>
  <si>
    <t>OJINAGA 18</t>
  </si>
  <si>
    <t>OJINAGA 19</t>
  </si>
  <si>
    <t>OJINAGA 20</t>
  </si>
  <si>
    <t>OJINAGA 21</t>
  </si>
  <si>
    <t>OJINAGA 22</t>
  </si>
  <si>
    <t>OJINAGA 23</t>
  </si>
  <si>
    <t>OJINAGA 24</t>
  </si>
  <si>
    <t>OJINAGA 25</t>
  </si>
  <si>
    <t>OJINAGA 26</t>
  </si>
  <si>
    <t>OJINAGA 27</t>
  </si>
  <si>
    <t>OJINAGA 28</t>
  </si>
  <si>
    <t>OJINAGA 29</t>
  </si>
  <si>
    <t>OJINAGA 30</t>
  </si>
  <si>
    <t>OJINAGA 31</t>
  </si>
  <si>
    <t>OJINAGA 32</t>
  </si>
  <si>
    <t>OJINAGA 33</t>
  </si>
  <si>
    <t>OJINAGA 34</t>
  </si>
  <si>
    <t>OJINAGA 35</t>
  </si>
  <si>
    <t>OJINAGA 36</t>
  </si>
  <si>
    <t>OJINAGA 37</t>
  </si>
  <si>
    <t>OJINAGA 38</t>
  </si>
  <si>
    <t>OJINAGA 39</t>
  </si>
  <si>
    <t>OJINAGA 40</t>
  </si>
  <si>
    <t>OJINAGA 41</t>
  </si>
  <si>
    <t>OJINAGA 42</t>
  </si>
  <si>
    <t>OJINAGA 43</t>
  </si>
  <si>
    <t>OJINAGA 44</t>
  </si>
  <si>
    <t>OJINAGA 45</t>
  </si>
  <si>
    <t>OJINAGA 46</t>
  </si>
  <si>
    <t>OJINAGA 47</t>
  </si>
  <si>
    <t>OJINAGA 48</t>
  </si>
  <si>
    <t>OJINAGA 49</t>
  </si>
  <si>
    <t>OJINAGA 50</t>
  </si>
  <si>
    <t>OJINAGA 51</t>
  </si>
  <si>
    <t>OJINAGA 52</t>
  </si>
  <si>
    <t>OJINAGA 53</t>
  </si>
  <si>
    <t>OJINAGA 54</t>
  </si>
  <si>
    <t>OJINAGA 55</t>
  </si>
  <si>
    <t>OJINAGA 56</t>
  </si>
  <si>
    <t>OJINAGA 57</t>
  </si>
  <si>
    <t>OJINAGA 58</t>
  </si>
  <si>
    <t>OJINAGA 59</t>
  </si>
  <si>
    <t>OJINAGA 60</t>
  </si>
  <si>
    <t>OJINAGA 61</t>
  </si>
  <si>
    <t>OJINAGA 62</t>
  </si>
  <si>
    <t>OJINAGA 63</t>
  </si>
  <si>
    <t>OJINAGA 64</t>
  </si>
  <si>
    <t>OJINAGA 65</t>
  </si>
  <si>
    <t>OJINAGA 66</t>
  </si>
  <si>
    <t>OJINAGA 67</t>
  </si>
  <si>
    <t>OJINAGA 68</t>
  </si>
  <si>
    <t>OJINAGA 69</t>
  </si>
  <si>
    <t>OJINAGA 70</t>
  </si>
  <si>
    <t>OJINAGA 71</t>
  </si>
  <si>
    <t>OJINAGA 72</t>
  </si>
  <si>
    <t>OJINAGA 73</t>
  </si>
  <si>
    <t>OJINAGA 74</t>
  </si>
  <si>
    <t>OJINAGA 75</t>
  </si>
  <si>
    <t>OJINAGA 76</t>
  </si>
  <si>
    <t>OJINAGA 77</t>
  </si>
  <si>
    <t>OJINAGA 78</t>
  </si>
  <si>
    <t>OJINAGA 79</t>
  </si>
  <si>
    <t>OJINAGA 80</t>
  </si>
  <si>
    <t>PANTACO 1</t>
  </si>
  <si>
    <t xml:space="preserve">Garcia Cruz Arturo </t>
  </si>
  <si>
    <t>PANTACO 2</t>
  </si>
  <si>
    <t xml:space="preserve">Garcia Hernandez Banais </t>
  </si>
  <si>
    <t>PANTACO 3</t>
  </si>
  <si>
    <t xml:space="preserve">Martinez Montalvo Pedro </t>
  </si>
  <si>
    <t>PANTACO 4</t>
  </si>
  <si>
    <t>PANTACO 5</t>
  </si>
  <si>
    <t>PANTACO 6</t>
  </si>
  <si>
    <t>PANTACO 7</t>
  </si>
  <si>
    <t>PANTACO 8</t>
  </si>
  <si>
    <t>PANTACO 9</t>
  </si>
  <si>
    <t>PANTACO 10</t>
  </si>
  <si>
    <t>PANTACO 11</t>
  </si>
  <si>
    <t>PANTACO 12</t>
  </si>
  <si>
    <t>PANTACO 13</t>
  </si>
  <si>
    <t>PANTACO 14</t>
  </si>
  <si>
    <t>PANTACO 15</t>
  </si>
  <si>
    <t>PANTACO 16</t>
  </si>
  <si>
    <t>PANTACO 17</t>
  </si>
  <si>
    <t>PANTACO 18</t>
  </si>
  <si>
    <t>PANTACO 19</t>
  </si>
  <si>
    <t>PANTACO 20</t>
  </si>
  <si>
    <t>PANTACO 21</t>
  </si>
  <si>
    <t>PANTACO 22</t>
  </si>
  <si>
    <t>PANTACO 23</t>
  </si>
  <si>
    <t>PANTACO 24</t>
  </si>
  <si>
    <t>PANTACO 25</t>
  </si>
  <si>
    <t>PANTACO 26</t>
  </si>
  <si>
    <t>PANTACO 27</t>
  </si>
  <si>
    <t>PANTACO 28</t>
  </si>
  <si>
    <t>PANTACO 29</t>
  </si>
  <si>
    <t>PANTACO 30</t>
  </si>
  <si>
    <t>PANTACO 31</t>
  </si>
  <si>
    <t>PANTACO 32</t>
  </si>
  <si>
    <t>PANTACO 33</t>
  </si>
  <si>
    <t>PANTACO 34</t>
  </si>
  <si>
    <t>PANTACO 35</t>
  </si>
  <si>
    <t>PANTACO 36</t>
  </si>
  <si>
    <t>PANTACO 37</t>
  </si>
  <si>
    <t>PANTACO 38</t>
  </si>
  <si>
    <t>PANTACO 39</t>
  </si>
  <si>
    <t>PANTACO 40</t>
  </si>
  <si>
    <t>PANTACO 41</t>
  </si>
  <si>
    <t>PANTACO 42</t>
  </si>
  <si>
    <t>PANTACO 43</t>
  </si>
  <si>
    <t>PANTACO 44</t>
  </si>
  <si>
    <t>PANTACO 45</t>
  </si>
  <si>
    <t>PANTACO 46</t>
  </si>
  <si>
    <t>PANTACO 47</t>
  </si>
  <si>
    <t>PANTACO 48</t>
  </si>
  <si>
    <t>PANTACO 49</t>
  </si>
  <si>
    <t>PANTACO 50</t>
  </si>
  <si>
    <t>PANTACO 51</t>
  </si>
  <si>
    <t>PANTACO 52</t>
  </si>
  <si>
    <t>PANTACO 53</t>
  </si>
  <si>
    <t>PANTACO 54</t>
  </si>
  <si>
    <t>PANTACO 55</t>
  </si>
  <si>
    <t>PANTACO 56</t>
  </si>
  <si>
    <t>PANTACO 57</t>
  </si>
  <si>
    <t>PANTACO 58</t>
  </si>
  <si>
    <t>PANTACO 59</t>
  </si>
  <si>
    <t>PANTACO 60</t>
  </si>
  <si>
    <t>PANTACO 61</t>
  </si>
  <si>
    <t>PANTACO 62</t>
  </si>
  <si>
    <t>PANTACO 63</t>
  </si>
  <si>
    <t>PANTACO 64</t>
  </si>
  <si>
    <t>PANTACO 65</t>
  </si>
  <si>
    <t>PANTACO 66</t>
  </si>
  <si>
    <t>PANTACO 67</t>
  </si>
  <si>
    <t>PANTACO 68</t>
  </si>
  <si>
    <t>PANTACO 69</t>
  </si>
  <si>
    <t>PANTACO 70</t>
  </si>
  <si>
    <t>PANTACO 71</t>
  </si>
  <si>
    <t>PANTACO 72</t>
  </si>
  <si>
    <t>PANTACO 73</t>
  </si>
  <si>
    <t>PANTACO 74</t>
  </si>
  <si>
    <t>PANTACO 75</t>
  </si>
  <si>
    <t>PANTACO 76</t>
  </si>
  <si>
    <t>PANTACO 77</t>
  </si>
  <si>
    <t>PANTACO 78</t>
  </si>
  <si>
    <t>PANTACO 79</t>
  </si>
  <si>
    <t>PANTACO 80</t>
  </si>
  <si>
    <t>PUERTO CHIAPAS 1</t>
  </si>
  <si>
    <t>Aguilar Maza Jose Antonio</t>
  </si>
  <si>
    <t>NO TRAE EL TITULO DEL ESTUDIO</t>
  </si>
  <si>
    <t>Apendice B no llenos-falta firma RL-la firma el ESR CORREGIR</t>
  </si>
  <si>
    <t>PUERTO CHIAPAS 2</t>
  </si>
  <si>
    <t>Aguilar Tomas Gustavo</t>
  </si>
  <si>
    <t>PUERTO CHIAPAS 3</t>
  </si>
  <si>
    <t>Gonzalez Lopez Jose Ivan</t>
  </si>
  <si>
    <t>PUERTO CHIAPAS 4</t>
  </si>
  <si>
    <t>Mota Hernandez Christian Eduardo</t>
  </si>
  <si>
    <t>AESR</t>
  </si>
  <si>
    <t>PUERTO CHIAPAS 5</t>
  </si>
  <si>
    <t>PUERTO CHIAPAS 6</t>
  </si>
  <si>
    <t>PUERTO CHIAPAS 7</t>
  </si>
  <si>
    <t>PUERTO CHIAPAS 8</t>
  </si>
  <si>
    <t>PUERTO CHIAPAS 9</t>
  </si>
  <si>
    <t>PUERTO CHIAPAS 10</t>
  </si>
  <si>
    <t>PUERTO CHIAPAS 11</t>
  </si>
  <si>
    <t>PUERTO CHIAPAS 12</t>
  </si>
  <si>
    <t>PUERTO CHIAPAS 13</t>
  </si>
  <si>
    <t>PUERTO CHIAPAS 14</t>
  </si>
  <si>
    <t>PUERTO CHIAPAS 15</t>
  </si>
  <si>
    <t>PUERTO CHIAPAS 16</t>
  </si>
  <si>
    <t>PUERTO CHIAPAS 17</t>
  </si>
  <si>
    <t>PUERTO CHIAPAS 18</t>
  </si>
  <si>
    <t>PUERTO CHIAPAS 19</t>
  </si>
  <si>
    <t>PUERTO CHIAPAS 20</t>
  </si>
  <si>
    <t>PUERTO CHIAPAS 21</t>
  </si>
  <si>
    <t>PUERTO CHIAPAS 22</t>
  </si>
  <si>
    <t>PUERTO CHIAPAS 23</t>
  </si>
  <si>
    <t>PUERTO CHIAPAS 24</t>
  </si>
  <si>
    <t>PUERTO CHIAPAS 25</t>
  </si>
  <si>
    <t>PUERTO CHIAPAS 26</t>
  </si>
  <si>
    <t>PUERTO CHIAPAS 27</t>
  </si>
  <si>
    <t>PUERTO CHIAPAS 28</t>
  </si>
  <si>
    <t>PUERTO CHIAPAS 29</t>
  </si>
  <si>
    <t>PUERTO CHIAPAS 30</t>
  </si>
  <si>
    <t>PUERTO CHIAPAS 31</t>
  </si>
  <si>
    <t>PUERTO CHIAPAS 32</t>
  </si>
  <si>
    <t>PUERTO CHIAPAS 33</t>
  </si>
  <si>
    <t>PUERTO CHIAPAS 34</t>
  </si>
  <si>
    <t>PUERTO CHIAPAS 35</t>
  </si>
  <si>
    <t>PUERTO CHIAPAS 36</t>
  </si>
  <si>
    <t>PUERTO CHIAPAS 37</t>
  </si>
  <si>
    <t>PUERTO CHIAPAS 38</t>
  </si>
  <si>
    <t>PUERTO CHIAPAS 39</t>
  </si>
  <si>
    <t>PUERTO CHIAPAS 40</t>
  </si>
  <si>
    <t>PUERTO CHIAPAS 41</t>
  </si>
  <si>
    <t>PUERTO CHIAPAS 42</t>
  </si>
  <si>
    <t>PUERTO CHIAPAS 43</t>
  </si>
  <si>
    <t>PUERTO CHIAPAS 44</t>
  </si>
  <si>
    <t>PUERTO CHIAPAS 45</t>
  </si>
  <si>
    <t>PUERTO CHIAPAS 46</t>
  </si>
  <si>
    <t>PUERTO CHIAPAS 47</t>
  </si>
  <si>
    <t>PUERTO CHIAPAS 48</t>
  </si>
  <si>
    <t>PUERTO CHIAPAS 49</t>
  </si>
  <si>
    <t>PUERTO CHIAPAS 50</t>
  </si>
  <si>
    <t>PUERTO CHIAPAS 51</t>
  </si>
  <si>
    <t>PUERTO CHIAPAS 52</t>
  </si>
  <si>
    <t>PUERTO CHIAPAS 53</t>
  </si>
  <si>
    <t>PUERTO CHIAPAS 54</t>
  </si>
  <si>
    <t>PUERTO CHIAPAS 55</t>
  </si>
  <si>
    <t>PUERTO CHIAPAS 56</t>
  </si>
  <si>
    <t>PUERTO CHIAPAS 57</t>
  </si>
  <si>
    <t>PUERTO CHIAPAS 58</t>
  </si>
  <si>
    <t>PUERTO CHIAPAS 59</t>
  </si>
  <si>
    <t>PUERTO CHIAPAS 60</t>
  </si>
  <si>
    <t>PUERTO CHIAPAS 61</t>
  </si>
  <si>
    <t>PUERTO CHIAPAS 62</t>
  </si>
  <si>
    <t>PUERTO CHIAPAS 63</t>
  </si>
  <si>
    <t>PUERTO CHIAPAS 64</t>
  </si>
  <si>
    <t>PUERTO CHIAPAS 65</t>
  </si>
  <si>
    <t>PUERTO CHIAPAS 66</t>
  </si>
  <si>
    <t>PUERTO CHIAPAS 67</t>
  </si>
  <si>
    <t>PUERTO CHIAPAS 68</t>
  </si>
  <si>
    <t>PUERTO CHIAPAS 69</t>
  </si>
  <si>
    <t>PUERTO CHIAPAS 70</t>
  </si>
  <si>
    <t>PUERTO CHIAPAS 71</t>
  </si>
  <si>
    <t>PUERTO CHIAPAS 72</t>
  </si>
  <si>
    <t>PUERTO CHIAPAS 73</t>
  </si>
  <si>
    <t>PUERTO CHIAPAS 74</t>
  </si>
  <si>
    <t>PUERTO CHIAPAS 75</t>
  </si>
  <si>
    <t>PUERTO CHIAPAS 76</t>
  </si>
  <si>
    <t>PUERTO CHIAPAS 77</t>
  </si>
  <si>
    <t>PUERTO CHIAPAS 78</t>
  </si>
  <si>
    <t>PUERTO CHIAPAS 79</t>
  </si>
  <si>
    <t>PUERTO CHIAPAS 80</t>
  </si>
  <si>
    <t>PUERTO MORELOS 1</t>
  </si>
  <si>
    <t xml:space="preserve">Gutierrez Sotelo Diana Laura </t>
  </si>
  <si>
    <t>PUERTO MORELOS 2</t>
  </si>
  <si>
    <t xml:space="preserve">Hernandez Gonzalez Agustin </t>
  </si>
  <si>
    <t>PUERTO MORELOS 3</t>
  </si>
  <si>
    <t>PUERTO MORELOS 4</t>
  </si>
  <si>
    <t>PUERTO MORELOS 5</t>
  </si>
  <si>
    <t>PUERTO MORELOS 6</t>
  </si>
  <si>
    <t>PUERTO MORELOS 7</t>
  </si>
  <si>
    <t>PUERTO MORELOS 8</t>
  </si>
  <si>
    <t>PUERTO MORELOS 9</t>
  </si>
  <si>
    <t>PUERTO MORELOS 10</t>
  </si>
  <si>
    <t>PUERTO MORELOS 11</t>
  </si>
  <si>
    <t>PUERTO MORELOS 12</t>
  </si>
  <si>
    <t>PUERTO MORELOS 13</t>
  </si>
  <si>
    <t>PUERTO MORELOS 14</t>
  </si>
  <si>
    <t>PUERTO MORELOS 15</t>
  </si>
  <si>
    <t>PUERTO MORELOS 16</t>
  </si>
  <si>
    <t>PUERTO MORELOS 17</t>
  </si>
  <si>
    <t>PUERTO MORELOS 18</t>
  </si>
  <si>
    <t>PUERTO MORELOS 19</t>
  </si>
  <si>
    <t>PUERTO MORELOS 20</t>
  </si>
  <si>
    <t>PUERTO MORELOS 21</t>
  </si>
  <si>
    <t>PUERTO MORELOS 22</t>
  </si>
  <si>
    <t>PUERTO MORELOS 23</t>
  </si>
  <si>
    <t>PUERTO MORELOS 24</t>
  </si>
  <si>
    <t>PUERTO MORELOS 25</t>
  </si>
  <si>
    <t>PUERTO MORELOS 26</t>
  </si>
  <si>
    <t>PUERTO MORELOS 27</t>
  </si>
  <si>
    <t>PUERTO MORELOS 28</t>
  </si>
  <si>
    <t>PUERTO MORELOS 29</t>
  </si>
  <si>
    <t>PUERTO MORELOS 30</t>
  </si>
  <si>
    <t>PUERTO MORELOS 31</t>
  </si>
  <si>
    <t>PUERTO MORELOS 32</t>
  </si>
  <si>
    <t>PUERTO MORELOS 33</t>
  </si>
  <si>
    <t>PUERTO MORELOS 34</t>
  </si>
  <si>
    <t>PUERTO MORELOS 35</t>
  </si>
  <si>
    <t>PUERTO MORELOS 36</t>
  </si>
  <si>
    <t>PUERTO MORELOS 37</t>
  </si>
  <si>
    <t>PUERTO MORELOS 38</t>
  </si>
  <si>
    <t>PUERTO MORELOS 39</t>
  </si>
  <si>
    <t>PUERTO MORELOS 40</t>
  </si>
  <si>
    <t>PUERTO MORELOS 41</t>
  </si>
  <si>
    <t>PUERTO MORELOS 42</t>
  </si>
  <si>
    <t>PUERTO MORELOS 43</t>
  </si>
  <si>
    <t>PUERTO MORELOS 44</t>
  </si>
  <si>
    <t>PUERTO MORELOS 45</t>
  </si>
  <si>
    <t>PUERTO MORELOS 46</t>
  </si>
  <si>
    <t>PUERTO MORELOS 47</t>
  </si>
  <si>
    <t>PUERTO MORELOS 48</t>
  </si>
  <si>
    <t>PUERTO MORELOS 49</t>
  </si>
  <si>
    <t>PUERTO MORELOS 50</t>
  </si>
  <si>
    <t>PUERTO MORELOS 51</t>
  </si>
  <si>
    <t>PUERTO MORELOS 52</t>
  </si>
  <si>
    <t>PUERTO MORELOS 53</t>
  </si>
  <si>
    <t>PUERTO MORELOS 54</t>
  </si>
  <si>
    <t>PUERTO MORELOS 55</t>
  </si>
  <si>
    <t>PUERTO MORELOS 56</t>
  </si>
  <si>
    <t>PUERTO MORELOS 57</t>
  </si>
  <si>
    <t>PUERTO MORELOS 58</t>
  </si>
  <si>
    <t>PUERTO MORELOS 59</t>
  </si>
  <si>
    <t>PUERTO MORELOS 60</t>
  </si>
  <si>
    <t>PUERTO MORELOS 61</t>
  </si>
  <si>
    <t>PUERTO MORELOS 62</t>
  </si>
  <si>
    <t>PUERTO MORELOS 63</t>
  </si>
  <si>
    <t>PUERTO MORELOS 64</t>
  </si>
  <si>
    <t>PUERTO MORELOS 65</t>
  </si>
  <si>
    <t>PUERTO MORELOS 66</t>
  </si>
  <si>
    <t>PUERTO MORELOS 67</t>
  </si>
  <si>
    <t>PUERTO MORELOS 68</t>
  </si>
  <si>
    <t>PUERTO MORELOS 69</t>
  </si>
  <si>
    <t>PUERTO MORELOS 70</t>
  </si>
  <si>
    <t>PUERTO MORELOS 71</t>
  </si>
  <si>
    <t>PUERTO MORELOS 72</t>
  </si>
  <si>
    <t>PUERTO MORELOS 73</t>
  </si>
  <si>
    <t>PUERTO MORELOS 74</t>
  </si>
  <si>
    <t>PUERTO MORELOS 75</t>
  </si>
  <si>
    <t>PUERTO MORELOS 76</t>
  </si>
  <si>
    <t>PUERTO MORELOS 77</t>
  </si>
  <si>
    <t>PUERTO MORELOS 78</t>
  </si>
  <si>
    <t>PUERTO MORELOS 79</t>
  </si>
  <si>
    <t>PUERTO MORELOS 80</t>
  </si>
  <si>
    <t>PUERTO PALOMAS 1</t>
  </si>
  <si>
    <t xml:space="preserve">Carmona Gaytan Jaime Omar </t>
  </si>
  <si>
    <t>PUERTO PALOMAS 2</t>
  </si>
  <si>
    <t xml:space="preserve">Grande Diaz Josue Ivan </t>
  </si>
  <si>
    <t>PUERTO PALOMAS 3</t>
  </si>
  <si>
    <t xml:space="preserve">Hurtado Villafan Manuel Enrique </t>
  </si>
  <si>
    <t>PUERTO PALOMAS 4</t>
  </si>
  <si>
    <t xml:space="preserve">Mondragon Calderon Amada Rubi </t>
  </si>
  <si>
    <t>PUERTO PALOMAS 5</t>
  </si>
  <si>
    <t xml:space="preserve">Renteria Ramos Ulises </t>
  </si>
  <si>
    <t>PUERTO PALOMAS 6</t>
  </si>
  <si>
    <t xml:space="preserve">Resendis Corona Rene </t>
  </si>
  <si>
    <t>PUERTO PALOMAS 7</t>
  </si>
  <si>
    <t xml:space="preserve">Tellez Jacobo Jose Alberto </t>
  </si>
  <si>
    <t>PUERTO PALOMAS 8</t>
  </si>
  <si>
    <t>PUERTO PALOMAS 9</t>
  </si>
  <si>
    <t>PUERTO PALOMAS 10</t>
  </si>
  <si>
    <t>PUERTO PALOMAS 11</t>
  </si>
  <si>
    <t>PUERTO PALOMAS 12</t>
  </si>
  <si>
    <t>PUERTO PALOMAS 13</t>
  </si>
  <si>
    <t>PUERTO PALOMAS 14</t>
  </si>
  <si>
    <t>PUERTO PALOMAS 15</t>
  </si>
  <si>
    <t>PUERTO PALOMAS 16</t>
  </si>
  <si>
    <t>PUERTO PALOMAS 17</t>
  </si>
  <si>
    <t>PUERTO PALOMAS 18</t>
  </si>
  <si>
    <t>PUERTO PALOMAS 19</t>
  </si>
  <si>
    <t>PUERTO PALOMAS 20</t>
  </si>
  <si>
    <t>PUERTO PALOMAS 21</t>
  </si>
  <si>
    <t>PUERTO PALOMAS 22</t>
  </si>
  <si>
    <t>PUERTO PALOMAS 23</t>
  </si>
  <si>
    <t>PUERTO PALOMAS 24</t>
  </si>
  <si>
    <t>PUERTO PALOMAS 25</t>
  </si>
  <si>
    <t>PUERTO PALOMAS 26</t>
  </si>
  <si>
    <t>PUERTO PALOMAS 27</t>
  </si>
  <si>
    <t>PUERTO PALOMAS 28</t>
  </si>
  <si>
    <t>PUERTO PALOMAS 29</t>
  </si>
  <si>
    <t>PUERTO PALOMAS 30</t>
  </si>
  <si>
    <t>PUERTO PALOMAS 31</t>
  </si>
  <si>
    <t>PUERTO PALOMAS 32</t>
  </si>
  <si>
    <t>PUERTO PALOMAS 33</t>
  </si>
  <si>
    <t>PUERTO PALOMAS 34</t>
  </si>
  <si>
    <t>PUERTO PALOMAS 35</t>
  </si>
  <si>
    <t>PUERTO PALOMAS 36</t>
  </si>
  <si>
    <t>PUERTO PALOMAS 37</t>
  </si>
  <si>
    <t>PUERTO PALOMAS 38</t>
  </si>
  <si>
    <t>PUERTO PALOMAS 39</t>
  </si>
  <si>
    <t>PUERTO PALOMAS 40</t>
  </si>
  <si>
    <t>PUERTO PALOMAS 41</t>
  </si>
  <si>
    <t>PUERTO PALOMAS 42</t>
  </si>
  <si>
    <t>PUERTO PALOMAS 43</t>
  </si>
  <si>
    <t>PUERTO PALOMAS 44</t>
  </si>
  <si>
    <t>PUERTO PALOMAS 45</t>
  </si>
  <si>
    <t>PUERTO PALOMAS 46</t>
  </si>
  <si>
    <t>PUERTO PALOMAS 47</t>
  </si>
  <si>
    <t>PUERTO PALOMAS 48</t>
  </si>
  <si>
    <t>PUERTO PALOMAS 49</t>
  </si>
  <si>
    <t>PUERTO PALOMAS 50</t>
  </si>
  <si>
    <t>PUERTO PALOMAS 51</t>
  </si>
  <si>
    <t>PUERTO PALOMAS 52</t>
  </si>
  <si>
    <t>PUERTO PALOMAS 53</t>
  </si>
  <si>
    <t>PUERTO PALOMAS 54</t>
  </si>
  <si>
    <t>PUERTO PALOMAS 55</t>
  </si>
  <si>
    <t>PUERTO PALOMAS 56</t>
  </si>
  <si>
    <t>PUERTO PALOMAS 57</t>
  </si>
  <si>
    <t>PUERTO PALOMAS 58</t>
  </si>
  <si>
    <t>PUERTO PALOMAS 59</t>
  </si>
  <si>
    <t>PUERTO PALOMAS 60</t>
  </si>
  <si>
    <t>PUERTO PALOMAS 61</t>
  </si>
  <si>
    <t>PUERTO PALOMAS 62</t>
  </si>
  <si>
    <t>PUERTO PALOMAS 63</t>
  </si>
  <si>
    <t>PUERTO PALOMAS 64</t>
  </si>
  <si>
    <t>PUERTO PALOMAS 65</t>
  </si>
  <si>
    <t>PUERTO PALOMAS 66</t>
  </si>
  <si>
    <t>PUERTO PALOMAS 67</t>
  </si>
  <si>
    <t>PUERTO PALOMAS 68</t>
  </si>
  <si>
    <t>PUERTO PALOMAS 69</t>
  </si>
  <si>
    <t>PUERTO PALOMAS 70</t>
  </si>
  <si>
    <t>PUERTO PALOMAS 71</t>
  </si>
  <si>
    <t>PUERTO PALOMAS 72</t>
  </si>
  <si>
    <t>PUERTO PALOMAS 73</t>
  </si>
  <si>
    <t>PUERTO PALOMAS 74</t>
  </si>
  <si>
    <t>PUERTO PALOMAS 75</t>
  </si>
  <si>
    <t>PUERTO PALOMAS 76</t>
  </si>
  <si>
    <t>PUERTO PALOMAS 77</t>
  </si>
  <si>
    <t>PUERTO PALOMAS 78</t>
  </si>
  <si>
    <t>PUERTO PALOMAS 79</t>
  </si>
  <si>
    <t>PUERTO PALOMAS 80</t>
  </si>
  <si>
    <t>PIEDRAS NEGRAS 1</t>
  </si>
  <si>
    <t xml:space="preserve">Alvarez Hernandez Salvador </t>
  </si>
  <si>
    <t>PIEDRAS NEGRAS 2</t>
  </si>
  <si>
    <t xml:space="preserve">Arriaga Reyes Rusell </t>
  </si>
  <si>
    <t>PIEDRAS NEGRAS 3</t>
  </si>
  <si>
    <t xml:space="preserve">Carrizosa Gonzalez Miguel </t>
  </si>
  <si>
    <t>PIEDRAS NEGRAS 4</t>
  </si>
  <si>
    <t xml:space="preserve">Castro Alvarez Antonio </t>
  </si>
  <si>
    <t>PIEDRAS NEGRAS 5</t>
  </si>
  <si>
    <t>Cid Vargas Jesus Adrian</t>
  </si>
  <si>
    <t xml:space="preserve">Cid Vargas Jesus Adrian </t>
  </si>
  <si>
    <t>SIN FIRMA DE RL</t>
  </si>
  <si>
    <t>PIEDRAS NEGRAS 6</t>
  </si>
  <si>
    <t>De La O Sandoval Maria Isabel</t>
  </si>
  <si>
    <t xml:space="preserve">De La O Sandoval Maria Isabel </t>
  </si>
  <si>
    <t>PIEDRAS NEGRAS 7</t>
  </si>
  <si>
    <t xml:space="preserve">Diaz Baruch Abner Merari </t>
  </si>
  <si>
    <t>PIEDRAS NEGRAS 8</t>
  </si>
  <si>
    <t xml:space="preserve">Diaz Sanchez Jorge </t>
  </si>
  <si>
    <t>PIEDRAS NEGRAS 9</t>
  </si>
  <si>
    <t xml:space="preserve">Eb Varguez Emir Stifen </t>
  </si>
  <si>
    <t>PIEDRAS NEGRAS 10</t>
  </si>
  <si>
    <t>Gomez Olvera Yessica Marcela</t>
  </si>
  <si>
    <t xml:space="preserve">Gomez Olvera Yessica Marcela </t>
  </si>
  <si>
    <t>SIN FECHA</t>
  </si>
  <si>
    <t xml:space="preserve">SIN FIRMA DE RL-SIN FECHA </t>
  </si>
  <si>
    <t>PIEDRAS NEGRAS 11</t>
  </si>
  <si>
    <t xml:space="preserve">Hernandez Barron Sebastian Adolfo </t>
  </si>
  <si>
    <t>PIEDRAS NEGRAS 12</t>
  </si>
  <si>
    <t>Hernandez Cruz Adilene</t>
  </si>
  <si>
    <t xml:space="preserve">Hernandez Cruz Adilene </t>
  </si>
  <si>
    <t>FALTA FIRMA RL</t>
  </si>
  <si>
    <t>PIEDRAS NEGRAS 13</t>
  </si>
  <si>
    <t>Hernandez Garcia Manuel</t>
  </si>
  <si>
    <t xml:space="preserve">Hernandez Garcia Manuel </t>
  </si>
  <si>
    <t>PIEDRAS NEGRAS 14</t>
  </si>
  <si>
    <t xml:space="preserve">Hernandez Rodas Ruben Ivan </t>
  </si>
  <si>
    <t>PIEDRAS NEGRAS 15</t>
  </si>
  <si>
    <t xml:space="preserve">Islas Baez Marco Antonio </t>
  </si>
  <si>
    <t>PIEDRAS NEGRAS 16</t>
  </si>
  <si>
    <t>Lopez Santos Emmanuel</t>
  </si>
  <si>
    <t xml:space="preserve">Lopez Santos Emmanuel </t>
  </si>
  <si>
    <t>VENCIDOS SIN FECHA- SIN FIRMA DE RL</t>
  </si>
  <si>
    <t>PIEDRAS NEGRAS 17</t>
  </si>
  <si>
    <t xml:space="preserve">Ramirez Alcantara Samuel </t>
  </si>
  <si>
    <t>PIEDRAS NEGRAS 18</t>
  </si>
  <si>
    <t>Ramirez Navarrete Jorge</t>
  </si>
  <si>
    <t xml:space="preserve">Ramirez Navarrete Jorge </t>
  </si>
  <si>
    <t>PIEDRAS NEGRAS 19</t>
  </si>
  <si>
    <t xml:space="preserve">Sanchez Padilla Angel Gerardo </t>
  </si>
  <si>
    <t>PIEDRAS NEGRAS 20</t>
  </si>
  <si>
    <t xml:space="preserve">Santiz Lopez Jacinto </t>
  </si>
  <si>
    <t>PIEDRAS NEGRAS 21</t>
  </si>
  <si>
    <t>Soberon Espinoza Luis Ariel</t>
  </si>
  <si>
    <t xml:space="preserve">Soberon Espinoza Luis Ariel </t>
  </si>
  <si>
    <t>PIEDRAS NEGRAS 22</t>
  </si>
  <si>
    <t>Trevino Triana Alejandro</t>
  </si>
  <si>
    <t xml:space="preserve">Trevino Triana Alejandro </t>
  </si>
  <si>
    <t>PIEDRAS NEGRAS 23</t>
  </si>
  <si>
    <t xml:space="preserve">Valle Lopez Andy Christopher </t>
  </si>
  <si>
    <t>PIEDRAS NEGRAS 24</t>
  </si>
  <si>
    <t>PIEDRAS NEGRAS 25</t>
  </si>
  <si>
    <t>PIEDRAS NEGRAS 26</t>
  </si>
  <si>
    <t>PIEDRAS NEGRAS 27</t>
  </si>
  <si>
    <t>PIEDRAS NEGRAS 28</t>
  </si>
  <si>
    <t>PIEDRAS NEGRAS 29</t>
  </si>
  <si>
    <t>PIEDRAS NEGRAS 30</t>
  </si>
  <si>
    <t>PIEDRAS NEGRAS 31</t>
  </si>
  <si>
    <t>PIEDRAS NEGRAS 32</t>
  </si>
  <si>
    <t>PIEDRAS NEGRAS 33</t>
  </si>
  <si>
    <t>PIEDRAS NEGRAS 34</t>
  </si>
  <si>
    <t>PIEDRAS NEGRAS 35</t>
  </si>
  <si>
    <t>PIEDRAS NEGRAS 36</t>
  </si>
  <si>
    <t>PIEDRAS NEGRAS 37</t>
  </si>
  <si>
    <t>PIEDRAS NEGRAS 38</t>
  </si>
  <si>
    <t>PIEDRAS NEGRAS 39</t>
  </si>
  <si>
    <t>PIEDRAS NEGRAS 40</t>
  </si>
  <si>
    <t>PIEDRAS NEGRAS 41</t>
  </si>
  <si>
    <t>PIEDRAS NEGRAS 42</t>
  </si>
  <si>
    <t>PIEDRAS NEGRAS 43</t>
  </si>
  <si>
    <t>PIEDRAS NEGRAS 44</t>
  </si>
  <si>
    <t>PIEDRAS NEGRAS 45</t>
  </si>
  <si>
    <t>PIEDRAS NEGRAS 46</t>
  </si>
  <si>
    <t>PIEDRAS NEGRAS 47</t>
  </si>
  <si>
    <t>PIEDRAS NEGRAS 48</t>
  </si>
  <si>
    <t>PIEDRAS NEGRAS 49</t>
  </si>
  <si>
    <t>PIEDRAS NEGRAS 50</t>
  </si>
  <si>
    <t>PIEDRAS NEGRAS 51</t>
  </si>
  <si>
    <t>PIEDRAS NEGRAS 52</t>
  </si>
  <si>
    <t>PIEDRAS NEGRAS 53</t>
  </si>
  <si>
    <t>PIEDRAS NEGRAS 54</t>
  </si>
  <si>
    <t>PIEDRAS NEGRAS 55</t>
  </si>
  <si>
    <t>PIEDRAS NEGRAS 56</t>
  </si>
  <si>
    <t>PIEDRAS NEGRAS 57</t>
  </si>
  <si>
    <t>PIEDRAS NEGRAS 58</t>
  </si>
  <si>
    <t>PIEDRAS NEGRAS 59</t>
  </si>
  <si>
    <t>PIEDRAS NEGRAS 60</t>
  </si>
  <si>
    <t>PIEDRAS NEGRAS 61</t>
  </si>
  <si>
    <t>PIEDRAS NEGRAS 62</t>
  </si>
  <si>
    <t>PIEDRAS NEGRAS 63</t>
  </si>
  <si>
    <t>PIEDRAS NEGRAS 64</t>
  </si>
  <si>
    <t>PIEDRAS NEGRAS 65</t>
  </si>
  <si>
    <t>PIEDRAS NEGRAS 66</t>
  </si>
  <si>
    <t>PIEDRAS NEGRAS 67</t>
  </si>
  <si>
    <t>PIEDRAS NEGRAS 68</t>
  </si>
  <si>
    <t>PIEDRAS NEGRAS 69</t>
  </si>
  <si>
    <t>PIEDRAS NEGRAS 70</t>
  </si>
  <si>
    <t>PIEDRAS NEGRAS 71</t>
  </si>
  <si>
    <t>PIEDRAS NEGRAS 72</t>
  </si>
  <si>
    <t>PIEDRAS NEGRAS 73</t>
  </si>
  <si>
    <t>PIEDRAS NEGRAS 74</t>
  </si>
  <si>
    <t>PIEDRAS NEGRAS 75</t>
  </si>
  <si>
    <t>PIEDRAS NEGRAS 76</t>
  </si>
  <si>
    <t>PIEDRAS NEGRAS 77</t>
  </si>
  <si>
    <t>PIEDRAS NEGRAS 78</t>
  </si>
  <si>
    <t>PIEDRAS NEGRAS 79</t>
  </si>
  <si>
    <t>PIEDRAS NEGRAS 80</t>
  </si>
  <si>
    <t>PUERTO PROGRESO 1</t>
  </si>
  <si>
    <t xml:space="preserve">Cab Nah Yuli Ines </t>
  </si>
  <si>
    <t>PUERTO PROGRESO 2</t>
  </si>
  <si>
    <t xml:space="preserve">De La Cruz Cordova Armando </t>
  </si>
  <si>
    <t>PUERTO PROGRESO 3</t>
  </si>
  <si>
    <t xml:space="preserve">Duarte Garcia Carlos Ismael </t>
  </si>
  <si>
    <t>PUERTO PROGRESO 4</t>
  </si>
  <si>
    <t xml:space="preserve">Martin Del Campo Nicolas </t>
  </si>
  <si>
    <t>PUERTO PROGRESO 5</t>
  </si>
  <si>
    <t>Meza Rodriguez Enrique Alfonso</t>
  </si>
  <si>
    <t>PUERTO PROGRESO 6</t>
  </si>
  <si>
    <t>PUERTO PROGRESO 7</t>
  </si>
  <si>
    <t>PUERTO PROGRESO 8</t>
  </si>
  <si>
    <t>PUERTO PROGRESO 9</t>
  </si>
  <si>
    <t>PUERTO PROGRESO 10</t>
  </si>
  <si>
    <t>PUERTO PROGRESO 11</t>
  </si>
  <si>
    <t>PUERTO PROGRESO 12</t>
  </si>
  <si>
    <t>PUERTO PROGRESO 13</t>
  </si>
  <si>
    <t>PUERTO PROGRESO 14</t>
  </si>
  <si>
    <t>PUERTO PROGRESO 15</t>
  </si>
  <si>
    <t>PUERTO PROGRESO 16</t>
  </si>
  <si>
    <t>PUERTO PROGRESO 17</t>
  </si>
  <si>
    <t>PUERTO PROGRESO 18</t>
  </si>
  <si>
    <t>PUERTO PROGRESO 19</t>
  </si>
  <si>
    <t>PUERTO PROGRESO 20</t>
  </si>
  <si>
    <t>PUERTO PROGRESO 21</t>
  </si>
  <si>
    <t>PUERTO PROGRESO 22</t>
  </si>
  <si>
    <t>PUERTO PROGRESO 23</t>
  </si>
  <si>
    <t>PUERTO PROGRESO 24</t>
  </si>
  <si>
    <t>PUERTO PROGRESO 25</t>
  </si>
  <si>
    <t>PUERTO PROGRESO 26</t>
  </si>
  <si>
    <t>PUERTO PROGRESO 27</t>
  </si>
  <si>
    <t>PUERTO PROGRESO 28</t>
  </si>
  <si>
    <t>PUERTO PROGRESO 29</t>
  </si>
  <si>
    <t>PUERTO PROGRESO 30</t>
  </si>
  <si>
    <t>PUERTO PROGRESO 31</t>
  </si>
  <si>
    <t>PUERTO PROGRESO 32</t>
  </si>
  <si>
    <t>PUERTO PROGRESO 33</t>
  </si>
  <si>
    <t>PUERTO PROGRESO 34</t>
  </si>
  <si>
    <t>PUERTO PROGRESO 35</t>
  </si>
  <si>
    <t>PUERTO PROGRESO 36</t>
  </si>
  <si>
    <t>PUERTO PROGRESO 37</t>
  </si>
  <si>
    <t>PUERTO PROGRESO 38</t>
  </si>
  <si>
    <t>PUERTO PROGRESO 39</t>
  </si>
  <si>
    <t>PUERTO PROGRESO 40</t>
  </si>
  <si>
    <t>PUERTO PROGRESO 41</t>
  </si>
  <si>
    <t>PUERTO PROGRESO 42</t>
  </si>
  <si>
    <t>PUERTO PROGRESO 43</t>
  </si>
  <si>
    <t>PUERTO PROGRESO 44</t>
  </si>
  <si>
    <t>PUERTO PROGRESO 45</t>
  </si>
  <si>
    <t>PUERTO PROGRESO 46</t>
  </si>
  <si>
    <t>PUERTO PROGRESO 47</t>
  </si>
  <si>
    <t>PUERTO PROGRESO 48</t>
  </si>
  <si>
    <t>PUERTO PROGRESO 49</t>
  </si>
  <si>
    <t>PUERTO PROGRESO 50</t>
  </si>
  <si>
    <t>PUERTO PROGRESO 51</t>
  </si>
  <si>
    <t>PUERTO PROGRESO 52</t>
  </si>
  <si>
    <t>PUERTO PROGRESO 53</t>
  </si>
  <si>
    <t>PUERTO PROGRESO 54</t>
  </si>
  <si>
    <t>PUERTO PROGRESO 55</t>
  </si>
  <si>
    <t>PUERTO PROGRESO 56</t>
  </si>
  <si>
    <t>PUERTO PROGRESO 57</t>
  </si>
  <si>
    <t>PUERTO PROGRESO 58</t>
  </si>
  <si>
    <t>PUERTO PROGRESO 59</t>
  </si>
  <si>
    <t>PUERTO PROGRESO 60</t>
  </si>
  <si>
    <t>PUERTO PROGRESO 61</t>
  </si>
  <si>
    <t>PUERTO PROGRESO 62</t>
  </si>
  <si>
    <t>PUERTO PROGRESO 63</t>
  </si>
  <si>
    <t>PUERTO PROGRESO 64</t>
  </si>
  <si>
    <t>PUERTO PROGRESO 65</t>
  </si>
  <si>
    <t>PUERTO PROGRESO 66</t>
  </si>
  <si>
    <t>PUERTO PROGRESO 67</t>
  </si>
  <si>
    <t>PUERTO PROGRESO 68</t>
  </si>
  <si>
    <t>PUERTO PROGRESO 69</t>
  </si>
  <si>
    <t>PUERTO PROGRESO 70</t>
  </si>
  <si>
    <t>PUERTO PROGRESO 71</t>
  </si>
  <si>
    <t>PUERTO PROGRESO 72</t>
  </si>
  <si>
    <t>PUERTO PROGRESO 73</t>
  </si>
  <si>
    <t>PUERTO PROGRESO 74</t>
  </si>
  <si>
    <t>PUERTO PROGRESO 75</t>
  </si>
  <si>
    <t>PUERTO PROGRESO 76</t>
  </si>
  <si>
    <t>PUERTO PROGRESO 77</t>
  </si>
  <si>
    <t>PUERTO PROGRESO 78</t>
  </si>
  <si>
    <t>PUERTO PROGRESO 79</t>
  </si>
  <si>
    <t>PUERTO PROGRESO 80</t>
  </si>
  <si>
    <t>REYNOSA 1</t>
  </si>
  <si>
    <t xml:space="preserve">Aguirre Hernandez Jose Omar </t>
  </si>
  <si>
    <t>REYNOSA 2</t>
  </si>
  <si>
    <t xml:space="preserve">Avalos Cervantes Martin </t>
  </si>
  <si>
    <t>REYNOSA 3</t>
  </si>
  <si>
    <t xml:space="preserve">Delgadillo Diosdado Maria Guadalupe </t>
  </si>
  <si>
    <t>REYNOSA 4</t>
  </si>
  <si>
    <t xml:space="preserve">Galeana Lopez Jose Felipe </t>
  </si>
  <si>
    <t>REYNOSA 5</t>
  </si>
  <si>
    <t xml:space="preserve">Garcia Estudillo Martha </t>
  </si>
  <si>
    <t>REYNOSA 6</t>
  </si>
  <si>
    <t xml:space="preserve">Gonzalez Alabazarez Rogelio </t>
  </si>
  <si>
    <t>REYNOSA 7</t>
  </si>
  <si>
    <t xml:space="preserve">Leyva Valerio Gonzalo </t>
  </si>
  <si>
    <t>REYNOSA 8</t>
  </si>
  <si>
    <t xml:space="preserve">Martinez Bermudez Roney David </t>
  </si>
  <si>
    <t>REYNOSA 9</t>
  </si>
  <si>
    <t xml:space="preserve">Ortiz Castro Onaldo Emmanuel </t>
  </si>
  <si>
    <t>REYNOSA 10</t>
  </si>
  <si>
    <t xml:space="preserve">Ramos Hernandez Rodrigo Ricardo </t>
  </si>
  <si>
    <t>REYNOSA 11</t>
  </si>
  <si>
    <t xml:space="preserve">Resendiz Arias Ana Laura </t>
  </si>
  <si>
    <t>REYNOSA 12</t>
  </si>
  <si>
    <t xml:space="preserve">Rodriguez Carrera Wendy Jaqueline </t>
  </si>
  <si>
    <t>REYNOSA 13</t>
  </si>
  <si>
    <t xml:space="preserve">Trejo Santos Edith </t>
  </si>
  <si>
    <t>REYNOSA 14</t>
  </si>
  <si>
    <t xml:space="preserve">Vazquez Grajales Luisa Fernanda </t>
  </si>
  <si>
    <t>REYNOSA 15</t>
  </si>
  <si>
    <t>REYNOSA 16</t>
  </si>
  <si>
    <t>REYNOSA 17</t>
  </si>
  <si>
    <t>REYNOSA 18</t>
  </si>
  <si>
    <t>REYNOSA 19</t>
  </si>
  <si>
    <t>REYNOSA 20</t>
  </si>
  <si>
    <t>REYNOSA 21</t>
  </si>
  <si>
    <t>REYNOSA 22</t>
  </si>
  <si>
    <t>REYNOSA 23</t>
  </si>
  <si>
    <t>REYNOSA 24</t>
  </si>
  <si>
    <t>REYNOSA 25</t>
  </si>
  <si>
    <t>REYNOSA 26</t>
  </si>
  <si>
    <t>REYNOSA 27</t>
  </si>
  <si>
    <t>REYNOSA 28</t>
  </si>
  <si>
    <t>REYNOSA 29</t>
  </si>
  <si>
    <t>REYNOSA 30</t>
  </si>
  <si>
    <t>REYNOSA 31</t>
  </si>
  <si>
    <t>REYNOSA 32</t>
  </si>
  <si>
    <t>REYNOSA 33</t>
  </si>
  <si>
    <t>REYNOSA 34</t>
  </si>
  <si>
    <t>REYNOSA 35</t>
  </si>
  <si>
    <t>REYNOSA 36</t>
  </si>
  <si>
    <t>REYNOSA 37</t>
  </si>
  <si>
    <t>REYNOSA 38</t>
  </si>
  <si>
    <t>REYNOSA 39</t>
  </si>
  <si>
    <t>REYNOSA 40</t>
  </si>
  <si>
    <t>REYNOSA 41</t>
  </si>
  <si>
    <t>REYNOSA 42</t>
  </si>
  <si>
    <t>REYNOSA 43</t>
  </si>
  <si>
    <t>REYNOSA 44</t>
  </si>
  <si>
    <t>REYNOSA 45</t>
  </si>
  <si>
    <t>REYNOSA 46</t>
  </si>
  <si>
    <t>REYNOSA 47</t>
  </si>
  <si>
    <t>REYNOSA 48</t>
  </si>
  <si>
    <t>REYNOSA 49</t>
  </si>
  <si>
    <t>REYNOSA 50</t>
  </si>
  <si>
    <t>REYNOSA 51</t>
  </si>
  <si>
    <t>REYNOSA 52</t>
  </si>
  <si>
    <t>REYNOSA 53</t>
  </si>
  <si>
    <t>REYNOSA 54</t>
  </si>
  <si>
    <t>REYNOSA 55</t>
  </si>
  <si>
    <t>REYNOSA 56</t>
  </si>
  <si>
    <t>REYNOSA 57</t>
  </si>
  <si>
    <t>REYNOSA 58</t>
  </si>
  <si>
    <t>REYNOSA 59</t>
  </si>
  <si>
    <t>REYNOSA 60</t>
  </si>
  <si>
    <t>REYNOSA 61</t>
  </si>
  <si>
    <t>REYNOSA 62</t>
  </si>
  <si>
    <t>REYNOSA 63</t>
  </si>
  <si>
    <t>REYNOSA 64</t>
  </si>
  <si>
    <t>REYNOSA 65</t>
  </si>
  <si>
    <t>REYNOSA 66</t>
  </si>
  <si>
    <t>REYNOSA 67</t>
  </si>
  <si>
    <t>REYNOSA 68</t>
  </si>
  <si>
    <t>REYNOSA 69</t>
  </si>
  <si>
    <t>REYNOSA 70</t>
  </si>
  <si>
    <t>REYNOSA 71</t>
  </si>
  <si>
    <t>REYNOSA 72</t>
  </si>
  <si>
    <t>REYNOSA 73</t>
  </si>
  <si>
    <t>REYNOSA 74</t>
  </si>
  <si>
    <t>REYNOSA 75</t>
  </si>
  <si>
    <t>REYNOSA 76</t>
  </si>
  <si>
    <t>REYNOSA 77</t>
  </si>
  <si>
    <t>REYNOSA 78</t>
  </si>
  <si>
    <t>REYNOSA 79</t>
  </si>
  <si>
    <t>REYNOSA 80</t>
  </si>
  <si>
    <t>SALINAS CRUZ 1</t>
  </si>
  <si>
    <t>Cruz Marin Juan Bernardo</t>
  </si>
  <si>
    <t>Apendice B no lleno-falta firma RL-lo firma el ESR</t>
  </si>
  <si>
    <t>SALINAS CRUZ 2</t>
  </si>
  <si>
    <t xml:space="preserve">Gonzalez Caballero Yadira Nayhelli </t>
  </si>
  <si>
    <t>SALINAS CRUZ 3</t>
  </si>
  <si>
    <t xml:space="preserve">Hernandez Ramirez Francisco </t>
  </si>
  <si>
    <t>SALINAS CRUZ 4</t>
  </si>
  <si>
    <t xml:space="preserve">Hernandez Trujillo Martin </t>
  </si>
  <si>
    <t>SALINAS CRUZ 5</t>
  </si>
  <si>
    <t>Herrera Garcia Maria Itandehui</t>
  </si>
  <si>
    <t>Apendice B y C no llenos-falta firma RL-la firma el ESR CORREGIR</t>
  </si>
  <si>
    <t>SALINAS CRUZ 6</t>
  </si>
  <si>
    <t xml:space="preserve">Laredo Torres Deisy </t>
  </si>
  <si>
    <t>SALINAS CRUZ 7</t>
  </si>
  <si>
    <t xml:space="preserve">Marcial Dichi Juan Carlos </t>
  </si>
  <si>
    <t>SALINAS CRUZ 8</t>
  </si>
  <si>
    <t xml:space="preserve">Ordaz Aranjo Alejandra </t>
  </si>
  <si>
    <t>SALINAS CRUZ 9</t>
  </si>
  <si>
    <t>SALINAS CRUZ 10</t>
  </si>
  <si>
    <t>SALINAS CRUZ 11</t>
  </si>
  <si>
    <t>SALINAS CRUZ 12</t>
  </si>
  <si>
    <t>SALINAS CRUZ 13</t>
  </si>
  <si>
    <t>SALINAS CRUZ 14</t>
  </si>
  <si>
    <t>SALINAS CRUZ 15</t>
  </si>
  <si>
    <t>SALINAS CRUZ 16</t>
  </si>
  <si>
    <t>SALINAS CRUZ 17</t>
  </si>
  <si>
    <t>SALINAS CRUZ 18</t>
  </si>
  <si>
    <t>SALINAS CRUZ 19</t>
  </si>
  <si>
    <t>SALINAS CRUZ 20</t>
  </si>
  <si>
    <t>SALINAS CRUZ 21</t>
  </si>
  <si>
    <t>SALINAS CRUZ 22</t>
  </si>
  <si>
    <t>SALINAS CRUZ 23</t>
  </si>
  <si>
    <t>SALINAS CRUZ 24</t>
  </si>
  <si>
    <t>SALINAS CRUZ 25</t>
  </si>
  <si>
    <t>SALINAS CRUZ 26</t>
  </si>
  <si>
    <t>SALINAS CRUZ 27</t>
  </si>
  <si>
    <t>SALINAS CRUZ 28</t>
  </si>
  <si>
    <t>SALINAS CRUZ 29</t>
  </si>
  <si>
    <t>SALINAS CRUZ 30</t>
  </si>
  <si>
    <t>SALINAS CRUZ 31</t>
  </si>
  <si>
    <t>SALINAS CRUZ 32</t>
  </si>
  <si>
    <t>SALINAS CRUZ 33</t>
  </si>
  <si>
    <t>SALINAS CRUZ 34</t>
  </si>
  <si>
    <t>SALINAS CRUZ 35</t>
  </si>
  <si>
    <t>SALINAS CRUZ 36</t>
  </si>
  <si>
    <t>SALINAS CRUZ 37</t>
  </si>
  <si>
    <t>SALINAS CRUZ 38</t>
  </si>
  <si>
    <t>SALINAS CRUZ 39</t>
  </si>
  <si>
    <t>SALINAS CRUZ 40</t>
  </si>
  <si>
    <t>SALINAS CRUZ 41</t>
  </si>
  <si>
    <t>SALINAS CRUZ 42</t>
  </si>
  <si>
    <t>SALINAS CRUZ 43</t>
  </si>
  <si>
    <t>SALINAS CRUZ 44</t>
  </si>
  <si>
    <t>SALINAS CRUZ 45</t>
  </si>
  <si>
    <t>SALINAS CRUZ 46</t>
  </si>
  <si>
    <t>SALINAS CRUZ 47</t>
  </si>
  <si>
    <t>SALINAS CRUZ 48</t>
  </si>
  <si>
    <t>SALINAS CRUZ 49</t>
  </si>
  <si>
    <t>SALINAS CRUZ 50</t>
  </si>
  <si>
    <t>SALINAS CRUZ 51</t>
  </si>
  <si>
    <t>SALINAS CRUZ 52</t>
  </si>
  <si>
    <t>SALINAS CRUZ 53</t>
  </si>
  <si>
    <t>SALINAS CRUZ 54</t>
  </si>
  <si>
    <t>SALINAS CRUZ 55</t>
  </si>
  <si>
    <t>SALINAS CRUZ 56</t>
  </si>
  <si>
    <t>SALINAS CRUZ 57</t>
  </si>
  <si>
    <t>SALINAS CRUZ 58</t>
  </si>
  <si>
    <t>SALINAS CRUZ 59</t>
  </si>
  <si>
    <t>SALINAS CRUZ 60</t>
  </si>
  <si>
    <t>SALINAS CRUZ 61</t>
  </si>
  <si>
    <t>SALINAS CRUZ 62</t>
  </si>
  <si>
    <t>SALINAS CRUZ 63</t>
  </si>
  <si>
    <t>SALINAS CRUZ 64</t>
  </si>
  <si>
    <t>SALINAS CRUZ 65</t>
  </si>
  <si>
    <t>SALINAS CRUZ 66</t>
  </si>
  <si>
    <t>SALINAS CRUZ 67</t>
  </si>
  <si>
    <t>SALINAS CRUZ 68</t>
  </si>
  <si>
    <t>SALINAS CRUZ 69</t>
  </si>
  <si>
    <t>SALINAS CRUZ 70</t>
  </si>
  <si>
    <t>SALINAS CRUZ 71</t>
  </si>
  <si>
    <t>SALINAS CRUZ 72</t>
  </si>
  <si>
    <t>SALINAS CRUZ 73</t>
  </si>
  <si>
    <t>SALINAS CRUZ 74</t>
  </si>
  <si>
    <t>SALINAS CRUZ 75</t>
  </si>
  <si>
    <t>SALINAS CRUZ 76</t>
  </si>
  <si>
    <t>SALINAS CRUZ 77</t>
  </si>
  <si>
    <t>SALINAS CRUZ 78</t>
  </si>
  <si>
    <t>SALINAS CRUZ 79</t>
  </si>
  <si>
    <t>SALINAS CRUZ 80</t>
  </si>
  <si>
    <t>San Luis Río Colorado 01</t>
  </si>
  <si>
    <t xml:space="preserve">Hernandez Sanchez Mario Alberto </t>
  </si>
  <si>
    <t>San Luis Río Colorado 02</t>
  </si>
  <si>
    <t xml:space="preserve">Ortiz Rodriguez Christian Daniel </t>
  </si>
  <si>
    <t>San Luis Río Colorado 03</t>
  </si>
  <si>
    <t xml:space="preserve">Ozuna Jimenez Alexis David </t>
  </si>
  <si>
    <t>San Luis Río Colorado 04</t>
  </si>
  <si>
    <t xml:space="preserve">Pascual Fuentes Miguel </t>
  </si>
  <si>
    <t>San Luis Río Colorado 05</t>
  </si>
  <si>
    <t xml:space="preserve">Pena Eusebio Horacio Hermilo </t>
  </si>
  <si>
    <t>San Luis Río Colorado 06</t>
  </si>
  <si>
    <t xml:space="preserve">Perez Cano Michelle </t>
  </si>
  <si>
    <t>San Luis Río Colorado 07</t>
  </si>
  <si>
    <t xml:space="preserve">Rivera Brindis Imanol </t>
  </si>
  <si>
    <t>San Luis Río Colorado 08</t>
  </si>
  <si>
    <t xml:space="preserve">Rivera Tapia Edwin Alan </t>
  </si>
  <si>
    <t>San Luis Río Colorado 09</t>
  </si>
  <si>
    <t xml:space="preserve">Saldana Gutierrez Adalid </t>
  </si>
  <si>
    <t>San Luis Río Colorado 10</t>
  </si>
  <si>
    <t xml:space="preserve">Velasquez Ojeda Angel Edgardo </t>
  </si>
  <si>
    <t>San Luis Río Colorado 11</t>
  </si>
  <si>
    <t>San Luis Río Colorado 12</t>
  </si>
  <si>
    <t>San Luis Río Colorado 13</t>
  </si>
  <si>
    <t>San Luis Río Colorado 14</t>
  </si>
  <si>
    <t>San Luis Río Colorado 15</t>
  </si>
  <si>
    <t>San Luis Río Colorado 16</t>
  </si>
  <si>
    <t>San Luis Río Colorado 17</t>
  </si>
  <si>
    <t>San Luis Río Colorado 18</t>
  </si>
  <si>
    <t>San Luis Río Colorado 19</t>
  </si>
  <si>
    <t>San Luis Río Colorado 20</t>
  </si>
  <si>
    <t>San Luis Río Colorado 21</t>
  </si>
  <si>
    <t>San Luis Río Colorado 22</t>
  </si>
  <si>
    <t>San Luis Río Colorado 23</t>
  </si>
  <si>
    <t>San Luis Río Colorado 24</t>
  </si>
  <si>
    <t>San Luis Río Colorado 25</t>
  </si>
  <si>
    <t>San Luis Río Colorado 26</t>
  </si>
  <si>
    <t>San Luis Río Colorado 27</t>
  </si>
  <si>
    <t>San Luis Río Colorado 28</t>
  </si>
  <si>
    <t>San Luis Río Colorado 29</t>
  </si>
  <si>
    <t>San Luis Río Colorado 30</t>
  </si>
  <si>
    <t>San Luis Río Colorado 31</t>
  </si>
  <si>
    <t>San Luis Río Colorado 32</t>
  </si>
  <si>
    <t>San Luis Río Colorado 33</t>
  </si>
  <si>
    <t>San Luis Río Colorado 34</t>
  </si>
  <si>
    <t>San Luis Río Colorado 35</t>
  </si>
  <si>
    <t>San Luis Río Colorado 36</t>
  </si>
  <si>
    <t>San Luis Río Colorado 37</t>
  </si>
  <si>
    <t>San Luis Río Colorado 38</t>
  </si>
  <si>
    <t>San Luis Río Colorado 39</t>
  </si>
  <si>
    <t>San Luis Río Colorado 40</t>
  </si>
  <si>
    <t>San Luis Río Colorado 41</t>
  </si>
  <si>
    <t>San Luis Río Colorado 42</t>
  </si>
  <si>
    <t>San Luis Río Colorado 43</t>
  </si>
  <si>
    <t>San Luis Río Colorado 44</t>
  </si>
  <si>
    <t>San Luis Río Colorado 45</t>
  </si>
  <si>
    <t>San Luis Río Colorado 46</t>
  </si>
  <si>
    <t>San Luis Río Colorado 47</t>
  </si>
  <si>
    <t>San Luis Río Colorado 48</t>
  </si>
  <si>
    <t>San Luis Río Colorado 49</t>
  </si>
  <si>
    <t>San Luis Río Colorado 50</t>
  </si>
  <si>
    <t>San Luis Río Colorado 51</t>
  </si>
  <si>
    <t>San Luis Río Colorado 52</t>
  </si>
  <si>
    <t>San Luis Río Colorado 53</t>
  </si>
  <si>
    <t>San Luis Río Colorado 54</t>
  </si>
  <si>
    <t>San Luis Río Colorado 55</t>
  </si>
  <si>
    <t>San Luis Río Colorado 56</t>
  </si>
  <si>
    <t>San Luis Río Colorado 57</t>
  </si>
  <si>
    <t>San Luis Río Colorado 58</t>
  </si>
  <si>
    <t>San Luis Río Colorado 59</t>
  </si>
  <si>
    <t>San Luis Río Colorado 60</t>
  </si>
  <si>
    <t>San Luis Río Colorado 61</t>
  </si>
  <si>
    <t>San Luis Río Colorado 62</t>
  </si>
  <si>
    <t>San Luis Río Colorado 63</t>
  </si>
  <si>
    <t>San Luis Río Colorado 64</t>
  </si>
  <si>
    <t>San Luis Río Colorado 65</t>
  </si>
  <si>
    <t>San Luis Río Colorado 66</t>
  </si>
  <si>
    <t>San Luis Río Colorado 67</t>
  </si>
  <si>
    <t>San Luis Río Colorado 68</t>
  </si>
  <si>
    <t>San Luis Río Colorado 69</t>
  </si>
  <si>
    <t>San Luis Río Colorado 70</t>
  </si>
  <si>
    <t>San Luis Río Colorado 71</t>
  </si>
  <si>
    <t>San Luis Río Colorado 72</t>
  </si>
  <si>
    <t>San Luis Río Colorado 73</t>
  </si>
  <si>
    <t>San Luis Río Colorado 74</t>
  </si>
  <si>
    <t>San Luis Río Colorado 75</t>
  </si>
  <si>
    <t>San Luis Río Colorado 76</t>
  </si>
  <si>
    <t>San Luis Río Colorado 77</t>
  </si>
  <si>
    <t>San Luis Río Colorado 78</t>
  </si>
  <si>
    <t>San Luis Río Colorado 79</t>
  </si>
  <si>
    <t>San Luis Río Colorado 80</t>
  </si>
  <si>
    <t>SONOYTA 01</t>
  </si>
  <si>
    <t>SONOYTA 02</t>
  </si>
  <si>
    <t>SONOYTA 03</t>
  </si>
  <si>
    <t>SONOYTA 04</t>
  </si>
  <si>
    <t>SONOYTA 05</t>
  </si>
  <si>
    <t>SONOYTA 06</t>
  </si>
  <si>
    <t>SONOYTA 07</t>
  </si>
  <si>
    <t>SONOYTA 08</t>
  </si>
  <si>
    <t>SONOYTA 09</t>
  </si>
  <si>
    <t>SONOYTA 10</t>
  </si>
  <si>
    <t>SONOYTA 11</t>
  </si>
  <si>
    <t>SONOYTA 12</t>
  </si>
  <si>
    <t>SONOYTA 13</t>
  </si>
  <si>
    <t>SONOYTA 14</t>
  </si>
  <si>
    <t>SONOYTA 15</t>
  </si>
  <si>
    <t>SONOYTA 16</t>
  </si>
  <si>
    <t>SONOYTA 17</t>
  </si>
  <si>
    <t>SONOYTA 18</t>
  </si>
  <si>
    <t>SONOYTA 19</t>
  </si>
  <si>
    <t>SONOYTA 20</t>
  </si>
  <si>
    <t>SONOYTA 21</t>
  </si>
  <si>
    <t>SONOYTA 22</t>
  </si>
  <si>
    <t>SONOYTA 23</t>
  </si>
  <si>
    <t>SONOYTA 24</t>
  </si>
  <si>
    <t>SONOYTA 25</t>
  </si>
  <si>
    <t>SONOYTA 26</t>
  </si>
  <si>
    <t>SONOYTA 27</t>
  </si>
  <si>
    <t>SONOYTA 28</t>
  </si>
  <si>
    <t>SONOYTA 29</t>
  </si>
  <si>
    <t>SONOYTA 30</t>
  </si>
  <si>
    <t>SONOYTA 31</t>
  </si>
  <si>
    <t>SONOYTA 32</t>
  </si>
  <si>
    <t>SONOYTA 33</t>
  </si>
  <si>
    <t>SONOYTA 34</t>
  </si>
  <si>
    <t>SONOYTA 35</t>
  </si>
  <si>
    <t>SONOYTA 36</t>
  </si>
  <si>
    <t>SONOYTA 37</t>
  </si>
  <si>
    <t>SONOYTA 38</t>
  </si>
  <si>
    <t>SONOYTA 39</t>
  </si>
  <si>
    <t>SONOYTA 40</t>
  </si>
  <si>
    <t>SONOYTA 41</t>
  </si>
  <si>
    <t>SONOYTA 42</t>
  </si>
  <si>
    <t>SONOYTA 43</t>
  </si>
  <si>
    <t>SONOYTA 44</t>
  </si>
  <si>
    <t>SONOYTA 45</t>
  </si>
  <si>
    <t>SONOYTA 46</t>
  </si>
  <si>
    <t>SONOYTA 47</t>
  </si>
  <si>
    <t>SONOYTA 48</t>
  </si>
  <si>
    <t>SONOYTA 49</t>
  </si>
  <si>
    <t>SONOYTA 50</t>
  </si>
  <si>
    <t>SONOYTA 51</t>
  </si>
  <si>
    <t>SONOYTA 52</t>
  </si>
  <si>
    <t>SONOYTA 53</t>
  </si>
  <si>
    <t>SONOYTA 54</t>
  </si>
  <si>
    <t>SONOYTA 55</t>
  </si>
  <si>
    <t>SONOYTA 56</t>
  </si>
  <si>
    <t>SONOYTA 57</t>
  </si>
  <si>
    <t>SONOYTA 58</t>
  </si>
  <si>
    <t>SONOYTA 59</t>
  </si>
  <si>
    <t>SONOYTA 60</t>
  </si>
  <si>
    <t>SONOYTA 61</t>
  </si>
  <si>
    <t>SONOYTA 62</t>
  </si>
  <si>
    <t>SONOYTA 63</t>
  </si>
  <si>
    <t>SONOYTA 64</t>
  </si>
  <si>
    <t>SONOYTA 65</t>
  </si>
  <si>
    <t>SONOYTA 66</t>
  </si>
  <si>
    <t>SONOYTA 67</t>
  </si>
  <si>
    <t>SONOYTA 68</t>
  </si>
  <si>
    <t>SONOYTA 69</t>
  </si>
  <si>
    <t>SONOYTA 70</t>
  </si>
  <si>
    <t>SONOYTA 71</t>
  </si>
  <si>
    <t>SONOYTA 72</t>
  </si>
  <si>
    <t>SONOYTA 73</t>
  </si>
  <si>
    <t>SONOYTA 74</t>
  </si>
  <si>
    <t>SONOYTA 75</t>
  </si>
  <si>
    <t>SONOYTA 76</t>
  </si>
  <si>
    <t>SONOYTA 77</t>
  </si>
  <si>
    <t>SONOYTA 78</t>
  </si>
  <si>
    <t>SONOYTA 79</t>
  </si>
  <si>
    <t>SONOYTA 80</t>
  </si>
  <si>
    <t>SUBTENIENTE LÓPEZ 1</t>
  </si>
  <si>
    <t xml:space="preserve">Cristobal Lopez Manuel </t>
  </si>
  <si>
    <t>SUBTENIENTE LÓPEZ 2</t>
  </si>
  <si>
    <t xml:space="preserve">Granados Camacho Arturo </t>
  </si>
  <si>
    <t>SUBTENIENTE LÓPEZ 3</t>
  </si>
  <si>
    <t xml:space="preserve">Lagunes Rodriguez Sergio </t>
  </si>
  <si>
    <t>SUBTENIENTE LÓPEZ 4</t>
  </si>
  <si>
    <t xml:space="preserve">Lezama Miranda Humberto </t>
  </si>
  <si>
    <t>SUBTENIENTE LÓPEZ 5</t>
  </si>
  <si>
    <t xml:space="preserve">Mata Silva Piscis Angelica </t>
  </si>
  <si>
    <t>SUBTENIENTE LÓPEZ 6</t>
  </si>
  <si>
    <t xml:space="preserve">Mena Rivero Ivonne </t>
  </si>
  <si>
    <t>SUBTENIENTE LÓPEZ 7</t>
  </si>
  <si>
    <t xml:space="preserve">Petronilo Mariano Leobardo </t>
  </si>
  <si>
    <t>SUBTENIENTE LÓPEZ 8</t>
  </si>
  <si>
    <t xml:space="preserve">Uc Salazar Lorena Del Carmen </t>
  </si>
  <si>
    <t>SUBTENIENTE LÓPEZ 9</t>
  </si>
  <si>
    <t>SUBTENIENTE LÓPEZ 10</t>
  </si>
  <si>
    <t>SUBTENIENTE LÓPEZ 11</t>
  </si>
  <si>
    <t>SUBTENIENTE LÓPEZ 12</t>
  </si>
  <si>
    <t>SUBTENIENTE LÓPEZ 13</t>
  </si>
  <si>
    <t>SUBTENIENTE LÓPEZ 14</t>
  </si>
  <si>
    <t>SUBTENIENTE LÓPEZ 15</t>
  </si>
  <si>
    <t>SUBTENIENTE LÓPEZ 16</t>
  </si>
  <si>
    <t>SUBTENIENTE LÓPEZ 17</t>
  </si>
  <si>
    <t>SUBTENIENTE LÓPEZ 18</t>
  </si>
  <si>
    <t>SUBTENIENTE LÓPEZ 19</t>
  </si>
  <si>
    <t>SUBTENIENTE LÓPEZ 20</t>
  </si>
  <si>
    <t>SUBTENIENTE LÓPEZ 21</t>
  </si>
  <si>
    <t>SUBTENIENTE LÓPEZ 22</t>
  </si>
  <si>
    <t>SUBTENIENTE LÓPEZ 23</t>
  </si>
  <si>
    <t>SUBTENIENTE LÓPEZ 24</t>
  </si>
  <si>
    <t>SUBTENIENTE LÓPEZ 25</t>
  </si>
  <si>
    <t>SUBTENIENTE LÓPEZ 26</t>
  </si>
  <si>
    <t>SUBTENIENTE LÓPEZ 27</t>
  </si>
  <si>
    <t>SUBTENIENTE LÓPEZ 28</t>
  </si>
  <si>
    <t>SUBTENIENTE LÓPEZ 29</t>
  </si>
  <si>
    <t>SUBTENIENTE LÓPEZ 30</t>
  </si>
  <si>
    <t>SUBTENIENTE LÓPEZ 31</t>
  </si>
  <si>
    <t>SUBTENIENTE LÓPEZ 32</t>
  </si>
  <si>
    <t>SUBTENIENTE LÓPEZ 33</t>
  </si>
  <si>
    <t>SUBTENIENTE LÓPEZ 34</t>
  </si>
  <si>
    <t>SUBTENIENTE LÓPEZ 35</t>
  </si>
  <si>
    <t>SUBTENIENTE LÓPEZ 36</t>
  </si>
  <si>
    <t>SUBTENIENTE LÓPEZ 37</t>
  </si>
  <si>
    <t>SUBTENIENTE LÓPEZ 38</t>
  </si>
  <si>
    <t>SUBTENIENTE LÓPEZ 39</t>
  </si>
  <si>
    <t>SUBTENIENTE LÓPEZ 40</t>
  </si>
  <si>
    <t>SUBTENIENTE LÓPEZ 41</t>
  </si>
  <si>
    <t>SUBTENIENTE LÓPEZ 42</t>
  </si>
  <si>
    <t>SUBTENIENTE LÓPEZ 43</t>
  </si>
  <si>
    <t>SUBTENIENTE LÓPEZ 44</t>
  </si>
  <si>
    <t>SUBTENIENTE LÓPEZ 45</t>
  </si>
  <si>
    <t>SUBTENIENTE LÓPEZ 46</t>
  </si>
  <si>
    <t>SUBTENIENTE LÓPEZ 47</t>
  </si>
  <si>
    <t>SUBTENIENTE LÓPEZ 48</t>
  </si>
  <si>
    <t>SUBTENIENTE LÓPEZ 49</t>
  </si>
  <si>
    <t>SUBTENIENTE LÓPEZ 50</t>
  </si>
  <si>
    <t>SUBTENIENTE LÓPEZ 51</t>
  </si>
  <si>
    <t>SUBTENIENTE LÓPEZ 52</t>
  </si>
  <si>
    <t>SUBTENIENTE LÓPEZ 53</t>
  </si>
  <si>
    <t>SUBTENIENTE LÓPEZ 54</t>
  </si>
  <si>
    <t>SUBTENIENTE LÓPEZ 55</t>
  </si>
  <si>
    <t>SUBTENIENTE LÓPEZ 56</t>
  </si>
  <si>
    <t>SUBTENIENTE LÓPEZ 57</t>
  </si>
  <si>
    <t>SUBTENIENTE LÓPEZ 58</t>
  </si>
  <si>
    <t>SUBTENIENTE LÓPEZ 59</t>
  </si>
  <si>
    <t>SUBTENIENTE LÓPEZ 60</t>
  </si>
  <si>
    <t>SUBTENIENTE LÓPEZ 61</t>
  </si>
  <si>
    <t>SUBTENIENTE LÓPEZ 62</t>
  </si>
  <si>
    <t>SUBTENIENTE LÓPEZ 63</t>
  </si>
  <si>
    <t>SUBTENIENTE LÓPEZ 64</t>
  </si>
  <si>
    <t>SUBTENIENTE LÓPEZ 65</t>
  </si>
  <si>
    <t>SUBTENIENTE LÓPEZ 66</t>
  </si>
  <si>
    <t>SUBTENIENTE LÓPEZ 67</t>
  </si>
  <si>
    <t>SUBTENIENTE LÓPEZ 68</t>
  </si>
  <si>
    <t>SUBTENIENTE LÓPEZ 69</t>
  </si>
  <si>
    <t>SUBTENIENTE LÓPEZ 70</t>
  </si>
  <si>
    <t>SUBTENIENTE LÓPEZ 71</t>
  </si>
  <si>
    <t>SUBTENIENTE LÓPEZ 72</t>
  </si>
  <si>
    <t>SUBTENIENTE LÓPEZ 73</t>
  </si>
  <si>
    <t>SUBTENIENTE LÓPEZ 74</t>
  </si>
  <si>
    <t>SUBTENIENTE LÓPEZ 75</t>
  </si>
  <si>
    <t>SUBTENIENTE LÓPEZ 76</t>
  </si>
  <si>
    <t>SUBTENIENTE LÓPEZ 77</t>
  </si>
  <si>
    <t>SUBTENIENTE LÓPEZ 78</t>
  </si>
  <si>
    <t>SUBTENIENTE LÓPEZ 79</t>
  </si>
  <si>
    <t>SUBTENIENTE LÓPEZ 80</t>
  </si>
  <si>
    <t>TAMPICO 1</t>
  </si>
  <si>
    <t>Aguilera Cisneros Edgar Manuel</t>
  </si>
  <si>
    <t>SIN FIRMA DE RL-FIRMADA MAL POR EL ESR COMO RL</t>
  </si>
  <si>
    <t>TAMPICO 2</t>
  </si>
  <si>
    <t>Alfaro Rodriguez Daniel Israel</t>
  </si>
  <si>
    <t>LICENCIA DE CONDUCIR</t>
  </si>
  <si>
    <t>TAMPICO 3</t>
  </si>
  <si>
    <t>Chavez Bautista Jose Antonio</t>
  </si>
  <si>
    <t>TAMPICO 4</t>
  </si>
  <si>
    <t>Del Angel Hernandez Juan Manuel</t>
  </si>
  <si>
    <t>TAMPICO 5</t>
  </si>
  <si>
    <t xml:space="preserve">Hernandez Gonzalez Fabiola </t>
  </si>
  <si>
    <t>TAMPICO 6</t>
  </si>
  <si>
    <t>Lopez Velarde Maria Juana</t>
  </si>
  <si>
    <t>SIN FIRMA DE RL-SIN FIRMA Y CEDULA DE MEDICO-APENDICE C NO LLENO</t>
  </si>
  <si>
    <t>BORROSO</t>
  </si>
  <si>
    <t>TAMPICO 7</t>
  </si>
  <si>
    <t>Perez Vazquez Erika</t>
  </si>
  <si>
    <t>TAMPICO 8</t>
  </si>
  <si>
    <t>TAMPICO 9</t>
  </si>
  <si>
    <t>TAMPICO 10</t>
  </si>
  <si>
    <t>TAMPICO 11</t>
  </si>
  <si>
    <t>TAMPICO 12</t>
  </si>
  <si>
    <t>TAMPICO 13</t>
  </si>
  <si>
    <t>TAMPICO 14</t>
  </si>
  <si>
    <t>TAMPICO 15</t>
  </si>
  <si>
    <t>TAMPICO 16</t>
  </si>
  <si>
    <t>TAMPICO 17</t>
  </si>
  <si>
    <t>TAMPICO 18</t>
  </si>
  <si>
    <t>TAMPICO 19</t>
  </si>
  <si>
    <t>TAMPICO 20</t>
  </si>
  <si>
    <t>TAMPICO 21</t>
  </si>
  <si>
    <t>TAMPICO 22</t>
  </si>
  <si>
    <t>TAMPICO 23</t>
  </si>
  <si>
    <t>TAMPICO 24</t>
  </si>
  <si>
    <t>TAMPICO 25</t>
  </si>
  <si>
    <t>TAMPICO 26</t>
  </si>
  <si>
    <t>TAMPICO 27</t>
  </si>
  <si>
    <t>TAMPICO 28</t>
  </si>
  <si>
    <t>TAMPICO 29</t>
  </si>
  <si>
    <t>TAMPICO 30</t>
  </si>
  <si>
    <t>TAMPICO 31</t>
  </si>
  <si>
    <t>TAMPICO 32</t>
  </si>
  <si>
    <t>TAMPICO 33</t>
  </si>
  <si>
    <t>TAMPICO 34</t>
  </si>
  <si>
    <t>TAMPICO 35</t>
  </si>
  <si>
    <t>TAMPICO 36</t>
  </si>
  <si>
    <t>TAMPICO 37</t>
  </si>
  <si>
    <t>TAMPICO 38</t>
  </si>
  <si>
    <t>TAMPICO 39</t>
  </si>
  <si>
    <t>TAMPICO 40</t>
  </si>
  <si>
    <t>TAMPICO 41</t>
  </si>
  <si>
    <t>TAMPICO 42</t>
  </si>
  <si>
    <t>TAMPICO 43</t>
  </si>
  <si>
    <t>TAMPICO 44</t>
  </si>
  <si>
    <t>TAMPICO 45</t>
  </si>
  <si>
    <t>TAMPICO 46</t>
  </si>
  <si>
    <t>TAMPICO 47</t>
  </si>
  <si>
    <t>TAMPICO 48</t>
  </si>
  <si>
    <t>TAMPICO 49</t>
  </si>
  <si>
    <t>TAMPICO 50</t>
  </si>
  <si>
    <t>TAMPICO 51</t>
  </si>
  <si>
    <t>TAMPICO 52</t>
  </si>
  <si>
    <t>TAMPICO 53</t>
  </si>
  <si>
    <t>TAMPICO 54</t>
  </si>
  <si>
    <t>TAMPICO 55</t>
  </si>
  <si>
    <t>TAMPICO 56</t>
  </si>
  <si>
    <t>TAMPICO 57</t>
  </si>
  <si>
    <t>TAMPICO 58</t>
  </si>
  <si>
    <t>TAMPICO 59</t>
  </si>
  <si>
    <t>TAMPICO 60</t>
  </si>
  <si>
    <t>TAMPICO 61</t>
  </si>
  <si>
    <t>TAMPICO 62</t>
  </si>
  <si>
    <t>TAMPICO 63</t>
  </si>
  <si>
    <t>TAMPICO 64</t>
  </si>
  <si>
    <t>TAMPICO 65</t>
  </si>
  <si>
    <t>TAMPICO 66</t>
  </si>
  <si>
    <t>TAMPICO 67</t>
  </si>
  <si>
    <t>TAMPICO 68</t>
  </si>
  <si>
    <t>TAMPICO 69</t>
  </si>
  <si>
    <t>TAMPICO 70</t>
  </si>
  <si>
    <t>TAMPICO 71</t>
  </si>
  <si>
    <t>TAMPICO 72</t>
  </si>
  <si>
    <t>TAMPICO 73</t>
  </si>
  <si>
    <t>TAMPICO 74</t>
  </si>
  <si>
    <t>TAMPICO 75</t>
  </si>
  <si>
    <t>TAMPICO 76</t>
  </si>
  <si>
    <t>TAMPICO 77</t>
  </si>
  <si>
    <t>TAMPICO 78</t>
  </si>
  <si>
    <t>TAMPICO 79</t>
  </si>
  <si>
    <t>TAMPICO 80</t>
  </si>
  <si>
    <t>TECATE 01</t>
  </si>
  <si>
    <t>TECATE 02</t>
  </si>
  <si>
    <t>TECATE 03</t>
  </si>
  <si>
    <t>TECATE 04</t>
  </si>
  <si>
    <t>TECATE 05</t>
  </si>
  <si>
    <t>TECATE 06</t>
  </si>
  <si>
    <t>TECATE 07</t>
  </si>
  <si>
    <t>TECATE 08</t>
  </si>
  <si>
    <t>TECATE 09</t>
  </si>
  <si>
    <t>TECATE 10</t>
  </si>
  <si>
    <t>TECATE 11</t>
  </si>
  <si>
    <t>TECATE 12</t>
  </si>
  <si>
    <t>TECATE 13</t>
  </si>
  <si>
    <t>TECATE 14</t>
  </si>
  <si>
    <t>TECATE 15</t>
  </si>
  <si>
    <t>TECATE 16</t>
  </si>
  <si>
    <t>TECATE 17</t>
  </si>
  <si>
    <t>TECATE 18</t>
  </si>
  <si>
    <t>TECATE 19</t>
  </si>
  <si>
    <t>TECATE 20</t>
  </si>
  <si>
    <t>TECATE 21</t>
  </si>
  <si>
    <t>TECATE 22</t>
  </si>
  <si>
    <t>TECATE 23</t>
  </si>
  <si>
    <t>TECATE 24</t>
  </si>
  <si>
    <t>TECATE 25</t>
  </si>
  <si>
    <t>TECATE 26</t>
  </si>
  <si>
    <t>TECATE 27</t>
  </si>
  <si>
    <t>TECATE 28</t>
  </si>
  <si>
    <t>TECATE 29</t>
  </si>
  <si>
    <t>TECATE 30</t>
  </si>
  <si>
    <t>TECATE 31</t>
  </si>
  <si>
    <t>TECATE 32</t>
  </si>
  <si>
    <t>TECATE 33</t>
  </si>
  <si>
    <t>TECATE 34</t>
  </si>
  <si>
    <t>TECATE 35</t>
  </si>
  <si>
    <t>TECATE 36</t>
  </si>
  <si>
    <t>TECATE 37</t>
  </si>
  <si>
    <t>TECATE 38</t>
  </si>
  <si>
    <t>TECATE 39</t>
  </si>
  <si>
    <t>TECATE 40</t>
  </si>
  <si>
    <t>TECATE 41</t>
  </si>
  <si>
    <t>TECATE 42</t>
  </si>
  <si>
    <t>TECATE 43</t>
  </si>
  <si>
    <t>TECATE 44</t>
  </si>
  <si>
    <t>TECATE 45</t>
  </si>
  <si>
    <t>TECATE 46</t>
  </si>
  <si>
    <t>TECATE 47</t>
  </si>
  <si>
    <t>TECATE 48</t>
  </si>
  <si>
    <t>TECATE 49</t>
  </si>
  <si>
    <t>TECATE 50</t>
  </si>
  <si>
    <t>TECATE 51</t>
  </si>
  <si>
    <t>TECATE 52</t>
  </si>
  <si>
    <t>TECATE 53</t>
  </si>
  <si>
    <t>TECATE 54</t>
  </si>
  <si>
    <t>TECATE 55</t>
  </si>
  <si>
    <t>TECATE 56</t>
  </si>
  <si>
    <t>TECATE 57</t>
  </si>
  <si>
    <t>TECATE 58</t>
  </si>
  <si>
    <t>TECATE 59</t>
  </si>
  <si>
    <t>TECATE 60</t>
  </si>
  <si>
    <t>TECATE 61</t>
  </si>
  <si>
    <t>TECATE 62</t>
  </si>
  <si>
    <t>TECATE 63</t>
  </si>
  <si>
    <t>TECATE 64</t>
  </si>
  <si>
    <t>TECATE 65</t>
  </si>
  <si>
    <t>TECATE 66</t>
  </si>
  <si>
    <t>TECATE 67</t>
  </si>
  <si>
    <t>TECATE 68</t>
  </si>
  <si>
    <t>TECATE 69</t>
  </si>
  <si>
    <t>TECATE 70</t>
  </si>
  <si>
    <t>TECATE 71</t>
  </si>
  <si>
    <t>TECATE 72</t>
  </si>
  <si>
    <t>TECATE 73</t>
  </si>
  <si>
    <t>TECATE 74</t>
  </si>
  <si>
    <t>TECATE 75</t>
  </si>
  <si>
    <t>TECATE 76</t>
  </si>
  <si>
    <t>TECATE 77</t>
  </si>
  <si>
    <t>TECATE 78</t>
  </si>
  <si>
    <t>TECATE 79</t>
  </si>
  <si>
    <t>TECATE 80</t>
  </si>
  <si>
    <t>TIJUANA 1</t>
  </si>
  <si>
    <t xml:space="preserve">Arredondo Esquivel Katerine </t>
  </si>
  <si>
    <t>TIJUANA 2</t>
  </si>
  <si>
    <t xml:space="preserve">Castillo Rodriguez Karen Arleth </t>
  </si>
  <si>
    <t>TIJUANA 3</t>
  </si>
  <si>
    <t xml:space="preserve">Chontal Santiago Erwin </t>
  </si>
  <si>
    <t>TIJUANA 4</t>
  </si>
  <si>
    <t xml:space="preserve">Crescenciano Crescencio Jonathan </t>
  </si>
  <si>
    <t>TIJUANA 5</t>
  </si>
  <si>
    <t xml:space="preserve">De La Cruz Carmona Fabian </t>
  </si>
  <si>
    <t>TIJUANA 6</t>
  </si>
  <si>
    <t>De Paz Gallardo Marco Antonio</t>
  </si>
  <si>
    <t>ES OTRO DOCUMENTO</t>
  </si>
  <si>
    <t>TIJUANA 7</t>
  </si>
  <si>
    <t>Douriet Barrientos Luis Orlando</t>
  </si>
  <si>
    <t>TIJUANA 8</t>
  </si>
  <si>
    <t>Flores Belanga Roberto Xavier</t>
  </si>
  <si>
    <t>TIJUANA 9</t>
  </si>
  <si>
    <t xml:space="preserve">Galvez Perez  Beymar </t>
  </si>
  <si>
    <t>TIJUANA 10</t>
  </si>
  <si>
    <t xml:space="preserve">Garcia Vega Francisco Andres </t>
  </si>
  <si>
    <t>TIJUANA 11</t>
  </si>
  <si>
    <t xml:space="preserve">Gonzalez Barrera Estefan Omar </t>
  </si>
  <si>
    <t>TIJUANA 12</t>
  </si>
  <si>
    <t xml:space="preserve">Hernandez Coll Irving Gabriel </t>
  </si>
  <si>
    <t>TIJUANA 13</t>
  </si>
  <si>
    <t xml:space="preserve">Ibarra Lopez Alberto Isaac </t>
  </si>
  <si>
    <t>TIJUANA 14</t>
  </si>
  <si>
    <t>Jimenez Perez Misael</t>
  </si>
  <si>
    <t>DOCUMENTO DE BACHILLERATO</t>
  </si>
  <si>
    <t>TIJUANA 15</t>
  </si>
  <si>
    <t>Juarez Espinoza Emmanuel</t>
  </si>
  <si>
    <t>TIJUANA 16</t>
  </si>
  <si>
    <t xml:space="preserve">Ledezma Loza Dalia Joseline </t>
  </si>
  <si>
    <t>TIJUANA 17</t>
  </si>
  <si>
    <t xml:space="preserve">Lopez Aguilar Brendy </t>
  </si>
  <si>
    <t>TIJUANA 18</t>
  </si>
  <si>
    <t xml:space="preserve">Marquez Antonio Beatriz </t>
  </si>
  <si>
    <t>TIJUANA 19</t>
  </si>
  <si>
    <t xml:space="preserve">Martinez Francisco Victor </t>
  </si>
  <si>
    <t>TIJUANA 20</t>
  </si>
  <si>
    <t xml:space="preserve">Martinez Hernandez Carlos Alberto </t>
  </si>
  <si>
    <t>TIJUANA 21</t>
  </si>
  <si>
    <t xml:space="preserve">Martinez Rivera  Maritza </t>
  </si>
  <si>
    <t>TIJUANA 22</t>
  </si>
  <si>
    <t xml:space="preserve">Martinez Santiago Samuel </t>
  </si>
  <si>
    <t>TIJUANA 23</t>
  </si>
  <si>
    <t xml:space="preserve">Orgaz Martinez Angel De Jesus </t>
  </si>
  <si>
    <t>TIJUANA 24</t>
  </si>
  <si>
    <t>Ramos Mancinas Juan Carlos</t>
  </si>
  <si>
    <t>TIJUANA 25</t>
  </si>
  <si>
    <t>Romero Campos Victor Aaron</t>
  </si>
  <si>
    <t>TIJUANA 26</t>
  </si>
  <si>
    <t xml:space="preserve">Romero Rodriguez Abisag Sunamita </t>
  </si>
  <si>
    <t>TIJUANA 27</t>
  </si>
  <si>
    <t xml:space="preserve">Santos Lara Miriam </t>
  </si>
  <si>
    <t>TIJUANA 28</t>
  </si>
  <si>
    <t xml:space="preserve">Vazquez Fuentes Luis Antonio </t>
  </si>
  <si>
    <t>TIJUANA 29</t>
  </si>
  <si>
    <t xml:space="preserve">Vazquez Hernandez Juan Carlos </t>
  </si>
  <si>
    <t>TIJUANA 30</t>
  </si>
  <si>
    <t xml:space="preserve">Vazquez Hernandez Varuh Felix </t>
  </si>
  <si>
    <t>TIJUANA 31</t>
  </si>
  <si>
    <t xml:space="preserve">Vazquez Vazquez Jesus </t>
  </si>
  <si>
    <t>TIJUANA 32</t>
  </si>
  <si>
    <t>TIJUANA 33</t>
  </si>
  <si>
    <t>TIJUANA 34</t>
  </si>
  <si>
    <t>TIJUANA 35</t>
  </si>
  <si>
    <t>TIJUANA 36</t>
  </si>
  <si>
    <t>TIJUANA 37</t>
  </si>
  <si>
    <t>TIJUANA 38</t>
  </si>
  <si>
    <t>TIJUANA 39</t>
  </si>
  <si>
    <t>TIJUANA 40</t>
  </si>
  <si>
    <t>TIJUANA 41</t>
  </si>
  <si>
    <t>TIJUANA 42</t>
  </si>
  <si>
    <t>TIJUANA 43</t>
  </si>
  <si>
    <t>TIJUANA 44</t>
  </si>
  <si>
    <t>TIJUANA 45</t>
  </si>
  <si>
    <t>TIJUANA 46</t>
  </si>
  <si>
    <t>TIJUANA 47</t>
  </si>
  <si>
    <t>TIJUANA 48</t>
  </si>
  <si>
    <t>TIJUANA 49</t>
  </si>
  <si>
    <t>TIJUANA 50</t>
  </si>
  <si>
    <t>TIJUANA 51</t>
  </si>
  <si>
    <t>TIJUANA 52</t>
  </si>
  <si>
    <t>TIJUANA 53</t>
  </si>
  <si>
    <t>TIJUANA 54</t>
  </si>
  <si>
    <t>TIJUANA 55</t>
  </si>
  <si>
    <t>TIJUANA 56</t>
  </si>
  <si>
    <t>TIJUANA 57</t>
  </si>
  <si>
    <t>TIJUANA 58</t>
  </si>
  <si>
    <t>TIJUANA 59</t>
  </si>
  <si>
    <t>TIJUANA 60</t>
  </si>
  <si>
    <t>TIJUANA 61</t>
  </si>
  <si>
    <t>TIJUANA 62</t>
  </si>
  <si>
    <t>TIJUANA 63</t>
  </si>
  <si>
    <t>TIJUANA 64</t>
  </si>
  <si>
    <t>TIJUANA 65</t>
  </si>
  <si>
    <t>TIJUANA 66</t>
  </si>
  <si>
    <t>TIJUANA 67</t>
  </si>
  <si>
    <t>TIJUANA 68</t>
  </si>
  <si>
    <t>TIJUANA 69</t>
  </si>
  <si>
    <t>TIJUANA 70</t>
  </si>
  <si>
    <t>TIJUANA 71</t>
  </si>
  <si>
    <t>TIJUANA 72</t>
  </si>
  <si>
    <t>TIJUANA 73</t>
  </si>
  <si>
    <t>TIJUANA 74</t>
  </si>
  <si>
    <t>TIJUANA 75</t>
  </si>
  <si>
    <t>TIJUANA 76</t>
  </si>
  <si>
    <t>TIJUANA 77</t>
  </si>
  <si>
    <t>TIJUANA 78</t>
  </si>
  <si>
    <t>TIJUANA 79</t>
  </si>
  <si>
    <t>TIJUANA 80</t>
  </si>
  <si>
    <t>TOLUCA 1</t>
  </si>
  <si>
    <t xml:space="preserve">Enriquez Robles Alfredo </t>
  </si>
  <si>
    <t>TOLUCA 2</t>
  </si>
  <si>
    <t xml:space="preserve">Navarro Cortes Victor Hugo </t>
  </si>
  <si>
    <t>TOLUCA 3</t>
  </si>
  <si>
    <t>TOLUCA 4</t>
  </si>
  <si>
    <t>TOLUCA 5</t>
  </si>
  <si>
    <t>TOLUCA 6</t>
  </si>
  <si>
    <t>TOLUCA 7</t>
  </si>
  <si>
    <t>TOLUCA 8</t>
  </si>
  <si>
    <t>TOLUCA 9</t>
  </si>
  <si>
    <t>TOLUCA 10</t>
  </si>
  <si>
    <t>TOLUCA 11</t>
  </si>
  <si>
    <t>TOLUCA 12</t>
  </si>
  <si>
    <t>TOLUCA 13</t>
  </si>
  <si>
    <t>TOLUCA 14</t>
  </si>
  <si>
    <t>TOLUCA 15</t>
  </si>
  <si>
    <t>TOLUCA 16</t>
  </si>
  <si>
    <t>TOLUCA 17</t>
  </si>
  <si>
    <t>TOLUCA 18</t>
  </si>
  <si>
    <t>TOLUCA 19</t>
  </si>
  <si>
    <t>TOLUCA 20</t>
  </si>
  <si>
    <t>TOLUCA 21</t>
  </si>
  <si>
    <t>TOLUCA 22</t>
  </si>
  <si>
    <t>TOLUCA 23</t>
  </si>
  <si>
    <t>TOLUCA 24</t>
  </si>
  <si>
    <t>TOLUCA 25</t>
  </si>
  <si>
    <t>TOLUCA 26</t>
  </si>
  <si>
    <t>TOLUCA 27</t>
  </si>
  <si>
    <t>TOLUCA 28</t>
  </si>
  <si>
    <t>TOLUCA 29</t>
  </si>
  <si>
    <t>TOLUCA 30</t>
  </si>
  <si>
    <t>TOLUCA 31</t>
  </si>
  <si>
    <t>TOLUCA 32</t>
  </si>
  <si>
    <t>TOLUCA 33</t>
  </si>
  <si>
    <t>TOLUCA 34</t>
  </si>
  <si>
    <t>TOLUCA 35</t>
  </si>
  <si>
    <t>TOLUCA 36</t>
  </si>
  <si>
    <t>TOLUCA 37</t>
  </si>
  <si>
    <t>TOLUCA 38</t>
  </si>
  <si>
    <t>TOLUCA 39</t>
  </si>
  <si>
    <t>TOLUCA 40</t>
  </si>
  <si>
    <t>TOLUCA 41</t>
  </si>
  <si>
    <t>TOLUCA 42</t>
  </si>
  <si>
    <t>TOLUCA 43</t>
  </si>
  <si>
    <t>TOLUCA 44</t>
  </si>
  <si>
    <t>TOLUCA 45</t>
  </si>
  <si>
    <t>TOLUCA 46</t>
  </si>
  <si>
    <t>TOLUCA 47</t>
  </si>
  <si>
    <t>TOLUCA 48</t>
  </si>
  <si>
    <t>TOLUCA 49</t>
  </si>
  <si>
    <t>TOLUCA 50</t>
  </si>
  <si>
    <t>TOLUCA 51</t>
  </si>
  <si>
    <t>TOLUCA 52</t>
  </si>
  <si>
    <t>TOLUCA 53</t>
  </si>
  <si>
    <t>TOLUCA 54</t>
  </si>
  <si>
    <t>TOLUCA 55</t>
  </si>
  <si>
    <t>TOLUCA 56</t>
  </si>
  <si>
    <t>TOLUCA 57</t>
  </si>
  <si>
    <t>TOLUCA 58</t>
  </si>
  <si>
    <t>TOLUCA 59</t>
  </si>
  <si>
    <t>TOLUCA 60</t>
  </si>
  <si>
    <t>TOLUCA 61</t>
  </si>
  <si>
    <t>TOLUCA 62</t>
  </si>
  <si>
    <t>TOLUCA 63</t>
  </si>
  <si>
    <t>TOLUCA 64</t>
  </si>
  <si>
    <t>TOLUCA 65</t>
  </si>
  <si>
    <t>TOLUCA 66</t>
  </si>
  <si>
    <t>TOLUCA 67</t>
  </si>
  <si>
    <t>TOLUCA 68</t>
  </si>
  <si>
    <t>TOLUCA 69</t>
  </si>
  <si>
    <t>TOLUCA 70</t>
  </si>
  <si>
    <t>TOLUCA 71</t>
  </si>
  <si>
    <t>TOLUCA 72</t>
  </si>
  <si>
    <t>TOLUCA 73</t>
  </si>
  <si>
    <t>TOLUCA 74</t>
  </si>
  <si>
    <t>TOLUCA 75</t>
  </si>
  <si>
    <t>TOLUCA 76</t>
  </si>
  <si>
    <t>TOLUCA 77</t>
  </si>
  <si>
    <t>TOLUCA 78</t>
  </si>
  <si>
    <t>TOLUCA 79</t>
  </si>
  <si>
    <t>TOLUCA 80</t>
  </si>
  <si>
    <t>TUXPAN 1</t>
  </si>
  <si>
    <t xml:space="preserve">Belli Contreras Ivan Eleazar </t>
  </si>
  <si>
    <t>TUXPAN 2</t>
  </si>
  <si>
    <t xml:space="preserve">Ceballos Cetina Miguel Angel </t>
  </si>
  <si>
    <t>TUXPAN 3</t>
  </si>
  <si>
    <t xml:space="preserve">Diaz Leal Velazquez Xavier Martin </t>
  </si>
  <si>
    <t>TUXPAN 4</t>
  </si>
  <si>
    <t xml:space="preserve">Dominguez Lorenzana Joaquin </t>
  </si>
  <si>
    <t>TUXPAN 5</t>
  </si>
  <si>
    <t xml:space="preserve">Gonzalez Ramrez David </t>
  </si>
  <si>
    <t>TUXPAN 6</t>
  </si>
  <si>
    <t xml:space="preserve">Guzman Perez Jose Antonio </t>
  </si>
  <si>
    <t>TUXPAN 7</t>
  </si>
  <si>
    <t xml:space="preserve">Macedonio Martinez Olivia Carolina </t>
  </si>
  <si>
    <t>TUXPAN 8</t>
  </si>
  <si>
    <t xml:space="preserve">Nolasco Osorio Jasmin </t>
  </si>
  <si>
    <t>TUXPAN 9</t>
  </si>
  <si>
    <t xml:space="preserve">Obando Juarez Antolin </t>
  </si>
  <si>
    <t>TUXPAN 10</t>
  </si>
  <si>
    <t xml:space="preserve">Ortiz Varela Reynaldo </t>
  </si>
  <si>
    <t>TUXPAN 11</t>
  </si>
  <si>
    <t>TUXPAN 12</t>
  </si>
  <si>
    <t>TUXPAN 13</t>
  </si>
  <si>
    <t>TUXPAN 14</t>
  </si>
  <si>
    <t>TUXPAN 15</t>
  </si>
  <si>
    <t>TUXPAN 16</t>
  </si>
  <si>
    <t>TUXPAN 17</t>
  </si>
  <si>
    <t>TUXPAN 18</t>
  </si>
  <si>
    <t>TUXPAN 19</t>
  </si>
  <si>
    <t>TUXPAN 20</t>
  </si>
  <si>
    <t>TUXPAN 21</t>
  </si>
  <si>
    <t>TUXPAN 22</t>
  </si>
  <si>
    <t>TUXPAN 23</t>
  </si>
  <si>
    <t>TUXPAN 24</t>
  </si>
  <si>
    <t>TUXPAN 25</t>
  </si>
  <si>
    <t>TUXPAN 26</t>
  </si>
  <si>
    <t>TUXPAN 27</t>
  </si>
  <si>
    <t>TUXPAN 28</t>
  </si>
  <si>
    <t>TUXPAN 29</t>
  </si>
  <si>
    <t>TUXPAN 30</t>
  </si>
  <si>
    <t>TUXPAN 31</t>
  </si>
  <si>
    <t>TUXPAN 32</t>
  </si>
  <si>
    <t>TUXPAN 33</t>
  </si>
  <si>
    <t>TUXPAN 34</t>
  </si>
  <si>
    <t>TUXPAN 35</t>
  </si>
  <si>
    <t>TUXPAN 36</t>
  </si>
  <si>
    <t>TUXPAN 37</t>
  </si>
  <si>
    <t>TUXPAN 38</t>
  </si>
  <si>
    <t>TUXPAN 39</t>
  </si>
  <si>
    <t>TUXPAN 40</t>
  </si>
  <si>
    <t>TUXPAN 41</t>
  </si>
  <si>
    <t>TUXPAN 42</t>
  </si>
  <si>
    <t>TUXPAN 43</t>
  </si>
  <si>
    <t>TUXPAN 44</t>
  </si>
  <si>
    <t>TUXPAN 45</t>
  </si>
  <si>
    <t>TUXPAN 46</t>
  </si>
  <si>
    <t>TUXPAN 47</t>
  </si>
  <si>
    <t>TUXPAN 48</t>
  </si>
  <si>
    <t>TUXPAN 49</t>
  </si>
  <si>
    <t>TUXPAN 50</t>
  </si>
  <si>
    <t>TUXPAN 51</t>
  </si>
  <si>
    <t>TUXPAN 52</t>
  </si>
  <si>
    <t>TUXPAN 53</t>
  </si>
  <si>
    <t>TUXPAN 54</t>
  </si>
  <si>
    <t>TUXPAN 55</t>
  </si>
  <si>
    <t>TUXPAN 56</t>
  </si>
  <si>
    <t>TUXPAN 57</t>
  </si>
  <si>
    <t>TUXPAN 58</t>
  </si>
  <si>
    <t>TUXPAN 59</t>
  </si>
  <si>
    <t>TUXPAN 60</t>
  </si>
  <si>
    <t>TUXPAN 61</t>
  </si>
  <si>
    <t>TUXPAN 62</t>
  </si>
  <si>
    <t>TUXPAN 63</t>
  </si>
  <si>
    <t>TUXPAN 64</t>
  </si>
  <si>
    <t>TUXPAN 65</t>
  </si>
  <si>
    <t>TUXPAN 66</t>
  </si>
  <si>
    <t>TUXPAN 67</t>
  </si>
  <si>
    <t>TUXPAN 68</t>
  </si>
  <si>
    <t>TUXPAN 69</t>
  </si>
  <si>
    <t>TUXPAN 70</t>
  </si>
  <si>
    <t>TUXPAN 71</t>
  </si>
  <si>
    <t>TUXPAN 72</t>
  </si>
  <si>
    <t>TUXPAN 73</t>
  </si>
  <si>
    <t>TUXPAN 74</t>
  </si>
  <si>
    <t>TUXPAN 75</t>
  </si>
  <si>
    <t>TUXPAN 76</t>
  </si>
  <si>
    <t>TUXPAN 77</t>
  </si>
  <si>
    <t>TUXPAN 78</t>
  </si>
  <si>
    <t>TUXPAN 79</t>
  </si>
  <si>
    <t>TUXPAN 80</t>
  </si>
  <si>
    <t>VERACRUZ 1</t>
  </si>
  <si>
    <t>Altamirano Santiago Jonathan</t>
  </si>
  <si>
    <t>POE-RG</t>
  </si>
  <si>
    <t>VERACRUZ 2</t>
  </si>
  <si>
    <t>Arenas Saavedra Geovani</t>
  </si>
  <si>
    <t>VERACRUZ 3</t>
  </si>
  <si>
    <t>Bartolo Alcantara Rosa</t>
  </si>
  <si>
    <t>VERACRUZ 4</t>
  </si>
  <si>
    <t>Bracamontes Cruz Joel</t>
  </si>
  <si>
    <t>POE-RX</t>
  </si>
  <si>
    <t>ES OTRO DOCUMENTO (HIST ACADEMICO)</t>
  </si>
  <si>
    <t>VERACRUZ 5</t>
  </si>
  <si>
    <t xml:space="preserve">Caraza Sandoval Jose Luis </t>
  </si>
  <si>
    <t>VERACRUZ 6</t>
  </si>
  <si>
    <t>Carranza Ramirez Julio Cesar</t>
  </si>
  <si>
    <t>VERACRUZ 7</t>
  </si>
  <si>
    <t>Castillo Baez Emmanuel</t>
  </si>
  <si>
    <t>VERACRUZ 8</t>
  </si>
  <si>
    <t>Chavez Aquino Esmeralda</t>
  </si>
  <si>
    <t>VERACRUZ 9</t>
  </si>
  <si>
    <t>Cordero Bendimez Pablo Yavne</t>
  </si>
  <si>
    <t>ICSIS</t>
  </si>
  <si>
    <t>VERACRUZ 10</t>
  </si>
  <si>
    <t>Cruz Fuentes Cecilio</t>
  </si>
  <si>
    <t>VERACRUZ 11</t>
  </si>
  <si>
    <t>Cruz Lara Anel</t>
  </si>
  <si>
    <t>VERACRUZ 12</t>
  </si>
  <si>
    <t>Cruz Valadez Daniel</t>
  </si>
  <si>
    <t>VERACRUZ 13</t>
  </si>
  <si>
    <t>Del Carmen Lopez Benita</t>
  </si>
  <si>
    <t>SOLO ES CONTANCIA</t>
  </si>
  <si>
    <t>VERACRUZ 14</t>
  </si>
  <si>
    <t>Elorza Santiago Rodrigo Jesus</t>
  </si>
  <si>
    <t>VERACRUZ 15</t>
  </si>
  <si>
    <t>Enciso Rebolledo Angel Gabriel</t>
  </si>
  <si>
    <t>ICIS-THSCAN</t>
  </si>
  <si>
    <t>VERACRUZ 16</t>
  </si>
  <si>
    <t>Enriquez Reyes Jorge Luis</t>
  </si>
  <si>
    <t>VERACRUZ 17</t>
  </si>
  <si>
    <t xml:space="preserve">Escobedo Centeno Juan Alberto </t>
  </si>
  <si>
    <t>VERACRUZ 18</t>
  </si>
  <si>
    <t>Espinosa Lopez Javier Enrique</t>
  </si>
  <si>
    <t>VERACRUZ 19</t>
  </si>
  <si>
    <t>Fuentes Gonzalez Sabdi Deyanira</t>
  </si>
  <si>
    <t>CONSTANCIA DE BACHILLETATO</t>
  </si>
  <si>
    <t>VERACRUZ 20</t>
  </si>
  <si>
    <t>Galvan Castaneda Edgar Emmanue</t>
  </si>
  <si>
    <t>VERACRUZ 21</t>
  </si>
  <si>
    <t xml:space="preserve">Garca Rueda Agustin Daniel </t>
  </si>
  <si>
    <t>VERACRUZ 22</t>
  </si>
  <si>
    <t xml:space="preserve">Garcia Olivares Guillermo Jesus </t>
  </si>
  <si>
    <t>VERACRUZ 23</t>
  </si>
  <si>
    <t xml:space="preserve">Garcia Rodriguez Ilse Monserrat </t>
  </si>
  <si>
    <t>VERACRUZ 24</t>
  </si>
  <si>
    <t xml:space="preserve">Gonzalez Jacome Jorge Luis </t>
  </si>
  <si>
    <t>VERACRUZ 25</t>
  </si>
  <si>
    <t xml:space="preserve">Guerrero Delgado Alfredo Froylan </t>
  </si>
  <si>
    <t>VERACRUZ 26</t>
  </si>
  <si>
    <t>Huerta Andrade Maria Fernanda</t>
  </si>
  <si>
    <t>VERACRUZ 27</t>
  </si>
  <si>
    <t>Ibarra Flores Efren Salvador</t>
  </si>
  <si>
    <t>VERACRUZ 28</t>
  </si>
  <si>
    <t xml:space="preserve">Jarquin Alvarado Luz Del Carmen </t>
  </si>
  <si>
    <t>VERACRUZ 29</t>
  </si>
  <si>
    <t>Jimenez Rodriguez Marco Alessandro</t>
  </si>
  <si>
    <t>VERACRUZ 30</t>
  </si>
  <si>
    <t xml:space="preserve">Jimenez Sanabria Jorge Luis </t>
  </si>
  <si>
    <t>VERACRUZ 31</t>
  </si>
  <si>
    <t xml:space="preserve">Lara De La Hoz Esbeidi </t>
  </si>
  <si>
    <t>VERACRUZ 32</t>
  </si>
  <si>
    <t xml:space="preserve">Madrigal Hernandez Roberto Carlos </t>
  </si>
  <si>
    <t>VERACRUZ 33</t>
  </si>
  <si>
    <t>Marin Rivera Carlos Dario</t>
  </si>
  <si>
    <t>VERACRUZ 34</t>
  </si>
  <si>
    <t xml:space="preserve">Medina Arrioja Lorenzo </t>
  </si>
  <si>
    <t>Apendice ByC no llenos-c/historial aparte-falta firma RL-foto no legible</t>
  </si>
  <si>
    <t>VERACRUZ 35</t>
  </si>
  <si>
    <t xml:space="preserve">Meja Lucio Daniel </t>
  </si>
  <si>
    <t>VERACRUZ 36</t>
  </si>
  <si>
    <t>Montero Solis Juan Jose</t>
  </si>
  <si>
    <t>VERACRUZ 37</t>
  </si>
  <si>
    <t>Munoz Basulto Kenia Yaneth</t>
  </si>
  <si>
    <t>VERACRUZ 38</t>
  </si>
  <si>
    <t>Murillo Utrera Antonio</t>
  </si>
  <si>
    <t>POE-GR</t>
  </si>
  <si>
    <t>VERACRUZ 39</t>
  </si>
  <si>
    <t xml:space="preserve">Olvera Hernandez Xavier </t>
  </si>
  <si>
    <t>VERACRUZ 40</t>
  </si>
  <si>
    <t xml:space="preserve">Oropeza Gonzalez Obed </t>
  </si>
  <si>
    <t>VERACRUZ 41</t>
  </si>
  <si>
    <t xml:space="preserve">Palacios Castillo Gonzalo </t>
  </si>
  <si>
    <t>VERACRUZ 42</t>
  </si>
  <si>
    <t xml:space="preserve">Pedraza Fuentes Guadalupe Yeradi </t>
  </si>
  <si>
    <t>VERACRUZ 43</t>
  </si>
  <si>
    <t>Peredo Escarsega Raul</t>
  </si>
  <si>
    <t>NUCTHECH FERRO</t>
  </si>
  <si>
    <t>VERACRUZ 44</t>
  </si>
  <si>
    <t>Perez Carbajal Abraham</t>
  </si>
  <si>
    <t>VERACRUZ 45</t>
  </si>
  <si>
    <t xml:space="preserve">Pillot Rueda Luis Enrique </t>
  </si>
  <si>
    <t>VERACRUZ 46</t>
  </si>
  <si>
    <t xml:space="preserve">Pilotzi Ahuatzi Susana </t>
  </si>
  <si>
    <t>Vigente-PERO DICE MASCULINO</t>
  </si>
  <si>
    <t>VERACRUZ 47</t>
  </si>
  <si>
    <t xml:space="preserve">Quiroz Sanchez Guillermo </t>
  </si>
  <si>
    <t>VERACRUZ 48</t>
  </si>
  <si>
    <t>Reyes Morales Mariela</t>
  </si>
  <si>
    <t>PASAPORTE</t>
  </si>
  <si>
    <t>VERACRUZ 49</t>
  </si>
  <si>
    <t>Rivera Blanco Jennysey Didier</t>
  </si>
  <si>
    <t>VERACRUZ 50</t>
  </si>
  <si>
    <t xml:space="preserve">Rocha Mar Alexis Alberto </t>
  </si>
  <si>
    <t>VERACRUZ 51</t>
  </si>
  <si>
    <t>Rodriguez Gomez Ulises Alberto</t>
  </si>
  <si>
    <t>CERTIFICADO TECNICO</t>
  </si>
  <si>
    <t>VERACRUZ 52</t>
  </si>
  <si>
    <t>Rojas Fermin Hector</t>
  </si>
  <si>
    <t>DOCUMENTO NO CLARO</t>
  </si>
  <si>
    <t>VERACRUZ 53</t>
  </si>
  <si>
    <t xml:space="preserve">Rosario Aguirre Flavio Alonso </t>
  </si>
  <si>
    <t>SOLO CERTIFICADO CON MATERIAS</t>
  </si>
  <si>
    <t>VERACRUZ 54</t>
  </si>
  <si>
    <t xml:space="preserve">Sampieri Croda Jose Luis </t>
  </si>
  <si>
    <t>VERACRUZ 55</t>
  </si>
  <si>
    <t>Sanchez Zarate Jesus</t>
  </si>
  <si>
    <t>VERACRUZ 56</t>
  </si>
  <si>
    <t>Solis Licona Susana</t>
  </si>
  <si>
    <t>VERACRUZ 57</t>
  </si>
  <si>
    <t>Tena Collins Irene Estefania</t>
  </si>
  <si>
    <t>NO ES TITULO ES CERTIFICADO</t>
  </si>
  <si>
    <t>VERACRUZ 58</t>
  </si>
  <si>
    <t xml:space="preserve">Teran Sotelo Jesus Carlos </t>
  </si>
  <si>
    <t>VERACRUZ 59</t>
  </si>
  <si>
    <t>Utrera Rios Victor Manuel</t>
  </si>
  <si>
    <t>VERACRUZ 60</t>
  </si>
  <si>
    <t xml:space="preserve">Vazquez Luna Noe </t>
  </si>
  <si>
    <t>VERACRUZ 61</t>
  </si>
  <si>
    <t>VERACRUZ 62</t>
  </si>
  <si>
    <t>VERACRUZ 63</t>
  </si>
  <si>
    <t>VERACRUZ 64</t>
  </si>
  <si>
    <t>VERACRUZ 65</t>
  </si>
  <si>
    <t>VERACRUZ 66</t>
  </si>
  <si>
    <t>VERACRUZ 67</t>
  </si>
  <si>
    <t>VERACRUZ 68</t>
  </si>
  <si>
    <t>VERACRUZ 69</t>
  </si>
  <si>
    <t>VERACRUZ 70</t>
  </si>
  <si>
    <t>VERACRUZ 71</t>
  </si>
  <si>
    <t>VERACRUZ 72</t>
  </si>
  <si>
    <t>VERACRUZ 73</t>
  </si>
  <si>
    <t>VERACRUZ 74</t>
  </si>
  <si>
    <t>VERACRUZ 75</t>
  </si>
  <si>
    <t>VERACRUZ 76</t>
  </si>
  <si>
    <t>VERACRUZ 77</t>
  </si>
  <si>
    <t>VERACRUZ 78</t>
  </si>
  <si>
    <t>VERACRUZ 79</t>
  </si>
  <si>
    <t>VERACRUZ 80</t>
  </si>
  <si>
    <t>Moreno Maldonado Victor Hugo</t>
  </si>
  <si>
    <t>Fernando Nino David</t>
  </si>
  <si>
    <t>Valenzuela Montoya Hernan</t>
  </si>
  <si>
    <t>Guzman Castro Dalya Viney</t>
  </si>
  <si>
    <t>Jacome Cortes Daniel</t>
  </si>
  <si>
    <t>Carmona Gaitan Jaime Omar</t>
  </si>
  <si>
    <t>Rosas Garcia Cinthia Stephania</t>
  </si>
  <si>
    <t>Tellez Jacobo Jose Alberto</t>
  </si>
  <si>
    <t>Gutieerez Jimenez Efrain</t>
  </si>
  <si>
    <t>Garcia Arellano Bertha Isabel</t>
  </si>
  <si>
    <t>Roldan Brindis Alfredo</t>
  </si>
  <si>
    <t>CHAVEZ BAUTISTA JOSE ANTONIO</t>
  </si>
  <si>
    <t>AGUILERA CISNEROS EDGAR MANUEL</t>
  </si>
  <si>
    <t>Marquez Antonio Beatriz</t>
  </si>
  <si>
    <t>Wearer</t>
  </si>
  <si>
    <t>Serial #</t>
  </si>
  <si>
    <t>Location</t>
  </si>
  <si>
    <t>FECHA DE ACTUALIZACIÓN:</t>
  </si>
  <si>
    <t>00000ACU</t>
  </si>
  <si>
    <t xml:space="preserve">Bravo Martinez Saul Antonio </t>
  </si>
  <si>
    <t>00000AGP</t>
  </si>
  <si>
    <t xml:space="preserve">Ramirez Martinez Yuilma Gisel </t>
  </si>
  <si>
    <t>00000AIC</t>
  </si>
  <si>
    <t xml:space="preserve">Ibanez Hernandez Dagoberto </t>
  </si>
  <si>
    <t>00000AIF</t>
  </si>
  <si>
    <t>00000ALT</t>
  </si>
  <si>
    <t xml:space="preserve">Parra Aguiar Irving Arland </t>
  </si>
  <si>
    <t>00000CAN</t>
  </si>
  <si>
    <t>00000CAM</t>
  </si>
  <si>
    <t>00000CAR</t>
  </si>
  <si>
    <t>00000HID</t>
  </si>
  <si>
    <t>00000CAT</t>
  </si>
  <si>
    <t>00000COA</t>
  </si>
  <si>
    <t>00000COL</t>
  </si>
  <si>
    <t>00000ENS</t>
  </si>
  <si>
    <t>00000GUA</t>
  </si>
  <si>
    <t>00000GUY</t>
  </si>
  <si>
    <t>00000JUA</t>
  </si>
  <si>
    <t>00000LAC</t>
  </si>
  <si>
    <t>00000MAL</t>
  </si>
  <si>
    <t xml:space="preserve">Samano Miranda Ulises </t>
  </si>
  <si>
    <t>00000MAN</t>
  </si>
  <si>
    <t>00000MAT</t>
  </si>
  <si>
    <t>00000MAZ</t>
  </si>
  <si>
    <t>00000MEX</t>
  </si>
  <si>
    <t>00000NAC</t>
  </si>
  <si>
    <t>00000NLA</t>
  </si>
  <si>
    <t>00000NOG</t>
  </si>
  <si>
    <t>00000OJI</t>
  </si>
  <si>
    <t>00000PAN</t>
  </si>
  <si>
    <t>00000PCH</t>
  </si>
  <si>
    <t>00000PMO</t>
  </si>
  <si>
    <t>00000PMS</t>
  </si>
  <si>
    <t>00000PNE</t>
  </si>
  <si>
    <t>00000PPR</t>
  </si>
  <si>
    <t>00000REY</t>
  </si>
  <si>
    <t>00000SCR</t>
  </si>
  <si>
    <t>00000SON</t>
  </si>
  <si>
    <t>00000SRC</t>
  </si>
  <si>
    <t>00000SUB</t>
  </si>
  <si>
    <t>00000TAM</t>
  </si>
  <si>
    <t>00000TIJ</t>
  </si>
  <si>
    <t>00000TOL</t>
  </si>
  <si>
    <t>00000TUX</t>
  </si>
  <si>
    <t>00000VER</t>
  </si>
  <si>
    <t xml:space="preserve">Cervantes Morgado Manuel </t>
  </si>
  <si>
    <t xml:space="preserve">Cruz Hernandez Griselda </t>
  </si>
  <si>
    <t xml:space="preserve">Diaz Rodriguez Sergio </t>
  </si>
  <si>
    <t xml:space="preserve">Flores Rodrguez Mayra </t>
  </si>
  <si>
    <t xml:space="preserve">Gallegos Lazaro Estephania Yulieth </t>
  </si>
  <si>
    <t xml:space="preserve">Gomez Trejo David Abraham </t>
  </si>
  <si>
    <t xml:space="preserve">Gonzalez Garcia Jose Antonio </t>
  </si>
  <si>
    <t xml:space="preserve">Gonzalez Perez Federico </t>
  </si>
  <si>
    <t xml:space="preserve">Gonzalez Trejo Maria Guadalupe </t>
  </si>
  <si>
    <t xml:space="preserve">Guzman Perez Jose Alfredo </t>
  </si>
  <si>
    <t xml:space="preserve">Medina Reyes Cristina Alma </t>
  </si>
  <si>
    <t xml:space="preserve">Narro Prieto Oscar Ronaldo </t>
  </si>
  <si>
    <t xml:space="preserve">Poot Lopez Pedro Jose </t>
  </si>
  <si>
    <t xml:space="preserve">Reyna Perez Leticia </t>
  </si>
  <si>
    <t xml:space="preserve">Ruiseor Martinez Omara </t>
  </si>
  <si>
    <t xml:space="preserve">Sanchez Casango Ignacio </t>
  </si>
  <si>
    <t xml:space="preserve">Santos Hernandez Daniel De Jesus </t>
  </si>
  <si>
    <t xml:space="preserve">Varela Gonzalez Karla Cristina </t>
  </si>
  <si>
    <t xml:space="preserve">Villalba Garcia Jose Alberto </t>
  </si>
  <si>
    <t xml:space="preserve">Arias Rodriguez Jesus Manuel </t>
  </si>
  <si>
    <t xml:space="preserve">Gutierrez Lopez Jose Alberto </t>
  </si>
  <si>
    <t xml:space="preserve">Meza Rodrguez Enrique Alfonso </t>
  </si>
  <si>
    <t xml:space="preserve">Ocampo Montejo Marcela </t>
  </si>
  <si>
    <t xml:space="preserve">Perez Leyva Jose Alfredo </t>
  </si>
  <si>
    <t>Reyes Oscar Antonio</t>
  </si>
  <si>
    <t xml:space="preserve">Morales Claros Fernando </t>
  </si>
  <si>
    <t xml:space="preserve">Rodas Fuentes Alberto Vladimir </t>
  </si>
  <si>
    <t xml:space="preserve">Luna Lazcano Carlos </t>
  </si>
  <si>
    <t xml:space="preserve">Rodriguez Hernandez Manuel Alejandro </t>
  </si>
  <si>
    <t xml:space="preserve">Bocanegra Cervantes Carlos Alberto </t>
  </si>
  <si>
    <t xml:space="preserve">Delgado Ibarra Gerardo </t>
  </si>
  <si>
    <t xml:space="preserve">Lara Baez Jesus Javier </t>
  </si>
  <si>
    <t xml:space="preserve">Ramirez Cruz Juan Carlos </t>
  </si>
  <si>
    <t xml:space="preserve">Salinas Zamarripa Julio Cesar </t>
  </si>
  <si>
    <t xml:space="preserve">Avila Mendoza Diego Abel </t>
  </si>
  <si>
    <t xml:space="preserve">Bermejo Garcia Hugo </t>
  </si>
  <si>
    <t xml:space="preserve">Munoz Espindola Erick </t>
  </si>
  <si>
    <t xml:space="preserve">Rodriguez Martinez Jazmin </t>
  </si>
  <si>
    <t xml:space="preserve">Seba Temich Miriam </t>
  </si>
  <si>
    <t xml:space="preserve">Valverde Buendia Luis Antonio </t>
  </si>
  <si>
    <t xml:space="preserve">Yllescas Angulo Ivan </t>
  </si>
  <si>
    <t xml:space="preserve">Dominguez Flores Jorge </t>
  </si>
  <si>
    <t xml:space="preserve">Mendiola Cepeda Hilda Yolanda </t>
  </si>
  <si>
    <t xml:space="preserve">Avila Flores Jesus Jose </t>
  </si>
  <si>
    <t xml:space="preserve">Barrios Jurado Rocio </t>
  </si>
  <si>
    <t xml:space="preserve">Aguilar Maza Jose Antonio </t>
  </si>
  <si>
    <t xml:space="preserve">Aguilar Tomas Gustavo </t>
  </si>
  <si>
    <t xml:space="preserve">Gonzalez Lopez Jose Ivan </t>
  </si>
  <si>
    <t xml:space="preserve">Mota Hernandez Christian Eduardo </t>
  </si>
  <si>
    <t xml:space="preserve">Herrera Garcia Maria Itandehui </t>
  </si>
  <si>
    <t>SLRC 1</t>
  </si>
  <si>
    <t>SLRC 2</t>
  </si>
  <si>
    <t>SLRC 3</t>
  </si>
  <si>
    <t>SLRC 4</t>
  </si>
  <si>
    <t>SLRC 5</t>
  </si>
  <si>
    <t>SLRC 6</t>
  </si>
  <si>
    <t>SLRC 7</t>
  </si>
  <si>
    <t>SLRC 8</t>
  </si>
  <si>
    <t>SLRC 9</t>
  </si>
  <si>
    <t>SLRC 10</t>
  </si>
  <si>
    <t xml:space="preserve">Alfaro Rodriguez Daniel Israel </t>
  </si>
  <si>
    <t xml:space="preserve">Del Angel Hernandez Juan Manuel </t>
  </si>
  <si>
    <t xml:space="preserve">Perez Vazquez Erika </t>
  </si>
  <si>
    <t xml:space="preserve">De Paz Gallardo Marco Antonio </t>
  </si>
  <si>
    <t xml:space="preserve">Douriet Barrientos Luis Orlando </t>
  </si>
  <si>
    <t xml:space="preserve">Flores Belanga Roberto Xavier </t>
  </si>
  <si>
    <t xml:space="preserve">Jimenez Perez Misael </t>
  </si>
  <si>
    <t xml:space="preserve">Juarez Espinoza Emmanuel </t>
  </si>
  <si>
    <t xml:space="preserve">Ramos Mancinas Juan Carlos </t>
  </si>
  <si>
    <t xml:space="preserve">Romero Campos Victor Aaron </t>
  </si>
  <si>
    <t xml:space="preserve">Altamirano Santiago Jonathan </t>
  </si>
  <si>
    <t xml:space="preserve">Arenas Saavedra Geovani </t>
  </si>
  <si>
    <t xml:space="preserve">Bartolo Alcantara Rosa </t>
  </si>
  <si>
    <t xml:space="preserve">Bracamontes Cruz Joel </t>
  </si>
  <si>
    <t xml:space="preserve">Carranza Ramirez Julio Cesar </t>
  </si>
  <si>
    <t xml:space="preserve">Chavez Aquino Esmeralda </t>
  </si>
  <si>
    <t xml:space="preserve">Cordero Bendimez Pablo Yavne </t>
  </si>
  <si>
    <t xml:space="preserve">Cruz Fuentes Cecilio </t>
  </si>
  <si>
    <t xml:space="preserve">Cruz Lara Anel </t>
  </si>
  <si>
    <t xml:space="preserve">Cruz Valadez Daniel </t>
  </si>
  <si>
    <t xml:space="preserve">Del Carmen Lopez Benita </t>
  </si>
  <si>
    <t xml:space="preserve">Elorza Santiago Rodrigo Jesus </t>
  </si>
  <si>
    <t xml:space="preserve">Enciso Rebolledo Angel Gabriel </t>
  </si>
  <si>
    <t xml:space="preserve">Enriquez Reyes Jorge Luis </t>
  </si>
  <si>
    <t xml:space="preserve">Espinosa Lopez Javier Enrique </t>
  </si>
  <si>
    <t xml:space="preserve">Fuentes Gonzalez Sabdi Deyanira </t>
  </si>
  <si>
    <t xml:space="preserve">Galvan Castaneda Edgar Emmanue </t>
  </si>
  <si>
    <t xml:space="preserve">Gonzalez Martinez Misael </t>
  </si>
  <si>
    <t xml:space="preserve">Huerta Andrade Maria Fernanda </t>
  </si>
  <si>
    <t xml:space="preserve">Ibarra Flores Efren Salvador </t>
  </si>
  <si>
    <t xml:space="preserve">Jimenez Rodriguez Marco Alessandro </t>
  </si>
  <si>
    <t xml:space="preserve">Marin Rivera Carlos Dario </t>
  </si>
  <si>
    <t xml:space="preserve">Mendez Munoz Miguel </t>
  </si>
  <si>
    <t xml:space="preserve">Montero Solis Juan Jose </t>
  </si>
  <si>
    <t xml:space="preserve">Munoz Basulto Kenia Yaneth </t>
  </si>
  <si>
    <t xml:space="preserve">Murillo Utrera Antonio </t>
  </si>
  <si>
    <t xml:space="preserve">Peredo Escarsega Raul </t>
  </si>
  <si>
    <t xml:space="preserve">Perez Carbajal Abraham </t>
  </si>
  <si>
    <t xml:space="preserve">Reyes Morales Mariela </t>
  </si>
  <si>
    <t xml:space="preserve">Rivera Blanco Jennysey Didier </t>
  </si>
  <si>
    <t xml:space="preserve">Rodriguez Gomez Ulises Alberto </t>
  </si>
  <si>
    <t xml:space="preserve">Rojas Fermin Hector </t>
  </si>
  <si>
    <t xml:space="preserve">Sanchez Zarate Jesus </t>
  </si>
  <si>
    <t xml:space="preserve">Solis Licona Susana </t>
  </si>
  <si>
    <t xml:space="preserve">Tena Collins Irene Estefania </t>
  </si>
  <si>
    <t xml:space="preserve">Utrera Rios Victor Manuel </t>
  </si>
  <si>
    <t>105B</t>
  </si>
  <si>
    <t>RSM2025-CAL-11374</t>
  </si>
  <si>
    <t>134B</t>
  </si>
  <si>
    <t>RSM2025-CAL-11375</t>
  </si>
  <si>
    <t>RSM2025-CAL-11376</t>
  </si>
  <si>
    <t>932A</t>
  </si>
  <si>
    <t>RSM2025-CAL-11377</t>
  </si>
  <si>
    <t>115B</t>
  </si>
  <si>
    <t>RSM2025-CAL-11485</t>
  </si>
  <si>
    <t>572B</t>
  </si>
  <si>
    <t>RSM2025-CAL-11486</t>
  </si>
  <si>
    <t>119B</t>
  </si>
  <si>
    <t>RSM2025-CAL-11487</t>
  </si>
  <si>
    <t>230149/PR248357</t>
  </si>
  <si>
    <t>RSM2025-CAL-11427</t>
  </si>
  <si>
    <t>996A</t>
  </si>
  <si>
    <t>RSM2025-CAL-11439</t>
  </si>
  <si>
    <t>288B</t>
  </si>
  <si>
    <t>RSM2025-CAL-11440</t>
  </si>
  <si>
    <t>RSM2025-CAL-11475</t>
  </si>
  <si>
    <t>RSM2025-CAL-11477</t>
  </si>
  <si>
    <t>RSM2025-CAL-11478</t>
  </si>
  <si>
    <t>RSM2025-CAL-11312</t>
  </si>
  <si>
    <t>272B</t>
  </si>
  <si>
    <t>RSM2025-CAL-11404</t>
  </si>
  <si>
    <t>146B</t>
  </si>
  <si>
    <t>RSM2025-CAL-11405</t>
  </si>
  <si>
    <t>147B</t>
  </si>
  <si>
    <t>RSM2025-CAL-11406</t>
  </si>
  <si>
    <t>150B</t>
  </si>
  <si>
    <t>RSM2025-CAL-11407</t>
  </si>
  <si>
    <t>217B</t>
  </si>
  <si>
    <t>RSM2025-CAL-11445</t>
  </si>
  <si>
    <t>617B</t>
  </si>
  <si>
    <t>RSM2025-CAL-11446</t>
  </si>
  <si>
    <t>914A</t>
  </si>
  <si>
    <t>RSM2025-CAL-11447</t>
  </si>
  <si>
    <t>289B</t>
  </si>
  <si>
    <t>RSM2025-CAL-11448</t>
  </si>
  <si>
    <t>CIUDAD DEL CARMEN 1</t>
  </si>
  <si>
    <t>CIUDAD DEL CARMEN 2</t>
  </si>
  <si>
    <t>CIUDAD DEL CARMEN 3</t>
  </si>
  <si>
    <t>CIUDAD DEL CARMEN 4</t>
  </si>
  <si>
    <t>CIUDAD DEL CARMEN 5</t>
  </si>
  <si>
    <t>CIUDAD DEL CARMEN 6</t>
  </si>
  <si>
    <t>CIUDAD DEL CARMEN 7</t>
  </si>
  <si>
    <t>CIUDAD DEL CARMEN 8</t>
  </si>
  <si>
    <t>CIUDAD DEL CARMEN 9</t>
  </si>
  <si>
    <t>CIUDAD DEL CARMEN 10</t>
  </si>
  <si>
    <t>CIUDAD DEL CARMEN 11</t>
  </si>
  <si>
    <t>CIUDAD DEL CARMEN 12</t>
  </si>
  <si>
    <t>CIUDAD DEL CARMEN 13</t>
  </si>
  <si>
    <t>CIUDAD DEL CARMEN 14</t>
  </si>
  <si>
    <t>CIUDAD DEL CARMEN 15</t>
  </si>
  <si>
    <t>CIUDAD DEL CARMEN 16</t>
  </si>
  <si>
    <t>CIUDAD DEL CARMEN 17</t>
  </si>
  <si>
    <t>CIUDAD DEL CARMEN 18</t>
  </si>
  <si>
    <t>CIUDAD DEL CARMEN 19</t>
  </si>
  <si>
    <t>CIUDAD DEL CARMEN 20</t>
  </si>
  <si>
    <t>CIUDAD DEL CARMEN 21</t>
  </si>
  <si>
    <t>CIUDAD DEL CARMEN 22</t>
  </si>
  <si>
    <t>CIUDAD DEL CARMEN 23</t>
  </si>
  <si>
    <t>CIUDAD DEL CARMEN 24</t>
  </si>
  <si>
    <t>CIUDAD DEL CARMEN 25</t>
  </si>
  <si>
    <t>CIUDAD DEL CARMEN 26</t>
  </si>
  <si>
    <t>CIUDAD DEL CARMEN 27</t>
  </si>
  <si>
    <t>CIUDAD DEL CARMEN 28</t>
  </si>
  <si>
    <t>CIUDAD DEL CARMEN 29</t>
  </si>
  <si>
    <t>CIUDAD DEL CARMEN 30</t>
  </si>
  <si>
    <t>CIUDAD DEL CARMEN 31</t>
  </si>
  <si>
    <t>CIUDAD DEL CARMEN 32</t>
  </si>
  <si>
    <t>CIUDAD DEL CARMEN 33</t>
  </si>
  <si>
    <t>CIUDAD DEL CARMEN 34</t>
  </si>
  <si>
    <t>CIUDAD DEL CARMEN 35</t>
  </si>
  <si>
    <t>CIUDAD DEL CARMEN 36</t>
  </si>
  <si>
    <t>CIUDAD DEL CARMEN 37</t>
  </si>
  <si>
    <t>CIUDAD DEL CARMEN 38</t>
  </si>
  <si>
    <t>CIUDAD DEL CARMEN 39</t>
  </si>
  <si>
    <t>CIUDAD DEL CARMEN 40</t>
  </si>
  <si>
    <t>CIUDAD DEL CARMEN 41</t>
  </si>
  <si>
    <t>CIUDAD DEL CARMEN 42</t>
  </si>
  <si>
    <t>CIUDAD DEL CARMEN 43</t>
  </si>
  <si>
    <t>CIUDAD DEL CARMEN 44</t>
  </si>
  <si>
    <t>CIUDAD DEL CARMEN 45</t>
  </si>
  <si>
    <t>CIUDAD DEL CARMEN 46</t>
  </si>
  <si>
    <t>CIUDAD DEL CARMEN 47</t>
  </si>
  <si>
    <t>CIUDAD DEL CARMEN 48</t>
  </si>
  <si>
    <t>CIUDAD DEL CARMEN 49</t>
  </si>
  <si>
    <t>CIUDAD DEL CARMEN 50</t>
  </si>
  <si>
    <t>CIUDAD DEL CARMEN 51</t>
  </si>
  <si>
    <t>CIUDAD DEL CARMEN 52</t>
  </si>
  <si>
    <t>CIUDAD DEL CARMEN 53</t>
  </si>
  <si>
    <t>CIUDAD DEL CARMEN 54</t>
  </si>
  <si>
    <t>CIUDAD DEL CARMEN 55</t>
  </si>
  <si>
    <t>CIUDAD DEL CARMEN 56</t>
  </si>
  <si>
    <t>CIUDAD DEL CARMEN 57</t>
  </si>
  <si>
    <t>CIUDAD DEL CARMEN 58</t>
  </si>
  <si>
    <t>CIUDAD DEL CARMEN 59</t>
  </si>
  <si>
    <t>CIUDAD DEL CARMEN 60</t>
  </si>
  <si>
    <t>CIUDAD DEL CARMEN 61</t>
  </si>
  <si>
    <t>CIUDAD DEL CARMEN 62</t>
  </si>
  <si>
    <t>CIUDAD DEL CARMEN 63</t>
  </si>
  <si>
    <t>CIUDAD DEL CARMEN 64</t>
  </si>
  <si>
    <t>CIUDAD DEL CARMEN 65</t>
  </si>
  <si>
    <t>CIUDAD DEL CARMEN 66</t>
  </si>
  <si>
    <t>CIUDAD DEL CARMEN 67</t>
  </si>
  <si>
    <t>CIUDAD DEL CARMEN 68</t>
  </si>
  <si>
    <t>CIUDAD DEL CARMEN 69</t>
  </si>
  <si>
    <t>CIUDAD DEL CARMEN 70</t>
  </si>
  <si>
    <t>CIUDAD DEL CARMEN 71</t>
  </si>
  <si>
    <t>CIUDAD DEL CARMEN 72</t>
  </si>
  <si>
    <t>CIUDAD DEL CARMEN 73</t>
  </si>
  <si>
    <t>CIUDAD DEL CARMEN 74</t>
  </si>
  <si>
    <t>CIUDAD DEL CARMEN 75</t>
  </si>
  <si>
    <t>CIUDAD DEL CARMEN 76</t>
  </si>
  <si>
    <t>CIUDAD DEL CARMEN 77</t>
  </si>
  <si>
    <t>CIUDAD DEL CARMEN 78</t>
  </si>
  <si>
    <t>CIUDAD DEL CARMEN 79</t>
  </si>
  <si>
    <t>CIUDAD DEL CARMEN 80</t>
  </si>
  <si>
    <t>DOS BOCAS 1</t>
  </si>
  <si>
    <t>DOS BOCAS 2</t>
  </si>
  <si>
    <t>DOS BOCAS 3</t>
  </si>
  <si>
    <t>DOS BOCAS 4</t>
  </si>
  <si>
    <t>DOS BOCAS 5</t>
  </si>
  <si>
    <t>DOS BOCAS 6</t>
  </si>
  <si>
    <t>DOS BOCAS 7</t>
  </si>
  <si>
    <t>DOS BOCAS 8</t>
  </si>
  <si>
    <t>DOS BOCAS 9</t>
  </si>
  <si>
    <t>DOS BOCAS 10</t>
  </si>
  <si>
    <t>DOS BOCAS 11</t>
  </si>
  <si>
    <t>DOS BOCAS 12</t>
  </si>
  <si>
    <t>DOS BOCAS 13</t>
  </si>
  <si>
    <t>DOS BOCAS 14</t>
  </si>
  <si>
    <t>DOS BOCAS 15</t>
  </si>
  <si>
    <t>DOS BOCAS 16</t>
  </si>
  <si>
    <t>DOS BOCAS 17</t>
  </si>
  <si>
    <t>DOS BOCAS 18</t>
  </si>
  <si>
    <t>DOS BOCAS 19</t>
  </si>
  <si>
    <t>DOS BOCAS 20</t>
  </si>
  <si>
    <t>DOS BOCAS 21</t>
  </si>
  <si>
    <t>DOS BOCAS 22</t>
  </si>
  <si>
    <t>DOS BOCAS 23</t>
  </si>
  <si>
    <t>DOS BOCAS 24</t>
  </si>
  <si>
    <t>DOS BOCAS 25</t>
  </si>
  <si>
    <t>DOS BOCAS 26</t>
  </si>
  <si>
    <t>DOS BOCAS 27</t>
  </si>
  <si>
    <t>DOS BOCAS 28</t>
  </si>
  <si>
    <t>DOS BOCAS 29</t>
  </si>
  <si>
    <t>DOS BOCAS 30</t>
  </si>
  <si>
    <t>DOS BOCAS 31</t>
  </si>
  <si>
    <t>DOS BOCAS 32</t>
  </si>
  <si>
    <t>DOS BOCAS 33</t>
  </si>
  <si>
    <t>DOS BOCAS 34</t>
  </si>
  <si>
    <t>DOS BOCAS 35</t>
  </si>
  <si>
    <t>DOS BOCAS 36</t>
  </si>
  <si>
    <t>DOS BOCAS 37</t>
  </si>
  <si>
    <t>DOS BOCAS 38</t>
  </si>
  <si>
    <t>DOS BOCAS 39</t>
  </si>
  <si>
    <t>DOS BOCAS 40</t>
  </si>
  <si>
    <t>DOS BOCAS 41</t>
  </si>
  <si>
    <t>DOS BOCAS 42</t>
  </si>
  <si>
    <t>DOS BOCAS 43</t>
  </si>
  <si>
    <t>DOS BOCAS 44</t>
  </si>
  <si>
    <t>DOS BOCAS 45</t>
  </si>
  <si>
    <t>DOS BOCAS 46</t>
  </si>
  <si>
    <t>DOS BOCAS 47</t>
  </si>
  <si>
    <t>DOS BOCAS 48</t>
  </si>
  <si>
    <t>DOS BOCAS 49</t>
  </si>
  <si>
    <t>DOS BOCAS 50</t>
  </si>
  <si>
    <t>DOS BOCAS 51</t>
  </si>
  <si>
    <t>DOS BOCAS 52</t>
  </si>
  <si>
    <t>DOS BOCAS 53</t>
  </si>
  <si>
    <t>DOS BOCAS 54</t>
  </si>
  <si>
    <t>DOS BOCAS 55</t>
  </si>
  <si>
    <t>DOS BOCAS 56</t>
  </si>
  <si>
    <t>DOS BOCAS 57</t>
  </si>
  <si>
    <t>DOS BOCAS 58</t>
  </si>
  <si>
    <t>DOS BOCAS 59</t>
  </si>
  <si>
    <t>DOS BOCAS 60</t>
  </si>
  <si>
    <t>DOS BOCAS 61</t>
  </si>
  <si>
    <t>DOS BOCAS 62</t>
  </si>
  <si>
    <t>DOS BOCAS 63</t>
  </si>
  <si>
    <t>DOS BOCAS 64</t>
  </si>
  <si>
    <t>DOS BOCAS 65</t>
  </si>
  <si>
    <t>DOS BOCAS 66</t>
  </si>
  <si>
    <t>DOS BOCAS 67</t>
  </si>
  <si>
    <t>DOS BOCAS 68</t>
  </si>
  <si>
    <t>DOS BOCAS 69</t>
  </si>
  <si>
    <t>DOS BOCAS 70</t>
  </si>
  <si>
    <t>DOS BOCAS 71</t>
  </si>
  <si>
    <t>DOS BOCAS 72</t>
  </si>
  <si>
    <t>DOS BOCAS 73</t>
  </si>
  <si>
    <t>DOS BOCAS 74</t>
  </si>
  <si>
    <t>DOS BOCAS 75</t>
  </si>
  <si>
    <t>DOS BOCAS 76</t>
  </si>
  <si>
    <t>DOS BOCAS 77</t>
  </si>
  <si>
    <t>DOS BOCAS 78</t>
  </si>
  <si>
    <t>DOS BOCAS 79</t>
  </si>
  <si>
    <t>DOS BOCAS 80</t>
  </si>
  <si>
    <t>113B</t>
  </si>
  <si>
    <t>556B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</si>
</sst>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0"/>
    <numFmt numFmtId="166" formatCode="0.00000;\-0.00000;;@"/>
    <numFmt numFmtId="167" formatCode="0.00;\-0.00;;@"/>
    <numFmt numFmtId="168" formatCode="0.0;\-0.0;;@"/>
    <numFmt numFmtId="169" formatCode="[$-409]d\-mmm\-yy;@"/>
    <numFmt numFmtId="170" formatCode="dd/mm/yyyy;@"/>
  </numFmts>
  <fonts count="28" x14ac:knownFonts="1">
    <font>
      <sz val="11"/>
      <color theme="1"/>
      <name val="Calibri"/>
      <family val="2"/>
      <scheme val="minor"/>
    </font>
    <font>
      <b/>
      <sz val="11"/>
      <color theme="0"/>
      <name val="Calibri"/>
      <family val="2"/>
      <scheme val="minor"/>
    </font>
    <font>
      <sz val="8"/>
      <name val="Calibri"/>
      <family val="2"/>
      <scheme val="minor"/>
    </font>
    <font>
      <b/>
      <sz val="11"/>
      <name val="Calibri"/>
      <family val="2"/>
      <scheme val="minor"/>
    </font>
    <font>
      <sz val="11"/>
      <color rgb="FFFF0000"/>
      <name val="Calibri"/>
      <family val="2"/>
      <scheme val="minor"/>
    </font>
    <font>
      <b/>
      <sz val="10"/>
      <color theme="0"/>
      <name val="Calibri"/>
      <family val="2"/>
      <scheme val="minor"/>
    </font>
    <font>
      <b/>
      <sz val="11"/>
      <color theme="1"/>
      <name val="Trebuchet MS"/>
      <family val="2"/>
    </font>
    <font>
      <sz val="11"/>
      <color theme="1"/>
      <name val="Trebuchet MS"/>
      <family val="2"/>
    </font>
    <font>
      <b/>
      <sz val="11"/>
      <color theme="1"/>
      <name val="Calibri"/>
      <family val="2"/>
      <scheme val="minor"/>
    </font>
    <font>
      <sz val="9"/>
      <color theme="1"/>
      <name val="Calibri"/>
      <family val="2"/>
      <scheme val="minor"/>
    </font>
    <font>
      <b/>
      <sz val="9"/>
      <color indexed="81"/>
      <name val="Tahoma"/>
      <family val="2"/>
    </font>
    <font>
      <sz val="8"/>
      <color theme="1"/>
      <name val="Calibri"/>
      <family val="2"/>
      <scheme val="minor"/>
    </font>
    <font>
      <sz val="11"/>
      <color theme="0"/>
      <name val="Calibri"/>
      <family val="2"/>
      <scheme val="minor"/>
    </font>
    <font>
      <b/>
      <sz val="14"/>
      <color theme="0"/>
      <name val="Calibri"/>
      <family val="2"/>
      <scheme val="minor"/>
    </font>
    <font>
      <b/>
      <sz val="11"/>
      <color theme="4" tint="-0.249977111117893"/>
      <name val="Calibri"/>
      <family val="2"/>
      <scheme val="minor"/>
    </font>
    <font>
      <sz val="10"/>
      <color theme="1"/>
      <name val="Calibri"/>
      <family val="2"/>
      <scheme val="minor"/>
    </font>
    <font>
      <b/>
      <sz val="14"/>
      <name val="Calibri"/>
      <family val="2"/>
      <scheme val="minor"/>
    </font>
    <font>
      <b/>
      <sz val="14"/>
      <color rgb="FF0070C0"/>
      <name val="Calibri"/>
      <family val="2"/>
      <scheme val="minor"/>
    </font>
    <font>
      <sz val="14"/>
      <color theme="4" tint="-0.249977111117893"/>
      <name val="Calibri"/>
      <family val="2"/>
      <scheme val="minor"/>
    </font>
    <font>
      <b/>
      <sz val="14"/>
      <color theme="4" tint="-0.249977111117893"/>
      <name val="Calibri"/>
      <family val="2"/>
      <scheme val="minor"/>
    </font>
    <font>
      <b/>
      <sz val="12"/>
      <color theme="4" tint="-0.249977111117893"/>
      <name val="Calibri"/>
      <family val="2"/>
      <scheme val="minor"/>
    </font>
    <font>
      <sz val="8"/>
      <color rgb="FF000000"/>
      <name val="Calibri"/>
      <family val="2"/>
      <scheme val="minor"/>
    </font>
    <font>
      <sz val="11"/>
      <color rgb="FF000000"/>
      <name val="Calibri"/>
      <family val="2"/>
      <scheme val="minor"/>
    </font>
    <font>
      <sz val="9"/>
      <color rgb="FF000000"/>
      <name val="Arial"/>
      <family val="2"/>
    </font>
    <font>
      <sz val="11"/>
      <name val="Trebuchet MS"/>
      <family val="2"/>
    </font>
    <font>
      <sz val="11"/>
      <name val="Calibri"/>
      <family val="2"/>
      <scheme val="minor"/>
    </font>
    <font>
      <sz val="11"/>
      <color rgb="FF92D050"/>
      <name val="Calibri"/>
      <family val="2"/>
      <scheme val="minor"/>
    </font>
    <font>
      <b/>
      <sz val="9"/>
      <color theme="1"/>
      <name val="Calibri"/>
      <family val="2"/>
      <scheme val="minor"/>
    </font>
  </fonts>
  <fills count="21">
    <fill>
      <patternFill patternType="none"/>
    </fill>
    <fill>
      <patternFill patternType="gray125"/>
    </fill>
    <fill>
      <patternFill patternType="solid">
        <fgColor theme="3"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00"/>
        <bgColor indexed="64"/>
      </patternFill>
    </fill>
  </fills>
  <borders count="124">
    <border>
      <left/>
      <right/>
      <top/>
      <bottom/>
      <diagonal/>
    </border>
    <border>
      <left style="thin">
        <color theme="8" tint="0.59996337778862885"/>
      </left>
      <right/>
      <top style="thin">
        <color theme="4" tint="0.39997558519241921"/>
      </top>
      <bottom/>
      <diagonal/>
    </border>
    <border>
      <left/>
      <right/>
      <top style="thin">
        <color theme="4" tint="0.39997558519241921"/>
      </top>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59996337778862885"/>
      </left>
      <right style="thin">
        <color theme="8" tint="0.59996337778862885"/>
      </right>
      <top style="thin">
        <color theme="4" tint="0.39997558519241921"/>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tint="0.39994506668294322"/>
      </left>
      <right style="thin">
        <color theme="8" tint="0.39994506668294322"/>
      </right>
      <top/>
      <bottom style="thin">
        <color theme="8" tint="0.39994506668294322"/>
      </bottom>
      <diagonal/>
    </border>
    <border>
      <left style="thin">
        <color theme="8" tint="0.39988402966399123"/>
      </left>
      <right style="thin">
        <color theme="8" tint="0.39988402966399123"/>
      </right>
      <top style="thin">
        <color theme="8" tint="0.39988402966399123"/>
      </top>
      <bottom style="thin">
        <color theme="8" tint="0.39988402966399123"/>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39994506668294322"/>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4" tint="0.39991454817346722"/>
      </left>
      <right style="thin">
        <color theme="4" tint="0.39991454817346722"/>
      </right>
      <top style="thin">
        <color theme="4" tint="0.39991454817346722"/>
      </top>
      <bottom/>
      <diagonal/>
    </border>
    <border>
      <left style="thin">
        <color theme="8" tint="0.39985351115451523"/>
      </left>
      <right style="thin">
        <color theme="8" tint="0.39985351115451523"/>
      </right>
      <top style="thin">
        <color theme="8" tint="0.39985351115451523"/>
      </top>
      <bottom style="thin">
        <color theme="8" tint="0.39985351115451523"/>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right/>
      <top style="thin">
        <color theme="8" tint="0.39994506668294322"/>
      </top>
      <bottom style="thin">
        <color theme="8" tint="0.39994506668294322"/>
      </bottom>
      <diagonal/>
    </border>
    <border>
      <left style="thin">
        <color theme="8" tint="0.39994506668294322"/>
      </left>
      <right/>
      <top/>
      <bottom style="thin">
        <color theme="8" tint="0.39994506668294322"/>
      </bottom>
      <diagonal/>
    </border>
    <border>
      <left/>
      <right style="thin">
        <color theme="8" tint="0.39991454817346722"/>
      </right>
      <top style="thin">
        <color theme="8" tint="0.39991454817346722"/>
      </top>
      <bottom style="thin">
        <color theme="8" tint="0.39991454817346722"/>
      </bottom>
      <diagonal/>
    </border>
    <border>
      <left style="thin">
        <color theme="8" tint="0.59996337778862885"/>
      </left>
      <right/>
      <top/>
      <bottom/>
      <diagonal/>
    </border>
    <border>
      <left style="thick">
        <color theme="8" tint="0.59996337778862885"/>
      </left>
      <right style="thin">
        <color theme="8" tint="0.39991454817346722"/>
      </right>
      <top style="thin">
        <color theme="8" tint="0.39991454817346722"/>
      </top>
      <bottom style="thin">
        <color theme="8" tint="0.39991454817346722"/>
      </bottom>
      <diagonal/>
    </border>
    <border>
      <left style="thin">
        <color theme="8" tint="0.399914548173467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style="thin">
        <color theme="8" tint="0.39991454817346722"/>
      </left>
      <right/>
      <top style="thin">
        <color theme="8" tint="0.39991454817346722"/>
      </top>
      <bottom/>
      <diagonal/>
    </border>
    <border>
      <left style="thin">
        <color theme="8" tint="0.39991454817346722"/>
      </left>
      <right/>
      <top/>
      <bottom/>
      <diagonal/>
    </border>
    <border>
      <left style="thin">
        <color theme="8" tint="0.39991454817346722"/>
      </left>
      <right/>
      <top/>
      <bottom style="thin">
        <color theme="8" tint="0.39991454817346722"/>
      </bottom>
      <diagonal/>
    </border>
    <border>
      <left style="thin">
        <color theme="8" tint="0.39994506668294322"/>
      </left>
      <right/>
      <top/>
      <bottom/>
      <diagonal/>
    </border>
    <border>
      <left/>
      <right/>
      <top/>
      <bottom style="thin">
        <color theme="4" tint="0.39994506668294322"/>
      </bottom>
      <diagonal/>
    </border>
    <border>
      <left/>
      <right/>
      <top/>
      <bottom style="thin">
        <color theme="4" tint="0.39997558519241921"/>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theme="4" tint="0.39991454817346722"/>
      </left>
      <right/>
      <top style="thin">
        <color theme="4" tint="0.39991454817346722"/>
      </top>
      <bottom style="thin">
        <color theme="4" tint="0.39991454817346722"/>
      </bottom>
      <diagonal/>
    </border>
    <border>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39991454817346722"/>
      </top>
      <bottom style="thin">
        <color theme="8" tint="0.59996337778862885"/>
      </bottom>
      <diagonal/>
    </border>
    <border>
      <left style="thin">
        <color theme="8" tint="0.59996337778862885"/>
      </left>
      <right style="thin">
        <color theme="8" tint="0.39991454817346722"/>
      </right>
      <top style="thin">
        <color theme="8" tint="0.39991454817346722"/>
      </top>
      <bottom style="thin">
        <color theme="8" tint="0.59996337778862885"/>
      </bottom>
      <diagonal/>
    </border>
    <border>
      <left style="thin">
        <color theme="8" tint="0.59996337778862885"/>
      </left>
      <right style="thin">
        <color theme="8" tint="0.39991454817346722"/>
      </right>
      <top style="thin">
        <color theme="8" tint="0.59996337778862885"/>
      </top>
      <bottom style="thin">
        <color theme="8" tint="0.59996337778862885"/>
      </bottom>
      <diagonal/>
    </border>
    <border>
      <left style="thin">
        <color theme="8" tint="0.39991454817346722"/>
      </left>
      <right style="thin">
        <color theme="8" tint="0.39991454817346722"/>
      </right>
      <top/>
      <bottom style="thin">
        <color theme="8" tint="0.39991454817346722"/>
      </bottom>
      <diagonal/>
    </border>
    <border>
      <left style="thin">
        <color theme="8" tint="0.39991454817346722"/>
      </left>
      <right style="thin">
        <color theme="8" tint="0.39991454817346722"/>
      </right>
      <top style="thin">
        <color theme="8" tint="0.59996337778862885"/>
      </top>
      <bottom style="thin">
        <color theme="8" tint="0.39991454817346722"/>
      </bottom>
      <diagonal/>
    </border>
    <border>
      <left style="thin">
        <color theme="8" tint="0.39991454817346722"/>
      </left>
      <right style="thick">
        <color theme="8" tint="0.59996337778862885"/>
      </right>
      <top style="thin">
        <color theme="8" tint="0.59996337778862885"/>
      </top>
      <bottom/>
      <diagonal/>
    </border>
    <border>
      <left style="thin">
        <color theme="8" tint="0.39991454817346722"/>
      </left>
      <right style="thin">
        <color theme="8" tint="0.39991454817346722"/>
      </right>
      <top style="thin">
        <color theme="8" tint="0.59996337778862885"/>
      </top>
      <bottom/>
      <diagonal/>
    </border>
    <border>
      <left style="thin">
        <color theme="8" tint="0.39991454817346722"/>
      </left>
      <right style="thin">
        <color theme="8" tint="0.39991454817346722"/>
      </right>
      <top style="thin">
        <color theme="8" tint="0.59996337778862885"/>
      </top>
      <bottom style="thin">
        <color theme="8" tint="0.59996337778862885"/>
      </bottom>
      <diagonal/>
    </border>
    <border>
      <left/>
      <right/>
      <top/>
      <bottom style="thin">
        <color theme="8" tint="0.59996337778862885"/>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bottom style="thin">
        <color theme="4" tint="-0.499984740745262"/>
      </bottom>
      <diagonal/>
    </border>
    <border>
      <left style="thick">
        <color rgb="FFFF2D2D"/>
      </left>
      <right style="thick">
        <color rgb="FFFF2D2D"/>
      </right>
      <top style="thick">
        <color rgb="FFFF2D2D"/>
      </top>
      <bottom style="thick">
        <color rgb="FFFF2D2D"/>
      </bottom>
      <diagonal/>
    </border>
    <border>
      <left/>
      <right/>
      <top/>
      <bottom style="thin">
        <color theme="4" tint="0.39991454817346722"/>
      </bottom>
      <diagonal/>
    </border>
    <border>
      <left style="thin">
        <color theme="4" tint="0.39991454817346722"/>
      </left>
      <right/>
      <top style="thin">
        <color theme="4" tint="0.39991454817346722"/>
      </top>
      <bottom/>
      <diagonal/>
    </border>
    <border>
      <left/>
      <right style="thin">
        <color theme="4" tint="0.39991454817346722"/>
      </right>
      <top style="thin">
        <color theme="4" tint="0.39991454817346722"/>
      </top>
      <bottom/>
      <diagonal/>
    </border>
    <border>
      <left style="thick">
        <color theme="8" tint="-0.24994659260841701"/>
      </left>
      <right style="thin">
        <color theme="8" tint="0.39991454817346722"/>
      </right>
      <top/>
      <bottom style="thin">
        <color theme="8" tint="0.39991454817346722"/>
      </bottom>
      <diagonal/>
    </border>
    <border>
      <left style="thin">
        <color theme="8" tint="0.39991454817346722"/>
      </left>
      <right style="thick">
        <color theme="8" tint="-0.24994659260841701"/>
      </right>
      <top/>
      <bottom style="thin">
        <color theme="8" tint="0.39991454817346722"/>
      </bottom>
      <diagonal/>
    </border>
    <border>
      <left style="thick">
        <color theme="8" tint="-0.24994659260841701"/>
      </left>
      <right style="thin">
        <color theme="8" tint="0.39991454817346722"/>
      </right>
      <top style="thin">
        <color theme="8" tint="0.39991454817346722"/>
      </top>
      <bottom style="thin">
        <color theme="8" tint="0.39991454817346722"/>
      </bottom>
      <diagonal/>
    </border>
    <border>
      <left style="thin">
        <color theme="8" tint="0.39991454817346722"/>
      </left>
      <right style="thick">
        <color theme="8" tint="-0.24994659260841701"/>
      </right>
      <top style="thin">
        <color theme="8" tint="0.39991454817346722"/>
      </top>
      <bottom style="thin">
        <color theme="8" tint="0.39991454817346722"/>
      </bottom>
      <diagonal/>
    </border>
    <border>
      <left style="thick">
        <color theme="8" tint="-0.24994659260841701"/>
      </left>
      <right/>
      <top/>
      <bottom style="thin">
        <color theme="4" tint="0.39991454817346722"/>
      </bottom>
      <diagonal/>
    </border>
    <border>
      <left/>
      <right style="thick">
        <color theme="8" tint="-0.24994659260841701"/>
      </right>
      <top/>
      <bottom style="thin">
        <color theme="4" tint="0.39991454817346722"/>
      </bottom>
      <diagonal/>
    </border>
    <border>
      <left style="thick">
        <color theme="8" tint="-0.24994659260841701"/>
      </left>
      <right style="thin">
        <color theme="4" tint="0.39991454817346722"/>
      </right>
      <top style="thin">
        <color theme="4" tint="0.39991454817346722"/>
      </top>
      <bottom/>
      <diagonal/>
    </border>
    <border>
      <left style="thin">
        <color theme="4" tint="0.39991454817346722"/>
      </left>
      <right style="thick">
        <color theme="8" tint="-0.24994659260841701"/>
      </right>
      <top style="thin">
        <color theme="4" tint="0.39991454817346722"/>
      </top>
      <bottom/>
      <diagonal/>
    </border>
    <border>
      <left style="thick">
        <color theme="8" tint="-0.24994659260841701"/>
      </left>
      <right style="thin">
        <color theme="8" tint="0.39994506668294322"/>
      </right>
      <top style="thin">
        <color theme="8" tint="0.39994506668294322"/>
      </top>
      <bottom style="thin">
        <color theme="8" tint="0.39994506668294322"/>
      </bottom>
      <diagonal/>
    </border>
    <border>
      <left style="thin">
        <color theme="8" tint="0.39994506668294322"/>
      </left>
      <right style="thick">
        <color theme="8" tint="-0.24994659260841701"/>
      </right>
      <top style="thin">
        <color theme="8" tint="0.39994506668294322"/>
      </top>
      <bottom style="thin">
        <color theme="8" tint="0.39994506668294322"/>
      </bottom>
      <diagonal/>
    </border>
    <border>
      <left style="thin">
        <color theme="8" tint="0.39994506668294322"/>
      </left>
      <right style="thin">
        <color theme="8" tint="0.39991454817346722"/>
      </right>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right style="thick">
        <color theme="8" tint="-0.24994659260841701"/>
      </right>
      <top/>
      <bottom/>
      <diagonal/>
    </border>
    <border>
      <left/>
      <right style="thick">
        <color theme="8" tint="-0.24994659260841701"/>
      </right>
      <top/>
      <bottom style="thin">
        <color theme="8" tint="0.39994506668294322"/>
      </bottom>
      <diagonal/>
    </border>
    <border>
      <left/>
      <right style="thin">
        <color theme="8" tint="0.39991454817346722"/>
      </right>
      <top style="thin">
        <color theme="8" tint="0.59996337778862885"/>
      </top>
      <bottom/>
      <diagonal/>
    </border>
    <border>
      <left/>
      <right/>
      <top style="thin">
        <color theme="8" tint="0.59996337778862885"/>
      </top>
      <bottom/>
      <diagonal/>
    </border>
    <border>
      <left style="thick">
        <color rgb="FFFFFF00"/>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style="thin">
        <color theme="8" tint="0.39994506668294322"/>
      </left>
      <right style="thin">
        <color theme="8" tint="0.39994506668294322"/>
      </right>
      <top style="thin">
        <color theme="8" tint="0.59996337778862885"/>
      </top>
      <bottom style="thin">
        <color theme="8" tint="0.39994506668294322"/>
      </bottom>
      <diagonal/>
    </border>
    <border>
      <left style="thin">
        <color theme="8" tint="0.39994506668294322"/>
      </left>
      <right style="medium">
        <color rgb="FFFFFF00"/>
      </right>
      <top style="thin">
        <color theme="8" tint="0.59996337778862885"/>
      </top>
      <bottom style="thin">
        <color theme="8" tint="0.39994506668294322"/>
      </bottom>
      <diagonal/>
    </border>
    <border>
      <left style="thin">
        <color theme="8" tint="0.39994506668294322"/>
      </left>
      <right style="medium">
        <color rgb="FFFFFF00"/>
      </right>
      <top style="thin">
        <color theme="8" tint="0.39994506668294322"/>
      </top>
      <bottom style="thin">
        <color theme="8" tint="0.39994506668294322"/>
      </bottom>
      <diagonal/>
    </border>
    <border>
      <left style="medium">
        <color rgb="FFFFFF00"/>
      </left>
      <right style="thin">
        <color theme="8" tint="0.39994506668294322"/>
      </right>
      <top style="thin">
        <color theme="8" tint="0.59996337778862885"/>
      </top>
      <bottom style="thin">
        <color theme="8" tint="0.39994506668294322"/>
      </bottom>
      <diagonal/>
    </border>
    <border>
      <left style="medium">
        <color rgb="FFFFFF00"/>
      </left>
      <right style="thin">
        <color theme="8" tint="0.39994506668294322"/>
      </right>
      <top style="thin">
        <color theme="8" tint="0.39994506668294322"/>
      </top>
      <bottom style="thin">
        <color theme="8" tint="0.39994506668294322"/>
      </bottom>
      <diagonal/>
    </border>
    <border>
      <left/>
      <right style="thick">
        <color rgb="FFFFFF00"/>
      </right>
      <top style="thin">
        <color theme="8" tint="0.59996337778862885"/>
      </top>
      <bottom style="thin">
        <color theme="8" tint="0.59996337778862885"/>
      </bottom>
      <diagonal/>
    </border>
    <border>
      <left style="thin">
        <color theme="8" tint="0.39994506668294322"/>
      </left>
      <right style="thick">
        <color rgb="FFFFFF00"/>
      </right>
      <top style="thin">
        <color theme="8" tint="0.59996337778862885"/>
      </top>
      <bottom style="thin">
        <color theme="8" tint="0.39994506668294322"/>
      </bottom>
      <diagonal/>
    </border>
    <border>
      <left style="thin">
        <color theme="8" tint="0.39994506668294322"/>
      </left>
      <right style="thick">
        <color rgb="FFFFFF00"/>
      </right>
      <top style="thin">
        <color theme="8" tint="0.39994506668294322"/>
      </top>
      <bottom style="thin">
        <color theme="8" tint="0.39994506668294322"/>
      </bottom>
      <diagonal/>
    </border>
    <border>
      <left style="thick">
        <color rgb="FFFFFF00"/>
      </left>
      <right style="thin">
        <color theme="8" tint="0.39994506668294322"/>
      </right>
      <top style="thin">
        <color theme="8" tint="0.59996337778862885"/>
      </top>
      <bottom style="thin">
        <color theme="8" tint="0.39994506668294322"/>
      </bottom>
      <diagonal/>
    </border>
    <border>
      <left style="thick">
        <color rgb="FFFFFF00"/>
      </left>
      <right style="thin">
        <color theme="8" tint="0.39994506668294322"/>
      </right>
      <top style="thin">
        <color theme="8" tint="0.39994506668294322"/>
      </top>
      <bottom style="thin">
        <color theme="8" tint="0.39994506668294322"/>
      </bottom>
      <diagonal/>
    </border>
    <border>
      <left style="thin">
        <color theme="8" tint="0.39994506668294322"/>
      </left>
      <right style="thick">
        <color theme="8" tint="0.39994506668294322"/>
      </right>
      <top style="thin">
        <color theme="8" tint="0.59996337778862885"/>
      </top>
      <bottom style="thin">
        <color theme="8" tint="0.39994506668294322"/>
      </bottom>
      <diagonal/>
    </border>
    <border>
      <left style="thin">
        <color theme="8" tint="0.39994506668294322"/>
      </left>
      <right style="thick">
        <color theme="8" tint="0.39994506668294322"/>
      </right>
      <top style="thin">
        <color theme="8" tint="0.39994506668294322"/>
      </top>
      <bottom style="thin">
        <color theme="8" tint="0.39994506668294322"/>
      </bottom>
      <diagonal/>
    </border>
    <border>
      <left style="thick">
        <color theme="8" tint="0.39994506668294322"/>
      </left>
      <right/>
      <top style="thin">
        <color theme="8" tint="0.59996337778862885"/>
      </top>
      <bottom style="thin">
        <color theme="8" tint="0.59996337778862885"/>
      </bottom>
      <diagonal/>
    </border>
    <border>
      <left/>
      <right style="thick">
        <color theme="8" tint="0.39994506668294322"/>
      </right>
      <top style="thin">
        <color theme="8" tint="0.59996337778862885"/>
      </top>
      <bottom style="thin">
        <color theme="8" tint="0.59996337778862885"/>
      </bottom>
      <diagonal/>
    </border>
    <border>
      <left style="thick">
        <color theme="8" tint="0.39994506668294322"/>
      </left>
      <right/>
      <top style="thin">
        <color theme="8" tint="0.59996337778862885"/>
      </top>
      <bottom/>
      <diagonal/>
    </border>
    <border>
      <left/>
      <right style="thick">
        <color theme="8" tint="0.39994506668294322"/>
      </right>
      <top style="thin">
        <color theme="8" tint="0.59996337778862885"/>
      </top>
      <bottom/>
      <diagonal/>
    </border>
    <border>
      <left style="thick">
        <color theme="8" tint="0.39994506668294322"/>
      </left>
      <right style="thin">
        <color theme="8" tint="0.39994506668294322"/>
      </right>
      <top style="thin">
        <color theme="8" tint="0.59996337778862885"/>
      </top>
      <bottom style="thin">
        <color theme="8" tint="0.39994506668294322"/>
      </bottom>
      <diagonal/>
    </border>
    <border>
      <left style="thick">
        <color theme="8" tint="0.39994506668294322"/>
      </left>
      <right style="thin">
        <color theme="8" tint="0.39994506668294322"/>
      </right>
      <top style="thin">
        <color theme="8" tint="0.39994506668294322"/>
      </top>
      <bottom style="thin">
        <color theme="8" tint="0.39994506668294322"/>
      </bottom>
      <diagonal/>
    </border>
    <border>
      <left/>
      <right style="thick">
        <color theme="8" tint="0.39994506668294322"/>
      </right>
      <top/>
      <bottom/>
      <diagonal/>
    </border>
    <border>
      <left style="thick">
        <color rgb="FFFFFF00"/>
      </left>
      <right/>
      <top style="thin">
        <color theme="8" tint="0.39994506668294322"/>
      </top>
      <bottom style="thin">
        <color theme="8" tint="0.39994506668294322"/>
      </bottom>
      <diagonal/>
    </border>
    <border>
      <left/>
      <right style="thick">
        <color theme="8" tint="0.39994506668294322"/>
      </right>
      <top style="thin">
        <color theme="8" tint="0.39994506668294322"/>
      </top>
      <bottom style="thin">
        <color theme="8" tint="0.39994506668294322"/>
      </bottom>
      <diagonal/>
    </border>
    <border>
      <left style="thin">
        <color indexed="64"/>
      </left>
      <right style="thin">
        <color indexed="64"/>
      </right>
      <top style="thin">
        <color indexed="64"/>
      </top>
      <bottom style="thin">
        <color indexed="64"/>
      </bottom>
      <diagonal/>
    </border>
    <border>
      <left style="thin">
        <color theme="4" tint="-0.499984740745262"/>
      </left>
      <right style="thin">
        <color theme="4" tint="-0.499984740745262"/>
      </right>
      <top style="thin">
        <color theme="4" tint="-0.499984740745262"/>
      </top>
      <bottom/>
      <diagonal/>
    </border>
    <border>
      <left style="thin">
        <color indexed="64"/>
      </left>
      <right style="thin">
        <color indexed="64"/>
      </right>
      <top style="thin">
        <color indexed="64"/>
      </top>
      <bottom/>
      <diagonal/>
    </border>
    <border>
      <left style="thin">
        <color indexed="64"/>
      </left>
      <right style="thin">
        <color indexed="64"/>
      </right>
      <top/>
      <bottom style="thin">
        <color theme="8" tint="0.39988402966399123"/>
      </bottom>
      <diagonal/>
    </border>
    <border>
      <left style="thin">
        <color indexed="64"/>
      </left>
      <right style="thin">
        <color indexed="64"/>
      </right>
      <top style="thin">
        <color theme="8" tint="0.39988402966399123"/>
      </top>
      <bottom style="thin">
        <color theme="8" tint="0.39988402966399123"/>
      </bottom>
      <diagonal/>
    </border>
    <border>
      <left style="thin">
        <color indexed="64"/>
      </left>
      <right style="thin">
        <color indexed="64"/>
      </right>
      <top style="thin">
        <color theme="4" tint="-0.499984740745262"/>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theme="8" tint="0.39988402966399123"/>
      </left>
      <right/>
      <top style="thin">
        <color theme="8" tint="0.39988402966399123"/>
      </top>
      <bottom style="thin">
        <color theme="8" tint="0.39988402966399123"/>
      </bottom>
      <diagonal/>
    </border>
    <border>
      <left style="thin">
        <color theme="8" tint="0.39988402966399123"/>
      </left>
      <right style="thin">
        <color theme="8" tint="0.39988402966399123"/>
      </right>
      <top style="thin">
        <color theme="8" tint="0.39988402966399123"/>
      </top>
      <bottom/>
      <diagonal/>
    </border>
    <border>
      <left/>
      <right style="thin">
        <color theme="8" tint="0.39988402966399123"/>
      </right>
      <top style="thin">
        <color theme="8" tint="0.39988402966399123"/>
      </top>
      <bottom style="thin">
        <color theme="8" tint="0.39988402966399123"/>
      </bottom>
      <diagonal/>
    </border>
    <border>
      <left style="thin">
        <color theme="8" tint="0.39988402966399123"/>
      </left>
      <right style="thin">
        <color theme="8" tint="0.39988402966399123"/>
      </right>
      <top/>
      <bottom style="thin">
        <color theme="8" tint="0.39988402966399123"/>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theme="8" tint="-0.24994659260841701"/>
      </right>
      <top style="thin">
        <color theme="8" tint="0.39991454817346722"/>
      </top>
      <bottom style="thin">
        <color theme="8" tint="0.39991454817346722"/>
      </bottom>
      <diagonal/>
    </border>
    <border>
      <left style="thick">
        <color theme="8" tint="-0.24994659260841701"/>
      </left>
      <right style="thin">
        <color theme="8" tint="0.39991454817346722"/>
      </right>
      <top style="thin">
        <color theme="8" tint="0.39991454817346722"/>
      </top>
      <bottom/>
      <diagonal/>
    </border>
    <border>
      <left style="thin">
        <color theme="8" tint="0.39991454817346722"/>
      </left>
      <right style="thin">
        <color theme="8" tint="0.39991454817346722"/>
      </right>
      <top style="thin">
        <color theme="8" tint="0.39991454817346722"/>
      </top>
      <bottom/>
      <diagonal/>
    </border>
  </borders>
  <cellStyleXfs count="1">
    <xf numFmtId="0" fontId="0" fillId="0" borderId="0"/>
  </cellStyleXfs>
  <cellXfs count="479">
    <xf numFmtId="0" fontId="0" fillId="0" borderId="0" xfId="0"/>
    <xf numFmtId="0" fontId="0" fillId="0" borderId="0" xfId="0" applyAlignment="1">
      <alignment horizont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textRotation="90" wrapText="1"/>
    </xf>
    <xf numFmtId="0" fontId="1" fillId="2" borderId="1" xfId="0" applyFont="1" applyFill="1" applyBorder="1" applyAlignment="1">
      <alignment horizont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0" fillId="0" borderId="0" xfId="0" applyAlignment="1">
      <alignment horizontal="left"/>
    </xf>
    <xf numFmtId="0" fontId="1" fillId="2" borderId="5" xfId="0" applyFont="1" applyFill="1" applyBorder="1" applyAlignment="1">
      <alignment horizontal="center" vertical="center" textRotation="90" wrapText="1"/>
    </xf>
    <xf numFmtId="0" fontId="0" fillId="0" borderId="4" xfId="0" applyBorder="1" applyAlignment="1">
      <alignment horizontal="left"/>
    </xf>
    <xf numFmtId="0" fontId="0" fillId="0" borderId="4" xfId="0" applyBorder="1" applyAlignment="1">
      <alignment horizontal="center"/>
    </xf>
    <xf numFmtId="0" fontId="0" fillId="0" borderId="4" xfId="0" applyBorder="1" applyAlignment="1">
      <alignment horizontal="center" vertical="center"/>
    </xf>
    <xf numFmtId="15" fontId="0" fillId="0" borderId="4" xfId="0" applyNumberFormat="1" applyBorder="1" applyAlignment="1">
      <alignment horizontal="center"/>
    </xf>
    <xf numFmtId="15" fontId="0" fillId="0" borderId="4" xfId="0" applyNumberFormat="1" applyBorder="1" applyAlignment="1">
      <alignment horizontal="center" vertical="center"/>
    </xf>
    <xf numFmtId="0" fontId="0" fillId="0" borderId="4" xfId="0" quotePrefix="1" applyBorder="1" applyAlignment="1">
      <alignment horizontal="center" vertical="center"/>
    </xf>
    <xf numFmtId="0" fontId="1" fillId="2" borderId="6" xfId="0" applyFont="1" applyFill="1" applyBorder="1" applyAlignment="1">
      <alignment horizontal="center" vertical="center"/>
    </xf>
    <xf numFmtId="0" fontId="0" fillId="0" borderId="8" xfId="0" applyBorder="1" applyAlignment="1">
      <alignment horizontal="left"/>
    </xf>
    <xf numFmtId="0" fontId="0" fillId="0" borderId="8" xfId="0" applyBorder="1" applyAlignment="1">
      <alignment horizontal="center"/>
    </xf>
    <xf numFmtId="0" fontId="0" fillId="0" borderId="8" xfId="0" applyBorder="1" applyAlignment="1">
      <alignment horizontal="center" vertical="center"/>
    </xf>
    <xf numFmtId="0" fontId="0" fillId="0" borderId="8" xfId="0" applyBorder="1"/>
    <xf numFmtId="15" fontId="0" fillId="0" borderId="8" xfId="0" applyNumberFormat="1" applyBorder="1" applyAlignment="1">
      <alignment horizontal="center"/>
    </xf>
    <xf numFmtId="15" fontId="0" fillId="0" borderId="8" xfId="0" applyNumberFormat="1" applyBorder="1" applyAlignment="1">
      <alignment horizontal="center" vertical="center"/>
    </xf>
    <xf numFmtId="0" fontId="0" fillId="0" borderId="8" xfId="0" quotePrefix="1" applyBorder="1" applyAlignment="1">
      <alignment horizontal="center" vertical="center"/>
    </xf>
    <xf numFmtId="0" fontId="0" fillId="0" borderId="10" xfId="0" applyBorder="1" applyAlignment="1">
      <alignment horizontal="center" vertical="center"/>
    </xf>
    <xf numFmtId="0" fontId="11" fillId="0" borderId="0" xfId="0" applyFont="1" applyAlignment="1">
      <alignment horizontal="center" vertical="center"/>
    </xf>
    <xf numFmtId="164" fontId="0" fillId="0" borderId="0" xfId="0" applyNumberFormat="1"/>
    <xf numFmtId="0" fontId="0" fillId="0" borderId="13" xfId="0" applyBorder="1" applyAlignment="1">
      <alignment horizontal="left"/>
    </xf>
    <xf numFmtId="0" fontId="0" fillId="0" borderId="13" xfId="0" applyBorder="1" applyAlignment="1">
      <alignment horizontal="center"/>
    </xf>
    <xf numFmtId="0" fontId="0" fillId="0" borderId="13" xfId="0" applyBorder="1" applyAlignment="1">
      <alignment horizontal="center" vertical="center"/>
    </xf>
    <xf numFmtId="0" fontId="0" fillId="0" borderId="13" xfId="0" applyBorder="1"/>
    <xf numFmtId="15" fontId="0" fillId="0" borderId="13" xfId="0" applyNumberFormat="1" applyBorder="1" applyAlignment="1">
      <alignment horizontal="center"/>
    </xf>
    <xf numFmtId="15" fontId="0" fillId="0" borderId="13" xfId="0" applyNumberFormat="1" applyBorder="1" applyAlignment="1">
      <alignment horizontal="center" vertical="center"/>
    </xf>
    <xf numFmtId="0" fontId="0" fillId="7" borderId="13" xfId="0" applyFill="1" applyBorder="1" applyAlignment="1">
      <alignment horizontal="center" vertical="center"/>
    </xf>
    <xf numFmtId="0" fontId="11" fillId="0" borderId="14" xfId="0" applyFont="1" applyBorder="1" applyAlignment="1">
      <alignment horizontal="center" vertical="center"/>
    </xf>
    <xf numFmtId="0" fontId="1" fillId="2" borderId="3" xfId="0" applyFont="1" applyFill="1" applyBorder="1" applyAlignment="1">
      <alignment horizontal="center" vertical="center" textRotation="90" wrapText="1"/>
    </xf>
    <xf numFmtId="0" fontId="0" fillId="0" borderId="14" xfId="0" applyBorder="1" applyAlignment="1">
      <alignment horizontal="center"/>
    </xf>
    <xf numFmtId="0" fontId="0" fillId="0" borderId="14" xfId="0" applyBorder="1" applyAlignment="1">
      <alignment horizontal="center" vertical="center"/>
    </xf>
    <xf numFmtId="0" fontId="1" fillId="2" borderId="18" xfId="0" applyFont="1" applyFill="1" applyBorder="1" applyAlignment="1">
      <alignment horizontal="center" vertical="center" textRotation="90" wrapText="1"/>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5" borderId="0" xfId="0" applyFill="1" applyAlignment="1">
      <alignment horizontal="center"/>
    </xf>
    <xf numFmtId="0" fontId="13" fillId="0" borderId="0" xfId="0" applyFont="1" applyAlignment="1">
      <alignment vertical="center" textRotation="90"/>
    </xf>
    <xf numFmtId="0" fontId="0" fillId="0" borderId="0" xfId="0" applyAlignment="1">
      <alignment vertical="center"/>
    </xf>
    <xf numFmtId="0" fontId="0" fillId="0" borderId="9" xfId="0" applyBorder="1" applyAlignment="1">
      <alignment horizontal="center"/>
    </xf>
    <xf numFmtId="0" fontId="0" fillId="0" borderId="9" xfId="0" applyBorder="1" applyAlignment="1">
      <alignment horizontal="center" vertical="center"/>
    </xf>
    <xf numFmtId="0" fontId="0" fillId="11" borderId="0" xfId="0" applyFill="1" applyAlignment="1">
      <alignment horizontal="center" vertical="center"/>
    </xf>
    <xf numFmtId="0" fontId="0" fillId="5" borderId="4" xfId="0" applyFill="1" applyBorder="1" applyAlignment="1">
      <alignment horizontal="left"/>
    </xf>
    <xf numFmtId="0" fontId="0" fillId="5" borderId="4" xfId="0" applyFill="1" applyBorder="1" applyAlignment="1">
      <alignment horizontal="center" vertical="center"/>
    </xf>
    <xf numFmtId="0" fontId="0" fillId="5" borderId="10" xfId="0" applyFill="1" applyBorder="1" applyAlignment="1">
      <alignment horizontal="center" vertical="center"/>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9" xfId="0" applyFill="1" applyBorder="1" applyAlignment="1">
      <alignment horizontal="center" vertical="center"/>
    </xf>
    <xf numFmtId="0" fontId="0" fillId="5" borderId="14" xfId="0" applyFill="1" applyBorder="1" applyAlignment="1">
      <alignment horizontal="center" vertical="center"/>
    </xf>
    <xf numFmtId="0" fontId="0" fillId="5" borderId="13" xfId="0" applyFill="1" applyBorder="1" applyAlignment="1">
      <alignment horizontal="left"/>
    </xf>
    <xf numFmtId="0" fontId="0" fillId="5" borderId="13" xfId="0" applyFill="1" applyBorder="1" applyAlignment="1">
      <alignment horizontal="center"/>
    </xf>
    <xf numFmtId="0" fontId="0" fillId="5" borderId="13" xfId="0" applyFill="1" applyBorder="1" applyAlignment="1">
      <alignment horizontal="center" vertical="center"/>
    </xf>
    <xf numFmtId="0" fontId="0" fillId="5" borderId="13" xfId="0" applyFill="1" applyBorder="1"/>
    <xf numFmtId="15" fontId="0" fillId="5" borderId="13" xfId="0" applyNumberFormat="1" applyFill="1" applyBorder="1" applyAlignment="1">
      <alignment horizontal="center"/>
    </xf>
    <xf numFmtId="0" fontId="11" fillId="14" borderId="14" xfId="0" applyFont="1" applyFill="1" applyBorder="1" applyAlignment="1">
      <alignment horizontal="center" vertical="center"/>
    </xf>
    <xf numFmtId="164" fontId="0" fillId="0" borderId="14" xfId="0" applyNumberFormat="1" applyBorder="1" applyAlignment="1">
      <alignment horizontal="center"/>
    </xf>
    <xf numFmtId="164" fontId="0" fillId="14" borderId="14" xfId="0" applyNumberFormat="1" applyFill="1" applyBorder="1" applyAlignment="1">
      <alignment horizontal="center"/>
    </xf>
    <xf numFmtId="15" fontId="0" fillId="0" borderId="4" xfId="0" quotePrefix="1" applyNumberFormat="1" applyBorder="1" applyAlignment="1">
      <alignment horizontal="center" vertical="center"/>
    </xf>
    <xf numFmtId="0" fontId="0" fillId="0" borderId="4" xfId="0" quotePrefix="1" applyBorder="1" applyAlignment="1">
      <alignment horizontal="left" vertical="center"/>
    </xf>
    <xf numFmtId="15" fontId="0" fillId="5" borderId="4" xfId="0" applyNumberFormat="1" applyFill="1" applyBorder="1" applyAlignment="1">
      <alignment horizontal="center" vertical="center"/>
    </xf>
    <xf numFmtId="0" fontId="0" fillId="5" borderId="4" xfId="0" applyFill="1" applyBorder="1" applyAlignment="1">
      <alignment horizontal="left" vertical="center"/>
    </xf>
    <xf numFmtId="165" fontId="0" fillId="0" borderId="21" xfId="0" applyNumberFormat="1" applyBorder="1" applyAlignment="1">
      <alignment horizontal="center" vertical="center"/>
    </xf>
    <xf numFmtId="165" fontId="0" fillId="0" borderId="9" xfId="0" applyNumberFormat="1" applyBorder="1" applyAlignment="1">
      <alignment horizontal="center" vertical="center"/>
    </xf>
    <xf numFmtId="164" fontId="0" fillId="0" borderId="8" xfId="0" applyNumberFormat="1" applyBorder="1" applyAlignment="1">
      <alignment horizontal="center"/>
    </xf>
    <xf numFmtId="164" fontId="0" fillId="5" borderId="4" xfId="0" applyNumberFormat="1" applyFill="1" applyBorder="1" applyAlignment="1">
      <alignment horizontal="center" vertical="center"/>
    </xf>
    <xf numFmtId="164" fontId="0" fillId="5" borderId="3" xfId="0" applyNumberFormat="1" applyFill="1" applyBorder="1" applyAlignment="1">
      <alignment horizontal="center" vertical="center"/>
    </xf>
    <xf numFmtId="164" fontId="0" fillId="0" borderId="4" xfId="0" applyNumberFormat="1" applyBorder="1" applyAlignment="1">
      <alignment horizontal="center" vertical="center"/>
    </xf>
    <xf numFmtId="164" fontId="0" fillId="0" borderId="3" xfId="0" applyNumberFormat="1" applyBorder="1" applyAlignment="1">
      <alignment horizontal="center" vertical="center"/>
    </xf>
    <xf numFmtId="2" fontId="0" fillId="0" borderId="9" xfId="0" applyNumberFormat="1" applyBorder="1" applyAlignment="1">
      <alignment horizontal="center" vertical="center"/>
    </xf>
    <xf numFmtId="0" fontId="3" fillId="15" borderId="0" xfId="0" applyFont="1" applyFill="1" applyAlignment="1">
      <alignment horizontal="center" vertical="center"/>
    </xf>
    <xf numFmtId="0" fontId="1" fillId="3" borderId="1" xfId="0" applyFont="1" applyFill="1" applyBorder="1" applyAlignment="1">
      <alignment horizontal="center" vertical="center" wrapText="1"/>
    </xf>
    <xf numFmtId="164" fontId="0" fillId="5" borderId="29" xfId="0" applyNumberFormat="1" applyFill="1" applyBorder="1" applyAlignment="1">
      <alignment horizontal="center" vertical="center"/>
    </xf>
    <xf numFmtId="164" fontId="0" fillId="0" borderId="29" xfId="0" applyNumberFormat="1" applyBorder="1" applyAlignment="1">
      <alignment horizontal="center" vertical="center"/>
    </xf>
    <xf numFmtId="0" fontId="0" fillId="0" borderId="30" xfId="0" applyBorder="1" applyAlignment="1">
      <alignment horizontal="center"/>
    </xf>
    <xf numFmtId="0" fontId="0" fillId="5" borderId="30" xfId="0" applyFill="1" applyBorder="1" applyAlignment="1">
      <alignment horizontal="center" vertical="center"/>
    </xf>
    <xf numFmtId="0" fontId="0" fillId="0" borderId="30" xfId="0" applyBorder="1" applyAlignment="1">
      <alignment horizontal="center" vertical="center"/>
    </xf>
    <xf numFmtId="0" fontId="0" fillId="5" borderId="28" xfId="0" applyFill="1" applyBorder="1" applyAlignment="1">
      <alignment horizontal="center" vertical="center"/>
    </xf>
    <xf numFmtId="0" fontId="0" fillId="0" borderId="28" xfId="0" applyBorder="1" applyAlignment="1">
      <alignment horizontal="center" vertical="center"/>
    </xf>
    <xf numFmtId="0" fontId="0" fillId="5" borderId="33" xfId="0" applyFill="1"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xf>
    <xf numFmtId="0" fontId="0" fillId="0" borderId="0" xfId="0" applyAlignment="1">
      <alignment vertical="center" wrapText="1"/>
    </xf>
    <xf numFmtId="164" fontId="0" fillId="14" borderId="14" xfId="0" applyNumberFormat="1" applyFill="1" applyBorder="1" applyAlignment="1">
      <alignment horizontal="center" vertical="center"/>
    </xf>
    <xf numFmtId="15" fontId="0" fillId="14" borderId="14" xfId="0" applyNumberFormat="1" applyFill="1" applyBorder="1" applyAlignment="1">
      <alignment horizontal="center" vertical="center"/>
    </xf>
    <xf numFmtId="164" fontId="0" fillId="0" borderId="14" xfId="0" applyNumberFormat="1" applyBorder="1" applyAlignment="1">
      <alignment horizontal="center" vertical="center"/>
    </xf>
    <xf numFmtId="15" fontId="0" fillId="0" borderId="14" xfId="0" applyNumberFormat="1" applyBorder="1" applyAlignment="1">
      <alignment horizontal="center" vertical="center"/>
    </xf>
    <xf numFmtId="164" fontId="0" fillId="14" borderId="14" xfId="0" applyNumberFormat="1" applyFill="1" applyBorder="1" applyAlignment="1">
      <alignment horizontal="left"/>
    </xf>
    <xf numFmtId="164" fontId="0" fillId="0" borderId="14" xfId="0" applyNumberFormat="1" applyBorder="1" applyAlignment="1">
      <alignment horizontal="left"/>
    </xf>
    <xf numFmtId="0" fontId="11" fillId="0" borderId="8" xfId="0" applyFont="1" applyBorder="1" applyAlignment="1">
      <alignment horizontal="center" vertical="center"/>
    </xf>
    <xf numFmtId="166" fontId="0" fillId="0" borderId="8" xfId="0" applyNumberFormat="1" applyBorder="1" applyAlignment="1">
      <alignment horizontal="center"/>
    </xf>
    <xf numFmtId="0" fontId="0" fillId="0" borderId="8" xfId="0" applyBorder="1" applyAlignment="1">
      <alignment wrapText="1"/>
    </xf>
    <xf numFmtId="164" fontId="8" fillId="5" borderId="8" xfId="0" applyNumberFormat="1" applyFont="1" applyFill="1" applyBorder="1" applyAlignment="1">
      <alignment horizontal="center" vertical="center"/>
    </xf>
    <xf numFmtId="0" fontId="8" fillId="5" borderId="8" xfId="0" applyFont="1" applyFill="1" applyBorder="1" applyAlignment="1">
      <alignment horizontal="right"/>
    </xf>
    <xf numFmtId="0" fontId="0" fillId="0" borderId="35" xfId="0" applyBorder="1" applyAlignment="1">
      <alignment horizontal="center"/>
    </xf>
    <xf numFmtId="165" fontId="0" fillId="0" borderId="14" xfId="0" applyNumberFormat="1" applyBorder="1" applyAlignment="1">
      <alignment horizontal="center" vertical="center"/>
    </xf>
    <xf numFmtId="0" fontId="14" fillId="9" borderId="37" xfId="0" applyFont="1" applyFill="1" applyBorder="1" applyAlignment="1">
      <alignment horizontal="center" vertical="center" wrapText="1"/>
    </xf>
    <xf numFmtId="0" fontId="14" fillId="9" borderId="38" xfId="0" applyFont="1" applyFill="1" applyBorder="1" applyAlignment="1">
      <alignment horizontal="center" vertical="center" wrapText="1"/>
    </xf>
    <xf numFmtId="0" fontId="14" fillId="9" borderId="36" xfId="0" applyFont="1" applyFill="1" applyBorder="1" applyAlignment="1">
      <alignment horizontal="center" vertical="center" wrapText="1"/>
    </xf>
    <xf numFmtId="0" fontId="14" fillId="10" borderId="37" xfId="0" applyFont="1" applyFill="1" applyBorder="1" applyAlignment="1">
      <alignment horizontal="center" vertical="center" wrapText="1"/>
    </xf>
    <xf numFmtId="0" fontId="14" fillId="10" borderId="38" xfId="0" applyFont="1" applyFill="1" applyBorder="1" applyAlignment="1">
      <alignment horizontal="center" vertical="center" wrapText="1"/>
    </xf>
    <xf numFmtId="0" fontId="15" fillId="0" borderId="0" xfId="0" applyFont="1" applyAlignment="1">
      <alignment horizontal="left"/>
    </xf>
    <xf numFmtId="0" fontId="0" fillId="0" borderId="9" xfId="0" applyBorder="1" applyAlignment="1">
      <alignment horizontal="left" vertical="center"/>
    </xf>
    <xf numFmtId="0" fontId="0" fillId="5" borderId="30" xfId="0" applyFill="1" applyBorder="1" applyAlignment="1">
      <alignment horizontal="left" vertical="center"/>
    </xf>
    <xf numFmtId="0" fontId="0" fillId="5" borderId="9" xfId="0" applyFill="1" applyBorder="1" applyAlignment="1">
      <alignment horizontal="left" vertical="center"/>
    </xf>
    <xf numFmtId="0" fontId="0" fillId="0" borderId="28" xfId="0" applyBorder="1" applyAlignment="1">
      <alignment horizontal="left" vertical="center"/>
    </xf>
    <xf numFmtId="168" fontId="0" fillId="0" borderId="0" xfId="0" applyNumberFormat="1" applyAlignment="1">
      <alignment horizontal="right"/>
    </xf>
    <xf numFmtId="0" fontId="1" fillId="0" borderId="0" xfId="0" applyFont="1" applyAlignment="1">
      <alignment vertical="center"/>
    </xf>
    <xf numFmtId="0" fontId="1" fillId="0" borderId="0" xfId="0" applyFont="1" applyAlignment="1">
      <alignment vertical="center" wrapText="1"/>
    </xf>
    <xf numFmtId="164" fontId="0" fillId="0" borderId="0" xfId="0" applyNumberFormat="1" applyAlignment="1">
      <alignment horizontal="center"/>
    </xf>
    <xf numFmtId="164" fontId="0" fillId="0" borderId="0" xfId="0" applyNumberFormat="1" applyAlignment="1">
      <alignment horizontal="right"/>
    </xf>
    <xf numFmtId="164" fontId="0" fillId="0" borderId="0" xfId="0" applyNumberFormat="1" applyAlignment="1">
      <alignment horizontal="left"/>
    </xf>
    <xf numFmtId="164" fontId="0" fillId="0" borderId="0" xfId="0" applyNumberFormat="1" applyAlignment="1">
      <alignment horizontal="center" vertical="center"/>
    </xf>
    <xf numFmtId="164" fontId="0" fillId="0" borderId="0" xfId="0" applyNumberFormat="1" applyAlignment="1">
      <alignment horizontal="right" vertical="center"/>
    </xf>
    <xf numFmtId="164" fontId="0" fillId="0" borderId="0" xfId="0" applyNumberFormat="1" applyAlignment="1">
      <alignment horizontal="left" vertical="center"/>
    </xf>
    <xf numFmtId="166" fontId="0" fillId="0" borderId="0" xfId="0" applyNumberFormat="1" applyAlignment="1">
      <alignment horizontal="center"/>
    </xf>
    <xf numFmtId="0" fontId="1" fillId="0" borderId="0" xfId="0" applyFont="1" applyAlignment="1">
      <alignment horizontal="center" vertical="center"/>
    </xf>
    <xf numFmtId="0" fontId="5" fillId="0" borderId="0" xfId="0" applyFont="1" applyAlignment="1">
      <alignment horizontal="center" vertical="center" wrapText="1"/>
    </xf>
    <xf numFmtId="164" fontId="8" fillId="0" borderId="0" xfId="0" applyNumberFormat="1" applyFont="1" applyAlignment="1">
      <alignment horizontal="center" vertical="center"/>
    </xf>
    <xf numFmtId="166" fontId="8" fillId="0" borderId="0" xfId="0" applyNumberFormat="1" applyFont="1" applyAlignment="1">
      <alignment horizontal="center" vertical="center"/>
    </xf>
    <xf numFmtId="0" fontId="0" fillId="0" borderId="4" xfId="0" applyBorder="1" applyAlignment="1">
      <alignment horizontal="left" vertical="center"/>
    </xf>
    <xf numFmtId="0" fontId="11" fillId="0" borderId="40" xfId="0" applyFont="1" applyBorder="1" applyAlignment="1">
      <alignment horizontal="center" vertical="center"/>
    </xf>
    <xf numFmtId="0" fontId="11" fillId="14" borderId="40" xfId="0" applyFont="1" applyFill="1" applyBorder="1" applyAlignment="1">
      <alignment horizontal="center" vertical="center"/>
    </xf>
    <xf numFmtId="0" fontId="0" fillId="14" borderId="40" xfId="0" applyFill="1" applyBorder="1"/>
    <xf numFmtId="0" fontId="0" fillId="0" borderId="43" xfId="0" applyBorder="1"/>
    <xf numFmtId="0" fontId="0" fillId="14" borderId="43" xfId="0" applyFill="1" applyBorder="1"/>
    <xf numFmtId="15" fontId="0" fillId="14" borderId="41" xfId="0" applyNumberFormat="1" applyFill="1" applyBorder="1"/>
    <xf numFmtId="0" fontId="8" fillId="0" borderId="41" xfId="0" applyFont="1" applyBorder="1" applyAlignment="1">
      <alignment horizontal="center"/>
    </xf>
    <xf numFmtId="0" fontId="0" fillId="0" borderId="41" xfId="0" applyBorder="1" applyAlignment="1">
      <alignment horizontal="right"/>
    </xf>
    <xf numFmtId="0" fontId="3" fillId="18" borderId="40" xfId="0" quotePrefix="1" applyFont="1" applyFill="1" applyBorder="1" applyAlignment="1">
      <alignment horizontal="center" vertical="center"/>
    </xf>
    <xf numFmtId="0" fontId="3" fillId="18" borderId="40" xfId="0" applyFont="1" applyFill="1" applyBorder="1" applyAlignment="1">
      <alignment horizontal="center" vertical="center"/>
    </xf>
    <xf numFmtId="0" fontId="3" fillId="18" borderId="40" xfId="0" applyFont="1" applyFill="1" applyBorder="1" applyAlignment="1">
      <alignment horizontal="center" vertical="center" wrapText="1"/>
    </xf>
    <xf numFmtId="164" fontId="0" fillId="0" borderId="40" xfId="0" applyNumberFormat="1" applyBorder="1" applyAlignment="1">
      <alignment horizontal="center"/>
    </xf>
    <xf numFmtId="164" fontId="0" fillId="0" borderId="40" xfId="0" applyNumberFormat="1" applyBorder="1" applyAlignment="1">
      <alignment horizontal="center" vertical="center"/>
    </xf>
    <xf numFmtId="164" fontId="0" fillId="14" borderId="40" xfId="0" applyNumberFormat="1" applyFill="1" applyBorder="1" applyAlignment="1">
      <alignment horizontal="center"/>
    </xf>
    <xf numFmtId="164" fontId="0" fillId="14" borderId="40" xfId="0" applyNumberFormat="1" applyFill="1" applyBorder="1" applyAlignment="1">
      <alignment horizontal="center" vertical="center"/>
    </xf>
    <xf numFmtId="0" fontId="0" fillId="0" borderId="40" xfId="0" applyBorder="1" applyAlignment="1">
      <alignment horizontal="center" vertical="center"/>
    </xf>
    <xf numFmtId="0" fontId="0" fillId="0" borderId="40" xfId="0" applyBorder="1" applyAlignment="1">
      <alignment horizontal="left" vertical="center"/>
    </xf>
    <xf numFmtId="0" fontId="1" fillId="12" borderId="40" xfId="0" quotePrefix="1" applyFont="1" applyFill="1" applyBorder="1" applyAlignment="1">
      <alignment horizontal="center" vertical="center"/>
    </xf>
    <xf numFmtId="0" fontId="1" fillId="12" borderId="40" xfId="0" applyFont="1" applyFill="1" applyBorder="1" applyAlignment="1">
      <alignment horizontal="center" vertical="center"/>
    </xf>
    <xf numFmtId="0" fontId="5" fillId="12" borderId="40" xfId="0" applyFont="1" applyFill="1" applyBorder="1" applyAlignment="1">
      <alignment horizontal="center" vertical="center" wrapText="1"/>
    </xf>
    <xf numFmtId="166" fontId="0" fillId="14" borderId="40" xfId="0" applyNumberFormat="1" applyFill="1" applyBorder="1" applyAlignment="1">
      <alignment horizontal="center"/>
    </xf>
    <xf numFmtId="166" fontId="0" fillId="14" borderId="42" xfId="0" applyNumberFormat="1" applyFill="1" applyBorder="1" applyAlignment="1">
      <alignment horizontal="right"/>
    </xf>
    <xf numFmtId="166" fontId="0" fillId="14" borderId="41" xfId="0" applyNumberFormat="1" applyFill="1" applyBorder="1" applyAlignment="1">
      <alignment horizontal="left"/>
    </xf>
    <xf numFmtId="0" fontId="1" fillId="13" borderId="8" xfId="0" quotePrefix="1" applyFont="1" applyFill="1" applyBorder="1" applyAlignment="1">
      <alignment horizontal="center" vertical="center"/>
    </xf>
    <xf numFmtId="0" fontId="1" fillId="13" borderId="8" xfId="0" applyFont="1" applyFill="1" applyBorder="1" applyAlignment="1">
      <alignment horizontal="center" vertical="center"/>
    </xf>
    <xf numFmtId="0" fontId="1" fillId="13" borderId="8" xfId="0" applyFont="1" applyFill="1" applyBorder="1" applyAlignment="1">
      <alignment horizontal="center" vertical="center" wrapText="1"/>
    </xf>
    <xf numFmtId="0" fontId="12" fillId="16" borderId="25" xfId="0" applyFont="1" applyFill="1" applyBorder="1"/>
    <xf numFmtId="0" fontId="12" fillId="16" borderId="16" xfId="0" applyFont="1" applyFill="1" applyBorder="1"/>
    <xf numFmtId="0" fontId="1" fillId="16" borderId="14" xfId="0" quotePrefix="1" applyFont="1" applyFill="1" applyBorder="1" applyAlignment="1">
      <alignment horizontal="center" vertical="center" wrapText="1"/>
    </xf>
    <xf numFmtId="0" fontId="1" fillId="16" borderId="14" xfId="0" applyFont="1" applyFill="1" applyBorder="1" applyAlignment="1">
      <alignment horizontal="center" vertical="center" wrapText="1"/>
    </xf>
    <xf numFmtId="0" fontId="3" fillId="8" borderId="42" xfId="0" quotePrefix="1" applyFont="1" applyFill="1" applyBorder="1" applyAlignment="1">
      <alignment horizontal="center" vertical="center"/>
    </xf>
    <xf numFmtId="0" fontId="11" fillId="0" borderId="42" xfId="0" applyFont="1" applyBorder="1" applyAlignment="1">
      <alignment horizontal="center" vertical="center"/>
    </xf>
    <xf numFmtId="0" fontId="11" fillId="14" borderId="42" xfId="0" applyFont="1" applyFill="1" applyBorder="1" applyAlignment="1">
      <alignment horizontal="center" vertical="center"/>
    </xf>
    <xf numFmtId="0" fontId="3" fillId="8" borderId="43" xfId="0" applyFont="1" applyFill="1" applyBorder="1"/>
    <xf numFmtId="0" fontId="0" fillId="0" borderId="43" xfId="0" applyBorder="1" applyAlignment="1">
      <alignment vertical="center"/>
    </xf>
    <xf numFmtId="0" fontId="1" fillId="8" borderId="43" xfId="0" applyFont="1" applyFill="1" applyBorder="1"/>
    <xf numFmtId="0" fontId="0" fillId="0" borderId="44" xfId="0" applyBorder="1" applyAlignment="1">
      <alignment horizontal="right" vertical="center"/>
    </xf>
    <xf numFmtId="0" fontId="8" fillId="0" borderId="45" xfId="0" applyFont="1" applyBorder="1" applyAlignment="1">
      <alignment horizontal="right" vertical="center"/>
    </xf>
    <xf numFmtId="0" fontId="1" fillId="6" borderId="12"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0" fillId="5" borderId="11" xfId="0" applyFill="1" applyBorder="1" applyAlignment="1">
      <alignment horizontal="left" vertical="center"/>
    </xf>
    <xf numFmtId="0" fontId="3" fillId="15" borderId="51" xfId="0" applyFont="1" applyFill="1" applyBorder="1" applyAlignment="1">
      <alignment horizontal="center" vertical="center" wrapText="1"/>
    </xf>
    <xf numFmtId="0" fontId="3" fillId="15" borderId="14" xfId="0" applyFont="1" applyFill="1" applyBorder="1" applyAlignment="1">
      <alignment horizontal="center" vertical="center" wrapText="1"/>
    </xf>
    <xf numFmtId="0" fontId="3" fillId="15" borderId="52" xfId="0" applyFont="1" applyFill="1" applyBorder="1" applyAlignment="1">
      <alignment horizontal="center" vertical="center" wrapText="1"/>
    </xf>
    <xf numFmtId="0" fontId="0" fillId="0" borderId="52" xfId="0" applyBorder="1" applyAlignment="1">
      <alignment horizontal="center" vertical="center"/>
    </xf>
    <xf numFmtId="0" fontId="0" fillId="5" borderId="52" xfId="0" applyFill="1" applyBorder="1" applyAlignment="1">
      <alignment horizontal="center" vertical="center"/>
    </xf>
    <xf numFmtId="0" fontId="0" fillId="0" borderId="51" xfId="0" quotePrefix="1" applyBorder="1" applyAlignment="1">
      <alignment horizontal="left" vertical="center"/>
    </xf>
    <xf numFmtId="0" fontId="0" fillId="0" borderId="14" xfId="0" quotePrefix="1" applyBorder="1" applyAlignment="1">
      <alignment horizontal="center" vertical="center"/>
    </xf>
    <xf numFmtId="0" fontId="0" fillId="0" borderId="14" xfId="0" quotePrefix="1" applyBorder="1" applyAlignment="1">
      <alignment horizontal="left" vertical="center"/>
    </xf>
    <xf numFmtId="15" fontId="0" fillId="0" borderId="14" xfId="0" quotePrefix="1" applyNumberFormat="1" applyBorder="1" applyAlignment="1">
      <alignment horizontal="center" vertical="center"/>
    </xf>
    <xf numFmtId="0" fontId="0" fillId="5" borderId="51" xfId="0" applyFill="1" applyBorder="1" applyAlignment="1">
      <alignment horizontal="left" vertical="center"/>
    </xf>
    <xf numFmtId="15" fontId="0" fillId="5" borderId="14" xfId="0" applyNumberFormat="1" applyFill="1" applyBorder="1" applyAlignment="1">
      <alignment horizontal="center" vertical="center"/>
    </xf>
    <xf numFmtId="0" fontId="1" fillId="6" borderId="51"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6" borderId="52" xfId="0" applyFont="1" applyFill="1" applyBorder="1" applyAlignment="1">
      <alignment horizontal="center" vertical="center" wrapText="1"/>
    </xf>
    <xf numFmtId="0" fontId="0" fillId="0" borderId="51" xfId="0" applyBorder="1" applyAlignment="1">
      <alignment horizontal="center" vertical="center"/>
    </xf>
    <xf numFmtId="0" fontId="0" fillId="5" borderId="51" xfId="0" applyFill="1" applyBorder="1" applyAlignment="1">
      <alignment horizontal="center" vertical="center"/>
    </xf>
    <xf numFmtId="0" fontId="0" fillId="5" borderId="14" xfId="0" applyFill="1" applyBorder="1" applyAlignment="1">
      <alignment horizontal="left" vertical="center"/>
    </xf>
    <xf numFmtId="0" fontId="0" fillId="0" borderId="51" xfId="0" applyBorder="1" applyAlignment="1">
      <alignment horizontal="left" vertical="center"/>
    </xf>
    <xf numFmtId="0" fontId="1" fillId="6" borderId="47" xfId="0" applyFont="1" applyFill="1" applyBorder="1" applyAlignment="1">
      <alignment horizontal="center" vertical="center" wrapText="1"/>
    </xf>
    <xf numFmtId="0" fontId="1" fillId="6" borderId="55" xfId="0" applyFont="1" applyFill="1" applyBorder="1" applyAlignment="1">
      <alignment horizontal="center" vertical="center" wrapText="1"/>
    </xf>
    <xf numFmtId="0" fontId="1" fillId="6" borderId="56" xfId="0" applyFont="1" applyFill="1" applyBorder="1" applyAlignment="1">
      <alignment horizontal="center" vertical="center" wrapText="1"/>
    </xf>
    <xf numFmtId="168" fontId="0" fillId="0" borderId="40" xfId="0" applyNumberFormat="1" applyBorder="1" applyAlignment="1">
      <alignment horizontal="center" vertical="center"/>
    </xf>
    <xf numFmtId="168" fontId="0" fillId="14" borderId="40" xfId="0" applyNumberFormat="1" applyFill="1" applyBorder="1" applyAlignment="1">
      <alignment horizontal="center" vertical="center"/>
    </xf>
    <xf numFmtId="167" fontId="0" fillId="14" borderId="40" xfId="0" applyNumberFormat="1" applyFill="1" applyBorder="1" applyAlignment="1">
      <alignment horizontal="center" vertical="center"/>
    </xf>
    <xf numFmtId="0" fontId="9" fillId="14" borderId="40" xfId="0" applyFont="1" applyFill="1" applyBorder="1" applyAlignment="1">
      <alignment horizontal="center" vertical="center"/>
    </xf>
    <xf numFmtId="0" fontId="0" fillId="14" borderId="40" xfId="0" applyFill="1" applyBorder="1" applyAlignment="1">
      <alignment horizontal="left" vertical="center"/>
    </xf>
    <xf numFmtId="0" fontId="4" fillId="5" borderId="14" xfId="0" applyFont="1" applyFill="1" applyBorder="1" applyAlignment="1">
      <alignment horizontal="center" vertical="center"/>
    </xf>
    <xf numFmtId="0" fontId="0" fillId="0" borderId="33" xfId="0" applyBorder="1" applyAlignment="1">
      <alignment horizontal="left" vertical="center"/>
    </xf>
    <xf numFmtId="0" fontId="8" fillId="0" borderId="0" xfId="0" applyFont="1"/>
    <xf numFmtId="0" fontId="0" fillId="0" borderId="40" xfId="0" applyBorder="1"/>
    <xf numFmtId="166" fontId="0" fillId="0" borderId="42" xfId="0" applyNumberFormat="1" applyBorder="1" applyAlignment="1">
      <alignment horizontal="right"/>
    </xf>
    <xf numFmtId="166" fontId="0" fillId="0" borderId="41" xfId="0" applyNumberFormat="1" applyBorder="1" applyAlignment="1">
      <alignment horizontal="left"/>
    </xf>
    <xf numFmtId="166" fontId="0" fillId="0" borderId="40" xfId="0" applyNumberFormat="1" applyBorder="1" applyAlignment="1">
      <alignment horizontal="center"/>
    </xf>
    <xf numFmtId="0" fontId="13" fillId="16" borderId="25" xfId="0" applyFont="1" applyFill="1" applyBorder="1" applyAlignment="1">
      <alignment vertical="center" textRotation="90"/>
    </xf>
    <xf numFmtId="0" fontId="0" fillId="5" borderId="28" xfId="0" applyFill="1" applyBorder="1" applyAlignment="1">
      <alignment horizontal="left" vertical="center"/>
    </xf>
    <xf numFmtId="15" fontId="0" fillId="5" borderId="9" xfId="0" applyNumberFormat="1" applyFill="1" applyBorder="1" applyAlignment="1">
      <alignment horizontal="center" vertical="center"/>
    </xf>
    <xf numFmtId="0" fontId="0" fillId="5" borderId="33" xfId="0" applyFill="1" applyBorder="1" applyAlignment="1">
      <alignment horizontal="left" vertical="center"/>
    </xf>
    <xf numFmtId="164" fontId="0" fillId="0" borderId="4" xfId="0" applyNumberFormat="1" applyBorder="1" applyAlignment="1">
      <alignment horizontal="left" vertical="center"/>
    </xf>
    <xf numFmtId="0" fontId="0" fillId="0" borderId="14" xfId="0" applyBorder="1" applyAlignment="1">
      <alignment horizontal="left" vertical="center"/>
    </xf>
    <xf numFmtId="164" fontId="0" fillId="5" borderId="4" xfId="0" applyNumberFormat="1" applyFill="1" applyBorder="1" applyAlignment="1">
      <alignment horizontal="left" vertical="center"/>
    </xf>
    <xf numFmtId="0" fontId="0" fillId="0" borderId="30" xfId="0" applyBorder="1" applyAlignment="1">
      <alignment horizontal="left" vertical="center"/>
    </xf>
    <xf numFmtId="0" fontId="0" fillId="0" borderId="0" xfId="0" applyAlignment="1">
      <alignment horizontal="centerContinuous"/>
    </xf>
    <xf numFmtId="0" fontId="17" fillId="0" borderId="0" xfId="0" applyFont="1" applyAlignment="1">
      <alignment horizontal="centerContinuous"/>
    </xf>
    <xf numFmtId="0" fontId="0" fillId="0" borderId="20" xfId="0" applyBorder="1" applyAlignment="1">
      <alignment horizontal="left" vertical="center"/>
    </xf>
    <xf numFmtId="0" fontId="15" fillId="0" borderId="40" xfId="0" applyFont="1" applyBorder="1" applyAlignment="1">
      <alignment horizontal="center" vertical="center"/>
    </xf>
    <xf numFmtId="0" fontId="15" fillId="14" borderId="40" xfId="0" applyFont="1" applyFill="1" applyBorder="1" applyAlignment="1">
      <alignment horizontal="center" vertical="center"/>
    </xf>
    <xf numFmtId="15" fontId="0" fillId="0" borderId="40" xfId="0" applyNumberFormat="1" applyBorder="1" applyAlignment="1">
      <alignment horizontal="center"/>
    </xf>
    <xf numFmtId="15" fontId="0" fillId="14" borderId="40" xfId="0" applyNumberFormat="1" applyFill="1" applyBorder="1" applyAlignment="1">
      <alignment horizontal="center"/>
    </xf>
    <xf numFmtId="0" fontId="0" fillId="0" borderId="60" xfId="0" applyBorder="1"/>
    <xf numFmtId="0" fontId="0" fillId="0" borderId="61" xfId="0" applyBorder="1" applyAlignment="1">
      <alignment horizontal="center"/>
    </xf>
    <xf numFmtId="0" fontId="0" fillId="0" borderId="62" xfId="0" applyBorder="1"/>
    <xf numFmtId="0" fontId="0" fillId="0" borderId="63" xfId="0" applyBorder="1" applyAlignment="1">
      <alignment horizontal="center"/>
    </xf>
    <xf numFmtId="0" fontId="0" fillId="0" borderId="63" xfId="0" applyBorder="1"/>
    <xf numFmtId="0" fontId="0" fillId="0" borderId="64" xfId="0" applyBorder="1"/>
    <xf numFmtId="0" fontId="0" fillId="0" borderId="65" xfId="0" applyBorder="1"/>
    <xf numFmtId="0" fontId="0" fillId="0" borderId="16" xfId="0" applyBorder="1" applyAlignment="1">
      <alignment horizontal="left"/>
    </xf>
    <xf numFmtId="0" fontId="0" fillId="5" borderId="10" xfId="0" applyFill="1" applyBorder="1" applyAlignment="1">
      <alignment horizontal="left"/>
    </xf>
    <xf numFmtId="0" fontId="0" fillId="0" borderId="10" xfId="0" applyBorder="1" applyAlignment="1">
      <alignment horizontal="left"/>
    </xf>
    <xf numFmtId="0" fontId="0" fillId="10" borderId="0" xfId="0" applyFill="1" applyAlignment="1">
      <alignment horizontal="centerContinuous"/>
    </xf>
    <xf numFmtId="0" fontId="0" fillId="9" borderId="0" xfId="0" applyFill="1" applyAlignment="1">
      <alignment horizontal="centerContinuous"/>
    </xf>
    <xf numFmtId="0" fontId="14" fillId="9" borderId="70" xfId="0" applyFont="1" applyFill="1" applyBorder="1" applyAlignment="1">
      <alignment horizontal="centerContinuous" vertical="center" wrapText="1"/>
    </xf>
    <xf numFmtId="0" fontId="14" fillId="9" borderId="71" xfId="0" applyFont="1" applyFill="1" applyBorder="1" applyAlignment="1">
      <alignment horizontal="centerContinuous" vertical="center" wrapText="1"/>
    </xf>
    <xf numFmtId="0" fontId="0" fillId="4" borderId="39" xfId="0" applyFill="1" applyBorder="1" applyAlignment="1">
      <alignment horizontal="centerContinuous"/>
    </xf>
    <xf numFmtId="0" fontId="18" fillId="4" borderId="39" xfId="0" applyFont="1" applyFill="1" applyBorder="1" applyAlignment="1">
      <alignment horizontal="centerContinuous"/>
    </xf>
    <xf numFmtId="0" fontId="19" fillId="4" borderId="39" xfId="0" applyFont="1" applyFill="1" applyBorder="1" applyAlignment="1">
      <alignment horizontal="centerContinuous"/>
    </xf>
    <xf numFmtId="0" fontId="14" fillId="9" borderId="72" xfId="0" applyFont="1" applyFill="1" applyBorder="1" applyAlignment="1">
      <alignment horizontal="center" vertical="center" wrapText="1"/>
    </xf>
    <xf numFmtId="0" fontId="14" fillId="9" borderId="73" xfId="0" applyFont="1" applyFill="1" applyBorder="1" applyAlignment="1">
      <alignment horizontal="center" vertical="center" wrapText="1"/>
    </xf>
    <xf numFmtId="0" fontId="0" fillId="0" borderId="74" xfId="0" applyBorder="1" applyAlignment="1">
      <alignment horizontal="left"/>
    </xf>
    <xf numFmtId="0" fontId="0" fillId="5" borderId="74" xfId="0" applyFill="1" applyBorder="1" applyAlignment="1">
      <alignment horizontal="left"/>
    </xf>
    <xf numFmtId="0" fontId="14" fillId="9" borderId="7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0" fillId="0" borderId="76" xfId="0" applyBorder="1" applyAlignment="1">
      <alignment horizontal="center"/>
    </xf>
    <xf numFmtId="0" fontId="0" fillId="5" borderId="76" xfId="0" applyFill="1" applyBorder="1" applyAlignment="1">
      <alignment horizontal="center" vertical="center"/>
    </xf>
    <xf numFmtId="0" fontId="0" fillId="0" borderId="76" xfId="0" applyBorder="1" applyAlignment="1">
      <alignment horizontal="center" vertical="center"/>
    </xf>
    <xf numFmtId="165" fontId="0" fillId="0" borderId="4" xfId="0" applyNumberFormat="1" applyBorder="1" applyAlignment="1">
      <alignment horizontal="center" vertical="center"/>
    </xf>
    <xf numFmtId="0" fontId="4" fillId="0" borderId="4" xfId="0" applyFont="1" applyBorder="1" applyAlignment="1">
      <alignment horizontal="center" vertical="center"/>
    </xf>
    <xf numFmtId="165" fontId="0" fillId="0" borderId="4" xfId="0" applyNumberFormat="1" applyBorder="1" applyAlignment="1">
      <alignment horizontal="left" vertical="center"/>
    </xf>
    <xf numFmtId="0" fontId="4" fillId="5" borderId="4" xfId="0" applyFont="1" applyFill="1" applyBorder="1" applyAlignment="1">
      <alignment horizontal="center" vertical="center"/>
    </xf>
    <xf numFmtId="0" fontId="14" fillId="10" borderId="0" xfId="0" applyFont="1" applyFill="1" applyAlignment="1">
      <alignment horizontal="centerContinuous" vertical="center"/>
    </xf>
    <xf numFmtId="0" fontId="0" fillId="10" borderId="39" xfId="0" applyFill="1" applyBorder="1" applyAlignment="1">
      <alignment horizontal="centerContinuous"/>
    </xf>
    <xf numFmtId="0" fontId="14" fillId="10" borderId="78" xfId="0" applyFont="1" applyFill="1" applyBorder="1" applyAlignment="1">
      <alignment horizontal="center" vertical="center" wrapText="1"/>
    </xf>
    <xf numFmtId="0" fontId="0" fillId="0" borderId="79" xfId="0" applyBorder="1" applyAlignment="1">
      <alignment horizontal="center"/>
    </xf>
    <xf numFmtId="0" fontId="0" fillId="5" borderId="79" xfId="0" applyFill="1" applyBorder="1" applyAlignment="1">
      <alignment horizontal="center" vertical="center"/>
    </xf>
    <xf numFmtId="165" fontId="0" fillId="0" borderId="79" xfId="0" applyNumberFormat="1" applyBorder="1" applyAlignment="1">
      <alignment horizontal="center" vertical="center"/>
    </xf>
    <xf numFmtId="0" fontId="0" fillId="0" borderId="79" xfId="0" applyBorder="1" applyAlignment="1">
      <alignment horizontal="center" vertical="center"/>
    </xf>
    <xf numFmtId="0" fontId="14" fillId="10" borderId="80" xfId="0" applyFont="1" applyFill="1" applyBorder="1" applyAlignment="1">
      <alignment horizontal="center" vertical="center" wrapText="1"/>
    </xf>
    <xf numFmtId="0" fontId="0" fillId="0" borderId="81" xfId="0" applyBorder="1" applyAlignment="1">
      <alignment horizontal="center"/>
    </xf>
    <xf numFmtId="0" fontId="0" fillId="5" borderId="81" xfId="0" applyFill="1" applyBorder="1" applyAlignment="1">
      <alignment horizontal="center" vertical="center"/>
    </xf>
    <xf numFmtId="0" fontId="0" fillId="0" borderId="81" xfId="0" applyBorder="1" applyAlignment="1">
      <alignment horizontal="center" vertical="center"/>
    </xf>
    <xf numFmtId="0" fontId="4" fillId="0" borderId="17" xfId="0" applyFont="1" applyBorder="1" applyAlignment="1">
      <alignment horizontal="center" vertical="center"/>
    </xf>
    <xf numFmtId="0" fontId="14" fillId="10" borderId="68" xfId="0" applyFont="1" applyFill="1" applyBorder="1" applyAlignment="1">
      <alignment horizontal="center" vertical="center" wrapText="1"/>
    </xf>
    <xf numFmtId="0" fontId="14" fillId="9" borderId="82" xfId="0" applyFont="1" applyFill="1" applyBorder="1" applyAlignment="1">
      <alignment horizontal="center" vertical="center" wrapText="1"/>
    </xf>
    <xf numFmtId="0" fontId="0" fillId="0" borderId="83" xfId="0" applyBorder="1" applyAlignment="1">
      <alignment horizontal="center"/>
    </xf>
    <xf numFmtId="0" fontId="0" fillId="5" borderId="83" xfId="0" applyFill="1" applyBorder="1" applyAlignment="1">
      <alignment horizontal="center" vertical="center"/>
    </xf>
    <xf numFmtId="0" fontId="0" fillId="0" borderId="83" xfId="0" applyBorder="1" applyAlignment="1">
      <alignment horizontal="center" vertical="center"/>
    </xf>
    <xf numFmtId="2" fontId="0" fillId="0" borderId="4" xfId="0" applyNumberFormat="1" applyBorder="1" applyAlignment="1">
      <alignment horizontal="center" vertical="center"/>
    </xf>
    <xf numFmtId="0" fontId="0" fillId="0" borderId="80" xfId="0" applyBorder="1" applyAlignment="1">
      <alignment horizontal="center"/>
    </xf>
    <xf numFmtId="0" fontId="0" fillId="0" borderId="72" xfId="0" applyBorder="1" applyAlignment="1">
      <alignment horizontal="center"/>
    </xf>
    <xf numFmtId="0" fontId="0" fillId="0" borderId="82" xfId="0" applyBorder="1" applyAlignment="1">
      <alignment horizontal="center"/>
    </xf>
    <xf numFmtId="0" fontId="14" fillId="9" borderId="84" xfId="0" applyFont="1" applyFill="1" applyBorder="1" applyAlignment="1">
      <alignment horizontal="centerContinuous"/>
    </xf>
    <xf numFmtId="0" fontId="0" fillId="9" borderId="69" xfId="0" applyFill="1" applyBorder="1" applyAlignment="1">
      <alignment horizontal="centerContinuous"/>
    </xf>
    <xf numFmtId="0" fontId="14" fillId="9" borderId="85" xfId="0" applyFont="1" applyFill="1" applyBorder="1" applyAlignment="1">
      <alignment horizontal="centerContinuous" vertical="center" wrapText="1"/>
    </xf>
    <xf numFmtId="0" fontId="14" fillId="9" borderId="88" xfId="0" applyFont="1" applyFill="1" applyBorder="1" applyAlignment="1">
      <alignment horizontal="center" vertical="center" wrapText="1"/>
    </xf>
    <xf numFmtId="0" fontId="0" fillId="0" borderId="89" xfId="0" applyBorder="1" applyAlignment="1">
      <alignment horizontal="left"/>
    </xf>
    <xf numFmtId="0" fontId="0" fillId="5" borderId="89" xfId="0" applyFill="1" applyBorder="1" applyAlignment="1">
      <alignment horizontal="left"/>
    </xf>
    <xf numFmtId="165" fontId="0" fillId="0" borderId="83" xfId="0" applyNumberFormat="1" applyBorder="1" applyAlignment="1">
      <alignment horizontal="center" vertical="center"/>
    </xf>
    <xf numFmtId="0" fontId="14" fillId="10" borderId="88" xfId="0" applyFont="1" applyFill="1" applyBorder="1" applyAlignment="1">
      <alignment horizontal="center" vertical="center" wrapText="1"/>
    </xf>
    <xf numFmtId="0" fontId="14" fillId="10" borderId="82" xfId="0" applyFont="1" applyFill="1" applyBorder="1" applyAlignment="1">
      <alignment horizontal="center" vertical="center" wrapText="1"/>
    </xf>
    <xf numFmtId="0" fontId="0" fillId="0" borderId="89" xfId="0" applyBorder="1" applyAlignment="1">
      <alignment horizontal="center"/>
    </xf>
    <xf numFmtId="0" fontId="0" fillId="5" borderId="89" xfId="0" applyFill="1" applyBorder="1" applyAlignment="1">
      <alignment horizontal="center" vertical="center"/>
    </xf>
    <xf numFmtId="165" fontId="0" fillId="0" borderId="89" xfId="0" applyNumberFormat="1" applyBorder="1" applyAlignment="1">
      <alignment horizontal="center" vertical="center"/>
    </xf>
    <xf numFmtId="0" fontId="0" fillId="0" borderId="89" xfId="0" applyBorder="1" applyAlignment="1">
      <alignment horizontal="center" vertical="center"/>
    </xf>
    <xf numFmtId="0" fontId="19" fillId="4" borderId="84" xfId="0" applyFont="1" applyFill="1" applyBorder="1" applyAlignment="1">
      <alignment horizontal="centerContinuous"/>
    </xf>
    <xf numFmtId="0" fontId="19" fillId="4" borderId="71" xfId="0" applyFont="1" applyFill="1" applyBorder="1" applyAlignment="1">
      <alignment horizontal="centerContinuous"/>
    </xf>
    <xf numFmtId="0" fontId="19" fillId="4" borderId="85" xfId="0" applyFont="1" applyFill="1" applyBorder="1" applyAlignment="1">
      <alignment horizontal="centerContinuous"/>
    </xf>
    <xf numFmtId="0" fontId="19" fillId="17" borderId="84" xfId="0" applyFont="1" applyFill="1" applyBorder="1" applyAlignment="1">
      <alignment horizontal="centerContinuous"/>
    </xf>
    <xf numFmtId="0" fontId="19" fillId="17" borderId="71" xfId="0" applyFont="1" applyFill="1" applyBorder="1" applyAlignment="1">
      <alignment horizontal="centerContinuous"/>
    </xf>
    <xf numFmtId="0" fontId="19" fillId="4" borderId="86" xfId="0" applyFont="1" applyFill="1" applyBorder="1" applyAlignment="1">
      <alignment horizontal="centerContinuous"/>
    </xf>
    <xf numFmtId="0" fontId="0" fillId="4" borderId="69" xfId="0" applyFill="1" applyBorder="1" applyAlignment="1">
      <alignment horizontal="centerContinuous"/>
    </xf>
    <xf numFmtId="0" fontId="0" fillId="4" borderId="87" xfId="0" applyFill="1" applyBorder="1" applyAlignment="1">
      <alignment horizontal="centerContinuous"/>
    </xf>
    <xf numFmtId="0" fontId="20" fillId="17" borderId="71" xfId="0" applyFont="1" applyFill="1" applyBorder="1" applyAlignment="1">
      <alignment horizontal="centerContinuous"/>
    </xf>
    <xf numFmtId="0" fontId="0" fillId="17" borderId="71" xfId="0" applyFill="1" applyBorder="1" applyAlignment="1">
      <alignment horizontal="centerContinuous"/>
    </xf>
    <xf numFmtId="0" fontId="0" fillId="17" borderId="85" xfId="0" applyFill="1" applyBorder="1" applyAlignment="1">
      <alignment horizontal="centerContinuous"/>
    </xf>
    <xf numFmtId="0" fontId="0" fillId="10" borderId="90" xfId="0" applyFill="1" applyBorder="1" applyAlignment="1">
      <alignment horizontal="centerContinuous"/>
    </xf>
    <xf numFmtId="0" fontId="0" fillId="0" borderId="72" xfId="0" applyBorder="1" applyAlignment="1">
      <alignment horizontal="left"/>
    </xf>
    <xf numFmtId="0" fontId="19" fillId="17" borderId="69" xfId="0" applyFont="1" applyFill="1" applyBorder="1" applyAlignment="1">
      <alignment horizontal="centerContinuous"/>
    </xf>
    <xf numFmtId="0" fontId="19" fillId="17" borderId="87" xfId="0" applyFont="1" applyFill="1" applyBorder="1" applyAlignment="1">
      <alignment horizontal="centerContinuous"/>
    </xf>
    <xf numFmtId="0" fontId="14" fillId="10" borderId="91" xfId="0" applyFont="1" applyFill="1" applyBorder="1" applyAlignment="1">
      <alignment horizontal="centerContinuous" vertical="center"/>
    </xf>
    <xf numFmtId="0" fontId="14" fillId="10" borderId="15" xfId="0" applyFont="1" applyFill="1" applyBorder="1" applyAlignment="1">
      <alignment horizontal="centerContinuous" vertical="center"/>
    </xf>
    <xf numFmtId="0" fontId="0" fillId="10" borderId="15" xfId="0" applyFill="1" applyBorder="1" applyAlignment="1">
      <alignment horizontal="centerContinuous"/>
    </xf>
    <xf numFmtId="0" fontId="0" fillId="10" borderId="92" xfId="0" applyFill="1" applyBorder="1" applyAlignment="1">
      <alignment horizontal="centerContinuous"/>
    </xf>
    <xf numFmtId="164" fontId="15" fillId="0" borderId="40" xfId="0" applyNumberFormat="1" applyFont="1" applyBorder="1" applyAlignment="1">
      <alignment horizontal="center" vertical="center"/>
    </xf>
    <xf numFmtId="164" fontId="15" fillId="14" borderId="40" xfId="0" applyNumberFormat="1" applyFont="1" applyFill="1" applyBorder="1" applyAlignment="1">
      <alignment horizontal="center" vertical="center"/>
    </xf>
    <xf numFmtId="15" fontId="0" fillId="14" borderId="42" xfId="0" applyNumberFormat="1" applyFill="1" applyBorder="1" applyAlignment="1">
      <alignment horizontal="center"/>
    </xf>
    <xf numFmtId="166" fontId="0" fillId="7" borderId="93" xfId="0" applyNumberFormat="1" applyFill="1" applyBorder="1" applyAlignment="1">
      <alignment horizontal="center"/>
    </xf>
    <xf numFmtId="15" fontId="0" fillId="0" borderId="42" xfId="0" applyNumberFormat="1" applyBorder="1" applyAlignment="1">
      <alignment horizontal="center"/>
    </xf>
    <xf numFmtId="0" fontId="5" fillId="12" borderId="94" xfId="0" applyFont="1" applyFill="1" applyBorder="1" applyAlignment="1">
      <alignment horizontal="center" vertical="center" wrapText="1"/>
    </xf>
    <xf numFmtId="166" fontId="0" fillId="0" borderId="95" xfId="0" applyNumberFormat="1" applyBorder="1" applyAlignment="1">
      <alignment horizontal="center"/>
    </xf>
    <xf numFmtId="166" fontId="0" fillId="0" borderId="96" xfId="0" applyNumberFormat="1" applyBorder="1" applyAlignment="1">
      <alignment horizontal="center"/>
    </xf>
    <xf numFmtId="166" fontId="0" fillId="0" borderId="97" xfId="0" applyNumberFormat="1" applyBorder="1" applyAlignment="1">
      <alignment horizontal="center"/>
    </xf>
    <xf numFmtId="166" fontId="0" fillId="0" borderId="98" xfId="0" applyNumberFormat="1" applyBorder="1" applyAlignment="1">
      <alignment horizontal="center"/>
    </xf>
    <xf numFmtId="2" fontId="0" fillId="5" borderId="4" xfId="0" applyNumberFormat="1" applyFill="1" applyBorder="1" applyAlignment="1">
      <alignment horizontal="center" vertical="center"/>
    </xf>
    <xf numFmtId="17" fontId="0" fillId="5" borderId="4" xfId="0" applyNumberFormat="1" applyFill="1" applyBorder="1" applyAlignment="1">
      <alignment horizontal="center" vertical="center"/>
    </xf>
    <xf numFmtId="17" fontId="0" fillId="0" borderId="4" xfId="0" applyNumberFormat="1" applyBorder="1" applyAlignment="1">
      <alignment horizontal="center" vertical="center"/>
    </xf>
    <xf numFmtId="2" fontId="0" fillId="5" borderId="9" xfId="0" applyNumberFormat="1" applyFill="1" applyBorder="1" applyAlignment="1">
      <alignment horizontal="center" vertical="center"/>
    </xf>
    <xf numFmtId="0" fontId="0" fillId="0" borderId="63" xfId="0" applyBorder="1" applyAlignment="1">
      <alignment horizontal="center" vertical="center"/>
    </xf>
    <xf numFmtId="0" fontId="0" fillId="0" borderId="89" xfId="0" applyBorder="1" applyAlignment="1">
      <alignment horizontal="left" vertical="center"/>
    </xf>
    <xf numFmtId="0" fontId="8" fillId="0" borderId="0" xfId="0" applyFont="1" applyAlignment="1">
      <alignment vertical="top" wrapText="1"/>
    </xf>
    <xf numFmtId="0" fontId="15" fillId="0" borderId="0" xfId="0" applyFont="1" applyAlignment="1">
      <alignment horizontal="left" wrapText="1"/>
    </xf>
    <xf numFmtId="0" fontId="8" fillId="0" borderId="0" xfId="0" applyFont="1" applyAlignment="1">
      <alignment horizontal="left" vertical="center"/>
    </xf>
    <xf numFmtId="169" fontId="0" fillId="0" borderId="8" xfId="0" applyNumberFormat="1" applyBorder="1" applyAlignment="1">
      <alignment horizontal="center"/>
    </xf>
    <xf numFmtId="0" fontId="0" fillId="14" borderId="44" xfId="0" applyFill="1" applyBorder="1" applyAlignment="1">
      <alignment horizontal="right" vertical="center"/>
    </xf>
    <xf numFmtId="15" fontId="0" fillId="0" borderId="41" xfId="0" applyNumberFormat="1" applyBorder="1"/>
    <xf numFmtId="0" fontId="21" fillId="14" borderId="42" xfId="0" applyFont="1" applyFill="1" applyBorder="1" applyAlignment="1">
      <alignment horizontal="center" vertical="center"/>
    </xf>
    <xf numFmtId="0" fontId="22" fillId="14" borderId="43" xfId="0" applyFont="1" applyFill="1" applyBorder="1"/>
    <xf numFmtId="17" fontId="0" fillId="0" borderId="41" xfId="0" applyNumberFormat="1" applyBorder="1" applyAlignment="1">
      <alignment horizontal="right"/>
    </xf>
    <xf numFmtId="164" fontId="0" fillId="14" borderId="42" xfId="0" applyNumberFormat="1" applyFill="1" applyBorder="1" applyAlignment="1">
      <alignment horizontal="center" vertical="center"/>
    </xf>
    <xf numFmtId="164" fontId="0" fillId="0" borderId="42" xfId="0" applyNumberFormat="1" applyBorder="1" applyAlignment="1">
      <alignment horizontal="center" vertical="center"/>
    </xf>
    <xf numFmtId="0" fontId="0" fillId="0" borderId="42" xfId="0" applyBorder="1" applyAlignment="1">
      <alignment horizontal="center" vertical="center"/>
    </xf>
    <xf numFmtId="0" fontId="3" fillId="18" borderId="42" xfId="0" applyFont="1" applyFill="1" applyBorder="1" applyAlignment="1">
      <alignment horizontal="center" vertical="center"/>
    </xf>
    <xf numFmtId="0" fontId="23" fillId="0" borderId="93" xfId="0" applyFont="1" applyBorder="1" applyAlignment="1">
      <alignment horizontal="center" vertical="center" wrapText="1"/>
    </xf>
    <xf numFmtId="0" fontId="0" fillId="0" borderId="110" xfId="0" applyBorder="1" applyAlignment="1">
      <alignment horizontal="center" vertical="center"/>
    </xf>
    <xf numFmtId="15" fontId="0" fillId="0" borderId="0" xfId="0" applyNumberFormat="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15" fontId="0" fillId="0" borderId="111" xfId="0" applyNumberFormat="1" applyBorder="1" applyAlignment="1">
      <alignment horizontal="center" vertical="center"/>
    </xf>
    <xf numFmtId="0" fontId="0" fillId="0" borderId="113" xfId="0" applyBorder="1" applyAlignment="1">
      <alignment horizontal="center"/>
    </xf>
    <xf numFmtId="15" fontId="0" fillId="0" borderId="111" xfId="0" applyNumberFormat="1" applyBorder="1" applyAlignment="1">
      <alignment horizontal="center"/>
    </xf>
    <xf numFmtId="15" fontId="0" fillId="0" borderId="114" xfId="0" applyNumberFormat="1" applyBorder="1" applyAlignment="1">
      <alignment horizontal="center" vertical="center"/>
    </xf>
    <xf numFmtId="0" fontId="0" fillId="0" borderId="114" xfId="0" applyBorder="1" applyAlignment="1">
      <alignment horizontal="center"/>
    </xf>
    <xf numFmtId="0" fontId="0" fillId="0" borderId="114" xfId="0" applyBorder="1" applyAlignment="1">
      <alignment horizontal="center" vertical="center"/>
    </xf>
    <xf numFmtId="15" fontId="0" fillId="0" borderId="114" xfId="0" applyNumberFormat="1" applyBorder="1" applyAlignment="1">
      <alignment horizontal="center"/>
    </xf>
    <xf numFmtId="14" fontId="0" fillId="0" borderId="8" xfId="0" applyNumberFormat="1" applyBorder="1" applyAlignment="1">
      <alignment horizontal="center"/>
    </xf>
    <xf numFmtId="14" fontId="0" fillId="0" borderId="8" xfId="0" applyNumberFormat="1" applyBorder="1" applyAlignment="1">
      <alignment horizontal="center" vertical="center"/>
    </xf>
    <xf numFmtId="164" fontId="0" fillId="0" borderId="4" xfId="0" applyNumberFormat="1" applyBorder="1" applyAlignment="1">
      <alignment horizontal="center" vertical="center" wrapText="1"/>
    </xf>
    <xf numFmtId="0" fontId="0" fillId="0" borderId="7" xfId="0" applyBorder="1" applyAlignment="1">
      <alignment horizontal="left"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16" xfId="0" applyBorder="1" applyAlignment="1">
      <alignment horizontal="center" vertical="center"/>
    </xf>
    <xf numFmtId="0" fontId="0" fillId="5" borderId="4" xfId="0" applyFill="1" applyBorder="1" applyAlignment="1">
      <alignment vertical="center"/>
    </xf>
    <xf numFmtId="0" fontId="0" fillId="5" borderId="0" xfId="0" applyFill="1" applyAlignment="1">
      <alignment vertical="center"/>
    </xf>
    <xf numFmtId="0" fontId="0" fillId="0" borderId="4" xfId="0" applyBorder="1" applyAlignment="1">
      <alignment vertical="center"/>
    </xf>
    <xf numFmtId="0" fontId="0" fillId="0" borderId="4" xfId="0" applyBorder="1" applyAlignment="1">
      <alignment horizontal="left" vertical="center" wrapText="1"/>
    </xf>
    <xf numFmtId="0" fontId="0" fillId="5" borderId="4" xfId="0" applyFill="1" applyBorder="1"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0" fillId="5" borderId="4" xfId="0" applyFill="1" applyBorder="1" applyAlignment="1">
      <alignment horizontal="left" vertical="center" wrapText="1"/>
    </xf>
    <xf numFmtId="0" fontId="0" fillId="5" borderId="4" xfId="0" applyFill="1" applyBorder="1" applyAlignment="1">
      <alignment horizontal="left" vertical="top" wrapText="1"/>
    </xf>
    <xf numFmtId="0" fontId="0" fillId="0" borderId="15" xfId="0" applyBorder="1" applyAlignment="1">
      <alignment vertical="center"/>
    </xf>
    <xf numFmtId="0" fontId="0" fillId="0" borderId="51" xfId="0" applyBorder="1" applyAlignment="1">
      <alignment vertical="center"/>
    </xf>
    <xf numFmtId="0" fontId="0" fillId="0" borderId="14" xfId="0" applyBorder="1" applyAlignment="1">
      <alignment vertical="center"/>
    </xf>
    <xf numFmtId="15" fontId="0" fillId="0" borderId="14" xfId="0" applyNumberFormat="1" applyBorder="1" applyAlignment="1">
      <alignment vertical="center"/>
    </xf>
    <xf numFmtId="0" fontId="0" fillId="0" borderId="52" xfId="0" applyBorder="1" applyAlignment="1">
      <alignment vertical="center"/>
    </xf>
    <xf numFmtId="0" fontId="0" fillId="0" borderId="11" xfId="0" applyBorder="1" applyAlignment="1">
      <alignment vertical="center"/>
    </xf>
    <xf numFmtId="0" fontId="0" fillId="0" borderId="10" xfId="0" applyBorder="1" applyAlignment="1">
      <alignment vertical="center"/>
    </xf>
    <xf numFmtId="15" fontId="0" fillId="0" borderId="4" xfId="0" applyNumberFormat="1" applyBorder="1" applyAlignment="1">
      <alignment vertical="center"/>
    </xf>
    <xf numFmtId="0" fontId="0" fillId="0" borderId="57" xfId="0" applyBorder="1" applyAlignment="1">
      <alignment vertical="center"/>
    </xf>
    <xf numFmtId="0" fontId="0" fillId="0" borderId="58" xfId="0"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52" xfId="0" applyFill="1" applyBorder="1" applyAlignment="1">
      <alignment vertical="center"/>
    </xf>
    <xf numFmtId="0" fontId="0" fillId="5" borderId="10" xfId="0" applyFill="1" applyBorder="1" applyAlignment="1">
      <alignment vertical="center"/>
    </xf>
    <xf numFmtId="0" fontId="0" fillId="5" borderId="51" xfId="0" applyFill="1" applyBorder="1" applyAlignment="1">
      <alignment vertical="center"/>
    </xf>
    <xf numFmtId="15" fontId="0" fillId="5" borderId="14" xfId="0" applyNumberFormat="1" applyFill="1" applyBorder="1" applyAlignment="1">
      <alignment vertical="center"/>
    </xf>
    <xf numFmtId="0" fontId="0" fillId="5" borderId="11" xfId="0" applyFill="1" applyBorder="1" applyAlignment="1">
      <alignment vertical="center"/>
    </xf>
    <xf numFmtId="15" fontId="0" fillId="5" borderId="4" xfId="0" applyNumberFormat="1" applyFill="1" applyBorder="1" applyAlignment="1">
      <alignment vertical="center"/>
    </xf>
    <xf numFmtId="0" fontId="0" fillId="5" borderId="57" xfId="0" applyFill="1" applyBorder="1" applyAlignment="1">
      <alignment vertical="center"/>
    </xf>
    <xf numFmtId="0" fontId="0" fillId="5" borderId="58" xfId="0" applyFill="1" applyBorder="1" applyAlignment="1">
      <alignment vertical="center"/>
    </xf>
    <xf numFmtId="0" fontId="1" fillId="2" borderId="13" xfId="0" applyFont="1" applyFill="1" applyBorder="1" applyAlignment="1">
      <alignment horizontal="center" vertical="center" wrapText="1"/>
    </xf>
    <xf numFmtId="0" fontId="0" fillId="0" borderId="0" xfId="0" applyAlignment="1">
      <alignment horizontal="center" vertical="center" wrapText="1"/>
    </xf>
    <xf numFmtId="0" fontId="1" fillId="3" borderId="13" xfId="0" applyFont="1" applyFill="1" applyBorder="1" applyAlignment="1">
      <alignment horizontal="center" vertical="center" wrapText="1"/>
    </xf>
    <xf numFmtId="0" fontId="7" fillId="0" borderId="117" xfId="0" applyFont="1" applyBorder="1"/>
    <xf numFmtId="0" fontId="7" fillId="0" borderId="118" xfId="0" applyFont="1" applyBorder="1" applyAlignment="1">
      <alignment horizontal="left"/>
    </xf>
    <xf numFmtId="0" fontId="0" fillId="0" borderId="118" xfId="0" applyBorder="1" applyAlignment="1">
      <alignment horizontal="left"/>
    </xf>
    <xf numFmtId="0" fontId="0" fillId="0" borderId="119" xfId="0" applyBorder="1"/>
    <xf numFmtId="0" fontId="0" fillId="0" borderId="120" xfId="0" applyBorder="1" applyAlignment="1">
      <alignment horizontal="left"/>
    </xf>
    <xf numFmtId="0" fontId="6" fillId="15" borderId="115" xfId="0" applyFont="1" applyFill="1" applyBorder="1" applyAlignment="1">
      <alignment horizontal="center" vertical="center"/>
    </xf>
    <xf numFmtId="0" fontId="6" fillId="15" borderId="116" xfId="0" applyFont="1" applyFill="1" applyBorder="1" applyAlignment="1">
      <alignment horizontal="center" vertical="center"/>
    </xf>
    <xf numFmtId="0" fontId="0" fillId="0" borderId="13" xfId="0" applyBorder="1" applyAlignment="1">
      <alignment horizontal="left" vertical="center"/>
    </xf>
    <xf numFmtId="14" fontId="0" fillId="5" borderId="13" xfId="0" applyNumberFormat="1" applyFill="1" applyBorder="1" applyAlignment="1">
      <alignment horizontal="left" vertical="center"/>
    </xf>
    <xf numFmtId="0" fontId="0" fillId="5" borderId="13" xfId="0" applyFill="1" applyBorder="1" applyAlignment="1">
      <alignment horizontal="left" vertical="center"/>
    </xf>
    <xf numFmtId="15" fontId="0" fillId="0" borderId="13" xfId="0" applyNumberFormat="1" applyBorder="1" applyAlignment="1">
      <alignment horizontal="left" vertical="center"/>
    </xf>
    <xf numFmtId="0" fontId="0" fillId="5" borderId="14" xfId="0" applyFill="1" applyBorder="1" applyAlignment="1">
      <alignment horizontal="center" vertical="center" wrapText="1"/>
    </xf>
    <xf numFmtId="15" fontId="0" fillId="5" borderId="13" xfId="0" applyNumberFormat="1" applyFill="1" applyBorder="1" applyAlignment="1">
      <alignment horizontal="center" vertical="center"/>
    </xf>
    <xf numFmtId="15" fontId="0" fillId="5" borderId="13" xfId="0" applyNumberFormat="1" applyFill="1" applyBorder="1"/>
    <xf numFmtId="0" fontId="26" fillId="5" borderId="13" xfId="0" applyFont="1" applyFill="1" applyBorder="1" applyAlignment="1">
      <alignment horizontal="left"/>
    </xf>
    <xf numFmtId="0" fontId="26" fillId="0" borderId="13" xfId="0" applyFont="1" applyBorder="1" applyAlignment="1">
      <alignment horizontal="left"/>
    </xf>
    <xf numFmtId="0" fontId="25" fillId="5" borderId="13" xfId="0" applyFont="1" applyFill="1" applyBorder="1"/>
    <xf numFmtId="0" fontId="25" fillId="5" borderId="13" xfId="0" applyFont="1" applyFill="1" applyBorder="1" applyAlignment="1">
      <alignment horizontal="center" vertical="center"/>
    </xf>
    <xf numFmtId="15" fontId="4" fillId="5" borderId="13" xfId="0" applyNumberFormat="1" applyFont="1" applyFill="1" applyBorder="1" applyAlignment="1">
      <alignment horizontal="center"/>
    </xf>
    <xf numFmtId="15" fontId="25" fillId="5" borderId="13" xfId="0" applyNumberFormat="1" applyFont="1" applyFill="1" applyBorder="1" applyAlignment="1">
      <alignment horizontal="center"/>
    </xf>
    <xf numFmtId="0" fontId="0" fillId="5" borderId="121" xfId="0" applyFill="1" applyBorder="1" applyAlignment="1">
      <alignment vertical="center"/>
    </xf>
    <xf numFmtId="0" fontId="0" fillId="0" borderId="122" xfId="0" applyBorder="1" applyAlignment="1">
      <alignment vertical="center"/>
    </xf>
    <xf numFmtId="0" fontId="0" fillId="0" borderId="123" xfId="0" applyBorder="1" applyAlignment="1">
      <alignment horizontal="center" vertical="center"/>
    </xf>
    <xf numFmtId="0" fontId="0" fillId="0" borderId="123" xfId="0" applyBorder="1" applyAlignment="1">
      <alignment vertical="center"/>
    </xf>
    <xf numFmtId="0" fontId="0" fillId="0" borderId="49" xfId="0" applyBorder="1" applyAlignment="1">
      <alignment vertical="center"/>
    </xf>
    <xf numFmtId="0" fontId="0" fillId="0" borderId="34" xfId="0" applyBorder="1" applyAlignment="1">
      <alignment horizontal="center" vertical="center"/>
    </xf>
    <xf numFmtId="0" fontId="0" fillId="0" borderId="34" xfId="0" applyBorder="1" applyAlignment="1">
      <alignment vertical="center"/>
    </xf>
    <xf numFmtId="0" fontId="6" fillId="20" borderId="0" xfId="0" applyFont="1" applyFill="1" applyAlignment="1">
      <alignment horizontal="center" vertical="center"/>
    </xf>
    <xf numFmtId="15" fontId="8" fillId="20" borderId="0" xfId="0" applyNumberFormat="1" applyFont="1" applyFill="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0" fontId="24" fillId="0" borderId="0" xfId="0" applyFont="1" applyAlignment="1">
      <alignment horizontal="center" vertical="center"/>
    </xf>
    <xf numFmtId="0" fontId="11" fillId="0" borderId="8" xfId="0" applyFont="1" applyBorder="1" applyAlignment="1">
      <alignment horizontal="center"/>
    </xf>
    <xf numFmtId="0" fontId="8" fillId="20" borderId="0" xfId="0" applyFont="1" applyFill="1" applyAlignment="1">
      <alignment horizontal="center"/>
    </xf>
    <xf numFmtId="0" fontId="27" fillId="20" borderId="0" xfId="0" applyFont="1" applyFill="1" applyAlignment="1">
      <alignment horizontal="center" vertical="center"/>
    </xf>
    <xf numFmtId="0" fontId="1" fillId="2" borderId="8" xfId="0" applyFont="1" applyFill="1" applyBorder="1" applyAlignment="1">
      <alignment horizontal="center" vertical="center" wrapText="1"/>
    </xf>
    <xf numFmtId="0" fontId="11" fillId="0" borderId="8" xfId="0" applyFont="1" applyBorder="1" applyAlignment="1">
      <alignment horizontal="center" vertical="center" wrapText="1"/>
    </xf>
    <xf numFmtId="14" fontId="0" fillId="5" borderId="13" xfId="0" applyNumberFormat="1" applyFill="1" applyBorder="1" applyAlignment="1">
      <alignment horizontal="center" vertical="center"/>
    </xf>
    <xf numFmtId="0" fontId="11" fillId="0" borderId="0" xfId="0" applyFont="1"/>
    <xf numFmtId="0" fontId="7" fillId="0" borderId="0" xfId="0" applyFont="1"/>
    <xf numFmtId="0" fontId="11" fillId="5" borderId="0" xfId="0" applyFont="1" applyFill="1"/>
    <xf numFmtId="0" fontId="7" fillId="5" borderId="0" xfId="0" applyFont="1" applyFill="1"/>
    <xf numFmtId="0" fontId="7" fillId="5" borderId="0" xfId="0" applyFont="1" applyFill="1" applyAlignment="1">
      <alignment horizontal="center" vertical="center"/>
    </xf>
    <xf numFmtId="0" fontId="24" fillId="5" borderId="0" xfId="0" applyFont="1" applyFill="1" applyAlignment="1">
      <alignment horizontal="center" vertical="center"/>
    </xf>
    <xf numFmtId="170" fontId="0" fillId="0" borderId="93" xfId="0" applyNumberFormat="1" applyBorder="1" applyAlignment="1">
      <alignment horizontal="center"/>
    </xf>
    <xf numFmtId="0" fontId="25" fillId="0" borderId="13" xfId="0" applyFont="1" applyBorder="1" applyAlignment="1">
      <alignment horizontal="left"/>
    </xf>
    <xf numFmtId="0" fontId="25" fillId="5" borderId="13" xfId="0" applyFont="1" applyFill="1" applyBorder="1" applyAlignment="1">
      <alignment horizontal="left"/>
    </xf>
    <xf numFmtId="0" fontId="8" fillId="0" borderId="14" xfId="0" applyFont="1" applyBorder="1" applyAlignment="1">
      <alignment horizontal="center" vertical="center"/>
    </xf>
    <xf numFmtId="0" fontId="8" fillId="5" borderId="14" xfId="0" applyFont="1" applyFill="1" applyBorder="1" applyAlignment="1">
      <alignment horizontal="left" vertical="center"/>
    </xf>
    <xf numFmtId="0" fontId="8" fillId="5" borderId="4" xfId="0" applyFont="1" applyFill="1" applyBorder="1" applyAlignment="1">
      <alignment horizontal="center" vertical="center"/>
    </xf>
    <xf numFmtId="0" fontId="8" fillId="0" borderId="51" xfId="0" applyFont="1" applyBorder="1" applyAlignment="1">
      <alignment vertical="center"/>
    </xf>
    <xf numFmtId="0" fontId="8" fillId="0" borderId="8" xfId="0" applyFont="1" applyBorder="1" applyAlignment="1">
      <alignment horizontal="center"/>
    </xf>
    <xf numFmtId="164" fontId="0" fillId="14" borderId="108" xfId="0" applyNumberFormat="1" applyFill="1" applyBorder="1" applyAlignment="1">
      <alignment horizontal="left" vertical="center"/>
    </xf>
    <xf numFmtId="164" fontId="0" fillId="14" borderId="0" xfId="0" applyNumberFormat="1" applyFill="1" applyAlignment="1">
      <alignment horizontal="left" vertical="center"/>
    </xf>
    <xf numFmtId="164" fontId="0" fillId="14" borderId="109" xfId="0" applyNumberFormat="1" applyFill="1" applyBorder="1" applyAlignment="1">
      <alignment horizontal="left" vertical="center"/>
    </xf>
    <xf numFmtId="164" fontId="0" fillId="0" borderId="99" xfId="0" applyNumberFormat="1" applyBorder="1" applyAlignment="1">
      <alignment horizontal="left" vertical="center"/>
    </xf>
    <xf numFmtId="164" fontId="0" fillId="0" borderId="100" xfId="0" applyNumberFormat="1" applyBorder="1" applyAlignment="1">
      <alignment horizontal="left" vertical="center"/>
    </xf>
    <xf numFmtId="164" fontId="0" fillId="0" borderId="101" xfId="0" applyNumberFormat="1" applyBorder="1" applyAlignment="1">
      <alignment horizontal="left" vertical="center"/>
    </xf>
    <xf numFmtId="0" fontId="3" fillId="18" borderId="99" xfId="0" applyFont="1" applyFill="1" applyBorder="1" applyAlignment="1">
      <alignment horizontal="center" vertical="center"/>
    </xf>
    <xf numFmtId="0" fontId="3" fillId="18" borderId="100" xfId="0" applyFont="1" applyFill="1" applyBorder="1" applyAlignment="1">
      <alignment horizontal="center" vertical="center"/>
    </xf>
    <xf numFmtId="0" fontId="3" fillId="18" borderId="101" xfId="0" applyFont="1" applyFill="1" applyBorder="1" applyAlignment="1">
      <alignment horizontal="center" vertical="center"/>
    </xf>
    <xf numFmtId="164" fontId="0" fillId="0" borderId="105" xfId="0" applyNumberFormat="1" applyBorder="1" applyAlignment="1">
      <alignment horizontal="left" vertical="center"/>
    </xf>
    <xf numFmtId="164" fontId="0" fillId="0" borderId="106" xfId="0" applyNumberFormat="1" applyBorder="1" applyAlignment="1">
      <alignment horizontal="left" vertical="center"/>
    </xf>
    <xf numFmtId="164" fontId="0" fillId="0" borderId="107" xfId="0" applyNumberFormat="1" applyBorder="1" applyAlignment="1">
      <alignment horizontal="left" vertical="center"/>
    </xf>
    <xf numFmtId="164" fontId="0" fillId="14" borderId="99" xfId="0" applyNumberFormat="1" applyFill="1" applyBorder="1" applyAlignment="1">
      <alignment horizontal="left" vertical="center"/>
    </xf>
    <xf numFmtId="164" fontId="0" fillId="14" borderId="100" xfId="0" applyNumberFormat="1" applyFill="1" applyBorder="1" applyAlignment="1">
      <alignment horizontal="left" vertical="center"/>
    </xf>
    <xf numFmtId="164" fontId="0" fillId="14" borderId="101" xfId="0" applyNumberFormat="1" applyFill="1" applyBorder="1" applyAlignment="1">
      <alignment horizontal="left" vertical="center"/>
    </xf>
    <xf numFmtId="164" fontId="0" fillId="14" borderId="102" xfId="0" applyNumberFormat="1" applyFill="1" applyBorder="1" applyAlignment="1">
      <alignment horizontal="left" vertical="center"/>
    </xf>
    <xf numFmtId="164" fontId="0" fillId="14" borderId="103" xfId="0" applyNumberFormat="1" applyFill="1" applyBorder="1" applyAlignment="1">
      <alignment horizontal="left" vertical="center"/>
    </xf>
    <xf numFmtId="164" fontId="0" fillId="14" borderId="104" xfId="0" applyNumberFormat="1" applyFill="1" applyBorder="1" applyAlignment="1">
      <alignment horizontal="left" vertical="center"/>
    </xf>
    <xf numFmtId="0" fontId="8" fillId="0" borderId="0" xfId="0" applyFont="1" applyAlignment="1">
      <alignment horizontal="left" vertical="center"/>
    </xf>
    <xf numFmtId="0" fontId="13" fillId="16" borderId="59" xfId="0" applyFont="1" applyFill="1" applyBorder="1" applyAlignment="1">
      <alignment horizontal="center" vertical="center" textRotation="90"/>
    </xf>
    <xf numFmtId="0" fontId="13" fillId="12" borderId="40" xfId="0" applyFont="1" applyFill="1" applyBorder="1" applyAlignment="1">
      <alignment horizontal="center" vertical="center" textRotation="90"/>
    </xf>
    <xf numFmtId="0" fontId="13" fillId="13" borderId="22" xfId="0" applyFont="1" applyFill="1" applyBorder="1" applyAlignment="1">
      <alignment horizontal="center" vertical="center" textRotation="90"/>
    </xf>
    <xf numFmtId="0" fontId="13" fillId="13" borderId="23" xfId="0" applyFont="1" applyFill="1" applyBorder="1" applyAlignment="1">
      <alignment horizontal="center" vertical="center" textRotation="90"/>
    </xf>
    <xf numFmtId="0" fontId="13" fillId="13" borderId="24" xfId="0" applyFont="1" applyFill="1" applyBorder="1" applyAlignment="1">
      <alignment horizontal="center" vertical="center" textRotation="90"/>
    </xf>
    <xf numFmtId="0" fontId="5" fillId="12" borderId="40" xfId="0" applyFont="1" applyFill="1" applyBorder="1" applyAlignment="1">
      <alignment horizontal="center" vertical="center" wrapText="1"/>
    </xf>
    <xf numFmtId="0" fontId="15" fillId="0" borderId="41" xfId="0" applyFont="1" applyBorder="1" applyAlignment="1">
      <alignment horizontal="justify" vertical="top"/>
    </xf>
    <xf numFmtId="0" fontId="15" fillId="0" borderId="40" xfId="0" applyFont="1" applyBorder="1" applyAlignment="1">
      <alignment horizontal="justify" vertical="top"/>
    </xf>
    <xf numFmtId="0" fontId="16" fillId="8" borderId="40" xfId="0" applyFont="1" applyFill="1" applyBorder="1" applyAlignment="1">
      <alignment horizontal="center" vertical="center" textRotation="90"/>
    </xf>
    <xf numFmtId="0" fontId="0" fillId="14" borderId="43" xfId="0" applyFill="1" applyBorder="1" applyAlignment="1">
      <alignment horizontal="right"/>
    </xf>
    <xf numFmtId="0" fontId="0" fillId="14" borderId="41" xfId="0" applyFill="1" applyBorder="1" applyAlignment="1">
      <alignment horizontal="right"/>
    </xf>
    <xf numFmtId="0" fontId="16" fillId="18" borderId="40" xfId="0" applyFont="1" applyFill="1" applyBorder="1" applyAlignment="1">
      <alignment horizontal="center" vertical="center" textRotation="90"/>
    </xf>
    <xf numFmtId="0" fontId="1" fillId="3" borderId="27" xfId="0" applyFont="1" applyFill="1" applyBorder="1" applyAlignment="1">
      <alignment horizontal="center"/>
    </xf>
    <xf numFmtId="0" fontId="1" fillId="2" borderId="27" xfId="0" applyFont="1" applyFill="1" applyBorder="1" applyAlignment="1">
      <alignment horizontal="center"/>
    </xf>
    <xf numFmtId="0" fontId="3" fillId="15" borderId="0" xfId="0" applyFont="1" applyFill="1" applyAlignment="1">
      <alignment horizontal="center" vertical="center"/>
    </xf>
    <xf numFmtId="0" fontId="3" fillId="15" borderId="26" xfId="0" applyFont="1" applyFill="1" applyBorder="1" applyAlignment="1">
      <alignment horizontal="center" vertical="center"/>
    </xf>
    <xf numFmtId="0" fontId="14" fillId="10" borderId="84" xfId="0" applyFont="1" applyFill="1" applyBorder="1" applyAlignment="1">
      <alignment horizontal="center"/>
    </xf>
    <xf numFmtId="0" fontId="14" fillId="10" borderId="71" xfId="0" applyFont="1" applyFill="1" applyBorder="1" applyAlignment="1">
      <alignment horizontal="center"/>
    </xf>
    <xf numFmtId="0" fontId="14" fillId="10" borderId="77" xfId="0" applyFont="1" applyFill="1" applyBorder="1" applyAlignment="1">
      <alignment horizontal="center"/>
    </xf>
    <xf numFmtId="0" fontId="8" fillId="5" borderId="49" xfId="0" applyFont="1" applyFill="1" applyBorder="1" applyAlignment="1">
      <alignment horizontal="center" vertical="center"/>
    </xf>
    <xf numFmtId="0" fontId="8" fillId="5" borderId="34" xfId="0" applyFont="1" applyFill="1" applyBorder="1" applyAlignment="1">
      <alignment horizontal="center" vertical="center"/>
    </xf>
    <xf numFmtId="0" fontId="8" fillId="5" borderId="50" xfId="0" applyFont="1" applyFill="1" applyBorder="1" applyAlignment="1">
      <alignment horizontal="center" vertical="center"/>
    </xf>
    <xf numFmtId="0" fontId="1" fillId="19" borderId="49" xfId="0" applyFont="1" applyFill="1" applyBorder="1" applyAlignment="1">
      <alignment horizontal="center" vertical="center"/>
    </xf>
    <xf numFmtId="0" fontId="1" fillId="19" borderId="34" xfId="0" applyFont="1" applyFill="1" applyBorder="1" applyAlignment="1">
      <alignment horizontal="center" vertical="center"/>
    </xf>
    <xf numFmtId="0" fontId="1" fillId="19" borderId="50" xfId="0" applyFont="1" applyFill="1" applyBorder="1" applyAlignment="1">
      <alignment horizontal="center" vertical="center"/>
    </xf>
    <xf numFmtId="0" fontId="1" fillId="19" borderId="46" xfId="0" applyFont="1" applyFill="1" applyBorder="1" applyAlignment="1">
      <alignment horizontal="center" vertical="center"/>
    </xf>
    <xf numFmtId="0" fontId="1" fillId="2" borderId="66" xfId="0" applyFont="1" applyFill="1" applyBorder="1" applyAlignment="1">
      <alignment horizontal="center" vertical="center"/>
    </xf>
    <xf numFmtId="0" fontId="1" fillId="2" borderId="67" xfId="0" applyFont="1" applyFill="1" applyBorder="1" applyAlignment="1">
      <alignment horizontal="center" vertical="center"/>
    </xf>
    <xf numFmtId="0" fontId="1" fillId="19" borderId="53" xfId="0" applyFont="1" applyFill="1" applyBorder="1" applyAlignment="1">
      <alignment horizontal="center" vertical="center"/>
    </xf>
    <xf numFmtId="0" fontId="1" fillId="19" borderId="54" xfId="0" applyFont="1" applyFill="1" applyBorder="1" applyAlignment="1">
      <alignment horizontal="center" vertical="center"/>
    </xf>
  </cellXfs>
  <cellStyles count="1">
    <cellStyle name="Normal" xfId="0" builtinId="0"/>
  </cellStyles>
  <dxfs count="29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79998168889431442"/>
        </patternFill>
      </fill>
    </dxf>
    <dxf>
      <fill>
        <patternFill>
          <bgColor theme="7" tint="0.79998168889431442"/>
        </patternFill>
      </fill>
    </dxf>
    <dxf>
      <fill>
        <patternFill>
          <bgColor theme="5" tint="0.39994506668294322"/>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ill>
        <patternFill>
          <bgColor theme="9" tint="0.39994506668294322"/>
        </patternFill>
      </fill>
    </dxf>
    <dxf>
      <fill>
        <patternFill>
          <bgColor rgb="FFFFFF00"/>
        </patternFill>
      </fill>
    </dxf>
    <dxf>
      <font>
        <b/>
        <i val="0"/>
        <color auto="1"/>
      </font>
      <fill>
        <patternFill>
          <bgColor rgb="FFFF2D2D"/>
        </patternFill>
      </fill>
    </dxf>
    <dxf>
      <font>
        <color auto="1"/>
      </font>
      <fill>
        <patternFill>
          <bgColor rgb="FFFF3300"/>
        </patternFill>
      </fill>
    </dxf>
    <dxf>
      <fill>
        <patternFill>
          <bgColor rgb="FFFFFF00"/>
        </patternFill>
      </fill>
    </dxf>
    <dxf>
      <fill>
        <patternFill>
          <bgColor theme="9" tint="0.39994506668294322"/>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theme="9" tint="0.39994506668294322"/>
        </patternFill>
      </fill>
    </dxf>
    <dxf>
      <fill>
        <patternFill>
          <bgColor rgb="FFFFFF00"/>
        </patternFill>
      </fill>
    </dxf>
    <dxf>
      <fill>
        <patternFill>
          <bgColor rgb="FFFF6565"/>
        </patternFill>
      </fill>
    </dxf>
    <dxf>
      <font>
        <color auto="1"/>
      </font>
      <fill>
        <patternFill>
          <bgColor rgb="FFFF3300"/>
        </patternFill>
      </fill>
    </dxf>
    <dxf>
      <fill>
        <patternFill>
          <bgColor rgb="FFFFFF00"/>
        </patternFill>
      </fill>
    </dxf>
    <dxf>
      <fill>
        <patternFill>
          <bgColor theme="9" tint="0.39994506668294322"/>
        </patternFill>
      </fill>
    </dxf>
    <dxf>
      <font>
        <color auto="1"/>
      </font>
      <fill>
        <patternFill>
          <bgColor theme="9" tint="0.39994506668294322"/>
        </patternFill>
      </fill>
    </dxf>
    <dxf>
      <fill>
        <patternFill>
          <bgColor rgb="FFFFFF00"/>
        </patternFill>
      </fill>
    </dxf>
    <dxf>
      <fill>
        <patternFill>
          <bgColor rgb="FFFF6565"/>
        </patternFill>
      </fill>
    </dxf>
    <dxf>
      <fill>
        <patternFill>
          <bgColor theme="9" tint="0.39994506668294322"/>
        </patternFill>
      </fill>
    </dxf>
    <dxf>
      <fill>
        <patternFill>
          <bgColor rgb="FFFFFF00"/>
        </patternFill>
      </fill>
    </dxf>
    <dxf>
      <font>
        <b/>
        <i val="0"/>
        <color auto="1"/>
      </font>
      <fill>
        <patternFill>
          <bgColor rgb="FFFF2D2D"/>
        </patternFill>
      </fill>
    </dxf>
  </dxfs>
  <tableStyles count="0" defaultTableStyle="TableStyleMedium2" defaultPivotStyle="PivotStyleLight16"/>
  <colors>
    <mruColors>
      <color rgb="FFFF2D2D"/>
      <color rgb="FFFFFF99"/>
      <color rgb="FFFF3300"/>
      <color rgb="FFFF6565"/>
      <color rgb="FFFF9B9B"/>
      <color rgb="FFFF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BUSQUEDA!A69"/><Relationship Id="rId7" Type="http://schemas.openxmlformats.org/officeDocument/2006/relationships/hyperlink" Target="#BUSQUEDA!A105"/><Relationship Id="rId2" Type="http://schemas.openxmlformats.org/officeDocument/2006/relationships/image" Target="../media/image1.jpeg"/><Relationship Id="rId1" Type="http://schemas.openxmlformats.org/officeDocument/2006/relationships/hyperlink" Target="#BUSQUEDA!A23"/><Relationship Id="rId6" Type="http://schemas.openxmlformats.org/officeDocument/2006/relationships/image" Target="../media/image3.jpg"/><Relationship Id="rId11" Type="http://schemas.openxmlformats.org/officeDocument/2006/relationships/image" Target="../media/image6.svg"/><Relationship Id="rId5" Type="http://schemas.openxmlformats.org/officeDocument/2006/relationships/hyperlink" Target="#BUSQUEDA!A160"/><Relationship Id="rId10" Type="http://schemas.openxmlformats.org/officeDocument/2006/relationships/image" Target="../media/image5.png"/><Relationship Id="rId4" Type="http://schemas.openxmlformats.org/officeDocument/2006/relationships/image" Target="../media/image2.jpg"/><Relationship Id="rId9" Type="http://schemas.openxmlformats.org/officeDocument/2006/relationships/hyperlink" Target="#BUSQUEDA!A1"/></Relationships>
</file>

<file path=xl/drawings/drawing1.xml><?xml version="1.0" encoding="utf-8"?>
<xdr:wsDr xmlns:xdr="http://schemas.openxmlformats.org/drawingml/2006/spreadsheetDrawing" xmlns:a="http://schemas.openxmlformats.org/drawingml/2006/main">
  <xdr:twoCellAnchor>
    <xdr:from>
      <xdr:col>7</xdr:col>
      <xdr:colOff>1509302</xdr:colOff>
      <xdr:row>4</xdr:row>
      <xdr:rowOff>159543</xdr:rowOff>
    </xdr:from>
    <xdr:to>
      <xdr:col>8</xdr:col>
      <xdr:colOff>830581</xdr:colOff>
      <xdr:row>9</xdr:row>
      <xdr:rowOff>28575</xdr:rowOff>
    </xdr:to>
    <xdr:pic>
      <xdr:nvPicPr>
        <xdr:cNvPr id="4" name="Picture 3" descr="A blue machine with a sign&#10;&#10;Description automatically generated with medium confidence">
          <a:hlinkClick xmlns:r="http://schemas.openxmlformats.org/officeDocument/2006/relationships" r:id="rId1"/>
          <a:extLst>
            <a:ext uri="{FF2B5EF4-FFF2-40B4-BE49-F238E27FC236}">
              <a16:creationId xmlns:a16="http://schemas.microsoft.com/office/drawing/2014/main" id="{6737FFB3-E367-6487-9E6A-FCBF3787066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546"/>
        <a:stretch/>
      </xdr:blipFill>
      <xdr:spPr>
        <a:xfrm>
          <a:off x="11196227" y="931068"/>
          <a:ext cx="835754" cy="79295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23450</xdr:colOff>
      <xdr:row>10</xdr:row>
      <xdr:rowOff>48293</xdr:rowOff>
    </xdr:from>
    <xdr:to>
      <xdr:col>8</xdr:col>
      <xdr:colOff>761953</xdr:colOff>
      <xdr:row>13</xdr:row>
      <xdr:rowOff>152778</xdr:rowOff>
    </xdr:to>
    <xdr:pic>
      <xdr:nvPicPr>
        <xdr:cNvPr id="8" name="Picture 7" descr="A blue symbol with a circle&#10;&#10;Description automatically generated">
          <a:hlinkClick xmlns:r="http://schemas.openxmlformats.org/officeDocument/2006/relationships" r:id="rId3"/>
          <a:extLst>
            <a:ext uri="{FF2B5EF4-FFF2-40B4-BE49-F238E27FC236}">
              <a16:creationId xmlns:a16="http://schemas.microsoft.com/office/drawing/2014/main" id="{9D44C9BA-E30C-0637-D2DE-AB77A6161D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870" y="795053"/>
          <a:ext cx="738503" cy="65312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8</xdr:col>
      <xdr:colOff>27612</xdr:colOff>
      <xdr:row>15</xdr:row>
      <xdr:rowOff>918582</xdr:rowOff>
    </xdr:from>
    <xdr:to>
      <xdr:col>8</xdr:col>
      <xdr:colOff>746361</xdr:colOff>
      <xdr:row>17</xdr:row>
      <xdr:rowOff>154305</xdr:rowOff>
    </xdr:to>
    <xdr:pic>
      <xdr:nvPicPr>
        <xdr:cNvPr id="12" name="Picture 11" descr="A close-up of a blue and white triangle&#10;&#10;Description automatically generated">
          <a:hlinkClick xmlns:r="http://schemas.openxmlformats.org/officeDocument/2006/relationships" r:id="rId5"/>
          <a:extLst>
            <a:ext uri="{FF2B5EF4-FFF2-40B4-BE49-F238E27FC236}">
              <a16:creationId xmlns:a16="http://schemas.microsoft.com/office/drawing/2014/main" id="{9F3C6F45-D85E-BB3B-D47F-A24C4C4128C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929" t="23064" r="38774" b="33758"/>
        <a:stretch/>
      </xdr:blipFill>
      <xdr:spPr>
        <a:xfrm>
          <a:off x="11533812" y="3722742"/>
          <a:ext cx="730179" cy="71590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15785</xdr:colOff>
      <xdr:row>15</xdr:row>
      <xdr:rowOff>44861</xdr:rowOff>
    </xdr:from>
    <xdr:to>
      <xdr:col>8</xdr:col>
      <xdr:colOff>782953</xdr:colOff>
      <xdr:row>15</xdr:row>
      <xdr:rowOff>679789</xdr:rowOff>
    </xdr:to>
    <xdr:pic>
      <xdr:nvPicPr>
        <xdr:cNvPr id="14" name="Picture 13" descr="A close-up of a device&#10;&#10;Description automatically generated">
          <a:hlinkClick xmlns:r="http://schemas.openxmlformats.org/officeDocument/2006/relationships" r:id="rId7"/>
          <a:extLst>
            <a:ext uri="{FF2B5EF4-FFF2-40B4-BE49-F238E27FC236}">
              <a16:creationId xmlns:a16="http://schemas.microsoft.com/office/drawing/2014/main" id="{95AE38CE-1D5D-D659-B837-6746044BE1CD}"/>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8840" t="20000" r="32308" b="24242"/>
        <a:stretch/>
      </xdr:blipFill>
      <xdr:spPr>
        <a:xfrm>
          <a:off x="11502935" y="2645186"/>
          <a:ext cx="767168" cy="63492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7</xdr:col>
      <xdr:colOff>594360</xdr:colOff>
      <xdr:row>7</xdr:row>
      <xdr:rowOff>7620</xdr:rowOff>
    </xdr:from>
    <xdr:to>
      <xdr:col>7</xdr:col>
      <xdr:colOff>1432560</xdr:colOff>
      <xdr:row>7</xdr:row>
      <xdr:rowOff>7620</xdr:rowOff>
    </xdr:to>
    <xdr:cxnSp macro="">
      <xdr:nvCxnSpPr>
        <xdr:cNvPr id="3" name="Straight Arrow Connector 2">
          <a:extLst>
            <a:ext uri="{FF2B5EF4-FFF2-40B4-BE49-F238E27FC236}">
              <a16:creationId xmlns:a16="http://schemas.microsoft.com/office/drawing/2014/main" id="{3CE1CAF3-11C7-4418-EF6F-908B9105BB54}"/>
            </a:ext>
          </a:extLst>
        </xdr:cNvPr>
        <xdr:cNvCxnSpPr/>
      </xdr:nvCxnSpPr>
      <xdr:spPr>
        <a:xfrm>
          <a:off x="10020300" y="381000"/>
          <a:ext cx="838200" cy="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853441</xdr:colOff>
      <xdr:row>12</xdr:row>
      <xdr:rowOff>11430</xdr:rowOff>
    </xdr:from>
    <xdr:to>
      <xdr:col>7</xdr:col>
      <xdr:colOff>1424940</xdr:colOff>
      <xdr:row>12</xdr:row>
      <xdr:rowOff>11430</xdr:rowOff>
    </xdr:to>
    <xdr:cxnSp macro="">
      <xdr:nvCxnSpPr>
        <xdr:cNvPr id="5" name="Straight Arrow Connector 4">
          <a:extLst>
            <a:ext uri="{FF2B5EF4-FFF2-40B4-BE49-F238E27FC236}">
              <a16:creationId xmlns:a16="http://schemas.microsoft.com/office/drawing/2014/main" id="{58D29432-F462-4D75-91B6-8BD9EF23F62A}"/>
            </a:ext>
          </a:extLst>
        </xdr:cNvPr>
        <xdr:cNvCxnSpPr>
          <a:stCxn id="9" idx="3"/>
        </xdr:cNvCxnSpPr>
      </xdr:nvCxnSpPr>
      <xdr:spPr>
        <a:xfrm>
          <a:off x="10454641" y="2249805"/>
          <a:ext cx="571499" cy="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723900</xdr:colOff>
      <xdr:row>15</xdr:row>
      <xdr:rowOff>360045</xdr:rowOff>
    </xdr:from>
    <xdr:to>
      <xdr:col>7</xdr:col>
      <xdr:colOff>1428750</xdr:colOff>
      <xdr:row>15</xdr:row>
      <xdr:rowOff>360045</xdr:rowOff>
    </xdr:to>
    <xdr:cxnSp macro="">
      <xdr:nvCxnSpPr>
        <xdr:cNvPr id="6" name="Straight Arrow Connector 5">
          <a:extLst>
            <a:ext uri="{FF2B5EF4-FFF2-40B4-BE49-F238E27FC236}">
              <a16:creationId xmlns:a16="http://schemas.microsoft.com/office/drawing/2014/main" id="{05C5875F-70E3-46EF-9B3D-51D8A2FB22A2}"/>
            </a:ext>
          </a:extLst>
        </xdr:cNvPr>
        <xdr:cNvCxnSpPr/>
      </xdr:nvCxnSpPr>
      <xdr:spPr>
        <a:xfrm>
          <a:off x="10648950" y="2960370"/>
          <a:ext cx="704850" cy="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464820</xdr:colOff>
      <xdr:row>16</xdr:row>
      <xdr:rowOff>57336</xdr:rowOff>
    </xdr:from>
    <xdr:to>
      <xdr:col>7</xdr:col>
      <xdr:colOff>1432560</xdr:colOff>
      <xdr:row>16</xdr:row>
      <xdr:rowOff>57336</xdr:rowOff>
    </xdr:to>
    <xdr:cxnSp macro="">
      <xdr:nvCxnSpPr>
        <xdr:cNvPr id="7" name="Straight Arrow Connector 6">
          <a:extLst>
            <a:ext uri="{FF2B5EF4-FFF2-40B4-BE49-F238E27FC236}">
              <a16:creationId xmlns:a16="http://schemas.microsoft.com/office/drawing/2014/main" id="{5C62A1F9-F5D4-402D-BCFA-38476B7DA16F}"/>
            </a:ext>
          </a:extLst>
        </xdr:cNvPr>
        <xdr:cNvCxnSpPr/>
      </xdr:nvCxnSpPr>
      <xdr:spPr>
        <a:xfrm>
          <a:off x="10416540" y="4080696"/>
          <a:ext cx="967740" cy="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38100</xdr:colOff>
      <xdr:row>152</xdr:row>
      <xdr:rowOff>68580</xdr:rowOff>
    </xdr:from>
    <xdr:to>
      <xdr:col>0</xdr:col>
      <xdr:colOff>304800</xdr:colOff>
      <xdr:row>152</xdr:row>
      <xdr:rowOff>550545</xdr:rowOff>
    </xdr:to>
    <xdr:pic>
      <xdr:nvPicPr>
        <xdr:cNvPr id="16" name="Graphic 15" descr="Arrow Up with solid fill">
          <a:hlinkClick xmlns:r="http://schemas.openxmlformats.org/officeDocument/2006/relationships" r:id="rId9"/>
          <a:extLst>
            <a:ext uri="{FF2B5EF4-FFF2-40B4-BE49-F238E27FC236}">
              <a16:creationId xmlns:a16="http://schemas.microsoft.com/office/drawing/2014/main" id="{19650A96-F1E7-207B-C503-F2360026EDDD}"/>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l="28049" r="29268"/>
        <a:stretch/>
      </xdr:blipFill>
      <xdr:spPr>
        <a:xfrm>
          <a:off x="38100" y="27119580"/>
          <a:ext cx="266700" cy="624840"/>
        </a:xfrm>
        <a:prstGeom prst="rect">
          <a:avLst/>
        </a:prstGeom>
      </xdr:spPr>
    </xdr:pic>
    <xdr:clientData/>
  </xdr:twoCellAnchor>
  <xdr:twoCellAnchor editAs="oneCell">
    <xdr:from>
      <xdr:col>0</xdr:col>
      <xdr:colOff>38100</xdr:colOff>
      <xdr:row>104</xdr:row>
      <xdr:rowOff>30480</xdr:rowOff>
    </xdr:from>
    <xdr:to>
      <xdr:col>0</xdr:col>
      <xdr:colOff>304800</xdr:colOff>
      <xdr:row>106</xdr:row>
      <xdr:rowOff>93345</xdr:rowOff>
    </xdr:to>
    <xdr:pic>
      <xdr:nvPicPr>
        <xdr:cNvPr id="17" name="Graphic 16" descr="Arrow Up with solid fill">
          <a:hlinkClick xmlns:r="http://schemas.openxmlformats.org/officeDocument/2006/relationships" r:id="rId9"/>
          <a:extLst>
            <a:ext uri="{FF2B5EF4-FFF2-40B4-BE49-F238E27FC236}">
              <a16:creationId xmlns:a16="http://schemas.microsoft.com/office/drawing/2014/main" id="{81B79E3E-1D89-455B-B9F8-62780AD3D2F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l="28049" r="29268"/>
        <a:stretch/>
      </xdr:blipFill>
      <xdr:spPr>
        <a:xfrm>
          <a:off x="38100" y="19949160"/>
          <a:ext cx="266700" cy="624840"/>
        </a:xfrm>
        <a:prstGeom prst="rect">
          <a:avLst/>
        </a:prstGeom>
      </xdr:spPr>
    </xdr:pic>
    <xdr:clientData/>
  </xdr:twoCellAnchor>
  <xdr:twoCellAnchor editAs="oneCell">
    <xdr:from>
      <xdr:col>0</xdr:col>
      <xdr:colOff>38100</xdr:colOff>
      <xdr:row>68</xdr:row>
      <xdr:rowOff>19050</xdr:rowOff>
    </xdr:from>
    <xdr:to>
      <xdr:col>0</xdr:col>
      <xdr:colOff>320040</xdr:colOff>
      <xdr:row>70</xdr:row>
      <xdr:rowOff>114300</xdr:rowOff>
    </xdr:to>
    <xdr:pic>
      <xdr:nvPicPr>
        <xdr:cNvPr id="18" name="Graphic 17" descr="Arrow Up with solid fill">
          <a:hlinkClick xmlns:r="http://schemas.openxmlformats.org/officeDocument/2006/relationships" r:id="rId9"/>
          <a:extLst>
            <a:ext uri="{FF2B5EF4-FFF2-40B4-BE49-F238E27FC236}">
              <a16:creationId xmlns:a16="http://schemas.microsoft.com/office/drawing/2014/main" id="{EDD7CC3D-02FA-46EC-B39F-A9CE2EE8FD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l="28049" r="29268"/>
        <a:stretch/>
      </xdr:blipFill>
      <xdr:spPr>
        <a:xfrm>
          <a:off x="38100" y="13068300"/>
          <a:ext cx="276225" cy="628650"/>
        </a:xfrm>
        <a:prstGeom prst="rect">
          <a:avLst/>
        </a:prstGeom>
      </xdr:spPr>
    </xdr:pic>
    <xdr:clientData/>
  </xdr:twoCellAnchor>
  <xdr:twoCellAnchor editAs="oneCell">
    <xdr:from>
      <xdr:col>0</xdr:col>
      <xdr:colOff>38100</xdr:colOff>
      <xdr:row>234</xdr:row>
      <xdr:rowOff>68580</xdr:rowOff>
    </xdr:from>
    <xdr:to>
      <xdr:col>0</xdr:col>
      <xdr:colOff>304800</xdr:colOff>
      <xdr:row>237</xdr:row>
      <xdr:rowOff>131445</xdr:rowOff>
    </xdr:to>
    <xdr:pic>
      <xdr:nvPicPr>
        <xdr:cNvPr id="19" name="Graphic 18" descr="Arrow Up with solid fill">
          <a:hlinkClick xmlns:r="http://schemas.openxmlformats.org/officeDocument/2006/relationships" r:id="rId9"/>
          <a:extLst>
            <a:ext uri="{FF2B5EF4-FFF2-40B4-BE49-F238E27FC236}">
              <a16:creationId xmlns:a16="http://schemas.microsoft.com/office/drawing/2014/main" id="{123A4C7B-13D1-4893-AD32-F5226FF2DAF5}"/>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l="28049" r="29268"/>
        <a:stretch/>
      </xdr:blipFill>
      <xdr:spPr>
        <a:xfrm>
          <a:off x="38100" y="42298620"/>
          <a:ext cx="266700" cy="624840"/>
        </a:xfrm>
        <a:prstGeom prst="rect">
          <a:avLst/>
        </a:prstGeom>
      </xdr:spPr>
    </xdr:pic>
    <xdr:clientData/>
  </xdr:twoCellAnchor>
  <xdr:twoCellAnchor>
    <xdr:from>
      <xdr:col>6</xdr:col>
      <xdr:colOff>1381125</xdr:colOff>
      <xdr:row>15</xdr:row>
      <xdr:rowOff>161925</xdr:rowOff>
    </xdr:from>
    <xdr:to>
      <xdr:col>7</xdr:col>
      <xdr:colOff>952500</xdr:colOff>
      <xdr:row>15</xdr:row>
      <xdr:rowOff>542925</xdr:rowOff>
    </xdr:to>
    <xdr:sp macro="" textlink="">
      <xdr:nvSpPr>
        <xdr:cNvPr id="10" name="TextBox 1">
          <a:extLst>
            <a:ext uri="{FF2B5EF4-FFF2-40B4-BE49-F238E27FC236}">
              <a16:creationId xmlns:a16="http://schemas.microsoft.com/office/drawing/2014/main" id="{B5C59DE2-5B8D-7DF8-4CE6-9FAF9E13CA86}"/>
            </a:ext>
            <a:ext uri="{147F2762-F138-4A5C-976F-8EAC2B608ADB}">
              <a16:predDERef xmlns:a16="http://schemas.microsoft.com/office/drawing/2014/main" pred="{123A4C7B-13D1-4893-AD32-F5226FF2DAF5}"/>
            </a:ext>
          </a:extLst>
        </xdr:cNvPr>
        <xdr:cNvSpPr txBox="1"/>
      </xdr:nvSpPr>
      <xdr:spPr>
        <a:xfrm>
          <a:off x="9296400" y="2943225"/>
          <a:ext cx="9906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419" sz="1100" b="1"/>
            <a:t>Detectores</a:t>
          </a:r>
        </a:p>
      </xdr:txBody>
    </xdr:sp>
    <xdr:clientData/>
  </xdr:twoCellAnchor>
  <xdr:twoCellAnchor>
    <xdr:from>
      <xdr:col>6</xdr:col>
      <xdr:colOff>1390651</xdr:colOff>
      <xdr:row>10</xdr:row>
      <xdr:rowOff>142875</xdr:rowOff>
    </xdr:from>
    <xdr:to>
      <xdr:col>7</xdr:col>
      <xdr:colOff>857251</xdr:colOff>
      <xdr:row>13</xdr:row>
      <xdr:rowOff>64770</xdr:rowOff>
    </xdr:to>
    <xdr:sp macro="" textlink="">
      <xdr:nvSpPr>
        <xdr:cNvPr id="9" name="TextBox 8">
          <a:extLst>
            <a:ext uri="{FF2B5EF4-FFF2-40B4-BE49-F238E27FC236}">
              <a16:creationId xmlns:a16="http://schemas.microsoft.com/office/drawing/2014/main" id="{F173FBDB-BC00-8076-9256-DC9383B1C82C}"/>
            </a:ext>
          </a:extLst>
        </xdr:cNvPr>
        <xdr:cNvSpPr txBox="1"/>
      </xdr:nvSpPr>
      <xdr:spPr>
        <a:xfrm>
          <a:off x="9525001" y="2019300"/>
          <a:ext cx="93345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419" sz="1100" b="1"/>
            <a:t>Fuentes Radiaactivas</a:t>
          </a:r>
          <a:r>
            <a:rPr lang="es-419" sz="1100" b="1" baseline="0"/>
            <a:t> </a:t>
          </a:r>
          <a:endParaRPr lang="es-419" sz="1100" b="1"/>
        </a:p>
      </xdr:txBody>
    </xdr:sp>
    <xdr:clientData/>
  </xdr:twoCellAnchor>
  <xdr:twoCellAnchor>
    <xdr:from>
      <xdr:col>6</xdr:col>
      <xdr:colOff>1381125</xdr:colOff>
      <xdr:row>6</xdr:row>
      <xdr:rowOff>0</xdr:rowOff>
    </xdr:from>
    <xdr:to>
      <xdr:col>7</xdr:col>
      <xdr:colOff>611506</xdr:colOff>
      <xdr:row>8</xdr:row>
      <xdr:rowOff>0</xdr:rowOff>
    </xdr:to>
    <xdr:sp macro="" textlink="">
      <xdr:nvSpPr>
        <xdr:cNvPr id="15" name="TextBox 14">
          <a:extLst>
            <a:ext uri="{FF2B5EF4-FFF2-40B4-BE49-F238E27FC236}">
              <a16:creationId xmlns:a16="http://schemas.microsoft.com/office/drawing/2014/main" id="{C150894A-0918-66FC-D441-3A94C2FAC337}"/>
            </a:ext>
          </a:extLst>
        </xdr:cNvPr>
        <xdr:cNvSpPr txBox="1"/>
      </xdr:nvSpPr>
      <xdr:spPr>
        <a:xfrm>
          <a:off x="9744075" y="1143000"/>
          <a:ext cx="792481"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419" sz="1100" b="1"/>
            <a:t>Equipos</a:t>
          </a:r>
        </a:p>
      </xdr:txBody>
    </xdr:sp>
    <xdr:clientData/>
  </xdr:twoCellAnchor>
  <xdr:twoCellAnchor>
    <xdr:from>
      <xdr:col>6</xdr:col>
      <xdr:colOff>1396365</xdr:colOff>
      <xdr:row>15</xdr:row>
      <xdr:rowOff>996501</xdr:rowOff>
    </xdr:from>
    <xdr:to>
      <xdr:col>7</xdr:col>
      <xdr:colOff>518160</xdr:colOff>
      <xdr:row>17</xdr:row>
      <xdr:rowOff>154491</xdr:rowOff>
    </xdr:to>
    <xdr:sp macro="" textlink="">
      <xdr:nvSpPr>
        <xdr:cNvPr id="20" name="TextBox 19">
          <a:extLst>
            <a:ext uri="{FF2B5EF4-FFF2-40B4-BE49-F238E27FC236}">
              <a16:creationId xmlns:a16="http://schemas.microsoft.com/office/drawing/2014/main" id="{ACD19EC7-E200-415B-3033-9AD64A4AC79B}"/>
            </a:ext>
          </a:extLst>
        </xdr:cNvPr>
        <xdr:cNvSpPr txBox="1"/>
      </xdr:nvSpPr>
      <xdr:spPr>
        <a:xfrm>
          <a:off x="9793605" y="3800661"/>
          <a:ext cx="676275" cy="560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419" sz="1100" b="1"/>
            <a:t>P.O.E.</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8387-1A4B-4768-8781-D8DFDB881D9A}">
  <sheetPr codeName="Sheet7">
    <tabColor rgb="FF0070C0"/>
  </sheetPr>
  <dimension ref="A2:CG265"/>
  <sheetViews>
    <sheetView showGridLines="0" showZeros="0" tabSelected="1" zoomScaleNormal="100" workbookViewId="0">
      <selection activeCell="B4" sqref="B4"/>
    </sheetView>
  </sheetViews>
  <sheetFormatPr defaultColWidth="8.88671875" defaultRowHeight="14.4" x14ac:dyDescent="0.3"/>
  <cols>
    <col min="1" max="1" width="5" bestFit="1" customWidth="1"/>
    <col min="2" max="2" width="5.33203125" customWidth="1"/>
    <col min="3" max="3" width="37.6640625" customWidth="1"/>
    <col min="4" max="4" width="27.6640625" customWidth="1"/>
    <col min="5" max="5" width="24.6640625" customWidth="1"/>
    <col min="6" max="6" width="18.33203125" bestFit="1" customWidth="1"/>
    <col min="7" max="7" width="21.33203125" bestFit="1" customWidth="1"/>
    <col min="8" max="8" width="21.5546875" bestFit="1" customWidth="1"/>
    <col min="9" max="9" width="16.6640625" bestFit="1" customWidth="1"/>
    <col min="10" max="10" width="27.5546875" bestFit="1" customWidth="1"/>
    <col min="11" max="11" width="18.6640625" bestFit="1" customWidth="1"/>
    <col min="12" max="14" width="17.6640625" customWidth="1"/>
    <col min="15" max="15" width="21.44140625" bestFit="1" customWidth="1"/>
    <col min="16" max="16" width="29" bestFit="1" customWidth="1"/>
    <col min="17" max="20" width="17.6640625" customWidth="1"/>
    <col min="21" max="21" width="21.33203125" bestFit="1" customWidth="1"/>
    <col min="22" max="45" width="17.6640625" customWidth="1"/>
    <col min="46" max="82" width="14.6640625" customWidth="1"/>
    <col min="83" max="85" width="15" customWidth="1"/>
  </cols>
  <sheetData>
    <row r="2" spans="1:10" ht="18" x14ac:dyDescent="0.35">
      <c r="A2" s="209"/>
      <c r="B2" s="208"/>
      <c r="C2" s="208"/>
      <c r="D2" s="208"/>
      <c r="E2" s="208"/>
      <c r="F2" s="208"/>
      <c r="G2" s="208"/>
      <c r="H2" s="208"/>
      <c r="I2" s="208"/>
      <c r="J2" s="208"/>
    </row>
    <row r="6" spans="1:10" ht="15" thickBot="1" x14ac:dyDescent="0.35"/>
    <row r="7" spans="1:10" ht="14.4" customHeight="1" thickTop="1" thickBot="1" x14ac:dyDescent="0.35">
      <c r="A7" s="457" t="s">
        <v>0</v>
      </c>
      <c r="B7" s="156" t="s">
        <v>1</v>
      </c>
      <c r="C7" s="159" t="s">
        <v>2</v>
      </c>
      <c r="D7" s="161"/>
      <c r="E7" s="163" t="s">
        <v>110</v>
      </c>
      <c r="H7" s="448"/>
    </row>
    <row r="8" spans="1:10" ht="15" thickTop="1" x14ac:dyDescent="0.3">
      <c r="A8" s="457"/>
      <c r="B8" s="157" cm="1">
        <f t="array" ref="B8:B18">_xlfn.SEQUENCE(COUNTA(C8:C18))</f>
        <v>1</v>
      </c>
      <c r="C8" s="129" t="s">
        <v>4</v>
      </c>
      <c r="D8" s="129"/>
      <c r="E8" s="162" t="str">
        <f>VLOOKUP(E7,LICENCIAS1,4,FALSE)</f>
        <v>A00.200/0602/2023</v>
      </c>
      <c r="H8" s="448"/>
    </row>
    <row r="9" spans="1:10" x14ac:dyDescent="0.3">
      <c r="A9" s="457"/>
      <c r="B9" s="158">
        <v>2</v>
      </c>
      <c r="C9" s="130" t="s">
        <v>5</v>
      </c>
      <c r="D9" s="130"/>
      <c r="E9" s="318" t="str">
        <f>VLOOKUP(E7,LICENCIAS1,11,FALSE)</f>
        <v>A00.1S.04/3410/2023</v>
      </c>
      <c r="H9" s="316"/>
    </row>
    <row r="10" spans="1:10" x14ac:dyDescent="0.3">
      <c r="A10" s="457"/>
      <c r="B10" s="157">
        <v>3</v>
      </c>
      <c r="C10" s="129" t="s">
        <v>6</v>
      </c>
      <c r="D10" s="129"/>
      <c r="E10" s="133">
        <f>VLOOKUP(E7,LICENCIAS1,5,FALSE)</f>
        <v>5224</v>
      </c>
      <c r="H10" s="195"/>
    </row>
    <row r="11" spans="1:10" x14ac:dyDescent="0.3">
      <c r="A11" s="457"/>
      <c r="B11" s="158">
        <v>4</v>
      </c>
      <c r="C11" s="130" t="s">
        <v>7</v>
      </c>
      <c r="D11" s="130"/>
      <c r="E11" s="131">
        <f>VLOOKUP(E7,LICENCIAS1,7,FALSE)</f>
        <v>45026</v>
      </c>
      <c r="H11" s="195"/>
    </row>
    <row r="12" spans="1:10" x14ac:dyDescent="0.3">
      <c r="A12" s="457"/>
      <c r="B12" s="157">
        <v>5</v>
      </c>
      <c r="C12" s="129" t="s">
        <v>8</v>
      </c>
      <c r="D12" s="129"/>
      <c r="E12" s="319">
        <f>VLOOKUP(E7,LICENCIAS1,8,FALSE)</f>
        <v>45757</v>
      </c>
      <c r="H12" s="448"/>
    </row>
    <row r="13" spans="1:10" x14ac:dyDescent="0.3">
      <c r="A13" s="457"/>
      <c r="B13" s="320">
        <v>6</v>
      </c>
      <c r="C13" s="321" t="s">
        <v>9</v>
      </c>
      <c r="D13" s="321"/>
      <c r="E13" s="132" t="str">
        <f ca="1">IF(E12=0,"",IF(E12-TODAY()&gt;60,"VIGENTE",IF(E12-TODAY()&lt;=0,"VENCIDO",IF(E12-TODAY()&lt;=60,"POR VENCER"))))</f>
        <v>VENCIDO</v>
      </c>
      <c r="H13" s="448"/>
    </row>
    <row r="14" spans="1:10" x14ac:dyDescent="0.3">
      <c r="A14" s="457"/>
      <c r="B14" s="157">
        <v>7</v>
      </c>
      <c r="C14" s="129" t="s">
        <v>10</v>
      </c>
      <c r="D14" s="129"/>
      <c r="E14" s="322">
        <f>VLOOKUP(E7,LICENCIAS1,9,FALSE)</f>
        <v>45352</v>
      </c>
      <c r="H14" s="195"/>
    </row>
    <row r="15" spans="1:10" x14ac:dyDescent="0.3">
      <c r="A15" s="457"/>
      <c r="B15" s="158">
        <v>8</v>
      </c>
      <c r="C15" s="130" t="s">
        <v>11</v>
      </c>
      <c r="D15" s="130"/>
      <c r="E15" s="132" t="str">
        <f ca="1">IF(E14=0,"",IF(E14-TODAY()&gt;60,"VIGENTE",IF(E14-TODAY()&lt;=0,"VENCIDO",IF(E14-TODAY()&lt;=60,"POR VENCER"))))</f>
        <v>VENCIDO</v>
      </c>
      <c r="H15" s="195"/>
    </row>
    <row r="16" spans="1:10" ht="102" customHeight="1" x14ac:dyDescent="0.3">
      <c r="A16" s="457"/>
      <c r="B16" s="157">
        <v>9</v>
      </c>
      <c r="C16" s="160" t="s">
        <v>12</v>
      </c>
      <c r="D16" s="455" t="str">
        <f>VLOOKUP(E7,LICENCIAS1,6,FALSE)</f>
        <v>INSPECCION ADUANERA - Aduana del Altamira</v>
      </c>
      <c r="E16" s="456"/>
      <c r="H16" s="314"/>
      <c r="I16" s="43"/>
      <c r="J16" s="43"/>
    </row>
    <row r="17" spans="1:85" x14ac:dyDescent="0.3">
      <c r="A17" s="457"/>
      <c r="B17" s="158">
        <v>10</v>
      </c>
      <c r="C17" s="130" t="s">
        <v>13</v>
      </c>
      <c r="D17" s="458" t="str">
        <f>VLOOKUP($E$7,LICENCIAS1,3,FALSE)</f>
        <v>Ing. Albert Alexander Secundo Ortiz</v>
      </c>
      <c r="E17" s="459"/>
      <c r="H17" s="448"/>
    </row>
    <row r="18" spans="1:85" x14ac:dyDescent="0.3">
      <c r="A18" s="457"/>
      <c r="B18" s="157">
        <v>11</v>
      </c>
      <c r="C18" s="129" t="s">
        <v>14</v>
      </c>
      <c r="D18" s="129"/>
      <c r="E18" s="133" t="str">
        <f>VLOOKUP($E$7,LICENCIAS1,2,FALSE)</f>
        <v>SEMAR</v>
      </c>
      <c r="H18" s="448"/>
    </row>
    <row r="23" spans="1:85" s="44" customFormat="1" ht="28.8" x14ac:dyDescent="0.3">
      <c r="A23" s="460"/>
      <c r="B23" s="134" t="s">
        <v>1</v>
      </c>
      <c r="C23" s="135" t="s">
        <v>15</v>
      </c>
      <c r="D23" s="135" t="s">
        <v>16</v>
      </c>
      <c r="E23" s="135" t="s">
        <v>17</v>
      </c>
      <c r="F23" s="135" t="s">
        <v>18</v>
      </c>
      <c r="G23" s="135" t="s">
        <v>19</v>
      </c>
      <c r="H23" s="136" t="s">
        <v>20</v>
      </c>
      <c r="I23" s="135" t="s">
        <v>21</v>
      </c>
      <c r="J23" s="326" t="s">
        <v>17</v>
      </c>
      <c r="K23" s="436" t="s">
        <v>22</v>
      </c>
      <c r="L23" s="437"/>
      <c r="M23" s="437"/>
      <c r="N23" s="438"/>
      <c r="O23" s="112"/>
      <c r="P23" s="112"/>
      <c r="Q23" s="112"/>
      <c r="R23" s="112"/>
      <c r="S23" s="113"/>
      <c r="T23" s="112"/>
      <c r="U23" s="112"/>
      <c r="V23" s="112"/>
      <c r="W23" s="112"/>
      <c r="X23" s="112"/>
      <c r="Y23" s="112"/>
      <c r="Z23" s="112"/>
      <c r="AA23" s="113"/>
      <c r="AB23" s="112"/>
      <c r="AC23" s="112"/>
      <c r="AD23" s="112"/>
      <c r="AE23" s="112"/>
      <c r="AF23" s="112"/>
      <c r="AG23" s="112"/>
      <c r="AH23" s="112"/>
      <c r="AI23" s="113"/>
      <c r="AJ23" s="112"/>
      <c r="AK23" s="112"/>
      <c r="AL23" s="112"/>
      <c r="AM23" s="112"/>
      <c r="AN23" s="112"/>
      <c r="AO23" s="112"/>
      <c r="AP23" s="112"/>
      <c r="AQ23" s="113"/>
      <c r="AR23" s="112"/>
      <c r="AS23" s="112"/>
      <c r="AT23" s="112"/>
      <c r="AU23" s="112"/>
      <c r="AV23" s="112"/>
      <c r="AW23" s="112"/>
      <c r="AX23" s="112"/>
      <c r="AY23" s="113"/>
      <c r="AZ23" s="112"/>
      <c r="BA23" s="112"/>
      <c r="BB23" s="112"/>
      <c r="BC23" s="112"/>
      <c r="BD23" s="112"/>
      <c r="BE23" s="112"/>
      <c r="BF23" s="112"/>
      <c r="BG23" s="113"/>
      <c r="BH23" s="112"/>
      <c r="BI23" s="112"/>
      <c r="BJ23" s="112"/>
      <c r="BK23" s="112"/>
      <c r="BL23" s="112"/>
      <c r="BM23" s="112"/>
      <c r="BN23" s="112"/>
      <c r="BO23" s="113"/>
      <c r="BP23" s="112"/>
      <c r="BQ23" s="112"/>
      <c r="BR23" s="112"/>
      <c r="BS23" s="112"/>
      <c r="BT23" s="112"/>
      <c r="BU23" s="112"/>
      <c r="BV23" s="112"/>
      <c r="BW23" s="113"/>
      <c r="BX23" s="112"/>
      <c r="BY23" s="112"/>
      <c r="BZ23" s="112"/>
      <c r="CA23" s="112"/>
      <c r="CB23" s="112"/>
      <c r="CC23" s="112"/>
      <c r="CD23" s="112"/>
      <c r="CE23" s="113"/>
      <c r="CF23" s="112"/>
      <c r="CG23" s="112"/>
    </row>
    <row r="24" spans="1:85" x14ac:dyDescent="0.3">
      <c r="A24" s="460"/>
      <c r="B24" s="126" cm="1">
        <f t="array" ref="B24:B63">_xlfn.SEQUENCE(COUNTA(C24:C64))</f>
        <v>1</v>
      </c>
      <c r="C24" s="142" t="str">
        <f>VLOOKUP($E$7,EQRX1,2,FALSE)</f>
        <v>ZBV</v>
      </c>
      <c r="D24" s="211" t="str">
        <f>VLOOKUP($E$7,EQRX1,3,FALSE)</f>
        <v>AS&amp;E INC</v>
      </c>
      <c r="E24" s="137" t="str">
        <f>VLOOKUP($E$7,EQRX1,4,FALSE)</f>
        <v>Pendiente</v>
      </c>
      <c r="F24" s="138" t="str">
        <f>VLOOKUP($E$7,EQRX1,5,FALSE)</f>
        <v>225 keV</v>
      </c>
      <c r="G24" s="188" t="str">
        <f>VLOOKUP($E$7,EQRX1,6,FALSE)</f>
        <v>13 mA</v>
      </c>
      <c r="H24" s="298" t="str">
        <f>VLOOKUP($E$7,EQRX1,7,FALSE)</f>
        <v>Rapiscan / AS&amp;E</v>
      </c>
      <c r="I24" s="138" t="str">
        <f>VLOOKUP($E$7,EQRX1,8,FALSE)</f>
        <v>N/A</v>
      </c>
      <c r="J24" s="324" t="str">
        <f>VLOOKUP($E$7,EQRX1,9,FALSE)</f>
        <v>Pendiente</v>
      </c>
      <c r="K24" s="439">
        <f>VLOOKUP($E$7,EQRX1,10,FALSE)</f>
        <v>0</v>
      </c>
      <c r="L24" s="440"/>
      <c r="M24" s="440"/>
      <c r="N24" s="441"/>
      <c r="O24" s="115"/>
      <c r="P24" s="116"/>
      <c r="Q24" s="111"/>
      <c r="R24" s="116"/>
      <c r="S24" s="117"/>
      <c r="T24" s="117"/>
      <c r="U24" s="117"/>
      <c r="V24" s="114"/>
      <c r="W24" s="118"/>
      <c r="X24" s="116"/>
      <c r="Y24" s="111"/>
      <c r="Z24" s="116"/>
      <c r="AA24" s="117"/>
      <c r="AB24" s="117"/>
      <c r="AC24" s="117"/>
      <c r="AD24" s="114"/>
      <c r="AE24" s="118"/>
      <c r="AF24" s="116"/>
      <c r="AG24" s="111"/>
      <c r="AH24" s="116"/>
      <c r="AI24" s="117"/>
      <c r="AJ24" s="117"/>
      <c r="AK24" s="117"/>
      <c r="AL24" s="114"/>
      <c r="AM24" s="118"/>
      <c r="AN24" s="116"/>
      <c r="AO24" s="111"/>
      <c r="AP24" s="116"/>
      <c r="AQ24" s="117"/>
      <c r="AR24" s="117"/>
      <c r="AS24" s="117"/>
      <c r="AT24" s="114"/>
      <c r="AU24" s="118"/>
      <c r="AV24" s="116"/>
      <c r="AW24" s="111"/>
      <c r="AX24" s="116"/>
      <c r="AY24" s="117"/>
      <c r="AZ24" s="117"/>
      <c r="BA24" s="117"/>
      <c r="BB24" s="114"/>
      <c r="BC24" s="118"/>
      <c r="BD24" s="116"/>
      <c r="BE24" s="111"/>
      <c r="BF24" s="116"/>
      <c r="BG24" s="117"/>
      <c r="BH24" s="117"/>
      <c r="BI24" s="117"/>
      <c r="BJ24" s="114"/>
      <c r="BK24" s="118"/>
      <c r="BL24" s="116"/>
      <c r="BM24" s="111"/>
      <c r="BN24" s="116"/>
      <c r="BO24" s="117"/>
      <c r="BP24" s="117"/>
      <c r="BQ24" s="117"/>
      <c r="BR24" s="114"/>
      <c r="BS24" s="118"/>
      <c r="BT24" s="116"/>
      <c r="BU24" s="111"/>
      <c r="BV24" s="116"/>
      <c r="BW24" s="117"/>
      <c r="BX24" s="117"/>
      <c r="BY24" s="117"/>
      <c r="BZ24" s="114"/>
      <c r="CA24" s="118"/>
      <c r="CB24" s="116"/>
      <c r="CC24" s="111"/>
      <c r="CD24" s="116"/>
      <c r="CE24" s="117"/>
      <c r="CF24" s="117"/>
      <c r="CG24" s="117"/>
    </row>
    <row r="25" spans="1:85" x14ac:dyDescent="0.3">
      <c r="A25" s="460"/>
      <c r="B25" s="127">
        <v>2</v>
      </c>
      <c r="C25" s="192" t="str">
        <f>VLOOKUP($E$7,EQRX1,12,FALSE)</f>
        <v>ZBV</v>
      </c>
      <c r="D25" s="212" t="str">
        <f>VLOOKUP($E$7,EQRX1,13,FALSE)</f>
        <v>AS&amp;E INC</v>
      </c>
      <c r="E25" s="139" t="str">
        <f>VLOOKUP($E$7,EQRX1,14,FALSE)</f>
        <v>Pendiente</v>
      </c>
      <c r="F25" s="140" t="str">
        <f>VLOOKUP($E$7,EQRX1,15,FALSE)</f>
        <v>225 keV</v>
      </c>
      <c r="G25" s="189" t="str">
        <f>VLOOKUP($E$7,EQRX1,16,FALSE)</f>
        <v>13 mA</v>
      </c>
      <c r="H25" s="299" t="str">
        <f>VLOOKUP($E$7,EQRX1,17,FALSE)</f>
        <v>Rapiscan / AS&amp;E</v>
      </c>
      <c r="I25" s="140" t="str">
        <f>VLOOKUP($E$7,EQRX1,18,FALSE)</f>
        <v>N/A</v>
      </c>
      <c r="J25" s="323" t="str">
        <f>VLOOKUP($E$7,EQRX1,19,FALSE)</f>
        <v>Pendiente</v>
      </c>
      <c r="K25" s="442">
        <f>VLOOKUP($E$7,EQRX1,20,FALSE)</f>
        <v>0</v>
      </c>
      <c r="L25" s="443"/>
      <c r="M25" s="443"/>
      <c r="N25" s="444"/>
      <c r="O25" s="115"/>
      <c r="P25" s="116"/>
      <c r="Q25" s="111"/>
      <c r="R25" s="116"/>
      <c r="S25" s="117"/>
      <c r="T25" s="117"/>
      <c r="U25" s="117"/>
      <c r="V25" s="114"/>
      <c r="W25" s="118"/>
      <c r="X25" s="116"/>
      <c r="Y25" s="111"/>
      <c r="Z25" s="116"/>
      <c r="AA25" s="117"/>
      <c r="AB25" s="117"/>
      <c r="AC25" s="117"/>
      <c r="AD25" s="114"/>
      <c r="AE25" s="118"/>
      <c r="AF25" s="116"/>
      <c r="AG25" s="111"/>
      <c r="AH25" s="116"/>
      <c r="AI25" s="117"/>
      <c r="AJ25" s="117"/>
      <c r="AK25" s="117"/>
      <c r="AL25" s="114"/>
      <c r="AM25" s="118"/>
      <c r="AN25" s="116"/>
      <c r="AO25" s="111"/>
      <c r="AP25" s="116"/>
      <c r="AQ25" s="117"/>
      <c r="AR25" s="117"/>
      <c r="AS25" s="117"/>
      <c r="AT25" s="114"/>
      <c r="AU25" s="118"/>
      <c r="AV25" s="116"/>
      <c r="AW25" s="111"/>
      <c r="AX25" s="116"/>
      <c r="AY25" s="117"/>
      <c r="AZ25" s="117"/>
      <c r="BA25" s="117"/>
      <c r="BB25" s="114"/>
      <c r="BC25" s="118"/>
      <c r="BD25" s="116"/>
      <c r="BE25" s="111"/>
      <c r="BF25" s="116"/>
      <c r="BG25" s="117"/>
      <c r="BH25" s="117"/>
      <c r="BI25" s="117"/>
      <c r="BJ25" s="114"/>
      <c r="BK25" s="118"/>
      <c r="BL25" s="116"/>
      <c r="BM25" s="111"/>
      <c r="BN25" s="116"/>
      <c r="BO25" s="117"/>
      <c r="BP25" s="117"/>
      <c r="BQ25" s="117"/>
      <c r="BR25" s="114"/>
      <c r="BS25" s="118"/>
      <c r="BT25" s="116"/>
      <c r="BU25" s="111"/>
      <c r="BV25" s="116"/>
      <c r="BW25" s="117"/>
      <c r="BX25" s="117"/>
      <c r="BY25" s="117"/>
      <c r="BZ25" s="114"/>
      <c r="CA25" s="118"/>
      <c r="CB25" s="116"/>
      <c r="CC25" s="111"/>
      <c r="CD25" s="116"/>
      <c r="CE25" s="117"/>
      <c r="CF25" s="117"/>
      <c r="CG25" s="117"/>
    </row>
    <row r="26" spans="1:85" x14ac:dyDescent="0.3">
      <c r="A26" s="460"/>
      <c r="B26" s="126">
        <v>3</v>
      </c>
      <c r="C26" s="142" t="str">
        <f>VLOOKUP($E$7,EQRX1,22,FALSE)</f>
        <v>ZBV</v>
      </c>
      <c r="D26" s="211" t="str">
        <f>VLOOKUP($E$7,EQRX1,23,FALSE)</f>
        <v>AS&amp;E INC</v>
      </c>
      <c r="E26" s="137" t="str">
        <f>VLOOKUP($E$7,EQRX1,24,FALSE)</f>
        <v>Pendiente</v>
      </c>
      <c r="F26" s="138" t="str">
        <f>VLOOKUP($E$7,EQRX1,25,FALSE)</f>
        <v>225 keV</v>
      </c>
      <c r="G26" s="188" t="str">
        <f>VLOOKUP($E$7,EQRX1,26,FALSE)</f>
        <v>13 mA</v>
      </c>
      <c r="H26" s="298" t="str">
        <f>VLOOKUP($E$7,EQRX1,27,FALSE)</f>
        <v>Rapiscan / AS&amp;E</v>
      </c>
      <c r="I26" s="138" t="str">
        <f>VLOOKUP($E$7,EQRX1,28,FALSE)</f>
        <v>N/A</v>
      </c>
      <c r="J26" s="324" t="str">
        <f>VLOOKUP($E$7,EQRX1,29,FALSE)</f>
        <v>Pendiente</v>
      </c>
      <c r="K26" s="433">
        <f>VLOOKUP($E$7,EQRX1,30,FALSE)</f>
        <v>0</v>
      </c>
      <c r="L26" s="434"/>
      <c r="M26" s="434"/>
      <c r="N26" s="435"/>
      <c r="O26" s="115"/>
      <c r="P26" s="116"/>
      <c r="Q26" s="111"/>
      <c r="R26" s="116"/>
      <c r="S26" s="117"/>
      <c r="T26" s="117"/>
      <c r="U26" s="117"/>
      <c r="V26" s="114"/>
      <c r="W26" s="118"/>
      <c r="X26" s="116"/>
      <c r="Y26" s="111"/>
      <c r="Z26" s="116"/>
      <c r="AA26" s="117"/>
      <c r="AB26" s="117"/>
      <c r="AC26" s="117"/>
      <c r="AD26" s="114"/>
      <c r="AE26" s="118"/>
      <c r="AF26" s="116"/>
      <c r="AG26" s="111"/>
      <c r="AH26" s="116"/>
      <c r="AI26" s="117"/>
      <c r="AJ26" s="117"/>
      <c r="AK26" s="117"/>
      <c r="AL26" s="114"/>
      <c r="AM26" s="118"/>
      <c r="AN26" s="116"/>
      <c r="AO26" s="111"/>
      <c r="AP26" s="116"/>
      <c r="AQ26" s="117"/>
      <c r="AR26" s="117"/>
      <c r="AS26" s="117"/>
      <c r="AT26" s="114"/>
      <c r="AU26" s="118"/>
      <c r="AV26" s="116"/>
      <c r="AW26" s="111"/>
      <c r="AX26" s="116"/>
      <c r="AY26" s="117"/>
      <c r="AZ26" s="117"/>
      <c r="BA26" s="117"/>
      <c r="BB26" s="114"/>
      <c r="BC26" s="118"/>
      <c r="BD26" s="116"/>
      <c r="BE26" s="111"/>
      <c r="BF26" s="116"/>
      <c r="BG26" s="117"/>
      <c r="BH26" s="117"/>
      <c r="BI26" s="117"/>
      <c r="BJ26" s="114"/>
      <c r="BK26" s="118"/>
      <c r="BL26" s="116"/>
      <c r="BM26" s="111"/>
      <c r="BN26" s="116"/>
      <c r="BO26" s="117"/>
      <c r="BP26" s="117"/>
      <c r="BQ26" s="117"/>
      <c r="BR26" s="114"/>
      <c r="BS26" s="118"/>
      <c r="BT26" s="116"/>
      <c r="BU26" s="111"/>
      <c r="BV26" s="116"/>
      <c r="BW26" s="117"/>
      <c r="BX26" s="117"/>
      <c r="BY26" s="117"/>
      <c r="BZ26" s="114"/>
      <c r="CA26" s="118"/>
      <c r="CB26" s="116"/>
      <c r="CC26" s="111"/>
      <c r="CD26" s="116"/>
      <c r="CE26" s="117"/>
      <c r="CF26" s="117"/>
      <c r="CG26" s="117"/>
    </row>
    <row r="27" spans="1:85" x14ac:dyDescent="0.3">
      <c r="A27" s="460"/>
      <c r="B27" s="127">
        <v>4</v>
      </c>
      <c r="C27" s="192" t="str">
        <f>VLOOKUP($E$7,EQRX1,32,FALSE)</f>
        <v>Eagle M60</v>
      </c>
      <c r="D27" s="212" t="str">
        <f>VLOOKUP($E$7,EQRX1,33,FALSE)</f>
        <v>Rapiscan Systems</v>
      </c>
      <c r="E27" s="139" t="str">
        <f>VLOOKUP($E$7,EQRX1,34,FALSE)</f>
        <v>Pendiente</v>
      </c>
      <c r="F27" s="140" t="str">
        <f>VLOOKUP($E$7,EQRX1,35,FALSE)</f>
        <v>6 MeV</v>
      </c>
      <c r="G27" s="189" t="str">
        <f>VLOOKUP($E$7,EQRX1,36,FALSE)</f>
        <v>1 mA</v>
      </c>
      <c r="H27" s="299" t="str">
        <f>VLOOKUP($E$7,EQRX1,37,FALSE)</f>
        <v>Rapiscan / AS&amp;E</v>
      </c>
      <c r="I27" s="140" t="str">
        <f>VLOOKUP($E$7,EQRX1,38,FALSE)</f>
        <v>Mi6SSD</v>
      </c>
      <c r="J27" s="323" t="str">
        <f>VLOOKUP($E$7,EQRX1,39,FALSE)</f>
        <v>Pendiente</v>
      </c>
      <c r="K27" s="445">
        <f>VLOOKUP($E$7,EQRX1,40,FALSE)</f>
        <v>0</v>
      </c>
      <c r="L27" s="446"/>
      <c r="M27" s="446"/>
      <c r="N27" s="447"/>
      <c r="O27" s="115"/>
      <c r="P27" s="116"/>
      <c r="Q27" s="111"/>
      <c r="R27" s="116"/>
      <c r="S27" s="117"/>
      <c r="T27" s="117"/>
      <c r="U27" s="117"/>
      <c r="V27" s="114"/>
      <c r="W27" s="118"/>
      <c r="X27" s="116"/>
      <c r="Y27" s="111"/>
      <c r="Z27" s="116"/>
      <c r="AA27" s="117"/>
      <c r="AB27" s="117"/>
      <c r="AC27" s="117"/>
      <c r="AD27" s="114"/>
      <c r="AE27" s="118"/>
      <c r="AF27" s="116"/>
      <c r="AG27" s="111"/>
      <c r="AH27" s="116"/>
      <c r="AI27" s="117"/>
      <c r="AJ27" s="117"/>
      <c r="AK27" s="117"/>
      <c r="AL27" s="114"/>
      <c r="AM27" s="118"/>
      <c r="AN27" s="116"/>
      <c r="AO27" s="111"/>
      <c r="AP27" s="116"/>
      <c r="AQ27" s="117"/>
      <c r="AR27" s="117"/>
      <c r="AS27" s="117"/>
      <c r="AT27" s="114"/>
      <c r="AU27" s="118"/>
      <c r="AV27" s="116"/>
      <c r="AW27" s="111"/>
      <c r="AX27" s="116"/>
      <c r="AY27" s="117"/>
      <c r="AZ27" s="117"/>
      <c r="BA27" s="117"/>
      <c r="BB27" s="114"/>
      <c r="BC27" s="118"/>
      <c r="BD27" s="116"/>
      <c r="BE27" s="111"/>
      <c r="BF27" s="116"/>
      <c r="BG27" s="117"/>
      <c r="BH27" s="117"/>
      <c r="BI27" s="117"/>
      <c r="BJ27" s="114"/>
      <c r="BK27" s="118"/>
      <c r="BL27" s="116"/>
      <c r="BM27" s="111"/>
      <c r="BN27" s="116"/>
      <c r="BO27" s="117"/>
      <c r="BP27" s="117"/>
      <c r="BQ27" s="117"/>
      <c r="BR27" s="114"/>
      <c r="BS27" s="118"/>
      <c r="BT27" s="116"/>
      <c r="BU27" s="111"/>
      <c r="BV27" s="116"/>
      <c r="BW27" s="117"/>
      <c r="BX27" s="117"/>
      <c r="BY27" s="117"/>
      <c r="BZ27" s="114"/>
      <c r="CA27" s="118"/>
      <c r="CB27" s="116"/>
      <c r="CC27" s="111"/>
      <c r="CD27" s="116"/>
      <c r="CE27" s="117"/>
      <c r="CF27" s="117"/>
      <c r="CG27" s="117"/>
    </row>
    <row r="28" spans="1:85" x14ac:dyDescent="0.3">
      <c r="A28" s="460"/>
      <c r="B28" s="126">
        <v>5</v>
      </c>
      <c r="C28" s="142" t="str">
        <f>VLOOKUP($E$7,EQRX1,42,FALSE)</f>
        <v>Eagle G60</v>
      </c>
      <c r="D28" s="211" t="str">
        <f>VLOOKUP($E$7,EQRX1,43,FALSE)</f>
        <v>Rapiscan Systems</v>
      </c>
      <c r="E28" s="137" t="str">
        <f>VLOOKUP($E$7,EQRX1,44,FALSE)</f>
        <v>G6005-142</v>
      </c>
      <c r="F28" s="138" t="str">
        <f>VLOOKUP($E$7,EQRX1,45,FALSE)</f>
        <v>6 MeV</v>
      </c>
      <c r="G28" s="188">
        <f>VLOOKUP($E$7,EQRX1,46,FALSE)</f>
        <v>125</v>
      </c>
      <c r="H28" s="298" t="str">
        <f>VLOOKUP($E$7,EQRX1,47,FALSE)</f>
        <v>Varex Imaging</v>
      </c>
      <c r="I28" s="138" t="str">
        <f>VLOOKUP($E$7,EQRX1,48,FALSE)</f>
        <v>Mi6</v>
      </c>
      <c r="J28" s="324" t="str">
        <f>VLOOKUP($E$7,EQRX1,49,FALSE)</f>
        <v>H3G6304</v>
      </c>
      <c r="K28" s="433">
        <f>VLOOKUP($E$7,EQRX1,50,FALSE)</f>
        <v>0</v>
      </c>
      <c r="L28" s="434"/>
      <c r="M28" s="434"/>
      <c r="N28" s="435"/>
      <c r="O28" s="115"/>
      <c r="P28" s="116"/>
      <c r="Q28" s="111"/>
      <c r="R28" s="116"/>
      <c r="S28" s="117"/>
      <c r="T28" s="117"/>
      <c r="U28" s="117"/>
      <c r="V28" s="114"/>
      <c r="W28" s="118"/>
      <c r="X28" s="116"/>
      <c r="Y28" s="111"/>
      <c r="Z28" s="116"/>
      <c r="AA28" s="117"/>
      <c r="AB28" s="117"/>
      <c r="AC28" s="117"/>
      <c r="AD28" s="114"/>
      <c r="AE28" s="118"/>
      <c r="AF28" s="116"/>
      <c r="AG28" s="111"/>
      <c r="AH28" s="116"/>
      <c r="AI28" s="117"/>
      <c r="AJ28" s="117"/>
      <c r="AK28" s="117"/>
      <c r="AL28" s="114"/>
      <c r="AM28" s="118"/>
      <c r="AN28" s="116"/>
      <c r="AO28" s="111"/>
      <c r="AP28" s="116"/>
      <c r="AQ28" s="117"/>
      <c r="AR28" s="117"/>
      <c r="AS28" s="117"/>
      <c r="AT28" s="114"/>
      <c r="AU28" s="118"/>
      <c r="AV28" s="116"/>
      <c r="AW28" s="111"/>
      <c r="AX28" s="116"/>
      <c r="AY28" s="117"/>
      <c r="AZ28" s="117"/>
      <c r="BA28" s="117"/>
      <c r="BB28" s="114"/>
      <c r="BC28" s="118"/>
      <c r="BD28" s="116"/>
      <c r="BE28" s="111"/>
      <c r="BF28" s="116"/>
      <c r="BG28" s="117"/>
      <c r="BH28" s="117"/>
      <c r="BI28" s="117"/>
      <c r="BJ28" s="114"/>
      <c r="BK28" s="118"/>
      <c r="BL28" s="116"/>
      <c r="BM28" s="111"/>
      <c r="BN28" s="116"/>
      <c r="BO28" s="117"/>
      <c r="BP28" s="117"/>
      <c r="BQ28" s="117"/>
      <c r="BR28" s="114"/>
      <c r="BS28" s="118"/>
      <c r="BT28" s="116"/>
      <c r="BU28" s="111"/>
      <c r="BV28" s="116"/>
      <c r="BW28" s="117"/>
      <c r="BX28" s="117"/>
      <c r="BY28" s="117"/>
      <c r="BZ28" s="114"/>
      <c r="CA28" s="118"/>
      <c r="CB28" s="116"/>
      <c r="CC28" s="111"/>
      <c r="CD28" s="116"/>
      <c r="CE28" s="117"/>
      <c r="CF28" s="117"/>
      <c r="CG28" s="117"/>
    </row>
    <row r="29" spans="1:85" x14ac:dyDescent="0.3">
      <c r="A29" s="460"/>
      <c r="B29" s="127">
        <v>6</v>
      </c>
      <c r="C29" s="192" t="str">
        <f>VLOOKUP($E$7,EQRX1,52,FALSE)</f>
        <v>G60</v>
      </c>
      <c r="D29" s="212" t="str">
        <f>VLOOKUP($E$7,EQRX1,53,FALSE)</f>
        <v>Rapiscan Systems</v>
      </c>
      <c r="E29" s="139" t="str">
        <f>VLOOKUP($E$7,EQRX1,54,FALSE)</f>
        <v>G6005-142</v>
      </c>
      <c r="F29" s="140" t="str">
        <f>VLOOKUP($E$7,EQRX1,55,FALSE)</f>
        <v>6 MeV</v>
      </c>
      <c r="G29" s="189">
        <f>VLOOKUP($E$7,EQRX1,56,FALSE)</f>
        <v>125</v>
      </c>
      <c r="H29" s="299" t="str">
        <f>VLOOKUP($E$7,EQRX1,57,FALSE)</f>
        <v>Varex Imaging</v>
      </c>
      <c r="I29" s="140" t="str">
        <f>VLOOKUP($E$7,EQRX1,58,FALSE)</f>
        <v>Mi6SSM</v>
      </c>
      <c r="J29" s="140" t="str">
        <f>VLOOKUP($E$7,EQRX1,59,FALSE)</f>
        <v>Pendiente</v>
      </c>
      <c r="K29" s="430">
        <f>VLOOKUP($E$7,EQRX1,60,FALSE)</f>
        <v>0</v>
      </c>
      <c r="L29" s="431"/>
      <c r="M29" s="431"/>
      <c r="N29" s="432"/>
      <c r="O29" s="115"/>
      <c r="P29" s="116"/>
      <c r="Q29" s="111"/>
      <c r="R29" s="116"/>
      <c r="S29" s="117"/>
      <c r="T29" s="117"/>
      <c r="U29" s="117"/>
      <c r="V29" s="114"/>
      <c r="W29" s="118"/>
      <c r="X29" s="116"/>
      <c r="Y29" s="111"/>
      <c r="Z29" s="116"/>
      <c r="AA29" s="117"/>
      <c r="AB29" s="117"/>
      <c r="AC29" s="117"/>
      <c r="AD29" s="114"/>
      <c r="AE29" s="118"/>
      <c r="AF29" s="116"/>
      <c r="AG29" s="111"/>
      <c r="AH29" s="116"/>
      <c r="AI29" s="117"/>
      <c r="AJ29" s="117"/>
      <c r="AK29" s="117"/>
      <c r="AL29" s="114"/>
      <c r="AM29" s="118"/>
      <c r="AN29" s="116"/>
      <c r="AO29" s="111"/>
      <c r="AP29" s="116"/>
      <c r="AQ29" s="117"/>
      <c r="AR29" s="117"/>
      <c r="AS29" s="117"/>
      <c r="AT29" s="114"/>
      <c r="AU29" s="118"/>
      <c r="AV29" s="116"/>
      <c r="AW29" s="111"/>
      <c r="AX29" s="116"/>
      <c r="AY29" s="117"/>
      <c r="AZ29" s="117"/>
      <c r="BA29" s="117"/>
      <c r="BB29" s="114"/>
      <c r="BC29" s="118"/>
      <c r="BD29" s="116"/>
      <c r="BE29" s="111"/>
      <c r="BF29" s="116"/>
      <c r="BG29" s="117"/>
      <c r="BH29" s="117"/>
      <c r="BI29" s="117"/>
      <c r="BJ29" s="114"/>
      <c r="BK29" s="118"/>
      <c r="BL29" s="116"/>
      <c r="BM29" s="111"/>
      <c r="BN29" s="116"/>
      <c r="BO29" s="117"/>
      <c r="BP29" s="117"/>
      <c r="BQ29" s="117"/>
      <c r="BR29" s="114"/>
      <c r="BS29" s="118"/>
      <c r="BT29" s="116"/>
      <c r="BU29" s="111"/>
      <c r="BV29" s="116"/>
      <c r="BW29" s="117"/>
      <c r="BX29" s="117"/>
      <c r="BY29" s="117"/>
      <c r="BZ29" s="114"/>
      <c r="CA29" s="118"/>
      <c r="CB29" s="116"/>
      <c r="CC29" s="111"/>
      <c r="CD29" s="116"/>
      <c r="CE29" s="117"/>
      <c r="CF29" s="117"/>
      <c r="CG29" s="117"/>
    </row>
    <row r="30" spans="1:85" x14ac:dyDescent="0.3">
      <c r="A30" s="460"/>
      <c r="B30" s="126">
        <v>7</v>
      </c>
      <c r="C30" s="142" t="str">
        <f>VLOOKUP($E$7,EQRX1,62,FALSE)</f>
        <v>Vacis M6500</v>
      </c>
      <c r="D30" s="211" t="str">
        <f>VLOOKUP($E$7,EQRX1,63,FALSE)</f>
        <v>SAIV VACIS (LEIDOS)</v>
      </c>
      <c r="E30" s="137" t="str">
        <f>VLOOKUP($E$7,EQRX1,64,FALSE)</f>
        <v>VMX0003</v>
      </c>
      <c r="F30" s="138" t="str">
        <f>VLOOKUP($E$7,EQRX1,65,FALSE)</f>
        <v>7.5 MeV</v>
      </c>
      <c r="G30" s="188" t="str">
        <f>VLOOKUP($E$7,EQRX1,66,FALSE)</f>
        <v>1.2 mA</v>
      </c>
      <c r="H30" s="298" t="str">
        <f>VLOOKUP($E$7,EQRX1,67,FALSE)</f>
        <v>JME</v>
      </c>
      <c r="I30" s="138" t="str">
        <f>VLOOKUP($E$7,EQRX1,68,FALSE)</f>
        <v>PXB-7.55</v>
      </c>
      <c r="J30" s="324">
        <f>VLOOKUP($E$7,EQRX1,69,FALSE)</f>
        <v>66699</v>
      </c>
      <c r="K30" s="433">
        <f>VLOOKUP($E$7,EQRX1,70,FALSE)</f>
        <v>0</v>
      </c>
      <c r="L30" s="434"/>
      <c r="M30" s="434"/>
      <c r="N30" s="435"/>
      <c r="O30" s="115"/>
      <c r="P30" s="116"/>
      <c r="Q30" s="111"/>
      <c r="R30" s="116"/>
      <c r="S30" s="117"/>
      <c r="T30" s="117"/>
      <c r="U30" s="117"/>
      <c r="V30" s="114"/>
      <c r="W30" s="118"/>
      <c r="X30" s="116"/>
      <c r="Y30" s="111"/>
      <c r="Z30" s="116"/>
      <c r="AA30" s="117"/>
      <c r="AB30" s="117"/>
      <c r="AC30" s="117"/>
      <c r="AD30" s="114"/>
      <c r="AE30" s="118"/>
      <c r="AF30" s="116"/>
      <c r="AG30" s="111"/>
      <c r="AH30" s="116"/>
      <c r="AI30" s="117"/>
      <c r="AJ30" s="117"/>
      <c r="AK30" s="117"/>
      <c r="AL30" s="114"/>
      <c r="AM30" s="118"/>
      <c r="AN30" s="116"/>
      <c r="AO30" s="111"/>
      <c r="AP30" s="116"/>
      <c r="AQ30" s="117"/>
      <c r="AR30" s="117"/>
      <c r="AS30" s="117"/>
      <c r="AT30" s="114"/>
      <c r="AU30" s="118"/>
      <c r="AV30" s="116"/>
      <c r="AW30" s="111"/>
      <c r="AX30" s="116"/>
      <c r="AY30" s="117"/>
      <c r="AZ30" s="117"/>
      <c r="BA30" s="117"/>
      <c r="BB30" s="114"/>
      <c r="BC30" s="118"/>
      <c r="BD30" s="116"/>
      <c r="BE30" s="111"/>
      <c r="BF30" s="116"/>
      <c r="BG30" s="117"/>
      <c r="BH30" s="117"/>
      <c r="BI30" s="117"/>
      <c r="BJ30" s="114"/>
      <c r="BK30" s="118"/>
      <c r="BL30" s="116"/>
      <c r="BM30" s="111"/>
      <c r="BN30" s="116"/>
      <c r="BO30" s="117"/>
      <c r="BP30" s="117"/>
      <c r="BQ30" s="117"/>
      <c r="BR30" s="114"/>
      <c r="BS30" s="118"/>
      <c r="BT30" s="116"/>
      <c r="BU30" s="111"/>
      <c r="BV30" s="116"/>
      <c r="BW30" s="117"/>
      <c r="BX30" s="117"/>
      <c r="BY30" s="117"/>
      <c r="BZ30" s="114"/>
      <c r="CA30" s="118"/>
      <c r="CB30" s="116"/>
      <c r="CC30" s="111"/>
      <c r="CD30" s="116"/>
      <c r="CE30" s="117"/>
      <c r="CF30" s="117"/>
      <c r="CG30" s="117"/>
    </row>
    <row r="31" spans="1:85" x14ac:dyDescent="0.3">
      <c r="A31" s="460"/>
      <c r="B31" s="127">
        <v>8</v>
      </c>
      <c r="C31" s="192" t="str">
        <f>VLOOKUP($E$7,EQRX1,72,FALSE)</f>
        <v>Vacis M6500</v>
      </c>
      <c r="D31" s="212" t="str">
        <f>VLOOKUP($E$7,EQRX1,73,FALSE)</f>
        <v>SAIV VACIS (LEIDOS)</v>
      </c>
      <c r="E31" s="139" t="str">
        <f>VLOOKUP($E$7,EQRX1,74,FALSE)</f>
        <v>VXML00016</v>
      </c>
      <c r="F31" s="140" t="str">
        <f>VLOOKUP($E$7,EQRX1,75,FALSE)</f>
        <v>7.5 MeV</v>
      </c>
      <c r="G31" s="189" t="str">
        <f>VLOOKUP($E$7,EQRX1,76,FALSE)</f>
        <v>1.2 mA</v>
      </c>
      <c r="H31" s="299" t="str">
        <f>VLOOKUP($E$7,EQRX1,77,FALSE)</f>
        <v>JME</v>
      </c>
      <c r="I31" s="140" t="str">
        <f>VLOOKUP($E$7,EQRX1,78,FALSE)</f>
        <v>PXB-7.55</v>
      </c>
      <c r="J31" s="140">
        <f>VLOOKUP($E$7,EQRX1,79,FALSE)</f>
        <v>1515979</v>
      </c>
      <c r="K31" s="430">
        <f>VLOOKUP($E$7,EQRX1,80,FALSE)</f>
        <v>0</v>
      </c>
      <c r="L31" s="431"/>
      <c r="M31" s="431"/>
      <c r="N31" s="432"/>
      <c r="O31" s="115"/>
      <c r="P31" s="116"/>
      <c r="Q31" s="111"/>
      <c r="R31" s="116"/>
      <c r="S31" s="117"/>
      <c r="T31" s="117"/>
      <c r="U31" s="117"/>
      <c r="V31" s="114"/>
      <c r="W31" s="118"/>
      <c r="X31" s="116"/>
      <c r="Y31" s="111"/>
      <c r="Z31" s="116"/>
      <c r="AA31" s="117"/>
      <c r="AB31" s="117"/>
      <c r="AC31" s="117"/>
      <c r="AD31" s="114"/>
      <c r="AE31" s="118"/>
      <c r="AF31" s="116"/>
      <c r="AG31" s="111"/>
      <c r="AH31" s="116"/>
      <c r="AI31" s="117"/>
      <c r="AJ31" s="117"/>
      <c r="AK31" s="117"/>
      <c r="AL31" s="114"/>
      <c r="AM31" s="118"/>
      <c r="AN31" s="116"/>
      <c r="AO31" s="111"/>
      <c r="AP31" s="116"/>
      <c r="AQ31" s="117"/>
      <c r="AR31" s="117"/>
      <c r="AS31" s="117"/>
      <c r="AT31" s="114"/>
      <c r="AU31" s="118"/>
      <c r="AV31" s="116"/>
      <c r="AW31" s="111"/>
      <c r="AX31" s="116"/>
      <c r="AY31" s="117"/>
      <c r="AZ31" s="117"/>
      <c r="BA31" s="117"/>
      <c r="BB31" s="114"/>
      <c r="BC31" s="118"/>
      <c r="BD31" s="116"/>
      <c r="BE31" s="111"/>
      <c r="BF31" s="116"/>
      <c r="BG31" s="117"/>
      <c r="BH31" s="117"/>
      <c r="BI31" s="117"/>
      <c r="BJ31" s="114"/>
      <c r="BK31" s="118"/>
      <c r="BL31" s="116"/>
      <c r="BM31" s="111"/>
      <c r="BN31" s="116"/>
      <c r="BO31" s="117"/>
      <c r="BP31" s="117"/>
      <c r="BQ31" s="117"/>
      <c r="BR31" s="114"/>
      <c r="BS31" s="118"/>
      <c r="BT31" s="116"/>
      <c r="BU31" s="111"/>
      <c r="BV31" s="116"/>
      <c r="BW31" s="117"/>
      <c r="BX31" s="117"/>
      <c r="BY31" s="117"/>
      <c r="BZ31" s="114"/>
      <c r="CA31" s="118"/>
      <c r="CB31" s="116"/>
      <c r="CC31" s="111"/>
      <c r="CD31" s="116"/>
      <c r="CE31" s="117"/>
      <c r="CF31" s="117"/>
      <c r="CG31" s="117"/>
    </row>
    <row r="32" spans="1:85" x14ac:dyDescent="0.3">
      <c r="A32" s="460"/>
      <c r="B32" s="126">
        <v>9</v>
      </c>
      <c r="C32" s="142" t="str">
        <f>VLOOKUP($E$7,EQRX1,82,FALSE)</f>
        <v>Nuctech MT1213DE</v>
      </c>
      <c r="D32" s="211" t="str">
        <f>VLOOKUP($E$7,EQRX1,83,FALSE)</f>
        <v>Nuctech Company Limited</v>
      </c>
      <c r="E32" s="137" t="str">
        <f>VLOOKUP($E$7,EQRX1,84,FALSE)</f>
        <v>TFN CK-11067</v>
      </c>
      <c r="F32" s="138" t="str">
        <f>VLOOKUP($E$7,EQRX1,85,FALSE)</f>
        <v>6 MeV</v>
      </c>
      <c r="G32" s="188" t="str">
        <f>VLOOKUP($E$7,EQRX1,86,FALSE)</f>
        <v>1 mA</v>
      </c>
      <c r="H32" s="298" t="str">
        <f>VLOOKUP($E$7,EQRX1,87,FALSE)</f>
        <v>Nuctech Company Limited</v>
      </c>
      <c r="I32" s="138" t="str">
        <f>VLOOKUP($E$7,EQRX1,88,FALSE)</f>
        <v>HEXTRON-6D/24</v>
      </c>
      <c r="J32" s="324" t="str">
        <f>VLOOKUP($E$7,EQRX1,89,FALSE)</f>
        <v>MTH6X2-160059</v>
      </c>
      <c r="K32" s="433">
        <f>VLOOKUP($E$7,EQRX1,90,FALSE)</f>
        <v>0</v>
      </c>
      <c r="L32" s="434"/>
      <c r="M32" s="434"/>
      <c r="N32" s="435"/>
      <c r="O32" s="115"/>
      <c r="P32" s="116"/>
      <c r="Q32" s="111"/>
      <c r="R32" s="116"/>
      <c r="S32" s="117"/>
      <c r="T32" s="117"/>
      <c r="U32" s="117"/>
      <c r="V32" s="114"/>
      <c r="W32" s="118"/>
      <c r="X32" s="116"/>
      <c r="Y32" s="111"/>
      <c r="Z32" s="116"/>
      <c r="AA32" s="117"/>
      <c r="AB32" s="117"/>
      <c r="AC32" s="117"/>
      <c r="AD32" s="114"/>
      <c r="AE32" s="118"/>
      <c r="AF32" s="116"/>
      <c r="AG32" s="111"/>
      <c r="AH32" s="116"/>
      <c r="AI32" s="117"/>
      <c r="AJ32" s="117"/>
      <c r="AK32" s="117"/>
      <c r="AL32" s="114"/>
      <c r="AM32" s="118"/>
      <c r="AN32" s="116"/>
      <c r="AO32" s="111"/>
      <c r="AP32" s="116"/>
      <c r="AQ32" s="117"/>
      <c r="AR32" s="117"/>
      <c r="AS32" s="117"/>
      <c r="AT32" s="114"/>
      <c r="AU32" s="118"/>
      <c r="AV32" s="116"/>
      <c r="AW32" s="111"/>
      <c r="AX32" s="116"/>
      <c r="AY32" s="117"/>
      <c r="AZ32" s="117"/>
      <c r="BA32" s="117"/>
      <c r="BB32" s="114"/>
      <c r="BC32" s="118"/>
      <c r="BD32" s="116"/>
      <c r="BE32" s="111"/>
      <c r="BF32" s="116"/>
      <c r="BG32" s="117"/>
      <c r="BH32" s="117"/>
      <c r="BI32" s="117"/>
      <c r="BJ32" s="114"/>
      <c r="BK32" s="118"/>
      <c r="BL32" s="116"/>
      <c r="BM32" s="111"/>
      <c r="BN32" s="116"/>
      <c r="BO32" s="117"/>
      <c r="BP32" s="117"/>
      <c r="BQ32" s="117"/>
      <c r="BR32" s="114"/>
      <c r="BS32" s="118"/>
      <c r="BT32" s="116"/>
      <c r="BU32" s="111"/>
      <c r="BV32" s="116"/>
      <c r="BW32" s="117"/>
      <c r="BX32" s="117"/>
      <c r="BY32" s="117"/>
      <c r="BZ32" s="114"/>
      <c r="CA32" s="118"/>
      <c r="CB32" s="116"/>
      <c r="CC32" s="111"/>
      <c r="CD32" s="116"/>
      <c r="CE32" s="117"/>
      <c r="CF32" s="117"/>
      <c r="CG32" s="117"/>
    </row>
    <row r="33" spans="1:85" x14ac:dyDescent="0.3">
      <c r="A33" s="460"/>
      <c r="B33" s="127">
        <v>10</v>
      </c>
      <c r="C33" s="192">
        <f>VLOOKUP($E$7,EQRX1,92,FALSE)</f>
        <v>0</v>
      </c>
      <c r="D33" s="212">
        <f>VLOOKUP($E$7,EQRX1,93,FALSE)</f>
        <v>0</v>
      </c>
      <c r="E33" s="139">
        <f>VLOOKUP($E$7,EQRX1,94,FALSE)</f>
        <v>0</v>
      </c>
      <c r="F33" s="190">
        <f>VLOOKUP($E$7,EQRX1,95,FALSE)</f>
        <v>0</v>
      </c>
      <c r="G33" s="189">
        <f>VLOOKUP($E$7,EQRX1,96,FALSE)</f>
        <v>0</v>
      </c>
      <c r="H33" s="299">
        <f>VLOOKUP($E$7,EQRX1,97,FALSE)</f>
        <v>0</v>
      </c>
      <c r="I33" s="140">
        <f>VLOOKUP($E$7,EQRX1,98,FALSE)</f>
        <v>0</v>
      </c>
      <c r="J33" s="140">
        <f>VLOOKUP($E$7,EQRX1,99,FALSE)</f>
        <v>0</v>
      </c>
      <c r="K33" s="430">
        <f>VLOOKUP($E$7,EQRX1,100,FALSE)</f>
        <v>0</v>
      </c>
      <c r="L33" s="431"/>
      <c r="M33" s="431"/>
      <c r="N33" s="432"/>
      <c r="O33" s="115"/>
      <c r="P33" s="116"/>
      <c r="Q33" s="111"/>
      <c r="R33" s="116"/>
      <c r="S33" s="117"/>
      <c r="T33" s="117"/>
      <c r="U33" s="117"/>
      <c r="V33" s="114"/>
      <c r="W33" s="118"/>
      <c r="X33" s="116"/>
      <c r="Y33" s="111"/>
      <c r="Z33" s="116"/>
      <c r="AA33" s="117"/>
      <c r="AB33" s="117"/>
      <c r="AC33" s="117"/>
      <c r="AD33" s="114"/>
      <c r="AE33" s="118"/>
      <c r="AF33" s="116"/>
      <c r="AG33" s="111"/>
      <c r="AH33" s="116"/>
      <c r="AI33" s="117"/>
      <c r="AJ33" s="117"/>
      <c r="AK33" s="117"/>
      <c r="AL33" s="114"/>
      <c r="AM33" s="118"/>
      <c r="AN33" s="116"/>
      <c r="AO33" s="111"/>
      <c r="AP33" s="116"/>
      <c r="AQ33" s="117"/>
      <c r="AR33" s="117"/>
      <c r="AS33" s="117"/>
      <c r="AT33" s="114"/>
      <c r="AU33" s="118"/>
      <c r="AV33" s="116"/>
      <c r="AW33" s="111"/>
      <c r="AX33" s="116"/>
      <c r="AY33" s="117"/>
      <c r="AZ33" s="117"/>
      <c r="BA33" s="117"/>
      <c r="BB33" s="114"/>
      <c r="BC33" s="118"/>
      <c r="BD33" s="116"/>
      <c r="BE33" s="111"/>
      <c r="BF33" s="116"/>
      <c r="BG33" s="117"/>
      <c r="BH33" s="117"/>
      <c r="BI33" s="117"/>
      <c r="BJ33" s="114"/>
      <c r="BK33" s="118"/>
      <c r="BL33" s="116"/>
      <c r="BM33" s="111"/>
      <c r="BN33" s="116"/>
      <c r="BO33" s="117"/>
      <c r="BP33" s="117"/>
      <c r="BQ33" s="117"/>
      <c r="BR33" s="114"/>
      <c r="BS33" s="118"/>
      <c r="BT33" s="116"/>
      <c r="BU33" s="111"/>
      <c r="BV33" s="116"/>
      <c r="BW33" s="117"/>
      <c r="BX33" s="117"/>
      <c r="BY33" s="117"/>
      <c r="BZ33" s="114"/>
      <c r="CA33" s="118"/>
      <c r="CB33" s="116"/>
      <c r="CC33" s="111"/>
      <c r="CD33" s="116"/>
      <c r="CE33" s="117"/>
      <c r="CF33" s="117"/>
      <c r="CG33" s="117"/>
    </row>
    <row r="34" spans="1:85" x14ac:dyDescent="0.3">
      <c r="A34" s="460"/>
      <c r="B34" s="126">
        <v>11</v>
      </c>
      <c r="C34" s="142">
        <f>VLOOKUP($E$7,EQRX1,102,FALSE)</f>
        <v>0</v>
      </c>
      <c r="D34" s="211">
        <f>VLOOKUP($E$7,EQRX1,103,FALSE)</f>
        <v>0</v>
      </c>
      <c r="E34" s="137">
        <f>VLOOKUP($E$7,EQRX1,104,FALSE)</f>
        <v>0</v>
      </c>
      <c r="F34" s="138">
        <f>VLOOKUP($E$7,EQRX1,105,FALSE)</f>
        <v>0</v>
      </c>
      <c r="G34" s="188">
        <f>VLOOKUP($E$7,EQRX1,106,FALSE)</f>
        <v>0</v>
      </c>
      <c r="H34" s="298">
        <f>VLOOKUP($E$7,EQRX1,107,FALSE)</f>
        <v>0</v>
      </c>
      <c r="I34" s="138">
        <f>VLOOKUP($E$7,EQRX1,108,FALSE)</f>
        <v>0</v>
      </c>
      <c r="J34" s="324">
        <f>VLOOKUP($E$7,EQRX1,109,FALSE)</f>
        <v>0</v>
      </c>
      <c r="K34" s="433">
        <f>VLOOKUP($E$7,EQRX1,110,FALSE)</f>
        <v>0</v>
      </c>
      <c r="L34" s="434"/>
      <c r="M34" s="434"/>
      <c r="N34" s="435"/>
      <c r="O34" s="115"/>
      <c r="P34" s="116"/>
      <c r="Q34" s="111"/>
      <c r="R34" s="116"/>
      <c r="S34" s="117"/>
      <c r="T34" s="117"/>
      <c r="U34" s="117"/>
      <c r="V34" s="114"/>
      <c r="W34" s="118"/>
      <c r="X34" s="116"/>
      <c r="Y34" s="111"/>
      <c r="Z34" s="116"/>
      <c r="AA34" s="117"/>
      <c r="AB34" s="117"/>
      <c r="AC34" s="117"/>
      <c r="AD34" s="114"/>
      <c r="AE34" s="118"/>
      <c r="AF34" s="116"/>
      <c r="AG34" s="111"/>
      <c r="AH34" s="116"/>
      <c r="AI34" s="117"/>
      <c r="AJ34" s="117"/>
      <c r="AK34" s="117"/>
      <c r="AL34" s="114"/>
      <c r="AM34" s="118"/>
      <c r="AN34" s="116"/>
      <c r="AO34" s="111"/>
      <c r="AP34" s="116"/>
      <c r="AQ34" s="117"/>
      <c r="AR34" s="117"/>
      <c r="AS34" s="117"/>
      <c r="AT34" s="114"/>
      <c r="AU34" s="118"/>
      <c r="AV34" s="116"/>
      <c r="AW34" s="111"/>
      <c r="AX34" s="116"/>
      <c r="AY34" s="117"/>
      <c r="AZ34" s="117"/>
      <c r="BA34" s="117"/>
      <c r="BB34" s="114"/>
      <c r="BC34" s="118"/>
      <c r="BD34" s="116"/>
      <c r="BE34" s="111"/>
      <c r="BF34" s="116"/>
      <c r="BG34" s="117"/>
      <c r="BH34" s="117"/>
      <c r="BI34" s="117"/>
      <c r="BJ34" s="114"/>
      <c r="BK34" s="118"/>
      <c r="BL34" s="116"/>
      <c r="BM34" s="111"/>
      <c r="BN34" s="116"/>
      <c r="BO34" s="117"/>
      <c r="BP34" s="117"/>
      <c r="BQ34" s="117"/>
      <c r="BR34" s="114"/>
      <c r="BS34" s="118"/>
      <c r="BT34" s="116"/>
      <c r="BU34" s="111"/>
      <c r="BV34" s="116"/>
      <c r="BW34" s="117"/>
      <c r="BX34" s="117"/>
      <c r="BY34" s="117"/>
      <c r="BZ34" s="114"/>
      <c r="CA34" s="118"/>
      <c r="CB34" s="116"/>
      <c r="CC34" s="111"/>
      <c r="CD34" s="116"/>
      <c r="CE34" s="117"/>
      <c r="CF34" s="117"/>
      <c r="CG34" s="117"/>
    </row>
    <row r="35" spans="1:85" x14ac:dyDescent="0.3">
      <c r="A35" s="460"/>
      <c r="B35" s="127">
        <v>12</v>
      </c>
      <c r="C35" s="192">
        <f>VLOOKUP($E$7,EQRX1,112,FALSE)</f>
        <v>0</v>
      </c>
      <c r="D35" s="212">
        <f>VLOOKUP($E$7,EQRX1,113,FALSE)</f>
        <v>0</v>
      </c>
      <c r="E35" s="139">
        <f>VLOOKUP($E$7,EQRX1,114,FALSE)</f>
        <v>0</v>
      </c>
      <c r="F35" s="140">
        <f>VLOOKUP($E$7,EQRX1,115,FALSE)</f>
        <v>0</v>
      </c>
      <c r="G35" s="189">
        <f>VLOOKUP($E$7,EQRX1,116,FALSE)</f>
        <v>0</v>
      </c>
      <c r="H35" s="299">
        <f>VLOOKUP($E$7,EQRX1,117,FALSE)</f>
        <v>0</v>
      </c>
      <c r="I35" s="140">
        <f>VLOOKUP($E$7,EQRX1,118,FALSE)</f>
        <v>0</v>
      </c>
      <c r="J35" s="140">
        <f>VLOOKUP($E$7,EQRX1,119,FALSE)</f>
        <v>0</v>
      </c>
      <c r="K35" s="430">
        <f>VLOOKUP($E$7,EQRX1,120,FALSE)</f>
        <v>0</v>
      </c>
      <c r="L35" s="431"/>
      <c r="M35" s="431"/>
      <c r="N35" s="432"/>
      <c r="O35" s="115"/>
      <c r="P35" s="116"/>
      <c r="Q35" s="111"/>
      <c r="R35" s="116"/>
      <c r="S35" s="117"/>
      <c r="T35" s="117"/>
      <c r="U35" s="117"/>
      <c r="V35" s="114"/>
      <c r="W35" s="118"/>
      <c r="X35" s="116"/>
      <c r="Y35" s="111"/>
      <c r="Z35" s="116"/>
      <c r="AA35" s="117"/>
      <c r="AB35" s="117"/>
      <c r="AC35" s="117"/>
      <c r="AD35" s="114"/>
      <c r="AE35" s="118"/>
      <c r="AF35" s="116"/>
      <c r="AG35" s="111"/>
      <c r="AH35" s="116"/>
      <c r="AI35" s="117"/>
      <c r="AJ35" s="117"/>
      <c r="AK35" s="117"/>
      <c r="AL35" s="114"/>
      <c r="AM35" s="118"/>
      <c r="AN35" s="116"/>
      <c r="AO35" s="111"/>
      <c r="AP35" s="116"/>
      <c r="AQ35" s="117"/>
      <c r="AR35" s="117"/>
      <c r="AS35" s="117"/>
      <c r="AT35" s="114"/>
      <c r="AU35" s="118"/>
      <c r="AV35" s="116"/>
      <c r="AW35" s="111"/>
      <c r="AX35" s="116"/>
      <c r="AY35" s="117"/>
      <c r="AZ35" s="117"/>
      <c r="BA35" s="117"/>
      <c r="BB35" s="114"/>
      <c r="BC35" s="118"/>
      <c r="BD35" s="116"/>
      <c r="BE35" s="111"/>
      <c r="BF35" s="116"/>
      <c r="BG35" s="117"/>
      <c r="BH35" s="117"/>
      <c r="BI35" s="117"/>
      <c r="BJ35" s="114"/>
      <c r="BK35" s="118"/>
      <c r="BL35" s="116"/>
      <c r="BM35" s="111"/>
      <c r="BN35" s="116"/>
      <c r="BO35" s="117"/>
      <c r="BP35" s="117"/>
      <c r="BQ35" s="117"/>
      <c r="BR35" s="114"/>
      <c r="BS35" s="118"/>
      <c r="BT35" s="116"/>
      <c r="BU35" s="111"/>
      <c r="BV35" s="116"/>
      <c r="BW35" s="117"/>
      <c r="BX35" s="117"/>
      <c r="BY35" s="117"/>
      <c r="BZ35" s="114"/>
      <c r="CA35" s="118"/>
      <c r="CB35" s="116"/>
      <c r="CC35" s="111"/>
      <c r="CD35" s="116"/>
      <c r="CE35" s="117"/>
      <c r="CF35" s="117"/>
      <c r="CG35" s="117"/>
    </row>
    <row r="36" spans="1:85" x14ac:dyDescent="0.3">
      <c r="A36" s="460"/>
      <c r="B36" s="126">
        <v>13</v>
      </c>
      <c r="C36" s="142">
        <f>VLOOKUP($E$7,EQRX1,122,FALSE)</f>
        <v>0</v>
      </c>
      <c r="D36" s="211">
        <f>VLOOKUP($E$7,EQRX1,123,FALSE)</f>
        <v>0</v>
      </c>
      <c r="E36" s="137">
        <f>VLOOKUP($E$7,EQRX1,124,FALSE)</f>
        <v>0</v>
      </c>
      <c r="F36" s="138">
        <f>VLOOKUP($E$7,EQRX1,125,FALSE)</f>
        <v>0</v>
      </c>
      <c r="G36" s="188">
        <f>VLOOKUP($E$7,EQRX1,126,FALSE)</f>
        <v>0</v>
      </c>
      <c r="H36" s="298">
        <f>VLOOKUP($E$7,EQRX1,127,FALSE)</f>
        <v>0</v>
      </c>
      <c r="I36" s="138">
        <f>VLOOKUP($E$7,EQRX1,128,FALSE)</f>
        <v>0</v>
      </c>
      <c r="J36" s="324">
        <f>VLOOKUP($E$7,EQRX1,129,FALSE)</f>
        <v>0</v>
      </c>
      <c r="K36" s="433">
        <f>VLOOKUP($E$7,EQRX1,130,FALSE)</f>
        <v>0</v>
      </c>
      <c r="L36" s="434"/>
      <c r="M36" s="434"/>
      <c r="N36" s="435"/>
      <c r="O36" s="115"/>
      <c r="P36" s="116"/>
      <c r="Q36" s="111"/>
      <c r="R36" s="116"/>
      <c r="S36" s="117"/>
      <c r="T36" s="117"/>
      <c r="U36" s="117"/>
      <c r="V36" s="114"/>
      <c r="W36" s="118"/>
      <c r="X36" s="119"/>
      <c r="Y36" s="111"/>
      <c r="Z36" s="116"/>
      <c r="AA36" s="117"/>
      <c r="AB36" s="117"/>
      <c r="AC36" s="117"/>
      <c r="AD36" s="114"/>
      <c r="AE36" s="118"/>
      <c r="AF36" s="119"/>
      <c r="AG36" s="111"/>
      <c r="AH36" s="116"/>
      <c r="AI36" s="117"/>
      <c r="AJ36" s="117"/>
      <c r="AK36" s="117"/>
      <c r="AL36" s="114"/>
      <c r="AM36" s="118"/>
      <c r="AN36" s="119"/>
      <c r="AO36" s="111"/>
      <c r="AP36" s="116"/>
      <c r="AQ36" s="117"/>
      <c r="AR36" s="117"/>
      <c r="AS36" s="117"/>
      <c r="AT36" s="114"/>
      <c r="AU36" s="118"/>
      <c r="AV36" s="119"/>
      <c r="AW36" s="111"/>
      <c r="AX36" s="116"/>
      <c r="AY36" s="117"/>
      <c r="AZ36" s="117"/>
      <c r="BA36" s="117"/>
      <c r="BB36" s="114"/>
      <c r="BC36" s="118"/>
      <c r="BD36" s="119"/>
      <c r="BE36" s="111"/>
      <c r="BF36" s="116"/>
      <c r="BG36" s="117"/>
      <c r="BH36" s="117"/>
      <c r="BI36" s="117"/>
      <c r="BJ36" s="114"/>
      <c r="BK36" s="118"/>
      <c r="BL36" s="119"/>
      <c r="BM36" s="111"/>
      <c r="BN36" s="116"/>
      <c r="BO36" s="117"/>
      <c r="BP36" s="117"/>
      <c r="BQ36" s="117"/>
      <c r="BR36" s="114"/>
      <c r="BS36" s="118"/>
      <c r="BT36" s="119"/>
      <c r="BU36" s="111"/>
      <c r="BV36" s="116"/>
      <c r="BW36" s="117"/>
      <c r="BX36" s="117"/>
      <c r="BY36" s="117"/>
      <c r="BZ36" s="114"/>
      <c r="CA36" s="118"/>
      <c r="CB36" s="119"/>
      <c r="CC36" s="111"/>
      <c r="CD36" s="116"/>
      <c r="CE36" s="117"/>
      <c r="CF36" s="117"/>
      <c r="CG36" s="117"/>
    </row>
    <row r="37" spans="1:85" x14ac:dyDescent="0.3">
      <c r="A37" s="460"/>
      <c r="B37" s="127">
        <v>14</v>
      </c>
      <c r="C37" s="192">
        <f>VLOOKUP($E$7,EQRX1,132,FALSE)</f>
        <v>0</v>
      </c>
      <c r="D37" s="212">
        <f>VLOOKUP($E$7,EQRX1,133,FALSE)</f>
        <v>0</v>
      </c>
      <c r="E37" s="139">
        <f>VLOOKUP($E$7,EQRX1,134,FALSE)</f>
        <v>0</v>
      </c>
      <c r="F37" s="140">
        <f>VLOOKUP($E$7,EQRX1,135,FALSE)</f>
        <v>0</v>
      </c>
      <c r="G37" s="189">
        <f>VLOOKUP($E$7,EQRX1,136,FALSE)</f>
        <v>0</v>
      </c>
      <c r="H37" s="299">
        <f>VLOOKUP($E$7,EQRX1,137,FALSE)</f>
        <v>0</v>
      </c>
      <c r="I37" s="140">
        <f>VLOOKUP($E$7,EQRX1,138,FALSE)</f>
        <v>0</v>
      </c>
      <c r="J37" s="140">
        <f>VLOOKUP($E$7,EQRX1,139,FALSE)</f>
        <v>0</v>
      </c>
      <c r="K37" s="430">
        <f>VLOOKUP($E$7,EQRX1,140,FALSE)</f>
        <v>0</v>
      </c>
      <c r="L37" s="431"/>
      <c r="M37" s="431"/>
      <c r="N37" s="432"/>
      <c r="O37" s="115"/>
      <c r="P37" s="116"/>
      <c r="Q37" s="111"/>
      <c r="R37" s="116"/>
      <c r="S37" s="117"/>
      <c r="T37" s="117"/>
      <c r="U37" s="117"/>
      <c r="V37" s="114"/>
      <c r="W37" s="118"/>
      <c r="X37" s="116"/>
      <c r="Y37" s="111"/>
      <c r="Z37" s="116"/>
      <c r="AA37" s="117"/>
      <c r="AB37" s="117"/>
      <c r="AC37" s="117"/>
      <c r="AD37" s="114"/>
      <c r="AE37" s="118"/>
      <c r="AF37" s="116"/>
      <c r="AG37" s="111"/>
      <c r="AH37" s="116"/>
      <c r="AI37" s="117"/>
      <c r="AJ37" s="117"/>
      <c r="AK37" s="117"/>
      <c r="AL37" s="114"/>
      <c r="AM37" s="118"/>
      <c r="AN37" s="116"/>
      <c r="AO37" s="111"/>
      <c r="AP37" s="116"/>
      <c r="AQ37" s="117"/>
      <c r="AR37" s="117"/>
      <c r="AS37" s="117"/>
      <c r="AT37" s="114"/>
      <c r="AU37" s="118"/>
      <c r="AV37" s="116"/>
      <c r="AW37" s="111"/>
      <c r="AX37" s="116"/>
      <c r="AY37" s="117"/>
      <c r="AZ37" s="117"/>
      <c r="BA37" s="117"/>
      <c r="BB37" s="114"/>
      <c r="BC37" s="118"/>
      <c r="BD37" s="116"/>
      <c r="BE37" s="111"/>
      <c r="BF37" s="116"/>
      <c r="BG37" s="117"/>
      <c r="BH37" s="117"/>
      <c r="BI37" s="117"/>
      <c r="BJ37" s="114"/>
      <c r="BK37" s="118"/>
      <c r="BL37" s="116"/>
      <c r="BM37" s="111"/>
      <c r="BN37" s="116"/>
      <c r="BO37" s="117"/>
      <c r="BP37" s="117"/>
      <c r="BQ37" s="117"/>
      <c r="BR37" s="114"/>
      <c r="BS37" s="118"/>
      <c r="BT37" s="116"/>
      <c r="BU37" s="111"/>
      <c r="BV37" s="116"/>
      <c r="BW37" s="117"/>
      <c r="BX37" s="117"/>
      <c r="BY37" s="117"/>
      <c r="BZ37" s="114"/>
      <c r="CA37" s="118"/>
      <c r="CB37" s="116"/>
      <c r="CC37" s="111"/>
      <c r="CD37" s="116"/>
      <c r="CE37" s="117"/>
      <c r="CF37" s="117"/>
      <c r="CG37" s="117"/>
    </row>
    <row r="38" spans="1:85" ht="14.4" customHeight="1" x14ac:dyDescent="0.3">
      <c r="A38" s="460"/>
      <c r="B38" s="126">
        <v>15</v>
      </c>
      <c r="C38" s="142">
        <f>VLOOKUP($E$7,EQRX1,142,FALSE)</f>
        <v>0</v>
      </c>
      <c r="D38" s="211">
        <f>VLOOKUP($E$7,EQRX1,143,FALSE)</f>
        <v>0</v>
      </c>
      <c r="E38" s="137">
        <f>VLOOKUP($E$7,EQRX1,144,FALSE)</f>
        <v>0</v>
      </c>
      <c r="F38" s="138">
        <f>VLOOKUP($E$7,EQRX1,145,FALSE)</f>
        <v>0</v>
      </c>
      <c r="G38" s="188">
        <f>VLOOKUP($E$7,EQRX1,146,FALSE)</f>
        <v>0</v>
      </c>
      <c r="H38" s="211">
        <f>VLOOKUP($E$7,EQRX1,147,FALSE)</f>
        <v>0</v>
      </c>
      <c r="I38" s="141">
        <f>VLOOKUP($E$7,EQRX1,148,FALSE)</f>
        <v>0</v>
      </c>
      <c r="J38" s="325">
        <f>VLOOKUP($E$7,EQRX1,149,FALSE)</f>
        <v>0</v>
      </c>
      <c r="K38" s="433">
        <f>VLOOKUP($E$7,EQRX1,150,FALSE)</f>
        <v>0</v>
      </c>
      <c r="L38" s="434"/>
      <c r="M38" s="434"/>
      <c r="N38" s="435"/>
      <c r="O38" s="115"/>
      <c r="P38" s="116"/>
      <c r="Q38" s="111"/>
      <c r="R38" s="116"/>
      <c r="S38" s="2"/>
      <c r="T38" s="2"/>
      <c r="U38" s="2"/>
      <c r="V38" s="114"/>
      <c r="W38" s="114"/>
      <c r="X38" s="116"/>
      <c r="Y38" s="111"/>
      <c r="Z38" s="116"/>
      <c r="AA38" s="2"/>
      <c r="AB38" s="2"/>
      <c r="AC38" s="2"/>
      <c r="AD38" s="114"/>
      <c r="AE38" s="114"/>
      <c r="AF38" s="116"/>
      <c r="AG38" s="111"/>
      <c r="AH38" s="116"/>
      <c r="AI38" s="2"/>
      <c r="AJ38" s="2"/>
      <c r="AK38" s="2"/>
      <c r="AL38" s="114"/>
      <c r="AM38" s="118"/>
      <c r="AN38" s="116"/>
      <c r="AO38" s="111"/>
      <c r="AP38" s="116"/>
      <c r="AQ38" s="2"/>
      <c r="AR38" s="2"/>
      <c r="AS38" s="2"/>
      <c r="AT38" s="114"/>
      <c r="AU38" s="118"/>
      <c r="AV38" s="116"/>
      <c r="AW38" s="111"/>
      <c r="AX38" s="116"/>
      <c r="AY38" s="2"/>
      <c r="AZ38" s="2"/>
      <c r="BA38" s="2"/>
      <c r="BB38" s="114"/>
      <c r="BC38" s="118"/>
      <c r="BD38" s="116"/>
      <c r="BE38" s="111"/>
      <c r="BF38" s="116"/>
      <c r="BG38" s="2"/>
      <c r="BH38" s="2"/>
      <c r="BI38" s="2"/>
      <c r="BJ38" s="114"/>
      <c r="BK38" s="118"/>
      <c r="BL38" s="116"/>
      <c r="BM38" s="111"/>
      <c r="BN38" s="116"/>
      <c r="BO38" s="2"/>
      <c r="BP38" s="2"/>
      <c r="BQ38" s="2"/>
      <c r="BR38" s="114"/>
      <c r="BS38" s="118"/>
      <c r="BT38" s="116"/>
      <c r="BU38" s="111"/>
      <c r="BV38" s="116"/>
      <c r="BW38" s="2"/>
      <c r="BX38" s="2"/>
      <c r="BY38" s="2"/>
      <c r="BZ38" s="114"/>
      <c r="CA38" s="118"/>
      <c r="CB38" s="116"/>
      <c r="CC38" s="111"/>
      <c r="CD38" s="116"/>
      <c r="CE38" s="2"/>
      <c r="CF38" s="2"/>
      <c r="CG38" s="2"/>
    </row>
    <row r="39" spans="1:85" ht="14.4" customHeight="1" x14ac:dyDescent="0.3">
      <c r="A39" s="460"/>
      <c r="B39" s="127">
        <v>16</v>
      </c>
      <c r="C39" s="192">
        <f>VLOOKUP($E$7,EQRX1,152,FALSE)</f>
        <v>0</v>
      </c>
      <c r="D39" s="212">
        <f>VLOOKUP($E$7,EQRX1,153,FALSE)</f>
        <v>0</v>
      </c>
      <c r="E39" s="139">
        <f>VLOOKUP($E$7,EQRX1,154,FALSE)</f>
        <v>0</v>
      </c>
      <c r="F39" s="140">
        <f>VLOOKUP($E$7,EQRX1,155,FALSE)</f>
        <v>0</v>
      </c>
      <c r="G39" s="189">
        <f>VLOOKUP($E$7,EQRX1,156,FALSE)</f>
        <v>0</v>
      </c>
      <c r="H39" s="299">
        <f>VLOOKUP($E$7,EQRX1,157,FALSE)</f>
        <v>0</v>
      </c>
      <c r="I39" s="140">
        <f>VLOOKUP($E$7,EQRX1,158,FALSE)</f>
        <v>0</v>
      </c>
      <c r="J39" s="140">
        <f>VLOOKUP($E$7,EQRX1,159,FALSE)</f>
        <v>0</v>
      </c>
      <c r="K39" s="430">
        <f>VLOOKUP($E$7,EQRX1,160,FALSE)</f>
        <v>0</v>
      </c>
      <c r="L39" s="431"/>
      <c r="M39" s="431"/>
      <c r="N39" s="432"/>
      <c r="O39" s="115"/>
      <c r="P39" s="116"/>
      <c r="Q39" s="111"/>
      <c r="R39" s="116"/>
      <c r="S39" s="2"/>
      <c r="T39" s="2"/>
      <c r="U39" s="2"/>
      <c r="V39" s="114"/>
      <c r="W39" s="114"/>
      <c r="X39" s="116"/>
      <c r="Y39" s="111"/>
      <c r="Z39" s="116"/>
      <c r="AA39" s="2"/>
      <c r="AB39" s="2"/>
      <c r="AC39" s="2"/>
      <c r="AD39" s="114"/>
      <c r="AE39" s="114"/>
      <c r="AF39" s="116"/>
      <c r="AG39" s="111"/>
      <c r="AH39" s="116"/>
      <c r="AI39" s="2"/>
      <c r="AJ39" s="2"/>
      <c r="AK39" s="2"/>
      <c r="AL39" s="114"/>
      <c r="AM39" s="118"/>
      <c r="AN39" s="116"/>
      <c r="AO39" s="111"/>
      <c r="AP39" s="116"/>
      <c r="AQ39" s="2"/>
      <c r="AR39" s="2"/>
      <c r="AS39" s="2"/>
      <c r="AT39" s="114"/>
      <c r="AU39" s="118"/>
      <c r="AV39" s="116"/>
      <c r="AW39" s="111"/>
      <c r="AX39" s="116"/>
      <c r="AY39" s="2"/>
      <c r="AZ39" s="2"/>
      <c r="BA39" s="2"/>
      <c r="BB39" s="114"/>
      <c r="BC39" s="118"/>
      <c r="BD39" s="116"/>
      <c r="BE39" s="111"/>
      <c r="BF39" s="116"/>
      <c r="BG39" s="2"/>
      <c r="BH39" s="2"/>
      <c r="BI39" s="2"/>
      <c r="BJ39" s="114"/>
      <c r="BK39" s="118"/>
      <c r="BL39" s="116"/>
      <c r="BM39" s="111"/>
      <c r="BN39" s="116"/>
      <c r="BO39" s="2"/>
      <c r="BP39" s="2"/>
      <c r="BQ39" s="2"/>
      <c r="BR39" s="114"/>
      <c r="BS39" s="118"/>
      <c r="BT39" s="116"/>
      <c r="BU39" s="111"/>
      <c r="BV39" s="116"/>
      <c r="BW39" s="2"/>
      <c r="BX39" s="2"/>
      <c r="BY39" s="2"/>
      <c r="BZ39" s="114"/>
      <c r="CA39" s="118"/>
      <c r="CB39" s="116"/>
      <c r="CC39" s="111"/>
      <c r="CD39" s="116"/>
      <c r="CE39" s="2"/>
      <c r="CF39" s="2"/>
      <c r="CG39" s="2"/>
    </row>
    <row r="40" spans="1:85" ht="14.4" customHeight="1" x14ac:dyDescent="0.3">
      <c r="A40" s="460"/>
      <c r="B40" s="126">
        <v>17</v>
      </c>
      <c r="C40" s="142">
        <f>VLOOKUP($E$7,EQRX1,162,FALSE)</f>
        <v>0</v>
      </c>
      <c r="D40" s="211">
        <f>VLOOKUP($E$7,EQRX1,163,FALSE)</f>
        <v>0</v>
      </c>
      <c r="E40" s="137">
        <f>VLOOKUP($E$7,EQRX1,164,FALSE)</f>
        <v>0</v>
      </c>
      <c r="F40" s="138">
        <f>VLOOKUP($E$7,EQRX1,165,FALSE)</f>
        <v>0</v>
      </c>
      <c r="G40" s="188">
        <f>VLOOKUP($E$7,EQRX1,166,FALSE)</f>
        <v>0</v>
      </c>
      <c r="H40" s="211">
        <f>VLOOKUP($E$7,EQRX1,167,FALSE)</f>
        <v>0</v>
      </c>
      <c r="I40" s="141">
        <f>VLOOKUP($E$7,EQRX1,168,FALSE)</f>
        <v>0</v>
      </c>
      <c r="J40" s="325">
        <f>VLOOKUP($E$7,EQRX1,169,FALSE)</f>
        <v>0</v>
      </c>
      <c r="K40" s="433">
        <f>VLOOKUP($E$7,EQRX1,169,FALSE)</f>
        <v>0</v>
      </c>
      <c r="L40" s="434"/>
      <c r="M40" s="434"/>
      <c r="N40" s="435"/>
      <c r="O40" s="115"/>
      <c r="P40" s="116"/>
      <c r="Q40" s="111"/>
      <c r="R40" s="116"/>
      <c r="S40" s="2"/>
      <c r="T40" s="2"/>
      <c r="U40" s="2"/>
      <c r="V40" s="114"/>
      <c r="W40" s="114"/>
      <c r="X40" s="116"/>
      <c r="Y40" s="111"/>
      <c r="Z40" s="116"/>
      <c r="AA40" s="2"/>
      <c r="AB40" s="2"/>
      <c r="AC40" s="2"/>
      <c r="AD40" s="114"/>
      <c r="AE40" s="114"/>
      <c r="AF40" s="116"/>
      <c r="AG40" s="111"/>
      <c r="AH40" s="116"/>
      <c r="AI40" s="2"/>
      <c r="AJ40" s="2"/>
      <c r="AK40" s="2"/>
      <c r="AL40" s="114"/>
      <c r="AM40" s="118"/>
      <c r="AN40" s="116"/>
      <c r="AO40" s="111"/>
      <c r="AP40" s="116"/>
      <c r="AQ40" s="2"/>
      <c r="AR40" s="2"/>
      <c r="AS40" s="2"/>
      <c r="AT40" s="114"/>
      <c r="AU40" s="118"/>
      <c r="AV40" s="116"/>
      <c r="AW40" s="111"/>
      <c r="AX40" s="116"/>
      <c r="AY40" s="2"/>
      <c r="AZ40" s="2"/>
      <c r="BA40" s="2"/>
      <c r="BB40" s="114"/>
      <c r="BC40" s="118"/>
      <c r="BD40" s="116"/>
      <c r="BE40" s="111"/>
      <c r="BF40" s="116"/>
      <c r="BG40" s="2"/>
      <c r="BH40" s="2"/>
      <c r="BI40" s="2"/>
      <c r="BJ40" s="114"/>
      <c r="BK40" s="118"/>
      <c r="BL40" s="116"/>
      <c r="BM40" s="111"/>
      <c r="BN40" s="116"/>
      <c r="BO40" s="2"/>
      <c r="BP40" s="2"/>
      <c r="BQ40" s="2"/>
      <c r="BR40" s="114"/>
      <c r="BS40" s="118"/>
      <c r="BT40" s="116"/>
      <c r="BU40" s="111"/>
      <c r="BV40" s="116"/>
      <c r="BW40" s="2"/>
      <c r="BX40" s="2"/>
      <c r="BY40" s="2"/>
      <c r="BZ40" s="114"/>
      <c r="CA40" s="118"/>
      <c r="CB40" s="116"/>
      <c r="CC40" s="111"/>
      <c r="CD40" s="116"/>
      <c r="CE40" s="2"/>
      <c r="CF40" s="2"/>
      <c r="CG40" s="2"/>
    </row>
    <row r="41" spans="1:85" ht="14.4" customHeight="1" x14ac:dyDescent="0.3">
      <c r="A41" s="460"/>
      <c r="B41" s="127">
        <v>18</v>
      </c>
      <c r="C41" s="192">
        <f>VLOOKUP($E$7,EQRX1,172,FALSE)</f>
        <v>0</v>
      </c>
      <c r="D41" s="212">
        <f>VLOOKUP($E$7,EQRX1,173,FALSE)</f>
        <v>0</v>
      </c>
      <c r="E41" s="139">
        <f>VLOOKUP($E$7,EQRX1,174,FALSE)</f>
        <v>0</v>
      </c>
      <c r="F41" s="140">
        <f>VLOOKUP($E$7,EQRX1,175,FALSE)</f>
        <v>0</v>
      </c>
      <c r="G41" s="189">
        <f>VLOOKUP($E$7,EQRX1,176,FALSE)</f>
        <v>0</v>
      </c>
      <c r="H41" s="299">
        <f>VLOOKUP($E$7,EQRX1,177,FALSE)</f>
        <v>0</v>
      </c>
      <c r="I41" s="140">
        <f>VLOOKUP($E$7,EQRX1,178,FALSE)</f>
        <v>0</v>
      </c>
      <c r="J41" s="140">
        <f>VLOOKUP($E$7,EQRX1,179,FALSE)</f>
        <v>0</v>
      </c>
      <c r="K41" s="430">
        <f>VLOOKUP($E$7,EQRX1,179,FALSE)</f>
        <v>0</v>
      </c>
      <c r="L41" s="431"/>
      <c r="M41" s="431"/>
      <c r="N41" s="432"/>
      <c r="O41" s="115"/>
      <c r="P41" s="116"/>
      <c r="Q41" s="111"/>
      <c r="R41" s="116"/>
      <c r="S41" s="2"/>
      <c r="T41" s="2"/>
      <c r="U41" s="2"/>
      <c r="V41" s="114"/>
      <c r="W41" s="114"/>
      <c r="X41" s="116"/>
      <c r="Y41" s="111"/>
      <c r="Z41" s="116"/>
      <c r="AA41" s="2"/>
      <c r="AB41" s="2"/>
      <c r="AC41" s="2"/>
      <c r="AD41" s="114"/>
      <c r="AE41" s="114"/>
      <c r="AF41" s="116"/>
      <c r="AG41" s="111"/>
      <c r="AH41" s="116"/>
      <c r="AI41" s="2"/>
      <c r="AJ41" s="2"/>
      <c r="AK41" s="2"/>
      <c r="AL41" s="114"/>
      <c r="AM41" s="118"/>
      <c r="AN41" s="116"/>
      <c r="AO41" s="111"/>
      <c r="AP41" s="116"/>
      <c r="AQ41" s="2"/>
      <c r="AR41" s="2"/>
      <c r="AS41" s="2"/>
      <c r="AT41" s="114"/>
      <c r="AU41" s="118"/>
      <c r="AV41" s="116"/>
      <c r="AW41" s="111"/>
      <c r="AX41" s="116"/>
      <c r="AY41" s="2"/>
      <c r="AZ41" s="2"/>
      <c r="BA41" s="2"/>
      <c r="BB41" s="114"/>
      <c r="BC41" s="118"/>
      <c r="BD41" s="116"/>
      <c r="BE41" s="111"/>
      <c r="BF41" s="116"/>
      <c r="BG41" s="2"/>
      <c r="BH41" s="2"/>
      <c r="BI41" s="2"/>
      <c r="BJ41" s="114"/>
      <c r="BK41" s="118"/>
      <c r="BL41" s="116"/>
      <c r="BM41" s="111"/>
      <c r="BN41" s="116"/>
      <c r="BO41" s="2"/>
      <c r="BP41" s="2"/>
      <c r="BQ41" s="2"/>
      <c r="BR41" s="114"/>
      <c r="BS41" s="118"/>
      <c r="BT41" s="116"/>
      <c r="BU41" s="111"/>
      <c r="BV41" s="116"/>
      <c r="BW41" s="2"/>
      <c r="BX41" s="2"/>
      <c r="BY41" s="2"/>
      <c r="BZ41" s="114"/>
      <c r="CA41" s="118"/>
      <c r="CB41" s="116"/>
      <c r="CC41" s="111"/>
      <c r="CD41" s="116"/>
      <c r="CE41" s="2"/>
      <c r="CF41" s="2"/>
      <c r="CG41" s="2"/>
    </row>
    <row r="42" spans="1:85" ht="14.4" customHeight="1" x14ac:dyDescent="0.3">
      <c r="A42" s="460"/>
      <c r="B42" s="126">
        <v>19</v>
      </c>
      <c r="C42" s="142">
        <f>VLOOKUP($E$7,EQRX1,182,FALSE)</f>
        <v>0</v>
      </c>
      <c r="D42" s="211">
        <f>VLOOKUP($E$7,EQRX1,183,FALSE)</f>
        <v>0</v>
      </c>
      <c r="E42" s="137">
        <f>VLOOKUP($E$7,EQRX1,184,FALSE)</f>
        <v>0</v>
      </c>
      <c r="F42" s="138">
        <f>VLOOKUP($E$7,EQRX1,185,FALSE)</f>
        <v>0</v>
      </c>
      <c r="G42" s="188">
        <f>VLOOKUP($E$7,EQRX1,186,FALSE)</f>
        <v>0</v>
      </c>
      <c r="H42" s="211">
        <f>VLOOKUP($E$7,EQRX1,187,FALSE)</f>
        <v>0</v>
      </c>
      <c r="I42" s="141">
        <f>VLOOKUP($E$7,EQRX1,188,FALSE)</f>
        <v>0</v>
      </c>
      <c r="J42" s="325">
        <f>VLOOKUP($E$7,EQRX1,189,FALSE)</f>
        <v>0</v>
      </c>
      <c r="K42" s="433">
        <f>VLOOKUP($E$7,EQRX1,189,FALSE)</f>
        <v>0</v>
      </c>
      <c r="L42" s="434"/>
      <c r="M42" s="434"/>
      <c r="N42" s="435"/>
      <c r="O42" s="115"/>
      <c r="P42" s="116"/>
      <c r="Q42" s="111"/>
      <c r="R42" s="116"/>
      <c r="S42" s="2"/>
      <c r="T42" s="2"/>
      <c r="U42" s="2"/>
      <c r="V42" s="114"/>
      <c r="W42" s="114"/>
      <c r="X42" s="116"/>
      <c r="Y42" s="111"/>
      <c r="Z42" s="116"/>
      <c r="AA42" s="2"/>
      <c r="AB42" s="2"/>
      <c r="AC42" s="2"/>
      <c r="AD42" s="114"/>
      <c r="AE42" s="114"/>
      <c r="AF42" s="116"/>
      <c r="AG42" s="111"/>
      <c r="AH42" s="116"/>
      <c r="AI42" s="2"/>
      <c r="AJ42" s="2"/>
      <c r="AK42" s="2"/>
      <c r="AL42" s="114"/>
      <c r="AM42" s="118"/>
      <c r="AN42" s="116"/>
      <c r="AO42" s="111"/>
      <c r="AP42" s="116"/>
      <c r="AQ42" s="2"/>
      <c r="AR42" s="2"/>
      <c r="AS42" s="2"/>
      <c r="AT42" s="114"/>
      <c r="AU42" s="118"/>
      <c r="AV42" s="116"/>
      <c r="AW42" s="111"/>
      <c r="AX42" s="116"/>
      <c r="AY42" s="2"/>
      <c r="AZ42" s="2"/>
      <c r="BA42" s="2"/>
      <c r="BB42" s="114"/>
      <c r="BC42" s="118"/>
      <c r="BD42" s="116"/>
      <c r="BE42" s="111"/>
      <c r="BF42" s="116"/>
      <c r="BG42" s="2"/>
      <c r="BH42" s="2"/>
      <c r="BI42" s="2"/>
      <c r="BJ42" s="114"/>
      <c r="BK42" s="118"/>
      <c r="BL42" s="116"/>
      <c r="BM42" s="111"/>
      <c r="BN42" s="116"/>
      <c r="BO42" s="2"/>
      <c r="BP42" s="2"/>
      <c r="BQ42" s="2"/>
      <c r="BR42" s="114"/>
      <c r="BS42" s="118"/>
      <c r="BT42" s="116"/>
      <c r="BU42" s="111"/>
      <c r="BV42" s="116"/>
      <c r="BW42" s="2"/>
      <c r="BX42" s="2"/>
      <c r="BY42" s="2"/>
      <c r="BZ42" s="114"/>
      <c r="CA42" s="118"/>
      <c r="CB42" s="116"/>
      <c r="CC42" s="111"/>
      <c r="CD42" s="116"/>
      <c r="CE42" s="2"/>
      <c r="CF42" s="2"/>
      <c r="CG42" s="2"/>
    </row>
    <row r="43" spans="1:85" ht="14.4" customHeight="1" x14ac:dyDescent="0.3">
      <c r="A43" s="460"/>
      <c r="B43" s="127">
        <v>20</v>
      </c>
      <c r="C43" s="192">
        <f>VLOOKUP($E$7,EQRX1,192,FALSE)</f>
        <v>0</v>
      </c>
      <c r="D43" s="212">
        <f>VLOOKUP($E$7,EQRX1,193,FALSE)</f>
        <v>0</v>
      </c>
      <c r="E43" s="139">
        <f>VLOOKUP($E$7,EQRX1,194,FALSE)</f>
        <v>0</v>
      </c>
      <c r="F43" s="140">
        <f>VLOOKUP($E$7,EQRX1,195,FALSE)</f>
        <v>0</v>
      </c>
      <c r="G43" s="189">
        <f>VLOOKUP($E$7,EQRX1,196,FALSE)</f>
        <v>0</v>
      </c>
      <c r="H43" s="299">
        <f>VLOOKUP($E$7,EQRX1,197,FALSE)</f>
        <v>0</v>
      </c>
      <c r="I43" s="140">
        <f>VLOOKUP($E$7,EQRX1,198,FALSE)</f>
        <v>0</v>
      </c>
      <c r="J43" s="140">
        <f>VLOOKUP($E$7,EQRX1,199,FALSE)</f>
        <v>0</v>
      </c>
      <c r="K43" s="430">
        <f>VLOOKUP($E$7,EQRX1,199,FALSE)</f>
        <v>0</v>
      </c>
      <c r="L43" s="431"/>
      <c r="M43" s="431"/>
      <c r="N43" s="432"/>
      <c r="O43" s="115"/>
      <c r="P43" s="116"/>
      <c r="Q43" s="111"/>
      <c r="R43" s="116"/>
      <c r="S43" s="2"/>
      <c r="T43" s="2"/>
      <c r="U43" s="2"/>
      <c r="V43" s="114"/>
      <c r="W43" s="114"/>
      <c r="X43" s="116"/>
      <c r="Y43" s="111"/>
      <c r="Z43" s="116"/>
      <c r="AA43" s="2"/>
      <c r="AB43" s="2"/>
      <c r="AC43" s="2"/>
      <c r="AD43" s="114"/>
      <c r="AE43" s="114"/>
      <c r="AF43" s="116"/>
      <c r="AG43" s="111"/>
      <c r="AH43" s="116"/>
      <c r="AI43" s="2"/>
      <c r="AJ43" s="2"/>
      <c r="AK43" s="2"/>
      <c r="AL43" s="114"/>
      <c r="AM43" s="118"/>
      <c r="AN43" s="116"/>
      <c r="AO43" s="111"/>
      <c r="AP43" s="116"/>
      <c r="AQ43" s="2"/>
      <c r="AR43" s="2"/>
      <c r="AS43" s="2"/>
      <c r="AT43" s="114"/>
      <c r="AU43" s="118"/>
      <c r="AV43" s="116"/>
      <c r="AW43" s="111"/>
      <c r="AX43" s="116"/>
      <c r="AY43" s="2"/>
      <c r="AZ43" s="2"/>
      <c r="BA43" s="2"/>
      <c r="BB43" s="114"/>
      <c r="BC43" s="118"/>
      <c r="BD43" s="116"/>
      <c r="BE43" s="111"/>
      <c r="BF43" s="116"/>
      <c r="BG43" s="2"/>
      <c r="BH43" s="2"/>
      <c r="BI43" s="2"/>
      <c r="BJ43" s="114"/>
      <c r="BK43" s="118"/>
      <c r="BL43" s="116"/>
      <c r="BM43" s="111"/>
      <c r="BN43" s="116"/>
      <c r="BO43" s="2"/>
      <c r="BP43" s="2"/>
      <c r="BQ43" s="2"/>
      <c r="BR43" s="114"/>
      <c r="BS43" s="118"/>
      <c r="BT43" s="116"/>
      <c r="BU43" s="111"/>
      <c r="BV43" s="116"/>
      <c r="BW43" s="2"/>
      <c r="BX43" s="2"/>
      <c r="BY43" s="2"/>
      <c r="BZ43" s="114"/>
      <c r="CA43" s="118"/>
      <c r="CB43" s="116"/>
      <c r="CC43" s="111"/>
      <c r="CD43" s="116"/>
      <c r="CE43" s="2"/>
      <c r="CF43" s="2"/>
      <c r="CG43" s="2"/>
    </row>
    <row r="44" spans="1:85" ht="14.4" customHeight="1" x14ac:dyDescent="0.3">
      <c r="A44" s="460"/>
      <c r="B44" s="126">
        <v>21</v>
      </c>
      <c r="C44" s="142">
        <f>VLOOKUP($E$7,EQRX1,202,FALSE)</f>
        <v>0</v>
      </c>
      <c r="D44" s="211">
        <f>VLOOKUP($E$7,EQRX1,203,FALSE)</f>
        <v>0</v>
      </c>
      <c r="E44" s="137">
        <f>VLOOKUP($E$7,EQRX1,204,FALSE)</f>
        <v>0</v>
      </c>
      <c r="F44" s="138">
        <f>VLOOKUP($E$7,EQRX1,205,FALSE)</f>
        <v>0</v>
      </c>
      <c r="G44" s="188">
        <f>VLOOKUP($E$7,EQRX1,206,FALSE)</f>
        <v>0</v>
      </c>
      <c r="H44" s="211">
        <f>VLOOKUP($E$7,EQRX1,207,FALSE)</f>
        <v>0</v>
      </c>
      <c r="I44" s="141">
        <f>VLOOKUP($E$7,EQRX1,208,FALSE)</f>
        <v>0</v>
      </c>
      <c r="J44" s="325">
        <f>VLOOKUP($E$7,EQRX1,209,FALSE)</f>
        <v>0</v>
      </c>
      <c r="K44" s="433">
        <f>VLOOKUP($E$7,EQRX1,209,FALSE)</f>
        <v>0</v>
      </c>
      <c r="L44" s="434"/>
      <c r="M44" s="434"/>
      <c r="N44" s="435"/>
      <c r="O44" s="115"/>
      <c r="P44" s="116"/>
      <c r="Q44" s="111"/>
      <c r="R44" s="116"/>
      <c r="S44" s="2"/>
      <c r="T44" s="2"/>
      <c r="U44" s="2"/>
      <c r="V44" s="114"/>
      <c r="W44" s="114"/>
      <c r="X44" s="116"/>
      <c r="Y44" s="111"/>
      <c r="Z44" s="116"/>
      <c r="AA44" s="2"/>
      <c r="AB44" s="2"/>
      <c r="AC44" s="2"/>
      <c r="AD44" s="114"/>
      <c r="AE44" s="114"/>
      <c r="AF44" s="116"/>
      <c r="AG44" s="111"/>
      <c r="AH44" s="116"/>
      <c r="AI44" s="2"/>
      <c r="AJ44" s="2"/>
      <c r="AK44" s="2"/>
      <c r="AL44" s="114"/>
      <c r="AM44" s="118"/>
      <c r="AN44" s="116"/>
      <c r="AO44" s="111"/>
      <c r="AP44" s="116"/>
      <c r="AQ44" s="2"/>
      <c r="AR44" s="2"/>
      <c r="AS44" s="2"/>
      <c r="AT44" s="114"/>
      <c r="AU44" s="118"/>
      <c r="AV44" s="116"/>
      <c r="AW44" s="111"/>
      <c r="AX44" s="116"/>
      <c r="AY44" s="2"/>
      <c r="AZ44" s="2"/>
      <c r="BA44" s="2"/>
      <c r="BB44" s="114"/>
      <c r="BC44" s="118"/>
      <c r="BD44" s="116"/>
      <c r="BE44" s="111"/>
      <c r="BF44" s="116"/>
      <c r="BG44" s="2"/>
      <c r="BH44" s="2"/>
      <c r="BI44" s="2"/>
      <c r="BJ44" s="114"/>
      <c r="BK44" s="118"/>
      <c r="BL44" s="116"/>
      <c r="BM44" s="111"/>
      <c r="BN44" s="116"/>
      <c r="BO44" s="2"/>
      <c r="BP44" s="2"/>
      <c r="BQ44" s="2"/>
      <c r="BR44" s="114"/>
      <c r="BS44" s="118"/>
      <c r="BT44" s="116"/>
      <c r="BU44" s="111"/>
      <c r="BV44" s="116"/>
      <c r="BW44" s="2"/>
      <c r="BX44" s="2"/>
      <c r="BY44" s="2"/>
      <c r="BZ44" s="114"/>
      <c r="CA44" s="118"/>
      <c r="CB44" s="116"/>
      <c r="CC44" s="111"/>
      <c r="CD44" s="116"/>
      <c r="CE44" s="2"/>
      <c r="CF44" s="2"/>
      <c r="CG44" s="2"/>
    </row>
    <row r="45" spans="1:85" ht="14.4" customHeight="1" x14ac:dyDescent="0.3">
      <c r="A45" s="460"/>
      <c r="B45" s="127">
        <v>22</v>
      </c>
      <c r="C45" s="192">
        <f>VLOOKUP($E$7,EQRX1,212,FALSE)</f>
        <v>0</v>
      </c>
      <c r="D45" s="212">
        <f>VLOOKUP($E$7,EQRX1,213,FALSE)</f>
        <v>0</v>
      </c>
      <c r="E45" s="139">
        <f>VLOOKUP($E$7,EQRX1,214,FALSE)</f>
        <v>0</v>
      </c>
      <c r="F45" s="140">
        <f>VLOOKUP($E$7,EQRX1,215,FALSE)</f>
        <v>0</v>
      </c>
      <c r="G45" s="189">
        <f>VLOOKUP($E$7,EQRX1,216,FALSE)</f>
        <v>0</v>
      </c>
      <c r="H45" s="299">
        <f>VLOOKUP($E$7,EQRX1,217,FALSE)</f>
        <v>0</v>
      </c>
      <c r="I45" s="140">
        <f>VLOOKUP($E$7,EQRX1,218,FALSE)</f>
        <v>0</v>
      </c>
      <c r="J45" s="140">
        <f>VLOOKUP($E$7,EQRX1,219,FALSE)</f>
        <v>0</v>
      </c>
      <c r="K45" s="430">
        <f>VLOOKUP($E$7,EQRX1,219,FALSE)</f>
        <v>0</v>
      </c>
      <c r="L45" s="431"/>
      <c r="M45" s="431"/>
      <c r="N45" s="432"/>
      <c r="O45" s="115"/>
      <c r="P45" s="116"/>
      <c r="Q45" s="111"/>
      <c r="R45" s="116"/>
      <c r="S45" s="2"/>
      <c r="T45" s="2"/>
      <c r="U45" s="2"/>
      <c r="V45" s="114"/>
      <c r="W45" s="114"/>
      <c r="X45" s="116"/>
      <c r="Y45" s="111"/>
      <c r="Z45" s="116"/>
      <c r="AA45" s="2"/>
      <c r="AB45" s="2"/>
      <c r="AC45" s="2"/>
      <c r="AD45" s="114"/>
      <c r="AE45" s="114"/>
      <c r="AF45" s="116"/>
      <c r="AG45" s="111"/>
      <c r="AH45" s="116"/>
      <c r="AI45" s="2"/>
      <c r="AJ45" s="2"/>
      <c r="AK45" s="2"/>
      <c r="AL45" s="114"/>
      <c r="AM45" s="118"/>
      <c r="AN45" s="116"/>
      <c r="AO45" s="111"/>
      <c r="AP45" s="116"/>
      <c r="AQ45" s="2"/>
      <c r="AR45" s="2"/>
      <c r="AS45" s="2"/>
      <c r="AT45" s="114"/>
      <c r="AU45" s="118"/>
      <c r="AV45" s="116"/>
      <c r="AW45" s="111"/>
      <c r="AX45" s="116"/>
      <c r="AY45" s="2"/>
      <c r="AZ45" s="2"/>
      <c r="BA45" s="2"/>
      <c r="BB45" s="114"/>
      <c r="BC45" s="118"/>
      <c r="BD45" s="116"/>
      <c r="BE45" s="111"/>
      <c r="BF45" s="116"/>
      <c r="BG45" s="2"/>
      <c r="BH45" s="2"/>
      <c r="BI45" s="2"/>
      <c r="BJ45" s="114"/>
      <c r="BK45" s="118"/>
      <c r="BL45" s="116"/>
      <c r="BM45" s="111"/>
      <c r="BN45" s="116"/>
      <c r="BO45" s="2"/>
      <c r="BP45" s="2"/>
      <c r="BQ45" s="2"/>
      <c r="BR45" s="114"/>
      <c r="BS45" s="118"/>
      <c r="BT45" s="116"/>
      <c r="BU45" s="111"/>
      <c r="BV45" s="116"/>
      <c r="BW45" s="2"/>
      <c r="BX45" s="2"/>
      <c r="BY45" s="2"/>
      <c r="BZ45" s="114"/>
      <c r="CA45" s="118"/>
      <c r="CB45" s="116"/>
      <c r="CC45" s="111"/>
      <c r="CD45" s="116"/>
      <c r="CE45" s="2"/>
      <c r="CF45" s="2"/>
      <c r="CG45" s="2"/>
    </row>
    <row r="46" spans="1:85" ht="14.4" customHeight="1" x14ac:dyDescent="0.3">
      <c r="A46" s="460"/>
      <c r="B46" s="126">
        <v>23</v>
      </c>
      <c r="C46" s="142">
        <f>VLOOKUP($E$7,EQRX1,222,FALSE)</f>
        <v>0</v>
      </c>
      <c r="D46" s="211">
        <f>VLOOKUP($E$7,EQRX1,223,FALSE)</f>
        <v>0</v>
      </c>
      <c r="E46" s="137">
        <f>VLOOKUP($E$7,EQRX1,224,FALSE)</f>
        <v>0</v>
      </c>
      <c r="F46" s="138">
        <f>VLOOKUP($E$7,EQRX1,225,FALSE)</f>
        <v>0</v>
      </c>
      <c r="G46" s="188">
        <f>VLOOKUP($E$7,EQRX1,226,FALSE)</f>
        <v>0</v>
      </c>
      <c r="H46" s="211">
        <f>VLOOKUP($E$7,EQRX1,227,FALSE)</f>
        <v>0</v>
      </c>
      <c r="I46" s="141">
        <f>VLOOKUP($E$7,EQRX1,228,FALSE)</f>
        <v>0</v>
      </c>
      <c r="J46" s="325">
        <f>VLOOKUP($E$7,EQRX1,229,FALSE)</f>
        <v>0</v>
      </c>
      <c r="K46" s="433">
        <f>VLOOKUP($E$7,EQRX1,229,FALSE)</f>
        <v>0</v>
      </c>
      <c r="L46" s="434"/>
      <c r="M46" s="434"/>
      <c r="N46" s="435"/>
      <c r="O46" s="115"/>
      <c r="P46" s="116"/>
      <c r="Q46" s="111"/>
      <c r="R46" s="116"/>
      <c r="S46" s="2"/>
      <c r="T46" s="2"/>
      <c r="U46" s="2"/>
      <c r="V46" s="114"/>
      <c r="W46" s="114"/>
      <c r="X46" s="116"/>
      <c r="Y46" s="111"/>
      <c r="Z46" s="116"/>
      <c r="AA46" s="2"/>
      <c r="AB46" s="2"/>
      <c r="AC46" s="2"/>
      <c r="AD46" s="114"/>
      <c r="AE46" s="114"/>
      <c r="AF46" s="116"/>
      <c r="AG46" s="111"/>
      <c r="AH46" s="116"/>
      <c r="AI46" s="2"/>
      <c r="AJ46" s="2"/>
      <c r="AK46" s="2"/>
      <c r="AL46" s="114"/>
      <c r="AM46" s="118"/>
      <c r="AN46" s="116"/>
      <c r="AO46" s="111"/>
      <c r="AP46" s="116"/>
      <c r="AQ46" s="2"/>
      <c r="AR46" s="2"/>
      <c r="AS46" s="2"/>
      <c r="AT46" s="114"/>
      <c r="AU46" s="118"/>
      <c r="AV46" s="116"/>
      <c r="AW46" s="111"/>
      <c r="AX46" s="116"/>
      <c r="AY46" s="2"/>
      <c r="AZ46" s="2"/>
      <c r="BA46" s="2"/>
      <c r="BB46" s="114"/>
      <c r="BC46" s="118"/>
      <c r="BD46" s="116"/>
      <c r="BE46" s="111"/>
      <c r="BF46" s="116"/>
      <c r="BG46" s="2"/>
      <c r="BH46" s="2"/>
      <c r="BI46" s="2"/>
      <c r="BJ46" s="114"/>
      <c r="BK46" s="118"/>
      <c r="BL46" s="116"/>
      <c r="BM46" s="111"/>
      <c r="BN46" s="116"/>
      <c r="BO46" s="2"/>
      <c r="BP46" s="2"/>
      <c r="BQ46" s="2"/>
      <c r="BR46" s="114"/>
      <c r="BS46" s="118"/>
      <c r="BT46" s="116"/>
      <c r="BU46" s="111"/>
      <c r="BV46" s="116"/>
      <c r="BW46" s="2"/>
      <c r="BX46" s="2"/>
      <c r="BY46" s="2"/>
      <c r="BZ46" s="114"/>
      <c r="CA46" s="118"/>
      <c r="CB46" s="116"/>
      <c r="CC46" s="111"/>
      <c r="CD46" s="116"/>
      <c r="CE46" s="2"/>
      <c r="CF46" s="2"/>
      <c r="CG46" s="2"/>
    </row>
    <row r="47" spans="1:85" ht="14.4" customHeight="1" x14ac:dyDescent="0.3">
      <c r="A47" s="460"/>
      <c r="B47" s="127">
        <v>24</v>
      </c>
      <c r="C47" s="192">
        <f>VLOOKUP($E$7,EQRX1,232,FALSE)</f>
        <v>0</v>
      </c>
      <c r="D47" s="212">
        <f>VLOOKUP($E$7,EQRX1,233,FALSE)</f>
        <v>0</v>
      </c>
      <c r="E47" s="139">
        <f>VLOOKUP($E$7,EQRX1,234,FALSE)</f>
        <v>0</v>
      </c>
      <c r="F47" s="140">
        <f>VLOOKUP($E$7,EQRX1,235,FALSE)</f>
        <v>0</v>
      </c>
      <c r="G47" s="189">
        <f>VLOOKUP($E$7,EQRX1,236,FALSE)</f>
        <v>0</v>
      </c>
      <c r="H47" s="299">
        <f>VLOOKUP($E$7,EQRX1,237,FALSE)</f>
        <v>0</v>
      </c>
      <c r="I47" s="140">
        <f>VLOOKUP($E$7,EQRX1,238,FALSE)</f>
        <v>0</v>
      </c>
      <c r="J47" s="140">
        <f>VLOOKUP($E$7,EQRX1,239,FALSE)</f>
        <v>0</v>
      </c>
      <c r="K47" s="430">
        <f>VLOOKUP($E$7,EQRX1,239,FALSE)</f>
        <v>0</v>
      </c>
      <c r="L47" s="431"/>
      <c r="M47" s="431"/>
      <c r="N47" s="432"/>
      <c r="O47" s="115"/>
      <c r="P47" s="116"/>
      <c r="Q47" s="111"/>
      <c r="R47" s="116"/>
      <c r="S47" s="2"/>
      <c r="T47" s="2"/>
      <c r="U47" s="2"/>
      <c r="V47" s="114"/>
      <c r="W47" s="114"/>
      <c r="X47" s="116"/>
      <c r="Y47" s="111"/>
      <c r="Z47" s="116"/>
      <c r="AA47" s="2"/>
      <c r="AB47" s="2"/>
      <c r="AC47" s="2"/>
      <c r="AD47" s="114"/>
      <c r="AE47" s="114"/>
      <c r="AF47" s="116"/>
      <c r="AG47" s="111"/>
      <c r="AH47" s="116"/>
      <c r="AI47" s="2"/>
      <c r="AJ47" s="2"/>
      <c r="AK47" s="2"/>
      <c r="AL47" s="114"/>
      <c r="AM47" s="118"/>
      <c r="AN47" s="116"/>
      <c r="AO47" s="111"/>
      <c r="AP47" s="116"/>
      <c r="AQ47" s="2"/>
      <c r="AR47" s="2"/>
      <c r="AS47" s="2"/>
      <c r="AT47" s="114"/>
      <c r="AU47" s="118"/>
      <c r="AV47" s="116"/>
      <c r="AW47" s="111"/>
      <c r="AX47" s="116"/>
      <c r="AY47" s="2"/>
      <c r="AZ47" s="2"/>
      <c r="BA47" s="2"/>
      <c r="BB47" s="114"/>
      <c r="BC47" s="118"/>
      <c r="BD47" s="116"/>
      <c r="BE47" s="111"/>
      <c r="BF47" s="116"/>
      <c r="BG47" s="2"/>
      <c r="BH47" s="2"/>
      <c r="BI47" s="2"/>
      <c r="BJ47" s="114"/>
      <c r="BK47" s="118"/>
      <c r="BL47" s="116"/>
      <c r="BM47" s="111"/>
      <c r="BN47" s="116"/>
      <c r="BO47" s="2"/>
      <c r="BP47" s="2"/>
      <c r="BQ47" s="2"/>
      <c r="BR47" s="114"/>
      <c r="BS47" s="118"/>
      <c r="BT47" s="116"/>
      <c r="BU47" s="111"/>
      <c r="BV47" s="116"/>
      <c r="BW47" s="2"/>
      <c r="BX47" s="2"/>
      <c r="BY47" s="2"/>
      <c r="BZ47" s="114"/>
      <c r="CA47" s="118"/>
      <c r="CB47" s="116"/>
      <c r="CC47" s="111"/>
      <c r="CD47" s="116"/>
      <c r="CE47" s="2"/>
      <c r="CF47" s="2"/>
      <c r="CG47" s="2"/>
    </row>
    <row r="48" spans="1:85" ht="14.4" customHeight="1" x14ac:dyDescent="0.3">
      <c r="A48" s="460"/>
      <c r="B48" s="126">
        <v>25</v>
      </c>
      <c r="C48" s="142">
        <f>VLOOKUP($E$7,EQRX1,242,FALSE)</f>
        <v>0</v>
      </c>
      <c r="D48" s="211">
        <f>VLOOKUP($E$7,EQRX1,243,FALSE)</f>
        <v>0</v>
      </c>
      <c r="E48" s="137">
        <f>VLOOKUP($E$7,EQRX1,244,FALSE)</f>
        <v>0</v>
      </c>
      <c r="F48" s="138">
        <f>VLOOKUP($E$7,EQRX1,245,FALSE)</f>
        <v>0</v>
      </c>
      <c r="G48" s="188">
        <f>VLOOKUP($E$7,EQRX1,246,FALSE)</f>
        <v>0</v>
      </c>
      <c r="H48" s="211">
        <f>VLOOKUP($E$7,EQRX1,247,FALSE)</f>
        <v>0</v>
      </c>
      <c r="I48" s="141">
        <f>VLOOKUP($E$7,EQRX1,248,FALSE)</f>
        <v>0</v>
      </c>
      <c r="J48" s="325">
        <f>VLOOKUP($E$7,EQRX1,249,FALSE)</f>
        <v>0</v>
      </c>
      <c r="K48" s="433">
        <f>VLOOKUP($E$7,EQRX1,249,FALSE)</f>
        <v>0</v>
      </c>
      <c r="L48" s="434"/>
      <c r="M48" s="434"/>
      <c r="N48" s="435"/>
      <c r="O48" s="115"/>
      <c r="P48" s="116"/>
      <c r="Q48" s="111"/>
      <c r="R48" s="116"/>
      <c r="S48" s="2"/>
      <c r="T48" s="2"/>
      <c r="U48" s="2"/>
      <c r="V48" s="114"/>
      <c r="W48" s="114"/>
      <c r="X48" s="116"/>
      <c r="Y48" s="111"/>
      <c r="Z48" s="116"/>
      <c r="AA48" s="2"/>
      <c r="AB48" s="2"/>
      <c r="AC48" s="2"/>
      <c r="AD48" s="114"/>
      <c r="AE48" s="114"/>
      <c r="AF48" s="116"/>
      <c r="AG48" s="111"/>
      <c r="AH48" s="116"/>
      <c r="AI48" s="2"/>
      <c r="AJ48" s="2"/>
      <c r="AK48" s="2"/>
      <c r="AL48" s="114"/>
      <c r="AM48" s="118"/>
      <c r="AN48" s="116"/>
      <c r="AO48" s="111"/>
      <c r="AP48" s="116"/>
      <c r="AQ48" s="2"/>
      <c r="AR48" s="2"/>
      <c r="AS48" s="2"/>
      <c r="AT48" s="114"/>
      <c r="AU48" s="118"/>
      <c r="AV48" s="116"/>
      <c r="AW48" s="111"/>
      <c r="AX48" s="116"/>
      <c r="AY48" s="2"/>
      <c r="AZ48" s="2"/>
      <c r="BA48" s="2"/>
      <c r="BB48" s="114"/>
      <c r="BC48" s="118"/>
      <c r="BD48" s="116"/>
      <c r="BE48" s="111"/>
      <c r="BF48" s="116"/>
      <c r="BG48" s="2"/>
      <c r="BH48" s="2"/>
      <c r="BI48" s="2"/>
      <c r="BJ48" s="114"/>
      <c r="BK48" s="118"/>
      <c r="BL48" s="116"/>
      <c r="BM48" s="111"/>
      <c r="BN48" s="116"/>
      <c r="BO48" s="2"/>
      <c r="BP48" s="2"/>
      <c r="BQ48" s="2"/>
      <c r="BR48" s="114"/>
      <c r="BS48" s="118"/>
      <c r="BT48" s="116"/>
      <c r="BU48" s="111"/>
      <c r="BV48" s="116"/>
      <c r="BW48" s="2"/>
      <c r="BX48" s="2"/>
      <c r="BY48" s="2"/>
      <c r="BZ48" s="114"/>
      <c r="CA48" s="118"/>
      <c r="CB48" s="116"/>
      <c r="CC48" s="111"/>
      <c r="CD48" s="116"/>
      <c r="CE48" s="2"/>
      <c r="CF48" s="2"/>
      <c r="CG48" s="2"/>
    </row>
    <row r="49" spans="1:85" ht="14.4" customHeight="1" x14ac:dyDescent="0.3">
      <c r="A49" s="460"/>
      <c r="B49" s="127">
        <v>26</v>
      </c>
      <c r="C49" s="192">
        <f>VLOOKUP($E$7,EQRX1,252,FALSE)</f>
        <v>0</v>
      </c>
      <c r="D49" s="212">
        <f>VLOOKUP($E$7,EQRX1,253,FALSE)</f>
        <v>0</v>
      </c>
      <c r="E49" s="139">
        <f>VLOOKUP($E$7,EQRX1,254,FALSE)</f>
        <v>0</v>
      </c>
      <c r="F49" s="140">
        <f>VLOOKUP($E$7,EQRX1,255,FALSE)</f>
        <v>0</v>
      </c>
      <c r="G49" s="189">
        <f>VLOOKUP($E$7,EQRX1,256,FALSE)</f>
        <v>0</v>
      </c>
      <c r="H49" s="299">
        <f>VLOOKUP($E$7,EQRX1,257,FALSE)</f>
        <v>0</v>
      </c>
      <c r="I49" s="140">
        <f>VLOOKUP($E$7,EQRX1,258,FALSE)</f>
        <v>0</v>
      </c>
      <c r="J49" s="140">
        <f>VLOOKUP($E$7,EQRX1,259,FALSE)</f>
        <v>0</v>
      </c>
      <c r="K49" s="430">
        <f>VLOOKUP($E$7,EQRX1,259,FALSE)</f>
        <v>0</v>
      </c>
      <c r="L49" s="431"/>
      <c r="M49" s="431"/>
      <c r="N49" s="432"/>
      <c r="O49" s="115"/>
      <c r="P49" s="116"/>
      <c r="Q49" s="111"/>
      <c r="R49" s="116"/>
      <c r="S49" s="2"/>
      <c r="T49" s="2"/>
      <c r="U49" s="2"/>
      <c r="V49" s="114"/>
      <c r="W49" s="114"/>
      <c r="X49" s="116"/>
      <c r="Y49" s="111"/>
      <c r="Z49" s="116"/>
      <c r="AA49" s="2"/>
      <c r="AB49" s="2"/>
      <c r="AC49" s="2"/>
      <c r="AD49" s="114"/>
      <c r="AE49" s="114"/>
      <c r="AF49" s="116"/>
      <c r="AG49" s="111"/>
      <c r="AH49" s="116"/>
      <c r="AI49" s="2"/>
      <c r="AJ49" s="2"/>
      <c r="AK49" s="2"/>
      <c r="AL49" s="114"/>
      <c r="AM49" s="118"/>
      <c r="AN49" s="116"/>
      <c r="AO49" s="111"/>
      <c r="AP49" s="116"/>
      <c r="AQ49" s="2"/>
      <c r="AR49" s="2"/>
      <c r="AS49" s="2"/>
      <c r="AT49" s="114"/>
      <c r="AU49" s="118"/>
      <c r="AV49" s="116"/>
      <c r="AW49" s="111"/>
      <c r="AX49" s="116"/>
      <c r="AY49" s="2"/>
      <c r="AZ49" s="2"/>
      <c r="BA49" s="2"/>
      <c r="BB49" s="114"/>
      <c r="BC49" s="118"/>
      <c r="BD49" s="116"/>
      <c r="BE49" s="111"/>
      <c r="BF49" s="116"/>
      <c r="BG49" s="2"/>
      <c r="BH49" s="2"/>
      <c r="BI49" s="2"/>
      <c r="BJ49" s="114"/>
      <c r="BK49" s="118"/>
      <c r="BL49" s="116"/>
      <c r="BM49" s="111"/>
      <c r="BN49" s="116"/>
      <c r="BO49" s="2"/>
      <c r="BP49" s="2"/>
      <c r="BQ49" s="2"/>
      <c r="BR49" s="114"/>
      <c r="BS49" s="118"/>
      <c r="BT49" s="116"/>
      <c r="BU49" s="111"/>
      <c r="BV49" s="116"/>
      <c r="BW49" s="2"/>
      <c r="BX49" s="2"/>
      <c r="BY49" s="2"/>
      <c r="BZ49" s="114"/>
      <c r="CA49" s="118"/>
      <c r="CB49" s="116"/>
      <c r="CC49" s="111"/>
      <c r="CD49" s="116"/>
      <c r="CE49" s="2"/>
      <c r="CF49" s="2"/>
      <c r="CG49" s="2"/>
    </row>
    <row r="50" spans="1:85" ht="14.4" customHeight="1" x14ac:dyDescent="0.3">
      <c r="A50" s="460"/>
      <c r="B50" s="126">
        <v>27</v>
      </c>
      <c r="C50" s="142">
        <f>VLOOKUP($E$7,EQRX1,262,FALSE)</f>
        <v>0</v>
      </c>
      <c r="D50" s="211">
        <f>VLOOKUP($E$7,EQRX1,263,FALSE)</f>
        <v>0</v>
      </c>
      <c r="E50" s="137">
        <f>VLOOKUP($E$7,EQRX1,264,FALSE)</f>
        <v>0</v>
      </c>
      <c r="F50" s="138">
        <f>VLOOKUP($E$7,EQRX1,265,FALSE)</f>
        <v>0</v>
      </c>
      <c r="G50" s="188">
        <f>VLOOKUP($E$7,EQRX1,266,FALSE)</f>
        <v>0</v>
      </c>
      <c r="H50" s="211">
        <f>VLOOKUP($E$7,EQRX1,267,FALSE)</f>
        <v>0</v>
      </c>
      <c r="I50" s="141">
        <f>VLOOKUP($E$7,EQRX1,268,FALSE)</f>
        <v>0</v>
      </c>
      <c r="J50" s="325">
        <f>VLOOKUP($E$7,EQRX1,269,FALSE)</f>
        <v>0</v>
      </c>
      <c r="K50" s="433">
        <f>VLOOKUP($E$7,EQRX1,269,FALSE)</f>
        <v>0</v>
      </c>
      <c r="L50" s="434"/>
      <c r="M50" s="434"/>
      <c r="N50" s="435"/>
      <c r="O50" s="115"/>
      <c r="P50" s="116"/>
      <c r="Q50" s="111"/>
      <c r="R50" s="116"/>
      <c r="S50" s="2"/>
      <c r="T50" s="2"/>
      <c r="U50" s="2"/>
      <c r="V50" s="114"/>
      <c r="W50" s="114"/>
      <c r="X50" s="116"/>
      <c r="Y50" s="111"/>
      <c r="Z50" s="116"/>
      <c r="AA50" s="2"/>
      <c r="AB50" s="2"/>
      <c r="AC50" s="2"/>
      <c r="AD50" s="114"/>
      <c r="AE50" s="114"/>
      <c r="AF50" s="116"/>
      <c r="AG50" s="111"/>
      <c r="AH50" s="116"/>
      <c r="AI50" s="2"/>
      <c r="AJ50" s="2"/>
      <c r="AK50" s="2"/>
      <c r="AL50" s="114"/>
      <c r="AM50" s="118"/>
      <c r="AN50" s="116"/>
      <c r="AO50" s="111"/>
      <c r="AP50" s="116"/>
      <c r="AQ50" s="2"/>
      <c r="AR50" s="2"/>
      <c r="AS50" s="2"/>
      <c r="AT50" s="114"/>
      <c r="AU50" s="118"/>
      <c r="AV50" s="116"/>
      <c r="AW50" s="111"/>
      <c r="AX50" s="116"/>
      <c r="AY50" s="2"/>
      <c r="AZ50" s="2"/>
      <c r="BA50" s="2"/>
      <c r="BB50" s="114"/>
      <c r="BC50" s="118"/>
      <c r="BD50" s="116"/>
      <c r="BE50" s="111"/>
      <c r="BF50" s="116"/>
      <c r="BG50" s="2"/>
      <c r="BH50" s="2"/>
      <c r="BI50" s="2"/>
      <c r="BJ50" s="114"/>
      <c r="BK50" s="118"/>
      <c r="BL50" s="116"/>
      <c r="BM50" s="111"/>
      <c r="BN50" s="116"/>
      <c r="BO50" s="2"/>
      <c r="BP50" s="2"/>
      <c r="BQ50" s="2"/>
      <c r="BR50" s="114"/>
      <c r="BS50" s="118"/>
      <c r="BT50" s="116"/>
      <c r="BU50" s="111"/>
      <c r="BV50" s="116"/>
      <c r="BW50" s="2"/>
      <c r="BX50" s="2"/>
      <c r="BY50" s="2"/>
      <c r="BZ50" s="114"/>
      <c r="CA50" s="118"/>
      <c r="CB50" s="116"/>
      <c r="CC50" s="111"/>
      <c r="CD50" s="116"/>
      <c r="CE50" s="2"/>
      <c r="CF50" s="2"/>
      <c r="CG50" s="2"/>
    </row>
    <row r="51" spans="1:85" ht="14.4" customHeight="1" x14ac:dyDescent="0.3">
      <c r="A51" s="460"/>
      <c r="B51" s="127">
        <v>28</v>
      </c>
      <c r="C51" s="192">
        <f>VLOOKUP($E$7,EQRX1,272,FALSE)</f>
        <v>0</v>
      </c>
      <c r="D51" s="212">
        <f>VLOOKUP($E$7,EQRX1,273,FALSE)</f>
        <v>0</v>
      </c>
      <c r="E51" s="139">
        <f>VLOOKUP($E$7,EQRX1,274,FALSE)</f>
        <v>0</v>
      </c>
      <c r="F51" s="140">
        <f>VLOOKUP($E$7,EQRX1,275,FALSE)</f>
        <v>0</v>
      </c>
      <c r="G51" s="189">
        <f>VLOOKUP($E$7,EQRX1,276,FALSE)</f>
        <v>0</v>
      </c>
      <c r="H51" s="299">
        <f>VLOOKUP($E$7,EQRX1,277,FALSE)</f>
        <v>0</v>
      </c>
      <c r="I51" s="140">
        <f>VLOOKUP($E$7,EQRX1,278,FALSE)</f>
        <v>0</v>
      </c>
      <c r="J51" s="140">
        <f>VLOOKUP($E$7,EQRX1,279,FALSE)</f>
        <v>0</v>
      </c>
      <c r="K51" s="430">
        <f>VLOOKUP($E$7,EQRX1,279,FALSE)</f>
        <v>0</v>
      </c>
      <c r="L51" s="431"/>
      <c r="M51" s="431"/>
      <c r="N51" s="432"/>
      <c r="O51" s="115"/>
      <c r="P51" s="116"/>
      <c r="Q51" s="111"/>
      <c r="R51" s="116"/>
      <c r="S51" s="2"/>
      <c r="T51" s="2"/>
      <c r="U51" s="2"/>
      <c r="V51" s="114"/>
      <c r="W51" s="114"/>
      <c r="X51" s="116"/>
      <c r="Y51" s="111"/>
      <c r="Z51" s="116"/>
      <c r="AA51" s="2"/>
      <c r="AB51" s="2"/>
      <c r="AC51" s="2"/>
      <c r="AD51" s="114"/>
      <c r="AE51" s="114"/>
      <c r="AF51" s="116"/>
      <c r="AG51" s="111"/>
      <c r="AH51" s="116"/>
      <c r="AI51" s="2"/>
      <c r="AJ51" s="2"/>
      <c r="AK51" s="2"/>
      <c r="AL51" s="114"/>
      <c r="AM51" s="118"/>
      <c r="AN51" s="116"/>
      <c r="AO51" s="111"/>
      <c r="AP51" s="116"/>
      <c r="AQ51" s="2"/>
      <c r="AR51" s="2"/>
      <c r="AS51" s="2"/>
      <c r="AT51" s="114"/>
      <c r="AU51" s="118"/>
      <c r="AV51" s="116"/>
      <c r="AW51" s="111"/>
      <c r="AX51" s="116"/>
      <c r="AY51" s="2"/>
      <c r="AZ51" s="2"/>
      <c r="BA51" s="2"/>
      <c r="BB51" s="114"/>
      <c r="BC51" s="118"/>
      <c r="BD51" s="116"/>
      <c r="BE51" s="111"/>
      <c r="BF51" s="116"/>
      <c r="BG51" s="2"/>
      <c r="BH51" s="2"/>
      <c r="BI51" s="2"/>
      <c r="BJ51" s="114"/>
      <c r="BK51" s="118"/>
      <c r="BL51" s="116"/>
      <c r="BM51" s="111"/>
      <c r="BN51" s="116"/>
      <c r="BO51" s="2"/>
      <c r="BP51" s="2"/>
      <c r="BQ51" s="2"/>
      <c r="BR51" s="114"/>
      <c r="BS51" s="118"/>
      <c r="BT51" s="116"/>
      <c r="BU51" s="111"/>
      <c r="BV51" s="116"/>
      <c r="BW51" s="2"/>
      <c r="BX51" s="2"/>
      <c r="BY51" s="2"/>
      <c r="BZ51" s="114"/>
      <c r="CA51" s="118"/>
      <c r="CB51" s="116"/>
      <c r="CC51" s="111"/>
      <c r="CD51" s="116"/>
      <c r="CE51" s="2"/>
      <c r="CF51" s="2"/>
      <c r="CG51" s="2"/>
    </row>
    <row r="52" spans="1:85" ht="14.4" customHeight="1" x14ac:dyDescent="0.3">
      <c r="A52" s="460"/>
      <c r="B52" s="126">
        <v>29</v>
      </c>
      <c r="C52" s="142">
        <f>VLOOKUP($E$7,EQRX1,282,FALSE)</f>
        <v>0</v>
      </c>
      <c r="D52" s="211">
        <f>VLOOKUP($E$7,EQRX1,283,FALSE)</f>
        <v>0</v>
      </c>
      <c r="E52" s="137">
        <f>VLOOKUP($E$7,EQRX1,284,FALSE)</f>
        <v>0</v>
      </c>
      <c r="F52" s="138">
        <f>VLOOKUP($E$7,EQRX1,285,FALSE)</f>
        <v>0</v>
      </c>
      <c r="G52" s="188">
        <f>VLOOKUP($E$7,EQRX1,286,FALSE)</f>
        <v>0</v>
      </c>
      <c r="H52" s="211">
        <f>VLOOKUP($E$7,EQRX1,287,FALSE)</f>
        <v>0</v>
      </c>
      <c r="I52" s="141">
        <f>VLOOKUP($E$7,EQRX1,288,FALSE)</f>
        <v>0</v>
      </c>
      <c r="J52" s="325">
        <f>VLOOKUP($E$7,EQRX1,289,FALSE)</f>
        <v>0</v>
      </c>
      <c r="K52" s="433">
        <f>VLOOKUP($E$7,EQRX1,289,FALSE)</f>
        <v>0</v>
      </c>
      <c r="L52" s="434"/>
      <c r="M52" s="434"/>
      <c r="N52" s="435"/>
      <c r="O52" s="115"/>
      <c r="P52" s="116"/>
      <c r="Q52" s="111"/>
      <c r="R52" s="116"/>
      <c r="S52" s="2"/>
      <c r="T52" s="2"/>
      <c r="U52" s="2"/>
      <c r="V52" s="114"/>
      <c r="W52" s="114"/>
      <c r="X52" s="116"/>
      <c r="Y52" s="111"/>
      <c r="Z52" s="116"/>
      <c r="AA52" s="2"/>
      <c r="AB52" s="2"/>
      <c r="AC52" s="2"/>
      <c r="AD52" s="114"/>
      <c r="AE52" s="114"/>
      <c r="AF52" s="116"/>
      <c r="AG52" s="111"/>
      <c r="AH52" s="116"/>
      <c r="AI52" s="2"/>
      <c r="AJ52" s="2"/>
      <c r="AK52" s="2"/>
      <c r="AL52" s="114"/>
      <c r="AM52" s="118"/>
      <c r="AN52" s="116"/>
      <c r="AO52" s="111"/>
      <c r="AP52" s="116"/>
      <c r="AQ52" s="2"/>
      <c r="AR52" s="2"/>
      <c r="AS52" s="2"/>
      <c r="AT52" s="114"/>
      <c r="AU52" s="118"/>
      <c r="AV52" s="116"/>
      <c r="AW52" s="111"/>
      <c r="AX52" s="116"/>
      <c r="AY52" s="2"/>
      <c r="AZ52" s="2"/>
      <c r="BA52" s="2"/>
      <c r="BB52" s="114"/>
      <c r="BC52" s="118"/>
      <c r="BD52" s="116"/>
      <c r="BE52" s="111"/>
      <c r="BF52" s="116"/>
      <c r="BG52" s="2"/>
      <c r="BH52" s="2"/>
      <c r="BI52" s="2"/>
      <c r="BJ52" s="114"/>
      <c r="BK52" s="118"/>
      <c r="BL52" s="116"/>
      <c r="BM52" s="111"/>
      <c r="BN52" s="116"/>
      <c r="BO52" s="2"/>
      <c r="BP52" s="2"/>
      <c r="BQ52" s="2"/>
      <c r="BR52" s="114"/>
      <c r="BS52" s="118"/>
      <c r="BT52" s="116"/>
      <c r="BU52" s="111"/>
      <c r="BV52" s="116"/>
      <c r="BW52" s="2"/>
      <c r="BX52" s="2"/>
      <c r="BY52" s="2"/>
      <c r="BZ52" s="114"/>
      <c r="CA52" s="118"/>
      <c r="CB52" s="116"/>
      <c r="CC52" s="111"/>
      <c r="CD52" s="116"/>
      <c r="CE52" s="2"/>
      <c r="CF52" s="2"/>
      <c r="CG52" s="2"/>
    </row>
    <row r="53" spans="1:85" ht="14.4" customHeight="1" x14ac:dyDescent="0.3">
      <c r="A53" s="460"/>
      <c r="B53" s="127">
        <v>30</v>
      </c>
      <c r="C53" s="192">
        <f>VLOOKUP($E$7,EQRX1,292,FALSE)</f>
        <v>0</v>
      </c>
      <c r="D53" s="212">
        <f>VLOOKUP($E$7,EQRX1,293,FALSE)</f>
        <v>0</v>
      </c>
      <c r="E53" s="139">
        <f>VLOOKUP($E$7,EQRX1,294,FALSE)</f>
        <v>0</v>
      </c>
      <c r="F53" s="140">
        <f>VLOOKUP($E$7,EQRX1,295,FALSE)</f>
        <v>0</v>
      </c>
      <c r="G53" s="189">
        <f>VLOOKUP($E$7,EQRX1,296,FALSE)</f>
        <v>0</v>
      </c>
      <c r="H53" s="299">
        <f>VLOOKUP($E$7,EQRX1,297,FALSE)</f>
        <v>0</v>
      </c>
      <c r="I53" s="140">
        <f>VLOOKUP($E$7,EQRX1,298,FALSE)</f>
        <v>0</v>
      </c>
      <c r="J53" s="140">
        <f>VLOOKUP($E$7,EQRX1,299,FALSE)</f>
        <v>0</v>
      </c>
      <c r="K53" s="430">
        <f>VLOOKUP($E$7,EQRX1,299,FALSE)</f>
        <v>0</v>
      </c>
      <c r="L53" s="431"/>
      <c r="M53" s="431"/>
      <c r="N53" s="432"/>
      <c r="O53" s="115"/>
      <c r="P53" s="116"/>
      <c r="Q53" s="111"/>
      <c r="R53" s="116"/>
      <c r="S53" s="2"/>
      <c r="T53" s="2"/>
      <c r="U53" s="2"/>
      <c r="V53" s="114"/>
      <c r="W53" s="114"/>
      <c r="X53" s="116"/>
      <c r="Y53" s="111"/>
      <c r="Z53" s="116"/>
      <c r="AA53" s="2"/>
      <c r="AB53" s="2"/>
      <c r="AC53" s="2"/>
      <c r="AD53" s="114"/>
      <c r="AE53" s="114"/>
      <c r="AF53" s="116"/>
      <c r="AG53" s="111"/>
      <c r="AH53" s="116"/>
      <c r="AI53" s="2"/>
      <c r="AJ53" s="2"/>
      <c r="AK53" s="2"/>
      <c r="AL53" s="114"/>
      <c r="AM53" s="118"/>
      <c r="AN53" s="116"/>
      <c r="AO53" s="111"/>
      <c r="AP53" s="116"/>
      <c r="AQ53" s="2"/>
      <c r="AR53" s="2"/>
      <c r="AS53" s="2"/>
      <c r="AT53" s="114"/>
      <c r="AU53" s="118"/>
      <c r="AV53" s="116"/>
      <c r="AW53" s="111"/>
      <c r="AX53" s="116"/>
      <c r="AY53" s="2"/>
      <c r="AZ53" s="2"/>
      <c r="BA53" s="2"/>
      <c r="BB53" s="114"/>
      <c r="BC53" s="118"/>
      <c r="BD53" s="116"/>
      <c r="BE53" s="111"/>
      <c r="BF53" s="116"/>
      <c r="BG53" s="2"/>
      <c r="BH53" s="2"/>
      <c r="BI53" s="2"/>
      <c r="BJ53" s="114"/>
      <c r="BK53" s="118"/>
      <c r="BL53" s="116"/>
      <c r="BM53" s="111"/>
      <c r="BN53" s="116"/>
      <c r="BO53" s="2"/>
      <c r="BP53" s="2"/>
      <c r="BQ53" s="2"/>
      <c r="BR53" s="114"/>
      <c r="BS53" s="118"/>
      <c r="BT53" s="116"/>
      <c r="BU53" s="111"/>
      <c r="BV53" s="116"/>
      <c r="BW53" s="2"/>
      <c r="BX53" s="2"/>
      <c r="BY53" s="2"/>
      <c r="BZ53" s="114"/>
      <c r="CA53" s="118"/>
      <c r="CB53" s="116"/>
      <c r="CC53" s="111"/>
      <c r="CD53" s="116"/>
      <c r="CE53" s="2"/>
      <c r="CF53" s="2"/>
      <c r="CG53" s="2"/>
    </row>
    <row r="54" spans="1:85" ht="14.4" customHeight="1" x14ac:dyDescent="0.3">
      <c r="A54" s="460"/>
      <c r="B54" s="126">
        <v>31</v>
      </c>
      <c r="C54" s="142">
        <f>VLOOKUP($E$7,EQRX1,302,FALSE)</f>
        <v>0</v>
      </c>
      <c r="D54" s="211">
        <f>VLOOKUP($E$7,EQRX1,303,FALSE)</f>
        <v>0</v>
      </c>
      <c r="E54" s="137">
        <f>VLOOKUP($E$7,EQRX1,304,FALSE)</f>
        <v>0</v>
      </c>
      <c r="F54" s="138">
        <f>VLOOKUP($E$7,EQRX1,305,FALSE)</f>
        <v>0</v>
      </c>
      <c r="G54" s="188">
        <f>VLOOKUP($E$7,EQRX1,306,FALSE)</f>
        <v>0</v>
      </c>
      <c r="H54" s="211">
        <f>VLOOKUP($E$7,EQRX1,307,FALSE)</f>
        <v>0</v>
      </c>
      <c r="I54" s="141">
        <f>VLOOKUP($E$7,EQRX1,308,FALSE)</f>
        <v>0</v>
      </c>
      <c r="J54" s="325">
        <f>VLOOKUP($E$7,EQRX1,309,FALSE)</f>
        <v>0</v>
      </c>
      <c r="K54" s="433">
        <f>VLOOKUP($E$7,EQRX1,309,FALSE)</f>
        <v>0</v>
      </c>
      <c r="L54" s="434"/>
      <c r="M54" s="434"/>
      <c r="N54" s="435"/>
      <c r="O54" s="115"/>
      <c r="P54" s="116"/>
      <c r="Q54" s="111"/>
      <c r="R54" s="116"/>
      <c r="S54" s="2"/>
      <c r="T54" s="2"/>
      <c r="U54" s="2"/>
      <c r="V54" s="114"/>
      <c r="W54" s="114"/>
      <c r="X54" s="116"/>
      <c r="Y54" s="111"/>
      <c r="Z54" s="116"/>
      <c r="AA54" s="2"/>
      <c r="AB54" s="2"/>
      <c r="AC54" s="2"/>
      <c r="AD54" s="114"/>
      <c r="AE54" s="114"/>
      <c r="AF54" s="116"/>
      <c r="AG54" s="111"/>
      <c r="AH54" s="116"/>
      <c r="AI54" s="2"/>
      <c r="AJ54" s="2"/>
      <c r="AK54" s="2"/>
      <c r="AL54" s="114"/>
      <c r="AM54" s="118"/>
      <c r="AN54" s="116"/>
      <c r="AO54" s="111"/>
      <c r="AP54" s="116"/>
      <c r="AQ54" s="2"/>
      <c r="AR54" s="2"/>
      <c r="AS54" s="2"/>
      <c r="AT54" s="114"/>
      <c r="AU54" s="118"/>
      <c r="AV54" s="116"/>
      <c r="AW54" s="111"/>
      <c r="AX54" s="116"/>
      <c r="AY54" s="2"/>
      <c r="AZ54" s="2"/>
      <c r="BA54" s="2"/>
      <c r="BB54" s="114"/>
      <c r="BC54" s="118"/>
      <c r="BD54" s="116"/>
      <c r="BE54" s="111"/>
      <c r="BF54" s="116"/>
      <c r="BG54" s="2"/>
      <c r="BH54" s="2"/>
      <c r="BI54" s="2"/>
      <c r="BJ54" s="114"/>
      <c r="BK54" s="118"/>
      <c r="BL54" s="116"/>
      <c r="BM54" s="111"/>
      <c r="BN54" s="116"/>
      <c r="BO54" s="2"/>
      <c r="BP54" s="2"/>
      <c r="BQ54" s="2"/>
      <c r="BR54" s="114"/>
      <c r="BS54" s="118"/>
      <c r="BT54" s="116"/>
      <c r="BU54" s="111"/>
      <c r="BV54" s="116"/>
      <c r="BW54" s="2"/>
      <c r="BX54" s="2"/>
      <c r="BY54" s="2"/>
      <c r="BZ54" s="114"/>
      <c r="CA54" s="118"/>
      <c r="CB54" s="116"/>
      <c r="CC54" s="111"/>
      <c r="CD54" s="116"/>
      <c r="CE54" s="2"/>
      <c r="CF54" s="2"/>
      <c r="CG54" s="2"/>
    </row>
    <row r="55" spans="1:85" ht="14.4" customHeight="1" x14ac:dyDescent="0.3">
      <c r="A55" s="460"/>
      <c r="B55" s="127">
        <v>32</v>
      </c>
      <c r="C55" s="192">
        <f>VLOOKUP($E$7,EQRX1,312,FALSE)</f>
        <v>0</v>
      </c>
      <c r="D55" s="212">
        <f>VLOOKUP($E$7,EQRX1,313,FALSE)</f>
        <v>0</v>
      </c>
      <c r="E55" s="139">
        <f>VLOOKUP($E$7,EQRX1,314,FALSE)</f>
        <v>0</v>
      </c>
      <c r="F55" s="140">
        <f>VLOOKUP($E$7,EQRX1,315,FALSE)</f>
        <v>0</v>
      </c>
      <c r="G55" s="189">
        <f>VLOOKUP($E$7,EQRX1,316,FALSE)</f>
        <v>0</v>
      </c>
      <c r="H55" s="140">
        <f>VLOOKUP($E$7,EQRX1,317,FALSE)</f>
        <v>0</v>
      </c>
      <c r="I55" s="140">
        <f>VLOOKUP($E$7,EQRX1,318,FALSE)</f>
        <v>0</v>
      </c>
      <c r="J55" s="140">
        <f>VLOOKUP($E$7,EQRX1,319,FALSE)</f>
        <v>0</v>
      </c>
      <c r="K55" s="430">
        <f>VLOOKUP($E$7,EQRX1,319,FALSE)</f>
        <v>0</v>
      </c>
      <c r="L55" s="431"/>
      <c r="M55" s="431"/>
      <c r="N55" s="432"/>
      <c r="O55" s="115"/>
      <c r="P55" s="116"/>
      <c r="Q55" s="111"/>
      <c r="R55" s="116"/>
      <c r="S55" s="2"/>
      <c r="T55" s="2"/>
      <c r="U55" s="2"/>
      <c r="V55" s="114"/>
      <c r="W55" s="114"/>
      <c r="X55" s="116"/>
      <c r="Y55" s="111"/>
      <c r="Z55" s="116"/>
      <c r="AA55" s="2"/>
      <c r="AB55" s="2"/>
      <c r="AC55" s="2"/>
      <c r="AD55" s="114"/>
      <c r="AE55" s="114"/>
      <c r="AF55" s="116"/>
      <c r="AG55" s="111"/>
      <c r="AH55" s="116"/>
      <c r="AI55" s="2"/>
      <c r="AJ55" s="2"/>
      <c r="AK55" s="2"/>
      <c r="AL55" s="114"/>
      <c r="AM55" s="118"/>
      <c r="AN55" s="116"/>
      <c r="AO55" s="111"/>
      <c r="AP55" s="116"/>
      <c r="AQ55" s="2"/>
      <c r="AR55" s="2"/>
      <c r="AS55" s="2"/>
      <c r="AT55" s="114"/>
      <c r="AU55" s="118"/>
      <c r="AV55" s="116"/>
      <c r="AW55" s="111"/>
      <c r="AX55" s="116"/>
      <c r="AY55" s="2"/>
      <c r="AZ55" s="2"/>
      <c r="BA55" s="2"/>
      <c r="BB55" s="114"/>
      <c r="BC55" s="118"/>
      <c r="BD55" s="116"/>
      <c r="BE55" s="111"/>
      <c r="BF55" s="116"/>
      <c r="BG55" s="2"/>
      <c r="BH55" s="2"/>
      <c r="BI55" s="2"/>
      <c r="BJ55" s="114"/>
      <c r="BK55" s="118"/>
      <c r="BL55" s="116"/>
      <c r="BM55" s="111"/>
      <c r="BN55" s="116"/>
      <c r="BO55" s="2"/>
      <c r="BP55" s="2"/>
      <c r="BQ55" s="2"/>
      <c r="BR55" s="114"/>
      <c r="BS55" s="118"/>
      <c r="BT55" s="116"/>
      <c r="BU55" s="111"/>
      <c r="BV55" s="116"/>
      <c r="BW55" s="2"/>
      <c r="BX55" s="2"/>
      <c r="BY55" s="2"/>
      <c r="BZ55" s="114"/>
      <c r="CA55" s="118"/>
      <c r="CB55" s="116"/>
      <c r="CC55" s="111"/>
      <c r="CD55" s="116"/>
      <c r="CE55" s="2"/>
      <c r="CF55" s="2"/>
      <c r="CG55" s="2"/>
    </row>
    <row r="56" spans="1:85" ht="14.4" customHeight="1" x14ac:dyDescent="0.3">
      <c r="A56" s="460"/>
      <c r="B56" s="126">
        <v>33</v>
      </c>
      <c r="C56" s="142">
        <f>VLOOKUP($E$7,EQRX1,322,FALSE)</f>
        <v>0</v>
      </c>
      <c r="D56" s="141">
        <f>VLOOKUP($E$7,EQRX1,323,FALSE)</f>
        <v>0</v>
      </c>
      <c r="E56" s="137">
        <f>VLOOKUP($E$7,EQRX1,324,FALSE)</f>
        <v>0</v>
      </c>
      <c r="F56" s="138">
        <f>VLOOKUP($E$7,EQRX1,325,FALSE)</f>
        <v>0</v>
      </c>
      <c r="G56" s="188">
        <f>VLOOKUP($E$7,EQRX1,326,FALSE)</f>
        <v>0</v>
      </c>
      <c r="H56" s="141">
        <f>VLOOKUP($E$7,EQRX1,327,FALSE)</f>
        <v>0</v>
      </c>
      <c r="I56" s="141">
        <f>VLOOKUP($E$7,EQRX1,328,FALSE)</f>
        <v>0</v>
      </c>
      <c r="J56" s="325">
        <f>VLOOKUP($E$7,EQRX1,329,FALSE)</f>
        <v>0</v>
      </c>
      <c r="K56" s="433">
        <f>VLOOKUP($E$7,EQRX1,329,FALSE)</f>
        <v>0</v>
      </c>
      <c r="L56" s="434"/>
      <c r="M56" s="434"/>
      <c r="N56" s="435"/>
      <c r="O56" s="115"/>
      <c r="P56" s="116"/>
      <c r="Q56" s="111"/>
      <c r="R56" s="116"/>
      <c r="S56" s="2"/>
      <c r="T56" s="2"/>
      <c r="U56" s="2"/>
      <c r="V56" s="114"/>
      <c r="W56" s="114"/>
      <c r="X56" s="116"/>
      <c r="Y56" s="111"/>
      <c r="Z56" s="116"/>
      <c r="AA56" s="2"/>
      <c r="AB56" s="2"/>
      <c r="AC56" s="2"/>
      <c r="AD56" s="114"/>
      <c r="AE56" s="114"/>
      <c r="AF56" s="116"/>
      <c r="AG56" s="111"/>
      <c r="AH56" s="116"/>
      <c r="AI56" s="2"/>
      <c r="AJ56" s="2"/>
      <c r="AK56" s="2"/>
      <c r="AL56" s="114"/>
      <c r="AM56" s="118"/>
      <c r="AN56" s="116"/>
      <c r="AO56" s="111"/>
      <c r="AP56" s="116"/>
      <c r="AQ56" s="2"/>
      <c r="AR56" s="2"/>
      <c r="AS56" s="2"/>
      <c r="AT56" s="114"/>
      <c r="AU56" s="118"/>
      <c r="AV56" s="116"/>
      <c r="AW56" s="111"/>
      <c r="AX56" s="116"/>
      <c r="AY56" s="2"/>
      <c r="AZ56" s="2"/>
      <c r="BA56" s="2"/>
      <c r="BB56" s="114"/>
      <c r="BC56" s="118"/>
      <c r="BD56" s="116"/>
      <c r="BE56" s="111"/>
      <c r="BF56" s="116"/>
      <c r="BG56" s="2"/>
      <c r="BH56" s="2"/>
      <c r="BI56" s="2"/>
      <c r="BJ56" s="114"/>
      <c r="BK56" s="118"/>
      <c r="BL56" s="116"/>
      <c r="BM56" s="111"/>
      <c r="BN56" s="116"/>
      <c r="BO56" s="2"/>
      <c r="BP56" s="2"/>
      <c r="BQ56" s="2"/>
      <c r="BR56" s="114"/>
      <c r="BS56" s="118"/>
      <c r="BT56" s="116"/>
      <c r="BU56" s="111"/>
      <c r="BV56" s="116"/>
      <c r="BW56" s="2"/>
      <c r="BX56" s="2"/>
      <c r="BY56" s="2"/>
      <c r="BZ56" s="114"/>
      <c r="CA56" s="118"/>
      <c r="CB56" s="116"/>
      <c r="CC56" s="111"/>
      <c r="CD56" s="116"/>
      <c r="CE56" s="2"/>
      <c r="CF56" s="2"/>
      <c r="CG56" s="2"/>
    </row>
    <row r="57" spans="1:85" ht="14.4" customHeight="1" x14ac:dyDescent="0.3">
      <c r="A57" s="460"/>
      <c r="B57" s="127">
        <v>34</v>
      </c>
      <c r="C57" s="192">
        <f>VLOOKUP($E$7,EQRX1,332,FALSE)</f>
        <v>0</v>
      </c>
      <c r="D57" s="191">
        <f>VLOOKUP($E$7,EQRX1,333,FALSE)</f>
        <v>0</v>
      </c>
      <c r="E57" s="139">
        <f>VLOOKUP($E$7,EQRX1,334,FALSE)</f>
        <v>0</v>
      </c>
      <c r="F57" s="140">
        <f>VLOOKUP($E$7,EQRX1,335,FALSE)</f>
        <v>0</v>
      </c>
      <c r="G57" s="189">
        <f>VLOOKUP($E$7,EQRX1,336,FALSE)</f>
        <v>0</v>
      </c>
      <c r="H57" s="140">
        <f>VLOOKUP($E$7,EQRX1,337,FALSE)</f>
        <v>0</v>
      </c>
      <c r="I57" s="140">
        <f>VLOOKUP($E$7,EQRX1,338,FALSE)</f>
        <v>0</v>
      </c>
      <c r="J57" s="140">
        <f>VLOOKUP($E$7,EQRX1,339,FALSE)</f>
        <v>0</v>
      </c>
      <c r="K57" s="430">
        <f>VLOOKUP($E$7,EQRX1,339,FALSE)</f>
        <v>0</v>
      </c>
      <c r="L57" s="431"/>
      <c r="M57" s="431"/>
      <c r="N57" s="432"/>
      <c r="O57" s="115"/>
      <c r="P57" s="116"/>
      <c r="Q57" s="111"/>
      <c r="R57" s="116"/>
      <c r="S57" s="2"/>
      <c r="T57" s="2"/>
      <c r="U57" s="2"/>
      <c r="V57" s="114"/>
      <c r="W57" s="114"/>
      <c r="X57" s="116"/>
      <c r="Y57" s="111"/>
      <c r="Z57" s="116"/>
      <c r="AA57" s="2"/>
      <c r="AB57" s="2"/>
      <c r="AC57" s="2"/>
      <c r="AD57" s="114"/>
      <c r="AE57" s="114"/>
      <c r="AF57" s="116"/>
      <c r="AG57" s="111"/>
      <c r="AH57" s="116"/>
      <c r="AI57" s="2"/>
      <c r="AJ57" s="2"/>
      <c r="AK57" s="2"/>
      <c r="AL57" s="114"/>
      <c r="AM57" s="118"/>
      <c r="AN57" s="116"/>
      <c r="AO57" s="111"/>
      <c r="AP57" s="116"/>
      <c r="AQ57" s="2"/>
      <c r="AR57" s="2"/>
      <c r="AS57" s="2"/>
      <c r="AT57" s="114"/>
      <c r="AU57" s="118"/>
      <c r="AV57" s="116"/>
      <c r="AW57" s="111"/>
      <c r="AX57" s="116"/>
      <c r="AY57" s="2"/>
      <c r="AZ57" s="2"/>
      <c r="BA57" s="2"/>
      <c r="BB57" s="114"/>
      <c r="BC57" s="118"/>
      <c r="BD57" s="116"/>
      <c r="BE57" s="111"/>
      <c r="BF57" s="116"/>
      <c r="BG57" s="2"/>
      <c r="BH57" s="2"/>
      <c r="BI57" s="2"/>
      <c r="BJ57" s="114"/>
      <c r="BK57" s="118"/>
      <c r="BL57" s="116"/>
      <c r="BM57" s="111"/>
      <c r="BN57" s="116"/>
      <c r="BO57" s="2"/>
      <c r="BP57" s="2"/>
      <c r="BQ57" s="2"/>
      <c r="BR57" s="114"/>
      <c r="BS57" s="118"/>
      <c r="BT57" s="116"/>
      <c r="BU57" s="111"/>
      <c r="BV57" s="116"/>
      <c r="BW57" s="2"/>
      <c r="BX57" s="2"/>
      <c r="BY57" s="2"/>
      <c r="BZ57" s="114"/>
      <c r="CA57" s="118"/>
      <c r="CB57" s="116"/>
      <c r="CC57" s="111"/>
      <c r="CD57" s="116"/>
      <c r="CE57" s="2"/>
      <c r="CF57" s="2"/>
      <c r="CG57" s="2"/>
    </row>
    <row r="58" spans="1:85" ht="14.4" customHeight="1" x14ac:dyDescent="0.3">
      <c r="A58" s="460"/>
      <c r="B58" s="126">
        <v>35</v>
      </c>
      <c r="C58" s="142">
        <f>VLOOKUP($E$7,EQRX1,342,FALSE)</f>
        <v>0</v>
      </c>
      <c r="D58" s="141">
        <f>VLOOKUP($E$7,EQRX1,343,FALSE)</f>
        <v>0</v>
      </c>
      <c r="E58" s="137">
        <f>VLOOKUP($E$7,EQRX1,344,FALSE)</f>
        <v>0</v>
      </c>
      <c r="F58" s="138">
        <f>VLOOKUP($E$7,EQRX1,345,FALSE)</f>
        <v>0</v>
      </c>
      <c r="G58" s="188">
        <f>VLOOKUP($E$7,EQRX1,346,FALSE)</f>
        <v>0</v>
      </c>
      <c r="H58" s="141">
        <f>VLOOKUP($E$7,EQRX1,347,FALSE)</f>
        <v>0</v>
      </c>
      <c r="I58" s="141">
        <f>VLOOKUP($E$7,EQRX1,348,FALSE)</f>
        <v>0</v>
      </c>
      <c r="J58" s="325">
        <f>VLOOKUP($E$7,EQRX1,349,FALSE)</f>
        <v>0</v>
      </c>
      <c r="K58" s="433">
        <f>VLOOKUP($E$7,EQRX1,349,FALSE)</f>
        <v>0</v>
      </c>
      <c r="L58" s="434"/>
      <c r="M58" s="434"/>
      <c r="N58" s="435"/>
      <c r="O58" s="115"/>
      <c r="P58" s="116"/>
      <c r="Q58" s="111"/>
      <c r="R58" s="116"/>
      <c r="S58" s="2"/>
      <c r="T58" s="2"/>
      <c r="U58" s="2"/>
      <c r="V58" s="114"/>
      <c r="W58" s="114"/>
      <c r="X58" s="116"/>
      <c r="Y58" s="111"/>
      <c r="Z58" s="116"/>
      <c r="AA58" s="2"/>
      <c r="AB58" s="2"/>
      <c r="AC58" s="2"/>
      <c r="AD58" s="114"/>
      <c r="AE58" s="114"/>
      <c r="AF58" s="116"/>
      <c r="AG58" s="111"/>
      <c r="AH58" s="116"/>
      <c r="AI58" s="2"/>
      <c r="AJ58" s="2"/>
      <c r="AK58" s="2"/>
      <c r="AL58" s="114"/>
      <c r="AM58" s="118"/>
      <c r="AN58" s="116"/>
      <c r="AO58" s="111"/>
      <c r="AP58" s="116"/>
      <c r="AQ58" s="2"/>
      <c r="AR58" s="2"/>
      <c r="AS58" s="2"/>
      <c r="AT58" s="114"/>
      <c r="AU58" s="118"/>
      <c r="AV58" s="116"/>
      <c r="AW58" s="111"/>
      <c r="AX58" s="116"/>
      <c r="AY58" s="2"/>
      <c r="AZ58" s="2"/>
      <c r="BA58" s="2"/>
      <c r="BB58" s="114"/>
      <c r="BC58" s="118"/>
      <c r="BD58" s="116"/>
      <c r="BE58" s="111"/>
      <c r="BF58" s="116"/>
      <c r="BG58" s="2"/>
      <c r="BH58" s="2"/>
      <c r="BI58" s="2"/>
      <c r="BJ58" s="114"/>
      <c r="BK58" s="118"/>
      <c r="BL58" s="116"/>
      <c r="BM58" s="111"/>
      <c r="BN58" s="116"/>
      <c r="BO58" s="2"/>
      <c r="BP58" s="2"/>
      <c r="BQ58" s="2"/>
      <c r="BR58" s="114"/>
      <c r="BS58" s="118"/>
      <c r="BT58" s="116"/>
      <c r="BU58" s="111"/>
      <c r="BV58" s="116"/>
      <c r="BW58" s="2"/>
      <c r="BX58" s="2"/>
      <c r="BY58" s="2"/>
      <c r="BZ58" s="114"/>
      <c r="CA58" s="118"/>
      <c r="CB58" s="116"/>
      <c r="CC58" s="111"/>
      <c r="CD58" s="116"/>
      <c r="CE58" s="2"/>
      <c r="CF58" s="2"/>
      <c r="CG58" s="2"/>
    </row>
    <row r="59" spans="1:85" ht="14.4" customHeight="1" x14ac:dyDescent="0.3">
      <c r="A59" s="460"/>
      <c r="B59" s="127">
        <v>36</v>
      </c>
      <c r="C59" s="192">
        <f>VLOOKUP($E$7,EQRX1,352,FALSE)</f>
        <v>0</v>
      </c>
      <c r="D59" s="191">
        <f>VLOOKUP($E$7,EQRX1,353,FALSE)</f>
        <v>0</v>
      </c>
      <c r="E59" s="139">
        <f>VLOOKUP($E$7,EQRX1,354,FALSE)</f>
        <v>0</v>
      </c>
      <c r="F59" s="140">
        <f>VLOOKUP($E$7,EQRX1,355,FALSE)</f>
        <v>0</v>
      </c>
      <c r="G59" s="189">
        <f>VLOOKUP($E$7,EQRX1,356,FALSE)</f>
        <v>0</v>
      </c>
      <c r="H59" s="140">
        <f>VLOOKUP($E$7,EQRX1,357,FALSE)</f>
        <v>0</v>
      </c>
      <c r="I59" s="140">
        <f>VLOOKUP($E$7,EQRX1,358,FALSE)</f>
        <v>0</v>
      </c>
      <c r="J59" s="140">
        <f>VLOOKUP($E$7,EQRX1,359,FALSE)</f>
        <v>0</v>
      </c>
      <c r="K59" s="430">
        <f>VLOOKUP($E$7,EQRX1,359,FALSE)</f>
        <v>0</v>
      </c>
      <c r="L59" s="431"/>
      <c r="M59" s="431"/>
      <c r="N59" s="432"/>
      <c r="O59" s="115"/>
      <c r="P59" s="116"/>
      <c r="Q59" s="111"/>
      <c r="R59" s="116"/>
      <c r="S59" s="2"/>
      <c r="T59" s="2"/>
      <c r="U59" s="2"/>
      <c r="V59" s="114"/>
      <c r="W59" s="114"/>
      <c r="X59" s="116"/>
      <c r="Y59" s="111"/>
      <c r="Z59" s="116"/>
      <c r="AA59" s="2"/>
      <c r="AB59" s="2"/>
      <c r="AC59" s="2"/>
      <c r="AD59" s="114"/>
      <c r="AE59" s="114"/>
      <c r="AF59" s="116"/>
      <c r="AG59" s="111"/>
      <c r="AH59" s="116"/>
      <c r="AI59" s="2"/>
      <c r="AJ59" s="2"/>
      <c r="AK59" s="2"/>
      <c r="AL59" s="114"/>
      <c r="AM59" s="118"/>
      <c r="AN59" s="116"/>
      <c r="AO59" s="111"/>
      <c r="AP59" s="116"/>
      <c r="AQ59" s="2"/>
      <c r="AR59" s="2"/>
      <c r="AS59" s="2"/>
      <c r="AT59" s="114"/>
      <c r="AU59" s="118"/>
      <c r="AV59" s="116"/>
      <c r="AW59" s="111"/>
      <c r="AX59" s="116"/>
      <c r="AY59" s="2"/>
      <c r="AZ59" s="2"/>
      <c r="BA59" s="2"/>
      <c r="BB59" s="114"/>
      <c r="BC59" s="118"/>
      <c r="BD59" s="116"/>
      <c r="BE59" s="111"/>
      <c r="BF59" s="116"/>
      <c r="BG59" s="2"/>
      <c r="BH59" s="2"/>
      <c r="BI59" s="2"/>
      <c r="BJ59" s="114"/>
      <c r="BK59" s="118"/>
      <c r="BL59" s="116"/>
      <c r="BM59" s="111"/>
      <c r="BN59" s="116"/>
      <c r="BO59" s="2"/>
      <c r="BP59" s="2"/>
      <c r="BQ59" s="2"/>
      <c r="BR59" s="114"/>
      <c r="BS59" s="118"/>
      <c r="BT59" s="116"/>
      <c r="BU59" s="111"/>
      <c r="BV59" s="116"/>
      <c r="BW59" s="2"/>
      <c r="BX59" s="2"/>
      <c r="BY59" s="2"/>
      <c r="BZ59" s="114"/>
      <c r="CA59" s="118"/>
      <c r="CB59" s="116"/>
      <c r="CC59" s="111"/>
      <c r="CD59" s="116"/>
      <c r="CE59" s="2"/>
      <c r="CF59" s="2"/>
      <c r="CG59" s="2"/>
    </row>
    <row r="60" spans="1:85" ht="14.4" customHeight="1" x14ac:dyDescent="0.3">
      <c r="A60" s="460"/>
      <c r="B60" s="126">
        <v>37</v>
      </c>
      <c r="C60" s="142">
        <f>VLOOKUP($E$7,EQRX1,362,FALSE)</f>
        <v>0</v>
      </c>
      <c r="D60" s="141">
        <f>VLOOKUP($E$7,EQRX1,363,FALSE)</f>
        <v>0</v>
      </c>
      <c r="E60" s="137">
        <f>VLOOKUP($E$7,EQRX1,364,FALSE)</f>
        <v>0</v>
      </c>
      <c r="F60" s="138">
        <f>VLOOKUP($E$7,EQRX1,365,FALSE)</f>
        <v>0</v>
      </c>
      <c r="G60" s="188">
        <f>VLOOKUP($E$7,EQRX1,366,FALSE)</f>
        <v>0</v>
      </c>
      <c r="H60" s="141">
        <f>VLOOKUP($E$7,EQRX1,367,FALSE)</f>
        <v>0</v>
      </c>
      <c r="I60" s="141">
        <f>VLOOKUP($E$7,EQRX1,368,FALSE)</f>
        <v>0</v>
      </c>
      <c r="J60" s="325">
        <f>VLOOKUP($E$7,EQRX1,369,FALSE)</f>
        <v>0</v>
      </c>
      <c r="K60" s="433">
        <f>VLOOKUP($E$7,EQRX1,369,FALSE)</f>
        <v>0</v>
      </c>
      <c r="L60" s="434"/>
      <c r="M60" s="434"/>
      <c r="N60" s="435"/>
      <c r="O60" s="115"/>
      <c r="P60" s="116"/>
      <c r="Q60" s="111"/>
      <c r="R60" s="116"/>
      <c r="S60" s="2"/>
      <c r="T60" s="2"/>
      <c r="U60" s="2"/>
      <c r="V60" s="114"/>
      <c r="W60" s="114"/>
      <c r="X60" s="116"/>
      <c r="Y60" s="111"/>
      <c r="Z60" s="116"/>
      <c r="AA60" s="2"/>
      <c r="AB60" s="2"/>
      <c r="AC60" s="2"/>
      <c r="AD60" s="114"/>
      <c r="AE60" s="114"/>
      <c r="AF60" s="116"/>
      <c r="AG60" s="111"/>
      <c r="AH60" s="116"/>
      <c r="AI60" s="2"/>
      <c r="AJ60" s="2"/>
      <c r="AK60" s="2"/>
      <c r="AL60" s="114"/>
      <c r="AM60" s="118"/>
      <c r="AN60" s="116"/>
      <c r="AO60" s="111"/>
      <c r="AP60" s="116"/>
      <c r="AQ60" s="2"/>
      <c r="AR60" s="2"/>
      <c r="AS60" s="2"/>
      <c r="AT60" s="114"/>
      <c r="AU60" s="118"/>
      <c r="AV60" s="116"/>
      <c r="AW60" s="111"/>
      <c r="AX60" s="116"/>
      <c r="AY60" s="2"/>
      <c r="AZ60" s="2"/>
      <c r="BA60" s="2"/>
      <c r="BB60" s="114"/>
      <c r="BC60" s="118"/>
      <c r="BD60" s="116"/>
      <c r="BE60" s="111"/>
      <c r="BF60" s="116"/>
      <c r="BG60" s="2"/>
      <c r="BH60" s="2"/>
      <c r="BI60" s="2"/>
      <c r="BJ60" s="114"/>
      <c r="BK60" s="118"/>
      <c r="BL60" s="116"/>
      <c r="BM60" s="111"/>
      <c r="BN60" s="116"/>
      <c r="BO60" s="2"/>
      <c r="BP60" s="2"/>
      <c r="BQ60" s="2"/>
      <c r="BR60" s="114"/>
      <c r="BS60" s="118"/>
      <c r="BT60" s="116"/>
      <c r="BU60" s="111"/>
      <c r="BV60" s="116"/>
      <c r="BW60" s="2"/>
      <c r="BX60" s="2"/>
      <c r="BY60" s="2"/>
      <c r="BZ60" s="114"/>
      <c r="CA60" s="118"/>
      <c r="CB60" s="116"/>
      <c r="CC60" s="111"/>
      <c r="CD60" s="116"/>
      <c r="CE60" s="2"/>
      <c r="CF60" s="2"/>
      <c r="CG60" s="2"/>
    </row>
    <row r="61" spans="1:85" ht="14.4" customHeight="1" x14ac:dyDescent="0.3">
      <c r="A61" s="460"/>
      <c r="B61" s="127">
        <v>38</v>
      </c>
      <c r="C61" s="192">
        <f>VLOOKUP($E$7,EQRX1,372,FALSE)</f>
        <v>0</v>
      </c>
      <c r="D61" s="191">
        <f>VLOOKUP($E$7,EQRX1,373,FALSE)</f>
        <v>0</v>
      </c>
      <c r="E61" s="139">
        <f>VLOOKUP($E$7,EQRX1,374,FALSE)</f>
        <v>0</v>
      </c>
      <c r="F61" s="140">
        <f>VLOOKUP($E$7,EQRX1,375,FALSE)</f>
        <v>0</v>
      </c>
      <c r="G61" s="189">
        <f>VLOOKUP($E$7,EQRX1,376,FALSE)</f>
        <v>0</v>
      </c>
      <c r="H61" s="140">
        <f>VLOOKUP($E$7,EQRX1,377,FALSE)</f>
        <v>0</v>
      </c>
      <c r="I61" s="140">
        <f>VLOOKUP($E$7,EQRX1,378,FALSE)</f>
        <v>0</v>
      </c>
      <c r="J61" s="140">
        <f>VLOOKUP($E$7,EQRX1,379,FALSE)</f>
        <v>0</v>
      </c>
      <c r="K61" s="430">
        <f>VLOOKUP($E$7,EQRX1,379,FALSE)</f>
        <v>0</v>
      </c>
      <c r="L61" s="431"/>
      <c r="M61" s="431"/>
      <c r="N61" s="432"/>
      <c r="O61" s="115"/>
      <c r="P61" s="116"/>
      <c r="Q61" s="111"/>
      <c r="R61" s="116"/>
      <c r="S61" s="2"/>
      <c r="T61" s="2"/>
      <c r="U61" s="2"/>
      <c r="V61" s="114"/>
      <c r="W61" s="114"/>
      <c r="X61" s="116"/>
      <c r="Y61" s="111"/>
      <c r="Z61" s="116"/>
      <c r="AA61" s="2"/>
      <c r="AB61" s="2"/>
      <c r="AC61" s="2"/>
      <c r="AD61" s="114"/>
      <c r="AE61" s="114"/>
      <c r="AF61" s="116"/>
      <c r="AG61" s="111"/>
      <c r="AH61" s="116"/>
      <c r="AI61" s="2"/>
      <c r="AJ61" s="2"/>
      <c r="AK61" s="2"/>
      <c r="AL61" s="114"/>
      <c r="AM61" s="118"/>
      <c r="AN61" s="116"/>
      <c r="AO61" s="111"/>
      <c r="AP61" s="116"/>
      <c r="AQ61" s="2"/>
      <c r="AR61" s="2"/>
      <c r="AS61" s="2"/>
      <c r="AT61" s="114"/>
      <c r="AU61" s="118"/>
      <c r="AV61" s="116"/>
      <c r="AW61" s="111"/>
      <c r="AX61" s="116"/>
      <c r="AY61" s="2"/>
      <c r="AZ61" s="2"/>
      <c r="BA61" s="2"/>
      <c r="BB61" s="114"/>
      <c r="BC61" s="118"/>
      <c r="BD61" s="116"/>
      <c r="BE61" s="111"/>
      <c r="BF61" s="116"/>
      <c r="BG61" s="2"/>
      <c r="BH61" s="2"/>
      <c r="BI61" s="2"/>
      <c r="BJ61" s="114"/>
      <c r="BK61" s="118"/>
      <c r="BL61" s="116"/>
      <c r="BM61" s="111"/>
      <c r="BN61" s="116"/>
      <c r="BO61" s="2"/>
      <c r="BP61" s="2"/>
      <c r="BQ61" s="2"/>
      <c r="BR61" s="114"/>
      <c r="BS61" s="118"/>
      <c r="BT61" s="116"/>
      <c r="BU61" s="111"/>
      <c r="BV61" s="116"/>
      <c r="BW61" s="2"/>
      <c r="BX61" s="2"/>
      <c r="BY61" s="2"/>
      <c r="BZ61" s="114"/>
      <c r="CA61" s="118"/>
      <c r="CB61" s="116"/>
      <c r="CC61" s="111"/>
      <c r="CD61" s="116"/>
      <c r="CE61" s="2"/>
      <c r="CF61" s="2"/>
      <c r="CG61" s="2"/>
    </row>
    <row r="62" spans="1:85" ht="14.4" customHeight="1" x14ac:dyDescent="0.3">
      <c r="A62" s="460"/>
      <c r="B62" s="126">
        <v>39</v>
      </c>
      <c r="C62" s="142">
        <f>VLOOKUP($E$7,EQRX1,382,FALSE)</f>
        <v>0</v>
      </c>
      <c r="D62" s="141">
        <f>VLOOKUP($E$7,EQRX1,383,FALSE)</f>
        <v>0</v>
      </c>
      <c r="E62" s="137">
        <f>VLOOKUP($E$7,EQRX1,384,FALSE)</f>
        <v>0</v>
      </c>
      <c r="F62" s="138">
        <f>VLOOKUP($E$7,EQRX1,385,FALSE)</f>
        <v>0</v>
      </c>
      <c r="G62" s="188">
        <f>VLOOKUP($E$7,EQRX1,386,FALSE)</f>
        <v>0</v>
      </c>
      <c r="H62" s="141">
        <f>VLOOKUP($E$7,EQRX1,387,FALSE)</f>
        <v>0</v>
      </c>
      <c r="I62" s="141">
        <f>VLOOKUP($E$7,EQRX1,388,FALSE)</f>
        <v>0</v>
      </c>
      <c r="J62" s="325">
        <f>VLOOKUP($E$7,EQRX1,389,FALSE)</f>
        <v>0</v>
      </c>
      <c r="K62" s="433">
        <f>VLOOKUP($E$7,EQRX1,389,FALSE)</f>
        <v>0</v>
      </c>
      <c r="L62" s="434"/>
      <c r="M62" s="434"/>
      <c r="N62" s="435"/>
      <c r="O62" s="115"/>
      <c r="P62" s="116"/>
      <c r="Q62" s="111"/>
      <c r="R62" s="116"/>
      <c r="S62" s="2"/>
      <c r="T62" s="2"/>
      <c r="U62" s="2"/>
      <c r="V62" s="114"/>
      <c r="W62" s="114"/>
      <c r="X62" s="116"/>
      <c r="Y62" s="111"/>
      <c r="Z62" s="116"/>
      <c r="AA62" s="2"/>
      <c r="AB62" s="2"/>
      <c r="AC62" s="2"/>
      <c r="AD62" s="114"/>
      <c r="AE62" s="114"/>
      <c r="AF62" s="116"/>
      <c r="AG62" s="111"/>
      <c r="AH62" s="116"/>
      <c r="AI62" s="2"/>
      <c r="AJ62" s="2"/>
      <c r="AK62" s="2"/>
      <c r="AL62" s="114"/>
      <c r="AM62" s="118"/>
      <c r="AN62" s="116"/>
      <c r="AO62" s="111"/>
      <c r="AP62" s="116"/>
      <c r="AQ62" s="2"/>
      <c r="AR62" s="2"/>
      <c r="AS62" s="2"/>
      <c r="AT62" s="114"/>
      <c r="AU62" s="118"/>
      <c r="AV62" s="116"/>
      <c r="AW62" s="111"/>
      <c r="AX62" s="116"/>
      <c r="AY62" s="2"/>
      <c r="AZ62" s="2"/>
      <c r="BA62" s="2"/>
      <c r="BB62" s="114"/>
      <c r="BC62" s="118"/>
      <c r="BD62" s="116"/>
      <c r="BE62" s="111"/>
      <c r="BF62" s="116"/>
      <c r="BG62" s="2"/>
      <c r="BH62" s="2"/>
      <c r="BI62" s="2"/>
      <c r="BJ62" s="114"/>
      <c r="BK62" s="118"/>
      <c r="BL62" s="116"/>
      <c r="BM62" s="111"/>
      <c r="BN62" s="116"/>
      <c r="BO62" s="2"/>
      <c r="BP62" s="2"/>
      <c r="BQ62" s="2"/>
      <c r="BR62" s="114"/>
      <c r="BS62" s="118"/>
      <c r="BT62" s="116"/>
      <c r="BU62" s="111"/>
      <c r="BV62" s="116"/>
      <c r="BW62" s="2"/>
      <c r="BX62" s="2"/>
      <c r="BY62" s="2"/>
      <c r="BZ62" s="114"/>
      <c r="CA62" s="118"/>
      <c r="CB62" s="116"/>
      <c r="CC62" s="111"/>
      <c r="CD62" s="116"/>
      <c r="CE62" s="2"/>
      <c r="CF62" s="2"/>
      <c r="CG62" s="2"/>
    </row>
    <row r="63" spans="1:85" ht="14.4" customHeight="1" x14ac:dyDescent="0.3">
      <c r="A63" s="460"/>
      <c r="B63" s="127">
        <v>40</v>
      </c>
      <c r="C63" s="192">
        <f>VLOOKUP($E$7,EQRX1,392,FALSE)</f>
        <v>0</v>
      </c>
      <c r="D63" s="191">
        <f>VLOOKUP($E$7,EQRX1,393,FALSE)</f>
        <v>0</v>
      </c>
      <c r="E63" s="139">
        <f>VLOOKUP($E$7,EQRX1,394,FALSE)</f>
        <v>0</v>
      </c>
      <c r="F63" s="140">
        <f>VLOOKUP($E$7,EQRX1,395,FALSE)</f>
        <v>0</v>
      </c>
      <c r="G63" s="189">
        <f>VLOOKUP($E$7,EQRX1,396,FALSE)</f>
        <v>0</v>
      </c>
      <c r="H63" s="140">
        <f>VLOOKUP($E$7,EQRX1,397,FALSE)</f>
        <v>0</v>
      </c>
      <c r="I63" s="140">
        <f>VLOOKUP($E$7,EQRX1,398,FALSE)</f>
        <v>0</v>
      </c>
      <c r="J63" s="140">
        <f>VLOOKUP($E$7,EQRX1,399,FALSE)</f>
        <v>0</v>
      </c>
      <c r="K63" s="430">
        <f>VLOOKUP($E$7,EQRX1,399,FALSE)</f>
        <v>0</v>
      </c>
      <c r="L63" s="431"/>
      <c r="M63" s="431"/>
      <c r="N63" s="432"/>
      <c r="O63" s="115"/>
      <c r="P63" s="116"/>
      <c r="Q63" s="111"/>
      <c r="R63" s="116"/>
      <c r="S63" s="2"/>
      <c r="T63" s="2"/>
      <c r="U63" s="2"/>
      <c r="V63" s="114"/>
      <c r="W63" s="114"/>
      <c r="X63" s="116"/>
      <c r="Y63" s="111"/>
      <c r="Z63" s="116"/>
      <c r="AA63" s="2"/>
      <c r="AB63" s="2"/>
      <c r="AC63" s="2"/>
      <c r="AD63" s="114"/>
      <c r="AE63" s="114"/>
      <c r="AF63" s="116"/>
      <c r="AG63" s="111"/>
      <c r="AH63" s="116"/>
      <c r="AI63" s="2"/>
      <c r="AJ63" s="2"/>
      <c r="AK63" s="2"/>
      <c r="AL63" s="114"/>
      <c r="AM63" s="118"/>
      <c r="AN63" s="116"/>
      <c r="AO63" s="111"/>
      <c r="AP63" s="116"/>
      <c r="AQ63" s="2"/>
      <c r="AR63" s="2"/>
      <c r="AS63" s="2"/>
      <c r="AT63" s="114"/>
      <c r="AU63" s="118"/>
      <c r="AV63" s="116"/>
      <c r="AW63" s="111"/>
      <c r="AX63" s="116"/>
      <c r="AY63" s="2"/>
      <c r="AZ63" s="2"/>
      <c r="BA63" s="2"/>
      <c r="BB63" s="114"/>
      <c r="BC63" s="118"/>
      <c r="BD63" s="116"/>
      <c r="BE63" s="111"/>
      <c r="BF63" s="116"/>
      <c r="BG63" s="2"/>
      <c r="BH63" s="2"/>
      <c r="BI63" s="2"/>
      <c r="BJ63" s="114"/>
      <c r="BK63" s="118"/>
      <c r="BL63" s="116"/>
      <c r="BM63" s="111"/>
      <c r="BN63" s="116"/>
      <c r="BO63" s="2"/>
      <c r="BP63" s="2"/>
      <c r="BQ63" s="2"/>
      <c r="BR63" s="114"/>
      <c r="BS63" s="118"/>
      <c r="BT63" s="116"/>
      <c r="BU63" s="111"/>
      <c r="BV63" s="116"/>
      <c r="BW63" s="2"/>
      <c r="BX63" s="2"/>
      <c r="BY63" s="2"/>
      <c r="BZ63" s="114"/>
      <c r="CA63" s="118"/>
      <c r="CB63" s="116"/>
      <c r="CC63" s="111"/>
      <c r="CD63" s="116"/>
      <c r="CE63" s="2"/>
      <c r="CF63" s="2"/>
      <c r="CG63" s="2"/>
    </row>
    <row r="64" spans="1:85" ht="14.4" customHeight="1" x14ac:dyDescent="0.3">
      <c r="A64" s="460"/>
      <c r="B64" s="126"/>
      <c r="C64" s="142"/>
      <c r="D64" s="141"/>
      <c r="E64" s="137"/>
      <c r="F64" s="141"/>
      <c r="G64" s="138"/>
      <c r="H64" s="141"/>
      <c r="I64" s="141"/>
      <c r="J64" s="325"/>
      <c r="K64" s="433"/>
      <c r="L64" s="434"/>
      <c r="M64" s="434"/>
      <c r="N64" s="435"/>
      <c r="O64" s="115"/>
      <c r="P64" s="116"/>
      <c r="Q64" s="118"/>
      <c r="R64" s="116"/>
      <c r="S64" s="2"/>
      <c r="T64" s="2"/>
      <c r="U64" s="2"/>
      <c r="V64" s="114"/>
      <c r="W64" s="114"/>
      <c r="X64" s="116"/>
      <c r="Y64" s="114"/>
      <c r="Z64" s="116"/>
      <c r="AA64" s="2"/>
      <c r="AB64" s="2"/>
      <c r="AC64" s="2"/>
      <c r="AD64" s="114"/>
      <c r="AE64" s="114"/>
      <c r="AF64" s="116"/>
      <c r="AG64" s="114"/>
      <c r="AH64" s="116"/>
      <c r="AL64" s="114"/>
      <c r="AM64" s="114"/>
      <c r="AN64" s="116"/>
      <c r="AO64" s="114"/>
      <c r="AP64" s="116"/>
      <c r="AT64" s="114"/>
      <c r="AU64" s="114"/>
      <c r="AV64" s="116"/>
      <c r="AW64" s="114"/>
      <c r="AX64" s="116"/>
      <c r="BB64" s="114"/>
      <c r="BC64" s="114"/>
      <c r="BD64" s="116"/>
      <c r="BE64" s="114"/>
      <c r="BF64" s="116"/>
      <c r="BJ64" s="114"/>
      <c r="BK64" s="114"/>
      <c r="BL64" s="116"/>
      <c r="BM64" s="114"/>
      <c r="BN64" s="116"/>
      <c r="BO64" s="2"/>
      <c r="BP64" s="2"/>
      <c r="BQ64" s="2"/>
      <c r="BR64" s="114"/>
      <c r="BS64" s="114"/>
      <c r="BT64" s="116"/>
      <c r="BU64" s="114"/>
      <c r="BV64" s="116"/>
      <c r="BW64" s="2"/>
      <c r="BX64" s="2"/>
      <c r="BY64" s="2"/>
      <c r="BZ64" s="114"/>
      <c r="CA64" s="114"/>
      <c r="CB64" s="116"/>
      <c r="CC64" s="114"/>
      <c r="CD64" s="116"/>
      <c r="CE64" s="2"/>
      <c r="CF64" s="2"/>
      <c r="CG64" s="2"/>
    </row>
    <row r="69" spans="1:65" s="44" customFormat="1" ht="27.6" x14ac:dyDescent="0.3">
      <c r="A69" s="450" t="s">
        <v>23</v>
      </c>
      <c r="B69" s="143" t="s">
        <v>1</v>
      </c>
      <c r="C69" s="144" t="s">
        <v>24</v>
      </c>
      <c r="D69" s="144" t="s">
        <v>25</v>
      </c>
      <c r="E69" s="144" t="s">
        <v>26</v>
      </c>
      <c r="F69" s="454" t="s">
        <v>27</v>
      </c>
      <c r="G69" s="454"/>
      <c r="H69" s="145" t="s">
        <v>16</v>
      </c>
      <c r="I69" s="145" t="s">
        <v>28</v>
      </c>
      <c r="J69" s="145" t="s">
        <v>29</v>
      </c>
      <c r="K69" s="145" t="s">
        <v>30</v>
      </c>
      <c r="L69" s="145" t="s">
        <v>31</v>
      </c>
      <c r="M69" s="145" t="s">
        <v>32</v>
      </c>
      <c r="N69" s="303" t="s">
        <v>33</v>
      </c>
      <c r="O69" s="122"/>
      <c r="P69" s="122"/>
      <c r="Q69" s="122"/>
      <c r="R69" s="121"/>
      <c r="S69" s="121"/>
      <c r="T69" s="122"/>
      <c r="U69" s="122"/>
      <c r="V69" s="122"/>
      <c r="W69" s="122"/>
      <c r="X69" s="121"/>
      <c r="Y69" s="121"/>
      <c r="Z69" s="122"/>
      <c r="AA69" s="122"/>
      <c r="AB69" s="122"/>
      <c r="AC69" s="122"/>
      <c r="AD69" s="121"/>
      <c r="AE69" s="121"/>
      <c r="AF69" s="122"/>
      <c r="AG69" s="122"/>
      <c r="AH69" s="122"/>
      <c r="AI69" s="122"/>
      <c r="AJ69" s="121"/>
      <c r="AK69" s="121"/>
      <c r="AL69" s="122"/>
      <c r="AM69" s="122"/>
      <c r="AN69" s="122"/>
      <c r="AO69" s="122"/>
      <c r="AP69" s="121"/>
      <c r="AQ69" s="121"/>
      <c r="AR69" s="122"/>
      <c r="AS69" s="122"/>
      <c r="AT69" s="122"/>
      <c r="AU69" s="122"/>
      <c r="AV69" s="121"/>
      <c r="AW69" s="121"/>
      <c r="AX69" s="122"/>
      <c r="AY69" s="122"/>
      <c r="AZ69" s="122"/>
      <c r="BA69" s="122"/>
      <c r="BB69" s="121"/>
      <c r="BC69" s="121"/>
      <c r="BD69" s="122"/>
      <c r="BE69" s="122"/>
      <c r="BF69" s="122"/>
      <c r="BG69" s="122"/>
      <c r="BH69" s="121"/>
      <c r="BI69" s="121"/>
      <c r="BJ69" s="122"/>
      <c r="BK69" s="122"/>
      <c r="BL69" s="122"/>
      <c r="BM69" s="122"/>
    </row>
    <row r="70" spans="1:65" x14ac:dyDescent="0.3">
      <c r="A70" s="450"/>
      <c r="B70" s="126" cm="1">
        <f t="array" ref="B70:B99">_xlfn.SEQUENCE(COUNTA(C70:C99))</f>
        <v>1</v>
      </c>
      <c r="C70" s="196" t="str">
        <f>VLOOKUP($E$7,FTSGM1,11,FALSE)</f>
        <v>Co-57</v>
      </c>
      <c r="D70" s="137" t="str">
        <f>VLOOKUP($E$7,FTSGM1,10,FALSE)</f>
        <v>2071.87.1</v>
      </c>
      <c r="E70" s="137">
        <f>VLOOKUP($E$7,FTSGM1,6,FALSE)</f>
        <v>1</v>
      </c>
      <c r="F70" s="197">
        <f>VLOOKUP($E$7,FTSGM1,12,FALSE)</f>
        <v>388.5</v>
      </c>
      <c r="G70" s="198" t="str">
        <f>VLOOKUP($E$7,FTSGM1,13,FALSE)</f>
        <v>kBq</v>
      </c>
      <c r="H70" s="199" t="str">
        <f>VLOOKUP($E$7,FTSGM1,8,FALSE)</f>
        <v>ECKERT &amp; ZIEGLER</v>
      </c>
      <c r="I70" s="199" t="str">
        <f>VLOOKUP($E$7,FTSGM1,9,FALSE)</f>
        <v>GF-137-10D</v>
      </c>
      <c r="J70" s="199" t="str">
        <f>VLOOKUP($E$7,FTSGM1,16,FALSE)</f>
        <v>FUENTE REFERENCIA</v>
      </c>
      <c r="K70" s="213" t="str">
        <f>VLOOKUP($E$7,FTSGM1,14,FALSE)</f>
        <v>S</v>
      </c>
      <c r="L70" s="213">
        <f>VLOOKUP($E$7,FTSGM1,17,FALSE)</f>
        <v>0</v>
      </c>
      <c r="M70" s="302" t="str">
        <f>IF(L70=0," ",L70+365+1)</f>
        <v xml:space="preserve"> </v>
      </c>
      <c r="N70" s="304" t="str">
        <f t="shared" ref="N70:N99" si="0">IF(L70=0," ",VLOOKUP($E$7,BASEDET1,7,FALSE))</f>
        <v xml:space="preserve"> </v>
      </c>
      <c r="O70" s="120"/>
      <c r="P70" s="120"/>
      <c r="Q70" s="120"/>
      <c r="R70" s="114"/>
      <c r="S70" s="114"/>
      <c r="T70" s="120"/>
      <c r="U70" s="120"/>
      <c r="V70" s="120"/>
      <c r="W70" s="120"/>
      <c r="X70" s="114"/>
      <c r="Y70" s="114"/>
      <c r="Z70" s="120"/>
      <c r="AA70" s="120"/>
      <c r="AB70" s="120"/>
      <c r="AC70" s="120"/>
      <c r="AD70" s="114"/>
      <c r="AE70" s="114"/>
      <c r="AF70" s="120"/>
      <c r="AG70" s="120"/>
      <c r="AH70" s="120"/>
      <c r="AI70" s="120"/>
      <c r="AJ70" s="114"/>
      <c r="AK70" s="114"/>
      <c r="AL70" s="120"/>
      <c r="AM70" s="120"/>
      <c r="AN70" s="120"/>
      <c r="AO70" s="120"/>
      <c r="AP70" s="114"/>
      <c r="AQ70" s="114"/>
      <c r="AR70" s="120"/>
      <c r="AS70" s="120"/>
      <c r="AT70" s="120"/>
      <c r="AU70" s="120"/>
      <c r="AV70" s="114"/>
      <c r="AW70" s="114"/>
      <c r="AX70" s="120"/>
      <c r="AY70" s="120"/>
      <c r="AZ70" s="120"/>
      <c r="BA70" s="120"/>
      <c r="BB70" s="114"/>
      <c r="BC70" s="114"/>
      <c r="BD70" s="120"/>
      <c r="BE70" s="120"/>
      <c r="BF70" s="120"/>
      <c r="BG70" s="120"/>
      <c r="BH70" s="114"/>
      <c r="BI70" s="114"/>
      <c r="BJ70" s="120"/>
      <c r="BK70" s="120"/>
      <c r="BL70" s="120"/>
      <c r="BM70" s="120"/>
    </row>
    <row r="71" spans="1:65" x14ac:dyDescent="0.3">
      <c r="A71" s="450"/>
      <c r="B71" s="127">
        <v>2</v>
      </c>
      <c r="C71" s="128" t="str">
        <f>VLOOKUP($E$7,FTSGM1,32,FALSE)</f>
        <v>Co-60</v>
      </c>
      <c r="D71" s="139" t="str">
        <f>VLOOKUP($E$7,FTSGM1,31,FALSE)</f>
        <v>87528B / 87482B</v>
      </c>
      <c r="E71" s="139">
        <f>VLOOKUP($E$7,FTSGM1,27,FALSE)</f>
        <v>2</v>
      </c>
      <c r="F71" s="147">
        <f>VLOOKUP($E$7,FTSGM1,33,FALSE)</f>
        <v>0</v>
      </c>
      <c r="G71" s="148" t="str">
        <f>VLOOKUP($E$7,FTSGM1,34,FALSE)</f>
        <v>GBq</v>
      </c>
      <c r="H71" s="146" t="str">
        <f>VLOOKUP($E$7,FTSGM1,29,FALSE)</f>
        <v>QSA GLOBAL, INC INC</v>
      </c>
      <c r="I71" s="146" t="str">
        <f>VLOOKUP($E$7,FTSGM1,30,FALSE)</f>
        <v>CDC.711M / CKC.P4</v>
      </c>
      <c r="J71" s="146" t="str">
        <f>VLOOKUP($E$7,FTSGM1,37,FALSE)</f>
        <v>VP00017</v>
      </c>
      <c r="K71" s="214" t="str">
        <f>VLOOKUP($E$7,FTSGM1,35,FALSE)</f>
        <v>S</v>
      </c>
      <c r="L71" s="214">
        <f>VLOOKUP($E$7,FTSGM1,38,FALSE)</f>
        <v>0</v>
      </c>
      <c r="M71" s="300" t="str">
        <f t="shared" ref="M71:M99" si="1">IF(L71=0," ",L71+365+1)</f>
        <v xml:space="preserve"> </v>
      </c>
      <c r="N71" s="301" t="str">
        <f t="shared" si="0"/>
        <v xml:space="preserve"> </v>
      </c>
      <c r="O71" s="120"/>
      <c r="P71" s="120"/>
      <c r="Q71" s="120"/>
      <c r="R71" s="114"/>
      <c r="S71" s="114"/>
      <c r="T71" s="120"/>
      <c r="U71" s="120"/>
      <c r="V71" s="120"/>
      <c r="W71" s="120"/>
      <c r="X71" s="114"/>
      <c r="Y71" s="114"/>
      <c r="Z71" s="120"/>
      <c r="AA71" s="120"/>
      <c r="AB71" s="120"/>
      <c r="AC71" s="120"/>
      <c r="AD71" s="114"/>
      <c r="AE71" s="114"/>
      <c r="AF71" s="120"/>
      <c r="AG71" s="120"/>
      <c r="AH71" s="120"/>
      <c r="AI71" s="120"/>
      <c r="AJ71" s="114"/>
      <c r="AK71" s="114"/>
      <c r="AL71" s="120"/>
      <c r="AM71" s="120"/>
      <c r="AN71" s="120"/>
      <c r="AO71" s="120"/>
      <c r="AP71" s="114"/>
      <c r="AQ71" s="114"/>
      <c r="AR71" s="120"/>
      <c r="AS71" s="120"/>
      <c r="AT71" s="120"/>
      <c r="AU71" s="120"/>
      <c r="AV71" s="114"/>
      <c r="AW71" s="114"/>
      <c r="AX71" s="120"/>
      <c r="AY71" s="120"/>
      <c r="AZ71" s="120"/>
      <c r="BA71" s="120"/>
      <c r="BB71" s="114"/>
      <c r="BC71" s="114"/>
      <c r="BD71" s="120"/>
      <c r="BE71" s="120"/>
      <c r="BF71" s="120"/>
      <c r="BG71" s="120"/>
      <c r="BH71" s="114"/>
      <c r="BI71" s="114"/>
      <c r="BJ71" s="120"/>
      <c r="BK71" s="120"/>
      <c r="BL71" s="120"/>
      <c r="BM71" s="120"/>
    </row>
    <row r="72" spans="1:65" x14ac:dyDescent="0.3">
      <c r="A72" s="450"/>
      <c r="B72" s="126">
        <v>3</v>
      </c>
      <c r="C72" s="196" t="str">
        <f>VLOOKUP($E$7,FTSGM1,53,FALSE)</f>
        <v>Co-60</v>
      </c>
      <c r="D72" s="137" t="str">
        <f>VLOOKUP($E$7,FTSGM1,52,FALSE)</f>
        <v>50282G</v>
      </c>
      <c r="E72" s="137">
        <f>VLOOKUP($E$7,FTSGM1,48,FALSE)</f>
        <v>1</v>
      </c>
      <c r="F72" s="197">
        <f>VLOOKUP($E$7,FTSGM1,54,FALSE)</f>
        <v>41</v>
      </c>
      <c r="G72" s="198" t="str">
        <f>VLOOKUP($E$7,FTSGM1,55,FALSE)</f>
        <v>GBq</v>
      </c>
      <c r="H72" s="199" t="str">
        <f>VLOOKUP($E$7,FTSGM1,50,FALSE)</f>
        <v>QSA GLOBAL, INC INC</v>
      </c>
      <c r="I72" s="199" t="str">
        <f>VLOOKUP($E$7,FTSGM1,51,FALSE)</f>
        <v>CDC.711M</v>
      </c>
      <c r="J72" s="199" t="str">
        <f>VLOOKUP($E$7,FTSGM1,58,FALSE)</f>
        <v>VR00041</v>
      </c>
      <c r="K72" s="213" t="str">
        <f>VLOOKUP($E$7,FTSGM1,56,FALSE)</f>
        <v>S</v>
      </c>
      <c r="L72" s="213">
        <f>VLOOKUP($E$7,FTSGM1,59,FALSE)</f>
        <v>0</v>
      </c>
      <c r="M72" s="302" t="str">
        <f t="shared" si="1"/>
        <v xml:space="preserve"> </v>
      </c>
      <c r="N72" s="305" t="str">
        <f t="shared" si="0"/>
        <v xml:space="preserve"> </v>
      </c>
      <c r="O72" s="120"/>
      <c r="P72" s="120"/>
      <c r="Q72" s="120"/>
      <c r="R72" s="114"/>
      <c r="S72" s="114"/>
      <c r="T72" s="120"/>
      <c r="U72" s="120"/>
      <c r="V72" s="120"/>
      <c r="W72" s="120"/>
      <c r="X72" s="114"/>
      <c r="Y72" s="114"/>
      <c r="Z72" s="120"/>
      <c r="AA72" s="120"/>
      <c r="AB72" s="120"/>
      <c r="AC72" s="120"/>
      <c r="AD72" s="114"/>
      <c r="AE72" s="114"/>
      <c r="AF72" s="120"/>
      <c r="AG72" s="120"/>
      <c r="AH72" s="120"/>
      <c r="AI72" s="120"/>
      <c r="AJ72" s="114"/>
      <c r="AK72" s="114"/>
      <c r="AL72" s="120"/>
      <c r="AM72" s="120"/>
      <c r="AN72" s="120"/>
      <c r="AO72" s="120"/>
      <c r="AP72" s="114"/>
      <c r="AQ72" s="114"/>
      <c r="AR72" s="120"/>
      <c r="AS72" s="120"/>
      <c r="AT72" s="120"/>
      <c r="AU72" s="120"/>
      <c r="AV72" s="114"/>
      <c r="AW72" s="114"/>
      <c r="AX72" s="120"/>
      <c r="AY72" s="120"/>
      <c r="AZ72" s="120"/>
      <c r="BA72" s="120"/>
      <c r="BB72" s="114"/>
      <c r="BC72" s="114"/>
      <c r="BD72" s="120"/>
      <c r="BE72" s="120"/>
      <c r="BF72" s="120"/>
      <c r="BG72" s="120"/>
      <c r="BH72" s="114"/>
      <c r="BI72" s="114"/>
      <c r="BJ72" s="120"/>
      <c r="BK72" s="120"/>
      <c r="BL72" s="120"/>
      <c r="BM72" s="120"/>
    </row>
    <row r="73" spans="1:65" x14ac:dyDescent="0.3">
      <c r="A73" s="450"/>
      <c r="B73" s="127">
        <v>4</v>
      </c>
      <c r="C73" s="128" t="str">
        <f>VLOOKUP($E$7,FTSGM1,74,FALSE)</f>
        <v>Co-60</v>
      </c>
      <c r="D73" s="139" t="str">
        <f>VLOOKUP($E$7,FTSGM1,73,FALSE)</f>
        <v>50254G</v>
      </c>
      <c r="E73" s="139">
        <f>VLOOKUP($E$7,FTSGM1,69,FALSE)</f>
        <v>1</v>
      </c>
      <c r="F73" s="147">
        <f>VLOOKUP($E$7,FTSGM1,75,FALSE)</f>
        <v>35</v>
      </c>
      <c r="G73" s="148" t="str">
        <f>VLOOKUP($E$7,FTSGM1,76,FALSE)</f>
        <v>GBq</v>
      </c>
      <c r="H73" s="146" t="str">
        <f>VLOOKUP($E$7,FTSGM1,71,FALSE)</f>
        <v>AEA TECHNOLOGY</v>
      </c>
      <c r="I73" s="146" t="str">
        <f>VLOOKUP($E$7,FTSGM1,72,FALSE)</f>
        <v>CDC.711M</v>
      </c>
      <c r="J73" s="146" t="str">
        <f>VLOOKUP($E$7,FTSGM1,79,FALSE)</f>
        <v>VP00059</v>
      </c>
      <c r="K73" s="214" t="str">
        <f>VLOOKUP($E$7,FTSGM1,77,FALSE)</f>
        <v>S</v>
      </c>
      <c r="L73" s="214">
        <f>VLOOKUP($E$7,FTSGM1,80,FALSE)</f>
        <v>0</v>
      </c>
      <c r="M73" s="300" t="str">
        <f t="shared" si="1"/>
        <v xml:space="preserve"> </v>
      </c>
      <c r="N73" s="301" t="str">
        <f t="shared" si="0"/>
        <v xml:space="preserve"> </v>
      </c>
      <c r="O73" s="120"/>
      <c r="P73" s="120"/>
      <c r="Q73" s="120"/>
      <c r="R73" s="114"/>
      <c r="S73" s="114"/>
      <c r="T73" s="120"/>
      <c r="U73" s="120"/>
      <c r="V73" s="120"/>
      <c r="W73" s="120"/>
      <c r="X73" s="114"/>
      <c r="Y73" s="114"/>
      <c r="Z73" s="120"/>
      <c r="AA73" s="120"/>
      <c r="AB73" s="120"/>
      <c r="AC73" s="120"/>
      <c r="AD73" s="114"/>
      <c r="AE73" s="114"/>
      <c r="AF73" s="120"/>
      <c r="AG73" s="120"/>
      <c r="AH73" s="120"/>
      <c r="AI73" s="120"/>
      <c r="AJ73" s="114"/>
      <c r="AK73" s="114"/>
      <c r="AL73" s="120"/>
      <c r="AM73" s="120"/>
      <c r="AN73" s="120"/>
      <c r="AO73" s="120"/>
      <c r="AP73" s="114"/>
      <c r="AQ73" s="114"/>
      <c r="AR73" s="120"/>
      <c r="AS73" s="120"/>
      <c r="AT73" s="120"/>
      <c r="AU73" s="120"/>
      <c r="AV73" s="114"/>
      <c r="AW73" s="114"/>
      <c r="AX73" s="120"/>
      <c r="AY73" s="120"/>
      <c r="AZ73" s="120"/>
      <c r="BA73" s="120"/>
      <c r="BB73" s="114"/>
      <c r="BC73" s="114"/>
      <c r="BD73" s="120"/>
      <c r="BE73" s="120"/>
      <c r="BF73" s="120"/>
      <c r="BG73" s="120"/>
      <c r="BH73" s="114"/>
      <c r="BI73" s="114"/>
      <c r="BJ73" s="120"/>
      <c r="BK73" s="120"/>
      <c r="BL73" s="120"/>
      <c r="BM73" s="120"/>
    </row>
    <row r="74" spans="1:65" x14ac:dyDescent="0.3">
      <c r="A74" s="450"/>
      <c r="B74" s="126">
        <v>5</v>
      </c>
      <c r="C74" s="196" t="str">
        <f>VLOOKUP($E$7,FTSGM1,95,FALSE)</f>
        <v>Co-60</v>
      </c>
      <c r="D74" s="137" t="str">
        <f>VLOOKUP($E$7,FTSGM1,94,FALSE)</f>
        <v>50373G</v>
      </c>
      <c r="E74" s="137">
        <f>VLOOKUP($E$7,FTSGM1,90,FALSE)</f>
        <v>1</v>
      </c>
      <c r="F74" s="197">
        <f>VLOOKUP($E$7,FTSGM1,96,FALSE)</f>
        <v>33.18</v>
      </c>
      <c r="G74" s="198" t="str">
        <f>VLOOKUP($E$7,FTSGM1,97,FALSE)</f>
        <v>GBq</v>
      </c>
      <c r="H74" s="199" t="str">
        <f>VLOOKUP($E$7,FTSGM1,92,FALSE)</f>
        <v>QSA INC</v>
      </c>
      <c r="I74" s="199">
        <f>VLOOKUP($E$7,FTSGM1,93,FALSE)</f>
        <v>0</v>
      </c>
      <c r="J74" s="199" t="str">
        <f>VLOOKUP($E$7,FTSGM1,100,FALSE)</f>
        <v>VP00059</v>
      </c>
      <c r="K74" s="213" t="str">
        <f>VLOOKUP($E$7,FTSGM1,98,FALSE)</f>
        <v>S</v>
      </c>
      <c r="L74" s="213">
        <f>VLOOKUP($E$7,FTSGM1,101,FALSE)</f>
        <v>0</v>
      </c>
      <c r="M74" s="302" t="str">
        <f t="shared" si="1"/>
        <v xml:space="preserve"> </v>
      </c>
      <c r="N74" s="306" t="str">
        <f t="shared" si="0"/>
        <v xml:space="preserve"> </v>
      </c>
      <c r="O74" s="120"/>
      <c r="P74" s="120"/>
      <c r="Q74" s="120"/>
      <c r="R74" s="114"/>
      <c r="S74" s="114"/>
      <c r="T74" s="120"/>
      <c r="U74" s="120"/>
      <c r="V74" s="120"/>
      <c r="W74" s="120"/>
      <c r="X74" s="114"/>
      <c r="Y74" s="114"/>
      <c r="Z74" s="120"/>
      <c r="AA74" s="120"/>
      <c r="AB74" s="120"/>
      <c r="AC74" s="120"/>
      <c r="AD74" s="114"/>
      <c r="AE74" s="114"/>
      <c r="AF74" s="120"/>
      <c r="AG74" s="120"/>
      <c r="AH74" s="120"/>
      <c r="AI74" s="120"/>
      <c r="AJ74" s="114"/>
      <c r="AK74" s="114"/>
      <c r="AL74" s="120"/>
      <c r="AM74" s="120"/>
      <c r="AN74" s="120"/>
      <c r="AO74" s="120"/>
      <c r="AP74" s="114"/>
      <c r="AQ74" s="114"/>
      <c r="AR74" s="120"/>
      <c r="AS74" s="120"/>
      <c r="AT74" s="120"/>
      <c r="AU74" s="120"/>
      <c r="AV74" s="114"/>
      <c r="AW74" s="114"/>
      <c r="AX74" s="120"/>
      <c r="AY74" s="120"/>
      <c r="AZ74" s="120"/>
      <c r="BA74" s="120"/>
      <c r="BB74" s="114"/>
      <c r="BC74" s="114"/>
      <c r="BD74" s="120"/>
      <c r="BE74" s="120"/>
      <c r="BF74" s="120"/>
      <c r="BG74" s="120"/>
      <c r="BH74" s="114"/>
      <c r="BI74" s="114"/>
      <c r="BJ74" s="120"/>
      <c r="BK74" s="120"/>
      <c r="BL74" s="120"/>
      <c r="BM74" s="120"/>
    </row>
    <row r="75" spans="1:65" x14ac:dyDescent="0.3">
      <c r="A75" s="450"/>
      <c r="B75" s="127">
        <v>6</v>
      </c>
      <c r="C75" s="128" t="str">
        <f>VLOOKUP($E$7,FTSGM1,116,FALSE)</f>
        <v>Co-60</v>
      </c>
      <c r="D75" s="139" t="str">
        <f>VLOOKUP($E$7,FTSGM1,115,FALSE)</f>
        <v>50252G</v>
      </c>
      <c r="E75" s="139">
        <f>VLOOKUP($E$7,FTSGM1,111,FALSE)</f>
        <v>1</v>
      </c>
      <c r="F75" s="147">
        <f>VLOOKUP($E$7,FTSGM1,117,FALSE)</f>
        <v>33.19</v>
      </c>
      <c r="G75" s="148" t="str">
        <f>VLOOKUP($E$7,FTSGM1,118,FALSE)</f>
        <v>GBq</v>
      </c>
      <c r="H75" s="146" t="str">
        <f>VLOOKUP($E$7,FTSGM1,113,FALSE)</f>
        <v>QSA GLOBAL, INC INC</v>
      </c>
      <c r="I75" s="146" t="str">
        <f>VLOOKUP($E$7,FTSGM1,114,FALSE)</f>
        <v>CKC.P4</v>
      </c>
      <c r="J75" s="146" t="str">
        <f>VLOOKUP($E$7,FTSGM1,121,FALSE)</f>
        <v>VP00090</v>
      </c>
      <c r="K75" s="214" t="str">
        <f>VLOOKUP($E$7,FTSGM1,119,FALSE)</f>
        <v>S</v>
      </c>
      <c r="L75" s="214">
        <f>VLOOKUP($E$7,FTSGM1,122,FALSE)</f>
        <v>0</v>
      </c>
      <c r="M75" s="300" t="str">
        <f t="shared" si="1"/>
        <v xml:space="preserve"> </v>
      </c>
      <c r="N75" s="301" t="str">
        <f t="shared" si="0"/>
        <v xml:space="preserve"> </v>
      </c>
      <c r="O75" s="120"/>
      <c r="P75" s="120"/>
      <c r="Q75" s="120"/>
      <c r="R75" s="114"/>
      <c r="S75" s="114"/>
      <c r="T75" s="120"/>
      <c r="U75" s="120"/>
      <c r="V75" s="120"/>
      <c r="W75" s="120"/>
      <c r="X75" s="114"/>
      <c r="Y75" s="114"/>
      <c r="Z75" s="120"/>
      <c r="AA75" s="120"/>
      <c r="AB75" s="120"/>
      <c r="AC75" s="120"/>
      <c r="AD75" s="114"/>
      <c r="AE75" s="114"/>
      <c r="AF75" s="120"/>
      <c r="AG75" s="120"/>
      <c r="AH75" s="120"/>
      <c r="AI75" s="120"/>
      <c r="AJ75" s="114"/>
      <c r="AK75" s="114"/>
      <c r="AL75" s="120"/>
      <c r="AM75" s="120"/>
      <c r="AN75" s="120"/>
      <c r="AO75" s="120"/>
      <c r="AP75" s="114"/>
      <c r="AQ75" s="114"/>
      <c r="AR75" s="120"/>
      <c r="AS75" s="120"/>
      <c r="AT75" s="120"/>
      <c r="AU75" s="120"/>
      <c r="AV75" s="114"/>
      <c r="AW75" s="114"/>
      <c r="AX75" s="120"/>
      <c r="AY75" s="120"/>
      <c r="AZ75" s="120"/>
      <c r="BA75" s="120"/>
      <c r="BB75" s="114"/>
      <c r="BC75" s="114"/>
      <c r="BD75" s="120"/>
      <c r="BE75" s="120"/>
      <c r="BF75" s="120"/>
      <c r="BG75" s="120"/>
      <c r="BH75" s="114"/>
      <c r="BI75" s="114"/>
      <c r="BJ75" s="120"/>
      <c r="BK75" s="120"/>
      <c r="BL75" s="120"/>
      <c r="BM75" s="120"/>
    </row>
    <row r="76" spans="1:65" x14ac:dyDescent="0.3">
      <c r="A76" s="450"/>
      <c r="B76" s="126">
        <v>7</v>
      </c>
      <c r="C76" s="196" t="str">
        <f>VLOOKUP($E$7,FTSGM1,137,FALSE)</f>
        <v>Co-60</v>
      </c>
      <c r="D76" s="137" t="str">
        <f>VLOOKUP($E$7,FTSGM1,136,FALSE)</f>
        <v>97502B</v>
      </c>
      <c r="E76" s="137">
        <f>VLOOKUP($E$7,FTSGM1,132,FALSE)</f>
        <v>1</v>
      </c>
      <c r="F76" s="197">
        <f>VLOOKUP($E$7,FTSGM1,138,FALSE)</f>
        <v>26.3</v>
      </c>
      <c r="G76" s="198" t="str">
        <f>VLOOKUP($E$7,FTSGM1,139,FALSE)</f>
        <v>GBq</v>
      </c>
      <c r="H76" s="199" t="str">
        <f>VLOOKUP($E$7,FTSGM1,134,FALSE)</f>
        <v>QSA GLOBAL, INC INC</v>
      </c>
      <c r="I76" s="199" t="str">
        <f>VLOOKUP($E$7,FTSGM1,135,FALSE)</f>
        <v>CKC.P4</v>
      </c>
      <c r="J76" s="199" t="str">
        <f>VLOOKUP($E$7,FTSGM1,142,FALSE)</f>
        <v>VR00106</v>
      </c>
      <c r="K76" s="213" t="str">
        <f>VLOOKUP($E$7,FTSGM1,140,FALSE)</f>
        <v>S</v>
      </c>
      <c r="L76" s="213">
        <f>VLOOKUP($E$7,FTSGM1,143,FALSE)</f>
        <v>0</v>
      </c>
      <c r="M76" s="302" t="str">
        <f t="shared" si="1"/>
        <v xml:space="preserve"> </v>
      </c>
      <c r="N76" s="306" t="str">
        <f t="shared" si="0"/>
        <v xml:space="preserve"> </v>
      </c>
      <c r="O76" s="120"/>
      <c r="P76" s="120"/>
      <c r="Q76" s="120"/>
      <c r="R76" s="114"/>
      <c r="S76" s="114"/>
      <c r="T76" s="120"/>
      <c r="U76" s="120"/>
      <c r="V76" s="120"/>
      <c r="W76" s="120"/>
      <c r="X76" s="114"/>
      <c r="Y76" s="114"/>
      <c r="Z76" s="120"/>
      <c r="AA76" s="120"/>
      <c r="AB76" s="120"/>
      <c r="AC76" s="120"/>
      <c r="AD76" s="114"/>
      <c r="AE76" s="114"/>
      <c r="AF76" s="120"/>
      <c r="AG76" s="120"/>
      <c r="AH76" s="120"/>
      <c r="AI76" s="120"/>
      <c r="AJ76" s="114"/>
      <c r="AK76" s="114"/>
      <c r="AL76" s="120"/>
      <c r="AM76" s="120"/>
      <c r="AN76" s="120"/>
      <c r="AO76" s="120"/>
      <c r="AP76" s="114"/>
      <c r="AQ76" s="114"/>
      <c r="AR76" s="120"/>
      <c r="AS76" s="120"/>
      <c r="AT76" s="120"/>
      <c r="AU76" s="120"/>
      <c r="AV76" s="114"/>
      <c r="AW76" s="114"/>
      <c r="AX76" s="120"/>
      <c r="AY76" s="120"/>
      <c r="AZ76" s="120"/>
      <c r="BA76" s="120"/>
      <c r="BB76" s="114"/>
      <c r="BC76" s="114"/>
      <c r="BD76" s="120"/>
      <c r="BE76" s="120"/>
      <c r="BF76" s="120"/>
      <c r="BG76" s="120"/>
      <c r="BH76" s="114"/>
      <c r="BI76" s="114"/>
      <c r="BJ76" s="120"/>
      <c r="BK76" s="120"/>
      <c r="BL76" s="120"/>
      <c r="BM76" s="120"/>
    </row>
    <row r="77" spans="1:65" x14ac:dyDescent="0.3">
      <c r="A77" s="450"/>
      <c r="B77" s="127">
        <v>8</v>
      </c>
      <c r="C77" s="128" t="str">
        <f>VLOOKUP($E$7,FTSGM1,158,FALSE)</f>
        <v>Co-60</v>
      </c>
      <c r="D77" s="139" t="str">
        <f>VLOOKUP($E$7,FTSGM1,157,FALSE)</f>
        <v>97488B</v>
      </c>
      <c r="E77" s="139">
        <f>VLOOKUP($E$7,FTSGM1,153,FALSE)</f>
        <v>1</v>
      </c>
      <c r="F77" s="147">
        <f>VLOOKUP($E$7,FTSGM1,159,FALSE)</f>
        <v>25.64</v>
      </c>
      <c r="G77" s="148" t="str">
        <f>VLOOKUP($E$7,FTSGM1,160,FALSE)</f>
        <v>GBq</v>
      </c>
      <c r="H77" s="146" t="str">
        <f>VLOOKUP($E$7,FTSGM1,155,FALSE)</f>
        <v>QSA GLOBAL, INC INC</v>
      </c>
      <c r="I77" s="146" t="str">
        <f>VLOOKUP($E$7,FTSGM1,156,FALSE)</f>
        <v>CKC.P4</v>
      </c>
      <c r="J77" s="146" t="str">
        <f>VLOOKUP($E$7,FTSGM1,163,FALSE)</f>
        <v>VR00106</v>
      </c>
      <c r="K77" s="214" t="str">
        <f>VLOOKUP($E$7,FTSGM1,161,FALSE)</f>
        <v>S</v>
      </c>
      <c r="L77" s="214">
        <f>VLOOKUP($E$7,FTSGM1,164,FALSE)</f>
        <v>0</v>
      </c>
      <c r="M77" s="300" t="str">
        <f t="shared" si="1"/>
        <v xml:space="preserve"> </v>
      </c>
      <c r="N77" s="301" t="str">
        <f t="shared" si="0"/>
        <v xml:space="preserve"> </v>
      </c>
      <c r="O77" s="120"/>
      <c r="P77" s="120"/>
      <c r="Q77" s="120"/>
      <c r="R77" s="114"/>
      <c r="S77" s="114"/>
      <c r="T77" s="120"/>
      <c r="U77" s="120"/>
      <c r="V77" s="120"/>
      <c r="W77" s="120"/>
      <c r="X77" s="114"/>
      <c r="Y77" s="114"/>
      <c r="Z77" s="120"/>
      <c r="AA77" s="120"/>
      <c r="AB77" s="120"/>
      <c r="AC77" s="120"/>
      <c r="AD77" s="114"/>
      <c r="AE77" s="114"/>
      <c r="AF77" s="120"/>
      <c r="AG77" s="120"/>
      <c r="AH77" s="120"/>
      <c r="AI77" s="120"/>
      <c r="AJ77" s="114"/>
      <c r="AK77" s="114"/>
      <c r="AL77" s="120"/>
      <c r="AM77" s="120"/>
      <c r="AN77" s="120"/>
      <c r="AO77" s="120"/>
      <c r="AP77" s="114"/>
      <c r="AQ77" s="114"/>
      <c r="AR77" s="120"/>
      <c r="AS77" s="120"/>
      <c r="AT77" s="120"/>
      <c r="AU77" s="120"/>
      <c r="AV77" s="114"/>
      <c r="AW77" s="114"/>
      <c r="AX77" s="120"/>
      <c r="AY77" s="120"/>
      <c r="AZ77" s="120"/>
      <c r="BA77" s="120"/>
      <c r="BB77" s="114"/>
      <c r="BC77" s="114"/>
      <c r="BD77" s="120"/>
      <c r="BE77" s="120"/>
      <c r="BF77" s="120"/>
      <c r="BG77" s="120"/>
      <c r="BH77" s="114"/>
      <c r="BI77" s="114"/>
      <c r="BJ77" s="120"/>
      <c r="BK77" s="120"/>
      <c r="BL77" s="120"/>
      <c r="BM77" s="120"/>
    </row>
    <row r="78" spans="1:65" x14ac:dyDescent="0.3">
      <c r="A78" s="450"/>
      <c r="B78" s="126">
        <v>9</v>
      </c>
      <c r="C78" s="196" t="str">
        <f>VLOOKUP($E$7,FTSGM1,179,FALSE)</f>
        <v>Co-60</v>
      </c>
      <c r="D78" s="137" t="str">
        <f>VLOOKUP($E$7,FTSGM1,178,FALSE)</f>
        <v>1995CO</v>
      </c>
      <c r="E78" s="137">
        <f>VLOOKUP($E$7,FTSGM1,174,FALSE)</f>
        <v>1</v>
      </c>
      <c r="F78" s="197">
        <f>VLOOKUP($E$7,FTSGM1,180,FALSE)</f>
        <v>31.53</v>
      </c>
      <c r="G78" s="198" t="str">
        <f>VLOOKUP($E$7,FTSGM1,181,FALSE)</f>
        <v>GBq</v>
      </c>
      <c r="H78" s="199" t="str">
        <f>VLOOKUP($E$7,FTSGM1,176,FALSE)</f>
        <v>QSA GLOBAL, INC INC</v>
      </c>
      <c r="I78" s="199" t="str">
        <f>VLOOKUP($E$7,FTSGM1,177,FALSE)</f>
        <v>CKC.P4</v>
      </c>
      <c r="J78" s="199" t="str">
        <f>VLOOKUP($E$7,FTSGM1,184,FALSE)</f>
        <v>VP00090</v>
      </c>
      <c r="K78" s="213" t="str">
        <f>VLOOKUP($E$7,FTSGM1,182,FALSE)</f>
        <v>S</v>
      </c>
      <c r="L78" s="213">
        <f>VLOOKUP($E$7,FTSGM1,185,FALSE)</f>
        <v>0</v>
      </c>
      <c r="M78" s="302" t="str">
        <f t="shared" si="1"/>
        <v xml:space="preserve"> </v>
      </c>
      <c r="N78" s="306" t="str">
        <f t="shared" si="0"/>
        <v xml:space="preserve"> </v>
      </c>
      <c r="O78" s="120"/>
      <c r="P78" s="120"/>
      <c r="Q78" s="120"/>
      <c r="R78" s="114"/>
      <c r="S78" s="114"/>
      <c r="T78" s="120"/>
      <c r="U78" s="120"/>
      <c r="V78" s="120"/>
      <c r="W78" s="120"/>
      <c r="X78" s="114"/>
      <c r="Y78" s="114"/>
      <c r="Z78" s="120"/>
      <c r="AA78" s="120"/>
      <c r="AB78" s="120"/>
      <c r="AC78" s="120"/>
      <c r="AD78" s="114"/>
      <c r="AE78" s="114"/>
      <c r="AF78" s="120"/>
      <c r="AG78" s="120"/>
      <c r="AH78" s="120"/>
      <c r="AI78" s="120"/>
      <c r="AJ78" s="114"/>
      <c r="AK78" s="114"/>
      <c r="AL78" s="120"/>
      <c r="AM78" s="120"/>
      <c r="AN78" s="120"/>
      <c r="AO78" s="120"/>
      <c r="AP78" s="114"/>
      <c r="AQ78" s="114"/>
      <c r="AR78" s="120"/>
      <c r="AS78" s="120"/>
      <c r="AT78" s="120"/>
      <c r="AU78" s="120"/>
      <c r="AV78" s="114"/>
      <c r="AW78" s="114"/>
      <c r="AX78" s="120"/>
      <c r="AY78" s="120"/>
      <c r="AZ78" s="120"/>
      <c r="BA78" s="120"/>
      <c r="BB78" s="114"/>
      <c r="BC78" s="114"/>
      <c r="BD78" s="120"/>
      <c r="BE78" s="120"/>
      <c r="BF78" s="120"/>
      <c r="BG78" s="120"/>
      <c r="BH78" s="114"/>
      <c r="BI78" s="114"/>
      <c r="BJ78" s="120"/>
      <c r="BK78" s="120"/>
      <c r="BL78" s="120"/>
      <c r="BM78" s="120"/>
    </row>
    <row r="79" spans="1:65" x14ac:dyDescent="0.3">
      <c r="A79" s="450"/>
      <c r="B79" s="127">
        <v>10</v>
      </c>
      <c r="C79" s="128" t="str">
        <f>VLOOKUP($E$7,FTSGM1,200,FALSE)</f>
        <v>Cs-137</v>
      </c>
      <c r="D79" s="139" t="str">
        <f>VLOOKUP($E$7,FTSGM1,199,FALSE)</f>
        <v>1995CO / 1535CO</v>
      </c>
      <c r="E79" s="139">
        <f>VLOOKUP($E$7,FTSGM1,195,FALSE)</f>
        <v>2</v>
      </c>
      <c r="F79" s="147">
        <f>VLOOKUP($E$7,FTSGM1,201,FALSE)</f>
        <v>33</v>
      </c>
      <c r="G79" s="148" t="str">
        <f>VLOOKUP($E$7,FTSGM1,202,FALSE)</f>
        <v>kBq</v>
      </c>
      <c r="H79" s="146" t="str">
        <f>VLOOKUP($E$7,FTSGM1,197,FALSE)</f>
        <v>QSA GLOBAL, INC INC</v>
      </c>
      <c r="I79" s="146" t="str">
        <f>VLOOKUP($E$7,FTSGM1,198,FALSE)</f>
        <v>CKC.P4 / CKC.P5</v>
      </c>
      <c r="J79" s="146" t="str">
        <f>VLOOKUP($E$7,FTSGM1,205,FALSE)</f>
        <v>VP00093</v>
      </c>
      <c r="K79" s="214" t="str">
        <f>VLOOKUP($E$7,FTSGM1,203,FALSE)</f>
        <v>S</v>
      </c>
      <c r="L79" s="214">
        <f>VLOOKUP($E$7,FTSGM1,206,FALSE)</f>
        <v>0</v>
      </c>
      <c r="M79" s="300" t="str">
        <f t="shared" si="1"/>
        <v xml:space="preserve"> </v>
      </c>
      <c r="N79" s="301" t="str">
        <f t="shared" si="0"/>
        <v xml:space="preserve"> </v>
      </c>
      <c r="O79" s="120"/>
      <c r="P79" s="120"/>
      <c r="Q79" s="120"/>
      <c r="R79" s="114"/>
      <c r="S79" s="114"/>
      <c r="T79" s="120"/>
      <c r="U79" s="120"/>
      <c r="V79" s="120"/>
      <c r="W79" s="120"/>
      <c r="X79" s="114"/>
      <c r="Y79" s="114"/>
      <c r="Z79" s="120"/>
      <c r="AA79" s="120"/>
      <c r="AB79" s="120"/>
      <c r="AC79" s="120"/>
      <c r="AD79" s="114"/>
      <c r="AE79" s="114"/>
      <c r="AF79" s="120"/>
      <c r="AG79" s="120"/>
      <c r="AH79" s="120"/>
      <c r="AI79" s="120"/>
      <c r="AJ79" s="114"/>
      <c r="AK79" s="114"/>
      <c r="AL79" s="120"/>
      <c r="AM79" s="120"/>
      <c r="AN79" s="120"/>
      <c r="AO79" s="120"/>
      <c r="AP79" s="114"/>
      <c r="AQ79" s="114"/>
      <c r="AR79" s="120"/>
      <c r="AS79" s="120"/>
      <c r="AT79" s="120"/>
      <c r="AU79" s="120"/>
      <c r="AV79" s="114"/>
      <c r="AW79" s="114"/>
      <c r="AX79" s="120"/>
      <c r="AY79" s="120"/>
      <c r="AZ79" s="120"/>
      <c r="BA79" s="120"/>
      <c r="BB79" s="114"/>
      <c r="BC79" s="114"/>
      <c r="BD79" s="120"/>
      <c r="BE79" s="120"/>
      <c r="BF79" s="120"/>
      <c r="BG79" s="120"/>
      <c r="BH79" s="114"/>
      <c r="BI79" s="114"/>
      <c r="BJ79" s="120"/>
      <c r="BK79" s="120"/>
      <c r="BL79" s="120"/>
      <c r="BM79" s="120"/>
    </row>
    <row r="80" spans="1:65" x14ac:dyDescent="0.3">
      <c r="A80" s="450"/>
      <c r="B80" s="126">
        <v>11</v>
      </c>
      <c r="C80" s="196" t="str">
        <f>VLOOKUP($E$7,FTSGM1,221,FALSE)</f>
        <v>Cs-137</v>
      </c>
      <c r="D80" s="137" t="str">
        <f>VLOOKUP($E$7,FTSGM1,220,FALSE)</f>
        <v>3168CG</v>
      </c>
      <c r="E80" s="137">
        <f>VLOOKUP($E$7,FTSGM1,216,FALSE)</f>
        <v>1</v>
      </c>
      <c r="F80" s="197">
        <f>VLOOKUP($E$7,FTSGM1,222,FALSE)</f>
        <v>28</v>
      </c>
      <c r="G80" s="198" t="str">
        <f>VLOOKUP($E$7,FTSGM1,223,FALSE)</f>
        <v>kBq</v>
      </c>
      <c r="H80" s="199" t="str">
        <f>VLOOKUP($E$7,FTSGM1,218,FALSE)</f>
        <v>QSA INC</v>
      </c>
      <c r="I80" s="199" t="str">
        <f>VLOOKUP($E$7,FTSGM1,219,FALSE)</f>
        <v>CDC.711M</v>
      </c>
      <c r="J80" s="199" t="str">
        <f>VLOOKUP($E$7,FTSGM1,226,FALSE)</f>
        <v>VP00016</v>
      </c>
      <c r="K80" s="213" t="str">
        <f>VLOOKUP($E$7,FTSGM1,224,FALSE)</f>
        <v>S</v>
      </c>
      <c r="L80" s="213">
        <f>VLOOKUP($E$7,FTSGM1,227,FALSE)</f>
        <v>0</v>
      </c>
      <c r="M80" s="302" t="str">
        <f t="shared" si="1"/>
        <v xml:space="preserve"> </v>
      </c>
      <c r="N80" s="306" t="str">
        <f t="shared" si="0"/>
        <v xml:space="preserve"> </v>
      </c>
      <c r="O80" s="120"/>
      <c r="P80" s="120"/>
      <c r="Q80" s="120"/>
      <c r="R80" s="114"/>
      <c r="S80" s="114"/>
      <c r="T80" s="120"/>
      <c r="U80" s="120"/>
      <c r="V80" s="120"/>
      <c r="W80" s="120"/>
      <c r="X80" s="114"/>
      <c r="Y80" s="114"/>
      <c r="Z80" s="120"/>
      <c r="AA80" s="120"/>
      <c r="AB80" s="120"/>
      <c r="AC80" s="120"/>
      <c r="AD80" s="114"/>
      <c r="AE80" s="114"/>
      <c r="AF80" s="120"/>
      <c r="AG80" s="120"/>
      <c r="AH80" s="120"/>
      <c r="AI80" s="120"/>
      <c r="AJ80" s="114"/>
      <c r="AK80" s="114"/>
      <c r="AL80" s="120"/>
      <c r="AM80" s="120"/>
      <c r="AN80" s="120"/>
      <c r="AO80" s="120"/>
      <c r="AP80" s="114"/>
      <c r="AQ80" s="114"/>
      <c r="AR80" s="120"/>
      <c r="AS80" s="120"/>
      <c r="AT80" s="120"/>
      <c r="AU80" s="120"/>
      <c r="AV80" s="114"/>
      <c r="AW80" s="114"/>
      <c r="AX80" s="120"/>
      <c r="AY80" s="120"/>
      <c r="AZ80" s="120"/>
      <c r="BA80" s="120"/>
      <c r="BB80" s="114"/>
      <c r="BC80" s="114"/>
      <c r="BD80" s="120"/>
      <c r="BE80" s="120"/>
      <c r="BF80" s="120"/>
      <c r="BG80" s="120"/>
      <c r="BH80" s="114"/>
      <c r="BI80" s="114"/>
      <c r="BJ80" s="120"/>
      <c r="BK80" s="120"/>
      <c r="BL80" s="120"/>
      <c r="BM80" s="120"/>
    </row>
    <row r="81" spans="1:65" x14ac:dyDescent="0.3">
      <c r="A81" s="450"/>
      <c r="B81" s="127">
        <v>12</v>
      </c>
      <c r="C81" s="128" t="str">
        <f>VLOOKUP($E$7,FTSGM1,242,FALSE)</f>
        <v>Cs-137</v>
      </c>
      <c r="D81" s="139" t="str">
        <f>VLOOKUP($E$7,FTSGM1,241,FALSE)</f>
        <v>3167CG</v>
      </c>
      <c r="E81" s="139">
        <f>VLOOKUP($E$7,FTSGM1,237,FALSE)</f>
        <v>1</v>
      </c>
      <c r="F81" s="147">
        <f>VLOOKUP($E$7,FTSGM1,243,FALSE)</f>
        <v>31</v>
      </c>
      <c r="G81" s="148" t="str">
        <f>VLOOKUP($E$7,FTSGM1,244,FALSE)</f>
        <v>kBq</v>
      </c>
      <c r="H81" s="146" t="str">
        <f>VLOOKUP($E$7,FTSGM1,239,FALSE)</f>
        <v>AEA TECHNOLOGY</v>
      </c>
      <c r="I81" s="146" t="str">
        <f>VLOOKUP($E$7,FTSGM1,240,FALSE)</f>
        <v>CDC.711M</v>
      </c>
      <c r="J81" s="146" t="str">
        <f>VLOOKUP($E$7,FTSGM1,247,FALSE)</f>
        <v>VP00016</v>
      </c>
      <c r="K81" s="214" t="str">
        <f>VLOOKUP($E$7,FTSGM1,245,FALSE)</f>
        <v>S</v>
      </c>
      <c r="L81" s="214">
        <f>VLOOKUP($E$7,FTSGM1,248,FALSE)</f>
        <v>0</v>
      </c>
      <c r="M81" s="300" t="str">
        <f t="shared" si="1"/>
        <v xml:space="preserve"> </v>
      </c>
      <c r="N81" s="301" t="str">
        <f t="shared" si="0"/>
        <v xml:space="preserve"> </v>
      </c>
      <c r="O81" s="120"/>
      <c r="P81" s="120"/>
      <c r="Q81" s="120"/>
      <c r="R81" s="114"/>
      <c r="S81" s="114"/>
      <c r="T81" s="120"/>
      <c r="U81" s="120"/>
      <c r="V81" s="120"/>
      <c r="W81" s="120"/>
      <c r="X81" s="114"/>
      <c r="Y81" s="114"/>
      <c r="Z81" s="120"/>
      <c r="AA81" s="120"/>
      <c r="AB81" s="120"/>
      <c r="AC81" s="120"/>
      <c r="AD81" s="114"/>
      <c r="AE81" s="114"/>
      <c r="AF81" s="120"/>
      <c r="AG81" s="120"/>
      <c r="AH81" s="120"/>
      <c r="AI81" s="120"/>
      <c r="AJ81" s="114"/>
      <c r="AK81" s="114"/>
      <c r="AL81" s="120"/>
      <c r="AM81" s="120"/>
      <c r="AN81" s="120"/>
      <c r="AO81" s="120"/>
      <c r="AP81" s="114"/>
      <c r="AQ81" s="114"/>
      <c r="AR81" s="120"/>
      <c r="AS81" s="120"/>
      <c r="AT81" s="120"/>
      <c r="AU81" s="120"/>
      <c r="AV81" s="114"/>
      <c r="AW81" s="114"/>
      <c r="AX81" s="120"/>
      <c r="AY81" s="120"/>
      <c r="AZ81" s="120"/>
      <c r="BA81" s="120"/>
      <c r="BB81" s="114"/>
      <c r="BC81" s="114"/>
      <c r="BD81" s="120"/>
      <c r="BE81" s="120"/>
      <c r="BF81" s="120"/>
      <c r="BG81" s="120"/>
      <c r="BH81" s="114"/>
      <c r="BI81" s="114"/>
      <c r="BJ81" s="120"/>
      <c r="BK81" s="120"/>
      <c r="BL81" s="120"/>
      <c r="BM81" s="120"/>
    </row>
    <row r="82" spans="1:65" x14ac:dyDescent="0.3">
      <c r="A82" s="450"/>
      <c r="B82" s="126">
        <v>13</v>
      </c>
      <c r="C82" s="196" t="str">
        <f>VLOOKUP($E$7,FTSGM1,263,FALSE)</f>
        <v>Cs-137</v>
      </c>
      <c r="D82" s="137" t="str">
        <f>VLOOKUP($E$7,FTSGM1,262,FALSE)</f>
        <v>1492.10.5</v>
      </c>
      <c r="E82" s="137">
        <f>VLOOKUP($E$7,FTSGM1,258,FALSE)</f>
        <v>1</v>
      </c>
      <c r="F82" s="197">
        <f>VLOOKUP($E$7,FTSGM1,264,FALSE)</f>
        <v>0.33300000000000002</v>
      </c>
      <c r="G82" s="198" t="str">
        <f>VLOOKUP($E$7,FTSGM1,265,FALSE)</f>
        <v>kBq</v>
      </c>
      <c r="H82" s="199" t="str">
        <f>VLOOKUP($E$7,FTSGM1,260,FALSE)</f>
        <v>ECKERT &amp; ZIEGLER</v>
      </c>
      <c r="I82" s="199" t="str">
        <f>VLOOKUP($E$7,FTSGM1,261,FALSE)</f>
        <v>GF-057-10D</v>
      </c>
      <c r="J82" s="199" t="str">
        <f>VLOOKUP($E$7,FTSGM1,268,FALSE)</f>
        <v>FUENTE REFERENCIA</v>
      </c>
      <c r="K82" s="213" t="str">
        <f>VLOOKUP($E$7,FTSGM1,266,FALSE)</f>
        <v>S</v>
      </c>
      <c r="L82" s="213">
        <f>VLOOKUP($E$7,FTSGM1,269,FALSE)</f>
        <v>0</v>
      </c>
      <c r="M82" s="302" t="str">
        <f t="shared" si="1"/>
        <v xml:space="preserve"> </v>
      </c>
      <c r="N82" s="306" t="str">
        <f t="shared" si="0"/>
        <v xml:space="preserve"> </v>
      </c>
      <c r="O82" s="120"/>
      <c r="P82" s="120"/>
      <c r="Q82" s="120"/>
      <c r="R82" s="114"/>
      <c r="S82" s="114"/>
      <c r="T82" s="120"/>
      <c r="U82" s="120"/>
      <c r="V82" s="120"/>
      <c r="W82" s="120"/>
      <c r="X82" s="114"/>
      <c r="Y82" s="114"/>
      <c r="Z82" s="120"/>
      <c r="AA82" s="120"/>
      <c r="AB82" s="120"/>
      <c r="AC82" s="120"/>
      <c r="AD82" s="114"/>
      <c r="AE82" s="114"/>
      <c r="AF82" s="120"/>
      <c r="AG82" s="120"/>
      <c r="AH82" s="120"/>
      <c r="AI82" s="120"/>
      <c r="AJ82" s="114"/>
      <c r="AK82" s="114"/>
      <c r="AL82" s="120"/>
      <c r="AM82" s="120"/>
      <c r="AN82" s="120"/>
      <c r="AO82" s="120"/>
      <c r="AP82" s="114"/>
      <c r="AQ82" s="114"/>
      <c r="AR82" s="120"/>
      <c r="AS82" s="120"/>
      <c r="AT82" s="120"/>
      <c r="AU82" s="120"/>
      <c r="AV82" s="114"/>
      <c r="AW82" s="114"/>
      <c r="AX82" s="120"/>
      <c r="AY82" s="120"/>
      <c r="AZ82" s="120"/>
      <c r="BA82" s="120"/>
      <c r="BB82" s="114"/>
      <c r="BC82" s="114"/>
      <c r="BD82" s="120"/>
      <c r="BE82" s="120"/>
      <c r="BF82" s="120"/>
      <c r="BG82" s="120"/>
      <c r="BH82" s="114"/>
      <c r="BI82" s="114"/>
      <c r="BJ82" s="120"/>
      <c r="BK82" s="120"/>
      <c r="BL82" s="120"/>
      <c r="BM82" s="120"/>
    </row>
    <row r="83" spans="1:65" x14ac:dyDescent="0.3">
      <c r="A83" s="450"/>
      <c r="B83" s="127">
        <v>14</v>
      </c>
      <c r="C83" s="128" t="str">
        <f>VLOOKUP($E$7,FTSGM1,284,FALSE)</f>
        <v>Cs-252</v>
      </c>
      <c r="D83" s="139" t="str">
        <f>VLOOKUP($E$7,FTSGM1,283,FALSE)</f>
        <v>RS-443</v>
      </c>
      <c r="E83" s="139">
        <f>VLOOKUP($E$7,FTSGM1,279,FALSE)</f>
        <v>1</v>
      </c>
      <c r="F83" s="147">
        <f>VLOOKUP($E$7,FTSGM1,285,FALSE)</f>
        <v>181.3</v>
      </c>
      <c r="G83" s="148" t="str">
        <f>VLOOKUP($E$7,FTSGM1,286,FALSE)</f>
        <v>kBq</v>
      </c>
      <c r="H83" s="146" t="str">
        <f>VLOOKUP($E$7,FTSGM1,281,FALSE)</f>
        <v>ECKERT &amp; SIEGLER</v>
      </c>
      <c r="I83" s="146" t="str">
        <f>VLOOKUP($E$7,FTSGM1,282,FALSE)</f>
        <v>CF230140005U-A</v>
      </c>
      <c r="J83" s="146" t="str">
        <f>VLOOKUP($E$7,FTSGM1,289,FALSE)</f>
        <v>FUENTE REFERENCIA</v>
      </c>
      <c r="K83" s="214" t="str">
        <f>VLOOKUP($E$7,FTSGM1,287,FALSE)</f>
        <v>S</v>
      </c>
      <c r="L83" s="214">
        <f>VLOOKUP($E$7,FTSGM1,290,FALSE)</f>
        <v>0</v>
      </c>
      <c r="M83" s="300" t="str">
        <f t="shared" si="1"/>
        <v xml:space="preserve"> </v>
      </c>
      <c r="N83" s="301" t="str">
        <f t="shared" si="0"/>
        <v xml:space="preserve"> </v>
      </c>
      <c r="O83" s="120"/>
      <c r="P83" s="120"/>
      <c r="Q83" s="120"/>
      <c r="R83" s="114"/>
      <c r="S83" s="114"/>
      <c r="T83" s="120"/>
      <c r="U83" s="120"/>
      <c r="V83" s="120"/>
      <c r="W83" s="120"/>
      <c r="X83" s="114"/>
      <c r="Y83" s="114"/>
      <c r="Z83" s="120"/>
      <c r="AA83" s="120"/>
      <c r="AB83" s="120"/>
      <c r="AC83" s="120"/>
      <c r="AD83" s="114"/>
      <c r="AE83" s="114"/>
      <c r="AF83" s="120"/>
      <c r="AG83" s="120"/>
      <c r="AH83" s="120"/>
      <c r="AI83" s="120"/>
      <c r="AJ83" s="114"/>
      <c r="AK83" s="114"/>
      <c r="AL83" s="120"/>
      <c r="AM83" s="120"/>
      <c r="AN83" s="120"/>
      <c r="AO83" s="120"/>
      <c r="AP83" s="114"/>
      <c r="AQ83" s="114"/>
      <c r="AR83" s="120"/>
      <c r="AS83" s="120"/>
      <c r="AT83" s="120"/>
      <c r="AU83" s="120"/>
      <c r="AV83" s="114"/>
      <c r="AW83" s="114"/>
      <c r="AX83" s="120"/>
      <c r="AY83" s="120"/>
      <c r="AZ83" s="120"/>
      <c r="BA83" s="120"/>
      <c r="BB83" s="114"/>
      <c r="BC83" s="114"/>
      <c r="BD83" s="120"/>
      <c r="BE83" s="120"/>
      <c r="BF83" s="120"/>
      <c r="BG83" s="120"/>
      <c r="BH83" s="114"/>
      <c r="BI83" s="114"/>
      <c r="BJ83" s="120"/>
      <c r="BK83" s="120"/>
      <c r="BL83" s="120"/>
      <c r="BM83" s="120"/>
    </row>
    <row r="84" spans="1:65" x14ac:dyDescent="0.3">
      <c r="A84" s="450"/>
      <c r="B84" s="126">
        <v>15</v>
      </c>
      <c r="C84" s="196">
        <f>VLOOKUP($E$7,FTSGM1,305,FALSE)</f>
        <v>0</v>
      </c>
      <c r="D84" s="137">
        <f>VLOOKUP($E$7,FTSGM1,304,FALSE)</f>
        <v>0</v>
      </c>
      <c r="E84" s="137">
        <f>VLOOKUP($E$7,FTSGM1,300,FALSE)</f>
        <v>0</v>
      </c>
      <c r="F84" s="197">
        <f>VLOOKUP($E$7,FTSGM1,306,FALSE)</f>
        <v>0</v>
      </c>
      <c r="G84" s="198">
        <f>VLOOKUP($E$7,FTSGM1,307,FALSE)</f>
        <v>0</v>
      </c>
      <c r="H84" s="199">
        <f>VLOOKUP($E$7,FTSGM1,302,FALSE)</f>
        <v>0</v>
      </c>
      <c r="I84" s="199">
        <f>VLOOKUP($E$7,FTSGM1,303,FALSE)</f>
        <v>0</v>
      </c>
      <c r="J84" s="199">
        <f>VLOOKUP($E$7,FTSGM1,310,FALSE)</f>
        <v>0</v>
      </c>
      <c r="K84" s="213">
        <f>VLOOKUP($E$7,FTSGM1,308,FALSE)</f>
        <v>0</v>
      </c>
      <c r="L84" s="213">
        <f>VLOOKUP($E$7,FTSGM1,311,FALSE)</f>
        <v>0</v>
      </c>
      <c r="M84" s="302" t="str">
        <f t="shared" si="1"/>
        <v xml:space="preserve"> </v>
      </c>
      <c r="N84" s="306" t="str">
        <f t="shared" si="0"/>
        <v xml:space="preserve"> </v>
      </c>
      <c r="O84" s="120"/>
      <c r="P84" s="120"/>
      <c r="Q84" s="120"/>
      <c r="R84" s="114"/>
      <c r="S84" s="114"/>
      <c r="T84" s="120"/>
      <c r="U84" s="120"/>
      <c r="V84" s="120"/>
      <c r="W84" s="120"/>
      <c r="X84" s="114"/>
      <c r="Y84" s="114"/>
      <c r="Z84" s="120"/>
      <c r="AA84" s="120"/>
      <c r="AB84" s="120"/>
      <c r="AC84" s="120"/>
      <c r="AD84" s="114"/>
      <c r="AE84" s="114"/>
      <c r="AF84" s="120"/>
      <c r="AG84" s="120"/>
      <c r="AH84" s="120"/>
      <c r="AI84" s="120"/>
      <c r="AJ84" s="114"/>
      <c r="AK84" s="114"/>
      <c r="AL84" s="120"/>
      <c r="AM84" s="120"/>
      <c r="AN84" s="120"/>
      <c r="AO84" s="120"/>
      <c r="AP84" s="114"/>
      <c r="AQ84" s="114"/>
      <c r="AR84" s="120"/>
      <c r="AS84" s="120"/>
      <c r="AT84" s="120"/>
      <c r="AU84" s="120"/>
      <c r="AV84" s="114"/>
      <c r="AW84" s="114"/>
      <c r="AX84" s="120"/>
      <c r="AY84" s="120"/>
      <c r="AZ84" s="120"/>
      <c r="BA84" s="120"/>
      <c r="BB84" s="114"/>
      <c r="BC84" s="114"/>
      <c r="BD84" s="120"/>
      <c r="BE84" s="120"/>
      <c r="BF84" s="120"/>
      <c r="BG84" s="120"/>
      <c r="BH84" s="114"/>
      <c r="BI84" s="114"/>
      <c r="BJ84" s="120"/>
      <c r="BK84" s="120"/>
      <c r="BL84" s="120"/>
      <c r="BM84" s="120"/>
    </row>
    <row r="85" spans="1:65" x14ac:dyDescent="0.3">
      <c r="A85" s="450"/>
      <c r="B85" s="127">
        <v>16</v>
      </c>
      <c r="C85" s="128">
        <f>VLOOKUP($E$7,FTSGM1,326,FALSE)</f>
        <v>0</v>
      </c>
      <c r="D85" s="139">
        <f>VLOOKUP($E$7,FTSGM1,325,FALSE)</f>
        <v>0</v>
      </c>
      <c r="E85" s="139">
        <f>VLOOKUP($E$7,FTSGM1,321,FALSE)</f>
        <v>0</v>
      </c>
      <c r="F85" s="147">
        <f>VLOOKUP($E$7,FTSGM1,327,FALSE)</f>
        <v>0</v>
      </c>
      <c r="G85" s="148">
        <f>VLOOKUP($E$7,FTSGM1,328,FALSE)</f>
        <v>0</v>
      </c>
      <c r="H85" s="146">
        <f>VLOOKUP($E$7,FTSGM1,323,FALSE)</f>
        <v>0</v>
      </c>
      <c r="I85" s="146">
        <f>VLOOKUP($E$7,FTSGM1,324,FALSE)</f>
        <v>0</v>
      </c>
      <c r="J85" s="146">
        <f>VLOOKUP($E$7,FTSGM1,331,FALSE)</f>
        <v>0</v>
      </c>
      <c r="K85" s="214">
        <f>VLOOKUP($E$7,FTSGM1,329,FALSE)</f>
        <v>0</v>
      </c>
      <c r="L85" s="214">
        <f>VLOOKUP($E$7,FTSGM1,332,FALSE)</f>
        <v>0</v>
      </c>
      <c r="M85" s="300" t="str">
        <f t="shared" si="1"/>
        <v xml:space="preserve"> </v>
      </c>
      <c r="N85" s="301" t="str">
        <f t="shared" si="0"/>
        <v xml:space="preserve"> </v>
      </c>
      <c r="O85" s="120"/>
      <c r="P85" s="120"/>
      <c r="Q85" s="120"/>
      <c r="R85" s="114"/>
      <c r="S85" s="114"/>
      <c r="T85" s="120"/>
      <c r="U85" s="120"/>
      <c r="V85" s="120"/>
      <c r="W85" s="120"/>
      <c r="X85" s="114"/>
      <c r="Y85" s="114"/>
      <c r="Z85" s="120"/>
      <c r="AA85" s="120"/>
      <c r="AB85" s="120"/>
      <c r="AC85" s="120"/>
      <c r="AD85" s="114"/>
      <c r="AE85" s="114"/>
      <c r="AF85" s="120"/>
      <c r="AG85" s="120"/>
      <c r="AH85" s="120"/>
      <c r="AI85" s="120"/>
      <c r="AJ85" s="114"/>
      <c r="AK85" s="114"/>
      <c r="AL85" s="120"/>
      <c r="AM85" s="120"/>
      <c r="AN85" s="120"/>
      <c r="AO85" s="120"/>
      <c r="AP85" s="114"/>
      <c r="AQ85" s="114"/>
      <c r="AR85" s="120"/>
      <c r="AS85" s="120"/>
      <c r="AT85" s="120"/>
      <c r="AU85" s="120"/>
      <c r="AV85" s="114"/>
      <c r="AW85" s="114"/>
      <c r="AX85" s="120"/>
      <c r="AY85" s="120"/>
      <c r="AZ85" s="120"/>
      <c r="BA85" s="120"/>
      <c r="BB85" s="114"/>
      <c r="BC85" s="114"/>
      <c r="BD85" s="120"/>
      <c r="BE85" s="120"/>
      <c r="BF85" s="120"/>
      <c r="BG85" s="120"/>
      <c r="BH85" s="114"/>
      <c r="BI85" s="114"/>
      <c r="BJ85" s="120"/>
      <c r="BK85" s="120"/>
      <c r="BL85" s="120"/>
      <c r="BM85" s="120"/>
    </row>
    <row r="86" spans="1:65" x14ac:dyDescent="0.3">
      <c r="A86" s="450"/>
      <c r="B86" s="126">
        <v>17</v>
      </c>
      <c r="C86" s="196">
        <f>VLOOKUP($E$7,FTSGM1,347,FALSE)</f>
        <v>0</v>
      </c>
      <c r="D86" s="137">
        <f>VLOOKUP($E$7,FTSGM1,346,FALSE)</f>
        <v>0</v>
      </c>
      <c r="E86" s="137">
        <f>VLOOKUP($E$7,FTSGM1,342,FALSE)</f>
        <v>0</v>
      </c>
      <c r="F86" s="197">
        <f>VLOOKUP($E$7,FTSGM1,348,FALSE)</f>
        <v>0</v>
      </c>
      <c r="G86" s="198">
        <f>VLOOKUP($E$7,FTSGM1,349,FALSE)</f>
        <v>0</v>
      </c>
      <c r="H86" s="199">
        <f>VLOOKUP($E$7,FTSGM1,344,FALSE)</f>
        <v>0</v>
      </c>
      <c r="I86" s="199">
        <f>VLOOKUP($E$7,FTSGM1,345,FALSE)</f>
        <v>0</v>
      </c>
      <c r="J86" s="199">
        <f>VLOOKUP($E$7,FTSGM1,352,FALSE)</f>
        <v>0</v>
      </c>
      <c r="K86" s="213">
        <f>VLOOKUP($E$7,FTSGM1,350,FALSE)</f>
        <v>0</v>
      </c>
      <c r="L86" s="213">
        <f>VLOOKUP($E$7,FTSGM1,353,FALSE)</f>
        <v>0</v>
      </c>
      <c r="M86" s="302" t="str">
        <f t="shared" si="1"/>
        <v xml:space="preserve"> </v>
      </c>
      <c r="N86" s="306" t="str">
        <f t="shared" si="0"/>
        <v xml:space="preserve"> </v>
      </c>
      <c r="O86" s="120"/>
      <c r="P86" s="120"/>
      <c r="Q86" s="120"/>
      <c r="R86" s="114"/>
      <c r="S86" s="114"/>
      <c r="T86" s="120"/>
      <c r="U86" s="120"/>
      <c r="V86" s="120"/>
      <c r="W86" s="120"/>
      <c r="X86" s="114"/>
      <c r="Y86" s="114"/>
      <c r="Z86" s="120"/>
      <c r="AA86" s="120"/>
      <c r="AB86" s="120"/>
      <c r="AC86" s="120"/>
      <c r="AD86" s="114"/>
      <c r="AE86" s="114"/>
      <c r="AF86" s="120"/>
      <c r="AG86" s="120"/>
      <c r="AH86" s="120"/>
      <c r="AI86" s="120"/>
      <c r="AJ86" s="114"/>
      <c r="AK86" s="114"/>
      <c r="AL86" s="120"/>
      <c r="AM86" s="120"/>
      <c r="AN86" s="120"/>
      <c r="AO86" s="120"/>
      <c r="AP86" s="114"/>
      <c r="AQ86" s="114"/>
      <c r="AR86" s="120"/>
      <c r="AS86" s="120"/>
      <c r="AT86" s="120"/>
      <c r="AU86" s="120"/>
      <c r="AV86" s="114"/>
      <c r="AW86" s="114"/>
      <c r="AX86" s="120"/>
      <c r="AY86" s="120"/>
      <c r="AZ86" s="120"/>
      <c r="BA86" s="120"/>
      <c r="BB86" s="114"/>
      <c r="BC86" s="114"/>
      <c r="BD86" s="120"/>
      <c r="BE86" s="120"/>
      <c r="BF86" s="120"/>
      <c r="BG86" s="120"/>
      <c r="BH86" s="114"/>
      <c r="BI86" s="114"/>
      <c r="BJ86" s="120"/>
      <c r="BK86" s="120"/>
      <c r="BL86" s="120"/>
      <c r="BM86" s="120"/>
    </row>
    <row r="87" spans="1:65" x14ac:dyDescent="0.3">
      <c r="A87" s="450"/>
      <c r="B87" s="127">
        <v>18</v>
      </c>
      <c r="C87" s="128">
        <f>VLOOKUP($E$7,FTSGM1,368,FALSE)</f>
        <v>0</v>
      </c>
      <c r="D87" s="139">
        <f>VLOOKUP($E$7,FTSGM1,367,FALSE)</f>
        <v>0</v>
      </c>
      <c r="E87" s="139">
        <f>VLOOKUP($E$7,FTSGM1,363,FALSE)</f>
        <v>0</v>
      </c>
      <c r="F87" s="147">
        <f>VLOOKUP($E$7,FTSGM1,369,FALSE)</f>
        <v>0</v>
      </c>
      <c r="G87" s="148">
        <f>VLOOKUP($E$7,FTSGM1,370,FALSE)</f>
        <v>0</v>
      </c>
      <c r="H87" s="146">
        <f>VLOOKUP($E$7,FTSGM1,365,FALSE)</f>
        <v>0</v>
      </c>
      <c r="I87" s="146">
        <f>VLOOKUP($E$7,FTSGM1,366,FALSE)</f>
        <v>0</v>
      </c>
      <c r="J87" s="146">
        <f>VLOOKUP($E$7,FTSGM1,373,FALSE)</f>
        <v>0</v>
      </c>
      <c r="K87" s="214">
        <f>VLOOKUP($E$7,FTSGM1,371,FALSE)</f>
        <v>0</v>
      </c>
      <c r="L87" s="214">
        <f>VLOOKUP($E$7,FTSGM1,374,FALSE)</f>
        <v>0</v>
      </c>
      <c r="M87" s="300" t="str">
        <f t="shared" si="1"/>
        <v xml:space="preserve"> </v>
      </c>
      <c r="N87" s="301" t="str">
        <f t="shared" si="0"/>
        <v xml:space="preserve"> </v>
      </c>
      <c r="O87" s="120"/>
      <c r="P87" s="120"/>
      <c r="Q87" s="120"/>
      <c r="R87" s="114"/>
      <c r="S87" s="114"/>
      <c r="T87" s="120"/>
      <c r="U87" s="120"/>
      <c r="V87" s="120"/>
      <c r="W87" s="120"/>
      <c r="X87" s="114"/>
      <c r="Y87" s="114"/>
      <c r="Z87" s="120"/>
      <c r="AA87" s="120"/>
      <c r="AB87" s="120"/>
      <c r="AC87" s="120"/>
      <c r="AD87" s="114"/>
      <c r="AE87" s="114"/>
      <c r="AF87" s="120"/>
      <c r="AG87" s="120"/>
      <c r="AH87" s="120"/>
      <c r="AI87" s="120"/>
      <c r="AJ87" s="114"/>
      <c r="AK87" s="114"/>
      <c r="AL87" s="120"/>
      <c r="AM87" s="120"/>
      <c r="AN87" s="120"/>
      <c r="AO87" s="120"/>
      <c r="AP87" s="114"/>
      <c r="AQ87" s="114"/>
      <c r="AR87" s="120"/>
      <c r="AS87" s="120"/>
      <c r="AT87" s="120"/>
      <c r="AU87" s="120"/>
      <c r="AV87" s="114"/>
      <c r="AW87" s="114"/>
      <c r="AX87" s="120"/>
      <c r="AY87" s="120"/>
      <c r="AZ87" s="120"/>
      <c r="BA87" s="120"/>
      <c r="BB87" s="114"/>
      <c r="BC87" s="114"/>
      <c r="BD87" s="120"/>
      <c r="BE87" s="120"/>
      <c r="BF87" s="120"/>
      <c r="BG87" s="120"/>
      <c r="BH87" s="114"/>
      <c r="BI87" s="114"/>
      <c r="BJ87" s="120"/>
      <c r="BK87" s="120"/>
      <c r="BL87" s="120"/>
      <c r="BM87" s="120"/>
    </row>
    <row r="88" spans="1:65" x14ac:dyDescent="0.3">
      <c r="A88" s="450"/>
      <c r="B88" s="126">
        <v>19</v>
      </c>
      <c r="C88" s="196">
        <f>VLOOKUP($E$7,FTSGM1,389,FALSE)</f>
        <v>0</v>
      </c>
      <c r="D88" s="137">
        <f>VLOOKUP($E$7,FTSGM1,388,FALSE)</f>
        <v>0</v>
      </c>
      <c r="E88" s="137">
        <f>VLOOKUP($E$7,FTSGM1,384,FALSE)</f>
        <v>0</v>
      </c>
      <c r="F88" s="197">
        <f>VLOOKUP($E$7,FTSGM1,390,FALSE)</f>
        <v>0</v>
      </c>
      <c r="G88" s="198">
        <f>VLOOKUP($E$7,FTSGM1,391,FALSE)</f>
        <v>0</v>
      </c>
      <c r="H88" s="199">
        <f>VLOOKUP($E$7,FTSGM1,386,FALSE)</f>
        <v>0</v>
      </c>
      <c r="I88" s="199">
        <f>VLOOKUP($E$7,FTSGM1,387,FALSE)</f>
        <v>0</v>
      </c>
      <c r="J88" s="199">
        <f>VLOOKUP($E$7,FTSGM1,394,FALSE)</f>
        <v>0</v>
      </c>
      <c r="K88" s="213">
        <f>VLOOKUP($E$7,FTSGM1,392,FALSE)</f>
        <v>0</v>
      </c>
      <c r="L88" s="213">
        <f>VLOOKUP($E$7,FTSGM1,395,FALSE)</f>
        <v>0</v>
      </c>
      <c r="M88" s="302" t="str">
        <f t="shared" si="1"/>
        <v xml:space="preserve"> </v>
      </c>
      <c r="N88" s="306" t="str">
        <f t="shared" si="0"/>
        <v xml:space="preserve"> </v>
      </c>
      <c r="O88" s="120"/>
      <c r="P88" s="120"/>
      <c r="Q88" s="120"/>
      <c r="R88" s="114"/>
      <c r="S88" s="114"/>
      <c r="T88" s="120"/>
      <c r="U88" s="120"/>
      <c r="V88" s="120"/>
      <c r="W88" s="120"/>
      <c r="X88" s="114"/>
      <c r="Y88" s="114"/>
      <c r="Z88" s="120"/>
      <c r="AA88" s="120"/>
      <c r="AB88" s="120"/>
      <c r="AC88" s="120"/>
      <c r="AD88" s="114"/>
      <c r="AE88" s="114"/>
      <c r="AF88" s="120"/>
      <c r="AG88" s="120"/>
      <c r="AH88" s="120"/>
      <c r="AI88" s="120"/>
      <c r="AJ88" s="114"/>
      <c r="AK88" s="114"/>
      <c r="AL88" s="120"/>
      <c r="AM88" s="120"/>
      <c r="AN88" s="120"/>
      <c r="AO88" s="120"/>
      <c r="AP88" s="114"/>
      <c r="AQ88" s="114"/>
      <c r="AR88" s="120"/>
      <c r="AS88" s="120"/>
      <c r="AT88" s="120"/>
      <c r="AU88" s="120"/>
      <c r="AV88" s="114"/>
      <c r="AW88" s="114"/>
      <c r="AX88" s="120"/>
      <c r="AY88" s="120"/>
      <c r="AZ88" s="120"/>
      <c r="BA88" s="120"/>
      <c r="BB88" s="114"/>
      <c r="BC88" s="114"/>
      <c r="BD88" s="120"/>
      <c r="BE88" s="120"/>
      <c r="BF88" s="120"/>
      <c r="BG88" s="120"/>
      <c r="BH88" s="114"/>
      <c r="BI88" s="114"/>
      <c r="BJ88" s="120"/>
      <c r="BK88" s="120"/>
      <c r="BL88" s="120"/>
      <c r="BM88" s="120"/>
    </row>
    <row r="89" spans="1:65" x14ac:dyDescent="0.3">
      <c r="A89" s="450"/>
      <c r="B89" s="127">
        <v>20</v>
      </c>
      <c r="C89" s="128">
        <f>VLOOKUP($E$7,FTSGM1,410,FALSE)</f>
        <v>0</v>
      </c>
      <c r="D89" s="139">
        <f>VLOOKUP($E$7,FTSGM1,409,FALSE)</f>
        <v>0</v>
      </c>
      <c r="E89" s="139">
        <f>VLOOKUP($E$7,FTSGM1,405,FALSE)</f>
        <v>0</v>
      </c>
      <c r="F89" s="147">
        <f>VLOOKUP($E$7,FTSGM1,411,FALSE)</f>
        <v>0</v>
      </c>
      <c r="G89" s="148">
        <f>VLOOKUP($E$7,FTSGM1,412,FALSE)</f>
        <v>0</v>
      </c>
      <c r="H89" s="146">
        <f>VLOOKUP($E$7,FTSGM1,407,FALSE)</f>
        <v>0</v>
      </c>
      <c r="I89" s="146">
        <f>VLOOKUP($E$7,FTSGM1,408,FALSE)</f>
        <v>0</v>
      </c>
      <c r="J89" s="146">
        <f>VLOOKUP($E$7,FTSGM1,415,FALSE)</f>
        <v>0</v>
      </c>
      <c r="K89" s="214">
        <f>VLOOKUP($E$7,FTSGM1,413,FALSE)</f>
        <v>0</v>
      </c>
      <c r="L89" s="214">
        <f>VLOOKUP($E$7,FTSGM1,416,FALSE)</f>
        <v>0</v>
      </c>
      <c r="M89" s="300" t="str">
        <f t="shared" si="1"/>
        <v xml:space="preserve"> </v>
      </c>
      <c r="N89" s="301" t="str">
        <f t="shared" si="0"/>
        <v xml:space="preserve"> </v>
      </c>
      <c r="O89" s="120"/>
      <c r="P89" s="120"/>
      <c r="Q89" s="120"/>
      <c r="R89" s="114"/>
      <c r="S89" s="114"/>
      <c r="T89" s="120"/>
      <c r="U89" s="120"/>
      <c r="V89" s="120"/>
      <c r="W89" s="120"/>
      <c r="X89" s="114"/>
      <c r="Y89" s="114"/>
      <c r="Z89" s="120"/>
      <c r="AA89" s="120"/>
      <c r="AB89" s="120"/>
      <c r="AC89" s="120"/>
      <c r="AD89" s="114"/>
      <c r="AE89" s="114"/>
      <c r="AF89" s="120"/>
      <c r="AG89" s="120"/>
      <c r="AH89" s="120"/>
      <c r="AI89" s="120"/>
      <c r="AJ89" s="114"/>
      <c r="AK89" s="114"/>
      <c r="AL89" s="120"/>
      <c r="AM89" s="120"/>
      <c r="AN89" s="120"/>
      <c r="AO89" s="120"/>
      <c r="AP89" s="114"/>
      <c r="AQ89" s="114"/>
      <c r="AR89" s="120"/>
      <c r="AS89" s="120"/>
      <c r="AT89" s="120"/>
      <c r="AU89" s="120"/>
      <c r="AV89" s="114"/>
      <c r="AW89" s="114"/>
      <c r="AX89" s="120"/>
      <c r="AY89" s="120"/>
      <c r="AZ89" s="120"/>
      <c r="BA89" s="120"/>
      <c r="BB89" s="114"/>
      <c r="BC89" s="114"/>
      <c r="BD89" s="120"/>
      <c r="BE89" s="120"/>
      <c r="BF89" s="120"/>
      <c r="BG89" s="120"/>
      <c r="BH89" s="114"/>
      <c r="BI89" s="114"/>
      <c r="BJ89" s="120"/>
      <c r="BK89" s="120"/>
      <c r="BL89" s="120"/>
      <c r="BM89" s="120"/>
    </row>
    <row r="90" spans="1:65" x14ac:dyDescent="0.3">
      <c r="A90" s="450"/>
      <c r="B90" s="126">
        <v>21</v>
      </c>
      <c r="C90" s="196">
        <f>VLOOKUP($E$7,FTSGM1,431,FALSE)</f>
        <v>0</v>
      </c>
      <c r="D90" s="137">
        <f>VLOOKUP($E$7,FTSGM1,430,FALSE)</f>
        <v>0</v>
      </c>
      <c r="E90" s="137">
        <f>VLOOKUP($E$7,FTSGM1,426,FALSE)</f>
        <v>0</v>
      </c>
      <c r="F90" s="197">
        <f>VLOOKUP($E$7,FTSGM1,432,FALSE)</f>
        <v>0</v>
      </c>
      <c r="G90" s="198">
        <f>VLOOKUP($E$7,FTSGM1,433,FALSE)</f>
        <v>0</v>
      </c>
      <c r="H90" s="199">
        <f>VLOOKUP($E$7,FTSGM1,428,FALSE)</f>
        <v>0</v>
      </c>
      <c r="I90" s="199">
        <f>VLOOKUP($E$7,FTSGM1,429,FALSE)</f>
        <v>0</v>
      </c>
      <c r="J90" s="199">
        <f>VLOOKUP($E$7,FTSGM1,436,FALSE)</f>
        <v>0</v>
      </c>
      <c r="K90" s="213">
        <f>VLOOKUP($E$7,FTSGM1,434,FALSE)</f>
        <v>0</v>
      </c>
      <c r="L90" s="213">
        <f>VLOOKUP($E$7,FTSGM1,437,FALSE)</f>
        <v>0</v>
      </c>
      <c r="M90" s="302" t="str">
        <f t="shared" si="1"/>
        <v xml:space="preserve"> </v>
      </c>
      <c r="N90" s="306" t="str">
        <f t="shared" si="0"/>
        <v xml:space="preserve"> </v>
      </c>
      <c r="O90" s="120"/>
      <c r="P90" s="120"/>
      <c r="Q90" s="120"/>
      <c r="R90" s="114"/>
      <c r="S90" s="114"/>
      <c r="T90" s="120"/>
      <c r="U90" s="120"/>
      <c r="V90" s="120"/>
      <c r="W90" s="120"/>
      <c r="X90" s="114"/>
      <c r="Y90" s="114"/>
      <c r="Z90" s="120"/>
      <c r="AA90" s="120"/>
      <c r="AB90" s="120"/>
      <c r="AC90" s="120"/>
      <c r="AD90" s="114"/>
      <c r="AE90" s="114"/>
      <c r="AF90" s="120"/>
      <c r="AG90" s="120"/>
      <c r="AH90" s="120"/>
      <c r="AI90" s="120"/>
      <c r="AJ90" s="114"/>
      <c r="AK90" s="114"/>
      <c r="AL90" s="120"/>
      <c r="AM90" s="120"/>
      <c r="AN90" s="120"/>
      <c r="AO90" s="120"/>
      <c r="AP90" s="114"/>
      <c r="AQ90" s="114"/>
      <c r="AR90" s="120"/>
      <c r="AS90" s="120"/>
      <c r="AT90" s="120"/>
      <c r="AU90" s="120"/>
      <c r="AV90" s="114"/>
      <c r="AW90" s="114"/>
      <c r="AX90" s="120"/>
      <c r="AY90" s="120"/>
      <c r="AZ90" s="120"/>
      <c r="BA90" s="120"/>
      <c r="BB90" s="114"/>
      <c r="BC90" s="114"/>
      <c r="BD90" s="120"/>
      <c r="BE90" s="120"/>
      <c r="BF90" s="120"/>
      <c r="BG90" s="120"/>
      <c r="BH90" s="114"/>
      <c r="BI90" s="114"/>
      <c r="BJ90" s="120"/>
      <c r="BK90" s="120"/>
      <c r="BL90" s="120"/>
      <c r="BM90" s="120"/>
    </row>
    <row r="91" spans="1:65" x14ac:dyDescent="0.3">
      <c r="A91" s="450"/>
      <c r="B91" s="127">
        <v>22</v>
      </c>
      <c r="C91" s="128">
        <f>VLOOKUP($E$7,FTSGM1,452,FALSE)</f>
        <v>0</v>
      </c>
      <c r="D91" s="139">
        <f>VLOOKUP($E$7,FTSGM1,451,FALSE)</f>
        <v>0</v>
      </c>
      <c r="E91" s="139">
        <f>VLOOKUP($E$7,FTSGM1,447,FALSE)</f>
        <v>0</v>
      </c>
      <c r="F91" s="147">
        <f>VLOOKUP($E$7,FTSGM1,453,FALSE)</f>
        <v>0</v>
      </c>
      <c r="G91" s="148">
        <f>VLOOKUP($E$7,FTSGM1,454,FALSE)</f>
        <v>0</v>
      </c>
      <c r="H91" s="146">
        <f>VLOOKUP($E$7,FTSGM1,449,FALSE)</f>
        <v>0</v>
      </c>
      <c r="I91" s="146">
        <f>VLOOKUP($E$7,FTSGM1,450,FALSE)</f>
        <v>0</v>
      </c>
      <c r="J91" s="146">
        <f>VLOOKUP($E$7,FTSGM1,457,FALSE)</f>
        <v>0</v>
      </c>
      <c r="K91" s="214">
        <f>VLOOKUP($E$7,FTSGM1,455,FALSE)</f>
        <v>0</v>
      </c>
      <c r="L91" s="214">
        <f>VLOOKUP($E$7,FTSGM1,458,FALSE)</f>
        <v>0</v>
      </c>
      <c r="M91" s="300" t="str">
        <f t="shared" si="1"/>
        <v xml:space="preserve"> </v>
      </c>
      <c r="N91" s="301" t="str">
        <f t="shared" si="0"/>
        <v xml:space="preserve"> </v>
      </c>
      <c r="O91" s="120"/>
      <c r="P91" s="120"/>
      <c r="Q91" s="120"/>
      <c r="R91" s="114"/>
      <c r="S91" s="114"/>
      <c r="T91" s="120"/>
      <c r="U91" s="120"/>
      <c r="V91" s="120"/>
      <c r="W91" s="120"/>
      <c r="X91" s="114"/>
      <c r="Y91" s="114"/>
      <c r="Z91" s="120"/>
      <c r="AA91" s="120"/>
      <c r="AB91" s="120"/>
      <c r="AC91" s="120"/>
      <c r="AD91" s="114"/>
      <c r="AE91" s="114"/>
      <c r="AF91" s="120"/>
      <c r="AG91" s="120"/>
      <c r="AH91" s="120"/>
      <c r="AI91" s="120"/>
      <c r="AJ91" s="114"/>
      <c r="AK91" s="114"/>
      <c r="AL91" s="120"/>
      <c r="AM91" s="120"/>
      <c r="AN91" s="120"/>
      <c r="AO91" s="120"/>
      <c r="AP91" s="114"/>
      <c r="AQ91" s="114"/>
      <c r="AR91" s="120"/>
      <c r="AS91" s="120"/>
      <c r="AT91" s="120"/>
      <c r="AU91" s="120"/>
      <c r="AV91" s="114"/>
      <c r="AW91" s="114"/>
      <c r="AX91" s="120"/>
      <c r="AY91" s="120"/>
      <c r="AZ91" s="120"/>
      <c r="BA91" s="120"/>
      <c r="BB91" s="114"/>
      <c r="BC91" s="114"/>
      <c r="BD91" s="120"/>
      <c r="BE91" s="120"/>
      <c r="BF91" s="120"/>
      <c r="BG91" s="120"/>
      <c r="BH91" s="114"/>
      <c r="BI91" s="114"/>
      <c r="BJ91" s="120"/>
      <c r="BK91" s="120"/>
      <c r="BL91" s="120"/>
      <c r="BM91" s="120"/>
    </row>
    <row r="92" spans="1:65" x14ac:dyDescent="0.3">
      <c r="A92" s="450"/>
      <c r="B92" s="126">
        <v>23</v>
      </c>
      <c r="C92" s="196">
        <f>VLOOKUP($E$7,FTSGM1,473,FALSE)</f>
        <v>0</v>
      </c>
      <c r="D92" s="137">
        <f>VLOOKUP($E$7,FTSGM1,472,FALSE)</f>
        <v>0</v>
      </c>
      <c r="E92" s="137">
        <f>VLOOKUP($E$7,FTSGM1,468,FALSE)</f>
        <v>0</v>
      </c>
      <c r="F92" s="197">
        <f>VLOOKUP($E$7,FTSGM1,474,FALSE)</f>
        <v>0</v>
      </c>
      <c r="G92" s="198">
        <f>VLOOKUP($E$7,FTSGM1,475,FALSE)</f>
        <v>0</v>
      </c>
      <c r="H92" s="199">
        <f>VLOOKUP($E$7,FTSGM1,470,FALSE)</f>
        <v>0</v>
      </c>
      <c r="I92" s="199">
        <f>VLOOKUP($E$7,FTSGM1,471,FALSE)</f>
        <v>0</v>
      </c>
      <c r="J92" s="199">
        <f>VLOOKUP($E$7,FTSGM1,478,FALSE)</f>
        <v>0</v>
      </c>
      <c r="K92" s="213">
        <f>VLOOKUP($E$7,FTSGM1,476,FALSE)</f>
        <v>0</v>
      </c>
      <c r="L92" s="213">
        <f>VLOOKUP($E$7,FTSGM1,479,FALSE)</f>
        <v>0</v>
      </c>
      <c r="M92" s="302" t="str">
        <f t="shared" si="1"/>
        <v xml:space="preserve"> </v>
      </c>
      <c r="N92" s="306" t="str">
        <f t="shared" si="0"/>
        <v xml:space="preserve"> </v>
      </c>
      <c r="O92" s="120"/>
      <c r="P92" s="120"/>
      <c r="Q92" s="120"/>
      <c r="R92" s="114"/>
      <c r="S92" s="114"/>
      <c r="T92" s="120"/>
      <c r="U92" s="120"/>
      <c r="V92" s="120"/>
      <c r="W92" s="120"/>
      <c r="X92" s="114"/>
      <c r="Y92" s="114"/>
      <c r="Z92" s="120"/>
      <c r="AA92" s="120"/>
      <c r="AB92" s="120"/>
      <c r="AC92" s="120"/>
      <c r="AD92" s="114"/>
      <c r="AE92" s="114"/>
      <c r="AF92" s="120"/>
      <c r="AG92" s="120"/>
      <c r="AH92" s="120"/>
      <c r="AI92" s="120"/>
      <c r="AJ92" s="114"/>
      <c r="AK92" s="114"/>
      <c r="AL92" s="120"/>
      <c r="AM92" s="120"/>
      <c r="AN92" s="120"/>
      <c r="AO92" s="120"/>
      <c r="AP92" s="114"/>
      <c r="AQ92" s="114"/>
      <c r="AR92" s="120"/>
      <c r="AS92" s="120"/>
      <c r="AT92" s="120"/>
      <c r="AU92" s="120"/>
      <c r="AV92" s="114"/>
      <c r="AW92" s="114"/>
      <c r="AX92" s="120"/>
      <c r="AY92" s="120"/>
      <c r="AZ92" s="120"/>
      <c r="BA92" s="120"/>
      <c r="BB92" s="114"/>
      <c r="BC92" s="114"/>
      <c r="BD92" s="120"/>
      <c r="BE92" s="120"/>
      <c r="BF92" s="120"/>
      <c r="BG92" s="120"/>
      <c r="BH92" s="114"/>
      <c r="BI92" s="114"/>
      <c r="BJ92" s="120"/>
      <c r="BK92" s="120"/>
      <c r="BL92" s="120"/>
      <c r="BM92" s="120"/>
    </row>
    <row r="93" spans="1:65" x14ac:dyDescent="0.3">
      <c r="A93" s="450"/>
      <c r="B93" s="127">
        <v>24</v>
      </c>
      <c r="C93" s="128">
        <f>VLOOKUP($E$7,FTSGM1,494,FALSE)</f>
        <v>0</v>
      </c>
      <c r="D93" s="139">
        <f>VLOOKUP($E$7,FTSGM1,493,FALSE)</f>
        <v>0</v>
      </c>
      <c r="E93" s="139">
        <f>VLOOKUP($E$7,FTSGM1,489,FALSE)</f>
        <v>0</v>
      </c>
      <c r="F93" s="147">
        <f>VLOOKUP($E$7,FTSGM1,495,FALSE)</f>
        <v>0</v>
      </c>
      <c r="G93" s="148">
        <f>VLOOKUP($E$7,FTSGM1,496,FALSE)</f>
        <v>0</v>
      </c>
      <c r="H93" s="146">
        <f>VLOOKUP($E$7,FTSGM1,491,FALSE)</f>
        <v>0</v>
      </c>
      <c r="I93" s="146">
        <f>VLOOKUP($E$7,FTSGM1,492,FALSE)</f>
        <v>0</v>
      </c>
      <c r="J93" s="146">
        <f>VLOOKUP($E$7,FTSGM1,499,FALSE)</f>
        <v>0</v>
      </c>
      <c r="K93" s="214">
        <f>VLOOKUP($E$7,FTSGM1,497,FALSE)</f>
        <v>0</v>
      </c>
      <c r="L93" s="214">
        <f>VLOOKUP($E$7,FTSGM1,500,FALSE)</f>
        <v>0</v>
      </c>
      <c r="M93" s="300" t="str">
        <f t="shared" si="1"/>
        <v xml:space="preserve"> </v>
      </c>
      <c r="N93" s="301" t="str">
        <f t="shared" si="0"/>
        <v xml:space="preserve"> </v>
      </c>
      <c r="O93" s="120"/>
      <c r="P93" s="120"/>
      <c r="Q93" s="120"/>
      <c r="R93" s="114"/>
      <c r="S93" s="114"/>
      <c r="T93" s="120"/>
      <c r="U93" s="120"/>
      <c r="V93" s="120"/>
      <c r="W93" s="120"/>
      <c r="X93" s="114"/>
      <c r="Y93" s="114"/>
      <c r="Z93" s="120"/>
      <c r="AA93" s="120"/>
      <c r="AB93" s="120"/>
      <c r="AC93" s="120"/>
      <c r="AD93" s="114"/>
      <c r="AE93" s="114"/>
      <c r="AF93" s="120"/>
      <c r="AG93" s="120"/>
      <c r="AH93" s="120"/>
      <c r="AI93" s="120"/>
      <c r="AJ93" s="114"/>
      <c r="AK93" s="114"/>
      <c r="AL93" s="120"/>
      <c r="AM93" s="120"/>
      <c r="AN93" s="120"/>
      <c r="AO93" s="120"/>
      <c r="AP93" s="114"/>
      <c r="AQ93" s="114"/>
      <c r="AR93" s="120"/>
      <c r="AS93" s="120"/>
      <c r="AT93" s="120"/>
      <c r="AU93" s="120"/>
      <c r="AV93" s="114"/>
      <c r="AW93" s="114"/>
      <c r="AX93" s="120"/>
      <c r="AY93" s="120"/>
      <c r="AZ93" s="120"/>
      <c r="BA93" s="120"/>
      <c r="BB93" s="114"/>
      <c r="BC93" s="114"/>
      <c r="BD93" s="120"/>
      <c r="BE93" s="120"/>
      <c r="BF93" s="120"/>
      <c r="BG93" s="120"/>
      <c r="BH93" s="114"/>
      <c r="BI93" s="114"/>
      <c r="BJ93" s="120"/>
      <c r="BK93" s="120"/>
      <c r="BL93" s="120"/>
      <c r="BM93" s="120"/>
    </row>
    <row r="94" spans="1:65" x14ac:dyDescent="0.3">
      <c r="A94" s="450"/>
      <c r="B94" s="126">
        <v>25</v>
      </c>
      <c r="C94" s="196">
        <f>VLOOKUP($E$7,FTSGM1,515,FALSE)</f>
        <v>0</v>
      </c>
      <c r="D94" s="137">
        <f>VLOOKUP($E$7,FTSGM1,514,FALSE)</f>
        <v>0</v>
      </c>
      <c r="E94" s="137">
        <f>VLOOKUP($E$7,FTSGM1,510,FALSE)</f>
        <v>0</v>
      </c>
      <c r="F94" s="197">
        <f>VLOOKUP($E$7,FTSGM1,516,FALSE)</f>
        <v>0</v>
      </c>
      <c r="G94" s="198">
        <f>VLOOKUP($E$7,FTSGM1,517,FALSE)</f>
        <v>0</v>
      </c>
      <c r="H94" s="199">
        <f>VLOOKUP($E$7,FTSGM1,512,FALSE)</f>
        <v>0</v>
      </c>
      <c r="I94" s="199">
        <f>VLOOKUP($E$7,FTSGM1,513,FALSE)</f>
        <v>0</v>
      </c>
      <c r="J94" s="199">
        <f>VLOOKUP($E$7,FTSGM1,520,FALSE)</f>
        <v>0</v>
      </c>
      <c r="K94" s="213">
        <f>VLOOKUP($E$7,FTSGM1,518,FALSE)</f>
        <v>0</v>
      </c>
      <c r="L94" s="213">
        <f>VLOOKUP($E$7,FTSGM1,521,FALSE)</f>
        <v>0</v>
      </c>
      <c r="M94" s="302" t="str">
        <f t="shared" si="1"/>
        <v xml:space="preserve"> </v>
      </c>
      <c r="N94" s="306" t="str">
        <f t="shared" si="0"/>
        <v xml:space="preserve"> </v>
      </c>
      <c r="O94" s="120"/>
      <c r="P94" s="120"/>
      <c r="Q94" s="120"/>
      <c r="R94" s="114"/>
      <c r="S94" s="114"/>
      <c r="T94" s="120"/>
      <c r="U94" s="120"/>
      <c r="V94" s="120"/>
      <c r="W94" s="120"/>
      <c r="X94" s="114"/>
      <c r="Y94" s="114"/>
      <c r="Z94" s="120"/>
      <c r="AA94" s="120"/>
      <c r="AB94" s="120"/>
      <c r="AC94" s="120"/>
      <c r="AD94" s="114"/>
      <c r="AE94" s="114"/>
      <c r="AF94" s="120"/>
      <c r="AG94" s="120"/>
      <c r="AH94" s="120"/>
      <c r="AI94" s="120"/>
      <c r="AJ94" s="114"/>
      <c r="AK94" s="114"/>
      <c r="AL94" s="120"/>
      <c r="AM94" s="120"/>
      <c r="AN94" s="120"/>
      <c r="AO94" s="120"/>
      <c r="AP94" s="114"/>
      <c r="AQ94" s="114"/>
      <c r="AR94" s="120"/>
      <c r="AS94" s="120"/>
      <c r="AT94" s="120"/>
      <c r="AU94" s="120"/>
      <c r="AV94" s="114"/>
      <c r="AW94" s="114"/>
      <c r="AX94" s="120"/>
      <c r="AY94" s="120"/>
      <c r="AZ94" s="120"/>
      <c r="BA94" s="120"/>
      <c r="BB94" s="114"/>
      <c r="BC94" s="114"/>
      <c r="BD94" s="120"/>
      <c r="BE94" s="120"/>
      <c r="BF94" s="120"/>
      <c r="BG94" s="120"/>
      <c r="BH94" s="114"/>
      <c r="BI94" s="114"/>
      <c r="BJ94" s="120"/>
      <c r="BK94" s="120"/>
      <c r="BL94" s="120"/>
      <c r="BM94" s="120"/>
    </row>
    <row r="95" spans="1:65" ht="14.4" customHeight="1" x14ac:dyDescent="0.3">
      <c r="A95" s="450"/>
      <c r="B95" s="127">
        <v>26</v>
      </c>
      <c r="C95" s="128">
        <f>VLOOKUP($E$7,FTSGM1,536,FALSE)</f>
        <v>0</v>
      </c>
      <c r="D95" s="139">
        <f>VLOOKUP($E$7,FTSGM1,535,FALSE)</f>
        <v>0</v>
      </c>
      <c r="E95" s="139">
        <f>VLOOKUP($E$7,FTSGM1,531,FALSE)</f>
        <v>0</v>
      </c>
      <c r="F95" s="147">
        <f>VLOOKUP($E$7,FTSGM1,537,FALSE)</f>
        <v>0</v>
      </c>
      <c r="G95" s="148">
        <f>VLOOKUP($E$7,FTSGM1,538,FALSE)</f>
        <v>0</v>
      </c>
      <c r="H95" s="146">
        <f>VLOOKUP($E$7,FTSGM1,533,FALSE)</f>
        <v>0</v>
      </c>
      <c r="I95" s="146">
        <f>VLOOKUP($E$7,FTSGM1,534,FALSE)</f>
        <v>0</v>
      </c>
      <c r="J95" s="146">
        <f>VLOOKUP($E$7,FTSGM1,541,FALSE)</f>
        <v>0</v>
      </c>
      <c r="K95" s="214">
        <f>VLOOKUP($E$7,FTSGM1,539,FALSE)</f>
        <v>0</v>
      </c>
      <c r="L95" s="214">
        <f>VLOOKUP($E$7,FTSGM1,542,FALSE)</f>
        <v>0</v>
      </c>
      <c r="M95" s="300" t="str">
        <f t="shared" si="1"/>
        <v xml:space="preserve"> </v>
      </c>
      <c r="N95" s="301" t="str">
        <f t="shared" si="0"/>
        <v xml:space="preserve"> </v>
      </c>
      <c r="O95" s="120"/>
      <c r="P95" s="120"/>
      <c r="Q95" s="120"/>
      <c r="R95" s="114"/>
      <c r="S95" s="114"/>
      <c r="T95" s="120"/>
      <c r="U95" s="120"/>
      <c r="V95" s="120"/>
      <c r="W95" s="120"/>
      <c r="X95" s="114"/>
      <c r="Y95" s="114"/>
      <c r="Z95" s="120"/>
      <c r="AA95" s="120"/>
      <c r="AB95" s="120"/>
      <c r="AC95" s="120"/>
      <c r="AD95" s="114"/>
      <c r="AE95" s="114"/>
      <c r="AF95" s="120"/>
      <c r="AG95" s="120"/>
      <c r="AH95" s="120"/>
      <c r="AI95" s="120"/>
      <c r="AJ95" s="114"/>
      <c r="AK95" s="114"/>
      <c r="AL95" s="120"/>
      <c r="AM95" s="120"/>
      <c r="AN95" s="120"/>
      <c r="AO95" s="120"/>
      <c r="AP95" s="114"/>
      <c r="AQ95" s="114"/>
      <c r="AR95" s="120"/>
      <c r="AS95" s="120"/>
      <c r="AT95" s="120"/>
      <c r="AU95" s="120"/>
      <c r="AV95" s="114"/>
      <c r="AW95" s="114"/>
      <c r="AX95" s="120"/>
      <c r="AY95" s="120"/>
      <c r="AZ95" s="120"/>
      <c r="BA95" s="120"/>
      <c r="BB95" s="114"/>
      <c r="BC95" s="114"/>
      <c r="BD95" s="120"/>
      <c r="BE95" s="120"/>
      <c r="BF95" s="120"/>
      <c r="BG95" s="120"/>
      <c r="BH95" s="114"/>
      <c r="BI95" s="114"/>
      <c r="BJ95" s="120"/>
      <c r="BK95" s="120"/>
      <c r="BL95" s="120"/>
      <c r="BM95" s="120"/>
    </row>
    <row r="96" spans="1:65" ht="14.4" customHeight="1" x14ac:dyDescent="0.3">
      <c r="A96" s="450"/>
      <c r="B96" s="126">
        <v>27</v>
      </c>
      <c r="C96" s="196">
        <f>VLOOKUP($E$7,FTSGM1,557,FALSE)</f>
        <v>0</v>
      </c>
      <c r="D96" s="137">
        <f>VLOOKUP($E$7,FTSGM1,556,FALSE)</f>
        <v>0</v>
      </c>
      <c r="E96" s="137">
        <f>VLOOKUP($E$7,FTSGM1,552,FALSE)</f>
        <v>0</v>
      </c>
      <c r="F96" s="197">
        <f>VLOOKUP($E$7,FTSGM1,558,FALSE)</f>
        <v>0</v>
      </c>
      <c r="G96" s="198">
        <f>VLOOKUP($E$7,FTSGM1,559,FALSE)</f>
        <v>0</v>
      </c>
      <c r="H96" s="199">
        <f>VLOOKUP($E$7,FTSGM1,554,FALSE)</f>
        <v>0</v>
      </c>
      <c r="I96" s="199">
        <f>VLOOKUP($E$7,FTSGM1,555,FALSE)</f>
        <v>0</v>
      </c>
      <c r="J96" s="199">
        <f>VLOOKUP($E$7,FTSGM1,562,FALSE)</f>
        <v>0</v>
      </c>
      <c r="K96" s="213">
        <f>VLOOKUP($E$7,FTSGM1,560,FALSE)</f>
        <v>0</v>
      </c>
      <c r="L96" s="213">
        <f>VLOOKUP($E$7,FTSGM1,563,FALSE)</f>
        <v>0</v>
      </c>
      <c r="M96" s="302" t="str">
        <f t="shared" si="1"/>
        <v xml:space="preserve"> </v>
      </c>
      <c r="N96" s="306" t="str">
        <f t="shared" si="0"/>
        <v xml:space="preserve"> </v>
      </c>
      <c r="O96" s="120"/>
      <c r="P96" s="120"/>
      <c r="Q96" s="120"/>
      <c r="R96" s="114"/>
      <c r="S96" s="114"/>
      <c r="T96" s="120"/>
      <c r="U96" s="120"/>
      <c r="V96" s="120"/>
      <c r="W96" s="120"/>
      <c r="X96" s="114"/>
      <c r="Y96" s="114"/>
      <c r="Z96" s="120"/>
      <c r="AA96" s="120"/>
      <c r="AB96" s="120"/>
      <c r="AC96" s="120"/>
      <c r="AD96" s="114"/>
      <c r="AE96" s="114"/>
      <c r="AF96" s="120"/>
      <c r="AG96" s="120"/>
      <c r="AH96" s="120"/>
      <c r="AI96" s="120"/>
      <c r="AJ96" s="114"/>
      <c r="AK96" s="114"/>
      <c r="AL96" s="120"/>
      <c r="AM96" s="120"/>
      <c r="AN96" s="120"/>
      <c r="AO96" s="120"/>
      <c r="AP96" s="114"/>
      <c r="AQ96" s="114"/>
      <c r="AR96" s="120"/>
      <c r="AS96" s="120"/>
      <c r="AT96" s="120"/>
      <c r="AU96" s="120"/>
      <c r="AV96" s="114"/>
      <c r="AW96" s="114"/>
      <c r="AX96" s="120"/>
      <c r="AY96" s="120"/>
      <c r="AZ96" s="120"/>
      <c r="BA96" s="120"/>
      <c r="BB96" s="114"/>
      <c r="BC96" s="114"/>
      <c r="BD96" s="120"/>
      <c r="BE96" s="120"/>
      <c r="BF96" s="120"/>
      <c r="BG96" s="120"/>
      <c r="BH96" s="114"/>
      <c r="BI96" s="114"/>
      <c r="BJ96" s="120"/>
      <c r="BK96" s="120"/>
      <c r="BL96" s="120"/>
      <c r="BM96" s="120"/>
    </row>
    <row r="97" spans="1:65" ht="14.4" customHeight="1" x14ac:dyDescent="0.3">
      <c r="A97" s="450"/>
      <c r="B97" s="127">
        <v>28</v>
      </c>
      <c r="C97" s="128">
        <f>VLOOKUP($E$7,FTSGM1,578,FALSE)</f>
        <v>0</v>
      </c>
      <c r="D97" s="139">
        <f>VLOOKUP($E$7,FTSGM1,577,FALSE)</f>
        <v>0</v>
      </c>
      <c r="E97" s="139">
        <f>VLOOKUP($E$7,FTSGM1,573,FALSE)</f>
        <v>0</v>
      </c>
      <c r="F97" s="147">
        <f>VLOOKUP($E$7,FTSGM1,579,FALSE)</f>
        <v>0</v>
      </c>
      <c r="G97" s="148">
        <f>VLOOKUP($E$7,FTSGM1,580,FALSE)</f>
        <v>0</v>
      </c>
      <c r="H97" s="146">
        <f>VLOOKUP($E$7,FTSGM1,575,FALSE)</f>
        <v>0</v>
      </c>
      <c r="I97" s="146">
        <f>VLOOKUP($E$7,FTSGM1,576,FALSE)</f>
        <v>0</v>
      </c>
      <c r="J97" s="146">
        <f>VLOOKUP($E$7,FTSGM1,583,FALSE)</f>
        <v>0</v>
      </c>
      <c r="K97" s="214">
        <f>VLOOKUP($E$7,FTSGM1,581,FALSE)</f>
        <v>0</v>
      </c>
      <c r="L97" s="214">
        <f>VLOOKUP($E$7,FTSGM1,584,FALSE)</f>
        <v>0</v>
      </c>
      <c r="M97" s="300" t="str">
        <f t="shared" si="1"/>
        <v xml:space="preserve"> </v>
      </c>
      <c r="N97" s="301" t="str">
        <f t="shared" si="0"/>
        <v xml:space="preserve"> </v>
      </c>
      <c r="O97" s="120"/>
      <c r="P97" s="120"/>
      <c r="Q97" s="120"/>
      <c r="R97" s="114"/>
      <c r="S97" s="114"/>
      <c r="T97" s="120"/>
      <c r="U97" s="120"/>
      <c r="V97" s="120"/>
      <c r="W97" s="120"/>
      <c r="X97" s="114"/>
      <c r="Y97" s="114"/>
      <c r="Z97" s="120"/>
      <c r="AA97" s="120"/>
      <c r="AB97" s="120"/>
      <c r="AC97" s="120"/>
      <c r="AD97" s="114"/>
      <c r="AE97" s="114"/>
      <c r="AF97" s="120"/>
      <c r="AG97" s="120"/>
      <c r="AH97" s="120"/>
      <c r="AI97" s="120"/>
      <c r="AJ97" s="114"/>
      <c r="AK97" s="114"/>
      <c r="AL97" s="120"/>
      <c r="AM97" s="120"/>
      <c r="AN97" s="120"/>
      <c r="AO97" s="120"/>
      <c r="AP97" s="114"/>
      <c r="AQ97" s="114"/>
      <c r="AR97" s="120"/>
      <c r="AS97" s="120"/>
      <c r="AT97" s="120"/>
      <c r="AU97" s="120"/>
      <c r="AV97" s="114"/>
      <c r="AW97" s="114"/>
      <c r="AX97" s="120"/>
      <c r="AY97" s="120"/>
      <c r="AZ97" s="120"/>
      <c r="BA97" s="120"/>
      <c r="BB97" s="114"/>
      <c r="BC97" s="114"/>
      <c r="BD97" s="120"/>
      <c r="BE97" s="120"/>
      <c r="BF97" s="120"/>
      <c r="BG97" s="120"/>
      <c r="BH97" s="114"/>
      <c r="BI97" s="114"/>
      <c r="BJ97" s="120"/>
      <c r="BK97" s="120"/>
      <c r="BL97" s="120"/>
      <c r="BM97" s="120"/>
    </row>
    <row r="98" spans="1:65" ht="14.4" customHeight="1" x14ac:dyDescent="0.3">
      <c r="A98" s="450"/>
      <c r="B98" s="126">
        <v>29</v>
      </c>
      <c r="C98" s="196">
        <f>VLOOKUP($E$7,FTSGM1,599,FALSE)</f>
        <v>0</v>
      </c>
      <c r="D98" s="137">
        <f>VLOOKUP($E$7,FTSGM1,598,FALSE)</f>
        <v>0</v>
      </c>
      <c r="E98" s="137">
        <f>VLOOKUP($E$7,FTSGM1,594,FALSE)</f>
        <v>0</v>
      </c>
      <c r="F98" s="197">
        <f>VLOOKUP($E$7,FTSGM1,600,FALSE)</f>
        <v>0</v>
      </c>
      <c r="G98" s="198">
        <f>VLOOKUP($E$7,FTSGM1,601,FALSE)</f>
        <v>0</v>
      </c>
      <c r="H98" s="199">
        <f>VLOOKUP($E$7,FTSGM1,596,FALSE)</f>
        <v>0</v>
      </c>
      <c r="I98" s="199">
        <f>VLOOKUP($E$7,FTSGM1,597,FALSE)</f>
        <v>0</v>
      </c>
      <c r="J98" s="199">
        <f>VLOOKUP($E$7,FTSGM1,604,FALSE)</f>
        <v>0</v>
      </c>
      <c r="K98" s="213">
        <f>VLOOKUP($E$7,FTSGM1,602,FALSE)</f>
        <v>0</v>
      </c>
      <c r="L98" s="213">
        <f>VLOOKUP($E$7,FTSGM1,605,FALSE)</f>
        <v>0</v>
      </c>
      <c r="M98" s="302" t="str">
        <f t="shared" si="1"/>
        <v xml:space="preserve"> </v>
      </c>
      <c r="N98" s="306" t="str">
        <f t="shared" si="0"/>
        <v xml:space="preserve"> </v>
      </c>
      <c r="O98" s="120"/>
      <c r="P98" s="120"/>
      <c r="Q98" s="120"/>
      <c r="R98" s="114"/>
      <c r="S98" s="114"/>
      <c r="T98" s="120"/>
      <c r="U98" s="120"/>
      <c r="V98" s="120"/>
      <c r="W98" s="120"/>
      <c r="X98" s="114"/>
      <c r="Y98" s="114"/>
      <c r="Z98" s="120"/>
      <c r="AA98" s="120"/>
      <c r="AB98" s="120"/>
      <c r="AC98" s="120"/>
      <c r="AD98" s="114"/>
      <c r="AE98" s="114"/>
      <c r="AF98" s="120"/>
      <c r="AG98" s="120"/>
      <c r="AH98" s="120"/>
      <c r="AI98" s="120"/>
      <c r="AJ98" s="114"/>
      <c r="AK98" s="114"/>
      <c r="AL98" s="120"/>
      <c r="AM98" s="120"/>
      <c r="AN98" s="120"/>
      <c r="AO98" s="120"/>
      <c r="AP98" s="114"/>
      <c r="AQ98" s="114"/>
      <c r="AR98" s="120"/>
      <c r="AS98" s="120"/>
      <c r="AT98" s="120"/>
      <c r="AU98" s="120"/>
      <c r="AV98" s="114"/>
      <c r="AW98" s="114"/>
      <c r="AX98" s="120"/>
      <c r="AY98" s="120"/>
      <c r="AZ98" s="120"/>
      <c r="BA98" s="120"/>
      <c r="BB98" s="114"/>
      <c r="BC98" s="114"/>
      <c r="BD98" s="120"/>
      <c r="BE98" s="120"/>
      <c r="BF98" s="120"/>
      <c r="BG98" s="120"/>
      <c r="BH98" s="114"/>
      <c r="BI98" s="114"/>
      <c r="BJ98" s="120"/>
      <c r="BK98" s="120"/>
      <c r="BL98" s="120"/>
      <c r="BM98" s="120"/>
    </row>
    <row r="99" spans="1:65" ht="14.4" customHeight="1" x14ac:dyDescent="0.3">
      <c r="A99" s="450"/>
      <c r="B99" s="127">
        <v>30</v>
      </c>
      <c r="C99" s="128">
        <f>VLOOKUP($E$7,FTSGM1,620,FALSE)</f>
        <v>0</v>
      </c>
      <c r="D99" s="139">
        <f>VLOOKUP($E$7,FTSGM1,619,FALSE)</f>
        <v>0</v>
      </c>
      <c r="E99" s="139">
        <f>VLOOKUP($E$7,FTSGM1,615,FALSE)</f>
        <v>0</v>
      </c>
      <c r="F99" s="147">
        <f>VLOOKUP($E$7,FTSGM1,621,FALSE)</f>
        <v>0</v>
      </c>
      <c r="G99" s="148">
        <f>VLOOKUP($E$7,FTSGM1,622,FALSE)</f>
        <v>0</v>
      </c>
      <c r="H99" s="146">
        <f>VLOOKUP($E$7,FTSGM1,617,FALSE)</f>
        <v>0</v>
      </c>
      <c r="I99" s="146">
        <f>VLOOKUP($E$7,FTSGM1,618,FALSE)</f>
        <v>0</v>
      </c>
      <c r="J99" s="146">
        <f>VLOOKUP($E$7,FTSGM1,625,FALSE)</f>
        <v>0</v>
      </c>
      <c r="K99" s="214">
        <f>VLOOKUP($E$7,FTSGM1,623,FALSE)</f>
        <v>0</v>
      </c>
      <c r="L99" s="214">
        <f>VLOOKUP($E$7,FTSGM1,626,FALSE)</f>
        <v>0</v>
      </c>
      <c r="M99" s="300" t="str">
        <f t="shared" si="1"/>
        <v xml:space="preserve"> </v>
      </c>
      <c r="N99" s="301" t="str">
        <f t="shared" si="0"/>
        <v xml:space="preserve"> </v>
      </c>
      <c r="O99" s="120"/>
      <c r="P99" s="120"/>
      <c r="Q99" s="120"/>
      <c r="R99" s="114"/>
      <c r="S99" s="114"/>
      <c r="T99" s="120"/>
      <c r="U99" s="120"/>
      <c r="V99" s="120"/>
      <c r="W99" s="120"/>
      <c r="X99" s="114"/>
      <c r="Y99" s="114"/>
      <c r="Z99" s="120"/>
      <c r="AA99" s="120"/>
      <c r="AB99" s="120"/>
      <c r="AC99" s="120"/>
      <c r="AD99" s="114"/>
      <c r="AE99" s="114"/>
      <c r="AF99" s="120"/>
      <c r="AG99" s="120"/>
      <c r="AH99" s="120"/>
      <c r="AI99" s="120"/>
      <c r="AJ99" s="114"/>
      <c r="AK99" s="114"/>
      <c r="AL99" s="120"/>
      <c r="AM99" s="120"/>
      <c r="AN99" s="120"/>
      <c r="AO99" s="120"/>
      <c r="AP99" s="114"/>
      <c r="AQ99" s="114"/>
      <c r="AR99" s="120"/>
      <c r="AS99" s="120"/>
      <c r="AT99" s="120"/>
      <c r="AU99" s="120"/>
      <c r="AV99" s="114"/>
      <c r="AW99" s="114"/>
      <c r="AX99" s="120"/>
      <c r="AY99" s="120"/>
      <c r="AZ99" s="120"/>
      <c r="BA99" s="120"/>
      <c r="BB99" s="114"/>
      <c r="BC99" s="114"/>
      <c r="BD99" s="120"/>
      <c r="BE99" s="120"/>
      <c r="BF99" s="120"/>
      <c r="BG99" s="120"/>
      <c r="BH99" s="114"/>
      <c r="BI99" s="114"/>
      <c r="BJ99" s="120"/>
      <c r="BK99" s="120"/>
      <c r="BL99" s="120"/>
      <c r="BM99" s="120"/>
    </row>
    <row r="100" spans="1:65" x14ac:dyDescent="0.3">
      <c r="A100" s="450"/>
      <c r="B100" s="126"/>
      <c r="C100" s="196"/>
      <c r="D100" s="137"/>
      <c r="E100" s="137"/>
      <c r="F100" s="197"/>
      <c r="G100" s="198"/>
      <c r="H100" s="199"/>
      <c r="I100" s="199"/>
      <c r="J100" s="199"/>
      <c r="K100" s="213"/>
      <c r="L100" s="213"/>
      <c r="M100" s="302"/>
      <c r="N100" s="307"/>
      <c r="O100" s="124"/>
      <c r="P100" s="124"/>
      <c r="Q100" s="124"/>
      <c r="R100" s="123"/>
      <c r="S100" s="123"/>
      <c r="T100" s="124"/>
      <c r="U100" s="124"/>
      <c r="V100" s="124"/>
      <c r="W100" s="124"/>
      <c r="X100" s="123"/>
      <c r="Y100" s="123"/>
      <c r="Z100" s="124"/>
      <c r="AA100" s="124"/>
      <c r="AB100" s="124"/>
      <c r="AC100" s="124"/>
      <c r="AD100" s="123"/>
      <c r="AE100" s="123"/>
      <c r="AF100" s="124"/>
      <c r="AG100" s="124"/>
      <c r="AH100" s="124"/>
      <c r="AI100" s="124"/>
      <c r="AJ100" s="123"/>
      <c r="AK100" s="123"/>
      <c r="AL100" s="124"/>
      <c r="AM100" s="124"/>
      <c r="AN100" s="124"/>
      <c r="AO100" s="124"/>
      <c r="AP100" s="123"/>
      <c r="AQ100" s="123"/>
      <c r="AR100" s="124"/>
      <c r="AS100" s="124"/>
      <c r="AT100" s="124"/>
      <c r="AU100" s="124"/>
      <c r="AV100" s="123"/>
      <c r="AW100" s="123"/>
      <c r="AX100" s="124"/>
      <c r="AY100" s="124"/>
      <c r="AZ100" s="124"/>
      <c r="BA100" s="124"/>
      <c r="BB100" s="123"/>
      <c r="BC100" s="123"/>
      <c r="BD100" s="124"/>
      <c r="BE100" s="124"/>
      <c r="BF100" s="124"/>
      <c r="BG100" s="124"/>
      <c r="BH100" s="123"/>
      <c r="BI100" s="123"/>
      <c r="BJ100" s="124"/>
      <c r="BK100" s="124"/>
      <c r="BL100" s="124"/>
      <c r="BM100" s="124"/>
    </row>
    <row r="105" spans="1:65" ht="28.8" collapsed="1" x14ac:dyDescent="0.3">
      <c r="A105" s="451" t="s">
        <v>34</v>
      </c>
      <c r="B105" s="149" t="s">
        <v>1</v>
      </c>
      <c r="C105" s="150" t="s">
        <v>35</v>
      </c>
      <c r="D105" s="150" t="s">
        <v>36</v>
      </c>
      <c r="E105" s="150" t="s">
        <v>17</v>
      </c>
      <c r="F105" s="150" t="s">
        <v>37</v>
      </c>
      <c r="G105" s="151" t="s">
        <v>38</v>
      </c>
      <c r="H105" s="151" t="s">
        <v>39</v>
      </c>
      <c r="I105" s="151" t="s">
        <v>33</v>
      </c>
    </row>
    <row r="106" spans="1:65" x14ac:dyDescent="0.3">
      <c r="A106" s="452"/>
      <c r="B106" s="94" cm="1">
        <f t="array" ref="B106:B145">_xlfn.SEQUENCE(COUNTA(C106:C145))</f>
        <v>1</v>
      </c>
      <c r="C106" s="20" t="str">
        <f>VLOOKUP($E$7,BASEDET1,2,FALSE)</f>
        <v>Atomtex AT1123</v>
      </c>
      <c r="D106" s="69" t="str">
        <f t="shared" ref="D106:D145" si="2">IFERROR(VLOOKUP($C106,TIPODET1,2,FALSE)," ")</f>
        <v>C.C.</v>
      </c>
      <c r="E106" s="69">
        <f>VLOOKUP($E$7,BASEDET1,3,FALSE)</f>
        <v>54476</v>
      </c>
      <c r="F106" s="69" t="str">
        <f>VLOOKUP($E$7,BASEDET1,4,FALSE)</f>
        <v>RSM2024-CAL-11148</v>
      </c>
      <c r="G106" s="21">
        <f>VLOOKUP($E$7,BASEDET1,5,FALSE)</f>
        <v>45539</v>
      </c>
      <c r="H106" s="21">
        <f>VLOOKUP($E$7,BASEDET1,6,FALSE)</f>
        <v>45904</v>
      </c>
      <c r="I106" s="95" t="str">
        <f ca="1">VLOOKUP($E$7,BASEDET1,7,FALSE)</f>
        <v>VIGENTE</v>
      </c>
    </row>
    <row r="107" spans="1:65" x14ac:dyDescent="0.3">
      <c r="A107" s="452"/>
      <c r="B107" s="94">
        <v>2</v>
      </c>
      <c r="C107" s="20" t="str">
        <f>VLOOKUP($E$7,BASEDET1,12,FALSE)</f>
        <v>Atomtex AT1123</v>
      </c>
      <c r="D107" s="69" t="str">
        <f t="shared" si="2"/>
        <v>C.C.</v>
      </c>
      <c r="E107" s="69">
        <f>VLOOKUP($E$7,BASEDET1,13,FALSE)</f>
        <v>51444</v>
      </c>
      <c r="F107" s="69" t="str">
        <f>VLOOKUP($E$7,BASEDET1,14,FALSE)</f>
        <v>RSM2024-CAL-11180</v>
      </c>
      <c r="G107" s="21">
        <f>VLOOKUP($E$7,BASEDET1,15,FALSE)</f>
        <v>45540</v>
      </c>
      <c r="H107" s="21">
        <f>VLOOKUP($E$7,BASEDET1,16,FALSE)</f>
        <v>45905</v>
      </c>
      <c r="I107" s="95" t="str">
        <f ca="1">VLOOKUP($E$7,BASEDET1,17,FALSE)</f>
        <v>VIGENTE</v>
      </c>
    </row>
    <row r="108" spans="1:65" x14ac:dyDescent="0.3">
      <c r="A108" s="452"/>
      <c r="B108" s="94">
        <v>3</v>
      </c>
      <c r="C108" s="96" t="str">
        <f>VLOOKUP($E$7,BASEDET1,22,FALSE)</f>
        <v>Thermo Scientific FH 40 G-L</v>
      </c>
      <c r="D108" s="69" t="str">
        <f t="shared" si="2"/>
        <v>D.P.</v>
      </c>
      <c r="E108" s="69">
        <f>VLOOKUP($E$7,BASEDET1,23,FALSE)</f>
        <v>24317</v>
      </c>
      <c r="F108" s="69" t="str">
        <f>VLOOKUP($E$7,BASEDET1,24,FALSE)</f>
        <v>RSM2024-CAL-11181</v>
      </c>
      <c r="G108" s="21">
        <f>VLOOKUP($E$7,BASEDET1,25,FALSE)</f>
        <v>45540</v>
      </c>
      <c r="H108" s="21">
        <f>VLOOKUP($E$7,BASEDET1,26,FALSE)</f>
        <v>45905</v>
      </c>
      <c r="I108" s="95" t="str">
        <f ca="1">VLOOKUP($E$7,BASEDET1,27,FALSE)</f>
        <v>VIGENTE</v>
      </c>
    </row>
    <row r="109" spans="1:65" x14ac:dyDescent="0.3">
      <c r="A109" s="452"/>
      <c r="B109" s="94">
        <v>4</v>
      </c>
      <c r="C109" s="96" t="str">
        <f>VLOOKUP($E$7,BASEDET1,32,FALSE)</f>
        <v>SE INTERNATIONAL Ranger</v>
      </c>
      <c r="D109" s="69" t="str">
        <f t="shared" si="2"/>
        <v>G.M.</v>
      </c>
      <c r="E109" s="69">
        <f>VLOOKUP($E$7,BASEDET1,33,FALSE)</f>
        <v>30778</v>
      </c>
      <c r="F109" s="69" t="str">
        <f>VLOOKUP($E$7,BASEDET1,34,FALSE)</f>
        <v>RSM2024-CAL-11182</v>
      </c>
      <c r="G109" s="21">
        <f>VLOOKUP($E$7,BASEDET1,35,FALSE)</f>
        <v>45540</v>
      </c>
      <c r="H109" s="21">
        <f>VLOOKUP($E$7,BASEDET1,36,FALSE)</f>
        <v>45905</v>
      </c>
      <c r="I109" s="95" t="str">
        <f ca="1">VLOOKUP($E$7,BASEDET1,37,FALSE)</f>
        <v>VIGENTE</v>
      </c>
    </row>
    <row r="110" spans="1:65" x14ac:dyDescent="0.3">
      <c r="A110" s="452"/>
      <c r="B110" s="94">
        <v>5</v>
      </c>
      <c r="C110" s="96" t="str">
        <f>VLOOKUP($E$7,BASEDET1,42,FALSE)</f>
        <v>Fluke Biomedical 451P-DE-SI-RYR</v>
      </c>
      <c r="D110" s="69" t="str">
        <f t="shared" si="2"/>
        <v>C.I.</v>
      </c>
      <c r="E110" s="69" t="str">
        <f>VLOOKUP($E$7,BASEDET1,43,FALSE)</f>
        <v>902A</v>
      </c>
      <c r="F110" s="69" t="str">
        <f>VLOOKUP($E$7,BASEDET1,44,FALSE)</f>
        <v>RSM2024-CAL-11242</v>
      </c>
      <c r="G110" s="21">
        <f>VLOOKUP($E$7,BASEDET1,45,FALSE)</f>
        <v>45561</v>
      </c>
      <c r="H110" s="21">
        <f>VLOOKUP($E$7,BASEDET1,46,FALSE)</f>
        <v>45926</v>
      </c>
      <c r="I110" s="95" t="str">
        <f ca="1">VLOOKUP($E$7,BASEDET1,47,FALSE)</f>
        <v>VIGENTE</v>
      </c>
    </row>
    <row r="111" spans="1:65" x14ac:dyDescent="0.3">
      <c r="A111" s="452"/>
      <c r="B111" s="94">
        <v>6</v>
      </c>
      <c r="C111" s="96" t="str">
        <f>VLOOKUP($E$7,BASEDET1,52,FALSE)</f>
        <v>Fluke Biomedical 451P-RYR</v>
      </c>
      <c r="D111" s="69" t="str">
        <f t="shared" si="2"/>
        <v>C.I.</v>
      </c>
      <c r="E111" s="69">
        <f>VLOOKUP($E$7,BASEDET1,53,FALSE)</f>
        <v>5795</v>
      </c>
      <c r="F111" s="69" t="str">
        <f>VLOOKUP($E$7,BASEDET1,54,FALSE)</f>
        <v>RSM2024-CAL-11243</v>
      </c>
      <c r="G111" s="21">
        <f>VLOOKUP($E$7,BASEDET1,55,FALSE)</f>
        <v>45561</v>
      </c>
      <c r="H111" s="21">
        <f>VLOOKUP($E$7,BASEDET1,56,FALSE)</f>
        <v>45927</v>
      </c>
      <c r="I111" s="95" t="str">
        <f ca="1">VLOOKUP($E$7,BASEDET1,57,FALSE)</f>
        <v>VIGENTE</v>
      </c>
    </row>
    <row r="112" spans="1:65" x14ac:dyDescent="0.3">
      <c r="A112" s="452"/>
      <c r="B112" s="94">
        <v>7</v>
      </c>
      <c r="C112" s="96" t="str">
        <f>VLOOKUP($E$7,BASEDET1,62,FALSE)</f>
        <v>Thermo Scientific Rad Eye G</v>
      </c>
      <c r="D112" s="69" t="str">
        <f t="shared" si="2"/>
        <v>G.M.</v>
      </c>
      <c r="E112" s="69">
        <f>VLOOKUP($E$7,BASEDET1,63,FALSE)</f>
        <v>30374</v>
      </c>
      <c r="F112" s="69" t="str">
        <f>VLOOKUP($E$7,BASEDET1,64,FALSE)</f>
        <v>RSM2024-CAL-11244</v>
      </c>
      <c r="G112" s="21">
        <f>VLOOKUP($E$7,BASEDET1,65,FALSE)</f>
        <v>45565</v>
      </c>
      <c r="H112" s="21">
        <f>VLOOKUP($E$7,BASEDET1,66,FALSE)</f>
        <v>45930</v>
      </c>
      <c r="I112" s="95" t="str">
        <f ca="1">VLOOKUP($E$7,BASEDET1,67,FALSE)</f>
        <v>VIGENTE</v>
      </c>
    </row>
    <row r="113" spans="1:9" x14ac:dyDescent="0.3">
      <c r="A113" s="452"/>
      <c r="B113" s="94">
        <v>8</v>
      </c>
      <c r="C113" s="96" t="str">
        <f>VLOOKUP($E$7,BASEDET1,72,FALSE)</f>
        <v>Thermo Electron Corporation ESM FH 40 GL</v>
      </c>
      <c r="D113" s="69" t="str">
        <f t="shared" si="2"/>
        <v>G.M.</v>
      </c>
      <c r="E113" s="69">
        <f>VLOOKUP($E$7,BASEDET1,73,FALSE)</f>
        <v>17280</v>
      </c>
      <c r="F113" s="69" t="str">
        <f>VLOOKUP($E$7,BASEDET1,74,FALSE)</f>
        <v>RSM2024-CAL-11249</v>
      </c>
      <c r="G113" s="21">
        <f>VLOOKUP($E$7,BASEDET1,75,FALSE)</f>
        <v>45573</v>
      </c>
      <c r="H113" s="21">
        <f>VLOOKUP($E$7,BASEDET1,76,FALSE)</f>
        <v>45938</v>
      </c>
      <c r="I113" s="95" t="str">
        <f ca="1">VLOOKUP($E$7,BASEDET1,77,FALSE)</f>
        <v>VIGENTE</v>
      </c>
    </row>
    <row r="114" spans="1:9" x14ac:dyDescent="0.3">
      <c r="A114" s="452"/>
      <c r="B114" s="94">
        <v>9</v>
      </c>
      <c r="C114" s="96" t="str">
        <f>VLOOKUP($E$7,BASEDET1,82,FALSE)</f>
        <v>Fluke Biomedical 451P-DE-SI-RYR</v>
      </c>
      <c r="D114" s="69" t="str">
        <f t="shared" si="2"/>
        <v>C.I.</v>
      </c>
      <c r="E114" s="69">
        <f>VLOOKUP($E$7,BASEDET1,83,FALSE)</f>
        <v>3523</v>
      </c>
      <c r="F114" s="69" t="str">
        <f>VLOOKUP($E$7,BASEDET1,84,FALSE)</f>
        <v>RSM2024-CAL-11304</v>
      </c>
      <c r="G114" s="21">
        <f>VLOOKUP($E$7,BASEDET1,85,FALSE)</f>
        <v>45636</v>
      </c>
      <c r="H114" s="21">
        <f>VLOOKUP($E$7,BASEDET1,86,FALSE)</f>
        <v>46001</v>
      </c>
      <c r="I114" s="95" t="str">
        <f ca="1">VLOOKUP($E$7,BASEDET1,87,FALSE)</f>
        <v>VIGENTE</v>
      </c>
    </row>
    <row r="115" spans="1:9" x14ac:dyDescent="0.3">
      <c r="A115" s="452"/>
      <c r="B115" s="94">
        <v>10</v>
      </c>
      <c r="C115" s="96" t="str">
        <f>VLOOKUP($E$7,BASEDET1,92,FALSE)</f>
        <v>Atomtex AT1123</v>
      </c>
      <c r="D115" s="69" t="str">
        <f t="shared" si="2"/>
        <v>C.C.</v>
      </c>
      <c r="E115" s="69">
        <f>VLOOKUP($E$7,BASEDET1,93,FALSE)</f>
        <v>54003</v>
      </c>
      <c r="F115" s="69" t="str">
        <f>VLOOKUP($E$7,BASEDET1,94,FALSE)</f>
        <v>RSM2024-CAL-11306</v>
      </c>
      <c r="G115" s="21">
        <f>VLOOKUP($E$7,BASEDET1,95,FALSE)</f>
        <v>45639</v>
      </c>
      <c r="H115" s="21">
        <f>VLOOKUP($E$7,BASEDET1,96,FALSE)</f>
        <v>46004</v>
      </c>
      <c r="I115" s="95" t="str">
        <f ca="1">VLOOKUP($E$7,BASEDET1,97,FALSE)</f>
        <v>VIGENTE</v>
      </c>
    </row>
    <row r="116" spans="1:9" x14ac:dyDescent="0.3">
      <c r="A116" s="452"/>
      <c r="B116" s="94">
        <v>11</v>
      </c>
      <c r="C116" s="96" t="str">
        <f>VLOOKUP($E$7,BASEDET1,102,FALSE)</f>
        <v>Atomtex AT1123</v>
      </c>
      <c r="D116" s="69" t="str">
        <f t="shared" si="2"/>
        <v>C.C.</v>
      </c>
      <c r="E116" s="69">
        <f>VLOOKUP($E$7,BASEDET1,103,FALSE)</f>
        <v>53975</v>
      </c>
      <c r="F116" s="69" t="str">
        <f>VLOOKUP($E$7,BASEDET1,104,FALSE)</f>
        <v>RSM2024-CAL-11307</v>
      </c>
      <c r="G116" s="21">
        <f>VLOOKUP($E$7,BASEDET1,105,FALSE)</f>
        <v>45639</v>
      </c>
      <c r="H116" s="21">
        <f>VLOOKUP($E$7,BASEDET1,106,FALSE)</f>
        <v>46004</v>
      </c>
      <c r="I116" s="95" t="str">
        <f ca="1">VLOOKUP($E$7,BASEDET1,107,FALSE)</f>
        <v>VIGENTE</v>
      </c>
    </row>
    <row r="117" spans="1:9" x14ac:dyDescent="0.3">
      <c r="A117" s="452"/>
      <c r="B117" s="94">
        <v>12</v>
      </c>
      <c r="C117" s="96" t="str">
        <f>VLOOKUP($E$7,BASEDET1,112,FALSE)</f>
        <v>SE INTERNATIONAL Ranger</v>
      </c>
      <c r="D117" s="69" t="str">
        <f t="shared" si="2"/>
        <v>G.M.</v>
      </c>
      <c r="E117" s="69">
        <f>VLOOKUP($E$7,BASEDET1,113,FALSE)</f>
        <v>312862</v>
      </c>
      <c r="F117" s="69" t="str">
        <f>VLOOKUP($E$7,BASEDET1,114,FALSE)</f>
        <v>RSM2025-CAL-11309</v>
      </c>
      <c r="G117" s="21">
        <f>VLOOKUP($E$7,BASEDET1,115,FALSE)</f>
        <v>45666</v>
      </c>
      <c r="H117" s="21">
        <f>VLOOKUP($E$7,BASEDET1,116,FALSE)</f>
        <v>46031</v>
      </c>
      <c r="I117" s="95" t="str">
        <f ca="1">VLOOKUP($E$7,BASEDET1,117,FALSE)</f>
        <v>VIGENTE</v>
      </c>
    </row>
    <row r="118" spans="1:9" x14ac:dyDescent="0.3">
      <c r="A118" s="452"/>
      <c r="B118" s="94">
        <v>13</v>
      </c>
      <c r="C118" s="96" t="str">
        <f>VLOOKUP($E$7,BASEDET1,122,FALSE)</f>
        <v>LUDLUM 14C/44-9</v>
      </c>
      <c r="D118" s="69" t="str">
        <f t="shared" si="2"/>
        <v>G.M.</v>
      </c>
      <c r="E118" s="69" t="str">
        <f>VLOOKUP($E$7,BASEDET1,123,FALSE)</f>
        <v>224357/PR236665</v>
      </c>
      <c r="F118" s="69" t="str">
        <f>VLOOKUP($E$7,BASEDET1,124,FALSE)</f>
        <v>RSM2025-CAL-11310</v>
      </c>
      <c r="G118" s="21">
        <f>VLOOKUP($E$7,BASEDET1,125,FALSE)</f>
        <v>45666</v>
      </c>
      <c r="H118" s="21">
        <f>VLOOKUP($E$7,BASEDET1,126,FALSE)</f>
        <v>46031</v>
      </c>
      <c r="I118" s="95" t="str">
        <f ca="1">VLOOKUP($E$7,BASEDET1,127,FALSE)</f>
        <v>VIGENTE</v>
      </c>
    </row>
    <row r="119" spans="1:9" x14ac:dyDescent="0.3">
      <c r="A119" s="452"/>
      <c r="B119" s="94">
        <v>14</v>
      </c>
      <c r="C119" s="96" t="str">
        <f>VLOOKUP($E$7,BASEDET1,132,FALSE)</f>
        <v>FLUKE BIOMEDICAL 451P-DE-SI-RYR</v>
      </c>
      <c r="D119" s="69" t="str">
        <f t="shared" si="2"/>
        <v>C.I.</v>
      </c>
      <c r="E119" s="69" t="str">
        <f>VLOOKUP($E$7,BASEDET1,133,FALSE)</f>
        <v>993A</v>
      </c>
      <c r="F119" s="69" t="str">
        <f>VLOOKUP($E$7,BASEDET1,134,FALSE)</f>
        <v>RSM2025-CAL-11401</v>
      </c>
      <c r="G119" s="21">
        <f>VLOOKUP($E$7,BASEDET1,135,FALSE)</f>
        <v>45735</v>
      </c>
      <c r="H119" s="21">
        <f>VLOOKUP($E$7,BASEDET1,136,FALSE)</f>
        <v>46100</v>
      </c>
      <c r="I119" s="95" t="str">
        <f ca="1">VLOOKUP($E$7,BASEDET1,137,FALSE)</f>
        <v>VIGENTE</v>
      </c>
    </row>
    <row r="120" spans="1:9" x14ac:dyDescent="0.3">
      <c r="A120" s="452"/>
      <c r="B120" s="94">
        <v>15</v>
      </c>
      <c r="C120" s="96" t="str">
        <f>VLOOKUP($E$7,BASEDET1,142,FALSE)</f>
        <v>FLUKE BIOMEDICAL 451P-DE-SI-RYR</v>
      </c>
      <c r="D120" s="69" t="str">
        <f t="shared" si="2"/>
        <v>C.I.</v>
      </c>
      <c r="E120" s="69" t="str">
        <f>VLOOKUP($E$7,BASEDET1,143,FALSE)</f>
        <v>101B</v>
      </c>
      <c r="F120" s="69" t="str">
        <f>VLOOKUP($E$7,BASEDET1,144,FALSE)</f>
        <v>RSM2025-CAL-11402</v>
      </c>
      <c r="G120" s="21">
        <f>VLOOKUP($E$7,BASEDET1,145,FALSE)</f>
        <v>45735</v>
      </c>
      <c r="H120" s="21">
        <f>VLOOKUP($E$7,BASEDET1,146,FALSE)</f>
        <v>46100</v>
      </c>
      <c r="I120" s="95">
        <f>VLOOKUP($E$7,BASEDET1,147,FALSE)</f>
        <v>0</v>
      </c>
    </row>
    <row r="121" spans="1:9" x14ac:dyDescent="0.3">
      <c r="A121" s="452"/>
      <c r="B121" s="94">
        <v>16</v>
      </c>
      <c r="C121" s="96" t="str">
        <f>VLOOKUP($E$7,BASEDET1,152,FALSE)</f>
        <v>FLUKE BIOMEDICAL 451P-DE-SI-RYR</v>
      </c>
      <c r="D121" s="69" t="str">
        <f t="shared" si="2"/>
        <v>C.I.</v>
      </c>
      <c r="E121" s="69" t="str">
        <f>VLOOKUP($E$7,BASEDET1,153,FALSE)</f>
        <v>998A</v>
      </c>
      <c r="F121" s="69" t="str">
        <f>VLOOKUP($E$7,BASEDET1,154,FALSE)</f>
        <v>RSM2025-CAL-11403</v>
      </c>
      <c r="G121" s="21">
        <f>VLOOKUP($E$7,BASEDET1,155,FALSE)</f>
        <v>45735</v>
      </c>
      <c r="H121" s="21">
        <f>VLOOKUP($E$7,BASEDET1,156,FALSE)</f>
        <v>46100</v>
      </c>
      <c r="I121" s="95" t="str">
        <f ca="1">VLOOKUP($E$7,BASEDET1,157,FALSE)</f>
        <v>VIGENTE</v>
      </c>
    </row>
    <row r="122" spans="1:9" x14ac:dyDescent="0.3">
      <c r="A122" s="452"/>
      <c r="B122" s="94">
        <v>17</v>
      </c>
      <c r="C122" s="96" t="str">
        <f>VLOOKUP($E$7,BASEDET1,162,FALSE)</f>
        <v>FLUKE BIOMEDICAL 451P-DE-SI-RYR</v>
      </c>
      <c r="D122" s="69" t="str">
        <f t="shared" si="2"/>
        <v>C.I.</v>
      </c>
      <c r="E122" s="69" t="str">
        <f>VLOOKUP($E$7,BASEDET1,163,FALSE)</f>
        <v>328B</v>
      </c>
      <c r="F122" s="69" t="str">
        <f>VLOOKUP($E$7,BASEDET1,164,FALSE)</f>
        <v>RSM2025-CAL-11435</v>
      </c>
      <c r="G122" s="21">
        <f>VLOOKUP($E$7,BASEDET1,165,FALSE)</f>
        <v>45749</v>
      </c>
      <c r="H122" s="21">
        <f>VLOOKUP($E$7,BASEDET1,166,FALSE)</f>
        <v>46114</v>
      </c>
      <c r="I122" s="95" t="str">
        <f ca="1">VLOOKUP($E$7,BASEDET1,167,FALSE)</f>
        <v>VIGENTE</v>
      </c>
    </row>
    <row r="123" spans="1:9" x14ac:dyDescent="0.3">
      <c r="A123" s="452"/>
      <c r="B123" s="94">
        <v>18</v>
      </c>
      <c r="C123" s="96">
        <f>VLOOKUP($E$7,BASEDET1,172,FALSE)</f>
        <v>0</v>
      </c>
      <c r="D123" s="69" t="str">
        <f t="shared" si="2"/>
        <v xml:space="preserve"> </v>
      </c>
      <c r="E123" s="69">
        <f>VLOOKUP($E$7,BASEDET1,173,FALSE)</f>
        <v>0</v>
      </c>
      <c r="F123" s="69">
        <f>VLOOKUP($E$7,BASEDET1,174,FALSE)</f>
        <v>0</v>
      </c>
      <c r="G123" s="21">
        <f>VLOOKUP($E$7,BASEDET1,175,FALSE)</f>
        <v>0</v>
      </c>
      <c r="H123" s="21" t="str">
        <f>VLOOKUP($E$7,BASEDET1,176,FALSE)</f>
        <v xml:space="preserve"> </v>
      </c>
      <c r="I123" s="95" t="str">
        <f ca="1">VLOOKUP($E$7,BASEDET1,177,FALSE)</f>
        <v xml:space="preserve"> </v>
      </c>
    </row>
    <row r="124" spans="1:9" x14ac:dyDescent="0.3">
      <c r="A124" s="452"/>
      <c r="B124" s="94">
        <v>19</v>
      </c>
      <c r="C124" s="96">
        <f>VLOOKUP($E$7,BASEDET1,182,FALSE)</f>
        <v>0</v>
      </c>
      <c r="D124" s="69" t="str">
        <f t="shared" si="2"/>
        <v xml:space="preserve"> </v>
      </c>
      <c r="E124" s="69">
        <f>VLOOKUP($E$7,BASEDET1,183,FALSE)</f>
        <v>0</v>
      </c>
      <c r="F124" s="69">
        <f>VLOOKUP($E$7,BASEDET1,184,FALSE)</f>
        <v>0</v>
      </c>
      <c r="G124" s="21">
        <f>VLOOKUP($E$7,BASEDET1,185,FALSE)</f>
        <v>0</v>
      </c>
      <c r="H124" s="21" t="str">
        <f>VLOOKUP($E$7,BASEDET1,186,FALSE)</f>
        <v xml:space="preserve"> </v>
      </c>
      <c r="I124" s="95" t="str">
        <f ca="1">VLOOKUP($E$7,BASEDET1,187,FALSE)</f>
        <v xml:space="preserve"> </v>
      </c>
    </row>
    <row r="125" spans="1:9" x14ac:dyDescent="0.3">
      <c r="A125" s="452"/>
      <c r="B125" s="94">
        <v>20</v>
      </c>
      <c r="C125" s="96">
        <f>VLOOKUP($E$7,BASEDET1,192,FALSE)</f>
        <v>0</v>
      </c>
      <c r="D125" s="69" t="str">
        <f t="shared" si="2"/>
        <v xml:space="preserve"> </v>
      </c>
      <c r="E125" s="69">
        <f>VLOOKUP($E$7,BASEDET1,193,FALSE)</f>
        <v>0</v>
      </c>
      <c r="F125" s="69">
        <f>VLOOKUP($E$7,BASEDET1,194,FALSE)</f>
        <v>0</v>
      </c>
      <c r="G125" s="21">
        <f>VLOOKUP($E$7,BASEDET1,195,FALSE)</f>
        <v>0</v>
      </c>
      <c r="H125" s="21" t="str">
        <f>VLOOKUP($E$7,BASEDET1,196,FALSE)</f>
        <v xml:space="preserve"> </v>
      </c>
      <c r="I125" s="95" t="str">
        <f ca="1">VLOOKUP($E$7,BASEDET1,197,FALSE)</f>
        <v xml:space="preserve"> </v>
      </c>
    </row>
    <row r="126" spans="1:9" x14ac:dyDescent="0.3">
      <c r="A126" s="452"/>
      <c r="B126" s="94">
        <v>21</v>
      </c>
      <c r="C126" s="96">
        <f>VLOOKUP($E$7,BASEDET1,202,FALSE)</f>
        <v>0</v>
      </c>
      <c r="D126" s="69" t="str">
        <f t="shared" si="2"/>
        <v xml:space="preserve"> </v>
      </c>
      <c r="E126" s="69">
        <f>VLOOKUP($E$7,BASEDET1,203,FALSE)</f>
        <v>0</v>
      </c>
      <c r="F126" s="69">
        <f>VLOOKUP($E$7,BASEDET1,204,FALSE)</f>
        <v>0</v>
      </c>
      <c r="G126" s="21">
        <f>VLOOKUP($E$7,BASEDET1,205,FALSE)</f>
        <v>0</v>
      </c>
      <c r="H126" s="21" t="str">
        <f>VLOOKUP($E$7,BASEDET1,206,FALSE)</f>
        <v xml:space="preserve"> </v>
      </c>
      <c r="I126" s="95" t="str">
        <f ca="1">VLOOKUP($E$7,BASEDET1,207,FALSE)</f>
        <v xml:space="preserve"> </v>
      </c>
    </row>
    <row r="127" spans="1:9" x14ac:dyDescent="0.3">
      <c r="A127" s="452"/>
      <c r="B127" s="94">
        <v>22</v>
      </c>
      <c r="C127" s="96">
        <f>VLOOKUP($E$7,BASEDET1,212,FALSE)</f>
        <v>0</v>
      </c>
      <c r="D127" s="69" t="str">
        <f t="shared" si="2"/>
        <v xml:space="preserve"> </v>
      </c>
      <c r="E127" s="69">
        <f>VLOOKUP($E$7,BASEDET1,213,FALSE)</f>
        <v>0</v>
      </c>
      <c r="F127" s="69">
        <f>VLOOKUP($E$7,BASEDET1,214,FALSE)</f>
        <v>0</v>
      </c>
      <c r="G127" s="21">
        <f>VLOOKUP($E$7,BASEDET1,215,FALSE)</f>
        <v>0</v>
      </c>
      <c r="H127" s="21" t="str">
        <f>VLOOKUP($E$7,BASEDET1,216,FALSE)</f>
        <v xml:space="preserve"> </v>
      </c>
      <c r="I127" s="95" t="str">
        <f ca="1">VLOOKUP($E$7,BASEDET1,217,FALSE)</f>
        <v xml:space="preserve"> </v>
      </c>
    </row>
    <row r="128" spans="1:9" x14ac:dyDescent="0.3">
      <c r="A128" s="452"/>
      <c r="B128" s="94">
        <v>23</v>
      </c>
      <c r="C128" s="96">
        <f>VLOOKUP($E$7,BASEDET1,222,FALSE)</f>
        <v>0</v>
      </c>
      <c r="D128" s="69" t="str">
        <f t="shared" si="2"/>
        <v xml:space="preserve"> </v>
      </c>
      <c r="E128" s="69">
        <f>VLOOKUP($E$7,BASEDET1,223,FALSE)</f>
        <v>0</v>
      </c>
      <c r="F128" s="69">
        <f>VLOOKUP($E$7,BASEDET1,224,FALSE)</f>
        <v>0</v>
      </c>
      <c r="G128" s="21">
        <f>VLOOKUP($E$7,BASEDET1,225,FALSE)</f>
        <v>0</v>
      </c>
      <c r="H128" s="21" t="str">
        <f>VLOOKUP($E$7,BASEDET1,226,FALSE)</f>
        <v xml:space="preserve"> </v>
      </c>
      <c r="I128" s="95" t="str">
        <f ca="1">VLOOKUP($E$7,BASEDET1,227,FALSE)</f>
        <v xml:space="preserve"> </v>
      </c>
    </row>
    <row r="129" spans="1:9" x14ac:dyDescent="0.3">
      <c r="A129" s="452"/>
      <c r="B129" s="94">
        <v>24</v>
      </c>
      <c r="C129" s="96">
        <f>VLOOKUP($E$7,BASEDET1,232,FALSE)</f>
        <v>0</v>
      </c>
      <c r="D129" s="69" t="str">
        <f t="shared" si="2"/>
        <v xml:space="preserve"> </v>
      </c>
      <c r="E129" s="69">
        <f>VLOOKUP($E$7,BASEDET1,233,FALSE)</f>
        <v>0</v>
      </c>
      <c r="F129" s="69">
        <f>VLOOKUP($E$7,BASEDET1,234,FALSE)</f>
        <v>0</v>
      </c>
      <c r="G129" s="21">
        <f>VLOOKUP($E$7,BASEDET1,235,FALSE)</f>
        <v>0</v>
      </c>
      <c r="H129" s="21" t="str">
        <f>VLOOKUP($E$7,BASEDET1,236,FALSE)</f>
        <v xml:space="preserve"> </v>
      </c>
      <c r="I129" s="95" t="str">
        <f ca="1">VLOOKUP($E$7,BASEDET1,237,FALSE)</f>
        <v xml:space="preserve"> </v>
      </c>
    </row>
    <row r="130" spans="1:9" x14ac:dyDescent="0.3">
      <c r="A130" s="452"/>
      <c r="B130" s="94">
        <v>25</v>
      </c>
      <c r="C130" s="96">
        <f>VLOOKUP($E$7,BASEDET1,242,FALSE)</f>
        <v>0</v>
      </c>
      <c r="D130" s="69" t="str">
        <f t="shared" si="2"/>
        <v xml:space="preserve"> </v>
      </c>
      <c r="E130" s="69">
        <f>VLOOKUP($E$7,BASEDET1,243,FALSE)</f>
        <v>0</v>
      </c>
      <c r="F130" s="69">
        <f>VLOOKUP($E$7,BASEDET1,244,FALSE)</f>
        <v>0</v>
      </c>
      <c r="G130" s="21">
        <f>VLOOKUP($E$7,BASEDET1,245,FALSE)</f>
        <v>0</v>
      </c>
      <c r="H130" s="21" t="str">
        <f>VLOOKUP($E$7,BASEDET1,246,FALSE)</f>
        <v xml:space="preserve"> </v>
      </c>
      <c r="I130" s="95" t="str">
        <f ca="1">VLOOKUP($E$7,BASEDET1,247,FALSE)</f>
        <v xml:space="preserve"> </v>
      </c>
    </row>
    <row r="131" spans="1:9" x14ac:dyDescent="0.3">
      <c r="A131" s="452"/>
      <c r="B131" s="94">
        <v>26</v>
      </c>
      <c r="C131" s="96">
        <f>VLOOKUP($E$7,BASEDET1,252,FALSE)</f>
        <v>0</v>
      </c>
      <c r="D131" s="69" t="str">
        <f t="shared" si="2"/>
        <v xml:space="preserve"> </v>
      </c>
      <c r="E131" s="69">
        <f>VLOOKUP($E$7,BASEDET1,253,FALSE)</f>
        <v>0</v>
      </c>
      <c r="F131" s="69">
        <f>VLOOKUP($E$7,BASEDET1,254,FALSE)</f>
        <v>0</v>
      </c>
      <c r="G131" s="21">
        <f>VLOOKUP($E$7,BASEDET1,255,FALSE)</f>
        <v>0</v>
      </c>
      <c r="H131" s="21" t="str">
        <f>VLOOKUP($E$7,BASEDET1,256,FALSE)</f>
        <v xml:space="preserve"> </v>
      </c>
      <c r="I131" s="95" t="str">
        <f ca="1">VLOOKUP($E$7,BASEDET1,257,FALSE)</f>
        <v xml:space="preserve"> </v>
      </c>
    </row>
    <row r="132" spans="1:9" x14ac:dyDescent="0.3">
      <c r="A132" s="452"/>
      <c r="B132" s="94">
        <v>27</v>
      </c>
      <c r="C132" s="96">
        <f>VLOOKUP($E$7,BASEDET1,262,FALSE)</f>
        <v>0</v>
      </c>
      <c r="D132" s="69" t="str">
        <f t="shared" si="2"/>
        <v xml:space="preserve"> </v>
      </c>
      <c r="E132" s="69">
        <f>VLOOKUP($E$7,BASEDET1,263,FALSE)</f>
        <v>0</v>
      </c>
      <c r="F132" s="69">
        <f>VLOOKUP($E$7,BASEDET1,264,FALSE)</f>
        <v>0</v>
      </c>
      <c r="G132" s="21">
        <f>VLOOKUP($E$7,BASEDET1,265,FALSE)</f>
        <v>0</v>
      </c>
      <c r="H132" s="21" t="str">
        <f>VLOOKUP($E$7,BASEDET1,266,FALSE)</f>
        <v xml:space="preserve"> </v>
      </c>
      <c r="I132" s="95" t="str">
        <f ca="1">VLOOKUP($E$7,BASEDET1,267,FALSE)</f>
        <v xml:space="preserve"> </v>
      </c>
    </row>
    <row r="133" spans="1:9" x14ac:dyDescent="0.3">
      <c r="A133" s="452"/>
      <c r="B133" s="94">
        <v>28</v>
      </c>
      <c r="C133" s="96">
        <f>VLOOKUP($E$7,BASEDET1,272,FALSE)</f>
        <v>0</v>
      </c>
      <c r="D133" s="69" t="str">
        <f t="shared" si="2"/>
        <v xml:space="preserve"> </v>
      </c>
      <c r="E133" s="69">
        <f>VLOOKUP($E$7,BASEDET1,273,FALSE)</f>
        <v>0</v>
      </c>
      <c r="F133" s="69">
        <f>VLOOKUP($E$7,BASEDET1,274,FALSE)</f>
        <v>0</v>
      </c>
      <c r="G133" s="21">
        <f>VLOOKUP($E$7,BASEDET1,275,FALSE)</f>
        <v>0</v>
      </c>
      <c r="H133" s="21" t="str">
        <f>VLOOKUP($E$7,BASEDET1,276,FALSE)</f>
        <v xml:space="preserve"> </v>
      </c>
      <c r="I133" s="95" t="str">
        <f ca="1">VLOOKUP($E$7,BASEDET1,277,FALSE)</f>
        <v xml:space="preserve"> </v>
      </c>
    </row>
    <row r="134" spans="1:9" x14ac:dyDescent="0.3">
      <c r="A134" s="452"/>
      <c r="B134" s="94">
        <v>29</v>
      </c>
      <c r="C134" s="96">
        <f>VLOOKUP($E$7,BASEDET1,282,FALSE)</f>
        <v>0</v>
      </c>
      <c r="D134" s="69" t="str">
        <f t="shared" si="2"/>
        <v xml:space="preserve"> </v>
      </c>
      <c r="E134" s="69">
        <f>VLOOKUP($E$7,BASEDET1,283,FALSE)</f>
        <v>0</v>
      </c>
      <c r="F134" s="69">
        <f>VLOOKUP($E$7,BASEDET1,284,FALSE)</f>
        <v>0</v>
      </c>
      <c r="G134" s="21">
        <f>VLOOKUP($E$7,BASEDET1,285,FALSE)</f>
        <v>0</v>
      </c>
      <c r="H134" s="21" t="str">
        <f>VLOOKUP($E$7,BASEDET1,286,FALSE)</f>
        <v xml:space="preserve"> </v>
      </c>
      <c r="I134" s="95" t="str">
        <f ca="1">VLOOKUP($E$7,BASEDET1,287,FALSE)</f>
        <v xml:space="preserve"> </v>
      </c>
    </row>
    <row r="135" spans="1:9" x14ac:dyDescent="0.3">
      <c r="A135" s="452"/>
      <c r="B135" s="94">
        <v>30</v>
      </c>
      <c r="C135" s="96">
        <f>VLOOKUP($E$7,BASEDET1,292,FALSE)</f>
        <v>0</v>
      </c>
      <c r="D135" s="69" t="str">
        <f t="shared" si="2"/>
        <v xml:space="preserve"> </v>
      </c>
      <c r="E135" s="69">
        <f>VLOOKUP($E$7,BASEDET1,293,FALSE)</f>
        <v>0</v>
      </c>
      <c r="F135" s="69">
        <f>VLOOKUP($E$7,BASEDET1,294,FALSE)</f>
        <v>0</v>
      </c>
      <c r="G135" s="21">
        <f>VLOOKUP($E$7,BASEDET1,295,FALSE)</f>
        <v>0</v>
      </c>
      <c r="H135" s="21" t="str">
        <f>VLOOKUP($E$7,BASEDET1,296,FALSE)</f>
        <v xml:space="preserve"> </v>
      </c>
      <c r="I135" s="95" t="str">
        <f ca="1">VLOOKUP($E$7,BASEDET1,297,FALSE)</f>
        <v xml:space="preserve"> </v>
      </c>
    </row>
    <row r="136" spans="1:9" x14ac:dyDescent="0.3">
      <c r="A136" s="452"/>
      <c r="B136" s="94">
        <v>31</v>
      </c>
      <c r="C136" s="96">
        <f>VLOOKUP($E$7,BASEDET1,302,FALSE)</f>
        <v>0</v>
      </c>
      <c r="D136" s="69" t="str">
        <f t="shared" si="2"/>
        <v xml:space="preserve"> </v>
      </c>
      <c r="E136" s="69">
        <f>VLOOKUP($E$7,BASEDET1,303,FALSE)</f>
        <v>0</v>
      </c>
      <c r="F136" s="69">
        <f>VLOOKUP($E$7,BASEDET1,304,FALSE)</f>
        <v>0</v>
      </c>
      <c r="G136" s="21">
        <f>VLOOKUP($E$7,BASEDET1,305,FALSE)</f>
        <v>0</v>
      </c>
      <c r="H136" s="21" t="str">
        <f>VLOOKUP($E$7,BASEDET1,306,FALSE)</f>
        <v xml:space="preserve"> </v>
      </c>
      <c r="I136" s="95" t="str">
        <f ca="1">VLOOKUP($E$7,BASEDET1,307,FALSE)</f>
        <v xml:space="preserve"> </v>
      </c>
    </row>
    <row r="137" spans="1:9" x14ac:dyDescent="0.3">
      <c r="A137" s="452"/>
      <c r="B137" s="94">
        <v>32</v>
      </c>
      <c r="C137" s="96">
        <f>VLOOKUP($E$7,BASEDET1,312,FALSE)</f>
        <v>0</v>
      </c>
      <c r="D137" s="69" t="str">
        <f t="shared" si="2"/>
        <v xml:space="preserve"> </v>
      </c>
      <c r="E137" s="69">
        <f>VLOOKUP($E$7,BASEDET1,313,FALSE)</f>
        <v>0</v>
      </c>
      <c r="F137" s="69">
        <f>VLOOKUP($E$7,BASEDET1,314,FALSE)</f>
        <v>0</v>
      </c>
      <c r="G137" s="21">
        <f>VLOOKUP($E$7,BASEDET1,315,FALSE)</f>
        <v>0</v>
      </c>
      <c r="H137" s="21" t="str">
        <f>VLOOKUP($E$7,BASEDET1,316,FALSE)</f>
        <v xml:space="preserve"> </v>
      </c>
      <c r="I137" s="95" t="str">
        <f ca="1">VLOOKUP($E$7,BASEDET1,317,FALSE)</f>
        <v xml:space="preserve"> </v>
      </c>
    </row>
    <row r="138" spans="1:9" x14ac:dyDescent="0.3">
      <c r="A138" s="452"/>
      <c r="B138" s="94">
        <v>33</v>
      </c>
      <c r="C138" s="96">
        <f>VLOOKUP($E$7,BASEDET1,322,FALSE)</f>
        <v>0</v>
      </c>
      <c r="D138" s="69" t="str">
        <f t="shared" si="2"/>
        <v xml:space="preserve"> </v>
      </c>
      <c r="E138" s="69">
        <f>VLOOKUP($E$7,BASEDET1,323,FALSE)</f>
        <v>0</v>
      </c>
      <c r="F138" s="69">
        <f>VLOOKUP($E$7,BASEDET1,324,FALSE)</f>
        <v>0</v>
      </c>
      <c r="G138" s="21">
        <f>VLOOKUP($E$7,BASEDET1,325,FALSE)</f>
        <v>0</v>
      </c>
      <c r="H138" s="21" t="str">
        <f>VLOOKUP($E$7,BASEDET1,326,FALSE)</f>
        <v xml:space="preserve"> </v>
      </c>
      <c r="I138" s="95" t="str">
        <f ca="1">VLOOKUP($E$7,BASEDET1,327,FALSE)</f>
        <v xml:space="preserve"> </v>
      </c>
    </row>
    <row r="139" spans="1:9" x14ac:dyDescent="0.3">
      <c r="A139" s="452"/>
      <c r="B139" s="94">
        <v>34</v>
      </c>
      <c r="C139" s="96">
        <f>VLOOKUP($E$7,BASEDET1,332,FALSE)</f>
        <v>0</v>
      </c>
      <c r="D139" s="69" t="str">
        <f t="shared" si="2"/>
        <v xml:space="preserve"> </v>
      </c>
      <c r="E139" s="69">
        <f>VLOOKUP($E$7,BASEDET1,333,FALSE)</f>
        <v>0</v>
      </c>
      <c r="F139" s="69">
        <f>VLOOKUP($E$7,BASEDET1,334,FALSE)</f>
        <v>0</v>
      </c>
      <c r="G139" s="21">
        <f>VLOOKUP($E$7,BASEDET1,335,FALSE)</f>
        <v>0</v>
      </c>
      <c r="H139" s="21">
        <f>VLOOKUP($E$7,BASEDET1,336,FALSE)</f>
        <v>0</v>
      </c>
      <c r="I139" s="95" t="str">
        <f ca="1">VLOOKUP($E$7,BASEDET1,337,FALSE)</f>
        <v xml:space="preserve"> </v>
      </c>
    </row>
    <row r="140" spans="1:9" x14ac:dyDescent="0.3">
      <c r="A140" s="452"/>
      <c r="B140" s="94">
        <v>35</v>
      </c>
      <c r="C140" s="96">
        <f>VLOOKUP($E$7,BASEDET1,342,FALSE)</f>
        <v>0</v>
      </c>
      <c r="D140" s="69" t="str">
        <f t="shared" si="2"/>
        <v xml:space="preserve"> </v>
      </c>
      <c r="E140" s="69">
        <f>VLOOKUP($E$7,BASEDET1,343,FALSE)</f>
        <v>0</v>
      </c>
      <c r="F140" s="69">
        <f>VLOOKUP($E$7,BASEDET1,344,FALSE)</f>
        <v>0</v>
      </c>
      <c r="G140" s="21">
        <f>VLOOKUP($E$7,BASEDET1,345,FALSE)</f>
        <v>0</v>
      </c>
      <c r="H140" s="21">
        <f>VLOOKUP($E$7,BASEDET1,346,FALSE)</f>
        <v>0</v>
      </c>
      <c r="I140" s="95" t="str">
        <f ca="1">VLOOKUP($E$7,BASEDET1,347,FALSE)</f>
        <v xml:space="preserve"> </v>
      </c>
    </row>
    <row r="141" spans="1:9" ht="14.4" customHeight="1" x14ac:dyDescent="0.3">
      <c r="A141" s="452"/>
      <c r="B141" s="94">
        <v>36</v>
      </c>
      <c r="C141" s="96">
        <f>VLOOKUP($E$7,BASEDET1,352,FALSE)</f>
        <v>0</v>
      </c>
      <c r="D141" s="69" t="str">
        <f t="shared" si="2"/>
        <v xml:space="preserve"> </v>
      </c>
      <c r="E141" s="69">
        <f>VLOOKUP($E$7,BASEDET1,353,FALSE)</f>
        <v>0</v>
      </c>
      <c r="F141" s="69">
        <f>VLOOKUP($E$7,BASEDET1,354,FALSE)</f>
        <v>0</v>
      </c>
      <c r="G141" s="21">
        <f>VLOOKUP($E$7,BASEDET1,355,FALSE)</f>
        <v>0</v>
      </c>
      <c r="H141" s="21">
        <f>VLOOKUP($E$7,BASEDET1,356,FALSE)</f>
        <v>0</v>
      </c>
      <c r="I141" s="95" t="str">
        <f ca="1">VLOOKUP($E$7,BASEDET1,357,FALSE)</f>
        <v xml:space="preserve"> </v>
      </c>
    </row>
    <row r="142" spans="1:9" ht="14.4" customHeight="1" x14ac:dyDescent="0.3">
      <c r="A142" s="452"/>
      <c r="B142" s="94">
        <v>37</v>
      </c>
      <c r="C142" s="96">
        <f>VLOOKUP($E$7,BASEDET1,362,FALSE)</f>
        <v>0</v>
      </c>
      <c r="D142" s="69" t="str">
        <f t="shared" si="2"/>
        <v xml:space="preserve"> </v>
      </c>
      <c r="E142" s="69">
        <f>VLOOKUP($E$7,BASEDET1,363,FALSE)</f>
        <v>0</v>
      </c>
      <c r="F142" s="69">
        <f>VLOOKUP($E$7,BASEDET1,364,FALSE)</f>
        <v>0</v>
      </c>
      <c r="G142" s="21">
        <f>VLOOKUP($E$7,BASEDET1,365,FALSE)</f>
        <v>0</v>
      </c>
      <c r="H142" s="21">
        <f>VLOOKUP($E$7,BASEDET1,366,FALSE)</f>
        <v>0</v>
      </c>
      <c r="I142" s="95" t="str">
        <f>IF(G142=0," ",VLOOKUP($E$7,BASEDET1,87,FALSE))</f>
        <v xml:space="preserve"> </v>
      </c>
    </row>
    <row r="143" spans="1:9" ht="14.4" customHeight="1" x14ac:dyDescent="0.3">
      <c r="A143" s="452"/>
      <c r="B143" s="94">
        <v>38</v>
      </c>
      <c r="C143" s="96">
        <f>VLOOKUP($E$7,BASEDET1,372,FALSE)</f>
        <v>0</v>
      </c>
      <c r="D143" s="69" t="str">
        <f t="shared" si="2"/>
        <v xml:space="preserve"> </v>
      </c>
      <c r="E143" s="69">
        <f>VLOOKUP($E$7,BASEDET1,373,FALSE)</f>
        <v>0</v>
      </c>
      <c r="F143" s="69">
        <f>VLOOKUP($E$7,BASEDET1,374,FALSE)</f>
        <v>0</v>
      </c>
      <c r="G143" s="21">
        <f>VLOOKUP($E$7,BASEDET1,375,FALSE)</f>
        <v>0</v>
      </c>
      <c r="H143" s="21">
        <f>VLOOKUP($E$7,BASEDET1,376,FALSE)</f>
        <v>0</v>
      </c>
      <c r="I143" s="95" t="str">
        <f ca="1">VLOOKUP($E$7,BASEDET1,377,FALSE)</f>
        <v xml:space="preserve"> </v>
      </c>
    </row>
    <row r="144" spans="1:9" ht="14.4" customHeight="1" x14ac:dyDescent="0.3">
      <c r="A144" s="452"/>
      <c r="B144" s="94">
        <v>39</v>
      </c>
      <c r="C144" s="96">
        <f>VLOOKUP($E$7,BASEDET1,382,FALSE)</f>
        <v>0</v>
      </c>
      <c r="D144" s="69" t="str">
        <f t="shared" si="2"/>
        <v xml:space="preserve"> </v>
      </c>
      <c r="E144" s="69">
        <f>VLOOKUP($E$7,BASEDET1,383,FALSE)</f>
        <v>0</v>
      </c>
      <c r="F144" s="69">
        <f>VLOOKUP($E$7,BASEDET1,384,FALSE)</f>
        <v>0</v>
      </c>
      <c r="G144" s="21">
        <f>VLOOKUP($E$7,BASEDET1,385,FALSE)</f>
        <v>0</v>
      </c>
      <c r="H144" s="21">
        <f>VLOOKUP($E$7,BASEDET1,386,FALSE)</f>
        <v>0</v>
      </c>
      <c r="I144" s="95" t="str">
        <f ca="1">VLOOKUP($E$7,BASEDET1,387,FALSE)</f>
        <v xml:space="preserve"> </v>
      </c>
    </row>
    <row r="145" spans="1:46" ht="14.4" customHeight="1" x14ac:dyDescent="0.3">
      <c r="A145" s="452"/>
      <c r="B145" s="94">
        <v>40</v>
      </c>
      <c r="C145" s="96">
        <f>VLOOKUP($E$7,BASEDET1,392,FALSE)</f>
        <v>0</v>
      </c>
      <c r="D145" s="69" t="str">
        <f t="shared" si="2"/>
        <v xml:space="preserve"> </v>
      </c>
      <c r="E145" s="69">
        <f>VLOOKUP($E$7,BASEDET1,393,FALSE)</f>
        <v>0</v>
      </c>
      <c r="F145" s="69">
        <f>VLOOKUP($E$7,BASEDET1,394,FALSE)</f>
        <v>0</v>
      </c>
      <c r="G145" s="21">
        <f>VLOOKUP($E$7,BASEDET1,395,FALSE)</f>
        <v>0</v>
      </c>
      <c r="H145" s="21">
        <f>VLOOKUP($E$7,BASEDET1,396,FALSE)</f>
        <v>0</v>
      </c>
      <c r="I145" s="95" t="str">
        <f ca="1">VLOOKUP($E$7,BASEDET1,397,FALSE)</f>
        <v xml:space="preserve"> </v>
      </c>
    </row>
    <row r="146" spans="1:46" ht="14.4" customHeight="1" x14ac:dyDescent="0.3">
      <c r="A146" s="452"/>
      <c r="B146" s="94"/>
      <c r="C146" s="96"/>
      <c r="D146" s="69"/>
      <c r="E146" s="69"/>
      <c r="F146" s="69"/>
      <c r="G146" s="21"/>
      <c r="H146" s="21"/>
      <c r="I146" s="95"/>
    </row>
    <row r="147" spans="1:46" x14ac:dyDescent="0.3">
      <c r="A147" s="453"/>
      <c r="B147" s="97"/>
      <c r="C147" s="98"/>
      <c r="D147" s="97">
        <f>SUM(D106:D112)</f>
        <v>0</v>
      </c>
      <c r="E147" s="97"/>
      <c r="F147" s="97"/>
      <c r="G147" s="97"/>
      <c r="H147" s="97"/>
      <c r="I147" s="97"/>
    </row>
    <row r="153" spans="1:46" s="87" customFormat="1" ht="56.4" customHeight="1" x14ac:dyDescent="0.3">
      <c r="A153" s="449" t="s">
        <v>40</v>
      </c>
      <c r="B153" s="154" t="s">
        <v>1</v>
      </c>
      <c r="C153" s="155" t="s">
        <v>41</v>
      </c>
      <c r="D153" s="155" t="s">
        <v>42</v>
      </c>
      <c r="E153" s="155" t="s">
        <v>43</v>
      </c>
      <c r="F153" s="155" t="s">
        <v>44</v>
      </c>
      <c r="G153" s="155" t="s">
        <v>45</v>
      </c>
      <c r="H153" s="155" t="s">
        <v>46</v>
      </c>
      <c r="I153" s="155" t="s">
        <v>47</v>
      </c>
      <c r="J153" s="155" t="s">
        <v>48</v>
      </c>
      <c r="K153" s="155" t="s">
        <v>49</v>
      </c>
      <c r="L153" s="155" t="s">
        <v>50</v>
      </c>
      <c r="M153" s="155" t="s">
        <v>51</v>
      </c>
      <c r="N153" s="155" t="s">
        <v>52</v>
      </c>
      <c r="O153" s="155" t="s">
        <v>53</v>
      </c>
      <c r="P153" s="155" t="s">
        <v>54</v>
      </c>
      <c r="Q153" s="155" t="s">
        <v>55</v>
      </c>
      <c r="R153" s="155" t="s">
        <v>56</v>
      </c>
      <c r="S153" s="155" t="s">
        <v>57</v>
      </c>
      <c r="T153" s="155" t="s">
        <v>58</v>
      </c>
      <c r="U153" s="155" t="s">
        <v>59</v>
      </c>
      <c r="V153" s="155" t="s">
        <v>60</v>
      </c>
      <c r="W153" s="155" t="s">
        <v>61</v>
      </c>
      <c r="X153" s="155" t="s">
        <v>62</v>
      </c>
      <c r="Y153" s="155" t="s">
        <v>63</v>
      </c>
      <c r="Z153" s="155" t="s">
        <v>64</v>
      </c>
      <c r="AA153" s="155" t="s">
        <v>65</v>
      </c>
      <c r="AB153" s="155" t="s">
        <v>66</v>
      </c>
      <c r="AC153" s="155" t="s">
        <v>67</v>
      </c>
      <c r="AD153" s="155" t="s">
        <v>68</v>
      </c>
      <c r="AE153" s="155" t="s">
        <v>69</v>
      </c>
      <c r="AF153" s="155" t="s">
        <v>70</v>
      </c>
      <c r="AG153" s="155" t="s">
        <v>71</v>
      </c>
      <c r="AH153" s="155" t="s">
        <v>72</v>
      </c>
      <c r="AI153" s="155" t="s">
        <v>73</v>
      </c>
      <c r="AJ153" s="155" t="s">
        <v>74</v>
      </c>
      <c r="AK153" s="155" t="s">
        <v>75</v>
      </c>
      <c r="AL153" s="155" t="s">
        <v>76</v>
      </c>
      <c r="AM153" s="155" t="s">
        <v>77</v>
      </c>
      <c r="AN153" s="155" t="s">
        <v>78</v>
      </c>
      <c r="AO153" s="155" t="s">
        <v>79</v>
      </c>
      <c r="AP153" s="155" t="s">
        <v>80</v>
      </c>
      <c r="AQ153" s="155" t="s">
        <v>81</v>
      </c>
      <c r="AR153" s="155" t="s">
        <v>82</v>
      </c>
      <c r="AS153" s="155" t="s">
        <v>83</v>
      </c>
      <c r="AT153" s="155" t="s">
        <v>83</v>
      </c>
    </row>
    <row r="154" spans="1:46" x14ac:dyDescent="0.3">
      <c r="A154" s="449"/>
      <c r="B154" s="34" cm="1">
        <f t="array" ref="B154:B238">_xlfn.SEQUENCE(COUNTA(C154:C254))</f>
        <v>1</v>
      </c>
      <c r="C154" s="93" t="str">
        <f>VLOOKUP($E$7,BASEPOE3,2,FALSE)</f>
        <v xml:space="preserve">Avalos Mendez Claudia Alexandra </v>
      </c>
      <c r="D154" s="90" t="str">
        <f>VLOOKUP($E$7,BASEPOE3,3,FALSE)</f>
        <v>Sin Registro</v>
      </c>
      <c r="E154" s="61">
        <f>VLOOKUP($E$7,BASEPOE3,4,FALSE)</f>
        <v>23207761</v>
      </c>
      <c r="F154" s="90">
        <f>VLOOKUP($E$7,BASEPOE3,5,FALSE)</f>
        <v>0</v>
      </c>
      <c r="G154" s="90">
        <f>VLOOKUP($E$7,BASEPOE3,6,FALSE)</f>
        <v>0</v>
      </c>
      <c r="H154" s="91">
        <f>VLOOKUP($E$7,BASEPOE3,7,FALSE)</f>
        <v>0</v>
      </c>
      <c r="I154" s="91">
        <f>VLOOKUP($E$7,BASEPOE3,8,FALSE)</f>
        <v>0</v>
      </c>
      <c r="J154" s="91">
        <f t="shared" ref="J154" si="3">VLOOKUP($E$7,BASEPOE3,9,FALSE)</f>
        <v>0</v>
      </c>
      <c r="K154" s="91">
        <f>VLOOKUP($E$7,BASEPOE3,10,FALSE)</f>
        <v>0</v>
      </c>
      <c r="L154" s="91">
        <f>VLOOKUP($E$7,BASEPOE3,11,FALSE)</f>
        <v>0</v>
      </c>
      <c r="M154" s="91">
        <f>VLOOKUP($E$7,BASEPOE3,12,FALSE)</f>
        <v>0</v>
      </c>
      <c r="N154" s="91">
        <f>VLOOKUP($E$7,BASEPOE3,13,FALSE)</f>
        <v>0</v>
      </c>
      <c r="O154" s="91">
        <f>VLOOKUP($E$7,BASEPOE3,14,FALSE)</f>
        <v>0</v>
      </c>
      <c r="P154" s="91">
        <f>VLOOKUP($E$7,BASEPOE3,15,FALSE)</f>
        <v>0</v>
      </c>
      <c r="Q154" s="91">
        <f>VLOOKUP($E$7,BASEPOE3,16,FALSE)</f>
        <v>0</v>
      </c>
      <c r="R154" s="91">
        <f>VLOOKUP($E$7,BASEPOE3,17,FALSE)</f>
        <v>0</v>
      </c>
      <c r="S154" s="91">
        <f>VLOOKUP($E$7,BASEPOE3,18,FALSE)</f>
        <v>0</v>
      </c>
      <c r="T154" s="91">
        <f>VLOOKUP($E$7,BASEPOE3,19,FALSE)</f>
        <v>0</v>
      </c>
      <c r="U154" s="91">
        <f>VLOOKUP($E$7,BASEPOE3,20,FALSE)</f>
        <v>0</v>
      </c>
      <c r="V154" s="91">
        <f>VLOOKUP($E$7,BASEPOE3,21,FALSE)</f>
        <v>0</v>
      </c>
      <c r="W154" s="91">
        <f>VLOOKUP($E$7,BASEPOE3,22,FALSE)</f>
        <v>0</v>
      </c>
      <c r="X154" s="91">
        <f>VLOOKUP($E$7,BASEPOE3,23,FALSE)</f>
        <v>0</v>
      </c>
      <c r="Y154" s="91">
        <f>VLOOKUP($E$7,BASEPOE3,24,FALSE)</f>
        <v>0</v>
      </c>
      <c r="Z154" s="91">
        <f>VLOOKUP($E$7,BASEPOE3,25,FALSE)</f>
        <v>0</v>
      </c>
      <c r="AA154" s="91">
        <f>VLOOKUP($E$7,BASEPOE3,26,FALSE)</f>
        <v>0</v>
      </c>
      <c r="AB154" s="91">
        <f>VLOOKUP($E$7,BASEPOE3,27,FALSE)</f>
        <v>0</v>
      </c>
      <c r="AC154" s="90">
        <f>VLOOKUP($E$7,BASEPOE3,28,FALSE)</f>
        <v>0</v>
      </c>
      <c r="AD154" s="90">
        <f>VLOOKUP($E$7,BASEPOE3,29,FALSE)</f>
        <v>0</v>
      </c>
      <c r="AE154" s="90">
        <f>VLOOKUP($E$7,BASEPOE3,30,FALSE)</f>
        <v>0</v>
      </c>
      <c r="AF154" s="90">
        <f>VLOOKUP($E$7,BASEPOE3,31,FALSE)</f>
        <v>0</v>
      </c>
      <c r="AG154" s="90">
        <f>VLOOKUP($E$7,BASEPOE3,32,FALSE)</f>
        <v>0</v>
      </c>
      <c r="AH154" s="90">
        <f>VLOOKUP($E$7,BASEPOE3,33,FALSE)</f>
        <v>0</v>
      </c>
      <c r="AI154" s="90">
        <f>VLOOKUP($E$7,BASEPOE3,34,FALSE)</f>
        <v>0</v>
      </c>
      <c r="AJ154" s="90">
        <f>VLOOKUP($E$7,BASEPOE3,35,FALSE)</f>
        <v>0</v>
      </c>
      <c r="AK154" s="90">
        <f>VLOOKUP($E$7,BASEPOE3,36,FALSE)</f>
        <v>0</v>
      </c>
      <c r="AL154" s="90">
        <f>VLOOKUP($E$7,BASEPOE3,37,FALSE)</f>
        <v>0</v>
      </c>
      <c r="AM154" s="90">
        <f>VLOOKUP($E$7,BASEPOE3,38,FALSE)</f>
        <v>0</v>
      </c>
      <c r="AN154" s="90">
        <f>VLOOKUP($E$7,BASEPOE3,39,FALSE)</f>
        <v>0</v>
      </c>
      <c r="AO154" s="90">
        <f>VLOOKUP($E$7,BASEPOE3,40,FALSE)</f>
        <v>0</v>
      </c>
      <c r="AP154" s="90">
        <f>VLOOKUP($E$7,BASEPOE3,41,FALSE)</f>
        <v>0</v>
      </c>
      <c r="AQ154" s="90">
        <f>VLOOKUP($E$7,BASEPOE3,42,FALSE)</f>
        <v>0</v>
      </c>
      <c r="AR154" s="90">
        <f>VLOOKUP($E$7,BASEPOE3,43,FALSE)</f>
        <v>0</v>
      </c>
      <c r="AS154" s="90">
        <f>VLOOKUP($E$7,BASEPOE3,44,FALSE)</f>
        <v>0</v>
      </c>
      <c r="AT154" s="90">
        <f>VLOOKUP($E$7,BASEPOE3,45,FALSE)</f>
        <v>0</v>
      </c>
    </row>
    <row r="155" spans="1:46" x14ac:dyDescent="0.3">
      <c r="A155" s="449"/>
      <c r="B155" s="60">
        <v>2</v>
      </c>
      <c r="C155" s="92" t="str">
        <f>VLOOKUP($E$7,BASEPOE3,46,FALSE)</f>
        <v xml:space="preserve">Becerra Poot Monica </v>
      </c>
      <c r="D155" s="88" t="str">
        <f>VLOOKUP($E$7,BASEPOE3,47,FALSE)</f>
        <v>Sin Registro</v>
      </c>
      <c r="E155" s="62">
        <f>VLOOKUP($E$7,BASEPOE3,48,FALSE)</f>
        <v>23141267</v>
      </c>
      <c r="F155" s="88">
        <f>VLOOKUP($E$7,BASEPOE3,49,FALSE)</f>
        <v>0</v>
      </c>
      <c r="G155" s="88">
        <f>VLOOKUP($E$7,BASEPOE3,50,FALSE)</f>
        <v>0</v>
      </c>
      <c r="H155" s="89">
        <f>VLOOKUP($E$7,BASEPOE3,51,FALSE)</f>
        <v>0</v>
      </c>
      <c r="I155" s="89">
        <f>VLOOKUP($E$7,BASEPOE3,52,FALSE)</f>
        <v>0</v>
      </c>
      <c r="J155" s="89">
        <f>VLOOKUP($E$7,BASEPOE3,53,FALSE)</f>
        <v>0</v>
      </c>
      <c r="K155" s="89">
        <f>VLOOKUP($E$7,BASEPOE3,54,FALSE)</f>
        <v>0</v>
      </c>
      <c r="L155" s="89">
        <f>VLOOKUP($E$7,BASEPOE3,55,FALSE)</f>
        <v>0</v>
      </c>
      <c r="M155" s="89">
        <f>VLOOKUP($E$7,BASEPOE3,56,FALSE)</f>
        <v>0</v>
      </c>
      <c r="N155" s="89">
        <f>VLOOKUP($E$7,BASEPOE3,57,FALSE)</f>
        <v>0</v>
      </c>
      <c r="O155" s="89">
        <f>VLOOKUP($E$7,BASEPOE3,58,FALSE)</f>
        <v>0</v>
      </c>
      <c r="P155" s="89">
        <f>VLOOKUP($E$7,BASEPOE3,59,FALSE)</f>
        <v>0</v>
      </c>
      <c r="Q155" s="89">
        <f>VLOOKUP($E$7,BASEPOE3,60,FALSE)</f>
        <v>0</v>
      </c>
      <c r="R155" s="89">
        <f>VLOOKUP($E$7,BASEPOE3,61,FALSE)</f>
        <v>0</v>
      </c>
      <c r="S155" s="89">
        <f>VLOOKUP($E$7,BASEPOE3,62,FALSE)</f>
        <v>0</v>
      </c>
      <c r="T155" s="89">
        <f>VLOOKUP($E$7,BASEPOE3,63,FALSE)</f>
        <v>0</v>
      </c>
      <c r="U155" s="89">
        <f>VLOOKUP($E$7,BASEPOE3,64,FALSE)</f>
        <v>0</v>
      </c>
      <c r="V155" s="89">
        <f>VLOOKUP($E$7,BASEPOE3,65,FALSE)</f>
        <v>0</v>
      </c>
      <c r="W155" s="89">
        <f>VLOOKUP($E$7,BASEPOE3,66,FALSE)</f>
        <v>0</v>
      </c>
      <c r="X155" s="89">
        <f>VLOOKUP($E$7,BASEPOE3,67,FALSE)</f>
        <v>0</v>
      </c>
      <c r="Y155" s="89">
        <f>VLOOKUP($E$7,BASEPOE3,68,FALSE)</f>
        <v>0</v>
      </c>
      <c r="Z155" s="89">
        <f>VLOOKUP($E$7,BASEPOE3,69,FALSE)</f>
        <v>0</v>
      </c>
      <c r="AA155" s="89">
        <f>VLOOKUP($E$7,BASEPOE3,70,FALSE)</f>
        <v>0</v>
      </c>
      <c r="AB155" s="89">
        <f>VLOOKUP($E$7,BASEPOE3,71,FALSE)</f>
        <v>0</v>
      </c>
      <c r="AC155" s="88">
        <f>VLOOKUP($E$7,BASEPOE3,72,FALSE)</f>
        <v>0</v>
      </c>
      <c r="AD155" s="88">
        <f>VLOOKUP($E$7,BASEPOE3,73,FALSE)</f>
        <v>0</v>
      </c>
      <c r="AE155" s="88">
        <f>VLOOKUP($E$7,BASEPOE3,74,FALSE)</f>
        <v>0</v>
      </c>
      <c r="AF155" s="88">
        <f>VLOOKUP($E$7,BASEPOE3,75,FALSE)</f>
        <v>0</v>
      </c>
      <c r="AG155" s="88">
        <f>VLOOKUP($E$7,BASEPOE3,76,FALSE)</f>
        <v>0</v>
      </c>
      <c r="AH155" s="88">
        <f>VLOOKUP($E$7,BASEPOE3,77,FALSE)</f>
        <v>0</v>
      </c>
      <c r="AI155" s="88">
        <f>VLOOKUP($E$7,BASEPOE3,78,FALSE)</f>
        <v>0</v>
      </c>
      <c r="AJ155" s="88">
        <f>VLOOKUP($E$7,BASEPOE3,79,FALSE)</f>
        <v>0</v>
      </c>
      <c r="AK155" s="88">
        <f>VLOOKUP($E$7,BASEPOE3,80,FALSE)</f>
        <v>0</v>
      </c>
      <c r="AL155" s="88">
        <f>VLOOKUP($E$7,BASEPOE3,81,FALSE)</f>
        <v>0</v>
      </c>
      <c r="AM155" s="88">
        <f>VLOOKUP($E$7,BASEPOE3,82,FALSE)</f>
        <v>0</v>
      </c>
      <c r="AN155" s="88">
        <f>VLOOKUP($E$7,BASEPOE3,83,FALSE)</f>
        <v>0</v>
      </c>
      <c r="AO155" s="88">
        <f>VLOOKUP($E$7,BASEPOE3,84,FALSE)</f>
        <v>0</v>
      </c>
      <c r="AP155" s="88">
        <f>VLOOKUP($E$7,BASEPOE3,85,FALSE)</f>
        <v>0</v>
      </c>
      <c r="AQ155" s="88">
        <f>VLOOKUP($E$7,BASEPOE3,86,FALSE)</f>
        <v>0</v>
      </c>
      <c r="AR155" s="88">
        <f>VLOOKUP($E$7,BASEPOE3,87,FALSE)</f>
        <v>0</v>
      </c>
      <c r="AS155" s="88">
        <f>VLOOKUP($E$7,BASEPOE3,88,FALSE)</f>
        <v>0</v>
      </c>
      <c r="AT155" s="88">
        <f>VLOOKUP($E$7,BASEPOE3,89,FALSE)</f>
        <v>0</v>
      </c>
    </row>
    <row r="156" spans="1:46" x14ac:dyDescent="0.3">
      <c r="A156" s="449"/>
      <c r="B156" s="34">
        <v>3</v>
      </c>
      <c r="C156" s="93" t="str">
        <f>VLOOKUP($E$7,BASEPOE3,90,FALSE)</f>
        <v xml:space="preserve">Castillo Zarate Pedro Alberto </v>
      </c>
      <c r="D156" s="90" t="str">
        <f>VLOOKUP($E$7,BASEPOE3,91,FALSE)</f>
        <v>Sin Registro</v>
      </c>
      <c r="E156" s="61">
        <f>VLOOKUP($E$7,BASEPOE3,92,FALSE)</f>
        <v>23054926</v>
      </c>
      <c r="F156" s="90">
        <f>VLOOKUP($E$7,BASEPOE3,93,FALSE)</f>
        <v>0</v>
      </c>
      <c r="G156" s="90">
        <f>VLOOKUP($E$7,BASEPOE3,94,FALSE)</f>
        <v>0</v>
      </c>
      <c r="H156" s="91">
        <f>VLOOKUP($E$7,BASEPOE3,95,FALSE)</f>
        <v>0</v>
      </c>
      <c r="I156" s="91">
        <f>VLOOKUP($E$7,BASEPOE3,96,FALSE)</f>
        <v>0</v>
      </c>
      <c r="J156" s="91">
        <f>VLOOKUP($E$7,BASEPOE3,97,FALSE)</f>
        <v>0</v>
      </c>
      <c r="K156" s="91">
        <f>VLOOKUP($E$7,BASEPOE3,98,FALSE)</f>
        <v>0</v>
      </c>
      <c r="L156" s="91">
        <f>VLOOKUP($E$7,BASEPOE3,99,FALSE)</f>
        <v>0</v>
      </c>
      <c r="M156" s="91">
        <f>VLOOKUP($E$7,BASEPOE3,100,FALSE)</f>
        <v>0</v>
      </c>
      <c r="N156" s="91">
        <f>VLOOKUP($E$7,BASEPOE3,101,FALSE)</f>
        <v>0</v>
      </c>
      <c r="O156" s="91">
        <f>VLOOKUP($E$7,BASEPOE3,102,FALSE)</f>
        <v>0</v>
      </c>
      <c r="P156" s="91">
        <f>VLOOKUP($E$7,BASEPOE3,103,FALSE)</f>
        <v>0</v>
      </c>
      <c r="Q156" s="91">
        <f>VLOOKUP($E$7,BASEPOE3,104,FALSE)</f>
        <v>0</v>
      </c>
      <c r="R156" s="91">
        <f>VLOOKUP($E$7,BASEPOE3,105,FALSE)</f>
        <v>0</v>
      </c>
      <c r="S156" s="91">
        <f>VLOOKUP($E$7,BASEPOE3,106,FALSE)</f>
        <v>0</v>
      </c>
      <c r="T156" s="91">
        <f>VLOOKUP($E$7,BASEPOE3,107,FALSE)</f>
        <v>0</v>
      </c>
      <c r="U156" s="91">
        <f>VLOOKUP($E$7,BASEPOE3,108,FALSE)</f>
        <v>0</v>
      </c>
      <c r="V156" s="91">
        <f>VLOOKUP($E$7,BASEPOE3,109,FALSE)</f>
        <v>0</v>
      </c>
      <c r="W156" s="91">
        <f>VLOOKUP($E$7,BASEPOE3,110,FALSE)</f>
        <v>0</v>
      </c>
      <c r="X156" s="91">
        <f>VLOOKUP($E$7,BASEPOE3,111,FALSE)</f>
        <v>0</v>
      </c>
      <c r="Y156" s="91">
        <f>VLOOKUP($E$7,BASEPOE3,112,FALSE)</f>
        <v>0</v>
      </c>
      <c r="Z156" s="91">
        <f>VLOOKUP($E$7,BASEPOE3,113,FALSE)</f>
        <v>0</v>
      </c>
      <c r="AA156" s="91">
        <f>VLOOKUP($E$7,BASEPOE3,114,FALSE)</f>
        <v>0</v>
      </c>
      <c r="AB156" s="91">
        <f>VLOOKUP($E$7,BASEPOE3,115,FALSE)</f>
        <v>0</v>
      </c>
      <c r="AC156" s="90">
        <f>VLOOKUP($E$7,BASEPOE3,116,FALSE)</f>
        <v>0</v>
      </c>
      <c r="AD156" s="90">
        <f>VLOOKUP($E$7,BASEPOE3,117,FALSE)</f>
        <v>0</v>
      </c>
      <c r="AE156" s="90">
        <f>VLOOKUP($E$7,BASEPOE3,118,FALSE)</f>
        <v>0</v>
      </c>
      <c r="AF156" s="90">
        <f>VLOOKUP($E$7,BASEPOE3,119,FALSE)</f>
        <v>0</v>
      </c>
      <c r="AG156" s="90">
        <f>VLOOKUP($E$7,BASEPOE3,120,FALSE)</f>
        <v>0</v>
      </c>
      <c r="AH156" s="90">
        <f>VLOOKUP($E$7,BASEPOE3,121,FALSE)</f>
        <v>0</v>
      </c>
      <c r="AI156" s="90">
        <f>VLOOKUP($E$7,BASEPOE3,122,FALSE)</f>
        <v>0</v>
      </c>
      <c r="AJ156" s="90">
        <f>VLOOKUP($E$7,BASEPOE3,123,FALSE)</f>
        <v>0</v>
      </c>
      <c r="AK156" s="90">
        <f>VLOOKUP($E$7,BASEPOE3,124,FALSE)</f>
        <v>0</v>
      </c>
      <c r="AL156" s="90">
        <f>VLOOKUP($E$7,BASEPOE3,125,FALSE)</f>
        <v>0</v>
      </c>
      <c r="AM156" s="90">
        <f>VLOOKUP($E$7,BASEPOE3,126,FALSE)</f>
        <v>0</v>
      </c>
      <c r="AN156" s="90">
        <f>VLOOKUP($E$7,BASEPOE3,127,FALSE)</f>
        <v>0</v>
      </c>
      <c r="AO156" s="90">
        <f>VLOOKUP($E$7,BASEPOE3,128,FALSE)</f>
        <v>0</v>
      </c>
      <c r="AP156" s="90">
        <f>VLOOKUP($E$7,BASEPOE3,129,FALSE)</f>
        <v>0</v>
      </c>
      <c r="AQ156" s="90">
        <f>VLOOKUP($E$7,BASEPOE3,130,FALSE)</f>
        <v>0</v>
      </c>
      <c r="AR156" s="90">
        <f>VLOOKUP($E$7,BASEPOE3,131,FALSE)</f>
        <v>0</v>
      </c>
      <c r="AS156" s="90">
        <f>VLOOKUP($E$7,BASEPOE3,132,FALSE)</f>
        <v>0</v>
      </c>
      <c r="AT156" s="90">
        <f>VLOOKUP($E$7,BASEPOE3,133,FALSE)</f>
        <v>0</v>
      </c>
    </row>
    <row r="157" spans="1:46" x14ac:dyDescent="0.3">
      <c r="A157" s="449"/>
      <c r="B157" s="60">
        <v>4</v>
      </c>
      <c r="C157" s="92" t="str">
        <f>VLOOKUP($E$7,BASEPOE3,134,FALSE)</f>
        <v>Cervantes Morgado Manuel</v>
      </c>
      <c r="D157" s="88" t="str">
        <f>VLOOKUP($E$7,BASEPOE3,135,FALSE)</f>
        <v>POE</v>
      </c>
      <c r="E157" s="62">
        <f>VLOOKUP($E$7,BASEPOE3,136,FALSE)</f>
        <v>23163029</v>
      </c>
      <c r="F157" s="88">
        <f>VLOOKUP($E$7,BASEPOE3,137,FALSE)</f>
        <v>0</v>
      </c>
      <c r="G157" s="88">
        <f>VLOOKUP($E$7,BASEPOE3,138,FALSE)</f>
        <v>0</v>
      </c>
      <c r="H157" s="89">
        <f>VLOOKUP($E$7,BASEPOE3,139,FALSE)</f>
        <v>45474</v>
      </c>
      <c r="I157" s="89">
        <f>VLOOKUP($E$7,BASEPOE3,140,FALSE)</f>
        <v>45839</v>
      </c>
      <c r="J157" s="89" t="str">
        <f>VLOOKUP($E$7,BASEPOE3,141,FALSE)</f>
        <v>SI</v>
      </c>
      <c r="K157" s="89" t="str">
        <f>VLOOKUP($E$7,BASEPOE3,142,FALSE)</f>
        <v>Vigente</v>
      </c>
      <c r="L157" s="89" t="str">
        <f>VLOOKUP($E$7,BASEPOE3,143,FALSE)</f>
        <v>SI</v>
      </c>
      <c r="M157" s="89" t="str">
        <f>VLOOKUP($E$7,BASEPOE3,144,FALSE)</f>
        <v>Vigente</v>
      </c>
      <c r="N157" s="89" t="str">
        <f>VLOOKUP($E$7,BASEPOE3,145,FALSE)</f>
        <v>NO</v>
      </c>
      <c r="O157" s="89" t="str">
        <f>VLOOKUP($E$7,BASEPOE3,146,FALSE)</f>
        <v>Apendice ByC no llenos-c/historial aparte-falta firma RL</v>
      </c>
      <c r="P157" s="89">
        <f>VLOOKUP($E$7,BASEPOE3,147,FALSE)</f>
        <v>0</v>
      </c>
      <c r="Q157" s="89" t="str">
        <f>VLOOKUP($E$7,BASEPOE3,148,FALSE)</f>
        <v>SI</v>
      </c>
      <c r="R157" s="89" t="str">
        <f>VLOOKUP($E$7,BASEPOE3,149,FALSE)</f>
        <v>SI</v>
      </c>
      <c r="S157" s="89" t="str">
        <f>VLOOKUP($E$7,BASEPOE3,150,FALSE)</f>
        <v>INE NO LEGIBLE</v>
      </c>
      <c r="T157" s="89" t="str">
        <f>VLOOKUP($E$7,BASEPOE3,151,FALSE)</f>
        <v>SI</v>
      </c>
      <c r="U157" s="89" t="str">
        <f>VLOOKUP($E$7,BASEPOE3,152,FALSE)</f>
        <v>SI</v>
      </c>
      <c r="V157" s="89" t="str">
        <f>VLOOKUP($E$7,BASEPOE3,153,FALSE)</f>
        <v>SI</v>
      </c>
      <c r="W157" s="89" t="str">
        <f>VLOOKUP($E$7,BASEPOE3,154,FALSE)</f>
        <v>SI</v>
      </c>
      <c r="X157" s="89">
        <f>VLOOKUP($E$7,BASEPOE3,155,FALSE)</f>
        <v>0</v>
      </c>
      <c r="Y157" s="89">
        <f>VLOOKUP($E$7,BASEPOE3,156,FALSE)</f>
        <v>0</v>
      </c>
      <c r="Z157" s="89">
        <f>VLOOKUP($E$7,BASEPOE3,157,FALSE)</f>
        <v>0</v>
      </c>
      <c r="AA157" s="89" t="str">
        <f>VLOOKUP($E$7,BASEPOE3,158,FALSE)</f>
        <v>SI</v>
      </c>
      <c r="AB157" s="89">
        <f>VLOOKUP($E$7,BASEPOE3,159,FALSE)</f>
        <v>0</v>
      </c>
      <c r="AC157" s="88">
        <f>VLOOKUP($E$7,BASEPOE3,160,FALSE)</f>
        <v>0</v>
      </c>
      <c r="AD157" s="88">
        <f>VLOOKUP($E$7,BASEPOE3,161,FALSE)</f>
        <v>0</v>
      </c>
      <c r="AE157" s="88">
        <f>VLOOKUP($E$7,BASEPOE3,162,FALSE)</f>
        <v>0</v>
      </c>
      <c r="AF157" s="88">
        <f>VLOOKUP($E$7,BASEPOE3,163,FALSE)</f>
        <v>0</v>
      </c>
      <c r="AG157" s="88" t="str">
        <f>VLOOKUP($E$7,BASEPOE3,164,FALSE)</f>
        <v>SI</v>
      </c>
      <c r="AH157" s="88">
        <f>VLOOKUP($E$7,BASEPOE3,165,FALSE)</f>
        <v>0</v>
      </c>
      <c r="AI157" s="88">
        <f>VLOOKUP($E$7,BASEPOE3,166,FALSE)</f>
        <v>0</v>
      </c>
      <c r="AJ157" s="88">
        <f>VLOOKUP($E$7,BASEPOE3,167,FALSE)</f>
        <v>0</v>
      </c>
      <c r="AK157" s="88">
        <f>VLOOKUP($E$7,BASEPOE3,168,FALSE)</f>
        <v>0</v>
      </c>
      <c r="AL157" s="88">
        <f>VLOOKUP($E$7,BASEPOE3,169,FALSE)</f>
        <v>0</v>
      </c>
      <c r="AM157" s="88" t="str">
        <f>VLOOKUP($E$7,BASEPOE3,170,FALSE)</f>
        <v>SI</v>
      </c>
      <c r="AN157" s="88" t="str">
        <f>VLOOKUP($E$7,BASEPOE3,171,FALSE)</f>
        <v>SI</v>
      </c>
      <c r="AO157" s="88">
        <f>VLOOKUP($E$7,BASEPOE3,172,FALSE)</f>
        <v>0</v>
      </c>
      <c r="AP157" s="88">
        <f>VLOOKUP($E$7,BASEPOE3,173,FALSE)</f>
        <v>0</v>
      </c>
      <c r="AQ157" s="88" t="str">
        <f>VLOOKUP($E$7,BASEPOE3,174,FALSE)</f>
        <v>SI</v>
      </c>
      <c r="AR157" s="88">
        <f>VLOOKUP($E$7,BASEPOE3,175,FALSE)</f>
        <v>0</v>
      </c>
      <c r="AS157" s="88" t="str">
        <f>VLOOKUP($E$7,BASEPOE3,176,FALSE)</f>
        <v>VACIS PORTAL</v>
      </c>
      <c r="AT157" s="88">
        <f>VLOOKUP($E$7,BASEPOE3,177,FALSE)</f>
        <v>0</v>
      </c>
    </row>
    <row r="158" spans="1:46" x14ac:dyDescent="0.3">
      <c r="A158" s="449"/>
      <c r="B158" s="34">
        <v>5</v>
      </c>
      <c r="C158" s="93" t="str">
        <f>VLOOKUP($E$7,BASEPOE3,178,FALSE)</f>
        <v xml:space="preserve">Chao Pedraza Carlos Alberto </v>
      </c>
      <c r="D158" s="90" t="str">
        <f>VLOOKUP($E$7,BASEPOE3,179,FALSE)</f>
        <v>Sin Registro</v>
      </c>
      <c r="E158" s="61">
        <f>VLOOKUP($E$7,BASEPOE3,180,FALSE)</f>
        <v>23129480</v>
      </c>
      <c r="F158" s="90">
        <f>VLOOKUP($E$7,BASEPOE3,181,FALSE)</f>
        <v>0</v>
      </c>
      <c r="G158" s="90">
        <f>VLOOKUP($E$7,BASEPOE3,182,FALSE)</f>
        <v>0</v>
      </c>
      <c r="H158" s="91">
        <f>VLOOKUP($E$7,BASEPOE3,183,FALSE)</f>
        <v>0</v>
      </c>
      <c r="I158" s="91">
        <f>VLOOKUP($E$7,BASEPOE3,184,FALSE)</f>
        <v>0</v>
      </c>
      <c r="J158" s="91">
        <f>VLOOKUP($E$7,BASEPOE3,185,FALSE)</f>
        <v>0</v>
      </c>
      <c r="K158" s="91">
        <f>VLOOKUP($E$7,BASEPOE3,186,FALSE)</f>
        <v>0</v>
      </c>
      <c r="L158" s="91">
        <f>VLOOKUP($E$7,BASEPOE3,187,FALSE)</f>
        <v>0</v>
      </c>
      <c r="M158" s="91">
        <f>VLOOKUP($E$7,BASEPOE3,188,FALSE)</f>
        <v>0</v>
      </c>
      <c r="N158" s="91">
        <f>VLOOKUP($E$7,BASEPOE3,189,FALSE)</f>
        <v>0</v>
      </c>
      <c r="O158" s="91">
        <f>VLOOKUP($E$7,BASEPOE3,190,FALSE)</f>
        <v>0</v>
      </c>
      <c r="P158" s="91">
        <f>VLOOKUP($E$7,BASEPOE3,191,FALSE)</f>
        <v>0</v>
      </c>
      <c r="Q158" s="91">
        <f>VLOOKUP($E$7,BASEPOE3,192,FALSE)</f>
        <v>0</v>
      </c>
      <c r="R158" s="91">
        <f>VLOOKUP($E$7,BASEPOE3,193,FALSE)</f>
        <v>0</v>
      </c>
      <c r="S158" s="91">
        <f>VLOOKUP($E$7,BASEPOE3,194,FALSE)</f>
        <v>0</v>
      </c>
      <c r="T158" s="91">
        <f>VLOOKUP($E$7,BASEPOE3,195,FALSE)</f>
        <v>0</v>
      </c>
      <c r="U158" s="91">
        <f>VLOOKUP($E$7,BASEPOE3,196,FALSE)</f>
        <v>0</v>
      </c>
      <c r="V158" s="91">
        <f>VLOOKUP($E$7,BASEPOE3,197,FALSE)</f>
        <v>0</v>
      </c>
      <c r="W158" s="91">
        <f>VLOOKUP($E$7,BASEPOE3,198,FALSE)</f>
        <v>0</v>
      </c>
      <c r="X158" s="91">
        <f>VLOOKUP($E$7,BASEPOE3,199,FALSE)</f>
        <v>0</v>
      </c>
      <c r="Y158" s="91">
        <f>VLOOKUP($E$7,BASEPOE3,200,FALSE)</f>
        <v>0</v>
      </c>
      <c r="Z158" s="91">
        <f>VLOOKUP($E$7,BASEPOE3,201,FALSE)</f>
        <v>0</v>
      </c>
      <c r="AA158" s="91">
        <f>VLOOKUP($E$7,BASEPOE3,202,FALSE)</f>
        <v>0</v>
      </c>
      <c r="AB158" s="91">
        <f>VLOOKUP($E$7,BASEPOE3,203,FALSE)</f>
        <v>0</v>
      </c>
      <c r="AC158" s="90">
        <f>VLOOKUP($E$7,BASEPOE3,204,FALSE)</f>
        <v>0</v>
      </c>
      <c r="AD158" s="90">
        <f>VLOOKUP($E$7,BASEPOE3,205,FALSE)</f>
        <v>0</v>
      </c>
      <c r="AE158" s="90">
        <f>VLOOKUP($E$7,BASEPOE3,206,FALSE)</f>
        <v>0</v>
      </c>
      <c r="AF158" s="90">
        <f>VLOOKUP($E$7,BASEPOE3,207,FALSE)</f>
        <v>0</v>
      </c>
      <c r="AG158" s="90">
        <f>VLOOKUP($E$7,BASEPOE3,208,FALSE)</f>
        <v>0</v>
      </c>
      <c r="AH158" s="90">
        <f>VLOOKUP($E$7,BASEPOE3,209,FALSE)</f>
        <v>0</v>
      </c>
      <c r="AI158" s="90">
        <f>VLOOKUP($E$7,BASEPOE3,210,FALSE)</f>
        <v>0</v>
      </c>
      <c r="AJ158" s="90">
        <f>VLOOKUP($E$7,BASEPOE3,211,FALSE)</f>
        <v>0</v>
      </c>
      <c r="AK158" s="90">
        <f>VLOOKUP($E$7,BASEPOE3,212,FALSE)</f>
        <v>0</v>
      </c>
      <c r="AL158" s="90">
        <f>VLOOKUP($E$7,BASEPOE3,213,FALSE)</f>
        <v>0</v>
      </c>
      <c r="AM158" s="90">
        <f>VLOOKUP($E$7,BASEPOE3,214,FALSE)</f>
        <v>0</v>
      </c>
      <c r="AN158" s="90">
        <f>VLOOKUP($E$7,BASEPOE3,215,FALSE)</f>
        <v>0</v>
      </c>
      <c r="AO158" s="90">
        <f>VLOOKUP($E$7,BASEPOE3,216,FALSE)</f>
        <v>0</v>
      </c>
      <c r="AP158" s="90">
        <f>VLOOKUP($E$7,BASEPOE3,217,FALSE)</f>
        <v>0</v>
      </c>
      <c r="AQ158" s="90">
        <f>VLOOKUP($E$7,BASEPOE3,218,FALSE)</f>
        <v>0</v>
      </c>
      <c r="AR158" s="90">
        <f>VLOOKUP($E$7,BASEPOE3,219,FALSE)</f>
        <v>0</v>
      </c>
      <c r="AS158" s="90">
        <f>VLOOKUP($E$7,BASEPOE3,220,FALSE)</f>
        <v>0</v>
      </c>
      <c r="AT158" s="90">
        <f>VLOOKUP($E$7,BASEPOE3,221,FALSE)</f>
        <v>0</v>
      </c>
    </row>
    <row r="159" spans="1:46" x14ac:dyDescent="0.3">
      <c r="A159" s="449"/>
      <c r="B159" s="60">
        <v>6</v>
      </c>
      <c r="C159" s="92" t="str">
        <f>VLOOKUP($E$7,BASEPOE3,222,FALSE)</f>
        <v>Cruz Hernandez Griselda</v>
      </c>
      <c r="D159" s="88" t="str">
        <f>VLOOKUP($E$7,BASEPOE3,223,FALSE)</f>
        <v>POE</v>
      </c>
      <c r="E159" s="62">
        <f>VLOOKUP($E$7,BASEPOE3,224,FALSE)</f>
        <v>23140083</v>
      </c>
      <c r="F159" s="88">
        <f>VLOOKUP($E$7,BASEPOE3,225,FALSE)</f>
        <v>0</v>
      </c>
      <c r="G159" s="88">
        <f>VLOOKUP($E$7,BASEPOE3,226,FALSE)</f>
        <v>0</v>
      </c>
      <c r="H159" s="89" t="str">
        <f>VLOOKUP($E$7,BASEPOE3,227,FALSE)</f>
        <v>26-ABR-23</v>
      </c>
      <c r="I159" s="89" t="str">
        <f>VLOOKUP($E$7,BASEPOE3,228,FALSE)</f>
        <v>VENCIDA</v>
      </c>
      <c r="J159" s="89" t="str">
        <f>VLOOKUP($E$7,BASEPOE3,229,FALSE)</f>
        <v>SI</v>
      </c>
      <c r="K159" s="89" t="str">
        <f>VLOOKUP($E$7,BASEPOE3,230,FALSE)</f>
        <v>VENCIDA</v>
      </c>
      <c r="L159" s="89" t="str">
        <f>VLOOKUP($E$7,BASEPOE3,231,FALSE)</f>
        <v>SI</v>
      </c>
      <c r="M159" s="89" t="str">
        <f>VLOOKUP($E$7,BASEPOE3,232,FALSE)</f>
        <v>VENCIDA</v>
      </c>
      <c r="N159" s="89" t="str">
        <f>VLOOKUP($E$7,BASEPOE3,233,FALSE)</f>
        <v>NO</v>
      </c>
      <c r="O159" s="89" t="str">
        <f>VLOOKUP($E$7,BASEPOE3,234,FALSE)</f>
        <v>Apendice ByC no llenos-c/historial aparte-falta firma RL</v>
      </c>
      <c r="P159" s="89" t="str">
        <f>VLOOKUP($E$7,BASEPOE3,235,FALSE)</f>
        <v>SI</v>
      </c>
      <c r="Q159" s="89">
        <f>VLOOKUP($E$7,BASEPOE3,236,FALSE)</f>
        <v>0</v>
      </c>
      <c r="R159" s="89" t="str">
        <f>VLOOKUP($E$7,BASEPOE3,237,FALSE)</f>
        <v>SI</v>
      </c>
      <c r="S159" s="89" t="str">
        <f>VLOOKUP($E$7,BASEPOE3,238,FALSE)</f>
        <v>SI</v>
      </c>
      <c r="T159" s="89" t="str">
        <f>VLOOKUP($E$7,BASEPOE3,239,FALSE)</f>
        <v>SI</v>
      </c>
      <c r="U159" s="89" t="str">
        <f>VLOOKUP($E$7,BASEPOE3,240,FALSE)</f>
        <v>SI</v>
      </c>
      <c r="V159" s="89" t="str">
        <f>VLOOKUP($E$7,BASEPOE3,241,FALSE)</f>
        <v>NO</v>
      </c>
      <c r="W159" s="89" t="str">
        <f>VLOOKUP($E$7,BASEPOE3,242,FALSE)</f>
        <v>SI</v>
      </c>
      <c r="X159" s="89">
        <f>VLOOKUP($E$7,BASEPOE3,243,FALSE)</f>
        <v>0</v>
      </c>
      <c r="Y159" s="89">
        <f>VLOOKUP($E$7,BASEPOE3,244,FALSE)</f>
        <v>0</v>
      </c>
      <c r="Z159" s="89">
        <f>VLOOKUP($E$7,BASEPOE3,245,FALSE)</f>
        <v>0</v>
      </c>
      <c r="AA159" s="89" t="str">
        <f>VLOOKUP($E$7,BASEPOE3,246,FALSE)</f>
        <v>SI</v>
      </c>
      <c r="AB159" s="89">
        <f>VLOOKUP($E$7,BASEPOE3,247,FALSE)</f>
        <v>0</v>
      </c>
      <c r="AC159" s="88">
        <f>VLOOKUP($E$7,BASEPOE3,248,FALSE)</f>
        <v>0</v>
      </c>
      <c r="AD159" s="88">
        <f>VLOOKUP($E$7,BASEPOE3,249,FALSE)</f>
        <v>0</v>
      </c>
      <c r="AE159" s="88">
        <f>VLOOKUP($E$7,BASEPOE3,250,FALSE)</f>
        <v>0</v>
      </c>
      <c r="AF159" s="88">
        <f>VLOOKUP($E$7,BASEPOE3,251,FALSE)</f>
        <v>0</v>
      </c>
      <c r="AG159" s="88">
        <f>VLOOKUP($E$7,BASEPOE3,252,FALSE)</f>
        <v>0</v>
      </c>
      <c r="AH159" s="88">
        <f>VLOOKUP($E$7,BASEPOE3,253,FALSE)</f>
        <v>0</v>
      </c>
      <c r="AI159" s="88">
        <f>VLOOKUP($E$7,BASEPOE3,254,FALSE)</f>
        <v>0</v>
      </c>
      <c r="AJ159" s="88">
        <f>VLOOKUP($E$7,BASEPOE3,255,FALSE)</f>
        <v>0</v>
      </c>
      <c r="AK159" s="88">
        <f>VLOOKUP($E$7,BASEPOE3,256,FALSE)</f>
        <v>0</v>
      </c>
      <c r="AL159" s="88">
        <f>VLOOKUP($E$7,BASEPOE3,257,FALSE)</f>
        <v>0</v>
      </c>
      <c r="AM159" s="88" t="str">
        <f>VLOOKUP($E$7,BASEPOE3,258,FALSE)</f>
        <v>SI</v>
      </c>
      <c r="AN159" s="88" t="str">
        <f>VLOOKUP($E$7,BASEPOE3,259,FALSE)</f>
        <v>SI</v>
      </c>
      <c r="AO159" s="88">
        <f>VLOOKUP($E$7,BASEPOE3,260,FALSE)</f>
        <v>0</v>
      </c>
      <c r="AP159" s="88">
        <f>VLOOKUP($E$7,BASEPOE3,261,FALSE)</f>
        <v>0</v>
      </c>
      <c r="AQ159" s="88">
        <f>VLOOKUP($E$7,BASEPOE3,262,FALSE)</f>
        <v>0</v>
      </c>
      <c r="AR159" s="88">
        <f>VLOOKUP($E$7,BASEPOE3,263,FALSE)</f>
        <v>0</v>
      </c>
      <c r="AS159" s="88" t="str">
        <f>VLOOKUP($E$7,BASEPOE3,264,FALSE)</f>
        <v>VACIS PORTAL</v>
      </c>
      <c r="AT159" s="88">
        <f>VLOOKUP($E$7,BASEPOE3,265,FALSE)</f>
        <v>0</v>
      </c>
    </row>
    <row r="160" spans="1:46" x14ac:dyDescent="0.3">
      <c r="A160" s="449"/>
      <c r="B160" s="34">
        <v>7</v>
      </c>
      <c r="C160" s="93" t="str">
        <f>VLOOKUP($E$7,BASEPOE3,266,FALSE)</f>
        <v>Diaz Rodriguez Sergio</v>
      </c>
      <c r="D160" s="90" t="str">
        <f>VLOOKUP($E$7,BASEPOE3,267,FALSE)</f>
        <v>POE</v>
      </c>
      <c r="E160" s="61">
        <f>VLOOKUP($E$7,BASEPOE3,268,FALSE)</f>
        <v>23133842</v>
      </c>
      <c r="F160" s="90">
        <f>VLOOKUP($E$7,BASEPOE3,269,FALSE)</f>
        <v>0</v>
      </c>
      <c r="G160" s="90">
        <f>VLOOKUP($E$7,BASEPOE3,270,FALSE)</f>
        <v>0</v>
      </c>
      <c r="H160" s="91" t="str">
        <f>VLOOKUP($E$7,BASEPOE3,271,FALSE)</f>
        <v>25-ABR-23</v>
      </c>
      <c r="I160" s="91" t="str">
        <f>VLOOKUP($E$7,BASEPOE3,272,FALSE)</f>
        <v>VENCIDA</v>
      </c>
      <c r="J160" s="91" t="str">
        <f>VLOOKUP($E$7,BASEPOE3,273,FALSE)</f>
        <v>SI</v>
      </c>
      <c r="K160" s="91" t="str">
        <f>VLOOKUP($E$7,BASEPOE3,274,FALSE)</f>
        <v>VENCIDA</v>
      </c>
      <c r="L160" s="91" t="str">
        <f>VLOOKUP($E$7,BASEPOE3,275,FALSE)</f>
        <v>SI</v>
      </c>
      <c r="M160" s="91" t="str">
        <f>VLOOKUP($E$7,BASEPOE3,276,FALSE)</f>
        <v>VENCIDA</v>
      </c>
      <c r="N160" s="91" t="str">
        <f>VLOOKUP($E$7,BASEPOE3,277,FALSE)</f>
        <v>NO</v>
      </c>
      <c r="O160" s="91" t="str">
        <f>VLOOKUP($E$7,BASEPOE3,278,FALSE)</f>
        <v>Apendice ByC no llenos-c/historial aparte-falta firma RL</v>
      </c>
      <c r="P160" s="91">
        <f>VLOOKUP($E$7,BASEPOE3,279,FALSE)</f>
        <v>0</v>
      </c>
      <c r="Q160" s="91" t="str">
        <f>VLOOKUP($E$7,BASEPOE3,280,FALSE)</f>
        <v>SI</v>
      </c>
      <c r="R160" s="91" t="str">
        <f>VLOOKUP($E$7,BASEPOE3,281,FALSE)</f>
        <v>SI</v>
      </c>
      <c r="S160" s="91" t="str">
        <f>VLOOKUP($E$7,BASEPOE3,282,FALSE)</f>
        <v>SI</v>
      </c>
      <c r="T160" s="91" t="str">
        <f>VLOOKUP($E$7,BASEPOE3,283,FALSE)</f>
        <v>SI</v>
      </c>
      <c r="U160" s="91" t="str">
        <f>VLOOKUP($E$7,BASEPOE3,284,FALSE)</f>
        <v>SI</v>
      </c>
      <c r="V160" s="91" t="str">
        <f>VLOOKUP($E$7,BASEPOE3,285,FALSE)</f>
        <v>NO</v>
      </c>
      <c r="W160" s="91" t="str">
        <f>VLOOKUP($E$7,BASEPOE3,286,FALSE)</f>
        <v>SI</v>
      </c>
      <c r="X160" s="91">
        <f>VLOOKUP($E$7,BASEPOE3,287,FALSE)</f>
        <v>0</v>
      </c>
      <c r="Y160" s="91">
        <f>VLOOKUP($E$7,BASEPOE3,288,FALSE)</f>
        <v>0</v>
      </c>
      <c r="Z160" s="91">
        <f>VLOOKUP($E$7,BASEPOE3,289,FALSE)</f>
        <v>0</v>
      </c>
      <c r="AA160" s="91">
        <f>VLOOKUP($E$7,BASEPOE3,290,FALSE)</f>
        <v>0</v>
      </c>
      <c r="AB160" s="91">
        <f>VLOOKUP($E$7,BASEPOE3,291,FALSE)</f>
        <v>0</v>
      </c>
      <c r="AC160" s="90">
        <f>VLOOKUP($E$7,BASEPOE3,292,FALSE)</f>
        <v>0</v>
      </c>
      <c r="AD160" s="90">
        <f>VLOOKUP($E$7,BASEPOE3,293,FALSE)</f>
        <v>0</v>
      </c>
      <c r="AE160" s="90">
        <f>VLOOKUP($E$7,BASEPOE3,294,FALSE)</f>
        <v>0</v>
      </c>
      <c r="AF160" s="90">
        <f>VLOOKUP($E$7,BASEPOE3,295,FALSE)</f>
        <v>0</v>
      </c>
      <c r="AG160" s="90">
        <f>VLOOKUP($E$7,BASEPOE3,296,FALSE)</f>
        <v>0</v>
      </c>
      <c r="AH160" s="90">
        <f>VLOOKUP($E$7,BASEPOE3,297,FALSE)</f>
        <v>0</v>
      </c>
      <c r="AI160" s="90">
        <f>VLOOKUP($E$7,BASEPOE3,298,FALSE)</f>
        <v>0</v>
      </c>
      <c r="AJ160" s="90">
        <f>VLOOKUP($E$7,BASEPOE3,299,FALSE)</f>
        <v>0</v>
      </c>
      <c r="AK160" s="90">
        <f>VLOOKUP($E$7,BASEPOE3,300,FALSE)</f>
        <v>0</v>
      </c>
      <c r="AL160" s="90">
        <f>VLOOKUP($E$7,BASEPOE3,301,FALSE)</f>
        <v>0</v>
      </c>
      <c r="AM160" s="90">
        <f>VLOOKUP($E$7,BASEPOE3,302,FALSE)</f>
        <v>0</v>
      </c>
      <c r="AN160" s="90">
        <f>VLOOKUP($E$7,BASEPOE3,303,FALSE)</f>
        <v>0</v>
      </c>
      <c r="AO160" s="90">
        <f>VLOOKUP($E$7,BASEPOE3,304,FALSE)</f>
        <v>0</v>
      </c>
      <c r="AP160" s="90">
        <f>VLOOKUP($E$7,BASEPOE3,305,FALSE)</f>
        <v>0</v>
      </c>
      <c r="AQ160" s="90" t="str">
        <f>VLOOKUP($E$7,BASEPOE3,306,FALSE)</f>
        <v>SI</v>
      </c>
      <c r="AR160" s="90">
        <f>VLOOKUP($E$7,BASEPOE3,307,FALSE)</f>
        <v>0</v>
      </c>
      <c r="AS160" s="90">
        <f>VLOOKUP($E$7,BASEPOE3,308,FALSE)</f>
        <v>0</v>
      </c>
      <c r="AT160" s="90">
        <f>VLOOKUP($E$7,BASEPOE3,309,FALSE)</f>
        <v>0</v>
      </c>
    </row>
    <row r="161" spans="1:46" x14ac:dyDescent="0.3">
      <c r="A161" s="449"/>
      <c r="B161" s="60">
        <v>8</v>
      </c>
      <c r="C161" s="92" t="str">
        <f>VLOOKUP($E$7,BASEPOE3,310,FALSE)</f>
        <v xml:space="preserve">Fernando Nino David </v>
      </c>
      <c r="D161" s="88" t="str">
        <f>VLOOKUP($E$7,BASEPOE3,311,FALSE)</f>
        <v>Sin Registro</v>
      </c>
      <c r="E161" s="62">
        <f>VLOOKUP($E$7,BASEPOE3,312,FALSE)</f>
        <v>23145221</v>
      </c>
      <c r="F161" s="88">
        <f>VLOOKUP($E$7,BASEPOE3,313,FALSE)</f>
        <v>0</v>
      </c>
      <c r="G161" s="88">
        <f>VLOOKUP($E$7,BASEPOE3,314,FALSE)</f>
        <v>0</v>
      </c>
      <c r="H161" s="89">
        <f>VLOOKUP($E$7,BASEPOE3,315,FALSE)</f>
        <v>0</v>
      </c>
      <c r="I161" s="89">
        <f>VLOOKUP($E$7,BASEPOE3,316,FALSE)</f>
        <v>0</v>
      </c>
      <c r="J161" s="89">
        <f>VLOOKUP($E$7,BASEPOE3,317,FALSE)</f>
        <v>0</v>
      </c>
      <c r="K161" s="89">
        <f>VLOOKUP($E$7,BASEPOE3,318,FALSE)</f>
        <v>0</v>
      </c>
      <c r="L161" s="89">
        <f>VLOOKUP($E$7,BASEPOE3,319,FALSE)</f>
        <v>0</v>
      </c>
      <c r="M161" s="89">
        <f>VLOOKUP($E$7,BASEPOE3,320,FALSE)</f>
        <v>0</v>
      </c>
      <c r="N161" s="89">
        <f>VLOOKUP($E$7,BASEPOE3,321,FALSE)</f>
        <v>0</v>
      </c>
      <c r="O161" s="89">
        <f>VLOOKUP($E$7,BASEPOE3,322,FALSE)</f>
        <v>0</v>
      </c>
      <c r="P161" s="89">
        <f>VLOOKUP($E$7,BASEPOE3,323,FALSE)</f>
        <v>0</v>
      </c>
      <c r="Q161" s="89">
        <f>VLOOKUP($E$7,BASEPOE3,324,FALSE)</f>
        <v>0</v>
      </c>
      <c r="R161" s="89">
        <f>VLOOKUP($E$7,BASEPOE3,325,FALSE)</f>
        <v>0</v>
      </c>
      <c r="S161" s="89">
        <f>VLOOKUP($E$7,BASEPOE3,326,FALSE)</f>
        <v>0</v>
      </c>
      <c r="T161" s="89">
        <f>VLOOKUP($E$7,BASEPOE3,327,FALSE)</f>
        <v>0</v>
      </c>
      <c r="U161" s="89">
        <f>VLOOKUP($E$7,BASEPOE3,328,FALSE)</f>
        <v>0</v>
      </c>
      <c r="V161" s="89">
        <f>VLOOKUP($E$7,BASEPOE3,329,FALSE)</f>
        <v>0</v>
      </c>
      <c r="W161" s="89">
        <f>VLOOKUP($E$7,BASEPOE3,330,FALSE)</f>
        <v>0</v>
      </c>
      <c r="X161" s="89">
        <f>VLOOKUP($E$7,BASEPOE3,331,FALSE)</f>
        <v>0</v>
      </c>
      <c r="Y161" s="89">
        <f>VLOOKUP($E$7,BASEPOE3,332,FALSE)</f>
        <v>0</v>
      </c>
      <c r="Z161" s="89">
        <f>VLOOKUP($E$7,BASEPOE3,333,FALSE)</f>
        <v>0</v>
      </c>
      <c r="AA161" s="89">
        <f>VLOOKUP($E$7,BASEPOE3,334,FALSE)</f>
        <v>0</v>
      </c>
      <c r="AB161" s="89">
        <f>VLOOKUP($E$7,BASEPOE3,335,FALSE)</f>
        <v>0</v>
      </c>
      <c r="AC161" s="88">
        <f>VLOOKUP($E$7,BASEPOE3,336,FALSE)</f>
        <v>0</v>
      </c>
      <c r="AD161" s="88">
        <f>VLOOKUP($E$7,BASEPOE3,337,FALSE)</f>
        <v>0</v>
      </c>
      <c r="AE161" s="88">
        <f>VLOOKUP($E$7,BASEPOE3,338,FALSE)</f>
        <v>0</v>
      </c>
      <c r="AF161" s="88">
        <f>VLOOKUP($E$7,BASEPOE3,339,FALSE)</f>
        <v>0</v>
      </c>
      <c r="AG161" s="88">
        <f>VLOOKUP($E$7,BASEPOE3,340,FALSE)</f>
        <v>0</v>
      </c>
      <c r="AH161" s="88">
        <f>VLOOKUP($E$7,BASEPOE3,341,FALSE)</f>
        <v>0</v>
      </c>
      <c r="AI161" s="88">
        <f>VLOOKUP($E$7,BASEPOE3,342,FALSE)</f>
        <v>0</v>
      </c>
      <c r="AJ161" s="88">
        <f>VLOOKUP($E$7,BASEPOE3,343,FALSE)</f>
        <v>0</v>
      </c>
      <c r="AK161" s="88">
        <f>VLOOKUP($E$7,BASEPOE3,344,FALSE)</f>
        <v>0</v>
      </c>
      <c r="AL161" s="88">
        <f>VLOOKUP($E$7,BASEPOE3,345,FALSE)</f>
        <v>0</v>
      </c>
      <c r="AM161" s="88">
        <f>VLOOKUP($E$7,BASEPOE3,346,FALSE)</f>
        <v>0</v>
      </c>
      <c r="AN161" s="88">
        <f>VLOOKUP($E$7,BASEPOE3,347,FALSE)</f>
        <v>0</v>
      </c>
      <c r="AO161" s="88">
        <f>VLOOKUP($E$7,BASEPOE3,348,FALSE)</f>
        <v>0</v>
      </c>
      <c r="AP161" s="88">
        <f>VLOOKUP($E$7,BASEPOE3,349,FALSE)</f>
        <v>0</v>
      </c>
      <c r="AQ161" s="88">
        <f>VLOOKUP($E$7,BASEPOE3,350,FALSE)</f>
        <v>0</v>
      </c>
      <c r="AR161" s="88">
        <f>VLOOKUP($E$7,BASEPOE3,351,FALSE)</f>
        <v>0</v>
      </c>
      <c r="AS161" s="88">
        <f>VLOOKUP($E$7,BASEPOE3,352,FALSE)</f>
        <v>0</v>
      </c>
      <c r="AT161" s="88">
        <f>VLOOKUP($E$7,BASEPOE3,353,FALSE)</f>
        <v>0</v>
      </c>
    </row>
    <row r="162" spans="1:46" x14ac:dyDescent="0.3">
      <c r="A162" s="449"/>
      <c r="B162" s="34">
        <v>9</v>
      </c>
      <c r="C162" s="93" t="str">
        <f>VLOOKUP($E$7,BASEPOE3,354,FALSE)</f>
        <v>Flores Rodriguez Mayra</v>
      </c>
      <c r="D162" s="90" t="str">
        <f>VLOOKUP($E$7,BASEPOE3,355,FALSE)</f>
        <v>POE</v>
      </c>
      <c r="E162" s="61">
        <f>VLOOKUP($E$7,BASEPOE3,356,FALSE)</f>
        <v>23137029</v>
      </c>
      <c r="F162" s="90">
        <f>VLOOKUP($E$7,BASEPOE3,357,FALSE)</f>
        <v>0</v>
      </c>
      <c r="G162" s="90">
        <f>VLOOKUP($E$7,BASEPOE3,358,FALSE)</f>
        <v>0</v>
      </c>
      <c r="H162" s="91">
        <f>VLOOKUP($E$7,BASEPOE3,359,FALSE)</f>
        <v>45474</v>
      </c>
      <c r="I162" s="91">
        <f>VLOOKUP($E$7,BASEPOE3,360,FALSE)</f>
        <v>45839</v>
      </c>
      <c r="J162" s="91" t="str">
        <f>VLOOKUP($E$7,BASEPOE3,361,FALSE)</f>
        <v>SI</v>
      </c>
      <c r="K162" s="91" t="str">
        <f>VLOOKUP($E$7,BASEPOE3,362,FALSE)</f>
        <v>Vigente</v>
      </c>
      <c r="L162" s="91" t="str">
        <f>VLOOKUP($E$7,BASEPOE3,363,FALSE)</f>
        <v>SI</v>
      </c>
      <c r="M162" s="91" t="str">
        <f>VLOOKUP($E$7,BASEPOE3,364,FALSE)</f>
        <v>Vigente</v>
      </c>
      <c r="N162" s="91" t="str">
        <f>VLOOKUP($E$7,BASEPOE3,365,FALSE)</f>
        <v>NO</v>
      </c>
      <c r="O162" s="91" t="str">
        <f>VLOOKUP($E$7,BASEPOE3,366,FALSE)</f>
        <v>Apendice ByC no llenos-c/historial aparte-falta firma RL</v>
      </c>
      <c r="P162" s="91" t="str">
        <f>VLOOKUP($E$7,BASEPOE3,367,FALSE)</f>
        <v>CARTA PASANTE</v>
      </c>
      <c r="Q162" s="91">
        <f>VLOOKUP($E$7,BASEPOE3,368,FALSE)</f>
        <v>0</v>
      </c>
      <c r="R162" s="91" t="str">
        <f>VLOOKUP($E$7,BASEPOE3,369,FALSE)</f>
        <v>SI</v>
      </c>
      <c r="S162" s="91" t="str">
        <f>VLOOKUP($E$7,BASEPOE3,370,FALSE)</f>
        <v>SI</v>
      </c>
      <c r="T162" s="91" t="str">
        <f>VLOOKUP($E$7,BASEPOE3,371,FALSE)</f>
        <v>SI</v>
      </c>
      <c r="U162" s="91" t="str">
        <f>VLOOKUP($E$7,BASEPOE3,372,FALSE)</f>
        <v>SI</v>
      </c>
      <c r="V162" s="91" t="str">
        <f>VLOOKUP($E$7,BASEPOE3,373,FALSE)</f>
        <v>SI</v>
      </c>
      <c r="W162" s="91" t="str">
        <f>VLOOKUP($E$7,BASEPOE3,374,FALSE)</f>
        <v>SI</v>
      </c>
      <c r="X162" s="91">
        <f>VLOOKUP($E$7,BASEPOE3,375,FALSE)</f>
        <v>0</v>
      </c>
      <c r="Y162" s="91">
        <f>VLOOKUP($E$7,BASEPOE3,376,FALSE)</f>
        <v>0</v>
      </c>
      <c r="Z162" s="91">
        <f>VLOOKUP($E$7,BASEPOE3,377,FALSE)</f>
        <v>0</v>
      </c>
      <c r="AA162" s="91">
        <f>VLOOKUP($E$7,BASEPOE3,378,FALSE)</f>
        <v>0</v>
      </c>
      <c r="AB162" s="91">
        <f>VLOOKUP($E$7,BASEPOE3,379,FALSE)</f>
        <v>0</v>
      </c>
      <c r="AC162" s="90">
        <f>VLOOKUP($E$7,BASEPOE3,380,FALSE)</f>
        <v>0</v>
      </c>
      <c r="AD162" s="90">
        <f>VLOOKUP($E$7,BASEPOE3,381,FALSE)</f>
        <v>0</v>
      </c>
      <c r="AE162" s="90">
        <f>VLOOKUP($E$7,BASEPOE3,382,FALSE)</f>
        <v>0</v>
      </c>
      <c r="AF162" s="90">
        <f>VLOOKUP($E$7,BASEPOE3,383,FALSE)</f>
        <v>0</v>
      </c>
      <c r="AG162" s="90">
        <f>VLOOKUP($E$7,BASEPOE3,384,FALSE)</f>
        <v>0</v>
      </c>
      <c r="AH162" s="90">
        <f>VLOOKUP($E$7,BASEPOE3,385,FALSE)</f>
        <v>0</v>
      </c>
      <c r="AI162" s="90">
        <f>VLOOKUP($E$7,BASEPOE3,386,FALSE)</f>
        <v>0</v>
      </c>
      <c r="AJ162" s="90">
        <f>VLOOKUP($E$7,BASEPOE3,387,FALSE)</f>
        <v>0</v>
      </c>
      <c r="AK162" s="90">
        <f>VLOOKUP($E$7,BASEPOE3,388,FALSE)</f>
        <v>0</v>
      </c>
      <c r="AL162" s="90">
        <f>VLOOKUP($E$7,BASEPOE3,389,FALSE)</f>
        <v>0</v>
      </c>
      <c r="AM162" s="90" t="str">
        <f>VLOOKUP($E$7,BASEPOE3,390,FALSE)</f>
        <v>SI</v>
      </c>
      <c r="AN162" s="90" t="str">
        <f>VLOOKUP($E$7,BASEPOE3,391,FALSE)</f>
        <v>SI</v>
      </c>
      <c r="AO162" s="90">
        <f>VLOOKUP($E$7,BASEPOE3,392,FALSE)</f>
        <v>0</v>
      </c>
      <c r="AP162" s="90">
        <f>VLOOKUP($E$7,BASEPOE3,393,FALSE)</f>
        <v>0</v>
      </c>
      <c r="AQ162" s="90">
        <f>VLOOKUP($E$7,BASEPOE3,394,FALSE)</f>
        <v>0</v>
      </c>
      <c r="AR162" s="90">
        <f>VLOOKUP($E$7,BASEPOE3,395,FALSE)</f>
        <v>0</v>
      </c>
      <c r="AS162" s="90" t="str">
        <f>VLOOKUP($E$7,BASEPOE3,396,FALSE)</f>
        <v>THSCAN</v>
      </c>
      <c r="AT162" s="90">
        <f>VLOOKUP($E$7,BASEPOE3,397,FALSE)</f>
        <v>0</v>
      </c>
    </row>
    <row r="163" spans="1:46" x14ac:dyDescent="0.3">
      <c r="A163" s="449"/>
      <c r="B163" s="60">
        <v>10</v>
      </c>
      <c r="C163" s="92" t="str">
        <f>VLOOKUP($E$7,BASEPOE3,398,FALSE)</f>
        <v>Gallegos Lazaro Estephania Yulieth</v>
      </c>
      <c r="D163" s="88" t="str">
        <f>VLOOKUP($E$7,BASEPOE3,399,FALSE)</f>
        <v>POE</v>
      </c>
      <c r="E163" s="62">
        <f>VLOOKUP($E$7,BASEPOE3,400,FALSE)</f>
        <v>23169335</v>
      </c>
      <c r="F163" s="88">
        <f>VLOOKUP($E$7,BASEPOE3,401,FALSE)</f>
        <v>0</v>
      </c>
      <c r="G163" s="88">
        <f>VLOOKUP($E$7,BASEPOE3,94,FALSE)</f>
        <v>0</v>
      </c>
      <c r="H163" s="89">
        <f t="shared" ref="H163:Z163" si="4">VLOOKUP($E$7,BASEPOE3,99,FALSE)</f>
        <v>0</v>
      </c>
      <c r="I163" s="89">
        <f t="shared" si="4"/>
        <v>0</v>
      </c>
      <c r="J163" s="89">
        <f t="shared" si="4"/>
        <v>0</v>
      </c>
      <c r="K163" s="89">
        <f t="shared" si="4"/>
        <v>0</v>
      </c>
      <c r="L163" s="89">
        <f t="shared" si="4"/>
        <v>0</v>
      </c>
      <c r="M163" s="89">
        <f t="shared" si="4"/>
        <v>0</v>
      </c>
      <c r="N163" s="89">
        <f t="shared" si="4"/>
        <v>0</v>
      </c>
      <c r="O163" s="89">
        <f t="shared" si="4"/>
        <v>0</v>
      </c>
      <c r="P163" s="89">
        <f t="shared" si="4"/>
        <v>0</v>
      </c>
      <c r="Q163" s="89">
        <f t="shared" si="4"/>
        <v>0</v>
      </c>
      <c r="R163" s="89">
        <f t="shared" si="4"/>
        <v>0</v>
      </c>
      <c r="S163" s="89">
        <f t="shared" si="4"/>
        <v>0</v>
      </c>
      <c r="T163" s="89">
        <f t="shared" si="4"/>
        <v>0</v>
      </c>
      <c r="U163" s="89">
        <f t="shared" si="4"/>
        <v>0</v>
      </c>
      <c r="V163" s="89">
        <f t="shared" si="4"/>
        <v>0</v>
      </c>
      <c r="W163" s="89">
        <f t="shared" si="4"/>
        <v>0</v>
      </c>
      <c r="X163" s="89">
        <f t="shared" si="4"/>
        <v>0</v>
      </c>
      <c r="Y163" s="89">
        <f t="shared" si="4"/>
        <v>0</v>
      </c>
      <c r="Z163" s="89">
        <f t="shared" si="4"/>
        <v>0</v>
      </c>
      <c r="AA163" s="89">
        <f>VLOOKUP($E$7,BASEPOE3,100,FALSE)</f>
        <v>0</v>
      </c>
      <c r="AB163" s="89">
        <f>VLOOKUP($E$7,BASEPOE3,101,FALSE)</f>
        <v>0</v>
      </c>
      <c r="AC163" s="88">
        <f>VLOOKUP($E$7,BASEPOE3,102,FALSE)</f>
        <v>0</v>
      </c>
      <c r="AD163" s="88"/>
      <c r="AE163" s="88"/>
      <c r="AF163" s="88">
        <f t="shared" ref="AF163:AT163" si="5">VLOOKUP($E$7,BASEPOE3,102,FALSE)</f>
        <v>0</v>
      </c>
      <c r="AG163" s="88">
        <f t="shared" si="5"/>
        <v>0</v>
      </c>
      <c r="AH163" s="88">
        <f t="shared" si="5"/>
        <v>0</v>
      </c>
      <c r="AI163" s="88">
        <f t="shared" si="5"/>
        <v>0</v>
      </c>
      <c r="AJ163" s="88">
        <f t="shared" si="5"/>
        <v>0</v>
      </c>
      <c r="AK163" s="88">
        <f t="shared" si="5"/>
        <v>0</v>
      </c>
      <c r="AL163" s="88">
        <f t="shared" si="5"/>
        <v>0</v>
      </c>
      <c r="AM163" s="88">
        <f t="shared" si="5"/>
        <v>0</v>
      </c>
      <c r="AN163" s="88">
        <f t="shared" si="5"/>
        <v>0</v>
      </c>
      <c r="AO163" s="88">
        <f t="shared" si="5"/>
        <v>0</v>
      </c>
      <c r="AP163" s="88">
        <f t="shared" si="5"/>
        <v>0</v>
      </c>
      <c r="AQ163" s="88">
        <f t="shared" si="5"/>
        <v>0</v>
      </c>
      <c r="AR163" s="88">
        <f t="shared" si="5"/>
        <v>0</v>
      </c>
      <c r="AS163" s="88">
        <f t="shared" si="5"/>
        <v>0</v>
      </c>
      <c r="AT163" s="88">
        <f t="shared" si="5"/>
        <v>0</v>
      </c>
    </row>
    <row r="164" spans="1:46" x14ac:dyDescent="0.3">
      <c r="A164" s="449"/>
      <c r="B164" s="34">
        <v>11</v>
      </c>
      <c r="C164" s="93" t="str">
        <f>VLOOKUP($E$7,BASEPOE3,442,FALSE)</f>
        <v>Gomez Trejo David Abraham</v>
      </c>
      <c r="D164" s="90" t="str">
        <f>VLOOKUP($E$7,BASEPOE3,443,FALSE)</f>
        <v>ESR</v>
      </c>
      <c r="E164" s="61">
        <f>VLOOKUP($E$7,BASEPOE3,444,FALSE)</f>
        <v>23165489</v>
      </c>
      <c r="F164" s="90">
        <f>VLOOKUP($E$7,BASEPOE3,445,FALSE)</f>
        <v>0</v>
      </c>
      <c r="G164" s="90">
        <f>VLOOKUP($E$7,BASEPOE3,446,FALSE)</f>
        <v>0</v>
      </c>
      <c r="H164" s="91">
        <f>VLOOKUP($E$7,BASEPOE3,447,FALSE)</f>
        <v>45408</v>
      </c>
      <c r="I164" s="91" t="str">
        <f>VLOOKUP($E$7,BASEPOE3,448,FALSE)</f>
        <v>VENCIDA</v>
      </c>
      <c r="J164" s="91" t="str">
        <f>VLOOKUP($E$7,BASEPOE3,449,FALSE)</f>
        <v>SI</v>
      </c>
      <c r="K164" s="91" t="str">
        <f>VLOOKUP($E$7,BASEPOE3,450,FALSE)</f>
        <v>Vencida</v>
      </c>
      <c r="L164" s="91" t="str">
        <f>VLOOKUP($E$7,BASEPOE3,451,FALSE)</f>
        <v>SI</v>
      </c>
      <c r="M164" s="91" t="str">
        <f>VLOOKUP($E$7,BASEPOE3,452,FALSE)</f>
        <v>Vencida</v>
      </c>
      <c r="N164" s="91" t="str">
        <f>VLOOKUP($E$7,BASEPOE3,453,FALSE)</f>
        <v>NO</v>
      </c>
      <c r="O164" s="91" t="str">
        <f>VLOOKUP($E$7,BASEPOE3,454,FALSE)</f>
        <v>Apendice ByC no llenos-c/historial aparte-falta firma RL</v>
      </c>
      <c r="P164" s="91">
        <f>VLOOKUP($E$7,BASEPOE3,455,FALSE)</f>
        <v>0</v>
      </c>
      <c r="Q164" s="91" t="str">
        <f>VLOOKUP($E$7,BASEPOE3,456,FALSE)</f>
        <v>SI</v>
      </c>
      <c r="R164" s="91" t="str">
        <f>VLOOKUP($E$7,BASEPOE3,457,FALSE)</f>
        <v>SI</v>
      </c>
      <c r="S164" s="91" t="str">
        <f>VLOOKUP($E$7,BASEPOE3,458,FALSE)</f>
        <v>SI</v>
      </c>
      <c r="T164" s="91" t="str">
        <f>VLOOKUP($E$7,BASEPOE3,459,FALSE)</f>
        <v>SI</v>
      </c>
      <c r="U164" s="91" t="str">
        <f>VLOOKUP($E$7,BASEPOE3,460,FALSE)</f>
        <v>SI</v>
      </c>
      <c r="V164" s="91" t="str">
        <f>VLOOKUP($E$7,BASEPOE3,461,FALSE)</f>
        <v>SI</v>
      </c>
      <c r="W164" s="91">
        <f>VLOOKUP($E$7,BASEPOE3,462,FALSE)</f>
        <v>0</v>
      </c>
      <c r="X164" s="91" t="str">
        <f>VLOOKUP($E$7,BASEPOE3,463,FALSE)</f>
        <v>Si</v>
      </c>
      <c r="Y164" s="91">
        <f>VLOOKUP($E$7,BASEPOE3,464,FALSE)</f>
        <v>0</v>
      </c>
      <c r="Z164" s="91">
        <f>VLOOKUP($E$7,BASEPOE3,465,FALSE)</f>
        <v>0</v>
      </c>
      <c r="AA164" s="91" t="str">
        <f>VLOOKUP($E$7,BASEPOE3,466,FALSE)</f>
        <v>SI</v>
      </c>
      <c r="AB164" s="91">
        <f>VLOOKUP($E$7,BASEPOE3,467,FALSE)</f>
        <v>0</v>
      </c>
      <c r="AC164" s="90">
        <f>VLOOKUP($E$7,BASEPOE3,468,FALSE)</f>
        <v>0</v>
      </c>
      <c r="AD164" s="90">
        <f>VLOOKUP($E$7,BASEPOE3,469,FALSE)</f>
        <v>0</v>
      </c>
      <c r="AE164" s="90">
        <f>VLOOKUP($E$7,BASEPOE3,470,FALSE)</f>
        <v>0</v>
      </c>
      <c r="AF164" s="90">
        <f>VLOOKUP($E$7,BASEPOE3,471,FALSE)</f>
        <v>0</v>
      </c>
      <c r="AG164" s="90">
        <f>VLOOKUP($E$7,BASEPOE3,472,FALSE)</f>
        <v>0</v>
      </c>
      <c r="AH164" s="90">
        <f>VLOOKUP($E$7,BASEPOE3,473,FALSE)</f>
        <v>0</v>
      </c>
      <c r="AI164" s="90">
        <f>VLOOKUP($E$7,BASEPOE3,474,FALSE)</f>
        <v>0</v>
      </c>
      <c r="AJ164" s="90">
        <f>VLOOKUP($E$7,BASEPOE3,475,FALSE)</f>
        <v>0</v>
      </c>
      <c r="AK164" s="90">
        <f>VLOOKUP($E$7,BASEPOE3,476,FALSE)</f>
        <v>0</v>
      </c>
      <c r="AL164" s="90">
        <f>VLOOKUP($E$7,BASEPOE3,477,FALSE)</f>
        <v>0</v>
      </c>
      <c r="AM164" s="90">
        <f>VLOOKUP($E$7,BASEPOE3,478,FALSE)</f>
        <v>0</v>
      </c>
      <c r="AN164" s="90" t="str">
        <f>VLOOKUP($E$7,BASEPOE3,479,FALSE)</f>
        <v>SI</v>
      </c>
      <c r="AO164" s="90">
        <f>VLOOKUP($E$7,BASEPOE3,480,FALSE)</f>
        <v>0</v>
      </c>
      <c r="AP164" s="90">
        <f>VLOOKUP($E$7,BASEPOE3,481,FALSE)</f>
        <v>0</v>
      </c>
      <c r="AQ164" s="90">
        <f>VLOOKUP($E$7,BASEPOE3,482,FALSE)</f>
        <v>0</v>
      </c>
      <c r="AR164" s="90">
        <f>VLOOKUP($E$7,BASEPOE3,483,FALSE)</f>
        <v>0</v>
      </c>
      <c r="AS164" s="90">
        <f>VLOOKUP($E$7,BASEPOE3,484,FALSE)</f>
        <v>0</v>
      </c>
      <c r="AT164" s="90">
        <f>VLOOKUP($E$7,BASEPOE3,485,FALSE)</f>
        <v>0</v>
      </c>
    </row>
    <row r="165" spans="1:46" x14ac:dyDescent="0.3">
      <c r="A165" s="449"/>
      <c r="B165" s="60">
        <v>12</v>
      </c>
      <c r="C165" s="92" t="str">
        <f>VLOOKUP($E$7,BASEPOE3,486,FALSE)</f>
        <v>Gonzalez Garcia Jose Antonio</v>
      </c>
      <c r="D165" s="88" t="str">
        <f>VLOOKUP($E$7,BASEPOE3,487,FALSE)</f>
        <v>POE</v>
      </c>
      <c r="E165" s="62">
        <f>VLOOKUP($E$7,BASEPOE3,488,FALSE)</f>
        <v>23202532</v>
      </c>
      <c r="F165" s="88">
        <f>VLOOKUP($E$7,BASEPOE3,489,FALSE)</f>
        <v>0</v>
      </c>
      <c r="G165" s="88">
        <f>VLOOKUP($E$7,BASEPOE3,490,FALSE)</f>
        <v>0</v>
      </c>
      <c r="H165" s="89">
        <f>VLOOKUP($E$7,BASEPOE3,491,FALSE)</f>
        <v>45475</v>
      </c>
      <c r="I165" s="89">
        <f>VLOOKUP($E$7,BASEPOE3,492,FALSE)</f>
        <v>45840</v>
      </c>
      <c r="J165" s="89" t="str">
        <f>VLOOKUP($E$7,BASEPOE3,493,FALSE)</f>
        <v>SI</v>
      </c>
      <c r="K165" s="89" t="str">
        <f>VLOOKUP($E$7,BASEPOE3,494,FALSE)</f>
        <v>Vigente</v>
      </c>
      <c r="L165" s="89" t="str">
        <f>VLOOKUP($E$7,BASEPOE3,495,FALSE)</f>
        <v>SI</v>
      </c>
      <c r="M165" s="89" t="str">
        <f>VLOOKUP($E$7,BASEPOE3,496,FALSE)</f>
        <v>Vigente</v>
      </c>
      <c r="N165" s="89" t="str">
        <f>VLOOKUP($E$7,BASEPOE3,497,FALSE)</f>
        <v>NO</v>
      </c>
      <c r="O165" s="89" t="str">
        <f>VLOOKUP($E$7,BASEPOE3,498,FALSE)</f>
        <v>Apendice ByC no llenos-c/historial aparte-falta firma RL</v>
      </c>
      <c r="P165" s="89" t="str">
        <f>VLOOKUP($E$7,BASEPOE3,499,FALSE)</f>
        <v>CONSTANCIA CALIF DE CIENCIAS SOC Y HUM</v>
      </c>
      <c r="Q165" s="89">
        <f>VLOOKUP($E$7,BASEPOE3,500,FALSE)</f>
        <v>0</v>
      </c>
      <c r="R165" s="89" t="str">
        <f>VLOOKUP($E$7,BASEPOE3,501,FALSE)</f>
        <v>SI</v>
      </c>
      <c r="S165" s="89" t="str">
        <f>VLOOKUP($E$7,BASEPOE3,502,FALSE)</f>
        <v>SI</v>
      </c>
      <c r="T165" s="89" t="str">
        <f>VLOOKUP($E$7,BASEPOE3,503,FALSE)</f>
        <v>SI</v>
      </c>
      <c r="U165" s="89" t="str">
        <f>VLOOKUP($E$7,BASEPOE3,504,FALSE)</f>
        <v>SI</v>
      </c>
      <c r="V165" s="89" t="str">
        <f>VLOOKUP($E$7,BASEPOE3,505,FALSE)</f>
        <v>SI</v>
      </c>
      <c r="W165" s="89" t="str">
        <f>VLOOKUP($E$7,BASEPOE3,506,FALSE)</f>
        <v>SI</v>
      </c>
      <c r="X165" s="89">
        <f>VLOOKUP($E$7,BASEPOE3,507,FALSE)</f>
        <v>0</v>
      </c>
      <c r="Y165" s="89">
        <f>VLOOKUP($E$7,BASEPOE3,508,FALSE)</f>
        <v>0</v>
      </c>
      <c r="Z165" s="89">
        <f>VLOOKUP($E$7,BASEPOE3,509,FALSE)</f>
        <v>0</v>
      </c>
      <c r="AA165" s="89" t="str">
        <f>VLOOKUP($E$7,BASEPOE3,510,FALSE)</f>
        <v>SI</v>
      </c>
      <c r="AB165" s="89">
        <f>VLOOKUP($E$7,BASEPOE3,511,FALSE)</f>
        <v>0</v>
      </c>
      <c r="AC165" s="88">
        <f>VLOOKUP($E$7,BASEPOE3,512,FALSE)</f>
        <v>0</v>
      </c>
      <c r="AD165" s="88">
        <f>VLOOKUP($E$7,BASEPOE3,513,FALSE)</f>
        <v>0</v>
      </c>
      <c r="AE165" s="88">
        <f>VLOOKUP($E$7,BASEPOE3,514,FALSE)</f>
        <v>0</v>
      </c>
      <c r="AF165" s="88">
        <f>VLOOKUP($E$7,BASEPOE3,515,FALSE)</f>
        <v>0</v>
      </c>
      <c r="AG165" s="88">
        <f>VLOOKUP($E$7,BASEPOE3,516,FALSE)</f>
        <v>0</v>
      </c>
      <c r="AH165" s="88" t="str">
        <f>VLOOKUP($E$7,BASEPOE3,517,FALSE)</f>
        <v>SI</v>
      </c>
      <c r="AI165" s="88">
        <f>VLOOKUP($E$7,BASEPOE3,518,FALSE)</f>
        <v>0</v>
      </c>
      <c r="AJ165" s="88">
        <f>VLOOKUP($E$7,BASEPOE3,519,FALSE)</f>
        <v>0</v>
      </c>
      <c r="AK165" s="88">
        <f>VLOOKUP($E$7,BASEPOE3,520,FALSE)</f>
        <v>0</v>
      </c>
      <c r="AL165" s="88">
        <f>VLOOKUP($E$7,BASEPOE3,521,FALSE)</f>
        <v>0</v>
      </c>
      <c r="AM165" s="88">
        <f>VLOOKUP($E$7,BASEPOE3,522,FALSE)</f>
        <v>0</v>
      </c>
      <c r="AN165" s="88">
        <f>VLOOKUP($E$7,BASEPOE3,523,FALSE)</f>
        <v>0</v>
      </c>
      <c r="AO165" s="88">
        <f>VLOOKUP($E$7,BASEPOE3,524,FALSE)</f>
        <v>0</v>
      </c>
      <c r="AP165" s="88">
        <f>VLOOKUP($E$7,BASEPOE3,525,FALSE)</f>
        <v>0</v>
      </c>
      <c r="AQ165" s="88">
        <f>VLOOKUP($E$7,BASEPOE3,526,FALSE)</f>
        <v>0</v>
      </c>
      <c r="AR165" s="88">
        <f>VLOOKUP($E$7,BASEPOE3,527,FALSE)</f>
        <v>0</v>
      </c>
      <c r="AS165" s="88">
        <f>VLOOKUP($E$7,BASEPOE3,528,FALSE)</f>
        <v>0</v>
      </c>
      <c r="AT165" s="88">
        <f>VLOOKUP($E$7,BASEPOE3,529,FALSE)</f>
        <v>0</v>
      </c>
    </row>
    <row r="166" spans="1:46" x14ac:dyDescent="0.3">
      <c r="A166" s="449"/>
      <c r="B166" s="34">
        <v>13</v>
      </c>
      <c r="C166" s="93" t="str">
        <f>VLOOKUP($E$7,BASEPOE3,530,FALSE)</f>
        <v>Gonzalez Perez Federico</v>
      </c>
      <c r="D166" s="90" t="str">
        <f>VLOOKUP($E$7,BASEPOE3,531,FALSE)</f>
        <v>POE</v>
      </c>
      <c r="E166" s="61">
        <f>VLOOKUP($E$7,BASEPOE3,532,FALSE)</f>
        <v>23129905</v>
      </c>
      <c r="F166" s="90">
        <f>VLOOKUP($E$7,BASEPOE3,533,FALSE)</f>
        <v>0</v>
      </c>
      <c r="G166" s="90">
        <f>VLOOKUP($E$7,BASEPOE3,534,FALSE)</f>
        <v>0</v>
      </c>
      <c r="H166" s="91">
        <f>VLOOKUP($E$7,BASEPOE3,535,FALSE)</f>
        <v>45476</v>
      </c>
      <c r="I166" s="91">
        <f>VLOOKUP($E$7,BASEPOE3,536,FALSE)</f>
        <v>45841</v>
      </c>
      <c r="J166" s="91" t="str">
        <f>VLOOKUP($E$7,BASEPOE3,537,FALSE)</f>
        <v>SI</v>
      </c>
      <c r="K166" s="91" t="str">
        <f>VLOOKUP($E$7,BASEPOE3,538,FALSE)</f>
        <v>Vigente</v>
      </c>
      <c r="L166" s="91" t="str">
        <f>VLOOKUP($E$7,BASEPOE3,539,FALSE)</f>
        <v>SI</v>
      </c>
      <c r="M166" s="91" t="str">
        <f>VLOOKUP($E$7,BASEPOE3,540,FALSE)</f>
        <v>Vigente</v>
      </c>
      <c r="N166" s="91" t="str">
        <f>VLOOKUP($E$7,BASEPOE3,541,FALSE)</f>
        <v>NO</v>
      </c>
      <c r="O166" s="91" t="str">
        <f>VLOOKUP($E$7,BASEPOE3,542,FALSE)</f>
        <v>Apendice ByC no llenos-c/historial aparte-falta firma RL</v>
      </c>
      <c r="P166" s="91" t="str">
        <f>VLOOKUP($E$7,BASEPOE3,543,FALSE)</f>
        <v>SI</v>
      </c>
      <c r="Q166" s="91">
        <f>VLOOKUP($E$7,BASEPOE3,544,FALSE)</f>
        <v>0</v>
      </c>
      <c r="R166" s="91" t="str">
        <f>VLOOKUP($E$7,BASEPOE3,545,FALSE)</f>
        <v>SI</v>
      </c>
      <c r="S166" s="91" t="str">
        <f>VLOOKUP($E$7,BASEPOE3,546,FALSE)</f>
        <v>SI</v>
      </c>
      <c r="T166" s="91" t="str">
        <f>VLOOKUP($E$7,BASEPOE3,547,FALSE)</f>
        <v>SI</v>
      </c>
      <c r="U166" s="91" t="str">
        <f>VLOOKUP($E$7,BASEPOE3,548,FALSE)</f>
        <v>SI</v>
      </c>
      <c r="V166" s="91" t="str">
        <f>VLOOKUP($E$7,BASEPOE3,549,FALSE)</f>
        <v>SI</v>
      </c>
      <c r="W166" s="91" t="str">
        <f>VLOOKUP($E$7,BASEPOE3,550,FALSE)</f>
        <v>SI</v>
      </c>
      <c r="X166" s="91">
        <f>VLOOKUP($E$7,BASEPOE3,551,FALSE)</f>
        <v>0</v>
      </c>
      <c r="Y166" s="91">
        <f>VLOOKUP($E$7,BASEPOE3,552,FALSE)</f>
        <v>0</v>
      </c>
      <c r="Z166" s="91">
        <f>VLOOKUP($E$7,BASEPOE3,553,FALSE)</f>
        <v>0</v>
      </c>
      <c r="AA166" s="91" t="str">
        <f>VLOOKUP($E$7,BASEPOE3,554,FALSE)</f>
        <v>SI</v>
      </c>
      <c r="AB166" s="91">
        <f>VLOOKUP($E$7,BASEPOE3,555,FALSE)</f>
        <v>0</v>
      </c>
      <c r="AC166" s="90">
        <f>VLOOKUP($E$7,BASEPOE3,556,FALSE)</f>
        <v>0</v>
      </c>
      <c r="AD166" s="90">
        <f>VLOOKUP($E$7,BASEPOE3,557,FALSE)</f>
        <v>0</v>
      </c>
      <c r="AE166" s="90">
        <f>VLOOKUP($E$7,BASEPOE3,558,FALSE)</f>
        <v>0</v>
      </c>
      <c r="AF166" s="90">
        <f>VLOOKUP($E$7,BASEPOE3,559,FALSE)</f>
        <v>0</v>
      </c>
      <c r="AG166" s="90">
        <f>VLOOKUP($E$7,BASEPOE3,560,FALSE)</f>
        <v>0</v>
      </c>
      <c r="AH166" s="90">
        <f>VLOOKUP($E$7,BASEPOE3,561,FALSE)</f>
        <v>0</v>
      </c>
      <c r="AI166" s="90">
        <f>VLOOKUP($E$7,BASEPOE3,562,FALSE)</f>
        <v>0</v>
      </c>
      <c r="AJ166" s="90">
        <f>VLOOKUP($E$7,BASEPOE3,563,FALSE)</f>
        <v>0</v>
      </c>
      <c r="AK166" s="90">
        <f>VLOOKUP($E$7,BASEPOE3,564,FALSE)</f>
        <v>0</v>
      </c>
      <c r="AL166" s="90">
        <f>VLOOKUP($E$7,BASEPOE3,565,FALSE)</f>
        <v>0</v>
      </c>
      <c r="AM166" s="90">
        <f>VLOOKUP($E$7,BASEPOE3,566,FALSE)</f>
        <v>0</v>
      </c>
      <c r="AN166" s="90">
        <f>VLOOKUP($E$7,BASEPOE3,567,FALSE)</f>
        <v>0</v>
      </c>
      <c r="AO166" s="90">
        <f>VLOOKUP($E$7,BASEPOE3,568,FALSE)</f>
        <v>0</v>
      </c>
      <c r="AP166" s="90">
        <f>VLOOKUP($E$7,BASEPOE3,569,FALSE)</f>
        <v>0</v>
      </c>
      <c r="AQ166" s="90">
        <f>VLOOKUP($E$7,BASEPOE3,570,FALSE)</f>
        <v>0</v>
      </c>
      <c r="AR166" s="90">
        <f>VLOOKUP($E$7,BASEPOE3,571,FALSE)</f>
        <v>0</v>
      </c>
      <c r="AS166" s="90">
        <f>VLOOKUP($E$7,BASEPOE3,572,FALSE)</f>
        <v>0</v>
      </c>
      <c r="AT166" s="90">
        <f>VLOOKUP($E$7,BASEPOE3,573,FALSE)</f>
        <v>0</v>
      </c>
    </row>
    <row r="167" spans="1:46" x14ac:dyDescent="0.3">
      <c r="A167" s="449"/>
      <c r="B167" s="60">
        <v>14</v>
      </c>
      <c r="C167" s="92" t="str">
        <f>VLOOKUP($E$7,BASEPOE3,574,FALSE)</f>
        <v xml:space="preserve">Gonzalez Silva Maria De Los Angele </v>
      </c>
      <c r="D167" s="88" t="str">
        <f>VLOOKUP($E$7,BASEPOE3,575,FALSE)</f>
        <v>Sin Registro</v>
      </c>
      <c r="E167" s="62">
        <f>VLOOKUP($E$7,BASEPOE3,576,FALSE)</f>
        <v>23140082</v>
      </c>
      <c r="F167" s="88">
        <f>VLOOKUP($E$7,BASEPOE3,577,FALSE)</f>
        <v>0</v>
      </c>
      <c r="G167" s="88">
        <f>VLOOKUP($E$7,BASEPOE3,578,FALSE)</f>
        <v>0</v>
      </c>
      <c r="H167" s="89">
        <f>VLOOKUP($E$7,BASEPOE3,579,FALSE)</f>
        <v>0</v>
      </c>
      <c r="I167" s="89">
        <f>VLOOKUP($E$7,BASEPOE3,580,FALSE)</f>
        <v>0</v>
      </c>
      <c r="J167" s="89">
        <f>VLOOKUP($E$7,BASEPOE3,581,FALSE)</f>
        <v>0</v>
      </c>
      <c r="K167" s="89">
        <f>VLOOKUP($E$7,BASEPOE3,582,FALSE)</f>
        <v>0</v>
      </c>
      <c r="L167" s="89">
        <f>VLOOKUP($E$7,BASEPOE3,583,FALSE)</f>
        <v>0</v>
      </c>
      <c r="M167" s="89">
        <f>VLOOKUP($E$7,BASEPOE3,584,FALSE)</f>
        <v>0</v>
      </c>
      <c r="N167" s="89">
        <f>VLOOKUP($E$7,BASEPOE3,585,FALSE)</f>
        <v>0</v>
      </c>
      <c r="O167" s="89">
        <f>VLOOKUP($E$7,BASEPOE3,586,FALSE)</f>
        <v>0</v>
      </c>
      <c r="P167" s="89">
        <f>VLOOKUP($E$7,BASEPOE3,587,FALSE)</f>
        <v>0</v>
      </c>
      <c r="Q167" s="89">
        <f>VLOOKUP($E$7,BASEPOE3,588,FALSE)</f>
        <v>0</v>
      </c>
      <c r="R167" s="89">
        <f>VLOOKUP($E$7,BASEPOE3,589,FALSE)</f>
        <v>0</v>
      </c>
      <c r="S167" s="89">
        <f>VLOOKUP($E$7,BASEPOE3,590,FALSE)</f>
        <v>0</v>
      </c>
      <c r="T167" s="89">
        <f>VLOOKUP($E$7,BASEPOE3,591,FALSE)</f>
        <v>0</v>
      </c>
      <c r="U167" s="89">
        <f>VLOOKUP($E$7,BASEPOE3,592,FALSE)</f>
        <v>0</v>
      </c>
      <c r="V167" s="89">
        <f>VLOOKUP($E$7,BASEPOE3,593,FALSE)</f>
        <v>0</v>
      </c>
      <c r="W167" s="89">
        <f>VLOOKUP($E$7,BASEPOE3,594,FALSE)</f>
        <v>0</v>
      </c>
      <c r="X167" s="89">
        <f>VLOOKUP($E$7,BASEPOE3,595,FALSE)</f>
        <v>0</v>
      </c>
      <c r="Y167" s="89">
        <f>VLOOKUP($E$7,BASEPOE3,596,FALSE)</f>
        <v>0</v>
      </c>
      <c r="Z167" s="89">
        <f>VLOOKUP($E$7,BASEPOE3,597,FALSE)</f>
        <v>0</v>
      </c>
      <c r="AA167" s="89">
        <f>VLOOKUP($E$7,BASEPOE3,598,FALSE)</f>
        <v>0</v>
      </c>
      <c r="AB167" s="89">
        <f>VLOOKUP($E$7,BASEPOE3,599,FALSE)</f>
        <v>0</v>
      </c>
      <c r="AC167" s="88">
        <f>VLOOKUP($E$7,BASEPOE3,600,FALSE)</f>
        <v>0</v>
      </c>
      <c r="AD167" s="88">
        <f>VLOOKUP($E$7,BASEPOE3,601,FALSE)</f>
        <v>0</v>
      </c>
      <c r="AE167" s="88">
        <f>VLOOKUP($E$7,BASEPOE3,602,FALSE)</f>
        <v>0</v>
      </c>
      <c r="AF167" s="88">
        <f>VLOOKUP($E$7,BASEPOE3,603,FALSE)</f>
        <v>0</v>
      </c>
      <c r="AG167" s="88">
        <f>VLOOKUP($E$7,BASEPOE3,604,FALSE)</f>
        <v>0</v>
      </c>
      <c r="AH167" s="88">
        <f>VLOOKUP($E$7,BASEPOE3,605,FALSE)</f>
        <v>0</v>
      </c>
      <c r="AI167" s="88">
        <f>VLOOKUP($E$7,BASEPOE3,606,FALSE)</f>
        <v>0</v>
      </c>
      <c r="AJ167" s="88">
        <f>VLOOKUP($E$7,BASEPOE3,607,FALSE)</f>
        <v>0</v>
      </c>
      <c r="AK167" s="88">
        <f>VLOOKUP($E$7,BASEPOE3,608,FALSE)</f>
        <v>0</v>
      </c>
      <c r="AL167" s="88">
        <f>VLOOKUP($E$7,BASEPOE3,609,FALSE)</f>
        <v>0</v>
      </c>
      <c r="AM167" s="88">
        <f>VLOOKUP($E$7,BASEPOE3,610,FALSE)</f>
        <v>0</v>
      </c>
      <c r="AN167" s="88">
        <f>VLOOKUP($E$7,BASEPOE3,611,FALSE)</f>
        <v>0</v>
      </c>
      <c r="AO167" s="88">
        <f>VLOOKUP($E$7,BASEPOE3,612,FALSE)</f>
        <v>0</v>
      </c>
      <c r="AP167" s="88">
        <f>VLOOKUP($E$7,BASEPOE3,613,FALSE)</f>
        <v>0</v>
      </c>
      <c r="AQ167" s="88">
        <f>VLOOKUP($E$7,BASEPOE3,614,FALSE)</f>
        <v>0</v>
      </c>
      <c r="AR167" s="88">
        <f>VLOOKUP($E$7,BASEPOE3,615,FALSE)</f>
        <v>0</v>
      </c>
      <c r="AS167" s="88">
        <f>VLOOKUP($E$7,BASEPOE3,616,FALSE)</f>
        <v>0</v>
      </c>
      <c r="AT167" s="88">
        <f>VLOOKUP($E$7,BASEPOE3,617,FALSE)</f>
        <v>0</v>
      </c>
    </row>
    <row r="168" spans="1:46" x14ac:dyDescent="0.3">
      <c r="A168" s="449"/>
      <c r="B168" s="34">
        <v>15</v>
      </c>
      <c r="C168" s="93" t="str">
        <f>VLOOKUP($E$7,BASEPOE3,618,FALSE)</f>
        <v>Gonzalez Trejo Maria Guadalupe</v>
      </c>
      <c r="D168" s="90" t="str">
        <f>VLOOKUP($E$7,BASEPOE3,619,FALSE)</f>
        <v>POE</v>
      </c>
      <c r="E168" s="61">
        <f>VLOOKUP($E$7,BASEPOE3,620,FALSE)</f>
        <v>23143941</v>
      </c>
      <c r="F168" s="90">
        <f>VLOOKUP($E$7,BASEPOE3,621,FALSE)</f>
        <v>0</v>
      </c>
      <c r="G168" s="90">
        <f>VLOOKUP($E$7,BASEPOE3,622,FALSE)</f>
        <v>0</v>
      </c>
      <c r="H168" s="91">
        <f>VLOOKUP($E$7,BASEPOE3,623,FALSE)</f>
        <v>45041</v>
      </c>
      <c r="I168" s="91" t="str">
        <f>VLOOKUP($E$7,BASEPOE3,624,FALSE)</f>
        <v>VENCIDA</v>
      </c>
      <c r="J168" s="91" t="str">
        <f>VLOOKUP($E$7,BASEPOE3,625,FALSE)</f>
        <v>SI</v>
      </c>
      <c r="K168" s="91" t="str">
        <f>VLOOKUP($E$7,BASEPOE3,626,FALSE)</f>
        <v>VENCIDA</v>
      </c>
      <c r="L168" s="91" t="str">
        <f>VLOOKUP($E$7,BASEPOE3,627,FALSE)</f>
        <v>SI</v>
      </c>
      <c r="M168" s="91" t="str">
        <f>VLOOKUP($E$7,BASEPOE3,628,FALSE)</f>
        <v>VENCIDA</v>
      </c>
      <c r="N168" s="91" t="str">
        <f>VLOOKUP($E$7,BASEPOE3,629,FALSE)</f>
        <v>NO</v>
      </c>
      <c r="O168" s="91" t="str">
        <f>VLOOKUP($E$7,BASEPOE3,630,FALSE)</f>
        <v>Apendice ByC no llenos-c/historial aparte-falta firma RL</v>
      </c>
      <c r="P168" s="91" t="str">
        <f>VLOOKUP($E$7,BASEPOE3,631,FALSE)</f>
        <v>SI</v>
      </c>
      <c r="Q168" s="91" t="str">
        <f>VLOOKUP($E$7,BASEPOE3,632,FALSE)</f>
        <v>SI</v>
      </c>
      <c r="R168" s="91" t="str">
        <f>VLOOKUP($E$7,BASEPOE3,633,FALSE)</f>
        <v>SI</v>
      </c>
      <c r="S168" s="91" t="str">
        <f>VLOOKUP($E$7,BASEPOE3,634,FALSE)</f>
        <v>SI</v>
      </c>
      <c r="T168" s="91" t="str">
        <f>VLOOKUP($E$7,BASEPOE3,635,FALSE)</f>
        <v>SI</v>
      </c>
      <c r="U168" s="91" t="str">
        <f>VLOOKUP($E$7,BASEPOE3,636,FALSE)</f>
        <v>SI</v>
      </c>
      <c r="V168" s="91" t="str">
        <f>VLOOKUP($E$7,BASEPOE3,637,FALSE)</f>
        <v>NO</v>
      </c>
      <c r="W168" s="91" t="str">
        <f>VLOOKUP($E$7,BASEPOE3,638,FALSE)</f>
        <v>SI</v>
      </c>
      <c r="X168" s="91">
        <f>VLOOKUP($E$7,BASEPOE3,639,FALSE)</f>
        <v>0</v>
      </c>
      <c r="Y168" s="91">
        <f>VLOOKUP($E$7,BASEPOE3,640,FALSE)</f>
        <v>0</v>
      </c>
      <c r="Z168" s="91">
        <f>VLOOKUP($E$7,BASEPOE3,641,FALSE)</f>
        <v>0</v>
      </c>
      <c r="AA168" s="91" t="str">
        <f>VLOOKUP($E$7,BASEPOE3,642,FALSE)</f>
        <v>SI</v>
      </c>
      <c r="AB168" s="91">
        <f>VLOOKUP($E$7,BASEPOE3,643,FALSE)</f>
        <v>0</v>
      </c>
      <c r="AC168" s="90">
        <f>VLOOKUP($E$7,BASEPOE3,644,FALSE)</f>
        <v>0</v>
      </c>
      <c r="AD168" s="90">
        <f>VLOOKUP($E$7,BASEPOE3,645,FALSE)</f>
        <v>0</v>
      </c>
      <c r="AE168" s="90">
        <f>VLOOKUP($E$7,BASEPOE3,646,FALSE)</f>
        <v>0</v>
      </c>
      <c r="AF168" s="90">
        <f>VLOOKUP($E$7,BASEPOE3,647,FALSE)</f>
        <v>0</v>
      </c>
      <c r="AG168" s="90">
        <f>VLOOKUP($E$7,BASEPOE3,648,FALSE)</f>
        <v>0</v>
      </c>
      <c r="AH168" s="90">
        <f>VLOOKUP($E$7,BASEPOE3,649,FALSE)</f>
        <v>0</v>
      </c>
      <c r="AI168" s="90">
        <f>VLOOKUP($E$7,BASEPOE3,650,FALSE)</f>
        <v>0</v>
      </c>
      <c r="AJ168" s="90">
        <f>VLOOKUP($E$7,BASEPOE3,651,FALSE)</f>
        <v>0</v>
      </c>
      <c r="AK168" s="90">
        <f>VLOOKUP($E$7,BASEPOE3,652,FALSE)</f>
        <v>0</v>
      </c>
      <c r="AL168" s="90">
        <f>VLOOKUP($E$7,BASEPOE3,653,FALSE)</f>
        <v>0</v>
      </c>
      <c r="AM168" s="90">
        <f>VLOOKUP($E$7,BASEPOE3,654,FALSE)</f>
        <v>0</v>
      </c>
      <c r="AN168" s="90" t="str">
        <f>VLOOKUP($E$7,BASEPOE3,655,FALSE)</f>
        <v>SI</v>
      </c>
      <c r="AO168" s="90">
        <f>VLOOKUP($E$7,BASEPOE3,656,FALSE)</f>
        <v>0</v>
      </c>
      <c r="AP168" s="90">
        <f>VLOOKUP($E$7,BASEPOE3,657,FALSE)</f>
        <v>0</v>
      </c>
      <c r="AQ168" s="90" t="str">
        <f>VLOOKUP($E$7,BASEPOE3,658,FALSE)</f>
        <v>SI</v>
      </c>
      <c r="AR168" s="90">
        <f>VLOOKUP($E$7,BASEPOE3,659,FALSE)</f>
        <v>0</v>
      </c>
      <c r="AS168" s="90">
        <f>VLOOKUP($E$7,BASEPOE3,660,FALSE)</f>
        <v>0</v>
      </c>
      <c r="AT168" s="90">
        <f>VLOOKUP($E$7,BASEPOE3,661,FALSE)</f>
        <v>0</v>
      </c>
    </row>
    <row r="169" spans="1:46" x14ac:dyDescent="0.3">
      <c r="A169" s="449"/>
      <c r="B169" s="60">
        <v>16</v>
      </c>
      <c r="C169" s="92" t="str">
        <f>VLOOKUP($E$7,BASEPOE3,662,FALSE)</f>
        <v>Guzman Perez Jose Alfredo</v>
      </c>
      <c r="D169" s="88" t="str">
        <f>VLOOKUP($E$7,BASEPOE3,663,FALSE)</f>
        <v>POE</v>
      </c>
      <c r="E169" s="62">
        <f>VLOOKUP($E$7,BASEPOE3,664,FALSE)</f>
        <v>23159509</v>
      </c>
      <c r="F169" s="88">
        <f>VLOOKUP($E$7,BASEPOE3,665,FALSE)</f>
        <v>0</v>
      </c>
      <c r="G169" s="88">
        <f>VLOOKUP($E$7,BASEPOE3,666,FALSE)</f>
        <v>0</v>
      </c>
      <c r="H169" s="89">
        <f>VLOOKUP($E$7,BASEPOE3,667,FALSE)</f>
        <v>45478</v>
      </c>
      <c r="I169" s="89">
        <f>VLOOKUP($E$7,BASEPOE3,668,FALSE)</f>
        <v>45843</v>
      </c>
      <c r="J169" s="89" t="str">
        <f>VLOOKUP($E$7,BASEPOE3,669,FALSE)</f>
        <v>SI</v>
      </c>
      <c r="K169" s="89" t="str">
        <f>VLOOKUP($E$7,BASEPOE3,670,FALSE)</f>
        <v>Vigente</v>
      </c>
      <c r="L169" s="89" t="str">
        <f>VLOOKUP($E$7,BASEPOE3,671,FALSE)</f>
        <v>SI</v>
      </c>
      <c r="M169" s="89" t="str">
        <f>VLOOKUP($E$7,BASEPOE3,672,FALSE)</f>
        <v>Vigente</v>
      </c>
      <c r="N169" s="89" t="str">
        <f>VLOOKUP($E$7,BASEPOE3,673,FALSE)</f>
        <v>NO</v>
      </c>
      <c r="O169" s="89" t="str">
        <f>VLOOKUP($E$7,BASEPOE3,674,FALSE)</f>
        <v>Apendice ByC no llenos-c/historial aparte-falta firma RL</v>
      </c>
      <c r="P169" s="89" t="str">
        <f>VLOOKUP($E$7,BASEPOE3,675,FALSE)</f>
        <v>SI</v>
      </c>
      <c r="Q169" s="89">
        <f>VLOOKUP($E$7,BASEPOE3,676,FALSE)</f>
        <v>0</v>
      </c>
      <c r="R169" s="89" t="str">
        <f>VLOOKUP($E$7,BASEPOE3,677,FALSE)</f>
        <v>SI</v>
      </c>
      <c r="S169" s="89" t="str">
        <f>VLOOKUP($E$7,BASEPOE3,678,FALSE)</f>
        <v>SI</v>
      </c>
      <c r="T169" s="89" t="str">
        <f>VLOOKUP($E$7,BASEPOE3,679,FALSE)</f>
        <v>SI</v>
      </c>
      <c r="U169" s="89" t="str">
        <f>VLOOKUP($E$7,BASEPOE3,680,FALSE)</f>
        <v>SI</v>
      </c>
      <c r="V169" s="89" t="str">
        <f>VLOOKUP($E$7,BASEPOE3,681,FALSE)</f>
        <v>SI</v>
      </c>
      <c r="W169" s="89" t="str">
        <f>VLOOKUP($E$7,BASEPOE3,682,FALSE)</f>
        <v>SI</v>
      </c>
      <c r="X169" s="89">
        <f>VLOOKUP($E$7,BASEPOE3,683,FALSE)</f>
        <v>0</v>
      </c>
      <c r="Y169" s="89">
        <f>VLOOKUP($E$7,BASEPOE3,684,FALSE)</f>
        <v>0</v>
      </c>
      <c r="Z169" s="89">
        <f>VLOOKUP($E$7,BASEPOE3,685,FALSE)</f>
        <v>0</v>
      </c>
      <c r="AA169" s="89" t="str">
        <f>VLOOKUP($E$7,BASEPOE3,686,FALSE)</f>
        <v>SI</v>
      </c>
      <c r="AB169" s="89">
        <f>VLOOKUP($E$7,BASEPOE3,687,FALSE)</f>
        <v>0</v>
      </c>
      <c r="AC169" s="88">
        <f>VLOOKUP($E$7,BASEPOE3,688,FALSE)</f>
        <v>0</v>
      </c>
      <c r="AD169" s="88">
        <f>VLOOKUP($E$7,BASEPOE3,689,FALSE)</f>
        <v>0</v>
      </c>
      <c r="AE169" s="88">
        <f>VLOOKUP($E$7,BASEPOE3,690,FALSE)</f>
        <v>0</v>
      </c>
      <c r="AF169" s="88">
        <f>VLOOKUP($E$7,BASEPOE3,691,FALSE)</f>
        <v>0</v>
      </c>
      <c r="AG169" s="88">
        <f>VLOOKUP($E$7,BASEPOE3,692,FALSE)</f>
        <v>0</v>
      </c>
      <c r="AH169" s="88">
        <f>VLOOKUP($E$7,BASEPOE3,693,FALSE)</f>
        <v>0</v>
      </c>
      <c r="AI169" s="88">
        <f>VLOOKUP($E$7,BASEPOE3,694,FALSE)</f>
        <v>0</v>
      </c>
      <c r="AJ169" s="88">
        <f>VLOOKUP($E$7,BASEPOE3,695,FALSE)</f>
        <v>0</v>
      </c>
      <c r="AK169" s="88">
        <f>VLOOKUP($E$7,BASEPOE3,696,FALSE)</f>
        <v>0</v>
      </c>
      <c r="AL169" s="88">
        <f>VLOOKUP($E$7,BASEPOE3,697,FALSE)</f>
        <v>0</v>
      </c>
      <c r="AM169" s="88" t="str">
        <f>VLOOKUP($E$7,BASEPOE3,698,FALSE)</f>
        <v>SI</v>
      </c>
      <c r="AN169" s="88" t="str">
        <f>VLOOKUP($E$7,BASEPOE3,699,FALSE)</f>
        <v>SI</v>
      </c>
      <c r="AO169" s="88">
        <f>VLOOKUP($E$7,BASEPOE3,700,FALSE)</f>
        <v>0</v>
      </c>
      <c r="AP169" s="88">
        <f>VLOOKUP($E$7,BASEPOE3,701,FALSE)</f>
        <v>0</v>
      </c>
      <c r="AQ169" s="88" t="str">
        <f>VLOOKUP($E$7,BASEPOE3,702,FALSE)</f>
        <v>SI</v>
      </c>
      <c r="AR169" s="88">
        <f>VLOOKUP($E$7,BASEPOE3,703,FALSE)</f>
        <v>0</v>
      </c>
      <c r="AS169" s="88" t="str">
        <f>VLOOKUP($E$7,BASEPOE3,704,FALSE)</f>
        <v>VACIS PORTAL</v>
      </c>
      <c r="AT169" s="88">
        <f>VLOOKUP($E$7,BASEPOE3,705,FALSE)</f>
        <v>0</v>
      </c>
    </row>
    <row r="170" spans="1:46" x14ac:dyDescent="0.3">
      <c r="A170" s="449"/>
      <c r="B170" s="34">
        <v>17</v>
      </c>
      <c r="C170" s="93" t="str">
        <f>VLOOKUP($E$7,BASEPOE3,706,FALSE)</f>
        <v xml:space="preserve">Lopez Tzab Leydi </v>
      </c>
      <c r="D170" s="90">
        <f>VLOOKUP($E$7,BASEPOE3,707,FALSE)</f>
        <v>0</v>
      </c>
      <c r="E170" s="61">
        <f>VLOOKUP($E$7,BASEPOE3,708,FALSE)</f>
        <v>23158474</v>
      </c>
      <c r="F170" s="90">
        <f>VLOOKUP($E$7,BASEPOE3,709,FALSE)</f>
        <v>0</v>
      </c>
      <c r="G170" s="90">
        <f>VLOOKUP($E$7,BASEPOE3,710,FALSE)</f>
        <v>0</v>
      </c>
      <c r="H170" s="91">
        <f>VLOOKUP($E$7,BASEPOE3,711,FALSE)</f>
        <v>0</v>
      </c>
      <c r="I170" s="91">
        <f>VLOOKUP($E$7,BASEPOE3,712,FALSE)</f>
        <v>0</v>
      </c>
      <c r="J170" s="91">
        <f>VLOOKUP($E$7,BASEPOE3,713,FALSE)</f>
        <v>0</v>
      </c>
      <c r="K170" s="91">
        <f>VLOOKUP($E$7,BASEPOE3,714,FALSE)</f>
        <v>0</v>
      </c>
      <c r="L170" s="91">
        <f>VLOOKUP($E$7,BASEPOE3,715,FALSE)</f>
        <v>0</v>
      </c>
      <c r="M170" s="91">
        <f>VLOOKUP($E$7,BASEPOE3,716,FALSE)</f>
        <v>0</v>
      </c>
      <c r="N170" s="91">
        <f>VLOOKUP($E$7,BASEPOE3,717,FALSE)</f>
        <v>0</v>
      </c>
      <c r="O170" s="91">
        <f>VLOOKUP($E$7,BASEPOE3,718,FALSE)</f>
        <v>0</v>
      </c>
      <c r="P170" s="91">
        <f>VLOOKUP($E$7,BASEPOE3,719,FALSE)</f>
        <v>0</v>
      </c>
      <c r="Q170" s="91">
        <f>VLOOKUP($E$7,BASEPOE3,720,FALSE)</f>
        <v>0</v>
      </c>
      <c r="R170" s="91">
        <f>VLOOKUP($E$7,BASEPOE3,721,FALSE)</f>
        <v>0</v>
      </c>
      <c r="S170" s="91">
        <f>VLOOKUP($E$7,BASEPOE3,722,FALSE)</f>
        <v>0</v>
      </c>
      <c r="T170" s="91">
        <f>VLOOKUP($E$7,BASEPOE3,723,FALSE)</f>
        <v>0</v>
      </c>
      <c r="U170" s="91">
        <f>VLOOKUP($E$7,BASEPOE3,724,FALSE)</f>
        <v>0</v>
      </c>
      <c r="V170" s="91">
        <f>VLOOKUP($E$7,BASEPOE3,725,FALSE)</f>
        <v>0</v>
      </c>
      <c r="W170" s="91">
        <f>VLOOKUP($E$7,BASEPOE3,726,FALSE)</f>
        <v>0</v>
      </c>
      <c r="X170" s="91">
        <f>VLOOKUP($E$7,BASEPOE3,727,FALSE)</f>
        <v>0</v>
      </c>
      <c r="Y170" s="91">
        <f>VLOOKUP($E$7,BASEPOE3,728,FALSE)</f>
        <v>0</v>
      </c>
      <c r="Z170" s="91">
        <f>VLOOKUP($E$7,BASEPOE3,729,FALSE)</f>
        <v>0</v>
      </c>
      <c r="AA170" s="91">
        <f>VLOOKUP($E$7,BASEPOE3,730,FALSE)</f>
        <v>0</v>
      </c>
      <c r="AB170" s="91">
        <f>VLOOKUP($E$7,BASEPOE3,731,FALSE)</f>
        <v>0</v>
      </c>
      <c r="AC170" s="90">
        <f>VLOOKUP($E$7,BASEPOE3,732,FALSE)</f>
        <v>0</v>
      </c>
      <c r="AD170" s="90">
        <f>VLOOKUP($E$7,BASEPOE3,733,FALSE)</f>
        <v>0</v>
      </c>
      <c r="AE170" s="90">
        <f>VLOOKUP($E$7,BASEPOE3,734,FALSE)</f>
        <v>0</v>
      </c>
      <c r="AF170" s="90">
        <f>VLOOKUP($E$7,BASEPOE3,735,FALSE)</f>
        <v>0</v>
      </c>
      <c r="AG170" s="90">
        <f>VLOOKUP($E$7,BASEPOE3,736,FALSE)</f>
        <v>0</v>
      </c>
      <c r="AH170" s="90">
        <f>VLOOKUP($E$7,BASEPOE3,737,FALSE)</f>
        <v>0</v>
      </c>
      <c r="AI170" s="90">
        <f>VLOOKUP($E$7,BASEPOE3,738,FALSE)</f>
        <v>0</v>
      </c>
      <c r="AJ170" s="90">
        <f>VLOOKUP($E$7,BASEPOE3,739,FALSE)</f>
        <v>0</v>
      </c>
      <c r="AK170" s="90">
        <f>VLOOKUP($E$7,BASEPOE3,740,FALSE)</f>
        <v>0</v>
      </c>
      <c r="AL170" s="90">
        <f>VLOOKUP($E$7,BASEPOE3,741,FALSE)</f>
        <v>0</v>
      </c>
      <c r="AM170" s="90">
        <f>VLOOKUP($E$7,BASEPOE3,742,FALSE)</f>
        <v>0</v>
      </c>
      <c r="AN170" s="90">
        <f>VLOOKUP($E$7,BASEPOE3,743,FALSE)</f>
        <v>0</v>
      </c>
      <c r="AO170" s="90">
        <f>VLOOKUP($E$7,BASEPOE3,744,FALSE)</f>
        <v>0</v>
      </c>
      <c r="AP170" s="90">
        <f>VLOOKUP($E$7,BASEPOE3,745,FALSE)</f>
        <v>0</v>
      </c>
      <c r="AQ170" s="90">
        <f>VLOOKUP($E$7,BASEPOE3,746,FALSE)</f>
        <v>0</v>
      </c>
      <c r="AR170" s="90">
        <f>VLOOKUP($E$7,BASEPOE3,747,FALSE)</f>
        <v>0</v>
      </c>
      <c r="AS170" s="90">
        <f>VLOOKUP($E$7,BASEPOE3,748,FALSE)</f>
        <v>0</v>
      </c>
      <c r="AT170" s="90">
        <f>VLOOKUP($E$7,BASEPOE3,749,FALSE)</f>
        <v>0</v>
      </c>
    </row>
    <row r="171" spans="1:46" x14ac:dyDescent="0.3">
      <c r="A171" s="449"/>
      <c r="B171" s="60">
        <v>18</v>
      </c>
      <c r="C171" s="92" t="str">
        <f>VLOOKUP($E$7,BASEPOE3,750,FALSE)</f>
        <v xml:space="preserve">Lopez Velarde Maria Juana </v>
      </c>
      <c r="D171" s="88">
        <f>VLOOKUP($E$7,BASEPOE3,751,FALSE)</f>
        <v>0</v>
      </c>
      <c r="E171" s="62">
        <f>VLOOKUP($E$7,BASEPOE3,752,FALSE)</f>
        <v>23207378</v>
      </c>
      <c r="F171" s="88">
        <f>VLOOKUP($E$7,BASEPOE3,753,FALSE)</f>
        <v>0</v>
      </c>
      <c r="G171" s="88">
        <f>VLOOKUP($E$7,BASEPOE3,754,FALSE)</f>
        <v>0</v>
      </c>
      <c r="H171" s="89">
        <f>VLOOKUP($E$7,BASEPOE3,755,FALSE)</f>
        <v>0</v>
      </c>
      <c r="I171" s="89">
        <f>VLOOKUP($E$7,BASEPOE3,756,FALSE)</f>
        <v>0</v>
      </c>
      <c r="J171" s="89">
        <f>VLOOKUP($E$7,BASEPOE3,757,FALSE)</f>
        <v>0</v>
      </c>
      <c r="K171" s="89">
        <f>VLOOKUP($E$7,BASEPOE3,758,FALSE)</f>
        <v>0</v>
      </c>
      <c r="L171" s="89">
        <f>VLOOKUP($E$7,BASEPOE3,759,FALSE)</f>
        <v>0</v>
      </c>
      <c r="M171" s="89">
        <f>VLOOKUP($E$7,BASEPOE3,760,FALSE)</f>
        <v>0</v>
      </c>
      <c r="N171" s="89">
        <f>VLOOKUP($E$7,BASEPOE3,761,FALSE)</f>
        <v>0</v>
      </c>
      <c r="O171" s="89">
        <f>VLOOKUP($E$7,BASEPOE3,762,FALSE)</f>
        <v>0</v>
      </c>
      <c r="P171" s="89">
        <f>VLOOKUP($E$7,BASEPOE3,763,FALSE)</f>
        <v>0</v>
      </c>
      <c r="Q171" s="89">
        <f>VLOOKUP($E$7,BASEPOE3,764,FALSE)</f>
        <v>0</v>
      </c>
      <c r="R171" s="89">
        <f>VLOOKUP($E$7,BASEPOE3,765,FALSE)</f>
        <v>0</v>
      </c>
      <c r="S171" s="89">
        <f>VLOOKUP($E$7,BASEPOE3,766,FALSE)</f>
        <v>0</v>
      </c>
      <c r="T171" s="89">
        <f>VLOOKUP($E$7,BASEPOE3,767,FALSE)</f>
        <v>0</v>
      </c>
      <c r="U171" s="89">
        <f>VLOOKUP($E$7,BASEPOE3,768,FALSE)</f>
        <v>0</v>
      </c>
      <c r="V171" s="89">
        <f>VLOOKUP($E$7,BASEPOE3,769,FALSE)</f>
        <v>0</v>
      </c>
      <c r="W171" s="89">
        <f>VLOOKUP($E$7,BASEPOE3,770,FALSE)</f>
        <v>0</v>
      </c>
      <c r="X171" s="89">
        <f>VLOOKUP($E$7,BASEPOE3,771,FALSE)</f>
        <v>0</v>
      </c>
      <c r="Y171" s="89">
        <f>VLOOKUP($E$7,BASEPOE3,772,FALSE)</f>
        <v>0</v>
      </c>
      <c r="Z171" s="89">
        <f>VLOOKUP($E$7,BASEPOE3,773,FALSE)</f>
        <v>0</v>
      </c>
      <c r="AA171" s="89">
        <f>VLOOKUP($E$7,BASEPOE3,774,FALSE)</f>
        <v>0</v>
      </c>
      <c r="AB171" s="89">
        <f>VLOOKUP($E$7,BASEPOE3,775,FALSE)</f>
        <v>0</v>
      </c>
      <c r="AC171" s="88">
        <f>VLOOKUP($E$7,BASEPOE3,776,FALSE)</f>
        <v>0</v>
      </c>
      <c r="AD171" s="88">
        <f>VLOOKUP($E$7,BASEPOE3,777,FALSE)</f>
        <v>0</v>
      </c>
      <c r="AE171" s="88">
        <f>VLOOKUP($E$7,BASEPOE3,778,FALSE)</f>
        <v>0</v>
      </c>
      <c r="AF171" s="88">
        <f>VLOOKUP($E$7,BASEPOE3,779,FALSE)</f>
        <v>0</v>
      </c>
      <c r="AG171" s="88">
        <f>VLOOKUP($E$7,BASEPOE3,780,FALSE)</f>
        <v>0</v>
      </c>
      <c r="AH171" s="88">
        <f>VLOOKUP($E$7,BASEPOE3,781,FALSE)</f>
        <v>0</v>
      </c>
      <c r="AI171" s="88">
        <f>VLOOKUP($E$7,BASEPOE3,782,FALSE)</f>
        <v>0</v>
      </c>
      <c r="AJ171" s="88">
        <f>VLOOKUP($E$7,BASEPOE3,783,FALSE)</f>
        <v>0</v>
      </c>
      <c r="AK171" s="88">
        <f>VLOOKUP($E$7,BASEPOE3,784,FALSE)</f>
        <v>0</v>
      </c>
      <c r="AL171" s="88">
        <f>VLOOKUP($E$7,BASEPOE3,785,FALSE)</f>
        <v>0</v>
      </c>
      <c r="AM171" s="88">
        <f>VLOOKUP($E$7,BASEPOE3,786,FALSE)</f>
        <v>0</v>
      </c>
      <c r="AN171" s="88">
        <f>VLOOKUP($E$7,BASEPOE3,787,FALSE)</f>
        <v>0</v>
      </c>
      <c r="AO171" s="88">
        <f>VLOOKUP($E$7,BASEPOE3,788,FALSE)</f>
        <v>0</v>
      </c>
      <c r="AP171" s="88">
        <f>VLOOKUP($E$7,BASEPOE3,789,FALSE)</f>
        <v>0</v>
      </c>
      <c r="AQ171" s="88">
        <f>VLOOKUP($E$7,BASEPOE3,790,FALSE)</f>
        <v>0</v>
      </c>
      <c r="AR171" s="88">
        <f>VLOOKUP($E$7,BASEPOE3,791,FALSE)</f>
        <v>0</v>
      </c>
      <c r="AS171" s="88">
        <f>VLOOKUP($E$7,BASEPOE3,792,FALSE)</f>
        <v>0</v>
      </c>
      <c r="AT171" s="88">
        <f>VLOOKUP($E$7,BASEPOE3,793,FALSE)</f>
        <v>0</v>
      </c>
    </row>
    <row r="172" spans="1:46" x14ac:dyDescent="0.3">
      <c r="A172" s="449"/>
      <c r="B172" s="34">
        <v>19</v>
      </c>
      <c r="C172" s="93" t="str">
        <f>VLOOKUP($E$7,BASEPOE3,794,FALSE)</f>
        <v xml:space="preserve">Mac Butchart Avalos Maria Guadalupe </v>
      </c>
      <c r="D172" s="90">
        <f>VLOOKUP($E$7,BASEPOE3,795,FALSE)</f>
        <v>0</v>
      </c>
      <c r="E172" s="61">
        <f>VLOOKUP($E$7,BASEPOE3,796,FALSE)</f>
        <v>23209538</v>
      </c>
      <c r="F172" s="90">
        <f>VLOOKUP($E$7,BASEPOE3,797,FALSE)</f>
        <v>0</v>
      </c>
      <c r="G172" s="90">
        <f>VLOOKUP($E$7,BASEPOE3,798,FALSE)</f>
        <v>0</v>
      </c>
      <c r="H172" s="91">
        <f>VLOOKUP($E$7,BASEPOE3,799,FALSE)</f>
        <v>0</v>
      </c>
      <c r="I172" s="91">
        <f>VLOOKUP($E$7,BASEPOE3,800,FALSE)</f>
        <v>0</v>
      </c>
      <c r="J172" s="91">
        <f>VLOOKUP($E$7,BASEPOE3,801,FALSE)</f>
        <v>0</v>
      </c>
      <c r="K172" s="91">
        <f>VLOOKUP($E$7,BASEPOE3,802,FALSE)</f>
        <v>0</v>
      </c>
      <c r="L172" s="91">
        <f>VLOOKUP($E$7,BASEPOE3,803,FALSE)</f>
        <v>0</v>
      </c>
      <c r="M172" s="91">
        <f>VLOOKUP($E$7,BASEPOE3,804,FALSE)</f>
        <v>0</v>
      </c>
      <c r="N172" s="91">
        <f>VLOOKUP($E$7,BASEPOE3,805,FALSE)</f>
        <v>0</v>
      </c>
      <c r="O172" s="91">
        <f>VLOOKUP($E$7,BASEPOE3,806,FALSE)</f>
        <v>0</v>
      </c>
      <c r="P172" s="91">
        <f>VLOOKUP($E$7,BASEPOE3,807,FALSE)</f>
        <v>0</v>
      </c>
      <c r="Q172" s="91">
        <f>VLOOKUP($E$7,BASEPOE3,808,FALSE)</f>
        <v>0</v>
      </c>
      <c r="R172" s="91">
        <f>VLOOKUP($E$7,BASEPOE3,809,FALSE)</f>
        <v>0</v>
      </c>
      <c r="S172" s="91">
        <f>VLOOKUP($E$7,BASEPOE3,810,FALSE)</f>
        <v>0</v>
      </c>
      <c r="T172" s="91">
        <f>VLOOKUP($E$7,BASEPOE3,811,FALSE)</f>
        <v>0</v>
      </c>
      <c r="U172" s="91">
        <f>VLOOKUP($E$7,BASEPOE3,812,FALSE)</f>
        <v>0</v>
      </c>
      <c r="V172" s="91">
        <f>VLOOKUP($E$7,BASEPOE3,813,FALSE)</f>
        <v>0</v>
      </c>
      <c r="W172" s="91">
        <f>VLOOKUP($E$7,BASEPOE3,814,FALSE)</f>
        <v>0</v>
      </c>
      <c r="X172" s="91">
        <f>VLOOKUP($E$7,BASEPOE3,815,FALSE)</f>
        <v>0</v>
      </c>
      <c r="Y172" s="91">
        <f>VLOOKUP($E$7,BASEPOE3,816,FALSE)</f>
        <v>0</v>
      </c>
      <c r="Z172" s="91">
        <f>VLOOKUP($E$7,BASEPOE3,817,FALSE)</f>
        <v>0</v>
      </c>
      <c r="AA172" s="91">
        <f>VLOOKUP($E$7,BASEPOE3,818,FALSE)</f>
        <v>0</v>
      </c>
      <c r="AB172" s="91">
        <f>VLOOKUP($E$7,BASEPOE3,819,FALSE)</f>
        <v>0</v>
      </c>
      <c r="AC172" s="90">
        <f>VLOOKUP($E$7,BASEPOE3,820,FALSE)</f>
        <v>0</v>
      </c>
      <c r="AD172" s="90">
        <f>VLOOKUP($E$7,BASEPOE3,821,FALSE)</f>
        <v>0</v>
      </c>
      <c r="AE172" s="90">
        <f>VLOOKUP($E$7,BASEPOE3,822,FALSE)</f>
        <v>0</v>
      </c>
      <c r="AF172" s="90">
        <f>VLOOKUP($E$7,BASEPOE3,823,FALSE)</f>
        <v>0</v>
      </c>
      <c r="AG172" s="90">
        <f>VLOOKUP($E$7,BASEPOE3,824,FALSE)</f>
        <v>0</v>
      </c>
      <c r="AH172" s="90">
        <f>VLOOKUP($E$7,BASEPOE3,825,FALSE)</f>
        <v>0</v>
      </c>
      <c r="AI172" s="90">
        <f>VLOOKUP($E$7,BASEPOE3,826,FALSE)</f>
        <v>0</v>
      </c>
      <c r="AJ172" s="90">
        <f>VLOOKUP($E$7,BASEPOE3,827,FALSE)</f>
        <v>0</v>
      </c>
      <c r="AK172" s="90">
        <f>VLOOKUP($E$7,BASEPOE3,828,FALSE)</f>
        <v>0</v>
      </c>
      <c r="AL172" s="90">
        <f>VLOOKUP($E$7,BASEPOE3,829,FALSE)</f>
        <v>0</v>
      </c>
      <c r="AM172" s="90">
        <f>VLOOKUP($E$7,BASEPOE3,830,FALSE)</f>
        <v>0</v>
      </c>
      <c r="AN172" s="90">
        <f>VLOOKUP($E$7,BASEPOE3,831,FALSE)</f>
        <v>0</v>
      </c>
      <c r="AO172" s="90">
        <f>VLOOKUP($E$7,BASEPOE3,832,FALSE)</f>
        <v>0</v>
      </c>
      <c r="AP172" s="90">
        <f>VLOOKUP($E$7,BASEPOE3,833,FALSE)</f>
        <v>0</v>
      </c>
      <c r="AQ172" s="90">
        <f>VLOOKUP($E$7,BASEPOE3,834,FALSE)</f>
        <v>0</v>
      </c>
      <c r="AR172" s="90">
        <f>VLOOKUP($E$7,BASEPOE3,835,FALSE)</f>
        <v>0</v>
      </c>
      <c r="AS172" s="90">
        <f>VLOOKUP($E$7,BASEPOE3,836,FALSE)</f>
        <v>0</v>
      </c>
      <c r="AT172" s="90">
        <f>VLOOKUP($E$7,BASEPOE3,837,FALSE)</f>
        <v>0</v>
      </c>
    </row>
    <row r="173" spans="1:46" x14ac:dyDescent="0.3">
      <c r="A173" s="449"/>
      <c r="B173" s="60">
        <v>20</v>
      </c>
      <c r="C173" s="92" t="str">
        <f>VLOOKUP($E$7,BASEPOE3,838,FALSE)</f>
        <v>Medina Reyes Cristina Alma</v>
      </c>
      <c r="D173" s="88" t="str">
        <f>VLOOKUP($E$7,BASEPOE3,839,FALSE)</f>
        <v>POE</v>
      </c>
      <c r="E173" s="62">
        <f>VLOOKUP($E$7,BASEPOE3,840,FALSE)</f>
        <v>23130843</v>
      </c>
      <c r="F173" s="88">
        <f>VLOOKUP($E$7,BASEPOE3,841,FALSE)</f>
        <v>0</v>
      </c>
      <c r="G173" s="88">
        <f>VLOOKUP($E$7,BASEPOE3,842,FALSE)</f>
        <v>0</v>
      </c>
      <c r="H173" s="89">
        <f>VLOOKUP($E$7,BASEPOE3,843,FALSE)</f>
        <v>45474</v>
      </c>
      <c r="I173" s="89">
        <f>VLOOKUP($E$7,BASEPOE3,844,FALSE)</f>
        <v>45839</v>
      </c>
      <c r="J173" s="89" t="str">
        <f>VLOOKUP($E$7,BASEPOE3,845,FALSE)</f>
        <v>SI</v>
      </c>
      <c r="K173" s="89" t="str">
        <f>VLOOKUP($E$7,BASEPOE3,846,FALSE)</f>
        <v>Vigente</v>
      </c>
      <c r="L173" s="89" t="str">
        <f>VLOOKUP($E$7,BASEPOE3,847,FALSE)</f>
        <v>SI</v>
      </c>
      <c r="M173" s="89" t="str">
        <f>VLOOKUP($E$7,BASEPOE3,848,FALSE)</f>
        <v>Vigente</v>
      </c>
      <c r="N173" s="89" t="str">
        <f>VLOOKUP($E$7,BASEPOE3,849,FALSE)</f>
        <v>NO</v>
      </c>
      <c r="O173" s="89" t="str">
        <f>VLOOKUP($E$7,BASEPOE3,850,FALSE)</f>
        <v>Apendice ByC no llenos-c/historial aparte-falta firma RL</v>
      </c>
      <c r="P173" s="89">
        <f>VLOOKUP($E$7,BASEPOE3,851,FALSE)</f>
        <v>0</v>
      </c>
      <c r="Q173" s="89" t="str">
        <f>VLOOKUP($E$7,BASEPOE3,852,FALSE)</f>
        <v>SI</v>
      </c>
      <c r="R173" s="89" t="str">
        <f>VLOOKUP($E$7,BASEPOE3,853,FALSE)</f>
        <v>SI</v>
      </c>
      <c r="S173" s="89" t="str">
        <f>VLOOKUP($E$7,BASEPOE3,854,FALSE)</f>
        <v>SI</v>
      </c>
      <c r="T173" s="89" t="str">
        <f>VLOOKUP($E$7,BASEPOE3,855,FALSE)</f>
        <v>SI</v>
      </c>
      <c r="U173" s="89" t="str">
        <f>VLOOKUP($E$7,BASEPOE3,856,FALSE)</f>
        <v>SI</v>
      </c>
      <c r="V173" s="89" t="str">
        <f>VLOOKUP($E$7,BASEPOE3,857,FALSE)</f>
        <v>NO</v>
      </c>
      <c r="W173" s="89" t="str">
        <f>VLOOKUP($E$7,BASEPOE3,858,FALSE)</f>
        <v>SI</v>
      </c>
      <c r="X173" s="89">
        <f>VLOOKUP($E$7,BASEPOE3,859,FALSE)</f>
        <v>0</v>
      </c>
      <c r="Y173" s="89">
        <f>VLOOKUP($E$7,BASEPOE3,860,FALSE)</f>
        <v>0</v>
      </c>
      <c r="Z173" s="89">
        <f>VLOOKUP($E$7,BASEPOE3,861,FALSE)</f>
        <v>0</v>
      </c>
      <c r="AA173" s="89" t="str">
        <f>VLOOKUP($E$7,BASEPOE3,862,FALSE)</f>
        <v>SI</v>
      </c>
      <c r="AB173" s="89">
        <f>VLOOKUP($E$7,BASEPOE3,863,FALSE)</f>
        <v>0</v>
      </c>
      <c r="AC173" s="88">
        <f>VLOOKUP($E$7,BASEPOE3,864,FALSE)</f>
        <v>0</v>
      </c>
      <c r="AD173" s="88">
        <f>VLOOKUP($E$7,BASEPOE3,865,FALSE)</f>
        <v>0</v>
      </c>
      <c r="AE173" s="88">
        <f>VLOOKUP($E$7,BASEPOE3,866,FALSE)</f>
        <v>0</v>
      </c>
      <c r="AF173" s="88">
        <f>VLOOKUP($E$7,BASEPOE3,867,FALSE)</f>
        <v>0</v>
      </c>
      <c r="AG173" s="88">
        <f>VLOOKUP($E$7,BASEPOE3,868,FALSE)</f>
        <v>0</v>
      </c>
      <c r="AH173" s="88">
        <f>VLOOKUP($E$7,BASEPOE3,869,FALSE)</f>
        <v>0</v>
      </c>
      <c r="AI173" s="88">
        <f>VLOOKUP($E$7,BASEPOE3,870,FALSE)</f>
        <v>0</v>
      </c>
      <c r="AJ173" s="88">
        <f>VLOOKUP($E$7,BASEPOE3,871,FALSE)</f>
        <v>0</v>
      </c>
      <c r="AK173" s="88">
        <f>VLOOKUP($E$7,BASEPOE3,872,FALSE)</f>
        <v>0</v>
      </c>
      <c r="AL173" s="88">
        <f>VLOOKUP($E$7,BASEPOE3,873,FALSE)</f>
        <v>0</v>
      </c>
      <c r="AM173" s="88" t="str">
        <f>VLOOKUP($E$7,BASEPOE3,874,FALSE)</f>
        <v>SI</v>
      </c>
      <c r="AN173" s="88" t="str">
        <f>VLOOKUP($E$7,BASEPOE3,875,FALSE)</f>
        <v>SI</v>
      </c>
      <c r="AO173" s="88">
        <f>VLOOKUP($E$7,BASEPOE3,876,FALSE)</f>
        <v>0</v>
      </c>
      <c r="AP173" s="88">
        <f>VLOOKUP($E$7,BASEPOE3,877,FALSE)</f>
        <v>0</v>
      </c>
      <c r="AQ173" s="88" t="str">
        <f>VLOOKUP($E$7,BASEPOE3,878,FALSE)</f>
        <v>SI</v>
      </c>
      <c r="AR173" s="88">
        <f>VLOOKUP($E$7,BASEPOE3,879,FALSE)</f>
        <v>0</v>
      </c>
      <c r="AS173" s="88" t="str">
        <f>VLOOKUP($E$7,BASEPOE3,880,FALSE)</f>
        <v>VACIS PORTAL</v>
      </c>
      <c r="AT173" s="88">
        <f>VLOOKUP($E$7,BASEPOE3,881,FALSE)</f>
        <v>0</v>
      </c>
    </row>
    <row r="174" spans="1:46" x14ac:dyDescent="0.3">
      <c r="A174" s="449"/>
      <c r="B174" s="34">
        <v>21</v>
      </c>
      <c r="C174" s="93" t="str">
        <f>VLOOKUP($E$7,BASEPOE3,882,FALSE)</f>
        <v>Narro Prieto Oscar Ronaldo</v>
      </c>
      <c r="D174" s="90">
        <f>VLOOKUP($E$7,BASEPOE3,883,FALSE)</f>
        <v>0</v>
      </c>
      <c r="E174" s="61">
        <f>VLOOKUP($E$7,BASEPOE3,884,FALSE)</f>
        <v>23215973</v>
      </c>
      <c r="F174" s="90">
        <f>VLOOKUP($E$7,BASEPOE3,885,FALSE)</f>
        <v>0</v>
      </c>
      <c r="G174" s="90">
        <f>VLOOKUP($E$7,BASEPOE3,886,FALSE)</f>
        <v>0</v>
      </c>
      <c r="H174" s="91">
        <f>VLOOKUP($E$7,BASEPOE3,887,FALSE)</f>
        <v>44673</v>
      </c>
      <c r="I174" s="91" t="str">
        <f>VLOOKUP($E$7,BASEPOE3,888,FALSE)</f>
        <v>VENCIDA</v>
      </c>
      <c r="J174" s="91" t="str">
        <f>VLOOKUP($E$7,BASEPOE3,889,FALSE)</f>
        <v>SI</v>
      </c>
      <c r="K174" s="91" t="str">
        <f>VLOOKUP($E$7,BASEPOE3,890,FALSE)</f>
        <v>VENCIDA</v>
      </c>
      <c r="L174" s="91" t="str">
        <f>VLOOKUP($E$7,BASEPOE3,891,FALSE)</f>
        <v>SI</v>
      </c>
      <c r="M174" s="91" t="str">
        <f>VLOOKUP($E$7,BASEPOE3,892,FALSE)</f>
        <v>VENCIDA</v>
      </c>
      <c r="N174" s="91" t="str">
        <f>VLOOKUP($E$7,BASEPOE3,893,FALSE)</f>
        <v>NO</v>
      </c>
      <c r="O174" s="91" t="str">
        <f>VLOOKUP($E$7,BASEPOE3,894,FALSE)</f>
        <v>Apendice ByC no llenos-c/historial aparte-falta firma RL</v>
      </c>
      <c r="P174" s="91">
        <f>VLOOKUP($E$7,BASEPOE3,895,FALSE)</f>
        <v>0</v>
      </c>
      <c r="Q174" s="91" t="str">
        <f>VLOOKUP($E$7,BASEPOE3,896,FALSE)</f>
        <v>SI</v>
      </c>
      <c r="R174" s="91" t="str">
        <f>VLOOKUP($E$7,BASEPOE3,897,FALSE)</f>
        <v>SI</v>
      </c>
      <c r="S174" s="91" t="str">
        <f>VLOOKUP($E$7,BASEPOE3,898,FALSE)</f>
        <v>SI</v>
      </c>
      <c r="T174" s="91" t="str">
        <f>VLOOKUP($E$7,BASEPOE3,899,FALSE)</f>
        <v>SI</v>
      </c>
      <c r="U174" s="91" t="str">
        <f>VLOOKUP($E$7,BASEPOE3,900,FALSE)</f>
        <v>SI</v>
      </c>
      <c r="V174" s="91" t="str">
        <f>VLOOKUP($E$7,BASEPOE3,901,FALSE)</f>
        <v>SI</v>
      </c>
      <c r="W174" s="91" t="str">
        <f>VLOOKUP($E$7,BASEPOE3,902,FALSE)</f>
        <v>SI</v>
      </c>
      <c r="X174" s="91">
        <f>VLOOKUP($E$7,BASEPOE3,903,FALSE)</f>
        <v>0</v>
      </c>
      <c r="Y174" s="91">
        <f>VLOOKUP($E$7,BASEPOE3,904,FALSE)</f>
        <v>0</v>
      </c>
      <c r="Z174" s="91">
        <f>VLOOKUP($E$7,BASEPOE3,905,FALSE)</f>
        <v>0</v>
      </c>
      <c r="AA174" s="91">
        <f>VLOOKUP($E$7,BASEPOE3,906,FALSE)</f>
        <v>0</v>
      </c>
      <c r="AB174" s="91">
        <f>VLOOKUP($E$7,BASEPOE3,907,FALSE)</f>
        <v>0</v>
      </c>
      <c r="AC174" s="90">
        <f>VLOOKUP($E$7,BASEPOE3,908,FALSE)</f>
        <v>0</v>
      </c>
      <c r="AD174" s="90">
        <f>VLOOKUP($E$7,BASEPOE3,909,FALSE)</f>
        <v>0</v>
      </c>
      <c r="AE174" s="90">
        <f>VLOOKUP($E$7,BASEPOE3,910,FALSE)</f>
        <v>0</v>
      </c>
      <c r="AF174" s="90">
        <f>VLOOKUP($E$7,BASEPOE3,911,FALSE)</f>
        <v>0</v>
      </c>
      <c r="AG174" s="90" t="str">
        <f>VLOOKUP($E$7,BASEPOE3,912,FALSE)</f>
        <v>SI</v>
      </c>
      <c r="AH174" s="90">
        <f>VLOOKUP($E$7,BASEPOE3,913,FALSE)</f>
        <v>0</v>
      </c>
      <c r="AI174" s="90">
        <f>VLOOKUP($E$7,BASEPOE3,914,FALSE)</f>
        <v>0</v>
      </c>
      <c r="AJ174" s="90">
        <f>VLOOKUP($E$7,BASEPOE3,915,FALSE)</f>
        <v>0</v>
      </c>
      <c r="AK174" s="90">
        <f>VLOOKUP($E$7,BASEPOE3,916,FALSE)</f>
        <v>0</v>
      </c>
      <c r="AL174" s="90">
        <f>VLOOKUP($E$7,BASEPOE3,917,FALSE)</f>
        <v>0</v>
      </c>
      <c r="AM174" s="90" t="str">
        <f>VLOOKUP($E$7,BASEPOE3,918,FALSE)</f>
        <v>SI</v>
      </c>
      <c r="AN174" s="90">
        <f>VLOOKUP($E$7,BASEPOE3,919,FALSE)</f>
        <v>0</v>
      </c>
      <c r="AO174" s="90">
        <f>VLOOKUP($E$7,BASEPOE3,920,FALSE)</f>
        <v>0</v>
      </c>
      <c r="AP174" s="90">
        <f>VLOOKUP($E$7,BASEPOE3,921,FALSE)</f>
        <v>0</v>
      </c>
      <c r="AQ174" s="90" t="str">
        <f>VLOOKUP($E$7,BASEPOE3,922,FALSE)</f>
        <v>SI</v>
      </c>
      <c r="AR174" s="90">
        <f>VLOOKUP($E$7,BASEPOE3,923,FALSE)</f>
        <v>0</v>
      </c>
      <c r="AS174" s="90" t="str">
        <f>VLOOKUP($E$7,BASEPOE3,924,FALSE)</f>
        <v>VACIS PORTAL</v>
      </c>
      <c r="AT174" s="90">
        <f>VLOOKUP($E$7,BASEPOE3,925,FALSE)</f>
        <v>0</v>
      </c>
    </row>
    <row r="175" spans="1:46" x14ac:dyDescent="0.3">
      <c r="A175" s="449"/>
      <c r="B175" s="60">
        <v>22</v>
      </c>
      <c r="C175" s="92" t="str">
        <f>VLOOKUP($E$7,BASEPOE3,926,FALSE)</f>
        <v>Poot Lopez Pedro Jose</v>
      </c>
      <c r="D175" s="88" t="str">
        <f>VLOOKUP($E$7,BASEPOE3,927,FALSE)</f>
        <v>POE</v>
      </c>
      <c r="E175" s="62">
        <f>VLOOKUP($E$7,BASEPOE3,928,FALSE)</f>
        <v>23209190</v>
      </c>
      <c r="F175" s="88">
        <f>VLOOKUP($E$7,BASEPOE3,929,FALSE)</f>
        <v>0</v>
      </c>
      <c r="G175" s="88">
        <f>VLOOKUP($E$7,BASEPOE3,930,FALSE)</f>
        <v>0</v>
      </c>
      <c r="H175" s="89">
        <f>VLOOKUP($E$7,BASEPOE3,931,FALSE)</f>
        <v>45475</v>
      </c>
      <c r="I175" s="89">
        <f>VLOOKUP($E$7,BASEPOE3,932,FALSE)</f>
        <v>45840</v>
      </c>
      <c r="J175" s="89" t="str">
        <f>VLOOKUP($E$7,BASEPOE3,933,FALSE)</f>
        <v>SI</v>
      </c>
      <c r="K175" s="89" t="str">
        <f>VLOOKUP($E$7,BASEPOE3,934,FALSE)</f>
        <v>Vigente</v>
      </c>
      <c r="L175" s="89" t="str">
        <f>VLOOKUP($E$7,BASEPOE3,935,FALSE)</f>
        <v>SI</v>
      </c>
      <c r="M175" s="89" t="str">
        <f>VLOOKUP($E$7,BASEPOE3,936,FALSE)</f>
        <v>Vigente</v>
      </c>
      <c r="N175" s="89" t="str">
        <f>VLOOKUP($E$7,BASEPOE3,937,FALSE)</f>
        <v>NO</v>
      </c>
      <c r="O175" s="89" t="str">
        <f>VLOOKUP($E$7,BASEPOE3,938,FALSE)</f>
        <v>Apendice ByC no llenos-c/historial aparte-falta firma RL</v>
      </c>
      <c r="P175" s="89" t="str">
        <f>VLOOKUP($E$7,BASEPOE3,939,FALSE)</f>
        <v>TITULO EN DERECHO</v>
      </c>
      <c r="Q175" s="89">
        <f>VLOOKUP($E$7,BASEPOE3,940,FALSE)</f>
        <v>0</v>
      </c>
      <c r="R175" s="89" t="str">
        <f>VLOOKUP($E$7,BASEPOE3,941,FALSE)</f>
        <v>SI</v>
      </c>
      <c r="S175" s="89" t="str">
        <f>VLOOKUP($E$7,BASEPOE3,942,FALSE)</f>
        <v>SI</v>
      </c>
      <c r="T175" s="89" t="str">
        <f>VLOOKUP($E$7,BASEPOE3,943,FALSE)</f>
        <v>SI</v>
      </c>
      <c r="U175" s="89" t="str">
        <f>VLOOKUP($E$7,BASEPOE3,944,FALSE)</f>
        <v>SI</v>
      </c>
      <c r="V175" s="89" t="str">
        <f>VLOOKUP($E$7,BASEPOE3,945,FALSE)</f>
        <v>NO</v>
      </c>
      <c r="W175" s="89" t="str">
        <f>VLOOKUP($E$7,BASEPOE3,946,FALSE)</f>
        <v>SI</v>
      </c>
      <c r="X175" s="89">
        <f>VLOOKUP($E$7,BASEPOE3,947,FALSE)</f>
        <v>0</v>
      </c>
      <c r="Y175" s="89">
        <f>VLOOKUP($E$7,BASEPOE3,948,FALSE)</f>
        <v>0</v>
      </c>
      <c r="Z175" s="89">
        <f>VLOOKUP($E$7,BASEPOE3,949,FALSE)</f>
        <v>0</v>
      </c>
      <c r="AA175" s="89" t="str">
        <f>VLOOKUP($E$7,BASEPOE3,950,FALSE)</f>
        <v>SI</v>
      </c>
      <c r="AB175" s="89">
        <f>VLOOKUP($E$7,BASEPOE3,951,FALSE)</f>
        <v>0</v>
      </c>
      <c r="AC175" s="88">
        <f>VLOOKUP($E$7,BASEPOE3,952,FALSE)</f>
        <v>0</v>
      </c>
      <c r="AD175" s="88">
        <f>VLOOKUP($E$7,BASEPOE3,953,FALSE)</f>
        <v>0</v>
      </c>
      <c r="AE175" s="88">
        <f>VLOOKUP($E$7,BASEPOE3,954,FALSE)</f>
        <v>0</v>
      </c>
      <c r="AF175" s="88">
        <f>VLOOKUP($E$7,BASEPOE3,955,FALSE)</f>
        <v>0</v>
      </c>
      <c r="AG175" s="88">
        <f>VLOOKUP($E$7,BASEPOE3,956,FALSE)</f>
        <v>0</v>
      </c>
      <c r="AH175" s="88">
        <f>VLOOKUP($E$7,BASEPOE3,957,FALSE)</f>
        <v>0</v>
      </c>
      <c r="AI175" s="88">
        <f>VLOOKUP($E$7,BASEPOE3,958,FALSE)</f>
        <v>0</v>
      </c>
      <c r="AJ175" s="88">
        <f>VLOOKUP($E$7,BASEPOE3,959,FALSE)</f>
        <v>0</v>
      </c>
      <c r="AK175" s="88">
        <f>VLOOKUP($E$7,BASEPOE3,960,FALSE)</f>
        <v>0</v>
      </c>
      <c r="AL175" s="88">
        <f>VLOOKUP($E$7,BASEPOE3,961,FALSE)</f>
        <v>0</v>
      </c>
      <c r="AM175" s="88" t="str">
        <f>VLOOKUP($E$7,BASEPOE3,962,FALSE)</f>
        <v>SI</v>
      </c>
      <c r="AN175" s="88" t="str">
        <f>VLOOKUP($E$7,BASEPOE3,963,FALSE)</f>
        <v>SI</v>
      </c>
      <c r="AO175" s="88">
        <f>VLOOKUP($E$7,BASEPOE3,964,FALSE)</f>
        <v>0</v>
      </c>
      <c r="AP175" s="88">
        <f>VLOOKUP($E$7,BASEPOE3,965,FALSE)</f>
        <v>0</v>
      </c>
      <c r="AQ175" s="88" t="str">
        <f>VLOOKUP($E$7,BASEPOE3,966,FALSE)</f>
        <v>SI</v>
      </c>
      <c r="AR175" s="88">
        <f>VLOOKUP($E$7,BASEPOE3,967,FALSE)</f>
        <v>0</v>
      </c>
      <c r="AS175" s="88" t="str">
        <f>VLOOKUP($E$7,BASEPOE3,968,FALSE)</f>
        <v>VACIS PORTAL</v>
      </c>
      <c r="AT175" s="88">
        <f>VLOOKUP($E$7,BASEPOE3,969,FALSE)</f>
        <v>0</v>
      </c>
    </row>
    <row r="176" spans="1:46" x14ac:dyDescent="0.3">
      <c r="A176" s="449"/>
      <c r="B176" s="34">
        <v>23</v>
      </c>
      <c r="C176" s="93" t="str">
        <f>VLOOKUP($E$7,BASEPOE3,970,FALSE)</f>
        <v>Reyna Perez Leticia</v>
      </c>
      <c r="D176" s="90" t="str">
        <f>VLOOKUP($E$7,BASEPOE3,971,FALSE)</f>
        <v>POE</v>
      </c>
      <c r="E176" s="61">
        <f>VLOOKUP($E$7,BASEPOE3,972,FALSE)</f>
        <v>23202622</v>
      </c>
      <c r="F176" s="90">
        <f>VLOOKUP($E$7,BASEPOE3,973,FALSE)</f>
        <v>0</v>
      </c>
      <c r="G176" s="90">
        <f>VLOOKUP($E$7,BASEPOE3,974,FALSE)</f>
        <v>0</v>
      </c>
      <c r="H176" s="91" t="str">
        <f>VLOOKUP($E$7,BASEPOE3,975,FALSE)</f>
        <v>25-ABR-23</v>
      </c>
      <c r="I176" s="91" t="str">
        <f>VLOOKUP($E$7,BASEPOE3,976,FALSE)</f>
        <v>VENCIDA</v>
      </c>
      <c r="J176" s="91" t="str">
        <f>VLOOKUP($E$7,BASEPOE3,977,FALSE)</f>
        <v>SI</v>
      </c>
      <c r="K176" s="91" t="str">
        <f>VLOOKUP($E$7,BASEPOE3,978,FALSE)</f>
        <v>VENCIDA</v>
      </c>
      <c r="L176" s="91" t="str">
        <f>VLOOKUP($E$7,BASEPOE3,979,FALSE)</f>
        <v>SI</v>
      </c>
      <c r="M176" s="91" t="str">
        <f>VLOOKUP($E$7,BASEPOE3,980,FALSE)</f>
        <v>VENCIDA</v>
      </c>
      <c r="N176" s="91" t="str">
        <f>VLOOKUP($E$7,BASEPOE3,981,FALSE)</f>
        <v>NO</v>
      </c>
      <c r="O176" s="91" t="str">
        <f>VLOOKUP($E$7,BASEPOE3,982,FALSE)</f>
        <v>Apendice ByC no llenos-c/historial aparte-falta firma RL</v>
      </c>
      <c r="P176" s="91" t="str">
        <f>VLOOKUP($E$7,BASEPOE3,983,FALSE)</f>
        <v>SI</v>
      </c>
      <c r="Q176" s="91">
        <f>VLOOKUP($E$7,BASEPOE3,984,FALSE)</f>
        <v>0</v>
      </c>
      <c r="R176" s="91" t="str">
        <f>VLOOKUP($E$7,BASEPOE3,985,FALSE)</f>
        <v>SI</v>
      </c>
      <c r="S176" s="91" t="str">
        <f>VLOOKUP($E$7,BASEPOE3,986,FALSE)</f>
        <v>SI</v>
      </c>
      <c r="T176" s="91" t="str">
        <f>VLOOKUP($E$7,BASEPOE3,987,FALSE)</f>
        <v>SI</v>
      </c>
      <c r="U176" s="91" t="str">
        <f>VLOOKUP($E$7,BASEPOE3,988,FALSE)</f>
        <v>SI</v>
      </c>
      <c r="V176" s="91" t="str">
        <f>VLOOKUP($E$7,BASEPOE3,989,FALSE)</f>
        <v>SI</v>
      </c>
      <c r="W176" s="91" t="str">
        <f>VLOOKUP($E$7,BASEPOE3,990,FALSE)</f>
        <v>SI</v>
      </c>
      <c r="X176" s="91">
        <f>VLOOKUP($E$7,BASEPOE3,991,FALSE)</f>
        <v>0</v>
      </c>
      <c r="Y176" s="91">
        <f>VLOOKUP($E$7,BASEPOE3,992,FALSE)</f>
        <v>0</v>
      </c>
      <c r="Z176" s="91">
        <f>VLOOKUP($E$7,BASEPOE3,993,FALSE)</f>
        <v>0</v>
      </c>
      <c r="AA176" s="91" t="str">
        <f>VLOOKUP($E$7,BASEPOE3,994,FALSE)</f>
        <v>SI</v>
      </c>
      <c r="AB176" s="91">
        <f>VLOOKUP($E$7,BASEPOE3,995,FALSE)</f>
        <v>0</v>
      </c>
      <c r="AC176" s="90">
        <f>VLOOKUP($E$7,BASEPOE3,996,FALSE)</f>
        <v>0</v>
      </c>
      <c r="AD176" s="90">
        <f>VLOOKUP($E$7,BASEPOE3,997,FALSE)</f>
        <v>0</v>
      </c>
      <c r="AE176" s="90">
        <f>VLOOKUP($E$7,BASEPOE3,998,FALSE)</f>
        <v>0</v>
      </c>
      <c r="AF176" s="90">
        <f>VLOOKUP($E$7,BASEPOE3,999,FALSE)</f>
        <v>0</v>
      </c>
      <c r="AG176" s="90">
        <f>VLOOKUP($E$7,BASEPOE3,1000,FALSE)</f>
        <v>0</v>
      </c>
      <c r="AH176" s="90">
        <f>VLOOKUP($E$7,BASEPOE3,1001,FALSE)</f>
        <v>0</v>
      </c>
      <c r="AI176" s="90">
        <f>VLOOKUP($E$7,BASEPOE3,1002,FALSE)</f>
        <v>0</v>
      </c>
      <c r="AJ176" s="90">
        <f>VLOOKUP($E$7,BASEPOE3,1003,FALSE)</f>
        <v>0</v>
      </c>
      <c r="AK176" s="90">
        <f>VLOOKUP($E$7,BASEPOE3,1004,FALSE)</f>
        <v>0</v>
      </c>
      <c r="AL176" s="90">
        <f>VLOOKUP($E$7,BASEPOE3,1005,FALSE)</f>
        <v>0</v>
      </c>
      <c r="AM176" s="90" t="str">
        <f>VLOOKUP($E$7,BASEPOE3,1006,FALSE)</f>
        <v>SI</v>
      </c>
      <c r="AN176" s="90" t="str">
        <f>VLOOKUP($E$7,BASEPOE3,1007,FALSE)</f>
        <v>SI</v>
      </c>
      <c r="AO176" s="90">
        <f>VLOOKUP($E$7,BASEPOE3,1008,FALSE)</f>
        <v>0</v>
      </c>
      <c r="AP176" s="90">
        <f>VLOOKUP($E$7,BASEPOE3,1009,FALSE)</f>
        <v>0</v>
      </c>
      <c r="AQ176" s="90" t="str">
        <f>VLOOKUP($E$7,BASEPOE3,1010,FALSE)</f>
        <v>SI</v>
      </c>
      <c r="AR176" s="90">
        <f>VLOOKUP($E$7,BASEPOE3,1011,FALSE)</f>
        <v>0</v>
      </c>
      <c r="AS176" s="90">
        <f>VLOOKUP($E$7,BASEPOE3,1012,FALSE)</f>
        <v>0</v>
      </c>
      <c r="AT176" s="90">
        <f>VLOOKUP($E$7,BASEPOE3,1013,FALSE)</f>
        <v>0</v>
      </c>
    </row>
    <row r="177" spans="1:46" x14ac:dyDescent="0.3">
      <c r="A177" s="449"/>
      <c r="B177" s="60">
        <v>24</v>
      </c>
      <c r="C177" s="92" t="str">
        <f>VLOOKUP($E$7,BASEPOE3,1014,FALSE)</f>
        <v>Ruiseor Martinez Omara</v>
      </c>
      <c r="D177" s="88" t="str">
        <f>VLOOKUP($E$7,BASEPOE3,1015,FALSE)</f>
        <v>POE</v>
      </c>
      <c r="E177" s="62">
        <f>VLOOKUP($E$7,BASEPOE3,1016,FALSE)</f>
        <v>23202261</v>
      </c>
      <c r="F177" s="88">
        <f>VLOOKUP($E$7,BASEPOE3,1017,FALSE)</f>
        <v>0</v>
      </c>
      <c r="G177" s="88">
        <f>VLOOKUP($E$7,BASEPOE3,1018,FALSE)</f>
        <v>0</v>
      </c>
      <c r="H177" s="89">
        <f>VLOOKUP($E$7,BASEPOE3,1019,FALSE)</f>
        <v>45041</v>
      </c>
      <c r="I177" s="89" t="str">
        <f>VLOOKUP($E$7,BASEPOE3,1020,FALSE)</f>
        <v>VENCIDA</v>
      </c>
      <c r="J177" s="89" t="str">
        <f>VLOOKUP($E$7,BASEPOE3,1021,FALSE)</f>
        <v>SI</v>
      </c>
      <c r="K177" s="89" t="str">
        <f>VLOOKUP($E$7,BASEPOE3,1022,FALSE)</f>
        <v>VENCIDA</v>
      </c>
      <c r="L177" s="89" t="str">
        <f>VLOOKUP($E$7,BASEPOE3,1023,FALSE)</f>
        <v>SI</v>
      </c>
      <c r="M177" s="89" t="str">
        <f>VLOOKUP($E$7,BASEPOE3,1024,FALSE)</f>
        <v>VENCIDA</v>
      </c>
      <c r="N177" s="89" t="str">
        <f>VLOOKUP($E$7,BASEPOE3,1025,FALSE)</f>
        <v>NO</v>
      </c>
      <c r="O177" s="89" t="str">
        <f>VLOOKUP($E$7,BASEPOE3,1026,FALSE)</f>
        <v>Apendice ByC no llenos-c/historial aparte-falta firma RL</v>
      </c>
      <c r="P177" s="89" t="str">
        <f>VLOOKUP($E$7,BASEPOE3,1027,FALSE)</f>
        <v>SI</v>
      </c>
      <c r="Q177" s="89">
        <f>VLOOKUP($E$7,BASEPOE3,1028,FALSE)</f>
        <v>0</v>
      </c>
      <c r="R177" s="89" t="str">
        <f>VLOOKUP($E$7,BASEPOE3,1029,FALSE)</f>
        <v>SI</v>
      </c>
      <c r="S177" s="89" t="str">
        <f>VLOOKUP($E$7,BASEPOE3,1030,FALSE)</f>
        <v>SI</v>
      </c>
      <c r="T177" s="89" t="str">
        <f>VLOOKUP($E$7,BASEPOE3,1031,FALSE)</f>
        <v>SI</v>
      </c>
      <c r="U177" s="89" t="str">
        <f>VLOOKUP($E$7,BASEPOE3,1032,FALSE)</f>
        <v>SI</v>
      </c>
      <c r="V177" s="89" t="str">
        <f>VLOOKUP($E$7,BASEPOE3,1033,FALSE)</f>
        <v>SI</v>
      </c>
      <c r="W177" s="89" t="str">
        <f>VLOOKUP($E$7,BASEPOE3,1034,FALSE)</f>
        <v>SI</v>
      </c>
      <c r="X177" s="89">
        <f>VLOOKUP($E$7,BASEPOE3,1035,FALSE)</f>
        <v>0</v>
      </c>
      <c r="Y177" s="89">
        <f>VLOOKUP($E$7,BASEPOE3,1036,FALSE)</f>
        <v>0</v>
      </c>
      <c r="Z177" s="89">
        <f>VLOOKUP($E$7,BASEPOE3,1037,FALSE)</f>
        <v>0</v>
      </c>
      <c r="AA177" s="89" t="str">
        <f>VLOOKUP($E$7,BASEPOE3,1038,FALSE)</f>
        <v>SI</v>
      </c>
      <c r="AB177" s="89">
        <f>VLOOKUP($E$7,BASEPOE3,1039,FALSE)</f>
        <v>0</v>
      </c>
      <c r="AC177" s="88">
        <f>VLOOKUP($E$7,BASEPOE3,1040,FALSE)</f>
        <v>0</v>
      </c>
      <c r="AD177" s="88">
        <f>VLOOKUP($E$7,BASEPOE3,1041,FALSE)</f>
        <v>0</v>
      </c>
      <c r="AE177" s="88">
        <f>VLOOKUP($E$7,BASEPOE3,1042,FALSE)</f>
        <v>0</v>
      </c>
      <c r="AF177" s="88">
        <f>VLOOKUP($E$7,BASEPOE3,1043,FALSE)</f>
        <v>0</v>
      </c>
      <c r="AG177" s="88" t="str">
        <f>VLOOKUP($E$7,BASEPOE3,1044,FALSE)</f>
        <v>SI</v>
      </c>
      <c r="AH177" s="88">
        <f>VLOOKUP($E$7,BASEPOE3,1045,FALSE)</f>
        <v>0</v>
      </c>
      <c r="AI177" s="88">
        <f>VLOOKUP($E$7,BASEPOE3,1046,FALSE)</f>
        <v>0</v>
      </c>
      <c r="AJ177" s="88">
        <f>VLOOKUP($E$7,BASEPOE3,1047,FALSE)</f>
        <v>0</v>
      </c>
      <c r="AK177" s="88">
        <f>VLOOKUP($E$7,BASEPOE3,1048,FALSE)</f>
        <v>0</v>
      </c>
      <c r="AL177" s="88">
        <f>VLOOKUP($E$7,BASEPOE3,1049,FALSE)</f>
        <v>0</v>
      </c>
      <c r="AM177" s="88">
        <f>VLOOKUP($E$7,BASEPOE3,1050,FALSE)</f>
        <v>0</v>
      </c>
      <c r="AN177" s="88" t="str">
        <f>VLOOKUP($E$7,BASEPOE3,1051,FALSE)</f>
        <v>SI</v>
      </c>
      <c r="AO177" s="88">
        <f>VLOOKUP($E$7,BASEPOE3,1052,FALSE)</f>
        <v>0</v>
      </c>
      <c r="AP177" s="88">
        <f>VLOOKUP($E$7,BASEPOE3,1053,FALSE)</f>
        <v>0</v>
      </c>
      <c r="AQ177" s="88">
        <f>VLOOKUP($E$7,BASEPOE3,1054,FALSE)</f>
        <v>0</v>
      </c>
      <c r="AR177" s="88">
        <f>VLOOKUP($E$7,BASEPOE3,1055,FALSE)</f>
        <v>0</v>
      </c>
      <c r="AS177" s="88" t="str">
        <f>VLOOKUP($E$7,BASEPOE3,1056,FALSE)</f>
        <v>THSCAN</v>
      </c>
      <c r="AT177" s="88">
        <f>VLOOKUP($E$7,BASEPOE3,1057,FALSE)</f>
        <v>0</v>
      </c>
    </row>
    <row r="178" spans="1:46" x14ac:dyDescent="0.3">
      <c r="A178" s="449"/>
      <c r="B178" s="34">
        <v>25</v>
      </c>
      <c r="C178" s="93" t="str">
        <f>VLOOKUP($E$7,BASEPOE3,1058,FALSE)</f>
        <v>Sanchez Casango Ignacio</v>
      </c>
      <c r="D178" s="90" t="str">
        <f>VLOOKUP($E$7,BASEPOE3,1059,FALSE)</f>
        <v>POE</v>
      </c>
      <c r="E178" s="61">
        <f>VLOOKUP($E$7,BASEPOE3,1060,FALSE)</f>
        <v>23202751</v>
      </c>
      <c r="F178" s="90">
        <f>VLOOKUP($E$7,BASEPOE3,1061,FALSE)</f>
        <v>0</v>
      </c>
      <c r="G178" s="90">
        <f>VLOOKUP($E$7,BASEPOE3,1062,FALSE)</f>
        <v>0</v>
      </c>
      <c r="H178" s="91">
        <f>VLOOKUP($E$7,BASEPOE3,1063,FALSE)</f>
        <v>45477</v>
      </c>
      <c r="I178" s="91">
        <f>VLOOKUP($E$7,BASEPOE3,1064,FALSE)</f>
        <v>45842</v>
      </c>
      <c r="J178" s="91" t="str">
        <f>VLOOKUP($E$7,BASEPOE3,1065,FALSE)</f>
        <v>SI</v>
      </c>
      <c r="K178" s="91" t="str">
        <f>VLOOKUP($E$7,BASEPOE3,1066,FALSE)</f>
        <v>Vigente</v>
      </c>
      <c r="L178" s="91" t="str">
        <f>VLOOKUP($E$7,BASEPOE3,1067,FALSE)</f>
        <v>SI</v>
      </c>
      <c r="M178" s="91" t="str">
        <f>VLOOKUP($E$7,BASEPOE3,1068,FALSE)</f>
        <v>Vigente</v>
      </c>
      <c r="N178" s="91" t="str">
        <f>VLOOKUP($E$7,BASEPOE3,1069,FALSE)</f>
        <v>NO</v>
      </c>
      <c r="O178" s="91" t="str">
        <f>VLOOKUP($E$7,BASEPOE3,1070,FALSE)</f>
        <v>Apendice ByC no llenos-c/historial aparte-falta firma RL</v>
      </c>
      <c r="P178" s="91" t="str">
        <f>VLOOKUP($E$7,BASEPOE3,1071,FALSE)</f>
        <v>BACHILLERATO</v>
      </c>
      <c r="Q178" s="91">
        <f>VLOOKUP($E$7,BASEPOE3,1072,FALSE)</f>
        <v>0</v>
      </c>
      <c r="R178" s="91" t="str">
        <f>VLOOKUP($E$7,BASEPOE3,1073,FALSE)</f>
        <v>SI</v>
      </c>
      <c r="S178" s="91" t="str">
        <f>VLOOKUP($E$7,BASEPOE3,1074,FALSE)</f>
        <v>INE CON FOTO NO LEGIBLE</v>
      </c>
      <c r="T178" s="91">
        <f>VLOOKUP($E$7,BASEPOE3,1075,FALSE)</f>
        <v>0</v>
      </c>
      <c r="U178" s="91">
        <f>VLOOKUP($E$7,BASEPOE3,1076,FALSE)</f>
        <v>0</v>
      </c>
      <c r="V178" s="91">
        <f>VLOOKUP($E$7,BASEPOE3,1077,FALSE)</f>
        <v>0</v>
      </c>
      <c r="W178" s="91" t="str">
        <f>VLOOKUP($E$7,BASEPOE3,1078,FALSE)</f>
        <v>SI</v>
      </c>
      <c r="X178" s="91">
        <f>VLOOKUP($E$7,BASEPOE3,1079,FALSE)</f>
        <v>0</v>
      </c>
      <c r="Y178" s="91">
        <f>VLOOKUP($E$7,BASEPOE3,1080,FALSE)</f>
        <v>0</v>
      </c>
      <c r="Z178" s="91">
        <f>VLOOKUP($E$7,BASEPOE3,1081,FALSE)</f>
        <v>0</v>
      </c>
      <c r="AA178" s="91">
        <f>VLOOKUP($E$7,BASEPOE3,1082,FALSE)</f>
        <v>0</v>
      </c>
      <c r="AB178" s="91">
        <f>VLOOKUP($E$7,BASEPOE3,1083,FALSE)</f>
        <v>0</v>
      </c>
      <c r="AC178" s="90">
        <f>VLOOKUP($E$7,BASEPOE3,1084,FALSE)</f>
        <v>0</v>
      </c>
      <c r="AD178" s="90">
        <f>VLOOKUP($E$7,BASEPOE3,1085,FALSE)</f>
        <v>0</v>
      </c>
      <c r="AE178" s="90">
        <f>VLOOKUP($E$7,BASEPOE3,1086,FALSE)</f>
        <v>0</v>
      </c>
      <c r="AF178" s="90">
        <f>VLOOKUP($E$7,BASEPOE3,1087,FALSE)</f>
        <v>0</v>
      </c>
      <c r="AG178" s="90">
        <f>VLOOKUP($E$7,BASEPOE3,1088,FALSE)</f>
        <v>0</v>
      </c>
      <c r="AH178" s="90">
        <f>VLOOKUP($E$7,BASEPOE3,1089,FALSE)</f>
        <v>0</v>
      </c>
      <c r="AI178" s="90">
        <f>VLOOKUP($E$7,BASEPOE3,1090,FALSE)</f>
        <v>0</v>
      </c>
      <c r="AJ178" s="90">
        <f>VLOOKUP($E$7,BASEPOE3,1091,FALSE)</f>
        <v>0</v>
      </c>
      <c r="AK178" s="90">
        <f>VLOOKUP($E$7,BASEPOE3,1092,FALSE)</f>
        <v>0</v>
      </c>
      <c r="AL178" s="90">
        <f>VLOOKUP($E$7,BASEPOE3,1093,FALSE)</f>
        <v>0</v>
      </c>
      <c r="AM178" s="90">
        <f>VLOOKUP($E$7,BASEPOE3,1094,FALSE)</f>
        <v>0</v>
      </c>
      <c r="AN178" s="90" t="str">
        <f>VLOOKUP($E$7,BASEPOE3,1095,FALSE)</f>
        <v>SI</v>
      </c>
      <c r="AO178" s="90">
        <f>VLOOKUP($E$7,BASEPOE3,1096,FALSE)</f>
        <v>0</v>
      </c>
      <c r="AP178" s="90">
        <f>VLOOKUP($E$7,BASEPOE3,1097,FALSE)</f>
        <v>0</v>
      </c>
      <c r="AQ178" s="90" t="str">
        <f>VLOOKUP($E$7,BASEPOE3,1098,FALSE)</f>
        <v>SI</v>
      </c>
      <c r="AR178" s="90">
        <f>VLOOKUP($E$7,BASEPOE3,1099,FALSE)</f>
        <v>0</v>
      </c>
      <c r="AS178" s="90" t="str">
        <f>VLOOKUP($E$7,BASEPOE3,1100,FALSE)</f>
        <v>THSCAN</v>
      </c>
      <c r="AT178" s="90">
        <f>VLOOKUP($E$7,BASEPOE3,1101,FALSE)</f>
        <v>0</v>
      </c>
    </row>
    <row r="179" spans="1:46" x14ac:dyDescent="0.3">
      <c r="A179" s="449"/>
      <c r="B179" s="60">
        <v>26</v>
      </c>
      <c r="C179" s="92" t="str">
        <f>VLOOKUP($E$7,BASEPOE3,1102,FALSE)</f>
        <v>Santos Hernandez Daniel De Jesus</v>
      </c>
      <c r="D179" s="88" t="str">
        <f>VLOOKUP($E$7,BASEPOE3,1103,FALSE)</f>
        <v>POE</v>
      </c>
      <c r="E179" s="62">
        <f>VLOOKUP($E$7,BASEPOE3,1104,FALSE)</f>
        <v>23139790</v>
      </c>
      <c r="F179" s="88">
        <f>VLOOKUP($E$7,BASEPOE3,1105,FALSE)</f>
        <v>0</v>
      </c>
      <c r="G179" s="88">
        <f>VLOOKUP($E$7,BASEPOE3,1106,FALSE)</f>
        <v>0</v>
      </c>
      <c r="H179" s="89">
        <f>VLOOKUP($E$7,BASEPOE3,1107,FALSE)</f>
        <v>45476</v>
      </c>
      <c r="I179" s="89">
        <f>VLOOKUP($E$7,BASEPOE3,1108,FALSE)</f>
        <v>45841</v>
      </c>
      <c r="J179" s="89" t="str">
        <f>VLOOKUP($E$7,BASEPOE3,1109,FALSE)</f>
        <v>SI</v>
      </c>
      <c r="K179" s="89" t="str">
        <f>VLOOKUP($E$7,BASEPOE3,1110,FALSE)</f>
        <v>Vigente</v>
      </c>
      <c r="L179" s="89" t="str">
        <f>VLOOKUP($E$7,BASEPOE3,1111,FALSE)</f>
        <v>SI</v>
      </c>
      <c r="M179" s="89" t="str">
        <f>VLOOKUP($E$7,BASEPOE3,1112,FALSE)</f>
        <v>Vigente</v>
      </c>
      <c r="N179" s="89" t="str">
        <f>VLOOKUP($E$7,BASEPOE3,1113,FALSE)</f>
        <v>NO</v>
      </c>
      <c r="O179" s="89" t="str">
        <f>VLOOKUP($E$7,BASEPOE3,1114,FALSE)</f>
        <v>Apendice ByC no llenos-c/historial aparte-falta firma RL</v>
      </c>
      <c r="P179" s="89" t="str">
        <f>VLOOKUP($E$7,BASEPOE3,1115,FALSE)</f>
        <v>CARTA PASANTE</v>
      </c>
      <c r="Q179" s="89">
        <f>VLOOKUP($E$7,BASEPOE3,1116,FALSE)</f>
        <v>0</v>
      </c>
      <c r="R179" s="89" t="str">
        <f>VLOOKUP($E$7,BASEPOE3,1117,FALSE)</f>
        <v>SI</v>
      </c>
      <c r="S179" s="89" t="str">
        <f>VLOOKUP($E$7,BASEPOE3,1118,FALSE)</f>
        <v>SI</v>
      </c>
      <c r="T179" s="89" t="str">
        <f>VLOOKUP($E$7,BASEPOE3,1119,FALSE)</f>
        <v>SI</v>
      </c>
      <c r="U179" s="89" t="str">
        <f>VLOOKUP($E$7,BASEPOE3,1120,FALSE)</f>
        <v>SI</v>
      </c>
      <c r="V179" s="89" t="str">
        <f>VLOOKUP($E$7,BASEPOE3,1121,FALSE)</f>
        <v>NO</v>
      </c>
      <c r="W179" s="89" t="str">
        <f>VLOOKUP($E$7,BASEPOE3,1122,FALSE)</f>
        <v>SI</v>
      </c>
      <c r="X179" s="89">
        <f>VLOOKUP($E$7,BASEPOE3,1123,FALSE)</f>
        <v>0</v>
      </c>
      <c r="Y179" s="89">
        <f>VLOOKUP($E$7,BASEPOE3,1124,FALSE)</f>
        <v>0</v>
      </c>
      <c r="Z179" s="89">
        <f>VLOOKUP($E$7,BASEPOE3,1125,FALSE)</f>
        <v>0</v>
      </c>
      <c r="AA179" s="89" t="str">
        <f>VLOOKUP($E$7,BASEPOE3,1126,FALSE)</f>
        <v>SI</v>
      </c>
      <c r="AB179" s="89">
        <f>VLOOKUP($E$7,BASEPOE3,1127,FALSE)</f>
        <v>0</v>
      </c>
      <c r="AC179" s="88">
        <f>VLOOKUP($E$7,BASEPOE3,1128,FALSE)</f>
        <v>0</v>
      </c>
      <c r="AD179" s="88">
        <f>VLOOKUP($E$7,BASEPOE3,1129,FALSE)</f>
        <v>0</v>
      </c>
      <c r="AE179" s="88">
        <f>VLOOKUP($E$7,BASEPOE3,1130,FALSE)</f>
        <v>0</v>
      </c>
      <c r="AF179" s="88">
        <f>VLOOKUP($E$7,BASEPOE3,1131,FALSE)</f>
        <v>0</v>
      </c>
      <c r="AG179" s="88">
        <f>VLOOKUP($E$7,BASEPOE3,1132,FALSE)</f>
        <v>0</v>
      </c>
      <c r="AH179" s="88">
        <f>VLOOKUP($E$7,BASEPOE3,1133,FALSE)</f>
        <v>0</v>
      </c>
      <c r="AI179" s="88">
        <f>VLOOKUP($E$7,BASEPOE3,1134,FALSE)</f>
        <v>0</v>
      </c>
      <c r="AJ179" s="88">
        <f>VLOOKUP($E$7,BASEPOE3,1135,FALSE)</f>
        <v>0</v>
      </c>
      <c r="AK179" s="88">
        <f>VLOOKUP($E$7,BASEPOE3,1136,FALSE)</f>
        <v>0</v>
      </c>
      <c r="AL179" s="88">
        <f>VLOOKUP($E$7,BASEPOE3,1137,FALSE)</f>
        <v>0</v>
      </c>
      <c r="AM179" s="88" t="str">
        <f>VLOOKUP($E$7,BASEPOE3,1138,FALSE)</f>
        <v>SI</v>
      </c>
      <c r="AN179" s="88" t="str">
        <f>VLOOKUP($E$7,BASEPOE3,1139,FALSE)</f>
        <v>SI</v>
      </c>
      <c r="AO179" s="88">
        <f>VLOOKUP($E$7,BASEPOE3,1140,FALSE)</f>
        <v>0</v>
      </c>
      <c r="AP179" s="88">
        <f>VLOOKUP($E$7,BASEPOE3,1141,FALSE)</f>
        <v>0</v>
      </c>
      <c r="AQ179" s="88" t="str">
        <f>VLOOKUP($E$7,BASEPOE3,1142,FALSE)</f>
        <v>SI</v>
      </c>
      <c r="AR179" s="88">
        <f>VLOOKUP($E$7,BASEPOE3,1143,FALSE)</f>
        <v>0</v>
      </c>
      <c r="AS179" s="88" t="str">
        <f>VLOOKUP($E$7,BASEPOE3,1144,FALSE)</f>
        <v>VACIS PORTAL</v>
      </c>
      <c r="AT179" s="88">
        <f>VLOOKUP($E$7,BASEPOE3,1145,FALSE)</f>
        <v>0</v>
      </c>
    </row>
    <row r="180" spans="1:46" x14ac:dyDescent="0.3">
      <c r="A180" s="449"/>
      <c r="B180" s="34">
        <v>27</v>
      </c>
      <c r="C180" s="93" t="str">
        <f>VLOOKUP($E$7,BASEPOE3,1146,FALSE)</f>
        <v>Varela Gonzalez Karla Cristina</v>
      </c>
      <c r="D180" s="90" t="str">
        <f>VLOOKUP($E$7,BASEPOE3,1147,FALSE)</f>
        <v>AUX ESR</v>
      </c>
      <c r="E180" s="61">
        <f>VLOOKUP($E$7,BASEPOE3,1148,FALSE)</f>
        <v>23140582</v>
      </c>
      <c r="F180" s="90">
        <f>VLOOKUP($E$7,BASEPOE3,1149,FALSE)</f>
        <v>0</v>
      </c>
      <c r="G180" s="90">
        <f>VLOOKUP($E$7,BASEPOE3,1150,FALSE)</f>
        <v>0</v>
      </c>
      <c r="H180" s="91" t="str">
        <f>VLOOKUP($E$7,BASEPOE3,1151,FALSE)</f>
        <v>24-ABR-23</v>
      </c>
      <c r="I180" s="91" t="str">
        <f>VLOOKUP($E$7,BASEPOE3,1152,FALSE)</f>
        <v>VENCIDA</v>
      </c>
      <c r="J180" s="91" t="str">
        <f>VLOOKUP($E$7,BASEPOE3,1153,FALSE)</f>
        <v>SI</v>
      </c>
      <c r="K180" s="91" t="str">
        <f>VLOOKUP($E$7,BASEPOE3,1154,FALSE)</f>
        <v>VENCIDA</v>
      </c>
      <c r="L180" s="91" t="str">
        <f>VLOOKUP($E$7,BASEPOE3,1155,FALSE)</f>
        <v>SI</v>
      </c>
      <c r="M180" s="91" t="str">
        <f>VLOOKUP($E$7,BASEPOE3,1156,FALSE)</f>
        <v>VENCIDA</v>
      </c>
      <c r="N180" s="91" t="str">
        <f>VLOOKUP($E$7,BASEPOE3,1157,FALSE)</f>
        <v>NO</v>
      </c>
      <c r="O180" s="91" t="str">
        <f>VLOOKUP($E$7,BASEPOE3,1158,FALSE)</f>
        <v>Apendice ByC no llenos-c/historial aparte-falta firma RL</v>
      </c>
      <c r="P180" s="91" t="str">
        <f>VLOOKUP($E$7,BASEPOE3,1159,FALSE)</f>
        <v>SI</v>
      </c>
      <c r="Q180" s="91">
        <f>VLOOKUP($E$7,BASEPOE3,1160,FALSE)</f>
        <v>0</v>
      </c>
      <c r="R180" s="91" t="str">
        <f>VLOOKUP($E$7,BASEPOE3,1161,FALSE)</f>
        <v>SI</v>
      </c>
      <c r="S180" s="91" t="str">
        <f>VLOOKUP($E$7,BASEPOE3,1162,FALSE)</f>
        <v>FOTO DE INE</v>
      </c>
      <c r="T180" s="91" t="str">
        <f>VLOOKUP($E$7,BASEPOE3,1163,FALSE)</f>
        <v>SI</v>
      </c>
      <c r="U180" s="91" t="str">
        <f>VLOOKUP($E$7,BASEPOE3,1164,FALSE)</f>
        <v>SI</v>
      </c>
      <c r="V180" s="91" t="str">
        <f>VLOOKUP($E$7,BASEPOE3,1165,FALSE)</f>
        <v>SI</v>
      </c>
      <c r="W180" s="91" t="str">
        <f>VLOOKUP($E$7,BASEPOE3,1166,FALSE)</f>
        <v>SI</v>
      </c>
      <c r="X180" s="91">
        <f>VLOOKUP($E$7,BASEPOE3,1167,FALSE)</f>
        <v>0</v>
      </c>
      <c r="Y180" s="91">
        <f>VLOOKUP($E$7,BASEPOE3,1168,FALSE)</f>
        <v>0</v>
      </c>
      <c r="Z180" s="91">
        <f>VLOOKUP($E$7,BASEPOE3,1169,FALSE)</f>
        <v>0</v>
      </c>
      <c r="AA180" s="91" t="str">
        <f>VLOOKUP($E$7,BASEPOE3,1170,FALSE)</f>
        <v>SI</v>
      </c>
      <c r="AB180" s="91">
        <f>VLOOKUP($E$7,BASEPOE3,1171,FALSE)</f>
        <v>0</v>
      </c>
      <c r="AC180" s="90">
        <f>VLOOKUP($E$7,BASEPOE3,1172,FALSE)</f>
        <v>0</v>
      </c>
      <c r="AD180" s="90">
        <f>VLOOKUP($E$7,BASEPOE3,1173,FALSE)</f>
        <v>0</v>
      </c>
      <c r="AE180" s="90">
        <f>VLOOKUP($E$7,BASEPOE3,1174,FALSE)</f>
        <v>0</v>
      </c>
      <c r="AF180" s="90">
        <f>VLOOKUP($E$7,BASEPOE3,1175,FALSE)</f>
        <v>0</v>
      </c>
      <c r="AG180" s="90">
        <f>VLOOKUP($E$7,BASEPOE3,1176,FALSE)</f>
        <v>0</v>
      </c>
      <c r="AH180" s="90">
        <f>VLOOKUP($E$7,BASEPOE3,1177,FALSE)</f>
        <v>0</v>
      </c>
      <c r="AI180" s="90">
        <f>VLOOKUP($E$7,BASEPOE3,1178,FALSE)</f>
        <v>0</v>
      </c>
      <c r="AJ180" s="90">
        <f>VLOOKUP($E$7,BASEPOE3,1179,FALSE)</f>
        <v>0</v>
      </c>
      <c r="AK180" s="90">
        <f>VLOOKUP($E$7,BASEPOE3,1180,FALSE)</f>
        <v>0</v>
      </c>
      <c r="AL180" s="90">
        <f>VLOOKUP($E$7,BASEPOE3,1181,FALSE)</f>
        <v>0</v>
      </c>
      <c r="AM180" s="90">
        <f>VLOOKUP($E$7,BASEPOE3,1182,FALSE)</f>
        <v>0</v>
      </c>
      <c r="AN180" s="90" t="str">
        <f>VLOOKUP($E$7,BASEPOE3,1183,FALSE)</f>
        <v>SI</v>
      </c>
      <c r="AO180" s="90">
        <f>VLOOKUP($E$7,BASEPOE3,1184,FALSE)</f>
        <v>0</v>
      </c>
      <c r="AP180" s="90">
        <f>VLOOKUP($E$7,BASEPOE3,1185,FALSE)</f>
        <v>0</v>
      </c>
      <c r="AQ180" s="90">
        <f>VLOOKUP($E$7,BASEPOE3,1186,FALSE)</f>
        <v>0</v>
      </c>
      <c r="AR180" s="90">
        <f>VLOOKUP($E$7,BASEPOE3,1187,FALSE)</f>
        <v>0</v>
      </c>
      <c r="AS180" s="90">
        <f>VLOOKUP($E$7,BASEPOE3,1188,FALSE)</f>
        <v>0</v>
      </c>
      <c r="AT180" s="90">
        <f>VLOOKUP($E$7,BASEPOE3,1189,FALSE)</f>
        <v>0</v>
      </c>
    </row>
    <row r="181" spans="1:46" ht="14.4" customHeight="1" x14ac:dyDescent="0.3">
      <c r="A181" s="449"/>
      <c r="B181" s="60">
        <v>28</v>
      </c>
      <c r="C181" s="92" t="str">
        <f>VLOOKUP($E$7,BASEPOE3,1190,FALSE)</f>
        <v xml:space="preserve">Vazquez Alvarez Luis Miguel </v>
      </c>
      <c r="D181" s="88" t="str">
        <f>VLOOKUP($E$7,BASEPOE3,1191,FALSE)</f>
        <v>Sin Registro</v>
      </c>
      <c r="E181" s="62">
        <f>VLOOKUP($E$7,BASEPOE3,1192,FALSE)</f>
        <v>23207550</v>
      </c>
      <c r="F181" s="88">
        <f>VLOOKUP($E$7,BASEPOE3,1193,FALSE)</f>
        <v>0</v>
      </c>
      <c r="G181" s="88">
        <f>VLOOKUP($E$7,BASEPOE3,1194,FALSE)</f>
        <v>0</v>
      </c>
      <c r="H181" s="89">
        <f>VLOOKUP($E$7,BASEPOE3,1195,FALSE)</f>
        <v>0</v>
      </c>
      <c r="I181" s="89">
        <f>VLOOKUP($E$7,BASEPOE3,1196,FALSE)</f>
        <v>0</v>
      </c>
      <c r="J181" s="89">
        <f>VLOOKUP($E$7,BASEPOE3,1197,FALSE)</f>
        <v>0</v>
      </c>
      <c r="K181" s="89">
        <f>VLOOKUP($E$7,BASEPOE3,1198,FALSE)</f>
        <v>0</v>
      </c>
      <c r="L181" s="89">
        <f>VLOOKUP($E$7,BASEPOE3,1199,FALSE)</f>
        <v>0</v>
      </c>
      <c r="M181" s="89">
        <f>VLOOKUP($E$7,BASEPOE3,1200,FALSE)</f>
        <v>0</v>
      </c>
      <c r="N181" s="89">
        <f>VLOOKUP($E$7,BASEPOE3,1201,FALSE)</f>
        <v>0</v>
      </c>
      <c r="O181" s="89">
        <f>VLOOKUP($E$7,BASEPOE3,1202,FALSE)</f>
        <v>0</v>
      </c>
      <c r="P181" s="89">
        <f>VLOOKUP($E$7,BASEPOE3,1203,FALSE)</f>
        <v>0</v>
      </c>
      <c r="Q181" s="89">
        <f>VLOOKUP($E$7,BASEPOE3,1204,FALSE)</f>
        <v>0</v>
      </c>
      <c r="R181" s="89">
        <f>VLOOKUP($E$7,BASEPOE3,1205,FALSE)</f>
        <v>0</v>
      </c>
      <c r="S181" s="89">
        <f>VLOOKUP($E$7,BASEPOE3,1206,FALSE)</f>
        <v>0</v>
      </c>
      <c r="T181" s="89">
        <f>VLOOKUP($E$7,BASEPOE3,1207,FALSE)</f>
        <v>0</v>
      </c>
      <c r="U181" s="89">
        <f>VLOOKUP($E$7,BASEPOE3,1208,FALSE)</f>
        <v>0</v>
      </c>
      <c r="V181" s="89">
        <f>VLOOKUP($E$7,BASEPOE3,1209,FALSE)</f>
        <v>0</v>
      </c>
      <c r="W181" s="89">
        <f>VLOOKUP($E$7,BASEPOE3,1210,FALSE)</f>
        <v>0</v>
      </c>
      <c r="X181" s="89">
        <f>VLOOKUP($E$7,BASEPOE3,1211,FALSE)</f>
        <v>0</v>
      </c>
      <c r="Y181" s="89">
        <f>VLOOKUP($E$7,BASEPOE3,1212,FALSE)</f>
        <v>0</v>
      </c>
      <c r="Z181" s="89">
        <f>VLOOKUP($E$7,BASEPOE3,1213,FALSE)</f>
        <v>0</v>
      </c>
      <c r="AA181" s="89">
        <f>VLOOKUP($E$7,BASEPOE3,1214,FALSE)</f>
        <v>0</v>
      </c>
      <c r="AB181" s="89">
        <f>VLOOKUP($E$7,BASEPOE3,1215,FALSE)</f>
        <v>0</v>
      </c>
      <c r="AC181" s="88">
        <f>VLOOKUP($E$7,BASEPOE3,1216,FALSE)</f>
        <v>0</v>
      </c>
      <c r="AD181" s="88">
        <f>VLOOKUP($E$7,BASEPOE3,1217,FALSE)</f>
        <v>0</v>
      </c>
      <c r="AE181" s="88">
        <f>VLOOKUP($E$7,BASEPOE3,1218,FALSE)</f>
        <v>0</v>
      </c>
      <c r="AF181" s="88">
        <f>VLOOKUP($E$7,BASEPOE3,1219,FALSE)</f>
        <v>0</v>
      </c>
      <c r="AG181" s="88">
        <f>VLOOKUP($E$7,BASEPOE3,1220,FALSE)</f>
        <v>0</v>
      </c>
      <c r="AH181" s="88">
        <f>VLOOKUP($E$7,BASEPOE3,1221,FALSE)</f>
        <v>0</v>
      </c>
      <c r="AI181" s="88">
        <f>VLOOKUP($E$7,BASEPOE3,1222,FALSE)</f>
        <v>0</v>
      </c>
      <c r="AJ181" s="88">
        <f>VLOOKUP($E$7,BASEPOE3,1223,FALSE)</f>
        <v>0</v>
      </c>
      <c r="AK181" s="88">
        <f>VLOOKUP($E$7,BASEPOE3,1224,FALSE)</f>
        <v>0</v>
      </c>
      <c r="AL181" s="88">
        <f>VLOOKUP($E$7,BASEPOE3,1225,FALSE)</f>
        <v>0</v>
      </c>
      <c r="AM181" s="88">
        <f>VLOOKUP($E$7,BASEPOE3,1226,FALSE)</f>
        <v>0</v>
      </c>
      <c r="AN181" s="88">
        <f>VLOOKUP($E$7,BASEPOE3,1227,FALSE)</f>
        <v>0</v>
      </c>
      <c r="AO181" s="88">
        <f>VLOOKUP($E$7,BASEPOE3,1228,FALSE)</f>
        <v>0</v>
      </c>
      <c r="AP181" s="88">
        <f>VLOOKUP($E$7,BASEPOE3,1229,FALSE)</f>
        <v>0</v>
      </c>
      <c r="AQ181" s="88">
        <f>VLOOKUP($E$7,BASEPOE3,1230,FALSE)</f>
        <v>0</v>
      </c>
      <c r="AR181" s="88">
        <f>VLOOKUP($E$7,BASEPOE3,1231,FALSE)</f>
        <v>0</v>
      </c>
      <c r="AS181" s="88">
        <f>VLOOKUP($E$7,BASEPOE3,1232,FALSE)</f>
        <v>0</v>
      </c>
      <c r="AT181" s="88">
        <f>VLOOKUP($E$7,BASEPOE3,1233,FALSE)</f>
        <v>0</v>
      </c>
    </row>
    <row r="182" spans="1:46" x14ac:dyDescent="0.3">
      <c r="A182" s="449"/>
      <c r="B182" s="34">
        <v>29</v>
      </c>
      <c r="C182" s="93" t="str">
        <f>VLOOKUP($E$7,BASEPOE3,1234,FALSE)</f>
        <v>Villalba Garcia Jose Alberto</v>
      </c>
      <c r="D182" s="90" t="str">
        <f>VLOOKUP($E$7,BASEPOE3,1235,FALSE)</f>
        <v>POE</v>
      </c>
      <c r="E182" s="61">
        <f>VLOOKUP($E$7,BASEPOE3,1236,FALSE)</f>
        <v>23129901</v>
      </c>
      <c r="F182" s="90">
        <f>VLOOKUP($E$7,BASEPOE3,1237,FALSE)</f>
        <v>0</v>
      </c>
      <c r="G182" s="90">
        <f>VLOOKUP($E$7,BASEPOE3,1238,FALSE)</f>
        <v>0</v>
      </c>
      <c r="H182" s="91">
        <f>VLOOKUP($E$7,BASEPOE3,1239,FALSE)</f>
        <v>45475</v>
      </c>
      <c r="I182" s="91">
        <f>VLOOKUP($E$7,BASEPOE3,1240,FALSE)</f>
        <v>45840</v>
      </c>
      <c r="J182" s="91" t="str">
        <f>VLOOKUP($E$7,BASEPOE3,1241,FALSE)</f>
        <v>SI</v>
      </c>
      <c r="K182" s="91" t="str">
        <f>VLOOKUP($E$7,BASEPOE3,1242,FALSE)</f>
        <v>Vigente</v>
      </c>
      <c r="L182" s="91" t="str">
        <f>VLOOKUP($E$7,BASEPOE3,1243,FALSE)</f>
        <v>SI</v>
      </c>
      <c r="M182" s="91" t="str">
        <f>VLOOKUP($E$7,BASEPOE3,1244,FALSE)</f>
        <v>Vigente</v>
      </c>
      <c r="N182" s="91" t="str">
        <f>VLOOKUP($E$7,BASEPOE3,1245,FALSE)</f>
        <v>NO</v>
      </c>
      <c r="O182" s="91" t="str">
        <f>VLOOKUP($E$7,BASEPOE3,1246,FALSE)</f>
        <v>Apendice ByC no llenos-c/historial aparte-falta firma RL</v>
      </c>
      <c r="P182" s="91">
        <f>VLOOKUP($E$7,BASEPOE3,1247,FALSE)</f>
        <v>0</v>
      </c>
      <c r="Q182" s="91" t="str">
        <f>VLOOKUP($E$7,BASEPOE3,1248,FALSE)</f>
        <v>SI</v>
      </c>
      <c r="R182" s="91" t="str">
        <f>VLOOKUP($E$7,BASEPOE3,1249,FALSE)</f>
        <v>SI</v>
      </c>
      <c r="S182" s="91" t="str">
        <f>VLOOKUP($E$7,BASEPOE3,1250,FALSE)</f>
        <v>SI</v>
      </c>
      <c r="T182" s="91" t="str">
        <f>VLOOKUP($E$7,BASEPOE3,1251,FALSE)</f>
        <v>SI</v>
      </c>
      <c r="U182" s="91" t="str">
        <f>VLOOKUP($E$7,BASEPOE3,1252,FALSE)</f>
        <v>SI</v>
      </c>
      <c r="V182" s="91" t="str">
        <f>VLOOKUP($E$7,BASEPOE3,1253,FALSE)</f>
        <v>NO</v>
      </c>
      <c r="W182" s="91" t="str">
        <f>VLOOKUP($E$7,BASEPOE3,1254,FALSE)</f>
        <v>SI</v>
      </c>
      <c r="X182" s="91">
        <f>VLOOKUP($E$7,BASEPOE3,1255,FALSE)</f>
        <v>0</v>
      </c>
      <c r="Y182" s="91">
        <f>VLOOKUP($E$7,BASEPOE3,1256,FALSE)</f>
        <v>0</v>
      </c>
      <c r="Z182" s="91">
        <f>VLOOKUP($E$7,BASEPOE3,1257,FALSE)</f>
        <v>0</v>
      </c>
      <c r="AA182" s="91" t="str">
        <f>VLOOKUP($E$7,BASEPOE3,1258,FALSE)</f>
        <v>SI</v>
      </c>
      <c r="AB182" s="91">
        <f>VLOOKUP($E$7,BASEPOE3,1259,FALSE)</f>
        <v>0</v>
      </c>
      <c r="AC182" s="90">
        <f>VLOOKUP($E$7,BASEPOE3,1260,FALSE)</f>
        <v>0</v>
      </c>
      <c r="AD182" s="90">
        <f>VLOOKUP($E$7,BASEPOE3,1261,FALSE)</f>
        <v>0</v>
      </c>
      <c r="AE182" s="90">
        <f>VLOOKUP($E$7,BASEPOE3,1262,FALSE)</f>
        <v>0</v>
      </c>
      <c r="AF182" s="90">
        <f>VLOOKUP($E$7,BASEPOE3,1263,FALSE)</f>
        <v>0</v>
      </c>
      <c r="AG182" s="90">
        <f>VLOOKUP($E$7,BASEPOE3,1264,FALSE)</f>
        <v>0</v>
      </c>
      <c r="AH182" s="90">
        <f>VLOOKUP($E$7,BASEPOE3,1265,FALSE)</f>
        <v>0</v>
      </c>
      <c r="AI182" s="90">
        <f>VLOOKUP($E$7,BASEPOE3,1266,FALSE)</f>
        <v>0</v>
      </c>
      <c r="AJ182" s="90">
        <f>VLOOKUP($E$7,BASEPOE3,1267,FALSE)</f>
        <v>0</v>
      </c>
      <c r="AK182" s="90">
        <f>VLOOKUP($E$7,BASEPOE3,1268,FALSE)</f>
        <v>0</v>
      </c>
      <c r="AL182" s="90">
        <f>VLOOKUP($E$7,BASEPOE3,1269,FALSE)</f>
        <v>0</v>
      </c>
      <c r="AM182" s="90">
        <f>VLOOKUP($E$7,BASEPOE3,1270,FALSE)</f>
        <v>0</v>
      </c>
      <c r="AN182" s="90">
        <f>VLOOKUP($E$7,BASEPOE3,1271,FALSE)</f>
        <v>0</v>
      </c>
      <c r="AO182" s="90">
        <f>VLOOKUP($E$7,BASEPOE3,1272,FALSE)</f>
        <v>0</v>
      </c>
      <c r="AP182" s="90">
        <f>VLOOKUP($E$7,BASEPOE3,1273,FALSE)</f>
        <v>0</v>
      </c>
      <c r="AQ182" s="90" t="str">
        <f>VLOOKUP($E$7,BASEPOE3,1274,FALSE)</f>
        <v>SI</v>
      </c>
      <c r="AR182" s="90">
        <f>VLOOKUP($E$7,BASEPOE3,1275,FALSE)</f>
        <v>0</v>
      </c>
      <c r="AS182" s="90">
        <f>VLOOKUP($E$7,BASEPOE3,1276,FALSE)</f>
        <v>0</v>
      </c>
      <c r="AT182" s="90">
        <f>VLOOKUP($E$7,BASEPOE3,1277,FALSE)</f>
        <v>0</v>
      </c>
    </row>
    <row r="183" spans="1:46" x14ac:dyDescent="0.3">
      <c r="A183" s="449"/>
      <c r="B183" s="60">
        <v>30</v>
      </c>
      <c r="C183" s="92">
        <f>VLOOKUP($E$7,BASEPOE3,1278,FALSE)</f>
        <v>0</v>
      </c>
      <c r="D183" s="88">
        <f>VLOOKUP($E$7,BASEPOE3,1279,FALSE)</f>
        <v>0</v>
      </c>
      <c r="E183" s="62">
        <f>VLOOKUP($E$7,BASEPOE3,1280,FALSE)</f>
        <v>0</v>
      </c>
      <c r="F183" s="88">
        <f>VLOOKUP($E$7,BASEPOE3,1281,FALSE)</f>
        <v>0</v>
      </c>
      <c r="G183" s="88">
        <f>VLOOKUP($E$7,BASEPOE3,1282,FALSE)</f>
        <v>0</v>
      </c>
      <c r="H183" s="89">
        <f>VLOOKUP($E$7,BASEPOE3,1283,FALSE)</f>
        <v>0</v>
      </c>
      <c r="I183" s="89">
        <f>VLOOKUP($E$7,BASEPOE3,1284,FALSE)</f>
        <v>0</v>
      </c>
      <c r="J183" s="89">
        <f>VLOOKUP($E$7,BASEPOE3,1285,FALSE)</f>
        <v>0</v>
      </c>
      <c r="K183" s="89">
        <f>VLOOKUP($E$7,BASEPOE3,1286,FALSE)</f>
        <v>0</v>
      </c>
      <c r="L183" s="89">
        <f>VLOOKUP($E$7,BASEPOE3,1287,FALSE)</f>
        <v>0</v>
      </c>
      <c r="M183" s="89">
        <f>VLOOKUP($E$7,BASEPOE3,1288,FALSE)</f>
        <v>0</v>
      </c>
      <c r="N183" s="89">
        <f>VLOOKUP($E$7,BASEPOE3,1289,FALSE)</f>
        <v>0</v>
      </c>
      <c r="O183" s="89">
        <f>VLOOKUP($E$7,BASEPOE3,1290,FALSE)</f>
        <v>0</v>
      </c>
      <c r="P183" s="89">
        <f>VLOOKUP($E$7,BASEPOE3,1291,FALSE)</f>
        <v>0</v>
      </c>
      <c r="Q183" s="89">
        <f>VLOOKUP($E$7,BASEPOE3,1292,FALSE)</f>
        <v>0</v>
      </c>
      <c r="R183" s="89">
        <f>VLOOKUP($E$7,BASEPOE3,1293,FALSE)</f>
        <v>0</v>
      </c>
      <c r="S183" s="89">
        <f>VLOOKUP($E$7,BASEPOE3,1294,FALSE)</f>
        <v>0</v>
      </c>
      <c r="T183" s="89">
        <f>VLOOKUP($E$7,BASEPOE3,1295,FALSE)</f>
        <v>0</v>
      </c>
      <c r="U183" s="89">
        <f>VLOOKUP($E$7,BASEPOE3,1296,FALSE)</f>
        <v>0</v>
      </c>
      <c r="V183" s="89">
        <f>VLOOKUP($E$7,BASEPOE3,1297,FALSE)</f>
        <v>0</v>
      </c>
      <c r="W183" s="89">
        <f>VLOOKUP($E$7,BASEPOE3,1298,FALSE)</f>
        <v>0</v>
      </c>
      <c r="X183" s="89">
        <f>VLOOKUP($E$7,BASEPOE3,1299,FALSE)</f>
        <v>0</v>
      </c>
      <c r="Y183" s="89">
        <f>VLOOKUP($E$7,BASEPOE3,1300,FALSE)</f>
        <v>0</v>
      </c>
      <c r="Z183" s="89">
        <f>VLOOKUP($E$7,BASEPOE3,1301,FALSE)</f>
        <v>0</v>
      </c>
      <c r="AA183" s="89">
        <f>VLOOKUP($E$7,BASEPOE3,1302,FALSE)</f>
        <v>0</v>
      </c>
      <c r="AB183" s="89">
        <f>VLOOKUP($E$7,BASEPOE3,1303,FALSE)</f>
        <v>0</v>
      </c>
      <c r="AC183" s="88">
        <f>VLOOKUP($E$7,BASEPOE3,1304,FALSE)</f>
        <v>0</v>
      </c>
      <c r="AD183" s="88">
        <f>VLOOKUP($E$7,BASEPOE3,1305,FALSE)</f>
        <v>0</v>
      </c>
      <c r="AE183" s="88">
        <f>VLOOKUP($E$7,BASEPOE3,1306,FALSE)</f>
        <v>0</v>
      </c>
      <c r="AF183" s="88">
        <f>VLOOKUP($E$7,BASEPOE3,1307,FALSE)</f>
        <v>0</v>
      </c>
      <c r="AG183" s="88">
        <f>VLOOKUP($E$7,BASEPOE3,1308,FALSE)</f>
        <v>0</v>
      </c>
      <c r="AH183" s="88">
        <f>VLOOKUP($E$7,BASEPOE3,1309,FALSE)</f>
        <v>0</v>
      </c>
      <c r="AI183" s="88">
        <f>VLOOKUP($E$7,BASEPOE3,1310,FALSE)</f>
        <v>0</v>
      </c>
      <c r="AJ183" s="88">
        <f>VLOOKUP($E$7,BASEPOE3,1311,FALSE)</f>
        <v>0</v>
      </c>
      <c r="AK183" s="88">
        <f>VLOOKUP($E$7,BASEPOE3,1312,FALSE)</f>
        <v>0</v>
      </c>
      <c r="AL183" s="88">
        <f>VLOOKUP($E$7,BASEPOE3,1313,FALSE)</f>
        <v>0</v>
      </c>
      <c r="AM183" s="88">
        <f>VLOOKUP($E$7,BASEPOE3,1314,FALSE)</f>
        <v>0</v>
      </c>
      <c r="AN183" s="88">
        <f>VLOOKUP($E$7,BASEPOE3,1315,FALSE)</f>
        <v>0</v>
      </c>
      <c r="AO183" s="88">
        <f>VLOOKUP($E$7,BASEPOE3,1316,FALSE)</f>
        <v>0</v>
      </c>
      <c r="AP183" s="88">
        <f>VLOOKUP($E$7,BASEPOE3,1317,FALSE)</f>
        <v>0</v>
      </c>
      <c r="AQ183" s="88">
        <f>VLOOKUP($E$7,BASEPOE3,1318,FALSE)</f>
        <v>0</v>
      </c>
      <c r="AR183" s="88">
        <f>VLOOKUP($E$7,BASEPOE3,1319,FALSE)</f>
        <v>0</v>
      </c>
      <c r="AS183" s="88">
        <f>VLOOKUP($E$7,BASEPOE3,1320,FALSE)</f>
        <v>0</v>
      </c>
      <c r="AT183" s="88">
        <f>VLOOKUP($E$7,BASEPOE3,1321,FALSE)</f>
        <v>0</v>
      </c>
    </row>
    <row r="184" spans="1:46" x14ac:dyDescent="0.3">
      <c r="A184" s="449"/>
      <c r="B184" s="34">
        <v>31</v>
      </c>
      <c r="C184" s="93">
        <f>VLOOKUP($E$7,BASEPOE3,1322,FALSE)</f>
        <v>0</v>
      </c>
      <c r="D184" s="90">
        <f>VLOOKUP($E$7,BASEPOE3,1323,FALSE)</f>
        <v>0</v>
      </c>
      <c r="E184" s="61">
        <f>VLOOKUP($E$7,BASEPOE3,1324,FALSE)</f>
        <v>0</v>
      </c>
      <c r="F184" s="90">
        <f>VLOOKUP($E$7,BASEPOE3,1325,FALSE)</f>
        <v>0</v>
      </c>
      <c r="G184" s="90">
        <f>VLOOKUP($E$7,BASEPOE3,1326,FALSE)</f>
        <v>0</v>
      </c>
      <c r="H184" s="91">
        <f>VLOOKUP($E$7,BASEPOE3,1327,FALSE)</f>
        <v>0</v>
      </c>
      <c r="I184" s="91">
        <f>VLOOKUP($E$7,BASEPOE3,1328,FALSE)</f>
        <v>0</v>
      </c>
      <c r="J184" s="91">
        <f>VLOOKUP($E$7,BASEPOE3,1329,FALSE)</f>
        <v>0</v>
      </c>
      <c r="K184" s="91">
        <f>VLOOKUP($E$7,BASEPOE3,1330,FALSE)</f>
        <v>0</v>
      </c>
      <c r="L184" s="91">
        <f>VLOOKUP($E$7,BASEPOE3,1331,FALSE)</f>
        <v>0</v>
      </c>
      <c r="M184" s="91">
        <f>VLOOKUP($E$7,BASEPOE3,1332,FALSE)</f>
        <v>0</v>
      </c>
      <c r="N184" s="91">
        <f>VLOOKUP($E$7,BASEPOE3,1333,FALSE)</f>
        <v>0</v>
      </c>
      <c r="O184" s="91">
        <f>VLOOKUP($E$7,BASEPOE3,1334,FALSE)</f>
        <v>0</v>
      </c>
      <c r="P184" s="91">
        <f>VLOOKUP($E$7,BASEPOE3,1335,FALSE)</f>
        <v>0</v>
      </c>
      <c r="Q184" s="91">
        <f>VLOOKUP($E$7,BASEPOE3,1336,FALSE)</f>
        <v>0</v>
      </c>
      <c r="R184" s="91">
        <f>VLOOKUP($E$7,BASEPOE3,1337,FALSE)</f>
        <v>0</v>
      </c>
      <c r="S184" s="91">
        <f>VLOOKUP($E$7,BASEPOE3,1338,FALSE)</f>
        <v>0</v>
      </c>
      <c r="T184" s="91">
        <f>VLOOKUP($E$7,BASEPOE3,1339,FALSE)</f>
        <v>0</v>
      </c>
      <c r="U184" s="91">
        <f>VLOOKUP($E$7,BASEPOE3,1340,FALSE)</f>
        <v>0</v>
      </c>
      <c r="V184" s="91">
        <f>VLOOKUP($E$7,BASEPOE3,1341,FALSE)</f>
        <v>0</v>
      </c>
      <c r="W184" s="91">
        <f>VLOOKUP($E$7,BASEPOE3,1342,FALSE)</f>
        <v>0</v>
      </c>
      <c r="X184" s="91">
        <f>VLOOKUP($E$7,BASEPOE3,1343,FALSE)</f>
        <v>0</v>
      </c>
      <c r="Y184" s="91">
        <f>VLOOKUP($E$7,BASEPOE3,1344,FALSE)</f>
        <v>0</v>
      </c>
      <c r="Z184" s="91">
        <f>VLOOKUP($E$7,BASEPOE3,1345,FALSE)</f>
        <v>0</v>
      </c>
      <c r="AA184" s="91">
        <f>VLOOKUP($E$7,BASEPOE3,1346,FALSE)</f>
        <v>0</v>
      </c>
      <c r="AB184" s="91">
        <f>VLOOKUP($E$7,BASEPOE3,1347,FALSE)</f>
        <v>0</v>
      </c>
      <c r="AC184" s="90">
        <f>VLOOKUP($E$7,BASEPOE3,1348,FALSE)</f>
        <v>0</v>
      </c>
      <c r="AD184" s="90">
        <f>VLOOKUP($E$7,BASEPOE3,1349,FALSE)</f>
        <v>0</v>
      </c>
      <c r="AE184" s="90">
        <f>VLOOKUP($E$7,BASEPOE3,1350,FALSE)</f>
        <v>0</v>
      </c>
      <c r="AF184" s="90">
        <f>VLOOKUP($E$7,BASEPOE3,1351,FALSE)</f>
        <v>0</v>
      </c>
      <c r="AG184" s="90">
        <f>VLOOKUP($E$7,BASEPOE3,1352,FALSE)</f>
        <v>0</v>
      </c>
      <c r="AH184" s="90">
        <f>VLOOKUP($E$7,BASEPOE3,1353,FALSE)</f>
        <v>0</v>
      </c>
      <c r="AI184" s="90">
        <f>VLOOKUP($E$7,BASEPOE3,1354,FALSE)</f>
        <v>0</v>
      </c>
      <c r="AJ184" s="90">
        <f>VLOOKUP($E$7,BASEPOE3,1355,FALSE)</f>
        <v>0</v>
      </c>
      <c r="AK184" s="90">
        <f>VLOOKUP($E$7,BASEPOE3,1356,FALSE)</f>
        <v>0</v>
      </c>
      <c r="AL184" s="90">
        <f>VLOOKUP($E$7,BASEPOE3,1357,FALSE)</f>
        <v>0</v>
      </c>
      <c r="AM184" s="90">
        <f>VLOOKUP($E$7,BASEPOE3,1358,FALSE)</f>
        <v>0</v>
      </c>
      <c r="AN184" s="90">
        <f>VLOOKUP($E$7,BASEPOE3,1359,FALSE)</f>
        <v>0</v>
      </c>
      <c r="AO184" s="90">
        <f>VLOOKUP($E$7,BASEPOE3,1360,FALSE)</f>
        <v>0</v>
      </c>
      <c r="AP184" s="90">
        <f>VLOOKUP($E$7,BASEPOE3,1361,FALSE)</f>
        <v>0</v>
      </c>
      <c r="AQ184" s="90">
        <f>VLOOKUP($E$7,BASEPOE3,1362,FALSE)</f>
        <v>0</v>
      </c>
      <c r="AR184" s="90">
        <f>VLOOKUP($E$7,BASEPOE3,1363,FALSE)</f>
        <v>0</v>
      </c>
      <c r="AS184" s="90">
        <f>VLOOKUP($E$7,BASEPOE3,1364,FALSE)</f>
        <v>0</v>
      </c>
      <c r="AT184" s="90">
        <f>VLOOKUP($E$7,BASEPOE3,1365,FALSE)</f>
        <v>0</v>
      </c>
    </row>
    <row r="185" spans="1:46" x14ac:dyDescent="0.3">
      <c r="A185" s="449"/>
      <c r="B185" s="60">
        <v>32</v>
      </c>
      <c r="C185" s="92">
        <f>VLOOKUP($E$7,BASEPOE3,1366,FALSE)</f>
        <v>0</v>
      </c>
      <c r="D185" s="88">
        <f>VLOOKUP($E$7,BASEPOE3,1367,FALSE)</f>
        <v>0</v>
      </c>
      <c r="E185" s="62">
        <f>VLOOKUP($E$7,BASEPOE3,1368,FALSE)</f>
        <v>0</v>
      </c>
      <c r="F185" s="88">
        <f>VLOOKUP($E$7,BASEPOE3,1369,FALSE)</f>
        <v>0</v>
      </c>
      <c r="G185" s="88">
        <f>VLOOKUP($E$7,BASEPOE3,1370,FALSE)</f>
        <v>0</v>
      </c>
      <c r="H185" s="89">
        <f>VLOOKUP($E$7,BASEPOE3,1371,FALSE)</f>
        <v>0</v>
      </c>
      <c r="I185" s="89">
        <f>VLOOKUP($E$7,BASEPOE3,1372,FALSE)</f>
        <v>0</v>
      </c>
      <c r="J185" s="89">
        <f>VLOOKUP($E$7,BASEPOE3,1373,FALSE)</f>
        <v>0</v>
      </c>
      <c r="K185" s="89">
        <f>VLOOKUP($E$7,BASEPOE3,1374,FALSE)</f>
        <v>0</v>
      </c>
      <c r="L185" s="89">
        <f>VLOOKUP($E$7,BASEPOE3,1375,FALSE)</f>
        <v>0</v>
      </c>
      <c r="M185" s="89">
        <f>VLOOKUP($E$7,BASEPOE3,1376,FALSE)</f>
        <v>0</v>
      </c>
      <c r="N185" s="89">
        <f>VLOOKUP($E$7,BASEPOE3,1377,FALSE)</f>
        <v>0</v>
      </c>
      <c r="O185" s="89">
        <f>VLOOKUP($E$7,BASEPOE3,1378,FALSE)</f>
        <v>0</v>
      </c>
      <c r="P185" s="89">
        <f>VLOOKUP($E$7,BASEPOE3,1379,FALSE)</f>
        <v>0</v>
      </c>
      <c r="Q185" s="89">
        <f>VLOOKUP($E$7,BASEPOE3,1380,FALSE)</f>
        <v>0</v>
      </c>
      <c r="R185" s="89">
        <f>VLOOKUP($E$7,BASEPOE3,1381,FALSE)</f>
        <v>0</v>
      </c>
      <c r="S185" s="89">
        <f>VLOOKUP($E$7,BASEPOE3,1382,FALSE)</f>
        <v>0</v>
      </c>
      <c r="T185" s="89">
        <f>VLOOKUP($E$7,BASEPOE3,1383,FALSE)</f>
        <v>0</v>
      </c>
      <c r="U185" s="89">
        <f>VLOOKUP($E$7,BASEPOE3,1384,FALSE)</f>
        <v>0</v>
      </c>
      <c r="V185" s="89">
        <f>VLOOKUP($E$7,BASEPOE3,1385,FALSE)</f>
        <v>0</v>
      </c>
      <c r="W185" s="89">
        <f>VLOOKUP($E$7,BASEPOE3,1386,FALSE)</f>
        <v>0</v>
      </c>
      <c r="X185" s="89">
        <f>VLOOKUP($E$7,BASEPOE3,1387,FALSE)</f>
        <v>0</v>
      </c>
      <c r="Y185" s="89">
        <f>VLOOKUP($E$7,BASEPOE3,1388,FALSE)</f>
        <v>0</v>
      </c>
      <c r="Z185" s="89">
        <f>VLOOKUP($E$7,BASEPOE3,1389,FALSE)</f>
        <v>0</v>
      </c>
      <c r="AA185" s="89">
        <f>VLOOKUP($E$7,BASEPOE3,1390,FALSE)</f>
        <v>0</v>
      </c>
      <c r="AB185" s="89">
        <f>VLOOKUP($E$7,BASEPOE3,1391,FALSE)</f>
        <v>0</v>
      </c>
      <c r="AC185" s="88">
        <f>VLOOKUP($E$7,BASEPOE3,1392,FALSE)</f>
        <v>0</v>
      </c>
      <c r="AD185" s="88">
        <f>VLOOKUP($E$7,BASEPOE3,1393,FALSE)</f>
        <v>0</v>
      </c>
      <c r="AE185" s="88">
        <f>VLOOKUP($E$7,BASEPOE3,1394,FALSE)</f>
        <v>0</v>
      </c>
      <c r="AF185" s="88">
        <f>VLOOKUP($E$7,BASEPOE3,1395,FALSE)</f>
        <v>0</v>
      </c>
      <c r="AG185" s="88">
        <f>VLOOKUP($E$7,BASEPOE3,1396,FALSE)</f>
        <v>0</v>
      </c>
      <c r="AH185" s="88">
        <f>VLOOKUP($E$7,BASEPOE3,1397,FALSE)</f>
        <v>0</v>
      </c>
      <c r="AI185" s="88">
        <f>VLOOKUP($E$7,BASEPOE3,1398,FALSE)</f>
        <v>0</v>
      </c>
      <c r="AJ185" s="88">
        <f>VLOOKUP($E$7,BASEPOE3,1399,FALSE)</f>
        <v>0</v>
      </c>
      <c r="AK185" s="88">
        <f>VLOOKUP($E$7,BASEPOE3,1400,FALSE)</f>
        <v>0</v>
      </c>
      <c r="AL185" s="88">
        <f>VLOOKUP($E$7,BASEPOE3,1401,FALSE)</f>
        <v>0</v>
      </c>
      <c r="AM185" s="88">
        <f>VLOOKUP($E$7,BASEPOE3,1402,FALSE)</f>
        <v>0</v>
      </c>
      <c r="AN185" s="88">
        <f>VLOOKUP($E$7,BASEPOE3,1403,FALSE)</f>
        <v>0</v>
      </c>
      <c r="AO185" s="88">
        <f>VLOOKUP($E$7,BASEPOE3,1404,FALSE)</f>
        <v>0</v>
      </c>
      <c r="AP185" s="88">
        <f>VLOOKUP($E$7,BASEPOE3,1405,FALSE)</f>
        <v>0</v>
      </c>
      <c r="AQ185" s="88">
        <f>VLOOKUP($E$7,BASEPOE3,1406,FALSE)</f>
        <v>0</v>
      </c>
      <c r="AR185" s="88">
        <f>VLOOKUP($E$7,BASEPOE3,1407,FALSE)</f>
        <v>0</v>
      </c>
      <c r="AS185" s="88">
        <f>VLOOKUP($E$7,BASEPOE3,1408,FALSE)</f>
        <v>0</v>
      </c>
      <c r="AT185" s="88">
        <f>VLOOKUP($E$7,BASEPOE3,1409,FALSE)</f>
        <v>0</v>
      </c>
    </row>
    <row r="186" spans="1:46" x14ac:dyDescent="0.3">
      <c r="A186" s="449"/>
      <c r="B186" s="34">
        <v>33</v>
      </c>
      <c r="C186" s="93">
        <f>VLOOKUP($E$7,BASEPOE3,1410,FALSE)</f>
        <v>0</v>
      </c>
      <c r="D186" s="90">
        <f>VLOOKUP($E$7,BASEPOE3,1411,FALSE)</f>
        <v>0</v>
      </c>
      <c r="E186" s="61">
        <f>VLOOKUP($E$7,BASEPOE3,1412,FALSE)</f>
        <v>0</v>
      </c>
      <c r="F186" s="90">
        <f>VLOOKUP($E$7,BASEPOE3,1413,FALSE)</f>
        <v>0</v>
      </c>
      <c r="G186" s="90">
        <f>VLOOKUP($E$7,BASEPOE3,1414,FALSE)</f>
        <v>0</v>
      </c>
      <c r="H186" s="91">
        <f>VLOOKUP($E$7,BASEPOE3,1415,FALSE)</f>
        <v>0</v>
      </c>
      <c r="I186" s="91">
        <f>VLOOKUP($E$7,BASEPOE3,1416,FALSE)</f>
        <v>0</v>
      </c>
      <c r="J186" s="91">
        <f>VLOOKUP($E$7,BASEPOE3,1417,FALSE)</f>
        <v>0</v>
      </c>
      <c r="K186" s="91">
        <f>VLOOKUP($E$7,BASEPOE3,1418,FALSE)</f>
        <v>0</v>
      </c>
      <c r="L186" s="91">
        <f>VLOOKUP($E$7,BASEPOE3,1419,FALSE)</f>
        <v>0</v>
      </c>
      <c r="M186" s="91">
        <f>VLOOKUP($E$7,BASEPOE3,1420,FALSE)</f>
        <v>0</v>
      </c>
      <c r="N186" s="91">
        <f>VLOOKUP($E$7,BASEPOE3,1421,FALSE)</f>
        <v>0</v>
      </c>
      <c r="O186" s="91">
        <f>VLOOKUP($E$7,BASEPOE3,1422,FALSE)</f>
        <v>0</v>
      </c>
      <c r="P186" s="91">
        <f>VLOOKUP($E$7,BASEPOE3,1423,FALSE)</f>
        <v>0</v>
      </c>
      <c r="Q186" s="91">
        <f>VLOOKUP($E$7,BASEPOE3,1424,FALSE)</f>
        <v>0</v>
      </c>
      <c r="R186" s="91">
        <f>VLOOKUP($E$7,BASEPOE3,1425,FALSE)</f>
        <v>0</v>
      </c>
      <c r="S186" s="91">
        <f>VLOOKUP($E$7,BASEPOE3,1426,FALSE)</f>
        <v>0</v>
      </c>
      <c r="T186" s="91">
        <f>VLOOKUP($E$7,BASEPOE3,1427,FALSE)</f>
        <v>0</v>
      </c>
      <c r="U186" s="91">
        <f>VLOOKUP($E$7,BASEPOE3,1428,FALSE)</f>
        <v>0</v>
      </c>
      <c r="V186" s="91">
        <f>VLOOKUP($E$7,BASEPOE3,1429,FALSE)</f>
        <v>0</v>
      </c>
      <c r="W186" s="91">
        <f>VLOOKUP($E$7,BASEPOE3,1430,FALSE)</f>
        <v>0</v>
      </c>
      <c r="X186" s="91">
        <f>VLOOKUP($E$7,BASEPOE3,1431,FALSE)</f>
        <v>0</v>
      </c>
      <c r="Y186" s="91">
        <f>VLOOKUP($E$7,BASEPOE3,1432,FALSE)</f>
        <v>0</v>
      </c>
      <c r="Z186" s="91">
        <f>VLOOKUP($E$7,BASEPOE3,1433,FALSE)</f>
        <v>0</v>
      </c>
      <c r="AA186" s="91">
        <f>VLOOKUP($E$7,BASEPOE3,1434,FALSE)</f>
        <v>0</v>
      </c>
      <c r="AB186" s="91">
        <f>VLOOKUP($E$7,BASEPOE3,1435,FALSE)</f>
        <v>0</v>
      </c>
      <c r="AC186" s="90">
        <f>VLOOKUP($E$7,BASEPOE3,1436,FALSE)</f>
        <v>0</v>
      </c>
      <c r="AD186" s="90">
        <f>VLOOKUP($E$7,BASEPOE3,1437,FALSE)</f>
        <v>0</v>
      </c>
      <c r="AE186" s="90">
        <f>VLOOKUP($E$7,BASEPOE3,1438,FALSE)</f>
        <v>0</v>
      </c>
      <c r="AF186" s="90">
        <f>VLOOKUP($E$7,BASEPOE3,1439,FALSE)</f>
        <v>0</v>
      </c>
      <c r="AG186" s="90">
        <f>VLOOKUP($E$7,BASEPOE3,1440,FALSE)</f>
        <v>0</v>
      </c>
      <c r="AH186" s="90">
        <f>VLOOKUP($E$7,BASEPOE3,1441,FALSE)</f>
        <v>0</v>
      </c>
      <c r="AI186" s="90">
        <f>VLOOKUP($E$7,BASEPOE3,1442,FALSE)</f>
        <v>0</v>
      </c>
      <c r="AJ186" s="90">
        <f>VLOOKUP($E$7,BASEPOE3,1443,FALSE)</f>
        <v>0</v>
      </c>
      <c r="AK186" s="90">
        <f>VLOOKUP($E$7,BASEPOE3,1444,FALSE)</f>
        <v>0</v>
      </c>
      <c r="AL186" s="90">
        <f>VLOOKUP($E$7,BASEPOE3,1445,FALSE)</f>
        <v>0</v>
      </c>
      <c r="AM186" s="90">
        <f>VLOOKUP($E$7,BASEPOE3,1446,FALSE)</f>
        <v>0</v>
      </c>
      <c r="AN186" s="90">
        <f>VLOOKUP($E$7,BASEPOE3,1447,FALSE)</f>
        <v>0</v>
      </c>
      <c r="AO186" s="90">
        <f>VLOOKUP($E$7,BASEPOE3,1448,FALSE)</f>
        <v>0</v>
      </c>
      <c r="AP186" s="90">
        <f>VLOOKUP($E$7,BASEPOE3,1449,FALSE)</f>
        <v>0</v>
      </c>
      <c r="AQ186" s="90">
        <f>VLOOKUP($E$7,BASEPOE3,1450,FALSE)</f>
        <v>0</v>
      </c>
      <c r="AR186" s="90">
        <f>VLOOKUP($E$7,BASEPOE3,1451,FALSE)</f>
        <v>0</v>
      </c>
      <c r="AS186" s="90">
        <f>VLOOKUP($E$7,BASEPOE3,1452,FALSE)</f>
        <v>0</v>
      </c>
      <c r="AT186" s="90">
        <f>VLOOKUP($E$7,BASEPOE3,1453,FALSE)</f>
        <v>0</v>
      </c>
    </row>
    <row r="187" spans="1:46" x14ac:dyDescent="0.3">
      <c r="A187" s="449"/>
      <c r="B187" s="60">
        <v>34</v>
      </c>
      <c r="C187" s="92">
        <f>VLOOKUP($E$7,BASEPOE3,1454,FALSE)</f>
        <v>0</v>
      </c>
      <c r="D187" s="88">
        <f>VLOOKUP($E$7,BASEPOE3,1455,FALSE)</f>
        <v>0</v>
      </c>
      <c r="E187" s="62">
        <f>VLOOKUP($E$7,BASEPOE3,1456,FALSE)</f>
        <v>0</v>
      </c>
      <c r="F187" s="88">
        <f>VLOOKUP($E$7,BASEPOE3,1457,FALSE)</f>
        <v>0</v>
      </c>
      <c r="G187" s="88">
        <f>VLOOKUP($E$7,BASEPOE3,1458,FALSE)</f>
        <v>0</v>
      </c>
      <c r="H187" s="89">
        <f>VLOOKUP($E$7,BASEPOE3,1459,FALSE)</f>
        <v>0</v>
      </c>
      <c r="I187" s="89">
        <f>VLOOKUP($E$7,BASEPOE3,1460,FALSE)</f>
        <v>0</v>
      </c>
      <c r="J187" s="89">
        <f>VLOOKUP($E$7,BASEPOE3,1461,FALSE)</f>
        <v>0</v>
      </c>
      <c r="K187" s="89">
        <f>VLOOKUP($E$7,BASEPOE3,1462,FALSE)</f>
        <v>0</v>
      </c>
      <c r="L187" s="89">
        <f>VLOOKUP($E$7,BASEPOE3,1463,FALSE)</f>
        <v>0</v>
      </c>
      <c r="M187" s="89">
        <f>VLOOKUP($E$7,BASEPOE3,1464,FALSE)</f>
        <v>0</v>
      </c>
      <c r="N187" s="89">
        <f>VLOOKUP($E$7,BASEPOE3,1465,FALSE)</f>
        <v>0</v>
      </c>
      <c r="O187" s="89">
        <f>VLOOKUP($E$7,BASEPOE3,1466,FALSE)</f>
        <v>0</v>
      </c>
      <c r="P187" s="89">
        <f>VLOOKUP($E$7,BASEPOE3,1467,FALSE)</f>
        <v>0</v>
      </c>
      <c r="Q187" s="89">
        <f>VLOOKUP($E$7,BASEPOE3,1468,FALSE)</f>
        <v>0</v>
      </c>
      <c r="R187" s="89">
        <f>VLOOKUP($E$7,BASEPOE3,1469,FALSE)</f>
        <v>0</v>
      </c>
      <c r="S187" s="89">
        <f>VLOOKUP($E$7,BASEPOE3,1470,FALSE)</f>
        <v>0</v>
      </c>
      <c r="T187" s="89">
        <f>VLOOKUP($E$7,BASEPOE3,1471,FALSE)</f>
        <v>0</v>
      </c>
      <c r="U187" s="89">
        <f>VLOOKUP($E$7,BASEPOE3,1472,FALSE)</f>
        <v>0</v>
      </c>
      <c r="V187" s="89">
        <f>VLOOKUP($E$7,BASEPOE3,1473,FALSE)</f>
        <v>0</v>
      </c>
      <c r="W187" s="89">
        <f>VLOOKUP($E$7,BASEPOE3,1474,FALSE)</f>
        <v>0</v>
      </c>
      <c r="X187" s="89">
        <f>VLOOKUP($E$7,BASEPOE3,1475,FALSE)</f>
        <v>0</v>
      </c>
      <c r="Y187" s="89">
        <f>VLOOKUP($E$7,BASEPOE3,1476,FALSE)</f>
        <v>0</v>
      </c>
      <c r="Z187" s="89">
        <f>VLOOKUP($E$7,BASEPOE3,1477,FALSE)</f>
        <v>0</v>
      </c>
      <c r="AA187" s="89">
        <f>VLOOKUP($E$7,BASEPOE3,1478,FALSE)</f>
        <v>0</v>
      </c>
      <c r="AB187" s="89">
        <f>VLOOKUP($E$7,BASEPOE3,1479,FALSE)</f>
        <v>0</v>
      </c>
      <c r="AC187" s="88">
        <f>VLOOKUP($E$7,BASEPOE3,1480,FALSE)</f>
        <v>0</v>
      </c>
      <c r="AD187" s="88">
        <f>VLOOKUP($E$7,BASEPOE3,1481,FALSE)</f>
        <v>0</v>
      </c>
      <c r="AE187" s="88">
        <f>VLOOKUP($E$7,BASEPOE3,1482,FALSE)</f>
        <v>0</v>
      </c>
      <c r="AF187" s="88">
        <f>VLOOKUP($E$7,BASEPOE3,1483,FALSE)</f>
        <v>0</v>
      </c>
      <c r="AG187" s="88">
        <f>VLOOKUP($E$7,BASEPOE3,1484,FALSE)</f>
        <v>0</v>
      </c>
      <c r="AH187" s="88">
        <f>VLOOKUP($E$7,BASEPOE3,1485,FALSE)</f>
        <v>0</v>
      </c>
      <c r="AI187" s="88">
        <f>VLOOKUP($E$7,BASEPOE3,1486,FALSE)</f>
        <v>0</v>
      </c>
      <c r="AJ187" s="88">
        <f>VLOOKUP($E$7,BASEPOE3,1487,FALSE)</f>
        <v>0</v>
      </c>
      <c r="AK187" s="88">
        <f>VLOOKUP($E$7,BASEPOE3,1488,FALSE)</f>
        <v>0</v>
      </c>
      <c r="AL187" s="88">
        <f>VLOOKUP($E$7,BASEPOE3,1489,FALSE)</f>
        <v>0</v>
      </c>
      <c r="AM187" s="88">
        <f>VLOOKUP($E$7,BASEPOE3,1490,FALSE)</f>
        <v>0</v>
      </c>
      <c r="AN187" s="88">
        <f>VLOOKUP($E$7,BASEPOE3,1491,FALSE)</f>
        <v>0</v>
      </c>
      <c r="AO187" s="88">
        <f>VLOOKUP($E$7,BASEPOE3,1492,FALSE)</f>
        <v>0</v>
      </c>
      <c r="AP187" s="88">
        <f>VLOOKUP($E$7,BASEPOE3,1493,FALSE)</f>
        <v>0</v>
      </c>
      <c r="AQ187" s="88">
        <f>VLOOKUP($E$7,BASEPOE3,1494,FALSE)</f>
        <v>0</v>
      </c>
      <c r="AR187" s="88">
        <f>VLOOKUP($E$7,BASEPOE3,1495,FALSE)</f>
        <v>0</v>
      </c>
      <c r="AS187" s="88">
        <f>VLOOKUP($E$7,BASEPOE3,1496,FALSE)</f>
        <v>0</v>
      </c>
      <c r="AT187" s="88">
        <f>VLOOKUP($E$7,BASEPOE3,1497,FALSE)</f>
        <v>0</v>
      </c>
    </row>
    <row r="188" spans="1:46" x14ac:dyDescent="0.3">
      <c r="A188" s="200"/>
      <c r="B188" s="34">
        <v>35</v>
      </c>
      <c r="C188" s="93">
        <f>VLOOKUP($E$7,BASEPOE3,1498,FALSE)</f>
        <v>0</v>
      </c>
      <c r="D188" s="90">
        <f>VLOOKUP($E$7,BASEPOE3,1499,FALSE)</f>
        <v>0</v>
      </c>
      <c r="E188" s="61">
        <f>VLOOKUP($E$7,BASEPOE3,1500,FALSE)</f>
        <v>0</v>
      </c>
      <c r="F188" s="90">
        <f>VLOOKUP($E$7,BASEPOE3,1501,FALSE)</f>
        <v>0</v>
      </c>
      <c r="G188" s="90">
        <f>VLOOKUP($E$7,BASEPOE3,1502,FALSE)</f>
        <v>0</v>
      </c>
      <c r="H188" s="91">
        <f>VLOOKUP($E$7,BASEPOE3,1503,FALSE)</f>
        <v>0</v>
      </c>
      <c r="I188" s="91">
        <f>VLOOKUP($E$7,BASEPOE3,1504,FALSE)</f>
        <v>0</v>
      </c>
      <c r="J188" s="91">
        <f>VLOOKUP($E$7,BASEPOE3,1505,FALSE)</f>
        <v>0</v>
      </c>
      <c r="K188" s="91">
        <f>VLOOKUP($E$7,BASEPOE3,1506,FALSE)</f>
        <v>0</v>
      </c>
      <c r="L188" s="91">
        <f>VLOOKUP($E$7,BASEPOE3,1507,FALSE)</f>
        <v>0</v>
      </c>
      <c r="M188" s="91">
        <f>VLOOKUP($E$7,BASEPOE3,1508,FALSE)</f>
        <v>0</v>
      </c>
      <c r="N188" s="91">
        <f>VLOOKUP($E$7,BASEPOE3,1509,FALSE)</f>
        <v>0</v>
      </c>
      <c r="O188" s="91">
        <f>VLOOKUP($E$7,BASEPOE3,1510,FALSE)</f>
        <v>0</v>
      </c>
      <c r="P188" s="91">
        <f>VLOOKUP($E$7,BASEPOE3,1511,FALSE)</f>
        <v>0</v>
      </c>
      <c r="Q188" s="91">
        <f>VLOOKUP($E$7,BASEPOE3,1512,FALSE)</f>
        <v>0</v>
      </c>
      <c r="R188" s="91">
        <f>VLOOKUP($E$7,BASEPOE3,1513,FALSE)</f>
        <v>0</v>
      </c>
      <c r="S188" s="91">
        <f>VLOOKUP($E$7,BASEPOE3,1514,FALSE)</f>
        <v>0</v>
      </c>
      <c r="T188" s="91">
        <f>VLOOKUP($E$7,BASEPOE3,1515,FALSE)</f>
        <v>0</v>
      </c>
      <c r="U188" s="91">
        <f>VLOOKUP($E$7,BASEPOE3,1516,FALSE)</f>
        <v>0</v>
      </c>
      <c r="V188" s="91">
        <f>VLOOKUP($E$7,BASEPOE3,1517,FALSE)</f>
        <v>0</v>
      </c>
      <c r="W188" s="91">
        <f>VLOOKUP($E$7,BASEPOE3,1518,FALSE)</f>
        <v>0</v>
      </c>
      <c r="X188" s="91">
        <f>VLOOKUP($E$7,BASEPOE3,1519,FALSE)</f>
        <v>0</v>
      </c>
      <c r="Y188" s="91">
        <f>VLOOKUP($E$7,BASEPOE3,1520,FALSE)</f>
        <v>0</v>
      </c>
      <c r="Z188" s="91">
        <f>VLOOKUP($E$7,BASEPOE3,1521,FALSE)</f>
        <v>0</v>
      </c>
      <c r="AA188" s="91">
        <f>VLOOKUP($E$7,BASEPOE3,1522,FALSE)</f>
        <v>0</v>
      </c>
      <c r="AB188" s="91">
        <f>VLOOKUP($E$7,BASEPOE3,1523,FALSE)</f>
        <v>0</v>
      </c>
      <c r="AC188" s="90">
        <f>VLOOKUP($E$7,BASEPOE3,1524,FALSE)</f>
        <v>0</v>
      </c>
      <c r="AD188" s="90">
        <f>VLOOKUP($E$7,BASEPOE3,1525,FALSE)</f>
        <v>0</v>
      </c>
      <c r="AE188" s="90">
        <f>VLOOKUP($E$7,BASEPOE3,1526,FALSE)</f>
        <v>0</v>
      </c>
      <c r="AF188" s="90">
        <f>VLOOKUP($E$7,BASEPOE3,1527,FALSE)</f>
        <v>0</v>
      </c>
      <c r="AG188" s="90">
        <f>VLOOKUP($E$7,BASEPOE3,1528,FALSE)</f>
        <v>0</v>
      </c>
      <c r="AH188" s="90">
        <f>VLOOKUP($E$7,BASEPOE3,1529,FALSE)</f>
        <v>0</v>
      </c>
      <c r="AI188" s="90">
        <f>VLOOKUP($E$7,BASEPOE3,1530,FALSE)</f>
        <v>0</v>
      </c>
      <c r="AJ188" s="90">
        <f>VLOOKUP($E$7,BASEPOE3,1531,FALSE)</f>
        <v>0</v>
      </c>
      <c r="AK188" s="90">
        <f>VLOOKUP($E$7,BASEPOE3,1532,FALSE)</f>
        <v>0</v>
      </c>
      <c r="AL188" s="90">
        <f>VLOOKUP($E$7,BASEPOE3,1533,FALSE)</f>
        <v>0</v>
      </c>
      <c r="AM188" s="90">
        <f>VLOOKUP($E$7,BASEPOE3,1534,FALSE)</f>
        <v>0</v>
      </c>
      <c r="AN188" s="90">
        <f>VLOOKUP($E$7,BASEPOE3,1535,FALSE)</f>
        <v>0</v>
      </c>
      <c r="AO188" s="90">
        <f>VLOOKUP($E$7,BASEPOE3,1536,FALSE)</f>
        <v>0</v>
      </c>
      <c r="AP188" s="90">
        <f>VLOOKUP($E$7,BASEPOE3,1537,FALSE)</f>
        <v>0</v>
      </c>
      <c r="AQ188" s="90">
        <f>VLOOKUP($E$7,BASEPOE3,1538,FALSE)</f>
        <v>0</v>
      </c>
      <c r="AR188" s="90">
        <f>VLOOKUP($E$7,BASEPOE3,1539,FALSE)</f>
        <v>0</v>
      </c>
      <c r="AS188" s="90">
        <f>VLOOKUP($E$7,BASEPOE3,1540,FALSE)</f>
        <v>0</v>
      </c>
      <c r="AT188" s="90">
        <f>VLOOKUP($E$7,BASEPOE3,1541,FALSE)</f>
        <v>0</v>
      </c>
    </row>
    <row r="189" spans="1:46" x14ac:dyDescent="0.3">
      <c r="A189" s="200"/>
      <c r="B189" s="60">
        <v>36</v>
      </c>
      <c r="C189" s="92">
        <f>VLOOKUP($E$7,BASEPOE3,1542,FALSE)</f>
        <v>0</v>
      </c>
      <c r="D189" s="88">
        <f>VLOOKUP($E$7,BASEPOE3,1543,FALSE)</f>
        <v>0</v>
      </c>
      <c r="E189" s="62">
        <f>VLOOKUP($E$7,BASEPOE3,1544,FALSE)</f>
        <v>0</v>
      </c>
      <c r="F189" s="88">
        <f>VLOOKUP($E$7,BASEPOE3,1545,FALSE)</f>
        <v>0</v>
      </c>
      <c r="G189" s="88">
        <f>VLOOKUP($E$7,BASEPOE3,1546,FALSE)</f>
        <v>0</v>
      </c>
      <c r="H189" s="89">
        <f>VLOOKUP($E$7,BASEPOE3,1547,FALSE)</f>
        <v>0</v>
      </c>
      <c r="I189" s="89">
        <f>VLOOKUP($E$7,BASEPOE3,1548,FALSE)</f>
        <v>0</v>
      </c>
      <c r="J189" s="89">
        <f>VLOOKUP($E$7,BASEPOE3,1549,FALSE)</f>
        <v>0</v>
      </c>
      <c r="K189" s="89">
        <f>VLOOKUP($E$7,BASEPOE3,1550,FALSE)</f>
        <v>0</v>
      </c>
      <c r="L189" s="89">
        <f>VLOOKUP($E$7,BASEPOE3,1551,FALSE)</f>
        <v>0</v>
      </c>
      <c r="M189" s="89">
        <f>VLOOKUP($E$7,BASEPOE3,1552,FALSE)</f>
        <v>0</v>
      </c>
      <c r="N189" s="89">
        <f>VLOOKUP($E$7,BASEPOE3,1553,FALSE)</f>
        <v>0</v>
      </c>
      <c r="O189" s="89">
        <f>VLOOKUP($E$7,BASEPOE3,1554,FALSE)</f>
        <v>0</v>
      </c>
      <c r="P189" s="89">
        <f>VLOOKUP($E$7,BASEPOE3,1555,FALSE)</f>
        <v>0</v>
      </c>
      <c r="Q189" s="89">
        <f>VLOOKUP($E$7,BASEPOE3,1556,FALSE)</f>
        <v>0</v>
      </c>
      <c r="R189" s="89">
        <f>VLOOKUP($E$7,BASEPOE3,1557,FALSE)</f>
        <v>0</v>
      </c>
      <c r="S189" s="89">
        <f>VLOOKUP($E$7,BASEPOE3,1558,FALSE)</f>
        <v>0</v>
      </c>
      <c r="T189" s="89">
        <f>VLOOKUP($E$7,BASEPOE3,1559,FALSE)</f>
        <v>0</v>
      </c>
      <c r="U189" s="89">
        <f>VLOOKUP($E$7,BASEPOE3,1560,FALSE)</f>
        <v>0</v>
      </c>
      <c r="V189" s="89">
        <f>VLOOKUP($E$7,BASEPOE3,1561,FALSE)</f>
        <v>0</v>
      </c>
      <c r="W189" s="89">
        <f>VLOOKUP($E$7,BASEPOE3,1562,FALSE)</f>
        <v>0</v>
      </c>
      <c r="X189" s="89">
        <f>VLOOKUP($E$7,BASEPOE3,1563,FALSE)</f>
        <v>0</v>
      </c>
      <c r="Y189" s="89">
        <f>VLOOKUP($E$7,BASEPOE3,1564,FALSE)</f>
        <v>0</v>
      </c>
      <c r="Z189" s="89">
        <f>VLOOKUP($E$7,BASEPOE3,1565,FALSE)</f>
        <v>0</v>
      </c>
      <c r="AA189" s="89">
        <f>VLOOKUP($E$7,BASEPOE3,1566,FALSE)</f>
        <v>0</v>
      </c>
      <c r="AB189" s="89">
        <f>VLOOKUP($E$7,BASEPOE3,1567,FALSE)</f>
        <v>0</v>
      </c>
      <c r="AC189" s="88">
        <f>VLOOKUP($E$7,BASEPOE3,1568,FALSE)</f>
        <v>0</v>
      </c>
      <c r="AD189" s="88">
        <f>VLOOKUP($E$7,BASEPOE3,1569,FALSE)</f>
        <v>0</v>
      </c>
      <c r="AE189" s="88">
        <f>VLOOKUP($E$7,BASEPOE3,1570,FALSE)</f>
        <v>0</v>
      </c>
      <c r="AF189" s="88">
        <f>VLOOKUP($E$7,BASEPOE3,1571,FALSE)</f>
        <v>0</v>
      </c>
      <c r="AG189" s="88">
        <f>VLOOKUP($E$7,BASEPOE3,1572,FALSE)</f>
        <v>0</v>
      </c>
      <c r="AH189" s="88">
        <f>VLOOKUP($E$7,BASEPOE3,1573,FALSE)</f>
        <v>0</v>
      </c>
      <c r="AI189" s="88">
        <f>VLOOKUP($E$7,BASEPOE3,1574,FALSE)</f>
        <v>0</v>
      </c>
      <c r="AJ189" s="88">
        <f>VLOOKUP($E$7,BASEPOE3,1575,FALSE)</f>
        <v>0</v>
      </c>
      <c r="AK189" s="88">
        <f>VLOOKUP($E$7,BASEPOE3,1576,FALSE)</f>
        <v>0</v>
      </c>
      <c r="AL189" s="88">
        <f>VLOOKUP($E$7,BASEPOE3,1577,FALSE)</f>
        <v>0</v>
      </c>
      <c r="AM189" s="88">
        <f>VLOOKUP($E$7,BASEPOE3,1578,FALSE)</f>
        <v>0</v>
      </c>
      <c r="AN189" s="88">
        <f>VLOOKUP($E$7,BASEPOE3,1579,FALSE)</f>
        <v>0</v>
      </c>
      <c r="AO189" s="88">
        <f>VLOOKUP($E$7,BASEPOE3,1580,FALSE)</f>
        <v>0</v>
      </c>
      <c r="AP189" s="88">
        <f>VLOOKUP($E$7,BASEPOE3,1581,FALSE)</f>
        <v>0</v>
      </c>
      <c r="AQ189" s="88">
        <f>VLOOKUP($E$7,BASEPOE3,1582,FALSE)</f>
        <v>0</v>
      </c>
      <c r="AR189" s="88">
        <f>VLOOKUP($E$7,BASEPOE3,1583,FALSE)</f>
        <v>0</v>
      </c>
      <c r="AS189" s="88">
        <f>VLOOKUP($E$7,BASEPOE3,1584,FALSE)</f>
        <v>0</v>
      </c>
      <c r="AT189" s="88">
        <f>VLOOKUP($E$7,BASEPOE3,1585,FALSE)</f>
        <v>0</v>
      </c>
    </row>
    <row r="190" spans="1:46" x14ac:dyDescent="0.3">
      <c r="A190" s="200"/>
      <c r="B190" s="34">
        <v>37</v>
      </c>
      <c r="C190" s="93">
        <f>VLOOKUP($E$7,BASEPOE3,1586,FALSE)</f>
        <v>0</v>
      </c>
      <c r="D190" s="90">
        <f>VLOOKUP($E$7,BASEPOE3,1587,FALSE)</f>
        <v>0</v>
      </c>
      <c r="E190" s="61">
        <f>VLOOKUP($E$7,BASEPOE3,1588,FALSE)</f>
        <v>0</v>
      </c>
      <c r="F190" s="90">
        <f>VLOOKUP($E$7,BASEPOE3,1589,FALSE)</f>
        <v>0</v>
      </c>
      <c r="G190" s="90">
        <f>VLOOKUP($E$7,BASEPOE3,1590,FALSE)</f>
        <v>0</v>
      </c>
      <c r="H190" s="91">
        <f>VLOOKUP($E$7,BASEPOE3,1591,FALSE)</f>
        <v>0</v>
      </c>
      <c r="I190" s="91">
        <f>VLOOKUP($E$7,BASEPOE3,1592,FALSE)</f>
        <v>0</v>
      </c>
      <c r="J190" s="91">
        <f>VLOOKUP($E$7,BASEPOE3,1593,FALSE)</f>
        <v>0</v>
      </c>
      <c r="K190" s="91">
        <f>VLOOKUP($E$7,BASEPOE3,1594,FALSE)</f>
        <v>0</v>
      </c>
      <c r="L190" s="91">
        <f>VLOOKUP($E$7,BASEPOE3,1595,FALSE)</f>
        <v>0</v>
      </c>
      <c r="M190" s="91">
        <f>VLOOKUP($E$7,BASEPOE3,1596,FALSE)</f>
        <v>0</v>
      </c>
      <c r="N190" s="91">
        <f>VLOOKUP($E$7,BASEPOE3,1597,FALSE)</f>
        <v>0</v>
      </c>
      <c r="O190" s="91">
        <f>VLOOKUP($E$7,BASEPOE3,1598,FALSE)</f>
        <v>0</v>
      </c>
      <c r="P190" s="91">
        <f>VLOOKUP($E$7,BASEPOE3,1599,FALSE)</f>
        <v>0</v>
      </c>
      <c r="Q190" s="91">
        <f>VLOOKUP($E$7,BASEPOE3,1600,FALSE)</f>
        <v>0</v>
      </c>
      <c r="R190" s="91">
        <f>VLOOKUP($E$7,BASEPOE3,1601,FALSE)</f>
        <v>0</v>
      </c>
      <c r="S190" s="91">
        <f>VLOOKUP($E$7,BASEPOE3,1602,FALSE)</f>
        <v>0</v>
      </c>
      <c r="T190" s="91">
        <f>VLOOKUP($E$7,BASEPOE3,1603,FALSE)</f>
        <v>0</v>
      </c>
      <c r="U190" s="91">
        <f>VLOOKUP($E$7,BASEPOE3,1604,FALSE)</f>
        <v>0</v>
      </c>
      <c r="V190" s="91">
        <f>VLOOKUP($E$7,BASEPOE3,1605,FALSE)</f>
        <v>0</v>
      </c>
      <c r="W190" s="91">
        <f>VLOOKUP($E$7,BASEPOE3,1606,FALSE)</f>
        <v>0</v>
      </c>
      <c r="X190" s="91">
        <f>VLOOKUP($E$7,BASEPOE3,1607,FALSE)</f>
        <v>0</v>
      </c>
      <c r="Y190" s="91">
        <f>VLOOKUP($E$7,BASEPOE3,1608,FALSE)</f>
        <v>0</v>
      </c>
      <c r="Z190" s="91">
        <f>VLOOKUP($E$7,BASEPOE3,1609,FALSE)</f>
        <v>0</v>
      </c>
      <c r="AA190" s="91">
        <f>VLOOKUP($E$7,BASEPOE3,1610,FALSE)</f>
        <v>0</v>
      </c>
      <c r="AB190" s="91">
        <f>VLOOKUP($E$7,BASEPOE3,1611,FALSE)</f>
        <v>0</v>
      </c>
      <c r="AC190" s="90">
        <f>VLOOKUP($E$7,BASEPOE3,1612,FALSE)</f>
        <v>0</v>
      </c>
      <c r="AD190" s="90">
        <f>VLOOKUP($E$7,BASEPOE3,1613,FALSE)</f>
        <v>0</v>
      </c>
      <c r="AE190" s="90">
        <f>VLOOKUP($E$7,BASEPOE3,1614,FALSE)</f>
        <v>0</v>
      </c>
      <c r="AF190" s="90">
        <f>VLOOKUP($E$7,BASEPOE3,1615,FALSE)</f>
        <v>0</v>
      </c>
      <c r="AG190" s="90">
        <f>VLOOKUP($E$7,BASEPOE3,1616,FALSE)</f>
        <v>0</v>
      </c>
      <c r="AH190" s="90">
        <f>VLOOKUP($E$7,BASEPOE3,1617,FALSE)</f>
        <v>0</v>
      </c>
      <c r="AI190" s="90">
        <f>VLOOKUP($E$7,BASEPOE3,1618,FALSE)</f>
        <v>0</v>
      </c>
      <c r="AJ190" s="90">
        <f>VLOOKUP($E$7,BASEPOE3,1619,FALSE)</f>
        <v>0</v>
      </c>
      <c r="AK190" s="90">
        <f>VLOOKUP($E$7,BASEPOE3,1620,FALSE)</f>
        <v>0</v>
      </c>
      <c r="AL190" s="90">
        <f>VLOOKUP($E$7,BASEPOE3,1621,FALSE)</f>
        <v>0</v>
      </c>
      <c r="AM190" s="90">
        <f>VLOOKUP($E$7,BASEPOE3,1622,FALSE)</f>
        <v>0</v>
      </c>
      <c r="AN190" s="90">
        <f>VLOOKUP($E$7,BASEPOE3,1623,FALSE)</f>
        <v>0</v>
      </c>
      <c r="AO190" s="90">
        <f>VLOOKUP($E$7,BASEPOE3,1624,FALSE)</f>
        <v>0</v>
      </c>
      <c r="AP190" s="90">
        <f>VLOOKUP($E$7,BASEPOE3,1625,FALSE)</f>
        <v>0</v>
      </c>
      <c r="AQ190" s="90">
        <f>VLOOKUP($E$7,BASEPOE3,1626,FALSE)</f>
        <v>0</v>
      </c>
      <c r="AR190" s="90">
        <f>VLOOKUP($E$7,BASEPOE3,1627,FALSE)</f>
        <v>0</v>
      </c>
      <c r="AS190" s="90">
        <f>VLOOKUP($E$7,BASEPOE3,1628,FALSE)</f>
        <v>0</v>
      </c>
      <c r="AT190" s="90">
        <f>VLOOKUP($E$7,BASEPOE3,1629,FALSE)</f>
        <v>0</v>
      </c>
    </row>
    <row r="191" spans="1:46" x14ac:dyDescent="0.3">
      <c r="A191" s="200"/>
      <c r="B191" s="60">
        <v>38</v>
      </c>
      <c r="C191" s="92">
        <f>VLOOKUP($E$7,BASEPOE3,1630,FALSE)</f>
        <v>0</v>
      </c>
      <c r="D191" s="88">
        <f>VLOOKUP($E$7,BASEPOE3,1631,FALSE)</f>
        <v>0</v>
      </c>
      <c r="E191" s="62">
        <f>VLOOKUP($E$7,BASEPOE3,1632,FALSE)</f>
        <v>0</v>
      </c>
      <c r="F191" s="88">
        <f>VLOOKUP($E$7,BASEPOE3,1633,FALSE)</f>
        <v>0</v>
      </c>
      <c r="G191" s="88">
        <f>VLOOKUP($E$7,BASEPOE3,1634,FALSE)</f>
        <v>0</v>
      </c>
      <c r="H191" s="89">
        <f>VLOOKUP($E$7,BASEPOE3,1635,FALSE)</f>
        <v>0</v>
      </c>
      <c r="I191" s="89">
        <f>VLOOKUP($E$7,BASEPOE3,1636,FALSE)</f>
        <v>0</v>
      </c>
      <c r="J191" s="89">
        <f>VLOOKUP($E$7,BASEPOE3,1637,FALSE)</f>
        <v>0</v>
      </c>
      <c r="K191" s="89">
        <f>VLOOKUP($E$7,BASEPOE3,1638,FALSE)</f>
        <v>0</v>
      </c>
      <c r="L191" s="89">
        <f>VLOOKUP($E$7,BASEPOE3,1639,FALSE)</f>
        <v>0</v>
      </c>
      <c r="M191" s="89">
        <f>VLOOKUP($E$7,BASEPOE3,1640,FALSE)</f>
        <v>0</v>
      </c>
      <c r="N191" s="89">
        <f>VLOOKUP($E$7,BASEPOE3,1641,FALSE)</f>
        <v>0</v>
      </c>
      <c r="O191" s="89">
        <f>VLOOKUP($E$7,BASEPOE3,1642,FALSE)</f>
        <v>0</v>
      </c>
      <c r="P191" s="89">
        <f>VLOOKUP($E$7,BASEPOE3,1643,FALSE)</f>
        <v>0</v>
      </c>
      <c r="Q191" s="89">
        <f>VLOOKUP($E$7,BASEPOE3,1644,FALSE)</f>
        <v>0</v>
      </c>
      <c r="R191" s="89">
        <f>VLOOKUP($E$7,BASEPOE3,1645,FALSE)</f>
        <v>0</v>
      </c>
      <c r="S191" s="89">
        <f>VLOOKUP($E$7,BASEPOE3,1646,FALSE)</f>
        <v>0</v>
      </c>
      <c r="T191" s="89">
        <f>VLOOKUP($E$7,BASEPOE3,1647,FALSE)</f>
        <v>0</v>
      </c>
      <c r="U191" s="89">
        <f>VLOOKUP($E$7,BASEPOE3,1648,FALSE)</f>
        <v>0</v>
      </c>
      <c r="V191" s="89">
        <f>VLOOKUP($E$7,BASEPOE3,1649,FALSE)</f>
        <v>0</v>
      </c>
      <c r="W191" s="89">
        <f>VLOOKUP($E$7,BASEPOE3,1650,FALSE)</f>
        <v>0</v>
      </c>
      <c r="X191" s="89">
        <f>VLOOKUP($E$7,BASEPOE3,1651,FALSE)</f>
        <v>0</v>
      </c>
      <c r="Y191" s="89">
        <f>VLOOKUP($E$7,BASEPOE3,1652,FALSE)</f>
        <v>0</v>
      </c>
      <c r="Z191" s="89">
        <f>VLOOKUP($E$7,BASEPOE3,1653,FALSE)</f>
        <v>0</v>
      </c>
      <c r="AA191" s="89">
        <f>VLOOKUP($E$7,BASEPOE3,1654,FALSE)</f>
        <v>0</v>
      </c>
      <c r="AB191" s="89">
        <f>VLOOKUP($E$7,BASEPOE3,1655,FALSE)</f>
        <v>0</v>
      </c>
      <c r="AC191" s="88">
        <f>VLOOKUP($E$7,BASEPOE3,1656,FALSE)</f>
        <v>0</v>
      </c>
      <c r="AD191" s="88">
        <f>VLOOKUP($E$7,BASEPOE3,1657,FALSE)</f>
        <v>0</v>
      </c>
      <c r="AE191" s="88">
        <f>VLOOKUP($E$7,BASEPOE3,1658,FALSE)</f>
        <v>0</v>
      </c>
      <c r="AF191" s="88">
        <f>VLOOKUP($E$7,BASEPOE3,1659,FALSE)</f>
        <v>0</v>
      </c>
      <c r="AG191" s="88">
        <f>VLOOKUP($E$7,BASEPOE3,1660,FALSE)</f>
        <v>0</v>
      </c>
      <c r="AH191" s="88">
        <f>VLOOKUP($E$7,BASEPOE3,1661,FALSE)</f>
        <v>0</v>
      </c>
      <c r="AI191" s="88">
        <f>VLOOKUP($E$7,BASEPOE3,1662,FALSE)</f>
        <v>0</v>
      </c>
      <c r="AJ191" s="88">
        <f>VLOOKUP($E$7,BASEPOE3,1663,FALSE)</f>
        <v>0</v>
      </c>
      <c r="AK191" s="88">
        <f>VLOOKUP($E$7,BASEPOE3,1664,FALSE)</f>
        <v>0</v>
      </c>
      <c r="AL191" s="88">
        <f>VLOOKUP($E$7,BASEPOE3,1665,FALSE)</f>
        <v>0</v>
      </c>
      <c r="AM191" s="88">
        <f>VLOOKUP($E$7,BASEPOE3,1666,FALSE)</f>
        <v>0</v>
      </c>
      <c r="AN191" s="88">
        <f>VLOOKUP($E$7,BASEPOE3,1667,FALSE)</f>
        <v>0</v>
      </c>
      <c r="AO191" s="88">
        <f>VLOOKUP($E$7,BASEPOE3,1668,FALSE)</f>
        <v>0</v>
      </c>
      <c r="AP191" s="88">
        <f>VLOOKUP($E$7,BASEPOE3,1669,FALSE)</f>
        <v>0</v>
      </c>
      <c r="AQ191" s="88">
        <f>VLOOKUP($E$7,BASEPOE3,1670,FALSE)</f>
        <v>0</v>
      </c>
      <c r="AR191" s="88">
        <f>VLOOKUP($E$7,BASEPOE3,1671,FALSE)</f>
        <v>0</v>
      </c>
      <c r="AS191" s="88">
        <f>VLOOKUP($E$7,BASEPOE3,1672,FALSE)</f>
        <v>0</v>
      </c>
      <c r="AT191" s="88">
        <f>VLOOKUP($E$7,BASEPOE3,1673,FALSE)</f>
        <v>0</v>
      </c>
    </row>
    <row r="192" spans="1:46" x14ac:dyDescent="0.3">
      <c r="A192" s="200"/>
      <c r="B192" s="34">
        <v>39</v>
      </c>
      <c r="C192" s="93">
        <f>VLOOKUP($E$7,BASEPOE3,1674,FALSE)</f>
        <v>0</v>
      </c>
      <c r="D192" s="90">
        <f>VLOOKUP($E$7,BASEPOE3,1675,FALSE)</f>
        <v>0</v>
      </c>
      <c r="E192" s="61">
        <f>VLOOKUP($E$7,BASEPOE3,1676,FALSE)</f>
        <v>0</v>
      </c>
      <c r="F192" s="90">
        <f>VLOOKUP($E$7,BASEPOE3,1677,FALSE)</f>
        <v>0</v>
      </c>
      <c r="G192" s="90">
        <f>VLOOKUP($E$7,BASEPOE3,1678,FALSE)</f>
        <v>0</v>
      </c>
      <c r="H192" s="91">
        <f>VLOOKUP($E$7,BASEPOE3,1679,FALSE)</f>
        <v>0</v>
      </c>
      <c r="I192" s="91">
        <f>VLOOKUP($E$7,BASEPOE3,1680,FALSE)</f>
        <v>0</v>
      </c>
      <c r="J192" s="91">
        <f>VLOOKUP($E$7,BASEPOE3,1681,FALSE)</f>
        <v>0</v>
      </c>
      <c r="K192" s="91">
        <f>VLOOKUP($E$7,BASEPOE3,1682,FALSE)</f>
        <v>0</v>
      </c>
      <c r="L192" s="91">
        <f>VLOOKUP($E$7,BASEPOE3,1683,FALSE)</f>
        <v>0</v>
      </c>
      <c r="M192" s="91">
        <f>VLOOKUP($E$7,BASEPOE3,1684,FALSE)</f>
        <v>0</v>
      </c>
      <c r="N192" s="91">
        <f>VLOOKUP($E$7,BASEPOE3,1685,FALSE)</f>
        <v>0</v>
      </c>
      <c r="O192" s="91">
        <f>VLOOKUP($E$7,BASEPOE3,1686,FALSE)</f>
        <v>0</v>
      </c>
      <c r="P192" s="91">
        <f>VLOOKUP($E$7,BASEPOE3,1687,FALSE)</f>
        <v>0</v>
      </c>
      <c r="Q192" s="91">
        <f>VLOOKUP($E$7,BASEPOE3,1688,FALSE)</f>
        <v>0</v>
      </c>
      <c r="R192" s="91">
        <f>VLOOKUP($E$7,BASEPOE3,1689,FALSE)</f>
        <v>0</v>
      </c>
      <c r="S192" s="91">
        <f>VLOOKUP($E$7,BASEPOE3,1690,FALSE)</f>
        <v>0</v>
      </c>
      <c r="T192" s="91">
        <f>VLOOKUP($E$7,BASEPOE3,1691,FALSE)</f>
        <v>0</v>
      </c>
      <c r="U192" s="91">
        <f>VLOOKUP($E$7,BASEPOE3,1692,FALSE)</f>
        <v>0</v>
      </c>
      <c r="V192" s="91">
        <f>VLOOKUP($E$7,BASEPOE3,1693,FALSE)</f>
        <v>0</v>
      </c>
      <c r="W192" s="91">
        <f>VLOOKUP($E$7,BASEPOE3,1694,FALSE)</f>
        <v>0</v>
      </c>
      <c r="X192" s="91">
        <f>VLOOKUP($E$7,BASEPOE3,1695,FALSE)</f>
        <v>0</v>
      </c>
      <c r="Y192" s="91">
        <f>VLOOKUP($E$7,BASEPOE3,1696,FALSE)</f>
        <v>0</v>
      </c>
      <c r="Z192" s="91">
        <f>VLOOKUP($E$7,BASEPOE3,1697,FALSE)</f>
        <v>0</v>
      </c>
      <c r="AA192" s="91">
        <f>VLOOKUP($E$7,BASEPOE3,1698,FALSE)</f>
        <v>0</v>
      </c>
      <c r="AB192" s="91">
        <f>VLOOKUP($E$7,BASEPOE3,1699,FALSE)</f>
        <v>0</v>
      </c>
      <c r="AC192" s="90">
        <f>VLOOKUP($E$7,BASEPOE3,1700,FALSE)</f>
        <v>0</v>
      </c>
      <c r="AD192" s="90">
        <f>VLOOKUP($E$7,BASEPOE3,1701,FALSE)</f>
        <v>0</v>
      </c>
      <c r="AE192" s="90">
        <f>VLOOKUP($E$7,BASEPOE3,1702,FALSE)</f>
        <v>0</v>
      </c>
      <c r="AF192" s="90">
        <f>VLOOKUP($E$7,BASEPOE3,1703,FALSE)</f>
        <v>0</v>
      </c>
      <c r="AG192" s="90">
        <f>VLOOKUP($E$7,BASEPOE3,1704,FALSE)</f>
        <v>0</v>
      </c>
      <c r="AH192" s="90">
        <f>VLOOKUP($E$7,BASEPOE3,1705,FALSE)</f>
        <v>0</v>
      </c>
      <c r="AI192" s="90">
        <f>VLOOKUP($E$7,BASEPOE3,1706,FALSE)</f>
        <v>0</v>
      </c>
      <c r="AJ192" s="90">
        <f>VLOOKUP($E$7,BASEPOE3,1707,FALSE)</f>
        <v>0</v>
      </c>
      <c r="AK192" s="90">
        <f>VLOOKUP($E$7,BASEPOE3,1708,FALSE)</f>
        <v>0</v>
      </c>
      <c r="AL192" s="90">
        <f>VLOOKUP($E$7,BASEPOE3,1709,FALSE)</f>
        <v>0</v>
      </c>
      <c r="AM192" s="90">
        <f>VLOOKUP($E$7,BASEPOE3,1710,FALSE)</f>
        <v>0</v>
      </c>
      <c r="AN192" s="90">
        <f>VLOOKUP($E$7,BASEPOE3,1711,FALSE)</f>
        <v>0</v>
      </c>
      <c r="AO192" s="90">
        <f>VLOOKUP($E$7,BASEPOE3,1712,FALSE)</f>
        <v>0</v>
      </c>
      <c r="AP192" s="90">
        <f>VLOOKUP($E$7,BASEPOE3,1713,FALSE)</f>
        <v>0</v>
      </c>
      <c r="AQ192" s="90">
        <f>VLOOKUP($E$7,BASEPOE3,1714,FALSE)</f>
        <v>0</v>
      </c>
      <c r="AR192" s="90">
        <f>VLOOKUP($E$7,BASEPOE3,1715,FALSE)</f>
        <v>0</v>
      </c>
      <c r="AS192" s="90">
        <f>VLOOKUP($E$7,BASEPOE3,1716,FALSE)</f>
        <v>0</v>
      </c>
      <c r="AT192" s="90">
        <f>VLOOKUP($E$7,BASEPOE3,1717,FALSE)</f>
        <v>0</v>
      </c>
    </row>
    <row r="193" spans="1:46" x14ac:dyDescent="0.3">
      <c r="A193" s="200"/>
      <c r="B193" s="60">
        <v>40</v>
      </c>
      <c r="C193" s="92">
        <f>VLOOKUP($E$7,BASEPOE3,1718,FALSE)</f>
        <v>0</v>
      </c>
      <c r="D193" s="88">
        <f>VLOOKUP($E$7,BASEPOE3,1719,FALSE)</f>
        <v>0</v>
      </c>
      <c r="E193" s="62">
        <f>VLOOKUP($E$7,BASEPOE3,1720,FALSE)</f>
        <v>0</v>
      </c>
      <c r="F193" s="88">
        <f>VLOOKUP($E$7,BASEPOE3,1721,FALSE)</f>
        <v>0</v>
      </c>
      <c r="G193" s="88">
        <f>VLOOKUP($E$7,BASEPOE3,1722,FALSE)</f>
        <v>0</v>
      </c>
      <c r="H193" s="89">
        <f>VLOOKUP($E$7,BASEPOE3,1723,FALSE)</f>
        <v>0</v>
      </c>
      <c r="I193" s="89">
        <f>VLOOKUP($E$7,BASEPOE3,1724,FALSE)</f>
        <v>0</v>
      </c>
      <c r="J193" s="89">
        <f>VLOOKUP($E$7,BASEPOE3,1725,FALSE)</f>
        <v>0</v>
      </c>
      <c r="K193" s="89">
        <f>VLOOKUP($E$7,BASEPOE3,1726,FALSE)</f>
        <v>0</v>
      </c>
      <c r="L193" s="89">
        <f>VLOOKUP($E$7,BASEPOE3,1727,FALSE)</f>
        <v>0</v>
      </c>
      <c r="M193" s="89">
        <f>VLOOKUP($E$7,BASEPOE3,1728,FALSE)</f>
        <v>0</v>
      </c>
      <c r="N193" s="89">
        <f>VLOOKUP($E$7,BASEPOE3,1729,FALSE)</f>
        <v>0</v>
      </c>
      <c r="O193" s="89">
        <f>VLOOKUP($E$7,BASEPOE3,1730,FALSE)</f>
        <v>0</v>
      </c>
      <c r="P193" s="89">
        <f>VLOOKUP($E$7,BASEPOE3,1731,FALSE)</f>
        <v>0</v>
      </c>
      <c r="Q193" s="89">
        <f>VLOOKUP($E$7,BASEPOE3,1732,FALSE)</f>
        <v>0</v>
      </c>
      <c r="R193" s="89">
        <f>VLOOKUP($E$7,BASEPOE3,1733,FALSE)</f>
        <v>0</v>
      </c>
      <c r="S193" s="89">
        <f>VLOOKUP($E$7,BASEPOE3,1734,FALSE)</f>
        <v>0</v>
      </c>
      <c r="T193" s="89">
        <f>VLOOKUP($E$7,BASEPOE3,1735,FALSE)</f>
        <v>0</v>
      </c>
      <c r="U193" s="89">
        <f>VLOOKUP($E$7,BASEPOE3,1736,FALSE)</f>
        <v>0</v>
      </c>
      <c r="V193" s="89">
        <f>VLOOKUP($E$7,BASEPOE3,1737,FALSE)</f>
        <v>0</v>
      </c>
      <c r="W193" s="89">
        <f>VLOOKUP($E$7,BASEPOE3,1738,FALSE)</f>
        <v>0</v>
      </c>
      <c r="X193" s="89">
        <f>VLOOKUP($E$7,BASEPOE3,1739,FALSE)</f>
        <v>0</v>
      </c>
      <c r="Y193" s="89">
        <f>VLOOKUP($E$7,BASEPOE3,1740,FALSE)</f>
        <v>0</v>
      </c>
      <c r="Z193" s="89">
        <f>VLOOKUP($E$7,BASEPOE3,1741,FALSE)</f>
        <v>0</v>
      </c>
      <c r="AA193" s="89">
        <f>VLOOKUP($E$7,BASEPOE3,1742,FALSE)</f>
        <v>0</v>
      </c>
      <c r="AB193" s="89">
        <f>VLOOKUP($E$7,BASEPOE3,1743,FALSE)</f>
        <v>0</v>
      </c>
      <c r="AC193" s="88">
        <f>VLOOKUP($E$7,BASEPOE3,1744,FALSE)</f>
        <v>0</v>
      </c>
      <c r="AD193" s="88">
        <f>VLOOKUP($E$7,BASEPOE3,1745,FALSE)</f>
        <v>0</v>
      </c>
      <c r="AE193" s="88">
        <f>VLOOKUP($E$7,BASEPOE3,1746,FALSE)</f>
        <v>0</v>
      </c>
      <c r="AF193" s="88">
        <f>VLOOKUP($E$7,BASEPOE3,1747,FALSE)</f>
        <v>0</v>
      </c>
      <c r="AG193" s="88">
        <f>VLOOKUP($E$7,BASEPOE3,1748,FALSE)</f>
        <v>0</v>
      </c>
      <c r="AH193" s="88">
        <f>VLOOKUP($E$7,BASEPOE3,1749,FALSE)</f>
        <v>0</v>
      </c>
      <c r="AI193" s="88">
        <f>VLOOKUP($E$7,BASEPOE3,1750,FALSE)</f>
        <v>0</v>
      </c>
      <c r="AJ193" s="88">
        <f>VLOOKUP($E$7,BASEPOE3,1751,FALSE)</f>
        <v>0</v>
      </c>
      <c r="AK193" s="88">
        <f>VLOOKUP($E$7,BASEPOE3,1752,FALSE)</f>
        <v>0</v>
      </c>
      <c r="AL193" s="88">
        <f>VLOOKUP($E$7,BASEPOE3,1753,FALSE)</f>
        <v>0</v>
      </c>
      <c r="AM193" s="88">
        <f>VLOOKUP($E$7,BASEPOE3,1754,FALSE)</f>
        <v>0</v>
      </c>
      <c r="AN193" s="88">
        <f>VLOOKUP($E$7,BASEPOE3,1755,FALSE)</f>
        <v>0</v>
      </c>
      <c r="AO193" s="88">
        <f>VLOOKUP($E$7,BASEPOE3,1756,FALSE)</f>
        <v>0</v>
      </c>
      <c r="AP193" s="88">
        <f>VLOOKUP($E$7,BASEPOE3,1757,FALSE)</f>
        <v>0</v>
      </c>
      <c r="AQ193" s="88">
        <f>VLOOKUP($E$7,BASEPOE3,1758,FALSE)</f>
        <v>0</v>
      </c>
      <c r="AR193" s="88">
        <f>VLOOKUP($E$7,BASEPOE3,1759,FALSE)</f>
        <v>0</v>
      </c>
      <c r="AS193" s="88">
        <f>VLOOKUP($E$7,BASEPOE3,1760,FALSE)</f>
        <v>0</v>
      </c>
      <c r="AT193" s="88">
        <f>VLOOKUP($E$7,BASEPOE3,1761,FALSE)</f>
        <v>0</v>
      </c>
    </row>
    <row r="194" spans="1:46" x14ac:dyDescent="0.3">
      <c r="A194" s="200"/>
      <c r="B194" s="34">
        <v>41</v>
      </c>
      <c r="C194" s="93">
        <f>VLOOKUP($E$7,BASEPOE3,1762,FALSE)</f>
        <v>0</v>
      </c>
      <c r="D194" s="90">
        <f>VLOOKUP($E$7,BASEPOE3,1763,FALSE)</f>
        <v>0</v>
      </c>
      <c r="E194" s="61">
        <f>VLOOKUP($E$7,BASEPOE3,1764,FALSE)</f>
        <v>0</v>
      </c>
      <c r="F194" s="90">
        <f>VLOOKUP($E$7,BASEPOE3,1765,FALSE)</f>
        <v>0</v>
      </c>
      <c r="G194" s="90">
        <f>VLOOKUP($E$7,BASEPOE3,1766,FALSE)</f>
        <v>0</v>
      </c>
      <c r="H194" s="91">
        <f>VLOOKUP($E$7,BASEPOE3,1767,FALSE)</f>
        <v>0</v>
      </c>
      <c r="I194" s="91">
        <f>VLOOKUP($E$7,BASEPOE3,1768,FALSE)</f>
        <v>0</v>
      </c>
      <c r="J194" s="91">
        <f>VLOOKUP($E$7,BASEPOE3,1769,FALSE)</f>
        <v>0</v>
      </c>
      <c r="K194" s="91">
        <f>VLOOKUP($E$7,BASEPOE3,1770,FALSE)</f>
        <v>0</v>
      </c>
      <c r="L194" s="91">
        <f>VLOOKUP($E$7,BASEPOE3,1771,FALSE)</f>
        <v>0</v>
      </c>
      <c r="M194" s="91">
        <f>VLOOKUP($E$7,BASEPOE3,1772,FALSE)</f>
        <v>0</v>
      </c>
      <c r="N194" s="91">
        <f>VLOOKUP($E$7,BASEPOE3,1773,FALSE)</f>
        <v>0</v>
      </c>
      <c r="O194" s="91">
        <f>VLOOKUP($E$7,BASEPOE3,1774,FALSE)</f>
        <v>0</v>
      </c>
      <c r="P194" s="91">
        <f>VLOOKUP($E$7,BASEPOE3,1775,FALSE)</f>
        <v>0</v>
      </c>
      <c r="Q194" s="91">
        <f>VLOOKUP($E$7,BASEPOE3,1776,FALSE)</f>
        <v>0</v>
      </c>
      <c r="R194" s="91">
        <f>VLOOKUP($E$7,BASEPOE3,1777,FALSE)</f>
        <v>0</v>
      </c>
      <c r="S194" s="91">
        <f>VLOOKUP($E$7,BASEPOE3,1778,FALSE)</f>
        <v>0</v>
      </c>
      <c r="T194" s="91">
        <f>VLOOKUP($E$7,BASEPOE3,1779,FALSE)</f>
        <v>0</v>
      </c>
      <c r="U194" s="91">
        <f>VLOOKUP($E$7,BASEPOE3,1780,FALSE)</f>
        <v>0</v>
      </c>
      <c r="V194" s="91">
        <f>VLOOKUP($E$7,BASEPOE3,1781,FALSE)</f>
        <v>0</v>
      </c>
      <c r="W194" s="91">
        <f>VLOOKUP($E$7,BASEPOE3,1782,FALSE)</f>
        <v>0</v>
      </c>
      <c r="X194" s="91">
        <f>VLOOKUP($E$7,BASEPOE3,1783,FALSE)</f>
        <v>0</v>
      </c>
      <c r="Y194" s="91">
        <f>VLOOKUP($E$7,BASEPOE3,1784,FALSE)</f>
        <v>0</v>
      </c>
      <c r="Z194" s="91">
        <f>VLOOKUP($E$7,BASEPOE3,1785,FALSE)</f>
        <v>0</v>
      </c>
      <c r="AA194" s="91">
        <f>VLOOKUP($E$7,BASEPOE3,1786,FALSE)</f>
        <v>0</v>
      </c>
      <c r="AB194" s="91">
        <f>VLOOKUP($E$7,BASEPOE3,1787,FALSE)</f>
        <v>0</v>
      </c>
      <c r="AC194" s="90">
        <f>VLOOKUP($E$7,BASEPOE3,1788,FALSE)</f>
        <v>0</v>
      </c>
      <c r="AD194" s="90">
        <f>VLOOKUP($E$7,BASEPOE3,1789,FALSE)</f>
        <v>0</v>
      </c>
      <c r="AE194" s="90">
        <f>VLOOKUP($E$7,BASEPOE3,1790,FALSE)</f>
        <v>0</v>
      </c>
      <c r="AF194" s="90">
        <f>VLOOKUP($E$7,BASEPOE3,1791,FALSE)</f>
        <v>0</v>
      </c>
      <c r="AG194" s="90">
        <f>VLOOKUP($E$7,BASEPOE3,1792,FALSE)</f>
        <v>0</v>
      </c>
      <c r="AH194" s="90">
        <f>VLOOKUP($E$7,BASEPOE3,1793,FALSE)</f>
        <v>0</v>
      </c>
      <c r="AI194" s="90">
        <f>VLOOKUP($E$7,BASEPOE3,1794,FALSE)</f>
        <v>0</v>
      </c>
      <c r="AJ194" s="90">
        <f>VLOOKUP($E$7,BASEPOE3,1795,FALSE)</f>
        <v>0</v>
      </c>
      <c r="AK194" s="90">
        <f>VLOOKUP($E$7,BASEPOE3,1796,FALSE)</f>
        <v>0</v>
      </c>
      <c r="AL194" s="90">
        <f>VLOOKUP($E$7,BASEPOE3,1797,FALSE)</f>
        <v>0</v>
      </c>
      <c r="AM194" s="90">
        <f>VLOOKUP($E$7,BASEPOE3,1798,FALSE)</f>
        <v>0</v>
      </c>
      <c r="AN194" s="90">
        <f>VLOOKUP($E$7,BASEPOE3,1799,FALSE)</f>
        <v>0</v>
      </c>
      <c r="AO194" s="90">
        <f>VLOOKUP($E$7,BASEPOE3,1800,FALSE)</f>
        <v>0</v>
      </c>
      <c r="AP194" s="90">
        <f>VLOOKUP($E$7,BASEPOE3,1801,FALSE)</f>
        <v>0</v>
      </c>
      <c r="AQ194" s="90">
        <f>VLOOKUP($E$7,BASEPOE3,1802,FALSE)</f>
        <v>0</v>
      </c>
      <c r="AR194" s="90">
        <f>VLOOKUP($E$7,BASEPOE3,1803,FALSE)</f>
        <v>0</v>
      </c>
      <c r="AS194" s="90">
        <f>VLOOKUP($E$7,BASEPOE3,1804,FALSE)</f>
        <v>0</v>
      </c>
      <c r="AT194" s="90">
        <f>VLOOKUP($E$7,BASEPOE3,1805,FALSE)</f>
        <v>0</v>
      </c>
    </row>
    <row r="195" spans="1:46" x14ac:dyDescent="0.3">
      <c r="A195" s="200"/>
      <c r="B195" s="60">
        <v>42</v>
      </c>
      <c r="C195" s="92">
        <f>VLOOKUP($E$7,BASEPOE3,1806,FALSE)</f>
        <v>0</v>
      </c>
      <c r="D195" s="88">
        <f>VLOOKUP($E$7,BASEPOE3,1807,FALSE)</f>
        <v>0</v>
      </c>
      <c r="E195" s="62">
        <f>VLOOKUP($E$7,BASEPOE3,1808,FALSE)</f>
        <v>0</v>
      </c>
      <c r="F195" s="88">
        <f>VLOOKUP($E$7,BASEPOE3,1809,FALSE)</f>
        <v>0</v>
      </c>
      <c r="G195" s="88">
        <f>VLOOKUP($E$7,BASEPOE3,1810,FALSE)</f>
        <v>0</v>
      </c>
      <c r="H195" s="89">
        <f>VLOOKUP($E$7,BASEPOE3,1811,FALSE)</f>
        <v>0</v>
      </c>
      <c r="I195" s="89">
        <f>VLOOKUP($E$7,BASEPOE3,1812,FALSE)</f>
        <v>0</v>
      </c>
      <c r="J195" s="89">
        <f>VLOOKUP($E$7,BASEPOE3,1813,FALSE)</f>
        <v>0</v>
      </c>
      <c r="K195" s="89">
        <f>VLOOKUP($E$7,BASEPOE3,1814,FALSE)</f>
        <v>0</v>
      </c>
      <c r="L195" s="89">
        <f>VLOOKUP($E$7,BASEPOE3,1815,FALSE)</f>
        <v>0</v>
      </c>
      <c r="M195" s="89">
        <f>VLOOKUP($E$7,BASEPOE3,1816,FALSE)</f>
        <v>0</v>
      </c>
      <c r="N195" s="89">
        <f>VLOOKUP($E$7,BASEPOE3,1817,FALSE)</f>
        <v>0</v>
      </c>
      <c r="O195" s="89">
        <f>VLOOKUP($E$7,BASEPOE3,1818,FALSE)</f>
        <v>0</v>
      </c>
      <c r="P195" s="89">
        <f>VLOOKUP($E$7,BASEPOE3,1819,FALSE)</f>
        <v>0</v>
      </c>
      <c r="Q195" s="89">
        <f>VLOOKUP($E$7,BASEPOE3,1820,FALSE)</f>
        <v>0</v>
      </c>
      <c r="R195" s="89">
        <f>VLOOKUP($E$7,BASEPOE3,1821,FALSE)</f>
        <v>0</v>
      </c>
      <c r="S195" s="89">
        <f>VLOOKUP($E$7,BASEPOE3,1822,FALSE)</f>
        <v>0</v>
      </c>
      <c r="T195" s="89">
        <f>VLOOKUP($E$7,BASEPOE3,1823,FALSE)</f>
        <v>0</v>
      </c>
      <c r="U195" s="89">
        <f>VLOOKUP($E$7,BASEPOE3,1824,FALSE)</f>
        <v>0</v>
      </c>
      <c r="V195" s="89">
        <f>VLOOKUP($E$7,BASEPOE3,1825,FALSE)</f>
        <v>0</v>
      </c>
      <c r="W195" s="89">
        <f>VLOOKUP($E$7,BASEPOE3,1826,FALSE)</f>
        <v>0</v>
      </c>
      <c r="X195" s="89">
        <f>VLOOKUP($E$7,BASEPOE3,1827,FALSE)</f>
        <v>0</v>
      </c>
      <c r="Y195" s="89">
        <f>VLOOKUP($E$7,BASEPOE3,1828,FALSE)</f>
        <v>0</v>
      </c>
      <c r="Z195" s="89">
        <f>VLOOKUP($E$7,BASEPOE3,1829,FALSE)</f>
        <v>0</v>
      </c>
      <c r="AA195" s="89">
        <f>VLOOKUP($E$7,BASEPOE3,1830,FALSE)</f>
        <v>0</v>
      </c>
      <c r="AB195" s="89">
        <f>VLOOKUP($E$7,BASEPOE3,1831,FALSE)</f>
        <v>0</v>
      </c>
      <c r="AC195" s="88">
        <f>VLOOKUP($E$7,BASEPOE3,1832,FALSE)</f>
        <v>0</v>
      </c>
      <c r="AD195" s="88">
        <f>VLOOKUP($E$7,BASEPOE3,1833,FALSE)</f>
        <v>0</v>
      </c>
      <c r="AE195" s="88">
        <f>VLOOKUP($E$7,BASEPOE3,1834,FALSE)</f>
        <v>0</v>
      </c>
      <c r="AF195" s="88">
        <f>VLOOKUP($E$7,BASEPOE3,1835,FALSE)</f>
        <v>0</v>
      </c>
      <c r="AG195" s="88">
        <f>VLOOKUP($E$7,BASEPOE3,1836,FALSE)</f>
        <v>0</v>
      </c>
      <c r="AH195" s="88">
        <f>VLOOKUP($E$7,BASEPOE3,1837,FALSE)</f>
        <v>0</v>
      </c>
      <c r="AI195" s="88">
        <f>VLOOKUP($E$7,BASEPOE3,1838,FALSE)</f>
        <v>0</v>
      </c>
      <c r="AJ195" s="88">
        <f>VLOOKUP($E$7,BASEPOE3,1839,FALSE)</f>
        <v>0</v>
      </c>
      <c r="AK195" s="88">
        <f>VLOOKUP($E$7,BASEPOE3,1840,FALSE)</f>
        <v>0</v>
      </c>
      <c r="AL195" s="88">
        <f>VLOOKUP($E$7,BASEPOE3,1841,FALSE)</f>
        <v>0</v>
      </c>
      <c r="AM195" s="88">
        <f>VLOOKUP($E$7,BASEPOE3,1842,FALSE)</f>
        <v>0</v>
      </c>
      <c r="AN195" s="88">
        <f>VLOOKUP($E$7,BASEPOE3,1843,FALSE)</f>
        <v>0</v>
      </c>
      <c r="AO195" s="88">
        <f>VLOOKUP($E$7,BASEPOE3,1844,FALSE)</f>
        <v>0</v>
      </c>
      <c r="AP195" s="88">
        <f>VLOOKUP($E$7,BASEPOE3,1845,FALSE)</f>
        <v>0</v>
      </c>
      <c r="AQ195" s="88">
        <f>VLOOKUP($E$7,BASEPOE3,1846,FALSE)</f>
        <v>0</v>
      </c>
      <c r="AR195" s="88">
        <f>VLOOKUP($E$7,BASEPOE3,1847,FALSE)</f>
        <v>0</v>
      </c>
      <c r="AS195" s="88">
        <f>VLOOKUP($E$7,BASEPOE3,1848,FALSE)</f>
        <v>0</v>
      </c>
      <c r="AT195" s="88">
        <f>VLOOKUP($E$7,BASEPOE3,1849,FALSE)</f>
        <v>0</v>
      </c>
    </row>
    <row r="196" spans="1:46" x14ac:dyDescent="0.3">
      <c r="A196" s="200"/>
      <c r="B196" s="34">
        <v>43</v>
      </c>
      <c r="C196" s="93">
        <f>VLOOKUP($E$7,BASEPOE3,1850,FALSE)</f>
        <v>0</v>
      </c>
      <c r="D196" s="90">
        <f>VLOOKUP($E$7,BASEPOE3,1851,FALSE)</f>
        <v>0</v>
      </c>
      <c r="E196" s="61">
        <f>VLOOKUP($E$7,BASEPOE3,1852,FALSE)</f>
        <v>0</v>
      </c>
      <c r="F196" s="90">
        <f>VLOOKUP($E$7,BASEPOE3,1853,FALSE)</f>
        <v>0</v>
      </c>
      <c r="G196" s="90">
        <f>VLOOKUP($E$7,BASEPOE3,1854,FALSE)</f>
        <v>0</v>
      </c>
      <c r="H196" s="91">
        <f>VLOOKUP($E$7,BASEPOE3,1855,FALSE)</f>
        <v>0</v>
      </c>
      <c r="I196" s="91">
        <f>VLOOKUP($E$7,BASEPOE3,1856,FALSE)</f>
        <v>0</v>
      </c>
      <c r="J196" s="91">
        <f>VLOOKUP($E$7,BASEPOE3,1857,FALSE)</f>
        <v>0</v>
      </c>
      <c r="K196" s="91">
        <f>VLOOKUP($E$7,BASEPOE3,1858,FALSE)</f>
        <v>0</v>
      </c>
      <c r="L196" s="91">
        <f>VLOOKUP($E$7,BASEPOE3,1859,FALSE)</f>
        <v>0</v>
      </c>
      <c r="M196" s="91">
        <f>VLOOKUP($E$7,BASEPOE3,1860,FALSE)</f>
        <v>0</v>
      </c>
      <c r="N196" s="91">
        <f>VLOOKUP($E$7,BASEPOE3,1861,FALSE)</f>
        <v>0</v>
      </c>
      <c r="O196" s="91">
        <f>VLOOKUP($E$7,BASEPOE3,1862,FALSE)</f>
        <v>0</v>
      </c>
      <c r="P196" s="91">
        <f>VLOOKUP($E$7,BASEPOE3,1863,FALSE)</f>
        <v>0</v>
      </c>
      <c r="Q196" s="91">
        <f>VLOOKUP($E$7,BASEPOE3,1864,FALSE)</f>
        <v>0</v>
      </c>
      <c r="R196" s="91">
        <f>VLOOKUP($E$7,BASEPOE3,1865,FALSE)</f>
        <v>0</v>
      </c>
      <c r="S196" s="91">
        <f>VLOOKUP($E$7,BASEPOE3,1866,FALSE)</f>
        <v>0</v>
      </c>
      <c r="T196" s="91">
        <f>VLOOKUP($E$7,BASEPOE3,1867,FALSE)</f>
        <v>0</v>
      </c>
      <c r="U196" s="91">
        <f>VLOOKUP($E$7,BASEPOE3,1868,FALSE)</f>
        <v>0</v>
      </c>
      <c r="V196" s="91">
        <f>VLOOKUP($E$7,BASEPOE3,1869,FALSE)</f>
        <v>0</v>
      </c>
      <c r="W196" s="91">
        <f>VLOOKUP($E$7,BASEPOE3,1870,FALSE)</f>
        <v>0</v>
      </c>
      <c r="X196" s="91">
        <f>VLOOKUP($E$7,BASEPOE3,1871,FALSE)</f>
        <v>0</v>
      </c>
      <c r="Y196" s="91">
        <f>VLOOKUP($E$7,BASEPOE3,1872,FALSE)</f>
        <v>0</v>
      </c>
      <c r="Z196" s="91">
        <f>VLOOKUP($E$7,BASEPOE3,1873,FALSE)</f>
        <v>0</v>
      </c>
      <c r="AA196" s="91">
        <f>VLOOKUP($E$7,BASEPOE3,1874,FALSE)</f>
        <v>0</v>
      </c>
      <c r="AB196" s="91">
        <f>VLOOKUP($E$7,BASEPOE3,1875,FALSE)</f>
        <v>0</v>
      </c>
      <c r="AC196" s="90">
        <f>VLOOKUP($E$7,BASEPOE3,1876,FALSE)</f>
        <v>0</v>
      </c>
      <c r="AD196" s="90">
        <f>VLOOKUP($E$7,BASEPOE3,1877,FALSE)</f>
        <v>0</v>
      </c>
      <c r="AE196" s="90">
        <f>VLOOKUP($E$7,BASEPOE3,1878,FALSE)</f>
        <v>0</v>
      </c>
      <c r="AF196" s="90">
        <f>VLOOKUP($E$7,BASEPOE3,1879,FALSE)</f>
        <v>0</v>
      </c>
      <c r="AG196" s="90">
        <f>VLOOKUP($E$7,BASEPOE3,1880,FALSE)</f>
        <v>0</v>
      </c>
      <c r="AH196" s="90">
        <f>VLOOKUP($E$7,BASEPOE3,1881,FALSE)</f>
        <v>0</v>
      </c>
      <c r="AI196" s="90">
        <f>VLOOKUP($E$7,BASEPOE3,1882,FALSE)</f>
        <v>0</v>
      </c>
      <c r="AJ196" s="90">
        <f>VLOOKUP($E$7,BASEPOE3,1883,FALSE)</f>
        <v>0</v>
      </c>
      <c r="AK196" s="90">
        <f>VLOOKUP($E$7,BASEPOE3,1884,FALSE)</f>
        <v>0</v>
      </c>
      <c r="AL196" s="90">
        <f>VLOOKUP($E$7,BASEPOE3,1885,FALSE)</f>
        <v>0</v>
      </c>
      <c r="AM196" s="90">
        <f>VLOOKUP($E$7,BASEPOE3,1886,FALSE)</f>
        <v>0</v>
      </c>
      <c r="AN196" s="90">
        <f>VLOOKUP($E$7,BASEPOE3,1887,FALSE)</f>
        <v>0</v>
      </c>
      <c r="AO196" s="90">
        <f>VLOOKUP($E$7,BASEPOE3,1888,FALSE)</f>
        <v>0</v>
      </c>
      <c r="AP196" s="90">
        <f>VLOOKUP($E$7,BASEPOE3,1889,FALSE)</f>
        <v>0</v>
      </c>
      <c r="AQ196" s="90">
        <f>VLOOKUP($E$7,BASEPOE3,1890,FALSE)</f>
        <v>0</v>
      </c>
      <c r="AR196" s="90">
        <f>VLOOKUP($E$7,BASEPOE3,1891,FALSE)</f>
        <v>0</v>
      </c>
      <c r="AS196" s="90">
        <f>VLOOKUP($E$7,BASEPOE3,1892,FALSE)</f>
        <v>0</v>
      </c>
      <c r="AT196" s="90">
        <f>VLOOKUP($E$7,BASEPOE3,1893,FALSE)</f>
        <v>0</v>
      </c>
    </row>
    <row r="197" spans="1:46" x14ac:dyDescent="0.3">
      <c r="A197" s="200"/>
      <c r="B197" s="60">
        <v>44</v>
      </c>
      <c r="C197" s="92">
        <f>VLOOKUP($E$7,BASEPOE3,1894,FALSE)</f>
        <v>0</v>
      </c>
      <c r="D197" s="88">
        <f>VLOOKUP($E$7,BASEPOE3,1895,FALSE)</f>
        <v>0</v>
      </c>
      <c r="E197" s="62">
        <f>VLOOKUP($E$7,BASEPOE3,1896,FALSE)</f>
        <v>0</v>
      </c>
      <c r="F197" s="88">
        <f>VLOOKUP($E$7,BASEPOE3,1897,FALSE)</f>
        <v>0</v>
      </c>
      <c r="G197" s="88">
        <f>VLOOKUP($E$7,BASEPOE3,1898,FALSE)</f>
        <v>0</v>
      </c>
      <c r="H197" s="89">
        <f>VLOOKUP($E$7,BASEPOE3,1899,FALSE)</f>
        <v>0</v>
      </c>
      <c r="I197" s="89">
        <f>VLOOKUP($E$7,BASEPOE3,1900,FALSE)</f>
        <v>0</v>
      </c>
      <c r="J197" s="89">
        <f>VLOOKUP($E$7,BASEPOE3,1901,FALSE)</f>
        <v>0</v>
      </c>
      <c r="K197" s="89">
        <f>VLOOKUP($E$7,BASEPOE3,1902,FALSE)</f>
        <v>0</v>
      </c>
      <c r="L197" s="89">
        <f>VLOOKUP($E$7,BASEPOE3,1903,FALSE)</f>
        <v>0</v>
      </c>
      <c r="M197" s="89">
        <f>VLOOKUP($E$7,BASEPOE3,1904,FALSE)</f>
        <v>0</v>
      </c>
      <c r="N197" s="89">
        <f>VLOOKUP($E$7,BASEPOE3,1905,FALSE)</f>
        <v>0</v>
      </c>
      <c r="O197" s="89">
        <f>VLOOKUP($E$7,BASEPOE3,1906,FALSE)</f>
        <v>0</v>
      </c>
      <c r="P197" s="89">
        <f>VLOOKUP($E$7,BASEPOE3,1907,FALSE)</f>
        <v>0</v>
      </c>
      <c r="Q197" s="89">
        <f>VLOOKUP($E$7,BASEPOE3,1908,FALSE)</f>
        <v>0</v>
      </c>
      <c r="R197" s="89">
        <f>VLOOKUP($E$7,BASEPOE3,1909,FALSE)</f>
        <v>0</v>
      </c>
      <c r="S197" s="89">
        <f>VLOOKUP($E$7,BASEPOE3,1910,FALSE)</f>
        <v>0</v>
      </c>
      <c r="T197" s="89">
        <f>VLOOKUP($E$7,BASEPOE3,1911,FALSE)</f>
        <v>0</v>
      </c>
      <c r="U197" s="89">
        <f>VLOOKUP($E$7,BASEPOE3,1912,FALSE)</f>
        <v>0</v>
      </c>
      <c r="V197" s="89">
        <f>VLOOKUP($E$7,BASEPOE3,1913,FALSE)</f>
        <v>0</v>
      </c>
      <c r="W197" s="89">
        <f>VLOOKUP($E$7,BASEPOE3,1914,FALSE)</f>
        <v>0</v>
      </c>
      <c r="X197" s="89">
        <f>VLOOKUP($E$7,BASEPOE3,1915,FALSE)</f>
        <v>0</v>
      </c>
      <c r="Y197" s="89">
        <f>VLOOKUP($E$7,BASEPOE3,1916,FALSE)</f>
        <v>0</v>
      </c>
      <c r="Z197" s="89">
        <f>VLOOKUP($E$7,BASEPOE3,1917,FALSE)</f>
        <v>0</v>
      </c>
      <c r="AA197" s="89">
        <f>VLOOKUP($E$7,BASEPOE3,1918,FALSE)</f>
        <v>0</v>
      </c>
      <c r="AB197" s="89">
        <f>VLOOKUP($E$7,BASEPOE3,1919,FALSE)</f>
        <v>0</v>
      </c>
      <c r="AC197" s="88">
        <f>VLOOKUP($E$7,BASEPOE3,1920,FALSE)</f>
        <v>0</v>
      </c>
      <c r="AD197" s="88">
        <f>VLOOKUP($E$7,BASEPOE3,1921,FALSE)</f>
        <v>0</v>
      </c>
      <c r="AE197" s="88">
        <f>VLOOKUP($E$7,BASEPOE3,1922,FALSE)</f>
        <v>0</v>
      </c>
      <c r="AF197" s="88">
        <f>VLOOKUP($E$7,BASEPOE3,1923,FALSE)</f>
        <v>0</v>
      </c>
      <c r="AG197" s="88">
        <f>VLOOKUP($E$7,BASEPOE3,1924,FALSE)</f>
        <v>0</v>
      </c>
      <c r="AH197" s="88">
        <f>VLOOKUP($E$7,BASEPOE3,1925,FALSE)</f>
        <v>0</v>
      </c>
      <c r="AI197" s="88">
        <f>VLOOKUP($E$7,BASEPOE3,1926,FALSE)</f>
        <v>0</v>
      </c>
      <c r="AJ197" s="88">
        <f>VLOOKUP($E$7,BASEPOE3,1927,FALSE)</f>
        <v>0</v>
      </c>
      <c r="AK197" s="88">
        <f>VLOOKUP($E$7,BASEPOE3,1928,FALSE)</f>
        <v>0</v>
      </c>
      <c r="AL197" s="88">
        <f>VLOOKUP($E$7,BASEPOE3,1929,FALSE)</f>
        <v>0</v>
      </c>
      <c r="AM197" s="88">
        <f>VLOOKUP($E$7,BASEPOE3,1930,FALSE)</f>
        <v>0</v>
      </c>
      <c r="AN197" s="88">
        <f>VLOOKUP($E$7,BASEPOE3,1931,FALSE)</f>
        <v>0</v>
      </c>
      <c r="AO197" s="88">
        <f>VLOOKUP($E$7,BASEPOE3,1932,FALSE)</f>
        <v>0</v>
      </c>
      <c r="AP197" s="88">
        <f>VLOOKUP($E$7,BASEPOE3,1933,FALSE)</f>
        <v>0</v>
      </c>
      <c r="AQ197" s="88">
        <f>VLOOKUP($E$7,BASEPOE3,1934,FALSE)</f>
        <v>0</v>
      </c>
      <c r="AR197" s="88">
        <f>VLOOKUP($E$7,BASEPOE3,1935,FALSE)</f>
        <v>0</v>
      </c>
      <c r="AS197" s="88">
        <f>VLOOKUP($E$7,BASEPOE3,1936,FALSE)</f>
        <v>0</v>
      </c>
      <c r="AT197" s="88">
        <f>VLOOKUP($E$7,BASEPOE3,1937,FALSE)</f>
        <v>0</v>
      </c>
    </row>
    <row r="198" spans="1:46" x14ac:dyDescent="0.3">
      <c r="A198" s="200"/>
      <c r="B198" s="34">
        <v>45</v>
      </c>
      <c r="C198" s="93">
        <f>VLOOKUP($E$7,BASEPOE3,1938,FALSE)</f>
        <v>0</v>
      </c>
      <c r="D198" s="90">
        <f>VLOOKUP($E$7,BASEPOE3,1939,FALSE)</f>
        <v>0</v>
      </c>
      <c r="E198" s="61">
        <f>VLOOKUP($E$7,BASEPOE3,1940,FALSE)</f>
        <v>0</v>
      </c>
      <c r="F198" s="90">
        <f>VLOOKUP($E$7,BASEPOE3,1941,FALSE)</f>
        <v>0</v>
      </c>
      <c r="G198" s="90">
        <f>VLOOKUP($E$7,BASEPOE3,1942,FALSE)</f>
        <v>0</v>
      </c>
      <c r="H198" s="91">
        <f>VLOOKUP($E$7,BASEPOE3,1943,FALSE)</f>
        <v>0</v>
      </c>
      <c r="I198" s="91">
        <f>VLOOKUP($E$7,BASEPOE3,1944,FALSE)</f>
        <v>0</v>
      </c>
      <c r="J198" s="91">
        <f>VLOOKUP($E$7,BASEPOE3,1945,FALSE)</f>
        <v>0</v>
      </c>
      <c r="K198" s="91">
        <f>VLOOKUP($E$7,BASEPOE3,1946,FALSE)</f>
        <v>0</v>
      </c>
      <c r="L198" s="91">
        <f>VLOOKUP($E$7,BASEPOE3,1947,FALSE)</f>
        <v>0</v>
      </c>
      <c r="M198" s="91">
        <f>VLOOKUP($E$7,BASEPOE3,1948,FALSE)</f>
        <v>0</v>
      </c>
      <c r="N198" s="91">
        <f>VLOOKUP($E$7,BASEPOE3,1949,FALSE)</f>
        <v>0</v>
      </c>
      <c r="O198" s="91">
        <f>VLOOKUP($E$7,BASEPOE3,1950,FALSE)</f>
        <v>0</v>
      </c>
      <c r="P198" s="91">
        <f>VLOOKUP($E$7,BASEPOE3,1951,FALSE)</f>
        <v>0</v>
      </c>
      <c r="Q198" s="91">
        <f>VLOOKUP($E$7,BASEPOE3,1952,FALSE)</f>
        <v>0</v>
      </c>
      <c r="R198" s="91">
        <f>VLOOKUP($E$7,BASEPOE3,1953,FALSE)</f>
        <v>0</v>
      </c>
      <c r="S198" s="91">
        <f>VLOOKUP($E$7,BASEPOE3,1954,FALSE)</f>
        <v>0</v>
      </c>
      <c r="T198" s="91">
        <f>VLOOKUP($E$7,BASEPOE3,1955,FALSE)</f>
        <v>0</v>
      </c>
      <c r="U198" s="91">
        <f>VLOOKUP($E$7,BASEPOE3,1956,FALSE)</f>
        <v>0</v>
      </c>
      <c r="V198" s="91">
        <f>VLOOKUP($E$7,BASEPOE3,1957,FALSE)</f>
        <v>0</v>
      </c>
      <c r="W198" s="91">
        <f>VLOOKUP($E$7,BASEPOE3,1958,FALSE)</f>
        <v>0</v>
      </c>
      <c r="X198" s="91">
        <f>VLOOKUP($E$7,BASEPOE3,1959,FALSE)</f>
        <v>0</v>
      </c>
      <c r="Y198" s="91">
        <f>VLOOKUP($E$7,BASEPOE3,1960,FALSE)</f>
        <v>0</v>
      </c>
      <c r="Z198" s="91">
        <f>VLOOKUP($E$7,BASEPOE3,1961,FALSE)</f>
        <v>0</v>
      </c>
      <c r="AA198" s="91">
        <f>VLOOKUP($E$7,BASEPOE3,1962,FALSE)</f>
        <v>0</v>
      </c>
      <c r="AB198" s="91">
        <f>VLOOKUP($E$7,BASEPOE3,1963,FALSE)</f>
        <v>0</v>
      </c>
      <c r="AC198" s="90">
        <f>VLOOKUP($E$7,BASEPOE3,1964,FALSE)</f>
        <v>0</v>
      </c>
      <c r="AD198" s="90">
        <f>VLOOKUP($E$7,BASEPOE3,1965,FALSE)</f>
        <v>0</v>
      </c>
      <c r="AE198" s="90">
        <f>VLOOKUP($E$7,BASEPOE3,1966,FALSE)</f>
        <v>0</v>
      </c>
      <c r="AF198" s="90">
        <f>VLOOKUP($E$7,BASEPOE3,1967,FALSE)</f>
        <v>0</v>
      </c>
      <c r="AG198" s="90">
        <f>VLOOKUP($E$7,BASEPOE3,1968,FALSE)</f>
        <v>0</v>
      </c>
      <c r="AH198" s="90">
        <f>VLOOKUP($E$7,BASEPOE3,1969,FALSE)</f>
        <v>0</v>
      </c>
      <c r="AI198" s="90">
        <f>VLOOKUP($E$7,BASEPOE3,1970,FALSE)</f>
        <v>0</v>
      </c>
      <c r="AJ198" s="90">
        <f>VLOOKUP($E$7,BASEPOE3,1971,FALSE)</f>
        <v>0</v>
      </c>
      <c r="AK198" s="90">
        <f>VLOOKUP($E$7,BASEPOE3,1972,FALSE)</f>
        <v>0</v>
      </c>
      <c r="AL198" s="90">
        <f>VLOOKUP($E$7,BASEPOE3,1973,FALSE)</f>
        <v>0</v>
      </c>
      <c r="AM198" s="90">
        <f>VLOOKUP($E$7,BASEPOE3,1974,FALSE)</f>
        <v>0</v>
      </c>
      <c r="AN198" s="90">
        <f>VLOOKUP($E$7,BASEPOE3,1975,FALSE)</f>
        <v>0</v>
      </c>
      <c r="AO198" s="90">
        <f>VLOOKUP($E$7,BASEPOE3,1976,FALSE)</f>
        <v>0</v>
      </c>
      <c r="AP198" s="90">
        <f>VLOOKUP($E$7,BASEPOE3,1977,FALSE)</f>
        <v>0</v>
      </c>
      <c r="AQ198" s="90">
        <f>VLOOKUP($E$7,BASEPOE3,1978,FALSE)</f>
        <v>0</v>
      </c>
      <c r="AR198" s="90">
        <f>VLOOKUP($E$7,BASEPOE3,1979,FALSE)</f>
        <v>0</v>
      </c>
      <c r="AS198" s="90">
        <f>VLOOKUP($E$7,BASEPOE3,1980,FALSE)</f>
        <v>0</v>
      </c>
      <c r="AT198" s="90">
        <f>VLOOKUP($E$7,BASEPOE3,1981,FALSE)</f>
        <v>0</v>
      </c>
    </row>
    <row r="199" spans="1:46" x14ac:dyDescent="0.3">
      <c r="A199" s="200"/>
      <c r="B199" s="60">
        <v>46</v>
      </c>
      <c r="C199" s="92">
        <f>VLOOKUP($E$7,BASEPOE3,1982,FALSE)</f>
        <v>0</v>
      </c>
      <c r="D199" s="88">
        <f>VLOOKUP($E$7,BASEPOE3,1983,FALSE)</f>
        <v>0</v>
      </c>
      <c r="E199" s="62">
        <f>VLOOKUP($E$7,BASEPOE3,1984,FALSE)</f>
        <v>0</v>
      </c>
      <c r="F199" s="88">
        <f>VLOOKUP($E$7,BASEPOE3,1985,FALSE)</f>
        <v>0</v>
      </c>
      <c r="G199" s="88">
        <f>VLOOKUP($E$7,BASEPOE3,1986,FALSE)</f>
        <v>0</v>
      </c>
      <c r="H199" s="89">
        <f>VLOOKUP($E$7,BASEPOE3,1987,FALSE)</f>
        <v>0</v>
      </c>
      <c r="I199" s="89">
        <f>VLOOKUP($E$7,BASEPOE3,1988,FALSE)</f>
        <v>0</v>
      </c>
      <c r="J199" s="89">
        <f>VLOOKUP($E$7,BASEPOE3,1989,FALSE)</f>
        <v>0</v>
      </c>
      <c r="K199" s="89">
        <f>VLOOKUP($E$7,BASEPOE3,1990,FALSE)</f>
        <v>0</v>
      </c>
      <c r="L199" s="89">
        <f>VLOOKUP($E$7,BASEPOE3,1991,FALSE)</f>
        <v>0</v>
      </c>
      <c r="M199" s="89">
        <f>VLOOKUP($E$7,BASEPOE3,1992,FALSE)</f>
        <v>0</v>
      </c>
      <c r="N199" s="89">
        <f>VLOOKUP($E$7,BASEPOE3,1993,FALSE)</f>
        <v>0</v>
      </c>
      <c r="O199" s="89">
        <f>VLOOKUP($E$7,BASEPOE3,1994,FALSE)</f>
        <v>0</v>
      </c>
      <c r="P199" s="89">
        <f>VLOOKUP($E$7,BASEPOE3,1995,FALSE)</f>
        <v>0</v>
      </c>
      <c r="Q199" s="89">
        <f>VLOOKUP($E$7,BASEPOE3,1996,FALSE)</f>
        <v>0</v>
      </c>
      <c r="R199" s="89">
        <f>VLOOKUP($E$7,BASEPOE3,1997,FALSE)</f>
        <v>0</v>
      </c>
      <c r="S199" s="89">
        <f>VLOOKUP($E$7,BASEPOE3,1998,FALSE)</f>
        <v>0</v>
      </c>
      <c r="T199" s="89">
        <f>VLOOKUP($E$7,BASEPOE3,1999,FALSE)</f>
        <v>0</v>
      </c>
      <c r="U199" s="89">
        <f>VLOOKUP($E$7,BASEPOE3,2000,FALSE)</f>
        <v>0</v>
      </c>
      <c r="V199" s="89">
        <f>VLOOKUP($E$7,BASEPOE3,2001,FALSE)</f>
        <v>0</v>
      </c>
      <c r="W199" s="89">
        <f>VLOOKUP($E$7,BASEPOE3,2002,FALSE)</f>
        <v>0</v>
      </c>
      <c r="X199" s="89">
        <f>VLOOKUP($E$7,BASEPOE3,2003,FALSE)</f>
        <v>0</v>
      </c>
      <c r="Y199" s="89">
        <f>VLOOKUP($E$7,BASEPOE3,2004,FALSE)</f>
        <v>0</v>
      </c>
      <c r="Z199" s="89">
        <f>VLOOKUP($E$7,BASEPOE3,2005,FALSE)</f>
        <v>0</v>
      </c>
      <c r="AA199" s="89">
        <f>VLOOKUP($E$7,BASEPOE3,2006,FALSE)</f>
        <v>0</v>
      </c>
      <c r="AB199" s="89">
        <f>VLOOKUP($E$7,BASEPOE3,2007,FALSE)</f>
        <v>0</v>
      </c>
      <c r="AC199" s="88">
        <f>VLOOKUP($E$7,BASEPOE3,2008,FALSE)</f>
        <v>0</v>
      </c>
      <c r="AD199" s="88">
        <f>VLOOKUP($E$7,BASEPOE3,2009,FALSE)</f>
        <v>0</v>
      </c>
      <c r="AE199" s="88">
        <f>VLOOKUP($E$7,BASEPOE3,2010,FALSE)</f>
        <v>0</v>
      </c>
      <c r="AF199" s="88">
        <f>VLOOKUP($E$7,BASEPOE3,2011,FALSE)</f>
        <v>0</v>
      </c>
      <c r="AG199" s="88">
        <f>VLOOKUP($E$7,BASEPOE3,2012,FALSE)</f>
        <v>0</v>
      </c>
      <c r="AH199" s="88">
        <f>VLOOKUP($E$7,BASEPOE3,2013,FALSE)</f>
        <v>0</v>
      </c>
      <c r="AI199" s="88">
        <f>VLOOKUP($E$7,BASEPOE3,2014,FALSE)</f>
        <v>0</v>
      </c>
      <c r="AJ199" s="88">
        <f>VLOOKUP($E$7,BASEPOE3,2015,FALSE)</f>
        <v>0</v>
      </c>
      <c r="AK199" s="88">
        <f>VLOOKUP($E$7,BASEPOE3,2016,FALSE)</f>
        <v>0</v>
      </c>
      <c r="AL199" s="88">
        <f>VLOOKUP($E$7,BASEPOE3,2017,FALSE)</f>
        <v>0</v>
      </c>
      <c r="AM199" s="88">
        <f>VLOOKUP($E$7,BASEPOE3,2018,FALSE)</f>
        <v>0</v>
      </c>
      <c r="AN199" s="88">
        <f>VLOOKUP($E$7,BASEPOE3,2019,FALSE)</f>
        <v>0</v>
      </c>
      <c r="AO199" s="88">
        <f>VLOOKUP($E$7,BASEPOE3,2020,FALSE)</f>
        <v>0</v>
      </c>
      <c r="AP199" s="88">
        <f>VLOOKUP($E$7,BASEPOE3,2021,FALSE)</f>
        <v>0</v>
      </c>
      <c r="AQ199" s="88">
        <f>VLOOKUP($E$7,BASEPOE3,2022,FALSE)</f>
        <v>0</v>
      </c>
      <c r="AR199" s="88">
        <f>VLOOKUP($E$7,BASEPOE3,2023,FALSE)</f>
        <v>0</v>
      </c>
      <c r="AS199" s="88">
        <f>VLOOKUP($E$7,BASEPOE3,2024,FALSE)</f>
        <v>0</v>
      </c>
      <c r="AT199" s="88">
        <f>VLOOKUP($E$7,BASEPOE3,2025,FALSE)</f>
        <v>0</v>
      </c>
    </row>
    <row r="200" spans="1:46" x14ac:dyDescent="0.3">
      <c r="A200" s="200"/>
      <c r="B200" s="34">
        <v>47</v>
      </c>
      <c r="C200" s="93">
        <f>VLOOKUP($E$7,BASEPOE3,2026,FALSE)</f>
        <v>0</v>
      </c>
      <c r="D200" s="90">
        <f>VLOOKUP($E$7,BASEPOE3,2027,FALSE)</f>
        <v>0</v>
      </c>
      <c r="E200" s="61">
        <f>VLOOKUP($E$7,BASEPOE3,2028,FALSE)</f>
        <v>0</v>
      </c>
      <c r="F200" s="90">
        <f>VLOOKUP($E$7,BASEPOE3,2029,FALSE)</f>
        <v>0</v>
      </c>
      <c r="G200" s="90">
        <f>VLOOKUP($E$7,BASEPOE3,2030,FALSE)</f>
        <v>0</v>
      </c>
      <c r="H200" s="91">
        <f>VLOOKUP($E$7,BASEPOE3,2031,FALSE)</f>
        <v>0</v>
      </c>
      <c r="I200" s="91">
        <f>VLOOKUP($E$7,BASEPOE3,2032,FALSE)</f>
        <v>0</v>
      </c>
      <c r="J200" s="91">
        <f>VLOOKUP($E$7,BASEPOE3,2033,FALSE)</f>
        <v>0</v>
      </c>
      <c r="K200" s="91">
        <f>VLOOKUP($E$7,BASEPOE3,2034,FALSE)</f>
        <v>0</v>
      </c>
      <c r="L200" s="91">
        <f>VLOOKUP($E$7,BASEPOE3,2035,FALSE)</f>
        <v>0</v>
      </c>
      <c r="M200" s="91">
        <f>VLOOKUP($E$7,BASEPOE3,2036,FALSE)</f>
        <v>0</v>
      </c>
      <c r="N200" s="91">
        <f>VLOOKUP($E$7,BASEPOE3,2037,FALSE)</f>
        <v>0</v>
      </c>
      <c r="O200" s="91">
        <f>VLOOKUP($E$7,BASEPOE3,2038,FALSE)</f>
        <v>0</v>
      </c>
      <c r="P200" s="91">
        <f>VLOOKUP($E$7,BASEPOE3,2039,FALSE)</f>
        <v>0</v>
      </c>
      <c r="Q200" s="91">
        <f>VLOOKUP($E$7,BASEPOE3,2040,FALSE)</f>
        <v>0</v>
      </c>
      <c r="R200" s="91">
        <f>VLOOKUP($E$7,BASEPOE3,2041,FALSE)</f>
        <v>0</v>
      </c>
      <c r="S200" s="91">
        <f>VLOOKUP($E$7,BASEPOE3,2042,FALSE)</f>
        <v>0</v>
      </c>
      <c r="T200" s="91">
        <f>VLOOKUP($E$7,BASEPOE3,2043,FALSE)</f>
        <v>0</v>
      </c>
      <c r="U200" s="91">
        <f>VLOOKUP($E$7,BASEPOE3,2044,FALSE)</f>
        <v>0</v>
      </c>
      <c r="V200" s="91">
        <f>VLOOKUP($E$7,BASEPOE3,2045,FALSE)</f>
        <v>0</v>
      </c>
      <c r="W200" s="91">
        <f>VLOOKUP($E$7,BASEPOE3,2046,FALSE)</f>
        <v>0</v>
      </c>
      <c r="X200" s="91">
        <f>VLOOKUP($E$7,BASEPOE3,2047,FALSE)</f>
        <v>0</v>
      </c>
      <c r="Y200" s="91">
        <f>VLOOKUP($E$7,BASEPOE3,2048,FALSE)</f>
        <v>0</v>
      </c>
      <c r="Z200" s="91">
        <f>VLOOKUP($E$7,BASEPOE3,2049,FALSE)</f>
        <v>0</v>
      </c>
      <c r="AA200" s="91">
        <f>VLOOKUP($E$7,BASEPOE3,2050,FALSE)</f>
        <v>0</v>
      </c>
      <c r="AB200" s="91">
        <f>VLOOKUP($E$7,BASEPOE3,2051,FALSE)</f>
        <v>0</v>
      </c>
      <c r="AC200" s="90">
        <f>VLOOKUP($E$7,BASEPOE3,2052,FALSE)</f>
        <v>0</v>
      </c>
      <c r="AD200" s="90">
        <f>VLOOKUP($E$7,BASEPOE3,2053,FALSE)</f>
        <v>0</v>
      </c>
      <c r="AE200" s="90">
        <f>VLOOKUP($E$7,BASEPOE3,2054,FALSE)</f>
        <v>0</v>
      </c>
      <c r="AF200" s="90">
        <f>VLOOKUP($E$7,BASEPOE3,2055,FALSE)</f>
        <v>0</v>
      </c>
      <c r="AG200" s="90">
        <f>VLOOKUP($E$7,BASEPOE3,2056,FALSE)</f>
        <v>0</v>
      </c>
      <c r="AH200" s="90">
        <f>VLOOKUP($E$7,BASEPOE3,2057,FALSE)</f>
        <v>0</v>
      </c>
      <c r="AI200" s="90">
        <f>VLOOKUP($E$7,BASEPOE3,2058,FALSE)</f>
        <v>0</v>
      </c>
      <c r="AJ200" s="90">
        <f>VLOOKUP($E$7,BASEPOE3,2059,FALSE)</f>
        <v>0</v>
      </c>
      <c r="AK200" s="90">
        <f>VLOOKUP($E$7,BASEPOE3,2060,FALSE)</f>
        <v>0</v>
      </c>
      <c r="AL200" s="90">
        <f>VLOOKUP($E$7,BASEPOE3,2061,FALSE)</f>
        <v>0</v>
      </c>
      <c r="AM200" s="90">
        <f>VLOOKUP($E$7,BASEPOE3,2062,FALSE)</f>
        <v>0</v>
      </c>
      <c r="AN200" s="90">
        <f>VLOOKUP($E$7,BASEPOE3,2063,FALSE)</f>
        <v>0</v>
      </c>
      <c r="AO200" s="90">
        <f>VLOOKUP($E$7,BASEPOE3,2064,FALSE)</f>
        <v>0</v>
      </c>
      <c r="AP200" s="90">
        <f>VLOOKUP($E$7,BASEPOE3,2065,FALSE)</f>
        <v>0</v>
      </c>
      <c r="AQ200" s="90">
        <f>VLOOKUP($E$7,BASEPOE3,2066,FALSE)</f>
        <v>0</v>
      </c>
      <c r="AR200" s="90">
        <f>VLOOKUP($E$7,BASEPOE3,2067,FALSE)</f>
        <v>0</v>
      </c>
      <c r="AS200" s="90">
        <f>VLOOKUP($E$7,BASEPOE3,2068,FALSE)</f>
        <v>0</v>
      </c>
      <c r="AT200" s="90">
        <f>VLOOKUP($E$7,BASEPOE3,2069,FALSE)</f>
        <v>0</v>
      </c>
    </row>
    <row r="201" spans="1:46" x14ac:dyDescent="0.3">
      <c r="A201" s="200"/>
      <c r="B201" s="60">
        <v>48</v>
      </c>
      <c r="C201" s="92">
        <f>VLOOKUP($E$7,BASEPOE3,2070,FALSE)</f>
        <v>0</v>
      </c>
      <c r="D201" s="88">
        <f>VLOOKUP($E$7,BASEPOE3,2071,FALSE)</f>
        <v>0</v>
      </c>
      <c r="E201" s="62">
        <f>VLOOKUP($E$7,BASEPOE3,2072,FALSE)</f>
        <v>0</v>
      </c>
      <c r="F201" s="88">
        <f>VLOOKUP($E$7,BASEPOE3,2073,FALSE)</f>
        <v>0</v>
      </c>
      <c r="G201" s="88">
        <f>VLOOKUP($E$7,BASEPOE3,2074,FALSE)</f>
        <v>0</v>
      </c>
      <c r="H201" s="89">
        <f>VLOOKUP($E$7,BASEPOE3,2075,FALSE)</f>
        <v>0</v>
      </c>
      <c r="I201" s="89">
        <f>VLOOKUP($E$7,BASEPOE3,2076,FALSE)</f>
        <v>0</v>
      </c>
      <c r="J201" s="89">
        <f>VLOOKUP($E$7,BASEPOE3,2077,FALSE)</f>
        <v>0</v>
      </c>
      <c r="K201" s="89">
        <f>VLOOKUP($E$7,BASEPOE3,2078,FALSE)</f>
        <v>0</v>
      </c>
      <c r="L201" s="89">
        <f>VLOOKUP($E$7,BASEPOE3,2079,FALSE)</f>
        <v>0</v>
      </c>
      <c r="M201" s="89">
        <f>VLOOKUP($E$7,BASEPOE3,2080,FALSE)</f>
        <v>0</v>
      </c>
      <c r="N201" s="89">
        <f>VLOOKUP($E$7,BASEPOE3,2081,FALSE)</f>
        <v>0</v>
      </c>
      <c r="O201" s="89">
        <f>VLOOKUP($E$7,BASEPOE3,2082,FALSE)</f>
        <v>0</v>
      </c>
      <c r="P201" s="89">
        <f>VLOOKUP($E$7,BASEPOE3,2083,FALSE)</f>
        <v>0</v>
      </c>
      <c r="Q201" s="89">
        <f>VLOOKUP($E$7,BASEPOE3,2084,FALSE)</f>
        <v>0</v>
      </c>
      <c r="R201" s="89">
        <f>VLOOKUP($E$7,BASEPOE3,2085,FALSE)</f>
        <v>0</v>
      </c>
      <c r="S201" s="89">
        <f>VLOOKUP($E$7,BASEPOE3,2086,FALSE)</f>
        <v>0</v>
      </c>
      <c r="T201" s="89">
        <f>VLOOKUP($E$7,BASEPOE3,2087,FALSE)</f>
        <v>0</v>
      </c>
      <c r="U201" s="89">
        <f>VLOOKUP($E$7,BASEPOE3,2088,FALSE)</f>
        <v>0</v>
      </c>
      <c r="V201" s="89">
        <f>VLOOKUP($E$7,BASEPOE3,2089,FALSE)</f>
        <v>0</v>
      </c>
      <c r="W201" s="89">
        <f>VLOOKUP($E$7,BASEPOE3,2090,FALSE)</f>
        <v>0</v>
      </c>
      <c r="X201" s="89">
        <f>VLOOKUP($E$7,BASEPOE3,2091,FALSE)</f>
        <v>0</v>
      </c>
      <c r="Y201" s="89">
        <f>VLOOKUP($E$7,BASEPOE3,2092,FALSE)</f>
        <v>0</v>
      </c>
      <c r="Z201" s="89">
        <f>VLOOKUP($E$7,BASEPOE3,2093,FALSE)</f>
        <v>0</v>
      </c>
      <c r="AA201" s="89">
        <f>VLOOKUP($E$7,BASEPOE3,2094,FALSE)</f>
        <v>0</v>
      </c>
      <c r="AB201" s="89">
        <f>VLOOKUP($E$7,BASEPOE3,2095,FALSE)</f>
        <v>0</v>
      </c>
      <c r="AC201" s="88">
        <f>VLOOKUP($E$7,BASEPOE3,2096,FALSE)</f>
        <v>0</v>
      </c>
      <c r="AD201" s="88">
        <f>VLOOKUP($E$7,BASEPOE3,2097,FALSE)</f>
        <v>0</v>
      </c>
      <c r="AE201" s="88">
        <f>VLOOKUP($E$7,BASEPOE3,2098,FALSE)</f>
        <v>0</v>
      </c>
      <c r="AF201" s="88">
        <f>VLOOKUP($E$7,BASEPOE3,2099,FALSE)</f>
        <v>0</v>
      </c>
      <c r="AG201" s="88">
        <f>VLOOKUP($E$7,BASEPOE3,2100,FALSE)</f>
        <v>0</v>
      </c>
      <c r="AH201" s="88">
        <f>VLOOKUP($E$7,BASEPOE3,2101,FALSE)</f>
        <v>0</v>
      </c>
      <c r="AI201" s="88">
        <f>VLOOKUP($E$7,BASEPOE3,2102,FALSE)</f>
        <v>0</v>
      </c>
      <c r="AJ201" s="88">
        <f>VLOOKUP($E$7,BASEPOE3,2103,FALSE)</f>
        <v>0</v>
      </c>
      <c r="AK201" s="88">
        <f>VLOOKUP($E$7,BASEPOE3,2104,FALSE)</f>
        <v>0</v>
      </c>
      <c r="AL201" s="88">
        <f>VLOOKUP($E$7,BASEPOE3,2105,FALSE)</f>
        <v>0</v>
      </c>
      <c r="AM201" s="88">
        <f>VLOOKUP($E$7,BASEPOE3,2106,FALSE)</f>
        <v>0</v>
      </c>
      <c r="AN201" s="88">
        <f>VLOOKUP($E$7,BASEPOE3,2107,FALSE)</f>
        <v>0</v>
      </c>
      <c r="AO201" s="88">
        <f>VLOOKUP($E$7,BASEPOE3,2108,FALSE)</f>
        <v>0</v>
      </c>
      <c r="AP201" s="88">
        <f>VLOOKUP($E$7,BASEPOE3,2109,FALSE)</f>
        <v>0</v>
      </c>
      <c r="AQ201" s="88">
        <f>VLOOKUP($E$7,BASEPOE3,2110,FALSE)</f>
        <v>0</v>
      </c>
      <c r="AR201" s="88">
        <f>VLOOKUP($E$7,BASEPOE3,2111,FALSE)</f>
        <v>0</v>
      </c>
      <c r="AS201" s="88">
        <f>VLOOKUP($E$7,BASEPOE3,2112,FALSE)</f>
        <v>0</v>
      </c>
      <c r="AT201" s="88">
        <f>VLOOKUP($E$7,BASEPOE3,2113,FALSE)</f>
        <v>0</v>
      </c>
    </row>
    <row r="202" spans="1:46" x14ac:dyDescent="0.3">
      <c r="A202" s="200"/>
      <c r="B202" s="34">
        <v>49</v>
      </c>
      <c r="C202" s="93">
        <f>VLOOKUP($E$7,BASEPOE3,2114,FALSE)</f>
        <v>0</v>
      </c>
      <c r="D202" s="90">
        <f>VLOOKUP($E$7,BASEPOE3,2115,FALSE)</f>
        <v>0</v>
      </c>
      <c r="E202" s="61">
        <f>VLOOKUP($E$7,BASEPOE3,2116,FALSE)</f>
        <v>0</v>
      </c>
      <c r="F202" s="90">
        <f>VLOOKUP($E$7,BASEPOE3,2117,FALSE)</f>
        <v>0</v>
      </c>
      <c r="G202" s="90">
        <f>VLOOKUP($E$7,BASEPOE3,2118,FALSE)</f>
        <v>0</v>
      </c>
      <c r="H202" s="91">
        <f>VLOOKUP($E$7,BASEPOE3,2119,FALSE)</f>
        <v>0</v>
      </c>
      <c r="I202" s="91">
        <f>VLOOKUP($E$7,BASEPOE3,2120,FALSE)</f>
        <v>0</v>
      </c>
      <c r="J202" s="91">
        <f>VLOOKUP($E$7,BASEPOE3,2121,FALSE)</f>
        <v>0</v>
      </c>
      <c r="K202" s="91">
        <f>VLOOKUP($E$7,BASEPOE3,2122,FALSE)</f>
        <v>0</v>
      </c>
      <c r="L202" s="91">
        <f>VLOOKUP($E$7,BASEPOE3,2123,FALSE)</f>
        <v>0</v>
      </c>
      <c r="M202" s="91">
        <f>VLOOKUP($E$7,BASEPOE3,2124,FALSE)</f>
        <v>0</v>
      </c>
      <c r="N202" s="91">
        <f>VLOOKUP($E$7,BASEPOE3,2125,FALSE)</f>
        <v>0</v>
      </c>
      <c r="O202" s="91">
        <f>VLOOKUP($E$7,BASEPOE3,2126,FALSE)</f>
        <v>0</v>
      </c>
      <c r="P202" s="91">
        <f>VLOOKUP($E$7,BASEPOE3,2127,FALSE)</f>
        <v>0</v>
      </c>
      <c r="Q202" s="91">
        <f>VLOOKUP($E$7,BASEPOE3,2128,FALSE)</f>
        <v>0</v>
      </c>
      <c r="R202" s="91">
        <f>VLOOKUP($E$7,BASEPOE3,2129,FALSE)</f>
        <v>0</v>
      </c>
      <c r="S202" s="91">
        <f>VLOOKUP($E$7,BASEPOE3,2130,FALSE)</f>
        <v>0</v>
      </c>
      <c r="T202" s="91">
        <f>VLOOKUP($E$7,BASEPOE3,2131,FALSE)</f>
        <v>0</v>
      </c>
      <c r="U202" s="91">
        <f>VLOOKUP($E$7,BASEPOE3,2132,FALSE)</f>
        <v>0</v>
      </c>
      <c r="V202" s="91">
        <f>VLOOKUP($E$7,BASEPOE3,2133,FALSE)</f>
        <v>0</v>
      </c>
      <c r="W202" s="91">
        <f>VLOOKUP($E$7,BASEPOE3,2134,FALSE)</f>
        <v>0</v>
      </c>
      <c r="X202" s="91">
        <f>VLOOKUP($E$7,BASEPOE3,2135,FALSE)</f>
        <v>0</v>
      </c>
      <c r="Y202" s="91">
        <f>VLOOKUP($E$7,BASEPOE3,2136,FALSE)</f>
        <v>0</v>
      </c>
      <c r="Z202" s="91">
        <f>VLOOKUP($E$7,BASEPOE3,2137,FALSE)</f>
        <v>0</v>
      </c>
      <c r="AA202" s="91">
        <f>VLOOKUP($E$7,BASEPOE3,2138,FALSE)</f>
        <v>0</v>
      </c>
      <c r="AB202" s="91">
        <f>VLOOKUP($E$7,BASEPOE3,2139,FALSE)</f>
        <v>0</v>
      </c>
      <c r="AC202" s="90">
        <f>VLOOKUP($E$7,BASEPOE3,2140,FALSE)</f>
        <v>0</v>
      </c>
      <c r="AD202" s="90">
        <f>VLOOKUP($E$7,BASEPOE3,2141,FALSE)</f>
        <v>0</v>
      </c>
      <c r="AE202" s="90">
        <f>VLOOKUP($E$7,BASEPOE3,2142,FALSE)</f>
        <v>0</v>
      </c>
      <c r="AF202" s="90">
        <f>VLOOKUP($E$7,BASEPOE3,2143,FALSE)</f>
        <v>0</v>
      </c>
      <c r="AG202" s="90">
        <f>VLOOKUP($E$7,BASEPOE3,2144,FALSE)</f>
        <v>0</v>
      </c>
      <c r="AH202" s="90">
        <f>VLOOKUP($E$7,BASEPOE3,2145,FALSE)</f>
        <v>0</v>
      </c>
      <c r="AI202" s="90">
        <f>VLOOKUP($E$7,BASEPOE3,2146,FALSE)</f>
        <v>0</v>
      </c>
      <c r="AJ202" s="90">
        <f>VLOOKUP($E$7,BASEPOE3,2147,FALSE)</f>
        <v>0</v>
      </c>
      <c r="AK202" s="90">
        <f>VLOOKUP($E$7,BASEPOE3,2148,FALSE)</f>
        <v>0</v>
      </c>
      <c r="AL202" s="90">
        <f>VLOOKUP($E$7,BASEPOE3,2149,FALSE)</f>
        <v>0</v>
      </c>
      <c r="AM202" s="90">
        <f>VLOOKUP($E$7,BASEPOE3,2150,FALSE)</f>
        <v>0</v>
      </c>
      <c r="AN202" s="90">
        <f>VLOOKUP($E$7,BASEPOE3,2151,FALSE)</f>
        <v>0</v>
      </c>
      <c r="AO202" s="90">
        <f>VLOOKUP($E$7,BASEPOE3,2152,FALSE)</f>
        <v>0</v>
      </c>
      <c r="AP202" s="90">
        <f>VLOOKUP($E$7,BASEPOE3,2153,FALSE)</f>
        <v>0</v>
      </c>
      <c r="AQ202" s="90">
        <f>VLOOKUP($E$7,BASEPOE3,2154,FALSE)</f>
        <v>0</v>
      </c>
      <c r="AR202" s="90">
        <f>VLOOKUP($E$7,BASEPOE3,2155,FALSE)</f>
        <v>0</v>
      </c>
      <c r="AS202" s="90">
        <f>VLOOKUP($E$7,BASEPOE3,2156,FALSE)</f>
        <v>0</v>
      </c>
      <c r="AT202" s="90">
        <f>VLOOKUP($E$7,BASEPOE3,2157,FALSE)</f>
        <v>0</v>
      </c>
    </row>
    <row r="203" spans="1:46" x14ac:dyDescent="0.3">
      <c r="A203" s="200"/>
      <c r="B203" s="60">
        <v>50</v>
      </c>
      <c r="C203" s="92">
        <f>VLOOKUP($E$7,BASEPOE3,2158,FALSE)</f>
        <v>0</v>
      </c>
      <c r="D203" s="88">
        <f>VLOOKUP($E$7,BASEPOE3,2159,FALSE)</f>
        <v>0</v>
      </c>
      <c r="E203" s="62">
        <f>VLOOKUP($E$7,BASEPOE3,2160,FALSE)</f>
        <v>0</v>
      </c>
      <c r="F203" s="88">
        <f>VLOOKUP($E$7,BASEPOE3,2161,FALSE)</f>
        <v>0</v>
      </c>
      <c r="G203" s="88">
        <f>VLOOKUP($E$7,BASEPOE3,2162,FALSE)</f>
        <v>0</v>
      </c>
      <c r="H203" s="89">
        <f>VLOOKUP($E$7,BASEPOE3,2163,FALSE)</f>
        <v>0</v>
      </c>
      <c r="I203" s="89">
        <f>VLOOKUP($E$7,BASEPOE3,2164,FALSE)</f>
        <v>0</v>
      </c>
      <c r="J203" s="89">
        <f>VLOOKUP($E$7,BASEPOE3,2165,FALSE)</f>
        <v>0</v>
      </c>
      <c r="K203" s="89">
        <f>VLOOKUP($E$7,BASEPOE3,2166,FALSE)</f>
        <v>0</v>
      </c>
      <c r="L203" s="89">
        <f>VLOOKUP($E$7,BASEPOE3,2167,FALSE)</f>
        <v>0</v>
      </c>
      <c r="M203" s="89">
        <f>VLOOKUP($E$7,BASEPOE3,2168,FALSE)</f>
        <v>0</v>
      </c>
      <c r="N203" s="89">
        <f>VLOOKUP($E$7,BASEPOE3,2169,FALSE)</f>
        <v>0</v>
      </c>
      <c r="O203" s="89">
        <f>VLOOKUP($E$7,BASEPOE3,2170,FALSE)</f>
        <v>0</v>
      </c>
      <c r="P203" s="89">
        <f>VLOOKUP($E$7,BASEPOE3,2171,FALSE)</f>
        <v>0</v>
      </c>
      <c r="Q203" s="89">
        <f>VLOOKUP($E$7,BASEPOE3,2172,FALSE)</f>
        <v>0</v>
      </c>
      <c r="R203" s="89">
        <f>VLOOKUP($E$7,BASEPOE3,2173,FALSE)</f>
        <v>0</v>
      </c>
      <c r="S203" s="89">
        <f>VLOOKUP($E$7,BASEPOE3,2174,FALSE)</f>
        <v>0</v>
      </c>
      <c r="T203" s="89">
        <f>VLOOKUP($E$7,BASEPOE3,2175,FALSE)</f>
        <v>0</v>
      </c>
      <c r="U203" s="89">
        <f>VLOOKUP($E$7,BASEPOE3,2176,FALSE)</f>
        <v>0</v>
      </c>
      <c r="V203" s="89">
        <f>VLOOKUP($E$7,BASEPOE3,2177,FALSE)</f>
        <v>0</v>
      </c>
      <c r="W203" s="89">
        <f>VLOOKUP($E$7,BASEPOE3,2178,FALSE)</f>
        <v>0</v>
      </c>
      <c r="X203" s="89">
        <f>VLOOKUP($E$7,BASEPOE3,2179,FALSE)</f>
        <v>0</v>
      </c>
      <c r="Y203" s="89">
        <f>VLOOKUP($E$7,BASEPOE3,2180,FALSE)</f>
        <v>0</v>
      </c>
      <c r="Z203" s="89">
        <f>VLOOKUP($E$7,BASEPOE3,2181,FALSE)</f>
        <v>0</v>
      </c>
      <c r="AA203" s="89">
        <f>VLOOKUP($E$7,BASEPOE3,2182,FALSE)</f>
        <v>0</v>
      </c>
      <c r="AB203" s="89">
        <f>VLOOKUP($E$7,BASEPOE3,2183,FALSE)</f>
        <v>0</v>
      </c>
      <c r="AC203" s="88">
        <f>VLOOKUP($E$7,BASEPOE3,2184,FALSE)</f>
        <v>0</v>
      </c>
      <c r="AD203" s="88">
        <f>VLOOKUP($E$7,BASEPOE3,2185,FALSE)</f>
        <v>0</v>
      </c>
      <c r="AE203" s="88">
        <f>VLOOKUP($E$7,BASEPOE3,2186,FALSE)</f>
        <v>0</v>
      </c>
      <c r="AF203" s="88">
        <f>VLOOKUP($E$7,BASEPOE3,2187,FALSE)</f>
        <v>0</v>
      </c>
      <c r="AG203" s="88">
        <f>VLOOKUP($E$7,BASEPOE3,2188,FALSE)</f>
        <v>0</v>
      </c>
      <c r="AH203" s="88">
        <f>VLOOKUP($E$7,BASEPOE3,2189,FALSE)</f>
        <v>0</v>
      </c>
      <c r="AI203" s="88">
        <f>VLOOKUP($E$7,BASEPOE3,2190,FALSE)</f>
        <v>0</v>
      </c>
      <c r="AJ203" s="88">
        <f>VLOOKUP($E$7,BASEPOE3,2191,FALSE)</f>
        <v>0</v>
      </c>
      <c r="AK203" s="88">
        <f>VLOOKUP($E$7,BASEPOE3,2192,FALSE)</f>
        <v>0</v>
      </c>
      <c r="AL203" s="88">
        <f>VLOOKUP($E$7,BASEPOE3,2193,FALSE)</f>
        <v>0</v>
      </c>
      <c r="AM203" s="88">
        <f>VLOOKUP($E$7,BASEPOE3,2194,FALSE)</f>
        <v>0</v>
      </c>
      <c r="AN203" s="88">
        <f>VLOOKUP($E$7,BASEPOE3,2195,FALSE)</f>
        <v>0</v>
      </c>
      <c r="AO203" s="88">
        <f>VLOOKUP($E$7,BASEPOE3,2196,FALSE)</f>
        <v>0</v>
      </c>
      <c r="AP203" s="88">
        <f>VLOOKUP($E$7,BASEPOE3,2197,FALSE)</f>
        <v>0</v>
      </c>
      <c r="AQ203" s="88">
        <f>VLOOKUP($E$7,BASEPOE3,2198,FALSE)</f>
        <v>0</v>
      </c>
      <c r="AR203" s="88">
        <f>VLOOKUP($E$7,BASEPOE3,2199,FALSE)</f>
        <v>0</v>
      </c>
      <c r="AS203" s="88">
        <f>VLOOKUP($E$7,BASEPOE3,2200,FALSE)</f>
        <v>0</v>
      </c>
      <c r="AT203" s="88">
        <f>VLOOKUP($E$7,BASEPOE3,2201,FALSE)</f>
        <v>0</v>
      </c>
    </row>
    <row r="204" spans="1:46" x14ac:dyDescent="0.3">
      <c r="A204" s="200"/>
      <c r="B204" s="34">
        <v>51</v>
      </c>
      <c r="C204" s="93">
        <f>VLOOKUP($E$7,BASEPOE3,2202,FALSE)</f>
        <v>0</v>
      </c>
      <c r="D204" s="90">
        <f>VLOOKUP($E$7,BASEPOE3,2203,FALSE)</f>
        <v>0</v>
      </c>
      <c r="E204" s="61">
        <f>VLOOKUP($E$7,BASEPOE3,2204,FALSE)</f>
        <v>0</v>
      </c>
      <c r="F204" s="90">
        <f>VLOOKUP($E$7,BASEPOE3,2205,FALSE)</f>
        <v>0</v>
      </c>
      <c r="G204" s="90">
        <f>VLOOKUP($E$7,BASEPOE3,2206,FALSE)</f>
        <v>0</v>
      </c>
      <c r="H204" s="91">
        <f>VLOOKUP($E$7,BASEPOE3,2207,FALSE)</f>
        <v>0</v>
      </c>
      <c r="I204" s="91">
        <f>VLOOKUP($E$7,BASEPOE3,2208,FALSE)</f>
        <v>0</v>
      </c>
      <c r="J204" s="91">
        <f>VLOOKUP($E$7,BASEPOE3,2209,FALSE)</f>
        <v>0</v>
      </c>
      <c r="K204" s="91">
        <f>VLOOKUP($E$7,BASEPOE3,2210,FALSE)</f>
        <v>0</v>
      </c>
      <c r="L204" s="91">
        <f>VLOOKUP($E$7,BASEPOE3,2211,FALSE)</f>
        <v>0</v>
      </c>
      <c r="M204" s="91">
        <f>VLOOKUP($E$7,BASEPOE3,2212,FALSE)</f>
        <v>0</v>
      </c>
      <c r="N204" s="91">
        <f>VLOOKUP($E$7,BASEPOE3,2213,FALSE)</f>
        <v>0</v>
      </c>
      <c r="O204" s="91">
        <f>VLOOKUP($E$7,BASEPOE3,2214,FALSE)</f>
        <v>0</v>
      </c>
      <c r="P204" s="91">
        <f>VLOOKUP($E$7,BASEPOE3,2215,FALSE)</f>
        <v>0</v>
      </c>
      <c r="Q204" s="91">
        <f>VLOOKUP($E$7,BASEPOE3,2216,FALSE)</f>
        <v>0</v>
      </c>
      <c r="R204" s="91">
        <f>VLOOKUP($E$7,BASEPOE3,2217,FALSE)</f>
        <v>0</v>
      </c>
      <c r="S204" s="91">
        <f>VLOOKUP($E$7,BASEPOE3,2218,FALSE)</f>
        <v>0</v>
      </c>
      <c r="T204" s="91">
        <f>VLOOKUP($E$7,BASEPOE3,2219,FALSE)</f>
        <v>0</v>
      </c>
      <c r="U204" s="91">
        <f>VLOOKUP($E$7,BASEPOE3,2220,FALSE)</f>
        <v>0</v>
      </c>
      <c r="V204" s="91">
        <f>VLOOKUP($E$7,BASEPOE3,2221,FALSE)</f>
        <v>0</v>
      </c>
      <c r="W204" s="91">
        <f>VLOOKUP($E$7,BASEPOE3,2222,FALSE)</f>
        <v>0</v>
      </c>
      <c r="X204" s="91">
        <f>VLOOKUP($E$7,BASEPOE3,2223,FALSE)</f>
        <v>0</v>
      </c>
      <c r="Y204" s="91">
        <f>VLOOKUP($E$7,BASEPOE3,2224,FALSE)</f>
        <v>0</v>
      </c>
      <c r="Z204" s="91">
        <f>VLOOKUP($E$7,BASEPOE3,2225,FALSE)</f>
        <v>0</v>
      </c>
      <c r="AA204" s="91">
        <f>VLOOKUP($E$7,BASEPOE3,2226,FALSE)</f>
        <v>0</v>
      </c>
      <c r="AB204" s="91">
        <f>VLOOKUP($E$7,BASEPOE3,2227,FALSE)</f>
        <v>0</v>
      </c>
      <c r="AC204" s="90">
        <f>VLOOKUP($E$7,BASEPOE3,2228,FALSE)</f>
        <v>0</v>
      </c>
      <c r="AD204" s="90">
        <f>VLOOKUP($E$7,BASEPOE3,2229,FALSE)</f>
        <v>0</v>
      </c>
      <c r="AE204" s="90">
        <f>VLOOKUP($E$7,BASEPOE3,2230,FALSE)</f>
        <v>0</v>
      </c>
      <c r="AF204" s="90">
        <f>VLOOKUP($E$7,BASEPOE3,2231,FALSE)</f>
        <v>0</v>
      </c>
      <c r="AG204" s="90">
        <f>VLOOKUP($E$7,BASEPOE3,2232,FALSE)</f>
        <v>0</v>
      </c>
      <c r="AH204" s="90">
        <f>VLOOKUP($E$7,BASEPOE3,2233,FALSE)</f>
        <v>0</v>
      </c>
      <c r="AI204" s="90">
        <f>VLOOKUP($E$7,BASEPOE3,2234,FALSE)</f>
        <v>0</v>
      </c>
      <c r="AJ204" s="90">
        <f>VLOOKUP($E$7,BASEPOE3,2235,FALSE)</f>
        <v>0</v>
      </c>
      <c r="AK204" s="90">
        <f>VLOOKUP($E$7,BASEPOE3,2236,FALSE)</f>
        <v>0</v>
      </c>
      <c r="AL204" s="90">
        <f>VLOOKUP($E$7,BASEPOE3,2237,FALSE)</f>
        <v>0</v>
      </c>
      <c r="AM204" s="90">
        <f>VLOOKUP($E$7,BASEPOE3,2238,FALSE)</f>
        <v>0</v>
      </c>
      <c r="AN204" s="90">
        <f>VLOOKUP($E$7,BASEPOE3,2239,FALSE)</f>
        <v>0</v>
      </c>
      <c r="AO204" s="90">
        <f>VLOOKUP($E$7,BASEPOE3,2240,FALSE)</f>
        <v>0</v>
      </c>
      <c r="AP204" s="90">
        <f>VLOOKUP($E$7,BASEPOE3,2241,FALSE)</f>
        <v>0</v>
      </c>
      <c r="AQ204" s="90">
        <f>VLOOKUP($E$7,BASEPOE3,2242,FALSE)</f>
        <v>0</v>
      </c>
      <c r="AR204" s="90">
        <f>VLOOKUP($E$7,BASEPOE3,2243,FALSE)</f>
        <v>0</v>
      </c>
      <c r="AS204" s="90">
        <f>VLOOKUP($E$7,BASEPOE3,2244,FALSE)</f>
        <v>0</v>
      </c>
      <c r="AT204" s="90">
        <f>VLOOKUP($E$7,BASEPOE3,2245,FALSE)</f>
        <v>0</v>
      </c>
    </row>
    <row r="205" spans="1:46" x14ac:dyDescent="0.3">
      <c r="A205" s="200"/>
      <c r="B205" s="60">
        <v>52</v>
      </c>
      <c r="C205" s="92">
        <f>VLOOKUP($E$7,BASEPOE3,2246,FALSE)</f>
        <v>0</v>
      </c>
      <c r="D205" s="88">
        <f>VLOOKUP($E$7,BASEPOE3,2247,FALSE)</f>
        <v>0</v>
      </c>
      <c r="E205" s="62">
        <f>VLOOKUP($E$7,BASEPOE3,2248,FALSE)</f>
        <v>0</v>
      </c>
      <c r="F205" s="88">
        <f>VLOOKUP($E$7,BASEPOE3,2249,FALSE)</f>
        <v>0</v>
      </c>
      <c r="G205" s="88">
        <f>VLOOKUP($E$7,BASEPOE3,2250,FALSE)</f>
        <v>0</v>
      </c>
      <c r="H205" s="89">
        <f>VLOOKUP($E$7,BASEPOE3,2251,FALSE)</f>
        <v>0</v>
      </c>
      <c r="I205" s="89">
        <f>VLOOKUP($E$7,BASEPOE3,2252,FALSE)</f>
        <v>0</v>
      </c>
      <c r="J205" s="89">
        <f>VLOOKUP($E$7,BASEPOE3,2253,FALSE)</f>
        <v>0</v>
      </c>
      <c r="K205" s="89">
        <f>VLOOKUP($E$7,BASEPOE3,2254,FALSE)</f>
        <v>0</v>
      </c>
      <c r="L205" s="89">
        <f>VLOOKUP($E$7,BASEPOE3,2255,FALSE)</f>
        <v>0</v>
      </c>
      <c r="M205" s="89">
        <f>VLOOKUP($E$7,BASEPOE3,2256,FALSE)</f>
        <v>0</v>
      </c>
      <c r="N205" s="89">
        <f>VLOOKUP($E$7,BASEPOE3,2257,FALSE)</f>
        <v>0</v>
      </c>
      <c r="O205" s="89">
        <f>VLOOKUP($E$7,BASEPOE3,2258,FALSE)</f>
        <v>0</v>
      </c>
      <c r="P205" s="89">
        <f>VLOOKUP($E$7,BASEPOE3,2259,FALSE)</f>
        <v>0</v>
      </c>
      <c r="Q205" s="89">
        <f>VLOOKUP($E$7,BASEPOE3,2260,FALSE)</f>
        <v>0</v>
      </c>
      <c r="R205" s="89">
        <f>VLOOKUP($E$7,BASEPOE3,2261,FALSE)</f>
        <v>0</v>
      </c>
      <c r="S205" s="89">
        <f>VLOOKUP($E$7,BASEPOE3,2262,FALSE)</f>
        <v>0</v>
      </c>
      <c r="T205" s="89">
        <f>VLOOKUP($E$7,BASEPOE3,2263,FALSE)</f>
        <v>0</v>
      </c>
      <c r="U205" s="89">
        <f>VLOOKUP($E$7,BASEPOE3,2264,FALSE)</f>
        <v>0</v>
      </c>
      <c r="V205" s="89">
        <f>VLOOKUP($E$7,BASEPOE3,2265,FALSE)</f>
        <v>0</v>
      </c>
      <c r="W205" s="89">
        <f>VLOOKUP($E$7,BASEPOE3,2266,FALSE)</f>
        <v>0</v>
      </c>
      <c r="X205" s="89">
        <f>VLOOKUP($E$7,BASEPOE3,2267,FALSE)</f>
        <v>0</v>
      </c>
      <c r="Y205" s="89">
        <f>VLOOKUP($E$7,BASEPOE3,2268,FALSE)</f>
        <v>0</v>
      </c>
      <c r="Z205" s="89">
        <f>VLOOKUP($E$7,BASEPOE3,2269,FALSE)</f>
        <v>0</v>
      </c>
      <c r="AA205" s="89">
        <f>VLOOKUP($E$7,BASEPOE3,2270,FALSE)</f>
        <v>0</v>
      </c>
      <c r="AB205" s="89">
        <f>VLOOKUP($E$7,BASEPOE3,2271,FALSE)</f>
        <v>0</v>
      </c>
      <c r="AC205" s="88">
        <f>VLOOKUP($E$7,BASEPOE3,2272,FALSE)</f>
        <v>0</v>
      </c>
      <c r="AD205" s="88">
        <f>VLOOKUP($E$7,BASEPOE3,2273,FALSE)</f>
        <v>0</v>
      </c>
      <c r="AE205" s="88">
        <f>VLOOKUP($E$7,BASEPOE3,2274,FALSE)</f>
        <v>0</v>
      </c>
      <c r="AF205" s="88">
        <f>VLOOKUP($E$7,BASEPOE3,2275,FALSE)</f>
        <v>0</v>
      </c>
      <c r="AG205" s="88">
        <f>VLOOKUP($E$7,BASEPOE3,2276,FALSE)</f>
        <v>0</v>
      </c>
      <c r="AH205" s="88">
        <f>VLOOKUP($E$7,BASEPOE3,2277,FALSE)</f>
        <v>0</v>
      </c>
      <c r="AI205" s="88">
        <f>VLOOKUP($E$7,BASEPOE3,2278,FALSE)</f>
        <v>0</v>
      </c>
      <c r="AJ205" s="88">
        <f>VLOOKUP($E$7,BASEPOE3,2279,FALSE)</f>
        <v>0</v>
      </c>
      <c r="AK205" s="88">
        <f>VLOOKUP($E$7,BASEPOE3,2280,FALSE)</f>
        <v>0</v>
      </c>
      <c r="AL205" s="88">
        <f>VLOOKUP($E$7,BASEPOE3,2281,FALSE)</f>
        <v>0</v>
      </c>
      <c r="AM205" s="88">
        <f>VLOOKUP($E$7,BASEPOE3,2282,FALSE)</f>
        <v>0</v>
      </c>
      <c r="AN205" s="88">
        <f>VLOOKUP($E$7,BASEPOE3,2283,FALSE)</f>
        <v>0</v>
      </c>
      <c r="AO205" s="88">
        <f>VLOOKUP($E$7,BASEPOE3,2284,FALSE)</f>
        <v>0</v>
      </c>
      <c r="AP205" s="88">
        <f>VLOOKUP($E$7,BASEPOE3,2285,FALSE)</f>
        <v>0</v>
      </c>
      <c r="AQ205" s="88">
        <f>VLOOKUP($E$7,BASEPOE3,2286,FALSE)</f>
        <v>0</v>
      </c>
      <c r="AR205" s="88">
        <f>VLOOKUP($E$7,BASEPOE3,2287,FALSE)</f>
        <v>0</v>
      </c>
      <c r="AS205" s="88">
        <f>VLOOKUP($E$7,BASEPOE3,2288,FALSE)</f>
        <v>0</v>
      </c>
      <c r="AT205" s="88">
        <f>VLOOKUP($E$7,BASEPOE3,2289,FALSE)</f>
        <v>0</v>
      </c>
    </row>
    <row r="206" spans="1:46" x14ac:dyDescent="0.3">
      <c r="A206" s="200"/>
      <c r="B206" s="34">
        <v>53</v>
      </c>
      <c r="C206" s="93">
        <f>VLOOKUP($E$7,BASEPOE3,2290,FALSE)</f>
        <v>0</v>
      </c>
      <c r="D206" s="90">
        <f>VLOOKUP($E$7,BASEPOE3,2291,FALSE)</f>
        <v>0</v>
      </c>
      <c r="E206" s="61">
        <f>VLOOKUP($E$7,BASEPOE3,2292,FALSE)</f>
        <v>0</v>
      </c>
      <c r="F206" s="90">
        <f>VLOOKUP($E$7,BASEPOE3,2293,FALSE)</f>
        <v>0</v>
      </c>
      <c r="G206" s="90">
        <f>VLOOKUP($E$7,BASEPOE3,2294,FALSE)</f>
        <v>0</v>
      </c>
      <c r="H206" s="91">
        <f>VLOOKUP($E$7,BASEPOE3,2295,FALSE)</f>
        <v>0</v>
      </c>
      <c r="I206" s="91">
        <f>VLOOKUP($E$7,BASEPOE3,2296,FALSE)</f>
        <v>0</v>
      </c>
      <c r="J206" s="91">
        <f>VLOOKUP($E$7,BASEPOE3,2297,FALSE)</f>
        <v>0</v>
      </c>
      <c r="K206" s="91">
        <f>VLOOKUP($E$7,BASEPOE3,2298,FALSE)</f>
        <v>0</v>
      </c>
      <c r="L206" s="91">
        <f>VLOOKUP($E$7,BASEPOE3,2299,FALSE)</f>
        <v>0</v>
      </c>
      <c r="M206" s="91">
        <f>VLOOKUP($E$7,BASEPOE3,2300,FALSE)</f>
        <v>0</v>
      </c>
      <c r="N206" s="91">
        <f>VLOOKUP($E$7,BASEPOE3,2301,FALSE)</f>
        <v>0</v>
      </c>
      <c r="O206" s="91">
        <f>VLOOKUP($E$7,BASEPOE3,2302,FALSE)</f>
        <v>0</v>
      </c>
      <c r="P206" s="91">
        <f>VLOOKUP($E$7,BASEPOE3,2303,FALSE)</f>
        <v>0</v>
      </c>
      <c r="Q206" s="91">
        <f>VLOOKUP($E$7,BASEPOE3,2304,FALSE)</f>
        <v>0</v>
      </c>
      <c r="R206" s="91">
        <f>VLOOKUP($E$7,BASEPOE3,2305,FALSE)</f>
        <v>0</v>
      </c>
      <c r="S206" s="91">
        <f>VLOOKUP($E$7,BASEPOE3,2306,FALSE)</f>
        <v>0</v>
      </c>
      <c r="T206" s="91">
        <f>VLOOKUP($E$7,BASEPOE3,2307,FALSE)</f>
        <v>0</v>
      </c>
      <c r="U206" s="91">
        <f>VLOOKUP($E$7,BASEPOE3,2308,FALSE)</f>
        <v>0</v>
      </c>
      <c r="V206" s="91">
        <f>VLOOKUP($E$7,BASEPOE3,2309,FALSE)</f>
        <v>0</v>
      </c>
      <c r="W206" s="91">
        <f>VLOOKUP($E$7,BASEPOE3,2310,FALSE)</f>
        <v>0</v>
      </c>
      <c r="X206" s="91">
        <f>VLOOKUP($E$7,BASEPOE3,2311,FALSE)</f>
        <v>0</v>
      </c>
      <c r="Y206" s="91">
        <f>VLOOKUP($E$7,BASEPOE3,2312,FALSE)</f>
        <v>0</v>
      </c>
      <c r="Z206" s="91">
        <f>VLOOKUP($E$7,BASEPOE3,2313,FALSE)</f>
        <v>0</v>
      </c>
      <c r="AA206" s="91">
        <f>VLOOKUP($E$7,BASEPOE3,2314,FALSE)</f>
        <v>0</v>
      </c>
      <c r="AB206" s="91">
        <f>VLOOKUP($E$7,BASEPOE3,2315,FALSE)</f>
        <v>0</v>
      </c>
      <c r="AC206" s="90">
        <f>VLOOKUP($E$7,BASEPOE3,2316,FALSE)</f>
        <v>0</v>
      </c>
      <c r="AD206" s="90">
        <f>VLOOKUP($E$7,BASEPOE3,2317,FALSE)</f>
        <v>0</v>
      </c>
      <c r="AE206" s="90">
        <f>VLOOKUP($E$7,BASEPOE3,2318,FALSE)</f>
        <v>0</v>
      </c>
      <c r="AF206" s="90">
        <f>VLOOKUP($E$7,BASEPOE3,2319,FALSE)</f>
        <v>0</v>
      </c>
      <c r="AG206" s="90">
        <f>VLOOKUP($E$7,BASEPOE3,2320,FALSE)</f>
        <v>0</v>
      </c>
      <c r="AH206" s="90">
        <f>VLOOKUP($E$7,BASEPOE3,2321,FALSE)</f>
        <v>0</v>
      </c>
      <c r="AI206" s="90">
        <f>VLOOKUP($E$7,BASEPOE3,2322,FALSE)</f>
        <v>0</v>
      </c>
      <c r="AJ206" s="90">
        <f>VLOOKUP($E$7,BASEPOE3,2323,FALSE)</f>
        <v>0</v>
      </c>
      <c r="AK206" s="90">
        <f>VLOOKUP($E$7,BASEPOE3,2324,FALSE)</f>
        <v>0</v>
      </c>
      <c r="AL206" s="90">
        <f>VLOOKUP($E$7,BASEPOE3,2325,FALSE)</f>
        <v>0</v>
      </c>
      <c r="AM206" s="90">
        <f>VLOOKUP($E$7,BASEPOE3,2326,FALSE)</f>
        <v>0</v>
      </c>
      <c r="AN206" s="90">
        <f>VLOOKUP($E$7,BASEPOE3,2327,FALSE)</f>
        <v>0</v>
      </c>
      <c r="AO206" s="90">
        <f>VLOOKUP($E$7,BASEPOE3,2328,FALSE)</f>
        <v>0</v>
      </c>
      <c r="AP206" s="90">
        <f>VLOOKUP($E$7,BASEPOE3,2329,FALSE)</f>
        <v>0</v>
      </c>
      <c r="AQ206" s="90">
        <f>VLOOKUP($E$7,BASEPOE3,2330,FALSE)</f>
        <v>0</v>
      </c>
      <c r="AR206" s="90">
        <f>VLOOKUP($E$7,BASEPOE3,2331,FALSE)</f>
        <v>0</v>
      </c>
      <c r="AS206" s="90">
        <f>VLOOKUP($E$7,BASEPOE3,2332,FALSE)</f>
        <v>0</v>
      </c>
      <c r="AT206" s="90">
        <f>VLOOKUP($E$7,BASEPOE3,2333,FALSE)</f>
        <v>0</v>
      </c>
    </row>
    <row r="207" spans="1:46" x14ac:dyDescent="0.3">
      <c r="A207" s="200"/>
      <c r="B207" s="60">
        <v>54</v>
      </c>
      <c r="C207" s="92">
        <f>VLOOKUP($E$7,BASEPOE3,2334,FALSE)</f>
        <v>0</v>
      </c>
      <c r="D207" s="88">
        <f>VLOOKUP($E$7,BASEPOE3,2335,FALSE)</f>
        <v>0</v>
      </c>
      <c r="E207" s="62">
        <f>VLOOKUP($E$7,BASEPOE3,2336,FALSE)</f>
        <v>0</v>
      </c>
      <c r="F207" s="88">
        <f>VLOOKUP($E$7,BASEPOE3,2337,FALSE)</f>
        <v>0</v>
      </c>
      <c r="G207" s="88">
        <f>VLOOKUP($E$7,BASEPOE3,2338,FALSE)</f>
        <v>0</v>
      </c>
      <c r="H207" s="89">
        <f>VLOOKUP($E$7,BASEPOE3,2339,FALSE)</f>
        <v>0</v>
      </c>
      <c r="I207" s="89">
        <f>VLOOKUP($E$7,BASEPOE3,2340,FALSE)</f>
        <v>0</v>
      </c>
      <c r="J207" s="89">
        <f>VLOOKUP($E$7,BASEPOE3,2341,FALSE)</f>
        <v>0</v>
      </c>
      <c r="K207" s="89">
        <f>VLOOKUP($E$7,BASEPOE3,2342,FALSE)</f>
        <v>0</v>
      </c>
      <c r="L207" s="89">
        <f>VLOOKUP($E$7,BASEPOE3,2343,FALSE)</f>
        <v>0</v>
      </c>
      <c r="M207" s="89">
        <f>VLOOKUP($E$7,BASEPOE3,2344,FALSE)</f>
        <v>0</v>
      </c>
      <c r="N207" s="89">
        <f>VLOOKUP($E$7,BASEPOE3,2345,FALSE)</f>
        <v>0</v>
      </c>
      <c r="O207" s="89">
        <f>VLOOKUP($E$7,BASEPOE3,2346,FALSE)</f>
        <v>0</v>
      </c>
      <c r="P207" s="89">
        <f>VLOOKUP($E$7,BASEPOE3,2347,FALSE)</f>
        <v>0</v>
      </c>
      <c r="Q207" s="89">
        <f>VLOOKUP($E$7,BASEPOE3,2348,FALSE)</f>
        <v>0</v>
      </c>
      <c r="R207" s="89">
        <f>VLOOKUP($E$7,BASEPOE3,2349,FALSE)</f>
        <v>0</v>
      </c>
      <c r="S207" s="89">
        <f>VLOOKUP($E$7,BASEPOE3,2350,FALSE)</f>
        <v>0</v>
      </c>
      <c r="T207" s="89">
        <f>VLOOKUP($E$7,BASEPOE3,2351,FALSE)</f>
        <v>0</v>
      </c>
      <c r="U207" s="89">
        <f>VLOOKUP($E$7,BASEPOE3,2352,FALSE)</f>
        <v>0</v>
      </c>
      <c r="V207" s="89">
        <f>VLOOKUP($E$7,BASEPOE3,2353,FALSE)</f>
        <v>0</v>
      </c>
      <c r="W207" s="89">
        <f>VLOOKUP($E$7,BASEPOE3,2354,FALSE)</f>
        <v>0</v>
      </c>
      <c r="X207" s="89">
        <f>VLOOKUP($E$7,BASEPOE3,2355,FALSE)</f>
        <v>0</v>
      </c>
      <c r="Y207" s="89">
        <f>VLOOKUP($E$7,BASEPOE3,2356,FALSE)</f>
        <v>0</v>
      </c>
      <c r="Z207" s="89">
        <f>VLOOKUP($E$7,BASEPOE3,2357,FALSE)</f>
        <v>0</v>
      </c>
      <c r="AA207" s="89">
        <f>VLOOKUP($E$7,BASEPOE3,2358,FALSE)</f>
        <v>0</v>
      </c>
      <c r="AB207" s="89">
        <f>VLOOKUP($E$7,BASEPOE3,2359,FALSE)</f>
        <v>0</v>
      </c>
      <c r="AC207" s="88">
        <f>VLOOKUP($E$7,BASEPOE3,2360,FALSE)</f>
        <v>0</v>
      </c>
      <c r="AD207" s="88">
        <f>VLOOKUP($E$7,BASEPOE3,2361,FALSE)</f>
        <v>0</v>
      </c>
      <c r="AE207" s="88">
        <f>VLOOKUP($E$7,BASEPOE3,2362,FALSE)</f>
        <v>0</v>
      </c>
      <c r="AF207" s="88">
        <f>VLOOKUP($E$7,BASEPOE3,2363,FALSE)</f>
        <v>0</v>
      </c>
      <c r="AG207" s="88">
        <f>VLOOKUP($E$7,BASEPOE3,2364,FALSE)</f>
        <v>0</v>
      </c>
      <c r="AH207" s="88">
        <f>VLOOKUP($E$7,BASEPOE3,2365,FALSE)</f>
        <v>0</v>
      </c>
      <c r="AI207" s="88">
        <f>VLOOKUP($E$7,BASEPOE3,2366,FALSE)</f>
        <v>0</v>
      </c>
      <c r="AJ207" s="88">
        <f>VLOOKUP($E$7,BASEPOE3,2367,FALSE)</f>
        <v>0</v>
      </c>
      <c r="AK207" s="88">
        <f>VLOOKUP($E$7,BASEPOE3,2368,FALSE)</f>
        <v>0</v>
      </c>
      <c r="AL207" s="88">
        <f>VLOOKUP($E$7,BASEPOE3,2369,FALSE)</f>
        <v>0</v>
      </c>
      <c r="AM207" s="88">
        <f>VLOOKUP($E$7,BASEPOE3,2370,FALSE)</f>
        <v>0</v>
      </c>
      <c r="AN207" s="88">
        <f>VLOOKUP($E$7,BASEPOE3,2371,FALSE)</f>
        <v>0</v>
      </c>
      <c r="AO207" s="88">
        <f>VLOOKUP($E$7,BASEPOE3,2372,FALSE)</f>
        <v>0</v>
      </c>
      <c r="AP207" s="88">
        <f>VLOOKUP($E$7,BASEPOE3,2373,FALSE)</f>
        <v>0</v>
      </c>
      <c r="AQ207" s="88">
        <f>VLOOKUP($E$7,BASEPOE3,2374,FALSE)</f>
        <v>0</v>
      </c>
      <c r="AR207" s="88">
        <f>VLOOKUP($E$7,BASEPOE3,2375,FALSE)</f>
        <v>0</v>
      </c>
      <c r="AS207" s="88">
        <f>VLOOKUP($E$7,BASEPOE3,2376,FALSE)</f>
        <v>0</v>
      </c>
      <c r="AT207" s="88">
        <f>VLOOKUP($E$7,BASEPOE3,2377,FALSE)</f>
        <v>0</v>
      </c>
    </row>
    <row r="208" spans="1:46" x14ac:dyDescent="0.3">
      <c r="A208" s="200"/>
      <c r="B208" s="34">
        <v>55</v>
      </c>
      <c r="C208" s="93">
        <f>VLOOKUP($E$7,BASEPOE3,2378,FALSE)</f>
        <v>0</v>
      </c>
      <c r="D208" s="90">
        <f>VLOOKUP($E$7,BASEPOE3,2379,FALSE)</f>
        <v>0</v>
      </c>
      <c r="E208" s="61">
        <f>VLOOKUP($E$7,BASEPOE3,2380,FALSE)</f>
        <v>0</v>
      </c>
      <c r="F208" s="90">
        <f>VLOOKUP($E$7,BASEPOE3,2381,FALSE)</f>
        <v>0</v>
      </c>
      <c r="G208" s="90">
        <f>VLOOKUP($E$7,BASEPOE3,2382,FALSE)</f>
        <v>0</v>
      </c>
      <c r="H208" s="91">
        <f>VLOOKUP($E$7,BASEPOE3,2383,FALSE)</f>
        <v>0</v>
      </c>
      <c r="I208" s="91">
        <f>VLOOKUP($E$7,BASEPOE3,2384,FALSE)</f>
        <v>0</v>
      </c>
      <c r="J208" s="91">
        <f>VLOOKUP($E$7,BASEPOE3,2385,FALSE)</f>
        <v>0</v>
      </c>
      <c r="K208" s="91">
        <f>VLOOKUP($E$7,BASEPOE3,2386,FALSE)</f>
        <v>0</v>
      </c>
      <c r="L208" s="91">
        <f>VLOOKUP($E$7,BASEPOE3,2387,FALSE)</f>
        <v>0</v>
      </c>
      <c r="M208" s="91">
        <f>VLOOKUP($E$7,BASEPOE3,2388,FALSE)</f>
        <v>0</v>
      </c>
      <c r="N208" s="91">
        <f>VLOOKUP($E$7,BASEPOE3,2389,FALSE)</f>
        <v>0</v>
      </c>
      <c r="O208" s="91">
        <f>VLOOKUP($E$7,BASEPOE3,2390,FALSE)</f>
        <v>0</v>
      </c>
      <c r="P208" s="91">
        <f>VLOOKUP($E$7,BASEPOE3,2391,FALSE)</f>
        <v>0</v>
      </c>
      <c r="Q208" s="91">
        <f>VLOOKUP($E$7,BASEPOE3,2392,FALSE)</f>
        <v>0</v>
      </c>
      <c r="R208" s="91">
        <f>VLOOKUP($E$7,BASEPOE3,2393,FALSE)</f>
        <v>0</v>
      </c>
      <c r="S208" s="91">
        <f>VLOOKUP($E$7,BASEPOE3,2394,FALSE)</f>
        <v>0</v>
      </c>
      <c r="T208" s="91">
        <f>VLOOKUP($E$7,BASEPOE3,2395,FALSE)</f>
        <v>0</v>
      </c>
      <c r="U208" s="91">
        <f>VLOOKUP($E$7,BASEPOE3,2396,FALSE)</f>
        <v>0</v>
      </c>
      <c r="V208" s="91">
        <f>VLOOKUP($E$7,BASEPOE3,2397,FALSE)</f>
        <v>0</v>
      </c>
      <c r="W208" s="91">
        <f>VLOOKUP($E$7,BASEPOE3,2398,FALSE)</f>
        <v>0</v>
      </c>
      <c r="X208" s="91">
        <f>VLOOKUP($E$7,BASEPOE3,2399,FALSE)</f>
        <v>0</v>
      </c>
      <c r="Y208" s="91">
        <f>VLOOKUP($E$7,BASEPOE3,2400,FALSE)</f>
        <v>0</v>
      </c>
      <c r="Z208" s="91">
        <f>VLOOKUP($E$7,BASEPOE3,2401,FALSE)</f>
        <v>0</v>
      </c>
      <c r="AA208" s="91">
        <f>VLOOKUP($E$7,BASEPOE3,2402,FALSE)</f>
        <v>0</v>
      </c>
      <c r="AB208" s="91">
        <f>VLOOKUP($E$7,BASEPOE3,2403,FALSE)</f>
        <v>0</v>
      </c>
      <c r="AC208" s="90">
        <f>VLOOKUP($E$7,BASEPOE3,2404,FALSE)</f>
        <v>0</v>
      </c>
      <c r="AD208" s="90">
        <f>VLOOKUP($E$7,BASEPOE3,2405,FALSE)</f>
        <v>0</v>
      </c>
      <c r="AE208" s="90">
        <f>VLOOKUP($E$7,BASEPOE3,2406,FALSE)</f>
        <v>0</v>
      </c>
      <c r="AF208" s="90">
        <f>VLOOKUP($E$7,BASEPOE3,2407,FALSE)</f>
        <v>0</v>
      </c>
      <c r="AG208" s="90">
        <f>VLOOKUP($E$7,BASEPOE3,2408,FALSE)</f>
        <v>0</v>
      </c>
      <c r="AH208" s="90">
        <f>VLOOKUP($E$7,BASEPOE3,2409,FALSE)</f>
        <v>0</v>
      </c>
      <c r="AI208" s="90">
        <f>VLOOKUP($E$7,BASEPOE3,2410,FALSE)</f>
        <v>0</v>
      </c>
      <c r="AJ208" s="90">
        <f>VLOOKUP($E$7,BASEPOE3,2411,FALSE)</f>
        <v>0</v>
      </c>
      <c r="AK208" s="90">
        <f>VLOOKUP($E$7,BASEPOE3,2412,FALSE)</f>
        <v>0</v>
      </c>
      <c r="AL208" s="90">
        <f>VLOOKUP($E$7,BASEPOE3,2413,FALSE)</f>
        <v>0</v>
      </c>
      <c r="AM208" s="90">
        <f>VLOOKUP($E$7,BASEPOE3,2414,FALSE)</f>
        <v>0</v>
      </c>
      <c r="AN208" s="90">
        <f>VLOOKUP($E$7,BASEPOE3,2415,FALSE)</f>
        <v>0</v>
      </c>
      <c r="AO208" s="90">
        <f>VLOOKUP($E$7,BASEPOE3,2416,FALSE)</f>
        <v>0</v>
      </c>
      <c r="AP208" s="90">
        <f>VLOOKUP($E$7,BASEPOE3,2417,FALSE)</f>
        <v>0</v>
      </c>
      <c r="AQ208" s="90">
        <f>VLOOKUP($E$7,BASEPOE3,2418,FALSE)</f>
        <v>0</v>
      </c>
      <c r="AR208" s="90">
        <f>VLOOKUP($E$7,BASEPOE3,2419,FALSE)</f>
        <v>0</v>
      </c>
      <c r="AS208" s="90">
        <f>VLOOKUP($E$7,BASEPOE3,2420,FALSE)</f>
        <v>0</v>
      </c>
      <c r="AT208" s="90">
        <f>VLOOKUP($E$7,BASEPOE3,2421,FALSE)</f>
        <v>0</v>
      </c>
    </row>
    <row r="209" spans="1:46" x14ac:dyDescent="0.3">
      <c r="A209" s="152"/>
      <c r="B209" s="60">
        <v>56</v>
      </c>
      <c r="C209" s="92">
        <f>VLOOKUP($E$7,BASEPOE3,2422,FALSE)</f>
        <v>0</v>
      </c>
      <c r="D209" s="88">
        <f>VLOOKUP($E$7,BASEPOE3,2423,FALSE)</f>
        <v>0</v>
      </c>
      <c r="E209" s="62">
        <f>VLOOKUP($E$7,BASEPOE3,2424,FALSE)</f>
        <v>0</v>
      </c>
      <c r="F209" s="88">
        <f>VLOOKUP($E$7,BASEPOE3,2425,FALSE)</f>
        <v>0</v>
      </c>
      <c r="G209" s="88">
        <f>VLOOKUP($E$7,BASEPOE3,2426,FALSE)</f>
        <v>0</v>
      </c>
      <c r="H209" s="89">
        <f>VLOOKUP($E$7,BASEPOE3,2427,FALSE)</f>
        <v>0</v>
      </c>
      <c r="I209" s="89">
        <f>VLOOKUP($E$7,BASEPOE3,2428,FALSE)</f>
        <v>0</v>
      </c>
      <c r="J209" s="89">
        <f>VLOOKUP($E$7,BASEPOE3,2429,FALSE)</f>
        <v>0</v>
      </c>
      <c r="K209" s="89">
        <f>VLOOKUP($E$7,BASEPOE3,2430,FALSE)</f>
        <v>0</v>
      </c>
      <c r="L209" s="89">
        <f>VLOOKUP($E$7,BASEPOE3,2431,FALSE)</f>
        <v>0</v>
      </c>
      <c r="M209" s="89">
        <f>VLOOKUP($E$7,BASEPOE3,2432,FALSE)</f>
        <v>0</v>
      </c>
      <c r="N209" s="89">
        <f>VLOOKUP($E$7,BASEPOE3,2433,FALSE)</f>
        <v>0</v>
      </c>
      <c r="O209" s="89">
        <f>VLOOKUP($E$7,BASEPOE3,2434,FALSE)</f>
        <v>0</v>
      </c>
      <c r="P209" s="89">
        <f>VLOOKUP($E$7,BASEPOE3,2435,FALSE)</f>
        <v>0</v>
      </c>
      <c r="Q209" s="89">
        <f>VLOOKUP($E$7,BASEPOE3,2436,FALSE)</f>
        <v>0</v>
      </c>
      <c r="R209" s="89">
        <f>VLOOKUP($E$7,BASEPOE3,2437,FALSE)</f>
        <v>0</v>
      </c>
      <c r="S209" s="89">
        <f>VLOOKUP($E$7,BASEPOE3,2438,FALSE)</f>
        <v>0</v>
      </c>
      <c r="T209" s="89">
        <f>VLOOKUP($E$7,BASEPOE3,2439,FALSE)</f>
        <v>0</v>
      </c>
      <c r="U209" s="89">
        <f>VLOOKUP($E$7,BASEPOE3,2440,FALSE)</f>
        <v>0</v>
      </c>
      <c r="V209" s="89">
        <f>VLOOKUP($E$7,BASEPOE3,2441,FALSE)</f>
        <v>0</v>
      </c>
      <c r="W209" s="89">
        <f>VLOOKUP($E$7,BASEPOE3,2442,FALSE)</f>
        <v>0</v>
      </c>
      <c r="X209" s="89">
        <f>VLOOKUP($E$7,BASEPOE3,2443,FALSE)</f>
        <v>0</v>
      </c>
      <c r="Y209" s="89">
        <f>VLOOKUP($E$7,BASEPOE3,2444,FALSE)</f>
        <v>0</v>
      </c>
      <c r="Z209" s="89">
        <f>VLOOKUP($E$7,BASEPOE3,2445,FALSE)</f>
        <v>0</v>
      </c>
      <c r="AA209" s="89">
        <f>VLOOKUP($E$7,BASEPOE3,2446,FALSE)</f>
        <v>0</v>
      </c>
      <c r="AB209" s="89">
        <f>VLOOKUP($E$7,BASEPOE3,2447,FALSE)</f>
        <v>0</v>
      </c>
      <c r="AC209" s="88">
        <f>VLOOKUP($E$7,BASEPOE3,2448,FALSE)</f>
        <v>0</v>
      </c>
      <c r="AD209" s="88">
        <f>VLOOKUP($E$7,BASEPOE3,2449,FALSE)</f>
        <v>0</v>
      </c>
      <c r="AE209" s="88">
        <f>VLOOKUP($E$7,BASEPOE3,2450,FALSE)</f>
        <v>0</v>
      </c>
      <c r="AF209" s="88">
        <f>VLOOKUP($E$7,BASEPOE3,2451,FALSE)</f>
        <v>0</v>
      </c>
      <c r="AG209" s="88">
        <f>VLOOKUP($E$7,BASEPOE3,2452,FALSE)</f>
        <v>0</v>
      </c>
      <c r="AH209" s="88">
        <f>VLOOKUP($E$7,BASEPOE3,2453,FALSE)</f>
        <v>0</v>
      </c>
      <c r="AI209" s="88">
        <f>VLOOKUP($E$7,BASEPOE3,2454,FALSE)</f>
        <v>0</v>
      </c>
      <c r="AJ209" s="88">
        <f>VLOOKUP($E$7,BASEPOE3,2455,FALSE)</f>
        <v>0</v>
      </c>
      <c r="AK209" s="88">
        <f>VLOOKUP($E$7,BASEPOE3,2456,FALSE)</f>
        <v>0</v>
      </c>
      <c r="AL209" s="88">
        <f>VLOOKUP($E$7,BASEPOE3,2457,FALSE)</f>
        <v>0</v>
      </c>
      <c r="AM209" s="88">
        <f>VLOOKUP($E$7,BASEPOE3,2458,FALSE)</f>
        <v>0</v>
      </c>
      <c r="AN209" s="88">
        <f>VLOOKUP($E$7,BASEPOE3,2459,FALSE)</f>
        <v>0</v>
      </c>
      <c r="AO209" s="88">
        <f>VLOOKUP($E$7,BASEPOE3,2460,FALSE)</f>
        <v>0</v>
      </c>
      <c r="AP209" s="88">
        <f>VLOOKUP($E$7,BASEPOE3,2461,FALSE)</f>
        <v>0</v>
      </c>
      <c r="AQ209" s="88">
        <f>VLOOKUP($E$7,BASEPOE3,2462,FALSE)</f>
        <v>0</v>
      </c>
      <c r="AR209" s="88">
        <f>VLOOKUP($E$7,BASEPOE3,2463,FALSE)</f>
        <v>0</v>
      </c>
      <c r="AS209" s="88">
        <f>VLOOKUP($E$7,BASEPOE3,2464,FALSE)</f>
        <v>0</v>
      </c>
      <c r="AT209" s="88">
        <f>VLOOKUP($E$7,BASEPOE3,2465,FALSE)</f>
        <v>0</v>
      </c>
    </row>
    <row r="210" spans="1:46" x14ac:dyDescent="0.3">
      <c r="A210" s="152"/>
      <c r="B210" s="34">
        <v>57</v>
      </c>
      <c r="C210" s="93">
        <f>VLOOKUP($E$7,BASEPOE3,2466,FALSE)</f>
        <v>0</v>
      </c>
      <c r="D210" s="90">
        <f>VLOOKUP($E$7,BASEPOE3,2467,FALSE)</f>
        <v>0</v>
      </c>
      <c r="E210" s="61">
        <f>VLOOKUP($E$7,BASEPOE3,2468,FALSE)</f>
        <v>0</v>
      </c>
      <c r="F210" s="90">
        <f>VLOOKUP($E$7,BASEPOE3,2469,FALSE)</f>
        <v>0</v>
      </c>
      <c r="G210" s="90">
        <f>VLOOKUP($E$7,BASEPOE3,2470,FALSE)</f>
        <v>0</v>
      </c>
      <c r="H210" s="91">
        <f>VLOOKUP($E$7,BASEPOE3,2471,FALSE)</f>
        <v>0</v>
      </c>
      <c r="I210" s="91">
        <f>VLOOKUP($E$7,BASEPOE3,2472,FALSE)</f>
        <v>0</v>
      </c>
      <c r="J210" s="91">
        <f>VLOOKUP($E$7,BASEPOE3,2473,FALSE)</f>
        <v>0</v>
      </c>
      <c r="K210" s="91">
        <f>VLOOKUP($E$7,BASEPOE3,2474,FALSE)</f>
        <v>0</v>
      </c>
      <c r="L210" s="91">
        <f>VLOOKUP($E$7,BASEPOE3,2475,FALSE)</f>
        <v>0</v>
      </c>
      <c r="M210" s="91">
        <f>VLOOKUP($E$7,BASEPOE3,2476,FALSE)</f>
        <v>0</v>
      </c>
      <c r="N210" s="91">
        <f>VLOOKUP($E$7,BASEPOE3,2477,FALSE)</f>
        <v>0</v>
      </c>
      <c r="O210" s="91">
        <f>VLOOKUP($E$7,BASEPOE3,2478,FALSE)</f>
        <v>0</v>
      </c>
      <c r="P210" s="91">
        <f>VLOOKUP($E$7,BASEPOE3,2479,FALSE)</f>
        <v>0</v>
      </c>
      <c r="Q210" s="91">
        <f>VLOOKUP($E$7,BASEPOE3,2480,FALSE)</f>
        <v>0</v>
      </c>
      <c r="R210" s="91">
        <f>VLOOKUP($E$7,BASEPOE3,2481,FALSE)</f>
        <v>0</v>
      </c>
      <c r="S210" s="91">
        <f>VLOOKUP($E$7,BASEPOE3,2482,FALSE)</f>
        <v>0</v>
      </c>
      <c r="T210" s="91">
        <f>VLOOKUP($E$7,BASEPOE3,2483,FALSE)</f>
        <v>0</v>
      </c>
      <c r="U210" s="91">
        <f>VLOOKUP($E$7,BASEPOE3,2484,FALSE)</f>
        <v>0</v>
      </c>
      <c r="V210" s="91">
        <f>VLOOKUP($E$7,BASEPOE3,2485,FALSE)</f>
        <v>0</v>
      </c>
      <c r="W210" s="91">
        <f>VLOOKUP($E$7,BASEPOE3,2486,FALSE)</f>
        <v>0</v>
      </c>
      <c r="X210" s="91">
        <f>VLOOKUP($E$7,BASEPOE3,2487,FALSE)</f>
        <v>0</v>
      </c>
      <c r="Y210" s="91">
        <f>VLOOKUP($E$7,BASEPOE3,2488,FALSE)</f>
        <v>0</v>
      </c>
      <c r="Z210" s="91">
        <f>VLOOKUP($E$7,BASEPOE3,2489,FALSE)</f>
        <v>0</v>
      </c>
      <c r="AA210" s="91">
        <f>VLOOKUP($E$7,BASEPOE3,2490,FALSE)</f>
        <v>0</v>
      </c>
      <c r="AB210" s="91">
        <f>VLOOKUP($E$7,BASEPOE3,2491,FALSE)</f>
        <v>0</v>
      </c>
      <c r="AC210" s="90">
        <f>VLOOKUP($E$7,BASEPOE3,2492,FALSE)</f>
        <v>0</v>
      </c>
      <c r="AD210" s="90">
        <f>VLOOKUP($E$7,BASEPOE3,2493,FALSE)</f>
        <v>0</v>
      </c>
      <c r="AE210" s="90">
        <f>VLOOKUP($E$7,BASEPOE3,2494,FALSE)</f>
        <v>0</v>
      </c>
      <c r="AF210" s="90">
        <f>VLOOKUP($E$7,BASEPOE3,2495,FALSE)</f>
        <v>0</v>
      </c>
      <c r="AG210" s="90">
        <f>VLOOKUP($E$7,BASEPOE3,2496,FALSE)</f>
        <v>0</v>
      </c>
      <c r="AH210" s="90">
        <f>VLOOKUP($E$7,BASEPOE3,2497,FALSE)</f>
        <v>0</v>
      </c>
      <c r="AI210" s="90">
        <f>VLOOKUP($E$7,BASEPOE3,2498,FALSE)</f>
        <v>0</v>
      </c>
      <c r="AJ210" s="90">
        <f>VLOOKUP($E$7,BASEPOE3,2499,FALSE)</f>
        <v>0</v>
      </c>
      <c r="AK210" s="90">
        <f>VLOOKUP($E$7,BASEPOE3,2500,FALSE)</f>
        <v>0</v>
      </c>
      <c r="AL210" s="90">
        <f>VLOOKUP($E$7,BASEPOE3,2501,FALSE)</f>
        <v>0</v>
      </c>
      <c r="AM210" s="90">
        <f>VLOOKUP($E$7,BASEPOE3,2502,FALSE)</f>
        <v>0</v>
      </c>
      <c r="AN210" s="90">
        <f>VLOOKUP($E$7,BASEPOE3,2503,FALSE)</f>
        <v>0</v>
      </c>
      <c r="AO210" s="90">
        <f>VLOOKUP($E$7,BASEPOE3,2504,FALSE)</f>
        <v>0</v>
      </c>
      <c r="AP210" s="90">
        <f>VLOOKUP($E$7,BASEPOE3,2505,FALSE)</f>
        <v>0</v>
      </c>
      <c r="AQ210" s="90">
        <f>VLOOKUP($E$7,BASEPOE3,2506,FALSE)</f>
        <v>0</v>
      </c>
      <c r="AR210" s="90">
        <f>VLOOKUP($E$7,BASEPOE3,2507,FALSE)</f>
        <v>0</v>
      </c>
      <c r="AS210" s="90">
        <f>VLOOKUP($E$7,BASEPOE3,2508,FALSE)</f>
        <v>0</v>
      </c>
      <c r="AT210" s="90">
        <f>VLOOKUP($E$7,BASEPOE3,2509,FALSE)</f>
        <v>0</v>
      </c>
    </row>
    <row r="211" spans="1:46" x14ac:dyDescent="0.3">
      <c r="A211" s="152"/>
      <c r="B211" s="60">
        <v>58</v>
      </c>
      <c r="C211" s="92">
        <f>VLOOKUP($E$7,BASEPOE3,2510,FALSE)</f>
        <v>0</v>
      </c>
      <c r="D211" s="88">
        <f>VLOOKUP($E$7,BASEPOE3,2511,FALSE)</f>
        <v>0</v>
      </c>
      <c r="E211" s="62">
        <f>VLOOKUP($E$7,BASEPOE3,2512,FALSE)</f>
        <v>0</v>
      </c>
      <c r="F211" s="88">
        <f>VLOOKUP($E$7,BASEPOE3,2513,FALSE)</f>
        <v>0</v>
      </c>
      <c r="G211" s="88">
        <f>VLOOKUP($E$7,BASEPOE3,2514,FALSE)</f>
        <v>0</v>
      </c>
      <c r="H211" s="89">
        <f>VLOOKUP($E$7,BASEPOE3,2515,FALSE)</f>
        <v>0</v>
      </c>
      <c r="I211" s="89">
        <f>VLOOKUP($E$7,BASEPOE3,2516,FALSE)</f>
        <v>0</v>
      </c>
      <c r="J211" s="89">
        <f>VLOOKUP($E$7,BASEPOE3,2517,FALSE)</f>
        <v>0</v>
      </c>
      <c r="K211" s="89">
        <f>VLOOKUP($E$7,BASEPOE3,2518,FALSE)</f>
        <v>0</v>
      </c>
      <c r="L211" s="89">
        <f>VLOOKUP($E$7,BASEPOE3,2519,FALSE)</f>
        <v>0</v>
      </c>
      <c r="M211" s="89">
        <f>VLOOKUP($E$7,BASEPOE3,2520,FALSE)</f>
        <v>0</v>
      </c>
      <c r="N211" s="89">
        <f>VLOOKUP($E$7,BASEPOE3,2521,FALSE)</f>
        <v>0</v>
      </c>
      <c r="O211" s="89">
        <f>VLOOKUP($E$7,BASEPOE3,2522,FALSE)</f>
        <v>0</v>
      </c>
      <c r="P211" s="89">
        <f>VLOOKUP($E$7,BASEPOE3,2523,FALSE)</f>
        <v>0</v>
      </c>
      <c r="Q211" s="89">
        <f>VLOOKUP($E$7,BASEPOE3,2524,FALSE)</f>
        <v>0</v>
      </c>
      <c r="R211" s="89">
        <f>VLOOKUP($E$7,BASEPOE3,2525,FALSE)</f>
        <v>0</v>
      </c>
      <c r="S211" s="89">
        <f>VLOOKUP($E$7,BASEPOE3,2526,FALSE)</f>
        <v>0</v>
      </c>
      <c r="T211" s="89">
        <f>VLOOKUP($E$7,BASEPOE3,2527,FALSE)</f>
        <v>0</v>
      </c>
      <c r="U211" s="89">
        <f>VLOOKUP($E$7,BASEPOE3,2528,FALSE)</f>
        <v>0</v>
      </c>
      <c r="V211" s="89">
        <f>VLOOKUP($E$7,BASEPOE3,2529,FALSE)</f>
        <v>0</v>
      </c>
      <c r="W211" s="89">
        <f>VLOOKUP($E$7,BASEPOE3,2530,FALSE)</f>
        <v>0</v>
      </c>
      <c r="X211" s="89">
        <f>VLOOKUP($E$7,BASEPOE3,2531,FALSE)</f>
        <v>0</v>
      </c>
      <c r="Y211" s="89">
        <f>VLOOKUP($E$7,BASEPOE3,2532,FALSE)</f>
        <v>0</v>
      </c>
      <c r="Z211" s="89">
        <f>VLOOKUP($E$7,BASEPOE3,2533,FALSE)</f>
        <v>0</v>
      </c>
      <c r="AA211" s="89">
        <f>VLOOKUP($E$7,BASEPOE3,2534,FALSE)</f>
        <v>0</v>
      </c>
      <c r="AB211" s="89">
        <f>VLOOKUP($E$7,BASEPOE3,2535,FALSE)</f>
        <v>0</v>
      </c>
      <c r="AC211" s="88">
        <f>VLOOKUP($E$7,BASEPOE3,2536,FALSE)</f>
        <v>0</v>
      </c>
      <c r="AD211" s="88">
        <f>VLOOKUP($E$7,BASEPOE3,2537,FALSE)</f>
        <v>0</v>
      </c>
      <c r="AE211" s="88">
        <f>VLOOKUP($E$7,BASEPOE3,2538,FALSE)</f>
        <v>0</v>
      </c>
      <c r="AF211" s="88">
        <f>VLOOKUP($E$7,BASEPOE3,2539,FALSE)</f>
        <v>0</v>
      </c>
      <c r="AG211" s="88">
        <f>VLOOKUP($E$7,BASEPOE3,2540,FALSE)</f>
        <v>0</v>
      </c>
      <c r="AH211" s="88">
        <f>VLOOKUP($E$7,BASEPOE3,2541,FALSE)</f>
        <v>0</v>
      </c>
      <c r="AI211" s="88">
        <f>VLOOKUP($E$7,BASEPOE3,2542,FALSE)</f>
        <v>0</v>
      </c>
      <c r="AJ211" s="88">
        <f>VLOOKUP($E$7,BASEPOE3,2543,FALSE)</f>
        <v>0</v>
      </c>
      <c r="AK211" s="88">
        <f>VLOOKUP($E$7,BASEPOE3,2544,FALSE)</f>
        <v>0</v>
      </c>
      <c r="AL211" s="88">
        <f>VLOOKUP($E$7,BASEPOE3,2545,FALSE)</f>
        <v>0</v>
      </c>
      <c r="AM211" s="88">
        <f>VLOOKUP($E$7,BASEPOE3,2546,FALSE)</f>
        <v>0</v>
      </c>
      <c r="AN211" s="88">
        <f>VLOOKUP($E$7,BASEPOE3,2547,FALSE)</f>
        <v>0</v>
      </c>
      <c r="AO211" s="88">
        <f>VLOOKUP($E$7,BASEPOE3,2548,FALSE)</f>
        <v>0</v>
      </c>
      <c r="AP211" s="88">
        <f>VLOOKUP($E$7,BASEPOE3,2549,FALSE)</f>
        <v>0</v>
      </c>
      <c r="AQ211" s="88">
        <f>VLOOKUP($E$7,BASEPOE3,2550,FALSE)</f>
        <v>0</v>
      </c>
      <c r="AR211" s="88">
        <f>VLOOKUP($E$7,BASEPOE3,2551,FALSE)</f>
        <v>0</v>
      </c>
      <c r="AS211" s="88">
        <f>VLOOKUP($E$7,BASEPOE3,2552,FALSE)</f>
        <v>0</v>
      </c>
      <c r="AT211" s="88">
        <f>VLOOKUP($E$7,BASEPOE3,2553,FALSE)</f>
        <v>0</v>
      </c>
    </row>
    <row r="212" spans="1:46" x14ac:dyDescent="0.3">
      <c r="A212" s="152"/>
      <c r="B212" s="34">
        <v>59</v>
      </c>
      <c r="C212" s="93">
        <f>VLOOKUP($E$7,BASEPOE3,2554,FALSE)</f>
        <v>0</v>
      </c>
      <c r="D212" s="90">
        <f>VLOOKUP($E$7,BASEPOE3,2555,FALSE)</f>
        <v>0</v>
      </c>
      <c r="E212" s="61">
        <f>VLOOKUP($E$7,BASEPOE3,2556,FALSE)</f>
        <v>0</v>
      </c>
      <c r="F212" s="90">
        <f>VLOOKUP($E$7,BASEPOE3,2557,FALSE)</f>
        <v>0</v>
      </c>
      <c r="G212" s="90">
        <f>VLOOKUP($E$7,BASEPOE3,2558,FALSE)</f>
        <v>0</v>
      </c>
      <c r="H212" s="91">
        <f>VLOOKUP($E$7,BASEPOE3,2559,FALSE)</f>
        <v>0</v>
      </c>
      <c r="I212" s="91">
        <f>VLOOKUP($E$7,BASEPOE3,2560,FALSE)</f>
        <v>0</v>
      </c>
      <c r="J212" s="91">
        <f>VLOOKUP($E$7,BASEPOE3,2561,FALSE)</f>
        <v>0</v>
      </c>
      <c r="K212" s="91">
        <f>VLOOKUP($E$7,BASEPOE3,2562,FALSE)</f>
        <v>0</v>
      </c>
      <c r="L212" s="91">
        <f>VLOOKUP($E$7,BASEPOE3,2563,FALSE)</f>
        <v>0</v>
      </c>
      <c r="M212" s="91">
        <f>VLOOKUP($E$7,BASEPOE3,2564,FALSE)</f>
        <v>0</v>
      </c>
      <c r="N212" s="91">
        <f>VLOOKUP($E$7,BASEPOE3,2565,FALSE)</f>
        <v>0</v>
      </c>
      <c r="O212" s="91">
        <f>VLOOKUP($E$7,BASEPOE3,2566,FALSE)</f>
        <v>0</v>
      </c>
      <c r="P212" s="91">
        <f>VLOOKUP($E$7,BASEPOE3,2567,FALSE)</f>
        <v>0</v>
      </c>
      <c r="Q212" s="91">
        <f>VLOOKUP($E$7,BASEPOE3,2568,FALSE)</f>
        <v>0</v>
      </c>
      <c r="R212" s="91">
        <f>VLOOKUP($E$7,BASEPOE3,2569,FALSE)</f>
        <v>0</v>
      </c>
      <c r="S212" s="91">
        <f>VLOOKUP($E$7,BASEPOE3,2570,FALSE)</f>
        <v>0</v>
      </c>
      <c r="T212" s="91">
        <f>VLOOKUP($E$7,BASEPOE3,2571,FALSE)</f>
        <v>0</v>
      </c>
      <c r="U212" s="91">
        <f>VLOOKUP($E$7,BASEPOE3,2572,FALSE)</f>
        <v>0</v>
      </c>
      <c r="V212" s="91">
        <f>VLOOKUP($E$7,BASEPOE3,2573,FALSE)</f>
        <v>0</v>
      </c>
      <c r="W212" s="91">
        <f>VLOOKUP($E$7,BASEPOE3,2574,FALSE)</f>
        <v>0</v>
      </c>
      <c r="X212" s="91">
        <f>VLOOKUP($E$7,BASEPOE3,2575,FALSE)</f>
        <v>0</v>
      </c>
      <c r="Y212" s="91">
        <f>VLOOKUP($E$7,BASEPOE3,2576,FALSE)</f>
        <v>0</v>
      </c>
      <c r="Z212" s="91">
        <f>VLOOKUP($E$7,BASEPOE3,2577,FALSE)</f>
        <v>0</v>
      </c>
      <c r="AA212" s="91">
        <f>VLOOKUP($E$7,BASEPOE3,2578,FALSE)</f>
        <v>0</v>
      </c>
      <c r="AB212" s="91">
        <f>VLOOKUP($E$7,BASEPOE3,2579,FALSE)</f>
        <v>0</v>
      </c>
      <c r="AC212" s="90">
        <f>VLOOKUP($E$7,BASEPOE3,2580,FALSE)</f>
        <v>0</v>
      </c>
      <c r="AD212" s="90">
        <f>VLOOKUP($E$7,BASEPOE3,2581,FALSE)</f>
        <v>0</v>
      </c>
      <c r="AE212" s="90">
        <f>VLOOKUP($E$7,BASEPOE3,2582,FALSE)</f>
        <v>0</v>
      </c>
      <c r="AF212" s="90">
        <f>VLOOKUP($E$7,BASEPOE3,2583,FALSE)</f>
        <v>0</v>
      </c>
      <c r="AG212" s="90">
        <f>VLOOKUP($E$7,BASEPOE3,2584,FALSE)</f>
        <v>0</v>
      </c>
      <c r="AH212" s="90">
        <f>VLOOKUP($E$7,BASEPOE3,2585,FALSE)</f>
        <v>0</v>
      </c>
      <c r="AI212" s="90">
        <f>VLOOKUP($E$7,BASEPOE3,2586,FALSE)</f>
        <v>0</v>
      </c>
      <c r="AJ212" s="90">
        <f>VLOOKUP($E$7,BASEPOE3,2587,FALSE)</f>
        <v>0</v>
      </c>
      <c r="AK212" s="90">
        <f>VLOOKUP($E$7,BASEPOE3,2588,FALSE)</f>
        <v>0</v>
      </c>
      <c r="AL212" s="90">
        <f>VLOOKUP($E$7,BASEPOE3,2589,FALSE)</f>
        <v>0</v>
      </c>
      <c r="AM212" s="90">
        <f>VLOOKUP($E$7,BASEPOE3,2590,FALSE)</f>
        <v>0</v>
      </c>
      <c r="AN212" s="90">
        <f>VLOOKUP($E$7,BASEPOE3,2591,FALSE)</f>
        <v>0</v>
      </c>
      <c r="AO212" s="90">
        <f>VLOOKUP($E$7,BASEPOE3,2592,FALSE)</f>
        <v>0</v>
      </c>
      <c r="AP212" s="90">
        <f>VLOOKUP($E$7,BASEPOE3,2593,FALSE)</f>
        <v>0</v>
      </c>
      <c r="AQ212" s="90">
        <f>VLOOKUP($E$7,BASEPOE3,2594,FALSE)</f>
        <v>0</v>
      </c>
      <c r="AR212" s="90">
        <f>VLOOKUP($E$7,BASEPOE3,2595,FALSE)</f>
        <v>0</v>
      </c>
      <c r="AS212" s="90">
        <f>VLOOKUP($E$7,BASEPOE3,2596,FALSE)</f>
        <v>0</v>
      </c>
      <c r="AT212" s="90">
        <f>VLOOKUP($E$7,BASEPOE3,2597,FALSE)</f>
        <v>0</v>
      </c>
    </row>
    <row r="213" spans="1:46" x14ac:dyDescent="0.3">
      <c r="A213" s="152"/>
      <c r="B213" s="60">
        <v>60</v>
      </c>
      <c r="C213" s="92">
        <f>VLOOKUP($E$7,BASEPOE3,2598,FALSE)</f>
        <v>0</v>
      </c>
      <c r="D213" s="88">
        <f>VLOOKUP($E$7,BASEPOE3,2599,FALSE)</f>
        <v>0</v>
      </c>
      <c r="E213" s="62">
        <f>VLOOKUP($E$7,BASEPOE3,2600,FALSE)</f>
        <v>0</v>
      </c>
      <c r="F213" s="88">
        <f>VLOOKUP($E$7,BASEPOE3,2601,FALSE)</f>
        <v>0</v>
      </c>
      <c r="G213" s="88">
        <f>VLOOKUP($E$7,BASEPOE3,2602,FALSE)</f>
        <v>0</v>
      </c>
      <c r="H213" s="89">
        <f>VLOOKUP($E$7,BASEPOE3,2603,FALSE)</f>
        <v>0</v>
      </c>
      <c r="I213" s="89">
        <f>VLOOKUP($E$7,BASEPOE3,2604,FALSE)</f>
        <v>0</v>
      </c>
      <c r="J213" s="89">
        <f>VLOOKUP($E$7,BASEPOE3,2605,FALSE)</f>
        <v>0</v>
      </c>
      <c r="K213" s="89">
        <f>VLOOKUP($E$7,BASEPOE3,2606,FALSE)</f>
        <v>0</v>
      </c>
      <c r="L213" s="89">
        <f>VLOOKUP($E$7,BASEPOE3,2607,FALSE)</f>
        <v>0</v>
      </c>
      <c r="M213" s="89">
        <f>VLOOKUP($E$7,BASEPOE3,2608,FALSE)</f>
        <v>0</v>
      </c>
      <c r="N213" s="89">
        <f>VLOOKUP($E$7,BASEPOE3,2609,FALSE)</f>
        <v>0</v>
      </c>
      <c r="O213" s="89">
        <f>VLOOKUP($E$7,BASEPOE3,2610,FALSE)</f>
        <v>0</v>
      </c>
      <c r="P213" s="89">
        <f>VLOOKUP($E$7,BASEPOE3,2611,FALSE)</f>
        <v>0</v>
      </c>
      <c r="Q213" s="89">
        <f>VLOOKUP($E$7,BASEPOE3,2612,FALSE)</f>
        <v>0</v>
      </c>
      <c r="R213" s="89">
        <f>VLOOKUP($E$7,BASEPOE3,2613,FALSE)</f>
        <v>0</v>
      </c>
      <c r="S213" s="89">
        <f>VLOOKUP($E$7,BASEPOE3,2614,FALSE)</f>
        <v>0</v>
      </c>
      <c r="T213" s="89">
        <f>VLOOKUP($E$7,BASEPOE3,2615,FALSE)</f>
        <v>0</v>
      </c>
      <c r="U213" s="89">
        <f>VLOOKUP($E$7,BASEPOE3,2616,FALSE)</f>
        <v>0</v>
      </c>
      <c r="V213" s="89">
        <f>VLOOKUP($E$7,BASEPOE3,2617,FALSE)</f>
        <v>0</v>
      </c>
      <c r="W213" s="89">
        <f>VLOOKUP($E$7,BASEPOE3,2618,FALSE)</f>
        <v>0</v>
      </c>
      <c r="X213" s="89">
        <f>VLOOKUP($E$7,BASEPOE3,2619,FALSE)</f>
        <v>0</v>
      </c>
      <c r="Y213" s="89">
        <f>VLOOKUP($E$7,BASEPOE3,2620,FALSE)</f>
        <v>0</v>
      </c>
      <c r="Z213" s="89">
        <f>VLOOKUP($E$7,BASEPOE3,2621,FALSE)</f>
        <v>0</v>
      </c>
      <c r="AA213" s="89">
        <f>VLOOKUP($E$7,BASEPOE3,2622,FALSE)</f>
        <v>0</v>
      </c>
      <c r="AB213" s="89">
        <f>VLOOKUP($E$7,BASEPOE3,2623,FALSE)</f>
        <v>0</v>
      </c>
      <c r="AC213" s="88">
        <f>VLOOKUP($E$7,BASEPOE3,2624,FALSE)</f>
        <v>0</v>
      </c>
      <c r="AD213" s="88">
        <f>VLOOKUP($E$7,BASEPOE3,2625,FALSE)</f>
        <v>0</v>
      </c>
      <c r="AE213" s="88">
        <f>VLOOKUP($E$7,BASEPOE3,2626,FALSE)</f>
        <v>0</v>
      </c>
      <c r="AF213" s="88">
        <f>VLOOKUP($E$7,BASEPOE3,2627,FALSE)</f>
        <v>0</v>
      </c>
      <c r="AG213" s="88">
        <f>VLOOKUP($E$7,BASEPOE3,2628,FALSE)</f>
        <v>0</v>
      </c>
      <c r="AH213" s="88">
        <f>VLOOKUP($E$7,BASEPOE3,2629,FALSE)</f>
        <v>0</v>
      </c>
      <c r="AI213" s="88">
        <f>VLOOKUP($E$7,BASEPOE3,2630,FALSE)</f>
        <v>0</v>
      </c>
      <c r="AJ213" s="88">
        <f>VLOOKUP($E$7,BASEPOE3,2631,FALSE)</f>
        <v>0</v>
      </c>
      <c r="AK213" s="88">
        <f>VLOOKUP($E$7,BASEPOE3,2632,FALSE)</f>
        <v>0</v>
      </c>
      <c r="AL213" s="88">
        <f>VLOOKUP($E$7,BASEPOE3,2633,FALSE)</f>
        <v>0</v>
      </c>
      <c r="AM213" s="88">
        <f>VLOOKUP($E$7,BASEPOE3,2634,FALSE)</f>
        <v>0</v>
      </c>
      <c r="AN213" s="88">
        <f>VLOOKUP($E$7,BASEPOE3,2635,FALSE)</f>
        <v>0</v>
      </c>
      <c r="AO213" s="88">
        <f>VLOOKUP($E$7,BASEPOE3,2636,FALSE)</f>
        <v>0</v>
      </c>
      <c r="AP213" s="88">
        <f>VLOOKUP($E$7,BASEPOE3,2637,FALSE)</f>
        <v>0</v>
      </c>
      <c r="AQ213" s="88">
        <f>VLOOKUP($E$7,BASEPOE3,2638,FALSE)</f>
        <v>0</v>
      </c>
      <c r="AR213" s="88">
        <f>VLOOKUP($E$7,BASEPOE3,2639,FALSE)</f>
        <v>0</v>
      </c>
      <c r="AS213" s="88">
        <f>VLOOKUP($E$7,BASEPOE3,2640,FALSE)</f>
        <v>0</v>
      </c>
      <c r="AT213" s="88">
        <f>VLOOKUP($E$7,BASEPOE3,2641,FALSE)</f>
        <v>0</v>
      </c>
    </row>
    <row r="214" spans="1:46" x14ac:dyDescent="0.3">
      <c r="A214" s="152"/>
      <c r="B214" s="34">
        <v>61</v>
      </c>
      <c r="C214" s="93">
        <f>VLOOKUP($E$7,BASEPOE3,2642,FALSE)</f>
        <v>0</v>
      </c>
      <c r="D214" s="90">
        <f>VLOOKUP($E$7,BASEPOE3,2643,FALSE)</f>
        <v>0</v>
      </c>
      <c r="E214" s="61">
        <f>VLOOKUP($E$7,BASEPOE3,2644,FALSE)</f>
        <v>0</v>
      </c>
      <c r="F214" s="90">
        <f>VLOOKUP($E$7,BASEPOE3,2645,FALSE)</f>
        <v>0</v>
      </c>
      <c r="G214" s="90">
        <f>VLOOKUP($E$7,BASEPOE3,2646,FALSE)</f>
        <v>0</v>
      </c>
      <c r="H214" s="91">
        <f>VLOOKUP($E$7,BASEPOE3,2647,FALSE)</f>
        <v>0</v>
      </c>
      <c r="I214" s="91">
        <f>VLOOKUP($E$7,BASEPOE3,2648,FALSE)</f>
        <v>0</v>
      </c>
      <c r="J214" s="91">
        <f>VLOOKUP($E$7,BASEPOE3,2649,FALSE)</f>
        <v>0</v>
      </c>
      <c r="K214" s="91">
        <f>VLOOKUP($E$7,BASEPOE3,2650,FALSE)</f>
        <v>0</v>
      </c>
      <c r="L214" s="91">
        <f>VLOOKUP($E$7,BASEPOE3,2651,FALSE)</f>
        <v>0</v>
      </c>
      <c r="M214" s="91">
        <f>VLOOKUP($E$7,BASEPOE3,2652,FALSE)</f>
        <v>0</v>
      </c>
      <c r="N214" s="91">
        <f>VLOOKUP($E$7,BASEPOE3,2653,FALSE)</f>
        <v>0</v>
      </c>
      <c r="O214" s="91">
        <f>VLOOKUP($E$7,BASEPOE3,2654,FALSE)</f>
        <v>0</v>
      </c>
      <c r="P214" s="91">
        <f>VLOOKUP($E$7,BASEPOE3,2655,FALSE)</f>
        <v>0</v>
      </c>
      <c r="Q214" s="91">
        <f>VLOOKUP($E$7,BASEPOE3,2656,FALSE)</f>
        <v>0</v>
      </c>
      <c r="R214" s="91">
        <f>VLOOKUP($E$7,BASEPOE3,2657,FALSE)</f>
        <v>0</v>
      </c>
      <c r="S214" s="91">
        <f>VLOOKUP($E$7,BASEPOE3,2658,FALSE)</f>
        <v>0</v>
      </c>
      <c r="T214" s="91">
        <f>VLOOKUP($E$7,BASEPOE3,2659,FALSE)</f>
        <v>0</v>
      </c>
      <c r="U214" s="91">
        <f>VLOOKUP($E$7,BASEPOE3,2660,FALSE)</f>
        <v>0</v>
      </c>
      <c r="V214" s="91">
        <f>VLOOKUP($E$7,BASEPOE3,2661,FALSE)</f>
        <v>0</v>
      </c>
      <c r="W214" s="91">
        <f>VLOOKUP($E$7,BASEPOE3,2662,FALSE)</f>
        <v>0</v>
      </c>
      <c r="X214" s="91">
        <f>VLOOKUP($E$7,BASEPOE3,2663,FALSE)</f>
        <v>0</v>
      </c>
      <c r="Y214" s="91">
        <f>VLOOKUP($E$7,BASEPOE3,2664,FALSE)</f>
        <v>0</v>
      </c>
      <c r="Z214" s="91">
        <f>VLOOKUP($E$7,BASEPOE3,2665,FALSE)</f>
        <v>0</v>
      </c>
      <c r="AA214" s="91">
        <f>VLOOKUP($E$7,BASEPOE3,2666,FALSE)</f>
        <v>0</v>
      </c>
      <c r="AB214" s="91">
        <f>VLOOKUP($E$7,BASEPOE3,2667,FALSE)</f>
        <v>0</v>
      </c>
      <c r="AC214" s="90">
        <f>VLOOKUP($E$7,BASEPOE3,2668,FALSE)</f>
        <v>0</v>
      </c>
      <c r="AD214" s="90">
        <f>VLOOKUP($E$7,BASEPOE3,2669,FALSE)</f>
        <v>0</v>
      </c>
      <c r="AE214" s="90">
        <f>VLOOKUP($E$7,BASEPOE3,2670,FALSE)</f>
        <v>0</v>
      </c>
      <c r="AF214" s="90">
        <f>VLOOKUP($E$7,BASEPOE3,2671,FALSE)</f>
        <v>0</v>
      </c>
      <c r="AG214" s="90">
        <f>VLOOKUP($E$7,BASEPOE3,2672,FALSE)</f>
        <v>0</v>
      </c>
      <c r="AH214" s="90">
        <f>VLOOKUP($E$7,BASEPOE3,2673,FALSE)</f>
        <v>0</v>
      </c>
      <c r="AI214" s="90">
        <f>VLOOKUP($E$7,BASEPOE3,2674,FALSE)</f>
        <v>0</v>
      </c>
      <c r="AJ214" s="90">
        <f>VLOOKUP($E$7,BASEPOE3,2675,FALSE)</f>
        <v>0</v>
      </c>
      <c r="AK214" s="90">
        <f>VLOOKUP($E$7,BASEPOE3,2676,FALSE)</f>
        <v>0</v>
      </c>
      <c r="AL214" s="90">
        <f>VLOOKUP($E$7,BASEPOE3,2677,FALSE)</f>
        <v>0</v>
      </c>
      <c r="AM214" s="90">
        <f>VLOOKUP($E$7,BASEPOE3,2678,FALSE)</f>
        <v>0</v>
      </c>
      <c r="AN214" s="90">
        <f>VLOOKUP($E$7,BASEPOE3,2679,FALSE)</f>
        <v>0</v>
      </c>
      <c r="AO214" s="90">
        <f>VLOOKUP($E$7,BASEPOE3,2680,FALSE)</f>
        <v>0</v>
      </c>
      <c r="AP214" s="90">
        <f>VLOOKUP($E$7,BASEPOE3,2681,FALSE)</f>
        <v>0</v>
      </c>
      <c r="AQ214" s="90">
        <f>VLOOKUP($E$7,BASEPOE3,2682,FALSE)</f>
        <v>0</v>
      </c>
      <c r="AR214" s="90">
        <f>VLOOKUP($E$7,BASEPOE3,2683,FALSE)</f>
        <v>0</v>
      </c>
      <c r="AS214" s="90">
        <f>VLOOKUP($E$7,BASEPOE3,2684,FALSE)</f>
        <v>0</v>
      </c>
      <c r="AT214" s="90">
        <f>VLOOKUP($E$7,BASEPOE3,2685,FALSE)</f>
        <v>0</v>
      </c>
    </row>
    <row r="215" spans="1:46" x14ac:dyDescent="0.3">
      <c r="A215" s="152"/>
      <c r="B215" s="60">
        <v>62</v>
      </c>
      <c r="C215" s="92">
        <f>VLOOKUP($E$7,BASEPOE3,2686,FALSE)</f>
        <v>0</v>
      </c>
      <c r="D215" s="88">
        <f>VLOOKUP($E$7,BASEPOE3,2687,FALSE)</f>
        <v>0</v>
      </c>
      <c r="E215" s="62">
        <f>VLOOKUP($E$7,BASEPOE3,2688,FALSE)</f>
        <v>0</v>
      </c>
      <c r="F215" s="88">
        <f>VLOOKUP($E$7,BASEPOE3,2689,FALSE)</f>
        <v>0</v>
      </c>
      <c r="G215" s="88">
        <f>VLOOKUP($E$7,BASEPOE3,2690,FALSE)</f>
        <v>0</v>
      </c>
      <c r="H215" s="89">
        <f>VLOOKUP($E$7,BASEPOE3,2691,FALSE)</f>
        <v>0</v>
      </c>
      <c r="I215" s="89">
        <f>VLOOKUP($E$7,BASEPOE3,2692,FALSE)</f>
        <v>0</v>
      </c>
      <c r="J215" s="89">
        <f>VLOOKUP($E$7,BASEPOE3,2693,FALSE)</f>
        <v>0</v>
      </c>
      <c r="K215" s="89">
        <f>VLOOKUP($E$7,BASEPOE3,2694,FALSE)</f>
        <v>0</v>
      </c>
      <c r="L215" s="89">
        <f>VLOOKUP($E$7,BASEPOE3,2695,FALSE)</f>
        <v>0</v>
      </c>
      <c r="M215" s="89">
        <f>VLOOKUP($E$7,BASEPOE3,2696,FALSE)</f>
        <v>0</v>
      </c>
      <c r="N215" s="89">
        <f>VLOOKUP($E$7,BASEPOE3,2697,FALSE)</f>
        <v>0</v>
      </c>
      <c r="O215" s="89">
        <f>VLOOKUP($E$7,BASEPOE3,2698,FALSE)</f>
        <v>0</v>
      </c>
      <c r="P215" s="89">
        <f>VLOOKUP($E$7,BASEPOE3,2699,FALSE)</f>
        <v>0</v>
      </c>
      <c r="Q215" s="89">
        <f>VLOOKUP($E$7,BASEPOE3,2700,FALSE)</f>
        <v>0</v>
      </c>
      <c r="R215" s="89">
        <f>VLOOKUP($E$7,BASEPOE3,2701,FALSE)</f>
        <v>0</v>
      </c>
      <c r="S215" s="89">
        <f>VLOOKUP($E$7,BASEPOE3,2702,FALSE)</f>
        <v>0</v>
      </c>
      <c r="T215" s="89">
        <f>VLOOKUP($E$7,BASEPOE3,2703,FALSE)</f>
        <v>0</v>
      </c>
      <c r="U215" s="89">
        <f>VLOOKUP($E$7,BASEPOE3,2704,FALSE)</f>
        <v>0</v>
      </c>
      <c r="V215" s="89">
        <f>VLOOKUP($E$7,BASEPOE3,2705,FALSE)</f>
        <v>0</v>
      </c>
      <c r="W215" s="89">
        <f>VLOOKUP($E$7,BASEPOE3,2706,FALSE)</f>
        <v>0</v>
      </c>
      <c r="X215" s="89">
        <f>VLOOKUP($E$7,BASEPOE3,2707,FALSE)</f>
        <v>0</v>
      </c>
      <c r="Y215" s="89">
        <f>VLOOKUP($E$7,BASEPOE3,2708,FALSE)</f>
        <v>0</v>
      </c>
      <c r="Z215" s="89">
        <f>VLOOKUP($E$7,BASEPOE3,2709,FALSE)</f>
        <v>0</v>
      </c>
      <c r="AA215" s="89">
        <f>VLOOKUP($E$7,BASEPOE3,2710,FALSE)</f>
        <v>0</v>
      </c>
      <c r="AB215" s="89">
        <f>VLOOKUP($E$7,BASEPOE3,2711,FALSE)</f>
        <v>0</v>
      </c>
      <c r="AC215" s="88">
        <f>VLOOKUP($E$7,BASEPOE3,2712,FALSE)</f>
        <v>0</v>
      </c>
      <c r="AD215" s="88">
        <f>VLOOKUP($E$7,BASEPOE3,2713,FALSE)</f>
        <v>0</v>
      </c>
      <c r="AE215" s="88">
        <f>VLOOKUP($E$7,BASEPOE3,2714,FALSE)</f>
        <v>0</v>
      </c>
      <c r="AF215" s="88">
        <f>VLOOKUP($E$7,BASEPOE3,2715,FALSE)</f>
        <v>0</v>
      </c>
      <c r="AG215" s="88">
        <f>VLOOKUP($E$7,BASEPOE3,2716,FALSE)</f>
        <v>0</v>
      </c>
      <c r="AH215" s="88">
        <f>VLOOKUP($E$7,BASEPOE3,2717,FALSE)</f>
        <v>0</v>
      </c>
      <c r="AI215" s="88">
        <f>VLOOKUP($E$7,BASEPOE3,2718,FALSE)</f>
        <v>0</v>
      </c>
      <c r="AJ215" s="88">
        <f>VLOOKUP($E$7,BASEPOE3,2719,FALSE)</f>
        <v>0</v>
      </c>
      <c r="AK215" s="88">
        <f>VLOOKUP($E$7,BASEPOE3,2720,FALSE)</f>
        <v>0</v>
      </c>
      <c r="AL215" s="88">
        <f>VLOOKUP($E$7,BASEPOE3,2721,FALSE)</f>
        <v>0</v>
      </c>
      <c r="AM215" s="88">
        <f>VLOOKUP($E$7,BASEPOE3,2722,FALSE)</f>
        <v>0</v>
      </c>
      <c r="AN215" s="88">
        <f>VLOOKUP($E$7,BASEPOE3,2723,FALSE)</f>
        <v>0</v>
      </c>
      <c r="AO215" s="88">
        <f>VLOOKUP($E$7,BASEPOE3,2724,FALSE)</f>
        <v>0</v>
      </c>
      <c r="AP215" s="88">
        <f>VLOOKUP($E$7,BASEPOE3,2725,FALSE)</f>
        <v>0</v>
      </c>
      <c r="AQ215" s="88">
        <f>VLOOKUP($E$7,BASEPOE3,2726,FALSE)</f>
        <v>0</v>
      </c>
      <c r="AR215" s="88">
        <f>VLOOKUP($E$7,BASEPOE3,2727,FALSE)</f>
        <v>0</v>
      </c>
      <c r="AS215" s="88">
        <f>VLOOKUP($E$7,BASEPOE3,2728,FALSE)</f>
        <v>0</v>
      </c>
      <c r="AT215" s="88">
        <f>VLOOKUP($E$7,BASEPOE3,2729,FALSE)</f>
        <v>0</v>
      </c>
    </row>
    <row r="216" spans="1:46" x14ac:dyDescent="0.3">
      <c r="A216" s="152"/>
      <c r="B216" s="34">
        <v>63</v>
      </c>
      <c r="C216" s="93">
        <f>VLOOKUP($E$7,BASEPOE3,2730,FALSE)</f>
        <v>0</v>
      </c>
      <c r="D216" s="90">
        <f>VLOOKUP($E$7,BASEPOE3,2731,FALSE)</f>
        <v>0</v>
      </c>
      <c r="E216" s="61">
        <f>VLOOKUP($E$7,BASEPOE3,2732,FALSE)</f>
        <v>0</v>
      </c>
      <c r="F216" s="90">
        <f>VLOOKUP($E$7,BASEPOE3,2733,FALSE)</f>
        <v>0</v>
      </c>
      <c r="G216" s="90">
        <f>VLOOKUP($E$7,BASEPOE3,2734,FALSE)</f>
        <v>0</v>
      </c>
      <c r="H216" s="91">
        <f>VLOOKUP($E$7,BASEPOE3,2735,FALSE)</f>
        <v>0</v>
      </c>
      <c r="I216" s="91">
        <f>VLOOKUP($E$7,BASEPOE3,2736,FALSE)</f>
        <v>0</v>
      </c>
      <c r="J216" s="91">
        <f>VLOOKUP($E$7,BASEPOE3,2737,FALSE)</f>
        <v>0</v>
      </c>
      <c r="K216" s="91">
        <f>VLOOKUP($E$7,BASEPOE3,2738,FALSE)</f>
        <v>0</v>
      </c>
      <c r="L216" s="91">
        <f>VLOOKUP($E$7,BASEPOE3,2739,FALSE)</f>
        <v>0</v>
      </c>
      <c r="M216" s="91">
        <f>VLOOKUP($E$7,BASEPOE3,2740,FALSE)</f>
        <v>0</v>
      </c>
      <c r="N216" s="91">
        <f>VLOOKUP($E$7,BASEPOE3,2741,FALSE)</f>
        <v>0</v>
      </c>
      <c r="O216" s="91">
        <f>VLOOKUP($E$7,BASEPOE3,2742,FALSE)</f>
        <v>0</v>
      </c>
      <c r="P216" s="91">
        <f>VLOOKUP($E$7,BASEPOE3,2743,FALSE)</f>
        <v>0</v>
      </c>
      <c r="Q216" s="91">
        <f>VLOOKUP($E$7,BASEPOE3,2744,FALSE)</f>
        <v>0</v>
      </c>
      <c r="R216" s="91">
        <f>VLOOKUP($E$7,BASEPOE3,2745,FALSE)</f>
        <v>0</v>
      </c>
      <c r="S216" s="91">
        <f>VLOOKUP($E$7,BASEPOE3,2746,FALSE)</f>
        <v>0</v>
      </c>
      <c r="T216" s="91">
        <f>VLOOKUP($E$7,BASEPOE3,2747,FALSE)</f>
        <v>0</v>
      </c>
      <c r="U216" s="91">
        <f>VLOOKUP($E$7,BASEPOE3,2748,FALSE)</f>
        <v>0</v>
      </c>
      <c r="V216" s="91">
        <f>VLOOKUP($E$7,BASEPOE3,2749,FALSE)</f>
        <v>0</v>
      </c>
      <c r="W216" s="91">
        <f>VLOOKUP($E$7,BASEPOE3,2750,FALSE)</f>
        <v>0</v>
      </c>
      <c r="X216" s="91">
        <f>VLOOKUP($E$7,BASEPOE3,2751,FALSE)</f>
        <v>0</v>
      </c>
      <c r="Y216" s="91">
        <f>VLOOKUP($E$7,BASEPOE3,2752,FALSE)</f>
        <v>0</v>
      </c>
      <c r="Z216" s="91">
        <f>VLOOKUP($E$7,BASEPOE3,2753,FALSE)</f>
        <v>0</v>
      </c>
      <c r="AA216" s="91">
        <f>VLOOKUP($E$7,BASEPOE3,2754,FALSE)</f>
        <v>0</v>
      </c>
      <c r="AB216" s="91">
        <f>VLOOKUP($E$7,BASEPOE3,2755,FALSE)</f>
        <v>0</v>
      </c>
      <c r="AC216" s="90">
        <f>VLOOKUP($E$7,BASEPOE3,2756,FALSE)</f>
        <v>0</v>
      </c>
      <c r="AD216" s="90">
        <f>VLOOKUP($E$7,BASEPOE3,2757,FALSE)</f>
        <v>0</v>
      </c>
      <c r="AE216" s="90">
        <f>VLOOKUP($E$7,BASEPOE3,2758,FALSE)</f>
        <v>0</v>
      </c>
      <c r="AF216" s="90">
        <f>VLOOKUP($E$7,BASEPOE3,2759,FALSE)</f>
        <v>0</v>
      </c>
      <c r="AG216" s="90">
        <f>VLOOKUP($E$7,BASEPOE3,2760,FALSE)</f>
        <v>0</v>
      </c>
      <c r="AH216" s="90">
        <f>VLOOKUP($E$7,BASEPOE3,2761,FALSE)</f>
        <v>0</v>
      </c>
      <c r="AI216" s="90">
        <f>VLOOKUP($E$7,BASEPOE3,2762,FALSE)</f>
        <v>0</v>
      </c>
      <c r="AJ216" s="90">
        <f>VLOOKUP($E$7,BASEPOE3,2763,FALSE)</f>
        <v>0</v>
      </c>
      <c r="AK216" s="90">
        <f>VLOOKUP($E$7,BASEPOE3,2764,FALSE)</f>
        <v>0</v>
      </c>
      <c r="AL216" s="90">
        <f>VLOOKUP($E$7,BASEPOE3,2765,FALSE)</f>
        <v>0</v>
      </c>
      <c r="AM216" s="90">
        <f>VLOOKUP($E$7,BASEPOE3,2766,FALSE)</f>
        <v>0</v>
      </c>
      <c r="AN216" s="90">
        <f>VLOOKUP($E$7,BASEPOE3,2767,FALSE)</f>
        <v>0</v>
      </c>
      <c r="AO216" s="90">
        <f>VLOOKUP($E$7,BASEPOE3,2768,FALSE)</f>
        <v>0</v>
      </c>
      <c r="AP216" s="90">
        <f>VLOOKUP($E$7,BASEPOE3,2769,FALSE)</f>
        <v>0</v>
      </c>
      <c r="AQ216" s="90">
        <f>VLOOKUP($E$7,BASEPOE3,2770,FALSE)</f>
        <v>0</v>
      </c>
      <c r="AR216" s="90">
        <f>VLOOKUP($E$7,BASEPOE3,2771,FALSE)</f>
        <v>0</v>
      </c>
      <c r="AS216" s="90">
        <f>VLOOKUP($E$7,BASEPOE3,2772,FALSE)</f>
        <v>0</v>
      </c>
      <c r="AT216" s="90">
        <f>VLOOKUP($E$7,BASEPOE3,2773,FALSE)</f>
        <v>0</v>
      </c>
    </row>
    <row r="217" spans="1:46" x14ac:dyDescent="0.3">
      <c r="A217" s="152"/>
      <c r="B217" s="60">
        <v>64</v>
      </c>
      <c r="C217" s="92">
        <f>VLOOKUP($E$7,BASEPOE3,2774,FALSE)</f>
        <v>0</v>
      </c>
      <c r="D217" s="88">
        <f>VLOOKUP($E$7,BASEPOE3,2775,FALSE)</f>
        <v>0</v>
      </c>
      <c r="E217" s="62">
        <f>VLOOKUP($E$7,BASEPOE3,2776,FALSE)</f>
        <v>0</v>
      </c>
      <c r="F217" s="88">
        <f>VLOOKUP($E$7,BASEPOE3,2777,FALSE)</f>
        <v>0</v>
      </c>
      <c r="G217" s="88">
        <f>VLOOKUP($E$7,BASEPOE3,2778,FALSE)</f>
        <v>0</v>
      </c>
      <c r="H217" s="89">
        <f>VLOOKUP($E$7,BASEPOE3,2779,FALSE)</f>
        <v>0</v>
      </c>
      <c r="I217" s="89">
        <f>VLOOKUP($E$7,BASEPOE3,2780,FALSE)</f>
        <v>0</v>
      </c>
      <c r="J217" s="89">
        <f>VLOOKUP($E$7,BASEPOE3,2781,FALSE)</f>
        <v>0</v>
      </c>
      <c r="K217" s="89">
        <f>VLOOKUP($E$7,BASEPOE3,2782,FALSE)</f>
        <v>0</v>
      </c>
      <c r="L217" s="89">
        <f>VLOOKUP($E$7,BASEPOE3,2783,FALSE)</f>
        <v>0</v>
      </c>
      <c r="M217" s="89">
        <f>VLOOKUP($E$7,BASEPOE3,2784,FALSE)</f>
        <v>0</v>
      </c>
      <c r="N217" s="89">
        <f>VLOOKUP($E$7,BASEPOE3,2785,FALSE)</f>
        <v>0</v>
      </c>
      <c r="O217" s="89">
        <f>VLOOKUP($E$7,BASEPOE3,2786,FALSE)</f>
        <v>0</v>
      </c>
      <c r="P217" s="89">
        <f>VLOOKUP($E$7,BASEPOE3,2787,FALSE)</f>
        <v>0</v>
      </c>
      <c r="Q217" s="89">
        <f>VLOOKUP($E$7,BASEPOE3,2788,FALSE)</f>
        <v>0</v>
      </c>
      <c r="R217" s="89">
        <f>VLOOKUP($E$7,BASEPOE3,2789,FALSE)</f>
        <v>0</v>
      </c>
      <c r="S217" s="89">
        <f>VLOOKUP($E$7,BASEPOE3,2790,FALSE)</f>
        <v>0</v>
      </c>
      <c r="T217" s="89">
        <f>VLOOKUP($E$7,BASEPOE3,2791,FALSE)</f>
        <v>0</v>
      </c>
      <c r="U217" s="89">
        <f>VLOOKUP($E$7,BASEPOE3,2792,FALSE)</f>
        <v>0</v>
      </c>
      <c r="V217" s="89">
        <f>VLOOKUP($E$7,BASEPOE3,2793,FALSE)</f>
        <v>0</v>
      </c>
      <c r="W217" s="89">
        <f>VLOOKUP($E$7,BASEPOE3,2794,FALSE)</f>
        <v>0</v>
      </c>
      <c r="X217" s="89">
        <f>VLOOKUP($E$7,BASEPOE3,2795,FALSE)</f>
        <v>0</v>
      </c>
      <c r="Y217" s="89">
        <f>VLOOKUP($E$7,BASEPOE3,2796,FALSE)</f>
        <v>0</v>
      </c>
      <c r="Z217" s="89">
        <f>VLOOKUP($E$7,BASEPOE3,2797,FALSE)</f>
        <v>0</v>
      </c>
      <c r="AA217" s="89">
        <f>VLOOKUP($E$7,BASEPOE3,2798,FALSE)</f>
        <v>0</v>
      </c>
      <c r="AB217" s="89">
        <f>VLOOKUP($E$7,BASEPOE3,2799,FALSE)</f>
        <v>0</v>
      </c>
      <c r="AC217" s="88">
        <f>VLOOKUP($E$7,BASEPOE3,2800,FALSE)</f>
        <v>0</v>
      </c>
      <c r="AD217" s="88">
        <f>VLOOKUP($E$7,BASEPOE3,2801,FALSE)</f>
        <v>0</v>
      </c>
      <c r="AE217" s="88">
        <f>VLOOKUP($E$7,BASEPOE3,2802,FALSE)</f>
        <v>0</v>
      </c>
      <c r="AF217" s="88">
        <f>VLOOKUP($E$7,BASEPOE3,2803,FALSE)</f>
        <v>0</v>
      </c>
      <c r="AG217" s="88">
        <f>VLOOKUP($E$7,BASEPOE3,2804,FALSE)</f>
        <v>0</v>
      </c>
      <c r="AH217" s="88">
        <f>VLOOKUP($E$7,BASEPOE3,2805,FALSE)</f>
        <v>0</v>
      </c>
      <c r="AI217" s="88">
        <f>VLOOKUP($E$7,BASEPOE3,2806,FALSE)</f>
        <v>0</v>
      </c>
      <c r="AJ217" s="88">
        <f>VLOOKUP($E$7,BASEPOE3,2807,FALSE)</f>
        <v>0</v>
      </c>
      <c r="AK217" s="88">
        <f>VLOOKUP($E$7,BASEPOE3,2808,FALSE)</f>
        <v>0</v>
      </c>
      <c r="AL217" s="88">
        <f>VLOOKUP($E$7,BASEPOE3,2809,FALSE)</f>
        <v>0</v>
      </c>
      <c r="AM217" s="88">
        <f>VLOOKUP($E$7,BASEPOE3,2810,FALSE)</f>
        <v>0</v>
      </c>
      <c r="AN217" s="88">
        <f>VLOOKUP($E$7,BASEPOE3,2811,FALSE)</f>
        <v>0</v>
      </c>
      <c r="AO217" s="88">
        <f>VLOOKUP($E$7,BASEPOE3,2812,FALSE)</f>
        <v>0</v>
      </c>
      <c r="AP217" s="88">
        <f>VLOOKUP($E$7,BASEPOE3,2813,FALSE)</f>
        <v>0</v>
      </c>
      <c r="AQ217" s="88">
        <f>VLOOKUP($E$7,BASEPOE3,2814,FALSE)</f>
        <v>0</v>
      </c>
      <c r="AR217" s="88">
        <f>VLOOKUP($E$7,BASEPOE3,2815,FALSE)</f>
        <v>0</v>
      </c>
      <c r="AS217" s="88">
        <f>VLOOKUP($E$7,BASEPOE3,2816,FALSE)</f>
        <v>0</v>
      </c>
      <c r="AT217" s="88">
        <f>VLOOKUP($E$7,BASEPOE3,2817,FALSE)</f>
        <v>0</v>
      </c>
    </row>
    <row r="218" spans="1:46" x14ac:dyDescent="0.3">
      <c r="A218" s="152"/>
      <c r="B218" s="34">
        <v>65</v>
      </c>
      <c r="C218" s="93">
        <f>VLOOKUP($E$7,BASEPOE3,2818,FALSE)</f>
        <v>0</v>
      </c>
      <c r="D218" s="90">
        <f>VLOOKUP($E$7,BASEPOE3,2819,FALSE)</f>
        <v>0</v>
      </c>
      <c r="E218" s="61">
        <f>VLOOKUP($E$7,BASEPOE3,2820,FALSE)</f>
        <v>0</v>
      </c>
      <c r="F218" s="90">
        <f>VLOOKUP($E$7,BASEPOE3,2821,FALSE)</f>
        <v>0</v>
      </c>
      <c r="G218" s="90">
        <f>VLOOKUP($E$7,BASEPOE3,2822,FALSE)</f>
        <v>0</v>
      </c>
      <c r="H218" s="91">
        <f>VLOOKUP($E$7,BASEPOE3,2823,FALSE)</f>
        <v>0</v>
      </c>
      <c r="I218" s="91">
        <f>VLOOKUP($E$7,BASEPOE3,2824,FALSE)</f>
        <v>0</v>
      </c>
      <c r="J218" s="91">
        <f>VLOOKUP($E$7,BASEPOE3,2825,FALSE)</f>
        <v>0</v>
      </c>
      <c r="K218" s="91">
        <f>VLOOKUP($E$7,BASEPOE3,2826,FALSE)</f>
        <v>0</v>
      </c>
      <c r="L218" s="91">
        <f>VLOOKUP($E$7,BASEPOE3,2827,FALSE)</f>
        <v>0</v>
      </c>
      <c r="M218" s="91">
        <f>VLOOKUP($E$7,BASEPOE3,2828,FALSE)</f>
        <v>0</v>
      </c>
      <c r="N218" s="91">
        <f>VLOOKUP($E$7,BASEPOE3,2829,FALSE)</f>
        <v>0</v>
      </c>
      <c r="O218" s="91">
        <f>VLOOKUP($E$7,BASEPOE3,2830,FALSE)</f>
        <v>0</v>
      </c>
      <c r="P218" s="91">
        <f>VLOOKUP($E$7,BASEPOE3,2831,FALSE)</f>
        <v>0</v>
      </c>
      <c r="Q218" s="91">
        <f>VLOOKUP($E$7,BASEPOE3,2832,FALSE)</f>
        <v>0</v>
      </c>
      <c r="R218" s="91">
        <f>VLOOKUP($E$7,BASEPOE3,2833,FALSE)</f>
        <v>0</v>
      </c>
      <c r="S218" s="91">
        <f>VLOOKUP($E$7,BASEPOE3,2834,FALSE)</f>
        <v>0</v>
      </c>
      <c r="T218" s="91">
        <f>VLOOKUP($E$7,BASEPOE3,2835,FALSE)</f>
        <v>0</v>
      </c>
      <c r="U218" s="91">
        <f>VLOOKUP($E$7,BASEPOE3,2836,FALSE)</f>
        <v>0</v>
      </c>
      <c r="V218" s="91">
        <f>VLOOKUP($E$7,BASEPOE3,2837,FALSE)</f>
        <v>0</v>
      </c>
      <c r="W218" s="91">
        <f>VLOOKUP($E$7,BASEPOE3,2838,FALSE)</f>
        <v>0</v>
      </c>
      <c r="X218" s="91">
        <f>VLOOKUP($E$7,BASEPOE3,2839,FALSE)</f>
        <v>0</v>
      </c>
      <c r="Y218" s="91">
        <f>VLOOKUP($E$7,BASEPOE3,2840,FALSE)</f>
        <v>0</v>
      </c>
      <c r="Z218" s="91">
        <f>VLOOKUP($E$7,BASEPOE3,2841,FALSE)</f>
        <v>0</v>
      </c>
      <c r="AA218" s="91">
        <f>VLOOKUP($E$7,BASEPOE3,2842,FALSE)</f>
        <v>0</v>
      </c>
      <c r="AB218" s="91">
        <f>VLOOKUP($E$7,BASEPOE3,2843,FALSE)</f>
        <v>0</v>
      </c>
      <c r="AC218" s="90">
        <f>VLOOKUP($E$7,BASEPOE3,2844,FALSE)</f>
        <v>0</v>
      </c>
      <c r="AD218" s="90">
        <f>VLOOKUP($E$7,BASEPOE3,2845,FALSE)</f>
        <v>0</v>
      </c>
      <c r="AE218" s="90">
        <f>VLOOKUP($E$7,BASEPOE3,2846,FALSE)</f>
        <v>0</v>
      </c>
      <c r="AF218" s="90">
        <f>VLOOKUP($E$7,BASEPOE3,2847,FALSE)</f>
        <v>0</v>
      </c>
      <c r="AG218" s="90">
        <f>VLOOKUP($E$7,BASEPOE3,2848,FALSE)</f>
        <v>0</v>
      </c>
      <c r="AH218" s="90">
        <f>VLOOKUP($E$7,BASEPOE3,2849,FALSE)</f>
        <v>0</v>
      </c>
      <c r="AI218" s="90">
        <f>VLOOKUP($E$7,BASEPOE3,2850,FALSE)</f>
        <v>0</v>
      </c>
      <c r="AJ218" s="90">
        <f>VLOOKUP($E$7,BASEPOE3,2851,FALSE)</f>
        <v>0</v>
      </c>
      <c r="AK218" s="90">
        <f>VLOOKUP($E$7,BASEPOE3,2852,FALSE)</f>
        <v>0</v>
      </c>
      <c r="AL218" s="90">
        <f>VLOOKUP($E$7,BASEPOE3,2853,FALSE)</f>
        <v>0</v>
      </c>
      <c r="AM218" s="90">
        <f>VLOOKUP($E$7,BASEPOE3,2854,FALSE)</f>
        <v>0</v>
      </c>
      <c r="AN218" s="90">
        <f>VLOOKUP($E$7,BASEPOE3,2855,FALSE)</f>
        <v>0</v>
      </c>
      <c r="AO218" s="90">
        <f>VLOOKUP($E$7,BASEPOE3,2856,FALSE)</f>
        <v>0</v>
      </c>
      <c r="AP218" s="90">
        <f>VLOOKUP($E$7,BASEPOE3,2857,FALSE)</f>
        <v>0</v>
      </c>
      <c r="AQ218" s="90">
        <f>VLOOKUP($E$7,BASEPOE3,2858,FALSE)</f>
        <v>0</v>
      </c>
      <c r="AR218" s="90">
        <f>VLOOKUP($E$7,BASEPOE3,2859,FALSE)</f>
        <v>0</v>
      </c>
      <c r="AS218" s="90">
        <f>VLOOKUP($E$7,BASEPOE3,2860,FALSE)</f>
        <v>0</v>
      </c>
      <c r="AT218" s="90">
        <f>VLOOKUP($E$7,BASEPOE3,2861,FALSE)</f>
        <v>0</v>
      </c>
    </row>
    <row r="219" spans="1:46" x14ac:dyDescent="0.3">
      <c r="A219" s="152"/>
      <c r="B219" s="60">
        <v>66</v>
      </c>
      <c r="C219" s="92">
        <f>VLOOKUP($E$7,BASEPOE3,2862,FALSE)</f>
        <v>0</v>
      </c>
      <c r="D219" s="88">
        <f>VLOOKUP($E$7,BASEPOE3,2863,FALSE)</f>
        <v>0</v>
      </c>
      <c r="E219" s="62">
        <f>VLOOKUP($E$7,BASEPOE3,2864,FALSE)</f>
        <v>0</v>
      </c>
      <c r="F219" s="88">
        <f>VLOOKUP($E$7,BASEPOE3,2865,FALSE)</f>
        <v>0</v>
      </c>
      <c r="G219" s="88">
        <f>VLOOKUP($E$7,BASEPOE3,2866,FALSE)</f>
        <v>0</v>
      </c>
      <c r="H219" s="89">
        <f>VLOOKUP($E$7,BASEPOE3,2867,FALSE)</f>
        <v>0</v>
      </c>
      <c r="I219" s="89">
        <f>VLOOKUP($E$7,BASEPOE3,2868,FALSE)</f>
        <v>0</v>
      </c>
      <c r="J219" s="89">
        <f>VLOOKUP($E$7,BASEPOE3,2869,FALSE)</f>
        <v>0</v>
      </c>
      <c r="K219" s="89">
        <f>VLOOKUP($E$7,BASEPOE3,2870,FALSE)</f>
        <v>0</v>
      </c>
      <c r="L219" s="89">
        <f>VLOOKUP($E$7,BASEPOE3,2871,FALSE)</f>
        <v>0</v>
      </c>
      <c r="M219" s="89">
        <f>VLOOKUP($E$7,BASEPOE3,2872,FALSE)</f>
        <v>0</v>
      </c>
      <c r="N219" s="89">
        <f>VLOOKUP($E$7,BASEPOE3,2873,FALSE)</f>
        <v>0</v>
      </c>
      <c r="O219" s="89">
        <f>VLOOKUP($E$7,BASEPOE3,2874,FALSE)</f>
        <v>0</v>
      </c>
      <c r="P219" s="89">
        <f>VLOOKUP($E$7,BASEPOE3,2875,FALSE)</f>
        <v>0</v>
      </c>
      <c r="Q219" s="89">
        <f>VLOOKUP($E$7,BASEPOE3,2876,FALSE)</f>
        <v>0</v>
      </c>
      <c r="R219" s="89">
        <f>VLOOKUP($E$7,BASEPOE3,2877,FALSE)</f>
        <v>0</v>
      </c>
      <c r="S219" s="89">
        <f>VLOOKUP($E$7,BASEPOE3,2878,FALSE)</f>
        <v>0</v>
      </c>
      <c r="T219" s="89">
        <f>VLOOKUP($E$7,BASEPOE3,2879,FALSE)</f>
        <v>0</v>
      </c>
      <c r="U219" s="89">
        <f>VLOOKUP($E$7,BASEPOE3,2880,FALSE)</f>
        <v>0</v>
      </c>
      <c r="V219" s="89">
        <f>VLOOKUP($E$7,BASEPOE3,2881,FALSE)</f>
        <v>0</v>
      </c>
      <c r="W219" s="89">
        <f>VLOOKUP($E$7,BASEPOE3,2882,FALSE)</f>
        <v>0</v>
      </c>
      <c r="X219" s="89">
        <f>VLOOKUP($E$7,BASEPOE3,2883,FALSE)</f>
        <v>0</v>
      </c>
      <c r="Y219" s="89">
        <f>VLOOKUP($E$7,BASEPOE3,2884,FALSE)</f>
        <v>0</v>
      </c>
      <c r="Z219" s="89">
        <f>VLOOKUP($E$7,BASEPOE3,2885,FALSE)</f>
        <v>0</v>
      </c>
      <c r="AA219" s="89">
        <f>VLOOKUP($E$7,BASEPOE3,2886,FALSE)</f>
        <v>0</v>
      </c>
      <c r="AB219" s="89">
        <f>VLOOKUP($E$7,BASEPOE3,2887,FALSE)</f>
        <v>0</v>
      </c>
      <c r="AC219" s="88">
        <f>VLOOKUP($E$7,BASEPOE3,2888,FALSE)</f>
        <v>0</v>
      </c>
      <c r="AD219" s="88">
        <f>VLOOKUP($E$7,BASEPOE3,2889,FALSE)</f>
        <v>0</v>
      </c>
      <c r="AE219" s="88">
        <f>VLOOKUP($E$7,BASEPOE3,2890,FALSE)</f>
        <v>0</v>
      </c>
      <c r="AF219" s="88">
        <f>VLOOKUP($E$7,BASEPOE3,2891,FALSE)</f>
        <v>0</v>
      </c>
      <c r="AG219" s="88">
        <f>VLOOKUP($E$7,BASEPOE3,2892,FALSE)</f>
        <v>0</v>
      </c>
      <c r="AH219" s="88">
        <f>VLOOKUP($E$7,BASEPOE3,2893,FALSE)</f>
        <v>0</v>
      </c>
      <c r="AI219" s="88">
        <f>VLOOKUP($E$7,BASEPOE3,2894,FALSE)</f>
        <v>0</v>
      </c>
      <c r="AJ219" s="88">
        <f>VLOOKUP($E$7,BASEPOE3,2895,FALSE)</f>
        <v>0</v>
      </c>
      <c r="AK219" s="88">
        <f>VLOOKUP($E$7,BASEPOE3,2896,FALSE)</f>
        <v>0</v>
      </c>
      <c r="AL219" s="88">
        <f>VLOOKUP($E$7,BASEPOE3,2897,FALSE)</f>
        <v>0</v>
      </c>
      <c r="AM219" s="88">
        <f>VLOOKUP($E$7,BASEPOE3,2898,FALSE)</f>
        <v>0</v>
      </c>
      <c r="AN219" s="88">
        <f>VLOOKUP($E$7,BASEPOE3,2899,FALSE)</f>
        <v>0</v>
      </c>
      <c r="AO219" s="88">
        <f>VLOOKUP($E$7,BASEPOE3,2900,FALSE)</f>
        <v>0</v>
      </c>
      <c r="AP219" s="88">
        <f>VLOOKUP($E$7,BASEPOE3,2901,FALSE)</f>
        <v>0</v>
      </c>
      <c r="AQ219" s="88">
        <f>VLOOKUP($E$7,BASEPOE3,2902,FALSE)</f>
        <v>0</v>
      </c>
      <c r="AR219" s="88">
        <f>VLOOKUP($E$7,BASEPOE3,2903,FALSE)</f>
        <v>0</v>
      </c>
      <c r="AS219" s="88">
        <f>VLOOKUP($E$7,BASEPOE3,2904,FALSE)</f>
        <v>0</v>
      </c>
      <c r="AT219" s="88">
        <f>VLOOKUP($E$7,BASEPOE3,2905,FALSE)</f>
        <v>0</v>
      </c>
    </row>
    <row r="220" spans="1:46" x14ac:dyDescent="0.3">
      <c r="A220" s="152"/>
      <c r="B220" s="34">
        <v>67</v>
      </c>
      <c r="C220" s="93">
        <f>VLOOKUP($E$7,BASEPOE3,2906,FALSE)</f>
        <v>0</v>
      </c>
      <c r="D220" s="90">
        <f>VLOOKUP($E$7,BASEPOE3,2907,FALSE)</f>
        <v>0</v>
      </c>
      <c r="E220" s="61">
        <f>VLOOKUP($E$7,BASEPOE3,2908,FALSE)</f>
        <v>0</v>
      </c>
      <c r="F220" s="90">
        <f>VLOOKUP($E$7,BASEPOE3,2909,FALSE)</f>
        <v>0</v>
      </c>
      <c r="G220" s="90">
        <f>VLOOKUP($E$7,BASEPOE3,2910,FALSE)</f>
        <v>0</v>
      </c>
      <c r="H220" s="91">
        <f>VLOOKUP($E$7,BASEPOE3,2911,FALSE)</f>
        <v>0</v>
      </c>
      <c r="I220" s="91">
        <f>VLOOKUP($E$7,BASEPOE3,2912,FALSE)</f>
        <v>0</v>
      </c>
      <c r="J220" s="91">
        <f>VLOOKUP($E$7,BASEPOE3,2913,FALSE)</f>
        <v>0</v>
      </c>
      <c r="K220" s="91">
        <f>VLOOKUP($E$7,BASEPOE3,2914,FALSE)</f>
        <v>0</v>
      </c>
      <c r="L220" s="91">
        <f>VLOOKUP($E$7,BASEPOE3,2915,FALSE)</f>
        <v>0</v>
      </c>
      <c r="M220" s="91">
        <f>VLOOKUP($E$7,BASEPOE3,2916,FALSE)</f>
        <v>0</v>
      </c>
      <c r="N220" s="91">
        <f>VLOOKUP($E$7,BASEPOE3,2917,FALSE)</f>
        <v>0</v>
      </c>
      <c r="O220" s="91">
        <f>VLOOKUP($E$7,BASEPOE3,2918,FALSE)</f>
        <v>0</v>
      </c>
      <c r="P220" s="91">
        <f>VLOOKUP($E$7,BASEPOE3,2919,FALSE)</f>
        <v>0</v>
      </c>
      <c r="Q220" s="91">
        <f>VLOOKUP($E$7,BASEPOE3,2920,FALSE)</f>
        <v>0</v>
      </c>
      <c r="R220" s="91">
        <f>VLOOKUP($E$7,BASEPOE3,2921,FALSE)</f>
        <v>0</v>
      </c>
      <c r="S220" s="91">
        <f>VLOOKUP($E$7,BASEPOE3,2922,FALSE)</f>
        <v>0</v>
      </c>
      <c r="T220" s="91">
        <f>VLOOKUP($E$7,BASEPOE3,2923,FALSE)</f>
        <v>0</v>
      </c>
      <c r="U220" s="91">
        <f>VLOOKUP($E$7,BASEPOE3,2924,FALSE)</f>
        <v>0</v>
      </c>
      <c r="V220" s="91">
        <f>VLOOKUP($E$7,BASEPOE3,2925,FALSE)</f>
        <v>0</v>
      </c>
      <c r="W220" s="91">
        <f>VLOOKUP($E$7,BASEPOE3,2926,FALSE)</f>
        <v>0</v>
      </c>
      <c r="X220" s="91">
        <f>VLOOKUP($E$7,BASEPOE3,2927,FALSE)</f>
        <v>0</v>
      </c>
      <c r="Y220" s="91">
        <f>VLOOKUP($E$7,BASEPOE3,2928,FALSE)</f>
        <v>0</v>
      </c>
      <c r="Z220" s="91">
        <f>VLOOKUP($E$7,BASEPOE3,2929,FALSE)</f>
        <v>0</v>
      </c>
      <c r="AA220" s="91">
        <f>VLOOKUP($E$7,BASEPOE3,2930,FALSE)</f>
        <v>0</v>
      </c>
      <c r="AB220" s="91">
        <f>VLOOKUP($E$7,BASEPOE3,2931,FALSE)</f>
        <v>0</v>
      </c>
      <c r="AC220" s="90">
        <f>VLOOKUP($E$7,BASEPOE3,2932,FALSE)</f>
        <v>0</v>
      </c>
      <c r="AD220" s="90">
        <f>VLOOKUP($E$7,BASEPOE3,2933,FALSE)</f>
        <v>0</v>
      </c>
      <c r="AE220" s="90">
        <f>VLOOKUP($E$7,BASEPOE3,2934,FALSE)</f>
        <v>0</v>
      </c>
      <c r="AF220" s="90">
        <f>VLOOKUP($E$7,BASEPOE3,2935,FALSE)</f>
        <v>0</v>
      </c>
      <c r="AG220" s="90">
        <f>VLOOKUP($E$7,BASEPOE3,2936,FALSE)</f>
        <v>0</v>
      </c>
      <c r="AH220" s="90">
        <f>VLOOKUP($E$7,BASEPOE3,2937,FALSE)</f>
        <v>0</v>
      </c>
      <c r="AI220" s="90">
        <f>VLOOKUP($E$7,BASEPOE3,2938,FALSE)</f>
        <v>0</v>
      </c>
      <c r="AJ220" s="90">
        <f>VLOOKUP($E$7,BASEPOE3,2939,FALSE)</f>
        <v>0</v>
      </c>
      <c r="AK220" s="90">
        <f>VLOOKUP($E$7,BASEPOE3,2940,FALSE)</f>
        <v>0</v>
      </c>
      <c r="AL220" s="90">
        <f>VLOOKUP($E$7,BASEPOE3,2941,FALSE)</f>
        <v>0</v>
      </c>
      <c r="AM220" s="90">
        <f>VLOOKUP($E$7,BASEPOE3,2942,FALSE)</f>
        <v>0</v>
      </c>
      <c r="AN220" s="90">
        <f>VLOOKUP($E$7,BASEPOE3,2943,FALSE)</f>
        <v>0</v>
      </c>
      <c r="AO220" s="90">
        <f>VLOOKUP($E$7,BASEPOE3,2944,FALSE)</f>
        <v>0</v>
      </c>
      <c r="AP220" s="90">
        <f>VLOOKUP($E$7,BASEPOE3,2945,FALSE)</f>
        <v>0</v>
      </c>
      <c r="AQ220" s="90">
        <f>VLOOKUP($E$7,BASEPOE3,2946,FALSE)</f>
        <v>0</v>
      </c>
      <c r="AR220" s="90">
        <f>VLOOKUP($E$7,BASEPOE3,2947,FALSE)</f>
        <v>0</v>
      </c>
      <c r="AS220" s="90">
        <f>VLOOKUP($E$7,BASEPOE3,2948,FALSE)</f>
        <v>0</v>
      </c>
      <c r="AT220" s="90">
        <f>VLOOKUP($E$7,BASEPOE3,2949,FALSE)</f>
        <v>0</v>
      </c>
    </row>
    <row r="221" spans="1:46" x14ac:dyDescent="0.3">
      <c r="A221" s="152"/>
      <c r="B221" s="60">
        <v>68</v>
      </c>
      <c r="C221" s="92">
        <f>VLOOKUP($E$7,BASEPOE3,2950,FALSE)</f>
        <v>0</v>
      </c>
      <c r="D221" s="88">
        <f>VLOOKUP($E$7,BASEPOE3,2951,FALSE)</f>
        <v>0</v>
      </c>
      <c r="E221" s="62">
        <f>VLOOKUP($E$7,BASEPOE3,2952,FALSE)</f>
        <v>0</v>
      </c>
      <c r="F221" s="88">
        <f>VLOOKUP($E$7,BASEPOE3,2953,FALSE)</f>
        <v>0</v>
      </c>
      <c r="G221" s="88">
        <f>VLOOKUP($E$7,BASEPOE3,2954,FALSE)</f>
        <v>0</v>
      </c>
      <c r="H221" s="89">
        <f>VLOOKUP($E$7,BASEPOE3,2955,FALSE)</f>
        <v>0</v>
      </c>
      <c r="I221" s="89">
        <f>VLOOKUP($E$7,BASEPOE3,2956,FALSE)</f>
        <v>0</v>
      </c>
      <c r="J221" s="89">
        <f>VLOOKUP($E$7,BASEPOE3,2957,FALSE)</f>
        <v>0</v>
      </c>
      <c r="K221" s="89">
        <f>VLOOKUP($E$7,BASEPOE3,2958,FALSE)</f>
        <v>0</v>
      </c>
      <c r="L221" s="89">
        <f>VLOOKUP($E$7,BASEPOE3,2959,FALSE)</f>
        <v>0</v>
      </c>
      <c r="M221" s="89">
        <f>VLOOKUP($E$7,BASEPOE3,2960,FALSE)</f>
        <v>0</v>
      </c>
      <c r="N221" s="89">
        <f>VLOOKUP($E$7,BASEPOE3,2961,FALSE)</f>
        <v>0</v>
      </c>
      <c r="O221" s="89">
        <f>VLOOKUP($E$7,BASEPOE3,2962,FALSE)</f>
        <v>0</v>
      </c>
      <c r="P221" s="89">
        <f>VLOOKUP($E$7,BASEPOE3,2963,FALSE)</f>
        <v>0</v>
      </c>
      <c r="Q221" s="89">
        <f>VLOOKUP($E$7,BASEPOE3,2964,FALSE)</f>
        <v>0</v>
      </c>
      <c r="R221" s="89">
        <f>VLOOKUP($E$7,BASEPOE3,2965,FALSE)</f>
        <v>0</v>
      </c>
      <c r="S221" s="89">
        <f>VLOOKUP($E$7,BASEPOE3,2966,FALSE)</f>
        <v>0</v>
      </c>
      <c r="T221" s="89">
        <f>VLOOKUP($E$7,BASEPOE3,2967,FALSE)</f>
        <v>0</v>
      </c>
      <c r="U221" s="89">
        <f>VLOOKUP($E$7,BASEPOE3,2968,FALSE)</f>
        <v>0</v>
      </c>
      <c r="V221" s="89">
        <f>VLOOKUP($E$7,BASEPOE3,2969,FALSE)</f>
        <v>0</v>
      </c>
      <c r="W221" s="89">
        <f>VLOOKUP($E$7,BASEPOE3,2970,FALSE)</f>
        <v>0</v>
      </c>
      <c r="X221" s="89">
        <f>VLOOKUP($E$7,BASEPOE3,2971,FALSE)</f>
        <v>0</v>
      </c>
      <c r="Y221" s="89">
        <f>VLOOKUP($E$7,BASEPOE3,2972,FALSE)</f>
        <v>0</v>
      </c>
      <c r="Z221" s="89">
        <f>VLOOKUP($E$7,BASEPOE3,2973,FALSE)</f>
        <v>0</v>
      </c>
      <c r="AA221" s="89">
        <f>VLOOKUP($E$7,BASEPOE3,2974,FALSE)</f>
        <v>0</v>
      </c>
      <c r="AB221" s="89">
        <f>VLOOKUP($E$7,BASEPOE3,2975,FALSE)</f>
        <v>0</v>
      </c>
      <c r="AC221" s="88">
        <f>VLOOKUP($E$7,BASEPOE3,2976,FALSE)</f>
        <v>0</v>
      </c>
      <c r="AD221" s="88">
        <f>VLOOKUP($E$7,BASEPOE3,2977,FALSE)</f>
        <v>0</v>
      </c>
      <c r="AE221" s="88">
        <f>VLOOKUP($E$7,BASEPOE3,2978,FALSE)</f>
        <v>0</v>
      </c>
      <c r="AF221" s="88">
        <f>VLOOKUP($E$7,BASEPOE3,2979,FALSE)</f>
        <v>0</v>
      </c>
      <c r="AG221" s="88">
        <f>VLOOKUP($E$7,BASEPOE3,2980,FALSE)</f>
        <v>0</v>
      </c>
      <c r="AH221" s="88">
        <f>VLOOKUP($E$7,BASEPOE3,2981,FALSE)</f>
        <v>0</v>
      </c>
      <c r="AI221" s="88">
        <f>VLOOKUP($E$7,BASEPOE3,2982,FALSE)</f>
        <v>0</v>
      </c>
      <c r="AJ221" s="88">
        <f>VLOOKUP($E$7,BASEPOE3,2983,FALSE)</f>
        <v>0</v>
      </c>
      <c r="AK221" s="88">
        <f>VLOOKUP($E$7,BASEPOE3,2984,FALSE)</f>
        <v>0</v>
      </c>
      <c r="AL221" s="88">
        <f>VLOOKUP($E$7,BASEPOE3,2985,FALSE)</f>
        <v>0</v>
      </c>
      <c r="AM221" s="88">
        <f>VLOOKUP($E$7,BASEPOE3,2986,FALSE)</f>
        <v>0</v>
      </c>
      <c r="AN221" s="88">
        <f>VLOOKUP($E$7,BASEPOE3,2987,FALSE)</f>
        <v>0</v>
      </c>
      <c r="AO221" s="88">
        <f>VLOOKUP($E$7,BASEPOE3,2988,FALSE)</f>
        <v>0</v>
      </c>
      <c r="AP221" s="88">
        <f>VLOOKUP($E$7,BASEPOE3,2989,FALSE)</f>
        <v>0</v>
      </c>
      <c r="AQ221" s="88">
        <f>VLOOKUP($E$7,BASEPOE3,2990,FALSE)</f>
        <v>0</v>
      </c>
      <c r="AR221" s="88">
        <f>VLOOKUP($E$7,BASEPOE3,2991,FALSE)</f>
        <v>0</v>
      </c>
      <c r="AS221" s="88">
        <f>VLOOKUP($E$7,BASEPOE3,2992,FALSE)</f>
        <v>0</v>
      </c>
      <c r="AT221" s="88">
        <f>VLOOKUP($E$7,BASEPOE3,2993,FALSE)</f>
        <v>0</v>
      </c>
    </row>
    <row r="222" spans="1:46" x14ac:dyDescent="0.3">
      <c r="A222" s="152"/>
      <c r="B222" s="34">
        <v>69</v>
      </c>
      <c r="C222" s="93">
        <f>VLOOKUP($E$7,BASEPOE3,2994,FALSE)</f>
        <v>0</v>
      </c>
      <c r="D222" s="90">
        <f>VLOOKUP($E$7,BASEPOE3,2995,FALSE)</f>
        <v>0</v>
      </c>
      <c r="E222" s="61">
        <f>VLOOKUP($E$7,BASEPOE3,2996,FALSE)</f>
        <v>0</v>
      </c>
      <c r="F222" s="90">
        <f>VLOOKUP($E$7,BASEPOE3,2997,FALSE)</f>
        <v>0</v>
      </c>
      <c r="G222" s="90">
        <f>VLOOKUP($E$7,BASEPOE3,2998,FALSE)</f>
        <v>0</v>
      </c>
      <c r="H222" s="91">
        <f>VLOOKUP($E$7,BASEPOE3,2999,FALSE)</f>
        <v>0</v>
      </c>
      <c r="I222" s="91">
        <f>VLOOKUP($E$7,BASEPOE3,3000,FALSE)</f>
        <v>0</v>
      </c>
      <c r="J222" s="91">
        <f>VLOOKUP($E$7,BASEPOE3,3001,FALSE)</f>
        <v>0</v>
      </c>
      <c r="K222" s="91">
        <f>VLOOKUP($E$7,BASEPOE3,3002,FALSE)</f>
        <v>0</v>
      </c>
      <c r="L222" s="91">
        <f>VLOOKUP($E$7,BASEPOE3,3003,FALSE)</f>
        <v>0</v>
      </c>
      <c r="M222" s="91">
        <f>VLOOKUP($E$7,BASEPOE3,3004,FALSE)</f>
        <v>0</v>
      </c>
      <c r="N222" s="91">
        <f>VLOOKUP($E$7,BASEPOE3,3005,FALSE)</f>
        <v>0</v>
      </c>
      <c r="O222" s="91">
        <f>VLOOKUP($E$7,BASEPOE3,3006,FALSE)</f>
        <v>0</v>
      </c>
      <c r="P222" s="91">
        <f>VLOOKUP($E$7,BASEPOE3,3007,FALSE)</f>
        <v>0</v>
      </c>
      <c r="Q222" s="91">
        <f>VLOOKUP($E$7,BASEPOE3,3008,FALSE)</f>
        <v>0</v>
      </c>
      <c r="R222" s="91">
        <f>VLOOKUP($E$7,BASEPOE3,3009,FALSE)</f>
        <v>0</v>
      </c>
      <c r="S222" s="91">
        <f>VLOOKUP($E$7,BASEPOE3,3010,FALSE)</f>
        <v>0</v>
      </c>
      <c r="T222" s="91">
        <f>VLOOKUP($E$7,BASEPOE3,3011,FALSE)</f>
        <v>0</v>
      </c>
      <c r="U222" s="91">
        <f>VLOOKUP($E$7,BASEPOE3,3012,FALSE)</f>
        <v>0</v>
      </c>
      <c r="V222" s="91">
        <f>VLOOKUP($E$7,BASEPOE3,3013,FALSE)</f>
        <v>0</v>
      </c>
      <c r="W222" s="91">
        <f>VLOOKUP($E$7,BASEPOE3,3014,FALSE)</f>
        <v>0</v>
      </c>
      <c r="X222" s="91">
        <f>VLOOKUP($E$7,BASEPOE3,3015,FALSE)</f>
        <v>0</v>
      </c>
      <c r="Y222" s="91">
        <f>VLOOKUP($E$7,BASEPOE3,3016,FALSE)</f>
        <v>0</v>
      </c>
      <c r="Z222" s="91">
        <f>VLOOKUP($E$7,BASEPOE3,3017,FALSE)</f>
        <v>0</v>
      </c>
      <c r="AA222" s="91">
        <f>VLOOKUP($E$7,BASEPOE3,3018,FALSE)</f>
        <v>0</v>
      </c>
      <c r="AB222" s="91">
        <f>VLOOKUP($E$7,BASEPOE3,3019,FALSE)</f>
        <v>0</v>
      </c>
      <c r="AC222" s="90">
        <f>VLOOKUP($E$7,BASEPOE3,3020,FALSE)</f>
        <v>0</v>
      </c>
      <c r="AD222" s="90">
        <f>VLOOKUP($E$7,BASEPOE3,3021,FALSE)</f>
        <v>0</v>
      </c>
      <c r="AE222" s="90">
        <f>VLOOKUP($E$7,BASEPOE3,3022,FALSE)</f>
        <v>0</v>
      </c>
      <c r="AF222" s="90">
        <f>VLOOKUP($E$7,BASEPOE3,3023,FALSE)</f>
        <v>0</v>
      </c>
      <c r="AG222" s="90">
        <f>VLOOKUP($E$7,BASEPOE3,3024,FALSE)</f>
        <v>0</v>
      </c>
      <c r="AH222" s="90">
        <f>VLOOKUP($E$7,BASEPOE3,3025,FALSE)</f>
        <v>0</v>
      </c>
      <c r="AI222" s="90">
        <f>VLOOKUP($E$7,BASEPOE3,3026,FALSE)</f>
        <v>0</v>
      </c>
      <c r="AJ222" s="90">
        <f>VLOOKUP($E$7,BASEPOE3,3027,FALSE)</f>
        <v>0</v>
      </c>
      <c r="AK222" s="90">
        <f>VLOOKUP($E$7,BASEPOE3,3028,FALSE)</f>
        <v>0</v>
      </c>
      <c r="AL222" s="90">
        <f>VLOOKUP($E$7,BASEPOE3,3029,FALSE)</f>
        <v>0</v>
      </c>
      <c r="AM222" s="90">
        <f>VLOOKUP($E$7,BASEPOE3,3030,FALSE)</f>
        <v>0</v>
      </c>
      <c r="AN222" s="90">
        <f>VLOOKUP($E$7,BASEPOE3,3031,FALSE)</f>
        <v>0</v>
      </c>
      <c r="AO222" s="90">
        <f>VLOOKUP($E$7,BASEPOE3,3032,FALSE)</f>
        <v>0</v>
      </c>
      <c r="AP222" s="90">
        <f>VLOOKUP($E$7,BASEPOE3,3033,FALSE)</f>
        <v>0</v>
      </c>
      <c r="AQ222" s="90">
        <f>VLOOKUP($E$7,BASEPOE3,3034,FALSE)</f>
        <v>0</v>
      </c>
      <c r="AR222" s="90">
        <f>VLOOKUP($E$7,BASEPOE3,3035,FALSE)</f>
        <v>0</v>
      </c>
      <c r="AS222" s="90">
        <f>VLOOKUP($E$7,BASEPOE3,3036,FALSE)</f>
        <v>0</v>
      </c>
      <c r="AT222" s="90">
        <f>VLOOKUP($E$7,BASEPOE3,3037,FALSE)</f>
        <v>0</v>
      </c>
    </row>
    <row r="223" spans="1:46" x14ac:dyDescent="0.3">
      <c r="A223" s="152"/>
      <c r="B223" s="60">
        <v>70</v>
      </c>
      <c r="C223" s="92">
        <f>VLOOKUP($E$7,BASEPOE3,3038,FALSE)</f>
        <v>0</v>
      </c>
      <c r="D223" s="88">
        <f>VLOOKUP($E$7,BASEPOE3,3039,FALSE)</f>
        <v>0</v>
      </c>
      <c r="E223" s="62">
        <f>VLOOKUP($E$7,BASEPOE3,3040,FALSE)</f>
        <v>0</v>
      </c>
      <c r="F223" s="88">
        <f>VLOOKUP($E$7,BASEPOE3,3041,FALSE)</f>
        <v>0</v>
      </c>
      <c r="G223" s="88">
        <f>VLOOKUP($E$7,BASEPOE3,3042,FALSE)</f>
        <v>0</v>
      </c>
      <c r="H223" s="89">
        <f>VLOOKUP($E$7,BASEPOE3,3043,FALSE)</f>
        <v>0</v>
      </c>
      <c r="I223" s="89">
        <f>VLOOKUP($E$7,BASEPOE3,3044,FALSE)</f>
        <v>0</v>
      </c>
      <c r="J223" s="89">
        <f>VLOOKUP($E$7,BASEPOE3,3045,FALSE)</f>
        <v>0</v>
      </c>
      <c r="K223" s="89">
        <f>VLOOKUP($E$7,BASEPOE3,3046,FALSE)</f>
        <v>0</v>
      </c>
      <c r="L223" s="89">
        <f>VLOOKUP($E$7,BASEPOE3,3047,FALSE)</f>
        <v>0</v>
      </c>
      <c r="M223" s="89">
        <f>VLOOKUP($E$7,BASEPOE3,3048,FALSE)</f>
        <v>0</v>
      </c>
      <c r="N223" s="89">
        <f>VLOOKUP($E$7,BASEPOE3,3049,FALSE)</f>
        <v>0</v>
      </c>
      <c r="O223" s="89">
        <f>VLOOKUP($E$7,BASEPOE3,3050,FALSE)</f>
        <v>0</v>
      </c>
      <c r="P223" s="89">
        <f>VLOOKUP($E$7,BASEPOE3,3051,FALSE)</f>
        <v>0</v>
      </c>
      <c r="Q223" s="89">
        <f>VLOOKUP($E$7,BASEPOE3,3052,FALSE)</f>
        <v>0</v>
      </c>
      <c r="R223" s="89">
        <f>VLOOKUP($E$7,BASEPOE3,3053,FALSE)</f>
        <v>0</v>
      </c>
      <c r="S223" s="89">
        <f>VLOOKUP($E$7,BASEPOE3,3054,FALSE)</f>
        <v>0</v>
      </c>
      <c r="T223" s="89">
        <f>VLOOKUP($E$7,BASEPOE3,3055,FALSE)</f>
        <v>0</v>
      </c>
      <c r="U223" s="89">
        <f>VLOOKUP($E$7,BASEPOE3,3056,FALSE)</f>
        <v>0</v>
      </c>
      <c r="V223" s="89">
        <f>VLOOKUP($E$7,BASEPOE3,3057,FALSE)</f>
        <v>0</v>
      </c>
      <c r="W223" s="89">
        <f>VLOOKUP($E$7,BASEPOE3,3058,FALSE)</f>
        <v>0</v>
      </c>
      <c r="X223" s="89">
        <f>VLOOKUP($E$7,BASEPOE3,3059,FALSE)</f>
        <v>0</v>
      </c>
      <c r="Y223" s="89">
        <f>VLOOKUP($E$7,BASEPOE3,3060,FALSE)</f>
        <v>0</v>
      </c>
      <c r="Z223" s="89">
        <f>VLOOKUP($E$7,BASEPOE3,3061,FALSE)</f>
        <v>0</v>
      </c>
      <c r="AA223" s="89">
        <f>VLOOKUP($E$7,BASEPOE3,3062,FALSE)</f>
        <v>0</v>
      </c>
      <c r="AB223" s="89">
        <f>VLOOKUP($E$7,BASEPOE3,3063,FALSE)</f>
        <v>0</v>
      </c>
      <c r="AC223" s="88">
        <f>VLOOKUP($E$7,BASEPOE3,3064,FALSE)</f>
        <v>0</v>
      </c>
      <c r="AD223" s="88">
        <f>VLOOKUP($E$7,BASEPOE3,3065,FALSE)</f>
        <v>0</v>
      </c>
      <c r="AE223" s="88">
        <f>VLOOKUP($E$7,BASEPOE3,3066,FALSE)</f>
        <v>0</v>
      </c>
      <c r="AF223" s="88">
        <f>VLOOKUP($E$7,BASEPOE3,3067,FALSE)</f>
        <v>0</v>
      </c>
      <c r="AG223" s="88">
        <f>VLOOKUP($E$7,BASEPOE3,3068,FALSE)</f>
        <v>0</v>
      </c>
      <c r="AH223" s="88">
        <f>VLOOKUP($E$7,BASEPOE3,3069,FALSE)</f>
        <v>0</v>
      </c>
      <c r="AI223" s="88">
        <f>VLOOKUP($E$7,BASEPOE3,3070,FALSE)</f>
        <v>0</v>
      </c>
      <c r="AJ223" s="88">
        <f>VLOOKUP($E$7,BASEPOE3,3071,FALSE)</f>
        <v>0</v>
      </c>
      <c r="AK223" s="88">
        <f>VLOOKUP($E$7,BASEPOE3,3072,FALSE)</f>
        <v>0</v>
      </c>
      <c r="AL223" s="88">
        <f>VLOOKUP($E$7,BASEPOE3,3073,FALSE)</f>
        <v>0</v>
      </c>
      <c r="AM223" s="88">
        <f>VLOOKUP($E$7,BASEPOE3,3074,FALSE)</f>
        <v>0</v>
      </c>
      <c r="AN223" s="88">
        <f>VLOOKUP($E$7,BASEPOE3,3075,FALSE)</f>
        <v>0</v>
      </c>
      <c r="AO223" s="88">
        <f>VLOOKUP($E$7,BASEPOE3,3076,FALSE)</f>
        <v>0</v>
      </c>
      <c r="AP223" s="88">
        <f>VLOOKUP($E$7,BASEPOE3,3077,FALSE)</f>
        <v>0</v>
      </c>
      <c r="AQ223" s="88">
        <f>VLOOKUP($E$7,BASEPOE3,3078,FALSE)</f>
        <v>0</v>
      </c>
      <c r="AR223" s="88">
        <f>VLOOKUP($E$7,BASEPOE3,3079,FALSE)</f>
        <v>0</v>
      </c>
      <c r="AS223" s="88">
        <f>VLOOKUP($E$7,BASEPOE3,3080,FALSE)</f>
        <v>0</v>
      </c>
      <c r="AT223" s="88">
        <f>VLOOKUP($E$7,BASEPOE3,3081,FALSE)</f>
        <v>0</v>
      </c>
    </row>
    <row r="224" spans="1:46" x14ac:dyDescent="0.3">
      <c r="A224" s="152"/>
      <c r="B224" s="34">
        <v>71</v>
      </c>
      <c r="C224" s="93">
        <f>VLOOKUP($E$7,BASEPOE3,3082,FALSE)</f>
        <v>0</v>
      </c>
      <c r="D224" s="90">
        <f>VLOOKUP($E$7,BASEPOE3,3083,FALSE)</f>
        <v>0</v>
      </c>
      <c r="E224" s="61">
        <f>VLOOKUP($E$7,BASEPOE3,3084,FALSE)</f>
        <v>0</v>
      </c>
      <c r="F224" s="90">
        <f>VLOOKUP($E$7,BASEPOE3,3085,FALSE)</f>
        <v>0</v>
      </c>
      <c r="G224" s="90">
        <f>VLOOKUP($E$7,BASEPOE3,3086,FALSE)</f>
        <v>0</v>
      </c>
      <c r="H224" s="91">
        <f>VLOOKUP($E$7,BASEPOE3,3087,FALSE)</f>
        <v>0</v>
      </c>
      <c r="I224" s="91">
        <f>VLOOKUP($E$7,BASEPOE3,3088,FALSE)</f>
        <v>0</v>
      </c>
      <c r="J224" s="91">
        <f>VLOOKUP($E$7,BASEPOE3,3089,FALSE)</f>
        <v>0</v>
      </c>
      <c r="K224" s="91">
        <f>VLOOKUP($E$7,BASEPOE3,3090,FALSE)</f>
        <v>0</v>
      </c>
      <c r="L224" s="91">
        <f>VLOOKUP($E$7,BASEPOE3,3091,FALSE)</f>
        <v>0</v>
      </c>
      <c r="M224" s="91">
        <f>VLOOKUP($E$7,BASEPOE3,3092,FALSE)</f>
        <v>0</v>
      </c>
      <c r="N224" s="91">
        <f>VLOOKUP($E$7,BASEPOE3,3093,FALSE)</f>
        <v>0</v>
      </c>
      <c r="O224" s="91">
        <f>VLOOKUP($E$7,BASEPOE3,3094,FALSE)</f>
        <v>0</v>
      </c>
      <c r="P224" s="91">
        <f>VLOOKUP($E$7,BASEPOE3,3095,FALSE)</f>
        <v>0</v>
      </c>
      <c r="Q224" s="91">
        <f>VLOOKUP($E$7,BASEPOE3,3096,FALSE)</f>
        <v>0</v>
      </c>
      <c r="R224" s="91">
        <f>VLOOKUP($E$7,BASEPOE3,3097,FALSE)</f>
        <v>0</v>
      </c>
      <c r="S224" s="91">
        <f>VLOOKUP($E$7,BASEPOE3,3098,FALSE)</f>
        <v>0</v>
      </c>
      <c r="T224" s="91">
        <f>VLOOKUP($E$7,BASEPOE3,3099,FALSE)</f>
        <v>0</v>
      </c>
      <c r="U224" s="91">
        <f>VLOOKUP($E$7,BASEPOE3,3100,FALSE)</f>
        <v>0</v>
      </c>
      <c r="V224" s="91">
        <f>VLOOKUP($E$7,BASEPOE3,3101,FALSE)</f>
        <v>0</v>
      </c>
      <c r="W224" s="91">
        <f>VLOOKUP($E$7,BASEPOE3,3102,FALSE)</f>
        <v>0</v>
      </c>
      <c r="X224" s="91">
        <f>VLOOKUP($E$7,BASEPOE3,3103,FALSE)</f>
        <v>0</v>
      </c>
      <c r="Y224" s="91">
        <f>VLOOKUP($E$7,BASEPOE3,3104,FALSE)</f>
        <v>0</v>
      </c>
      <c r="Z224" s="91">
        <f>VLOOKUP($E$7,BASEPOE3,3105,FALSE)</f>
        <v>0</v>
      </c>
      <c r="AA224" s="91">
        <f>VLOOKUP($E$7,BASEPOE3,3106,FALSE)</f>
        <v>0</v>
      </c>
      <c r="AB224" s="91">
        <f>VLOOKUP($E$7,BASEPOE3,3107,FALSE)</f>
        <v>0</v>
      </c>
      <c r="AC224" s="90">
        <f>VLOOKUP($E$7,BASEPOE3,3108,FALSE)</f>
        <v>0</v>
      </c>
      <c r="AD224" s="90">
        <f>VLOOKUP($E$7,BASEPOE3,3109,FALSE)</f>
        <v>0</v>
      </c>
      <c r="AE224" s="90">
        <f>VLOOKUP($E$7,BASEPOE3,3110,FALSE)</f>
        <v>0</v>
      </c>
      <c r="AF224" s="90">
        <f>VLOOKUP($E$7,BASEPOE3,3111,FALSE)</f>
        <v>0</v>
      </c>
      <c r="AG224" s="90">
        <f>VLOOKUP($E$7,BASEPOE3,3112,FALSE)</f>
        <v>0</v>
      </c>
      <c r="AH224" s="90">
        <f>VLOOKUP($E$7,BASEPOE3,3113,FALSE)</f>
        <v>0</v>
      </c>
      <c r="AI224" s="90">
        <f>VLOOKUP($E$7,BASEPOE3,3114,FALSE)</f>
        <v>0</v>
      </c>
      <c r="AJ224" s="90">
        <f>VLOOKUP($E$7,BASEPOE3,3115,FALSE)</f>
        <v>0</v>
      </c>
      <c r="AK224" s="90">
        <f>VLOOKUP($E$7,BASEPOE3,3116,FALSE)</f>
        <v>0</v>
      </c>
      <c r="AL224" s="90">
        <f>VLOOKUP($E$7,BASEPOE3,3117,FALSE)</f>
        <v>0</v>
      </c>
      <c r="AM224" s="90">
        <f>VLOOKUP($E$7,BASEPOE3,3118,FALSE)</f>
        <v>0</v>
      </c>
      <c r="AN224" s="90">
        <f>VLOOKUP($E$7,BASEPOE3,3119,FALSE)</f>
        <v>0</v>
      </c>
      <c r="AO224" s="90">
        <f>VLOOKUP($E$7,BASEPOE3,3120,FALSE)</f>
        <v>0</v>
      </c>
      <c r="AP224" s="90">
        <f>VLOOKUP($E$7,BASEPOE3,3121,FALSE)</f>
        <v>0</v>
      </c>
      <c r="AQ224" s="90">
        <f>VLOOKUP($E$7,BASEPOE3,3122,FALSE)</f>
        <v>0</v>
      </c>
      <c r="AR224" s="90">
        <f>VLOOKUP($E$7,BASEPOE3,3123,FALSE)</f>
        <v>0</v>
      </c>
      <c r="AS224" s="90">
        <f>VLOOKUP($E$7,BASEPOE3,3124,FALSE)</f>
        <v>0</v>
      </c>
      <c r="AT224" s="90">
        <f>VLOOKUP($E$7,BASEPOE3,3125,FALSE)</f>
        <v>0</v>
      </c>
    </row>
    <row r="225" spans="1:46" x14ac:dyDescent="0.3">
      <c r="A225" s="152"/>
      <c r="B225" s="60">
        <v>72</v>
      </c>
      <c r="C225" s="92">
        <f>VLOOKUP($E$7,BASEPOE3,3126,FALSE)</f>
        <v>0</v>
      </c>
      <c r="D225" s="88">
        <f>VLOOKUP($E$7,BASEPOE3,3127,FALSE)</f>
        <v>0</v>
      </c>
      <c r="E225" s="62">
        <f>VLOOKUP($E$7,BASEPOE3,3128,FALSE)</f>
        <v>0</v>
      </c>
      <c r="F225" s="88">
        <f>VLOOKUP($E$7,BASEPOE3,3129,FALSE)</f>
        <v>0</v>
      </c>
      <c r="G225" s="88">
        <f>VLOOKUP($E$7,BASEPOE3,3130,FALSE)</f>
        <v>0</v>
      </c>
      <c r="H225" s="89">
        <f>VLOOKUP($E$7,BASEPOE3,3131,FALSE)</f>
        <v>0</v>
      </c>
      <c r="I225" s="89">
        <f>VLOOKUP($E$7,BASEPOE3,3132,FALSE)</f>
        <v>0</v>
      </c>
      <c r="J225" s="89">
        <f>VLOOKUP($E$7,BASEPOE3,3133,FALSE)</f>
        <v>0</v>
      </c>
      <c r="K225" s="89">
        <f>VLOOKUP($E$7,BASEPOE3,3134,FALSE)</f>
        <v>0</v>
      </c>
      <c r="L225" s="89">
        <f>VLOOKUP($E$7,BASEPOE3,3135,FALSE)</f>
        <v>0</v>
      </c>
      <c r="M225" s="89">
        <f>VLOOKUP($E$7,BASEPOE3,3136,FALSE)</f>
        <v>0</v>
      </c>
      <c r="N225" s="89">
        <f>VLOOKUP($E$7,BASEPOE3,3137,FALSE)</f>
        <v>0</v>
      </c>
      <c r="O225" s="89">
        <f>VLOOKUP($E$7,BASEPOE3,3138,FALSE)</f>
        <v>0</v>
      </c>
      <c r="P225" s="89">
        <f>VLOOKUP($E$7,BASEPOE3,3139,FALSE)</f>
        <v>0</v>
      </c>
      <c r="Q225" s="89">
        <f>VLOOKUP($E$7,BASEPOE3,3140,FALSE)</f>
        <v>0</v>
      </c>
      <c r="R225" s="89">
        <f>VLOOKUP($E$7,BASEPOE3,3141,FALSE)</f>
        <v>0</v>
      </c>
      <c r="S225" s="89">
        <f>VLOOKUP($E$7,BASEPOE3,3142,FALSE)</f>
        <v>0</v>
      </c>
      <c r="T225" s="89">
        <f>VLOOKUP($E$7,BASEPOE3,3143,FALSE)</f>
        <v>0</v>
      </c>
      <c r="U225" s="89">
        <f>VLOOKUP($E$7,BASEPOE3,3144,FALSE)</f>
        <v>0</v>
      </c>
      <c r="V225" s="89">
        <f>VLOOKUP($E$7,BASEPOE3,3145,FALSE)</f>
        <v>0</v>
      </c>
      <c r="W225" s="89">
        <f>VLOOKUP($E$7,BASEPOE3,3146,FALSE)</f>
        <v>0</v>
      </c>
      <c r="X225" s="89">
        <f>VLOOKUP($E$7,BASEPOE3,3147,FALSE)</f>
        <v>0</v>
      </c>
      <c r="Y225" s="89">
        <f>VLOOKUP($E$7,BASEPOE3,3148,FALSE)</f>
        <v>0</v>
      </c>
      <c r="Z225" s="89">
        <f>VLOOKUP($E$7,BASEPOE3,3149,FALSE)</f>
        <v>0</v>
      </c>
      <c r="AA225" s="89">
        <f>VLOOKUP($E$7,BASEPOE3,3150,FALSE)</f>
        <v>0</v>
      </c>
      <c r="AB225" s="89">
        <f>VLOOKUP($E$7,BASEPOE3,3151,FALSE)</f>
        <v>0</v>
      </c>
      <c r="AC225" s="88">
        <f>VLOOKUP($E$7,BASEPOE3,3152,FALSE)</f>
        <v>0</v>
      </c>
      <c r="AD225" s="88">
        <f>VLOOKUP($E$7,BASEPOE3,3153,FALSE)</f>
        <v>0</v>
      </c>
      <c r="AE225" s="88">
        <f>VLOOKUP($E$7,BASEPOE3,3154,FALSE)</f>
        <v>0</v>
      </c>
      <c r="AF225" s="88">
        <f>VLOOKUP($E$7,BASEPOE3,3155,FALSE)</f>
        <v>0</v>
      </c>
      <c r="AG225" s="88">
        <f>VLOOKUP($E$7,BASEPOE3,3156,FALSE)</f>
        <v>0</v>
      </c>
      <c r="AH225" s="88">
        <f>VLOOKUP($E$7,BASEPOE3,3157,FALSE)</f>
        <v>0</v>
      </c>
      <c r="AI225" s="88">
        <f>VLOOKUP($E$7,BASEPOE3,3158,FALSE)</f>
        <v>0</v>
      </c>
      <c r="AJ225" s="88">
        <f>VLOOKUP($E$7,BASEPOE3,3159,FALSE)</f>
        <v>0</v>
      </c>
      <c r="AK225" s="88">
        <f>VLOOKUP($E$7,BASEPOE3,3160,FALSE)</f>
        <v>0</v>
      </c>
      <c r="AL225" s="88">
        <f>VLOOKUP($E$7,BASEPOE3,3161,FALSE)</f>
        <v>0</v>
      </c>
      <c r="AM225" s="88">
        <f>VLOOKUP($E$7,BASEPOE3,3162,FALSE)</f>
        <v>0</v>
      </c>
      <c r="AN225" s="88">
        <f>VLOOKUP($E$7,BASEPOE3,3163,FALSE)</f>
        <v>0</v>
      </c>
      <c r="AO225" s="88">
        <f>VLOOKUP($E$7,BASEPOE3,3164,FALSE)</f>
        <v>0</v>
      </c>
      <c r="AP225" s="88">
        <f>VLOOKUP($E$7,BASEPOE3,3165,FALSE)</f>
        <v>0</v>
      </c>
      <c r="AQ225" s="88">
        <f>VLOOKUP($E$7,BASEPOE3,3166,FALSE)</f>
        <v>0</v>
      </c>
      <c r="AR225" s="88">
        <f>VLOOKUP($E$7,BASEPOE3,3167,FALSE)</f>
        <v>0</v>
      </c>
      <c r="AS225" s="88">
        <f>VLOOKUP($E$7,BASEPOE3,3168,FALSE)</f>
        <v>0</v>
      </c>
      <c r="AT225" s="88">
        <f>VLOOKUP($E$7,BASEPOE3,3169,FALSE)</f>
        <v>0</v>
      </c>
    </row>
    <row r="226" spans="1:46" x14ac:dyDescent="0.3">
      <c r="A226" s="152"/>
      <c r="B226" s="34">
        <v>73</v>
      </c>
      <c r="C226" s="93">
        <f>VLOOKUP($E$7,BASEPOE3,3170,FALSE)</f>
        <v>0</v>
      </c>
      <c r="D226" s="90">
        <f>VLOOKUP($E$7,BASEPOE3,3171,FALSE)</f>
        <v>0</v>
      </c>
      <c r="E226" s="61">
        <f>VLOOKUP($E$7,BASEPOE3,3172,FALSE)</f>
        <v>0</v>
      </c>
      <c r="F226" s="90">
        <f>VLOOKUP($E$7,BASEPOE3,3173,FALSE)</f>
        <v>0</v>
      </c>
      <c r="G226" s="90">
        <f>VLOOKUP($E$7,BASEPOE3,3174,FALSE)</f>
        <v>0</v>
      </c>
      <c r="H226" s="91">
        <f>VLOOKUP($E$7,BASEPOE3,3175,FALSE)</f>
        <v>0</v>
      </c>
      <c r="I226" s="91">
        <f>VLOOKUP($E$7,BASEPOE3,3176,FALSE)</f>
        <v>0</v>
      </c>
      <c r="J226" s="91">
        <f>VLOOKUP($E$7,BASEPOE3,3177,FALSE)</f>
        <v>0</v>
      </c>
      <c r="K226" s="91">
        <f>VLOOKUP($E$7,BASEPOE3,3178,FALSE)</f>
        <v>0</v>
      </c>
      <c r="L226" s="91">
        <f>VLOOKUP($E$7,BASEPOE3,3179,FALSE)</f>
        <v>0</v>
      </c>
      <c r="M226" s="91">
        <f>VLOOKUP($E$7,BASEPOE3,3180,FALSE)</f>
        <v>0</v>
      </c>
      <c r="N226" s="91">
        <f>VLOOKUP($E$7,BASEPOE3,3181,FALSE)</f>
        <v>0</v>
      </c>
      <c r="O226" s="91">
        <f>VLOOKUP($E$7,BASEPOE3,3182,FALSE)</f>
        <v>0</v>
      </c>
      <c r="P226" s="91">
        <f>VLOOKUP($E$7,BASEPOE3,3183,FALSE)</f>
        <v>0</v>
      </c>
      <c r="Q226" s="91">
        <f>VLOOKUP($E$7,BASEPOE3,3184,FALSE)</f>
        <v>0</v>
      </c>
      <c r="R226" s="91">
        <f>VLOOKUP($E$7,BASEPOE3,3185,FALSE)</f>
        <v>0</v>
      </c>
      <c r="S226" s="91">
        <f>VLOOKUP($E$7,BASEPOE3,3186,FALSE)</f>
        <v>0</v>
      </c>
      <c r="T226" s="91">
        <f>VLOOKUP($E$7,BASEPOE3,3187,FALSE)</f>
        <v>0</v>
      </c>
      <c r="U226" s="91">
        <f>VLOOKUP($E$7,BASEPOE3,3188,FALSE)</f>
        <v>0</v>
      </c>
      <c r="V226" s="91">
        <f>VLOOKUP($E$7,BASEPOE3,3189,FALSE)</f>
        <v>0</v>
      </c>
      <c r="W226" s="91">
        <f>VLOOKUP($E$7,BASEPOE3,3190,FALSE)</f>
        <v>0</v>
      </c>
      <c r="X226" s="91">
        <f>VLOOKUP($E$7,BASEPOE3,3191,FALSE)</f>
        <v>0</v>
      </c>
      <c r="Y226" s="91">
        <f>VLOOKUP($E$7,BASEPOE3,3192,FALSE)</f>
        <v>0</v>
      </c>
      <c r="Z226" s="91">
        <f>VLOOKUP($E$7,BASEPOE3,3193,FALSE)</f>
        <v>0</v>
      </c>
      <c r="AA226" s="91">
        <f>VLOOKUP($E$7,BASEPOE3,3194,FALSE)</f>
        <v>0</v>
      </c>
      <c r="AB226" s="91">
        <f>VLOOKUP($E$7,BASEPOE3,3195,FALSE)</f>
        <v>0</v>
      </c>
      <c r="AC226" s="90">
        <f>VLOOKUP($E$7,BASEPOE3,3196,FALSE)</f>
        <v>0</v>
      </c>
      <c r="AD226" s="90">
        <f>VLOOKUP($E$7,BASEPOE3,3197,FALSE)</f>
        <v>0</v>
      </c>
      <c r="AE226" s="90">
        <f>VLOOKUP($E$7,BASEPOE3,3198,FALSE)</f>
        <v>0</v>
      </c>
      <c r="AF226" s="90">
        <f>VLOOKUP($E$7,BASEPOE3,3199,FALSE)</f>
        <v>0</v>
      </c>
      <c r="AG226" s="90">
        <f>VLOOKUP($E$7,BASEPOE3,3200,FALSE)</f>
        <v>0</v>
      </c>
      <c r="AH226" s="90">
        <f>VLOOKUP($E$7,BASEPOE3,3201,FALSE)</f>
        <v>0</v>
      </c>
      <c r="AI226" s="90">
        <f>VLOOKUP($E$7,BASEPOE3,3202,FALSE)</f>
        <v>0</v>
      </c>
      <c r="AJ226" s="90">
        <f>VLOOKUP($E$7,BASEPOE3,3203,FALSE)</f>
        <v>0</v>
      </c>
      <c r="AK226" s="90">
        <f>VLOOKUP($E$7,BASEPOE3,3204,FALSE)</f>
        <v>0</v>
      </c>
      <c r="AL226" s="90">
        <f>VLOOKUP($E$7,BASEPOE3,3205,FALSE)</f>
        <v>0</v>
      </c>
      <c r="AM226" s="90">
        <f>VLOOKUP($E$7,BASEPOE3,3206,FALSE)</f>
        <v>0</v>
      </c>
      <c r="AN226" s="90">
        <f>VLOOKUP($E$7,BASEPOE3,3207,FALSE)</f>
        <v>0</v>
      </c>
      <c r="AO226" s="90">
        <f>VLOOKUP($E$7,BASEPOE3,3208,FALSE)</f>
        <v>0</v>
      </c>
      <c r="AP226" s="90">
        <f>VLOOKUP($E$7,BASEPOE3,3209,FALSE)</f>
        <v>0</v>
      </c>
      <c r="AQ226" s="90">
        <f>VLOOKUP($E$7,BASEPOE3,3210,FALSE)</f>
        <v>0</v>
      </c>
      <c r="AR226" s="90">
        <f>VLOOKUP($E$7,BASEPOE3,3211,FALSE)</f>
        <v>0</v>
      </c>
      <c r="AS226" s="90">
        <f>VLOOKUP($E$7,BASEPOE3,3212,FALSE)</f>
        <v>0</v>
      </c>
      <c r="AT226" s="90">
        <f>VLOOKUP($E$7,BASEPOE3,3213,FALSE)</f>
        <v>0</v>
      </c>
    </row>
    <row r="227" spans="1:46" x14ac:dyDescent="0.3">
      <c r="A227" s="152"/>
      <c r="B227" s="60">
        <v>74</v>
      </c>
      <c r="C227" s="92">
        <f>VLOOKUP($E$7,BASEPOE3,3214,FALSE)</f>
        <v>0</v>
      </c>
      <c r="D227" s="88">
        <f>VLOOKUP($E$7,BASEPOE3,3215,FALSE)</f>
        <v>0</v>
      </c>
      <c r="E227" s="62">
        <f>VLOOKUP($E$7,BASEPOE3,3216,FALSE)</f>
        <v>0</v>
      </c>
      <c r="F227" s="88">
        <f>VLOOKUP($E$7,BASEPOE3,3217,FALSE)</f>
        <v>0</v>
      </c>
      <c r="G227" s="88">
        <f>VLOOKUP($E$7,BASEPOE3,3218,FALSE)</f>
        <v>0</v>
      </c>
      <c r="H227" s="89">
        <f>VLOOKUP($E$7,BASEPOE3,3219,FALSE)</f>
        <v>0</v>
      </c>
      <c r="I227" s="89">
        <f>VLOOKUP($E$7,BASEPOE3,3220,FALSE)</f>
        <v>0</v>
      </c>
      <c r="J227" s="89">
        <f>VLOOKUP($E$7,BASEPOE3,3221,FALSE)</f>
        <v>0</v>
      </c>
      <c r="K227" s="89">
        <f>VLOOKUP($E$7,BASEPOE3,3222,FALSE)</f>
        <v>0</v>
      </c>
      <c r="L227" s="89">
        <f>VLOOKUP($E$7,BASEPOE3,3223,FALSE)</f>
        <v>0</v>
      </c>
      <c r="M227" s="89">
        <f>VLOOKUP($E$7,BASEPOE3,3224,FALSE)</f>
        <v>0</v>
      </c>
      <c r="N227" s="89">
        <f>VLOOKUP($E$7,BASEPOE3,3225,FALSE)</f>
        <v>0</v>
      </c>
      <c r="O227" s="89">
        <f>VLOOKUP($E$7,BASEPOE3,3226,FALSE)</f>
        <v>0</v>
      </c>
      <c r="P227" s="89">
        <f>VLOOKUP($E$7,BASEPOE3,3227,FALSE)</f>
        <v>0</v>
      </c>
      <c r="Q227" s="89">
        <f>VLOOKUP($E$7,BASEPOE3,3228,FALSE)</f>
        <v>0</v>
      </c>
      <c r="R227" s="89">
        <f>VLOOKUP($E$7,BASEPOE3,3229,FALSE)</f>
        <v>0</v>
      </c>
      <c r="S227" s="89">
        <f>VLOOKUP($E$7,BASEPOE3,3230,FALSE)</f>
        <v>0</v>
      </c>
      <c r="T227" s="89">
        <f>VLOOKUP($E$7,BASEPOE3,3231,FALSE)</f>
        <v>0</v>
      </c>
      <c r="U227" s="89">
        <f>VLOOKUP($E$7,BASEPOE3,3232,FALSE)</f>
        <v>0</v>
      </c>
      <c r="V227" s="89">
        <f>VLOOKUP($E$7,BASEPOE3,3233,FALSE)</f>
        <v>0</v>
      </c>
      <c r="W227" s="89">
        <f>VLOOKUP($E$7,BASEPOE3,3234,FALSE)</f>
        <v>0</v>
      </c>
      <c r="X227" s="89">
        <f>VLOOKUP($E$7,BASEPOE3,3235,FALSE)</f>
        <v>0</v>
      </c>
      <c r="Y227" s="89">
        <f>VLOOKUP($E$7,BASEPOE3,3236,FALSE)</f>
        <v>0</v>
      </c>
      <c r="Z227" s="89">
        <f>VLOOKUP($E$7,BASEPOE3,3237,FALSE)</f>
        <v>0</v>
      </c>
      <c r="AA227" s="89">
        <f>VLOOKUP($E$7,BASEPOE3,3238,FALSE)</f>
        <v>0</v>
      </c>
      <c r="AB227" s="89">
        <f>VLOOKUP($E$7,BASEPOE3,3239,FALSE)</f>
        <v>0</v>
      </c>
      <c r="AC227" s="88">
        <f>VLOOKUP($E$7,BASEPOE3,3240,FALSE)</f>
        <v>0</v>
      </c>
      <c r="AD227" s="88">
        <f>VLOOKUP($E$7,BASEPOE3,3241,FALSE)</f>
        <v>0</v>
      </c>
      <c r="AE227" s="88">
        <f>VLOOKUP($E$7,BASEPOE3,3242,FALSE)</f>
        <v>0</v>
      </c>
      <c r="AF227" s="88">
        <f>VLOOKUP($E$7,BASEPOE3,3243,FALSE)</f>
        <v>0</v>
      </c>
      <c r="AG227" s="88">
        <f>VLOOKUP($E$7,BASEPOE3,3244,FALSE)</f>
        <v>0</v>
      </c>
      <c r="AH227" s="88">
        <f>VLOOKUP($E$7,BASEPOE3,3245,FALSE)</f>
        <v>0</v>
      </c>
      <c r="AI227" s="88">
        <f>VLOOKUP($E$7,BASEPOE3,3246,FALSE)</f>
        <v>0</v>
      </c>
      <c r="AJ227" s="88">
        <f>VLOOKUP($E$7,BASEPOE3,3247,FALSE)</f>
        <v>0</v>
      </c>
      <c r="AK227" s="88">
        <f>VLOOKUP($E$7,BASEPOE3,3248,FALSE)</f>
        <v>0</v>
      </c>
      <c r="AL227" s="88">
        <f>VLOOKUP($E$7,BASEPOE3,3249,FALSE)</f>
        <v>0</v>
      </c>
      <c r="AM227" s="88">
        <f>VLOOKUP($E$7,BASEPOE3,3250,FALSE)</f>
        <v>0</v>
      </c>
      <c r="AN227" s="88">
        <f>VLOOKUP($E$7,BASEPOE3,3251,FALSE)</f>
        <v>0</v>
      </c>
      <c r="AO227" s="88">
        <f>VLOOKUP($E$7,BASEPOE3,3252,FALSE)</f>
        <v>0</v>
      </c>
      <c r="AP227" s="88">
        <f>VLOOKUP($E$7,BASEPOE3,3253,FALSE)</f>
        <v>0</v>
      </c>
      <c r="AQ227" s="88">
        <f>VLOOKUP($E$7,BASEPOE3,3254,FALSE)</f>
        <v>0</v>
      </c>
      <c r="AR227" s="88">
        <f>VLOOKUP($E$7,BASEPOE3,3255,FALSE)</f>
        <v>0</v>
      </c>
      <c r="AS227" s="88">
        <f>VLOOKUP($E$7,BASEPOE3,3256,FALSE)</f>
        <v>0</v>
      </c>
      <c r="AT227" s="88">
        <f>VLOOKUP($E$7,BASEPOE3,3257,FALSE)</f>
        <v>0</v>
      </c>
    </row>
    <row r="228" spans="1:46" x14ac:dyDescent="0.3">
      <c r="A228" s="152"/>
      <c r="B228" s="34">
        <v>75</v>
      </c>
      <c r="C228" s="93">
        <f>VLOOKUP($E$7,BASEPOE3,3258,FALSE)</f>
        <v>0</v>
      </c>
      <c r="D228" s="90">
        <f>VLOOKUP($E$7,BASEPOE3,3259,FALSE)</f>
        <v>0</v>
      </c>
      <c r="E228" s="61">
        <f>VLOOKUP($E$7,BASEPOE3,3260,FALSE)</f>
        <v>0</v>
      </c>
      <c r="F228" s="90">
        <f>VLOOKUP($E$7,BASEPOE3,3261,FALSE)</f>
        <v>0</v>
      </c>
      <c r="G228" s="90">
        <f>VLOOKUP($E$7,BASEPOE3,3262,FALSE)</f>
        <v>0</v>
      </c>
      <c r="H228" s="91">
        <f>VLOOKUP($E$7,BASEPOE3,3263,FALSE)</f>
        <v>0</v>
      </c>
      <c r="I228" s="91">
        <f>VLOOKUP($E$7,BASEPOE3,3264,FALSE)</f>
        <v>0</v>
      </c>
      <c r="J228" s="91">
        <f>VLOOKUP($E$7,BASEPOE3,3265,FALSE)</f>
        <v>0</v>
      </c>
      <c r="K228" s="91">
        <f>VLOOKUP($E$7,BASEPOE3,3266,FALSE)</f>
        <v>0</v>
      </c>
      <c r="L228" s="91">
        <f>VLOOKUP($E$7,BASEPOE3,3267,FALSE)</f>
        <v>0</v>
      </c>
      <c r="M228" s="91">
        <f>VLOOKUP($E$7,BASEPOE3,3268,FALSE)</f>
        <v>0</v>
      </c>
      <c r="N228" s="91">
        <f>VLOOKUP($E$7,BASEPOE3,3269,FALSE)</f>
        <v>0</v>
      </c>
      <c r="O228" s="91">
        <f>VLOOKUP($E$7,BASEPOE3,3270,FALSE)</f>
        <v>0</v>
      </c>
      <c r="P228" s="91">
        <f>VLOOKUP($E$7,BASEPOE3,3271,FALSE)</f>
        <v>0</v>
      </c>
      <c r="Q228" s="91">
        <f>VLOOKUP($E$7,BASEPOE3,3272,FALSE)</f>
        <v>0</v>
      </c>
      <c r="R228" s="91">
        <f>VLOOKUP($E$7,BASEPOE3,3273,FALSE)</f>
        <v>0</v>
      </c>
      <c r="S228" s="91">
        <f>VLOOKUP($E$7,BASEPOE3,3274,FALSE)</f>
        <v>0</v>
      </c>
      <c r="T228" s="91">
        <f>VLOOKUP($E$7,BASEPOE3,3275,FALSE)</f>
        <v>0</v>
      </c>
      <c r="U228" s="91">
        <f>VLOOKUP($E$7,BASEPOE3,3276,FALSE)</f>
        <v>0</v>
      </c>
      <c r="V228" s="91">
        <f>VLOOKUP($E$7,BASEPOE3,3277,FALSE)</f>
        <v>0</v>
      </c>
      <c r="W228" s="91">
        <f>VLOOKUP($E$7,BASEPOE3,3278,FALSE)</f>
        <v>0</v>
      </c>
      <c r="X228" s="91">
        <f>VLOOKUP($E$7,BASEPOE3,3279,FALSE)</f>
        <v>0</v>
      </c>
      <c r="Y228" s="91">
        <f>VLOOKUP($E$7,BASEPOE3,3280,FALSE)</f>
        <v>0</v>
      </c>
      <c r="Z228" s="91">
        <f>VLOOKUP($E$7,BASEPOE3,3281,FALSE)</f>
        <v>0</v>
      </c>
      <c r="AA228" s="91">
        <f>VLOOKUP($E$7,BASEPOE3,3282,FALSE)</f>
        <v>0</v>
      </c>
      <c r="AB228" s="91">
        <f>VLOOKUP($E$7,BASEPOE3,3283,FALSE)</f>
        <v>0</v>
      </c>
      <c r="AC228" s="90">
        <f>VLOOKUP($E$7,BASEPOE3,3284,FALSE)</f>
        <v>0</v>
      </c>
      <c r="AD228" s="90">
        <f>VLOOKUP($E$7,BASEPOE3,3285,FALSE)</f>
        <v>0</v>
      </c>
      <c r="AE228" s="90">
        <f>VLOOKUP($E$7,BASEPOE3,3286,FALSE)</f>
        <v>0</v>
      </c>
      <c r="AF228" s="90">
        <f>VLOOKUP($E$7,BASEPOE3,3287,FALSE)</f>
        <v>0</v>
      </c>
      <c r="AG228" s="90">
        <f>VLOOKUP($E$7,BASEPOE3,3288,FALSE)</f>
        <v>0</v>
      </c>
      <c r="AH228" s="90">
        <f>VLOOKUP($E$7,BASEPOE3,3289,FALSE)</f>
        <v>0</v>
      </c>
      <c r="AI228" s="90">
        <f>VLOOKUP($E$7,BASEPOE3,3290,FALSE)</f>
        <v>0</v>
      </c>
      <c r="AJ228" s="90">
        <f>VLOOKUP($E$7,BASEPOE3,3291,FALSE)</f>
        <v>0</v>
      </c>
      <c r="AK228" s="90">
        <f>VLOOKUP($E$7,BASEPOE3,3292,FALSE)</f>
        <v>0</v>
      </c>
      <c r="AL228" s="90">
        <f>VLOOKUP($E$7,BASEPOE3,3293,FALSE)</f>
        <v>0</v>
      </c>
      <c r="AM228" s="90">
        <f>VLOOKUP($E$7,BASEPOE3,3294,FALSE)</f>
        <v>0</v>
      </c>
      <c r="AN228" s="90">
        <f>VLOOKUP($E$7,BASEPOE3,3295,FALSE)</f>
        <v>0</v>
      </c>
      <c r="AO228" s="90">
        <f>VLOOKUP($E$7,BASEPOE3,3296,FALSE)</f>
        <v>0</v>
      </c>
      <c r="AP228" s="90">
        <f>VLOOKUP($E$7,BASEPOE3,3297,FALSE)</f>
        <v>0</v>
      </c>
      <c r="AQ228" s="90">
        <f>VLOOKUP($E$7,BASEPOE3,3298,FALSE)</f>
        <v>0</v>
      </c>
      <c r="AR228" s="90">
        <f>VLOOKUP($E$7,BASEPOE3,3299,FALSE)</f>
        <v>0</v>
      </c>
      <c r="AS228" s="90">
        <f>VLOOKUP($E$7,BASEPOE3,3300,FALSE)</f>
        <v>0</v>
      </c>
      <c r="AT228" s="90">
        <f>VLOOKUP($E$7,BASEPOE3,3301,FALSE)</f>
        <v>0</v>
      </c>
    </row>
    <row r="229" spans="1:46" x14ac:dyDescent="0.3">
      <c r="A229" s="152"/>
      <c r="B229" s="60">
        <v>76</v>
      </c>
      <c r="C229" s="92">
        <f>VLOOKUP($E$7,BASEPOE3,3302,FALSE)</f>
        <v>0</v>
      </c>
      <c r="D229" s="88">
        <f>VLOOKUP($E$7,BASEPOE3,3303,FALSE)</f>
        <v>0</v>
      </c>
      <c r="E229" s="62">
        <f>VLOOKUP($E$7,BASEPOE3,3304,FALSE)</f>
        <v>0</v>
      </c>
      <c r="F229" s="88">
        <f>VLOOKUP($E$7,BASEPOE3,3305,FALSE)</f>
        <v>0</v>
      </c>
      <c r="G229" s="88">
        <f>VLOOKUP($E$7,BASEPOE3,3306,FALSE)</f>
        <v>0</v>
      </c>
      <c r="H229" s="89">
        <f>VLOOKUP($E$7,BASEPOE3,3307,FALSE)</f>
        <v>0</v>
      </c>
      <c r="I229" s="89">
        <f>VLOOKUP($E$7,BASEPOE3,3308,FALSE)</f>
        <v>0</v>
      </c>
      <c r="J229" s="89">
        <f>VLOOKUP($E$7,BASEPOE3,3309,FALSE)</f>
        <v>0</v>
      </c>
      <c r="K229" s="89">
        <f>VLOOKUP($E$7,BASEPOE3,3310,FALSE)</f>
        <v>0</v>
      </c>
      <c r="L229" s="89">
        <f>VLOOKUP($E$7,BASEPOE3,3311,FALSE)</f>
        <v>0</v>
      </c>
      <c r="M229" s="89">
        <f>VLOOKUP($E$7,BASEPOE3,3312,FALSE)</f>
        <v>0</v>
      </c>
      <c r="N229" s="89">
        <f>VLOOKUP($E$7,BASEPOE3,3313,FALSE)</f>
        <v>0</v>
      </c>
      <c r="O229" s="89">
        <f>VLOOKUP($E$7,BASEPOE3,3314,FALSE)</f>
        <v>0</v>
      </c>
      <c r="P229" s="89">
        <f>VLOOKUP($E$7,BASEPOE3,3315,FALSE)</f>
        <v>0</v>
      </c>
      <c r="Q229" s="89">
        <f>VLOOKUP($E$7,BASEPOE3,3316,FALSE)</f>
        <v>0</v>
      </c>
      <c r="R229" s="89">
        <f>VLOOKUP($E$7,BASEPOE3,3317,FALSE)</f>
        <v>0</v>
      </c>
      <c r="S229" s="89">
        <f>VLOOKUP($E$7,BASEPOE3,3318,FALSE)</f>
        <v>0</v>
      </c>
      <c r="T229" s="89">
        <f>VLOOKUP($E$7,BASEPOE3,3319,FALSE)</f>
        <v>0</v>
      </c>
      <c r="U229" s="89">
        <f>VLOOKUP($E$7,BASEPOE3,3320,FALSE)</f>
        <v>0</v>
      </c>
      <c r="V229" s="89">
        <f>VLOOKUP($E$7,BASEPOE3,3321,FALSE)</f>
        <v>0</v>
      </c>
      <c r="W229" s="89">
        <f>VLOOKUP($E$7,BASEPOE3,3322,FALSE)</f>
        <v>0</v>
      </c>
      <c r="X229" s="89">
        <f>VLOOKUP($E$7,BASEPOE3,3323,FALSE)</f>
        <v>0</v>
      </c>
      <c r="Y229" s="89">
        <f>VLOOKUP($E$7,BASEPOE3,3324,FALSE)</f>
        <v>0</v>
      </c>
      <c r="Z229" s="89">
        <f>VLOOKUP($E$7,BASEPOE3,3325,FALSE)</f>
        <v>0</v>
      </c>
      <c r="AA229" s="89">
        <f>VLOOKUP($E$7,BASEPOE3,3326,FALSE)</f>
        <v>0</v>
      </c>
      <c r="AB229" s="89">
        <f>VLOOKUP($E$7,BASEPOE3,3327,FALSE)</f>
        <v>0</v>
      </c>
      <c r="AC229" s="88">
        <f>VLOOKUP($E$7,BASEPOE3,3328,FALSE)</f>
        <v>0</v>
      </c>
      <c r="AD229" s="88">
        <f>VLOOKUP($E$7,BASEPOE3,3329,FALSE)</f>
        <v>0</v>
      </c>
      <c r="AE229" s="88">
        <f>VLOOKUP($E$7,BASEPOE3,3330,FALSE)</f>
        <v>0</v>
      </c>
      <c r="AF229" s="88">
        <f>VLOOKUP($E$7,BASEPOE3,3331,FALSE)</f>
        <v>0</v>
      </c>
      <c r="AG229" s="88">
        <f>VLOOKUP($E$7,BASEPOE3,3332,FALSE)</f>
        <v>0</v>
      </c>
      <c r="AH229" s="88">
        <f>VLOOKUP($E$7,BASEPOE3,3333,FALSE)</f>
        <v>0</v>
      </c>
      <c r="AI229" s="88">
        <f>VLOOKUP($E$7,BASEPOE3,3334,FALSE)</f>
        <v>0</v>
      </c>
      <c r="AJ229" s="88">
        <f>VLOOKUP($E$7,BASEPOE3,3335,FALSE)</f>
        <v>0</v>
      </c>
      <c r="AK229" s="88">
        <f>VLOOKUP($E$7,BASEPOE3,3336,FALSE)</f>
        <v>0</v>
      </c>
      <c r="AL229" s="88">
        <f>VLOOKUP($E$7,BASEPOE3,3337,FALSE)</f>
        <v>0</v>
      </c>
      <c r="AM229" s="88">
        <f>VLOOKUP($E$7,BASEPOE3,3338,FALSE)</f>
        <v>0</v>
      </c>
      <c r="AN229" s="88">
        <f>VLOOKUP($E$7,BASEPOE3,3339,FALSE)</f>
        <v>0</v>
      </c>
      <c r="AO229" s="88">
        <f>VLOOKUP($E$7,BASEPOE3,3340,FALSE)</f>
        <v>0</v>
      </c>
      <c r="AP229" s="88">
        <f>VLOOKUP($E$7,BASEPOE3,3341,FALSE)</f>
        <v>0</v>
      </c>
      <c r="AQ229" s="88">
        <f>VLOOKUP($E$7,BASEPOE3,3342,FALSE)</f>
        <v>0</v>
      </c>
      <c r="AR229" s="88">
        <f>VLOOKUP($E$7,BASEPOE3,3343,FALSE)</f>
        <v>0</v>
      </c>
      <c r="AS229" s="88">
        <f>VLOOKUP($E$7,BASEPOE3,3344,FALSE)</f>
        <v>0</v>
      </c>
      <c r="AT229" s="88">
        <f>VLOOKUP($E$7,BASEPOE3,3345,FALSE)</f>
        <v>0</v>
      </c>
    </row>
    <row r="230" spans="1:46" x14ac:dyDescent="0.3">
      <c r="A230" s="152"/>
      <c r="B230" s="34">
        <v>77</v>
      </c>
      <c r="C230" s="93">
        <f>VLOOKUP($E$7,BASEPOE3,3346,FALSE)</f>
        <v>0</v>
      </c>
      <c r="D230" s="90">
        <f>VLOOKUP($E$7,BASEPOE3,3347,FALSE)</f>
        <v>0</v>
      </c>
      <c r="E230" s="61">
        <f>VLOOKUP($E$7,BASEPOE3,3348,FALSE)</f>
        <v>0</v>
      </c>
      <c r="F230" s="90">
        <f>VLOOKUP($E$7,BASEPOE3,3349,FALSE)</f>
        <v>0</v>
      </c>
      <c r="G230" s="90">
        <f>VLOOKUP($E$7,BASEPOE3,3350,FALSE)</f>
        <v>0</v>
      </c>
      <c r="H230" s="91">
        <f>VLOOKUP($E$7,BASEPOE3,3351,FALSE)</f>
        <v>0</v>
      </c>
      <c r="I230" s="91">
        <f>VLOOKUP($E$7,BASEPOE3,3352,FALSE)</f>
        <v>0</v>
      </c>
      <c r="J230" s="91">
        <f>VLOOKUP($E$7,BASEPOE3,3353,FALSE)</f>
        <v>0</v>
      </c>
      <c r="K230" s="91">
        <f>VLOOKUP($E$7,BASEPOE3,3354,FALSE)</f>
        <v>0</v>
      </c>
      <c r="L230" s="91">
        <f>VLOOKUP($E$7,BASEPOE3,3355,FALSE)</f>
        <v>0</v>
      </c>
      <c r="M230" s="91">
        <f>VLOOKUP($E$7,BASEPOE3,3356,FALSE)</f>
        <v>0</v>
      </c>
      <c r="N230" s="91">
        <f>VLOOKUP($E$7,BASEPOE3,3357,FALSE)</f>
        <v>0</v>
      </c>
      <c r="O230" s="91">
        <f>VLOOKUP($E$7,BASEPOE3,3358,FALSE)</f>
        <v>0</v>
      </c>
      <c r="P230" s="91">
        <f>VLOOKUP($E$7,BASEPOE3,3359,FALSE)</f>
        <v>0</v>
      </c>
      <c r="Q230" s="91">
        <f>VLOOKUP($E$7,BASEPOE3,3360,FALSE)</f>
        <v>0</v>
      </c>
      <c r="R230" s="91">
        <f>VLOOKUP($E$7,BASEPOE3,3361,FALSE)</f>
        <v>0</v>
      </c>
      <c r="S230" s="91">
        <f>VLOOKUP($E$7,BASEPOE3,3362,FALSE)</f>
        <v>0</v>
      </c>
      <c r="T230" s="91">
        <f>VLOOKUP($E$7,BASEPOE3,3363,FALSE)</f>
        <v>0</v>
      </c>
      <c r="U230" s="91">
        <f>VLOOKUP($E$7,BASEPOE3,3364,FALSE)</f>
        <v>0</v>
      </c>
      <c r="V230" s="91">
        <f>VLOOKUP($E$7,BASEPOE3,3365,FALSE)</f>
        <v>0</v>
      </c>
      <c r="W230" s="91">
        <f>VLOOKUP($E$7,BASEPOE3,3366,FALSE)</f>
        <v>0</v>
      </c>
      <c r="X230" s="91">
        <f>VLOOKUP($E$7,BASEPOE3,3367,FALSE)</f>
        <v>0</v>
      </c>
      <c r="Y230" s="91">
        <f>VLOOKUP($E$7,BASEPOE3,3368,FALSE)</f>
        <v>0</v>
      </c>
      <c r="Z230" s="91">
        <f>VLOOKUP($E$7,BASEPOE3,3369,FALSE)</f>
        <v>0</v>
      </c>
      <c r="AA230" s="91">
        <f>VLOOKUP($E$7,BASEPOE3,3370,FALSE)</f>
        <v>0</v>
      </c>
      <c r="AB230" s="91">
        <f>VLOOKUP($E$7,BASEPOE3,3371,FALSE)</f>
        <v>0</v>
      </c>
      <c r="AC230" s="90">
        <f>VLOOKUP($E$7,BASEPOE3,3372,FALSE)</f>
        <v>0</v>
      </c>
      <c r="AD230" s="90">
        <f>VLOOKUP($E$7,BASEPOE3,3373,FALSE)</f>
        <v>0</v>
      </c>
      <c r="AE230" s="90">
        <f>VLOOKUP($E$7,BASEPOE3,3374,FALSE)</f>
        <v>0</v>
      </c>
      <c r="AF230" s="90">
        <f>VLOOKUP($E$7,BASEPOE3,3375,FALSE)</f>
        <v>0</v>
      </c>
      <c r="AG230" s="90">
        <f>VLOOKUP($E$7,BASEPOE3,3376,FALSE)</f>
        <v>0</v>
      </c>
      <c r="AH230" s="90">
        <f>VLOOKUP($E$7,BASEPOE3,3377,FALSE)</f>
        <v>0</v>
      </c>
      <c r="AI230" s="90">
        <f>VLOOKUP($E$7,BASEPOE3,3378,FALSE)</f>
        <v>0</v>
      </c>
      <c r="AJ230" s="90">
        <f>VLOOKUP($E$7,BASEPOE3,3379,FALSE)</f>
        <v>0</v>
      </c>
      <c r="AK230" s="90">
        <f>VLOOKUP($E$7,BASEPOE3,3380,FALSE)</f>
        <v>0</v>
      </c>
      <c r="AL230" s="90">
        <f>VLOOKUP($E$7,BASEPOE3,3381,FALSE)</f>
        <v>0</v>
      </c>
      <c r="AM230" s="90">
        <f>VLOOKUP($E$7,BASEPOE3,3382,FALSE)</f>
        <v>0</v>
      </c>
      <c r="AN230" s="90">
        <f>VLOOKUP($E$7,BASEPOE3,3383,FALSE)</f>
        <v>0</v>
      </c>
      <c r="AO230" s="90">
        <f>VLOOKUP($E$7,BASEPOE3,3384,FALSE)</f>
        <v>0</v>
      </c>
      <c r="AP230" s="90">
        <f>VLOOKUP($E$7,BASEPOE3,3385,FALSE)</f>
        <v>0</v>
      </c>
      <c r="AQ230" s="90">
        <f>VLOOKUP($E$7,BASEPOE3,3386,FALSE)</f>
        <v>0</v>
      </c>
      <c r="AR230" s="90">
        <f>VLOOKUP($E$7,BASEPOE3,3387,FALSE)</f>
        <v>0</v>
      </c>
      <c r="AS230" s="90">
        <f>VLOOKUP($E$7,BASEPOE3,3388,FALSE)</f>
        <v>0</v>
      </c>
      <c r="AT230" s="90">
        <f>VLOOKUP($E$7,BASEPOE3,3389,FALSE)</f>
        <v>0</v>
      </c>
    </row>
    <row r="231" spans="1:46" x14ac:dyDescent="0.3">
      <c r="A231" s="152"/>
      <c r="B231" s="60">
        <v>78</v>
      </c>
      <c r="C231" s="92">
        <f>VLOOKUP($E$7,BASEPOE3,3390,FALSE)</f>
        <v>0</v>
      </c>
      <c r="D231" s="88">
        <f>VLOOKUP($E$7,BASEPOE3,3391,FALSE)</f>
        <v>0</v>
      </c>
      <c r="E231" s="62">
        <f>VLOOKUP($E$7,BASEPOE3,3392,FALSE)</f>
        <v>0</v>
      </c>
      <c r="F231" s="88">
        <f>VLOOKUP($E$7,BASEPOE3,3393,FALSE)</f>
        <v>0</v>
      </c>
      <c r="G231" s="88">
        <f>VLOOKUP($E$7,BASEPOE3,3394,FALSE)</f>
        <v>0</v>
      </c>
      <c r="H231" s="89">
        <f>VLOOKUP($E$7,BASEPOE3,3395,FALSE)</f>
        <v>0</v>
      </c>
      <c r="I231" s="89">
        <f>VLOOKUP($E$7,BASEPOE3,3396,FALSE)</f>
        <v>0</v>
      </c>
      <c r="J231" s="89">
        <f>VLOOKUP($E$7,BASEPOE3,3397,FALSE)</f>
        <v>0</v>
      </c>
      <c r="K231" s="89">
        <f>VLOOKUP($E$7,BASEPOE3,3398,FALSE)</f>
        <v>0</v>
      </c>
      <c r="L231" s="89">
        <f>VLOOKUP($E$7,BASEPOE3,3399,FALSE)</f>
        <v>0</v>
      </c>
      <c r="M231" s="89">
        <f>VLOOKUP($E$7,BASEPOE3,3400,FALSE)</f>
        <v>0</v>
      </c>
      <c r="N231" s="89">
        <f>VLOOKUP($E$7,BASEPOE3,3401,FALSE)</f>
        <v>0</v>
      </c>
      <c r="O231" s="89">
        <f>VLOOKUP($E$7,BASEPOE3,3402,FALSE)</f>
        <v>0</v>
      </c>
      <c r="P231" s="89">
        <f>VLOOKUP($E$7,BASEPOE3,3403,FALSE)</f>
        <v>0</v>
      </c>
      <c r="Q231" s="89">
        <f>VLOOKUP($E$7,BASEPOE3,3404,FALSE)</f>
        <v>0</v>
      </c>
      <c r="R231" s="89">
        <f>VLOOKUP($E$7,BASEPOE3,3405,FALSE)</f>
        <v>0</v>
      </c>
      <c r="S231" s="89">
        <f>VLOOKUP($E$7,BASEPOE3,3406,FALSE)</f>
        <v>0</v>
      </c>
      <c r="T231" s="89">
        <f>VLOOKUP($E$7,BASEPOE3,3407,FALSE)</f>
        <v>0</v>
      </c>
      <c r="U231" s="89">
        <f>VLOOKUP($E$7,BASEPOE3,3408,FALSE)</f>
        <v>0</v>
      </c>
      <c r="V231" s="89">
        <f>VLOOKUP($E$7,BASEPOE3,3409,FALSE)</f>
        <v>0</v>
      </c>
      <c r="W231" s="89">
        <f>VLOOKUP($E$7,BASEPOE3,3410,FALSE)</f>
        <v>0</v>
      </c>
      <c r="X231" s="89">
        <f>VLOOKUP($E$7,BASEPOE3,3411,FALSE)</f>
        <v>0</v>
      </c>
      <c r="Y231" s="89">
        <f>VLOOKUP($E$7,BASEPOE3,3412,FALSE)</f>
        <v>0</v>
      </c>
      <c r="Z231" s="89">
        <f>VLOOKUP($E$7,BASEPOE3,3413,FALSE)</f>
        <v>0</v>
      </c>
      <c r="AA231" s="89">
        <f>VLOOKUP($E$7,BASEPOE3,3414,FALSE)</f>
        <v>0</v>
      </c>
      <c r="AB231" s="89">
        <f>VLOOKUP($E$7,BASEPOE3,3415,FALSE)</f>
        <v>0</v>
      </c>
      <c r="AC231" s="88">
        <f>VLOOKUP($E$7,BASEPOE3,3416,FALSE)</f>
        <v>0</v>
      </c>
      <c r="AD231" s="88">
        <f>VLOOKUP($E$7,BASEPOE3,3417,FALSE)</f>
        <v>0</v>
      </c>
      <c r="AE231" s="88">
        <f>VLOOKUP($E$7,BASEPOE3,3418,FALSE)</f>
        <v>0</v>
      </c>
      <c r="AF231" s="88">
        <f>VLOOKUP($E$7,BASEPOE3,3419,FALSE)</f>
        <v>0</v>
      </c>
      <c r="AG231" s="88">
        <f>VLOOKUP($E$7,BASEPOE3,3420,FALSE)</f>
        <v>0</v>
      </c>
      <c r="AH231" s="88">
        <f>VLOOKUP($E$7,BASEPOE3,3421,FALSE)</f>
        <v>0</v>
      </c>
      <c r="AI231" s="88">
        <f>VLOOKUP($E$7,BASEPOE3,3422,FALSE)</f>
        <v>0</v>
      </c>
      <c r="AJ231" s="88">
        <f>VLOOKUP($E$7,BASEPOE3,3423,FALSE)</f>
        <v>0</v>
      </c>
      <c r="AK231" s="88">
        <f>VLOOKUP($E$7,BASEPOE3,3424,FALSE)</f>
        <v>0</v>
      </c>
      <c r="AL231" s="88">
        <f>VLOOKUP($E$7,BASEPOE3,3425,FALSE)</f>
        <v>0</v>
      </c>
      <c r="AM231" s="88">
        <f>VLOOKUP($E$7,BASEPOE3,3426,FALSE)</f>
        <v>0</v>
      </c>
      <c r="AN231" s="88">
        <f>VLOOKUP($E$7,BASEPOE3,3427,FALSE)</f>
        <v>0</v>
      </c>
      <c r="AO231" s="88">
        <f>VLOOKUP($E$7,BASEPOE3,3428,FALSE)</f>
        <v>0</v>
      </c>
      <c r="AP231" s="88">
        <f>VLOOKUP($E$7,BASEPOE3,3429,FALSE)</f>
        <v>0</v>
      </c>
      <c r="AQ231" s="88">
        <f>VLOOKUP($E$7,BASEPOE3,3430,FALSE)</f>
        <v>0</v>
      </c>
      <c r="AR231" s="88">
        <f>VLOOKUP($E$7,BASEPOE3,3431,FALSE)</f>
        <v>0</v>
      </c>
      <c r="AS231" s="88">
        <f>VLOOKUP($E$7,BASEPOE3,3432,FALSE)</f>
        <v>0</v>
      </c>
      <c r="AT231" s="88">
        <f>VLOOKUP($E$7,BASEPOE3,3433,FALSE)</f>
        <v>0</v>
      </c>
    </row>
    <row r="232" spans="1:46" x14ac:dyDescent="0.3">
      <c r="A232" s="152"/>
      <c r="B232" s="34">
        <v>79</v>
      </c>
      <c r="C232" s="93">
        <f>VLOOKUP($E$7,BASEPOE3,3434,FALSE)</f>
        <v>0</v>
      </c>
      <c r="D232" s="90">
        <f>VLOOKUP($E$7,BASEPOE3,3435,FALSE)</f>
        <v>0</v>
      </c>
      <c r="E232" s="61">
        <f>VLOOKUP($E$7,BASEPOE3,3436,FALSE)</f>
        <v>0</v>
      </c>
      <c r="F232" s="90">
        <f>VLOOKUP($E$7,BASEPOE3,3437,FALSE)</f>
        <v>0</v>
      </c>
      <c r="G232" s="90">
        <f>VLOOKUP($E$7,BASEPOE3,3438,FALSE)</f>
        <v>0</v>
      </c>
      <c r="H232" s="91">
        <f>VLOOKUP($E$7,BASEPOE3,3439,FALSE)</f>
        <v>0</v>
      </c>
      <c r="I232" s="91">
        <f>VLOOKUP($E$7,BASEPOE3,3440,FALSE)</f>
        <v>0</v>
      </c>
      <c r="J232" s="91">
        <f>VLOOKUP($E$7,BASEPOE3,3441,FALSE)</f>
        <v>0</v>
      </c>
      <c r="K232" s="91">
        <f>VLOOKUP($E$7,BASEPOE3,3442,FALSE)</f>
        <v>0</v>
      </c>
      <c r="L232" s="91">
        <f>VLOOKUP($E$7,BASEPOE3,3443,FALSE)</f>
        <v>0</v>
      </c>
      <c r="M232" s="91">
        <f>VLOOKUP($E$7,BASEPOE3,3444,FALSE)</f>
        <v>0</v>
      </c>
      <c r="N232" s="91">
        <f>VLOOKUP($E$7,BASEPOE3,3445,FALSE)</f>
        <v>0</v>
      </c>
      <c r="O232" s="91">
        <f>VLOOKUP($E$7,BASEPOE3,3446,FALSE)</f>
        <v>0</v>
      </c>
      <c r="P232" s="91">
        <f>VLOOKUP($E$7,BASEPOE3,3447,FALSE)</f>
        <v>0</v>
      </c>
      <c r="Q232" s="91">
        <f>VLOOKUP($E$7,BASEPOE3,3448,FALSE)</f>
        <v>0</v>
      </c>
      <c r="R232" s="91">
        <f>VLOOKUP($E$7,BASEPOE3,3449,FALSE)</f>
        <v>0</v>
      </c>
      <c r="S232" s="91">
        <f>VLOOKUP($E$7,BASEPOE3,3450,FALSE)</f>
        <v>0</v>
      </c>
      <c r="T232" s="91">
        <f>VLOOKUP($E$7,BASEPOE3,3451,FALSE)</f>
        <v>0</v>
      </c>
      <c r="U232" s="91">
        <f>VLOOKUP($E$7,BASEPOE3,3452,FALSE)</f>
        <v>0</v>
      </c>
      <c r="V232" s="91">
        <f>VLOOKUP($E$7,BASEPOE3,3453,FALSE)</f>
        <v>0</v>
      </c>
      <c r="W232" s="91">
        <f>VLOOKUP($E$7,BASEPOE3,3454,FALSE)</f>
        <v>0</v>
      </c>
      <c r="X232" s="91">
        <f>VLOOKUP($E$7,BASEPOE3,3455,FALSE)</f>
        <v>0</v>
      </c>
      <c r="Y232" s="91">
        <f>VLOOKUP($E$7,BASEPOE3,3456,FALSE)</f>
        <v>0</v>
      </c>
      <c r="Z232" s="91">
        <f>VLOOKUP($E$7,BASEPOE3,3457,FALSE)</f>
        <v>0</v>
      </c>
      <c r="AA232" s="91">
        <f>VLOOKUP($E$7,BASEPOE3,3458,FALSE)</f>
        <v>0</v>
      </c>
      <c r="AB232" s="91">
        <f>VLOOKUP($E$7,BASEPOE3,3459,FALSE)</f>
        <v>0</v>
      </c>
      <c r="AC232" s="90">
        <f>VLOOKUP($E$7,BASEPOE3,3460,FALSE)</f>
        <v>0</v>
      </c>
      <c r="AD232" s="90">
        <f>VLOOKUP($E$7,BASEPOE3,3461,FALSE)</f>
        <v>0</v>
      </c>
      <c r="AE232" s="90">
        <f>VLOOKUP($E$7,BASEPOE3,3462,FALSE)</f>
        <v>0</v>
      </c>
      <c r="AF232" s="90">
        <f>VLOOKUP($E$7,BASEPOE3,3463,FALSE)</f>
        <v>0</v>
      </c>
      <c r="AG232" s="90">
        <f>VLOOKUP($E$7,BASEPOE3,3464,FALSE)</f>
        <v>0</v>
      </c>
      <c r="AH232" s="90">
        <f>VLOOKUP($E$7,BASEPOE3,3465,FALSE)</f>
        <v>0</v>
      </c>
      <c r="AI232" s="90">
        <f>VLOOKUP($E$7,BASEPOE3,3466,FALSE)</f>
        <v>0</v>
      </c>
      <c r="AJ232" s="90">
        <f>VLOOKUP($E$7,BASEPOE3,3467,FALSE)</f>
        <v>0</v>
      </c>
      <c r="AK232" s="90">
        <f>VLOOKUP($E$7,BASEPOE3,3468,FALSE)</f>
        <v>0</v>
      </c>
      <c r="AL232" s="90">
        <f>VLOOKUP($E$7,BASEPOE3,3469,FALSE)</f>
        <v>0</v>
      </c>
      <c r="AM232" s="90">
        <f>VLOOKUP($E$7,BASEPOE3,3470,FALSE)</f>
        <v>0</v>
      </c>
      <c r="AN232" s="90">
        <f>VLOOKUP($E$7,BASEPOE3,3471,FALSE)</f>
        <v>0</v>
      </c>
      <c r="AO232" s="90">
        <f>VLOOKUP($E$7,BASEPOE3,3472,FALSE)</f>
        <v>0</v>
      </c>
      <c r="AP232" s="90">
        <f>VLOOKUP($E$7,BASEPOE3,3473,FALSE)</f>
        <v>0</v>
      </c>
      <c r="AQ232" s="90">
        <f>VLOOKUP($E$7,BASEPOE3,3474,FALSE)</f>
        <v>0</v>
      </c>
      <c r="AR232" s="90">
        <f>VLOOKUP($E$7,BASEPOE3,3475,FALSE)</f>
        <v>0</v>
      </c>
      <c r="AS232" s="90">
        <f>VLOOKUP($E$7,BASEPOE3,3476,FALSE)</f>
        <v>0</v>
      </c>
      <c r="AT232" s="90">
        <f>VLOOKUP($E$7,BASEPOE3,3477,FALSE)</f>
        <v>0</v>
      </c>
    </row>
    <row r="233" spans="1:46" x14ac:dyDescent="0.3">
      <c r="A233" s="152"/>
      <c r="B233" s="60">
        <v>80</v>
      </c>
      <c r="C233" s="92">
        <f>VLOOKUP($E$7,BASEPOE3,3478,FALSE)</f>
        <v>0</v>
      </c>
      <c r="D233" s="88">
        <f>VLOOKUP($E$7,BASEPOE3,3479,FALSE)</f>
        <v>0</v>
      </c>
      <c r="E233" s="62">
        <f>VLOOKUP($E$7,BASEPOE3,3480,FALSE)</f>
        <v>0</v>
      </c>
      <c r="F233" s="88">
        <f>VLOOKUP($E$7,BASEPOE3,3481,FALSE)</f>
        <v>0</v>
      </c>
      <c r="G233" s="88">
        <f>VLOOKUP($E$7,BASEPOE3,3482,FALSE)</f>
        <v>0</v>
      </c>
      <c r="H233" s="89">
        <f>VLOOKUP($E$7,BASEPOE3,3483,FALSE)</f>
        <v>0</v>
      </c>
      <c r="I233" s="89">
        <f>VLOOKUP($E$7,BASEPOE3,3484,FALSE)</f>
        <v>0</v>
      </c>
      <c r="J233" s="89">
        <f>VLOOKUP($E$7,BASEPOE3,3485,FALSE)</f>
        <v>0</v>
      </c>
      <c r="K233" s="89">
        <f>VLOOKUP($E$7,BASEPOE3,3486,FALSE)</f>
        <v>0</v>
      </c>
      <c r="L233" s="89">
        <f>VLOOKUP($E$7,BASEPOE3,3487,FALSE)</f>
        <v>0</v>
      </c>
      <c r="M233" s="89">
        <f>VLOOKUP($E$7,BASEPOE3,3488,FALSE)</f>
        <v>0</v>
      </c>
      <c r="N233" s="89">
        <f>VLOOKUP($E$7,BASEPOE3,3489,FALSE)</f>
        <v>0</v>
      </c>
      <c r="O233" s="89">
        <f>VLOOKUP($E$7,BASEPOE3,3490,FALSE)</f>
        <v>0</v>
      </c>
      <c r="P233" s="89">
        <f>VLOOKUP($E$7,BASEPOE3,3491,FALSE)</f>
        <v>0</v>
      </c>
      <c r="Q233" s="89">
        <f>VLOOKUP($E$7,BASEPOE3,3492,FALSE)</f>
        <v>0</v>
      </c>
      <c r="R233" s="89">
        <f>VLOOKUP($E$7,BASEPOE3,3493,FALSE)</f>
        <v>0</v>
      </c>
      <c r="S233" s="89">
        <f>VLOOKUP($E$7,BASEPOE3,3494,FALSE)</f>
        <v>0</v>
      </c>
      <c r="T233" s="89">
        <f>VLOOKUP($E$7,BASEPOE3,3495,FALSE)</f>
        <v>0</v>
      </c>
      <c r="U233" s="89">
        <f>VLOOKUP($E$7,BASEPOE3,3496,FALSE)</f>
        <v>0</v>
      </c>
      <c r="V233" s="89">
        <f>VLOOKUP($E$7,BASEPOE3,3497,FALSE)</f>
        <v>0</v>
      </c>
      <c r="W233" s="89">
        <f>VLOOKUP($E$7,BASEPOE3,3498,FALSE)</f>
        <v>0</v>
      </c>
      <c r="X233" s="89">
        <f>VLOOKUP($E$7,BASEPOE3,3499,FALSE)</f>
        <v>0</v>
      </c>
      <c r="Y233" s="89">
        <f>VLOOKUP($E$7,BASEPOE3,3500,FALSE)</f>
        <v>0</v>
      </c>
      <c r="Z233" s="89">
        <f>VLOOKUP($E$7,BASEPOE3,3501,FALSE)</f>
        <v>0</v>
      </c>
      <c r="AA233" s="89">
        <f>VLOOKUP($E$7,BASEPOE3,3502,FALSE)</f>
        <v>0</v>
      </c>
      <c r="AB233" s="89">
        <f>VLOOKUP($E$7,BASEPOE3,3503,FALSE)</f>
        <v>0</v>
      </c>
      <c r="AC233" s="88">
        <f>VLOOKUP($E$7,BASEPOE3,3504,FALSE)</f>
        <v>0</v>
      </c>
      <c r="AD233" s="88">
        <f>VLOOKUP($E$7,BASEPOE3,3505,FALSE)</f>
        <v>0</v>
      </c>
      <c r="AE233" s="88">
        <f>VLOOKUP($E$7,BASEPOE3,3506,FALSE)</f>
        <v>0</v>
      </c>
      <c r="AF233" s="88">
        <f>VLOOKUP($E$7,BASEPOE3,3507,FALSE)</f>
        <v>0</v>
      </c>
      <c r="AG233" s="88">
        <f>VLOOKUP($E$7,BASEPOE3,3508,FALSE)</f>
        <v>0</v>
      </c>
      <c r="AH233" s="88">
        <f>VLOOKUP($E$7,BASEPOE3,3509,FALSE)</f>
        <v>0</v>
      </c>
      <c r="AI233" s="88">
        <f>VLOOKUP($E$7,BASEPOE3,3510,FALSE)</f>
        <v>0</v>
      </c>
      <c r="AJ233" s="88">
        <f>VLOOKUP($E$7,BASEPOE3,3511,FALSE)</f>
        <v>0</v>
      </c>
      <c r="AK233" s="88">
        <f>VLOOKUP($E$7,BASEPOE3,3512,FALSE)</f>
        <v>0</v>
      </c>
      <c r="AL233" s="88">
        <f>VLOOKUP($E$7,BASEPOE3,3513,FALSE)</f>
        <v>0</v>
      </c>
      <c r="AM233" s="88">
        <f>VLOOKUP($E$7,BASEPOE3,3514,FALSE)</f>
        <v>0</v>
      </c>
      <c r="AN233" s="88">
        <f>VLOOKUP($E$7,BASEPOE3,3515,FALSE)</f>
        <v>0</v>
      </c>
      <c r="AO233" s="88">
        <f>VLOOKUP($E$7,BASEPOE3,3516,FALSE)</f>
        <v>0</v>
      </c>
      <c r="AP233" s="88">
        <f>VLOOKUP($E$7,BASEPOE3,3517,FALSE)</f>
        <v>0</v>
      </c>
      <c r="AQ233" s="88">
        <f>VLOOKUP($E$7,BASEPOE3,3518,FALSE)</f>
        <v>0</v>
      </c>
      <c r="AR233" s="88">
        <f>VLOOKUP($E$7,BASEPOE3,3519,FALSE)</f>
        <v>0</v>
      </c>
      <c r="AS233" s="88">
        <f>VLOOKUP($E$7,BASEPOE3,3520,FALSE)</f>
        <v>0</v>
      </c>
      <c r="AT233" s="88">
        <f>VLOOKUP($E$7,BASEPOE3,3521,FALSE)</f>
        <v>0</v>
      </c>
    </row>
    <row r="234" spans="1:46" x14ac:dyDescent="0.3">
      <c r="A234" s="152"/>
      <c r="B234" s="34">
        <v>81</v>
      </c>
      <c r="C234" s="93">
        <f>VLOOKUP($E$7,BASEPOE3,3522,FALSE)</f>
        <v>0</v>
      </c>
      <c r="D234" s="90">
        <f>VLOOKUP($E$7,BASEPOE3,3523,FALSE)</f>
        <v>0</v>
      </c>
      <c r="E234" s="61">
        <f>VLOOKUP($E$7,BASEPOE3,3524,FALSE)</f>
        <v>0</v>
      </c>
      <c r="F234" s="90">
        <f>VLOOKUP($E$7,BASEPOE3,3525,FALSE)</f>
        <v>0</v>
      </c>
      <c r="G234" s="90">
        <f>VLOOKUP($E$7,BASEPOE3,3526,FALSE)</f>
        <v>0</v>
      </c>
      <c r="H234" s="91">
        <f>VLOOKUP($E$7,BASEPOE3,3527,FALSE)</f>
        <v>0</v>
      </c>
      <c r="I234" s="91">
        <f>VLOOKUP($E$7,BASEPOE3,3528,FALSE)</f>
        <v>0</v>
      </c>
      <c r="J234" s="91">
        <f>VLOOKUP($E$7,BASEPOE3,3529,FALSE)</f>
        <v>0</v>
      </c>
      <c r="K234" s="91">
        <f>VLOOKUP($E$7,BASEPOE3,3530,FALSE)</f>
        <v>0</v>
      </c>
      <c r="L234" s="91">
        <f>VLOOKUP($E$7,BASEPOE3,3531,FALSE)</f>
        <v>0</v>
      </c>
      <c r="M234" s="91">
        <f>VLOOKUP($E$7,BASEPOE3,3532,FALSE)</f>
        <v>0</v>
      </c>
      <c r="N234" s="91">
        <f>VLOOKUP($E$7,BASEPOE3,3533,FALSE)</f>
        <v>0</v>
      </c>
      <c r="O234" s="91">
        <f>VLOOKUP($E$7,BASEPOE3,3534,FALSE)</f>
        <v>0</v>
      </c>
      <c r="P234" s="91">
        <f>VLOOKUP($E$7,BASEPOE3,3535,FALSE)</f>
        <v>0</v>
      </c>
      <c r="Q234" s="91">
        <f>VLOOKUP($E$7,BASEPOE3,3536,FALSE)</f>
        <v>0</v>
      </c>
      <c r="R234" s="91">
        <f>VLOOKUP($E$7,BASEPOE3,3537,FALSE)</f>
        <v>0</v>
      </c>
      <c r="S234" s="91">
        <f>VLOOKUP($E$7,BASEPOE3,3538,FALSE)</f>
        <v>0</v>
      </c>
      <c r="T234" s="91">
        <f>VLOOKUP($E$7,BASEPOE3,3539,FALSE)</f>
        <v>0</v>
      </c>
      <c r="U234" s="91">
        <f>VLOOKUP($E$7,BASEPOE3,3540,FALSE)</f>
        <v>0</v>
      </c>
      <c r="V234" s="91">
        <f>VLOOKUP($E$7,BASEPOE3,3541,FALSE)</f>
        <v>0</v>
      </c>
      <c r="W234" s="91">
        <f>VLOOKUP($E$7,BASEPOE3,3542,FALSE)</f>
        <v>0</v>
      </c>
      <c r="X234" s="91">
        <f>VLOOKUP($E$7,BASEPOE3,3543,FALSE)</f>
        <v>0</v>
      </c>
      <c r="Y234" s="91">
        <f>VLOOKUP($E$7,BASEPOE3,3544,FALSE)</f>
        <v>0</v>
      </c>
      <c r="Z234" s="91">
        <f>VLOOKUP($E$7,BASEPOE3,3545,FALSE)</f>
        <v>0</v>
      </c>
      <c r="AA234" s="91">
        <f>VLOOKUP($E$7,BASEPOE3,3546,FALSE)</f>
        <v>0</v>
      </c>
      <c r="AB234" s="91">
        <f>VLOOKUP($E$7,BASEPOE3,3547,FALSE)</f>
        <v>0</v>
      </c>
      <c r="AC234" s="90">
        <f>VLOOKUP($E$7,BASEPOE3,3548,FALSE)</f>
        <v>0</v>
      </c>
      <c r="AD234" s="90">
        <f>VLOOKUP($E$7,BASEPOE3,3549,FALSE)</f>
        <v>0</v>
      </c>
      <c r="AE234" s="90">
        <f>VLOOKUP($E$7,BASEPOE3,3550,FALSE)</f>
        <v>0</v>
      </c>
      <c r="AF234" s="90">
        <f>VLOOKUP($E$7,BASEPOE3,3551,FALSE)</f>
        <v>0</v>
      </c>
      <c r="AG234" s="90">
        <f>VLOOKUP($E$7,BASEPOE3,3552,FALSE)</f>
        <v>0</v>
      </c>
      <c r="AH234" s="90">
        <f>VLOOKUP($E$7,BASEPOE3,3553,FALSE)</f>
        <v>0</v>
      </c>
      <c r="AI234" s="90">
        <f>VLOOKUP($E$7,BASEPOE3,3554,FALSE)</f>
        <v>0</v>
      </c>
      <c r="AJ234" s="90">
        <f>VLOOKUP($E$7,BASEPOE3,3555,FALSE)</f>
        <v>0</v>
      </c>
      <c r="AK234" s="90">
        <f>VLOOKUP($E$7,BASEPOE3,3556,FALSE)</f>
        <v>0</v>
      </c>
      <c r="AL234" s="90">
        <f>VLOOKUP($E$7,BASEPOE3,3557,FALSE)</f>
        <v>0</v>
      </c>
      <c r="AM234" s="90">
        <f>VLOOKUP($E$7,BASEPOE3,3558,FALSE)</f>
        <v>0</v>
      </c>
      <c r="AN234" s="90">
        <f>VLOOKUP($E$7,BASEPOE3,3559,FALSE)</f>
        <v>0</v>
      </c>
      <c r="AO234" s="90">
        <f>VLOOKUP($E$7,BASEPOE3,3560,FALSE)</f>
        <v>0</v>
      </c>
      <c r="AP234" s="90">
        <f>VLOOKUP($E$7,BASEPOE3,3561,FALSE)</f>
        <v>0</v>
      </c>
      <c r="AQ234" s="90">
        <f>VLOOKUP($E$7,BASEPOE3,3562,FALSE)</f>
        <v>0</v>
      </c>
      <c r="AR234" s="90">
        <f>VLOOKUP($E$7,BASEPOE3,3563,FALSE)</f>
        <v>0</v>
      </c>
      <c r="AS234" s="90">
        <f>VLOOKUP($E$7,BASEPOE3,3564,FALSE)</f>
        <v>0</v>
      </c>
      <c r="AT234" s="90">
        <f>VLOOKUP($E$7,BASEPOE3,3565,FALSE)</f>
        <v>0</v>
      </c>
    </row>
    <row r="235" spans="1:46" x14ac:dyDescent="0.3">
      <c r="A235" s="152"/>
      <c r="B235" s="60">
        <v>82</v>
      </c>
      <c r="C235" s="92">
        <f>VLOOKUP($E$7,BASEPOE3,3566,FALSE)</f>
        <v>0</v>
      </c>
      <c r="D235" s="88">
        <f>VLOOKUP($E$7,BASEPOE3,3567,FALSE)</f>
        <v>0</v>
      </c>
      <c r="E235" s="62">
        <f>VLOOKUP($E$7,BASEPOE3,3568,FALSE)</f>
        <v>0</v>
      </c>
      <c r="F235" s="88">
        <f>VLOOKUP($E$7,BASEPOE3,3569,FALSE)</f>
        <v>0</v>
      </c>
      <c r="G235" s="88">
        <f>VLOOKUP($E$7,BASEPOE3,3570,FALSE)</f>
        <v>0</v>
      </c>
      <c r="H235" s="89">
        <f>VLOOKUP($E$7,BASEPOE3,3571,FALSE)</f>
        <v>0</v>
      </c>
      <c r="I235" s="89">
        <f>VLOOKUP($E$7,BASEPOE3,3572,FALSE)</f>
        <v>0</v>
      </c>
      <c r="J235" s="89">
        <f>VLOOKUP($E$7,BASEPOE3,3573,FALSE)</f>
        <v>0</v>
      </c>
      <c r="K235" s="89">
        <f>VLOOKUP($E$7,BASEPOE3,3574,FALSE)</f>
        <v>0</v>
      </c>
      <c r="L235" s="89">
        <f>VLOOKUP($E$7,BASEPOE3,3575,FALSE)</f>
        <v>0</v>
      </c>
      <c r="M235" s="89">
        <f>VLOOKUP($E$7,BASEPOE3,3576,FALSE)</f>
        <v>0</v>
      </c>
      <c r="N235" s="89">
        <f>VLOOKUP($E$7,BASEPOE3,3577,FALSE)</f>
        <v>0</v>
      </c>
      <c r="O235" s="89">
        <f>VLOOKUP($E$7,BASEPOE3,3578,FALSE)</f>
        <v>0</v>
      </c>
      <c r="P235" s="89">
        <f>VLOOKUP($E$7,BASEPOE3,3579,FALSE)</f>
        <v>0</v>
      </c>
      <c r="Q235" s="89">
        <f>VLOOKUP($E$7,BASEPOE3,3580,FALSE)</f>
        <v>0</v>
      </c>
      <c r="R235" s="89">
        <f>VLOOKUP($E$7,BASEPOE3,3581,FALSE)</f>
        <v>0</v>
      </c>
      <c r="S235" s="89">
        <f>VLOOKUP($E$7,BASEPOE3,3582,FALSE)</f>
        <v>0</v>
      </c>
      <c r="T235" s="89">
        <f>VLOOKUP($E$7,BASEPOE3,3583,FALSE)</f>
        <v>0</v>
      </c>
      <c r="U235" s="89">
        <f>VLOOKUP($E$7,BASEPOE3,3584,FALSE)</f>
        <v>0</v>
      </c>
      <c r="V235" s="89">
        <f>VLOOKUP($E$7,BASEPOE3,3585,FALSE)</f>
        <v>0</v>
      </c>
      <c r="W235" s="89">
        <f>VLOOKUP($E$7,BASEPOE3,3586,FALSE)</f>
        <v>0</v>
      </c>
      <c r="X235" s="89">
        <f>VLOOKUP($E$7,BASEPOE3,3587,FALSE)</f>
        <v>0</v>
      </c>
      <c r="Y235" s="89">
        <f>VLOOKUP($E$7,BASEPOE3,3588,FALSE)</f>
        <v>0</v>
      </c>
      <c r="Z235" s="89">
        <f>VLOOKUP($E$7,BASEPOE3,3589,FALSE)</f>
        <v>0</v>
      </c>
      <c r="AA235" s="89">
        <f>VLOOKUP($E$7,BASEPOE3,3590,FALSE)</f>
        <v>0</v>
      </c>
      <c r="AB235" s="89">
        <f>VLOOKUP($E$7,BASEPOE3,3591,FALSE)</f>
        <v>0</v>
      </c>
      <c r="AC235" s="88">
        <f>VLOOKUP($E$7,BASEPOE3,3592,FALSE)</f>
        <v>0</v>
      </c>
      <c r="AD235" s="88">
        <f>VLOOKUP($E$7,BASEPOE3,3593,FALSE)</f>
        <v>0</v>
      </c>
      <c r="AE235" s="88">
        <f>VLOOKUP($E$7,BASEPOE3,3594,FALSE)</f>
        <v>0</v>
      </c>
      <c r="AF235" s="88">
        <f>VLOOKUP($E$7,BASEPOE3,3595,FALSE)</f>
        <v>0</v>
      </c>
      <c r="AG235" s="88">
        <f>VLOOKUP($E$7,BASEPOE3,3596,FALSE)</f>
        <v>0</v>
      </c>
      <c r="AH235" s="88">
        <f>VLOOKUP($E$7,BASEPOE3,3597,FALSE)</f>
        <v>0</v>
      </c>
      <c r="AI235" s="88">
        <f>VLOOKUP($E$7,BASEPOE3,3598,FALSE)</f>
        <v>0</v>
      </c>
      <c r="AJ235" s="88">
        <f>VLOOKUP($E$7,BASEPOE3,3599,FALSE)</f>
        <v>0</v>
      </c>
      <c r="AK235" s="88">
        <f>VLOOKUP($E$7,BASEPOE3,3600,FALSE)</f>
        <v>0</v>
      </c>
      <c r="AL235" s="88">
        <f>VLOOKUP($E$7,BASEPOE3,3601,FALSE)</f>
        <v>0</v>
      </c>
      <c r="AM235" s="88">
        <f>VLOOKUP($E$7,BASEPOE3,3602,FALSE)</f>
        <v>0</v>
      </c>
      <c r="AN235" s="88">
        <f>VLOOKUP($E$7,BASEPOE3,3603,FALSE)</f>
        <v>0</v>
      </c>
      <c r="AO235" s="88">
        <f>VLOOKUP($E$7,BASEPOE3,3604,FALSE)</f>
        <v>0</v>
      </c>
      <c r="AP235" s="88">
        <f>VLOOKUP($E$7,BASEPOE3,3605,FALSE)</f>
        <v>0</v>
      </c>
      <c r="AQ235" s="88">
        <f>VLOOKUP($E$7,BASEPOE3,3606,FALSE)</f>
        <v>0</v>
      </c>
      <c r="AR235" s="88">
        <f>VLOOKUP($E$7,BASEPOE3,3607,FALSE)</f>
        <v>0</v>
      </c>
      <c r="AS235" s="88">
        <f>VLOOKUP($E$7,BASEPOE3,3608,FALSE)</f>
        <v>0</v>
      </c>
      <c r="AT235" s="88">
        <f>VLOOKUP($E$7,BASEPOE3,3609,FALSE)</f>
        <v>0</v>
      </c>
    </row>
    <row r="236" spans="1:46" x14ac:dyDescent="0.3">
      <c r="A236" s="152"/>
      <c r="B236" s="34">
        <v>83</v>
      </c>
      <c r="C236" s="93">
        <f>VLOOKUP($E$7,BASEPOE3,3610,FALSE)</f>
        <v>0</v>
      </c>
      <c r="D236" s="90">
        <f>VLOOKUP($E$7,BASEPOE3,3611,FALSE)</f>
        <v>0</v>
      </c>
      <c r="E236" s="61">
        <f>VLOOKUP($E$7,BASEPOE3,3612,FALSE)</f>
        <v>0</v>
      </c>
      <c r="F236" s="90">
        <f>VLOOKUP($E$7,BASEPOE3,3613,FALSE)</f>
        <v>0</v>
      </c>
      <c r="G236" s="90">
        <f>VLOOKUP($E$7,BASEPOE3,3614,FALSE)</f>
        <v>0</v>
      </c>
      <c r="H236" s="91">
        <f>VLOOKUP($E$7,BASEPOE3,3615,FALSE)</f>
        <v>0</v>
      </c>
      <c r="I236" s="91">
        <f>VLOOKUP($E$7,BASEPOE3,3616,FALSE)</f>
        <v>0</v>
      </c>
      <c r="J236" s="91">
        <f>VLOOKUP($E$7,BASEPOE3,3617,FALSE)</f>
        <v>0</v>
      </c>
      <c r="K236" s="91">
        <f>VLOOKUP($E$7,BASEPOE3,3618,FALSE)</f>
        <v>0</v>
      </c>
      <c r="L236" s="91">
        <f>VLOOKUP($E$7,BASEPOE3,3619,FALSE)</f>
        <v>0</v>
      </c>
      <c r="M236" s="91">
        <f>VLOOKUP($E$7,BASEPOE3,3620,FALSE)</f>
        <v>0</v>
      </c>
      <c r="N236" s="91">
        <f>VLOOKUP($E$7,BASEPOE3,3621,FALSE)</f>
        <v>0</v>
      </c>
      <c r="O236" s="91">
        <f>VLOOKUP($E$7,BASEPOE3,3622,FALSE)</f>
        <v>0</v>
      </c>
      <c r="P236" s="91">
        <f>VLOOKUP($E$7,BASEPOE3,3623,FALSE)</f>
        <v>0</v>
      </c>
      <c r="Q236" s="91">
        <f>VLOOKUP($E$7,BASEPOE3,3624,FALSE)</f>
        <v>0</v>
      </c>
      <c r="R236" s="91">
        <f>VLOOKUP($E$7,BASEPOE3,3625,FALSE)</f>
        <v>0</v>
      </c>
      <c r="S236" s="91">
        <f>VLOOKUP($E$7,BASEPOE3,3626,FALSE)</f>
        <v>0</v>
      </c>
      <c r="T236" s="91">
        <f>VLOOKUP($E$7,BASEPOE3,3627,FALSE)</f>
        <v>0</v>
      </c>
      <c r="U236" s="91">
        <f>VLOOKUP($E$7,BASEPOE3,3628,FALSE)</f>
        <v>0</v>
      </c>
      <c r="V236" s="91">
        <f>VLOOKUP($E$7,BASEPOE3,3629,FALSE)</f>
        <v>0</v>
      </c>
      <c r="W236" s="91">
        <f>VLOOKUP($E$7,BASEPOE3,3630,FALSE)</f>
        <v>0</v>
      </c>
      <c r="X236" s="91">
        <f>VLOOKUP($E$7,BASEPOE3,3631,FALSE)</f>
        <v>0</v>
      </c>
      <c r="Y236" s="91">
        <f>VLOOKUP($E$7,BASEPOE3,3632,FALSE)</f>
        <v>0</v>
      </c>
      <c r="Z236" s="91">
        <f>VLOOKUP($E$7,BASEPOE3,3633,FALSE)</f>
        <v>0</v>
      </c>
      <c r="AA236" s="91">
        <f>VLOOKUP($E$7,BASEPOE3,3634,FALSE)</f>
        <v>0</v>
      </c>
      <c r="AB236" s="91">
        <f>VLOOKUP($E$7,BASEPOE3,3635,FALSE)</f>
        <v>0</v>
      </c>
      <c r="AC236" s="90">
        <f>VLOOKUP($E$7,BASEPOE3,3636,FALSE)</f>
        <v>0</v>
      </c>
      <c r="AD236" s="90">
        <f>VLOOKUP($E$7,BASEPOE3,3637,FALSE)</f>
        <v>0</v>
      </c>
      <c r="AE236" s="90">
        <f>VLOOKUP($E$7,BASEPOE3,3638,FALSE)</f>
        <v>0</v>
      </c>
      <c r="AF236" s="90">
        <f>VLOOKUP($E$7,BASEPOE3,3639,FALSE)</f>
        <v>0</v>
      </c>
      <c r="AG236" s="90">
        <f>VLOOKUP($E$7,BASEPOE3,3640,FALSE)</f>
        <v>0</v>
      </c>
      <c r="AH236" s="90">
        <f>VLOOKUP($E$7,BASEPOE3,3641,FALSE)</f>
        <v>0</v>
      </c>
      <c r="AI236" s="90">
        <f>VLOOKUP($E$7,BASEPOE3,3642,FALSE)</f>
        <v>0</v>
      </c>
      <c r="AJ236" s="90">
        <f>VLOOKUP($E$7,BASEPOE3,3643,FALSE)</f>
        <v>0</v>
      </c>
      <c r="AK236" s="90">
        <f>VLOOKUP($E$7,BASEPOE3,3644,FALSE)</f>
        <v>0</v>
      </c>
      <c r="AL236" s="90">
        <f>VLOOKUP($E$7,BASEPOE3,3645,FALSE)</f>
        <v>0</v>
      </c>
      <c r="AM236" s="90">
        <f>VLOOKUP($E$7,BASEPOE3,3646,FALSE)</f>
        <v>0</v>
      </c>
      <c r="AN236" s="90">
        <f>VLOOKUP($E$7,BASEPOE3,3647,FALSE)</f>
        <v>0</v>
      </c>
      <c r="AO236" s="90">
        <f>VLOOKUP($E$7,BASEPOE3,3648,FALSE)</f>
        <v>0</v>
      </c>
      <c r="AP236" s="90">
        <f>VLOOKUP($E$7,BASEPOE3,3649,FALSE)</f>
        <v>0</v>
      </c>
      <c r="AQ236" s="90">
        <f>VLOOKUP($E$7,BASEPOE3,3650,FALSE)</f>
        <v>0</v>
      </c>
      <c r="AR236" s="90">
        <f>VLOOKUP($E$7,BASEPOE3,3651,FALSE)</f>
        <v>0</v>
      </c>
      <c r="AS236" s="90">
        <f>VLOOKUP($E$7,BASEPOE3,3652,FALSE)</f>
        <v>0</v>
      </c>
      <c r="AT236" s="90">
        <f>VLOOKUP($E$7,BASEPOE3,3653,FALSE)</f>
        <v>0</v>
      </c>
    </row>
    <row r="237" spans="1:46" x14ac:dyDescent="0.3">
      <c r="A237" s="152"/>
      <c r="B237" s="60">
        <v>84</v>
      </c>
      <c r="C237" s="92">
        <f>VLOOKUP($E$7,BASEPOE3,3654,FALSE)</f>
        <v>0</v>
      </c>
      <c r="D237" s="88">
        <f>VLOOKUP($E$7,BASEPOE3,3655,FALSE)</f>
        <v>0</v>
      </c>
      <c r="E237" s="62">
        <f>VLOOKUP($E$7,BASEPOE3,3656,FALSE)</f>
        <v>0</v>
      </c>
      <c r="F237" s="88">
        <f>VLOOKUP($E$7,BASEPOE3,3657,FALSE)</f>
        <v>0</v>
      </c>
      <c r="G237" s="88">
        <f>VLOOKUP($E$7,BASEPOE3,3658,FALSE)</f>
        <v>0</v>
      </c>
      <c r="H237" s="89">
        <f>VLOOKUP($E$7,BASEPOE3,3659,FALSE)</f>
        <v>0</v>
      </c>
      <c r="I237" s="89">
        <f>VLOOKUP($E$7,BASEPOE3,3660,FALSE)</f>
        <v>0</v>
      </c>
      <c r="J237" s="89">
        <f>VLOOKUP($E$7,BASEPOE3,3661,FALSE)</f>
        <v>0</v>
      </c>
      <c r="K237" s="89">
        <f>VLOOKUP($E$7,BASEPOE3,3662,FALSE)</f>
        <v>0</v>
      </c>
      <c r="L237" s="89">
        <f>VLOOKUP($E$7,BASEPOE3,3663,FALSE)</f>
        <v>0</v>
      </c>
      <c r="M237" s="89">
        <f>VLOOKUP($E$7,BASEPOE3,3664,FALSE)</f>
        <v>0</v>
      </c>
      <c r="N237" s="89">
        <f>VLOOKUP($E$7,BASEPOE3,3665,FALSE)</f>
        <v>0</v>
      </c>
      <c r="O237" s="89">
        <f>VLOOKUP($E$7,BASEPOE3,3666,FALSE)</f>
        <v>0</v>
      </c>
      <c r="P237" s="89">
        <f>VLOOKUP($E$7,BASEPOE3,3667,FALSE)</f>
        <v>0</v>
      </c>
      <c r="Q237" s="89">
        <f>VLOOKUP($E$7,BASEPOE3,3668,FALSE)</f>
        <v>0</v>
      </c>
      <c r="R237" s="89">
        <f>VLOOKUP($E$7,BASEPOE3,3669,FALSE)</f>
        <v>0</v>
      </c>
      <c r="S237" s="89">
        <f>VLOOKUP($E$7,BASEPOE3,3670,FALSE)</f>
        <v>0</v>
      </c>
      <c r="T237" s="89">
        <f>VLOOKUP($E$7,BASEPOE3,3671,FALSE)</f>
        <v>0</v>
      </c>
      <c r="U237" s="89">
        <f>VLOOKUP($E$7,BASEPOE3,3672,FALSE)</f>
        <v>0</v>
      </c>
      <c r="V237" s="89">
        <f>VLOOKUP($E$7,BASEPOE3,3673,FALSE)</f>
        <v>0</v>
      </c>
      <c r="W237" s="89">
        <f>VLOOKUP($E$7,BASEPOE3,3674,FALSE)</f>
        <v>0</v>
      </c>
      <c r="X237" s="89">
        <f>VLOOKUP($E$7,BASEPOE3,3675,FALSE)</f>
        <v>0</v>
      </c>
      <c r="Y237" s="89">
        <f>VLOOKUP($E$7,BASEPOE3,3676,FALSE)</f>
        <v>0</v>
      </c>
      <c r="Z237" s="89">
        <f>VLOOKUP($E$7,BASEPOE3,3677,FALSE)</f>
        <v>0</v>
      </c>
      <c r="AA237" s="89">
        <f>VLOOKUP($E$7,BASEPOE3,3678,FALSE)</f>
        <v>0</v>
      </c>
      <c r="AB237" s="89">
        <f>VLOOKUP($E$7,BASEPOE3,3679,FALSE)</f>
        <v>0</v>
      </c>
      <c r="AC237" s="88">
        <f>VLOOKUP($E$7,BASEPOE3,3680,FALSE)</f>
        <v>0</v>
      </c>
      <c r="AD237" s="88">
        <f>VLOOKUP($E$7,BASEPOE3,3681,FALSE)</f>
        <v>0</v>
      </c>
      <c r="AE237" s="88">
        <f>VLOOKUP($E$7,BASEPOE3,3682,FALSE)</f>
        <v>0</v>
      </c>
      <c r="AF237" s="88">
        <f>VLOOKUP($E$7,BASEPOE3,3683,FALSE)</f>
        <v>0</v>
      </c>
      <c r="AG237" s="88">
        <f>VLOOKUP($E$7,BASEPOE3,3684,FALSE)</f>
        <v>0</v>
      </c>
      <c r="AH237" s="88">
        <f>VLOOKUP($E$7,BASEPOE3,3685,FALSE)</f>
        <v>0</v>
      </c>
      <c r="AI237" s="88">
        <f>VLOOKUP($E$7,BASEPOE3,3686,FALSE)</f>
        <v>0</v>
      </c>
      <c r="AJ237" s="88">
        <f>VLOOKUP($E$7,BASEPOE3,3687,FALSE)</f>
        <v>0</v>
      </c>
      <c r="AK237" s="88">
        <f>VLOOKUP($E$7,BASEPOE3,3688,FALSE)</f>
        <v>0</v>
      </c>
      <c r="AL237" s="88">
        <f>VLOOKUP($E$7,BASEPOE3,3689,FALSE)</f>
        <v>0</v>
      </c>
      <c r="AM237" s="88">
        <f>VLOOKUP($E$7,BASEPOE3,3690,FALSE)</f>
        <v>0</v>
      </c>
      <c r="AN237" s="88">
        <f>VLOOKUP($E$7,BASEPOE3,3691,FALSE)</f>
        <v>0</v>
      </c>
      <c r="AO237" s="88">
        <f>VLOOKUP($E$7,BASEPOE3,3692,FALSE)</f>
        <v>0</v>
      </c>
      <c r="AP237" s="88">
        <f>VLOOKUP($E$7,BASEPOE3,3693,FALSE)</f>
        <v>0</v>
      </c>
      <c r="AQ237" s="88">
        <f>VLOOKUP($E$7,BASEPOE3,3694,FALSE)</f>
        <v>0</v>
      </c>
      <c r="AR237" s="88">
        <f>VLOOKUP($E$7,BASEPOE3,3695,FALSE)</f>
        <v>0</v>
      </c>
      <c r="AS237" s="88">
        <f>VLOOKUP($E$7,BASEPOE3,3696,FALSE)</f>
        <v>0</v>
      </c>
      <c r="AT237" s="88">
        <f>VLOOKUP($E$7,BASEPOE3,3697,FALSE)</f>
        <v>0</v>
      </c>
    </row>
    <row r="238" spans="1:46" x14ac:dyDescent="0.3">
      <c r="A238" s="153"/>
      <c r="B238" s="34">
        <v>85</v>
      </c>
      <c r="C238" s="93">
        <f>VLOOKUP($E$7,BASEPOE3,3698,FALSE)</f>
        <v>0</v>
      </c>
      <c r="D238" s="90">
        <f>VLOOKUP($E$7,BASEPOE3,3699,FALSE)</f>
        <v>0</v>
      </c>
      <c r="E238" s="61">
        <f>VLOOKUP($E$7,BASEPOE3,3700,FALSE)</f>
        <v>0</v>
      </c>
      <c r="F238" s="90">
        <f>VLOOKUP($E$7,BASEPOE3,3701,FALSE)</f>
        <v>0</v>
      </c>
      <c r="G238" s="90">
        <f>VLOOKUP($E$7,BASEPOE3,3702,FALSE)</f>
        <v>0</v>
      </c>
      <c r="H238" s="91">
        <f>VLOOKUP($E$7,BASEPOE3,3703,FALSE)</f>
        <v>0</v>
      </c>
      <c r="I238" s="91">
        <f>VLOOKUP($E$7,BASEPOE3,3704,FALSE)</f>
        <v>0</v>
      </c>
      <c r="J238" s="91">
        <f>VLOOKUP($E$7,BASEPOE3,3705,FALSE)</f>
        <v>0</v>
      </c>
      <c r="K238" s="91">
        <f>VLOOKUP($E$7,BASEPOE3,3706,FALSE)</f>
        <v>0</v>
      </c>
      <c r="L238" s="91">
        <f>VLOOKUP($E$7,BASEPOE3,3707,FALSE)</f>
        <v>0</v>
      </c>
      <c r="M238" s="91">
        <f>VLOOKUP($E$7,BASEPOE3,3708,FALSE)</f>
        <v>0</v>
      </c>
      <c r="N238" s="91">
        <f>VLOOKUP($E$7,BASEPOE3,3709,FALSE)</f>
        <v>0</v>
      </c>
      <c r="O238" s="91">
        <f>VLOOKUP($E$7,BASEPOE3,3710,FALSE)</f>
        <v>0</v>
      </c>
      <c r="P238" s="91">
        <f>VLOOKUP($E$7,BASEPOE3,3711,FALSE)</f>
        <v>0</v>
      </c>
      <c r="Q238" s="91">
        <f>VLOOKUP($E$7,BASEPOE3,3712,FALSE)</f>
        <v>0</v>
      </c>
      <c r="R238" s="91">
        <f>VLOOKUP($E$7,BASEPOE3,3713,FALSE)</f>
        <v>0</v>
      </c>
      <c r="S238" s="91">
        <f>VLOOKUP($E$7,BASEPOE3,3714,FALSE)</f>
        <v>0</v>
      </c>
      <c r="T238" s="91">
        <f>VLOOKUP($E$7,BASEPOE3,3715,FALSE)</f>
        <v>0</v>
      </c>
      <c r="U238" s="91">
        <f>VLOOKUP($E$7,BASEPOE3,3716,FALSE)</f>
        <v>0</v>
      </c>
      <c r="V238" s="91">
        <f>VLOOKUP($E$7,BASEPOE3,3717,FALSE)</f>
        <v>0</v>
      </c>
      <c r="W238" s="91">
        <f>VLOOKUP($E$7,BASEPOE3,3718,FALSE)</f>
        <v>0</v>
      </c>
      <c r="X238" s="91">
        <f>VLOOKUP($E$7,BASEPOE3,3719,FALSE)</f>
        <v>0</v>
      </c>
      <c r="Y238" s="91">
        <f>VLOOKUP($E$7,BASEPOE3,3720,FALSE)</f>
        <v>0</v>
      </c>
      <c r="Z238" s="91">
        <f>VLOOKUP($E$7,BASEPOE3,3721,FALSE)</f>
        <v>0</v>
      </c>
      <c r="AA238" s="91">
        <f>VLOOKUP($E$7,BASEPOE3,3722,FALSE)</f>
        <v>0</v>
      </c>
      <c r="AB238" s="91">
        <f>VLOOKUP($E$7,BASEPOE3,3723,FALSE)</f>
        <v>0</v>
      </c>
      <c r="AC238" s="90">
        <f>VLOOKUP($E$7,BASEPOE3,3724,FALSE)</f>
        <v>0</v>
      </c>
      <c r="AD238" s="90">
        <f>VLOOKUP($E$7,BASEPOE3,3725,FALSE)</f>
        <v>0</v>
      </c>
      <c r="AE238" s="90">
        <f>VLOOKUP($E$7,BASEPOE3,3726,FALSE)</f>
        <v>0</v>
      </c>
      <c r="AF238" s="90">
        <f>VLOOKUP($E$7,BASEPOE3,3727,FALSE)</f>
        <v>0</v>
      </c>
      <c r="AG238" s="90">
        <f>VLOOKUP($E$7,BASEPOE3,3728,FALSE)</f>
        <v>0</v>
      </c>
      <c r="AH238" s="90">
        <f>VLOOKUP($E$7,BASEPOE3,3729,FALSE)</f>
        <v>0</v>
      </c>
      <c r="AI238" s="90">
        <f>VLOOKUP($E$7,BASEPOE3,3730,FALSE)</f>
        <v>0</v>
      </c>
      <c r="AJ238" s="90">
        <f>VLOOKUP($E$7,BASEPOE3,3731,FALSE)</f>
        <v>0</v>
      </c>
      <c r="AK238" s="90">
        <f>VLOOKUP($E$7,BASEPOE3,3732,FALSE)</f>
        <v>0</v>
      </c>
      <c r="AL238" s="90">
        <f>VLOOKUP($E$7,BASEPOE3,3733,FALSE)</f>
        <v>0</v>
      </c>
      <c r="AM238" s="90">
        <f>VLOOKUP($E$7,BASEPOE3,3734,FALSE)</f>
        <v>0</v>
      </c>
      <c r="AN238" s="90">
        <f>VLOOKUP($E$7,BASEPOE3,3735,FALSE)</f>
        <v>0</v>
      </c>
      <c r="AO238" s="90">
        <f>VLOOKUP($E$7,BASEPOE3,3736,FALSE)</f>
        <v>0</v>
      </c>
      <c r="AP238" s="90">
        <f>VLOOKUP($E$7,BASEPOE3,3737,FALSE)</f>
        <v>0</v>
      </c>
      <c r="AQ238" s="90">
        <f>VLOOKUP($E$7,BASEPOE3,3738,FALSE)</f>
        <v>0</v>
      </c>
      <c r="AR238" s="90">
        <f>VLOOKUP($E$7,BASEPOE3,3739,FALSE)</f>
        <v>0</v>
      </c>
      <c r="AS238" s="90">
        <f>VLOOKUP($E$7,BASEPOE3,3740,FALSE)</f>
        <v>0</v>
      </c>
      <c r="AT238" s="90">
        <f>VLOOKUP($E$7,BASEPOE3,3741,FALSE)</f>
        <v>0</v>
      </c>
    </row>
    <row r="239" spans="1:46" x14ac:dyDescent="0.3">
      <c r="B239" s="25"/>
      <c r="E239" s="1">
        <v>1</v>
      </c>
      <c r="F239" s="114">
        <v>2</v>
      </c>
      <c r="G239" s="1">
        <v>3</v>
      </c>
      <c r="H239" s="114">
        <v>4</v>
      </c>
      <c r="I239" s="1">
        <v>5</v>
      </c>
      <c r="J239" s="114">
        <v>6</v>
      </c>
      <c r="K239" s="1">
        <v>7</v>
      </c>
      <c r="L239" s="114">
        <v>8</v>
      </c>
      <c r="M239" s="1">
        <v>9</v>
      </c>
      <c r="N239" s="114">
        <v>10</v>
      </c>
      <c r="O239" s="1">
        <v>11</v>
      </c>
      <c r="P239" s="114">
        <v>12</v>
      </c>
      <c r="Q239" s="1">
        <v>13</v>
      </c>
      <c r="R239" s="114">
        <v>14</v>
      </c>
      <c r="S239" s="1">
        <v>15</v>
      </c>
      <c r="T239" s="114">
        <v>16</v>
      </c>
      <c r="U239" s="1">
        <v>17</v>
      </c>
      <c r="V239" s="114">
        <v>18</v>
      </c>
      <c r="W239" s="1">
        <v>19</v>
      </c>
      <c r="X239" s="114">
        <v>20</v>
      </c>
      <c r="Y239" s="1">
        <v>21</v>
      </c>
      <c r="Z239" s="114">
        <v>22</v>
      </c>
      <c r="AA239" s="1">
        <v>23</v>
      </c>
      <c r="AB239" s="114">
        <v>24</v>
      </c>
      <c r="AC239" s="1">
        <v>25</v>
      </c>
      <c r="AD239" s="114">
        <v>26</v>
      </c>
      <c r="AE239" s="1">
        <v>27</v>
      </c>
      <c r="AF239" s="114">
        <v>28</v>
      </c>
      <c r="AG239" s="1">
        <v>29</v>
      </c>
      <c r="AH239" s="114">
        <v>30</v>
      </c>
      <c r="AI239" s="1">
        <v>31</v>
      </c>
      <c r="AJ239" s="114">
        <v>32</v>
      </c>
      <c r="AK239" s="1">
        <v>33</v>
      </c>
      <c r="AL239" s="114">
        <v>34</v>
      </c>
      <c r="AM239" s="1">
        <v>35</v>
      </c>
      <c r="AN239" s="114">
        <v>36</v>
      </c>
      <c r="AO239" s="1">
        <v>37</v>
      </c>
      <c r="AP239" s="114">
        <v>38</v>
      </c>
      <c r="AQ239" s="1">
        <v>39</v>
      </c>
      <c r="AR239" s="114">
        <v>40</v>
      </c>
      <c r="AS239" s="1">
        <v>41</v>
      </c>
      <c r="AT239" s="114">
        <v>42</v>
      </c>
    </row>
    <row r="240" spans="1:46" x14ac:dyDescent="0.3">
      <c r="B240" s="25"/>
      <c r="F240" s="26"/>
    </row>
    <row r="241" spans="2:6" x14ac:dyDescent="0.3">
      <c r="B241" s="25"/>
      <c r="F241" s="26"/>
    </row>
    <row r="242" spans="2:6" x14ac:dyDescent="0.3">
      <c r="B242" s="25"/>
      <c r="F242" s="26"/>
    </row>
    <row r="243" spans="2:6" x14ac:dyDescent="0.3">
      <c r="B243" s="25"/>
      <c r="F243" s="26"/>
    </row>
    <row r="244" spans="2:6" x14ac:dyDescent="0.3">
      <c r="B244" s="25"/>
      <c r="F244" s="26"/>
    </row>
    <row r="245" spans="2:6" x14ac:dyDescent="0.3">
      <c r="B245" s="25"/>
      <c r="F245" s="26"/>
    </row>
    <row r="246" spans="2:6" x14ac:dyDescent="0.3">
      <c r="B246" s="25"/>
      <c r="F246" s="26"/>
    </row>
    <row r="247" spans="2:6" x14ac:dyDescent="0.3">
      <c r="B247" s="25"/>
      <c r="F247" s="26"/>
    </row>
    <row r="248" spans="2:6" x14ac:dyDescent="0.3">
      <c r="B248" s="25"/>
      <c r="F248" s="26"/>
    </row>
    <row r="249" spans="2:6" x14ac:dyDescent="0.3">
      <c r="B249" s="25"/>
      <c r="F249" s="26"/>
    </row>
    <row r="250" spans="2:6" x14ac:dyDescent="0.3">
      <c r="B250" s="25"/>
      <c r="F250" s="26"/>
    </row>
    <row r="251" spans="2:6" x14ac:dyDescent="0.3">
      <c r="B251" s="25"/>
      <c r="F251" s="26"/>
    </row>
    <row r="252" spans="2:6" x14ac:dyDescent="0.3">
      <c r="B252" s="25"/>
      <c r="F252" s="26"/>
    </row>
    <row r="253" spans="2:6" x14ac:dyDescent="0.3">
      <c r="B253" s="25"/>
      <c r="F253" s="26"/>
    </row>
    <row r="254" spans="2:6" x14ac:dyDescent="0.3">
      <c r="F254" s="26"/>
    </row>
    <row r="255" spans="2:6" x14ac:dyDescent="0.3">
      <c r="F255" s="26"/>
    </row>
    <row r="256" spans="2:6" x14ac:dyDescent="0.3">
      <c r="F256" s="26"/>
    </row>
    <row r="257" spans="6:6" x14ac:dyDescent="0.3">
      <c r="F257" s="26"/>
    </row>
    <row r="258" spans="6:6" x14ac:dyDescent="0.3">
      <c r="F258" s="26"/>
    </row>
    <row r="259" spans="6:6" x14ac:dyDescent="0.3">
      <c r="F259" s="26"/>
    </row>
    <row r="260" spans="6:6" x14ac:dyDescent="0.3">
      <c r="F260" s="26"/>
    </row>
    <row r="261" spans="6:6" x14ac:dyDescent="0.3">
      <c r="F261" s="26"/>
    </row>
    <row r="262" spans="6:6" x14ac:dyDescent="0.3">
      <c r="F262" s="26"/>
    </row>
    <row r="263" spans="6:6" x14ac:dyDescent="0.3">
      <c r="F263" s="26"/>
    </row>
    <row r="264" spans="6:6" x14ac:dyDescent="0.3">
      <c r="F264" s="26"/>
    </row>
    <row r="265" spans="6:6" x14ac:dyDescent="0.3">
      <c r="F265" s="26"/>
    </row>
  </sheetData>
  <sheetProtection algorithmName="SHA-512" hashValue="Ft0UMStRcVjyVJgjJ+oUVmIxJ7H3uuX4wvAt4u6EVug2fMWUkwjSaVc6d3oaGBP4N1/rugR4A3ZrtUwLEwyQ0w==" saltValue="9H02qIEZ/inoJFSEn54O5Q==" spinCount="100000" sheet="1" objects="1" scenarios="1" autoFilter="0"/>
  <mergeCells count="53">
    <mergeCell ref="H17:H18"/>
    <mergeCell ref="H12:H13"/>
    <mergeCell ref="H7:H8"/>
    <mergeCell ref="A153:A187"/>
    <mergeCell ref="A69:A100"/>
    <mergeCell ref="A105:A147"/>
    <mergeCell ref="F69:G69"/>
    <mergeCell ref="D16:E16"/>
    <mergeCell ref="A7:A18"/>
    <mergeCell ref="D17:E17"/>
    <mergeCell ref="A23:A64"/>
    <mergeCell ref="K23:N23"/>
    <mergeCell ref="K24:N24"/>
    <mergeCell ref="K25:N25"/>
    <mergeCell ref="K26:N26"/>
    <mergeCell ref="K27:N27"/>
    <mergeCell ref="K28:N28"/>
    <mergeCell ref="K30:N30"/>
    <mergeCell ref="K32:N32"/>
    <mergeCell ref="K34:N34"/>
    <mergeCell ref="K36:N36"/>
    <mergeCell ref="K54:N54"/>
    <mergeCell ref="K56:N56"/>
    <mergeCell ref="K53:N53"/>
    <mergeCell ref="K55:N55"/>
    <mergeCell ref="K38:N38"/>
    <mergeCell ref="K40:N40"/>
    <mergeCell ref="K42:N42"/>
    <mergeCell ref="K44:N44"/>
    <mergeCell ref="K46:N46"/>
    <mergeCell ref="K64:N64"/>
    <mergeCell ref="K29:N29"/>
    <mergeCell ref="K31:N31"/>
    <mergeCell ref="K33:N33"/>
    <mergeCell ref="K35:N35"/>
    <mergeCell ref="K37:N37"/>
    <mergeCell ref="K39:N39"/>
    <mergeCell ref="K41:N41"/>
    <mergeCell ref="K43:N43"/>
    <mergeCell ref="K45:N45"/>
    <mergeCell ref="K47:N47"/>
    <mergeCell ref="K49:N49"/>
    <mergeCell ref="K51:N51"/>
    <mergeCell ref="K48:N48"/>
    <mergeCell ref="K50:N50"/>
    <mergeCell ref="K52:N52"/>
    <mergeCell ref="K57:N57"/>
    <mergeCell ref="K59:N59"/>
    <mergeCell ref="K61:N61"/>
    <mergeCell ref="K63:N63"/>
    <mergeCell ref="K58:N58"/>
    <mergeCell ref="K60:N60"/>
    <mergeCell ref="K62:N62"/>
  </mergeCells>
  <conditionalFormatting sqref="E13">
    <cfRule type="containsText" dxfId="293" priority="100" operator="containsText" text="VENCIDO">
      <formula>NOT(ISERROR(SEARCH("VENCIDO",E13)))</formula>
    </cfRule>
    <cfRule type="containsText" dxfId="292" priority="101" operator="containsText" text="POR VENCER">
      <formula>NOT(ISERROR(SEARCH("POR VENCER",E13)))</formula>
    </cfRule>
    <cfRule type="containsText" dxfId="291" priority="102" operator="containsText" text="VIGENTE">
      <formula>NOT(ISERROR(SEARCH("VIGENTE",E13)))</formula>
    </cfRule>
  </conditionalFormatting>
  <conditionalFormatting sqref="AC154:AC238">
    <cfRule type="containsText" dxfId="290" priority="97" operator="containsText" text="VENCIDO">
      <formula>NOT(ISERROR(SEARCH("VENCIDO",AC154)))</formula>
    </cfRule>
    <cfRule type="containsText" dxfId="289" priority="98" operator="containsText" text="POR VENCER">
      <formula>NOT(ISERROR(SEARCH("POR VENCER",AC154)))</formula>
    </cfRule>
    <cfRule type="containsText" dxfId="288" priority="99" operator="containsText" text="VIGENTE">
      <formula>NOT(ISERROR(SEARCH("VIGENTE",AC154)))</formula>
    </cfRule>
  </conditionalFormatting>
  <conditionalFormatting sqref="I106:I146">
    <cfRule type="containsText" dxfId="287" priority="94" operator="containsText" text="VIGENTE">
      <formula>NOT(ISERROR(SEARCH("VIGENTE",I106)))</formula>
    </cfRule>
    <cfRule type="containsText" dxfId="286" priority="95" operator="containsText" text="POR VENCER">
      <formula>NOT(ISERROR(SEARCH("POR VENCER",I106)))</formula>
    </cfRule>
    <cfRule type="containsText" dxfId="285" priority="96" operator="containsText" text="VENCIDO">
      <formula>NOT(ISERROR(SEARCH("VENCIDO",I106)))</formula>
    </cfRule>
  </conditionalFormatting>
  <conditionalFormatting sqref="AD154:AD238">
    <cfRule type="containsText" dxfId="284" priority="64" operator="containsText" text="VENCIDO">
      <formula>NOT(ISERROR(SEARCH("VENCIDO",AD154)))</formula>
    </cfRule>
    <cfRule type="containsText" dxfId="283" priority="65" operator="containsText" text="POR VENCER">
      <formula>NOT(ISERROR(SEARCH("POR VENCER",AD154)))</formula>
    </cfRule>
    <cfRule type="containsText" dxfId="282" priority="66" operator="containsText" text="VIGENTE">
      <formula>NOT(ISERROR(SEARCH("VIGENTE",AD154)))</formula>
    </cfRule>
  </conditionalFormatting>
  <conditionalFormatting sqref="AE154:AE238">
    <cfRule type="containsText" dxfId="281" priority="61" operator="containsText" text="VENCIDO">
      <formula>NOT(ISERROR(SEARCH("VENCIDO",AE154)))</formula>
    </cfRule>
    <cfRule type="containsText" dxfId="280" priority="62" operator="containsText" text="POR VENCER">
      <formula>NOT(ISERROR(SEARCH("POR VENCER",AE154)))</formula>
    </cfRule>
    <cfRule type="containsText" dxfId="279" priority="63" operator="containsText" text="VIGENTE">
      <formula>NOT(ISERROR(SEARCH("VIGENTE",AE154)))</formula>
    </cfRule>
  </conditionalFormatting>
  <conditionalFormatting sqref="AF154:AF238">
    <cfRule type="containsText" dxfId="278" priority="58" operator="containsText" text="VENCIDO">
      <formula>NOT(ISERROR(SEARCH("VENCIDO",AF154)))</formula>
    </cfRule>
    <cfRule type="containsText" dxfId="277" priority="59" operator="containsText" text="POR VENCER">
      <formula>NOT(ISERROR(SEARCH("POR VENCER",AF154)))</formula>
    </cfRule>
    <cfRule type="containsText" dxfId="276" priority="60" operator="containsText" text="VIGENTE">
      <formula>NOT(ISERROR(SEARCH("VIGENTE",AF154)))</formula>
    </cfRule>
  </conditionalFormatting>
  <conditionalFormatting sqref="N70:N99">
    <cfRule type="containsText" dxfId="275" priority="55" operator="containsText" text="VIGENTE">
      <formula>NOT(ISERROR(SEARCH("VIGENTE",N70)))</formula>
    </cfRule>
    <cfRule type="containsText" dxfId="274" priority="56" operator="containsText" text="POR VENCER">
      <formula>NOT(ISERROR(SEARCH("POR VENCER",N70)))</formula>
    </cfRule>
    <cfRule type="containsText" dxfId="273" priority="57" operator="containsText" text="VENCIDO">
      <formula>NOT(ISERROR(SEARCH("VENCIDO",N70)))</formula>
    </cfRule>
  </conditionalFormatting>
  <conditionalFormatting sqref="E15">
    <cfRule type="containsText" dxfId="272" priority="52" operator="containsText" text="VENCIDO">
      <formula>NOT(ISERROR(SEARCH("VENCIDO",E15)))</formula>
    </cfRule>
    <cfRule type="containsText" dxfId="271" priority="53" operator="containsText" text="POR VENCER">
      <formula>NOT(ISERROR(SEARCH("POR VENCER",E15)))</formula>
    </cfRule>
    <cfRule type="containsText" dxfId="270" priority="54" operator="containsText" text="VIGENTE">
      <formula>NOT(ISERROR(SEARCH("VIGENTE",E15)))</formula>
    </cfRule>
  </conditionalFormatting>
  <conditionalFormatting sqref="AG154:AG238">
    <cfRule type="containsText" dxfId="269" priority="49" operator="containsText" text="VENCIDO">
      <formula>NOT(ISERROR(SEARCH("VENCIDO",AG154)))</formula>
    </cfRule>
    <cfRule type="containsText" dxfId="268" priority="50" operator="containsText" text="POR VENCER">
      <formula>NOT(ISERROR(SEARCH("POR VENCER",AG154)))</formula>
    </cfRule>
    <cfRule type="containsText" dxfId="267" priority="51" operator="containsText" text="VIGENTE">
      <formula>NOT(ISERROR(SEARCH("VIGENTE",AG154)))</formula>
    </cfRule>
  </conditionalFormatting>
  <conditionalFormatting sqref="AH154:AH238">
    <cfRule type="containsText" dxfId="266" priority="46" operator="containsText" text="VENCIDO">
      <formula>NOT(ISERROR(SEARCH("VENCIDO",AH154)))</formula>
    </cfRule>
    <cfRule type="containsText" dxfId="265" priority="47" operator="containsText" text="POR VENCER">
      <formula>NOT(ISERROR(SEARCH("POR VENCER",AH154)))</formula>
    </cfRule>
    <cfRule type="containsText" dxfId="264" priority="48" operator="containsText" text="VIGENTE">
      <formula>NOT(ISERROR(SEARCH("VIGENTE",AH154)))</formula>
    </cfRule>
  </conditionalFormatting>
  <conditionalFormatting sqref="AI154:AI238">
    <cfRule type="containsText" dxfId="263" priority="40" operator="containsText" text="VENCIDO">
      <formula>NOT(ISERROR(SEARCH("VENCIDO",AI154)))</formula>
    </cfRule>
    <cfRule type="containsText" dxfId="262" priority="41" operator="containsText" text="POR VENCER">
      <formula>NOT(ISERROR(SEARCH("POR VENCER",AI154)))</formula>
    </cfRule>
    <cfRule type="containsText" dxfId="261" priority="42" operator="containsText" text="VIGENTE">
      <formula>NOT(ISERROR(SEARCH("VIGENTE",AI154)))</formula>
    </cfRule>
  </conditionalFormatting>
  <conditionalFormatting sqref="AJ154:AJ238">
    <cfRule type="containsText" dxfId="260" priority="37" operator="containsText" text="VENCIDO">
      <formula>NOT(ISERROR(SEARCH("VENCIDO",AJ154)))</formula>
    </cfRule>
    <cfRule type="containsText" dxfId="259" priority="38" operator="containsText" text="POR VENCER">
      <formula>NOT(ISERROR(SEARCH("POR VENCER",AJ154)))</formula>
    </cfRule>
    <cfRule type="containsText" dxfId="258" priority="39" operator="containsText" text="VIGENTE">
      <formula>NOT(ISERROR(SEARCH("VIGENTE",AJ154)))</formula>
    </cfRule>
  </conditionalFormatting>
  <conditionalFormatting sqref="AK154:AK238">
    <cfRule type="containsText" dxfId="257" priority="34" operator="containsText" text="VENCIDO">
      <formula>NOT(ISERROR(SEARCH("VENCIDO",AK154)))</formula>
    </cfRule>
    <cfRule type="containsText" dxfId="256" priority="35" operator="containsText" text="POR VENCER">
      <formula>NOT(ISERROR(SEARCH("POR VENCER",AK154)))</formula>
    </cfRule>
    <cfRule type="containsText" dxfId="255" priority="36" operator="containsText" text="VIGENTE">
      <formula>NOT(ISERROR(SEARCH("VIGENTE",AK154)))</formula>
    </cfRule>
  </conditionalFormatting>
  <conditionalFormatting sqref="AL154:AL238">
    <cfRule type="containsText" dxfId="254" priority="31" operator="containsText" text="VENCIDO">
      <formula>NOT(ISERROR(SEARCH("VENCIDO",AL154)))</formula>
    </cfRule>
    <cfRule type="containsText" dxfId="253" priority="32" operator="containsText" text="POR VENCER">
      <formula>NOT(ISERROR(SEARCH("POR VENCER",AL154)))</formula>
    </cfRule>
    <cfRule type="containsText" dxfId="252" priority="33" operator="containsText" text="VIGENTE">
      <formula>NOT(ISERROR(SEARCH("VIGENTE",AL154)))</formula>
    </cfRule>
  </conditionalFormatting>
  <conditionalFormatting sqref="AM154:AM238">
    <cfRule type="containsText" dxfId="251" priority="28" operator="containsText" text="VENCIDO">
      <formula>NOT(ISERROR(SEARCH("VENCIDO",AM154)))</formula>
    </cfRule>
    <cfRule type="containsText" dxfId="250" priority="29" operator="containsText" text="POR VENCER">
      <formula>NOT(ISERROR(SEARCH("POR VENCER",AM154)))</formula>
    </cfRule>
    <cfRule type="containsText" dxfId="249" priority="30" operator="containsText" text="VIGENTE">
      <formula>NOT(ISERROR(SEARCH("VIGENTE",AM154)))</formula>
    </cfRule>
  </conditionalFormatting>
  <conditionalFormatting sqref="AN154:AN238">
    <cfRule type="containsText" dxfId="248" priority="25" operator="containsText" text="VENCIDO">
      <formula>NOT(ISERROR(SEARCH("VENCIDO",AN154)))</formula>
    </cfRule>
    <cfRule type="containsText" dxfId="247" priority="26" operator="containsText" text="POR VENCER">
      <formula>NOT(ISERROR(SEARCH("POR VENCER",AN154)))</formula>
    </cfRule>
    <cfRule type="containsText" dxfId="246" priority="27" operator="containsText" text="VIGENTE">
      <formula>NOT(ISERROR(SEARCH("VIGENTE",AN154)))</formula>
    </cfRule>
  </conditionalFormatting>
  <conditionalFormatting sqref="AO154:AO238">
    <cfRule type="containsText" dxfId="245" priority="22" operator="containsText" text="VENCIDO">
      <formula>NOT(ISERROR(SEARCH("VENCIDO",AO154)))</formula>
    </cfRule>
    <cfRule type="containsText" dxfId="244" priority="23" operator="containsText" text="POR VENCER">
      <formula>NOT(ISERROR(SEARCH("POR VENCER",AO154)))</formula>
    </cfRule>
    <cfRule type="containsText" dxfId="243" priority="24" operator="containsText" text="VIGENTE">
      <formula>NOT(ISERROR(SEARCH("VIGENTE",AO154)))</formula>
    </cfRule>
  </conditionalFormatting>
  <conditionalFormatting sqref="AP154:AP238">
    <cfRule type="containsText" dxfId="242" priority="19" operator="containsText" text="VENCIDO">
      <formula>NOT(ISERROR(SEARCH("VENCIDO",AP154)))</formula>
    </cfRule>
    <cfRule type="containsText" dxfId="241" priority="20" operator="containsText" text="POR VENCER">
      <formula>NOT(ISERROR(SEARCH("POR VENCER",AP154)))</formula>
    </cfRule>
    <cfRule type="containsText" dxfId="240" priority="21" operator="containsText" text="VIGENTE">
      <formula>NOT(ISERROR(SEARCH("VIGENTE",AP154)))</formula>
    </cfRule>
  </conditionalFormatting>
  <conditionalFormatting sqref="AQ154:AQ238">
    <cfRule type="containsText" dxfId="239" priority="16" operator="containsText" text="VENCIDO">
      <formula>NOT(ISERROR(SEARCH("VENCIDO",AQ154)))</formula>
    </cfRule>
    <cfRule type="containsText" dxfId="238" priority="17" operator="containsText" text="POR VENCER">
      <formula>NOT(ISERROR(SEARCH("POR VENCER",AQ154)))</formula>
    </cfRule>
    <cfRule type="containsText" dxfId="237" priority="18" operator="containsText" text="VIGENTE">
      <formula>NOT(ISERROR(SEARCH("VIGENTE",AQ154)))</formula>
    </cfRule>
  </conditionalFormatting>
  <conditionalFormatting sqref="AR154:AR238">
    <cfRule type="containsText" dxfId="236" priority="13" operator="containsText" text="VENCIDO">
      <formula>NOT(ISERROR(SEARCH("VENCIDO",AR154)))</formula>
    </cfRule>
    <cfRule type="containsText" dxfId="235" priority="14" operator="containsText" text="POR VENCER">
      <formula>NOT(ISERROR(SEARCH("POR VENCER",AR154)))</formula>
    </cfRule>
    <cfRule type="containsText" dxfId="234" priority="15" operator="containsText" text="VIGENTE">
      <formula>NOT(ISERROR(SEARCH("VIGENTE",AR154)))</formula>
    </cfRule>
  </conditionalFormatting>
  <conditionalFormatting sqref="AS154:AS238">
    <cfRule type="containsText" dxfId="233" priority="10" operator="containsText" text="VENCIDO">
      <formula>NOT(ISERROR(SEARCH("VENCIDO",AS154)))</formula>
    </cfRule>
    <cfRule type="containsText" dxfId="232" priority="11" operator="containsText" text="POR VENCER">
      <formula>NOT(ISERROR(SEARCH("POR VENCER",AS154)))</formula>
    </cfRule>
    <cfRule type="containsText" dxfId="231" priority="12" operator="containsText" text="VIGENTE">
      <formula>NOT(ISERROR(SEARCH("VIGENTE",AS154)))</formula>
    </cfRule>
  </conditionalFormatting>
  <conditionalFormatting sqref="AT154:AT238">
    <cfRule type="containsText" dxfId="230" priority="1" operator="containsText" text="VENCIDO">
      <formula>NOT(ISERROR(SEARCH("VENCIDO",AT154)))</formula>
    </cfRule>
    <cfRule type="containsText" dxfId="229" priority="2" operator="containsText" text="POR VENCER">
      <formula>NOT(ISERROR(SEARCH("POR VENCER",AT154)))</formula>
    </cfRule>
    <cfRule type="containsText" dxfId="228" priority="3" operator="containsText" text="VIGENTE">
      <formula>NOT(ISERROR(SEARCH("VIGENTE",AT154)))</formula>
    </cfRule>
  </conditionalFormatting>
  <printOptions horizontalCentered="1"/>
  <pageMargins left="3.937007874015748E-2" right="3.937007874015748E-2" top="0.39370078740157483" bottom="0.19685039370078741" header="0.19685039370078741" footer="0.11811023622047245"/>
  <pageSetup scale="70" orientation="landscape" verticalDpi="1200" r:id="rId1"/>
  <ignoredErrors>
    <ignoredError sqref="I143 E14 AG155" formula="1"/>
    <ignoredError sqref="B8"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8630850-20DE-4E1A-850B-0EDC4A90FB05}">
          <x14:formula1>
            <xm:f>LICENCIAS!A3:A48</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0F453-4724-4EFA-8EEE-6B0C376B2414}">
  <sheetPr codeName="Sheet2"/>
  <dimension ref="A1:AE134"/>
  <sheetViews>
    <sheetView showGridLines="0" zoomScale="90" zoomScaleNormal="90" workbookViewId="0">
      <pane xSplit="1" ySplit="2" topLeftCell="B34" activePane="bottomRight" state="frozen"/>
      <selection activeCell="A44" sqref="A44"/>
      <selection pane="topRight" activeCell="A44" sqref="A44"/>
      <selection pane="bottomLeft" activeCell="A44" sqref="A44"/>
      <selection pane="bottomRight" activeCell="A44" sqref="A44"/>
    </sheetView>
  </sheetViews>
  <sheetFormatPr defaultColWidth="8.88671875" defaultRowHeight="14.4" x14ac:dyDescent="0.3"/>
  <cols>
    <col min="1" max="1" width="22.33203125" style="8" customWidth="1"/>
    <col min="2" max="2" width="12.88671875" style="1" customWidth="1"/>
    <col min="3" max="3" width="31.6640625" customWidth="1"/>
    <col min="4" max="4" width="19.6640625" style="1" customWidth="1"/>
    <col min="5" max="5" width="11" style="1" customWidth="1"/>
    <col min="6" max="6" width="152.33203125" style="1" customWidth="1"/>
    <col min="7" max="8" width="18.6640625" style="2" customWidth="1"/>
    <col min="9" max="9" width="21.6640625" style="1" bestFit="1" customWidth="1"/>
    <col min="10" max="10" width="21.109375" style="1" bestFit="1" customWidth="1"/>
    <col min="11" max="11" width="20.5546875" style="1" bestFit="1" customWidth="1"/>
    <col min="12" max="15" width="14.6640625" style="1" customWidth="1"/>
    <col min="16" max="31" width="7.6640625" style="1" customWidth="1"/>
  </cols>
  <sheetData>
    <row r="1" spans="1:31" x14ac:dyDescent="0.3">
      <c r="A1" s="42">
        <v>1</v>
      </c>
      <c r="B1" s="42">
        <v>2</v>
      </c>
      <c r="C1" s="42">
        <v>3</v>
      </c>
      <c r="D1" s="42">
        <v>4</v>
      </c>
      <c r="E1" s="42">
        <v>5</v>
      </c>
      <c r="F1" s="42">
        <v>6</v>
      </c>
      <c r="G1" s="42">
        <v>7</v>
      </c>
      <c r="H1" s="42">
        <v>8</v>
      </c>
      <c r="I1" s="42">
        <v>9</v>
      </c>
      <c r="J1" s="42">
        <v>10</v>
      </c>
      <c r="K1" s="42">
        <v>11</v>
      </c>
      <c r="L1" s="42">
        <v>12</v>
      </c>
      <c r="M1" s="42">
        <v>13</v>
      </c>
      <c r="N1" s="42">
        <v>14</v>
      </c>
      <c r="O1" s="42">
        <v>15</v>
      </c>
      <c r="P1" s="42">
        <v>16</v>
      </c>
      <c r="Q1" s="42">
        <v>17</v>
      </c>
      <c r="R1" s="42">
        <v>18</v>
      </c>
      <c r="S1" s="42">
        <v>19</v>
      </c>
      <c r="T1" s="42">
        <v>20</v>
      </c>
      <c r="U1" s="42">
        <v>21</v>
      </c>
      <c r="V1" s="42">
        <v>22</v>
      </c>
      <c r="W1" s="42">
        <v>23</v>
      </c>
      <c r="X1" s="42">
        <v>24</v>
      </c>
      <c r="Y1" s="42">
        <v>25</v>
      </c>
      <c r="Z1" s="42">
        <v>26</v>
      </c>
      <c r="AA1" s="42">
        <v>27</v>
      </c>
      <c r="AB1" s="42">
        <v>28</v>
      </c>
      <c r="AC1" s="42">
        <v>29</v>
      </c>
      <c r="AD1" s="42">
        <v>30</v>
      </c>
      <c r="AE1" s="42">
        <v>31</v>
      </c>
    </row>
    <row r="2" spans="1:31" ht="85.2" customHeight="1" x14ac:dyDescent="0.3">
      <c r="A2" s="16" t="s">
        <v>84</v>
      </c>
      <c r="B2" s="16" t="s">
        <v>85</v>
      </c>
      <c r="C2" s="7" t="s">
        <v>86</v>
      </c>
      <c r="D2" s="3" t="s">
        <v>87</v>
      </c>
      <c r="E2" s="6" t="s">
        <v>88</v>
      </c>
      <c r="F2" s="3" t="s">
        <v>89</v>
      </c>
      <c r="G2" s="6" t="s">
        <v>90</v>
      </c>
      <c r="H2" s="6" t="s">
        <v>91</v>
      </c>
      <c r="I2" s="6" t="s">
        <v>92</v>
      </c>
      <c r="J2" s="6" t="s">
        <v>93</v>
      </c>
      <c r="K2" s="3" t="s">
        <v>45</v>
      </c>
      <c r="L2" s="3" t="s">
        <v>94</v>
      </c>
      <c r="M2" s="5"/>
      <c r="N2" s="5"/>
      <c r="O2" s="5"/>
      <c r="P2" s="4"/>
      <c r="Q2" s="4"/>
      <c r="R2" s="4"/>
      <c r="S2" s="4"/>
      <c r="T2" s="4"/>
      <c r="U2" s="4"/>
      <c r="V2" s="4"/>
      <c r="W2" s="4"/>
      <c r="X2" s="4"/>
      <c r="Y2" s="4"/>
      <c r="Z2" s="4"/>
      <c r="AA2" s="4"/>
      <c r="AB2" s="4"/>
      <c r="AC2" s="9"/>
      <c r="AD2" s="35"/>
      <c r="AE2" s="38"/>
    </row>
    <row r="3" spans="1:31" s="44" customFormat="1" ht="30" customHeight="1" x14ac:dyDescent="0.3">
      <c r="A3" s="342" t="s">
        <v>95</v>
      </c>
      <c r="B3" s="12" t="s">
        <v>96</v>
      </c>
      <c r="C3" s="125" t="s">
        <v>97</v>
      </c>
      <c r="D3" s="12" t="s">
        <v>98</v>
      </c>
      <c r="E3" s="12">
        <v>5356</v>
      </c>
      <c r="F3" s="349" t="s">
        <v>99</v>
      </c>
      <c r="G3" s="14">
        <v>45481</v>
      </c>
      <c r="H3" s="14">
        <v>46211</v>
      </c>
      <c r="I3" s="310">
        <v>45809</v>
      </c>
      <c r="J3" s="12" t="str">
        <f t="shared" ref="J3:J32" ca="1" si="0">IF(G3=0," ",IF(H3-TODAY()&gt;60,"VIGENTE",IF(H3-TODAY()&lt;=0,"VENCIDO",IF(H3-TODAY()&lt;=60,"POR VENCER"))))</f>
        <v>VIGENTE</v>
      </c>
      <c r="K3" s="12" t="s">
        <v>100</v>
      </c>
      <c r="L3" s="12"/>
      <c r="M3" s="12"/>
      <c r="N3" s="12"/>
      <c r="O3" s="12"/>
      <c r="P3" s="72"/>
      <c r="Q3" s="72"/>
      <c r="R3" s="72"/>
      <c r="S3" s="72"/>
      <c r="T3" s="72"/>
      <c r="U3" s="72"/>
      <c r="V3" s="72"/>
      <c r="W3" s="72"/>
      <c r="X3" s="72"/>
      <c r="Y3" s="72"/>
      <c r="Z3" s="72"/>
      <c r="AA3" s="72"/>
      <c r="AB3" s="72"/>
      <c r="AC3" s="72"/>
      <c r="AD3" s="73"/>
      <c r="AE3" s="345"/>
    </row>
    <row r="4" spans="1:31" s="347" customFormat="1" ht="30" customHeight="1" x14ac:dyDescent="0.3">
      <c r="A4" s="66" t="s">
        <v>101</v>
      </c>
      <c r="B4" s="49" t="s">
        <v>102</v>
      </c>
      <c r="C4" s="66" t="s">
        <v>97</v>
      </c>
      <c r="D4" s="49" t="s">
        <v>103</v>
      </c>
      <c r="E4" s="49">
        <v>5223</v>
      </c>
      <c r="F4" s="350" t="s">
        <v>104</v>
      </c>
      <c r="G4" s="65">
        <v>45030</v>
      </c>
      <c r="H4" s="65">
        <v>45761</v>
      </c>
      <c r="I4" s="309">
        <v>45717</v>
      </c>
      <c r="J4" s="49" t="str">
        <f t="shared" ca="1" si="0"/>
        <v>VENCIDO</v>
      </c>
      <c r="K4" s="49" t="s">
        <v>105</v>
      </c>
      <c r="L4" s="49"/>
      <c r="M4" s="49"/>
      <c r="N4" s="49"/>
      <c r="O4" s="49"/>
      <c r="P4" s="70"/>
      <c r="Q4" s="70"/>
      <c r="R4" s="70"/>
      <c r="S4" s="70"/>
      <c r="T4" s="70"/>
      <c r="U4" s="70"/>
      <c r="V4" s="70"/>
      <c r="W4" s="70"/>
      <c r="X4" s="70"/>
      <c r="Y4" s="70"/>
      <c r="Z4" s="70"/>
      <c r="AA4" s="70"/>
      <c r="AB4" s="70"/>
      <c r="AC4" s="70"/>
      <c r="AD4" s="71"/>
      <c r="AE4" s="50"/>
    </row>
    <row r="5" spans="1:31" s="44" customFormat="1" ht="30" customHeight="1" x14ac:dyDescent="0.3">
      <c r="A5" s="125" t="s">
        <v>106</v>
      </c>
      <c r="B5" s="12" t="s">
        <v>96</v>
      </c>
      <c r="C5" s="125" t="s">
        <v>97</v>
      </c>
      <c r="D5" s="12" t="s">
        <v>107</v>
      </c>
      <c r="E5" s="12">
        <v>5079</v>
      </c>
      <c r="F5" s="351" t="s">
        <v>108</v>
      </c>
      <c r="G5" s="14">
        <v>45461</v>
      </c>
      <c r="H5" s="14">
        <v>46191</v>
      </c>
      <c r="I5" s="310">
        <v>45778</v>
      </c>
      <c r="J5" s="12" t="str">
        <f t="shared" ca="1" si="0"/>
        <v>VIGENTE</v>
      </c>
      <c r="K5" s="12" t="s">
        <v>109</v>
      </c>
      <c r="L5" s="12"/>
      <c r="M5" s="12"/>
      <c r="N5" s="12"/>
      <c r="O5" s="12"/>
      <c r="P5" s="72"/>
      <c r="Q5" s="72"/>
      <c r="R5" s="72"/>
      <c r="S5" s="72"/>
      <c r="T5" s="72"/>
      <c r="U5" s="72"/>
      <c r="V5" s="72"/>
      <c r="W5" s="72"/>
      <c r="X5" s="72"/>
      <c r="Y5" s="72"/>
      <c r="Z5" s="72"/>
      <c r="AA5" s="72"/>
      <c r="AB5" s="72"/>
      <c r="AC5" s="72"/>
      <c r="AD5" s="73"/>
      <c r="AE5" s="24"/>
    </row>
    <row r="6" spans="1:31" s="347" customFormat="1" ht="30" customHeight="1" x14ac:dyDescent="0.3">
      <c r="A6" s="66" t="s">
        <v>110</v>
      </c>
      <c r="B6" s="49" t="s">
        <v>102</v>
      </c>
      <c r="C6" s="66" t="s">
        <v>97</v>
      </c>
      <c r="D6" s="49" t="s">
        <v>111</v>
      </c>
      <c r="E6" s="49">
        <v>5224</v>
      </c>
      <c r="F6" s="350" t="s">
        <v>112</v>
      </c>
      <c r="G6" s="65">
        <v>45026</v>
      </c>
      <c r="H6" s="65">
        <v>45757</v>
      </c>
      <c r="I6" s="309">
        <v>45352</v>
      </c>
      <c r="J6" s="49" t="str">
        <f t="shared" ca="1" si="0"/>
        <v>VENCIDO</v>
      </c>
      <c r="K6" s="49" t="s">
        <v>113</v>
      </c>
      <c r="L6" s="49"/>
      <c r="M6" s="49"/>
      <c r="N6" s="49"/>
      <c r="O6" s="49"/>
      <c r="P6" s="70"/>
      <c r="Q6" s="70"/>
      <c r="R6" s="70"/>
      <c r="S6" s="70"/>
      <c r="T6" s="70"/>
      <c r="U6" s="70"/>
      <c r="V6" s="70"/>
      <c r="W6" s="70"/>
      <c r="X6" s="70"/>
      <c r="Y6" s="70"/>
      <c r="Z6" s="70"/>
      <c r="AA6" s="70"/>
      <c r="AB6" s="70"/>
      <c r="AC6" s="70"/>
      <c r="AD6" s="71"/>
      <c r="AE6" s="50"/>
    </row>
    <row r="7" spans="1:31" s="44" customFormat="1" ht="30" customHeight="1" x14ac:dyDescent="0.3">
      <c r="A7" s="125" t="s">
        <v>114</v>
      </c>
      <c r="B7" s="12" t="s">
        <v>96</v>
      </c>
      <c r="C7" s="125" t="s">
        <v>97</v>
      </c>
      <c r="D7" s="12" t="s">
        <v>115</v>
      </c>
      <c r="E7" s="12"/>
      <c r="F7" s="349" t="s">
        <v>116</v>
      </c>
      <c r="G7" s="12"/>
      <c r="H7" s="12"/>
      <c r="I7" s="310"/>
      <c r="J7" s="12" t="str">
        <f t="shared" ca="1" si="0"/>
        <v xml:space="preserve"> </v>
      </c>
      <c r="K7" s="12"/>
      <c r="L7" s="12"/>
      <c r="M7" s="12"/>
      <c r="N7" s="12"/>
      <c r="O7" s="12"/>
      <c r="P7" s="72"/>
      <c r="Q7" s="72"/>
      <c r="R7" s="72"/>
      <c r="S7" s="72"/>
      <c r="T7" s="72"/>
      <c r="U7" s="72"/>
      <c r="V7" s="72"/>
      <c r="W7" s="72"/>
      <c r="X7" s="72"/>
      <c r="Y7" s="72"/>
      <c r="Z7" s="72"/>
      <c r="AA7" s="72"/>
      <c r="AB7" s="72"/>
      <c r="AC7" s="72"/>
      <c r="AD7" s="73"/>
      <c r="AE7" s="24"/>
    </row>
    <row r="8" spans="1:31" s="347" customFormat="1" ht="30" customHeight="1" x14ac:dyDescent="0.3">
      <c r="A8" s="66" t="s">
        <v>117</v>
      </c>
      <c r="B8" s="49" t="s">
        <v>96</v>
      </c>
      <c r="C8" s="66" t="s">
        <v>97</v>
      </c>
      <c r="D8" s="49"/>
      <c r="E8" s="49"/>
      <c r="F8" s="350"/>
      <c r="G8" s="65"/>
      <c r="H8" s="65"/>
      <c r="I8" s="309"/>
      <c r="J8" s="49" t="str">
        <f t="shared" ca="1" si="0"/>
        <v xml:space="preserve"> </v>
      </c>
      <c r="K8" s="49"/>
      <c r="L8" s="49"/>
      <c r="M8" s="49"/>
      <c r="N8" s="49"/>
      <c r="O8" s="49"/>
      <c r="P8" s="70"/>
      <c r="Q8" s="70"/>
      <c r="R8" s="70"/>
      <c r="S8" s="70"/>
      <c r="T8" s="70"/>
      <c r="U8" s="70"/>
      <c r="V8" s="70"/>
      <c r="W8" s="70"/>
      <c r="X8" s="70"/>
      <c r="Y8" s="70"/>
      <c r="Z8" s="70"/>
      <c r="AA8" s="70"/>
      <c r="AB8" s="70"/>
      <c r="AC8" s="70"/>
      <c r="AD8" s="71"/>
      <c r="AE8" s="50"/>
    </row>
    <row r="9" spans="1:31" s="44" customFormat="1" ht="30" customHeight="1" x14ac:dyDescent="0.3">
      <c r="A9" s="125" t="s">
        <v>118</v>
      </c>
      <c r="B9" s="12" t="s">
        <v>96</v>
      </c>
      <c r="C9" s="125" t="s">
        <v>97</v>
      </c>
      <c r="D9" s="12" t="s">
        <v>119</v>
      </c>
      <c r="E9" s="12">
        <v>5263</v>
      </c>
      <c r="F9" s="351" t="s">
        <v>120</v>
      </c>
      <c r="G9" s="14">
        <v>45237</v>
      </c>
      <c r="H9" s="14">
        <v>45968</v>
      </c>
      <c r="I9" s="310">
        <v>45931</v>
      </c>
      <c r="J9" s="12" t="str">
        <f t="shared" ca="1" si="0"/>
        <v>VIGENTE</v>
      </c>
      <c r="K9" s="12" t="s">
        <v>121</v>
      </c>
      <c r="L9" s="12"/>
      <c r="M9" s="12"/>
      <c r="N9" s="12"/>
      <c r="O9" s="12"/>
      <c r="P9" s="72"/>
      <c r="Q9" s="72"/>
      <c r="R9" s="72"/>
      <c r="S9" s="72"/>
      <c r="T9" s="72"/>
      <c r="U9" s="72"/>
      <c r="V9" s="72"/>
      <c r="W9" s="72"/>
      <c r="X9" s="72"/>
      <c r="Y9" s="72"/>
      <c r="Z9" s="72"/>
      <c r="AA9" s="72"/>
      <c r="AB9" s="72"/>
      <c r="AC9" s="72"/>
      <c r="AD9" s="73"/>
      <c r="AE9" s="24"/>
    </row>
    <row r="10" spans="1:31" s="44" customFormat="1" ht="30" customHeight="1" x14ac:dyDescent="0.3">
      <c r="A10" s="66" t="s">
        <v>122</v>
      </c>
      <c r="B10" s="49" t="s">
        <v>96</v>
      </c>
      <c r="C10" s="66" t="s">
        <v>97</v>
      </c>
      <c r="D10" s="49" t="s">
        <v>123</v>
      </c>
      <c r="E10" s="49">
        <v>5268</v>
      </c>
      <c r="F10" s="350" t="s">
        <v>124</v>
      </c>
      <c r="G10" s="65">
        <v>45251</v>
      </c>
      <c r="H10" s="65">
        <v>45982</v>
      </c>
      <c r="I10" s="309">
        <v>45931</v>
      </c>
      <c r="J10" s="49" t="str">
        <f t="shared" ca="1" si="0"/>
        <v>VIGENTE</v>
      </c>
      <c r="K10" s="49" t="s">
        <v>125</v>
      </c>
      <c r="L10" s="49"/>
      <c r="M10" s="49"/>
      <c r="N10" s="49"/>
      <c r="O10" s="49"/>
      <c r="P10" s="70"/>
      <c r="Q10" s="70"/>
      <c r="R10" s="70"/>
      <c r="S10" s="70"/>
      <c r="T10" s="70"/>
      <c r="U10" s="70"/>
      <c r="V10" s="70"/>
      <c r="W10" s="70"/>
      <c r="X10" s="70"/>
      <c r="Y10" s="70"/>
      <c r="Z10" s="70"/>
      <c r="AA10" s="70"/>
      <c r="AB10" s="70"/>
      <c r="AC10" s="70"/>
      <c r="AD10" s="71"/>
      <c r="AE10" s="50"/>
    </row>
    <row r="11" spans="1:31" s="44" customFormat="1" ht="30" customHeight="1" x14ac:dyDescent="0.3">
      <c r="A11" s="125" t="s">
        <v>126</v>
      </c>
      <c r="B11" s="12" t="s">
        <v>102</v>
      </c>
      <c r="C11" s="125" t="s">
        <v>97</v>
      </c>
      <c r="D11" s="12" t="s">
        <v>127</v>
      </c>
      <c r="E11" s="12">
        <v>5394</v>
      </c>
      <c r="F11" s="349" t="s">
        <v>128</v>
      </c>
      <c r="G11" s="14">
        <v>45496</v>
      </c>
      <c r="H11" s="14">
        <v>46226</v>
      </c>
      <c r="I11" s="310">
        <v>45809</v>
      </c>
      <c r="J11" s="12" t="str">
        <f t="shared" ca="1" si="0"/>
        <v>VIGENTE</v>
      </c>
      <c r="K11" s="12" t="s">
        <v>129</v>
      </c>
      <c r="L11" s="12"/>
      <c r="M11" s="12"/>
      <c r="N11" s="12"/>
      <c r="O11" s="12"/>
      <c r="P11" s="72"/>
      <c r="Q11" s="72"/>
      <c r="R11" s="72"/>
      <c r="S11" s="72"/>
      <c r="T11" s="72"/>
      <c r="U11" s="72"/>
      <c r="V11" s="72"/>
      <c r="W11" s="72"/>
      <c r="X11" s="72"/>
      <c r="Y11" s="72"/>
      <c r="Z11" s="72"/>
      <c r="AA11" s="72"/>
      <c r="AB11" s="72"/>
      <c r="AC11" s="72"/>
      <c r="AD11" s="73"/>
      <c r="AE11" s="24"/>
    </row>
    <row r="12" spans="1:31" s="44" customFormat="1" ht="30" customHeight="1" x14ac:dyDescent="0.3">
      <c r="A12" s="66" t="s">
        <v>130</v>
      </c>
      <c r="B12" s="49" t="s">
        <v>96</v>
      </c>
      <c r="C12" s="66" t="s">
        <v>97</v>
      </c>
      <c r="D12" s="49" t="s">
        <v>131</v>
      </c>
      <c r="E12" s="49">
        <v>5280</v>
      </c>
      <c r="F12" s="354" t="s">
        <v>132</v>
      </c>
      <c r="G12" s="65">
        <v>45260</v>
      </c>
      <c r="H12" s="65">
        <v>45991</v>
      </c>
      <c r="I12" s="309">
        <v>45954</v>
      </c>
      <c r="J12" s="49" t="str">
        <f t="shared" ca="1" si="0"/>
        <v>VIGENTE</v>
      </c>
      <c r="K12" s="49" t="s">
        <v>133</v>
      </c>
      <c r="L12" s="49"/>
      <c r="M12" s="49"/>
      <c r="N12" s="49"/>
      <c r="O12" s="49"/>
      <c r="P12" s="70"/>
      <c r="Q12" s="70"/>
      <c r="R12" s="70"/>
      <c r="S12" s="70"/>
      <c r="T12" s="70"/>
      <c r="U12" s="70"/>
      <c r="V12" s="70"/>
      <c r="W12" s="70"/>
      <c r="X12" s="70"/>
      <c r="Y12" s="70"/>
      <c r="Z12" s="70"/>
      <c r="AA12" s="70"/>
      <c r="AB12" s="70"/>
      <c r="AC12" s="70"/>
      <c r="AD12" s="71"/>
      <c r="AE12" s="50"/>
    </row>
    <row r="13" spans="1:31" s="44" customFormat="1" ht="30" customHeight="1" x14ac:dyDescent="0.3">
      <c r="A13" s="125" t="s">
        <v>134</v>
      </c>
      <c r="B13" s="12" t="s">
        <v>96</v>
      </c>
      <c r="C13" s="125" t="s">
        <v>97</v>
      </c>
      <c r="D13" s="12" t="s">
        <v>135</v>
      </c>
      <c r="E13" s="12">
        <v>5270</v>
      </c>
      <c r="F13" s="351" t="s">
        <v>136</v>
      </c>
      <c r="G13" s="14">
        <v>45184</v>
      </c>
      <c r="H13" s="14">
        <v>45915</v>
      </c>
      <c r="I13" s="310">
        <v>45870</v>
      </c>
      <c r="J13" s="12" t="str">
        <f t="shared" ca="1" si="0"/>
        <v>VIGENTE</v>
      </c>
      <c r="K13" s="12" t="s">
        <v>137</v>
      </c>
      <c r="L13" s="12"/>
      <c r="M13" s="12"/>
      <c r="N13" s="12"/>
      <c r="O13" s="12"/>
      <c r="P13" s="72"/>
      <c r="Q13" s="72"/>
      <c r="R13" s="72"/>
      <c r="S13" s="72"/>
      <c r="T13" s="72"/>
      <c r="U13" s="72"/>
      <c r="V13" s="72"/>
      <c r="W13" s="72"/>
      <c r="X13" s="72"/>
      <c r="Y13" s="72"/>
      <c r="Z13" s="72"/>
      <c r="AA13" s="72"/>
      <c r="AB13" s="72"/>
      <c r="AC13" s="72"/>
      <c r="AD13" s="73"/>
      <c r="AE13" s="24"/>
    </row>
    <row r="14" spans="1:31" s="44" customFormat="1" ht="30" customHeight="1" x14ac:dyDescent="0.3">
      <c r="A14" s="66" t="s">
        <v>138</v>
      </c>
      <c r="B14" s="49" t="s">
        <v>96</v>
      </c>
      <c r="C14" s="66" t="s">
        <v>97</v>
      </c>
      <c r="D14" s="49" t="s">
        <v>139</v>
      </c>
      <c r="E14" s="49">
        <v>5289</v>
      </c>
      <c r="F14" s="350" t="s">
        <v>140</v>
      </c>
      <c r="G14" s="65">
        <v>45303</v>
      </c>
      <c r="H14" s="65">
        <v>46034</v>
      </c>
      <c r="I14" s="309">
        <v>45992</v>
      </c>
      <c r="J14" s="49" t="str">
        <f t="shared" ca="1" si="0"/>
        <v>VIGENTE</v>
      </c>
      <c r="K14" s="49" t="s">
        <v>141</v>
      </c>
      <c r="L14" s="49"/>
      <c r="M14" s="49"/>
      <c r="N14" s="49"/>
      <c r="O14" s="49"/>
      <c r="P14" s="70"/>
      <c r="Q14" s="70"/>
      <c r="R14" s="70"/>
      <c r="S14" s="70"/>
      <c r="T14" s="70"/>
      <c r="U14" s="70"/>
      <c r="V14" s="70"/>
      <c r="W14" s="70"/>
      <c r="X14" s="70"/>
      <c r="Y14" s="70"/>
      <c r="Z14" s="70"/>
      <c r="AA14" s="70"/>
      <c r="AB14" s="70"/>
      <c r="AC14" s="70"/>
      <c r="AD14" s="71"/>
      <c r="AE14" s="50"/>
    </row>
    <row r="15" spans="1:31" s="44" customFormat="1" ht="30" customHeight="1" x14ac:dyDescent="0.3">
      <c r="A15" s="125" t="s">
        <v>142</v>
      </c>
      <c r="B15" s="12" t="s">
        <v>102</v>
      </c>
      <c r="C15" s="125" t="s">
        <v>97</v>
      </c>
      <c r="D15" s="12" t="s">
        <v>143</v>
      </c>
      <c r="E15" s="12">
        <v>5229</v>
      </c>
      <c r="F15" s="351" t="s">
        <v>144</v>
      </c>
      <c r="G15" s="14">
        <v>45036</v>
      </c>
      <c r="H15" s="14">
        <v>45767</v>
      </c>
      <c r="I15" s="310">
        <v>45717</v>
      </c>
      <c r="J15" s="12" t="str">
        <f t="shared" ca="1" si="0"/>
        <v>VENCIDO</v>
      </c>
      <c r="K15" s="12" t="s">
        <v>145</v>
      </c>
      <c r="L15" s="12"/>
      <c r="M15" s="12"/>
      <c r="N15" s="12"/>
      <c r="O15" s="12"/>
      <c r="P15" s="72"/>
      <c r="Q15" s="72"/>
      <c r="R15" s="72"/>
      <c r="S15" s="72"/>
      <c r="T15" s="72"/>
      <c r="U15" s="72"/>
      <c r="V15" s="72"/>
      <c r="W15" s="72"/>
      <c r="X15" s="72"/>
      <c r="Y15" s="72"/>
      <c r="Z15" s="72"/>
      <c r="AA15" s="72"/>
      <c r="AB15" s="72"/>
      <c r="AC15" s="72"/>
      <c r="AD15" s="73"/>
      <c r="AE15" s="24"/>
    </row>
    <row r="16" spans="1:31" s="347" customFormat="1" ht="30" customHeight="1" x14ac:dyDescent="0.3">
      <c r="A16" s="66" t="s">
        <v>146</v>
      </c>
      <c r="B16" s="49" t="s">
        <v>96</v>
      </c>
      <c r="C16" s="66" t="s">
        <v>97</v>
      </c>
      <c r="D16" s="49" t="s">
        <v>147</v>
      </c>
      <c r="E16" s="49">
        <v>5236</v>
      </c>
      <c r="F16" s="350" t="s">
        <v>148</v>
      </c>
      <c r="G16" s="65">
        <v>45054</v>
      </c>
      <c r="H16" s="65">
        <v>45785</v>
      </c>
      <c r="I16" s="309">
        <v>45748</v>
      </c>
      <c r="J16" s="49" t="str">
        <f t="shared" ca="1" si="0"/>
        <v>VENCIDO</v>
      </c>
      <c r="K16" s="49" t="s">
        <v>149</v>
      </c>
      <c r="L16" s="49"/>
      <c r="M16" s="49"/>
      <c r="N16" s="49"/>
      <c r="O16" s="49"/>
      <c r="P16" s="70"/>
      <c r="Q16" s="70"/>
      <c r="R16" s="70"/>
      <c r="S16" s="70"/>
      <c r="T16" s="70"/>
      <c r="U16" s="70"/>
      <c r="V16" s="70"/>
      <c r="W16" s="70"/>
      <c r="X16" s="70"/>
      <c r="Y16" s="70"/>
      <c r="Z16" s="70"/>
      <c r="AA16" s="70"/>
      <c r="AB16" s="70"/>
      <c r="AC16" s="70"/>
      <c r="AD16" s="71"/>
      <c r="AE16" s="50"/>
    </row>
    <row r="17" spans="1:31" s="44" customFormat="1" ht="30" customHeight="1" x14ac:dyDescent="0.3">
      <c r="A17" s="125" t="s">
        <v>150</v>
      </c>
      <c r="B17" s="12" t="s">
        <v>102</v>
      </c>
      <c r="C17" s="125" t="s">
        <v>97</v>
      </c>
      <c r="D17" s="12" t="s">
        <v>151</v>
      </c>
      <c r="E17" s="12">
        <v>5282</v>
      </c>
      <c r="F17" s="351" t="s">
        <v>152</v>
      </c>
      <c r="G17" s="14">
        <v>45175</v>
      </c>
      <c r="H17" s="14">
        <v>45906</v>
      </c>
      <c r="I17" s="310">
        <v>45870</v>
      </c>
      <c r="J17" s="12" t="str">
        <f t="shared" ca="1" si="0"/>
        <v>VIGENTE</v>
      </c>
      <c r="K17" s="12" t="s">
        <v>153</v>
      </c>
      <c r="L17" s="12"/>
      <c r="M17" s="12"/>
      <c r="N17" s="12"/>
      <c r="O17" s="12"/>
      <c r="P17" s="72"/>
      <c r="Q17" s="72"/>
      <c r="R17" s="72"/>
      <c r="S17" s="72"/>
      <c r="T17" s="72"/>
      <c r="U17" s="72"/>
      <c r="V17" s="72"/>
      <c r="W17" s="72"/>
      <c r="X17" s="72"/>
      <c r="Y17" s="72"/>
      <c r="Z17" s="72"/>
      <c r="AA17" s="72"/>
      <c r="AB17" s="72"/>
      <c r="AC17" s="72"/>
      <c r="AD17" s="73"/>
      <c r="AE17" s="24"/>
    </row>
    <row r="18" spans="1:31" s="347" customFormat="1" ht="30" customHeight="1" x14ac:dyDescent="0.3">
      <c r="A18" s="66" t="s">
        <v>154</v>
      </c>
      <c r="B18" s="49" t="s">
        <v>102</v>
      </c>
      <c r="C18" s="66" t="s">
        <v>97</v>
      </c>
      <c r="D18" s="49" t="s">
        <v>155</v>
      </c>
      <c r="E18" s="49">
        <v>5264</v>
      </c>
      <c r="F18" s="353" t="s">
        <v>156</v>
      </c>
      <c r="G18" s="65">
        <v>45184</v>
      </c>
      <c r="H18" s="65">
        <v>45915</v>
      </c>
      <c r="I18" s="309">
        <v>45870</v>
      </c>
      <c r="J18" s="49" t="str">
        <f t="shared" ca="1" si="0"/>
        <v>VIGENTE</v>
      </c>
      <c r="K18" s="49" t="s">
        <v>157</v>
      </c>
      <c r="L18" s="49"/>
      <c r="M18" s="49"/>
      <c r="N18" s="49"/>
      <c r="O18" s="49"/>
      <c r="P18" s="70"/>
      <c r="Q18" s="70"/>
      <c r="R18" s="70"/>
      <c r="S18" s="70"/>
      <c r="T18" s="70"/>
      <c r="U18" s="70"/>
      <c r="V18" s="70"/>
      <c r="W18" s="70"/>
      <c r="X18" s="70"/>
      <c r="Y18" s="70"/>
      <c r="Z18" s="70"/>
      <c r="AA18" s="70"/>
      <c r="AB18" s="70"/>
      <c r="AC18" s="70"/>
      <c r="AD18" s="71"/>
      <c r="AE18" s="50"/>
    </row>
    <row r="19" spans="1:31" s="44" customFormat="1" ht="30" customHeight="1" x14ac:dyDescent="0.3">
      <c r="A19" s="125" t="s">
        <v>158</v>
      </c>
      <c r="B19" s="12" t="s">
        <v>96</v>
      </c>
      <c r="C19" s="125"/>
      <c r="D19" s="12"/>
      <c r="E19" s="12"/>
      <c r="F19" s="351"/>
      <c r="G19" s="14"/>
      <c r="H19" s="14"/>
      <c r="I19" s="310"/>
      <c r="J19" s="12" t="str">
        <f t="shared" ca="1" si="0"/>
        <v xml:space="preserve"> </v>
      </c>
      <c r="K19" s="12"/>
      <c r="L19" s="12"/>
      <c r="M19" s="12"/>
      <c r="N19" s="12"/>
      <c r="O19" s="12"/>
      <c r="P19" s="72"/>
      <c r="Q19" s="72"/>
      <c r="R19" s="72"/>
      <c r="S19" s="72"/>
      <c r="T19" s="72"/>
      <c r="U19" s="72"/>
      <c r="V19" s="72"/>
      <c r="W19" s="72"/>
      <c r="X19" s="72"/>
      <c r="Y19" s="72"/>
      <c r="Z19" s="72"/>
      <c r="AA19" s="72"/>
      <c r="AB19" s="72"/>
      <c r="AC19" s="72"/>
      <c r="AD19" s="73"/>
      <c r="AE19" s="24"/>
    </row>
    <row r="20" spans="1:31" s="347" customFormat="1" ht="30" customHeight="1" x14ac:dyDescent="0.3">
      <c r="A20" s="66" t="s">
        <v>159</v>
      </c>
      <c r="B20" s="49" t="s">
        <v>102</v>
      </c>
      <c r="C20" s="66" t="s">
        <v>97</v>
      </c>
      <c r="D20" s="49" t="s">
        <v>160</v>
      </c>
      <c r="E20" s="49">
        <v>5285</v>
      </c>
      <c r="F20" s="350" t="s">
        <v>161</v>
      </c>
      <c r="G20" s="65">
        <v>45364</v>
      </c>
      <c r="H20" s="65">
        <v>46094</v>
      </c>
      <c r="I20" s="309">
        <v>45689</v>
      </c>
      <c r="J20" s="49" t="str">
        <f t="shared" ca="1" si="0"/>
        <v>VIGENTE</v>
      </c>
      <c r="K20" s="49" t="s">
        <v>162</v>
      </c>
      <c r="L20" s="49"/>
      <c r="M20" s="49"/>
      <c r="N20" s="49"/>
      <c r="O20" s="49"/>
      <c r="P20" s="70"/>
      <c r="Q20" s="70"/>
      <c r="R20" s="70"/>
      <c r="S20" s="70"/>
      <c r="T20" s="70"/>
      <c r="U20" s="70"/>
      <c r="V20" s="70"/>
      <c r="W20" s="70"/>
      <c r="X20" s="70"/>
      <c r="Y20" s="70"/>
      <c r="Z20" s="70"/>
      <c r="AA20" s="70"/>
      <c r="AB20" s="70"/>
      <c r="AC20" s="70"/>
      <c r="AD20" s="71"/>
      <c r="AE20" s="50"/>
    </row>
    <row r="21" spans="1:31" s="44" customFormat="1" ht="30" customHeight="1" x14ac:dyDescent="0.3">
      <c r="A21" s="125" t="s">
        <v>163</v>
      </c>
      <c r="B21" s="12" t="s">
        <v>102</v>
      </c>
      <c r="C21" s="125" t="s">
        <v>97</v>
      </c>
      <c r="D21" s="12" t="s">
        <v>164</v>
      </c>
      <c r="E21" s="12">
        <v>5399</v>
      </c>
      <c r="F21" s="351" t="s">
        <v>165</v>
      </c>
      <c r="G21" s="14">
        <v>45497</v>
      </c>
      <c r="H21" s="14">
        <v>46227</v>
      </c>
      <c r="I21" s="310">
        <v>45809</v>
      </c>
      <c r="J21" s="12" t="str">
        <f t="shared" ca="1" si="0"/>
        <v>VIGENTE</v>
      </c>
      <c r="K21" s="12" t="s">
        <v>166</v>
      </c>
      <c r="L21" s="12"/>
      <c r="M21" s="12"/>
      <c r="N21" s="12"/>
      <c r="O21" s="12"/>
      <c r="P21" s="72"/>
      <c r="Q21" s="72"/>
      <c r="R21" s="72"/>
      <c r="S21" s="72"/>
      <c r="T21" s="72"/>
      <c r="U21" s="72"/>
      <c r="V21" s="72"/>
      <c r="W21" s="72"/>
      <c r="X21" s="72"/>
      <c r="Y21" s="72"/>
      <c r="Z21" s="72"/>
      <c r="AA21" s="72"/>
      <c r="AB21" s="72"/>
      <c r="AC21" s="72"/>
      <c r="AD21" s="73"/>
      <c r="AE21" s="24"/>
    </row>
    <row r="22" spans="1:31" s="347" customFormat="1" ht="30" customHeight="1" x14ac:dyDescent="0.3">
      <c r="A22" s="66" t="s">
        <v>167</v>
      </c>
      <c r="B22" s="49" t="s">
        <v>102</v>
      </c>
      <c r="C22" s="66" t="s">
        <v>97</v>
      </c>
      <c r="D22" s="49" t="s">
        <v>168</v>
      </c>
      <c r="E22" s="49">
        <v>5222</v>
      </c>
      <c r="F22" s="350" t="s">
        <v>169</v>
      </c>
      <c r="G22" s="65">
        <v>45036</v>
      </c>
      <c r="H22" s="65">
        <v>45767</v>
      </c>
      <c r="I22" s="309">
        <v>45717</v>
      </c>
      <c r="J22" s="49" t="str">
        <f t="shared" ca="1" si="0"/>
        <v>VENCIDO</v>
      </c>
      <c r="K22" s="49" t="s">
        <v>170</v>
      </c>
      <c r="L22" s="49"/>
      <c r="M22" s="49"/>
      <c r="N22" s="49"/>
      <c r="O22" s="49"/>
      <c r="P22" s="70"/>
      <c r="Q22" s="70"/>
      <c r="R22" s="70"/>
      <c r="S22" s="70"/>
      <c r="T22" s="70"/>
      <c r="U22" s="70"/>
      <c r="V22" s="70"/>
      <c r="W22" s="70"/>
      <c r="X22" s="70"/>
      <c r="Y22" s="70"/>
      <c r="Z22" s="70"/>
      <c r="AA22" s="70"/>
      <c r="AB22" s="70"/>
      <c r="AC22" s="70"/>
      <c r="AD22" s="71"/>
      <c r="AE22" s="50"/>
    </row>
    <row r="23" spans="1:31" s="44" customFormat="1" ht="30" customHeight="1" x14ac:dyDescent="0.3">
      <c r="A23" s="125" t="s">
        <v>171</v>
      </c>
      <c r="B23" s="12" t="s">
        <v>102</v>
      </c>
      <c r="C23" s="125" t="s">
        <v>97</v>
      </c>
      <c r="D23" s="12" t="s">
        <v>172</v>
      </c>
      <c r="E23" s="12">
        <v>5225</v>
      </c>
      <c r="F23" s="351" t="s">
        <v>173</v>
      </c>
      <c r="G23" s="14">
        <v>45033</v>
      </c>
      <c r="H23" s="14">
        <v>45764</v>
      </c>
      <c r="I23" s="310">
        <v>45717</v>
      </c>
      <c r="J23" s="12" t="str">
        <f t="shared" ca="1" si="0"/>
        <v>VENCIDO</v>
      </c>
      <c r="K23" s="12" t="s">
        <v>174</v>
      </c>
      <c r="L23" s="12"/>
      <c r="M23" s="12"/>
      <c r="N23" s="12"/>
      <c r="O23" s="12"/>
      <c r="P23" s="72"/>
      <c r="Q23" s="72"/>
      <c r="R23" s="72"/>
      <c r="S23" s="72"/>
      <c r="T23" s="72"/>
      <c r="U23" s="72"/>
      <c r="V23" s="72"/>
      <c r="W23" s="72"/>
      <c r="X23" s="72"/>
      <c r="Y23" s="72"/>
      <c r="Z23" s="72"/>
      <c r="AA23" s="72"/>
      <c r="AB23" s="72"/>
      <c r="AC23" s="72"/>
      <c r="AD23" s="73"/>
      <c r="AE23" s="24"/>
    </row>
    <row r="24" spans="1:31" s="44" customFormat="1" ht="30" customHeight="1" x14ac:dyDescent="0.3">
      <c r="A24" s="66" t="s">
        <v>175</v>
      </c>
      <c r="B24" s="49" t="s">
        <v>96</v>
      </c>
      <c r="C24" s="66" t="s">
        <v>97</v>
      </c>
      <c r="D24" s="49" t="s">
        <v>176</v>
      </c>
      <c r="E24" s="49">
        <v>5265</v>
      </c>
      <c r="F24" s="350" t="s">
        <v>177</v>
      </c>
      <c r="G24" s="65">
        <v>45174</v>
      </c>
      <c r="H24" s="65">
        <v>45905</v>
      </c>
      <c r="I24" s="309">
        <v>45870</v>
      </c>
      <c r="J24" s="49" t="str">
        <f t="shared" ca="1" si="0"/>
        <v>VIGENTE</v>
      </c>
      <c r="K24" s="49" t="s">
        <v>178</v>
      </c>
      <c r="L24" s="49"/>
      <c r="M24" s="49"/>
      <c r="N24" s="49"/>
      <c r="O24" s="49"/>
      <c r="P24" s="70"/>
      <c r="Q24" s="70"/>
      <c r="R24" s="70"/>
      <c r="S24" s="70"/>
      <c r="T24" s="70"/>
      <c r="U24" s="70"/>
      <c r="V24" s="70"/>
      <c r="W24" s="70"/>
      <c r="X24" s="70"/>
      <c r="Y24" s="70"/>
      <c r="Z24" s="70"/>
      <c r="AA24" s="70"/>
      <c r="AB24" s="70"/>
      <c r="AC24" s="70"/>
      <c r="AD24" s="71"/>
      <c r="AE24" s="50"/>
    </row>
    <row r="25" spans="1:31" s="44" customFormat="1" ht="30" customHeight="1" x14ac:dyDescent="0.3">
      <c r="A25" s="125" t="s">
        <v>179</v>
      </c>
      <c r="B25" s="12" t="s">
        <v>102</v>
      </c>
      <c r="C25" s="125" t="s">
        <v>97</v>
      </c>
      <c r="D25" s="12" t="s">
        <v>180</v>
      </c>
      <c r="E25" s="12">
        <v>5258</v>
      </c>
      <c r="F25" s="351" t="s">
        <v>181</v>
      </c>
      <c r="G25" s="14">
        <v>45153</v>
      </c>
      <c r="H25" s="14">
        <v>45884</v>
      </c>
      <c r="I25" s="310">
        <v>45839</v>
      </c>
      <c r="J25" s="12" t="str">
        <f t="shared" ca="1" si="0"/>
        <v>VIGENTE</v>
      </c>
      <c r="K25" s="12" t="s">
        <v>182</v>
      </c>
      <c r="L25" s="12"/>
      <c r="M25" s="12"/>
      <c r="N25" s="12"/>
      <c r="O25" s="12"/>
      <c r="P25" s="72"/>
      <c r="Q25" s="72"/>
      <c r="R25" s="72"/>
      <c r="S25" s="72"/>
      <c r="T25" s="72"/>
      <c r="U25" s="72"/>
      <c r="V25" s="72"/>
      <c r="W25" s="72"/>
      <c r="X25" s="72"/>
      <c r="Y25" s="72"/>
      <c r="Z25" s="72"/>
      <c r="AA25" s="72"/>
      <c r="AB25" s="72"/>
      <c r="AC25" s="72"/>
      <c r="AD25" s="73"/>
      <c r="AE25" s="24"/>
    </row>
    <row r="26" spans="1:31" s="44" customFormat="1" ht="30" customHeight="1" x14ac:dyDescent="0.3">
      <c r="A26" s="66" t="s">
        <v>183</v>
      </c>
      <c r="B26" s="49" t="s">
        <v>96</v>
      </c>
      <c r="C26" s="66" t="s">
        <v>97</v>
      </c>
      <c r="D26" s="49" t="s">
        <v>184</v>
      </c>
      <c r="E26" s="49">
        <v>5279</v>
      </c>
      <c r="F26" s="350" t="s">
        <v>185</v>
      </c>
      <c r="G26" s="65">
        <v>45240</v>
      </c>
      <c r="H26" s="65">
        <v>45971</v>
      </c>
      <c r="I26" s="309">
        <v>45566</v>
      </c>
      <c r="J26" s="49" t="str">
        <f t="shared" ca="1" si="0"/>
        <v>VIGENTE</v>
      </c>
      <c r="K26" s="49" t="s">
        <v>186</v>
      </c>
      <c r="L26" s="49"/>
      <c r="M26" s="49"/>
      <c r="N26" s="49"/>
      <c r="O26" s="49"/>
      <c r="P26" s="70"/>
      <c r="Q26" s="70"/>
      <c r="R26" s="70"/>
      <c r="S26" s="70"/>
      <c r="T26" s="70"/>
      <c r="U26" s="70"/>
      <c r="V26" s="70"/>
      <c r="W26" s="70"/>
      <c r="X26" s="70"/>
      <c r="Y26" s="70"/>
      <c r="Z26" s="70"/>
      <c r="AA26" s="70"/>
      <c r="AB26" s="70"/>
      <c r="AC26" s="70"/>
      <c r="AD26" s="71"/>
      <c r="AE26" s="50"/>
    </row>
    <row r="27" spans="1:31" s="44" customFormat="1" ht="30" customHeight="1" x14ac:dyDescent="0.3">
      <c r="A27" s="125" t="s">
        <v>187</v>
      </c>
      <c r="B27" s="12" t="s">
        <v>96</v>
      </c>
      <c r="C27" s="125"/>
      <c r="D27" s="12"/>
      <c r="E27" s="12"/>
      <c r="F27" s="352"/>
      <c r="G27" s="12"/>
      <c r="H27" s="12"/>
      <c r="I27" s="310"/>
      <c r="J27" s="12" t="str">
        <f t="shared" ca="1" si="0"/>
        <v xml:space="preserve"> </v>
      </c>
      <c r="K27" s="12"/>
      <c r="L27" s="12"/>
      <c r="M27" s="12"/>
      <c r="N27" s="12"/>
      <c r="O27" s="12"/>
      <c r="P27" s="72"/>
      <c r="Q27" s="72"/>
      <c r="R27" s="72"/>
      <c r="S27" s="72"/>
      <c r="T27" s="72"/>
      <c r="U27" s="72"/>
      <c r="V27" s="72"/>
      <c r="W27" s="72"/>
      <c r="X27" s="72"/>
      <c r="Y27" s="72"/>
      <c r="Z27" s="72"/>
      <c r="AA27" s="72"/>
      <c r="AB27" s="72"/>
      <c r="AC27" s="72"/>
      <c r="AD27" s="73"/>
      <c r="AE27" s="24"/>
    </row>
    <row r="28" spans="1:31" s="347" customFormat="1" ht="30" customHeight="1" x14ac:dyDescent="0.3">
      <c r="A28" s="66" t="s">
        <v>188</v>
      </c>
      <c r="B28" s="49" t="s">
        <v>96</v>
      </c>
      <c r="C28" s="66" t="s">
        <v>97</v>
      </c>
      <c r="D28" s="49" t="s">
        <v>189</v>
      </c>
      <c r="E28" s="49">
        <v>5281</v>
      </c>
      <c r="F28" s="353" t="s">
        <v>190</v>
      </c>
      <c r="G28" s="65">
        <v>45197</v>
      </c>
      <c r="H28" s="65">
        <v>45928</v>
      </c>
      <c r="I28" s="309">
        <v>45870</v>
      </c>
      <c r="J28" s="49" t="str">
        <f t="shared" ca="1" si="0"/>
        <v>VIGENTE</v>
      </c>
      <c r="K28" s="49" t="s">
        <v>191</v>
      </c>
      <c r="L28" s="49"/>
      <c r="M28" s="49"/>
      <c r="N28" s="49"/>
      <c r="O28" s="49"/>
      <c r="P28" s="70"/>
      <c r="Q28" s="70"/>
      <c r="R28" s="70"/>
      <c r="S28" s="70"/>
      <c r="T28" s="70"/>
      <c r="U28" s="70"/>
      <c r="V28" s="70"/>
      <c r="W28" s="70"/>
      <c r="X28" s="70"/>
      <c r="Y28" s="70"/>
      <c r="Z28" s="70"/>
      <c r="AA28" s="70"/>
      <c r="AB28" s="70"/>
      <c r="AC28" s="70"/>
      <c r="AD28" s="71"/>
      <c r="AE28" s="50"/>
    </row>
    <row r="29" spans="1:31" s="44" customFormat="1" ht="30" customHeight="1" x14ac:dyDescent="0.3">
      <c r="A29" s="125" t="s">
        <v>192</v>
      </c>
      <c r="B29" s="12" t="s">
        <v>96</v>
      </c>
      <c r="C29" s="125" t="s">
        <v>97</v>
      </c>
      <c r="D29" s="12" t="s">
        <v>193</v>
      </c>
      <c r="E29" s="12">
        <v>5232</v>
      </c>
      <c r="F29" s="351" t="s">
        <v>194</v>
      </c>
      <c r="G29" s="14">
        <v>45040</v>
      </c>
      <c r="H29" s="14">
        <v>45771</v>
      </c>
      <c r="I29" s="310">
        <v>45717</v>
      </c>
      <c r="J29" s="12" t="str">
        <f t="shared" ca="1" si="0"/>
        <v>VENCIDO</v>
      </c>
      <c r="K29" s="12" t="s">
        <v>195</v>
      </c>
      <c r="L29" s="12"/>
      <c r="M29" s="12"/>
      <c r="N29" s="12"/>
      <c r="O29" s="12"/>
      <c r="P29" s="72"/>
      <c r="Q29" s="72"/>
      <c r="R29" s="72"/>
      <c r="S29" s="72"/>
      <c r="T29" s="72"/>
      <c r="U29" s="72"/>
      <c r="V29" s="72"/>
      <c r="W29" s="72"/>
      <c r="X29" s="72"/>
      <c r="Y29" s="72"/>
      <c r="Z29" s="72"/>
      <c r="AA29" s="72"/>
      <c r="AB29" s="72"/>
      <c r="AC29" s="72"/>
      <c r="AD29" s="73"/>
      <c r="AE29" s="24"/>
    </row>
    <row r="30" spans="1:31" s="347" customFormat="1" ht="30" customHeight="1" x14ac:dyDescent="0.3">
      <c r="A30" s="66" t="s">
        <v>196</v>
      </c>
      <c r="B30" s="49" t="s">
        <v>96</v>
      </c>
      <c r="C30" s="66" t="s">
        <v>97</v>
      </c>
      <c r="D30" s="49" t="s">
        <v>197</v>
      </c>
      <c r="E30" s="49">
        <v>5231</v>
      </c>
      <c r="F30" s="350" t="s">
        <v>198</v>
      </c>
      <c r="G30" s="65">
        <v>45035</v>
      </c>
      <c r="H30" s="65">
        <v>45766</v>
      </c>
      <c r="I30" s="309">
        <v>45717</v>
      </c>
      <c r="J30" s="49" t="str">
        <f t="shared" ca="1" si="0"/>
        <v>VENCIDO</v>
      </c>
      <c r="K30" s="49" t="s">
        <v>199</v>
      </c>
      <c r="L30" s="49"/>
      <c r="M30" s="49"/>
      <c r="N30" s="49"/>
      <c r="O30" s="49"/>
      <c r="P30" s="70"/>
      <c r="Q30" s="70"/>
      <c r="R30" s="70"/>
      <c r="S30" s="70"/>
      <c r="T30" s="70"/>
      <c r="U30" s="70"/>
      <c r="V30" s="70"/>
      <c r="W30" s="70"/>
      <c r="X30" s="70"/>
      <c r="Y30" s="70"/>
      <c r="Z30" s="70"/>
      <c r="AA30" s="70"/>
      <c r="AB30" s="70"/>
      <c r="AC30" s="70"/>
      <c r="AD30" s="71"/>
      <c r="AE30" s="50"/>
    </row>
    <row r="31" spans="1:31" s="44" customFormat="1" ht="30" customHeight="1" x14ac:dyDescent="0.3">
      <c r="A31" s="125" t="s">
        <v>200</v>
      </c>
      <c r="B31" s="12" t="s">
        <v>102</v>
      </c>
      <c r="C31" s="125" t="s">
        <v>97</v>
      </c>
      <c r="D31" s="12" t="s">
        <v>201</v>
      </c>
      <c r="E31" s="12">
        <v>5238</v>
      </c>
      <c r="F31" s="349" t="s">
        <v>202</v>
      </c>
      <c r="G31" s="14">
        <v>45041</v>
      </c>
      <c r="H31" s="14">
        <v>45772</v>
      </c>
      <c r="I31" s="310">
        <v>45717</v>
      </c>
      <c r="J31" s="12" t="str">
        <f t="shared" ca="1" si="0"/>
        <v>VENCIDO</v>
      </c>
      <c r="K31" s="12" t="s">
        <v>203</v>
      </c>
      <c r="L31" s="12"/>
      <c r="M31" s="12"/>
      <c r="N31" s="12"/>
      <c r="O31" s="12"/>
      <c r="P31" s="72"/>
      <c r="Q31" s="72"/>
      <c r="R31" s="72"/>
      <c r="S31" s="72"/>
      <c r="T31" s="72"/>
      <c r="U31" s="72"/>
      <c r="V31" s="72"/>
      <c r="W31" s="72"/>
      <c r="X31" s="72"/>
      <c r="Y31" s="72"/>
      <c r="Z31" s="72"/>
      <c r="AA31" s="72"/>
      <c r="AB31" s="72"/>
      <c r="AC31" s="72"/>
      <c r="AD31" s="73"/>
      <c r="AE31" s="24"/>
    </row>
    <row r="32" spans="1:31" s="347" customFormat="1" ht="30" customHeight="1" x14ac:dyDescent="0.3">
      <c r="A32" s="66" t="s">
        <v>204</v>
      </c>
      <c r="B32" s="49" t="s">
        <v>96</v>
      </c>
      <c r="C32" s="66" t="s">
        <v>97</v>
      </c>
      <c r="D32" s="49" t="s">
        <v>205</v>
      </c>
      <c r="E32" s="49">
        <v>5230</v>
      </c>
      <c r="F32" s="350" t="s">
        <v>206</v>
      </c>
      <c r="G32" s="65">
        <v>45040</v>
      </c>
      <c r="H32" s="65">
        <v>45771</v>
      </c>
      <c r="I32" s="309">
        <v>45717</v>
      </c>
      <c r="J32" s="49" t="str">
        <f t="shared" ca="1" si="0"/>
        <v>VENCIDO</v>
      </c>
      <c r="K32" s="49" t="s">
        <v>207</v>
      </c>
      <c r="L32" s="49"/>
      <c r="M32" s="49"/>
      <c r="N32" s="49"/>
      <c r="O32" s="49"/>
      <c r="P32" s="70"/>
      <c r="Q32" s="70"/>
      <c r="R32" s="70"/>
      <c r="S32" s="70"/>
      <c r="T32" s="70"/>
      <c r="U32" s="70"/>
      <c r="V32" s="70"/>
      <c r="W32" s="70"/>
      <c r="X32" s="70"/>
      <c r="Y32" s="70"/>
      <c r="Z32" s="70"/>
      <c r="AA32" s="70"/>
      <c r="AB32" s="70"/>
      <c r="AC32" s="70"/>
      <c r="AD32" s="71"/>
      <c r="AE32" s="50"/>
    </row>
    <row r="33" spans="1:31" s="44" customFormat="1" ht="30" customHeight="1" x14ac:dyDescent="0.3">
      <c r="A33" s="125" t="s">
        <v>208</v>
      </c>
      <c r="B33" s="12" t="s">
        <v>96</v>
      </c>
      <c r="C33" s="125"/>
      <c r="D33" s="12"/>
      <c r="E33" s="12"/>
      <c r="F33" s="352"/>
      <c r="G33" s="14"/>
      <c r="H33" s="14"/>
      <c r="I33" s="310"/>
      <c r="J33" s="12"/>
      <c r="K33" s="12"/>
      <c r="L33" s="12"/>
      <c r="M33" s="12"/>
      <c r="N33" s="12"/>
      <c r="O33" s="12"/>
      <c r="P33" s="72"/>
      <c r="Q33" s="72"/>
      <c r="R33" s="72"/>
      <c r="S33" s="72"/>
      <c r="T33" s="72"/>
      <c r="U33" s="72"/>
      <c r="V33" s="72"/>
      <c r="W33" s="72"/>
      <c r="X33" s="72"/>
      <c r="Y33" s="72"/>
      <c r="Z33" s="72"/>
      <c r="AA33" s="72"/>
      <c r="AB33" s="72"/>
      <c r="AC33" s="72"/>
      <c r="AD33" s="73"/>
      <c r="AE33" s="24"/>
    </row>
    <row r="34" spans="1:31" s="347" customFormat="1" ht="30" customHeight="1" x14ac:dyDescent="0.3">
      <c r="A34" s="66" t="s">
        <v>209</v>
      </c>
      <c r="B34" s="49" t="s">
        <v>96</v>
      </c>
      <c r="C34" s="66"/>
      <c r="D34" s="49"/>
      <c r="E34" s="49"/>
      <c r="F34" s="350"/>
      <c r="G34" s="65"/>
      <c r="H34" s="65"/>
      <c r="I34" s="309"/>
      <c r="J34" s="49" t="s">
        <v>210</v>
      </c>
      <c r="K34" s="49"/>
      <c r="L34" s="49"/>
      <c r="M34" s="49"/>
      <c r="N34" s="49"/>
      <c r="O34" s="49"/>
      <c r="P34" s="70"/>
      <c r="Q34" s="70"/>
      <c r="R34" s="70"/>
      <c r="S34" s="70"/>
      <c r="T34" s="70"/>
      <c r="U34" s="70"/>
      <c r="V34" s="70"/>
      <c r="W34" s="70"/>
      <c r="X34" s="70"/>
      <c r="Y34" s="70"/>
      <c r="Z34" s="70"/>
      <c r="AA34" s="70"/>
      <c r="AB34" s="70"/>
      <c r="AC34" s="70"/>
      <c r="AD34" s="71"/>
      <c r="AE34" s="50"/>
    </row>
    <row r="35" spans="1:31" s="44" customFormat="1" ht="30" customHeight="1" x14ac:dyDescent="0.3">
      <c r="A35" s="125" t="s">
        <v>211</v>
      </c>
      <c r="B35" s="12" t="s">
        <v>96</v>
      </c>
      <c r="C35" s="125"/>
      <c r="D35" s="12"/>
      <c r="E35" s="12"/>
      <c r="F35" s="349"/>
      <c r="G35" s="14"/>
      <c r="H35" s="14"/>
      <c r="I35" s="310"/>
      <c r="J35" s="12" t="s">
        <v>210</v>
      </c>
      <c r="K35" s="12"/>
      <c r="L35" s="12"/>
      <c r="M35" s="12"/>
      <c r="N35" s="12"/>
      <c r="O35" s="12"/>
      <c r="P35" s="72"/>
      <c r="Q35" s="72"/>
      <c r="R35" s="72"/>
      <c r="S35" s="72"/>
      <c r="T35" s="72"/>
      <c r="U35" s="72"/>
      <c r="V35" s="72"/>
      <c r="W35" s="72"/>
      <c r="X35" s="72"/>
      <c r="Y35" s="72"/>
      <c r="Z35" s="72"/>
      <c r="AA35" s="72"/>
      <c r="AB35" s="72"/>
      <c r="AC35" s="72"/>
      <c r="AD35" s="73"/>
      <c r="AE35" s="24"/>
    </row>
    <row r="36" spans="1:31" s="347" customFormat="1" ht="30" customHeight="1" x14ac:dyDescent="0.3">
      <c r="A36" s="66" t="s">
        <v>212</v>
      </c>
      <c r="B36" s="49" t="s">
        <v>96</v>
      </c>
      <c r="C36" s="66" t="s">
        <v>97</v>
      </c>
      <c r="D36" s="49" t="s">
        <v>213</v>
      </c>
      <c r="E36" s="49">
        <v>5283</v>
      </c>
      <c r="F36" s="350" t="s">
        <v>214</v>
      </c>
      <c r="G36" s="65">
        <v>45315</v>
      </c>
      <c r="H36" s="65">
        <v>46048</v>
      </c>
      <c r="I36" s="309">
        <v>45992</v>
      </c>
      <c r="J36" s="49" t="s">
        <v>215</v>
      </c>
      <c r="K36" s="49" t="s">
        <v>213</v>
      </c>
      <c r="L36" s="49"/>
      <c r="M36" s="49"/>
      <c r="N36" s="49"/>
      <c r="O36" s="49"/>
      <c r="P36" s="70"/>
      <c r="Q36" s="70"/>
      <c r="R36" s="70"/>
      <c r="S36" s="70"/>
      <c r="T36" s="70"/>
      <c r="U36" s="70"/>
      <c r="V36" s="70"/>
      <c r="W36" s="70"/>
      <c r="X36" s="70"/>
      <c r="Y36" s="70"/>
      <c r="Z36" s="70"/>
      <c r="AA36" s="70"/>
      <c r="AB36" s="70"/>
      <c r="AC36" s="70"/>
      <c r="AD36" s="71"/>
      <c r="AE36" s="50"/>
    </row>
    <row r="37" spans="1:31" s="44" customFormat="1" ht="30" customHeight="1" x14ac:dyDescent="0.3">
      <c r="A37" s="125" t="s">
        <v>216</v>
      </c>
      <c r="B37" s="12" t="s">
        <v>96</v>
      </c>
      <c r="C37" s="125" t="s">
        <v>97</v>
      </c>
      <c r="D37" s="12" t="s">
        <v>217</v>
      </c>
      <c r="E37" s="12">
        <v>5235</v>
      </c>
      <c r="F37" s="349" t="s">
        <v>218</v>
      </c>
      <c r="G37" s="14">
        <v>45054</v>
      </c>
      <c r="H37" s="14">
        <v>45785</v>
      </c>
      <c r="I37" s="310">
        <v>45717</v>
      </c>
      <c r="J37" s="12" t="s">
        <v>219</v>
      </c>
      <c r="K37" s="12" t="s">
        <v>220</v>
      </c>
      <c r="L37" s="12"/>
      <c r="M37" s="12"/>
      <c r="N37" s="12"/>
      <c r="O37" s="12"/>
      <c r="P37" s="72"/>
      <c r="Q37" s="72"/>
      <c r="R37" s="72"/>
      <c r="S37" s="72"/>
      <c r="T37" s="72"/>
      <c r="U37" s="72"/>
      <c r="V37" s="72"/>
      <c r="W37" s="72"/>
      <c r="X37" s="72"/>
      <c r="Y37" s="72"/>
      <c r="Z37" s="72"/>
      <c r="AA37" s="72"/>
      <c r="AB37" s="72"/>
      <c r="AC37" s="72"/>
      <c r="AD37" s="73"/>
      <c r="AE37" s="24"/>
    </row>
    <row r="38" spans="1:31" s="347" customFormat="1" ht="30" customHeight="1" x14ac:dyDescent="0.3">
      <c r="A38" s="66" t="s">
        <v>221</v>
      </c>
      <c r="B38" s="49" t="s">
        <v>102</v>
      </c>
      <c r="C38" s="66" t="s">
        <v>97</v>
      </c>
      <c r="D38" s="49" t="s">
        <v>222</v>
      </c>
      <c r="E38" s="49">
        <v>5257</v>
      </c>
      <c r="F38" s="350" t="s">
        <v>223</v>
      </c>
      <c r="G38" s="65">
        <v>45251</v>
      </c>
      <c r="H38" s="65">
        <v>45982</v>
      </c>
      <c r="I38" s="309">
        <v>45931</v>
      </c>
      <c r="J38" s="49" t="s">
        <v>215</v>
      </c>
      <c r="K38" s="49" t="s">
        <v>224</v>
      </c>
      <c r="L38" s="49"/>
      <c r="M38" s="49"/>
      <c r="N38" s="49"/>
      <c r="O38" s="49"/>
      <c r="P38" s="70"/>
      <c r="Q38" s="70"/>
      <c r="R38" s="70"/>
      <c r="S38" s="70"/>
      <c r="T38" s="70"/>
      <c r="U38" s="70"/>
      <c r="V38" s="70"/>
      <c r="W38" s="70"/>
      <c r="X38" s="70"/>
      <c r="Y38" s="70"/>
      <c r="Z38" s="70"/>
      <c r="AA38" s="70"/>
      <c r="AB38" s="70"/>
      <c r="AC38" s="70"/>
      <c r="AD38" s="71"/>
      <c r="AE38" s="50"/>
    </row>
    <row r="39" spans="1:31" s="44" customFormat="1" ht="30" customHeight="1" x14ac:dyDescent="0.3">
      <c r="A39" s="125" t="s">
        <v>225</v>
      </c>
      <c r="B39" s="12" t="s">
        <v>96</v>
      </c>
      <c r="C39" s="125" t="s">
        <v>97</v>
      </c>
      <c r="D39" s="12" t="s">
        <v>226</v>
      </c>
      <c r="E39" s="12">
        <v>5362</v>
      </c>
      <c r="F39" s="349" t="s">
        <v>227</v>
      </c>
      <c r="G39" s="14">
        <v>45442</v>
      </c>
      <c r="H39" s="14">
        <v>46172</v>
      </c>
      <c r="I39" s="310">
        <v>45748</v>
      </c>
      <c r="J39" s="12" t="s">
        <v>215</v>
      </c>
      <c r="K39" s="12" t="s">
        <v>228</v>
      </c>
      <c r="L39" s="12"/>
      <c r="M39" s="12"/>
      <c r="N39" s="12"/>
      <c r="O39" s="12"/>
      <c r="P39" s="72"/>
      <c r="Q39" s="72"/>
      <c r="R39" s="72"/>
      <c r="S39" s="72"/>
      <c r="T39" s="72"/>
      <c r="U39" s="72"/>
      <c r="V39" s="72"/>
      <c r="W39" s="72"/>
      <c r="X39" s="72"/>
      <c r="Y39" s="72"/>
      <c r="Z39" s="72"/>
      <c r="AA39" s="72"/>
      <c r="AB39" s="72"/>
      <c r="AC39" s="72"/>
      <c r="AD39" s="73"/>
      <c r="AE39" s="24"/>
    </row>
    <row r="40" spans="1:31" s="347" customFormat="1" ht="30" customHeight="1" x14ac:dyDescent="0.3">
      <c r="A40" s="66" t="s">
        <v>229</v>
      </c>
      <c r="B40" s="49" t="s">
        <v>96</v>
      </c>
      <c r="C40" s="66" t="s">
        <v>97</v>
      </c>
      <c r="D40" s="49" t="s">
        <v>230</v>
      </c>
      <c r="E40" s="49">
        <v>5287</v>
      </c>
      <c r="F40" s="350" t="s">
        <v>231</v>
      </c>
      <c r="G40" s="65">
        <v>45195</v>
      </c>
      <c r="H40" s="65">
        <v>45926</v>
      </c>
      <c r="I40" s="309">
        <v>45870</v>
      </c>
      <c r="J40" s="49" t="s">
        <v>215</v>
      </c>
      <c r="K40" s="49" t="s">
        <v>232</v>
      </c>
      <c r="L40" s="49"/>
      <c r="M40" s="49"/>
      <c r="N40" s="49"/>
      <c r="O40" s="49"/>
      <c r="P40" s="70"/>
      <c r="Q40" s="70"/>
      <c r="R40" s="70"/>
      <c r="S40" s="70"/>
      <c r="T40" s="70"/>
      <c r="U40" s="70"/>
      <c r="V40" s="70"/>
      <c r="W40" s="70"/>
      <c r="X40" s="70"/>
      <c r="Y40" s="70"/>
      <c r="Z40" s="70"/>
      <c r="AA40" s="70"/>
      <c r="AB40" s="70"/>
      <c r="AC40" s="70"/>
      <c r="AD40" s="71"/>
      <c r="AE40" s="50"/>
    </row>
    <row r="41" spans="1:31" s="44" customFormat="1" ht="30" customHeight="1" x14ac:dyDescent="0.3">
      <c r="A41" s="125" t="s">
        <v>233</v>
      </c>
      <c r="B41" s="12" t="s">
        <v>96</v>
      </c>
      <c r="C41" s="125" t="s">
        <v>97</v>
      </c>
      <c r="D41" s="12" t="s">
        <v>234</v>
      </c>
      <c r="E41" s="12">
        <v>5269</v>
      </c>
      <c r="F41" s="349" t="s">
        <v>235</v>
      </c>
      <c r="G41" s="14">
        <v>45302</v>
      </c>
      <c r="H41" s="14">
        <v>46033</v>
      </c>
      <c r="I41" s="310">
        <v>45992</v>
      </c>
      <c r="J41" s="12" t="s">
        <v>215</v>
      </c>
      <c r="K41" s="12" t="s">
        <v>236</v>
      </c>
      <c r="L41" s="12"/>
      <c r="M41" s="12"/>
      <c r="N41" s="12"/>
      <c r="O41" s="12"/>
      <c r="P41" s="72"/>
      <c r="Q41" s="72"/>
      <c r="R41" s="72"/>
      <c r="S41" s="72"/>
      <c r="T41" s="72"/>
      <c r="U41" s="72"/>
      <c r="V41" s="72"/>
      <c r="W41" s="72"/>
      <c r="X41" s="72"/>
      <c r="Y41" s="72"/>
      <c r="Z41" s="72"/>
      <c r="AA41" s="72"/>
      <c r="AB41" s="72"/>
      <c r="AC41" s="72"/>
      <c r="AD41" s="73"/>
      <c r="AE41" s="24"/>
    </row>
    <row r="42" spans="1:31" s="347" customFormat="1" ht="30" customHeight="1" x14ac:dyDescent="0.3">
      <c r="A42" s="66" t="s">
        <v>237</v>
      </c>
      <c r="B42" s="49" t="s">
        <v>102</v>
      </c>
      <c r="C42" s="66" t="s">
        <v>97</v>
      </c>
      <c r="D42" s="49" t="s">
        <v>238</v>
      </c>
      <c r="E42" s="49">
        <v>5286</v>
      </c>
      <c r="F42" s="350" t="s">
        <v>239</v>
      </c>
      <c r="G42" s="65">
        <v>45174</v>
      </c>
      <c r="H42" s="65">
        <v>45905</v>
      </c>
      <c r="I42" s="309">
        <v>45870</v>
      </c>
      <c r="J42" s="49" t="s">
        <v>215</v>
      </c>
      <c r="K42" s="49" t="s">
        <v>240</v>
      </c>
      <c r="L42" s="49"/>
      <c r="M42" s="49"/>
      <c r="N42" s="49"/>
      <c r="O42" s="49"/>
      <c r="P42" s="70"/>
      <c r="Q42" s="70"/>
      <c r="R42" s="70"/>
      <c r="S42" s="70"/>
      <c r="T42" s="70"/>
      <c r="U42" s="70"/>
      <c r="V42" s="70"/>
      <c r="W42" s="70"/>
      <c r="X42" s="70"/>
      <c r="Y42" s="70"/>
      <c r="Z42" s="70"/>
      <c r="AA42" s="70"/>
      <c r="AB42" s="70"/>
      <c r="AC42" s="70"/>
      <c r="AD42" s="71"/>
      <c r="AE42" s="50"/>
    </row>
    <row r="43" spans="1:31" s="44" customFormat="1" ht="30" customHeight="1" x14ac:dyDescent="0.3">
      <c r="A43" s="125" t="s">
        <v>241</v>
      </c>
      <c r="B43" s="12" t="s">
        <v>96</v>
      </c>
      <c r="C43" s="125" t="s">
        <v>97</v>
      </c>
      <c r="D43" s="12" t="s">
        <v>242</v>
      </c>
      <c r="E43" s="12">
        <v>5361</v>
      </c>
      <c r="F43" s="349" t="s">
        <v>243</v>
      </c>
      <c r="G43" s="14">
        <v>45468</v>
      </c>
      <c r="H43" s="14">
        <v>46198</v>
      </c>
      <c r="I43" s="310">
        <v>45778</v>
      </c>
      <c r="J43" s="12" t="s">
        <v>215</v>
      </c>
      <c r="K43" s="12" t="s">
        <v>244</v>
      </c>
      <c r="L43" s="12"/>
      <c r="M43" s="12"/>
      <c r="N43" s="12"/>
      <c r="O43" s="12"/>
      <c r="P43" s="72"/>
      <c r="Q43" s="72"/>
      <c r="R43" s="72"/>
      <c r="S43" s="72"/>
      <c r="T43" s="72"/>
      <c r="U43" s="72"/>
      <c r="V43" s="72"/>
      <c r="W43" s="72"/>
      <c r="X43" s="72"/>
      <c r="Y43" s="72"/>
      <c r="Z43" s="72"/>
      <c r="AA43" s="72"/>
      <c r="AB43" s="72"/>
      <c r="AC43" s="72"/>
      <c r="AD43" s="73"/>
      <c r="AE43" s="24"/>
    </row>
    <row r="44" spans="1:31" s="347" customFormat="1" ht="30" customHeight="1" x14ac:dyDescent="0.3">
      <c r="A44" s="66" t="s">
        <v>245</v>
      </c>
      <c r="B44" s="49" t="s">
        <v>96</v>
      </c>
      <c r="C44" s="66" t="s">
        <v>97</v>
      </c>
      <c r="D44" s="49" t="s">
        <v>246</v>
      </c>
      <c r="E44" s="49">
        <v>5262</v>
      </c>
      <c r="F44" s="350" t="s">
        <v>247</v>
      </c>
      <c r="G44" s="65">
        <v>45195</v>
      </c>
      <c r="H44" s="65">
        <v>45926</v>
      </c>
      <c r="I44" s="309">
        <v>45870</v>
      </c>
      <c r="J44" s="49" t="s">
        <v>215</v>
      </c>
      <c r="K44" s="49" t="s">
        <v>248</v>
      </c>
      <c r="L44" s="49"/>
      <c r="M44" s="49"/>
      <c r="N44" s="49"/>
      <c r="O44" s="49"/>
      <c r="P44" s="70"/>
      <c r="Q44" s="70"/>
      <c r="R44" s="70"/>
      <c r="S44" s="70"/>
      <c r="T44" s="70"/>
      <c r="U44" s="70"/>
      <c r="V44" s="70"/>
      <c r="W44" s="70"/>
      <c r="X44" s="70"/>
      <c r="Y44" s="70"/>
      <c r="Z44" s="70"/>
      <c r="AA44" s="70"/>
      <c r="AB44" s="70"/>
      <c r="AC44" s="70"/>
      <c r="AD44" s="71"/>
      <c r="AE44" s="50"/>
    </row>
    <row r="45" spans="1:31" s="44" customFormat="1" ht="30" customHeight="1" x14ac:dyDescent="0.3">
      <c r="A45" s="125" t="s">
        <v>249</v>
      </c>
      <c r="B45" s="12" t="s">
        <v>96</v>
      </c>
      <c r="C45" s="125" t="s">
        <v>97</v>
      </c>
      <c r="D45" s="12" t="s">
        <v>250</v>
      </c>
      <c r="E45" s="12">
        <v>5284</v>
      </c>
      <c r="F45" s="351" t="s">
        <v>251</v>
      </c>
      <c r="G45" s="14">
        <v>45357</v>
      </c>
      <c r="H45" s="14">
        <v>46087</v>
      </c>
      <c r="I45" s="310">
        <v>45689</v>
      </c>
      <c r="J45" s="12" t="s">
        <v>215</v>
      </c>
      <c r="K45" s="12" t="s">
        <v>252</v>
      </c>
      <c r="L45" s="12"/>
      <c r="M45" s="12"/>
      <c r="N45" s="12"/>
      <c r="O45" s="12"/>
      <c r="P45" s="72"/>
      <c r="Q45" s="72"/>
      <c r="R45" s="72"/>
      <c r="S45" s="72"/>
      <c r="T45" s="72"/>
      <c r="U45" s="72"/>
      <c r="V45" s="72"/>
      <c r="W45" s="72"/>
      <c r="X45" s="72"/>
      <c r="Y45" s="72"/>
      <c r="Z45" s="72"/>
      <c r="AA45" s="72"/>
      <c r="AB45" s="72"/>
      <c r="AC45" s="72"/>
      <c r="AD45" s="73"/>
      <c r="AE45" s="24"/>
    </row>
    <row r="46" spans="1:31" s="347" customFormat="1" ht="30" customHeight="1" x14ac:dyDescent="0.3">
      <c r="A46" s="66" t="s">
        <v>253</v>
      </c>
      <c r="B46" s="49" t="s">
        <v>102</v>
      </c>
      <c r="C46" s="66" t="s">
        <v>97</v>
      </c>
      <c r="D46" s="49" t="s">
        <v>180</v>
      </c>
      <c r="E46" s="49">
        <v>5258</v>
      </c>
      <c r="F46" s="350" t="s">
        <v>181</v>
      </c>
      <c r="G46" s="65">
        <v>45153</v>
      </c>
      <c r="H46" s="65">
        <v>45884</v>
      </c>
      <c r="I46" s="309">
        <v>45839</v>
      </c>
      <c r="J46" s="49" t="s">
        <v>215</v>
      </c>
      <c r="K46" s="49" t="s">
        <v>182</v>
      </c>
      <c r="L46" s="49"/>
      <c r="M46" s="49"/>
      <c r="N46" s="49"/>
      <c r="O46" s="49"/>
      <c r="P46" s="70"/>
      <c r="Q46" s="70"/>
      <c r="R46" s="70"/>
      <c r="S46" s="70"/>
      <c r="T46" s="70"/>
      <c r="U46" s="70"/>
      <c r="V46" s="70"/>
      <c r="W46" s="70"/>
      <c r="X46" s="70"/>
      <c r="Y46" s="70"/>
      <c r="Z46" s="70"/>
      <c r="AA46" s="70"/>
      <c r="AB46" s="70"/>
      <c r="AC46" s="70"/>
      <c r="AD46" s="71"/>
      <c r="AE46" s="50"/>
    </row>
    <row r="47" spans="1:31" s="44" customFormat="1" ht="30" customHeight="1" x14ac:dyDescent="0.3">
      <c r="A47" s="125" t="s">
        <v>254</v>
      </c>
      <c r="B47" s="12" t="s">
        <v>102</v>
      </c>
      <c r="C47" s="125" t="s">
        <v>97</v>
      </c>
      <c r="D47" s="12" t="s">
        <v>255</v>
      </c>
      <c r="E47" s="12">
        <v>5237</v>
      </c>
      <c r="F47" s="352" t="s">
        <v>256</v>
      </c>
      <c r="G47" s="14">
        <v>45055</v>
      </c>
      <c r="H47" s="14">
        <v>45786</v>
      </c>
      <c r="I47" s="310">
        <v>45748</v>
      </c>
      <c r="J47" s="12" t="s">
        <v>219</v>
      </c>
      <c r="K47" s="12" t="s">
        <v>257</v>
      </c>
      <c r="L47" s="12"/>
      <c r="M47" s="12"/>
      <c r="N47" s="12"/>
      <c r="O47" s="12"/>
      <c r="P47" s="72"/>
      <c r="Q47" s="72"/>
      <c r="R47" s="72"/>
      <c r="S47" s="72"/>
      <c r="T47" s="72"/>
      <c r="U47" s="72"/>
      <c r="V47" s="72"/>
      <c r="W47" s="72"/>
      <c r="X47" s="72"/>
      <c r="Y47" s="72"/>
      <c r="Z47" s="72"/>
      <c r="AA47" s="72"/>
      <c r="AB47" s="72"/>
      <c r="AC47" s="72"/>
      <c r="AD47" s="73"/>
      <c r="AE47" s="24"/>
    </row>
    <row r="48" spans="1:31" ht="31.5" customHeight="1" x14ac:dyDescent="0.3">
      <c r="A48" s="66" t="s">
        <v>3</v>
      </c>
      <c r="B48" s="49" t="s">
        <v>102</v>
      </c>
      <c r="C48" s="66" t="s">
        <v>97</v>
      </c>
      <c r="D48" s="49" t="s">
        <v>258</v>
      </c>
      <c r="E48" s="49">
        <v>5221</v>
      </c>
      <c r="F48" s="350" t="s">
        <v>259</v>
      </c>
      <c r="G48" s="65">
        <v>45021</v>
      </c>
      <c r="H48" s="65">
        <v>45752</v>
      </c>
      <c r="I48" s="309">
        <v>45717</v>
      </c>
      <c r="J48" s="49" t="s">
        <v>260</v>
      </c>
      <c r="K48" s="49" t="s">
        <v>261</v>
      </c>
      <c r="L48" s="49"/>
      <c r="M48" s="49"/>
      <c r="N48" s="49"/>
      <c r="O48" s="49"/>
      <c r="P48" s="70"/>
      <c r="Q48" s="70"/>
      <c r="R48" s="70"/>
      <c r="S48" s="70"/>
      <c r="T48" s="70"/>
      <c r="U48" s="70"/>
      <c r="V48" s="70"/>
      <c r="W48" s="70"/>
      <c r="X48" s="70"/>
      <c r="Y48" s="70"/>
      <c r="Z48" s="70"/>
      <c r="AA48" s="70"/>
      <c r="AB48" s="70"/>
      <c r="AC48" s="70"/>
      <c r="AD48" s="71"/>
      <c r="AE48" s="50"/>
    </row>
    <row r="49" spans="1:31" s="44" customFormat="1" ht="30" customHeight="1" x14ac:dyDescent="0.3">
      <c r="A49" s="125"/>
      <c r="B49" s="12"/>
      <c r="C49" s="125"/>
      <c r="D49" s="12"/>
      <c r="E49" s="12"/>
      <c r="F49" s="352"/>
      <c r="G49" s="14"/>
      <c r="H49" s="14"/>
      <c r="I49" s="310"/>
      <c r="J49" s="12"/>
      <c r="K49" s="12"/>
      <c r="L49" s="12"/>
      <c r="M49" s="12"/>
      <c r="N49" s="12"/>
      <c r="O49" s="12"/>
      <c r="P49" s="72"/>
      <c r="Q49" s="72"/>
      <c r="R49" s="72"/>
      <c r="S49" s="72"/>
      <c r="T49" s="72"/>
      <c r="U49" s="72"/>
      <c r="V49" s="72"/>
      <c r="W49" s="72"/>
      <c r="X49" s="72"/>
      <c r="Y49" s="72"/>
      <c r="Z49" s="72"/>
      <c r="AA49" s="72"/>
      <c r="AB49" s="72"/>
      <c r="AC49" s="72"/>
      <c r="AD49" s="73"/>
      <c r="AE49" s="24"/>
    </row>
    <row r="50" spans="1:31" ht="31.5" customHeight="1" x14ac:dyDescent="0.3">
      <c r="A50" s="66"/>
      <c r="B50" s="49"/>
      <c r="C50" s="66"/>
      <c r="D50" s="49"/>
      <c r="E50" s="49"/>
      <c r="F50" s="350"/>
      <c r="G50" s="65"/>
      <c r="H50" s="65"/>
      <c r="I50" s="309"/>
      <c r="J50" s="49"/>
      <c r="K50" s="49"/>
      <c r="L50" s="49"/>
      <c r="M50" s="49"/>
      <c r="N50" s="49"/>
      <c r="O50" s="49"/>
      <c r="P50" s="70"/>
      <c r="Q50" s="70"/>
      <c r="R50" s="70"/>
      <c r="S50" s="70"/>
      <c r="T50" s="70"/>
      <c r="U50" s="70"/>
      <c r="V50" s="70"/>
      <c r="W50" s="70"/>
      <c r="X50" s="70"/>
      <c r="Y50" s="70"/>
      <c r="Z50" s="70"/>
      <c r="AA50" s="70"/>
      <c r="AB50" s="70"/>
      <c r="AC50" s="70"/>
      <c r="AD50" s="71"/>
      <c r="AE50" s="50"/>
    </row>
    <row r="51" spans="1:31" x14ac:dyDescent="0.3">
      <c r="C51" s="1"/>
      <c r="D51"/>
      <c r="F51"/>
      <c r="G51" s="1"/>
      <c r="I51" s="2"/>
    </row>
    <row r="52" spans="1:31" x14ac:dyDescent="0.3">
      <c r="C52" s="1"/>
      <c r="D52"/>
      <c r="F52"/>
      <c r="G52" s="1"/>
      <c r="I52" s="2"/>
    </row>
    <row r="53" spans="1:31" x14ac:dyDescent="0.3">
      <c r="C53" s="1"/>
      <c r="D53"/>
      <c r="F53"/>
      <c r="G53" s="1"/>
      <c r="I53" s="2"/>
    </row>
    <row r="54" spans="1:31" x14ac:dyDescent="0.3">
      <c r="C54" s="1"/>
      <c r="D54"/>
      <c r="F54"/>
      <c r="G54" s="1"/>
      <c r="I54" s="2"/>
    </row>
    <row r="55" spans="1:31" x14ac:dyDescent="0.3">
      <c r="C55" s="1"/>
      <c r="D55"/>
      <c r="F55"/>
      <c r="G55" s="1"/>
      <c r="I55" s="2"/>
    </row>
    <row r="56" spans="1:31" x14ac:dyDescent="0.3">
      <c r="C56" s="1"/>
      <c r="D56"/>
      <c r="F56"/>
      <c r="G56" s="1"/>
      <c r="I56" s="2"/>
    </row>
    <row r="57" spans="1:31" x14ac:dyDescent="0.3">
      <c r="C57" s="1"/>
      <c r="D57"/>
      <c r="F57"/>
      <c r="G57" s="1"/>
      <c r="I57" s="2"/>
    </row>
    <row r="58" spans="1:31" x14ac:dyDescent="0.3">
      <c r="C58" s="1"/>
      <c r="D58"/>
      <c r="F58"/>
      <c r="G58" s="1"/>
      <c r="I58" s="2"/>
    </row>
    <row r="59" spans="1:31" x14ac:dyDescent="0.3">
      <c r="C59" s="1"/>
      <c r="D59"/>
      <c r="F59"/>
      <c r="G59" s="1"/>
      <c r="I59" s="2"/>
    </row>
    <row r="60" spans="1:31" x14ac:dyDescent="0.3">
      <c r="C60" s="1"/>
      <c r="D60"/>
      <c r="F60"/>
      <c r="G60" s="1"/>
      <c r="I60" s="2"/>
    </row>
    <row r="61" spans="1:31" x14ac:dyDescent="0.3">
      <c r="C61" s="1"/>
      <c r="D61"/>
      <c r="F61"/>
      <c r="G61" s="1"/>
      <c r="I61" s="2"/>
    </row>
    <row r="62" spans="1:31" x14ac:dyDescent="0.3">
      <c r="C62" s="1"/>
      <c r="D62"/>
      <c r="F62"/>
      <c r="G62" s="1"/>
      <c r="I62" s="2"/>
    </row>
    <row r="63" spans="1:31" x14ac:dyDescent="0.3">
      <c r="C63" s="1"/>
      <c r="D63"/>
      <c r="F63"/>
      <c r="G63" s="1"/>
      <c r="I63" s="2"/>
    </row>
    <row r="64" spans="1:31" x14ac:dyDescent="0.3">
      <c r="C64" s="1"/>
      <c r="D64"/>
      <c r="F64"/>
      <c r="G64" s="1"/>
      <c r="I64" s="2"/>
    </row>
    <row r="65" spans="1:9" x14ac:dyDescent="0.3">
      <c r="C65" s="1"/>
      <c r="D65"/>
      <c r="F65"/>
      <c r="G65" s="1"/>
      <c r="I65" s="2"/>
    </row>
    <row r="66" spans="1:9" x14ac:dyDescent="0.3">
      <c r="C66" s="1"/>
      <c r="D66"/>
      <c r="F66"/>
      <c r="G66" s="1"/>
      <c r="I66" s="2"/>
    </row>
    <row r="67" spans="1:9" x14ac:dyDescent="0.3">
      <c r="C67" s="1"/>
      <c r="D67"/>
      <c r="F67"/>
      <c r="G67" s="1"/>
      <c r="I67" s="2"/>
    </row>
    <row r="68" spans="1:9" x14ac:dyDescent="0.3">
      <c r="C68" s="1"/>
      <c r="D68"/>
      <c r="F68"/>
      <c r="G68" s="1"/>
      <c r="I68" s="2"/>
    </row>
    <row r="69" spans="1:9" x14ac:dyDescent="0.3">
      <c r="A69"/>
      <c r="C69" s="1"/>
      <c r="D69"/>
      <c r="F69"/>
      <c r="G69" s="1"/>
      <c r="I69" s="2"/>
    </row>
    <row r="70" spans="1:9" x14ac:dyDescent="0.3">
      <c r="A70"/>
      <c r="C70" s="1"/>
      <c r="D70"/>
      <c r="F70"/>
      <c r="G70" s="1"/>
      <c r="I70" s="2"/>
    </row>
    <row r="71" spans="1:9" x14ac:dyDescent="0.3">
      <c r="A71"/>
      <c r="C71" s="1"/>
      <c r="D71"/>
      <c r="F71"/>
      <c r="G71" s="1"/>
      <c r="I71" s="2"/>
    </row>
    <row r="72" spans="1:9" x14ac:dyDescent="0.3">
      <c r="A72"/>
      <c r="C72" s="1"/>
      <c r="D72"/>
      <c r="F72"/>
      <c r="G72" s="1"/>
      <c r="I72" s="2"/>
    </row>
    <row r="73" spans="1:9" x14ac:dyDescent="0.3">
      <c r="A73"/>
      <c r="C73" s="1"/>
      <c r="D73"/>
      <c r="F73"/>
      <c r="G73" s="1"/>
      <c r="I73" s="2"/>
    </row>
    <row r="74" spans="1:9" x14ac:dyDescent="0.3">
      <c r="A74"/>
      <c r="C74" s="1"/>
      <c r="D74"/>
      <c r="F74"/>
      <c r="G74" s="1"/>
      <c r="I74" s="2"/>
    </row>
    <row r="75" spans="1:9" x14ac:dyDescent="0.3">
      <c r="A75"/>
      <c r="C75" s="1"/>
      <c r="D75"/>
      <c r="F75"/>
      <c r="G75" s="1"/>
      <c r="I75" s="2"/>
    </row>
    <row r="76" spans="1:9" x14ac:dyDescent="0.3">
      <c r="A76"/>
      <c r="C76" s="1"/>
      <c r="D76"/>
      <c r="F76"/>
      <c r="G76" s="1"/>
      <c r="I76" s="2"/>
    </row>
    <row r="77" spans="1:9" x14ac:dyDescent="0.3">
      <c r="A77"/>
      <c r="C77" s="1"/>
      <c r="D77"/>
      <c r="F77"/>
      <c r="G77" s="1"/>
      <c r="I77" s="2"/>
    </row>
    <row r="78" spans="1:9" x14ac:dyDescent="0.3">
      <c r="A78"/>
      <c r="C78" s="1"/>
      <c r="D78"/>
      <c r="F78"/>
      <c r="G78" s="1"/>
      <c r="I78" s="2"/>
    </row>
    <row r="79" spans="1:9" x14ac:dyDescent="0.3">
      <c r="A79"/>
      <c r="C79" s="1"/>
      <c r="D79"/>
      <c r="F79"/>
      <c r="G79" s="1"/>
      <c r="I79" s="2"/>
    </row>
    <row r="80" spans="1:9" x14ac:dyDescent="0.3">
      <c r="A80"/>
      <c r="C80" s="1"/>
      <c r="D80"/>
      <c r="F80"/>
      <c r="G80" s="1"/>
      <c r="I80" s="2"/>
    </row>
    <row r="81" spans="1:9" x14ac:dyDescent="0.3">
      <c r="A81"/>
      <c r="C81" s="1"/>
      <c r="D81"/>
      <c r="F81"/>
      <c r="G81" s="1"/>
      <c r="I81" s="2"/>
    </row>
    <row r="82" spans="1:9" x14ac:dyDescent="0.3">
      <c r="A82"/>
      <c r="C82" s="1"/>
      <c r="D82"/>
      <c r="F82"/>
      <c r="G82" s="1"/>
      <c r="I82" s="2"/>
    </row>
    <row r="83" spans="1:9" x14ac:dyDescent="0.3">
      <c r="A83"/>
      <c r="C83" s="1"/>
      <c r="D83"/>
      <c r="F83"/>
      <c r="G83" s="1"/>
      <c r="I83" s="2"/>
    </row>
    <row r="84" spans="1:9" x14ac:dyDescent="0.3">
      <c r="A84"/>
      <c r="C84" s="1"/>
      <c r="D84"/>
      <c r="F84"/>
      <c r="G84" s="1"/>
      <c r="I84" s="2"/>
    </row>
    <row r="85" spans="1:9" x14ac:dyDescent="0.3">
      <c r="A85"/>
      <c r="C85" s="1"/>
      <c r="D85"/>
      <c r="F85"/>
      <c r="G85" s="1"/>
      <c r="I85" s="2"/>
    </row>
    <row r="86" spans="1:9" x14ac:dyDescent="0.3">
      <c r="A86"/>
      <c r="C86" s="1"/>
      <c r="D86"/>
      <c r="F86"/>
      <c r="G86" s="1"/>
      <c r="I86" s="2"/>
    </row>
    <row r="87" spans="1:9" x14ac:dyDescent="0.3">
      <c r="A87"/>
      <c r="C87" s="1"/>
      <c r="D87"/>
      <c r="F87"/>
      <c r="G87" s="1"/>
      <c r="I87" s="2"/>
    </row>
    <row r="88" spans="1:9" x14ac:dyDescent="0.3">
      <c r="A88"/>
      <c r="C88" s="1"/>
      <c r="D88"/>
      <c r="F88"/>
      <c r="G88" s="1"/>
      <c r="I88" s="2"/>
    </row>
    <row r="89" spans="1:9" x14ac:dyDescent="0.3">
      <c r="A89"/>
      <c r="C89" s="1"/>
      <c r="D89"/>
      <c r="F89"/>
      <c r="G89" s="1"/>
      <c r="I89" s="2"/>
    </row>
    <row r="90" spans="1:9" x14ac:dyDescent="0.3">
      <c r="A90"/>
      <c r="C90" s="1"/>
      <c r="D90"/>
      <c r="F90"/>
      <c r="G90" s="1"/>
      <c r="I90" s="2"/>
    </row>
    <row r="91" spans="1:9" x14ac:dyDescent="0.3">
      <c r="A91"/>
      <c r="C91" s="1"/>
      <c r="D91"/>
      <c r="F91"/>
      <c r="G91" s="1"/>
      <c r="I91" s="2"/>
    </row>
    <row r="92" spans="1:9" x14ac:dyDescent="0.3">
      <c r="A92"/>
      <c r="C92" s="1"/>
      <c r="D92"/>
      <c r="F92"/>
      <c r="G92" s="1"/>
      <c r="I92" s="2"/>
    </row>
    <row r="93" spans="1:9" x14ac:dyDescent="0.3">
      <c r="A93"/>
      <c r="C93" s="1"/>
      <c r="D93"/>
      <c r="F93"/>
      <c r="G93" s="1"/>
      <c r="I93" s="2"/>
    </row>
    <row r="94" spans="1:9" x14ac:dyDescent="0.3">
      <c r="A94"/>
      <c r="C94" s="1"/>
      <c r="D94"/>
      <c r="F94"/>
      <c r="G94" s="1"/>
      <c r="I94" s="2"/>
    </row>
    <row r="95" spans="1:9" x14ac:dyDescent="0.3">
      <c r="A95"/>
      <c r="C95" s="1"/>
      <c r="D95"/>
      <c r="F95"/>
      <c r="G95" s="1"/>
      <c r="I95" s="2"/>
    </row>
    <row r="96" spans="1:9" x14ac:dyDescent="0.3">
      <c r="A96"/>
      <c r="C96" s="1"/>
      <c r="D96"/>
      <c r="F96"/>
      <c r="G96" s="1"/>
      <c r="I96" s="2"/>
    </row>
    <row r="97" spans="1:9" x14ac:dyDescent="0.3">
      <c r="A97"/>
      <c r="C97" s="1"/>
      <c r="D97"/>
      <c r="F97"/>
      <c r="G97" s="1"/>
      <c r="I97" s="2"/>
    </row>
    <row r="98" spans="1:9" x14ac:dyDescent="0.3">
      <c r="A98"/>
      <c r="C98" s="1"/>
      <c r="D98"/>
      <c r="F98"/>
      <c r="G98" s="1"/>
      <c r="I98" s="2"/>
    </row>
    <row r="99" spans="1:9" x14ac:dyDescent="0.3">
      <c r="A99"/>
      <c r="C99" s="1"/>
      <c r="D99"/>
      <c r="F99"/>
      <c r="G99" s="1"/>
      <c r="I99" s="2"/>
    </row>
    <row r="100" spans="1:9" x14ac:dyDescent="0.3">
      <c r="A100"/>
      <c r="C100" s="1"/>
      <c r="D100"/>
      <c r="F100"/>
      <c r="G100" s="1"/>
      <c r="I100" s="2"/>
    </row>
    <row r="101" spans="1:9" x14ac:dyDescent="0.3">
      <c r="A101"/>
      <c r="C101" s="1"/>
      <c r="D101"/>
      <c r="F101"/>
      <c r="G101" s="1"/>
      <c r="I101" s="2"/>
    </row>
    <row r="102" spans="1:9" x14ac:dyDescent="0.3">
      <c r="A102"/>
      <c r="C102" s="1"/>
      <c r="D102"/>
      <c r="F102"/>
      <c r="G102" s="1"/>
      <c r="I102" s="2"/>
    </row>
    <row r="103" spans="1:9" x14ac:dyDescent="0.3">
      <c r="A103"/>
      <c r="C103" s="1"/>
      <c r="D103"/>
      <c r="F103"/>
      <c r="G103" s="1"/>
      <c r="I103" s="2"/>
    </row>
    <row r="104" spans="1:9" x14ac:dyDescent="0.3">
      <c r="A104"/>
      <c r="C104" s="1"/>
      <c r="D104"/>
      <c r="F104"/>
      <c r="G104" s="1"/>
      <c r="I104" s="2"/>
    </row>
    <row r="105" spans="1:9" x14ac:dyDescent="0.3">
      <c r="A105"/>
      <c r="C105" s="1"/>
      <c r="D105"/>
      <c r="F105"/>
      <c r="G105" s="1"/>
      <c r="I105" s="2"/>
    </row>
    <row r="106" spans="1:9" x14ac:dyDescent="0.3">
      <c r="A106"/>
      <c r="C106" s="1"/>
      <c r="D106"/>
      <c r="F106"/>
      <c r="G106" s="1"/>
      <c r="I106" s="2"/>
    </row>
    <row r="107" spans="1:9" x14ac:dyDescent="0.3">
      <c r="A107"/>
      <c r="C107" s="1"/>
      <c r="D107"/>
      <c r="F107"/>
      <c r="G107" s="1"/>
      <c r="I107" s="2"/>
    </row>
    <row r="108" spans="1:9" x14ac:dyDescent="0.3">
      <c r="A108"/>
      <c r="C108" s="1"/>
      <c r="D108"/>
      <c r="F108"/>
      <c r="G108" s="1"/>
      <c r="I108" s="2"/>
    </row>
    <row r="109" spans="1:9" x14ac:dyDescent="0.3">
      <c r="A109"/>
      <c r="C109" s="1"/>
      <c r="D109"/>
      <c r="F109"/>
      <c r="G109" s="1"/>
      <c r="I109" s="2"/>
    </row>
    <row r="110" spans="1:9" x14ac:dyDescent="0.3">
      <c r="A110"/>
      <c r="C110" s="1"/>
      <c r="D110"/>
      <c r="F110"/>
      <c r="G110" s="1"/>
      <c r="I110" s="2"/>
    </row>
    <row r="111" spans="1:9" x14ac:dyDescent="0.3">
      <c r="A111"/>
      <c r="C111" s="1"/>
      <c r="D111"/>
      <c r="F111"/>
      <c r="G111" s="1"/>
      <c r="I111" s="2"/>
    </row>
    <row r="112" spans="1:9" x14ac:dyDescent="0.3">
      <c r="A112"/>
      <c r="C112" s="1"/>
      <c r="D112"/>
      <c r="F112"/>
      <c r="G112" s="1"/>
      <c r="I112" s="2"/>
    </row>
    <row r="113" spans="1:9" x14ac:dyDescent="0.3">
      <c r="A113"/>
      <c r="C113" s="1"/>
      <c r="D113"/>
      <c r="F113"/>
      <c r="G113" s="1"/>
      <c r="I113" s="2"/>
    </row>
    <row r="114" spans="1:9" x14ac:dyDescent="0.3">
      <c r="A114"/>
      <c r="C114" s="1"/>
      <c r="D114"/>
      <c r="F114"/>
      <c r="G114" s="1"/>
      <c r="I114" s="2"/>
    </row>
    <row r="115" spans="1:9" x14ac:dyDescent="0.3">
      <c r="A115"/>
      <c r="C115" s="1"/>
      <c r="D115"/>
      <c r="F115"/>
      <c r="G115" s="1"/>
      <c r="I115" s="2"/>
    </row>
    <row r="116" spans="1:9" x14ac:dyDescent="0.3">
      <c r="A116"/>
      <c r="C116" s="1"/>
      <c r="D116"/>
      <c r="F116"/>
      <c r="G116" s="1"/>
      <c r="I116" s="2"/>
    </row>
    <row r="117" spans="1:9" x14ac:dyDescent="0.3">
      <c r="A117"/>
      <c r="C117" s="1"/>
      <c r="D117"/>
      <c r="F117"/>
      <c r="G117" s="1"/>
      <c r="I117" s="2"/>
    </row>
    <row r="118" spans="1:9" x14ac:dyDescent="0.3">
      <c r="A118"/>
      <c r="C118" s="1"/>
      <c r="D118"/>
      <c r="F118"/>
      <c r="G118" s="1"/>
      <c r="I118" s="2"/>
    </row>
    <row r="119" spans="1:9" x14ac:dyDescent="0.3">
      <c r="A119"/>
      <c r="C119" s="1"/>
      <c r="D119"/>
      <c r="F119"/>
      <c r="G119" s="1"/>
      <c r="I119" s="2"/>
    </row>
    <row r="120" spans="1:9" x14ac:dyDescent="0.3">
      <c r="A120"/>
      <c r="C120" s="1"/>
      <c r="D120"/>
      <c r="F120"/>
      <c r="G120" s="1"/>
      <c r="I120" s="2"/>
    </row>
    <row r="121" spans="1:9" x14ac:dyDescent="0.3">
      <c r="A121"/>
      <c r="C121" s="1"/>
      <c r="D121"/>
      <c r="F121"/>
      <c r="G121" s="1"/>
      <c r="I121" s="2"/>
    </row>
    <row r="122" spans="1:9" x14ac:dyDescent="0.3">
      <c r="A122"/>
      <c r="C122" s="1"/>
      <c r="D122"/>
      <c r="F122"/>
      <c r="G122" s="1"/>
      <c r="I122" s="2"/>
    </row>
    <row r="123" spans="1:9" x14ac:dyDescent="0.3">
      <c r="A123"/>
      <c r="C123" s="1"/>
      <c r="D123"/>
      <c r="F123"/>
      <c r="G123" s="1"/>
      <c r="I123" s="2"/>
    </row>
    <row r="124" spans="1:9" x14ac:dyDescent="0.3">
      <c r="A124"/>
      <c r="C124" s="1"/>
      <c r="D124"/>
      <c r="F124"/>
      <c r="G124" s="1"/>
      <c r="I124" s="2"/>
    </row>
    <row r="125" spans="1:9" x14ac:dyDescent="0.3">
      <c r="A125"/>
      <c r="C125" s="1"/>
      <c r="D125"/>
      <c r="F125"/>
      <c r="G125" s="1"/>
      <c r="I125" s="2"/>
    </row>
    <row r="126" spans="1:9" x14ac:dyDescent="0.3">
      <c r="A126"/>
      <c r="C126" s="1"/>
      <c r="D126"/>
      <c r="F126"/>
      <c r="G126" s="1"/>
      <c r="I126" s="2"/>
    </row>
    <row r="127" spans="1:9" x14ac:dyDescent="0.3">
      <c r="A127"/>
      <c r="C127" s="1"/>
      <c r="D127"/>
      <c r="F127"/>
      <c r="G127" s="1"/>
      <c r="I127" s="2"/>
    </row>
    <row r="128" spans="1:9" x14ac:dyDescent="0.3">
      <c r="A128"/>
      <c r="C128" s="1"/>
      <c r="D128"/>
      <c r="F128"/>
      <c r="G128" s="1"/>
      <c r="I128" s="2"/>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sheetData>
  <sheetProtection algorithmName="SHA-512" hashValue="VZGgxcooXByAgBGDZnRZVMkF6Ds50tKkGCZFWbk2aO+BYyXmCYoD0P6q0OCGBtywF3dATzRss21+qodCXCGnew==" saltValue="J61UKjmFgmZLCLNy/eq8Pg==" spinCount="100000" sheet="1" objects="1" scenarios="1"/>
  <autoFilter ref="A1:AE47" xr:uid="{4050F453-4724-4EFA-8EEE-6B0C376B2414}">
    <sortState xmlns:xlrd2="http://schemas.microsoft.com/office/spreadsheetml/2017/richdata2" ref="A2:AE47">
      <sortCondition ref="A3:A47"/>
    </sortState>
  </autoFilter>
  <sortState xmlns:xlrd2="http://schemas.microsoft.com/office/spreadsheetml/2017/richdata2" ref="A50:A68">
    <sortCondition ref="A50:A68"/>
  </sortState>
  <phoneticPr fontId="2" type="noConversion"/>
  <conditionalFormatting sqref="J3:J50">
    <cfRule type="containsText" dxfId="227" priority="1" operator="containsText" text="VENCIDO">
      <formula>NOT(ISERROR(SEARCH("VENCIDO",J3)))</formula>
    </cfRule>
    <cfRule type="containsText" dxfId="226" priority="3" operator="containsText" text="POR VENCER">
      <formula>NOT(ISERROR(SEARCH("POR VENCER",J3)))</formula>
    </cfRule>
    <cfRule type="containsText" dxfId="225" priority="4" operator="containsText" text="VIGENTE">
      <formula>NOT(ISERROR(SEARCH("VIGENTE",J3)))</formula>
    </cfRule>
  </conditionalFormatting>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D52FF-BD28-4D7E-8B9F-DB3BF3703BE0}">
  <sheetPr codeName="Sheet8"/>
  <dimension ref="A1:SG156"/>
  <sheetViews>
    <sheetView showGridLines="0" zoomScale="90" zoomScaleNormal="90" workbookViewId="0">
      <pane xSplit="1" ySplit="3" topLeftCell="B39" activePane="bottomRight" state="frozen"/>
      <selection activeCell="A44" sqref="A44"/>
      <selection pane="topRight" activeCell="A44" sqref="A44"/>
      <selection pane="bottomLeft" activeCell="A44" sqref="A44"/>
      <selection pane="bottomRight" activeCell="A44" sqref="A44"/>
    </sheetView>
  </sheetViews>
  <sheetFormatPr defaultColWidth="8.88671875" defaultRowHeight="14.4" x14ac:dyDescent="0.3"/>
  <cols>
    <col min="1" max="1" width="22.33203125" style="8" customWidth="1"/>
    <col min="2" max="2" width="13.5546875" customWidth="1"/>
    <col min="3" max="3" width="18.33203125" style="8" customWidth="1"/>
    <col min="4" max="5" width="13.5546875" style="1" customWidth="1"/>
    <col min="6" max="7" width="13.5546875" style="2" customWidth="1"/>
    <col min="8" max="18" width="13.5546875" style="1" customWidth="1"/>
    <col min="19" max="19" width="14.88671875" style="1" customWidth="1"/>
    <col min="20" max="301" width="13.5546875" style="1" customWidth="1"/>
    <col min="302" max="309" width="11.6640625" customWidth="1"/>
    <col min="310" max="310" width="11.5546875" customWidth="1"/>
    <col min="330" max="330" width="12" customWidth="1"/>
  </cols>
  <sheetData>
    <row r="1" spans="1:501" s="1" customFormat="1" x14ac:dyDescent="0.3">
      <c r="A1" s="42">
        <v>1</v>
      </c>
      <c r="B1" s="42">
        <v>2</v>
      </c>
      <c r="C1" s="42">
        <v>3</v>
      </c>
      <c r="D1" s="42">
        <v>4</v>
      </c>
      <c r="E1" s="42">
        <v>5</v>
      </c>
      <c r="F1" s="42">
        <v>6</v>
      </c>
      <c r="G1" s="42">
        <v>7</v>
      </c>
      <c r="H1" s="42">
        <v>8</v>
      </c>
      <c r="I1" s="42">
        <v>9</v>
      </c>
      <c r="J1" s="42">
        <v>10</v>
      </c>
      <c r="K1" s="42">
        <v>11</v>
      </c>
      <c r="L1" s="42">
        <v>12</v>
      </c>
      <c r="M1" s="42">
        <v>13</v>
      </c>
      <c r="N1" s="42">
        <v>14</v>
      </c>
      <c r="O1" s="42">
        <v>15</v>
      </c>
      <c r="P1" s="42">
        <v>16</v>
      </c>
      <c r="Q1" s="42">
        <v>17</v>
      </c>
      <c r="R1" s="42">
        <v>18</v>
      </c>
      <c r="S1" s="42">
        <v>19</v>
      </c>
      <c r="T1" s="42">
        <v>20</v>
      </c>
      <c r="U1" s="42">
        <v>21</v>
      </c>
      <c r="V1" s="42">
        <v>22</v>
      </c>
      <c r="W1" s="42">
        <v>23</v>
      </c>
      <c r="X1" s="42">
        <v>24</v>
      </c>
      <c r="Y1" s="42">
        <v>25</v>
      </c>
      <c r="Z1" s="42">
        <v>26</v>
      </c>
      <c r="AA1" s="42">
        <v>27</v>
      </c>
      <c r="AB1" s="42">
        <v>28</v>
      </c>
      <c r="AC1" s="42">
        <v>29</v>
      </c>
      <c r="AD1" s="42">
        <v>30</v>
      </c>
      <c r="AE1" s="42">
        <v>31</v>
      </c>
      <c r="AF1" s="42">
        <v>32</v>
      </c>
      <c r="AG1" s="42">
        <v>33</v>
      </c>
      <c r="AH1" s="42">
        <v>34</v>
      </c>
      <c r="AI1" s="42">
        <v>35</v>
      </c>
      <c r="AJ1" s="42">
        <v>36</v>
      </c>
      <c r="AK1" s="42">
        <v>37</v>
      </c>
      <c r="AL1" s="42">
        <v>38</v>
      </c>
      <c r="AM1" s="42">
        <v>39</v>
      </c>
      <c r="AN1" s="42">
        <v>40</v>
      </c>
      <c r="AO1" s="42">
        <v>41</v>
      </c>
      <c r="AP1" s="42">
        <v>42</v>
      </c>
      <c r="AQ1" s="42">
        <v>43</v>
      </c>
      <c r="AR1" s="42">
        <v>44</v>
      </c>
      <c r="AS1" s="42">
        <v>45</v>
      </c>
      <c r="AT1" s="42">
        <v>46</v>
      </c>
      <c r="AU1" s="42">
        <v>47</v>
      </c>
      <c r="AV1" s="42">
        <v>48</v>
      </c>
      <c r="AW1" s="42">
        <v>49</v>
      </c>
      <c r="AX1" s="42">
        <v>50</v>
      </c>
      <c r="AY1" s="42">
        <v>51</v>
      </c>
      <c r="AZ1" s="42">
        <v>52</v>
      </c>
      <c r="BA1" s="42">
        <v>53</v>
      </c>
      <c r="BB1" s="42">
        <v>54</v>
      </c>
      <c r="BC1" s="42">
        <v>55</v>
      </c>
      <c r="BD1" s="42">
        <v>56</v>
      </c>
      <c r="BE1" s="42">
        <v>57</v>
      </c>
      <c r="BF1" s="42">
        <v>58</v>
      </c>
      <c r="BG1" s="42">
        <v>59</v>
      </c>
      <c r="BH1" s="42">
        <v>60</v>
      </c>
      <c r="BI1" s="42">
        <v>61</v>
      </c>
      <c r="BJ1" s="42">
        <v>62</v>
      </c>
      <c r="BK1" s="42">
        <v>63</v>
      </c>
      <c r="BL1" s="42">
        <v>64</v>
      </c>
      <c r="BM1" s="42">
        <v>65</v>
      </c>
      <c r="BN1" s="42">
        <v>66</v>
      </c>
      <c r="BO1" s="42">
        <v>67</v>
      </c>
      <c r="BP1" s="42">
        <v>68</v>
      </c>
      <c r="BQ1" s="42">
        <v>69</v>
      </c>
      <c r="BR1" s="42">
        <v>70</v>
      </c>
      <c r="BS1" s="42">
        <v>71</v>
      </c>
      <c r="BT1" s="42">
        <v>72</v>
      </c>
      <c r="BU1" s="42">
        <v>73</v>
      </c>
      <c r="BV1" s="42">
        <v>74</v>
      </c>
      <c r="BW1" s="42">
        <v>75</v>
      </c>
      <c r="BX1" s="42">
        <v>76</v>
      </c>
      <c r="BY1" s="42">
        <v>77</v>
      </c>
      <c r="BZ1" s="42">
        <v>78</v>
      </c>
      <c r="CA1" s="42">
        <v>79</v>
      </c>
      <c r="CB1" s="42">
        <v>80</v>
      </c>
      <c r="CC1" s="42">
        <v>81</v>
      </c>
      <c r="CD1" s="42">
        <v>82</v>
      </c>
      <c r="CE1" s="42">
        <v>83</v>
      </c>
      <c r="CF1" s="42">
        <v>84</v>
      </c>
      <c r="CG1" s="42">
        <v>85</v>
      </c>
      <c r="CH1" s="42">
        <v>86</v>
      </c>
      <c r="CI1" s="42">
        <v>87</v>
      </c>
      <c r="CJ1" s="42">
        <v>88</v>
      </c>
      <c r="CK1" s="42">
        <v>89</v>
      </c>
      <c r="CL1" s="42">
        <v>90</v>
      </c>
      <c r="CM1" s="42">
        <v>91</v>
      </c>
      <c r="CN1" s="42">
        <v>92</v>
      </c>
      <c r="CO1" s="42">
        <v>93</v>
      </c>
      <c r="CP1" s="42">
        <v>94</v>
      </c>
      <c r="CQ1" s="42">
        <v>95</v>
      </c>
      <c r="CR1" s="42">
        <v>96</v>
      </c>
      <c r="CS1" s="42">
        <v>97</v>
      </c>
      <c r="CT1" s="42">
        <v>98</v>
      </c>
      <c r="CU1" s="42">
        <v>99</v>
      </c>
      <c r="CV1" s="42">
        <v>100</v>
      </c>
      <c r="CW1" s="42">
        <v>101</v>
      </c>
      <c r="CX1" s="42">
        <v>102</v>
      </c>
      <c r="CY1" s="42">
        <v>103</v>
      </c>
      <c r="CZ1" s="42">
        <v>104</v>
      </c>
      <c r="DA1" s="42">
        <v>105</v>
      </c>
      <c r="DB1" s="42">
        <v>106</v>
      </c>
      <c r="DC1" s="42">
        <v>107</v>
      </c>
      <c r="DD1" s="42">
        <v>108</v>
      </c>
      <c r="DE1" s="42">
        <v>109</v>
      </c>
      <c r="DF1" s="42">
        <v>110</v>
      </c>
      <c r="DG1" s="42">
        <v>111</v>
      </c>
      <c r="DH1" s="42">
        <v>112</v>
      </c>
      <c r="DI1" s="42">
        <v>113</v>
      </c>
      <c r="DJ1" s="42">
        <v>114</v>
      </c>
      <c r="DK1" s="42">
        <v>115</v>
      </c>
      <c r="DL1" s="42">
        <v>116</v>
      </c>
      <c r="DM1" s="42">
        <v>117</v>
      </c>
      <c r="DN1" s="42">
        <v>118</v>
      </c>
      <c r="DO1" s="42">
        <v>119</v>
      </c>
      <c r="DP1" s="42">
        <v>120</v>
      </c>
      <c r="DQ1" s="42">
        <v>121</v>
      </c>
      <c r="DR1" s="42">
        <v>122</v>
      </c>
      <c r="DS1" s="42">
        <v>123</v>
      </c>
      <c r="DT1" s="42">
        <v>124</v>
      </c>
      <c r="DU1" s="42">
        <v>125</v>
      </c>
      <c r="DV1" s="42">
        <v>126</v>
      </c>
      <c r="DW1" s="42">
        <v>127</v>
      </c>
      <c r="DX1" s="42">
        <v>128</v>
      </c>
      <c r="DY1" s="42">
        <v>129</v>
      </c>
      <c r="DZ1" s="42">
        <v>130</v>
      </c>
      <c r="EA1" s="42">
        <v>131</v>
      </c>
      <c r="EB1" s="42">
        <v>132</v>
      </c>
      <c r="EC1" s="42">
        <v>133</v>
      </c>
      <c r="ED1" s="42">
        <v>134</v>
      </c>
      <c r="EE1" s="42">
        <v>135</v>
      </c>
      <c r="EF1" s="42">
        <v>136</v>
      </c>
      <c r="EG1" s="42">
        <v>137</v>
      </c>
      <c r="EH1" s="42">
        <v>138</v>
      </c>
      <c r="EI1" s="42">
        <v>139</v>
      </c>
      <c r="EJ1" s="42">
        <v>140</v>
      </c>
      <c r="EK1" s="42">
        <v>141</v>
      </c>
      <c r="EL1" s="42">
        <v>142</v>
      </c>
      <c r="EM1" s="42">
        <v>143</v>
      </c>
      <c r="EN1" s="42">
        <v>144</v>
      </c>
      <c r="EO1" s="42">
        <v>145</v>
      </c>
      <c r="EP1" s="42">
        <v>146</v>
      </c>
      <c r="EQ1" s="42">
        <v>147</v>
      </c>
      <c r="ER1" s="42">
        <v>148</v>
      </c>
      <c r="ES1" s="42">
        <v>149</v>
      </c>
      <c r="ET1" s="42">
        <v>150</v>
      </c>
      <c r="EU1" s="42">
        <v>151</v>
      </c>
      <c r="EV1" s="42">
        <v>152</v>
      </c>
      <c r="EW1" s="42">
        <v>153</v>
      </c>
      <c r="EX1" s="42">
        <v>154</v>
      </c>
      <c r="EY1" s="42">
        <v>155</v>
      </c>
      <c r="EZ1" s="42">
        <v>156</v>
      </c>
      <c r="FA1" s="42">
        <v>157</v>
      </c>
      <c r="FB1" s="42">
        <v>158</v>
      </c>
      <c r="FC1" s="42">
        <v>159</v>
      </c>
      <c r="FD1" s="42">
        <v>160</v>
      </c>
      <c r="FE1" s="42">
        <v>161</v>
      </c>
      <c r="FF1" s="42">
        <v>162</v>
      </c>
      <c r="FG1" s="42">
        <v>163</v>
      </c>
      <c r="FH1" s="42">
        <v>164</v>
      </c>
      <c r="FI1" s="42">
        <v>165</v>
      </c>
      <c r="FJ1" s="42">
        <v>166</v>
      </c>
      <c r="FK1" s="42">
        <v>167</v>
      </c>
      <c r="FL1" s="42">
        <v>168</v>
      </c>
      <c r="FM1" s="42">
        <v>169</v>
      </c>
      <c r="FN1" s="42">
        <v>170</v>
      </c>
      <c r="FO1" s="42">
        <v>171</v>
      </c>
      <c r="FP1" s="42">
        <v>172</v>
      </c>
      <c r="FQ1" s="42">
        <v>173</v>
      </c>
      <c r="FR1" s="42">
        <v>174</v>
      </c>
      <c r="FS1" s="42">
        <v>175</v>
      </c>
      <c r="FT1" s="42">
        <v>176</v>
      </c>
      <c r="FU1" s="42">
        <v>177</v>
      </c>
      <c r="FV1" s="42">
        <v>178</v>
      </c>
      <c r="FW1" s="42">
        <v>179</v>
      </c>
      <c r="FX1" s="42">
        <v>180</v>
      </c>
      <c r="FY1" s="42">
        <v>181</v>
      </c>
      <c r="FZ1" s="42">
        <v>182</v>
      </c>
      <c r="GA1" s="42">
        <v>183</v>
      </c>
      <c r="GB1" s="42">
        <v>184</v>
      </c>
      <c r="GC1" s="42">
        <v>185</v>
      </c>
      <c r="GD1" s="42">
        <v>186</v>
      </c>
      <c r="GE1" s="42">
        <v>187</v>
      </c>
      <c r="GF1" s="42">
        <v>188</v>
      </c>
      <c r="GG1" s="42">
        <v>189</v>
      </c>
      <c r="GH1" s="42">
        <v>190</v>
      </c>
      <c r="GI1" s="42">
        <v>191</v>
      </c>
      <c r="GJ1" s="42">
        <v>192</v>
      </c>
      <c r="GK1" s="42">
        <v>193</v>
      </c>
      <c r="GL1" s="42">
        <v>194</v>
      </c>
      <c r="GM1" s="42">
        <v>195</v>
      </c>
      <c r="GN1" s="42">
        <v>196</v>
      </c>
      <c r="GO1" s="42">
        <v>197</v>
      </c>
      <c r="GP1" s="42">
        <v>198</v>
      </c>
      <c r="GQ1" s="42">
        <v>199</v>
      </c>
      <c r="GR1" s="42">
        <v>200</v>
      </c>
      <c r="GS1" s="42">
        <v>201</v>
      </c>
      <c r="GT1" s="42">
        <v>202</v>
      </c>
      <c r="GU1" s="42">
        <v>203</v>
      </c>
      <c r="GV1" s="42">
        <v>204</v>
      </c>
      <c r="GW1" s="42">
        <v>205</v>
      </c>
      <c r="GX1" s="42">
        <v>206</v>
      </c>
      <c r="GY1" s="42">
        <v>207</v>
      </c>
      <c r="GZ1" s="42">
        <v>208</v>
      </c>
      <c r="HA1" s="42">
        <v>209</v>
      </c>
      <c r="HB1" s="42">
        <v>210</v>
      </c>
      <c r="HC1" s="42">
        <v>211</v>
      </c>
      <c r="HD1" s="42">
        <v>212</v>
      </c>
      <c r="HE1" s="42">
        <v>213</v>
      </c>
      <c r="HF1" s="42">
        <v>214</v>
      </c>
      <c r="HG1" s="42">
        <v>215</v>
      </c>
      <c r="HH1" s="42">
        <v>216</v>
      </c>
      <c r="HI1" s="42">
        <v>217</v>
      </c>
      <c r="HJ1" s="42">
        <v>218</v>
      </c>
      <c r="HK1" s="42">
        <v>219</v>
      </c>
      <c r="HL1" s="42">
        <v>220</v>
      </c>
      <c r="HM1" s="42">
        <v>221</v>
      </c>
      <c r="HN1" s="42">
        <v>222</v>
      </c>
      <c r="HO1" s="42">
        <v>223</v>
      </c>
      <c r="HP1" s="42">
        <v>224</v>
      </c>
      <c r="HQ1" s="42">
        <v>225</v>
      </c>
      <c r="HR1" s="42">
        <v>226</v>
      </c>
      <c r="HS1" s="42">
        <v>227</v>
      </c>
      <c r="HT1" s="42">
        <v>228</v>
      </c>
      <c r="HU1" s="42">
        <v>229</v>
      </c>
      <c r="HV1" s="42">
        <v>230</v>
      </c>
      <c r="HW1" s="42">
        <v>231</v>
      </c>
      <c r="HX1" s="42">
        <v>232</v>
      </c>
      <c r="HY1" s="42">
        <v>233</v>
      </c>
      <c r="HZ1" s="42">
        <v>234</v>
      </c>
      <c r="IA1" s="42">
        <v>235</v>
      </c>
      <c r="IB1" s="42">
        <v>236</v>
      </c>
      <c r="IC1" s="42">
        <v>237</v>
      </c>
      <c r="ID1" s="42">
        <v>238</v>
      </c>
      <c r="IE1" s="42">
        <v>239</v>
      </c>
      <c r="IF1" s="42">
        <v>240</v>
      </c>
      <c r="IG1" s="42">
        <v>241</v>
      </c>
      <c r="IH1" s="42">
        <v>242</v>
      </c>
      <c r="II1" s="42">
        <v>243</v>
      </c>
      <c r="IJ1" s="42">
        <v>244</v>
      </c>
      <c r="IK1" s="42">
        <v>245</v>
      </c>
      <c r="IL1" s="42">
        <v>246</v>
      </c>
      <c r="IM1" s="42">
        <v>247</v>
      </c>
      <c r="IN1" s="42">
        <v>248</v>
      </c>
      <c r="IO1" s="42">
        <v>249</v>
      </c>
      <c r="IP1" s="42">
        <v>250</v>
      </c>
      <c r="IQ1" s="42">
        <v>251</v>
      </c>
      <c r="IR1" s="42">
        <v>252</v>
      </c>
      <c r="IS1" s="42">
        <v>253</v>
      </c>
      <c r="IT1" s="42">
        <v>254</v>
      </c>
      <c r="IU1" s="42">
        <v>255</v>
      </c>
      <c r="IV1" s="42">
        <v>256</v>
      </c>
      <c r="IW1" s="42">
        <v>257</v>
      </c>
      <c r="IX1" s="42">
        <v>258</v>
      </c>
      <c r="IY1" s="42">
        <v>259</v>
      </c>
      <c r="IZ1" s="42">
        <v>260</v>
      </c>
      <c r="JA1" s="42">
        <v>261</v>
      </c>
      <c r="JB1" s="42">
        <v>262</v>
      </c>
      <c r="JC1" s="42">
        <v>263</v>
      </c>
      <c r="JD1" s="42">
        <v>264</v>
      </c>
      <c r="JE1" s="42">
        <v>265</v>
      </c>
      <c r="JF1" s="42">
        <v>266</v>
      </c>
      <c r="JG1" s="42">
        <v>267</v>
      </c>
      <c r="JH1" s="42">
        <v>268</v>
      </c>
      <c r="JI1" s="42">
        <v>269</v>
      </c>
      <c r="JJ1" s="42">
        <v>270</v>
      </c>
      <c r="JK1" s="42">
        <v>271</v>
      </c>
      <c r="JL1" s="42">
        <v>272</v>
      </c>
      <c r="JM1" s="42">
        <v>273</v>
      </c>
      <c r="JN1" s="42">
        <v>274</v>
      </c>
      <c r="JO1" s="42">
        <v>275</v>
      </c>
      <c r="JP1" s="42">
        <v>276</v>
      </c>
      <c r="JQ1" s="42">
        <v>277</v>
      </c>
      <c r="JR1" s="42">
        <v>278</v>
      </c>
      <c r="JS1" s="42">
        <v>279</v>
      </c>
      <c r="JT1" s="42">
        <v>280</v>
      </c>
      <c r="JU1" s="42">
        <v>281</v>
      </c>
      <c r="JV1" s="42">
        <v>282</v>
      </c>
      <c r="JW1" s="42">
        <v>283</v>
      </c>
      <c r="JX1" s="42">
        <v>284</v>
      </c>
      <c r="JY1" s="42">
        <v>285</v>
      </c>
      <c r="JZ1" s="42">
        <v>286</v>
      </c>
      <c r="KA1" s="42">
        <v>287</v>
      </c>
      <c r="KB1" s="42">
        <v>288</v>
      </c>
      <c r="KC1" s="42">
        <v>289</v>
      </c>
      <c r="KD1" s="42">
        <v>290</v>
      </c>
      <c r="KE1" s="42">
        <v>291</v>
      </c>
      <c r="KF1" s="42">
        <v>292</v>
      </c>
      <c r="KG1" s="42">
        <v>293</v>
      </c>
      <c r="KH1" s="42">
        <v>294</v>
      </c>
      <c r="KI1" s="42">
        <v>295</v>
      </c>
      <c r="KJ1" s="42">
        <v>296</v>
      </c>
      <c r="KK1" s="42">
        <v>297</v>
      </c>
      <c r="KL1" s="42">
        <v>298</v>
      </c>
      <c r="KM1" s="42">
        <v>299</v>
      </c>
      <c r="KN1" s="42">
        <v>300</v>
      </c>
      <c r="KO1" s="42">
        <v>301</v>
      </c>
      <c r="KP1" s="42">
        <v>302</v>
      </c>
      <c r="KQ1" s="42">
        <v>303</v>
      </c>
      <c r="KR1" s="42">
        <v>304</v>
      </c>
      <c r="KS1" s="42">
        <v>305</v>
      </c>
      <c r="KT1" s="42">
        <v>306</v>
      </c>
      <c r="KU1" s="42">
        <v>307</v>
      </c>
      <c r="KV1" s="42">
        <v>308</v>
      </c>
      <c r="KW1" s="42">
        <v>309</v>
      </c>
      <c r="KX1" s="42">
        <v>310</v>
      </c>
      <c r="KY1" s="42">
        <v>311</v>
      </c>
      <c r="KZ1" s="42">
        <v>312</v>
      </c>
      <c r="LA1" s="42">
        <v>313</v>
      </c>
      <c r="LB1" s="42">
        <v>314</v>
      </c>
      <c r="LC1" s="42">
        <v>315</v>
      </c>
      <c r="LD1" s="42">
        <v>316</v>
      </c>
      <c r="LE1" s="42">
        <v>317</v>
      </c>
      <c r="LF1" s="42">
        <v>318</v>
      </c>
      <c r="LG1" s="42">
        <v>319</v>
      </c>
      <c r="LH1" s="42">
        <v>320</v>
      </c>
      <c r="LI1" s="42">
        <v>321</v>
      </c>
      <c r="LJ1" s="42">
        <v>322</v>
      </c>
      <c r="LK1" s="42">
        <v>323</v>
      </c>
      <c r="LL1" s="42">
        <v>324</v>
      </c>
      <c r="LM1" s="42">
        <v>325</v>
      </c>
      <c r="LN1" s="42">
        <v>326</v>
      </c>
      <c r="LO1" s="42">
        <v>327</v>
      </c>
      <c r="LP1" s="42">
        <v>328</v>
      </c>
      <c r="LQ1" s="42">
        <v>329</v>
      </c>
      <c r="LR1" s="42">
        <v>330</v>
      </c>
      <c r="LS1" s="42">
        <v>331</v>
      </c>
      <c r="LT1" s="42">
        <v>332</v>
      </c>
      <c r="LU1" s="42">
        <v>333</v>
      </c>
      <c r="LV1" s="42">
        <v>334</v>
      </c>
      <c r="LW1" s="42">
        <v>335</v>
      </c>
      <c r="LX1" s="42">
        <v>336</v>
      </c>
      <c r="LY1" s="42">
        <v>337</v>
      </c>
      <c r="LZ1" s="42">
        <v>338</v>
      </c>
      <c r="MA1" s="42">
        <v>339</v>
      </c>
      <c r="MB1" s="42">
        <v>340</v>
      </c>
      <c r="MC1" s="42">
        <v>341</v>
      </c>
      <c r="MD1" s="42">
        <v>342</v>
      </c>
      <c r="ME1" s="42">
        <v>343</v>
      </c>
      <c r="MF1" s="42">
        <v>344</v>
      </c>
      <c r="MG1" s="42">
        <v>345</v>
      </c>
      <c r="MH1" s="42">
        <v>346</v>
      </c>
      <c r="MI1" s="42">
        <v>347</v>
      </c>
      <c r="MJ1" s="42">
        <v>348</v>
      </c>
      <c r="MK1" s="42">
        <v>349</v>
      </c>
      <c r="ML1" s="42">
        <v>350</v>
      </c>
      <c r="MM1" s="42">
        <v>351</v>
      </c>
      <c r="MN1" s="42">
        <v>352</v>
      </c>
      <c r="MO1" s="42">
        <v>353</v>
      </c>
      <c r="MP1" s="42">
        <v>354</v>
      </c>
      <c r="MQ1" s="42">
        <v>355</v>
      </c>
      <c r="MR1" s="42">
        <v>356</v>
      </c>
      <c r="MS1" s="42">
        <v>357</v>
      </c>
      <c r="MT1" s="42">
        <v>358</v>
      </c>
      <c r="MU1" s="42">
        <v>359</v>
      </c>
      <c r="MV1" s="42">
        <v>360</v>
      </c>
      <c r="MW1" s="42">
        <v>361</v>
      </c>
      <c r="MX1" s="42">
        <v>362</v>
      </c>
      <c r="MY1" s="42">
        <v>363</v>
      </c>
      <c r="MZ1" s="42">
        <v>364</v>
      </c>
      <c r="NA1" s="42">
        <v>365</v>
      </c>
      <c r="NB1" s="42">
        <v>366</v>
      </c>
      <c r="NC1" s="42">
        <v>367</v>
      </c>
      <c r="ND1" s="42">
        <v>368</v>
      </c>
      <c r="NE1" s="42">
        <v>369</v>
      </c>
      <c r="NF1" s="42">
        <v>370</v>
      </c>
      <c r="NG1" s="42">
        <v>371</v>
      </c>
      <c r="NH1" s="42">
        <v>372</v>
      </c>
      <c r="NI1" s="42">
        <v>373</v>
      </c>
      <c r="NJ1" s="42">
        <v>374</v>
      </c>
      <c r="NK1" s="42">
        <v>375</v>
      </c>
      <c r="NL1" s="42">
        <v>376</v>
      </c>
      <c r="NM1" s="42">
        <v>377</v>
      </c>
      <c r="NN1" s="42">
        <v>378</v>
      </c>
      <c r="NO1" s="42">
        <v>379</v>
      </c>
      <c r="NP1" s="42">
        <v>380</v>
      </c>
      <c r="NQ1" s="42">
        <v>381</v>
      </c>
      <c r="NR1" s="42">
        <v>382</v>
      </c>
      <c r="NS1" s="42">
        <v>383</v>
      </c>
      <c r="NT1" s="42">
        <v>384</v>
      </c>
      <c r="NU1" s="42">
        <v>385</v>
      </c>
      <c r="NV1" s="42">
        <v>386</v>
      </c>
      <c r="NW1" s="42">
        <v>387</v>
      </c>
      <c r="NX1" s="42">
        <v>388</v>
      </c>
      <c r="NY1" s="42">
        <v>389</v>
      </c>
      <c r="NZ1" s="42">
        <v>390</v>
      </c>
      <c r="OA1" s="42">
        <v>391</v>
      </c>
      <c r="OB1" s="42">
        <v>392</v>
      </c>
      <c r="OC1" s="42">
        <v>393</v>
      </c>
      <c r="OD1" s="42">
        <v>394</v>
      </c>
      <c r="OE1" s="42">
        <v>395</v>
      </c>
      <c r="OF1" s="42">
        <v>396</v>
      </c>
      <c r="OG1" s="42">
        <v>397</v>
      </c>
      <c r="OH1" s="42">
        <v>398</v>
      </c>
      <c r="OI1" s="42">
        <v>399</v>
      </c>
      <c r="OJ1" s="42">
        <v>400</v>
      </c>
      <c r="OK1" s="42">
        <v>401</v>
      </c>
      <c r="OL1" s="42">
        <v>402</v>
      </c>
      <c r="OM1" s="42">
        <v>403</v>
      </c>
      <c r="ON1" s="42">
        <v>404</v>
      </c>
      <c r="OO1" s="42">
        <v>405</v>
      </c>
      <c r="OP1" s="42">
        <v>406</v>
      </c>
      <c r="OQ1" s="42">
        <v>407</v>
      </c>
      <c r="OR1" s="42">
        <v>408</v>
      </c>
      <c r="OS1" s="42">
        <v>409</v>
      </c>
      <c r="OT1" s="42">
        <v>410</v>
      </c>
      <c r="OU1" s="42">
        <v>411</v>
      </c>
      <c r="OV1" s="42">
        <v>412</v>
      </c>
      <c r="OW1" s="42">
        <v>413</v>
      </c>
      <c r="OX1" s="42">
        <v>414</v>
      </c>
      <c r="OY1" s="42">
        <v>415</v>
      </c>
      <c r="OZ1" s="42">
        <v>416</v>
      </c>
      <c r="PA1" s="42">
        <v>417</v>
      </c>
      <c r="PB1" s="42">
        <v>418</v>
      </c>
      <c r="PC1" s="42">
        <v>419</v>
      </c>
      <c r="PD1" s="42">
        <v>420</v>
      </c>
      <c r="PE1" s="42">
        <v>421</v>
      </c>
      <c r="PF1" s="42">
        <v>422</v>
      </c>
      <c r="PG1" s="42">
        <v>423</v>
      </c>
      <c r="PH1" s="42">
        <v>424</v>
      </c>
      <c r="PI1" s="42">
        <v>425</v>
      </c>
      <c r="PJ1" s="42">
        <v>426</v>
      </c>
      <c r="PK1" s="42">
        <v>427</v>
      </c>
      <c r="PL1" s="42">
        <v>428</v>
      </c>
      <c r="PM1" s="42">
        <v>429</v>
      </c>
      <c r="PN1" s="42">
        <v>430</v>
      </c>
      <c r="PO1" s="42">
        <v>431</v>
      </c>
      <c r="PP1" s="42">
        <v>432</v>
      </c>
      <c r="PQ1" s="42">
        <v>433</v>
      </c>
      <c r="PR1" s="42">
        <v>434</v>
      </c>
      <c r="PS1" s="42">
        <v>435</v>
      </c>
      <c r="PT1" s="42">
        <v>436</v>
      </c>
      <c r="PU1" s="42">
        <v>437</v>
      </c>
      <c r="PV1" s="42">
        <v>438</v>
      </c>
      <c r="PW1" s="42">
        <v>439</v>
      </c>
      <c r="PX1" s="42">
        <v>440</v>
      </c>
      <c r="PY1" s="42">
        <v>441</v>
      </c>
      <c r="PZ1" s="42">
        <v>442</v>
      </c>
      <c r="QA1" s="42">
        <v>443</v>
      </c>
      <c r="QB1" s="42">
        <v>444</v>
      </c>
      <c r="QC1" s="42">
        <v>445</v>
      </c>
      <c r="QD1" s="42">
        <v>446</v>
      </c>
      <c r="QE1" s="42">
        <v>447</v>
      </c>
      <c r="QF1" s="42">
        <v>448</v>
      </c>
      <c r="QG1" s="42">
        <v>449</v>
      </c>
      <c r="QH1" s="42">
        <v>450</v>
      </c>
      <c r="QI1" s="42">
        <v>451</v>
      </c>
      <c r="QJ1" s="42">
        <v>452</v>
      </c>
      <c r="QK1" s="42">
        <v>453</v>
      </c>
      <c r="QL1" s="42">
        <v>454</v>
      </c>
      <c r="QM1" s="42">
        <v>455</v>
      </c>
      <c r="QN1" s="42">
        <v>456</v>
      </c>
      <c r="QO1" s="42">
        <v>457</v>
      </c>
      <c r="QP1" s="42">
        <v>458</v>
      </c>
      <c r="QQ1" s="42">
        <v>459</v>
      </c>
      <c r="QR1" s="42">
        <v>460</v>
      </c>
      <c r="QS1" s="42">
        <v>461</v>
      </c>
      <c r="QT1" s="42">
        <v>462</v>
      </c>
      <c r="QU1" s="42">
        <v>463</v>
      </c>
      <c r="QV1" s="42">
        <v>464</v>
      </c>
      <c r="QW1" s="42">
        <v>465</v>
      </c>
      <c r="QX1" s="42">
        <v>466</v>
      </c>
      <c r="QY1" s="42">
        <v>467</v>
      </c>
      <c r="QZ1" s="42">
        <v>468</v>
      </c>
      <c r="RA1" s="42">
        <v>469</v>
      </c>
      <c r="RB1" s="42">
        <v>470</v>
      </c>
      <c r="RC1" s="42">
        <v>471</v>
      </c>
      <c r="RD1" s="42">
        <v>472</v>
      </c>
      <c r="RE1" s="42">
        <v>473</v>
      </c>
      <c r="RF1" s="42">
        <v>474</v>
      </c>
      <c r="RG1" s="42">
        <v>475</v>
      </c>
      <c r="RH1" s="42">
        <v>476</v>
      </c>
      <c r="RI1" s="42">
        <v>477</v>
      </c>
      <c r="RJ1" s="42">
        <v>478</v>
      </c>
      <c r="RK1" s="42">
        <v>479</v>
      </c>
      <c r="RL1" s="42">
        <v>480</v>
      </c>
      <c r="RM1" s="42">
        <v>481</v>
      </c>
      <c r="RN1" s="42">
        <v>482</v>
      </c>
      <c r="RO1" s="42">
        <v>483</v>
      </c>
      <c r="RP1" s="42">
        <v>484</v>
      </c>
      <c r="RQ1" s="42">
        <v>485</v>
      </c>
      <c r="RR1" s="42">
        <v>486</v>
      </c>
      <c r="RS1" s="42">
        <v>487</v>
      </c>
      <c r="RT1" s="42">
        <v>488</v>
      </c>
      <c r="RU1" s="42">
        <v>489</v>
      </c>
      <c r="RV1" s="42">
        <v>490</v>
      </c>
      <c r="RW1" s="42">
        <v>491</v>
      </c>
      <c r="RX1" s="42">
        <v>492</v>
      </c>
      <c r="RY1" s="42">
        <v>493</v>
      </c>
      <c r="RZ1" s="42">
        <v>494</v>
      </c>
      <c r="SA1" s="42">
        <v>495</v>
      </c>
      <c r="SB1" s="42">
        <v>496</v>
      </c>
      <c r="SC1" s="42">
        <v>497</v>
      </c>
      <c r="SD1" s="42">
        <v>498</v>
      </c>
      <c r="SE1" s="42">
        <v>499</v>
      </c>
      <c r="SF1" s="42">
        <v>500</v>
      </c>
      <c r="SG1" s="42">
        <v>501</v>
      </c>
    </row>
    <row r="2" spans="1:501" x14ac:dyDescent="0.3">
      <c r="A2" s="463" t="s">
        <v>84</v>
      </c>
      <c r="B2" s="462" t="s">
        <v>262</v>
      </c>
      <c r="C2" s="462"/>
      <c r="D2" s="462"/>
      <c r="E2" s="462"/>
      <c r="F2" s="462"/>
      <c r="G2" s="462"/>
      <c r="H2" s="462"/>
      <c r="I2" s="462"/>
      <c r="J2" s="462"/>
      <c r="K2" s="462"/>
      <c r="L2" s="461" t="s">
        <v>263</v>
      </c>
      <c r="M2" s="461"/>
      <c r="N2" s="461"/>
      <c r="O2" s="461"/>
      <c r="P2" s="461"/>
      <c r="Q2" s="461"/>
      <c r="R2" s="461"/>
      <c r="S2" s="461"/>
      <c r="T2" s="461"/>
      <c r="U2" s="461"/>
      <c r="V2" s="462" t="s">
        <v>264</v>
      </c>
      <c r="W2" s="462"/>
      <c r="X2" s="462"/>
      <c r="Y2" s="462"/>
      <c r="Z2" s="462"/>
      <c r="AA2" s="462"/>
      <c r="AB2" s="462"/>
      <c r="AC2" s="462"/>
      <c r="AD2" s="462"/>
      <c r="AE2" s="462"/>
      <c r="AF2" s="461" t="s">
        <v>265</v>
      </c>
      <c r="AG2" s="461"/>
      <c r="AH2" s="461"/>
      <c r="AI2" s="461"/>
      <c r="AJ2" s="461"/>
      <c r="AK2" s="461"/>
      <c r="AL2" s="461"/>
      <c r="AM2" s="461"/>
      <c r="AN2" s="461"/>
      <c r="AO2" s="461"/>
      <c r="AP2" s="462" t="s">
        <v>266</v>
      </c>
      <c r="AQ2" s="462"/>
      <c r="AR2" s="462"/>
      <c r="AS2" s="462"/>
      <c r="AT2" s="462"/>
      <c r="AU2" s="462"/>
      <c r="AV2" s="462"/>
      <c r="AW2" s="462"/>
      <c r="AX2" s="462"/>
      <c r="AY2" s="462"/>
      <c r="AZ2" s="461" t="s">
        <v>267</v>
      </c>
      <c r="BA2" s="461"/>
      <c r="BB2" s="461"/>
      <c r="BC2" s="461"/>
      <c r="BD2" s="461"/>
      <c r="BE2" s="461"/>
      <c r="BF2" s="461"/>
      <c r="BG2" s="461"/>
      <c r="BH2" s="461"/>
      <c r="BI2" s="461"/>
      <c r="BJ2" s="462" t="s">
        <v>268</v>
      </c>
      <c r="BK2" s="462"/>
      <c r="BL2" s="462"/>
      <c r="BM2" s="462"/>
      <c r="BN2" s="462"/>
      <c r="BO2" s="462"/>
      <c r="BP2" s="462"/>
      <c r="BQ2" s="462"/>
      <c r="BR2" s="462"/>
      <c r="BS2" s="462"/>
      <c r="BT2" s="461" t="s">
        <v>269</v>
      </c>
      <c r="BU2" s="461"/>
      <c r="BV2" s="461"/>
      <c r="BW2" s="461"/>
      <c r="BX2" s="461"/>
      <c r="BY2" s="461"/>
      <c r="BZ2" s="461"/>
      <c r="CA2" s="461"/>
      <c r="CB2" s="461"/>
      <c r="CC2" s="461"/>
      <c r="CD2" s="462" t="s">
        <v>270</v>
      </c>
      <c r="CE2" s="462"/>
      <c r="CF2" s="462"/>
      <c r="CG2" s="462"/>
      <c r="CH2" s="462"/>
      <c r="CI2" s="462"/>
      <c r="CJ2" s="462"/>
      <c r="CK2" s="462"/>
      <c r="CL2" s="462"/>
      <c r="CM2" s="462"/>
      <c r="CN2" s="461" t="s">
        <v>271</v>
      </c>
      <c r="CO2" s="461"/>
      <c r="CP2" s="461"/>
      <c r="CQ2" s="461"/>
      <c r="CR2" s="461"/>
      <c r="CS2" s="461"/>
      <c r="CT2" s="461"/>
      <c r="CU2" s="461"/>
      <c r="CV2" s="461"/>
      <c r="CW2" s="461"/>
      <c r="CX2" s="462" t="s">
        <v>272</v>
      </c>
      <c r="CY2" s="462"/>
      <c r="CZ2" s="462"/>
      <c r="DA2" s="462"/>
      <c r="DB2" s="462"/>
      <c r="DC2" s="462"/>
      <c r="DD2" s="462"/>
      <c r="DE2" s="462"/>
      <c r="DF2" s="462"/>
      <c r="DG2" s="462"/>
      <c r="DH2" s="461" t="s">
        <v>273</v>
      </c>
      <c r="DI2" s="461"/>
      <c r="DJ2" s="461"/>
      <c r="DK2" s="461"/>
      <c r="DL2" s="461"/>
      <c r="DM2" s="461"/>
      <c r="DN2" s="461"/>
      <c r="DO2" s="461"/>
      <c r="DP2" s="461"/>
      <c r="DQ2" s="461"/>
      <c r="DR2" s="462" t="s">
        <v>274</v>
      </c>
      <c r="DS2" s="462"/>
      <c r="DT2" s="462"/>
      <c r="DU2" s="462"/>
      <c r="DV2" s="462"/>
      <c r="DW2" s="462"/>
      <c r="DX2" s="462"/>
      <c r="DY2" s="462"/>
      <c r="DZ2" s="462"/>
      <c r="EA2" s="462"/>
      <c r="EB2" s="461" t="s">
        <v>275</v>
      </c>
      <c r="EC2" s="461"/>
      <c r="ED2" s="461"/>
      <c r="EE2" s="461"/>
      <c r="EF2" s="461"/>
      <c r="EG2" s="461"/>
      <c r="EH2" s="461"/>
      <c r="EI2" s="461"/>
      <c r="EJ2" s="461"/>
      <c r="EK2" s="461"/>
      <c r="EL2" s="462" t="s">
        <v>276</v>
      </c>
      <c r="EM2" s="462"/>
      <c r="EN2" s="462"/>
      <c r="EO2" s="462"/>
      <c r="EP2" s="462"/>
      <c r="EQ2" s="462"/>
      <c r="ER2" s="462"/>
      <c r="ES2" s="462"/>
      <c r="ET2" s="462"/>
      <c r="EU2" s="462"/>
      <c r="EV2" s="461" t="s">
        <v>277</v>
      </c>
      <c r="EW2" s="461"/>
      <c r="EX2" s="461"/>
      <c r="EY2" s="461"/>
      <c r="EZ2" s="461"/>
      <c r="FA2" s="461"/>
      <c r="FB2" s="461"/>
      <c r="FC2" s="461"/>
      <c r="FD2" s="461"/>
      <c r="FE2" s="461"/>
      <c r="FF2" s="462" t="s">
        <v>278</v>
      </c>
      <c r="FG2" s="462"/>
      <c r="FH2" s="462"/>
      <c r="FI2" s="462"/>
      <c r="FJ2" s="462"/>
      <c r="FK2" s="462"/>
      <c r="FL2" s="462"/>
      <c r="FM2" s="462"/>
      <c r="FN2" s="462"/>
      <c r="FO2" s="462"/>
      <c r="FP2" s="461" t="s">
        <v>279</v>
      </c>
      <c r="FQ2" s="461"/>
      <c r="FR2" s="461"/>
      <c r="FS2" s="461"/>
      <c r="FT2" s="461"/>
      <c r="FU2" s="461"/>
      <c r="FV2" s="461"/>
      <c r="FW2" s="461"/>
      <c r="FX2" s="461"/>
      <c r="FY2" s="461"/>
      <c r="FZ2" s="462" t="s">
        <v>280</v>
      </c>
      <c r="GA2" s="462"/>
      <c r="GB2" s="462"/>
      <c r="GC2" s="462"/>
      <c r="GD2" s="462"/>
      <c r="GE2" s="462"/>
      <c r="GF2" s="462"/>
      <c r="GG2" s="462"/>
      <c r="GH2" s="462"/>
      <c r="GI2" s="462"/>
      <c r="GJ2" s="461" t="s">
        <v>281</v>
      </c>
      <c r="GK2" s="461"/>
      <c r="GL2" s="461"/>
      <c r="GM2" s="461"/>
      <c r="GN2" s="461"/>
      <c r="GO2" s="461"/>
      <c r="GP2" s="461"/>
      <c r="GQ2" s="461"/>
      <c r="GR2" s="461"/>
      <c r="GS2" s="461"/>
      <c r="GT2" s="462" t="s">
        <v>282</v>
      </c>
      <c r="GU2" s="462"/>
      <c r="GV2" s="462"/>
      <c r="GW2" s="462"/>
      <c r="GX2" s="462"/>
      <c r="GY2" s="462"/>
      <c r="GZ2" s="462"/>
      <c r="HA2" s="462"/>
      <c r="HB2" s="462"/>
      <c r="HC2" s="462"/>
      <c r="HD2" s="461" t="s">
        <v>283</v>
      </c>
      <c r="HE2" s="461"/>
      <c r="HF2" s="461"/>
      <c r="HG2" s="461"/>
      <c r="HH2" s="461"/>
      <c r="HI2" s="461"/>
      <c r="HJ2" s="461"/>
      <c r="HK2" s="461"/>
      <c r="HL2" s="461"/>
      <c r="HM2" s="461"/>
      <c r="HN2" s="462" t="s">
        <v>284</v>
      </c>
      <c r="HO2" s="462"/>
      <c r="HP2" s="462"/>
      <c r="HQ2" s="462"/>
      <c r="HR2" s="462"/>
      <c r="HS2" s="462"/>
      <c r="HT2" s="462"/>
      <c r="HU2" s="462"/>
      <c r="HV2" s="462"/>
      <c r="HW2" s="462"/>
      <c r="HX2" s="461" t="s">
        <v>285</v>
      </c>
      <c r="HY2" s="461"/>
      <c r="HZ2" s="461"/>
      <c r="IA2" s="461"/>
      <c r="IB2" s="461"/>
      <c r="IC2" s="461"/>
      <c r="ID2" s="461"/>
      <c r="IE2" s="461"/>
      <c r="IF2" s="461"/>
      <c r="IG2" s="461"/>
      <c r="IH2" s="462" t="s">
        <v>286</v>
      </c>
      <c r="II2" s="462"/>
      <c r="IJ2" s="462"/>
      <c r="IK2" s="462"/>
      <c r="IL2" s="462"/>
      <c r="IM2" s="462"/>
      <c r="IN2" s="462"/>
      <c r="IO2" s="462"/>
      <c r="IP2" s="462"/>
      <c r="IQ2" s="462"/>
      <c r="IR2" s="461" t="s">
        <v>287</v>
      </c>
      <c r="IS2" s="461"/>
      <c r="IT2" s="461"/>
      <c r="IU2" s="461"/>
      <c r="IV2" s="461"/>
      <c r="IW2" s="461"/>
      <c r="IX2" s="461"/>
      <c r="IY2" s="461"/>
      <c r="IZ2" s="461"/>
      <c r="JA2" s="461"/>
      <c r="JB2" s="462" t="s">
        <v>288</v>
      </c>
      <c r="JC2" s="462"/>
      <c r="JD2" s="462"/>
      <c r="JE2" s="462"/>
      <c r="JF2" s="462"/>
      <c r="JG2" s="462"/>
      <c r="JH2" s="462"/>
      <c r="JI2" s="462"/>
      <c r="JJ2" s="462"/>
      <c r="JK2" s="462"/>
      <c r="JL2" s="461" t="s">
        <v>289</v>
      </c>
      <c r="JM2" s="461"/>
      <c r="JN2" s="461"/>
      <c r="JO2" s="461"/>
      <c r="JP2" s="461"/>
      <c r="JQ2" s="461"/>
      <c r="JR2" s="461"/>
      <c r="JS2" s="461"/>
      <c r="JT2" s="461"/>
      <c r="JU2" s="461"/>
      <c r="JV2" s="462" t="s">
        <v>290</v>
      </c>
      <c r="JW2" s="462"/>
      <c r="JX2" s="462"/>
      <c r="JY2" s="462"/>
      <c r="JZ2" s="462"/>
      <c r="KA2" s="462"/>
      <c r="KB2" s="462"/>
      <c r="KC2" s="462"/>
      <c r="KD2" s="462"/>
      <c r="KE2" s="462"/>
      <c r="KF2" s="461" t="s">
        <v>291</v>
      </c>
      <c r="KG2" s="461"/>
      <c r="KH2" s="461"/>
      <c r="KI2" s="461"/>
      <c r="KJ2" s="461"/>
      <c r="KK2" s="461"/>
      <c r="KL2" s="461"/>
      <c r="KM2" s="461"/>
      <c r="KN2" s="461"/>
      <c r="KO2" s="461"/>
      <c r="KP2" s="462" t="s">
        <v>292</v>
      </c>
      <c r="KQ2" s="462"/>
      <c r="KR2" s="462"/>
      <c r="KS2" s="462"/>
      <c r="KT2" s="462"/>
      <c r="KU2" s="462"/>
      <c r="KV2" s="462"/>
      <c r="KW2" s="462"/>
      <c r="KX2" s="462"/>
      <c r="KY2" s="462"/>
      <c r="KZ2" s="461" t="s">
        <v>293</v>
      </c>
      <c r="LA2" s="461"/>
      <c r="LB2" s="461"/>
      <c r="LC2" s="461"/>
      <c r="LD2" s="461"/>
      <c r="LE2" s="461"/>
      <c r="LF2" s="461"/>
      <c r="LG2" s="461"/>
      <c r="LH2" s="461"/>
      <c r="LI2" s="461"/>
      <c r="LJ2" s="462" t="s">
        <v>294</v>
      </c>
      <c r="LK2" s="462"/>
      <c r="LL2" s="462"/>
      <c r="LM2" s="462"/>
      <c r="LN2" s="462"/>
      <c r="LO2" s="462"/>
      <c r="LP2" s="462"/>
      <c r="LQ2" s="462"/>
      <c r="LR2" s="462"/>
      <c r="LS2" s="462"/>
      <c r="LT2" s="461" t="s">
        <v>295</v>
      </c>
      <c r="LU2" s="461"/>
      <c r="LV2" s="461"/>
      <c r="LW2" s="461"/>
      <c r="LX2" s="461"/>
      <c r="LY2" s="461"/>
      <c r="LZ2" s="461"/>
      <c r="MA2" s="461"/>
      <c r="MB2" s="461"/>
      <c r="MC2" s="461"/>
      <c r="MD2" s="462" t="s">
        <v>296</v>
      </c>
      <c r="ME2" s="462"/>
      <c r="MF2" s="462"/>
      <c r="MG2" s="462"/>
      <c r="MH2" s="462"/>
      <c r="MI2" s="462"/>
      <c r="MJ2" s="462"/>
      <c r="MK2" s="462"/>
      <c r="ML2" s="462"/>
      <c r="MM2" s="462"/>
      <c r="MN2" s="461" t="s">
        <v>297</v>
      </c>
      <c r="MO2" s="461"/>
      <c r="MP2" s="461"/>
      <c r="MQ2" s="461"/>
      <c r="MR2" s="461"/>
      <c r="MS2" s="461"/>
      <c r="MT2" s="461"/>
      <c r="MU2" s="461"/>
      <c r="MV2" s="461"/>
      <c r="MW2" s="461"/>
      <c r="MX2" s="462" t="s">
        <v>298</v>
      </c>
      <c r="MY2" s="462"/>
      <c r="MZ2" s="462"/>
      <c r="NA2" s="462"/>
      <c r="NB2" s="462"/>
      <c r="NC2" s="462"/>
      <c r="ND2" s="462"/>
      <c r="NE2" s="462"/>
      <c r="NF2" s="462"/>
      <c r="NG2" s="462"/>
      <c r="NH2" s="461" t="s">
        <v>299</v>
      </c>
      <c r="NI2" s="461"/>
      <c r="NJ2" s="461"/>
      <c r="NK2" s="461"/>
      <c r="NL2" s="461"/>
      <c r="NM2" s="461"/>
      <c r="NN2" s="461"/>
      <c r="NO2" s="461"/>
      <c r="NP2" s="461"/>
      <c r="NQ2" s="461"/>
      <c r="NR2" s="462" t="s">
        <v>300</v>
      </c>
      <c r="NS2" s="462"/>
      <c r="NT2" s="462"/>
      <c r="NU2" s="462"/>
      <c r="NV2" s="462"/>
      <c r="NW2" s="462"/>
      <c r="NX2" s="462"/>
      <c r="NY2" s="462"/>
      <c r="NZ2" s="462"/>
      <c r="OA2" s="462"/>
      <c r="OB2" s="461" t="s">
        <v>301</v>
      </c>
      <c r="OC2" s="461"/>
      <c r="OD2" s="461"/>
      <c r="OE2" s="461"/>
      <c r="OF2" s="461"/>
      <c r="OG2" s="461"/>
      <c r="OH2" s="461"/>
      <c r="OI2" s="461"/>
      <c r="OJ2" s="461"/>
      <c r="OK2" s="461"/>
      <c r="OL2" s="462" t="s">
        <v>302</v>
      </c>
      <c r="OM2" s="462"/>
      <c r="ON2" s="462"/>
      <c r="OO2" s="462"/>
      <c r="OP2" s="462"/>
      <c r="OQ2" s="462"/>
      <c r="OR2" s="462"/>
      <c r="OS2" s="462"/>
      <c r="OT2" s="462"/>
      <c r="OU2" s="462"/>
      <c r="OV2" s="461" t="s">
        <v>303</v>
      </c>
      <c r="OW2" s="461"/>
      <c r="OX2" s="461"/>
      <c r="OY2" s="461"/>
      <c r="OZ2" s="461"/>
      <c r="PA2" s="461"/>
      <c r="PB2" s="461"/>
      <c r="PC2" s="461"/>
      <c r="PD2" s="461"/>
      <c r="PE2" s="461"/>
      <c r="PF2" s="462" t="s">
        <v>304</v>
      </c>
      <c r="PG2" s="462"/>
      <c r="PH2" s="462"/>
      <c r="PI2" s="462"/>
      <c r="PJ2" s="462"/>
      <c r="PK2" s="462"/>
      <c r="PL2" s="462"/>
      <c r="PM2" s="462"/>
      <c r="PN2" s="462"/>
      <c r="PO2" s="462"/>
      <c r="PP2" s="461" t="s">
        <v>305</v>
      </c>
      <c r="PQ2" s="461"/>
      <c r="PR2" s="461"/>
      <c r="PS2" s="461"/>
      <c r="PT2" s="461"/>
      <c r="PU2" s="461"/>
      <c r="PV2" s="461"/>
      <c r="PW2" s="461"/>
      <c r="PX2" s="461"/>
      <c r="PY2" s="461"/>
      <c r="PZ2" s="462" t="s">
        <v>306</v>
      </c>
      <c r="QA2" s="462"/>
      <c r="QB2" s="462"/>
      <c r="QC2" s="462"/>
      <c r="QD2" s="462"/>
      <c r="QE2" s="462"/>
      <c r="QF2" s="462"/>
      <c r="QG2" s="462"/>
      <c r="QH2" s="462"/>
      <c r="QI2" s="462"/>
      <c r="QJ2" s="461" t="s">
        <v>307</v>
      </c>
      <c r="QK2" s="461"/>
      <c r="QL2" s="461"/>
      <c r="QM2" s="461"/>
      <c r="QN2" s="461"/>
      <c r="QO2" s="461"/>
      <c r="QP2" s="461"/>
      <c r="QQ2" s="461"/>
      <c r="QR2" s="461"/>
      <c r="QS2" s="461"/>
      <c r="QT2" s="462" t="s">
        <v>308</v>
      </c>
      <c r="QU2" s="462"/>
      <c r="QV2" s="462"/>
      <c r="QW2" s="462"/>
      <c r="QX2" s="462"/>
      <c r="QY2" s="462"/>
      <c r="QZ2" s="462"/>
      <c r="RA2" s="462"/>
      <c r="RB2" s="462"/>
      <c r="RC2" s="462"/>
      <c r="RD2" s="461" t="s">
        <v>309</v>
      </c>
      <c r="RE2" s="461"/>
      <c r="RF2" s="461"/>
      <c r="RG2" s="461"/>
      <c r="RH2" s="461"/>
      <c r="RI2" s="461"/>
      <c r="RJ2" s="461"/>
      <c r="RK2" s="461"/>
      <c r="RL2" s="461"/>
      <c r="RM2" s="461"/>
      <c r="RN2" s="462" t="s">
        <v>310</v>
      </c>
      <c r="RO2" s="462"/>
      <c r="RP2" s="462"/>
      <c r="RQ2" s="462"/>
      <c r="RR2" s="462"/>
      <c r="RS2" s="462"/>
      <c r="RT2" s="462"/>
      <c r="RU2" s="462"/>
      <c r="RV2" s="462"/>
      <c r="RW2" s="462"/>
      <c r="RX2" s="461" t="s">
        <v>311</v>
      </c>
      <c r="RY2" s="461"/>
      <c r="RZ2" s="461"/>
      <c r="SA2" s="461"/>
      <c r="SB2" s="461"/>
      <c r="SC2" s="461"/>
      <c r="SD2" s="461"/>
      <c r="SE2" s="461"/>
      <c r="SF2" s="461"/>
      <c r="SG2" s="461"/>
    </row>
    <row r="3" spans="1:501" s="87" customFormat="1" ht="85.2" customHeight="1" x14ac:dyDescent="0.3">
      <c r="A3" s="464"/>
      <c r="B3" s="6" t="s">
        <v>312</v>
      </c>
      <c r="C3" s="6" t="s">
        <v>16</v>
      </c>
      <c r="D3" s="6" t="s">
        <v>25</v>
      </c>
      <c r="E3" s="6" t="s">
        <v>18</v>
      </c>
      <c r="F3" s="6" t="s">
        <v>19</v>
      </c>
      <c r="G3" s="6" t="s">
        <v>20</v>
      </c>
      <c r="H3" s="6" t="s">
        <v>21</v>
      </c>
      <c r="I3" s="6" t="s">
        <v>17</v>
      </c>
      <c r="J3" s="6" t="s">
        <v>22</v>
      </c>
      <c r="K3" s="6"/>
      <c r="L3" s="76" t="s">
        <v>312</v>
      </c>
      <c r="M3" s="76" t="s">
        <v>16</v>
      </c>
      <c r="N3" s="76" t="s">
        <v>25</v>
      </c>
      <c r="O3" s="76" t="s">
        <v>18</v>
      </c>
      <c r="P3" s="76" t="s">
        <v>19</v>
      </c>
      <c r="Q3" s="76" t="s">
        <v>20</v>
      </c>
      <c r="R3" s="76" t="s">
        <v>21</v>
      </c>
      <c r="S3" s="76" t="s">
        <v>17</v>
      </c>
      <c r="T3" s="76" t="s">
        <v>22</v>
      </c>
      <c r="U3" s="76"/>
      <c r="V3" s="6" t="s">
        <v>312</v>
      </c>
      <c r="W3" s="6" t="s">
        <v>16</v>
      </c>
      <c r="X3" s="6" t="s">
        <v>25</v>
      </c>
      <c r="Y3" s="6" t="s">
        <v>18</v>
      </c>
      <c r="Z3" s="6" t="s">
        <v>19</v>
      </c>
      <c r="AA3" s="6" t="s">
        <v>20</v>
      </c>
      <c r="AB3" s="6" t="s">
        <v>21</v>
      </c>
      <c r="AC3" s="6" t="s">
        <v>17</v>
      </c>
      <c r="AD3" s="6" t="s">
        <v>22</v>
      </c>
      <c r="AE3" s="6"/>
      <c r="AF3" s="76" t="s">
        <v>312</v>
      </c>
      <c r="AG3" s="76" t="s">
        <v>16</v>
      </c>
      <c r="AH3" s="76" t="s">
        <v>25</v>
      </c>
      <c r="AI3" s="76" t="s">
        <v>18</v>
      </c>
      <c r="AJ3" s="76" t="s">
        <v>19</v>
      </c>
      <c r="AK3" s="76" t="s">
        <v>20</v>
      </c>
      <c r="AL3" s="76" t="s">
        <v>21</v>
      </c>
      <c r="AM3" s="76" t="s">
        <v>17</v>
      </c>
      <c r="AN3" s="76" t="s">
        <v>22</v>
      </c>
      <c r="AO3" s="76"/>
      <c r="AP3" s="6" t="s">
        <v>312</v>
      </c>
      <c r="AQ3" s="6" t="s">
        <v>16</v>
      </c>
      <c r="AR3" s="6" t="s">
        <v>25</v>
      </c>
      <c r="AS3" s="6" t="s">
        <v>18</v>
      </c>
      <c r="AT3" s="6" t="s">
        <v>19</v>
      </c>
      <c r="AU3" s="6" t="s">
        <v>20</v>
      </c>
      <c r="AV3" s="6" t="s">
        <v>21</v>
      </c>
      <c r="AW3" s="6" t="s">
        <v>17</v>
      </c>
      <c r="AX3" s="6" t="s">
        <v>22</v>
      </c>
      <c r="AY3" s="6"/>
      <c r="AZ3" s="76" t="s">
        <v>312</v>
      </c>
      <c r="BA3" s="76" t="s">
        <v>16</v>
      </c>
      <c r="BB3" s="76" t="s">
        <v>25</v>
      </c>
      <c r="BC3" s="76" t="s">
        <v>18</v>
      </c>
      <c r="BD3" s="76" t="s">
        <v>19</v>
      </c>
      <c r="BE3" s="76" t="s">
        <v>20</v>
      </c>
      <c r="BF3" s="76" t="s">
        <v>21</v>
      </c>
      <c r="BG3" s="76" t="s">
        <v>17</v>
      </c>
      <c r="BH3" s="76" t="s">
        <v>22</v>
      </c>
      <c r="BI3" s="76"/>
      <c r="BJ3" s="6" t="s">
        <v>312</v>
      </c>
      <c r="BK3" s="6" t="s">
        <v>16</v>
      </c>
      <c r="BL3" s="6" t="s">
        <v>25</v>
      </c>
      <c r="BM3" s="6" t="s">
        <v>18</v>
      </c>
      <c r="BN3" s="6" t="s">
        <v>19</v>
      </c>
      <c r="BO3" s="6" t="s">
        <v>20</v>
      </c>
      <c r="BP3" s="6" t="s">
        <v>21</v>
      </c>
      <c r="BQ3" s="6" t="s">
        <v>17</v>
      </c>
      <c r="BR3" s="6" t="s">
        <v>22</v>
      </c>
      <c r="BS3" s="6"/>
      <c r="BT3" s="76" t="s">
        <v>312</v>
      </c>
      <c r="BU3" s="76" t="s">
        <v>16</v>
      </c>
      <c r="BV3" s="76" t="s">
        <v>25</v>
      </c>
      <c r="BW3" s="76" t="s">
        <v>18</v>
      </c>
      <c r="BX3" s="76" t="s">
        <v>19</v>
      </c>
      <c r="BY3" s="76" t="s">
        <v>20</v>
      </c>
      <c r="BZ3" s="76" t="s">
        <v>21</v>
      </c>
      <c r="CA3" s="76" t="s">
        <v>17</v>
      </c>
      <c r="CB3" s="76" t="s">
        <v>22</v>
      </c>
      <c r="CC3" s="76"/>
      <c r="CD3" s="6" t="s">
        <v>312</v>
      </c>
      <c r="CE3" s="6" t="s">
        <v>16</v>
      </c>
      <c r="CF3" s="6" t="s">
        <v>25</v>
      </c>
      <c r="CG3" s="6" t="s">
        <v>18</v>
      </c>
      <c r="CH3" s="6" t="s">
        <v>19</v>
      </c>
      <c r="CI3" s="6" t="s">
        <v>20</v>
      </c>
      <c r="CJ3" s="6" t="s">
        <v>21</v>
      </c>
      <c r="CK3" s="6" t="s">
        <v>17</v>
      </c>
      <c r="CL3" s="6" t="s">
        <v>22</v>
      </c>
      <c r="CM3" s="6"/>
      <c r="CN3" s="76" t="s">
        <v>312</v>
      </c>
      <c r="CO3" s="76" t="s">
        <v>16</v>
      </c>
      <c r="CP3" s="76" t="s">
        <v>25</v>
      </c>
      <c r="CQ3" s="76" t="s">
        <v>18</v>
      </c>
      <c r="CR3" s="76" t="s">
        <v>19</v>
      </c>
      <c r="CS3" s="76" t="s">
        <v>20</v>
      </c>
      <c r="CT3" s="76" t="s">
        <v>21</v>
      </c>
      <c r="CU3" s="76" t="s">
        <v>17</v>
      </c>
      <c r="CV3" s="76" t="s">
        <v>22</v>
      </c>
      <c r="CW3" s="76"/>
      <c r="CX3" s="6" t="s">
        <v>312</v>
      </c>
      <c r="CY3" s="6" t="s">
        <v>16</v>
      </c>
      <c r="CZ3" s="6" t="s">
        <v>25</v>
      </c>
      <c r="DA3" s="6" t="s">
        <v>18</v>
      </c>
      <c r="DB3" s="6" t="s">
        <v>19</v>
      </c>
      <c r="DC3" s="6" t="s">
        <v>20</v>
      </c>
      <c r="DD3" s="6" t="s">
        <v>21</v>
      </c>
      <c r="DE3" s="6" t="s">
        <v>17</v>
      </c>
      <c r="DF3" s="6" t="s">
        <v>22</v>
      </c>
      <c r="DG3" s="6"/>
      <c r="DH3" s="76" t="s">
        <v>312</v>
      </c>
      <c r="DI3" s="76" t="s">
        <v>16</v>
      </c>
      <c r="DJ3" s="76" t="s">
        <v>25</v>
      </c>
      <c r="DK3" s="76" t="s">
        <v>18</v>
      </c>
      <c r="DL3" s="76" t="s">
        <v>19</v>
      </c>
      <c r="DM3" s="76" t="s">
        <v>20</v>
      </c>
      <c r="DN3" s="76" t="s">
        <v>21</v>
      </c>
      <c r="DO3" s="76" t="s">
        <v>17</v>
      </c>
      <c r="DP3" s="76" t="s">
        <v>22</v>
      </c>
      <c r="DQ3" s="76"/>
      <c r="DR3" s="6" t="s">
        <v>312</v>
      </c>
      <c r="DS3" s="6" t="s">
        <v>16</v>
      </c>
      <c r="DT3" s="6" t="s">
        <v>25</v>
      </c>
      <c r="DU3" s="6" t="s">
        <v>18</v>
      </c>
      <c r="DV3" s="6" t="s">
        <v>19</v>
      </c>
      <c r="DW3" s="6" t="s">
        <v>20</v>
      </c>
      <c r="DX3" s="6" t="s">
        <v>21</v>
      </c>
      <c r="DY3" s="6" t="s">
        <v>17</v>
      </c>
      <c r="DZ3" s="6" t="s">
        <v>22</v>
      </c>
      <c r="EA3" s="6"/>
      <c r="EB3" s="76" t="s">
        <v>312</v>
      </c>
      <c r="EC3" s="76" t="s">
        <v>16</v>
      </c>
      <c r="ED3" s="76" t="s">
        <v>25</v>
      </c>
      <c r="EE3" s="76" t="s">
        <v>18</v>
      </c>
      <c r="EF3" s="76" t="s">
        <v>19</v>
      </c>
      <c r="EG3" s="76" t="s">
        <v>20</v>
      </c>
      <c r="EH3" s="76" t="s">
        <v>21</v>
      </c>
      <c r="EI3" s="76" t="s">
        <v>17</v>
      </c>
      <c r="EJ3" s="76" t="s">
        <v>22</v>
      </c>
      <c r="EK3" s="76"/>
      <c r="EL3" s="6" t="s">
        <v>312</v>
      </c>
      <c r="EM3" s="6" t="s">
        <v>16</v>
      </c>
      <c r="EN3" s="6" t="s">
        <v>25</v>
      </c>
      <c r="EO3" s="6" t="s">
        <v>18</v>
      </c>
      <c r="EP3" s="6" t="s">
        <v>19</v>
      </c>
      <c r="EQ3" s="6" t="s">
        <v>20</v>
      </c>
      <c r="ER3" s="6" t="s">
        <v>21</v>
      </c>
      <c r="ES3" s="6" t="s">
        <v>17</v>
      </c>
      <c r="ET3" s="6" t="s">
        <v>22</v>
      </c>
      <c r="EU3" s="6"/>
      <c r="EV3" s="76" t="s">
        <v>312</v>
      </c>
      <c r="EW3" s="76" t="s">
        <v>16</v>
      </c>
      <c r="EX3" s="76" t="s">
        <v>25</v>
      </c>
      <c r="EY3" s="76" t="s">
        <v>18</v>
      </c>
      <c r="EZ3" s="76" t="s">
        <v>19</v>
      </c>
      <c r="FA3" s="76" t="s">
        <v>20</v>
      </c>
      <c r="FB3" s="76" t="s">
        <v>21</v>
      </c>
      <c r="FC3" s="76" t="s">
        <v>17</v>
      </c>
      <c r="FD3" s="76" t="s">
        <v>22</v>
      </c>
      <c r="FE3" s="76"/>
      <c r="FF3" s="6" t="s">
        <v>312</v>
      </c>
      <c r="FG3" s="6" t="s">
        <v>16</v>
      </c>
      <c r="FH3" s="6" t="s">
        <v>25</v>
      </c>
      <c r="FI3" s="6" t="s">
        <v>18</v>
      </c>
      <c r="FJ3" s="6" t="s">
        <v>19</v>
      </c>
      <c r="FK3" s="6" t="s">
        <v>20</v>
      </c>
      <c r="FL3" s="6" t="s">
        <v>21</v>
      </c>
      <c r="FM3" s="6" t="s">
        <v>17</v>
      </c>
      <c r="FN3" s="6" t="s">
        <v>22</v>
      </c>
      <c r="FO3" s="6"/>
      <c r="FP3" s="76" t="s">
        <v>312</v>
      </c>
      <c r="FQ3" s="76" t="s">
        <v>16</v>
      </c>
      <c r="FR3" s="76" t="s">
        <v>25</v>
      </c>
      <c r="FS3" s="76" t="s">
        <v>18</v>
      </c>
      <c r="FT3" s="76" t="s">
        <v>19</v>
      </c>
      <c r="FU3" s="76" t="s">
        <v>20</v>
      </c>
      <c r="FV3" s="76" t="s">
        <v>21</v>
      </c>
      <c r="FW3" s="76" t="s">
        <v>17</v>
      </c>
      <c r="FX3" s="76" t="s">
        <v>22</v>
      </c>
      <c r="FY3" s="76"/>
      <c r="FZ3" s="6" t="s">
        <v>312</v>
      </c>
      <c r="GA3" s="6" t="s">
        <v>16</v>
      </c>
      <c r="GB3" s="6" t="s">
        <v>25</v>
      </c>
      <c r="GC3" s="6" t="s">
        <v>18</v>
      </c>
      <c r="GD3" s="6" t="s">
        <v>19</v>
      </c>
      <c r="GE3" s="6" t="s">
        <v>20</v>
      </c>
      <c r="GF3" s="6" t="s">
        <v>21</v>
      </c>
      <c r="GG3" s="6" t="s">
        <v>17</v>
      </c>
      <c r="GH3" s="6" t="s">
        <v>22</v>
      </c>
      <c r="GI3" s="6"/>
      <c r="GJ3" s="76" t="s">
        <v>312</v>
      </c>
      <c r="GK3" s="76" t="s">
        <v>16</v>
      </c>
      <c r="GL3" s="76" t="s">
        <v>25</v>
      </c>
      <c r="GM3" s="76" t="s">
        <v>18</v>
      </c>
      <c r="GN3" s="76" t="s">
        <v>19</v>
      </c>
      <c r="GO3" s="76" t="s">
        <v>20</v>
      </c>
      <c r="GP3" s="76" t="s">
        <v>21</v>
      </c>
      <c r="GQ3" s="76" t="s">
        <v>17</v>
      </c>
      <c r="GR3" s="76" t="s">
        <v>22</v>
      </c>
      <c r="GS3" s="76"/>
      <c r="GT3" s="6" t="s">
        <v>312</v>
      </c>
      <c r="GU3" s="6" t="s">
        <v>16</v>
      </c>
      <c r="GV3" s="6" t="s">
        <v>25</v>
      </c>
      <c r="GW3" s="6" t="s">
        <v>18</v>
      </c>
      <c r="GX3" s="6" t="s">
        <v>19</v>
      </c>
      <c r="GY3" s="6" t="s">
        <v>20</v>
      </c>
      <c r="GZ3" s="6" t="s">
        <v>21</v>
      </c>
      <c r="HA3" s="6" t="s">
        <v>17</v>
      </c>
      <c r="HB3" s="6" t="s">
        <v>22</v>
      </c>
      <c r="HC3" s="6"/>
      <c r="HD3" s="76" t="s">
        <v>312</v>
      </c>
      <c r="HE3" s="76" t="s">
        <v>16</v>
      </c>
      <c r="HF3" s="76" t="s">
        <v>25</v>
      </c>
      <c r="HG3" s="76" t="s">
        <v>18</v>
      </c>
      <c r="HH3" s="76" t="s">
        <v>19</v>
      </c>
      <c r="HI3" s="76" t="s">
        <v>20</v>
      </c>
      <c r="HJ3" s="76" t="s">
        <v>21</v>
      </c>
      <c r="HK3" s="76" t="s">
        <v>17</v>
      </c>
      <c r="HL3" s="76" t="s">
        <v>22</v>
      </c>
      <c r="HM3" s="76"/>
      <c r="HN3" s="6" t="s">
        <v>312</v>
      </c>
      <c r="HO3" s="6" t="s">
        <v>16</v>
      </c>
      <c r="HP3" s="6" t="s">
        <v>25</v>
      </c>
      <c r="HQ3" s="6" t="s">
        <v>18</v>
      </c>
      <c r="HR3" s="6" t="s">
        <v>19</v>
      </c>
      <c r="HS3" s="6" t="s">
        <v>20</v>
      </c>
      <c r="HT3" s="6" t="s">
        <v>21</v>
      </c>
      <c r="HU3" s="6" t="s">
        <v>17</v>
      </c>
      <c r="HV3" s="6" t="s">
        <v>22</v>
      </c>
      <c r="HW3" s="6"/>
      <c r="HX3" s="76" t="s">
        <v>312</v>
      </c>
      <c r="HY3" s="76" t="s">
        <v>16</v>
      </c>
      <c r="HZ3" s="76" t="s">
        <v>25</v>
      </c>
      <c r="IA3" s="76" t="s">
        <v>18</v>
      </c>
      <c r="IB3" s="76" t="s">
        <v>19</v>
      </c>
      <c r="IC3" s="76" t="s">
        <v>20</v>
      </c>
      <c r="ID3" s="76" t="s">
        <v>21</v>
      </c>
      <c r="IE3" s="76" t="s">
        <v>17</v>
      </c>
      <c r="IF3" s="76" t="s">
        <v>22</v>
      </c>
      <c r="IG3" s="76"/>
      <c r="IH3" s="6" t="s">
        <v>312</v>
      </c>
      <c r="II3" s="6" t="s">
        <v>16</v>
      </c>
      <c r="IJ3" s="6" t="s">
        <v>25</v>
      </c>
      <c r="IK3" s="6" t="s">
        <v>18</v>
      </c>
      <c r="IL3" s="6" t="s">
        <v>19</v>
      </c>
      <c r="IM3" s="6" t="s">
        <v>20</v>
      </c>
      <c r="IN3" s="6" t="s">
        <v>21</v>
      </c>
      <c r="IO3" s="6" t="s">
        <v>17</v>
      </c>
      <c r="IP3" s="6" t="s">
        <v>22</v>
      </c>
      <c r="IQ3" s="6"/>
      <c r="IR3" s="76" t="s">
        <v>312</v>
      </c>
      <c r="IS3" s="76" t="s">
        <v>16</v>
      </c>
      <c r="IT3" s="76" t="s">
        <v>25</v>
      </c>
      <c r="IU3" s="76" t="s">
        <v>18</v>
      </c>
      <c r="IV3" s="76" t="s">
        <v>19</v>
      </c>
      <c r="IW3" s="76" t="s">
        <v>20</v>
      </c>
      <c r="IX3" s="76" t="s">
        <v>21</v>
      </c>
      <c r="IY3" s="76" t="s">
        <v>17</v>
      </c>
      <c r="IZ3" s="76" t="s">
        <v>22</v>
      </c>
      <c r="JA3" s="76"/>
      <c r="JB3" s="6" t="s">
        <v>312</v>
      </c>
      <c r="JC3" s="6" t="s">
        <v>16</v>
      </c>
      <c r="JD3" s="6" t="s">
        <v>25</v>
      </c>
      <c r="JE3" s="6" t="s">
        <v>18</v>
      </c>
      <c r="JF3" s="6" t="s">
        <v>19</v>
      </c>
      <c r="JG3" s="6" t="s">
        <v>20</v>
      </c>
      <c r="JH3" s="6" t="s">
        <v>21</v>
      </c>
      <c r="JI3" s="6" t="s">
        <v>17</v>
      </c>
      <c r="JJ3" s="6" t="s">
        <v>22</v>
      </c>
      <c r="JK3" s="6"/>
      <c r="JL3" s="76" t="s">
        <v>312</v>
      </c>
      <c r="JM3" s="76" t="s">
        <v>16</v>
      </c>
      <c r="JN3" s="76" t="s">
        <v>25</v>
      </c>
      <c r="JO3" s="76" t="s">
        <v>18</v>
      </c>
      <c r="JP3" s="76" t="s">
        <v>19</v>
      </c>
      <c r="JQ3" s="76" t="s">
        <v>20</v>
      </c>
      <c r="JR3" s="76" t="s">
        <v>21</v>
      </c>
      <c r="JS3" s="76" t="s">
        <v>17</v>
      </c>
      <c r="JT3" s="76" t="s">
        <v>22</v>
      </c>
      <c r="JU3" s="76"/>
      <c r="JV3" s="6" t="s">
        <v>312</v>
      </c>
      <c r="JW3" s="6" t="s">
        <v>16</v>
      </c>
      <c r="JX3" s="6" t="s">
        <v>25</v>
      </c>
      <c r="JY3" s="6" t="s">
        <v>18</v>
      </c>
      <c r="JZ3" s="6" t="s">
        <v>19</v>
      </c>
      <c r="KA3" s="6" t="s">
        <v>20</v>
      </c>
      <c r="KB3" s="6" t="s">
        <v>21</v>
      </c>
      <c r="KC3" s="6" t="s">
        <v>17</v>
      </c>
      <c r="KD3" s="6" t="s">
        <v>22</v>
      </c>
      <c r="KE3" s="6"/>
      <c r="KF3" s="76" t="s">
        <v>312</v>
      </c>
      <c r="KG3" s="76" t="s">
        <v>16</v>
      </c>
      <c r="KH3" s="76" t="s">
        <v>25</v>
      </c>
      <c r="KI3" s="76" t="s">
        <v>18</v>
      </c>
      <c r="KJ3" s="76" t="s">
        <v>19</v>
      </c>
      <c r="KK3" s="76" t="s">
        <v>20</v>
      </c>
      <c r="KL3" s="76" t="s">
        <v>21</v>
      </c>
      <c r="KM3" s="76" t="s">
        <v>17</v>
      </c>
      <c r="KN3" s="76" t="s">
        <v>22</v>
      </c>
      <c r="KO3" s="76"/>
      <c r="KP3" s="6" t="s">
        <v>312</v>
      </c>
      <c r="KQ3" s="6" t="s">
        <v>16</v>
      </c>
      <c r="KR3" s="6" t="s">
        <v>25</v>
      </c>
      <c r="KS3" s="6" t="s">
        <v>18</v>
      </c>
      <c r="KT3" s="6" t="s">
        <v>19</v>
      </c>
      <c r="KU3" s="6" t="s">
        <v>20</v>
      </c>
      <c r="KV3" s="6" t="s">
        <v>21</v>
      </c>
      <c r="KW3" s="6" t="s">
        <v>17</v>
      </c>
      <c r="KX3" s="6" t="s">
        <v>22</v>
      </c>
      <c r="KY3" s="6"/>
      <c r="KZ3" s="76" t="s">
        <v>312</v>
      </c>
      <c r="LA3" s="76" t="s">
        <v>16</v>
      </c>
      <c r="LB3" s="76" t="s">
        <v>25</v>
      </c>
      <c r="LC3" s="76" t="s">
        <v>18</v>
      </c>
      <c r="LD3" s="76" t="s">
        <v>19</v>
      </c>
      <c r="LE3" s="76" t="s">
        <v>20</v>
      </c>
      <c r="LF3" s="76" t="s">
        <v>21</v>
      </c>
      <c r="LG3" s="76" t="s">
        <v>17</v>
      </c>
      <c r="LH3" s="76" t="s">
        <v>22</v>
      </c>
      <c r="LI3" s="76"/>
      <c r="LJ3" s="6" t="s">
        <v>312</v>
      </c>
      <c r="LK3" s="6" t="s">
        <v>16</v>
      </c>
      <c r="LL3" s="6" t="s">
        <v>25</v>
      </c>
      <c r="LM3" s="6" t="s">
        <v>18</v>
      </c>
      <c r="LN3" s="6" t="s">
        <v>19</v>
      </c>
      <c r="LO3" s="6" t="s">
        <v>20</v>
      </c>
      <c r="LP3" s="6" t="s">
        <v>21</v>
      </c>
      <c r="LQ3" s="6" t="s">
        <v>17</v>
      </c>
      <c r="LR3" s="6" t="s">
        <v>22</v>
      </c>
      <c r="LS3" s="6"/>
      <c r="LT3" s="76" t="s">
        <v>312</v>
      </c>
      <c r="LU3" s="76" t="s">
        <v>16</v>
      </c>
      <c r="LV3" s="76" t="s">
        <v>25</v>
      </c>
      <c r="LW3" s="76" t="s">
        <v>18</v>
      </c>
      <c r="LX3" s="76" t="s">
        <v>19</v>
      </c>
      <c r="LY3" s="76" t="s">
        <v>20</v>
      </c>
      <c r="LZ3" s="76" t="s">
        <v>21</v>
      </c>
      <c r="MA3" s="76" t="s">
        <v>17</v>
      </c>
      <c r="MB3" s="76" t="s">
        <v>22</v>
      </c>
      <c r="MC3" s="76"/>
      <c r="MD3" s="6" t="s">
        <v>312</v>
      </c>
      <c r="ME3" s="6" t="s">
        <v>16</v>
      </c>
      <c r="MF3" s="6" t="s">
        <v>25</v>
      </c>
      <c r="MG3" s="6" t="s">
        <v>18</v>
      </c>
      <c r="MH3" s="6" t="s">
        <v>19</v>
      </c>
      <c r="MI3" s="6" t="s">
        <v>20</v>
      </c>
      <c r="MJ3" s="6" t="s">
        <v>21</v>
      </c>
      <c r="MK3" s="6" t="s">
        <v>17</v>
      </c>
      <c r="ML3" s="6" t="s">
        <v>22</v>
      </c>
      <c r="MM3" s="6"/>
      <c r="MN3" s="76" t="s">
        <v>312</v>
      </c>
      <c r="MO3" s="76" t="s">
        <v>16</v>
      </c>
      <c r="MP3" s="76" t="s">
        <v>25</v>
      </c>
      <c r="MQ3" s="76" t="s">
        <v>18</v>
      </c>
      <c r="MR3" s="76" t="s">
        <v>19</v>
      </c>
      <c r="MS3" s="76" t="s">
        <v>20</v>
      </c>
      <c r="MT3" s="76" t="s">
        <v>21</v>
      </c>
      <c r="MU3" s="76" t="s">
        <v>17</v>
      </c>
      <c r="MV3" s="76" t="s">
        <v>22</v>
      </c>
      <c r="MW3" s="76"/>
      <c r="MX3" s="6" t="s">
        <v>312</v>
      </c>
      <c r="MY3" s="6" t="s">
        <v>16</v>
      </c>
      <c r="MZ3" s="6" t="s">
        <v>25</v>
      </c>
      <c r="NA3" s="6" t="s">
        <v>18</v>
      </c>
      <c r="NB3" s="6" t="s">
        <v>19</v>
      </c>
      <c r="NC3" s="6" t="s">
        <v>20</v>
      </c>
      <c r="ND3" s="6" t="s">
        <v>21</v>
      </c>
      <c r="NE3" s="6" t="s">
        <v>17</v>
      </c>
      <c r="NF3" s="6" t="s">
        <v>22</v>
      </c>
      <c r="NG3" s="6"/>
      <c r="NH3" s="76" t="s">
        <v>312</v>
      </c>
      <c r="NI3" s="76" t="s">
        <v>16</v>
      </c>
      <c r="NJ3" s="76" t="s">
        <v>25</v>
      </c>
      <c r="NK3" s="76" t="s">
        <v>18</v>
      </c>
      <c r="NL3" s="76" t="s">
        <v>19</v>
      </c>
      <c r="NM3" s="76" t="s">
        <v>20</v>
      </c>
      <c r="NN3" s="76" t="s">
        <v>21</v>
      </c>
      <c r="NO3" s="76" t="s">
        <v>17</v>
      </c>
      <c r="NP3" s="76" t="s">
        <v>22</v>
      </c>
      <c r="NQ3" s="76"/>
      <c r="NR3" s="6" t="s">
        <v>312</v>
      </c>
      <c r="NS3" s="6" t="s">
        <v>16</v>
      </c>
      <c r="NT3" s="6" t="s">
        <v>25</v>
      </c>
      <c r="NU3" s="6" t="s">
        <v>18</v>
      </c>
      <c r="NV3" s="6" t="s">
        <v>19</v>
      </c>
      <c r="NW3" s="6" t="s">
        <v>20</v>
      </c>
      <c r="NX3" s="6" t="s">
        <v>21</v>
      </c>
      <c r="NY3" s="6" t="s">
        <v>17</v>
      </c>
      <c r="NZ3" s="6" t="s">
        <v>22</v>
      </c>
      <c r="OA3" s="6"/>
      <c r="OB3" s="76" t="s">
        <v>312</v>
      </c>
      <c r="OC3" s="76" t="s">
        <v>16</v>
      </c>
      <c r="OD3" s="76" t="s">
        <v>25</v>
      </c>
      <c r="OE3" s="76" t="s">
        <v>18</v>
      </c>
      <c r="OF3" s="76" t="s">
        <v>19</v>
      </c>
      <c r="OG3" s="76" t="s">
        <v>20</v>
      </c>
      <c r="OH3" s="76" t="s">
        <v>21</v>
      </c>
      <c r="OI3" s="76" t="s">
        <v>17</v>
      </c>
      <c r="OJ3" s="76" t="s">
        <v>22</v>
      </c>
      <c r="OK3" s="76"/>
      <c r="OL3" s="6" t="s">
        <v>312</v>
      </c>
      <c r="OM3" s="6" t="s">
        <v>16</v>
      </c>
      <c r="ON3" s="6" t="s">
        <v>25</v>
      </c>
      <c r="OO3" s="6" t="s">
        <v>18</v>
      </c>
      <c r="OP3" s="6" t="s">
        <v>19</v>
      </c>
      <c r="OQ3" s="6" t="s">
        <v>20</v>
      </c>
      <c r="OR3" s="6" t="s">
        <v>21</v>
      </c>
      <c r="OS3" s="6" t="s">
        <v>17</v>
      </c>
      <c r="OT3" s="6" t="s">
        <v>22</v>
      </c>
      <c r="OU3" s="6"/>
      <c r="OV3" s="76" t="s">
        <v>312</v>
      </c>
      <c r="OW3" s="76" t="s">
        <v>16</v>
      </c>
      <c r="OX3" s="76" t="s">
        <v>25</v>
      </c>
      <c r="OY3" s="76" t="s">
        <v>18</v>
      </c>
      <c r="OZ3" s="76" t="s">
        <v>19</v>
      </c>
      <c r="PA3" s="76" t="s">
        <v>20</v>
      </c>
      <c r="PB3" s="76" t="s">
        <v>21</v>
      </c>
      <c r="PC3" s="76" t="s">
        <v>17</v>
      </c>
      <c r="PD3" s="76" t="s">
        <v>22</v>
      </c>
      <c r="PE3" s="76"/>
      <c r="PF3" s="6" t="s">
        <v>312</v>
      </c>
      <c r="PG3" s="6" t="s">
        <v>16</v>
      </c>
      <c r="PH3" s="6" t="s">
        <v>25</v>
      </c>
      <c r="PI3" s="6" t="s">
        <v>18</v>
      </c>
      <c r="PJ3" s="6" t="s">
        <v>19</v>
      </c>
      <c r="PK3" s="6" t="s">
        <v>20</v>
      </c>
      <c r="PL3" s="6" t="s">
        <v>21</v>
      </c>
      <c r="PM3" s="6" t="s">
        <v>17</v>
      </c>
      <c r="PN3" s="6" t="s">
        <v>22</v>
      </c>
      <c r="PO3" s="6"/>
      <c r="PP3" s="76" t="s">
        <v>312</v>
      </c>
      <c r="PQ3" s="76" t="s">
        <v>16</v>
      </c>
      <c r="PR3" s="76" t="s">
        <v>25</v>
      </c>
      <c r="PS3" s="76" t="s">
        <v>18</v>
      </c>
      <c r="PT3" s="76" t="s">
        <v>19</v>
      </c>
      <c r="PU3" s="76" t="s">
        <v>20</v>
      </c>
      <c r="PV3" s="76" t="s">
        <v>21</v>
      </c>
      <c r="PW3" s="76" t="s">
        <v>17</v>
      </c>
      <c r="PX3" s="76" t="s">
        <v>22</v>
      </c>
      <c r="PY3" s="76"/>
      <c r="PZ3" s="6" t="s">
        <v>312</v>
      </c>
      <c r="QA3" s="6" t="s">
        <v>16</v>
      </c>
      <c r="QB3" s="6" t="s">
        <v>25</v>
      </c>
      <c r="QC3" s="6" t="s">
        <v>18</v>
      </c>
      <c r="QD3" s="6" t="s">
        <v>19</v>
      </c>
      <c r="QE3" s="6" t="s">
        <v>20</v>
      </c>
      <c r="QF3" s="6" t="s">
        <v>21</v>
      </c>
      <c r="QG3" s="6" t="s">
        <v>17</v>
      </c>
      <c r="QH3" s="6" t="s">
        <v>22</v>
      </c>
      <c r="QI3" s="6"/>
      <c r="QJ3" s="76" t="s">
        <v>312</v>
      </c>
      <c r="QK3" s="76" t="s">
        <v>16</v>
      </c>
      <c r="QL3" s="76" t="s">
        <v>25</v>
      </c>
      <c r="QM3" s="76" t="s">
        <v>18</v>
      </c>
      <c r="QN3" s="76" t="s">
        <v>19</v>
      </c>
      <c r="QO3" s="76" t="s">
        <v>20</v>
      </c>
      <c r="QP3" s="76" t="s">
        <v>21</v>
      </c>
      <c r="QQ3" s="76" t="s">
        <v>17</v>
      </c>
      <c r="QR3" s="76" t="s">
        <v>22</v>
      </c>
      <c r="QS3" s="76"/>
      <c r="QT3" s="6" t="s">
        <v>312</v>
      </c>
      <c r="QU3" s="6" t="s">
        <v>16</v>
      </c>
      <c r="QV3" s="6" t="s">
        <v>25</v>
      </c>
      <c r="QW3" s="6" t="s">
        <v>18</v>
      </c>
      <c r="QX3" s="6" t="s">
        <v>19</v>
      </c>
      <c r="QY3" s="6" t="s">
        <v>20</v>
      </c>
      <c r="QZ3" s="6" t="s">
        <v>21</v>
      </c>
      <c r="RA3" s="6" t="s">
        <v>17</v>
      </c>
      <c r="RB3" s="6" t="s">
        <v>22</v>
      </c>
      <c r="RC3" s="6"/>
      <c r="RD3" s="76" t="s">
        <v>312</v>
      </c>
      <c r="RE3" s="76" t="s">
        <v>16</v>
      </c>
      <c r="RF3" s="76" t="s">
        <v>25</v>
      </c>
      <c r="RG3" s="76" t="s">
        <v>18</v>
      </c>
      <c r="RH3" s="76" t="s">
        <v>19</v>
      </c>
      <c r="RI3" s="76" t="s">
        <v>20</v>
      </c>
      <c r="RJ3" s="76" t="s">
        <v>21</v>
      </c>
      <c r="RK3" s="76" t="s">
        <v>17</v>
      </c>
      <c r="RL3" s="76" t="s">
        <v>22</v>
      </c>
      <c r="RM3" s="76"/>
      <c r="RN3" s="6" t="s">
        <v>312</v>
      </c>
      <c r="RO3" s="6" t="s">
        <v>16</v>
      </c>
      <c r="RP3" s="6" t="s">
        <v>25</v>
      </c>
      <c r="RQ3" s="6" t="s">
        <v>18</v>
      </c>
      <c r="RR3" s="6" t="s">
        <v>19</v>
      </c>
      <c r="RS3" s="6" t="s">
        <v>20</v>
      </c>
      <c r="RT3" s="6" t="s">
        <v>21</v>
      </c>
      <c r="RU3" s="6" t="s">
        <v>17</v>
      </c>
      <c r="RV3" s="6" t="s">
        <v>22</v>
      </c>
      <c r="RW3" s="6"/>
      <c r="RX3" s="76" t="s">
        <v>312</v>
      </c>
      <c r="RY3" s="76" t="s">
        <v>16</v>
      </c>
      <c r="RZ3" s="76" t="s">
        <v>25</v>
      </c>
      <c r="SA3" s="76" t="s">
        <v>18</v>
      </c>
      <c r="SB3" s="76" t="s">
        <v>19</v>
      </c>
      <c r="SC3" s="76" t="s">
        <v>20</v>
      </c>
      <c r="SD3" s="76" t="s">
        <v>21</v>
      </c>
      <c r="SE3" s="76" t="s">
        <v>17</v>
      </c>
      <c r="SF3" s="76" t="s">
        <v>22</v>
      </c>
      <c r="SG3" s="76"/>
    </row>
    <row r="4" spans="1:501" s="44" customFormat="1" ht="20.399999999999999" customHeight="1" x14ac:dyDescent="0.3">
      <c r="A4" s="342" t="s">
        <v>95</v>
      </c>
      <c r="B4" s="125" t="s">
        <v>313</v>
      </c>
      <c r="C4" s="125" t="s">
        <v>314</v>
      </c>
      <c r="D4" s="12" t="s">
        <v>315</v>
      </c>
      <c r="E4" s="12" t="s">
        <v>316</v>
      </c>
      <c r="F4" s="12" t="s">
        <v>317</v>
      </c>
      <c r="G4" s="72" t="s">
        <v>318</v>
      </c>
      <c r="H4" s="72" t="s">
        <v>319</v>
      </c>
      <c r="I4" s="204" t="s">
        <v>315</v>
      </c>
      <c r="J4" s="204" t="s">
        <v>99</v>
      </c>
      <c r="K4" s="72"/>
      <c r="L4" s="12" t="s">
        <v>71</v>
      </c>
      <c r="M4" s="12" t="s">
        <v>314</v>
      </c>
      <c r="N4" s="12" t="s">
        <v>320</v>
      </c>
      <c r="O4" s="12" t="s">
        <v>316</v>
      </c>
      <c r="P4" s="12" t="s">
        <v>321</v>
      </c>
      <c r="Q4" s="204" t="s">
        <v>318</v>
      </c>
      <c r="R4" s="72" t="s">
        <v>322</v>
      </c>
      <c r="S4" s="341" t="s">
        <v>323</v>
      </c>
      <c r="T4" s="204" t="s">
        <v>99</v>
      </c>
      <c r="U4" s="78"/>
      <c r="V4" s="83"/>
      <c r="W4" s="83"/>
      <c r="X4" s="83"/>
      <c r="Y4" s="83"/>
      <c r="Z4" s="83"/>
      <c r="AA4" s="83"/>
      <c r="AB4" s="83"/>
      <c r="AC4" s="83"/>
      <c r="AD4" s="83"/>
      <c r="AE4" s="83"/>
      <c r="AF4" s="81"/>
      <c r="AG4" s="46"/>
      <c r="AH4" s="46"/>
      <c r="AI4" s="46"/>
      <c r="AJ4" s="343"/>
      <c r="AK4" s="344"/>
      <c r="AL4" s="41"/>
      <c r="AM4" s="46"/>
      <c r="AN4" s="46"/>
      <c r="AO4" s="46"/>
      <c r="AP4" s="83"/>
      <c r="AQ4" s="83"/>
      <c r="AR4" s="83"/>
      <c r="AS4" s="83"/>
      <c r="AT4" s="83"/>
      <c r="AU4" s="83"/>
      <c r="AV4" s="83"/>
      <c r="AW4" s="83"/>
      <c r="AX4" s="83"/>
      <c r="AY4" s="83"/>
      <c r="AZ4" s="81"/>
      <c r="BA4" s="46"/>
      <c r="BB4" s="46"/>
      <c r="BC4" s="46"/>
      <c r="BD4" s="343"/>
      <c r="BE4" s="344"/>
      <c r="BF4" s="41"/>
      <c r="BG4" s="46"/>
      <c r="BH4" s="46"/>
      <c r="BI4" s="46"/>
      <c r="BJ4" s="83"/>
      <c r="BK4" s="83"/>
      <c r="BL4" s="83"/>
      <c r="BM4" s="83"/>
      <c r="BN4" s="83"/>
      <c r="BO4" s="83"/>
      <c r="BP4" s="83"/>
      <c r="BQ4" s="83"/>
      <c r="BR4" s="83"/>
      <c r="BS4" s="83"/>
      <c r="BT4" s="81"/>
      <c r="BU4" s="46"/>
      <c r="BV4" s="46"/>
      <c r="BW4" s="46"/>
      <c r="BX4" s="343"/>
      <c r="BY4" s="344"/>
      <c r="BZ4" s="41"/>
      <c r="CA4" s="46"/>
      <c r="CB4" s="46"/>
      <c r="CC4" s="46"/>
      <c r="CD4" s="83"/>
      <c r="CE4" s="83"/>
      <c r="CF4" s="83"/>
      <c r="CG4" s="83"/>
      <c r="CH4" s="83"/>
      <c r="CI4" s="83"/>
      <c r="CJ4" s="83"/>
      <c r="CK4" s="83"/>
      <c r="CL4" s="83"/>
      <c r="CM4" s="83"/>
      <c r="CN4" s="81"/>
      <c r="CO4" s="46"/>
      <c r="CP4" s="46"/>
      <c r="CQ4" s="46"/>
      <c r="CR4" s="343"/>
      <c r="CS4" s="344"/>
      <c r="CT4" s="41"/>
      <c r="CU4" s="46"/>
      <c r="CV4" s="46"/>
      <c r="CW4" s="46"/>
      <c r="CX4" s="83"/>
      <c r="CY4" s="83"/>
      <c r="CZ4" s="83"/>
      <c r="DA4" s="83"/>
      <c r="DB4" s="83"/>
      <c r="DC4" s="83"/>
      <c r="DD4" s="83"/>
      <c r="DE4" s="83"/>
      <c r="DF4" s="83"/>
      <c r="DG4" s="83"/>
      <c r="DH4" s="81"/>
      <c r="DI4" s="46"/>
      <c r="DJ4" s="46"/>
      <c r="DK4" s="46"/>
      <c r="DL4" s="343"/>
      <c r="DM4" s="344"/>
      <c r="DN4" s="41"/>
      <c r="DO4" s="46"/>
      <c r="DP4" s="46"/>
      <c r="DQ4" s="46"/>
      <c r="DR4" s="83"/>
      <c r="DS4" s="83"/>
      <c r="DT4" s="83"/>
      <c r="DU4" s="83"/>
      <c r="DV4" s="83"/>
      <c r="DW4" s="83"/>
      <c r="DX4" s="83"/>
      <c r="DY4" s="83"/>
      <c r="DZ4" s="83"/>
      <c r="EA4" s="83"/>
      <c r="EB4" s="81"/>
      <c r="EC4" s="46"/>
      <c r="ED4" s="46"/>
      <c r="EE4" s="46"/>
      <c r="EF4" s="343"/>
      <c r="EG4" s="344"/>
      <c r="EH4" s="41"/>
      <c r="EI4" s="46"/>
      <c r="EJ4" s="46"/>
      <c r="EK4" s="46"/>
      <c r="EL4" s="83"/>
      <c r="EM4" s="83"/>
      <c r="EN4" s="83"/>
      <c r="EO4" s="83"/>
      <c r="EP4" s="83"/>
      <c r="EQ4" s="83"/>
      <c r="ER4" s="83"/>
      <c r="ES4" s="83"/>
      <c r="ET4" s="83"/>
      <c r="EU4" s="83"/>
      <c r="EV4" s="81"/>
      <c r="EW4" s="46"/>
      <c r="EX4" s="46"/>
      <c r="EY4" s="46"/>
      <c r="EZ4" s="343"/>
      <c r="FA4" s="344"/>
      <c r="FB4" s="41"/>
      <c r="FC4" s="46"/>
      <c r="FD4" s="46"/>
      <c r="FE4" s="46"/>
      <c r="FF4" s="83"/>
      <c r="FG4" s="83"/>
      <c r="FH4" s="83"/>
      <c r="FI4" s="83"/>
      <c r="FJ4" s="83"/>
      <c r="FK4" s="83"/>
      <c r="FL4" s="83"/>
      <c r="FM4" s="83"/>
      <c r="FN4" s="83"/>
      <c r="FO4" s="83"/>
      <c r="FP4" s="81"/>
      <c r="FQ4" s="46"/>
      <c r="FR4" s="46"/>
      <c r="FS4" s="46"/>
      <c r="FT4" s="343"/>
      <c r="FU4" s="344"/>
      <c r="FV4" s="41"/>
      <c r="FW4" s="46"/>
      <c r="FX4" s="46"/>
      <c r="FY4" s="46"/>
      <c r="FZ4" s="83"/>
      <c r="GA4" s="83"/>
      <c r="GB4" s="83"/>
      <c r="GC4" s="83"/>
      <c r="GD4" s="83"/>
      <c r="GE4" s="83"/>
      <c r="GF4" s="83"/>
      <c r="GG4" s="83"/>
      <c r="GH4" s="83"/>
      <c r="GI4" s="83"/>
      <c r="GJ4" s="81"/>
      <c r="GK4" s="46"/>
      <c r="GL4" s="46"/>
      <c r="GM4" s="46"/>
      <c r="GN4" s="343"/>
      <c r="GO4" s="344"/>
      <c r="GP4" s="41"/>
      <c r="GQ4" s="46"/>
      <c r="GR4" s="46"/>
      <c r="GS4" s="46"/>
      <c r="GT4" s="83"/>
      <c r="GU4" s="83"/>
      <c r="GV4" s="83"/>
      <c r="GW4" s="83"/>
      <c r="GX4" s="83"/>
      <c r="GY4" s="83"/>
      <c r="GZ4" s="83"/>
      <c r="HA4" s="83"/>
      <c r="HB4" s="83"/>
      <c r="HC4" s="83"/>
      <c r="HD4" s="81"/>
      <c r="HE4" s="46"/>
      <c r="HF4" s="46"/>
      <c r="HG4" s="46"/>
      <c r="HH4" s="343"/>
      <c r="HI4" s="344"/>
      <c r="HJ4" s="41"/>
      <c r="HK4" s="46"/>
      <c r="HL4" s="46"/>
      <c r="HM4" s="46"/>
      <c r="HN4" s="83"/>
      <c r="HO4" s="83"/>
      <c r="HP4" s="83"/>
      <c r="HQ4" s="83"/>
      <c r="HR4" s="83"/>
      <c r="HS4" s="83"/>
      <c r="HT4" s="83"/>
      <c r="HU4" s="83"/>
      <c r="HV4" s="83"/>
      <c r="HW4" s="83"/>
      <c r="HX4" s="81"/>
      <c r="HY4" s="46"/>
      <c r="HZ4" s="46"/>
      <c r="IA4" s="46"/>
      <c r="IB4" s="343"/>
      <c r="IC4" s="344"/>
      <c r="ID4" s="41"/>
      <c r="IE4" s="46"/>
      <c r="IF4" s="46"/>
      <c r="IG4" s="46"/>
      <c r="IH4" s="83"/>
      <c r="II4" s="83"/>
      <c r="IJ4" s="83"/>
      <c r="IK4" s="83"/>
      <c r="IL4" s="83"/>
      <c r="IM4" s="83"/>
      <c r="IN4" s="83"/>
      <c r="IO4" s="83"/>
      <c r="IP4" s="83"/>
      <c r="IQ4" s="83"/>
      <c r="IR4" s="81"/>
      <c r="IS4" s="46"/>
      <c r="IT4" s="46"/>
      <c r="IU4" s="46"/>
      <c r="IV4" s="343"/>
      <c r="IW4" s="344"/>
      <c r="IX4" s="41"/>
      <c r="IY4" s="46"/>
      <c r="IZ4" s="46"/>
      <c r="JA4" s="46"/>
      <c r="JB4" s="83"/>
      <c r="JC4" s="83"/>
      <c r="JD4" s="83"/>
      <c r="JE4" s="83"/>
      <c r="JF4" s="83"/>
      <c r="JG4" s="83"/>
      <c r="JH4" s="83"/>
      <c r="JI4" s="83"/>
      <c r="JJ4" s="83"/>
      <c r="JK4" s="83"/>
      <c r="JL4" s="81"/>
      <c r="JM4" s="46"/>
      <c r="JN4" s="46"/>
      <c r="JO4" s="46"/>
      <c r="JP4" s="343"/>
      <c r="JQ4" s="344"/>
      <c r="JR4" s="41"/>
      <c r="JS4" s="46"/>
      <c r="JT4" s="46"/>
      <c r="JU4" s="46"/>
      <c r="JV4" s="83"/>
      <c r="JW4" s="83"/>
      <c r="JX4" s="83"/>
      <c r="JY4" s="83"/>
      <c r="JZ4" s="83"/>
      <c r="KA4" s="83"/>
      <c r="KB4" s="83"/>
      <c r="KC4" s="83"/>
      <c r="KD4" s="83"/>
      <c r="KE4" s="83"/>
      <c r="KF4" s="81"/>
      <c r="KG4" s="46"/>
      <c r="KH4" s="46"/>
      <c r="KI4" s="46"/>
      <c r="KJ4" s="343"/>
      <c r="KK4" s="344"/>
      <c r="KL4" s="41"/>
      <c r="KM4" s="46"/>
      <c r="KN4" s="46"/>
      <c r="KO4" s="46"/>
      <c r="KP4" s="83"/>
      <c r="KQ4" s="83"/>
      <c r="KR4" s="83"/>
      <c r="KS4" s="83"/>
      <c r="KT4" s="83"/>
      <c r="KU4" s="83"/>
      <c r="KV4" s="83"/>
      <c r="KW4" s="83"/>
      <c r="KX4" s="83"/>
      <c r="KY4" s="83"/>
      <c r="KZ4" s="81"/>
      <c r="LA4" s="46"/>
      <c r="LB4" s="46"/>
      <c r="LC4" s="46"/>
      <c r="LD4" s="343"/>
      <c r="LE4" s="344"/>
      <c r="LF4" s="41"/>
      <c r="LG4" s="46"/>
      <c r="LH4" s="46"/>
      <c r="LI4" s="46"/>
      <c r="LJ4" s="83"/>
      <c r="LK4" s="83"/>
      <c r="LL4" s="83"/>
      <c r="LM4" s="83"/>
      <c r="LN4" s="83"/>
      <c r="LO4" s="83"/>
      <c r="LP4" s="83"/>
      <c r="LQ4" s="83"/>
      <c r="LR4" s="83"/>
      <c r="LS4" s="83"/>
      <c r="LT4" s="81"/>
      <c r="LU4" s="46"/>
      <c r="LV4" s="46"/>
      <c r="LW4" s="46"/>
      <c r="LX4" s="343"/>
      <c r="LY4" s="344"/>
      <c r="LZ4" s="41"/>
      <c r="MA4" s="46"/>
      <c r="MB4" s="46"/>
      <c r="MC4" s="46"/>
      <c r="MD4" s="83"/>
      <c r="ME4" s="83"/>
      <c r="MF4" s="83"/>
      <c r="MG4" s="83"/>
      <c r="MH4" s="83"/>
      <c r="MI4" s="83"/>
      <c r="MJ4" s="83"/>
      <c r="MK4" s="83"/>
      <c r="ML4" s="83"/>
      <c r="MM4" s="83"/>
      <c r="MN4" s="81"/>
      <c r="MO4" s="46"/>
      <c r="MP4" s="46"/>
      <c r="MQ4" s="46"/>
      <c r="MR4" s="343"/>
      <c r="MS4" s="344"/>
      <c r="MT4" s="41"/>
      <c r="MU4" s="46"/>
      <c r="MV4" s="46"/>
      <c r="MW4" s="46"/>
      <c r="MX4" s="83"/>
      <c r="MY4" s="83"/>
      <c r="MZ4" s="83"/>
      <c r="NA4" s="83"/>
      <c r="NB4" s="83"/>
      <c r="NC4" s="83"/>
      <c r="ND4" s="83"/>
      <c r="NE4" s="83"/>
      <c r="NF4" s="83"/>
      <c r="NG4" s="83"/>
      <c r="NH4" s="81"/>
      <c r="NI4" s="46"/>
      <c r="NJ4" s="46"/>
      <c r="NK4" s="46"/>
      <c r="NL4" s="343"/>
      <c r="NM4" s="344"/>
      <c r="NN4" s="41"/>
      <c r="NO4" s="46"/>
      <c r="NP4" s="46"/>
      <c r="NQ4" s="46"/>
      <c r="NR4" s="83"/>
      <c r="NS4" s="83"/>
      <c r="NT4" s="83"/>
      <c r="NU4" s="83"/>
      <c r="NV4" s="83"/>
      <c r="NW4" s="83"/>
      <c r="NX4" s="83"/>
      <c r="NY4" s="83"/>
      <c r="NZ4" s="83"/>
      <c r="OA4" s="83"/>
      <c r="OB4" s="81"/>
      <c r="OC4" s="46"/>
      <c r="OD4" s="46"/>
      <c r="OE4" s="46"/>
      <c r="OF4" s="343"/>
      <c r="OG4" s="344"/>
      <c r="OH4" s="41"/>
      <c r="OI4" s="46"/>
      <c r="OJ4" s="46"/>
      <c r="OK4" s="46"/>
      <c r="OL4" s="83"/>
      <c r="OM4" s="83"/>
      <c r="ON4" s="83"/>
      <c r="OO4" s="83"/>
      <c r="OP4" s="83"/>
      <c r="OQ4" s="83"/>
      <c r="OR4" s="83"/>
      <c r="OS4" s="83"/>
      <c r="OT4" s="83"/>
      <c r="OU4" s="83"/>
      <c r="OV4" s="81"/>
      <c r="OW4" s="46"/>
      <c r="OX4" s="46"/>
      <c r="OY4" s="46"/>
      <c r="OZ4" s="343"/>
      <c r="PA4" s="344"/>
      <c r="PB4" s="41"/>
      <c r="PC4" s="46"/>
      <c r="PD4" s="46"/>
      <c r="PE4" s="46"/>
      <c r="PF4" s="83"/>
      <c r="PG4" s="83"/>
      <c r="PH4" s="83"/>
      <c r="PI4" s="83"/>
      <c r="PJ4" s="83"/>
      <c r="PK4" s="83"/>
      <c r="PL4" s="83"/>
      <c r="PM4" s="83"/>
      <c r="PN4" s="83"/>
      <c r="PO4" s="83"/>
      <c r="PP4" s="81"/>
      <c r="PQ4" s="46"/>
      <c r="PR4" s="46"/>
      <c r="PS4" s="46"/>
      <c r="PT4" s="343"/>
      <c r="PU4" s="344"/>
      <c r="PV4" s="41"/>
      <c r="PW4" s="46"/>
      <c r="PX4" s="46"/>
      <c r="PY4" s="46"/>
      <c r="PZ4" s="83"/>
      <c r="QA4" s="83"/>
      <c r="QB4" s="83"/>
      <c r="QC4" s="83"/>
      <c r="QD4" s="83"/>
      <c r="QE4" s="83"/>
      <c r="QF4" s="83"/>
      <c r="QG4" s="83"/>
      <c r="QH4" s="83"/>
      <c r="QI4" s="83"/>
      <c r="QJ4" s="81"/>
      <c r="QK4" s="46"/>
      <c r="QL4" s="46"/>
      <c r="QM4" s="46"/>
      <c r="QN4" s="343"/>
      <c r="QO4" s="344"/>
      <c r="QP4" s="41"/>
      <c r="QQ4" s="46"/>
      <c r="QR4" s="46"/>
      <c r="QS4" s="46"/>
      <c r="QT4" s="83"/>
      <c r="QU4" s="83"/>
      <c r="QV4" s="83"/>
      <c r="QW4" s="83"/>
      <c r="QX4" s="83"/>
      <c r="QY4" s="83"/>
      <c r="QZ4" s="83"/>
      <c r="RA4" s="83"/>
      <c r="RB4" s="83"/>
      <c r="RC4" s="83"/>
      <c r="RD4" s="81"/>
      <c r="RE4" s="46"/>
      <c r="RF4" s="46"/>
      <c r="RG4" s="46"/>
      <c r="RH4" s="343"/>
      <c r="RI4" s="344"/>
      <c r="RJ4" s="41"/>
      <c r="RK4" s="46"/>
      <c r="RL4" s="46"/>
      <c r="RM4" s="46"/>
      <c r="RN4" s="83"/>
      <c r="RO4" s="83"/>
      <c r="RP4" s="83"/>
      <c r="RQ4" s="83"/>
      <c r="RR4" s="83"/>
      <c r="RS4" s="83"/>
      <c r="RT4" s="83"/>
      <c r="RU4" s="83"/>
      <c r="RV4" s="83"/>
      <c r="RW4" s="83"/>
      <c r="RX4" s="81"/>
      <c r="RY4" s="46"/>
      <c r="RZ4" s="46"/>
      <c r="SA4" s="46"/>
      <c r="SB4" s="343"/>
      <c r="SC4" s="344"/>
      <c r="SD4" s="41"/>
      <c r="SE4" s="46"/>
      <c r="SF4" s="46"/>
      <c r="SG4" s="46"/>
    </row>
    <row r="5" spans="1:501" s="44" customFormat="1" ht="20.399999999999999" customHeight="1" x14ac:dyDescent="0.3">
      <c r="A5" s="66" t="s">
        <v>118</v>
      </c>
      <c r="B5" s="66" t="s">
        <v>324</v>
      </c>
      <c r="C5" s="66" t="s">
        <v>325</v>
      </c>
      <c r="D5" s="49" t="s">
        <v>326</v>
      </c>
      <c r="E5" s="49" t="s">
        <v>327</v>
      </c>
      <c r="F5" s="49" t="s">
        <v>328</v>
      </c>
      <c r="G5" s="201" t="s">
        <v>329</v>
      </c>
      <c r="H5" s="70" t="s">
        <v>330</v>
      </c>
      <c r="I5" s="206" t="s">
        <v>322</v>
      </c>
      <c r="J5" s="70"/>
      <c r="K5" s="70"/>
      <c r="L5" s="70" t="s">
        <v>68</v>
      </c>
      <c r="M5" s="70" t="s">
        <v>331</v>
      </c>
      <c r="N5" s="70" t="s">
        <v>315</v>
      </c>
      <c r="O5" s="70" t="s">
        <v>332</v>
      </c>
      <c r="P5" s="70" t="s">
        <v>333</v>
      </c>
      <c r="Q5" s="206" t="s">
        <v>334</v>
      </c>
      <c r="R5" s="70" t="s">
        <v>335</v>
      </c>
      <c r="S5" s="70" t="s">
        <v>315</v>
      </c>
      <c r="T5" s="70"/>
      <c r="U5" s="77"/>
      <c r="V5" s="70" t="s">
        <v>68</v>
      </c>
      <c r="W5" s="70" t="s">
        <v>331</v>
      </c>
      <c r="X5" s="70" t="s">
        <v>315</v>
      </c>
      <c r="Y5" s="70" t="s">
        <v>332</v>
      </c>
      <c r="Z5" s="70" t="s">
        <v>333</v>
      </c>
      <c r="AA5" s="70" t="s">
        <v>334</v>
      </c>
      <c r="AB5" s="70" t="s">
        <v>335</v>
      </c>
      <c r="AC5" s="70" t="s">
        <v>315</v>
      </c>
      <c r="AD5" s="82"/>
      <c r="AE5" s="82"/>
      <c r="AF5" s="82" t="s">
        <v>313</v>
      </c>
      <c r="AG5" s="82" t="s">
        <v>318</v>
      </c>
      <c r="AH5" s="82" t="s">
        <v>315</v>
      </c>
      <c r="AI5" s="82" t="s">
        <v>336</v>
      </c>
      <c r="AJ5" s="82" t="s">
        <v>317</v>
      </c>
      <c r="AK5" s="82" t="s">
        <v>318</v>
      </c>
      <c r="AL5" s="82" t="s">
        <v>337</v>
      </c>
      <c r="AM5" s="82" t="s">
        <v>315</v>
      </c>
      <c r="AN5" s="53"/>
      <c r="AO5" s="53"/>
      <c r="AP5" s="82" t="s">
        <v>313</v>
      </c>
      <c r="AQ5" s="82" t="s">
        <v>318</v>
      </c>
      <c r="AR5" s="82" t="s">
        <v>315</v>
      </c>
      <c r="AS5" s="82" t="s">
        <v>336</v>
      </c>
      <c r="AT5" s="82" t="s">
        <v>317</v>
      </c>
      <c r="AU5" s="82" t="s">
        <v>318</v>
      </c>
      <c r="AV5" s="82" t="s">
        <v>337</v>
      </c>
      <c r="AW5" s="82" t="s">
        <v>315</v>
      </c>
      <c r="AX5" s="82"/>
      <c r="AY5" s="82"/>
      <c r="AZ5" s="82" t="s">
        <v>313</v>
      </c>
      <c r="BA5" s="82" t="s">
        <v>318</v>
      </c>
      <c r="BB5" s="82" t="s">
        <v>315</v>
      </c>
      <c r="BC5" s="82" t="s">
        <v>336</v>
      </c>
      <c r="BD5" s="82" t="s">
        <v>317</v>
      </c>
      <c r="BE5" s="82" t="s">
        <v>318</v>
      </c>
      <c r="BF5" s="82" t="s">
        <v>337</v>
      </c>
      <c r="BG5" s="82" t="s">
        <v>315</v>
      </c>
      <c r="BH5" s="53"/>
      <c r="BI5" s="53"/>
      <c r="BJ5" s="82"/>
      <c r="BK5" s="82"/>
      <c r="BL5" s="82"/>
      <c r="BM5" s="82"/>
      <c r="BN5" s="82"/>
      <c r="BO5" s="82"/>
      <c r="BP5" s="82"/>
      <c r="BQ5" s="82"/>
      <c r="BR5" s="82"/>
      <c r="BS5" s="82"/>
      <c r="BT5" s="80"/>
      <c r="BU5" s="53"/>
      <c r="BV5" s="53"/>
      <c r="BW5" s="53"/>
      <c r="BX5" s="53"/>
      <c r="BY5" s="84"/>
      <c r="BZ5" s="52"/>
      <c r="CA5" s="53"/>
      <c r="CB5" s="53"/>
      <c r="CC5" s="53"/>
      <c r="CD5" s="82"/>
      <c r="CE5" s="82"/>
      <c r="CF5" s="82"/>
      <c r="CG5" s="82"/>
      <c r="CH5" s="82"/>
      <c r="CI5" s="82"/>
      <c r="CJ5" s="82"/>
      <c r="CK5" s="82"/>
      <c r="CL5" s="82"/>
      <c r="CM5" s="82"/>
      <c r="CN5" s="80"/>
      <c r="CO5" s="53"/>
      <c r="CP5" s="53"/>
      <c r="CQ5" s="53"/>
      <c r="CR5" s="53"/>
      <c r="CS5" s="84"/>
      <c r="CT5" s="52"/>
      <c r="CU5" s="53"/>
      <c r="CV5" s="53"/>
      <c r="CW5" s="53"/>
      <c r="CX5" s="82"/>
      <c r="CY5" s="82"/>
      <c r="CZ5" s="82"/>
      <c r="DA5" s="82"/>
      <c r="DB5" s="82"/>
      <c r="DC5" s="82"/>
      <c r="DD5" s="82"/>
      <c r="DE5" s="82"/>
      <c r="DF5" s="82"/>
      <c r="DG5" s="82"/>
      <c r="DH5" s="80"/>
      <c r="DI5" s="53"/>
      <c r="DJ5" s="53"/>
      <c r="DK5" s="53"/>
      <c r="DL5" s="53"/>
      <c r="DM5" s="84"/>
      <c r="DN5" s="52"/>
      <c r="DO5" s="53"/>
      <c r="DP5" s="53"/>
      <c r="DQ5" s="53"/>
      <c r="DR5" s="82"/>
      <c r="DS5" s="82"/>
      <c r="DT5" s="82"/>
      <c r="DU5" s="82"/>
      <c r="DV5" s="82"/>
      <c r="DW5" s="82"/>
      <c r="DX5" s="82"/>
      <c r="DY5" s="82"/>
      <c r="DZ5" s="82"/>
      <c r="EA5" s="82"/>
      <c r="EB5" s="80"/>
      <c r="EC5" s="53"/>
      <c r="ED5" s="53"/>
      <c r="EE5" s="53"/>
      <c r="EF5" s="53"/>
      <c r="EG5" s="84"/>
      <c r="EH5" s="52"/>
      <c r="EI5" s="53"/>
      <c r="EJ5" s="53"/>
      <c r="EK5" s="53"/>
      <c r="EL5" s="82"/>
      <c r="EM5" s="82"/>
      <c r="EN5" s="82"/>
      <c r="EO5" s="82"/>
      <c r="EP5" s="82"/>
      <c r="EQ5" s="82"/>
      <c r="ER5" s="82"/>
      <c r="ES5" s="82"/>
      <c r="ET5" s="82"/>
      <c r="EU5" s="82"/>
      <c r="EV5" s="80"/>
      <c r="EW5" s="53"/>
      <c r="EX5" s="53"/>
      <c r="EY5" s="53"/>
      <c r="EZ5" s="53"/>
      <c r="FA5" s="84"/>
      <c r="FB5" s="52"/>
      <c r="FC5" s="53"/>
      <c r="FD5" s="53"/>
      <c r="FE5" s="53"/>
      <c r="FF5" s="82"/>
      <c r="FG5" s="82"/>
      <c r="FH5" s="82"/>
      <c r="FI5" s="82"/>
      <c r="FJ5" s="82"/>
      <c r="FK5" s="82"/>
      <c r="FL5" s="82"/>
      <c r="FM5" s="82"/>
      <c r="FN5" s="82"/>
      <c r="FO5" s="82"/>
      <c r="FP5" s="80"/>
      <c r="FQ5" s="53"/>
      <c r="FR5" s="53"/>
      <c r="FS5" s="53"/>
      <c r="FT5" s="53"/>
      <c r="FU5" s="84"/>
      <c r="FV5" s="52"/>
      <c r="FW5" s="53"/>
      <c r="FX5" s="53"/>
      <c r="FY5" s="53"/>
      <c r="FZ5" s="82"/>
      <c r="GA5" s="82"/>
      <c r="GB5" s="82"/>
      <c r="GC5" s="82"/>
      <c r="GD5" s="82"/>
      <c r="GE5" s="82"/>
      <c r="GF5" s="82"/>
      <c r="GG5" s="82"/>
      <c r="GH5" s="82"/>
      <c r="GI5" s="82"/>
      <c r="GJ5" s="80"/>
      <c r="GK5" s="53"/>
      <c r="GL5" s="53"/>
      <c r="GM5" s="53"/>
      <c r="GN5" s="53"/>
      <c r="GO5" s="84"/>
      <c r="GP5" s="52"/>
      <c r="GQ5" s="53"/>
      <c r="GR5" s="53"/>
      <c r="GS5" s="53"/>
      <c r="GT5" s="82"/>
      <c r="GU5" s="82"/>
      <c r="GV5" s="82"/>
      <c r="GW5" s="82"/>
      <c r="GX5" s="82"/>
      <c r="GY5" s="82"/>
      <c r="GZ5" s="82"/>
      <c r="HA5" s="82"/>
      <c r="HB5" s="82"/>
      <c r="HC5" s="82"/>
      <c r="HD5" s="80"/>
      <c r="HE5" s="53"/>
      <c r="HF5" s="53"/>
      <c r="HG5" s="53"/>
      <c r="HH5" s="53"/>
      <c r="HI5" s="84"/>
      <c r="HJ5" s="52"/>
      <c r="HK5" s="53"/>
      <c r="HL5" s="53"/>
      <c r="HM5" s="53"/>
      <c r="HN5" s="82"/>
      <c r="HO5" s="82"/>
      <c r="HP5" s="82"/>
      <c r="HQ5" s="82"/>
      <c r="HR5" s="82"/>
      <c r="HS5" s="82"/>
      <c r="HT5" s="82"/>
      <c r="HU5" s="82"/>
      <c r="HV5" s="82"/>
      <c r="HW5" s="82"/>
      <c r="HX5" s="80"/>
      <c r="HY5" s="53"/>
      <c r="HZ5" s="53"/>
      <c r="IA5" s="53"/>
      <c r="IB5" s="53"/>
      <c r="IC5" s="84"/>
      <c r="ID5" s="52"/>
      <c r="IE5" s="53"/>
      <c r="IF5" s="53"/>
      <c r="IG5" s="53"/>
      <c r="IH5" s="82"/>
      <c r="II5" s="82"/>
      <c r="IJ5" s="82"/>
      <c r="IK5" s="82"/>
      <c r="IL5" s="82"/>
      <c r="IM5" s="82"/>
      <c r="IN5" s="82"/>
      <c r="IO5" s="82"/>
      <c r="IP5" s="82"/>
      <c r="IQ5" s="82"/>
      <c r="IR5" s="80"/>
      <c r="IS5" s="53"/>
      <c r="IT5" s="53"/>
      <c r="IU5" s="53"/>
      <c r="IV5" s="53"/>
      <c r="IW5" s="84"/>
      <c r="IX5" s="52"/>
      <c r="IY5" s="53"/>
      <c r="IZ5" s="53"/>
      <c r="JA5" s="53"/>
      <c r="JB5" s="82"/>
      <c r="JC5" s="82"/>
      <c r="JD5" s="82"/>
      <c r="JE5" s="82"/>
      <c r="JF5" s="82"/>
      <c r="JG5" s="82"/>
      <c r="JH5" s="82"/>
      <c r="JI5" s="82"/>
      <c r="JJ5" s="82"/>
      <c r="JK5" s="82"/>
      <c r="JL5" s="80"/>
      <c r="JM5" s="53"/>
      <c r="JN5" s="53"/>
      <c r="JO5" s="53"/>
      <c r="JP5" s="53"/>
      <c r="JQ5" s="84"/>
      <c r="JR5" s="52"/>
      <c r="JS5" s="53"/>
      <c r="JT5" s="53"/>
      <c r="JU5" s="53"/>
      <c r="JV5" s="82"/>
      <c r="JW5" s="82"/>
      <c r="JX5" s="82"/>
      <c r="JY5" s="82"/>
      <c r="JZ5" s="82"/>
      <c r="KA5" s="82"/>
      <c r="KB5" s="82"/>
      <c r="KC5" s="82"/>
      <c r="KD5" s="82"/>
      <c r="KE5" s="82"/>
      <c r="KF5" s="80"/>
      <c r="KG5" s="53"/>
      <c r="KH5" s="53"/>
      <c r="KI5" s="53"/>
      <c r="KJ5" s="53"/>
      <c r="KK5" s="84"/>
      <c r="KL5" s="52"/>
      <c r="KM5" s="53"/>
      <c r="KN5" s="53"/>
      <c r="KO5" s="53"/>
      <c r="KP5" s="82"/>
      <c r="KQ5" s="82"/>
      <c r="KR5" s="82"/>
      <c r="KS5" s="82"/>
      <c r="KT5" s="82"/>
      <c r="KU5" s="82"/>
      <c r="KV5" s="82"/>
      <c r="KW5" s="82"/>
      <c r="KX5" s="82"/>
      <c r="KY5" s="82"/>
      <c r="KZ5" s="80"/>
      <c r="LA5" s="53"/>
      <c r="LB5" s="53"/>
      <c r="LC5" s="53"/>
      <c r="LD5" s="53"/>
      <c r="LE5" s="84"/>
      <c r="LF5" s="52"/>
      <c r="LG5" s="53"/>
      <c r="LH5" s="53"/>
      <c r="LI5" s="53"/>
      <c r="LJ5" s="82"/>
      <c r="LK5" s="82"/>
      <c r="LL5" s="82"/>
      <c r="LM5" s="82"/>
      <c r="LN5" s="82"/>
      <c r="LO5" s="82"/>
      <c r="LP5" s="82"/>
      <c r="LQ5" s="82"/>
      <c r="LR5" s="82"/>
      <c r="LS5" s="82"/>
      <c r="LT5" s="80"/>
      <c r="LU5" s="53"/>
      <c r="LV5" s="53"/>
      <c r="LW5" s="53"/>
      <c r="LX5" s="53"/>
      <c r="LY5" s="84"/>
      <c r="LZ5" s="52"/>
      <c r="MA5" s="53"/>
      <c r="MB5" s="53"/>
      <c r="MC5" s="53"/>
      <c r="MD5" s="82"/>
      <c r="ME5" s="82"/>
      <c r="MF5" s="82"/>
      <c r="MG5" s="82"/>
      <c r="MH5" s="82"/>
      <c r="MI5" s="82"/>
      <c r="MJ5" s="82"/>
      <c r="MK5" s="82"/>
      <c r="ML5" s="82"/>
      <c r="MM5" s="82"/>
      <c r="MN5" s="80"/>
      <c r="MO5" s="53"/>
      <c r="MP5" s="53"/>
      <c r="MQ5" s="53"/>
      <c r="MR5" s="53"/>
      <c r="MS5" s="84"/>
      <c r="MT5" s="52"/>
      <c r="MU5" s="53"/>
      <c r="MV5" s="53"/>
      <c r="MW5" s="53"/>
      <c r="MX5" s="82"/>
      <c r="MY5" s="82"/>
      <c r="MZ5" s="82"/>
      <c r="NA5" s="82"/>
      <c r="NB5" s="82"/>
      <c r="NC5" s="82"/>
      <c r="ND5" s="82"/>
      <c r="NE5" s="82"/>
      <c r="NF5" s="82"/>
      <c r="NG5" s="82"/>
      <c r="NH5" s="80"/>
      <c r="NI5" s="53"/>
      <c r="NJ5" s="53"/>
      <c r="NK5" s="53"/>
      <c r="NL5" s="53"/>
      <c r="NM5" s="84"/>
      <c r="NN5" s="52"/>
      <c r="NO5" s="53"/>
      <c r="NP5" s="53"/>
      <c r="NQ5" s="53"/>
      <c r="NR5" s="82"/>
      <c r="NS5" s="82"/>
      <c r="NT5" s="82"/>
      <c r="NU5" s="82"/>
      <c r="NV5" s="82"/>
      <c r="NW5" s="82"/>
      <c r="NX5" s="82"/>
      <c r="NY5" s="82"/>
      <c r="NZ5" s="82"/>
      <c r="OA5" s="82"/>
      <c r="OB5" s="80"/>
      <c r="OC5" s="53"/>
      <c r="OD5" s="53"/>
      <c r="OE5" s="53"/>
      <c r="OF5" s="53"/>
      <c r="OG5" s="84"/>
      <c r="OH5" s="52"/>
      <c r="OI5" s="53"/>
      <c r="OJ5" s="53"/>
      <c r="OK5" s="53"/>
      <c r="OL5" s="82"/>
      <c r="OM5" s="82"/>
      <c r="ON5" s="82"/>
      <c r="OO5" s="82"/>
      <c r="OP5" s="82"/>
      <c r="OQ5" s="82"/>
      <c r="OR5" s="82"/>
      <c r="OS5" s="82"/>
      <c r="OT5" s="82"/>
      <c r="OU5" s="82"/>
      <c r="OV5" s="80"/>
      <c r="OW5" s="53"/>
      <c r="OX5" s="53"/>
      <c r="OY5" s="53"/>
      <c r="OZ5" s="53"/>
      <c r="PA5" s="84"/>
      <c r="PB5" s="52"/>
      <c r="PC5" s="53"/>
      <c r="PD5" s="53"/>
      <c r="PE5" s="53"/>
      <c r="PF5" s="82"/>
      <c r="PG5" s="82"/>
      <c r="PH5" s="82"/>
      <c r="PI5" s="82"/>
      <c r="PJ5" s="82"/>
      <c r="PK5" s="82"/>
      <c r="PL5" s="82"/>
      <c r="PM5" s="82"/>
      <c r="PN5" s="82"/>
      <c r="PO5" s="82"/>
      <c r="PP5" s="80"/>
      <c r="PQ5" s="53"/>
      <c r="PR5" s="53"/>
      <c r="PS5" s="53"/>
      <c r="PT5" s="53"/>
      <c r="PU5" s="84"/>
      <c r="PV5" s="52"/>
      <c r="PW5" s="53"/>
      <c r="PX5" s="53"/>
      <c r="PY5" s="53"/>
      <c r="PZ5" s="82"/>
      <c r="QA5" s="82"/>
      <c r="QB5" s="82"/>
      <c r="QC5" s="82"/>
      <c r="QD5" s="82"/>
      <c r="QE5" s="82"/>
      <c r="QF5" s="82"/>
      <c r="QG5" s="82"/>
      <c r="QH5" s="82"/>
      <c r="QI5" s="82"/>
      <c r="QJ5" s="80"/>
      <c r="QK5" s="53"/>
      <c r="QL5" s="53"/>
      <c r="QM5" s="53"/>
      <c r="QN5" s="53"/>
      <c r="QO5" s="84"/>
      <c r="QP5" s="52"/>
      <c r="QQ5" s="53"/>
      <c r="QR5" s="53"/>
      <c r="QS5" s="53"/>
      <c r="QT5" s="82"/>
      <c r="QU5" s="82"/>
      <c r="QV5" s="82"/>
      <c r="QW5" s="82"/>
      <c r="QX5" s="82"/>
      <c r="QY5" s="82"/>
      <c r="QZ5" s="82"/>
      <c r="RA5" s="82"/>
      <c r="RB5" s="82"/>
      <c r="RC5" s="82"/>
      <c r="RD5" s="80"/>
      <c r="RE5" s="53"/>
      <c r="RF5" s="53"/>
      <c r="RG5" s="53"/>
      <c r="RH5" s="53"/>
      <c r="RI5" s="84"/>
      <c r="RJ5" s="52"/>
      <c r="RK5" s="53"/>
      <c r="RL5" s="53"/>
      <c r="RM5" s="53"/>
      <c r="RN5" s="82"/>
      <c r="RO5" s="82"/>
      <c r="RP5" s="82"/>
      <c r="RQ5" s="82"/>
      <c r="RR5" s="82"/>
      <c r="RS5" s="82"/>
      <c r="RT5" s="82"/>
      <c r="RU5" s="82"/>
      <c r="RV5" s="82"/>
      <c r="RW5" s="82"/>
      <c r="RX5" s="80"/>
      <c r="RY5" s="53"/>
      <c r="RZ5" s="53"/>
      <c r="SA5" s="53"/>
      <c r="SB5" s="53"/>
      <c r="SC5" s="84"/>
      <c r="SD5" s="52"/>
      <c r="SE5" s="53"/>
      <c r="SF5" s="53"/>
      <c r="SG5" s="53"/>
    </row>
    <row r="6" spans="1:501" s="44" customFormat="1" ht="20.399999999999999" customHeight="1" x14ac:dyDescent="0.3">
      <c r="A6" s="125" t="s">
        <v>101</v>
      </c>
      <c r="B6" s="125" t="s">
        <v>69</v>
      </c>
      <c r="C6" s="125" t="s">
        <v>331</v>
      </c>
      <c r="D6" s="12" t="s">
        <v>338</v>
      </c>
      <c r="E6" s="12" t="s">
        <v>339</v>
      </c>
      <c r="F6" s="12" t="s">
        <v>328</v>
      </c>
      <c r="G6" s="72" t="s">
        <v>340</v>
      </c>
      <c r="H6" s="72" t="s">
        <v>341</v>
      </c>
      <c r="I6" s="204" t="s">
        <v>342</v>
      </c>
      <c r="J6" s="72"/>
      <c r="K6" s="72"/>
      <c r="L6" s="12" t="s">
        <v>69</v>
      </c>
      <c r="M6" s="12" t="s">
        <v>331</v>
      </c>
      <c r="N6" s="72" t="s">
        <v>343</v>
      </c>
      <c r="O6" s="12" t="s">
        <v>339</v>
      </c>
      <c r="P6" s="12" t="s">
        <v>328</v>
      </c>
      <c r="Q6" s="204" t="s">
        <v>340</v>
      </c>
      <c r="R6" s="72" t="s">
        <v>341</v>
      </c>
      <c r="S6" s="72" t="s">
        <v>344</v>
      </c>
      <c r="T6" s="72"/>
      <c r="U6" s="78"/>
      <c r="V6" s="83" t="s">
        <v>71</v>
      </c>
      <c r="W6" s="83" t="s">
        <v>314</v>
      </c>
      <c r="X6" s="83" t="s">
        <v>315</v>
      </c>
      <c r="Y6" s="83" t="s">
        <v>316</v>
      </c>
      <c r="Z6" s="83" t="s">
        <v>321</v>
      </c>
      <c r="AA6" s="83" t="s">
        <v>318</v>
      </c>
      <c r="AB6" s="83" t="s">
        <v>322</v>
      </c>
      <c r="AC6" s="83" t="s">
        <v>315</v>
      </c>
      <c r="AD6" s="83"/>
      <c r="AE6" s="83"/>
      <c r="AF6" s="83" t="s">
        <v>71</v>
      </c>
      <c r="AG6" s="83" t="s">
        <v>314</v>
      </c>
      <c r="AH6" s="83" t="s">
        <v>315</v>
      </c>
      <c r="AI6" s="83" t="s">
        <v>316</v>
      </c>
      <c r="AJ6" s="83" t="s">
        <v>321</v>
      </c>
      <c r="AK6" s="83" t="s">
        <v>318</v>
      </c>
      <c r="AL6" s="83" t="s">
        <v>322</v>
      </c>
      <c r="AM6" s="83" t="s">
        <v>315</v>
      </c>
      <c r="AN6" s="46"/>
      <c r="AO6" s="46"/>
      <c r="AP6" s="83" t="s">
        <v>345</v>
      </c>
      <c r="AQ6" s="83" t="s">
        <v>314</v>
      </c>
      <c r="AR6" s="83" t="s">
        <v>346</v>
      </c>
      <c r="AS6" s="83" t="s">
        <v>339</v>
      </c>
      <c r="AT6" s="83" t="s">
        <v>321</v>
      </c>
      <c r="AU6" s="83" t="s">
        <v>340</v>
      </c>
      <c r="AV6" s="83" t="s">
        <v>71</v>
      </c>
      <c r="AW6" s="83" t="s">
        <v>347</v>
      </c>
      <c r="AX6" s="83"/>
      <c r="AY6" s="83"/>
      <c r="AZ6" s="81" t="s">
        <v>348</v>
      </c>
      <c r="BA6" s="107" t="s">
        <v>349</v>
      </c>
      <c r="BB6" s="46" t="s">
        <v>350</v>
      </c>
      <c r="BC6" s="46" t="s">
        <v>351</v>
      </c>
      <c r="BD6" s="46" t="s">
        <v>333</v>
      </c>
      <c r="BE6" s="85" t="s">
        <v>352</v>
      </c>
      <c r="BF6" s="41" t="s">
        <v>353</v>
      </c>
      <c r="BG6" s="46" t="s">
        <v>354</v>
      </c>
      <c r="BH6" s="46"/>
      <c r="BI6" s="46"/>
      <c r="BJ6" s="83"/>
      <c r="BK6" s="83"/>
      <c r="BL6" s="83"/>
      <c r="BM6" s="83"/>
      <c r="BN6" s="83"/>
      <c r="BO6" s="83"/>
      <c r="BP6" s="83"/>
      <c r="BQ6" s="83"/>
      <c r="BR6" s="83"/>
      <c r="BS6" s="83"/>
      <c r="BT6" s="81"/>
      <c r="BU6" s="46"/>
      <c r="BV6" s="46"/>
      <c r="BW6" s="46"/>
      <c r="BX6" s="46"/>
      <c r="BY6" s="85"/>
      <c r="BZ6" s="41"/>
      <c r="CA6" s="46"/>
      <c r="CB6" s="46"/>
      <c r="CC6" s="46"/>
      <c r="CD6" s="83"/>
      <c r="CE6" s="83"/>
      <c r="CF6" s="83"/>
      <c r="CG6" s="83"/>
      <c r="CH6" s="83"/>
      <c r="CI6" s="83"/>
      <c r="CJ6" s="83"/>
      <c r="CK6" s="83"/>
      <c r="CL6" s="83"/>
      <c r="CM6" s="83"/>
      <c r="CN6" s="81"/>
      <c r="CO6" s="46"/>
      <c r="CP6" s="46"/>
      <c r="CQ6" s="46"/>
      <c r="CR6" s="46"/>
      <c r="CS6" s="85"/>
      <c r="CT6" s="41"/>
      <c r="CU6" s="46"/>
      <c r="CV6" s="46"/>
      <c r="CW6" s="46"/>
      <c r="CX6" s="83"/>
      <c r="CY6" s="83"/>
      <c r="CZ6" s="83"/>
      <c r="DA6" s="83"/>
      <c r="DB6" s="83"/>
      <c r="DC6" s="83"/>
      <c r="DD6" s="83"/>
      <c r="DE6" s="83"/>
      <c r="DF6" s="83"/>
      <c r="DG6" s="83"/>
      <c r="DH6" s="81"/>
      <c r="DI6" s="46"/>
      <c r="DJ6" s="46"/>
      <c r="DK6" s="46"/>
      <c r="DL6" s="46"/>
      <c r="DM6" s="85"/>
      <c r="DN6" s="41"/>
      <c r="DO6" s="46"/>
      <c r="DP6" s="46"/>
      <c r="DQ6" s="46"/>
      <c r="DR6" s="83"/>
      <c r="DS6" s="83"/>
      <c r="DT6" s="83"/>
      <c r="DU6" s="83"/>
      <c r="DV6" s="83"/>
      <c r="DW6" s="83"/>
      <c r="DX6" s="83"/>
      <c r="DY6" s="83"/>
      <c r="DZ6" s="83"/>
      <c r="EA6" s="83"/>
      <c r="EB6" s="81"/>
      <c r="EC6" s="46"/>
      <c r="ED6" s="46"/>
      <c r="EE6" s="46"/>
      <c r="EF6" s="46"/>
      <c r="EG6" s="85"/>
      <c r="EH6" s="41"/>
      <c r="EI6" s="46"/>
      <c r="EJ6" s="46"/>
      <c r="EK6" s="46"/>
      <c r="EL6" s="83"/>
      <c r="EM6" s="83"/>
      <c r="EN6" s="83"/>
      <c r="EO6" s="83"/>
      <c r="EP6" s="83"/>
      <c r="EQ6" s="83"/>
      <c r="ER6" s="83"/>
      <c r="ES6" s="83"/>
      <c r="ET6" s="83"/>
      <c r="EU6" s="83"/>
      <c r="EV6" s="81"/>
      <c r="EW6" s="46"/>
      <c r="EX6" s="46"/>
      <c r="EY6" s="46"/>
      <c r="EZ6" s="46"/>
      <c r="FA6" s="85"/>
      <c r="FB6" s="41"/>
      <c r="FC6" s="46"/>
      <c r="FD6" s="46"/>
      <c r="FE6" s="46"/>
      <c r="FF6" s="83"/>
      <c r="FG6" s="83"/>
      <c r="FH6" s="83"/>
      <c r="FI6" s="83"/>
      <c r="FJ6" s="83"/>
      <c r="FK6" s="83"/>
      <c r="FL6" s="83"/>
      <c r="FM6" s="83"/>
      <c r="FN6" s="83"/>
      <c r="FO6" s="83"/>
      <c r="FP6" s="81"/>
      <c r="FQ6" s="46"/>
      <c r="FR6" s="46"/>
      <c r="FS6" s="46"/>
      <c r="FT6" s="46"/>
      <c r="FU6" s="85"/>
      <c r="FV6" s="41"/>
      <c r="FW6" s="46"/>
      <c r="FX6" s="46"/>
      <c r="FY6" s="46"/>
      <c r="FZ6" s="83"/>
      <c r="GA6" s="83"/>
      <c r="GB6" s="83"/>
      <c r="GC6" s="83"/>
      <c r="GD6" s="83"/>
      <c r="GE6" s="83"/>
      <c r="GF6" s="83"/>
      <c r="GG6" s="83"/>
      <c r="GH6" s="83"/>
      <c r="GI6" s="83"/>
      <c r="GJ6" s="81"/>
      <c r="GK6" s="46"/>
      <c r="GL6" s="46"/>
      <c r="GM6" s="46"/>
      <c r="GN6" s="46"/>
      <c r="GO6" s="85"/>
      <c r="GP6" s="41"/>
      <c r="GQ6" s="46"/>
      <c r="GR6" s="46"/>
      <c r="GS6" s="46"/>
      <c r="GT6" s="83"/>
      <c r="GU6" s="83"/>
      <c r="GV6" s="83"/>
      <c r="GW6" s="83"/>
      <c r="GX6" s="83"/>
      <c r="GY6" s="83"/>
      <c r="GZ6" s="83"/>
      <c r="HA6" s="83"/>
      <c r="HB6" s="83"/>
      <c r="HC6" s="83"/>
      <c r="HD6" s="81"/>
      <c r="HE6" s="46"/>
      <c r="HF6" s="46"/>
      <c r="HG6" s="46"/>
      <c r="HH6" s="46"/>
      <c r="HI6" s="85"/>
      <c r="HJ6" s="41"/>
      <c r="HK6" s="46"/>
      <c r="HL6" s="46"/>
      <c r="HM6" s="46"/>
      <c r="HN6" s="83"/>
      <c r="HO6" s="83"/>
      <c r="HP6" s="83"/>
      <c r="HQ6" s="83"/>
      <c r="HR6" s="83"/>
      <c r="HS6" s="83"/>
      <c r="HT6" s="83"/>
      <c r="HU6" s="83"/>
      <c r="HV6" s="83"/>
      <c r="HW6" s="83"/>
      <c r="HX6" s="81"/>
      <c r="HY6" s="46"/>
      <c r="HZ6" s="46"/>
      <c r="IA6" s="46"/>
      <c r="IB6" s="46"/>
      <c r="IC6" s="85"/>
      <c r="ID6" s="41"/>
      <c r="IE6" s="46"/>
      <c r="IF6" s="46"/>
      <c r="IG6" s="46"/>
      <c r="IH6" s="83"/>
      <c r="II6" s="83"/>
      <c r="IJ6" s="83"/>
      <c r="IK6" s="83"/>
      <c r="IL6" s="83"/>
      <c r="IM6" s="83"/>
      <c r="IN6" s="83"/>
      <c r="IO6" s="83"/>
      <c r="IP6" s="83"/>
      <c r="IQ6" s="83"/>
      <c r="IR6" s="81"/>
      <c r="IS6" s="46"/>
      <c r="IT6" s="46"/>
      <c r="IU6" s="46"/>
      <c r="IV6" s="46"/>
      <c r="IW6" s="85"/>
      <c r="IX6" s="41"/>
      <c r="IY6" s="46"/>
      <c r="IZ6" s="46"/>
      <c r="JA6" s="46"/>
      <c r="JB6" s="83"/>
      <c r="JC6" s="83"/>
      <c r="JD6" s="83"/>
      <c r="JE6" s="83"/>
      <c r="JF6" s="83"/>
      <c r="JG6" s="83"/>
      <c r="JH6" s="83"/>
      <c r="JI6" s="83"/>
      <c r="JJ6" s="83"/>
      <c r="JK6" s="83"/>
      <c r="JL6" s="81"/>
      <c r="JM6" s="46"/>
      <c r="JN6" s="46"/>
      <c r="JO6" s="46"/>
      <c r="JP6" s="46"/>
      <c r="JQ6" s="85"/>
      <c r="JR6" s="41"/>
      <c r="JS6" s="46"/>
      <c r="JT6" s="46"/>
      <c r="JU6" s="46"/>
      <c r="JV6" s="83"/>
      <c r="JW6" s="83"/>
      <c r="JX6" s="83"/>
      <c r="JY6" s="83"/>
      <c r="JZ6" s="83"/>
      <c r="KA6" s="83"/>
      <c r="KB6" s="83"/>
      <c r="KC6" s="83"/>
      <c r="KD6" s="83"/>
      <c r="KE6" s="83"/>
      <c r="KF6" s="81"/>
      <c r="KG6" s="46"/>
      <c r="KH6" s="46"/>
      <c r="KI6" s="46"/>
      <c r="KJ6" s="46"/>
      <c r="KK6" s="85"/>
      <c r="KL6" s="41"/>
      <c r="KM6" s="46"/>
      <c r="KN6" s="46"/>
      <c r="KO6" s="46"/>
      <c r="KP6" s="83"/>
      <c r="KQ6" s="83"/>
      <c r="KR6" s="83"/>
      <c r="KS6" s="83"/>
      <c r="KT6" s="83"/>
      <c r="KU6" s="83"/>
      <c r="KV6" s="83"/>
      <c r="KW6" s="83"/>
      <c r="KX6" s="83"/>
      <c r="KY6" s="83"/>
      <c r="KZ6" s="81"/>
      <c r="LA6" s="46"/>
      <c r="LB6" s="46"/>
      <c r="LC6" s="46"/>
      <c r="LD6" s="46"/>
      <c r="LE6" s="85"/>
      <c r="LF6" s="41"/>
      <c r="LG6" s="46"/>
      <c r="LH6" s="46"/>
      <c r="LI6" s="46"/>
      <c r="LJ6" s="83"/>
      <c r="LK6" s="83"/>
      <c r="LL6" s="83"/>
      <c r="LM6" s="83"/>
      <c r="LN6" s="83"/>
      <c r="LO6" s="83"/>
      <c r="LP6" s="83"/>
      <c r="LQ6" s="83"/>
      <c r="LR6" s="83"/>
      <c r="LS6" s="83"/>
      <c r="LT6" s="81"/>
      <c r="LU6" s="46"/>
      <c r="LV6" s="46"/>
      <c r="LW6" s="46"/>
      <c r="LX6" s="46"/>
      <c r="LY6" s="85"/>
      <c r="LZ6" s="41"/>
      <c r="MA6" s="46"/>
      <c r="MB6" s="46"/>
      <c r="MC6" s="46"/>
      <c r="MD6" s="83"/>
      <c r="ME6" s="83"/>
      <c r="MF6" s="83"/>
      <c r="MG6" s="83"/>
      <c r="MH6" s="83"/>
      <c r="MI6" s="83"/>
      <c r="MJ6" s="83"/>
      <c r="MK6" s="83"/>
      <c r="ML6" s="83"/>
      <c r="MM6" s="83"/>
      <c r="MN6" s="81"/>
      <c r="MO6" s="46"/>
      <c r="MP6" s="46"/>
      <c r="MQ6" s="46"/>
      <c r="MR6" s="46"/>
      <c r="MS6" s="85"/>
      <c r="MT6" s="41"/>
      <c r="MU6" s="46"/>
      <c r="MV6" s="46"/>
      <c r="MW6" s="46"/>
      <c r="MX6" s="83"/>
      <c r="MY6" s="83"/>
      <c r="MZ6" s="83"/>
      <c r="NA6" s="83"/>
      <c r="NB6" s="83"/>
      <c r="NC6" s="83"/>
      <c r="ND6" s="83"/>
      <c r="NE6" s="83"/>
      <c r="NF6" s="83"/>
      <c r="NG6" s="83"/>
      <c r="NH6" s="81"/>
      <c r="NI6" s="46"/>
      <c r="NJ6" s="46"/>
      <c r="NK6" s="46"/>
      <c r="NL6" s="46"/>
      <c r="NM6" s="85"/>
      <c r="NN6" s="41"/>
      <c r="NO6" s="46"/>
      <c r="NP6" s="46"/>
      <c r="NQ6" s="46"/>
      <c r="NR6" s="83"/>
      <c r="NS6" s="83"/>
      <c r="NT6" s="83"/>
      <c r="NU6" s="83"/>
      <c r="NV6" s="83"/>
      <c r="NW6" s="83"/>
      <c r="NX6" s="83"/>
      <c r="NY6" s="83"/>
      <c r="NZ6" s="83"/>
      <c r="OA6" s="83"/>
      <c r="OB6" s="81"/>
      <c r="OC6" s="46"/>
      <c r="OD6" s="46"/>
      <c r="OE6" s="46"/>
      <c r="OF6" s="46"/>
      <c r="OG6" s="85"/>
      <c r="OH6" s="41"/>
      <c r="OI6" s="46"/>
      <c r="OJ6" s="46"/>
      <c r="OK6" s="46"/>
      <c r="OL6" s="83"/>
      <c r="OM6" s="83"/>
      <c r="ON6" s="83"/>
      <c r="OO6" s="83"/>
      <c r="OP6" s="83"/>
      <c r="OQ6" s="83"/>
      <c r="OR6" s="83"/>
      <c r="OS6" s="83"/>
      <c r="OT6" s="83"/>
      <c r="OU6" s="83"/>
      <c r="OV6" s="81"/>
      <c r="OW6" s="46"/>
      <c r="OX6" s="46"/>
      <c r="OY6" s="46"/>
      <c r="OZ6" s="46"/>
      <c r="PA6" s="85"/>
      <c r="PB6" s="41"/>
      <c r="PC6" s="46"/>
      <c r="PD6" s="46"/>
      <c r="PE6" s="46"/>
      <c r="PF6" s="83"/>
      <c r="PG6" s="83"/>
      <c r="PH6" s="83"/>
      <c r="PI6" s="83"/>
      <c r="PJ6" s="83"/>
      <c r="PK6" s="83"/>
      <c r="PL6" s="83"/>
      <c r="PM6" s="83"/>
      <c r="PN6" s="83"/>
      <c r="PO6" s="83"/>
      <c r="PP6" s="81"/>
      <c r="PQ6" s="46"/>
      <c r="PR6" s="46"/>
      <c r="PS6" s="46"/>
      <c r="PT6" s="46"/>
      <c r="PU6" s="85"/>
      <c r="PV6" s="41"/>
      <c r="PW6" s="46"/>
      <c r="PX6" s="46"/>
      <c r="PY6" s="46"/>
      <c r="PZ6" s="83"/>
      <c r="QA6" s="83"/>
      <c r="QB6" s="83"/>
      <c r="QC6" s="83"/>
      <c r="QD6" s="83"/>
      <c r="QE6" s="83"/>
      <c r="QF6" s="83"/>
      <c r="QG6" s="83"/>
      <c r="QH6" s="83"/>
      <c r="QI6" s="83"/>
      <c r="QJ6" s="81"/>
      <c r="QK6" s="46"/>
      <c r="QL6" s="46"/>
      <c r="QM6" s="46"/>
      <c r="QN6" s="46"/>
      <c r="QO6" s="85"/>
      <c r="QP6" s="41"/>
      <c r="QQ6" s="46"/>
      <c r="QR6" s="46"/>
      <c r="QS6" s="46"/>
      <c r="QT6" s="83"/>
      <c r="QU6" s="83"/>
      <c r="QV6" s="83"/>
      <c r="QW6" s="83"/>
      <c r="QX6" s="83"/>
      <c r="QY6" s="83"/>
      <c r="QZ6" s="83"/>
      <c r="RA6" s="83"/>
      <c r="RB6" s="83"/>
      <c r="RC6" s="83"/>
      <c r="RD6" s="81"/>
      <c r="RE6" s="46"/>
      <c r="RF6" s="46"/>
      <c r="RG6" s="46"/>
      <c r="RH6" s="46"/>
      <c r="RI6" s="85"/>
      <c r="RJ6" s="41"/>
      <c r="RK6" s="46"/>
      <c r="RL6" s="46"/>
      <c r="RM6" s="46"/>
      <c r="RN6" s="83"/>
      <c r="RO6" s="83"/>
      <c r="RP6" s="83"/>
      <c r="RQ6" s="83"/>
      <c r="RR6" s="83"/>
      <c r="RS6" s="83"/>
      <c r="RT6" s="83"/>
      <c r="RU6" s="83"/>
      <c r="RV6" s="83"/>
      <c r="RW6" s="83"/>
      <c r="RX6" s="81"/>
      <c r="RY6" s="46"/>
      <c r="RZ6" s="46"/>
      <c r="SA6" s="46"/>
      <c r="SB6" s="46"/>
      <c r="SC6" s="85"/>
      <c r="SD6" s="41"/>
      <c r="SE6" s="46"/>
      <c r="SF6" s="46"/>
      <c r="SG6" s="46"/>
    </row>
    <row r="7" spans="1:501" s="44" customFormat="1" ht="20.399999999999999" customHeight="1" x14ac:dyDescent="0.3">
      <c r="A7" s="66" t="s">
        <v>106</v>
      </c>
      <c r="B7" s="66" t="s">
        <v>71</v>
      </c>
      <c r="C7" s="66" t="s">
        <v>314</v>
      </c>
      <c r="D7" s="49" t="s">
        <v>355</v>
      </c>
      <c r="E7" s="49" t="s">
        <v>316</v>
      </c>
      <c r="F7" s="49" t="s">
        <v>321</v>
      </c>
      <c r="G7" s="70" t="s">
        <v>318</v>
      </c>
      <c r="H7" s="70" t="s">
        <v>322</v>
      </c>
      <c r="I7" s="206" t="s">
        <v>356</v>
      </c>
      <c r="J7" s="70"/>
      <c r="K7" s="70"/>
      <c r="L7" s="49" t="s">
        <v>71</v>
      </c>
      <c r="M7" s="49" t="s">
        <v>314</v>
      </c>
      <c r="N7" s="70" t="s">
        <v>357</v>
      </c>
      <c r="O7" s="49" t="s">
        <v>316</v>
      </c>
      <c r="P7" s="49" t="s">
        <v>321</v>
      </c>
      <c r="Q7" s="206" t="s">
        <v>318</v>
      </c>
      <c r="R7" s="70" t="s">
        <v>322</v>
      </c>
      <c r="S7" s="70" t="s">
        <v>358</v>
      </c>
      <c r="T7" s="70"/>
      <c r="U7" s="77"/>
      <c r="V7" s="49" t="s">
        <v>71</v>
      </c>
      <c r="W7" s="49" t="s">
        <v>314</v>
      </c>
      <c r="X7" s="70" t="s">
        <v>315</v>
      </c>
      <c r="Y7" s="49" t="s">
        <v>316</v>
      </c>
      <c r="Z7" s="49" t="s">
        <v>321</v>
      </c>
      <c r="AA7" s="70" t="s">
        <v>318</v>
      </c>
      <c r="AB7" s="70" t="s">
        <v>322</v>
      </c>
      <c r="AC7" s="70" t="s">
        <v>315</v>
      </c>
      <c r="AD7" s="82"/>
      <c r="AE7" s="82"/>
      <c r="AF7" s="108" t="s">
        <v>359</v>
      </c>
      <c r="AG7" s="109" t="s">
        <v>360</v>
      </c>
      <c r="AH7" s="82" t="s">
        <v>361</v>
      </c>
      <c r="AI7" s="53" t="s">
        <v>332</v>
      </c>
      <c r="AJ7" s="82" t="s">
        <v>333</v>
      </c>
      <c r="AK7" s="201" t="s">
        <v>360</v>
      </c>
      <c r="AL7" s="82" t="s">
        <v>362</v>
      </c>
      <c r="AM7" s="82" t="s">
        <v>363</v>
      </c>
      <c r="AN7" s="53"/>
      <c r="AO7" s="53"/>
      <c r="AP7" s="108" t="s">
        <v>364</v>
      </c>
      <c r="AQ7" s="109" t="s">
        <v>360</v>
      </c>
      <c r="AR7" s="82" t="s">
        <v>365</v>
      </c>
      <c r="AS7" s="53" t="s">
        <v>332</v>
      </c>
      <c r="AT7" s="82" t="s">
        <v>333</v>
      </c>
      <c r="AU7" s="201" t="s">
        <v>360</v>
      </c>
      <c r="AV7" s="82" t="s">
        <v>362</v>
      </c>
      <c r="AW7" s="53" t="s">
        <v>366</v>
      </c>
      <c r="AX7" s="82"/>
      <c r="AY7" s="82"/>
      <c r="AZ7" s="108" t="s">
        <v>367</v>
      </c>
      <c r="BA7" s="109" t="s">
        <v>360</v>
      </c>
      <c r="BB7" s="53" t="s">
        <v>368</v>
      </c>
      <c r="BC7" s="53" t="s">
        <v>332</v>
      </c>
      <c r="BD7" s="82" t="s">
        <v>333</v>
      </c>
      <c r="BE7" s="201"/>
      <c r="BF7" s="82"/>
      <c r="BG7" s="53"/>
      <c r="BH7" s="53"/>
      <c r="BI7" s="53"/>
      <c r="BJ7" s="80" t="s">
        <v>367</v>
      </c>
      <c r="BK7" s="109" t="s">
        <v>360</v>
      </c>
      <c r="BL7" s="82" t="s">
        <v>369</v>
      </c>
      <c r="BM7" s="53" t="s">
        <v>332</v>
      </c>
      <c r="BN7" s="82" t="s">
        <v>333</v>
      </c>
      <c r="BO7" s="201"/>
      <c r="BP7" s="82"/>
      <c r="BQ7" s="53"/>
      <c r="BR7" s="82"/>
      <c r="BS7" s="82"/>
      <c r="BT7" s="80" t="s">
        <v>367</v>
      </c>
      <c r="BU7" s="109" t="s">
        <v>360</v>
      </c>
      <c r="BV7" s="53" t="s">
        <v>370</v>
      </c>
      <c r="BW7" s="53" t="s">
        <v>332</v>
      </c>
      <c r="BX7" s="82" t="s">
        <v>333</v>
      </c>
      <c r="BY7" s="84"/>
      <c r="BZ7" s="52"/>
      <c r="CA7" s="53"/>
      <c r="CB7" s="53"/>
      <c r="CC7" s="53"/>
      <c r="CD7" s="80" t="s">
        <v>367</v>
      </c>
      <c r="CE7" s="109" t="s">
        <v>360</v>
      </c>
      <c r="CF7" s="82" t="s">
        <v>371</v>
      </c>
      <c r="CG7" s="53" t="s">
        <v>332</v>
      </c>
      <c r="CH7" s="82" t="s">
        <v>333</v>
      </c>
      <c r="CI7" s="82"/>
      <c r="CJ7" s="82"/>
      <c r="CK7" s="82"/>
      <c r="CL7" s="82"/>
      <c r="CM7" s="82"/>
      <c r="CN7" s="80"/>
      <c r="CO7" s="109"/>
      <c r="CP7" s="53"/>
      <c r="CQ7" s="53"/>
      <c r="CR7" s="53"/>
      <c r="CS7" s="84"/>
      <c r="CT7" s="52"/>
      <c r="CU7" s="53"/>
      <c r="CV7" s="53"/>
      <c r="CW7" s="53"/>
      <c r="CX7" s="80"/>
      <c r="CY7" s="109"/>
      <c r="CZ7" s="82"/>
      <c r="DA7" s="53"/>
      <c r="DB7" s="82"/>
      <c r="DC7" s="82"/>
      <c r="DD7" s="82"/>
      <c r="DE7" s="82"/>
      <c r="DF7" s="82"/>
      <c r="DG7" s="82"/>
      <c r="DH7" s="80"/>
      <c r="DI7" s="53"/>
      <c r="DJ7" s="53"/>
      <c r="DK7" s="53"/>
      <c r="DL7" s="53"/>
      <c r="DM7" s="84"/>
      <c r="DN7" s="52"/>
      <c r="DO7" s="53"/>
      <c r="DP7" s="53"/>
      <c r="DQ7" s="53"/>
      <c r="DR7" s="82"/>
      <c r="DS7" s="82"/>
      <c r="DT7" s="82"/>
      <c r="DU7" s="82"/>
      <c r="DV7" s="82"/>
      <c r="DW7" s="82"/>
      <c r="DX7" s="82"/>
      <c r="DY7" s="82"/>
      <c r="DZ7" s="82"/>
      <c r="EA7" s="82"/>
      <c r="EB7" s="80"/>
      <c r="EC7" s="53"/>
      <c r="ED7" s="53"/>
      <c r="EE7" s="53"/>
      <c r="EF7" s="53"/>
      <c r="EG7" s="84"/>
      <c r="EH7" s="52"/>
      <c r="EI7" s="53"/>
      <c r="EJ7" s="53"/>
      <c r="EK7" s="53"/>
      <c r="EL7" s="82"/>
      <c r="EM7" s="82"/>
      <c r="EN7" s="82"/>
      <c r="EO7" s="82"/>
      <c r="EP7" s="82"/>
      <c r="EQ7" s="82"/>
      <c r="ER7" s="82"/>
      <c r="ES7" s="82"/>
      <c r="ET7" s="82"/>
      <c r="EU7" s="82"/>
      <c r="EV7" s="80"/>
      <c r="EW7" s="53"/>
      <c r="EX7" s="53"/>
      <c r="EY7" s="53"/>
      <c r="EZ7" s="53"/>
      <c r="FA7" s="84"/>
      <c r="FB7" s="52"/>
      <c r="FC7" s="53"/>
      <c r="FD7" s="53"/>
      <c r="FE7" s="53"/>
      <c r="FF7" s="82"/>
      <c r="FG7" s="82"/>
      <c r="FH7" s="82"/>
      <c r="FI7" s="82"/>
      <c r="FJ7" s="82"/>
      <c r="FK7" s="82"/>
      <c r="FL7" s="82"/>
      <c r="FM7" s="82"/>
      <c r="FN7" s="82"/>
      <c r="FO7" s="82"/>
      <c r="FP7" s="80"/>
      <c r="FQ7" s="53"/>
      <c r="FR7" s="53"/>
      <c r="FS7" s="53"/>
      <c r="FT7" s="53"/>
      <c r="FU7" s="84"/>
      <c r="FV7" s="52"/>
      <c r="FW7" s="53"/>
      <c r="FX7" s="53"/>
      <c r="FY7" s="53"/>
      <c r="FZ7" s="82"/>
      <c r="GA7" s="82"/>
      <c r="GB7" s="82"/>
      <c r="GC7" s="82"/>
      <c r="GD7" s="82"/>
      <c r="GE7" s="82"/>
      <c r="GF7" s="82"/>
      <c r="GG7" s="82"/>
      <c r="GH7" s="82"/>
      <c r="GI7" s="82"/>
      <c r="GJ7" s="80"/>
      <c r="GK7" s="53"/>
      <c r="GL7" s="53"/>
      <c r="GM7" s="53"/>
      <c r="GN7" s="53"/>
      <c r="GO7" s="84"/>
      <c r="GP7" s="52"/>
      <c r="GQ7" s="53"/>
      <c r="GR7" s="53"/>
      <c r="GS7" s="53"/>
      <c r="GT7" s="82"/>
      <c r="GU7" s="82"/>
      <c r="GV7" s="82"/>
      <c r="GW7" s="82"/>
      <c r="GX7" s="82"/>
      <c r="GY7" s="82"/>
      <c r="GZ7" s="82"/>
      <c r="HA7" s="82"/>
      <c r="HB7" s="82"/>
      <c r="HC7" s="82"/>
      <c r="HD7" s="80"/>
      <c r="HE7" s="53"/>
      <c r="HF7" s="53"/>
      <c r="HG7" s="53"/>
      <c r="HH7" s="53"/>
      <c r="HI7" s="84"/>
      <c r="HJ7" s="52"/>
      <c r="HK7" s="53"/>
      <c r="HL7" s="53"/>
      <c r="HM7" s="53"/>
      <c r="HN7" s="82"/>
      <c r="HO7" s="82"/>
      <c r="HP7" s="82"/>
      <c r="HQ7" s="82"/>
      <c r="HR7" s="82"/>
      <c r="HS7" s="82"/>
      <c r="HT7" s="82"/>
      <c r="HU7" s="82"/>
      <c r="HV7" s="82"/>
      <c r="HW7" s="82"/>
      <c r="HX7" s="80"/>
      <c r="HY7" s="53"/>
      <c r="HZ7" s="53"/>
      <c r="IA7" s="53"/>
      <c r="IB7" s="53"/>
      <c r="IC7" s="84"/>
      <c r="ID7" s="52"/>
      <c r="IE7" s="53"/>
      <c r="IF7" s="53"/>
      <c r="IG7" s="53"/>
      <c r="IH7" s="82"/>
      <c r="II7" s="82"/>
      <c r="IJ7" s="82"/>
      <c r="IK7" s="82"/>
      <c r="IL7" s="82"/>
      <c r="IM7" s="82"/>
      <c r="IN7" s="82"/>
      <c r="IO7" s="82"/>
      <c r="IP7" s="82"/>
      <c r="IQ7" s="82"/>
      <c r="IR7" s="80"/>
      <c r="IS7" s="53"/>
      <c r="IT7" s="53"/>
      <c r="IU7" s="53"/>
      <c r="IV7" s="53"/>
      <c r="IW7" s="84"/>
      <c r="IX7" s="52"/>
      <c r="IY7" s="53"/>
      <c r="IZ7" s="53"/>
      <c r="JA7" s="53"/>
      <c r="JB7" s="82"/>
      <c r="JC7" s="82"/>
      <c r="JD7" s="82"/>
      <c r="JE7" s="82"/>
      <c r="JF7" s="82"/>
      <c r="JG7" s="82"/>
      <c r="JH7" s="82"/>
      <c r="JI7" s="82"/>
      <c r="JJ7" s="82"/>
      <c r="JK7" s="82"/>
      <c r="JL7" s="80"/>
      <c r="JM7" s="53"/>
      <c r="JN7" s="53"/>
      <c r="JO7" s="53"/>
      <c r="JP7" s="53"/>
      <c r="JQ7" s="84"/>
      <c r="JR7" s="52"/>
      <c r="JS7" s="53"/>
      <c r="JT7" s="53"/>
      <c r="JU7" s="53"/>
      <c r="JV7" s="82"/>
      <c r="JW7" s="82"/>
      <c r="JX7" s="82"/>
      <c r="JY7" s="82"/>
      <c r="JZ7" s="82"/>
      <c r="KA7" s="82"/>
      <c r="KB7" s="82"/>
      <c r="KC7" s="82"/>
      <c r="KD7" s="82"/>
      <c r="KE7" s="82"/>
      <c r="KF7" s="80"/>
      <c r="KG7" s="53"/>
      <c r="KH7" s="53"/>
      <c r="KI7" s="53"/>
      <c r="KJ7" s="53"/>
      <c r="KK7" s="84"/>
      <c r="KL7" s="52"/>
      <c r="KM7" s="53"/>
      <c r="KN7" s="53"/>
      <c r="KO7" s="53"/>
      <c r="KP7" s="82"/>
      <c r="KQ7" s="82"/>
      <c r="KR7" s="82"/>
      <c r="KS7" s="82"/>
      <c r="KT7" s="82"/>
      <c r="KU7" s="82"/>
      <c r="KV7" s="82"/>
      <c r="KW7" s="82"/>
      <c r="KX7" s="82"/>
      <c r="KY7" s="82"/>
      <c r="KZ7" s="80"/>
      <c r="LA7" s="53"/>
      <c r="LB7" s="53"/>
      <c r="LC7" s="53"/>
      <c r="LD7" s="53"/>
      <c r="LE7" s="84"/>
      <c r="LF7" s="52"/>
      <c r="LG7" s="53"/>
      <c r="LH7" s="53"/>
      <c r="LI7" s="53"/>
      <c r="LJ7" s="82"/>
      <c r="LK7" s="82"/>
      <c r="LL7" s="82"/>
      <c r="LM7" s="82"/>
      <c r="LN7" s="82"/>
      <c r="LO7" s="82"/>
      <c r="LP7" s="82"/>
      <c r="LQ7" s="82"/>
      <c r="LR7" s="82"/>
      <c r="LS7" s="82"/>
      <c r="LT7" s="80"/>
      <c r="LU7" s="53"/>
      <c r="LV7" s="53"/>
      <c r="LW7" s="53"/>
      <c r="LX7" s="53"/>
      <c r="LY7" s="84"/>
      <c r="LZ7" s="52"/>
      <c r="MA7" s="53"/>
      <c r="MB7" s="53"/>
      <c r="MC7" s="53"/>
      <c r="MD7" s="82"/>
      <c r="ME7" s="82"/>
      <c r="MF7" s="82"/>
      <c r="MG7" s="82"/>
      <c r="MH7" s="82"/>
      <c r="MI7" s="82"/>
      <c r="MJ7" s="82"/>
      <c r="MK7" s="82"/>
      <c r="ML7" s="82"/>
      <c r="MM7" s="82"/>
      <c r="MN7" s="80"/>
      <c r="MO7" s="53"/>
      <c r="MP7" s="53"/>
      <c r="MQ7" s="53"/>
      <c r="MR7" s="53"/>
      <c r="MS7" s="84"/>
      <c r="MT7" s="52"/>
      <c r="MU7" s="53"/>
      <c r="MV7" s="53"/>
      <c r="MW7" s="53"/>
      <c r="MX7" s="82"/>
      <c r="MY7" s="82"/>
      <c r="MZ7" s="82"/>
      <c r="NA7" s="82"/>
      <c r="NB7" s="82"/>
      <c r="NC7" s="82"/>
      <c r="ND7" s="82"/>
      <c r="NE7" s="82"/>
      <c r="NF7" s="82"/>
      <c r="NG7" s="82"/>
      <c r="NH7" s="80"/>
      <c r="NI7" s="53"/>
      <c r="NJ7" s="53"/>
      <c r="NK7" s="53"/>
      <c r="NL7" s="53"/>
      <c r="NM7" s="84"/>
      <c r="NN7" s="52"/>
      <c r="NO7" s="53"/>
      <c r="NP7" s="53"/>
      <c r="NQ7" s="53"/>
      <c r="NR7" s="82"/>
      <c r="NS7" s="82"/>
      <c r="NT7" s="82"/>
      <c r="NU7" s="82"/>
      <c r="NV7" s="82"/>
      <c r="NW7" s="82"/>
      <c r="NX7" s="82"/>
      <c r="NY7" s="82"/>
      <c r="NZ7" s="82"/>
      <c r="OA7" s="82"/>
      <c r="OB7" s="80"/>
      <c r="OC7" s="53"/>
      <c r="OD7" s="53"/>
      <c r="OE7" s="53"/>
      <c r="OF7" s="53"/>
      <c r="OG7" s="84"/>
      <c r="OH7" s="52"/>
      <c r="OI7" s="53"/>
      <c r="OJ7" s="53"/>
      <c r="OK7" s="53"/>
      <c r="OL7" s="82"/>
      <c r="OM7" s="82"/>
      <c r="ON7" s="82"/>
      <c r="OO7" s="82"/>
      <c r="OP7" s="82"/>
      <c r="OQ7" s="82"/>
      <c r="OR7" s="82"/>
      <c r="OS7" s="82"/>
      <c r="OT7" s="82"/>
      <c r="OU7" s="82"/>
      <c r="OV7" s="80"/>
      <c r="OW7" s="53"/>
      <c r="OX7" s="53"/>
      <c r="OY7" s="53"/>
      <c r="OZ7" s="53"/>
      <c r="PA7" s="84"/>
      <c r="PB7" s="52"/>
      <c r="PC7" s="53"/>
      <c r="PD7" s="53"/>
      <c r="PE7" s="53"/>
      <c r="PF7" s="82"/>
      <c r="PG7" s="82"/>
      <c r="PH7" s="82"/>
      <c r="PI7" s="82"/>
      <c r="PJ7" s="82"/>
      <c r="PK7" s="82"/>
      <c r="PL7" s="82"/>
      <c r="PM7" s="82"/>
      <c r="PN7" s="82"/>
      <c r="PO7" s="82"/>
      <c r="PP7" s="80"/>
      <c r="PQ7" s="53"/>
      <c r="PR7" s="53"/>
      <c r="PS7" s="53"/>
      <c r="PT7" s="53"/>
      <c r="PU7" s="84"/>
      <c r="PV7" s="52"/>
      <c r="PW7" s="53"/>
      <c r="PX7" s="53"/>
      <c r="PY7" s="53"/>
      <c r="PZ7" s="82"/>
      <c r="QA7" s="82"/>
      <c r="QB7" s="82"/>
      <c r="QC7" s="82"/>
      <c r="QD7" s="82"/>
      <c r="QE7" s="82"/>
      <c r="QF7" s="82"/>
      <c r="QG7" s="82"/>
      <c r="QH7" s="82"/>
      <c r="QI7" s="82"/>
      <c r="QJ7" s="80"/>
      <c r="QK7" s="53"/>
      <c r="QL7" s="53"/>
      <c r="QM7" s="53"/>
      <c r="QN7" s="53"/>
      <c r="QO7" s="84"/>
      <c r="QP7" s="52"/>
      <c r="QQ7" s="53"/>
      <c r="QR7" s="53"/>
      <c r="QS7" s="53"/>
      <c r="QT7" s="82"/>
      <c r="QU7" s="82"/>
      <c r="QV7" s="82"/>
      <c r="QW7" s="82"/>
      <c r="QX7" s="82"/>
      <c r="QY7" s="82"/>
      <c r="QZ7" s="82"/>
      <c r="RA7" s="82"/>
      <c r="RB7" s="82"/>
      <c r="RC7" s="82"/>
      <c r="RD7" s="80"/>
      <c r="RE7" s="53"/>
      <c r="RF7" s="53"/>
      <c r="RG7" s="53"/>
      <c r="RH7" s="53"/>
      <c r="RI7" s="84"/>
      <c r="RJ7" s="52"/>
      <c r="RK7" s="53"/>
      <c r="RL7" s="53"/>
      <c r="RM7" s="53"/>
      <c r="RN7" s="82"/>
      <c r="RO7" s="82"/>
      <c r="RP7" s="82"/>
      <c r="RQ7" s="82"/>
      <c r="RR7" s="82"/>
      <c r="RS7" s="82"/>
      <c r="RT7" s="82"/>
      <c r="RU7" s="82"/>
      <c r="RV7" s="82"/>
      <c r="RW7" s="82"/>
      <c r="RX7" s="80"/>
      <c r="RY7" s="53"/>
      <c r="RZ7" s="53"/>
      <c r="SA7" s="53"/>
      <c r="SB7" s="53"/>
      <c r="SC7" s="84"/>
      <c r="SD7" s="52"/>
      <c r="SE7" s="53"/>
      <c r="SF7" s="53"/>
      <c r="SG7" s="53"/>
    </row>
    <row r="8" spans="1:501" s="44" customFormat="1" ht="20.399999999999999" customHeight="1" x14ac:dyDescent="0.3">
      <c r="A8" s="125" t="s">
        <v>110</v>
      </c>
      <c r="B8" s="125" t="s">
        <v>71</v>
      </c>
      <c r="C8" s="125" t="s">
        <v>314</v>
      </c>
      <c r="D8" s="12" t="s">
        <v>315</v>
      </c>
      <c r="E8" s="12" t="s">
        <v>316</v>
      </c>
      <c r="F8" s="12" t="s">
        <v>321</v>
      </c>
      <c r="G8" s="72" t="s">
        <v>318</v>
      </c>
      <c r="H8" s="72" t="s">
        <v>322</v>
      </c>
      <c r="I8" s="204" t="s">
        <v>315</v>
      </c>
      <c r="J8" s="72"/>
      <c r="K8" s="72"/>
      <c r="L8" s="12" t="s">
        <v>71</v>
      </c>
      <c r="M8" s="12" t="s">
        <v>314</v>
      </c>
      <c r="N8" s="12" t="s">
        <v>315</v>
      </c>
      <c r="O8" s="12" t="s">
        <v>316</v>
      </c>
      <c r="P8" s="12" t="s">
        <v>321</v>
      </c>
      <c r="Q8" s="204" t="s">
        <v>318</v>
      </c>
      <c r="R8" s="72" t="s">
        <v>322</v>
      </c>
      <c r="S8" s="72" t="s">
        <v>315</v>
      </c>
      <c r="T8" s="72"/>
      <c r="U8" s="78"/>
      <c r="V8" s="12" t="s">
        <v>71</v>
      </c>
      <c r="W8" s="12" t="s">
        <v>314</v>
      </c>
      <c r="X8" s="12" t="s">
        <v>315</v>
      </c>
      <c r="Y8" s="12" t="s">
        <v>316</v>
      </c>
      <c r="Z8" s="12" t="s">
        <v>321</v>
      </c>
      <c r="AA8" s="72" t="s">
        <v>318</v>
      </c>
      <c r="AB8" s="72" t="s">
        <v>322</v>
      </c>
      <c r="AC8" s="72" t="s">
        <v>315</v>
      </c>
      <c r="AD8" s="83"/>
      <c r="AE8" s="83"/>
      <c r="AF8" s="81" t="s">
        <v>372</v>
      </c>
      <c r="AG8" s="46" t="s">
        <v>331</v>
      </c>
      <c r="AH8" s="46" t="s">
        <v>315</v>
      </c>
      <c r="AI8" s="12" t="s">
        <v>332</v>
      </c>
      <c r="AJ8" s="12" t="s">
        <v>333</v>
      </c>
      <c r="AK8" s="72" t="s">
        <v>318</v>
      </c>
      <c r="AL8" s="72" t="s">
        <v>335</v>
      </c>
      <c r="AM8" s="46" t="s">
        <v>315</v>
      </c>
      <c r="AN8" s="46"/>
      <c r="AO8" s="46"/>
      <c r="AP8" s="83" t="s">
        <v>373</v>
      </c>
      <c r="AQ8" s="46" t="s">
        <v>331</v>
      </c>
      <c r="AR8" s="83" t="s">
        <v>374</v>
      </c>
      <c r="AS8" s="83" t="s">
        <v>332</v>
      </c>
      <c r="AT8" s="83">
        <v>125</v>
      </c>
      <c r="AU8" s="83" t="s">
        <v>334</v>
      </c>
      <c r="AV8" s="83" t="s">
        <v>375</v>
      </c>
      <c r="AW8" s="83" t="s">
        <v>376</v>
      </c>
      <c r="AX8" s="83"/>
      <c r="AY8" s="83"/>
      <c r="AZ8" s="83" t="s">
        <v>73</v>
      </c>
      <c r="BA8" s="46" t="s">
        <v>331</v>
      </c>
      <c r="BB8" s="46" t="s">
        <v>374</v>
      </c>
      <c r="BC8" s="46" t="s">
        <v>332</v>
      </c>
      <c r="BD8" s="46">
        <v>125</v>
      </c>
      <c r="BE8" s="85" t="s">
        <v>334</v>
      </c>
      <c r="BF8" s="41" t="s">
        <v>377</v>
      </c>
      <c r="BG8" s="46" t="s">
        <v>315</v>
      </c>
      <c r="BH8" s="46"/>
      <c r="BI8" s="46"/>
      <c r="BJ8" s="83" t="s">
        <v>324</v>
      </c>
      <c r="BK8" s="110" t="s">
        <v>349</v>
      </c>
      <c r="BL8" s="83" t="s">
        <v>378</v>
      </c>
      <c r="BM8" s="83" t="s">
        <v>327</v>
      </c>
      <c r="BN8" s="83" t="s">
        <v>328</v>
      </c>
      <c r="BO8" s="83" t="s">
        <v>379</v>
      </c>
      <c r="BP8" s="83" t="s">
        <v>330</v>
      </c>
      <c r="BQ8" s="83">
        <v>66699</v>
      </c>
      <c r="BR8" s="83"/>
      <c r="BS8" s="83"/>
      <c r="BT8" s="83" t="s">
        <v>324</v>
      </c>
      <c r="BU8" s="110" t="s">
        <v>349</v>
      </c>
      <c r="BV8" s="46" t="s">
        <v>380</v>
      </c>
      <c r="BW8" s="83" t="s">
        <v>327</v>
      </c>
      <c r="BX8" s="83" t="s">
        <v>328</v>
      </c>
      <c r="BY8" s="83" t="s">
        <v>379</v>
      </c>
      <c r="BZ8" s="83" t="s">
        <v>330</v>
      </c>
      <c r="CA8" s="83">
        <v>1515979</v>
      </c>
      <c r="CB8" s="46"/>
      <c r="CC8" s="46"/>
      <c r="CD8" s="110" t="s">
        <v>359</v>
      </c>
      <c r="CE8" s="110" t="s">
        <v>360</v>
      </c>
      <c r="CF8" s="83" t="s">
        <v>381</v>
      </c>
      <c r="CG8" s="83" t="s">
        <v>332</v>
      </c>
      <c r="CH8" s="83" t="s">
        <v>333</v>
      </c>
      <c r="CI8" s="194" t="s">
        <v>360</v>
      </c>
      <c r="CJ8" s="83" t="s">
        <v>362</v>
      </c>
      <c r="CK8" s="83" t="s">
        <v>382</v>
      </c>
      <c r="CL8" s="83"/>
      <c r="CM8" s="83"/>
      <c r="CN8" s="81"/>
      <c r="CO8" s="46"/>
      <c r="CP8" s="46"/>
      <c r="CQ8" s="46"/>
      <c r="CR8" s="46"/>
      <c r="CS8" s="85"/>
      <c r="CT8" s="41"/>
      <c r="CU8" s="46"/>
      <c r="CV8" s="46"/>
      <c r="CW8" s="46"/>
      <c r="CX8" s="83"/>
      <c r="CY8" s="83"/>
      <c r="CZ8" s="83"/>
      <c r="DA8" s="83"/>
      <c r="DB8" s="83"/>
      <c r="DC8" s="83"/>
      <c r="DD8" s="83"/>
      <c r="DE8" s="83"/>
      <c r="DF8" s="83"/>
      <c r="DG8" s="83"/>
      <c r="DH8" s="81"/>
      <c r="DI8" s="46"/>
      <c r="DJ8" s="46"/>
      <c r="DK8" s="46"/>
      <c r="DL8" s="46"/>
      <c r="DM8" s="85"/>
      <c r="DN8" s="41"/>
      <c r="DO8" s="46"/>
      <c r="DP8" s="46"/>
      <c r="DQ8" s="46"/>
      <c r="DR8" s="83"/>
      <c r="DS8" s="83"/>
      <c r="DT8" s="83"/>
      <c r="DU8" s="83"/>
      <c r="DV8" s="83"/>
      <c r="DW8" s="83"/>
      <c r="DX8" s="83"/>
      <c r="DY8" s="83"/>
      <c r="DZ8" s="83"/>
      <c r="EA8" s="83"/>
      <c r="EB8" s="81"/>
      <c r="EC8" s="46"/>
      <c r="ED8" s="46"/>
      <c r="EE8" s="46"/>
      <c r="EF8" s="46"/>
      <c r="EG8" s="85"/>
      <c r="EH8" s="41"/>
      <c r="EI8" s="46"/>
      <c r="EJ8" s="46"/>
      <c r="EK8" s="46"/>
      <c r="EL8" s="83"/>
      <c r="EM8" s="83"/>
      <c r="EN8" s="83"/>
      <c r="EO8" s="83"/>
      <c r="EP8" s="83"/>
      <c r="EQ8" s="83"/>
      <c r="ER8" s="83"/>
      <c r="ES8" s="83"/>
      <c r="ET8" s="83"/>
      <c r="EU8" s="83"/>
      <c r="EV8" s="81"/>
      <c r="EW8" s="46"/>
      <c r="EX8" s="46"/>
      <c r="EY8" s="46"/>
      <c r="EZ8" s="46"/>
      <c r="FA8" s="85"/>
      <c r="FB8" s="41"/>
      <c r="FC8" s="46"/>
      <c r="FD8" s="46"/>
      <c r="FE8" s="46"/>
      <c r="FF8" s="83"/>
      <c r="FG8" s="83"/>
      <c r="FH8" s="83"/>
      <c r="FI8" s="83"/>
      <c r="FJ8" s="83"/>
      <c r="FK8" s="83"/>
      <c r="FL8" s="83"/>
      <c r="FM8" s="83"/>
      <c r="FN8" s="83"/>
      <c r="FO8" s="83"/>
      <c r="FP8" s="81"/>
      <c r="FQ8" s="46"/>
      <c r="FR8" s="46"/>
      <c r="FS8" s="46"/>
      <c r="FT8" s="46"/>
      <c r="FU8" s="85"/>
      <c r="FV8" s="41"/>
      <c r="FW8" s="46"/>
      <c r="FX8" s="46"/>
      <c r="FY8" s="46"/>
      <c r="FZ8" s="83"/>
      <c r="GA8" s="83"/>
      <c r="GB8" s="83"/>
      <c r="GC8" s="83"/>
      <c r="GD8" s="83"/>
      <c r="GE8" s="83"/>
      <c r="GF8" s="83"/>
      <c r="GG8" s="83"/>
      <c r="GH8" s="83"/>
      <c r="GI8" s="83"/>
      <c r="GJ8" s="81"/>
      <c r="GK8" s="46"/>
      <c r="GL8" s="46"/>
      <c r="GM8" s="46"/>
      <c r="GN8" s="46"/>
      <c r="GO8" s="85"/>
      <c r="GP8" s="41"/>
      <c r="GQ8" s="46"/>
      <c r="GR8" s="46"/>
      <c r="GS8" s="46"/>
      <c r="GT8" s="83"/>
      <c r="GU8" s="83"/>
      <c r="GV8" s="83"/>
      <c r="GW8" s="83"/>
      <c r="GX8" s="83"/>
      <c r="GY8" s="83"/>
      <c r="GZ8" s="83"/>
      <c r="HA8" s="83"/>
      <c r="HB8" s="83"/>
      <c r="HC8" s="83"/>
      <c r="HD8" s="81"/>
      <c r="HE8" s="46"/>
      <c r="HF8" s="46"/>
      <c r="HG8" s="46"/>
      <c r="HH8" s="46"/>
      <c r="HI8" s="85"/>
      <c r="HJ8" s="41"/>
      <c r="HK8" s="46"/>
      <c r="HL8" s="46"/>
      <c r="HM8" s="46"/>
      <c r="HN8" s="83"/>
      <c r="HO8" s="83"/>
      <c r="HP8" s="83"/>
      <c r="HQ8" s="83"/>
      <c r="HR8" s="83"/>
      <c r="HS8" s="83"/>
      <c r="HT8" s="83"/>
      <c r="HU8" s="83"/>
      <c r="HV8" s="83"/>
      <c r="HW8" s="83"/>
      <c r="HX8" s="81"/>
      <c r="HY8" s="46"/>
      <c r="HZ8" s="46"/>
      <c r="IA8" s="46"/>
      <c r="IB8" s="46"/>
      <c r="IC8" s="85"/>
      <c r="ID8" s="41"/>
      <c r="IE8" s="46"/>
      <c r="IF8" s="46"/>
      <c r="IG8" s="46"/>
      <c r="IH8" s="83"/>
      <c r="II8" s="83"/>
      <c r="IJ8" s="83"/>
      <c r="IK8" s="83"/>
      <c r="IL8" s="83"/>
      <c r="IM8" s="83"/>
      <c r="IN8" s="83"/>
      <c r="IO8" s="83"/>
      <c r="IP8" s="83"/>
      <c r="IQ8" s="83"/>
      <c r="IR8" s="81"/>
      <c r="IS8" s="46"/>
      <c r="IT8" s="46"/>
      <c r="IU8" s="46"/>
      <c r="IV8" s="46"/>
      <c r="IW8" s="85"/>
      <c r="IX8" s="41"/>
      <c r="IY8" s="46"/>
      <c r="IZ8" s="46"/>
      <c r="JA8" s="46"/>
      <c r="JB8" s="83"/>
      <c r="JC8" s="83"/>
      <c r="JD8" s="83"/>
      <c r="JE8" s="83"/>
      <c r="JF8" s="83"/>
      <c r="JG8" s="83"/>
      <c r="JH8" s="83"/>
      <c r="JI8" s="83"/>
      <c r="JJ8" s="83"/>
      <c r="JK8" s="83"/>
      <c r="JL8" s="81"/>
      <c r="JM8" s="46"/>
      <c r="JN8" s="46"/>
      <c r="JO8" s="46"/>
      <c r="JP8" s="46"/>
      <c r="JQ8" s="85"/>
      <c r="JR8" s="41"/>
      <c r="JS8" s="46"/>
      <c r="JT8" s="46"/>
      <c r="JU8" s="46"/>
      <c r="JV8" s="83"/>
      <c r="JW8" s="83"/>
      <c r="JX8" s="83"/>
      <c r="JY8" s="83"/>
      <c r="JZ8" s="83"/>
      <c r="KA8" s="83"/>
      <c r="KB8" s="83"/>
      <c r="KC8" s="83"/>
      <c r="KD8" s="83"/>
      <c r="KE8" s="83"/>
      <c r="KF8" s="81"/>
      <c r="KG8" s="46"/>
      <c r="KH8" s="46"/>
      <c r="KI8" s="46"/>
      <c r="KJ8" s="46"/>
      <c r="KK8" s="85"/>
      <c r="KL8" s="41"/>
      <c r="KM8" s="46"/>
      <c r="KN8" s="46"/>
      <c r="KO8" s="46"/>
      <c r="KP8" s="83"/>
      <c r="KQ8" s="83"/>
      <c r="KR8" s="83"/>
      <c r="KS8" s="83"/>
      <c r="KT8" s="83"/>
      <c r="KU8" s="83"/>
      <c r="KV8" s="83"/>
      <c r="KW8" s="83"/>
      <c r="KX8" s="83"/>
      <c r="KY8" s="83"/>
      <c r="KZ8" s="81"/>
      <c r="LA8" s="46"/>
      <c r="LB8" s="46"/>
      <c r="LC8" s="46"/>
      <c r="LD8" s="46"/>
      <c r="LE8" s="85"/>
      <c r="LF8" s="41"/>
      <c r="LG8" s="46"/>
      <c r="LH8" s="46"/>
      <c r="LI8" s="46"/>
      <c r="LJ8" s="83"/>
      <c r="LK8" s="83"/>
      <c r="LL8" s="83"/>
      <c r="LM8" s="83"/>
      <c r="LN8" s="83"/>
      <c r="LO8" s="83"/>
      <c r="LP8" s="83"/>
      <c r="LQ8" s="83"/>
      <c r="LR8" s="83"/>
      <c r="LS8" s="83"/>
      <c r="LT8" s="81"/>
      <c r="LU8" s="46"/>
      <c r="LV8" s="46"/>
      <c r="LW8" s="46"/>
      <c r="LX8" s="46"/>
      <c r="LY8" s="85"/>
      <c r="LZ8" s="41"/>
      <c r="MA8" s="46"/>
      <c r="MB8" s="46"/>
      <c r="MC8" s="46"/>
      <c r="MD8" s="83"/>
      <c r="ME8" s="83"/>
      <c r="MF8" s="83"/>
      <c r="MG8" s="83"/>
      <c r="MH8" s="83"/>
      <c r="MI8" s="83"/>
      <c r="MJ8" s="83"/>
      <c r="MK8" s="83"/>
      <c r="ML8" s="83"/>
      <c r="MM8" s="83"/>
      <c r="MN8" s="81"/>
      <c r="MO8" s="46"/>
      <c r="MP8" s="46"/>
      <c r="MQ8" s="46"/>
      <c r="MR8" s="46"/>
      <c r="MS8" s="85"/>
      <c r="MT8" s="41"/>
      <c r="MU8" s="46"/>
      <c r="MV8" s="46"/>
      <c r="MW8" s="46"/>
      <c r="MX8" s="83"/>
      <c r="MY8" s="83"/>
      <c r="MZ8" s="83"/>
      <c r="NA8" s="83"/>
      <c r="NB8" s="83"/>
      <c r="NC8" s="83"/>
      <c r="ND8" s="83"/>
      <c r="NE8" s="83"/>
      <c r="NF8" s="83"/>
      <c r="NG8" s="83"/>
      <c r="NH8" s="81"/>
      <c r="NI8" s="46"/>
      <c r="NJ8" s="46"/>
      <c r="NK8" s="46"/>
      <c r="NL8" s="46"/>
      <c r="NM8" s="85"/>
      <c r="NN8" s="41"/>
      <c r="NO8" s="46"/>
      <c r="NP8" s="46"/>
      <c r="NQ8" s="46"/>
      <c r="NR8" s="83"/>
      <c r="NS8" s="83"/>
      <c r="NT8" s="83"/>
      <c r="NU8" s="83"/>
      <c r="NV8" s="83"/>
      <c r="NW8" s="83"/>
      <c r="NX8" s="83"/>
      <c r="NY8" s="83"/>
      <c r="NZ8" s="83"/>
      <c r="OA8" s="83"/>
      <c r="OB8" s="81"/>
      <c r="OC8" s="46"/>
      <c r="OD8" s="46"/>
      <c r="OE8" s="46"/>
      <c r="OF8" s="46"/>
      <c r="OG8" s="85"/>
      <c r="OH8" s="41"/>
      <c r="OI8" s="46"/>
      <c r="OJ8" s="46"/>
      <c r="OK8" s="46"/>
      <c r="OL8" s="83"/>
      <c r="OM8" s="83"/>
      <c r="ON8" s="83"/>
      <c r="OO8" s="83"/>
      <c r="OP8" s="83"/>
      <c r="OQ8" s="83"/>
      <c r="OR8" s="83"/>
      <c r="OS8" s="83"/>
      <c r="OT8" s="83"/>
      <c r="OU8" s="83"/>
      <c r="OV8" s="81"/>
      <c r="OW8" s="46"/>
      <c r="OX8" s="46"/>
      <c r="OY8" s="46"/>
      <c r="OZ8" s="46"/>
      <c r="PA8" s="85"/>
      <c r="PB8" s="41"/>
      <c r="PC8" s="46"/>
      <c r="PD8" s="46"/>
      <c r="PE8" s="46"/>
      <c r="PF8" s="83"/>
      <c r="PG8" s="83"/>
      <c r="PH8" s="83"/>
      <c r="PI8" s="83"/>
      <c r="PJ8" s="83"/>
      <c r="PK8" s="83"/>
      <c r="PL8" s="83"/>
      <c r="PM8" s="83"/>
      <c r="PN8" s="83"/>
      <c r="PO8" s="83"/>
      <c r="PP8" s="81"/>
      <c r="PQ8" s="46"/>
      <c r="PR8" s="46"/>
      <c r="PS8" s="46"/>
      <c r="PT8" s="46"/>
      <c r="PU8" s="85"/>
      <c r="PV8" s="41"/>
      <c r="PW8" s="46"/>
      <c r="PX8" s="46"/>
      <c r="PY8" s="46"/>
      <c r="PZ8" s="83"/>
      <c r="QA8" s="83"/>
      <c r="QB8" s="83"/>
      <c r="QC8" s="83"/>
      <c r="QD8" s="83"/>
      <c r="QE8" s="83"/>
      <c r="QF8" s="83"/>
      <c r="QG8" s="83"/>
      <c r="QH8" s="83"/>
      <c r="QI8" s="83"/>
      <c r="QJ8" s="81"/>
      <c r="QK8" s="46"/>
      <c r="QL8" s="46"/>
      <c r="QM8" s="46"/>
      <c r="QN8" s="46"/>
      <c r="QO8" s="85"/>
      <c r="QP8" s="41"/>
      <c r="QQ8" s="46"/>
      <c r="QR8" s="46"/>
      <c r="QS8" s="46"/>
      <c r="QT8" s="83"/>
      <c r="QU8" s="83"/>
      <c r="QV8" s="83"/>
      <c r="QW8" s="83"/>
      <c r="QX8" s="83"/>
      <c r="QY8" s="83"/>
      <c r="QZ8" s="83"/>
      <c r="RA8" s="83"/>
      <c r="RB8" s="83"/>
      <c r="RC8" s="83"/>
      <c r="RD8" s="81"/>
      <c r="RE8" s="46"/>
      <c r="RF8" s="46"/>
      <c r="RG8" s="46"/>
      <c r="RH8" s="46"/>
      <c r="RI8" s="85"/>
      <c r="RJ8" s="41"/>
      <c r="RK8" s="46"/>
      <c r="RL8" s="46"/>
      <c r="RM8" s="46"/>
      <c r="RN8" s="83"/>
      <c r="RO8" s="83"/>
      <c r="RP8" s="83"/>
      <c r="RQ8" s="83"/>
      <c r="RR8" s="83"/>
      <c r="RS8" s="83"/>
      <c r="RT8" s="83"/>
      <c r="RU8" s="83"/>
      <c r="RV8" s="83"/>
      <c r="RW8" s="83"/>
      <c r="RX8" s="81"/>
      <c r="RY8" s="46"/>
      <c r="RZ8" s="46"/>
      <c r="SA8" s="46"/>
      <c r="SB8" s="46"/>
      <c r="SC8" s="85"/>
      <c r="SD8" s="41"/>
      <c r="SE8" s="46"/>
      <c r="SF8" s="46"/>
      <c r="SG8" s="46"/>
    </row>
    <row r="9" spans="1:501" s="44" customFormat="1" ht="20.399999999999999" customHeight="1" x14ac:dyDescent="0.3">
      <c r="A9" s="66" t="s">
        <v>122</v>
      </c>
      <c r="B9" s="66" t="s">
        <v>68</v>
      </c>
      <c r="C9" s="66" t="s">
        <v>331</v>
      </c>
      <c r="D9" s="49" t="s">
        <v>315</v>
      </c>
      <c r="E9" s="49" t="s">
        <v>332</v>
      </c>
      <c r="F9" s="49" t="s">
        <v>333</v>
      </c>
      <c r="G9" s="70" t="s">
        <v>334</v>
      </c>
      <c r="H9" s="70" t="s">
        <v>335</v>
      </c>
      <c r="I9" s="206" t="s">
        <v>315</v>
      </c>
      <c r="J9" s="70"/>
      <c r="K9" s="70"/>
      <c r="L9" s="70" t="s">
        <v>313</v>
      </c>
      <c r="M9" s="49" t="s">
        <v>314</v>
      </c>
      <c r="N9" s="70" t="s">
        <v>315</v>
      </c>
      <c r="O9" s="49" t="s">
        <v>316</v>
      </c>
      <c r="P9" s="70" t="s">
        <v>317</v>
      </c>
      <c r="Q9" s="206" t="s">
        <v>318</v>
      </c>
      <c r="R9" s="70" t="s">
        <v>319</v>
      </c>
      <c r="S9" s="70" t="s">
        <v>315</v>
      </c>
      <c r="T9" s="70"/>
      <c r="U9" s="77"/>
      <c r="V9" s="82"/>
      <c r="W9" s="82"/>
      <c r="X9" s="82"/>
      <c r="Y9" s="82"/>
      <c r="Z9" s="82"/>
      <c r="AA9" s="82"/>
      <c r="AB9" s="82"/>
      <c r="AC9" s="82"/>
      <c r="AD9" s="82"/>
      <c r="AE9" s="82"/>
      <c r="AF9" s="80"/>
      <c r="AG9" s="53"/>
      <c r="AH9" s="53"/>
      <c r="AI9" s="53"/>
      <c r="AJ9" s="53"/>
      <c r="AK9" s="84"/>
      <c r="AL9" s="52"/>
      <c r="AM9" s="53"/>
      <c r="AN9" s="53"/>
      <c r="AO9" s="53"/>
      <c r="AP9" s="82"/>
      <c r="AQ9" s="82"/>
      <c r="AR9" s="82"/>
      <c r="AS9" s="82"/>
      <c r="AT9" s="82"/>
      <c r="AU9" s="82"/>
      <c r="AV9" s="82"/>
      <c r="AW9" s="82"/>
      <c r="AX9" s="82"/>
      <c r="AY9" s="82"/>
      <c r="AZ9" s="80"/>
      <c r="BA9" s="53"/>
      <c r="BB9" s="53"/>
      <c r="BC9" s="53"/>
      <c r="BD9" s="53"/>
      <c r="BE9" s="84"/>
      <c r="BF9" s="52"/>
      <c r="BG9" s="53"/>
      <c r="BH9" s="53"/>
      <c r="BI9" s="53"/>
      <c r="BJ9" s="82"/>
      <c r="BK9" s="82"/>
      <c r="BL9" s="82"/>
      <c r="BM9" s="82"/>
      <c r="BN9" s="82"/>
      <c r="BO9" s="82"/>
      <c r="BP9" s="82"/>
      <c r="BQ9" s="82"/>
      <c r="BR9" s="82"/>
      <c r="BS9" s="82"/>
      <c r="BT9" s="80"/>
      <c r="BU9" s="53"/>
      <c r="BV9" s="53"/>
      <c r="BW9" s="53"/>
      <c r="BX9" s="53"/>
      <c r="BY9" s="84"/>
      <c r="BZ9" s="52"/>
      <c r="CA9" s="53"/>
      <c r="CB9" s="53"/>
      <c r="CC9" s="53"/>
      <c r="CD9" s="82"/>
      <c r="CE9" s="82"/>
      <c r="CF9" s="82"/>
      <c r="CG9" s="82"/>
      <c r="CH9" s="82"/>
      <c r="CI9" s="82"/>
      <c r="CJ9" s="82"/>
      <c r="CK9" s="82"/>
      <c r="CL9" s="82"/>
      <c r="CM9" s="82"/>
      <c r="CN9" s="80"/>
      <c r="CO9" s="53"/>
      <c r="CP9" s="53"/>
      <c r="CQ9" s="53"/>
      <c r="CR9" s="53"/>
      <c r="CS9" s="84"/>
      <c r="CT9" s="52"/>
      <c r="CU9" s="53"/>
      <c r="CV9" s="53"/>
      <c r="CW9" s="53"/>
      <c r="CX9" s="82"/>
      <c r="CY9" s="82"/>
      <c r="CZ9" s="82"/>
      <c r="DA9" s="82"/>
      <c r="DB9" s="82"/>
      <c r="DC9" s="82"/>
      <c r="DD9" s="82"/>
      <c r="DE9" s="82"/>
      <c r="DF9" s="82"/>
      <c r="DG9" s="82"/>
      <c r="DH9" s="80"/>
      <c r="DI9" s="53"/>
      <c r="DJ9" s="53"/>
      <c r="DK9" s="53"/>
      <c r="DL9" s="53"/>
      <c r="DM9" s="84"/>
      <c r="DN9" s="52"/>
      <c r="DO9" s="53"/>
      <c r="DP9" s="53"/>
      <c r="DQ9" s="53"/>
      <c r="DR9" s="82"/>
      <c r="DS9" s="82"/>
      <c r="DT9" s="82"/>
      <c r="DU9" s="82"/>
      <c r="DV9" s="82"/>
      <c r="DW9" s="82"/>
      <c r="DX9" s="82"/>
      <c r="DY9" s="82"/>
      <c r="DZ9" s="82"/>
      <c r="EA9" s="82"/>
      <c r="EB9" s="80"/>
      <c r="EC9" s="53"/>
      <c r="ED9" s="53"/>
      <c r="EE9" s="53"/>
      <c r="EF9" s="53"/>
      <c r="EG9" s="84"/>
      <c r="EH9" s="52"/>
      <c r="EI9" s="53"/>
      <c r="EJ9" s="53"/>
      <c r="EK9" s="53"/>
      <c r="EL9" s="82"/>
      <c r="EM9" s="82"/>
      <c r="EN9" s="82"/>
      <c r="EO9" s="82"/>
      <c r="EP9" s="82"/>
      <c r="EQ9" s="82"/>
      <c r="ER9" s="82"/>
      <c r="ES9" s="82"/>
      <c r="ET9" s="82"/>
      <c r="EU9" s="82"/>
      <c r="EV9" s="80"/>
      <c r="EW9" s="53"/>
      <c r="EX9" s="53"/>
      <c r="EY9" s="53"/>
      <c r="EZ9" s="53"/>
      <c r="FA9" s="84"/>
      <c r="FB9" s="52"/>
      <c r="FC9" s="53"/>
      <c r="FD9" s="53"/>
      <c r="FE9" s="53"/>
      <c r="FF9" s="82"/>
      <c r="FG9" s="82"/>
      <c r="FH9" s="82"/>
      <c r="FI9" s="82"/>
      <c r="FJ9" s="82"/>
      <c r="FK9" s="82"/>
      <c r="FL9" s="82"/>
      <c r="FM9" s="82"/>
      <c r="FN9" s="82"/>
      <c r="FO9" s="82"/>
      <c r="FP9" s="80"/>
      <c r="FQ9" s="53"/>
      <c r="FR9" s="53"/>
      <c r="FS9" s="53"/>
      <c r="FT9" s="53"/>
      <c r="FU9" s="84"/>
      <c r="FV9" s="52"/>
      <c r="FW9" s="53"/>
      <c r="FX9" s="53"/>
      <c r="FY9" s="53"/>
      <c r="FZ9" s="82"/>
      <c r="GA9" s="82"/>
      <c r="GB9" s="82"/>
      <c r="GC9" s="82"/>
      <c r="GD9" s="82"/>
      <c r="GE9" s="82"/>
      <c r="GF9" s="82"/>
      <c r="GG9" s="82"/>
      <c r="GH9" s="82"/>
      <c r="GI9" s="82"/>
      <c r="GJ9" s="80"/>
      <c r="GK9" s="53"/>
      <c r="GL9" s="53"/>
      <c r="GM9" s="53"/>
      <c r="GN9" s="53"/>
      <c r="GO9" s="84"/>
      <c r="GP9" s="52"/>
      <c r="GQ9" s="53"/>
      <c r="GR9" s="53"/>
      <c r="GS9" s="53"/>
      <c r="GT9" s="82"/>
      <c r="GU9" s="82"/>
      <c r="GV9" s="82"/>
      <c r="GW9" s="82"/>
      <c r="GX9" s="82"/>
      <c r="GY9" s="82"/>
      <c r="GZ9" s="82"/>
      <c r="HA9" s="82"/>
      <c r="HB9" s="82"/>
      <c r="HC9" s="82"/>
      <c r="HD9" s="80"/>
      <c r="HE9" s="53"/>
      <c r="HF9" s="53"/>
      <c r="HG9" s="53"/>
      <c r="HH9" s="53"/>
      <c r="HI9" s="84"/>
      <c r="HJ9" s="52"/>
      <c r="HK9" s="53"/>
      <c r="HL9" s="53"/>
      <c r="HM9" s="53"/>
      <c r="HN9" s="82"/>
      <c r="HO9" s="82"/>
      <c r="HP9" s="82"/>
      <c r="HQ9" s="82"/>
      <c r="HR9" s="82"/>
      <c r="HS9" s="82"/>
      <c r="HT9" s="82"/>
      <c r="HU9" s="82"/>
      <c r="HV9" s="82"/>
      <c r="HW9" s="82"/>
      <c r="HX9" s="80"/>
      <c r="HY9" s="53"/>
      <c r="HZ9" s="53"/>
      <c r="IA9" s="53"/>
      <c r="IB9" s="53"/>
      <c r="IC9" s="84"/>
      <c r="ID9" s="52"/>
      <c r="IE9" s="53"/>
      <c r="IF9" s="53"/>
      <c r="IG9" s="53"/>
      <c r="IH9" s="82"/>
      <c r="II9" s="82"/>
      <c r="IJ9" s="82"/>
      <c r="IK9" s="82"/>
      <c r="IL9" s="82"/>
      <c r="IM9" s="82"/>
      <c r="IN9" s="82"/>
      <c r="IO9" s="82"/>
      <c r="IP9" s="82"/>
      <c r="IQ9" s="82"/>
      <c r="IR9" s="80"/>
      <c r="IS9" s="53"/>
      <c r="IT9" s="53"/>
      <c r="IU9" s="53"/>
      <c r="IV9" s="53"/>
      <c r="IW9" s="84"/>
      <c r="IX9" s="52"/>
      <c r="IY9" s="53"/>
      <c r="IZ9" s="53"/>
      <c r="JA9" s="53"/>
      <c r="JB9" s="82"/>
      <c r="JC9" s="82"/>
      <c r="JD9" s="82"/>
      <c r="JE9" s="82"/>
      <c r="JF9" s="82"/>
      <c r="JG9" s="82"/>
      <c r="JH9" s="82"/>
      <c r="JI9" s="82"/>
      <c r="JJ9" s="82"/>
      <c r="JK9" s="82"/>
      <c r="JL9" s="80"/>
      <c r="JM9" s="53"/>
      <c r="JN9" s="53"/>
      <c r="JO9" s="53"/>
      <c r="JP9" s="53"/>
      <c r="JQ9" s="84"/>
      <c r="JR9" s="52"/>
      <c r="JS9" s="53"/>
      <c r="JT9" s="53"/>
      <c r="JU9" s="53"/>
      <c r="JV9" s="82"/>
      <c r="JW9" s="82"/>
      <c r="JX9" s="82"/>
      <c r="JY9" s="82"/>
      <c r="JZ9" s="82"/>
      <c r="KA9" s="82"/>
      <c r="KB9" s="82"/>
      <c r="KC9" s="82"/>
      <c r="KD9" s="82"/>
      <c r="KE9" s="82"/>
      <c r="KF9" s="80"/>
      <c r="KG9" s="53"/>
      <c r="KH9" s="53"/>
      <c r="KI9" s="53"/>
      <c r="KJ9" s="53"/>
      <c r="KK9" s="84"/>
      <c r="KL9" s="52"/>
      <c r="KM9" s="53"/>
      <c r="KN9" s="53"/>
      <c r="KO9" s="53"/>
      <c r="KP9" s="82"/>
      <c r="KQ9" s="82"/>
      <c r="KR9" s="82"/>
      <c r="KS9" s="82"/>
      <c r="KT9" s="82"/>
      <c r="KU9" s="82"/>
      <c r="KV9" s="82"/>
      <c r="KW9" s="82"/>
      <c r="KX9" s="82"/>
      <c r="KY9" s="82"/>
      <c r="KZ9" s="80"/>
      <c r="LA9" s="53"/>
      <c r="LB9" s="53"/>
      <c r="LC9" s="53"/>
      <c r="LD9" s="53"/>
      <c r="LE9" s="84"/>
      <c r="LF9" s="52"/>
      <c r="LG9" s="53"/>
      <c r="LH9" s="53"/>
      <c r="LI9" s="53"/>
      <c r="LJ9" s="82"/>
      <c r="LK9" s="82"/>
      <c r="LL9" s="82"/>
      <c r="LM9" s="82"/>
      <c r="LN9" s="82"/>
      <c r="LO9" s="82"/>
      <c r="LP9" s="82"/>
      <c r="LQ9" s="82"/>
      <c r="LR9" s="82"/>
      <c r="LS9" s="82"/>
      <c r="LT9" s="80"/>
      <c r="LU9" s="53"/>
      <c r="LV9" s="53"/>
      <c r="LW9" s="53"/>
      <c r="LX9" s="53"/>
      <c r="LY9" s="84"/>
      <c r="LZ9" s="52"/>
      <c r="MA9" s="53"/>
      <c r="MB9" s="53"/>
      <c r="MC9" s="53"/>
      <c r="MD9" s="82"/>
      <c r="ME9" s="82"/>
      <c r="MF9" s="82"/>
      <c r="MG9" s="82"/>
      <c r="MH9" s="82"/>
      <c r="MI9" s="82"/>
      <c r="MJ9" s="82"/>
      <c r="MK9" s="82"/>
      <c r="ML9" s="82"/>
      <c r="MM9" s="82"/>
      <c r="MN9" s="80"/>
      <c r="MO9" s="53"/>
      <c r="MP9" s="53"/>
      <c r="MQ9" s="53"/>
      <c r="MR9" s="53"/>
      <c r="MS9" s="84"/>
      <c r="MT9" s="52"/>
      <c r="MU9" s="53"/>
      <c r="MV9" s="53"/>
      <c r="MW9" s="53"/>
      <c r="MX9" s="82"/>
      <c r="MY9" s="82"/>
      <c r="MZ9" s="82"/>
      <c r="NA9" s="82"/>
      <c r="NB9" s="82"/>
      <c r="NC9" s="82"/>
      <c r="ND9" s="82"/>
      <c r="NE9" s="82"/>
      <c r="NF9" s="82"/>
      <c r="NG9" s="82"/>
      <c r="NH9" s="80"/>
      <c r="NI9" s="53"/>
      <c r="NJ9" s="53"/>
      <c r="NK9" s="53"/>
      <c r="NL9" s="53"/>
      <c r="NM9" s="84"/>
      <c r="NN9" s="52"/>
      <c r="NO9" s="53"/>
      <c r="NP9" s="53"/>
      <c r="NQ9" s="53"/>
      <c r="NR9" s="82"/>
      <c r="NS9" s="82"/>
      <c r="NT9" s="82"/>
      <c r="NU9" s="82"/>
      <c r="NV9" s="82"/>
      <c r="NW9" s="82"/>
      <c r="NX9" s="82"/>
      <c r="NY9" s="82"/>
      <c r="NZ9" s="82"/>
      <c r="OA9" s="82"/>
      <c r="OB9" s="80"/>
      <c r="OC9" s="53"/>
      <c r="OD9" s="53"/>
      <c r="OE9" s="53"/>
      <c r="OF9" s="53"/>
      <c r="OG9" s="84"/>
      <c r="OH9" s="52"/>
      <c r="OI9" s="53"/>
      <c r="OJ9" s="53"/>
      <c r="OK9" s="53"/>
      <c r="OL9" s="82"/>
      <c r="OM9" s="82"/>
      <c r="ON9" s="82"/>
      <c r="OO9" s="82"/>
      <c r="OP9" s="82"/>
      <c r="OQ9" s="82"/>
      <c r="OR9" s="82"/>
      <c r="OS9" s="82"/>
      <c r="OT9" s="82"/>
      <c r="OU9" s="82"/>
      <c r="OV9" s="80"/>
      <c r="OW9" s="53"/>
      <c r="OX9" s="53"/>
      <c r="OY9" s="53"/>
      <c r="OZ9" s="53"/>
      <c r="PA9" s="84"/>
      <c r="PB9" s="52"/>
      <c r="PC9" s="53"/>
      <c r="PD9" s="53"/>
      <c r="PE9" s="53"/>
      <c r="PF9" s="82"/>
      <c r="PG9" s="82"/>
      <c r="PH9" s="82"/>
      <c r="PI9" s="82"/>
      <c r="PJ9" s="82"/>
      <c r="PK9" s="82"/>
      <c r="PL9" s="82"/>
      <c r="PM9" s="82"/>
      <c r="PN9" s="82"/>
      <c r="PO9" s="82"/>
      <c r="PP9" s="80"/>
      <c r="PQ9" s="53"/>
      <c r="PR9" s="53"/>
      <c r="PS9" s="53"/>
      <c r="PT9" s="53"/>
      <c r="PU9" s="84"/>
      <c r="PV9" s="52"/>
      <c r="PW9" s="53"/>
      <c r="PX9" s="53"/>
      <c r="PY9" s="53"/>
      <c r="PZ9" s="82"/>
      <c r="QA9" s="82"/>
      <c r="QB9" s="82"/>
      <c r="QC9" s="82"/>
      <c r="QD9" s="82"/>
      <c r="QE9" s="82"/>
      <c r="QF9" s="82"/>
      <c r="QG9" s="82"/>
      <c r="QH9" s="82"/>
      <c r="QI9" s="82"/>
      <c r="QJ9" s="80"/>
      <c r="QK9" s="53"/>
      <c r="QL9" s="53"/>
      <c r="QM9" s="53"/>
      <c r="QN9" s="53"/>
      <c r="QO9" s="84"/>
      <c r="QP9" s="52"/>
      <c r="QQ9" s="53"/>
      <c r="QR9" s="53"/>
      <c r="QS9" s="53"/>
      <c r="QT9" s="82"/>
      <c r="QU9" s="82"/>
      <c r="QV9" s="82"/>
      <c r="QW9" s="82"/>
      <c r="QX9" s="82"/>
      <c r="QY9" s="82"/>
      <c r="QZ9" s="82"/>
      <c r="RA9" s="82"/>
      <c r="RB9" s="82"/>
      <c r="RC9" s="82"/>
      <c r="RD9" s="80"/>
      <c r="RE9" s="53"/>
      <c r="RF9" s="53"/>
      <c r="RG9" s="53"/>
      <c r="RH9" s="53"/>
      <c r="RI9" s="84"/>
      <c r="RJ9" s="52"/>
      <c r="RK9" s="53"/>
      <c r="RL9" s="53"/>
      <c r="RM9" s="53"/>
      <c r="RN9" s="82"/>
      <c r="RO9" s="82"/>
      <c r="RP9" s="82"/>
      <c r="RQ9" s="82"/>
      <c r="RR9" s="82"/>
      <c r="RS9" s="82"/>
      <c r="RT9" s="82"/>
      <c r="RU9" s="82"/>
      <c r="RV9" s="82"/>
      <c r="RW9" s="82"/>
      <c r="RX9" s="80"/>
      <c r="RY9" s="53"/>
      <c r="RZ9" s="53"/>
      <c r="SA9" s="53"/>
      <c r="SB9" s="53"/>
      <c r="SC9" s="84"/>
      <c r="SD9" s="52"/>
      <c r="SE9" s="53"/>
      <c r="SF9" s="53"/>
      <c r="SG9" s="53"/>
    </row>
    <row r="10" spans="1:501" s="44" customFormat="1" ht="20.399999999999999" customHeight="1" x14ac:dyDescent="0.3">
      <c r="A10" s="125" t="s">
        <v>114</v>
      </c>
      <c r="B10" s="125" t="s">
        <v>383</v>
      </c>
      <c r="C10" s="125" t="s">
        <v>360</v>
      </c>
      <c r="D10" s="2" t="s">
        <v>315</v>
      </c>
      <c r="E10" s="12" t="s">
        <v>332</v>
      </c>
      <c r="F10" s="12" t="s">
        <v>333</v>
      </c>
      <c r="G10" s="72" t="s">
        <v>360</v>
      </c>
      <c r="H10" s="72" t="s">
        <v>384</v>
      </c>
      <c r="I10" s="125" t="s">
        <v>385</v>
      </c>
      <c r="J10" s="72"/>
      <c r="K10" s="72"/>
      <c r="L10" s="72"/>
      <c r="M10" s="72"/>
      <c r="N10" s="72"/>
      <c r="O10" s="72"/>
      <c r="P10" s="72"/>
      <c r="Q10" s="204"/>
      <c r="R10" s="72"/>
      <c r="S10" s="72"/>
      <c r="T10" s="72"/>
      <c r="U10" s="78"/>
      <c r="V10" s="83"/>
      <c r="W10" s="83"/>
      <c r="X10" s="83"/>
      <c r="Y10" s="83"/>
      <c r="Z10" s="83"/>
      <c r="AA10" s="83"/>
      <c r="AB10" s="83"/>
      <c r="AC10" s="83"/>
      <c r="AD10" s="83"/>
      <c r="AE10" s="83"/>
      <c r="AF10" s="81"/>
      <c r="AG10" s="46"/>
      <c r="AH10" s="46"/>
      <c r="AI10" s="46"/>
      <c r="AJ10" s="46"/>
      <c r="AK10" s="85"/>
      <c r="AL10" s="41"/>
      <c r="AM10" s="46"/>
      <c r="AN10" s="46"/>
      <c r="AO10" s="46"/>
      <c r="AP10" s="83"/>
      <c r="AQ10" s="83"/>
      <c r="AR10" s="83"/>
      <c r="AS10" s="83"/>
      <c r="AT10" s="83"/>
      <c r="AU10" s="83"/>
      <c r="AV10" s="83"/>
      <c r="AW10" s="83"/>
      <c r="AX10" s="83"/>
      <c r="AY10" s="83"/>
      <c r="AZ10" s="81"/>
      <c r="BA10" s="46"/>
      <c r="BB10" s="46"/>
      <c r="BC10" s="46"/>
      <c r="BD10" s="46"/>
      <c r="BE10" s="85"/>
      <c r="BF10" s="41"/>
      <c r="BG10" s="46"/>
      <c r="BH10" s="46"/>
      <c r="BI10" s="46"/>
      <c r="BJ10" s="83"/>
      <c r="BK10" s="83"/>
      <c r="BL10" s="83"/>
      <c r="BM10" s="83"/>
      <c r="BN10" s="83"/>
      <c r="BO10" s="83"/>
      <c r="BP10" s="83"/>
      <c r="BQ10" s="83"/>
      <c r="BR10" s="83"/>
      <c r="BS10" s="83"/>
      <c r="BT10" s="81"/>
      <c r="BU10" s="46"/>
      <c r="BV10" s="46"/>
      <c r="BW10" s="46"/>
      <c r="BX10" s="46"/>
      <c r="BY10" s="85"/>
      <c r="BZ10" s="41"/>
      <c r="CA10" s="46"/>
      <c r="CB10" s="46"/>
      <c r="CC10" s="46"/>
      <c r="CD10" s="83"/>
      <c r="CE10" s="83"/>
      <c r="CF10" s="83"/>
      <c r="CG10" s="83"/>
      <c r="CH10" s="83"/>
      <c r="CI10" s="83"/>
      <c r="CJ10" s="83"/>
      <c r="CK10" s="83"/>
      <c r="CL10" s="83"/>
      <c r="CM10" s="83"/>
      <c r="CN10" s="81"/>
      <c r="CO10" s="46"/>
      <c r="CP10" s="46"/>
      <c r="CQ10" s="46"/>
      <c r="CR10" s="46"/>
      <c r="CS10" s="85"/>
      <c r="CT10" s="41"/>
      <c r="CU10" s="46"/>
      <c r="CV10" s="46"/>
      <c r="CW10" s="46"/>
      <c r="CX10" s="83"/>
      <c r="CY10" s="83"/>
      <c r="CZ10" s="83"/>
      <c r="DA10" s="83"/>
      <c r="DB10" s="83"/>
      <c r="DC10" s="83"/>
      <c r="DD10" s="83"/>
      <c r="DE10" s="83"/>
      <c r="DF10" s="83"/>
      <c r="DG10" s="83"/>
      <c r="DH10" s="81"/>
      <c r="DI10" s="46"/>
      <c r="DJ10" s="46"/>
      <c r="DK10" s="46"/>
      <c r="DL10" s="46"/>
      <c r="DM10" s="85"/>
      <c r="DN10" s="41"/>
      <c r="DO10" s="46"/>
      <c r="DP10" s="46"/>
      <c r="DQ10" s="46"/>
      <c r="DR10" s="83"/>
      <c r="DS10" s="83"/>
      <c r="DT10" s="83"/>
      <c r="DU10" s="83"/>
      <c r="DV10" s="83"/>
      <c r="DW10" s="83"/>
      <c r="DX10" s="83"/>
      <c r="DY10" s="83"/>
      <c r="DZ10" s="83"/>
      <c r="EA10" s="83"/>
      <c r="EB10" s="81"/>
      <c r="EC10" s="46"/>
      <c r="ED10" s="46"/>
      <c r="EE10" s="46"/>
      <c r="EF10" s="46"/>
      <c r="EG10" s="85"/>
      <c r="EH10" s="41"/>
      <c r="EI10" s="46"/>
      <c r="EJ10" s="46"/>
      <c r="EK10" s="46"/>
      <c r="EL10" s="83"/>
      <c r="EM10" s="83"/>
      <c r="EN10" s="83"/>
      <c r="EO10" s="83"/>
      <c r="EP10" s="83"/>
      <c r="EQ10" s="83"/>
      <c r="ER10" s="83"/>
      <c r="ES10" s="83"/>
      <c r="ET10" s="83"/>
      <c r="EU10" s="83"/>
      <c r="EV10" s="81"/>
      <c r="EW10" s="46"/>
      <c r="EX10" s="46"/>
      <c r="EY10" s="46"/>
      <c r="EZ10" s="46"/>
      <c r="FA10" s="85"/>
      <c r="FB10" s="41"/>
      <c r="FC10" s="46"/>
      <c r="FD10" s="46"/>
      <c r="FE10" s="46"/>
      <c r="FF10" s="83"/>
      <c r="FG10" s="83"/>
      <c r="FH10" s="83"/>
      <c r="FI10" s="83"/>
      <c r="FJ10" s="83"/>
      <c r="FK10" s="83"/>
      <c r="FL10" s="83"/>
      <c r="FM10" s="83"/>
      <c r="FN10" s="83"/>
      <c r="FO10" s="83"/>
      <c r="FP10" s="81"/>
      <c r="FQ10" s="46"/>
      <c r="FR10" s="46"/>
      <c r="FS10" s="46"/>
      <c r="FT10" s="46"/>
      <c r="FU10" s="85"/>
      <c r="FV10" s="41"/>
      <c r="FW10" s="46"/>
      <c r="FX10" s="46"/>
      <c r="FY10" s="46"/>
      <c r="FZ10" s="83"/>
      <c r="GA10" s="83"/>
      <c r="GB10" s="83"/>
      <c r="GC10" s="83"/>
      <c r="GD10" s="83"/>
      <c r="GE10" s="83"/>
      <c r="GF10" s="83"/>
      <c r="GG10" s="83"/>
      <c r="GH10" s="83"/>
      <c r="GI10" s="83"/>
      <c r="GJ10" s="81"/>
      <c r="GK10" s="46"/>
      <c r="GL10" s="46"/>
      <c r="GM10" s="46"/>
      <c r="GN10" s="46"/>
      <c r="GO10" s="85"/>
      <c r="GP10" s="41"/>
      <c r="GQ10" s="46"/>
      <c r="GR10" s="46"/>
      <c r="GS10" s="46"/>
      <c r="GT10" s="83"/>
      <c r="GU10" s="83"/>
      <c r="GV10" s="83"/>
      <c r="GW10" s="83"/>
      <c r="GX10" s="83"/>
      <c r="GY10" s="83"/>
      <c r="GZ10" s="83"/>
      <c r="HA10" s="83"/>
      <c r="HB10" s="83"/>
      <c r="HC10" s="83"/>
      <c r="HD10" s="81"/>
      <c r="HE10" s="46"/>
      <c r="HF10" s="46"/>
      <c r="HG10" s="46"/>
      <c r="HH10" s="46"/>
      <c r="HI10" s="85"/>
      <c r="HJ10" s="41"/>
      <c r="HK10" s="46"/>
      <c r="HL10" s="46"/>
      <c r="HM10" s="46"/>
      <c r="HN10" s="83"/>
      <c r="HO10" s="83"/>
      <c r="HP10" s="83"/>
      <c r="HQ10" s="83"/>
      <c r="HR10" s="83"/>
      <c r="HS10" s="83"/>
      <c r="HT10" s="83"/>
      <c r="HU10" s="83"/>
      <c r="HV10" s="83"/>
      <c r="HW10" s="83"/>
      <c r="HX10" s="81"/>
      <c r="HY10" s="46"/>
      <c r="HZ10" s="46"/>
      <c r="IA10" s="46"/>
      <c r="IB10" s="46"/>
      <c r="IC10" s="85"/>
      <c r="ID10" s="41"/>
      <c r="IE10" s="46"/>
      <c r="IF10" s="46"/>
      <c r="IG10" s="46"/>
      <c r="IH10" s="83"/>
      <c r="II10" s="83"/>
      <c r="IJ10" s="83"/>
      <c r="IK10" s="83"/>
      <c r="IL10" s="83"/>
      <c r="IM10" s="83"/>
      <c r="IN10" s="83"/>
      <c r="IO10" s="83"/>
      <c r="IP10" s="83"/>
      <c r="IQ10" s="83"/>
      <c r="IR10" s="81"/>
      <c r="IS10" s="46"/>
      <c r="IT10" s="46"/>
      <c r="IU10" s="46"/>
      <c r="IV10" s="46"/>
      <c r="IW10" s="85"/>
      <c r="IX10" s="41"/>
      <c r="IY10" s="46"/>
      <c r="IZ10" s="46"/>
      <c r="JA10" s="46"/>
      <c r="JB10" s="83"/>
      <c r="JC10" s="83"/>
      <c r="JD10" s="83"/>
      <c r="JE10" s="83"/>
      <c r="JF10" s="83"/>
      <c r="JG10" s="83"/>
      <c r="JH10" s="83"/>
      <c r="JI10" s="83"/>
      <c r="JJ10" s="83"/>
      <c r="JK10" s="83"/>
      <c r="JL10" s="81"/>
      <c r="JM10" s="46"/>
      <c r="JN10" s="46"/>
      <c r="JO10" s="46"/>
      <c r="JP10" s="46"/>
      <c r="JQ10" s="85"/>
      <c r="JR10" s="41"/>
      <c r="JS10" s="46"/>
      <c r="JT10" s="46"/>
      <c r="JU10" s="46"/>
      <c r="JV10" s="83"/>
      <c r="JW10" s="83"/>
      <c r="JX10" s="83"/>
      <c r="JY10" s="83"/>
      <c r="JZ10" s="83"/>
      <c r="KA10" s="83"/>
      <c r="KB10" s="83"/>
      <c r="KC10" s="83"/>
      <c r="KD10" s="83"/>
      <c r="KE10" s="83"/>
      <c r="KF10" s="81"/>
      <c r="KG10" s="46"/>
      <c r="KH10" s="46"/>
      <c r="KI10" s="46"/>
      <c r="KJ10" s="46"/>
      <c r="KK10" s="85"/>
      <c r="KL10" s="41"/>
      <c r="KM10" s="46"/>
      <c r="KN10" s="46"/>
      <c r="KO10" s="46"/>
      <c r="KP10" s="83"/>
      <c r="KQ10" s="83"/>
      <c r="KR10" s="83"/>
      <c r="KS10" s="83"/>
      <c r="KT10" s="83"/>
      <c r="KU10" s="83"/>
      <c r="KV10" s="83"/>
      <c r="KW10" s="83"/>
      <c r="KX10" s="83"/>
      <c r="KY10" s="83"/>
      <c r="KZ10" s="81"/>
      <c r="LA10" s="46"/>
      <c r="LB10" s="46"/>
      <c r="LC10" s="46"/>
      <c r="LD10" s="46"/>
      <c r="LE10" s="85"/>
      <c r="LF10" s="41"/>
      <c r="LG10" s="46"/>
      <c r="LH10" s="46"/>
      <c r="LI10" s="46"/>
      <c r="LJ10" s="83"/>
      <c r="LK10" s="83"/>
      <c r="LL10" s="83"/>
      <c r="LM10" s="83"/>
      <c r="LN10" s="83"/>
      <c r="LO10" s="83"/>
      <c r="LP10" s="83"/>
      <c r="LQ10" s="83"/>
      <c r="LR10" s="83"/>
      <c r="LS10" s="83"/>
      <c r="LT10" s="81"/>
      <c r="LU10" s="46"/>
      <c r="LV10" s="46"/>
      <c r="LW10" s="46"/>
      <c r="LX10" s="46"/>
      <c r="LY10" s="85"/>
      <c r="LZ10" s="41"/>
      <c r="MA10" s="46"/>
      <c r="MB10" s="46"/>
      <c r="MC10" s="46"/>
      <c r="MD10" s="83"/>
      <c r="ME10" s="83"/>
      <c r="MF10" s="83"/>
      <c r="MG10" s="83"/>
      <c r="MH10" s="83"/>
      <c r="MI10" s="83"/>
      <c r="MJ10" s="83"/>
      <c r="MK10" s="83"/>
      <c r="ML10" s="83"/>
      <c r="MM10" s="83"/>
      <c r="MN10" s="81"/>
      <c r="MO10" s="46"/>
      <c r="MP10" s="46"/>
      <c r="MQ10" s="46"/>
      <c r="MR10" s="46"/>
      <c r="MS10" s="85"/>
      <c r="MT10" s="41"/>
      <c r="MU10" s="46"/>
      <c r="MV10" s="46"/>
      <c r="MW10" s="46"/>
      <c r="MX10" s="83"/>
      <c r="MY10" s="83"/>
      <c r="MZ10" s="83"/>
      <c r="NA10" s="83"/>
      <c r="NB10" s="83"/>
      <c r="NC10" s="83"/>
      <c r="ND10" s="83"/>
      <c r="NE10" s="83"/>
      <c r="NF10" s="83"/>
      <c r="NG10" s="83"/>
      <c r="NH10" s="81"/>
      <c r="NI10" s="46"/>
      <c r="NJ10" s="46"/>
      <c r="NK10" s="46"/>
      <c r="NL10" s="46"/>
      <c r="NM10" s="85"/>
      <c r="NN10" s="41"/>
      <c r="NO10" s="46"/>
      <c r="NP10" s="46"/>
      <c r="NQ10" s="46"/>
      <c r="NR10" s="83"/>
      <c r="NS10" s="83"/>
      <c r="NT10" s="83"/>
      <c r="NU10" s="83"/>
      <c r="NV10" s="83"/>
      <c r="NW10" s="83"/>
      <c r="NX10" s="83"/>
      <c r="NY10" s="83"/>
      <c r="NZ10" s="83"/>
      <c r="OA10" s="83"/>
      <c r="OB10" s="81"/>
      <c r="OC10" s="46"/>
      <c r="OD10" s="46"/>
      <c r="OE10" s="46"/>
      <c r="OF10" s="46"/>
      <c r="OG10" s="85"/>
      <c r="OH10" s="41"/>
      <c r="OI10" s="46"/>
      <c r="OJ10" s="46"/>
      <c r="OK10" s="46"/>
      <c r="OL10" s="83"/>
      <c r="OM10" s="83"/>
      <c r="ON10" s="83"/>
      <c r="OO10" s="83"/>
      <c r="OP10" s="83"/>
      <c r="OQ10" s="83"/>
      <c r="OR10" s="83"/>
      <c r="OS10" s="83"/>
      <c r="OT10" s="83"/>
      <c r="OU10" s="83"/>
      <c r="OV10" s="81"/>
      <c r="OW10" s="46"/>
      <c r="OX10" s="46"/>
      <c r="OY10" s="46"/>
      <c r="OZ10" s="46"/>
      <c r="PA10" s="85"/>
      <c r="PB10" s="41"/>
      <c r="PC10" s="46"/>
      <c r="PD10" s="46"/>
      <c r="PE10" s="46"/>
      <c r="PF10" s="83"/>
      <c r="PG10" s="83"/>
      <c r="PH10" s="83"/>
      <c r="PI10" s="83"/>
      <c r="PJ10" s="83"/>
      <c r="PK10" s="83"/>
      <c r="PL10" s="83"/>
      <c r="PM10" s="83"/>
      <c r="PN10" s="83"/>
      <c r="PO10" s="83"/>
      <c r="PP10" s="81"/>
      <c r="PQ10" s="46"/>
      <c r="PR10" s="46"/>
      <c r="PS10" s="46"/>
      <c r="PT10" s="46"/>
      <c r="PU10" s="85"/>
      <c r="PV10" s="41"/>
      <c r="PW10" s="46"/>
      <c r="PX10" s="46"/>
      <c r="PY10" s="46"/>
      <c r="PZ10" s="83"/>
      <c r="QA10" s="83"/>
      <c r="QB10" s="83"/>
      <c r="QC10" s="83"/>
      <c r="QD10" s="83"/>
      <c r="QE10" s="83"/>
      <c r="QF10" s="83"/>
      <c r="QG10" s="83"/>
      <c r="QH10" s="83"/>
      <c r="QI10" s="83"/>
      <c r="QJ10" s="81"/>
      <c r="QK10" s="46"/>
      <c r="QL10" s="46"/>
      <c r="QM10" s="46"/>
      <c r="QN10" s="46"/>
      <c r="QO10" s="85"/>
      <c r="QP10" s="41"/>
      <c r="QQ10" s="46"/>
      <c r="QR10" s="46"/>
      <c r="QS10" s="46"/>
      <c r="QT10" s="83"/>
      <c r="QU10" s="83"/>
      <c r="QV10" s="83"/>
      <c r="QW10" s="83"/>
      <c r="QX10" s="83"/>
      <c r="QY10" s="83"/>
      <c r="QZ10" s="83"/>
      <c r="RA10" s="83"/>
      <c r="RB10" s="83"/>
      <c r="RC10" s="83"/>
      <c r="RD10" s="81"/>
      <c r="RE10" s="46"/>
      <c r="RF10" s="46"/>
      <c r="RG10" s="46"/>
      <c r="RH10" s="46"/>
      <c r="RI10" s="85"/>
      <c r="RJ10" s="41"/>
      <c r="RK10" s="46"/>
      <c r="RL10" s="46"/>
      <c r="RM10" s="46"/>
      <c r="RN10" s="83"/>
      <c r="RO10" s="83"/>
      <c r="RP10" s="83"/>
      <c r="RQ10" s="83"/>
      <c r="RR10" s="83"/>
      <c r="RS10" s="83"/>
      <c r="RT10" s="83"/>
      <c r="RU10" s="83"/>
      <c r="RV10" s="83"/>
      <c r="RW10" s="83"/>
      <c r="RX10" s="81"/>
      <c r="RY10" s="46"/>
      <c r="RZ10" s="46"/>
      <c r="SA10" s="46"/>
      <c r="SB10" s="46"/>
      <c r="SC10" s="85"/>
      <c r="SD10" s="41"/>
      <c r="SE10" s="46"/>
      <c r="SF10" s="46"/>
      <c r="SG10" s="46"/>
    </row>
    <row r="11" spans="1:501" s="44" customFormat="1" ht="20.399999999999999" customHeight="1" x14ac:dyDescent="0.3">
      <c r="A11" s="66" t="s">
        <v>117</v>
      </c>
      <c r="B11" s="66"/>
      <c r="C11" s="66"/>
      <c r="D11" s="49"/>
      <c r="E11" s="49"/>
      <c r="F11" s="49"/>
      <c r="G11" s="70"/>
      <c r="H11" s="70"/>
      <c r="I11" s="206"/>
      <c r="J11" s="70"/>
      <c r="K11" s="70"/>
      <c r="L11" s="70"/>
      <c r="M11" s="70"/>
      <c r="N11" s="70"/>
      <c r="O11" s="70"/>
      <c r="P11" s="70"/>
      <c r="Q11" s="206"/>
      <c r="R11" s="70"/>
      <c r="S11" s="70"/>
      <c r="T11" s="70"/>
      <c r="U11" s="77"/>
      <c r="V11" s="82"/>
      <c r="W11" s="82"/>
      <c r="X11" s="82"/>
      <c r="Y11" s="82"/>
      <c r="Z11" s="82"/>
      <c r="AA11" s="82"/>
      <c r="AB11" s="82"/>
      <c r="AC11" s="82"/>
      <c r="AD11" s="82"/>
      <c r="AE11" s="82"/>
      <c r="AF11" s="80"/>
      <c r="AG11" s="53"/>
      <c r="AH11" s="53"/>
      <c r="AI11" s="53"/>
      <c r="AJ11" s="53"/>
      <c r="AK11" s="84"/>
      <c r="AL11" s="52"/>
      <c r="AM11" s="53"/>
      <c r="AN11" s="53"/>
      <c r="AO11" s="53"/>
      <c r="AP11" s="82"/>
      <c r="AQ11" s="82"/>
      <c r="AR11" s="82"/>
      <c r="AS11" s="82"/>
      <c r="AT11" s="82"/>
      <c r="AU11" s="82"/>
      <c r="AV11" s="82"/>
      <c r="AW11" s="82"/>
      <c r="AX11" s="82"/>
      <c r="AY11" s="82"/>
      <c r="AZ11" s="80"/>
      <c r="BA11" s="53"/>
      <c r="BB11" s="53"/>
      <c r="BC11" s="53"/>
      <c r="BD11" s="53"/>
      <c r="BE11" s="84"/>
      <c r="BF11" s="52"/>
      <c r="BG11" s="53"/>
      <c r="BH11" s="53"/>
      <c r="BI11" s="53"/>
      <c r="BJ11" s="82"/>
      <c r="BK11" s="82"/>
      <c r="BL11" s="82"/>
      <c r="BM11" s="82"/>
      <c r="BN11" s="82"/>
      <c r="BO11" s="82"/>
      <c r="BP11" s="82"/>
      <c r="BQ11" s="82"/>
      <c r="BR11" s="82"/>
      <c r="BS11" s="82"/>
      <c r="BT11" s="80"/>
      <c r="BU11" s="53"/>
      <c r="BV11" s="53"/>
      <c r="BW11" s="53"/>
      <c r="BX11" s="53"/>
      <c r="BY11" s="84"/>
      <c r="BZ11" s="52"/>
      <c r="CA11" s="53"/>
      <c r="CB11" s="53"/>
      <c r="CC11" s="53"/>
      <c r="CD11" s="82"/>
      <c r="CE11" s="82"/>
      <c r="CF11" s="82"/>
      <c r="CG11" s="82"/>
      <c r="CH11" s="82"/>
      <c r="CI11" s="82"/>
      <c r="CJ11" s="82"/>
      <c r="CK11" s="82"/>
      <c r="CL11" s="82"/>
      <c r="CM11" s="82"/>
      <c r="CN11" s="80"/>
      <c r="CO11" s="53"/>
      <c r="CP11" s="53"/>
      <c r="CQ11" s="53"/>
      <c r="CR11" s="53"/>
      <c r="CS11" s="84"/>
      <c r="CT11" s="52"/>
      <c r="CU11" s="53"/>
      <c r="CV11" s="53"/>
      <c r="CW11" s="53"/>
      <c r="CX11" s="82"/>
      <c r="CY11" s="82"/>
      <c r="CZ11" s="82"/>
      <c r="DA11" s="82"/>
      <c r="DB11" s="82"/>
      <c r="DC11" s="82"/>
      <c r="DD11" s="82"/>
      <c r="DE11" s="82"/>
      <c r="DF11" s="82"/>
      <c r="DG11" s="82"/>
      <c r="DH11" s="80"/>
      <c r="DI11" s="53"/>
      <c r="DJ11" s="53"/>
      <c r="DK11" s="53"/>
      <c r="DL11" s="53"/>
      <c r="DM11" s="84"/>
      <c r="DN11" s="52"/>
      <c r="DO11" s="53"/>
      <c r="DP11" s="53"/>
      <c r="DQ11" s="53"/>
      <c r="DR11" s="82"/>
      <c r="DS11" s="82"/>
      <c r="DT11" s="82"/>
      <c r="DU11" s="82"/>
      <c r="DV11" s="82"/>
      <c r="DW11" s="82"/>
      <c r="DX11" s="82"/>
      <c r="DY11" s="82"/>
      <c r="DZ11" s="82"/>
      <c r="EA11" s="82"/>
      <c r="EB11" s="80"/>
      <c r="EC11" s="53"/>
      <c r="ED11" s="53"/>
      <c r="EE11" s="53"/>
      <c r="EF11" s="53"/>
      <c r="EG11" s="84"/>
      <c r="EH11" s="52"/>
      <c r="EI11" s="53"/>
      <c r="EJ11" s="53"/>
      <c r="EK11" s="53"/>
      <c r="EL11" s="82"/>
      <c r="EM11" s="82"/>
      <c r="EN11" s="82"/>
      <c r="EO11" s="82"/>
      <c r="EP11" s="82"/>
      <c r="EQ11" s="82"/>
      <c r="ER11" s="82"/>
      <c r="ES11" s="82"/>
      <c r="ET11" s="82"/>
      <c r="EU11" s="82"/>
      <c r="EV11" s="80"/>
      <c r="EW11" s="53"/>
      <c r="EX11" s="53"/>
      <c r="EY11" s="53"/>
      <c r="EZ11" s="53"/>
      <c r="FA11" s="84"/>
      <c r="FB11" s="52"/>
      <c r="FC11" s="53"/>
      <c r="FD11" s="53"/>
      <c r="FE11" s="53"/>
      <c r="FF11" s="82"/>
      <c r="FG11" s="82"/>
      <c r="FH11" s="82"/>
      <c r="FI11" s="82"/>
      <c r="FJ11" s="82"/>
      <c r="FK11" s="82"/>
      <c r="FL11" s="82"/>
      <c r="FM11" s="82"/>
      <c r="FN11" s="82"/>
      <c r="FO11" s="82"/>
      <c r="FP11" s="80"/>
      <c r="FQ11" s="53"/>
      <c r="FR11" s="53"/>
      <c r="FS11" s="53"/>
      <c r="FT11" s="53"/>
      <c r="FU11" s="84"/>
      <c r="FV11" s="52"/>
      <c r="FW11" s="53"/>
      <c r="FX11" s="53"/>
      <c r="FY11" s="53"/>
      <c r="FZ11" s="82"/>
      <c r="GA11" s="82"/>
      <c r="GB11" s="82"/>
      <c r="GC11" s="82"/>
      <c r="GD11" s="82"/>
      <c r="GE11" s="82"/>
      <c r="GF11" s="82"/>
      <c r="GG11" s="82"/>
      <c r="GH11" s="82"/>
      <c r="GI11" s="82"/>
      <c r="GJ11" s="80"/>
      <c r="GK11" s="53"/>
      <c r="GL11" s="53"/>
      <c r="GM11" s="53"/>
      <c r="GN11" s="53"/>
      <c r="GO11" s="84"/>
      <c r="GP11" s="52"/>
      <c r="GQ11" s="53"/>
      <c r="GR11" s="53"/>
      <c r="GS11" s="53"/>
      <c r="GT11" s="82"/>
      <c r="GU11" s="82"/>
      <c r="GV11" s="82"/>
      <c r="GW11" s="82"/>
      <c r="GX11" s="82"/>
      <c r="GY11" s="82"/>
      <c r="GZ11" s="82"/>
      <c r="HA11" s="82"/>
      <c r="HB11" s="82"/>
      <c r="HC11" s="82"/>
      <c r="HD11" s="80"/>
      <c r="HE11" s="53"/>
      <c r="HF11" s="53"/>
      <c r="HG11" s="53"/>
      <c r="HH11" s="53"/>
      <c r="HI11" s="84"/>
      <c r="HJ11" s="52"/>
      <c r="HK11" s="53"/>
      <c r="HL11" s="53"/>
      <c r="HM11" s="53"/>
      <c r="HN11" s="82"/>
      <c r="HO11" s="82"/>
      <c r="HP11" s="82"/>
      <c r="HQ11" s="82"/>
      <c r="HR11" s="82"/>
      <c r="HS11" s="82"/>
      <c r="HT11" s="82"/>
      <c r="HU11" s="82"/>
      <c r="HV11" s="82"/>
      <c r="HW11" s="82"/>
      <c r="HX11" s="80"/>
      <c r="HY11" s="53"/>
      <c r="HZ11" s="53"/>
      <c r="IA11" s="53"/>
      <c r="IB11" s="53"/>
      <c r="IC11" s="84"/>
      <c r="ID11" s="52"/>
      <c r="IE11" s="53"/>
      <c r="IF11" s="53"/>
      <c r="IG11" s="53"/>
      <c r="IH11" s="82"/>
      <c r="II11" s="82"/>
      <c r="IJ11" s="82"/>
      <c r="IK11" s="82"/>
      <c r="IL11" s="82"/>
      <c r="IM11" s="82"/>
      <c r="IN11" s="82"/>
      <c r="IO11" s="82"/>
      <c r="IP11" s="82"/>
      <c r="IQ11" s="82"/>
      <c r="IR11" s="80"/>
      <c r="IS11" s="53"/>
      <c r="IT11" s="53"/>
      <c r="IU11" s="53"/>
      <c r="IV11" s="53"/>
      <c r="IW11" s="84"/>
      <c r="IX11" s="52"/>
      <c r="IY11" s="53"/>
      <c r="IZ11" s="53"/>
      <c r="JA11" s="53"/>
      <c r="JB11" s="82"/>
      <c r="JC11" s="82"/>
      <c r="JD11" s="82"/>
      <c r="JE11" s="82"/>
      <c r="JF11" s="82"/>
      <c r="JG11" s="82"/>
      <c r="JH11" s="82"/>
      <c r="JI11" s="82"/>
      <c r="JJ11" s="82"/>
      <c r="JK11" s="82"/>
      <c r="JL11" s="80"/>
      <c r="JM11" s="53"/>
      <c r="JN11" s="53"/>
      <c r="JO11" s="53"/>
      <c r="JP11" s="53"/>
      <c r="JQ11" s="84"/>
      <c r="JR11" s="52"/>
      <c r="JS11" s="53"/>
      <c r="JT11" s="53"/>
      <c r="JU11" s="53"/>
      <c r="JV11" s="82"/>
      <c r="JW11" s="82"/>
      <c r="JX11" s="82"/>
      <c r="JY11" s="82"/>
      <c r="JZ11" s="82"/>
      <c r="KA11" s="82"/>
      <c r="KB11" s="82"/>
      <c r="KC11" s="82"/>
      <c r="KD11" s="82"/>
      <c r="KE11" s="82"/>
      <c r="KF11" s="80"/>
      <c r="KG11" s="53"/>
      <c r="KH11" s="53"/>
      <c r="KI11" s="53"/>
      <c r="KJ11" s="53"/>
      <c r="KK11" s="84"/>
      <c r="KL11" s="52"/>
      <c r="KM11" s="53"/>
      <c r="KN11" s="53"/>
      <c r="KO11" s="53"/>
      <c r="KP11" s="82"/>
      <c r="KQ11" s="82"/>
      <c r="KR11" s="82"/>
      <c r="KS11" s="82"/>
      <c r="KT11" s="82"/>
      <c r="KU11" s="82"/>
      <c r="KV11" s="82"/>
      <c r="KW11" s="82"/>
      <c r="KX11" s="82"/>
      <c r="KY11" s="82"/>
      <c r="KZ11" s="80"/>
      <c r="LA11" s="53"/>
      <c r="LB11" s="53"/>
      <c r="LC11" s="53"/>
      <c r="LD11" s="53"/>
      <c r="LE11" s="84"/>
      <c r="LF11" s="52"/>
      <c r="LG11" s="53"/>
      <c r="LH11" s="53"/>
      <c r="LI11" s="53"/>
      <c r="LJ11" s="82"/>
      <c r="LK11" s="82"/>
      <c r="LL11" s="82"/>
      <c r="LM11" s="82"/>
      <c r="LN11" s="82"/>
      <c r="LO11" s="82"/>
      <c r="LP11" s="82"/>
      <c r="LQ11" s="82"/>
      <c r="LR11" s="82"/>
      <c r="LS11" s="82"/>
      <c r="LT11" s="80"/>
      <c r="LU11" s="53"/>
      <c r="LV11" s="53"/>
      <c r="LW11" s="53"/>
      <c r="LX11" s="53"/>
      <c r="LY11" s="84"/>
      <c r="LZ11" s="52"/>
      <c r="MA11" s="53"/>
      <c r="MB11" s="53"/>
      <c r="MC11" s="53"/>
      <c r="MD11" s="82"/>
      <c r="ME11" s="82"/>
      <c r="MF11" s="82"/>
      <c r="MG11" s="82"/>
      <c r="MH11" s="82"/>
      <c r="MI11" s="82"/>
      <c r="MJ11" s="82"/>
      <c r="MK11" s="82"/>
      <c r="ML11" s="82"/>
      <c r="MM11" s="82"/>
      <c r="MN11" s="80"/>
      <c r="MO11" s="53"/>
      <c r="MP11" s="53"/>
      <c r="MQ11" s="53"/>
      <c r="MR11" s="53"/>
      <c r="MS11" s="84"/>
      <c r="MT11" s="52"/>
      <c r="MU11" s="53"/>
      <c r="MV11" s="53"/>
      <c r="MW11" s="53"/>
      <c r="MX11" s="82"/>
      <c r="MY11" s="82"/>
      <c r="MZ11" s="82"/>
      <c r="NA11" s="82"/>
      <c r="NB11" s="82"/>
      <c r="NC11" s="82"/>
      <c r="ND11" s="82"/>
      <c r="NE11" s="82"/>
      <c r="NF11" s="82"/>
      <c r="NG11" s="82"/>
      <c r="NH11" s="80"/>
      <c r="NI11" s="53"/>
      <c r="NJ11" s="53"/>
      <c r="NK11" s="53"/>
      <c r="NL11" s="53"/>
      <c r="NM11" s="84"/>
      <c r="NN11" s="52"/>
      <c r="NO11" s="53"/>
      <c r="NP11" s="53"/>
      <c r="NQ11" s="53"/>
      <c r="NR11" s="82"/>
      <c r="NS11" s="82"/>
      <c r="NT11" s="82"/>
      <c r="NU11" s="82"/>
      <c r="NV11" s="82"/>
      <c r="NW11" s="82"/>
      <c r="NX11" s="82"/>
      <c r="NY11" s="82"/>
      <c r="NZ11" s="82"/>
      <c r="OA11" s="82"/>
      <c r="OB11" s="80"/>
      <c r="OC11" s="53"/>
      <c r="OD11" s="53"/>
      <c r="OE11" s="53"/>
      <c r="OF11" s="53"/>
      <c r="OG11" s="84"/>
      <c r="OH11" s="52"/>
      <c r="OI11" s="53"/>
      <c r="OJ11" s="53"/>
      <c r="OK11" s="53"/>
      <c r="OL11" s="82"/>
      <c r="OM11" s="82"/>
      <c r="ON11" s="82"/>
      <c r="OO11" s="82"/>
      <c r="OP11" s="82"/>
      <c r="OQ11" s="82"/>
      <c r="OR11" s="82"/>
      <c r="OS11" s="82"/>
      <c r="OT11" s="82"/>
      <c r="OU11" s="82"/>
      <c r="OV11" s="80"/>
      <c r="OW11" s="53"/>
      <c r="OX11" s="53"/>
      <c r="OY11" s="53"/>
      <c r="OZ11" s="53"/>
      <c r="PA11" s="84"/>
      <c r="PB11" s="52"/>
      <c r="PC11" s="53"/>
      <c r="PD11" s="53"/>
      <c r="PE11" s="53"/>
      <c r="PF11" s="82"/>
      <c r="PG11" s="82"/>
      <c r="PH11" s="82"/>
      <c r="PI11" s="82"/>
      <c r="PJ11" s="82"/>
      <c r="PK11" s="82"/>
      <c r="PL11" s="82"/>
      <c r="PM11" s="82"/>
      <c r="PN11" s="82"/>
      <c r="PO11" s="82"/>
      <c r="PP11" s="80"/>
      <c r="PQ11" s="53"/>
      <c r="PR11" s="53"/>
      <c r="PS11" s="53"/>
      <c r="PT11" s="53"/>
      <c r="PU11" s="84"/>
      <c r="PV11" s="52"/>
      <c r="PW11" s="53"/>
      <c r="PX11" s="53"/>
      <c r="PY11" s="53"/>
      <c r="PZ11" s="82"/>
      <c r="QA11" s="82"/>
      <c r="QB11" s="82"/>
      <c r="QC11" s="82"/>
      <c r="QD11" s="82"/>
      <c r="QE11" s="82"/>
      <c r="QF11" s="82"/>
      <c r="QG11" s="82"/>
      <c r="QH11" s="82"/>
      <c r="QI11" s="82"/>
      <c r="QJ11" s="80"/>
      <c r="QK11" s="53"/>
      <c r="QL11" s="53"/>
      <c r="QM11" s="53"/>
      <c r="QN11" s="53"/>
      <c r="QO11" s="84"/>
      <c r="QP11" s="52"/>
      <c r="QQ11" s="53"/>
      <c r="QR11" s="53"/>
      <c r="QS11" s="53"/>
      <c r="QT11" s="82"/>
      <c r="QU11" s="82"/>
      <c r="QV11" s="82"/>
      <c r="QW11" s="82"/>
      <c r="QX11" s="82"/>
      <c r="QY11" s="82"/>
      <c r="QZ11" s="82"/>
      <c r="RA11" s="82"/>
      <c r="RB11" s="82"/>
      <c r="RC11" s="82"/>
      <c r="RD11" s="80"/>
      <c r="RE11" s="53"/>
      <c r="RF11" s="53"/>
      <c r="RG11" s="53"/>
      <c r="RH11" s="53"/>
      <c r="RI11" s="84"/>
      <c r="RJ11" s="52"/>
      <c r="RK11" s="53"/>
      <c r="RL11" s="53"/>
      <c r="RM11" s="53"/>
      <c r="RN11" s="82"/>
      <c r="RO11" s="82"/>
      <c r="RP11" s="82"/>
      <c r="RQ11" s="82"/>
      <c r="RR11" s="82"/>
      <c r="RS11" s="82"/>
      <c r="RT11" s="82"/>
      <c r="RU11" s="82"/>
      <c r="RV11" s="82"/>
      <c r="RW11" s="82"/>
      <c r="RX11" s="80"/>
      <c r="RY11" s="53"/>
      <c r="RZ11" s="53"/>
      <c r="SA11" s="53"/>
      <c r="SB11" s="53"/>
      <c r="SC11" s="84"/>
      <c r="SD11" s="52"/>
      <c r="SE11" s="53"/>
      <c r="SF11" s="53"/>
      <c r="SG11" s="53"/>
    </row>
    <row r="12" spans="1:501" s="44" customFormat="1" ht="20.399999999999999" customHeight="1" x14ac:dyDescent="0.3">
      <c r="A12" s="125" t="s">
        <v>126</v>
      </c>
      <c r="B12" s="125" t="s">
        <v>71</v>
      </c>
      <c r="C12" s="125" t="s">
        <v>314</v>
      </c>
      <c r="D12" s="12" t="s">
        <v>315</v>
      </c>
      <c r="E12" s="12" t="s">
        <v>316</v>
      </c>
      <c r="F12" s="12" t="s">
        <v>321</v>
      </c>
      <c r="G12" s="72" t="s">
        <v>318</v>
      </c>
      <c r="H12" s="72" t="s">
        <v>322</v>
      </c>
      <c r="I12" s="204" t="s">
        <v>315</v>
      </c>
      <c r="J12" s="72"/>
      <c r="K12" s="72"/>
      <c r="L12" s="72"/>
      <c r="M12" s="72"/>
      <c r="N12" s="72"/>
      <c r="O12" s="72"/>
      <c r="P12" s="72"/>
      <c r="Q12" s="204"/>
      <c r="R12" s="72"/>
      <c r="S12" s="72"/>
      <c r="T12" s="72"/>
      <c r="U12" s="78"/>
      <c r="V12" s="83"/>
      <c r="W12" s="83"/>
      <c r="X12" s="83"/>
      <c r="Y12" s="83"/>
      <c r="Z12" s="83"/>
      <c r="AA12" s="83"/>
      <c r="AB12" s="83"/>
      <c r="AC12" s="83"/>
      <c r="AD12" s="83"/>
      <c r="AE12" s="83"/>
      <c r="AF12" s="81"/>
      <c r="AG12" s="46"/>
      <c r="AH12" s="46"/>
      <c r="AI12" s="46"/>
      <c r="AJ12" s="46"/>
      <c r="AK12" s="85"/>
      <c r="AL12" s="41"/>
      <c r="AM12" s="46"/>
      <c r="AN12" s="46"/>
      <c r="AO12" s="46"/>
      <c r="AP12" s="83"/>
      <c r="AQ12" s="83"/>
      <c r="AR12" s="83"/>
      <c r="AS12" s="83"/>
      <c r="AT12" s="83"/>
      <c r="AU12" s="83"/>
      <c r="AV12" s="83"/>
      <c r="AW12" s="83"/>
      <c r="AX12" s="83"/>
      <c r="AY12" s="83"/>
      <c r="AZ12" s="81"/>
      <c r="BA12" s="46"/>
      <c r="BB12" s="46"/>
      <c r="BC12" s="46"/>
      <c r="BD12" s="46"/>
      <c r="BE12" s="85"/>
      <c r="BF12" s="41"/>
      <c r="BG12" s="46"/>
      <c r="BH12" s="46"/>
      <c r="BI12" s="46"/>
      <c r="BJ12" s="83"/>
      <c r="BK12" s="83"/>
      <c r="BL12" s="83"/>
      <c r="BM12" s="83"/>
      <c r="BN12" s="83"/>
      <c r="BO12" s="83"/>
      <c r="BP12" s="83"/>
      <c r="BQ12" s="83"/>
      <c r="BR12" s="83"/>
      <c r="BS12" s="83"/>
      <c r="BT12" s="81"/>
      <c r="BU12" s="46"/>
      <c r="BV12" s="46"/>
      <c r="BW12" s="46"/>
      <c r="BX12" s="46"/>
      <c r="BY12" s="85"/>
      <c r="BZ12" s="41"/>
      <c r="CA12" s="46"/>
      <c r="CB12" s="46"/>
      <c r="CC12" s="46"/>
      <c r="CD12" s="83"/>
      <c r="CE12" s="83"/>
      <c r="CF12" s="83"/>
      <c r="CG12" s="83"/>
      <c r="CH12" s="83"/>
      <c r="CI12" s="83"/>
      <c r="CJ12" s="83"/>
      <c r="CK12" s="83"/>
      <c r="CL12" s="83"/>
      <c r="CM12" s="83"/>
      <c r="CN12" s="81"/>
      <c r="CO12" s="46"/>
      <c r="CP12" s="46"/>
      <c r="CQ12" s="46"/>
      <c r="CR12" s="46"/>
      <c r="CS12" s="85"/>
      <c r="CT12" s="41"/>
      <c r="CU12" s="46"/>
      <c r="CV12" s="46"/>
      <c r="CW12" s="46"/>
      <c r="CX12" s="83"/>
      <c r="CY12" s="83"/>
      <c r="CZ12" s="83"/>
      <c r="DA12" s="83"/>
      <c r="DB12" s="83"/>
      <c r="DC12" s="83"/>
      <c r="DD12" s="83"/>
      <c r="DE12" s="83"/>
      <c r="DF12" s="83"/>
      <c r="DG12" s="83"/>
      <c r="DH12" s="81"/>
      <c r="DI12" s="46"/>
      <c r="DJ12" s="46"/>
      <c r="DK12" s="46"/>
      <c r="DL12" s="46"/>
      <c r="DM12" s="85"/>
      <c r="DN12" s="41"/>
      <c r="DO12" s="46"/>
      <c r="DP12" s="46"/>
      <c r="DQ12" s="46"/>
      <c r="DR12" s="83"/>
      <c r="DS12" s="83"/>
      <c r="DT12" s="83"/>
      <c r="DU12" s="83"/>
      <c r="DV12" s="83"/>
      <c r="DW12" s="83"/>
      <c r="DX12" s="83"/>
      <c r="DY12" s="83"/>
      <c r="DZ12" s="83"/>
      <c r="EA12" s="83"/>
      <c r="EB12" s="81"/>
      <c r="EC12" s="46"/>
      <c r="ED12" s="46"/>
      <c r="EE12" s="46"/>
      <c r="EF12" s="46"/>
      <c r="EG12" s="85"/>
      <c r="EH12" s="41"/>
      <c r="EI12" s="46"/>
      <c r="EJ12" s="46"/>
      <c r="EK12" s="46"/>
      <c r="EL12" s="83"/>
      <c r="EM12" s="83"/>
      <c r="EN12" s="83"/>
      <c r="EO12" s="83"/>
      <c r="EP12" s="83"/>
      <c r="EQ12" s="83"/>
      <c r="ER12" s="83"/>
      <c r="ES12" s="83"/>
      <c r="ET12" s="83"/>
      <c r="EU12" s="83"/>
      <c r="EV12" s="81"/>
      <c r="EW12" s="46"/>
      <c r="EX12" s="46"/>
      <c r="EY12" s="46"/>
      <c r="EZ12" s="46"/>
      <c r="FA12" s="85"/>
      <c r="FB12" s="41"/>
      <c r="FC12" s="46"/>
      <c r="FD12" s="46"/>
      <c r="FE12" s="46"/>
      <c r="FF12" s="83"/>
      <c r="FG12" s="83"/>
      <c r="FH12" s="83"/>
      <c r="FI12" s="83"/>
      <c r="FJ12" s="83"/>
      <c r="FK12" s="83"/>
      <c r="FL12" s="83"/>
      <c r="FM12" s="83"/>
      <c r="FN12" s="83"/>
      <c r="FO12" s="83"/>
      <c r="FP12" s="81"/>
      <c r="FQ12" s="46"/>
      <c r="FR12" s="46"/>
      <c r="FS12" s="46"/>
      <c r="FT12" s="46"/>
      <c r="FU12" s="85"/>
      <c r="FV12" s="41"/>
      <c r="FW12" s="46"/>
      <c r="FX12" s="46"/>
      <c r="FY12" s="46"/>
      <c r="FZ12" s="83"/>
      <c r="GA12" s="83"/>
      <c r="GB12" s="83"/>
      <c r="GC12" s="83"/>
      <c r="GD12" s="83"/>
      <c r="GE12" s="83"/>
      <c r="GF12" s="83"/>
      <c r="GG12" s="83"/>
      <c r="GH12" s="83"/>
      <c r="GI12" s="83"/>
      <c r="GJ12" s="81"/>
      <c r="GK12" s="46"/>
      <c r="GL12" s="46"/>
      <c r="GM12" s="46"/>
      <c r="GN12" s="46"/>
      <c r="GO12" s="85"/>
      <c r="GP12" s="41"/>
      <c r="GQ12" s="46"/>
      <c r="GR12" s="46"/>
      <c r="GS12" s="46"/>
      <c r="GT12" s="83"/>
      <c r="GU12" s="83"/>
      <c r="GV12" s="83"/>
      <c r="GW12" s="83"/>
      <c r="GX12" s="83"/>
      <c r="GY12" s="83"/>
      <c r="GZ12" s="83"/>
      <c r="HA12" s="83"/>
      <c r="HB12" s="83"/>
      <c r="HC12" s="83"/>
      <c r="HD12" s="81"/>
      <c r="HE12" s="46"/>
      <c r="HF12" s="46"/>
      <c r="HG12" s="46"/>
      <c r="HH12" s="46"/>
      <c r="HI12" s="85"/>
      <c r="HJ12" s="41"/>
      <c r="HK12" s="46"/>
      <c r="HL12" s="46"/>
      <c r="HM12" s="46"/>
      <c r="HN12" s="83"/>
      <c r="HO12" s="83"/>
      <c r="HP12" s="83"/>
      <c r="HQ12" s="83"/>
      <c r="HR12" s="83"/>
      <c r="HS12" s="83"/>
      <c r="HT12" s="83"/>
      <c r="HU12" s="83"/>
      <c r="HV12" s="83"/>
      <c r="HW12" s="83"/>
      <c r="HX12" s="81"/>
      <c r="HY12" s="46"/>
      <c r="HZ12" s="46"/>
      <c r="IA12" s="46"/>
      <c r="IB12" s="46"/>
      <c r="IC12" s="85"/>
      <c r="ID12" s="41"/>
      <c r="IE12" s="46"/>
      <c r="IF12" s="46"/>
      <c r="IG12" s="46"/>
      <c r="IH12" s="83"/>
      <c r="II12" s="83"/>
      <c r="IJ12" s="83"/>
      <c r="IK12" s="83"/>
      <c r="IL12" s="83"/>
      <c r="IM12" s="83"/>
      <c r="IN12" s="83"/>
      <c r="IO12" s="83"/>
      <c r="IP12" s="83"/>
      <c r="IQ12" s="83"/>
      <c r="IR12" s="81"/>
      <c r="IS12" s="46"/>
      <c r="IT12" s="46"/>
      <c r="IU12" s="46"/>
      <c r="IV12" s="46"/>
      <c r="IW12" s="85"/>
      <c r="IX12" s="41"/>
      <c r="IY12" s="46"/>
      <c r="IZ12" s="46"/>
      <c r="JA12" s="46"/>
      <c r="JB12" s="83"/>
      <c r="JC12" s="83"/>
      <c r="JD12" s="83"/>
      <c r="JE12" s="83"/>
      <c r="JF12" s="83"/>
      <c r="JG12" s="83"/>
      <c r="JH12" s="83"/>
      <c r="JI12" s="83"/>
      <c r="JJ12" s="83"/>
      <c r="JK12" s="83"/>
      <c r="JL12" s="81"/>
      <c r="JM12" s="46"/>
      <c r="JN12" s="46"/>
      <c r="JO12" s="46"/>
      <c r="JP12" s="46"/>
      <c r="JQ12" s="85"/>
      <c r="JR12" s="41"/>
      <c r="JS12" s="46"/>
      <c r="JT12" s="46"/>
      <c r="JU12" s="46"/>
      <c r="JV12" s="83"/>
      <c r="JW12" s="83"/>
      <c r="JX12" s="83"/>
      <c r="JY12" s="83"/>
      <c r="JZ12" s="83"/>
      <c r="KA12" s="83"/>
      <c r="KB12" s="83"/>
      <c r="KC12" s="83"/>
      <c r="KD12" s="83"/>
      <c r="KE12" s="83"/>
      <c r="KF12" s="81"/>
      <c r="KG12" s="46"/>
      <c r="KH12" s="46"/>
      <c r="KI12" s="46"/>
      <c r="KJ12" s="46"/>
      <c r="KK12" s="85"/>
      <c r="KL12" s="41"/>
      <c r="KM12" s="46"/>
      <c r="KN12" s="46"/>
      <c r="KO12" s="46"/>
      <c r="KP12" s="83"/>
      <c r="KQ12" s="83"/>
      <c r="KR12" s="83"/>
      <c r="KS12" s="83"/>
      <c r="KT12" s="83"/>
      <c r="KU12" s="83"/>
      <c r="KV12" s="83"/>
      <c r="KW12" s="83"/>
      <c r="KX12" s="83"/>
      <c r="KY12" s="83"/>
      <c r="KZ12" s="81"/>
      <c r="LA12" s="46"/>
      <c r="LB12" s="46"/>
      <c r="LC12" s="46"/>
      <c r="LD12" s="46"/>
      <c r="LE12" s="85"/>
      <c r="LF12" s="41"/>
      <c r="LG12" s="46"/>
      <c r="LH12" s="46"/>
      <c r="LI12" s="46"/>
      <c r="LJ12" s="83"/>
      <c r="LK12" s="83"/>
      <c r="LL12" s="83"/>
      <c r="LM12" s="83"/>
      <c r="LN12" s="83"/>
      <c r="LO12" s="83"/>
      <c r="LP12" s="83"/>
      <c r="LQ12" s="83"/>
      <c r="LR12" s="83"/>
      <c r="LS12" s="83"/>
      <c r="LT12" s="81"/>
      <c r="LU12" s="46"/>
      <c r="LV12" s="46"/>
      <c r="LW12" s="46"/>
      <c r="LX12" s="46"/>
      <c r="LY12" s="85"/>
      <c r="LZ12" s="41"/>
      <c r="MA12" s="46"/>
      <c r="MB12" s="46"/>
      <c r="MC12" s="46"/>
      <c r="MD12" s="83"/>
      <c r="ME12" s="83"/>
      <c r="MF12" s="83"/>
      <c r="MG12" s="83"/>
      <c r="MH12" s="83"/>
      <c r="MI12" s="83"/>
      <c r="MJ12" s="83"/>
      <c r="MK12" s="83"/>
      <c r="ML12" s="83"/>
      <c r="MM12" s="83"/>
      <c r="MN12" s="81"/>
      <c r="MO12" s="46"/>
      <c r="MP12" s="46"/>
      <c r="MQ12" s="46"/>
      <c r="MR12" s="46"/>
      <c r="MS12" s="85"/>
      <c r="MT12" s="41"/>
      <c r="MU12" s="46"/>
      <c r="MV12" s="46"/>
      <c r="MW12" s="46"/>
      <c r="MX12" s="83"/>
      <c r="MY12" s="83"/>
      <c r="MZ12" s="83"/>
      <c r="NA12" s="83"/>
      <c r="NB12" s="83"/>
      <c r="NC12" s="83"/>
      <c r="ND12" s="83"/>
      <c r="NE12" s="83"/>
      <c r="NF12" s="83"/>
      <c r="NG12" s="83"/>
      <c r="NH12" s="81"/>
      <c r="NI12" s="46"/>
      <c r="NJ12" s="46"/>
      <c r="NK12" s="46"/>
      <c r="NL12" s="46"/>
      <c r="NM12" s="85"/>
      <c r="NN12" s="41"/>
      <c r="NO12" s="46"/>
      <c r="NP12" s="46"/>
      <c r="NQ12" s="46"/>
      <c r="NR12" s="83"/>
      <c r="NS12" s="83"/>
      <c r="NT12" s="83"/>
      <c r="NU12" s="83"/>
      <c r="NV12" s="83"/>
      <c r="NW12" s="83"/>
      <c r="NX12" s="83"/>
      <c r="NY12" s="83"/>
      <c r="NZ12" s="83"/>
      <c r="OA12" s="83"/>
      <c r="OB12" s="81"/>
      <c r="OC12" s="46"/>
      <c r="OD12" s="46"/>
      <c r="OE12" s="46"/>
      <c r="OF12" s="46"/>
      <c r="OG12" s="85"/>
      <c r="OH12" s="41"/>
      <c r="OI12" s="46"/>
      <c r="OJ12" s="46"/>
      <c r="OK12" s="46"/>
      <c r="OL12" s="83"/>
      <c r="OM12" s="83"/>
      <c r="ON12" s="83"/>
      <c r="OO12" s="83"/>
      <c r="OP12" s="83"/>
      <c r="OQ12" s="83"/>
      <c r="OR12" s="83"/>
      <c r="OS12" s="83"/>
      <c r="OT12" s="83"/>
      <c r="OU12" s="83"/>
      <c r="OV12" s="81"/>
      <c r="OW12" s="46"/>
      <c r="OX12" s="46"/>
      <c r="OY12" s="46"/>
      <c r="OZ12" s="46"/>
      <c r="PA12" s="85"/>
      <c r="PB12" s="41"/>
      <c r="PC12" s="46"/>
      <c r="PD12" s="46"/>
      <c r="PE12" s="46"/>
      <c r="PF12" s="83"/>
      <c r="PG12" s="83"/>
      <c r="PH12" s="83"/>
      <c r="PI12" s="83"/>
      <c r="PJ12" s="83"/>
      <c r="PK12" s="83"/>
      <c r="PL12" s="83"/>
      <c r="PM12" s="83"/>
      <c r="PN12" s="83"/>
      <c r="PO12" s="83"/>
      <c r="PP12" s="81"/>
      <c r="PQ12" s="46"/>
      <c r="PR12" s="46"/>
      <c r="PS12" s="46"/>
      <c r="PT12" s="46"/>
      <c r="PU12" s="85"/>
      <c r="PV12" s="41"/>
      <c r="PW12" s="46"/>
      <c r="PX12" s="46"/>
      <c r="PY12" s="46"/>
      <c r="PZ12" s="83"/>
      <c r="QA12" s="83"/>
      <c r="QB12" s="83"/>
      <c r="QC12" s="83"/>
      <c r="QD12" s="83"/>
      <c r="QE12" s="83"/>
      <c r="QF12" s="83"/>
      <c r="QG12" s="83"/>
      <c r="QH12" s="83"/>
      <c r="QI12" s="83"/>
      <c r="QJ12" s="81"/>
      <c r="QK12" s="46"/>
      <c r="QL12" s="46"/>
      <c r="QM12" s="46"/>
      <c r="QN12" s="46"/>
      <c r="QO12" s="85"/>
      <c r="QP12" s="41"/>
      <c r="QQ12" s="46"/>
      <c r="QR12" s="46"/>
      <c r="QS12" s="46"/>
      <c r="QT12" s="83"/>
      <c r="QU12" s="83"/>
      <c r="QV12" s="83"/>
      <c r="QW12" s="83"/>
      <c r="QX12" s="83"/>
      <c r="QY12" s="83"/>
      <c r="QZ12" s="83"/>
      <c r="RA12" s="83"/>
      <c r="RB12" s="83"/>
      <c r="RC12" s="83"/>
      <c r="RD12" s="81"/>
      <c r="RE12" s="46"/>
      <c r="RF12" s="46"/>
      <c r="RG12" s="46"/>
      <c r="RH12" s="46"/>
      <c r="RI12" s="85"/>
      <c r="RJ12" s="41"/>
      <c r="RK12" s="46"/>
      <c r="RL12" s="46"/>
      <c r="RM12" s="46"/>
      <c r="RN12" s="83"/>
      <c r="RO12" s="83"/>
      <c r="RP12" s="83"/>
      <c r="RQ12" s="83"/>
      <c r="RR12" s="83"/>
      <c r="RS12" s="83"/>
      <c r="RT12" s="83"/>
      <c r="RU12" s="83"/>
      <c r="RV12" s="83"/>
      <c r="RW12" s="83"/>
      <c r="RX12" s="81"/>
      <c r="RY12" s="46"/>
      <c r="RZ12" s="46"/>
      <c r="SA12" s="46"/>
      <c r="SB12" s="46"/>
      <c r="SC12" s="85"/>
      <c r="SD12" s="41"/>
      <c r="SE12" s="46"/>
      <c r="SF12" s="46"/>
      <c r="SG12" s="46"/>
    </row>
    <row r="13" spans="1:501" s="44" customFormat="1" ht="20.399999999999999" customHeight="1" x14ac:dyDescent="0.3">
      <c r="A13" s="66" t="s">
        <v>142</v>
      </c>
      <c r="B13" s="66" t="s">
        <v>373</v>
      </c>
      <c r="C13" s="66" t="s">
        <v>331</v>
      </c>
      <c r="D13" s="49" t="s">
        <v>315</v>
      </c>
      <c r="E13" s="49" t="s">
        <v>332</v>
      </c>
      <c r="F13" s="49" t="s">
        <v>333</v>
      </c>
      <c r="G13" s="70" t="s">
        <v>334</v>
      </c>
      <c r="H13" s="70" t="s">
        <v>377</v>
      </c>
      <c r="I13" s="206" t="s">
        <v>386</v>
      </c>
      <c r="J13" s="70"/>
      <c r="K13" s="70"/>
      <c r="L13" s="70" t="s">
        <v>71</v>
      </c>
      <c r="M13" s="70" t="s">
        <v>314</v>
      </c>
      <c r="N13" s="70" t="s">
        <v>315</v>
      </c>
      <c r="O13" s="70" t="s">
        <v>316</v>
      </c>
      <c r="P13" s="70" t="s">
        <v>321</v>
      </c>
      <c r="Q13" s="206" t="s">
        <v>318</v>
      </c>
      <c r="R13" s="70" t="s">
        <v>322</v>
      </c>
      <c r="S13" s="327" t="s">
        <v>387</v>
      </c>
      <c r="T13" s="70"/>
      <c r="U13" s="77"/>
      <c r="V13" s="70" t="s">
        <v>71</v>
      </c>
      <c r="W13" s="70" t="s">
        <v>314</v>
      </c>
      <c r="X13" s="70" t="s">
        <v>315</v>
      </c>
      <c r="Y13" s="70" t="s">
        <v>316</v>
      </c>
      <c r="Z13" s="70" t="s">
        <v>321</v>
      </c>
      <c r="AA13" s="70" t="s">
        <v>318</v>
      </c>
      <c r="AB13" s="70" t="s">
        <v>322</v>
      </c>
      <c r="AC13" s="70" t="s">
        <v>315</v>
      </c>
      <c r="AD13" s="82"/>
      <c r="AE13" s="82"/>
      <c r="AF13" s="66" t="s">
        <v>359</v>
      </c>
      <c r="AG13" s="66" t="s">
        <v>360</v>
      </c>
      <c r="AH13" s="49" t="s">
        <v>388</v>
      </c>
      <c r="AI13" s="49" t="s">
        <v>332</v>
      </c>
      <c r="AJ13" s="49" t="s">
        <v>333</v>
      </c>
      <c r="AK13" s="203" t="s">
        <v>360</v>
      </c>
      <c r="AL13" s="203" t="s">
        <v>362</v>
      </c>
      <c r="AM13" s="109" t="s">
        <v>389</v>
      </c>
      <c r="AN13" s="53"/>
      <c r="AO13" s="53"/>
      <c r="AP13" s="82"/>
      <c r="AQ13" s="82"/>
      <c r="AR13" s="82"/>
      <c r="AS13" s="82"/>
      <c r="AT13" s="82"/>
      <c r="AU13" s="82"/>
      <c r="AV13" s="82"/>
      <c r="AW13" s="82"/>
      <c r="AX13" s="82"/>
      <c r="AY13" s="82"/>
      <c r="AZ13" s="80"/>
      <c r="BA13" s="53"/>
      <c r="BB13" s="53"/>
      <c r="BC13" s="53"/>
      <c r="BD13" s="53"/>
      <c r="BE13" s="84"/>
      <c r="BF13" s="52"/>
      <c r="BG13" s="53"/>
      <c r="BH13" s="53"/>
      <c r="BI13" s="53"/>
      <c r="BJ13" s="82"/>
      <c r="BK13" s="82"/>
      <c r="BL13" s="82"/>
      <c r="BM13" s="82"/>
      <c r="BN13" s="82"/>
      <c r="BO13" s="82"/>
      <c r="BP13" s="82"/>
      <c r="BQ13" s="82"/>
      <c r="BR13" s="82"/>
      <c r="BS13" s="82"/>
      <c r="BT13" s="80"/>
      <c r="BU13" s="53"/>
      <c r="BV13" s="53"/>
      <c r="BW13" s="53"/>
      <c r="BX13" s="53"/>
      <c r="BY13" s="84"/>
      <c r="BZ13" s="52"/>
      <c r="CA13" s="53"/>
      <c r="CB13" s="53"/>
      <c r="CC13" s="53"/>
      <c r="CD13" s="82"/>
      <c r="CE13" s="82"/>
      <c r="CF13" s="82"/>
      <c r="CG13" s="82"/>
      <c r="CH13" s="82"/>
      <c r="CI13" s="82"/>
      <c r="CJ13" s="82"/>
      <c r="CK13" s="82"/>
      <c r="CL13" s="82"/>
      <c r="CM13" s="82"/>
      <c r="CN13" s="80"/>
      <c r="CO13" s="53"/>
      <c r="CP13" s="53"/>
      <c r="CQ13" s="53"/>
      <c r="CR13" s="53"/>
      <c r="CS13" s="84"/>
      <c r="CT13" s="52"/>
      <c r="CU13" s="53"/>
      <c r="CV13" s="53"/>
      <c r="CW13" s="53"/>
      <c r="CX13" s="82"/>
      <c r="CY13" s="82"/>
      <c r="CZ13" s="82"/>
      <c r="DA13" s="82"/>
      <c r="DB13" s="82"/>
      <c r="DC13" s="82"/>
      <c r="DD13" s="82"/>
      <c r="DE13" s="82"/>
      <c r="DF13" s="82"/>
      <c r="DG13" s="82"/>
      <c r="DH13" s="80"/>
      <c r="DI13" s="53"/>
      <c r="DJ13" s="53"/>
      <c r="DK13" s="53"/>
      <c r="DL13" s="53"/>
      <c r="DM13" s="84"/>
      <c r="DN13" s="52"/>
      <c r="DO13" s="53"/>
      <c r="DP13" s="53"/>
      <c r="DQ13" s="53"/>
      <c r="DR13" s="82"/>
      <c r="DS13" s="82"/>
      <c r="DT13" s="82"/>
      <c r="DU13" s="82"/>
      <c r="DV13" s="82"/>
      <c r="DW13" s="82"/>
      <c r="DX13" s="82"/>
      <c r="DY13" s="82"/>
      <c r="DZ13" s="82"/>
      <c r="EA13" s="82"/>
      <c r="EB13" s="80"/>
      <c r="EC13" s="53"/>
      <c r="ED13" s="53"/>
      <c r="EE13" s="53"/>
      <c r="EF13" s="53"/>
      <c r="EG13" s="84"/>
      <c r="EH13" s="52"/>
      <c r="EI13" s="53"/>
      <c r="EJ13" s="53"/>
      <c r="EK13" s="53"/>
      <c r="EL13" s="82"/>
      <c r="EM13" s="82"/>
      <c r="EN13" s="82"/>
      <c r="EO13" s="82"/>
      <c r="EP13" s="82"/>
      <c r="EQ13" s="82"/>
      <c r="ER13" s="82"/>
      <c r="ES13" s="82"/>
      <c r="ET13" s="82"/>
      <c r="EU13" s="82"/>
      <c r="EV13" s="80"/>
      <c r="EW13" s="53"/>
      <c r="EX13" s="53"/>
      <c r="EY13" s="53"/>
      <c r="EZ13" s="53"/>
      <c r="FA13" s="84"/>
      <c r="FB13" s="52"/>
      <c r="FC13" s="53"/>
      <c r="FD13" s="53"/>
      <c r="FE13" s="53"/>
      <c r="FF13" s="82"/>
      <c r="FG13" s="82"/>
      <c r="FH13" s="82"/>
      <c r="FI13" s="82"/>
      <c r="FJ13" s="82"/>
      <c r="FK13" s="82"/>
      <c r="FL13" s="82"/>
      <c r="FM13" s="82"/>
      <c r="FN13" s="82"/>
      <c r="FO13" s="82"/>
      <c r="FP13" s="80"/>
      <c r="FQ13" s="53"/>
      <c r="FR13" s="53"/>
      <c r="FS13" s="53"/>
      <c r="FT13" s="53"/>
      <c r="FU13" s="84"/>
      <c r="FV13" s="52"/>
      <c r="FW13" s="53"/>
      <c r="FX13" s="53"/>
      <c r="FY13" s="53"/>
      <c r="FZ13" s="82"/>
      <c r="GA13" s="82"/>
      <c r="GB13" s="82"/>
      <c r="GC13" s="82"/>
      <c r="GD13" s="82"/>
      <c r="GE13" s="82"/>
      <c r="GF13" s="82"/>
      <c r="GG13" s="82"/>
      <c r="GH13" s="82"/>
      <c r="GI13" s="82"/>
      <c r="GJ13" s="80"/>
      <c r="GK13" s="53"/>
      <c r="GL13" s="53"/>
      <c r="GM13" s="53"/>
      <c r="GN13" s="53"/>
      <c r="GO13" s="84"/>
      <c r="GP13" s="52"/>
      <c r="GQ13" s="53"/>
      <c r="GR13" s="53"/>
      <c r="GS13" s="53"/>
      <c r="GT13" s="82"/>
      <c r="GU13" s="82"/>
      <c r="GV13" s="82"/>
      <c r="GW13" s="82"/>
      <c r="GX13" s="82"/>
      <c r="GY13" s="82"/>
      <c r="GZ13" s="82"/>
      <c r="HA13" s="82"/>
      <c r="HB13" s="82"/>
      <c r="HC13" s="82"/>
      <c r="HD13" s="80"/>
      <c r="HE13" s="53"/>
      <c r="HF13" s="53"/>
      <c r="HG13" s="53"/>
      <c r="HH13" s="53"/>
      <c r="HI13" s="84"/>
      <c r="HJ13" s="52"/>
      <c r="HK13" s="53"/>
      <c r="HL13" s="53"/>
      <c r="HM13" s="53"/>
      <c r="HN13" s="82"/>
      <c r="HO13" s="82"/>
      <c r="HP13" s="82"/>
      <c r="HQ13" s="82"/>
      <c r="HR13" s="82"/>
      <c r="HS13" s="82"/>
      <c r="HT13" s="82"/>
      <c r="HU13" s="82"/>
      <c r="HV13" s="82"/>
      <c r="HW13" s="82"/>
      <c r="HX13" s="80"/>
      <c r="HY13" s="53"/>
      <c r="HZ13" s="53"/>
      <c r="IA13" s="53"/>
      <c r="IB13" s="53"/>
      <c r="IC13" s="84"/>
      <c r="ID13" s="52"/>
      <c r="IE13" s="53"/>
      <c r="IF13" s="53"/>
      <c r="IG13" s="53"/>
      <c r="IH13" s="82"/>
      <c r="II13" s="82"/>
      <c r="IJ13" s="82"/>
      <c r="IK13" s="82"/>
      <c r="IL13" s="82"/>
      <c r="IM13" s="82"/>
      <c r="IN13" s="82"/>
      <c r="IO13" s="82"/>
      <c r="IP13" s="82"/>
      <c r="IQ13" s="82"/>
      <c r="IR13" s="80"/>
      <c r="IS13" s="53"/>
      <c r="IT13" s="53"/>
      <c r="IU13" s="53"/>
      <c r="IV13" s="53"/>
      <c r="IW13" s="84"/>
      <c r="IX13" s="52"/>
      <c r="IY13" s="53"/>
      <c r="IZ13" s="53"/>
      <c r="JA13" s="53"/>
      <c r="JB13" s="82"/>
      <c r="JC13" s="82"/>
      <c r="JD13" s="82"/>
      <c r="JE13" s="82"/>
      <c r="JF13" s="82"/>
      <c r="JG13" s="82"/>
      <c r="JH13" s="82"/>
      <c r="JI13" s="82"/>
      <c r="JJ13" s="82"/>
      <c r="JK13" s="82"/>
      <c r="JL13" s="80"/>
      <c r="JM13" s="53"/>
      <c r="JN13" s="53"/>
      <c r="JO13" s="53"/>
      <c r="JP13" s="53"/>
      <c r="JQ13" s="84"/>
      <c r="JR13" s="52"/>
      <c r="JS13" s="53"/>
      <c r="JT13" s="53"/>
      <c r="JU13" s="53"/>
      <c r="JV13" s="82"/>
      <c r="JW13" s="82"/>
      <c r="JX13" s="82"/>
      <c r="JY13" s="82"/>
      <c r="JZ13" s="82"/>
      <c r="KA13" s="82"/>
      <c r="KB13" s="82"/>
      <c r="KC13" s="82"/>
      <c r="KD13" s="82"/>
      <c r="KE13" s="82"/>
      <c r="KF13" s="80"/>
      <c r="KG13" s="53"/>
      <c r="KH13" s="53"/>
      <c r="KI13" s="53"/>
      <c r="KJ13" s="53"/>
      <c r="KK13" s="84"/>
      <c r="KL13" s="52"/>
      <c r="KM13" s="53"/>
      <c r="KN13" s="53"/>
      <c r="KO13" s="53"/>
      <c r="KP13" s="82"/>
      <c r="KQ13" s="82"/>
      <c r="KR13" s="82"/>
      <c r="KS13" s="82"/>
      <c r="KT13" s="82"/>
      <c r="KU13" s="82"/>
      <c r="KV13" s="82"/>
      <c r="KW13" s="82"/>
      <c r="KX13" s="82"/>
      <c r="KY13" s="82"/>
      <c r="KZ13" s="80"/>
      <c r="LA13" s="53"/>
      <c r="LB13" s="53"/>
      <c r="LC13" s="53"/>
      <c r="LD13" s="53"/>
      <c r="LE13" s="84"/>
      <c r="LF13" s="52"/>
      <c r="LG13" s="53"/>
      <c r="LH13" s="53"/>
      <c r="LI13" s="53"/>
      <c r="LJ13" s="82"/>
      <c r="LK13" s="82"/>
      <c r="LL13" s="82"/>
      <c r="LM13" s="82"/>
      <c r="LN13" s="82"/>
      <c r="LO13" s="82"/>
      <c r="LP13" s="82"/>
      <c r="LQ13" s="82"/>
      <c r="LR13" s="82"/>
      <c r="LS13" s="82"/>
      <c r="LT13" s="80"/>
      <c r="LU13" s="53"/>
      <c r="LV13" s="53"/>
      <c r="LW13" s="53"/>
      <c r="LX13" s="53"/>
      <c r="LY13" s="84"/>
      <c r="LZ13" s="52"/>
      <c r="MA13" s="53"/>
      <c r="MB13" s="53"/>
      <c r="MC13" s="53"/>
      <c r="MD13" s="82"/>
      <c r="ME13" s="82"/>
      <c r="MF13" s="82"/>
      <c r="MG13" s="82"/>
      <c r="MH13" s="82"/>
      <c r="MI13" s="82"/>
      <c r="MJ13" s="82"/>
      <c r="MK13" s="82"/>
      <c r="ML13" s="82"/>
      <c r="MM13" s="82"/>
      <c r="MN13" s="80"/>
      <c r="MO13" s="53"/>
      <c r="MP13" s="53"/>
      <c r="MQ13" s="53"/>
      <c r="MR13" s="53"/>
      <c r="MS13" s="84"/>
      <c r="MT13" s="52"/>
      <c r="MU13" s="53"/>
      <c r="MV13" s="53"/>
      <c r="MW13" s="53"/>
      <c r="MX13" s="82"/>
      <c r="MY13" s="82"/>
      <c r="MZ13" s="82"/>
      <c r="NA13" s="82"/>
      <c r="NB13" s="82"/>
      <c r="NC13" s="82"/>
      <c r="ND13" s="82"/>
      <c r="NE13" s="82"/>
      <c r="NF13" s="82"/>
      <c r="NG13" s="82"/>
      <c r="NH13" s="80"/>
      <c r="NI13" s="53"/>
      <c r="NJ13" s="53"/>
      <c r="NK13" s="53"/>
      <c r="NL13" s="53"/>
      <c r="NM13" s="84"/>
      <c r="NN13" s="52"/>
      <c r="NO13" s="53"/>
      <c r="NP13" s="53"/>
      <c r="NQ13" s="53"/>
      <c r="NR13" s="82"/>
      <c r="NS13" s="82"/>
      <c r="NT13" s="82"/>
      <c r="NU13" s="82"/>
      <c r="NV13" s="82"/>
      <c r="NW13" s="82"/>
      <c r="NX13" s="82"/>
      <c r="NY13" s="82"/>
      <c r="NZ13" s="82"/>
      <c r="OA13" s="82"/>
      <c r="OB13" s="80"/>
      <c r="OC13" s="53"/>
      <c r="OD13" s="53"/>
      <c r="OE13" s="53"/>
      <c r="OF13" s="53"/>
      <c r="OG13" s="84"/>
      <c r="OH13" s="52"/>
      <c r="OI13" s="53"/>
      <c r="OJ13" s="53"/>
      <c r="OK13" s="53"/>
      <c r="OL13" s="82"/>
      <c r="OM13" s="82"/>
      <c r="ON13" s="82"/>
      <c r="OO13" s="82"/>
      <c r="OP13" s="82"/>
      <c r="OQ13" s="82"/>
      <c r="OR13" s="82"/>
      <c r="OS13" s="82"/>
      <c r="OT13" s="82"/>
      <c r="OU13" s="82"/>
      <c r="OV13" s="80"/>
      <c r="OW13" s="53"/>
      <c r="OX13" s="53"/>
      <c r="OY13" s="53"/>
      <c r="OZ13" s="53"/>
      <c r="PA13" s="84"/>
      <c r="PB13" s="52"/>
      <c r="PC13" s="53"/>
      <c r="PD13" s="53"/>
      <c r="PE13" s="53"/>
      <c r="PF13" s="82"/>
      <c r="PG13" s="82"/>
      <c r="PH13" s="82"/>
      <c r="PI13" s="82"/>
      <c r="PJ13" s="82"/>
      <c r="PK13" s="82"/>
      <c r="PL13" s="82"/>
      <c r="PM13" s="82"/>
      <c r="PN13" s="82"/>
      <c r="PO13" s="82"/>
      <c r="PP13" s="80"/>
      <c r="PQ13" s="53"/>
      <c r="PR13" s="53"/>
      <c r="PS13" s="53"/>
      <c r="PT13" s="53"/>
      <c r="PU13" s="84"/>
      <c r="PV13" s="52"/>
      <c r="PW13" s="53"/>
      <c r="PX13" s="53"/>
      <c r="PY13" s="53"/>
      <c r="PZ13" s="82"/>
      <c r="QA13" s="82"/>
      <c r="QB13" s="82"/>
      <c r="QC13" s="82"/>
      <c r="QD13" s="82"/>
      <c r="QE13" s="82"/>
      <c r="QF13" s="82"/>
      <c r="QG13" s="82"/>
      <c r="QH13" s="82"/>
      <c r="QI13" s="82"/>
      <c r="QJ13" s="80"/>
      <c r="QK13" s="53"/>
      <c r="QL13" s="53"/>
      <c r="QM13" s="53"/>
      <c r="QN13" s="53"/>
      <c r="QO13" s="84"/>
      <c r="QP13" s="52"/>
      <c r="QQ13" s="53"/>
      <c r="QR13" s="53"/>
      <c r="QS13" s="53"/>
      <c r="QT13" s="82"/>
      <c r="QU13" s="82"/>
      <c r="QV13" s="82"/>
      <c r="QW13" s="82"/>
      <c r="QX13" s="82"/>
      <c r="QY13" s="82"/>
      <c r="QZ13" s="82"/>
      <c r="RA13" s="82"/>
      <c r="RB13" s="82"/>
      <c r="RC13" s="82"/>
      <c r="RD13" s="80"/>
      <c r="RE13" s="53"/>
      <c r="RF13" s="53"/>
      <c r="RG13" s="53"/>
      <c r="RH13" s="53"/>
      <c r="RI13" s="84"/>
      <c r="RJ13" s="52"/>
      <c r="RK13" s="53"/>
      <c r="RL13" s="53"/>
      <c r="RM13" s="53"/>
      <c r="RN13" s="82"/>
      <c r="RO13" s="82"/>
      <c r="RP13" s="82"/>
      <c r="RQ13" s="82"/>
      <c r="RR13" s="82"/>
      <c r="RS13" s="82"/>
      <c r="RT13" s="82"/>
      <c r="RU13" s="82"/>
      <c r="RV13" s="82"/>
      <c r="RW13" s="82"/>
      <c r="RX13" s="80"/>
      <c r="RY13" s="53"/>
      <c r="RZ13" s="53"/>
      <c r="SA13" s="53"/>
      <c r="SB13" s="53"/>
      <c r="SC13" s="84"/>
      <c r="SD13" s="52"/>
      <c r="SE13" s="53"/>
      <c r="SF13" s="53"/>
      <c r="SG13" s="53"/>
    </row>
    <row r="14" spans="1:501" s="44" customFormat="1" ht="20.399999999999999" customHeight="1" x14ac:dyDescent="0.3">
      <c r="A14" s="125" t="s">
        <v>146</v>
      </c>
      <c r="B14" s="125" t="s">
        <v>359</v>
      </c>
      <c r="C14" s="125" t="s">
        <v>360</v>
      </c>
      <c r="D14" s="12" t="s">
        <v>390</v>
      </c>
      <c r="E14" s="12" t="s">
        <v>332</v>
      </c>
      <c r="F14" s="12" t="s">
        <v>333</v>
      </c>
      <c r="G14" s="125" t="s">
        <v>360</v>
      </c>
      <c r="H14" s="204" t="s">
        <v>362</v>
      </c>
      <c r="I14" s="204" t="s">
        <v>390</v>
      </c>
      <c r="J14" s="72"/>
      <c r="K14" s="72"/>
      <c r="L14" s="12" t="s">
        <v>68</v>
      </c>
      <c r="M14" s="125" t="s">
        <v>331</v>
      </c>
      <c r="N14" s="12" t="s">
        <v>315</v>
      </c>
      <c r="O14" s="83" t="s">
        <v>332</v>
      </c>
      <c r="P14" s="12" t="s">
        <v>333</v>
      </c>
      <c r="Q14" s="110" t="s">
        <v>334</v>
      </c>
      <c r="R14" s="83" t="s">
        <v>335</v>
      </c>
      <c r="S14" s="83" t="s">
        <v>315</v>
      </c>
      <c r="T14" s="72"/>
      <c r="U14" s="78"/>
      <c r="V14" s="12" t="s">
        <v>68</v>
      </c>
      <c r="W14" s="125" t="s">
        <v>331</v>
      </c>
      <c r="X14" s="12" t="s">
        <v>315</v>
      </c>
      <c r="Y14" s="83" t="s">
        <v>332</v>
      </c>
      <c r="Z14" s="12" t="s">
        <v>333</v>
      </c>
      <c r="AA14" s="110" t="s">
        <v>334</v>
      </c>
      <c r="AB14" s="83" t="s">
        <v>335</v>
      </c>
      <c r="AC14" s="83" t="s">
        <v>315</v>
      </c>
      <c r="AD14" s="83"/>
      <c r="AE14" s="83"/>
      <c r="AF14" s="12" t="s">
        <v>68</v>
      </c>
      <c r="AG14" s="125" t="s">
        <v>331</v>
      </c>
      <c r="AH14" s="12" t="s">
        <v>315</v>
      </c>
      <c r="AI14" s="83" t="s">
        <v>332</v>
      </c>
      <c r="AJ14" s="12" t="s">
        <v>333</v>
      </c>
      <c r="AK14" s="110" t="s">
        <v>334</v>
      </c>
      <c r="AL14" s="83" t="s">
        <v>335</v>
      </c>
      <c r="AM14" s="83" t="s">
        <v>315</v>
      </c>
      <c r="AN14" s="46"/>
      <c r="AO14" s="46"/>
      <c r="AP14" s="83" t="s">
        <v>69</v>
      </c>
      <c r="AQ14" s="83" t="s">
        <v>318</v>
      </c>
      <c r="AR14" s="83" t="s">
        <v>315</v>
      </c>
      <c r="AS14" s="83" t="s">
        <v>336</v>
      </c>
      <c r="AT14" s="83" t="s">
        <v>321</v>
      </c>
      <c r="AU14" s="83" t="s">
        <v>318</v>
      </c>
      <c r="AV14" s="83" t="s">
        <v>391</v>
      </c>
      <c r="AW14" s="83" t="s">
        <v>315</v>
      </c>
      <c r="AX14" s="83"/>
      <c r="AY14" s="83"/>
      <c r="AZ14" s="81" t="s">
        <v>313</v>
      </c>
      <c r="BA14" s="46" t="s">
        <v>318</v>
      </c>
      <c r="BB14" s="46" t="s">
        <v>315</v>
      </c>
      <c r="BC14" s="46" t="s">
        <v>336</v>
      </c>
      <c r="BD14" s="46" t="s">
        <v>317</v>
      </c>
      <c r="BE14" s="85" t="s">
        <v>318</v>
      </c>
      <c r="BF14" s="41" t="s">
        <v>337</v>
      </c>
      <c r="BG14" s="46" t="s">
        <v>315</v>
      </c>
      <c r="BH14" s="46"/>
      <c r="BI14" s="46"/>
      <c r="BJ14" s="83" t="s">
        <v>313</v>
      </c>
      <c r="BK14" s="83" t="s">
        <v>318</v>
      </c>
      <c r="BL14" s="83" t="s">
        <v>315</v>
      </c>
      <c r="BM14" s="83" t="s">
        <v>336</v>
      </c>
      <c r="BN14" s="83" t="s">
        <v>317</v>
      </c>
      <c r="BO14" s="83" t="s">
        <v>318</v>
      </c>
      <c r="BP14" s="83" t="s">
        <v>337</v>
      </c>
      <c r="BQ14" s="83" t="s">
        <v>315</v>
      </c>
      <c r="BR14" s="83"/>
      <c r="BS14" s="83"/>
      <c r="BT14" s="81"/>
      <c r="BU14" s="46"/>
      <c r="BV14" s="46"/>
      <c r="BW14" s="46"/>
      <c r="BX14" s="46"/>
      <c r="BY14" s="85"/>
      <c r="BZ14" s="41"/>
      <c r="CA14" s="46"/>
      <c r="CB14" s="46"/>
      <c r="CC14" s="46"/>
      <c r="CD14" s="83"/>
      <c r="CE14" s="83"/>
      <c r="CF14" s="83"/>
      <c r="CG14" s="83"/>
      <c r="CH14" s="83"/>
      <c r="CI14" s="83"/>
      <c r="CJ14" s="83"/>
      <c r="CK14" s="83"/>
      <c r="CL14" s="83"/>
      <c r="CM14" s="83"/>
      <c r="CN14" s="81"/>
      <c r="CO14" s="46"/>
      <c r="CP14" s="46"/>
      <c r="CQ14" s="46"/>
      <c r="CR14" s="46"/>
      <c r="CS14" s="85"/>
      <c r="CT14" s="41"/>
      <c r="CU14" s="46"/>
      <c r="CV14" s="46"/>
      <c r="CW14" s="46"/>
      <c r="CX14" s="83"/>
      <c r="CY14" s="83"/>
      <c r="CZ14" s="83"/>
      <c r="DA14" s="83"/>
      <c r="DB14" s="83"/>
      <c r="DC14" s="83"/>
      <c r="DD14" s="83"/>
      <c r="DE14" s="83"/>
      <c r="DF14" s="83"/>
      <c r="DG14" s="83"/>
      <c r="DH14" s="81"/>
      <c r="DI14" s="46"/>
      <c r="DJ14" s="46"/>
      <c r="DK14" s="46"/>
      <c r="DL14" s="46"/>
      <c r="DM14" s="85"/>
      <c r="DN14" s="41"/>
      <c r="DO14" s="46"/>
      <c r="DP14" s="46"/>
      <c r="DQ14" s="46"/>
      <c r="DR14" s="83"/>
      <c r="DS14" s="83"/>
      <c r="DT14" s="83"/>
      <c r="DU14" s="83"/>
      <c r="DV14" s="83"/>
      <c r="DW14" s="83"/>
      <c r="DX14" s="83"/>
      <c r="DY14" s="83"/>
      <c r="DZ14" s="83"/>
      <c r="EA14" s="83"/>
      <c r="EB14" s="81"/>
      <c r="EC14" s="46"/>
      <c r="ED14" s="46"/>
      <c r="EE14" s="46"/>
      <c r="EF14" s="46"/>
      <c r="EG14" s="85"/>
      <c r="EH14" s="41"/>
      <c r="EI14" s="46"/>
      <c r="EJ14" s="46"/>
      <c r="EK14" s="46"/>
      <c r="EL14" s="83"/>
      <c r="EM14" s="83"/>
      <c r="EN14" s="83"/>
      <c r="EO14" s="83"/>
      <c r="EP14" s="83"/>
      <c r="EQ14" s="83"/>
      <c r="ER14" s="83"/>
      <c r="ES14" s="83"/>
      <c r="ET14" s="83"/>
      <c r="EU14" s="83"/>
      <c r="EV14" s="81"/>
      <c r="EW14" s="46"/>
      <c r="EX14" s="46"/>
      <c r="EY14" s="46"/>
      <c r="EZ14" s="46"/>
      <c r="FA14" s="85"/>
      <c r="FB14" s="41"/>
      <c r="FC14" s="46"/>
      <c r="FD14" s="46"/>
      <c r="FE14" s="46"/>
      <c r="FF14" s="83"/>
      <c r="FG14" s="83"/>
      <c r="FH14" s="83"/>
      <c r="FI14" s="83"/>
      <c r="FJ14" s="83"/>
      <c r="FK14" s="83"/>
      <c r="FL14" s="83"/>
      <c r="FM14" s="83"/>
      <c r="FN14" s="83"/>
      <c r="FO14" s="83"/>
      <c r="FP14" s="81"/>
      <c r="FQ14" s="46"/>
      <c r="FR14" s="46"/>
      <c r="FS14" s="46"/>
      <c r="FT14" s="46"/>
      <c r="FU14" s="85"/>
      <c r="FV14" s="41"/>
      <c r="FW14" s="46"/>
      <c r="FX14" s="46"/>
      <c r="FY14" s="46"/>
      <c r="FZ14" s="83"/>
      <c r="GA14" s="83"/>
      <c r="GB14" s="83"/>
      <c r="GC14" s="83"/>
      <c r="GD14" s="83"/>
      <c r="GE14" s="83"/>
      <c r="GF14" s="83"/>
      <c r="GG14" s="83"/>
      <c r="GH14" s="83"/>
      <c r="GI14" s="83"/>
      <c r="GJ14" s="81"/>
      <c r="GK14" s="46"/>
      <c r="GL14" s="46"/>
      <c r="GM14" s="46"/>
      <c r="GN14" s="46"/>
      <c r="GO14" s="85"/>
      <c r="GP14" s="41"/>
      <c r="GQ14" s="46"/>
      <c r="GR14" s="46"/>
      <c r="GS14" s="46"/>
      <c r="GT14" s="83"/>
      <c r="GU14" s="83"/>
      <c r="GV14" s="83"/>
      <c r="GW14" s="83"/>
      <c r="GX14" s="83"/>
      <c r="GY14" s="83"/>
      <c r="GZ14" s="83"/>
      <c r="HA14" s="83"/>
      <c r="HB14" s="83"/>
      <c r="HC14" s="83"/>
      <c r="HD14" s="81"/>
      <c r="HE14" s="46"/>
      <c r="HF14" s="46"/>
      <c r="HG14" s="46"/>
      <c r="HH14" s="46"/>
      <c r="HI14" s="85"/>
      <c r="HJ14" s="41"/>
      <c r="HK14" s="46"/>
      <c r="HL14" s="46"/>
      <c r="HM14" s="46"/>
      <c r="HN14" s="83"/>
      <c r="HO14" s="83"/>
      <c r="HP14" s="83"/>
      <c r="HQ14" s="83"/>
      <c r="HR14" s="83"/>
      <c r="HS14" s="83"/>
      <c r="HT14" s="83"/>
      <c r="HU14" s="83"/>
      <c r="HV14" s="83"/>
      <c r="HW14" s="83"/>
      <c r="HX14" s="81"/>
      <c r="HY14" s="46"/>
      <c r="HZ14" s="46"/>
      <c r="IA14" s="46"/>
      <c r="IB14" s="46"/>
      <c r="IC14" s="85"/>
      <c r="ID14" s="41"/>
      <c r="IE14" s="46"/>
      <c r="IF14" s="46"/>
      <c r="IG14" s="46"/>
      <c r="IH14" s="83"/>
      <c r="II14" s="83"/>
      <c r="IJ14" s="83"/>
      <c r="IK14" s="83"/>
      <c r="IL14" s="83"/>
      <c r="IM14" s="83"/>
      <c r="IN14" s="83"/>
      <c r="IO14" s="83"/>
      <c r="IP14" s="83"/>
      <c r="IQ14" s="83"/>
      <c r="IR14" s="81"/>
      <c r="IS14" s="46"/>
      <c r="IT14" s="46"/>
      <c r="IU14" s="46"/>
      <c r="IV14" s="46"/>
      <c r="IW14" s="85"/>
      <c r="IX14" s="41"/>
      <c r="IY14" s="46"/>
      <c r="IZ14" s="46"/>
      <c r="JA14" s="46"/>
      <c r="JB14" s="83"/>
      <c r="JC14" s="83"/>
      <c r="JD14" s="83"/>
      <c r="JE14" s="83"/>
      <c r="JF14" s="83"/>
      <c r="JG14" s="83"/>
      <c r="JH14" s="83"/>
      <c r="JI14" s="83"/>
      <c r="JJ14" s="83"/>
      <c r="JK14" s="83"/>
      <c r="JL14" s="81"/>
      <c r="JM14" s="46"/>
      <c r="JN14" s="46"/>
      <c r="JO14" s="46"/>
      <c r="JP14" s="46"/>
      <c r="JQ14" s="85"/>
      <c r="JR14" s="41"/>
      <c r="JS14" s="46"/>
      <c r="JT14" s="46"/>
      <c r="JU14" s="46"/>
      <c r="JV14" s="83"/>
      <c r="JW14" s="83"/>
      <c r="JX14" s="83"/>
      <c r="JY14" s="83"/>
      <c r="JZ14" s="83"/>
      <c r="KA14" s="83"/>
      <c r="KB14" s="83"/>
      <c r="KC14" s="83"/>
      <c r="KD14" s="83"/>
      <c r="KE14" s="83"/>
      <c r="KF14" s="81"/>
      <c r="KG14" s="46"/>
      <c r="KH14" s="46"/>
      <c r="KI14" s="46"/>
      <c r="KJ14" s="46"/>
      <c r="KK14" s="85"/>
      <c r="KL14" s="41"/>
      <c r="KM14" s="46"/>
      <c r="KN14" s="46"/>
      <c r="KO14" s="46"/>
      <c r="KP14" s="83"/>
      <c r="KQ14" s="83"/>
      <c r="KR14" s="83"/>
      <c r="KS14" s="83"/>
      <c r="KT14" s="83"/>
      <c r="KU14" s="83"/>
      <c r="KV14" s="83"/>
      <c r="KW14" s="83"/>
      <c r="KX14" s="83"/>
      <c r="KY14" s="83"/>
      <c r="KZ14" s="81"/>
      <c r="LA14" s="46"/>
      <c r="LB14" s="46"/>
      <c r="LC14" s="46"/>
      <c r="LD14" s="46"/>
      <c r="LE14" s="85"/>
      <c r="LF14" s="41"/>
      <c r="LG14" s="46"/>
      <c r="LH14" s="46"/>
      <c r="LI14" s="46"/>
      <c r="LJ14" s="83"/>
      <c r="LK14" s="83"/>
      <c r="LL14" s="83"/>
      <c r="LM14" s="83"/>
      <c r="LN14" s="83"/>
      <c r="LO14" s="83"/>
      <c r="LP14" s="83"/>
      <c r="LQ14" s="83"/>
      <c r="LR14" s="83"/>
      <c r="LS14" s="83"/>
      <c r="LT14" s="81"/>
      <c r="LU14" s="46"/>
      <c r="LV14" s="46"/>
      <c r="LW14" s="46"/>
      <c r="LX14" s="46"/>
      <c r="LY14" s="85"/>
      <c r="LZ14" s="41"/>
      <c r="MA14" s="46"/>
      <c r="MB14" s="46"/>
      <c r="MC14" s="46"/>
      <c r="MD14" s="83"/>
      <c r="ME14" s="83"/>
      <c r="MF14" s="83"/>
      <c r="MG14" s="83"/>
      <c r="MH14" s="83"/>
      <c r="MI14" s="83"/>
      <c r="MJ14" s="83"/>
      <c r="MK14" s="83"/>
      <c r="ML14" s="83"/>
      <c r="MM14" s="83"/>
      <c r="MN14" s="81"/>
      <c r="MO14" s="46"/>
      <c r="MP14" s="46"/>
      <c r="MQ14" s="46"/>
      <c r="MR14" s="46"/>
      <c r="MS14" s="85"/>
      <c r="MT14" s="41"/>
      <c r="MU14" s="46"/>
      <c r="MV14" s="46"/>
      <c r="MW14" s="46"/>
      <c r="MX14" s="83"/>
      <c r="MY14" s="83"/>
      <c r="MZ14" s="83"/>
      <c r="NA14" s="83"/>
      <c r="NB14" s="83"/>
      <c r="NC14" s="83"/>
      <c r="ND14" s="83"/>
      <c r="NE14" s="83"/>
      <c r="NF14" s="83"/>
      <c r="NG14" s="83"/>
      <c r="NH14" s="81"/>
      <c r="NI14" s="46"/>
      <c r="NJ14" s="46"/>
      <c r="NK14" s="46"/>
      <c r="NL14" s="46"/>
      <c r="NM14" s="85"/>
      <c r="NN14" s="41"/>
      <c r="NO14" s="46"/>
      <c r="NP14" s="46"/>
      <c r="NQ14" s="46"/>
      <c r="NR14" s="83"/>
      <c r="NS14" s="83"/>
      <c r="NT14" s="83"/>
      <c r="NU14" s="83"/>
      <c r="NV14" s="83"/>
      <c r="NW14" s="83"/>
      <c r="NX14" s="83"/>
      <c r="NY14" s="83"/>
      <c r="NZ14" s="83"/>
      <c r="OA14" s="83"/>
      <c r="OB14" s="81"/>
      <c r="OC14" s="46"/>
      <c r="OD14" s="46"/>
      <c r="OE14" s="46"/>
      <c r="OF14" s="46"/>
      <c r="OG14" s="85"/>
      <c r="OH14" s="41"/>
      <c r="OI14" s="46"/>
      <c r="OJ14" s="46"/>
      <c r="OK14" s="46"/>
      <c r="OL14" s="83"/>
      <c r="OM14" s="83"/>
      <c r="ON14" s="83"/>
      <c r="OO14" s="83"/>
      <c r="OP14" s="83"/>
      <c r="OQ14" s="83"/>
      <c r="OR14" s="83"/>
      <c r="OS14" s="83"/>
      <c r="OT14" s="83"/>
      <c r="OU14" s="83"/>
      <c r="OV14" s="81"/>
      <c r="OW14" s="46"/>
      <c r="OX14" s="46"/>
      <c r="OY14" s="46"/>
      <c r="OZ14" s="46"/>
      <c r="PA14" s="85"/>
      <c r="PB14" s="41"/>
      <c r="PC14" s="46"/>
      <c r="PD14" s="46"/>
      <c r="PE14" s="46"/>
      <c r="PF14" s="83"/>
      <c r="PG14" s="83"/>
      <c r="PH14" s="83"/>
      <c r="PI14" s="83"/>
      <c r="PJ14" s="83"/>
      <c r="PK14" s="83"/>
      <c r="PL14" s="83"/>
      <c r="PM14" s="83"/>
      <c r="PN14" s="83"/>
      <c r="PO14" s="83"/>
      <c r="PP14" s="81"/>
      <c r="PQ14" s="46"/>
      <c r="PR14" s="46"/>
      <c r="PS14" s="46"/>
      <c r="PT14" s="46"/>
      <c r="PU14" s="85"/>
      <c r="PV14" s="41"/>
      <c r="PW14" s="46"/>
      <c r="PX14" s="46"/>
      <c r="PY14" s="46"/>
      <c r="PZ14" s="83"/>
      <c r="QA14" s="83"/>
      <c r="QB14" s="83"/>
      <c r="QC14" s="83"/>
      <c r="QD14" s="83"/>
      <c r="QE14" s="83"/>
      <c r="QF14" s="83"/>
      <c r="QG14" s="83"/>
      <c r="QH14" s="83"/>
      <c r="QI14" s="83"/>
      <c r="QJ14" s="81"/>
      <c r="QK14" s="46"/>
      <c r="QL14" s="46"/>
      <c r="QM14" s="46"/>
      <c r="QN14" s="46"/>
      <c r="QO14" s="85"/>
      <c r="QP14" s="41"/>
      <c r="QQ14" s="46"/>
      <c r="QR14" s="46"/>
      <c r="QS14" s="46"/>
      <c r="QT14" s="83"/>
      <c r="QU14" s="83"/>
      <c r="QV14" s="83"/>
      <c r="QW14" s="83"/>
      <c r="QX14" s="83"/>
      <c r="QY14" s="83"/>
      <c r="QZ14" s="83"/>
      <c r="RA14" s="83"/>
      <c r="RB14" s="83"/>
      <c r="RC14" s="83"/>
      <c r="RD14" s="81"/>
      <c r="RE14" s="46"/>
      <c r="RF14" s="46"/>
      <c r="RG14" s="46"/>
      <c r="RH14" s="46"/>
      <c r="RI14" s="85"/>
      <c r="RJ14" s="41"/>
      <c r="RK14" s="46"/>
      <c r="RL14" s="46"/>
      <c r="RM14" s="46"/>
      <c r="RN14" s="83"/>
      <c r="RO14" s="83"/>
      <c r="RP14" s="83"/>
      <c r="RQ14" s="83"/>
      <c r="RR14" s="83"/>
      <c r="RS14" s="83"/>
      <c r="RT14" s="83"/>
      <c r="RU14" s="83"/>
      <c r="RV14" s="83"/>
      <c r="RW14" s="83"/>
      <c r="RX14" s="81"/>
      <c r="RY14" s="46"/>
      <c r="RZ14" s="46"/>
      <c r="SA14" s="46"/>
      <c r="SB14" s="46"/>
      <c r="SC14" s="85"/>
      <c r="SD14" s="41"/>
      <c r="SE14" s="46"/>
      <c r="SF14" s="46"/>
      <c r="SG14" s="46"/>
    </row>
    <row r="15" spans="1:501" s="44" customFormat="1" ht="20.399999999999999" customHeight="1" x14ac:dyDescent="0.3">
      <c r="A15" s="66" t="s">
        <v>150</v>
      </c>
      <c r="B15" s="66" t="s">
        <v>359</v>
      </c>
      <c r="C15" s="66" t="s">
        <v>360</v>
      </c>
      <c r="D15" s="49" t="s">
        <v>392</v>
      </c>
      <c r="E15" s="49" t="s">
        <v>332</v>
      </c>
      <c r="F15" s="49" t="s">
        <v>333</v>
      </c>
      <c r="G15" s="206" t="s">
        <v>360</v>
      </c>
      <c r="H15" s="206" t="s">
        <v>362</v>
      </c>
      <c r="I15" s="206" t="s">
        <v>393</v>
      </c>
      <c r="J15" s="70"/>
      <c r="K15" s="70"/>
      <c r="L15" s="70" t="s">
        <v>71</v>
      </c>
      <c r="M15" s="70" t="s">
        <v>314</v>
      </c>
      <c r="N15" s="70" t="s">
        <v>315</v>
      </c>
      <c r="O15" s="70" t="s">
        <v>316</v>
      </c>
      <c r="P15" s="70" t="s">
        <v>321</v>
      </c>
      <c r="Q15" s="206" t="s">
        <v>318</v>
      </c>
      <c r="R15" s="70" t="s">
        <v>322</v>
      </c>
      <c r="S15" s="70" t="s">
        <v>315</v>
      </c>
      <c r="T15" s="70"/>
      <c r="U15" s="77"/>
      <c r="V15" s="70" t="s">
        <v>71</v>
      </c>
      <c r="W15" s="70" t="s">
        <v>314</v>
      </c>
      <c r="X15" s="70" t="s">
        <v>315</v>
      </c>
      <c r="Y15" s="70" t="s">
        <v>316</v>
      </c>
      <c r="Z15" s="70" t="s">
        <v>321</v>
      </c>
      <c r="AA15" s="70" t="s">
        <v>318</v>
      </c>
      <c r="AB15" s="70" t="s">
        <v>322</v>
      </c>
      <c r="AC15" s="70" t="s">
        <v>315</v>
      </c>
      <c r="AD15" s="82"/>
      <c r="AE15" s="82"/>
      <c r="AF15" s="80"/>
      <c r="AG15" s="53"/>
      <c r="AH15" s="53"/>
      <c r="AI15" s="53"/>
      <c r="AJ15" s="53"/>
      <c r="AK15" s="84"/>
      <c r="AL15" s="52"/>
      <c r="AM15" s="53"/>
      <c r="AN15" s="53"/>
      <c r="AO15" s="53"/>
      <c r="AP15" s="82"/>
      <c r="AQ15" s="82"/>
      <c r="AR15" s="82"/>
      <c r="AS15" s="82"/>
      <c r="AT15" s="82"/>
      <c r="AU15" s="82"/>
      <c r="AV15" s="82"/>
      <c r="AW15" s="82"/>
      <c r="AX15" s="82"/>
      <c r="AY15" s="82"/>
      <c r="AZ15" s="80"/>
      <c r="BA15" s="53"/>
      <c r="BB15" s="53"/>
      <c r="BC15" s="53"/>
      <c r="BD15" s="53"/>
      <c r="BE15" s="84"/>
      <c r="BF15" s="52"/>
      <c r="BG15" s="53"/>
      <c r="BH15" s="53"/>
      <c r="BI15" s="53"/>
      <c r="BJ15" s="82"/>
      <c r="BK15" s="82"/>
      <c r="BL15" s="82"/>
      <c r="BM15" s="82"/>
      <c r="BN15" s="82"/>
      <c r="BO15" s="82"/>
      <c r="BP15" s="82"/>
      <c r="BQ15" s="82"/>
      <c r="BR15" s="82"/>
      <c r="BS15" s="82"/>
      <c r="BT15" s="80"/>
      <c r="BU15" s="53"/>
      <c r="BV15" s="53"/>
      <c r="BW15" s="53"/>
      <c r="BX15" s="53"/>
      <c r="BY15" s="84"/>
      <c r="BZ15" s="52"/>
      <c r="CA15" s="53"/>
      <c r="CB15" s="53"/>
      <c r="CC15" s="53"/>
      <c r="CD15" s="82"/>
      <c r="CE15" s="82"/>
      <c r="CF15" s="82"/>
      <c r="CG15" s="82"/>
      <c r="CH15" s="82"/>
      <c r="CI15" s="82"/>
      <c r="CJ15" s="82"/>
      <c r="CK15" s="82"/>
      <c r="CL15" s="82"/>
      <c r="CM15" s="82"/>
      <c r="CN15" s="80"/>
      <c r="CO15" s="53"/>
      <c r="CP15" s="53"/>
      <c r="CQ15" s="53"/>
      <c r="CR15" s="53"/>
      <c r="CS15" s="84"/>
      <c r="CT15" s="52"/>
      <c r="CU15" s="53"/>
      <c r="CV15" s="53"/>
      <c r="CW15" s="53"/>
      <c r="CX15" s="82"/>
      <c r="CY15" s="82"/>
      <c r="CZ15" s="82"/>
      <c r="DA15" s="82"/>
      <c r="DB15" s="82"/>
      <c r="DC15" s="82"/>
      <c r="DD15" s="82"/>
      <c r="DE15" s="82"/>
      <c r="DF15" s="82"/>
      <c r="DG15" s="82"/>
      <c r="DH15" s="80"/>
      <c r="DI15" s="53"/>
      <c r="DJ15" s="53"/>
      <c r="DK15" s="53"/>
      <c r="DL15" s="53"/>
      <c r="DM15" s="84"/>
      <c r="DN15" s="52"/>
      <c r="DO15" s="53"/>
      <c r="DP15" s="53"/>
      <c r="DQ15" s="53"/>
      <c r="DR15" s="82"/>
      <c r="DS15" s="82"/>
      <c r="DT15" s="82"/>
      <c r="DU15" s="82"/>
      <c r="DV15" s="82"/>
      <c r="DW15" s="82"/>
      <c r="DX15" s="82"/>
      <c r="DY15" s="82"/>
      <c r="DZ15" s="82"/>
      <c r="EA15" s="82"/>
      <c r="EB15" s="80"/>
      <c r="EC15" s="53"/>
      <c r="ED15" s="53"/>
      <c r="EE15" s="53"/>
      <c r="EF15" s="53"/>
      <c r="EG15" s="84"/>
      <c r="EH15" s="52"/>
      <c r="EI15" s="53"/>
      <c r="EJ15" s="53"/>
      <c r="EK15" s="53"/>
      <c r="EL15" s="82"/>
      <c r="EM15" s="82"/>
      <c r="EN15" s="82"/>
      <c r="EO15" s="82"/>
      <c r="EP15" s="82"/>
      <c r="EQ15" s="82"/>
      <c r="ER15" s="82"/>
      <c r="ES15" s="82"/>
      <c r="ET15" s="82"/>
      <c r="EU15" s="82"/>
      <c r="EV15" s="80"/>
      <c r="EW15" s="53"/>
      <c r="EX15" s="53"/>
      <c r="EY15" s="53"/>
      <c r="EZ15" s="53"/>
      <c r="FA15" s="84"/>
      <c r="FB15" s="52"/>
      <c r="FC15" s="53"/>
      <c r="FD15" s="53"/>
      <c r="FE15" s="53"/>
      <c r="FF15" s="82"/>
      <c r="FG15" s="82"/>
      <c r="FH15" s="82"/>
      <c r="FI15" s="82"/>
      <c r="FJ15" s="82"/>
      <c r="FK15" s="82"/>
      <c r="FL15" s="82"/>
      <c r="FM15" s="82"/>
      <c r="FN15" s="82"/>
      <c r="FO15" s="82"/>
      <c r="FP15" s="80"/>
      <c r="FQ15" s="53"/>
      <c r="FR15" s="53"/>
      <c r="FS15" s="53"/>
      <c r="FT15" s="53"/>
      <c r="FU15" s="84"/>
      <c r="FV15" s="52"/>
      <c r="FW15" s="53"/>
      <c r="FX15" s="53"/>
      <c r="FY15" s="53"/>
      <c r="FZ15" s="82"/>
      <c r="GA15" s="82"/>
      <c r="GB15" s="82"/>
      <c r="GC15" s="82"/>
      <c r="GD15" s="82"/>
      <c r="GE15" s="82"/>
      <c r="GF15" s="82"/>
      <c r="GG15" s="82"/>
      <c r="GH15" s="82"/>
      <c r="GI15" s="82"/>
      <c r="GJ15" s="80"/>
      <c r="GK15" s="53"/>
      <c r="GL15" s="53"/>
      <c r="GM15" s="53"/>
      <c r="GN15" s="53"/>
      <c r="GO15" s="84"/>
      <c r="GP15" s="52"/>
      <c r="GQ15" s="53"/>
      <c r="GR15" s="53"/>
      <c r="GS15" s="53"/>
      <c r="GT15" s="82"/>
      <c r="GU15" s="82"/>
      <c r="GV15" s="82"/>
      <c r="GW15" s="82"/>
      <c r="GX15" s="82"/>
      <c r="GY15" s="82"/>
      <c r="GZ15" s="82"/>
      <c r="HA15" s="82"/>
      <c r="HB15" s="82"/>
      <c r="HC15" s="82"/>
      <c r="HD15" s="80"/>
      <c r="HE15" s="53"/>
      <c r="HF15" s="53"/>
      <c r="HG15" s="53"/>
      <c r="HH15" s="53"/>
      <c r="HI15" s="84"/>
      <c r="HJ15" s="52"/>
      <c r="HK15" s="53"/>
      <c r="HL15" s="53"/>
      <c r="HM15" s="53"/>
      <c r="HN15" s="82"/>
      <c r="HO15" s="82"/>
      <c r="HP15" s="82"/>
      <c r="HQ15" s="82"/>
      <c r="HR15" s="82"/>
      <c r="HS15" s="82"/>
      <c r="HT15" s="82"/>
      <c r="HU15" s="82"/>
      <c r="HV15" s="82"/>
      <c r="HW15" s="82"/>
      <c r="HX15" s="80"/>
      <c r="HY15" s="53"/>
      <c r="HZ15" s="53"/>
      <c r="IA15" s="53"/>
      <c r="IB15" s="53"/>
      <c r="IC15" s="84"/>
      <c r="ID15" s="52"/>
      <c r="IE15" s="53"/>
      <c r="IF15" s="53"/>
      <c r="IG15" s="53"/>
      <c r="IH15" s="82"/>
      <c r="II15" s="82"/>
      <c r="IJ15" s="82"/>
      <c r="IK15" s="82"/>
      <c r="IL15" s="82"/>
      <c r="IM15" s="82"/>
      <c r="IN15" s="82"/>
      <c r="IO15" s="82"/>
      <c r="IP15" s="82"/>
      <c r="IQ15" s="82"/>
      <c r="IR15" s="80"/>
      <c r="IS15" s="53"/>
      <c r="IT15" s="53"/>
      <c r="IU15" s="53"/>
      <c r="IV15" s="53"/>
      <c r="IW15" s="84"/>
      <c r="IX15" s="52"/>
      <c r="IY15" s="53"/>
      <c r="IZ15" s="53"/>
      <c r="JA15" s="53"/>
      <c r="JB15" s="82"/>
      <c r="JC15" s="82"/>
      <c r="JD15" s="82"/>
      <c r="JE15" s="82"/>
      <c r="JF15" s="82"/>
      <c r="JG15" s="82"/>
      <c r="JH15" s="82"/>
      <c r="JI15" s="82"/>
      <c r="JJ15" s="82"/>
      <c r="JK15" s="82"/>
      <c r="JL15" s="80"/>
      <c r="JM15" s="53"/>
      <c r="JN15" s="53"/>
      <c r="JO15" s="53"/>
      <c r="JP15" s="53"/>
      <c r="JQ15" s="84"/>
      <c r="JR15" s="52"/>
      <c r="JS15" s="53"/>
      <c r="JT15" s="53"/>
      <c r="JU15" s="53"/>
      <c r="JV15" s="82"/>
      <c r="JW15" s="82"/>
      <c r="JX15" s="82"/>
      <c r="JY15" s="82"/>
      <c r="JZ15" s="82"/>
      <c r="KA15" s="82"/>
      <c r="KB15" s="82"/>
      <c r="KC15" s="82"/>
      <c r="KD15" s="82"/>
      <c r="KE15" s="82"/>
      <c r="KF15" s="80"/>
      <c r="KG15" s="53"/>
      <c r="KH15" s="53"/>
      <c r="KI15" s="53"/>
      <c r="KJ15" s="53"/>
      <c r="KK15" s="84"/>
      <c r="KL15" s="52"/>
      <c r="KM15" s="53"/>
      <c r="KN15" s="53"/>
      <c r="KO15" s="53"/>
      <c r="KP15" s="82"/>
      <c r="KQ15" s="82"/>
      <c r="KR15" s="82"/>
      <c r="KS15" s="82"/>
      <c r="KT15" s="82"/>
      <c r="KU15" s="82"/>
      <c r="KV15" s="82"/>
      <c r="KW15" s="82"/>
      <c r="KX15" s="82"/>
      <c r="KY15" s="82"/>
      <c r="KZ15" s="80"/>
      <c r="LA15" s="53"/>
      <c r="LB15" s="53"/>
      <c r="LC15" s="53"/>
      <c r="LD15" s="53"/>
      <c r="LE15" s="84"/>
      <c r="LF15" s="52"/>
      <c r="LG15" s="53"/>
      <c r="LH15" s="53"/>
      <c r="LI15" s="53"/>
      <c r="LJ15" s="82"/>
      <c r="LK15" s="82"/>
      <c r="LL15" s="82"/>
      <c r="LM15" s="82"/>
      <c r="LN15" s="82"/>
      <c r="LO15" s="82"/>
      <c r="LP15" s="82"/>
      <c r="LQ15" s="82"/>
      <c r="LR15" s="82"/>
      <c r="LS15" s="82"/>
      <c r="LT15" s="80"/>
      <c r="LU15" s="53"/>
      <c r="LV15" s="53"/>
      <c r="LW15" s="53"/>
      <c r="LX15" s="53"/>
      <c r="LY15" s="84"/>
      <c r="LZ15" s="52"/>
      <c r="MA15" s="53"/>
      <c r="MB15" s="53"/>
      <c r="MC15" s="53"/>
      <c r="MD15" s="82"/>
      <c r="ME15" s="82"/>
      <c r="MF15" s="82"/>
      <c r="MG15" s="82"/>
      <c r="MH15" s="82"/>
      <c r="MI15" s="82"/>
      <c r="MJ15" s="82"/>
      <c r="MK15" s="82"/>
      <c r="ML15" s="82"/>
      <c r="MM15" s="82"/>
      <c r="MN15" s="80"/>
      <c r="MO15" s="53"/>
      <c r="MP15" s="53"/>
      <c r="MQ15" s="53"/>
      <c r="MR15" s="53"/>
      <c r="MS15" s="84"/>
      <c r="MT15" s="52"/>
      <c r="MU15" s="53"/>
      <c r="MV15" s="53"/>
      <c r="MW15" s="53"/>
      <c r="MX15" s="82"/>
      <c r="MY15" s="82"/>
      <c r="MZ15" s="82"/>
      <c r="NA15" s="82"/>
      <c r="NB15" s="82"/>
      <c r="NC15" s="82"/>
      <c r="ND15" s="82"/>
      <c r="NE15" s="82"/>
      <c r="NF15" s="82"/>
      <c r="NG15" s="82"/>
      <c r="NH15" s="80"/>
      <c r="NI15" s="53"/>
      <c r="NJ15" s="53"/>
      <c r="NK15" s="53"/>
      <c r="NL15" s="53"/>
      <c r="NM15" s="84"/>
      <c r="NN15" s="52"/>
      <c r="NO15" s="53"/>
      <c r="NP15" s="53"/>
      <c r="NQ15" s="53"/>
      <c r="NR15" s="82"/>
      <c r="NS15" s="82"/>
      <c r="NT15" s="82"/>
      <c r="NU15" s="82"/>
      <c r="NV15" s="82"/>
      <c r="NW15" s="82"/>
      <c r="NX15" s="82"/>
      <c r="NY15" s="82"/>
      <c r="NZ15" s="82"/>
      <c r="OA15" s="82"/>
      <c r="OB15" s="80"/>
      <c r="OC15" s="53"/>
      <c r="OD15" s="53"/>
      <c r="OE15" s="53"/>
      <c r="OF15" s="53"/>
      <c r="OG15" s="84"/>
      <c r="OH15" s="52"/>
      <c r="OI15" s="53"/>
      <c r="OJ15" s="53"/>
      <c r="OK15" s="53"/>
      <c r="OL15" s="82"/>
      <c r="OM15" s="82"/>
      <c r="ON15" s="82"/>
      <c r="OO15" s="82"/>
      <c r="OP15" s="82"/>
      <c r="OQ15" s="82"/>
      <c r="OR15" s="82"/>
      <c r="OS15" s="82"/>
      <c r="OT15" s="82"/>
      <c r="OU15" s="82"/>
      <c r="OV15" s="80"/>
      <c r="OW15" s="53"/>
      <c r="OX15" s="53"/>
      <c r="OY15" s="53"/>
      <c r="OZ15" s="53"/>
      <c r="PA15" s="84"/>
      <c r="PB15" s="52"/>
      <c r="PC15" s="53"/>
      <c r="PD15" s="53"/>
      <c r="PE15" s="53"/>
      <c r="PF15" s="82"/>
      <c r="PG15" s="82"/>
      <c r="PH15" s="82"/>
      <c r="PI15" s="82"/>
      <c r="PJ15" s="82"/>
      <c r="PK15" s="82"/>
      <c r="PL15" s="82"/>
      <c r="PM15" s="82"/>
      <c r="PN15" s="82"/>
      <c r="PO15" s="82"/>
      <c r="PP15" s="80"/>
      <c r="PQ15" s="53"/>
      <c r="PR15" s="53"/>
      <c r="PS15" s="53"/>
      <c r="PT15" s="53"/>
      <c r="PU15" s="84"/>
      <c r="PV15" s="52"/>
      <c r="PW15" s="53"/>
      <c r="PX15" s="53"/>
      <c r="PY15" s="53"/>
      <c r="PZ15" s="82"/>
      <c r="QA15" s="82"/>
      <c r="QB15" s="82"/>
      <c r="QC15" s="82"/>
      <c r="QD15" s="82"/>
      <c r="QE15" s="82"/>
      <c r="QF15" s="82"/>
      <c r="QG15" s="82"/>
      <c r="QH15" s="82"/>
      <c r="QI15" s="82"/>
      <c r="QJ15" s="80"/>
      <c r="QK15" s="53"/>
      <c r="QL15" s="53"/>
      <c r="QM15" s="53"/>
      <c r="QN15" s="53"/>
      <c r="QO15" s="84"/>
      <c r="QP15" s="52"/>
      <c r="QQ15" s="53"/>
      <c r="QR15" s="53"/>
      <c r="QS15" s="53"/>
      <c r="QT15" s="82"/>
      <c r="QU15" s="82"/>
      <c r="QV15" s="82"/>
      <c r="QW15" s="82"/>
      <c r="QX15" s="82"/>
      <c r="QY15" s="82"/>
      <c r="QZ15" s="82"/>
      <c r="RA15" s="82"/>
      <c r="RB15" s="82"/>
      <c r="RC15" s="82"/>
      <c r="RD15" s="80"/>
      <c r="RE15" s="53"/>
      <c r="RF15" s="53"/>
      <c r="RG15" s="53"/>
      <c r="RH15" s="53"/>
      <c r="RI15" s="84"/>
      <c r="RJ15" s="52"/>
      <c r="RK15" s="53"/>
      <c r="RL15" s="53"/>
      <c r="RM15" s="53"/>
      <c r="RN15" s="82"/>
      <c r="RO15" s="82"/>
      <c r="RP15" s="82"/>
      <c r="RQ15" s="82"/>
      <c r="RR15" s="82"/>
      <c r="RS15" s="82"/>
      <c r="RT15" s="82"/>
      <c r="RU15" s="82"/>
      <c r="RV15" s="82"/>
      <c r="RW15" s="82"/>
      <c r="RX15" s="80"/>
      <c r="RY15" s="53"/>
      <c r="RZ15" s="53"/>
      <c r="SA15" s="53"/>
      <c r="SB15" s="53"/>
      <c r="SC15" s="84"/>
      <c r="SD15" s="52"/>
      <c r="SE15" s="53"/>
      <c r="SF15" s="53"/>
      <c r="SG15" s="53"/>
    </row>
    <row r="16" spans="1:501" s="44" customFormat="1" ht="20.399999999999999" customHeight="1" x14ac:dyDescent="0.3">
      <c r="A16" s="125" t="s">
        <v>154</v>
      </c>
      <c r="B16" s="207" t="s">
        <v>372</v>
      </c>
      <c r="C16" s="107" t="s">
        <v>331</v>
      </c>
      <c r="D16" s="46" t="s">
        <v>315</v>
      </c>
      <c r="E16" s="12" t="s">
        <v>332</v>
      </c>
      <c r="F16" s="12" t="s">
        <v>333</v>
      </c>
      <c r="G16" s="72" t="s">
        <v>318</v>
      </c>
      <c r="H16" s="72" t="s">
        <v>335</v>
      </c>
      <c r="I16" s="204" t="s">
        <v>315</v>
      </c>
      <c r="J16" s="72"/>
      <c r="K16" s="72"/>
      <c r="L16" s="12" t="s">
        <v>71</v>
      </c>
      <c r="M16" s="12" t="s">
        <v>314</v>
      </c>
      <c r="N16" s="12" t="s">
        <v>315</v>
      </c>
      <c r="O16" s="12" t="s">
        <v>316</v>
      </c>
      <c r="P16" s="12" t="s">
        <v>321</v>
      </c>
      <c r="Q16" s="204" t="s">
        <v>318</v>
      </c>
      <c r="R16" s="12" t="s">
        <v>68</v>
      </c>
      <c r="S16" s="125" t="s">
        <v>331</v>
      </c>
      <c r="T16" s="12"/>
      <c r="U16" s="83"/>
      <c r="V16" s="12"/>
      <c r="W16" s="110" t="s">
        <v>334</v>
      </c>
      <c r="X16" s="83" t="s">
        <v>335</v>
      </c>
      <c r="Y16" s="83" t="s">
        <v>315</v>
      </c>
      <c r="Z16" s="12" t="s">
        <v>321</v>
      </c>
      <c r="AA16" s="72" t="s">
        <v>318</v>
      </c>
      <c r="AB16" s="72" t="s">
        <v>322</v>
      </c>
      <c r="AC16" s="72" t="s">
        <v>315</v>
      </c>
      <c r="AD16" s="83"/>
      <c r="AE16" s="83"/>
      <c r="AF16" s="207" t="s">
        <v>359</v>
      </c>
      <c r="AG16" s="107" t="s">
        <v>360</v>
      </c>
      <c r="AH16" s="46" t="s">
        <v>394</v>
      </c>
      <c r="AI16" s="46" t="s">
        <v>332</v>
      </c>
      <c r="AJ16" s="46" t="s">
        <v>333</v>
      </c>
      <c r="AK16" s="194" t="s">
        <v>360</v>
      </c>
      <c r="AL16" s="41" t="s">
        <v>362</v>
      </c>
      <c r="AM16" s="46" t="s">
        <v>395</v>
      </c>
      <c r="AN16" s="46"/>
      <c r="AO16" s="46"/>
      <c r="AP16" s="83"/>
      <c r="AQ16" s="83"/>
      <c r="AR16" s="83"/>
      <c r="AS16" s="83"/>
      <c r="AT16" s="83"/>
      <c r="AU16" s="83"/>
      <c r="AV16" s="83"/>
      <c r="AW16" s="83"/>
      <c r="AX16" s="83"/>
      <c r="AY16" s="83"/>
      <c r="AZ16" s="81"/>
      <c r="BA16" s="46"/>
      <c r="BB16" s="46"/>
      <c r="BC16" s="46"/>
      <c r="BD16" s="46"/>
      <c r="BE16" s="85"/>
      <c r="BF16" s="41"/>
      <c r="BG16" s="46"/>
      <c r="BH16" s="46"/>
      <c r="BI16" s="46"/>
      <c r="BJ16" s="83"/>
      <c r="BK16" s="83"/>
      <c r="BL16" s="83"/>
      <c r="BM16" s="83"/>
      <c r="BN16" s="83"/>
      <c r="BO16" s="83"/>
      <c r="BP16" s="83"/>
      <c r="BQ16" s="83"/>
      <c r="BR16" s="83"/>
      <c r="BS16" s="83"/>
      <c r="BT16" s="81"/>
      <c r="BU16" s="46"/>
      <c r="BV16" s="46"/>
      <c r="BW16" s="46"/>
      <c r="BX16" s="46"/>
      <c r="BY16" s="85"/>
      <c r="BZ16" s="41"/>
      <c r="CA16" s="46"/>
      <c r="CB16" s="46"/>
      <c r="CC16" s="46"/>
      <c r="CD16" s="83"/>
      <c r="CE16" s="83"/>
      <c r="CF16" s="83"/>
      <c r="CG16" s="83"/>
      <c r="CH16" s="83"/>
      <c r="CI16" s="83"/>
      <c r="CJ16" s="83"/>
      <c r="CK16" s="83"/>
      <c r="CL16" s="83"/>
      <c r="CM16" s="83"/>
      <c r="CN16" s="81"/>
      <c r="CO16" s="46"/>
      <c r="CP16" s="46"/>
      <c r="CQ16" s="46"/>
      <c r="CR16" s="46"/>
      <c r="CS16" s="85"/>
      <c r="CT16" s="41"/>
      <c r="CU16" s="46"/>
      <c r="CV16" s="46"/>
      <c r="CW16" s="46"/>
      <c r="CX16" s="83"/>
      <c r="CY16" s="83"/>
      <c r="CZ16" s="83"/>
      <c r="DA16" s="83"/>
      <c r="DB16" s="83"/>
      <c r="DC16" s="83"/>
      <c r="DD16" s="83"/>
      <c r="DE16" s="83"/>
      <c r="DF16" s="83"/>
      <c r="DG16" s="83"/>
      <c r="DH16" s="81"/>
      <c r="DI16" s="46"/>
      <c r="DJ16" s="46"/>
      <c r="DK16" s="46"/>
      <c r="DL16" s="46"/>
      <c r="DM16" s="85"/>
      <c r="DN16" s="41"/>
      <c r="DO16" s="46"/>
      <c r="DP16" s="46"/>
      <c r="DQ16" s="46"/>
      <c r="DR16" s="83"/>
      <c r="DS16" s="83"/>
      <c r="DT16" s="83"/>
      <c r="DU16" s="83"/>
      <c r="DV16" s="83"/>
      <c r="DW16" s="83"/>
      <c r="DX16" s="83"/>
      <c r="DY16" s="83"/>
      <c r="DZ16" s="83"/>
      <c r="EA16" s="83"/>
      <c r="EB16" s="81"/>
      <c r="EC16" s="46"/>
      <c r="ED16" s="46"/>
      <c r="EE16" s="46"/>
      <c r="EF16" s="46"/>
      <c r="EG16" s="85"/>
      <c r="EH16" s="41"/>
      <c r="EI16" s="46"/>
      <c r="EJ16" s="46"/>
      <c r="EK16" s="46"/>
      <c r="EL16" s="83"/>
      <c r="EM16" s="83"/>
      <c r="EN16" s="83"/>
      <c r="EO16" s="83"/>
      <c r="EP16" s="83"/>
      <c r="EQ16" s="83"/>
      <c r="ER16" s="83"/>
      <c r="ES16" s="83"/>
      <c r="ET16" s="83"/>
      <c r="EU16" s="83"/>
      <c r="EV16" s="81"/>
      <c r="EW16" s="46"/>
      <c r="EX16" s="46"/>
      <c r="EY16" s="46"/>
      <c r="EZ16" s="46"/>
      <c r="FA16" s="85"/>
      <c r="FB16" s="41"/>
      <c r="FC16" s="46"/>
      <c r="FD16" s="46"/>
      <c r="FE16" s="46"/>
      <c r="FF16" s="83"/>
      <c r="FG16" s="83"/>
      <c r="FH16" s="83"/>
      <c r="FI16" s="83"/>
      <c r="FJ16" s="83"/>
      <c r="FK16" s="83"/>
      <c r="FL16" s="83"/>
      <c r="FM16" s="83"/>
      <c r="FN16" s="83"/>
      <c r="FO16" s="83"/>
      <c r="FP16" s="81"/>
      <c r="FQ16" s="46"/>
      <c r="FR16" s="46"/>
      <c r="FS16" s="46"/>
      <c r="FT16" s="46"/>
      <c r="FU16" s="85"/>
      <c r="FV16" s="41"/>
      <c r="FW16" s="46"/>
      <c r="FX16" s="46"/>
      <c r="FY16" s="46"/>
      <c r="FZ16" s="83"/>
      <c r="GA16" s="83"/>
      <c r="GB16" s="83"/>
      <c r="GC16" s="83"/>
      <c r="GD16" s="83"/>
      <c r="GE16" s="83"/>
      <c r="GF16" s="83"/>
      <c r="GG16" s="83"/>
      <c r="GH16" s="83"/>
      <c r="GI16" s="83"/>
      <c r="GJ16" s="81"/>
      <c r="GK16" s="46"/>
      <c r="GL16" s="46"/>
      <c r="GM16" s="46"/>
      <c r="GN16" s="46"/>
      <c r="GO16" s="85"/>
      <c r="GP16" s="41"/>
      <c r="GQ16" s="46"/>
      <c r="GR16" s="46"/>
      <c r="GS16" s="46"/>
      <c r="GT16" s="83"/>
      <c r="GU16" s="83"/>
      <c r="GV16" s="83"/>
      <c r="GW16" s="83"/>
      <c r="GX16" s="83"/>
      <c r="GY16" s="83"/>
      <c r="GZ16" s="83"/>
      <c r="HA16" s="83"/>
      <c r="HB16" s="83"/>
      <c r="HC16" s="83"/>
      <c r="HD16" s="81"/>
      <c r="HE16" s="46"/>
      <c r="HF16" s="46"/>
      <c r="HG16" s="46"/>
      <c r="HH16" s="46"/>
      <c r="HI16" s="85"/>
      <c r="HJ16" s="41"/>
      <c r="HK16" s="46"/>
      <c r="HL16" s="46"/>
      <c r="HM16" s="46"/>
      <c r="HN16" s="83"/>
      <c r="HO16" s="83"/>
      <c r="HP16" s="83"/>
      <c r="HQ16" s="83"/>
      <c r="HR16" s="83"/>
      <c r="HS16" s="83"/>
      <c r="HT16" s="83"/>
      <c r="HU16" s="83"/>
      <c r="HV16" s="83"/>
      <c r="HW16" s="83"/>
      <c r="HX16" s="81"/>
      <c r="HY16" s="46"/>
      <c r="HZ16" s="46"/>
      <c r="IA16" s="46"/>
      <c r="IB16" s="46"/>
      <c r="IC16" s="85"/>
      <c r="ID16" s="41"/>
      <c r="IE16" s="46"/>
      <c r="IF16" s="46"/>
      <c r="IG16" s="46"/>
      <c r="IH16" s="83"/>
      <c r="II16" s="83"/>
      <c r="IJ16" s="83"/>
      <c r="IK16" s="83"/>
      <c r="IL16" s="83"/>
      <c r="IM16" s="83"/>
      <c r="IN16" s="83"/>
      <c r="IO16" s="83"/>
      <c r="IP16" s="83"/>
      <c r="IQ16" s="83"/>
      <c r="IR16" s="81"/>
      <c r="IS16" s="46"/>
      <c r="IT16" s="46"/>
      <c r="IU16" s="46"/>
      <c r="IV16" s="46"/>
      <c r="IW16" s="85"/>
      <c r="IX16" s="41"/>
      <c r="IY16" s="46"/>
      <c r="IZ16" s="46"/>
      <c r="JA16" s="46"/>
      <c r="JB16" s="83"/>
      <c r="JC16" s="83"/>
      <c r="JD16" s="83"/>
      <c r="JE16" s="83"/>
      <c r="JF16" s="83"/>
      <c r="JG16" s="83"/>
      <c r="JH16" s="83"/>
      <c r="JI16" s="83"/>
      <c r="JJ16" s="83"/>
      <c r="JK16" s="83"/>
      <c r="JL16" s="81"/>
      <c r="JM16" s="46"/>
      <c r="JN16" s="46"/>
      <c r="JO16" s="46"/>
      <c r="JP16" s="46"/>
      <c r="JQ16" s="85"/>
      <c r="JR16" s="41"/>
      <c r="JS16" s="46"/>
      <c r="JT16" s="46"/>
      <c r="JU16" s="46"/>
      <c r="JV16" s="83"/>
      <c r="JW16" s="83"/>
      <c r="JX16" s="83"/>
      <c r="JY16" s="83"/>
      <c r="JZ16" s="83"/>
      <c r="KA16" s="83"/>
      <c r="KB16" s="83"/>
      <c r="KC16" s="83"/>
      <c r="KD16" s="83"/>
      <c r="KE16" s="83"/>
      <c r="KF16" s="81"/>
      <c r="KG16" s="46"/>
      <c r="KH16" s="46"/>
      <c r="KI16" s="46"/>
      <c r="KJ16" s="46"/>
      <c r="KK16" s="85"/>
      <c r="KL16" s="41"/>
      <c r="KM16" s="46"/>
      <c r="KN16" s="46"/>
      <c r="KO16" s="46"/>
      <c r="KP16" s="83"/>
      <c r="KQ16" s="83"/>
      <c r="KR16" s="83"/>
      <c r="KS16" s="83"/>
      <c r="KT16" s="83"/>
      <c r="KU16" s="83"/>
      <c r="KV16" s="83"/>
      <c r="KW16" s="83"/>
      <c r="KX16" s="83"/>
      <c r="KY16" s="83"/>
      <c r="KZ16" s="81"/>
      <c r="LA16" s="46"/>
      <c r="LB16" s="46"/>
      <c r="LC16" s="46"/>
      <c r="LD16" s="46"/>
      <c r="LE16" s="85"/>
      <c r="LF16" s="41"/>
      <c r="LG16" s="46"/>
      <c r="LH16" s="46"/>
      <c r="LI16" s="46"/>
      <c r="LJ16" s="83"/>
      <c r="LK16" s="83"/>
      <c r="LL16" s="83"/>
      <c r="LM16" s="83"/>
      <c r="LN16" s="83"/>
      <c r="LO16" s="83"/>
      <c r="LP16" s="83"/>
      <c r="LQ16" s="83"/>
      <c r="LR16" s="83"/>
      <c r="LS16" s="83"/>
      <c r="LT16" s="81"/>
      <c r="LU16" s="46"/>
      <c r="LV16" s="46"/>
      <c r="LW16" s="46"/>
      <c r="LX16" s="46"/>
      <c r="LY16" s="85"/>
      <c r="LZ16" s="41"/>
      <c r="MA16" s="46"/>
      <c r="MB16" s="46"/>
      <c r="MC16" s="46"/>
      <c r="MD16" s="83"/>
      <c r="ME16" s="83"/>
      <c r="MF16" s="83"/>
      <c r="MG16" s="83"/>
      <c r="MH16" s="83"/>
      <c r="MI16" s="83"/>
      <c r="MJ16" s="83"/>
      <c r="MK16" s="83"/>
      <c r="ML16" s="83"/>
      <c r="MM16" s="83"/>
      <c r="MN16" s="81"/>
      <c r="MO16" s="46"/>
      <c r="MP16" s="46"/>
      <c r="MQ16" s="46"/>
      <c r="MR16" s="46"/>
      <c r="MS16" s="85"/>
      <c r="MT16" s="41"/>
      <c r="MU16" s="46"/>
      <c r="MV16" s="46"/>
      <c r="MW16" s="46"/>
      <c r="MX16" s="83"/>
      <c r="MY16" s="83"/>
      <c r="MZ16" s="83"/>
      <c r="NA16" s="83"/>
      <c r="NB16" s="83"/>
      <c r="NC16" s="83"/>
      <c r="ND16" s="83"/>
      <c r="NE16" s="83"/>
      <c r="NF16" s="83"/>
      <c r="NG16" s="83"/>
      <c r="NH16" s="81"/>
      <c r="NI16" s="46"/>
      <c r="NJ16" s="46"/>
      <c r="NK16" s="46"/>
      <c r="NL16" s="46"/>
      <c r="NM16" s="85"/>
      <c r="NN16" s="41"/>
      <c r="NO16" s="46"/>
      <c r="NP16" s="46"/>
      <c r="NQ16" s="46"/>
      <c r="NR16" s="83"/>
      <c r="NS16" s="83"/>
      <c r="NT16" s="83"/>
      <c r="NU16" s="83"/>
      <c r="NV16" s="83"/>
      <c r="NW16" s="83"/>
      <c r="NX16" s="83"/>
      <c r="NY16" s="83"/>
      <c r="NZ16" s="83"/>
      <c r="OA16" s="83"/>
      <c r="OB16" s="81"/>
      <c r="OC16" s="46"/>
      <c r="OD16" s="46"/>
      <c r="OE16" s="46"/>
      <c r="OF16" s="46"/>
      <c r="OG16" s="85"/>
      <c r="OH16" s="41"/>
      <c r="OI16" s="46"/>
      <c r="OJ16" s="46"/>
      <c r="OK16" s="46"/>
      <c r="OL16" s="83"/>
      <c r="OM16" s="83"/>
      <c r="ON16" s="83"/>
      <c r="OO16" s="83"/>
      <c r="OP16" s="83"/>
      <c r="OQ16" s="83"/>
      <c r="OR16" s="83"/>
      <c r="OS16" s="83"/>
      <c r="OT16" s="83"/>
      <c r="OU16" s="83"/>
      <c r="OV16" s="81"/>
      <c r="OW16" s="46"/>
      <c r="OX16" s="46"/>
      <c r="OY16" s="46"/>
      <c r="OZ16" s="46"/>
      <c r="PA16" s="85"/>
      <c r="PB16" s="41"/>
      <c r="PC16" s="46"/>
      <c r="PD16" s="46"/>
      <c r="PE16" s="46"/>
      <c r="PF16" s="83"/>
      <c r="PG16" s="83"/>
      <c r="PH16" s="83"/>
      <c r="PI16" s="83"/>
      <c r="PJ16" s="83"/>
      <c r="PK16" s="83"/>
      <c r="PL16" s="83"/>
      <c r="PM16" s="83"/>
      <c r="PN16" s="83"/>
      <c r="PO16" s="83"/>
      <c r="PP16" s="81"/>
      <c r="PQ16" s="46"/>
      <c r="PR16" s="46"/>
      <c r="PS16" s="46"/>
      <c r="PT16" s="46"/>
      <c r="PU16" s="85"/>
      <c r="PV16" s="41"/>
      <c r="PW16" s="46"/>
      <c r="PX16" s="46"/>
      <c r="PY16" s="46"/>
      <c r="PZ16" s="83"/>
      <c r="QA16" s="83"/>
      <c r="QB16" s="83"/>
      <c r="QC16" s="83"/>
      <c r="QD16" s="83"/>
      <c r="QE16" s="83"/>
      <c r="QF16" s="83"/>
      <c r="QG16" s="83"/>
      <c r="QH16" s="83"/>
      <c r="QI16" s="83"/>
      <c r="QJ16" s="81"/>
      <c r="QK16" s="46"/>
      <c r="QL16" s="46"/>
      <c r="QM16" s="46"/>
      <c r="QN16" s="46"/>
      <c r="QO16" s="85"/>
      <c r="QP16" s="41"/>
      <c r="QQ16" s="46"/>
      <c r="QR16" s="46"/>
      <c r="QS16" s="46"/>
      <c r="QT16" s="83"/>
      <c r="QU16" s="83"/>
      <c r="QV16" s="83"/>
      <c r="QW16" s="83"/>
      <c r="QX16" s="83"/>
      <c r="QY16" s="83"/>
      <c r="QZ16" s="83"/>
      <c r="RA16" s="83"/>
      <c r="RB16" s="83"/>
      <c r="RC16" s="83"/>
      <c r="RD16" s="81"/>
      <c r="RE16" s="46"/>
      <c r="RF16" s="46"/>
      <c r="RG16" s="46"/>
      <c r="RH16" s="46"/>
      <c r="RI16" s="85"/>
      <c r="RJ16" s="41"/>
      <c r="RK16" s="46"/>
      <c r="RL16" s="46"/>
      <c r="RM16" s="46"/>
      <c r="RN16" s="83"/>
      <c r="RO16" s="83"/>
      <c r="RP16" s="83"/>
      <c r="RQ16" s="83"/>
      <c r="RR16" s="83"/>
      <c r="RS16" s="83"/>
      <c r="RT16" s="83"/>
      <c r="RU16" s="83"/>
      <c r="RV16" s="83"/>
      <c r="RW16" s="83"/>
      <c r="RX16" s="81"/>
      <c r="RY16" s="46"/>
      <c r="RZ16" s="46"/>
      <c r="SA16" s="46"/>
      <c r="SB16" s="46"/>
      <c r="SC16" s="85"/>
      <c r="SD16" s="41"/>
      <c r="SE16" s="46"/>
      <c r="SF16" s="46"/>
      <c r="SG16" s="46"/>
    </row>
    <row r="17" spans="1:501" s="44" customFormat="1" ht="20.399999999999999" customHeight="1" x14ac:dyDescent="0.3">
      <c r="A17" s="66" t="s">
        <v>158</v>
      </c>
      <c r="B17" s="66"/>
      <c r="C17" s="66"/>
      <c r="D17" s="49"/>
      <c r="E17" s="49"/>
      <c r="F17" s="49"/>
      <c r="G17" s="70"/>
      <c r="H17" s="70"/>
      <c r="I17" s="206"/>
      <c r="J17" s="70"/>
      <c r="K17" s="70"/>
      <c r="L17" s="70"/>
      <c r="M17" s="70"/>
      <c r="N17" s="70"/>
      <c r="O17" s="70"/>
      <c r="P17" s="70"/>
      <c r="Q17" s="206"/>
      <c r="R17" s="70"/>
      <c r="S17" s="70"/>
      <c r="T17" s="70"/>
      <c r="U17" s="77"/>
      <c r="V17" s="82"/>
      <c r="W17" s="82"/>
      <c r="X17" s="82"/>
      <c r="Y17" s="82"/>
      <c r="Z17" s="82"/>
      <c r="AA17" s="82"/>
      <c r="AB17" s="82"/>
      <c r="AC17" s="82"/>
      <c r="AD17" s="82"/>
      <c r="AE17" s="82"/>
      <c r="AF17" s="80"/>
      <c r="AG17" s="53"/>
      <c r="AH17" s="53"/>
      <c r="AI17" s="53"/>
      <c r="AJ17" s="53"/>
      <c r="AK17" s="84"/>
      <c r="AL17" s="52"/>
      <c r="AM17" s="53"/>
      <c r="AN17" s="53"/>
      <c r="AO17" s="53"/>
      <c r="AP17" s="82"/>
      <c r="AQ17" s="82"/>
      <c r="AR17" s="82"/>
      <c r="AS17" s="82"/>
      <c r="AT17" s="82"/>
      <c r="AU17" s="82"/>
      <c r="AV17" s="82"/>
      <c r="AW17" s="82"/>
      <c r="AX17" s="82"/>
      <c r="AY17" s="82"/>
      <c r="AZ17" s="80"/>
      <c r="BA17" s="53"/>
      <c r="BB17" s="53"/>
      <c r="BC17" s="53"/>
      <c r="BD17" s="53"/>
      <c r="BE17" s="84"/>
      <c r="BF17" s="52"/>
      <c r="BG17" s="53"/>
      <c r="BH17" s="53"/>
      <c r="BI17" s="53"/>
      <c r="BJ17" s="82"/>
      <c r="BK17" s="82"/>
      <c r="BL17" s="82"/>
      <c r="BM17" s="82"/>
      <c r="BN17" s="82"/>
      <c r="BO17" s="82"/>
      <c r="BP17" s="82"/>
      <c r="BQ17" s="82"/>
      <c r="BR17" s="82"/>
      <c r="BS17" s="82"/>
      <c r="BT17" s="80"/>
      <c r="BU17" s="53"/>
      <c r="BV17" s="53"/>
      <c r="BW17" s="53"/>
      <c r="BX17" s="53"/>
      <c r="BY17" s="84"/>
      <c r="BZ17" s="52"/>
      <c r="CA17" s="53"/>
      <c r="CB17" s="53"/>
      <c r="CC17" s="53"/>
      <c r="CD17" s="82"/>
      <c r="CE17" s="82"/>
      <c r="CF17" s="82"/>
      <c r="CG17" s="82"/>
      <c r="CH17" s="82"/>
      <c r="CI17" s="82"/>
      <c r="CJ17" s="82"/>
      <c r="CK17" s="82"/>
      <c r="CL17" s="82"/>
      <c r="CM17" s="82"/>
      <c r="CN17" s="80"/>
      <c r="CO17" s="53"/>
      <c r="CP17" s="53"/>
      <c r="CQ17" s="53"/>
      <c r="CR17" s="53"/>
      <c r="CS17" s="84"/>
      <c r="CT17" s="52"/>
      <c r="CU17" s="53"/>
      <c r="CV17" s="53"/>
      <c r="CW17" s="53"/>
      <c r="CX17" s="82"/>
      <c r="CY17" s="82"/>
      <c r="CZ17" s="82"/>
      <c r="DA17" s="82"/>
      <c r="DB17" s="82"/>
      <c r="DC17" s="82"/>
      <c r="DD17" s="82"/>
      <c r="DE17" s="82"/>
      <c r="DF17" s="82"/>
      <c r="DG17" s="82"/>
      <c r="DH17" s="80"/>
      <c r="DI17" s="53"/>
      <c r="DJ17" s="53"/>
      <c r="DK17" s="53"/>
      <c r="DL17" s="53"/>
      <c r="DM17" s="84"/>
      <c r="DN17" s="52"/>
      <c r="DO17" s="53"/>
      <c r="DP17" s="53"/>
      <c r="DQ17" s="53"/>
      <c r="DR17" s="82"/>
      <c r="DS17" s="82"/>
      <c r="DT17" s="82"/>
      <c r="DU17" s="82"/>
      <c r="DV17" s="82"/>
      <c r="DW17" s="82"/>
      <c r="DX17" s="82"/>
      <c r="DY17" s="82"/>
      <c r="DZ17" s="82"/>
      <c r="EA17" s="82"/>
      <c r="EB17" s="80"/>
      <c r="EC17" s="53"/>
      <c r="ED17" s="53"/>
      <c r="EE17" s="53"/>
      <c r="EF17" s="53"/>
      <c r="EG17" s="84"/>
      <c r="EH17" s="52"/>
      <c r="EI17" s="53"/>
      <c r="EJ17" s="53"/>
      <c r="EK17" s="53"/>
      <c r="EL17" s="82"/>
      <c r="EM17" s="82"/>
      <c r="EN17" s="82"/>
      <c r="EO17" s="82"/>
      <c r="EP17" s="82"/>
      <c r="EQ17" s="82"/>
      <c r="ER17" s="82"/>
      <c r="ES17" s="82"/>
      <c r="ET17" s="82"/>
      <c r="EU17" s="82"/>
      <c r="EV17" s="80"/>
      <c r="EW17" s="53"/>
      <c r="EX17" s="53"/>
      <c r="EY17" s="53"/>
      <c r="EZ17" s="53"/>
      <c r="FA17" s="84"/>
      <c r="FB17" s="52"/>
      <c r="FC17" s="53"/>
      <c r="FD17" s="53"/>
      <c r="FE17" s="53"/>
      <c r="FF17" s="82"/>
      <c r="FG17" s="82"/>
      <c r="FH17" s="82"/>
      <c r="FI17" s="82"/>
      <c r="FJ17" s="82"/>
      <c r="FK17" s="82"/>
      <c r="FL17" s="82"/>
      <c r="FM17" s="82"/>
      <c r="FN17" s="82"/>
      <c r="FO17" s="82"/>
      <c r="FP17" s="80"/>
      <c r="FQ17" s="53"/>
      <c r="FR17" s="53"/>
      <c r="FS17" s="53"/>
      <c r="FT17" s="53"/>
      <c r="FU17" s="84"/>
      <c r="FV17" s="52"/>
      <c r="FW17" s="53"/>
      <c r="FX17" s="53"/>
      <c r="FY17" s="53"/>
      <c r="FZ17" s="82"/>
      <c r="GA17" s="82"/>
      <c r="GB17" s="82"/>
      <c r="GC17" s="82"/>
      <c r="GD17" s="82"/>
      <c r="GE17" s="82"/>
      <c r="GF17" s="82"/>
      <c r="GG17" s="82"/>
      <c r="GH17" s="82"/>
      <c r="GI17" s="82"/>
      <c r="GJ17" s="80"/>
      <c r="GK17" s="53"/>
      <c r="GL17" s="53"/>
      <c r="GM17" s="53"/>
      <c r="GN17" s="53"/>
      <c r="GO17" s="84"/>
      <c r="GP17" s="52"/>
      <c r="GQ17" s="53"/>
      <c r="GR17" s="53"/>
      <c r="GS17" s="53"/>
      <c r="GT17" s="82"/>
      <c r="GU17" s="82"/>
      <c r="GV17" s="82"/>
      <c r="GW17" s="82"/>
      <c r="GX17" s="82"/>
      <c r="GY17" s="82"/>
      <c r="GZ17" s="82"/>
      <c r="HA17" s="82"/>
      <c r="HB17" s="82"/>
      <c r="HC17" s="82"/>
      <c r="HD17" s="80"/>
      <c r="HE17" s="53"/>
      <c r="HF17" s="53"/>
      <c r="HG17" s="53"/>
      <c r="HH17" s="53"/>
      <c r="HI17" s="84"/>
      <c r="HJ17" s="52"/>
      <c r="HK17" s="53"/>
      <c r="HL17" s="53"/>
      <c r="HM17" s="53"/>
      <c r="HN17" s="82"/>
      <c r="HO17" s="82"/>
      <c r="HP17" s="82"/>
      <c r="HQ17" s="82"/>
      <c r="HR17" s="82"/>
      <c r="HS17" s="82"/>
      <c r="HT17" s="82"/>
      <c r="HU17" s="82"/>
      <c r="HV17" s="82"/>
      <c r="HW17" s="82"/>
      <c r="HX17" s="80"/>
      <c r="HY17" s="53"/>
      <c r="HZ17" s="53"/>
      <c r="IA17" s="53"/>
      <c r="IB17" s="53"/>
      <c r="IC17" s="84"/>
      <c r="ID17" s="52"/>
      <c r="IE17" s="53"/>
      <c r="IF17" s="53"/>
      <c r="IG17" s="53"/>
      <c r="IH17" s="82"/>
      <c r="II17" s="82"/>
      <c r="IJ17" s="82"/>
      <c r="IK17" s="82"/>
      <c r="IL17" s="82"/>
      <c r="IM17" s="82"/>
      <c r="IN17" s="82"/>
      <c r="IO17" s="82"/>
      <c r="IP17" s="82"/>
      <c r="IQ17" s="82"/>
      <c r="IR17" s="80"/>
      <c r="IS17" s="53"/>
      <c r="IT17" s="53"/>
      <c r="IU17" s="53"/>
      <c r="IV17" s="53"/>
      <c r="IW17" s="84"/>
      <c r="IX17" s="52"/>
      <c r="IY17" s="53"/>
      <c r="IZ17" s="53"/>
      <c r="JA17" s="53"/>
      <c r="JB17" s="82"/>
      <c r="JC17" s="82"/>
      <c r="JD17" s="82"/>
      <c r="JE17" s="82"/>
      <c r="JF17" s="82"/>
      <c r="JG17" s="82"/>
      <c r="JH17" s="82"/>
      <c r="JI17" s="82"/>
      <c r="JJ17" s="82"/>
      <c r="JK17" s="82"/>
      <c r="JL17" s="80"/>
      <c r="JM17" s="53"/>
      <c r="JN17" s="53"/>
      <c r="JO17" s="53"/>
      <c r="JP17" s="53"/>
      <c r="JQ17" s="84"/>
      <c r="JR17" s="52"/>
      <c r="JS17" s="53"/>
      <c r="JT17" s="53"/>
      <c r="JU17" s="53"/>
      <c r="JV17" s="82"/>
      <c r="JW17" s="82"/>
      <c r="JX17" s="82"/>
      <c r="JY17" s="82"/>
      <c r="JZ17" s="82"/>
      <c r="KA17" s="82"/>
      <c r="KB17" s="82"/>
      <c r="KC17" s="82"/>
      <c r="KD17" s="82"/>
      <c r="KE17" s="82"/>
      <c r="KF17" s="80"/>
      <c r="KG17" s="53"/>
      <c r="KH17" s="53"/>
      <c r="KI17" s="53"/>
      <c r="KJ17" s="53"/>
      <c r="KK17" s="84"/>
      <c r="KL17" s="52"/>
      <c r="KM17" s="53"/>
      <c r="KN17" s="53"/>
      <c r="KO17" s="53"/>
      <c r="KP17" s="82"/>
      <c r="KQ17" s="82"/>
      <c r="KR17" s="82"/>
      <c r="KS17" s="82"/>
      <c r="KT17" s="82"/>
      <c r="KU17" s="82"/>
      <c r="KV17" s="82"/>
      <c r="KW17" s="82"/>
      <c r="KX17" s="82"/>
      <c r="KY17" s="82"/>
      <c r="KZ17" s="80"/>
      <c r="LA17" s="53"/>
      <c r="LB17" s="53"/>
      <c r="LC17" s="53"/>
      <c r="LD17" s="53"/>
      <c r="LE17" s="84"/>
      <c r="LF17" s="52"/>
      <c r="LG17" s="53"/>
      <c r="LH17" s="53"/>
      <c r="LI17" s="53"/>
      <c r="LJ17" s="82"/>
      <c r="LK17" s="82"/>
      <c r="LL17" s="82"/>
      <c r="LM17" s="82"/>
      <c r="LN17" s="82"/>
      <c r="LO17" s="82"/>
      <c r="LP17" s="82"/>
      <c r="LQ17" s="82"/>
      <c r="LR17" s="82"/>
      <c r="LS17" s="82"/>
      <c r="LT17" s="80"/>
      <c r="LU17" s="53"/>
      <c r="LV17" s="53"/>
      <c r="LW17" s="53"/>
      <c r="LX17" s="53"/>
      <c r="LY17" s="84"/>
      <c r="LZ17" s="52"/>
      <c r="MA17" s="53"/>
      <c r="MB17" s="53"/>
      <c r="MC17" s="53"/>
      <c r="MD17" s="82"/>
      <c r="ME17" s="82"/>
      <c r="MF17" s="82"/>
      <c r="MG17" s="82"/>
      <c r="MH17" s="82"/>
      <c r="MI17" s="82"/>
      <c r="MJ17" s="82"/>
      <c r="MK17" s="82"/>
      <c r="ML17" s="82"/>
      <c r="MM17" s="82"/>
      <c r="MN17" s="80"/>
      <c r="MO17" s="53"/>
      <c r="MP17" s="53"/>
      <c r="MQ17" s="53"/>
      <c r="MR17" s="53"/>
      <c r="MS17" s="84"/>
      <c r="MT17" s="52"/>
      <c r="MU17" s="53"/>
      <c r="MV17" s="53"/>
      <c r="MW17" s="53"/>
      <c r="MX17" s="82"/>
      <c r="MY17" s="82"/>
      <c r="MZ17" s="82"/>
      <c r="NA17" s="82"/>
      <c r="NB17" s="82"/>
      <c r="NC17" s="82"/>
      <c r="ND17" s="82"/>
      <c r="NE17" s="82"/>
      <c r="NF17" s="82"/>
      <c r="NG17" s="82"/>
      <c r="NH17" s="80"/>
      <c r="NI17" s="53"/>
      <c r="NJ17" s="53"/>
      <c r="NK17" s="53"/>
      <c r="NL17" s="53"/>
      <c r="NM17" s="84"/>
      <c r="NN17" s="52"/>
      <c r="NO17" s="53"/>
      <c r="NP17" s="53"/>
      <c r="NQ17" s="53"/>
      <c r="NR17" s="82"/>
      <c r="NS17" s="82"/>
      <c r="NT17" s="82"/>
      <c r="NU17" s="82"/>
      <c r="NV17" s="82"/>
      <c r="NW17" s="82"/>
      <c r="NX17" s="82"/>
      <c r="NY17" s="82"/>
      <c r="NZ17" s="82"/>
      <c r="OA17" s="82"/>
      <c r="OB17" s="80"/>
      <c r="OC17" s="53"/>
      <c r="OD17" s="53"/>
      <c r="OE17" s="53"/>
      <c r="OF17" s="53"/>
      <c r="OG17" s="84"/>
      <c r="OH17" s="52"/>
      <c r="OI17" s="53"/>
      <c r="OJ17" s="53"/>
      <c r="OK17" s="53"/>
      <c r="OL17" s="82"/>
      <c r="OM17" s="82"/>
      <c r="ON17" s="82"/>
      <c r="OO17" s="82"/>
      <c r="OP17" s="82"/>
      <c r="OQ17" s="82"/>
      <c r="OR17" s="82"/>
      <c r="OS17" s="82"/>
      <c r="OT17" s="82"/>
      <c r="OU17" s="82"/>
      <c r="OV17" s="80"/>
      <c r="OW17" s="53"/>
      <c r="OX17" s="53"/>
      <c r="OY17" s="53"/>
      <c r="OZ17" s="53"/>
      <c r="PA17" s="84"/>
      <c r="PB17" s="52"/>
      <c r="PC17" s="53"/>
      <c r="PD17" s="53"/>
      <c r="PE17" s="53"/>
      <c r="PF17" s="82"/>
      <c r="PG17" s="82"/>
      <c r="PH17" s="82"/>
      <c r="PI17" s="82"/>
      <c r="PJ17" s="82"/>
      <c r="PK17" s="82"/>
      <c r="PL17" s="82"/>
      <c r="PM17" s="82"/>
      <c r="PN17" s="82"/>
      <c r="PO17" s="82"/>
      <c r="PP17" s="80"/>
      <c r="PQ17" s="53"/>
      <c r="PR17" s="53"/>
      <c r="PS17" s="53"/>
      <c r="PT17" s="53"/>
      <c r="PU17" s="84"/>
      <c r="PV17" s="52"/>
      <c r="PW17" s="53"/>
      <c r="PX17" s="53"/>
      <c r="PY17" s="53"/>
      <c r="PZ17" s="82"/>
      <c r="QA17" s="82"/>
      <c r="QB17" s="82"/>
      <c r="QC17" s="82"/>
      <c r="QD17" s="82"/>
      <c r="QE17" s="82"/>
      <c r="QF17" s="82"/>
      <c r="QG17" s="82"/>
      <c r="QH17" s="82"/>
      <c r="QI17" s="82"/>
      <c r="QJ17" s="80"/>
      <c r="QK17" s="53"/>
      <c r="QL17" s="53"/>
      <c r="QM17" s="53"/>
      <c r="QN17" s="53"/>
      <c r="QO17" s="84"/>
      <c r="QP17" s="52"/>
      <c r="QQ17" s="53"/>
      <c r="QR17" s="53"/>
      <c r="QS17" s="53"/>
      <c r="QT17" s="82"/>
      <c r="QU17" s="82"/>
      <c r="QV17" s="82"/>
      <c r="QW17" s="82"/>
      <c r="QX17" s="82"/>
      <c r="QY17" s="82"/>
      <c r="QZ17" s="82"/>
      <c r="RA17" s="82"/>
      <c r="RB17" s="82"/>
      <c r="RC17" s="82"/>
      <c r="RD17" s="80"/>
      <c r="RE17" s="53"/>
      <c r="RF17" s="53"/>
      <c r="RG17" s="53"/>
      <c r="RH17" s="53"/>
      <c r="RI17" s="84"/>
      <c r="RJ17" s="52"/>
      <c r="RK17" s="53"/>
      <c r="RL17" s="53"/>
      <c r="RM17" s="53"/>
      <c r="RN17" s="82"/>
      <c r="RO17" s="82"/>
      <c r="RP17" s="82"/>
      <c r="RQ17" s="82"/>
      <c r="RR17" s="82"/>
      <c r="RS17" s="82"/>
      <c r="RT17" s="82"/>
      <c r="RU17" s="82"/>
      <c r="RV17" s="82"/>
      <c r="RW17" s="82"/>
      <c r="RX17" s="80"/>
      <c r="RY17" s="53"/>
      <c r="RZ17" s="53"/>
      <c r="SA17" s="53"/>
      <c r="SB17" s="53"/>
      <c r="SC17" s="84"/>
      <c r="SD17" s="52"/>
      <c r="SE17" s="53"/>
      <c r="SF17" s="53"/>
      <c r="SG17" s="53"/>
    </row>
    <row r="18" spans="1:501" s="44" customFormat="1" ht="20.399999999999999" customHeight="1" x14ac:dyDescent="0.3">
      <c r="A18" s="125" t="s">
        <v>159</v>
      </c>
      <c r="B18" s="207" t="s">
        <v>372</v>
      </c>
      <c r="C18" s="107" t="s">
        <v>331</v>
      </c>
      <c r="D18" s="46" t="s">
        <v>315</v>
      </c>
      <c r="E18" s="12" t="s">
        <v>332</v>
      </c>
      <c r="F18" s="12" t="s">
        <v>333</v>
      </c>
      <c r="G18" s="72" t="s">
        <v>334</v>
      </c>
      <c r="H18" s="72" t="s">
        <v>335</v>
      </c>
      <c r="I18" s="204" t="s">
        <v>315</v>
      </c>
      <c r="J18" s="72"/>
      <c r="K18" s="72"/>
      <c r="L18" s="12" t="s">
        <v>71</v>
      </c>
      <c r="M18" s="12" t="s">
        <v>314</v>
      </c>
      <c r="N18" s="12" t="s">
        <v>315</v>
      </c>
      <c r="O18" s="12" t="s">
        <v>316</v>
      </c>
      <c r="P18" s="12" t="s">
        <v>321</v>
      </c>
      <c r="Q18" s="204" t="s">
        <v>318</v>
      </c>
      <c r="R18" s="72" t="s">
        <v>322</v>
      </c>
      <c r="S18" s="72" t="s">
        <v>315</v>
      </c>
      <c r="T18" s="72"/>
      <c r="U18" s="78"/>
      <c r="V18" s="12" t="s">
        <v>71</v>
      </c>
      <c r="W18" s="12" t="s">
        <v>314</v>
      </c>
      <c r="X18" s="12" t="s">
        <v>315</v>
      </c>
      <c r="Y18" s="12" t="s">
        <v>316</v>
      </c>
      <c r="Z18" s="12" t="s">
        <v>321</v>
      </c>
      <c r="AA18" s="72" t="s">
        <v>318</v>
      </c>
      <c r="AB18" s="72" t="s">
        <v>322</v>
      </c>
      <c r="AC18" s="72" t="s">
        <v>315</v>
      </c>
      <c r="AD18" s="83"/>
      <c r="AE18" s="83"/>
      <c r="AF18" s="125" t="s">
        <v>359</v>
      </c>
      <c r="AG18" s="125" t="s">
        <v>360</v>
      </c>
      <c r="AH18" s="40" t="s">
        <v>396</v>
      </c>
      <c r="AI18" s="12" t="s">
        <v>332</v>
      </c>
      <c r="AJ18" s="12" t="s">
        <v>333</v>
      </c>
      <c r="AK18" s="194" t="s">
        <v>360</v>
      </c>
      <c r="AL18" s="41" t="s">
        <v>362</v>
      </c>
      <c r="AM18" s="46" t="s">
        <v>397</v>
      </c>
      <c r="AN18" s="46"/>
      <c r="AO18" s="46"/>
      <c r="AP18" s="125" t="s">
        <v>359</v>
      </c>
      <c r="AQ18" s="125" t="s">
        <v>360</v>
      </c>
      <c r="AR18" s="40" t="s">
        <v>361</v>
      </c>
      <c r="AS18" s="12" t="s">
        <v>332</v>
      </c>
      <c r="AT18" s="12" t="s">
        <v>333</v>
      </c>
      <c r="AU18" s="194" t="s">
        <v>360</v>
      </c>
      <c r="AV18" s="41" t="s">
        <v>362</v>
      </c>
      <c r="AW18" s="83" t="s">
        <v>398</v>
      </c>
      <c r="AX18" s="83"/>
      <c r="AY18" s="83"/>
      <c r="AZ18" s="81"/>
      <c r="BA18" s="46"/>
      <c r="BB18" s="46"/>
      <c r="BC18" s="46"/>
      <c r="BD18" s="46"/>
      <c r="BE18" s="85"/>
      <c r="BF18" s="41"/>
      <c r="BG18" s="46"/>
      <c r="BH18" s="46"/>
      <c r="BI18" s="46"/>
      <c r="BJ18" s="83"/>
      <c r="BK18" s="83"/>
      <c r="BL18" s="83"/>
      <c r="BM18" s="83"/>
      <c r="BN18" s="83"/>
      <c r="BO18" s="83"/>
      <c r="BP18" s="83"/>
      <c r="BQ18" s="83"/>
      <c r="BR18" s="83"/>
      <c r="BS18" s="83"/>
      <c r="BT18" s="81"/>
      <c r="BU18" s="46"/>
      <c r="BV18" s="46"/>
      <c r="BW18" s="46"/>
      <c r="BX18" s="46"/>
      <c r="BY18" s="85"/>
      <c r="BZ18" s="41"/>
      <c r="CA18" s="46"/>
      <c r="CB18" s="46"/>
      <c r="CC18" s="46"/>
      <c r="CD18" s="83"/>
      <c r="CE18" s="83"/>
      <c r="CF18" s="83"/>
      <c r="CG18" s="83"/>
      <c r="CH18" s="83"/>
      <c r="CI18" s="83"/>
      <c r="CJ18" s="83"/>
      <c r="CK18" s="83"/>
      <c r="CL18" s="83"/>
      <c r="CM18" s="83"/>
      <c r="CN18" s="81"/>
      <c r="CO18" s="46"/>
      <c r="CP18" s="46"/>
      <c r="CQ18" s="46"/>
      <c r="CR18" s="46"/>
      <c r="CS18" s="85"/>
      <c r="CT18" s="41"/>
      <c r="CU18" s="46"/>
      <c r="CV18" s="46"/>
      <c r="CW18" s="46"/>
      <c r="CX18" s="83"/>
      <c r="CY18" s="83"/>
      <c r="CZ18" s="83"/>
      <c r="DA18" s="83"/>
      <c r="DB18" s="83"/>
      <c r="DC18" s="83"/>
      <c r="DD18" s="83"/>
      <c r="DE18" s="83"/>
      <c r="DF18" s="83"/>
      <c r="DG18" s="83"/>
      <c r="DH18" s="81"/>
      <c r="DI18" s="46"/>
      <c r="DJ18" s="46"/>
      <c r="DK18" s="46"/>
      <c r="DL18" s="46"/>
      <c r="DM18" s="85"/>
      <c r="DN18" s="41"/>
      <c r="DO18" s="46"/>
      <c r="DP18" s="46"/>
      <c r="DQ18" s="46"/>
      <c r="DR18" s="83"/>
      <c r="DS18" s="83"/>
      <c r="DT18" s="83"/>
      <c r="DU18" s="83"/>
      <c r="DV18" s="83"/>
      <c r="DW18" s="83"/>
      <c r="DX18" s="83"/>
      <c r="DY18" s="83"/>
      <c r="DZ18" s="83"/>
      <c r="EA18" s="83"/>
      <c r="EB18" s="81"/>
      <c r="EC18" s="46"/>
      <c r="ED18" s="46"/>
      <c r="EE18" s="46"/>
      <c r="EF18" s="46"/>
      <c r="EG18" s="85"/>
      <c r="EH18" s="41"/>
      <c r="EI18" s="46"/>
      <c r="EJ18" s="46"/>
      <c r="EK18" s="46"/>
      <c r="EL18" s="83"/>
      <c r="EM18" s="83"/>
      <c r="EN18" s="83"/>
      <c r="EO18" s="83"/>
      <c r="EP18" s="83"/>
      <c r="EQ18" s="83"/>
      <c r="ER18" s="83"/>
      <c r="ES18" s="83"/>
      <c r="ET18" s="83"/>
      <c r="EU18" s="83"/>
      <c r="EV18" s="81"/>
      <c r="EW18" s="46"/>
      <c r="EX18" s="46"/>
      <c r="EY18" s="46"/>
      <c r="EZ18" s="46"/>
      <c r="FA18" s="85"/>
      <c r="FB18" s="41"/>
      <c r="FC18" s="46"/>
      <c r="FD18" s="46"/>
      <c r="FE18" s="46"/>
      <c r="FF18" s="83"/>
      <c r="FG18" s="83"/>
      <c r="FH18" s="83"/>
      <c r="FI18" s="83"/>
      <c r="FJ18" s="83"/>
      <c r="FK18" s="83"/>
      <c r="FL18" s="83"/>
      <c r="FM18" s="83"/>
      <c r="FN18" s="83"/>
      <c r="FO18" s="83"/>
      <c r="FP18" s="81"/>
      <c r="FQ18" s="46"/>
      <c r="FR18" s="46"/>
      <c r="FS18" s="46"/>
      <c r="FT18" s="46"/>
      <c r="FU18" s="85"/>
      <c r="FV18" s="41"/>
      <c r="FW18" s="46"/>
      <c r="FX18" s="46"/>
      <c r="FY18" s="46"/>
      <c r="FZ18" s="83"/>
      <c r="GA18" s="83"/>
      <c r="GB18" s="83"/>
      <c r="GC18" s="83"/>
      <c r="GD18" s="83"/>
      <c r="GE18" s="83"/>
      <c r="GF18" s="83"/>
      <c r="GG18" s="83"/>
      <c r="GH18" s="83"/>
      <c r="GI18" s="83"/>
      <c r="GJ18" s="81"/>
      <c r="GK18" s="46"/>
      <c r="GL18" s="46"/>
      <c r="GM18" s="46"/>
      <c r="GN18" s="46"/>
      <c r="GO18" s="85"/>
      <c r="GP18" s="41"/>
      <c r="GQ18" s="46"/>
      <c r="GR18" s="46"/>
      <c r="GS18" s="46"/>
      <c r="GT18" s="83"/>
      <c r="GU18" s="83"/>
      <c r="GV18" s="83"/>
      <c r="GW18" s="83"/>
      <c r="GX18" s="83"/>
      <c r="GY18" s="83"/>
      <c r="GZ18" s="83"/>
      <c r="HA18" s="83"/>
      <c r="HB18" s="83"/>
      <c r="HC18" s="83"/>
      <c r="HD18" s="81"/>
      <c r="HE18" s="46"/>
      <c r="HF18" s="46"/>
      <c r="HG18" s="46"/>
      <c r="HH18" s="46"/>
      <c r="HI18" s="85"/>
      <c r="HJ18" s="41"/>
      <c r="HK18" s="46"/>
      <c r="HL18" s="46"/>
      <c r="HM18" s="46"/>
      <c r="HN18" s="83"/>
      <c r="HO18" s="83"/>
      <c r="HP18" s="83"/>
      <c r="HQ18" s="83"/>
      <c r="HR18" s="83"/>
      <c r="HS18" s="83"/>
      <c r="HT18" s="83"/>
      <c r="HU18" s="83"/>
      <c r="HV18" s="83"/>
      <c r="HW18" s="83"/>
      <c r="HX18" s="81"/>
      <c r="HY18" s="46"/>
      <c r="HZ18" s="46"/>
      <c r="IA18" s="46"/>
      <c r="IB18" s="46"/>
      <c r="IC18" s="85"/>
      <c r="ID18" s="41"/>
      <c r="IE18" s="46"/>
      <c r="IF18" s="46"/>
      <c r="IG18" s="46"/>
      <c r="IH18" s="83"/>
      <c r="II18" s="83"/>
      <c r="IJ18" s="83"/>
      <c r="IK18" s="83"/>
      <c r="IL18" s="83"/>
      <c r="IM18" s="83"/>
      <c r="IN18" s="83"/>
      <c r="IO18" s="83"/>
      <c r="IP18" s="83"/>
      <c r="IQ18" s="83"/>
      <c r="IR18" s="81"/>
      <c r="IS18" s="46"/>
      <c r="IT18" s="46"/>
      <c r="IU18" s="46"/>
      <c r="IV18" s="46"/>
      <c r="IW18" s="85"/>
      <c r="IX18" s="41"/>
      <c r="IY18" s="46"/>
      <c r="IZ18" s="46"/>
      <c r="JA18" s="46"/>
      <c r="JB18" s="83"/>
      <c r="JC18" s="83"/>
      <c r="JD18" s="83"/>
      <c r="JE18" s="83"/>
      <c r="JF18" s="83"/>
      <c r="JG18" s="83"/>
      <c r="JH18" s="83"/>
      <c r="JI18" s="83"/>
      <c r="JJ18" s="83"/>
      <c r="JK18" s="83"/>
      <c r="JL18" s="81"/>
      <c r="JM18" s="46"/>
      <c r="JN18" s="46"/>
      <c r="JO18" s="46"/>
      <c r="JP18" s="46"/>
      <c r="JQ18" s="85"/>
      <c r="JR18" s="41"/>
      <c r="JS18" s="46"/>
      <c r="JT18" s="46"/>
      <c r="JU18" s="46"/>
      <c r="JV18" s="83"/>
      <c r="JW18" s="83"/>
      <c r="JX18" s="83"/>
      <c r="JY18" s="83"/>
      <c r="JZ18" s="83"/>
      <c r="KA18" s="83"/>
      <c r="KB18" s="83"/>
      <c r="KC18" s="83"/>
      <c r="KD18" s="83"/>
      <c r="KE18" s="83"/>
      <c r="KF18" s="81"/>
      <c r="KG18" s="46"/>
      <c r="KH18" s="46"/>
      <c r="KI18" s="46"/>
      <c r="KJ18" s="46"/>
      <c r="KK18" s="85"/>
      <c r="KL18" s="41"/>
      <c r="KM18" s="46"/>
      <c r="KN18" s="46"/>
      <c r="KO18" s="46"/>
      <c r="KP18" s="83"/>
      <c r="KQ18" s="83"/>
      <c r="KR18" s="83"/>
      <c r="KS18" s="83"/>
      <c r="KT18" s="83"/>
      <c r="KU18" s="83"/>
      <c r="KV18" s="83"/>
      <c r="KW18" s="83"/>
      <c r="KX18" s="83"/>
      <c r="KY18" s="83"/>
      <c r="KZ18" s="81"/>
      <c r="LA18" s="46"/>
      <c r="LB18" s="46"/>
      <c r="LC18" s="46"/>
      <c r="LD18" s="46"/>
      <c r="LE18" s="85"/>
      <c r="LF18" s="41"/>
      <c r="LG18" s="46"/>
      <c r="LH18" s="46"/>
      <c r="LI18" s="46"/>
      <c r="LJ18" s="83"/>
      <c r="LK18" s="83"/>
      <c r="LL18" s="83"/>
      <c r="LM18" s="83"/>
      <c r="LN18" s="83"/>
      <c r="LO18" s="83"/>
      <c r="LP18" s="83"/>
      <c r="LQ18" s="83"/>
      <c r="LR18" s="83"/>
      <c r="LS18" s="83"/>
      <c r="LT18" s="81"/>
      <c r="LU18" s="46"/>
      <c r="LV18" s="46"/>
      <c r="LW18" s="46"/>
      <c r="LX18" s="46"/>
      <c r="LY18" s="85"/>
      <c r="LZ18" s="41"/>
      <c r="MA18" s="46"/>
      <c r="MB18" s="46"/>
      <c r="MC18" s="46"/>
      <c r="MD18" s="83"/>
      <c r="ME18" s="83"/>
      <c r="MF18" s="83"/>
      <c r="MG18" s="83"/>
      <c r="MH18" s="83"/>
      <c r="MI18" s="83"/>
      <c r="MJ18" s="83"/>
      <c r="MK18" s="83"/>
      <c r="ML18" s="83"/>
      <c r="MM18" s="83"/>
      <c r="MN18" s="81"/>
      <c r="MO18" s="46"/>
      <c r="MP18" s="46"/>
      <c r="MQ18" s="46"/>
      <c r="MR18" s="46"/>
      <c r="MS18" s="85"/>
      <c r="MT18" s="41"/>
      <c r="MU18" s="46"/>
      <c r="MV18" s="46"/>
      <c r="MW18" s="46"/>
      <c r="MX18" s="83"/>
      <c r="MY18" s="83"/>
      <c r="MZ18" s="83"/>
      <c r="NA18" s="83"/>
      <c r="NB18" s="83"/>
      <c r="NC18" s="83"/>
      <c r="ND18" s="83"/>
      <c r="NE18" s="83"/>
      <c r="NF18" s="83"/>
      <c r="NG18" s="83"/>
      <c r="NH18" s="81"/>
      <c r="NI18" s="46"/>
      <c r="NJ18" s="46"/>
      <c r="NK18" s="46"/>
      <c r="NL18" s="46"/>
      <c r="NM18" s="85"/>
      <c r="NN18" s="41"/>
      <c r="NO18" s="46"/>
      <c r="NP18" s="46"/>
      <c r="NQ18" s="46"/>
      <c r="NR18" s="83"/>
      <c r="NS18" s="83"/>
      <c r="NT18" s="83"/>
      <c r="NU18" s="83"/>
      <c r="NV18" s="83"/>
      <c r="NW18" s="83"/>
      <c r="NX18" s="83"/>
      <c r="NY18" s="83"/>
      <c r="NZ18" s="83"/>
      <c r="OA18" s="83"/>
      <c r="OB18" s="81"/>
      <c r="OC18" s="46"/>
      <c r="OD18" s="46"/>
      <c r="OE18" s="46"/>
      <c r="OF18" s="46"/>
      <c r="OG18" s="85"/>
      <c r="OH18" s="41"/>
      <c r="OI18" s="46"/>
      <c r="OJ18" s="46"/>
      <c r="OK18" s="46"/>
      <c r="OL18" s="83"/>
      <c r="OM18" s="83"/>
      <c r="ON18" s="83"/>
      <c r="OO18" s="83"/>
      <c r="OP18" s="83"/>
      <c r="OQ18" s="83"/>
      <c r="OR18" s="83"/>
      <c r="OS18" s="83"/>
      <c r="OT18" s="83"/>
      <c r="OU18" s="83"/>
      <c r="OV18" s="81"/>
      <c r="OW18" s="46"/>
      <c r="OX18" s="46"/>
      <c r="OY18" s="46"/>
      <c r="OZ18" s="46"/>
      <c r="PA18" s="85"/>
      <c r="PB18" s="41"/>
      <c r="PC18" s="46"/>
      <c r="PD18" s="46"/>
      <c r="PE18" s="46"/>
      <c r="PF18" s="83"/>
      <c r="PG18" s="83"/>
      <c r="PH18" s="83"/>
      <c r="PI18" s="83"/>
      <c r="PJ18" s="83"/>
      <c r="PK18" s="83"/>
      <c r="PL18" s="83"/>
      <c r="PM18" s="83"/>
      <c r="PN18" s="83"/>
      <c r="PO18" s="83"/>
      <c r="PP18" s="81"/>
      <c r="PQ18" s="46"/>
      <c r="PR18" s="46"/>
      <c r="PS18" s="46"/>
      <c r="PT18" s="46"/>
      <c r="PU18" s="85"/>
      <c r="PV18" s="41"/>
      <c r="PW18" s="46"/>
      <c r="PX18" s="46"/>
      <c r="PY18" s="46"/>
      <c r="PZ18" s="83"/>
      <c r="QA18" s="83"/>
      <c r="QB18" s="83"/>
      <c r="QC18" s="83"/>
      <c r="QD18" s="83"/>
      <c r="QE18" s="83"/>
      <c r="QF18" s="83"/>
      <c r="QG18" s="83"/>
      <c r="QH18" s="83"/>
      <c r="QI18" s="83"/>
      <c r="QJ18" s="81"/>
      <c r="QK18" s="46"/>
      <c r="QL18" s="46"/>
      <c r="QM18" s="46"/>
      <c r="QN18" s="46"/>
      <c r="QO18" s="85"/>
      <c r="QP18" s="41"/>
      <c r="QQ18" s="46"/>
      <c r="QR18" s="46"/>
      <c r="QS18" s="46"/>
      <c r="QT18" s="83"/>
      <c r="QU18" s="83"/>
      <c r="QV18" s="83"/>
      <c r="QW18" s="83"/>
      <c r="QX18" s="83"/>
      <c r="QY18" s="83"/>
      <c r="QZ18" s="83"/>
      <c r="RA18" s="83"/>
      <c r="RB18" s="83"/>
      <c r="RC18" s="83"/>
      <c r="RD18" s="81"/>
      <c r="RE18" s="46"/>
      <c r="RF18" s="46"/>
      <c r="RG18" s="46"/>
      <c r="RH18" s="46"/>
      <c r="RI18" s="85"/>
      <c r="RJ18" s="41"/>
      <c r="RK18" s="46"/>
      <c r="RL18" s="46"/>
      <c r="RM18" s="46"/>
      <c r="RN18" s="83"/>
      <c r="RO18" s="83"/>
      <c r="RP18" s="83"/>
      <c r="RQ18" s="83"/>
      <c r="RR18" s="83"/>
      <c r="RS18" s="83"/>
      <c r="RT18" s="83"/>
      <c r="RU18" s="83"/>
      <c r="RV18" s="83"/>
      <c r="RW18" s="83"/>
      <c r="RX18" s="81"/>
      <c r="RY18" s="46"/>
      <c r="RZ18" s="46"/>
      <c r="SA18" s="46"/>
      <c r="SB18" s="46"/>
      <c r="SC18" s="85"/>
      <c r="SD18" s="41"/>
      <c r="SE18" s="46"/>
      <c r="SF18" s="46"/>
      <c r="SG18" s="46"/>
    </row>
    <row r="19" spans="1:501" s="44" customFormat="1" ht="20.399999999999999" customHeight="1" x14ac:dyDescent="0.3">
      <c r="A19" s="66" t="s">
        <v>130</v>
      </c>
      <c r="B19" s="66" t="s">
        <v>68</v>
      </c>
      <c r="C19" s="66" t="s">
        <v>331</v>
      </c>
      <c r="D19" s="49" t="s">
        <v>315</v>
      </c>
      <c r="E19" s="49" t="s">
        <v>332</v>
      </c>
      <c r="F19" s="49" t="s">
        <v>333</v>
      </c>
      <c r="G19" s="70" t="s">
        <v>334</v>
      </c>
      <c r="H19" s="70" t="s">
        <v>335</v>
      </c>
      <c r="I19" s="206" t="s">
        <v>315</v>
      </c>
      <c r="J19" s="109" t="s">
        <v>399</v>
      </c>
      <c r="K19" s="70"/>
      <c r="L19" s="49" t="s">
        <v>68</v>
      </c>
      <c r="M19" s="66" t="s">
        <v>331</v>
      </c>
      <c r="N19" s="49" t="s">
        <v>315</v>
      </c>
      <c r="O19" s="49" t="s">
        <v>332</v>
      </c>
      <c r="P19" s="82" t="s">
        <v>333</v>
      </c>
      <c r="Q19" s="206" t="s">
        <v>334</v>
      </c>
      <c r="R19" s="70" t="s">
        <v>335</v>
      </c>
      <c r="S19" s="70" t="s">
        <v>315</v>
      </c>
      <c r="T19" s="206" t="s">
        <v>400</v>
      </c>
      <c r="U19" s="77"/>
      <c r="V19" s="49" t="s">
        <v>68</v>
      </c>
      <c r="W19" s="66" t="s">
        <v>331</v>
      </c>
      <c r="X19" s="49" t="s">
        <v>315</v>
      </c>
      <c r="Y19" s="49" t="s">
        <v>332</v>
      </c>
      <c r="Z19" s="82" t="s">
        <v>333</v>
      </c>
      <c r="AA19" s="206" t="s">
        <v>334</v>
      </c>
      <c r="AB19" s="70" t="s">
        <v>335</v>
      </c>
      <c r="AC19" s="70" t="s">
        <v>315</v>
      </c>
      <c r="AD19" s="109" t="s">
        <v>399</v>
      </c>
      <c r="AE19" s="82"/>
      <c r="AF19" s="82" t="s">
        <v>69</v>
      </c>
      <c r="AG19" s="82" t="s">
        <v>318</v>
      </c>
      <c r="AH19" s="82" t="s">
        <v>315</v>
      </c>
      <c r="AI19" s="82" t="s">
        <v>336</v>
      </c>
      <c r="AJ19" s="82" t="s">
        <v>321</v>
      </c>
      <c r="AK19" s="82" t="s">
        <v>318</v>
      </c>
      <c r="AL19" s="82" t="s">
        <v>391</v>
      </c>
      <c r="AM19" s="82" t="s">
        <v>315</v>
      </c>
      <c r="AN19" s="109" t="s">
        <v>399</v>
      </c>
      <c r="AO19" s="82"/>
      <c r="AP19" s="82" t="s">
        <v>313</v>
      </c>
      <c r="AQ19" s="82" t="s">
        <v>318</v>
      </c>
      <c r="AR19" s="82" t="s">
        <v>315</v>
      </c>
      <c r="AS19" s="82" t="s">
        <v>336</v>
      </c>
      <c r="AT19" s="82" t="s">
        <v>317</v>
      </c>
      <c r="AU19" s="82" t="s">
        <v>318</v>
      </c>
      <c r="AV19" s="82" t="s">
        <v>337</v>
      </c>
      <c r="AW19" s="82" t="s">
        <v>315</v>
      </c>
      <c r="AX19" s="201" t="s">
        <v>401</v>
      </c>
      <c r="AY19" s="82"/>
      <c r="AZ19" s="82" t="s">
        <v>313</v>
      </c>
      <c r="BA19" s="82" t="s">
        <v>318</v>
      </c>
      <c r="BB19" s="82" t="s">
        <v>315</v>
      </c>
      <c r="BC19" s="82" t="s">
        <v>336</v>
      </c>
      <c r="BD19" s="82" t="s">
        <v>317</v>
      </c>
      <c r="BE19" s="82" t="s">
        <v>318</v>
      </c>
      <c r="BF19" s="82" t="s">
        <v>337</v>
      </c>
      <c r="BG19" s="82" t="s">
        <v>315</v>
      </c>
      <c r="BH19" s="109" t="s">
        <v>402</v>
      </c>
      <c r="BI19" s="53"/>
      <c r="BJ19" s="82" t="s">
        <v>71</v>
      </c>
      <c r="BK19" s="82" t="s">
        <v>314</v>
      </c>
      <c r="BL19" s="82" t="s">
        <v>403</v>
      </c>
      <c r="BM19" s="82" t="s">
        <v>316</v>
      </c>
      <c r="BN19" s="82" t="s">
        <v>321</v>
      </c>
      <c r="BO19" s="82" t="s">
        <v>318</v>
      </c>
      <c r="BP19" s="82" t="s">
        <v>71</v>
      </c>
      <c r="BQ19" s="201" t="s">
        <v>404</v>
      </c>
      <c r="BR19" s="201" t="s">
        <v>405</v>
      </c>
      <c r="BS19" s="82"/>
      <c r="BT19" s="82" t="s">
        <v>71</v>
      </c>
      <c r="BU19" s="82" t="s">
        <v>314</v>
      </c>
      <c r="BV19" s="82" t="s">
        <v>315</v>
      </c>
      <c r="BW19" s="82" t="s">
        <v>316</v>
      </c>
      <c r="BX19" s="82" t="s">
        <v>321</v>
      </c>
      <c r="BY19" s="82" t="s">
        <v>318</v>
      </c>
      <c r="BZ19" s="82" t="s">
        <v>322</v>
      </c>
      <c r="CA19" s="82" t="s">
        <v>315</v>
      </c>
      <c r="CB19" s="109" t="s">
        <v>406</v>
      </c>
      <c r="CC19" s="53"/>
      <c r="CD19" s="82" t="s">
        <v>373</v>
      </c>
      <c r="CE19" s="201" t="s">
        <v>331</v>
      </c>
      <c r="CF19" s="82" t="s">
        <v>407</v>
      </c>
      <c r="CG19" s="82" t="s">
        <v>332</v>
      </c>
      <c r="CH19" s="82" t="s">
        <v>408</v>
      </c>
      <c r="CI19" s="82" t="s">
        <v>409</v>
      </c>
      <c r="CJ19" s="82" t="s">
        <v>410</v>
      </c>
      <c r="CK19" s="82" t="s">
        <v>411</v>
      </c>
      <c r="CL19" s="109" t="s">
        <v>412</v>
      </c>
      <c r="CM19" s="82"/>
      <c r="CN19" s="80" t="s">
        <v>413</v>
      </c>
      <c r="CO19" s="53" t="s">
        <v>331</v>
      </c>
      <c r="CP19" s="53" t="s">
        <v>414</v>
      </c>
      <c r="CQ19" s="53" t="s">
        <v>415</v>
      </c>
      <c r="CR19" s="53" t="s">
        <v>333</v>
      </c>
      <c r="CS19" s="84" t="s">
        <v>409</v>
      </c>
      <c r="CT19" s="52" t="s">
        <v>416</v>
      </c>
      <c r="CU19" s="53" t="s">
        <v>417</v>
      </c>
      <c r="CV19" s="109" t="s">
        <v>412</v>
      </c>
      <c r="CW19" s="109"/>
      <c r="CX19" s="82" t="s">
        <v>418</v>
      </c>
      <c r="CY19" s="82" t="s">
        <v>419</v>
      </c>
      <c r="CZ19" s="82" t="s">
        <v>420</v>
      </c>
      <c r="DA19" s="82" t="s">
        <v>351</v>
      </c>
      <c r="DB19" s="82" t="s">
        <v>421</v>
      </c>
      <c r="DC19" s="201" t="s">
        <v>329</v>
      </c>
      <c r="DD19" s="82" t="s">
        <v>422</v>
      </c>
      <c r="DE19" s="82" t="s">
        <v>423</v>
      </c>
      <c r="DF19" s="201" t="s">
        <v>424</v>
      </c>
      <c r="DG19" s="82"/>
      <c r="DH19" s="80" t="s">
        <v>324</v>
      </c>
      <c r="DI19" s="109" t="s">
        <v>349</v>
      </c>
      <c r="DJ19" s="53" t="s">
        <v>425</v>
      </c>
      <c r="DK19" s="53" t="s">
        <v>327</v>
      </c>
      <c r="DL19" s="53" t="s">
        <v>328</v>
      </c>
      <c r="DM19" s="201" t="s">
        <v>329</v>
      </c>
      <c r="DN19" s="52" t="s">
        <v>330</v>
      </c>
      <c r="DO19" s="53">
        <v>1112140</v>
      </c>
      <c r="DP19" s="109" t="s">
        <v>412</v>
      </c>
      <c r="DQ19" s="53"/>
      <c r="DR19" s="80"/>
      <c r="DS19" s="53"/>
      <c r="DT19" s="53"/>
      <c r="DU19" s="53"/>
      <c r="DV19" s="53"/>
      <c r="DW19" s="84"/>
      <c r="DX19" s="52"/>
      <c r="DY19" s="53"/>
      <c r="DZ19" s="82"/>
      <c r="EA19" s="82"/>
      <c r="EB19" s="80"/>
      <c r="EC19" s="53"/>
      <c r="ED19" s="53"/>
      <c r="EE19" s="53"/>
      <c r="EF19" s="53"/>
      <c r="EG19" s="84"/>
      <c r="EH19" s="52"/>
      <c r="EI19" s="53"/>
      <c r="EJ19" s="53"/>
      <c r="EK19" s="53"/>
      <c r="EL19" s="82"/>
      <c r="EM19" s="82"/>
      <c r="EN19" s="82"/>
      <c r="EO19" s="82"/>
      <c r="EP19" s="82"/>
      <c r="EQ19" s="82"/>
      <c r="ER19" s="82"/>
      <c r="ES19" s="82"/>
      <c r="ET19" s="82"/>
      <c r="EU19" s="82"/>
      <c r="EV19" s="80"/>
      <c r="EW19" s="53"/>
      <c r="EX19" s="53"/>
      <c r="EY19" s="53"/>
      <c r="EZ19" s="53"/>
      <c r="FA19" s="84"/>
      <c r="FB19" s="52"/>
      <c r="FC19" s="53"/>
      <c r="FD19" s="53"/>
      <c r="FE19" s="53"/>
      <c r="FF19" s="82"/>
      <c r="FG19" s="82"/>
      <c r="FH19" s="82"/>
      <c r="FI19" s="82"/>
      <c r="FJ19" s="82"/>
      <c r="FK19" s="82"/>
      <c r="FL19" s="82"/>
      <c r="FM19" s="82"/>
      <c r="FN19" s="82"/>
      <c r="FO19" s="82"/>
      <c r="FP19" s="80"/>
      <c r="FQ19" s="53"/>
      <c r="FR19" s="53"/>
      <c r="FS19" s="53"/>
      <c r="FT19" s="53"/>
      <c r="FU19" s="84"/>
      <c r="FV19" s="52"/>
      <c r="FW19" s="53"/>
      <c r="FX19" s="53"/>
      <c r="FY19" s="53"/>
      <c r="FZ19" s="82"/>
      <c r="GA19" s="82"/>
      <c r="GB19" s="82"/>
      <c r="GC19" s="82"/>
      <c r="GD19" s="82"/>
      <c r="GE19" s="82"/>
      <c r="GF19" s="82"/>
      <c r="GG19" s="82"/>
      <c r="GH19" s="82"/>
      <c r="GI19" s="82"/>
      <c r="GJ19" s="80"/>
      <c r="GK19" s="53"/>
      <c r="GL19" s="53"/>
      <c r="GM19" s="53"/>
      <c r="GN19" s="53"/>
      <c r="GO19" s="84"/>
      <c r="GP19" s="52"/>
      <c r="GQ19" s="53"/>
      <c r="GR19" s="53"/>
      <c r="GS19" s="53"/>
      <c r="GT19" s="82"/>
      <c r="GU19" s="82"/>
      <c r="GV19" s="82"/>
      <c r="GW19" s="82"/>
      <c r="GX19" s="82"/>
      <c r="GY19" s="82"/>
      <c r="GZ19" s="82"/>
      <c r="HA19" s="82"/>
      <c r="HB19" s="82"/>
      <c r="HC19" s="82"/>
      <c r="HD19" s="80"/>
      <c r="HE19" s="53"/>
      <c r="HF19" s="53"/>
      <c r="HG19" s="53"/>
      <c r="HH19" s="53"/>
      <c r="HI19" s="84"/>
      <c r="HJ19" s="52"/>
      <c r="HK19" s="53"/>
      <c r="HL19" s="53"/>
      <c r="HM19" s="53"/>
      <c r="HN19" s="82"/>
      <c r="HO19" s="82"/>
      <c r="HP19" s="82"/>
      <c r="HQ19" s="82"/>
      <c r="HR19" s="82"/>
      <c r="HS19" s="82"/>
      <c r="HT19" s="82"/>
      <c r="HU19" s="82"/>
      <c r="HV19" s="82"/>
      <c r="HW19" s="82"/>
      <c r="HX19" s="80"/>
      <c r="HY19" s="53"/>
      <c r="HZ19" s="53"/>
      <c r="IA19" s="53"/>
      <c r="IB19" s="53"/>
      <c r="IC19" s="84"/>
      <c r="ID19" s="52"/>
      <c r="IE19" s="53"/>
      <c r="IF19" s="53"/>
      <c r="IG19" s="53"/>
      <c r="IH19" s="82"/>
      <c r="II19" s="82"/>
      <c r="IJ19" s="82"/>
      <c r="IK19" s="82"/>
      <c r="IL19" s="82"/>
      <c r="IM19" s="82"/>
      <c r="IN19" s="82"/>
      <c r="IO19" s="82"/>
      <c r="IP19" s="82"/>
      <c r="IQ19" s="82"/>
      <c r="IR19" s="80"/>
      <c r="IS19" s="53"/>
      <c r="IT19" s="53"/>
      <c r="IU19" s="53"/>
      <c r="IV19" s="53"/>
      <c r="IW19" s="84"/>
      <c r="IX19" s="52"/>
      <c r="IY19" s="53"/>
      <c r="IZ19" s="53"/>
      <c r="JA19" s="53"/>
      <c r="JB19" s="82"/>
      <c r="JC19" s="82"/>
      <c r="JD19" s="82"/>
      <c r="JE19" s="82"/>
      <c r="JF19" s="82"/>
      <c r="JG19" s="82"/>
      <c r="JH19" s="82"/>
      <c r="JI19" s="82"/>
      <c r="JJ19" s="82"/>
      <c r="JK19" s="82"/>
      <c r="JL19" s="80"/>
      <c r="JM19" s="53"/>
      <c r="JN19" s="53"/>
      <c r="JO19" s="53"/>
      <c r="JP19" s="53"/>
      <c r="JQ19" s="84"/>
      <c r="JR19" s="52"/>
      <c r="JS19" s="53"/>
      <c r="JT19" s="53"/>
      <c r="JU19" s="53"/>
      <c r="JV19" s="82"/>
      <c r="JW19" s="82"/>
      <c r="JX19" s="82"/>
      <c r="JY19" s="82"/>
      <c r="JZ19" s="82"/>
      <c r="KA19" s="82"/>
      <c r="KB19" s="82"/>
      <c r="KC19" s="82"/>
      <c r="KD19" s="82"/>
      <c r="KE19" s="82"/>
      <c r="KF19" s="80"/>
      <c r="KG19" s="53"/>
      <c r="KH19" s="53"/>
      <c r="KI19" s="53"/>
      <c r="KJ19" s="53"/>
      <c r="KK19" s="84"/>
      <c r="KL19" s="52"/>
      <c r="KM19" s="53"/>
      <c r="KN19" s="53"/>
      <c r="KO19" s="53"/>
      <c r="KP19" s="82"/>
      <c r="KQ19" s="82"/>
      <c r="KR19" s="82"/>
      <c r="KS19" s="82"/>
      <c r="KT19" s="82"/>
      <c r="KU19" s="82"/>
      <c r="KV19" s="82"/>
      <c r="KW19" s="82"/>
      <c r="KX19" s="82"/>
      <c r="KY19" s="82"/>
      <c r="KZ19" s="80"/>
      <c r="LA19" s="53"/>
      <c r="LB19" s="53"/>
      <c r="LC19" s="53"/>
      <c r="LD19" s="53"/>
      <c r="LE19" s="84"/>
      <c r="LF19" s="52"/>
      <c r="LG19" s="53"/>
      <c r="LH19" s="53"/>
      <c r="LI19" s="53"/>
      <c r="LJ19" s="82"/>
      <c r="LK19" s="82"/>
      <c r="LL19" s="82"/>
      <c r="LM19" s="82"/>
      <c r="LN19" s="82"/>
      <c r="LO19" s="82"/>
      <c r="LP19" s="82"/>
      <c r="LQ19" s="82"/>
      <c r="LR19" s="82"/>
      <c r="LS19" s="82"/>
      <c r="LT19" s="80"/>
      <c r="LU19" s="53"/>
      <c r="LV19" s="53"/>
      <c r="LW19" s="53"/>
      <c r="LX19" s="53"/>
      <c r="LY19" s="84"/>
      <c r="LZ19" s="52"/>
      <c r="MA19" s="53"/>
      <c r="MB19" s="53"/>
      <c r="MC19" s="53"/>
      <c r="MD19" s="82"/>
      <c r="ME19" s="82"/>
      <c r="MF19" s="82"/>
      <c r="MG19" s="82"/>
      <c r="MH19" s="82"/>
      <c r="MI19" s="82"/>
      <c r="MJ19" s="82"/>
      <c r="MK19" s="82"/>
      <c r="ML19" s="82"/>
      <c r="MM19" s="82"/>
      <c r="MN19" s="80"/>
      <c r="MO19" s="53"/>
      <c r="MP19" s="53"/>
      <c r="MQ19" s="53"/>
      <c r="MR19" s="53"/>
      <c r="MS19" s="84"/>
      <c r="MT19" s="52"/>
      <c r="MU19" s="53"/>
      <c r="MV19" s="53"/>
      <c r="MW19" s="53"/>
      <c r="MX19" s="82"/>
      <c r="MY19" s="82"/>
      <c r="MZ19" s="82"/>
      <c r="NA19" s="82"/>
      <c r="NB19" s="82"/>
      <c r="NC19" s="82"/>
      <c r="ND19" s="82"/>
      <c r="NE19" s="82"/>
      <c r="NF19" s="82"/>
      <c r="NG19" s="82"/>
      <c r="NH19" s="80"/>
      <c r="NI19" s="53"/>
      <c r="NJ19" s="53"/>
      <c r="NK19" s="53"/>
      <c r="NL19" s="53"/>
      <c r="NM19" s="84"/>
      <c r="NN19" s="52"/>
      <c r="NO19" s="53"/>
      <c r="NP19" s="53"/>
      <c r="NQ19" s="53"/>
      <c r="NR19" s="82"/>
      <c r="NS19" s="82"/>
      <c r="NT19" s="82"/>
      <c r="NU19" s="82"/>
      <c r="NV19" s="82"/>
      <c r="NW19" s="82"/>
      <c r="NX19" s="82"/>
      <c r="NY19" s="82"/>
      <c r="NZ19" s="82"/>
      <c r="OA19" s="82"/>
      <c r="OB19" s="80"/>
      <c r="OC19" s="53"/>
      <c r="OD19" s="53"/>
      <c r="OE19" s="53"/>
      <c r="OF19" s="53"/>
      <c r="OG19" s="84"/>
      <c r="OH19" s="52"/>
      <c r="OI19" s="53"/>
      <c r="OJ19" s="53"/>
      <c r="OK19" s="53"/>
      <c r="OL19" s="82"/>
      <c r="OM19" s="82"/>
      <c r="ON19" s="82"/>
      <c r="OO19" s="82"/>
      <c r="OP19" s="82"/>
      <c r="OQ19" s="82"/>
      <c r="OR19" s="82"/>
      <c r="OS19" s="82"/>
      <c r="OT19" s="82"/>
      <c r="OU19" s="82"/>
      <c r="OV19" s="80"/>
      <c r="OW19" s="53"/>
      <c r="OX19" s="53"/>
      <c r="OY19" s="53"/>
      <c r="OZ19" s="53"/>
      <c r="PA19" s="84"/>
      <c r="PB19" s="52"/>
      <c r="PC19" s="53"/>
      <c r="PD19" s="53"/>
      <c r="PE19" s="53"/>
      <c r="PF19" s="82"/>
      <c r="PG19" s="82"/>
      <c r="PH19" s="82"/>
      <c r="PI19" s="82"/>
      <c r="PJ19" s="82"/>
      <c r="PK19" s="82"/>
      <c r="PL19" s="82"/>
      <c r="PM19" s="82"/>
      <c r="PN19" s="82"/>
      <c r="PO19" s="82"/>
      <c r="PP19" s="80"/>
      <c r="PQ19" s="53"/>
      <c r="PR19" s="53"/>
      <c r="PS19" s="53"/>
      <c r="PT19" s="53"/>
      <c r="PU19" s="84"/>
      <c r="PV19" s="52"/>
      <c r="PW19" s="53"/>
      <c r="PX19" s="53"/>
      <c r="PY19" s="53"/>
      <c r="PZ19" s="82"/>
      <c r="QA19" s="82"/>
      <c r="QB19" s="82"/>
      <c r="QC19" s="82"/>
      <c r="QD19" s="82"/>
      <c r="QE19" s="82"/>
      <c r="QF19" s="82"/>
      <c r="QG19" s="82"/>
      <c r="QH19" s="82"/>
      <c r="QI19" s="82"/>
      <c r="QJ19" s="80"/>
      <c r="QK19" s="53"/>
      <c r="QL19" s="53"/>
      <c r="QM19" s="53"/>
      <c r="QN19" s="53"/>
      <c r="QO19" s="84"/>
      <c r="QP19" s="52"/>
      <c r="QQ19" s="53"/>
      <c r="QR19" s="53"/>
      <c r="QS19" s="53"/>
      <c r="QT19" s="82"/>
      <c r="QU19" s="82"/>
      <c r="QV19" s="82"/>
      <c r="QW19" s="82"/>
      <c r="QX19" s="82"/>
      <c r="QY19" s="82"/>
      <c r="QZ19" s="82"/>
      <c r="RA19" s="82"/>
      <c r="RB19" s="82"/>
      <c r="RC19" s="82"/>
      <c r="RD19" s="80"/>
      <c r="RE19" s="53"/>
      <c r="RF19" s="53"/>
      <c r="RG19" s="53"/>
      <c r="RH19" s="53"/>
      <c r="RI19" s="84"/>
      <c r="RJ19" s="52"/>
      <c r="RK19" s="53"/>
      <c r="RL19" s="53"/>
      <c r="RM19" s="53"/>
      <c r="RN19" s="82"/>
      <c r="RO19" s="82"/>
      <c r="RP19" s="82"/>
      <c r="RQ19" s="82"/>
      <c r="RR19" s="82"/>
      <c r="RS19" s="82"/>
      <c r="RT19" s="82"/>
      <c r="RU19" s="82"/>
      <c r="RV19" s="82"/>
      <c r="RW19" s="82"/>
      <c r="RX19" s="80"/>
      <c r="RY19" s="53"/>
      <c r="RZ19" s="53"/>
      <c r="SA19" s="53"/>
      <c r="SB19" s="53"/>
      <c r="SC19" s="84"/>
      <c r="SD19" s="52"/>
      <c r="SE19" s="53"/>
      <c r="SF19" s="53"/>
      <c r="SG19" s="53"/>
    </row>
    <row r="20" spans="1:501" s="44" customFormat="1" ht="20.399999999999999" customHeight="1" x14ac:dyDescent="0.3">
      <c r="A20" s="125" t="s">
        <v>134</v>
      </c>
      <c r="B20" s="125" t="s">
        <v>68</v>
      </c>
      <c r="C20" s="125" t="s">
        <v>331</v>
      </c>
      <c r="D20" s="12" t="s">
        <v>315</v>
      </c>
      <c r="E20" s="83" t="s">
        <v>332</v>
      </c>
      <c r="F20" s="12" t="s">
        <v>333</v>
      </c>
      <c r="G20" s="83" t="s">
        <v>334</v>
      </c>
      <c r="H20" s="83" t="s">
        <v>335</v>
      </c>
      <c r="I20" s="110" t="s">
        <v>315</v>
      </c>
      <c r="J20" s="72"/>
      <c r="K20" s="72"/>
      <c r="L20" s="12" t="s">
        <v>68</v>
      </c>
      <c r="M20" s="125" t="s">
        <v>331</v>
      </c>
      <c r="N20" s="12" t="s">
        <v>315</v>
      </c>
      <c r="O20" s="83" t="s">
        <v>332</v>
      </c>
      <c r="P20" s="12" t="s">
        <v>333</v>
      </c>
      <c r="Q20" s="110" t="s">
        <v>334</v>
      </c>
      <c r="R20" s="83" t="s">
        <v>335</v>
      </c>
      <c r="S20" s="83" t="s">
        <v>315</v>
      </c>
      <c r="T20" s="72"/>
      <c r="U20" s="78"/>
      <c r="V20" s="12" t="s">
        <v>68</v>
      </c>
      <c r="W20" s="125" t="s">
        <v>331</v>
      </c>
      <c r="X20" s="12" t="s">
        <v>315</v>
      </c>
      <c r="Y20" s="83" t="s">
        <v>332</v>
      </c>
      <c r="Z20" s="12" t="s">
        <v>333</v>
      </c>
      <c r="AA20" s="83" t="s">
        <v>334</v>
      </c>
      <c r="AB20" s="83" t="s">
        <v>335</v>
      </c>
      <c r="AC20" s="83" t="s">
        <v>315</v>
      </c>
      <c r="AD20" s="83"/>
      <c r="AE20" s="83"/>
      <c r="AF20" s="12" t="s">
        <v>68</v>
      </c>
      <c r="AG20" s="125" t="s">
        <v>331</v>
      </c>
      <c r="AH20" s="12" t="s">
        <v>315</v>
      </c>
      <c r="AI20" s="83" t="s">
        <v>332</v>
      </c>
      <c r="AJ20" s="83" t="s">
        <v>408</v>
      </c>
      <c r="AK20" s="83" t="s">
        <v>334</v>
      </c>
      <c r="AL20" s="83" t="s">
        <v>335</v>
      </c>
      <c r="AM20" s="83" t="s">
        <v>315</v>
      </c>
      <c r="AN20" s="46"/>
      <c r="AO20" s="46"/>
      <c r="AP20" s="12" t="s">
        <v>68</v>
      </c>
      <c r="AQ20" s="125" t="s">
        <v>331</v>
      </c>
      <c r="AR20" s="12" t="s">
        <v>315</v>
      </c>
      <c r="AS20" s="83" t="s">
        <v>332</v>
      </c>
      <c r="AT20" s="83" t="s">
        <v>408</v>
      </c>
      <c r="AU20" s="83" t="s">
        <v>334</v>
      </c>
      <c r="AV20" s="83" t="s">
        <v>335</v>
      </c>
      <c r="AW20" s="83" t="s">
        <v>315</v>
      </c>
      <c r="AX20" s="83"/>
      <c r="AY20" s="83"/>
      <c r="AZ20" s="12" t="s">
        <v>68</v>
      </c>
      <c r="BA20" s="125" t="s">
        <v>331</v>
      </c>
      <c r="BB20" s="12" t="s">
        <v>315</v>
      </c>
      <c r="BC20" s="83" t="s">
        <v>332</v>
      </c>
      <c r="BD20" s="83" t="s">
        <v>408</v>
      </c>
      <c r="BE20" s="83" t="s">
        <v>334</v>
      </c>
      <c r="BF20" s="83" t="s">
        <v>335</v>
      </c>
      <c r="BG20" s="83" t="s">
        <v>315</v>
      </c>
      <c r="BH20" s="46"/>
      <c r="BI20" s="46"/>
      <c r="BJ20" s="12" t="s">
        <v>68</v>
      </c>
      <c r="BK20" s="125" t="s">
        <v>331</v>
      </c>
      <c r="BL20" s="12" t="s">
        <v>315</v>
      </c>
      <c r="BM20" s="83" t="s">
        <v>332</v>
      </c>
      <c r="BN20" s="83" t="s">
        <v>408</v>
      </c>
      <c r="BO20" s="83" t="s">
        <v>334</v>
      </c>
      <c r="BP20" s="83" t="s">
        <v>335</v>
      </c>
      <c r="BQ20" s="83" t="s">
        <v>315</v>
      </c>
      <c r="BR20" s="83"/>
      <c r="BS20" s="83"/>
      <c r="BT20" s="12" t="s">
        <v>68</v>
      </c>
      <c r="BU20" s="125" t="s">
        <v>331</v>
      </c>
      <c r="BV20" s="12" t="s">
        <v>315</v>
      </c>
      <c r="BW20" s="83" t="s">
        <v>332</v>
      </c>
      <c r="BX20" s="83" t="s">
        <v>408</v>
      </c>
      <c r="BY20" s="83" t="s">
        <v>334</v>
      </c>
      <c r="BZ20" s="83" t="s">
        <v>335</v>
      </c>
      <c r="CA20" s="83" t="s">
        <v>315</v>
      </c>
      <c r="CB20" s="46"/>
      <c r="CC20" s="46"/>
      <c r="CD20" s="12" t="s">
        <v>68</v>
      </c>
      <c r="CE20" s="125" t="s">
        <v>331</v>
      </c>
      <c r="CF20" s="12" t="s">
        <v>315</v>
      </c>
      <c r="CG20" s="83" t="s">
        <v>332</v>
      </c>
      <c r="CH20" s="83" t="s">
        <v>408</v>
      </c>
      <c r="CI20" s="83" t="s">
        <v>334</v>
      </c>
      <c r="CJ20" s="83" t="s">
        <v>335</v>
      </c>
      <c r="CK20" s="83" t="s">
        <v>315</v>
      </c>
      <c r="CL20" s="83"/>
      <c r="CM20" s="83"/>
      <c r="CN20" s="81" t="s">
        <v>69</v>
      </c>
      <c r="CO20" s="46" t="s">
        <v>318</v>
      </c>
      <c r="CP20" s="46" t="s">
        <v>315</v>
      </c>
      <c r="CQ20" s="46" t="s">
        <v>336</v>
      </c>
      <c r="CR20" s="46" t="s">
        <v>321</v>
      </c>
      <c r="CS20" s="194" t="s">
        <v>318</v>
      </c>
      <c r="CT20" s="41" t="s">
        <v>391</v>
      </c>
      <c r="CU20" s="46" t="s">
        <v>426</v>
      </c>
      <c r="CV20" s="46"/>
      <c r="CW20" s="46"/>
      <c r="CX20" s="83" t="s">
        <v>69</v>
      </c>
      <c r="CY20" s="83" t="s">
        <v>318</v>
      </c>
      <c r="CZ20" s="83" t="s">
        <v>315</v>
      </c>
      <c r="DA20" s="46" t="s">
        <v>336</v>
      </c>
      <c r="DB20" s="46" t="s">
        <v>321</v>
      </c>
      <c r="DC20" s="194" t="s">
        <v>318</v>
      </c>
      <c r="DD20" s="41" t="s">
        <v>391</v>
      </c>
      <c r="DE20" s="46" t="s">
        <v>426</v>
      </c>
      <c r="DF20" s="83"/>
      <c r="DG20" s="83"/>
      <c r="DH20" s="83" t="s">
        <v>69</v>
      </c>
      <c r="DI20" s="110" t="s">
        <v>318</v>
      </c>
      <c r="DJ20" s="83" t="s">
        <v>315</v>
      </c>
      <c r="DK20" s="46" t="s">
        <v>336</v>
      </c>
      <c r="DL20" s="46" t="s">
        <v>321</v>
      </c>
      <c r="DM20" s="194" t="s">
        <v>318</v>
      </c>
      <c r="DN20" s="41" t="s">
        <v>391</v>
      </c>
      <c r="DO20" s="46" t="s">
        <v>426</v>
      </c>
      <c r="DP20" s="46"/>
      <c r="DQ20" s="46"/>
      <c r="DR20" s="83" t="s">
        <v>69</v>
      </c>
      <c r="DS20" s="83" t="s">
        <v>318</v>
      </c>
      <c r="DT20" s="83" t="s">
        <v>315</v>
      </c>
      <c r="DU20" s="46" t="s">
        <v>336</v>
      </c>
      <c r="DV20" s="46" t="s">
        <v>321</v>
      </c>
      <c r="DW20" s="194" t="s">
        <v>318</v>
      </c>
      <c r="DX20" s="41" t="s">
        <v>391</v>
      </c>
      <c r="DY20" s="46" t="s">
        <v>426</v>
      </c>
      <c r="DZ20" s="83"/>
      <c r="EA20" s="83"/>
      <c r="EB20" s="83" t="s">
        <v>69</v>
      </c>
      <c r="EC20" s="83" t="s">
        <v>318</v>
      </c>
      <c r="ED20" s="83" t="s">
        <v>315</v>
      </c>
      <c r="EE20" s="46" t="s">
        <v>336</v>
      </c>
      <c r="EF20" s="46" t="s">
        <v>321</v>
      </c>
      <c r="EG20" s="194" t="s">
        <v>318</v>
      </c>
      <c r="EH20" s="41" t="s">
        <v>391</v>
      </c>
      <c r="EI20" s="46" t="s">
        <v>426</v>
      </c>
      <c r="EJ20" s="46"/>
      <c r="EK20" s="46"/>
      <c r="EL20" s="83" t="s">
        <v>313</v>
      </c>
      <c r="EM20" s="83" t="s">
        <v>318</v>
      </c>
      <c r="EN20" s="83" t="s">
        <v>315</v>
      </c>
      <c r="EO20" s="46" t="s">
        <v>336</v>
      </c>
      <c r="EP20" s="46" t="s">
        <v>317</v>
      </c>
      <c r="EQ20" s="85" t="s">
        <v>318</v>
      </c>
      <c r="ER20" s="41" t="s">
        <v>337</v>
      </c>
      <c r="ES20" s="46" t="s">
        <v>315</v>
      </c>
      <c r="ET20" s="83"/>
      <c r="EU20" s="83"/>
      <c r="EV20" s="83" t="s">
        <v>313</v>
      </c>
      <c r="EW20" s="83" t="s">
        <v>318</v>
      </c>
      <c r="EX20" s="83" t="s">
        <v>315</v>
      </c>
      <c r="EY20" s="46" t="s">
        <v>336</v>
      </c>
      <c r="EZ20" s="46" t="s">
        <v>317</v>
      </c>
      <c r="FA20" s="85" t="s">
        <v>318</v>
      </c>
      <c r="FB20" s="41" t="s">
        <v>337</v>
      </c>
      <c r="FC20" s="46" t="s">
        <v>315</v>
      </c>
      <c r="FD20" s="46"/>
      <c r="FE20" s="46"/>
      <c r="FF20" s="83" t="s">
        <v>313</v>
      </c>
      <c r="FG20" s="83" t="s">
        <v>318</v>
      </c>
      <c r="FH20" s="83" t="s">
        <v>315</v>
      </c>
      <c r="FI20" s="46" t="s">
        <v>336</v>
      </c>
      <c r="FJ20" s="46" t="s">
        <v>317</v>
      </c>
      <c r="FK20" s="85" t="s">
        <v>318</v>
      </c>
      <c r="FL20" s="41" t="s">
        <v>337</v>
      </c>
      <c r="FM20" s="46" t="s">
        <v>315</v>
      </c>
      <c r="FN20" s="83"/>
      <c r="FO20" s="83"/>
      <c r="FP20" s="83" t="s">
        <v>313</v>
      </c>
      <c r="FQ20" s="83" t="s">
        <v>318</v>
      </c>
      <c r="FR20" s="83" t="s">
        <v>315</v>
      </c>
      <c r="FS20" s="46" t="s">
        <v>336</v>
      </c>
      <c r="FT20" s="46" t="s">
        <v>317</v>
      </c>
      <c r="FU20" s="85" t="s">
        <v>318</v>
      </c>
      <c r="FV20" s="41" t="s">
        <v>337</v>
      </c>
      <c r="FW20" s="46" t="s">
        <v>315</v>
      </c>
      <c r="FX20" s="46"/>
      <c r="FY20" s="46"/>
      <c r="FZ20" s="83" t="s">
        <v>313</v>
      </c>
      <c r="GA20" s="83" t="s">
        <v>318</v>
      </c>
      <c r="GB20" s="83" t="s">
        <v>315</v>
      </c>
      <c r="GC20" s="46" t="s">
        <v>336</v>
      </c>
      <c r="GD20" s="46" t="s">
        <v>317</v>
      </c>
      <c r="GE20" s="85" t="s">
        <v>318</v>
      </c>
      <c r="GF20" s="41" t="s">
        <v>337</v>
      </c>
      <c r="GG20" s="46" t="s">
        <v>315</v>
      </c>
      <c r="GH20" s="83"/>
      <c r="GI20" s="83"/>
      <c r="GJ20" s="83" t="s">
        <v>313</v>
      </c>
      <c r="GK20" s="83" t="s">
        <v>318</v>
      </c>
      <c r="GL20" s="83" t="s">
        <v>315</v>
      </c>
      <c r="GM20" s="46" t="s">
        <v>336</v>
      </c>
      <c r="GN20" s="46" t="s">
        <v>317</v>
      </c>
      <c r="GO20" s="85" t="s">
        <v>318</v>
      </c>
      <c r="GP20" s="41" t="s">
        <v>337</v>
      </c>
      <c r="GQ20" s="46" t="s">
        <v>315</v>
      </c>
      <c r="GR20" s="46"/>
      <c r="GS20" s="46"/>
      <c r="GT20" s="83" t="s">
        <v>313</v>
      </c>
      <c r="GU20" s="83" t="s">
        <v>318</v>
      </c>
      <c r="GV20" s="83" t="s">
        <v>315</v>
      </c>
      <c r="GW20" s="46" t="s">
        <v>336</v>
      </c>
      <c r="GX20" s="46" t="s">
        <v>317</v>
      </c>
      <c r="GY20" s="85" t="s">
        <v>318</v>
      </c>
      <c r="GZ20" s="41" t="s">
        <v>337</v>
      </c>
      <c r="HA20" s="46" t="s">
        <v>315</v>
      </c>
      <c r="HB20" s="83"/>
      <c r="HC20" s="83"/>
      <c r="HD20" s="83" t="s">
        <v>313</v>
      </c>
      <c r="HE20" s="83" t="s">
        <v>318</v>
      </c>
      <c r="HF20" s="83" t="s">
        <v>315</v>
      </c>
      <c r="HG20" s="46" t="s">
        <v>336</v>
      </c>
      <c r="HH20" s="46" t="s">
        <v>317</v>
      </c>
      <c r="HI20" s="85" t="s">
        <v>318</v>
      </c>
      <c r="HJ20" s="41" t="s">
        <v>337</v>
      </c>
      <c r="HK20" s="46" t="s">
        <v>315</v>
      </c>
      <c r="HL20" s="46"/>
      <c r="HM20" s="46"/>
      <c r="HN20" s="83" t="s">
        <v>373</v>
      </c>
      <c r="HO20" s="110" t="s">
        <v>331</v>
      </c>
      <c r="HP20" s="83" t="s">
        <v>427</v>
      </c>
      <c r="HQ20" s="83" t="s">
        <v>332</v>
      </c>
      <c r="HR20" s="83" t="s">
        <v>408</v>
      </c>
      <c r="HS20" s="83" t="s">
        <v>409</v>
      </c>
      <c r="HT20" s="83" t="s">
        <v>410</v>
      </c>
      <c r="HU20" s="83" t="s">
        <v>428</v>
      </c>
      <c r="HV20" s="83"/>
      <c r="HW20" s="83"/>
      <c r="HX20" s="83" t="s">
        <v>373</v>
      </c>
      <c r="HY20" s="110" t="s">
        <v>331</v>
      </c>
      <c r="HZ20" s="46" t="s">
        <v>429</v>
      </c>
      <c r="IA20" s="83" t="s">
        <v>332</v>
      </c>
      <c r="IB20" s="83" t="s">
        <v>408</v>
      </c>
      <c r="IC20" s="83" t="s">
        <v>409</v>
      </c>
      <c r="ID20" s="83" t="s">
        <v>410</v>
      </c>
      <c r="IE20" s="46" t="s">
        <v>430</v>
      </c>
      <c r="IF20" s="46"/>
      <c r="IG20" s="46"/>
      <c r="IH20" s="83" t="s">
        <v>373</v>
      </c>
      <c r="II20" s="110" t="s">
        <v>331</v>
      </c>
      <c r="IJ20" s="83" t="s">
        <v>431</v>
      </c>
      <c r="IK20" s="83" t="s">
        <v>332</v>
      </c>
      <c r="IL20" s="83" t="s">
        <v>408</v>
      </c>
      <c r="IM20" s="83" t="s">
        <v>409</v>
      </c>
      <c r="IN20" s="83" t="s">
        <v>410</v>
      </c>
      <c r="IO20" s="83" t="s">
        <v>432</v>
      </c>
      <c r="IP20" s="83"/>
      <c r="IQ20" s="83"/>
      <c r="IR20" s="83" t="s">
        <v>373</v>
      </c>
      <c r="IS20" s="110" t="s">
        <v>331</v>
      </c>
      <c r="IT20" s="46" t="s">
        <v>433</v>
      </c>
      <c r="IU20" s="83" t="s">
        <v>332</v>
      </c>
      <c r="IV20" s="83" t="s">
        <v>408</v>
      </c>
      <c r="IW20" s="83" t="s">
        <v>409</v>
      </c>
      <c r="IX20" s="83" t="s">
        <v>410</v>
      </c>
      <c r="IY20" s="46" t="s">
        <v>434</v>
      </c>
      <c r="IZ20" s="46"/>
      <c r="JA20" s="46"/>
      <c r="JB20" s="83" t="s">
        <v>373</v>
      </c>
      <c r="JC20" s="110" t="s">
        <v>331</v>
      </c>
      <c r="JD20" s="83" t="s">
        <v>435</v>
      </c>
      <c r="JE20" s="83" t="s">
        <v>332</v>
      </c>
      <c r="JF20" s="83" t="s">
        <v>408</v>
      </c>
      <c r="JG20" s="83" t="s">
        <v>409</v>
      </c>
      <c r="JH20" s="83" t="s">
        <v>410</v>
      </c>
      <c r="JI20" s="83" t="s">
        <v>436</v>
      </c>
      <c r="JJ20" s="83"/>
      <c r="JK20" s="83"/>
      <c r="JL20" s="81" t="s">
        <v>413</v>
      </c>
      <c r="JM20" s="107" t="s">
        <v>331</v>
      </c>
      <c r="JN20" s="46" t="s">
        <v>437</v>
      </c>
      <c r="JO20" s="46" t="s">
        <v>415</v>
      </c>
      <c r="JP20" s="46" t="s">
        <v>333</v>
      </c>
      <c r="JQ20" s="85" t="s">
        <v>409</v>
      </c>
      <c r="JR20" s="41" t="s">
        <v>416</v>
      </c>
      <c r="JS20" s="46" t="s">
        <v>438</v>
      </c>
      <c r="JT20" s="46"/>
      <c r="JU20" s="46"/>
      <c r="JV20" s="83" t="s">
        <v>71</v>
      </c>
      <c r="JW20" s="83" t="s">
        <v>318</v>
      </c>
      <c r="JX20" s="83" t="s">
        <v>439</v>
      </c>
      <c r="JY20" s="83" t="s">
        <v>336</v>
      </c>
      <c r="JZ20" s="83" t="s">
        <v>321</v>
      </c>
      <c r="KA20" s="83" t="s">
        <v>318</v>
      </c>
      <c r="KB20" s="83" t="s">
        <v>71</v>
      </c>
      <c r="KC20" s="83" t="s">
        <v>440</v>
      </c>
      <c r="KD20" s="83"/>
      <c r="KE20" s="83"/>
      <c r="KF20" s="81" t="s">
        <v>441</v>
      </c>
      <c r="KG20" s="46" t="s">
        <v>442</v>
      </c>
      <c r="KH20" s="46" t="s">
        <v>443</v>
      </c>
      <c r="KI20" s="46" t="s">
        <v>332</v>
      </c>
      <c r="KJ20" s="46" t="s">
        <v>333</v>
      </c>
      <c r="KK20" s="194" t="s">
        <v>360</v>
      </c>
      <c r="KL20" s="41" t="s">
        <v>362</v>
      </c>
      <c r="KM20" s="107" t="s">
        <v>444</v>
      </c>
      <c r="KN20" s="46"/>
      <c r="KO20" s="46"/>
      <c r="KP20" s="83" t="s">
        <v>441</v>
      </c>
      <c r="KQ20" s="110" t="s">
        <v>442</v>
      </c>
      <c r="KR20" s="83" t="s">
        <v>445</v>
      </c>
      <c r="KS20" s="46" t="s">
        <v>332</v>
      </c>
      <c r="KT20" s="46" t="s">
        <v>333</v>
      </c>
      <c r="KU20" s="194" t="s">
        <v>360</v>
      </c>
      <c r="KV20" s="41" t="s">
        <v>362</v>
      </c>
      <c r="KW20" s="110" t="s">
        <v>446</v>
      </c>
      <c r="KX20" s="83"/>
      <c r="KY20" s="83"/>
      <c r="KZ20" s="81" t="s">
        <v>418</v>
      </c>
      <c r="LA20" s="107" t="s">
        <v>419</v>
      </c>
      <c r="LB20" s="107" t="s">
        <v>447</v>
      </c>
      <c r="LC20" s="46" t="s">
        <v>351</v>
      </c>
      <c r="LD20" s="46" t="s">
        <v>421</v>
      </c>
      <c r="LE20" s="194" t="s">
        <v>329</v>
      </c>
      <c r="LF20" s="41" t="s">
        <v>422</v>
      </c>
      <c r="LG20" s="46">
        <v>1415050</v>
      </c>
      <c r="LH20" s="46"/>
      <c r="LI20" s="46"/>
      <c r="LJ20" s="83"/>
      <c r="LK20" s="83"/>
      <c r="LL20" s="83"/>
      <c r="LM20" s="83"/>
      <c r="LN20" s="83"/>
      <c r="LO20" s="83"/>
      <c r="LP20" s="83"/>
      <c r="LQ20" s="83"/>
      <c r="LR20" s="83"/>
      <c r="LS20" s="83"/>
      <c r="LT20" s="81"/>
      <c r="LU20" s="46"/>
      <c r="LV20" s="46"/>
      <c r="LW20" s="46"/>
      <c r="LX20" s="46"/>
      <c r="LY20" s="85"/>
      <c r="LZ20" s="41"/>
      <c r="MA20" s="46"/>
      <c r="MB20" s="46"/>
      <c r="MC20" s="46"/>
      <c r="MD20" s="83"/>
      <c r="ME20" s="83"/>
      <c r="MF20" s="83"/>
      <c r="MG20" s="83"/>
      <c r="MH20" s="83"/>
      <c r="MI20" s="83"/>
      <c r="MJ20" s="83"/>
      <c r="MK20" s="83"/>
      <c r="ML20" s="83"/>
      <c r="MM20" s="83"/>
      <c r="MN20" s="81"/>
      <c r="MO20" s="46"/>
      <c r="MP20" s="46"/>
      <c r="MQ20" s="46"/>
      <c r="MR20" s="46"/>
      <c r="MS20" s="85"/>
      <c r="MT20" s="41"/>
      <c r="MU20" s="46"/>
      <c r="MV20" s="46"/>
      <c r="MW20" s="46"/>
      <c r="MX20" s="83"/>
      <c r="MY20" s="83"/>
      <c r="MZ20" s="83"/>
      <c r="NA20" s="83"/>
      <c r="NB20" s="83"/>
      <c r="NC20" s="83"/>
      <c r="ND20" s="83"/>
      <c r="NE20" s="83"/>
      <c r="NF20" s="83"/>
      <c r="NG20" s="83"/>
      <c r="NH20" s="81"/>
      <c r="NI20" s="46"/>
      <c r="NJ20" s="46"/>
      <c r="NK20" s="46"/>
      <c r="NL20" s="46"/>
      <c r="NM20" s="85"/>
      <c r="NN20" s="41"/>
      <c r="NO20" s="46"/>
      <c r="NP20" s="46"/>
      <c r="NQ20" s="46"/>
      <c r="NR20" s="83"/>
      <c r="NS20" s="83"/>
      <c r="NT20" s="83"/>
      <c r="NU20" s="83"/>
      <c r="NV20" s="83"/>
      <c r="NW20" s="83"/>
      <c r="NX20" s="83"/>
      <c r="NY20" s="83"/>
      <c r="NZ20" s="83"/>
      <c r="OA20" s="83"/>
      <c r="OB20" s="81"/>
      <c r="OC20" s="46"/>
      <c r="OD20" s="46"/>
      <c r="OE20" s="46"/>
      <c r="OF20" s="46"/>
      <c r="OG20" s="85"/>
      <c r="OH20" s="41"/>
      <c r="OI20" s="46"/>
      <c r="OJ20" s="46"/>
      <c r="OK20" s="46"/>
      <c r="OL20" s="83"/>
      <c r="OM20" s="83"/>
      <c r="ON20" s="83"/>
      <c r="OO20" s="83"/>
      <c r="OP20" s="83"/>
      <c r="OQ20" s="83"/>
      <c r="OR20" s="83"/>
      <c r="OS20" s="83"/>
      <c r="OT20" s="83"/>
      <c r="OU20" s="83"/>
      <c r="OV20" s="81"/>
      <c r="OW20" s="46"/>
      <c r="OX20" s="46"/>
      <c r="OY20" s="46"/>
      <c r="OZ20" s="46"/>
      <c r="PA20" s="85"/>
      <c r="PB20" s="41"/>
      <c r="PC20" s="46"/>
      <c r="PD20" s="46"/>
      <c r="PE20" s="46"/>
      <c r="PF20" s="83"/>
      <c r="PG20" s="83"/>
      <c r="PH20" s="83"/>
      <c r="PI20" s="83"/>
      <c r="PJ20" s="83"/>
      <c r="PK20" s="83"/>
      <c r="PL20" s="83"/>
      <c r="PM20" s="83"/>
      <c r="PN20" s="83"/>
      <c r="PO20" s="83"/>
      <c r="PP20" s="81"/>
      <c r="PQ20" s="46"/>
      <c r="PR20" s="46"/>
      <c r="PS20" s="46"/>
      <c r="PT20" s="46"/>
      <c r="PU20" s="85"/>
      <c r="PV20" s="41"/>
      <c r="PW20" s="46"/>
      <c r="PX20" s="46"/>
      <c r="PY20" s="46"/>
      <c r="PZ20" s="83"/>
      <c r="QA20" s="83"/>
      <c r="QB20" s="83"/>
      <c r="QC20" s="83"/>
      <c r="QD20" s="83"/>
      <c r="QE20" s="83"/>
      <c r="QF20" s="83"/>
      <c r="QG20" s="83"/>
      <c r="QH20" s="83"/>
      <c r="QI20" s="83"/>
      <c r="QJ20" s="81"/>
      <c r="QK20" s="46"/>
      <c r="QL20" s="46"/>
      <c r="QM20" s="46"/>
      <c r="QN20" s="46"/>
      <c r="QO20" s="85"/>
      <c r="QP20" s="41"/>
      <c r="QQ20" s="46"/>
      <c r="QR20" s="46"/>
      <c r="QS20" s="46"/>
      <c r="QT20" s="83"/>
      <c r="QU20" s="83"/>
      <c r="QV20" s="83"/>
      <c r="QW20" s="83"/>
      <c r="QX20" s="83"/>
      <c r="QY20" s="83"/>
      <c r="QZ20" s="83"/>
      <c r="RA20" s="83"/>
      <c r="RB20" s="83"/>
      <c r="RC20" s="83"/>
      <c r="RD20" s="81"/>
      <c r="RE20" s="46"/>
      <c r="RF20" s="46"/>
      <c r="RG20" s="46"/>
      <c r="RH20" s="46"/>
      <c r="RI20" s="85"/>
      <c r="RJ20" s="41"/>
      <c r="RK20" s="46"/>
      <c r="RL20" s="46"/>
      <c r="RM20" s="46"/>
      <c r="RN20" s="83"/>
      <c r="RO20" s="83"/>
      <c r="RP20" s="83"/>
      <c r="RQ20" s="83"/>
      <c r="RR20" s="83"/>
      <c r="RS20" s="83"/>
      <c r="RT20" s="83"/>
      <c r="RU20" s="83"/>
      <c r="RV20" s="83"/>
      <c r="RW20" s="83"/>
      <c r="RX20" s="81"/>
      <c r="RY20" s="46"/>
      <c r="RZ20" s="46"/>
      <c r="SA20" s="46"/>
      <c r="SB20" s="46"/>
      <c r="SC20" s="85"/>
      <c r="SD20" s="41"/>
      <c r="SE20" s="46"/>
      <c r="SF20" s="46"/>
      <c r="SG20" s="46"/>
    </row>
    <row r="21" spans="1:501" s="44" customFormat="1" ht="20.399999999999999" customHeight="1" x14ac:dyDescent="0.3">
      <c r="A21" s="66" t="s">
        <v>163</v>
      </c>
      <c r="B21" s="66" t="s">
        <v>71</v>
      </c>
      <c r="C21" s="66" t="s">
        <v>314</v>
      </c>
      <c r="D21" s="49" t="s">
        <v>315</v>
      </c>
      <c r="E21" s="49" t="s">
        <v>316</v>
      </c>
      <c r="F21" s="49" t="s">
        <v>321</v>
      </c>
      <c r="G21" s="70" t="s">
        <v>318</v>
      </c>
      <c r="H21" s="70" t="s">
        <v>322</v>
      </c>
      <c r="I21" s="206" t="s">
        <v>315</v>
      </c>
      <c r="J21" s="70"/>
      <c r="K21" s="70"/>
      <c r="L21" s="66" t="s">
        <v>71</v>
      </c>
      <c r="M21" s="66" t="s">
        <v>314</v>
      </c>
      <c r="N21" s="49" t="s">
        <v>315</v>
      </c>
      <c r="O21" s="49" t="s">
        <v>316</v>
      </c>
      <c r="P21" s="49" t="s">
        <v>321</v>
      </c>
      <c r="Q21" s="70" t="s">
        <v>318</v>
      </c>
      <c r="R21" s="70" t="s">
        <v>322</v>
      </c>
      <c r="S21" s="206" t="s">
        <v>315</v>
      </c>
      <c r="T21" s="70"/>
      <c r="U21" s="77"/>
      <c r="V21" s="82"/>
      <c r="W21" s="82"/>
      <c r="X21" s="82"/>
      <c r="Y21" s="82"/>
      <c r="Z21" s="82"/>
      <c r="AA21" s="82"/>
      <c r="AB21" s="82"/>
      <c r="AC21" s="82"/>
      <c r="AD21" s="82"/>
      <c r="AE21" s="82"/>
      <c r="AF21" s="80"/>
      <c r="AG21" s="53"/>
      <c r="AH21" s="53"/>
      <c r="AI21" s="53"/>
      <c r="AJ21" s="53"/>
      <c r="AK21" s="84"/>
      <c r="AL21" s="52"/>
      <c r="AM21" s="53"/>
      <c r="AN21" s="53"/>
      <c r="AO21" s="53"/>
      <c r="AP21" s="82"/>
      <c r="AQ21" s="82"/>
      <c r="AR21" s="82"/>
      <c r="AS21" s="82"/>
      <c r="AT21" s="82"/>
      <c r="AU21" s="82"/>
      <c r="AV21" s="82"/>
      <c r="AW21" s="82"/>
      <c r="AX21" s="82"/>
      <c r="AY21" s="82"/>
      <c r="AZ21" s="80"/>
      <c r="BA21" s="53"/>
      <c r="BB21" s="53"/>
      <c r="BC21" s="53"/>
      <c r="BD21" s="53"/>
      <c r="BE21" s="84"/>
      <c r="BF21" s="52"/>
      <c r="BG21" s="53"/>
      <c r="BH21" s="53"/>
      <c r="BI21" s="53"/>
      <c r="BJ21" s="82"/>
      <c r="BK21" s="82"/>
      <c r="BL21" s="82"/>
      <c r="BM21" s="82"/>
      <c r="BN21" s="82"/>
      <c r="BO21" s="82"/>
      <c r="BP21" s="82"/>
      <c r="BQ21" s="82"/>
      <c r="BR21" s="82"/>
      <c r="BS21" s="82"/>
      <c r="BT21" s="80"/>
      <c r="BU21" s="53"/>
      <c r="BV21" s="53"/>
      <c r="BW21" s="53"/>
      <c r="BX21" s="53"/>
      <c r="BY21" s="84"/>
      <c r="BZ21" s="52"/>
      <c r="CA21" s="53"/>
      <c r="CB21" s="53"/>
      <c r="CC21" s="53"/>
      <c r="CD21" s="82"/>
      <c r="CE21" s="82"/>
      <c r="CF21" s="82"/>
      <c r="CG21" s="82"/>
      <c r="CH21" s="82"/>
      <c r="CI21" s="82"/>
      <c r="CJ21" s="82"/>
      <c r="CK21" s="82"/>
      <c r="CL21" s="82"/>
      <c r="CM21" s="82"/>
      <c r="CN21" s="80"/>
      <c r="CO21" s="53"/>
      <c r="CP21" s="53"/>
      <c r="CQ21" s="53"/>
      <c r="CR21" s="53"/>
      <c r="CS21" s="84"/>
      <c r="CT21" s="52"/>
      <c r="CU21" s="53"/>
      <c r="CV21" s="53"/>
      <c r="CW21" s="53"/>
      <c r="CX21" s="82"/>
      <c r="CY21" s="82"/>
      <c r="CZ21" s="82"/>
      <c r="DA21" s="82"/>
      <c r="DB21" s="82"/>
      <c r="DC21" s="82"/>
      <c r="DD21" s="82"/>
      <c r="DE21" s="82"/>
      <c r="DF21" s="82"/>
      <c r="DG21" s="82"/>
      <c r="DH21" s="80"/>
      <c r="DI21" s="109"/>
      <c r="DJ21" s="53"/>
      <c r="DK21" s="53"/>
      <c r="DL21" s="53"/>
      <c r="DM21" s="203"/>
      <c r="DN21" s="52"/>
      <c r="DO21" s="53"/>
      <c r="DP21" s="53"/>
      <c r="DQ21" s="53"/>
      <c r="DR21" s="82"/>
      <c r="DS21" s="82"/>
      <c r="DT21" s="82"/>
      <c r="DU21" s="82"/>
      <c r="DV21" s="82"/>
      <c r="DW21" s="82"/>
      <c r="DX21" s="82"/>
      <c r="DY21" s="82"/>
      <c r="DZ21" s="82"/>
      <c r="EA21" s="82"/>
      <c r="EB21" s="80"/>
      <c r="EC21" s="53"/>
      <c r="ED21" s="53"/>
      <c r="EE21" s="53"/>
      <c r="EF21" s="53"/>
      <c r="EG21" s="84"/>
      <c r="EH21" s="52"/>
      <c r="EI21" s="53"/>
      <c r="EJ21" s="53"/>
      <c r="EK21" s="53"/>
      <c r="EL21" s="82"/>
      <c r="EM21" s="82"/>
      <c r="EN21" s="82"/>
      <c r="EO21" s="82"/>
      <c r="EP21" s="82"/>
      <c r="EQ21" s="82"/>
      <c r="ER21" s="82"/>
      <c r="ES21" s="82"/>
      <c r="ET21" s="82"/>
      <c r="EU21" s="82"/>
      <c r="EV21" s="80"/>
      <c r="EW21" s="53"/>
      <c r="EX21" s="53"/>
      <c r="EY21" s="53"/>
      <c r="EZ21" s="53"/>
      <c r="FA21" s="84"/>
      <c r="FB21" s="52"/>
      <c r="FC21" s="53"/>
      <c r="FD21" s="53"/>
      <c r="FE21" s="53"/>
      <c r="FF21" s="82"/>
      <c r="FG21" s="82"/>
      <c r="FH21" s="82"/>
      <c r="FI21" s="82"/>
      <c r="FJ21" s="82"/>
      <c r="FK21" s="82"/>
      <c r="FL21" s="82"/>
      <c r="FM21" s="82"/>
      <c r="FN21" s="82"/>
      <c r="FO21" s="82"/>
      <c r="FP21" s="80"/>
      <c r="FQ21" s="53"/>
      <c r="FR21" s="53"/>
      <c r="FS21" s="53"/>
      <c r="FT21" s="53"/>
      <c r="FU21" s="84"/>
      <c r="FV21" s="52"/>
      <c r="FW21" s="53"/>
      <c r="FX21" s="53"/>
      <c r="FY21" s="53"/>
      <c r="FZ21" s="82"/>
      <c r="GA21" s="82"/>
      <c r="GB21" s="82"/>
      <c r="GC21" s="82"/>
      <c r="GD21" s="82"/>
      <c r="GE21" s="82"/>
      <c r="GF21" s="82"/>
      <c r="GG21" s="82"/>
      <c r="GH21" s="82"/>
      <c r="GI21" s="82"/>
      <c r="GJ21" s="80"/>
      <c r="GK21" s="53"/>
      <c r="GL21" s="53"/>
      <c r="GM21" s="53"/>
      <c r="GN21" s="53"/>
      <c r="GO21" s="84"/>
      <c r="GP21" s="52"/>
      <c r="GQ21" s="53"/>
      <c r="GR21" s="53"/>
      <c r="GS21" s="53"/>
      <c r="GT21" s="82"/>
      <c r="GU21" s="82"/>
      <c r="GV21" s="82"/>
      <c r="GW21" s="82"/>
      <c r="GX21" s="82"/>
      <c r="GY21" s="82"/>
      <c r="GZ21" s="82"/>
      <c r="HA21" s="82"/>
      <c r="HB21" s="82"/>
      <c r="HC21" s="82"/>
      <c r="HD21" s="80"/>
      <c r="HE21" s="53"/>
      <c r="HF21" s="53"/>
      <c r="HG21" s="53"/>
      <c r="HH21" s="53"/>
      <c r="HI21" s="84"/>
      <c r="HJ21" s="52"/>
      <c r="HK21" s="53"/>
      <c r="HL21" s="53"/>
      <c r="HM21" s="53"/>
      <c r="HN21" s="82"/>
      <c r="HO21" s="82"/>
      <c r="HP21" s="82"/>
      <c r="HQ21" s="82"/>
      <c r="HR21" s="82"/>
      <c r="HS21" s="82"/>
      <c r="HT21" s="82"/>
      <c r="HU21" s="82"/>
      <c r="HV21" s="82"/>
      <c r="HW21" s="82"/>
      <c r="HX21" s="80"/>
      <c r="HY21" s="53"/>
      <c r="HZ21" s="53"/>
      <c r="IA21" s="53"/>
      <c r="IB21" s="53"/>
      <c r="IC21" s="84"/>
      <c r="ID21" s="52"/>
      <c r="IE21" s="53"/>
      <c r="IF21" s="53"/>
      <c r="IG21" s="53"/>
      <c r="IH21" s="82"/>
      <c r="II21" s="82"/>
      <c r="IJ21" s="82"/>
      <c r="IK21" s="82"/>
      <c r="IL21" s="82"/>
      <c r="IM21" s="82"/>
      <c r="IN21" s="82"/>
      <c r="IO21" s="82"/>
      <c r="IP21" s="82"/>
      <c r="IQ21" s="82"/>
      <c r="IR21" s="80"/>
      <c r="IS21" s="53"/>
      <c r="IT21" s="53"/>
      <c r="IU21" s="53"/>
      <c r="IV21" s="53"/>
      <c r="IW21" s="84"/>
      <c r="IX21" s="52"/>
      <c r="IY21" s="53"/>
      <c r="IZ21" s="53"/>
      <c r="JA21" s="53"/>
      <c r="JB21" s="82"/>
      <c r="JC21" s="82"/>
      <c r="JD21" s="82"/>
      <c r="JE21" s="82"/>
      <c r="JF21" s="82"/>
      <c r="JG21" s="82"/>
      <c r="JH21" s="82"/>
      <c r="JI21" s="82"/>
      <c r="JJ21" s="82"/>
      <c r="JK21" s="82"/>
      <c r="JL21" s="80"/>
      <c r="JM21" s="53"/>
      <c r="JN21" s="53"/>
      <c r="JO21" s="53"/>
      <c r="JP21" s="53"/>
      <c r="JQ21" s="84"/>
      <c r="JR21" s="52"/>
      <c r="JS21" s="53"/>
      <c r="JT21" s="53"/>
      <c r="JU21" s="53"/>
      <c r="JV21" s="82"/>
      <c r="JW21" s="82"/>
      <c r="JX21" s="82"/>
      <c r="JY21" s="82"/>
      <c r="JZ21" s="82"/>
      <c r="KA21" s="82"/>
      <c r="KB21" s="82"/>
      <c r="KC21" s="82"/>
      <c r="KD21" s="82"/>
      <c r="KE21" s="82"/>
      <c r="KF21" s="80"/>
      <c r="KG21" s="53"/>
      <c r="KH21" s="53"/>
      <c r="KI21" s="53"/>
      <c r="KJ21" s="53"/>
      <c r="KK21" s="84"/>
      <c r="KL21" s="52"/>
      <c r="KM21" s="53"/>
      <c r="KN21" s="53"/>
      <c r="KO21" s="53"/>
      <c r="KP21" s="82"/>
      <c r="KQ21" s="82"/>
      <c r="KR21" s="82"/>
      <c r="KS21" s="82"/>
      <c r="KT21" s="82"/>
      <c r="KU21" s="82"/>
      <c r="KV21" s="82"/>
      <c r="KW21" s="82"/>
      <c r="KX21" s="82"/>
      <c r="KY21" s="82"/>
      <c r="KZ21" s="80"/>
      <c r="LA21" s="53"/>
      <c r="LB21" s="53"/>
      <c r="LC21" s="53"/>
      <c r="LD21" s="53"/>
      <c r="LE21" s="84"/>
      <c r="LF21" s="52"/>
      <c r="LG21" s="53"/>
      <c r="LH21" s="53"/>
      <c r="LI21" s="53"/>
      <c r="LJ21" s="82"/>
      <c r="LK21" s="82"/>
      <c r="LL21" s="82"/>
      <c r="LM21" s="82"/>
      <c r="LN21" s="82"/>
      <c r="LO21" s="82"/>
      <c r="LP21" s="82"/>
      <c r="LQ21" s="82"/>
      <c r="LR21" s="82"/>
      <c r="LS21" s="82"/>
      <c r="LT21" s="80"/>
      <c r="LU21" s="53"/>
      <c r="LV21" s="53"/>
      <c r="LW21" s="53"/>
      <c r="LX21" s="53"/>
      <c r="LY21" s="84"/>
      <c r="LZ21" s="52"/>
      <c r="MA21" s="53"/>
      <c r="MB21" s="53"/>
      <c r="MC21" s="53"/>
      <c r="MD21" s="82"/>
      <c r="ME21" s="82"/>
      <c r="MF21" s="82"/>
      <c r="MG21" s="82"/>
      <c r="MH21" s="82"/>
      <c r="MI21" s="82"/>
      <c r="MJ21" s="82"/>
      <c r="MK21" s="82"/>
      <c r="ML21" s="82"/>
      <c r="MM21" s="82"/>
      <c r="MN21" s="80"/>
      <c r="MO21" s="53"/>
      <c r="MP21" s="53"/>
      <c r="MQ21" s="53"/>
      <c r="MR21" s="53"/>
      <c r="MS21" s="84"/>
      <c r="MT21" s="52"/>
      <c r="MU21" s="53"/>
      <c r="MV21" s="53"/>
      <c r="MW21" s="53"/>
      <c r="MX21" s="82"/>
      <c r="MY21" s="82"/>
      <c r="MZ21" s="82"/>
      <c r="NA21" s="82"/>
      <c r="NB21" s="82"/>
      <c r="NC21" s="82"/>
      <c r="ND21" s="82"/>
      <c r="NE21" s="82"/>
      <c r="NF21" s="82"/>
      <c r="NG21" s="82"/>
      <c r="NH21" s="80"/>
      <c r="NI21" s="53"/>
      <c r="NJ21" s="53"/>
      <c r="NK21" s="53"/>
      <c r="NL21" s="53"/>
      <c r="NM21" s="84"/>
      <c r="NN21" s="52"/>
      <c r="NO21" s="53"/>
      <c r="NP21" s="53"/>
      <c r="NQ21" s="53"/>
      <c r="NR21" s="82"/>
      <c r="NS21" s="82"/>
      <c r="NT21" s="82"/>
      <c r="NU21" s="82"/>
      <c r="NV21" s="82"/>
      <c r="NW21" s="82"/>
      <c r="NX21" s="82"/>
      <c r="NY21" s="82"/>
      <c r="NZ21" s="82"/>
      <c r="OA21" s="82"/>
      <c r="OB21" s="80"/>
      <c r="OC21" s="53"/>
      <c r="OD21" s="53"/>
      <c r="OE21" s="53"/>
      <c r="OF21" s="53"/>
      <c r="OG21" s="84"/>
      <c r="OH21" s="52"/>
      <c r="OI21" s="53"/>
      <c r="OJ21" s="53"/>
      <c r="OK21" s="53"/>
      <c r="OL21" s="82"/>
      <c r="OM21" s="82"/>
      <c r="ON21" s="82"/>
      <c r="OO21" s="82"/>
      <c r="OP21" s="82"/>
      <c r="OQ21" s="82"/>
      <c r="OR21" s="82"/>
      <c r="OS21" s="82"/>
      <c r="OT21" s="82"/>
      <c r="OU21" s="82"/>
      <c r="OV21" s="80"/>
      <c r="OW21" s="53"/>
      <c r="OX21" s="53"/>
      <c r="OY21" s="53"/>
      <c r="OZ21" s="53"/>
      <c r="PA21" s="84"/>
      <c r="PB21" s="52"/>
      <c r="PC21" s="53"/>
      <c r="PD21" s="53"/>
      <c r="PE21" s="53"/>
      <c r="PF21" s="82"/>
      <c r="PG21" s="82"/>
      <c r="PH21" s="82"/>
      <c r="PI21" s="82"/>
      <c r="PJ21" s="82"/>
      <c r="PK21" s="82"/>
      <c r="PL21" s="82"/>
      <c r="PM21" s="82"/>
      <c r="PN21" s="82"/>
      <c r="PO21" s="82"/>
      <c r="PP21" s="80"/>
      <c r="PQ21" s="53"/>
      <c r="PR21" s="53"/>
      <c r="PS21" s="53"/>
      <c r="PT21" s="53"/>
      <c r="PU21" s="84"/>
      <c r="PV21" s="52"/>
      <c r="PW21" s="53"/>
      <c r="PX21" s="53"/>
      <c r="PY21" s="53"/>
      <c r="PZ21" s="82"/>
      <c r="QA21" s="82"/>
      <c r="QB21" s="82"/>
      <c r="QC21" s="82"/>
      <c r="QD21" s="82"/>
      <c r="QE21" s="82"/>
      <c r="QF21" s="82"/>
      <c r="QG21" s="82"/>
      <c r="QH21" s="82"/>
      <c r="QI21" s="82"/>
      <c r="QJ21" s="80"/>
      <c r="QK21" s="53"/>
      <c r="QL21" s="53"/>
      <c r="QM21" s="53"/>
      <c r="QN21" s="53"/>
      <c r="QO21" s="84"/>
      <c r="QP21" s="52"/>
      <c r="QQ21" s="53"/>
      <c r="QR21" s="53"/>
      <c r="QS21" s="53"/>
      <c r="QT21" s="82"/>
      <c r="QU21" s="82"/>
      <c r="QV21" s="82"/>
      <c r="QW21" s="82"/>
      <c r="QX21" s="82"/>
      <c r="QY21" s="82"/>
      <c r="QZ21" s="82"/>
      <c r="RA21" s="82"/>
      <c r="RB21" s="82"/>
      <c r="RC21" s="82"/>
      <c r="RD21" s="80"/>
      <c r="RE21" s="53"/>
      <c r="RF21" s="53"/>
      <c r="RG21" s="53"/>
      <c r="RH21" s="53"/>
      <c r="RI21" s="84"/>
      <c r="RJ21" s="52"/>
      <c r="RK21" s="53"/>
      <c r="RL21" s="53"/>
      <c r="RM21" s="53"/>
      <c r="RN21" s="82"/>
      <c r="RO21" s="82"/>
      <c r="RP21" s="82"/>
      <c r="RQ21" s="82"/>
      <c r="RR21" s="82"/>
      <c r="RS21" s="82"/>
      <c r="RT21" s="82"/>
      <c r="RU21" s="82"/>
      <c r="RV21" s="82"/>
      <c r="RW21" s="82"/>
      <c r="RX21" s="80"/>
      <c r="RY21" s="53"/>
      <c r="RZ21" s="53"/>
      <c r="SA21" s="53"/>
      <c r="SB21" s="53"/>
      <c r="SC21" s="84"/>
      <c r="SD21" s="52"/>
      <c r="SE21" s="53"/>
      <c r="SF21" s="53"/>
      <c r="SG21" s="53"/>
    </row>
    <row r="22" spans="1:501" s="44" customFormat="1" ht="20.399999999999999" customHeight="1" x14ac:dyDescent="0.3">
      <c r="A22" s="125" t="s">
        <v>167</v>
      </c>
      <c r="B22" s="207" t="s">
        <v>372</v>
      </c>
      <c r="C22" s="107" t="s">
        <v>331</v>
      </c>
      <c r="D22" s="46" t="s">
        <v>315</v>
      </c>
      <c r="E22" s="12" t="s">
        <v>332</v>
      </c>
      <c r="F22" s="12" t="s">
        <v>333</v>
      </c>
      <c r="G22" s="72" t="s">
        <v>334</v>
      </c>
      <c r="H22" s="72" t="s">
        <v>335</v>
      </c>
      <c r="I22" s="204" t="s">
        <v>315</v>
      </c>
      <c r="J22" s="72"/>
      <c r="K22" s="72"/>
      <c r="L22" s="81" t="s">
        <v>372</v>
      </c>
      <c r="M22" s="107" t="s">
        <v>331</v>
      </c>
      <c r="N22" s="46" t="s">
        <v>315</v>
      </c>
      <c r="O22" s="12" t="s">
        <v>332</v>
      </c>
      <c r="P22" s="12" t="s">
        <v>333</v>
      </c>
      <c r="Q22" s="204" t="s">
        <v>334</v>
      </c>
      <c r="R22" s="72" t="s">
        <v>335</v>
      </c>
      <c r="S22" s="72" t="s">
        <v>315</v>
      </c>
      <c r="T22" s="72"/>
      <c r="U22" s="78"/>
      <c r="V22" s="12" t="s">
        <v>71</v>
      </c>
      <c r="W22" s="12" t="s">
        <v>314</v>
      </c>
      <c r="X22" s="12" t="s">
        <v>315</v>
      </c>
      <c r="Y22" s="12" t="s">
        <v>316</v>
      </c>
      <c r="Z22" s="12" t="s">
        <v>321</v>
      </c>
      <c r="AA22" s="72" t="s">
        <v>318</v>
      </c>
      <c r="AB22" s="72" t="s">
        <v>322</v>
      </c>
      <c r="AC22" s="72" t="s">
        <v>315</v>
      </c>
      <c r="AD22" s="83"/>
      <c r="AE22" s="83"/>
      <c r="AF22" s="12" t="s">
        <v>71</v>
      </c>
      <c r="AG22" s="12" t="s">
        <v>314</v>
      </c>
      <c r="AH22" s="12" t="s">
        <v>315</v>
      </c>
      <c r="AI22" s="12" t="s">
        <v>316</v>
      </c>
      <c r="AJ22" s="12" t="s">
        <v>321</v>
      </c>
      <c r="AK22" s="72" t="s">
        <v>318</v>
      </c>
      <c r="AL22" s="72" t="s">
        <v>322</v>
      </c>
      <c r="AM22" s="72" t="s">
        <v>315</v>
      </c>
      <c r="AN22" s="46"/>
      <c r="AO22" s="46"/>
      <c r="AP22" s="12" t="s">
        <v>71</v>
      </c>
      <c r="AQ22" s="12" t="s">
        <v>314</v>
      </c>
      <c r="AR22" s="12" t="s">
        <v>315</v>
      </c>
      <c r="AS22" s="12" t="s">
        <v>316</v>
      </c>
      <c r="AT22" s="12" t="s">
        <v>321</v>
      </c>
      <c r="AU22" s="72" t="s">
        <v>318</v>
      </c>
      <c r="AV22" s="72" t="s">
        <v>322</v>
      </c>
      <c r="AW22" s="72" t="s">
        <v>315</v>
      </c>
      <c r="AX22" s="83"/>
      <c r="AY22" s="83"/>
      <c r="AZ22" s="12" t="s">
        <v>71</v>
      </c>
      <c r="BA22" s="12" t="s">
        <v>314</v>
      </c>
      <c r="BB22" s="12" t="s">
        <v>448</v>
      </c>
      <c r="BC22" s="12" t="s">
        <v>316</v>
      </c>
      <c r="BD22" s="12" t="s">
        <v>321</v>
      </c>
      <c r="BE22" s="72" t="s">
        <v>318</v>
      </c>
      <c r="BF22" s="72" t="s">
        <v>322</v>
      </c>
      <c r="BG22" s="72" t="s">
        <v>315</v>
      </c>
      <c r="BH22" s="46"/>
      <c r="BI22" s="46"/>
      <c r="BJ22" s="12" t="s">
        <v>71</v>
      </c>
      <c r="BK22" s="12" t="s">
        <v>314</v>
      </c>
      <c r="BL22" s="12" t="s">
        <v>449</v>
      </c>
      <c r="BM22" s="12" t="s">
        <v>316</v>
      </c>
      <c r="BN22" s="12" t="s">
        <v>321</v>
      </c>
      <c r="BO22" s="72" t="s">
        <v>318</v>
      </c>
      <c r="BP22" s="72" t="s">
        <v>322</v>
      </c>
      <c r="BQ22" s="72" t="s">
        <v>315</v>
      </c>
      <c r="BR22" s="83"/>
      <c r="BS22" s="83"/>
      <c r="BT22" s="83" t="s">
        <v>373</v>
      </c>
      <c r="BU22" s="107" t="s">
        <v>331</v>
      </c>
      <c r="BV22" s="83" t="s">
        <v>450</v>
      </c>
      <c r="BW22" s="83" t="s">
        <v>332</v>
      </c>
      <c r="BX22" s="83">
        <v>125</v>
      </c>
      <c r="BY22" s="83" t="s">
        <v>334</v>
      </c>
      <c r="BZ22" s="83" t="s">
        <v>375</v>
      </c>
      <c r="CA22" s="83" t="s">
        <v>451</v>
      </c>
      <c r="CB22" s="46"/>
      <c r="CC22" s="46"/>
      <c r="CD22" s="83" t="s">
        <v>373</v>
      </c>
      <c r="CE22" s="107" t="s">
        <v>331</v>
      </c>
      <c r="CF22" s="83" t="s">
        <v>452</v>
      </c>
      <c r="CG22" s="83" t="s">
        <v>332</v>
      </c>
      <c r="CH22" s="83">
        <v>125</v>
      </c>
      <c r="CI22" s="83" t="s">
        <v>334</v>
      </c>
      <c r="CJ22" s="83" t="s">
        <v>375</v>
      </c>
      <c r="CK22" s="83" t="s">
        <v>453</v>
      </c>
      <c r="CL22" s="83"/>
      <c r="CM22" s="83"/>
      <c r="CN22" s="207" t="s">
        <v>359</v>
      </c>
      <c r="CO22" s="107" t="s">
        <v>360</v>
      </c>
      <c r="CP22" s="46" t="s">
        <v>454</v>
      </c>
      <c r="CQ22" s="46" t="s">
        <v>332</v>
      </c>
      <c r="CR22" s="46" t="s">
        <v>333</v>
      </c>
      <c r="CS22" s="194" t="s">
        <v>360</v>
      </c>
      <c r="CT22" s="210" t="s">
        <v>455</v>
      </c>
      <c r="CU22" s="46" t="s">
        <v>456</v>
      </c>
      <c r="CV22" s="46"/>
      <c r="CW22" s="46"/>
      <c r="CX22" s="83" t="s">
        <v>324</v>
      </c>
      <c r="CY22" s="110" t="s">
        <v>349</v>
      </c>
      <c r="CZ22" s="83" t="s">
        <v>457</v>
      </c>
      <c r="DA22" s="83" t="s">
        <v>327</v>
      </c>
      <c r="DB22" s="83" t="s">
        <v>328</v>
      </c>
      <c r="DC22" s="83" t="s">
        <v>329</v>
      </c>
      <c r="DD22" s="83" t="s">
        <v>330</v>
      </c>
      <c r="DE22" s="83">
        <v>1112141</v>
      </c>
      <c r="DF22" s="83"/>
      <c r="DG22" s="83"/>
      <c r="DH22" s="81"/>
      <c r="DI22" s="107"/>
      <c r="DJ22" s="46"/>
      <c r="DK22" s="46"/>
      <c r="DL22" s="46"/>
      <c r="DM22" s="194"/>
      <c r="DN22" s="41"/>
      <c r="DO22" s="46"/>
      <c r="DP22" s="46"/>
      <c r="DQ22" s="46"/>
      <c r="DR22" s="83"/>
      <c r="DS22" s="83"/>
      <c r="DT22" s="83"/>
      <c r="DU22" s="83"/>
      <c r="DV22" s="83"/>
      <c r="DW22" s="83"/>
      <c r="DX22" s="83"/>
      <c r="DY22" s="83"/>
      <c r="DZ22" s="83"/>
      <c r="EA22" s="83"/>
      <c r="EB22" s="81"/>
      <c r="EC22" s="46"/>
      <c r="ED22" s="46"/>
      <c r="EE22" s="46"/>
      <c r="EF22" s="46"/>
      <c r="EG22" s="85"/>
      <c r="EH22" s="41"/>
      <c r="EI22" s="46"/>
      <c r="EJ22" s="46"/>
      <c r="EK22" s="46"/>
      <c r="EL22" s="83"/>
      <c r="EM22" s="83"/>
      <c r="EN22" s="83"/>
      <c r="EO22" s="83"/>
      <c r="EP22" s="83"/>
      <c r="EQ22" s="83"/>
      <c r="ER22" s="83"/>
      <c r="ES22" s="83"/>
      <c r="ET22" s="83"/>
      <c r="EU22" s="83"/>
      <c r="EV22" s="81"/>
      <c r="EW22" s="46"/>
      <c r="EX22" s="46"/>
      <c r="EY22" s="46"/>
      <c r="EZ22" s="46"/>
      <c r="FA22" s="85"/>
      <c r="FB22" s="41"/>
      <c r="FC22" s="46"/>
      <c r="FD22" s="46"/>
      <c r="FE22" s="46"/>
      <c r="FF22" s="83"/>
      <c r="FG22" s="83"/>
      <c r="FH22" s="83"/>
      <c r="FI22" s="83"/>
      <c r="FJ22" s="83"/>
      <c r="FK22" s="83"/>
      <c r="FL22" s="83"/>
      <c r="FM22" s="83"/>
      <c r="FN22" s="83"/>
      <c r="FO22" s="83"/>
      <c r="FP22" s="81"/>
      <c r="FQ22" s="46"/>
      <c r="FR22" s="46"/>
      <c r="FS22" s="46"/>
      <c r="FT22" s="46"/>
      <c r="FU22" s="85"/>
      <c r="FV22" s="41"/>
      <c r="FW22" s="46"/>
      <c r="FX22" s="46"/>
      <c r="FY22" s="46"/>
      <c r="FZ22" s="83"/>
      <c r="GA22" s="83"/>
      <c r="GB22" s="83"/>
      <c r="GC22" s="83"/>
      <c r="GD22" s="83"/>
      <c r="GE22" s="83"/>
      <c r="GF22" s="83"/>
      <c r="GG22" s="83"/>
      <c r="GH22" s="83"/>
      <c r="GI22" s="83"/>
      <c r="GJ22" s="81"/>
      <c r="GK22" s="46"/>
      <c r="GL22" s="46"/>
      <c r="GM22" s="46"/>
      <c r="GN22" s="46"/>
      <c r="GO22" s="85"/>
      <c r="GP22" s="41"/>
      <c r="GQ22" s="46"/>
      <c r="GR22" s="46"/>
      <c r="GS22" s="46"/>
      <c r="GT22" s="83"/>
      <c r="GU22" s="83"/>
      <c r="GV22" s="83"/>
      <c r="GW22" s="83"/>
      <c r="GX22" s="83"/>
      <c r="GY22" s="83"/>
      <c r="GZ22" s="83"/>
      <c r="HA22" s="83"/>
      <c r="HB22" s="83"/>
      <c r="HC22" s="83"/>
      <c r="HD22" s="81"/>
      <c r="HE22" s="46"/>
      <c r="HF22" s="46"/>
      <c r="HG22" s="46"/>
      <c r="HH22" s="46"/>
      <c r="HI22" s="85"/>
      <c r="HJ22" s="41"/>
      <c r="HK22" s="46"/>
      <c r="HL22" s="46"/>
      <c r="HM22" s="46"/>
      <c r="HN22" s="83"/>
      <c r="HO22" s="83"/>
      <c r="HP22" s="83"/>
      <c r="HQ22" s="83"/>
      <c r="HR22" s="83"/>
      <c r="HS22" s="83"/>
      <c r="HT22" s="83"/>
      <c r="HU22" s="83"/>
      <c r="HV22" s="83"/>
      <c r="HW22" s="83"/>
      <c r="HX22" s="81"/>
      <c r="HY22" s="46"/>
      <c r="HZ22" s="46"/>
      <c r="IA22" s="46"/>
      <c r="IB22" s="46"/>
      <c r="IC22" s="85"/>
      <c r="ID22" s="41"/>
      <c r="IE22" s="46"/>
      <c r="IF22" s="46"/>
      <c r="IG22" s="46"/>
      <c r="IH22" s="83"/>
      <c r="II22" s="83"/>
      <c r="IJ22" s="83"/>
      <c r="IK22" s="83"/>
      <c r="IL22" s="83"/>
      <c r="IM22" s="83"/>
      <c r="IN22" s="83"/>
      <c r="IO22" s="83"/>
      <c r="IP22" s="83"/>
      <c r="IQ22" s="83"/>
      <c r="IR22" s="81"/>
      <c r="IS22" s="46"/>
      <c r="IT22" s="46"/>
      <c r="IU22" s="46"/>
      <c r="IV22" s="46"/>
      <c r="IW22" s="85"/>
      <c r="IX22" s="41"/>
      <c r="IY22" s="46"/>
      <c r="IZ22" s="46"/>
      <c r="JA22" s="46"/>
      <c r="JB22" s="83"/>
      <c r="JC22" s="83"/>
      <c r="JD22" s="83"/>
      <c r="JE22" s="83"/>
      <c r="JF22" s="83"/>
      <c r="JG22" s="83"/>
      <c r="JH22" s="83"/>
      <c r="JI22" s="83"/>
      <c r="JJ22" s="83"/>
      <c r="JK22" s="83"/>
      <c r="JL22" s="81"/>
      <c r="JM22" s="46"/>
      <c r="JN22" s="46"/>
      <c r="JO22" s="46"/>
      <c r="JP22" s="46"/>
      <c r="JQ22" s="85"/>
      <c r="JR22" s="41"/>
      <c r="JS22" s="46"/>
      <c r="JT22" s="46"/>
      <c r="JU22" s="46"/>
      <c r="JV22" s="83"/>
      <c r="JW22" s="83"/>
      <c r="JX22" s="83"/>
      <c r="JY22" s="83"/>
      <c r="JZ22" s="83"/>
      <c r="KA22" s="83"/>
      <c r="KB22" s="83"/>
      <c r="KC22" s="83"/>
      <c r="KD22" s="83"/>
      <c r="KE22" s="83"/>
      <c r="KF22" s="81"/>
      <c r="KG22" s="46"/>
      <c r="KH22" s="46"/>
      <c r="KI22" s="46"/>
      <c r="KJ22" s="46"/>
      <c r="KK22" s="85"/>
      <c r="KL22" s="41"/>
      <c r="KM22" s="46"/>
      <c r="KN22" s="46"/>
      <c r="KO22" s="46"/>
      <c r="KP22" s="83"/>
      <c r="KQ22" s="83"/>
      <c r="KR22" s="83"/>
      <c r="KS22" s="83"/>
      <c r="KT22" s="83"/>
      <c r="KU22" s="83"/>
      <c r="KV22" s="83"/>
      <c r="KW22" s="83"/>
      <c r="KX22" s="83"/>
      <c r="KY22" s="83"/>
      <c r="KZ22" s="81"/>
      <c r="LA22" s="46"/>
      <c r="LB22" s="46"/>
      <c r="LC22" s="46"/>
      <c r="LD22" s="46"/>
      <c r="LE22" s="85"/>
      <c r="LF22" s="41"/>
      <c r="LG22" s="46"/>
      <c r="LH22" s="46"/>
      <c r="LI22" s="46"/>
      <c r="LJ22" s="83"/>
      <c r="LK22" s="83"/>
      <c r="LL22" s="83"/>
      <c r="LM22" s="83"/>
      <c r="LN22" s="83"/>
      <c r="LO22" s="83"/>
      <c r="LP22" s="83"/>
      <c r="LQ22" s="83"/>
      <c r="LR22" s="83"/>
      <c r="LS22" s="83"/>
      <c r="LT22" s="81"/>
      <c r="LU22" s="46"/>
      <c r="LV22" s="46"/>
      <c r="LW22" s="46"/>
      <c r="LX22" s="46"/>
      <c r="LY22" s="85"/>
      <c r="LZ22" s="41"/>
      <c r="MA22" s="46"/>
      <c r="MB22" s="46"/>
      <c r="MC22" s="46"/>
      <c r="MD22" s="83"/>
      <c r="ME22" s="83"/>
      <c r="MF22" s="83"/>
      <c r="MG22" s="83"/>
      <c r="MH22" s="83"/>
      <c r="MI22" s="83"/>
      <c r="MJ22" s="83"/>
      <c r="MK22" s="83"/>
      <c r="ML22" s="83"/>
      <c r="MM22" s="83"/>
      <c r="MN22" s="81"/>
      <c r="MO22" s="46"/>
      <c r="MP22" s="46"/>
      <c r="MQ22" s="46"/>
      <c r="MR22" s="46"/>
      <c r="MS22" s="85"/>
      <c r="MT22" s="41"/>
      <c r="MU22" s="46"/>
      <c r="MV22" s="46"/>
      <c r="MW22" s="46"/>
      <c r="MX22" s="83"/>
      <c r="MY22" s="83"/>
      <c r="MZ22" s="83"/>
      <c r="NA22" s="83"/>
      <c r="NB22" s="83"/>
      <c r="NC22" s="83"/>
      <c r="ND22" s="83"/>
      <c r="NE22" s="83"/>
      <c r="NF22" s="83"/>
      <c r="NG22" s="83"/>
      <c r="NH22" s="81"/>
      <c r="NI22" s="46"/>
      <c r="NJ22" s="46"/>
      <c r="NK22" s="46"/>
      <c r="NL22" s="46"/>
      <c r="NM22" s="85"/>
      <c r="NN22" s="41"/>
      <c r="NO22" s="46"/>
      <c r="NP22" s="46"/>
      <c r="NQ22" s="46"/>
      <c r="NR22" s="83"/>
      <c r="NS22" s="83"/>
      <c r="NT22" s="83"/>
      <c r="NU22" s="83"/>
      <c r="NV22" s="83"/>
      <c r="NW22" s="83"/>
      <c r="NX22" s="83"/>
      <c r="NY22" s="83"/>
      <c r="NZ22" s="83"/>
      <c r="OA22" s="83"/>
      <c r="OB22" s="81"/>
      <c r="OC22" s="46"/>
      <c r="OD22" s="46"/>
      <c r="OE22" s="46"/>
      <c r="OF22" s="46"/>
      <c r="OG22" s="85"/>
      <c r="OH22" s="41"/>
      <c r="OI22" s="46"/>
      <c r="OJ22" s="46"/>
      <c r="OK22" s="46"/>
      <c r="OL22" s="83"/>
      <c r="OM22" s="83"/>
      <c r="ON22" s="83"/>
      <c r="OO22" s="83"/>
      <c r="OP22" s="83"/>
      <c r="OQ22" s="83"/>
      <c r="OR22" s="83"/>
      <c r="OS22" s="83"/>
      <c r="OT22" s="83"/>
      <c r="OU22" s="83"/>
      <c r="OV22" s="81"/>
      <c r="OW22" s="46"/>
      <c r="OX22" s="46"/>
      <c r="OY22" s="46"/>
      <c r="OZ22" s="46"/>
      <c r="PA22" s="85"/>
      <c r="PB22" s="41"/>
      <c r="PC22" s="46"/>
      <c r="PD22" s="46"/>
      <c r="PE22" s="46"/>
      <c r="PF22" s="83"/>
      <c r="PG22" s="83"/>
      <c r="PH22" s="83"/>
      <c r="PI22" s="83"/>
      <c r="PJ22" s="83"/>
      <c r="PK22" s="83"/>
      <c r="PL22" s="83"/>
      <c r="PM22" s="83"/>
      <c r="PN22" s="83"/>
      <c r="PO22" s="83"/>
      <c r="PP22" s="81"/>
      <c r="PQ22" s="46"/>
      <c r="PR22" s="46"/>
      <c r="PS22" s="46"/>
      <c r="PT22" s="46"/>
      <c r="PU22" s="85"/>
      <c r="PV22" s="41"/>
      <c r="PW22" s="46"/>
      <c r="PX22" s="46"/>
      <c r="PY22" s="46"/>
      <c r="PZ22" s="83"/>
      <c r="QA22" s="83"/>
      <c r="QB22" s="83"/>
      <c r="QC22" s="83"/>
      <c r="QD22" s="83"/>
      <c r="QE22" s="83"/>
      <c r="QF22" s="83"/>
      <c r="QG22" s="83"/>
      <c r="QH22" s="83"/>
      <c r="QI22" s="83"/>
      <c r="QJ22" s="81"/>
      <c r="QK22" s="46"/>
      <c r="QL22" s="46"/>
      <c r="QM22" s="46"/>
      <c r="QN22" s="46"/>
      <c r="QO22" s="85"/>
      <c r="QP22" s="41"/>
      <c r="QQ22" s="46"/>
      <c r="QR22" s="46"/>
      <c r="QS22" s="46"/>
      <c r="QT22" s="83"/>
      <c r="QU22" s="83"/>
      <c r="QV22" s="83"/>
      <c r="QW22" s="83"/>
      <c r="QX22" s="83"/>
      <c r="QY22" s="83"/>
      <c r="QZ22" s="83"/>
      <c r="RA22" s="83"/>
      <c r="RB22" s="83"/>
      <c r="RC22" s="83"/>
      <c r="RD22" s="81"/>
      <c r="RE22" s="46"/>
      <c r="RF22" s="46"/>
      <c r="RG22" s="46"/>
      <c r="RH22" s="46"/>
      <c r="RI22" s="85"/>
      <c r="RJ22" s="41"/>
      <c r="RK22" s="46"/>
      <c r="RL22" s="46"/>
      <c r="RM22" s="46"/>
      <c r="RN22" s="83"/>
      <c r="RO22" s="83"/>
      <c r="RP22" s="83"/>
      <c r="RQ22" s="83"/>
      <c r="RR22" s="83"/>
      <c r="RS22" s="83"/>
      <c r="RT22" s="83"/>
      <c r="RU22" s="83"/>
      <c r="RV22" s="83"/>
      <c r="RW22" s="83"/>
      <c r="RX22" s="81"/>
      <c r="RY22" s="46"/>
      <c r="RZ22" s="46"/>
      <c r="SA22" s="46"/>
      <c r="SB22" s="46"/>
      <c r="SC22" s="85"/>
      <c r="SD22" s="41"/>
      <c r="SE22" s="46"/>
      <c r="SF22" s="46"/>
      <c r="SG22" s="46"/>
    </row>
    <row r="23" spans="1:501" s="44" customFormat="1" ht="20.399999999999999" customHeight="1" x14ac:dyDescent="0.3">
      <c r="A23" s="66" t="s">
        <v>138</v>
      </c>
      <c r="B23" s="66" t="s">
        <v>373</v>
      </c>
      <c r="C23" s="66" t="s">
        <v>331</v>
      </c>
      <c r="D23" s="49" t="s">
        <v>458</v>
      </c>
      <c r="E23" s="49" t="s">
        <v>332</v>
      </c>
      <c r="F23" s="49" t="s">
        <v>333</v>
      </c>
      <c r="G23" s="70" t="s">
        <v>334</v>
      </c>
      <c r="H23" s="70" t="s">
        <v>377</v>
      </c>
      <c r="I23" s="206" t="s">
        <v>459</v>
      </c>
      <c r="J23" s="70"/>
      <c r="K23" s="70"/>
      <c r="L23" s="49" t="s">
        <v>68</v>
      </c>
      <c r="M23" s="66" t="s">
        <v>331</v>
      </c>
      <c r="N23" s="49" t="s">
        <v>315</v>
      </c>
      <c r="O23" s="49" t="s">
        <v>332</v>
      </c>
      <c r="P23" s="82" t="s">
        <v>333</v>
      </c>
      <c r="Q23" s="206" t="s">
        <v>334</v>
      </c>
      <c r="R23" s="70" t="s">
        <v>335</v>
      </c>
      <c r="S23" s="70" t="s">
        <v>315</v>
      </c>
      <c r="T23" s="70"/>
      <c r="U23" s="77"/>
      <c r="V23" s="49" t="s">
        <v>68</v>
      </c>
      <c r="W23" s="66" t="s">
        <v>331</v>
      </c>
      <c r="X23" s="49" t="s">
        <v>315</v>
      </c>
      <c r="Y23" s="49" t="s">
        <v>332</v>
      </c>
      <c r="Z23" s="82" t="s">
        <v>333</v>
      </c>
      <c r="AA23" s="206" t="s">
        <v>334</v>
      </c>
      <c r="AB23" s="70" t="s">
        <v>335</v>
      </c>
      <c r="AC23" s="70" t="s">
        <v>315</v>
      </c>
      <c r="AD23" s="82"/>
      <c r="AE23" s="82"/>
      <c r="AF23" s="82" t="s">
        <v>313</v>
      </c>
      <c r="AG23" s="82" t="s">
        <v>318</v>
      </c>
      <c r="AH23" s="82" t="s">
        <v>315</v>
      </c>
      <c r="AI23" s="82" t="s">
        <v>336</v>
      </c>
      <c r="AJ23" s="82" t="s">
        <v>317</v>
      </c>
      <c r="AK23" s="82" t="s">
        <v>318</v>
      </c>
      <c r="AL23" s="82" t="s">
        <v>337</v>
      </c>
      <c r="AM23" s="82" t="s">
        <v>315</v>
      </c>
      <c r="AN23" s="53"/>
      <c r="AO23" s="53"/>
      <c r="AP23" s="82" t="s">
        <v>313</v>
      </c>
      <c r="AQ23" s="82" t="s">
        <v>318</v>
      </c>
      <c r="AR23" s="82" t="s">
        <v>315</v>
      </c>
      <c r="AS23" s="82" t="s">
        <v>336</v>
      </c>
      <c r="AT23" s="82" t="s">
        <v>317</v>
      </c>
      <c r="AU23" s="82" t="s">
        <v>318</v>
      </c>
      <c r="AV23" s="82" t="s">
        <v>337</v>
      </c>
      <c r="AW23" s="82" t="s">
        <v>315</v>
      </c>
      <c r="AX23" s="82"/>
      <c r="AY23" s="82"/>
      <c r="AZ23" s="80"/>
      <c r="BA23" s="53"/>
      <c r="BB23" s="53"/>
      <c r="BC23" s="53"/>
      <c r="BD23" s="53"/>
      <c r="BE23" s="84"/>
      <c r="BF23" s="52"/>
      <c r="BG23" s="53"/>
      <c r="BH23" s="53"/>
      <c r="BI23" s="53"/>
      <c r="BJ23" s="82"/>
      <c r="BK23" s="82"/>
      <c r="BL23" s="82"/>
      <c r="BM23" s="82"/>
      <c r="BN23" s="82"/>
      <c r="BO23" s="82"/>
      <c r="BP23" s="82"/>
      <c r="BQ23" s="82"/>
      <c r="BR23" s="82"/>
      <c r="BS23" s="82"/>
      <c r="BT23" s="80"/>
      <c r="BU23" s="53"/>
      <c r="BV23" s="53"/>
      <c r="BW23" s="53"/>
      <c r="BX23" s="53"/>
      <c r="BY23" s="84"/>
      <c r="BZ23" s="52"/>
      <c r="CA23" s="53"/>
      <c r="CB23" s="53"/>
      <c r="CC23" s="53"/>
      <c r="CD23" s="82"/>
      <c r="CE23" s="82"/>
      <c r="CF23" s="82"/>
      <c r="CG23" s="82"/>
      <c r="CH23" s="82"/>
      <c r="CI23" s="82"/>
      <c r="CJ23" s="82"/>
      <c r="CK23" s="82"/>
      <c r="CL23" s="82"/>
      <c r="CM23" s="82"/>
      <c r="CN23" s="80"/>
      <c r="CO23" s="53"/>
      <c r="CP23" s="53"/>
      <c r="CQ23" s="53"/>
      <c r="CR23" s="53"/>
      <c r="CS23" s="84"/>
      <c r="CT23" s="52"/>
      <c r="CU23" s="53"/>
      <c r="CV23" s="53"/>
      <c r="CW23" s="53"/>
      <c r="CX23" s="82"/>
      <c r="CY23" s="82"/>
      <c r="CZ23" s="82"/>
      <c r="DA23" s="82"/>
      <c r="DB23" s="82"/>
      <c r="DC23" s="82"/>
      <c r="DD23" s="82"/>
      <c r="DE23" s="82"/>
      <c r="DF23" s="82"/>
      <c r="DG23" s="82"/>
      <c r="DH23" s="80"/>
      <c r="DI23" s="109"/>
      <c r="DJ23" s="53"/>
      <c r="DK23" s="53"/>
      <c r="DL23" s="53"/>
      <c r="DM23" s="203"/>
      <c r="DN23" s="52"/>
      <c r="DO23" s="53"/>
      <c r="DP23" s="53"/>
      <c r="DQ23" s="53"/>
      <c r="DR23" s="82"/>
      <c r="DS23" s="82"/>
      <c r="DT23" s="82"/>
      <c r="DU23" s="82"/>
      <c r="DV23" s="82"/>
      <c r="DW23" s="82"/>
      <c r="DX23" s="82"/>
      <c r="DY23" s="82"/>
      <c r="DZ23" s="82"/>
      <c r="EA23" s="82"/>
      <c r="EB23" s="80"/>
      <c r="EC23" s="53"/>
      <c r="ED23" s="53"/>
      <c r="EE23" s="53"/>
      <c r="EF23" s="53"/>
      <c r="EG23" s="84"/>
      <c r="EH23" s="52"/>
      <c r="EI23" s="53"/>
      <c r="EJ23" s="53"/>
      <c r="EK23" s="53"/>
      <c r="EL23" s="82"/>
      <c r="EM23" s="82"/>
      <c r="EN23" s="82"/>
      <c r="EO23" s="82"/>
      <c r="EP23" s="82"/>
      <c r="EQ23" s="82"/>
      <c r="ER23" s="82"/>
      <c r="ES23" s="82"/>
      <c r="ET23" s="82"/>
      <c r="EU23" s="82"/>
      <c r="EV23" s="80"/>
      <c r="EW23" s="53"/>
      <c r="EX23" s="53"/>
      <c r="EY23" s="53"/>
      <c r="EZ23" s="53"/>
      <c r="FA23" s="84"/>
      <c r="FB23" s="52"/>
      <c r="FC23" s="53"/>
      <c r="FD23" s="53"/>
      <c r="FE23" s="53"/>
      <c r="FF23" s="82"/>
      <c r="FG23" s="82"/>
      <c r="FH23" s="82"/>
      <c r="FI23" s="82"/>
      <c r="FJ23" s="82"/>
      <c r="FK23" s="82"/>
      <c r="FL23" s="82"/>
      <c r="FM23" s="82"/>
      <c r="FN23" s="82"/>
      <c r="FO23" s="82"/>
      <c r="FP23" s="80"/>
      <c r="FQ23" s="53"/>
      <c r="FR23" s="53"/>
      <c r="FS23" s="53"/>
      <c r="FT23" s="53"/>
      <c r="FU23" s="84"/>
      <c r="FV23" s="52"/>
      <c r="FW23" s="53"/>
      <c r="FX23" s="53"/>
      <c r="FY23" s="53"/>
      <c r="FZ23" s="82"/>
      <c r="GA23" s="82"/>
      <c r="GB23" s="82"/>
      <c r="GC23" s="82"/>
      <c r="GD23" s="82"/>
      <c r="GE23" s="82"/>
      <c r="GF23" s="82"/>
      <c r="GG23" s="82"/>
      <c r="GH23" s="82"/>
      <c r="GI23" s="82"/>
      <c r="GJ23" s="80"/>
      <c r="GK23" s="53"/>
      <c r="GL23" s="53"/>
      <c r="GM23" s="53"/>
      <c r="GN23" s="53"/>
      <c r="GO23" s="84"/>
      <c r="GP23" s="52"/>
      <c r="GQ23" s="53"/>
      <c r="GR23" s="53"/>
      <c r="GS23" s="53"/>
      <c r="GT23" s="82"/>
      <c r="GU23" s="82"/>
      <c r="GV23" s="82"/>
      <c r="GW23" s="82"/>
      <c r="GX23" s="82"/>
      <c r="GY23" s="82"/>
      <c r="GZ23" s="82"/>
      <c r="HA23" s="82"/>
      <c r="HB23" s="82"/>
      <c r="HC23" s="82"/>
      <c r="HD23" s="80"/>
      <c r="HE23" s="53"/>
      <c r="HF23" s="53"/>
      <c r="HG23" s="53"/>
      <c r="HH23" s="53"/>
      <c r="HI23" s="84"/>
      <c r="HJ23" s="52"/>
      <c r="HK23" s="53"/>
      <c r="HL23" s="53"/>
      <c r="HM23" s="53"/>
      <c r="HN23" s="82"/>
      <c r="HO23" s="82"/>
      <c r="HP23" s="82"/>
      <c r="HQ23" s="82"/>
      <c r="HR23" s="82"/>
      <c r="HS23" s="82"/>
      <c r="HT23" s="82"/>
      <c r="HU23" s="82"/>
      <c r="HV23" s="82"/>
      <c r="HW23" s="82"/>
      <c r="HX23" s="80"/>
      <c r="HY23" s="53"/>
      <c r="HZ23" s="53"/>
      <c r="IA23" s="53"/>
      <c r="IB23" s="53"/>
      <c r="IC23" s="84"/>
      <c r="ID23" s="52"/>
      <c r="IE23" s="53"/>
      <c r="IF23" s="53"/>
      <c r="IG23" s="53"/>
      <c r="IH23" s="82"/>
      <c r="II23" s="82"/>
      <c r="IJ23" s="82"/>
      <c r="IK23" s="82"/>
      <c r="IL23" s="82"/>
      <c r="IM23" s="82"/>
      <c r="IN23" s="82"/>
      <c r="IO23" s="82"/>
      <c r="IP23" s="82"/>
      <c r="IQ23" s="82"/>
      <c r="IR23" s="80"/>
      <c r="IS23" s="53"/>
      <c r="IT23" s="53"/>
      <c r="IU23" s="53"/>
      <c r="IV23" s="53"/>
      <c r="IW23" s="84"/>
      <c r="IX23" s="52"/>
      <c r="IY23" s="53"/>
      <c r="IZ23" s="53"/>
      <c r="JA23" s="53"/>
      <c r="JB23" s="82"/>
      <c r="JC23" s="82"/>
      <c r="JD23" s="82"/>
      <c r="JE23" s="82"/>
      <c r="JF23" s="82"/>
      <c r="JG23" s="82"/>
      <c r="JH23" s="82"/>
      <c r="JI23" s="82"/>
      <c r="JJ23" s="82"/>
      <c r="JK23" s="82"/>
      <c r="JL23" s="80"/>
      <c r="JM23" s="53"/>
      <c r="JN23" s="53"/>
      <c r="JO23" s="53"/>
      <c r="JP23" s="53"/>
      <c r="JQ23" s="84"/>
      <c r="JR23" s="52"/>
      <c r="JS23" s="53"/>
      <c r="JT23" s="53"/>
      <c r="JU23" s="53"/>
      <c r="JV23" s="82"/>
      <c r="JW23" s="82"/>
      <c r="JX23" s="82"/>
      <c r="JY23" s="82"/>
      <c r="JZ23" s="82"/>
      <c r="KA23" s="82"/>
      <c r="KB23" s="82"/>
      <c r="KC23" s="82"/>
      <c r="KD23" s="82"/>
      <c r="KE23" s="82"/>
      <c r="KF23" s="80"/>
      <c r="KG23" s="53"/>
      <c r="KH23" s="53"/>
      <c r="KI23" s="53"/>
      <c r="KJ23" s="53"/>
      <c r="KK23" s="84"/>
      <c r="KL23" s="52"/>
      <c r="KM23" s="53"/>
      <c r="KN23" s="53"/>
      <c r="KO23" s="53"/>
      <c r="KP23" s="82"/>
      <c r="KQ23" s="82"/>
      <c r="KR23" s="82"/>
      <c r="KS23" s="82"/>
      <c r="KT23" s="82"/>
      <c r="KU23" s="82"/>
      <c r="KV23" s="82"/>
      <c r="KW23" s="82"/>
      <c r="KX23" s="82"/>
      <c r="KY23" s="82"/>
      <c r="KZ23" s="80"/>
      <c r="LA23" s="53"/>
      <c r="LB23" s="53"/>
      <c r="LC23" s="53"/>
      <c r="LD23" s="53"/>
      <c r="LE23" s="84"/>
      <c r="LF23" s="52"/>
      <c r="LG23" s="53"/>
      <c r="LH23" s="53"/>
      <c r="LI23" s="53"/>
      <c r="LJ23" s="82"/>
      <c r="LK23" s="82"/>
      <c r="LL23" s="82"/>
      <c r="LM23" s="82"/>
      <c r="LN23" s="82"/>
      <c r="LO23" s="82"/>
      <c r="LP23" s="82"/>
      <c r="LQ23" s="82"/>
      <c r="LR23" s="82"/>
      <c r="LS23" s="82"/>
      <c r="LT23" s="80"/>
      <c r="LU23" s="53"/>
      <c r="LV23" s="53"/>
      <c r="LW23" s="53"/>
      <c r="LX23" s="53"/>
      <c r="LY23" s="84"/>
      <c r="LZ23" s="52"/>
      <c r="MA23" s="53"/>
      <c r="MB23" s="53"/>
      <c r="MC23" s="53"/>
      <c r="MD23" s="82"/>
      <c r="ME23" s="82"/>
      <c r="MF23" s="82"/>
      <c r="MG23" s="82"/>
      <c r="MH23" s="82"/>
      <c r="MI23" s="82"/>
      <c r="MJ23" s="82"/>
      <c r="MK23" s="82"/>
      <c r="ML23" s="82"/>
      <c r="MM23" s="82"/>
      <c r="MN23" s="80"/>
      <c r="MO23" s="53"/>
      <c r="MP23" s="53"/>
      <c r="MQ23" s="53"/>
      <c r="MR23" s="53"/>
      <c r="MS23" s="84"/>
      <c r="MT23" s="52"/>
      <c r="MU23" s="53"/>
      <c r="MV23" s="53"/>
      <c r="MW23" s="53"/>
      <c r="MX23" s="82"/>
      <c r="MY23" s="82"/>
      <c r="MZ23" s="82"/>
      <c r="NA23" s="82"/>
      <c r="NB23" s="82"/>
      <c r="NC23" s="82"/>
      <c r="ND23" s="82"/>
      <c r="NE23" s="82"/>
      <c r="NF23" s="82"/>
      <c r="NG23" s="82"/>
      <c r="NH23" s="80"/>
      <c r="NI23" s="53"/>
      <c r="NJ23" s="53"/>
      <c r="NK23" s="53"/>
      <c r="NL23" s="53"/>
      <c r="NM23" s="84"/>
      <c r="NN23" s="52"/>
      <c r="NO23" s="53"/>
      <c r="NP23" s="53"/>
      <c r="NQ23" s="53"/>
      <c r="NR23" s="82"/>
      <c r="NS23" s="82"/>
      <c r="NT23" s="82"/>
      <c r="NU23" s="82"/>
      <c r="NV23" s="82"/>
      <c r="NW23" s="82"/>
      <c r="NX23" s="82"/>
      <c r="NY23" s="82"/>
      <c r="NZ23" s="82"/>
      <c r="OA23" s="82"/>
      <c r="OB23" s="80"/>
      <c r="OC23" s="53"/>
      <c r="OD23" s="53"/>
      <c r="OE23" s="53"/>
      <c r="OF23" s="53"/>
      <c r="OG23" s="84"/>
      <c r="OH23" s="52"/>
      <c r="OI23" s="53"/>
      <c r="OJ23" s="53"/>
      <c r="OK23" s="53"/>
      <c r="OL23" s="82"/>
      <c r="OM23" s="82"/>
      <c r="ON23" s="82"/>
      <c r="OO23" s="82"/>
      <c r="OP23" s="82"/>
      <c r="OQ23" s="82"/>
      <c r="OR23" s="82"/>
      <c r="OS23" s="82"/>
      <c r="OT23" s="82"/>
      <c r="OU23" s="82"/>
      <c r="OV23" s="80"/>
      <c r="OW23" s="53"/>
      <c r="OX23" s="53"/>
      <c r="OY23" s="53"/>
      <c r="OZ23" s="53"/>
      <c r="PA23" s="84"/>
      <c r="PB23" s="52"/>
      <c r="PC23" s="53"/>
      <c r="PD23" s="53"/>
      <c r="PE23" s="53"/>
      <c r="PF23" s="82"/>
      <c r="PG23" s="82"/>
      <c r="PH23" s="82"/>
      <c r="PI23" s="82"/>
      <c r="PJ23" s="82"/>
      <c r="PK23" s="82"/>
      <c r="PL23" s="82"/>
      <c r="PM23" s="82"/>
      <c r="PN23" s="82"/>
      <c r="PO23" s="82"/>
      <c r="PP23" s="80"/>
      <c r="PQ23" s="53"/>
      <c r="PR23" s="53"/>
      <c r="PS23" s="53"/>
      <c r="PT23" s="53"/>
      <c r="PU23" s="84"/>
      <c r="PV23" s="52"/>
      <c r="PW23" s="53"/>
      <c r="PX23" s="53"/>
      <c r="PY23" s="53"/>
      <c r="PZ23" s="82"/>
      <c r="QA23" s="82"/>
      <c r="QB23" s="82"/>
      <c r="QC23" s="82"/>
      <c r="QD23" s="82"/>
      <c r="QE23" s="82"/>
      <c r="QF23" s="82"/>
      <c r="QG23" s="82"/>
      <c r="QH23" s="82"/>
      <c r="QI23" s="82"/>
      <c r="QJ23" s="80"/>
      <c r="QK23" s="53"/>
      <c r="QL23" s="53"/>
      <c r="QM23" s="53"/>
      <c r="QN23" s="53"/>
      <c r="QO23" s="84"/>
      <c r="QP23" s="52"/>
      <c r="QQ23" s="53"/>
      <c r="QR23" s="53"/>
      <c r="QS23" s="53"/>
      <c r="QT23" s="82"/>
      <c r="QU23" s="82"/>
      <c r="QV23" s="82"/>
      <c r="QW23" s="82"/>
      <c r="QX23" s="82"/>
      <c r="QY23" s="82"/>
      <c r="QZ23" s="82"/>
      <c r="RA23" s="82"/>
      <c r="RB23" s="82"/>
      <c r="RC23" s="82"/>
      <c r="RD23" s="80"/>
      <c r="RE23" s="53"/>
      <c r="RF23" s="53"/>
      <c r="RG23" s="53"/>
      <c r="RH23" s="53"/>
      <c r="RI23" s="84"/>
      <c r="RJ23" s="52"/>
      <c r="RK23" s="53"/>
      <c r="RL23" s="53"/>
      <c r="RM23" s="53"/>
      <c r="RN23" s="82"/>
      <c r="RO23" s="82"/>
      <c r="RP23" s="82"/>
      <c r="RQ23" s="82"/>
      <c r="RR23" s="82"/>
      <c r="RS23" s="82"/>
      <c r="RT23" s="82"/>
      <c r="RU23" s="82"/>
      <c r="RV23" s="82"/>
      <c r="RW23" s="82"/>
      <c r="RX23" s="80"/>
      <c r="RY23" s="53"/>
      <c r="RZ23" s="53"/>
      <c r="SA23" s="53"/>
      <c r="SB23" s="53"/>
      <c r="SC23" s="84"/>
      <c r="SD23" s="52"/>
      <c r="SE23" s="53"/>
      <c r="SF23" s="53"/>
      <c r="SG23" s="53"/>
    </row>
    <row r="24" spans="1:501" s="44" customFormat="1" ht="20.399999999999999" customHeight="1" x14ac:dyDescent="0.3">
      <c r="A24" s="125" t="s">
        <v>171</v>
      </c>
      <c r="B24" s="125" t="s">
        <v>359</v>
      </c>
      <c r="C24" s="125" t="s">
        <v>360</v>
      </c>
      <c r="D24" s="40">
        <v>11053</v>
      </c>
      <c r="E24" s="12" t="s">
        <v>332</v>
      </c>
      <c r="F24" s="12" t="s">
        <v>333</v>
      </c>
      <c r="G24" s="125" t="s">
        <v>360</v>
      </c>
      <c r="H24" s="204" t="s">
        <v>460</v>
      </c>
      <c r="I24" s="204" t="s">
        <v>461</v>
      </c>
      <c r="J24" s="72"/>
      <c r="K24" s="72"/>
      <c r="L24" s="125" t="s">
        <v>359</v>
      </c>
      <c r="M24" s="125" t="s">
        <v>360</v>
      </c>
      <c r="N24" s="72">
        <v>11060</v>
      </c>
      <c r="O24" s="12" t="s">
        <v>332</v>
      </c>
      <c r="P24" s="12" t="s">
        <v>333</v>
      </c>
      <c r="Q24" s="125" t="s">
        <v>360</v>
      </c>
      <c r="R24" s="204" t="s">
        <v>460</v>
      </c>
      <c r="S24" s="204" t="s">
        <v>462</v>
      </c>
      <c r="T24" s="72"/>
      <c r="U24" s="78"/>
      <c r="V24" s="125" t="s">
        <v>359</v>
      </c>
      <c r="W24" s="125" t="s">
        <v>360</v>
      </c>
      <c r="X24" s="83">
        <v>11033</v>
      </c>
      <c r="Y24" s="12" t="s">
        <v>332</v>
      </c>
      <c r="Z24" s="12" t="s">
        <v>333</v>
      </c>
      <c r="AA24" s="125" t="s">
        <v>360</v>
      </c>
      <c r="AB24" s="204" t="s">
        <v>460</v>
      </c>
      <c r="AC24" s="110" t="s">
        <v>461</v>
      </c>
      <c r="AD24" s="83"/>
      <c r="AE24" s="83"/>
      <c r="AF24" s="12" t="s">
        <v>324</v>
      </c>
      <c r="AG24" s="125" t="s">
        <v>349</v>
      </c>
      <c r="AH24" s="12" t="s">
        <v>463</v>
      </c>
      <c r="AI24" s="12" t="s">
        <v>327</v>
      </c>
      <c r="AJ24" s="12" t="s">
        <v>328</v>
      </c>
      <c r="AK24" s="72" t="s">
        <v>329</v>
      </c>
      <c r="AL24" s="72" t="s">
        <v>330</v>
      </c>
      <c r="AM24" s="72">
        <v>77724</v>
      </c>
      <c r="AN24" s="46"/>
      <c r="AO24" s="46"/>
      <c r="AP24" s="12" t="s">
        <v>324</v>
      </c>
      <c r="AQ24" s="125" t="s">
        <v>349</v>
      </c>
      <c r="AR24" s="12" t="s">
        <v>464</v>
      </c>
      <c r="AS24" s="12" t="s">
        <v>327</v>
      </c>
      <c r="AT24" s="12" t="s">
        <v>328</v>
      </c>
      <c r="AU24" s="72" t="s">
        <v>329</v>
      </c>
      <c r="AV24" s="72" t="s">
        <v>330</v>
      </c>
      <c r="AW24" s="72">
        <v>1515980</v>
      </c>
      <c r="AX24" s="83"/>
      <c r="AY24" s="83"/>
      <c r="AZ24" s="12" t="s">
        <v>71</v>
      </c>
      <c r="BA24" s="12" t="s">
        <v>314</v>
      </c>
      <c r="BB24" s="12" t="s">
        <v>465</v>
      </c>
      <c r="BC24" s="12" t="s">
        <v>316</v>
      </c>
      <c r="BD24" s="12" t="s">
        <v>321</v>
      </c>
      <c r="BE24" s="72" t="s">
        <v>318</v>
      </c>
      <c r="BF24" s="72" t="s">
        <v>322</v>
      </c>
      <c r="BG24" s="204" t="s">
        <v>466</v>
      </c>
      <c r="BH24" s="46"/>
      <c r="BI24" s="46"/>
      <c r="BJ24" s="12" t="s">
        <v>71</v>
      </c>
      <c r="BK24" s="12" t="s">
        <v>314</v>
      </c>
      <c r="BL24" s="12" t="s">
        <v>467</v>
      </c>
      <c r="BM24" s="12" t="s">
        <v>316</v>
      </c>
      <c r="BN24" s="12" t="s">
        <v>321</v>
      </c>
      <c r="BO24" s="72" t="s">
        <v>318</v>
      </c>
      <c r="BP24" s="72" t="s">
        <v>322</v>
      </c>
      <c r="BQ24" s="204" t="s">
        <v>468</v>
      </c>
      <c r="BR24" s="83"/>
      <c r="BS24" s="83"/>
      <c r="BT24" s="12" t="s">
        <v>71</v>
      </c>
      <c r="BU24" s="12" t="s">
        <v>314</v>
      </c>
      <c r="BV24" s="12" t="s">
        <v>469</v>
      </c>
      <c r="BW24" s="12" t="s">
        <v>316</v>
      </c>
      <c r="BX24" s="12" t="s">
        <v>321</v>
      </c>
      <c r="BY24" s="72" t="s">
        <v>318</v>
      </c>
      <c r="BZ24" s="72" t="s">
        <v>322</v>
      </c>
      <c r="CA24" s="204" t="s">
        <v>470</v>
      </c>
      <c r="CB24" s="46"/>
      <c r="CC24" s="46"/>
      <c r="CD24" s="12" t="s">
        <v>71</v>
      </c>
      <c r="CE24" s="12" t="s">
        <v>314</v>
      </c>
      <c r="CF24" s="12" t="s">
        <v>471</v>
      </c>
      <c r="CG24" s="12" t="s">
        <v>316</v>
      </c>
      <c r="CH24" s="12" t="s">
        <v>321</v>
      </c>
      <c r="CI24" s="72" t="s">
        <v>318</v>
      </c>
      <c r="CJ24" s="72" t="s">
        <v>322</v>
      </c>
      <c r="CK24" s="204" t="s">
        <v>472</v>
      </c>
      <c r="CL24" s="83"/>
      <c r="CM24" s="83"/>
      <c r="CN24" s="83" t="s">
        <v>373</v>
      </c>
      <c r="CO24" s="46" t="s">
        <v>331</v>
      </c>
      <c r="CP24" s="83" t="s">
        <v>473</v>
      </c>
      <c r="CQ24" s="83" t="s">
        <v>332</v>
      </c>
      <c r="CR24" s="83">
        <v>125</v>
      </c>
      <c r="CS24" s="83" t="s">
        <v>334</v>
      </c>
      <c r="CT24" s="83" t="s">
        <v>375</v>
      </c>
      <c r="CU24" s="83" t="s">
        <v>474</v>
      </c>
      <c r="CV24" s="46"/>
      <c r="CW24" s="46"/>
      <c r="CX24" s="83" t="s">
        <v>68</v>
      </c>
      <c r="CY24" s="110" t="s">
        <v>331</v>
      </c>
      <c r="CZ24" s="83" t="s">
        <v>315</v>
      </c>
      <c r="DA24" s="83" t="s">
        <v>332</v>
      </c>
      <c r="DB24" s="83" t="s">
        <v>408</v>
      </c>
      <c r="DC24" s="83" t="s">
        <v>334</v>
      </c>
      <c r="DD24" s="83" t="s">
        <v>335</v>
      </c>
      <c r="DE24" s="83" t="s">
        <v>315</v>
      </c>
      <c r="DF24" s="83"/>
      <c r="DG24" s="83"/>
      <c r="DH24" s="83" t="s">
        <v>68</v>
      </c>
      <c r="DI24" s="110" t="s">
        <v>331</v>
      </c>
      <c r="DJ24" s="83" t="s">
        <v>315</v>
      </c>
      <c r="DK24" s="83" t="s">
        <v>332</v>
      </c>
      <c r="DL24" s="83" t="s">
        <v>408</v>
      </c>
      <c r="DM24" s="110" t="s">
        <v>334</v>
      </c>
      <c r="DN24" s="83" t="s">
        <v>335</v>
      </c>
      <c r="DO24" s="83" t="s">
        <v>315</v>
      </c>
      <c r="DP24" s="46"/>
      <c r="DQ24" s="46"/>
      <c r="DR24" s="83" t="s">
        <v>68</v>
      </c>
      <c r="DS24" s="110" t="s">
        <v>331</v>
      </c>
      <c r="DT24" s="83" t="s">
        <v>315</v>
      </c>
      <c r="DU24" s="83" t="s">
        <v>332</v>
      </c>
      <c r="DV24" s="83" t="s">
        <v>408</v>
      </c>
      <c r="DW24" s="83" t="s">
        <v>334</v>
      </c>
      <c r="DX24" s="83" t="s">
        <v>335</v>
      </c>
      <c r="DY24" s="83" t="s">
        <v>315</v>
      </c>
      <c r="DZ24" s="83"/>
      <c r="EA24" s="83"/>
      <c r="EB24" s="83" t="s">
        <v>68</v>
      </c>
      <c r="EC24" s="110" t="s">
        <v>331</v>
      </c>
      <c r="ED24" s="83" t="s">
        <v>315</v>
      </c>
      <c r="EE24" s="83" t="s">
        <v>332</v>
      </c>
      <c r="EF24" s="83" t="s">
        <v>408</v>
      </c>
      <c r="EG24" s="83" t="s">
        <v>334</v>
      </c>
      <c r="EH24" s="83" t="s">
        <v>335</v>
      </c>
      <c r="EI24" s="83" t="s">
        <v>315</v>
      </c>
      <c r="EJ24" s="46"/>
      <c r="EK24" s="46"/>
      <c r="EL24" s="83" t="s">
        <v>68</v>
      </c>
      <c r="EM24" s="110" t="s">
        <v>331</v>
      </c>
      <c r="EN24" s="83" t="s">
        <v>315</v>
      </c>
      <c r="EO24" s="83" t="s">
        <v>332</v>
      </c>
      <c r="EP24" s="83" t="s">
        <v>408</v>
      </c>
      <c r="EQ24" s="83" t="s">
        <v>334</v>
      </c>
      <c r="ER24" s="83" t="s">
        <v>335</v>
      </c>
      <c r="ES24" s="83" t="s">
        <v>315</v>
      </c>
      <c r="ET24" s="83"/>
      <c r="EU24" s="83"/>
      <c r="EV24" s="83" t="s">
        <v>68</v>
      </c>
      <c r="EW24" s="110" t="s">
        <v>331</v>
      </c>
      <c r="EX24" s="83" t="s">
        <v>315</v>
      </c>
      <c r="EY24" s="83" t="s">
        <v>332</v>
      </c>
      <c r="EZ24" s="83" t="s">
        <v>408</v>
      </c>
      <c r="FA24" s="83" t="s">
        <v>334</v>
      </c>
      <c r="FB24" s="83" t="s">
        <v>335</v>
      </c>
      <c r="FC24" s="83" t="s">
        <v>315</v>
      </c>
      <c r="FD24" s="46"/>
      <c r="FE24" s="46"/>
      <c r="FF24" s="83" t="s">
        <v>68</v>
      </c>
      <c r="FG24" s="110" t="s">
        <v>331</v>
      </c>
      <c r="FH24" s="83" t="s">
        <v>315</v>
      </c>
      <c r="FI24" s="83" t="s">
        <v>332</v>
      </c>
      <c r="FJ24" s="83" t="s">
        <v>408</v>
      </c>
      <c r="FK24" s="83" t="s">
        <v>334</v>
      </c>
      <c r="FL24" s="83" t="s">
        <v>335</v>
      </c>
      <c r="FM24" s="83" t="s">
        <v>315</v>
      </c>
      <c r="FN24" s="83"/>
      <c r="FO24" s="83"/>
      <c r="FP24" s="83" t="s">
        <v>68</v>
      </c>
      <c r="FQ24" s="110" t="s">
        <v>331</v>
      </c>
      <c r="FR24" s="83" t="s">
        <v>315</v>
      </c>
      <c r="FS24" s="83" t="s">
        <v>332</v>
      </c>
      <c r="FT24" s="83" t="s">
        <v>408</v>
      </c>
      <c r="FU24" s="83" t="s">
        <v>334</v>
      </c>
      <c r="FV24" s="83" t="s">
        <v>335</v>
      </c>
      <c r="FW24" s="83" t="s">
        <v>315</v>
      </c>
      <c r="FX24" s="46"/>
      <c r="FY24" s="46"/>
      <c r="FZ24" s="83" t="s">
        <v>68</v>
      </c>
      <c r="GA24" s="110" t="s">
        <v>331</v>
      </c>
      <c r="GB24" s="83" t="s">
        <v>315</v>
      </c>
      <c r="GC24" s="83" t="s">
        <v>332</v>
      </c>
      <c r="GD24" s="83" t="s">
        <v>408</v>
      </c>
      <c r="GE24" s="83" t="s">
        <v>334</v>
      </c>
      <c r="GF24" s="83" t="s">
        <v>335</v>
      </c>
      <c r="GG24" s="83" t="s">
        <v>315</v>
      </c>
      <c r="GH24" s="83"/>
      <c r="GI24" s="83"/>
      <c r="GJ24" s="83" t="s">
        <v>68</v>
      </c>
      <c r="GK24" s="110" t="s">
        <v>331</v>
      </c>
      <c r="GL24" s="83" t="s">
        <v>315</v>
      </c>
      <c r="GM24" s="83" t="s">
        <v>332</v>
      </c>
      <c r="GN24" s="83" t="s">
        <v>408</v>
      </c>
      <c r="GO24" s="83" t="s">
        <v>334</v>
      </c>
      <c r="GP24" s="83" t="s">
        <v>335</v>
      </c>
      <c r="GQ24" s="83" t="s">
        <v>315</v>
      </c>
      <c r="GR24" s="46"/>
      <c r="GS24" s="46"/>
      <c r="GT24" s="83" t="s">
        <v>68</v>
      </c>
      <c r="GU24" s="110" t="s">
        <v>331</v>
      </c>
      <c r="GV24" s="83" t="s">
        <v>315</v>
      </c>
      <c r="GW24" s="83" t="s">
        <v>332</v>
      </c>
      <c r="GX24" s="83" t="s">
        <v>408</v>
      </c>
      <c r="GY24" s="83" t="s">
        <v>334</v>
      </c>
      <c r="GZ24" s="83" t="s">
        <v>335</v>
      </c>
      <c r="HA24" s="83" t="s">
        <v>315</v>
      </c>
      <c r="HB24" s="83"/>
      <c r="HC24" s="83"/>
      <c r="HD24" s="83" t="s">
        <v>68</v>
      </c>
      <c r="HE24" s="110" t="s">
        <v>331</v>
      </c>
      <c r="HF24" s="83" t="s">
        <v>315</v>
      </c>
      <c r="HG24" s="83" t="s">
        <v>332</v>
      </c>
      <c r="HH24" s="83" t="s">
        <v>408</v>
      </c>
      <c r="HI24" s="83" t="s">
        <v>334</v>
      </c>
      <c r="HJ24" s="83" t="s">
        <v>335</v>
      </c>
      <c r="HK24" s="83" t="s">
        <v>315</v>
      </c>
      <c r="HL24" s="46"/>
      <c r="HM24" s="46"/>
      <c r="HN24" s="83" t="s">
        <v>68</v>
      </c>
      <c r="HO24" s="110" t="s">
        <v>331</v>
      </c>
      <c r="HP24" s="83" t="s">
        <v>315</v>
      </c>
      <c r="HQ24" s="83" t="s">
        <v>332</v>
      </c>
      <c r="HR24" s="83" t="s">
        <v>408</v>
      </c>
      <c r="HS24" s="83" t="s">
        <v>334</v>
      </c>
      <c r="HT24" s="83" t="s">
        <v>335</v>
      </c>
      <c r="HU24" s="83" t="s">
        <v>315</v>
      </c>
      <c r="HV24" s="83"/>
      <c r="HW24" s="83"/>
      <c r="HX24" s="83" t="s">
        <v>68</v>
      </c>
      <c r="HY24" s="110" t="s">
        <v>331</v>
      </c>
      <c r="HZ24" s="83" t="s">
        <v>315</v>
      </c>
      <c r="IA24" s="83" t="s">
        <v>332</v>
      </c>
      <c r="IB24" s="83" t="s">
        <v>408</v>
      </c>
      <c r="IC24" s="83" t="s">
        <v>334</v>
      </c>
      <c r="ID24" s="83" t="s">
        <v>335</v>
      </c>
      <c r="IE24" s="83" t="s">
        <v>315</v>
      </c>
      <c r="IF24" s="46"/>
      <c r="IG24" s="46"/>
      <c r="IH24" s="81" t="s">
        <v>372</v>
      </c>
      <c r="II24" s="107" t="s">
        <v>331</v>
      </c>
      <c r="IJ24" s="46" t="s">
        <v>315</v>
      </c>
      <c r="IK24" s="12" t="s">
        <v>332</v>
      </c>
      <c r="IL24" s="12" t="s">
        <v>333</v>
      </c>
      <c r="IM24" s="72" t="s">
        <v>318</v>
      </c>
      <c r="IN24" s="72" t="s">
        <v>335</v>
      </c>
      <c r="IO24" s="72" t="s">
        <v>315</v>
      </c>
      <c r="IP24" s="83"/>
      <c r="IQ24" s="83"/>
      <c r="IR24" s="81" t="s">
        <v>372</v>
      </c>
      <c r="IS24" s="107" t="s">
        <v>331</v>
      </c>
      <c r="IT24" s="46" t="s">
        <v>315</v>
      </c>
      <c r="IU24" s="12" t="s">
        <v>332</v>
      </c>
      <c r="IV24" s="12" t="s">
        <v>333</v>
      </c>
      <c r="IW24" s="72" t="s">
        <v>318</v>
      </c>
      <c r="IX24" s="72" t="s">
        <v>335</v>
      </c>
      <c r="IY24" s="72" t="s">
        <v>315</v>
      </c>
      <c r="IZ24" s="46"/>
      <c r="JA24" s="46"/>
      <c r="JB24" s="12" t="s">
        <v>71</v>
      </c>
      <c r="JC24" s="12" t="s">
        <v>314</v>
      </c>
      <c r="JD24" s="12" t="s">
        <v>315</v>
      </c>
      <c r="JE24" s="12" t="s">
        <v>316</v>
      </c>
      <c r="JF24" s="12" t="s">
        <v>321</v>
      </c>
      <c r="JG24" s="72" t="s">
        <v>318</v>
      </c>
      <c r="JH24" s="72" t="s">
        <v>322</v>
      </c>
      <c r="JI24" s="72" t="s">
        <v>315</v>
      </c>
      <c r="JJ24" s="83"/>
      <c r="JK24" s="83"/>
      <c r="JL24" s="12" t="s">
        <v>71</v>
      </c>
      <c r="JM24" s="12" t="s">
        <v>314</v>
      </c>
      <c r="JN24" s="12" t="s">
        <v>315</v>
      </c>
      <c r="JO24" s="12" t="s">
        <v>316</v>
      </c>
      <c r="JP24" s="12" t="s">
        <v>321</v>
      </c>
      <c r="JQ24" s="72" t="s">
        <v>318</v>
      </c>
      <c r="JR24" s="72" t="s">
        <v>322</v>
      </c>
      <c r="JS24" s="72" t="s">
        <v>315</v>
      </c>
      <c r="JT24" s="46"/>
      <c r="JU24" s="46"/>
      <c r="JV24" s="12" t="s">
        <v>71</v>
      </c>
      <c r="JW24" s="12" t="s">
        <v>314</v>
      </c>
      <c r="JX24" s="12" t="s">
        <v>315</v>
      </c>
      <c r="JY24" s="12" t="s">
        <v>316</v>
      </c>
      <c r="JZ24" s="12" t="s">
        <v>321</v>
      </c>
      <c r="KA24" s="72" t="s">
        <v>318</v>
      </c>
      <c r="KB24" s="72" t="s">
        <v>322</v>
      </c>
      <c r="KC24" s="72" t="s">
        <v>315</v>
      </c>
      <c r="KD24" s="83"/>
      <c r="KE24" s="83"/>
      <c r="KF24" s="12" t="s">
        <v>71</v>
      </c>
      <c r="KG24" s="12" t="s">
        <v>314</v>
      </c>
      <c r="KH24" s="12" t="s">
        <v>315</v>
      </c>
      <c r="KI24" s="12" t="s">
        <v>316</v>
      </c>
      <c r="KJ24" s="12" t="s">
        <v>321</v>
      </c>
      <c r="KK24" s="72" t="s">
        <v>318</v>
      </c>
      <c r="KL24" s="72" t="s">
        <v>322</v>
      </c>
      <c r="KM24" s="72" t="s">
        <v>315</v>
      </c>
      <c r="KN24" s="46"/>
      <c r="KO24" s="46"/>
      <c r="KP24" s="12" t="s">
        <v>71</v>
      </c>
      <c r="KQ24" s="12" t="s">
        <v>314</v>
      </c>
      <c r="KR24" s="12" t="s">
        <v>315</v>
      </c>
      <c r="KS24" s="12" t="s">
        <v>316</v>
      </c>
      <c r="KT24" s="12" t="s">
        <v>321</v>
      </c>
      <c r="KU24" s="72" t="s">
        <v>318</v>
      </c>
      <c r="KV24" s="72" t="s">
        <v>322</v>
      </c>
      <c r="KW24" s="72" t="s">
        <v>315</v>
      </c>
      <c r="KX24" s="83"/>
      <c r="KY24" s="83"/>
      <c r="KZ24" s="81"/>
      <c r="LA24" s="46"/>
      <c r="LB24" s="46"/>
      <c r="LC24" s="46"/>
      <c r="LD24" s="46"/>
      <c r="LE24" s="85"/>
      <c r="LF24" s="41"/>
      <c r="LG24" s="46"/>
      <c r="LH24" s="46"/>
      <c r="LI24" s="46"/>
      <c r="LJ24" s="83"/>
      <c r="LK24" s="83"/>
      <c r="LL24" s="83"/>
      <c r="LM24" s="83"/>
      <c r="LN24" s="83"/>
      <c r="LO24" s="83"/>
      <c r="LP24" s="83"/>
      <c r="LQ24" s="83"/>
      <c r="LR24" s="83"/>
      <c r="LS24" s="83"/>
      <c r="LT24" s="81"/>
      <c r="LU24" s="46"/>
      <c r="LV24" s="46"/>
      <c r="LW24" s="46"/>
      <c r="LX24" s="46"/>
      <c r="LY24" s="85"/>
      <c r="LZ24" s="41"/>
      <c r="MA24" s="46"/>
      <c r="MB24" s="46"/>
      <c r="MC24" s="46"/>
      <c r="MD24" s="83"/>
      <c r="ME24" s="83"/>
      <c r="MF24" s="83"/>
      <c r="MG24" s="83"/>
      <c r="MH24" s="83"/>
      <c r="MI24" s="83"/>
      <c r="MJ24" s="83"/>
      <c r="MK24" s="83"/>
      <c r="ML24" s="83"/>
      <c r="MM24" s="83"/>
      <c r="MN24" s="81"/>
      <c r="MO24" s="46"/>
      <c r="MP24" s="46"/>
      <c r="MQ24" s="46"/>
      <c r="MR24" s="46"/>
      <c r="MS24" s="85"/>
      <c r="MT24" s="41"/>
      <c r="MU24" s="46"/>
      <c r="MV24" s="46"/>
      <c r="MW24" s="46"/>
      <c r="MX24" s="83"/>
      <c r="MY24" s="83"/>
      <c r="MZ24" s="83"/>
      <c r="NA24" s="83"/>
      <c r="NB24" s="83"/>
      <c r="NC24" s="83"/>
      <c r="ND24" s="83"/>
      <c r="NE24" s="83"/>
      <c r="NF24" s="83"/>
      <c r="NG24" s="83"/>
      <c r="NH24" s="81"/>
      <c r="NI24" s="46"/>
      <c r="NJ24" s="46"/>
      <c r="NK24" s="46"/>
      <c r="NL24" s="46"/>
      <c r="NM24" s="85"/>
      <c r="NN24" s="41"/>
      <c r="NO24" s="46"/>
      <c r="NP24" s="46"/>
      <c r="NQ24" s="46"/>
      <c r="NR24" s="83"/>
      <c r="NS24" s="83"/>
      <c r="NT24" s="83"/>
      <c r="NU24" s="83"/>
      <c r="NV24" s="83"/>
      <c r="NW24" s="83"/>
      <c r="NX24" s="83"/>
      <c r="NY24" s="83"/>
      <c r="NZ24" s="83"/>
      <c r="OA24" s="83"/>
      <c r="OB24" s="81"/>
      <c r="OC24" s="46"/>
      <c r="OD24" s="46"/>
      <c r="OE24" s="46"/>
      <c r="OF24" s="46"/>
      <c r="OG24" s="85"/>
      <c r="OH24" s="41"/>
      <c r="OI24" s="46"/>
      <c r="OJ24" s="46"/>
      <c r="OK24" s="46"/>
      <c r="OL24" s="83"/>
      <c r="OM24" s="83"/>
      <c r="ON24" s="83"/>
      <c r="OO24" s="83"/>
      <c r="OP24" s="83"/>
      <c r="OQ24" s="83"/>
      <c r="OR24" s="83"/>
      <c r="OS24" s="83"/>
      <c r="OT24" s="83"/>
      <c r="OU24" s="83"/>
      <c r="OV24" s="81"/>
      <c r="OW24" s="46"/>
      <c r="OX24" s="46"/>
      <c r="OY24" s="46"/>
      <c r="OZ24" s="46"/>
      <c r="PA24" s="85"/>
      <c r="PB24" s="41"/>
      <c r="PC24" s="46"/>
      <c r="PD24" s="46"/>
      <c r="PE24" s="46"/>
      <c r="PF24" s="83"/>
      <c r="PG24" s="83"/>
      <c r="PH24" s="83"/>
      <c r="PI24" s="83"/>
      <c r="PJ24" s="83"/>
      <c r="PK24" s="83"/>
      <c r="PL24" s="83"/>
      <c r="PM24" s="83"/>
      <c r="PN24" s="83"/>
      <c r="PO24" s="83"/>
      <c r="PP24" s="81"/>
      <c r="PQ24" s="46"/>
      <c r="PR24" s="46"/>
      <c r="PS24" s="46"/>
      <c r="PT24" s="46"/>
      <c r="PU24" s="85"/>
      <c r="PV24" s="41"/>
      <c r="PW24" s="46"/>
      <c r="PX24" s="46"/>
      <c r="PY24" s="46"/>
      <c r="PZ24" s="83"/>
      <c r="QA24" s="83"/>
      <c r="QB24" s="83"/>
      <c r="QC24" s="83"/>
      <c r="QD24" s="83"/>
      <c r="QE24" s="83"/>
      <c r="QF24" s="83"/>
      <c r="QG24" s="83"/>
      <c r="QH24" s="83"/>
      <c r="QI24" s="83"/>
      <c r="QJ24" s="81"/>
      <c r="QK24" s="46"/>
      <c r="QL24" s="46"/>
      <c r="QM24" s="46"/>
      <c r="QN24" s="46"/>
      <c r="QO24" s="85"/>
      <c r="QP24" s="41"/>
      <c r="QQ24" s="46"/>
      <c r="QR24" s="46"/>
      <c r="QS24" s="46"/>
      <c r="QT24" s="83"/>
      <c r="QU24" s="83"/>
      <c r="QV24" s="83"/>
      <c r="QW24" s="83"/>
      <c r="QX24" s="83"/>
      <c r="QY24" s="83"/>
      <c r="QZ24" s="83"/>
      <c r="RA24" s="83"/>
      <c r="RB24" s="83"/>
      <c r="RC24" s="83"/>
      <c r="RD24" s="81"/>
      <c r="RE24" s="46"/>
      <c r="RF24" s="46"/>
      <c r="RG24" s="46"/>
      <c r="RH24" s="46"/>
      <c r="RI24" s="85"/>
      <c r="RJ24" s="41"/>
      <c r="RK24" s="46"/>
      <c r="RL24" s="46"/>
      <c r="RM24" s="46"/>
      <c r="RN24" s="83"/>
      <c r="RO24" s="83"/>
      <c r="RP24" s="83"/>
      <c r="RQ24" s="83"/>
      <c r="RR24" s="83"/>
      <c r="RS24" s="83"/>
      <c r="RT24" s="83"/>
      <c r="RU24" s="83"/>
      <c r="RV24" s="83"/>
      <c r="RW24" s="83"/>
      <c r="RX24" s="81"/>
      <c r="RY24" s="46"/>
      <c r="RZ24" s="46"/>
      <c r="SA24" s="46"/>
      <c r="SB24" s="46"/>
      <c r="SC24" s="85"/>
      <c r="SD24" s="41"/>
      <c r="SE24" s="46"/>
      <c r="SF24" s="46"/>
      <c r="SG24" s="46"/>
    </row>
    <row r="25" spans="1:501" s="44" customFormat="1" ht="20.399999999999999" customHeight="1" x14ac:dyDescent="0.3">
      <c r="A25" s="66" t="s">
        <v>175</v>
      </c>
      <c r="B25" s="66" t="s">
        <v>359</v>
      </c>
      <c r="C25" s="66" t="s">
        <v>360</v>
      </c>
      <c r="D25" s="49" t="s">
        <v>475</v>
      </c>
      <c r="E25" s="49" t="s">
        <v>332</v>
      </c>
      <c r="F25" s="49" t="s">
        <v>333</v>
      </c>
      <c r="G25" s="206" t="s">
        <v>360</v>
      </c>
      <c r="H25" s="206" t="s">
        <v>362</v>
      </c>
      <c r="I25" s="206" t="s">
        <v>476</v>
      </c>
      <c r="J25" s="70"/>
      <c r="K25" s="70"/>
      <c r="L25" s="201" t="s">
        <v>373</v>
      </c>
      <c r="M25" s="201" t="s">
        <v>331</v>
      </c>
      <c r="N25" s="82" t="s">
        <v>477</v>
      </c>
      <c r="O25" s="82" t="s">
        <v>332</v>
      </c>
      <c r="P25" s="82" t="s">
        <v>333</v>
      </c>
      <c r="Q25" s="82" t="s">
        <v>409</v>
      </c>
      <c r="R25" s="82" t="s">
        <v>410</v>
      </c>
      <c r="S25" s="82" t="s">
        <v>478</v>
      </c>
      <c r="T25" s="70"/>
      <c r="U25" s="77"/>
      <c r="V25" s="201" t="s">
        <v>373</v>
      </c>
      <c r="W25" s="201" t="s">
        <v>331</v>
      </c>
      <c r="X25" s="82" t="s">
        <v>479</v>
      </c>
      <c r="Y25" s="82" t="s">
        <v>332</v>
      </c>
      <c r="Z25" s="82" t="s">
        <v>333</v>
      </c>
      <c r="AA25" s="82" t="s">
        <v>409</v>
      </c>
      <c r="AB25" s="82" t="s">
        <v>410</v>
      </c>
      <c r="AC25" s="82" t="s">
        <v>480</v>
      </c>
      <c r="AD25" s="82"/>
      <c r="AE25" s="82"/>
      <c r="AF25" s="201" t="s">
        <v>373</v>
      </c>
      <c r="AG25" s="201" t="s">
        <v>331</v>
      </c>
      <c r="AH25" s="82" t="s">
        <v>481</v>
      </c>
      <c r="AI25" s="82" t="s">
        <v>332</v>
      </c>
      <c r="AJ25" s="82" t="s">
        <v>408</v>
      </c>
      <c r="AK25" s="82" t="s">
        <v>409</v>
      </c>
      <c r="AL25" s="82" t="s">
        <v>410</v>
      </c>
      <c r="AM25" s="53" t="s">
        <v>482</v>
      </c>
      <c r="AN25" s="53"/>
      <c r="AO25" s="53"/>
      <c r="AP25" s="201" t="s">
        <v>373</v>
      </c>
      <c r="AQ25" s="201" t="s">
        <v>331</v>
      </c>
      <c r="AR25" s="82" t="s">
        <v>483</v>
      </c>
      <c r="AS25" s="82" t="s">
        <v>332</v>
      </c>
      <c r="AT25" s="82" t="s">
        <v>408</v>
      </c>
      <c r="AU25" s="82" t="s">
        <v>409</v>
      </c>
      <c r="AV25" s="82" t="s">
        <v>410</v>
      </c>
      <c r="AW25" s="82" t="s">
        <v>484</v>
      </c>
      <c r="AX25" s="82"/>
      <c r="AY25" s="82"/>
      <c r="AZ25" s="108" t="s">
        <v>413</v>
      </c>
      <c r="BA25" s="109" t="s">
        <v>331</v>
      </c>
      <c r="BB25" s="53" t="s">
        <v>485</v>
      </c>
      <c r="BC25" s="53" t="s">
        <v>415</v>
      </c>
      <c r="BD25" s="53" t="s">
        <v>333</v>
      </c>
      <c r="BE25" s="84" t="s">
        <v>409</v>
      </c>
      <c r="BF25" s="52" t="s">
        <v>416</v>
      </c>
      <c r="BG25" s="53" t="s">
        <v>486</v>
      </c>
      <c r="BH25" s="53"/>
      <c r="BI25" s="53"/>
      <c r="BJ25" s="108" t="s">
        <v>413</v>
      </c>
      <c r="BK25" s="109" t="s">
        <v>331</v>
      </c>
      <c r="BL25" s="53" t="s">
        <v>487</v>
      </c>
      <c r="BM25" s="53" t="s">
        <v>332</v>
      </c>
      <c r="BN25" s="53" t="s">
        <v>333</v>
      </c>
      <c r="BO25" s="84" t="s">
        <v>409</v>
      </c>
      <c r="BP25" s="52" t="s">
        <v>416</v>
      </c>
      <c r="BQ25" s="82" t="s">
        <v>488</v>
      </c>
      <c r="BR25" s="82"/>
      <c r="BS25" s="82"/>
      <c r="BT25" s="80" t="s">
        <v>68</v>
      </c>
      <c r="BU25" s="53" t="s">
        <v>331</v>
      </c>
      <c r="BV25" s="53" t="s">
        <v>315</v>
      </c>
      <c r="BW25" s="53" t="s">
        <v>332</v>
      </c>
      <c r="BX25" s="53" t="s">
        <v>408</v>
      </c>
      <c r="BY25" s="84" t="s">
        <v>334</v>
      </c>
      <c r="BZ25" s="52" t="s">
        <v>335</v>
      </c>
      <c r="CA25" s="53" t="s">
        <v>315</v>
      </c>
      <c r="CB25" s="53"/>
      <c r="CC25" s="53"/>
      <c r="CD25" s="80" t="s">
        <v>68</v>
      </c>
      <c r="CE25" s="53" t="s">
        <v>331</v>
      </c>
      <c r="CF25" s="53" t="s">
        <v>315</v>
      </c>
      <c r="CG25" s="53" t="s">
        <v>332</v>
      </c>
      <c r="CH25" s="53" t="s">
        <v>408</v>
      </c>
      <c r="CI25" s="84" t="s">
        <v>334</v>
      </c>
      <c r="CJ25" s="52" t="s">
        <v>335</v>
      </c>
      <c r="CK25" s="53" t="s">
        <v>315</v>
      </c>
      <c r="CL25" s="82"/>
      <c r="CM25" s="82"/>
      <c r="CN25" s="80" t="s">
        <v>68</v>
      </c>
      <c r="CO25" s="53" t="s">
        <v>331</v>
      </c>
      <c r="CP25" s="53" t="s">
        <v>315</v>
      </c>
      <c r="CQ25" s="53" t="s">
        <v>332</v>
      </c>
      <c r="CR25" s="53" t="s">
        <v>408</v>
      </c>
      <c r="CS25" s="84" t="s">
        <v>334</v>
      </c>
      <c r="CT25" s="52" t="s">
        <v>335</v>
      </c>
      <c r="CU25" s="53" t="s">
        <v>315</v>
      </c>
      <c r="CV25" s="53"/>
      <c r="CW25" s="53"/>
      <c r="CX25" s="80" t="s">
        <v>68</v>
      </c>
      <c r="CY25" s="53" t="s">
        <v>331</v>
      </c>
      <c r="CZ25" s="53" t="s">
        <v>315</v>
      </c>
      <c r="DA25" s="53" t="s">
        <v>332</v>
      </c>
      <c r="DB25" s="53" t="s">
        <v>408</v>
      </c>
      <c r="DC25" s="84" t="s">
        <v>334</v>
      </c>
      <c r="DD25" s="52" t="s">
        <v>335</v>
      </c>
      <c r="DE25" s="53" t="s">
        <v>315</v>
      </c>
      <c r="DF25" s="82"/>
      <c r="DG25" s="82"/>
      <c r="DH25" s="80" t="s">
        <v>69</v>
      </c>
      <c r="DI25" s="109" t="s">
        <v>318</v>
      </c>
      <c r="DJ25" s="53" t="s">
        <v>315</v>
      </c>
      <c r="DK25" s="53" t="s">
        <v>336</v>
      </c>
      <c r="DL25" s="53" t="s">
        <v>321</v>
      </c>
      <c r="DM25" s="203" t="s">
        <v>318</v>
      </c>
      <c r="DN25" s="52" t="s">
        <v>391</v>
      </c>
      <c r="DO25" s="53" t="s">
        <v>315</v>
      </c>
      <c r="DP25" s="53"/>
      <c r="DQ25" s="53"/>
      <c r="DR25" s="82" t="s">
        <v>313</v>
      </c>
      <c r="DS25" s="82" t="s">
        <v>318</v>
      </c>
      <c r="DT25" s="82" t="s">
        <v>315</v>
      </c>
      <c r="DU25" s="82" t="s">
        <v>336</v>
      </c>
      <c r="DV25" s="82" t="s">
        <v>317</v>
      </c>
      <c r="DW25" s="82" t="s">
        <v>318</v>
      </c>
      <c r="DX25" s="82" t="s">
        <v>337</v>
      </c>
      <c r="DY25" s="82" t="s">
        <v>315</v>
      </c>
      <c r="DZ25" s="82"/>
      <c r="EA25" s="82"/>
      <c r="EB25" s="82" t="s">
        <v>313</v>
      </c>
      <c r="EC25" s="82" t="s">
        <v>318</v>
      </c>
      <c r="ED25" s="82" t="s">
        <v>315</v>
      </c>
      <c r="EE25" s="82" t="s">
        <v>336</v>
      </c>
      <c r="EF25" s="82" t="s">
        <v>317</v>
      </c>
      <c r="EG25" s="82" t="s">
        <v>318</v>
      </c>
      <c r="EH25" s="82" t="s">
        <v>337</v>
      </c>
      <c r="EI25" s="82" t="s">
        <v>315</v>
      </c>
      <c r="EJ25" s="53"/>
      <c r="EK25" s="53"/>
      <c r="EL25" s="82" t="s">
        <v>313</v>
      </c>
      <c r="EM25" s="82" t="s">
        <v>318</v>
      </c>
      <c r="EN25" s="82" t="s">
        <v>315</v>
      </c>
      <c r="EO25" s="82" t="s">
        <v>336</v>
      </c>
      <c r="EP25" s="82" t="s">
        <v>317</v>
      </c>
      <c r="EQ25" s="82" t="s">
        <v>318</v>
      </c>
      <c r="ER25" s="82" t="s">
        <v>337</v>
      </c>
      <c r="ES25" s="82" t="s">
        <v>315</v>
      </c>
      <c r="ET25" s="82"/>
      <c r="EU25" s="82"/>
      <c r="EV25" s="82" t="s">
        <v>313</v>
      </c>
      <c r="EW25" s="82" t="s">
        <v>318</v>
      </c>
      <c r="EX25" s="82" t="s">
        <v>315</v>
      </c>
      <c r="EY25" s="82" t="s">
        <v>336</v>
      </c>
      <c r="EZ25" s="82" t="s">
        <v>317</v>
      </c>
      <c r="FA25" s="82" t="s">
        <v>318</v>
      </c>
      <c r="FB25" s="82" t="s">
        <v>337</v>
      </c>
      <c r="FC25" s="82" t="s">
        <v>315</v>
      </c>
      <c r="FD25" s="53"/>
      <c r="FE25" s="53"/>
      <c r="FF25" s="82" t="s">
        <v>313</v>
      </c>
      <c r="FG25" s="82" t="s">
        <v>318</v>
      </c>
      <c r="FH25" s="82" t="s">
        <v>315</v>
      </c>
      <c r="FI25" s="82" t="s">
        <v>336</v>
      </c>
      <c r="FJ25" s="82" t="s">
        <v>317</v>
      </c>
      <c r="FK25" s="82" t="s">
        <v>318</v>
      </c>
      <c r="FL25" s="82" t="s">
        <v>337</v>
      </c>
      <c r="FM25" s="82" t="s">
        <v>315</v>
      </c>
      <c r="FN25" s="82"/>
      <c r="FO25" s="82"/>
      <c r="FP25" s="82" t="s">
        <v>313</v>
      </c>
      <c r="FQ25" s="82" t="s">
        <v>318</v>
      </c>
      <c r="FR25" s="82" t="s">
        <v>315</v>
      </c>
      <c r="FS25" s="82" t="s">
        <v>336</v>
      </c>
      <c r="FT25" s="82" t="s">
        <v>317</v>
      </c>
      <c r="FU25" s="82" t="s">
        <v>318</v>
      </c>
      <c r="FV25" s="82" t="s">
        <v>337</v>
      </c>
      <c r="FW25" s="82" t="s">
        <v>315</v>
      </c>
      <c r="FX25" s="53"/>
      <c r="FY25" s="53"/>
      <c r="FZ25" s="82" t="s">
        <v>313</v>
      </c>
      <c r="GA25" s="82" t="s">
        <v>318</v>
      </c>
      <c r="GB25" s="82" t="s">
        <v>315</v>
      </c>
      <c r="GC25" s="82" t="s">
        <v>336</v>
      </c>
      <c r="GD25" s="82" t="s">
        <v>317</v>
      </c>
      <c r="GE25" s="82" t="s">
        <v>318</v>
      </c>
      <c r="GF25" s="82" t="s">
        <v>337</v>
      </c>
      <c r="GG25" s="82" t="s">
        <v>315</v>
      </c>
      <c r="GH25" s="82"/>
      <c r="GI25" s="82"/>
      <c r="GJ25" s="80"/>
      <c r="GK25" s="53"/>
      <c r="GL25" s="53"/>
      <c r="GM25" s="53"/>
      <c r="GN25" s="53"/>
      <c r="GO25" s="84"/>
      <c r="GP25" s="52"/>
      <c r="GQ25" s="53"/>
      <c r="GR25" s="53"/>
      <c r="GS25" s="53"/>
      <c r="GT25" s="82"/>
      <c r="GU25" s="82"/>
      <c r="GV25" s="82"/>
      <c r="GW25" s="82"/>
      <c r="GX25" s="82"/>
      <c r="GY25" s="82"/>
      <c r="GZ25" s="82"/>
      <c r="HA25" s="82"/>
      <c r="HB25" s="82"/>
      <c r="HC25" s="82"/>
      <c r="HD25" s="80"/>
      <c r="HE25" s="53"/>
      <c r="HF25" s="53"/>
      <c r="HG25" s="53"/>
      <c r="HH25" s="53"/>
      <c r="HI25" s="84"/>
      <c r="HJ25" s="52"/>
      <c r="HK25" s="53"/>
      <c r="HL25" s="53"/>
      <c r="HM25" s="53"/>
      <c r="HN25" s="82"/>
      <c r="HO25" s="82"/>
      <c r="HP25" s="82"/>
      <c r="HQ25" s="82"/>
      <c r="HR25" s="82"/>
      <c r="HS25" s="82"/>
      <c r="HT25" s="82"/>
      <c r="HU25" s="82"/>
      <c r="HV25" s="82"/>
      <c r="HW25" s="82"/>
      <c r="HX25" s="80"/>
      <c r="HY25" s="53"/>
      <c r="HZ25" s="53"/>
      <c r="IA25" s="53"/>
      <c r="IB25" s="53"/>
      <c r="IC25" s="84"/>
      <c r="ID25" s="52"/>
      <c r="IE25" s="53"/>
      <c r="IF25" s="53"/>
      <c r="IG25" s="53"/>
      <c r="IH25" s="82"/>
      <c r="II25" s="82"/>
      <c r="IJ25" s="82"/>
      <c r="IK25" s="82"/>
      <c r="IL25" s="82"/>
      <c r="IM25" s="82"/>
      <c r="IN25" s="82"/>
      <c r="IO25" s="82"/>
      <c r="IP25" s="82"/>
      <c r="IQ25" s="82"/>
      <c r="IR25" s="80"/>
      <c r="IS25" s="53"/>
      <c r="IT25" s="53"/>
      <c r="IU25" s="53"/>
      <c r="IV25" s="53"/>
      <c r="IW25" s="84"/>
      <c r="IX25" s="52"/>
      <c r="IY25" s="53"/>
      <c r="IZ25" s="53"/>
      <c r="JA25" s="53"/>
      <c r="JB25" s="82"/>
      <c r="JC25" s="82"/>
      <c r="JD25" s="82"/>
      <c r="JE25" s="82"/>
      <c r="JF25" s="82"/>
      <c r="JG25" s="82"/>
      <c r="JH25" s="82"/>
      <c r="JI25" s="82"/>
      <c r="JJ25" s="82"/>
      <c r="JK25" s="82"/>
      <c r="JL25" s="80"/>
      <c r="JM25" s="53"/>
      <c r="JN25" s="53"/>
      <c r="JO25" s="53"/>
      <c r="JP25" s="53"/>
      <c r="JQ25" s="84"/>
      <c r="JR25" s="52"/>
      <c r="JS25" s="53"/>
      <c r="JT25" s="53"/>
      <c r="JU25" s="53"/>
      <c r="JV25" s="82"/>
      <c r="JW25" s="82"/>
      <c r="JX25" s="82"/>
      <c r="JY25" s="82"/>
      <c r="JZ25" s="82"/>
      <c r="KA25" s="82"/>
      <c r="KB25" s="82"/>
      <c r="KC25" s="82"/>
      <c r="KD25" s="82"/>
      <c r="KE25" s="82"/>
      <c r="KF25" s="80"/>
      <c r="KG25" s="53"/>
      <c r="KH25" s="53"/>
      <c r="KI25" s="53"/>
      <c r="KJ25" s="53"/>
      <c r="KK25" s="84"/>
      <c r="KL25" s="52"/>
      <c r="KM25" s="53"/>
      <c r="KN25" s="53"/>
      <c r="KO25" s="53"/>
      <c r="KP25" s="82"/>
      <c r="KQ25" s="82"/>
      <c r="KR25" s="82"/>
      <c r="KS25" s="82"/>
      <c r="KT25" s="82"/>
      <c r="KU25" s="82"/>
      <c r="KV25" s="82"/>
      <c r="KW25" s="82"/>
      <c r="KX25" s="82"/>
      <c r="KY25" s="82"/>
      <c r="KZ25" s="80"/>
      <c r="LA25" s="53"/>
      <c r="LB25" s="53"/>
      <c r="LC25" s="53"/>
      <c r="LD25" s="53"/>
      <c r="LE25" s="84"/>
      <c r="LF25" s="52"/>
      <c r="LG25" s="53"/>
      <c r="LH25" s="53"/>
      <c r="LI25" s="53"/>
      <c r="LJ25" s="82"/>
      <c r="LK25" s="82"/>
      <c r="LL25" s="82"/>
      <c r="LM25" s="82"/>
      <c r="LN25" s="82"/>
      <c r="LO25" s="82"/>
      <c r="LP25" s="82"/>
      <c r="LQ25" s="82"/>
      <c r="LR25" s="82"/>
      <c r="LS25" s="82"/>
      <c r="LT25" s="80"/>
      <c r="LU25" s="53"/>
      <c r="LV25" s="53"/>
      <c r="LW25" s="53"/>
      <c r="LX25" s="53"/>
      <c r="LY25" s="84"/>
      <c r="LZ25" s="52"/>
      <c r="MA25" s="53"/>
      <c r="MB25" s="53"/>
      <c r="MC25" s="53"/>
      <c r="MD25" s="82"/>
      <c r="ME25" s="82"/>
      <c r="MF25" s="82"/>
      <c r="MG25" s="82"/>
      <c r="MH25" s="82"/>
      <c r="MI25" s="82"/>
      <c r="MJ25" s="82"/>
      <c r="MK25" s="82"/>
      <c r="ML25" s="82"/>
      <c r="MM25" s="82"/>
      <c r="MN25" s="80"/>
      <c r="MO25" s="53"/>
      <c r="MP25" s="53"/>
      <c r="MQ25" s="53"/>
      <c r="MR25" s="53"/>
      <c r="MS25" s="84"/>
      <c r="MT25" s="52"/>
      <c r="MU25" s="53"/>
      <c r="MV25" s="53"/>
      <c r="MW25" s="53"/>
      <c r="MX25" s="82"/>
      <c r="MY25" s="82"/>
      <c r="MZ25" s="82"/>
      <c r="NA25" s="82"/>
      <c r="NB25" s="82"/>
      <c r="NC25" s="82"/>
      <c r="ND25" s="82"/>
      <c r="NE25" s="82"/>
      <c r="NF25" s="82"/>
      <c r="NG25" s="82"/>
      <c r="NH25" s="80"/>
      <c r="NI25" s="53"/>
      <c r="NJ25" s="53"/>
      <c r="NK25" s="53"/>
      <c r="NL25" s="53"/>
      <c r="NM25" s="84"/>
      <c r="NN25" s="52"/>
      <c r="NO25" s="53"/>
      <c r="NP25" s="53"/>
      <c r="NQ25" s="53"/>
      <c r="NR25" s="82"/>
      <c r="NS25" s="82"/>
      <c r="NT25" s="82"/>
      <c r="NU25" s="82"/>
      <c r="NV25" s="82"/>
      <c r="NW25" s="82"/>
      <c r="NX25" s="82"/>
      <c r="NY25" s="82"/>
      <c r="NZ25" s="82"/>
      <c r="OA25" s="82"/>
      <c r="OB25" s="80"/>
      <c r="OC25" s="53"/>
      <c r="OD25" s="53"/>
      <c r="OE25" s="53"/>
      <c r="OF25" s="53"/>
      <c r="OG25" s="84"/>
      <c r="OH25" s="52"/>
      <c r="OI25" s="53"/>
      <c r="OJ25" s="53"/>
      <c r="OK25" s="53"/>
      <c r="OL25" s="82"/>
      <c r="OM25" s="82"/>
      <c r="ON25" s="82"/>
      <c r="OO25" s="82"/>
      <c r="OP25" s="82"/>
      <c r="OQ25" s="82"/>
      <c r="OR25" s="82"/>
      <c r="OS25" s="82"/>
      <c r="OT25" s="82"/>
      <c r="OU25" s="82"/>
      <c r="OV25" s="80"/>
      <c r="OW25" s="53"/>
      <c r="OX25" s="53"/>
      <c r="OY25" s="53"/>
      <c r="OZ25" s="53"/>
      <c r="PA25" s="84"/>
      <c r="PB25" s="52"/>
      <c r="PC25" s="53"/>
      <c r="PD25" s="53"/>
      <c r="PE25" s="53"/>
      <c r="PF25" s="82"/>
      <c r="PG25" s="82"/>
      <c r="PH25" s="82"/>
      <c r="PI25" s="82"/>
      <c r="PJ25" s="82"/>
      <c r="PK25" s="82"/>
      <c r="PL25" s="82"/>
      <c r="PM25" s="82"/>
      <c r="PN25" s="82"/>
      <c r="PO25" s="82"/>
      <c r="PP25" s="80"/>
      <c r="PQ25" s="53"/>
      <c r="PR25" s="53"/>
      <c r="PS25" s="53"/>
      <c r="PT25" s="53"/>
      <c r="PU25" s="84"/>
      <c r="PV25" s="52"/>
      <c r="PW25" s="53"/>
      <c r="PX25" s="53"/>
      <c r="PY25" s="53"/>
      <c r="PZ25" s="82"/>
      <c r="QA25" s="82"/>
      <c r="QB25" s="82"/>
      <c r="QC25" s="82"/>
      <c r="QD25" s="82"/>
      <c r="QE25" s="82"/>
      <c r="QF25" s="82"/>
      <c r="QG25" s="82"/>
      <c r="QH25" s="82"/>
      <c r="QI25" s="82"/>
      <c r="QJ25" s="80"/>
      <c r="QK25" s="53"/>
      <c r="QL25" s="53"/>
      <c r="QM25" s="53"/>
      <c r="QN25" s="53"/>
      <c r="QO25" s="84"/>
      <c r="QP25" s="52"/>
      <c r="QQ25" s="53"/>
      <c r="QR25" s="53"/>
      <c r="QS25" s="53"/>
      <c r="QT25" s="82"/>
      <c r="QU25" s="82"/>
      <c r="QV25" s="82"/>
      <c r="QW25" s="82"/>
      <c r="QX25" s="82"/>
      <c r="QY25" s="82"/>
      <c r="QZ25" s="82"/>
      <c r="RA25" s="82"/>
      <c r="RB25" s="82"/>
      <c r="RC25" s="82"/>
      <c r="RD25" s="80"/>
      <c r="RE25" s="53"/>
      <c r="RF25" s="53"/>
      <c r="RG25" s="53"/>
      <c r="RH25" s="53"/>
      <c r="RI25" s="84"/>
      <c r="RJ25" s="52"/>
      <c r="RK25" s="53"/>
      <c r="RL25" s="53"/>
      <c r="RM25" s="53"/>
      <c r="RN25" s="82"/>
      <c r="RO25" s="82"/>
      <c r="RP25" s="82"/>
      <c r="RQ25" s="82"/>
      <c r="RR25" s="82"/>
      <c r="RS25" s="82"/>
      <c r="RT25" s="82"/>
      <c r="RU25" s="82"/>
      <c r="RV25" s="82"/>
      <c r="RW25" s="82"/>
      <c r="RX25" s="80"/>
      <c r="RY25" s="53"/>
      <c r="RZ25" s="53"/>
      <c r="SA25" s="53"/>
      <c r="SB25" s="53"/>
      <c r="SC25" s="84"/>
      <c r="SD25" s="52"/>
      <c r="SE25" s="53"/>
      <c r="SF25" s="53"/>
      <c r="SG25" s="53"/>
    </row>
    <row r="26" spans="1:501" s="44" customFormat="1" ht="20.399999999999999" customHeight="1" x14ac:dyDescent="0.3">
      <c r="A26" s="125" t="s">
        <v>179</v>
      </c>
      <c r="B26" s="125" t="s">
        <v>359</v>
      </c>
      <c r="C26" s="125" t="s">
        <v>360</v>
      </c>
      <c r="D26" s="12" t="s">
        <v>489</v>
      </c>
      <c r="E26" s="12" t="s">
        <v>332</v>
      </c>
      <c r="F26" s="12" t="s">
        <v>333</v>
      </c>
      <c r="G26" s="125" t="s">
        <v>360</v>
      </c>
      <c r="H26" s="204" t="s">
        <v>460</v>
      </c>
      <c r="I26" s="204" t="s">
        <v>490</v>
      </c>
      <c r="J26" s="72"/>
      <c r="K26" s="72"/>
      <c r="L26" s="12" t="s">
        <v>71</v>
      </c>
      <c r="M26" s="125" t="s">
        <v>314</v>
      </c>
      <c r="N26" s="12" t="s">
        <v>491</v>
      </c>
      <c r="O26" s="12" t="s">
        <v>316</v>
      </c>
      <c r="P26" s="12" t="s">
        <v>321</v>
      </c>
      <c r="Q26" s="72" t="s">
        <v>318</v>
      </c>
      <c r="R26" s="72" t="s">
        <v>322</v>
      </c>
      <c r="S26" s="204" t="s">
        <v>492</v>
      </c>
      <c r="T26" s="72"/>
      <c r="U26" s="78"/>
      <c r="V26" s="12" t="s">
        <v>68</v>
      </c>
      <c r="W26" s="125" t="s">
        <v>331</v>
      </c>
      <c r="X26" s="12" t="s">
        <v>315</v>
      </c>
      <c r="Y26" s="83" t="s">
        <v>332</v>
      </c>
      <c r="Z26" s="12" t="s">
        <v>333</v>
      </c>
      <c r="AA26" s="83" t="s">
        <v>334</v>
      </c>
      <c r="AB26" s="83" t="s">
        <v>335</v>
      </c>
      <c r="AC26" s="83" t="s">
        <v>315</v>
      </c>
      <c r="AD26" s="83"/>
      <c r="AE26" s="83"/>
      <c r="AF26" s="12" t="s">
        <v>68</v>
      </c>
      <c r="AG26" s="125" t="s">
        <v>331</v>
      </c>
      <c r="AH26" s="12" t="s">
        <v>315</v>
      </c>
      <c r="AI26" s="83" t="s">
        <v>332</v>
      </c>
      <c r="AJ26" s="83" t="s">
        <v>408</v>
      </c>
      <c r="AK26" s="83" t="s">
        <v>334</v>
      </c>
      <c r="AL26" s="83" t="s">
        <v>335</v>
      </c>
      <c r="AM26" s="83" t="s">
        <v>315</v>
      </c>
      <c r="AN26" s="46"/>
      <c r="AO26" s="46"/>
      <c r="AP26" s="81" t="s">
        <v>372</v>
      </c>
      <c r="AQ26" s="46" t="s">
        <v>331</v>
      </c>
      <c r="AR26" s="46" t="s">
        <v>315</v>
      </c>
      <c r="AS26" s="12" t="s">
        <v>332</v>
      </c>
      <c r="AT26" s="12" t="s">
        <v>333</v>
      </c>
      <c r="AU26" s="72" t="s">
        <v>318</v>
      </c>
      <c r="AV26" s="72" t="s">
        <v>335</v>
      </c>
      <c r="AW26" s="46" t="s">
        <v>315</v>
      </c>
      <c r="AX26" s="83"/>
      <c r="AY26" s="83"/>
      <c r="AZ26" s="81" t="s">
        <v>372</v>
      </c>
      <c r="BA26" s="46" t="s">
        <v>331</v>
      </c>
      <c r="BB26" s="46" t="s">
        <v>315</v>
      </c>
      <c r="BC26" s="12" t="s">
        <v>332</v>
      </c>
      <c r="BD26" s="12" t="s">
        <v>333</v>
      </c>
      <c r="BE26" s="72" t="s">
        <v>318</v>
      </c>
      <c r="BF26" s="72" t="s">
        <v>335</v>
      </c>
      <c r="BG26" s="46" t="s">
        <v>315</v>
      </c>
      <c r="BH26" s="46"/>
      <c r="BI26" s="46"/>
      <c r="BJ26" s="12" t="s">
        <v>71</v>
      </c>
      <c r="BK26" s="12" t="s">
        <v>314</v>
      </c>
      <c r="BL26" s="12" t="s">
        <v>315</v>
      </c>
      <c r="BM26" s="12" t="s">
        <v>316</v>
      </c>
      <c r="BN26" s="12" t="s">
        <v>321</v>
      </c>
      <c r="BO26" s="72" t="s">
        <v>318</v>
      </c>
      <c r="BP26" s="72" t="s">
        <v>322</v>
      </c>
      <c r="BQ26" s="72" t="s">
        <v>315</v>
      </c>
      <c r="BR26" s="83"/>
      <c r="BS26" s="83"/>
      <c r="BT26" s="12" t="s">
        <v>71</v>
      </c>
      <c r="BU26" s="12" t="s">
        <v>314</v>
      </c>
      <c r="BV26" s="12" t="s">
        <v>315</v>
      </c>
      <c r="BW26" s="12" t="s">
        <v>316</v>
      </c>
      <c r="BX26" s="12" t="s">
        <v>321</v>
      </c>
      <c r="BY26" s="72" t="s">
        <v>318</v>
      </c>
      <c r="BZ26" s="72" t="s">
        <v>322</v>
      </c>
      <c r="CA26" s="72" t="s">
        <v>315</v>
      </c>
      <c r="CB26" s="46"/>
      <c r="CC26" s="46"/>
      <c r="CD26" s="83"/>
      <c r="CE26" s="83"/>
      <c r="CF26" s="83"/>
      <c r="CG26" s="83"/>
      <c r="CH26" s="83"/>
      <c r="CI26" s="83"/>
      <c r="CJ26" s="83"/>
      <c r="CK26" s="83"/>
      <c r="CL26" s="83"/>
      <c r="CM26" s="83"/>
      <c r="CN26" s="81"/>
      <c r="CO26" s="46"/>
      <c r="CP26" s="46"/>
      <c r="CQ26" s="46"/>
      <c r="CR26" s="46"/>
      <c r="CS26" s="85"/>
      <c r="CT26" s="41"/>
      <c r="CU26" s="46"/>
      <c r="CV26" s="46"/>
      <c r="CW26" s="46"/>
      <c r="CX26" s="83"/>
      <c r="CY26" s="83"/>
      <c r="CZ26" s="83"/>
      <c r="DA26" s="83"/>
      <c r="DB26" s="83"/>
      <c r="DC26" s="83"/>
      <c r="DD26" s="83"/>
      <c r="DE26" s="83"/>
      <c r="DF26" s="83"/>
      <c r="DG26" s="83"/>
      <c r="DH26" s="81"/>
      <c r="DI26" s="46"/>
      <c r="DJ26" s="46"/>
      <c r="DK26" s="46"/>
      <c r="DL26" s="46"/>
      <c r="DM26" s="85"/>
      <c r="DN26" s="41"/>
      <c r="DO26" s="46"/>
      <c r="DP26" s="46"/>
      <c r="DQ26" s="46"/>
      <c r="DR26" s="83"/>
      <c r="DS26" s="83"/>
      <c r="DT26" s="83"/>
      <c r="DU26" s="83"/>
      <c r="DV26" s="83"/>
      <c r="DW26" s="83"/>
      <c r="DX26" s="83"/>
      <c r="DY26" s="83"/>
      <c r="DZ26" s="83"/>
      <c r="EA26" s="83"/>
      <c r="EB26" s="81"/>
      <c r="EC26" s="46"/>
      <c r="ED26" s="46"/>
      <c r="EE26" s="46"/>
      <c r="EF26" s="46"/>
      <c r="EG26" s="85"/>
      <c r="EH26" s="41"/>
      <c r="EI26" s="46"/>
      <c r="EJ26" s="46"/>
      <c r="EK26" s="46"/>
      <c r="EL26" s="83"/>
      <c r="EM26" s="83"/>
      <c r="EN26" s="83"/>
      <c r="EO26" s="83"/>
      <c r="EP26" s="83"/>
      <c r="EQ26" s="83"/>
      <c r="ER26" s="83"/>
      <c r="ES26" s="83"/>
      <c r="ET26" s="83"/>
      <c r="EU26" s="83"/>
      <c r="EV26" s="81"/>
      <c r="EW26" s="46"/>
      <c r="EX26" s="46"/>
      <c r="EY26" s="46"/>
      <c r="EZ26" s="46"/>
      <c r="FA26" s="85"/>
      <c r="FB26" s="41"/>
      <c r="FC26" s="46"/>
      <c r="FD26" s="46"/>
      <c r="FE26" s="46"/>
      <c r="FF26" s="83"/>
      <c r="FG26" s="83"/>
      <c r="FH26" s="83"/>
      <c r="FI26" s="83"/>
      <c r="FJ26" s="83"/>
      <c r="FK26" s="83"/>
      <c r="FL26" s="83"/>
      <c r="FM26" s="83"/>
      <c r="FN26" s="83"/>
      <c r="FO26" s="83"/>
      <c r="FP26" s="81"/>
      <c r="FQ26" s="46"/>
      <c r="FR26" s="46"/>
      <c r="FS26" s="46"/>
      <c r="FT26" s="46"/>
      <c r="FU26" s="85"/>
      <c r="FV26" s="41"/>
      <c r="FW26" s="46"/>
      <c r="FX26" s="46"/>
      <c r="FY26" s="46"/>
      <c r="FZ26" s="83"/>
      <c r="GA26" s="83"/>
      <c r="GB26" s="83"/>
      <c r="GC26" s="83"/>
      <c r="GD26" s="83"/>
      <c r="GE26" s="83"/>
      <c r="GF26" s="83"/>
      <c r="GG26" s="83"/>
      <c r="GH26" s="83"/>
      <c r="GI26" s="83"/>
      <c r="GJ26" s="81"/>
      <c r="GK26" s="46"/>
      <c r="GL26" s="46"/>
      <c r="GM26" s="46"/>
      <c r="GN26" s="46"/>
      <c r="GO26" s="85"/>
      <c r="GP26" s="41"/>
      <c r="GQ26" s="46"/>
      <c r="GR26" s="46"/>
      <c r="GS26" s="46"/>
      <c r="GT26" s="83"/>
      <c r="GU26" s="83"/>
      <c r="GV26" s="83"/>
      <c r="GW26" s="83"/>
      <c r="GX26" s="83"/>
      <c r="GY26" s="83"/>
      <c r="GZ26" s="83"/>
      <c r="HA26" s="83"/>
      <c r="HB26" s="83"/>
      <c r="HC26" s="83"/>
      <c r="HD26" s="81"/>
      <c r="HE26" s="46"/>
      <c r="HF26" s="46"/>
      <c r="HG26" s="46"/>
      <c r="HH26" s="46"/>
      <c r="HI26" s="85"/>
      <c r="HJ26" s="41"/>
      <c r="HK26" s="46"/>
      <c r="HL26" s="46"/>
      <c r="HM26" s="46"/>
      <c r="HN26" s="83"/>
      <c r="HO26" s="83"/>
      <c r="HP26" s="83"/>
      <c r="HQ26" s="83"/>
      <c r="HR26" s="83"/>
      <c r="HS26" s="83"/>
      <c r="HT26" s="83"/>
      <c r="HU26" s="83"/>
      <c r="HV26" s="83"/>
      <c r="HW26" s="83"/>
      <c r="HX26" s="81"/>
      <c r="HY26" s="46"/>
      <c r="HZ26" s="46"/>
      <c r="IA26" s="46"/>
      <c r="IB26" s="46"/>
      <c r="IC26" s="85"/>
      <c r="ID26" s="41"/>
      <c r="IE26" s="46"/>
      <c r="IF26" s="46"/>
      <c r="IG26" s="46"/>
      <c r="IH26" s="83"/>
      <c r="II26" s="83"/>
      <c r="IJ26" s="83"/>
      <c r="IK26" s="83"/>
      <c r="IL26" s="83"/>
      <c r="IM26" s="83"/>
      <c r="IN26" s="83"/>
      <c r="IO26" s="83"/>
      <c r="IP26" s="83"/>
      <c r="IQ26" s="83"/>
      <c r="IR26" s="81"/>
      <c r="IS26" s="46"/>
      <c r="IT26" s="46"/>
      <c r="IU26" s="46"/>
      <c r="IV26" s="46"/>
      <c r="IW26" s="85"/>
      <c r="IX26" s="41"/>
      <c r="IY26" s="46"/>
      <c r="IZ26" s="46"/>
      <c r="JA26" s="46"/>
      <c r="JB26" s="83"/>
      <c r="JC26" s="83"/>
      <c r="JD26" s="83"/>
      <c r="JE26" s="83"/>
      <c r="JF26" s="83"/>
      <c r="JG26" s="83"/>
      <c r="JH26" s="83"/>
      <c r="JI26" s="83"/>
      <c r="JJ26" s="83"/>
      <c r="JK26" s="83"/>
      <c r="JL26" s="81"/>
      <c r="JM26" s="46"/>
      <c r="JN26" s="46"/>
      <c r="JO26" s="46"/>
      <c r="JP26" s="46"/>
      <c r="JQ26" s="85"/>
      <c r="JR26" s="41"/>
      <c r="JS26" s="46"/>
      <c r="JT26" s="46"/>
      <c r="JU26" s="46"/>
      <c r="JV26" s="83"/>
      <c r="JW26" s="83"/>
      <c r="JX26" s="83"/>
      <c r="JY26" s="83"/>
      <c r="JZ26" s="83"/>
      <c r="KA26" s="83"/>
      <c r="KB26" s="83"/>
      <c r="KC26" s="83"/>
      <c r="KD26" s="83"/>
      <c r="KE26" s="83"/>
      <c r="KF26" s="81"/>
      <c r="KG26" s="46"/>
      <c r="KH26" s="46"/>
      <c r="KI26" s="46"/>
      <c r="KJ26" s="46"/>
      <c r="KK26" s="85"/>
      <c r="KL26" s="41"/>
      <c r="KM26" s="46"/>
      <c r="KN26" s="46"/>
      <c r="KO26" s="46"/>
      <c r="KP26" s="83"/>
      <c r="KQ26" s="83"/>
      <c r="KR26" s="83"/>
      <c r="KS26" s="83"/>
      <c r="KT26" s="83"/>
      <c r="KU26" s="83"/>
      <c r="KV26" s="83"/>
      <c r="KW26" s="83"/>
      <c r="KX26" s="83"/>
      <c r="KY26" s="83"/>
      <c r="KZ26" s="81"/>
      <c r="LA26" s="46"/>
      <c r="LB26" s="46"/>
      <c r="LC26" s="46"/>
      <c r="LD26" s="46"/>
      <c r="LE26" s="85"/>
      <c r="LF26" s="41"/>
      <c r="LG26" s="46"/>
      <c r="LH26" s="46"/>
      <c r="LI26" s="46"/>
      <c r="LJ26" s="83"/>
      <c r="LK26" s="83"/>
      <c r="LL26" s="83"/>
      <c r="LM26" s="83"/>
      <c r="LN26" s="83"/>
      <c r="LO26" s="83"/>
      <c r="LP26" s="83"/>
      <c r="LQ26" s="83"/>
      <c r="LR26" s="83"/>
      <c r="LS26" s="83"/>
      <c r="LT26" s="81"/>
      <c r="LU26" s="46"/>
      <c r="LV26" s="46"/>
      <c r="LW26" s="46"/>
      <c r="LX26" s="46"/>
      <c r="LY26" s="85"/>
      <c r="LZ26" s="41"/>
      <c r="MA26" s="46"/>
      <c r="MB26" s="46"/>
      <c r="MC26" s="46"/>
      <c r="MD26" s="83"/>
      <c r="ME26" s="83"/>
      <c r="MF26" s="83"/>
      <c r="MG26" s="83"/>
      <c r="MH26" s="83"/>
      <c r="MI26" s="83"/>
      <c r="MJ26" s="83"/>
      <c r="MK26" s="83"/>
      <c r="ML26" s="83"/>
      <c r="MM26" s="83"/>
      <c r="MN26" s="81"/>
      <c r="MO26" s="46"/>
      <c r="MP26" s="46"/>
      <c r="MQ26" s="46"/>
      <c r="MR26" s="46"/>
      <c r="MS26" s="85"/>
      <c r="MT26" s="41"/>
      <c r="MU26" s="46"/>
      <c r="MV26" s="46"/>
      <c r="MW26" s="46"/>
      <c r="MX26" s="83"/>
      <c r="MY26" s="83"/>
      <c r="MZ26" s="83"/>
      <c r="NA26" s="83"/>
      <c r="NB26" s="83"/>
      <c r="NC26" s="83"/>
      <c r="ND26" s="83"/>
      <c r="NE26" s="83"/>
      <c r="NF26" s="83"/>
      <c r="NG26" s="83"/>
      <c r="NH26" s="81"/>
      <c r="NI26" s="46"/>
      <c r="NJ26" s="46"/>
      <c r="NK26" s="46"/>
      <c r="NL26" s="46"/>
      <c r="NM26" s="85"/>
      <c r="NN26" s="41"/>
      <c r="NO26" s="46"/>
      <c r="NP26" s="46"/>
      <c r="NQ26" s="46"/>
      <c r="NR26" s="83"/>
      <c r="NS26" s="83"/>
      <c r="NT26" s="83"/>
      <c r="NU26" s="83"/>
      <c r="NV26" s="83"/>
      <c r="NW26" s="83"/>
      <c r="NX26" s="83"/>
      <c r="NY26" s="83"/>
      <c r="NZ26" s="83"/>
      <c r="OA26" s="83"/>
      <c r="OB26" s="81"/>
      <c r="OC26" s="46"/>
      <c r="OD26" s="46"/>
      <c r="OE26" s="46"/>
      <c r="OF26" s="46"/>
      <c r="OG26" s="85"/>
      <c r="OH26" s="41"/>
      <c r="OI26" s="46"/>
      <c r="OJ26" s="46"/>
      <c r="OK26" s="46"/>
      <c r="OL26" s="83"/>
      <c r="OM26" s="83"/>
      <c r="ON26" s="83"/>
      <c r="OO26" s="83"/>
      <c r="OP26" s="83"/>
      <c r="OQ26" s="83"/>
      <c r="OR26" s="83"/>
      <c r="OS26" s="83"/>
      <c r="OT26" s="83"/>
      <c r="OU26" s="83"/>
      <c r="OV26" s="81"/>
      <c r="OW26" s="46"/>
      <c r="OX26" s="46"/>
      <c r="OY26" s="46"/>
      <c r="OZ26" s="46"/>
      <c r="PA26" s="85"/>
      <c r="PB26" s="41"/>
      <c r="PC26" s="46"/>
      <c r="PD26" s="46"/>
      <c r="PE26" s="46"/>
      <c r="PF26" s="83"/>
      <c r="PG26" s="83"/>
      <c r="PH26" s="83"/>
      <c r="PI26" s="83"/>
      <c r="PJ26" s="83"/>
      <c r="PK26" s="83"/>
      <c r="PL26" s="83"/>
      <c r="PM26" s="83"/>
      <c r="PN26" s="83"/>
      <c r="PO26" s="83"/>
      <c r="PP26" s="81"/>
      <c r="PQ26" s="46"/>
      <c r="PR26" s="46"/>
      <c r="PS26" s="46"/>
      <c r="PT26" s="46"/>
      <c r="PU26" s="85"/>
      <c r="PV26" s="41"/>
      <c r="PW26" s="46"/>
      <c r="PX26" s="46"/>
      <c r="PY26" s="46"/>
      <c r="PZ26" s="83"/>
      <c r="QA26" s="83"/>
      <c r="QB26" s="83"/>
      <c r="QC26" s="83"/>
      <c r="QD26" s="83"/>
      <c r="QE26" s="83"/>
      <c r="QF26" s="83"/>
      <c r="QG26" s="83"/>
      <c r="QH26" s="83"/>
      <c r="QI26" s="83"/>
      <c r="QJ26" s="81"/>
      <c r="QK26" s="46"/>
      <c r="QL26" s="46"/>
      <c r="QM26" s="46"/>
      <c r="QN26" s="46"/>
      <c r="QO26" s="85"/>
      <c r="QP26" s="41"/>
      <c r="QQ26" s="46"/>
      <c r="QR26" s="46"/>
      <c r="QS26" s="46"/>
      <c r="QT26" s="83"/>
      <c r="QU26" s="83"/>
      <c r="QV26" s="83"/>
      <c r="QW26" s="83"/>
      <c r="QX26" s="83"/>
      <c r="QY26" s="83"/>
      <c r="QZ26" s="83"/>
      <c r="RA26" s="83"/>
      <c r="RB26" s="83"/>
      <c r="RC26" s="83"/>
      <c r="RD26" s="81"/>
      <c r="RE26" s="46"/>
      <c r="RF26" s="46"/>
      <c r="RG26" s="46"/>
      <c r="RH26" s="46"/>
      <c r="RI26" s="85"/>
      <c r="RJ26" s="41"/>
      <c r="RK26" s="46"/>
      <c r="RL26" s="46"/>
      <c r="RM26" s="46"/>
      <c r="RN26" s="83"/>
      <c r="RO26" s="83"/>
      <c r="RP26" s="83"/>
      <c r="RQ26" s="83"/>
      <c r="RR26" s="83"/>
      <c r="RS26" s="83"/>
      <c r="RT26" s="83"/>
      <c r="RU26" s="83"/>
      <c r="RV26" s="83"/>
      <c r="RW26" s="83"/>
      <c r="RX26" s="81"/>
      <c r="RY26" s="46"/>
      <c r="RZ26" s="46"/>
      <c r="SA26" s="46"/>
      <c r="SB26" s="46"/>
      <c r="SC26" s="85"/>
      <c r="SD26" s="41"/>
      <c r="SE26" s="46"/>
      <c r="SF26" s="46"/>
      <c r="SG26" s="46"/>
    </row>
    <row r="27" spans="1:501" s="44" customFormat="1" ht="20.399999999999999" customHeight="1" x14ac:dyDescent="0.3">
      <c r="A27" s="66" t="s">
        <v>183</v>
      </c>
      <c r="B27" s="66" t="s">
        <v>359</v>
      </c>
      <c r="C27" s="66" t="s">
        <v>360</v>
      </c>
      <c r="D27" s="49" t="s">
        <v>493</v>
      </c>
      <c r="E27" s="49" t="s">
        <v>332</v>
      </c>
      <c r="F27" s="49" t="s">
        <v>333</v>
      </c>
      <c r="G27" s="206" t="s">
        <v>360</v>
      </c>
      <c r="H27" s="206" t="s">
        <v>362</v>
      </c>
      <c r="I27" s="206" t="s">
        <v>494</v>
      </c>
      <c r="J27" s="70"/>
      <c r="K27" s="70"/>
      <c r="L27" s="80" t="s">
        <v>413</v>
      </c>
      <c r="M27" s="53" t="s">
        <v>331</v>
      </c>
      <c r="N27" s="53" t="s">
        <v>495</v>
      </c>
      <c r="O27" s="53" t="s">
        <v>415</v>
      </c>
      <c r="P27" s="53" t="s">
        <v>333</v>
      </c>
      <c r="Q27" s="84" t="s">
        <v>409</v>
      </c>
      <c r="R27" s="52" t="s">
        <v>416</v>
      </c>
      <c r="S27" s="53" t="s">
        <v>496</v>
      </c>
      <c r="T27" s="70"/>
      <c r="U27" s="77"/>
      <c r="V27" s="201" t="s">
        <v>373</v>
      </c>
      <c r="W27" s="201" t="s">
        <v>331</v>
      </c>
      <c r="X27" s="82" t="s">
        <v>497</v>
      </c>
      <c r="Y27" s="82" t="s">
        <v>332</v>
      </c>
      <c r="Z27" s="82" t="s">
        <v>333</v>
      </c>
      <c r="AA27" s="82" t="s">
        <v>409</v>
      </c>
      <c r="AB27" s="82" t="s">
        <v>410</v>
      </c>
      <c r="AC27" s="82" t="s">
        <v>498</v>
      </c>
      <c r="AD27" s="82"/>
      <c r="AE27" s="82"/>
      <c r="AF27" s="80" t="s">
        <v>71</v>
      </c>
      <c r="AG27" s="53" t="s">
        <v>314</v>
      </c>
      <c r="AH27" s="53" t="s">
        <v>499</v>
      </c>
      <c r="AI27" s="53" t="s">
        <v>316</v>
      </c>
      <c r="AJ27" s="53" t="s">
        <v>321</v>
      </c>
      <c r="AK27" s="84" t="s">
        <v>318</v>
      </c>
      <c r="AL27" s="52" t="s">
        <v>322</v>
      </c>
      <c r="AM27" s="109" t="s">
        <v>500</v>
      </c>
      <c r="AN27" s="53"/>
      <c r="AO27" s="53"/>
      <c r="AP27" s="82" t="s">
        <v>348</v>
      </c>
      <c r="AQ27" s="82" t="s">
        <v>349</v>
      </c>
      <c r="AR27" s="82" t="s">
        <v>501</v>
      </c>
      <c r="AS27" s="82" t="s">
        <v>351</v>
      </c>
      <c r="AT27" s="82" t="s">
        <v>333</v>
      </c>
      <c r="AU27" s="82" t="s">
        <v>352</v>
      </c>
      <c r="AV27" s="82" t="s">
        <v>353</v>
      </c>
      <c r="AW27" s="82">
        <v>1314690</v>
      </c>
      <c r="AX27" s="82"/>
      <c r="AY27" s="82"/>
      <c r="AZ27" s="80" t="s">
        <v>68</v>
      </c>
      <c r="BA27" s="53" t="s">
        <v>331</v>
      </c>
      <c r="BB27" s="53" t="s">
        <v>315</v>
      </c>
      <c r="BC27" s="53" t="s">
        <v>332</v>
      </c>
      <c r="BD27" s="53" t="s">
        <v>408</v>
      </c>
      <c r="BE27" s="84" t="s">
        <v>334</v>
      </c>
      <c r="BF27" s="52" t="s">
        <v>335</v>
      </c>
      <c r="BG27" s="53" t="s">
        <v>315</v>
      </c>
      <c r="BH27" s="53"/>
      <c r="BI27" s="53"/>
      <c r="BJ27" s="80" t="s">
        <v>68</v>
      </c>
      <c r="BK27" s="53" t="s">
        <v>331</v>
      </c>
      <c r="BL27" s="53" t="s">
        <v>315</v>
      </c>
      <c r="BM27" s="53" t="s">
        <v>332</v>
      </c>
      <c r="BN27" s="53" t="s">
        <v>408</v>
      </c>
      <c r="BO27" s="84" t="s">
        <v>334</v>
      </c>
      <c r="BP27" s="52" t="s">
        <v>335</v>
      </c>
      <c r="BQ27" s="53" t="s">
        <v>315</v>
      </c>
      <c r="BR27" s="82"/>
      <c r="BS27" s="82"/>
      <c r="BT27" s="80" t="s">
        <v>68</v>
      </c>
      <c r="BU27" s="53" t="s">
        <v>331</v>
      </c>
      <c r="BV27" s="53" t="s">
        <v>315</v>
      </c>
      <c r="BW27" s="53" t="s">
        <v>332</v>
      </c>
      <c r="BX27" s="53" t="s">
        <v>408</v>
      </c>
      <c r="BY27" s="84" t="s">
        <v>334</v>
      </c>
      <c r="BZ27" s="52" t="s">
        <v>335</v>
      </c>
      <c r="CA27" s="53" t="s">
        <v>315</v>
      </c>
      <c r="CB27" s="53"/>
      <c r="CC27" s="53"/>
      <c r="CD27" s="80" t="s">
        <v>68</v>
      </c>
      <c r="CE27" s="53" t="s">
        <v>331</v>
      </c>
      <c r="CF27" s="53" t="s">
        <v>315</v>
      </c>
      <c r="CG27" s="53" t="s">
        <v>332</v>
      </c>
      <c r="CH27" s="53" t="s">
        <v>408</v>
      </c>
      <c r="CI27" s="84" t="s">
        <v>334</v>
      </c>
      <c r="CJ27" s="52" t="s">
        <v>335</v>
      </c>
      <c r="CK27" s="53" t="s">
        <v>315</v>
      </c>
      <c r="CL27" s="82"/>
      <c r="CM27" s="82"/>
      <c r="CN27" s="80" t="s">
        <v>68</v>
      </c>
      <c r="CO27" s="53" t="s">
        <v>331</v>
      </c>
      <c r="CP27" s="53" t="s">
        <v>315</v>
      </c>
      <c r="CQ27" s="53" t="s">
        <v>332</v>
      </c>
      <c r="CR27" s="53" t="s">
        <v>408</v>
      </c>
      <c r="CS27" s="84" t="s">
        <v>334</v>
      </c>
      <c r="CT27" s="52" t="s">
        <v>335</v>
      </c>
      <c r="CU27" s="53" t="s">
        <v>315</v>
      </c>
      <c r="CV27" s="53"/>
      <c r="CW27" s="53"/>
      <c r="CX27" s="82" t="s">
        <v>69</v>
      </c>
      <c r="CY27" s="82" t="s">
        <v>318</v>
      </c>
      <c r="CZ27" s="82" t="s">
        <v>315</v>
      </c>
      <c r="DA27" s="82" t="s">
        <v>336</v>
      </c>
      <c r="DB27" s="82" t="s">
        <v>321</v>
      </c>
      <c r="DC27" s="82" t="s">
        <v>318</v>
      </c>
      <c r="DD27" s="82" t="s">
        <v>391</v>
      </c>
      <c r="DE27" s="53" t="s">
        <v>315</v>
      </c>
      <c r="DF27" s="82"/>
      <c r="DG27" s="82"/>
      <c r="DH27" s="82" t="s">
        <v>69</v>
      </c>
      <c r="DI27" s="82" t="s">
        <v>318</v>
      </c>
      <c r="DJ27" s="82" t="s">
        <v>315</v>
      </c>
      <c r="DK27" s="82" t="s">
        <v>336</v>
      </c>
      <c r="DL27" s="82" t="s">
        <v>321</v>
      </c>
      <c r="DM27" s="82" t="s">
        <v>318</v>
      </c>
      <c r="DN27" s="82" t="s">
        <v>391</v>
      </c>
      <c r="DO27" s="53" t="s">
        <v>315</v>
      </c>
      <c r="DP27" s="53"/>
      <c r="DQ27" s="53"/>
      <c r="DR27" s="82" t="s">
        <v>313</v>
      </c>
      <c r="DS27" s="82" t="s">
        <v>318</v>
      </c>
      <c r="DT27" s="82" t="s">
        <v>315</v>
      </c>
      <c r="DU27" s="82" t="s">
        <v>336</v>
      </c>
      <c r="DV27" s="82" t="s">
        <v>317</v>
      </c>
      <c r="DW27" s="82" t="s">
        <v>318</v>
      </c>
      <c r="DX27" s="82" t="s">
        <v>337</v>
      </c>
      <c r="DY27" s="82" t="s">
        <v>315</v>
      </c>
      <c r="DZ27" s="82"/>
      <c r="EA27" s="82"/>
      <c r="EB27" s="82" t="s">
        <v>313</v>
      </c>
      <c r="EC27" s="82" t="s">
        <v>318</v>
      </c>
      <c r="ED27" s="82" t="s">
        <v>315</v>
      </c>
      <c r="EE27" s="82" t="s">
        <v>336</v>
      </c>
      <c r="EF27" s="82" t="s">
        <v>317</v>
      </c>
      <c r="EG27" s="82" t="s">
        <v>318</v>
      </c>
      <c r="EH27" s="82" t="s">
        <v>337</v>
      </c>
      <c r="EI27" s="82" t="s">
        <v>315</v>
      </c>
      <c r="EJ27" s="53"/>
      <c r="EK27" s="53"/>
      <c r="EL27" s="82" t="s">
        <v>313</v>
      </c>
      <c r="EM27" s="82" t="s">
        <v>318</v>
      </c>
      <c r="EN27" s="82" t="s">
        <v>315</v>
      </c>
      <c r="EO27" s="82" t="s">
        <v>336</v>
      </c>
      <c r="EP27" s="82" t="s">
        <v>317</v>
      </c>
      <c r="EQ27" s="82" t="s">
        <v>318</v>
      </c>
      <c r="ER27" s="82" t="s">
        <v>337</v>
      </c>
      <c r="ES27" s="82" t="s">
        <v>315</v>
      </c>
      <c r="ET27" s="82"/>
      <c r="EU27" s="82"/>
      <c r="EV27" s="82" t="s">
        <v>313</v>
      </c>
      <c r="EW27" s="82" t="s">
        <v>318</v>
      </c>
      <c r="EX27" s="82" t="s">
        <v>315</v>
      </c>
      <c r="EY27" s="82" t="s">
        <v>336</v>
      </c>
      <c r="EZ27" s="82" t="s">
        <v>317</v>
      </c>
      <c r="FA27" s="82" t="s">
        <v>318</v>
      </c>
      <c r="FB27" s="82" t="s">
        <v>337</v>
      </c>
      <c r="FC27" s="82" t="s">
        <v>315</v>
      </c>
      <c r="FD27" s="53"/>
      <c r="FE27" s="53"/>
      <c r="FF27" s="82" t="s">
        <v>313</v>
      </c>
      <c r="FG27" s="82" t="s">
        <v>318</v>
      </c>
      <c r="FH27" s="82" t="s">
        <v>315</v>
      </c>
      <c r="FI27" s="82" t="s">
        <v>336</v>
      </c>
      <c r="FJ27" s="82" t="s">
        <v>317</v>
      </c>
      <c r="FK27" s="82" t="s">
        <v>318</v>
      </c>
      <c r="FL27" s="82" t="s">
        <v>337</v>
      </c>
      <c r="FM27" s="82" t="s">
        <v>315</v>
      </c>
      <c r="FN27" s="82"/>
      <c r="FO27" s="82"/>
      <c r="FP27" s="80"/>
      <c r="FQ27" s="53"/>
      <c r="FR27" s="53"/>
      <c r="FS27" s="53"/>
      <c r="FT27" s="53"/>
      <c r="FU27" s="84"/>
      <c r="FV27" s="52"/>
      <c r="FW27" s="53"/>
      <c r="FX27" s="53"/>
      <c r="FY27" s="53"/>
      <c r="FZ27" s="82"/>
      <c r="GA27" s="82"/>
      <c r="GB27" s="82"/>
      <c r="GC27" s="82"/>
      <c r="GD27" s="82"/>
      <c r="GE27" s="82"/>
      <c r="GF27" s="82"/>
      <c r="GG27" s="82"/>
      <c r="GH27" s="82"/>
      <c r="GI27" s="82"/>
      <c r="GJ27" s="80"/>
      <c r="GK27" s="53"/>
      <c r="GL27" s="53"/>
      <c r="GM27" s="53"/>
      <c r="GN27" s="53"/>
      <c r="GO27" s="84"/>
      <c r="GP27" s="52"/>
      <c r="GQ27" s="53"/>
      <c r="GR27" s="53"/>
      <c r="GS27" s="53"/>
      <c r="GT27" s="82"/>
      <c r="GU27" s="82"/>
      <c r="GV27" s="82"/>
      <c r="GW27" s="82"/>
      <c r="GX27" s="82"/>
      <c r="GY27" s="82"/>
      <c r="GZ27" s="82"/>
      <c r="HA27" s="82"/>
      <c r="HB27" s="82"/>
      <c r="HC27" s="82"/>
      <c r="HD27" s="80"/>
      <c r="HE27" s="53"/>
      <c r="HF27" s="53"/>
      <c r="HG27" s="53"/>
      <c r="HH27" s="53"/>
      <c r="HI27" s="84"/>
      <c r="HJ27" s="52"/>
      <c r="HK27" s="53"/>
      <c r="HL27" s="53"/>
      <c r="HM27" s="53"/>
      <c r="HN27" s="82"/>
      <c r="HO27" s="82"/>
      <c r="HP27" s="82"/>
      <c r="HQ27" s="82"/>
      <c r="HR27" s="82"/>
      <c r="HS27" s="82"/>
      <c r="HT27" s="82"/>
      <c r="HU27" s="82"/>
      <c r="HV27" s="82"/>
      <c r="HW27" s="82"/>
      <c r="HX27" s="80"/>
      <c r="HY27" s="53"/>
      <c r="HZ27" s="53"/>
      <c r="IA27" s="53"/>
      <c r="IB27" s="53"/>
      <c r="IC27" s="84"/>
      <c r="ID27" s="52"/>
      <c r="IE27" s="53"/>
      <c r="IF27" s="53"/>
      <c r="IG27" s="53"/>
      <c r="IH27" s="82"/>
      <c r="II27" s="82"/>
      <c r="IJ27" s="82"/>
      <c r="IK27" s="82"/>
      <c r="IL27" s="82"/>
      <c r="IM27" s="82"/>
      <c r="IN27" s="82"/>
      <c r="IO27" s="82"/>
      <c r="IP27" s="82"/>
      <c r="IQ27" s="82"/>
      <c r="IR27" s="80"/>
      <c r="IS27" s="53"/>
      <c r="IT27" s="53"/>
      <c r="IU27" s="53"/>
      <c r="IV27" s="53"/>
      <c r="IW27" s="84"/>
      <c r="IX27" s="52"/>
      <c r="IY27" s="53"/>
      <c r="IZ27" s="53"/>
      <c r="JA27" s="53"/>
      <c r="JB27" s="82"/>
      <c r="JC27" s="82"/>
      <c r="JD27" s="82"/>
      <c r="JE27" s="82"/>
      <c r="JF27" s="82"/>
      <c r="JG27" s="82"/>
      <c r="JH27" s="82"/>
      <c r="JI27" s="82"/>
      <c r="JJ27" s="82"/>
      <c r="JK27" s="82"/>
      <c r="JL27" s="80"/>
      <c r="JM27" s="53"/>
      <c r="JN27" s="53"/>
      <c r="JO27" s="53"/>
      <c r="JP27" s="53"/>
      <c r="JQ27" s="84"/>
      <c r="JR27" s="52"/>
      <c r="JS27" s="53"/>
      <c r="JT27" s="53"/>
      <c r="JU27" s="53"/>
      <c r="JV27" s="82"/>
      <c r="JW27" s="82"/>
      <c r="JX27" s="82"/>
      <c r="JY27" s="82"/>
      <c r="JZ27" s="82"/>
      <c r="KA27" s="82"/>
      <c r="KB27" s="82"/>
      <c r="KC27" s="82"/>
      <c r="KD27" s="82"/>
      <c r="KE27" s="82"/>
      <c r="KF27" s="80"/>
      <c r="KG27" s="53"/>
      <c r="KH27" s="53"/>
      <c r="KI27" s="53"/>
      <c r="KJ27" s="53"/>
      <c r="KK27" s="84"/>
      <c r="KL27" s="52"/>
      <c r="KM27" s="53"/>
      <c r="KN27" s="53"/>
      <c r="KO27" s="53"/>
      <c r="KP27" s="82"/>
      <c r="KQ27" s="82"/>
      <c r="KR27" s="82"/>
      <c r="KS27" s="82"/>
      <c r="KT27" s="82"/>
      <c r="KU27" s="82"/>
      <c r="KV27" s="82"/>
      <c r="KW27" s="82"/>
      <c r="KX27" s="82"/>
      <c r="KY27" s="82"/>
      <c r="KZ27" s="80"/>
      <c r="LA27" s="53"/>
      <c r="LB27" s="53"/>
      <c r="LC27" s="53"/>
      <c r="LD27" s="53"/>
      <c r="LE27" s="84"/>
      <c r="LF27" s="52"/>
      <c r="LG27" s="53"/>
      <c r="LH27" s="53"/>
      <c r="LI27" s="53"/>
      <c r="LJ27" s="82"/>
      <c r="LK27" s="82"/>
      <c r="LL27" s="82"/>
      <c r="LM27" s="82"/>
      <c r="LN27" s="82"/>
      <c r="LO27" s="82"/>
      <c r="LP27" s="82"/>
      <c r="LQ27" s="82"/>
      <c r="LR27" s="82"/>
      <c r="LS27" s="82"/>
      <c r="LT27" s="80"/>
      <c r="LU27" s="53"/>
      <c r="LV27" s="53"/>
      <c r="LW27" s="53"/>
      <c r="LX27" s="53"/>
      <c r="LY27" s="84"/>
      <c r="LZ27" s="52"/>
      <c r="MA27" s="53"/>
      <c r="MB27" s="53"/>
      <c r="MC27" s="53"/>
      <c r="MD27" s="82"/>
      <c r="ME27" s="82"/>
      <c r="MF27" s="82"/>
      <c r="MG27" s="82"/>
      <c r="MH27" s="82"/>
      <c r="MI27" s="82"/>
      <c r="MJ27" s="82"/>
      <c r="MK27" s="82"/>
      <c r="ML27" s="82"/>
      <c r="MM27" s="82"/>
      <c r="MN27" s="80"/>
      <c r="MO27" s="53"/>
      <c r="MP27" s="53"/>
      <c r="MQ27" s="53"/>
      <c r="MR27" s="53"/>
      <c r="MS27" s="84"/>
      <c r="MT27" s="52"/>
      <c r="MU27" s="53"/>
      <c r="MV27" s="53"/>
      <c r="MW27" s="53"/>
      <c r="MX27" s="82"/>
      <c r="MY27" s="82"/>
      <c r="MZ27" s="82"/>
      <c r="NA27" s="82"/>
      <c r="NB27" s="82"/>
      <c r="NC27" s="82"/>
      <c r="ND27" s="82"/>
      <c r="NE27" s="82"/>
      <c r="NF27" s="82"/>
      <c r="NG27" s="82"/>
      <c r="NH27" s="80"/>
      <c r="NI27" s="53"/>
      <c r="NJ27" s="53"/>
      <c r="NK27" s="53"/>
      <c r="NL27" s="53"/>
      <c r="NM27" s="84"/>
      <c r="NN27" s="52"/>
      <c r="NO27" s="53"/>
      <c r="NP27" s="53"/>
      <c r="NQ27" s="53"/>
      <c r="NR27" s="82"/>
      <c r="NS27" s="82"/>
      <c r="NT27" s="82"/>
      <c r="NU27" s="82"/>
      <c r="NV27" s="82"/>
      <c r="NW27" s="82"/>
      <c r="NX27" s="82"/>
      <c r="NY27" s="82"/>
      <c r="NZ27" s="82"/>
      <c r="OA27" s="82"/>
      <c r="OB27" s="80"/>
      <c r="OC27" s="53"/>
      <c r="OD27" s="53"/>
      <c r="OE27" s="53"/>
      <c r="OF27" s="53"/>
      <c r="OG27" s="84"/>
      <c r="OH27" s="52"/>
      <c r="OI27" s="53"/>
      <c r="OJ27" s="53"/>
      <c r="OK27" s="53"/>
      <c r="OL27" s="82"/>
      <c r="OM27" s="82"/>
      <c r="ON27" s="82"/>
      <c r="OO27" s="82"/>
      <c r="OP27" s="82"/>
      <c r="OQ27" s="82"/>
      <c r="OR27" s="82"/>
      <c r="OS27" s="82"/>
      <c r="OT27" s="82"/>
      <c r="OU27" s="82"/>
      <c r="OV27" s="80"/>
      <c r="OW27" s="53"/>
      <c r="OX27" s="53"/>
      <c r="OY27" s="53"/>
      <c r="OZ27" s="53"/>
      <c r="PA27" s="84"/>
      <c r="PB27" s="52"/>
      <c r="PC27" s="53"/>
      <c r="PD27" s="53"/>
      <c r="PE27" s="53"/>
      <c r="PF27" s="82"/>
      <c r="PG27" s="82"/>
      <c r="PH27" s="82"/>
      <c r="PI27" s="82"/>
      <c r="PJ27" s="82"/>
      <c r="PK27" s="82"/>
      <c r="PL27" s="82"/>
      <c r="PM27" s="82"/>
      <c r="PN27" s="82"/>
      <c r="PO27" s="82"/>
      <c r="PP27" s="80"/>
      <c r="PQ27" s="53"/>
      <c r="PR27" s="53"/>
      <c r="PS27" s="53"/>
      <c r="PT27" s="53"/>
      <c r="PU27" s="84"/>
      <c r="PV27" s="52"/>
      <c r="PW27" s="53"/>
      <c r="PX27" s="53"/>
      <c r="PY27" s="53"/>
      <c r="PZ27" s="82"/>
      <c r="QA27" s="82"/>
      <c r="QB27" s="82"/>
      <c r="QC27" s="82"/>
      <c r="QD27" s="82"/>
      <c r="QE27" s="82"/>
      <c r="QF27" s="82"/>
      <c r="QG27" s="82"/>
      <c r="QH27" s="82"/>
      <c r="QI27" s="82"/>
      <c r="QJ27" s="80"/>
      <c r="QK27" s="53"/>
      <c r="QL27" s="53"/>
      <c r="QM27" s="53"/>
      <c r="QN27" s="53"/>
      <c r="QO27" s="84"/>
      <c r="QP27" s="52"/>
      <c r="QQ27" s="53"/>
      <c r="QR27" s="53"/>
      <c r="QS27" s="53"/>
      <c r="QT27" s="82"/>
      <c r="QU27" s="82"/>
      <c r="QV27" s="82"/>
      <c r="QW27" s="82"/>
      <c r="QX27" s="82"/>
      <c r="QY27" s="82"/>
      <c r="QZ27" s="82"/>
      <c r="RA27" s="82"/>
      <c r="RB27" s="82"/>
      <c r="RC27" s="82"/>
      <c r="RD27" s="80"/>
      <c r="RE27" s="53"/>
      <c r="RF27" s="53"/>
      <c r="RG27" s="53"/>
      <c r="RH27" s="53"/>
      <c r="RI27" s="84"/>
      <c r="RJ27" s="52"/>
      <c r="RK27" s="53"/>
      <c r="RL27" s="53"/>
      <c r="RM27" s="53"/>
      <c r="RN27" s="82"/>
      <c r="RO27" s="82"/>
      <c r="RP27" s="82"/>
      <c r="RQ27" s="82"/>
      <c r="RR27" s="82"/>
      <c r="RS27" s="82"/>
      <c r="RT27" s="82"/>
      <c r="RU27" s="82"/>
      <c r="RV27" s="82"/>
      <c r="RW27" s="82"/>
      <c r="RX27" s="80"/>
      <c r="RY27" s="53"/>
      <c r="RZ27" s="53"/>
      <c r="SA27" s="53"/>
      <c r="SB27" s="53"/>
      <c r="SC27" s="84"/>
      <c r="SD27" s="52"/>
      <c r="SE27" s="53"/>
      <c r="SF27" s="53"/>
      <c r="SG27" s="53"/>
    </row>
    <row r="28" spans="1:501" s="44" customFormat="1" ht="20.399999999999999" customHeight="1" x14ac:dyDescent="0.3">
      <c r="A28" s="125" t="s">
        <v>187</v>
      </c>
      <c r="B28" s="125" t="s">
        <v>71</v>
      </c>
      <c r="C28" s="125" t="s">
        <v>314</v>
      </c>
      <c r="D28" s="12" t="s">
        <v>502</v>
      </c>
      <c r="E28" s="12" t="s">
        <v>316</v>
      </c>
      <c r="F28" s="12" t="s">
        <v>321</v>
      </c>
      <c r="G28" s="72" t="s">
        <v>318</v>
      </c>
      <c r="H28" s="72" t="s">
        <v>322</v>
      </c>
      <c r="I28" s="204" t="s">
        <v>315</v>
      </c>
      <c r="J28" s="72"/>
      <c r="K28" s="72"/>
      <c r="L28" s="72" t="s">
        <v>71</v>
      </c>
      <c r="M28" s="72" t="s">
        <v>314</v>
      </c>
      <c r="N28" s="72" t="s">
        <v>315</v>
      </c>
      <c r="O28" s="72" t="s">
        <v>316</v>
      </c>
      <c r="P28" s="72" t="s">
        <v>321</v>
      </c>
      <c r="Q28" s="72" t="s">
        <v>318</v>
      </c>
      <c r="R28" s="72" t="s">
        <v>322</v>
      </c>
      <c r="S28" s="72" t="s">
        <v>315</v>
      </c>
      <c r="T28" s="72"/>
      <c r="U28" s="78"/>
      <c r="V28" s="83"/>
      <c r="W28" s="83"/>
      <c r="X28" s="83"/>
      <c r="Y28" s="83"/>
      <c r="Z28" s="83"/>
      <c r="AA28" s="83"/>
      <c r="AB28" s="83"/>
      <c r="AC28" s="83"/>
      <c r="AD28" s="83"/>
      <c r="AE28" s="83"/>
      <c r="AF28" s="81"/>
      <c r="AG28" s="46"/>
      <c r="AH28" s="46"/>
      <c r="AI28" s="46"/>
      <c r="AJ28" s="46"/>
      <c r="AK28" s="85"/>
      <c r="AL28" s="41"/>
      <c r="AM28" s="46"/>
      <c r="AN28" s="46"/>
      <c r="AO28" s="46"/>
      <c r="AP28" s="83"/>
      <c r="AQ28" s="83"/>
      <c r="AR28" s="83"/>
      <c r="AS28" s="83"/>
      <c r="AT28" s="83"/>
      <c r="AU28" s="83"/>
      <c r="AV28" s="83"/>
      <c r="AW28" s="83"/>
      <c r="AX28" s="83"/>
      <c r="AY28" s="83"/>
      <c r="AZ28" s="81"/>
      <c r="BA28" s="46"/>
      <c r="BB28" s="46"/>
      <c r="BC28" s="46"/>
      <c r="BD28" s="46"/>
      <c r="BE28" s="85"/>
      <c r="BF28" s="41"/>
      <c r="BG28" s="46"/>
      <c r="BH28" s="46"/>
      <c r="BI28" s="46"/>
      <c r="BJ28" s="83"/>
      <c r="BK28" s="83"/>
      <c r="BL28" s="83"/>
      <c r="BM28" s="83"/>
      <c r="BN28" s="83"/>
      <c r="BO28" s="83"/>
      <c r="BP28" s="83"/>
      <c r="BQ28" s="83"/>
      <c r="BR28" s="83"/>
      <c r="BS28" s="83"/>
      <c r="BT28" s="81"/>
      <c r="BU28" s="46"/>
      <c r="BV28" s="46"/>
      <c r="BW28" s="46"/>
      <c r="BX28" s="46"/>
      <c r="BY28" s="85"/>
      <c r="BZ28" s="41"/>
      <c r="CA28" s="46"/>
      <c r="CB28" s="46"/>
      <c r="CC28" s="46"/>
      <c r="CD28" s="83"/>
      <c r="CE28" s="83"/>
      <c r="CF28" s="83"/>
      <c r="CG28" s="83"/>
      <c r="CH28" s="83"/>
      <c r="CI28" s="83"/>
      <c r="CJ28" s="83"/>
      <c r="CK28" s="83"/>
      <c r="CL28" s="83"/>
      <c r="CM28" s="83"/>
      <c r="CN28" s="81"/>
      <c r="CO28" s="46"/>
      <c r="CP28" s="46"/>
      <c r="CQ28" s="46"/>
      <c r="CR28" s="46"/>
      <c r="CS28" s="85"/>
      <c r="CT28" s="41"/>
      <c r="CU28" s="46"/>
      <c r="CV28" s="46"/>
      <c r="CW28" s="46"/>
      <c r="CX28" s="83"/>
      <c r="CY28" s="83"/>
      <c r="CZ28" s="83"/>
      <c r="DA28" s="83"/>
      <c r="DB28" s="83"/>
      <c r="DC28" s="83"/>
      <c r="DD28" s="83"/>
      <c r="DE28" s="83"/>
      <c r="DF28" s="83"/>
      <c r="DG28" s="83"/>
      <c r="DH28" s="81"/>
      <c r="DI28" s="46"/>
      <c r="DJ28" s="46"/>
      <c r="DK28" s="46"/>
      <c r="DL28" s="46"/>
      <c r="DM28" s="85"/>
      <c r="DN28" s="41"/>
      <c r="DO28" s="46"/>
      <c r="DP28" s="46"/>
      <c r="DQ28" s="46"/>
      <c r="DR28" s="83"/>
      <c r="DS28" s="83"/>
      <c r="DT28" s="83"/>
      <c r="DU28" s="83"/>
      <c r="DV28" s="83"/>
      <c r="DW28" s="83"/>
      <c r="DX28" s="83"/>
      <c r="DY28" s="83"/>
      <c r="DZ28" s="83"/>
      <c r="EA28" s="83"/>
      <c r="EB28" s="81"/>
      <c r="EC28" s="46"/>
      <c r="ED28" s="46"/>
      <c r="EE28" s="46"/>
      <c r="EF28" s="46"/>
      <c r="EG28" s="85"/>
      <c r="EH28" s="41"/>
      <c r="EI28" s="46"/>
      <c r="EJ28" s="46"/>
      <c r="EK28" s="46"/>
      <c r="EL28" s="83"/>
      <c r="EM28" s="83"/>
      <c r="EN28" s="83"/>
      <c r="EO28" s="83"/>
      <c r="EP28" s="83"/>
      <c r="EQ28" s="83"/>
      <c r="ER28" s="83"/>
      <c r="ES28" s="83"/>
      <c r="ET28" s="83"/>
      <c r="EU28" s="83"/>
      <c r="EV28" s="81"/>
      <c r="EW28" s="46"/>
      <c r="EX28" s="46"/>
      <c r="EY28" s="46"/>
      <c r="EZ28" s="46"/>
      <c r="FA28" s="85"/>
      <c r="FB28" s="41"/>
      <c r="FC28" s="46"/>
      <c r="FD28" s="46"/>
      <c r="FE28" s="46"/>
      <c r="FF28" s="83"/>
      <c r="FG28" s="83"/>
      <c r="FH28" s="83"/>
      <c r="FI28" s="83"/>
      <c r="FJ28" s="83"/>
      <c r="FK28" s="83"/>
      <c r="FL28" s="83"/>
      <c r="FM28" s="83"/>
      <c r="FN28" s="83"/>
      <c r="FO28" s="83"/>
      <c r="FP28" s="81"/>
      <c r="FQ28" s="46"/>
      <c r="FR28" s="46"/>
      <c r="FS28" s="46"/>
      <c r="FT28" s="46"/>
      <c r="FU28" s="85"/>
      <c r="FV28" s="41"/>
      <c r="FW28" s="46"/>
      <c r="FX28" s="46"/>
      <c r="FY28" s="46"/>
      <c r="FZ28" s="83"/>
      <c r="GA28" s="83"/>
      <c r="GB28" s="83"/>
      <c r="GC28" s="83"/>
      <c r="GD28" s="83"/>
      <c r="GE28" s="83"/>
      <c r="GF28" s="83"/>
      <c r="GG28" s="83"/>
      <c r="GH28" s="83"/>
      <c r="GI28" s="83"/>
      <c r="GJ28" s="81"/>
      <c r="GK28" s="46"/>
      <c r="GL28" s="46"/>
      <c r="GM28" s="46"/>
      <c r="GN28" s="46"/>
      <c r="GO28" s="85"/>
      <c r="GP28" s="41"/>
      <c r="GQ28" s="46"/>
      <c r="GR28" s="46"/>
      <c r="GS28" s="46"/>
      <c r="GT28" s="83"/>
      <c r="GU28" s="83"/>
      <c r="GV28" s="83"/>
      <c r="GW28" s="83"/>
      <c r="GX28" s="83"/>
      <c r="GY28" s="83"/>
      <c r="GZ28" s="83"/>
      <c r="HA28" s="83"/>
      <c r="HB28" s="83"/>
      <c r="HC28" s="83"/>
      <c r="HD28" s="81"/>
      <c r="HE28" s="46"/>
      <c r="HF28" s="46"/>
      <c r="HG28" s="46"/>
      <c r="HH28" s="46"/>
      <c r="HI28" s="85"/>
      <c r="HJ28" s="41"/>
      <c r="HK28" s="46"/>
      <c r="HL28" s="46"/>
      <c r="HM28" s="46"/>
      <c r="HN28" s="83"/>
      <c r="HO28" s="83"/>
      <c r="HP28" s="83"/>
      <c r="HQ28" s="83"/>
      <c r="HR28" s="83"/>
      <c r="HS28" s="83"/>
      <c r="HT28" s="83"/>
      <c r="HU28" s="83"/>
      <c r="HV28" s="83"/>
      <c r="HW28" s="83"/>
      <c r="HX28" s="81"/>
      <c r="HY28" s="46"/>
      <c r="HZ28" s="46"/>
      <c r="IA28" s="46"/>
      <c r="IB28" s="46"/>
      <c r="IC28" s="85"/>
      <c r="ID28" s="41"/>
      <c r="IE28" s="46"/>
      <c r="IF28" s="46"/>
      <c r="IG28" s="46"/>
      <c r="IH28" s="83"/>
      <c r="II28" s="83"/>
      <c r="IJ28" s="83"/>
      <c r="IK28" s="83"/>
      <c r="IL28" s="83"/>
      <c r="IM28" s="83"/>
      <c r="IN28" s="83"/>
      <c r="IO28" s="83"/>
      <c r="IP28" s="83"/>
      <c r="IQ28" s="83"/>
      <c r="IR28" s="81"/>
      <c r="IS28" s="46"/>
      <c r="IT28" s="46"/>
      <c r="IU28" s="46"/>
      <c r="IV28" s="46"/>
      <c r="IW28" s="85"/>
      <c r="IX28" s="41"/>
      <c r="IY28" s="46"/>
      <c r="IZ28" s="46"/>
      <c r="JA28" s="46"/>
      <c r="JB28" s="83"/>
      <c r="JC28" s="83"/>
      <c r="JD28" s="83"/>
      <c r="JE28" s="83"/>
      <c r="JF28" s="83"/>
      <c r="JG28" s="83"/>
      <c r="JH28" s="83"/>
      <c r="JI28" s="83"/>
      <c r="JJ28" s="83"/>
      <c r="JK28" s="83"/>
      <c r="JL28" s="81"/>
      <c r="JM28" s="46"/>
      <c r="JN28" s="46"/>
      <c r="JO28" s="46"/>
      <c r="JP28" s="46"/>
      <c r="JQ28" s="85"/>
      <c r="JR28" s="41"/>
      <c r="JS28" s="46"/>
      <c r="JT28" s="46"/>
      <c r="JU28" s="46"/>
      <c r="JV28" s="83"/>
      <c r="JW28" s="83"/>
      <c r="JX28" s="83"/>
      <c r="JY28" s="83"/>
      <c r="JZ28" s="83"/>
      <c r="KA28" s="83"/>
      <c r="KB28" s="83"/>
      <c r="KC28" s="83"/>
      <c r="KD28" s="83"/>
      <c r="KE28" s="83"/>
      <c r="KF28" s="81"/>
      <c r="KG28" s="46"/>
      <c r="KH28" s="46"/>
      <c r="KI28" s="46"/>
      <c r="KJ28" s="46"/>
      <c r="KK28" s="85"/>
      <c r="KL28" s="41"/>
      <c r="KM28" s="46"/>
      <c r="KN28" s="46"/>
      <c r="KO28" s="46"/>
      <c r="KP28" s="83"/>
      <c r="KQ28" s="83"/>
      <c r="KR28" s="83"/>
      <c r="KS28" s="83"/>
      <c r="KT28" s="83"/>
      <c r="KU28" s="83"/>
      <c r="KV28" s="83"/>
      <c r="KW28" s="83"/>
      <c r="KX28" s="83"/>
      <c r="KY28" s="83"/>
      <c r="KZ28" s="81"/>
      <c r="LA28" s="46"/>
      <c r="LB28" s="46"/>
      <c r="LC28" s="46"/>
      <c r="LD28" s="46"/>
      <c r="LE28" s="85"/>
      <c r="LF28" s="41"/>
      <c r="LG28" s="46"/>
      <c r="LH28" s="46"/>
      <c r="LI28" s="46"/>
      <c r="LJ28" s="83"/>
      <c r="LK28" s="83"/>
      <c r="LL28" s="83"/>
      <c r="LM28" s="83"/>
      <c r="LN28" s="83"/>
      <c r="LO28" s="83"/>
      <c r="LP28" s="83"/>
      <c r="LQ28" s="83"/>
      <c r="LR28" s="83"/>
      <c r="LS28" s="83"/>
      <c r="LT28" s="81"/>
      <c r="LU28" s="46"/>
      <c r="LV28" s="46"/>
      <c r="LW28" s="46"/>
      <c r="LX28" s="46"/>
      <c r="LY28" s="85"/>
      <c r="LZ28" s="41"/>
      <c r="MA28" s="46"/>
      <c r="MB28" s="46"/>
      <c r="MC28" s="46"/>
      <c r="MD28" s="83"/>
      <c r="ME28" s="83"/>
      <c r="MF28" s="83"/>
      <c r="MG28" s="83"/>
      <c r="MH28" s="83"/>
      <c r="MI28" s="83"/>
      <c r="MJ28" s="83"/>
      <c r="MK28" s="83"/>
      <c r="ML28" s="83"/>
      <c r="MM28" s="83"/>
      <c r="MN28" s="81"/>
      <c r="MO28" s="46"/>
      <c r="MP28" s="46"/>
      <c r="MQ28" s="46"/>
      <c r="MR28" s="46"/>
      <c r="MS28" s="85"/>
      <c r="MT28" s="41"/>
      <c r="MU28" s="46"/>
      <c r="MV28" s="46"/>
      <c r="MW28" s="46"/>
      <c r="MX28" s="83"/>
      <c r="MY28" s="83"/>
      <c r="MZ28" s="83"/>
      <c r="NA28" s="83"/>
      <c r="NB28" s="83"/>
      <c r="NC28" s="83"/>
      <c r="ND28" s="83"/>
      <c r="NE28" s="83"/>
      <c r="NF28" s="83"/>
      <c r="NG28" s="83"/>
      <c r="NH28" s="81"/>
      <c r="NI28" s="46"/>
      <c r="NJ28" s="46"/>
      <c r="NK28" s="46"/>
      <c r="NL28" s="46"/>
      <c r="NM28" s="85"/>
      <c r="NN28" s="41"/>
      <c r="NO28" s="46"/>
      <c r="NP28" s="46"/>
      <c r="NQ28" s="46"/>
      <c r="NR28" s="83"/>
      <c r="NS28" s="83"/>
      <c r="NT28" s="83"/>
      <c r="NU28" s="83"/>
      <c r="NV28" s="83"/>
      <c r="NW28" s="83"/>
      <c r="NX28" s="83"/>
      <c r="NY28" s="83"/>
      <c r="NZ28" s="83"/>
      <c r="OA28" s="83"/>
      <c r="OB28" s="81"/>
      <c r="OC28" s="46"/>
      <c r="OD28" s="46"/>
      <c r="OE28" s="46"/>
      <c r="OF28" s="46"/>
      <c r="OG28" s="85"/>
      <c r="OH28" s="41"/>
      <c r="OI28" s="46"/>
      <c r="OJ28" s="46"/>
      <c r="OK28" s="46"/>
      <c r="OL28" s="83"/>
      <c r="OM28" s="83"/>
      <c r="ON28" s="83"/>
      <c r="OO28" s="83"/>
      <c r="OP28" s="83"/>
      <c r="OQ28" s="83"/>
      <c r="OR28" s="83"/>
      <c r="OS28" s="83"/>
      <c r="OT28" s="83"/>
      <c r="OU28" s="83"/>
      <c r="OV28" s="81"/>
      <c r="OW28" s="46"/>
      <c r="OX28" s="46"/>
      <c r="OY28" s="46"/>
      <c r="OZ28" s="46"/>
      <c r="PA28" s="85"/>
      <c r="PB28" s="41"/>
      <c r="PC28" s="46"/>
      <c r="PD28" s="46"/>
      <c r="PE28" s="46"/>
      <c r="PF28" s="83"/>
      <c r="PG28" s="83"/>
      <c r="PH28" s="83"/>
      <c r="PI28" s="83"/>
      <c r="PJ28" s="83"/>
      <c r="PK28" s="83"/>
      <c r="PL28" s="83"/>
      <c r="PM28" s="83"/>
      <c r="PN28" s="83"/>
      <c r="PO28" s="83"/>
      <c r="PP28" s="81"/>
      <c r="PQ28" s="46"/>
      <c r="PR28" s="46"/>
      <c r="PS28" s="46"/>
      <c r="PT28" s="46"/>
      <c r="PU28" s="85"/>
      <c r="PV28" s="41"/>
      <c r="PW28" s="46"/>
      <c r="PX28" s="46"/>
      <c r="PY28" s="46"/>
      <c r="PZ28" s="83"/>
      <c r="QA28" s="83"/>
      <c r="QB28" s="83"/>
      <c r="QC28" s="83"/>
      <c r="QD28" s="83"/>
      <c r="QE28" s="83"/>
      <c r="QF28" s="83"/>
      <c r="QG28" s="83"/>
      <c r="QH28" s="83"/>
      <c r="QI28" s="83"/>
      <c r="QJ28" s="81"/>
      <c r="QK28" s="46"/>
      <c r="QL28" s="46"/>
      <c r="QM28" s="46"/>
      <c r="QN28" s="46"/>
      <c r="QO28" s="85"/>
      <c r="QP28" s="41"/>
      <c r="QQ28" s="46"/>
      <c r="QR28" s="46"/>
      <c r="QS28" s="46"/>
      <c r="QT28" s="83"/>
      <c r="QU28" s="83"/>
      <c r="QV28" s="83"/>
      <c r="QW28" s="83"/>
      <c r="QX28" s="83"/>
      <c r="QY28" s="83"/>
      <c r="QZ28" s="83"/>
      <c r="RA28" s="83"/>
      <c r="RB28" s="83"/>
      <c r="RC28" s="83"/>
      <c r="RD28" s="81"/>
      <c r="RE28" s="46"/>
      <c r="RF28" s="46"/>
      <c r="RG28" s="46"/>
      <c r="RH28" s="46"/>
      <c r="RI28" s="85"/>
      <c r="RJ28" s="41"/>
      <c r="RK28" s="46"/>
      <c r="RL28" s="46"/>
      <c r="RM28" s="46"/>
      <c r="RN28" s="83"/>
      <c r="RO28" s="83"/>
      <c r="RP28" s="83"/>
      <c r="RQ28" s="83"/>
      <c r="RR28" s="83"/>
      <c r="RS28" s="83"/>
      <c r="RT28" s="83"/>
      <c r="RU28" s="83"/>
      <c r="RV28" s="83"/>
      <c r="RW28" s="83"/>
      <c r="RX28" s="81"/>
      <c r="RY28" s="46"/>
      <c r="RZ28" s="46"/>
      <c r="SA28" s="46"/>
      <c r="SB28" s="46"/>
      <c r="SC28" s="85"/>
      <c r="SD28" s="41"/>
      <c r="SE28" s="46"/>
      <c r="SF28" s="46"/>
      <c r="SG28" s="46"/>
    </row>
    <row r="29" spans="1:501" s="44" customFormat="1" ht="20.399999999999999" customHeight="1" x14ac:dyDescent="0.3">
      <c r="A29" s="66" t="s">
        <v>196</v>
      </c>
      <c r="B29" s="66" t="s">
        <v>359</v>
      </c>
      <c r="C29" s="66" t="s">
        <v>360</v>
      </c>
      <c r="D29" s="49" t="s">
        <v>503</v>
      </c>
      <c r="E29" s="49" t="s">
        <v>332</v>
      </c>
      <c r="F29" s="49" t="s">
        <v>333</v>
      </c>
      <c r="G29" s="206" t="s">
        <v>360</v>
      </c>
      <c r="H29" s="206" t="s">
        <v>362</v>
      </c>
      <c r="I29" s="206" t="s">
        <v>494</v>
      </c>
      <c r="J29" s="70"/>
      <c r="K29" s="70"/>
      <c r="L29" s="66" t="s">
        <v>68</v>
      </c>
      <c r="M29" s="66" t="s">
        <v>331</v>
      </c>
      <c r="N29" s="49" t="s">
        <v>315</v>
      </c>
      <c r="O29" s="49" t="s">
        <v>332</v>
      </c>
      <c r="P29" s="49" t="s">
        <v>333</v>
      </c>
      <c r="Q29" s="70" t="s">
        <v>334</v>
      </c>
      <c r="R29" s="70" t="s">
        <v>335</v>
      </c>
      <c r="S29" s="70" t="s">
        <v>315</v>
      </c>
      <c r="T29" s="70"/>
      <c r="U29" s="77"/>
      <c r="V29" s="66" t="s">
        <v>68</v>
      </c>
      <c r="W29" s="66" t="s">
        <v>331</v>
      </c>
      <c r="X29" s="49" t="s">
        <v>315</v>
      </c>
      <c r="Y29" s="49" t="s">
        <v>332</v>
      </c>
      <c r="Z29" s="49" t="s">
        <v>333</v>
      </c>
      <c r="AA29" s="70" t="s">
        <v>334</v>
      </c>
      <c r="AB29" s="70" t="s">
        <v>335</v>
      </c>
      <c r="AC29" s="70" t="s">
        <v>315</v>
      </c>
      <c r="AD29" s="82"/>
      <c r="AE29" s="82"/>
      <c r="AF29" s="82" t="s">
        <v>313</v>
      </c>
      <c r="AG29" s="82" t="s">
        <v>318</v>
      </c>
      <c r="AH29" s="82" t="s">
        <v>315</v>
      </c>
      <c r="AI29" s="82" t="s">
        <v>336</v>
      </c>
      <c r="AJ29" s="82" t="s">
        <v>317</v>
      </c>
      <c r="AK29" s="82" t="s">
        <v>318</v>
      </c>
      <c r="AL29" s="82" t="s">
        <v>337</v>
      </c>
      <c r="AM29" s="82" t="s">
        <v>315</v>
      </c>
      <c r="AN29" s="53"/>
      <c r="AO29" s="53"/>
      <c r="AP29" s="82"/>
      <c r="AQ29" s="82"/>
      <c r="AR29" s="82"/>
      <c r="AS29" s="82"/>
      <c r="AT29" s="82"/>
      <c r="AU29" s="82"/>
      <c r="AV29" s="82"/>
      <c r="AW29" s="82"/>
      <c r="AX29" s="82"/>
      <c r="AY29" s="82"/>
      <c r="AZ29" s="80"/>
      <c r="BA29" s="53"/>
      <c r="BB29" s="53"/>
      <c r="BC29" s="53"/>
      <c r="BD29" s="53"/>
      <c r="BE29" s="84"/>
      <c r="BF29" s="52"/>
      <c r="BG29" s="53"/>
      <c r="BH29" s="53"/>
      <c r="BI29" s="53"/>
      <c r="BJ29" s="82"/>
      <c r="BK29" s="82"/>
      <c r="BL29" s="82"/>
      <c r="BM29" s="82"/>
      <c r="BN29" s="82"/>
      <c r="BO29" s="82"/>
      <c r="BP29" s="82"/>
      <c r="BQ29" s="82"/>
      <c r="BR29" s="82"/>
      <c r="BS29" s="82"/>
      <c r="BT29" s="80"/>
      <c r="BU29" s="53"/>
      <c r="BV29" s="53"/>
      <c r="BW29" s="53"/>
      <c r="BX29" s="53"/>
      <c r="BY29" s="84"/>
      <c r="BZ29" s="52"/>
      <c r="CA29" s="53"/>
      <c r="CB29" s="53"/>
      <c r="CC29" s="53"/>
      <c r="CD29" s="82"/>
      <c r="CE29" s="82"/>
      <c r="CF29" s="82"/>
      <c r="CG29" s="82"/>
      <c r="CH29" s="82"/>
      <c r="CI29" s="82"/>
      <c r="CJ29" s="82"/>
      <c r="CK29" s="82"/>
      <c r="CL29" s="82"/>
      <c r="CM29" s="82"/>
      <c r="CN29" s="80"/>
      <c r="CO29" s="53"/>
      <c r="CP29" s="53"/>
      <c r="CQ29" s="53"/>
      <c r="CR29" s="53"/>
      <c r="CS29" s="84"/>
      <c r="CT29" s="52"/>
      <c r="CU29" s="53"/>
      <c r="CV29" s="53"/>
      <c r="CW29" s="53"/>
      <c r="CX29" s="82"/>
      <c r="CY29" s="82"/>
      <c r="CZ29" s="82"/>
      <c r="DA29" s="82"/>
      <c r="DB29" s="82"/>
      <c r="DC29" s="82"/>
      <c r="DD29" s="82"/>
      <c r="DE29" s="82"/>
      <c r="DF29" s="82"/>
      <c r="DG29" s="82"/>
      <c r="DH29" s="80"/>
      <c r="DI29" s="53"/>
      <c r="DJ29" s="53"/>
      <c r="DK29" s="53"/>
      <c r="DL29" s="53"/>
      <c r="DM29" s="84"/>
      <c r="DN29" s="52"/>
      <c r="DO29" s="53"/>
      <c r="DP29" s="53"/>
      <c r="DQ29" s="53"/>
      <c r="DR29" s="82"/>
      <c r="DS29" s="82"/>
      <c r="DT29" s="82"/>
      <c r="DU29" s="82"/>
      <c r="DV29" s="82"/>
      <c r="DW29" s="82"/>
      <c r="DX29" s="82"/>
      <c r="DY29" s="82"/>
      <c r="DZ29" s="82"/>
      <c r="EA29" s="82"/>
      <c r="EB29" s="80"/>
      <c r="EC29" s="53"/>
      <c r="ED29" s="53"/>
      <c r="EE29" s="53"/>
      <c r="EF29" s="53"/>
      <c r="EG29" s="84"/>
      <c r="EH29" s="52"/>
      <c r="EI29" s="53"/>
      <c r="EJ29" s="53"/>
      <c r="EK29" s="53"/>
      <c r="EL29" s="82"/>
      <c r="EM29" s="82"/>
      <c r="EN29" s="82"/>
      <c r="EO29" s="82"/>
      <c r="EP29" s="82"/>
      <c r="EQ29" s="82"/>
      <c r="ER29" s="82"/>
      <c r="ES29" s="82"/>
      <c r="ET29" s="82"/>
      <c r="EU29" s="82"/>
      <c r="EV29" s="80"/>
      <c r="EW29" s="53"/>
      <c r="EX29" s="53"/>
      <c r="EY29" s="53"/>
      <c r="EZ29" s="53"/>
      <c r="FA29" s="84"/>
      <c r="FB29" s="52"/>
      <c r="FC29" s="53"/>
      <c r="FD29" s="53"/>
      <c r="FE29" s="53"/>
      <c r="FF29" s="82"/>
      <c r="FG29" s="82"/>
      <c r="FH29" s="82"/>
      <c r="FI29" s="82"/>
      <c r="FJ29" s="82"/>
      <c r="FK29" s="82"/>
      <c r="FL29" s="82"/>
      <c r="FM29" s="82"/>
      <c r="FN29" s="82"/>
      <c r="FO29" s="82"/>
      <c r="FP29" s="80"/>
      <c r="FQ29" s="53"/>
      <c r="FR29" s="53"/>
      <c r="FS29" s="53"/>
      <c r="FT29" s="53"/>
      <c r="FU29" s="84"/>
      <c r="FV29" s="52"/>
      <c r="FW29" s="53"/>
      <c r="FX29" s="53"/>
      <c r="FY29" s="53"/>
      <c r="FZ29" s="82"/>
      <c r="GA29" s="82"/>
      <c r="GB29" s="82"/>
      <c r="GC29" s="82"/>
      <c r="GD29" s="82"/>
      <c r="GE29" s="82"/>
      <c r="GF29" s="82"/>
      <c r="GG29" s="82"/>
      <c r="GH29" s="82"/>
      <c r="GI29" s="82"/>
      <c r="GJ29" s="80"/>
      <c r="GK29" s="53"/>
      <c r="GL29" s="53"/>
      <c r="GM29" s="53"/>
      <c r="GN29" s="53"/>
      <c r="GO29" s="84"/>
      <c r="GP29" s="52"/>
      <c r="GQ29" s="53"/>
      <c r="GR29" s="53"/>
      <c r="GS29" s="53"/>
      <c r="GT29" s="82"/>
      <c r="GU29" s="82"/>
      <c r="GV29" s="82"/>
      <c r="GW29" s="82"/>
      <c r="GX29" s="82"/>
      <c r="GY29" s="82"/>
      <c r="GZ29" s="82"/>
      <c r="HA29" s="82"/>
      <c r="HB29" s="82"/>
      <c r="HC29" s="82"/>
      <c r="HD29" s="80"/>
      <c r="HE29" s="53"/>
      <c r="HF29" s="53"/>
      <c r="HG29" s="53"/>
      <c r="HH29" s="53"/>
      <c r="HI29" s="84"/>
      <c r="HJ29" s="52"/>
      <c r="HK29" s="53"/>
      <c r="HL29" s="53"/>
      <c r="HM29" s="53"/>
      <c r="HN29" s="82"/>
      <c r="HO29" s="82"/>
      <c r="HP29" s="82"/>
      <c r="HQ29" s="82"/>
      <c r="HR29" s="82"/>
      <c r="HS29" s="82"/>
      <c r="HT29" s="82"/>
      <c r="HU29" s="82"/>
      <c r="HV29" s="82"/>
      <c r="HW29" s="82"/>
      <c r="HX29" s="80"/>
      <c r="HY29" s="53"/>
      <c r="HZ29" s="53"/>
      <c r="IA29" s="53"/>
      <c r="IB29" s="53"/>
      <c r="IC29" s="84"/>
      <c r="ID29" s="52"/>
      <c r="IE29" s="53"/>
      <c r="IF29" s="53"/>
      <c r="IG29" s="53"/>
      <c r="IH29" s="82"/>
      <c r="II29" s="82"/>
      <c r="IJ29" s="82"/>
      <c r="IK29" s="82"/>
      <c r="IL29" s="82"/>
      <c r="IM29" s="82"/>
      <c r="IN29" s="82"/>
      <c r="IO29" s="82"/>
      <c r="IP29" s="82"/>
      <c r="IQ29" s="82"/>
      <c r="IR29" s="80"/>
      <c r="IS29" s="53"/>
      <c r="IT29" s="53"/>
      <c r="IU29" s="53"/>
      <c r="IV29" s="53"/>
      <c r="IW29" s="84"/>
      <c r="IX29" s="52"/>
      <c r="IY29" s="53"/>
      <c r="IZ29" s="53"/>
      <c r="JA29" s="53"/>
      <c r="JB29" s="82"/>
      <c r="JC29" s="82"/>
      <c r="JD29" s="82"/>
      <c r="JE29" s="82"/>
      <c r="JF29" s="82"/>
      <c r="JG29" s="82"/>
      <c r="JH29" s="82"/>
      <c r="JI29" s="82"/>
      <c r="JJ29" s="82"/>
      <c r="JK29" s="82"/>
      <c r="JL29" s="80"/>
      <c r="JM29" s="53"/>
      <c r="JN29" s="53"/>
      <c r="JO29" s="53"/>
      <c r="JP29" s="53"/>
      <c r="JQ29" s="84"/>
      <c r="JR29" s="52"/>
      <c r="JS29" s="53"/>
      <c r="JT29" s="53"/>
      <c r="JU29" s="53"/>
      <c r="JV29" s="82"/>
      <c r="JW29" s="82"/>
      <c r="JX29" s="82"/>
      <c r="JY29" s="82"/>
      <c r="JZ29" s="82"/>
      <c r="KA29" s="82"/>
      <c r="KB29" s="82"/>
      <c r="KC29" s="82"/>
      <c r="KD29" s="82"/>
      <c r="KE29" s="82"/>
      <c r="KF29" s="80"/>
      <c r="KG29" s="53"/>
      <c r="KH29" s="53"/>
      <c r="KI29" s="53"/>
      <c r="KJ29" s="53"/>
      <c r="KK29" s="84"/>
      <c r="KL29" s="52"/>
      <c r="KM29" s="53"/>
      <c r="KN29" s="53"/>
      <c r="KO29" s="53"/>
      <c r="KP29" s="82"/>
      <c r="KQ29" s="82"/>
      <c r="KR29" s="82"/>
      <c r="KS29" s="82"/>
      <c r="KT29" s="82"/>
      <c r="KU29" s="82"/>
      <c r="KV29" s="82"/>
      <c r="KW29" s="82"/>
      <c r="KX29" s="82"/>
      <c r="KY29" s="82"/>
      <c r="KZ29" s="80"/>
      <c r="LA29" s="53"/>
      <c r="LB29" s="53"/>
      <c r="LC29" s="53"/>
      <c r="LD29" s="53"/>
      <c r="LE29" s="84"/>
      <c r="LF29" s="52"/>
      <c r="LG29" s="53"/>
      <c r="LH29" s="53"/>
      <c r="LI29" s="53"/>
      <c r="LJ29" s="82"/>
      <c r="LK29" s="82"/>
      <c r="LL29" s="82"/>
      <c r="LM29" s="82"/>
      <c r="LN29" s="82"/>
      <c r="LO29" s="82"/>
      <c r="LP29" s="82"/>
      <c r="LQ29" s="82"/>
      <c r="LR29" s="82"/>
      <c r="LS29" s="82"/>
      <c r="LT29" s="80"/>
      <c r="LU29" s="53"/>
      <c r="LV29" s="53"/>
      <c r="LW29" s="53"/>
      <c r="LX29" s="53"/>
      <c r="LY29" s="84"/>
      <c r="LZ29" s="52"/>
      <c r="MA29" s="53"/>
      <c r="MB29" s="53"/>
      <c r="MC29" s="53"/>
      <c r="MD29" s="82"/>
      <c r="ME29" s="82"/>
      <c r="MF29" s="82"/>
      <c r="MG29" s="82"/>
      <c r="MH29" s="82"/>
      <c r="MI29" s="82"/>
      <c r="MJ29" s="82"/>
      <c r="MK29" s="82"/>
      <c r="ML29" s="82"/>
      <c r="MM29" s="82"/>
      <c r="MN29" s="80"/>
      <c r="MO29" s="53"/>
      <c r="MP29" s="53"/>
      <c r="MQ29" s="53"/>
      <c r="MR29" s="53"/>
      <c r="MS29" s="84"/>
      <c r="MT29" s="52"/>
      <c r="MU29" s="53"/>
      <c r="MV29" s="53"/>
      <c r="MW29" s="53"/>
      <c r="MX29" s="82"/>
      <c r="MY29" s="82"/>
      <c r="MZ29" s="82"/>
      <c r="NA29" s="82"/>
      <c r="NB29" s="82"/>
      <c r="NC29" s="82"/>
      <c r="ND29" s="82"/>
      <c r="NE29" s="82"/>
      <c r="NF29" s="82"/>
      <c r="NG29" s="82"/>
      <c r="NH29" s="80"/>
      <c r="NI29" s="53"/>
      <c r="NJ29" s="53"/>
      <c r="NK29" s="53"/>
      <c r="NL29" s="53"/>
      <c r="NM29" s="84"/>
      <c r="NN29" s="52"/>
      <c r="NO29" s="53"/>
      <c r="NP29" s="53"/>
      <c r="NQ29" s="53"/>
      <c r="NR29" s="82"/>
      <c r="NS29" s="82"/>
      <c r="NT29" s="82"/>
      <c r="NU29" s="82"/>
      <c r="NV29" s="82"/>
      <c r="NW29" s="82"/>
      <c r="NX29" s="82"/>
      <c r="NY29" s="82"/>
      <c r="NZ29" s="82"/>
      <c r="OA29" s="82"/>
      <c r="OB29" s="80"/>
      <c r="OC29" s="53"/>
      <c r="OD29" s="53"/>
      <c r="OE29" s="53"/>
      <c r="OF29" s="53"/>
      <c r="OG29" s="84"/>
      <c r="OH29" s="52"/>
      <c r="OI29" s="53"/>
      <c r="OJ29" s="53"/>
      <c r="OK29" s="53"/>
      <c r="OL29" s="82"/>
      <c r="OM29" s="82"/>
      <c r="ON29" s="82"/>
      <c r="OO29" s="82"/>
      <c r="OP29" s="82"/>
      <c r="OQ29" s="82"/>
      <c r="OR29" s="82"/>
      <c r="OS29" s="82"/>
      <c r="OT29" s="82"/>
      <c r="OU29" s="82"/>
      <c r="OV29" s="80"/>
      <c r="OW29" s="53"/>
      <c r="OX29" s="53"/>
      <c r="OY29" s="53"/>
      <c r="OZ29" s="53"/>
      <c r="PA29" s="84"/>
      <c r="PB29" s="52"/>
      <c r="PC29" s="53"/>
      <c r="PD29" s="53"/>
      <c r="PE29" s="53"/>
      <c r="PF29" s="82"/>
      <c r="PG29" s="82"/>
      <c r="PH29" s="82"/>
      <c r="PI29" s="82"/>
      <c r="PJ29" s="82"/>
      <c r="PK29" s="82"/>
      <c r="PL29" s="82"/>
      <c r="PM29" s="82"/>
      <c r="PN29" s="82"/>
      <c r="PO29" s="82"/>
      <c r="PP29" s="80"/>
      <c r="PQ29" s="53"/>
      <c r="PR29" s="53"/>
      <c r="PS29" s="53"/>
      <c r="PT29" s="53"/>
      <c r="PU29" s="84"/>
      <c r="PV29" s="52"/>
      <c r="PW29" s="53"/>
      <c r="PX29" s="53"/>
      <c r="PY29" s="53"/>
      <c r="PZ29" s="82"/>
      <c r="QA29" s="82"/>
      <c r="QB29" s="82"/>
      <c r="QC29" s="82"/>
      <c r="QD29" s="82"/>
      <c r="QE29" s="82"/>
      <c r="QF29" s="82"/>
      <c r="QG29" s="82"/>
      <c r="QH29" s="82"/>
      <c r="QI29" s="82"/>
      <c r="QJ29" s="80"/>
      <c r="QK29" s="53"/>
      <c r="QL29" s="53"/>
      <c r="QM29" s="53"/>
      <c r="QN29" s="53"/>
      <c r="QO29" s="84"/>
      <c r="QP29" s="52"/>
      <c r="QQ29" s="53"/>
      <c r="QR29" s="53"/>
      <c r="QS29" s="53"/>
      <c r="QT29" s="82"/>
      <c r="QU29" s="82"/>
      <c r="QV29" s="82"/>
      <c r="QW29" s="82"/>
      <c r="QX29" s="82"/>
      <c r="QY29" s="82"/>
      <c r="QZ29" s="82"/>
      <c r="RA29" s="82"/>
      <c r="RB29" s="82"/>
      <c r="RC29" s="82"/>
      <c r="RD29" s="80"/>
      <c r="RE29" s="53"/>
      <c r="RF29" s="53"/>
      <c r="RG29" s="53"/>
      <c r="RH29" s="53"/>
      <c r="RI29" s="84"/>
      <c r="RJ29" s="52"/>
      <c r="RK29" s="53"/>
      <c r="RL29" s="53"/>
      <c r="RM29" s="53"/>
      <c r="RN29" s="82"/>
      <c r="RO29" s="82"/>
      <c r="RP29" s="82"/>
      <c r="RQ29" s="82"/>
      <c r="RR29" s="82"/>
      <c r="RS29" s="82"/>
      <c r="RT29" s="82"/>
      <c r="RU29" s="82"/>
      <c r="RV29" s="82"/>
      <c r="RW29" s="82"/>
      <c r="RX29" s="80"/>
      <c r="RY29" s="53"/>
      <c r="RZ29" s="53"/>
      <c r="SA29" s="53"/>
      <c r="SB29" s="53"/>
      <c r="SC29" s="84"/>
      <c r="SD29" s="52"/>
      <c r="SE29" s="53"/>
      <c r="SF29" s="53"/>
      <c r="SG29" s="53"/>
    </row>
    <row r="30" spans="1:501" s="44" customFormat="1" ht="20.399999999999999" customHeight="1" x14ac:dyDescent="0.3">
      <c r="A30" s="125" t="s">
        <v>200</v>
      </c>
      <c r="B30" s="125"/>
      <c r="C30" s="125"/>
      <c r="D30" s="12"/>
      <c r="E30" s="12"/>
      <c r="F30" s="12"/>
      <c r="G30" s="72"/>
      <c r="H30" s="72"/>
      <c r="I30" s="204"/>
      <c r="J30" s="72"/>
      <c r="K30" s="72"/>
      <c r="L30" s="72"/>
      <c r="M30" s="72"/>
      <c r="N30" s="72"/>
      <c r="O30" s="72"/>
      <c r="P30" s="72"/>
      <c r="Q30" s="72"/>
      <c r="R30" s="72"/>
      <c r="S30" s="72"/>
      <c r="T30" s="72"/>
      <c r="U30" s="78"/>
      <c r="V30" s="83"/>
      <c r="W30" s="83"/>
      <c r="X30" s="83"/>
      <c r="Y30" s="83"/>
      <c r="Z30" s="83"/>
      <c r="AA30" s="83"/>
      <c r="AB30" s="83"/>
      <c r="AC30" s="83"/>
      <c r="AD30" s="83"/>
      <c r="AE30" s="83"/>
      <c r="AF30" s="81"/>
      <c r="AG30" s="46"/>
      <c r="AH30" s="46"/>
      <c r="AI30" s="46"/>
      <c r="AJ30" s="46"/>
      <c r="AK30" s="85"/>
      <c r="AL30" s="41"/>
      <c r="AM30" s="46"/>
      <c r="AN30" s="46"/>
      <c r="AO30" s="46"/>
      <c r="AP30" s="83"/>
      <c r="AQ30" s="83"/>
      <c r="AR30" s="83"/>
      <c r="AS30" s="83"/>
      <c r="AT30" s="83"/>
      <c r="AU30" s="83"/>
      <c r="AV30" s="83"/>
      <c r="AW30" s="83"/>
      <c r="AX30" s="83"/>
      <c r="AY30" s="83"/>
      <c r="AZ30" s="81"/>
      <c r="BA30" s="46"/>
      <c r="BB30" s="46"/>
      <c r="BC30" s="46"/>
      <c r="BD30" s="46"/>
      <c r="BE30" s="85"/>
      <c r="BF30" s="41"/>
      <c r="BG30" s="46"/>
      <c r="BH30" s="46"/>
      <c r="BI30" s="46"/>
      <c r="BJ30" s="83"/>
      <c r="BK30" s="83"/>
      <c r="BL30" s="83"/>
      <c r="BM30" s="83"/>
      <c r="BN30" s="83"/>
      <c r="BO30" s="83"/>
      <c r="BP30" s="83"/>
      <c r="BQ30" s="83"/>
      <c r="BR30" s="83"/>
      <c r="BS30" s="83"/>
      <c r="BT30" s="81"/>
      <c r="BU30" s="46"/>
      <c r="BV30" s="46"/>
      <c r="BW30" s="46"/>
      <c r="BX30" s="46"/>
      <c r="BY30" s="85"/>
      <c r="BZ30" s="41"/>
      <c r="CA30" s="46"/>
      <c r="CB30" s="46"/>
      <c r="CC30" s="46"/>
      <c r="CD30" s="83"/>
      <c r="CE30" s="83"/>
      <c r="CF30" s="83"/>
      <c r="CG30" s="83"/>
      <c r="CH30" s="83"/>
      <c r="CI30" s="83"/>
      <c r="CJ30" s="83"/>
      <c r="CK30" s="83"/>
      <c r="CL30" s="83"/>
      <c r="CM30" s="83"/>
      <c r="CN30" s="81"/>
      <c r="CO30" s="46"/>
      <c r="CP30" s="46"/>
      <c r="CQ30" s="46"/>
      <c r="CR30" s="46"/>
      <c r="CS30" s="85"/>
      <c r="CT30" s="41"/>
      <c r="CU30" s="46"/>
      <c r="CV30" s="46"/>
      <c r="CW30" s="46"/>
      <c r="CX30" s="83"/>
      <c r="CY30" s="83"/>
      <c r="CZ30" s="83"/>
      <c r="DA30" s="83"/>
      <c r="DB30" s="83"/>
      <c r="DC30" s="83"/>
      <c r="DD30" s="83"/>
      <c r="DE30" s="83"/>
      <c r="DF30" s="83"/>
      <c r="DG30" s="83"/>
      <c r="DH30" s="81"/>
      <c r="DI30" s="46"/>
      <c r="DJ30" s="46"/>
      <c r="DK30" s="46"/>
      <c r="DL30" s="46"/>
      <c r="DM30" s="85"/>
      <c r="DN30" s="41"/>
      <c r="DO30" s="46"/>
      <c r="DP30" s="46"/>
      <c r="DQ30" s="46"/>
      <c r="DR30" s="83"/>
      <c r="DS30" s="83"/>
      <c r="DT30" s="83"/>
      <c r="DU30" s="83"/>
      <c r="DV30" s="83"/>
      <c r="DW30" s="83"/>
      <c r="DX30" s="83"/>
      <c r="DY30" s="83"/>
      <c r="DZ30" s="83"/>
      <c r="EA30" s="83"/>
      <c r="EB30" s="81"/>
      <c r="EC30" s="46"/>
      <c r="ED30" s="46"/>
      <c r="EE30" s="46"/>
      <c r="EF30" s="46"/>
      <c r="EG30" s="85"/>
      <c r="EH30" s="41"/>
      <c r="EI30" s="46"/>
      <c r="EJ30" s="46"/>
      <c r="EK30" s="46"/>
      <c r="EL30" s="83"/>
      <c r="EM30" s="83"/>
      <c r="EN30" s="83"/>
      <c r="EO30" s="83"/>
      <c r="EP30" s="83"/>
      <c r="EQ30" s="83"/>
      <c r="ER30" s="83"/>
      <c r="ES30" s="83"/>
      <c r="ET30" s="83"/>
      <c r="EU30" s="83"/>
      <c r="EV30" s="81"/>
      <c r="EW30" s="46"/>
      <c r="EX30" s="46"/>
      <c r="EY30" s="46"/>
      <c r="EZ30" s="46"/>
      <c r="FA30" s="85"/>
      <c r="FB30" s="41"/>
      <c r="FC30" s="46"/>
      <c r="FD30" s="46"/>
      <c r="FE30" s="46"/>
      <c r="FF30" s="83"/>
      <c r="FG30" s="83"/>
      <c r="FH30" s="83"/>
      <c r="FI30" s="83"/>
      <c r="FJ30" s="83"/>
      <c r="FK30" s="83"/>
      <c r="FL30" s="83"/>
      <c r="FM30" s="83"/>
      <c r="FN30" s="83"/>
      <c r="FO30" s="83"/>
      <c r="FP30" s="81"/>
      <c r="FQ30" s="46"/>
      <c r="FR30" s="46"/>
      <c r="FS30" s="46"/>
      <c r="FT30" s="46"/>
      <c r="FU30" s="85"/>
      <c r="FV30" s="41"/>
      <c r="FW30" s="46"/>
      <c r="FX30" s="46"/>
      <c r="FY30" s="46"/>
      <c r="FZ30" s="83"/>
      <c r="GA30" s="83"/>
      <c r="GB30" s="83"/>
      <c r="GC30" s="83"/>
      <c r="GD30" s="83"/>
      <c r="GE30" s="83"/>
      <c r="GF30" s="83"/>
      <c r="GG30" s="83"/>
      <c r="GH30" s="83"/>
      <c r="GI30" s="83"/>
      <c r="GJ30" s="81"/>
      <c r="GK30" s="46"/>
      <c r="GL30" s="46"/>
      <c r="GM30" s="46"/>
      <c r="GN30" s="46"/>
      <c r="GO30" s="85"/>
      <c r="GP30" s="41"/>
      <c r="GQ30" s="46"/>
      <c r="GR30" s="46"/>
      <c r="GS30" s="46"/>
      <c r="GT30" s="83"/>
      <c r="GU30" s="83"/>
      <c r="GV30" s="83"/>
      <c r="GW30" s="83"/>
      <c r="GX30" s="83"/>
      <c r="GY30" s="83"/>
      <c r="GZ30" s="83"/>
      <c r="HA30" s="83"/>
      <c r="HB30" s="83"/>
      <c r="HC30" s="83"/>
      <c r="HD30" s="81"/>
      <c r="HE30" s="46"/>
      <c r="HF30" s="46"/>
      <c r="HG30" s="46"/>
      <c r="HH30" s="46"/>
      <c r="HI30" s="85"/>
      <c r="HJ30" s="41"/>
      <c r="HK30" s="46"/>
      <c r="HL30" s="46"/>
      <c r="HM30" s="46"/>
      <c r="HN30" s="83"/>
      <c r="HO30" s="83"/>
      <c r="HP30" s="83"/>
      <c r="HQ30" s="83"/>
      <c r="HR30" s="83"/>
      <c r="HS30" s="83"/>
      <c r="HT30" s="83"/>
      <c r="HU30" s="83"/>
      <c r="HV30" s="83"/>
      <c r="HW30" s="83"/>
      <c r="HX30" s="81"/>
      <c r="HY30" s="46"/>
      <c r="HZ30" s="46"/>
      <c r="IA30" s="46"/>
      <c r="IB30" s="46"/>
      <c r="IC30" s="85"/>
      <c r="ID30" s="41"/>
      <c r="IE30" s="46"/>
      <c r="IF30" s="46"/>
      <c r="IG30" s="46"/>
      <c r="IH30" s="83"/>
      <c r="II30" s="83"/>
      <c r="IJ30" s="83"/>
      <c r="IK30" s="83"/>
      <c r="IL30" s="83"/>
      <c r="IM30" s="83"/>
      <c r="IN30" s="83"/>
      <c r="IO30" s="83"/>
      <c r="IP30" s="83"/>
      <c r="IQ30" s="83"/>
      <c r="IR30" s="81"/>
      <c r="IS30" s="46"/>
      <c r="IT30" s="46"/>
      <c r="IU30" s="46"/>
      <c r="IV30" s="46"/>
      <c r="IW30" s="85"/>
      <c r="IX30" s="41"/>
      <c r="IY30" s="46"/>
      <c r="IZ30" s="46"/>
      <c r="JA30" s="46"/>
      <c r="JB30" s="83"/>
      <c r="JC30" s="83"/>
      <c r="JD30" s="83"/>
      <c r="JE30" s="83"/>
      <c r="JF30" s="83"/>
      <c r="JG30" s="83"/>
      <c r="JH30" s="83"/>
      <c r="JI30" s="83"/>
      <c r="JJ30" s="83"/>
      <c r="JK30" s="83"/>
      <c r="JL30" s="81"/>
      <c r="JM30" s="46"/>
      <c r="JN30" s="46"/>
      <c r="JO30" s="46"/>
      <c r="JP30" s="46"/>
      <c r="JQ30" s="85"/>
      <c r="JR30" s="41"/>
      <c r="JS30" s="46"/>
      <c r="JT30" s="46"/>
      <c r="JU30" s="46"/>
      <c r="JV30" s="83"/>
      <c r="JW30" s="83"/>
      <c r="JX30" s="83"/>
      <c r="JY30" s="83"/>
      <c r="JZ30" s="83"/>
      <c r="KA30" s="83"/>
      <c r="KB30" s="83"/>
      <c r="KC30" s="83"/>
      <c r="KD30" s="83"/>
      <c r="KE30" s="83"/>
      <c r="KF30" s="81"/>
      <c r="KG30" s="46"/>
      <c r="KH30" s="46"/>
      <c r="KI30" s="46"/>
      <c r="KJ30" s="46"/>
      <c r="KK30" s="85"/>
      <c r="KL30" s="41"/>
      <c r="KM30" s="46"/>
      <c r="KN30" s="46"/>
      <c r="KO30" s="46"/>
      <c r="KP30" s="83"/>
      <c r="KQ30" s="83"/>
      <c r="KR30" s="83"/>
      <c r="KS30" s="83"/>
      <c r="KT30" s="83"/>
      <c r="KU30" s="83"/>
      <c r="KV30" s="83"/>
      <c r="KW30" s="83"/>
      <c r="KX30" s="83"/>
      <c r="KY30" s="83"/>
      <c r="KZ30" s="81"/>
      <c r="LA30" s="46"/>
      <c r="LB30" s="46"/>
      <c r="LC30" s="46"/>
      <c r="LD30" s="46"/>
      <c r="LE30" s="85"/>
      <c r="LF30" s="41"/>
      <c r="LG30" s="46"/>
      <c r="LH30" s="46"/>
      <c r="LI30" s="46"/>
      <c r="LJ30" s="83"/>
      <c r="LK30" s="83"/>
      <c r="LL30" s="83"/>
      <c r="LM30" s="83"/>
      <c r="LN30" s="83"/>
      <c r="LO30" s="83"/>
      <c r="LP30" s="83"/>
      <c r="LQ30" s="83"/>
      <c r="LR30" s="83"/>
      <c r="LS30" s="83"/>
      <c r="LT30" s="81"/>
      <c r="LU30" s="46"/>
      <c r="LV30" s="46"/>
      <c r="LW30" s="46"/>
      <c r="LX30" s="46"/>
      <c r="LY30" s="85"/>
      <c r="LZ30" s="41"/>
      <c r="MA30" s="46"/>
      <c r="MB30" s="46"/>
      <c r="MC30" s="46"/>
      <c r="MD30" s="83"/>
      <c r="ME30" s="83"/>
      <c r="MF30" s="83"/>
      <c r="MG30" s="83"/>
      <c r="MH30" s="83"/>
      <c r="MI30" s="83"/>
      <c r="MJ30" s="83"/>
      <c r="MK30" s="83"/>
      <c r="ML30" s="83"/>
      <c r="MM30" s="83"/>
      <c r="MN30" s="81"/>
      <c r="MO30" s="46"/>
      <c r="MP30" s="46"/>
      <c r="MQ30" s="46"/>
      <c r="MR30" s="46"/>
      <c r="MS30" s="85"/>
      <c r="MT30" s="41"/>
      <c r="MU30" s="46"/>
      <c r="MV30" s="46"/>
      <c r="MW30" s="46"/>
      <c r="MX30" s="83"/>
      <c r="MY30" s="83"/>
      <c r="MZ30" s="83"/>
      <c r="NA30" s="83"/>
      <c r="NB30" s="83"/>
      <c r="NC30" s="83"/>
      <c r="ND30" s="83"/>
      <c r="NE30" s="83"/>
      <c r="NF30" s="83"/>
      <c r="NG30" s="83"/>
      <c r="NH30" s="81"/>
      <c r="NI30" s="46"/>
      <c r="NJ30" s="46"/>
      <c r="NK30" s="46"/>
      <c r="NL30" s="46"/>
      <c r="NM30" s="85"/>
      <c r="NN30" s="41"/>
      <c r="NO30" s="46"/>
      <c r="NP30" s="46"/>
      <c r="NQ30" s="46"/>
      <c r="NR30" s="83"/>
      <c r="NS30" s="83"/>
      <c r="NT30" s="83"/>
      <c r="NU30" s="83"/>
      <c r="NV30" s="83"/>
      <c r="NW30" s="83"/>
      <c r="NX30" s="83"/>
      <c r="NY30" s="83"/>
      <c r="NZ30" s="83"/>
      <c r="OA30" s="83"/>
      <c r="OB30" s="81"/>
      <c r="OC30" s="46"/>
      <c r="OD30" s="46"/>
      <c r="OE30" s="46"/>
      <c r="OF30" s="46"/>
      <c r="OG30" s="85"/>
      <c r="OH30" s="41"/>
      <c r="OI30" s="46"/>
      <c r="OJ30" s="46"/>
      <c r="OK30" s="46"/>
      <c r="OL30" s="83"/>
      <c r="OM30" s="83"/>
      <c r="ON30" s="83"/>
      <c r="OO30" s="83"/>
      <c r="OP30" s="83"/>
      <c r="OQ30" s="83"/>
      <c r="OR30" s="83"/>
      <c r="OS30" s="83"/>
      <c r="OT30" s="83"/>
      <c r="OU30" s="83"/>
      <c r="OV30" s="81"/>
      <c r="OW30" s="46"/>
      <c r="OX30" s="46"/>
      <c r="OY30" s="46"/>
      <c r="OZ30" s="46"/>
      <c r="PA30" s="85"/>
      <c r="PB30" s="41"/>
      <c r="PC30" s="46"/>
      <c r="PD30" s="46"/>
      <c r="PE30" s="46"/>
      <c r="PF30" s="83"/>
      <c r="PG30" s="83"/>
      <c r="PH30" s="83"/>
      <c r="PI30" s="83"/>
      <c r="PJ30" s="83"/>
      <c r="PK30" s="83"/>
      <c r="PL30" s="83"/>
      <c r="PM30" s="83"/>
      <c r="PN30" s="83"/>
      <c r="PO30" s="83"/>
      <c r="PP30" s="81"/>
      <c r="PQ30" s="46"/>
      <c r="PR30" s="46"/>
      <c r="PS30" s="46"/>
      <c r="PT30" s="46"/>
      <c r="PU30" s="85"/>
      <c r="PV30" s="41"/>
      <c r="PW30" s="46"/>
      <c r="PX30" s="46"/>
      <c r="PY30" s="46"/>
      <c r="PZ30" s="83"/>
      <c r="QA30" s="83"/>
      <c r="QB30" s="83"/>
      <c r="QC30" s="83"/>
      <c r="QD30" s="83"/>
      <c r="QE30" s="83"/>
      <c r="QF30" s="83"/>
      <c r="QG30" s="83"/>
      <c r="QH30" s="83"/>
      <c r="QI30" s="83"/>
      <c r="QJ30" s="81"/>
      <c r="QK30" s="46"/>
      <c r="QL30" s="46"/>
      <c r="QM30" s="46"/>
      <c r="QN30" s="46"/>
      <c r="QO30" s="85"/>
      <c r="QP30" s="41"/>
      <c r="QQ30" s="46"/>
      <c r="QR30" s="46"/>
      <c r="QS30" s="46"/>
      <c r="QT30" s="83"/>
      <c r="QU30" s="83"/>
      <c r="QV30" s="83"/>
      <c r="QW30" s="83"/>
      <c r="QX30" s="83"/>
      <c r="QY30" s="83"/>
      <c r="QZ30" s="83"/>
      <c r="RA30" s="83"/>
      <c r="RB30" s="83"/>
      <c r="RC30" s="83"/>
      <c r="RD30" s="81"/>
      <c r="RE30" s="46"/>
      <c r="RF30" s="46"/>
      <c r="RG30" s="46"/>
      <c r="RH30" s="46"/>
      <c r="RI30" s="85"/>
      <c r="RJ30" s="41"/>
      <c r="RK30" s="46"/>
      <c r="RL30" s="46"/>
      <c r="RM30" s="46"/>
      <c r="RN30" s="83"/>
      <c r="RO30" s="83"/>
      <c r="RP30" s="83"/>
      <c r="RQ30" s="83"/>
      <c r="RR30" s="83"/>
      <c r="RS30" s="83"/>
      <c r="RT30" s="83"/>
      <c r="RU30" s="83"/>
      <c r="RV30" s="83"/>
      <c r="RW30" s="83"/>
      <c r="RX30" s="81"/>
      <c r="RY30" s="46"/>
      <c r="RZ30" s="46"/>
      <c r="SA30" s="46"/>
      <c r="SB30" s="46"/>
      <c r="SC30" s="85"/>
      <c r="SD30" s="41"/>
      <c r="SE30" s="46"/>
      <c r="SF30" s="46"/>
      <c r="SG30" s="46"/>
    </row>
    <row r="31" spans="1:501" s="44" customFormat="1" ht="20.399999999999999" customHeight="1" x14ac:dyDescent="0.3">
      <c r="A31" s="66" t="s">
        <v>212</v>
      </c>
      <c r="B31" s="66" t="s">
        <v>359</v>
      </c>
      <c r="C31" s="66" t="s">
        <v>360</v>
      </c>
      <c r="D31" s="49" t="s">
        <v>504</v>
      </c>
      <c r="E31" s="49" t="s">
        <v>332</v>
      </c>
      <c r="F31" s="49" t="s">
        <v>333</v>
      </c>
      <c r="G31" s="206" t="s">
        <v>360</v>
      </c>
      <c r="H31" s="206" t="s">
        <v>362</v>
      </c>
      <c r="I31" s="206" t="s">
        <v>505</v>
      </c>
      <c r="J31" s="70"/>
      <c r="K31" s="70"/>
      <c r="L31" s="66" t="s">
        <v>359</v>
      </c>
      <c r="M31" s="66" t="s">
        <v>360</v>
      </c>
      <c r="N31" s="51" t="s">
        <v>365</v>
      </c>
      <c r="O31" s="49" t="s">
        <v>332</v>
      </c>
      <c r="P31" s="49" t="s">
        <v>333</v>
      </c>
      <c r="Q31" s="206" t="s">
        <v>360</v>
      </c>
      <c r="R31" s="206" t="s">
        <v>362</v>
      </c>
      <c r="S31" s="70" t="s">
        <v>506</v>
      </c>
      <c r="T31" s="70"/>
      <c r="U31" s="77"/>
      <c r="V31" s="201" t="s">
        <v>373</v>
      </c>
      <c r="W31" s="201" t="s">
        <v>331</v>
      </c>
      <c r="X31" s="82" t="s">
        <v>507</v>
      </c>
      <c r="Y31" s="82" t="s">
        <v>332</v>
      </c>
      <c r="Z31" s="82" t="s">
        <v>333</v>
      </c>
      <c r="AA31" s="82" t="s">
        <v>409</v>
      </c>
      <c r="AB31" s="82" t="s">
        <v>410</v>
      </c>
      <c r="AC31" s="82" t="s">
        <v>508</v>
      </c>
      <c r="AD31" s="82"/>
      <c r="AE31" s="82"/>
      <c r="AF31" s="80" t="s">
        <v>71</v>
      </c>
      <c r="AG31" s="53" t="s">
        <v>314</v>
      </c>
      <c r="AH31" s="53" t="s">
        <v>315</v>
      </c>
      <c r="AI31" s="53" t="s">
        <v>316</v>
      </c>
      <c r="AJ31" s="53" t="s">
        <v>321</v>
      </c>
      <c r="AK31" s="84" t="s">
        <v>318</v>
      </c>
      <c r="AL31" s="52" t="s">
        <v>322</v>
      </c>
      <c r="AM31" s="53" t="s">
        <v>315</v>
      </c>
      <c r="AN31" s="53"/>
      <c r="AO31" s="53"/>
      <c r="AP31" s="80" t="s">
        <v>71</v>
      </c>
      <c r="AQ31" s="53" t="s">
        <v>314</v>
      </c>
      <c r="AR31" s="53" t="s">
        <v>315</v>
      </c>
      <c r="AS31" s="53" t="s">
        <v>316</v>
      </c>
      <c r="AT31" s="53" t="s">
        <v>321</v>
      </c>
      <c r="AU31" s="84" t="s">
        <v>318</v>
      </c>
      <c r="AV31" s="52" t="s">
        <v>322</v>
      </c>
      <c r="AW31" s="53" t="s">
        <v>315</v>
      </c>
      <c r="AX31" s="82"/>
      <c r="AY31" s="82"/>
      <c r="AZ31" s="80"/>
      <c r="BA31" s="53"/>
      <c r="BB31" s="53"/>
      <c r="BC31" s="53"/>
      <c r="BD31" s="53"/>
      <c r="BE31" s="84"/>
      <c r="BF31" s="52"/>
      <c r="BG31" s="53"/>
      <c r="BH31" s="53"/>
      <c r="BI31" s="53"/>
      <c r="BJ31" s="82"/>
      <c r="BK31" s="82"/>
      <c r="BL31" s="82"/>
      <c r="BM31" s="82"/>
      <c r="BN31" s="82"/>
      <c r="BO31" s="82"/>
      <c r="BP31" s="82"/>
      <c r="BQ31" s="82"/>
      <c r="BR31" s="82"/>
      <c r="BS31" s="82"/>
      <c r="BT31" s="80"/>
      <c r="BU31" s="53"/>
      <c r="BV31" s="53"/>
      <c r="BW31" s="53"/>
      <c r="BX31" s="53"/>
      <c r="BY31" s="84"/>
      <c r="BZ31" s="52"/>
      <c r="CA31" s="53"/>
      <c r="CB31" s="53"/>
      <c r="CC31" s="53"/>
      <c r="CD31" s="82"/>
      <c r="CE31" s="82"/>
      <c r="CF31" s="82"/>
      <c r="CG31" s="82"/>
      <c r="CH31" s="82"/>
      <c r="CI31" s="82"/>
      <c r="CJ31" s="82"/>
      <c r="CK31" s="82"/>
      <c r="CL31" s="82"/>
      <c r="CM31" s="82"/>
      <c r="CN31" s="80"/>
      <c r="CO31" s="53"/>
      <c r="CP31" s="53"/>
      <c r="CQ31" s="53"/>
      <c r="CR31" s="53"/>
      <c r="CS31" s="84"/>
      <c r="CT31" s="52"/>
      <c r="CU31" s="53"/>
      <c r="CV31" s="53"/>
      <c r="CW31" s="53"/>
      <c r="CX31" s="82"/>
      <c r="CY31" s="82"/>
      <c r="CZ31" s="82"/>
      <c r="DA31" s="82"/>
      <c r="DB31" s="82"/>
      <c r="DC31" s="82"/>
      <c r="DD31" s="82"/>
      <c r="DE31" s="82"/>
      <c r="DF31" s="82"/>
      <c r="DG31" s="82"/>
      <c r="DH31" s="80"/>
      <c r="DI31" s="53"/>
      <c r="DJ31" s="53"/>
      <c r="DK31" s="53"/>
      <c r="DL31" s="53"/>
      <c r="DM31" s="84"/>
      <c r="DN31" s="52"/>
      <c r="DO31" s="53"/>
      <c r="DP31" s="53"/>
      <c r="DQ31" s="53"/>
      <c r="DR31" s="82"/>
      <c r="DS31" s="82"/>
      <c r="DT31" s="82"/>
      <c r="DU31" s="82"/>
      <c r="DV31" s="82"/>
      <c r="DW31" s="82"/>
      <c r="DX31" s="82"/>
      <c r="DY31" s="82"/>
      <c r="DZ31" s="82"/>
      <c r="EA31" s="82"/>
      <c r="EB31" s="80"/>
      <c r="EC31" s="53"/>
      <c r="ED31" s="53"/>
      <c r="EE31" s="53"/>
      <c r="EF31" s="53"/>
      <c r="EG31" s="84"/>
      <c r="EH31" s="52"/>
      <c r="EI31" s="53"/>
      <c r="EJ31" s="53"/>
      <c r="EK31" s="53"/>
      <c r="EL31" s="82"/>
      <c r="EM31" s="82"/>
      <c r="EN31" s="82"/>
      <c r="EO31" s="82"/>
      <c r="EP31" s="82"/>
      <c r="EQ31" s="82"/>
      <c r="ER31" s="82"/>
      <c r="ES31" s="82"/>
      <c r="ET31" s="82"/>
      <c r="EU31" s="82"/>
      <c r="EV31" s="80"/>
      <c r="EW31" s="53"/>
      <c r="EX31" s="53"/>
      <c r="EY31" s="53"/>
      <c r="EZ31" s="53"/>
      <c r="FA31" s="84"/>
      <c r="FB31" s="52"/>
      <c r="FC31" s="53"/>
      <c r="FD31" s="53"/>
      <c r="FE31" s="53"/>
      <c r="FF31" s="82"/>
      <c r="FG31" s="82"/>
      <c r="FH31" s="82"/>
      <c r="FI31" s="82"/>
      <c r="FJ31" s="82"/>
      <c r="FK31" s="82"/>
      <c r="FL31" s="82"/>
      <c r="FM31" s="82"/>
      <c r="FN31" s="82"/>
      <c r="FO31" s="82"/>
      <c r="FP31" s="80"/>
      <c r="FQ31" s="53"/>
      <c r="FR31" s="53"/>
      <c r="FS31" s="53"/>
      <c r="FT31" s="53"/>
      <c r="FU31" s="84"/>
      <c r="FV31" s="52"/>
      <c r="FW31" s="53"/>
      <c r="FX31" s="53"/>
      <c r="FY31" s="53"/>
      <c r="FZ31" s="82"/>
      <c r="GA31" s="82"/>
      <c r="GB31" s="82"/>
      <c r="GC31" s="82"/>
      <c r="GD31" s="82"/>
      <c r="GE31" s="82"/>
      <c r="GF31" s="82"/>
      <c r="GG31" s="82"/>
      <c r="GH31" s="82"/>
      <c r="GI31" s="82"/>
      <c r="GJ31" s="80"/>
      <c r="GK31" s="53"/>
      <c r="GL31" s="53"/>
      <c r="GM31" s="53"/>
      <c r="GN31" s="53"/>
      <c r="GO31" s="84"/>
      <c r="GP31" s="52"/>
      <c r="GQ31" s="53"/>
      <c r="GR31" s="53"/>
      <c r="GS31" s="53"/>
      <c r="GT31" s="82"/>
      <c r="GU31" s="82"/>
      <c r="GV31" s="82"/>
      <c r="GW31" s="82"/>
      <c r="GX31" s="82"/>
      <c r="GY31" s="82"/>
      <c r="GZ31" s="82"/>
      <c r="HA31" s="82"/>
      <c r="HB31" s="82"/>
      <c r="HC31" s="82"/>
      <c r="HD31" s="80"/>
      <c r="HE31" s="53"/>
      <c r="HF31" s="53"/>
      <c r="HG31" s="53"/>
      <c r="HH31" s="53"/>
      <c r="HI31" s="84"/>
      <c r="HJ31" s="52"/>
      <c r="HK31" s="53"/>
      <c r="HL31" s="53"/>
      <c r="HM31" s="53"/>
      <c r="HN31" s="82"/>
      <c r="HO31" s="82"/>
      <c r="HP31" s="82"/>
      <c r="HQ31" s="82"/>
      <c r="HR31" s="82"/>
      <c r="HS31" s="82"/>
      <c r="HT31" s="82"/>
      <c r="HU31" s="82"/>
      <c r="HV31" s="82"/>
      <c r="HW31" s="82"/>
      <c r="HX31" s="80"/>
      <c r="HY31" s="53"/>
      <c r="HZ31" s="53"/>
      <c r="IA31" s="53"/>
      <c r="IB31" s="53"/>
      <c r="IC31" s="84"/>
      <c r="ID31" s="52"/>
      <c r="IE31" s="53"/>
      <c r="IF31" s="53"/>
      <c r="IG31" s="53"/>
      <c r="IH31" s="82"/>
      <c r="II31" s="82"/>
      <c r="IJ31" s="82"/>
      <c r="IK31" s="82"/>
      <c r="IL31" s="82"/>
      <c r="IM31" s="82"/>
      <c r="IN31" s="82"/>
      <c r="IO31" s="82"/>
      <c r="IP31" s="82"/>
      <c r="IQ31" s="82"/>
      <c r="IR31" s="80"/>
      <c r="IS31" s="53"/>
      <c r="IT31" s="53"/>
      <c r="IU31" s="53"/>
      <c r="IV31" s="53"/>
      <c r="IW31" s="84"/>
      <c r="IX31" s="52"/>
      <c r="IY31" s="53"/>
      <c r="IZ31" s="53"/>
      <c r="JA31" s="53"/>
      <c r="JB31" s="82"/>
      <c r="JC31" s="82"/>
      <c r="JD31" s="82"/>
      <c r="JE31" s="82"/>
      <c r="JF31" s="82"/>
      <c r="JG31" s="82"/>
      <c r="JH31" s="82"/>
      <c r="JI31" s="82"/>
      <c r="JJ31" s="82"/>
      <c r="JK31" s="82"/>
      <c r="JL31" s="80"/>
      <c r="JM31" s="53"/>
      <c r="JN31" s="53"/>
      <c r="JO31" s="53"/>
      <c r="JP31" s="53"/>
      <c r="JQ31" s="84"/>
      <c r="JR31" s="52"/>
      <c r="JS31" s="53"/>
      <c r="JT31" s="53"/>
      <c r="JU31" s="53"/>
      <c r="JV31" s="82"/>
      <c r="JW31" s="82"/>
      <c r="JX31" s="82"/>
      <c r="JY31" s="82"/>
      <c r="JZ31" s="82"/>
      <c r="KA31" s="82"/>
      <c r="KB31" s="82"/>
      <c r="KC31" s="82"/>
      <c r="KD31" s="82"/>
      <c r="KE31" s="82"/>
      <c r="KF31" s="80"/>
      <c r="KG31" s="53"/>
      <c r="KH31" s="53"/>
      <c r="KI31" s="53"/>
      <c r="KJ31" s="53"/>
      <c r="KK31" s="84"/>
      <c r="KL31" s="52"/>
      <c r="KM31" s="53"/>
      <c r="KN31" s="53"/>
      <c r="KO31" s="53"/>
      <c r="KP31" s="82"/>
      <c r="KQ31" s="82"/>
      <c r="KR31" s="82"/>
      <c r="KS31" s="82"/>
      <c r="KT31" s="82"/>
      <c r="KU31" s="82"/>
      <c r="KV31" s="82"/>
      <c r="KW31" s="82"/>
      <c r="KX31" s="82"/>
      <c r="KY31" s="82"/>
      <c r="KZ31" s="80"/>
      <c r="LA31" s="53"/>
      <c r="LB31" s="53"/>
      <c r="LC31" s="53"/>
      <c r="LD31" s="53"/>
      <c r="LE31" s="84"/>
      <c r="LF31" s="52"/>
      <c r="LG31" s="53"/>
      <c r="LH31" s="53"/>
      <c r="LI31" s="53"/>
      <c r="LJ31" s="82"/>
      <c r="LK31" s="82"/>
      <c r="LL31" s="82"/>
      <c r="LM31" s="82"/>
      <c r="LN31" s="82"/>
      <c r="LO31" s="82"/>
      <c r="LP31" s="82"/>
      <c r="LQ31" s="82"/>
      <c r="LR31" s="82"/>
      <c r="LS31" s="82"/>
      <c r="LT31" s="80"/>
      <c r="LU31" s="53"/>
      <c r="LV31" s="53"/>
      <c r="LW31" s="53"/>
      <c r="LX31" s="53"/>
      <c r="LY31" s="84"/>
      <c r="LZ31" s="52"/>
      <c r="MA31" s="53"/>
      <c r="MB31" s="53"/>
      <c r="MC31" s="53"/>
      <c r="MD31" s="82"/>
      <c r="ME31" s="82"/>
      <c r="MF31" s="82"/>
      <c r="MG31" s="82"/>
      <c r="MH31" s="82"/>
      <c r="MI31" s="82"/>
      <c r="MJ31" s="82"/>
      <c r="MK31" s="82"/>
      <c r="ML31" s="82"/>
      <c r="MM31" s="82"/>
      <c r="MN31" s="80"/>
      <c r="MO31" s="53"/>
      <c r="MP31" s="53"/>
      <c r="MQ31" s="53"/>
      <c r="MR31" s="53"/>
      <c r="MS31" s="84"/>
      <c r="MT31" s="52"/>
      <c r="MU31" s="53"/>
      <c r="MV31" s="53"/>
      <c r="MW31" s="53"/>
      <c r="MX31" s="82"/>
      <c r="MY31" s="82"/>
      <c r="MZ31" s="82"/>
      <c r="NA31" s="82"/>
      <c r="NB31" s="82"/>
      <c r="NC31" s="82"/>
      <c r="ND31" s="82"/>
      <c r="NE31" s="82"/>
      <c r="NF31" s="82"/>
      <c r="NG31" s="82"/>
      <c r="NH31" s="80"/>
      <c r="NI31" s="53"/>
      <c r="NJ31" s="53"/>
      <c r="NK31" s="53"/>
      <c r="NL31" s="53"/>
      <c r="NM31" s="84"/>
      <c r="NN31" s="52"/>
      <c r="NO31" s="53"/>
      <c r="NP31" s="53"/>
      <c r="NQ31" s="53"/>
      <c r="NR31" s="82"/>
      <c r="NS31" s="82"/>
      <c r="NT31" s="82"/>
      <c r="NU31" s="82"/>
      <c r="NV31" s="82"/>
      <c r="NW31" s="82"/>
      <c r="NX31" s="82"/>
      <c r="NY31" s="82"/>
      <c r="NZ31" s="82"/>
      <c r="OA31" s="82"/>
      <c r="OB31" s="80"/>
      <c r="OC31" s="53"/>
      <c r="OD31" s="53"/>
      <c r="OE31" s="53"/>
      <c r="OF31" s="53"/>
      <c r="OG31" s="84"/>
      <c r="OH31" s="52"/>
      <c r="OI31" s="53"/>
      <c r="OJ31" s="53"/>
      <c r="OK31" s="53"/>
      <c r="OL31" s="82"/>
      <c r="OM31" s="82"/>
      <c r="ON31" s="82"/>
      <c r="OO31" s="82"/>
      <c r="OP31" s="82"/>
      <c r="OQ31" s="82"/>
      <c r="OR31" s="82"/>
      <c r="OS31" s="82"/>
      <c r="OT31" s="82"/>
      <c r="OU31" s="82"/>
      <c r="OV31" s="80"/>
      <c r="OW31" s="53"/>
      <c r="OX31" s="53"/>
      <c r="OY31" s="53"/>
      <c r="OZ31" s="53"/>
      <c r="PA31" s="84"/>
      <c r="PB31" s="52"/>
      <c r="PC31" s="53"/>
      <c r="PD31" s="53"/>
      <c r="PE31" s="53"/>
      <c r="PF31" s="82"/>
      <c r="PG31" s="82"/>
      <c r="PH31" s="82"/>
      <c r="PI31" s="82"/>
      <c r="PJ31" s="82"/>
      <c r="PK31" s="82"/>
      <c r="PL31" s="82"/>
      <c r="PM31" s="82"/>
      <c r="PN31" s="82"/>
      <c r="PO31" s="82"/>
      <c r="PP31" s="80"/>
      <c r="PQ31" s="53"/>
      <c r="PR31" s="53"/>
      <c r="PS31" s="53"/>
      <c r="PT31" s="53"/>
      <c r="PU31" s="84"/>
      <c r="PV31" s="52"/>
      <c r="PW31" s="53"/>
      <c r="PX31" s="53"/>
      <c r="PY31" s="53"/>
      <c r="PZ31" s="82"/>
      <c r="QA31" s="82"/>
      <c r="QB31" s="82"/>
      <c r="QC31" s="82"/>
      <c r="QD31" s="82"/>
      <c r="QE31" s="82"/>
      <c r="QF31" s="82"/>
      <c r="QG31" s="82"/>
      <c r="QH31" s="82"/>
      <c r="QI31" s="82"/>
      <c r="QJ31" s="80"/>
      <c r="QK31" s="53"/>
      <c r="QL31" s="53"/>
      <c r="QM31" s="53"/>
      <c r="QN31" s="53"/>
      <c r="QO31" s="84"/>
      <c r="QP31" s="52"/>
      <c r="QQ31" s="53"/>
      <c r="QR31" s="53"/>
      <c r="QS31" s="53"/>
      <c r="QT31" s="82"/>
      <c r="QU31" s="82"/>
      <c r="QV31" s="82"/>
      <c r="QW31" s="82"/>
      <c r="QX31" s="82"/>
      <c r="QY31" s="82"/>
      <c r="QZ31" s="82"/>
      <c r="RA31" s="82"/>
      <c r="RB31" s="82"/>
      <c r="RC31" s="82"/>
      <c r="RD31" s="80"/>
      <c r="RE31" s="53"/>
      <c r="RF31" s="53"/>
      <c r="RG31" s="53"/>
      <c r="RH31" s="53"/>
      <c r="RI31" s="84"/>
      <c r="RJ31" s="52"/>
      <c r="RK31" s="53"/>
      <c r="RL31" s="53"/>
      <c r="RM31" s="53"/>
      <c r="RN31" s="82"/>
      <c r="RO31" s="82"/>
      <c r="RP31" s="82"/>
      <c r="RQ31" s="82"/>
      <c r="RR31" s="82"/>
      <c r="RS31" s="82"/>
      <c r="RT31" s="82"/>
      <c r="RU31" s="82"/>
      <c r="RV31" s="82"/>
      <c r="RW31" s="82"/>
      <c r="RX31" s="80"/>
      <c r="RY31" s="53"/>
      <c r="RZ31" s="53"/>
      <c r="SA31" s="53"/>
      <c r="SB31" s="53"/>
      <c r="SC31" s="84"/>
      <c r="SD31" s="52"/>
      <c r="SE31" s="53"/>
      <c r="SF31" s="53"/>
      <c r="SG31" s="53"/>
    </row>
    <row r="32" spans="1:501" s="44" customFormat="1" ht="20.399999999999999" customHeight="1" x14ac:dyDescent="0.3">
      <c r="A32" s="125" t="s">
        <v>192</v>
      </c>
      <c r="B32" s="125"/>
      <c r="C32" s="125"/>
      <c r="D32" s="12"/>
      <c r="E32" s="12"/>
      <c r="F32" s="12"/>
      <c r="G32" s="72"/>
      <c r="H32" s="72"/>
      <c r="I32" s="204"/>
      <c r="J32" s="72"/>
      <c r="K32" s="72"/>
      <c r="L32" s="72"/>
      <c r="M32" s="72"/>
      <c r="N32" s="72"/>
      <c r="O32" s="72"/>
      <c r="P32" s="72"/>
      <c r="Q32" s="72"/>
      <c r="R32" s="72"/>
      <c r="S32" s="72"/>
      <c r="T32" s="72"/>
      <c r="U32" s="78"/>
      <c r="V32" s="83"/>
      <c r="W32" s="83"/>
      <c r="X32" s="83"/>
      <c r="Y32" s="83"/>
      <c r="Z32" s="83"/>
      <c r="AA32" s="83"/>
      <c r="AB32" s="83"/>
      <c r="AC32" s="83"/>
      <c r="AD32" s="83"/>
      <c r="AE32" s="83"/>
      <c r="AF32" s="81"/>
      <c r="AG32" s="46"/>
      <c r="AH32" s="46"/>
      <c r="AI32" s="46"/>
      <c r="AJ32" s="46"/>
      <c r="AK32" s="85"/>
      <c r="AL32" s="41"/>
      <c r="AM32" s="46"/>
      <c r="AN32" s="46"/>
      <c r="AO32" s="46"/>
      <c r="AP32" s="83"/>
      <c r="AQ32" s="83"/>
      <c r="AR32" s="83"/>
      <c r="AS32" s="83"/>
      <c r="AT32" s="83"/>
      <c r="AU32" s="83"/>
      <c r="AV32" s="83"/>
      <c r="AW32" s="83"/>
      <c r="AX32" s="83"/>
      <c r="AY32" s="83"/>
      <c r="AZ32" s="81"/>
      <c r="BA32" s="46"/>
      <c r="BB32" s="46"/>
      <c r="BC32" s="46"/>
      <c r="BD32" s="46"/>
      <c r="BE32" s="85"/>
      <c r="BF32" s="41"/>
      <c r="BG32" s="46"/>
      <c r="BH32" s="46"/>
      <c r="BI32" s="46"/>
      <c r="BJ32" s="83"/>
      <c r="BK32" s="83"/>
      <c r="BL32" s="83"/>
      <c r="BM32" s="83"/>
      <c r="BN32" s="83"/>
      <c r="BO32" s="83"/>
      <c r="BP32" s="83"/>
      <c r="BQ32" s="83"/>
      <c r="BR32" s="83"/>
      <c r="BS32" s="83"/>
      <c r="BT32" s="81"/>
      <c r="BU32" s="46"/>
      <c r="BV32" s="46"/>
      <c r="BW32" s="46"/>
      <c r="BX32" s="46"/>
      <c r="BY32" s="85"/>
      <c r="BZ32" s="41"/>
      <c r="CA32" s="46"/>
      <c r="CB32" s="46"/>
      <c r="CC32" s="46"/>
      <c r="CD32" s="83"/>
      <c r="CE32" s="83"/>
      <c r="CF32" s="83"/>
      <c r="CG32" s="83"/>
      <c r="CH32" s="83"/>
      <c r="CI32" s="83"/>
      <c r="CJ32" s="83"/>
      <c r="CK32" s="83"/>
      <c r="CL32" s="83"/>
      <c r="CM32" s="83"/>
      <c r="CN32" s="81"/>
      <c r="CO32" s="46"/>
      <c r="CP32" s="46"/>
      <c r="CQ32" s="46"/>
      <c r="CR32" s="46"/>
      <c r="CS32" s="85"/>
      <c r="CT32" s="41"/>
      <c r="CU32" s="46"/>
      <c r="CV32" s="46"/>
      <c r="CW32" s="46"/>
      <c r="CX32" s="83"/>
      <c r="CY32" s="83"/>
      <c r="CZ32" s="83"/>
      <c r="DA32" s="83"/>
      <c r="DB32" s="83"/>
      <c r="DC32" s="83"/>
      <c r="DD32" s="83"/>
      <c r="DE32" s="83"/>
      <c r="DF32" s="83"/>
      <c r="DG32" s="83"/>
      <c r="DH32" s="81"/>
      <c r="DI32" s="46"/>
      <c r="DJ32" s="46"/>
      <c r="DK32" s="46"/>
      <c r="DL32" s="46"/>
      <c r="DM32" s="85"/>
      <c r="DN32" s="41"/>
      <c r="DO32" s="46"/>
      <c r="DP32" s="46"/>
      <c r="DQ32" s="46"/>
      <c r="DR32" s="83"/>
      <c r="DS32" s="83"/>
      <c r="DT32" s="83"/>
      <c r="DU32" s="83"/>
      <c r="DV32" s="83"/>
      <c r="DW32" s="83"/>
      <c r="DX32" s="83"/>
      <c r="DY32" s="83"/>
      <c r="DZ32" s="83"/>
      <c r="EA32" s="83"/>
      <c r="EB32" s="81"/>
      <c r="EC32" s="46"/>
      <c r="ED32" s="46"/>
      <c r="EE32" s="46"/>
      <c r="EF32" s="46"/>
      <c r="EG32" s="85"/>
      <c r="EH32" s="41"/>
      <c r="EI32" s="46"/>
      <c r="EJ32" s="46"/>
      <c r="EK32" s="46"/>
      <c r="EL32" s="83"/>
      <c r="EM32" s="83"/>
      <c r="EN32" s="83"/>
      <c r="EO32" s="83"/>
      <c r="EP32" s="83"/>
      <c r="EQ32" s="83"/>
      <c r="ER32" s="83"/>
      <c r="ES32" s="83"/>
      <c r="ET32" s="83"/>
      <c r="EU32" s="83"/>
      <c r="EV32" s="81"/>
      <c r="EW32" s="46"/>
      <c r="EX32" s="46"/>
      <c r="EY32" s="46"/>
      <c r="EZ32" s="46"/>
      <c r="FA32" s="85"/>
      <c r="FB32" s="41"/>
      <c r="FC32" s="46"/>
      <c r="FD32" s="46"/>
      <c r="FE32" s="46"/>
      <c r="FF32" s="83"/>
      <c r="FG32" s="83"/>
      <c r="FH32" s="83"/>
      <c r="FI32" s="83"/>
      <c r="FJ32" s="83"/>
      <c r="FK32" s="83"/>
      <c r="FL32" s="83"/>
      <c r="FM32" s="83"/>
      <c r="FN32" s="83"/>
      <c r="FO32" s="83"/>
      <c r="FP32" s="81"/>
      <c r="FQ32" s="46"/>
      <c r="FR32" s="46"/>
      <c r="FS32" s="46"/>
      <c r="FT32" s="46"/>
      <c r="FU32" s="85"/>
      <c r="FV32" s="41"/>
      <c r="FW32" s="46"/>
      <c r="FX32" s="46"/>
      <c r="FY32" s="46"/>
      <c r="FZ32" s="83"/>
      <c r="GA32" s="83"/>
      <c r="GB32" s="83"/>
      <c r="GC32" s="83"/>
      <c r="GD32" s="83"/>
      <c r="GE32" s="83"/>
      <c r="GF32" s="83"/>
      <c r="GG32" s="83"/>
      <c r="GH32" s="83"/>
      <c r="GI32" s="83"/>
      <c r="GJ32" s="81"/>
      <c r="GK32" s="46"/>
      <c r="GL32" s="46"/>
      <c r="GM32" s="46"/>
      <c r="GN32" s="46"/>
      <c r="GO32" s="85"/>
      <c r="GP32" s="41"/>
      <c r="GQ32" s="46"/>
      <c r="GR32" s="46"/>
      <c r="GS32" s="46"/>
      <c r="GT32" s="83"/>
      <c r="GU32" s="83"/>
      <c r="GV32" s="83"/>
      <c r="GW32" s="83"/>
      <c r="GX32" s="83"/>
      <c r="GY32" s="83"/>
      <c r="GZ32" s="83"/>
      <c r="HA32" s="83"/>
      <c r="HB32" s="83"/>
      <c r="HC32" s="83"/>
      <c r="HD32" s="81"/>
      <c r="HE32" s="46"/>
      <c r="HF32" s="46"/>
      <c r="HG32" s="46"/>
      <c r="HH32" s="46"/>
      <c r="HI32" s="85"/>
      <c r="HJ32" s="41"/>
      <c r="HK32" s="46"/>
      <c r="HL32" s="46"/>
      <c r="HM32" s="46"/>
      <c r="HN32" s="83"/>
      <c r="HO32" s="83"/>
      <c r="HP32" s="83"/>
      <c r="HQ32" s="83"/>
      <c r="HR32" s="83"/>
      <c r="HS32" s="83"/>
      <c r="HT32" s="83"/>
      <c r="HU32" s="83"/>
      <c r="HV32" s="83"/>
      <c r="HW32" s="83"/>
      <c r="HX32" s="81"/>
      <c r="HY32" s="46"/>
      <c r="HZ32" s="46"/>
      <c r="IA32" s="46"/>
      <c r="IB32" s="46"/>
      <c r="IC32" s="85"/>
      <c r="ID32" s="41"/>
      <c r="IE32" s="46"/>
      <c r="IF32" s="46"/>
      <c r="IG32" s="46"/>
      <c r="IH32" s="83"/>
      <c r="II32" s="83"/>
      <c r="IJ32" s="83"/>
      <c r="IK32" s="83"/>
      <c r="IL32" s="83"/>
      <c r="IM32" s="83"/>
      <c r="IN32" s="83"/>
      <c r="IO32" s="83"/>
      <c r="IP32" s="83"/>
      <c r="IQ32" s="83"/>
      <c r="IR32" s="81"/>
      <c r="IS32" s="46"/>
      <c r="IT32" s="46"/>
      <c r="IU32" s="46"/>
      <c r="IV32" s="46"/>
      <c r="IW32" s="85"/>
      <c r="IX32" s="41"/>
      <c r="IY32" s="46"/>
      <c r="IZ32" s="46"/>
      <c r="JA32" s="46"/>
      <c r="JB32" s="83"/>
      <c r="JC32" s="83"/>
      <c r="JD32" s="83"/>
      <c r="JE32" s="83"/>
      <c r="JF32" s="83"/>
      <c r="JG32" s="83"/>
      <c r="JH32" s="83"/>
      <c r="JI32" s="83"/>
      <c r="JJ32" s="83"/>
      <c r="JK32" s="83"/>
      <c r="JL32" s="81"/>
      <c r="JM32" s="46"/>
      <c r="JN32" s="46"/>
      <c r="JO32" s="46"/>
      <c r="JP32" s="46"/>
      <c r="JQ32" s="85"/>
      <c r="JR32" s="41"/>
      <c r="JS32" s="46"/>
      <c r="JT32" s="46"/>
      <c r="JU32" s="46"/>
      <c r="JV32" s="83"/>
      <c r="JW32" s="83"/>
      <c r="JX32" s="83"/>
      <c r="JY32" s="83"/>
      <c r="JZ32" s="83"/>
      <c r="KA32" s="83"/>
      <c r="KB32" s="83"/>
      <c r="KC32" s="83"/>
      <c r="KD32" s="83"/>
      <c r="KE32" s="83"/>
      <c r="KF32" s="81"/>
      <c r="KG32" s="46"/>
      <c r="KH32" s="46"/>
      <c r="KI32" s="46"/>
      <c r="KJ32" s="46"/>
      <c r="KK32" s="85"/>
      <c r="KL32" s="41"/>
      <c r="KM32" s="46"/>
      <c r="KN32" s="46"/>
      <c r="KO32" s="46"/>
      <c r="KP32" s="83"/>
      <c r="KQ32" s="83"/>
      <c r="KR32" s="83"/>
      <c r="KS32" s="83"/>
      <c r="KT32" s="83"/>
      <c r="KU32" s="83"/>
      <c r="KV32" s="83"/>
      <c r="KW32" s="83"/>
      <c r="KX32" s="83"/>
      <c r="KY32" s="83"/>
      <c r="KZ32" s="81"/>
      <c r="LA32" s="46"/>
      <c r="LB32" s="46"/>
      <c r="LC32" s="46"/>
      <c r="LD32" s="46"/>
      <c r="LE32" s="85"/>
      <c r="LF32" s="41"/>
      <c r="LG32" s="46"/>
      <c r="LH32" s="46"/>
      <c r="LI32" s="46"/>
      <c r="LJ32" s="83"/>
      <c r="LK32" s="83"/>
      <c r="LL32" s="83"/>
      <c r="LM32" s="83"/>
      <c r="LN32" s="83"/>
      <c r="LO32" s="83"/>
      <c r="LP32" s="83"/>
      <c r="LQ32" s="83"/>
      <c r="LR32" s="83"/>
      <c r="LS32" s="83"/>
      <c r="LT32" s="81"/>
      <c r="LU32" s="46"/>
      <c r="LV32" s="46"/>
      <c r="LW32" s="46"/>
      <c r="LX32" s="46"/>
      <c r="LY32" s="85"/>
      <c r="LZ32" s="41"/>
      <c r="MA32" s="46"/>
      <c r="MB32" s="46"/>
      <c r="MC32" s="46"/>
      <c r="MD32" s="83"/>
      <c r="ME32" s="83"/>
      <c r="MF32" s="83"/>
      <c r="MG32" s="83"/>
      <c r="MH32" s="83"/>
      <c r="MI32" s="83"/>
      <c r="MJ32" s="83"/>
      <c r="MK32" s="83"/>
      <c r="ML32" s="83"/>
      <c r="MM32" s="83"/>
      <c r="MN32" s="81"/>
      <c r="MO32" s="46"/>
      <c r="MP32" s="46"/>
      <c r="MQ32" s="46"/>
      <c r="MR32" s="46"/>
      <c r="MS32" s="85"/>
      <c r="MT32" s="41"/>
      <c r="MU32" s="46"/>
      <c r="MV32" s="46"/>
      <c r="MW32" s="46"/>
      <c r="MX32" s="83"/>
      <c r="MY32" s="83"/>
      <c r="MZ32" s="83"/>
      <c r="NA32" s="83"/>
      <c r="NB32" s="83"/>
      <c r="NC32" s="83"/>
      <c r="ND32" s="83"/>
      <c r="NE32" s="83"/>
      <c r="NF32" s="83"/>
      <c r="NG32" s="83"/>
      <c r="NH32" s="81"/>
      <c r="NI32" s="46"/>
      <c r="NJ32" s="46"/>
      <c r="NK32" s="46"/>
      <c r="NL32" s="46"/>
      <c r="NM32" s="85"/>
      <c r="NN32" s="41"/>
      <c r="NO32" s="46"/>
      <c r="NP32" s="46"/>
      <c r="NQ32" s="46"/>
      <c r="NR32" s="83"/>
      <c r="NS32" s="83"/>
      <c r="NT32" s="83"/>
      <c r="NU32" s="83"/>
      <c r="NV32" s="83"/>
      <c r="NW32" s="83"/>
      <c r="NX32" s="83"/>
      <c r="NY32" s="83"/>
      <c r="NZ32" s="83"/>
      <c r="OA32" s="83"/>
      <c r="OB32" s="81"/>
      <c r="OC32" s="46"/>
      <c r="OD32" s="46"/>
      <c r="OE32" s="46"/>
      <c r="OF32" s="46"/>
      <c r="OG32" s="85"/>
      <c r="OH32" s="41"/>
      <c r="OI32" s="46"/>
      <c r="OJ32" s="46"/>
      <c r="OK32" s="46"/>
      <c r="OL32" s="83"/>
      <c r="OM32" s="83"/>
      <c r="ON32" s="83"/>
      <c r="OO32" s="83"/>
      <c r="OP32" s="83"/>
      <c r="OQ32" s="83"/>
      <c r="OR32" s="83"/>
      <c r="OS32" s="83"/>
      <c r="OT32" s="83"/>
      <c r="OU32" s="83"/>
      <c r="OV32" s="81"/>
      <c r="OW32" s="46"/>
      <c r="OX32" s="46"/>
      <c r="OY32" s="46"/>
      <c r="OZ32" s="46"/>
      <c r="PA32" s="85"/>
      <c r="PB32" s="41"/>
      <c r="PC32" s="46"/>
      <c r="PD32" s="46"/>
      <c r="PE32" s="46"/>
      <c r="PF32" s="83"/>
      <c r="PG32" s="83"/>
      <c r="PH32" s="83"/>
      <c r="PI32" s="83"/>
      <c r="PJ32" s="83"/>
      <c r="PK32" s="83"/>
      <c r="PL32" s="83"/>
      <c r="PM32" s="83"/>
      <c r="PN32" s="83"/>
      <c r="PO32" s="83"/>
      <c r="PP32" s="81"/>
      <c r="PQ32" s="46"/>
      <c r="PR32" s="46"/>
      <c r="PS32" s="46"/>
      <c r="PT32" s="46"/>
      <c r="PU32" s="85"/>
      <c r="PV32" s="41"/>
      <c r="PW32" s="46"/>
      <c r="PX32" s="46"/>
      <c r="PY32" s="46"/>
      <c r="PZ32" s="83"/>
      <c r="QA32" s="83"/>
      <c r="QB32" s="83"/>
      <c r="QC32" s="83"/>
      <c r="QD32" s="83"/>
      <c r="QE32" s="83"/>
      <c r="QF32" s="83"/>
      <c r="QG32" s="83"/>
      <c r="QH32" s="83"/>
      <c r="QI32" s="83"/>
      <c r="QJ32" s="81"/>
      <c r="QK32" s="46"/>
      <c r="QL32" s="46"/>
      <c r="QM32" s="46"/>
      <c r="QN32" s="46"/>
      <c r="QO32" s="85"/>
      <c r="QP32" s="41"/>
      <c r="QQ32" s="46"/>
      <c r="QR32" s="46"/>
      <c r="QS32" s="46"/>
      <c r="QT32" s="83"/>
      <c r="QU32" s="83"/>
      <c r="QV32" s="83"/>
      <c r="QW32" s="83"/>
      <c r="QX32" s="83"/>
      <c r="QY32" s="83"/>
      <c r="QZ32" s="83"/>
      <c r="RA32" s="83"/>
      <c r="RB32" s="83"/>
      <c r="RC32" s="83"/>
      <c r="RD32" s="81"/>
      <c r="RE32" s="46"/>
      <c r="RF32" s="46"/>
      <c r="RG32" s="46"/>
      <c r="RH32" s="46"/>
      <c r="RI32" s="85"/>
      <c r="RJ32" s="41"/>
      <c r="RK32" s="46"/>
      <c r="RL32" s="46"/>
      <c r="RM32" s="46"/>
      <c r="RN32" s="83"/>
      <c r="RO32" s="83"/>
      <c r="RP32" s="83"/>
      <c r="RQ32" s="83"/>
      <c r="RR32" s="83"/>
      <c r="RS32" s="83"/>
      <c r="RT32" s="83"/>
      <c r="RU32" s="83"/>
      <c r="RV32" s="83"/>
      <c r="RW32" s="83"/>
      <c r="RX32" s="81"/>
      <c r="RY32" s="46"/>
      <c r="RZ32" s="46"/>
      <c r="SA32" s="46"/>
      <c r="SB32" s="46"/>
      <c r="SC32" s="85"/>
      <c r="SD32" s="41"/>
      <c r="SE32" s="46"/>
      <c r="SF32" s="46"/>
      <c r="SG32" s="46"/>
    </row>
    <row r="33" spans="1:501" s="44" customFormat="1" ht="20.399999999999999" customHeight="1" x14ac:dyDescent="0.3">
      <c r="A33" s="66" t="s">
        <v>188</v>
      </c>
      <c r="B33" s="66" t="s">
        <v>71</v>
      </c>
      <c r="C33" s="66" t="s">
        <v>314</v>
      </c>
      <c r="D33" s="49" t="s">
        <v>509</v>
      </c>
      <c r="E33" s="49" t="s">
        <v>316</v>
      </c>
      <c r="F33" s="49" t="s">
        <v>321</v>
      </c>
      <c r="G33" s="70" t="s">
        <v>318</v>
      </c>
      <c r="H33" s="70" t="s">
        <v>322</v>
      </c>
      <c r="I33" s="206"/>
      <c r="J33" s="70"/>
      <c r="K33" s="70"/>
      <c r="L33" s="66" t="s">
        <v>373</v>
      </c>
      <c r="M33" s="66" t="s">
        <v>331</v>
      </c>
      <c r="N33" s="49" t="s">
        <v>510</v>
      </c>
      <c r="O33" s="49" t="s">
        <v>332</v>
      </c>
      <c r="P33" s="49" t="s">
        <v>333</v>
      </c>
      <c r="Q33" s="70" t="s">
        <v>334</v>
      </c>
      <c r="R33" s="70" t="s">
        <v>377</v>
      </c>
      <c r="S33" s="70" t="s">
        <v>511</v>
      </c>
      <c r="T33" s="70"/>
      <c r="U33" s="77"/>
      <c r="V33" s="82" t="s">
        <v>359</v>
      </c>
      <c r="W33" s="82" t="s">
        <v>360</v>
      </c>
      <c r="X33" s="82" t="s">
        <v>512</v>
      </c>
      <c r="Y33" s="82" t="s">
        <v>332</v>
      </c>
      <c r="Z33" s="82" t="s">
        <v>333</v>
      </c>
      <c r="AA33" s="82" t="s">
        <v>360</v>
      </c>
      <c r="AB33" s="82" t="s">
        <v>460</v>
      </c>
      <c r="AC33" s="82" t="s">
        <v>513</v>
      </c>
      <c r="AD33" s="82"/>
      <c r="AE33" s="82"/>
      <c r="AF33" s="80" t="s">
        <v>68</v>
      </c>
      <c r="AG33" s="53" t="s">
        <v>331</v>
      </c>
      <c r="AH33" s="53" t="s">
        <v>315</v>
      </c>
      <c r="AI33" s="53" t="s">
        <v>332</v>
      </c>
      <c r="AJ33" s="53" t="s">
        <v>408</v>
      </c>
      <c r="AK33" s="84" t="s">
        <v>334</v>
      </c>
      <c r="AL33" s="52" t="s">
        <v>335</v>
      </c>
      <c r="AM33" s="53" t="s">
        <v>315</v>
      </c>
      <c r="AN33" s="53"/>
      <c r="AO33" s="53"/>
      <c r="AP33" s="80" t="s">
        <v>68</v>
      </c>
      <c r="AQ33" s="53" t="s">
        <v>331</v>
      </c>
      <c r="AR33" s="53" t="s">
        <v>315</v>
      </c>
      <c r="AS33" s="53" t="s">
        <v>332</v>
      </c>
      <c r="AT33" s="53" t="s">
        <v>408</v>
      </c>
      <c r="AU33" s="84" t="s">
        <v>334</v>
      </c>
      <c r="AV33" s="52" t="s">
        <v>335</v>
      </c>
      <c r="AW33" s="53" t="s">
        <v>315</v>
      </c>
      <c r="AX33" s="82"/>
      <c r="AY33" s="82"/>
      <c r="AZ33" s="80" t="s">
        <v>68</v>
      </c>
      <c r="BA33" s="53" t="s">
        <v>331</v>
      </c>
      <c r="BB33" s="53" t="s">
        <v>315</v>
      </c>
      <c r="BC33" s="53" t="s">
        <v>332</v>
      </c>
      <c r="BD33" s="53" t="s">
        <v>408</v>
      </c>
      <c r="BE33" s="84" t="s">
        <v>334</v>
      </c>
      <c r="BF33" s="52" t="s">
        <v>335</v>
      </c>
      <c r="BG33" s="53" t="s">
        <v>315</v>
      </c>
      <c r="BH33" s="53"/>
      <c r="BI33" s="53"/>
      <c r="BJ33" s="82" t="s">
        <v>69</v>
      </c>
      <c r="BK33" s="82" t="s">
        <v>318</v>
      </c>
      <c r="BL33" s="82" t="s">
        <v>315</v>
      </c>
      <c r="BM33" s="82" t="s">
        <v>336</v>
      </c>
      <c r="BN33" s="82" t="s">
        <v>321</v>
      </c>
      <c r="BO33" s="82" t="s">
        <v>318</v>
      </c>
      <c r="BP33" s="82" t="s">
        <v>391</v>
      </c>
      <c r="BQ33" s="82" t="s">
        <v>315</v>
      </c>
      <c r="BR33" s="82"/>
      <c r="BS33" s="82"/>
      <c r="BT33" s="82" t="s">
        <v>69</v>
      </c>
      <c r="BU33" s="82" t="s">
        <v>318</v>
      </c>
      <c r="BV33" s="82" t="s">
        <v>315</v>
      </c>
      <c r="BW33" s="82" t="s">
        <v>336</v>
      </c>
      <c r="BX33" s="82" t="s">
        <v>321</v>
      </c>
      <c r="BY33" s="82" t="s">
        <v>318</v>
      </c>
      <c r="BZ33" s="82" t="s">
        <v>391</v>
      </c>
      <c r="CA33" s="82" t="s">
        <v>315</v>
      </c>
      <c r="CB33" s="53"/>
      <c r="CC33" s="53"/>
      <c r="CD33" s="82" t="s">
        <v>313</v>
      </c>
      <c r="CE33" s="82" t="s">
        <v>314</v>
      </c>
      <c r="CF33" s="82" t="s">
        <v>315</v>
      </c>
      <c r="CG33" s="82" t="s">
        <v>316</v>
      </c>
      <c r="CH33" s="82" t="s">
        <v>317</v>
      </c>
      <c r="CI33" s="82" t="s">
        <v>318</v>
      </c>
      <c r="CJ33" s="82" t="s">
        <v>319</v>
      </c>
      <c r="CK33" s="82" t="s">
        <v>315</v>
      </c>
      <c r="CL33" s="82"/>
      <c r="CM33" s="82"/>
      <c r="CN33" s="82" t="s">
        <v>313</v>
      </c>
      <c r="CO33" s="82" t="s">
        <v>314</v>
      </c>
      <c r="CP33" s="82" t="s">
        <v>315</v>
      </c>
      <c r="CQ33" s="82" t="s">
        <v>316</v>
      </c>
      <c r="CR33" s="82" t="s">
        <v>317</v>
      </c>
      <c r="CS33" s="82" t="s">
        <v>318</v>
      </c>
      <c r="CT33" s="82" t="s">
        <v>319</v>
      </c>
      <c r="CU33" s="82" t="s">
        <v>315</v>
      </c>
      <c r="CV33" s="53"/>
      <c r="CW33" s="53"/>
      <c r="CX33" s="82" t="s">
        <v>313</v>
      </c>
      <c r="CY33" s="82" t="s">
        <v>314</v>
      </c>
      <c r="CZ33" s="82" t="s">
        <v>315</v>
      </c>
      <c r="DA33" s="82" t="s">
        <v>316</v>
      </c>
      <c r="DB33" s="82" t="s">
        <v>317</v>
      </c>
      <c r="DC33" s="82" t="s">
        <v>318</v>
      </c>
      <c r="DD33" s="82" t="s">
        <v>319</v>
      </c>
      <c r="DE33" s="82" t="s">
        <v>315</v>
      </c>
      <c r="DF33" s="82"/>
      <c r="DG33" s="82"/>
      <c r="DH33" s="82" t="s">
        <v>313</v>
      </c>
      <c r="DI33" s="82" t="s">
        <v>314</v>
      </c>
      <c r="DJ33" s="82" t="s">
        <v>315</v>
      </c>
      <c r="DK33" s="82" t="s">
        <v>316</v>
      </c>
      <c r="DL33" s="82" t="s">
        <v>317</v>
      </c>
      <c r="DM33" s="82" t="s">
        <v>318</v>
      </c>
      <c r="DN33" s="82" t="s">
        <v>319</v>
      </c>
      <c r="DO33" s="82" t="s">
        <v>315</v>
      </c>
      <c r="DP33" s="53"/>
      <c r="DQ33" s="53"/>
      <c r="DR33" s="82" t="s">
        <v>313</v>
      </c>
      <c r="DS33" s="82" t="s">
        <v>314</v>
      </c>
      <c r="DT33" s="82" t="s">
        <v>315</v>
      </c>
      <c r="DU33" s="82" t="s">
        <v>316</v>
      </c>
      <c r="DV33" s="82" t="s">
        <v>317</v>
      </c>
      <c r="DW33" s="82" t="s">
        <v>318</v>
      </c>
      <c r="DX33" s="82" t="s">
        <v>319</v>
      </c>
      <c r="DY33" s="82" t="s">
        <v>315</v>
      </c>
      <c r="DZ33" s="82"/>
      <c r="EA33" s="82"/>
      <c r="EB33" s="80"/>
      <c r="EC33" s="53"/>
      <c r="ED33" s="53"/>
      <c r="EE33" s="53"/>
      <c r="EF33" s="53"/>
      <c r="EG33" s="84"/>
      <c r="EH33" s="52"/>
      <c r="EI33" s="53"/>
      <c r="EJ33" s="53"/>
      <c r="EK33" s="53"/>
      <c r="EL33" s="82"/>
      <c r="EM33" s="82"/>
      <c r="EN33" s="82"/>
      <c r="EO33" s="82"/>
      <c r="EP33" s="82"/>
      <c r="EQ33" s="82"/>
      <c r="ER33" s="82"/>
      <c r="ES33" s="82"/>
      <c r="ET33" s="82"/>
      <c r="EU33" s="82"/>
      <c r="EV33" s="80"/>
      <c r="EW33" s="53"/>
      <c r="EX33" s="53"/>
      <c r="EY33" s="53"/>
      <c r="EZ33" s="53"/>
      <c r="FA33" s="84"/>
      <c r="FB33" s="52"/>
      <c r="FC33" s="53"/>
      <c r="FD33" s="53"/>
      <c r="FE33" s="53"/>
      <c r="FF33" s="82"/>
      <c r="FG33" s="82"/>
      <c r="FH33" s="82"/>
      <c r="FI33" s="82"/>
      <c r="FJ33" s="82"/>
      <c r="FK33" s="82"/>
      <c r="FL33" s="82"/>
      <c r="FM33" s="82"/>
      <c r="FN33" s="82"/>
      <c r="FO33" s="82"/>
      <c r="FP33" s="80"/>
      <c r="FQ33" s="53"/>
      <c r="FR33" s="53"/>
      <c r="FS33" s="53"/>
      <c r="FT33" s="53"/>
      <c r="FU33" s="84"/>
      <c r="FV33" s="52"/>
      <c r="FW33" s="53"/>
      <c r="FX33" s="53"/>
      <c r="FY33" s="53"/>
      <c r="FZ33" s="82"/>
      <c r="GA33" s="82"/>
      <c r="GB33" s="82"/>
      <c r="GC33" s="82"/>
      <c r="GD33" s="82"/>
      <c r="GE33" s="82"/>
      <c r="GF33" s="82"/>
      <c r="GG33" s="82"/>
      <c r="GH33" s="82"/>
      <c r="GI33" s="82"/>
      <c r="GJ33" s="80"/>
      <c r="GK33" s="53"/>
      <c r="GL33" s="53"/>
      <c r="GM33" s="53"/>
      <c r="GN33" s="53"/>
      <c r="GO33" s="84"/>
      <c r="GP33" s="52"/>
      <c r="GQ33" s="53"/>
      <c r="GR33" s="53"/>
      <c r="GS33" s="53"/>
      <c r="GT33" s="82"/>
      <c r="GU33" s="82"/>
      <c r="GV33" s="82"/>
      <c r="GW33" s="82"/>
      <c r="GX33" s="82"/>
      <c r="GY33" s="82"/>
      <c r="GZ33" s="82"/>
      <c r="HA33" s="82"/>
      <c r="HB33" s="82"/>
      <c r="HC33" s="82"/>
      <c r="HD33" s="80"/>
      <c r="HE33" s="53"/>
      <c r="HF33" s="53"/>
      <c r="HG33" s="53"/>
      <c r="HH33" s="53"/>
      <c r="HI33" s="84"/>
      <c r="HJ33" s="52"/>
      <c r="HK33" s="53"/>
      <c r="HL33" s="53"/>
      <c r="HM33" s="53"/>
      <c r="HN33" s="82"/>
      <c r="HO33" s="82"/>
      <c r="HP33" s="82"/>
      <c r="HQ33" s="82"/>
      <c r="HR33" s="82"/>
      <c r="HS33" s="82"/>
      <c r="HT33" s="82"/>
      <c r="HU33" s="82"/>
      <c r="HV33" s="82"/>
      <c r="HW33" s="82"/>
      <c r="HX33" s="80"/>
      <c r="HY33" s="53"/>
      <c r="HZ33" s="53"/>
      <c r="IA33" s="53"/>
      <c r="IB33" s="53"/>
      <c r="IC33" s="84"/>
      <c r="ID33" s="52"/>
      <c r="IE33" s="53"/>
      <c r="IF33" s="53"/>
      <c r="IG33" s="53"/>
      <c r="IH33" s="82"/>
      <c r="II33" s="82"/>
      <c r="IJ33" s="82"/>
      <c r="IK33" s="82"/>
      <c r="IL33" s="82"/>
      <c r="IM33" s="82"/>
      <c r="IN33" s="82"/>
      <c r="IO33" s="82"/>
      <c r="IP33" s="82"/>
      <c r="IQ33" s="82"/>
      <c r="IR33" s="80"/>
      <c r="IS33" s="53"/>
      <c r="IT33" s="53"/>
      <c r="IU33" s="53"/>
      <c r="IV33" s="53"/>
      <c r="IW33" s="84"/>
      <c r="IX33" s="52"/>
      <c r="IY33" s="53"/>
      <c r="IZ33" s="53"/>
      <c r="JA33" s="53"/>
      <c r="JB33" s="82"/>
      <c r="JC33" s="82"/>
      <c r="JD33" s="82"/>
      <c r="JE33" s="82"/>
      <c r="JF33" s="82"/>
      <c r="JG33" s="82"/>
      <c r="JH33" s="82"/>
      <c r="JI33" s="82"/>
      <c r="JJ33" s="82"/>
      <c r="JK33" s="82"/>
      <c r="JL33" s="80"/>
      <c r="JM33" s="53"/>
      <c r="JN33" s="53"/>
      <c r="JO33" s="53"/>
      <c r="JP33" s="53"/>
      <c r="JQ33" s="84"/>
      <c r="JR33" s="52"/>
      <c r="JS33" s="53"/>
      <c r="JT33" s="53"/>
      <c r="JU33" s="53"/>
      <c r="JV33" s="82"/>
      <c r="JW33" s="82"/>
      <c r="JX33" s="82"/>
      <c r="JY33" s="82"/>
      <c r="JZ33" s="82"/>
      <c r="KA33" s="82"/>
      <c r="KB33" s="82"/>
      <c r="KC33" s="82"/>
      <c r="KD33" s="82"/>
      <c r="KE33" s="82"/>
      <c r="KF33" s="80"/>
      <c r="KG33" s="53"/>
      <c r="KH33" s="53"/>
      <c r="KI33" s="53"/>
      <c r="KJ33" s="53"/>
      <c r="KK33" s="84"/>
      <c r="KL33" s="52"/>
      <c r="KM33" s="53"/>
      <c r="KN33" s="53"/>
      <c r="KO33" s="53"/>
      <c r="KP33" s="82"/>
      <c r="KQ33" s="82"/>
      <c r="KR33" s="82"/>
      <c r="KS33" s="82"/>
      <c r="KT33" s="82"/>
      <c r="KU33" s="82"/>
      <c r="KV33" s="82"/>
      <c r="KW33" s="82"/>
      <c r="KX33" s="82"/>
      <c r="KY33" s="82"/>
      <c r="KZ33" s="80"/>
      <c r="LA33" s="53"/>
      <c r="LB33" s="53"/>
      <c r="LC33" s="53"/>
      <c r="LD33" s="53"/>
      <c r="LE33" s="84"/>
      <c r="LF33" s="52"/>
      <c r="LG33" s="53"/>
      <c r="LH33" s="53"/>
      <c r="LI33" s="53"/>
      <c r="LJ33" s="82"/>
      <c r="LK33" s="82"/>
      <c r="LL33" s="82"/>
      <c r="LM33" s="82"/>
      <c r="LN33" s="82"/>
      <c r="LO33" s="82"/>
      <c r="LP33" s="82"/>
      <c r="LQ33" s="82"/>
      <c r="LR33" s="82"/>
      <c r="LS33" s="82"/>
      <c r="LT33" s="80"/>
      <c r="LU33" s="53"/>
      <c r="LV33" s="53"/>
      <c r="LW33" s="53"/>
      <c r="LX33" s="53"/>
      <c r="LY33" s="84"/>
      <c r="LZ33" s="52"/>
      <c r="MA33" s="53"/>
      <c r="MB33" s="53"/>
      <c r="MC33" s="53"/>
      <c r="MD33" s="82"/>
      <c r="ME33" s="82"/>
      <c r="MF33" s="82"/>
      <c r="MG33" s="82"/>
      <c r="MH33" s="82"/>
      <c r="MI33" s="82"/>
      <c r="MJ33" s="82"/>
      <c r="MK33" s="82"/>
      <c r="ML33" s="82"/>
      <c r="MM33" s="82"/>
      <c r="MN33" s="80"/>
      <c r="MO33" s="53"/>
      <c r="MP33" s="53"/>
      <c r="MQ33" s="53"/>
      <c r="MR33" s="53"/>
      <c r="MS33" s="84"/>
      <c r="MT33" s="52"/>
      <c r="MU33" s="53"/>
      <c r="MV33" s="53"/>
      <c r="MW33" s="53"/>
      <c r="MX33" s="82"/>
      <c r="MY33" s="82"/>
      <c r="MZ33" s="82"/>
      <c r="NA33" s="82"/>
      <c r="NB33" s="82"/>
      <c r="NC33" s="82"/>
      <c r="ND33" s="82"/>
      <c r="NE33" s="82"/>
      <c r="NF33" s="82"/>
      <c r="NG33" s="82"/>
      <c r="NH33" s="80"/>
      <c r="NI33" s="53"/>
      <c r="NJ33" s="53"/>
      <c r="NK33" s="53"/>
      <c r="NL33" s="53"/>
      <c r="NM33" s="84"/>
      <c r="NN33" s="52"/>
      <c r="NO33" s="53"/>
      <c r="NP33" s="53"/>
      <c r="NQ33" s="53"/>
      <c r="NR33" s="82"/>
      <c r="NS33" s="82"/>
      <c r="NT33" s="82"/>
      <c r="NU33" s="82"/>
      <c r="NV33" s="82"/>
      <c r="NW33" s="82"/>
      <c r="NX33" s="82"/>
      <c r="NY33" s="82"/>
      <c r="NZ33" s="82"/>
      <c r="OA33" s="82"/>
      <c r="OB33" s="80"/>
      <c r="OC33" s="53"/>
      <c r="OD33" s="53"/>
      <c r="OE33" s="53"/>
      <c r="OF33" s="53"/>
      <c r="OG33" s="84"/>
      <c r="OH33" s="52"/>
      <c r="OI33" s="53"/>
      <c r="OJ33" s="53"/>
      <c r="OK33" s="53"/>
      <c r="OL33" s="82"/>
      <c r="OM33" s="82"/>
      <c r="ON33" s="82"/>
      <c r="OO33" s="82"/>
      <c r="OP33" s="82"/>
      <c r="OQ33" s="82"/>
      <c r="OR33" s="82"/>
      <c r="OS33" s="82"/>
      <c r="OT33" s="82"/>
      <c r="OU33" s="82"/>
      <c r="OV33" s="80"/>
      <c r="OW33" s="53"/>
      <c r="OX33" s="53"/>
      <c r="OY33" s="53"/>
      <c r="OZ33" s="53"/>
      <c r="PA33" s="84"/>
      <c r="PB33" s="52"/>
      <c r="PC33" s="53"/>
      <c r="PD33" s="53"/>
      <c r="PE33" s="53"/>
      <c r="PF33" s="82"/>
      <c r="PG33" s="82"/>
      <c r="PH33" s="82"/>
      <c r="PI33" s="82"/>
      <c r="PJ33" s="82"/>
      <c r="PK33" s="82"/>
      <c r="PL33" s="82"/>
      <c r="PM33" s="82"/>
      <c r="PN33" s="82"/>
      <c r="PO33" s="82"/>
      <c r="PP33" s="80"/>
      <c r="PQ33" s="53"/>
      <c r="PR33" s="53"/>
      <c r="PS33" s="53"/>
      <c r="PT33" s="53"/>
      <c r="PU33" s="84"/>
      <c r="PV33" s="52"/>
      <c r="PW33" s="53"/>
      <c r="PX33" s="53"/>
      <c r="PY33" s="53"/>
      <c r="PZ33" s="82"/>
      <c r="QA33" s="82"/>
      <c r="QB33" s="82"/>
      <c r="QC33" s="82"/>
      <c r="QD33" s="82"/>
      <c r="QE33" s="82"/>
      <c r="QF33" s="82"/>
      <c r="QG33" s="82"/>
      <c r="QH33" s="82"/>
      <c r="QI33" s="82"/>
      <c r="QJ33" s="80"/>
      <c r="QK33" s="53"/>
      <c r="QL33" s="53"/>
      <c r="QM33" s="53"/>
      <c r="QN33" s="53"/>
      <c r="QO33" s="84"/>
      <c r="QP33" s="52"/>
      <c r="QQ33" s="53"/>
      <c r="QR33" s="53"/>
      <c r="QS33" s="53"/>
      <c r="QT33" s="82"/>
      <c r="QU33" s="82"/>
      <c r="QV33" s="82"/>
      <c r="QW33" s="82"/>
      <c r="QX33" s="82"/>
      <c r="QY33" s="82"/>
      <c r="QZ33" s="82"/>
      <c r="RA33" s="82"/>
      <c r="RB33" s="82"/>
      <c r="RC33" s="82"/>
      <c r="RD33" s="80"/>
      <c r="RE33" s="53"/>
      <c r="RF33" s="53"/>
      <c r="RG33" s="53"/>
      <c r="RH33" s="53"/>
      <c r="RI33" s="84"/>
      <c r="RJ33" s="52"/>
      <c r="RK33" s="53"/>
      <c r="RL33" s="53"/>
      <c r="RM33" s="53"/>
      <c r="RN33" s="82"/>
      <c r="RO33" s="82"/>
      <c r="RP33" s="82"/>
      <c r="RQ33" s="82"/>
      <c r="RR33" s="82"/>
      <c r="RS33" s="82"/>
      <c r="RT33" s="82"/>
      <c r="RU33" s="82"/>
      <c r="RV33" s="82"/>
      <c r="RW33" s="82"/>
      <c r="RX33" s="80"/>
      <c r="RY33" s="53"/>
      <c r="RZ33" s="53"/>
      <c r="SA33" s="53"/>
      <c r="SB33" s="53"/>
      <c r="SC33" s="84"/>
      <c r="SD33" s="52"/>
      <c r="SE33" s="53"/>
      <c r="SF33" s="53"/>
      <c r="SG33" s="53"/>
    </row>
    <row r="34" spans="1:501" s="44" customFormat="1" ht="20.399999999999999" customHeight="1" x14ac:dyDescent="0.3">
      <c r="A34" s="125" t="s">
        <v>211</v>
      </c>
      <c r="B34" s="125"/>
      <c r="C34" s="125"/>
      <c r="D34" s="12"/>
      <c r="E34" s="12"/>
      <c r="F34" s="12"/>
      <c r="G34" s="72"/>
      <c r="H34" s="72"/>
      <c r="I34" s="204"/>
      <c r="J34" s="72"/>
      <c r="K34" s="72"/>
      <c r="L34" s="72"/>
      <c r="M34" s="72"/>
      <c r="N34" s="72"/>
      <c r="O34" s="72"/>
      <c r="P34" s="72"/>
      <c r="Q34" s="72"/>
      <c r="R34" s="72"/>
      <c r="S34" s="72"/>
      <c r="T34" s="72"/>
      <c r="U34" s="78"/>
      <c r="V34" s="83"/>
      <c r="W34" s="83"/>
      <c r="X34" s="83"/>
      <c r="Y34" s="83"/>
      <c r="Z34" s="83"/>
      <c r="AA34" s="83"/>
      <c r="AB34" s="83"/>
      <c r="AC34" s="83"/>
      <c r="AD34" s="83"/>
      <c r="AE34" s="83"/>
      <c r="AF34" s="81"/>
      <c r="AG34" s="46"/>
      <c r="AH34" s="46"/>
      <c r="AI34" s="46"/>
      <c r="AJ34" s="46"/>
      <c r="AK34" s="85"/>
      <c r="AL34" s="41"/>
      <c r="AM34" s="46"/>
      <c r="AN34" s="46"/>
      <c r="AO34" s="46"/>
      <c r="AP34" s="83"/>
      <c r="AQ34" s="83"/>
      <c r="AR34" s="83"/>
      <c r="AS34" s="83"/>
      <c r="AT34" s="83"/>
      <c r="AU34" s="83"/>
      <c r="AV34" s="83"/>
      <c r="AW34" s="83"/>
      <c r="AX34" s="83"/>
      <c r="AY34" s="83"/>
      <c r="AZ34" s="81"/>
      <c r="BA34" s="46"/>
      <c r="BB34" s="46"/>
      <c r="BC34" s="46"/>
      <c r="BD34" s="46"/>
      <c r="BE34" s="85"/>
      <c r="BF34" s="41"/>
      <c r="BG34" s="46"/>
      <c r="BH34" s="46"/>
      <c r="BI34" s="46"/>
      <c r="BJ34" s="83"/>
      <c r="BK34" s="83"/>
      <c r="BL34" s="83"/>
      <c r="BM34" s="83"/>
      <c r="BN34" s="83"/>
      <c r="BO34" s="83"/>
      <c r="BP34" s="83"/>
      <c r="BQ34" s="83"/>
      <c r="BR34" s="83"/>
      <c r="BS34" s="83"/>
      <c r="BT34" s="81"/>
      <c r="BU34" s="46"/>
      <c r="BV34" s="46"/>
      <c r="BW34" s="46"/>
      <c r="BX34" s="46"/>
      <c r="BY34" s="85"/>
      <c r="BZ34" s="41"/>
      <c r="CA34" s="46"/>
      <c r="CB34" s="46"/>
      <c r="CC34" s="46"/>
      <c r="CD34" s="83"/>
      <c r="CE34" s="83"/>
      <c r="CF34" s="83"/>
      <c r="CG34" s="83"/>
      <c r="CH34" s="83"/>
      <c r="CI34" s="83"/>
      <c r="CJ34" s="83"/>
      <c r="CK34" s="83"/>
      <c r="CL34" s="83"/>
      <c r="CM34" s="83"/>
      <c r="CN34" s="81"/>
      <c r="CO34" s="46"/>
      <c r="CP34" s="46"/>
      <c r="CQ34" s="46"/>
      <c r="CR34" s="46"/>
      <c r="CS34" s="85"/>
      <c r="CT34" s="41"/>
      <c r="CU34" s="46"/>
      <c r="CV34" s="46"/>
      <c r="CW34" s="46"/>
      <c r="CX34" s="83"/>
      <c r="CY34" s="83"/>
      <c r="CZ34" s="83"/>
      <c r="DA34" s="83"/>
      <c r="DB34" s="83"/>
      <c r="DC34" s="83"/>
      <c r="DD34" s="83"/>
      <c r="DE34" s="83"/>
      <c r="DF34" s="83"/>
      <c r="DG34" s="83"/>
      <c r="DH34" s="81"/>
      <c r="DI34" s="46"/>
      <c r="DJ34" s="46"/>
      <c r="DK34" s="46"/>
      <c r="DL34" s="46"/>
      <c r="DM34" s="85"/>
      <c r="DN34" s="41"/>
      <c r="DO34" s="46"/>
      <c r="DP34" s="46"/>
      <c r="DQ34" s="46"/>
      <c r="DR34" s="83"/>
      <c r="DS34" s="83"/>
      <c r="DT34" s="83"/>
      <c r="DU34" s="83"/>
      <c r="DV34" s="83"/>
      <c r="DW34" s="83"/>
      <c r="DX34" s="83"/>
      <c r="DY34" s="83"/>
      <c r="DZ34" s="83"/>
      <c r="EA34" s="83"/>
      <c r="EB34" s="81"/>
      <c r="EC34" s="46"/>
      <c r="ED34" s="46"/>
      <c r="EE34" s="46"/>
      <c r="EF34" s="46"/>
      <c r="EG34" s="85"/>
      <c r="EH34" s="41"/>
      <c r="EI34" s="46"/>
      <c r="EJ34" s="46"/>
      <c r="EK34" s="46"/>
      <c r="EL34" s="83"/>
      <c r="EM34" s="83"/>
      <c r="EN34" s="83"/>
      <c r="EO34" s="83"/>
      <c r="EP34" s="83"/>
      <c r="EQ34" s="83"/>
      <c r="ER34" s="83"/>
      <c r="ES34" s="83"/>
      <c r="ET34" s="83"/>
      <c r="EU34" s="83"/>
      <c r="EV34" s="81"/>
      <c r="EW34" s="46"/>
      <c r="EX34" s="46"/>
      <c r="EY34" s="46"/>
      <c r="EZ34" s="46"/>
      <c r="FA34" s="85"/>
      <c r="FB34" s="41"/>
      <c r="FC34" s="46"/>
      <c r="FD34" s="46"/>
      <c r="FE34" s="46"/>
      <c r="FF34" s="83"/>
      <c r="FG34" s="83"/>
      <c r="FH34" s="83"/>
      <c r="FI34" s="83"/>
      <c r="FJ34" s="83"/>
      <c r="FK34" s="83"/>
      <c r="FL34" s="83"/>
      <c r="FM34" s="83"/>
      <c r="FN34" s="83"/>
      <c r="FO34" s="83"/>
      <c r="FP34" s="81"/>
      <c r="FQ34" s="46"/>
      <c r="FR34" s="46"/>
      <c r="FS34" s="46"/>
      <c r="FT34" s="46"/>
      <c r="FU34" s="85"/>
      <c r="FV34" s="41"/>
      <c r="FW34" s="46"/>
      <c r="FX34" s="46"/>
      <c r="FY34" s="46"/>
      <c r="FZ34" s="83"/>
      <c r="GA34" s="83"/>
      <c r="GB34" s="83"/>
      <c r="GC34" s="83"/>
      <c r="GD34" s="83"/>
      <c r="GE34" s="83"/>
      <c r="GF34" s="83"/>
      <c r="GG34" s="83"/>
      <c r="GH34" s="83"/>
      <c r="GI34" s="83"/>
      <c r="GJ34" s="81"/>
      <c r="GK34" s="46"/>
      <c r="GL34" s="46"/>
      <c r="GM34" s="46"/>
      <c r="GN34" s="46"/>
      <c r="GO34" s="85"/>
      <c r="GP34" s="41"/>
      <c r="GQ34" s="46"/>
      <c r="GR34" s="46"/>
      <c r="GS34" s="46"/>
      <c r="GT34" s="83"/>
      <c r="GU34" s="83"/>
      <c r="GV34" s="83"/>
      <c r="GW34" s="83"/>
      <c r="GX34" s="83"/>
      <c r="GY34" s="83"/>
      <c r="GZ34" s="83"/>
      <c r="HA34" s="83"/>
      <c r="HB34" s="83"/>
      <c r="HC34" s="83"/>
      <c r="HD34" s="81"/>
      <c r="HE34" s="46"/>
      <c r="HF34" s="46"/>
      <c r="HG34" s="46"/>
      <c r="HH34" s="46"/>
      <c r="HI34" s="85"/>
      <c r="HJ34" s="41"/>
      <c r="HK34" s="46"/>
      <c r="HL34" s="46"/>
      <c r="HM34" s="46"/>
      <c r="HN34" s="83"/>
      <c r="HO34" s="83"/>
      <c r="HP34" s="83"/>
      <c r="HQ34" s="83"/>
      <c r="HR34" s="83"/>
      <c r="HS34" s="83"/>
      <c r="HT34" s="83"/>
      <c r="HU34" s="83"/>
      <c r="HV34" s="83"/>
      <c r="HW34" s="83"/>
      <c r="HX34" s="81"/>
      <c r="HY34" s="46"/>
      <c r="HZ34" s="46"/>
      <c r="IA34" s="46"/>
      <c r="IB34" s="46"/>
      <c r="IC34" s="85"/>
      <c r="ID34" s="41"/>
      <c r="IE34" s="46"/>
      <c r="IF34" s="46"/>
      <c r="IG34" s="46"/>
      <c r="IH34" s="83"/>
      <c r="II34" s="83"/>
      <c r="IJ34" s="83"/>
      <c r="IK34" s="83"/>
      <c r="IL34" s="83"/>
      <c r="IM34" s="83"/>
      <c r="IN34" s="83"/>
      <c r="IO34" s="83"/>
      <c r="IP34" s="83"/>
      <c r="IQ34" s="83"/>
      <c r="IR34" s="81"/>
      <c r="IS34" s="46"/>
      <c r="IT34" s="46"/>
      <c r="IU34" s="46"/>
      <c r="IV34" s="46"/>
      <c r="IW34" s="85"/>
      <c r="IX34" s="41"/>
      <c r="IY34" s="46"/>
      <c r="IZ34" s="46"/>
      <c r="JA34" s="46"/>
      <c r="JB34" s="83"/>
      <c r="JC34" s="83"/>
      <c r="JD34" s="83"/>
      <c r="JE34" s="83"/>
      <c r="JF34" s="83"/>
      <c r="JG34" s="83"/>
      <c r="JH34" s="83"/>
      <c r="JI34" s="83"/>
      <c r="JJ34" s="83"/>
      <c r="JK34" s="83"/>
      <c r="JL34" s="81"/>
      <c r="JM34" s="46"/>
      <c r="JN34" s="46"/>
      <c r="JO34" s="46"/>
      <c r="JP34" s="46"/>
      <c r="JQ34" s="85"/>
      <c r="JR34" s="41"/>
      <c r="JS34" s="46"/>
      <c r="JT34" s="46"/>
      <c r="JU34" s="46"/>
      <c r="JV34" s="83"/>
      <c r="JW34" s="83"/>
      <c r="JX34" s="83"/>
      <c r="JY34" s="83"/>
      <c r="JZ34" s="83"/>
      <c r="KA34" s="83"/>
      <c r="KB34" s="83"/>
      <c r="KC34" s="83"/>
      <c r="KD34" s="83"/>
      <c r="KE34" s="83"/>
      <c r="KF34" s="81"/>
      <c r="KG34" s="46"/>
      <c r="KH34" s="46"/>
      <c r="KI34" s="46"/>
      <c r="KJ34" s="46"/>
      <c r="KK34" s="85"/>
      <c r="KL34" s="41"/>
      <c r="KM34" s="46"/>
      <c r="KN34" s="46"/>
      <c r="KO34" s="46"/>
      <c r="KP34" s="83"/>
      <c r="KQ34" s="83"/>
      <c r="KR34" s="83"/>
      <c r="KS34" s="83"/>
      <c r="KT34" s="83"/>
      <c r="KU34" s="83"/>
      <c r="KV34" s="83"/>
      <c r="KW34" s="83"/>
      <c r="KX34" s="83"/>
      <c r="KY34" s="83"/>
      <c r="KZ34" s="81"/>
      <c r="LA34" s="46"/>
      <c r="LB34" s="46"/>
      <c r="LC34" s="46"/>
      <c r="LD34" s="46"/>
      <c r="LE34" s="85"/>
      <c r="LF34" s="41"/>
      <c r="LG34" s="46"/>
      <c r="LH34" s="46"/>
      <c r="LI34" s="46"/>
      <c r="LJ34" s="83"/>
      <c r="LK34" s="83"/>
      <c r="LL34" s="83"/>
      <c r="LM34" s="83"/>
      <c r="LN34" s="83"/>
      <c r="LO34" s="83"/>
      <c r="LP34" s="83"/>
      <c r="LQ34" s="83"/>
      <c r="LR34" s="83"/>
      <c r="LS34" s="83"/>
      <c r="LT34" s="81"/>
      <c r="LU34" s="46"/>
      <c r="LV34" s="46"/>
      <c r="LW34" s="46"/>
      <c r="LX34" s="46"/>
      <c r="LY34" s="85"/>
      <c r="LZ34" s="41"/>
      <c r="MA34" s="46"/>
      <c r="MB34" s="46"/>
      <c r="MC34" s="46"/>
      <c r="MD34" s="83"/>
      <c r="ME34" s="83"/>
      <c r="MF34" s="83"/>
      <c r="MG34" s="83"/>
      <c r="MH34" s="83"/>
      <c r="MI34" s="83"/>
      <c r="MJ34" s="83"/>
      <c r="MK34" s="83"/>
      <c r="ML34" s="83"/>
      <c r="MM34" s="83"/>
      <c r="MN34" s="81"/>
      <c r="MO34" s="46"/>
      <c r="MP34" s="46"/>
      <c r="MQ34" s="46"/>
      <c r="MR34" s="46"/>
      <c r="MS34" s="85"/>
      <c r="MT34" s="41"/>
      <c r="MU34" s="46"/>
      <c r="MV34" s="46"/>
      <c r="MW34" s="46"/>
      <c r="MX34" s="83"/>
      <c r="MY34" s="83"/>
      <c r="MZ34" s="83"/>
      <c r="NA34" s="83"/>
      <c r="NB34" s="83"/>
      <c r="NC34" s="83"/>
      <c r="ND34" s="83"/>
      <c r="NE34" s="83"/>
      <c r="NF34" s="83"/>
      <c r="NG34" s="83"/>
      <c r="NH34" s="81"/>
      <c r="NI34" s="46"/>
      <c r="NJ34" s="46"/>
      <c r="NK34" s="46"/>
      <c r="NL34" s="46"/>
      <c r="NM34" s="85"/>
      <c r="NN34" s="41"/>
      <c r="NO34" s="46"/>
      <c r="NP34" s="46"/>
      <c r="NQ34" s="46"/>
      <c r="NR34" s="83"/>
      <c r="NS34" s="83"/>
      <c r="NT34" s="83"/>
      <c r="NU34" s="83"/>
      <c r="NV34" s="83"/>
      <c r="NW34" s="83"/>
      <c r="NX34" s="83"/>
      <c r="NY34" s="83"/>
      <c r="NZ34" s="83"/>
      <c r="OA34" s="83"/>
      <c r="OB34" s="81"/>
      <c r="OC34" s="46"/>
      <c r="OD34" s="46"/>
      <c r="OE34" s="46"/>
      <c r="OF34" s="46"/>
      <c r="OG34" s="85"/>
      <c r="OH34" s="41"/>
      <c r="OI34" s="46"/>
      <c r="OJ34" s="46"/>
      <c r="OK34" s="46"/>
      <c r="OL34" s="83"/>
      <c r="OM34" s="83"/>
      <c r="ON34" s="83"/>
      <c r="OO34" s="83"/>
      <c r="OP34" s="83"/>
      <c r="OQ34" s="83"/>
      <c r="OR34" s="83"/>
      <c r="OS34" s="83"/>
      <c r="OT34" s="83"/>
      <c r="OU34" s="83"/>
      <c r="OV34" s="81"/>
      <c r="OW34" s="46"/>
      <c r="OX34" s="46"/>
      <c r="OY34" s="46"/>
      <c r="OZ34" s="46"/>
      <c r="PA34" s="85"/>
      <c r="PB34" s="41"/>
      <c r="PC34" s="46"/>
      <c r="PD34" s="46"/>
      <c r="PE34" s="46"/>
      <c r="PF34" s="83"/>
      <c r="PG34" s="83"/>
      <c r="PH34" s="83"/>
      <c r="PI34" s="83"/>
      <c r="PJ34" s="83"/>
      <c r="PK34" s="83"/>
      <c r="PL34" s="83"/>
      <c r="PM34" s="83"/>
      <c r="PN34" s="83"/>
      <c r="PO34" s="83"/>
      <c r="PP34" s="81"/>
      <c r="PQ34" s="46"/>
      <c r="PR34" s="46"/>
      <c r="PS34" s="46"/>
      <c r="PT34" s="46"/>
      <c r="PU34" s="85"/>
      <c r="PV34" s="41"/>
      <c r="PW34" s="46"/>
      <c r="PX34" s="46"/>
      <c r="PY34" s="46"/>
      <c r="PZ34" s="83"/>
      <c r="QA34" s="83"/>
      <c r="QB34" s="83"/>
      <c r="QC34" s="83"/>
      <c r="QD34" s="83"/>
      <c r="QE34" s="83"/>
      <c r="QF34" s="83"/>
      <c r="QG34" s="83"/>
      <c r="QH34" s="83"/>
      <c r="QI34" s="83"/>
      <c r="QJ34" s="81"/>
      <c r="QK34" s="46"/>
      <c r="QL34" s="46"/>
      <c r="QM34" s="46"/>
      <c r="QN34" s="46"/>
      <c r="QO34" s="85"/>
      <c r="QP34" s="41"/>
      <c r="QQ34" s="46"/>
      <c r="QR34" s="46"/>
      <c r="QS34" s="46"/>
      <c r="QT34" s="83"/>
      <c r="QU34" s="83"/>
      <c r="QV34" s="83"/>
      <c r="QW34" s="83"/>
      <c r="QX34" s="83"/>
      <c r="QY34" s="83"/>
      <c r="QZ34" s="83"/>
      <c r="RA34" s="83"/>
      <c r="RB34" s="83"/>
      <c r="RC34" s="83"/>
      <c r="RD34" s="81"/>
      <c r="RE34" s="46"/>
      <c r="RF34" s="46"/>
      <c r="RG34" s="46"/>
      <c r="RH34" s="46"/>
      <c r="RI34" s="85"/>
      <c r="RJ34" s="41"/>
      <c r="RK34" s="46"/>
      <c r="RL34" s="46"/>
      <c r="RM34" s="46"/>
      <c r="RN34" s="83"/>
      <c r="RO34" s="83"/>
      <c r="RP34" s="83"/>
      <c r="RQ34" s="83"/>
      <c r="RR34" s="83"/>
      <c r="RS34" s="83"/>
      <c r="RT34" s="83"/>
      <c r="RU34" s="83"/>
      <c r="RV34" s="83"/>
      <c r="RW34" s="83"/>
      <c r="RX34" s="81"/>
      <c r="RY34" s="46"/>
      <c r="RZ34" s="46"/>
      <c r="SA34" s="46"/>
      <c r="SB34" s="46"/>
      <c r="SC34" s="85"/>
      <c r="SD34" s="41"/>
      <c r="SE34" s="46"/>
      <c r="SF34" s="46"/>
      <c r="SG34" s="46"/>
    </row>
    <row r="35" spans="1:501" s="44" customFormat="1" ht="20.399999999999999" customHeight="1" x14ac:dyDescent="0.3">
      <c r="A35" s="66" t="s">
        <v>209</v>
      </c>
      <c r="B35" s="66"/>
      <c r="C35" s="66"/>
      <c r="D35" s="49"/>
      <c r="E35" s="49"/>
      <c r="F35" s="49"/>
      <c r="G35" s="70"/>
      <c r="H35" s="70"/>
      <c r="I35" s="206"/>
      <c r="J35" s="70"/>
      <c r="K35" s="70"/>
      <c r="L35" s="70"/>
      <c r="M35" s="70"/>
      <c r="N35" s="70"/>
      <c r="O35" s="70"/>
      <c r="P35" s="70"/>
      <c r="Q35" s="70"/>
      <c r="R35" s="70"/>
      <c r="S35" s="70"/>
      <c r="T35" s="70"/>
      <c r="U35" s="77"/>
      <c r="V35" s="82"/>
      <c r="W35" s="82"/>
      <c r="X35" s="82"/>
      <c r="Y35" s="82"/>
      <c r="Z35" s="82"/>
      <c r="AA35" s="82"/>
      <c r="AB35" s="82"/>
      <c r="AC35" s="82"/>
      <c r="AD35" s="82"/>
      <c r="AE35" s="82"/>
      <c r="AF35" s="80"/>
      <c r="AG35" s="53"/>
      <c r="AH35" s="53"/>
      <c r="AI35" s="53"/>
      <c r="AJ35" s="53"/>
      <c r="AK35" s="84"/>
      <c r="AL35" s="52"/>
      <c r="AM35" s="53"/>
      <c r="AN35" s="53"/>
      <c r="AO35" s="53"/>
      <c r="AP35" s="82"/>
      <c r="AQ35" s="82"/>
      <c r="AR35" s="82"/>
      <c r="AS35" s="82"/>
      <c r="AT35" s="82"/>
      <c r="AU35" s="82"/>
      <c r="AV35" s="82"/>
      <c r="AW35" s="82"/>
      <c r="AX35" s="82"/>
      <c r="AY35" s="82"/>
      <c r="AZ35" s="80"/>
      <c r="BA35" s="53"/>
      <c r="BB35" s="53"/>
      <c r="BC35" s="53"/>
      <c r="BD35" s="53"/>
      <c r="BE35" s="84"/>
      <c r="BF35" s="52"/>
      <c r="BG35" s="53"/>
      <c r="BH35" s="53"/>
      <c r="BI35" s="53"/>
      <c r="BJ35" s="82"/>
      <c r="BK35" s="82"/>
      <c r="BL35" s="82"/>
      <c r="BM35" s="82"/>
      <c r="BN35" s="82"/>
      <c r="BO35" s="82"/>
      <c r="BP35" s="82"/>
      <c r="BQ35" s="82"/>
      <c r="BR35" s="82"/>
      <c r="BS35" s="82"/>
      <c r="BT35" s="80"/>
      <c r="BU35" s="53"/>
      <c r="BV35" s="53"/>
      <c r="BW35" s="53"/>
      <c r="BX35" s="53"/>
      <c r="BY35" s="84"/>
      <c r="BZ35" s="52"/>
      <c r="CA35" s="53"/>
      <c r="CB35" s="53"/>
      <c r="CC35" s="53"/>
      <c r="CD35" s="82"/>
      <c r="CE35" s="82"/>
      <c r="CF35" s="82"/>
      <c r="CG35" s="82"/>
      <c r="CH35" s="82"/>
      <c r="CI35" s="82"/>
      <c r="CJ35" s="82"/>
      <c r="CK35" s="82"/>
      <c r="CL35" s="82"/>
      <c r="CM35" s="82"/>
      <c r="CN35" s="80"/>
      <c r="CO35" s="53"/>
      <c r="CP35" s="53"/>
      <c r="CQ35" s="53"/>
      <c r="CR35" s="53"/>
      <c r="CS35" s="84"/>
      <c r="CT35" s="52"/>
      <c r="CU35" s="53"/>
      <c r="CV35" s="53"/>
      <c r="CW35" s="53"/>
      <c r="CX35" s="82"/>
      <c r="CY35" s="82"/>
      <c r="CZ35" s="82"/>
      <c r="DA35" s="82"/>
      <c r="DB35" s="82"/>
      <c r="DC35" s="82"/>
      <c r="DD35" s="82"/>
      <c r="DE35" s="82"/>
      <c r="DF35" s="82"/>
      <c r="DG35" s="82"/>
      <c r="DH35" s="80"/>
      <c r="DI35" s="53"/>
      <c r="DJ35" s="53"/>
      <c r="DK35" s="53"/>
      <c r="DL35" s="53"/>
      <c r="DM35" s="84"/>
      <c r="DN35" s="52"/>
      <c r="DO35" s="53"/>
      <c r="DP35" s="53"/>
      <c r="DQ35" s="53"/>
      <c r="DR35" s="82"/>
      <c r="DS35" s="82"/>
      <c r="DT35" s="82"/>
      <c r="DU35" s="82"/>
      <c r="DV35" s="82"/>
      <c r="DW35" s="82"/>
      <c r="DX35" s="82"/>
      <c r="DY35" s="82"/>
      <c r="DZ35" s="82"/>
      <c r="EA35" s="82"/>
      <c r="EB35" s="80"/>
      <c r="EC35" s="53"/>
      <c r="ED35" s="53"/>
      <c r="EE35" s="53"/>
      <c r="EF35" s="53"/>
      <c r="EG35" s="84"/>
      <c r="EH35" s="52"/>
      <c r="EI35" s="53"/>
      <c r="EJ35" s="53"/>
      <c r="EK35" s="53"/>
      <c r="EL35" s="82"/>
      <c r="EM35" s="82"/>
      <c r="EN35" s="82"/>
      <c r="EO35" s="82"/>
      <c r="EP35" s="82"/>
      <c r="EQ35" s="82"/>
      <c r="ER35" s="82"/>
      <c r="ES35" s="82"/>
      <c r="ET35" s="82"/>
      <c r="EU35" s="82"/>
      <c r="EV35" s="80"/>
      <c r="EW35" s="53"/>
      <c r="EX35" s="53"/>
      <c r="EY35" s="53"/>
      <c r="EZ35" s="53"/>
      <c r="FA35" s="84"/>
      <c r="FB35" s="52"/>
      <c r="FC35" s="53"/>
      <c r="FD35" s="53"/>
      <c r="FE35" s="53"/>
      <c r="FF35" s="82"/>
      <c r="FG35" s="82"/>
      <c r="FH35" s="82"/>
      <c r="FI35" s="82"/>
      <c r="FJ35" s="82"/>
      <c r="FK35" s="82"/>
      <c r="FL35" s="82"/>
      <c r="FM35" s="82"/>
      <c r="FN35" s="82"/>
      <c r="FO35" s="82"/>
      <c r="FP35" s="80"/>
      <c r="FQ35" s="53"/>
      <c r="FR35" s="53"/>
      <c r="FS35" s="53"/>
      <c r="FT35" s="53"/>
      <c r="FU35" s="84"/>
      <c r="FV35" s="52"/>
      <c r="FW35" s="53"/>
      <c r="FX35" s="53"/>
      <c r="FY35" s="53"/>
      <c r="FZ35" s="82"/>
      <c r="GA35" s="82"/>
      <c r="GB35" s="82"/>
      <c r="GC35" s="82"/>
      <c r="GD35" s="82"/>
      <c r="GE35" s="82"/>
      <c r="GF35" s="82"/>
      <c r="GG35" s="82"/>
      <c r="GH35" s="82"/>
      <c r="GI35" s="82"/>
      <c r="GJ35" s="80"/>
      <c r="GK35" s="53"/>
      <c r="GL35" s="53"/>
      <c r="GM35" s="53"/>
      <c r="GN35" s="53"/>
      <c r="GO35" s="84"/>
      <c r="GP35" s="52"/>
      <c r="GQ35" s="53"/>
      <c r="GR35" s="53"/>
      <c r="GS35" s="53"/>
      <c r="GT35" s="82"/>
      <c r="GU35" s="82"/>
      <c r="GV35" s="82"/>
      <c r="GW35" s="82"/>
      <c r="GX35" s="82"/>
      <c r="GY35" s="82"/>
      <c r="GZ35" s="82"/>
      <c r="HA35" s="82"/>
      <c r="HB35" s="82"/>
      <c r="HC35" s="82"/>
      <c r="HD35" s="80"/>
      <c r="HE35" s="53"/>
      <c r="HF35" s="53"/>
      <c r="HG35" s="53"/>
      <c r="HH35" s="53"/>
      <c r="HI35" s="84"/>
      <c r="HJ35" s="52"/>
      <c r="HK35" s="53"/>
      <c r="HL35" s="53"/>
      <c r="HM35" s="53"/>
      <c r="HN35" s="82"/>
      <c r="HO35" s="82"/>
      <c r="HP35" s="82"/>
      <c r="HQ35" s="82"/>
      <c r="HR35" s="82"/>
      <c r="HS35" s="82"/>
      <c r="HT35" s="82"/>
      <c r="HU35" s="82"/>
      <c r="HV35" s="82"/>
      <c r="HW35" s="82"/>
      <c r="HX35" s="80"/>
      <c r="HY35" s="53"/>
      <c r="HZ35" s="53"/>
      <c r="IA35" s="53"/>
      <c r="IB35" s="53"/>
      <c r="IC35" s="84"/>
      <c r="ID35" s="52"/>
      <c r="IE35" s="53"/>
      <c r="IF35" s="53"/>
      <c r="IG35" s="53"/>
      <c r="IH35" s="82"/>
      <c r="II35" s="82"/>
      <c r="IJ35" s="82"/>
      <c r="IK35" s="82"/>
      <c r="IL35" s="82"/>
      <c r="IM35" s="82"/>
      <c r="IN35" s="82"/>
      <c r="IO35" s="82"/>
      <c r="IP35" s="82"/>
      <c r="IQ35" s="82"/>
      <c r="IR35" s="80"/>
      <c r="IS35" s="53"/>
      <c r="IT35" s="53"/>
      <c r="IU35" s="53"/>
      <c r="IV35" s="53"/>
      <c r="IW35" s="84"/>
      <c r="IX35" s="52"/>
      <c r="IY35" s="53"/>
      <c r="IZ35" s="53"/>
      <c r="JA35" s="53"/>
      <c r="JB35" s="82"/>
      <c r="JC35" s="82"/>
      <c r="JD35" s="82"/>
      <c r="JE35" s="82"/>
      <c r="JF35" s="82"/>
      <c r="JG35" s="82"/>
      <c r="JH35" s="82"/>
      <c r="JI35" s="82"/>
      <c r="JJ35" s="82"/>
      <c r="JK35" s="82"/>
      <c r="JL35" s="80"/>
      <c r="JM35" s="53"/>
      <c r="JN35" s="53"/>
      <c r="JO35" s="53"/>
      <c r="JP35" s="53"/>
      <c r="JQ35" s="84"/>
      <c r="JR35" s="52"/>
      <c r="JS35" s="53"/>
      <c r="JT35" s="53"/>
      <c r="JU35" s="53"/>
      <c r="JV35" s="82"/>
      <c r="JW35" s="82"/>
      <c r="JX35" s="82"/>
      <c r="JY35" s="82"/>
      <c r="JZ35" s="82"/>
      <c r="KA35" s="82"/>
      <c r="KB35" s="82"/>
      <c r="KC35" s="82"/>
      <c r="KD35" s="82"/>
      <c r="KE35" s="82"/>
      <c r="KF35" s="80"/>
      <c r="KG35" s="53"/>
      <c r="KH35" s="53"/>
      <c r="KI35" s="53"/>
      <c r="KJ35" s="53"/>
      <c r="KK35" s="84"/>
      <c r="KL35" s="52"/>
      <c r="KM35" s="53"/>
      <c r="KN35" s="53"/>
      <c r="KO35" s="53"/>
      <c r="KP35" s="82"/>
      <c r="KQ35" s="82"/>
      <c r="KR35" s="82"/>
      <c r="KS35" s="82"/>
      <c r="KT35" s="82"/>
      <c r="KU35" s="82"/>
      <c r="KV35" s="82"/>
      <c r="KW35" s="82"/>
      <c r="KX35" s="82"/>
      <c r="KY35" s="82"/>
      <c r="KZ35" s="80"/>
      <c r="LA35" s="53"/>
      <c r="LB35" s="53"/>
      <c r="LC35" s="53"/>
      <c r="LD35" s="53"/>
      <c r="LE35" s="84"/>
      <c r="LF35" s="52"/>
      <c r="LG35" s="53"/>
      <c r="LH35" s="53"/>
      <c r="LI35" s="53"/>
      <c r="LJ35" s="82"/>
      <c r="LK35" s="82"/>
      <c r="LL35" s="82"/>
      <c r="LM35" s="82"/>
      <c r="LN35" s="82"/>
      <c r="LO35" s="82"/>
      <c r="LP35" s="82"/>
      <c r="LQ35" s="82"/>
      <c r="LR35" s="82"/>
      <c r="LS35" s="82"/>
      <c r="LT35" s="80"/>
      <c r="LU35" s="53"/>
      <c r="LV35" s="53"/>
      <c r="LW35" s="53"/>
      <c r="LX35" s="53"/>
      <c r="LY35" s="84"/>
      <c r="LZ35" s="52"/>
      <c r="MA35" s="53"/>
      <c r="MB35" s="53"/>
      <c r="MC35" s="53"/>
      <c r="MD35" s="82"/>
      <c r="ME35" s="82"/>
      <c r="MF35" s="82"/>
      <c r="MG35" s="82"/>
      <c r="MH35" s="82"/>
      <c r="MI35" s="82"/>
      <c r="MJ35" s="82"/>
      <c r="MK35" s="82"/>
      <c r="ML35" s="82"/>
      <c r="MM35" s="82"/>
      <c r="MN35" s="80"/>
      <c r="MO35" s="53"/>
      <c r="MP35" s="53"/>
      <c r="MQ35" s="53"/>
      <c r="MR35" s="53"/>
      <c r="MS35" s="84"/>
      <c r="MT35" s="52"/>
      <c r="MU35" s="53"/>
      <c r="MV35" s="53"/>
      <c r="MW35" s="53"/>
      <c r="MX35" s="82"/>
      <c r="MY35" s="82"/>
      <c r="MZ35" s="82"/>
      <c r="NA35" s="82"/>
      <c r="NB35" s="82"/>
      <c r="NC35" s="82"/>
      <c r="ND35" s="82"/>
      <c r="NE35" s="82"/>
      <c r="NF35" s="82"/>
      <c r="NG35" s="82"/>
      <c r="NH35" s="80"/>
      <c r="NI35" s="53"/>
      <c r="NJ35" s="53"/>
      <c r="NK35" s="53"/>
      <c r="NL35" s="53"/>
      <c r="NM35" s="84"/>
      <c r="NN35" s="52"/>
      <c r="NO35" s="53"/>
      <c r="NP35" s="53"/>
      <c r="NQ35" s="53"/>
      <c r="NR35" s="82"/>
      <c r="NS35" s="82"/>
      <c r="NT35" s="82"/>
      <c r="NU35" s="82"/>
      <c r="NV35" s="82"/>
      <c r="NW35" s="82"/>
      <c r="NX35" s="82"/>
      <c r="NY35" s="82"/>
      <c r="NZ35" s="82"/>
      <c r="OA35" s="82"/>
      <c r="OB35" s="80"/>
      <c r="OC35" s="53"/>
      <c r="OD35" s="53"/>
      <c r="OE35" s="53"/>
      <c r="OF35" s="53"/>
      <c r="OG35" s="84"/>
      <c r="OH35" s="52"/>
      <c r="OI35" s="53"/>
      <c r="OJ35" s="53"/>
      <c r="OK35" s="53"/>
      <c r="OL35" s="82"/>
      <c r="OM35" s="82"/>
      <c r="ON35" s="82"/>
      <c r="OO35" s="82"/>
      <c r="OP35" s="82"/>
      <c r="OQ35" s="82"/>
      <c r="OR35" s="82"/>
      <c r="OS35" s="82"/>
      <c r="OT35" s="82"/>
      <c r="OU35" s="82"/>
      <c r="OV35" s="80"/>
      <c r="OW35" s="53"/>
      <c r="OX35" s="53"/>
      <c r="OY35" s="53"/>
      <c r="OZ35" s="53"/>
      <c r="PA35" s="84"/>
      <c r="PB35" s="52"/>
      <c r="PC35" s="53"/>
      <c r="PD35" s="53"/>
      <c r="PE35" s="53"/>
      <c r="PF35" s="82"/>
      <c r="PG35" s="82"/>
      <c r="PH35" s="82"/>
      <c r="PI35" s="82"/>
      <c r="PJ35" s="82"/>
      <c r="PK35" s="82"/>
      <c r="PL35" s="82"/>
      <c r="PM35" s="82"/>
      <c r="PN35" s="82"/>
      <c r="PO35" s="82"/>
      <c r="PP35" s="80"/>
      <c r="PQ35" s="53"/>
      <c r="PR35" s="53"/>
      <c r="PS35" s="53"/>
      <c r="PT35" s="53"/>
      <c r="PU35" s="84"/>
      <c r="PV35" s="52"/>
      <c r="PW35" s="53"/>
      <c r="PX35" s="53"/>
      <c r="PY35" s="53"/>
      <c r="PZ35" s="82"/>
      <c r="QA35" s="82"/>
      <c r="QB35" s="82"/>
      <c r="QC35" s="82"/>
      <c r="QD35" s="82"/>
      <c r="QE35" s="82"/>
      <c r="QF35" s="82"/>
      <c r="QG35" s="82"/>
      <c r="QH35" s="82"/>
      <c r="QI35" s="82"/>
      <c r="QJ35" s="80"/>
      <c r="QK35" s="53"/>
      <c r="QL35" s="53"/>
      <c r="QM35" s="53"/>
      <c r="QN35" s="53"/>
      <c r="QO35" s="84"/>
      <c r="QP35" s="52"/>
      <c r="QQ35" s="53"/>
      <c r="QR35" s="53"/>
      <c r="QS35" s="53"/>
      <c r="QT35" s="82"/>
      <c r="QU35" s="82"/>
      <c r="QV35" s="82"/>
      <c r="QW35" s="82"/>
      <c r="QX35" s="82"/>
      <c r="QY35" s="82"/>
      <c r="QZ35" s="82"/>
      <c r="RA35" s="82"/>
      <c r="RB35" s="82"/>
      <c r="RC35" s="82"/>
      <c r="RD35" s="80"/>
      <c r="RE35" s="53"/>
      <c r="RF35" s="53"/>
      <c r="RG35" s="53"/>
      <c r="RH35" s="53"/>
      <c r="RI35" s="84"/>
      <c r="RJ35" s="52"/>
      <c r="RK35" s="53"/>
      <c r="RL35" s="53"/>
      <c r="RM35" s="53"/>
      <c r="RN35" s="82"/>
      <c r="RO35" s="82"/>
      <c r="RP35" s="82"/>
      <c r="RQ35" s="82"/>
      <c r="RR35" s="82"/>
      <c r="RS35" s="82"/>
      <c r="RT35" s="82"/>
      <c r="RU35" s="82"/>
      <c r="RV35" s="82"/>
      <c r="RW35" s="82"/>
      <c r="RX35" s="80"/>
      <c r="RY35" s="53"/>
      <c r="RZ35" s="53"/>
      <c r="SA35" s="53"/>
      <c r="SB35" s="53"/>
      <c r="SC35" s="84"/>
      <c r="SD35" s="52"/>
      <c r="SE35" s="53"/>
      <c r="SF35" s="53"/>
      <c r="SG35" s="53"/>
    </row>
    <row r="36" spans="1:501" s="44" customFormat="1" ht="20.399999999999999" customHeight="1" x14ac:dyDescent="0.3">
      <c r="A36" s="125" t="s">
        <v>204</v>
      </c>
      <c r="B36" s="125" t="s">
        <v>71</v>
      </c>
      <c r="C36" s="125" t="s">
        <v>314</v>
      </c>
      <c r="D36" s="12" t="s">
        <v>514</v>
      </c>
      <c r="E36" s="12" t="s">
        <v>316</v>
      </c>
      <c r="F36" s="12" t="s">
        <v>321</v>
      </c>
      <c r="G36" s="72" t="s">
        <v>318</v>
      </c>
      <c r="H36" s="72" t="s">
        <v>322</v>
      </c>
      <c r="I36" s="204" t="s">
        <v>515</v>
      </c>
      <c r="J36" s="72"/>
      <c r="K36" s="72"/>
      <c r="L36" s="12" t="s">
        <v>68</v>
      </c>
      <c r="M36" s="125" t="s">
        <v>331</v>
      </c>
      <c r="N36" s="12" t="s">
        <v>315</v>
      </c>
      <c r="O36" s="83" t="s">
        <v>332</v>
      </c>
      <c r="P36" s="12" t="s">
        <v>333</v>
      </c>
      <c r="Q36" s="110" t="s">
        <v>334</v>
      </c>
      <c r="R36" s="83" t="s">
        <v>335</v>
      </c>
      <c r="S36" s="83" t="s">
        <v>315</v>
      </c>
      <c r="T36" s="72"/>
      <c r="U36" s="78"/>
      <c r="V36" s="12" t="s">
        <v>68</v>
      </c>
      <c r="W36" s="125" t="s">
        <v>331</v>
      </c>
      <c r="X36" s="12" t="s">
        <v>315</v>
      </c>
      <c r="Y36" s="83" t="s">
        <v>332</v>
      </c>
      <c r="Z36" s="12" t="s">
        <v>333</v>
      </c>
      <c r="AA36" s="110" t="s">
        <v>334</v>
      </c>
      <c r="AB36" s="83" t="s">
        <v>335</v>
      </c>
      <c r="AC36" s="83" t="s">
        <v>315</v>
      </c>
      <c r="AD36" s="83"/>
      <c r="AE36" s="83"/>
      <c r="AF36" s="12" t="s">
        <v>68</v>
      </c>
      <c r="AG36" s="125" t="s">
        <v>331</v>
      </c>
      <c r="AH36" s="12" t="s">
        <v>315</v>
      </c>
      <c r="AI36" s="83" t="s">
        <v>332</v>
      </c>
      <c r="AJ36" s="83" t="s">
        <v>408</v>
      </c>
      <c r="AK36" s="110" t="s">
        <v>334</v>
      </c>
      <c r="AL36" s="83" t="s">
        <v>335</v>
      </c>
      <c r="AM36" s="83" t="s">
        <v>315</v>
      </c>
      <c r="AN36" s="46"/>
      <c r="AO36" s="46"/>
      <c r="AP36" s="12" t="s">
        <v>68</v>
      </c>
      <c r="AQ36" s="125" t="s">
        <v>331</v>
      </c>
      <c r="AR36" s="12" t="s">
        <v>315</v>
      </c>
      <c r="AS36" s="83" t="s">
        <v>332</v>
      </c>
      <c r="AT36" s="83" t="s">
        <v>408</v>
      </c>
      <c r="AU36" s="110" t="s">
        <v>334</v>
      </c>
      <c r="AV36" s="83" t="s">
        <v>335</v>
      </c>
      <c r="AW36" s="83" t="s">
        <v>315</v>
      </c>
      <c r="AX36" s="83"/>
      <c r="AY36" s="83"/>
      <c r="AZ36" s="83" t="s">
        <v>69</v>
      </c>
      <c r="BA36" s="83" t="s">
        <v>318</v>
      </c>
      <c r="BB36" s="83" t="s">
        <v>315</v>
      </c>
      <c r="BC36" s="46" t="s">
        <v>336</v>
      </c>
      <c r="BD36" s="46" t="s">
        <v>321</v>
      </c>
      <c r="BE36" s="194" t="s">
        <v>318</v>
      </c>
      <c r="BF36" s="41" t="s">
        <v>391</v>
      </c>
      <c r="BG36" s="46" t="s">
        <v>315</v>
      </c>
      <c r="BH36" s="46"/>
      <c r="BI36" s="46"/>
      <c r="BJ36" s="125" t="s">
        <v>313</v>
      </c>
      <c r="BK36" s="125" t="s">
        <v>314</v>
      </c>
      <c r="BL36" s="12" t="s">
        <v>315</v>
      </c>
      <c r="BM36" s="12" t="s">
        <v>316</v>
      </c>
      <c r="BN36" s="12" t="s">
        <v>317</v>
      </c>
      <c r="BO36" s="72" t="s">
        <v>318</v>
      </c>
      <c r="BP36" s="72" t="s">
        <v>319</v>
      </c>
      <c r="BQ36" s="72" t="s">
        <v>315</v>
      </c>
      <c r="BR36" s="83"/>
      <c r="BS36" s="83"/>
      <c r="BT36" s="125" t="s">
        <v>313</v>
      </c>
      <c r="BU36" s="125" t="s">
        <v>314</v>
      </c>
      <c r="BV36" s="12" t="s">
        <v>315</v>
      </c>
      <c r="BW36" s="12" t="s">
        <v>316</v>
      </c>
      <c r="BX36" s="12" t="s">
        <v>317</v>
      </c>
      <c r="BY36" s="72" t="s">
        <v>318</v>
      </c>
      <c r="BZ36" s="72" t="s">
        <v>319</v>
      </c>
      <c r="CA36" s="72" t="s">
        <v>315</v>
      </c>
      <c r="CB36" s="46"/>
      <c r="CC36" s="46"/>
      <c r="CD36" s="125" t="s">
        <v>313</v>
      </c>
      <c r="CE36" s="125" t="s">
        <v>314</v>
      </c>
      <c r="CF36" s="12" t="s">
        <v>315</v>
      </c>
      <c r="CG36" s="12" t="s">
        <v>316</v>
      </c>
      <c r="CH36" s="12" t="s">
        <v>317</v>
      </c>
      <c r="CI36" s="72" t="s">
        <v>318</v>
      </c>
      <c r="CJ36" s="72" t="s">
        <v>319</v>
      </c>
      <c r="CK36" s="72" t="s">
        <v>315</v>
      </c>
      <c r="CL36" s="83"/>
      <c r="CM36" s="83"/>
      <c r="CN36" s="81"/>
      <c r="CO36" s="46"/>
      <c r="CP36" s="46"/>
      <c r="CQ36" s="46"/>
      <c r="CR36" s="46"/>
      <c r="CS36" s="85"/>
      <c r="CT36" s="41"/>
      <c r="CU36" s="46"/>
      <c r="CV36" s="46"/>
      <c r="CW36" s="46"/>
      <c r="CX36" s="83"/>
      <c r="CY36" s="83"/>
      <c r="CZ36" s="83"/>
      <c r="DA36" s="83"/>
      <c r="DB36" s="83"/>
      <c r="DC36" s="83"/>
      <c r="DD36" s="83"/>
      <c r="DE36" s="83"/>
      <c r="DF36" s="83"/>
      <c r="DG36" s="83"/>
      <c r="DH36" s="81"/>
      <c r="DI36" s="46"/>
      <c r="DJ36" s="46"/>
      <c r="DK36" s="46"/>
      <c r="DL36" s="46"/>
      <c r="DM36" s="85"/>
      <c r="DN36" s="41"/>
      <c r="DO36" s="46"/>
      <c r="DP36" s="46"/>
      <c r="DQ36" s="46"/>
      <c r="DR36" s="83"/>
      <c r="DS36" s="83"/>
      <c r="DT36" s="83"/>
      <c r="DU36" s="83"/>
      <c r="DV36" s="83"/>
      <c r="DW36" s="83"/>
      <c r="DX36" s="83"/>
      <c r="DY36" s="83"/>
      <c r="DZ36" s="83"/>
      <c r="EA36" s="83"/>
      <c r="EB36" s="81"/>
      <c r="EC36" s="46"/>
      <c r="ED36" s="46"/>
      <c r="EE36" s="46"/>
      <c r="EF36" s="46"/>
      <c r="EG36" s="85"/>
      <c r="EH36" s="41"/>
      <c r="EI36" s="46"/>
      <c r="EJ36" s="46"/>
      <c r="EK36" s="46"/>
      <c r="EL36" s="83"/>
      <c r="EM36" s="83"/>
      <c r="EN36" s="83"/>
      <c r="EO36" s="83"/>
      <c r="EP36" s="83"/>
      <c r="EQ36" s="83"/>
      <c r="ER36" s="83"/>
      <c r="ES36" s="83"/>
      <c r="ET36" s="83"/>
      <c r="EU36" s="83"/>
      <c r="EV36" s="81"/>
      <c r="EW36" s="46"/>
      <c r="EX36" s="46"/>
      <c r="EY36" s="46"/>
      <c r="EZ36" s="46"/>
      <c r="FA36" s="85"/>
      <c r="FB36" s="41"/>
      <c r="FC36" s="46"/>
      <c r="FD36" s="46"/>
      <c r="FE36" s="46"/>
      <c r="FF36" s="83"/>
      <c r="FG36" s="83"/>
      <c r="FH36" s="83"/>
      <c r="FI36" s="83"/>
      <c r="FJ36" s="83"/>
      <c r="FK36" s="83"/>
      <c r="FL36" s="83"/>
      <c r="FM36" s="83"/>
      <c r="FN36" s="83"/>
      <c r="FO36" s="83"/>
      <c r="FP36" s="81"/>
      <c r="FQ36" s="46"/>
      <c r="FR36" s="46"/>
      <c r="FS36" s="46"/>
      <c r="FT36" s="46"/>
      <c r="FU36" s="85"/>
      <c r="FV36" s="41"/>
      <c r="FW36" s="46"/>
      <c r="FX36" s="46"/>
      <c r="FY36" s="46"/>
      <c r="FZ36" s="83"/>
      <c r="GA36" s="83"/>
      <c r="GB36" s="83"/>
      <c r="GC36" s="83"/>
      <c r="GD36" s="83"/>
      <c r="GE36" s="83"/>
      <c r="GF36" s="83"/>
      <c r="GG36" s="83"/>
      <c r="GH36" s="83"/>
      <c r="GI36" s="83"/>
      <c r="GJ36" s="81"/>
      <c r="GK36" s="46"/>
      <c r="GL36" s="46"/>
      <c r="GM36" s="46"/>
      <c r="GN36" s="46"/>
      <c r="GO36" s="85"/>
      <c r="GP36" s="41"/>
      <c r="GQ36" s="46"/>
      <c r="GR36" s="46"/>
      <c r="GS36" s="46"/>
      <c r="GT36" s="83"/>
      <c r="GU36" s="83"/>
      <c r="GV36" s="83"/>
      <c r="GW36" s="83"/>
      <c r="GX36" s="83"/>
      <c r="GY36" s="83"/>
      <c r="GZ36" s="83"/>
      <c r="HA36" s="83"/>
      <c r="HB36" s="83"/>
      <c r="HC36" s="83"/>
      <c r="HD36" s="81"/>
      <c r="HE36" s="46"/>
      <c r="HF36" s="46"/>
      <c r="HG36" s="46"/>
      <c r="HH36" s="46"/>
      <c r="HI36" s="85"/>
      <c r="HJ36" s="41"/>
      <c r="HK36" s="46"/>
      <c r="HL36" s="46"/>
      <c r="HM36" s="46"/>
      <c r="HN36" s="83"/>
      <c r="HO36" s="83"/>
      <c r="HP36" s="83"/>
      <c r="HQ36" s="83"/>
      <c r="HR36" s="83"/>
      <c r="HS36" s="83"/>
      <c r="HT36" s="83"/>
      <c r="HU36" s="83"/>
      <c r="HV36" s="83"/>
      <c r="HW36" s="83"/>
      <c r="HX36" s="81"/>
      <c r="HY36" s="46"/>
      <c r="HZ36" s="46"/>
      <c r="IA36" s="46"/>
      <c r="IB36" s="46"/>
      <c r="IC36" s="85"/>
      <c r="ID36" s="41"/>
      <c r="IE36" s="46"/>
      <c r="IF36" s="46"/>
      <c r="IG36" s="46"/>
      <c r="IH36" s="83"/>
      <c r="II36" s="83"/>
      <c r="IJ36" s="83"/>
      <c r="IK36" s="83"/>
      <c r="IL36" s="83"/>
      <c r="IM36" s="83"/>
      <c r="IN36" s="83"/>
      <c r="IO36" s="83"/>
      <c r="IP36" s="83"/>
      <c r="IQ36" s="83"/>
      <c r="IR36" s="81"/>
      <c r="IS36" s="46"/>
      <c r="IT36" s="46"/>
      <c r="IU36" s="46"/>
      <c r="IV36" s="46"/>
      <c r="IW36" s="85"/>
      <c r="IX36" s="41"/>
      <c r="IY36" s="46"/>
      <c r="IZ36" s="46"/>
      <c r="JA36" s="46"/>
      <c r="JB36" s="83"/>
      <c r="JC36" s="83"/>
      <c r="JD36" s="83"/>
      <c r="JE36" s="83"/>
      <c r="JF36" s="83"/>
      <c r="JG36" s="83"/>
      <c r="JH36" s="83"/>
      <c r="JI36" s="83"/>
      <c r="JJ36" s="83"/>
      <c r="JK36" s="83"/>
      <c r="JL36" s="81"/>
      <c r="JM36" s="46"/>
      <c r="JN36" s="46"/>
      <c r="JO36" s="46"/>
      <c r="JP36" s="46"/>
      <c r="JQ36" s="85"/>
      <c r="JR36" s="41"/>
      <c r="JS36" s="46"/>
      <c r="JT36" s="46"/>
      <c r="JU36" s="46"/>
      <c r="JV36" s="83"/>
      <c r="JW36" s="83"/>
      <c r="JX36" s="83"/>
      <c r="JY36" s="83"/>
      <c r="JZ36" s="83"/>
      <c r="KA36" s="83"/>
      <c r="KB36" s="83"/>
      <c r="KC36" s="83"/>
      <c r="KD36" s="83"/>
      <c r="KE36" s="83"/>
      <c r="KF36" s="81"/>
      <c r="KG36" s="46"/>
      <c r="KH36" s="46"/>
      <c r="KI36" s="46"/>
      <c r="KJ36" s="46"/>
      <c r="KK36" s="85"/>
      <c r="KL36" s="41"/>
      <c r="KM36" s="46"/>
      <c r="KN36" s="46"/>
      <c r="KO36" s="46"/>
      <c r="KP36" s="83"/>
      <c r="KQ36" s="83"/>
      <c r="KR36" s="83"/>
      <c r="KS36" s="83"/>
      <c r="KT36" s="83"/>
      <c r="KU36" s="83"/>
      <c r="KV36" s="83"/>
      <c r="KW36" s="83"/>
      <c r="KX36" s="83"/>
      <c r="KY36" s="83"/>
      <c r="KZ36" s="81"/>
      <c r="LA36" s="46"/>
      <c r="LB36" s="46"/>
      <c r="LC36" s="46"/>
      <c r="LD36" s="46"/>
      <c r="LE36" s="85"/>
      <c r="LF36" s="41"/>
      <c r="LG36" s="46"/>
      <c r="LH36" s="46"/>
      <c r="LI36" s="46"/>
      <c r="LJ36" s="83"/>
      <c r="LK36" s="83"/>
      <c r="LL36" s="83"/>
      <c r="LM36" s="83"/>
      <c r="LN36" s="83"/>
      <c r="LO36" s="83"/>
      <c r="LP36" s="83"/>
      <c r="LQ36" s="83"/>
      <c r="LR36" s="83"/>
      <c r="LS36" s="83"/>
      <c r="LT36" s="81"/>
      <c r="LU36" s="46"/>
      <c r="LV36" s="46"/>
      <c r="LW36" s="46"/>
      <c r="LX36" s="46"/>
      <c r="LY36" s="85"/>
      <c r="LZ36" s="41"/>
      <c r="MA36" s="46"/>
      <c r="MB36" s="46"/>
      <c r="MC36" s="46"/>
      <c r="MD36" s="83"/>
      <c r="ME36" s="83"/>
      <c r="MF36" s="83"/>
      <c r="MG36" s="83"/>
      <c r="MH36" s="83"/>
      <c r="MI36" s="83"/>
      <c r="MJ36" s="83"/>
      <c r="MK36" s="83"/>
      <c r="ML36" s="83"/>
      <c r="MM36" s="83"/>
      <c r="MN36" s="81"/>
      <c r="MO36" s="46"/>
      <c r="MP36" s="46"/>
      <c r="MQ36" s="46"/>
      <c r="MR36" s="46"/>
      <c r="MS36" s="85"/>
      <c r="MT36" s="41"/>
      <c r="MU36" s="46"/>
      <c r="MV36" s="46"/>
      <c r="MW36" s="46"/>
      <c r="MX36" s="83"/>
      <c r="MY36" s="83"/>
      <c r="MZ36" s="83"/>
      <c r="NA36" s="83"/>
      <c r="NB36" s="83"/>
      <c r="NC36" s="83"/>
      <c r="ND36" s="83"/>
      <c r="NE36" s="83"/>
      <c r="NF36" s="83"/>
      <c r="NG36" s="83"/>
      <c r="NH36" s="81"/>
      <c r="NI36" s="46"/>
      <c r="NJ36" s="46"/>
      <c r="NK36" s="46"/>
      <c r="NL36" s="46"/>
      <c r="NM36" s="85"/>
      <c r="NN36" s="41"/>
      <c r="NO36" s="46"/>
      <c r="NP36" s="46"/>
      <c r="NQ36" s="46"/>
      <c r="NR36" s="83"/>
      <c r="NS36" s="83"/>
      <c r="NT36" s="83"/>
      <c r="NU36" s="83"/>
      <c r="NV36" s="83"/>
      <c r="NW36" s="83"/>
      <c r="NX36" s="83"/>
      <c r="NY36" s="83"/>
      <c r="NZ36" s="83"/>
      <c r="OA36" s="83"/>
      <c r="OB36" s="81"/>
      <c r="OC36" s="46"/>
      <c r="OD36" s="46"/>
      <c r="OE36" s="46"/>
      <c r="OF36" s="46"/>
      <c r="OG36" s="85"/>
      <c r="OH36" s="41"/>
      <c r="OI36" s="46"/>
      <c r="OJ36" s="46"/>
      <c r="OK36" s="46"/>
      <c r="OL36" s="83"/>
      <c r="OM36" s="83"/>
      <c r="ON36" s="83"/>
      <c r="OO36" s="83"/>
      <c r="OP36" s="83"/>
      <c r="OQ36" s="83"/>
      <c r="OR36" s="83"/>
      <c r="OS36" s="83"/>
      <c r="OT36" s="83"/>
      <c r="OU36" s="83"/>
      <c r="OV36" s="81"/>
      <c r="OW36" s="46"/>
      <c r="OX36" s="46"/>
      <c r="OY36" s="46"/>
      <c r="OZ36" s="46"/>
      <c r="PA36" s="85"/>
      <c r="PB36" s="41"/>
      <c r="PC36" s="46"/>
      <c r="PD36" s="46"/>
      <c r="PE36" s="46"/>
      <c r="PF36" s="83"/>
      <c r="PG36" s="83"/>
      <c r="PH36" s="83"/>
      <c r="PI36" s="83"/>
      <c r="PJ36" s="83"/>
      <c r="PK36" s="83"/>
      <c r="PL36" s="83"/>
      <c r="PM36" s="83"/>
      <c r="PN36" s="83"/>
      <c r="PO36" s="83"/>
      <c r="PP36" s="81"/>
      <c r="PQ36" s="46"/>
      <c r="PR36" s="46"/>
      <c r="PS36" s="46"/>
      <c r="PT36" s="46"/>
      <c r="PU36" s="85"/>
      <c r="PV36" s="41"/>
      <c r="PW36" s="46"/>
      <c r="PX36" s="46"/>
      <c r="PY36" s="46"/>
      <c r="PZ36" s="83"/>
      <c r="QA36" s="83"/>
      <c r="QB36" s="83"/>
      <c r="QC36" s="83"/>
      <c r="QD36" s="83"/>
      <c r="QE36" s="83"/>
      <c r="QF36" s="83"/>
      <c r="QG36" s="83"/>
      <c r="QH36" s="83"/>
      <c r="QI36" s="83"/>
      <c r="QJ36" s="81"/>
      <c r="QK36" s="46"/>
      <c r="QL36" s="46"/>
      <c r="QM36" s="46"/>
      <c r="QN36" s="46"/>
      <c r="QO36" s="85"/>
      <c r="QP36" s="41"/>
      <c r="QQ36" s="46"/>
      <c r="QR36" s="46"/>
      <c r="QS36" s="46"/>
      <c r="QT36" s="83"/>
      <c r="QU36" s="83"/>
      <c r="QV36" s="83"/>
      <c r="QW36" s="83"/>
      <c r="QX36" s="83"/>
      <c r="QY36" s="83"/>
      <c r="QZ36" s="83"/>
      <c r="RA36" s="83"/>
      <c r="RB36" s="83"/>
      <c r="RC36" s="83"/>
      <c r="RD36" s="81"/>
      <c r="RE36" s="46"/>
      <c r="RF36" s="46"/>
      <c r="RG36" s="46"/>
      <c r="RH36" s="46"/>
      <c r="RI36" s="85"/>
      <c r="RJ36" s="41"/>
      <c r="RK36" s="46"/>
      <c r="RL36" s="46"/>
      <c r="RM36" s="46"/>
      <c r="RN36" s="83"/>
      <c r="RO36" s="83"/>
      <c r="RP36" s="83"/>
      <c r="RQ36" s="83"/>
      <c r="RR36" s="83"/>
      <c r="RS36" s="83"/>
      <c r="RT36" s="83"/>
      <c r="RU36" s="83"/>
      <c r="RV36" s="83"/>
      <c r="RW36" s="83"/>
      <c r="RX36" s="81"/>
      <c r="RY36" s="46"/>
      <c r="RZ36" s="46"/>
      <c r="SA36" s="46"/>
      <c r="SB36" s="46"/>
      <c r="SC36" s="85"/>
      <c r="SD36" s="41"/>
      <c r="SE36" s="46"/>
      <c r="SF36" s="46"/>
      <c r="SG36" s="46"/>
    </row>
    <row r="37" spans="1:501" s="44" customFormat="1" ht="20.399999999999999" customHeight="1" x14ac:dyDescent="0.3">
      <c r="A37" s="66" t="s">
        <v>216</v>
      </c>
      <c r="B37" s="66" t="s">
        <v>68</v>
      </c>
      <c r="C37" s="66" t="s">
        <v>331</v>
      </c>
      <c r="D37" s="49" t="s">
        <v>315</v>
      </c>
      <c r="E37" s="49" t="s">
        <v>332</v>
      </c>
      <c r="F37" s="49" t="s">
        <v>333</v>
      </c>
      <c r="G37" s="70" t="s">
        <v>334</v>
      </c>
      <c r="H37" s="70" t="s">
        <v>335</v>
      </c>
      <c r="I37" s="206" t="s">
        <v>315</v>
      </c>
      <c r="J37" s="70"/>
      <c r="K37" s="70"/>
      <c r="L37" s="66" t="s">
        <v>68</v>
      </c>
      <c r="M37" s="66" t="s">
        <v>331</v>
      </c>
      <c r="N37" s="49" t="s">
        <v>315</v>
      </c>
      <c r="O37" s="49" t="s">
        <v>332</v>
      </c>
      <c r="P37" s="49" t="s">
        <v>333</v>
      </c>
      <c r="Q37" s="70" t="s">
        <v>334</v>
      </c>
      <c r="R37" s="70" t="s">
        <v>335</v>
      </c>
      <c r="S37" s="70" t="s">
        <v>315</v>
      </c>
      <c r="T37" s="70"/>
      <c r="U37" s="77"/>
      <c r="V37" s="82" t="s">
        <v>69</v>
      </c>
      <c r="W37" s="82" t="s">
        <v>318</v>
      </c>
      <c r="X37" s="82" t="s">
        <v>315</v>
      </c>
      <c r="Y37" s="82" t="s">
        <v>336</v>
      </c>
      <c r="Z37" s="82" t="s">
        <v>321</v>
      </c>
      <c r="AA37" s="82" t="s">
        <v>318</v>
      </c>
      <c r="AB37" s="82" t="s">
        <v>391</v>
      </c>
      <c r="AC37" s="82" t="s">
        <v>315</v>
      </c>
      <c r="AD37" s="82"/>
      <c r="AE37" s="82"/>
      <c r="AF37" s="82" t="s">
        <v>69</v>
      </c>
      <c r="AG37" s="82" t="s">
        <v>318</v>
      </c>
      <c r="AH37" s="82" t="s">
        <v>315</v>
      </c>
      <c r="AI37" s="82" t="s">
        <v>336</v>
      </c>
      <c r="AJ37" s="82" t="s">
        <v>321</v>
      </c>
      <c r="AK37" s="82" t="s">
        <v>318</v>
      </c>
      <c r="AL37" s="82" t="s">
        <v>391</v>
      </c>
      <c r="AM37" s="82" t="s">
        <v>315</v>
      </c>
      <c r="AN37" s="53"/>
      <c r="AO37" s="53"/>
      <c r="AP37" s="82" t="s">
        <v>69</v>
      </c>
      <c r="AQ37" s="82" t="s">
        <v>318</v>
      </c>
      <c r="AR37" s="82" t="s">
        <v>315</v>
      </c>
      <c r="AS37" s="82" t="s">
        <v>336</v>
      </c>
      <c r="AT37" s="82" t="s">
        <v>321</v>
      </c>
      <c r="AU37" s="82" t="s">
        <v>318</v>
      </c>
      <c r="AV37" s="82" t="s">
        <v>391</v>
      </c>
      <c r="AW37" s="82" t="s">
        <v>315</v>
      </c>
      <c r="AX37" s="82"/>
      <c r="AY37" s="82"/>
      <c r="AZ37" s="82" t="s">
        <v>69</v>
      </c>
      <c r="BA37" s="82" t="s">
        <v>318</v>
      </c>
      <c r="BB37" s="82" t="s">
        <v>315</v>
      </c>
      <c r="BC37" s="82" t="s">
        <v>336</v>
      </c>
      <c r="BD37" s="82" t="s">
        <v>321</v>
      </c>
      <c r="BE37" s="82" t="s">
        <v>318</v>
      </c>
      <c r="BF37" s="82" t="s">
        <v>391</v>
      </c>
      <c r="BG37" s="82" t="s">
        <v>315</v>
      </c>
      <c r="BH37" s="53"/>
      <c r="BI37" s="53"/>
      <c r="BJ37" s="82" t="s">
        <v>313</v>
      </c>
      <c r="BK37" s="82" t="s">
        <v>314</v>
      </c>
      <c r="BL37" s="82" t="s">
        <v>315</v>
      </c>
      <c r="BM37" s="82" t="s">
        <v>316</v>
      </c>
      <c r="BN37" s="82" t="s">
        <v>317</v>
      </c>
      <c r="BO37" s="82" t="s">
        <v>318</v>
      </c>
      <c r="BP37" s="82" t="s">
        <v>319</v>
      </c>
      <c r="BQ37" s="82" t="s">
        <v>315</v>
      </c>
      <c r="BR37" s="82"/>
      <c r="BS37" s="82"/>
      <c r="BT37" s="82" t="s">
        <v>313</v>
      </c>
      <c r="BU37" s="82" t="s">
        <v>314</v>
      </c>
      <c r="BV37" s="82" t="s">
        <v>315</v>
      </c>
      <c r="BW37" s="82" t="s">
        <v>316</v>
      </c>
      <c r="BX37" s="82" t="s">
        <v>317</v>
      </c>
      <c r="BY37" s="82" t="s">
        <v>318</v>
      </c>
      <c r="BZ37" s="82" t="s">
        <v>319</v>
      </c>
      <c r="CA37" s="82" t="s">
        <v>315</v>
      </c>
      <c r="CB37" s="53"/>
      <c r="CC37" s="53"/>
      <c r="CD37" s="82" t="s">
        <v>313</v>
      </c>
      <c r="CE37" s="82" t="s">
        <v>314</v>
      </c>
      <c r="CF37" s="82" t="s">
        <v>315</v>
      </c>
      <c r="CG37" s="82" t="s">
        <v>316</v>
      </c>
      <c r="CH37" s="82" t="s">
        <v>317</v>
      </c>
      <c r="CI37" s="82" t="s">
        <v>318</v>
      </c>
      <c r="CJ37" s="82" t="s">
        <v>319</v>
      </c>
      <c r="CK37" s="82" t="s">
        <v>315</v>
      </c>
      <c r="CL37" s="82"/>
      <c r="CM37" s="82"/>
      <c r="CN37" s="82" t="s">
        <v>313</v>
      </c>
      <c r="CO37" s="82" t="s">
        <v>314</v>
      </c>
      <c r="CP37" s="82" t="s">
        <v>315</v>
      </c>
      <c r="CQ37" s="82" t="s">
        <v>316</v>
      </c>
      <c r="CR37" s="82" t="s">
        <v>317</v>
      </c>
      <c r="CS37" s="82" t="s">
        <v>318</v>
      </c>
      <c r="CT37" s="82" t="s">
        <v>319</v>
      </c>
      <c r="CU37" s="82" t="s">
        <v>315</v>
      </c>
      <c r="CV37" s="53"/>
      <c r="CW37" s="53"/>
      <c r="CX37" s="82" t="s">
        <v>313</v>
      </c>
      <c r="CY37" s="82" t="s">
        <v>314</v>
      </c>
      <c r="CZ37" s="82" t="s">
        <v>315</v>
      </c>
      <c r="DA37" s="82" t="s">
        <v>316</v>
      </c>
      <c r="DB37" s="82" t="s">
        <v>317</v>
      </c>
      <c r="DC37" s="82" t="s">
        <v>318</v>
      </c>
      <c r="DD37" s="82" t="s">
        <v>319</v>
      </c>
      <c r="DE37" s="82" t="s">
        <v>315</v>
      </c>
      <c r="DF37" s="82"/>
      <c r="DG37" s="82"/>
      <c r="DH37" s="82" t="s">
        <v>313</v>
      </c>
      <c r="DI37" s="82" t="s">
        <v>314</v>
      </c>
      <c r="DJ37" s="82" t="s">
        <v>315</v>
      </c>
      <c r="DK37" s="82" t="s">
        <v>316</v>
      </c>
      <c r="DL37" s="82" t="s">
        <v>317</v>
      </c>
      <c r="DM37" s="82" t="s">
        <v>318</v>
      </c>
      <c r="DN37" s="82" t="s">
        <v>319</v>
      </c>
      <c r="DO37" s="82" t="s">
        <v>315</v>
      </c>
      <c r="DP37" s="53"/>
      <c r="DQ37" s="53"/>
      <c r="DR37" s="82" t="s">
        <v>313</v>
      </c>
      <c r="DS37" s="82" t="s">
        <v>314</v>
      </c>
      <c r="DT37" s="82" t="s">
        <v>315</v>
      </c>
      <c r="DU37" s="82" t="s">
        <v>316</v>
      </c>
      <c r="DV37" s="82" t="s">
        <v>317</v>
      </c>
      <c r="DW37" s="82" t="s">
        <v>318</v>
      </c>
      <c r="DX37" s="82" t="s">
        <v>319</v>
      </c>
      <c r="DY37" s="82" t="s">
        <v>315</v>
      </c>
      <c r="DZ37" s="82"/>
      <c r="EA37" s="82"/>
      <c r="EB37" s="82" t="s">
        <v>313</v>
      </c>
      <c r="EC37" s="82" t="s">
        <v>314</v>
      </c>
      <c r="ED37" s="82" t="s">
        <v>315</v>
      </c>
      <c r="EE37" s="82" t="s">
        <v>316</v>
      </c>
      <c r="EF37" s="82" t="s">
        <v>317</v>
      </c>
      <c r="EG37" s="82" t="s">
        <v>318</v>
      </c>
      <c r="EH37" s="82" t="s">
        <v>319</v>
      </c>
      <c r="EI37" s="82" t="s">
        <v>315</v>
      </c>
      <c r="EJ37" s="53"/>
      <c r="EK37" s="53"/>
      <c r="EL37" s="82" t="s">
        <v>313</v>
      </c>
      <c r="EM37" s="82" t="s">
        <v>314</v>
      </c>
      <c r="EN37" s="82" t="s">
        <v>315</v>
      </c>
      <c r="EO37" s="82" t="s">
        <v>316</v>
      </c>
      <c r="EP37" s="82" t="s">
        <v>317</v>
      </c>
      <c r="EQ37" s="82" t="s">
        <v>318</v>
      </c>
      <c r="ER37" s="82" t="s">
        <v>319</v>
      </c>
      <c r="ES37" s="82" t="s">
        <v>315</v>
      </c>
      <c r="ET37" s="82"/>
      <c r="EU37" s="82"/>
      <c r="EV37" s="80"/>
      <c r="EW37" s="53"/>
      <c r="EX37" s="53"/>
      <c r="EY37" s="53"/>
      <c r="EZ37" s="53"/>
      <c r="FA37" s="84"/>
      <c r="FB37" s="52"/>
      <c r="FC37" s="53"/>
      <c r="FD37" s="53"/>
      <c r="FE37" s="53"/>
      <c r="FF37" s="82"/>
      <c r="FG37" s="82"/>
      <c r="FH37" s="82"/>
      <c r="FI37" s="82"/>
      <c r="FJ37" s="82"/>
      <c r="FK37" s="82"/>
      <c r="FL37" s="82"/>
      <c r="FM37" s="82"/>
      <c r="FN37" s="82"/>
      <c r="FO37" s="82"/>
      <c r="FP37" s="80"/>
      <c r="FQ37" s="53"/>
      <c r="FR37" s="53"/>
      <c r="FS37" s="53"/>
      <c r="FT37" s="53"/>
      <c r="FU37" s="84"/>
      <c r="FV37" s="52"/>
      <c r="FW37" s="53"/>
      <c r="FX37" s="53"/>
      <c r="FY37" s="53"/>
      <c r="FZ37" s="82"/>
      <c r="GA37" s="82"/>
      <c r="GB37" s="82"/>
      <c r="GC37" s="82"/>
      <c r="GD37" s="82"/>
      <c r="GE37" s="82"/>
      <c r="GF37" s="82"/>
      <c r="GG37" s="82"/>
      <c r="GH37" s="82"/>
      <c r="GI37" s="82"/>
      <c r="GJ37" s="80"/>
      <c r="GK37" s="53"/>
      <c r="GL37" s="53"/>
      <c r="GM37" s="53"/>
      <c r="GN37" s="53"/>
      <c r="GO37" s="84"/>
      <c r="GP37" s="52"/>
      <c r="GQ37" s="53"/>
      <c r="GR37" s="53"/>
      <c r="GS37" s="53"/>
      <c r="GT37" s="82"/>
      <c r="GU37" s="82"/>
      <c r="GV37" s="82"/>
      <c r="GW37" s="82"/>
      <c r="GX37" s="82"/>
      <c r="GY37" s="82"/>
      <c r="GZ37" s="82"/>
      <c r="HA37" s="82"/>
      <c r="HB37" s="82"/>
      <c r="HC37" s="82"/>
      <c r="HD37" s="80"/>
      <c r="HE37" s="53"/>
      <c r="HF37" s="53"/>
      <c r="HG37" s="53"/>
      <c r="HH37" s="53"/>
      <c r="HI37" s="84"/>
      <c r="HJ37" s="52"/>
      <c r="HK37" s="53"/>
      <c r="HL37" s="53"/>
      <c r="HM37" s="53"/>
      <c r="HN37" s="82"/>
      <c r="HO37" s="82"/>
      <c r="HP37" s="82"/>
      <c r="HQ37" s="82"/>
      <c r="HR37" s="82"/>
      <c r="HS37" s="82"/>
      <c r="HT37" s="82"/>
      <c r="HU37" s="82"/>
      <c r="HV37" s="82"/>
      <c r="HW37" s="82"/>
      <c r="HX37" s="80"/>
      <c r="HY37" s="53"/>
      <c r="HZ37" s="53"/>
      <c r="IA37" s="53"/>
      <c r="IB37" s="53"/>
      <c r="IC37" s="84"/>
      <c r="ID37" s="52"/>
      <c r="IE37" s="53"/>
      <c r="IF37" s="53"/>
      <c r="IG37" s="53"/>
      <c r="IH37" s="82"/>
      <c r="II37" s="82"/>
      <c r="IJ37" s="82"/>
      <c r="IK37" s="82"/>
      <c r="IL37" s="82"/>
      <c r="IM37" s="82"/>
      <c r="IN37" s="82"/>
      <c r="IO37" s="82"/>
      <c r="IP37" s="82"/>
      <c r="IQ37" s="82"/>
      <c r="IR37" s="80"/>
      <c r="IS37" s="53"/>
      <c r="IT37" s="53"/>
      <c r="IU37" s="53"/>
      <c r="IV37" s="53"/>
      <c r="IW37" s="84"/>
      <c r="IX37" s="52"/>
      <c r="IY37" s="53"/>
      <c r="IZ37" s="53"/>
      <c r="JA37" s="53"/>
      <c r="JB37" s="82"/>
      <c r="JC37" s="82"/>
      <c r="JD37" s="82"/>
      <c r="JE37" s="82"/>
      <c r="JF37" s="82"/>
      <c r="JG37" s="82"/>
      <c r="JH37" s="82"/>
      <c r="JI37" s="82"/>
      <c r="JJ37" s="82"/>
      <c r="JK37" s="82"/>
      <c r="JL37" s="80"/>
      <c r="JM37" s="53"/>
      <c r="JN37" s="53"/>
      <c r="JO37" s="53"/>
      <c r="JP37" s="53"/>
      <c r="JQ37" s="84"/>
      <c r="JR37" s="52"/>
      <c r="JS37" s="53"/>
      <c r="JT37" s="53"/>
      <c r="JU37" s="53"/>
      <c r="JV37" s="82"/>
      <c r="JW37" s="82"/>
      <c r="JX37" s="82"/>
      <c r="JY37" s="82"/>
      <c r="JZ37" s="82"/>
      <c r="KA37" s="82"/>
      <c r="KB37" s="82"/>
      <c r="KC37" s="82"/>
      <c r="KD37" s="82"/>
      <c r="KE37" s="82"/>
      <c r="KF37" s="80"/>
      <c r="KG37" s="53"/>
      <c r="KH37" s="53"/>
      <c r="KI37" s="53"/>
      <c r="KJ37" s="53"/>
      <c r="KK37" s="84"/>
      <c r="KL37" s="52"/>
      <c r="KM37" s="53"/>
      <c r="KN37" s="53"/>
      <c r="KO37" s="53"/>
      <c r="KP37" s="82"/>
      <c r="KQ37" s="82"/>
      <c r="KR37" s="82"/>
      <c r="KS37" s="82"/>
      <c r="KT37" s="82"/>
      <c r="KU37" s="82"/>
      <c r="KV37" s="82"/>
      <c r="KW37" s="82"/>
      <c r="KX37" s="82"/>
      <c r="KY37" s="82"/>
      <c r="KZ37" s="80"/>
      <c r="LA37" s="53"/>
      <c r="LB37" s="53"/>
      <c r="LC37" s="53"/>
      <c r="LD37" s="53"/>
      <c r="LE37" s="84"/>
      <c r="LF37" s="52"/>
      <c r="LG37" s="53"/>
      <c r="LH37" s="53"/>
      <c r="LI37" s="53"/>
      <c r="LJ37" s="82"/>
      <c r="LK37" s="82"/>
      <c r="LL37" s="82"/>
      <c r="LM37" s="82"/>
      <c r="LN37" s="82"/>
      <c r="LO37" s="82"/>
      <c r="LP37" s="82"/>
      <c r="LQ37" s="82"/>
      <c r="LR37" s="82"/>
      <c r="LS37" s="82"/>
      <c r="LT37" s="80"/>
      <c r="LU37" s="53"/>
      <c r="LV37" s="53"/>
      <c r="LW37" s="53"/>
      <c r="LX37" s="53"/>
      <c r="LY37" s="84"/>
      <c r="LZ37" s="52"/>
      <c r="MA37" s="53"/>
      <c r="MB37" s="53"/>
      <c r="MC37" s="53"/>
      <c r="MD37" s="82"/>
      <c r="ME37" s="82"/>
      <c r="MF37" s="82"/>
      <c r="MG37" s="82"/>
      <c r="MH37" s="82"/>
      <c r="MI37" s="82"/>
      <c r="MJ37" s="82"/>
      <c r="MK37" s="82"/>
      <c r="ML37" s="82"/>
      <c r="MM37" s="82"/>
      <c r="MN37" s="80"/>
      <c r="MO37" s="53"/>
      <c r="MP37" s="53"/>
      <c r="MQ37" s="53"/>
      <c r="MR37" s="53"/>
      <c r="MS37" s="84"/>
      <c r="MT37" s="52"/>
      <c r="MU37" s="53"/>
      <c r="MV37" s="53"/>
      <c r="MW37" s="53"/>
      <c r="MX37" s="82"/>
      <c r="MY37" s="82"/>
      <c r="MZ37" s="82"/>
      <c r="NA37" s="82"/>
      <c r="NB37" s="82"/>
      <c r="NC37" s="82"/>
      <c r="ND37" s="82"/>
      <c r="NE37" s="82"/>
      <c r="NF37" s="82"/>
      <c r="NG37" s="82"/>
      <c r="NH37" s="80"/>
      <c r="NI37" s="53"/>
      <c r="NJ37" s="53"/>
      <c r="NK37" s="53"/>
      <c r="NL37" s="53"/>
      <c r="NM37" s="84"/>
      <c r="NN37" s="52"/>
      <c r="NO37" s="53"/>
      <c r="NP37" s="53"/>
      <c r="NQ37" s="53"/>
      <c r="NR37" s="82"/>
      <c r="NS37" s="82"/>
      <c r="NT37" s="82"/>
      <c r="NU37" s="82"/>
      <c r="NV37" s="82"/>
      <c r="NW37" s="82"/>
      <c r="NX37" s="82"/>
      <c r="NY37" s="82"/>
      <c r="NZ37" s="82"/>
      <c r="OA37" s="82"/>
      <c r="OB37" s="80"/>
      <c r="OC37" s="53"/>
      <c r="OD37" s="53"/>
      <c r="OE37" s="53"/>
      <c r="OF37" s="53"/>
      <c r="OG37" s="84"/>
      <c r="OH37" s="52"/>
      <c r="OI37" s="53"/>
      <c r="OJ37" s="53"/>
      <c r="OK37" s="53"/>
      <c r="OL37" s="82"/>
      <c r="OM37" s="82"/>
      <c r="ON37" s="82"/>
      <c r="OO37" s="82"/>
      <c r="OP37" s="82"/>
      <c r="OQ37" s="82"/>
      <c r="OR37" s="82"/>
      <c r="OS37" s="82"/>
      <c r="OT37" s="82"/>
      <c r="OU37" s="82"/>
      <c r="OV37" s="80"/>
      <c r="OW37" s="53"/>
      <c r="OX37" s="53"/>
      <c r="OY37" s="53"/>
      <c r="OZ37" s="53"/>
      <c r="PA37" s="84"/>
      <c r="PB37" s="52"/>
      <c r="PC37" s="53"/>
      <c r="PD37" s="53"/>
      <c r="PE37" s="53"/>
      <c r="PF37" s="82"/>
      <c r="PG37" s="82"/>
      <c r="PH37" s="82"/>
      <c r="PI37" s="82"/>
      <c r="PJ37" s="82"/>
      <c r="PK37" s="82"/>
      <c r="PL37" s="82"/>
      <c r="PM37" s="82"/>
      <c r="PN37" s="82"/>
      <c r="PO37" s="82"/>
      <c r="PP37" s="80"/>
      <c r="PQ37" s="53"/>
      <c r="PR37" s="53"/>
      <c r="PS37" s="53"/>
      <c r="PT37" s="53"/>
      <c r="PU37" s="84"/>
      <c r="PV37" s="52"/>
      <c r="PW37" s="53"/>
      <c r="PX37" s="53"/>
      <c r="PY37" s="53"/>
      <c r="PZ37" s="82"/>
      <c r="QA37" s="82"/>
      <c r="QB37" s="82"/>
      <c r="QC37" s="82"/>
      <c r="QD37" s="82"/>
      <c r="QE37" s="82"/>
      <c r="QF37" s="82"/>
      <c r="QG37" s="82"/>
      <c r="QH37" s="82"/>
      <c r="QI37" s="82"/>
      <c r="QJ37" s="80"/>
      <c r="QK37" s="53"/>
      <c r="QL37" s="53"/>
      <c r="QM37" s="53"/>
      <c r="QN37" s="53"/>
      <c r="QO37" s="84"/>
      <c r="QP37" s="52"/>
      <c r="QQ37" s="53"/>
      <c r="QR37" s="53"/>
      <c r="QS37" s="53"/>
      <c r="QT37" s="82"/>
      <c r="QU37" s="82"/>
      <c r="QV37" s="82"/>
      <c r="QW37" s="82"/>
      <c r="QX37" s="82"/>
      <c r="QY37" s="82"/>
      <c r="QZ37" s="82"/>
      <c r="RA37" s="82"/>
      <c r="RB37" s="82"/>
      <c r="RC37" s="82"/>
      <c r="RD37" s="80"/>
      <c r="RE37" s="53"/>
      <c r="RF37" s="53"/>
      <c r="RG37" s="53"/>
      <c r="RH37" s="53"/>
      <c r="RI37" s="84"/>
      <c r="RJ37" s="52"/>
      <c r="RK37" s="53"/>
      <c r="RL37" s="53"/>
      <c r="RM37" s="53"/>
      <c r="RN37" s="82"/>
      <c r="RO37" s="82"/>
      <c r="RP37" s="82"/>
      <c r="RQ37" s="82"/>
      <c r="RR37" s="82"/>
      <c r="RS37" s="82"/>
      <c r="RT37" s="82"/>
      <c r="RU37" s="82"/>
      <c r="RV37" s="82"/>
      <c r="RW37" s="82"/>
      <c r="RX37" s="80"/>
      <c r="RY37" s="53"/>
      <c r="RZ37" s="53"/>
      <c r="SA37" s="53"/>
      <c r="SB37" s="53"/>
      <c r="SC37" s="84"/>
      <c r="SD37" s="52"/>
      <c r="SE37" s="53"/>
      <c r="SF37" s="53"/>
      <c r="SG37" s="53"/>
    </row>
    <row r="38" spans="1:501" s="44" customFormat="1" ht="20.399999999999999" customHeight="1" x14ac:dyDescent="0.3">
      <c r="A38" s="125" t="s">
        <v>221</v>
      </c>
      <c r="B38" s="125"/>
      <c r="C38" s="125"/>
      <c r="D38" s="12"/>
      <c r="E38" s="12"/>
      <c r="F38" s="12"/>
      <c r="G38" s="72"/>
      <c r="H38" s="72"/>
      <c r="I38" s="204"/>
      <c r="J38" s="72"/>
      <c r="K38" s="72"/>
      <c r="L38" s="12"/>
      <c r="M38" s="125"/>
      <c r="N38" s="12"/>
      <c r="O38" s="83"/>
      <c r="P38" s="83"/>
      <c r="Q38" s="110"/>
      <c r="R38" s="83"/>
      <c r="S38" s="83"/>
      <c r="T38" s="72"/>
      <c r="U38" s="78"/>
      <c r="V38" s="12"/>
      <c r="W38" s="125"/>
      <c r="X38" s="12"/>
      <c r="Y38" s="83"/>
      <c r="Z38" s="83"/>
      <c r="AA38" s="110"/>
      <c r="AB38" s="83"/>
      <c r="AC38" s="83"/>
      <c r="AD38" s="83"/>
      <c r="AE38" s="83"/>
      <c r="AF38" s="12"/>
      <c r="AG38" s="125"/>
      <c r="AH38" s="12"/>
      <c r="AI38" s="83"/>
      <c r="AJ38" s="83"/>
      <c r="AK38" s="110"/>
      <c r="AL38" s="83"/>
      <c r="AM38" s="83"/>
      <c r="AN38" s="46"/>
      <c r="AO38" s="46"/>
      <c r="AP38" s="12"/>
      <c r="AQ38" s="125"/>
      <c r="AR38" s="12"/>
      <c r="AS38" s="83"/>
      <c r="AT38" s="83"/>
      <c r="AU38" s="110"/>
      <c r="AV38" s="83"/>
      <c r="AW38" s="83"/>
      <c r="AX38" s="83"/>
      <c r="AY38" s="83"/>
      <c r="AZ38" s="83"/>
      <c r="BA38" s="83"/>
      <c r="BB38" s="83"/>
      <c r="BC38" s="46"/>
      <c r="BD38" s="46"/>
      <c r="BE38" s="194"/>
      <c r="BF38" s="41"/>
      <c r="BG38" s="46"/>
      <c r="BH38" s="46"/>
      <c r="BI38" s="46"/>
      <c r="BJ38" s="125"/>
      <c r="BK38" s="125"/>
      <c r="BL38" s="12"/>
      <c r="BM38" s="12"/>
      <c r="BN38" s="12"/>
      <c r="BO38" s="72"/>
      <c r="BP38" s="72"/>
      <c r="BQ38" s="72"/>
      <c r="BR38" s="83"/>
      <c r="BS38" s="83"/>
      <c r="BT38" s="125"/>
      <c r="BU38" s="125"/>
      <c r="BV38" s="12"/>
      <c r="BW38" s="12"/>
      <c r="BX38" s="12"/>
      <c r="BY38" s="72"/>
      <c r="BZ38" s="72"/>
      <c r="CA38" s="72"/>
      <c r="CB38" s="46"/>
      <c r="CC38" s="46"/>
      <c r="CD38" s="125"/>
      <c r="CE38" s="125"/>
      <c r="CF38" s="12"/>
      <c r="CG38" s="12"/>
      <c r="CH38" s="12"/>
      <c r="CI38" s="72"/>
      <c r="CJ38" s="72"/>
      <c r="CK38" s="72"/>
      <c r="CL38" s="83"/>
      <c r="CM38" s="83"/>
      <c r="CN38" s="81"/>
      <c r="CO38" s="46"/>
      <c r="CP38" s="46"/>
      <c r="CQ38" s="46"/>
      <c r="CR38" s="46"/>
      <c r="CS38" s="85"/>
      <c r="CT38" s="41"/>
      <c r="CU38" s="46"/>
      <c r="CV38" s="46"/>
      <c r="CW38" s="46"/>
      <c r="CX38" s="83"/>
      <c r="CY38" s="83"/>
      <c r="CZ38" s="83"/>
      <c r="DA38" s="83"/>
      <c r="DB38" s="83"/>
      <c r="DC38" s="83"/>
      <c r="DD38" s="83"/>
      <c r="DE38" s="83"/>
      <c r="DF38" s="83"/>
      <c r="DG38" s="83"/>
      <c r="DH38" s="81"/>
      <c r="DI38" s="46"/>
      <c r="DJ38" s="46"/>
      <c r="DK38" s="46"/>
      <c r="DL38" s="46"/>
      <c r="DM38" s="85"/>
      <c r="DN38" s="41"/>
      <c r="DO38" s="46"/>
      <c r="DP38" s="46"/>
      <c r="DQ38" s="46"/>
      <c r="DR38" s="83"/>
      <c r="DS38" s="83"/>
      <c r="DT38" s="83"/>
      <c r="DU38" s="83"/>
      <c r="DV38" s="83"/>
      <c r="DW38" s="83"/>
      <c r="DX38" s="83"/>
      <c r="DY38" s="83"/>
      <c r="DZ38" s="83"/>
      <c r="EA38" s="83"/>
      <c r="EB38" s="81"/>
      <c r="EC38" s="46"/>
      <c r="ED38" s="46"/>
      <c r="EE38" s="46"/>
      <c r="EF38" s="46"/>
      <c r="EG38" s="85"/>
      <c r="EH38" s="41"/>
      <c r="EI38" s="46"/>
      <c r="EJ38" s="46"/>
      <c r="EK38" s="46"/>
      <c r="EL38" s="83"/>
      <c r="EM38" s="83"/>
      <c r="EN38" s="83"/>
      <c r="EO38" s="83"/>
      <c r="EP38" s="83"/>
      <c r="EQ38" s="83"/>
      <c r="ER38" s="83"/>
      <c r="ES38" s="83"/>
      <c r="ET38" s="83"/>
      <c r="EU38" s="83"/>
      <c r="EV38" s="81"/>
      <c r="EW38" s="46"/>
      <c r="EX38" s="46"/>
      <c r="EY38" s="46"/>
      <c r="EZ38" s="46"/>
      <c r="FA38" s="85"/>
      <c r="FB38" s="41"/>
      <c r="FC38" s="46"/>
      <c r="FD38" s="46"/>
      <c r="FE38" s="46"/>
      <c r="FF38" s="83"/>
      <c r="FG38" s="83"/>
      <c r="FH38" s="83"/>
      <c r="FI38" s="83"/>
      <c r="FJ38" s="83"/>
      <c r="FK38" s="83"/>
      <c r="FL38" s="83"/>
      <c r="FM38" s="83"/>
      <c r="FN38" s="83"/>
      <c r="FO38" s="83"/>
      <c r="FP38" s="81"/>
      <c r="FQ38" s="46"/>
      <c r="FR38" s="46"/>
      <c r="FS38" s="46"/>
      <c r="FT38" s="46"/>
      <c r="FU38" s="85"/>
      <c r="FV38" s="41"/>
      <c r="FW38" s="46"/>
      <c r="FX38" s="46"/>
      <c r="FY38" s="46"/>
      <c r="FZ38" s="83"/>
      <c r="GA38" s="83"/>
      <c r="GB38" s="83"/>
      <c r="GC38" s="83"/>
      <c r="GD38" s="83"/>
      <c r="GE38" s="83"/>
      <c r="GF38" s="83"/>
      <c r="GG38" s="83"/>
      <c r="GH38" s="83"/>
      <c r="GI38" s="83"/>
      <c r="GJ38" s="81"/>
      <c r="GK38" s="46"/>
      <c r="GL38" s="46"/>
      <c r="GM38" s="46"/>
      <c r="GN38" s="46"/>
      <c r="GO38" s="85"/>
      <c r="GP38" s="41"/>
      <c r="GQ38" s="46"/>
      <c r="GR38" s="46"/>
      <c r="GS38" s="46"/>
      <c r="GT38" s="83"/>
      <c r="GU38" s="83"/>
      <c r="GV38" s="83"/>
      <c r="GW38" s="83"/>
      <c r="GX38" s="83"/>
      <c r="GY38" s="83"/>
      <c r="GZ38" s="83"/>
      <c r="HA38" s="83"/>
      <c r="HB38" s="83"/>
      <c r="HC38" s="83"/>
      <c r="HD38" s="81"/>
      <c r="HE38" s="46"/>
      <c r="HF38" s="46"/>
      <c r="HG38" s="46"/>
      <c r="HH38" s="46"/>
      <c r="HI38" s="85"/>
      <c r="HJ38" s="41"/>
      <c r="HK38" s="46"/>
      <c r="HL38" s="46"/>
      <c r="HM38" s="46"/>
      <c r="HN38" s="83"/>
      <c r="HO38" s="83"/>
      <c r="HP38" s="83"/>
      <c r="HQ38" s="83"/>
      <c r="HR38" s="83"/>
      <c r="HS38" s="83"/>
      <c r="HT38" s="83"/>
      <c r="HU38" s="83"/>
      <c r="HV38" s="83"/>
      <c r="HW38" s="83"/>
      <c r="HX38" s="81"/>
      <c r="HY38" s="46"/>
      <c r="HZ38" s="46"/>
      <c r="IA38" s="46"/>
      <c r="IB38" s="46"/>
      <c r="IC38" s="85"/>
      <c r="ID38" s="41"/>
      <c r="IE38" s="46"/>
      <c r="IF38" s="46"/>
      <c r="IG38" s="46"/>
      <c r="IH38" s="83"/>
      <c r="II38" s="83"/>
      <c r="IJ38" s="83"/>
      <c r="IK38" s="83"/>
      <c r="IL38" s="83"/>
      <c r="IM38" s="83"/>
      <c r="IN38" s="83"/>
      <c r="IO38" s="83"/>
      <c r="IP38" s="83"/>
      <c r="IQ38" s="83"/>
      <c r="IR38" s="81"/>
      <c r="IS38" s="46"/>
      <c r="IT38" s="46"/>
      <c r="IU38" s="46"/>
      <c r="IV38" s="46"/>
      <c r="IW38" s="85"/>
      <c r="IX38" s="41"/>
      <c r="IY38" s="46"/>
      <c r="IZ38" s="46"/>
      <c r="JA38" s="46"/>
      <c r="JB38" s="83"/>
      <c r="JC38" s="83"/>
      <c r="JD38" s="83"/>
      <c r="JE38" s="83"/>
      <c r="JF38" s="83"/>
      <c r="JG38" s="83"/>
      <c r="JH38" s="83"/>
      <c r="JI38" s="83"/>
      <c r="JJ38" s="83"/>
      <c r="JK38" s="83"/>
      <c r="JL38" s="81"/>
      <c r="JM38" s="46"/>
      <c r="JN38" s="46"/>
      <c r="JO38" s="46"/>
      <c r="JP38" s="46"/>
      <c r="JQ38" s="85"/>
      <c r="JR38" s="41"/>
      <c r="JS38" s="46"/>
      <c r="JT38" s="46"/>
      <c r="JU38" s="46"/>
      <c r="JV38" s="83"/>
      <c r="JW38" s="83"/>
      <c r="JX38" s="83"/>
      <c r="JY38" s="83"/>
      <c r="JZ38" s="83"/>
      <c r="KA38" s="83"/>
      <c r="KB38" s="83"/>
      <c r="KC38" s="83"/>
      <c r="KD38" s="83"/>
      <c r="KE38" s="83"/>
      <c r="KF38" s="81"/>
      <c r="KG38" s="46"/>
      <c r="KH38" s="46"/>
      <c r="KI38" s="46"/>
      <c r="KJ38" s="46"/>
      <c r="KK38" s="85"/>
      <c r="KL38" s="41"/>
      <c r="KM38" s="46"/>
      <c r="KN38" s="46"/>
      <c r="KO38" s="46"/>
      <c r="KP38" s="83"/>
      <c r="KQ38" s="83"/>
      <c r="KR38" s="83"/>
      <c r="KS38" s="83"/>
      <c r="KT38" s="83"/>
      <c r="KU38" s="83"/>
      <c r="KV38" s="83"/>
      <c r="KW38" s="83"/>
      <c r="KX38" s="83"/>
      <c r="KY38" s="83"/>
      <c r="KZ38" s="81"/>
      <c r="LA38" s="46"/>
      <c r="LB38" s="46"/>
      <c r="LC38" s="46"/>
      <c r="LD38" s="46"/>
      <c r="LE38" s="85"/>
      <c r="LF38" s="41"/>
      <c r="LG38" s="46"/>
      <c r="LH38" s="46"/>
      <c r="LI38" s="46"/>
      <c r="LJ38" s="83"/>
      <c r="LK38" s="83"/>
      <c r="LL38" s="83"/>
      <c r="LM38" s="83"/>
      <c r="LN38" s="83"/>
      <c r="LO38" s="83"/>
      <c r="LP38" s="83"/>
      <c r="LQ38" s="83"/>
      <c r="LR38" s="83"/>
      <c r="LS38" s="83"/>
      <c r="LT38" s="81"/>
      <c r="LU38" s="46"/>
      <c r="LV38" s="46"/>
      <c r="LW38" s="46"/>
      <c r="LX38" s="46"/>
      <c r="LY38" s="85"/>
      <c r="LZ38" s="41"/>
      <c r="MA38" s="46"/>
      <c r="MB38" s="46"/>
      <c r="MC38" s="46"/>
      <c r="MD38" s="83"/>
      <c r="ME38" s="83"/>
      <c r="MF38" s="83"/>
      <c r="MG38" s="83"/>
      <c r="MH38" s="83"/>
      <c r="MI38" s="83"/>
      <c r="MJ38" s="83"/>
      <c r="MK38" s="83"/>
      <c r="ML38" s="83"/>
      <c r="MM38" s="83"/>
      <c r="MN38" s="81"/>
      <c r="MO38" s="46"/>
      <c r="MP38" s="46"/>
      <c r="MQ38" s="46"/>
      <c r="MR38" s="46"/>
      <c r="MS38" s="85"/>
      <c r="MT38" s="41"/>
      <c r="MU38" s="46"/>
      <c r="MV38" s="46"/>
      <c r="MW38" s="46"/>
      <c r="MX38" s="83"/>
      <c r="MY38" s="83"/>
      <c r="MZ38" s="83"/>
      <c r="NA38" s="83"/>
      <c r="NB38" s="83"/>
      <c r="NC38" s="83"/>
      <c r="ND38" s="83"/>
      <c r="NE38" s="83"/>
      <c r="NF38" s="83"/>
      <c r="NG38" s="83"/>
      <c r="NH38" s="81"/>
      <c r="NI38" s="46"/>
      <c r="NJ38" s="46"/>
      <c r="NK38" s="46"/>
      <c r="NL38" s="46"/>
      <c r="NM38" s="85"/>
      <c r="NN38" s="41"/>
      <c r="NO38" s="46"/>
      <c r="NP38" s="46"/>
      <c r="NQ38" s="46"/>
      <c r="NR38" s="83"/>
      <c r="NS38" s="83"/>
      <c r="NT38" s="83"/>
      <c r="NU38" s="83"/>
      <c r="NV38" s="83"/>
      <c r="NW38" s="83"/>
      <c r="NX38" s="83"/>
      <c r="NY38" s="83"/>
      <c r="NZ38" s="83"/>
      <c r="OA38" s="83"/>
      <c r="OB38" s="81"/>
      <c r="OC38" s="46"/>
      <c r="OD38" s="46"/>
      <c r="OE38" s="46"/>
      <c r="OF38" s="46"/>
      <c r="OG38" s="85"/>
      <c r="OH38" s="41"/>
      <c r="OI38" s="46"/>
      <c r="OJ38" s="46"/>
      <c r="OK38" s="46"/>
      <c r="OL38" s="83"/>
      <c r="OM38" s="83"/>
      <c r="ON38" s="83"/>
      <c r="OO38" s="83"/>
      <c r="OP38" s="83"/>
      <c r="OQ38" s="83"/>
      <c r="OR38" s="83"/>
      <c r="OS38" s="83"/>
      <c r="OT38" s="83"/>
      <c r="OU38" s="83"/>
      <c r="OV38" s="81"/>
      <c r="OW38" s="46"/>
      <c r="OX38" s="46"/>
      <c r="OY38" s="46"/>
      <c r="OZ38" s="46"/>
      <c r="PA38" s="85"/>
      <c r="PB38" s="41"/>
      <c r="PC38" s="46"/>
      <c r="PD38" s="46"/>
      <c r="PE38" s="46"/>
      <c r="PF38" s="83"/>
      <c r="PG38" s="83"/>
      <c r="PH38" s="83"/>
      <c r="PI38" s="83"/>
      <c r="PJ38" s="83"/>
      <c r="PK38" s="83"/>
      <c r="PL38" s="83"/>
      <c r="PM38" s="83"/>
      <c r="PN38" s="83"/>
      <c r="PO38" s="83"/>
      <c r="PP38" s="81"/>
      <c r="PQ38" s="46"/>
      <c r="PR38" s="46"/>
      <c r="PS38" s="46"/>
      <c r="PT38" s="46"/>
      <c r="PU38" s="85"/>
      <c r="PV38" s="41"/>
      <c r="PW38" s="46"/>
      <c r="PX38" s="46"/>
      <c r="PY38" s="46"/>
      <c r="PZ38" s="83"/>
      <c r="QA38" s="83"/>
      <c r="QB38" s="83"/>
      <c r="QC38" s="83"/>
      <c r="QD38" s="83"/>
      <c r="QE38" s="83"/>
      <c r="QF38" s="83"/>
      <c r="QG38" s="83"/>
      <c r="QH38" s="83"/>
      <c r="QI38" s="83"/>
      <c r="QJ38" s="81"/>
      <c r="QK38" s="46"/>
      <c r="QL38" s="46"/>
      <c r="QM38" s="46"/>
      <c r="QN38" s="46"/>
      <c r="QO38" s="85"/>
      <c r="QP38" s="41"/>
      <c r="QQ38" s="46"/>
      <c r="QR38" s="46"/>
      <c r="QS38" s="46"/>
      <c r="QT38" s="83"/>
      <c r="QU38" s="83"/>
      <c r="QV38" s="83"/>
      <c r="QW38" s="83"/>
      <c r="QX38" s="83"/>
      <c r="QY38" s="83"/>
      <c r="QZ38" s="83"/>
      <c r="RA38" s="83"/>
      <c r="RB38" s="83"/>
      <c r="RC38" s="83"/>
      <c r="RD38" s="81"/>
      <c r="RE38" s="46"/>
      <c r="RF38" s="46"/>
      <c r="RG38" s="46"/>
      <c r="RH38" s="46"/>
      <c r="RI38" s="85"/>
      <c r="RJ38" s="41"/>
      <c r="RK38" s="46"/>
      <c r="RL38" s="46"/>
      <c r="RM38" s="46"/>
      <c r="RN38" s="83"/>
      <c r="RO38" s="83"/>
      <c r="RP38" s="83"/>
      <c r="RQ38" s="83"/>
      <c r="RR38" s="83"/>
      <c r="RS38" s="83"/>
      <c r="RT38" s="83"/>
      <c r="RU38" s="83"/>
      <c r="RV38" s="83"/>
      <c r="RW38" s="83"/>
      <c r="RX38" s="81"/>
      <c r="RY38" s="46"/>
      <c r="RZ38" s="46"/>
      <c r="SA38" s="46"/>
      <c r="SB38" s="46"/>
      <c r="SC38" s="85"/>
      <c r="SD38" s="41"/>
      <c r="SE38" s="46"/>
      <c r="SF38" s="46"/>
      <c r="SG38" s="46"/>
    </row>
    <row r="39" spans="1:501" s="44" customFormat="1" ht="20.399999999999999" customHeight="1" x14ac:dyDescent="0.3">
      <c r="A39" s="66" t="s">
        <v>225</v>
      </c>
      <c r="B39" s="66"/>
      <c r="C39" s="66"/>
      <c r="D39" s="49"/>
      <c r="E39" s="49"/>
      <c r="F39" s="49"/>
      <c r="G39" s="70"/>
      <c r="H39" s="70"/>
      <c r="I39" s="206"/>
      <c r="J39" s="70"/>
      <c r="K39" s="70"/>
      <c r="L39" s="70"/>
      <c r="M39" s="70"/>
      <c r="N39" s="70"/>
      <c r="O39" s="70"/>
      <c r="P39" s="70"/>
      <c r="Q39" s="70"/>
      <c r="R39" s="70"/>
      <c r="S39" s="70"/>
      <c r="T39" s="70"/>
      <c r="U39" s="77"/>
      <c r="V39" s="82"/>
      <c r="W39" s="82"/>
      <c r="X39" s="82"/>
      <c r="Y39" s="82"/>
      <c r="Z39" s="82"/>
      <c r="AA39" s="82"/>
      <c r="AB39" s="82"/>
      <c r="AC39" s="82"/>
      <c r="AD39" s="82"/>
      <c r="AE39" s="82"/>
      <c r="AF39" s="80"/>
      <c r="AG39" s="53"/>
      <c r="AH39" s="53"/>
      <c r="AI39" s="53"/>
      <c r="AJ39" s="53"/>
      <c r="AK39" s="84"/>
      <c r="AL39" s="52"/>
      <c r="AM39" s="53"/>
      <c r="AN39" s="53"/>
      <c r="AO39" s="53"/>
      <c r="AP39" s="82"/>
      <c r="AQ39" s="82"/>
      <c r="AR39" s="82"/>
      <c r="AS39" s="82"/>
      <c r="AT39" s="82"/>
      <c r="AU39" s="82"/>
      <c r="AV39" s="82"/>
      <c r="AW39" s="82"/>
      <c r="AX39" s="82"/>
      <c r="AY39" s="82"/>
      <c r="AZ39" s="80"/>
      <c r="BA39" s="53"/>
      <c r="BB39" s="53"/>
      <c r="BC39" s="53"/>
      <c r="BD39" s="53"/>
      <c r="BE39" s="84"/>
      <c r="BF39" s="52"/>
      <c r="BG39" s="53"/>
      <c r="BH39" s="53"/>
      <c r="BI39" s="53"/>
      <c r="BJ39" s="82"/>
      <c r="BK39" s="82"/>
      <c r="BL39" s="82"/>
      <c r="BM39" s="82"/>
      <c r="BN39" s="82"/>
      <c r="BO39" s="82"/>
      <c r="BP39" s="82"/>
      <c r="BQ39" s="82"/>
      <c r="BR39" s="82"/>
      <c r="BS39" s="82"/>
      <c r="BT39" s="80"/>
      <c r="BU39" s="53"/>
      <c r="BV39" s="53"/>
      <c r="BW39" s="53"/>
      <c r="BX39" s="53"/>
      <c r="BY39" s="84"/>
      <c r="BZ39" s="52"/>
      <c r="CA39" s="53"/>
      <c r="CB39" s="53"/>
      <c r="CC39" s="53"/>
      <c r="CD39" s="82"/>
      <c r="CE39" s="82"/>
      <c r="CF39" s="82"/>
      <c r="CG39" s="82"/>
      <c r="CH39" s="82"/>
      <c r="CI39" s="82"/>
      <c r="CJ39" s="82"/>
      <c r="CK39" s="82"/>
      <c r="CL39" s="82"/>
      <c r="CM39" s="82"/>
      <c r="CN39" s="80"/>
      <c r="CO39" s="53"/>
      <c r="CP39" s="53"/>
      <c r="CQ39" s="53"/>
      <c r="CR39" s="53"/>
      <c r="CS39" s="84"/>
      <c r="CT39" s="52"/>
      <c r="CU39" s="53"/>
      <c r="CV39" s="53"/>
      <c r="CW39" s="53"/>
      <c r="CX39" s="82"/>
      <c r="CY39" s="82"/>
      <c r="CZ39" s="82"/>
      <c r="DA39" s="82"/>
      <c r="DB39" s="82"/>
      <c r="DC39" s="82"/>
      <c r="DD39" s="82"/>
      <c r="DE39" s="82"/>
      <c r="DF39" s="82"/>
      <c r="DG39" s="82"/>
      <c r="DH39" s="80"/>
      <c r="DI39" s="53"/>
      <c r="DJ39" s="53"/>
      <c r="DK39" s="53"/>
      <c r="DL39" s="53"/>
      <c r="DM39" s="84"/>
      <c r="DN39" s="52"/>
      <c r="DO39" s="53"/>
      <c r="DP39" s="53"/>
      <c r="DQ39" s="53"/>
      <c r="DR39" s="82"/>
      <c r="DS39" s="82"/>
      <c r="DT39" s="82"/>
      <c r="DU39" s="82"/>
      <c r="DV39" s="82"/>
      <c r="DW39" s="82"/>
      <c r="DX39" s="82"/>
      <c r="DY39" s="82"/>
      <c r="DZ39" s="82"/>
      <c r="EA39" s="82"/>
      <c r="EB39" s="80"/>
      <c r="EC39" s="53"/>
      <c r="ED39" s="53"/>
      <c r="EE39" s="53"/>
      <c r="EF39" s="53"/>
      <c r="EG39" s="84"/>
      <c r="EH39" s="52"/>
      <c r="EI39" s="53"/>
      <c r="EJ39" s="53"/>
      <c r="EK39" s="53"/>
      <c r="EL39" s="82"/>
      <c r="EM39" s="82"/>
      <c r="EN39" s="82"/>
      <c r="EO39" s="82"/>
      <c r="EP39" s="82"/>
      <c r="EQ39" s="82"/>
      <c r="ER39" s="82"/>
      <c r="ES39" s="82"/>
      <c r="ET39" s="82"/>
      <c r="EU39" s="82"/>
      <c r="EV39" s="80"/>
      <c r="EW39" s="53"/>
      <c r="EX39" s="53"/>
      <c r="EY39" s="53"/>
      <c r="EZ39" s="53"/>
      <c r="FA39" s="84"/>
      <c r="FB39" s="52"/>
      <c r="FC39" s="53"/>
      <c r="FD39" s="53"/>
      <c r="FE39" s="53"/>
      <c r="FF39" s="82"/>
      <c r="FG39" s="82"/>
      <c r="FH39" s="82"/>
      <c r="FI39" s="82"/>
      <c r="FJ39" s="82"/>
      <c r="FK39" s="82"/>
      <c r="FL39" s="82"/>
      <c r="FM39" s="82"/>
      <c r="FN39" s="82"/>
      <c r="FO39" s="82"/>
      <c r="FP39" s="80"/>
      <c r="FQ39" s="53"/>
      <c r="FR39" s="53"/>
      <c r="FS39" s="53"/>
      <c r="FT39" s="53"/>
      <c r="FU39" s="84"/>
      <c r="FV39" s="52"/>
      <c r="FW39" s="53"/>
      <c r="FX39" s="53"/>
      <c r="FY39" s="53"/>
      <c r="FZ39" s="82"/>
      <c r="GA39" s="82"/>
      <c r="GB39" s="82"/>
      <c r="GC39" s="82"/>
      <c r="GD39" s="82"/>
      <c r="GE39" s="82"/>
      <c r="GF39" s="82"/>
      <c r="GG39" s="82"/>
      <c r="GH39" s="82"/>
      <c r="GI39" s="82"/>
      <c r="GJ39" s="80"/>
      <c r="GK39" s="53"/>
      <c r="GL39" s="53"/>
      <c r="GM39" s="53"/>
      <c r="GN39" s="53"/>
      <c r="GO39" s="84"/>
      <c r="GP39" s="52"/>
      <c r="GQ39" s="53"/>
      <c r="GR39" s="53"/>
      <c r="GS39" s="53"/>
      <c r="GT39" s="82"/>
      <c r="GU39" s="82"/>
      <c r="GV39" s="82"/>
      <c r="GW39" s="82"/>
      <c r="GX39" s="82"/>
      <c r="GY39" s="82"/>
      <c r="GZ39" s="82"/>
      <c r="HA39" s="82"/>
      <c r="HB39" s="82"/>
      <c r="HC39" s="82"/>
      <c r="HD39" s="80"/>
      <c r="HE39" s="53"/>
      <c r="HF39" s="53"/>
      <c r="HG39" s="53"/>
      <c r="HH39" s="53"/>
      <c r="HI39" s="84"/>
      <c r="HJ39" s="52"/>
      <c r="HK39" s="53"/>
      <c r="HL39" s="53"/>
      <c r="HM39" s="53"/>
      <c r="HN39" s="82"/>
      <c r="HO39" s="82"/>
      <c r="HP39" s="82"/>
      <c r="HQ39" s="82"/>
      <c r="HR39" s="82"/>
      <c r="HS39" s="82"/>
      <c r="HT39" s="82"/>
      <c r="HU39" s="82"/>
      <c r="HV39" s="82"/>
      <c r="HW39" s="82"/>
      <c r="HX39" s="80"/>
      <c r="HY39" s="53"/>
      <c r="HZ39" s="53"/>
      <c r="IA39" s="53"/>
      <c r="IB39" s="53"/>
      <c r="IC39" s="84"/>
      <c r="ID39" s="52"/>
      <c r="IE39" s="53"/>
      <c r="IF39" s="53"/>
      <c r="IG39" s="53"/>
      <c r="IH39" s="82"/>
      <c r="II39" s="82"/>
      <c r="IJ39" s="82"/>
      <c r="IK39" s="82"/>
      <c r="IL39" s="82"/>
      <c r="IM39" s="82"/>
      <c r="IN39" s="82"/>
      <c r="IO39" s="82"/>
      <c r="IP39" s="82"/>
      <c r="IQ39" s="82"/>
      <c r="IR39" s="80"/>
      <c r="IS39" s="53"/>
      <c r="IT39" s="53"/>
      <c r="IU39" s="53"/>
      <c r="IV39" s="53"/>
      <c r="IW39" s="84"/>
      <c r="IX39" s="52"/>
      <c r="IY39" s="53"/>
      <c r="IZ39" s="53"/>
      <c r="JA39" s="53"/>
      <c r="JB39" s="82"/>
      <c r="JC39" s="82"/>
      <c r="JD39" s="82"/>
      <c r="JE39" s="82"/>
      <c r="JF39" s="82"/>
      <c r="JG39" s="82"/>
      <c r="JH39" s="82"/>
      <c r="JI39" s="82"/>
      <c r="JJ39" s="82"/>
      <c r="JK39" s="82"/>
      <c r="JL39" s="80"/>
      <c r="JM39" s="53"/>
      <c r="JN39" s="53"/>
      <c r="JO39" s="53"/>
      <c r="JP39" s="53"/>
      <c r="JQ39" s="84"/>
      <c r="JR39" s="52"/>
      <c r="JS39" s="53"/>
      <c r="JT39" s="53"/>
      <c r="JU39" s="53"/>
      <c r="JV39" s="82"/>
      <c r="JW39" s="82"/>
      <c r="JX39" s="82"/>
      <c r="JY39" s="82"/>
      <c r="JZ39" s="82"/>
      <c r="KA39" s="82"/>
      <c r="KB39" s="82"/>
      <c r="KC39" s="82"/>
      <c r="KD39" s="82"/>
      <c r="KE39" s="82"/>
      <c r="KF39" s="80"/>
      <c r="KG39" s="53"/>
      <c r="KH39" s="53"/>
      <c r="KI39" s="53"/>
      <c r="KJ39" s="53"/>
      <c r="KK39" s="84"/>
      <c r="KL39" s="52"/>
      <c r="KM39" s="53"/>
      <c r="KN39" s="53"/>
      <c r="KO39" s="53"/>
      <c r="KP39" s="82"/>
      <c r="KQ39" s="82"/>
      <c r="KR39" s="82"/>
      <c r="KS39" s="82"/>
      <c r="KT39" s="82"/>
      <c r="KU39" s="82"/>
      <c r="KV39" s="82"/>
      <c r="KW39" s="82"/>
      <c r="KX39" s="82"/>
      <c r="KY39" s="82"/>
      <c r="KZ39" s="80"/>
      <c r="LA39" s="53"/>
      <c r="LB39" s="53"/>
      <c r="LC39" s="53"/>
      <c r="LD39" s="53"/>
      <c r="LE39" s="84"/>
      <c r="LF39" s="52"/>
      <c r="LG39" s="53"/>
      <c r="LH39" s="53"/>
      <c r="LI39" s="53"/>
      <c r="LJ39" s="82"/>
      <c r="LK39" s="82"/>
      <c r="LL39" s="82"/>
      <c r="LM39" s="82"/>
      <c r="LN39" s="82"/>
      <c r="LO39" s="82"/>
      <c r="LP39" s="82"/>
      <c r="LQ39" s="82"/>
      <c r="LR39" s="82"/>
      <c r="LS39" s="82"/>
      <c r="LT39" s="80"/>
      <c r="LU39" s="53"/>
      <c r="LV39" s="53"/>
      <c r="LW39" s="53"/>
      <c r="LX39" s="53"/>
      <c r="LY39" s="84"/>
      <c r="LZ39" s="52"/>
      <c r="MA39" s="53"/>
      <c r="MB39" s="53"/>
      <c r="MC39" s="53"/>
      <c r="MD39" s="82"/>
      <c r="ME39" s="82"/>
      <c r="MF39" s="82"/>
      <c r="MG39" s="82"/>
      <c r="MH39" s="82"/>
      <c r="MI39" s="82"/>
      <c r="MJ39" s="82"/>
      <c r="MK39" s="82"/>
      <c r="ML39" s="82"/>
      <c r="MM39" s="82"/>
      <c r="MN39" s="80"/>
      <c r="MO39" s="53"/>
      <c r="MP39" s="53"/>
      <c r="MQ39" s="53"/>
      <c r="MR39" s="53"/>
      <c r="MS39" s="84"/>
      <c r="MT39" s="52"/>
      <c r="MU39" s="53"/>
      <c r="MV39" s="53"/>
      <c r="MW39" s="53"/>
      <c r="MX39" s="82"/>
      <c r="MY39" s="82"/>
      <c r="MZ39" s="82"/>
      <c r="NA39" s="82"/>
      <c r="NB39" s="82"/>
      <c r="NC39" s="82"/>
      <c r="ND39" s="82"/>
      <c r="NE39" s="82"/>
      <c r="NF39" s="82"/>
      <c r="NG39" s="82"/>
      <c r="NH39" s="80"/>
      <c r="NI39" s="53"/>
      <c r="NJ39" s="53"/>
      <c r="NK39" s="53"/>
      <c r="NL39" s="53"/>
      <c r="NM39" s="84"/>
      <c r="NN39" s="52"/>
      <c r="NO39" s="53"/>
      <c r="NP39" s="53"/>
      <c r="NQ39" s="53"/>
      <c r="NR39" s="82"/>
      <c r="NS39" s="82"/>
      <c r="NT39" s="82"/>
      <c r="NU39" s="82"/>
      <c r="NV39" s="82"/>
      <c r="NW39" s="82"/>
      <c r="NX39" s="82"/>
      <c r="NY39" s="82"/>
      <c r="NZ39" s="82"/>
      <c r="OA39" s="82"/>
      <c r="OB39" s="80"/>
      <c r="OC39" s="53"/>
      <c r="OD39" s="53"/>
      <c r="OE39" s="53"/>
      <c r="OF39" s="53"/>
      <c r="OG39" s="84"/>
      <c r="OH39" s="52"/>
      <c r="OI39" s="53"/>
      <c r="OJ39" s="53"/>
      <c r="OK39" s="53"/>
      <c r="OL39" s="82"/>
      <c r="OM39" s="82"/>
      <c r="ON39" s="82"/>
      <c r="OO39" s="82"/>
      <c r="OP39" s="82"/>
      <c r="OQ39" s="82"/>
      <c r="OR39" s="82"/>
      <c r="OS39" s="82"/>
      <c r="OT39" s="82"/>
      <c r="OU39" s="82"/>
      <c r="OV39" s="80"/>
      <c r="OW39" s="53"/>
      <c r="OX39" s="53"/>
      <c r="OY39" s="53"/>
      <c r="OZ39" s="53"/>
      <c r="PA39" s="84"/>
      <c r="PB39" s="52"/>
      <c r="PC39" s="53"/>
      <c r="PD39" s="53"/>
      <c r="PE39" s="53"/>
      <c r="PF39" s="82"/>
      <c r="PG39" s="82"/>
      <c r="PH39" s="82"/>
      <c r="PI39" s="82"/>
      <c r="PJ39" s="82"/>
      <c r="PK39" s="82"/>
      <c r="PL39" s="82"/>
      <c r="PM39" s="82"/>
      <c r="PN39" s="82"/>
      <c r="PO39" s="82"/>
      <c r="PP39" s="80"/>
      <c r="PQ39" s="53"/>
      <c r="PR39" s="53"/>
      <c r="PS39" s="53"/>
      <c r="PT39" s="53"/>
      <c r="PU39" s="84"/>
      <c r="PV39" s="52"/>
      <c r="PW39" s="53"/>
      <c r="PX39" s="53"/>
      <c r="PY39" s="53"/>
      <c r="PZ39" s="82"/>
      <c r="QA39" s="82"/>
      <c r="QB39" s="82"/>
      <c r="QC39" s="82"/>
      <c r="QD39" s="82"/>
      <c r="QE39" s="82"/>
      <c r="QF39" s="82"/>
      <c r="QG39" s="82"/>
      <c r="QH39" s="82"/>
      <c r="QI39" s="82"/>
      <c r="QJ39" s="80"/>
      <c r="QK39" s="53"/>
      <c r="QL39" s="53"/>
      <c r="QM39" s="53"/>
      <c r="QN39" s="53"/>
      <c r="QO39" s="84"/>
      <c r="QP39" s="52"/>
      <c r="QQ39" s="53"/>
      <c r="QR39" s="53"/>
      <c r="QS39" s="53"/>
      <c r="QT39" s="82"/>
      <c r="QU39" s="82"/>
      <c r="QV39" s="82"/>
      <c r="QW39" s="82"/>
      <c r="QX39" s="82"/>
      <c r="QY39" s="82"/>
      <c r="QZ39" s="82"/>
      <c r="RA39" s="82"/>
      <c r="RB39" s="82"/>
      <c r="RC39" s="82"/>
      <c r="RD39" s="80"/>
      <c r="RE39" s="53"/>
      <c r="RF39" s="53"/>
      <c r="RG39" s="53"/>
      <c r="RH39" s="53"/>
      <c r="RI39" s="84"/>
      <c r="RJ39" s="52"/>
      <c r="RK39" s="53"/>
      <c r="RL39" s="53"/>
      <c r="RM39" s="53"/>
      <c r="RN39" s="82"/>
      <c r="RO39" s="82"/>
      <c r="RP39" s="82"/>
      <c r="RQ39" s="82"/>
      <c r="RR39" s="82"/>
      <c r="RS39" s="82"/>
      <c r="RT39" s="82"/>
      <c r="RU39" s="82"/>
      <c r="RV39" s="82"/>
      <c r="RW39" s="82"/>
      <c r="RX39" s="80"/>
      <c r="RY39" s="53"/>
      <c r="RZ39" s="53"/>
      <c r="SA39" s="53"/>
      <c r="SB39" s="53"/>
      <c r="SC39" s="84"/>
      <c r="SD39" s="52"/>
      <c r="SE39" s="53"/>
      <c r="SF39" s="53"/>
      <c r="SG39" s="53"/>
    </row>
    <row r="40" spans="1:501" s="44" customFormat="1" ht="20.399999999999999" customHeight="1" x14ac:dyDescent="0.3">
      <c r="A40" s="125" t="s">
        <v>229</v>
      </c>
      <c r="B40" s="125"/>
      <c r="C40" s="125"/>
      <c r="D40" s="12"/>
      <c r="E40" s="12"/>
      <c r="F40" s="12"/>
      <c r="G40" s="72"/>
      <c r="H40" s="72"/>
      <c r="I40" s="204"/>
      <c r="J40" s="72"/>
      <c r="K40" s="72"/>
      <c r="L40" s="12"/>
      <c r="M40" s="125"/>
      <c r="N40" s="12"/>
      <c r="O40" s="83"/>
      <c r="P40" s="83"/>
      <c r="Q40" s="110"/>
      <c r="R40" s="83"/>
      <c r="S40" s="83"/>
      <c r="T40" s="72"/>
      <c r="U40" s="78"/>
      <c r="V40" s="12"/>
      <c r="W40" s="125"/>
      <c r="X40" s="12"/>
      <c r="Y40" s="83"/>
      <c r="Z40" s="83"/>
      <c r="AA40" s="110"/>
      <c r="AB40" s="83"/>
      <c r="AC40" s="83"/>
      <c r="AD40" s="83"/>
      <c r="AE40" s="83"/>
      <c r="AF40" s="12"/>
      <c r="AG40" s="125"/>
      <c r="AH40" s="12"/>
      <c r="AI40" s="83"/>
      <c r="AJ40" s="83"/>
      <c r="AK40" s="110"/>
      <c r="AL40" s="83"/>
      <c r="AM40" s="83"/>
      <c r="AN40" s="46"/>
      <c r="AO40" s="46"/>
      <c r="AP40" s="12"/>
      <c r="AQ40" s="125"/>
      <c r="AR40" s="12"/>
      <c r="AS40" s="83"/>
      <c r="AT40" s="83"/>
      <c r="AU40" s="110"/>
      <c r="AV40" s="83"/>
      <c r="AW40" s="83"/>
      <c r="AX40" s="83"/>
      <c r="AY40" s="83"/>
      <c r="AZ40" s="83"/>
      <c r="BA40" s="83"/>
      <c r="BB40" s="83"/>
      <c r="BC40" s="46"/>
      <c r="BD40" s="46"/>
      <c r="BE40" s="194"/>
      <c r="BF40" s="41"/>
      <c r="BG40" s="46"/>
      <c r="BH40" s="46"/>
      <c r="BI40" s="46"/>
      <c r="BJ40" s="125"/>
      <c r="BK40" s="125"/>
      <c r="BL40" s="12"/>
      <c r="BM40" s="12"/>
      <c r="BN40" s="12"/>
      <c r="BO40" s="72"/>
      <c r="BP40" s="72"/>
      <c r="BQ40" s="72"/>
      <c r="BR40" s="83"/>
      <c r="BS40" s="83"/>
      <c r="BT40" s="125"/>
      <c r="BU40" s="125"/>
      <c r="BV40" s="12"/>
      <c r="BW40" s="12"/>
      <c r="BX40" s="12"/>
      <c r="BY40" s="72"/>
      <c r="BZ40" s="72"/>
      <c r="CA40" s="72"/>
      <c r="CB40" s="46"/>
      <c r="CC40" s="46"/>
      <c r="CD40" s="125"/>
      <c r="CE40" s="125"/>
      <c r="CF40" s="12"/>
      <c r="CG40" s="12"/>
      <c r="CH40" s="12"/>
      <c r="CI40" s="72"/>
      <c r="CJ40" s="72"/>
      <c r="CK40" s="72"/>
      <c r="CL40" s="83"/>
      <c r="CM40" s="83"/>
      <c r="CN40" s="81"/>
      <c r="CO40" s="46"/>
      <c r="CP40" s="46"/>
      <c r="CQ40" s="46"/>
      <c r="CR40" s="46"/>
      <c r="CS40" s="85"/>
      <c r="CT40" s="41"/>
      <c r="CU40" s="46"/>
      <c r="CV40" s="46"/>
      <c r="CW40" s="46"/>
      <c r="CX40" s="83"/>
      <c r="CY40" s="83"/>
      <c r="CZ40" s="83"/>
      <c r="DA40" s="83"/>
      <c r="DB40" s="83"/>
      <c r="DC40" s="83"/>
      <c r="DD40" s="83"/>
      <c r="DE40" s="83"/>
      <c r="DF40" s="83"/>
      <c r="DG40" s="83"/>
      <c r="DH40" s="81"/>
      <c r="DI40" s="46"/>
      <c r="DJ40" s="46"/>
      <c r="DK40" s="46"/>
      <c r="DL40" s="46"/>
      <c r="DM40" s="85"/>
      <c r="DN40" s="41"/>
      <c r="DO40" s="46"/>
      <c r="DP40" s="46"/>
      <c r="DQ40" s="46"/>
      <c r="DR40" s="83"/>
      <c r="DS40" s="83"/>
      <c r="DT40" s="83"/>
      <c r="DU40" s="83"/>
      <c r="DV40" s="83"/>
      <c r="DW40" s="83"/>
      <c r="DX40" s="83"/>
      <c r="DY40" s="83"/>
      <c r="DZ40" s="83"/>
      <c r="EA40" s="83"/>
      <c r="EB40" s="81"/>
      <c r="EC40" s="46"/>
      <c r="ED40" s="46"/>
      <c r="EE40" s="46"/>
      <c r="EF40" s="46"/>
      <c r="EG40" s="85"/>
      <c r="EH40" s="41"/>
      <c r="EI40" s="46"/>
      <c r="EJ40" s="46"/>
      <c r="EK40" s="46"/>
      <c r="EL40" s="83"/>
      <c r="EM40" s="83"/>
      <c r="EN40" s="83"/>
      <c r="EO40" s="83"/>
      <c r="EP40" s="83"/>
      <c r="EQ40" s="83"/>
      <c r="ER40" s="83"/>
      <c r="ES40" s="83"/>
      <c r="ET40" s="83"/>
      <c r="EU40" s="83"/>
      <c r="EV40" s="81"/>
      <c r="EW40" s="46"/>
      <c r="EX40" s="46"/>
      <c r="EY40" s="46"/>
      <c r="EZ40" s="46"/>
      <c r="FA40" s="85"/>
      <c r="FB40" s="41"/>
      <c r="FC40" s="46"/>
      <c r="FD40" s="46"/>
      <c r="FE40" s="46"/>
      <c r="FF40" s="83"/>
      <c r="FG40" s="83"/>
      <c r="FH40" s="83"/>
      <c r="FI40" s="83"/>
      <c r="FJ40" s="83"/>
      <c r="FK40" s="83"/>
      <c r="FL40" s="83"/>
      <c r="FM40" s="83"/>
      <c r="FN40" s="83"/>
      <c r="FO40" s="83"/>
      <c r="FP40" s="81"/>
      <c r="FQ40" s="46"/>
      <c r="FR40" s="46"/>
      <c r="FS40" s="46"/>
      <c r="FT40" s="46"/>
      <c r="FU40" s="85"/>
      <c r="FV40" s="41"/>
      <c r="FW40" s="46"/>
      <c r="FX40" s="46"/>
      <c r="FY40" s="46"/>
      <c r="FZ40" s="83"/>
      <c r="GA40" s="83"/>
      <c r="GB40" s="83"/>
      <c r="GC40" s="83"/>
      <c r="GD40" s="83"/>
      <c r="GE40" s="83"/>
      <c r="GF40" s="83"/>
      <c r="GG40" s="83"/>
      <c r="GH40" s="83"/>
      <c r="GI40" s="83"/>
      <c r="GJ40" s="81"/>
      <c r="GK40" s="46"/>
      <c r="GL40" s="46"/>
      <c r="GM40" s="46"/>
      <c r="GN40" s="46"/>
      <c r="GO40" s="85"/>
      <c r="GP40" s="41"/>
      <c r="GQ40" s="46"/>
      <c r="GR40" s="46"/>
      <c r="GS40" s="46"/>
      <c r="GT40" s="83"/>
      <c r="GU40" s="83"/>
      <c r="GV40" s="83"/>
      <c r="GW40" s="83"/>
      <c r="GX40" s="83"/>
      <c r="GY40" s="83"/>
      <c r="GZ40" s="83"/>
      <c r="HA40" s="83"/>
      <c r="HB40" s="83"/>
      <c r="HC40" s="83"/>
      <c r="HD40" s="81"/>
      <c r="HE40" s="46"/>
      <c r="HF40" s="46"/>
      <c r="HG40" s="46"/>
      <c r="HH40" s="46"/>
      <c r="HI40" s="85"/>
      <c r="HJ40" s="41"/>
      <c r="HK40" s="46"/>
      <c r="HL40" s="46"/>
      <c r="HM40" s="46"/>
      <c r="HN40" s="83"/>
      <c r="HO40" s="83"/>
      <c r="HP40" s="83"/>
      <c r="HQ40" s="83"/>
      <c r="HR40" s="83"/>
      <c r="HS40" s="83"/>
      <c r="HT40" s="83"/>
      <c r="HU40" s="83"/>
      <c r="HV40" s="83"/>
      <c r="HW40" s="83"/>
      <c r="HX40" s="81"/>
      <c r="HY40" s="46"/>
      <c r="HZ40" s="46"/>
      <c r="IA40" s="46"/>
      <c r="IB40" s="46"/>
      <c r="IC40" s="85"/>
      <c r="ID40" s="41"/>
      <c r="IE40" s="46"/>
      <c r="IF40" s="46"/>
      <c r="IG40" s="46"/>
      <c r="IH40" s="83"/>
      <c r="II40" s="83"/>
      <c r="IJ40" s="83"/>
      <c r="IK40" s="83"/>
      <c r="IL40" s="83"/>
      <c r="IM40" s="83"/>
      <c r="IN40" s="83"/>
      <c r="IO40" s="83"/>
      <c r="IP40" s="83"/>
      <c r="IQ40" s="83"/>
      <c r="IR40" s="81"/>
      <c r="IS40" s="46"/>
      <c r="IT40" s="46"/>
      <c r="IU40" s="46"/>
      <c r="IV40" s="46"/>
      <c r="IW40" s="85"/>
      <c r="IX40" s="41"/>
      <c r="IY40" s="46"/>
      <c r="IZ40" s="46"/>
      <c r="JA40" s="46"/>
      <c r="JB40" s="83"/>
      <c r="JC40" s="83"/>
      <c r="JD40" s="83"/>
      <c r="JE40" s="83"/>
      <c r="JF40" s="83"/>
      <c r="JG40" s="83"/>
      <c r="JH40" s="83"/>
      <c r="JI40" s="83"/>
      <c r="JJ40" s="83"/>
      <c r="JK40" s="83"/>
      <c r="JL40" s="81"/>
      <c r="JM40" s="46"/>
      <c r="JN40" s="46"/>
      <c r="JO40" s="46"/>
      <c r="JP40" s="46"/>
      <c r="JQ40" s="85"/>
      <c r="JR40" s="41"/>
      <c r="JS40" s="46"/>
      <c r="JT40" s="46"/>
      <c r="JU40" s="46"/>
      <c r="JV40" s="83"/>
      <c r="JW40" s="83"/>
      <c r="JX40" s="83"/>
      <c r="JY40" s="83"/>
      <c r="JZ40" s="83"/>
      <c r="KA40" s="83"/>
      <c r="KB40" s="83"/>
      <c r="KC40" s="83"/>
      <c r="KD40" s="83"/>
      <c r="KE40" s="83"/>
      <c r="KF40" s="81"/>
      <c r="KG40" s="46"/>
      <c r="KH40" s="46"/>
      <c r="KI40" s="46"/>
      <c r="KJ40" s="46"/>
      <c r="KK40" s="85"/>
      <c r="KL40" s="41"/>
      <c r="KM40" s="46"/>
      <c r="KN40" s="46"/>
      <c r="KO40" s="46"/>
      <c r="KP40" s="83"/>
      <c r="KQ40" s="83"/>
      <c r="KR40" s="83"/>
      <c r="KS40" s="83"/>
      <c r="KT40" s="83"/>
      <c r="KU40" s="83"/>
      <c r="KV40" s="83"/>
      <c r="KW40" s="83"/>
      <c r="KX40" s="83"/>
      <c r="KY40" s="83"/>
      <c r="KZ40" s="81"/>
      <c r="LA40" s="46"/>
      <c r="LB40" s="46"/>
      <c r="LC40" s="46"/>
      <c r="LD40" s="46"/>
      <c r="LE40" s="85"/>
      <c r="LF40" s="41"/>
      <c r="LG40" s="46"/>
      <c r="LH40" s="46"/>
      <c r="LI40" s="46"/>
      <c r="LJ40" s="83"/>
      <c r="LK40" s="83"/>
      <c r="LL40" s="83"/>
      <c r="LM40" s="83"/>
      <c r="LN40" s="83"/>
      <c r="LO40" s="83"/>
      <c r="LP40" s="83"/>
      <c r="LQ40" s="83"/>
      <c r="LR40" s="83"/>
      <c r="LS40" s="83"/>
      <c r="LT40" s="81"/>
      <c r="LU40" s="46"/>
      <c r="LV40" s="46"/>
      <c r="LW40" s="46"/>
      <c r="LX40" s="46"/>
      <c r="LY40" s="85"/>
      <c r="LZ40" s="41"/>
      <c r="MA40" s="46"/>
      <c r="MB40" s="46"/>
      <c r="MC40" s="46"/>
      <c r="MD40" s="83"/>
      <c r="ME40" s="83"/>
      <c r="MF40" s="83"/>
      <c r="MG40" s="83"/>
      <c r="MH40" s="83"/>
      <c r="MI40" s="83"/>
      <c r="MJ40" s="83"/>
      <c r="MK40" s="83"/>
      <c r="ML40" s="83"/>
      <c r="MM40" s="83"/>
      <c r="MN40" s="81"/>
      <c r="MO40" s="46"/>
      <c r="MP40" s="46"/>
      <c r="MQ40" s="46"/>
      <c r="MR40" s="46"/>
      <c r="MS40" s="85"/>
      <c r="MT40" s="41"/>
      <c r="MU40" s="46"/>
      <c r="MV40" s="46"/>
      <c r="MW40" s="46"/>
      <c r="MX40" s="83"/>
      <c r="MY40" s="83"/>
      <c r="MZ40" s="83"/>
      <c r="NA40" s="83"/>
      <c r="NB40" s="83"/>
      <c r="NC40" s="83"/>
      <c r="ND40" s="83"/>
      <c r="NE40" s="83"/>
      <c r="NF40" s="83"/>
      <c r="NG40" s="83"/>
      <c r="NH40" s="81"/>
      <c r="NI40" s="46"/>
      <c r="NJ40" s="46"/>
      <c r="NK40" s="46"/>
      <c r="NL40" s="46"/>
      <c r="NM40" s="85"/>
      <c r="NN40" s="41"/>
      <c r="NO40" s="46"/>
      <c r="NP40" s="46"/>
      <c r="NQ40" s="46"/>
      <c r="NR40" s="83"/>
      <c r="NS40" s="83"/>
      <c r="NT40" s="83"/>
      <c r="NU40" s="83"/>
      <c r="NV40" s="83"/>
      <c r="NW40" s="83"/>
      <c r="NX40" s="83"/>
      <c r="NY40" s="83"/>
      <c r="NZ40" s="83"/>
      <c r="OA40" s="83"/>
      <c r="OB40" s="81"/>
      <c r="OC40" s="46"/>
      <c r="OD40" s="46"/>
      <c r="OE40" s="46"/>
      <c r="OF40" s="46"/>
      <c r="OG40" s="85"/>
      <c r="OH40" s="41"/>
      <c r="OI40" s="46"/>
      <c r="OJ40" s="46"/>
      <c r="OK40" s="46"/>
      <c r="OL40" s="83"/>
      <c r="OM40" s="83"/>
      <c r="ON40" s="83"/>
      <c r="OO40" s="83"/>
      <c r="OP40" s="83"/>
      <c r="OQ40" s="83"/>
      <c r="OR40" s="83"/>
      <c r="OS40" s="83"/>
      <c r="OT40" s="83"/>
      <c r="OU40" s="83"/>
      <c r="OV40" s="81"/>
      <c r="OW40" s="46"/>
      <c r="OX40" s="46"/>
      <c r="OY40" s="46"/>
      <c r="OZ40" s="46"/>
      <c r="PA40" s="85"/>
      <c r="PB40" s="41"/>
      <c r="PC40" s="46"/>
      <c r="PD40" s="46"/>
      <c r="PE40" s="46"/>
      <c r="PF40" s="83"/>
      <c r="PG40" s="83"/>
      <c r="PH40" s="83"/>
      <c r="PI40" s="83"/>
      <c r="PJ40" s="83"/>
      <c r="PK40" s="83"/>
      <c r="PL40" s="83"/>
      <c r="PM40" s="83"/>
      <c r="PN40" s="83"/>
      <c r="PO40" s="83"/>
      <c r="PP40" s="81"/>
      <c r="PQ40" s="46"/>
      <c r="PR40" s="46"/>
      <c r="PS40" s="46"/>
      <c r="PT40" s="46"/>
      <c r="PU40" s="85"/>
      <c r="PV40" s="41"/>
      <c r="PW40" s="46"/>
      <c r="PX40" s="46"/>
      <c r="PY40" s="46"/>
      <c r="PZ40" s="83"/>
      <c r="QA40" s="83"/>
      <c r="QB40" s="83"/>
      <c r="QC40" s="83"/>
      <c r="QD40" s="83"/>
      <c r="QE40" s="83"/>
      <c r="QF40" s="83"/>
      <c r="QG40" s="83"/>
      <c r="QH40" s="83"/>
      <c r="QI40" s="83"/>
      <c r="QJ40" s="81"/>
      <c r="QK40" s="46"/>
      <c r="QL40" s="46"/>
      <c r="QM40" s="46"/>
      <c r="QN40" s="46"/>
      <c r="QO40" s="85"/>
      <c r="QP40" s="41"/>
      <c r="QQ40" s="46"/>
      <c r="QR40" s="46"/>
      <c r="QS40" s="46"/>
      <c r="QT40" s="83"/>
      <c r="QU40" s="83"/>
      <c r="QV40" s="83"/>
      <c r="QW40" s="83"/>
      <c r="QX40" s="83"/>
      <c r="QY40" s="83"/>
      <c r="QZ40" s="83"/>
      <c r="RA40" s="83"/>
      <c r="RB40" s="83"/>
      <c r="RC40" s="83"/>
      <c r="RD40" s="81"/>
      <c r="RE40" s="46"/>
      <c r="RF40" s="46"/>
      <c r="RG40" s="46"/>
      <c r="RH40" s="46"/>
      <c r="RI40" s="85"/>
      <c r="RJ40" s="41"/>
      <c r="RK40" s="46"/>
      <c r="RL40" s="46"/>
      <c r="RM40" s="46"/>
      <c r="RN40" s="83"/>
      <c r="RO40" s="83"/>
      <c r="RP40" s="83"/>
      <c r="RQ40" s="83"/>
      <c r="RR40" s="83"/>
      <c r="RS40" s="83"/>
      <c r="RT40" s="83"/>
      <c r="RU40" s="83"/>
      <c r="RV40" s="83"/>
      <c r="RW40" s="83"/>
      <c r="RX40" s="81"/>
      <c r="RY40" s="46"/>
      <c r="RZ40" s="46"/>
      <c r="SA40" s="46"/>
      <c r="SB40" s="46"/>
      <c r="SC40" s="85"/>
      <c r="SD40" s="41"/>
      <c r="SE40" s="46"/>
      <c r="SF40" s="46"/>
      <c r="SG40" s="46"/>
    </row>
    <row r="41" spans="1:501" s="44" customFormat="1" ht="20.399999999999999" customHeight="1" x14ac:dyDescent="0.3">
      <c r="A41" s="66" t="s">
        <v>233</v>
      </c>
      <c r="B41" s="66"/>
      <c r="C41" s="66"/>
      <c r="D41" s="49"/>
      <c r="E41" s="49"/>
      <c r="F41" s="49"/>
      <c r="G41" s="70"/>
      <c r="H41" s="70"/>
      <c r="I41" s="206"/>
      <c r="J41" s="70"/>
      <c r="K41" s="70"/>
      <c r="L41" s="70"/>
      <c r="M41" s="70"/>
      <c r="N41" s="70"/>
      <c r="O41" s="70"/>
      <c r="P41" s="70"/>
      <c r="Q41" s="70"/>
      <c r="R41" s="70"/>
      <c r="S41" s="70"/>
      <c r="T41" s="70"/>
      <c r="U41" s="77"/>
      <c r="V41" s="82"/>
      <c r="W41" s="82"/>
      <c r="X41" s="82"/>
      <c r="Y41" s="82"/>
      <c r="Z41" s="82"/>
      <c r="AA41" s="82"/>
      <c r="AB41" s="82"/>
      <c r="AC41" s="82"/>
      <c r="AD41" s="82"/>
      <c r="AE41" s="82"/>
      <c r="AF41" s="80"/>
      <c r="AG41" s="53"/>
      <c r="AH41" s="53"/>
      <c r="AI41" s="53"/>
      <c r="AJ41" s="53"/>
      <c r="AK41" s="84"/>
      <c r="AL41" s="52"/>
      <c r="AM41" s="53"/>
      <c r="AN41" s="53"/>
      <c r="AO41" s="53"/>
      <c r="AP41" s="82"/>
      <c r="AQ41" s="82"/>
      <c r="AR41" s="82"/>
      <c r="AS41" s="82"/>
      <c r="AT41" s="82"/>
      <c r="AU41" s="82"/>
      <c r="AV41" s="82"/>
      <c r="AW41" s="82"/>
      <c r="AX41" s="82"/>
      <c r="AY41" s="82"/>
      <c r="AZ41" s="80"/>
      <c r="BA41" s="53"/>
      <c r="BB41" s="53"/>
      <c r="BC41" s="53"/>
      <c r="BD41" s="53"/>
      <c r="BE41" s="84"/>
      <c r="BF41" s="52"/>
      <c r="BG41" s="53"/>
      <c r="BH41" s="53"/>
      <c r="BI41" s="53"/>
      <c r="BJ41" s="82"/>
      <c r="BK41" s="82"/>
      <c r="BL41" s="82"/>
      <c r="BM41" s="82"/>
      <c r="BN41" s="82"/>
      <c r="BO41" s="82"/>
      <c r="BP41" s="82"/>
      <c r="BQ41" s="82"/>
      <c r="BR41" s="82"/>
      <c r="BS41" s="82"/>
      <c r="BT41" s="80"/>
      <c r="BU41" s="53"/>
      <c r="BV41" s="53"/>
      <c r="BW41" s="53"/>
      <c r="BX41" s="53"/>
      <c r="BY41" s="84"/>
      <c r="BZ41" s="52"/>
      <c r="CA41" s="53"/>
      <c r="CB41" s="53"/>
      <c r="CC41" s="53"/>
      <c r="CD41" s="82"/>
      <c r="CE41" s="82"/>
      <c r="CF41" s="82"/>
      <c r="CG41" s="82"/>
      <c r="CH41" s="82"/>
      <c r="CI41" s="82"/>
      <c r="CJ41" s="82"/>
      <c r="CK41" s="82"/>
      <c r="CL41" s="82"/>
      <c r="CM41" s="82"/>
      <c r="CN41" s="80"/>
      <c r="CO41" s="53"/>
      <c r="CP41" s="53"/>
      <c r="CQ41" s="53"/>
      <c r="CR41" s="53"/>
      <c r="CS41" s="84"/>
      <c r="CT41" s="52"/>
      <c r="CU41" s="53"/>
      <c r="CV41" s="53"/>
      <c r="CW41" s="53"/>
      <c r="CX41" s="82"/>
      <c r="CY41" s="82"/>
      <c r="CZ41" s="82"/>
      <c r="DA41" s="82"/>
      <c r="DB41" s="82"/>
      <c r="DC41" s="82"/>
      <c r="DD41" s="82"/>
      <c r="DE41" s="82"/>
      <c r="DF41" s="82"/>
      <c r="DG41" s="82"/>
      <c r="DH41" s="80"/>
      <c r="DI41" s="53"/>
      <c r="DJ41" s="53"/>
      <c r="DK41" s="53"/>
      <c r="DL41" s="53"/>
      <c r="DM41" s="84"/>
      <c r="DN41" s="52"/>
      <c r="DO41" s="53"/>
      <c r="DP41" s="53"/>
      <c r="DQ41" s="53"/>
      <c r="DR41" s="82"/>
      <c r="DS41" s="82"/>
      <c r="DT41" s="82"/>
      <c r="DU41" s="82"/>
      <c r="DV41" s="82"/>
      <c r="DW41" s="82"/>
      <c r="DX41" s="82"/>
      <c r="DY41" s="82"/>
      <c r="DZ41" s="82"/>
      <c r="EA41" s="82"/>
      <c r="EB41" s="80"/>
      <c r="EC41" s="53"/>
      <c r="ED41" s="53"/>
      <c r="EE41" s="53"/>
      <c r="EF41" s="53"/>
      <c r="EG41" s="84"/>
      <c r="EH41" s="52"/>
      <c r="EI41" s="53"/>
      <c r="EJ41" s="53"/>
      <c r="EK41" s="53"/>
      <c r="EL41" s="82"/>
      <c r="EM41" s="82"/>
      <c r="EN41" s="82"/>
      <c r="EO41" s="82"/>
      <c r="EP41" s="82"/>
      <c r="EQ41" s="82"/>
      <c r="ER41" s="82"/>
      <c r="ES41" s="82"/>
      <c r="ET41" s="82"/>
      <c r="EU41" s="82"/>
      <c r="EV41" s="80"/>
      <c r="EW41" s="53"/>
      <c r="EX41" s="53"/>
      <c r="EY41" s="53"/>
      <c r="EZ41" s="53"/>
      <c r="FA41" s="84"/>
      <c r="FB41" s="52"/>
      <c r="FC41" s="53"/>
      <c r="FD41" s="53"/>
      <c r="FE41" s="53"/>
      <c r="FF41" s="82"/>
      <c r="FG41" s="82"/>
      <c r="FH41" s="82"/>
      <c r="FI41" s="82"/>
      <c r="FJ41" s="82"/>
      <c r="FK41" s="82"/>
      <c r="FL41" s="82"/>
      <c r="FM41" s="82"/>
      <c r="FN41" s="82"/>
      <c r="FO41" s="82"/>
      <c r="FP41" s="80"/>
      <c r="FQ41" s="53"/>
      <c r="FR41" s="53"/>
      <c r="FS41" s="53"/>
      <c r="FT41" s="53"/>
      <c r="FU41" s="84"/>
      <c r="FV41" s="52"/>
      <c r="FW41" s="53"/>
      <c r="FX41" s="53"/>
      <c r="FY41" s="53"/>
      <c r="FZ41" s="82"/>
      <c r="GA41" s="82"/>
      <c r="GB41" s="82"/>
      <c r="GC41" s="82"/>
      <c r="GD41" s="82"/>
      <c r="GE41" s="82"/>
      <c r="GF41" s="82"/>
      <c r="GG41" s="82"/>
      <c r="GH41" s="82"/>
      <c r="GI41" s="82"/>
      <c r="GJ41" s="80"/>
      <c r="GK41" s="53"/>
      <c r="GL41" s="53"/>
      <c r="GM41" s="53"/>
      <c r="GN41" s="53"/>
      <c r="GO41" s="84"/>
      <c r="GP41" s="52"/>
      <c r="GQ41" s="53"/>
      <c r="GR41" s="53"/>
      <c r="GS41" s="53"/>
      <c r="GT41" s="82"/>
      <c r="GU41" s="82"/>
      <c r="GV41" s="82"/>
      <c r="GW41" s="82"/>
      <c r="GX41" s="82"/>
      <c r="GY41" s="82"/>
      <c r="GZ41" s="82"/>
      <c r="HA41" s="82"/>
      <c r="HB41" s="82"/>
      <c r="HC41" s="82"/>
      <c r="HD41" s="80"/>
      <c r="HE41" s="53"/>
      <c r="HF41" s="53"/>
      <c r="HG41" s="53"/>
      <c r="HH41" s="53"/>
      <c r="HI41" s="84"/>
      <c r="HJ41" s="52"/>
      <c r="HK41" s="53"/>
      <c r="HL41" s="53"/>
      <c r="HM41" s="53"/>
      <c r="HN41" s="82"/>
      <c r="HO41" s="82"/>
      <c r="HP41" s="82"/>
      <c r="HQ41" s="82"/>
      <c r="HR41" s="82"/>
      <c r="HS41" s="82"/>
      <c r="HT41" s="82"/>
      <c r="HU41" s="82"/>
      <c r="HV41" s="82"/>
      <c r="HW41" s="82"/>
      <c r="HX41" s="80"/>
      <c r="HY41" s="53"/>
      <c r="HZ41" s="53"/>
      <c r="IA41" s="53"/>
      <c r="IB41" s="53"/>
      <c r="IC41" s="84"/>
      <c r="ID41" s="52"/>
      <c r="IE41" s="53"/>
      <c r="IF41" s="53"/>
      <c r="IG41" s="53"/>
      <c r="IH41" s="82"/>
      <c r="II41" s="82"/>
      <c r="IJ41" s="82"/>
      <c r="IK41" s="82"/>
      <c r="IL41" s="82"/>
      <c r="IM41" s="82"/>
      <c r="IN41" s="82"/>
      <c r="IO41" s="82"/>
      <c r="IP41" s="82"/>
      <c r="IQ41" s="82"/>
      <c r="IR41" s="80"/>
      <c r="IS41" s="53"/>
      <c r="IT41" s="53"/>
      <c r="IU41" s="53"/>
      <c r="IV41" s="53"/>
      <c r="IW41" s="84"/>
      <c r="IX41" s="52"/>
      <c r="IY41" s="53"/>
      <c r="IZ41" s="53"/>
      <c r="JA41" s="53"/>
      <c r="JB41" s="82"/>
      <c r="JC41" s="82"/>
      <c r="JD41" s="82"/>
      <c r="JE41" s="82"/>
      <c r="JF41" s="82"/>
      <c r="JG41" s="82"/>
      <c r="JH41" s="82"/>
      <c r="JI41" s="82"/>
      <c r="JJ41" s="82"/>
      <c r="JK41" s="82"/>
      <c r="JL41" s="80"/>
      <c r="JM41" s="53"/>
      <c r="JN41" s="53"/>
      <c r="JO41" s="53"/>
      <c r="JP41" s="53"/>
      <c r="JQ41" s="84"/>
      <c r="JR41" s="52"/>
      <c r="JS41" s="53"/>
      <c r="JT41" s="53"/>
      <c r="JU41" s="53"/>
      <c r="JV41" s="82"/>
      <c r="JW41" s="82"/>
      <c r="JX41" s="82"/>
      <c r="JY41" s="82"/>
      <c r="JZ41" s="82"/>
      <c r="KA41" s="82"/>
      <c r="KB41" s="82"/>
      <c r="KC41" s="82"/>
      <c r="KD41" s="82"/>
      <c r="KE41" s="82"/>
      <c r="KF41" s="80"/>
      <c r="KG41" s="53"/>
      <c r="KH41" s="53"/>
      <c r="KI41" s="53"/>
      <c r="KJ41" s="53"/>
      <c r="KK41" s="84"/>
      <c r="KL41" s="52"/>
      <c r="KM41" s="53"/>
      <c r="KN41" s="53"/>
      <c r="KO41" s="53"/>
      <c r="KP41" s="82"/>
      <c r="KQ41" s="82"/>
      <c r="KR41" s="82"/>
      <c r="KS41" s="82"/>
      <c r="KT41" s="82"/>
      <c r="KU41" s="82"/>
      <c r="KV41" s="82"/>
      <c r="KW41" s="82"/>
      <c r="KX41" s="82"/>
      <c r="KY41" s="82"/>
      <c r="KZ41" s="80"/>
      <c r="LA41" s="53"/>
      <c r="LB41" s="53"/>
      <c r="LC41" s="53"/>
      <c r="LD41" s="53"/>
      <c r="LE41" s="84"/>
      <c r="LF41" s="52"/>
      <c r="LG41" s="53"/>
      <c r="LH41" s="53"/>
      <c r="LI41" s="53"/>
      <c r="LJ41" s="82"/>
      <c r="LK41" s="82"/>
      <c r="LL41" s="82"/>
      <c r="LM41" s="82"/>
      <c r="LN41" s="82"/>
      <c r="LO41" s="82"/>
      <c r="LP41" s="82"/>
      <c r="LQ41" s="82"/>
      <c r="LR41" s="82"/>
      <c r="LS41" s="82"/>
      <c r="LT41" s="80"/>
      <c r="LU41" s="53"/>
      <c r="LV41" s="53"/>
      <c r="LW41" s="53"/>
      <c r="LX41" s="53"/>
      <c r="LY41" s="84"/>
      <c r="LZ41" s="52"/>
      <c r="MA41" s="53"/>
      <c r="MB41" s="53"/>
      <c r="MC41" s="53"/>
      <c r="MD41" s="82"/>
      <c r="ME41" s="82"/>
      <c r="MF41" s="82"/>
      <c r="MG41" s="82"/>
      <c r="MH41" s="82"/>
      <c r="MI41" s="82"/>
      <c r="MJ41" s="82"/>
      <c r="MK41" s="82"/>
      <c r="ML41" s="82"/>
      <c r="MM41" s="82"/>
      <c r="MN41" s="80"/>
      <c r="MO41" s="53"/>
      <c r="MP41" s="53"/>
      <c r="MQ41" s="53"/>
      <c r="MR41" s="53"/>
      <c r="MS41" s="84"/>
      <c r="MT41" s="52"/>
      <c r="MU41" s="53"/>
      <c r="MV41" s="53"/>
      <c r="MW41" s="53"/>
      <c r="MX41" s="82"/>
      <c r="MY41" s="82"/>
      <c r="MZ41" s="82"/>
      <c r="NA41" s="82"/>
      <c r="NB41" s="82"/>
      <c r="NC41" s="82"/>
      <c r="ND41" s="82"/>
      <c r="NE41" s="82"/>
      <c r="NF41" s="82"/>
      <c r="NG41" s="82"/>
      <c r="NH41" s="80"/>
      <c r="NI41" s="53"/>
      <c r="NJ41" s="53"/>
      <c r="NK41" s="53"/>
      <c r="NL41" s="53"/>
      <c r="NM41" s="84"/>
      <c r="NN41" s="52"/>
      <c r="NO41" s="53"/>
      <c r="NP41" s="53"/>
      <c r="NQ41" s="53"/>
      <c r="NR41" s="82"/>
      <c r="NS41" s="82"/>
      <c r="NT41" s="82"/>
      <c r="NU41" s="82"/>
      <c r="NV41" s="82"/>
      <c r="NW41" s="82"/>
      <c r="NX41" s="82"/>
      <c r="NY41" s="82"/>
      <c r="NZ41" s="82"/>
      <c r="OA41" s="82"/>
      <c r="OB41" s="80"/>
      <c r="OC41" s="53"/>
      <c r="OD41" s="53"/>
      <c r="OE41" s="53"/>
      <c r="OF41" s="53"/>
      <c r="OG41" s="84"/>
      <c r="OH41" s="52"/>
      <c r="OI41" s="53"/>
      <c r="OJ41" s="53"/>
      <c r="OK41" s="53"/>
      <c r="OL41" s="82"/>
      <c r="OM41" s="82"/>
      <c r="ON41" s="82"/>
      <c r="OO41" s="82"/>
      <c r="OP41" s="82"/>
      <c r="OQ41" s="82"/>
      <c r="OR41" s="82"/>
      <c r="OS41" s="82"/>
      <c r="OT41" s="82"/>
      <c r="OU41" s="82"/>
      <c r="OV41" s="80"/>
      <c r="OW41" s="53"/>
      <c r="OX41" s="53"/>
      <c r="OY41" s="53"/>
      <c r="OZ41" s="53"/>
      <c r="PA41" s="84"/>
      <c r="PB41" s="52"/>
      <c r="PC41" s="53"/>
      <c r="PD41" s="53"/>
      <c r="PE41" s="53"/>
      <c r="PF41" s="82"/>
      <c r="PG41" s="82"/>
      <c r="PH41" s="82"/>
      <c r="PI41" s="82"/>
      <c r="PJ41" s="82"/>
      <c r="PK41" s="82"/>
      <c r="PL41" s="82"/>
      <c r="PM41" s="82"/>
      <c r="PN41" s="82"/>
      <c r="PO41" s="82"/>
      <c r="PP41" s="80"/>
      <c r="PQ41" s="53"/>
      <c r="PR41" s="53"/>
      <c r="PS41" s="53"/>
      <c r="PT41" s="53"/>
      <c r="PU41" s="84"/>
      <c r="PV41" s="52"/>
      <c r="PW41" s="53"/>
      <c r="PX41" s="53"/>
      <c r="PY41" s="53"/>
      <c r="PZ41" s="82"/>
      <c r="QA41" s="82"/>
      <c r="QB41" s="82"/>
      <c r="QC41" s="82"/>
      <c r="QD41" s="82"/>
      <c r="QE41" s="82"/>
      <c r="QF41" s="82"/>
      <c r="QG41" s="82"/>
      <c r="QH41" s="82"/>
      <c r="QI41" s="82"/>
      <c r="QJ41" s="80"/>
      <c r="QK41" s="53"/>
      <c r="QL41" s="53"/>
      <c r="QM41" s="53"/>
      <c r="QN41" s="53"/>
      <c r="QO41" s="84"/>
      <c r="QP41" s="52"/>
      <c r="QQ41" s="53"/>
      <c r="QR41" s="53"/>
      <c r="QS41" s="53"/>
      <c r="QT41" s="82"/>
      <c r="QU41" s="82"/>
      <c r="QV41" s="82"/>
      <c r="QW41" s="82"/>
      <c r="QX41" s="82"/>
      <c r="QY41" s="82"/>
      <c r="QZ41" s="82"/>
      <c r="RA41" s="82"/>
      <c r="RB41" s="82"/>
      <c r="RC41" s="82"/>
      <c r="RD41" s="80"/>
      <c r="RE41" s="53"/>
      <c r="RF41" s="53"/>
      <c r="RG41" s="53"/>
      <c r="RH41" s="53"/>
      <c r="RI41" s="84"/>
      <c r="RJ41" s="52"/>
      <c r="RK41" s="53"/>
      <c r="RL41" s="53"/>
      <c r="RM41" s="53"/>
      <c r="RN41" s="82"/>
      <c r="RO41" s="82"/>
      <c r="RP41" s="82"/>
      <c r="RQ41" s="82"/>
      <c r="RR41" s="82"/>
      <c r="RS41" s="82"/>
      <c r="RT41" s="82"/>
      <c r="RU41" s="82"/>
      <c r="RV41" s="82"/>
      <c r="RW41" s="82"/>
      <c r="RX41" s="80"/>
      <c r="RY41" s="53"/>
      <c r="RZ41" s="53"/>
      <c r="SA41" s="53"/>
      <c r="SB41" s="53"/>
      <c r="SC41" s="84"/>
      <c r="SD41" s="52"/>
      <c r="SE41" s="53"/>
      <c r="SF41" s="53"/>
      <c r="SG41" s="53"/>
    </row>
    <row r="42" spans="1:501" s="44" customFormat="1" ht="20.399999999999999" customHeight="1" x14ac:dyDescent="0.3">
      <c r="A42" s="125" t="s">
        <v>237</v>
      </c>
      <c r="B42" s="125"/>
      <c r="C42" s="125"/>
      <c r="D42" s="12"/>
      <c r="E42" s="12"/>
      <c r="F42" s="12"/>
      <c r="G42" s="72"/>
      <c r="H42" s="72"/>
      <c r="I42" s="204"/>
      <c r="J42" s="72"/>
      <c r="K42" s="72"/>
      <c r="L42" s="12"/>
      <c r="M42" s="125"/>
      <c r="N42" s="12"/>
      <c r="O42" s="83"/>
      <c r="P42" s="83"/>
      <c r="Q42" s="110"/>
      <c r="R42" s="83"/>
      <c r="S42" s="83"/>
      <c r="T42" s="72"/>
      <c r="U42" s="78"/>
      <c r="V42" s="12"/>
      <c r="W42" s="125"/>
      <c r="X42" s="12"/>
      <c r="Y42" s="83"/>
      <c r="Z42" s="83"/>
      <c r="AA42" s="110"/>
      <c r="AB42" s="83"/>
      <c r="AC42" s="83"/>
      <c r="AD42" s="83"/>
      <c r="AE42" s="83"/>
      <c r="AF42" s="12"/>
      <c r="AG42" s="125"/>
      <c r="AH42" s="12"/>
      <c r="AI42" s="83"/>
      <c r="AJ42" s="83"/>
      <c r="AK42" s="110"/>
      <c r="AL42" s="83"/>
      <c r="AM42" s="83"/>
      <c r="AN42" s="46"/>
      <c r="AO42" s="46"/>
      <c r="AP42" s="12"/>
      <c r="AQ42" s="125"/>
      <c r="AR42" s="12"/>
      <c r="AS42" s="83"/>
      <c r="AT42" s="83"/>
      <c r="AU42" s="110"/>
      <c r="AV42" s="83"/>
      <c r="AW42" s="83"/>
      <c r="AX42" s="83"/>
      <c r="AY42" s="83"/>
      <c r="AZ42" s="83"/>
      <c r="BA42" s="83"/>
      <c r="BB42" s="83"/>
      <c r="BC42" s="46"/>
      <c r="BD42" s="46"/>
      <c r="BE42" s="194"/>
      <c r="BF42" s="41"/>
      <c r="BG42" s="46"/>
      <c r="BH42" s="46"/>
      <c r="BI42" s="46"/>
      <c r="BJ42" s="125"/>
      <c r="BK42" s="125"/>
      <c r="BL42" s="12"/>
      <c r="BM42" s="12"/>
      <c r="BN42" s="12"/>
      <c r="BO42" s="72"/>
      <c r="BP42" s="72"/>
      <c r="BQ42" s="72"/>
      <c r="BR42" s="83"/>
      <c r="BS42" s="83"/>
      <c r="BT42" s="125"/>
      <c r="BU42" s="125"/>
      <c r="BV42" s="12"/>
      <c r="BW42" s="12"/>
      <c r="BX42" s="12"/>
      <c r="BY42" s="72"/>
      <c r="BZ42" s="72"/>
      <c r="CA42" s="72"/>
      <c r="CB42" s="46"/>
      <c r="CC42" s="46"/>
      <c r="CD42" s="125"/>
      <c r="CE42" s="125"/>
      <c r="CF42" s="12"/>
      <c r="CG42" s="12"/>
      <c r="CH42" s="12"/>
      <c r="CI42" s="72"/>
      <c r="CJ42" s="72"/>
      <c r="CK42" s="72"/>
      <c r="CL42" s="83"/>
      <c r="CM42" s="83"/>
      <c r="CN42" s="81"/>
      <c r="CO42" s="46"/>
      <c r="CP42" s="46"/>
      <c r="CQ42" s="46"/>
      <c r="CR42" s="46"/>
      <c r="CS42" s="85"/>
      <c r="CT42" s="41"/>
      <c r="CU42" s="46"/>
      <c r="CV42" s="46"/>
      <c r="CW42" s="46"/>
      <c r="CX42" s="83"/>
      <c r="CY42" s="83"/>
      <c r="CZ42" s="83"/>
      <c r="DA42" s="83"/>
      <c r="DB42" s="83"/>
      <c r="DC42" s="83"/>
      <c r="DD42" s="83"/>
      <c r="DE42" s="83"/>
      <c r="DF42" s="83"/>
      <c r="DG42" s="83"/>
      <c r="DH42" s="81"/>
      <c r="DI42" s="46"/>
      <c r="DJ42" s="46"/>
      <c r="DK42" s="46"/>
      <c r="DL42" s="46"/>
      <c r="DM42" s="85"/>
      <c r="DN42" s="41"/>
      <c r="DO42" s="46"/>
      <c r="DP42" s="46"/>
      <c r="DQ42" s="46"/>
      <c r="DR42" s="83"/>
      <c r="DS42" s="83"/>
      <c r="DT42" s="83"/>
      <c r="DU42" s="83"/>
      <c r="DV42" s="83"/>
      <c r="DW42" s="83"/>
      <c r="DX42" s="83"/>
      <c r="DY42" s="83"/>
      <c r="DZ42" s="83"/>
      <c r="EA42" s="83"/>
      <c r="EB42" s="81"/>
      <c r="EC42" s="46"/>
      <c r="ED42" s="46"/>
      <c r="EE42" s="46"/>
      <c r="EF42" s="46"/>
      <c r="EG42" s="85"/>
      <c r="EH42" s="41"/>
      <c r="EI42" s="46"/>
      <c r="EJ42" s="46"/>
      <c r="EK42" s="46"/>
      <c r="EL42" s="83"/>
      <c r="EM42" s="83"/>
      <c r="EN42" s="83"/>
      <c r="EO42" s="83"/>
      <c r="EP42" s="83"/>
      <c r="EQ42" s="83"/>
      <c r="ER42" s="83"/>
      <c r="ES42" s="83"/>
      <c r="ET42" s="83"/>
      <c r="EU42" s="83"/>
      <c r="EV42" s="81"/>
      <c r="EW42" s="46"/>
      <c r="EX42" s="46"/>
      <c r="EY42" s="46"/>
      <c r="EZ42" s="46"/>
      <c r="FA42" s="85"/>
      <c r="FB42" s="41"/>
      <c r="FC42" s="46"/>
      <c r="FD42" s="46"/>
      <c r="FE42" s="46"/>
      <c r="FF42" s="83"/>
      <c r="FG42" s="83"/>
      <c r="FH42" s="83"/>
      <c r="FI42" s="83"/>
      <c r="FJ42" s="83"/>
      <c r="FK42" s="83"/>
      <c r="FL42" s="83"/>
      <c r="FM42" s="83"/>
      <c r="FN42" s="83"/>
      <c r="FO42" s="83"/>
      <c r="FP42" s="81"/>
      <c r="FQ42" s="46"/>
      <c r="FR42" s="46"/>
      <c r="FS42" s="46"/>
      <c r="FT42" s="46"/>
      <c r="FU42" s="85"/>
      <c r="FV42" s="41"/>
      <c r="FW42" s="46"/>
      <c r="FX42" s="46"/>
      <c r="FY42" s="46"/>
      <c r="FZ42" s="83"/>
      <c r="GA42" s="83"/>
      <c r="GB42" s="83"/>
      <c r="GC42" s="83"/>
      <c r="GD42" s="83"/>
      <c r="GE42" s="83"/>
      <c r="GF42" s="83"/>
      <c r="GG42" s="83"/>
      <c r="GH42" s="83"/>
      <c r="GI42" s="83"/>
      <c r="GJ42" s="81"/>
      <c r="GK42" s="46"/>
      <c r="GL42" s="46"/>
      <c r="GM42" s="46"/>
      <c r="GN42" s="46"/>
      <c r="GO42" s="85"/>
      <c r="GP42" s="41"/>
      <c r="GQ42" s="46"/>
      <c r="GR42" s="46"/>
      <c r="GS42" s="46"/>
      <c r="GT42" s="83"/>
      <c r="GU42" s="83"/>
      <c r="GV42" s="83"/>
      <c r="GW42" s="83"/>
      <c r="GX42" s="83"/>
      <c r="GY42" s="83"/>
      <c r="GZ42" s="83"/>
      <c r="HA42" s="83"/>
      <c r="HB42" s="83"/>
      <c r="HC42" s="83"/>
      <c r="HD42" s="81"/>
      <c r="HE42" s="46"/>
      <c r="HF42" s="46"/>
      <c r="HG42" s="46"/>
      <c r="HH42" s="46"/>
      <c r="HI42" s="85"/>
      <c r="HJ42" s="41"/>
      <c r="HK42" s="46"/>
      <c r="HL42" s="46"/>
      <c r="HM42" s="46"/>
      <c r="HN42" s="83"/>
      <c r="HO42" s="83"/>
      <c r="HP42" s="83"/>
      <c r="HQ42" s="83"/>
      <c r="HR42" s="83"/>
      <c r="HS42" s="83"/>
      <c r="HT42" s="83"/>
      <c r="HU42" s="83"/>
      <c r="HV42" s="83"/>
      <c r="HW42" s="83"/>
      <c r="HX42" s="81"/>
      <c r="HY42" s="46"/>
      <c r="HZ42" s="46"/>
      <c r="IA42" s="46"/>
      <c r="IB42" s="46"/>
      <c r="IC42" s="85"/>
      <c r="ID42" s="41"/>
      <c r="IE42" s="46"/>
      <c r="IF42" s="46"/>
      <c r="IG42" s="46"/>
      <c r="IH42" s="83"/>
      <c r="II42" s="83"/>
      <c r="IJ42" s="83"/>
      <c r="IK42" s="83"/>
      <c r="IL42" s="83"/>
      <c r="IM42" s="83"/>
      <c r="IN42" s="83"/>
      <c r="IO42" s="83"/>
      <c r="IP42" s="83"/>
      <c r="IQ42" s="83"/>
      <c r="IR42" s="81"/>
      <c r="IS42" s="46"/>
      <c r="IT42" s="46"/>
      <c r="IU42" s="46"/>
      <c r="IV42" s="46"/>
      <c r="IW42" s="85"/>
      <c r="IX42" s="41"/>
      <c r="IY42" s="46"/>
      <c r="IZ42" s="46"/>
      <c r="JA42" s="46"/>
      <c r="JB42" s="83"/>
      <c r="JC42" s="83"/>
      <c r="JD42" s="83"/>
      <c r="JE42" s="83"/>
      <c r="JF42" s="83"/>
      <c r="JG42" s="83"/>
      <c r="JH42" s="83"/>
      <c r="JI42" s="83"/>
      <c r="JJ42" s="83"/>
      <c r="JK42" s="83"/>
      <c r="JL42" s="81"/>
      <c r="JM42" s="46"/>
      <c r="JN42" s="46"/>
      <c r="JO42" s="46"/>
      <c r="JP42" s="46"/>
      <c r="JQ42" s="85"/>
      <c r="JR42" s="41"/>
      <c r="JS42" s="46"/>
      <c r="JT42" s="46"/>
      <c r="JU42" s="46"/>
      <c r="JV42" s="83"/>
      <c r="JW42" s="83"/>
      <c r="JX42" s="83"/>
      <c r="JY42" s="83"/>
      <c r="JZ42" s="83"/>
      <c r="KA42" s="83"/>
      <c r="KB42" s="83"/>
      <c r="KC42" s="83"/>
      <c r="KD42" s="83"/>
      <c r="KE42" s="83"/>
      <c r="KF42" s="81"/>
      <c r="KG42" s="46"/>
      <c r="KH42" s="46"/>
      <c r="KI42" s="46"/>
      <c r="KJ42" s="46"/>
      <c r="KK42" s="85"/>
      <c r="KL42" s="41"/>
      <c r="KM42" s="46"/>
      <c r="KN42" s="46"/>
      <c r="KO42" s="46"/>
      <c r="KP42" s="83"/>
      <c r="KQ42" s="83"/>
      <c r="KR42" s="83"/>
      <c r="KS42" s="83"/>
      <c r="KT42" s="83"/>
      <c r="KU42" s="83"/>
      <c r="KV42" s="83"/>
      <c r="KW42" s="83"/>
      <c r="KX42" s="83"/>
      <c r="KY42" s="83"/>
      <c r="KZ42" s="81"/>
      <c r="LA42" s="46"/>
      <c r="LB42" s="46"/>
      <c r="LC42" s="46"/>
      <c r="LD42" s="46"/>
      <c r="LE42" s="85"/>
      <c r="LF42" s="41"/>
      <c r="LG42" s="46"/>
      <c r="LH42" s="46"/>
      <c r="LI42" s="46"/>
      <c r="LJ42" s="83"/>
      <c r="LK42" s="83"/>
      <c r="LL42" s="83"/>
      <c r="LM42" s="83"/>
      <c r="LN42" s="83"/>
      <c r="LO42" s="83"/>
      <c r="LP42" s="83"/>
      <c r="LQ42" s="83"/>
      <c r="LR42" s="83"/>
      <c r="LS42" s="83"/>
      <c r="LT42" s="81"/>
      <c r="LU42" s="46"/>
      <c r="LV42" s="46"/>
      <c r="LW42" s="46"/>
      <c r="LX42" s="46"/>
      <c r="LY42" s="85"/>
      <c r="LZ42" s="41"/>
      <c r="MA42" s="46"/>
      <c r="MB42" s="46"/>
      <c r="MC42" s="46"/>
      <c r="MD42" s="83"/>
      <c r="ME42" s="83"/>
      <c r="MF42" s="83"/>
      <c r="MG42" s="83"/>
      <c r="MH42" s="83"/>
      <c r="MI42" s="83"/>
      <c r="MJ42" s="83"/>
      <c r="MK42" s="83"/>
      <c r="ML42" s="83"/>
      <c r="MM42" s="83"/>
      <c r="MN42" s="81"/>
      <c r="MO42" s="46"/>
      <c r="MP42" s="46"/>
      <c r="MQ42" s="46"/>
      <c r="MR42" s="46"/>
      <c r="MS42" s="85"/>
      <c r="MT42" s="41"/>
      <c r="MU42" s="46"/>
      <c r="MV42" s="46"/>
      <c r="MW42" s="46"/>
      <c r="MX42" s="83"/>
      <c r="MY42" s="83"/>
      <c r="MZ42" s="83"/>
      <c r="NA42" s="83"/>
      <c r="NB42" s="83"/>
      <c r="NC42" s="83"/>
      <c r="ND42" s="83"/>
      <c r="NE42" s="83"/>
      <c r="NF42" s="83"/>
      <c r="NG42" s="83"/>
      <c r="NH42" s="81"/>
      <c r="NI42" s="46"/>
      <c r="NJ42" s="46"/>
      <c r="NK42" s="46"/>
      <c r="NL42" s="46"/>
      <c r="NM42" s="85"/>
      <c r="NN42" s="41"/>
      <c r="NO42" s="46"/>
      <c r="NP42" s="46"/>
      <c r="NQ42" s="46"/>
      <c r="NR42" s="83"/>
      <c r="NS42" s="83"/>
      <c r="NT42" s="83"/>
      <c r="NU42" s="83"/>
      <c r="NV42" s="83"/>
      <c r="NW42" s="83"/>
      <c r="NX42" s="83"/>
      <c r="NY42" s="83"/>
      <c r="NZ42" s="83"/>
      <c r="OA42" s="83"/>
      <c r="OB42" s="81"/>
      <c r="OC42" s="46"/>
      <c r="OD42" s="46"/>
      <c r="OE42" s="46"/>
      <c r="OF42" s="46"/>
      <c r="OG42" s="85"/>
      <c r="OH42" s="41"/>
      <c r="OI42" s="46"/>
      <c r="OJ42" s="46"/>
      <c r="OK42" s="46"/>
      <c r="OL42" s="83"/>
      <c r="OM42" s="83"/>
      <c r="ON42" s="83"/>
      <c r="OO42" s="83"/>
      <c r="OP42" s="83"/>
      <c r="OQ42" s="83"/>
      <c r="OR42" s="83"/>
      <c r="OS42" s="83"/>
      <c r="OT42" s="83"/>
      <c r="OU42" s="83"/>
      <c r="OV42" s="81"/>
      <c r="OW42" s="46"/>
      <c r="OX42" s="46"/>
      <c r="OY42" s="46"/>
      <c r="OZ42" s="46"/>
      <c r="PA42" s="85"/>
      <c r="PB42" s="41"/>
      <c r="PC42" s="46"/>
      <c r="PD42" s="46"/>
      <c r="PE42" s="46"/>
      <c r="PF42" s="83"/>
      <c r="PG42" s="83"/>
      <c r="PH42" s="83"/>
      <c r="PI42" s="83"/>
      <c r="PJ42" s="83"/>
      <c r="PK42" s="83"/>
      <c r="PL42" s="83"/>
      <c r="PM42" s="83"/>
      <c r="PN42" s="83"/>
      <c r="PO42" s="83"/>
      <c r="PP42" s="81"/>
      <c r="PQ42" s="46"/>
      <c r="PR42" s="46"/>
      <c r="PS42" s="46"/>
      <c r="PT42" s="46"/>
      <c r="PU42" s="85"/>
      <c r="PV42" s="41"/>
      <c r="PW42" s="46"/>
      <c r="PX42" s="46"/>
      <c r="PY42" s="46"/>
      <c r="PZ42" s="83"/>
      <c r="QA42" s="83"/>
      <c r="QB42" s="83"/>
      <c r="QC42" s="83"/>
      <c r="QD42" s="83"/>
      <c r="QE42" s="83"/>
      <c r="QF42" s="83"/>
      <c r="QG42" s="83"/>
      <c r="QH42" s="83"/>
      <c r="QI42" s="83"/>
      <c r="QJ42" s="81"/>
      <c r="QK42" s="46"/>
      <c r="QL42" s="46"/>
      <c r="QM42" s="46"/>
      <c r="QN42" s="46"/>
      <c r="QO42" s="85"/>
      <c r="QP42" s="41"/>
      <c r="QQ42" s="46"/>
      <c r="QR42" s="46"/>
      <c r="QS42" s="46"/>
      <c r="QT42" s="83"/>
      <c r="QU42" s="83"/>
      <c r="QV42" s="83"/>
      <c r="QW42" s="83"/>
      <c r="QX42" s="83"/>
      <c r="QY42" s="83"/>
      <c r="QZ42" s="83"/>
      <c r="RA42" s="83"/>
      <c r="RB42" s="83"/>
      <c r="RC42" s="83"/>
      <c r="RD42" s="81"/>
      <c r="RE42" s="46"/>
      <c r="RF42" s="46"/>
      <c r="RG42" s="46"/>
      <c r="RH42" s="46"/>
      <c r="RI42" s="85"/>
      <c r="RJ42" s="41"/>
      <c r="RK42" s="46"/>
      <c r="RL42" s="46"/>
      <c r="RM42" s="46"/>
      <c r="RN42" s="83"/>
      <c r="RO42" s="83"/>
      <c r="RP42" s="83"/>
      <c r="RQ42" s="83"/>
      <c r="RR42" s="83"/>
      <c r="RS42" s="83"/>
      <c r="RT42" s="83"/>
      <c r="RU42" s="83"/>
      <c r="RV42" s="83"/>
      <c r="RW42" s="83"/>
      <c r="RX42" s="81"/>
      <c r="RY42" s="46"/>
      <c r="RZ42" s="46"/>
      <c r="SA42" s="46"/>
      <c r="SB42" s="46"/>
      <c r="SC42" s="85"/>
      <c r="SD42" s="41"/>
      <c r="SE42" s="46"/>
      <c r="SF42" s="46"/>
      <c r="SG42" s="46"/>
    </row>
    <row r="43" spans="1:501" s="44" customFormat="1" ht="20.399999999999999" customHeight="1" x14ac:dyDescent="0.3">
      <c r="A43" s="66" t="s">
        <v>241</v>
      </c>
      <c r="B43" s="66"/>
      <c r="C43" s="66"/>
      <c r="D43" s="49"/>
      <c r="E43" s="49"/>
      <c r="F43" s="49"/>
      <c r="G43" s="70"/>
      <c r="H43" s="70"/>
      <c r="I43" s="206"/>
      <c r="J43" s="70"/>
      <c r="K43" s="70"/>
      <c r="L43" s="70"/>
      <c r="M43" s="70"/>
      <c r="N43" s="70"/>
      <c r="O43" s="70"/>
      <c r="P43" s="70"/>
      <c r="Q43" s="70"/>
      <c r="R43" s="70"/>
      <c r="S43" s="70"/>
      <c r="T43" s="70"/>
      <c r="U43" s="77"/>
      <c r="V43" s="82"/>
      <c r="W43" s="82"/>
      <c r="X43" s="82"/>
      <c r="Y43" s="82"/>
      <c r="Z43" s="82"/>
      <c r="AA43" s="82"/>
      <c r="AB43" s="82"/>
      <c r="AC43" s="82"/>
      <c r="AD43" s="82"/>
      <c r="AE43" s="82"/>
      <c r="AF43" s="80"/>
      <c r="AG43" s="53"/>
      <c r="AH43" s="53"/>
      <c r="AI43" s="53"/>
      <c r="AJ43" s="53"/>
      <c r="AK43" s="84"/>
      <c r="AL43" s="52"/>
      <c r="AM43" s="53"/>
      <c r="AN43" s="53"/>
      <c r="AO43" s="53"/>
      <c r="AP43" s="82"/>
      <c r="AQ43" s="82"/>
      <c r="AR43" s="82"/>
      <c r="AS43" s="82"/>
      <c r="AT43" s="82"/>
      <c r="AU43" s="82"/>
      <c r="AV43" s="82"/>
      <c r="AW43" s="82"/>
      <c r="AX43" s="82"/>
      <c r="AY43" s="82"/>
      <c r="AZ43" s="80"/>
      <c r="BA43" s="53"/>
      <c r="BB43" s="53"/>
      <c r="BC43" s="53"/>
      <c r="BD43" s="53"/>
      <c r="BE43" s="84"/>
      <c r="BF43" s="52"/>
      <c r="BG43" s="53"/>
      <c r="BH43" s="53"/>
      <c r="BI43" s="53"/>
      <c r="BJ43" s="82"/>
      <c r="BK43" s="82"/>
      <c r="BL43" s="82"/>
      <c r="BM43" s="82"/>
      <c r="BN43" s="82"/>
      <c r="BO43" s="82"/>
      <c r="BP43" s="82"/>
      <c r="BQ43" s="82"/>
      <c r="BR43" s="82"/>
      <c r="BS43" s="82"/>
      <c r="BT43" s="80"/>
      <c r="BU43" s="53"/>
      <c r="BV43" s="53"/>
      <c r="BW43" s="53"/>
      <c r="BX43" s="53"/>
      <c r="BY43" s="84"/>
      <c r="BZ43" s="52"/>
      <c r="CA43" s="53"/>
      <c r="CB43" s="53"/>
      <c r="CC43" s="53"/>
      <c r="CD43" s="82"/>
      <c r="CE43" s="82"/>
      <c r="CF43" s="82"/>
      <c r="CG43" s="82"/>
      <c r="CH43" s="82"/>
      <c r="CI43" s="82"/>
      <c r="CJ43" s="82"/>
      <c r="CK43" s="82"/>
      <c r="CL43" s="82"/>
      <c r="CM43" s="82"/>
      <c r="CN43" s="80"/>
      <c r="CO43" s="53"/>
      <c r="CP43" s="53"/>
      <c r="CQ43" s="53"/>
      <c r="CR43" s="53"/>
      <c r="CS43" s="84"/>
      <c r="CT43" s="52"/>
      <c r="CU43" s="53"/>
      <c r="CV43" s="53"/>
      <c r="CW43" s="53"/>
      <c r="CX43" s="82"/>
      <c r="CY43" s="82"/>
      <c r="CZ43" s="82"/>
      <c r="DA43" s="82"/>
      <c r="DB43" s="82"/>
      <c r="DC43" s="82"/>
      <c r="DD43" s="82"/>
      <c r="DE43" s="82"/>
      <c r="DF43" s="82"/>
      <c r="DG43" s="82"/>
      <c r="DH43" s="80"/>
      <c r="DI43" s="53"/>
      <c r="DJ43" s="53"/>
      <c r="DK43" s="53"/>
      <c r="DL43" s="53"/>
      <c r="DM43" s="84"/>
      <c r="DN43" s="52"/>
      <c r="DO43" s="53"/>
      <c r="DP43" s="53"/>
      <c r="DQ43" s="53"/>
      <c r="DR43" s="82"/>
      <c r="DS43" s="82"/>
      <c r="DT43" s="82"/>
      <c r="DU43" s="82"/>
      <c r="DV43" s="82"/>
      <c r="DW43" s="82"/>
      <c r="DX43" s="82"/>
      <c r="DY43" s="82"/>
      <c r="DZ43" s="82"/>
      <c r="EA43" s="82"/>
      <c r="EB43" s="80"/>
      <c r="EC43" s="53"/>
      <c r="ED43" s="53"/>
      <c r="EE43" s="53"/>
      <c r="EF43" s="53"/>
      <c r="EG43" s="84"/>
      <c r="EH43" s="52"/>
      <c r="EI43" s="53"/>
      <c r="EJ43" s="53"/>
      <c r="EK43" s="53"/>
      <c r="EL43" s="82"/>
      <c r="EM43" s="82"/>
      <c r="EN43" s="82"/>
      <c r="EO43" s="82"/>
      <c r="EP43" s="82"/>
      <c r="EQ43" s="82"/>
      <c r="ER43" s="82"/>
      <c r="ES43" s="82"/>
      <c r="ET43" s="82"/>
      <c r="EU43" s="82"/>
      <c r="EV43" s="80"/>
      <c r="EW43" s="53"/>
      <c r="EX43" s="53"/>
      <c r="EY43" s="53"/>
      <c r="EZ43" s="53"/>
      <c r="FA43" s="84"/>
      <c r="FB43" s="52"/>
      <c r="FC43" s="53"/>
      <c r="FD43" s="53"/>
      <c r="FE43" s="53"/>
      <c r="FF43" s="82"/>
      <c r="FG43" s="82"/>
      <c r="FH43" s="82"/>
      <c r="FI43" s="82"/>
      <c r="FJ43" s="82"/>
      <c r="FK43" s="82"/>
      <c r="FL43" s="82"/>
      <c r="FM43" s="82"/>
      <c r="FN43" s="82"/>
      <c r="FO43" s="82"/>
      <c r="FP43" s="80"/>
      <c r="FQ43" s="53"/>
      <c r="FR43" s="53"/>
      <c r="FS43" s="53"/>
      <c r="FT43" s="53"/>
      <c r="FU43" s="84"/>
      <c r="FV43" s="52"/>
      <c r="FW43" s="53"/>
      <c r="FX43" s="53"/>
      <c r="FY43" s="53"/>
      <c r="FZ43" s="82"/>
      <c r="GA43" s="82"/>
      <c r="GB43" s="82"/>
      <c r="GC43" s="82"/>
      <c r="GD43" s="82"/>
      <c r="GE43" s="82"/>
      <c r="GF43" s="82"/>
      <c r="GG43" s="82"/>
      <c r="GH43" s="82"/>
      <c r="GI43" s="82"/>
      <c r="GJ43" s="80"/>
      <c r="GK43" s="53"/>
      <c r="GL43" s="53"/>
      <c r="GM43" s="53"/>
      <c r="GN43" s="53"/>
      <c r="GO43" s="84"/>
      <c r="GP43" s="52"/>
      <c r="GQ43" s="53"/>
      <c r="GR43" s="53"/>
      <c r="GS43" s="53"/>
      <c r="GT43" s="82"/>
      <c r="GU43" s="82"/>
      <c r="GV43" s="82"/>
      <c r="GW43" s="82"/>
      <c r="GX43" s="82"/>
      <c r="GY43" s="82"/>
      <c r="GZ43" s="82"/>
      <c r="HA43" s="82"/>
      <c r="HB43" s="82"/>
      <c r="HC43" s="82"/>
      <c r="HD43" s="80"/>
      <c r="HE43" s="53"/>
      <c r="HF43" s="53"/>
      <c r="HG43" s="53"/>
      <c r="HH43" s="53"/>
      <c r="HI43" s="84"/>
      <c r="HJ43" s="52"/>
      <c r="HK43" s="53"/>
      <c r="HL43" s="53"/>
      <c r="HM43" s="53"/>
      <c r="HN43" s="82"/>
      <c r="HO43" s="82"/>
      <c r="HP43" s="82"/>
      <c r="HQ43" s="82"/>
      <c r="HR43" s="82"/>
      <c r="HS43" s="82"/>
      <c r="HT43" s="82"/>
      <c r="HU43" s="82"/>
      <c r="HV43" s="82"/>
      <c r="HW43" s="82"/>
      <c r="HX43" s="80"/>
      <c r="HY43" s="53"/>
      <c r="HZ43" s="53"/>
      <c r="IA43" s="53"/>
      <c r="IB43" s="53"/>
      <c r="IC43" s="84"/>
      <c r="ID43" s="52"/>
      <c r="IE43" s="53"/>
      <c r="IF43" s="53"/>
      <c r="IG43" s="53"/>
      <c r="IH43" s="82"/>
      <c r="II43" s="82"/>
      <c r="IJ43" s="82"/>
      <c r="IK43" s="82"/>
      <c r="IL43" s="82"/>
      <c r="IM43" s="82"/>
      <c r="IN43" s="82"/>
      <c r="IO43" s="82"/>
      <c r="IP43" s="82"/>
      <c r="IQ43" s="82"/>
      <c r="IR43" s="80"/>
      <c r="IS43" s="53"/>
      <c r="IT43" s="53"/>
      <c r="IU43" s="53"/>
      <c r="IV43" s="53"/>
      <c r="IW43" s="84"/>
      <c r="IX43" s="52"/>
      <c r="IY43" s="53"/>
      <c r="IZ43" s="53"/>
      <c r="JA43" s="53"/>
      <c r="JB43" s="82"/>
      <c r="JC43" s="82"/>
      <c r="JD43" s="82"/>
      <c r="JE43" s="82"/>
      <c r="JF43" s="82"/>
      <c r="JG43" s="82"/>
      <c r="JH43" s="82"/>
      <c r="JI43" s="82"/>
      <c r="JJ43" s="82"/>
      <c r="JK43" s="82"/>
      <c r="JL43" s="80"/>
      <c r="JM43" s="53"/>
      <c r="JN43" s="53"/>
      <c r="JO43" s="53"/>
      <c r="JP43" s="53"/>
      <c r="JQ43" s="84"/>
      <c r="JR43" s="52"/>
      <c r="JS43" s="53"/>
      <c r="JT43" s="53"/>
      <c r="JU43" s="53"/>
      <c r="JV43" s="82"/>
      <c r="JW43" s="82"/>
      <c r="JX43" s="82"/>
      <c r="JY43" s="82"/>
      <c r="JZ43" s="82"/>
      <c r="KA43" s="82"/>
      <c r="KB43" s="82"/>
      <c r="KC43" s="82"/>
      <c r="KD43" s="82"/>
      <c r="KE43" s="82"/>
      <c r="KF43" s="80"/>
      <c r="KG43" s="53"/>
      <c r="KH43" s="53"/>
      <c r="KI43" s="53"/>
      <c r="KJ43" s="53"/>
      <c r="KK43" s="84"/>
      <c r="KL43" s="52"/>
      <c r="KM43" s="53"/>
      <c r="KN43" s="53"/>
      <c r="KO43" s="53"/>
      <c r="KP43" s="82"/>
      <c r="KQ43" s="82"/>
      <c r="KR43" s="82"/>
      <c r="KS43" s="82"/>
      <c r="KT43" s="82"/>
      <c r="KU43" s="82"/>
      <c r="KV43" s="82"/>
      <c r="KW43" s="82"/>
      <c r="KX43" s="82"/>
      <c r="KY43" s="82"/>
      <c r="KZ43" s="80"/>
      <c r="LA43" s="53"/>
      <c r="LB43" s="53"/>
      <c r="LC43" s="53"/>
      <c r="LD43" s="53"/>
      <c r="LE43" s="84"/>
      <c r="LF43" s="52"/>
      <c r="LG43" s="53"/>
      <c r="LH43" s="53"/>
      <c r="LI43" s="53"/>
      <c r="LJ43" s="82"/>
      <c r="LK43" s="82"/>
      <c r="LL43" s="82"/>
      <c r="LM43" s="82"/>
      <c r="LN43" s="82"/>
      <c r="LO43" s="82"/>
      <c r="LP43" s="82"/>
      <c r="LQ43" s="82"/>
      <c r="LR43" s="82"/>
      <c r="LS43" s="82"/>
      <c r="LT43" s="80"/>
      <c r="LU43" s="53"/>
      <c r="LV43" s="53"/>
      <c r="LW43" s="53"/>
      <c r="LX43" s="53"/>
      <c r="LY43" s="84"/>
      <c r="LZ43" s="52"/>
      <c r="MA43" s="53"/>
      <c r="MB43" s="53"/>
      <c r="MC43" s="53"/>
      <c r="MD43" s="82"/>
      <c r="ME43" s="82"/>
      <c r="MF43" s="82"/>
      <c r="MG43" s="82"/>
      <c r="MH43" s="82"/>
      <c r="MI43" s="82"/>
      <c r="MJ43" s="82"/>
      <c r="MK43" s="82"/>
      <c r="ML43" s="82"/>
      <c r="MM43" s="82"/>
      <c r="MN43" s="80"/>
      <c r="MO43" s="53"/>
      <c r="MP43" s="53"/>
      <c r="MQ43" s="53"/>
      <c r="MR43" s="53"/>
      <c r="MS43" s="84"/>
      <c r="MT43" s="52"/>
      <c r="MU43" s="53"/>
      <c r="MV43" s="53"/>
      <c r="MW43" s="53"/>
      <c r="MX43" s="82"/>
      <c r="MY43" s="82"/>
      <c r="MZ43" s="82"/>
      <c r="NA43" s="82"/>
      <c r="NB43" s="82"/>
      <c r="NC43" s="82"/>
      <c r="ND43" s="82"/>
      <c r="NE43" s="82"/>
      <c r="NF43" s="82"/>
      <c r="NG43" s="82"/>
      <c r="NH43" s="80"/>
      <c r="NI43" s="53"/>
      <c r="NJ43" s="53"/>
      <c r="NK43" s="53"/>
      <c r="NL43" s="53"/>
      <c r="NM43" s="84"/>
      <c r="NN43" s="52"/>
      <c r="NO43" s="53"/>
      <c r="NP43" s="53"/>
      <c r="NQ43" s="53"/>
      <c r="NR43" s="82"/>
      <c r="NS43" s="82"/>
      <c r="NT43" s="82"/>
      <c r="NU43" s="82"/>
      <c r="NV43" s="82"/>
      <c r="NW43" s="82"/>
      <c r="NX43" s="82"/>
      <c r="NY43" s="82"/>
      <c r="NZ43" s="82"/>
      <c r="OA43" s="82"/>
      <c r="OB43" s="80"/>
      <c r="OC43" s="53"/>
      <c r="OD43" s="53"/>
      <c r="OE43" s="53"/>
      <c r="OF43" s="53"/>
      <c r="OG43" s="84"/>
      <c r="OH43" s="52"/>
      <c r="OI43" s="53"/>
      <c r="OJ43" s="53"/>
      <c r="OK43" s="53"/>
      <c r="OL43" s="82"/>
      <c r="OM43" s="82"/>
      <c r="ON43" s="82"/>
      <c r="OO43" s="82"/>
      <c r="OP43" s="82"/>
      <c r="OQ43" s="82"/>
      <c r="OR43" s="82"/>
      <c r="OS43" s="82"/>
      <c r="OT43" s="82"/>
      <c r="OU43" s="82"/>
      <c r="OV43" s="80"/>
      <c r="OW43" s="53"/>
      <c r="OX43" s="53"/>
      <c r="OY43" s="53"/>
      <c r="OZ43" s="53"/>
      <c r="PA43" s="84"/>
      <c r="PB43" s="52"/>
      <c r="PC43" s="53"/>
      <c r="PD43" s="53"/>
      <c r="PE43" s="53"/>
      <c r="PF43" s="82"/>
      <c r="PG43" s="82"/>
      <c r="PH43" s="82"/>
      <c r="PI43" s="82"/>
      <c r="PJ43" s="82"/>
      <c r="PK43" s="82"/>
      <c r="PL43" s="82"/>
      <c r="PM43" s="82"/>
      <c r="PN43" s="82"/>
      <c r="PO43" s="82"/>
      <c r="PP43" s="80"/>
      <c r="PQ43" s="53"/>
      <c r="PR43" s="53"/>
      <c r="PS43" s="53"/>
      <c r="PT43" s="53"/>
      <c r="PU43" s="84"/>
      <c r="PV43" s="52"/>
      <c r="PW43" s="53"/>
      <c r="PX43" s="53"/>
      <c r="PY43" s="53"/>
      <c r="PZ43" s="82"/>
      <c r="QA43" s="82"/>
      <c r="QB43" s="82"/>
      <c r="QC43" s="82"/>
      <c r="QD43" s="82"/>
      <c r="QE43" s="82"/>
      <c r="QF43" s="82"/>
      <c r="QG43" s="82"/>
      <c r="QH43" s="82"/>
      <c r="QI43" s="82"/>
      <c r="QJ43" s="80"/>
      <c r="QK43" s="53"/>
      <c r="QL43" s="53"/>
      <c r="QM43" s="53"/>
      <c r="QN43" s="53"/>
      <c r="QO43" s="84"/>
      <c r="QP43" s="52"/>
      <c r="QQ43" s="53"/>
      <c r="QR43" s="53"/>
      <c r="QS43" s="53"/>
      <c r="QT43" s="82"/>
      <c r="QU43" s="82"/>
      <c r="QV43" s="82"/>
      <c r="QW43" s="82"/>
      <c r="QX43" s="82"/>
      <c r="QY43" s="82"/>
      <c r="QZ43" s="82"/>
      <c r="RA43" s="82"/>
      <c r="RB43" s="82"/>
      <c r="RC43" s="82"/>
      <c r="RD43" s="80"/>
      <c r="RE43" s="53"/>
      <c r="RF43" s="53"/>
      <c r="RG43" s="53"/>
      <c r="RH43" s="53"/>
      <c r="RI43" s="84"/>
      <c r="RJ43" s="52"/>
      <c r="RK43" s="53"/>
      <c r="RL43" s="53"/>
      <c r="RM43" s="53"/>
      <c r="RN43" s="82"/>
      <c r="RO43" s="82"/>
      <c r="RP43" s="82"/>
      <c r="RQ43" s="82"/>
      <c r="RR43" s="82"/>
      <c r="RS43" s="82"/>
      <c r="RT43" s="82"/>
      <c r="RU43" s="82"/>
      <c r="RV43" s="82"/>
      <c r="RW43" s="82"/>
      <c r="RX43" s="80"/>
      <c r="RY43" s="53"/>
      <c r="RZ43" s="53"/>
      <c r="SA43" s="53"/>
      <c r="SB43" s="53"/>
      <c r="SC43" s="84"/>
      <c r="SD43" s="52"/>
      <c r="SE43" s="53"/>
      <c r="SF43" s="53"/>
      <c r="SG43" s="53"/>
    </row>
    <row r="44" spans="1:501" s="44" customFormat="1" ht="20.399999999999999" customHeight="1" x14ac:dyDescent="0.3">
      <c r="A44" s="125" t="s">
        <v>245</v>
      </c>
      <c r="B44" s="125"/>
      <c r="C44" s="125"/>
      <c r="D44" s="12"/>
      <c r="E44" s="12"/>
      <c r="F44" s="12"/>
      <c r="G44" s="72"/>
      <c r="H44" s="72"/>
      <c r="I44" s="204"/>
      <c r="J44" s="72"/>
      <c r="K44" s="72"/>
      <c r="L44" s="12"/>
      <c r="M44" s="125"/>
      <c r="N44" s="12"/>
      <c r="O44" s="83"/>
      <c r="P44" s="83"/>
      <c r="Q44" s="110"/>
      <c r="R44" s="83"/>
      <c r="S44" s="83"/>
      <c r="T44" s="72"/>
      <c r="U44" s="78"/>
      <c r="V44" s="12"/>
      <c r="W44" s="125"/>
      <c r="X44" s="12"/>
      <c r="Y44" s="83"/>
      <c r="Z44" s="83"/>
      <c r="AA44" s="110"/>
      <c r="AB44" s="83"/>
      <c r="AC44" s="83"/>
      <c r="AD44" s="83"/>
      <c r="AE44" s="83"/>
      <c r="AF44" s="12"/>
      <c r="AG44" s="125"/>
      <c r="AH44" s="12"/>
      <c r="AI44" s="83"/>
      <c r="AJ44" s="83"/>
      <c r="AK44" s="110"/>
      <c r="AL44" s="83"/>
      <c r="AM44" s="83"/>
      <c r="AN44" s="46"/>
      <c r="AO44" s="46"/>
      <c r="AP44" s="12"/>
      <c r="AQ44" s="125"/>
      <c r="AR44" s="12"/>
      <c r="AS44" s="83"/>
      <c r="AT44" s="83"/>
      <c r="AU44" s="110"/>
      <c r="AV44" s="83"/>
      <c r="AW44" s="83"/>
      <c r="AX44" s="83"/>
      <c r="AY44" s="83"/>
      <c r="AZ44" s="83"/>
      <c r="BA44" s="83"/>
      <c r="BB44" s="83"/>
      <c r="BC44" s="46"/>
      <c r="BD44" s="46"/>
      <c r="BE44" s="194"/>
      <c r="BF44" s="41"/>
      <c r="BG44" s="46"/>
      <c r="BH44" s="46"/>
      <c r="BI44" s="46"/>
      <c r="BJ44" s="125"/>
      <c r="BK44" s="125"/>
      <c r="BL44" s="12"/>
      <c r="BM44" s="12"/>
      <c r="BN44" s="12"/>
      <c r="BO44" s="72"/>
      <c r="BP44" s="72"/>
      <c r="BQ44" s="72"/>
      <c r="BR44" s="83"/>
      <c r="BS44" s="83"/>
      <c r="BT44" s="125"/>
      <c r="BU44" s="125"/>
      <c r="BV44" s="12"/>
      <c r="BW44" s="12"/>
      <c r="BX44" s="12"/>
      <c r="BY44" s="72"/>
      <c r="BZ44" s="72"/>
      <c r="CA44" s="72"/>
      <c r="CB44" s="46"/>
      <c r="CC44" s="46"/>
      <c r="CD44" s="125"/>
      <c r="CE44" s="125"/>
      <c r="CF44" s="12"/>
      <c r="CG44" s="12"/>
      <c r="CH44" s="12"/>
      <c r="CI44" s="72"/>
      <c r="CJ44" s="72"/>
      <c r="CK44" s="72"/>
      <c r="CL44" s="83"/>
      <c r="CM44" s="83"/>
      <c r="CN44" s="81"/>
      <c r="CO44" s="46"/>
      <c r="CP44" s="46"/>
      <c r="CQ44" s="46"/>
      <c r="CR44" s="46"/>
      <c r="CS44" s="85"/>
      <c r="CT44" s="41"/>
      <c r="CU44" s="46"/>
      <c r="CV44" s="46"/>
      <c r="CW44" s="46"/>
      <c r="CX44" s="83"/>
      <c r="CY44" s="83"/>
      <c r="CZ44" s="83"/>
      <c r="DA44" s="83"/>
      <c r="DB44" s="83"/>
      <c r="DC44" s="83"/>
      <c r="DD44" s="83"/>
      <c r="DE44" s="83"/>
      <c r="DF44" s="83"/>
      <c r="DG44" s="83"/>
      <c r="DH44" s="81"/>
      <c r="DI44" s="46"/>
      <c r="DJ44" s="46"/>
      <c r="DK44" s="46"/>
      <c r="DL44" s="46"/>
      <c r="DM44" s="85"/>
      <c r="DN44" s="41"/>
      <c r="DO44" s="46"/>
      <c r="DP44" s="46"/>
      <c r="DQ44" s="46"/>
      <c r="DR44" s="83"/>
      <c r="DS44" s="83"/>
      <c r="DT44" s="83"/>
      <c r="DU44" s="83"/>
      <c r="DV44" s="83"/>
      <c r="DW44" s="83"/>
      <c r="DX44" s="83"/>
      <c r="DY44" s="83"/>
      <c r="DZ44" s="83"/>
      <c r="EA44" s="83"/>
      <c r="EB44" s="81"/>
      <c r="EC44" s="46"/>
      <c r="ED44" s="46"/>
      <c r="EE44" s="46"/>
      <c r="EF44" s="46"/>
      <c r="EG44" s="85"/>
      <c r="EH44" s="41"/>
      <c r="EI44" s="46"/>
      <c r="EJ44" s="46"/>
      <c r="EK44" s="46"/>
      <c r="EL44" s="83"/>
      <c r="EM44" s="83"/>
      <c r="EN44" s="83"/>
      <c r="EO44" s="83"/>
      <c r="EP44" s="83"/>
      <c r="EQ44" s="83"/>
      <c r="ER44" s="83"/>
      <c r="ES44" s="83"/>
      <c r="ET44" s="83"/>
      <c r="EU44" s="83"/>
      <c r="EV44" s="81"/>
      <c r="EW44" s="46"/>
      <c r="EX44" s="46"/>
      <c r="EY44" s="46"/>
      <c r="EZ44" s="46"/>
      <c r="FA44" s="85"/>
      <c r="FB44" s="41"/>
      <c r="FC44" s="46"/>
      <c r="FD44" s="46"/>
      <c r="FE44" s="46"/>
      <c r="FF44" s="83"/>
      <c r="FG44" s="83"/>
      <c r="FH44" s="83"/>
      <c r="FI44" s="83"/>
      <c r="FJ44" s="83"/>
      <c r="FK44" s="83"/>
      <c r="FL44" s="83"/>
      <c r="FM44" s="83"/>
      <c r="FN44" s="83"/>
      <c r="FO44" s="83"/>
      <c r="FP44" s="81"/>
      <c r="FQ44" s="46"/>
      <c r="FR44" s="46"/>
      <c r="FS44" s="46"/>
      <c r="FT44" s="46"/>
      <c r="FU44" s="85"/>
      <c r="FV44" s="41"/>
      <c r="FW44" s="46"/>
      <c r="FX44" s="46"/>
      <c r="FY44" s="46"/>
      <c r="FZ44" s="83"/>
      <c r="GA44" s="83"/>
      <c r="GB44" s="83"/>
      <c r="GC44" s="83"/>
      <c r="GD44" s="83"/>
      <c r="GE44" s="83"/>
      <c r="GF44" s="83"/>
      <c r="GG44" s="83"/>
      <c r="GH44" s="83"/>
      <c r="GI44" s="83"/>
      <c r="GJ44" s="81"/>
      <c r="GK44" s="46"/>
      <c r="GL44" s="46"/>
      <c r="GM44" s="46"/>
      <c r="GN44" s="46"/>
      <c r="GO44" s="85"/>
      <c r="GP44" s="41"/>
      <c r="GQ44" s="46"/>
      <c r="GR44" s="46"/>
      <c r="GS44" s="46"/>
      <c r="GT44" s="83"/>
      <c r="GU44" s="83"/>
      <c r="GV44" s="83"/>
      <c r="GW44" s="83"/>
      <c r="GX44" s="83"/>
      <c r="GY44" s="83"/>
      <c r="GZ44" s="83"/>
      <c r="HA44" s="83"/>
      <c r="HB44" s="83"/>
      <c r="HC44" s="83"/>
      <c r="HD44" s="81"/>
      <c r="HE44" s="46"/>
      <c r="HF44" s="46"/>
      <c r="HG44" s="46"/>
      <c r="HH44" s="46"/>
      <c r="HI44" s="85"/>
      <c r="HJ44" s="41"/>
      <c r="HK44" s="46"/>
      <c r="HL44" s="46"/>
      <c r="HM44" s="46"/>
      <c r="HN44" s="83"/>
      <c r="HO44" s="83"/>
      <c r="HP44" s="83"/>
      <c r="HQ44" s="83"/>
      <c r="HR44" s="83"/>
      <c r="HS44" s="83"/>
      <c r="HT44" s="83"/>
      <c r="HU44" s="83"/>
      <c r="HV44" s="83"/>
      <c r="HW44" s="83"/>
      <c r="HX44" s="81"/>
      <c r="HY44" s="46"/>
      <c r="HZ44" s="46"/>
      <c r="IA44" s="46"/>
      <c r="IB44" s="46"/>
      <c r="IC44" s="85"/>
      <c r="ID44" s="41"/>
      <c r="IE44" s="46"/>
      <c r="IF44" s="46"/>
      <c r="IG44" s="46"/>
      <c r="IH44" s="83"/>
      <c r="II44" s="83"/>
      <c r="IJ44" s="83"/>
      <c r="IK44" s="83"/>
      <c r="IL44" s="83"/>
      <c r="IM44" s="83"/>
      <c r="IN44" s="83"/>
      <c r="IO44" s="83"/>
      <c r="IP44" s="83"/>
      <c r="IQ44" s="83"/>
      <c r="IR44" s="81"/>
      <c r="IS44" s="46"/>
      <c r="IT44" s="46"/>
      <c r="IU44" s="46"/>
      <c r="IV44" s="46"/>
      <c r="IW44" s="85"/>
      <c r="IX44" s="41"/>
      <c r="IY44" s="46"/>
      <c r="IZ44" s="46"/>
      <c r="JA44" s="46"/>
      <c r="JB44" s="83"/>
      <c r="JC44" s="83"/>
      <c r="JD44" s="83"/>
      <c r="JE44" s="83"/>
      <c r="JF44" s="83"/>
      <c r="JG44" s="83"/>
      <c r="JH44" s="83"/>
      <c r="JI44" s="83"/>
      <c r="JJ44" s="83"/>
      <c r="JK44" s="83"/>
      <c r="JL44" s="81"/>
      <c r="JM44" s="46"/>
      <c r="JN44" s="46"/>
      <c r="JO44" s="46"/>
      <c r="JP44" s="46"/>
      <c r="JQ44" s="85"/>
      <c r="JR44" s="41"/>
      <c r="JS44" s="46"/>
      <c r="JT44" s="46"/>
      <c r="JU44" s="46"/>
      <c r="JV44" s="83"/>
      <c r="JW44" s="83"/>
      <c r="JX44" s="83"/>
      <c r="JY44" s="83"/>
      <c r="JZ44" s="83"/>
      <c r="KA44" s="83"/>
      <c r="KB44" s="83"/>
      <c r="KC44" s="83"/>
      <c r="KD44" s="83"/>
      <c r="KE44" s="83"/>
      <c r="KF44" s="81"/>
      <c r="KG44" s="46"/>
      <c r="KH44" s="46"/>
      <c r="KI44" s="46"/>
      <c r="KJ44" s="46"/>
      <c r="KK44" s="85"/>
      <c r="KL44" s="41"/>
      <c r="KM44" s="46"/>
      <c r="KN44" s="46"/>
      <c r="KO44" s="46"/>
      <c r="KP44" s="83"/>
      <c r="KQ44" s="83"/>
      <c r="KR44" s="83"/>
      <c r="KS44" s="83"/>
      <c r="KT44" s="83"/>
      <c r="KU44" s="83"/>
      <c r="KV44" s="83"/>
      <c r="KW44" s="83"/>
      <c r="KX44" s="83"/>
      <c r="KY44" s="83"/>
      <c r="KZ44" s="81"/>
      <c r="LA44" s="46"/>
      <c r="LB44" s="46"/>
      <c r="LC44" s="46"/>
      <c r="LD44" s="46"/>
      <c r="LE44" s="85"/>
      <c r="LF44" s="41"/>
      <c r="LG44" s="46"/>
      <c r="LH44" s="46"/>
      <c r="LI44" s="46"/>
      <c r="LJ44" s="83"/>
      <c r="LK44" s="83"/>
      <c r="LL44" s="83"/>
      <c r="LM44" s="83"/>
      <c r="LN44" s="83"/>
      <c r="LO44" s="83"/>
      <c r="LP44" s="83"/>
      <c r="LQ44" s="83"/>
      <c r="LR44" s="83"/>
      <c r="LS44" s="83"/>
      <c r="LT44" s="81"/>
      <c r="LU44" s="46"/>
      <c r="LV44" s="46"/>
      <c r="LW44" s="46"/>
      <c r="LX44" s="46"/>
      <c r="LY44" s="85"/>
      <c r="LZ44" s="41"/>
      <c r="MA44" s="46"/>
      <c r="MB44" s="46"/>
      <c r="MC44" s="46"/>
      <c r="MD44" s="83"/>
      <c r="ME44" s="83"/>
      <c r="MF44" s="83"/>
      <c r="MG44" s="83"/>
      <c r="MH44" s="83"/>
      <c r="MI44" s="83"/>
      <c r="MJ44" s="83"/>
      <c r="MK44" s="83"/>
      <c r="ML44" s="83"/>
      <c r="MM44" s="83"/>
      <c r="MN44" s="81"/>
      <c r="MO44" s="46"/>
      <c r="MP44" s="46"/>
      <c r="MQ44" s="46"/>
      <c r="MR44" s="46"/>
      <c r="MS44" s="85"/>
      <c r="MT44" s="41"/>
      <c r="MU44" s="46"/>
      <c r="MV44" s="46"/>
      <c r="MW44" s="46"/>
      <c r="MX44" s="83"/>
      <c r="MY44" s="83"/>
      <c r="MZ44" s="83"/>
      <c r="NA44" s="83"/>
      <c r="NB44" s="83"/>
      <c r="NC44" s="83"/>
      <c r="ND44" s="83"/>
      <c r="NE44" s="83"/>
      <c r="NF44" s="83"/>
      <c r="NG44" s="83"/>
      <c r="NH44" s="81"/>
      <c r="NI44" s="46"/>
      <c r="NJ44" s="46"/>
      <c r="NK44" s="46"/>
      <c r="NL44" s="46"/>
      <c r="NM44" s="85"/>
      <c r="NN44" s="41"/>
      <c r="NO44" s="46"/>
      <c r="NP44" s="46"/>
      <c r="NQ44" s="46"/>
      <c r="NR44" s="83"/>
      <c r="NS44" s="83"/>
      <c r="NT44" s="83"/>
      <c r="NU44" s="83"/>
      <c r="NV44" s="83"/>
      <c r="NW44" s="83"/>
      <c r="NX44" s="83"/>
      <c r="NY44" s="83"/>
      <c r="NZ44" s="83"/>
      <c r="OA44" s="83"/>
      <c r="OB44" s="81"/>
      <c r="OC44" s="46"/>
      <c r="OD44" s="46"/>
      <c r="OE44" s="46"/>
      <c r="OF44" s="46"/>
      <c r="OG44" s="85"/>
      <c r="OH44" s="41"/>
      <c r="OI44" s="46"/>
      <c r="OJ44" s="46"/>
      <c r="OK44" s="46"/>
      <c r="OL44" s="83"/>
      <c r="OM44" s="83"/>
      <c r="ON44" s="83"/>
      <c r="OO44" s="83"/>
      <c r="OP44" s="83"/>
      <c r="OQ44" s="83"/>
      <c r="OR44" s="83"/>
      <c r="OS44" s="83"/>
      <c r="OT44" s="83"/>
      <c r="OU44" s="83"/>
      <c r="OV44" s="81"/>
      <c r="OW44" s="46"/>
      <c r="OX44" s="46"/>
      <c r="OY44" s="46"/>
      <c r="OZ44" s="46"/>
      <c r="PA44" s="85"/>
      <c r="PB44" s="41"/>
      <c r="PC44" s="46"/>
      <c r="PD44" s="46"/>
      <c r="PE44" s="46"/>
      <c r="PF44" s="83"/>
      <c r="PG44" s="83"/>
      <c r="PH44" s="83"/>
      <c r="PI44" s="83"/>
      <c r="PJ44" s="83"/>
      <c r="PK44" s="83"/>
      <c r="PL44" s="83"/>
      <c r="PM44" s="83"/>
      <c r="PN44" s="83"/>
      <c r="PO44" s="83"/>
      <c r="PP44" s="81"/>
      <c r="PQ44" s="46"/>
      <c r="PR44" s="46"/>
      <c r="PS44" s="46"/>
      <c r="PT44" s="46"/>
      <c r="PU44" s="85"/>
      <c r="PV44" s="41"/>
      <c r="PW44" s="46"/>
      <c r="PX44" s="46"/>
      <c r="PY44" s="46"/>
      <c r="PZ44" s="83"/>
      <c r="QA44" s="83"/>
      <c r="QB44" s="83"/>
      <c r="QC44" s="83"/>
      <c r="QD44" s="83"/>
      <c r="QE44" s="83"/>
      <c r="QF44" s="83"/>
      <c r="QG44" s="83"/>
      <c r="QH44" s="83"/>
      <c r="QI44" s="83"/>
      <c r="QJ44" s="81"/>
      <c r="QK44" s="46"/>
      <c r="QL44" s="46"/>
      <c r="QM44" s="46"/>
      <c r="QN44" s="46"/>
      <c r="QO44" s="85"/>
      <c r="QP44" s="41"/>
      <c r="QQ44" s="46"/>
      <c r="QR44" s="46"/>
      <c r="QS44" s="46"/>
      <c r="QT44" s="83"/>
      <c r="QU44" s="83"/>
      <c r="QV44" s="83"/>
      <c r="QW44" s="83"/>
      <c r="QX44" s="83"/>
      <c r="QY44" s="83"/>
      <c r="QZ44" s="83"/>
      <c r="RA44" s="83"/>
      <c r="RB44" s="83"/>
      <c r="RC44" s="83"/>
      <c r="RD44" s="81"/>
      <c r="RE44" s="46"/>
      <c r="RF44" s="46"/>
      <c r="RG44" s="46"/>
      <c r="RH44" s="46"/>
      <c r="RI44" s="85"/>
      <c r="RJ44" s="41"/>
      <c r="RK44" s="46"/>
      <c r="RL44" s="46"/>
      <c r="RM44" s="46"/>
      <c r="RN44" s="83"/>
      <c r="RO44" s="83"/>
      <c r="RP44" s="83"/>
      <c r="RQ44" s="83"/>
      <c r="RR44" s="83"/>
      <c r="RS44" s="83"/>
      <c r="RT44" s="83"/>
      <c r="RU44" s="83"/>
      <c r="RV44" s="83"/>
      <c r="RW44" s="83"/>
      <c r="RX44" s="81"/>
      <c r="RY44" s="46"/>
      <c r="RZ44" s="46"/>
      <c r="SA44" s="46"/>
      <c r="SB44" s="46"/>
      <c r="SC44" s="85"/>
      <c r="SD44" s="41"/>
      <c r="SE44" s="46"/>
      <c r="SF44" s="46"/>
      <c r="SG44" s="46"/>
    </row>
    <row r="45" spans="1:501" s="44" customFormat="1" ht="20.399999999999999" customHeight="1" x14ac:dyDescent="0.3">
      <c r="A45" s="66" t="s">
        <v>249</v>
      </c>
      <c r="B45" s="66"/>
      <c r="C45" s="66"/>
      <c r="D45" s="49"/>
      <c r="E45" s="49"/>
      <c r="F45" s="49"/>
      <c r="G45" s="70"/>
      <c r="H45" s="70"/>
      <c r="I45" s="206"/>
      <c r="J45" s="70"/>
      <c r="K45" s="70"/>
      <c r="L45" s="70"/>
      <c r="M45" s="70"/>
      <c r="N45" s="70"/>
      <c r="O45" s="70"/>
      <c r="P45" s="70"/>
      <c r="Q45" s="70"/>
      <c r="R45" s="70"/>
      <c r="S45" s="70"/>
      <c r="T45" s="70"/>
      <c r="U45" s="77"/>
      <c r="V45" s="82"/>
      <c r="W45" s="82"/>
      <c r="X45" s="82"/>
      <c r="Y45" s="82"/>
      <c r="Z45" s="82"/>
      <c r="AA45" s="82"/>
      <c r="AB45" s="82"/>
      <c r="AC45" s="82"/>
      <c r="AD45" s="82"/>
      <c r="AE45" s="82"/>
      <c r="AF45" s="80"/>
      <c r="AG45" s="53"/>
      <c r="AH45" s="53"/>
      <c r="AI45" s="53"/>
      <c r="AJ45" s="53"/>
      <c r="AK45" s="84"/>
      <c r="AL45" s="52"/>
      <c r="AM45" s="53"/>
      <c r="AN45" s="53"/>
      <c r="AO45" s="53"/>
      <c r="AP45" s="82"/>
      <c r="AQ45" s="82"/>
      <c r="AR45" s="82"/>
      <c r="AS45" s="82"/>
      <c r="AT45" s="82"/>
      <c r="AU45" s="82"/>
      <c r="AV45" s="82"/>
      <c r="AW45" s="82"/>
      <c r="AX45" s="82"/>
      <c r="AY45" s="82"/>
      <c r="AZ45" s="80"/>
      <c r="BA45" s="53"/>
      <c r="BB45" s="53"/>
      <c r="BC45" s="53"/>
      <c r="BD45" s="53"/>
      <c r="BE45" s="84"/>
      <c r="BF45" s="52"/>
      <c r="BG45" s="53"/>
      <c r="BH45" s="53"/>
      <c r="BI45" s="53"/>
      <c r="BJ45" s="82"/>
      <c r="BK45" s="82"/>
      <c r="BL45" s="82"/>
      <c r="BM45" s="82"/>
      <c r="BN45" s="82"/>
      <c r="BO45" s="82"/>
      <c r="BP45" s="82"/>
      <c r="BQ45" s="82"/>
      <c r="BR45" s="82"/>
      <c r="BS45" s="82"/>
      <c r="BT45" s="80"/>
      <c r="BU45" s="53"/>
      <c r="BV45" s="53"/>
      <c r="BW45" s="53"/>
      <c r="BX45" s="53"/>
      <c r="BY45" s="84"/>
      <c r="BZ45" s="52"/>
      <c r="CA45" s="53"/>
      <c r="CB45" s="53"/>
      <c r="CC45" s="53"/>
      <c r="CD45" s="82"/>
      <c r="CE45" s="82"/>
      <c r="CF45" s="82"/>
      <c r="CG45" s="82"/>
      <c r="CH45" s="82"/>
      <c r="CI45" s="82"/>
      <c r="CJ45" s="82"/>
      <c r="CK45" s="82"/>
      <c r="CL45" s="82"/>
      <c r="CM45" s="82"/>
      <c r="CN45" s="80"/>
      <c r="CO45" s="53"/>
      <c r="CP45" s="53"/>
      <c r="CQ45" s="53"/>
      <c r="CR45" s="53"/>
      <c r="CS45" s="84"/>
      <c r="CT45" s="52"/>
      <c r="CU45" s="53"/>
      <c r="CV45" s="53"/>
      <c r="CW45" s="53"/>
      <c r="CX45" s="82"/>
      <c r="CY45" s="82"/>
      <c r="CZ45" s="82"/>
      <c r="DA45" s="82"/>
      <c r="DB45" s="82"/>
      <c r="DC45" s="82"/>
      <c r="DD45" s="82"/>
      <c r="DE45" s="82"/>
      <c r="DF45" s="82"/>
      <c r="DG45" s="82"/>
      <c r="DH45" s="80"/>
      <c r="DI45" s="53"/>
      <c r="DJ45" s="53"/>
      <c r="DK45" s="53"/>
      <c r="DL45" s="53"/>
      <c r="DM45" s="84"/>
      <c r="DN45" s="52"/>
      <c r="DO45" s="53"/>
      <c r="DP45" s="53"/>
      <c r="DQ45" s="53"/>
      <c r="DR45" s="82"/>
      <c r="DS45" s="82"/>
      <c r="DT45" s="82"/>
      <c r="DU45" s="82"/>
      <c r="DV45" s="82"/>
      <c r="DW45" s="82"/>
      <c r="DX45" s="82"/>
      <c r="DY45" s="82"/>
      <c r="DZ45" s="82"/>
      <c r="EA45" s="82"/>
      <c r="EB45" s="80"/>
      <c r="EC45" s="53"/>
      <c r="ED45" s="53"/>
      <c r="EE45" s="53"/>
      <c r="EF45" s="53"/>
      <c r="EG45" s="84"/>
      <c r="EH45" s="52"/>
      <c r="EI45" s="53"/>
      <c r="EJ45" s="53"/>
      <c r="EK45" s="53"/>
      <c r="EL45" s="82"/>
      <c r="EM45" s="82"/>
      <c r="EN45" s="82"/>
      <c r="EO45" s="82"/>
      <c r="EP45" s="82"/>
      <c r="EQ45" s="82"/>
      <c r="ER45" s="82"/>
      <c r="ES45" s="82"/>
      <c r="ET45" s="82"/>
      <c r="EU45" s="82"/>
      <c r="EV45" s="80"/>
      <c r="EW45" s="53"/>
      <c r="EX45" s="53"/>
      <c r="EY45" s="53"/>
      <c r="EZ45" s="53"/>
      <c r="FA45" s="84"/>
      <c r="FB45" s="52"/>
      <c r="FC45" s="53"/>
      <c r="FD45" s="53"/>
      <c r="FE45" s="53"/>
      <c r="FF45" s="82"/>
      <c r="FG45" s="82"/>
      <c r="FH45" s="82"/>
      <c r="FI45" s="82"/>
      <c r="FJ45" s="82"/>
      <c r="FK45" s="82"/>
      <c r="FL45" s="82"/>
      <c r="FM45" s="82"/>
      <c r="FN45" s="82"/>
      <c r="FO45" s="82"/>
      <c r="FP45" s="80"/>
      <c r="FQ45" s="53"/>
      <c r="FR45" s="53"/>
      <c r="FS45" s="53"/>
      <c r="FT45" s="53"/>
      <c r="FU45" s="84"/>
      <c r="FV45" s="52"/>
      <c r="FW45" s="53"/>
      <c r="FX45" s="53"/>
      <c r="FY45" s="53"/>
      <c r="FZ45" s="82"/>
      <c r="GA45" s="82"/>
      <c r="GB45" s="82"/>
      <c r="GC45" s="82"/>
      <c r="GD45" s="82"/>
      <c r="GE45" s="82"/>
      <c r="GF45" s="82"/>
      <c r="GG45" s="82"/>
      <c r="GH45" s="82"/>
      <c r="GI45" s="82"/>
      <c r="GJ45" s="80"/>
      <c r="GK45" s="53"/>
      <c r="GL45" s="53"/>
      <c r="GM45" s="53"/>
      <c r="GN45" s="53"/>
      <c r="GO45" s="84"/>
      <c r="GP45" s="52"/>
      <c r="GQ45" s="53"/>
      <c r="GR45" s="53"/>
      <c r="GS45" s="53"/>
      <c r="GT45" s="82"/>
      <c r="GU45" s="82"/>
      <c r="GV45" s="82"/>
      <c r="GW45" s="82"/>
      <c r="GX45" s="82"/>
      <c r="GY45" s="82"/>
      <c r="GZ45" s="82"/>
      <c r="HA45" s="82"/>
      <c r="HB45" s="82"/>
      <c r="HC45" s="82"/>
      <c r="HD45" s="80"/>
      <c r="HE45" s="53"/>
      <c r="HF45" s="53"/>
      <c r="HG45" s="53"/>
      <c r="HH45" s="53"/>
      <c r="HI45" s="84"/>
      <c r="HJ45" s="52"/>
      <c r="HK45" s="53"/>
      <c r="HL45" s="53"/>
      <c r="HM45" s="53"/>
      <c r="HN45" s="82"/>
      <c r="HO45" s="82"/>
      <c r="HP45" s="82"/>
      <c r="HQ45" s="82"/>
      <c r="HR45" s="82"/>
      <c r="HS45" s="82"/>
      <c r="HT45" s="82"/>
      <c r="HU45" s="82"/>
      <c r="HV45" s="82"/>
      <c r="HW45" s="82"/>
      <c r="HX45" s="80"/>
      <c r="HY45" s="53"/>
      <c r="HZ45" s="53"/>
      <c r="IA45" s="53"/>
      <c r="IB45" s="53"/>
      <c r="IC45" s="84"/>
      <c r="ID45" s="52"/>
      <c r="IE45" s="53"/>
      <c r="IF45" s="53"/>
      <c r="IG45" s="53"/>
      <c r="IH45" s="82"/>
      <c r="II45" s="82"/>
      <c r="IJ45" s="82"/>
      <c r="IK45" s="82"/>
      <c r="IL45" s="82"/>
      <c r="IM45" s="82"/>
      <c r="IN45" s="82"/>
      <c r="IO45" s="82"/>
      <c r="IP45" s="82"/>
      <c r="IQ45" s="82"/>
      <c r="IR45" s="80"/>
      <c r="IS45" s="53"/>
      <c r="IT45" s="53"/>
      <c r="IU45" s="53"/>
      <c r="IV45" s="53"/>
      <c r="IW45" s="84"/>
      <c r="IX45" s="52"/>
      <c r="IY45" s="53"/>
      <c r="IZ45" s="53"/>
      <c r="JA45" s="53"/>
      <c r="JB45" s="82"/>
      <c r="JC45" s="82"/>
      <c r="JD45" s="82"/>
      <c r="JE45" s="82"/>
      <c r="JF45" s="82"/>
      <c r="JG45" s="82"/>
      <c r="JH45" s="82"/>
      <c r="JI45" s="82"/>
      <c r="JJ45" s="82"/>
      <c r="JK45" s="82"/>
      <c r="JL45" s="80"/>
      <c r="JM45" s="53"/>
      <c r="JN45" s="53"/>
      <c r="JO45" s="53"/>
      <c r="JP45" s="53"/>
      <c r="JQ45" s="84"/>
      <c r="JR45" s="52"/>
      <c r="JS45" s="53"/>
      <c r="JT45" s="53"/>
      <c r="JU45" s="53"/>
      <c r="JV45" s="82"/>
      <c r="JW45" s="82"/>
      <c r="JX45" s="82"/>
      <c r="JY45" s="82"/>
      <c r="JZ45" s="82"/>
      <c r="KA45" s="82"/>
      <c r="KB45" s="82"/>
      <c r="KC45" s="82"/>
      <c r="KD45" s="82"/>
      <c r="KE45" s="82"/>
      <c r="KF45" s="80"/>
      <c r="KG45" s="53"/>
      <c r="KH45" s="53"/>
      <c r="KI45" s="53"/>
      <c r="KJ45" s="53"/>
      <c r="KK45" s="84"/>
      <c r="KL45" s="52"/>
      <c r="KM45" s="53"/>
      <c r="KN45" s="53"/>
      <c r="KO45" s="53"/>
      <c r="KP45" s="82"/>
      <c r="KQ45" s="82"/>
      <c r="KR45" s="82"/>
      <c r="KS45" s="82"/>
      <c r="KT45" s="82"/>
      <c r="KU45" s="82"/>
      <c r="KV45" s="82"/>
      <c r="KW45" s="82"/>
      <c r="KX45" s="82"/>
      <c r="KY45" s="82"/>
      <c r="KZ45" s="80"/>
      <c r="LA45" s="53"/>
      <c r="LB45" s="53"/>
      <c r="LC45" s="53"/>
      <c r="LD45" s="53"/>
      <c r="LE45" s="84"/>
      <c r="LF45" s="52"/>
      <c r="LG45" s="53"/>
      <c r="LH45" s="53"/>
      <c r="LI45" s="53"/>
      <c r="LJ45" s="82"/>
      <c r="LK45" s="82"/>
      <c r="LL45" s="82"/>
      <c r="LM45" s="82"/>
      <c r="LN45" s="82"/>
      <c r="LO45" s="82"/>
      <c r="LP45" s="82"/>
      <c r="LQ45" s="82"/>
      <c r="LR45" s="82"/>
      <c r="LS45" s="82"/>
      <c r="LT45" s="80"/>
      <c r="LU45" s="53"/>
      <c r="LV45" s="53"/>
      <c r="LW45" s="53"/>
      <c r="LX45" s="53"/>
      <c r="LY45" s="84"/>
      <c r="LZ45" s="52"/>
      <c r="MA45" s="53"/>
      <c r="MB45" s="53"/>
      <c r="MC45" s="53"/>
      <c r="MD45" s="82"/>
      <c r="ME45" s="82"/>
      <c r="MF45" s="82"/>
      <c r="MG45" s="82"/>
      <c r="MH45" s="82"/>
      <c r="MI45" s="82"/>
      <c r="MJ45" s="82"/>
      <c r="MK45" s="82"/>
      <c r="ML45" s="82"/>
      <c r="MM45" s="82"/>
      <c r="MN45" s="80"/>
      <c r="MO45" s="53"/>
      <c r="MP45" s="53"/>
      <c r="MQ45" s="53"/>
      <c r="MR45" s="53"/>
      <c r="MS45" s="84"/>
      <c r="MT45" s="52"/>
      <c r="MU45" s="53"/>
      <c r="MV45" s="53"/>
      <c r="MW45" s="53"/>
      <c r="MX45" s="82"/>
      <c r="MY45" s="82"/>
      <c r="MZ45" s="82"/>
      <c r="NA45" s="82"/>
      <c r="NB45" s="82"/>
      <c r="NC45" s="82"/>
      <c r="ND45" s="82"/>
      <c r="NE45" s="82"/>
      <c r="NF45" s="82"/>
      <c r="NG45" s="82"/>
      <c r="NH45" s="80"/>
      <c r="NI45" s="53"/>
      <c r="NJ45" s="53"/>
      <c r="NK45" s="53"/>
      <c r="NL45" s="53"/>
      <c r="NM45" s="84"/>
      <c r="NN45" s="52"/>
      <c r="NO45" s="53"/>
      <c r="NP45" s="53"/>
      <c r="NQ45" s="53"/>
      <c r="NR45" s="82"/>
      <c r="NS45" s="82"/>
      <c r="NT45" s="82"/>
      <c r="NU45" s="82"/>
      <c r="NV45" s="82"/>
      <c r="NW45" s="82"/>
      <c r="NX45" s="82"/>
      <c r="NY45" s="82"/>
      <c r="NZ45" s="82"/>
      <c r="OA45" s="82"/>
      <c r="OB45" s="80"/>
      <c r="OC45" s="53"/>
      <c r="OD45" s="53"/>
      <c r="OE45" s="53"/>
      <c r="OF45" s="53"/>
      <c r="OG45" s="84"/>
      <c r="OH45" s="52"/>
      <c r="OI45" s="53"/>
      <c r="OJ45" s="53"/>
      <c r="OK45" s="53"/>
      <c r="OL45" s="82"/>
      <c r="OM45" s="82"/>
      <c r="ON45" s="82"/>
      <c r="OO45" s="82"/>
      <c r="OP45" s="82"/>
      <c r="OQ45" s="82"/>
      <c r="OR45" s="82"/>
      <c r="OS45" s="82"/>
      <c r="OT45" s="82"/>
      <c r="OU45" s="82"/>
      <c r="OV45" s="80"/>
      <c r="OW45" s="53"/>
      <c r="OX45" s="53"/>
      <c r="OY45" s="53"/>
      <c r="OZ45" s="53"/>
      <c r="PA45" s="84"/>
      <c r="PB45" s="52"/>
      <c r="PC45" s="53"/>
      <c r="PD45" s="53"/>
      <c r="PE45" s="53"/>
      <c r="PF45" s="82"/>
      <c r="PG45" s="82"/>
      <c r="PH45" s="82"/>
      <c r="PI45" s="82"/>
      <c r="PJ45" s="82"/>
      <c r="PK45" s="82"/>
      <c r="PL45" s="82"/>
      <c r="PM45" s="82"/>
      <c r="PN45" s="82"/>
      <c r="PO45" s="82"/>
      <c r="PP45" s="80"/>
      <c r="PQ45" s="53"/>
      <c r="PR45" s="53"/>
      <c r="PS45" s="53"/>
      <c r="PT45" s="53"/>
      <c r="PU45" s="84"/>
      <c r="PV45" s="52"/>
      <c r="PW45" s="53"/>
      <c r="PX45" s="53"/>
      <c r="PY45" s="53"/>
      <c r="PZ45" s="82"/>
      <c r="QA45" s="82"/>
      <c r="QB45" s="82"/>
      <c r="QC45" s="82"/>
      <c r="QD45" s="82"/>
      <c r="QE45" s="82"/>
      <c r="QF45" s="82"/>
      <c r="QG45" s="82"/>
      <c r="QH45" s="82"/>
      <c r="QI45" s="82"/>
      <c r="QJ45" s="80"/>
      <c r="QK45" s="53"/>
      <c r="QL45" s="53"/>
      <c r="QM45" s="53"/>
      <c r="QN45" s="53"/>
      <c r="QO45" s="84"/>
      <c r="QP45" s="52"/>
      <c r="QQ45" s="53"/>
      <c r="QR45" s="53"/>
      <c r="QS45" s="53"/>
      <c r="QT45" s="82"/>
      <c r="QU45" s="82"/>
      <c r="QV45" s="82"/>
      <c r="QW45" s="82"/>
      <c r="QX45" s="82"/>
      <c r="QY45" s="82"/>
      <c r="QZ45" s="82"/>
      <c r="RA45" s="82"/>
      <c r="RB45" s="82"/>
      <c r="RC45" s="82"/>
      <c r="RD45" s="80"/>
      <c r="RE45" s="53"/>
      <c r="RF45" s="53"/>
      <c r="RG45" s="53"/>
      <c r="RH45" s="53"/>
      <c r="RI45" s="84"/>
      <c r="RJ45" s="52"/>
      <c r="RK45" s="53"/>
      <c r="RL45" s="53"/>
      <c r="RM45" s="53"/>
      <c r="RN45" s="82"/>
      <c r="RO45" s="82"/>
      <c r="RP45" s="82"/>
      <c r="RQ45" s="82"/>
      <c r="RR45" s="82"/>
      <c r="RS45" s="82"/>
      <c r="RT45" s="82"/>
      <c r="RU45" s="82"/>
      <c r="RV45" s="82"/>
      <c r="RW45" s="82"/>
      <c r="RX45" s="80"/>
      <c r="RY45" s="53"/>
      <c r="RZ45" s="53"/>
      <c r="SA45" s="53"/>
      <c r="SB45" s="53"/>
      <c r="SC45" s="84"/>
      <c r="SD45" s="52"/>
      <c r="SE45" s="53"/>
      <c r="SF45" s="53"/>
      <c r="SG45" s="53"/>
    </row>
    <row r="46" spans="1:501" s="44" customFormat="1" ht="20.399999999999999" customHeight="1" x14ac:dyDescent="0.3">
      <c r="A46" s="125" t="s">
        <v>253</v>
      </c>
      <c r="B46" s="125"/>
      <c r="C46" s="125"/>
      <c r="D46" s="12"/>
      <c r="E46" s="12"/>
      <c r="F46" s="12"/>
      <c r="G46" s="72"/>
      <c r="H46" s="72"/>
      <c r="I46" s="204"/>
      <c r="J46" s="72"/>
      <c r="K46" s="72"/>
      <c r="L46" s="12"/>
      <c r="M46" s="125"/>
      <c r="N46" s="12"/>
      <c r="O46" s="83"/>
      <c r="P46" s="83"/>
      <c r="Q46" s="110"/>
      <c r="R46" s="83"/>
      <c r="S46" s="83"/>
      <c r="T46" s="72"/>
      <c r="U46" s="78"/>
      <c r="V46" s="12"/>
      <c r="W46" s="125"/>
      <c r="X46" s="12"/>
      <c r="Y46" s="83"/>
      <c r="Z46" s="83"/>
      <c r="AA46" s="110"/>
      <c r="AB46" s="83"/>
      <c r="AC46" s="83"/>
      <c r="AD46" s="83"/>
      <c r="AE46" s="83"/>
      <c r="AF46" s="12"/>
      <c r="AG46" s="125"/>
      <c r="AH46" s="12"/>
      <c r="AI46" s="83"/>
      <c r="AJ46" s="83"/>
      <c r="AK46" s="110"/>
      <c r="AL46" s="83"/>
      <c r="AM46" s="83"/>
      <c r="AN46" s="46"/>
      <c r="AO46" s="46"/>
      <c r="AP46" s="12"/>
      <c r="AQ46" s="125"/>
      <c r="AR46" s="12"/>
      <c r="AS46" s="83"/>
      <c r="AT46" s="83"/>
      <c r="AU46" s="110"/>
      <c r="AV46" s="83"/>
      <c r="AW46" s="83"/>
      <c r="AX46" s="83"/>
      <c r="AY46" s="83"/>
      <c r="AZ46" s="83"/>
      <c r="BA46" s="83"/>
      <c r="BB46" s="83"/>
      <c r="BC46" s="46"/>
      <c r="BD46" s="46"/>
      <c r="BE46" s="194"/>
      <c r="BF46" s="41"/>
      <c r="BG46" s="46"/>
      <c r="BH46" s="46"/>
      <c r="BI46" s="46"/>
      <c r="BJ46" s="125"/>
      <c r="BK46" s="125"/>
      <c r="BL46" s="12"/>
      <c r="BM46" s="12"/>
      <c r="BN46" s="12"/>
      <c r="BO46" s="72"/>
      <c r="BP46" s="72"/>
      <c r="BQ46" s="72"/>
      <c r="BR46" s="83"/>
      <c r="BS46" s="83"/>
      <c r="BT46" s="125"/>
      <c r="BU46" s="125"/>
      <c r="BV46" s="12"/>
      <c r="BW46" s="12"/>
      <c r="BX46" s="12"/>
      <c r="BY46" s="72"/>
      <c r="BZ46" s="72"/>
      <c r="CA46" s="72"/>
      <c r="CB46" s="46"/>
      <c r="CC46" s="46"/>
      <c r="CD46" s="125"/>
      <c r="CE46" s="125"/>
      <c r="CF46" s="12"/>
      <c r="CG46" s="12"/>
      <c r="CH46" s="12"/>
      <c r="CI46" s="72"/>
      <c r="CJ46" s="72"/>
      <c r="CK46" s="72"/>
      <c r="CL46" s="83"/>
      <c r="CM46" s="83"/>
      <c r="CN46" s="81"/>
      <c r="CO46" s="46"/>
      <c r="CP46" s="46"/>
      <c r="CQ46" s="46"/>
      <c r="CR46" s="46"/>
      <c r="CS46" s="85"/>
      <c r="CT46" s="41"/>
      <c r="CU46" s="46"/>
      <c r="CV46" s="46"/>
      <c r="CW46" s="46"/>
      <c r="CX46" s="83"/>
      <c r="CY46" s="83"/>
      <c r="CZ46" s="83"/>
      <c r="DA46" s="83"/>
      <c r="DB46" s="83"/>
      <c r="DC46" s="83"/>
      <c r="DD46" s="83"/>
      <c r="DE46" s="83"/>
      <c r="DF46" s="83"/>
      <c r="DG46" s="83"/>
      <c r="DH46" s="81"/>
      <c r="DI46" s="46"/>
      <c r="DJ46" s="46"/>
      <c r="DK46" s="46"/>
      <c r="DL46" s="46"/>
      <c r="DM46" s="85"/>
      <c r="DN46" s="41"/>
      <c r="DO46" s="46"/>
      <c r="DP46" s="46"/>
      <c r="DQ46" s="46"/>
      <c r="DR46" s="83"/>
      <c r="DS46" s="83"/>
      <c r="DT46" s="83"/>
      <c r="DU46" s="83"/>
      <c r="DV46" s="83"/>
      <c r="DW46" s="83"/>
      <c r="DX46" s="83"/>
      <c r="DY46" s="83"/>
      <c r="DZ46" s="83"/>
      <c r="EA46" s="83"/>
      <c r="EB46" s="81"/>
      <c r="EC46" s="46"/>
      <c r="ED46" s="46"/>
      <c r="EE46" s="46"/>
      <c r="EF46" s="46"/>
      <c r="EG46" s="85"/>
      <c r="EH46" s="41"/>
      <c r="EI46" s="46"/>
      <c r="EJ46" s="46"/>
      <c r="EK46" s="46"/>
      <c r="EL46" s="83"/>
      <c r="EM46" s="83"/>
      <c r="EN46" s="83"/>
      <c r="EO46" s="83"/>
      <c r="EP46" s="83"/>
      <c r="EQ46" s="83"/>
      <c r="ER46" s="83"/>
      <c r="ES46" s="83"/>
      <c r="ET46" s="83"/>
      <c r="EU46" s="83"/>
      <c r="EV46" s="81"/>
      <c r="EW46" s="46"/>
      <c r="EX46" s="46"/>
      <c r="EY46" s="46"/>
      <c r="EZ46" s="46"/>
      <c r="FA46" s="85"/>
      <c r="FB46" s="41"/>
      <c r="FC46" s="46"/>
      <c r="FD46" s="46"/>
      <c r="FE46" s="46"/>
      <c r="FF46" s="83"/>
      <c r="FG46" s="83"/>
      <c r="FH46" s="83"/>
      <c r="FI46" s="83"/>
      <c r="FJ46" s="83"/>
      <c r="FK46" s="83"/>
      <c r="FL46" s="83"/>
      <c r="FM46" s="83"/>
      <c r="FN46" s="83"/>
      <c r="FO46" s="83"/>
      <c r="FP46" s="81"/>
      <c r="FQ46" s="46"/>
      <c r="FR46" s="46"/>
      <c r="FS46" s="46"/>
      <c r="FT46" s="46"/>
      <c r="FU46" s="85"/>
      <c r="FV46" s="41"/>
      <c r="FW46" s="46"/>
      <c r="FX46" s="46"/>
      <c r="FY46" s="46"/>
      <c r="FZ46" s="83"/>
      <c r="GA46" s="83"/>
      <c r="GB46" s="83"/>
      <c r="GC46" s="83"/>
      <c r="GD46" s="83"/>
      <c r="GE46" s="83"/>
      <c r="GF46" s="83"/>
      <c r="GG46" s="83"/>
      <c r="GH46" s="83"/>
      <c r="GI46" s="83"/>
      <c r="GJ46" s="81"/>
      <c r="GK46" s="46"/>
      <c r="GL46" s="46"/>
      <c r="GM46" s="46"/>
      <c r="GN46" s="46"/>
      <c r="GO46" s="85"/>
      <c r="GP46" s="41"/>
      <c r="GQ46" s="46"/>
      <c r="GR46" s="46"/>
      <c r="GS46" s="46"/>
      <c r="GT46" s="83"/>
      <c r="GU46" s="83"/>
      <c r="GV46" s="83"/>
      <c r="GW46" s="83"/>
      <c r="GX46" s="83"/>
      <c r="GY46" s="83"/>
      <c r="GZ46" s="83"/>
      <c r="HA46" s="83"/>
      <c r="HB46" s="83"/>
      <c r="HC46" s="83"/>
      <c r="HD46" s="81"/>
      <c r="HE46" s="46"/>
      <c r="HF46" s="46"/>
      <c r="HG46" s="46"/>
      <c r="HH46" s="46"/>
      <c r="HI46" s="85"/>
      <c r="HJ46" s="41"/>
      <c r="HK46" s="46"/>
      <c r="HL46" s="46"/>
      <c r="HM46" s="46"/>
      <c r="HN46" s="83"/>
      <c r="HO46" s="83"/>
      <c r="HP46" s="83"/>
      <c r="HQ46" s="83"/>
      <c r="HR46" s="83"/>
      <c r="HS46" s="83"/>
      <c r="HT46" s="83"/>
      <c r="HU46" s="83"/>
      <c r="HV46" s="83"/>
      <c r="HW46" s="83"/>
      <c r="HX46" s="81"/>
      <c r="HY46" s="46"/>
      <c r="HZ46" s="46"/>
      <c r="IA46" s="46"/>
      <c r="IB46" s="46"/>
      <c r="IC46" s="85"/>
      <c r="ID46" s="41"/>
      <c r="IE46" s="46"/>
      <c r="IF46" s="46"/>
      <c r="IG46" s="46"/>
      <c r="IH46" s="83"/>
      <c r="II46" s="83"/>
      <c r="IJ46" s="83"/>
      <c r="IK46" s="83"/>
      <c r="IL46" s="83"/>
      <c r="IM46" s="83"/>
      <c r="IN46" s="83"/>
      <c r="IO46" s="83"/>
      <c r="IP46" s="83"/>
      <c r="IQ46" s="83"/>
      <c r="IR46" s="81"/>
      <c r="IS46" s="46"/>
      <c r="IT46" s="46"/>
      <c r="IU46" s="46"/>
      <c r="IV46" s="46"/>
      <c r="IW46" s="85"/>
      <c r="IX46" s="41"/>
      <c r="IY46" s="46"/>
      <c r="IZ46" s="46"/>
      <c r="JA46" s="46"/>
      <c r="JB46" s="83"/>
      <c r="JC46" s="83"/>
      <c r="JD46" s="83"/>
      <c r="JE46" s="83"/>
      <c r="JF46" s="83"/>
      <c r="JG46" s="83"/>
      <c r="JH46" s="83"/>
      <c r="JI46" s="83"/>
      <c r="JJ46" s="83"/>
      <c r="JK46" s="83"/>
      <c r="JL46" s="81"/>
      <c r="JM46" s="46"/>
      <c r="JN46" s="46"/>
      <c r="JO46" s="46"/>
      <c r="JP46" s="46"/>
      <c r="JQ46" s="85"/>
      <c r="JR46" s="41"/>
      <c r="JS46" s="46"/>
      <c r="JT46" s="46"/>
      <c r="JU46" s="46"/>
      <c r="JV46" s="83"/>
      <c r="JW46" s="83"/>
      <c r="JX46" s="83"/>
      <c r="JY46" s="83"/>
      <c r="JZ46" s="83"/>
      <c r="KA46" s="83"/>
      <c r="KB46" s="83"/>
      <c r="KC46" s="83"/>
      <c r="KD46" s="83"/>
      <c r="KE46" s="83"/>
      <c r="KF46" s="81"/>
      <c r="KG46" s="46"/>
      <c r="KH46" s="46"/>
      <c r="KI46" s="46"/>
      <c r="KJ46" s="46"/>
      <c r="KK46" s="85"/>
      <c r="KL46" s="41"/>
      <c r="KM46" s="46"/>
      <c r="KN46" s="46"/>
      <c r="KO46" s="46"/>
      <c r="KP46" s="83"/>
      <c r="KQ46" s="83"/>
      <c r="KR46" s="83"/>
      <c r="KS46" s="83"/>
      <c r="KT46" s="83"/>
      <c r="KU46" s="83"/>
      <c r="KV46" s="83"/>
      <c r="KW46" s="83"/>
      <c r="KX46" s="83"/>
      <c r="KY46" s="83"/>
      <c r="KZ46" s="81"/>
      <c r="LA46" s="46"/>
      <c r="LB46" s="46"/>
      <c r="LC46" s="46"/>
      <c r="LD46" s="46"/>
      <c r="LE46" s="85"/>
      <c r="LF46" s="41"/>
      <c r="LG46" s="46"/>
      <c r="LH46" s="46"/>
      <c r="LI46" s="46"/>
      <c r="LJ46" s="83"/>
      <c r="LK46" s="83"/>
      <c r="LL46" s="83"/>
      <c r="LM46" s="83"/>
      <c r="LN46" s="83"/>
      <c r="LO46" s="83"/>
      <c r="LP46" s="83"/>
      <c r="LQ46" s="83"/>
      <c r="LR46" s="83"/>
      <c r="LS46" s="83"/>
      <c r="LT46" s="81"/>
      <c r="LU46" s="46"/>
      <c r="LV46" s="46"/>
      <c r="LW46" s="46"/>
      <c r="LX46" s="46"/>
      <c r="LY46" s="85"/>
      <c r="LZ46" s="41"/>
      <c r="MA46" s="46"/>
      <c r="MB46" s="46"/>
      <c r="MC46" s="46"/>
      <c r="MD46" s="83"/>
      <c r="ME46" s="83"/>
      <c r="MF46" s="83"/>
      <c r="MG46" s="83"/>
      <c r="MH46" s="83"/>
      <c r="MI46" s="83"/>
      <c r="MJ46" s="83"/>
      <c r="MK46" s="83"/>
      <c r="ML46" s="83"/>
      <c r="MM46" s="83"/>
      <c r="MN46" s="81"/>
      <c r="MO46" s="46"/>
      <c r="MP46" s="46"/>
      <c r="MQ46" s="46"/>
      <c r="MR46" s="46"/>
      <c r="MS46" s="85"/>
      <c r="MT46" s="41"/>
      <c r="MU46" s="46"/>
      <c r="MV46" s="46"/>
      <c r="MW46" s="46"/>
      <c r="MX46" s="83"/>
      <c r="MY46" s="83"/>
      <c r="MZ46" s="83"/>
      <c r="NA46" s="83"/>
      <c r="NB46" s="83"/>
      <c r="NC46" s="83"/>
      <c r="ND46" s="83"/>
      <c r="NE46" s="83"/>
      <c r="NF46" s="83"/>
      <c r="NG46" s="83"/>
      <c r="NH46" s="81"/>
      <c r="NI46" s="46"/>
      <c r="NJ46" s="46"/>
      <c r="NK46" s="46"/>
      <c r="NL46" s="46"/>
      <c r="NM46" s="85"/>
      <c r="NN46" s="41"/>
      <c r="NO46" s="46"/>
      <c r="NP46" s="46"/>
      <c r="NQ46" s="46"/>
      <c r="NR46" s="83"/>
      <c r="NS46" s="83"/>
      <c r="NT46" s="83"/>
      <c r="NU46" s="83"/>
      <c r="NV46" s="83"/>
      <c r="NW46" s="83"/>
      <c r="NX46" s="83"/>
      <c r="NY46" s="83"/>
      <c r="NZ46" s="83"/>
      <c r="OA46" s="83"/>
      <c r="OB46" s="81"/>
      <c r="OC46" s="46"/>
      <c r="OD46" s="46"/>
      <c r="OE46" s="46"/>
      <c r="OF46" s="46"/>
      <c r="OG46" s="85"/>
      <c r="OH46" s="41"/>
      <c r="OI46" s="46"/>
      <c r="OJ46" s="46"/>
      <c r="OK46" s="46"/>
      <c r="OL46" s="83"/>
      <c r="OM46" s="83"/>
      <c r="ON46" s="83"/>
      <c r="OO46" s="83"/>
      <c r="OP46" s="83"/>
      <c r="OQ46" s="83"/>
      <c r="OR46" s="83"/>
      <c r="OS46" s="83"/>
      <c r="OT46" s="83"/>
      <c r="OU46" s="83"/>
      <c r="OV46" s="81"/>
      <c r="OW46" s="46"/>
      <c r="OX46" s="46"/>
      <c r="OY46" s="46"/>
      <c r="OZ46" s="46"/>
      <c r="PA46" s="85"/>
      <c r="PB46" s="41"/>
      <c r="PC46" s="46"/>
      <c r="PD46" s="46"/>
      <c r="PE46" s="46"/>
      <c r="PF46" s="83"/>
      <c r="PG46" s="83"/>
      <c r="PH46" s="83"/>
      <c r="PI46" s="83"/>
      <c r="PJ46" s="83"/>
      <c r="PK46" s="83"/>
      <c r="PL46" s="83"/>
      <c r="PM46" s="83"/>
      <c r="PN46" s="83"/>
      <c r="PO46" s="83"/>
      <c r="PP46" s="81"/>
      <c r="PQ46" s="46"/>
      <c r="PR46" s="46"/>
      <c r="PS46" s="46"/>
      <c r="PT46" s="46"/>
      <c r="PU46" s="85"/>
      <c r="PV46" s="41"/>
      <c r="PW46" s="46"/>
      <c r="PX46" s="46"/>
      <c r="PY46" s="46"/>
      <c r="PZ46" s="83"/>
      <c r="QA46" s="83"/>
      <c r="QB46" s="83"/>
      <c r="QC46" s="83"/>
      <c r="QD46" s="83"/>
      <c r="QE46" s="83"/>
      <c r="QF46" s="83"/>
      <c r="QG46" s="83"/>
      <c r="QH46" s="83"/>
      <c r="QI46" s="83"/>
      <c r="QJ46" s="81"/>
      <c r="QK46" s="46"/>
      <c r="QL46" s="46"/>
      <c r="QM46" s="46"/>
      <c r="QN46" s="46"/>
      <c r="QO46" s="85"/>
      <c r="QP46" s="41"/>
      <c r="QQ46" s="46"/>
      <c r="QR46" s="46"/>
      <c r="QS46" s="46"/>
      <c r="QT46" s="83"/>
      <c r="QU46" s="83"/>
      <c r="QV46" s="83"/>
      <c r="QW46" s="83"/>
      <c r="QX46" s="83"/>
      <c r="QY46" s="83"/>
      <c r="QZ46" s="83"/>
      <c r="RA46" s="83"/>
      <c r="RB46" s="83"/>
      <c r="RC46" s="83"/>
      <c r="RD46" s="81"/>
      <c r="RE46" s="46"/>
      <c r="RF46" s="46"/>
      <c r="RG46" s="46"/>
      <c r="RH46" s="46"/>
      <c r="RI46" s="85"/>
      <c r="RJ46" s="41"/>
      <c r="RK46" s="46"/>
      <c r="RL46" s="46"/>
      <c r="RM46" s="46"/>
      <c r="RN46" s="83"/>
      <c r="RO46" s="83"/>
      <c r="RP46" s="83"/>
      <c r="RQ46" s="83"/>
      <c r="RR46" s="83"/>
      <c r="RS46" s="83"/>
      <c r="RT46" s="83"/>
      <c r="RU46" s="83"/>
      <c r="RV46" s="83"/>
      <c r="RW46" s="83"/>
      <c r="RX46" s="81"/>
      <c r="RY46" s="46"/>
      <c r="RZ46" s="46"/>
      <c r="SA46" s="46"/>
      <c r="SB46" s="46"/>
      <c r="SC46" s="85"/>
      <c r="SD46" s="41"/>
      <c r="SE46" s="46"/>
      <c r="SF46" s="46"/>
      <c r="SG46" s="46"/>
    </row>
    <row r="47" spans="1:501" s="44" customFormat="1" ht="20.399999999999999" customHeight="1" x14ac:dyDescent="0.3">
      <c r="A47" s="66" t="s">
        <v>254</v>
      </c>
      <c r="B47" s="66"/>
      <c r="C47" s="66"/>
      <c r="D47" s="49"/>
      <c r="E47" s="49"/>
      <c r="F47" s="49"/>
      <c r="G47" s="70"/>
      <c r="H47" s="70"/>
      <c r="I47" s="206"/>
      <c r="J47" s="70"/>
      <c r="K47" s="70"/>
      <c r="L47" s="70"/>
      <c r="M47" s="70"/>
      <c r="N47" s="70"/>
      <c r="O47" s="70"/>
      <c r="P47" s="70"/>
      <c r="Q47" s="70"/>
      <c r="R47" s="70"/>
      <c r="S47" s="70"/>
      <c r="T47" s="70"/>
      <c r="U47" s="77"/>
      <c r="V47" s="82"/>
      <c r="W47" s="82"/>
      <c r="X47" s="82"/>
      <c r="Y47" s="82"/>
      <c r="Z47" s="82"/>
      <c r="AA47" s="82"/>
      <c r="AB47" s="82"/>
      <c r="AC47" s="82"/>
      <c r="AD47" s="82"/>
      <c r="AE47" s="82"/>
      <c r="AF47" s="80"/>
      <c r="AG47" s="53"/>
      <c r="AH47" s="53"/>
      <c r="AI47" s="53"/>
      <c r="AJ47" s="53"/>
      <c r="AK47" s="84"/>
      <c r="AL47" s="52"/>
      <c r="AM47" s="53"/>
      <c r="AN47" s="53"/>
      <c r="AO47" s="53"/>
      <c r="AP47" s="82"/>
      <c r="AQ47" s="82"/>
      <c r="AR47" s="82"/>
      <c r="AS47" s="82"/>
      <c r="AT47" s="82"/>
      <c r="AU47" s="82"/>
      <c r="AV47" s="82"/>
      <c r="AW47" s="82"/>
      <c r="AX47" s="82"/>
      <c r="AY47" s="82"/>
      <c r="AZ47" s="80"/>
      <c r="BA47" s="53"/>
      <c r="BB47" s="53"/>
      <c r="BC47" s="53"/>
      <c r="BD47" s="53"/>
      <c r="BE47" s="84"/>
      <c r="BF47" s="52"/>
      <c r="BG47" s="53"/>
      <c r="BH47" s="53"/>
      <c r="BI47" s="53"/>
      <c r="BJ47" s="82"/>
      <c r="BK47" s="82"/>
      <c r="BL47" s="82"/>
      <c r="BM47" s="82"/>
      <c r="BN47" s="82"/>
      <c r="BO47" s="82"/>
      <c r="BP47" s="82"/>
      <c r="BQ47" s="82"/>
      <c r="BR47" s="82"/>
      <c r="BS47" s="82"/>
      <c r="BT47" s="80"/>
      <c r="BU47" s="53"/>
      <c r="BV47" s="53"/>
      <c r="BW47" s="53"/>
      <c r="BX47" s="53"/>
      <c r="BY47" s="84"/>
      <c r="BZ47" s="52"/>
      <c r="CA47" s="53"/>
      <c r="CB47" s="53"/>
      <c r="CC47" s="53"/>
      <c r="CD47" s="82"/>
      <c r="CE47" s="82"/>
      <c r="CF47" s="82"/>
      <c r="CG47" s="82"/>
      <c r="CH47" s="82"/>
      <c r="CI47" s="82"/>
      <c r="CJ47" s="82"/>
      <c r="CK47" s="82"/>
      <c r="CL47" s="82"/>
      <c r="CM47" s="82"/>
      <c r="CN47" s="80"/>
      <c r="CO47" s="53"/>
      <c r="CP47" s="53"/>
      <c r="CQ47" s="53"/>
      <c r="CR47" s="53"/>
      <c r="CS47" s="84"/>
      <c r="CT47" s="52"/>
      <c r="CU47" s="53"/>
      <c r="CV47" s="53"/>
      <c r="CW47" s="53"/>
      <c r="CX47" s="82"/>
      <c r="CY47" s="82"/>
      <c r="CZ47" s="82"/>
      <c r="DA47" s="82"/>
      <c r="DB47" s="82"/>
      <c r="DC47" s="82"/>
      <c r="DD47" s="82"/>
      <c r="DE47" s="82"/>
      <c r="DF47" s="82"/>
      <c r="DG47" s="82"/>
      <c r="DH47" s="80"/>
      <c r="DI47" s="53"/>
      <c r="DJ47" s="53"/>
      <c r="DK47" s="53"/>
      <c r="DL47" s="53"/>
      <c r="DM47" s="84"/>
      <c r="DN47" s="52"/>
      <c r="DO47" s="53"/>
      <c r="DP47" s="53"/>
      <c r="DQ47" s="53"/>
      <c r="DR47" s="82"/>
      <c r="DS47" s="82"/>
      <c r="DT47" s="82"/>
      <c r="DU47" s="82"/>
      <c r="DV47" s="82"/>
      <c r="DW47" s="82"/>
      <c r="DX47" s="82"/>
      <c r="DY47" s="82"/>
      <c r="DZ47" s="82"/>
      <c r="EA47" s="82"/>
      <c r="EB47" s="80"/>
      <c r="EC47" s="53"/>
      <c r="ED47" s="53"/>
      <c r="EE47" s="53"/>
      <c r="EF47" s="53"/>
      <c r="EG47" s="84"/>
      <c r="EH47" s="52"/>
      <c r="EI47" s="53"/>
      <c r="EJ47" s="53"/>
      <c r="EK47" s="53"/>
      <c r="EL47" s="82"/>
      <c r="EM47" s="82"/>
      <c r="EN47" s="82"/>
      <c r="EO47" s="82"/>
      <c r="EP47" s="82"/>
      <c r="EQ47" s="82"/>
      <c r="ER47" s="82"/>
      <c r="ES47" s="82"/>
      <c r="ET47" s="82"/>
      <c r="EU47" s="82"/>
      <c r="EV47" s="80"/>
      <c r="EW47" s="53"/>
      <c r="EX47" s="53"/>
      <c r="EY47" s="53"/>
      <c r="EZ47" s="53"/>
      <c r="FA47" s="84"/>
      <c r="FB47" s="52"/>
      <c r="FC47" s="53"/>
      <c r="FD47" s="53"/>
      <c r="FE47" s="53"/>
      <c r="FF47" s="82"/>
      <c r="FG47" s="82"/>
      <c r="FH47" s="82"/>
      <c r="FI47" s="82"/>
      <c r="FJ47" s="82"/>
      <c r="FK47" s="82"/>
      <c r="FL47" s="82"/>
      <c r="FM47" s="82"/>
      <c r="FN47" s="82"/>
      <c r="FO47" s="82"/>
      <c r="FP47" s="80"/>
      <c r="FQ47" s="53"/>
      <c r="FR47" s="53"/>
      <c r="FS47" s="53"/>
      <c r="FT47" s="53"/>
      <c r="FU47" s="84"/>
      <c r="FV47" s="52"/>
      <c r="FW47" s="53"/>
      <c r="FX47" s="53"/>
      <c r="FY47" s="53"/>
      <c r="FZ47" s="82"/>
      <c r="GA47" s="82"/>
      <c r="GB47" s="82"/>
      <c r="GC47" s="82"/>
      <c r="GD47" s="82"/>
      <c r="GE47" s="82"/>
      <c r="GF47" s="82"/>
      <c r="GG47" s="82"/>
      <c r="GH47" s="82"/>
      <c r="GI47" s="82"/>
      <c r="GJ47" s="80"/>
      <c r="GK47" s="53"/>
      <c r="GL47" s="53"/>
      <c r="GM47" s="53"/>
      <c r="GN47" s="53"/>
      <c r="GO47" s="84"/>
      <c r="GP47" s="52"/>
      <c r="GQ47" s="53"/>
      <c r="GR47" s="53"/>
      <c r="GS47" s="53"/>
      <c r="GT47" s="82"/>
      <c r="GU47" s="82"/>
      <c r="GV47" s="82"/>
      <c r="GW47" s="82"/>
      <c r="GX47" s="82"/>
      <c r="GY47" s="82"/>
      <c r="GZ47" s="82"/>
      <c r="HA47" s="82"/>
      <c r="HB47" s="82"/>
      <c r="HC47" s="82"/>
      <c r="HD47" s="80"/>
      <c r="HE47" s="53"/>
      <c r="HF47" s="53"/>
      <c r="HG47" s="53"/>
      <c r="HH47" s="53"/>
      <c r="HI47" s="84"/>
      <c r="HJ47" s="52"/>
      <c r="HK47" s="53"/>
      <c r="HL47" s="53"/>
      <c r="HM47" s="53"/>
      <c r="HN47" s="82"/>
      <c r="HO47" s="82"/>
      <c r="HP47" s="82"/>
      <c r="HQ47" s="82"/>
      <c r="HR47" s="82"/>
      <c r="HS47" s="82"/>
      <c r="HT47" s="82"/>
      <c r="HU47" s="82"/>
      <c r="HV47" s="82"/>
      <c r="HW47" s="82"/>
      <c r="HX47" s="80"/>
      <c r="HY47" s="53"/>
      <c r="HZ47" s="53"/>
      <c r="IA47" s="53"/>
      <c r="IB47" s="53"/>
      <c r="IC47" s="84"/>
      <c r="ID47" s="52"/>
      <c r="IE47" s="53"/>
      <c r="IF47" s="53"/>
      <c r="IG47" s="53"/>
      <c r="IH47" s="82"/>
      <c r="II47" s="82"/>
      <c r="IJ47" s="82"/>
      <c r="IK47" s="82"/>
      <c r="IL47" s="82"/>
      <c r="IM47" s="82"/>
      <c r="IN47" s="82"/>
      <c r="IO47" s="82"/>
      <c r="IP47" s="82"/>
      <c r="IQ47" s="82"/>
      <c r="IR47" s="80"/>
      <c r="IS47" s="53"/>
      <c r="IT47" s="53"/>
      <c r="IU47" s="53"/>
      <c r="IV47" s="53"/>
      <c r="IW47" s="84"/>
      <c r="IX47" s="52"/>
      <c r="IY47" s="53"/>
      <c r="IZ47" s="53"/>
      <c r="JA47" s="53"/>
      <c r="JB47" s="82"/>
      <c r="JC47" s="82"/>
      <c r="JD47" s="82"/>
      <c r="JE47" s="82"/>
      <c r="JF47" s="82"/>
      <c r="JG47" s="82"/>
      <c r="JH47" s="82"/>
      <c r="JI47" s="82"/>
      <c r="JJ47" s="82"/>
      <c r="JK47" s="82"/>
      <c r="JL47" s="80"/>
      <c r="JM47" s="53"/>
      <c r="JN47" s="53"/>
      <c r="JO47" s="53"/>
      <c r="JP47" s="53"/>
      <c r="JQ47" s="84"/>
      <c r="JR47" s="52"/>
      <c r="JS47" s="53"/>
      <c r="JT47" s="53"/>
      <c r="JU47" s="53"/>
      <c r="JV47" s="82"/>
      <c r="JW47" s="82"/>
      <c r="JX47" s="82"/>
      <c r="JY47" s="82"/>
      <c r="JZ47" s="82"/>
      <c r="KA47" s="82"/>
      <c r="KB47" s="82"/>
      <c r="KC47" s="82"/>
      <c r="KD47" s="82"/>
      <c r="KE47" s="82"/>
      <c r="KF47" s="80"/>
      <c r="KG47" s="53"/>
      <c r="KH47" s="53"/>
      <c r="KI47" s="53"/>
      <c r="KJ47" s="53"/>
      <c r="KK47" s="84"/>
      <c r="KL47" s="52"/>
      <c r="KM47" s="53"/>
      <c r="KN47" s="53"/>
      <c r="KO47" s="53"/>
      <c r="KP47" s="82"/>
      <c r="KQ47" s="82"/>
      <c r="KR47" s="82"/>
      <c r="KS47" s="82"/>
      <c r="KT47" s="82"/>
      <c r="KU47" s="82"/>
      <c r="KV47" s="82"/>
      <c r="KW47" s="82"/>
      <c r="KX47" s="82"/>
      <c r="KY47" s="82"/>
      <c r="KZ47" s="80"/>
      <c r="LA47" s="53"/>
      <c r="LB47" s="53"/>
      <c r="LC47" s="53"/>
      <c r="LD47" s="53"/>
      <c r="LE47" s="84"/>
      <c r="LF47" s="52"/>
      <c r="LG47" s="53"/>
      <c r="LH47" s="53"/>
      <c r="LI47" s="53"/>
      <c r="LJ47" s="82"/>
      <c r="LK47" s="82"/>
      <c r="LL47" s="82"/>
      <c r="LM47" s="82"/>
      <c r="LN47" s="82"/>
      <c r="LO47" s="82"/>
      <c r="LP47" s="82"/>
      <c r="LQ47" s="82"/>
      <c r="LR47" s="82"/>
      <c r="LS47" s="82"/>
      <c r="LT47" s="80"/>
      <c r="LU47" s="53"/>
      <c r="LV47" s="53"/>
      <c r="LW47" s="53"/>
      <c r="LX47" s="53"/>
      <c r="LY47" s="84"/>
      <c r="LZ47" s="52"/>
      <c r="MA47" s="53"/>
      <c r="MB47" s="53"/>
      <c r="MC47" s="53"/>
      <c r="MD47" s="82"/>
      <c r="ME47" s="82"/>
      <c r="MF47" s="82"/>
      <c r="MG47" s="82"/>
      <c r="MH47" s="82"/>
      <c r="MI47" s="82"/>
      <c r="MJ47" s="82"/>
      <c r="MK47" s="82"/>
      <c r="ML47" s="82"/>
      <c r="MM47" s="82"/>
      <c r="MN47" s="80"/>
      <c r="MO47" s="53"/>
      <c r="MP47" s="53"/>
      <c r="MQ47" s="53"/>
      <c r="MR47" s="53"/>
      <c r="MS47" s="84"/>
      <c r="MT47" s="52"/>
      <c r="MU47" s="53"/>
      <c r="MV47" s="53"/>
      <c r="MW47" s="53"/>
      <c r="MX47" s="82"/>
      <c r="MY47" s="82"/>
      <c r="MZ47" s="82"/>
      <c r="NA47" s="82"/>
      <c r="NB47" s="82"/>
      <c r="NC47" s="82"/>
      <c r="ND47" s="82"/>
      <c r="NE47" s="82"/>
      <c r="NF47" s="82"/>
      <c r="NG47" s="82"/>
      <c r="NH47" s="80"/>
      <c r="NI47" s="53"/>
      <c r="NJ47" s="53"/>
      <c r="NK47" s="53"/>
      <c r="NL47" s="53"/>
      <c r="NM47" s="84"/>
      <c r="NN47" s="52"/>
      <c r="NO47" s="53"/>
      <c r="NP47" s="53"/>
      <c r="NQ47" s="53"/>
      <c r="NR47" s="82"/>
      <c r="NS47" s="82"/>
      <c r="NT47" s="82"/>
      <c r="NU47" s="82"/>
      <c r="NV47" s="82"/>
      <c r="NW47" s="82"/>
      <c r="NX47" s="82"/>
      <c r="NY47" s="82"/>
      <c r="NZ47" s="82"/>
      <c r="OA47" s="82"/>
      <c r="OB47" s="80"/>
      <c r="OC47" s="53"/>
      <c r="OD47" s="53"/>
      <c r="OE47" s="53"/>
      <c r="OF47" s="53"/>
      <c r="OG47" s="84"/>
      <c r="OH47" s="52"/>
      <c r="OI47" s="53"/>
      <c r="OJ47" s="53"/>
      <c r="OK47" s="53"/>
      <c r="OL47" s="82"/>
      <c r="OM47" s="82"/>
      <c r="ON47" s="82"/>
      <c r="OO47" s="82"/>
      <c r="OP47" s="82"/>
      <c r="OQ47" s="82"/>
      <c r="OR47" s="82"/>
      <c r="OS47" s="82"/>
      <c r="OT47" s="82"/>
      <c r="OU47" s="82"/>
      <c r="OV47" s="80"/>
      <c r="OW47" s="53"/>
      <c r="OX47" s="53"/>
      <c r="OY47" s="53"/>
      <c r="OZ47" s="53"/>
      <c r="PA47" s="84"/>
      <c r="PB47" s="52"/>
      <c r="PC47" s="53"/>
      <c r="PD47" s="53"/>
      <c r="PE47" s="53"/>
      <c r="PF47" s="82"/>
      <c r="PG47" s="82"/>
      <c r="PH47" s="82"/>
      <c r="PI47" s="82"/>
      <c r="PJ47" s="82"/>
      <c r="PK47" s="82"/>
      <c r="PL47" s="82"/>
      <c r="PM47" s="82"/>
      <c r="PN47" s="82"/>
      <c r="PO47" s="82"/>
      <c r="PP47" s="80"/>
      <c r="PQ47" s="53"/>
      <c r="PR47" s="53"/>
      <c r="PS47" s="53"/>
      <c r="PT47" s="53"/>
      <c r="PU47" s="84"/>
      <c r="PV47" s="52"/>
      <c r="PW47" s="53"/>
      <c r="PX47" s="53"/>
      <c r="PY47" s="53"/>
      <c r="PZ47" s="82"/>
      <c r="QA47" s="82"/>
      <c r="QB47" s="82"/>
      <c r="QC47" s="82"/>
      <c r="QD47" s="82"/>
      <c r="QE47" s="82"/>
      <c r="QF47" s="82"/>
      <c r="QG47" s="82"/>
      <c r="QH47" s="82"/>
      <c r="QI47" s="82"/>
      <c r="QJ47" s="80"/>
      <c r="QK47" s="53"/>
      <c r="QL47" s="53"/>
      <c r="QM47" s="53"/>
      <c r="QN47" s="53"/>
      <c r="QO47" s="84"/>
      <c r="QP47" s="52"/>
      <c r="QQ47" s="53"/>
      <c r="QR47" s="53"/>
      <c r="QS47" s="53"/>
      <c r="QT47" s="82"/>
      <c r="QU47" s="82"/>
      <c r="QV47" s="82"/>
      <c r="QW47" s="82"/>
      <c r="QX47" s="82"/>
      <c r="QY47" s="82"/>
      <c r="QZ47" s="82"/>
      <c r="RA47" s="82"/>
      <c r="RB47" s="82"/>
      <c r="RC47" s="82"/>
      <c r="RD47" s="80"/>
      <c r="RE47" s="53"/>
      <c r="RF47" s="53"/>
      <c r="RG47" s="53"/>
      <c r="RH47" s="53"/>
      <c r="RI47" s="84"/>
      <c r="RJ47" s="52"/>
      <c r="RK47" s="53"/>
      <c r="RL47" s="53"/>
      <c r="RM47" s="53"/>
      <c r="RN47" s="82"/>
      <c r="RO47" s="82"/>
      <c r="RP47" s="82"/>
      <c r="RQ47" s="82"/>
      <c r="RR47" s="82"/>
      <c r="RS47" s="82"/>
      <c r="RT47" s="82"/>
      <c r="RU47" s="82"/>
      <c r="RV47" s="82"/>
      <c r="RW47" s="82"/>
      <c r="RX47" s="80"/>
      <c r="RY47" s="53"/>
      <c r="RZ47" s="53"/>
      <c r="SA47" s="53"/>
      <c r="SB47" s="53"/>
      <c r="SC47" s="84"/>
      <c r="SD47" s="52"/>
      <c r="SE47" s="53"/>
      <c r="SF47" s="53"/>
      <c r="SG47" s="53"/>
    </row>
    <row r="48" spans="1:501" s="44" customFormat="1" ht="20.399999999999999" customHeight="1" x14ac:dyDescent="0.3">
      <c r="A48" s="125" t="s">
        <v>3</v>
      </c>
      <c r="B48" s="125" t="s">
        <v>359</v>
      </c>
      <c r="C48" s="125" t="s">
        <v>360</v>
      </c>
      <c r="D48" s="12">
        <v>11059</v>
      </c>
      <c r="E48" s="12" t="s">
        <v>332</v>
      </c>
      <c r="F48" s="12" t="s">
        <v>333</v>
      </c>
      <c r="G48" s="72"/>
      <c r="H48" s="72"/>
      <c r="I48" s="204"/>
      <c r="J48" s="72"/>
      <c r="K48" s="72"/>
      <c r="L48" s="12"/>
      <c r="M48" s="125"/>
      <c r="N48" s="12"/>
      <c r="O48" s="83"/>
      <c r="P48" s="83"/>
      <c r="Q48" s="110"/>
      <c r="R48" s="83"/>
      <c r="S48" s="83"/>
      <c r="T48" s="72"/>
      <c r="U48" s="78"/>
      <c r="V48" s="12"/>
      <c r="W48" s="125"/>
      <c r="X48" s="12"/>
      <c r="Y48" s="83"/>
      <c r="Z48" s="83"/>
      <c r="AA48" s="110"/>
      <c r="AB48" s="83"/>
      <c r="AC48" s="83"/>
      <c r="AD48" s="83"/>
      <c r="AE48" s="83"/>
      <c r="AF48" s="12"/>
      <c r="AG48" s="125"/>
      <c r="AH48" s="12"/>
      <c r="AI48" s="83"/>
      <c r="AJ48" s="83"/>
      <c r="AK48" s="110"/>
      <c r="AL48" s="83"/>
      <c r="AM48" s="83"/>
      <c r="AN48" s="46"/>
      <c r="AO48" s="46"/>
      <c r="AP48" s="12"/>
      <c r="AQ48" s="125"/>
      <c r="AR48" s="12"/>
      <c r="AS48" s="83"/>
      <c r="AT48" s="83"/>
      <c r="AU48" s="110"/>
      <c r="AV48" s="83"/>
      <c r="AW48" s="83"/>
      <c r="AX48" s="83"/>
      <c r="AY48" s="83"/>
      <c r="AZ48" s="83"/>
      <c r="BA48" s="83"/>
      <c r="BB48" s="83"/>
      <c r="BC48" s="46"/>
      <c r="BD48" s="46"/>
      <c r="BE48" s="194"/>
      <c r="BF48" s="41"/>
      <c r="BG48" s="46"/>
      <c r="BH48" s="46"/>
      <c r="BI48" s="46"/>
      <c r="BJ48" s="125"/>
      <c r="BK48" s="125"/>
      <c r="BL48" s="12"/>
      <c r="BM48" s="12"/>
      <c r="BN48" s="12"/>
      <c r="BO48" s="72"/>
      <c r="BP48" s="72"/>
      <c r="BQ48" s="72"/>
      <c r="BR48" s="83"/>
      <c r="BS48" s="83"/>
      <c r="BT48" s="125"/>
      <c r="BU48" s="125"/>
      <c r="BV48" s="12"/>
      <c r="BW48" s="12"/>
      <c r="BX48" s="12"/>
      <c r="BY48" s="72"/>
      <c r="BZ48" s="72"/>
      <c r="CA48" s="72"/>
      <c r="CB48" s="46"/>
      <c r="CC48" s="46"/>
      <c r="CD48" s="125"/>
      <c r="CE48" s="125"/>
      <c r="CF48" s="12"/>
      <c r="CG48" s="12"/>
      <c r="CH48" s="12"/>
      <c r="CI48" s="72"/>
      <c r="CJ48" s="72"/>
      <c r="CK48" s="72"/>
      <c r="CL48" s="83"/>
      <c r="CM48" s="83"/>
      <c r="CN48" s="81"/>
      <c r="CO48" s="46"/>
      <c r="CP48" s="46"/>
      <c r="CQ48" s="46"/>
      <c r="CR48" s="46"/>
      <c r="CS48" s="85"/>
      <c r="CT48" s="41"/>
      <c r="CU48" s="46"/>
      <c r="CV48" s="46"/>
      <c r="CW48" s="46"/>
      <c r="CX48" s="83"/>
      <c r="CY48" s="83"/>
      <c r="CZ48" s="83"/>
      <c r="DA48" s="83"/>
      <c r="DB48" s="83"/>
      <c r="DC48" s="83"/>
      <c r="DD48" s="83"/>
      <c r="DE48" s="83"/>
      <c r="DF48" s="83"/>
      <c r="DG48" s="83"/>
      <c r="DH48" s="81"/>
      <c r="DI48" s="46"/>
      <c r="DJ48" s="46"/>
      <c r="DK48" s="46"/>
      <c r="DL48" s="46"/>
      <c r="DM48" s="85"/>
      <c r="DN48" s="41"/>
      <c r="DO48" s="46"/>
      <c r="DP48" s="46"/>
      <c r="DQ48" s="46"/>
      <c r="DR48" s="83"/>
      <c r="DS48" s="83"/>
      <c r="DT48" s="83"/>
      <c r="DU48" s="83"/>
      <c r="DV48" s="83"/>
      <c r="DW48" s="83"/>
      <c r="DX48" s="83"/>
      <c r="DY48" s="83"/>
      <c r="DZ48" s="83"/>
      <c r="EA48" s="83"/>
      <c r="EB48" s="81"/>
      <c r="EC48" s="46"/>
      <c r="ED48" s="46"/>
      <c r="EE48" s="46"/>
      <c r="EF48" s="46"/>
      <c r="EG48" s="85"/>
      <c r="EH48" s="41"/>
      <c r="EI48" s="46"/>
      <c r="EJ48" s="46"/>
      <c r="EK48" s="46"/>
      <c r="EL48" s="83"/>
      <c r="EM48" s="83"/>
      <c r="EN48" s="83"/>
      <c r="EO48" s="83"/>
      <c r="EP48" s="83"/>
      <c r="EQ48" s="83"/>
      <c r="ER48" s="83"/>
      <c r="ES48" s="83"/>
      <c r="ET48" s="83"/>
      <c r="EU48" s="83"/>
      <c r="EV48" s="81"/>
      <c r="EW48" s="46"/>
      <c r="EX48" s="46"/>
      <c r="EY48" s="46"/>
      <c r="EZ48" s="46"/>
      <c r="FA48" s="85"/>
      <c r="FB48" s="41"/>
      <c r="FC48" s="46"/>
      <c r="FD48" s="46"/>
      <c r="FE48" s="46"/>
      <c r="FF48" s="83"/>
      <c r="FG48" s="83"/>
      <c r="FH48" s="83"/>
      <c r="FI48" s="83"/>
      <c r="FJ48" s="83"/>
      <c r="FK48" s="83"/>
      <c r="FL48" s="83"/>
      <c r="FM48" s="83"/>
      <c r="FN48" s="83"/>
      <c r="FO48" s="83"/>
      <c r="FP48" s="81"/>
      <c r="FQ48" s="46"/>
      <c r="FR48" s="46"/>
      <c r="FS48" s="46"/>
      <c r="FT48" s="46"/>
      <c r="FU48" s="85"/>
      <c r="FV48" s="41"/>
      <c r="FW48" s="46"/>
      <c r="FX48" s="46"/>
      <c r="FY48" s="46"/>
      <c r="FZ48" s="83"/>
      <c r="GA48" s="83"/>
      <c r="GB48" s="83"/>
      <c r="GC48" s="83"/>
      <c r="GD48" s="83"/>
      <c r="GE48" s="83"/>
      <c r="GF48" s="83"/>
      <c r="GG48" s="83"/>
      <c r="GH48" s="83"/>
      <c r="GI48" s="83"/>
      <c r="GJ48" s="81"/>
      <c r="GK48" s="46"/>
      <c r="GL48" s="46"/>
      <c r="GM48" s="46"/>
      <c r="GN48" s="46"/>
      <c r="GO48" s="85"/>
      <c r="GP48" s="41"/>
      <c r="GQ48" s="46"/>
      <c r="GR48" s="46"/>
      <c r="GS48" s="46"/>
      <c r="GT48" s="83"/>
      <c r="GU48" s="83"/>
      <c r="GV48" s="83"/>
      <c r="GW48" s="83"/>
      <c r="GX48" s="83"/>
      <c r="GY48" s="83"/>
      <c r="GZ48" s="83"/>
      <c r="HA48" s="83"/>
      <c r="HB48" s="83"/>
      <c r="HC48" s="83"/>
      <c r="HD48" s="81"/>
      <c r="HE48" s="46"/>
      <c r="HF48" s="46"/>
      <c r="HG48" s="46"/>
      <c r="HH48" s="46"/>
      <c r="HI48" s="85"/>
      <c r="HJ48" s="41"/>
      <c r="HK48" s="46"/>
      <c r="HL48" s="46"/>
      <c r="HM48" s="46"/>
      <c r="HN48" s="83"/>
      <c r="HO48" s="83"/>
      <c r="HP48" s="83"/>
      <c r="HQ48" s="83"/>
      <c r="HR48" s="83"/>
      <c r="HS48" s="83"/>
      <c r="HT48" s="83"/>
      <c r="HU48" s="83"/>
      <c r="HV48" s="83"/>
      <c r="HW48" s="83"/>
      <c r="HX48" s="81"/>
      <c r="HY48" s="46"/>
      <c r="HZ48" s="46"/>
      <c r="IA48" s="46"/>
      <c r="IB48" s="46"/>
      <c r="IC48" s="85"/>
      <c r="ID48" s="41"/>
      <c r="IE48" s="46"/>
      <c r="IF48" s="46"/>
      <c r="IG48" s="46"/>
      <c r="IH48" s="83"/>
      <c r="II48" s="83"/>
      <c r="IJ48" s="83"/>
      <c r="IK48" s="83"/>
      <c r="IL48" s="83"/>
      <c r="IM48" s="83"/>
      <c r="IN48" s="83"/>
      <c r="IO48" s="83"/>
      <c r="IP48" s="83"/>
      <c r="IQ48" s="83"/>
      <c r="IR48" s="81"/>
      <c r="IS48" s="46"/>
      <c r="IT48" s="46"/>
      <c r="IU48" s="46"/>
      <c r="IV48" s="46"/>
      <c r="IW48" s="85"/>
      <c r="IX48" s="41"/>
      <c r="IY48" s="46"/>
      <c r="IZ48" s="46"/>
      <c r="JA48" s="46"/>
      <c r="JB48" s="83"/>
      <c r="JC48" s="83"/>
      <c r="JD48" s="83"/>
      <c r="JE48" s="83"/>
      <c r="JF48" s="83"/>
      <c r="JG48" s="83"/>
      <c r="JH48" s="83"/>
      <c r="JI48" s="83"/>
      <c r="JJ48" s="83"/>
      <c r="JK48" s="83"/>
      <c r="JL48" s="81"/>
      <c r="JM48" s="46"/>
      <c r="JN48" s="46"/>
      <c r="JO48" s="46"/>
      <c r="JP48" s="46"/>
      <c r="JQ48" s="85"/>
      <c r="JR48" s="41"/>
      <c r="JS48" s="46"/>
      <c r="JT48" s="46"/>
      <c r="JU48" s="46"/>
      <c r="JV48" s="83"/>
      <c r="JW48" s="83"/>
      <c r="JX48" s="83"/>
      <c r="JY48" s="83"/>
      <c r="JZ48" s="83"/>
      <c r="KA48" s="83"/>
      <c r="KB48" s="83"/>
      <c r="KC48" s="83"/>
      <c r="KD48" s="83"/>
      <c r="KE48" s="83"/>
      <c r="KF48" s="81"/>
      <c r="KG48" s="46"/>
      <c r="KH48" s="46"/>
      <c r="KI48" s="46"/>
      <c r="KJ48" s="46"/>
      <c r="KK48" s="85"/>
      <c r="KL48" s="41"/>
      <c r="KM48" s="46"/>
      <c r="KN48" s="46"/>
      <c r="KO48" s="46"/>
      <c r="KP48" s="83"/>
      <c r="KQ48" s="83"/>
      <c r="KR48" s="83"/>
      <c r="KS48" s="83"/>
      <c r="KT48" s="83"/>
      <c r="KU48" s="83"/>
      <c r="KV48" s="83"/>
      <c r="KW48" s="83"/>
      <c r="KX48" s="83"/>
      <c r="KY48" s="83"/>
      <c r="KZ48" s="81"/>
      <c r="LA48" s="46"/>
      <c r="LB48" s="46"/>
      <c r="LC48" s="46"/>
      <c r="LD48" s="46"/>
      <c r="LE48" s="85"/>
      <c r="LF48" s="41"/>
      <c r="LG48" s="46"/>
      <c r="LH48" s="46"/>
      <c r="LI48" s="46"/>
      <c r="LJ48" s="83"/>
      <c r="LK48" s="83"/>
      <c r="LL48" s="83"/>
      <c r="LM48" s="83"/>
      <c r="LN48" s="83"/>
      <c r="LO48" s="83"/>
      <c r="LP48" s="83"/>
      <c r="LQ48" s="83"/>
      <c r="LR48" s="83"/>
      <c r="LS48" s="83"/>
      <c r="LT48" s="81"/>
      <c r="LU48" s="46"/>
      <c r="LV48" s="46"/>
      <c r="LW48" s="46"/>
      <c r="LX48" s="46"/>
      <c r="LY48" s="85"/>
      <c r="LZ48" s="41"/>
      <c r="MA48" s="46"/>
      <c r="MB48" s="46"/>
      <c r="MC48" s="46"/>
      <c r="MD48" s="83"/>
      <c r="ME48" s="83"/>
      <c r="MF48" s="83"/>
      <c r="MG48" s="83"/>
      <c r="MH48" s="83"/>
      <c r="MI48" s="83"/>
      <c r="MJ48" s="83"/>
      <c r="MK48" s="83"/>
      <c r="ML48" s="83"/>
      <c r="MM48" s="83"/>
      <c r="MN48" s="81"/>
      <c r="MO48" s="46"/>
      <c r="MP48" s="46"/>
      <c r="MQ48" s="46"/>
      <c r="MR48" s="46"/>
      <c r="MS48" s="85"/>
      <c r="MT48" s="41"/>
      <c r="MU48" s="46"/>
      <c r="MV48" s="46"/>
      <c r="MW48" s="46"/>
      <c r="MX48" s="83"/>
      <c r="MY48" s="83"/>
      <c r="MZ48" s="83"/>
      <c r="NA48" s="83"/>
      <c r="NB48" s="83"/>
      <c r="NC48" s="83"/>
      <c r="ND48" s="83"/>
      <c r="NE48" s="83"/>
      <c r="NF48" s="83"/>
      <c r="NG48" s="83"/>
      <c r="NH48" s="81"/>
      <c r="NI48" s="46"/>
      <c r="NJ48" s="46"/>
      <c r="NK48" s="46"/>
      <c r="NL48" s="46"/>
      <c r="NM48" s="85"/>
      <c r="NN48" s="41"/>
      <c r="NO48" s="46"/>
      <c r="NP48" s="46"/>
      <c r="NQ48" s="46"/>
      <c r="NR48" s="83"/>
      <c r="NS48" s="83"/>
      <c r="NT48" s="83"/>
      <c r="NU48" s="83"/>
      <c r="NV48" s="83"/>
      <c r="NW48" s="83"/>
      <c r="NX48" s="83"/>
      <c r="NY48" s="83"/>
      <c r="NZ48" s="83"/>
      <c r="OA48" s="83"/>
      <c r="OB48" s="81"/>
      <c r="OC48" s="46"/>
      <c r="OD48" s="46"/>
      <c r="OE48" s="46"/>
      <c r="OF48" s="46"/>
      <c r="OG48" s="85"/>
      <c r="OH48" s="41"/>
      <c r="OI48" s="46"/>
      <c r="OJ48" s="46"/>
      <c r="OK48" s="46"/>
      <c r="OL48" s="83"/>
      <c r="OM48" s="83"/>
      <c r="ON48" s="83"/>
      <c r="OO48" s="83"/>
      <c r="OP48" s="83"/>
      <c r="OQ48" s="83"/>
      <c r="OR48" s="83"/>
      <c r="OS48" s="83"/>
      <c r="OT48" s="83"/>
      <c r="OU48" s="83"/>
      <c r="OV48" s="81"/>
      <c r="OW48" s="46"/>
      <c r="OX48" s="46"/>
      <c r="OY48" s="46"/>
      <c r="OZ48" s="46"/>
      <c r="PA48" s="85"/>
      <c r="PB48" s="41"/>
      <c r="PC48" s="46"/>
      <c r="PD48" s="46"/>
      <c r="PE48" s="46"/>
      <c r="PF48" s="83"/>
      <c r="PG48" s="83"/>
      <c r="PH48" s="83"/>
      <c r="PI48" s="83"/>
      <c r="PJ48" s="83"/>
      <c r="PK48" s="83"/>
      <c r="PL48" s="83"/>
      <c r="PM48" s="83"/>
      <c r="PN48" s="83"/>
      <c r="PO48" s="83"/>
      <c r="PP48" s="81"/>
      <c r="PQ48" s="46"/>
      <c r="PR48" s="46"/>
      <c r="PS48" s="46"/>
      <c r="PT48" s="46"/>
      <c r="PU48" s="85"/>
      <c r="PV48" s="41"/>
      <c r="PW48" s="46"/>
      <c r="PX48" s="46"/>
      <c r="PY48" s="46"/>
      <c r="PZ48" s="83"/>
      <c r="QA48" s="83"/>
      <c r="QB48" s="83"/>
      <c r="QC48" s="83"/>
      <c r="QD48" s="83"/>
      <c r="QE48" s="83"/>
      <c r="QF48" s="83"/>
      <c r="QG48" s="83"/>
      <c r="QH48" s="83"/>
      <c r="QI48" s="83"/>
      <c r="QJ48" s="81"/>
      <c r="QK48" s="46"/>
      <c r="QL48" s="46"/>
      <c r="QM48" s="46"/>
      <c r="QN48" s="46"/>
      <c r="QO48" s="85"/>
      <c r="QP48" s="41"/>
      <c r="QQ48" s="46"/>
      <c r="QR48" s="46"/>
      <c r="QS48" s="46"/>
      <c r="QT48" s="83"/>
      <c r="QU48" s="83"/>
      <c r="QV48" s="83"/>
      <c r="QW48" s="83"/>
      <c r="QX48" s="83"/>
      <c r="QY48" s="83"/>
      <c r="QZ48" s="83"/>
      <c r="RA48" s="83"/>
      <c r="RB48" s="83"/>
      <c r="RC48" s="83"/>
      <c r="RD48" s="81"/>
      <c r="RE48" s="46"/>
      <c r="RF48" s="46"/>
      <c r="RG48" s="46"/>
      <c r="RH48" s="46"/>
      <c r="RI48" s="85"/>
      <c r="RJ48" s="41"/>
      <c r="RK48" s="46"/>
      <c r="RL48" s="46"/>
      <c r="RM48" s="46"/>
      <c r="RN48" s="83"/>
      <c r="RO48" s="83"/>
      <c r="RP48" s="83"/>
      <c r="RQ48" s="83"/>
      <c r="RR48" s="83"/>
      <c r="RS48" s="83"/>
      <c r="RT48" s="83"/>
      <c r="RU48" s="83"/>
      <c r="RV48" s="83"/>
      <c r="RW48" s="83"/>
      <c r="RX48" s="81"/>
      <c r="RY48" s="46"/>
      <c r="RZ48" s="46"/>
      <c r="SA48" s="46"/>
      <c r="SB48" s="46"/>
      <c r="SC48" s="85"/>
      <c r="SD48" s="41"/>
      <c r="SE48" s="46"/>
      <c r="SF48" s="46"/>
      <c r="SG48" s="46"/>
    </row>
    <row r="49" spans="1:501" s="1" customFormat="1" ht="23.25" customHeight="1" x14ac:dyDescent="0.3">
      <c r="A49" s="66" t="s">
        <v>208</v>
      </c>
      <c r="B49" s="66"/>
      <c r="C49" s="66"/>
      <c r="D49" s="49"/>
      <c r="E49" s="49"/>
      <c r="F49" s="49"/>
      <c r="G49" s="70"/>
      <c r="H49" s="70"/>
      <c r="I49" s="206"/>
      <c r="J49" s="70"/>
      <c r="K49" s="70"/>
      <c r="L49" s="70"/>
      <c r="M49" s="70"/>
      <c r="N49" s="70"/>
      <c r="O49" s="70"/>
      <c r="P49" s="70"/>
      <c r="Q49" s="70"/>
      <c r="R49" s="70"/>
      <c r="S49" s="70"/>
      <c r="T49" s="70"/>
      <c r="U49" s="77"/>
      <c r="V49" s="82"/>
      <c r="W49" s="82"/>
      <c r="X49" s="82"/>
      <c r="Y49" s="82"/>
      <c r="Z49" s="82"/>
      <c r="AA49" s="82"/>
      <c r="AB49" s="82"/>
      <c r="AC49" s="82"/>
      <c r="AD49" s="82"/>
      <c r="AE49" s="82"/>
      <c r="AF49" s="80"/>
      <c r="AG49" s="53"/>
      <c r="AH49" s="53"/>
      <c r="AI49" s="53"/>
      <c r="AJ49" s="53"/>
      <c r="AK49" s="84"/>
      <c r="AL49" s="52"/>
      <c r="AM49" s="53"/>
      <c r="AN49" s="53"/>
      <c r="AO49" s="53"/>
      <c r="AP49" s="82"/>
      <c r="AQ49" s="82"/>
      <c r="AR49" s="82"/>
      <c r="AS49" s="82"/>
      <c r="AT49" s="82"/>
      <c r="AU49" s="82"/>
      <c r="AV49" s="82"/>
      <c r="AW49" s="82"/>
      <c r="AX49" s="82"/>
      <c r="AY49" s="82"/>
      <c r="AZ49" s="80"/>
      <c r="BA49" s="53"/>
      <c r="BB49" s="53"/>
      <c r="BC49" s="53"/>
      <c r="BD49" s="53"/>
      <c r="BE49" s="84"/>
      <c r="BF49" s="52"/>
      <c r="BG49" s="53"/>
      <c r="BH49" s="53"/>
      <c r="BI49" s="53"/>
      <c r="BJ49" s="82"/>
      <c r="BK49" s="82"/>
      <c r="BL49" s="82"/>
      <c r="BM49" s="82"/>
      <c r="BN49" s="82"/>
      <c r="BO49" s="82"/>
      <c r="BP49" s="82"/>
      <c r="BQ49" s="82"/>
      <c r="BR49" s="82"/>
      <c r="BS49" s="82"/>
      <c r="BT49" s="80"/>
      <c r="BU49" s="53"/>
      <c r="BV49" s="53"/>
      <c r="BW49" s="53"/>
      <c r="BX49" s="53"/>
      <c r="BY49" s="84"/>
      <c r="BZ49" s="52"/>
      <c r="CA49" s="53"/>
      <c r="CB49" s="53"/>
      <c r="CC49" s="53"/>
      <c r="CD49" s="82"/>
      <c r="CE49" s="82"/>
      <c r="CF49" s="82"/>
      <c r="CG49" s="82"/>
      <c r="CH49" s="82"/>
      <c r="CI49" s="82"/>
      <c r="CJ49" s="82"/>
      <c r="CK49" s="82"/>
      <c r="CL49" s="82"/>
      <c r="CM49" s="82"/>
      <c r="CN49" s="80"/>
      <c r="CO49" s="53"/>
      <c r="CP49" s="53"/>
      <c r="CQ49" s="53"/>
      <c r="CR49" s="53"/>
      <c r="CS49" s="84"/>
      <c r="CT49" s="52"/>
      <c r="CU49" s="53"/>
      <c r="CV49" s="53"/>
      <c r="CW49" s="53"/>
      <c r="CX49" s="82"/>
      <c r="CY49" s="82"/>
      <c r="CZ49" s="82"/>
      <c r="DA49" s="82"/>
      <c r="DB49" s="82"/>
      <c r="DC49" s="82"/>
      <c r="DD49" s="82"/>
      <c r="DE49" s="82"/>
      <c r="DF49" s="82"/>
      <c r="DG49" s="82"/>
      <c r="DH49" s="80"/>
      <c r="DI49" s="53"/>
      <c r="DJ49" s="53"/>
      <c r="DK49" s="53"/>
      <c r="DL49" s="53"/>
      <c r="DM49" s="84"/>
      <c r="DN49" s="52"/>
      <c r="DO49" s="53"/>
      <c r="DP49" s="53"/>
      <c r="DQ49" s="53"/>
      <c r="DR49" s="82"/>
      <c r="DS49" s="82"/>
      <c r="DT49" s="82"/>
      <c r="DU49" s="82"/>
      <c r="DV49" s="82"/>
      <c r="DW49" s="82"/>
      <c r="DX49" s="82"/>
      <c r="DY49" s="82"/>
      <c r="DZ49" s="82"/>
      <c r="EA49" s="82"/>
      <c r="EB49" s="80"/>
      <c r="EC49" s="53"/>
      <c r="ED49" s="53"/>
      <c r="EE49" s="53"/>
      <c r="EF49" s="53"/>
      <c r="EG49" s="84"/>
      <c r="EH49" s="52"/>
      <c r="EI49" s="53"/>
      <c r="EJ49" s="53"/>
      <c r="EK49" s="53"/>
      <c r="EL49" s="82"/>
      <c r="EM49" s="82"/>
      <c r="EN49" s="82"/>
      <c r="EO49" s="82"/>
      <c r="EP49" s="82"/>
      <c r="EQ49" s="82"/>
      <c r="ER49" s="82"/>
      <c r="ES49" s="82"/>
      <c r="ET49" s="82"/>
      <c r="EU49" s="82"/>
      <c r="EV49" s="80"/>
      <c r="EW49" s="53"/>
      <c r="EX49" s="53"/>
      <c r="EY49" s="53"/>
      <c r="EZ49" s="53"/>
      <c r="FA49" s="84"/>
      <c r="FB49" s="52"/>
      <c r="FC49" s="53"/>
      <c r="FD49" s="53"/>
      <c r="FE49" s="53"/>
      <c r="FF49" s="82"/>
      <c r="FG49" s="82"/>
      <c r="FH49" s="82"/>
      <c r="FI49" s="82"/>
      <c r="FJ49" s="82"/>
      <c r="FK49" s="82"/>
      <c r="FL49" s="82"/>
      <c r="FM49" s="82"/>
      <c r="FN49" s="82"/>
      <c r="FO49" s="82"/>
      <c r="FP49" s="80"/>
      <c r="FQ49" s="53"/>
      <c r="FR49" s="53"/>
      <c r="FS49" s="53"/>
      <c r="FT49" s="53"/>
      <c r="FU49" s="84"/>
      <c r="FV49" s="52"/>
      <c r="FW49" s="53"/>
      <c r="FX49" s="53"/>
      <c r="FY49" s="53"/>
      <c r="FZ49" s="82"/>
      <c r="GA49" s="82"/>
      <c r="GB49" s="82"/>
      <c r="GC49" s="82"/>
      <c r="GD49" s="82"/>
      <c r="GE49" s="82"/>
      <c r="GF49" s="82"/>
      <c r="GG49" s="82"/>
      <c r="GH49" s="82"/>
      <c r="GI49" s="82"/>
      <c r="GJ49" s="80"/>
      <c r="GK49" s="53"/>
      <c r="GL49" s="53"/>
      <c r="GM49" s="53"/>
      <c r="GN49" s="53"/>
      <c r="GO49" s="84"/>
      <c r="GP49" s="52"/>
      <c r="GQ49" s="53"/>
      <c r="GR49" s="53"/>
      <c r="GS49" s="53"/>
      <c r="GT49" s="82"/>
      <c r="GU49" s="82"/>
      <c r="GV49" s="82"/>
      <c r="GW49" s="82"/>
      <c r="GX49" s="82"/>
      <c r="GY49" s="82"/>
      <c r="GZ49" s="82"/>
      <c r="HA49" s="82"/>
      <c r="HB49" s="82"/>
      <c r="HC49" s="82"/>
      <c r="HD49" s="80"/>
      <c r="HE49" s="53"/>
      <c r="HF49" s="53"/>
      <c r="HG49" s="53"/>
      <c r="HH49" s="53"/>
      <c r="HI49" s="84"/>
      <c r="HJ49" s="52"/>
      <c r="HK49" s="53"/>
      <c r="HL49" s="53"/>
      <c r="HM49" s="53"/>
      <c r="HN49" s="82"/>
      <c r="HO49" s="82"/>
      <c r="HP49" s="82"/>
      <c r="HQ49" s="82"/>
      <c r="HR49" s="82"/>
      <c r="HS49" s="82"/>
      <c r="HT49" s="82"/>
      <c r="HU49" s="82"/>
      <c r="HV49" s="82"/>
      <c r="HW49" s="82"/>
      <c r="HX49" s="80"/>
      <c r="HY49" s="53"/>
      <c r="HZ49" s="53"/>
      <c r="IA49" s="53"/>
      <c r="IB49" s="53"/>
      <c r="IC49" s="84"/>
      <c r="ID49" s="52"/>
      <c r="IE49" s="53"/>
      <c r="IF49" s="53"/>
      <c r="IG49" s="53"/>
      <c r="IH49" s="82"/>
      <c r="II49" s="82"/>
      <c r="IJ49" s="82"/>
      <c r="IK49" s="82"/>
      <c r="IL49" s="82"/>
      <c r="IM49" s="82"/>
      <c r="IN49" s="82"/>
      <c r="IO49" s="82"/>
      <c r="IP49" s="82"/>
      <c r="IQ49" s="82"/>
      <c r="IR49" s="80"/>
      <c r="IS49" s="53"/>
      <c r="IT49" s="53"/>
      <c r="IU49" s="53"/>
      <c r="IV49" s="53"/>
      <c r="IW49" s="84"/>
      <c r="IX49" s="52"/>
      <c r="IY49" s="53"/>
      <c r="IZ49" s="53"/>
      <c r="JA49" s="53"/>
      <c r="JB49" s="82"/>
      <c r="JC49" s="82"/>
      <c r="JD49" s="82"/>
      <c r="JE49" s="82"/>
      <c r="JF49" s="82"/>
      <c r="JG49" s="82"/>
      <c r="JH49" s="82"/>
      <c r="JI49" s="82"/>
      <c r="JJ49" s="82"/>
      <c r="JK49" s="82"/>
      <c r="JL49" s="80"/>
      <c r="JM49" s="53"/>
      <c r="JN49" s="53"/>
      <c r="JO49" s="53"/>
      <c r="JP49" s="53"/>
      <c r="JQ49" s="84"/>
      <c r="JR49" s="52"/>
      <c r="JS49" s="53"/>
      <c r="JT49" s="53"/>
      <c r="JU49" s="53"/>
      <c r="JV49" s="82"/>
      <c r="JW49" s="82"/>
      <c r="JX49" s="82"/>
      <c r="JY49" s="82"/>
      <c r="JZ49" s="82"/>
      <c r="KA49" s="82"/>
      <c r="KB49" s="82"/>
      <c r="KC49" s="82"/>
      <c r="KD49" s="82"/>
      <c r="KE49" s="82"/>
      <c r="KF49" s="80"/>
      <c r="KG49" s="53"/>
      <c r="KH49" s="53"/>
      <c r="KI49" s="53"/>
      <c r="KJ49" s="53"/>
      <c r="KK49" s="84"/>
      <c r="KL49" s="52"/>
      <c r="KM49" s="53"/>
      <c r="KN49" s="53"/>
      <c r="KO49" s="53"/>
      <c r="KP49" s="82"/>
      <c r="KQ49" s="82"/>
      <c r="KR49" s="82"/>
      <c r="KS49" s="82"/>
      <c r="KT49" s="82"/>
      <c r="KU49" s="82"/>
      <c r="KV49" s="82"/>
      <c r="KW49" s="82"/>
      <c r="KX49" s="82"/>
      <c r="KY49" s="82"/>
      <c r="KZ49" s="80"/>
      <c r="LA49" s="53"/>
      <c r="LB49" s="53"/>
      <c r="LC49" s="53"/>
      <c r="LD49" s="53"/>
      <c r="LE49" s="84"/>
      <c r="LF49" s="52"/>
      <c r="LG49" s="53"/>
      <c r="LH49" s="53"/>
      <c r="LI49" s="53"/>
      <c r="LJ49" s="82"/>
      <c r="LK49" s="82"/>
      <c r="LL49" s="82"/>
      <c r="LM49" s="82"/>
      <c r="LN49" s="82"/>
      <c r="LO49" s="82"/>
      <c r="LP49" s="82"/>
      <c r="LQ49" s="82"/>
      <c r="LR49" s="82"/>
      <c r="LS49" s="82"/>
      <c r="LT49" s="80"/>
      <c r="LU49" s="53"/>
      <c r="LV49" s="53"/>
      <c r="LW49" s="53"/>
      <c r="LX49" s="53"/>
      <c r="LY49" s="84"/>
      <c r="LZ49" s="52"/>
      <c r="MA49" s="53"/>
      <c r="MB49" s="53"/>
      <c r="MC49" s="53"/>
      <c r="MD49" s="82"/>
      <c r="ME49" s="82"/>
      <c r="MF49" s="82"/>
      <c r="MG49" s="82"/>
      <c r="MH49" s="82"/>
      <c r="MI49" s="82"/>
      <c r="MJ49" s="82"/>
      <c r="MK49" s="82"/>
      <c r="ML49" s="82"/>
      <c r="MM49" s="82"/>
      <c r="MN49" s="80"/>
      <c r="MO49" s="53"/>
      <c r="MP49" s="53"/>
      <c r="MQ49" s="53"/>
      <c r="MR49" s="53"/>
      <c r="MS49" s="84"/>
      <c r="MT49" s="52"/>
      <c r="MU49" s="53"/>
      <c r="MV49" s="53"/>
      <c r="MW49" s="53"/>
      <c r="MX49" s="82"/>
      <c r="MY49" s="82"/>
      <c r="MZ49" s="82"/>
      <c r="NA49" s="82"/>
      <c r="NB49" s="82"/>
      <c r="NC49" s="82"/>
      <c r="ND49" s="82"/>
      <c r="NE49" s="82"/>
      <c r="NF49" s="82"/>
      <c r="NG49" s="82"/>
      <c r="NH49" s="80"/>
      <c r="NI49" s="53"/>
      <c r="NJ49" s="53"/>
      <c r="NK49" s="53"/>
      <c r="NL49" s="53"/>
      <c r="NM49" s="84"/>
      <c r="NN49" s="52"/>
      <c r="NO49" s="53"/>
      <c r="NP49" s="53"/>
      <c r="NQ49" s="53"/>
      <c r="NR49" s="82"/>
      <c r="NS49" s="82"/>
      <c r="NT49" s="82"/>
      <c r="NU49" s="82"/>
      <c r="NV49" s="82"/>
      <c r="NW49" s="82"/>
      <c r="NX49" s="82"/>
      <c r="NY49" s="82"/>
      <c r="NZ49" s="82"/>
      <c r="OA49" s="82"/>
      <c r="OB49" s="80"/>
      <c r="OC49" s="53"/>
      <c r="OD49" s="53"/>
      <c r="OE49" s="53"/>
      <c r="OF49" s="53"/>
      <c r="OG49" s="84"/>
      <c r="OH49" s="52"/>
      <c r="OI49" s="53"/>
      <c r="OJ49" s="53"/>
      <c r="OK49" s="53"/>
      <c r="OL49" s="82"/>
      <c r="OM49" s="82"/>
      <c r="ON49" s="82"/>
      <c r="OO49" s="82"/>
      <c r="OP49" s="82"/>
      <c r="OQ49" s="82"/>
      <c r="OR49" s="82"/>
      <c r="OS49" s="82"/>
      <c r="OT49" s="82"/>
      <c r="OU49" s="82"/>
      <c r="OV49" s="80"/>
      <c r="OW49" s="53"/>
      <c r="OX49" s="53"/>
      <c r="OY49" s="53"/>
      <c r="OZ49" s="53"/>
      <c r="PA49" s="84"/>
      <c r="PB49" s="52"/>
      <c r="PC49" s="53"/>
      <c r="PD49" s="53"/>
      <c r="PE49" s="53"/>
      <c r="PF49" s="82"/>
      <c r="PG49" s="82"/>
      <c r="PH49" s="82"/>
      <c r="PI49" s="82"/>
      <c r="PJ49" s="82"/>
      <c r="PK49" s="82"/>
      <c r="PL49" s="82"/>
      <c r="PM49" s="82"/>
      <c r="PN49" s="82"/>
      <c r="PO49" s="82"/>
      <c r="PP49" s="80"/>
      <c r="PQ49" s="53"/>
      <c r="PR49" s="53"/>
      <c r="PS49" s="53"/>
      <c r="PT49" s="53"/>
      <c r="PU49" s="84"/>
      <c r="PV49" s="52"/>
      <c r="PW49" s="53"/>
      <c r="PX49" s="53"/>
      <c r="PY49" s="53"/>
      <c r="PZ49" s="82"/>
      <c r="QA49" s="82"/>
      <c r="QB49" s="82"/>
      <c r="QC49" s="82"/>
      <c r="QD49" s="82"/>
      <c r="QE49" s="82"/>
      <c r="QF49" s="82"/>
      <c r="QG49" s="82"/>
      <c r="QH49" s="82"/>
      <c r="QI49" s="82"/>
      <c r="QJ49" s="80"/>
      <c r="QK49" s="53"/>
      <c r="QL49" s="53"/>
      <c r="QM49" s="53"/>
      <c r="QN49" s="53"/>
      <c r="QO49" s="84"/>
      <c r="QP49" s="52"/>
      <c r="QQ49" s="53"/>
      <c r="QR49" s="53"/>
      <c r="QS49" s="53"/>
      <c r="QT49" s="82"/>
      <c r="QU49" s="82"/>
      <c r="QV49" s="82"/>
      <c r="QW49" s="82"/>
      <c r="QX49" s="82"/>
      <c r="QY49" s="82"/>
      <c r="QZ49" s="82"/>
      <c r="RA49" s="82"/>
      <c r="RB49" s="82"/>
      <c r="RC49" s="82"/>
      <c r="RD49" s="80"/>
      <c r="RE49" s="53"/>
      <c r="RF49" s="53"/>
      <c r="RG49" s="53"/>
      <c r="RH49" s="53"/>
      <c r="RI49" s="84"/>
      <c r="RJ49" s="52"/>
      <c r="RK49" s="53"/>
      <c r="RL49" s="53"/>
      <c r="RM49" s="53"/>
      <c r="RN49" s="82"/>
      <c r="RO49" s="82"/>
      <c r="RP49" s="82"/>
      <c r="RQ49" s="82"/>
      <c r="RR49" s="82"/>
      <c r="RS49" s="82"/>
      <c r="RT49" s="82"/>
      <c r="RU49" s="82"/>
      <c r="RV49" s="82"/>
      <c r="RW49" s="82"/>
      <c r="RX49" s="80"/>
      <c r="RY49" s="53"/>
      <c r="RZ49" s="53"/>
      <c r="SA49" s="53"/>
      <c r="SB49" s="53"/>
      <c r="SC49" s="84"/>
      <c r="SD49" s="52"/>
      <c r="SE49" s="53"/>
      <c r="SF49" s="53"/>
      <c r="SG49" s="53"/>
    </row>
    <row r="50" spans="1:501" s="1" customFormat="1" x14ac:dyDescent="0.3">
      <c r="A50" s="8"/>
      <c r="C50" s="8"/>
      <c r="E50"/>
      <c r="G50" s="2"/>
      <c r="H50" s="2"/>
      <c r="KP50"/>
      <c r="KQ50"/>
      <c r="KR50"/>
      <c r="KS50"/>
      <c r="KT50"/>
      <c r="KU50"/>
      <c r="KV50"/>
      <c r="KW50"/>
    </row>
    <row r="51" spans="1:501" s="1" customFormat="1" x14ac:dyDescent="0.3">
      <c r="A51" s="8"/>
      <c r="C51" s="8"/>
      <c r="E51"/>
      <c r="G51" s="2"/>
      <c r="H51" s="2"/>
      <c r="KP51"/>
      <c r="KQ51"/>
      <c r="KR51"/>
      <c r="KS51"/>
      <c r="KT51"/>
      <c r="KU51"/>
      <c r="KV51"/>
      <c r="KW51"/>
    </row>
    <row r="52" spans="1:501" s="1" customFormat="1" x14ac:dyDescent="0.3">
      <c r="A52" s="8"/>
      <c r="C52" s="8"/>
      <c r="E52"/>
      <c r="G52" s="2"/>
      <c r="H52" s="2"/>
      <c r="KP52"/>
      <c r="KQ52"/>
      <c r="KR52"/>
      <c r="KS52"/>
      <c r="KT52"/>
      <c r="KU52"/>
      <c r="KV52"/>
      <c r="KW52"/>
    </row>
    <row r="53" spans="1:501" s="1" customFormat="1" x14ac:dyDescent="0.3">
      <c r="A53" s="8"/>
      <c r="C53" s="8"/>
      <c r="E53"/>
      <c r="G53" s="2"/>
      <c r="H53" s="2"/>
      <c r="KP53"/>
      <c r="KQ53"/>
      <c r="KR53"/>
      <c r="KS53"/>
      <c r="KT53"/>
      <c r="KU53"/>
      <c r="KV53"/>
      <c r="KW53"/>
    </row>
    <row r="54" spans="1:501" s="1" customFormat="1" x14ac:dyDescent="0.3">
      <c r="A54" s="8"/>
      <c r="C54" s="8"/>
      <c r="E54"/>
      <c r="G54" s="2"/>
      <c r="H54" s="2"/>
      <c r="KP54"/>
      <c r="KQ54"/>
      <c r="KR54"/>
      <c r="KS54"/>
      <c r="KT54"/>
      <c r="KU54"/>
      <c r="KV54"/>
      <c r="KW54"/>
    </row>
    <row r="55" spans="1:501" s="1" customFormat="1" x14ac:dyDescent="0.3">
      <c r="A55" s="8"/>
      <c r="C55" s="8"/>
      <c r="E55"/>
      <c r="G55" s="2"/>
      <c r="H55" s="2"/>
      <c r="KP55"/>
      <c r="KQ55"/>
      <c r="KR55"/>
      <c r="KS55"/>
      <c r="KT55"/>
      <c r="KU55"/>
      <c r="KV55"/>
      <c r="KW55"/>
    </row>
    <row r="56" spans="1:501" s="1" customFormat="1" x14ac:dyDescent="0.3">
      <c r="A56" s="8"/>
      <c r="C56" s="8"/>
      <c r="E56"/>
      <c r="G56" s="2"/>
      <c r="H56" s="2"/>
      <c r="KP56"/>
      <c r="KQ56"/>
      <c r="KR56"/>
      <c r="KS56"/>
      <c r="KT56"/>
      <c r="KU56"/>
      <c r="KV56"/>
      <c r="KW56"/>
    </row>
    <row r="57" spans="1:501" s="1" customFormat="1" x14ac:dyDescent="0.3">
      <c r="A57" s="8"/>
      <c r="C57" s="8"/>
      <c r="E57"/>
      <c r="G57" s="2"/>
      <c r="H57" s="2"/>
      <c r="KP57"/>
      <c r="KQ57"/>
      <c r="KR57"/>
      <c r="KS57"/>
      <c r="KT57"/>
      <c r="KU57"/>
      <c r="KV57"/>
      <c r="KW57"/>
    </row>
    <row r="58" spans="1:501" s="1" customFormat="1" x14ac:dyDescent="0.3">
      <c r="A58" s="8"/>
      <c r="C58" s="8"/>
      <c r="E58"/>
      <c r="G58" s="2"/>
      <c r="H58" s="2"/>
      <c r="KP58"/>
      <c r="KQ58"/>
      <c r="KR58"/>
      <c r="KS58"/>
      <c r="KT58"/>
      <c r="KU58"/>
      <c r="KV58"/>
      <c r="KW58"/>
    </row>
    <row r="59" spans="1:501" s="1" customFormat="1" x14ac:dyDescent="0.3">
      <c r="A59" s="8"/>
      <c r="C59" s="8"/>
      <c r="E59"/>
      <c r="G59" s="2"/>
      <c r="H59" s="2"/>
      <c r="KP59"/>
      <c r="KQ59"/>
      <c r="KR59"/>
      <c r="KS59"/>
      <c r="KT59"/>
      <c r="KU59"/>
      <c r="KV59"/>
      <c r="KW59"/>
    </row>
    <row r="60" spans="1:501" s="1" customFormat="1" x14ac:dyDescent="0.3">
      <c r="A60" s="8"/>
      <c r="C60" s="8"/>
      <c r="E60"/>
      <c r="G60" s="2"/>
      <c r="H60" s="2"/>
      <c r="KP60"/>
      <c r="KQ60"/>
      <c r="KR60"/>
      <c r="KS60"/>
      <c r="KT60"/>
      <c r="KU60"/>
      <c r="KV60"/>
      <c r="KW60"/>
    </row>
    <row r="61" spans="1:501" s="1" customFormat="1" x14ac:dyDescent="0.3">
      <c r="A61" s="8"/>
      <c r="C61" s="8"/>
      <c r="E61"/>
      <c r="G61" s="2"/>
      <c r="H61" s="2"/>
      <c r="KP61"/>
      <c r="KQ61"/>
      <c r="KR61"/>
      <c r="KS61"/>
      <c r="KT61"/>
      <c r="KU61"/>
      <c r="KV61"/>
      <c r="KW61"/>
    </row>
    <row r="62" spans="1:501" s="1" customFormat="1" x14ac:dyDescent="0.3">
      <c r="A62" s="8"/>
      <c r="C62" s="8"/>
      <c r="E62"/>
      <c r="G62" s="2"/>
      <c r="H62" s="2"/>
      <c r="KP62"/>
      <c r="KQ62"/>
      <c r="KR62"/>
      <c r="KS62"/>
      <c r="KT62"/>
      <c r="KU62"/>
      <c r="KV62"/>
      <c r="KW62"/>
    </row>
    <row r="63" spans="1:501" s="1" customFormat="1" x14ac:dyDescent="0.3">
      <c r="A63" s="8"/>
      <c r="C63" s="8"/>
      <c r="E63"/>
      <c r="G63" s="2"/>
      <c r="H63" s="2"/>
      <c r="KP63"/>
      <c r="KQ63"/>
      <c r="KR63"/>
      <c r="KS63"/>
      <c r="KT63"/>
      <c r="KU63"/>
      <c r="KV63"/>
      <c r="KW63"/>
    </row>
    <row r="64" spans="1:501" s="1" customFormat="1" x14ac:dyDescent="0.3">
      <c r="A64" s="8"/>
      <c r="C64" s="8"/>
      <c r="E64"/>
      <c r="G64" s="2"/>
      <c r="H64" s="2"/>
      <c r="KP64"/>
      <c r="KQ64"/>
      <c r="KR64"/>
      <c r="KS64"/>
      <c r="KT64"/>
      <c r="KU64"/>
      <c r="KV64"/>
      <c r="KW64"/>
    </row>
    <row r="65" spans="1:309" s="1" customFormat="1" x14ac:dyDescent="0.3">
      <c r="A65" s="8"/>
      <c r="C65" s="8"/>
      <c r="E65"/>
      <c r="G65" s="2"/>
      <c r="H65" s="2"/>
      <c r="KP65"/>
      <c r="KQ65"/>
      <c r="KR65"/>
      <c r="KS65"/>
      <c r="KT65"/>
      <c r="KU65"/>
      <c r="KV65"/>
      <c r="KW65"/>
    </row>
    <row r="66" spans="1:309" s="1" customFormat="1" x14ac:dyDescent="0.3">
      <c r="A66" s="8"/>
      <c r="C66" s="8"/>
      <c r="E66"/>
      <c r="G66" s="2"/>
      <c r="H66" s="2"/>
      <c r="KP66"/>
      <c r="KQ66"/>
      <c r="KR66"/>
      <c r="KS66"/>
      <c r="KT66"/>
      <c r="KU66"/>
      <c r="KV66"/>
      <c r="KW66"/>
    </row>
    <row r="67" spans="1:309" s="1" customFormat="1" x14ac:dyDescent="0.3">
      <c r="A67" s="8"/>
      <c r="C67" s="8"/>
      <c r="E67"/>
      <c r="G67" s="2"/>
      <c r="H67" s="2"/>
      <c r="KP67"/>
      <c r="KQ67"/>
      <c r="KR67"/>
      <c r="KS67"/>
      <c r="KT67"/>
      <c r="KU67"/>
      <c r="KV67"/>
      <c r="KW67"/>
    </row>
    <row r="68" spans="1:309" s="1" customFormat="1" x14ac:dyDescent="0.3">
      <c r="A68" s="8"/>
      <c r="C68" s="8"/>
      <c r="E68"/>
      <c r="G68" s="2"/>
      <c r="H68" s="2"/>
      <c r="KP68"/>
      <c r="KQ68"/>
      <c r="KR68"/>
      <c r="KS68"/>
      <c r="KT68"/>
      <c r="KU68"/>
      <c r="KV68"/>
      <c r="KW68"/>
    </row>
    <row r="69" spans="1:309" s="1" customFormat="1" x14ac:dyDescent="0.3">
      <c r="A69" s="8"/>
      <c r="C69" s="8"/>
      <c r="E69"/>
      <c r="G69" s="2"/>
      <c r="H69" s="2"/>
      <c r="KP69"/>
      <c r="KQ69"/>
      <c r="KR69"/>
      <c r="KS69"/>
      <c r="KT69"/>
      <c r="KU69"/>
      <c r="KV69"/>
      <c r="KW69"/>
    </row>
    <row r="70" spans="1:309" s="1" customFormat="1" x14ac:dyDescent="0.3">
      <c r="A70" s="8"/>
      <c r="C70" s="8"/>
      <c r="E70"/>
      <c r="G70" s="2"/>
      <c r="H70" s="2"/>
      <c r="KP70"/>
      <c r="KQ70"/>
      <c r="KR70"/>
      <c r="KS70"/>
      <c r="KT70"/>
      <c r="KU70"/>
      <c r="KV70"/>
      <c r="KW70"/>
    </row>
    <row r="71" spans="1:309" s="1" customFormat="1" x14ac:dyDescent="0.3">
      <c r="A71" s="8"/>
      <c r="C71" s="8"/>
      <c r="E71"/>
      <c r="G71" s="2"/>
      <c r="H71" s="2"/>
      <c r="KP71"/>
      <c r="KQ71"/>
      <c r="KR71"/>
      <c r="KS71"/>
      <c r="KT71"/>
      <c r="KU71"/>
      <c r="KV71"/>
      <c r="KW71"/>
    </row>
    <row r="72" spans="1:309" s="1" customFormat="1" x14ac:dyDescent="0.3">
      <c r="B72" s="106" t="s">
        <v>68</v>
      </c>
      <c r="C72" s="106" t="s">
        <v>516</v>
      </c>
      <c r="E72"/>
      <c r="G72" s="2"/>
      <c r="H72" s="2"/>
      <c r="KP72"/>
      <c r="KQ72"/>
      <c r="KR72"/>
      <c r="KS72"/>
      <c r="KT72"/>
      <c r="KU72"/>
      <c r="KV72"/>
      <c r="KW72"/>
    </row>
    <row r="73" spans="1:309" s="1" customFormat="1" x14ac:dyDescent="0.3">
      <c r="B73" s="106" t="s">
        <v>517</v>
      </c>
      <c r="C73" s="106" t="s">
        <v>516</v>
      </c>
      <c r="E73"/>
      <c r="G73" s="2"/>
      <c r="H73" s="2"/>
      <c r="KP73"/>
      <c r="KQ73"/>
      <c r="KR73"/>
      <c r="KS73"/>
      <c r="KT73"/>
      <c r="KU73"/>
      <c r="KV73"/>
      <c r="KW73"/>
    </row>
    <row r="74" spans="1:309" s="1" customFormat="1" x14ac:dyDescent="0.3">
      <c r="B74" s="106" t="s">
        <v>69</v>
      </c>
      <c r="C74" s="106" t="s">
        <v>516</v>
      </c>
      <c r="E74"/>
      <c r="G74" s="2"/>
      <c r="H74" s="2"/>
      <c r="KP74"/>
      <c r="KQ74"/>
      <c r="KR74"/>
      <c r="KS74"/>
      <c r="KT74"/>
      <c r="KU74"/>
      <c r="KV74"/>
      <c r="KW74"/>
    </row>
    <row r="75" spans="1:309" s="1" customFormat="1" x14ac:dyDescent="0.3">
      <c r="B75" s="106" t="s">
        <v>313</v>
      </c>
      <c r="C75" s="106" t="s">
        <v>516</v>
      </c>
      <c r="E75"/>
      <c r="G75" s="2"/>
      <c r="H75" s="2"/>
      <c r="KP75"/>
      <c r="KQ75"/>
      <c r="KR75"/>
      <c r="KS75"/>
      <c r="KT75"/>
      <c r="KU75"/>
      <c r="KV75"/>
      <c r="KW75"/>
    </row>
    <row r="76" spans="1:309" s="1" customFormat="1" x14ac:dyDescent="0.3">
      <c r="B76" s="106" t="s">
        <v>71</v>
      </c>
      <c r="C76" s="106" t="s">
        <v>314</v>
      </c>
      <c r="E76"/>
      <c r="G76" s="2"/>
      <c r="H76" s="2"/>
      <c r="KP76"/>
      <c r="KQ76"/>
      <c r="KR76"/>
      <c r="KS76"/>
      <c r="KT76"/>
      <c r="KU76"/>
      <c r="KV76"/>
      <c r="KW76"/>
    </row>
    <row r="77" spans="1:309" s="1" customFormat="1" x14ac:dyDescent="0.3">
      <c r="B77" s="106" t="s">
        <v>518</v>
      </c>
      <c r="C77" s="106" t="s">
        <v>314</v>
      </c>
      <c r="E77"/>
      <c r="G77" s="2"/>
      <c r="H77" s="2"/>
      <c r="KP77"/>
      <c r="KQ77"/>
      <c r="KR77"/>
      <c r="KS77"/>
      <c r="KT77"/>
      <c r="KU77"/>
      <c r="KV77"/>
      <c r="KW77"/>
    </row>
    <row r="78" spans="1:309" s="1" customFormat="1" x14ac:dyDescent="0.3">
      <c r="B78" s="106" t="s">
        <v>372</v>
      </c>
      <c r="C78" s="106" t="s">
        <v>516</v>
      </c>
      <c r="E78"/>
      <c r="G78" s="2"/>
      <c r="H78" s="2"/>
      <c r="KP78"/>
      <c r="KQ78"/>
      <c r="KR78"/>
      <c r="KS78"/>
      <c r="KT78"/>
      <c r="KU78"/>
      <c r="KV78"/>
      <c r="KW78"/>
    </row>
    <row r="79" spans="1:309" s="1" customFormat="1" x14ac:dyDescent="0.3">
      <c r="B79" s="106" t="s">
        <v>373</v>
      </c>
      <c r="C79" s="106" t="s">
        <v>516</v>
      </c>
      <c r="E79"/>
      <c r="G79" s="2"/>
      <c r="H79" s="2"/>
      <c r="KP79"/>
      <c r="KQ79"/>
      <c r="KR79"/>
      <c r="KS79"/>
      <c r="KT79"/>
      <c r="KU79"/>
      <c r="KV79"/>
      <c r="KW79"/>
    </row>
    <row r="80" spans="1:309" s="1" customFormat="1" x14ac:dyDescent="0.3">
      <c r="B80" s="106" t="s">
        <v>413</v>
      </c>
      <c r="C80" s="106" t="s">
        <v>516</v>
      </c>
      <c r="E80"/>
      <c r="G80" s="2"/>
      <c r="H80" s="2"/>
      <c r="KP80"/>
      <c r="KQ80"/>
      <c r="KR80"/>
      <c r="KS80"/>
      <c r="KT80"/>
      <c r="KU80"/>
      <c r="KV80"/>
      <c r="KW80"/>
    </row>
    <row r="81" spans="1:309" s="1" customFormat="1" x14ac:dyDescent="0.3">
      <c r="B81" s="315" t="s">
        <v>324</v>
      </c>
      <c r="C81" s="106" t="s">
        <v>349</v>
      </c>
      <c r="E81"/>
      <c r="G81" s="2"/>
      <c r="H81" s="2"/>
      <c r="KP81"/>
      <c r="KQ81"/>
      <c r="KR81"/>
      <c r="KS81"/>
      <c r="KT81"/>
      <c r="KU81"/>
      <c r="KV81"/>
      <c r="KW81"/>
    </row>
    <row r="82" spans="1:309" s="1" customFormat="1" x14ac:dyDescent="0.3">
      <c r="B82" s="106" t="s">
        <v>519</v>
      </c>
      <c r="C82" s="106" t="s">
        <v>349</v>
      </c>
      <c r="E82"/>
      <c r="G82" s="2"/>
      <c r="H82" s="2"/>
      <c r="KP82"/>
      <c r="KQ82"/>
      <c r="KR82"/>
      <c r="KS82"/>
      <c r="KT82"/>
      <c r="KU82"/>
      <c r="KV82"/>
      <c r="KW82"/>
    </row>
    <row r="83" spans="1:309" s="1" customFormat="1" x14ac:dyDescent="0.3">
      <c r="B83" s="106" t="s">
        <v>520</v>
      </c>
      <c r="C83" s="106" t="s">
        <v>349</v>
      </c>
      <c r="E83"/>
      <c r="G83" s="2"/>
      <c r="H83" s="2"/>
      <c r="KP83"/>
      <c r="KQ83"/>
      <c r="KR83"/>
      <c r="KS83"/>
      <c r="KT83"/>
      <c r="KU83"/>
      <c r="KV83"/>
      <c r="KW83"/>
    </row>
    <row r="84" spans="1:309" s="1" customFormat="1" x14ac:dyDescent="0.3">
      <c r="B84" s="106" t="s">
        <v>359</v>
      </c>
      <c r="C84" s="106" t="s">
        <v>360</v>
      </c>
      <c r="E84"/>
      <c r="G84" s="2"/>
      <c r="H84" s="2"/>
      <c r="KP84"/>
      <c r="KQ84"/>
      <c r="KR84"/>
      <c r="KS84"/>
      <c r="KT84"/>
      <c r="KU84"/>
      <c r="KV84"/>
      <c r="KW84"/>
    </row>
    <row r="85" spans="1:309" s="1" customFormat="1" x14ac:dyDescent="0.3">
      <c r="B85" s="106" t="s">
        <v>521</v>
      </c>
      <c r="C85" s="106" t="s">
        <v>360</v>
      </c>
      <c r="E85"/>
      <c r="G85" s="2"/>
      <c r="H85" s="2"/>
      <c r="KP85"/>
      <c r="KQ85"/>
      <c r="KR85"/>
      <c r="KS85"/>
      <c r="KT85"/>
      <c r="KU85"/>
      <c r="KV85"/>
      <c r="KW85"/>
    </row>
    <row r="86" spans="1:309" s="1" customFormat="1" x14ac:dyDescent="0.3">
      <c r="B86" s="106" t="s">
        <v>359</v>
      </c>
      <c r="C86" s="106" t="s">
        <v>360</v>
      </c>
      <c r="E86"/>
      <c r="G86" s="2"/>
      <c r="H86" s="2"/>
      <c r="KP86"/>
      <c r="KQ86"/>
      <c r="KR86"/>
      <c r="KS86"/>
      <c r="KT86"/>
      <c r="KU86"/>
      <c r="KV86"/>
      <c r="KW86"/>
    </row>
    <row r="87" spans="1:309" s="1" customFormat="1" x14ac:dyDescent="0.3">
      <c r="B87" s="106" t="s">
        <v>521</v>
      </c>
      <c r="C87" s="106" t="s">
        <v>360</v>
      </c>
      <c r="E87"/>
      <c r="G87" s="2"/>
      <c r="H87" s="2"/>
      <c r="KP87"/>
      <c r="KQ87"/>
      <c r="KR87"/>
      <c r="KS87"/>
      <c r="KT87"/>
      <c r="KU87"/>
      <c r="KV87"/>
      <c r="KW87"/>
    </row>
    <row r="88" spans="1:309" s="1" customFormat="1" x14ac:dyDescent="0.3">
      <c r="A88" s="8"/>
      <c r="C88" s="8"/>
      <c r="E88"/>
      <c r="G88" s="2"/>
      <c r="H88" s="2"/>
      <c r="KP88"/>
      <c r="KQ88"/>
      <c r="KR88"/>
      <c r="KS88"/>
      <c r="KT88"/>
      <c r="KU88"/>
      <c r="KV88"/>
      <c r="KW88"/>
    </row>
    <row r="89" spans="1:309" s="1" customFormat="1" x14ac:dyDescent="0.3">
      <c r="A89" s="8"/>
      <c r="C89" s="8"/>
      <c r="E89"/>
      <c r="G89" s="2"/>
      <c r="H89" s="2"/>
      <c r="KP89"/>
      <c r="KQ89"/>
      <c r="KR89"/>
      <c r="KS89"/>
      <c r="KT89"/>
      <c r="KU89"/>
      <c r="KV89"/>
      <c r="KW89"/>
    </row>
    <row r="90" spans="1:309" s="1" customFormat="1" x14ac:dyDescent="0.3">
      <c r="A90" s="8"/>
      <c r="C90" s="8"/>
      <c r="E90"/>
      <c r="G90" s="2"/>
      <c r="H90" s="2"/>
      <c r="KP90"/>
      <c r="KQ90"/>
      <c r="KR90"/>
      <c r="KS90"/>
      <c r="KT90"/>
      <c r="KU90"/>
      <c r="KV90"/>
      <c r="KW90"/>
    </row>
    <row r="91" spans="1:309" s="1" customFormat="1" x14ac:dyDescent="0.3">
      <c r="A91"/>
      <c r="C91" s="8"/>
      <c r="E91"/>
      <c r="G91" s="2"/>
      <c r="H91" s="2"/>
      <c r="KP91"/>
      <c r="KQ91"/>
      <c r="KR91"/>
      <c r="KS91"/>
      <c r="KT91"/>
      <c r="KU91"/>
      <c r="KV91"/>
      <c r="KW91"/>
    </row>
    <row r="92" spans="1:309" s="1" customFormat="1" x14ac:dyDescent="0.3">
      <c r="A92"/>
      <c r="C92" s="8"/>
      <c r="E92"/>
      <c r="G92" s="2"/>
      <c r="H92" s="2"/>
      <c r="KP92"/>
      <c r="KQ92"/>
      <c r="KR92"/>
      <c r="KS92"/>
      <c r="KT92"/>
      <c r="KU92"/>
      <c r="KV92"/>
      <c r="KW92"/>
    </row>
    <row r="93" spans="1:309" s="1" customFormat="1" x14ac:dyDescent="0.3">
      <c r="A93"/>
      <c r="C93" s="8"/>
      <c r="E93"/>
      <c r="G93" s="2"/>
      <c r="H93" s="2"/>
      <c r="KP93"/>
      <c r="KQ93"/>
      <c r="KR93"/>
      <c r="KS93"/>
      <c r="KT93"/>
      <c r="KU93"/>
      <c r="KV93"/>
      <c r="KW93"/>
    </row>
    <row r="94" spans="1:309" s="1" customFormat="1" x14ac:dyDescent="0.3">
      <c r="A94"/>
      <c r="C94" s="8"/>
      <c r="E94"/>
      <c r="G94" s="2"/>
      <c r="H94" s="2"/>
      <c r="KP94"/>
      <c r="KQ94"/>
      <c r="KR94"/>
      <c r="KS94"/>
      <c r="KT94"/>
      <c r="KU94"/>
      <c r="KV94"/>
      <c r="KW94"/>
    </row>
    <row r="95" spans="1:309" s="1" customFormat="1" x14ac:dyDescent="0.3">
      <c r="A95"/>
      <c r="C95" s="8"/>
      <c r="E95"/>
      <c r="G95" s="2"/>
      <c r="H95" s="2"/>
      <c r="KP95"/>
      <c r="KQ95"/>
      <c r="KR95"/>
      <c r="KS95"/>
      <c r="KT95"/>
      <c r="KU95"/>
      <c r="KV95"/>
      <c r="KW95"/>
    </row>
    <row r="96" spans="1:309" s="1" customFormat="1" x14ac:dyDescent="0.3">
      <c r="A96"/>
      <c r="C96" s="8"/>
      <c r="E96"/>
      <c r="G96" s="2"/>
      <c r="H96" s="2"/>
      <c r="KP96"/>
      <c r="KQ96"/>
      <c r="KR96"/>
      <c r="KS96"/>
      <c r="KT96"/>
      <c r="KU96"/>
      <c r="KV96"/>
      <c r="KW96"/>
    </row>
    <row r="97" spans="1:309" s="1" customFormat="1" x14ac:dyDescent="0.3">
      <c r="A97"/>
      <c r="C97" s="8"/>
      <c r="E97"/>
      <c r="G97" s="2"/>
      <c r="H97" s="2"/>
      <c r="KP97"/>
      <c r="KQ97"/>
      <c r="KR97"/>
      <c r="KS97"/>
      <c r="KT97"/>
      <c r="KU97"/>
      <c r="KV97"/>
      <c r="KW97"/>
    </row>
    <row r="98" spans="1:309" s="1" customFormat="1" x14ac:dyDescent="0.3">
      <c r="A98"/>
      <c r="C98" s="8"/>
      <c r="E98"/>
      <c r="G98" s="2"/>
      <c r="H98" s="2"/>
      <c r="KP98"/>
      <c r="KQ98"/>
      <c r="KR98"/>
      <c r="KS98"/>
      <c r="KT98"/>
      <c r="KU98"/>
      <c r="KV98"/>
      <c r="KW98"/>
    </row>
    <row r="99" spans="1:309" s="1" customFormat="1" x14ac:dyDescent="0.3">
      <c r="A99"/>
      <c r="C99" s="8"/>
      <c r="E99"/>
      <c r="G99" s="2"/>
      <c r="H99" s="2"/>
      <c r="KP99"/>
      <c r="KQ99"/>
      <c r="KR99"/>
      <c r="KS99"/>
      <c r="KT99"/>
      <c r="KU99"/>
      <c r="KV99"/>
      <c r="KW99"/>
    </row>
    <row r="100" spans="1:309" s="1" customFormat="1" x14ac:dyDescent="0.3">
      <c r="A100"/>
      <c r="C100" s="8"/>
      <c r="E100"/>
      <c r="G100" s="2"/>
      <c r="H100" s="2"/>
      <c r="KP100"/>
      <c r="KQ100"/>
      <c r="KR100"/>
      <c r="KS100"/>
      <c r="KT100"/>
      <c r="KU100"/>
      <c r="KV100"/>
      <c r="KW100"/>
    </row>
    <row r="101" spans="1:309" s="1" customFormat="1" x14ac:dyDescent="0.3">
      <c r="A101"/>
      <c r="C101" s="8"/>
      <c r="E101"/>
      <c r="G101" s="2"/>
      <c r="H101" s="2"/>
      <c r="KP101"/>
      <c r="KQ101"/>
      <c r="KR101"/>
      <c r="KS101"/>
      <c r="KT101"/>
      <c r="KU101"/>
      <c r="KV101"/>
      <c r="KW101"/>
    </row>
    <row r="102" spans="1:309" s="1" customFormat="1" x14ac:dyDescent="0.3">
      <c r="A102"/>
      <c r="C102" s="8"/>
      <c r="E102"/>
      <c r="G102" s="2"/>
      <c r="H102" s="2"/>
      <c r="KP102"/>
      <c r="KQ102"/>
      <c r="KR102"/>
      <c r="KS102"/>
      <c r="KT102"/>
      <c r="KU102"/>
      <c r="KV102"/>
      <c r="KW102"/>
    </row>
    <row r="103" spans="1:309" s="1" customFormat="1" x14ac:dyDescent="0.3">
      <c r="A103"/>
      <c r="C103" s="8"/>
      <c r="E103"/>
      <c r="G103" s="2"/>
      <c r="H103" s="2"/>
      <c r="KP103"/>
      <c r="KQ103"/>
      <c r="KR103"/>
      <c r="KS103"/>
      <c r="KT103"/>
      <c r="KU103"/>
      <c r="KV103"/>
      <c r="KW103"/>
    </row>
    <row r="104" spans="1:309" s="1" customFormat="1" x14ac:dyDescent="0.3">
      <c r="A104"/>
      <c r="C104" s="8"/>
      <c r="E104"/>
      <c r="G104" s="2"/>
      <c r="H104" s="2"/>
      <c r="KP104"/>
      <c r="KQ104"/>
      <c r="KR104"/>
      <c r="KS104"/>
      <c r="KT104"/>
      <c r="KU104"/>
      <c r="KV104"/>
      <c r="KW104"/>
    </row>
    <row r="105" spans="1:309" s="1" customFormat="1" x14ac:dyDescent="0.3">
      <c r="A105"/>
      <c r="C105" s="8"/>
      <c r="E105"/>
      <c r="G105" s="2"/>
      <c r="H105" s="2"/>
      <c r="KP105"/>
      <c r="KQ105"/>
      <c r="KR105"/>
      <c r="KS105"/>
      <c r="KT105"/>
      <c r="KU105"/>
      <c r="KV105"/>
      <c r="KW105"/>
    </row>
    <row r="106" spans="1:309" s="1" customFormat="1" x14ac:dyDescent="0.3">
      <c r="A106"/>
      <c r="C106" s="8"/>
      <c r="E106"/>
      <c r="G106" s="2"/>
      <c r="H106" s="2"/>
      <c r="KP106"/>
      <c r="KQ106"/>
      <c r="KR106"/>
      <c r="KS106"/>
      <c r="KT106"/>
      <c r="KU106"/>
      <c r="KV106"/>
      <c r="KW106"/>
    </row>
    <row r="107" spans="1:309" s="1" customFormat="1" x14ac:dyDescent="0.3">
      <c r="A107"/>
      <c r="C107" s="8"/>
      <c r="E107"/>
      <c r="G107" s="2"/>
      <c r="H107" s="2"/>
      <c r="KP107"/>
      <c r="KQ107"/>
      <c r="KR107"/>
      <c r="KS107"/>
      <c r="KT107"/>
      <c r="KU107"/>
      <c r="KV107"/>
      <c r="KW107"/>
    </row>
    <row r="108" spans="1:309" s="1" customFormat="1" x14ac:dyDescent="0.3">
      <c r="A108"/>
      <c r="C108" s="8"/>
      <c r="E108"/>
      <c r="G108" s="2"/>
      <c r="H108" s="2"/>
      <c r="KP108"/>
      <c r="KQ108"/>
      <c r="KR108"/>
      <c r="KS108"/>
      <c r="KT108"/>
      <c r="KU108"/>
      <c r="KV108"/>
      <c r="KW108"/>
    </row>
    <row r="109" spans="1:309" s="1" customFormat="1" x14ac:dyDescent="0.3">
      <c r="A109"/>
      <c r="C109" s="8"/>
      <c r="E109"/>
      <c r="G109" s="2"/>
      <c r="H109" s="2"/>
      <c r="KP109"/>
      <c r="KQ109"/>
      <c r="KR109"/>
      <c r="KS109"/>
      <c r="KT109"/>
      <c r="KU109"/>
      <c r="KV109"/>
      <c r="KW109"/>
    </row>
    <row r="110" spans="1:309" s="1" customFormat="1" x14ac:dyDescent="0.3">
      <c r="A110"/>
      <c r="C110" s="8"/>
      <c r="E110"/>
      <c r="G110" s="2"/>
      <c r="H110" s="2"/>
      <c r="KP110"/>
      <c r="KQ110"/>
      <c r="KR110"/>
      <c r="KS110"/>
      <c r="KT110"/>
      <c r="KU110"/>
      <c r="KV110"/>
      <c r="KW110"/>
    </row>
    <row r="111" spans="1:309" s="1" customFormat="1" x14ac:dyDescent="0.3">
      <c r="A111"/>
      <c r="C111" s="8"/>
      <c r="E111"/>
      <c r="G111" s="2"/>
      <c r="H111" s="2"/>
      <c r="KP111"/>
      <c r="KQ111"/>
      <c r="KR111"/>
      <c r="KS111"/>
      <c r="KT111"/>
      <c r="KU111"/>
      <c r="KV111"/>
      <c r="KW111"/>
    </row>
    <row r="112" spans="1:309" s="1" customFormat="1" x14ac:dyDescent="0.3">
      <c r="A112"/>
      <c r="C112" s="8"/>
      <c r="E112"/>
      <c r="G112" s="2"/>
      <c r="H112" s="2"/>
      <c r="KP112"/>
      <c r="KQ112"/>
      <c r="KR112"/>
      <c r="KS112"/>
      <c r="KT112"/>
      <c r="KU112"/>
      <c r="KV112"/>
      <c r="KW112"/>
    </row>
    <row r="113" spans="1:309" s="1" customFormat="1" x14ac:dyDescent="0.3">
      <c r="A113"/>
      <c r="C113" s="8"/>
      <c r="E113"/>
      <c r="G113" s="2"/>
      <c r="H113" s="2"/>
      <c r="KP113"/>
      <c r="KQ113"/>
      <c r="KR113"/>
      <c r="KS113"/>
      <c r="KT113"/>
      <c r="KU113"/>
      <c r="KV113"/>
      <c r="KW113"/>
    </row>
    <row r="114" spans="1:309" s="1" customFormat="1" x14ac:dyDescent="0.3">
      <c r="A114"/>
      <c r="C114" s="8"/>
      <c r="E114"/>
      <c r="G114" s="2"/>
      <c r="H114" s="2"/>
      <c r="KP114"/>
      <c r="KQ114"/>
      <c r="KR114"/>
      <c r="KS114"/>
      <c r="KT114"/>
      <c r="KU114"/>
      <c r="KV114"/>
      <c r="KW114"/>
    </row>
    <row r="115" spans="1:309" s="1" customFormat="1" x14ac:dyDescent="0.3">
      <c r="A115"/>
      <c r="C115" s="8"/>
      <c r="E115"/>
      <c r="G115" s="2"/>
      <c r="H115" s="2"/>
      <c r="KP115"/>
      <c r="KQ115"/>
      <c r="KR115"/>
      <c r="KS115"/>
      <c r="KT115"/>
      <c r="KU115"/>
      <c r="KV115"/>
      <c r="KW115"/>
    </row>
    <row r="116" spans="1:309" s="1" customFormat="1" x14ac:dyDescent="0.3">
      <c r="A116"/>
      <c r="C116" s="8"/>
      <c r="E116"/>
      <c r="G116" s="2"/>
      <c r="H116" s="2"/>
      <c r="KP116"/>
      <c r="KQ116"/>
      <c r="KR116"/>
      <c r="KS116"/>
      <c r="KT116"/>
      <c r="KU116"/>
      <c r="KV116"/>
      <c r="KW116"/>
    </row>
    <row r="117" spans="1:309" s="1" customFormat="1" x14ac:dyDescent="0.3">
      <c r="A117"/>
      <c r="C117" s="8"/>
      <c r="E117"/>
      <c r="G117" s="2"/>
      <c r="H117" s="2"/>
      <c r="KP117"/>
      <c r="KQ117"/>
      <c r="KR117"/>
      <c r="KS117"/>
      <c r="KT117"/>
      <c r="KU117"/>
      <c r="KV117"/>
      <c r="KW117"/>
    </row>
    <row r="118" spans="1:309" s="1" customFormat="1" x14ac:dyDescent="0.3">
      <c r="A118"/>
      <c r="C118" s="8"/>
      <c r="E118"/>
      <c r="G118" s="2"/>
      <c r="H118" s="2"/>
      <c r="KP118"/>
      <c r="KQ118"/>
      <c r="KR118"/>
      <c r="KS118"/>
      <c r="KT118"/>
      <c r="KU118"/>
      <c r="KV118"/>
      <c r="KW118"/>
    </row>
    <row r="119" spans="1:309" s="1" customFormat="1" x14ac:dyDescent="0.3">
      <c r="A119"/>
      <c r="C119" s="8"/>
      <c r="E119"/>
      <c r="G119" s="2"/>
      <c r="H119" s="2"/>
      <c r="KP119"/>
      <c r="KQ119"/>
      <c r="KR119"/>
      <c r="KS119"/>
      <c r="KT119"/>
      <c r="KU119"/>
      <c r="KV119"/>
      <c r="KW119"/>
    </row>
    <row r="120" spans="1:309" s="1" customFormat="1" x14ac:dyDescent="0.3">
      <c r="A120"/>
      <c r="C120" s="8"/>
      <c r="E120"/>
      <c r="G120" s="2"/>
      <c r="H120" s="2"/>
      <c r="KP120"/>
      <c r="KQ120"/>
      <c r="KR120"/>
      <c r="KS120"/>
      <c r="KT120"/>
      <c r="KU120"/>
      <c r="KV120"/>
      <c r="KW120"/>
    </row>
    <row r="121" spans="1:309" s="1" customFormat="1" x14ac:dyDescent="0.3">
      <c r="A121"/>
      <c r="C121" s="8"/>
      <c r="E121"/>
      <c r="G121" s="2"/>
      <c r="H121" s="2"/>
      <c r="KP121"/>
      <c r="KQ121"/>
      <c r="KR121"/>
      <c r="KS121"/>
      <c r="KT121"/>
      <c r="KU121"/>
      <c r="KV121"/>
      <c r="KW121"/>
    </row>
    <row r="122" spans="1:309" s="1" customFormat="1" x14ac:dyDescent="0.3">
      <c r="A122"/>
      <c r="C122" s="8"/>
      <c r="E122"/>
      <c r="G122" s="2"/>
      <c r="H122" s="2"/>
      <c r="KP122"/>
      <c r="KQ122"/>
      <c r="KR122"/>
      <c r="KS122"/>
      <c r="KT122"/>
      <c r="KU122"/>
      <c r="KV122"/>
      <c r="KW122"/>
    </row>
    <row r="123" spans="1:309" s="1" customFormat="1" x14ac:dyDescent="0.3">
      <c r="A123"/>
      <c r="C123" s="8"/>
      <c r="E123"/>
      <c r="G123" s="2"/>
      <c r="H123" s="2"/>
      <c r="KP123"/>
      <c r="KQ123"/>
      <c r="KR123"/>
      <c r="KS123"/>
      <c r="KT123"/>
      <c r="KU123"/>
      <c r="KV123"/>
      <c r="KW123"/>
    </row>
    <row r="124" spans="1:309" s="1" customFormat="1" x14ac:dyDescent="0.3">
      <c r="A124"/>
      <c r="C124" s="8"/>
      <c r="E124"/>
      <c r="G124" s="2"/>
      <c r="H124" s="2"/>
      <c r="KP124"/>
      <c r="KQ124"/>
      <c r="KR124"/>
      <c r="KS124"/>
      <c r="KT124"/>
      <c r="KU124"/>
      <c r="KV124"/>
      <c r="KW124"/>
    </row>
    <row r="125" spans="1:309" s="1" customFormat="1" x14ac:dyDescent="0.3">
      <c r="A125"/>
      <c r="C125" s="8"/>
      <c r="E125"/>
      <c r="G125" s="2"/>
      <c r="H125" s="2"/>
      <c r="KP125"/>
      <c r="KQ125"/>
      <c r="KR125"/>
      <c r="KS125"/>
      <c r="KT125"/>
      <c r="KU125"/>
      <c r="KV125"/>
      <c r="KW125"/>
    </row>
    <row r="126" spans="1:309" s="1" customFormat="1" x14ac:dyDescent="0.3">
      <c r="A126"/>
      <c r="C126" s="8"/>
      <c r="E126"/>
      <c r="G126" s="2"/>
      <c r="H126" s="2"/>
      <c r="KP126"/>
      <c r="KQ126"/>
      <c r="KR126"/>
      <c r="KS126"/>
      <c r="KT126"/>
      <c r="KU126"/>
      <c r="KV126"/>
      <c r="KW126"/>
    </row>
    <row r="127" spans="1:309" s="1" customFormat="1" x14ac:dyDescent="0.3">
      <c r="A127"/>
      <c r="C127" s="8"/>
      <c r="E127"/>
      <c r="G127" s="2"/>
      <c r="H127" s="2"/>
      <c r="KP127"/>
      <c r="KQ127"/>
      <c r="KR127"/>
      <c r="KS127"/>
      <c r="KT127"/>
      <c r="KU127"/>
      <c r="KV127"/>
      <c r="KW127"/>
    </row>
    <row r="128" spans="1:309" s="1" customFormat="1" x14ac:dyDescent="0.3">
      <c r="A128"/>
      <c r="C128" s="8"/>
      <c r="E128"/>
      <c r="G128" s="2"/>
      <c r="H128" s="2"/>
      <c r="KP128"/>
      <c r="KQ128"/>
      <c r="KR128"/>
      <c r="KS128"/>
      <c r="KT128"/>
      <c r="KU128"/>
      <c r="KV128"/>
      <c r="KW128"/>
    </row>
    <row r="129" spans="1:309" s="1" customFormat="1" x14ac:dyDescent="0.3">
      <c r="A129"/>
      <c r="C129" s="8"/>
      <c r="E129"/>
      <c r="G129" s="2"/>
      <c r="H129" s="2"/>
      <c r="KP129"/>
      <c r="KQ129"/>
      <c r="KR129"/>
      <c r="KS129"/>
      <c r="KT129"/>
      <c r="KU129"/>
      <c r="KV129"/>
      <c r="KW129"/>
    </row>
    <row r="130" spans="1:309" s="1" customFormat="1" x14ac:dyDescent="0.3">
      <c r="A130"/>
      <c r="C130" s="8"/>
      <c r="E130"/>
      <c r="G130" s="2"/>
      <c r="H130" s="2"/>
      <c r="KP130"/>
      <c r="KQ130"/>
      <c r="KR130"/>
      <c r="KS130"/>
      <c r="KT130"/>
      <c r="KU130"/>
      <c r="KV130"/>
      <c r="KW130"/>
    </row>
    <row r="131" spans="1:309" s="1" customFormat="1" x14ac:dyDescent="0.3">
      <c r="A131"/>
      <c r="C131" s="8"/>
      <c r="E131"/>
      <c r="G131" s="2"/>
      <c r="H131" s="2"/>
      <c r="KP131"/>
      <c r="KQ131"/>
      <c r="KR131"/>
      <c r="KS131"/>
      <c r="KT131"/>
      <c r="KU131"/>
      <c r="KV131"/>
      <c r="KW131"/>
    </row>
    <row r="132" spans="1:309" s="1" customFormat="1" x14ac:dyDescent="0.3">
      <c r="A132"/>
      <c r="C132" s="8"/>
      <c r="E132"/>
      <c r="G132" s="2"/>
      <c r="H132" s="2"/>
      <c r="KP132"/>
      <c r="KQ132"/>
      <c r="KR132"/>
      <c r="KS132"/>
      <c r="KT132"/>
      <c r="KU132"/>
      <c r="KV132"/>
      <c r="KW132"/>
    </row>
    <row r="133" spans="1:309" s="1" customFormat="1" x14ac:dyDescent="0.3">
      <c r="A133"/>
      <c r="C133" s="8"/>
      <c r="E133"/>
      <c r="G133" s="2"/>
      <c r="H133" s="2"/>
      <c r="KP133"/>
      <c r="KQ133"/>
      <c r="KR133"/>
      <c r="KS133"/>
      <c r="KT133"/>
      <c r="KU133"/>
      <c r="KV133"/>
      <c r="KW133"/>
    </row>
    <row r="134" spans="1:309" s="1" customFormat="1" x14ac:dyDescent="0.3">
      <c r="A134"/>
      <c r="C134" s="8"/>
      <c r="E134"/>
      <c r="G134" s="2"/>
      <c r="H134" s="2"/>
      <c r="KP134"/>
      <c r="KQ134"/>
      <c r="KR134"/>
      <c r="KS134"/>
      <c r="KT134"/>
      <c r="KU134"/>
      <c r="KV134"/>
      <c r="KW134"/>
    </row>
    <row r="135" spans="1:309" s="1" customFormat="1" x14ac:dyDescent="0.3">
      <c r="A135"/>
      <c r="C135" s="8"/>
      <c r="E135"/>
      <c r="G135" s="2"/>
      <c r="H135" s="2"/>
      <c r="KP135"/>
      <c r="KQ135"/>
      <c r="KR135"/>
      <c r="KS135"/>
      <c r="KT135"/>
      <c r="KU135"/>
      <c r="KV135"/>
      <c r="KW135"/>
    </row>
    <row r="136" spans="1:309" s="1" customFormat="1" x14ac:dyDescent="0.3">
      <c r="A136"/>
      <c r="C136" s="8"/>
      <c r="E136"/>
      <c r="G136" s="2"/>
      <c r="H136" s="2"/>
      <c r="KP136"/>
      <c r="KQ136"/>
      <c r="KR136"/>
      <c r="KS136"/>
      <c r="KT136"/>
      <c r="KU136"/>
      <c r="KV136"/>
      <c r="KW136"/>
    </row>
    <row r="137" spans="1:309" s="1" customFormat="1" x14ac:dyDescent="0.3">
      <c r="A137"/>
      <c r="C137" s="8"/>
      <c r="E137"/>
      <c r="G137" s="2"/>
      <c r="H137" s="2"/>
      <c r="KP137"/>
      <c r="KQ137"/>
      <c r="KR137"/>
      <c r="KS137"/>
      <c r="KT137"/>
      <c r="KU137"/>
      <c r="KV137"/>
      <c r="KW137"/>
    </row>
    <row r="138" spans="1:309" s="1" customFormat="1" x14ac:dyDescent="0.3">
      <c r="A138"/>
      <c r="C138" s="8"/>
      <c r="E138"/>
      <c r="G138" s="2"/>
      <c r="H138" s="2"/>
      <c r="KP138"/>
      <c r="KQ138"/>
      <c r="KR138"/>
      <c r="KS138"/>
      <c r="KT138"/>
      <c r="KU138"/>
      <c r="KV138"/>
      <c r="KW138"/>
    </row>
    <row r="139" spans="1:309" s="1" customFormat="1" x14ac:dyDescent="0.3">
      <c r="A139"/>
      <c r="C139" s="8"/>
      <c r="E139"/>
      <c r="G139" s="2"/>
      <c r="H139" s="2"/>
      <c r="KP139"/>
      <c r="KQ139"/>
      <c r="KR139"/>
      <c r="KS139"/>
      <c r="KT139"/>
      <c r="KU139"/>
      <c r="KV139"/>
      <c r="KW139"/>
    </row>
    <row r="140" spans="1:309" s="1" customFormat="1" x14ac:dyDescent="0.3">
      <c r="A140"/>
      <c r="C140" s="8"/>
      <c r="E140"/>
      <c r="G140" s="2"/>
      <c r="H140" s="2"/>
      <c r="KP140"/>
      <c r="KQ140"/>
      <c r="KR140"/>
      <c r="KS140"/>
      <c r="KT140"/>
      <c r="KU140"/>
      <c r="KV140"/>
      <c r="KW140"/>
    </row>
    <row r="141" spans="1:309" s="1" customFormat="1" x14ac:dyDescent="0.3">
      <c r="A141"/>
      <c r="C141" s="8"/>
      <c r="E141"/>
      <c r="G141" s="2"/>
      <c r="H141" s="2"/>
      <c r="KP141"/>
      <c r="KQ141"/>
      <c r="KR141"/>
      <c r="KS141"/>
      <c r="KT141"/>
      <c r="KU141"/>
      <c r="KV141"/>
      <c r="KW141"/>
    </row>
    <row r="142" spans="1:309" s="1" customFormat="1" x14ac:dyDescent="0.3">
      <c r="A142"/>
      <c r="C142" s="8"/>
      <c r="E142"/>
      <c r="G142" s="2"/>
      <c r="H142" s="2"/>
      <c r="KP142"/>
      <c r="KQ142"/>
      <c r="KR142"/>
      <c r="KS142"/>
      <c r="KT142"/>
      <c r="KU142"/>
      <c r="KV142"/>
      <c r="KW142"/>
    </row>
    <row r="143" spans="1:309" s="1" customFormat="1" x14ac:dyDescent="0.3">
      <c r="A143"/>
      <c r="C143" s="8"/>
      <c r="E143"/>
      <c r="G143" s="2"/>
      <c r="H143" s="2"/>
      <c r="KP143"/>
      <c r="KQ143"/>
      <c r="KR143"/>
      <c r="KS143"/>
      <c r="KT143"/>
      <c r="KU143"/>
      <c r="KV143"/>
      <c r="KW143"/>
    </row>
    <row r="144" spans="1:309" s="1" customFormat="1" x14ac:dyDescent="0.3">
      <c r="A144"/>
      <c r="C144" s="8"/>
      <c r="E144"/>
      <c r="G144" s="2"/>
      <c r="H144" s="2"/>
      <c r="KP144"/>
      <c r="KQ144"/>
      <c r="KR144"/>
      <c r="KS144"/>
      <c r="KT144"/>
      <c r="KU144"/>
      <c r="KV144"/>
      <c r="KW144"/>
    </row>
    <row r="145" spans="1:309" s="1" customFormat="1" x14ac:dyDescent="0.3">
      <c r="A145"/>
      <c r="C145" s="8"/>
      <c r="E145"/>
      <c r="G145" s="2"/>
      <c r="H145" s="2"/>
      <c r="KP145"/>
      <c r="KQ145"/>
      <c r="KR145"/>
      <c r="KS145"/>
      <c r="KT145"/>
      <c r="KU145"/>
      <c r="KV145"/>
      <c r="KW145"/>
    </row>
    <row r="146" spans="1:309" s="1" customFormat="1" x14ac:dyDescent="0.3">
      <c r="A146"/>
      <c r="C146" s="8"/>
      <c r="E146"/>
      <c r="G146" s="2"/>
      <c r="H146" s="2"/>
      <c r="KP146"/>
      <c r="KQ146"/>
      <c r="KR146"/>
      <c r="KS146"/>
      <c r="KT146"/>
      <c r="KU146"/>
      <c r="KV146"/>
      <c r="KW146"/>
    </row>
    <row r="147" spans="1:309" s="1" customFormat="1" x14ac:dyDescent="0.3">
      <c r="A147"/>
      <c r="C147" s="8"/>
      <c r="E147"/>
      <c r="G147" s="2"/>
      <c r="H147" s="2"/>
      <c r="KP147"/>
      <c r="KQ147"/>
      <c r="KR147"/>
      <c r="KS147"/>
      <c r="KT147"/>
      <c r="KU147"/>
      <c r="KV147"/>
      <c r="KW147"/>
    </row>
    <row r="148" spans="1:309" s="1" customFormat="1" x14ac:dyDescent="0.3">
      <c r="A148"/>
      <c r="C148" s="8"/>
      <c r="E148"/>
      <c r="G148" s="2"/>
      <c r="H148" s="2"/>
      <c r="KP148"/>
      <c r="KQ148"/>
      <c r="KR148"/>
      <c r="KS148"/>
      <c r="KT148"/>
      <c r="KU148"/>
      <c r="KV148"/>
      <c r="KW148"/>
    </row>
    <row r="149" spans="1:309" s="1" customFormat="1" x14ac:dyDescent="0.3">
      <c r="A149"/>
      <c r="C149" s="8"/>
      <c r="E149"/>
      <c r="G149" s="2"/>
      <c r="H149" s="2"/>
      <c r="KP149"/>
      <c r="KQ149"/>
      <c r="KR149"/>
      <c r="KS149"/>
      <c r="KT149"/>
      <c r="KU149"/>
      <c r="KV149"/>
      <c r="KW149"/>
    </row>
    <row r="150" spans="1:309" s="1" customFormat="1" x14ac:dyDescent="0.3">
      <c r="A150"/>
      <c r="C150" s="8"/>
      <c r="E150"/>
      <c r="G150" s="2"/>
      <c r="H150" s="2"/>
      <c r="KP150"/>
      <c r="KQ150"/>
      <c r="KR150"/>
      <c r="KS150"/>
      <c r="KT150"/>
      <c r="KU150"/>
      <c r="KV150"/>
      <c r="KW150"/>
    </row>
    <row r="151" spans="1:309" s="1" customFormat="1" x14ac:dyDescent="0.3">
      <c r="A151"/>
      <c r="B151"/>
      <c r="C151" s="8"/>
      <c r="F151" s="2"/>
      <c r="G151" s="2"/>
      <c r="KP151"/>
      <c r="KQ151"/>
      <c r="KR151"/>
      <c r="KS151"/>
      <c r="KT151"/>
      <c r="KU151"/>
      <c r="KV151"/>
      <c r="KW151"/>
    </row>
    <row r="152" spans="1:309" s="1" customFormat="1" x14ac:dyDescent="0.3">
      <c r="A152"/>
      <c r="B152"/>
      <c r="C152" s="8"/>
      <c r="F152" s="2"/>
      <c r="G152" s="2"/>
      <c r="KP152"/>
      <c r="KQ152"/>
      <c r="KR152"/>
      <c r="KS152"/>
      <c r="KT152"/>
      <c r="KU152"/>
      <c r="KV152"/>
      <c r="KW152"/>
    </row>
    <row r="153" spans="1:309" s="1" customFormat="1" x14ac:dyDescent="0.3">
      <c r="A153"/>
      <c r="B153"/>
      <c r="C153" s="8"/>
      <c r="F153" s="2"/>
      <c r="G153" s="2"/>
      <c r="KP153"/>
      <c r="KQ153"/>
      <c r="KR153"/>
      <c r="KS153"/>
      <c r="KT153"/>
      <c r="KU153"/>
      <c r="KV153"/>
      <c r="KW153"/>
    </row>
    <row r="154" spans="1:309" s="1" customFormat="1" x14ac:dyDescent="0.3">
      <c r="A154"/>
      <c r="B154"/>
      <c r="C154" s="8"/>
      <c r="F154" s="2"/>
      <c r="G154" s="2"/>
      <c r="KP154"/>
      <c r="KQ154"/>
      <c r="KR154"/>
      <c r="KS154"/>
      <c r="KT154"/>
      <c r="KU154"/>
      <c r="KV154"/>
      <c r="KW154"/>
    </row>
    <row r="155" spans="1:309" s="1" customFormat="1" x14ac:dyDescent="0.3">
      <c r="A155"/>
      <c r="B155"/>
      <c r="C155" s="8"/>
      <c r="F155" s="2"/>
      <c r="G155" s="2"/>
      <c r="KP155"/>
      <c r="KQ155"/>
      <c r="KR155"/>
      <c r="KS155"/>
      <c r="KT155"/>
      <c r="KU155"/>
      <c r="KV155"/>
      <c r="KW155"/>
    </row>
    <row r="156" spans="1:309" s="1" customFormat="1" x14ac:dyDescent="0.3">
      <c r="A156"/>
      <c r="B156"/>
      <c r="C156" s="8"/>
      <c r="F156" s="2"/>
      <c r="G156" s="2"/>
      <c r="KP156"/>
      <c r="KQ156"/>
      <c r="KR156"/>
      <c r="KS156"/>
      <c r="KT156"/>
      <c r="KU156"/>
      <c r="KV156"/>
      <c r="KW156"/>
    </row>
  </sheetData>
  <sheetProtection algorithmName="SHA-512" hashValue="OmVfW5PB8fVsTFjM80DCcpQlpuO3wR0ZQRDzZDKTWKJeCtjXNuFDaOwfcgPj9uHvlqlG6wuggjvX4Rpk7Nepww==" saltValue="91XQVwQ6aHZ9u1c391eMnw==" spinCount="100000" sheet="1" objects="1" scenarios="1"/>
  <mergeCells count="51">
    <mergeCell ref="JV2:KE2"/>
    <mergeCell ref="KF2:KO2"/>
    <mergeCell ref="HN2:HW2"/>
    <mergeCell ref="HX2:IG2"/>
    <mergeCell ref="IH2:IQ2"/>
    <mergeCell ref="IR2:JA2"/>
    <mergeCell ref="JB2:JK2"/>
    <mergeCell ref="JL2:JU2"/>
    <mergeCell ref="HD2:HM2"/>
    <mergeCell ref="CX2:DG2"/>
    <mergeCell ref="DH2:DQ2"/>
    <mergeCell ref="DR2:EA2"/>
    <mergeCell ref="EB2:EK2"/>
    <mergeCell ref="EL2:EU2"/>
    <mergeCell ref="EV2:FE2"/>
    <mergeCell ref="FF2:FO2"/>
    <mergeCell ref="FP2:FY2"/>
    <mergeCell ref="FZ2:GI2"/>
    <mergeCell ref="GJ2:GS2"/>
    <mergeCell ref="GT2:HC2"/>
    <mergeCell ref="CN2:CW2"/>
    <mergeCell ref="A2:A3"/>
    <mergeCell ref="B2:K2"/>
    <mergeCell ref="L2:U2"/>
    <mergeCell ref="V2:AE2"/>
    <mergeCell ref="AF2:AO2"/>
    <mergeCell ref="AP2:AY2"/>
    <mergeCell ref="AZ2:BI2"/>
    <mergeCell ref="BJ2:BS2"/>
    <mergeCell ref="BT2:CC2"/>
    <mergeCell ref="CD2:CM2"/>
    <mergeCell ref="KP2:KY2"/>
    <mergeCell ref="KZ2:LI2"/>
    <mergeCell ref="LJ2:LS2"/>
    <mergeCell ref="LT2:MC2"/>
    <mergeCell ref="MD2:MM2"/>
    <mergeCell ref="MN2:MW2"/>
    <mergeCell ref="MX2:NG2"/>
    <mergeCell ref="NH2:NQ2"/>
    <mergeCell ref="NR2:OA2"/>
    <mergeCell ref="OB2:OK2"/>
    <mergeCell ref="OL2:OU2"/>
    <mergeCell ref="OV2:PE2"/>
    <mergeCell ref="PF2:PO2"/>
    <mergeCell ref="PP2:PY2"/>
    <mergeCell ref="PZ2:QI2"/>
    <mergeCell ref="QJ2:QS2"/>
    <mergeCell ref="QT2:RC2"/>
    <mergeCell ref="RD2:RM2"/>
    <mergeCell ref="RN2:RW2"/>
    <mergeCell ref="RX2:SG2"/>
  </mergeCells>
  <phoneticPr fontId="2" type="noConversion"/>
  <pageMargins left="0.7" right="0.7" top="0.75" bottom="0.75" header="0.3" footer="0.3"/>
  <pageSetup orientation="portrait"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6C4C8-A712-4E07-A18A-7448A5EA0CF9}">
  <sheetPr codeName="Sheet9"/>
  <dimension ref="A1:YB136"/>
  <sheetViews>
    <sheetView showGridLines="0" zoomScale="110" zoomScaleNormal="110" workbookViewId="0">
      <pane xSplit="1" ySplit="4" topLeftCell="P7" activePane="bottomRight" state="frozen"/>
      <selection activeCell="A44" sqref="A44"/>
      <selection pane="topRight" activeCell="A44" sqref="A44"/>
      <selection pane="bottomLeft" activeCell="A44" sqref="A44"/>
      <selection pane="bottomRight" activeCell="A44" sqref="A44"/>
    </sheetView>
  </sheetViews>
  <sheetFormatPr defaultColWidth="8.88671875" defaultRowHeight="14.4" x14ac:dyDescent="0.3"/>
  <cols>
    <col min="1" max="1" width="22.33203125" style="8" customWidth="1"/>
    <col min="2" max="2" width="13.5546875" style="8" customWidth="1"/>
    <col min="3" max="5" width="11.33203125" style="8" customWidth="1"/>
    <col min="6" max="6" width="15.6640625" style="2" customWidth="1"/>
    <col min="7" max="10" width="11.6640625" customWidth="1"/>
    <col min="11" max="11" width="15.44140625" customWidth="1"/>
    <col min="12" max="429" width="11.6640625" customWidth="1"/>
    <col min="458" max="459" width="9.5546875" bestFit="1" customWidth="1"/>
    <col min="478" max="478" width="9.5546875" customWidth="1"/>
    <col min="479" max="480" width="9.5546875" bestFit="1" customWidth="1"/>
  </cols>
  <sheetData>
    <row r="1" spans="1:652" x14ac:dyDescent="0.3">
      <c r="A1" s="42">
        <v>1</v>
      </c>
      <c r="B1" s="42">
        <v>2</v>
      </c>
      <c r="C1" s="42">
        <v>3</v>
      </c>
      <c r="D1" s="42">
        <v>4</v>
      </c>
      <c r="E1" s="42">
        <v>5</v>
      </c>
      <c r="F1" s="42">
        <v>6</v>
      </c>
      <c r="G1" s="42">
        <v>7</v>
      </c>
      <c r="H1" s="42">
        <v>8</v>
      </c>
      <c r="I1" s="42">
        <v>9</v>
      </c>
      <c r="J1" s="42">
        <v>10</v>
      </c>
      <c r="K1" s="42">
        <v>11</v>
      </c>
      <c r="L1" s="42">
        <v>12</v>
      </c>
      <c r="M1" s="42">
        <v>13</v>
      </c>
      <c r="N1" s="42">
        <v>14</v>
      </c>
      <c r="O1" s="42">
        <v>15</v>
      </c>
      <c r="P1" s="42">
        <v>16</v>
      </c>
      <c r="Q1" s="42">
        <v>17</v>
      </c>
      <c r="R1" s="42">
        <v>18</v>
      </c>
      <c r="S1" s="42">
        <v>19</v>
      </c>
      <c r="T1" s="42">
        <v>20</v>
      </c>
      <c r="U1" s="42">
        <v>21</v>
      </c>
      <c r="V1" s="42">
        <v>22</v>
      </c>
      <c r="W1" s="42">
        <v>23</v>
      </c>
      <c r="X1" s="42">
        <v>24</v>
      </c>
      <c r="Y1" s="42">
        <v>25</v>
      </c>
      <c r="Z1" s="42">
        <v>26</v>
      </c>
      <c r="AA1" s="42">
        <v>27</v>
      </c>
      <c r="AB1" s="42">
        <v>28</v>
      </c>
      <c r="AC1" s="42">
        <v>29</v>
      </c>
      <c r="AD1" s="42">
        <v>30</v>
      </c>
      <c r="AE1" s="42">
        <v>31</v>
      </c>
      <c r="AF1" s="42">
        <v>32</v>
      </c>
      <c r="AG1" s="42">
        <v>33</v>
      </c>
      <c r="AH1" s="42">
        <v>34</v>
      </c>
      <c r="AI1" s="42">
        <v>35</v>
      </c>
      <c r="AJ1" s="42">
        <v>36</v>
      </c>
      <c r="AK1" s="42">
        <v>37</v>
      </c>
      <c r="AL1" s="42">
        <v>38</v>
      </c>
      <c r="AM1" s="42">
        <v>39</v>
      </c>
      <c r="AN1" s="42">
        <v>40</v>
      </c>
      <c r="AO1" s="42">
        <v>41</v>
      </c>
      <c r="AP1" s="42">
        <v>42</v>
      </c>
      <c r="AQ1" s="42">
        <v>43</v>
      </c>
      <c r="AR1" s="42">
        <v>44</v>
      </c>
      <c r="AS1" s="42">
        <v>45</v>
      </c>
      <c r="AT1" s="42">
        <v>46</v>
      </c>
      <c r="AU1" s="42">
        <v>47</v>
      </c>
      <c r="AV1" s="42">
        <v>48</v>
      </c>
      <c r="AW1" s="42">
        <v>49</v>
      </c>
      <c r="AX1" s="42">
        <v>50</v>
      </c>
      <c r="AY1" s="42">
        <v>51</v>
      </c>
      <c r="AZ1" s="42">
        <v>52</v>
      </c>
      <c r="BA1" s="42">
        <v>53</v>
      </c>
      <c r="BB1" s="42">
        <v>54</v>
      </c>
      <c r="BC1" s="42">
        <v>55</v>
      </c>
      <c r="BD1" s="42">
        <v>56</v>
      </c>
      <c r="BE1" s="42">
        <v>57</v>
      </c>
      <c r="BF1" s="42">
        <v>58</v>
      </c>
      <c r="BG1" s="42">
        <v>59</v>
      </c>
      <c r="BH1" s="42">
        <v>60</v>
      </c>
      <c r="BI1" s="42">
        <v>61</v>
      </c>
      <c r="BJ1" s="42">
        <v>62</v>
      </c>
      <c r="BK1" s="42">
        <v>63</v>
      </c>
      <c r="BL1" s="42">
        <v>64</v>
      </c>
      <c r="BM1" s="42">
        <v>65</v>
      </c>
      <c r="BN1" s="42">
        <v>66</v>
      </c>
      <c r="BO1" s="42">
        <v>67</v>
      </c>
      <c r="BP1" s="42">
        <v>68</v>
      </c>
      <c r="BQ1" s="42">
        <v>69</v>
      </c>
      <c r="BR1" s="42">
        <v>70</v>
      </c>
      <c r="BS1" s="42">
        <v>71</v>
      </c>
      <c r="BT1" s="42">
        <v>72</v>
      </c>
      <c r="BU1" s="42">
        <v>73</v>
      </c>
      <c r="BV1" s="42">
        <v>74</v>
      </c>
      <c r="BW1" s="42">
        <v>75</v>
      </c>
      <c r="BX1" s="42">
        <v>76</v>
      </c>
      <c r="BY1" s="42">
        <v>77</v>
      </c>
      <c r="BZ1" s="42">
        <v>78</v>
      </c>
      <c r="CA1" s="42">
        <v>79</v>
      </c>
      <c r="CB1" s="42">
        <v>80</v>
      </c>
      <c r="CC1" s="42">
        <v>81</v>
      </c>
      <c r="CD1" s="42">
        <v>82</v>
      </c>
      <c r="CE1" s="42">
        <v>83</v>
      </c>
      <c r="CF1" s="42">
        <v>84</v>
      </c>
      <c r="CG1" s="42">
        <v>85</v>
      </c>
      <c r="CH1" s="42">
        <v>86</v>
      </c>
      <c r="CI1" s="42">
        <v>87</v>
      </c>
      <c r="CJ1" s="42">
        <v>88</v>
      </c>
      <c r="CK1" s="42">
        <v>89</v>
      </c>
      <c r="CL1" s="42">
        <v>90</v>
      </c>
      <c r="CM1" s="42">
        <v>91</v>
      </c>
      <c r="CN1" s="42">
        <v>92</v>
      </c>
      <c r="CO1" s="42">
        <v>93</v>
      </c>
      <c r="CP1" s="42">
        <v>94</v>
      </c>
      <c r="CQ1" s="42">
        <v>95</v>
      </c>
      <c r="CR1" s="42">
        <v>96</v>
      </c>
      <c r="CS1" s="42">
        <v>97</v>
      </c>
      <c r="CT1" s="42">
        <v>98</v>
      </c>
      <c r="CU1" s="42">
        <v>99</v>
      </c>
      <c r="CV1" s="42">
        <v>100</v>
      </c>
      <c r="CW1" s="42">
        <v>101</v>
      </c>
      <c r="CX1" s="42">
        <v>102</v>
      </c>
      <c r="CY1" s="42">
        <v>103</v>
      </c>
      <c r="CZ1" s="42">
        <v>104</v>
      </c>
      <c r="DA1" s="42">
        <v>105</v>
      </c>
      <c r="DB1" s="42">
        <v>106</v>
      </c>
      <c r="DC1" s="42">
        <v>107</v>
      </c>
      <c r="DD1" s="42">
        <v>108</v>
      </c>
      <c r="DE1" s="42">
        <v>109</v>
      </c>
      <c r="DF1" s="42">
        <v>110</v>
      </c>
      <c r="DG1" s="42">
        <v>111</v>
      </c>
      <c r="DH1" s="42">
        <v>112</v>
      </c>
      <c r="DI1" s="42">
        <v>113</v>
      </c>
      <c r="DJ1" s="42">
        <v>114</v>
      </c>
      <c r="DK1" s="42">
        <v>115</v>
      </c>
      <c r="DL1" s="42">
        <v>116</v>
      </c>
      <c r="DM1" s="42">
        <v>117</v>
      </c>
      <c r="DN1" s="42">
        <v>118</v>
      </c>
      <c r="DO1" s="42">
        <v>119</v>
      </c>
      <c r="DP1" s="42">
        <v>120</v>
      </c>
      <c r="DQ1" s="42">
        <v>121</v>
      </c>
      <c r="DR1" s="42">
        <v>122</v>
      </c>
      <c r="DS1" s="42">
        <v>123</v>
      </c>
      <c r="DT1" s="42">
        <v>124</v>
      </c>
      <c r="DU1" s="42">
        <v>125</v>
      </c>
      <c r="DV1" s="42">
        <v>126</v>
      </c>
      <c r="DW1" s="42">
        <v>127</v>
      </c>
      <c r="DX1" s="42">
        <v>128</v>
      </c>
      <c r="DY1" s="42">
        <v>129</v>
      </c>
      <c r="DZ1" s="42">
        <v>130</v>
      </c>
      <c r="EA1" s="42">
        <v>131</v>
      </c>
      <c r="EB1" s="42">
        <v>132</v>
      </c>
      <c r="EC1" s="42">
        <v>133</v>
      </c>
      <c r="ED1" s="42">
        <v>134</v>
      </c>
      <c r="EE1" s="42">
        <v>135</v>
      </c>
      <c r="EF1" s="42">
        <v>136</v>
      </c>
      <c r="EG1" s="42">
        <v>137</v>
      </c>
      <c r="EH1" s="42">
        <v>138</v>
      </c>
      <c r="EI1" s="42">
        <v>139</v>
      </c>
      <c r="EJ1" s="42">
        <v>140</v>
      </c>
      <c r="EK1" s="42">
        <v>141</v>
      </c>
      <c r="EL1" s="42">
        <v>142</v>
      </c>
      <c r="EM1" s="42">
        <v>143</v>
      </c>
      <c r="EN1" s="42">
        <v>144</v>
      </c>
      <c r="EO1" s="42">
        <v>145</v>
      </c>
      <c r="EP1" s="42">
        <v>146</v>
      </c>
      <c r="EQ1" s="42">
        <v>147</v>
      </c>
      <c r="ER1" s="42">
        <v>148</v>
      </c>
      <c r="ES1" s="42">
        <v>149</v>
      </c>
      <c r="ET1" s="42">
        <v>150</v>
      </c>
      <c r="EU1" s="42">
        <v>151</v>
      </c>
      <c r="EV1" s="42">
        <v>152</v>
      </c>
      <c r="EW1" s="42">
        <v>153</v>
      </c>
      <c r="EX1" s="42">
        <v>154</v>
      </c>
      <c r="EY1" s="42">
        <v>155</v>
      </c>
      <c r="EZ1" s="42">
        <v>156</v>
      </c>
      <c r="FA1" s="42">
        <v>157</v>
      </c>
      <c r="FB1" s="42">
        <v>158</v>
      </c>
      <c r="FC1" s="42">
        <v>159</v>
      </c>
      <c r="FD1" s="42">
        <v>160</v>
      </c>
      <c r="FE1" s="42">
        <v>161</v>
      </c>
      <c r="FF1" s="42">
        <v>162</v>
      </c>
      <c r="FG1" s="42">
        <v>163</v>
      </c>
      <c r="FH1" s="42">
        <v>164</v>
      </c>
      <c r="FI1" s="42">
        <v>165</v>
      </c>
      <c r="FJ1" s="42">
        <v>166</v>
      </c>
      <c r="FK1" s="42">
        <v>167</v>
      </c>
      <c r="FL1" s="42">
        <v>168</v>
      </c>
      <c r="FM1" s="42">
        <v>169</v>
      </c>
      <c r="FN1" s="42">
        <v>170</v>
      </c>
      <c r="FO1" s="42">
        <v>171</v>
      </c>
      <c r="FP1" s="42">
        <v>172</v>
      </c>
      <c r="FQ1" s="42">
        <v>173</v>
      </c>
      <c r="FR1" s="42">
        <v>174</v>
      </c>
      <c r="FS1" s="42">
        <v>175</v>
      </c>
      <c r="FT1" s="42">
        <v>176</v>
      </c>
      <c r="FU1" s="42">
        <v>177</v>
      </c>
      <c r="FV1" s="42">
        <v>178</v>
      </c>
      <c r="FW1" s="42">
        <v>179</v>
      </c>
      <c r="FX1" s="42">
        <v>180</v>
      </c>
      <c r="FY1" s="42">
        <v>181</v>
      </c>
      <c r="FZ1" s="42">
        <v>182</v>
      </c>
      <c r="GA1" s="42">
        <v>183</v>
      </c>
      <c r="GB1" s="42">
        <v>184</v>
      </c>
      <c r="GC1" s="42">
        <v>185</v>
      </c>
      <c r="GD1" s="42">
        <v>186</v>
      </c>
      <c r="GE1" s="42">
        <v>187</v>
      </c>
      <c r="GF1" s="42">
        <v>188</v>
      </c>
      <c r="GG1" s="42">
        <v>189</v>
      </c>
      <c r="GH1" s="42">
        <v>190</v>
      </c>
      <c r="GI1" s="42">
        <v>191</v>
      </c>
      <c r="GJ1" s="42">
        <v>192</v>
      </c>
      <c r="GK1" s="42">
        <v>193</v>
      </c>
      <c r="GL1" s="42">
        <v>194</v>
      </c>
      <c r="GM1" s="42">
        <v>195</v>
      </c>
      <c r="GN1" s="42">
        <v>196</v>
      </c>
      <c r="GO1" s="42">
        <v>197</v>
      </c>
      <c r="GP1" s="42">
        <v>198</v>
      </c>
      <c r="GQ1" s="42">
        <v>199</v>
      </c>
      <c r="GR1" s="42">
        <v>200</v>
      </c>
      <c r="GS1" s="42">
        <v>201</v>
      </c>
      <c r="GT1" s="42">
        <v>202</v>
      </c>
      <c r="GU1" s="42">
        <v>203</v>
      </c>
      <c r="GV1" s="42">
        <v>204</v>
      </c>
      <c r="GW1" s="42">
        <v>205</v>
      </c>
      <c r="GX1" s="42">
        <v>206</v>
      </c>
      <c r="GY1" s="42">
        <v>207</v>
      </c>
      <c r="GZ1" s="42">
        <v>208</v>
      </c>
      <c r="HA1" s="42">
        <v>209</v>
      </c>
      <c r="HB1" s="42">
        <v>210</v>
      </c>
      <c r="HC1" s="42">
        <v>211</v>
      </c>
      <c r="HD1" s="42">
        <v>212</v>
      </c>
      <c r="HE1" s="42">
        <v>213</v>
      </c>
      <c r="HF1" s="42">
        <v>214</v>
      </c>
      <c r="HG1" s="42">
        <v>215</v>
      </c>
      <c r="HH1" s="42">
        <v>216</v>
      </c>
      <c r="HI1" s="42">
        <v>217</v>
      </c>
      <c r="HJ1" s="42">
        <v>218</v>
      </c>
      <c r="HK1" s="42">
        <v>219</v>
      </c>
      <c r="HL1" s="42">
        <v>220</v>
      </c>
      <c r="HM1" s="42">
        <v>221</v>
      </c>
      <c r="HN1" s="42">
        <v>222</v>
      </c>
      <c r="HO1" s="42">
        <v>223</v>
      </c>
      <c r="HP1" s="42">
        <v>224</v>
      </c>
      <c r="HQ1" s="42">
        <v>225</v>
      </c>
      <c r="HR1" s="42">
        <v>226</v>
      </c>
      <c r="HS1" s="42">
        <v>227</v>
      </c>
      <c r="HT1" s="42">
        <v>228</v>
      </c>
      <c r="HU1" s="42">
        <v>229</v>
      </c>
      <c r="HV1" s="42">
        <v>230</v>
      </c>
      <c r="HW1" s="42">
        <v>231</v>
      </c>
      <c r="HX1" s="42">
        <v>232</v>
      </c>
      <c r="HY1" s="42">
        <v>233</v>
      </c>
      <c r="HZ1" s="42">
        <v>234</v>
      </c>
      <c r="IA1" s="42">
        <v>235</v>
      </c>
      <c r="IB1" s="42">
        <v>236</v>
      </c>
      <c r="IC1" s="42">
        <v>237</v>
      </c>
      <c r="ID1" s="42">
        <v>238</v>
      </c>
      <c r="IE1" s="42">
        <v>239</v>
      </c>
      <c r="IF1" s="42">
        <v>240</v>
      </c>
      <c r="IG1" s="42">
        <v>241</v>
      </c>
      <c r="IH1" s="42">
        <v>242</v>
      </c>
      <c r="II1" s="42">
        <v>243</v>
      </c>
      <c r="IJ1" s="42">
        <v>244</v>
      </c>
      <c r="IK1" s="42">
        <v>245</v>
      </c>
      <c r="IL1" s="42">
        <v>246</v>
      </c>
      <c r="IM1" s="42">
        <v>247</v>
      </c>
      <c r="IN1" s="42">
        <v>248</v>
      </c>
      <c r="IO1" s="42">
        <v>249</v>
      </c>
      <c r="IP1" s="42">
        <v>250</v>
      </c>
      <c r="IQ1" s="42">
        <v>251</v>
      </c>
      <c r="IR1" s="42">
        <v>252</v>
      </c>
      <c r="IS1" s="42">
        <v>253</v>
      </c>
      <c r="IT1" s="42">
        <v>254</v>
      </c>
      <c r="IU1" s="42">
        <v>255</v>
      </c>
      <c r="IV1" s="42">
        <v>256</v>
      </c>
      <c r="IW1" s="42">
        <v>257</v>
      </c>
      <c r="IX1" s="42">
        <v>258</v>
      </c>
      <c r="IY1" s="42">
        <v>259</v>
      </c>
      <c r="IZ1" s="42">
        <v>260</v>
      </c>
      <c r="JA1" s="42">
        <v>261</v>
      </c>
      <c r="JB1" s="42">
        <v>262</v>
      </c>
      <c r="JC1" s="42">
        <v>263</v>
      </c>
      <c r="JD1" s="42">
        <v>264</v>
      </c>
      <c r="JE1" s="42">
        <v>265</v>
      </c>
      <c r="JF1" s="42">
        <v>266</v>
      </c>
      <c r="JG1" s="42">
        <v>267</v>
      </c>
      <c r="JH1" s="42">
        <v>268</v>
      </c>
      <c r="JI1" s="42">
        <v>269</v>
      </c>
      <c r="JJ1" s="42">
        <v>270</v>
      </c>
      <c r="JK1" s="42">
        <v>271</v>
      </c>
      <c r="JL1" s="42">
        <v>272</v>
      </c>
      <c r="JM1" s="42">
        <v>273</v>
      </c>
      <c r="JN1" s="42">
        <v>274</v>
      </c>
      <c r="JO1" s="42">
        <v>275</v>
      </c>
      <c r="JP1" s="42">
        <v>276</v>
      </c>
      <c r="JQ1" s="42">
        <v>277</v>
      </c>
      <c r="JR1" s="42">
        <v>278</v>
      </c>
      <c r="JS1" s="42">
        <v>279</v>
      </c>
      <c r="JT1" s="42">
        <v>280</v>
      </c>
      <c r="JU1" s="42">
        <v>281</v>
      </c>
      <c r="JV1" s="42">
        <v>282</v>
      </c>
      <c r="JW1" s="42">
        <v>283</v>
      </c>
      <c r="JX1" s="42">
        <v>284</v>
      </c>
      <c r="JY1" s="42">
        <v>285</v>
      </c>
      <c r="JZ1" s="42">
        <v>286</v>
      </c>
      <c r="KA1" s="42">
        <v>287</v>
      </c>
      <c r="KB1" s="42">
        <v>288</v>
      </c>
      <c r="KC1" s="42">
        <v>289</v>
      </c>
      <c r="KD1" s="42">
        <v>290</v>
      </c>
      <c r="KE1" s="42">
        <v>291</v>
      </c>
      <c r="KF1" s="42">
        <v>292</v>
      </c>
      <c r="KG1" s="42">
        <v>293</v>
      </c>
      <c r="KH1" s="42">
        <v>294</v>
      </c>
      <c r="KI1" s="42">
        <v>295</v>
      </c>
      <c r="KJ1" s="42">
        <v>296</v>
      </c>
      <c r="KK1" s="42">
        <v>297</v>
      </c>
      <c r="KL1" s="42">
        <v>298</v>
      </c>
      <c r="KM1" s="42">
        <v>299</v>
      </c>
      <c r="KN1" s="42">
        <v>300</v>
      </c>
      <c r="KO1" s="42">
        <v>301</v>
      </c>
      <c r="KP1" s="42">
        <v>302</v>
      </c>
      <c r="KQ1" s="42">
        <v>303</v>
      </c>
      <c r="KR1" s="42">
        <v>304</v>
      </c>
      <c r="KS1" s="42">
        <v>305</v>
      </c>
      <c r="KT1" s="42">
        <v>306</v>
      </c>
      <c r="KU1" s="42">
        <v>307</v>
      </c>
      <c r="KV1" s="42">
        <v>308</v>
      </c>
      <c r="KW1" s="42">
        <v>309</v>
      </c>
      <c r="KX1" s="42">
        <v>310</v>
      </c>
      <c r="KY1" s="42">
        <v>311</v>
      </c>
      <c r="KZ1" s="42">
        <v>312</v>
      </c>
      <c r="LA1" s="42">
        <v>313</v>
      </c>
      <c r="LB1" s="42">
        <v>314</v>
      </c>
      <c r="LC1" s="42">
        <v>315</v>
      </c>
      <c r="LD1" s="42">
        <v>316</v>
      </c>
      <c r="LE1" s="42">
        <v>317</v>
      </c>
      <c r="LF1" s="42">
        <v>318</v>
      </c>
      <c r="LG1" s="42">
        <v>319</v>
      </c>
      <c r="LH1" s="42">
        <v>320</v>
      </c>
      <c r="LI1" s="42">
        <v>321</v>
      </c>
      <c r="LJ1" s="42">
        <v>322</v>
      </c>
      <c r="LK1" s="42">
        <v>323</v>
      </c>
      <c r="LL1" s="42">
        <v>324</v>
      </c>
      <c r="LM1" s="42">
        <v>325</v>
      </c>
      <c r="LN1" s="42">
        <v>326</v>
      </c>
      <c r="LO1" s="42">
        <v>327</v>
      </c>
      <c r="LP1" s="42">
        <v>328</v>
      </c>
      <c r="LQ1" s="42">
        <v>329</v>
      </c>
      <c r="LR1" s="42">
        <v>330</v>
      </c>
      <c r="LS1" s="42">
        <v>331</v>
      </c>
      <c r="LT1" s="42">
        <v>332</v>
      </c>
      <c r="LU1" s="42">
        <v>333</v>
      </c>
      <c r="LV1" s="42">
        <v>334</v>
      </c>
      <c r="LW1" s="42">
        <v>335</v>
      </c>
      <c r="LX1" s="42">
        <v>336</v>
      </c>
      <c r="LY1" s="42">
        <v>337</v>
      </c>
      <c r="LZ1" s="42">
        <v>338</v>
      </c>
      <c r="MA1" s="42">
        <v>339</v>
      </c>
      <c r="MB1" s="42">
        <v>340</v>
      </c>
      <c r="MC1" s="42">
        <v>341</v>
      </c>
      <c r="MD1" s="42">
        <v>342</v>
      </c>
      <c r="ME1" s="42">
        <v>343</v>
      </c>
      <c r="MF1" s="42">
        <v>344</v>
      </c>
      <c r="MG1" s="42">
        <v>345</v>
      </c>
      <c r="MH1" s="42">
        <v>346</v>
      </c>
      <c r="MI1" s="42">
        <v>347</v>
      </c>
      <c r="MJ1" s="42">
        <v>348</v>
      </c>
      <c r="MK1" s="42">
        <v>349</v>
      </c>
      <c r="ML1" s="42">
        <v>350</v>
      </c>
      <c r="MM1" s="42">
        <v>351</v>
      </c>
      <c r="MN1" s="42">
        <v>352</v>
      </c>
      <c r="MO1" s="42">
        <v>353</v>
      </c>
      <c r="MP1" s="42">
        <v>354</v>
      </c>
      <c r="MQ1" s="42">
        <v>355</v>
      </c>
      <c r="MR1" s="42">
        <v>356</v>
      </c>
      <c r="MS1" s="42">
        <v>357</v>
      </c>
      <c r="MT1" s="42">
        <v>358</v>
      </c>
      <c r="MU1" s="42">
        <v>359</v>
      </c>
      <c r="MV1" s="42">
        <v>360</v>
      </c>
      <c r="MW1" s="42">
        <v>361</v>
      </c>
      <c r="MX1" s="42">
        <v>362</v>
      </c>
      <c r="MY1" s="42">
        <v>363</v>
      </c>
      <c r="MZ1" s="42">
        <v>364</v>
      </c>
      <c r="NA1" s="42">
        <v>365</v>
      </c>
      <c r="NB1" s="42">
        <v>366</v>
      </c>
      <c r="NC1" s="42">
        <v>367</v>
      </c>
      <c r="ND1" s="42">
        <v>368</v>
      </c>
      <c r="NE1" s="42">
        <v>369</v>
      </c>
      <c r="NF1" s="42">
        <v>370</v>
      </c>
      <c r="NG1" s="42">
        <v>371</v>
      </c>
      <c r="NH1" s="42">
        <v>372</v>
      </c>
      <c r="NI1" s="42">
        <v>373</v>
      </c>
      <c r="NJ1" s="42">
        <v>374</v>
      </c>
      <c r="NK1" s="42">
        <v>375</v>
      </c>
      <c r="NL1" s="42">
        <v>376</v>
      </c>
      <c r="NM1" s="42">
        <v>377</v>
      </c>
      <c r="NN1" s="42">
        <v>378</v>
      </c>
      <c r="NO1" s="42">
        <v>379</v>
      </c>
      <c r="NP1" s="42">
        <v>380</v>
      </c>
      <c r="NQ1" s="42">
        <v>381</v>
      </c>
      <c r="NR1" s="42">
        <v>382</v>
      </c>
      <c r="NS1" s="42">
        <v>383</v>
      </c>
      <c r="NT1" s="42">
        <v>384</v>
      </c>
      <c r="NU1" s="42">
        <v>385</v>
      </c>
      <c r="NV1" s="42">
        <v>386</v>
      </c>
      <c r="NW1" s="42">
        <v>387</v>
      </c>
      <c r="NX1" s="42">
        <v>388</v>
      </c>
      <c r="NY1" s="42">
        <v>389</v>
      </c>
      <c r="NZ1" s="42">
        <v>390</v>
      </c>
      <c r="OA1" s="42">
        <v>391</v>
      </c>
      <c r="OB1" s="42">
        <v>392</v>
      </c>
      <c r="OC1" s="42">
        <v>393</v>
      </c>
      <c r="OD1" s="42">
        <v>394</v>
      </c>
      <c r="OE1" s="42">
        <v>395</v>
      </c>
      <c r="OF1" s="42">
        <v>396</v>
      </c>
      <c r="OG1" s="42">
        <v>397</v>
      </c>
      <c r="OH1" s="42">
        <v>398</v>
      </c>
      <c r="OI1" s="42">
        <v>399</v>
      </c>
      <c r="OJ1" s="42">
        <v>400</v>
      </c>
      <c r="OK1" s="42">
        <v>401</v>
      </c>
      <c r="OL1" s="42">
        <v>402</v>
      </c>
      <c r="OM1" s="42">
        <v>403</v>
      </c>
      <c r="ON1" s="42">
        <v>404</v>
      </c>
      <c r="OO1" s="42">
        <v>405</v>
      </c>
      <c r="OP1" s="42">
        <v>406</v>
      </c>
      <c r="OQ1" s="42">
        <v>407</v>
      </c>
      <c r="OR1" s="42">
        <v>408</v>
      </c>
      <c r="OS1" s="42">
        <v>409</v>
      </c>
      <c r="OT1" s="42">
        <v>410</v>
      </c>
      <c r="OU1" s="42">
        <v>411</v>
      </c>
      <c r="OV1" s="42">
        <v>412</v>
      </c>
      <c r="OW1" s="42">
        <v>413</v>
      </c>
      <c r="OX1" s="42">
        <v>414</v>
      </c>
      <c r="OY1" s="42">
        <v>415</v>
      </c>
      <c r="OZ1" s="42">
        <v>416</v>
      </c>
      <c r="PA1" s="42">
        <v>417</v>
      </c>
      <c r="PB1" s="42">
        <v>418</v>
      </c>
      <c r="PC1" s="42">
        <v>419</v>
      </c>
      <c r="PD1" s="42">
        <v>420</v>
      </c>
      <c r="PE1" s="42">
        <v>421</v>
      </c>
      <c r="PF1" s="42">
        <v>422</v>
      </c>
      <c r="PG1" s="42">
        <v>423</v>
      </c>
      <c r="PH1" s="42">
        <v>424</v>
      </c>
      <c r="PI1" s="42">
        <v>425</v>
      </c>
      <c r="PJ1" s="42">
        <v>426</v>
      </c>
      <c r="PK1" s="42">
        <v>427</v>
      </c>
      <c r="PL1" s="42">
        <v>428</v>
      </c>
      <c r="PM1" s="42">
        <v>429</v>
      </c>
      <c r="PN1" s="42">
        <v>430</v>
      </c>
      <c r="PO1" s="42">
        <v>431</v>
      </c>
      <c r="PP1" s="42">
        <v>432</v>
      </c>
      <c r="PQ1" s="42">
        <v>433</v>
      </c>
      <c r="PR1" s="42">
        <v>434</v>
      </c>
      <c r="PS1" s="42">
        <v>435</v>
      </c>
      <c r="PT1" s="42">
        <v>436</v>
      </c>
      <c r="PU1" s="42">
        <v>437</v>
      </c>
      <c r="PV1" s="42">
        <v>438</v>
      </c>
      <c r="PW1" s="42">
        <v>439</v>
      </c>
      <c r="PX1" s="42">
        <v>440</v>
      </c>
      <c r="PY1" s="42">
        <v>441</v>
      </c>
      <c r="PZ1" s="42">
        <v>442</v>
      </c>
      <c r="QA1" s="42">
        <v>443</v>
      </c>
      <c r="QB1" s="42">
        <v>444</v>
      </c>
      <c r="QC1" s="42">
        <v>445</v>
      </c>
      <c r="QD1" s="42">
        <v>446</v>
      </c>
      <c r="QE1" s="42">
        <v>447</v>
      </c>
      <c r="QF1" s="42">
        <v>448</v>
      </c>
      <c r="QG1" s="42">
        <v>449</v>
      </c>
      <c r="QH1" s="42">
        <v>450</v>
      </c>
      <c r="QI1" s="42">
        <v>451</v>
      </c>
      <c r="QJ1" s="42">
        <v>452</v>
      </c>
      <c r="QK1" s="42">
        <v>453</v>
      </c>
      <c r="QL1" s="42">
        <v>454</v>
      </c>
      <c r="QM1" s="42">
        <v>455</v>
      </c>
      <c r="QN1" s="42">
        <v>456</v>
      </c>
      <c r="QO1" s="42">
        <v>457</v>
      </c>
      <c r="QP1" s="42">
        <v>458</v>
      </c>
      <c r="QQ1" s="42">
        <v>459</v>
      </c>
      <c r="QR1" s="42">
        <v>460</v>
      </c>
      <c r="QS1" s="42">
        <v>461</v>
      </c>
      <c r="QT1" s="42">
        <v>462</v>
      </c>
      <c r="QU1" s="42">
        <v>463</v>
      </c>
      <c r="QV1" s="42">
        <v>464</v>
      </c>
      <c r="QW1" s="42">
        <v>465</v>
      </c>
      <c r="QX1" s="42">
        <v>466</v>
      </c>
      <c r="QY1" s="42">
        <v>467</v>
      </c>
      <c r="QZ1" s="42">
        <v>468</v>
      </c>
      <c r="RA1" s="42">
        <v>469</v>
      </c>
      <c r="RB1" s="42">
        <v>470</v>
      </c>
      <c r="RC1" s="42">
        <v>471</v>
      </c>
      <c r="RD1" s="42">
        <v>472</v>
      </c>
      <c r="RE1" s="42">
        <v>473</v>
      </c>
      <c r="RF1" s="42">
        <v>474</v>
      </c>
      <c r="RG1" s="42">
        <v>475</v>
      </c>
      <c r="RH1" s="42">
        <v>476</v>
      </c>
      <c r="RI1" s="42">
        <v>477</v>
      </c>
      <c r="RJ1" s="42">
        <v>478</v>
      </c>
      <c r="RK1" s="42">
        <v>479</v>
      </c>
      <c r="RL1" s="42">
        <v>480</v>
      </c>
      <c r="RM1" s="42">
        <v>481</v>
      </c>
      <c r="RN1" s="42">
        <v>482</v>
      </c>
      <c r="RO1" s="42">
        <v>483</v>
      </c>
      <c r="RP1" s="42">
        <v>484</v>
      </c>
      <c r="RQ1" s="42">
        <v>485</v>
      </c>
      <c r="RR1" s="42">
        <v>486</v>
      </c>
      <c r="RS1" s="42">
        <v>487</v>
      </c>
      <c r="RT1" s="42">
        <v>488</v>
      </c>
      <c r="RU1" s="42">
        <v>489</v>
      </c>
      <c r="RV1" s="42">
        <v>490</v>
      </c>
      <c r="RW1" s="42">
        <v>491</v>
      </c>
      <c r="RX1" s="42">
        <v>492</v>
      </c>
      <c r="RY1" s="42">
        <v>493</v>
      </c>
      <c r="RZ1" s="42">
        <v>494</v>
      </c>
      <c r="SA1" s="42">
        <v>495</v>
      </c>
      <c r="SB1" s="42">
        <v>496</v>
      </c>
      <c r="SC1" s="42">
        <v>497</v>
      </c>
      <c r="SD1" s="42">
        <v>498</v>
      </c>
      <c r="SE1" s="42">
        <v>499</v>
      </c>
      <c r="SF1" s="42">
        <v>500</v>
      </c>
      <c r="SG1" s="42">
        <v>501</v>
      </c>
      <c r="SH1" s="42">
        <v>502</v>
      </c>
      <c r="SI1" s="42">
        <v>503</v>
      </c>
      <c r="SJ1" s="42">
        <v>504</v>
      </c>
      <c r="SK1" s="42">
        <v>505</v>
      </c>
      <c r="SL1" s="42">
        <v>506</v>
      </c>
      <c r="SM1" s="42">
        <v>507</v>
      </c>
      <c r="SN1" s="42">
        <v>508</v>
      </c>
      <c r="SO1" s="42">
        <v>509</v>
      </c>
      <c r="SP1" s="42">
        <v>510</v>
      </c>
      <c r="SQ1" s="42">
        <v>511</v>
      </c>
      <c r="SR1" s="42">
        <v>512</v>
      </c>
      <c r="SS1" s="42">
        <v>513</v>
      </c>
      <c r="ST1" s="42">
        <v>514</v>
      </c>
      <c r="SU1" s="42">
        <v>515</v>
      </c>
      <c r="SV1" s="42">
        <v>516</v>
      </c>
      <c r="SW1" s="42">
        <v>517</v>
      </c>
      <c r="SX1" s="42">
        <v>518</v>
      </c>
      <c r="SY1" s="42">
        <v>519</v>
      </c>
      <c r="SZ1" s="42">
        <v>520</v>
      </c>
      <c r="TA1" s="42">
        <v>521</v>
      </c>
      <c r="TB1" s="42">
        <v>522</v>
      </c>
      <c r="TC1" s="42">
        <v>523</v>
      </c>
      <c r="TD1" s="42">
        <v>524</v>
      </c>
      <c r="TE1" s="42">
        <v>525</v>
      </c>
      <c r="TF1" s="42">
        <v>526</v>
      </c>
      <c r="TG1" s="42">
        <v>527</v>
      </c>
      <c r="TH1" s="42">
        <v>528</v>
      </c>
      <c r="TI1" s="42">
        <v>529</v>
      </c>
      <c r="TJ1" s="42">
        <v>530</v>
      </c>
      <c r="TK1" s="42">
        <v>531</v>
      </c>
      <c r="TL1" s="42">
        <v>532</v>
      </c>
      <c r="TM1" s="42">
        <v>533</v>
      </c>
      <c r="TN1" s="42">
        <v>534</v>
      </c>
      <c r="TO1" s="42">
        <v>535</v>
      </c>
      <c r="TP1" s="42">
        <v>536</v>
      </c>
      <c r="TQ1" s="42">
        <v>537</v>
      </c>
      <c r="TR1" s="42">
        <v>538</v>
      </c>
      <c r="TS1" s="42">
        <v>539</v>
      </c>
      <c r="TT1" s="42">
        <v>540</v>
      </c>
      <c r="TU1" s="42">
        <v>541</v>
      </c>
      <c r="TV1" s="42">
        <v>542</v>
      </c>
      <c r="TW1" s="42">
        <v>543</v>
      </c>
      <c r="TX1" s="42">
        <v>544</v>
      </c>
      <c r="TY1" s="42">
        <v>545</v>
      </c>
      <c r="TZ1" s="42">
        <v>546</v>
      </c>
      <c r="UA1" s="42">
        <v>547</v>
      </c>
      <c r="UB1" s="42">
        <v>548</v>
      </c>
      <c r="UC1" s="42">
        <v>549</v>
      </c>
      <c r="UD1" s="42">
        <v>550</v>
      </c>
      <c r="UE1" s="42">
        <v>551</v>
      </c>
      <c r="UF1" s="42">
        <v>552</v>
      </c>
      <c r="UG1" s="42">
        <v>553</v>
      </c>
      <c r="UH1" s="42">
        <v>554</v>
      </c>
      <c r="UI1" s="42">
        <v>555</v>
      </c>
      <c r="UJ1" s="42">
        <v>556</v>
      </c>
      <c r="UK1" s="42">
        <v>557</v>
      </c>
      <c r="UL1" s="42">
        <v>558</v>
      </c>
      <c r="UM1" s="42">
        <v>559</v>
      </c>
      <c r="UN1" s="42">
        <v>560</v>
      </c>
      <c r="UO1" s="42">
        <v>561</v>
      </c>
      <c r="UP1" s="42">
        <v>562</v>
      </c>
      <c r="UQ1" s="42">
        <v>563</v>
      </c>
      <c r="UR1" s="42">
        <v>564</v>
      </c>
      <c r="US1" s="42">
        <v>565</v>
      </c>
      <c r="UT1" s="42">
        <v>566</v>
      </c>
      <c r="UU1" s="42">
        <v>567</v>
      </c>
      <c r="UV1" s="42">
        <v>568</v>
      </c>
      <c r="UW1" s="42">
        <v>569</v>
      </c>
      <c r="UX1" s="42">
        <v>570</v>
      </c>
      <c r="UY1" s="42">
        <v>571</v>
      </c>
      <c r="UZ1" s="42">
        <v>572</v>
      </c>
      <c r="VA1" s="42">
        <v>573</v>
      </c>
      <c r="VB1" s="42">
        <v>574</v>
      </c>
      <c r="VC1" s="42">
        <v>575</v>
      </c>
      <c r="VD1" s="42">
        <v>576</v>
      </c>
      <c r="VE1" s="42">
        <v>577</v>
      </c>
      <c r="VF1" s="42">
        <v>578</v>
      </c>
      <c r="VG1" s="42">
        <v>579</v>
      </c>
      <c r="VH1" s="42">
        <v>580</v>
      </c>
      <c r="VI1" s="42">
        <v>581</v>
      </c>
      <c r="VJ1" s="42">
        <v>582</v>
      </c>
      <c r="VK1" s="42">
        <v>583</v>
      </c>
      <c r="VL1" s="42">
        <v>584</v>
      </c>
      <c r="VM1" s="42">
        <v>585</v>
      </c>
      <c r="VN1" s="42">
        <v>586</v>
      </c>
      <c r="VO1" s="42">
        <v>587</v>
      </c>
      <c r="VP1" s="42">
        <v>588</v>
      </c>
      <c r="VQ1" s="42">
        <v>589</v>
      </c>
      <c r="VR1" s="42">
        <v>590</v>
      </c>
      <c r="VS1" s="42">
        <v>591</v>
      </c>
      <c r="VT1" s="42">
        <v>592</v>
      </c>
      <c r="VU1" s="42">
        <v>593</v>
      </c>
      <c r="VV1" s="42">
        <v>594</v>
      </c>
      <c r="VW1" s="42">
        <v>595</v>
      </c>
      <c r="VX1" s="42">
        <v>596</v>
      </c>
      <c r="VY1" s="42">
        <v>597</v>
      </c>
      <c r="VZ1" s="42">
        <v>598</v>
      </c>
      <c r="WA1" s="42">
        <v>599</v>
      </c>
      <c r="WB1" s="42">
        <v>600</v>
      </c>
      <c r="WC1" s="42">
        <v>601</v>
      </c>
      <c r="WD1" s="42">
        <v>602</v>
      </c>
      <c r="WE1" s="42">
        <v>603</v>
      </c>
      <c r="WF1" s="42">
        <v>604</v>
      </c>
      <c r="WG1" s="42">
        <v>605</v>
      </c>
      <c r="WH1" s="42">
        <v>606</v>
      </c>
      <c r="WI1" s="42">
        <v>607</v>
      </c>
      <c r="WJ1" s="42">
        <v>608</v>
      </c>
      <c r="WK1" s="42">
        <v>609</v>
      </c>
      <c r="WL1" s="42">
        <v>610</v>
      </c>
      <c r="WM1" s="42">
        <v>611</v>
      </c>
      <c r="WN1" s="42">
        <v>612</v>
      </c>
      <c r="WO1" s="42">
        <v>613</v>
      </c>
      <c r="WP1" s="42">
        <v>614</v>
      </c>
      <c r="WQ1" s="42">
        <v>615</v>
      </c>
      <c r="WR1" s="42">
        <v>616</v>
      </c>
      <c r="WS1" s="42">
        <v>617</v>
      </c>
      <c r="WT1" s="42">
        <v>618</v>
      </c>
      <c r="WU1" s="42">
        <v>619</v>
      </c>
      <c r="WV1" s="42">
        <v>620</v>
      </c>
      <c r="WW1" s="42">
        <v>621</v>
      </c>
      <c r="WX1" s="42">
        <v>622</v>
      </c>
      <c r="WY1" s="42">
        <v>623</v>
      </c>
      <c r="WZ1" s="42">
        <v>624</v>
      </c>
      <c r="XA1" s="42">
        <v>625</v>
      </c>
      <c r="XB1" s="42">
        <v>626</v>
      </c>
      <c r="XC1" s="42">
        <v>627</v>
      </c>
      <c r="XD1" s="42">
        <v>628</v>
      </c>
      <c r="XE1" s="42">
        <v>629</v>
      </c>
      <c r="XF1" s="42">
        <v>630</v>
      </c>
      <c r="XG1" s="42">
        <v>631</v>
      </c>
      <c r="XH1" s="42">
        <v>632</v>
      </c>
      <c r="XI1" s="42">
        <v>633</v>
      </c>
      <c r="XJ1" s="42">
        <v>634</v>
      </c>
      <c r="XK1" s="42">
        <v>635</v>
      </c>
      <c r="XL1" s="42">
        <v>636</v>
      </c>
      <c r="XM1" s="42">
        <v>637</v>
      </c>
      <c r="XN1" s="42">
        <v>638</v>
      </c>
      <c r="XO1" s="42">
        <v>639</v>
      </c>
      <c r="XP1" s="42">
        <v>640</v>
      </c>
      <c r="XQ1" s="42">
        <v>641</v>
      </c>
      <c r="XR1" s="42">
        <v>642</v>
      </c>
      <c r="XS1" s="42">
        <v>643</v>
      </c>
      <c r="XT1" s="42">
        <v>644</v>
      </c>
      <c r="XU1" s="42">
        <v>645</v>
      </c>
      <c r="XV1" s="42">
        <v>646</v>
      </c>
      <c r="XW1" s="42">
        <v>647</v>
      </c>
      <c r="XX1" s="42">
        <v>648</v>
      </c>
      <c r="XY1" s="42">
        <v>649</v>
      </c>
      <c r="XZ1" s="42">
        <v>650</v>
      </c>
      <c r="YA1" s="42">
        <v>651</v>
      </c>
      <c r="YB1" s="42">
        <v>652</v>
      </c>
    </row>
    <row r="2" spans="1:652" ht="18" x14ac:dyDescent="0.35">
      <c r="A2" s="42"/>
      <c r="B2" s="279" t="s">
        <v>522</v>
      </c>
      <c r="C2" s="280"/>
      <c r="D2" s="280"/>
      <c r="E2" s="280"/>
      <c r="F2" s="280"/>
      <c r="G2" s="280"/>
      <c r="H2" s="280"/>
      <c r="I2" s="280"/>
      <c r="J2" s="280"/>
      <c r="K2" s="280"/>
      <c r="L2" s="280"/>
      <c r="M2" s="280"/>
      <c r="N2" s="280"/>
      <c r="O2" s="280"/>
      <c r="P2" s="280"/>
      <c r="Q2" s="280"/>
      <c r="R2" s="280"/>
      <c r="S2" s="280"/>
      <c r="T2" s="280"/>
      <c r="U2" s="280"/>
      <c r="V2" s="281"/>
      <c r="W2" s="282" t="s">
        <v>523</v>
      </c>
      <c r="X2" s="283"/>
      <c r="Y2" s="283"/>
      <c r="Z2" s="283"/>
      <c r="AA2" s="292"/>
      <c r="AB2" s="292"/>
      <c r="AC2" s="292"/>
      <c r="AD2" s="292"/>
      <c r="AE2" s="292"/>
      <c r="AF2" s="292"/>
      <c r="AG2" s="292"/>
      <c r="AH2" s="292"/>
      <c r="AI2" s="292"/>
      <c r="AJ2" s="292"/>
      <c r="AK2" s="292"/>
      <c r="AL2" s="292"/>
      <c r="AM2" s="292"/>
      <c r="AN2" s="292"/>
      <c r="AO2" s="292"/>
      <c r="AP2" s="292"/>
      <c r="AQ2" s="293"/>
      <c r="AR2" s="284" t="s">
        <v>524</v>
      </c>
      <c r="AS2" s="285"/>
      <c r="AT2" s="285"/>
      <c r="AU2" s="285"/>
      <c r="AV2" s="285"/>
      <c r="AW2" s="285"/>
      <c r="AX2" s="285"/>
      <c r="AY2" s="285"/>
      <c r="AZ2" s="285"/>
      <c r="BA2" s="285"/>
      <c r="BB2" s="285"/>
      <c r="BC2" s="285"/>
      <c r="BD2" s="285"/>
      <c r="BE2" s="285"/>
      <c r="BF2" s="285"/>
      <c r="BG2" s="285"/>
      <c r="BH2" s="285"/>
      <c r="BI2" s="285"/>
      <c r="BJ2" s="285"/>
      <c r="BK2" s="285"/>
      <c r="BL2" s="286"/>
      <c r="BM2" s="282" t="s">
        <v>525</v>
      </c>
      <c r="BN2" s="287"/>
      <c r="BO2" s="287"/>
      <c r="BP2" s="287"/>
      <c r="BQ2" s="287"/>
      <c r="BR2" s="287"/>
      <c r="BS2" s="287"/>
      <c r="BT2" s="287"/>
      <c r="BU2" s="287"/>
      <c r="BV2" s="287"/>
      <c r="BW2" s="288"/>
      <c r="BX2" s="288"/>
      <c r="BY2" s="288"/>
      <c r="BZ2" s="288"/>
      <c r="CA2" s="288"/>
      <c r="CB2" s="288"/>
      <c r="CC2" s="288"/>
      <c r="CD2" s="288"/>
      <c r="CE2" s="288"/>
      <c r="CF2" s="288"/>
      <c r="CG2" s="289"/>
      <c r="CH2" s="231" t="s">
        <v>526</v>
      </c>
      <c r="CI2" s="230"/>
      <c r="CJ2" s="230"/>
      <c r="CK2" s="230"/>
      <c r="CL2" s="230"/>
      <c r="CM2" s="230"/>
      <c r="CN2" s="230"/>
      <c r="CO2" s="230"/>
      <c r="CP2" s="230"/>
      <c r="CQ2" s="230"/>
      <c r="CR2" s="229"/>
      <c r="CS2" s="229"/>
      <c r="CT2" s="229"/>
      <c r="CU2" s="229"/>
      <c r="CV2" s="229"/>
      <c r="CW2" s="229"/>
      <c r="CX2" s="229"/>
      <c r="CY2" s="229"/>
      <c r="CZ2" s="229"/>
      <c r="DA2" s="229"/>
      <c r="DB2" s="229"/>
      <c r="DC2" s="282" t="s">
        <v>527</v>
      </c>
      <c r="DD2" s="287"/>
      <c r="DE2" s="287"/>
      <c r="DF2" s="287"/>
      <c r="DG2" s="287"/>
      <c r="DH2" s="287"/>
      <c r="DI2" s="287"/>
      <c r="DJ2" s="287"/>
      <c r="DK2" s="287"/>
      <c r="DL2" s="287"/>
      <c r="DM2" s="288"/>
      <c r="DN2" s="288"/>
      <c r="DO2" s="288"/>
      <c r="DP2" s="288"/>
      <c r="DQ2" s="288"/>
      <c r="DR2" s="288"/>
      <c r="DS2" s="288"/>
      <c r="DT2" s="288"/>
      <c r="DU2" s="288"/>
      <c r="DV2" s="288"/>
      <c r="DW2" s="289"/>
      <c r="DX2" s="231" t="s">
        <v>528</v>
      </c>
      <c r="DY2" s="230"/>
      <c r="DZ2" s="230"/>
      <c r="EA2" s="230"/>
      <c r="EB2" s="230"/>
      <c r="EC2" s="230"/>
      <c r="ED2" s="230"/>
      <c r="EE2" s="230"/>
      <c r="EF2" s="230"/>
      <c r="EG2" s="230"/>
      <c r="EH2" s="229"/>
      <c r="EI2" s="229"/>
      <c r="EJ2" s="229"/>
      <c r="EK2" s="229"/>
      <c r="EL2" s="229"/>
      <c r="EM2" s="229"/>
      <c r="EN2" s="229"/>
      <c r="EO2" s="229"/>
      <c r="EP2" s="229"/>
      <c r="EQ2" s="229"/>
      <c r="ER2" s="229"/>
      <c r="ES2" s="282" t="s">
        <v>529</v>
      </c>
      <c r="ET2" s="287"/>
      <c r="EU2" s="287"/>
      <c r="EV2" s="287"/>
      <c r="EW2" s="287"/>
      <c r="EX2" s="287"/>
      <c r="EY2" s="287"/>
      <c r="EZ2" s="287"/>
      <c r="FA2" s="287"/>
      <c r="FB2" s="287"/>
      <c r="FC2" s="288"/>
      <c r="FD2" s="288"/>
      <c r="FE2" s="288"/>
      <c r="FF2" s="288"/>
      <c r="FG2" s="288"/>
      <c r="FH2" s="288"/>
      <c r="FI2" s="288"/>
      <c r="FJ2" s="288"/>
      <c r="FK2" s="288"/>
      <c r="FL2" s="288"/>
      <c r="FM2" s="289"/>
      <c r="FN2" s="231" t="s">
        <v>530</v>
      </c>
      <c r="FO2" s="230"/>
      <c r="FP2" s="230"/>
      <c r="FQ2" s="230"/>
      <c r="FR2" s="230"/>
      <c r="FS2" s="230"/>
      <c r="FT2" s="230"/>
      <c r="FU2" s="230"/>
      <c r="FV2" s="230"/>
      <c r="FW2" s="230"/>
      <c r="FX2" s="229"/>
      <c r="FY2" s="229"/>
      <c r="FZ2" s="229"/>
      <c r="GA2" s="229"/>
      <c r="GB2" s="229"/>
      <c r="GC2" s="229"/>
      <c r="GD2" s="229"/>
      <c r="GE2" s="229"/>
      <c r="GF2" s="229"/>
      <c r="GG2" s="229"/>
      <c r="GH2" s="229"/>
      <c r="GI2" s="282" t="s">
        <v>531</v>
      </c>
      <c r="GJ2" s="287"/>
      <c r="GK2" s="287"/>
      <c r="GL2" s="287"/>
      <c r="GM2" s="287"/>
      <c r="GN2" s="287"/>
      <c r="GO2" s="287"/>
      <c r="GP2" s="287"/>
      <c r="GQ2" s="287"/>
      <c r="GR2" s="287"/>
      <c r="GS2" s="288"/>
      <c r="GT2" s="288"/>
      <c r="GU2" s="288"/>
      <c r="GV2" s="288"/>
      <c r="GW2" s="288"/>
      <c r="GX2" s="288"/>
      <c r="GY2" s="288"/>
      <c r="GZ2" s="288"/>
      <c r="HA2" s="288"/>
      <c r="HB2" s="288"/>
      <c r="HC2" s="289"/>
      <c r="HD2" s="231" t="s">
        <v>532</v>
      </c>
      <c r="HE2" s="230"/>
      <c r="HF2" s="230"/>
      <c r="HG2" s="230"/>
      <c r="HH2" s="230"/>
      <c r="HI2" s="230"/>
      <c r="HJ2" s="230"/>
      <c r="HK2" s="230"/>
      <c r="HL2" s="230"/>
      <c r="HM2" s="230"/>
      <c r="HN2" s="229"/>
      <c r="HO2" s="229"/>
      <c r="HP2" s="229"/>
      <c r="HQ2" s="229"/>
      <c r="HR2" s="229"/>
      <c r="HS2" s="229"/>
      <c r="HT2" s="229"/>
      <c r="HU2" s="229"/>
      <c r="HV2" s="229"/>
      <c r="HW2" s="229"/>
      <c r="HX2" s="229"/>
      <c r="HY2" s="282" t="s">
        <v>533</v>
      </c>
      <c r="HZ2" s="287"/>
      <c r="IA2" s="287"/>
      <c r="IB2" s="287"/>
      <c r="IC2" s="287"/>
      <c r="ID2" s="287"/>
      <c r="IE2" s="287"/>
      <c r="IF2" s="287"/>
      <c r="IG2" s="287"/>
      <c r="IH2" s="287"/>
      <c r="II2" s="288"/>
      <c r="IJ2" s="288"/>
      <c r="IK2" s="288"/>
      <c r="IL2" s="288"/>
      <c r="IM2" s="288"/>
      <c r="IN2" s="288"/>
      <c r="IO2" s="288"/>
      <c r="IP2" s="288"/>
      <c r="IQ2" s="288"/>
      <c r="IR2" s="288"/>
      <c r="IS2" s="289"/>
      <c r="IT2" s="231" t="s">
        <v>534</v>
      </c>
      <c r="IU2" s="230"/>
      <c r="IV2" s="230"/>
      <c r="IW2" s="230"/>
      <c r="IX2" s="230"/>
      <c r="IY2" s="230"/>
      <c r="IZ2" s="230"/>
      <c r="JA2" s="230"/>
      <c r="JB2" s="230"/>
      <c r="JC2" s="230"/>
      <c r="JD2" s="229"/>
      <c r="JE2" s="229"/>
      <c r="JF2" s="229"/>
      <c r="JG2" s="229"/>
      <c r="JH2" s="229"/>
      <c r="JI2" s="229"/>
      <c r="JJ2" s="229"/>
      <c r="JK2" s="229"/>
      <c r="JL2" s="229"/>
      <c r="JM2" s="229"/>
      <c r="JN2" s="229"/>
      <c r="JO2" s="282" t="s">
        <v>535</v>
      </c>
      <c r="JP2" s="287"/>
      <c r="JQ2" s="287"/>
      <c r="JR2" s="287"/>
      <c r="JS2" s="287"/>
      <c r="JT2" s="287"/>
      <c r="JU2" s="287"/>
      <c r="JV2" s="287"/>
      <c r="JW2" s="287"/>
      <c r="JX2" s="287"/>
      <c r="JY2" s="288"/>
      <c r="JZ2" s="288"/>
      <c r="KA2" s="288"/>
      <c r="KB2" s="288"/>
      <c r="KC2" s="288"/>
      <c r="KD2" s="288"/>
      <c r="KE2" s="288"/>
      <c r="KF2" s="288"/>
      <c r="KG2" s="288"/>
      <c r="KH2" s="288"/>
      <c r="KI2" s="289"/>
      <c r="KJ2" s="231" t="s">
        <v>536</v>
      </c>
      <c r="KK2" s="230"/>
      <c r="KL2" s="230"/>
      <c r="KM2" s="230"/>
      <c r="KN2" s="230"/>
      <c r="KO2" s="230"/>
      <c r="KP2" s="230"/>
      <c r="KQ2" s="230"/>
      <c r="KR2" s="230"/>
      <c r="KS2" s="230"/>
      <c r="KT2" s="229"/>
      <c r="KU2" s="229"/>
      <c r="KV2" s="229"/>
      <c r="KW2" s="229"/>
      <c r="KX2" s="229"/>
      <c r="KY2" s="229"/>
      <c r="KZ2" s="229"/>
      <c r="LA2" s="229"/>
      <c r="LB2" s="229"/>
      <c r="LC2" s="229"/>
      <c r="LD2" s="229"/>
      <c r="LE2" s="282" t="s">
        <v>537</v>
      </c>
      <c r="LF2" s="287"/>
      <c r="LG2" s="287"/>
      <c r="LH2" s="287"/>
      <c r="LI2" s="287"/>
      <c r="LJ2" s="287"/>
      <c r="LK2" s="287"/>
      <c r="LL2" s="287"/>
      <c r="LM2" s="287"/>
      <c r="LN2" s="287"/>
      <c r="LO2" s="288"/>
      <c r="LP2" s="288"/>
      <c r="LQ2" s="288"/>
      <c r="LR2" s="288"/>
      <c r="LS2" s="288"/>
      <c r="LT2" s="288"/>
      <c r="LU2" s="288"/>
      <c r="LV2" s="288"/>
      <c r="LW2" s="288"/>
      <c r="LX2" s="288"/>
      <c r="LY2" s="289"/>
      <c r="LZ2" s="231" t="s">
        <v>538</v>
      </c>
      <c r="MA2" s="230"/>
      <c r="MB2" s="230"/>
      <c r="MC2" s="230"/>
      <c r="MD2" s="230"/>
      <c r="ME2" s="230"/>
      <c r="MF2" s="230"/>
      <c r="MG2" s="230"/>
      <c r="MH2" s="230"/>
      <c r="MI2" s="230"/>
      <c r="MJ2" s="229"/>
      <c r="MK2" s="229"/>
      <c r="ML2" s="229"/>
      <c r="MM2" s="229"/>
      <c r="MN2" s="229"/>
      <c r="MO2" s="229"/>
      <c r="MP2" s="229"/>
      <c r="MQ2" s="229"/>
      <c r="MR2" s="229"/>
      <c r="MS2" s="229"/>
      <c r="MT2" s="229"/>
      <c r="MU2" s="282" t="s">
        <v>539</v>
      </c>
      <c r="MV2" s="287"/>
      <c r="MW2" s="287"/>
      <c r="MX2" s="287"/>
      <c r="MY2" s="287"/>
      <c r="MZ2" s="287"/>
      <c r="NA2" s="287"/>
      <c r="NB2" s="287"/>
      <c r="NC2" s="287"/>
      <c r="ND2" s="287"/>
      <c r="NE2" s="288"/>
      <c r="NF2" s="288"/>
      <c r="NG2" s="288"/>
      <c r="NH2" s="288"/>
      <c r="NI2" s="288"/>
      <c r="NJ2" s="288"/>
      <c r="NK2" s="288"/>
      <c r="NL2" s="288"/>
      <c r="NM2" s="288"/>
      <c r="NN2" s="288"/>
      <c r="NO2" s="289"/>
      <c r="NP2" s="231" t="s">
        <v>540</v>
      </c>
      <c r="NQ2" s="230"/>
      <c r="NR2" s="230"/>
      <c r="NS2" s="230"/>
      <c r="NT2" s="230"/>
      <c r="NU2" s="230"/>
      <c r="NV2" s="230"/>
      <c r="NW2" s="230"/>
      <c r="NX2" s="230"/>
      <c r="NY2" s="230"/>
      <c r="NZ2" s="229"/>
      <c r="OA2" s="229"/>
      <c r="OB2" s="229"/>
      <c r="OC2" s="229"/>
      <c r="OD2" s="229"/>
      <c r="OE2" s="229"/>
      <c r="OF2" s="229"/>
      <c r="OG2" s="229"/>
      <c r="OH2" s="229"/>
      <c r="OI2" s="229"/>
      <c r="OJ2" s="229"/>
      <c r="OK2" s="282" t="s">
        <v>541</v>
      </c>
      <c r="OL2" s="287"/>
      <c r="OM2" s="287"/>
      <c r="ON2" s="287"/>
      <c r="OO2" s="287"/>
      <c r="OP2" s="287"/>
      <c r="OQ2" s="287"/>
      <c r="OR2" s="287"/>
      <c r="OS2" s="287"/>
      <c r="OT2" s="287"/>
      <c r="OU2" s="288"/>
      <c r="OV2" s="288"/>
      <c r="OW2" s="288"/>
      <c r="OX2" s="288"/>
      <c r="OY2" s="288"/>
      <c r="OZ2" s="288"/>
      <c r="PA2" s="288"/>
      <c r="PB2" s="288"/>
      <c r="PC2" s="288"/>
      <c r="PD2" s="288"/>
      <c r="PE2" s="289"/>
      <c r="PF2" s="231" t="s">
        <v>542</v>
      </c>
      <c r="PG2" s="230"/>
      <c r="PH2" s="230"/>
      <c r="PI2" s="230"/>
      <c r="PJ2" s="230"/>
      <c r="PK2" s="230"/>
      <c r="PL2" s="230"/>
      <c r="PM2" s="230"/>
      <c r="PN2" s="230"/>
      <c r="PO2" s="230"/>
      <c r="PP2" s="229"/>
      <c r="PQ2" s="229"/>
      <c r="PR2" s="229"/>
      <c r="PS2" s="229"/>
      <c r="PT2" s="229"/>
      <c r="PU2" s="229"/>
      <c r="PV2" s="229"/>
      <c r="PW2" s="229"/>
      <c r="PX2" s="229"/>
      <c r="PY2" s="229"/>
      <c r="PZ2" s="229"/>
      <c r="QA2" s="282" t="s">
        <v>543</v>
      </c>
      <c r="QB2" s="287"/>
      <c r="QC2" s="287"/>
      <c r="QD2" s="287"/>
      <c r="QE2" s="287"/>
      <c r="QF2" s="287"/>
      <c r="QG2" s="287"/>
      <c r="QH2" s="287"/>
      <c r="QI2" s="287"/>
      <c r="QJ2" s="287"/>
      <c r="QK2" s="288"/>
      <c r="QL2" s="288"/>
      <c r="QM2" s="288"/>
      <c r="QN2" s="288"/>
      <c r="QO2" s="288"/>
      <c r="QP2" s="288"/>
      <c r="QQ2" s="288"/>
      <c r="QR2" s="288"/>
      <c r="QS2" s="288"/>
      <c r="QT2" s="288"/>
      <c r="QU2" s="289"/>
      <c r="QV2" s="231" t="s">
        <v>544</v>
      </c>
      <c r="QW2" s="230"/>
      <c r="QX2" s="230"/>
      <c r="QY2" s="230"/>
      <c r="QZ2" s="230"/>
      <c r="RA2" s="230"/>
      <c r="RB2" s="230"/>
      <c r="RC2" s="230"/>
      <c r="RD2" s="230"/>
      <c r="RE2" s="230"/>
      <c r="RF2" s="229"/>
      <c r="RG2" s="229"/>
      <c r="RH2" s="229"/>
      <c r="RI2" s="229"/>
      <c r="RJ2" s="229"/>
      <c r="RK2" s="229"/>
      <c r="RL2" s="229"/>
      <c r="RM2" s="229"/>
      <c r="RN2" s="229"/>
      <c r="RO2" s="229"/>
      <c r="RP2" s="229"/>
      <c r="RQ2" s="282" t="s">
        <v>545</v>
      </c>
      <c r="RR2" s="287"/>
      <c r="RS2" s="287"/>
      <c r="RT2" s="287"/>
      <c r="RU2" s="287"/>
      <c r="RV2" s="287"/>
      <c r="RW2" s="287"/>
      <c r="RX2" s="287"/>
      <c r="RY2" s="287"/>
      <c r="RZ2" s="287"/>
      <c r="SA2" s="288"/>
      <c r="SB2" s="288"/>
      <c r="SC2" s="288"/>
      <c r="SD2" s="288"/>
      <c r="SE2" s="288"/>
      <c r="SF2" s="288"/>
      <c r="SG2" s="288"/>
      <c r="SH2" s="288"/>
      <c r="SI2" s="288"/>
      <c r="SJ2" s="288"/>
      <c r="SK2" s="289"/>
      <c r="SL2" s="231" t="s">
        <v>546</v>
      </c>
      <c r="SM2" s="230"/>
      <c r="SN2" s="230"/>
      <c r="SO2" s="230"/>
      <c r="SP2" s="230"/>
      <c r="SQ2" s="230"/>
      <c r="SR2" s="230"/>
      <c r="SS2" s="230"/>
      <c r="ST2" s="230"/>
      <c r="SU2" s="230"/>
      <c r="SV2" s="229"/>
      <c r="SW2" s="229"/>
      <c r="SX2" s="229"/>
      <c r="SY2" s="229"/>
      <c r="SZ2" s="229"/>
      <c r="TA2" s="229"/>
      <c r="TB2" s="229"/>
      <c r="TC2" s="229"/>
      <c r="TD2" s="229"/>
      <c r="TE2" s="229"/>
      <c r="TF2" s="229"/>
      <c r="TG2" s="282" t="s">
        <v>547</v>
      </c>
      <c r="TH2" s="287"/>
      <c r="TI2" s="287"/>
      <c r="TJ2" s="287"/>
      <c r="TK2" s="287"/>
      <c r="TL2" s="287"/>
      <c r="TM2" s="287"/>
      <c r="TN2" s="287"/>
      <c r="TO2" s="287"/>
      <c r="TP2" s="287"/>
      <c r="TQ2" s="288"/>
      <c r="TR2" s="288"/>
      <c r="TS2" s="288"/>
      <c r="TT2" s="288"/>
      <c r="TU2" s="288"/>
      <c r="TV2" s="288"/>
      <c r="TW2" s="288"/>
      <c r="TX2" s="288"/>
      <c r="TY2" s="288"/>
      <c r="TZ2" s="288"/>
      <c r="UA2" s="289"/>
      <c r="UB2" s="231" t="s">
        <v>548</v>
      </c>
      <c r="UC2" s="230"/>
      <c r="UD2" s="230"/>
      <c r="UE2" s="230"/>
      <c r="UF2" s="230"/>
      <c r="UG2" s="230"/>
      <c r="UH2" s="230"/>
      <c r="UI2" s="230"/>
      <c r="UJ2" s="230"/>
      <c r="UK2" s="230"/>
      <c r="UL2" s="229"/>
      <c r="UM2" s="229"/>
      <c r="UN2" s="229"/>
      <c r="UO2" s="229"/>
      <c r="UP2" s="229"/>
      <c r="UQ2" s="229"/>
      <c r="UR2" s="229"/>
      <c r="US2" s="229"/>
      <c r="UT2" s="229"/>
      <c r="UU2" s="229"/>
      <c r="UV2" s="229"/>
      <c r="UW2" s="282" t="s">
        <v>549</v>
      </c>
      <c r="UX2" s="287"/>
      <c r="UY2" s="287"/>
      <c r="UZ2" s="287"/>
      <c r="VA2" s="287"/>
      <c r="VB2" s="287"/>
      <c r="VC2" s="287"/>
      <c r="VD2" s="287"/>
      <c r="VE2" s="287"/>
      <c r="VF2" s="287"/>
      <c r="VG2" s="288"/>
      <c r="VH2" s="288"/>
      <c r="VI2" s="288"/>
      <c r="VJ2" s="288"/>
      <c r="VK2" s="288"/>
      <c r="VL2" s="288"/>
      <c r="VM2" s="288"/>
      <c r="VN2" s="288"/>
      <c r="VO2" s="288"/>
      <c r="VP2" s="288"/>
      <c r="VQ2" s="289"/>
      <c r="VR2" s="231" t="s">
        <v>550</v>
      </c>
      <c r="VS2" s="230"/>
      <c r="VT2" s="230"/>
      <c r="VU2" s="230"/>
      <c r="VV2" s="230"/>
      <c r="VW2" s="230"/>
      <c r="VX2" s="230"/>
      <c r="VY2" s="230"/>
      <c r="VZ2" s="230"/>
      <c r="WA2" s="230"/>
      <c r="WB2" s="229"/>
      <c r="WC2" s="229"/>
      <c r="WD2" s="229"/>
      <c r="WE2" s="229"/>
      <c r="WF2" s="229"/>
      <c r="WG2" s="229"/>
      <c r="WH2" s="229"/>
      <c r="WI2" s="229"/>
      <c r="WJ2" s="229"/>
      <c r="WK2" s="229"/>
      <c r="WL2" s="229"/>
      <c r="WM2" s="282" t="s">
        <v>551</v>
      </c>
      <c r="WN2" s="287"/>
      <c r="WO2" s="287"/>
      <c r="WP2" s="287"/>
      <c r="WQ2" s="287"/>
      <c r="WR2" s="287"/>
      <c r="WS2" s="287"/>
      <c r="WT2" s="287"/>
      <c r="WU2" s="287"/>
      <c r="WV2" s="287"/>
      <c r="WW2" s="288"/>
      <c r="WX2" s="288"/>
      <c r="WY2" s="288"/>
      <c r="WZ2" s="288"/>
      <c r="XA2" s="288"/>
      <c r="XB2" s="288"/>
      <c r="XC2" s="288"/>
      <c r="XD2" s="288"/>
      <c r="XE2" s="288"/>
      <c r="XF2" s="288"/>
      <c r="XG2" s="289"/>
      <c r="XH2" s="231" t="s">
        <v>552</v>
      </c>
      <c r="XI2" s="230"/>
      <c r="XJ2" s="230"/>
      <c r="XK2" s="230"/>
      <c r="XL2" s="230"/>
      <c r="XM2" s="230"/>
      <c r="XN2" s="230"/>
      <c r="XO2" s="230"/>
      <c r="XP2" s="230"/>
      <c r="XQ2" s="230"/>
      <c r="XR2" s="229"/>
      <c r="XS2" s="229"/>
      <c r="XT2" s="229"/>
      <c r="XU2" s="229"/>
      <c r="XV2" s="229"/>
      <c r="XW2" s="229"/>
      <c r="XX2" s="229"/>
      <c r="XY2" s="229"/>
      <c r="XZ2" s="229"/>
      <c r="YA2" s="229"/>
      <c r="YB2" s="229"/>
    </row>
    <row r="3" spans="1:652" x14ac:dyDescent="0.3">
      <c r="A3" s="42"/>
      <c r="B3" s="266" t="s">
        <v>553</v>
      </c>
      <c r="C3" s="267"/>
      <c r="D3" s="267"/>
      <c r="E3" s="267"/>
      <c r="F3" s="227" t="s">
        <v>554</v>
      </c>
      <c r="G3" s="228"/>
      <c r="H3" s="228"/>
      <c r="I3" s="228"/>
      <c r="J3" s="228"/>
      <c r="K3" s="228"/>
      <c r="L3" s="228"/>
      <c r="M3" s="228"/>
      <c r="N3" s="228"/>
      <c r="O3" s="228"/>
      <c r="P3" s="228"/>
      <c r="Q3" s="228"/>
      <c r="R3" s="228"/>
      <c r="S3" s="228"/>
      <c r="T3" s="228"/>
      <c r="U3" s="228"/>
      <c r="V3" s="268"/>
      <c r="W3" s="465" t="s">
        <v>553</v>
      </c>
      <c r="X3" s="466"/>
      <c r="Y3" s="466"/>
      <c r="Z3" s="467"/>
      <c r="AA3" s="294" t="s">
        <v>554</v>
      </c>
      <c r="AB3" s="295"/>
      <c r="AC3" s="295"/>
      <c r="AD3" s="295"/>
      <c r="AE3" s="295"/>
      <c r="AF3" s="295"/>
      <c r="AG3" s="295"/>
      <c r="AH3" s="296"/>
      <c r="AI3" s="296"/>
      <c r="AJ3" s="296"/>
      <c r="AK3" s="296"/>
      <c r="AL3" s="296"/>
      <c r="AM3" s="296"/>
      <c r="AN3" s="296"/>
      <c r="AO3" s="296"/>
      <c r="AP3" s="296"/>
      <c r="AQ3" s="297"/>
      <c r="AR3" s="266" t="s">
        <v>553</v>
      </c>
      <c r="AS3" s="226"/>
      <c r="AT3" s="226"/>
      <c r="AU3" s="226"/>
      <c r="AV3" s="227" t="s">
        <v>554</v>
      </c>
      <c r="AW3" s="228"/>
      <c r="AX3" s="228"/>
      <c r="AY3" s="228"/>
      <c r="AZ3" s="228"/>
      <c r="BA3" s="228"/>
      <c r="BB3" s="228"/>
      <c r="BC3" s="228"/>
      <c r="BD3" s="228"/>
      <c r="BE3" s="228"/>
      <c r="BF3" s="228"/>
      <c r="BG3" s="228"/>
      <c r="BH3" s="228"/>
      <c r="BI3" s="228"/>
      <c r="BJ3" s="228"/>
      <c r="BK3" s="228"/>
      <c r="BL3" s="268"/>
      <c r="BM3" s="465" t="s">
        <v>553</v>
      </c>
      <c r="BN3" s="466"/>
      <c r="BO3" s="466"/>
      <c r="BP3" s="467"/>
      <c r="BQ3" s="245" t="s">
        <v>554</v>
      </c>
      <c r="BR3" s="245"/>
      <c r="BS3" s="245"/>
      <c r="BT3" s="245"/>
      <c r="BU3" s="245"/>
      <c r="BV3" s="245"/>
      <c r="BW3" s="245"/>
      <c r="BX3" s="225"/>
      <c r="BY3" s="225"/>
      <c r="BZ3" s="225"/>
      <c r="CA3" s="246"/>
      <c r="CB3" s="246"/>
      <c r="CC3" s="246"/>
      <c r="CD3" s="246"/>
      <c r="CE3" s="225"/>
      <c r="CF3" s="225"/>
      <c r="CG3" s="290"/>
      <c r="CH3" s="266" t="s">
        <v>553</v>
      </c>
      <c r="CI3" s="226"/>
      <c r="CJ3" s="226"/>
      <c r="CK3" s="226"/>
      <c r="CL3" s="227" t="s">
        <v>554</v>
      </c>
      <c r="CM3" s="228"/>
      <c r="CN3" s="228"/>
      <c r="CO3" s="228"/>
      <c r="CP3" s="228"/>
      <c r="CQ3" s="228"/>
      <c r="CR3" s="228"/>
      <c r="CS3" s="228"/>
      <c r="CT3" s="228"/>
      <c r="CU3" s="228"/>
      <c r="CV3" s="228"/>
      <c r="CW3" s="228"/>
      <c r="CX3" s="228"/>
      <c r="CY3" s="228"/>
      <c r="CZ3" s="228"/>
      <c r="DA3" s="228"/>
      <c r="DB3" s="268"/>
      <c r="DC3" s="465" t="s">
        <v>553</v>
      </c>
      <c r="DD3" s="466"/>
      <c r="DE3" s="466"/>
      <c r="DF3" s="467"/>
      <c r="DG3" s="245" t="s">
        <v>554</v>
      </c>
      <c r="DH3" s="245"/>
      <c r="DI3" s="245"/>
      <c r="DJ3" s="245"/>
      <c r="DK3" s="245"/>
      <c r="DL3" s="245"/>
      <c r="DM3" s="245"/>
      <c r="DN3" s="225"/>
      <c r="DO3" s="225"/>
      <c r="DP3" s="225"/>
      <c r="DQ3" s="246"/>
      <c r="DR3" s="246"/>
      <c r="DS3" s="246"/>
      <c r="DT3" s="246"/>
      <c r="DU3" s="225"/>
      <c r="DV3" s="225"/>
      <c r="DW3" s="290"/>
      <c r="DX3" s="266" t="s">
        <v>553</v>
      </c>
      <c r="DY3" s="226"/>
      <c r="DZ3" s="226"/>
      <c r="EA3" s="226"/>
      <c r="EB3" s="227" t="s">
        <v>554</v>
      </c>
      <c r="EC3" s="228"/>
      <c r="ED3" s="228"/>
      <c r="EE3" s="228"/>
      <c r="EF3" s="228"/>
      <c r="EG3" s="228"/>
      <c r="EH3" s="228"/>
      <c r="EI3" s="228"/>
      <c r="EJ3" s="228"/>
      <c r="EK3" s="228"/>
      <c r="EL3" s="228"/>
      <c r="EM3" s="228"/>
      <c r="EN3" s="228"/>
      <c r="EO3" s="228"/>
      <c r="EP3" s="228"/>
      <c r="EQ3" s="228"/>
      <c r="ER3" s="268"/>
      <c r="ES3" s="465" t="s">
        <v>553</v>
      </c>
      <c r="ET3" s="466"/>
      <c r="EU3" s="466"/>
      <c r="EV3" s="467"/>
      <c r="EW3" s="245" t="s">
        <v>554</v>
      </c>
      <c r="EX3" s="245"/>
      <c r="EY3" s="245"/>
      <c r="EZ3" s="245"/>
      <c r="FA3" s="245"/>
      <c r="FB3" s="245"/>
      <c r="FC3" s="245"/>
      <c r="FD3" s="225"/>
      <c r="FE3" s="225"/>
      <c r="FF3" s="225"/>
      <c r="FG3" s="246"/>
      <c r="FH3" s="246"/>
      <c r="FI3" s="246"/>
      <c r="FJ3" s="246"/>
      <c r="FK3" s="225"/>
      <c r="FL3" s="225"/>
      <c r="FM3" s="290"/>
      <c r="FN3" s="266" t="s">
        <v>553</v>
      </c>
      <c r="FO3" s="226"/>
      <c r="FP3" s="226"/>
      <c r="FQ3" s="226"/>
      <c r="FR3" s="227" t="s">
        <v>554</v>
      </c>
      <c r="FS3" s="228"/>
      <c r="FT3" s="228"/>
      <c r="FU3" s="228"/>
      <c r="FV3" s="228"/>
      <c r="FW3" s="228"/>
      <c r="FX3" s="228"/>
      <c r="FY3" s="228"/>
      <c r="FZ3" s="228"/>
      <c r="GA3" s="228"/>
      <c r="GB3" s="228"/>
      <c r="GC3" s="228"/>
      <c r="GD3" s="228"/>
      <c r="GE3" s="228"/>
      <c r="GF3" s="228"/>
      <c r="GG3" s="228"/>
      <c r="GH3" s="268"/>
      <c r="GI3" s="465" t="s">
        <v>553</v>
      </c>
      <c r="GJ3" s="466"/>
      <c r="GK3" s="466"/>
      <c r="GL3" s="467"/>
      <c r="GM3" s="245" t="s">
        <v>554</v>
      </c>
      <c r="GN3" s="245"/>
      <c r="GO3" s="245"/>
      <c r="GP3" s="245"/>
      <c r="GQ3" s="245"/>
      <c r="GR3" s="245"/>
      <c r="GS3" s="245"/>
      <c r="GT3" s="225"/>
      <c r="GU3" s="225"/>
      <c r="GV3" s="225"/>
      <c r="GW3" s="246"/>
      <c r="GX3" s="246"/>
      <c r="GY3" s="246"/>
      <c r="GZ3" s="246"/>
      <c r="HA3" s="225"/>
      <c r="HB3" s="225"/>
      <c r="HC3" s="290"/>
      <c r="HD3" s="266" t="s">
        <v>553</v>
      </c>
      <c r="HE3" s="226"/>
      <c r="HF3" s="226"/>
      <c r="HG3" s="226"/>
      <c r="HH3" s="227" t="s">
        <v>554</v>
      </c>
      <c r="HI3" s="228"/>
      <c r="HJ3" s="228"/>
      <c r="HK3" s="228"/>
      <c r="HL3" s="228"/>
      <c r="HM3" s="228"/>
      <c r="HN3" s="228"/>
      <c r="HO3" s="228"/>
      <c r="HP3" s="228"/>
      <c r="HQ3" s="228"/>
      <c r="HR3" s="228"/>
      <c r="HS3" s="228"/>
      <c r="HT3" s="228"/>
      <c r="HU3" s="228"/>
      <c r="HV3" s="228"/>
      <c r="HW3" s="228"/>
      <c r="HX3" s="268"/>
      <c r="HY3" s="465" t="s">
        <v>553</v>
      </c>
      <c r="HZ3" s="466"/>
      <c r="IA3" s="466"/>
      <c r="IB3" s="467"/>
      <c r="IC3" s="245" t="s">
        <v>554</v>
      </c>
      <c r="ID3" s="245"/>
      <c r="IE3" s="245"/>
      <c r="IF3" s="245"/>
      <c r="IG3" s="245"/>
      <c r="IH3" s="245"/>
      <c r="II3" s="245"/>
      <c r="IJ3" s="225"/>
      <c r="IK3" s="225"/>
      <c r="IL3" s="225"/>
      <c r="IM3" s="246"/>
      <c r="IN3" s="246"/>
      <c r="IO3" s="246"/>
      <c r="IP3" s="246"/>
      <c r="IQ3" s="225"/>
      <c r="IR3" s="225"/>
      <c r="IS3" s="290"/>
      <c r="IT3" s="266" t="s">
        <v>553</v>
      </c>
      <c r="IU3" s="226"/>
      <c r="IV3" s="226"/>
      <c r="IW3" s="226"/>
      <c r="IX3" s="227" t="s">
        <v>554</v>
      </c>
      <c r="IY3" s="228"/>
      <c r="IZ3" s="228"/>
      <c r="JA3" s="228"/>
      <c r="JB3" s="228"/>
      <c r="JC3" s="228"/>
      <c r="JD3" s="228"/>
      <c r="JE3" s="228"/>
      <c r="JF3" s="228"/>
      <c r="JG3" s="228"/>
      <c r="JH3" s="228"/>
      <c r="JI3" s="228"/>
      <c r="JJ3" s="228"/>
      <c r="JK3" s="228"/>
      <c r="JL3" s="228"/>
      <c r="JM3" s="228"/>
      <c r="JN3" s="268"/>
      <c r="JO3" s="465" t="s">
        <v>553</v>
      </c>
      <c r="JP3" s="466"/>
      <c r="JQ3" s="466"/>
      <c r="JR3" s="467"/>
      <c r="JS3" s="245" t="s">
        <v>554</v>
      </c>
      <c r="JT3" s="245"/>
      <c r="JU3" s="245"/>
      <c r="JV3" s="245"/>
      <c r="JW3" s="245"/>
      <c r="JX3" s="245"/>
      <c r="JY3" s="245"/>
      <c r="JZ3" s="225"/>
      <c r="KA3" s="225"/>
      <c r="KB3" s="225"/>
      <c r="KC3" s="246"/>
      <c r="KD3" s="246"/>
      <c r="KE3" s="246"/>
      <c r="KF3" s="246"/>
      <c r="KG3" s="225"/>
      <c r="KH3" s="225"/>
      <c r="KI3" s="290"/>
      <c r="KJ3" s="266" t="s">
        <v>553</v>
      </c>
      <c r="KK3" s="226"/>
      <c r="KL3" s="226"/>
      <c r="KM3" s="226"/>
      <c r="KN3" s="227" t="s">
        <v>554</v>
      </c>
      <c r="KO3" s="228"/>
      <c r="KP3" s="228"/>
      <c r="KQ3" s="228"/>
      <c r="KR3" s="228"/>
      <c r="KS3" s="228"/>
      <c r="KT3" s="228"/>
      <c r="KU3" s="228"/>
      <c r="KV3" s="228"/>
      <c r="KW3" s="228"/>
      <c r="KX3" s="228"/>
      <c r="KY3" s="228"/>
      <c r="KZ3" s="228"/>
      <c r="LA3" s="228"/>
      <c r="LB3" s="228"/>
      <c r="LC3" s="228"/>
      <c r="LD3" s="268"/>
      <c r="LE3" s="465" t="s">
        <v>553</v>
      </c>
      <c r="LF3" s="466"/>
      <c r="LG3" s="466"/>
      <c r="LH3" s="467"/>
      <c r="LI3" s="245" t="s">
        <v>554</v>
      </c>
      <c r="LJ3" s="245"/>
      <c r="LK3" s="245"/>
      <c r="LL3" s="245"/>
      <c r="LM3" s="245"/>
      <c r="LN3" s="245"/>
      <c r="LO3" s="245"/>
      <c r="LP3" s="225"/>
      <c r="LQ3" s="225"/>
      <c r="LR3" s="225"/>
      <c r="LS3" s="246"/>
      <c r="LT3" s="246"/>
      <c r="LU3" s="246"/>
      <c r="LV3" s="246"/>
      <c r="LW3" s="225"/>
      <c r="LX3" s="225"/>
      <c r="LY3" s="290"/>
      <c r="LZ3" s="266" t="s">
        <v>553</v>
      </c>
      <c r="MA3" s="226"/>
      <c r="MB3" s="226"/>
      <c r="MC3" s="226"/>
      <c r="MD3" s="227" t="s">
        <v>554</v>
      </c>
      <c r="ME3" s="228"/>
      <c r="MF3" s="228"/>
      <c r="MG3" s="228"/>
      <c r="MH3" s="228"/>
      <c r="MI3" s="228"/>
      <c r="MJ3" s="228"/>
      <c r="MK3" s="228"/>
      <c r="ML3" s="228"/>
      <c r="MM3" s="228"/>
      <c r="MN3" s="228"/>
      <c r="MO3" s="228"/>
      <c r="MP3" s="228"/>
      <c r="MQ3" s="228"/>
      <c r="MR3" s="228"/>
      <c r="MS3" s="228"/>
      <c r="MT3" s="268"/>
      <c r="MU3" s="465" t="s">
        <v>553</v>
      </c>
      <c r="MV3" s="466"/>
      <c r="MW3" s="466"/>
      <c r="MX3" s="467"/>
      <c r="MY3" s="245" t="s">
        <v>554</v>
      </c>
      <c r="MZ3" s="245"/>
      <c r="NA3" s="245"/>
      <c r="NB3" s="245"/>
      <c r="NC3" s="245"/>
      <c r="ND3" s="245"/>
      <c r="NE3" s="245"/>
      <c r="NF3" s="225"/>
      <c r="NG3" s="225"/>
      <c r="NH3" s="225"/>
      <c r="NI3" s="246"/>
      <c r="NJ3" s="246"/>
      <c r="NK3" s="246"/>
      <c r="NL3" s="246"/>
      <c r="NM3" s="225"/>
      <c r="NN3" s="225"/>
      <c r="NO3" s="290"/>
      <c r="NP3" s="266" t="s">
        <v>553</v>
      </c>
      <c r="NQ3" s="226"/>
      <c r="NR3" s="226"/>
      <c r="NS3" s="226"/>
      <c r="NT3" s="227" t="s">
        <v>554</v>
      </c>
      <c r="NU3" s="228"/>
      <c r="NV3" s="228"/>
      <c r="NW3" s="228"/>
      <c r="NX3" s="228"/>
      <c r="NY3" s="228"/>
      <c r="NZ3" s="228"/>
      <c r="OA3" s="228"/>
      <c r="OB3" s="228"/>
      <c r="OC3" s="228"/>
      <c r="OD3" s="228"/>
      <c r="OE3" s="228"/>
      <c r="OF3" s="228"/>
      <c r="OG3" s="228"/>
      <c r="OH3" s="228"/>
      <c r="OI3" s="228"/>
      <c r="OJ3" s="268"/>
      <c r="OK3" s="465" t="s">
        <v>553</v>
      </c>
      <c r="OL3" s="466"/>
      <c r="OM3" s="466"/>
      <c r="ON3" s="467"/>
      <c r="OO3" s="245" t="s">
        <v>554</v>
      </c>
      <c r="OP3" s="245"/>
      <c r="OQ3" s="245"/>
      <c r="OR3" s="245"/>
      <c r="OS3" s="245"/>
      <c r="OT3" s="245"/>
      <c r="OU3" s="245"/>
      <c r="OV3" s="225"/>
      <c r="OW3" s="225"/>
      <c r="OX3" s="225"/>
      <c r="OY3" s="246"/>
      <c r="OZ3" s="246"/>
      <c r="PA3" s="246"/>
      <c r="PB3" s="246"/>
      <c r="PC3" s="225"/>
      <c r="PD3" s="225"/>
      <c r="PE3" s="290"/>
      <c r="PF3" s="266" t="s">
        <v>553</v>
      </c>
      <c r="PG3" s="226"/>
      <c r="PH3" s="226"/>
      <c r="PI3" s="226"/>
      <c r="PJ3" s="227" t="s">
        <v>554</v>
      </c>
      <c r="PK3" s="228"/>
      <c r="PL3" s="228"/>
      <c r="PM3" s="228"/>
      <c r="PN3" s="228"/>
      <c r="PO3" s="228"/>
      <c r="PP3" s="228"/>
      <c r="PQ3" s="228"/>
      <c r="PR3" s="228"/>
      <c r="PS3" s="228"/>
      <c r="PT3" s="228"/>
      <c r="PU3" s="228"/>
      <c r="PV3" s="228"/>
      <c r="PW3" s="228"/>
      <c r="PX3" s="228"/>
      <c r="PY3" s="228"/>
      <c r="PZ3" s="268"/>
      <c r="QA3" s="465" t="s">
        <v>553</v>
      </c>
      <c r="QB3" s="466"/>
      <c r="QC3" s="466"/>
      <c r="QD3" s="467"/>
      <c r="QE3" s="245" t="s">
        <v>554</v>
      </c>
      <c r="QF3" s="245"/>
      <c r="QG3" s="245"/>
      <c r="QH3" s="245"/>
      <c r="QI3" s="245"/>
      <c r="QJ3" s="245"/>
      <c r="QK3" s="245"/>
      <c r="QL3" s="225"/>
      <c r="QM3" s="225"/>
      <c r="QN3" s="225"/>
      <c r="QO3" s="246"/>
      <c r="QP3" s="246"/>
      <c r="QQ3" s="246"/>
      <c r="QR3" s="246"/>
      <c r="QS3" s="225"/>
      <c r="QT3" s="225"/>
      <c r="QU3" s="290"/>
      <c r="QV3" s="266" t="s">
        <v>553</v>
      </c>
      <c r="QW3" s="226"/>
      <c r="QX3" s="226"/>
      <c r="QY3" s="226"/>
      <c r="QZ3" s="227" t="s">
        <v>554</v>
      </c>
      <c r="RA3" s="228"/>
      <c r="RB3" s="228"/>
      <c r="RC3" s="228"/>
      <c r="RD3" s="228"/>
      <c r="RE3" s="228"/>
      <c r="RF3" s="228"/>
      <c r="RG3" s="228"/>
      <c r="RH3" s="228"/>
      <c r="RI3" s="228"/>
      <c r="RJ3" s="228"/>
      <c r="RK3" s="228"/>
      <c r="RL3" s="228"/>
      <c r="RM3" s="228"/>
      <c r="RN3" s="228"/>
      <c r="RO3" s="228"/>
      <c r="RP3" s="268"/>
      <c r="RQ3" s="465" t="s">
        <v>553</v>
      </c>
      <c r="RR3" s="466"/>
      <c r="RS3" s="466"/>
      <c r="RT3" s="467"/>
      <c r="RU3" s="245" t="s">
        <v>554</v>
      </c>
      <c r="RV3" s="245"/>
      <c r="RW3" s="245"/>
      <c r="RX3" s="245"/>
      <c r="RY3" s="245"/>
      <c r="RZ3" s="245"/>
      <c r="SA3" s="245"/>
      <c r="SB3" s="225"/>
      <c r="SC3" s="225"/>
      <c r="SD3" s="225"/>
      <c r="SE3" s="246"/>
      <c r="SF3" s="246"/>
      <c r="SG3" s="246"/>
      <c r="SH3" s="246"/>
      <c r="SI3" s="225"/>
      <c r="SJ3" s="225"/>
      <c r="SK3" s="290"/>
      <c r="SL3" s="266" t="s">
        <v>553</v>
      </c>
      <c r="SM3" s="226"/>
      <c r="SN3" s="226"/>
      <c r="SO3" s="226"/>
      <c r="SP3" s="227" t="s">
        <v>554</v>
      </c>
      <c r="SQ3" s="228"/>
      <c r="SR3" s="228"/>
      <c r="SS3" s="228"/>
      <c r="ST3" s="228"/>
      <c r="SU3" s="228"/>
      <c r="SV3" s="228"/>
      <c r="SW3" s="228"/>
      <c r="SX3" s="228"/>
      <c r="SY3" s="228"/>
      <c r="SZ3" s="228"/>
      <c r="TA3" s="228"/>
      <c r="TB3" s="228"/>
      <c r="TC3" s="228"/>
      <c r="TD3" s="228"/>
      <c r="TE3" s="228"/>
      <c r="TF3" s="268"/>
      <c r="TG3" s="465" t="s">
        <v>553</v>
      </c>
      <c r="TH3" s="466"/>
      <c r="TI3" s="466"/>
      <c r="TJ3" s="467"/>
      <c r="TK3" s="245" t="s">
        <v>554</v>
      </c>
      <c r="TL3" s="245"/>
      <c r="TM3" s="245"/>
      <c r="TN3" s="245"/>
      <c r="TO3" s="245"/>
      <c r="TP3" s="245"/>
      <c r="TQ3" s="245"/>
      <c r="TR3" s="225"/>
      <c r="TS3" s="225"/>
      <c r="TT3" s="225"/>
      <c r="TU3" s="246"/>
      <c r="TV3" s="246"/>
      <c r="TW3" s="246"/>
      <c r="TX3" s="246"/>
      <c r="TY3" s="225"/>
      <c r="TZ3" s="225"/>
      <c r="UA3" s="290"/>
      <c r="UB3" s="266" t="s">
        <v>553</v>
      </c>
      <c r="UC3" s="226"/>
      <c r="UD3" s="226"/>
      <c r="UE3" s="226"/>
      <c r="UF3" s="227" t="s">
        <v>554</v>
      </c>
      <c r="UG3" s="228"/>
      <c r="UH3" s="228"/>
      <c r="UI3" s="228"/>
      <c r="UJ3" s="228"/>
      <c r="UK3" s="228"/>
      <c r="UL3" s="228"/>
      <c r="UM3" s="228"/>
      <c r="UN3" s="228"/>
      <c r="UO3" s="228"/>
      <c r="UP3" s="228"/>
      <c r="UQ3" s="228"/>
      <c r="UR3" s="228"/>
      <c r="US3" s="228"/>
      <c r="UT3" s="228"/>
      <c r="UU3" s="228"/>
      <c r="UV3" s="268"/>
      <c r="UW3" s="465" t="s">
        <v>553</v>
      </c>
      <c r="UX3" s="466"/>
      <c r="UY3" s="466"/>
      <c r="UZ3" s="467"/>
      <c r="VA3" s="245" t="s">
        <v>554</v>
      </c>
      <c r="VB3" s="245"/>
      <c r="VC3" s="245"/>
      <c r="VD3" s="245"/>
      <c r="VE3" s="245"/>
      <c r="VF3" s="245"/>
      <c r="VG3" s="245"/>
      <c r="VH3" s="225"/>
      <c r="VI3" s="225"/>
      <c r="VJ3" s="225"/>
      <c r="VK3" s="246"/>
      <c r="VL3" s="246"/>
      <c r="VM3" s="246"/>
      <c r="VN3" s="246"/>
      <c r="VO3" s="225"/>
      <c r="VP3" s="225"/>
      <c r="VQ3" s="290"/>
      <c r="VR3" s="266" t="s">
        <v>553</v>
      </c>
      <c r="VS3" s="226"/>
      <c r="VT3" s="226"/>
      <c r="VU3" s="226"/>
      <c r="VV3" s="227" t="s">
        <v>554</v>
      </c>
      <c r="VW3" s="228"/>
      <c r="VX3" s="228"/>
      <c r="VY3" s="228"/>
      <c r="VZ3" s="228"/>
      <c r="WA3" s="228"/>
      <c r="WB3" s="228"/>
      <c r="WC3" s="228"/>
      <c r="WD3" s="228"/>
      <c r="WE3" s="228"/>
      <c r="WF3" s="228"/>
      <c r="WG3" s="228"/>
      <c r="WH3" s="228"/>
      <c r="WI3" s="228"/>
      <c r="WJ3" s="228"/>
      <c r="WK3" s="228"/>
      <c r="WL3" s="268"/>
      <c r="WM3" s="465" t="s">
        <v>553</v>
      </c>
      <c r="WN3" s="466"/>
      <c r="WO3" s="466"/>
      <c r="WP3" s="467"/>
      <c r="WQ3" s="245" t="s">
        <v>554</v>
      </c>
      <c r="WR3" s="245"/>
      <c r="WS3" s="245"/>
      <c r="WT3" s="245"/>
      <c r="WU3" s="245"/>
      <c r="WV3" s="245"/>
      <c r="WW3" s="245"/>
      <c r="WX3" s="225"/>
      <c r="WY3" s="225"/>
      <c r="WZ3" s="225"/>
      <c r="XA3" s="246"/>
      <c r="XB3" s="246"/>
      <c r="XC3" s="246"/>
      <c r="XD3" s="246"/>
      <c r="XE3" s="225"/>
      <c r="XF3" s="225"/>
      <c r="XG3" s="290"/>
      <c r="XH3" s="266" t="s">
        <v>553</v>
      </c>
      <c r="XI3" s="226"/>
      <c r="XJ3" s="226"/>
      <c r="XK3" s="226"/>
      <c r="XL3" s="227" t="s">
        <v>554</v>
      </c>
      <c r="XM3" s="228"/>
      <c r="XN3" s="228"/>
      <c r="XO3" s="228"/>
      <c r="XP3" s="228"/>
      <c r="XQ3" s="228"/>
      <c r="XR3" s="228"/>
      <c r="XS3" s="228"/>
      <c r="XT3" s="228"/>
      <c r="XU3" s="228"/>
      <c r="XV3" s="228"/>
      <c r="XW3" s="228"/>
      <c r="XX3" s="228"/>
      <c r="XY3" s="228"/>
      <c r="XZ3" s="228"/>
      <c r="YA3" s="228"/>
      <c r="YB3" s="268"/>
    </row>
    <row r="4" spans="1:652" s="44" customFormat="1" ht="85.2" customHeight="1" x14ac:dyDescent="0.3">
      <c r="A4" s="75" t="s">
        <v>84</v>
      </c>
      <c r="B4" s="269" t="s">
        <v>16</v>
      </c>
      <c r="C4" s="232" t="s">
        <v>21</v>
      </c>
      <c r="D4" s="232" t="s">
        <v>17</v>
      </c>
      <c r="E4" s="233" t="s">
        <v>22</v>
      </c>
      <c r="F4" s="236" t="s">
        <v>26</v>
      </c>
      <c r="G4" s="232" t="s">
        <v>555</v>
      </c>
      <c r="H4" s="232" t="s">
        <v>16</v>
      </c>
      <c r="I4" s="232" t="s">
        <v>556</v>
      </c>
      <c r="J4" s="232" t="s">
        <v>17</v>
      </c>
      <c r="K4" s="232" t="s">
        <v>557</v>
      </c>
      <c r="L4" s="232" t="s">
        <v>558</v>
      </c>
      <c r="M4" s="232" t="s">
        <v>559</v>
      </c>
      <c r="N4" s="232" t="s">
        <v>560</v>
      </c>
      <c r="O4" s="232" t="s">
        <v>561</v>
      </c>
      <c r="P4" s="232" t="s">
        <v>29</v>
      </c>
      <c r="Q4" s="232" t="s">
        <v>562</v>
      </c>
      <c r="R4" s="232" t="s">
        <v>563</v>
      </c>
      <c r="S4" s="232" t="s">
        <v>33</v>
      </c>
      <c r="T4" s="232" t="s">
        <v>564</v>
      </c>
      <c r="U4" s="232" t="s">
        <v>565</v>
      </c>
      <c r="V4" s="258"/>
      <c r="W4" s="273" t="s">
        <v>16</v>
      </c>
      <c r="X4" s="237" t="s">
        <v>21</v>
      </c>
      <c r="Y4" s="237" t="s">
        <v>17</v>
      </c>
      <c r="Z4" s="247" t="s">
        <v>22</v>
      </c>
      <c r="AA4" s="252" t="s">
        <v>26</v>
      </c>
      <c r="AB4" s="237" t="s">
        <v>555</v>
      </c>
      <c r="AC4" s="237" t="s">
        <v>16</v>
      </c>
      <c r="AD4" s="237" t="s">
        <v>556</v>
      </c>
      <c r="AE4" s="237" t="s">
        <v>17</v>
      </c>
      <c r="AF4" s="237" t="s">
        <v>557</v>
      </c>
      <c r="AG4" s="237" t="s">
        <v>558</v>
      </c>
      <c r="AH4" s="237" t="s">
        <v>559</v>
      </c>
      <c r="AI4" s="237" t="s">
        <v>560</v>
      </c>
      <c r="AJ4" s="237" t="s">
        <v>561</v>
      </c>
      <c r="AK4" s="237" t="s">
        <v>29</v>
      </c>
      <c r="AL4" s="237" t="s">
        <v>562</v>
      </c>
      <c r="AM4" s="237" t="s">
        <v>563</v>
      </c>
      <c r="AN4" s="237" t="s">
        <v>33</v>
      </c>
      <c r="AO4" s="237" t="s">
        <v>564</v>
      </c>
      <c r="AP4" s="237" t="s">
        <v>565</v>
      </c>
      <c r="AQ4" s="274"/>
      <c r="AR4" s="269" t="s">
        <v>16</v>
      </c>
      <c r="AS4" s="232" t="s">
        <v>21</v>
      </c>
      <c r="AT4" s="232" t="s">
        <v>17</v>
      </c>
      <c r="AU4" s="233" t="s">
        <v>22</v>
      </c>
      <c r="AV4" s="236" t="s">
        <v>26</v>
      </c>
      <c r="AW4" s="232" t="s">
        <v>555</v>
      </c>
      <c r="AX4" s="232" t="s">
        <v>16</v>
      </c>
      <c r="AY4" s="232" t="s">
        <v>556</v>
      </c>
      <c r="AZ4" s="232" t="s">
        <v>17</v>
      </c>
      <c r="BA4" s="232" t="s">
        <v>557</v>
      </c>
      <c r="BB4" s="232" t="s">
        <v>558</v>
      </c>
      <c r="BC4" s="232" t="s">
        <v>559</v>
      </c>
      <c r="BD4" s="232" t="s">
        <v>560</v>
      </c>
      <c r="BE4" s="232" t="s">
        <v>561</v>
      </c>
      <c r="BF4" s="232" t="s">
        <v>29</v>
      </c>
      <c r="BG4" s="232" t="s">
        <v>562</v>
      </c>
      <c r="BH4" s="232" t="s">
        <v>563</v>
      </c>
      <c r="BI4" s="232" t="s">
        <v>33</v>
      </c>
      <c r="BJ4" s="232" t="s">
        <v>564</v>
      </c>
      <c r="BK4" s="232" t="s">
        <v>565</v>
      </c>
      <c r="BL4" s="258"/>
      <c r="BM4" s="273" t="s">
        <v>16</v>
      </c>
      <c r="BN4" s="237" t="s">
        <v>21</v>
      </c>
      <c r="BO4" s="237" t="s">
        <v>17</v>
      </c>
      <c r="BP4" s="247" t="s">
        <v>22</v>
      </c>
      <c r="BQ4" s="104" t="s">
        <v>26</v>
      </c>
      <c r="BR4" s="237" t="s">
        <v>555</v>
      </c>
      <c r="BS4" s="105" t="s">
        <v>16</v>
      </c>
      <c r="BT4" s="105" t="s">
        <v>556</v>
      </c>
      <c r="BU4" s="104" t="s">
        <v>17</v>
      </c>
      <c r="BV4" s="257" t="s">
        <v>557</v>
      </c>
      <c r="BW4" s="237" t="s">
        <v>558</v>
      </c>
      <c r="BX4" s="105" t="s">
        <v>559</v>
      </c>
      <c r="BY4" s="105" t="s">
        <v>560</v>
      </c>
      <c r="BZ4" s="105" t="s">
        <v>561</v>
      </c>
      <c r="CA4" s="104" t="s">
        <v>29</v>
      </c>
      <c r="CB4" s="237" t="s">
        <v>562</v>
      </c>
      <c r="CC4" s="237" t="s">
        <v>563</v>
      </c>
      <c r="CD4" s="237" t="s">
        <v>33</v>
      </c>
      <c r="CE4" s="237" t="s">
        <v>564</v>
      </c>
      <c r="CF4" s="237" t="s">
        <v>565</v>
      </c>
      <c r="CG4" s="274"/>
      <c r="CH4" s="269" t="s">
        <v>16</v>
      </c>
      <c r="CI4" s="232" t="s">
        <v>21</v>
      </c>
      <c r="CJ4" s="232" t="s">
        <v>17</v>
      </c>
      <c r="CK4" s="233" t="s">
        <v>22</v>
      </c>
      <c r="CL4" s="101" t="s">
        <v>26</v>
      </c>
      <c r="CM4" s="232" t="s">
        <v>555</v>
      </c>
      <c r="CN4" s="102" t="s">
        <v>16</v>
      </c>
      <c r="CO4" s="102" t="s">
        <v>556</v>
      </c>
      <c r="CP4" s="101" t="s">
        <v>17</v>
      </c>
      <c r="CQ4" s="232" t="s">
        <v>557</v>
      </c>
      <c r="CR4" s="102" t="s">
        <v>558</v>
      </c>
      <c r="CS4" s="102" t="s">
        <v>559</v>
      </c>
      <c r="CT4" s="102" t="s">
        <v>560</v>
      </c>
      <c r="CU4" s="232" t="s">
        <v>561</v>
      </c>
      <c r="CV4" s="101" t="s">
        <v>29</v>
      </c>
      <c r="CW4" s="232" t="s">
        <v>562</v>
      </c>
      <c r="CX4" s="232" t="s">
        <v>563</v>
      </c>
      <c r="CY4" s="232" t="s">
        <v>33</v>
      </c>
      <c r="CZ4" s="232" t="s">
        <v>564</v>
      </c>
      <c r="DA4" s="232" t="s">
        <v>565</v>
      </c>
      <c r="DB4" s="258"/>
      <c r="DC4" s="273" t="s">
        <v>16</v>
      </c>
      <c r="DD4" s="237" t="s">
        <v>21</v>
      </c>
      <c r="DE4" s="237" t="s">
        <v>17</v>
      </c>
      <c r="DF4" s="247" t="s">
        <v>22</v>
      </c>
      <c r="DG4" s="104" t="s">
        <v>26</v>
      </c>
      <c r="DH4" s="237" t="s">
        <v>555</v>
      </c>
      <c r="DI4" s="105" t="s">
        <v>16</v>
      </c>
      <c r="DJ4" s="105" t="s">
        <v>556</v>
      </c>
      <c r="DK4" s="104" t="s">
        <v>17</v>
      </c>
      <c r="DL4" s="257" t="s">
        <v>557</v>
      </c>
      <c r="DM4" s="237" t="s">
        <v>558</v>
      </c>
      <c r="DN4" s="105" t="s">
        <v>559</v>
      </c>
      <c r="DO4" s="105" t="s">
        <v>560</v>
      </c>
      <c r="DP4" s="105" t="s">
        <v>561</v>
      </c>
      <c r="DQ4" s="104" t="s">
        <v>29</v>
      </c>
      <c r="DR4" s="237" t="s">
        <v>562</v>
      </c>
      <c r="DS4" s="237" t="s">
        <v>563</v>
      </c>
      <c r="DT4" s="237" t="s">
        <v>33</v>
      </c>
      <c r="DU4" s="237" t="s">
        <v>564</v>
      </c>
      <c r="DV4" s="237" t="s">
        <v>565</v>
      </c>
      <c r="DW4" s="274"/>
      <c r="DX4" s="269" t="s">
        <v>16</v>
      </c>
      <c r="DY4" s="232" t="s">
        <v>21</v>
      </c>
      <c r="DZ4" s="232" t="s">
        <v>17</v>
      </c>
      <c r="EA4" s="233" t="s">
        <v>22</v>
      </c>
      <c r="EB4" s="101" t="s">
        <v>26</v>
      </c>
      <c r="EC4" s="232" t="s">
        <v>555</v>
      </c>
      <c r="ED4" s="102" t="s">
        <v>16</v>
      </c>
      <c r="EE4" s="102" t="s">
        <v>556</v>
      </c>
      <c r="EF4" s="101" t="s">
        <v>17</v>
      </c>
      <c r="EG4" s="232" t="s">
        <v>557</v>
      </c>
      <c r="EH4" s="102" t="s">
        <v>558</v>
      </c>
      <c r="EI4" s="102" t="s">
        <v>559</v>
      </c>
      <c r="EJ4" s="102" t="s">
        <v>560</v>
      </c>
      <c r="EK4" s="232" t="s">
        <v>561</v>
      </c>
      <c r="EL4" s="101" t="s">
        <v>29</v>
      </c>
      <c r="EM4" s="232" t="s">
        <v>562</v>
      </c>
      <c r="EN4" s="232" t="s">
        <v>563</v>
      </c>
      <c r="EO4" s="232" t="s">
        <v>33</v>
      </c>
      <c r="EP4" s="232" t="s">
        <v>564</v>
      </c>
      <c r="EQ4" s="232" t="s">
        <v>565</v>
      </c>
      <c r="ER4" s="258"/>
      <c r="ES4" s="273" t="s">
        <v>16</v>
      </c>
      <c r="ET4" s="237" t="s">
        <v>21</v>
      </c>
      <c r="EU4" s="237" t="s">
        <v>17</v>
      </c>
      <c r="EV4" s="247" t="s">
        <v>22</v>
      </c>
      <c r="EW4" s="104" t="s">
        <v>26</v>
      </c>
      <c r="EX4" s="237" t="s">
        <v>555</v>
      </c>
      <c r="EY4" s="105" t="s">
        <v>16</v>
      </c>
      <c r="EZ4" s="105" t="s">
        <v>556</v>
      </c>
      <c r="FA4" s="104" t="s">
        <v>17</v>
      </c>
      <c r="FB4" s="257" t="s">
        <v>557</v>
      </c>
      <c r="FC4" s="237" t="s">
        <v>558</v>
      </c>
      <c r="FD4" s="105" t="s">
        <v>559</v>
      </c>
      <c r="FE4" s="105" t="s">
        <v>560</v>
      </c>
      <c r="FF4" s="105" t="s">
        <v>561</v>
      </c>
      <c r="FG4" s="104" t="s">
        <v>29</v>
      </c>
      <c r="FH4" s="237" t="s">
        <v>562</v>
      </c>
      <c r="FI4" s="237" t="s">
        <v>563</v>
      </c>
      <c r="FJ4" s="237" t="s">
        <v>33</v>
      </c>
      <c r="FK4" s="237" t="s">
        <v>564</v>
      </c>
      <c r="FL4" s="237" t="s">
        <v>565</v>
      </c>
      <c r="FM4" s="274"/>
      <c r="FN4" s="269" t="s">
        <v>16</v>
      </c>
      <c r="FO4" s="232" t="s">
        <v>21</v>
      </c>
      <c r="FP4" s="232" t="s">
        <v>17</v>
      </c>
      <c r="FQ4" s="233" t="s">
        <v>22</v>
      </c>
      <c r="FR4" s="101" t="s">
        <v>26</v>
      </c>
      <c r="FS4" s="232" t="s">
        <v>555</v>
      </c>
      <c r="FT4" s="102" t="s">
        <v>16</v>
      </c>
      <c r="FU4" s="102" t="s">
        <v>556</v>
      </c>
      <c r="FV4" s="101" t="s">
        <v>17</v>
      </c>
      <c r="FW4" s="232" t="s">
        <v>557</v>
      </c>
      <c r="FX4" s="102" t="s">
        <v>558</v>
      </c>
      <c r="FY4" s="102" t="s">
        <v>559</v>
      </c>
      <c r="FZ4" s="102" t="s">
        <v>560</v>
      </c>
      <c r="GA4" s="232" t="s">
        <v>561</v>
      </c>
      <c r="GB4" s="101" t="s">
        <v>29</v>
      </c>
      <c r="GC4" s="232" t="s">
        <v>562</v>
      </c>
      <c r="GD4" s="232" t="s">
        <v>563</v>
      </c>
      <c r="GE4" s="232" t="s">
        <v>33</v>
      </c>
      <c r="GF4" s="232" t="s">
        <v>564</v>
      </c>
      <c r="GG4" s="232" t="s">
        <v>565</v>
      </c>
      <c r="GH4" s="258"/>
      <c r="GI4" s="273" t="s">
        <v>16</v>
      </c>
      <c r="GJ4" s="237" t="s">
        <v>21</v>
      </c>
      <c r="GK4" s="237" t="s">
        <v>17</v>
      </c>
      <c r="GL4" s="247" t="s">
        <v>22</v>
      </c>
      <c r="GM4" s="104" t="s">
        <v>26</v>
      </c>
      <c r="GN4" s="237" t="s">
        <v>555</v>
      </c>
      <c r="GO4" s="105" t="s">
        <v>16</v>
      </c>
      <c r="GP4" s="105" t="s">
        <v>556</v>
      </c>
      <c r="GQ4" s="104" t="s">
        <v>17</v>
      </c>
      <c r="GR4" s="257" t="s">
        <v>557</v>
      </c>
      <c r="GS4" s="237" t="s">
        <v>558</v>
      </c>
      <c r="GT4" s="105" t="s">
        <v>559</v>
      </c>
      <c r="GU4" s="105" t="s">
        <v>560</v>
      </c>
      <c r="GV4" s="105" t="s">
        <v>561</v>
      </c>
      <c r="GW4" s="104" t="s">
        <v>29</v>
      </c>
      <c r="GX4" s="237" t="s">
        <v>562</v>
      </c>
      <c r="GY4" s="237" t="s">
        <v>563</v>
      </c>
      <c r="GZ4" s="237" t="s">
        <v>33</v>
      </c>
      <c r="HA4" s="237" t="s">
        <v>564</v>
      </c>
      <c r="HB4" s="237" t="s">
        <v>565</v>
      </c>
      <c r="HC4" s="274"/>
      <c r="HD4" s="269" t="s">
        <v>16</v>
      </c>
      <c r="HE4" s="232" t="s">
        <v>21</v>
      </c>
      <c r="HF4" s="232" t="s">
        <v>17</v>
      </c>
      <c r="HG4" s="233" t="s">
        <v>22</v>
      </c>
      <c r="HH4" s="101" t="s">
        <v>26</v>
      </c>
      <c r="HI4" s="232" t="s">
        <v>555</v>
      </c>
      <c r="HJ4" s="102" t="s">
        <v>16</v>
      </c>
      <c r="HK4" s="102" t="s">
        <v>556</v>
      </c>
      <c r="HL4" s="101" t="s">
        <v>17</v>
      </c>
      <c r="HM4" s="232" t="s">
        <v>557</v>
      </c>
      <c r="HN4" s="102" t="s">
        <v>558</v>
      </c>
      <c r="HO4" s="102" t="s">
        <v>559</v>
      </c>
      <c r="HP4" s="102" t="s">
        <v>560</v>
      </c>
      <c r="HQ4" s="232" t="s">
        <v>561</v>
      </c>
      <c r="HR4" s="101" t="s">
        <v>29</v>
      </c>
      <c r="HS4" s="232" t="s">
        <v>562</v>
      </c>
      <c r="HT4" s="232" t="s">
        <v>563</v>
      </c>
      <c r="HU4" s="232" t="s">
        <v>33</v>
      </c>
      <c r="HV4" s="232" t="s">
        <v>564</v>
      </c>
      <c r="HW4" s="232" t="s">
        <v>565</v>
      </c>
      <c r="HX4" s="258"/>
      <c r="HY4" s="273" t="s">
        <v>16</v>
      </c>
      <c r="HZ4" s="237" t="s">
        <v>21</v>
      </c>
      <c r="IA4" s="237" t="s">
        <v>17</v>
      </c>
      <c r="IB4" s="247" t="s">
        <v>22</v>
      </c>
      <c r="IC4" s="104" t="s">
        <v>26</v>
      </c>
      <c r="ID4" s="237" t="s">
        <v>555</v>
      </c>
      <c r="IE4" s="105" t="s">
        <v>16</v>
      </c>
      <c r="IF4" s="105" t="s">
        <v>556</v>
      </c>
      <c r="IG4" s="104" t="s">
        <v>17</v>
      </c>
      <c r="IH4" s="257" t="s">
        <v>557</v>
      </c>
      <c r="II4" s="105" t="s">
        <v>558</v>
      </c>
      <c r="IJ4" s="105" t="s">
        <v>559</v>
      </c>
      <c r="IK4" s="105" t="s">
        <v>560</v>
      </c>
      <c r="IL4" s="105" t="s">
        <v>561</v>
      </c>
      <c r="IM4" s="104" t="s">
        <v>29</v>
      </c>
      <c r="IN4" s="237" t="s">
        <v>562</v>
      </c>
      <c r="IO4" s="237" t="s">
        <v>563</v>
      </c>
      <c r="IP4" s="237" t="s">
        <v>33</v>
      </c>
      <c r="IQ4" s="237" t="s">
        <v>564</v>
      </c>
      <c r="IR4" s="237" t="s">
        <v>565</v>
      </c>
      <c r="IS4" s="274"/>
      <c r="IT4" s="269" t="s">
        <v>16</v>
      </c>
      <c r="IU4" s="232" t="s">
        <v>21</v>
      </c>
      <c r="IV4" s="232" t="s">
        <v>17</v>
      </c>
      <c r="IW4" s="233" t="s">
        <v>22</v>
      </c>
      <c r="IX4" s="101" t="s">
        <v>26</v>
      </c>
      <c r="IY4" s="232" t="s">
        <v>555</v>
      </c>
      <c r="IZ4" s="102" t="s">
        <v>16</v>
      </c>
      <c r="JA4" s="102" t="s">
        <v>556</v>
      </c>
      <c r="JB4" s="101" t="s">
        <v>17</v>
      </c>
      <c r="JC4" s="232" t="s">
        <v>557</v>
      </c>
      <c r="JD4" s="102" t="s">
        <v>558</v>
      </c>
      <c r="JE4" s="102" t="s">
        <v>559</v>
      </c>
      <c r="JF4" s="102" t="s">
        <v>560</v>
      </c>
      <c r="JG4" s="102" t="s">
        <v>561</v>
      </c>
      <c r="JH4" s="101" t="s">
        <v>29</v>
      </c>
      <c r="JI4" s="232" t="s">
        <v>562</v>
      </c>
      <c r="JJ4" s="232" t="s">
        <v>563</v>
      </c>
      <c r="JK4" s="232" t="s">
        <v>33</v>
      </c>
      <c r="JL4" s="232" t="s">
        <v>564</v>
      </c>
      <c r="JM4" s="232" t="s">
        <v>565</v>
      </c>
      <c r="JN4" s="258"/>
      <c r="JO4" s="273" t="s">
        <v>16</v>
      </c>
      <c r="JP4" s="237" t="s">
        <v>21</v>
      </c>
      <c r="JQ4" s="237" t="s">
        <v>17</v>
      </c>
      <c r="JR4" s="247" t="s">
        <v>22</v>
      </c>
      <c r="JS4" s="104" t="s">
        <v>26</v>
      </c>
      <c r="JT4" s="237" t="s">
        <v>555</v>
      </c>
      <c r="JU4" s="105" t="s">
        <v>16</v>
      </c>
      <c r="JV4" s="105" t="s">
        <v>556</v>
      </c>
      <c r="JW4" s="104" t="s">
        <v>17</v>
      </c>
      <c r="JX4" s="257" t="s">
        <v>557</v>
      </c>
      <c r="JY4" s="105" t="s">
        <v>558</v>
      </c>
      <c r="JZ4" s="105" t="s">
        <v>559</v>
      </c>
      <c r="KA4" s="105" t="s">
        <v>560</v>
      </c>
      <c r="KB4" s="105" t="s">
        <v>561</v>
      </c>
      <c r="KC4" s="104" t="s">
        <v>29</v>
      </c>
      <c r="KD4" s="237" t="s">
        <v>562</v>
      </c>
      <c r="KE4" s="237" t="s">
        <v>563</v>
      </c>
      <c r="KF4" s="237" t="s">
        <v>33</v>
      </c>
      <c r="KG4" s="237" t="s">
        <v>564</v>
      </c>
      <c r="KH4" s="237" t="s">
        <v>565</v>
      </c>
      <c r="KI4" s="274"/>
      <c r="KJ4" s="269" t="s">
        <v>16</v>
      </c>
      <c r="KK4" s="232" t="s">
        <v>21</v>
      </c>
      <c r="KL4" s="232" t="s">
        <v>17</v>
      </c>
      <c r="KM4" s="233" t="s">
        <v>22</v>
      </c>
      <c r="KN4" s="101" t="s">
        <v>26</v>
      </c>
      <c r="KO4" s="232" t="s">
        <v>555</v>
      </c>
      <c r="KP4" s="102" t="s">
        <v>16</v>
      </c>
      <c r="KQ4" s="102" t="s">
        <v>556</v>
      </c>
      <c r="KR4" s="101" t="s">
        <v>17</v>
      </c>
      <c r="KS4" s="232" t="s">
        <v>557</v>
      </c>
      <c r="KT4" s="102" t="s">
        <v>558</v>
      </c>
      <c r="KU4" s="102" t="s">
        <v>559</v>
      </c>
      <c r="KV4" s="102" t="s">
        <v>560</v>
      </c>
      <c r="KW4" s="102" t="s">
        <v>561</v>
      </c>
      <c r="KX4" s="101" t="s">
        <v>29</v>
      </c>
      <c r="KY4" s="232" t="s">
        <v>562</v>
      </c>
      <c r="KZ4" s="232" t="s">
        <v>563</v>
      </c>
      <c r="LA4" s="232" t="s">
        <v>33</v>
      </c>
      <c r="LB4" s="232" t="s">
        <v>564</v>
      </c>
      <c r="LC4" s="232" t="s">
        <v>565</v>
      </c>
      <c r="LD4" s="258"/>
      <c r="LE4" s="273" t="s">
        <v>16</v>
      </c>
      <c r="LF4" s="237" t="s">
        <v>21</v>
      </c>
      <c r="LG4" s="237" t="s">
        <v>17</v>
      </c>
      <c r="LH4" s="247" t="s">
        <v>22</v>
      </c>
      <c r="LI4" s="104" t="s">
        <v>26</v>
      </c>
      <c r="LJ4" s="237" t="s">
        <v>555</v>
      </c>
      <c r="LK4" s="105" t="s">
        <v>16</v>
      </c>
      <c r="LL4" s="105" t="s">
        <v>556</v>
      </c>
      <c r="LM4" s="104" t="s">
        <v>17</v>
      </c>
      <c r="LN4" s="257" t="s">
        <v>557</v>
      </c>
      <c r="LO4" s="105" t="s">
        <v>558</v>
      </c>
      <c r="LP4" s="105" t="s">
        <v>559</v>
      </c>
      <c r="LQ4" s="105" t="s">
        <v>560</v>
      </c>
      <c r="LR4" s="105" t="s">
        <v>561</v>
      </c>
      <c r="LS4" s="104" t="s">
        <v>29</v>
      </c>
      <c r="LT4" s="237" t="s">
        <v>562</v>
      </c>
      <c r="LU4" s="237" t="s">
        <v>563</v>
      </c>
      <c r="LV4" s="237" t="s">
        <v>33</v>
      </c>
      <c r="LW4" s="237" t="s">
        <v>564</v>
      </c>
      <c r="LX4" s="237" t="s">
        <v>565</v>
      </c>
      <c r="LY4" s="274"/>
      <c r="LZ4" s="269" t="s">
        <v>16</v>
      </c>
      <c r="MA4" s="232" t="s">
        <v>21</v>
      </c>
      <c r="MB4" s="232" t="s">
        <v>17</v>
      </c>
      <c r="MC4" s="233" t="s">
        <v>22</v>
      </c>
      <c r="MD4" s="101" t="s">
        <v>26</v>
      </c>
      <c r="ME4" s="232" t="s">
        <v>555</v>
      </c>
      <c r="MF4" s="102" t="s">
        <v>16</v>
      </c>
      <c r="MG4" s="102" t="s">
        <v>556</v>
      </c>
      <c r="MH4" s="101" t="s">
        <v>17</v>
      </c>
      <c r="MI4" s="232" t="s">
        <v>557</v>
      </c>
      <c r="MJ4" s="102" t="s">
        <v>558</v>
      </c>
      <c r="MK4" s="102" t="s">
        <v>559</v>
      </c>
      <c r="ML4" s="103" t="s">
        <v>560</v>
      </c>
      <c r="MM4" s="232" t="s">
        <v>561</v>
      </c>
      <c r="MN4" s="101" t="s">
        <v>29</v>
      </c>
      <c r="MO4" s="232" t="s">
        <v>562</v>
      </c>
      <c r="MP4" s="232" t="s">
        <v>563</v>
      </c>
      <c r="MQ4" s="232" t="s">
        <v>33</v>
      </c>
      <c r="MR4" s="232" t="s">
        <v>564</v>
      </c>
      <c r="MS4" s="232" t="s">
        <v>565</v>
      </c>
      <c r="MT4" s="258"/>
      <c r="MU4" s="273" t="s">
        <v>16</v>
      </c>
      <c r="MV4" s="237" t="s">
        <v>21</v>
      </c>
      <c r="MW4" s="237" t="s">
        <v>17</v>
      </c>
      <c r="MX4" s="247" t="s">
        <v>22</v>
      </c>
      <c r="MY4" s="104" t="s">
        <v>26</v>
      </c>
      <c r="MZ4" s="237" t="s">
        <v>555</v>
      </c>
      <c r="NA4" s="105" t="s">
        <v>16</v>
      </c>
      <c r="NB4" s="105" t="s">
        <v>556</v>
      </c>
      <c r="NC4" s="104" t="s">
        <v>17</v>
      </c>
      <c r="ND4" s="257" t="s">
        <v>557</v>
      </c>
      <c r="NE4" s="105" t="s">
        <v>558</v>
      </c>
      <c r="NF4" s="105" t="s">
        <v>559</v>
      </c>
      <c r="NG4" s="257" t="s">
        <v>560</v>
      </c>
      <c r="NH4" s="105" t="s">
        <v>561</v>
      </c>
      <c r="NI4" s="104" t="s">
        <v>29</v>
      </c>
      <c r="NJ4" s="237" t="s">
        <v>562</v>
      </c>
      <c r="NK4" s="237" t="s">
        <v>563</v>
      </c>
      <c r="NL4" s="237" t="s">
        <v>33</v>
      </c>
      <c r="NM4" s="237" t="s">
        <v>564</v>
      </c>
      <c r="NN4" s="237" t="s">
        <v>565</v>
      </c>
      <c r="NO4" s="274"/>
      <c r="NP4" s="269" t="s">
        <v>16</v>
      </c>
      <c r="NQ4" s="232" t="s">
        <v>21</v>
      </c>
      <c r="NR4" s="232" t="s">
        <v>17</v>
      </c>
      <c r="NS4" s="233" t="s">
        <v>22</v>
      </c>
      <c r="NT4" s="101" t="s">
        <v>26</v>
      </c>
      <c r="NU4" s="232" t="s">
        <v>555</v>
      </c>
      <c r="NV4" s="102" t="s">
        <v>16</v>
      </c>
      <c r="NW4" s="102" t="s">
        <v>556</v>
      </c>
      <c r="NX4" s="101" t="s">
        <v>17</v>
      </c>
      <c r="NY4" s="232" t="s">
        <v>557</v>
      </c>
      <c r="NZ4" s="102" t="s">
        <v>558</v>
      </c>
      <c r="OA4" s="102" t="s">
        <v>559</v>
      </c>
      <c r="OB4" s="102" t="s">
        <v>560</v>
      </c>
      <c r="OC4" s="102" t="s">
        <v>561</v>
      </c>
      <c r="OD4" s="101" t="s">
        <v>29</v>
      </c>
      <c r="OE4" s="232" t="s">
        <v>562</v>
      </c>
      <c r="OF4" s="232" t="s">
        <v>563</v>
      </c>
      <c r="OG4" s="232" t="s">
        <v>33</v>
      </c>
      <c r="OH4" s="232" t="s">
        <v>564</v>
      </c>
      <c r="OI4" s="232" t="s">
        <v>565</v>
      </c>
      <c r="OJ4" s="258"/>
      <c r="OK4" s="273" t="s">
        <v>16</v>
      </c>
      <c r="OL4" s="237" t="s">
        <v>21</v>
      </c>
      <c r="OM4" s="237" t="s">
        <v>17</v>
      </c>
      <c r="ON4" s="247" t="s">
        <v>22</v>
      </c>
      <c r="OO4" s="104" t="s">
        <v>26</v>
      </c>
      <c r="OP4" s="237" t="s">
        <v>555</v>
      </c>
      <c r="OQ4" s="105" t="s">
        <v>16</v>
      </c>
      <c r="OR4" s="105" t="s">
        <v>556</v>
      </c>
      <c r="OS4" s="104" t="s">
        <v>17</v>
      </c>
      <c r="OT4" s="257" t="s">
        <v>557</v>
      </c>
      <c r="OU4" s="105" t="s">
        <v>558</v>
      </c>
      <c r="OV4" s="105" t="s">
        <v>559</v>
      </c>
      <c r="OW4" s="105" t="s">
        <v>560</v>
      </c>
      <c r="OX4" s="105" t="s">
        <v>561</v>
      </c>
      <c r="OY4" s="104" t="s">
        <v>29</v>
      </c>
      <c r="OZ4" s="237" t="s">
        <v>562</v>
      </c>
      <c r="PA4" s="237" t="s">
        <v>563</v>
      </c>
      <c r="PB4" s="237" t="s">
        <v>33</v>
      </c>
      <c r="PC4" s="237" t="s">
        <v>564</v>
      </c>
      <c r="PD4" s="237" t="s">
        <v>565</v>
      </c>
      <c r="PE4" s="274"/>
      <c r="PF4" s="269" t="s">
        <v>16</v>
      </c>
      <c r="PG4" s="232" t="s">
        <v>21</v>
      </c>
      <c r="PH4" s="232" t="s">
        <v>17</v>
      </c>
      <c r="PI4" s="233" t="s">
        <v>22</v>
      </c>
      <c r="PJ4" s="101" t="s">
        <v>26</v>
      </c>
      <c r="PK4" s="232" t="s">
        <v>555</v>
      </c>
      <c r="PL4" s="102" t="s">
        <v>16</v>
      </c>
      <c r="PM4" s="102" t="s">
        <v>556</v>
      </c>
      <c r="PN4" s="101" t="s">
        <v>17</v>
      </c>
      <c r="PO4" s="232" t="s">
        <v>557</v>
      </c>
      <c r="PP4" s="102" t="s">
        <v>558</v>
      </c>
      <c r="PQ4" s="102" t="s">
        <v>559</v>
      </c>
      <c r="PR4" s="102" t="s">
        <v>560</v>
      </c>
      <c r="PS4" s="102" t="s">
        <v>561</v>
      </c>
      <c r="PT4" s="101" t="s">
        <v>29</v>
      </c>
      <c r="PU4" s="232" t="s">
        <v>562</v>
      </c>
      <c r="PV4" s="232" t="s">
        <v>563</v>
      </c>
      <c r="PW4" s="232" t="s">
        <v>33</v>
      </c>
      <c r="PX4" s="232" t="s">
        <v>564</v>
      </c>
      <c r="PY4" s="232" t="s">
        <v>565</v>
      </c>
      <c r="PZ4" s="258"/>
      <c r="QA4" s="273" t="s">
        <v>16</v>
      </c>
      <c r="QB4" s="237" t="s">
        <v>21</v>
      </c>
      <c r="QC4" s="237" t="s">
        <v>17</v>
      </c>
      <c r="QD4" s="247" t="s">
        <v>22</v>
      </c>
      <c r="QE4" s="104" t="s">
        <v>26</v>
      </c>
      <c r="QF4" s="237" t="s">
        <v>555</v>
      </c>
      <c r="QG4" s="105" t="s">
        <v>16</v>
      </c>
      <c r="QH4" s="105" t="s">
        <v>556</v>
      </c>
      <c r="QI4" s="104" t="s">
        <v>17</v>
      </c>
      <c r="QJ4" s="257" t="s">
        <v>557</v>
      </c>
      <c r="QK4" s="105" t="s">
        <v>558</v>
      </c>
      <c r="QL4" s="105" t="s">
        <v>559</v>
      </c>
      <c r="QM4" s="105" t="s">
        <v>560</v>
      </c>
      <c r="QN4" s="105" t="s">
        <v>561</v>
      </c>
      <c r="QO4" s="104" t="s">
        <v>29</v>
      </c>
      <c r="QP4" s="237" t="s">
        <v>562</v>
      </c>
      <c r="QQ4" s="237" t="s">
        <v>563</v>
      </c>
      <c r="QR4" s="237" t="s">
        <v>33</v>
      </c>
      <c r="QS4" s="237" t="s">
        <v>564</v>
      </c>
      <c r="QT4" s="237" t="s">
        <v>565</v>
      </c>
      <c r="QU4" s="274"/>
      <c r="QV4" s="269" t="s">
        <v>16</v>
      </c>
      <c r="QW4" s="232" t="s">
        <v>21</v>
      </c>
      <c r="QX4" s="232" t="s">
        <v>17</v>
      </c>
      <c r="QY4" s="233" t="s">
        <v>22</v>
      </c>
      <c r="QZ4" s="101" t="s">
        <v>26</v>
      </c>
      <c r="RA4" s="232" t="s">
        <v>555</v>
      </c>
      <c r="RB4" s="102" t="s">
        <v>16</v>
      </c>
      <c r="RC4" s="102" t="s">
        <v>556</v>
      </c>
      <c r="RD4" s="101" t="s">
        <v>17</v>
      </c>
      <c r="RE4" s="232" t="s">
        <v>557</v>
      </c>
      <c r="RF4" s="102" t="s">
        <v>558</v>
      </c>
      <c r="RG4" s="102" t="s">
        <v>559</v>
      </c>
      <c r="RH4" s="102" t="s">
        <v>560</v>
      </c>
      <c r="RI4" s="102" t="s">
        <v>561</v>
      </c>
      <c r="RJ4" s="101" t="s">
        <v>29</v>
      </c>
      <c r="RK4" s="232" t="s">
        <v>562</v>
      </c>
      <c r="RL4" s="232" t="s">
        <v>563</v>
      </c>
      <c r="RM4" s="232" t="s">
        <v>33</v>
      </c>
      <c r="RN4" s="232" t="s">
        <v>564</v>
      </c>
      <c r="RO4" s="232" t="s">
        <v>565</v>
      </c>
      <c r="RP4" s="258"/>
      <c r="RQ4" s="273" t="s">
        <v>16</v>
      </c>
      <c r="RR4" s="237" t="s">
        <v>21</v>
      </c>
      <c r="RS4" s="237" t="s">
        <v>17</v>
      </c>
      <c r="RT4" s="247" t="s">
        <v>22</v>
      </c>
      <c r="RU4" s="104" t="s">
        <v>26</v>
      </c>
      <c r="RV4" s="237" t="s">
        <v>555</v>
      </c>
      <c r="RW4" s="105" t="s">
        <v>16</v>
      </c>
      <c r="RX4" s="105" t="s">
        <v>556</v>
      </c>
      <c r="RY4" s="104" t="s">
        <v>17</v>
      </c>
      <c r="RZ4" s="257" t="s">
        <v>557</v>
      </c>
      <c r="SA4" s="105" t="s">
        <v>558</v>
      </c>
      <c r="SB4" s="105" t="s">
        <v>559</v>
      </c>
      <c r="SC4" s="105" t="s">
        <v>560</v>
      </c>
      <c r="SD4" s="105" t="s">
        <v>561</v>
      </c>
      <c r="SE4" s="104" t="s">
        <v>29</v>
      </c>
      <c r="SF4" s="237" t="s">
        <v>562</v>
      </c>
      <c r="SG4" s="237" t="s">
        <v>563</v>
      </c>
      <c r="SH4" s="237" t="s">
        <v>33</v>
      </c>
      <c r="SI4" s="237" t="s">
        <v>564</v>
      </c>
      <c r="SJ4" s="237" t="s">
        <v>565</v>
      </c>
      <c r="SK4" s="274"/>
      <c r="SL4" s="269" t="s">
        <v>16</v>
      </c>
      <c r="SM4" s="232" t="s">
        <v>21</v>
      </c>
      <c r="SN4" s="232" t="s">
        <v>17</v>
      </c>
      <c r="SO4" s="233" t="s">
        <v>22</v>
      </c>
      <c r="SP4" s="101" t="s">
        <v>26</v>
      </c>
      <c r="SQ4" s="232" t="s">
        <v>555</v>
      </c>
      <c r="SR4" s="102" t="s">
        <v>16</v>
      </c>
      <c r="SS4" s="102" t="s">
        <v>556</v>
      </c>
      <c r="ST4" s="101" t="s">
        <v>17</v>
      </c>
      <c r="SU4" s="232" t="s">
        <v>557</v>
      </c>
      <c r="SV4" s="102" t="s">
        <v>558</v>
      </c>
      <c r="SW4" s="102" t="s">
        <v>559</v>
      </c>
      <c r="SX4" s="102" t="s">
        <v>560</v>
      </c>
      <c r="SY4" s="102" t="s">
        <v>561</v>
      </c>
      <c r="SZ4" s="101" t="s">
        <v>29</v>
      </c>
      <c r="TA4" s="232" t="s">
        <v>562</v>
      </c>
      <c r="TB4" s="232" t="s">
        <v>563</v>
      </c>
      <c r="TC4" s="232" t="s">
        <v>33</v>
      </c>
      <c r="TD4" s="232" t="s">
        <v>564</v>
      </c>
      <c r="TE4" s="232" t="s">
        <v>565</v>
      </c>
      <c r="TF4" s="258"/>
      <c r="TG4" s="273" t="s">
        <v>16</v>
      </c>
      <c r="TH4" s="237" t="s">
        <v>21</v>
      </c>
      <c r="TI4" s="237" t="s">
        <v>17</v>
      </c>
      <c r="TJ4" s="247" t="s">
        <v>22</v>
      </c>
      <c r="TK4" s="104" t="s">
        <v>26</v>
      </c>
      <c r="TL4" s="237" t="s">
        <v>555</v>
      </c>
      <c r="TM4" s="105" t="s">
        <v>16</v>
      </c>
      <c r="TN4" s="105" t="s">
        <v>556</v>
      </c>
      <c r="TO4" s="104" t="s">
        <v>17</v>
      </c>
      <c r="TP4" s="257" t="s">
        <v>557</v>
      </c>
      <c r="TQ4" s="105" t="s">
        <v>558</v>
      </c>
      <c r="TR4" s="105" t="s">
        <v>559</v>
      </c>
      <c r="TS4" s="105" t="s">
        <v>560</v>
      </c>
      <c r="TT4" s="105" t="s">
        <v>561</v>
      </c>
      <c r="TU4" s="104" t="s">
        <v>29</v>
      </c>
      <c r="TV4" s="237" t="s">
        <v>562</v>
      </c>
      <c r="TW4" s="237" t="s">
        <v>563</v>
      </c>
      <c r="TX4" s="237" t="s">
        <v>33</v>
      </c>
      <c r="TY4" s="237" t="s">
        <v>564</v>
      </c>
      <c r="TZ4" s="237" t="s">
        <v>565</v>
      </c>
      <c r="UA4" s="274"/>
      <c r="UB4" s="269" t="s">
        <v>16</v>
      </c>
      <c r="UC4" s="232" t="s">
        <v>21</v>
      </c>
      <c r="UD4" s="232" t="s">
        <v>17</v>
      </c>
      <c r="UE4" s="233" t="s">
        <v>22</v>
      </c>
      <c r="UF4" s="101" t="s">
        <v>26</v>
      </c>
      <c r="UG4" s="232" t="s">
        <v>555</v>
      </c>
      <c r="UH4" s="102" t="s">
        <v>16</v>
      </c>
      <c r="UI4" s="102" t="s">
        <v>556</v>
      </c>
      <c r="UJ4" s="101" t="s">
        <v>17</v>
      </c>
      <c r="UK4" s="232" t="s">
        <v>557</v>
      </c>
      <c r="UL4" s="102" t="s">
        <v>558</v>
      </c>
      <c r="UM4" s="102" t="s">
        <v>559</v>
      </c>
      <c r="UN4" s="102" t="s">
        <v>560</v>
      </c>
      <c r="UO4" s="102" t="s">
        <v>561</v>
      </c>
      <c r="UP4" s="101" t="s">
        <v>29</v>
      </c>
      <c r="UQ4" s="232" t="s">
        <v>562</v>
      </c>
      <c r="UR4" s="232" t="s">
        <v>563</v>
      </c>
      <c r="US4" s="232" t="s">
        <v>33</v>
      </c>
      <c r="UT4" s="232" t="s">
        <v>564</v>
      </c>
      <c r="UU4" s="232" t="s">
        <v>565</v>
      </c>
      <c r="UV4" s="258"/>
      <c r="UW4" s="273" t="s">
        <v>16</v>
      </c>
      <c r="UX4" s="237" t="s">
        <v>21</v>
      </c>
      <c r="UY4" s="237" t="s">
        <v>17</v>
      </c>
      <c r="UZ4" s="247" t="s">
        <v>22</v>
      </c>
      <c r="VA4" s="104" t="s">
        <v>26</v>
      </c>
      <c r="VB4" s="237" t="s">
        <v>555</v>
      </c>
      <c r="VC4" s="105" t="s">
        <v>16</v>
      </c>
      <c r="VD4" s="105" t="s">
        <v>556</v>
      </c>
      <c r="VE4" s="104" t="s">
        <v>17</v>
      </c>
      <c r="VF4" s="257" t="s">
        <v>557</v>
      </c>
      <c r="VG4" s="105" t="s">
        <v>558</v>
      </c>
      <c r="VH4" s="105" t="s">
        <v>559</v>
      </c>
      <c r="VI4" s="105" t="s">
        <v>560</v>
      </c>
      <c r="VJ4" s="105" t="s">
        <v>561</v>
      </c>
      <c r="VK4" s="104" t="s">
        <v>29</v>
      </c>
      <c r="VL4" s="237" t="s">
        <v>562</v>
      </c>
      <c r="VM4" s="237" t="s">
        <v>563</v>
      </c>
      <c r="VN4" s="237" t="s">
        <v>33</v>
      </c>
      <c r="VO4" s="237" t="s">
        <v>564</v>
      </c>
      <c r="VP4" s="237" t="s">
        <v>565</v>
      </c>
      <c r="VQ4" s="274"/>
      <c r="VR4" s="269" t="s">
        <v>16</v>
      </c>
      <c r="VS4" s="232" t="s">
        <v>21</v>
      </c>
      <c r="VT4" s="232" t="s">
        <v>17</v>
      </c>
      <c r="VU4" s="233" t="s">
        <v>22</v>
      </c>
      <c r="VV4" s="101" t="s">
        <v>26</v>
      </c>
      <c r="VW4" s="232" t="s">
        <v>555</v>
      </c>
      <c r="VX4" s="102" t="s">
        <v>16</v>
      </c>
      <c r="VY4" s="102" t="s">
        <v>556</v>
      </c>
      <c r="VZ4" s="101" t="s">
        <v>17</v>
      </c>
      <c r="WA4" s="232" t="s">
        <v>557</v>
      </c>
      <c r="WB4" s="102" t="s">
        <v>558</v>
      </c>
      <c r="WC4" s="102" t="s">
        <v>559</v>
      </c>
      <c r="WD4" s="102" t="s">
        <v>560</v>
      </c>
      <c r="WE4" s="102" t="s">
        <v>561</v>
      </c>
      <c r="WF4" s="101" t="s">
        <v>29</v>
      </c>
      <c r="WG4" s="232" t="s">
        <v>562</v>
      </c>
      <c r="WH4" s="232" t="s">
        <v>563</v>
      </c>
      <c r="WI4" s="232" t="s">
        <v>33</v>
      </c>
      <c r="WJ4" s="232" t="s">
        <v>564</v>
      </c>
      <c r="WK4" s="232" t="s">
        <v>565</v>
      </c>
      <c r="WL4" s="258"/>
      <c r="WM4" s="273" t="s">
        <v>16</v>
      </c>
      <c r="WN4" s="237" t="s">
        <v>21</v>
      </c>
      <c r="WO4" s="237" t="s">
        <v>17</v>
      </c>
      <c r="WP4" s="247" t="s">
        <v>22</v>
      </c>
      <c r="WQ4" s="104" t="s">
        <v>26</v>
      </c>
      <c r="WR4" s="237" t="s">
        <v>555</v>
      </c>
      <c r="WS4" s="105" t="s">
        <v>16</v>
      </c>
      <c r="WT4" s="105" t="s">
        <v>556</v>
      </c>
      <c r="WU4" s="104" t="s">
        <v>17</v>
      </c>
      <c r="WV4" s="257" t="s">
        <v>557</v>
      </c>
      <c r="WW4" s="105" t="s">
        <v>558</v>
      </c>
      <c r="WX4" s="105" t="s">
        <v>559</v>
      </c>
      <c r="WY4" s="105" t="s">
        <v>560</v>
      </c>
      <c r="WZ4" s="105" t="s">
        <v>561</v>
      </c>
      <c r="XA4" s="104" t="s">
        <v>29</v>
      </c>
      <c r="XB4" s="237" t="s">
        <v>562</v>
      </c>
      <c r="XC4" s="237" t="s">
        <v>563</v>
      </c>
      <c r="XD4" s="237" t="s">
        <v>33</v>
      </c>
      <c r="XE4" s="237" t="s">
        <v>564</v>
      </c>
      <c r="XF4" s="237" t="s">
        <v>565</v>
      </c>
      <c r="XG4" s="274"/>
      <c r="XH4" s="269" t="s">
        <v>16</v>
      </c>
      <c r="XI4" s="232" t="s">
        <v>21</v>
      </c>
      <c r="XJ4" s="232" t="s">
        <v>17</v>
      </c>
      <c r="XK4" s="233" t="s">
        <v>22</v>
      </c>
      <c r="XL4" s="101" t="s">
        <v>26</v>
      </c>
      <c r="XM4" s="232" t="s">
        <v>555</v>
      </c>
      <c r="XN4" s="102" t="s">
        <v>16</v>
      </c>
      <c r="XO4" s="102" t="s">
        <v>556</v>
      </c>
      <c r="XP4" s="101" t="s">
        <v>17</v>
      </c>
      <c r="XQ4" s="232" t="s">
        <v>557</v>
      </c>
      <c r="XR4" s="102" t="s">
        <v>558</v>
      </c>
      <c r="XS4" s="102" t="s">
        <v>559</v>
      </c>
      <c r="XT4" s="102" t="s">
        <v>560</v>
      </c>
      <c r="XU4" s="102" t="s">
        <v>561</v>
      </c>
      <c r="XV4" s="101" t="s">
        <v>29</v>
      </c>
      <c r="XW4" s="232" t="s">
        <v>562</v>
      </c>
      <c r="XX4" s="232" t="s">
        <v>563</v>
      </c>
      <c r="XY4" s="232" t="s">
        <v>33</v>
      </c>
      <c r="XZ4" s="232" t="s">
        <v>564</v>
      </c>
      <c r="YA4" s="232" t="s">
        <v>565</v>
      </c>
      <c r="YB4" s="258"/>
    </row>
    <row r="5" spans="1:652" x14ac:dyDescent="0.3">
      <c r="A5" s="222" t="s">
        <v>95</v>
      </c>
      <c r="B5" s="270"/>
      <c r="C5" s="10"/>
      <c r="D5" s="10"/>
      <c r="E5" s="234"/>
      <c r="F5" s="238"/>
      <c r="G5" s="11"/>
      <c r="H5" s="11"/>
      <c r="I5" s="11"/>
      <c r="J5" s="11"/>
      <c r="K5" s="12"/>
      <c r="L5" s="11"/>
      <c r="M5" s="11"/>
      <c r="N5" s="11"/>
      <c r="O5" s="11"/>
      <c r="P5" s="11"/>
      <c r="Q5" s="11"/>
      <c r="R5" s="11"/>
      <c r="S5" s="11"/>
      <c r="T5" s="11"/>
      <c r="U5" s="11"/>
      <c r="V5" s="259"/>
      <c r="W5" s="275"/>
      <c r="X5" s="11"/>
      <c r="Y5" s="11"/>
      <c r="Z5" s="248"/>
      <c r="AA5" s="253"/>
      <c r="AB5" s="11"/>
      <c r="AC5" s="11"/>
      <c r="AD5" s="11"/>
      <c r="AE5" s="11"/>
      <c r="AF5" s="11"/>
      <c r="AG5" s="11"/>
      <c r="AH5" s="11"/>
      <c r="AI5" s="11"/>
      <c r="AJ5" s="11"/>
      <c r="AK5" s="11"/>
      <c r="AL5" s="11"/>
      <c r="AM5" s="11"/>
      <c r="AN5" s="11"/>
      <c r="AO5" s="11"/>
      <c r="AP5" s="11"/>
      <c r="AQ5" s="259"/>
      <c r="AR5" s="270"/>
      <c r="AS5" s="10"/>
      <c r="AT5" s="10"/>
      <c r="AU5" s="234"/>
      <c r="AV5" s="238"/>
      <c r="AW5" s="11"/>
      <c r="AX5" s="11"/>
      <c r="AY5" s="11"/>
      <c r="AZ5" s="11"/>
      <c r="BA5" s="11"/>
      <c r="BB5" s="11"/>
      <c r="BC5" s="11"/>
      <c r="BD5" s="11"/>
      <c r="BE5" s="11"/>
      <c r="BF5" s="11"/>
      <c r="BG5" s="11"/>
      <c r="BH5" s="11"/>
      <c r="BI5" s="11"/>
      <c r="BJ5" s="11"/>
      <c r="BK5" s="11"/>
      <c r="BL5" s="259"/>
      <c r="BM5" s="275"/>
      <c r="BN5" s="11"/>
      <c r="BO5" s="11"/>
      <c r="BP5" s="248"/>
      <c r="BQ5" s="263"/>
      <c r="BR5" s="264"/>
      <c r="BS5" s="264"/>
      <c r="BT5" s="264"/>
      <c r="BU5" s="264"/>
      <c r="BV5" s="264"/>
      <c r="BW5" s="264"/>
      <c r="BX5" s="264"/>
      <c r="BY5" s="264"/>
      <c r="BZ5" s="264"/>
      <c r="CA5" s="264"/>
      <c r="CB5" s="264"/>
      <c r="CC5" s="264"/>
      <c r="CD5" s="264"/>
      <c r="CE5" s="264"/>
      <c r="CF5" s="264"/>
      <c r="CG5" s="265"/>
      <c r="CH5" s="275"/>
      <c r="CI5" s="11"/>
      <c r="CJ5" s="11"/>
      <c r="CK5" s="248"/>
      <c r="CL5" s="45"/>
      <c r="CM5" s="45"/>
      <c r="CN5" s="45"/>
      <c r="CO5" s="45"/>
      <c r="CP5" s="45"/>
      <c r="CQ5" s="79"/>
      <c r="CR5" s="45"/>
      <c r="CS5" s="99"/>
      <c r="CT5" s="86"/>
      <c r="CU5" s="45"/>
      <c r="CV5" s="291"/>
      <c r="CW5" s="264"/>
      <c r="CX5" s="264"/>
      <c r="CY5" s="264"/>
      <c r="CZ5" s="264"/>
      <c r="DA5" s="264"/>
      <c r="DB5" s="265"/>
      <c r="DC5" s="275"/>
      <c r="DD5" s="11"/>
      <c r="DE5" s="11"/>
      <c r="DF5" s="248"/>
      <c r="DG5" s="263"/>
      <c r="DH5" s="264"/>
      <c r="DI5" s="264"/>
      <c r="DJ5" s="264"/>
      <c r="DK5" s="264"/>
      <c r="DL5" s="264"/>
      <c r="DM5" s="264"/>
      <c r="DN5" s="264"/>
      <c r="DO5" s="264"/>
      <c r="DP5" s="264"/>
      <c r="DQ5" s="264"/>
      <c r="DR5" s="264"/>
      <c r="DS5" s="264"/>
      <c r="DT5" s="264"/>
      <c r="DU5" s="264"/>
      <c r="DV5" s="264"/>
      <c r="DW5" s="265"/>
      <c r="DX5" s="275"/>
      <c r="DY5" s="11"/>
      <c r="DZ5" s="11"/>
      <c r="EA5" s="248"/>
      <c r="EB5" s="45"/>
      <c r="EC5" s="45"/>
      <c r="ED5" s="45"/>
      <c r="EE5" s="45"/>
      <c r="EF5" s="45"/>
      <c r="EG5" s="79"/>
      <c r="EH5" s="45"/>
      <c r="EI5" s="99"/>
      <c r="EJ5" s="86"/>
      <c r="EK5" s="45"/>
      <c r="EL5" s="291"/>
      <c r="EM5" s="264"/>
      <c r="EN5" s="264"/>
      <c r="EO5" s="264"/>
      <c r="EP5" s="264"/>
      <c r="EQ5" s="264"/>
      <c r="ER5" s="265"/>
      <c r="ES5" s="275"/>
      <c r="ET5" s="11"/>
      <c r="EU5" s="11"/>
      <c r="EV5" s="248"/>
      <c r="EW5" s="263"/>
      <c r="EX5" s="264"/>
      <c r="EY5" s="264"/>
      <c r="EZ5" s="264"/>
      <c r="FA5" s="264"/>
      <c r="FB5" s="264"/>
      <c r="FC5" s="264"/>
      <c r="FD5" s="264"/>
      <c r="FE5" s="264"/>
      <c r="FF5" s="264"/>
      <c r="FG5" s="264"/>
      <c r="FH5" s="264"/>
      <c r="FI5" s="264"/>
      <c r="FJ5" s="264"/>
      <c r="FK5" s="264"/>
      <c r="FL5" s="264"/>
      <c r="FM5" s="265"/>
      <c r="FN5" s="275"/>
      <c r="FO5" s="11"/>
      <c r="FP5" s="11"/>
      <c r="FQ5" s="248"/>
      <c r="FR5" s="45"/>
      <c r="FS5" s="45"/>
      <c r="FT5" s="45"/>
      <c r="FU5" s="45"/>
      <c r="FV5" s="45"/>
      <c r="FW5" s="79"/>
      <c r="FX5" s="45"/>
      <c r="FY5" s="99"/>
      <c r="FZ5" s="86"/>
      <c r="GA5" s="45"/>
      <c r="GB5" s="291"/>
      <c r="GC5" s="264"/>
      <c r="GD5" s="264"/>
      <c r="GE5" s="264"/>
      <c r="GF5" s="264"/>
      <c r="GG5" s="264"/>
      <c r="GH5" s="265"/>
      <c r="GI5" s="275"/>
      <c r="GJ5" s="11"/>
      <c r="GK5" s="11"/>
      <c r="GL5" s="248"/>
      <c r="GM5" s="263"/>
      <c r="GN5" s="264"/>
      <c r="GO5" s="264"/>
      <c r="GP5" s="264"/>
      <c r="GQ5" s="264"/>
      <c r="GR5" s="264"/>
      <c r="GS5" s="264"/>
      <c r="GT5" s="264"/>
      <c r="GU5" s="264"/>
      <c r="GV5" s="264"/>
      <c r="GW5" s="264"/>
      <c r="GX5" s="264"/>
      <c r="GY5" s="264"/>
      <c r="GZ5" s="264"/>
      <c r="HA5" s="264"/>
      <c r="HB5" s="264"/>
      <c r="HC5" s="265"/>
      <c r="HD5" s="275"/>
      <c r="HE5" s="11"/>
      <c r="HF5" s="11"/>
      <c r="HG5" s="248"/>
      <c r="HH5" s="263"/>
      <c r="HI5" s="264"/>
      <c r="HJ5" s="264"/>
      <c r="HK5" s="264"/>
      <c r="HL5" s="264"/>
      <c r="HM5" s="264"/>
      <c r="HN5" s="264"/>
      <c r="HO5" s="264"/>
      <c r="HP5" s="264"/>
      <c r="HQ5" s="264"/>
      <c r="HR5" s="264"/>
      <c r="HS5" s="264"/>
      <c r="HT5" s="264"/>
      <c r="HU5" s="264"/>
      <c r="HV5" s="264"/>
      <c r="HW5" s="264"/>
      <c r="HX5" s="265"/>
      <c r="HY5" s="275"/>
      <c r="HZ5" s="11"/>
      <c r="IA5" s="11"/>
      <c r="IB5" s="248"/>
      <c r="IC5" s="263"/>
      <c r="ID5" s="264"/>
      <c r="IE5" s="264"/>
      <c r="IF5" s="264"/>
      <c r="IG5" s="264"/>
      <c r="IH5" s="264"/>
      <c r="II5" s="264"/>
      <c r="IJ5" s="264"/>
      <c r="IK5" s="264"/>
      <c r="IL5" s="264"/>
      <c r="IM5" s="264"/>
      <c r="IN5" s="264"/>
      <c r="IO5" s="264"/>
      <c r="IP5" s="264"/>
      <c r="IQ5" s="264"/>
      <c r="IR5" s="264"/>
      <c r="IS5" s="265"/>
      <c r="IT5" s="275"/>
      <c r="IU5" s="11"/>
      <c r="IV5" s="11"/>
      <c r="IW5" s="248"/>
      <c r="IX5" s="263"/>
      <c r="IY5" s="264"/>
      <c r="IZ5" s="264"/>
      <c r="JA5" s="264"/>
      <c r="JB5" s="264"/>
      <c r="JC5" s="264"/>
      <c r="JD5" s="264"/>
      <c r="JE5" s="264"/>
      <c r="JF5" s="264"/>
      <c r="JG5" s="264"/>
      <c r="JH5" s="264"/>
      <c r="JI5" s="264"/>
      <c r="JJ5" s="264"/>
      <c r="JK5" s="264"/>
      <c r="JL5" s="264"/>
      <c r="JM5" s="264"/>
      <c r="JN5" s="265"/>
      <c r="JO5" s="275"/>
      <c r="JP5" s="11"/>
      <c r="JQ5" s="11"/>
      <c r="JR5" s="248"/>
      <c r="JS5" s="263"/>
      <c r="JT5" s="264"/>
      <c r="JU5" s="264"/>
      <c r="JV5" s="264"/>
      <c r="JW5" s="264"/>
      <c r="JX5" s="264"/>
      <c r="JY5" s="264"/>
      <c r="JZ5" s="264"/>
      <c r="KA5" s="264"/>
      <c r="KB5" s="264"/>
      <c r="KC5" s="264"/>
      <c r="KD5" s="264"/>
      <c r="KE5" s="264"/>
      <c r="KF5" s="264"/>
      <c r="KG5" s="264"/>
      <c r="KH5" s="264"/>
      <c r="KI5" s="265"/>
      <c r="KJ5" s="275"/>
      <c r="KK5" s="11"/>
      <c r="KL5" s="11"/>
      <c r="KM5" s="248"/>
      <c r="KN5" s="263"/>
      <c r="KO5" s="264"/>
      <c r="KP5" s="264"/>
      <c r="KQ5" s="264"/>
      <c r="KR5" s="264"/>
      <c r="KS5" s="264"/>
      <c r="KT5" s="264"/>
      <c r="KU5" s="264"/>
      <c r="KV5" s="264"/>
      <c r="KW5" s="264"/>
      <c r="KX5" s="264"/>
      <c r="KY5" s="264"/>
      <c r="KZ5" s="264"/>
      <c r="LA5" s="264"/>
      <c r="LB5" s="264"/>
      <c r="LC5" s="264"/>
      <c r="LD5" s="265"/>
      <c r="LE5" s="275"/>
      <c r="LF5" s="11"/>
      <c r="LG5" s="11"/>
      <c r="LH5" s="248"/>
      <c r="LI5" s="263"/>
      <c r="LJ5" s="264"/>
      <c r="LK5" s="264"/>
      <c r="LL5" s="264"/>
      <c r="LM5" s="264"/>
      <c r="LN5" s="264"/>
      <c r="LO5" s="264"/>
      <c r="LP5" s="264"/>
      <c r="LQ5" s="264"/>
      <c r="LR5" s="264"/>
      <c r="LS5" s="264"/>
      <c r="LT5" s="264"/>
      <c r="LU5" s="264"/>
      <c r="LV5" s="264"/>
      <c r="LW5" s="264"/>
      <c r="LX5" s="264"/>
      <c r="LY5" s="265"/>
      <c r="LZ5" s="275"/>
      <c r="MA5" s="11"/>
      <c r="MB5" s="11"/>
      <c r="MC5" s="248"/>
      <c r="MD5" s="263"/>
      <c r="ME5" s="264"/>
      <c r="MF5" s="264"/>
      <c r="MG5" s="264"/>
      <c r="MH5" s="264"/>
      <c r="MI5" s="264"/>
      <c r="MJ5" s="264"/>
      <c r="MK5" s="264"/>
      <c r="ML5" s="264"/>
      <c r="MM5" s="264"/>
      <c r="MN5" s="264"/>
      <c r="MO5" s="264"/>
      <c r="MP5" s="264"/>
      <c r="MQ5" s="264"/>
      <c r="MR5" s="264"/>
      <c r="MS5" s="264"/>
      <c r="MT5" s="265"/>
      <c r="MU5" s="275"/>
      <c r="MV5" s="11"/>
      <c r="MW5" s="11"/>
      <c r="MX5" s="248"/>
      <c r="MY5" s="263"/>
      <c r="MZ5" s="264"/>
      <c r="NA5" s="264"/>
      <c r="NB5" s="264"/>
      <c r="NC5" s="264"/>
      <c r="ND5" s="264"/>
      <c r="NE5" s="264"/>
      <c r="NF5" s="264"/>
      <c r="NG5" s="264"/>
      <c r="NH5" s="264"/>
      <c r="NI5" s="264"/>
      <c r="NJ5" s="264"/>
      <c r="NK5" s="264"/>
      <c r="NL5" s="264"/>
      <c r="NM5" s="264"/>
      <c r="NN5" s="264"/>
      <c r="NO5" s="265"/>
      <c r="NP5" s="275"/>
      <c r="NQ5" s="11"/>
      <c r="NR5" s="11"/>
      <c r="NS5" s="248"/>
      <c r="NT5" s="263"/>
      <c r="NU5" s="264"/>
      <c r="NV5" s="264"/>
      <c r="NW5" s="264"/>
      <c r="NX5" s="264"/>
      <c r="NY5" s="264"/>
      <c r="NZ5" s="264"/>
      <c r="OA5" s="264"/>
      <c r="OB5" s="264"/>
      <c r="OC5" s="264"/>
      <c r="OD5" s="264"/>
      <c r="OE5" s="264"/>
      <c r="OF5" s="264"/>
      <c r="OG5" s="264"/>
      <c r="OH5" s="264"/>
      <c r="OI5" s="264"/>
      <c r="OJ5" s="265"/>
      <c r="OK5" s="275"/>
      <c r="OL5" s="11"/>
      <c r="OM5" s="11"/>
      <c r="ON5" s="248"/>
      <c r="OO5" s="263"/>
      <c r="OP5" s="264"/>
      <c r="OQ5" s="264"/>
      <c r="OR5" s="264"/>
      <c r="OS5" s="264"/>
      <c r="OT5" s="264"/>
      <c r="OU5" s="264"/>
      <c r="OV5" s="264"/>
      <c r="OW5" s="264"/>
      <c r="OX5" s="264"/>
      <c r="OY5" s="264"/>
      <c r="OZ5" s="264"/>
      <c r="PA5" s="264"/>
      <c r="PB5" s="264"/>
      <c r="PC5" s="264"/>
      <c r="PD5" s="264"/>
      <c r="PE5" s="265"/>
      <c r="PF5" s="275"/>
      <c r="PG5" s="11"/>
      <c r="PH5" s="11"/>
      <c r="PI5" s="248"/>
      <c r="PJ5" s="263"/>
      <c r="PK5" s="264"/>
      <c r="PL5" s="264"/>
      <c r="PM5" s="264"/>
      <c r="PN5" s="264"/>
      <c r="PO5" s="264"/>
      <c r="PP5" s="264"/>
      <c r="PQ5" s="264"/>
      <c r="PR5" s="264"/>
      <c r="PS5" s="264"/>
      <c r="PT5" s="264"/>
      <c r="PU5" s="264"/>
      <c r="PV5" s="264"/>
      <c r="PW5" s="264"/>
      <c r="PX5" s="264"/>
      <c r="PY5" s="264"/>
      <c r="PZ5" s="265"/>
      <c r="QA5" s="275"/>
      <c r="QB5" s="11"/>
      <c r="QC5" s="11"/>
      <c r="QD5" s="248"/>
      <c r="QE5" s="263"/>
      <c r="QF5" s="264"/>
      <c r="QG5" s="264"/>
      <c r="QH5" s="264"/>
      <c r="QI5" s="264"/>
      <c r="QJ5" s="264"/>
      <c r="QK5" s="264"/>
      <c r="QL5" s="264"/>
      <c r="QM5" s="264"/>
      <c r="QN5" s="264"/>
      <c r="QO5" s="264"/>
      <c r="QP5" s="264"/>
      <c r="QQ5" s="264"/>
      <c r="QR5" s="264"/>
      <c r="QS5" s="264"/>
      <c r="QT5" s="264"/>
      <c r="QU5" s="265"/>
      <c r="QV5" s="275"/>
      <c r="QW5" s="11"/>
      <c r="QX5" s="11"/>
      <c r="QY5" s="248"/>
      <c r="QZ5" s="263"/>
      <c r="RA5" s="264"/>
      <c r="RB5" s="264"/>
      <c r="RC5" s="264"/>
      <c r="RD5" s="264"/>
      <c r="RE5" s="264"/>
      <c r="RF5" s="264"/>
      <c r="RG5" s="264"/>
      <c r="RH5" s="264"/>
      <c r="RI5" s="264"/>
      <c r="RJ5" s="264"/>
      <c r="RK5" s="264"/>
      <c r="RL5" s="264"/>
      <c r="RM5" s="264"/>
      <c r="RN5" s="264"/>
      <c r="RO5" s="264"/>
      <c r="RP5" s="265"/>
      <c r="RQ5" s="275"/>
      <c r="RR5" s="11"/>
      <c r="RS5" s="11"/>
      <c r="RT5" s="248"/>
      <c r="RU5" s="263"/>
      <c r="RV5" s="264"/>
      <c r="RW5" s="264"/>
      <c r="RX5" s="264"/>
      <c r="RY5" s="264"/>
      <c r="RZ5" s="264"/>
      <c r="SA5" s="264"/>
      <c r="SB5" s="264"/>
      <c r="SC5" s="264"/>
      <c r="SD5" s="264"/>
      <c r="SE5" s="264"/>
      <c r="SF5" s="264"/>
      <c r="SG5" s="264"/>
      <c r="SH5" s="264"/>
      <c r="SI5" s="264"/>
      <c r="SJ5" s="264"/>
      <c r="SK5" s="265"/>
      <c r="SL5" s="275"/>
      <c r="SM5" s="11"/>
      <c r="SN5" s="11"/>
      <c r="SO5" s="248"/>
      <c r="SP5" s="263"/>
      <c r="SQ5" s="264"/>
      <c r="SR5" s="264"/>
      <c r="SS5" s="264"/>
      <c r="ST5" s="264"/>
      <c r="SU5" s="264"/>
      <c r="SV5" s="264"/>
      <c r="SW5" s="264"/>
      <c r="SX5" s="264"/>
      <c r="SY5" s="264"/>
      <c r="SZ5" s="264"/>
      <c r="TA5" s="264"/>
      <c r="TB5" s="264"/>
      <c r="TC5" s="264"/>
      <c r="TD5" s="264"/>
      <c r="TE5" s="264"/>
      <c r="TF5" s="265"/>
      <c r="TG5" s="275"/>
      <c r="TH5" s="11"/>
      <c r="TI5" s="11"/>
      <c r="TJ5" s="248"/>
      <c r="TK5" s="263"/>
      <c r="TL5" s="264"/>
      <c r="TM5" s="264"/>
      <c r="TN5" s="264"/>
      <c r="TO5" s="264"/>
      <c r="TP5" s="264"/>
      <c r="TQ5" s="264"/>
      <c r="TR5" s="264"/>
      <c r="TS5" s="264"/>
      <c r="TT5" s="264"/>
      <c r="TU5" s="264"/>
      <c r="TV5" s="264"/>
      <c r="TW5" s="264"/>
      <c r="TX5" s="264"/>
      <c r="TY5" s="264"/>
      <c r="TZ5" s="264"/>
      <c r="UA5" s="265"/>
      <c r="UB5" s="275"/>
      <c r="UC5" s="11"/>
      <c r="UD5" s="11"/>
      <c r="UE5" s="248"/>
      <c r="UF5" s="263"/>
      <c r="UG5" s="264"/>
      <c r="UH5" s="264"/>
      <c r="UI5" s="264"/>
      <c r="UJ5" s="264"/>
      <c r="UK5" s="264"/>
      <c r="UL5" s="264"/>
      <c r="UM5" s="264"/>
      <c r="UN5" s="264"/>
      <c r="UO5" s="264"/>
      <c r="UP5" s="264"/>
      <c r="UQ5" s="264"/>
      <c r="UR5" s="264"/>
      <c r="US5" s="264"/>
      <c r="UT5" s="264"/>
      <c r="UU5" s="264"/>
      <c r="UV5" s="265"/>
      <c r="UW5" s="275"/>
      <c r="UX5" s="11"/>
      <c r="UY5" s="11"/>
      <c r="UZ5" s="248"/>
      <c r="VA5" s="263"/>
      <c r="VB5" s="264"/>
      <c r="VC5" s="264"/>
      <c r="VD5" s="264"/>
      <c r="VE5" s="264"/>
      <c r="VF5" s="264"/>
      <c r="VG5" s="264"/>
      <c r="VH5" s="264"/>
      <c r="VI5" s="264"/>
      <c r="VJ5" s="264"/>
      <c r="VK5" s="264"/>
      <c r="VL5" s="264"/>
      <c r="VM5" s="264"/>
      <c r="VN5" s="264"/>
      <c r="VO5" s="264"/>
      <c r="VP5" s="264"/>
      <c r="VQ5" s="265"/>
      <c r="VR5" s="275"/>
      <c r="VS5" s="11"/>
      <c r="VT5" s="11"/>
      <c r="VU5" s="248"/>
      <c r="VV5" s="263"/>
      <c r="VW5" s="264"/>
      <c r="VX5" s="264"/>
      <c r="VY5" s="264"/>
      <c r="VZ5" s="264"/>
      <c r="WA5" s="264"/>
      <c r="WB5" s="264"/>
      <c r="WC5" s="264"/>
      <c r="WD5" s="264"/>
      <c r="WE5" s="264"/>
      <c r="WF5" s="264"/>
      <c r="WG5" s="264"/>
      <c r="WH5" s="264"/>
      <c r="WI5" s="264"/>
      <c r="WJ5" s="264"/>
      <c r="WK5" s="264"/>
      <c r="WL5" s="265"/>
      <c r="WM5" s="275"/>
      <c r="WN5" s="11"/>
      <c r="WO5" s="11"/>
      <c r="WP5" s="248"/>
      <c r="WQ5" s="263"/>
      <c r="WR5" s="264"/>
      <c r="WS5" s="264"/>
      <c r="WT5" s="264"/>
      <c r="WU5" s="264"/>
      <c r="WV5" s="264"/>
      <c r="WW5" s="264"/>
      <c r="WX5" s="264"/>
      <c r="WY5" s="264"/>
      <c r="WZ5" s="264"/>
      <c r="XA5" s="264"/>
      <c r="XB5" s="264"/>
      <c r="XC5" s="264"/>
      <c r="XD5" s="264"/>
      <c r="XE5" s="264"/>
      <c r="XF5" s="264"/>
      <c r="XG5" s="265"/>
      <c r="XH5" s="275"/>
      <c r="XI5" s="11"/>
      <c r="XJ5" s="11"/>
      <c r="XK5" s="248"/>
      <c r="XL5" s="263"/>
      <c r="XM5" s="264"/>
      <c r="XN5" s="264"/>
      <c r="XO5" s="264"/>
      <c r="XP5" s="264"/>
      <c r="XQ5" s="264"/>
      <c r="XR5" s="264"/>
      <c r="XS5" s="264"/>
      <c r="XT5" s="264"/>
      <c r="XU5" s="264"/>
      <c r="XV5" s="264"/>
      <c r="XW5" s="264"/>
      <c r="XX5" s="264"/>
      <c r="XY5" s="264"/>
      <c r="XZ5" s="264"/>
      <c r="YA5" s="264"/>
      <c r="YB5" s="265"/>
    </row>
    <row r="6" spans="1:652" x14ac:dyDescent="0.3">
      <c r="A6" s="223" t="s">
        <v>118</v>
      </c>
      <c r="B6" s="271"/>
      <c r="C6" s="48"/>
      <c r="D6" s="48"/>
      <c r="E6" s="235"/>
      <c r="F6" s="239"/>
      <c r="G6" s="49"/>
      <c r="H6" s="49"/>
      <c r="I6" s="49"/>
      <c r="J6" s="49"/>
      <c r="K6" s="49"/>
      <c r="L6" s="49"/>
      <c r="M6" s="49"/>
      <c r="N6" s="49"/>
      <c r="O6" s="49"/>
      <c r="P6" s="49"/>
      <c r="Q6" s="49"/>
      <c r="R6" s="49"/>
      <c r="S6" s="49"/>
      <c r="T6" s="49"/>
      <c r="U6" s="49"/>
      <c r="V6" s="260"/>
      <c r="W6" s="276"/>
      <c r="X6" s="49"/>
      <c r="Y6" s="49"/>
      <c r="Z6" s="249"/>
      <c r="AA6" s="254"/>
      <c r="AB6" s="49"/>
      <c r="AC6" s="49"/>
      <c r="AD6" s="49"/>
      <c r="AE6" s="49"/>
      <c r="AF6" s="49"/>
      <c r="AG6" s="49"/>
      <c r="AH6" s="49"/>
      <c r="AI6" s="49"/>
      <c r="AJ6" s="49"/>
      <c r="AK6" s="49"/>
      <c r="AL6" s="49"/>
      <c r="AM6" s="49"/>
      <c r="AN6" s="49"/>
      <c r="AO6" s="49"/>
      <c r="AP6" s="49"/>
      <c r="AQ6" s="260"/>
      <c r="AR6" s="271"/>
      <c r="AS6" s="48"/>
      <c r="AT6" s="48"/>
      <c r="AU6" s="235"/>
      <c r="AV6" s="239"/>
      <c r="AW6" s="49"/>
      <c r="AX6" s="49"/>
      <c r="AY6" s="49"/>
      <c r="AZ6" s="49"/>
      <c r="BA6" s="49"/>
      <c r="BB6" s="49"/>
      <c r="BC6" s="49"/>
      <c r="BD6" s="49"/>
      <c r="BE6" s="49"/>
      <c r="BF6" s="49"/>
      <c r="BG6" s="49"/>
      <c r="BH6" s="49"/>
      <c r="BI6" s="49"/>
      <c r="BJ6" s="49"/>
      <c r="BK6" s="49"/>
      <c r="BL6" s="260"/>
      <c r="BM6" s="276"/>
      <c r="BN6" s="49"/>
      <c r="BO6" s="49"/>
      <c r="BP6" s="249"/>
      <c r="BQ6" s="254"/>
      <c r="BR6" s="49"/>
      <c r="BS6" s="49"/>
      <c r="BT6" s="49"/>
      <c r="BU6" s="49"/>
      <c r="BV6" s="49"/>
      <c r="BW6" s="49"/>
      <c r="BX6" s="49"/>
      <c r="BY6" s="49"/>
      <c r="BZ6" s="49"/>
      <c r="CA6" s="49"/>
      <c r="CB6" s="49"/>
      <c r="CC6" s="49"/>
      <c r="CD6" s="49"/>
      <c r="CE6" s="49"/>
      <c r="CF6" s="49"/>
      <c r="CG6" s="260"/>
      <c r="CH6" s="276"/>
      <c r="CI6" s="49"/>
      <c r="CJ6" s="49"/>
      <c r="CK6" s="249"/>
      <c r="CL6" s="53"/>
      <c r="CM6" s="53"/>
      <c r="CN6" s="53"/>
      <c r="CO6" s="53"/>
      <c r="CP6" s="53"/>
      <c r="CQ6" s="80"/>
      <c r="CR6" s="53"/>
      <c r="CS6" s="54"/>
      <c r="CT6" s="84"/>
      <c r="CU6" s="53"/>
      <c r="CV6" s="66"/>
      <c r="CW6" s="49"/>
      <c r="CX6" s="49"/>
      <c r="CY6" s="49"/>
      <c r="CZ6" s="49"/>
      <c r="DA6" s="49"/>
      <c r="DB6" s="260"/>
      <c r="DC6" s="276"/>
      <c r="DD6" s="49"/>
      <c r="DE6" s="49"/>
      <c r="DF6" s="249"/>
      <c r="DG6" s="254"/>
      <c r="DH6" s="49"/>
      <c r="DI6" s="49"/>
      <c r="DJ6" s="49"/>
      <c r="DK6" s="49"/>
      <c r="DL6" s="49"/>
      <c r="DM6" s="49"/>
      <c r="DN6" s="49"/>
      <c r="DO6" s="49"/>
      <c r="DP6" s="49"/>
      <c r="DQ6" s="49"/>
      <c r="DR6" s="49"/>
      <c r="DS6" s="49"/>
      <c r="DT6" s="49"/>
      <c r="DU6" s="49"/>
      <c r="DV6" s="49"/>
      <c r="DW6" s="260"/>
      <c r="DX6" s="276"/>
      <c r="DY6" s="49"/>
      <c r="DZ6" s="49"/>
      <c r="EA6" s="249"/>
      <c r="EB6" s="53"/>
      <c r="EC6" s="53"/>
      <c r="ED6" s="53"/>
      <c r="EE6" s="53"/>
      <c r="EF6" s="53"/>
      <c r="EG6" s="80"/>
      <c r="EH6" s="53"/>
      <c r="EI6" s="54"/>
      <c r="EJ6" s="84"/>
      <c r="EK6" s="53"/>
      <c r="EL6" s="66"/>
      <c r="EM6" s="49"/>
      <c r="EN6" s="49"/>
      <c r="EO6" s="49"/>
      <c r="EP6" s="49"/>
      <c r="EQ6" s="49"/>
      <c r="ER6" s="260"/>
      <c r="ES6" s="276"/>
      <c r="ET6" s="49"/>
      <c r="EU6" s="49"/>
      <c r="EV6" s="249"/>
      <c r="EW6" s="254"/>
      <c r="EX6" s="49"/>
      <c r="EY6" s="49"/>
      <c r="EZ6" s="49"/>
      <c r="FA6" s="49"/>
      <c r="FB6" s="49"/>
      <c r="FC6" s="49"/>
      <c r="FD6" s="49"/>
      <c r="FE6" s="49"/>
      <c r="FF6" s="49"/>
      <c r="FG6" s="49"/>
      <c r="FH6" s="49"/>
      <c r="FI6" s="49"/>
      <c r="FJ6" s="49"/>
      <c r="FK6" s="49"/>
      <c r="FL6" s="49"/>
      <c r="FM6" s="260"/>
      <c r="FN6" s="276"/>
      <c r="FO6" s="49"/>
      <c r="FP6" s="49"/>
      <c r="FQ6" s="249"/>
      <c r="FR6" s="53"/>
      <c r="FS6" s="53"/>
      <c r="FT6" s="53"/>
      <c r="FU6" s="53"/>
      <c r="FV6" s="53"/>
      <c r="FW6" s="80"/>
      <c r="FX6" s="53"/>
      <c r="FY6" s="54"/>
      <c r="FZ6" s="84"/>
      <c r="GA6" s="53"/>
      <c r="GB6" s="66"/>
      <c r="GC6" s="49"/>
      <c r="GD6" s="49"/>
      <c r="GE6" s="49"/>
      <c r="GF6" s="49"/>
      <c r="GG6" s="49"/>
      <c r="GH6" s="260"/>
      <c r="GI6" s="276"/>
      <c r="GJ6" s="49"/>
      <c r="GK6" s="49"/>
      <c r="GL6" s="249"/>
      <c r="GM6" s="254"/>
      <c r="GN6" s="49"/>
      <c r="GO6" s="49"/>
      <c r="GP6" s="49"/>
      <c r="GQ6" s="49"/>
      <c r="GR6" s="49"/>
      <c r="GS6" s="49"/>
      <c r="GT6" s="49"/>
      <c r="GU6" s="49"/>
      <c r="GV6" s="49"/>
      <c r="GW6" s="49"/>
      <c r="GX6" s="49"/>
      <c r="GY6" s="49"/>
      <c r="GZ6" s="49"/>
      <c r="HA6" s="49"/>
      <c r="HB6" s="49"/>
      <c r="HC6" s="260"/>
      <c r="HD6" s="276"/>
      <c r="HE6" s="49"/>
      <c r="HF6" s="49"/>
      <c r="HG6" s="249"/>
      <c r="HH6" s="254"/>
      <c r="HI6" s="49"/>
      <c r="HJ6" s="49"/>
      <c r="HK6" s="49"/>
      <c r="HL6" s="49"/>
      <c r="HM6" s="49"/>
      <c r="HN6" s="49"/>
      <c r="HO6" s="49"/>
      <c r="HP6" s="49"/>
      <c r="HQ6" s="49"/>
      <c r="HR6" s="49"/>
      <c r="HS6" s="49"/>
      <c r="HT6" s="49"/>
      <c r="HU6" s="49"/>
      <c r="HV6" s="49"/>
      <c r="HW6" s="49"/>
      <c r="HX6" s="260"/>
      <c r="HY6" s="276"/>
      <c r="HZ6" s="49"/>
      <c r="IA6" s="49"/>
      <c r="IB6" s="249"/>
      <c r="IC6" s="254"/>
      <c r="ID6" s="49"/>
      <c r="IE6" s="49"/>
      <c r="IF6" s="49"/>
      <c r="IG6" s="49"/>
      <c r="IH6" s="49"/>
      <c r="II6" s="49"/>
      <c r="IJ6" s="49"/>
      <c r="IK6" s="49"/>
      <c r="IL6" s="49"/>
      <c r="IM6" s="49"/>
      <c r="IN6" s="49"/>
      <c r="IO6" s="49"/>
      <c r="IP6" s="49"/>
      <c r="IQ6" s="49"/>
      <c r="IR6" s="49"/>
      <c r="IS6" s="260"/>
      <c r="IT6" s="276"/>
      <c r="IU6" s="49"/>
      <c r="IV6" s="49"/>
      <c r="IW6" s="249"/>
      <c r="IX6" s="254"/>
      <c r="IY6" s="49"/>
      <c r="IZ6" s="49"/>
      <c r="JA6" s="49"/>
      <c r="JB6" s="49"/>
      <c r="JC6" s="49"/>
      <c r="JD6" s="49"/>
      <c r="JE6" s="49"/>
      <c r="JF6" s="49"/>
      <c r="JG6" s="49"/>
      <c r="JH6" s="49"/>
      <c r="JI6" s="49"/>
      <c r="JJ6" s="49"/>
      <c r="JK6" s="49"/>
      <c r="JL6" s="49"/>
      <c r="JM6" s="49"/>
      <c r="JN6" s="260"/>
      <c r="JO6" s="276"/>
      <c r="JP6" s="49"/>
      <c r="JQ6" s="49"/>
      <c r="JR6" s="249"/>
      <c r="JS6" s="254"/>
      <c r="JT6" s="49"/>
      <c r="JU6" s="49"/>
      <c r="JV6" s="49"/>
      <c r="JW6" s="49"/>
      <c r="JX6" s="49"/>
      <c r="JY6" s="49"/>
      <c r="JZ6" s="49"/>
      <c r="KA6" s="49"/>
      <c r="KB6" s="49"/>
      <c r="KC6" s="49"/>
      <c r="KD6" s="49"/>
      <c r="KE6" s="49"/>
      <c r="KF6" s="49"/>
      <c r="KG6" s="49"/>
      <c r="KH6" s="49"/>
      <c r="KI6" s="260"/>
      <c r="KJ6" s="276"/>
      <c r="KK6" s="49"/>
      <c r="KL6" s="49"/>
      <c r="KM6" s="249"/>
      <c r="KN6" s="254"/>
      <c r="KO6" s="49"/>
      <c r="KP6" s="49"/>
      <c r="KQ6" s="49"/>
      <c r="KR6" s="49"/>
      <c r="KS6" s="49"/>
      <c r="KT6" s="49"/>
      <c r="KU6" s="49"/>
      <c r="KV6" s="49"/>
      <c r="KW6" s="49"/>
      <c r="KX6" s="49"/>
      <c r="KY6" s="49"/>
      <c r="KZ6" s="49"/>
      <c r="LA6" s="49"/>
      <c r="LB6" s="49"/>
      <c r="LC6" s="49"/>
      <c r="LD6" s="260"/>
      <c r="LE6" s="276"/>
      <c r="LF6" s="49"/>
      <c r="LG6" s="49"/>
      <c r="LH6" s="249"/>
      <c r="LI6" s="254"/>
      <c r="LJ6" s="49"/>
      <c r="LK6" s="49"/>
      <c r="LL6" s="49"/>
      <c r="LM6" s="49"/>
      <c r="LN6" s="49"/>
      <c r="LO6" s="49"/>
      <c r="LP6" s="49"/>
      <c r="LQ6" s="49"/>
      <c r="LR6" s="49"/>
      <c r="LS6" s="49"/>
      <c r="LT6" s="49"/>
      <c r="LU6" s="49"/>
      <c r="LV6" s="49"/>
      <c r="LW6" s="49"/>
      <c r="LX6" s="49"/>
      <c r="LY6" s="260"/>
      <c r="LZ6" s="276"/>
      <c r="MA6" s="49"/>
      <c r="MB6" s="49"/>
      <c r="MC6" s="249"/>
      <c r="MD6" s="254"/>
      <c r="ME6" s="49"/>
      <c r="MF6" s="49"/>
      <c r="MG6" s="49"/>
      <c r="MH6" s="49"/>
      <c r="MI6" s="49"/>
      <c r="MJ6" s="49"/>
      <c r="MK6" s="49"/>
      <c r="ML6" s="49"/>
      <c r="MM6" s="49"/>
      <c r="MN6" s="49"/>
      <c r="MO6" s="49"/>
      <c r="MP6" s="49"/>
      <c r="MQ6" s="49"/>
      <c r="MR6" s="49"/>
      <c r="MS6" s="49"/>
      <c r="MT6" s="260"/>
      <c r="MU6" s="276"/>
      <c r="MV6" s="49"/>
      <c r="MW6" s="49"/>
      <c r="MX6" s="249"/>
      <c r="MY6" s="254"/>
      <c r="MZ6" s="49"/>
      <c r="NA6" s="49"/>
      <c r="NB6" s="49"/>
      <c r="NC6" s="49"/>
      <c r="ND6" s="49"/>
      <c r="NE6" s="49"/>
      <c r="NF6" s="49"/>
      <c r="NG6" s="49"/>
      <c r="NH6" s="49"/>
      <c r="NI6" s="49"/>
      <c r="NJ6" s="49"/>
      <c r="NK6" s="49"/>
      <c r="NL6" s="49"/>
      <c r="NM6" s="49"/>
      <c r="NN6" s="49"/>
      <c r="NO6" s="260"/>
      <c r="NP6" s="276"/>
      <c r="NQ6" s="49"/>
      <c r="NR6" s="49"/>
      <c r="NS6" s="249"/>
      <c r="NT6" s="254"/>
      <c r="NU6" s="49"/>
      <c r="NV6" s="49"/>
      <c r="NW6" s="49"/>
      <c r="NX6" s="49"/>
      <c r="NY6" s="49"/>
      <c r="NZ6" s="49"/>
      <c r="OA6" s="49"/>
      <c r="OB6" s="49"/>
      <c r="OC6" s="49"/>
      <c r="OD6" s="49"/>
      <c r="OE6" s="49"/>
      <c r="OF6" s="49"/>
      <c r="OG6" s="49"/>
      <c r="OH6" s="49"/>
      <c r="OI6" s="49"/>
      <c r="OJ6" s="260"/>
      <c r="OK6" s="276"/>
      <c r="OL6" s="49"/>
      <c r="OM6" s="49"/>
      <c r="ON6" s="249"/>
      <c r="OO6" s="254"/>
      <c r="OP6" s="49"/>
      <c r="OQ6" s="49"/>
      <c r="OR6" s="49"/>
      <c r="OS6" s="49"/>
      <c r="OT6" s="49"/>
      <c r="OU6" s="49"/>
      <c r="OV6" s="49"/>
      <c r="OW6" s="49"/>
      <c r="OX6" s="49"/>
      <c r="OY6" s="49"/>
      <c r="OZ6" s="49"/>
      <c r="PA6" s="49"/>
      <c r="PB6" s="49"/>
      <c r="PC6" s="49"/>
      <c r="PD6" s="49"/>
      <c r="PE6" s="260"/>
      <c r="PF6" s="276"/>
      <c r="PG6" s="49"/>
      <c r="PH6" s="49"/>
      <c r="PI6" s="249"/>
      <c r="PJ6" s="254"/>
      <c r="PK6" s="49"/>
      <c r="PL6" s="49"/>
      <c r="PM6" s="49"/>
      <c r="PN6" s="49"/>
      <c r="PO6" s="49"/>
      <c r="PP6" s="49"/>
      <c r="PQ6" s="49"/>
      <c r="PR6" s="49"/>
      <c r="PS6" s="49"/>
      <c r="PT6" s="49"/>
      <c r="PU6" s="49"/>
      <c r="PV6" s="49"/>
      <c r="PW6" s="49"/>
      <c r="PX6" s="49"/>
      <c r="PY6" s="49"/>
      <c r="PZ6" s="260"/>
      <c r="QA6" s="276"/>
      <c r="QB6" s="49"/>
      <c r="QC6" s="49"/>
      <c r="QD6" s="249"/>
      <c r="QE6" s="254"/>
      <c r="QF6" s="49"/>
      <c r="QG6" s="49"/>
      <c r="QH6" s="49"/>
      <c r="QI6" s="49"/>
      <c r="QJ6" s="49"/>
      <c r="QK6" s="49"/>
      <c r="QL6" s="49"/>
      <c r="QM6" s="49"/>
      <c r="QN6" s="49"/>
      <c r="QO6" s="49"/>
      <c r="QP6" s="49"/>
      <c r="QQ6" s="49"/>
      <c r="QR6" s="49"/>
      <c r="QS6" s="49"/>
      <c r="QT6" s="49"/>
      <c r="QU6" s="260"/>
      <c r="QV6" s="276"/>
      <c r="QW6" s="49"/>
      <c r="QX6" s="49"/>
      <c r="QY6" s="249"/>
      <c r="QZ6" s="254"/>
      <c r="RA6" s="49"/>
      <c r="RB6" s="49"/>
      <c r="RC6" s="49"/>
      <c r="RD6" s="49"/>
      <c r="RE6" s="49"/>
      <c r="RF6" s="49"/>
      <c r="RG6" s="49"/>
      <c r="RH6" s="49"/>
      <c r="RI6" s="49"/>
      <c r="RJ6" s="49"/>
      <c r="RK6" s="49"/>
      <c r="RL6" s="49"/>
      <c r="RM6" s="49"/>
      <c r="RN6" s="49"/>
      <c r="RO6" s="49"/>
      <c r="RP6" s="260"/>
      <c r="RQ6" s="276"/>
      <c r="RR6" s="49"/>
      <c r="RS6" s="49"/>
      <c r="RT6" s="249"/>
      <c r="RU6" s="254"/>
      <c r="RV6" s="49"/>
      <c r="RW6" s="49"/>
      <c r="RX6" s="49"/>
      <c r="RY6" s="49"/>
      <c r="RZ6" s="49"/>
      <c r="SA6" s="49"/>
      <c r="SB6" s="49"/>
      <c r="SC6" s="49"/>
      <c r="SD6" s="49"/>
      <c r="SE6" s="49"/>
      <c r="SF6" s="49"/>
      <c r="SG6" s="49"/>
      <c r="SH6" s="49"/>
      <c r="SI6" s="49"/>
      <c r="SJ6" s="49"/>
      <c r="SK6" s="260"/>
      <c r="SL6" s="276"/>
      <c r="SM6" s="49"/>
      <c r="SN6" s="49"/>
      <c r="SO6" s="249"/>
      <c r="SP6" s="254"/>
      <c r="SQ6" s="49"/>
      <c r="SR6" s="49"/>
      <c r="SS6" s="49"/>
      <c r="ST6" s="49"/>
      <c r="SU6" s="49"/>
      <c r="SV6" s="49"/>
      <c r="SW6" s="49"/>
      <c r="SX6" s="49"/>
      <c r="SY6" s="49"/>
      <c r="SZ6" s="49"/>
      <c r="TA6" s="49"/>
      <c r="TB6" s="49"/>
      <c r="TC6" s="49"/>
      <c r="TD6" s="49"/>
      <c r="TE6" s="49"/>
      <c r="TF6" s="260"/>
      <c r="TG6" s="276"/>
      <c r="TH6" s="49"/>
      <c r="TI6" s="49"/>
      <c r="TJ6" s="249"/>
      <c r="TK6" s="254"/>
      <c r="TL6" s="49"/>
      <c r="TM6" s="49"/>
      <c r="TN6" s="49"/>
      <c r="TO6" s="49"/>
      <c r="TP6" s="49"/>
      <c r="TQ6" s="49"/>
      <c r="TR6" s="49"/>
      <c r="TS6" s="49"/>
      <c r="TT6" s="49"/>
      <c r="TU6" s="49"/>
      <c r="TV6" s="49"/>
      <c r="TW6" s="49"/>
      <c r="TX6" s="49"/>
      <c r="TY6" s="49"/>
      <c r="TZ6" s="49"/>
      <c r="UA6" s="260"/>
      <c r="UB6" s="276"/>
      <c r="UC6" s="49"/>
      <c r="UD6" s="49"/>
      <c r="UE6" s="249"/>
      <c r="UF6" s="254"/>
      <c r="UG6" s="49"/>
      <c r="UH6" s="49"/>
      <c r="UI6" s="49"/>
      <c r="UJ6" s="49"/>
      <c r="UK6" s="49"/>
      <c r="UL6" s="49"/>
      <c r="UM6" s="49"/>
      <c r="UN6" s="49"/>
      <c r="UO6" s="49"/>
      <c r="UP6" s="49"/>
      <c r="UQ6" s="49"/>
      <c r="UR6" s="49"/>
      <c r="US6" s="49"/>
      <c r="UT6" s="49"/>
      <c r="UU6" s="49"/>
      <c r="UV6" s="260"/>
      <c r="UW6" s="276"/>
      <c r="UX6" s="49"/>
      <c r="UY6" s="49"/>
      <c r="UZ6" s="249"/>
      <c r="VA6" s="254"/>
      <c r="VB6" s="49"/>
      <c r="VC6" s="49"/>
      <c r="VD6" s="49"/>
      <c r="VE6" s="49"/>
      <c r="VF6" s="49"/>
      <c r="VG6" s="49"/>
      <c r="VH6" s="49"/>
      <c r="VI6" s="49"/>
      <c r="VJ6" s="49"/>
      <c r="VK6" s="49"/>
      <c r="VL6" s="49"/>
      <c r="VM6" s="49"/>
      <c r="VN6" s="49"/>
      <c r="VO6" s="49"/>
      <c r="VP6" s="49"/>
      <c r="VQ6" s="260"/>
      <c r="VR6" s="276"/>
      <c r="VS6" s="49"/>
      <c r="VT6" s="49"/>
      <c r="VU6" s="249"/>
      <c r="VV6" s="254"/>
      <c r="VW6" s="49"/>
      <c r="VX6" s="49"/>
      <c r="VY6" s="49"/>
      <c r="VZ6" s="49"/>
      <c r="WA6" s="49"/>
      <c r="WB6" s="49"/>
      <c r="WC6" s="49"/>
      <c r="WD6" s="49"/>
      <c r="WE6" s="49"/>
      <c r="WF6" s="49"/>
      <c r="WG6" s="49"/>
      <c r="WH6" s="49"/>
      <c r="WI6" s="49"/>
      <c r="WJ6" s="49"/>
      <c r="WK6" s="49"/>
      <c r="WL6" s="260"/>
      <c r="WM6" s="276"/>
      <c r="WN6" s="49"/>
      <c r="WO6" s="49"/>
      <c r="WP6" s="249"/>
      <c r="WQ6" s="254"/>
      <c r="WR6" s="49"/>
      <c r="WS6" s="49"/>
      <c r="WT6" s="49"/>
      <c r="WU6" s="49"/>
      <c r="WV6" s="49"/>
      <c r="WW6" s="49"/>
      <c r="WX6" s="49"/>
      <c r="WY6" s="49"/>
      <c r="WZ6" s="49"/>
      <c r="XA6" s="49"/>
      <c r="XB6" s="49"/>
      <c r="XC6" s="49"/>
      <c r="XD6" s="49"/>
      <c r="XE6" s="49"/>
      <c r="XF6" s="49"/>
      <c r="XG6" s="260"/>
      <c r="XH6" s="276"/>
      <c r="XI6" s="49"/>
      <c r="XJ6" s="49"/>
      <c r="XK6" s="249"/>
      <c r="XL6" s="254"/>
      <c r="XM6" s="49"/>
      <c r="XN6" s="49"/>
      <c r="XO6" s="49"/>
      <c r="XP6" s="49"/>
      <c r="XQ6" s="49"/>
      <c r="XR6" s="49"/>
      <c r="XS6" s="49"/>
      <c r="XT6" s="49"/>
      <c r="XU6" s="49"/>
      <c r="XV6" s="49"/>
      <c r="XW6" s="49"/>
      <c r="XX6" s="49"/>
      <c r="XY6" s="49"/>
      <c r="XZ6" s="49"/>
      <c r="YA6" s="49"/>
      <c r="YB6" s="260"/>
    </row>
    <row r="7" spans="1:652" x14ac:dyDescent="0.3">
      <c r="A7" s="224" t="s">
        <v>101</v>
      </c>
      <c r="B7" s="270"/>
      <c r="C7" s="10"/>
      <c r="D7" s="10"/>
      <c r="E7" s="234"/>
      <c r="F7" s="240">
        <v>1</v>
      </c>
      <c r="G7" s="241"/>
      <c r="H7" s="241"/>
      <c r="I7" s="241"/>
      <c r="J7" s="12"/>
      <c r="K7" s="12" t="s">
        <v>566</v>
      </c>
      <c r="L7" s="241">
        <v>371.1</v>
      </c>
      <c r="M7" s="241" t="s">
        <v>567</v>
      </c>
      <c r="N7" s="241" t="s">
        <v>568</v>
      </c>
      <c r="O7" s="241"/>
      <c r="P7" s="241"/>
      <c r="Q7" s="241"/>
      <c r="R7" s="241"/>
      <c r="S7" s="241"/>
      <c r="T7" s="241"/>
      <c r="U7" s="241"/>
      <c r="V7" s="272"/>
      <c r="W7" s="277"/>
      <c r="X7" s="241"/>
      <c r="Y7" s="241"/>
      <c r="Z7" s="250"/>
      <c r="AA7" s="255">
        <v>1</v>
      </c>
      <c r="AB7" s="241"/>
      <c r="AC7" s="241" t="s">
        <v>569</v>
      </c>
      <c r="AD7" s="241" t="s">
        <v>570</v>
      </c>
      <c r="AE7" s="12" t="s">
        <v>571</v>
      </c>
      <c r="AF7" s="242" t="s">
        <v>572</v>
      </c>
      <c r="AG7" s="241">
        <v>31.246500000000001</v>
      </c>
      <c r="AH7" s="241" t="s">
        <v>573</v>
      </c>
      <c r="AI7" s="12" t="s">
        <v>568</v>
      </c>
      <c r="AJ7" s="14">
        <v>43747</v>
      </c>
      <c r="AK7" s="241" t="s">
        <v>574</v>
      </c>
      <c r="AL7" s="241"/>
      <c r="AM7" s="241"/>
      <c r="AN7" s="241"/>
      <c r="AO7" s="241"/>
      <c r="AP7" s="241"/>
      <c r="AQ7" s="272"/>
      <c r="AR7" s="270"/>
      <c r="AS7" s="10"/>
      <c r="AT7" s="10"/>
      <c r="AU7" s="234"/>
      <c r="AV7" s="240">
        <v>1</v>
      </c>
      <c r="AW7" s="241"/>
      <c r="AX7" s="241"/>
      <c r="AY7" s="241"/>
      <c r="AZ7" s="12"/>
      <c r="BA7" s="12" t="s">
        <v>575</v>
      </c>
      <c r="BB7" s="241">
        <v>377.4</v>
      </c>
      <c r="BC7" s="241" t="s">
        <v>567</v>
      </c>
      <c r="BD7" s="12" t="s">
        <v>568</v>
      </c>
      <c r="BE7" s="12"/>
      <c r="BF7" s="241"/>
      <c r="BG7" s="12"/>
      <c r="BH7" s="12"/>
      <c r="BI7" s="12"/>
      <c r="BJ7" s="12"/>
      <c r="BK7" s="12"/>
      <c r="BL7" s="261"/>
      <c r="BM7" s="277"/>
      <c r="BN7" s="241"/>
      <c r="BO7" s="241"/>
      <c r="BP7" s="250"/>
      <c r="BQ7" s="255">
        <v>1</v>
      </c>
      <c r="BR7" s="241"/>
      <c r="BS7" s="241"/>
      <c r="BT7" s="241"/>
      <c r="BU7" s="12"/>
      <c r="BV7" s="12" t="s">
        <v>576</v>
      </c>
      <c r="BW7" s="241">
        <v>162.19999999999999</v>
      </c>
      <c r="BX7" s="241" t="s">
        <v>567</v>
      </c>
      <c r="BY7" s="12" t="s">
        <v>568</v>
      </c>
      <c r="BZ7" s="12"/>
      <c r="CA7" s="241"/>
      <c r="CB7" s="12"/>
      <c r="CC7" s="12"/>
      <c r="CD7" s="12"/>
      <c r="CE7" s="12"/>
      <c r="CF7" s="12"/>
      <c r="CG7" s="261"/>
      <c r="CH7" s="277"/>
      <c r="CI7" s="241"/>
      <c r="CJ7" s="241"/>
      <c r="CK7" s="250"/>
      <c r="CL7" s="68"/>
      <c r="CM7" s="68"/>
      <c r="CN7" s="68"/>
      <c r="CO7" s="68"/>
      <c r="CP7" s="46"/>
      <c r="CQ7" s="81"/>
      <c r="CR7" s="68"/>
      <c r="CS7" s="100"/>
      <c r="CT7" s="85"/>
      <c r="CU7" s="46"/>
      <c r="CV7" s="243"/>
      <c r="CW7" s="12"/>
      <c r="CX7" s="12"/>
      <c r="CY7" s="12"/>
      <c r="CZ7" s="12"/>
      <c r="DA7" s="12"/>
      <c r="DB7" s="261"/>
      <c r="DC7" s="277"/>
      <c r="DD7" s="241"/>
      <c r="DE7" s="241"/>
      <c r="DF7" s="250"/>
      <c r="DG7" s="255"/>
      <c r="DH7" s="241"/>
      <c r="DI7" s="241"/>
      <c r="DJ7" s="241"/>
      <c r="DK7" s="12"/>
      <c r="DL7" s="12"/>
      <c r="DM7" s="241"/>
      <c r="DN7" s="241"/>
      <c r="DO7" s="12"/>
      <c r="DP7" s="12"/>
      <c r="DQ7" s="241"/>
      <c r="DR7" s="12"/>
      <c r="DS7" s="12"/>
      <c r="DT7" s="12"/>
      <c r="DU7" s="12"/>
      <c r="DV7" s="12"/>
      <c r="DW7" s="261"/>
      <c r="DX7" s="277"/>
      <c r="DY7" s="241"/>
      <c r="DZ7" s="241"/>
      <c r="EA7" s="250"/>
      <c r="EB7" s="68"/>
      <c r="EC7" s="68"/>
      <c r="ED7" s="68"/>
      <c r="EE7" s="68"/>
      <c r="EF7" s="46"/>
      <c r="EG7" s="81"/>
      <c r="EH7" s="68"/>
      <c r="EI7" s="100"/>
      <c r="EJ7" s="85"/>
      <c r="EK7" s="46"/>
      <c r="EL7" s="243"/>
      <c r="EM7" s="12"/>
      <c r="EN7" s="12"/>
      <c r="EO7" s="12"/>
      <c r="EP7" s="12"/>
      <c r="EQ7" s="12"/>
      <c r="ER7" s="261"/>
      <c r="ES7" s="277"/>
      <c r="ET7" s="241"/>
      <c r="EU7" s="241"/>
      <c r="EV7" s="250"/>
      <c r="EW7" s="255"/>
      <c r="EX7" s="241"/>
      <c r="EY7" s="241"/>
      <c r="EZ7" s="241"/>
      <c r="FA7" s="12"/>
      <c r="FB7" s="12"/>
      <c r="FC7" s="241"/>
      <c r="FD7" s="241"/>
      <c r="FE7" s="12"/>
      <c r="FF7" s="12"/>
      <c r="FG7" s="241"/>
      <c r="FH7" s="12"/>
      <c r="FI7" s="12"/>
      <c r="FJ7" s="12"/>
      <c r="FK7" s="12"/>
      <c r="FL7" s="12"/>
      <c r="FM7" s="261"/>
      <c r="FN7" s="277"/>
      <c r="FO7" s="241"/>
      <c r="FP7" s="241"/>
      <c r="FQ7" s="250"/>
      <c r="FR7" s="68"/>
      <c r="FS7" s="68"/>
      <c r="FT7" s="68"/>
      <c r="FU7" s="68"/>
      <c r="FV7" s="46"/>
      <c r="FW7" s="81"/>
      <c r="FX7" s="68"/>
      <c r="FY7" s="100"/>
      <c r="FZ7" s="85"/>
      <c r="GA7" s="46"/>
      <c r="GB7" s="243"/>
      <c r="GC7" s="12"/>
      <c r="GD7" s="12"/>
      <c r="GE7" s="12"/>
      <c r="GF7" s="12"/>
      <c r="GG7" s="12"/>
      <c r="GH7" s="261"/>
      <c r="GI7" s="277"/>
      <c r="GJ7" s="241"/>
      <c r="GK7" s="241"/>
      <c r="GL7" s="250"/>
      <c r="GM7" s="255"/>
      <c r="GN7" s="241"/>
      <c r="GO7" s="241"/>
      <c r="GP7" s="241"/>
      <c r="GQ7" s="12"/>
      <c r="GR7" s="12"/>
      <c r="GS7" s="241"/>
      <c r="GT7" s="241"/>
      <c r="GU7" s="12"/>
      <c r="GV7" s="12"/>
      <c r="GW7" s="241"/>
      <c r="GX7" s="12"/>
      <c r="GY7" s="12"/>
      <c r="GZ7" s="12"/>
      <c r="HA7" s="12"/>
      <c r="HB7" s="12"/>
      <c r="HC7" s="261"/>
      <c r="HD7" s="277"/>
      <c r="HE7" s="241"/>
      <c r="HF7" s="241"/>
      <c r="HG7" s="250"/>
      <c r="HH7" s="255"/>
      <c r="HI7" s="241"/>
      <c r="HJ7" s="241"/>
      <c r="HK7" s="241"/>
      <c r="HL7" s="12"/>
      <c r="HM7" s="12"/>
      <c r="HN7" s="241"/>
      <c r="HO7" s="241"/>
      <c r="HP7" s="12"/>
      <c r="HQ7" s="12"/>
      <c r="HR7" s="241"/>
      <c r="HS7" s="12"/>
      <c r="HT7" s="12"/>
      <c r="HU7" s="12"/>
      <c r="HV7" s="12"/>
      <c r="HW7" s="12"/>
      <c r="HX7" s="261"/>
      <c r="HY7" s="277"/>
      <c r="HZ7" s="241"/>
      <c r="IA7" s="241"/>
      <c r="IB7" s="250"/>
      <c r="IC7" s="255"/>
      <c r="ID7" s="241"/>
      <c r="IE7" s="241"/>
      <c r="IF7" s="241"/>
      <c r="IG7" s="12"/>
      <c r="IH7" s="12"/>
      <c r="II7" s="241"/>
      <c r="IJ7" s="241"/>
      <c r="IK7" s="12"/>
      <c r="IL7" s="12"/>
      <c r="IM7" s="241"/>
      <c r="IN7" s="12"/>
      <c r="IO7" s="12"/>
      <c r="IP7" s="12"/>
      <c r="IQ7" s="12"/>
      <c r="IR7" s="12"/>
      <c r="IS7" s="261"/>
      <c r="IT7" s="277"/>
      <c r="IU7" s="241"/>
      <c r="IV7" s="241"/>
      <c r="IW7" s="250"/>
      <c r="IX7" s="255"/>
      <c r="IY7" s="241"/>
      <c r="IZ7" s="241"/>
      <c r="JA7" s="241"/>
      <c r="JB7" s="12"/>
      <c r="JC7" s="12"/>
      <c r="JD7" s="241"/>
      <c r="JE7" s="241"/>
      <c r="JF7" s="12"/>
      <c r="JG7" s="12"/>
      <c r="JH7" s="241"/>
      <c r="JI7" s="12"/>
      <c r="JJ7" s="12"/>
      <c r="JK7" s="12"/>
      <c r="JL7" s="12"/>
      <c r="JM7" s="12"/>
      <c r="JN7" s="261"/>
      <c r="JO7" s="277"/>
      <c r="JP7" s="241"/>
      <c r="JQ7" s="241"/>
      <c r="JR7" s="250"/>
      <c r="JS7" s="255"/>
      <c r="JT7" s="241"/>
      <c r="JU7" s="241"/>
      <c r="JV7" s="241"/>
      <c r="JW7" s="12"/>
      <c r="JX7" s="12"/>
      <c r="JY7" s="241"/>
      <c r="JZ7" s="241"/>
      <c r="KA7" s="12"/>
      <c r="KB7" s="12"/>
      <c r="KC7" s="241"/>
      <c r="KD7" s="12"/>
      <c r="KE7" s="12"/>
      <c r="KF7" s="12"/>
      <c r="KG7" s="12"/>
      <c r="KH7" s="12"/>
      <c r="KI7" s="261"/>
      <c r="KJ7" s="277"/>
      <c r="KK7" s="241"/>
      <c r="KL7" s="241"/>
      <c r="KM7" s="250"/>
      <c r="KN7" s="255"/>
      <c r="KO7" s="241"/>
      <c r="KP7" s="241"/>
      <c r="KQ7" s="241"/>
      <c r="KR7" s="12"/>
      <c r="KS7" s="12"/>
      <c r="KT7" s="241"/>
      <c r="KU7" s="241"/>
      <c r="KV7" s="12"/>
      <c r="KW7" s="12"/>
      <c r="KX7" s="241"/>
      <c r="KY7" s="12"/>
      <c r="KZ7" s="12"/>
      <c r="LA7" s="12"/>
      <c r="LB7" s="12"/>
      <c r="LC7" s="12"/>
      <c r="LD7" s="261"/>
      <c r="LE7" s="277"/>
      <c r="LF7" s="241"/>
      <c r="LG7" s="241"/>
      <c r="LH7" s="250"/>
      <c r="LI7" s="255"/>
      <c r="LJ7" s="241"/>
      <c r="LK7" s="241"/>
      <c r="LL7" s="241"/>
      <c r="LM7" s="12"/>
      <c r="LN7" s="12"/>
      <c r="LO7" s="241"/>
      <c r="LP7" s="241"/>
      <c r="LQ7" s="12"/>
      <c r="LR7" s="12"/>
      <c r="LS7" s="241"/>
      <c r="LT7" s="12"/>
      <c r="LU7" s="12"/>
      <c r="LV7" s="12"/>
      <c r="LW7" s="12"/>
      <c r="LX7" s="12"/>
      <c r="LY7" s="261"/>
      <c r="LZ7" s="277"/>
      <c r="MA7" s="241"/>
      <c r="MB7" s="241"/>
      <c r="MC7" s="250"/>
      <c r="MD7" s="255"/>
      <c r="ME7" s="241"/>
      <c r="MF7" s="241"/>
      <c r="MG7" s="241"/>
      <c r="MH7" s="12"/>
      <c r="MI7" s="12"/>
      <c r="MJ7" s="241"/>
      <c r="MK7" s="241"/>
      <c r="ML7" s="12"/>
      <c r="MM7" s="12"/>
      <c r="MN7" s="241"/>
      <c r="MO7" s="12"/>
      <c r="MP7" s="12"/>
      <c r="MQ7" s="12"/>
      <c r="MR7" s="12"/>
      <c r="MS7" s="12"/>
      <c r="MT7" s="261"/>
      <c r="MU7" s="277"/>
      <c r="MV7" s="241"/>
      <c r="MW7" s="241"/>
      <c r="MX7" s="250"/>
      <c r="MY7" s="255"/>
      <c r="MZ7" s="241"/>
      <c r="NA7" s="241"/>
      <c r="NB7" s="241"/>
      <c r="NC7" s="12"/>
      <c r="ND7" s="12"/>
      <c r="NE7" s="241"/>
      <c r="NF7" s="241"/>
      <c r="NG7" s="12"/>
      <c r="NH7" s="12"/>
      <c r="NI7" s="241"/>
      <c r="NJ7" s="12"/>
      <c r="NK7" s="12"/>
      <c r="NL7" s="12"/>
      <c r="NM7" s="12"/>
      <c r="NN7" s="12"/>
      <c r="NO7" s="261"/>
      <c r="NP7" s="277"/>
      <c r="NQ7" s="241"/>
      <c r="NR7" s="241"/>
      <c r="NS7" s="250"/>
      <c r="NT7" s="255"/>
      <c r="NU7" s="241"/>
      <c r="NV7" s="241"/>
      <c r="NW7" s="241"/>
      <c r="NX7" s="12"/>
      <c r="NY7" s="12"/>
      <c r="NZ7" s="241"/>
      <c r="OA7" s="241"/>
      <c r="OB7" s="12"/>
      <c r="OC7" s="12"/>
      <c r="OD7" s="241"/>
      <c r="OE7" s="12"/>
      <c r="OF7" s="12"/>
      <c r="OG7" s="12"/>
      <c r="OH7" s="12"/>
      <c r="OI7" s="12"/>
      <c r="OJ7" s="261"/>
      <c r="OK7" s="277"/>
      <c r="OL7" s="241"/>
      <c r="OM7" s="241"/>
      <c r="ON7" s="250"/>
      <c r="OO7" s="255"/>
      <c r="OP7" s="241"/>
      <c r="OQ7" s="241"/>
      <c r="OR7" s="241"/>
      <c r="OS7" s="12"/>
      <c r="OT7" s="12"/>
      <c r="OU7" s="241"/>
      <c r="OV7" s="241"/>
      <c r="OW7" s="12"/>
      <c r="OX7" s="12"/>
      <c r="OY7" s="241"/>
      <c r="OZ7" s="12"/>
      <c r="PA7" s="12"/>
      <c r="PB7" s="12"/>
      <c r="PC7" s="12"/>
      <c r="PD7" s="12"/>
      <c r="PE7" s="261"/>
      <c r="PF7" s="277"/>
      <c r="PG7" s="241"/>
      <c r="PH7" s="241"/>
      <c r="PI7" s="250"/>
      <c r="PJ7" s="255"/>
      <c r="PK7" s="241"/>
      <c r="PL7" s="241"/>
      <c r="PM7" s="241"/>
      <c r="PN7" s="12"/>
      <c r="PO7" s="12"/>
      <c r="PP7" s="241"/>
      <c r="PQ7" s="241"/>
      <c r="PR7" s="12"/>
      <c r="PS7" s="12"/>
      <c r="PT7" s="241"/>
      <c r="PU7" s="12"/>
      <c r="PV7" s="12"/>
      <c r="PW7" s="12"/>
      <c r="PX7" s="12"/>
      <c r="PY7" s="12"/>
      <c r="PZ7" s="261"/>
      <c r="QA7" s="277"/>
      <c r="QB7" s="241"/>
      <c r="QC7" s="241"/>
      <c r="QD7" s="250"/>
      <c r="QE7" s="255"/>
      <c r="QF7" s="241"/>
      <c r="QG7" s="241"/>
      <c r="QH7" s="241"/>
      <c r="QI7" s="12"/>
      <c r="QJ7" s="12"/>
      <c r="QK7" s="241"/>
      <c r="QL7" s="241"/>
      <c r="QM7" s="12"/>
      <c r="QN7" s="12"/>
      <c r="QO7" s="241"/>
      <c r="QP7" s="12"/>
      <c r="QQ7" s="12"/>
      <c r="QR7" s="12"/>
      <c r="QS7" s="12"/>
      <c r="QT7" s="12"/>
      <c r="QU7" s="261"/>
      <c r="QV7" s="277"/>
      <c r="QW7" s="241"/>
      <c r="QX7" s="241"/>
      <c r="QY7" s="250"/>
      <c r="QZ7" s="255"/>
      <c r="RA7" s="241"/>
      <c r="RB7" s="241"/>
      <c r="RC7" s="241"/>
      <c r="RD7" s="12"/>
      <c r="RE7" s="12"/>
      <c r="RF7" s="241"/>
      <c r="RG7" s="241"/>
      <c r="RH7" s="12"/>
      <c r="RI7" s="12"/>
      <c r="RJ7" s="241"/>
      <c r="RK7" s="12"/>
      <c r="RL7" s="12"/>
      <c r="RM7" s="12"/>
      <c r="RN7" s="12"/>
      <c r="RO7" s="12"/>
      <c r="RP7" s="261"/>
      <c r="RQ7" s="277"/>
      <c r="RR7" s="241"/>
      <c r="RS7" s="241"/>
      <c r="RT7" s="250"/>
      <c r="RU7" s="255"/>
      <c r="RV7" s="241"/>
      <c r="RW7" s="241"/>
      <c r="RX7" s="241"/>
      <c r="RY7" s="12"/>
      <c r="RZ7" s="12"/>
      <c r="SA7" s="241"/>
      <c r="SB7" s="241"/>
      <c r="SC7" s="12"/>
      <c r="SD7" s="12"/>
      <c r="SE7" s="241"/>
      <c r="SF7" s="12"/>
      <c r="SG7" s="12"/>
      <c r="SH7" s="12"/>
      <c r="SI7" s="12"/>
      <c r="SJ7" s="12"/>
      <c r="SK7" s="261"/>
      <c r="SL7" s="277"/>
      <c r="SM7" s="241"/>
      <c r="SN7" s="241"/>
      <c r="SO7" s="250"/>
      <c r="SP7" s="255"/>
      <c r="SQ7" s="241"/>
      <c r="SR7" s="241"/>
      <c r="SS7" s="241"/>
      <c r="ST7" s="12"/>
      <c r="SU7" s="12"/>
      <c r="SV7" s="241"/>
      <c r="SW7" s="241"/>
      <c r="SX7" s="12"/>
      <c r="SY7" s="12"/>
      <c r="SZ7" s="241"/>
      <c r="TA7" s="12"/>
      <c r="TB7" s="12"/>
      <c r="TC7" s="12"/>
      <c r="TD7" s="12"/>
      <c r="TE7" s="12"/>
      <c r="TF7" s="261"/>
      <c r="TG7" s="277"/>
      <c r="TH7" s="241"/>
      <c r="TI7" s="241"/>
      <c r="TJ7" s="250"/>
      <c r="TK7" s="255"/>
      <c r="TL7" s="241"/>
      <c r="TM7" s="241"/>
      <c r="TN7" s="241"/>
      <c r="TO7" s="12"/>
      <c r="TP7" s="12"/>
      <c r="TQ7" s="241"/>
      <c r="TR7" s="241"/>
      <c r="TS7" s="12"/>
      <c r="TT7" s="12"/>
      <c r="TU7" s="241"/>
      <c r="TV7" s="12"/>
      <c r="TW7" s="12"/>
      <c r="TX7" s="12"/>
      <c r="TY7" s="12"/>
      <c r="TZ7" s="12"/>
      <c r="UA7" s="261"/>
      <c r="UB7" s="277"/>
      <c r="UC7" s="241"/>
      <c r="UD7" s="241"/>
      <c r="UE7" s="250"/>
      <c r="UF7" s="255"/>
      <c r="UG7" s="241"/>
      <c r="UH7" s="241"/>
      <c r="UI7" s="241"/>
      <c r="UJ7" s="12"/>
      <c r="UK7" s="12"/>
      <c r="UL7" s="241"/>
      <c r="UM7" s="241"/>
      <c r="UN7" s="12"/>
      <c r="UO7" s="12"/>
      <c r="UP7" s="241"/>
      <c r="UQ7" s="12"/>
      <c r="UR7" s="12"/>
      <c r="US7" s="12"/>
      <c r="UT7" s="12"/>
      <c r="UU7" s="12"/>
      <c r="UV7" s="261"/>
      <c r="UW7" s="277"/>
      <c r="UX7" s="241"/>
      <c r="UY7" s="241"/>
      <c r="UZ7" s="250"/>
      <c r="VA7" s="255"/>
      <c r="VB7" s="241"/>
      <c r="VC7" s="241"/>
      <c r="VD7" s="241"/>
      <c r="VE7" s="12"/>
      <c r="VF7" s="12"/>
      <c r="VG7" s="241"/>
      <c r="VH7" s="241"/>
      <c r="VI7" s="12"/>
      <c r="VJ7" s="12"/>
      <c r="VK7" s="241"/>
      <c r="VL7" s="12"/>
      <c r="VM7" s="12"/>
      <c r="VN7" s="12"/>
      <c r="VO7" s="12"/>
      <c r="VP7" s="12"/>
      <c r="VQ7" s="261"/>
      <c r="VR7" s="277"/>
      <c r="VS7" s="241"/>
      <c r="VT7" s="241"/>
      <c r="VU7" s="250"/>
      <c r="VV7" s="255"/>
      <c r="VW7" s="241"/>
      <c r="VX7" s="241"/>
      <c r="VY7" s="241"/>
      <c r="VZ7" s="12"/>
      <c r="WA7" s="12"/>
      <c r="WB7" s="241"/>
      <c r="WC7" s="241"/>
      <c r="WD7" s="12"/>
      <c r="WE7" s="12"/>
      <c r="WF7" s="241"/>
      <c r="WG7" s="12"/>
      <c r="WH7" s="12"/>
      <c r="WI7" s="12"/>
      <c r="WJ7" s="12"/>
      <c r="WK7" s="12"/>
      <c r="WL7" s="261"/>
      <c r="WM7" s="277"/>
      <c r="WN7" s="241"/>
      <c r="WO7" s="241"/>
      <c r="WP7" s="250"/>
      <c r="WQ7" s="255"/>
      <c r="WR7" s="241"/>
      <c r="WS7" s="241"/>
      <c r="WT7" s="241"/>
      <c r="WU7" s="12"/>
      <c r="WV7" s="12"/>
      <c r="WW7" s="241"/>
      <c r="WX7" s="241"/>
      <c r="WY7" s="12"/>
      <c r="WZ7" s="12"/>
      <c r="XA7" s="241"/>
      <c r="XB7" s="12"/>
      <c r="XC7" s="12"/>
      <c r="XD7" s="12"/>
      <c r="XE7" s="12"/>
      <c r="XF7" s="12"/>
      <c r="XG7" s="261"/>
      <c r="XH7" s="277"/>
      <c r="XI7" s="241"/>
      <c r="XJ7" s="241"/>
      <c r="XK7" s="250"/>
      <c r="XL7" s="255"/>
      <c r="XM7" s="241"/>
      <c r="XN7" s="241"/>
      <c r="XO7" s="241"/>
      <c r="XP7" s="12"/>
      <c r="XQ7" s="12"/>
      <c r="XR7" s="241"/>
      <c r="XS7" s="241"/>
      <c r="XT7" s="12"/>
      <c r="XU7" s="12"/>
      <c r="XV7" s="241"/>
      <c r="XW7" s="12"/>
      <c r="XX7" s="12"/>
      <c r="XY7" s="12"/>
      <c r="XZ7" s="12"/>
      <c r="YA7" s="12"/>
      <c r="YB7" s="261"/>
    </row>
    <row r="8" spans="1:652" x14ac:dyDescent="0.3">
      <c r="A8" s="223" t="s">
        <v>106</v>
      </c>
      <c r="B8" s="271"/>
      <c r="C8" s="48"/>
      <c r="D8" s="48"/>
      <c r="E8" s="235"/>
      <c r="F8" s="239"/>
      <c r="G8" s="49"/>
      <c r="H8" s="49"/>
      <c r="I8" s="49"/>
      <c r="J8" s="49"/>
      <c r="K8" s="49"/>
      <c r="L8" s="49"/>
      <c r="M8" s="49"/>
      <c r="N8" s="49"/>
      <c r="O8" s="49"/>
      <c r="P8" s="49"/>
      <c r="Q8" s="49"/>
      <c r="R8" s="49"/>
      <c r="S8" s="49"/>
      <c r="T8" s="49"/>
      <c r="U8" s="49"/>
      <c r="V8" s="260"/>
      <c r="W8" s="276"/>
      <c r="X8" s="49"/>
      <c r="Y8" s="49"/>
      <c r="Z8" s="249"/>
      <c r="AA8" s="254"/>
      <c r="AB8" s="49"/>
      <c r="AC8" s="49"/>
      <c r="AD8" s="49"/>
      <c r="AE8" s="49"/>
      <c r="AF8" s="49"/>
      <c r="AG8" s="49"/>
      <c r="AH8" s="49"/>
      <c r="AI8" s="49"/>
      <c r="AJ8" s="49"/>
      <c r="AK8" s="49"/>
      <c r="AL8" s="49"/>
      <c r="AM8" s="49"/>
      <c r="AN8" s="49"/>
      <c r="AO8" s="49"/>
      <c r="AP8" s="49"/>
      <c r="AQ8" s="260"/>
      <c r="AR8" s="271"/>
      <c r="AS8" s="48"/>
      <c r="AT8" s="48"/>
      <c r="AU8" s="235"/>
      <c r="AV8" s="239"/>
      <c r="AW8" s="49"/>
      <c r="AX8" s="49"/>
      <c r="AY8" s="49"/>
      <c r="AZ8" s="49"/>
      <c r="BA8" s="49"/>
      <c r="BB8" s="49"/>
      <c r="BC8" s="49"/>
      <c r="BD8" s="49"/>
      <c r="BE8" s="49"/>
      <c r="BF8" s="49"/>
      <c r="BG8" s="49"/>
      <c r="BH8" s="49"/>
      <c r="BI8" s="49"/>
      <c r="BJ8" s="49"/>
      <c r="BK8" s="49"/>
      <c r="BL8" s="260"/>
      <c r="BM8" s="276"/>
      <c r="BN8" s="49"/>
      <c r="BO8" s="49"/>
      <c r="BP8" s="249"/>
      <c r="BQ8" s="254"/>
      <c r="BR8" s="49"/>
      <c r="BS8" s="49"/>
      <c r="BT8" s="49"/>
      <c r="BU8" s="49"/>
      <c r="BV8" s="49"/>
      <c r="BW8" s="49"/>
      <c r="BX8" s="49"/>
      <c r="BY8" s="49"/>
      <c r="BZ8" s="49"/>
      <c r="CA8" s="49"/>
      <c r="CB8" s="49"/>
      <c r="CC8" s="49"/>
      <c r="CD8" s="49"/>
      <c r="CE8" s="49"/>
      <c r="CF8" s="49"/>
      <c r="CG8" s="260"/>
      <c r="CH8" s="276"/>
      <c r="CI8" s="49"/>
      <c r="CJ8" s="49"/>
      <c r="CK8" s="249"/>
      <c r="CL8" s="53"/>
      <c r="CM8" s="53"/>
      <c r="CN8" s="53"/>
      <c r="CO8" s="53"/>
      <c r="CP8" s="53"/>
      <c r="CQ8" s="80"/>
      <c r="CR8" s="53"/>
      <c r="CS8" s="54"/>
      <c r="CT8" s="84"/>
      <c r="CU8" s="53"/>
      <c r="CV8" s="66"/>
      <c r="CW8" s="49"/>
      <c r="CX8" s="49"/>
      <c r="CY8" s="49"/>
      <c r="CZ8" s="49"/>
      <c r="DA8" s="49"/>
      <c r="DB8" s="260"/>
      <c r="DC8" s="276"/>
      <c r="DD8" s="49"/>
      <c r="DE8" s="49"/>
      <c r="DF8" s="249"/>
      <c r="DG8" s="254"/>
      <c r="DH8" s="49"/>
      <c r="DI8" s="49"/>
      <c r="DJ8" s="49"/>
      <c r="DK8" s="49"/>
      <c r="DL8" s="49"/>
      <c r="DM8" s="49"/>
      <c r="DN8" s="49"/>
      <c r="DO8" s="49"/>
      <c r="DP8" s="49"/>
      <c r="DQ8" s="49"/>
      <c r="DR8" s="49"/>
      <c r="DS8" s="49"/>
      <c r="DT8" s="49"/>
      <c r="DU8" s="49"/>
      <c r="DV8" s="49"/>
      <c r="DW8" s="260"/>
      <c r="DX8" s="276"/>
      <c r="DY8" s="49"/>
      <c r="DZ8" s="49"/>
      <c r="EA8" s="249"/>
      <c r="EB8" s="53"/>
      <c r="EC8" s="53"/>
      <c r="ED8" s="53"/>
      <c r="EE8" s="53"/>
      <c r="EF8" s="53"/>
      <c r="EG8" s="80"/>
      <c r="EH8" s="53"/>
      <c r="EI8" s="54"/>
      <c r="EJ8" s="84"/>
      <c r="EK8" s="53"/>
      <c r="EL8" s="66"/>
      <c r="EM8" s="49"/>
      <c r="EN8" s="49"/>
      <c r="EO8" s="49"/>
      <c r="EP8" s="49"/>
      <c r="EQ8" s="49"/>
      <c r="ER8" s="260"/>
      <c r="ES8" s="276"/>
      <c r="ET8" s="49"/>
      <c r="EU8" s="49"/>
      <c r="EV8" s="249"/>
      <c r="EW8" s="254"/>
      <c r="EX8" s="49"/>
      <c r="EY8" s="49"/>
      <c r="EZ8" s="49"/>
      <c r="FA8" s="49"/>
      <c r="FB8" s="49"/>
      <c r="FC8" s="49"/>
      <c r="FD8" s="49"/>
      <c r="FE8" s="49"/>
      <c r="FF8" s="49"/>
      <c r="FG8" s="49"/>
      <c r="FH8" s="49"/>
      <c r="FI8" s="49"/>
      <c r="FJ8" s="49"/>
      <c r="FK8" s="49"/>
      <c r="FL8" s="49"/>
      <c r="FM8" s="260"/>
      <c r="FN8" s="276"/>
      <c r="FO8" s="49"/>
      <c r="FP8" s="49"/>
      <c r="FQ8" s="249"/>
      <c r="FR8" s="53"/>
      <c r="FS8" s="53"/>
      <c r="FT8" s="53"/>
      <c r="FU8" s="53"/>
      <c r="FV8" s="53"/>
      <c r="FW8" s="80"/>
      <c r="FX8" s="53"/>
      <c r="FY8" s="54"/>
      <c r="FZ8" s="84"/>
      <c r="GA8" s="53"/>
      <c r="GB8" s="66"/>
      <c r="GC8" s="49"/>
      <c r="GD8" s="49"/>
      <c r="GE8" s="49"/>
      <c r="GF8" s="49"/>
      <c r="GG8" s="49"/>
      <c r="GH8" s="260"/>
      <c r="GI8" s="276"/>
      <c r="GJ8" s="49"/>
      <c r="GK8" s="49"/>
      <c r="GL8" s="249"/>
      <c r="GM8" s="254"/>
      <c r="GN8" s="49"/>
      <c r="GO8" s="49"/>
      <c r="GP8" s="49"/>
      <c r="GQ8" s="49"/>
      <c r="GR8" s="49"/>
      <c r="GS8" s="49"/>
      <c r="GT8" s="49"/>
      <c r="GU8" s="49"/>
      <c r="GV8" s="49"/>
      <c r="GW8" s="49"/>
      <c r="GX8" s="49"/>
      <c r="GY8" s="49"/>
      <c r="GZ8" s="49"/>
      <c r="HA8" s="49"/>
      <c r="HB8" s="49"/>
      <c r="HC8" s="260"/>
      <c r="HD8" s="276"/>
      <c r="HE8" s="49"/>
      <c r="HF8" s="49"/>
      <c r="HG8" s="249"/>
      <c r="HH8" s="254"/>
      <c r="HI8" s="49"/>
      <c r="HJ8" s="49"/>
      <c r="HK8" s="49"/>
      <c r="HL8" s="49"/>
      <c r="HM8" s="49"/>
      <c r="HN8" s="49"/>
      <c r="HO8" s="49"/>
      <c r="HP8" s="49"/>
      <c r="HQ8" s="49"/>
      <c r="HR8" s="49"/>
      <c r="HS8" s="49"/>
      <c r="HT8" s="49"/>
      <c r="HU8" s="49"/>
      <c r="HV8" s="49"/>
      <c r="HW8" s="49"/>
      <c r="HX8" s="260"/>
      <c r="HY8" s="276"/>
      <c r="HZ8" s="49"/>
      <c r="IA8" s="49"/>
      <c r="IB8" s="249"/>
      <c r="IC8" s="254"/>
      <c r="ID8" s="49"/>
      <c r="IE8" s="49"/>
      <c r="IF8" s="49"/>
      <c r="IG8" s="49"/>
      <c r="IH8" s="49"/>
      <c r="II8" s="49"/>
      <c r="IJ8" s="49"/>
      <c r="IK8" s="49"/>
      <c r="IL8" s="49"/>
      <c r="IM8" s="49"/>
      <c r="IN8" s="49"/>
      <c r="IO8" s="49"/>
      <c r="IP8" s="49"/>
      <c r="IQ8" s="49"/>
      <c r="IR8" s="49"/>
      <c r="IS8" s="260"/>
      <c r="IT8" s="276"/>
      <c r="IU8" s="49"/>
      <c r="IV8" s="49"/>
      <c r="IW8" s="249"/>
      <c r="IX8" s="254"/>
      <c r="IY8" s="49"/>
      <c r="IZ8" s="49"/>
      <c r="JA8" s="49"/>
      <c r="JB8" s="49"/>
      <c r="JC8" s="49"/>
      <c r="JD8" s="49"/>
      <c r="JE8" s="49"/>
      <c r="JF8" s="49"/>
      <c r="JG8" s="49"/>
      <c r="JH8" s="49"/>
      <c r="JI8" s="49"/>
      <c r="JJ8" s="49"/>
      <c r="JK8" s="49"/>
      <c r="JL8" s="49"/>
      <c r="JM8" s="49"/>
      <c r="JN8" s="260"/>
      <c r="JO8" s="276"/>
      <c r="JP8" s="49"/>
      <c r="JQ8" s="49"/>
      <c r="JR8" s="249"/>
      <c r="JS8" s="254"/>
      <c r="JT8" s="49"/>
      <c r="JU8" s="49"/>
      <c r="JV8" s="49"/>
      <c r="JW8" s="49"/>
      <c r="JX8" s="49"/>
      <c r="JY8" s="49"/>
      <c r="JZ8" s="49"/>
      <c r="KA8" s="49"/>
      <c r="KB8" s="49"/>
      <c r="KC8" s="49"/>
      <c r="KD8" s="49"/>
      <c r="KE8" s="49"/>
      <c r="KF8" s="49"/>
      <c r="KG8" s="49"/>
      <c r="KH8" s="49"/>
      <c r="KI8" s="260"/>
      <c r="KJ8" s="276"/>
      <c r="KK8" s="49"/>
      <c r="KL8" s="49"/>
      <c r="KM8" s="249"/>
      <c r="KN8" s="254"/>
      <c r="KO8" s="49"/>
      <c r="KP8" s="49"/>
      <c r="KQ8" s="49"/>
      <c r="KR8" s="49"/>
      <c r="KS8" s="49"/>
      <c r="KT8" s="49"/>
      <c r="KU8" s="49"/>
      <c r="KV8" s="49"/>
      <c r="KW8" s="49"/>
      <c r="KX8" s="49"/>
      <c r="KY8" s="49"/>
      <c r="KZ8" s="49"/>
      <c r="LA8" s="49"/>
      <c r="LB8" s="49"/>
      <c r="LC8" s="49"/>
      <c r="LD8" s="260"/>
      <c r="LE8" s="276"/>
      <c r="LF8" s="49"/>
      <c r="LG8" s="49"/>
      <c r="LH8" s="249"/>
      <c r="LI8" s="254"/>
      <c r="LJ8" s="49"/>
      <c r="LK8" s="49"/>
      <c r="LL8" s="49"/>
      <c r="LM8" s="49"/>
      <c r="LN8" s="49"/>
      <c r="LO8" s="49"/>
      <c r="LP8" s="49"/>
      <c r="LQ8" s="49"/>
      <c r="LR8" s="49"/>
      <c r="LS8" s="49"/>
      <c r="LT8" s="49"/>
      <c r="LU8" s="49"/>
      <c r="LV8" s="49"/>
      <c r="LW8" s="49"/>
      <c r="LX8" s="49"/>
      <c r="LY8" s="260"/>
      <c r="LZ8" s="276"/>
      <c r="MA8" s="49"/>
      <c r="MB8" s="49"/>
      <c r="MC8" s="249"/>
      <c r="MD8" s="254"/>
      <c r="ME8" s="49"/>
      <c r="MF8" s="49"/>
      <c r="MG8" s="49"/>
      <c r="MH8" s="49"/>
      <c r="MI8" s="49"/>
      <c r="MJ8" s="49"/>
      <c r="MK8" s="49"/>
      <c r="ML8" s="49"/>
      <c r="MM8" s="49"/>
      <c r="MN8" s="49"/>
      <c r="MO8" s="49"/>
      <c r="MP8" s="49"/>
      <c r="MQ8" s="49"/>
      <c r="MR8" s="49"/>
      <c r="MS8" s="49"/>
      <c r="MT8" s="260"/>
      <c r="MU8" s="276"/>
      <c r="MV8" s="49"/>
      <c r="MW8" s="49"/>
      <c r="MX8" s="249"/>
      <c r="MY8" s="254"/>
      <c r="MZ8" s="49"/>
      <c r="NA8" s="49"/>
      <c r="NB8" s="49"/>
      <c r="NC8" s="49"/>
      <c r="ND8" s="49"/>
      <c r="NE8" s="49"/>
      <c r="NF8" s="49"/>
      <c r="NG8" s="49"/>
      <c r="NH8" s="49"/>
      <c r="NI8" s="49"/>
      <c r="NJ8" s="49"/>
      <c r="NK8" s="49"/>
      <c r="NL8" s="49"/>
      <c r="NM8" s="49"/>
      <c r="NN8" s="49"/>
      <c r="NO8" s="260"/>
      <c r="NP8" s="276"/>
      <c r="NQ8" s="49"/>
      <c r="NR8" s="49"/>
      <c r="NS8" s="249"/>
      <c r="NT8" s="254"/>
      <c r="NU8" s="49"/>
      <c r="NV8" s="49"/>
      <c r="NW8" s="49"/>
      <c r="NX8" s="49"/>
      <c r="NY8" s="49"/>
      <c r="NZ8" s="49"/>
      <c r="OA8" s="49"/>
      <c r="OB8" s="49"/>
      <c r="OC8" s="49"/>
      <c r="OD8" s="49"/>
      <c r="OE8" s="49"/>
      <c r="OF8" s="49"/>
      <c r="OG8" s="49"/>
      <c r="OH8" s="49"/>
      <c r="OI8" s="49"/>
      <c r="OJ8" s="260"/>
      <c r="OK8" s="276"/>
      <c r="OL8" s="49"/>
      <c r="OM8" s="49"/>
      <c r="ON8" s="249"/>
      <c r="OO8" s="254"/>
      <c r="OP8" s="49"/>
      <c r="OQ8" s="49"/>
      <c r="OR8" s="49"/>
      <c r="OS8" s="49"/>
      <c r="OT8" s="49"/>
      <c r="OU8" s="49"/>
      <c r="OV8" s="49"/>
      <c r="OW8" s="49"/>
      <c r="OX8" s="49"/>
      <c r="OY8" s="49"/>
      <c r="OZ8" s="49"/>
      <c r="PA8" s="49"/>
      <c r="PB8" s="49"/>
      <c r="PC8" s="49"/>
      <c r="PD8" s="49"/>
      <c r="PE8" s="260"/>
      <c r="PF8" s="276"/>
      <c r="PG8" s="49"/>
      <c r="PH8" s="49"/>
      <c r="PI8" s="249"/>
      <c r="PJ8" s="254"/>
      <c r="PK8" s="49"/>
      <c r="PL8" s="49"/>
      <c r="PM8" s="49"/>
      <c r="PN8" s="49"/>
      <c r="PO8" s="49"/>
      <c r="PP8" s="49"/>
      <c r="PQ8" s="49"/>
      <c r="PR8" s="49"/>
      <c r="PS8" s="49"/>
      <c r="PT8" s="49"/>
      <c r="PU8" s="49"/>
      <c r="PV8" s="49"/>
      <c r="PW8" s="49"/>
      <c r="PX8" s="49"/>
      <c r="PY8" s="49"/>
      <c r="PZ8" s="260"/>
      <c r="QA8" s="276"/>
      <c r="QB8" s="49"/>
      <c r="QC8" s="49"/>
      <c r="QD8" s="249"/>
      <c r="QE8" s="254"/>
      <c r="QF8" s="49"/>
      <c r="QG8" s="49"/>
      <c r="QH8" s="49"/>
      <c r="QI8" s="49"/>
      <c r="QJ8" s="49"/>
      <c r="QK8" s="49"/>
      <c r="QL8" s="49"/>
      <c r="QM8" s="49"/>
      <c r="QN8" s="49"/>
      <c r="QO8" s="49"/>
      <c r="QP8" s="49"/>
      <c r="QQ8" s="49"/>
      <c r="QR8" s="49"/>
      <c r="QS8" s="49"/>
      <c r="QT8" s="49"/>
      <c r="QU8" s="260"/>
      <c r="QV8" s="276"/>
      <c r="QW8" s="49"/>
      <c r="QX8" s="49"/>
      <c r="QY8" s="249"/>
      <c r="QZ8" s="254"/>
      <c r="RA8" s="49"/>
      <c r="RB8" s="49"/>
      <c r="RC8" s="49"/>
      <c r="RD8" s="49"/>
      <c r="RE8" s="49"/>
      <c r="RF8" s="49"/>
      <c r="RG8" s="49"/>
      <c r="RH8" s="49"/>
      <c r="RI8" s="49"/>
      <c r="RJ8" s="49"/>
      <c r="RK8" s="49"/>
      <c r="RL8" s="49"/>
      <c r="RM8" s="49"/>
      <c r="RN8" s="49"/>
      <c r="RO8" s="49"/>
      <c r="RP8" s="260"/>
      <c r="RQ8" s="276"/>
      <c r="RR8" s="49"/>
      <c r="RS8" s="49"/>
      <c r="RT8" s="249"/>
      <c r="RU8" s="254"/>
      <c r="RV8" s="49"/>
      <c r="RW8" s="49"/>
      <c r="RX8" s="49"/>
      <c r="RY8" s="49"/>
      <c r="RZ8" s="49"/>
      <c r="SA8" s="49"/>
      <c r="SB8" s="49"/>
      <c r="SC8" s="49"/>
      <c r="SD8" s="49"/>
      <c r="SE8" s="49"/>
      <c r="SF8" s="49"/>
      <c r="SG8" s="49"/>
      <c r="SH8" s="49"/>
      <c r="SI8" s="49"/>
      <c r="SJ8" s="49"/>
      <c r="SK8" s="260"/>
      <c r="SL8" s="276"/>
      <c r="SM8" s="49"/>
      <c r="SN8" s="49"/>
      <c r="SO8" s="249"/>
      <c r="SP8" s="254"/>
      <c r="SQ8" s="49"/>
      <c r="SR8" s="49"/>
      <c r="SS8" s="49"/>
      <c r="ST8" s="49"/>
      <c r="SU8" s="49"/>
      <c r="SV8" s="49"/>
      <c r="SW8" s="49"/>
      <c r="SX8" s="49"/>
      <c r="SY8" s="49"/>
      <c r="SZ8" s="49"/>
      <c r="TA8" s="49"/>
      <c r="TB8" s="49"/>
      <c r="TC8" s="49"/>
      <c r="TD8" s="49"/>
      <c r="TE8" s="49"/>
      <c r="TF8" s="260"/>
      <c r="TG8" s="276"/>
      <c r="TH8" s="49"/>
      <c r="TI8" s="49"/>
      <c r="TJ8" s="249"/>
      <c r="TK8" s="254"/>
      <c r="TL8" s="49"/>
      <c r="TM8" s="49"/>
      <c r="TN8" s="49"/>
      <c r="TO8" s="49"/>
      <c r="TP8" s="49"/>
      <c r="TQ8" s="49"/>
      <c r="TR8" s="49"/>
      <c r="TS8" s="49"/>
      <c r="TT8" s="49"/>
      <c r="TU8" s="49"/>
      <c r="TV8" s="49"/>
      <c r="TW8" s="49"/>
      <c r="TX8" s="49"/>
      <c r="TY8" s="49"/>
      <c r="TZ8" s="49"/>
      <c r="UA8" s="260"/>
      <c r="UB8" s="276"/>
      <c r="UC8" s="49"/>
      <c r="UD8" s="49"/>
      <c r="UE8" s="249"/>
      <c r="UF8" s="254"/>
      <c r="UG8" s="49"/>
      <c r="UH8" s="49"/>
      <c r="UI8" s="49"/>
      <c r="UJ8" s="49"/>
      <c r="UK8" s="49"/>
      <c r="UL8" s="49"/>
      <c r="UM8" s="49"/>
      <c r="UN8" s="49"/>
      <c r="UO8" s="49"/>
      <c r="UP8" s="49"/>
      <c r="UQ8" s="49"/>
      <c r="UR8" s="49"/>
      <c r="US8" s="49"/>
      <c r="UT8" s="49"/>
      <c r="UU8" s="49"/>
      <c r="UV8" s="260"/>
      <c r="UW8" s="276"/>
      <c r="UX8" s="49"/>
      <c r="UY8" s="49"/>
      <c r="UZ8" s="249"/>
      <c r="VA8" s="254"/>
      <c r="VB8" s="49"/>
      <c r="VC8" s="49"/>
      <c r="VD8" s="49"/>
      <c r="VE8" s="49"/>
      <c r="VF8" s="49"/>
      <c r="VG8" s="49"/>
      <c r="VH8" s="49"/>
      <c r="VI8" s="49"/>
      <c r="VJ8" s="49"/>
      <c r="VK8" s="49"/>
      <c r="VL8" s="49"/>
      <c r="VM8" s="49"/>
      <c r="VN8" s="49"/>
      <c r="VO8" s="49"/>
      <c r="VP8" s="49"/>
      <c r="VQ8" s="260"/>
      <c r="VR8" s="276"/>
      <c r="VS8" s="49"/>
      <c r="VT8" s="49"/>
      <c r="VU8" s="249"/>
      <c r="VV8" s="254"/>
      <c r="VW8" s="49"/>
      <c r="VX8" s="49"/>
      <c r="VY8" s="49"/>
      <c r="VZ8" s="49"/>
      <c r="WA8" s="49"/>
      <c r="WB8" s="49"/>
      <c r="WC8" s="49"/>
      <c r="WD8" s="49"/>
      <c r="WE8" s="49"/>
      <c r="WF8" s="49"/>
      <c r="WG8" s="49"/>
      <c r="WH8" s="49"/>
      <c r="WI8" s="49"/>
      <c r="WJ8" s="49"/>
      <c r="WK8" s="49"/>
      <c r="WL8" s="260"/>
      <c r="WM8" s="276"/>
      <c r="WN8" s="49"/>
      <c r="WO8" s="49"/>
      <c r="WP8" s="249"/>
      <c r="WQ8" s="254"/>
      <c r="WR8" s="49"/>
      <c r="WS8" s="49"/>
      <c r="WT8" s="49"/>
      <c r="WU8" s="49"/>
      <c r="WV8" s="49"/>
      <c r="WW8" s="49"/>
      <c r="WX8" s="49"/>
      <c r="WY8" s="49"/>
      <c r="WZ8" s="49"/>
      <c r="XA8" s="49"/>
      <c r="XB8" s="49"/>
      <c r="XC8" s="49"/>
      <c r="XD8" s="49"/>
      <c r="XE8" s="49"/>
      <c r="XF8" s="49"/>
      <c r="XG8" s="260"/>
      <c r="XH8" s="276"/>
      <c r="XI8" s="49"/>
      <c r="XJ8" s="49"/>
      <c r="XK8" s="249"/>
      <c r="XL8" s="254"/>
      <c r="XM8" s="49"/>
      <c r="XN8" s="49"/>
      <c r="XO8" s="49"/>
      <c r="XP8" s="49"/>
      <c r="XQ8" s="49"/>
      <c r="XR8" s="49"/>
      <c r="XS8" s="49"/>
      <c r="XT8" s="49"/>
      <c r="XU8" s="49"/>
      <c r="XV8" s="49"/>
      <c r="XW8" s="49"/>
      <c r="XX8" s="49"/>
      <c r="XY8" s="49"/>
      <c r="XZ8" s="49"/>
      <c r="YA8" s="49"/>
      <c r="YB8" s="260"/>
    </row>
    <row r="9" spans="1:652" x14ac:dyDescent="0.3">
      <c r="A9" s="224" t="s">
        <v>110</v>
      </c>
      <c r="B9" s="270"/>
      <c r="C9" s="10"/>
      <c r="D9" s="10"/>
      <c r="E9" s="234"/>
      <c r="F9" s="240">
        <v>1</v>
      </c>
      <c r="G9" s="243"/>
      <c r="H9" s="243" t="s">
        <v>577</v>
      </c>
      <c r="I9" s="241" t="s">
        <v>578</v>
      </c>
      <c r="J9" s="12" t="s">
        <v>579</v>
      </c>
      <c r="K9" s="12" t="s">
        <v>566</v>
      </c>
      <c r="L9" s="241">
        <v>388.5</v>
      </c>
      <c r="M9" s="241" t="s">
        <v>567</v>
      </c>
      <c r="N9" s="241" t="s">
        <v>568</v>
      </c>
      <c r="O9" s="241"/>
      <c r="P9" s="241" t="s">
        <v>580</v>
      </c>
      <c r="Q9" s="241"/>
      <c r="R9" s="241"/>
      <c r="S9" s="241"/>
      <c r="T9" s="241"/>
      <c r="U9" s="241"/>
      <c r="V9" s="272"/>
      <c r="W9" s="277"/>
      <c r="X9" s="241"/>
      <c r="Y9" s="241"/>
      <c r="Z9" s="250"/>
      <c r="AA9" s="255">
        <v>2</v>
      </c>
      <c r="AB9" s="12"/>
      <c r="AC9" s="12" t="s">
        <v>581</v>
      </c>
      <c r="AD9" s="12" t="s">
        <v>582</v>
      </c>
      <c r="AE9" s="12" t="s">
        <v>583</v>
      </c>
      <c r="AF9" s="242" t="s">
        <v>572</v>
      </c>
      <c r="AG9" s="12"/>
      <c r="AH9" s="241" t="s">
        <v>573</v>
      </c>
      <c r="AI9" s="12" t="s">
        <v>568</v>
      </c>
      <c r="AJ9" s="12"/>
      <c r="AK9" s="12" t="s">
        <v>584</v>
      </c>
      <c r="AL9" s="12"/>
      <c r="AM9" s="12"/>
      <c r="AN9" s="12"/>
      <c r="AO9" s="12"/>
      <c r="AP9" s="12"/>
      <c r="AQ9" s="261"/>
      <c r="AR9" s="270"/>
      <c r="AS9" s="10"/>
      <c r="AT9" s="10"/>
      <c r="AU9" s="234"/>
      <c r="AV9" s="240">
        <v>1</v>
      </c>
      <c r="AW9" s="12"/>
      <c r="AX9" s="125" t="s">
        <v>581</v>
      </c>
      <c r="AY9" s="12" t="s">
        <v>585</v>
      </c>
      <c r="AZ9" s="12" t="s">
        <v>586</v>
      </c>
      <c r="BA9" s="242" t="s">
        <v>572</v>
      </c>
      <c r="BB9" s="262">
        <v>41</v>
      </c>
      <c r="BC9" s="241" t="s">
        <v>573</v>
      </c>
      <c r="BD9" s="12" t="s">
        <v>568</v>
      </c>
      <c r="BE9" s="12"/>
      <c r="BF9" s="241" t="s">
        <v>587</v>
      </c>
      <c r="BG9" s="12"/>
      <c r="BH9" s="12"/>
      <c r="BI9" s="12"/>
      <c r="BJ9" s="12"/>
      <c r="BK9" s="12"/>
      <c r="BL9" s="261"/>
      <c r="BM9" s="277"/>
      <c r="BN9" s="241"/>
      <c r="BO9" s="241"/>
      <c r="BP9" s="250"/>
      <c r="BQ9" s="255">
        <v>1</v>
      </c>
      <c r="BR9" s="12"/>
      <c r="BS9" s="12" t="s">
        <v>588</v>
      </c>
      <c r="BT9" s="12" t="s">
        <v>585</v>
      </c>
      <c r="BU9" s="12" t="s">
        <v>589</v>
      </c>
      <c r="BV9" s="242" t="s">
        <v>572</v>
      </c>
      <c r="BW9" s="12">
        <v>35</v>
      </c>
      <c r="BX9" s="241" t="s">
        <v>573</v>
      </c>
      <c r="BY9" s="12" t="s">
        <v>568</v>
      </c>
      <c r="BZ9" s="12"/>
      <c r="CA9" s="241" t="s">
        <v>590</v>
      </c>
      <c r="CB9" s="12"/>
      <c r="CC9" s="12"/>
      <c r="CD9" s="12"/>
      <c r="CE9" s="12"/>
      <c r="CF9" s="12"/>
      <c r="CG9" s="261"/>
      <c r="CH9" s="277"/>
      <c r="CI9" s="241"/>
      <c r="CJ9" s="241"/>
      <c r="CK9" s="250"/>
      <c r="CL9" s="37">
        <v>1</v>
      </c>
      <c r="CM9" s="46"/>
      <c r="CN9" s="46" t="s">
        <v>591</v>
      </c>
      <c r="CP9" s="39" t="s">
        <v>592</v>
      </c>
      <c r="CQ9" s="256" t="s">
        <v>572</v>
      </c>
      <c r="CR9" s="46">
        <v>33.18</v>
      </c>
      <c r="CS9" s="100" t="s">
        <v>573</v>
      </c>
      <c r="CT9" s="85" t="s">
        <v>568</v>
      </c>
      <c r="CU9" s="46"/>
      <c r="CV9" s="67" t="s">
        <v>590</v>
      </c>
      <c r="CW9" s="12"/>
      <c r="CX9" s="12"/>
      <c r="CY9" s="12"/>
      <c r="CZ9" s="12"/>
      <c r="DA9" s="12"/>
      <c r="DB9" s="261"/>
      <c r="DC9" s="277"/>
      <c r="DD9" s="241"/>
      <c r="DE9" s="241"/>
      <c r="DF9" s="250"/>
      <c r="DG9" s="255">
        <v>1</v>
      </c>
      <c r="DH9" s="12"/>
      <c r="DI9" s="12" t="s">
        <v>581</v>
      </c>
      <c r="DJ9" s="12" t="s">
        <v>570</v>
      </c>
      <c r="DK9" s="12" t="s">
        <v>593</v>
      </c>
      <c r="DL9" s="242" t="s">
        <v>572</v>
      </c>
      <c r="DM9" s="12">
        <v>33.19</v>
      </c>
      <c r="DN9" s="241" t="s">
        <v>573</v>
      </c>
      <c r="DO9" s="12" t="s">
        <v>568</v>
      </c>
      <c r="DP9" s="12"/>
      <c r="DQ9" s="241" t="s">
        <v>594</v>
      </c>
      <c r="DR9" s="12"/>
      <c r="DS9" s="12"/>
      <c r="DT9" s="12"/>
      <c r="DU9" s="12"/>
      <c r="DV9" s="12"/>
      <c r="DW9" s="261"/>
      <c r="DX9" s="277"/>
      <c r="DY9" s="241"/>
      <c r="DZ9" s="241"/>
      <c r="EA9" s="250"/>
      <c r="EB9" s="37">
        <v>1</v>
      </c>
      <c r="EC9" s="46"/>
      <c r="ED9" s="46" t="s">
        <v>581</v>
      </c>
      <c r="EE9" s="67" t="s">
        <v>570</v>
      </c>
      <c r="EF9" s="39" t="s">
        <v>595</v>
      </c>
      <c r="EG9" s="256" t="s">
        <v>572</v>
      </c>
      <c r="EH9" s="46">
        <v>26.3</v>
      </c>
      <c r="EI9" s="100" t="s">
        <v>573</v>
      </c>
      <c r="EJ9" s="85" t="s">
        <v>568</v>
      </c>
      <c r="EK9" s="46"/>
      <c r="EL9" s="243" t="s">
        <v>596</v>
      </c>
      <c r="EM9" s="12"/>
      <c r="EN9" s="12"/>
      <c r="EO9" s="12"/>
      <c r="EP9" s="12"/>
      <c r="EQ9" s="12"/>
      <c r="ER9" s="261"/>
      <c r="ES9" s="277"/>
      <c r="ET9" s="241"/>
      <c r="EU9" s="241"/>
      <c r="EV9" s="250"/>
      <c r="EW9" s="255">
        <v>1</v>
      </c>
      <c r="EX9" s="12"/>
      <c r="EY9" s="12" t="s">
        <v>581</v>
      </c>
      <c r="EZ9" s="12" t="s">
        <v>570</v>
      </c>
      <c r="FA9" s="12" t="s">
        <v>597</v>
      </c>
      <c r="FB9" s="242" t="s">
        <v>572</v>
      </c>
      <c r="FC9" s="12">
        <v>25.64</v>
      </c>
      <c r="FD9" s="241" t="s">
        <v>573</v>
      </c>
      <c r="FE9" s="12" t="s">
        <v>568</v>
      </c>
      <c r="FF9" s="12"/>
      <c r="FG9" s="241" t="s">
        <v>596</v>
      </c>
      <c r="FH9" s="12"/>
      <c r="FI9" s="12"/>
      <c r="FJ9" s="12"/>
      <c r="FK9" s="12"/>
      <c r="FL9" s="12"/>
      <c r="FM9" s="261"/>
      <c r="FN9" s="277"/>
      <c r="FO9" s="241"/>
      <c r="FP9" s="241"/>
      <c r="FQ9" s="250"/>
      <c r="FR9" s="37">
        <v>1</v>
      </c>
      <c r="FS9" s="46"/>
      <c r="FT9" s="46" t="s">
        <v>581</v>
      </c>
      <c r="FU9" s="67" t="s">
        <v>570</v>
      </c>
      <c r="FV9" s="39" t="s">
        <v>598</v>
      </c>
      <c r="FW9" s="256" t="s">
        <v>572</v>
      </c>
      <c r="FX9" s="46">
        <v>31.53</v>
      </c>
      <c r="FY9" s="100" t="s">
        <v>573</v>
      </c>
      <c r="FZ9" s="85" t="s">
        <v>568</v>
      </c>
      <c r="GA9" s="46"/>
      <c r="GB9" s="243" t="s">
        <v>594</v>
      </c>
      <c r="GC9" s="12"/>
      <c r="GD9" s="12"/>
      <c r="GE9" s="12"/>
      <c r="GF9" s="12"/>
      <c r="GG9" s="12"/>
      <c r="GH9" s="261"/>
      <c r="GI9" s="277"/>
      <c r="GJ9" s="241"/>
      <c r="GK9" s="241"/>
      <c r="GL9" s="250"/>
      <c r="GM9" s="255">
        <v>2</v>
      </c>
      <c r="GN9" s="12"/>
      <c r="GO9" s="12" t="s">
        <v>581</v>
      </c>
      <c r="GP9" s="12" t="s">
        <v>599</v>
      </c>
      <c r="GQ9" s="12" t="s">
        <v>600</v>
      </c>
      <c r="GR9" s="242" t="s">
        <v>575</v>
      </c>
      <c r="GS9" s="12">
        <v>33</v>
      </c>
      <c r="GT9" s="241" t="s">
        <v>567</v>
      </c>
      <c r="GU9" s="12" t="s">
        <v>568</v>
      </c>
      <c r="GV9" s="12"/>
      <c r="GW9" s="241" t="s">
        <v>601</v>
      </c>
      <c r="GX9" s="12"/>
      <c r="GY9" s="12"/>
      <c r="GZ9" s="12"/>
      <c r="HA9" s="12"/>
      <c r="HB9" s="12"/>
      <c r="HC9" s="261"/>
      <c r="HD9" s="277"/>
      <c r="HE9" s="241"/>
      <c r="HF9" s="241"/>
      <c r="HG9" s="250"/>
      <c r="HH9" s="255">
        <v>1</v>
      </c>
      <c r="HI9" s="12"/>
      <c r="HJ9" s="12" t="s">
        <v>591</v>
      </c>
      <c r="HK9" s="12" t="s">
        <v>585</v>
      </c>
      <c r="HL9" s="12" t="s">
        <v>602</v>
      </c>
      <c r="HM9" s="242" t="s">
        <v>575</v>
      </c>
      <c r="HN9" s="12">
        <v>28</v>
      </c>
      <c r="HO9" s="241" t="s">
        <v>567</v>
      </c>
      <c r="HP9" s="12" t="s">
        <v>568</v>
      </c>
      <c r="HQ9" s="12"/>
      <c r="HR9" s="241" t="s">
        <v>603</v>
      </c>
      <c r="HS9" s="12"/>
      <c r="HT9" s="12"/>
      <c r="HU9" s="12"/>
      <c r="HV9" s="12"/>
      <c r="HW9" s="12"/>
      <c r="HX9" s="261"/>
      <c r="HY9" s="277" t="s">
        <v>604</v>
      </c>
      <c r="HZ9" s="241" t="s">
        <v>585</v>
      </c>
      <c r="IA9" s="241" t="s">
        <v>605</v>
      </c>
      <c r="IB9" s="250"/>
      <c r="IC9" s="255">
        <v>1</v>
      </c>
      <c r="ID9" s="12"/>
      <c r="IE9" s="12" t="s">
        <v>588</v>
      </c>
      <c r="IF9" s="12" t="s">
        <v>585</v>
      </c>
      <c r="IG9" s="12" t="s">
        <v>605</v>
      </c>
      <c r="IH9" s="242" t="s">
        <v>575</v>
      </c>
      <c r="II9" s="12">
        <v>31</v>
      </c>
      <c r="IJ9" s="241" t="s">
        <v>567</v>
      </c>
      <c r="IK9" s="12" t="s">
        <v>568</v>
      </c>
      <c r="IL9" s="12"/>
      <c r="IM9" s="241" t="s">
        <v>603</v>
      </c>
      <c r="IN9" s="12"/>
      <c r="IO9" s="12"/>
      <c r="IP9" s="12"/>
      <c r="IQ9" s="12"/>
      <c r="IR9" s="12"/>
      <c r="IS9" s="261"/>
      <c r="IT9" s="277"/>
      <c r="IU9" s="241"/>
      <c r="IV9" s="241"/>
      <c r="IW9" s="250"/>
      <c r="IX9" s="255">
        <v>1</v>
      </c>
      <c r="IY9" s="12"/>
      <c r="IZ9" s="12" t="s">
        <v>577</v>
      </c>
      <c r="JA9" s="12" t="s">
        <v>606</v>
      </c>
      <c r="JB9" s="12" t="s">
        <v>607</v>
      </c>
      <c r="JC9" s="242" t="s">
        <v>575</v>
      </c>
      <c r="JD9" s="12">
        <v>0.33300000000000002</v>
      </c>
      <c r="JE9" s="241" t="s">
        <v>567</v>
      </c>
      <c r="JF9" s="12" t="s">
        <v>568</v>
      </c>
      <c r="JG9" s="12"/>
      <c r="JH9" s="241" t="s">
        <v>580</v>
      </c>
      <c r="JI9" s="12"/>
      <c r="JJ9" s="12"/>
      <c r="JK9" s="12"/>
      <c r="JL9" s="12"/>
      <c r="JM9" s="12"/>
      <c r="JN9" s="261"/>
      <c r="JO9" s="277"/>
      <c r="JP9" s="241"/>
      <c r="JQ9" s="241"/>
      <c r="JR9" s="250"/>
      <c r="JS9" s="255">
        <v>1</v>
      </c>
      <c r="JT9" s="12"/>
      <c r="JU9" s="12" t="s">
        <v>608</v>
      </c>
      <c r="JV9" s="12" t="s">
        <v>609</v>
      </c>
      <c r="JW9" s="12" t="s">
        <v>610</v>
      </c>
      <c r="JX9" s="242" t="s">
        <v>611</v>
      </c>
      <c r="JY9" s="12">
        <v>181.3</v>
      </c>
      <c r="JZ9" s="241" t="s">
        <v>567</v>
      </c>
      <c r="KA9" s="12" t="s">
        <v>568</v>
      </c>
      <c r="KB9" s="12"/>
      <c r="KC9" s="241" t="s">
        <v>580</v>
      </c>
      <c r="KD9" s="12"/>
      <c r="KE9" s="12"/>
      <c r="KF9" s="12"/>
      <c r="KG9" s="12"/>
      <c r="KH9" s="12"/>
      <c r="KI9" s="261"/>
      <c r="KJ9" s="277"/>
      <c r="KK9" s="241"/>
      <c r="KL9" s="241"/>
      <c r="KM9" s="250"/>
      <c r="KN9" s="255"/>
      <c r="KO9" s="12"/>
      <c r="KP9" s="12"/>
      <c r="KQ9" s="12"/>
      <c r="KR9" s="12"/>
      <c r="KS9" s="242"/>
      <c r="KT9" s="12"/>
      <c r="KU9" s="241"/>
      <c r="KV9" s="12"/>
      <c r="KW9" s="12"/>
      <c r="KX9" s="241"/>
      <c r="KY9" s="12"/>
      <c r="KZ9" s="12"/>
      <c r="LA9" s="12"/>
      <c r="LB9" s="12"/>
      <c r="LC9" s="12"/>
      <c r="LD9" s="261"/>
      <c r="LE9" s="277"/>
      <c r="LF9" s="241"/>
      <c r="LG9" s="241"/>
      <c r="LH9" s="250"/>
      <c r="LI9" s="255"/>
      <c r="LJ9" s="12"/>
      <c r="LK9" s="12"/>
      <c r="LL9" s="12"/>
      <c r="LM9" s="12"/>
      <c r="LN9" s="242"/>
      <c r="LO9" s="12"/>
      <c r="LP9" s="241"/>
      <c r="LQ9" s="12"/>
      <c r="LR9" s="12"/>
      <c r="LS9" s="241"/>
      <c r="LT9" s="12"/>
      <c r="LU9" s="12"/>
      <c r="LV9" s="12"/>
      <c r="LW9" s="12"/>
      <c r="LX9" s="12"/>
      <c r="LY9" s="261"/>
      <c r="LZ9" s="277"/>
      <c r="MA9" s="241"/>
      <c r="MB9" s="241"/>
      <c r="MC9" s="250"/>
      <c r="MD9" s="255"/>
      <c r="ME9" s="12"/>
      <c r="MF9" s="12"/>
      <c r="MG9" s="12"/>
      <c r="MH9" s="12"/>
      <c r="MI9" s="242"/>
      <c r="MJ9" s="12"/>
      <c r="MK9" s="241"/>
      <c r="ML9" s="12"/>
      <c r="MM9" s="12"/>
      <c r="MN9" s="241"/>
      <c r="MO9" s="12"/>
      <c r="MP9" s="12"/>
      <c r="MQ9" s="12"/>
      <c r="MR9" s="12"/>
      <c r="MS9" s="12"/>
      <c r="MT9" s="261"/>
      <c r="MU9" s="277"/>
      <c r="MV9" s="241"/>
      <c r="MW9" s="241"/>
      <c r="MX9" s="250"/>
      <c r="MY9" s="255"/>
      <c r="MZ9" s="12"/>
      <c r="NA9" s="12"/>
      <c r="NB9" s="12"/>
      <c r="NC9" s="12"/>
      <c r="ND9" s="242"/>
      <c r="NE9" s="12"/>
      <c r="NF9" s="241"/>
      <c r="NG9" s="12"/>
      <c r="NH9" s="12"/>
      <c r="NI9" s="241"/>
      <c r="NJ9" s="12"/>
      <c r="NK9" s="12"/>
      <c r="NL9" s="12"/>
      <c r="NM9" s="12"/>
      <c r="NN9" s="12"/>
      <c r="NO9" s="261"/>
      <c r="NP9" s="277"/>
      <c r="NQ9" s="241"/>
      <c r="NR9" s="241"/>
      <c r="NS9" s="250"/>
      <c r="NT9" s="255"/>
      <c r="NU9" s="12"/>
      <c r="NV9" s="12"/>
      <c r="NW9" s="12"/>
      <c r="NX9" s="12"/>
      <c r="NY9" s="242"/>
      <c r="NZ9" s="12"/>
      <c r="OA9" s="241"/>
      <c r="OB9" s="12"/>
      <c r="OC9" s="12"/>
      <c r="OD9" s="241"/>
      <c r="OE9" s="12"/>
      <c r="OF9" s="12"/>
      <c r="OG9" s="12"/>
      <c r="OH9" s="12"/>
      <c r="OI9" s="12"/>
      <c r="OJ9" s="261"/>
      <c r="OK9" s="277"/>
      <c r="OL9" s="241"/>
      <c r="OM9" s="241"/>
      <c r="ON9" s="250"/>
      <c r="OO9" s="255"/>
      <c r="OP9" s="12"/>
      <c r="OQ9" s="12"/>
      <c r="OR9" s="12"/>
      <c r="OS9" s="12"/>
      <c r="OT9" s="242"/>
      <c r="OU9" s="12"/>
      <c r="OV9" s="241"/>
      <c r="OW9" s="12"/>
      <c r="OX9" s="12"/>
      <c r="OY9" s="241"/>
      <c r="OZ9" s="12"/>
      <c r="PA9" s="12"/>
      <c r="PB9" s="12"/>
      <c r="PC9" s="12"/>
      <c r="PD9" s="12"/>
      <c r="PE9" s="261"/>
      <c r="PF9" s="277"/>
      <c r="PG9" s="241"/>
      <c r="PH9" s="241"/>
      <c r="PI9" s="250"/>
      <c r="PJ9" s="255"/>
      <c r="PK9" s="12"/>
      <c r="PL9" s="12"/>
      <c r="PM9" s="12"/>
      <c r="PN9" s="12"/>
      <c r="PO9" s="242"/>
      <c r="PP9" s="12"/>
      <c r="PQ9" s="241"/>
      <c r="PR9" s="12"/>
      <c r="PS9" s="12"/>
      <c r="PT9" s="241"/>
      <c r="PU9" s="12"/>
      <c r="PV9" s="12"/>
      <c r="PW9" s="12"/>
      <c r="PX9" s="12"/>
      <c r="PY9" s="12"/>
      <c r="PZ9" s="261"/>
      <c r="QA9" s="277"/>
      <c r="QB9" s="241"/>
      <c r="QC9" s="241"/>
      <c r="QD9" s="250"/>
      <c r="QE9" s="255"/>
      <c r="QF9" s="12"/>
      <c r="QG9" s="12"/>
      <c r="QH9" s="12"/>
      <c r="QI9" s="12"/>
      <c r="QJ9" s="242"/>
      <c r="QK9" s="12"/>
      <c r="QL9" s="241"/>
      <c r="QM9" s="12"/>
      <c r="QN9" s="12"/>
      <c r="QO9" s="241"/>
      <c r="QP9" s="12"/>
      <c r="QQ9" s="12"/>
      <c r="QR9" s="12"/>
      <c r="QS9" s="12"/>
      <c r="QT9" s="12"/>
      <c r="QU9" s="261"/>
      <c r="QV9" s="277"/>
      <c r="QW9" s="241"/>
      <c r="QX9" s="241"/>
      <c r="QY9" s="250"/>
      <c r="QZ9" s="255"/>
      <c r="RA9" s="12"/>
      <c r="RB9" s="12"/>
      <c r="RC9" s="12"/>
      <c r="RD9" s="12"/>
      <c r="RE9" s="242"/>
      <c r="RF9" s="12"/>
      <c r="RG9" s="241"/>
      <c r="RH9" s="12"/>
      <c r="RI9" s="12"/>
      <c r="RJ9" s="241"/>
      <c r="RK9" s="12"/>
      <c r="RL9" s="12"/>
      <c r="RM9" s="12"/>
      <c r="RN9" s="12"/>
      <c r="RO9" s="12"/>
      <c r="RP9" s="261"/>
      <c r="RQ9" s="277"/>
      <c r="RR9" s="241"/>
      <c r="RS9" s="241"/>
      <c r="RT9" s="250"/>
      <c r="RU9" s="255"/>
      <c r="RV9" s="12"/>
      <c r="RW9" s="12"/>
      <c r="RX9" s="12"/>
      <c r="RY9" s="12"/>
      <c r="RZ9" s="242"/>
      <c r="SA9" s="12"/>
      <c r="SB9" s="241"/>
      <c r="SC9" s="12"/>
      <c r="SD9" s="12"/>
      <c r="SE9" s="241"/>
      <c r="SF9" s="12"/>
      <c r="SG9" s="12"/>
      <c r="SH9" s="12"/>
      <c r="SI9" s="12"/>
      <c r="SJ9" s="12"/>
      <c r="SK9" s="261"/>
      <c r="SL9" s="277"/>
      <c r="SM9" s="241"/>
      <c r="SN9" s="241"/>
      <c r="SO9" s="250"/>
      <c r="SP9" s="255"/>
      <c r="SQ9" s="12"/>
      <c r="SR9" s="12"/>
      <c r="SS9" s="12"/>
      <c r="ST9" s="12"/>
      <c r="SU9" s="242"/>
      <c r="SV9" s="12"/>
      <c r="SW9" s="241"/>
      <c r="SX9" s="12"/>
      <c r="SY9" s="12"/>
      <c r="SZ9" s="241"/>
      <c r="TA9" s="12"/>
      <c r="TB9" s="12"/>
      <c r="TC9" s="12"/>
      <c r="TD9" s="12"/>
      <c r="TE9" s="12"/>
      <c r="TF9" s="261"/>
      <c r="TG9" s="277"/>
      <c r="TH9" s="241"/>
      <c r="TI9" s="241"/>
      <c r="TJ9" s="250"/>
      <c r="TK9" s="255"/>
      <c r="TL9" s="12"/>
      <c r="TM9" s="12"/>
      <c r="TN9" s="12"/>
      <c r="TO9" s="12"/>
      <c r="TP9" s="242"/>
      <c r="TQ9" s="12"/>
      <c r="TR9" s="241"/>
      <c r="TS9" s="12"/>
      <c r="TT9" s="12"/>
      <c r="TU9" s="241"/>
      <c r="TV9" s="12"/>
      <c r="TW9" s="12"/>
      <c r="TX9" s="12"/>
      <c r="TY9" s="12"/>
      <c r="TZ9" s="12"/>
      <c r="UA9" s="261"/>
      <c r="UB9" s="277"/>
      <c r="UC9" s="241"/>
      <c r="UD9" s="241"/>
      <c r="UE9" s="250"/>
      <c r="UF9" s="255"/>
      <c r="UG9" s="12"/>
      <c r="UH9" s="12"/>
      <c r="UI9" s="12"/>
      <c r="UJ9" s="12"/>
      <c r="UK9" s="242"/>
      <c r="UL9" s="12"/>
      <c r="UM9" s="241"/>
      <c r="UN9" s="12"/>
      <c r="UO9" s="12"/>
      <c r="UP9" s="241"/>
      <c r="UQ9" s="12"/>
      <c r="UR9" s="12"/>
      <c r="US9" s="12"/>
      <c r="UT9" s="12"/>
      <c r="UU9" s="12"/>
      <c r="UV9" s="261"/>
      <c r="UW9" s="277"/>
      <c r="UX9" s="241"/>
      <c r="UY9" s="241"/>
      <c r="UZ9" s="250"/>
      <c r="VA9" s="255"/>
      <c r="VB9" s="12"/>
      <c r="VC9" s="12"/>
      <c r="VD9" s="12"/>
      <c r="VE9" s="12"/>
      <c r="VF9" s="242"/>
      <c r="VG9" s="12"/>
      <c r="VH9" s="241"/>
      <c r="VI9" s="12"/>
      <c r="VJ9" s="12"/>
      <c r="VK9" s="241"/>
      <c r="VL9" s="12"/>
      <c r="VM9" s="12"/>
      <c r="VN9" s="12"/>
      <c r="VO9" s="12"/>
      <c r="VP9" s="12"/>
      <c r="VQ9" s="261"/>
      <c r="VR9" s="277"/>
      <c r="VS9" s="241"/>
      <c r="VT9" s="241"/>
      <c r="VU9" s="250"/>
      <c r="VV9" s="255"/>
      <c r="VW9" s="12"/>
      <c r="VX9" s="12"/>
      <c r="VY9" s="12"/>
      <c r="VZ9" s="12"/>
      <c r="WA9" s="242"/>
      <c r="WB9" s="12"/>
      <c r="WC9" s="241"/>
      <c r="WD9" s="12"/>
      <c r="WE9" s="12"/>
      <c r="WF9" s="241"/>
      <c r="WG9" s="12"/>
      <c r="WH9" s="12"/>
      <c r="WI9" s="12"/>
      <c r="WJ9" s="12"/>
      <c r="WK9" s="12"/>
      <c r="WL9" s="261"/>
      <c r="WM9" s="277"/>
      <c r="WN9" s="241"/>
      <c r="WO9" s="241"/>
      <c r="WP9" s="250"/>
      <c r="WQ9" s="255"/>
      <c r="WR9" s="12"/>
      <c r="WS9" s="12"/>
      <c r="WT9" s="12"/>
      <c r="WU9" s="12"/>
      <c r="WV9" s="242"/>
      <c r="WW9" s="12"/>
      <c r="WX9" s="241"/>
      <c r="WY9" s="12"/>
      <c r="WZ9" s="12"/>
      <c r="XA9" s="241"/>
      <c r="XB9" s="12"/>
      <c r="XC9" s="12"/>
      <c r="XD9" s="12"/>
      <c r="XE9" s="12"/>
      <c r="XF9" s="12"/>
      <c r="XG9" s="261"/>
      <c r="XH9" s="277"/>
      <c r="XI9" s="241"/>
      <c r="XJ9" s="241"/>
      <c r="XK9" s="250"/>
      <c r="XL9" s="255"/>
      <c r="XM9" s="12"/>
      <c r="XN9" s="12"/>
      <c r="XO9" s="12"/>
      <c r="XP9" s="12"/>
      <c r="XQ9" s="242"/>
      <c r="XR9" s="12"/>
      <c r="XS9" s="241"/>
      <c r="XT9" s="12"/>
      <c r="XU9" s="12"/>
      <c r="XV9" s="241"/>
      <c r="XW9" s="12"/>
      <c r="XX9" s="12"/>
      <c r="XY9" s="12"/>
      <c r="XZ9" s="12"/>
      <c r="YA9" s="12"/>
      <c r="YB9" s="261"/>
    </row>
    <row r="10" spans="1:652" x14ac:dyDescent="0.3">
      <c r="A10" s="223" t="s">
        <v>122</v>
      </c>
      <c r="B10" s="271"/>
      <c r="C10" s="48"/>
      <c r="D10" s="48"/>
      <c r="E10" s="235"/>
      <c r="F10" s="239">
        <v>1</v>
      </c>
      <c r="G10" s="66"/>
      <c r="H10" s="66" t="s">
        <v>569</v>
      </c>
      <c r="I10" s="49" t="s">
        <v>570</v>
      </c>
      <c r="J10" s="49" t="s">
        <v>612</v>
      </c>
      <c r="K10" s="244" t="s">
        <v>572</v>
      </c>
      <c r="L10" s="49">
        <v>27.34</v>
      </c>
      <c r="M10" s="244" t="s">
        <v>573</v>
      </c>
      <c r="N10" s="49" t="s">
        <v>568</v>
      </c>
      <c r="O10" s="49"/>
      <c r="P10" s="49" t="s">
        <v>613</v>
      </c>
      <c r="Q10" s="49"/>
      <c r="R10" s="49"/>
      <c r="S10" s="49"/>
      <c r="T10" s="49"/>
      <c r="U10" s="49"/>
      <c r="V10" s="260"/>
      <c r="W10" s="276"/>
      <c r="X10" s="49"/>
      <c r="Y10" s="49"/>
      <c r="Z10" s="249"/>
      <c r="AA10" s="254">
        <v>1</v>
      </c>
      <c r="AB10" s="66"/>
      <c r="AC10" s="66" t="s">
        <v>569</v>
      </c>
      <c r="AD10" s="49" t="s">
        <v>570</v>
      </c>
      <c r="AE10" s="49" t="s">
        <v>614</v>
      </c>
      <c r="AF10" s="244" t="s">
        <v>572</v>
      </c>
      <c r="AG10" s="49">
        <v>26.68</v>
      </c>
      <c r="AH10" s="244" t="s">
        <v>573</v>
      </c>
      <c r="AI10" s="49" t="s">
        <v>568</v>
      </c>
      <c r="AJ10" s="49"/>
      <c r="AK10" s="49" t="s">
        <v>613</v>
      </c>
      <c r="AL10" s="49"/>
      <c r="AM10" s="49"/>
      <c r="AN10" s="49"/>
      <c r="AO10" s="49"/>
      <c r="AP10" s="49"/>
      <c r="AQ10" s="260"/>
      <c r="AR10" s="271"/>
      <c r="AS10" s="48"/>
      <c r="AT10" s="48"/>
      <c r="AU10" s="235"/>
      <c r="AV10" s="239"/>
      <c r="AW10" s="49"/>
      <c r="AX10" s="49"/>
      <c r="AY10" s="49"/>
      <c r="AZ10" s="49"/>
      <c r="BA10" s="49"/>
      <c r="BB10" s="49"/>
      <c r="BC10" s="244"/>
      <c r="BD10" s="49"/>
      <c r="BE10" s="49"/>
      <c r="BF10" s="49"/>
      <c r="BG10" s="49"/>
      <c r="BH10" s="49"/>
      <c r="BI10" s="49"/>
      <c r="BJ10" s="49"/>
      <c r="BK10" s="49"/>
      <c r="BL10" s="260"/>
      <c r="BM10" s="276"/>
      <c r="BN10" s="49"/>
      <c r="BO10" s="49"/>
      <c r="BP10" s="249"/>
      <c r="BQ10" s="254"/>
      <c r="BR10" s="49"/>
      <c r="BS10" s="49"/>
      <c r="BT10" s="49"/>
      <c r="BU10" s="49"/>
      <c r="BV10" s="49"/>
      <c r="BW10" s="49"/>
      <c r="BX10" s="244"/>
      <c r="BY10" s="49"/>
      <c r="BZ10" s="49"/>
      <c r="CA10" s="49"/>
      <c r="CB10" s="49"/>
      <c r="CC10" s="49"/>
      <c r="CD10" s="49"/>
      <c r="CE10" s="49"/>
      <c r="CF10" s="49"/>
      <c r="CG10" s="260"/>
      <c r="CH10" s="276"/>
      <c r="CI10" s="49"/>
      <c r="CJ10" s="49"/>
      <c r="CK10" s="249"/>
      <c r="CL10" s="53"/>
      <c r="CM10" s="53"/>
      <c r="CN10" s="53"/>
      <c r="CO10" s="53"/>
      <c r="CP10" s="53"/>
      <c r="CQ10" s="80"/>
      <c r="CR10" s="53"/>
      <c r="CS10" s="193"/>
      <c r="CT10" s="84"/>
      <c r="CU10" s="53"/>
      <c r="CV10" s="66"/>
      <c r="CW10" s="49"/>
      <c r="CX10" s="49"/>
      <c r="CY10" s="49"/>
      <c r="CZ10" s="49"/>
      <c r="DA10" s="49"/>
      <c r="DB10" s="260"/>
      <c r="DC10" s="276"/>
      <c r="DD10" s="49"/>
      <c r="DE10" s="49"/>
      <c r="DF10" s="249"/>
      <c r="DG10" s="254"/>
      <c r="DH10" s="49"/>
      <c r="DI10" s="49"/>
      <c r="DJ10" s="49"/>
      <c r="DK10" s="49"/>
      <c r="DL10" s="49"/>
      <c r="DM10" s="49"/>
      <c r="DN10" s="244"/>
      <c r="DO10" s="49"/>
      <c r="DP10" s="49"/>
      <c r="DQ10" s="49"/>
      <c r="DR10" s="49"/>
      <c r="DS10" s="49"/>
      <c r="DT10" s="49"/>
      <c r="DU10" s="49"/>
      <c r="DV10" s="49"/>
      <c r="DW10" s="260"/>
      <c r="DX10" s="276"/>
      <c r="DY10" s="49"/>
      <c r="DZ10" s="49"/>
      <c r="EA10" s="249"/>
      <c r="EB10" s="53"/>
      <c r="EC10" s="53"/>
      <c r="ED10" s="53"/>
      <c r="EE10" s="53"/>
      <c r="EF10" s="53"/>
      <c r="EG10" s="80"/>
      <c r="EH10" s="53"/>
      <c r="EI10" s="193"/>
      <c r="EJ10" s="84"/>
      <c r="EK10" s="53"/>
      <c r="EL10" s="66"/>
      <c r="EM10" s="49"/>
      <c r="EN10" s="49"/>
      <c r="EO10" s="49"/>
      <c r="EP10" s="49"/>
      <c r="EQ10" s="49"/>
      <c r="ER10" s="260"/>
      <c r="ES10" s="276"/>
      <c r="ET10" s="49"/>
      <c r="EU10" s="49"/>
      <c r="EV10" s="249"/>
      <c r="EW10" s="254"/>
      <c r="EX10" s="49"/>
      <c r="EY10" s="49"/>
      <c r="EZ10" s="49"/>
      <c r="FA10" s="49"/>
      <c r="FB10" s="49"/>
      <c r="FC10" s="49"/>
      <c r="FD10" s="244"/>
      <c r="FE10" s="49"/>
      <c r="FF10" s="49"/>
      <c r="FG10" s="49"/>
      <c r="FH10" s="49"/>
      <c r="FI10" s="49"/>
      <c r="FJ10" s="49"/>
      <c r="FK10" s="49"/>
      <c r="FL10" s="49"/>
      <c r="FM10" s="260"/>
      <c r="FN10" s="276"/>
      <c r="FO10" s="49"/>
      <c r="FP10" s="49"/>
      <c r="FQ10" s="249"/>
      <c r="FR10" s="53"/>
      <c r="FS10" s="53"/>
      <c r="FT10" s="53"/>
      <c r="FU10" s="53"/>
      <c r="FV10" s="53"/>
      <c r="FW10" s="80"/>
      <c r="FX10" s="53"/>
      <c r="FY10" s="193"/>
      <c r="FZ10" s="84"/>
      <c r="GA10" s="53"/>
      <c r="GB10" s="66"/>
      <c r="GC10" s="49"/>
      <c r="GD10" s="49"/>
      <c r="GE10" s="49"/>
      <c r="GF10" s="49"/>
      <c r="GG10" s="49"/>
      <c r="GH10" s="260"/>
      <c r="GI10" s="276"/>
      <c r="GJ10" s="49"/>
      <c r="GK10" s="49"/>
      <c r="GL10" s="249"/>
      <c r="GM10" s="254"/>
      <c r="GN10" s="49"/>
      <c r="GO10" s="49"/>
      <c r="GP10" s="49"/>
      <c r="GQ10" s="49"/>
      <c r="GR10" s="49"/>
      <c r="GS10" s="49"/>
      <c r="GT10" s="244"/>
      <c r="GU10" s="49"/>
      <c r="GV10" s="49"/>
      <c r="GW10" s="49"/>
      <c r="GX10" s="49"/>
      <c r="GY10" s="49"/>
      <c r="GZ10" s="49"/>
      <c r="HA10" s="49"/>
      <c r="HB10" s="49"/>
      <c r="HC10" s="260"/>
      <c r="HD10" s="276"/>
      <c r="HE10" s="49"/>
      <c r="HF10" s="49"/>
      <c r="HG10" s="249"/>
      <c r="HH10" s="254"/>
      <c r="HI10" s="49"/>
      <c r="HJ10" s="49"/>
      <c r="HK10" s="49"/>
      <c r="HL10" s="49"/>
      <c r="HM10" s="49"/>
      <c r="HN10" s="49"/>
      <c r="HO10" s="244"/>
      <c r="HP10" s="49"/>
      <c r="HQ10" s="49"/>
      <c r="HR10" s="49"/>
      <c r="HS10" s="49"/>
      <c r="HT10" s="49"/>
      <c r="HU10" s="49"/>
      <c r="HV10" s="49"/>
      <c r="HW10" s="49"/>
      <c r="HX10" s="260"/>
      <c r="HY10" s="276"/>
      <c r="HZ10" s="49"/>
      <c r="IA10" s="49"/>
      <c r="IB10" s="249"/>
      <c r="IC10" s="254"/>
      <c r="ID10" s="49"/>
      <c r="IE10" s="49"/>
      <c r="IF10" s="49"/>
      <c r="IG10" s="49"/>
      <c r="IH10" s="49"/>
      <c r="II10" s="49"/>
      <c r="IJ10" s="244"/>
      <c r="IK10" s="49"/>
      <c r="IL10" s="49"/>
      <c r="IM10" s="49"/>
      <c r="IN10" s="49"/>
      <c r="IO10" s="49"/>
      <c r="IP10" s="49"/>
      <c r="IQ10" s="49"/>
      <c r="IR10" s="49"/>
      <c r="IS10" s="260"/>
      <c r="IT10" s="276"/>
      <c r="IU10" s="49"/>
      <c r="IV10" s="49"/>
      <c r="IW10" s="249"/>
      <c r="IX10" s="254"/>
      <c r="IY10" s="49"/>
      <c r="IZ10" s="49"/>
      <c r="JA10" s="49"/>
      <c r="JB10" s="49"/>
      <c r="JC10" s="49"/>
      <c r="JD10" s="49"/>
      <c r="JE10" s="244"/>
      <c r="JF10" s="49"/>
      <c r="JG10" s="49"/>
      <c r="JH10" s="49"/>
      <c r="JI10" s="49"/>
      <c r="JJ10" s="49"/>
      <c r="JK10" s="49"/>
      <c r="JL10" s="49"/>
      <c r="JM10" s="49"/>
      <c r="JN10" s="260"/>
      <c r="JO10" s="276"/>
      <c r="JP10" s="49"/>
      <c r="JQ10" s="49"/>
      <c r="JR10" s="249"/>
      <c r="JS10" s="254"/>
      <c r="JT10" s="49"/>
      <c r="JU10" s="49"/>
      <c r="JV10" s="49"/>
      <c r="JW10" s="49"/>
      <c r="JX10" s="49"/>
      <c r="JY10" s="49"/>
      <c r="JZ10" s="244"/>
      <c r="KA10" s="49"/>
      <c r="KB10" s="49"/>
      <c r="KC10" s="49"/>
      <c r="KD10" s="49"/>
      <c r="KE10" s="49"/>
      <c r="KF10" s="49"/>
      <c r="KG10" s="49"/>
      <c r="KH10" s="49"/>
      <c r="KI10" s="260"/>
      <c r="KJ10" s="276"/>
      <c r="KK10" s="49"/>
      <c r="KL10" s="49"/>
      <c r="KM10" s="249"/>
      <c r="KN10" s="254"/>
      <c r="KO10" s="49"/>
      <c r="KP10" s="49"/>
      <c r="KQ10" s="49"/>
      <c r="KR10" s="49"/>
      <c r="KS10" s="49"/>
      <c r="KT10" s="49"/>
      <c r="KU10" s="244"/>
      <c r="KV10" s="49"/>
      <c r="KW10" s="49"/>
      <c r="KX10" s="49"/>
      <c r="KY10" s="49"/>
      <c r="KZ10" s="49"/>
      <c r="LA10" s="49"/>
      <c r="LB10" s="49"/>
      <c r="LC10" s="49"/>
      <c r="LD10" s="260"/>
      <c r="LE10" s="276"/>
      <c r="LF10" s="49"/>
      <c r="LG10" s="49"/>
      <c r="LH10" s="249"/>
      <c r="LI10" s="254"/>
      <c r="LJ10" s="49"/>
      <c r="LK10" s="49"/>
      <c r="LL10" s="49"/>
      <c r="LM10" s="49"/>
      <c r="LN10" s="49"/>
      <c r="LO10" s="49"/>
      <c r="LP10" s="244"/>
      <c r="LQ10" s="49"/>
      <c r="LR10" s="49"/>
      <c r="LS10" s="49"/>
      <c r="LT10" s="49"/>
      <c r="LU10" s="49"/>
      <c r="LV10" s="49"/>
      <c r="LW10" s="49"/>
      <c r="LX10" s="49"/>
      <c r="LY10" s="260"/>
      <c r="LZ10" s="276"/>
      <c r="MA10" s="49"/>
      <c r="MB10" s="49"/>
      <c r="MC10" s="249"/>
      <c r="MD10" s="254"/>
      <c r="ME10" s="49"/>
      <c r="MF10" s="49"/>
      <c r="MG10" s="49"/>
      <c r="MH10" s="49"/>
      <c r="MI10" s="49"/>
      <c r="MJ10" s="49"/>
      <c r="MK10" s="244"/>
      <c r="ML10" s="49"/>
      <c r="MM10" s="49"/>
      <c r="MN10" s="49"/>
      <c r="MO10" s="49"/>
      <c r="MP10" s="49"/>
      <c r="MQ10" s="49"/>
      <c r="MR10" s="49"/>
      <c r="MS10" s="49"/>
      <c r="MT10" s="260"/>
      <c r="MU10" s="276"/>
      <c r="MV10" s="49"/>
      <c r="MW10" s="49"/>
      <c r="MX10" s="249"/>
      <c r="MY10" s="254"/>
      <c r="MZ10" s="49"/>
      <c r="NA10" s="49"/>
      <c r="NB10" s="49"/>
      <c r="NC10" s="49"/>
      <c r="ND10" s="49"/>
      <c r="NE10" s="49"/>
      <c r="NF10" s="244"/>
      <c r="NG10" s="49"/>
      <c r="NH10" s="49"/>
      <c r="NI10" s="49"/>
      <c r="NJ10" s="49"/>
      <c r="NK10" s="49"/>
      <c r="NL10" s="49"/>
      <c r="NM10" s="49"/>
      <c r="NN10" s="49"/>
      <c r="NO10" s="260"/>
      <c r="NP10" s="276"/>
      <c r="NQ10" s="49"/>
      <c r="NR10" s="49"/>
      <c r="NS10" s="249"/>
      <c r="NT10" s="254"/>
      <c r="NU10" s="49"/>
      <c r="NV10" s="49"/>
      <c r="NW10" s="49"/>
      <c r="NX10" s="49"/>
      <c r="NY10" s="49"/>
      <c r="NZ10" s="49"/>
      <c r="OA10" s="244"/>
      <c r="OB10" s="49"/>
      <c r="OC10" s="49"/>
      <c r="OD10" s="49"/>
      <c r="OE10" s="49"/>
      <c r="OF10" s="49"/>
      <c r="OG10" s="49"/>
      <c r="OH10" s="49"/>
      <c r="OI10" s="49"/>
      <c r="OJ10" s="260"/>
      <c r="OK10" s="276"/>
      <c r="OL10" s="49"/>
      <c r="OM10" s="49"/>
      <c r="ON10" s="249"/>
      <c r="OO10" s="254"/>
      <c r="OP10" s="49"/>
      <c r="OQ10" s="49"/>
      <c r="OR10" s="49"/>
      <c r="OS10" s="49"/>
      <c r="OT10" s="49"/>
      <c r="OU10" s="49"/>
      <c r="OV10" s="244"/>
      <c r="OW10" s="49"/>
      <c r="OX10" s="49"/>
      <c r="OY10" s="49"/>
      <c r="OZ10" s="49"/>
      <c r="PA10" s="49"/>
      <c r="PB10" s="49"/>
      <c r="PC10" s="49"/>
      <c r="PD10" s="49"/>
      <c r="PE10" s="260"/>
      <c r="PF10" s="276"/>
      <c r="PG10" s="49"/>
      <c r="PH10" s="49"/>
      <c r="PI10" s="249"/>
      <c r="PJ10" s="254"/>
      <c r="PK10" s="49"/>
      <c r="PL10" s="49"/>
      <c r="PM10" s="49"/>
      <c r="PN10" s="49"/>
      <c r="PO10" s="49"/>
      <c r="PP10" s="49"/>
      <c r="PQ10" s="244"/>
      <c r="PR10" s="49"/>
      <c r="PS10" s="49"/>
      <c r="PT10" s="49"/>
      <c r="PU10" s="49"/>
      <c r="PV10" s="49"/>
      <c r="PW10" s="49"/>
      <c r="PX10" s="49"/>
      <c r="PY10" s="49"/>
      <c r="PZ10" s="260"/>
      <c r="QA10" s="276"/>
      <c r="QB10" s="49"/>
      <c r="QC10" s="49"/>
      <c r="QD10" s="249"/>
      <c r="QE10" s="254"/>
      <c r="QF10" s="49"/>
      <c r="QG10" s="49"/>
      <c r="QH10" s="49"/>
      <c r="QI10" s="49"/>
      <c r="QJ10" s="49"/>
      <c r="QK10" s="49"/>
      <c r="QL10" s="244"/>
      <c r="QM10" s="49"/>
      <c r="QN10" s="49"/>
      <c r="QO10" s="49"/>
      <c r="QP10" s="49"/>
      <c r="QQ10" s="49"/>
      <c r="QR10" s="49"/>
      <c r="QS10" s="49"/>
      <c r="QT10" s="49"/>
      <c r="QU10" s="260"/>
      <c r="QV10" s="276"/>
      <c r="QW10" s="49"/>
      <c r="QX10" s="49"/>
      <c r="QY10" s="249"/>
      <c r="QZ10" s="254"/>
      <c r="RA10" s="49"/>
      <c r="RB10" s="49"/>
      <c r="RC10" s="49"/>
      <c r="RD10" s="49"/>
      <c r="RE10" s="49"/>
      <c r="RF10" s="49"/>
      <c r="RG10" s="244"/>
      <c r="RH10" s="49"/>
      <c r="RI10" s="49"/>
      <c r="RJ10" s="49"/>
      <c r="RK10" s="49"/>
      <c r="RL10" s="49"/>
      <c r="RM10" s="49"/>
      <c r="RN10" s="49"/>
      <c r="RO10" s="49"/>
      <c r="RP10" s="260"/>
      <c r="RQ10" s="276"/>
      <c r="RR10" s="49"/>
      <c r="RS10" s="49"/>
      <c r="RT10" s="249"/>
      <c r="RU10" s="254"/>
      <c r="RV10" s="49"/>
      <c r="RW10" s="49"/>
      <c r="RX10" s="49"/>
      <c r="RY10" s="49"/>
      <c r="RZ10" s="49"/>
      <c r="SA10" s="49"/>
      <c r="SB10" s="244"/>
      <c r="SC10" s="49"/>
      <c r="SD10" s="49"/>
      <c r="SE10" s="49"/>
      <c r="SF10" s="49"/>
      <c r="SG10" s="49"/>
      <c r="SH10" s="49"/>
      <c r="SI10" s="49"/>
      <c r="SJ10" s="49"/>
      <c r="SK10" s="260"/>
      <c r="SL10" s="276"/>
      <c r="SM10" s="49"/>
      <c r="SN10" s="49"/>
      <c r="SO10" s="249"/>
      <c r="SP10" s="254"/>
      <c r="SQ10" s="49"/>
      <c r="SR10" s="49"/>
      <c r="SS10" s="49"/>
      <c r="ST10" s="49"/>
      <c r="SU10" s="49"/>
      <c r="SV10" s="49"/>
      <c r="SW10" s="244"/>
      <c r="SX10" s="49"/>
      <c r="SY10" s="49"/>
      <c r="SZ10" s="49"/>
      <c r="TA10" s="49"/>
      <c r="TB10" s="49"/>
      <c r="TC10" s="49"/>
      <c r="TD10" s="49"/>
      <c r="TE10" s="49"/>
      <c r="TF10" s="260"/>
      <c r="TG10" s="276"/>
      <c r="TH10" s="49"/>
      <c r="TI10" s="49"/>
      <c r="TJ10" s="249"/>
      <c r="TK10" s="254"/>
      <c r="TL10" s="49"/>
      <c r="TM10" s="49"/>
      <c r="TN10" s="49"/>
      <c r="TO10" s="49"/>
      <c r="TP10" s="49"/>
      <c r="TQ10" s="49"/>
      <c r="TR10" s="244"/>
      <c r="TS10" s="49"/>
      <c r="TT10" s="49"/>
      <c r="TU10" s="49"/>
      <c r="TV10" s="49"/>
      <c r="TW10" s="49"/>
      <c r="TX10" s="49"/>
      <c r="TY10" s="49"/>
      <c r="TZ10" s="49"/>
      <c r="UA10" s="260"/>
      <c r="UB10" s="276"/>
      <c r="UC10" s="49"/>
      <c r="UD10" s="49"/>
      <c r="UE10" s="249"/>
      <c r="UF10" s="254"/>
      <c r="UG10" s="49"/>
      <c r="UH10" s="49"/>
      <c r="UI10" s="49"/>
      <c r="UJ10" s="49"/>
      <c r="UK10" s="49"/>
      <c r="UL10" s="49"/>
      <c r="UM10" s="244"/>
      <c r="UN10" s="49"/>
      <c r="UO10" s="49"/>
      <c r="UP10" s="49"/>
      <c r="UQ10" s="49"/>
      <c r="UR10" s="49"/>
      <c r="US10" s="49"/>
      <c r="UT10" s="49"/>
      <c r="UU10" s="49"/>
      <c r="UV10" s="260"/>
      <c r="UW10" s="276"/>
      <c r="UX10" s="49"/>
      <c r="UY10" s="49"/>
      <c r="UZ10" s="249"/>
      <c r="VA10" s="254"/>
      <c r="VB10" s="49"/>
      <c r="VC10" s="49"/>
      <c r="VD10" s="49"/>
      <c r="VE10" s="49"/>
      <c r="VF10" s="49"/>
      <c r="VG10" s="49"/>
      <c r="VH10" s="244"/>
      <c r="VI10" s="49"/>
      <c r="VJ10" s="49"/>
      <c r="VK10" s="49"/>
      <c r="VL10" s="49"/>
      <c r="VM10" s="49"/>
      <c r="VN10" s="49"/>
      <c r="VO10" s="49"/>
      <c r="VP10" s="49"/>
      <c r="VQ10" s="260"/>
      <c r="VR10" s="276"/>
      <c r="VS10" s="49"/>
      <c r="VT10" s="49"/>
      <c r="VU10" s="249"/>
      <c r="VV10" s="254"/>
      <c r="VW10" s="49"/>
      <c r="VX10" s="49"/>
      <c r="VY10" s="49"/>
      <c r="VZ10" s="49"/>
      <c r="WA10" s="49"/>
      <c r="WB10" s="49"/>
      <c r="WC10" s="244"/>
      <c r="WD10" s="49"/>
      <c r="WE10" s="49"/>
      <c r="WF10" s="49"/>
      <c r="WG10" s="49"/>
      <c r="WH10" s="49"/>
      <c r="WI10" s="49"/>
      <c r="WJ10" s="49"/>
      <c r="WK10" s="49"/>
      <c r="WL10" s="260"/>
      <c r="WM10" s="276"/>
      <c r="WN10" s="49"/>
      <c r="WO10" s="49"/>
      <c r="WP10" s="249"/>
      <c r="WQ10" s="254"/>
      <c r="WR10" s="49"/>
      <c r="WS10" s="49"/>
      <c r="WT10" s="49"/>
      <c r="WU10" s="49"/>
      <c r="WV10" s="49"/>
      <c r="WW10" s="49"/>
      <c r="WX10" s="244"/>
      <c r="WY10" s="49"/>
      <c r="WZ10" s="49"/>
      <c r="XA10" s="49"/>
      <c r="XB10" s="49"/>
      <c r="XC10" s="49"/>
      <c r="XD10" s="49"/>
      <c r="XE10" s="49"/>
      <c r="XF10" s="49"/>
      <c r="XG10" s="260"/>
      <c r="XH10" s="276"/>
      <c r="XI10" s="49"/>
      <c r="XJ10" s="49"/>
      <c r="XK10" s="249"/>
      <c r="XL10" s="254"/>
      <c r="XM10" s="49"/>
      <c r="XN10" s="49"/>
      <c r="XO10" s="49"/>
      <c r="XP10" s="49"/>
      <c r="XQ10" s="49"/>
      <c r="XR10" s="49"/>
      <c r="XS10" s="244"/>
      <c r="XT10" s="49"/>
      <c r="XU10" s="49"/>
      <c r="XV10" s="49"/>
      <c r="XW10" s="49"/>
      <c r="XX10" s="49"/>
      <c r="XY10" s="49"/>
      <c r="XZ10" s="49"/>
      <c r="YA10" s="49"/>
      <c r="YB10" s="260"/>
    </row>
    <row r="11" spans="1:652" x14ac:dyDescent="0.3">
      <c r="A11" s="224" t="s">
        <v>114</v>
      </c>
      <c r="B11" s="270"/>
      <c r="C11" s="10"/>
      <c r="D11" s="10"/>
      <c r="E11" s="234"/>
      <c r="F11" s="238"/>
      <c r="G11" s="11"/>
      <c r="H11" s="11"/>
      <c r="I11" s="11"/>
      <c r="J11" s="11"/>
      <c r="K11" s="12"/>
      <c r="L11" s="11"/>
      <c r="M11" s="11"/>
      <c r="N11" s="11"/>
      <c r="O11" s="11"/>
      <c r="P11" s="11"/>
      <c r="Q11" s="11"/>
      <c r="R11" s="11"/>
      <c r="S11" s="11"/>
      <c r="T11" s="11"/>
      <c r="U11" s="11"/>
      <c r="V11" s="259"/>
      <c r="W11" s="275"/>
      <c r="X11" s="11"/>
      <c r="Y11" s="11"/>
      <c r="Z11" s="248"/>
      <c r="AA11" s="253"/>
      <c r="AB11" s="11"/>
      <c r="AC11" s="11"/>
      <c r="AD11" s="11"/>
      <c r="AE11" s="11"/>
      <c r="AF11" s="11"/>
      <c r="AG11" s="11"/>
      <c r="AH11" s="11"/>
      <c r="AI11" s="11"/>
      <c r="AJ11" s="11"/>
      <c r="AK11" s="11"/>
      <c r="AL11" s="11"/>
      <c r="AM11" s="11"/>
      <c r="AN11" s="11"/>
      <c r="AO11" s="11"/>
      <c r="AP11" s="11"/>
      <c r="AQ11" s="259"/>
      <c r="AR11" s="270"/>
      <c r="AS11" s="10"/>
      <c r="AT11" s="10"/>
      <c r="AU11" s="234"/>
      <c r="AV11" s="238"/>
      <c r="AW11" s="11"/>
      <c r="AX11" s="11"/>
      <c r="AY11" s="11"/>
      <c r="AZ11" s="11"/>
      <c r="BA11" s="11"/>
      <c r="BB11" s="11"/>
      <c r="BC11" s="11"/>
      <c r="BD11" s="11"/>
      <c r="BE11" s="11"/>
      <c r="BF11" s="11"/>
      <c r="BG11" s="11"/>
      <c r="BH11" s="11"/>
      <c r="BI11" s="11"/>
      <c r="BJ11" s="11"/>
      <c r="BK11" s="11"/>
      <c r="BL11" s="259"/>
      <c r="BM11" s="275"/>
      <c r="BN11" s="11"/>
      <c r="BO11" s="11"/>
      <c r="BP11" s="248"/>
      <c r="BQ11" s="253"/>
      <c r="BR11" s="11"/>
      <c r="BS11" s="11"/>
      <c r="BT11" s="11"/>
      <c r="BU11" s="11"/>
      <c r="BV11" s="11"/>
      <c r="BW11" s="11"/>
      <c r="BX11" s="11"/>
      <c r="BY11" s="11"/>
      <c r="BZ11" s="11"/>
      <c r="CA11" s="11"/>
      <c r="CB11" s="11"/>
      <c r="CC11" s="11"/>
      <c r="CD11" s="11"/>
      <c r="CE11" s="11"/>
      <c r="CF11" s="11"/>
      <c r="CG11" s="259"/>
      <c r="CH11" s="275"/>
      <c r="CI11" s="11"/>
      <c r="CJ11" s="11"/>
      <c r="CK11" s="248"/>
      <c r="CL11" s="45"/>
      <c r="CM11" s="45"/>
      <c r="CN11" s="45"/>
      <c r="CO11" s="45"/>
      <c r="CP11" s="45"/>
      <c r="CQ11" s="79"/>
      <c r="CR11" s="45"/>
      <c r="CS11" s="36"/>
      <c r="CT11" s="86"/>
      <c r="CU11" s="45"/>
      <c r="CV11" s="10"/>
      <c r="CW11" s="11"/>
      <c r="CX11" s="11"/>
      <c r="CY11" s="11"/>
      <c r="CZ11" s="11"/>
      <c r="DA11" s="11"/>
      <c r="DB11" s="259"/>
      <c r="DC11" s="275"/>
      <c r="DD11" s="11"/>
      <c r="DE11" s="11"/>
      <c r="DF11" s="248"/>
      <c r="DG11" s="253"/>
      <c r="DH11" s="11"/>
      <c r="DI11" s="11"/>
      <c r="DJ11" s="11"/>
      <c r="DK11" s="11"/>
      <c r="DL11" s="11"/>
      <c r="DM11" s="11"/>
      <c r="DN11" s="11"/>
      <c r="DO11" s="11"/>
      <c r="DP11" s="11"/>
      <c r="DQ11" s="11"/>
      <c r="DR11" s="11"/>
      <c r="DS11" s="11"/>
      <c r="DT11" s="11"/>
      <c r="DU11" s="11"/>
      <c r="DV11" s="11"/>
      <c r="DW11" s="259"/>
      <c r="DX11" s="275"/>
      <c r="DY11" s="11"/>
      <c r="DZ11" s="11"/>
      <c r="EA11" s="248"/>
      <c r="EB11" s="45"/>
      <c r="EC11" s="45"/>
      <c r="ED11" s="45"/>
      <c r="EE11" s="45"/>
      <c r="EF11" s="45"/>
      <c r="EG11" s="79"/>
      <c r="EH11" s="45"/>
      <c r="EI11" s="36"/>
      <c r="EJ11" s="86"/>
      <c r="EK11" s="45"/>
      <c r="EL11" s="10"/>
      <c r="EM11" s="11"/>
      <c r="EN11" s="11"/>
      <c r="EO11" s="11"/>
      <c r="EP11" s="11"/>
      <c r="EQ11" s="11"/>
      <c r="ER11" s="259"/>
      <c r="ES11" s="275"/>
      <c r="ET11" s="11"/>
      <c r="EU11" s="11"/>
      <c r="EV11" s="248"/>
      <c r="EW11" s="253"/>
      <c r="EX11" s="11"/>
      <c r="EY11" s="11"/>
      <c r="EZ11" s="11"/>
      <c r="FA11" s="11"/>
      <c r="FB11" s="11"/>
      <c r="FC11" s="11"/>
      <c r="FD11" s="11"/>
      <c r="FE11" s="11"/>
      <c r="FF11" s="11"/>
      <c r="FG11" s="11"/>
      <c r="FH11" s="11"/>
      <c r="FI11" s="11"/>
      <c r="FJ11" s="11"/>
      <c r="FK11" s="11"/>
      <c r="FL11" s="11"/>
      <c r="FM11" s="259"/>
      <c r="FN11" s="275"/>
      <c r="FO11" s="11"/>
      <c r="FP11" s="11"/>
      <c r="FQ11" s="248"/>
      <c r="FR11" s="45"/>
      <c r="FS11" s="45"/>
      <c r="FT11" s="45"/>
      <c r="FU11" s="45"/>
      <c r="FV11" s="45"/>
      <c r="FW11" s="79"/>
      <c r="FX11" s="45"/>
      <c r="FY11" s="36"/>
      <c r="FZ11" s="86"/>
      <c r="GA11" s="45"/>
      <c r="GB11" s="10"/>
      <c r="GC11" s="11"/>
      <c r="GD11" s="11"/>
      <c r="GE11" s="11"/>
      <c r="GF11" s="11"/>
      <c r="GG11" s="11"/>
      <c r="GH11" s="259"/>
      <c r="GI11" s="275"/>
      <c r="GJ11" s="11"/>
      <c r="GK11" s="11"/>
      <c r="GL11" s="248"/>
      <c r="GM11" s="253"/>
      <c r="GN11" s="11"/>
      <c r="GO11" s="11"/>
      <c r="GP11" s="11"/>
      <c r="GQ11" s="11"/>
      <c r="GR11" s="11"/>
      <c r="GS11" s="11"/>
      <c r="GT11" s="11"/>
      <c r="GU11" s="11"/>
      <c r="GV11" s="11"/>
      <c r="GW11" s="11"/>
      <c r="GX11" s="11"/>
      <c r="GY11" s="11"/>
      <c r="GZ11" s="11"/>
      <c r="HA11" s="11"/>
      <c r="HB11" s="11"/>
      <c r="HC11" s="259"/>
      <c r="HD11" s="275"/>
      <c r="HE11" s="11"/>
      <c r="HF11" s="11"/>
      <c r="HG11" s="248"/>
      <c r="HH11" s="253"/>
      <c r="HI11" s="11"/>
      <c r="HJ11" s="11"/>
      <c r="HK11" s="11"/>
      <c r="HL11" s="11"/>
      <c r="HM11" s="11"/>
      <c r="HN11" s="11"/>
      <c r="HO11" s="11"/>
      <c r="HP11" s="11"/>
      <c r="HQ11" s="11"/>
      <c r="HR11" s="11"/>
      <c r="HS11" s="11"/>
      <c r="HT11" s="11"/>
      <c r="HU11" s="11"/>
      <c r="HV11" s="11"/>
      <c r="HW11" s="11"/>
      <c r="HX11" s="259"/>
      <c r="HY11" s="275"/>
      <c r="HZ11" s="11"/>
      <c r="IA11" s="11"/>
      <c r="IB11" s="248"/>
      <c r="IC11" s="253"/>
      <c r="ID11" s="11"/>
      <c r="IE11" s="11"/>
      <c r="IF11" s="11"/>
      <c r="IG11" s="11"/>
      <c r="IH11" s="11"/>
      <c r="II11" s="11"/>
      <c r="IJ11" s="11"/>
      <c r="IK11" s="11"/>
      <c r="IL11" s="11"/>
      <c r="IM11" s="11"/>
      <c r="IN11" s="11"/>
      <c r="IO11" s="11"/>
      <c r="IP11" s="11"/>
      <c r="IQ11" s="11"/>
      <c r="IR11" s="11"/>
      <c r="IS11" s="259"/>
      <c r="IT11" s="275"/>
      <c r="IU11" s="11"/>
      <c r="IV11" s="11"/>
      <c r="IW11" s="248"/>
      <c r="IX11" s="253"/>
      <c r="IY11" s="11"/>
      <c r="IZ11" s="11"/>
      <c r="JA11" s="11"/>
      <c r="JB11" s="11"/>
      <c r="JC11" s="11"/>
      <c r="JD11" s="11"/>
      <c r="JE11" s="11"/>
      <c r="JF11" s="11"/>
      <c r="JG11" s="11"/>
      <c r="JH11" s="11"/>
      <c r="JI11" s="11"/>
      <c r="JJ11" s="11"/>
      <c r="JK11" s="11"/>
      <c r="JL11" s="11"/>
      <c r="JM11" s="11"/>
      <c r="JN11" s="259"/>
      <c r="JO11" s="275"/>
      <c r="JP11" s="11"/>
      <c r="JQ11" s="11"/>
      <c r="JR11" s="248"/>
      <c r="JS11" s="253"/>
      <c r="JT11" s="11"/>
      <c r="JU11" s="11"/>
      <c r="JV11" s="11"/>
      <c r="JW11" s="11"/>
      <c r="JX11" s="11"/>
      <c r="JY11" s="11"/>
      <c r="JZ11" s="11"/>
      <c r="KA11" s="11"/>
      <c r="KB11" s="11"/>
      <c r="KC11" s="11"/>
      <c r="KD11" s="11"/>
      <c r="KE11" s="11"/>
      <c r="KF11" s="11"/>
      <c r="KG11" s="11"/>
      <c r="KH11" s="11"/>
      <c r="KI11" s="259"/>
      <c r="KJ11" s="275"/>
      <c r="KK11" s="11"/>
      <c r="KL11" s="11"/>
      <c r="KM11" s="248"/>
      <c r="KN11" s="253"/>
      <c r="KO11" s="11"/>
      <c r="KP11" s="11"/>
      <c r="KQ11" s="11"/>
      <c r="KR11" s="11"/>
      <c r="KS11" s="11"/>
      <c r="KT11" s="11"/>
      <c r="KU11" s="11"/>
      <c r="KV11" s="11"/>
      <c r="KW11" s="11"/>
      <c r="KX11" s="11"/>
      <c r="KY11" s="11"/>
      <c r="KZ11" s="11"/>
      <c r="LA11" s="11"/>
      <c r="LB11" s="11"/>
      <c r="LC11" s="11"/>
      <c r="LD11" s="259"/>
      <c r="LE11" s="275"/>
      <c r="LF11" s="11"/>
      <c r="LG11" s="11"/>
      <c r="LH11" s="248"/>
      <c r="LI11" s="253"/>
      <c r="LJ11" s="11"/>
      <c r="LK11" s="11"/>
      <c r="LL11" s="11"/>
      <c r="LM11" s="11"/>
      <c r="LN11" s="11"/>
      <c r="LO11" s="11"/>
      <c r="LP11" s="11"/>
      <c r="LQ11" s="11"/>
      <c r="LR11" s="11"/>
      <c r="LS11" s="11"/>
      <c r="LT11" s="11"/>
      <c r="LU11" s="11"/>
      <c r="LV11" s="11"/>
      <c r="LW11" s="11"/>
      <c r="LX11" s="11"/>
      <c r="LY11" s="259"/>
      <c r="LZ11" s="275"/>
      <c r="MA11" s="11"/>
      <c r="MB11" s="11"/>
      <c r="MC11" s="248"/>
      <c r="MD11" s="253"/>
      <c r="ME11" s="11"/>
      <c r="MF11" s="11"/>
      <c r="MG11" s="11"/>
      <c r="MH11" s="11"/>
      <c r="MI11" s="11"/>
      <c r="MJ11" s="11"/>
      <c r="MK11" s="11"/>
      <c r="ML11" s="11"/>
      <c r="MM11" s="11"/>
      <c r="MN11" s="11"/>
      <c r="MO11" s="11"/>
      <c r="MP11" s="11"/>
      <c r="MQ11" s="11"/>
      <c r="MR11" s="11"/>
      <c r="MS11" s="11"/>
      <c r="MT11" s="259"/>
      <c r="MU11" s="275"/>
      <c r="MV11" s="11"/>
      <c r="MW11" s="11"/>
      <c r="MX11" s="248"/>
      <c r="MY11" s="253"/>
      <c r="MZ11" s="11"/>
      <c r="NA11" s="11"/>
      <c r="NB11" s="11"/>
      <c r="NC11" s="11"/>
      <c r="ND11" s="11"/>
      <c r="NE11" s="11"/>
      <c r="NF11" s="11"/>
      <c r="NG11" s="11"/>
      <c r="NH11" s="11"/>
      <c r="NI11" s="11"/>
      <c r="NJ11" s="11"/>
      <c r="NK11" s="11"/>
      <c r="NL11" s="11"/>
      <c r="NM11" s="11"/>
      <c r="NN11" s="11"/>
      <c r="NO11" s="259"/>
      <c r="NP11" s="275"/>
      <c r="NQ11" s="11"/>
      <c r="NR11" s="11"/>
      <c r="NS11" s="248"/>
      <c r="NT11" s="253"/>
      <c r="NU11" s="11"/>
      <c r="NV11" s="11"/>
      <c r="NW11" s="11"/>
      <c r="NX11" s="11"/>
      <c r="NY11" s="11"/>
      <c r="NZ11" s="11"/>
      <c r="OA11" s="11"/>
      <c r="OB11" s="11"/>
      <c r="OC11" s="11"/>
      <c r="OD11" s="11"/>
      <c r="OE11" s="11"/>
      <c r="OF11" s="11"/>
      <c r="OG11" s="11"/>
      <c r="OH11" s="11"/>
      <c r="OI11" s="11"/>
      <c r="OJ11" s="259"/>
      <c r="OK11" s="275"/>
      <c r="OL11" s="11"/>
      <c r="OM11" s="11"/>
      <c r="ON11" s="248"/>
      <c r="OO11" s="253"/>
      <c r="OP11" s="11"/>
      <c r="OQ11" s="11"/>
      <c r="OR11" s="11"/>
      <c r="OS11" s="11"/>
      <c r="OT11" s="11"/>
      <c r="OU11" s="11"/>
      <c r="OV11" s="11"/>
      <c r="OW11" s="11"/>
      <c r="OX11" s="11"/>
      <c r="OY11" s="11"/>
      <c r="OZ11" s="11"/>
      <c r="PA11" s="11"/>
      <c r="PB11" s="11"/>
      <c r="PC11" s="11"/>
      <c r="PD11" s="11"/>
      <c r="PE11" s="259"/>
      <c r="PF11" s="275"/>
      <c r="PG11" s="11"/>
      <c r="PH11" s="11"/>
      <c r="PI11" s="248"/>
      <c r="PJ11" s="253"/>
      <c r="PK11" s="11"/>
      <c r="PL11" s="11"/>
      <c r="PM11" s="11"/>
      <c r="PN11" s="11"/>
      <c r="PO11" s="11"/>
      <c r="PP11" s="11"/>
      <c r="PQ11" s="11"/>
      <c r="PR11" s="11"/>
      <c r="PS11" s="11"/>
      <c r="PT11" s="11"/>
      <c r="PU11" s="11"/>
      <c r="PV11" s="11"/>
      <c r="PW11" s="11"/>
      <c r="PX11" s="11"/>
      <c r="PY11" s="11"/>
      <c r="PZ11" s="259"/>
      <c r="QA11" s="275"/>
      <c r="QB11" s="11"/>
      <c r="QC11" s="11"/>
      <c r="QD11" s="248"/>
      <c r="QE11" s="253"/>
      <c r="QF11" s="11"/>
      <c r="QG11" s="11"/>
      <c r="QH11" s="11"/>
      <c r="QI11" s="11"/>
      <c r="QJ11" s="11"/>
      <c r="QK11" s="11"/>
      <c r="QL11" s="11"/>
      <c r="QM11" s="11"/>
      <c r="QN11" s="11"/>
      <c r="QO11" s="11"/>
      <c r="QP11" s="11"/>
      <c r="QQ11" s="11"/>
      <c r="QR11" s="11"/>
      <c r="QS11" s="11"/>
      <c r="QT11" s="11"/>
      <c r="QU11" s="259"/>
      <c r="QV11" s="275"/>
      <c r="QW11" s="11"/>
      <c r="QX11" s="11"/>
      <c r="QY11" s="248"/>
      <c r="QZ11" s="253"/>
      <c r="RA11" s="11"/>
      <c r="RB11" s="11"/>
      <c r="RC11" s="11"/>
      <c r="RD11" s="11"/>
      <c r="RE11" s="11"/>
      <c r="RF11" s="11"/>
      <c r="RG11" s="11"/>
      <c r="RH11" s="11"/>
      <c r="RI11" s="11"/>
      <c r="RJ11" s="11"/>
      <c r="RK11" s="11"/>
      <c r="RL11" s="11"/>
      <c r="RM11" s="11"/>
      <c r="RN11" s="11"/>
      <c r="RO11" s="11"/>
      <c r="RP11" s="259"/>
      <c r="RQ11" s="275"/>
      <c r="RR11" s="11"/>
      <c r="RS11" s="11"/>
      <c r="RT11" s="248"/>
      <c r="RU11" s="253"/>
      <c r="RV11" s="11"/>
      <c r="RW11" s="11"/>
      <c r="RX11" s="11"/>
      <c r="RY11" s="11"/>
      <c r="RZ11" s="11"/>
      <c r="SA11" s="11"/>
      <c r="SB11" s="11"/>
      <c r="SC11" s="11"/>
      <c r="SD11" s="11"/>
      <c r="SE11" s="11"/>
      <c r="SF11" s="11"/>
      <c r="SG11" s="11"/>
      <c r="SH11" s="11"/>
      <c r="SI11" s="11"/>
      <c r="SJ11" s="11"/>
      <c r="SK11" s="259"/>
      <c r="SL11" s="275"/>
      <c r="SM11" s="11"/>
      <c r="SN11" s="11"/>
      <c r="SO11" s="248"/>
      <c r="SP11" s="253"/>
      <c r="SQ11" s="11"/>
      <c r="SR11" s="11"/>
      <c r="SS11" s="11"/>
      <c r="ST11" s="11"/>
      <c r="SU11" s="11"/>
      <c r="SV11" s="11"/>
      <c r="SW11" s="11"/>
      <c r="SX11" s="11"/>
      <c r="SY11" s="11"/>
      <c r="SZ11" s="11"/>
      <c r="TA11" s="11"/>
      <c r="TB11" s="11"/>
      <c r="TC11" s="11"/>
      <c r="TD11" s="11"/>
      <c r="TE11" s="11"/>
      <c r="TF11" s="259"/>
      <c r="TG11" s="275"/>
      <c r="TH11" s="11"/>
      <c r="TI11" s="11"/>
      <c r="TJ11" s="248"/>
      <c r="TK11" s="253"/>
      <c r="TL11" s="11"/>
      <c r="TM11" s="11"/>
      <c r="TN11" s="11"/>
      <c r="TO11" s="11"/>
      <c r="TP11" s="11"/>
      <c r="TQ11" s="11"/>
      <c r="TR11" s="11"/>
      <c r="TS11" s="11"/>
      <c r="TT11" s="11"/>
      <c r="TU11" s="11"/>
      <c r="TV11" s="11"/>
      <c r="TW11" s="11"/>
      <c r="TX11" s="11"/>
      <c r="TY11" s="11"/>
      <c r="TZ11" s="11"/>
      <c r="UA11" s="259"/>
      <c r="UB11" s="275"/>
      <c r="UC11" s="11"/>
      <c r="UD11" s="11"/>
      <c r="UE11" s="248"/>
      <c r="UF11" s="253"/>
      <c r="UG11" s="11"/>
      <c r="UH11" s="11"/>
      <c r="UI11" s="11"/>
      <c r="UJ11" s="11"/>
      <c r="UK11" s="11"/>
      <c r="UL11" s="11"/>
      <c r="UM11" s="11"/>
      <c r="UN11" s="11"/>
      <c r="UO11" s="11"/>
      <c r="UP11" s="11"/>
      <c r="UQ11" s="11"/>
      <c r="UR11" s="11"/>
      <c r="US11" s="11"/>
      <c r="UT11" s="11"/>
      <c r="UU11" s="11"/>
      <c r="UV11" s="259"/>
      <c r="UW11" s="275"/>
      <c r="UX11" s="11"/>
      <c r="UY11" s="11"/>
      <c r="UZ11" s="248"/>
      <c r="VA11" s="253"/>
      <c r="VB11" s="11"/>
      <c r="VC11" s="11"/>
      <c r="VD11" s="11"/>
      <c r="VE11" s="11"/>
      <c r="VF11" s="11"/>
      <c r="VG11" s="11"/>
      <c r="VH11" s="11"/>
      <c r="VI11" s="11"/>
      <c r="VJ11" s="11"/>
      <c r="VK11" s="11"/>
      <c r="VL11" s="11"/>
      <c r="VM11" s="11"/>
      <c r="VN11" s="11"/>
      <c r="VO11" s="11"/>
      <c r="VP11" s="11"/>
      <c r="VQ11" s="259"/>
      <c r="VR11" s="275"/>
      <c r="VS11" s="11"/>
      <c r="VT11" s="11"/>
      <c r="VU11" s="248"/>
      <c r="VV11" s="253"/>
      <c r="VW11" s="11"/>
      <c r="VX11" s="11"/>
      <c r="VY11" s="11"/>
      <c r="VZ11" s="11"/>
      <c r="WA11" s="11"/>
      <c r="WB11" s="11"/>
      <c r="WC11" s="11"/>
      <c r="WD11" s="11"/>
      <c r="WE11" s="11"/>
      <c r="WF11" s="11"/>
      <c r="WG11" s="11"/>
      <c r="WH11" s="11"/>
      <c r="WI11" s="11"/>
      <c r="WJ11" s="11"/>
      <c r="WK11" s="11"/>
      <c r="WL11" s="259"/>
      <c r="WM11" s="275"/>
      <c r="WN11" s="11"/>
      <c r="WO11" s="11"/>
      <c r="WP11" s="248"/>
      <c r="WQ11" s="253"/>
      <c r="WR11" s="11"/>
      <c r="WS11" s="11"/>
      <c r="WT11" s="11"/>
      <c r="WU11" s="11"/>
      <c r="WV11" s="11"/>
      <c r="WW11" s="11"/>
      <c r="WX11" s="11"/>
      <c r="WY11" s="11"/>
      <c r="WZ11" s="11"/>
      <c r="XA11" s="11"/>
      <c r="XB11" s="11"/>
      <c r="XC11" s="11"/>
      <c r="XD11" s="11"/>
      <c r="XE11" s="11"/>
      <c r="XF11" s="11"/>
      <c r="XG11" s="259"/>
      <c r="XH11" s="275"/>
      <c r="XI11" s="11"/>
      <c r="XJ11" s="11"/>
      <c r="XK11" s="248"/>
      <c r="XL11" s="253"/>
      <c r="XM11" s="11"/>
      <c r="XN11" s="11"/>
      <c r="XO11" s="11"/>
      <c r="XP11" s="11"/>
      <c r="XQ11" s="11"/>
      <c r="XR11" s="11"/>
      <c r="XS11" s="11"/>
      <c r="XT11" s="11"/>
      <c r="XU11" s="11"/>
      <c r="XV11" s="11"/>
      <c r="XW11" s="11"/>
      <c r="XX11" s="11"/>
      <c r="XY11" s="11"/>
      <c r="XZ11" s="11"/>
      <c r="YA11" s="11"/>
      <c r="YB11" s="259"/>
    </row>
    <row r="12" spans="1:652" x14ac:dyDescent="0.3">
      <c r="A12" s="223" t="s">
        <v>117</v>
      </c>
      <c r="B12" s="271"/>
      <c r="C12" s="48"/>
      <c r="D12" s="48"/>
      <c r="E12" s="235"/>
      <c r="F12" s="239"/>
      <c r="G12" s="49"/>
      <c r="H12" s="49"/>
      <c r="I12" s="49"/>
      <c r="J12" s="49"/>
      <c r="K12" s="49"/>
      <c r="L12" s="49"/>
      <c r="M12" s="49"/>
      <c r="N12" s="49"/>
      <c r="O12" s="49"/>
      <c r="P12" s="49"/>
      <c r="Q12" s="49"/>
      <c r="R12" s="49"/>
      <c r="S12" s="49"/>
      <c r="T12" s="49"/>
      <c r="U12" s="49"/>
      <c r="V12" s="260"/>
      <c r="W12" s="276"/>
      <c r="X12" s="49"/>
      <c r="Y12" s="49"/>
      <c r="Z12" s="249"/>
      <c r="AA12" s="254"/>
      <c r="AB12" s="49"/>
      <c r="AC12" s="49"/>
      <c r="AD12" s="49"/>
      <c r="AE12" s="49"/>
      <c r="AF12" s="49"/>
      <c r="AG12" s="49"/>
      <c r="AH12" s="49"/>
      <c r="AI12" s="49"/>
      <c r="AJ12" s="49"/>
      <c r="AK12" s="49"/>
      <c r="AL12" s="49"/>
      <c r="AM12" s="49"/>
      <c r="AN12" s="49"/>
      <c r="AO12" s="49"/>
      <c r="AP12" s="49"/>
      <c r="AQ12" s="260"/>
      <c r="AR12" s="271"/>
      <c r="AS12" s="48"/>
      <c r="AT12" s="48"/>
      <c r="AU12" s="235"/>
      <c r="AV12" s="239"/>
      <c r="AW12" s="49"/>
      <c r="AX12" s="49"/>
      <c r="AY12" s="49"/>
      <c r="AZ12" s="49"/>
      <c r="BA12" s="49"/>
      <c r="BB12" s="49"/>
      <c r="BC12" s="49"/>
      <c r="BD12" s="49"/>
      <c r="BE12" s="49"/>
      <c r="BF12" s="49"/>
      <c r="BG12" s="49"/>
      <c r="BH12" s="49"/>
      <c r="BI12" s="49"/>
      <c r="BJ12" s="49"/>
      <c r="BK12" s="49"/>
      <c r="BL12" s="260"/>
      <c r="BM12" s="276"/>
      <c r="BN12" s="49"/>
      <c r="BO12" s="49"/>
      <c r="BP12" s="249"/>
      <c r="BQ12" s="254"/>
      <c r="BR12" s="49"/>
      <c r="BS12" s="49"/>
      <c r="BT12" s="49"/>
      <c r="BU12" s="49"/>
      <c r="BV12" s="49"/>
      <c r="BW12" s="49"/>
      <c r="BX12" s="49"/>
      <c r="BY12" s="49"/>
      <c r="BZ12" s="49"/>
      <c r="CA12" s="49"/>
      <c r="CB12" s="49"/>
      <c r="CC12" s="49"/>
      <c r="CD12" s="49"/>
      <c r="CE12" s="49"/>
      <c r="CF12" s="49"/>
      <c r="CG12" s="260"/>
      <c r="CH12" s="276"/>
      <c r="CI12" s="49"/>
      <c r="CJ12" s="49"/>
      <c r="CK12" s="249"/>
      <c r="CL12" s="53"/>
      <c r="CM12" s="53"/>
      <c r="CN12" s="53"/>
      <c r="CO12" s="53"/>
      <c r="CP12" s="53"/>
      <c r="CQ12" s="80"/>
      <c r="CR12" s="53"/>
      <c r="CS12" s="54"/>
      <c r="CT12" s="84"/>
      <c r="CU12" s="53"/>
      <c r="CV12" s="66"/>
      <c r="CW12" s="49"/>
      <c r="CX12" s="49"/>
      <c r="CY12" s="49"/>
      <c r="CZ12" s="49"/>
      <c r="DA12" s="49"/>
      <c r="DB12" s="260"/>
      <c r="DC12" s="276"/>
      <c r="DD12" s="49"/>
      <c r="DE12" s="49"/>
      <c r="DF12" s="249"/>
      <c r="DG12" s="254"/>
      <c r="DH12" s="49"/>
      <c r="DI12" s="49"/>
      <c r="DJ12" s="49"/>
      <c r="DK12" s="49"/>
      <c r="DL12" s="49"/>
      <c r="DM12" s="49"/>
      <c r="DN12" s="49"/>
      <c r="DO12" s="49"/>
      <c r="DP12" s="49"/>
      <c r="DQ12" s="49"/>
      <c r="DR12" s="49"/>
      <c r="DS12" s="49"/>
      <c r="DT12" s="49"/>
      <c r="DU12" s="49"/>
      <c r="DV12" s="49"/>
      <c r="DW12" s="260"/>
      <c r="DX12" s="276"/>
      <c r="DY12" s="49"/>
      <c r="DZ12" s="49"/>
      <c r="EA12" s="249"/>
      <c r="EB12" s="53"/>
      <c r="EC12" s="53"/>
      <c r="ED12" s="53"/>
      <c r="EE12" s="53"/>
      <c r="EF12" s="53"/>
      <c r="EG12" s="80"/>
      <c r="EH12" s="53"/>
      <c r="EI12" s="54"/>
      <c r="EJ12" s="84"/>
      <c r="EK12" s="53"/>
      <c r="EL12" s="66"/>
      <c r="EM12" s="49"/>
      <c r="EN12" s="49"/>
      <c r="EO12" s="49"/>
      <c r="EP12" s="49"/>
      <c r="EQ12" s="49"/>
      <c r="ER12" s="260"/>
      <c r="ES12" s="276"/>
      <c r="ET12" s="49"/>
      <c r="EU12" s="49"/>
      <c r="EV12" s="249"/>
      <c r="EW12" s="254"/>
      <c r="EX12" s="49"/>
      <c r="EY12" s="49"/>
      <c r="EZ12" s="49"/>
      <c r="FA12" s="49"/>
      <c r="FB12" s="49"/>
      <c r="FC12" s="49"/>
      <c r="FD12" s="49"/>
      <c r="FE12" s="49"/>
      <c r="FF12" s="49"/>
      <c r="FG12" s="49"/>
      <c r="FH12" s="49"/>
      <c r="FI12" s="49"/>
      <c r="FJ12" s="49"/>
      <c r="FK12" s="49"/>
      <c r="FL12" s="49"/>
      <c r="FM12" s="260"/>
      <c r="FN12" s="276"/>
      <c r="FO12" s="49"/>
      <c r="FP12" s="49"/>
      <c r="FQ12" s="249"/>
      <c r="FR12" s="53"/>
      <c r="FS12" s="53"/>
      <c r="FT12" s="53"/>
      <c r="FU12" s="53"/>
      <c r="FV12" s="53"/>
      <c r="FW12" s="80"/>
      <c r="FX12" s="53"/>
      <c r="FY12" s="54"/>
      <c r="FZ12" s="84"/>
      <c r="GA12" s="53"/>
      <c r="GB12" s="66"/>
      <c r="GC12" s="49"/>
      <c r="GD12" s="49"/>
      <c r="GE12" s="49"/>
      <c r="GF12" s="49"/>
      <c r="GG12" s="49"/>
      <c r="GH12" s="260"/>
      <c r="GI12" s="276"/>
      <c r="GJ12" s="49"/>
      <c r="GK12" s="49"/>
      <c r="GL12" s="249"/>
      <c r="GM12" s="254"/>
      <c r="GN12" s="49"/>
      <c r="GO12" s="49"/>
      <c r="GP12" s="49"/>
      <c r="GQ12" s="49"/>
      <c r="GR12" s="49"/>
      <c r="GS12" s="49"/>
      <c r="GT12" s="49"/>
      <c r="GU12" s="49"/>
      <c r="GV12" s="49"/>
      <c r="GW12" s="49"/>
      <c r="GX12" s="49"/>
      <c r="GY12" s="49"/>
      <c r="GZ12" s="49"/>
      <c r="HA12" s="49"/>
      <c r="HB12" s="49"/>
      <c r="HC12" s="260"/>
      <c r="HD12" s="276"/>
      <c r="HE12" s="49"/>
      <c r="HF12" s="49"/>
      <c r="HG12" s="249"/>
      <c r="HH12" s="254"/>
      <c r="HI12" s="49"/>
      <c r="HJ12" s="49"/>
      <c r="HK12" s="49"/>
      <c r="HL12" s="49"/>
      <c r="HM12" s="49"/>
      <c r="HN12" s="49"/>
      <c r="HO12" s="49"/>
      <c r="HP12" s="49"/>
      <c r="HQ12" s="49"/>
      <c r="HR12" s="49"/>
      <c r="HS12" s="49"/>
      <c r="HT12" s="49"/>
      <c r="HU12" s="49"/>
      <c r="HV12" s="49"/>
      <c r="HW12" s="49"/>
      <c r="HX12" s="260"/>
      <c r="HY12" s="276"/>
      <c r="HZ12" s="49"/>
      <c r="IA12" s="49"/>
      <c r="IB12" s="249"/>
      <c r="IC12" s="254"/>
      <c r="ID12" s="49"/>
      <c r="IE12" s="49"/>
      <c r="IF12" s="49"/>
      <c r="IG12" s="49"/>
      <c r="IH12" s="49"/>
      <c r="II12" s="49"/>
      <c r="IJ12" s="49"/>
      <c r="IK12" s="49"/>
      <c r="IL12" s="49"/>
      <c r="IM12" s="49"/>
      <c r="IN12" s="49"/>
      <c r="IO12" s="49"/>
      <c r="IP12" s="49"/>
      <c r="IQ12" s="49"/>
      <c r="IR12" s="49"/>
      <c r="IS12" s="260"/>
      <c r="IT12" s="276"/>
      <c r="IU12" s="49"/>
      <c r="IV12" s="49"/>
      <c r="IW12" s="249"/>
      <c r="IX12" s="254"/>
      <c r="IY12" s="49"/>
      <c r="IZ12" s="49"/>
      <c r="JA12" s="49"/>
      <c r="JB12" s="49"/>
      <c r="JC12" s="49"/>
      <c r="JD12" s="49"/>
      <c r="JE12" s="49"/>
      <c r="JF12" s="49"/>
      <c r="JG12" s="49"/>
      <c r="JH12" s="49"/>
      <c r="JI12" s="49"/>
      <c r="JJ12" s="49"/>
      <c r="JK12" s="49"/>
      <c r="JL12" s="49"/>
      <c r="JM12" s="49"/>
      <c r="JN12" s="260"/>
      <c r="JO12" s="276"/>
      <c r="JP12" s="49"/>
      <c r="JQ12" s="49"/>
      <c r="JR12" s="249"/>
      <c r="JS12" s="254"/>
      <c r="JT12" s="49"/>
      <c r="JU12" s="49"/>
      <c r="JV12" s="49"/>
      <c r="JW12" s="49"/>
      <c r="JX12" s="49"/>
      <c r="JY12" s="49"/>
      <c r="JZ12" s="49"/>
      <c r="KA12" s="49"/>
      <c r="KB12" s="49"/>
      <c r="KC12" s="49"/>
      <c r="KD12" s="49"/>
      <c r="KE12" s="49"/>
      <c r="KF12" s="49"/>
      <c r="KG12" s="49"/>
      <c r="KH12" s="49"/>
      <c r="KI12" s="260"/>
      <c r="KJ12" s="276"/>
      <c r="KK12" s="49"/>
      <c r="KL12" s="49"/>
      <c r="KM12" s="249"/>
      <c r="KN12" s="254"/>
      <c r="KO12" s="49"/>
      <c r="KP12" s="49"/>
      <c r="KQ12" s="49"/>
      <c r="KR12" s="49"/>
      <c r="KS12" s="49"/>
      <c r="KT12" s="49"/>
      <c r="KU12" s="49"/>
      <c r="KV12" s="49"/>
      <c r="KW12" s="49"/>
      <c r="KX12" s="49"/>
      <c r="KY12" s="49"/>
      <c r="KZ12" s="49"/>
      <c r="LA12" s="49"/>
      <c r="LB12" s="49"/>
      <c r="LC12" s="49"/>
      <c r="LD12" s="260"/>
      <c r="LE12" s="276"/>
      <c r="LF12" s="49"/>
      <c r="LG12" s="49"/>
      <c r="LH12" s="249"/>
      <c r="LI12" s="254"/>
      <c r="LJ12" s="49"/>
      <c r="LK12" s="49"/>
      <c r="LL12" s="49"/>
      <c r="LM12" s="49"/>
      <c r="LN12" s="49"/>
      <c r="LO12" s="49"/>
      <c r="LP12" s="49"/>
      <c r="LQ12" s="49"/>
      <c r="LR12" s="49"/>
      <c r="LS12" s="49"/>
      <c r="LT12" s="49"/>
      <c r="LU12" s="49"/>
      <c r="LV12" s="49"/>
      <c r="LW12" s="49"/>
      <c r="LX12" s="49"/>
      <c r="LY12" s="260"/>
      <c r="LZ12" s="276"/>
      <c r="MA12" s="49"/>
      <c r="MB12" s="49"/>
      <c r="MC12" s="249"/>
      <c r="MD12" s="254"/>
      <c r="ME12" s="49"/>
      <c r="MF12" s="49"/>
      <c r="MG12" s="49"/>
      <c r="MH12" s="49"/>
      <c r="MI12" s="49"/>
      <c r="MJ12" s="49"/>
      <c r="MK12" s="49"/>
      <c r="ML12" s="49"/>
      <c r="MM12" s="49"/>
      <c r="MN12" s="49"/>
      <c r="MO12" s="49"/>
      <c r="MP12" s="49"/>
      <c r="MQ12" s="49"/>
      <c r="MR12" s="49"/>
      <c r="MS12" s="49"/>
      <c r="MT12" s="260"/>
      <c r="MU12" s="276"/>
      <c r="MV12" s="49"/>
      <c r="MW12" s="49"/>
      <c r="MX12" s="249"/>
      <c r="MY12" s="254"/>
      <c r="MZ12" s="49"/>
      <c r="NA12" s="49"/>
      <c r="NB12" s="49"/>
      <c r="NC12" s="49"/>
      <c r="ND12" s="49"/>
      <c r="NE12" s="49"/>
      <c r="NF12" s="49"/>
      <c r="NG12" s="49"/>
      <c r="NH12" s="49"/>
      <c r="NI12" s="49"/>
      <c r="NJ12" s="49"/>
      <c r="NK12" s="49"/>
      <c r="NL12" s="49"/>
      <c r="NM12" s="49"/>
      <c r="NN12" s="49"/>
      <c r="NO12" s="260"/>
      <c r="NP12" s="276"/>
      <c r="NQ12" s="49"/>
      <c r="NR12" s="49"/>
      <c r="NS12" s="249"/>
      <c r="NT12" s="254"/>
      <c r="NU12" s="49"/>
      <c r="NV12" s="49"/>
      <c r="NW12" s="49"/>
      <c r="NX12" s="49"/>
      <c r="NY12" s="49"/>
      <c r="NZ12" s="49"/>
      <c r="OA12" s="49"/>
      <c r="OB12" s="49"/>
      <c r="OC12" s="49"/>
      <c r="OD12" s="49"/>
      <c r="OE12" s="49"/>
      <c r="OF12" s="49"/>
      <c r="OG12" s="49"/>
      <c r="OH12" s="49"/>
      <c r="OI12" s="49"/>
      <c r="OJ12" s="260"/>
      <c r="OK12" s="276"/>
      <c r="OL12" s="49"/>
      <c r="OM12" s="49"/>
      <c r="ON12" s="249"/>
      <c r="OO12" s="254"/>
      <c r="OP12" s="49"/>
      <c r="OQ12" s="49"/>
      <c r="OR12" s="49"/>
      <c r="OS12" s="49"/>
      <c r="OT12" s="49"/>
      <c r="OU12" s="49"/>
      <c r="OV12" s="49"/>
      <c r="OW12" s="49"/>
      <c r="OX12" s="49"/>
      <c r="OY12" s="49"/>
      <c r="OZ12" s="49"/>
      <c r="PA12" s="49"/>
      <c r="PB12" s="49"/>
      <c r="PC12" s="49"/>
      <c r="PD12" s="49"/>
      <c r="PE12" s="260"/>
      <c r="PF12" s="276"/>
      <c r="PG12" s="49"/>
      <c r="PH12" s="49"/>
      <c r="PI12" s="249"/>
      <c r="PJ12" s="254"/>
      <c r="PK12" s="49"/>
      <c r="PL12" s="49"/>
      <c r="PM12" s="49"/>
      <c r="PN12" s="49"/>
      <c r="PO12" s="49"/>
      <c r="PP12" s="49"/>
      <c r="PQ12" s="49"/>
      <c r="PR12" s="49"/>
      <c r="PS12" s="49"/>
      <c r="PT12" s="49"/>
      <c r="PU12" s="49"/>
      <c r="PV12" s="49"/>
      <c r="PW12" s="49"/>
      <c r="PX12" s="49"/>
      <c r="PY12" s="49"/>
      <c r="PZ12" s="260"/>
      <c r="QA12" s="276"/>
      <c r="QB12" s="49"/>
      <c r="QC12" s="49"/>
      <c r="QD12" s="249"/>
      <c r="QE12" s="254"/>
      <c r="QF12" s="49"/>
      <c r="QG12" s="49"/>
      <c r="QH12" s="49"/>
      <c r="QI12" s="49"/>
      <c r="QJ12" s="49"/>
      <c r="QK12" s="49"/>
      <c r="QL12" s="49"/>
      <c r="QM12" s="49"/>
      <c r="QN12" s="49"/>
      <c r="QO12" s="49"/>
      <c r="QP12" s="49"/>
      <c r="QQ12" s="49"/>
      <c r="QR12" s="49"/>
      <c r="QS12" s="49"/>
      <c r="QT12" s="49"/>
      <c r="QU12" s="260"/>
      <c r="QV12" s="276"/>
      <c r="QW12" s="49"/>
      <c r="QX12" s="49"/>
      <c r="QY12" s="249"/>
      <c r="QZ12" s="254"/>
      <c r="RA12" s="49"/>
      <c r="RB12" s="49"/>
      <c r="RC12" s="49"/>
      <c r="RD12" s="49"/>
      <c r="RE12" s="49"/>
      <c r="RF12" s="49"/>
      <c r="RG12" s="49"/>
      <c r="RH12" s="49"/>
      <c r="RI12" s="49"/>
      <c r="RJ12" s="49"/>
      <c r="RK12" s="49"/>
      <c r="RL12" s="49"/>
      <c r="RM12" s="49"/>
      <c r="RN12" s="49"/>
      <c r="RO12" s="49"/>
      <c r="RP12" s="260"/>
      <c r="RQ12" s="276"/>
      <c r="RR12" s="49"/>
      <c r="RS12" s="49"/>
      <c r="RT12" s="249"/>
      <c r="RU12" s="254"/>
      <c r="RV12" s="49"/>
      <c r="RW12" s="49"/>
      <c r="RX12" s="49"/>
      <c r="RY12" s="49"/>
      <c r="RZ12" s="49"/>
      <c r="SA12" s="49"/>
      <c r="SB12" s="49"/>
      <c r="SC12" s="49"/>
      <c r="SD12" s="49"/>
      <c r="SE12" s="49"/>
      <c r="SF12" s="49"/>
      <c r="SG12" s="49"/>
      <c r="SH12" s="49"/>
      <c r="SI12" s="49"/>
      <c r="SJ12" s="49"/>
      <c r="SK12" s="260"/>
      <c r="SL12" s="276"/>
      <c r="SM12" s="49"/>
      <c r="SN12" s="49"/>
      <c r="SO12" s="249"/>
      <c r="SP12" s="254"/>
      <c r="SQ12" s="49"/>
      <c r="SR12" s="49"/>
      <c r="SS12" s="49"/>
      <c r="ST12" s="49"/>
      <c r="SU12" s="49"/>
      <c r="SV12" s="49"/>
      <c r="SW12" s="49"/>
      <c r="SX12" s="49"/>
      <c r="SY12" s="49"/>
      <c r="SZ12" s="49"/>
      <c r="TA12" s="49"/>
      <c r="TB12" s="49"/>
      <c r="TC12" s="49"/>
      <c r="TD12" s="49"/>
      <c r="TE12" s="49"/>
      <c r="TF12" s="260"/>
      <c r="TG12" s="276"/>
      <c r="TH12" s="49"/>
      <c r="TI12" s="49"/>
      <c r="TJ12" s="249"/>
      <c r="TK12" s="254"/>
      <c r="TL12" s="49"/>
      <c r="TM12" s="49"/>
      <c r="TN12" s="49"/>
      <c r="TO12" s="49"/>
      <c r="TP12" s="49"/>
      <c r="TQ12" s="49"/>
      <c r="TR12" s="49"/>
      <c r="TS12" s="49"/>
      <c r="TT12" s="49"/>
      <c r="TU12" s="49"/>
      <c r="TV12" s="49"/>
      <c r="TW12" s="49"/>
      <c r="TX12" s="49"/>
      <c r="TY12" s="49"/>
      <c r="TZ12" s="49"/>
      <c r="UA12" s="260"/>
      <c r="UB12" s="276"/>
      <c r="UC12" s="49"/>
      <c r="UD12" s="49"/>
      <c r="UE12" s="249"/>
      <c r="UF12" s="254"/>
      <c r="UG12" s="49"/>
      <c r="UH12" s="49"/>
      <c r="UI12" s="49"/>
      <c r="UJ12" s="49"/>
      <c r="UK12" s="49"/>
      <c r="UL12" s="49"/>
      <c r="UM12" s="49"/>
      <c r="UN12" s="49"/>
      <c r="UO12" s="49"/>
      <c r="UP12" s="49"/>
      <c r="UQ12" s="49"/>
      <c r="UR12" s="49"/>
      <c r="US12" s="49"/>
      <c r="UT12" s="49"/>
      <c r="UU12" s="49"/>
      <c r="UV12" s="260"/>
      <c r="UW12" s="276"/>
      <c r="UX12" s="49"/>
      <c r="UY12" s="49"/>
      <c r="UZ12" s="249"/>
      <c r="VA12" s="254"/>
      <c r="VB12" s="49"/>
      <c r="VC12" s="49"/>
      <c r="VD12" s="49"/>
      <c r="VE12" s="49"/>
      <c r="VF12" s="49"/>
      <c r="VG12" s="49"/>
      <c r="VH12" s="49"/>
      <c r="VI12" s="49"/>
      <c r="VJ12" s="49"/>
      <c r="VK12" s="49"/>
      <c r="VL12" s="49"/>
      <c r="VM12" s="49"/>
      <c r="VN12" s="49"/>
      <c r="VO12" s="49"/>
      <c r="VP12" s="49"/>
      <c r="VQ12" s="260"/>
      <c r="VR12" s="276"/>
      <c r="VS12" s="49"/>
      <c r="VT12" s="49"/>
      <c r="VU12" s="249"/>
      <c r="VV12" s="254"/>
      <c r="VW12" s="49"/>
      <c r="VX12" s="49"/>
      <c r="VY12" s="49"/>
      <c r="VZ12" s="49"/>
      <c r="WA12" s="49"/>
      <c r="WB12" s="49"/>
      <c r="WC12" s="49"/>
      <c r="WD12" s="49"/>
      <c r="WE12" s="49"/>
      <c r="WF12" s="49"/>
      <c r="WG12" s="49"/>
      <c r="WH12" s="49"/>
      <c r="WI12" s="49"/>
      <c r="WJ12" s="49"/>
      <c r="WK12" s="49"/>
      <c r="WL12" s="260"/>
      <c r="WM12" s="276"/>
      <c r="WN12" s="49"/>
      <c r="WO12" s="49"/>
      <c r="WP12" s="249"/>
      <c r="WQ12" s="254"/>
      <c r="WR12" s="49"/>
      <c r="WS12" s="49"/>
      <c r="WT12" s="49"/>
      <c r="WU12" s="49"/>
      <c r="WV12" s="49"/>
      <c r="WW12" s="49"/>
      <c r="WX12" s="49"/>
      <c r="WY12" s="49"/>
      <c r="WZ12" s="49"/>
      <c r="XA12" s="49"/>
      <c r="XB12" s="49"/>
      <c r="XC12" s="49"/>
      <c r="XD12" s="49"/>
      <c r="XE12" s="49"/>
      <c r="XF12" s="49"/>
      <c r="XG12" s="260"/>
      <c r="XH12" s="276"/>
      <c r="XI12" s="49"/>
      <c r="XJ12" s="49"/>
      <c r="XK12" s="249"/>
      <c r="XL12" s="254"/>
      <c r="XM12" s="49"/>
      <c r="XN12" s="49"/>
      <c r="XO12" s="49"/>
      <c r="XP12" s="49"/>
      <c r="XQ12" s="49"/>
      <c r="XR12" s="49"/>
      <c r="XS12" s="49"/>
      <c r="XT12" s="49"/>
      <c r="XU12" s="49"/>
      <c r="XV12" s="49"/>
      <c r="XW12" s="49"/>
      <c r="XX12" s="49"/>
      <c r="XY12" s="49"/>
      <c r="XZ12" s="49"/>
      <c r="YA12" s="49"/>
      <c r="YB12" s="260"/>
    </row>
    <row r="13" spans="1:652" x14ac:dyDescent="0.3">
      <c r="A13" s="224" t="s">
        <v>126</v>
      </c>
      <c r="B13" s="270"/>
      <c r="C13" s="10"/>
      <c r="D13" s="10"/>
      <c r="E13" s="234"/>
      <c r="F13" s="238"/>
      <c r="G13" s="11"/>
      <c r="H13" s="11"/>
      <c r="I13" s="11"/>
      <c r="J13" s="11"/>
      <c r="K13" s="12"/>
      <c r="L13" s="11"/>
      <c r="M13" s="11"/>
      <c r="N13" s="11"/>
      <c r="O13" s="11"/>
      <c r="P13" s="11"/>
      <c r="Q13" s="11"/>
      <c r="R13" s="11"/>
      <c r="S13" s="11"/>
      <c r="T13" s="11"/>
      <c r="U13" s="11"/>
      <c r="V13" s="259"/>
      <c r="W13" s="275"/>
      <c r="X13" s="11"/>
      <c r="Y13" s="11"/>
      <c r="Z13" s="248"/>
      <c r="AA13" s="253"/>
      <c r="AB13" s="11"/>
      <c r="AC13" s="11"/>
      <c r="AD13" s="11"/>
      <c r="AE13" s="11"/>
      <c r="AF13" s="11"/>
      <c r="AG13" s="11"/>
      <c r="AH13" s="11"/>
      <c r="AI13" s="11"/>
      <c r="AJ13" s="11"/>
      <c r="AK13" s="11"/>
      <c r="AL13" s="11"/>
      <c r="AM13" s="11"/>
      <c r="AN13" s="11"/>
      <c r="AO13" s="11"/>
      <c r="AP13" s="11"/>
      <c r="AQ13" s="259"/>
      <c r="AR13" s="270"/>
      <c r="AS13" s="10"/>
      <c r="AT13" s="10"/>
      <c r="AU13" s="234"/>
      <c r="AV13" s="238"/>
      <c r="AW13" s="11"/>
      <c r="AX13" s="11"/>
      <c r="AY13" s="11"/>
      <c r="AZ13" s="11"/>
      <c r="BA13" s="11"/>
      <c r="BB13" s="11"/>
      <c r="BC13" s="11"/>
      <c r="BD13" s="11"/>
      <c r="BE13" s="11"/>
      <c r="BF13" s="11"/>
      <c r="BG13" s="11"/>
      <c r="BH13" s="11"/>
      <c r="BI13" s="11"/>
      <c r="BJ13" s="11"/>
      <c r="BK13" s="11"/>
      <c r="BL13" s="259"/>
      <c r="BM13" s="275"/>
      <c r="BN13" s="11"/>
      <c r="BO13" s="11"/>
      <c r="BP13" s="248"/>
      <c r="BQ13" s="253"/>
      <c r="BR13" s="11"/>
      <c r="BS13" s="11"/>
      <c r="BT13" s="11"/>
      <c r="BU13" s="11"/>
      <c r="BV13" s="11"/>
      <c r="BW13" s="11"/>
      <c r="BX13" s="11"/>
      <c r="BY13" s="11"/>
      <c r="BZ13" s="11"/>
      <c r="CA13" s="11"/>
      <c r="CB13" s="11"/>
      <c r="CC13" s="11"/>
      <c r="CD13" s="11"/>
      <c r="CE13" s="11"/>
      <c r="CF13" s="11"/>
      <c r="CG13" s="259"/>
      <c r="CH13" s="275"/>
      <c r="CI13" s="11"/>
      <c r="CJ13" s="11"/>
      <c r="CK13" s="248"/>
      <c r="CL13" s="45"/>
      <c r="CM13" s="45"/>
      <c r="CN13" s="45"/>
      <c r="CO13" s="45"/>
      <c r="CP13" s="45"/>
      <c r="CQ13" s="79"/>
      <c r="CR13" s="45"/>
      <c r="CS13" s="36"/>
      <c r="CT13" s="86"/>
      <c r="CU13" s="45"/>
      <c r="CV13" s="10"/>
      <c r="CW13" s="11"/>
      <c r="CX13" s="11"/>
      <c r="CY13" s="11"/>
      <c r="CZ13" s="11"/>
      <c r="DA13" s="11"/>
      <c r="DB13" s="259"/>
      <c r="DC13" s="275"/>
      <c r="DD13" s="11"/>
      <c r="DE13" s="11"/>
      <c r="DF13" s="248"/>
      <c r="DG13" s="253"/>
      <c r="DH13" s="11"/>
      <c r="DI13" s="11"/>
      <c r="DJ13" s="11"/>
      <c r="DK13" s="11"/>
      <c r="DL13" s="11"/>
      <c r="DM13" s="11"/>
      <c r="DN13" s="11"/>
      <c r="DO13" s="11"/>
      <c r="DP13" s="11"/>
      <c r="DQ13" s="11"/>
      <c r="DR13" s="11"/>
      <c r="DS13" s="11"/>
      <c r="DT13" s="11"/>
      <c r="DU13" s="11"/>
      <c r="DV13" s="11"/>
      <c r="DW13" s="259"/>
      <c r="DX13" s="275"/>
      <c r="DY13" s="11"/>
      <c r="DZ13" s="11"/>
      <c r="EA13" s="248"/>
      <c r="EB13" s="45"/>
      <c r="EC13" s="45"/>
      <c r="ED13" s="45"/>
      <c r="EE13" s="45"/>
      <c r="EF13" s="45"/>
      <c r="EG13" s="79"/>
      <c r="EH13" s="45"/>
      <c r="EI13" s="36"/>
      <c r="EJ13" s="86"/>
      <c r="EK13" s="45"/>
      <c r="EL13" s="10"/>
      <c r="EM13" s="11"/>
      <c r="EN13" s="11"/>
      <c r="EO13" s="11"/>
      <c r="EP13" s="11"/>
      <c r="EQ13" s="11"/>
      <c r="ER13" s="259"/>
      <c r="ES13" s="275"/>
      <c r="ET13" s="11"/>
      <c r="EU13" s="11"/>
      <c r="EV13" s="248"/>
      <c r="EW13" s="253"/>
      <c r="EX13" s="11"/>
      <c r="EY13" s="11"/>
      <c r="EZ13" s="11"/>
      <c r="FA13" s="11"/>
      <c r="FB13" s="11"/>
      <c r="FC13" s="11"/>
      <c r="FD13" s="11"/>
      <c r="FE13" s="11"/>
      <c r="FF13" s="11"/>
      <c r="FG13" s="11"/>
      <c r="FH13" s="11"/>
      <c r="FI13" s="11"/>
      <c r="FJ13" s="11"/>
      <c r="FK13" s="11"/>
      <c r="FL13" s="11"/>
      <c r="FM13" s="259"/>
      <c r="FN13" s="275"/>
      <c r="FO13" s="11"/>
      <c r="FP13" s="11"/>
      <c r="FQ13" s="248"/>
      <c r="FR13" s="45"/>
      <c r="FS13" s="45"/>
      <c r="FT13" s="45"/>
      <c r="FU13" s="45"/>
      <c r="FV13" s="45"/>
      <c r="FW13" s="79"/>
      <c r="FX13" s="45"/>
      <c r="FY13" s="36"/>
      <c r="FZ13" s="86"/>
      <c r="GA13" s="45"/>
      <c r="GB13" s="10"/>
      <c r="GC13" s="11"/>
      <c r="GD13" s="11"/>
      <c r="GE13" s="11"/>
      <c r="GF13" s="11"/>
      <c r="GG13" s="11"/>
      <c r="GH13" s="259"/>
      <c r="GI13" s="275"/>
      <c r="GJ13" s="11"/>
      <c r="GK13" s="11"/>
      <c r="GL13" s="248"/>
      <c r="GM13" s="253"/>
      <c r="GN13" s="11"/>
      <c r="GO13" s="11"/>
      <c r="GP13" s="11"/>
      <c r="GQ13" s="11"/>
      <c r="GR13" s="11"/>
      <c r="GS13" s="11"/>
      <c r="GT13" s="11"/>
      <c r="GU13" s="11"/>
      <c r="GV13" s="11"/>
      <c r="GW13" s="11"/>
      <c r="GX13" s="11"/>
      <c r="GY13" s="11"/>
      <c r="GZ13" s="11"/>
      <c r="HA13" s="11"/>
      <c r="HB13" s="11"/>
      <c r="HC13" s="259"/>
      <c r="HD13" s="275"/>
      <c r="HE13" s="11"/>
      <c r="HF13" s="11"/>
      <c r="HG13" s="248"/>
      <c r="HH13" s="253"/>
      <c r="HI13" s="11"/>
      <c r="HJ13" s="11"/>
      <c r="HK13" s="11"/>
      <c r="HL13" s="11"/>
      <c r="HM13" s="11"/>
      <c r="HN13" s="11"/>
      <c r="HO13" s="11"/>
      <c r="HP13" s="11"/>
      <c r="HQ13" s="11"/>
      <c r="HR13" s="11"/>
      <c r="HS13" s="11"/>
      <c r="HT13" s="11"/>
      <c r="HU13" s="11"/>
      <c r="HV13" s="11"/>
      <c r="HW13" s="11"/>
      <c r="HX13" s="259"/>
      <c r="HY13" s="275"/>
      <c r="HZ13" s="11"/>
      <c r="IA13" s="11"/>
      <c r="IB13" s="248"/>
      <c r="IC13" s="253"/>
      <c r="ID13" s="11"/>
      <c r="IE13" s="11"/>
      <c r="IF13" s="11"/>
      <c r="IG13" s="11"/>
      <c r="IH13" s="11"/>
      <c r="II13" s="11"/>
      <c r="IJ13" s="11"/>
      <c r="IK13" s="11"/>
      <c r="IL13" s="11"/>
      <c r="IM13" s="11"/>
      <c r="IN13" s="11"/>
      <c r="IO13" s="11"/>
      <c r="IP13" s="11"/>
      <c r="IQ13" s="11"/>
      <c r="IR13" s="11"/>
      <c r="IS13" s="259"/>
      <c r="IT13" s="275"/>
      <c r="IU13" s="11"/>
      <c r="IV13" s="11"/>
      <c r="IW13" s="248"/>
      <c r="IX13" s="253"/>
      <c r="IY13" s="11"/>
      <c r="IZ13" s="11"/>
      <c r="JA13" s="11"/>
      <c r="JB13" s="11"/>
      <c r="JC13" s="11"/>
      <c r="JD13" s="11"/>
      <c r="JE13" s="11"/>
      <c r="JF13" s="11"/>
      <c r="JG13" s="11"/>
      <c r="JH13" s="11"/>
      <c r="JI13" s="11"/>
      <c r="JJ13" s="11"/>
      <c r="JK13" s="11"/>
      <c r="JL13" s="11"/>
      <c r="JM13" s="11"/>
      <c r="JN13" s="259"/>
      <c r="JO13" s="275"/>
      <c r="JP13" s="11"/>
      <c r="JQ13" s="11"/>
      <c r="JR13" s="248"/>
      <c r="JS13" s="253"/>
      <c r="JT13" s="11"/>
      <c r="JU13" s="11"/>
      <c r="JV13" s="11"/>
      <c r="JW13" s="11"/>
      <c r="JX13" s="11"/>
      <c r="JY13" s="11"/>
      <c r="JZ13" s="11"/>
      <c r="KA13" s="11"/>
      <c r="KB13" s="11"/>
      <c r="KC13" s="11"/>
      <c r="KD13" s="11"/>
      <c r="KE13" s="11"/>
      <c r="KF13" s="11"/>
      <c r="KG13" s="11"/>
      <c r="KH13" s="11"/>
      <c r="KI13" s="259"/>
      <c r="KJ13" s="275"/>
      <c r="KK13" s="11"/>
      <c r="KL13" s="11"/>
      <c r="KM13" s="248"/>
      <c r="KN13" s="253"/>
      <c r="KO13" s="11"/>
      <c r="KP13" s="11"/>
      <c r="KQ13" s="11"/>
      <c r="KR13" s="11"/>
      <c r="KS13" s="11"/>
      <c r="KT13" s="11"/>
      <c r="KU13" s="11"/>
      <c r="KV13" s="11"/>
      <c r="KW13" s="11"/>
      <c r="KX13" s="11"/>
      <c r="KY13" s="11"/>
      <c r="KZ13" s="11"/>
      <c r="LA13" s="11"/>
      <c r="LB13" s="11"/>
      <c r="LC13" s="11"/>
      <c r="LD13" s="259"/>
      <c r="LE13" s="275"/>
      <c r="LF13" s="11"/>
      <c r="LG13" s="11"/>
      <c r="LH13" s="248"/>
      <c r="LI13" s="253"/>
      <c r="LJ13" s="11"/>
      <c r="LK13" s="11"/>
      <c r="LL13" s="11"/>
      <c r="LM13" s="11"/>
      <c r="LN13" s="11"/>
      <c r="LO13" s="11"/>
      <c r="LP13" s="11"/>
      <c r="LQ13" s="11"/>
      <c r="LR13" s="11"/>
      <c r="LS13" s="11"/>
      <c r="LT13" s="11"/>
      <c r="LU13" s="11"/>
      <c r="LV13" s="11"/>
      <c r="LW13" s="11"/>
      <c r="LX13" s="11"/>
      <c r="LY13" s="259"/>
      <c r="LZ13" s="275"/>
      <c r="MA13" s="11"/>
      <c r="MB13" s="11"/>
      <c r="MC13" s="248"/>
      <c r="MD13" s="253"/>
      <c r="ME13" s="11"/>
      <c r="MF13" s="11"/>
      <c r="MG13" s="11"/>
      <c r="MH13" s="11"/>
      <c r="MI13" s="11"/>
      <c r="MJ13" s="11"/>
      <c r="MK13" s="11"/>
      <c r="ML13" s="11"/>
      <c r="MM13" s="11"/>
      <c r="MN13" s="11"/>
      <c r="MO13" s="11"/>
      <c r="MP13" s="11"/>
      <c r="MQ13" s="11"/>
      <c r="MR13" s="11"/>
      <c r="MS13" s="11"/>
      <c r="MT13" s="259"/>
      <c r="MU13" s="275"/>
      <c r="MV13" s="11"/>
      <c r="MW13" s="11"/>
      <c r="MX13" s="248"/>
      <c r="MY13" s="253"/>
      <c r="MZ13" s="11"/>
      <c r="NA13" s="11"/>
      <c r="NB13" s="11"/>
      <c r="NC13" s="11"/>
      <c r="ND13" s="11"/>
      <c r="NE13" s="11"/>
      <c r="NF13" s="11"/>
      <c r="NG13" s="11"/>
      <c r="NH13" s="11"/>
      <c r="NI13" s="11"/>
      <c r="NJ13" s="11"/>
      <c r="NK13" s="11"/>
      <c r="NL13" s="11"/>
      <c r="NM13" s="11"/>
      <c r="NN13" s="11"/>
      <c r="NO13" s="259"/>
      <c r="NP13" s="275"/>
      <c r="NQ13" s="11"/>
      <c r="NR13" s="11"/>
      <c r="NS13" s="248"/>
      <c r="NT13" s="253"/>
      <c r="NU13" s="11"/>
      <c r="NV13" s="11"/>
      <c r="NW13" s="11"/>
      <c r="NX13" s="11"/>
      <c r="NY13" s="11"/>
      <c r="NZ13" s="11"/>
      <c r="OA13" s="11"/>
      <c r="OB13" s="11"/>
      <c r="OC13" s="11"/>
      <c r="OD13" s="11"/>
      <c r="OE13" s="11"/>
      <c r="OF13" s="11"/>
      <c r="OG13" s="11"/>
      <c r="OH13" s="11"/>
      <c r="OI13" s="11"/>
      <c r="OJ13" s="259"/>
      <c r="OK13" s="275"/>
      <c r="OL13" s="11"/>
      <c r="OM13" s="11"/>
      <c r="ON13" s="248"/>
      <c r="OO13" s="253"/>
      <c r="OP13" s="11"/>
      <c r="OQ13" s="11"/>
      <c r="OR13" s="11"/>
      <c r="OS13" s="11"/>
      <c r="OT13" s="11"/>
      <c r="OU13" s="11"/>
      <c r="OV13" s="11"/>
      <c r="OW13" s="11"/>
      <c r="OX13" s="11"/>
      <c r="OY13" s="11"/>
      <c r="OZ13" s="11"/>
      <c r="PA13" s="11"/>
      <c r="PB13" s="11"/>
      <c r="PC13" s="11"/>
      <c r="PD13" s="11"/>
      <c r="PE13" s="259"/>
      <c r="PF13" s="275"/>
      <c r="PG13" s="11"/>
      <c r="PH13" s="11"/>
      <c r="PI13" s="248"/>
      <c r="PJ13" s="253"/>
      <c r="PK13" s="11"/>
      <c r="PL13" s="11"/>
      <c r="PM13" s="11"/>
      <c r="PN13" s="11"/>
      <c r="PO13" s="11"/>
      <c r="PP13" s="11"/>
      <c r="PQ13" s="11"/>
      <c r="PR13" s="11"/>
      <c r="PS13" s="11"/>
      <c r="PT13" s="11"/>
      <c r="PU13" s="11"/>
      <c r="PV13" s="11"/>
      <c r="PW13" s="11"/>
      <c r="PX13" s="11"/>
      <c r="PY13" s="11"/>
      <c r="PZ13" s="259"/>
      <c r="QA13" s="275"/>
      <c r="QB13" s="11"/>
      <c r="QC13" s="11"/>
      <c r="QD13" s="248"/>
      <c r="QE13" s="253"/>
      <c r="QF13" s="11"/>
      <c r="QG13" s="11"/>
      <c r="QH13" s="11"/>
      <c r="QI13" s="11"/>
      <c r="QJ13" s="11"/>
      <c r="QK13" s="11"/>
      <c r="QL13" s="11"/>
      <c r="QM13" s="11"/>
      <c r="QN13" s="11"/>
      <c r="QO13" s="11"/>
      <c r="QP13" s="11"/>
      <c r="QQ13" s="11"/>
      <c r="QR13" s="11"/>
      <c r="QS13" s="11"/>
      <c r="QT13" s="11"/>
      <c r="QU13" s="259"/>
      <c r="QV13" s="275"/>
      <c r="QW13" s="11"/>
      <c r="QX13" s="11"/>
      <c r="QY13" s="248"/>
      <c r="QZ13" s="253"/>
      <c r="RA13" s="11"/>
      <c r="RB13" s="11"/>
      <c r="RC13" s="11"/>
      <c r="RD13" s="11"/>
      <c r="RE13" s="11"/>
      <c r="RF13" s="11"/>
      <c r="RG13" s="11"/>
      <c r="RH13" s="11"/>
      <c r="RI13" s="11"/>
      <c r="RJ13" s="11"/>
      <c r="RK13" s="11"/>
      <c r="RL13" s="11"/>
      <c r="RM13" s="11"/>
      <c r="RN13" s="11"/>
      <c r="RO13" s="11"/>
      <c r="RP13" s="259"/>
      <c r="RQ13" s="275"/>
      <c r="RR13" s="11"/>
      <c r="RS13" s="11"/>
      <c r="RT13" s="248"/>
      <c r="RU13" s="253"/>
      <c r="RV13" s="11"/>
      <c r="RW13" s="11"/>
      <c r="RX13" s="11"/>
      <c r="RY13" s="11"/>
      <c r="RZ13" s="11"/>
      <c r="SA13" s="11"/>
      <c r="SB13" s="11"/>
      <c r="SC13" s="11"/>
      <c r="SD13" s="11"/>
      <c r="SE13" s="11"/>
      <c r="SF13" s="11"/>
      <c r="SG13" s="11"/>
      <c r="SH13" s="11"/>
      <c r="SI13" s="11"/>
      <c r="SJ13" s="11"/>
      <c r="SK13" s="259"/>
      <c r="SL13" s="275"/>
      <c r="SM13" s="11"/>
      <c r="SN13" s="11"/>
      <c r="SO13" s="248"/>
      <c r="SP13" s="253"/>
      <c r="SQ13" s="11"/>
      <c r="SR13" s="11"/>
      <c r="SS13" s="11"/>
      <c r="ST13" s="11"/>
      <c r="SU13" s="11"/>
      <c r="SV13" s="11"/>
      <c r="SW13" s="11"/>
      <c r="SX13" s="11"/>
      <c r="SY13" s="11"/>
      <c r="SZ13" s="11"/>
      <c r="TA13" s="11"/>
      <c r="TB13" s="11"/>
      <c r="TC13" s="11"/>
      <c r="TD13" s="11"/>
      <c r="TE13" s="11"/>
      <c r="TF13" s="259"/>
      <c r="TG13" s="275"/>
      <c r="TH13" s="11"/>
      <c r="TI13" s="11"/>
      <c r="TJ13" s="248"/>
      <c r="TK13" s="253"/>
      <c r="TL13" s="11"/>
      <c r="TM13" s="11"/>
      <c r="TN13" s="11"/>
      <c r="TO13" s="11"/>
      <c r="TP13" s="11"/>
      <c r="TQ13" s="11"/>
      <c r="TR13" s="11"/>
      <c r="TS13" s="11"/>
      <c r="TT13" s="11"/>
      <c r="TU13" s="11"/>
      <c r="TV13" s="11"/>
      <c r="TW13" s="11"/>
      <c r="TX13" s="11"/>
      <c r="TY13" s="11"/>
      <c r="TZ13" s="11"/>
      <c r="UA13" s="259"/>
      <c r="UB13" s="275"/>
      <c r="UC13" s="11"/>
      <c r="UD13" s="11"/>
      <c r="UE13" s="248"/>
      <c r="UF13" s="253"/>
      <c r="UG13" s="11"/>
      <c r="UH13" s="11"/>
      <c r="UI13" s="11"/>
      <c r="UJ13" s="11"/>
      <c r="UK13" s="11"/>
      <c r="UL13" s="11"/>
      <c r="UM13" s="11"/>
      <c r="UN13" s="11"/>
      <c r="UO13" s="11"/>
      <c r="UP13" s="11"/>
      <c r="UQ13" s="11"/>
      <c r="UR13" s="11"/>
      <c r="US13" s="11"/>
      <c r="UT13" s="11"/>
      <c r="UU13" s="11"/>
      <c r="UV13" s="259"/>
      <c r="UW13" s="275"/>
      <c r="UX13" s="11"/>
      <c r="UY13" s="11"/>
      <c r="UZ13" s="248"/>
      <c r="VA13" s="253"/>
      <c r="VB13" s="11"/>
      <c r="VC13" s="11"/>
      <c r="VD13" s="11"/>
      <c r="VE13" s="11"/>
      <c r="VF13" s="11"/>
      <c r="VG13" s="11"/>
      <c r="VH13" s="11"/>
      <c r="VI13" s="11"/>
      <c r="VJ13" s="11"/>
      <c r="VK13" s="11"/>
      <c r="VL13" s="11"/>
      <c r="VM13" s="11"/>
      <c r="VN13" s="11"/>
      <c r="VO13" s="11"/>
      <c r="VP13" s="11"/>
      <c r="VQ13" s="259"/>
      <c r="VR13" s="275"/>
      <c r="VS13" s="11"/>
      <c r="VT13" s="11"/>
      <c r="VU13" s="248"/>
      <c r="VV13" s="253"/>
      <c r="VW13" s="11"/>
      <c r="VX13" s="11"/>
      <c r="VY13" s="11"/>
      <c r="VZ13" s="11"/>
      <c r="WA13" s="11"/>
      <c r="WB13" s="11"/>
      <c r="WC13" s="11"/>
      <c r="WD13" s="11"/>
      <c r="WE13" s="11"/>
      <c r="WF13" s="11"/>
      <c r="WG13" s="11"/>
      <c r="WH13" s="11"/>
      <c r="WI13" s="11"/>
      <c r="WJ13" s="11"/>
      <c r="WK13" s="11"/>
      <c r="WL13" s="259"/>
      <c r="WM13" s="275"/>
      <c r="WN13" s="11"/>
      <c r="WO13" s="11"/>
      <c r="WP13" s="248"/>
      <c r="WQ13" s="253"/>
      <c r="WR13" s="11"/>
      <c r="WS13" s="11"/>
      <c r="WT13" s="11"/>
      <c r="WU13" s="11"/>
      <c r="WV13" s="11"/>
      <c r="WW13" s="11"/>
      <c r="WX13" s="11"/>
      <c r="WY13" s="11"/>
      <c r="WZ13" s="11"/>
      <c r="XA13" s="11"/>
      <c r="XB13" s="11"/>
      <c r="XC13" s="11"/>
      <c r="XD13" s="11"/>
      <c r="XE13" s="11"/>
      <c r="XF13" s="11"/>
      <c r="XG13" s="259"/>
      <c r="XH13" s="275"/>
      <c r="XI13" s="11"/>
      <c r="XJ13" s="11"/>
      <c r="XK13" s="248"/>
      <c r="XL13" s="253"/>
      <c r="XM13" s="11"/>
      <c r="XN13" s="11"/>
      <c r="XO13" s="11"/>
      <c r="XP13" s="11"/>
      <c r="XQ13" s="11"/>
      <c r="XR13" s="11"/>
      <c r="XS13" s="11"/>
      <c r="XT13" s="11"/>
      <c r="XU13" s="11"/>
      <c r="XV13" s="11"/>
      <c r="XW13" s="11"/>
      <c r="XX13" s="11"/>
      <c r="XY13" s="11"/>
      <c r="XZ13" s="11"/>
      <c r="YA13" s="11"/>
      <c r="YB13" s="259"/>
    </row>
    <row r="14" spans="1:652" x14ac:dyDescent="0.3">
      <c r="A14" s="223" t="s">
        <v>142</v>
      </c>
      <c r="B14" s="271"/>
      <c r="C14" s="48"/>
      <c r="D14" s="48"/>
      <c r="E14" s="235"/>
      <c r="F14" s="239">
        <v>1</v>
      </c>
      <c r="G14" s="66"/>
      <c r="H14" s="66" t="s">
        <v>569</v>
      </c>
      <c r="I14" s="49" t="s">
        <v>570</v>
      </c>
      <c r="J14" s="49" t="s">
        <v>615</v>
      </c>
      <c r="K14" s="49" t="s">
        <v>572</v>
      </c>
      <c r="L14" s="49">
        <v>43.99</v>
      </c>
      <c r="M14" s="49" t="s">
        <v>573</v>
      </c>
      <c r="N14" s="49" t="s">
        <v>568</v>
      </c>
      <c r="O14" s="49"/>
      <c r="P14" s="49" t="s">
        <v>616</v>
      </c>
      <c r="Q14" s="49"/>
      <c r="R14" s="49"/>
      <c r="S14" s="49"/>
      <c r="T14" s="49"/>
      <c r="U14" s="49"/>
      <c r="V14" s="260"/>
      <c r="W14" s="276"/>
      <c r="X14" s="49"/>
      <c r="Y14" s="49"/>
      <c r="Z14" s="249"/>
      <c r="AA14" s="254"/>
      <c r="AB14" s="49"/>
      <c r="AC14" s="49"/>
      <c r="AD14" s="49"/>
      <c r="AE14" s="49"/>
      <c r="AF14" s="49"/>
      <c r="AG14" s="49"/>
      <c r="AH14" s="49"/>
      <c r="AI14" s="49"/>
      <c r="AJ14" s="49"/>
      <c r="AK14" s="49"/>
      <c r="AL14" s="49"/>
      <c r="AM14" s="49"/>
      <c r="AN14" s="49"/>
      <c r="AO14" s="49"/>
      <c r="AP14" s="49"/>
      <c r="AQ14" s="260"/>
      <c r="AR14" s="271"/>
      <c r="AS14" s="48"/>
      <c r="AT14" s="48"/>
      <c r="AU14" s="235"/>
      <c r="AV14" s="239"/>
      <c r="AW14" s="49"/>
      <c r="AX14" s="49"/>
      <c r="AY14" s="49"/>
      <c r="AZ14" s="49"/>
      <c r="BA14" s="49"/>
      <c r="BB14" s="49"/>
      <c r="BC14" s="49"/>
      <c r="BD14" s="49"/>
      <c r="BE14" s="49"/>
      <c r="BF14" s="49"/>
      <c r="BG14" s="49"/>
      <c r="BH14" s="49"/>
      <c r="BI14" s="49"/>
      <c r="BJ14" s="49"/>
      <c r="BK14" s="49"/>
      <c r="BL14" s="260"/>
      <c r="BM14" s="276"/>
      <c r="BN14" s="49"/>
      <c r="BO14" s="49"/>
      <c r="BP14" s="249"/>
      <c r="BQ14" s="254"/>
      <c r="BR14" s="49"/>
      <c r="BS14" s="49"/>
      <c r="BT14" s="49"/>
      <c r="BU14" s="49"/>
      <c r="BV14" s="49"/>
      <c r="BW14" s="49"/>
      <c r="BX14" s="49"/>
      <c r="BY14" s="49"/>
      <c r="BZ14" s="49"/>
      <c r="CA14" s="49"/>
      <c r="CB14" s="49"/>
      <c r="CC14" s="49"/>
      <c r="CD14" s="49"/>
      <c r="CE14" s="49"/>
      <c r="CF14" s="49"/>
      <c r="CG14" s="260"/>
      <c r="CH14" s="276"/>
      <c r="CI14" s="49"/>
      <c r="CJ14" s="49"/>
      <c r="CK14" s="249"/>
      <c r="CL14" s="53"/>
      <c r="CM14" s="53"/>
      <c r="CN14" s="53"/>
      <c r="CO14" s="53"/>
      <c r="CP14" s="53"/>
      <c r="CQ14" s="80"/>
      <c r="CR14" s="53"/>
      <c r="CS14" s="54"/>
      <c r="CT14" s="84"/>
      <c r="CU14" s="53"/>
      <c r="CV14" s="66"/>
      <c r="CW14" s="49"/>
      <c r="CX14" s="49"/>
      <c r="CY14" s="49"/>
      <c r="CZ14" s="49"/>
      <c r="DA14" s="49"/>
      <c r="DB14" s="260"/>
      <c r="DC14" s="276"/>
      <c r="DD14" s="49"/>
      <c r="DE14" s="49"/>
      <c r="DF14" s="249"/>
      <c r="DG14" s="254"/>
      <c r="DH14" s="49"/>
      <c r="DI14" s="49"/>
      <c r="DJ14" s="49"/>
      <c r="DK14" s="49"/>
      <c r="DL14" s="49"/>
      <c r="DM14" s="49"/>
      <c r="DN14" s="49"/>
      <c r="DO14" s="49"/>
      <c r="DP14" s="49"/>
      <c r="DQ14" s="49"/>
      <c r="DR14" s="49"/>
      <c r="DS14" s="49"/>
      <c r="DT14" s="49"/>
      <c r="DU14" s="49"/>
      <c r="DV14" s="49"/>
      <c r="DW14" s="260"/>
      <c r="DX14" s="276"/>
      <c r="DY14" s="49"/>
      <c r="DZ14" s="49"/>
      <c r="EA14" s="249"/>
      <c r="EB14" s="53"/>
      <c r="EC14" s="53"/>
      <c r="ED14" s="53"/>
      <c r="EE14" s="53"/>
      <c r="EF14" s="53"/>
      <c r="EG14" s="80"/>
      <c r="EH14" s="53"/>
      <c r="EI14" s="54"/>
      <c r="EJ14" s="84"/>
      <c r="EK14" s="53"/>
      <c r="EL14" s="66"/>
      <c r="EM14" s="49"/>
      <c r="EN14" s="49"/>
      <c r="EO14" s="49"/>
      <c r="EP14" s="49"/>
      <c r="EQ14" s="49"/>
      <c r="ER14" s="260"/>
      <c r="ES14" s="276"/>
      <c r="ET14" s="49"/>
      <c r="EU14" s="49"/>
      <c r="EV14" s="249"/>
      <c r="EW14" s="254"/>
      <c r="EX14" s="49"/>
      <c r="EY14" s="49"/>
      <c r="EZ14" s="49"/>
      <c r="FA14" s="49"/>
      <c r="FB14" s="49"/>
      <c r="FC14" s="49"/>
      <c r="FD14" s="49"/>
      <c r="FE14" s="49"/>
      <c r="FF14" s="49"/>
      <c r="FG14" s="49"/>
      <c r="FH14" s="49"/>
      <c r="FI14" s="49"/>
      <c r="FJ14" s="49"/>
      <c r="FK14" s="49"/>
      <c r="FL14" s="49"/>
      <c r="FM14" s="260"/>
      <c r="FN14" s="276"/>
      <c r="FO14" s="49"/>
      <c r="FP14" s="49"/>
      <c r="FQ14" s="249"/>
      <c r="FR14" s="53"/>
      <c r="FS14" s="53"/>
      <c r="FT14" s="53"/>
      <c r="FU14" s="53"/>
      <c r="FV14" s="53"/>
      <c r="FW14" s="80"/>
      <c r="FX14" s="53"/>
      <c r="FY14" s="54"/>
      <c r="FZ14" s="84"/>
      <c r="GA14" s="53"/>
      <c r="GB14" s="66"/>
      <c r="GC14" s="49"/>
      <c r="GD14" s="49"/>
      <c r="GE14" s="49"/>
      <c r="GF14" s="49"/>
      <c r="GG14" s="49"/>
      <c r="GH14" s="260"/>
      <c r="GI14" s="276"/>
      <c r="GJ14" s="49"/>
      <c r="GK14" s="49"/>
      <c r="GL14" s="249"/>
      <c r="GM14" s="254"/>
      <c r="GN14" s="49"/>
      <c r="GO14" s="49"/>
      <c r="GP14" s="49"/>
      <c r="GQ14" s="49"/>
      <c r="GR14" s="49"/>
      <c r="GS14" s="49"/>
      <c r="GT14" s="49"/>
      <c r="GU14" s="49"/>
      <c r="GV14" s="49"/>
      <c r="GW14" s="49"/>
      <c r="GX14" s="49"/>
      <c r="GY14" s="49"/>
      <c r="GZ14" s="49"/>
      <c r="HA14" s="49"/>
      <c r="HB14" s="49"/>
      <c r="HC14" s="260"/>
      <c r="HD14" s="276"/>
      <c r="HE14" s="49"/>
      <c r="HF14" s="49"/>
      <c r="HG14" s="249"/>
      <c r="HH14" s="254"/>
      <c r="HI14" s="49"/>
      <c r="HJ14" s="49"/>
      <c r="HK14" s="49"/>
      <c r="HL14" s="49"/>
      <c r="HM14" s="49"/>
      <c r="HN14" s="49"/>
      <c r="HO14" s="49"/>
      <c r="HP14" s="49"/>
      <c r="HQ14" s="49"/>
      <c r="HR14" s="49"/>
      <c r="HS14" s="49"/>
      <c r="HT14" s="49"/>
      <c r="HU14" s="49"/>
      <c r="HV14" s="49"/>
      <c r="HW14" s="49"/>
      <c r="HX14" s="260"/>
      <c r="HY14" s="276"/>
      <c r="HZ14" s="49"/>
      <c r="IA14" s="49"/>
      <c r="IB14" s="249"/>
      <c r="IC14" s="254"/>
      <c r="ID14" s="49"/>
      <c r="IE14" s="49"/>
      <c r="IF14" s="49"/>
      <c r="IG14" s="49"/>
      <c r="IH14" s="49"/>
      <c r="II14" s="49"/>
      <c r="IJ14" s="49"/>
      <c r="IK14" s="49"/>
      <c r="IL14" s="49"/>
      <c r="IM14" s="49"/>
      <c r="IN14" s="49"/>
      <c r="IO14" s="49"/>
      <c r="IP14" s="49"/>
      <c r="IQ14" s="49"/>
      <c r="IR14" s="49"/>
      <c r="IS14" s="260"/>
      <c r="IT14" s="276"/>
      <c r="IU14" s="49"/>
      <c r="IV14" s="49"/>
      <c r="IW14" s="249"/>
      <c r="IX14" s="254"/>
      <c r="IY14" s="49"/>
      <c r="IZ14" s="49"/>
      <c r="JA14" s="49"/>
      <c r="JB14" s="49"/>
      <c r="JC14" s="49"/>
      <c r="JD14" s="49"/>
      <c r="JE14" s="49"/>
      <c r="JF14" s="49"/>
      <c r="JG14" s="49"/>
      <c r="JH14" s="49"/>
      <c r="JI14" s="49"/>
      <c r="JJ14" s="49"/>
      <c r="JK14" s="49"/>
      <c r="JL14" s="49"/>
      <c r="JM14" s="49"/>
      <c r="JN14" s="260"/>
      <c r="JO14" s="276"/>
      <c r="JP14" s="49"/>
      <c r="JQ14" s="49"/>
      <c r="JR14" s="249"/>
      <c r="JS14" s="254"/>
      <c r="JT14" s="49"/>
      <c r="JU14" s="49"/>
      <c r="JV14" s="49"/>
      <c r="JW14" s="49"/>
      <c r="JX14" s="49"/>
      <c r="JY14" s="49"/>
      <c r="JZ14" s="49"/>
      <c r="KA14" s="49"/>
      <c r="KB14" s="49"/>
      <c r="KC14" s="49"/>
      <c r="KD14" s="49"/>
      <c r="KE14" s="49"/>
      <c r="KF14" s="49"/>
      <c r="KG14" s="49"/>
      <c r="KH14" s="49"/>
      <c r="KI14" s="260"/>
      <c r="KJ14" s="276"/>
      <c r="KK14" s="49"/>
      <c r="KL14" s="49"/>
      <c r="KM14" s="249"/>
      <c r="KN14" s="254"/>
      <c r="KO14" s="49"/>
      <c r="KP14" s="49"/>
      <c r="KQ14" s="49"/>
      <c r="KR14" s="49"/>
      <c r="KS14" s="49"/>
      <c r="KT14" s="49"/>
      <c r="KU14" s="49"/>
      <c r="KV14" s="49"/>
      <c r="KW14" s="49"/>
      <c r="KX14" s="49"/>
      <c r="KY14" s="49"/>
      <c r="KZ14" s="49"/>
      <c r="LA14" s="49"/>
      <c r="LB14" s="49"/>
      <c r="LC14" s="49"/>
      <c r="LD14" s="260"/>
      <c r="LE14" s="276"/>
      <c r="LF14" s="49"/>
      <c r="LG14" s="49"/>
      <c r="LH14" s="249"/>
      <c r="LI14" s="254"/>
      <c r="LJ14" s="49"/>
      <c r="LK14" s="49"/>
      <c r="LL14" s="49"/>
      <c r="LM14" s="49"/>
      <c r="LN14" s="49"/>
      <c r="LO14" s="49"/>
      <c r="LP14" s="49"/>
      <c r="LQ14" s="49"/>
      <c r="LR14" s="49"/>
      <c r="LS14" s="49"/>
      <c r="LT14" s="49"/>
      <c r="LU14" s="49"/>
      <c r="LV14" s="49"/>
      <c r="LW14" s="49"/>
      <c r="LX14" s="49"/>
      <c r="LY14" s="260"/>
      <c r="LZ14" s="276"/>
      <c r="MA14" s="49"/>
      <c r="MB14" s="49"/>
      <c r="MC14" s="249"/>
      <c r="MD14" s="254"/>
      <c r="ME14" s="49"/>
      <c r="MF14" s="49"/>
      <c r="MG14" s="49"/>
      <c r="MH14" s="49"/>
      <c r="MI14" s="49"/>
      <c r="MJ14" s="49"/>
      <c r="MK14" s="49"/>
      <c r="ML14" s="49"/>
      <c r="MM14" s="49"/>
      <c r="MN14" s="49"/>
      <c r="MO14" s="49"/>
      <c r="MP14" s="49"/>
      <c r="MQ14" s="49"/>
      <c r="MR14" s="49"/>
      <c r="MS14" s="49"/>
      <c r="MT14" s="260"/>
      <c r="MU14" s="276"/>
      <c r="MV14" s="49"/>
      <c r="MW14" s="49"/>
      <c r="MX14" s="249"/>
      <c r="MY14" s="254"/>
      <c r="MZ14" s="49"/>
      <c r="NA14" s="49"/>
      <c r="NB14" s="49"/>
      <c r="NC14" s="49"/>
      <c r="ND14" s="49"/>
      <c r="NE14" s="49"/>
      <c r="NF14" s="49"/>
      <c r="NG14" s="49"/>
      <c r="NH14" s="49"/>
      <c r="NI14" s="49"/>
      <c r="NJ14" s="49"/>
      <c r="NK14" s="49"/>
      <c r="NL14" s="49"/>
      <c r="NM14" s="49"/>
      <c r="NN14" s="49"/>
      <c r="NO14" s="260"/>
      <c r="NP14" s="276"/>
      <c r="NQ14" s="49"/>
      <c r="NR14" s="49"/>
      <c r="NS14" s="249"/>
      <c r="NT14" s="254"/>
      <c r="NU14" s="49"/>
      <c r="NV14" s="49"/>
      <c r="NW14" s="49"/>
      <c r="NX14" s="49"/>
      <c r="NY14" s="49"/>
      <c r="NZ14" s="49"/>
      <c r="OA14" s="49"/>
      <c r="OB14" s="49"/>
      <c r="OC14" s="49"/>
      <c r="OD14" s="49"/>
      <c r="OE14" s="49"/>
      <c r="OF14" s="49"/>
      <c r="OG14" s="49"/>
      <c r="OH14" s="49"/>
      <c r="OI14" s="49"/>
      <c r="OJ14" s="260"/>
      <c r="OK14" s="276"/>
      <c r="OL14" s="49"/>
      <c r="OM14" s="49"/>
      <c r="ON14" s="249"/>
      <c r="OO14" s="254"/>
      <c r="OP14" s="49"/>
      <c r="OQ14" s="49"/>
      <c r="OR14" s="49"/>
      <c r="OS14" s="49"/>
      <c r="OT14" s="49"/>
      <c r="OU14" s="49"/>
      <c r="OV14" s="49"/>
      <c r="OW14" s="49"/>
      <c r="OX14" s="49"/>
      <c r="OY14" s="49"/>
      <c r="OZ14" s="49"/>
      <c r="PA14" s="49"/>
      <c r="PB14" s="49"/>
      <c r="PC14" s="49"/>
      <c r="PD14" s="49"/>
      <c r="PE14" s="260"/>
      <c r="PF14" s="276"/>
      <c r="PG14" s="49"/>
      <c r="PH14" s="49"/>
      <c r="PI14" s="249"/>
      <c r="PJ14" s="254"/>
      <c r="PK14" s="49"/>
      <c r="PL14" s="49"/>
      <c r="PM14" s="49"/>
      <c r="PN14" s="49"/>
      <c r="PO14" s="49"/>
      <c r="PP14" s="49"/>
      <c r="PQ14" s="49"/>
      <c r="PR14" s="49"/>
      <c r="PS14" s="49"/>
      <c r="PT14" s="49"/>
      <c r="PU14" s="49"/>
      <c r="PV14" s="49"/>
      <c r="PW14" s="49"/>
      <c r="PX14" s="49"/>
      <c r="PY14" s="49"/>
      <c r="PZ14" s="260"/>
      <c r="QA14" s="276"/>
      <c r="QB14" s="49"/>
      <c r="QC14" s="49"/>
      <c r="QD14" s="249"/>
      <c r="QE14" s="254"/>
      <c r="QF14" s="49"/>
      <c r="QG14" s="49"/>
      <c r="QH14" s="49"/>
      <c r="QI14" s="49"/>
      <c r="QJ14" s="49"/>
      <c r="QK14" s="49"/>
      <c r="QL14" s="49"/>
      <c r="QM14" s="49"/>
      <c r="QN14" s="49"/>
      <c r="QO14" s="49"/>
      <c r="QP14" s="49"/>
      <c r="QQ14" s="49"/>
      <c r="QR14" s="49"/>
      <c r="QS14" s="49"/>
      <c r="QT14" s="49"/>
      <c r="QU14" s="260"/>
      <c r="QV14" s="276"/>
      <c r="QW14" s="49"/>
      <c r="QX14" s="49"/>
      <c r="QY14" s="249"/>
      <c r="QZ14" s="254"/>
      <c r="RA14" s="49"/>
      <c r="RB14" s="49"/>
      <c r="RC14" s="49"/>
      <c r="RD14" s="49"/>
      <c r="RE14" s="49"/>
      <c r="RF14" s="49"/>
      <c r="RG14" s="49"/>
      <c r="RH14" s="49"/>
      <c r="RI14" s="49"/>
      <c r="RJ14" s="49"/>
      <c r="RK14" s="49"/>
      <c r="RL14" s="49"/>
      <c r="RM14" s="49"/>
      <c r="RN14" s="49"/>
      <c r="RO14" s="49"/>
      <c r="RP14" s="260"/>
      <c r="RQ14" s="276"/>
      <c r="RR14" s="49"/>
      <c r="RS14" s="49"/>
      <c r="RT14" s="249"/>
      <c r="RU14" s="254"/>
      <c r="RV14" s="49"/>
      <c r="RW14" s="49"/>
      <c r="RX14" s="49"/>
      <c r="RY14" s="49"/>
      <c r="RZ14" s="49"/>
      <c r="SA14" s="49"/>
      <c r="SB14" s="49"/>
      <c r="SC14" s="49"/>
      <c r="SD14" s="49"/>
      <c r="SE14" s="49"/>
      <c r="SF14" s="49"/>
      <c r="SG14" s="49"/>
      <c r="SH14" s="49"/>
      <c r="SI14" s="49"/>
      <c r="SJ14" s="49"/>
      <c r="SK14" s="260"/>
      <c r="SL14" s="276"/>
      <c r="SM14" s="49"/>
      <c r="SN14" s="49"/>
      <c r="SO14" s="249"/>
      <c r="SP14" s="254"/>
      <c r="SQ14" s="49"/>
      <c r="SR14" s="49"/>
      <c r="SS14" s="49"/>
      <c r="ST14" s="49"/>
      <c r="SU14" s="49"/>
      <c r="SV14" s="49"/>
      <c r="SW14" s="49"/>
      <c r="SX14" s="49"/>
      <c r="SY14" s="49"/>
      <c r="SZ14" s="49"/>
      <c r="TA14" s="49"/>
      <c r="TB14" s="49"/>
      <c r="TC14" s="49"/>
      <c r="TD14" s="49"/>
      <c r="TE14" s="49"/>
      <c r="TF14" s="260"/>
      <c r="TG14" s="276"/>
      <c r="TH14" s="49"/>
      <c r="TI14" s="49"/>
      <c r="TJ14" s="249"/>
      <c r="TK14" s="254"/>
      <c r="TL14" s="49"/>
      <c r="TM14" s="49"/>
      <c r="TN14" s="49"/>
      <c r="TO14" s="49"/>
      <c r="TP14" s="49"/>
      <c r="TQ14" s="49"/>
      <c r="TR14" s="49"/>
      <c r="TS14" s="49"/>
      <c r="TT14" s="49"/>
      <c r="TU14" s="49"/>
      <c r="TV14" s="49"/>
      <c r="TW14" s="49"/>
      <c r="TX14" s="49"/>
      <c r="TY14" s="49"/>
      <c r="TZ14" s="49"/>
      <c r="UA14" s="260"/>
      <c r="UB14" s="276"/>
      <c r="UC14" s="49"/>
      <c r="UD14" s="49"/>
      <c r="UE14" s="249"/>
      <c r="UF14" s="254"/>
      <c r="UG14" s="49"/>
      <c r="UH14" s="49"/>
      <c r="UI14" s="49"/>
      <c r="UJ14" s="49"/>
      <c r="UK14" s="49"/>
      <c r="UL14" s="49"/>
      <c r="UM14" s="49"/>
      <c r="UN14" s="49"/>
      <c r="UO14" s="49"/>
      <c r="UP14" s="49"/>
      <c r="UQ14" s="49"/>
      <c r="UR14" s="49"/>
      <c r="US14" s="49"/>
      <c r="UT14" s="49"/>
      <c r="UU14" s="49"/>
      <c r="UV14" s="260"/>
      <c r="UW14" s="276"/>
      <c r="UX14" s="49"/>
      <c r="UY14" s="49"/>
      <c r="UZ14" s="249"/>
      <c r="VA14" s="254"/>
      <c r="VB14" s="49"/>
      <c r="VC14" s="49"/>
      <c r="VD14" s="49"/>
      <c r="VE14" s="49"/>
      <c r="VF14" s="49"/>
      <c r="VG14" s="49"/>
      <c r="VH14" s="49"/>
      <c r="VI14" s="49"/>
      <c r="VJ14" s="49"/>
      <c r="VK14" s="49"/>
      <c r="VL14" s="49"/>
      <c r="VM14" s="49"/>
      <c r="VN14" s="49"/>
      <c r="VO14" s="49"/>
      <c r="VP14" s="49"/>
      <c r="VQ14" s="260"/>
      <c r="VR14" s="276"/>
      <c r="VS14" s="49"/>
      <c r="VT14" s="49"/>
      <c r="VU14" s="249"/>
      <c r="VV14" s="254"/>
      <c r="VW14" s="49"/>
      <c r="VX14" s="49"/>
      <c r="VY14" s="49"/>
      <c r="VZ14" s="49"/>
      <c r="WA14" s="49"/>
      <c r="WB14" s="49"/>
      <c r="WC14" s="49"/>
      <c r="WD14" s="49"/>
      <c r="WE14" s="49"/>
      <c r="WF14" s="49"/>
      <c r="WG14" s="49"/>
      <c r="WH14" s="49"/>
      <c r="WI14" s="49"/>
      <c r="WJ14" s="49"/>
      <c r="WK14" s="49"/>
      <c r="WL14" s="260"/>
      <c r="WM14" s="276"/>
      <c r="WN14" s="49"/>
      <c r="WO14" s="49"/>
      <c r="WP14" s="249"/>
      <c r="WQ14" s="254"/>
      <c r="WR14" s="49"/>
      <c r="WS14" s="49"/>
      <c r="WT14" s="49"/>
      <c r="WU14" s="49"/>
      <c r="WV14" s="49"/>
      <c r="WW14" s="49"/>
      <c r="WX14" s="49"/>
      <c r="WY14" s="49"/>
      <c r="WZ14" s="49"/>
      <c r="XA14" s="49"/>
      <c r="XB14" s="49"/>
      <c r="XC14" s="49"/>
      <c r="XD14" s="49"/>
      <c r="XE14" s="49"/>
      <c r="XF14" s="49"/>
      <c r="XG14" s="260"/>
      <c r="XH14" s="276"/>
      <c r="XI14" s="49"/>
      <c r="XJ14" s="49"/>
      <c r="XK14" s="249"/>
      <c r="XL14" s="254"/>
      <c r="XM14" s="49"/>
      <c r="XN14" s="49"/>
      <c r="XO14" s="49"/>
      <c r="XP14" s="49"/>
      <c r="XQ14" s="49"/>
      <c r="XR14" s="49"/>
      <c r="XS14" s="49"/>
      <c r="XT14" s="49"/>
      <c r="XU14" s="49"/>
      <c r="XV14" s="49"/>
      <c r="XW14" s="49"/>
      <c r="XX14" s="49"/>
      <c r="XY14" s="49"/>
      <c r="XZ14" s="49"/>
      <c r="YA14" s="49"/>
      <c r="YB14" s="260"/>
    </row>
    <row r="15" spans="1:652" x14ac:dyDescent="0.3">
      <c r="A15" s="224" t="s">
        <v>146</v>
      </c>
      <c r="B15" s="270"/>
      <c r="C15" s="10"/>
      <c r="D15" s="10"/>
      <c r="E15" s="234"/>
      <c r="F15" s="240">
        <v>1</v>
      </c>
      <c r="G15" s="125"/>
      <c r="H15" s="125" t="s">
        <v>569</v>
      </c>
      <c r="I15" s="12" t="s">
        <v>570</v>
      </c>
      <c r="J15" s="12" t="s">
        <v>617</v>
      </c>
      <c r="K15" s="12" t="s">
        <v>572</v>
      </c>
      <c r="L15" s="12">
        <v>29.08</v>
      </c>
      <c r="M15" s="12" t="s">
        <v>573</v>
      </c>
      <c r="N15" s="12" t="s">
        <v>568</v>
      </c>
      <c r="O15" s="12"/>
      <c r="P15" s="12" t="s">
        <v>618</v>
      </c>
      <c r="Q15" s="12"/>
      <c r="R15" s="12"/>
      <c r="S15" s="12"/>
      <c r="T15" s="12"/>
      <c r="U15" s="12"/>
      <c r="V15" s="261"/>
      <c r="W15" s="278"/>
      <c r="X15" s="12"/>
      <c r="Y15" s="12"/>
      <c r="Z15" s="251"/>
      <c r="AA15" s="255">
        <v>1</v>
      </c>
      <c r="AB15" s="125"/>
      <c r="AC15" s="125" t="s">
        <v>569</v>
      </c>
      <c r="AD15" s="12" t="s">
        <v>570</v>
      </c>
      <c r="AE15" s="12" t="s">
        <v>619</v>
      </c>
      <c r="AF15" s="12" t="s">
        <v>572</v>
      </c>
      <c r="AG15" s="12">
        <v>25.34</v>
      </c>
      <c r="AH15" s="12" t="s">
        <v>573</v>
      </c>
      <c r="AI15" s="12" t="s">
        <v>568</v>
      </c>
      <c r="AJ15" s="12"/>
      <c r="AK15" s="12" t="s">
        <v>618</v>
      </c>
      <c r="AL15" s="12"/>
      <c r="AM15" s="12"/>
      <c r="AN15" s="12"/>
      <c r="AO15" s="12"/>
      <c r="AP15" s="12"/>
      <c r="AQ15" s="261"/>
      <c r="AR15" s="270"/>
      <c r="AS15" s="10"/>
      <c r="AT15" s="10"/>
      <c r="AU15" s="234"/>
      <c r="AV15" s="240">
        <v>1</v>
      </c>
      <c r="AW15" s="125"/>
      <c r="AX15" s="125" t="s">
        <v>569</v>
      </c>
      <c r="AY15" s="12" t="s">
        <v>570</v>
      </c>
      <c r="AZ15" s="12" t="s">
        <v>620</v>
      </c>
      <c r="BA15" s="12" t="s">
        <v>572</v>
      </c>
      <c r="BB15" s="12">
        <v>31.48</v>
      </c>
      <c r="BC15" s="12" t="s">
        <v>573</v>
      </c>
      <c r="BD15" s="12" t="s">
        <v>568</v>
      </c>
      <c r="BE15" s="12"/>
      <c r="BF15" s="12" t="s">
        <v>621</v>
      </c>
      <c r="BG15" s="12"/>
      <c r="BH15" s="12"/>
      <c r="BI15" s="12"/>
      <c r="BJ15" s="12"/>
      <c r="BK15" s="12"/>
      <c r="BL15" s="261"/>
      <c r="BM15" s="278"/>
      <c r="BN15" s="12"/>
      <c r="BO15" s="12"/>
      <c r="BP15" s="251"/>
      <c r="BQ15" s="255">
        <v>1</v>
      </c>
      <c r="BR15" s="125"/>
      <c r="BS15" s="125" t="s">
        <v>569</v>
      </c>
      <c r="BT15" s="12" t="s">
        <v>570</v>
      </c>
      <c r="BU15" s="12" t="s">
        <v>622</v>
      </c>
      <c r="BV15" s="12" t="s">
        <v>572</v>
      </c>
      <c r="BW15" s="12">
        <v>38.85</v>
      </c>
      <c r="BX15" s="12" t="s">
        <v>573</v>
      </c>
      <c r="BY15" s="12" t="s">
        <v>568</v>
      </c>
      <c r="BZ15" s="12"/>
      <c r="CA15" s="12" t="s">
        <v>621</v>
      </c>
      <c r="CB15" s="12"/>
      <c r="CC15" s="12"/>
      <c r="CD15" s="12"/>
      <c r="CE15" s="12"/>
      <c r="CF15" s="12"/>
      <c r="CG15" s="261"/>
      <c r="CH15" s="278"/>
      <c r="CI15" s="12"/>
      <c r="CJ15" s="12"/>
      <c r="CK15" s="251"/>
      <c r="CL15" s="46">
        <v>1</v>
      </c>
      <c r="CM15" s="205"/>
      <c r="CN15" s="205" t="s">
        <v>569</v>
      </c>
      <c r="CO15" s="37" t="s">
        <v>570</v>
      </c>
      <c r="CP15" s="46" t="s">
        <v>623</v>
      </c>
      <c r="CQ15" s="81" t="s">
        <v>572</v>
      </c>
      <c r="CR15" s="46">
        <v>25.45</v>
      </c>
      <c r="CS15" s="37" t="s">
        <v>573</v>
      </c>
      <c r="CT15" s="85" t="s">
        <v>568</v>
      </c>
      <c r="CU15" s="46"/>
      <c r="CV15" s="125" t="s">
        <v>624</v>
      </c>
      <c r="CW15" s="12"/>
      <c r="CX15" s="12"/>
      <c r="CY15" s="12"/>
      <c r="CZ15" s="12"/>
      <c r="DA15" s="12"/>
      <c r="DB15" s="261"/>
      <c r="DC15" s="278"/>
      <c r="DD15" s="12"/>
      <c r="DE15" s="12"/>
      <c r="DF15" s="251"/>
      <c r="DG15" s="255">
        <v>1</v>
      </c>
      <c r="DH15" s="125"/>
      <c r="DI15" s="125" t="s">
        <v>569</v>
      </c>
      <c r="DJ15" s="12" t="s">
        <v>570</v>
      </c>
      <c r="DK15" s="12" t="s">
        <v>625</v>
      </c>
      <c r="DL15" s="12" t="s">
        <v>572</v>
      </c>
      <c r="DM15" s="12">
        <v>25.27</v>
      </c>
      <c r="DN15" s="12" t="s">
        <v>573</v>
      </c>
      <c r="DO15" s="12" t="s">
        <v>568</v>
      </c>
      <c r="DP15" s="12"/>
      <c r="DQ15" s="12" t="s">
        <v>624</v>
      </c>
      <c r="DR15" s="12"/>
      <c r="DS15" s="12"/>
      <c r="DT15" s="12"/>
      <c r="DU15" s="12"/>
      <c r="DV15" s="12"/>
      <c r="DW15" s="261"/>
      <c r="DX15" s="278"/>
      <c r="DY15" s="12"/>
      <c r="DZ15" s="12"/>
      <c r="EA15" s="251"/>
      <c r="EB15" s="46"/>
      <c r="EC15" s="205"/>
      <c r="ED15" s="205"/>
      <c r="EE15" s="37"/>
      <c r="EF15" s="46"/>
      <c r="EG15" s="81"/>
      <c r="EH15" s="46"/>
      <c r="EI15" s="37"/>
      <c r="EJ15" s="85"/>
      <c r="EK15" s="46"/>
      <c r="EL15" s="125"/>
      <c r="EM15" s="12"/>
      <c r="EN15" s="12"/>
      <c r="EO15" s="12"/>
      <c r="EP15" s="12"/>
      <c r="EQ15" s="12"/>
      <c r="ER15" s="261"/>
      <c r="ES15" s="278"/>
      <c r="ET15" s="12"/>
      <c r="EU15" s="12"/>
      <c r="EV15" s="251"/>
      <c r="EW15" s="255"/>
      <c r="EX15" s="125"/>
      <c r="EY15" s="125"/>
      <c r="EZ15" s="12"/>
      <c r="FA15" s="12"/>
      <c r="FB15" s="12"/>
      <c r="FC15" s="12"/>
      <c r="FD15" s="12"/>
      <c r="FE15" s="12"/>
      <c r="FF15" s="12"/>
      <c r="FG15" s="12"/>
      <c r="FH15" s="12"/>
      <c r="FI15" s="12"/>
      <c r="FJ15" s="12"/>
      <c r="FK15" s="12"/>
      <c r="FL15" s="12"/>
      <c r="FM15" s="261"/>
      <c r="FN15" s="278"/>
      <c r="FO15" s="12"/>
      <c r="FP15" s="12"/>
      <c r="FQ15" s="251"/>
      <c r="FR15" s="46"/>
      <c r="FS15" s="205"/>
      <c r="FT15" s="205"/>
      <c r="FU15" s="37"/>
      <c r="FV15" s="46"/>
      <c r="FW15" s="81"/>
      <c r="FX15" s="46"/>
      <c r="FY15" s="37"/>
      <c r="FZ15" s="85"/>
      <c r="GA15" s="46"/>
      <c r="GB15" s="125"/>
      <c r="GC15" s="12"/>
      <c r="GD15" s="12"/>
      <c r="GE15" s="12"/>
      <c r="GF15" s="12"/>
      <c r="GG15" s="12"/>
      <c r="GH15" s="261"/>
      <c r="GI15" s="278"/>
      <c r="GJ15" s="12"/>
      <c r="GK15" s="12"/>
      <c r="GL15" s="251"/>
      <c r="GM15" s="255"/>
      <c r="GN15" s="125"/>
      <c r="GO15" s="125"/>
      <c r="GP15" s="12"/>
      <c r="GQ15" s="12"/>
      <c r="GR15" s="12"/>
      <c r="GS15" s="12"/>
      <c r="GT15" s="12"/>
      <c r="GU15" s="12"/>
      <c r="GV15" s="12"/>
      <c r="GW15" s="12"/>
      <c r="GX15" s="12"/>
      <c r="GY15" s="12"/>
      <c r="GZ15" s="12"/>
      <c r="HA15" s="12"/>
      <c r="HB15" s="12"/>
      <c r="HC15" s="261"/>
      <c r="HD15" s="278"/>
      <c r="HE15" s="12"/>
      <c r="HF15" s="12"/>
      <c r="HG15" s="251"/>
      <c r="HH15" s="255"/>
      <c r="HI15" s="125"/>
      <c r="HJ15" s="125"/>
      <c r="HK15" s="12"/>
      <c r="HL15" s="12"/>
      <c r="HM15" s="12"/>
      <c r="HN15" s="12"/>
      <c r="HO15" s="12"/>
      <c r="HP15" s="12"/>
      <c r="HQ15" s="12"/>
      <c r="HR15" s="12"/>
      <c r="HS15" s="12"/>
      <c r="HT15" s="12"/>
      <c r="HU15" s="12"/>
      <c r="HV15" s="12"/>
      <c r="HW15" s="12"/>
      <c r="HX15" s="261"/>
      <c r="HY15" s="278"/>
      <c r="HZ15" s="12"/>
      <c r="IA15" s="12"/>
      <c r="IB15" s="251"/>
      <c r="IC15" s="255"/>
      <c r="ID15" s="125"/>
      <c r="IE15" s="125"/>
      <c r="IF15" s="12"/>
      <c r="IG15" s="12"/>
      <c r="IH15" s="12"/>
      <c r="II15" s="12"/>
      <c r="IJ15" s="12"/>
      <c r="IK15" s="12"/>
      <c r="IL15" s="12"/>
      <c r="IM15" s="12"/>
      <c r="IN15" s="12"/>
      <c r="IO15" s="12"/>
      <c r="IP15" s="12"/>
      <c r="IQ15" s="12"/>
      <c r="IR15" s="12"/>
      <c r="IS15" s="261"/>
      <c r="IT15" s="278"/>
      <c r="IU15" s="12"/>
      <c r="IV15" s="12"/>
      <c r="IW15" s="251"/>
      <c r="IX15" s="255"/>
      <c r="IY15" s="125"/>
      <c r="IZ15" s="125"/>
      <c r="JA15" s="12"/>
      <c r="JB15" s="12"/>
      <c r="JC15" s="12"/>
      <c r="JD15" s="12"/>
      <c r="JE15" s="12"/>
      <c r="JF15" s="12"/>
      <c r="JG15" s="12"/>
      <c r="JH15" s="12"/>
      <c r="JI15" s="12"/>
      <c r="JJ15" s="12"/>
      <c r="JK15" s="12"/>
      <c r="JL15" s="12"/>
      <c r="JM15" s="12"/>
      <c r="JN15" s="261"/>
      <c r="JO15" s="278"/>
      <c r="JP15" s="12"/>
      <c r="JQ15" s="12"/>
      <c r="JR15" s="251"/>
      <c r="JS15" s="255"/>
      <c r="JT15" s="125"/>
      <c r="JU15" s="125"/>
      <c r="JV15" s="12"/>
      <c r="JW15" s="12"/>
      <c r="JX15" s="12"/>
      <c r="JY15" s="12"/>
      <c r="JZ15" s="12"/>
      <c r="KA15" s="12"/>
      <c r="KB15" s="12"/>
      <c r="KC15" s="12"/>
      <c r="KD15" s="12"/>
      <c r="KE15" s="12"/>
      <c r="KF15" s="12"/>
      <c r="KG15" s="12"/>
      <c r="KH15" s="12"/>
      <c r="KI15" s="261"/>
      <c r="KJ15" s="278"/>
      <c r="KK15" s="12"/>
      <c r="KL15" s="12"/>
      <c r="KM15" s="251"/>
      <c r="KN15" s="255"/>
      <c r="KO15" s="125"/>
      <c r="KP15" s="125"/>
      <c r="KQ15" s="12"/>
      <c r="KR15" s="12"/>
      <c r="KS15" s="12"/>
      <c r="KT15" s="12"/>
      <c r="KU15" s="12"/>
      <c r="KV15" s="12"/>
      <c r="KW15" s="12"/>
      <c r="KX15" s="12"/>
      <c r="KY15" s="12"/>
      <c r="KZ15" s="12"/>
      <c r="LA15" s="12"/>
      <c r="LB15" s="12"/>
      <c r="LC15" s="12"/>
      <c r="LD15" s="261"/>
      <c r="LE15" s="278"/>
      <c r="LF15" s="12"/>
      <c r="LG15" s="12"/>
      <c r="LH15" s="251"/>
      <c r="LI15" s="255"/>
      <c r="LJ15" s="125"/>
      <c r="LK15" s="125"/>
      <c r="LL15" s="12"/>
      <c r="LM15" s="12"/>
      <c r="LN15" s="12"/>
      <c r="LO15" s="12"/>
      <c r="LP15" s="12"/>
      <c r="LQ15" s="12"/>
      <c r="LR15" s="12"/>
      <c r="LS15" s="12"/>
      <c r="LT15" s="12"/>
      <c r="LU15" s="12"/>
      <c r="LV15" s="12"/>
      <c r="LW15" s="12"/>
      <c r="LX15" s="12"/>
      <c r="LY15" s="261"/>
      <c r="LZ15" s="278"/>
      <c r="MA15" s="12"/>
      <c r="MB15" s="12"/>
      <c r="MC15" s="251"/>
      <c r="MD15" s="255"/>
      <c r="ME15" s="125"/>
      <c r="MF15" s="125"/>
      <c r="MG15" s="12"/>
      <c r="MH15" s="12"/>
      <c r="MI15" s="12"/>
      <c r="MJ15" s="12"/>
      <c r="MK15" s="12"/>
      <c r="ML15" s="12"/>
      <c r="MM15" s="12"/>
      <c r="MN15" s="12"/>
      <c r="MO15" s="12"/>
      <c r="MP15" s="12"/>
      <c r="MQ15" s="12"/>
      <c r="MR15" s="12"/>
      <c r="MS15" s="12"/>
      <c r="MT15" s="261"/>
      <c r="MU15" s="278"/>
      <c r="MV15" s="12"/>
      <c r="MW15" s="12"/>
      <c r="MX15" s="251"/>
      <c r="MY15" s="255"/>
      <c r="MZ15" s="125"/>
      <c r="NA15" s="125"/>
      <c r="NB15" s="12"/>
      <c r="NC15" s="12"/>
      <c r="ND15" s="12"/>
      <c r="NE15" s="12"/>
      <c r="NF15" s="12"/>
      <c r="NG15" s="12"/>
      <c r="NH15" s="12"/>
      <c r="NI15" s="12"/>
      <c r="NJ15" s="12"/>
      <c r="NK15" s="12"/>
      <c r="NL15" s="12"/>
      <c r="NM15" s="12"/>
      <c r="NN15" s="12"/>
      <c r="NO15" s="261"/>
      <c r="NP15" s="278"/>
      <c r="NQ15" s="12"/>
      <c r="NR15" s="12"/>
      <c r="NS15" s="251"/>
      <c r="NT15" s="255"/>
      <c r="NU15" s="125"/>
      <c r="NV15" s="125"/>
      <c r="NW15" s="12"/>
      <c r="NX15" s="12"/>
      <c r="NY15" s="12"/>
      <c r="NZ15" s="12"/>
      <c r="OA15" s="12"/>
      <c r="OB15" s="12"/>
      <c r="OC15" s="12"/>
      <c r="OD15" s="12"/>
      <c r="OE15" s="12"/>
      <c r="OF15" s="12"/>
      <c r="OG15" s="12"/>
      <c r="OH15" s="12"/>
      <c r="OI15" s="12"/>
      <c r="OJ15" s="261"/>
      <c r="OK15" s="278"/>
      <c r="OL15" s="12"/>
      <c r="OM15" s="12"/>
      <c r="ON15" s="251"/>
      <c r="OO15" s="255"/>
      <c r="OP15" s="125"/>
      <c r="OQ15" s="125"/>
      <c r="OR15" s="12"/>
      <c r="OS15" s="12"/>
      <c r="OT15" s="12"/>
      <c r="OU15" s="12"/>
      <c r="OV15" s="12"/>
      <c r="OW15" s="12"/>
      <c r="OX15" s="12"/>
      <c r="OY15" s="12"/>
      <c r="OZ15" s="12"/>
      <c r="PA15" s="12"/>
      <c r="PB15" s="12"/>
      <c r="PC15" s="12"/>
      <c r="PD15" s="12"/>
      <c r="PE15" s="261"/>
      <c r="PF15" s="278"/>
      <c r="PG15" s="12"/>
      <c r="PH15" s="12"/>
      <c r="PI15" s="251"/>
      <c r="PJ15" s="255"/>
      <c r="PK15" s="125"/>
      <c r="PL15" s="125"/>
      <c r="PM15" s="12"/>
      <c r="PN15" s="12"/>
      <c r="PO15" s="12"/>
      <c r="PP15" s="12"/>
      <c r="PQ15" s="12"/>
      <c r="PR15" s="12"/>
      <c r="PS15" s="12"/>
      <c r="PT15" s="12"/>
      <c r="PU15" s="12"/>
      <c r="PV15" s="12"/>
      <c r="PW15" s="12"/>
      <c r="PX15" s="12"/>
      <c r="PY15" s="12"/>
      <c r="PZ15" s="261"/>
      <c r="QA15" s="278"/>
      <c r="QB15" s="12"/>
      <c r="QC15" s="12"/>
      <c r="QD15" s="251"/>
      <c r="QE15" s="255"/>
      <c r="QF15" s="125"/>
      <c r="QG15" s="125"/>
      <c r="QH15" s="12"/>
      <c r="QI15" s="12"/>
      <c r="QJ15" s="12"/>
      <c r="QK15" s="12"/>
      <c r="QL15" s="12"/>
      <c r="QM15" s="12"/>
      <c r="QN15" s="12"/>
      <c r="QO15" s="12"/>
      <c r="QP15" s="12"/>
      <c r="QQ15" s="12"/>
      <c r="QR15" s="12"/>
      <c r="QS15" s="12"/>
      <c r="QT15" s="12"/>
      <c r="QU15" s="261"/>
      <c r="QV15" s="278"/>
      <c r="QW15" s="12"/>
      <c r="QX15" s="12"/>
      <c r="QY15" s="251"/>
      <c r="QZ15" s="255"/>
      <c r="RA15" s="125"/>
      <c r="RB15" s="125"/>
      <c r="RC15" s="12"/>
      <c r="RD15" s="12"/>
      <c r="RE15" s="12"/>
      <c r="RF15" s="12"/>
      <c r="RG15" s="12"/>
      <c r="RH15" s="12"/>
      <c r="RI15" s="12"/>
      <c r="RJ15" s="12"/>
      <c r="RK15" s="12"/>
      <c r="RL15" s="12"/>
      <c r="RM15" s="12"/>
      <c r="RN15" s="12"/>
      <c r="RO15" s="12"/>
      <c r="RP15" s="261"/>
      <c r="RQ15" s="278"/>
      <c r="RR15" s="12"/>
      <c r="RS15" s="12"/>
      <c r="RT15" s="251"/>
      <c r="RU15" s="255"/>
      <c r="RV15" s="125"/>
      <c r="RW15" s="125"/>
      <c r="RX15" s="12"/>
      <c r="RY15" s="12"/>
      <c r="RZ15" s="12"/>
      <c r="SA15" s="12"/>
      <c r="SB15" s="12"/>
      <c r="SC15" s="12"/>
      <c r="SD15" s="12"/>
      <c r="SE15" s="12"/>
      <c r="SF15" s="12"/>
      <c r="SG15" s="12"/>
      <c r="SH15" s="12"/>
      <c r="SI15" s="12"/>
      <c r="SJ15" s="12"/>
      <c r="SK15" s="261"/>
      <c r="SL15" s="278"/>
      <c r="SM15" s="12"/>
      <c r="SN15" s="12"/>
      <c r="SO15" s="251"/>
      <c r="SP15" s="255"/>
      <c r="SQ15" s="125"/>
      <c r="SR15" s="125"/>
      <c r="SS15" s="12"/>
      <c r="ST15" s="12"/>
      <c r="SU15" s="12"/>
      <c r="SV15" s="12"/>
      <c r="SW15" s="12"/>
      <c r="SX15" s="12"/>
      <c r="SY15" s="12"/>
      <c r="SZ15" s="12"/>
      <c r="TA15" s="12"/>
      <c r="TB15" s="12"/>
      <c r="TC15" s="12"/>
      <c r="TD15" s="12"/>
      <c r="TE15" s="12"/>
      <c r="TF15" s="261"/>
      <c r="TG15" s="278"/>
      <c r="TH15" s="12"/>
      <c r="TI15" s="12"/>
      <c r="TJ15" s="251"/>
      <c r="TK15" s="255"/>
      <c r="TL15" s="125"/>
      <c r="TM15" s="125"/>
      <c r="TN15" s="12"/>
      <c r="TO15" s="12"/>
      <c r="TP15" s="12"/>
      <c r="TQ15" s="12"/>
      <c r="TR15" s="12"/>
      <c r="TS15" s="12"/>
      <c r="TT15" s="12"/>
      <c r="TU15" s="12"/>
      <c r="TV15" s="12"/>
      <c r="TW15" s="12"/>
      <c r="TX15" s="12"/>
      <c r="TY15" s="12"/>
      <c r="TZ15" s="12"/>
      <c r="UA15" s="261"/>
      <c r="UB15" s="278"/>
      <c r="UC15" s="12"/>
      <c r="UD15" s="12"/>
      <c r="UE15" s="251"/>
      <c r="UF15" s="255"/>
      <c r="UG15" s="125"/>
      <c r="UH15" s="125"/>
      <c r="UI15" s="12"/>
      <c r="UJ15" s="12"/>
      <c r="UK15" s="12"/>
      <c r="UL15" s="12"/>
      <c r="UM15" s="12"/>
      <c r="UN15" s="12"/>
      <c r="UO15" s="12"/>
      <c r="UP15" s="12"/>
      <c r="UQ15" s="12"/>
      <c r="UR15" s="12"/>
      <c r="US15" s="12"/>
      <c r="UT15" s="12"/>
      <c r="UU15" s="12"/>
      <c r="UV15" s="261"/>
      <c r="UW15" s="278"/>
      <c r="UX15" s="12"/>
      <c r="UY15" s="12"/>
      <c r="UZ15" s="251"/>
      <c r="VA15" s="255"/>
      <c r="VB15" s="125"/>
      <c r="VC15" s="125"/>
      <c r="VD15" s="12"/>
      <c r="VE15" s="12"/>
      <c r="VF15" s="12"/>
      <c r="VG15" s="12"/>
      <c r="VH15" s="12"/>
      <c r="VI15" s="12"/>
      <c r="VJ15" s="12"/>
      <c r="VK15" s="12"/>
      <c r="VL15" s="12"/>
      <c r="VM15" s="12"/>
      <c r="VN15" s="12"/>
      <c r="VO15" s="12"/>
      <c r="VP15" s="12"/>
      <c r="VQ15" s="261"/>
      <c r="VR15" s="278"/>
      <c r="VS15" s="12"/>
      <c r="VT15" s="12"/>
      <c r="VU15" s="251"/>
      <c r="VV15" s="255"/>
      <c r="VW15" s="125"/>
      <c r="VX15" s="125"/>
      <c r="VY15" s="12"/>
      <c r="VZ15" s="12"/>
      <c r="WA15" s="12"/>
      <c r="WB15" s="12"/>
      <c r="WC15" s="12"/>
      <c r="WD15" s="12"/>
      <c r="WE15" s="12"/>
      <c r="WF15" s="12"/>
      <c r="WG15" s="12"/>
      <c r="WH15" s="12"/>
      <c r="WI15" s="12"/>
      <c r="WJ15" s="12"/>
      <c r="WK15" s="12"/>
      <c r="WL15" s="261"/>
      <c r="WM15" s="278"/>
      <c r="WN15" s="12"/>
      <c r="WO15" s="12"/>
      <c r="WP15" s="251"/>
      <c r="WQ15" s="255"/>
      <c r="WR15" s="125"/>
      <c r="WS15" s="125"/>
      <c r="WT15" s="12"/>
      <c r="WU15" s="12"/>
      <c r="WV15" s="12"/>
      <c r="WW15" s="12"/>
      <c r="WX15" s="12"/>
      <c r="WY15" s="12"/>
      <c r="WZ15" s="12"/>
      <c r="XA15" s="12"/>
      <c r="XB15" s="12"/>
      <c r="XC15" s="12"/>
      <c r="XD15" s="12"/>
      <c r="XE15" s="12"/>
      <c r="XF15" s="12"/>
      <c r="XG15" s="261"/>
      <c r="XH15" s="278"/>
      <c r="XI15" s="12"/>
      <c r="XJ15" s="12"/>
      <c r="XK15" s="251"/>
      <c r="XL15" s="255"/>
      <c r="XM15" s="125"/>
      <c r="XN15" s="125"/>
      <c r="XO15" s="12"/>
      <c r="XP15" s="12"/>
      <c r="XQ15" s="12"/>
      <c r="XR15" s="12"/>
      <c r="XS15" s="12"/>
      <c r="XT15" s="12"/>
      <c r="XU15" s="12"/>
      <c r="XV15" s="12"/>
      <c r="XW15" s="12"/>
      <c r="XX15" s="12"/>
      <c r="XY15" s="12"/>
      <c r="XZ15" s="12"/>
      <c r="YA15" s="12"/>
      <c r="YB15" s="261"/>
    </row>
    <row r="16" spans="1:652" x14ac:dyDescent="0.3">
      <c r="A16" s="223" t="s">
        <v>150</v>
      </c>
      <c r="B16" s="271"/>
      <c r="C16" s="48"/>
      <c r="D16" s="48"/>
      <c r="E16" s="235"/>
      <c r="F16" s="239"/>
      <c r="G16" s="49"/>
      <c r="H16" s="49"/>
      <c r="I16" s="49"/>
      <c r="J16" s="49"/>
      <c r="K16" s="49"/>
      <c r="L16" s="49"/>
      <c r="M16" s="49"/>
      <c r="N16" s="49"/>
      <c r="O16" s="49"/>
      <c r="P16" s="49"/>
      <c r="Q16" s="49"/>
      <c r="R16" s="49"/>
      <c r="S16" s="49"/>
      <c r="T16" s="49"/>
      <c r="U16" s="49"/>
      <c r="V16" s="260"/>
      <c r="W16" s="276"/>
      <c r="X16" s="49"/>
      <c r="Y16" s="49"/>
      <c r="Z16" s="249"/>
      <c r="AA16" s="254"/>
      <c r="AB16" s="49"/>
      <c r="AC16" s="49"/>
      <c r="AD16" s="49"/>
      <c r="AE16" s="49"/>
      <c r="AF16" s="49"/>
      <c r="AG16" s="49"/>
      <c r="AH16" s="49"/>
      <c r="AI16" s="49"/>
      <c r="AJ16" s="49"/>
      <c r="AK16" s="49"/>
      <c r="AL16" s="49"/>
      <c r="AM16" s="49"/>
      <c r="AN16" s="49"/>
      <c r="AO16" s="49"/>
      <c r="AP16" s="49"/>
      <c r="AQ16" s="260"/>
      <c r="AR16" s="271"/>
      <c r="AS16" s="48"/>
      <c r="AT16" s="48"/>
      <c r="AU16" s="235"/>
      <c r="AV16" s="239"/>
      <c r="AW16" s="49"/>
      <c r="AX16" s="49"/>
      <c r="AY16" s="49"/>
      <c r="AZ16" s="49"/>
      <c r="BA16" s="49"/>
      <c r="BB16" s="49"/>
      <c r="BC16" s="49"/>
      <c r="BD16" s="49"/>
      <c r="BE16" s="49"/>
      <c r="BF16" s="49"/>
      <c r="BG16" s="49"/>
      <c r="BH16" s="49"/>
      <c r="BI16" s="49"/>
      <c r="BJ16" s="49"/>
      <c r="BK16" s="49"/>
      <c r="BL16" s="260"/>
      <c r="BM16" s="276"/>
      <c r="BN16" s="49"/>
      <c r="BO16" s="49"/>
      <c r="BP16" s="249"/>
      <c r="BQ16" s="254"/>
      <c r="BR16" s="49"/>
      <c r="BS16" s="49"/>
      <c r="BT16" s="49"/>
      <c r="BU16" s="49"/>
      <c r="BV16" s="49"/>
      <c r="BW16" s="49"/>
      <c r="BX16" s="49"/>
      <c r="BY16" s="49"/>
      <c r="BZ16" s="49"/>
      <c r="CA16" s="49"/>
      <c r="CB16" s="49"/>
      <c r="CC16" s="49"/>
      <c r="CD16" s="49"/>
      <c r="CE16" s="49"/>
      <c r="CF16" s="49"/>
      <c r="CG16" s="260"/>
      <c r="CH16" s="276"/>
      <c r="CI16" s="49"/>
      <c r="CJ16" s="49"/>
      <c r="CK16" s="249"/>
      <c r="CL16" s="53"/>
      <c r="CM16" s="53"/>
      <c r="CN16" s="53"/>
      <c r="CO16" s="53"/>
      <c r="CP16" s="53"/>
      <c r="CQ16" s="80"/>
      <c r="CR16" s="53"/>
      <c r="CS16" s="54"/>
      <c r="CT16" s="84"/>
      <c r="CU16" s="53"/>
      <c r="CV16" s="66"/>
      <c r="CW16" s="49"/>
      <c r="CX16" s="49"/>
      <c r="CY16" s="49"/>
      <c r="CZ16" s="49"/>
      <c r="DA16" s="49"/>
      <c r="DB16" s="260"/>
      <c r="DC16" s="276"/>
      <c r="DD16" s="49"/>
      <c r="DE16" s="49"/>
      <c r="DF16" s="249"/>
      <c r="DG16" s="254"/>
      <c r="DH16" s="49"/>
      <c r="DI16" s="49"/>
      <c r="DJ16" s="49"/>
      <c r="DK16" s="49"/>
      <c r="DL16" s="49"/>
      <c r="DM16" s="49"/>
      <c r="DN16" s="49"/>
      <c r="DO16" s="49"/>
      <c r="DP16" s="49"/>
      <c r="DQ16" s="49"/>
      <c r="DR16" s="49"/>
      <c r="DS16" s="49"/>
      <c r="DT16" s="49"/>
      <c r="DU16" s="49"/>
      <c r="DV16" s="49"/>
      <c r="DW16" s="260"/>
      <c r="DX16" s="276"/>
      <c r="DY16" s="49"/>
      <c r="DZ16" s="49"/>
      <c r="EA16" s="249"/>
      <c r="EB16" s="53"/>
      <c r="EC16" s="53"/>
      <c r="ED16" s="53"/>
      <c r="EE16" s="53"/>
      <c r="EF16" s="53"/>
      <c r="EG16" s="80"/>
      <c r="EH16" s="53"/>
      <c r="EI16" s="54"/>
      <c r="EJ16" s="84"/>
      <c r="EK16" s="53"/>
      <c r="EL16" s="66"/>
      <c r="EM16" s="49"/>
      <c r="EN16" s="49"/>
      <c r="EO16" s="49"/>
      <c r="EP16" s="49"/>
      <c r="EQ16" s="49"/>
      <c r="ER16" s="260"/>
      <c r="ES16" s="276"/>
      <c r="ET16" s="49"/>
      <c r="EU16" s="49"/>
      <c r="EV16" s="249"/>
      <c r="EW16" s="254"/>
      <c r="EX16" s="49"/>
      <c r="EY16" s="49"/>
      <c r="EZ16" s="49"/>
      <c r="FA16" s="49"/>
      <c r="FB16" s="49"/>
      <c r="FC16" s="49"/>
      <c r="FD16" s="49"/>
      <c r="FE16" s="49"/>
      <c r="FF16" s="49"/>
      <c r="FG16" s="49"/>
      <c r="FH16" s="49"/>
      <c r="FI16" s="49"/>
      <c r="FJ16" s="49"/>
      <c r="FK16" s="49"/>
      <c r="FL16" s="49"/>
      <c r="FM16" s="260"/>
      <c r="FN16" s="276"/>
      <c r="FO16" s="49"/>
      <c r="FP16" s="49"/>
      <c r="FQ16" s="249"/>
      <c r="FR16" s="53"/>
      <c r="FS16" s="53"/>
      <c r="FT16" s="53"/>
      <c r="FU16" s="53"/>
      <c r="FV16" s="53"/>
      <c r="FW16" s="80"/>
      <c r="FX16" s="53"/>
      <c r="FY16" s="54"/>
      <c r="FZ16" s="84"/>
      <c r="GA16" s="53"/>
      <c r="GB16" s="66"/>
      <c r="GC16" s="49"/>
      <c r="GD16" s="49"/>
      <c r="GE16" s="49"/>
      <c r="GF16" s="49"/>
      <c r="GG16" s="49"/>
      <c r="GH16" s="260"/>
      <c r="GI16" s="276"/>
      <c r="GJ16" s="49"/>
      <c r="GK16" s="49"/>
      <c r="GL16" s="249"/>
      <c r="GM16" s="254"/>
      <c r="GN16" s="49"/>
      <c r="GO16" s="49"/>
      <c r="GP16" s="49"/>
      <c r="GQ16" s="49"/>
      <c r="GR16" s="49"/>
      <c r="GS16" s="49"/>
      <c r="GT16" s="49"/>
      <c r="GU16" s="49"/>
      <c r="GV16" s="49"/>
      <c r="GW16" s="49"/>
      <c r="GX16" s="49"/>
      <c r="GY16" s="49"/>
      <c r="GZ16" s="49"/>
      <c r="HA16" s="49"/>
      <c r="HB16" s="49"/>
      <c r="HC16" s="260"/>
      <c r="HD16" s="276"/>
      <c r="HE16" s="49"/>
      <c r="HF16" s="49"/>
      <c r="HG16" s="249"/>
      <c r="HH16" s="254"/>
      <c r="HI16" s="49"/>
      <c r="HJ16" s="49"/>
      <c r="HK16" s="49"/>
      <c r="HL16" s="49"/>
      <c r="HM16" s="49"/>
      <c r="HN16" s="49"/>
      <c r="HO16" s="49"/>
      <c r="HP16" s="49"/>
      <c r="HQ16" s="49"/>
      <c r="HR16" s="49"/>
      <c r="HS16" s="49"/>
      <c r="HT16" s="49"/>
      <c r="HU16" s="49"/>
      <c r="HV16" s="49"/>
      <c r="HW16" s="49"/>
      <c r="HX16" s="260"/>
      <c r="HY16" s="276"/>
      <c r="HZ16" s="49"/>
      <c r="IA16" s="49"/>
      <c r="IB16" s="249"/>
      <c r="IC16" s="254"/>
      <c r="ID16" s="49"/>
      <c r="IE16" s="49"/>
      <c r="IF16" s="49"/>
      <c r="IG16" s="49"/>
      <c r="IH16" s="49"/>
      <c r="II16" s="49"/>
      <c r="IJ16" s="49"/>
      <c r="IK16" s="49"/>
      <c r="IL16" s="49"/>
      <c r="IM16" s="49"/>
      <c r="IN16" s="49"/>
      <c r="IO16" s="49"/>
      <c r="IP16" s="49"/>
      <c r="IQ16" s="49"/>
      <c r="IR16" s="49"/>
      <c r="IS16" s="260"/>
      <c r="IT16" s="276"/>
      <c r="IU16" s="49"/>
      <c r="IV16" s="49"/>
      <c r="IW16" s="249"/>
      <c r="IX16" s="254"/>
      <c r="IY16" s="49"/>
      <c r="IZ16" s="49"/>
      <c r="JA16" s="49"/>
      <c r="JB16" s="49"/>
      <c r="JC16" s="49"/>
      <c r="JD16" s="49"/>
      <c r="JE16" s="49"/>
      <c r="JF16" s="49"/>
      <c r="JG16" s="49"/>
      <c r="JH16" s="49"/>
      <c r="JI16" s="49"/>
      <c r="JJ16" s="49"/>
      <c r="JK16" s="49"/>
      <c r="JL16" s="49"/>
      <c r="JM16" s="49"/>
      <c r="JN16" s="260"/>
      <c r="JO16" s="276"/>
      <c r="JP16" s="49"/>
      <c r="JQ16" s="49"/>
      <c r="JR16" s="249"/>
      <c r="JS16" s="254"/>
      <c r="JT16" s="49"/>
      <c r="JU16" s="49"/>
      <c r="JV16" s="49"/>
      <c r="JW16" s="49"/>
      <c r="JX16" s="49"/>
      <c r="JY16" s="49"/>
      <c r="JZ16" s="49"/>
      <c r="KA16" s="49"/>
      <c r="KB16" s="49"/>
      <c r="KC16" s="49"/>
      <c r="KD16" s="49"/>
      <c r="KE16" s="49"/>
      <c r="KF16" s="49"/>
      <c r="KG16" s="49"/>
      <c r="KH16" s="49"/>
      <c r="KI16" s="260"/>
      <c r="KJ16" s="276"/>
      <c r="KK16" s="49"/>
      <c r="KL16" s="49"/>
      <c r="KM16" s="249"/>
      <c r="KN16" s="254"/>
      <c r="KO16" s="49"/>
      <c r="KP16" s="49"/>
      <c r="KQ16" s="49"/>
      <c r="KR16" s="49"/>
      <c r="KS16" s="49"/>
      <c r="KT16" s="49"/>
      <c r="KU16" s="49"/>
      <c r="KV16" s="49"/>
      <c r="KW16" s="49"/>
      <c r="KX16" s="49"/>
      <c r="KY16" s="49"/>
      <c r="KZ16" s="49"/>
      <c r="LA16" s="49"/>
      <c r="LB16" s="49"/>
      <c r="LC16" s="49"/>
      <c r="LD16" s="260"/>
      <c r="LE16" s="276"/>
      <c r="LF16" s="49"/>
      <c r="LG16" s="49"/>
      <c r="LH16" s="249"/>
      <c r="LI16" s="254"/>
      <c r="LJ16" s="49"/>
      <c r="LK16" s="49"/>
      <c r="LL16" s="49"/>
      <c r="LM16" s="49"/>
      <c r="LN16" s="49"/>
      <c r="LO16" s="49"/>
      <c r="LP16" s="49"/>
      <c r="LQ16" s="49"/>
      <c r="LR16" s="49"/>
      <c r="LS16" s="49"/>
      <c r="LT16" s="49"/>
      <c r="LU16" s="49"/>
      <c r="LV16" s="49"/>
      <c r="LW16" s="49"/>
      <c r="LX16" s="49"/>
      <c r="LY16" s="260"/>
      <c r="LZ16" s="276"/>
      <c r="MA16" s="49"/>
      <c r="MB16" s="49"/>
      <c r="MC16" s="249"/>
      <c r="MD16" s="254"/>
      <c r="ME16" s="49"/>
      <c r="MF16" s="49"/>
      <c r="MG16" s="49"/>
      <c r="MH16" s="49"/>
      <c r="MI16" s="49"/>
      <c r="MJ16" s="49"/>
      <c r="MK16" s="49"/>
      <c r="ML16" s="49"/>
      <c r="MM16" s="49"/>
      <c r="MN16" s="49"/>
      <c r="MO16" s="49"/>
      <c r="MP16" s="49"/>
      <c r="MQ16" s="49"/>
      <c r="MR16" s="49"/>
      <c r="MS16" s="49"/>
      <c r="MT16" s="260"/>
      <c r="MU16" s="276"/>
      <c r="MV16" s="49"/>
      <c r="MW16" s="49"/>
      <c r="MX16" s="249"/>
      <c r="MY16" s="254"/>
      <c r="MZ16" s="49"/>
      <c r="NA16" s="49"/>
      <c r="NB16" s="49"/>
      <c r="NC16" s="49"/>
      <c r="ND16" s="49"/>
      <c r="NE16" s="49"/>
      <c r="NF16" s="49"/>
      <c r="NG16" s="49"/>
      <c r="NH16" s="49"/>
      <c r="NI16" s="49"/>
      <c r="NJ16" s="49"/>
      <c r="NK16" s="49"/>
      <c r="NL16" s="49"/>
      <c r="NM16" s="49"/>
      <c r="NN16" s="49"/>
      <c r="NO16" s="260"/>
      <c r="NP16" s="276"/>
      <c r="NQ16" s="49"/>
      <c r="NR16" s="49"/>
      <c r="NS16" s="249"/>
      <c r="NT16" s="254"/>
      <c r="NU16" s="49"/>
      <c r="NV16" s="49"/>
      <c r="NW16" s="49"/>
      <c r="NX16" s="49"/>
      <c r="NY16" s="49"/>
      <c r="NZ16" s="49"/>
      <c r="OA16" s="49"/>
      <c r="OB16" s="49"/>
      <c r="OC16" s="49"/>
      <c r="OD16" s="49"/>
      <c r="OE16" s="49"/>
      <c r="OF16" s="49"/>
      <c r="OG16" s="49"/>
      <c r="OH16" s="49"/>
      <c r="OI16" s="49"/>
      <c r="OJ16" s="260"/>
      <c r="OK16" s="276"/>
      <c r="OL16" s="49"/>
      <c r="OM16" s="49"/>
      <c r="ON16" s="249"/>
      <c r="OO16" s="254"/>
      <c r="OP16" s="49"/>
      <c r="OQ16" s="49"/>
      <c r="OR16" s="49"/>
      <c r="OS16" s="49"/>
      <c r="OT16" s="49"/>
      <c r="OU16" s="49"/>
      <c r="OV16" s="49"/>
      <c r="OW16" s="49"/>
      <c r="OX16" s="49"/>
      <c r="OY16" s="49"/>
      <c r="OZ16" s="49"/>
      <c r="PA16" s="49"/>
      <c r="PB16" s="49"/>
      <c r="PC16" s="49"/>
      <c r="PD16" s="49"/>
      <c r="PE16" s="260"/>
      <c r="PF16" s="276"/>
      <c r="PG16" s="49"/>
      <c r="PH16" s="49"/>
      <c r="PI16" s="249"/>
      <c r="PJ16" s="254"/>
      <c r="PK16" s="49"/>
      <c r="PL16" s="49"/>
      <c r="PM16" s="49"/>
      <c r="PN16" s="49"/>
      <c r="PO16" s="49"/>
      <c r="PP16" s="49"/>
      <c r="PQ16" s="49"/>
      <c r="PR16" s="49"/>
      <c r="PS16" s="49"/>
      <c r="PT16" s="49"/>
      <c r="PU16" s="49"/>
      <c r="PV16" s="49"/>
      <c r="PW16" s="49"/>
      <c r="PX16" s="49"/>
      <c r="PY16" s="49"/>
      <c r="PZ16" s="260"/>
      <c r="QA16" s="276"/>
      <c r="QB16" s="49"/>
      <c r="QC16" s="49"/>
      <c r="QD16" s="249"/>
      <c r="QE16" s="254"/>
      <c r="QF16" s="49"/>
      <c r="QG16" s="49"/>
      <c r="QH16" s="49"/>
      <c r="QI16" s="49"/>
      <c r="QJ16" s="49"/>
      <c r="QK16" s="49"/>
      <c r="QL16" s="49"/>
      <c r="QM16" s="49"/>
      <c r="QN16" s="49"/>
      <c r="QO16" s="49"/>
      <c r="QP16" s="49"/>
      <c r="QQ16" s="49"/>
      <c r="QR16" s="49"/>
      <c r="QS16" s="49"/>
      <c r="QT16" s="49"/>
      <c r="QU16" s="260"/>
      <c r="QV16" s="276"/>
      <c r="QW16" s="49"/>
      <c r="QX16" s="49"/>
      <c r="QY16" s="249"/>
      <c r="QZ16" s="254"/>
      <c r="RA16" s="49"/>
      <c r="RB16" s="49"/>
      <c r="RC16" s="49"/>
      <c r="RD16" s="49"/>
      <c r="RE16" s="49"/>
      <c r="RF16" s="49"/>
      <c r="RG16" s="49"/>
      <c r="RH16" s="49"/>
      <c r="RI16" s="49"/>
      <c r="RJ16" s="49"/>
      <c r="RK16" s="49"/>
      <c r="RL16" s="49"/>
      <c r="RM16" s="49"/>
      <c r="RN16" s="49"/>
      <c r="RO16" s="49"/>
      <c r="RP16" s="260"/>
      <c r="RQ16" s="276"/>
      <c r="RR16" s="49"/>
      <c r="RS16" s="49"/>
      <c r="RT16" s="249"/>
      <c r="RU16" s="254"/>
      <c r="RV16" s="49"/>
      <c r="RW16" s="49"/>
      <c r="RX16" s="49"/>
      <c r="RY16" s="49"/>
      <c r="RZ16" s="49"/>
      <c r="SA16" s="49"/>
      <c r="SB16" s="49"/>
      <c r="SC16" s="49"/>
      <c r="SD16" s="49"/>
      <c r="SE16" s="49"/>
      <c r="SF16" s="49"/>
      <c r="SG16" s="49"/>
      <c r="SH16" s="49"/>
      <c r="SI16" s="49"/>
      <c r="SJ16" s="49"/>
      <c r="SK16" s="260"/>
      <c r="SL16" s="276"/>
      <c r="SM16" s="49"/>
      <c r="SN16" s="49"/>
      <c r="SO16" s="249"/>
      <c r="SP16" s="254"/>
      <c r="SQ16" s="49"/>
      <c r="SR16" s="49"/>
      <c r="SS16" s="49"/>
      <c r="ST16" s="49"/>
      <c r="SU16" s="49"/>
      <c r="SV16" s="49"/>
      <c r="SW16" s="49"/>
      <c r="SX16" s="49"/>
      <c r="SY16" s="49"/>
      <c r="SZ16" s="49"/>
      <c r="TA16" s="49"/>
      <c r="TB16" s="49"/>
      <c r="TC16" s="49"/>
      <c r="TD16" s="49"/>
      <c r="TE16" s="49"/>
      <c r="TF16" s="260"/>
      <c r="TG16" s="276"/>
      <c r="TH16" s="49"/>
      <c r="TI16" s="49"/>
      <c r="TJ16" s="249"/>
      <c r="TK16" s="254"/>
      <c r="TL16" s="49"/>
      <c r="TM16" s="49"/>
      <c r="TN16" s="49"/>
      <c r="TO16" s="49"/>
      <c r="TP16" s="49"/>
      <c r="TQ16" s="49"/>
      <c r="TR16" s="49"/>
      <c r="TS16" s="49"/>
      <c r="TT16" s="49"/>
      <c r="TU16" s="49"/>
      <c r="TV16" s="49"/>
      <c r="TW16" s="49"/>
      <c r="TX16" s="49"/>
      <c r="TY16" s="49"/>
      <c r="TZ16" s="49"/>
      <c r="UA16" s="260"/>
      <c r="UB16" s="276"/>
      <c r="UC16" s="49"/>
      <c r="UD16" s="49"/>
      <c r="UE16" s="249"/>
      <c r="UF16" s="254"/>
      <c r="UG16" s="49"/>
      <c r="UH16" s="49"/>
      <c r="UI16" s="49"/>
      <c r="UJ16" s="49"/>
      <c r="UK16" s="49"/>
      <c r="UL16" s="49"/>
      <c r="UM16" s="49"/>
      <c r="UN16" s="49"/>
      <c r="UO16" s="49"/>
      <c r="UP16" s="49"/>
      <c r="UQ16" s="49"/>
      <c r="UR16" s="49"/>
      <c r="US16" s="49"/>
      <c r="UT16" s="49"/>
      <c r="UU16" s="49"/>
      <c r="UV16" s="260"/>
      <c r="UW16" s="276"/>
      <c r="UX16" s="49"/>
      <c r="UY16" s="49"/>
      <c r="UZ16" s="249"/>
      <c r="VA16" s="254"/>
      <c r="VB16" s="49"/>
      <c r="VC16" s="49"/>
      <c r="VD16" s="49"/>
      <c r="VE16" s="49"/>
      <c r="VF16" s="49"/>
      <c r="VG16" s="49"/>
      <c r="VH16" s="49"/>
      <c r="VI16" s="49"/>
      <c r="VJ16" s="49"/>
      <c r="VK16" s="49"/>
      <c r="VL16" s="49"/>
      <c r="VM16" s="49"/>
      <c r="VN16" s="49"/>
      <c r="VO16" s="49"/>
      <c r="VP16" s="49"/>
      <c r="VQ16" s="260"/>
      <c r="VR16" s="276"/>
      <c r="VS16" s="49"/>
      <c r="VT16" s="49"/>
      <c r="VU16" s="249"/>
      <c r="VV16" s="254"/>
      <c r="VW16" s="49"/>
      <c r="VX16" s="49"/>
      <c r="VY16" s="49"/>
      <c r="VZ16" s="49"/>
      <c r="WA16" s="49"/>
      <c r="WB16" s="49"/>
      <c r="WC16" s="49"/>
      <c r="WD16" s="49"/>
      <c r="WE16" s="49"/>
      <c r="WF16" s="49"/>
      <c r="WG16" s="49"/>
      <c r="WH16" s="49"/>
      <c r="WI16" s="49"/>
      <c r="WJ16" s="49"/>
      <c r="WK16" s="49"/>
      <c r="WL16" s="260"/>
      <c r="WM16" s="276"/>
      <c r="WN16" s="49"/>
      <c r="WO16" s="49"/>
      <c r="WP16" s="249"/>
      <c r="WQ16" s="254"/>
      <c r="WR16" s="49"/>
      <c r="WS16" s="49"/>
      <c r="WT16" s="49"/>
      <c r="WU16" s="49"/>
      <c r="WV16" s="49"/>
      <c r="WW16" s="49"/>
      <c r="WX16" s="49"/>
      <c r="WY16" s="49"/>
      <c r="WZ16" s="49"/>
      <c r="XA16" s="49"/>
      <c r="XB16" s="49"/>
      <c r="XC16" s="49"/>
      <c r="XD16" s="49"/>
      <c r="XE16" s="49"/>
      <c r="XF16" s="49"/>
      <c r="XG16" s="260"/>
      <c r="XH16" s="276"/>
      <c r="XI16" s="49"/>
      <c r="XJ16" s="49"/>
      <c r="XK16" s="249"/>
      <c r="XL16" s="254"/>
      <c r="XM16" s="49"/>
      <c r="XN16" s="49"/>
      <c r="XO16" s="49"/>
      <c r="XP16" s="49"/>
      <c r="XQ16" s="49"/>
      <c r="XR16" s="49"/>
      <c r="XS16" s="49"/>
      <c r="XT16" s="49"/>
      <c r="XU16" s="49"/>
      <c r="XV16" s="49"/>
      <c r="XW16" s="49"/>
      <c r="XX16" s="49"/>
      <c r="XY16" s="49"/>
      <c r="XZ16" s="49"/>
      <c r="YA16" s="49"/>
      <c r="YB16" s="260"/>
    </row>
    <row r="17" spans="1:652" x14ac:dyDescent="0.3">
      <c r="A17" s="224" t="s">
        <v>154</v>
      </c>
      <c r="B17" s="270"/>
      <c r="C17" s="10"/>
      <c r="D17" s="10"/>
      <c r="E17" s="234"/>
      <c r="F17" s="238">
        <v>1</v>
      </c>
      <c r="G17" s="125"/>
      <c r="H17" s="125" t="s">
        <v>626</v>
      </c>
      <c r="I17" s="12" t="s">
        <v>627</v>
      </c>
      <c r="J17" s="11" t="s">
        <v>628</v>
      </c>
      <c r="K17" s="12" t="s">
        <v>575</v>
      </c>
      <c r="L17" s="11">
        <v>39.22</v>
      </c>
      <c r="M17" s="12" t="s">
        <v>573</v>
      </c>
      <c r="N17" s="11" t="s">
        <v>568</v>
      </c>
      <c r="O17" s="13">
        <v>39639</v>
      </c>
      <c r="P17" s="11" t="s">
        <v>629</v>
      </c>
      <c r="Q17" s="11"/>
      <c r="R17" s="11"/>
      <c r="S17" s="11"/>
      <c r="T17" s="11"/>
      <c r="U17" s="11"/>
      <c r="V17" s="259"/>
      <c r="W17" s="275"/>
      <c r="X17" s="11"/>
      <c r="Y17" s="11"/>
      <c r="Z17" s="248"/>
      <c r="AA17" s="253">
        <v>1</v>
      </c>
      <c r="AB17" s="125"/>
      <c r="AC17" s="125" t="s">
        <v>626</v>
      </c>
      <c r="AD17" s="12" t="s">
        <v>627</v>
      </c>
      <c r="AE17" s="11" t="s">
        <v>630</v>
      </c>
      <c r="AF17" s="12" t="s">
        <v>575</v>
      </c>
      <c r="AG17" s="11">
        <v>39.22</v>
      </c>
      <c r="AH17" s="12" t="s">
        <v>573</v>
      </c>
      <c r="AI17" s="11" t="s">
        <v>568</v>
      </c>
      <c r="AJ17" s="13">
        <v>39639</v>
      </c>
      <c r="AK17" s="11" t="s">
        <v>629</v>
      </c>
      <c r="AL17" s="11"/>
      <c r="AM17" s="11"/>
      <c r="AN17" s="11"/>
      <c r="AO17" s="11"/>
      <c r="AP17" s="11"/>
      <c r="AQ17" s="259"/>
      <c r="AR17" s="270"/>
      <c r="AS17" s="10"/>
      <c r="AT17" s="10"/>
      <c r="AU17" s="234"/>
      <c r="AV17" s="238">
        <v>1</v>
      </c>
      <c r="AW17" s="125"/>
      <c r="AX17" s="125" t="s">
        <v>626</v>
      </c>
      <c r="AY17" s="12" t="s">
        <v>631</v>
      </c>
      <c r="AZ17" s="11" t="s">
        <v>632</v>
      </c>
      <c r="BA17" s="12" t="s">
        <v>572</v>
      </c>
      <c r="BB17" s="11">
        <v>34.61</v>
      </c>
      <c r="BC17" s="12" t="s">
        <v>573</v>
      </c>
      <c r="BD17" s="11" t="s">
        <v>568</v>
      </c>
      <c r="BE17" s="13">
        <v>42151</v>
      </c>
      <c r="BF17" s="11" t="s">
        <v>633</v>
      </c>
      <c r="BG17" s="11"/>
      <c r="BH17" s="11"/>
      <c r="BI17" s="11"/>
      <c r="BJ17" s="11"/>
      <c r="BK17" s="11"/>
      <c r="BL17" s="259"/>
      <c r="BM17" s="275"/>
      <c r="BN17" s="11"/>
      <c r="BO17" s="11"/>
      <c r="BP17" s="248"/>
      <c r="BQ17" s="253">
        <v>1</v>
      </c>
      <c r="BR17" s="125"/>
      <c r="BS17" s="125" t="s">
        <v>626</v>
      </c>
      <c r="BT17" s="12" t="s">
        <v>631</v>
      </c>
      <c r="BU17" s="11" t="s">
        <v>634</v>
      </c>
      <c r="BV17" s="12" t="s">
        <v>572</v>
      </c>
      <c r="BW17" s="11">
        <v>34.04</v>
      </c>
      <c r="BX17" s="12" t="s">
        <v>573</v>
      </c>
      <c r="BY17" s="11" t="s">
        <v>568</v>
      </c>
      <c r="BZ17" s="13">
        <v>42195</v>
      </c>
      <c r="CA17" s="11" t="s">
        <v>633</v>
      </c>
      <c r="CB17" s="11"/>
      <c r="CC17" s="11"/>
      <c r="CD17" s="11"/>
      <c r="CE17" s="11"/>
      <c r="CF17" s="11"/>
      <c r="CG17" s="259"/>
      <c r="CH17" s="275"/>
      <c r="CI17" s="11"/>
      <c r="CJ17" s="11"/>
      <c r="CK17" s="248"/>
      <c r="CL17" s="45"/>
      <c r="CM17" s="45"/>
      <c r="CN17" s="45"/>
      <c r="CO17" s="45"/>
      <c r="CP17" s="45"/>
      <c r="CQ17" s="79"/>
      <c r="CR17" s="45"/>
      <c r="CS17" s="37"/>
      <c r="CT17" s="86"/>
      <c r="CU17" s="45"/>
      <c r="CV17" s="10"/>
      <c r="CW17" s="11"/>
      <c r="CX17" s="11"/>
      <c r="CY17" s="11"/>
      <c r="CZ17" s="11"/>
      <c r="DA17" s="11"/>
      <c r="DB17" s="259"/>
      <c r="DC17" s="275"/>
      <c r="DD17" s="11"/>
      <c r="DE17" s="11"/>
      <c r="DF17" s="248"/>
      <c r="DG17" s="253"/>
      <c r="DH17" s="125"/>
      <c r="DI17" s="125"/>
      <c r="DJ17" s="12"/>
      <c r="DK17" s="11"/>
      <c r="DL17" s="12"/>
      <c r="DM17" s="11"/>
      <c r="DN17" s="12"/>
      <c r="DO17" s="11"/>
      <c r="DP17" s="13"/>
      <c r="DQ17" s="11"/>
      <c r="DR17" s="11"/>
      <c r="DS17" s="11"/>
      <c r="DT17" s="11"/>
      <c r="DU17" s="11"/>
      <c r="DV17" s="11"/>
      <c r="DW17" s="259"/>
      <c r="DX17" s="275"/>
      <c r="DY17" s="11"/>
      <c r="DZ17" s="11"/>
      <c r="EA17" s="248"/>
      <c r="EB17" s="45"/>
      <c r="EC17" s="45"/>
      <c r="ED17" s="45"/>
      <c r="EE17" s="45"/>
      <c r="EF17" s="45"/>
      <c r="EG17" s="79"/>
      <c r="EH17" s="45"/>
      <c r="EI17" s="37"/>
      <c r="EJ17" s="86"/>
      <c r="EK17" s="45"/>
      <c r="EL17" s="10"/>
      <c r="EM17" s="11"/>
      <c r="EN17" s="11"/>
      <c r="EO17" s="11"/>
      <c r="EP17" s="11"/>
      <c r="EQ17" s="11"/>
      <c r="ER17" s="259"/>
      <c r="ES17" s="275"/>
      <c r="ET17" s="11"/>
      <c r="EU17" s="11"/>
      <c r="EV17" s="248"/>
      <c r="EW17" s="253"/>
      <c r="EX17" s="125"/>
      <c r="EY17" s="125"/>
      <c r="EZ17" s="12"/>
      <c r="FA17" s="11"/>
      <c r="FB17" s="12"/>
      <c r="FC17" s="11"/>
      <c r="FD17" s="12"/>
      <c r="FE17" s="11"/>
      <c r="FF17" s="13"/>
      <c r="FG17" s="11"/>
      <c r="FH17" s="11"/>
      <c r="FI17" s="11"/>
      <c r="FJ17" s="11"/>
      <c r="FK17" s="11"/>
      <c r="FL17" s="11"/>
      <c r="FM17" s="259"/>
      <c r="FN17" s="275"/>
      <c r="FO17" s="11"/>
      <c r="FP17" s="11"/>
      <c r="FQ17" s="248"/>
      <c r="FR17" s="45"/>
      <c r="FS17" s="45"/>
      <c r="FT17" s="45"/>
      <c r="FU17" s="45"/>
      <c r="FV17" s="45"/>
      <c r="FW17" s="79"/>
      <c r="FX17" s="45"/>
      <c r="FY17" s="37"/>
      <c r="FZ17" s="86"/>
      <c r="GA17" s="45"/>
      <c r="GB17" s="10"/>
      <c r="GC17" s="11"/>
      <c r="GD17" s="11"/>
      <c r="GE17" s="11"/>
      <c r="GF17" s="11"/>
      <c r="GG17" s="11"/>
      <c r="GH17" s="259"/>
      <c r="GI17" s="275"/>
      <c r="GJ17" s="11"/>
      <c r="GK17" s="11"/>
      <c r="GL17" s="248"/>
      <c r="GM17" s="253"/>
      <c r="GN17" s="125"/>
      <c r="GO17" s="125"/>
      <c r="GP17" s="12"/>
      <c r="GQ17" s="11"/>
      <c r="GR17" s="12"/>
      <c r="GS17" s="11"/>
      <c r="GT17" s="12"/>
      <c r="GU17" s="11"/>
      <c r="GV17" s="13"/>
      <c r="GW17" s="11"/>
      <c r="GX17" s="11"/>
      <c r="GY17" s="11"/>
      <c r="GZ17" s="11"/>
      <c r="HA17" s="11"/>
      <c r="HB17" s="11"/>
      <c r="HC17" s="259"/>
      <c r="HD17" s="275"/>
      <c r="HE17" s="11"/>
      <c r="HF17" s="11"/>
      <c r="HG17" s="248"/>
      <c r="HH17" s="253"/>
      <c r="HI17" s="125"/>
      <c r="HJ17" s="125"/>
      <c r="HK17" s="12"/>
      <c r="HL17" s="11"/>
      <c r="HM17" s="12"/>
      <c r="HN17" s="11"/>
      <c r="HO17" s="12"/>
      <c r="HP17" s="11"/>
      <c r="HQ17" s="13"/>
      <c r="HR17" s="11"/>
      <c r="HS17" s="11"/>
      <c r="HT17" s="11"/>
      <c r="HU17" s="11"/>
      <c r="HV17" s="11"/>
      <c r="HW17" s="11"/>
      <c r="HX17" s="259"/>
      <c r="HY17" s="275"/>
      <c r="HZ17" s="11"/>
      <c r="IA17" s="11"/>
      <c r="IB17" s="248"/>
      <c r="IC17" s="253"/>
      <c r="ID17" s="125"/>
      <c r="IE17" s="125"/>
      <c r="IF17" s="12"/>
      <c r="IG17" s="11"/>
      <c r="IH17" s="12"/>
      <c r="II17" s="11"/>
      <c r="IJ17" s="12"/>
      <c r="IK17" s="11"/>
      <c r="IL17" s="13"/>
      <c r="IM17" s="11"/>
      <c r="IN17" s="11"/>
      <c r="IO17" s="11"/>
      <c r="IP17" s="11"/>
      <c r="IQ17" s="11"/>
      <c r="IR17" s="11"/>
      <c r="IS17" s="259"/>
      <c r="IT17" s="275"/>
      <c r="IU17" s="11"/>
      <c r="IV17" s="11"/>
      <c r="IW17" s="248"/>
      <c r="IX17" s="253"/>
      <c r="IY17" s="125"/>
      <c r="IZ17" s="125"/>
      <c r="JA17" s="12"/>
      <c r="JB17" s="11"/>
      <c r="JC17" s="12"/>
      <c r="JD17" s="11"/>
      <c r="JE17" s="12"/>
      <c r="JF17" s="11"/>
      <c r="JG17" s="13"/>
      <c r="JH17" s="11"/>
      <c r="JI17" s="11"/>
      <c r="JJ17" s="11"/>
      <c r="JK17" s="11"/>
      <c r="JL17" s="11"/>
      <c r="JM17" s="11"/>
      <c r="JN17" s="259"/>
      <c r="JO17" s="275"/>
      <c r="JP17" s="11"/>
      <c r="JQ17" s="11"/>
      <c r="JR17" s="248"/>
      <c r="JS17" s="253"/>
      <c r="JT17" s="125"/>
      <c r="JU17" s="125"/>
      <c r="JV17" s="12"/>
      <c r="JW17" s="11"/>
      <c r="JX17" s="12"/>
      <c r="JY17" s="11"/>
      <c r="JZ17" s="12"/>
      <c r="KA17" s="11"/>
      <c r="KB17" s="13"/>
      <c r="KC17" s="11"/>
      <c r="KD17" s="11"/>
      <c r="KE17" s="11"/>
      <c r="KF17" s="11"/>
      <c r="KG17" s="11"/>
      <c r="KH17" s="11"/>
      <c r="KI17" s="259"/>
      <c r="KJ17" s="275"/>
      <c r="KK17" s="11"/>
      <c r="KL17" s="11"/>
      <c r="KM17" s="248"/>
      <c r="KN17" s="253"/>
      <c r="KO17" s="125"/>
      <c r="KP17" s="125"/>
      <c r="KQ17" s="12"/>
      <c r="KR17" s="11"/>
      <c r="KS17" s="12"/>
      <c r="KT17" s="11"/>
      <c r="KU17" s="12"/>
      <c r="KV17" s="11"/>
      <c r="KW17" s="13"/>
      <c r="KX17" s="11"/>
      <c r="KY17" s="11"/>
      <c r="KZ17" s="11"/>
      <c r="LA17" s="11"/>
      <c r="LB17" s="11"/>
      <c r="LC17" s="11"/>
      <c r="LD17" s="259"/>
      <c r="LE17" s="275"/>
      <c r="LF17" s="11"/>
      <c r="LG17" s="11"/>
      <c r="LH17" s="248"/>
      <c r="LI17" s="253"/>
      <c r="LJ17" s="125"/>
      <c r="LK17" s="125"/>
      <c r="LL17" s="12"/>
      <c r="LM17" s="11"/>
      <c r="LN17" s="12"/>
      <c r="LO17" s="11"/>
      <c r="LP17" s="12"/>
      <c r="LQ17" s="11"/>
      <c r="LR17" s="13"/>
      <c r="LS17" s="11"/>
      <c r="LT17" s="11"/>
      <c r="LU17" s="11"/>
      <c r="LV17" s="11"/>
      <c r="LW17" s="11"/>
      <c r="LX17" s="11"/>
      <c r="LY17" s="259"/>
      <c r="LZ17" s="275"/>
      <c r="MA17" s="11"/>
      <c r="MB17" s="11"/>
      <c r="MC17" s="248"/>
      <c r="MD17" s="253"/>
      <c r="ME17" s="125"/>
      <c r="MF17" s="125"/>
      <c r="MG17" s="12"/>
      <c r="MH17" s="11"/>
      <c r="MI17" s="12"/>
      <c r="MJ17" s="11"/>
      <c r="MK17" s="12"/>
      <c r="ML17" s="11"/>
      <c r="MM17" s="13"/>
      <c r="MN17" s="11"/>
      <c r="MO17" s="11"/>
      <c r="MP17" s="11"/>
      <c r="MQ17" s="11"/>
      <c r="MR17" s="11"/>
      <c r="MS17" s="11"/>
      <c r="MT17" s="259"/>
      <c r="MU17" s="275"/>
      <c r="MV17" s="11"/>
      <c r="MW17" s="11"/>
      <c r="MX17" s="248"/>
      <c r="MY17" s="253"/>
      <c r="MZ17" s="125"/>
      <c r="NA17" s="125"/>
      <c r="NB17" s="12"/>
      <c r="NC17" s="11"/>
      <c r="ND17" s="12"/>
      <c r="NE17" s="11"/>
      <c r="NF17" s="12"/>
      <c r="NG17" s="11"/>
      <c r="NH17" s="13"/>
      <c r="NI17" s="11"/>
      <c r="NJ17" s="11"/>
      <c r="NK17" s="11"/>
      <c r="NL17" s="11"/>
      <c r="NM17" s="11"/>
      <c r="NN17" s="11"/>
      <c r="NO17" s="259"/>
      <c r="NP17" s="275"/>
      <c r="NQ17" s="11"/>
      <c r="NR17" s="11"/>
      <c r="NS17" s="248"/>
      <c r="NT17" s="253"/>
      <c r="NU17" s="125"/>
      <c r="NV17" s="125"/>
      <c r="NW17" s="12"/>
      <c r="NX17" s="11"/>
      <c r="NY17" s="12"/>
      <c r="NZ17" s="11"/>
      <c r="OA17" s="12"/>
      <c r="OB17" s="11"/>
      <c r="OC17" s="13"/>
      <c r="OD17" s="11"/>
      <c r="OE17" s="11"/>
      <c r="OF17" s="11"/>
      <c r="OG17" s="11"/>
      <c r="OH17" s="11"/>
      <c r="OI17" s="11"/>
      <c r="OJ17" s="259"/>
      <c r="OK17" s="275"/>
      <c r="OL17" s="11"/>
      <c r="OM17" s="11"/>
      <c r="ON17" s="248"/>
      <c r="OO17" s="253"/>
      <c r="OP17" s="125"/>
      <c r="OQ17" s="125"/>
      <c r="OR17" s="12"/>
      <c r="OS17" s="11"/>
      <c r="OT17" s="12"/>
      <c r="OU17" s="11"/>
      <c r="OV17" s="12"/>
      <c r="OW17" s="11"/>
      <c r="OX17" s="13"/>
      <c r="OY17" s="11"/>
      <c r="OZ17" s="11"/>
      <c r="PA17" s="11"/>
      <c r="PB17" s="11"/>
      <c r="PC17" s="11"/>
      <c r="PD17" s="11"/>
      <c r="PE17" s="259"/>
      <c r="PF17" s="275"/>
      <c r="PG17" s="11"/>
      <c r="PH17" s="11"/>
      <c r="PI17" s="248"/>
      <c r="PJ17" s="253"/>
      <c r="PK17" s="125"/>
      <c r="PL17" s="125"/>
      <c r="PM17" s="12"/>
      <c r="PN17" s="11"/>
      <c r="PO17" s="12"/>
      <c r="PP17" s="11"/>
      <c r="PQ17" s="12"/>
      <c r="PR17" s="11"/>
      <c r="PS17" s="13"/>
      <c r="PT17" s="11"/>
      <c r="PU17" s="11"/>
      <c r="PV17" s="11"/>
      <c r="PW17" s="11"/>
      <c r="PX17" s="11"/>
      <c r="PY17" s="11"/>
      <c r="PZ17" s="259"/>
      <c r="QA17" s="275"/>
      <c r="QB17" s="11"/>
      <c r="QC17" s="11"/>
      <c r="QD17" s="248"/>
      <c r="QE17" s="253"/>
      <c r="QF17" s="125"/>
      <c r="QG17" s="125"/>
      <c r="QH17" s="12"/>
      <c r="QI17" s="11"/>
      <c r="QJ17" s="12"/>
      <c r="QK17" s="11"/>
      <c r="QL17" s="12"/>
      <c r="QM17" s="11"/>
      <c r="QN17" s="13"/>
      <c r="QO17" s="11"/>
      <c r="QP17" s="11"/>
      <c r="QQ17" s="11"/>
      <c r="QR17" s="11"/>
      <c r="QS17" s="11"/>
      <c r="QT17" s="11"/>
      <c r="QU17" s="259"/>
      <c r="QV17" s="275"/>
      <c r="QW17" s="11"/>
      <c r="QX17" s="11"/>
      <c r="QY17" s="248"/>
      <c r="QZ17" s="253"/>
      <c r="RA17" s="125"/>
      <c r="RB17" s="125"/>
      <c r="RC17" s="12"/>
      <c r="RD17" s="11"/>
      <c r="RE17" s="12"/>
      <c r="RF17" s="11"/>
      <c r="RG17" s="12"/>
      <c r="RH17" s="11"/>
      <c r="RI17" s="13"/>
      <c r="RJ17" s="11"/>
      <c r="RK17" s="11"/>
      <c r="RL17" s="11"/>
      <c r="RM17" s="11"/>
      <c r="RN17" s="11"/>
      <c r="RO17" s="11"/>
      <c r="RP17" s="259"/>
      <c r="RQ17" s="275"/>
      <c r="RR17" s="11"/>
      <c r="RS17" s="11"/>
      <c r="RT17" s="248"/>
      <c r="RU17" s="253"/>
      <c r="RV17" s="125"/>
      <c r="RW17" s="125"/>
      <c r="RX17" s="12"/>
      <c r="RY17" s="11"/>
      <c r="RZ17" s="12"/>
      <c r="SA17" s="11"/>
      <c r="SB17" s="12"/>
      <c r="SC17" s="11"/>
      <c r="SD17" s="13"/>
      <c r="SE17" s="11"/>
      <c r="SF17" s="11"/>
      <c r="SG17" s="11"/>
      <c r="SH17" s="11"/>
      <c r="SI17" s="11"/>
      <c r="SJ17" s="11"/>
      <c r="SK17" s="259"/>
      <c r="SL17" s="275"/>
      <c r="SM17" s="11"/>
      <c r="SN17" s="11"/>
      <c r="SO17" s="248"/>
      <c r="SP17" s="253"/>
      <c r="SQ17" s="125"/>
      <c r="SR17" s="125"/>
      <c r="SS17" s="12"/>
      <c r="ST17" s="11"/>
      <c r="SU17" s="12"/>
      <c r="SV17" s="11"/>
      <c r="SW17" s="12"/>
      <c r="SX17" s="11"/>
      <c r="SY17" s="13"/>
      <c r="SZ17" s="11"/>
      <c r="TA17" s="11"/>
      <c r="TB17" s="11"/>
      <c r="TC17" s="11"/>
      <c r="TD17" s="11"/>
      <c r="TE17" s="11"/>
      <c r="TF17" s="259"/>
      <c r="TG17" s="275"/>
      <c r="TH17" s="11"/>
      <c r="TI17" s="11"/>
      <c r="TJ17" s="248"/>
      <c r="TK17" s="253"/>
      <c r="TL17" s="125"/>
      <c r="TM17" s="125"/>
      <c r="TN17" s="12"/>
      <c r="TO17" s="11"/>
      <c r="TP17" s="12"/>
      <c r="TQ17" s="11"/>
      <c r="TR17" s="12"/>
      <c r="TS17" s="11"/>
      <c r="TT17" s="13"/>
      <c r="TU17" s="11"/>
      <c r="TV17" s="11"/>
      <c r="TW17" s="11"/>
      <c r="TX17" s="11"/>
      <c r="TY17" s="11"/>
      <c r="TZ17" s="11"/>
      <c r="UA17" s="259"/>
      <c r="UB17" s="275"/>
      <c r="UC17" s="11"/>
      <c r="UD17" s="11"/>
      <c r="UE17" s="248"/>
      <c r="UF17" s="253"/>
      <c r="UG17" s="125"/>
      <c r="UH17" s="125"/>
      <c r="UI17" s="12"/>
      <c r="UJ17" s="11"/>
      <c r="UK17" s="12"/>
      <c r="UL17" s="11"/>
      <c r="UM17" s="12"/>
      <c r="UN17" s="11"/>
      <c r="UO17" s="13"/>
      <c r="UP17" s="11"/>
      <c r="UQ17" s="11"/>
      <c r="UR17" s="11"/>
      <c r="US17" s="11"/>
      <c r="UT17" s="11"/>
      <c r="UU17" s="11"/>
      <c r="UV17" s="259"/>
      <c r="UW17" s="275"/>
      <c r="UX17" s="11"/>
      <c r="UY17" s="11"/>
      <c r="UZ17" s="248"/>
      <c r="VA17" s="253"/>
      <c r="VB17" s="125"/>
      <c r="VC17" s="125"/>
      <c r="VD17" s="12"/>
      <c r="VE17" s="11"/>
      <c r="VF17" s="12"/>
      <c r="VG17" s="11"/>
      <c r="VH17" s="12"/>
      <c r="VI17" s="11"/>
      <c r="VJ17" s="13"/>
      <c r="VK17" s="11"/>
      <c r="VL17" s="11"/>
      <c r="VM17" s="11"/>
      <c r="VN17" s="11"/>
      <c r="VO17" s="11"/>
      <c r="VP17" s="11"/>
      <c r="VQ17" s="259"/>
      <c r="VR17" s="275"/>
      <c r="VS17" s="11"/>
      <c r="VT17" s="11"/>
      <c r="VU17" s="248"/>
      <c r="VV17" s="253"/>
      <c r="VW17" s="125"/>
      <c r="VX17" s="125"/>
      <c r="VY17" s="12"/>
      <c r="VZ17" s="11"/>
      <c r="WA17" s="12"/>
      <c r="WB17" s="11"/>
      <c r="WC17" s="12"/>
      <c r="WD17" s="11"/>
      <c r="WE17" s="13"/>
      <c r="WF17" s="11"/>
      <c r="WG17" s="11"/>
      <c r="WH17" s="11"/>
      <c r="WI17" s="11"/>
      <c r="WJ17" s="11"/>
      <c r="WK17" s="11"/>
      <c r="WL17" s="259"/>
      <c r="WM17" s="275"/>
      <c r="WN17" s="11"/>
      <c r="WO17" s="11"/>
      <c r="WP17" s="248"/>
      <c r="WQ17" s="253"/>
      <c r="WR17" s="125"/>
      <c r="WS17" s="125"/>
      <c r="WT17" s="12"/>
      <c r="WU17" s="11"/>
      <c r="WV17" s="12"/>
      <c r="WW17" s="11"/>
      <c r="WX17" s="12"/>
      <c r="WY17" s="11"/>
      <c r="WZ17" s="13"/>
      <c r="XA17" s="11"/>
      <c r="XB17" s="11"/>
      <c r="XC17" s="11"/>
      <c r="XD17" s="11"/>
      <c r="XE17" s="11"/>
      <c r="XF17" s="11"/>
      <c r="XG17" s="259"/>
      <c r="XH17" s="275"/>
      <c r="XI17" s="11"/>
      <c r="XJ17" s="11"/>
      <c r="XK17" s="248"/>
      <c r="XL17" s="253"/>
      <c r="XM17" s="125"/>
      <c r="XN17" s="125"/>
      <c r="XO17" s="12"/>
      <c r="XP17" s="11"/>
      <c r="XQ17" s="12"/>
      <c r="XR17" s="11"/>
      <c r="XS17" s="12"/>
      <c r="XT17" s="11"/>
      <c r="XU17" s="13"/>
      <c r="XV17" s="11"/>
      <c r="XW17" s="11"/>
      <c r="XX17" s="11"/>
      <c r="XY17" s="11"/>
      <c r="XZ17" s="11"/>
      <c r="YA17" s="11"/>
      <c r="YB17" s="259"/>
    </row>
    <row r="18" spans="1:652" x14ac:dyDescent="0.3">
      <c r="A18" s="223" t="s">
        <v>158</v>
      </c>
      <c r="B18" s="271"/>
      <c r="C18" s="48"/>
      <c r="D18" s="48"/>
      <c r="E18" s="235"/>
      <c r="F18" s="239"/>
      <c r="G18" s="49"/>
      <c r="H18" s="49"/>
      <c r="I18" s="49"/>
      <c r="J18" s="49"/>
      <c r="K18" s="49"/>
      <c r="L18" s="49"/>
      <c r="M18" s="49"/>
      <c r="N18" s="49"/>
      <c r="O18" s="49"/>
      <c r="P18" s="49"/>
      <c r="Q18" s="49"/>
      <c r="R18" s="49"/>
      <c r="S18" s="49"/>
      <c r="T18" s="49"/>
      <c r="U18" s="49"/>
      <c r="V18" s="260"/>
      <c r="W18" s="276"/>
      <c r="X18" s="49"/>
      <c r="Y18" s="49"/>
      <c r="Z18" s="249"/>
      <c r="AA18" s="254"/>
      <c r="AB18" s="49"/>
      <c r="AC18" s="49"/>
      <c r="AD18" s="49"/>
      <c r="AE18" s="49"/>
      <c r="AF18" s="49"/>
      <c r="AG18" s="49"/>
      <c r="AH18" s="49"/>
      <c r="AI18" s="49"/>
      <c r="AJ18" s="49"/>
      <c r="AK18" s="49"/>
      <c r="AL18" s="49"/>
      <c r="AM18" s="49"/>
      <c r="AN18" s="49"/>
      <c r="AO18" s="49"/>
      <c r="AP18" s="49"/>
      <c r="AQ18" s="260"/>
      <c r="AR18" s="271"/>
      <c r="AS18" s="48"/>
      <c r="AT18" s="48"/>
      <c r="AU18" s="235"/>
      <c r="AV18" s="239"/>
      <c r="AW18" s="49"/>
      <c r="AX18" s="49"/>
      <c r="AY18" s="49"/>
      <c r="AZ18" s="49"/>
      <c r="BA18" s="49"/>
      <c r="BB18" s="49"/>
      <c r="BC18" s="49"/>
      <c r="BD18" s="49"/>
      <c r="BE18" s="49"/>
      <c r="BF18" s="49"/>
      <c r="BG18" s="49"/>
      <c r="BH18" s="49"/>
      <c r="BI18" s="49"/>
      <c r="BJ18" s="49"/>
      <c r="BK18" s="49"/>
      <c r="BL18" s="260"/>
      <c r="BM18" s="276"/>
      <c r="BN18" s="49"/>
      <c r="BO18" s="49"/>
      <c r="BP18" s="249"/>
      <c r="BQ18" s="254"/>
      <c r="BR18" s="49"/>
      <c r="BS18" s="49"/>
      <c r="BT18" s="49"/>
      <c r="BU18" s="49"/>
      <c r="BV18" s="49"/>
      <c r="BW18" s="49"/>
      <c r="BX18" s="49"/>
      <c r="BY18" s="49"/>
      <c r="BZ18" s="49"/>
      <c r="CA18" s="49"/>
      <c r="CB18" s="49"/>
      <c r="CC18" s="49"/>
      <c r="CD18" s="49"/>
      <c r="CE18" s="49"/>
      <c r="CF18" s="49"/>
      <c r="CG18" s="260"/>
      <c r="CH18" s="276"/>
      <c r="CI18" s="49"/>
      <c r="CJ18" s="49"/>
      <c r="CK18" s="249"/>
      <c r="CL18" s="53"/>
      <c r="CM18" s="53"/>
      <c r="CN18" s="53"/>
      <c r="CO18" s="53"/>
      <c r="CP18" s="53"/>
      <c r="CQ18" s="80"/>
      <c r="CR18" s="53"/>
      <c r="CS18" s="54"/>
      <c r="CT18" s="84"/>
      <c r="CU18" s="53"/>
      <c r="CV18" s="66"/>
      <c r="CW18" s="49"/>
      <c r="CX18" s="49"/>
      <c r="CY18" s="49"/>
      <c r="CZ18" s="49"/>
      <c r="DA18" s="49"/>
      <c r="DB18" s="260"/>
      <c r="DC18" s="276"/>
      <c r="DD18" s="49"/>
      <c r="DE18" s="49"/>
      <c r="DF18" s="249"/>
      <c r="DG18" s="254"/>
      <c r="DH18" s="49"/>
      <c r="DI18" s="49"/>
      <c r="DJ18" s="49"/>
      <c r="DK18" s="49"/>
      <c r="DL18" s="49"/>
      <c r="DM18" s="49"/>
      <c r="DN18" s="49"/>
      <c r="DO18" s="49"/>
      <c r="DP18" s="49"/>
      <c r="DQ18" s="49"/>
      <c r="DR18" s="49"/>
      <c r="DS18" s="49"/>
      <c r="DT18" s="49"/>
      <c r="DU18" s="49"/>
      <c r="DV18" s="49"/>
      <c r="DW18" s="260"/>
      <c r="DX18" s="276"/>
      <c r="DY18" s="49"/>
      <c r="DZ18" s="49"/>
      <c r="EA18" s="249"/>
      <c r="EB18" s="53"/>
      <c r="EC18" s="53"/>
      <c r="ED18" s="53"/>
      <c r="EE18" s="53"/>
      <c r="EF18" s="53"/>
      <c r="EG18" s="80"/>
      <c r="EH18" s="53"/>
      <c r="EI18" s="54"/>
      <c r="EJ18" s="84"/>
      <c r="EK18" s="53"/>
      <c r="EL18" s="66"/>
      <c r="EM18" s="49"/>
      <c r="EN18" s="49"/>
      <c r="EO18" s="49"/>
      <c r="EP18" s="49"/>
      <c r="EQ18" s="49"/>
      <c r="ER18" s="260"/>
      <c r="ES18" s="276"/>
      <c r="ET18" s="49"/>
      <c r="EU18" s="49"/>
      <c r="EV18" s="249"/>
      <c r="EW18" s="254"/>
      <c r="EX18" s="49"/>
      <c r="EY18" s="49"/>
      <c r="EZ18" s="49"/>
      <c r="FA18" s="49"/>
      <c r="FB18" s="49"/>
      <c r="FC18" s="49"/>
      <c r="FD18" s="49"/>
      <c r="FE18" s="49"/>
      <c r="FF18" s="49"/>
      <c r="FG18" s="49"/>
      <c r="FH18" s="49"/>
      <c r="FI18" s="49"/>
      <c r="FJ18" s="49"/>
      <c r="FK18" s="49"/>
      <c r="FL18" s="49"/>
      <c r="FM18" s="260"/>
      <c r="FN18" s="276"/>
      <c r="FO18" s="49"/>
      <c r="FP18" s="49"/>
      <c r="FQ18" s="249"/>
      <c r="FR18" s="53"/>
      <c r="FS18" s="53"/>
      <c r="FT18" s="53"/>
      <c r="FU18" s="53"/>
      <c r="FV18" s="53"/>
      <c r="FW18" s="80"/>
      <c r="FX18" s="53"/>
      <c r="FY18" s="54"/>
      <c r="FZ18" s="84"/>
      <c r="GA18" s="53"/>
      <c r="GB18" s="66"/>
      <c r="GC18" s="49"/>
      <c r="GD18" s="49"/>
      <c r="GE18" s="49"/>
      <c r="GF18" s="49"/>
      <c r="GG18" s="49"/>
      <c r="GH18" s="260"/>
      <c r="GI18" s="276"/>
      <c r="GJ18" s="49"/>
      <c r="GK18" s="49"/>
      <c r="GL18" s="249"/>
      <c r="GM18" s="254"/>
      <c r="GN18" s="49"/>
      <c r="GO18" s="49"/>
      <c r="GP18" s="49"/>
      <c r="GQ18" s="49"/>
      <c r="GR18" s="49"/>
      <c r="GS18" s="49"/>
      <c r="GT18" s="49"/>
      <c r="GU18" s="49"/>
      <c r="GV18" s="49"/>
      <c r="GW18" s="49"/>
      <c r="GX18" s="49"/>
      <c r="GY18" s="49"/>
      <c r="GZ18" s="49"/>
      <c r="HA18" s="49"/>
      <c r="HB18" s="49"/>
      <c r="HC18" s="260"/>
      <c r="HD18" s="276"/>
      <c r="HE18" s="49"/>
      <c r="HF18" s="49"/>
      <c r="HG18" s="249"/>
      <c r="HH18" s="254"/>
      <c r="HI18" s="49"/>
      <c r="HJ18" s="49"/>
      <c r="HK18" s="49"/>
      <c r="HL18" s="49"/>
      <c r="HM18" s="49"/>
      <c r="HN18" s="49"/>
      <c r="HO18" s="49"/>
      <c r="HP18" s="49"/>
      <c r="HQ18" s="49"/>
      <c r="HR18" s="49"/>
      <c r="HS18" s="49"/>
      <c r="HT18" s="49"/>
      <c r="HU18" s="49"/>
      <c r="HV18" s="49"/>
      <c r="HW18" s="49"/>
      <c r="HX18" s="260"/>
      <c r="HY18" s="276"/>
      <c r="HZ18" s="49"/>
      <c r="IA18" s="49"/>
      <c r="IB18" s="249"/>
      <c r="IC18" s="254"/>
      <c r="ID18" s="49"/>
      <c r="IE18" s="49"/>
      <c r="IF18" s="49"/>
      <c r="IG18" s="49"/>
      <c r="IH18" s="49"/>
      <c r="II18" s="49"/>
      <c r="IJ18" s="49"/>
      <c r="IK18" s="49"/>
      <c r="IL18" s="49"/>
      <c r="IM18" s="49"/>
      <c r="IN18" s="49"/>
      <c r="IO18" s="49"/>
      <c r="IP18" s="49"/>
      <c r="IQ18" s="49"/>
      <c r="IR18" s="49"/>
      <c r="IS18" s="260"/>
      <c r="IT18" s="276"/>
      <c r="IU18" s="49"/>
      <c r="IV18" s="49"/>
      <c r="IW18" s="249"/>
      <c r="IX18" s="254"/>
      <c r="IY18" s="49"/>
      <c r="IZ18" s="49"/>
      <c r="JA18" s="49"/>
      <c r="JB18" s="49"/>
      <c r="JC18" s="49"/>
      <c r="JD18" s="49"/>
      <c r="JE18" s="49"/>
      <c r="JF18" s="49"/>
      <c r="JG18" s="49"/>
      <c r="JH18" s="49"/>
      <c r="JI18" s="49"/>
      <c r="JJ18" s="49"/>
      <c r="JK18" s="49"/>
      <c r="JL18" s="49"/>
      <c r="JM18" s="49"/>
      <c r="JN18" s="260"/>
      <c r="JO18" s="276"/>
      <c r="JP18" s="49"/>
      <c r="JQ18" s="49"/>
      <c r="JR18" s="249"/>
      <c r="JS18" s="254"/>
      <c r="JT18" s="49"/>
      <c r="JU18" s="49"/>
      <c r="JV18" s="49"/>
      <c r="JW18" s="49"/>
      <c r="JX18" s="49"/>
      <c r="JY18" s="49"/>
      <c r="JZ18" s="49"/>
      <c r="KA18" s="49"/>
      <c r="KB18" s="49"/>
      <c r="KC18" s="49"/>
      <c r="KD18" s="49"/>
      <c r="KE18" s="49"/>
      <c r="KF18" s="49"/>
      <c r="KG18" s="49"/>
      <c r="KH18" s="49"/>
      <c r="KI18" s="260"/>
      <c r="KJ18" s="276"/>
      <c r="KK18" s="49"/>
      <c r="KL18" s="49"/>
      <c r="KM18" s="249"/>
      <c r="KN18" s="254"/>
      <c r="KO18" s="49"/>
      <c r="KP18" s="49"/>
      <c r="KQ18" s="49"/>
      <c r="KR18" s="49"/>
      <c r="KS18" s="49"/>
      <c r="KT18" s="49"/>
      <c r="KU18" s="49"/>
      <c r="KV18" s="49"/>
      <c r="KW18" s="49"/>
      <c r="KX18" s="49"/>
      <c r="KY18" s="49"/>
      <c r="KZ18" s="49"/>
      <c r="LA18" s="49"/>
      <c r="LB18" s="49"/>
      <c r="LC18" s="49"/>
      <c r="LD18" s="260"/>
      <c r="LE18" s="276"/>
      <c r="LF18" s="49"/>
      <c r="LG18" s="49"/>
      <c r="LH18" s="249"/>
      <c r="LI18" s="254"/>
      <c r="LJ18" s="49"/>
      <c r="LK18" s="49"/>
      <c r="LL18" s="49"/>
      <c r="LM18" s="49"/>
      <c r="LN18" s="49"/>
      <c r="LO18" s="49"/>
      <c r="LP18" s="49"/>
      <c r="LQ18" s="49"/>
      <c r="LR18" s="49"/>
      <c r="LS18" s="49"/>
      <c r="LT18" s="49"/>
      <c r="LU18" s="49"/>
      <c r="LV18" s="49"/>
      <c r="LW18" s="49"/>
      <c r="LX18" s="49"/>
      <c r="LY18" s="260"/>
      <c r="LZ18" s="276"/>
      <c r="MA18" s="49"/>
      <c r="MB18" s="49"/>
      <c r="MC18" s="249"/>
      <c r="MD18" s="254"/>
      <c r="ME18" s="49"/>
      <c r="MF18" s="49"/>
      <c r="MG18" s="49"/>
      <c r="MH18" s="49"/>
      <c r="MI18" s="49"/>
      <c r="MJ18" s="49"/>
      <c r="MK18" s="49"/>
      <c r="ML18" s="49"/>
      <c r="MM18" s="49"/>
      <c r="MN18" s="49"/>
      <c r="MO18" s="49"/>
      <c r="MP18" s="49"/>
      <c r="MQ18" s="49"/>
      <c r="MR18" s="49"/>
      <c r="MS18" s="49"/>
      <c r="MT18" s="260"/>
      <c r="MU18" s="276"/>
      <c r="MV18" s="49"/>
      <c r="MW18" s="49"/>
      <c r="MX18" s="249"/>
      <c r="MY18" s="254"/>
      <c r="MZ18" s="49"/>
      <c r="NA18" s="49"/>
      <c r="NB18" s="49"/>
      <c r="NC18" s="49"/>
      <c r="ND18" s="49"/>
      <c r="NE18" s="49"/>
      <c r="NF18" s="49"/>
      <c r="NG18" s="49"/>
      <c r="NH18" s="49"/>
      <c r="NI18" s="49"/>
      <c r="NJ18" s="49"/>
      <c r="NK18" s="49"/>
      <c r="NL18" s="49"/>
      <c r="NM18" s="49"/>
      <c r="NN18" s="49"/>
      <c r="NO18" s="260"/>
      <c r="NP18" s="276"/>
      <c r="NQ18" s="49"/>
      <c r="NR18" s="49"/>
      <c r="NS18" s="249"/>
      <c r="NT18" s="254"/>
      <c r="NU18" s="49"/>
      <c r="NV18" s="49"/>
      <c r="NW18" s="49"/>
      <c r="NX18" s="49"/>
      <c r="NY18" s="49"/>
      <c r="NZ18" s="49"/>
      <c r="OA18" s="49"/>
      <c r="OB18" s="49"/>
      <c r="OC18" s="49"/>
      <c r="OD18" s="49"/>
      <c r="OE18" s="49"/>
      <c r="OF18" s="49"/>
      <c r="OG18" s="49"/>
      <c r="OH18" s="49"/>
      <c r="OI18" s="49"/>
      <c r="OJ18" s="260"/>
      <c r="OK18" s="276"/>
      <c r="OL18" s="49"/>
      <c r="OM18" s="49"/>
      <c r="ON18" s="249"/>
      <c r="OO18" s="254"/>
      <c r="OP18" s="49"/>
      <c r="OQ18" s="49"/>
      <c r="OR18" s="49"/>
      <c r="OS18" s="49"/>
      <c r="OT18" s="49"/>
      <c r="OU18" s="49"/>
      <c r="OV18" s="49"/>
      <c r="OW18" s="49"/>
      <c r="OX18" s="49"/>
      <c r="OY18" s="49"/>
      <c r="OZ18" s="49"/>
      <c r="PA18" s="49"/>
      <c r="PB18" s="49"/>
      <c r="PC18" s="49"/>
      <c r="PD18" s="49"/>
      <c r="PE18" s="260"/>
      <c r="PF18" s="276"/>
      <c r="PG18" s="49"/>
      <c r="PH18" s="49"/>
      <c r="PI18" s="249"/>
      <c r="PJ18" s="254"/>
      <c r="PK18" s="49"/>
      <c r="PL18" s="49"/>
      <c r="PM18" s="49"/>
      <c r="PN18" s="49"/>
      <c r="PO18" s="49"/>
      <c r="PP18" s="49"/>
      <c r="PQ18" s="49"/>
      <c r="PR18" s="49"/>
      <c r="PS18" s="49"/>
      <c r="PT18" s="49"/>
      <c r="PU18" s="49"/>
      <c r="PV18" s="49"/>
      <c r="PW18" s="49"/>
      <c r="PX18" s="49"/>
      <c r="PY18" s="49"/>
      <c r="PZ18" s="260"/>
      <c r="QA18" s="276"/>
      <c r="QB18" s="49"/>
      <c r="QC18" s="49"/>
      <c r="QD18" s="249"/>
      <c r="QE18" s="254"/>
      <c r="QF18" s="49"/>
      <c r="QG18" s="49"/>
      <c r="QH18" s="49"/>
      <c r="QI18" s="49"/>
      <c r="QJ18" s="49"/>
      <c r="QK18" s="49"/>
      <c r="QL18" s="49"/>
      <c r="QM18" s="49"/>
      <c r="QN18" s="49"/>
      <c r="QO18" s="49"/>
      <c r="QP18" s="49"/>
      <c r="QQ18" s="49"/>
      <c r="QR18" s="49"/>
      <c r="QS18" s="49"/>
      <c r="QT18" s="49"/>
      <c r="QU18" s="260"/>
      <c r="QV18" s="276"/>
      <c r="QW18" s="49"/>
      <c r="QX18" s="49"/>
      <c r="QY18" s="249"/>
      <c r="QZ18" s="254"/>
      <c r="RA18" s="49"/>
      <c r="RB18" s="49"/>
      <c r="RC18" s="49"/>
      <c r="RD18" s="49"/>
      <c r="RE18" s="49"/>
      <c r="RF18" s="49"/>
      <c r="RG18" s="49"/>
      <c r="RH18" s="49"/>
      <c r="RI18" s="49"/>
      <c r="RJ18" s="49"/>
      <c r="RK18" s="49"/>
      <c r="RL18" s="49"/>
      <c r="RM18" s="49"/>
      <c r="RN18" s="49"/>
      <c r="RO18" s="49"/>
      <c r="RP18" s="260"/>
      <c r="RQ18" s="276"/>
      <c r="RR18" s="49"/>
      <c r="RS18" s="49"/>
      <c r="RT18" s="249"/>
      <c r="RU18" s="254"/>
      <c r="RV18" s="49"/>
      <c r="RW18" s="49"/>
      <c r="RX18" s="49"/>
      <c r="RY18" s="49"/>
      <c r="RZ18" s="49"/>
      <c r="SA18" s="49"/>
      <c r="SB18" s="49"/>
      <c r="SC18" s="49"/>
      <c r="SD18" s="49"/>
      <c r="SE18" s="49"/>
      <c r="SF18" s="49"/>
      <c r="SG18" s="49"/>
      <c r="SH18" s="49"/>
      <c r="SI18" s="49"/>
      <c r="SJ18" s="49"/>
      <c r="SK18" s="260"/>
      <c r="SL18" s="276"/>
      <c r="SM18" s="49"/>
      <c r="SN18" s="49"/>
      <c r="SO18" s="249"/>
      <c r="SP18" s="254"/>
      <c r="SQ18" s="49"/>
      <c r="SR18" s="49"/>
      <c r="SS18" s="49"/>
      <c r="ST18" s="49"/>
      <c r="SU18" s="49"/>
      <c r="SV18" s="49"/>
      <c r="SW18" s="49"/>
      <c r="SX18" s="49"/>
      <c r="SY18" s="49"/>
      <c r="SZ18" s="49"/>
      <c r="TA18" s="49"/>
      <c r="TB18" s="49"/>
      <c r="TC18" s="49"/>
      <c r="TD18" s="49"/>
      <c r="TE18" s="49"/>
      <c r="TF18" s="260"/>
      <c r="TG18" s="276"/>
      <c r="TH18" s="49"/>
      <c r="TI18" s="49"/>
      <c r="TJ18" s="249"/>
      <c r="TK18" s="254"/>
      <c r="TL18" s="49"/>
      <c r="TM18" s="49"/>
      <c r="TN18" s="49"/>
      <c r="TO18" s="49"/>
      <c r="TP18" s="49"/>
      <c r="TQ18" s="49"/>
      <c r="TR18" s="49"/>
      <c r="TS18" s="49"/>
      <c r="TT18" s="49"/>
      <c r="TU18" s="49"/>
      <c r="TV18" s="49"/>
      <c r="TW18" s="49"/>
      <c r="TX18" s="49"/>
      <c r="TY18" s="49"/>
      <c r="TZ18" s="49"/>
      <c r="UA18" s="260"/>
      <c r="UB18" s="276"/>
      <c r="UC18" s="49"/>
      <c r="UD18" s="49"/>
      <c r="UE18" s="249"/>
      <c r="UF18" s="254"/>
      <c r="UG18" s="49"/>
      <c r="UH18" s="49"/>
      <c r="UI18" s="49"/>
      <c r="UJ18" s="49"/>
      <c r="UK18" s="49"/>
      <c r="UL18" s="49"/>
      <c r="UM18" s="49"/>
      <c r="UN18" s="49"/>
      <c r="UO18" s="49"/>
      <c r="UP18" s="49"/>
      <c r="UQ18" s="49"/>
      <c r="UR18" s="49"/>
      <c r="US18" s="49"/>
      <c r="UT18" s="49"/>
      <c r="UU18" s="49"/>
      <c r="UV18" s="260"/>
      <c r="UW18" s="276"/>
      <c r="UX18" s="49"/>
      <c r="UY18" s="49"/>
      <c r="UZ18" s="249"/>
      <c r="VA18" s="254"/>
      <c r="VB18" s="49"/>
      <c r="VC18" s="49"/>
      <c r="VD18" s="49"/>
      <c r="VE18" s="49"/>
      <c r="VF18" s="49"/>
      <c r="VG18" s="49"/>
      <c r="VH18" s="49"/>
      <c r="VI18" s="49"/>
      <c r="VJ18" s="49"/>
      <c r="VK18" s="49"/>
      <c r="VL18" s="49"/>
      <c r="VM18" s="49"/>
      <c r="VN18" s="49"/>
      <c r="VO18" s="49"/>
      <c r="VP18" s="49"/>
      <c r="VQ18" s="260"/>
      <c r="VR18" s="276"/>
      <c r="VS18" s="49"/>
      <c r="VT18" s="49"/>
      <c r="VU18" s="249"/>
      <c r="VV18" s="254"/>
      <c r="VW18" s="49"/>
      <c r="VX18" s="49"/>
      <c r="VY18" s="49"/>
      <c r="VZ18" s="49"/>
      <c r="WA18" s="49"/>
      <c r="WB18" s="49"/>
      <c r="WC18" s="49"/>
      <c r="WD18" s="49"/>
      <c r="WE18" s="49"/>
      <c r="WF18" s="49"/>
      <c r="WG18" s="49"/>
      <c r="WH18" s="49"/>
      <c r="WI18" s="49"/>
      <c r="WJ18" s="49"/>
      <c r="WK18" s="49"/>
      <c r="WL18" s="260"/>
      <c r="WM18" s="276"/>
      <c r="WN18" s="49"/>
      <c r="WO18" s="49"/>
      <c r="WP18" s="249"/>
      <c r="WQ18" s="254"/>
      <c r="WR18" s="49"/>
      <c r="WS18" s="49"/>
      <c r="WT18" s="49"/>
      <c r="WU18" s="49"/>
      <c r="WV18" s="49"/>
      <c r="WW18" s="49"/>
      <c r="WX18" s="49"/>
      <c r="WY18" s="49"/>
      <c r="WZ18" s="49"/>
      <c r="XA18" s="49"/>
      <c r="XB18" s="49"/>
      <c r="XC18" s="49"/>
      <c r="XD18" s="49"/>
      <c r="XE18" s="49"/>
      <c r="XF18" s="49"/>
      <c r="XG18" s="260"/>
      <c r="XH18" s="276"/>
      <c r="XI18" s="49"/>
      <c r="XJ18" s="49"/>
      <c r="XK18" s="249"/>
      <c r="XL18" s="254"/>
      <c r="XM18" s="49"/>
      <c r="XN18" s="49"/>
      <c r="XO18" s="49"/>
      <c r="XP18" s="49"/>
      <c r="XQ18" s="49"/>
      <c r="XR18" s="49"/>
      <c r="XS18" s="49"/>
      <c r="XT18" s="49"/>
      <c r="XU18" s="49"/>
      <c r="XV18" s="49"/>
      <c r="XW18" s="49"/>
      <c r="XX18" s="49"/>
      <c r="XY18" s="49"/>
      <c r="XZ18" s="49"/>
      <c r="YA18" s="49"/>
      <c r="YB18" s="260"/>
    </row>
    <row r="19" spans="1:652" x14ac:dyDescent="0.3">
      <c r="A19" s="224" t="s">
        <v>159</v>
      </c>
      <c r="B19" s="270"/>
      <c r="C19" s="10"/>
      <c r="D19" s="10"/>
      <c r="E19" s="234"/>
      <c r="F19" s="240"/>
      <c r="G19" s="12"/>
      <c r="H19" s="12"/>
      <c r="I19" s="12"/>
      <c r="J19" s="12"/>
      <c r="K19" s="12"/>
      <c r="L19" s="12"/>
      <c r="M19" s="12"/>
      <c r="N19" s="12"/>
      <c r="O19" s="12"/>
      <c r="P19" s="12"/>
      <c r="Q19" s="12"/>
      <c r="R19" s="12"/>
      <c r="S19" s="12"/>
      <c r="T19" s="12"/>
      <c r="U19" s="12"/>
      <c r="V19" s="261"/>
      <c r="W19" s="278"/>
      <c r="X19" s="12"/>
      <c r="Y19" s="12"/>
      <c r="Z19" s="251"/>
      <c r="AA19" s="255"/>
      <c r="AB19" s="12"/>
      <c r="AC19" s="12"/>
      <c r="AD19" s="12"/>
      <c r="AE19" s="12"/>
      <c r="AF19" s="12"/>
      <c r="AG19" s="12"/>
      <c r="AH19" s="12"/>
      <c r="AI19" s="12"/>
      <c r="AJ19" s="12"/>
      <c r="AK19" s="12"/>
      <c r="AL19" s="12"/>
      <c r="AM19" s="12"/>
      <c r="AN19" s="12"/>
      <c r="AO19" s="12"/>
      <c r="AP19" s="12"/>
      <c r="AQ19" s="261"/>
      <c r="AR19" s="270"/>
      <c r="AS19" s="10"/>
      <c r="AT19" s="10"/>
      <c r="AU19" s="234"/>
      <c r="AV19" s="240"/>
      <c r="AW19" s="12"/>
      <c r="AX19" s="12"/>
      <c r="AY19" s="12"/>
      <c r="AZ19" s="12"/>
      <c r="BA19" s="12"/>
      <c r="BB19" s="12"/>
      <c r="BC19" s="12"/>
      <c r="BD19" s="12"/>
      <c r="BE19" s="12"/>
      <c r="BF19" s="12"/>
      <c r="BG19" s="12"/>
      <c r="BH19" s="12"/>
      <c r="BI19" s="12"/>
      <c r="BJ19" s="12"/>
      <c r="BK19" s="12"/>
      <c r="BL19" s="261"/>
      <c r="BM19" s="278"/>
      <c r="BN19" s="12"/>
      <c r="BO19" s="12"/>
      <c r="BP19" s="251"/>
      <c r="BQ19" s="255"/>
      <c r="BR19" s="12"/>
      <c r="BS19" s="12"/>
      <c r="BT19" s="12"/>
      <c r="BU19" s="12"/>
      <c r="BV19" s="12"/>
      <c r="BW19" s="12"/>
      <c r="BX19" s="12"/>
      <c r="BY19" s="12"/>
      <c r="BZ19" s="12"/>
      <c r="CA19" s="12"/>
      <c r="CB19" s="12"/>
      <c r="CC19" s="12"/>
      <c r="CD19" s="12"/>
      <c r="CE19" s="12"/>
      <c r="CF19" s="12"/>
      <c r="CG19" s="261"/>
      <c r="CH19" s="278"/>
      <c r="CI19" s="12"/>
      <c r="CJ19" s="12"/>
      <c r="CK19" s="251"/>
      <c r="CL19" s="46"/>
      <c r="CM19" s="46"/>
      <c r="CN19" s="46"/>
      <c r="CO19" s="46"/>
      <c r="CP19" s="46"/>
      <c r="CQ19" s="81"/>
      <c r="CR19" s="46"/>
      <c r="CS19" s="37"/>
      <c r="CT19" s="85"/>
      <c r="CU19" s="46"/>
      <c r="CV19" s="125"/>
      <c r="CW19" s="12"/>
      <c r="CX19" s="12"/>
      <c r="CY19" s="12"/>
      <c r="CZ19" s="12"/>
      <c r="DA19" s="12"/>
      <c r="DB19" s="261"/>
      <c r="DC19" s="278"/>
      <c r="DD19" s="12"/>
      <c r="DE19" s="12"/>
      <c r="DF19" s="251"/>
      <c r="DG19" s="255"/>
      <c r="DH19" s="12"/>
      <c r="DI19" s="12"/>
      <c r="DJ19" s="12"/>
      <c r="DK19" s="12"/>
      <c r="DL19" s="12"/>
      <c r="DM19" s="12"/>
      <c r="DN19" s="12"/>
      <c r="DO19" s="12"/>
      <c r="DP19" s="12"/>
      <c r="DQ19" s="12"/>
      <c r="DR19" s="12"/>
      <c r="DS19" s="12"/>
      <c r="DT19" s="12"/>
      <c r="DU19" s="12"/>
      <c r="DV19" s="12"/>
      <c r="DW19" s="261"/>
      <c r="DX19" s="278"/>
      <c r="DY19" s="12"/>
      <c r="DZ19" s="12"/>
      <c r="EA19" s="251"/>
      <c r="EB19" s="46"/>
      <c r="EC19" s="46"/>
      <c r="ED19" s="46"/>
      <c r="EE19" s="46"/>
      <c r="EF19" s="46"/>
      <c r="EG19" s="81"/>
      <c r="EH19" s="46"/>
      <c r="EI19" s="37"/>
      <c r="EJ19" s="85"/>
      <c r="EK19" s="46"/>
      <c r="EL19" s="125"/>
      <c r="EM19" s="12"/>
      <c r="EN19" s="12"/>
      <c r="EO19" s="12"/>
      <c r="EP19" s="12"/>
      <c r="EQ19" s="12"/>
      <c r="ER19" s="261"/>
      <c r="ES19" s="278"/>
      <c r="ET19" s="12"/>
      <c r="EU19" s="12"/>
      <c r="EV19" s="251"/>
      <c r="EW19" s="255"/>
      <c r="EX19" s="12"/>
      <c r="EY19" s="12"/>
      <c r="EZ19" s="12"/>
      <c r="FA19" s="12"/>
      <c r="FB19" s="12"/>
      <c r="FC19" s="12"/>
      <c r="FD19" s="12"/>
      <c r="FE19" s="12"/>
      <c r="FF19" s="12"/>
      <c r="FG19" s="12"/>
      <c r="FH19" s="12"/>
      <c r="FI19" s="12"/>
      <c r="FJ19" s="12"/>
      <c r="FK19" s="12"/>
      <c r="FL19" s="12"/>
      <c r="FM19" s="261"/>
      <c r="FN19" s="278"/>
      <c r="FO19" s="12"/>
      <c r="FP19" s="12"/>
      <c r="FQ19" s="251"/>
      <c r="FR19" s="46"/>
      <c r="FS19" s="46"/>
      <c r="FT19" s="46"/>
      <c r="FU19" s="46"/>
      <c r="FV19" s="46"/>
      <c r="FW19" s="81"/>
      <c r="FX19" s="46"/>
      <c r="FY19" s="37"/>
      <c r="FZ19" s="85"/>
      <c r="GA19" s="46"/>
      <c r="GB19" s="125"/>
      <c r="GC19" s="12"/>
      <c r="GD19" s="12"/>
      <c r="GE19" s="12"/>
      <c r="GF19" s="12"/>
      <c r="GG19" s="12"/>
      <c r="GH19" s="261"/>
      <c r="GI19" s="278"/>
      <c r="GJ19" s="12"/>
      <c r="GK19" s="12"/>
      <c r="GL19" s="251"/>
      <c r="GM19" s="255"/>
      <c r="GN19" s="12"/>
      <c r="GO19" s="12"/>
      <c r="GP19" s="12"/>
      <c r="GQ19" s="12"/>
      <c r="GR19" s="12"/>
      <c r="GS19" s="12"/>
      <c r="GT19" s="12"/>
      <c r="GU19" s="12"/>
      <c r="GV19" s="12"/>
      <c r="GW19" s="12"/>
      <c r="GX19" s="12"/>
      <c r="GY19" s="12"/>
      <c r="GZ19" s="12"/>
      <c r="HA19" s="12"/>
      <c r="HB19" s="12"/>
      <c r="HC19" s="261"/>
      <c r="HD19" s="278"/>
      <c r="HE19" s="12"/>
      <c r="HF19" s="12"/>
      <c r="HG19" s="251"/>
      <c r="HH19" s="255"/>
      <c r="HI19" s="12"/>
      <c r="HJ19" s="12"/>
      <c r="HK19" s="12"/>
      <c r="HL19" s="12"/>
      <c r="HM19" s="12"/>
      <c r="HN19" s="12"/>
      <c r="HO19" s="12"/>
      <c r="HP19" s="12"/>
      <c r="HQ19" s="12"/>
      <c r="HR19" s="12"/>
      <c r="HS19" s="12"/>
      <c r="HT19" s="12"/>
      <c r="HU19" s="12"/>
      <c r="HV19" s="12"/>
      <c r="HW19" s="12"/>
      <c r="HX19" s="261"/>
      <c r="HY19" s="278"/>
      <c r="HZ19" s="12"/>
      <c r="IA19" s="12"/>
      <c r="IB19" s="251"/>
      <c r="IC19" s="255"/>
      <c r="ID19" s="12"/>
      <c r="IE19" s="12"/>
      <c r="IF19" s="12"/>
      <c r="IG19" s="12"/>
      <c r="IH19" s="12"/>
      <c r="II19" s="12"/>
      <c r="IJ19" s="12"/>
      <c r="IK19" s="12"/>
      <c r="IL19" s="12"/>
      <c r="IM19" s="12"/>
      <c r="IN19" s="12"/>
      <c r="IO19" s="12"/>
      <c r="IP19" s="12"/>
      <c r="IQ19" s="12"/>
      <c r="IR19" s="12"/>
      <c r="IS19" s="261"/>
      <c r="IT19" s="278"/>
      <c r="IU19" s="12"/>
      <c r="IV19" s="12"/>
      <c r="IW19" s="251"/>
      <c r="IX19" s="255"/>
      <c r="IY19" s="12"/>
      <c r="IZ19" s="12"/>
      <c r="JA19" s="12"/>
      <c r="JB19" s="12"/>
      <c r="JC19" s="12"/>
      <c r="JD19" s="12"/>
      <c r="JE19" s="12"/>
      <c r="JF19" s="12"/>
      <c r="JG19" s="12"/>
      <c r="JH19" s="12"/>
      <c r="JI19" s="12"/>
      <c r="JJ19" s="12"/>
      <c r="JK19" s="12"/>
      <c r="JL19" s="12"/>
      <c r="JM19" s="12"/>
      <c r="JN19" s="261"/>
      <c r="JO19" s="278"/>
      <c r="JP19" s="12"/>
      <c r="JQ19" s="12"/>
      <c r="JR19" s="251"/>
      <c r="JS19" s="255"/>
      <c r="JT19" s="12"/>
      <c r="JU19" s="12"/>
      <c r="JV19" s="12"/>
      <c r="JW19" s="12"/>
      <c r="JX19" s="12"/>
      <c r="JY19" s="12"/>
      <c r="JZ19" s="12"/>
      <c r="KA19" s="12"/>
      <c r="KB19" s="12"/>
      <c r="KC19" s="12"/>
      <c r="KD19" s="12"/>
      <c r="KE19" s="12"/>
      <c r="KF19" s="12"/>
      <c r="KG19" s="12"/>
      <c r="KH19" s="12"/>
      <c r="KI19" s="261"/>
      <c r="KJ19" s="278"/>
      <c r="KK19" s="12"/>
      <c r="KL19" s="12"/>
      <c r="KM19" s="251"/>
      <c r="KN19" s="255"/>
      <c r="KO19" s="12"/>
      <c r="KP19" s="12"/>
      <c r="KQ19" s="12"/>
      <c r="KR19" s="12"/>
      <c r="KS19" s="12"/>
      <c r="KT19" s="12"/>
      <c r="KU19" s="12"/>
      <c r="KV19" s="12"/>
      <c r="KW19" s="12"/>
      <c r="KX19" s="12"/>
      <c r="KY19" s="12"/>
      <c r="KZ19" s="12"/>
      <c r="LA19" s="12"/>
      <c r="LB19" s="12"/>
      <c r="LC19" s="12"/>
      <c r="LD19" s="261"/>
      <c r="LE19" s="278"/>
      <c r="LF19" s="12"/>
      <c r="LG19" s="12"/>
      <c r="LH19" s="251"/>
      <c r="LI19" s="255"/>
      <c r="LJ19" s="12"/>
      <c r="LK19" s="12"/>
      <c r="LL19" s="12"/>
      <c r="LM19" s="12"/>
      <c r="LN19" s="12"/>
      <c r="LO19" s="12"/>
      <c r="LP19" s="12"/>
      <c r="LQ19" s="12"/>
      <c r="LR19" s="12"/>
      <c r="LS19" s="12"/>
      <c r="LT19" s="12"/>
      <c r="LU19" s="12"/>
      <c r="LV19" s="12"/>
      <c r="LW19" s="12"/>
      <c r="LX19" s="12"/>
      <c r="LY19" s="261"/>
      <c r="LZ19" s="278"/>
      <c r="MA19" s="12"/>
      <c r="MB19" s="12"/>
      <c r="MC19" s="251"/>
      <c r="MD19" s="255"/>
      <c r="ME19" s="12"/>
      <c r="MF19" s="12"/>
      <c r="MG19" s="12"/>
      <c r="MH19" s="12"/>
      <c r="MI19" s="12"/>
      <c r="MJ19" s="12"/>
      <c r="MK19" s="12"/>
      <c r="ML19" s="12"/>
      <c r="MM19" s="12"/>
      <c r="MN19" s="12"/>
      <c r="MO19" s="12"/>
      <c r="MP19" s="12"/>
      <c r="MQ19" s="12"/>
      <c r="MR19" s="12"/>
      <c r="MS19" s="12"/>
      <c r="MT19" s="261"/>
      <c r="MU19" s="278"/>
      <c r="MV19" s="12"/>
      <c r="MW19" s="12"/>
      <c r="MX19" s="251"/>
      <c r="MY19" s="255"/>
      <c r="MZ19" s="12"/>
      <c r="NA19" s="12"/>
      <c r="NB19" s="12"/>
      <c r="NC19" s="12"/>
      <c r="ND19" s="12"/>
      <c r="NE19" s="12"/>
      <c r="NF19" s="12"/>
      <c r="NG19" s="12"/>
      <c r="NH19" s="12"/>
      <c r="NI19" s="12"/>
      <c r="NJ19" s="12"/>
      <c r="NK19" s="12"/>
      <c r="NL19" s="12"/>
      <c r="NM19" s="12"/>
      <c r="NN19" s="12"/>
      <c r="NO19" s="261"/>
      <c r="NP19" s="278"/>
      <c r="NQ19" s="12"/>
      <c r="NR19" s="12"/>
      <c r="NS19" s="251"/>
      <c r="NT19" s="255"/>
      <c r="NU19" s="12"/>
      <c r="NV19" s="12"/>
      <c r="NW19" s="12"/>
      <c r="NX19" s="12"/>
      <c r="NY19" s="12"/>
      <c r="NZ19" s="12"/>
      <c r="OA19" s="12"/>
      <c r="OB19" s="12"/>
      <c r="OC19" s="12"/>
      <c r="OD19" s="12"/>
      <c r="OE19" s="12"/>
      <c r="OF19" s="12"/>
      <c r="OG19" s="12"/>
      <c r="OH19" s="12"/>
      <c r="OI19" s="12"/>
      <c r="OJ19" s="261"/>
      <c r="OK19" s="278"/>
      <c r="OL19" s="12"/>
      <c r="OM19" s="12"/>
      <c r="ON19" s="251"/>
      <c r="OO19" s="255"/>
      <c r="OP19" s="12"/>
      <c r="OQ19" s="12"/>
      <c r="OR19" s="12"/>
      <c r="OS19" s="12"/>
      <c r="OT19" s="12"/>
      <c r="OU19" s="12"/>
      <c r="OV19" s="12"/>
      <c r="OW19" s="12"/>
      <c r="OX19" s="12"/>
      <c r="OY19" s="12"/>
      <c r="OZ19" s="12"/>
      <c r="PA19" s="12"/>
      <c r="PB19" s="12"/>
      <c r="PC19" s="12"/>
      <c r="PD19" s="12"/>
      <c r="PE19" s="261"/>
      <c r="PF19" s="278"/>
      <c r="PG19" s="12"/>
      <c r="PH19" s="12"/>
      <c r="PI19" s="251"/>
      <c r="PJ19" s="255"/>
      <c r="PK19" s="12"/>
      <c r="PL19" s="12"/>
      <c r="PM19" s="12"/>
      <c r="PN19" s="12"/>
      <c r="PO19" s="12"/>
      <c r="PP19" s="12"/>
      <c r="PQ19" s="12"/>
      <c r="PR19" s="12"/>
      <c r="PS19" s="12"/>
      <c r="PT19" s="12"/>
      <c r="PU19" s="12"/>
      <c r="PV19" s="12"/>
      <c r="PW19" s="12"/>
      <c r="PX19" s="12"/>
      <c r="PY19" s="12"/>
      <c r="PZ19" s="261"/>
      <c r="QA19" s="278"/>
      <c r="QB19" s="12"/>
      <c r="QC19" s="12"/>
      <c r="QD19" s="251"/>
      <c r="QE19" s="255"/>
      <c r="QF19" s="12"/>
      <c r="QG19" s="12"/>
      <c r="QH19" s="12"/>
      <c r="QI19" s="12"/>
      <c r="QJ19" s="12"/>
      <c r="QK19" s="12"/>
      <c r="QL19" s="12"/>
      <c r="QM19" s="12"/>
      <c r="QN19" s="12"/>
      <c r="QO19" s="12"/>
      <c r="QP19" s="12"/>
      <c r="QQ19" s="12"/>
      <c r="QR19" s="12"/>
      <c r="QS19" s="12"/>
      <c r="QT19" s="12"/>
      <c r="QU19" s="261"/>
      <c r="QV19" s="278"/>
      <c r="QW19" s="12"/>
      <c r="QX19" s="12"/>
      <c r="QY19" s="251"/>
      <c r="QZ19" s="255"/>
      <c r="RA19" s="12"/>
      <c r="RB19" s="12"/>
      <c r="RC19" s="12"/>
      <c r="RD19" s="12"/>
      <c r="RE19" s="12"/>
      <c r="RF19" s="12"/>
      <c r="RG19" s="12"/>
      <c r="RH19" s="12"/>
      <c r="RI19" s="12"/>
      <c r="RJ19" s="12"/>
      <c r="RK19" s="12"/>
      <c r="RL19" s="12"/>
      <c r="RM19" s="12"/>
      <c r="RN19" s="12"/>
      <c r="RO19" s="12"/>
      <c r="RP19" s="261"/>
      <c r="RQ19" s="278"/>
      <c r="RR19" s="12"/>
      <c r="RS19" s="12"/>
      <c r="RT19" s="251"/>
      <c r="RU19" s="255"/>
      <c r="RV19" s="12"/>
      <c r="RW19" s="12"/>
      <c r="RX19" s="12"/>
      <c r="RY19" s="12"/>
      <c r="RZ19" s="12"/>
      <c r="SA19" s="12"/>
      <c r="SB19" s="12"/>
      <c r="SC19" s="12"/>
      <c r="SD19" s="12"/>
      <c r="SE19" s="12"/>
      <c r="SF19" s="12"/>
      <c r="SG19" s="12"/>
      <c r="SH19" s="12"/>
      <c r="SI19" s="12"/>
      <c r="SJ19" s="12"/>
      <c r="SK19" s="261"/>
      <c r="SL19" s="278"/>
      <c r="SM19" s="12"/>
      <c r="SN19" s="12"/>
      <c r="SO19" s="251"/>
      <c r="SP19" s="255"/>
      <c r="SQ19" s="12"/>
      <c r="SR19" s="12"/>
      <c r="SS19" s="12"/>
      <c r="ST19" s="12"/>
      <c r="SU19" s="12"/>
      <c r="SV19" s="12"/>
      <c r="SW19" s="12"/>
      <c r="SX19" s="12"/>
      <c r="SY19" s="12"/>
      <c r="SZ19" s="12"/>
      <c r="TA19" s="12"/>
      <c r="TB19" s="12"/>
      <c r="TC19" s="12"/>
      <c r="TD19" s="12"/>
      <c r="TE19" s="12"/>
      <c r="TF19" s="261"/>
      <c r="TG19" s="278"/>
      <c r="TH19" s="12"/>
      <c r="TI19" s="12"/>
      <c r="TJ19" s="251"/>
      <c r="TK19" s="255"/>
      <c r="TL19" s="12"/>
      <c r="TM19" s="12"/>
      <c r="TN19" s="12"/>
      <c r="TO19" s="12"/>
      <c r="TP19" s="12"/>
      <c r="TQ19" s="12"/>
      <c r="TR19" s="12"/>
      <c r="TS19" s="12"/>
      <c r="TT19" s="12"/>
      <c r="TU19" s="12"/>
      <c r="TV19" s="12"/>
      <c r="TW19" s="12"/>
      <c r="TX19" s="12"/>
      <c r="TY19" s="12"/>
      <c r="TZ19" s="12"/>
      <c r="UA19" s="261"/>
      <c r="UB19" s="278"/>
      <c r="UC19" s="12"/>
      <c r="UD19" s="12"/>
      <c r="UE19" s="251"/>
      <c r="UF19" s="255"/>
      <c r="UG19" s="12"/>
      <c r="UH19" s="12"/>
      <c r="UI19" s="12"/>
      <c r="UJ19" s="12"/>
      <c r="UK19" s="12"/>
      <c r="UL19" s="12"/>
      <c r="UM19" s="12"/>
      <c r="UN19" s="12"/>
      <c r="UO19" s="12"/>
      <c r="UP19" s="12"/>
      <c r="UQ19" s="12"/>
      <c r="UR19" s="12"/>
      <c r="US19" s="12"/>
      <c r="UT19" s="12"/>
      <c r="UU19" s="12"/>
      <c r="UV19" s="261"/>
      <c r="UW19" s="278"/>
      <c r="UX19" s="12"/>
      <c r="UY19" s="12"/>
      <c r="UZ19" s="251"/>
      <c r="VA19" s="255"/>
      <c r="VB19" s="12"/>
      <c r="VC19" s="12"/>
      <c r="VD19" s="12"/>
      <c r="VE19" s="12"/>
      <c r="VF19" s="12"/>
      <c r="VG19" s="12"/>
      <c r="VH19" s="12"/>
      <c r="VI19" s="12"/>
      <c r="VJ19" s="12"/>
      <c r="VK19" s="12"/>
      <c r="VL19" s="12"/>
      <c r="VM19" s="12"/>
      <c r="VN19" s="12"/>
      <c r="VO19" s="12"/>
      <c r="VP19" s="12"/>
      <c r="VQ19" s="261"/>
      <c r="VR19" s="278"/>
      <c r="VS19" s="12"/>
      <c r="VT19" s="12"/>
      <c r="VU19" s="251"/>
      <c r="VV19" s="255"/>
      <c r="VW19" s="12"/>
      <c r="VX19" s="12"/>
      <c r="VY19" s="12"/>
      <c r="VZ19" s="12"/>
      <c r="WA19" s="12"/>
      <c r="WB19" s="12"/>
      <c r="WC19" s="12"/>
      <c r="WD19" s="12"/>
      <c r="WE19" s="12"/>
      <c r="WF19" s="12"/>
      <c r="WG19" s="12"/>
      <c r="WH19" s="12"/>
      <c r="WI19" s="12"/>
      <c r="WJ19" s="12"/>
      <c r="WK19" s="12"/>
      <c r="WL19" s="261"/>
      <c r="WM19" s="278"/>
      <c r="WN19" s="12"/>
      <c r="WO19" s="12"/>
      <c r="WP19" s="251"/>
      <c r="WQ19" s="255"/>
      <c r="WR19" s="12"/>
      <c r="WS19" s="12"/>
      <c r="WT19" s="12"/>
      <c r="WU19" s="12"/>
      <c r="WV19" s="12"/>
      <c r="WW19" s="12"/>
      <c r="WX19" s="12"/>
      <c r="WY19" s="12"/>
      <c r="WZ19" s="12"/>
      <c r="XA19" s="12"/>
      <c r="XB19" s="12"/>
      <c r="XC19" s="12"/>
      <c r="XD19" s="12"/>
      <c r="XE19" s="12"/>
      <c r="XF19" s="12"/>
      <c r="XG19" s="261"/>
      <c r="XH19" s="278"/>
      <c r="XI19" s="12"/>
      <c r="XJ19" s="12"/>
      <c r="XK19" s="251"/>
      <c r="XL19" s="255"/>
      <c r="XM19" s="12"/>
      <c r="XN19" s="12"/>
      <c r="XO19" s="12"/>
      <c r="XP19" s="12"/>
      <c r="XQ19" s="12"/>
      <c r="XR19" s="12"/>
      <c r="XS19" s="12"/>
      <c r="XT19" s="12"/>
      <c r="XU19" s="12"/>
      <c r="XV19" s="12"/>
      <c r="XW19" s="12"/>
      <c r="XX19" s="12"/>
      <c r="XY19" s="12"/>
      <c r="XZ19" s="12"/>
      <c r="YA19" s="12"/>
      <c r="YB19" s="261"/>
    </row>
    <row r="20" spans="1:652" x14ac:dyDescent="0.3">
      <c r="A20" s="223" t="s">
        <v>130</v>
      </c>
      <c r="B20" s="271"/>
      <c r="C20" s="48"/>
      <c r="D20" s="48"/>
      <c r="E20" s="235"/>
      <c r="F20" s="239">
        <v>1</v>
      </c>
      <c r="G20" s="66"/>
      <c r="H20" s="66" t="s">
        <v>569</v>
      </c>
      <c r="I20" s="49" t="s">
        <v>570</v>
      </c>
      <c r="J20" s="49" t="s">
        <v>635</v>
      </c>
      <c r="K20" s="49" t="s">
        <v>575</v>
      </c>
      <c r="L20" s="49">
        <v>38.479999999999997</v>
      </c>
      <c r="M20" s="49" t="s">
        <v>573</v>
      </c>
      <c r="N20" s="49" t="s">
        <v>568</v>
      </c>
      <c r="O20" s="49"/>
      <c r="P20" s="49" t="s">
        <v>636</v>
      </c>
      <c r="Q20" s="49"/>
      <c r="R20" s="49"/>
      <c r="S20" s="49"/>
      <c r="T20" s="49"/>
      <c r="U20" s="49"/>
      <c r="V20" s="260"/>
      <c r="W20" s="276"/>
      <c r="X20" s="49"/>
      <c r="Y20" s="49"/>
      <c r="Z20" s="249"/>
      <c r="AA20" s="254">
        <v>1</v>
      </c>
      <c r="AB20" s="66"/>
      <c r="AC20" s="66" t="s">
        <v>569</v>
      </c>
      <c r="AD20" s="49" t="s">
        <v>570</v>
      </c>
      <c r="AE20" s="49" t="s">
        <v>637</v>
      </c>
      <c r="AF20" s="49" t="s">
        <v>575</v>
      </c>
      <c r="AG20" s="49">
        <v>38.85</v>
      </c>
      <c r="AH20" s="49" t="s">
        <v>573</v>
      </c>
      <c r="AI20" s="49" t="s">
        <v>568</v>
      </c>
      <c r="AJ20" s="49"/>
      <c r="AK20" s="49" t="s">
        <v>636</v>
      </c>
      <c r="AL20" s="49"/>
      <c r="AM20" s="49"/>
      <c r="AN20" s="49"/>
      <c r="AO20" s="49"/>
      <c r="AP20" s="49"/>
      <c r="AQ20" s="260"/>
      <c r="AR20" s="271"/>
      <c r="AS20" s="48"/>
      <c r="AT20" s="48"/>
      <c r="AU20" s="235"/>
      <c r="AV20" s="239">
        <v>1</v>
      </c>
      <c r="AW20" s="66"/>
      <c r="AX20" s="66" t="s">
        <v>569</v>
      </c>
      <c r="AY20" s="49" t="s">
        <v>570</v>
      </c>
      <c r="AZ20" s="49" t="s">
        <v>638</v>
      </c>
      <c r="BA20" s="49" t="s">
        <v>572</v>
      </c>
      <c r="BB20" s="49">
        <v>29.51</v>
      </c>
      <c r="BC20" s="49" t="s">
        <v>573</v>
      </c>
      <c r="BD20" s="49" t="s">
        <v>568</v>
      </c>
      <c r="BE20" s="49"/>
      <c r="BF20" s="49" t="s">
        <v>639</v>
      </c>
      <c r="BG20" s="49"/>
      <c r="BH20" s="49"/>
      <c r="BI20" s="49"/>
      <c r="BJ20" s="49"/>
      <c r="BK20" s="49"/>
      <c r="BL20" s="260"/>
      <c r="BM20" s="276"/>
      <c r="BN20" s="49"/>
      <c r="BO20" s="49"/>
      <c r="BP20" s="249"/>
      <c r="BQ20" s="254">
        <v>1</v>
      </c>
      <c r="BR20" s="66"/>
      <c r="BS20" s="66" t="s">
        <v>569</v>
      </c>
      <c r="BT20" s="49" t="s">
        <v>570</v>
      </c>
      <c r="BU20" s="49" t="s">
        <v>640</v>
      </c>
      <c r="BV20" s="49" t="s">
        <v>572</v>
      </c>
      <c r="BW20" s="49">
        <v>29.51</v>
      </c>
      <c r="BX20" s="49" t="s">
        <v>573</v>
      </c>
      <c r="BY20" s="49" t="s">
        <v>568</v>
      </c>
      <c r="BZ20" s="49"/>
      <c r="CA20" s="49" t="s">
        <v>639</v>
      </c>
      <c r="CB20" s="49"/>
      <c r="CC20" s="49"/>
      <c r="CD20" s="49"/>
      <c r="CE20" s="49"/>
      <c r="CF20" s="49"/>
      <c r="CG20" s="260"/>
      <c r="CH20" s="276"/>
      <c r="CI20" s="49"/>
      <c r="CJ20" s="49"/>
      <c r="CK20" s="249"/>
      <c r="CL20" s="53">
        <v>1</v>
      </c>
      <c r="CM20" s="109"/>
      <c r="CN20" s="109" t="s">
        <v>641</v>
      </c>
      <c r="CO20" s="109" t="s">
        <v>642</v>
      </c>
      <c r="CP20" s="53" t="s">
        <v>643</v>
      </c>
      <c r="CQ20" s="80" t="s">
        <v>566</v>
      </c>
      <c r="CR20" s="53">
        <v>378.5</v>
      </c>
      <c r="CS20" s="54" t="s">
        <v>567</v>
      </c>
      <c r="CT20" s="84" t="s">
        <v>568</v>
      </c>
      <c r="CU20" s="202">
        <v>44497</v>
      </c>
      <c r="CV20" s="66" t="s">
        <v>644</v>
      </c>
      <c r="CW20" s="49"/>
      <c r="CX20" s="49"/>
      <c r="CY20" s="49"/>
      <c r="CZ20" s="49"/>
      <c r="DA20" s="49"/>
      <c r="DB20" s="260"/>
      <c r="DC20" s="276"/>
      <c r="DD20" s="49"/>
      <c r="DE20" s="49"/>
      <c r="DF20" s="249"/>
      <c r="DG20" s="254" t="s">
        <v>567</v>
      </c>
      <c r="DH20" s="66"/>
      <c r="DI20" s="66" t="s">
        <v>641</v>
      </c>
      <c r="DJ20" s="49" t="s">
        <v>645</v>
      </c>
      <c r="DK20" s="49" t="s">
        <v>643</v>
      </c>
      <c r="DL20" s="49" t="s">
        <v>575</v>
      </c>
      <c r="DM20" s="49">
        <v>374.8</v>
      </c>
      <c r="DN20" s="49" t="s">
        <v>567</v>
      </c>
      <c r="DO20" s="49" t="s">
        <v>568</v>
      </c>
      <c r="DP20" s="49">
        <v>44497</v>
      </c>
      <c r="DQ20" s="49" t="s">
        <v>644</v>
      </c>
      <c r="DR20" s="49"/>
      <c r="DS20" s="49"/>
      <c r="DT20" s="49"/>
      <c r="DU20" s="49"/>
      <c r="DV20" s="49"/>
      <c r="DW20" s="260"/>
      <c r="DX20" s="276"/>
      <c r="DY20" s="49"/>
      <c r="DZ20" s="49"/>
      <c r="EA20" s="249"/>
      <c r="EB20" s="53">
        <v>1</v>
      </c>
      <c r="EC20" s="109"/>
      <c r="ED20" s="109" t="s">
        <v>641</v>
      </c>
      <c r="EE20" s="109" t="s">
        <v>646</v>
      </c>
      <c r="EF20" s="53" t="s">
        <v>647</v>
      </c>
      <c r="EG20" s="80" t="s">
        <v>576</v>
      </c>
      <c r="EH20" s="53">
        <v>180.9</v>
      </c>
      <c r="EI20" s="54" t="s">
        <v>567</v>
      </c>
      <c r="EJ20" s="84" t="s">
        <v>568</v>
      </c>
      <c r="EK20" s="202">
        <v>44197</v>
      </c>
      <c r="EL20" s="66" t="s">
        <v>644</v>
      </c>
      <c r="EM20" s="49"/>
      <c r="EN20" s="49"/>
      <c r="EO20" s="49"/>
      <c r="EP20" s="49"/>
      <c r="EQ20" s="49"/>
      <c r="ER20" s="260"/>
      <c r="ES20" s="276"/>
      <c r="ET20" s="49"/>
      <c r="EU20" s="49"/>
      <c r="EV20" s="249"/>
      <c r="EW20" s="254"/>
      <c r="EX20" s="66"/>
      <c r="EY20" s="66"/>
      <c r="EZ20" s="49"/>
      <c r="FA20" s="49"/>
      <c r="FB20" s="49"/>
      <c r="FC20" s="49"/>
      <c r="FD20" s="49"/>
      <c r="FE20" s="49"/>
      <c r="FF20" s="49"/>
      <c r="FG20" s="49"/>
      <c r="FH20" s="49"/>
      <c r="FI20" s="49"/>
      <c r="FJ20" s="49"/>
      <c r="FK20" s="49"/>
      <c r="FL20" s="49"/>
      <c r="FM20" s="260"/>
      <c r="FN20" s="276"/>
      <c r="FO20" s="49"/>
      <c r="FP20" s="49"/>
      <c r="FQ20" s="249"/>
      <c r="FR20" s="53"/>
      <c r="FS20" s="109"/>
      <c r="FT20" s="109"/>
      <c r="FU20" s="109"/>
      <c r="FV20" s="53"/>
      <c r="FW20" s="80"/>
      <c r="FX20" s="53"/>
      <c r="FY20" s="54"/>
      <c r="FZ20" s="84"/>
      <c r="GA20" s="202"/>
      <c r="GB20" s="66"/>
      <c r="GC20" s="49"/>
      <c r="GD20" s="49"/>
      <c r="GE20" s="49"/>
      <c r="GF20" s="49"/>
      <c r="GG20" s="49"/>
      <c r="GH20" s="260"/>
      <c r="GI20" s="276"/>
      <c r="GJ20" s="49"/>
      <c r="GK20" s="49"/>
      <c r="GL20" s="249"/>
      <c r="GM20" s="254"/>
      <c r="GN20" s="66"/>
      <c r="GO20" s="66"/>
      <c r="GP20" s="49"/>
      <c r="GQ20" s="49"/>
      <c r="GR20" s="49"/>
      <c r="GS20" s="49"/>
      <c r="GT20" s="49"/>
      <c r="GU20" s="49"/>
      <c r="GV20" s="49"/>
      <c r="GW20" s="49"/>
      <c r="GX20" s="49"/>
      <c r="GY20" s="49"/>
      <c r="GZ20" s="49"/>
      <c r="HA20" s="49"/>
      <c r="HB20" s="49"/>
      <c r="HC20" s="260"/>
      <c r="HD20" s="276"/>
      <c r="HE20" s="49"/>
      <c r="HF20" s="49"/>
      <c r="HG20" s="249"/>
      <c r="HH20" s="254"/>
      <c r="HI20" s="66"/>
      <c r="HJ20" s="66"/>
      <c r="HK20" s="49"/>
      <c r="HL20" s="49"/>
      <c r="HM20" s="49"/>
      <c r="HN20" s="49"/>
      <c r="HO20" s="49"/>
      <c r="HP20" s="49"/>
      <c r="HQ20" s="49"/>
      <c r="HR20" s="49"/>
      <c r="HS20" s="49"/>
      <c r="HT20" s="49"/>
      <c r="HU20" s="49"/>
      <c r="HV20" s="49"/>
      <c r="HW20" s="49"/>
      <c r="HX20" s="260"/>
      <c r="HY20" s="276"/>
      <c r="HZ20" s="49"/>
      <c r="IA20" s="49"/>
      <c r="IB20" s="249"/>
      <c r="IC20" s="254"/>
      <c r="ID20" s="66"/>
      <c r="IE20" s="66"/>
      <c r="IF20" s="49"/>
      <c r="IG20" s="49"/>
      <c r="IH20" s="49"/>
      <c r="II20" s="49"/>
      <c r="IJ20" s="49"/>
      <c r="IK20" s="49"/>
      <c r="IL20" s="49"/>
      <c r="IM20" s="49"/>
      <c r="IN20" s="49"/>
      <c r="IO20" s="49"/>
      <c r="IP20" s="49"/>
      <c r="IQ20" s="49"/>
      <c r="IR20" s="49"/>
      <c r="IS20" s="260"/>
      <c r="IT20" s="276"/>
      <c r="IU20" s="49"/>
      <c r="IV20" s="49"/>
      <c r="IW20" s="249"/>
      <c r="IX20" s="254"/>
      <c r="IY20" s="66"/>
      <c r="IZ20" s="66"/>
      <c r="JA20" s="49"/>
      <c r="JB20" s="49"/>
      <c r="JC20" s="49"/>
      <c r="JD20" s="49"/>
      <c r="JE20" s="49"/>
      <c r="JF20" s="49"/>
      <c r="JG20" s="49"/>
      <c r="JH20" s="49"/>
      <c r="JI20" s="49"/>
      <c r="JJ20" s="49"/>
      <c r="JK20" s="49"/>
      <c r="JL20" s="49"/>
      <c r="JM20" s="49"/>
      <c r="JN20" s="260"/>
      <c r="JO20" s="276"/>
      <c r="JP20" s="49"/>
      <c r="JQ20" s="49"/>
      <c r="JR20" s="249"/>
      <c r="JS20" s="254"/>
      <c r="JT20" s="66"/>
      <c r="JU20" s="66"/>
      <c r="JV20" s="49"/>
      <c r="JW20" s="49"/>
      <c r="JX20" s="49"/>
      <c r="JY20" s="49"/>
      <c r="JZ20" s="49"/>
      <c r="KA20" s="49"/>
      <c r="KB20" s="49"/>
      <c r="KC20" s="49"/>
      <c r="KD20" s="49"/>
      <c r="KE20" s="49"/>
      <c r="KF20" s="49"/>
      <c r="KG20" s="49"/>
      <c r="KH20" s="49"/>
      <c r="KI20" s="260"/>
      <c r="KJ20" s="276"/>
      <c r="KK20" s="49"/>
      <c r="KL20" s="49"/>
      <c r="KM20" s="249"/>
      <c r="KN20" s="254"/>
      <c r="KO20" s="66"/>
      <c r="KP20" s="66"/>
      <c r="KQ20" s="49"/>
      <c r="KR20" s="49"/>
      <c r="KS20" s="49"/>
      <c r="KT20" s="49"/>
      <c r="KU20" s="49"/>
      <c r="KV20" s="49"/>
      <c r="KW20" s="49"/>
      <c r="KX20" s="49"/>
      <c r="KY20" s="49"/>
      <c r="KZ20" s="49"/>
      <c r="LA20" s="49"/>
      <c r="LB20" s="49"/>
      <c r="LC20" s="49"/>
      <c r="LD20" s="260"/>
      <c r="LE20" s="276"/>
      <c r="LF20" s="49"/>
      <c r="LG20" s="49"/>
      <c r="LH20" s="249"/>
      <c r="LI20" s="254"/>
      <c r="LJ20" s="66"/>
      <c r="LK20" s="66"/>
      <c r="LL20" s="49"/>
      <c r="LM20" s="49"/>
      <c r="LN20" s="49"/>
      <c r="LO20" s="49"/>
      <c r="LP20" s="49"/>
      <c r="LQ20" s="49"/>
      <c r="LR20" s="49"/>
      <c r="LS20" s="49"/>
      <c r="LT20" s="49"/>
      <c r="LU20" s="49"/>
      <c r="LV20" s="49"/>
      <c r="LW20" s="49"/>
      <c r="LX20" s="49"/>
      <c r="LY20" s="260"/>
      <c r="LZ20" s="276"/>
      <c r="MA20" s="49"/>
      <c r="MB20" s="49"/>
      <c r="MC20" s="249"/>
      <c r="MD20" s="254"/>
      <c r="ME20" s="66"/>
      <c r="MF20" s="66"/>
      <c r="MG20" s="49"/>
      <c r="MH20" s="49"/>
      <c r="MI20" s="49"/>
      <c r="MJ20" s="49"/>
      <c r="MK20" s="49"/>
      <c r="ML20" s="49"/>
      <c r="MM20" s="49"/>
      <c r="MN20" s="49"/>
      <c r="MO20" s="49"/>
      <c r="MP20" s="49"/>
      <c r="MQ20" s="49"/>
      <c r="MR20" s="49"/>
      <c r="MS20" s="49"/>
      <c r="MT20" s="260"/>
      <c r="MU20" s="276"/>
      <c r="MV20" s="49"/>
      <c r="MW20" s="49"/>
      <c r="MX20" s="249"/>
      <c r="MY20" s="254"/>
      <c r="MZ20" s="66"/>
      <c r="NA20" s="66"/>
      <c r="NB20" s="49"/>
      <c r="NC20" s="49"/>
      <c r="ND20" s="49"/>
      <c r="NE20" s="49"/>
      <c r="NF20" s="49"/>
      <c r="NG20" s="49"/>
      <c r="NH20" s="49"/>
      <c r="NI20" s="49"/>
      <c r="NJ20" s="49"/>
      <c r="NK20" s="49"/>
      <c r="NL20" s="49"/>
      <c r="NM20" s="49"/>
      <c r="NN20" s="49"/>
      <c r="NO20" s="260"/>
      <c r="NP20" s="276"/>
      <c r="NQ20" s="49"/>
      <c r="NR20" s="49"/>
      <c r="NS20" s="249"/>
      <c r="NT20" s="254"/>
      <c r="NU20" s="66"/>
      <c r="NV20" s="66"/>
      <c r="NW20" s="49"/>
      <c r="NX20" s="49"/>
      <c r="NY20" s="49"/>
      <c r="NZ20" s="49"/>
      <c r="OA20" s="49"/>
      <c r="OB20" s="49"/>
      <c r="OC20" s="49"/>
      <c r="OD20" s="49"/>
      <c r="OE20" s="49"/>
      <c r="OF20" s="49"/>
      <c r="OG20" s="49"/>
      <c r="OH20" s="49"/>
      <c r="OI20" s="49"/>
      <c r="OJ20" s="260"/>
      <c r="OK20" s="276"/>
      <c r="OL20" s="49"/>
      <c r="OM20" s="49"/>
      <c r="ON20" s="249"/>
      <c r="OO20" s="254"/>
      <c r="OP20" s="66"/>
      <c r="OQ20" s="66"/>
      <c r="OR20" s="49"/>
      <c r="OS20" s="49"/>
      <c r="OT20" s="49"/>
      <c r="OU20" s="49"/>
      <c r="OV20" s="49"/>
      <c r="OW20" s="49"/>
      <c r="OX20" s="49"/>
      <c r="OY20" s="49"/>
      <c r="OZ20" s="49"/>
      <c r="PA20" s="49"/>
      <c r="PB20" s="49"/>
      <c r="PC20" s="49"/>
      <c r="PD20" s="49"/>
      <c r="PE20" s="260"/>
      <c r="PF20" s="276"/>
      <c r="PG20" s="49"/>
      <c r="PH20" s="49"/>
      <c r="PI20" s="249"/>
      <c r="PJ20" s="254"/>
      <c r="PK20" s="66"/>
      <c r="PL20" s="66"/>
      <c r="PM20" s="49"/>
      <c r="PN20" s="49"/>
      <c r="PO20" s="49"/>
      <c r="PP20" s="49"/>
      <c r="PQ20" s="49"/>
      <c r="PR20" s="49"/>
      <c r="PS20" s="49"/>
      <c r="PT20" s="49"/>
      <c r="PU20" s="49"/>
      <c r="PV20" s="49"/>
      <c r="PW20" s="49"/>
      <c r="PX20" s="49"/>
      <c r="PY20" s="49"/>
      <c r="PZ20" s="260"/>
      <c r="QA20" s="276"/>
      <c r="QB20" s="49"/>
      <c r="QC20" s="49"/>
      <c r="QD20" s="249"/>
      <c r="QE20" s="254"/>
      <c r="QF20" s="66"/>
      <c r="QG20" s="66"/>
      <c r="QH20" s="49"/>
      <c r="QI20" s="49"/>
      <c r="QJ20" s="49"/>
      <c r="QK20" s="49"/>
      <c r="QL20" s="49"/>
      <c r="QM20" s="49"/>
      <c r="QN20" s="49"/>
      <c r="QO20" s="49"/>
      <c r="QP20" s="49"/>
      <c r="QQ20" s="49"/>
      <c r="QR20" s="49"/>
      <c r="QS20" s="49"/>
      <c r="QT20" s="49"/>
      <c r="QU20" s="260"/>
      <c r="QV20" s="276"/>
      <c r="QW20" s="49"/>
      <c r="QX20" s="49"/>
      <c r="QY20" s="249"/>
      <c r="QZ20" s="254"/>
      <c r="RA20" s="66"/>
      <c r="RB20" s="66"/>
      <c r="RC20" s="49"/>
      <c r="RD20" s="49"/>
      <c r="RE20" s="49"/>
      <c r="RF20" s="49"/>
      <c r="RG20" s="49"/>
      <c r="RH20" s="49"/>
      <c r="RI20" s="49"/>
      <c r="RJ20" s="49"/>
      <c r="RK20" s="49"/>
      <c r="RL20" s="49"/>
      <c r="RM20" s="49"/>
      <c r="RN20" s="49"/>
      <c r="RO20" s="49"/>
      <c r="RP20" s="260"/>
      <c r="RQ20" s="276"/>
      <c r="RR20" s="49"/>
      <c r="RS20" s="49"/>
      <c r="RT20" s="249"/>
      <c r="RU20" s="254"/>
      <c r="RV20" s="66"/>
      <c r="RW20" s="66"/>
      <c r="RX20" s="49"/>
      <c r="RY20" s="49"/>
      <c r="RZ20" s="49"/>
      <c r="SA20" s="49"/>
      <c r="SB20" s="49"/>
      <c r="SC20" s="49"/>
      <c r="SD20" s="49"/>
      <c r="SE20" s="49"/>
      <c r="SF20" s="49"/>
      <c r="SG20" s="49"/>
      <c r="SH20" s="49"/>
      <c r="SI20" s="49"/>
      <c r="SJ20" s="49"/>
      <c r="SK20" s="260"/>
      <c r="SL20" s="276"/>
      <c r="SM20" s="49"/>
      <c r="SN20" s="49"/>
      <c r="SO20" s="249"/>
      <c r="SP20" s="254"/>
      <c r="SQ20" s="66"/>
      <c r="SR20" s="66"/>
      <c r="SS20" s="49"/>
      <c r="ST20" s="49"/>
      <c r="SU20" s="49"/>
      <c r="SV20" s="49"/>
      <c r="SW20" s="49"/>
      <c r="SX20" s="49"/>
      <c r="SY20" s="49"/>
      <c r="SZ20" s="49"/>
      <c r="TA20" s="49"/>
      <c r="TB20" s="49"/>
      <c r="TC20" s="49"/>
      <c r="TD20" s="49"/>
      <c r="TE20" s="49"/>
      <c r="TF20" s="260"/>
      <c r="TG20" s="276"/>
      <c r="TH20" s="49"/>
      <c r="TI20" s="49"/>
      <c r="TJ20" s="249"/>
      <c r="TK20" s="254"/>
      <c r="TL20" s="66"/>
      <c r="TM20" s="66"/>
      <c r="TN20" s="49"/>
      <c r="TO20" s="49"/>
      <c r="TP20" s="49"/>
      <c r="TQ20" s="49"/>
      <c r="TR20" s="49"/>
      <c r="TS20" s="49"/>
      <c r="TT20" s="49"/>
      <c r="TU20" s="49"/>
      <c r="TV20" s="49"/>
      <c r="TW20" s="49"/>
      <c r="TX20" s="49"/>
      <c r="TY20" s="49"/>
      <c r="TZ20" s="49"/>
      <c r="UA20" s="260"/>
      <c r="UB20" s="276"/>
      <c r="UC20" s="49"/>
      <c r="UD20" s="49"/>
      <c r="UE20" s="249"/>
      <c r="UF20" s="254"/>
      <c r="UG20" s="66"/>
      <c r="UH20" s="66"/>
      <c r="UI20" s="49"/>
      <c r="UJ20" s="49"/>
      <c r="UK20" s="49"/>
      <c r="UL20" s="49"/>
      <c r="UM20" s="49"/>
      <c r="UN20" s="49"/>
      <c r="UO20" s="49"/>
      <c r="UP20" s="49"/>
      <c r="UQ20" s="49"/>
      <c r="UR20" s="49"/>
      <c r="US20" s="49"/>
      <c r="UT20" s="49"/>
      <c r="UU20" s="49"/>
      <c r="UV20" s="260"/>
      <c r="UW20" s="276"/>
      <c r="UX20" s="49"/>
      <c r="UY20" s="49"/>
      <c r="UZ20" s="249"/>
      <c r="VA20" s="254"/>
      <c r="VB20" s="66"/>
      <c r="VC20" s="66"/>
      <c r="VD20" s="49"/>
      <c r="VE20" s="49"/>
      <c r="VF20" s="49"/>
      <c r="VG20" s="49"/>
      <c r="VH20" s="49"/>
      <c r="VI20" s="49"/>
      <c r="VJ20" s="49"/>
      <c r="VK20" s="49"/>
      <c r="VL20" s="49"/>
      <c r="VM20" s="49"/>
      <c r="VN20" s="49"/>
      <c r="VO20" s="49"/>
      <c r="VP20" s="49"/>
      <c r="VQ20" s="260"/>
      <c r="VR20" s="276"/>
      <c r="VS20" s="49"/>
      <c r="VT20" s="49"/>
      <c r="VU20" s="249"/>
      <c r="VV20" s="254"/>
      <c r="VW20" s="66"/>
      <c r="VX20" s="66"/>
      <c r="VY20" s="49"/>
      <c r="VZ20" s="49"/>
      <c r="WA20" s="49"/>
      <c r="WB20" s="49"/>
      <c r="WC20" s="49"/>
      <c r="WD20" s="49"/>
      <c r="WE20" s="49"/>
      <c r="WF20" s="49"/>
      <c r="WG20" s="49"/>
      <c r="WH20" s="49"/>
      <c r="WI20" s="49"/>
      <c r="WJ20" s="49"/>
      <c r="WK20" s="49"/>
      <c r="WL20" s="260"/>
      <c r="WM20" s="276"/>
      <c r="WN20" s="49"/>
      <c r="WO20" s="49"/>
      <c r="WP20" s="249"/>
      <c r="WQ20" s="254"/>
      <c r="WR20" s="66"/>
      <c r="WS20" s="66"/>
      <c r="WT20" s="49"/>
      <c r="WU20" s="49"/>
      <c r="WV20" s="49"/>
      <c r="WW20" s="49"/>
      <c r="WX20" s="49"/>
      <c r="WY20" s="49"/>
      <c r="WZ20" s="49"/>
      <c r="XA20" s="49"/>
      <c r="XB20" s="49"/>
      <c r="XC20" s="49"/>
      <c r="XD20" s="49"/>
      <c r="XE20" s="49"/>
      <c r="XF20" s="49"/>
      <c r="XG20" s="260"/>
      <c r="XH20" s="276"/>
      <c r="XI20" s="49"/>
      <c r="XJ20" s="49"/>
      <c r="XK20" s="249"/>
      <c r="XL20" s="254"/>
      <c r="XM20" s="66"/>
      <c r="XN20" s="66"/>
      <c r="XO20" s="49"/>
      <c r="XP20" s="49"/>
      <c r="XQ20" s="49"/>
      <c r="XR20" s="49"/>
      <c r="XS20" s="49"/>
      <c r="XT20" s="49"/>
      <c r="XU20" s="49"/>
      <c r="XV20" s="49"/>
      <c r="XW20" s="49"/>
      <c r="XX20" s="49"/>
      <c r="XY20" s="49"/>
      <c r="XZ20" s="49"/>
      <c r="YA20" s="49"/>
      <c r="YB20" s="260"/>
    </row>
    <row r="21" spans="1:652" x14ac:dyDescent="0.3">
      <c r="A21" s="224" t="s">
        <v>134</v>
      </c>
      <c r="B21" s="270"/>
      <c r="C21" s="10"/>
      <c r="D21" s="10"/>
      <c r="E21" s="234"/>
      <c r="F21" s="240">
        <v>1</v>
      </c>
      <c r="G21" s="125"/>
      <c r="H21" s="125" t="s">
        <v>569</v>
      </c>
      <c r="I21" s="12" t="s">
        <v>585</v>
      </c>
      <c r="J21" s="12" t="s">
        <v>648</v>
      </c>
      <c r="K21" s="12" t="s">
        <v>575</v>
      </c>
      <c r="L21" s="12">
        <v>38.479999999999997</v>
      </c>
      <c r="M21" s="12" t="s">
        <v>573</v>
      </c>
      <c r="N21" s="12" t="s">
        <v>568</v>
      </c>
      <c r="O21" s="14"/>
      <c r="P21" s="12" t="s">
        <v>649</v>
      </c>
      <c r="Q21" s="12"/>
      <c r="R21" s="12"/>
      <c r="S21" s="12"/>
      <c r="T21" s="12"/>
      <c r="U21" s="12"/>
      <c r="V21" s="261"/>
      <c r="W21" s="278"/>
      <c r="X21" s="12"/>
      <c r="Y21" s="12"/>
      <c r="Z21" s="251"/>
      <c r="AA21" s="255">
        <v>1</v>
      </c>
      <c r="AB21" s="125"/>
      <c r="AC21" s="125" t="s">
        <v>569</v>
      </c>
      <c r="AD21" s="12" t="s">
        <v>585</v>
      </c>
      <c r="AE21" s="12" t="s">
        <v>650</v>
      </c>
      <c r="AF21" s="12" t="s">
        <v>575</v>
      </c>
      <c r="AG21" s="12">
        <v>38.479999999999997</v>
      </c>
      <c r="AH21" s="12" t="s">
        <v>573</v>
      </c>
      <c r="AI21" s="12" t="s">
        <v>568</v>
      </c>
      <c r="AJ21" s="12"/>
      <c r="AK21" s="12" t="s">
        <v>649</v>
      </c>
      <c r="AL21" s="12"/>
      <c r="AM21" s="12"/>
      <c r="AN21" s="12"/>
      <c r="AO21" s="12"/>
      <c r="AP21" s="12"/>
      <c r="AQ21" s="261"/>
      <c r="AR21" s="270"/>
      <c r="AS21" s="10"/>
      <c r="AT21" s="10"/>
      <c r="AU21" s="234"/>
      <c r="AV21" s="240">
        <v>1</v>
      </c>
      <c r="AW21" s="125"/>
      <c r="AX21" s="125" t="s">
        <v>569</v>
      </c>
      <c r="AY21" s="12" t="s">
        <v>570</v>
      </c>
      <c r="AZ21" s="12" t="s">
        <v>651</v>
      </c>
      <c r="BA21" s="12" t="s">
        <v>572</v>
      </c>
      <c r="BB21" s="12">
        <v>34.04</v>
      </c>
      <c r="BC21" s="12" t="s">
        <v>573</v>
      </c>
      <c r="BD21" s="12" t="s">
        <v>568</v>
      </c>
      <c r="BE21" s="12"/>
      <c r="BF21" s="12" t="s">
        <v>652</v>
      </c>
      <c r="BG21" s="12"/>
      <c r="BH21" s="12"/>
      <c r="BI21" s="12"/>
      <c r="BJ21" s="12"/>
      <c r="BK21" s="12"/>
      <c r="BL21" s="261"/>
      <c r="BM21" s="278"/>
      <c r="BN21" s="12"/>
      <c r="BO21" s="12"/>
      <c r="BP21" s="251"/>
      <c r="BQ21" s="255">
        <v>1</v>
      </c>
      <c r="BR21" s="125"/>
      <c r="BS21" s="125" t="s">
        <v>569</v>
      </c>
      <c r="BT21" s="12" t="s">
        <v>570</v>
      </c>
      <c r="BU21" s="12" t="s">
        <v>653</v>
      </c>
      <c r="BV21" s="12" t="s">
        <v>572</v>
      </c>
      <c r="BW21" s="12">
        <v>32.89</v>
      </c>
      <c r="BX21" s="12" t="s">
        <v>573</v>
      </c>
      <c r="BY21" s="12" t="s">
        <v>568</v>
      </c>
      <c r="BZ21" s="12"/>
      <c r="CA21" s="12" t="s">
        <v>652</v>
      </c>
      <c r="CB21" s="12"/>
      <c r="CC21" s="12"/>
      <c r="CD21" s="12"/>
      <c r="CE21" s="12"/>
      <c r="CF21" s="12"/>
      <c r="CG21" s="261"/>
      <c r="CH21" s="278"/>
      <c r="CI21" s="12"/>
      <c r="CJ21" s="12"/>
      <c r="CK21" s="251"/>
      <c r="CL21" s="46">
        <v>1</v>
      </c>
      <c r="CM21" s="205"/>
      <c r="CN21" s="205" t="s">
        <v>569</v>
      </c>
      <c r="CO21" s="37" t="s">
        <v>570</v>
      </c>
      <c r="CP21" s="46" t="s">
        <v>654</v>
      </c>
      <c r="CQ21" s="39" t="s">
        <v>572</v>
      </c>
      <c r="CR21" s="46">
        <v>26.83</v>
      </c>
      <c r="CS21" s="37" t="s">
        <v>573</v>
      </c>
      <c r="CT21" s="85" t="s">
        <v>568</v>
      </c>
      <c r="CU21" s="46"/>
      <c r="CV21" s="125" t="s">
        <v>655</v>
      </c>
      <c r="CW21" s="12"/>
      <c r="CX21" s="12"/>
      <c r="CY21" s="12"/>
      <c r="CZ21" s="12"/>
      <c r="DA21" s="12"/>
      <c r="DB21" s="261"/>
      <c r="DC21" s="278"/>
      <c r="DD21" s="12"/>
      <c r="DE21" s="12"/>
      <c r="DF21" s="251"/>
      <c r="DG21" s="255">
        <v>1</v>
      </c>
      <c r="DH21" s="125"/>
      <c r="DI21" s="125" t="s">
        <v>569</v>
      </c>
      <c r="DJ21" s="12" t="s">
        <v>570</v>
      </c>
      <c r="DK21" s="12" t="s">
        <v>656</v>
      </c>
      <c r="DL21" s="12" t="s">
        <v>572</v>
      </c>
      <c r="DM21" s="12">
        <v>26.79</v>
      </c>
      <c r="DN21" s="12" t="s">
        <v>573</v>
      </c>
      <c r="DO21" s="12" t="s">
        <v>568</v>
      </c>
      <c r="DP21" s="12"/>
      <c r="DQ21" s="12" t="s">
        <v>655</v>
      </c>
      <c r="DR21" s="12"/>
      <c r="DS21" s="12"/>
      <c r="DT21" s="12"/>
      <c r="DU21" s="12"/>
      <c r="DV21" s="12"/>
      <c r="DW21" s="261"/>
      <c r="DX21" s="278"/>
      <c r="DY21" s="12"/>
      <c r="DZ21" s="12"/>
      <c r="EA21" s="251"/>
      <c r="EB21" s="46">
        <v>1</v>
      </c>
      <c r="EC21" s="205"/>
      <c r="ED21" s="205" t="s">
        <v>569</v>
      </c>
      <c r="EE21" s="37" t="s">
        <v>570</v>
      </c>
      <c r="EF21" s="46" t="s">
        <v>657</v>
      </c>
      <c r="EG21" s="39" t="s">
        <v>572</v>
      </c>
      <c r="EH21" s="46">
        <v>26.05</v>
      </c>
      <c r="EI21" s="37" t="s">
        <v>573</v>
      </c>
      <c r="EJ21" s="85" t="s">
        <v>568</v>
      </c>
      <c r="EK21" s="46"/>
      <c r="EL21" s="125" t="s">
        <v>658</v>
      </c>
      <c r="EM21" s="12"/>
      <c r="EN21" s="12"/>
      <c r="EO21" s="12"/>
      <c r="EP21" s="12"/>
      <c r="EQ21" s="12"/>
      <c r="ER21" s="261"/>
      <c r="ES21" s="278"/>
      <c r="ET21" s="12"/>
      <c r="EU21" s="12"/>
      <c r="EV21" s="251"/>
      <c r="EW21" s="255">
        <v>1</v>
      </c>
      <c r="EX21" s="125"/>
      <c r="EY21" s="125" t="s">
        <v>569</v>
      </c>
      <c r="EZ21" s="12" t="s">
        <v>570</v>
      </c>
      <c r="FA21" s="12" t="s">
        <v>659</v>
      </c>
      <c r="FB21" s="12" t="s">
        <v>572</v>
      </c>
      <c r="FC21" s="12">
        <v>26.2</v>
      </c>
      <c r="FD21" s="12" t="s">
        <v>573</v>
      </c>
      <c r="FE21" s="12" t="s">
        <v>568</v>
      </c>
      <c r="FF21" s="12"/>
      <c r="FG21" s="12" t="s">
        <v>658</v>
      </c>
      <c r="FH21" s="12"/>
      <c r="FI21" s="12"/>
      <c r="FJ21" s="12"/>
      <c r="FK21" s="12"/>
      <c r="FL21" s="12"/>
      <c r="FM21" s="261"/>
      <c r="FN21" s="278"/>
      <c r="FO21" s="12"/>
      <c r="FP21" s="12"/>
      <c r="FQ21" s="251"/>
      <c r="FR21" s="46">
        <v>1</v>
      </c>
      <c r="FS21" s="205"/>
      <c r="FT21" s="205" t="s">
        <v>569</v>
      </c>
      <c r="FU21" s="37" t="s">
        <v>570</v>
      </c>
      <c r="FV21" s="46" t="s">
        <v>660</v>
      </c>
      <c r="FW21" s="39" t="s">
        <v>572</v>
      </c>
      <c r="FX21" s="46">
        <v>34.67</v>
      </c>
      <c r="FY21" s="37" t="s">
        <v>573</v>
      </c>
      <c r="FZ21" s="85" t="s">
        <v>568</v>
      </c>
      <c r="GA21" s="46"/>
      <c r="GB21" s="125" t="s">
        <v>661</v>
      </c>
      <c r="GC21" s="12"/>
      <c r="GD21" s="12"/>
      <c r="GE21" s="12"/>
      <c r="GF21" s="12"/>
      <c r="GG21" s="12"/>
      <c r="GH21" s="261"/>
      <c r="GI21" s="278"/>
      <c r="GJ21" s="12"/>
      <c r="GK21" s="12"/>
      <c r="GL21" s="251"/>
      <c r="GM21" s="255">
        <v>1</v>
      </c>
      <c r="GN21" s="125"/>
      <c r="GO21" s="125" t="s">
        <v>569</v>
      </c>
      <c r="GP21" s="12" t="s">
        <v>570</v>
      </c>
      <c r="GQ21" s="12" t="s">
        <v>662</v>
      </c>
      <c r="GR21" s="12" t="s">
        <v>572</v>
      </c>
      <c r="GS21" s="12">
        <v>34.71</v>
      </c>
      <c r="GT21" s="12" t="s">
        <v>573</v>
      </c>
      <c r="GU21" s="12" t="s">
        <v>568</v>
      </c>
      <c r="GV21" s="12"/>
      <c r="GW21" s="12" t="s">
        <v>661</v>
      </c>
      <c r="GX21" s="12"/>
      <c r="GY21" s="12"/>
      <c r="GZ21" s="12"/>
      <c r="HA21" s="12"/>
      <c r="HB21" s="12"/>
      <c r="HC21" s="261"/>
      <c r="HD21" s="278"/>
      <c r="HE21" s="12"/>
      <c r="HF21" s="12"/>
      <c r="HG21" s="251"/>
      <c r="HH21" s="255">
        <v>1</v>
      </c>
      <c r="HI21" s="125"/>
      <c r="HJ21" s="125" t="s">
        <v>569</v>
      </c>
      <c r="HK21" s="12" t="s">
        <v>585</v>
      </c>
      <c r="HL21" s="12" t="s">
        <v>663</v>
      </c>
      <c r="HM21" s="12" t="s">
        <v>575</v>
      </c>
      <c r="HN21" s="12">
        <v>31.82</v>
      </c>
      <c r="HO21" s="12" t="s">
        <v>573</v>
      </c>
      <c r="HP21" s="12" t="s">
        <v>568</v>
      </c>
      <c r="HQ21" s="12"/>
      <c r="HR21" s="12" t="s">
        <v>664</v>
      </c>
      <c r="HS21" s="12"/>
      <c r="HT21" s="12"/>
      <c r="HU21" s="12"/>
      <c r="HV21" s="12"/>
      <c r="HW21" s="12"/>
      <c r="HX21" s="261"/>
      <c r="HY21" s="278"/>
      <c r="HZ21" s="12"/>
      <c r="IA21" s="12"/>
      <c r="IB21" s="251"/>
      <c r="IC21" s="255">
        <v>1</v>
      </c>
      <c r="ID21" s="125"/>
      <c r="IE21" s="125" t="s">
        <v>569</v>
      </c>
      <c r="IF21" s="12" t="s">
        <v>585</v>
      </c>
      <c r="IG21" s="12" t="s">
        <v>665</v>
      </c>
      <c r="IH21" s="12" t="s">
        <v>575</v>
      </c>
      <c r="II21" s="12">
        <v>29.6</v>
      </c>
      <c r="IJ21" s="12" t="s">
        <v>573</v>
      </c>
      <c r="IK21" s="12" t="s">
        <v>568</v>
      </c>
      <c r="IL21" s="12"/>
      <c r="IM21" s="12" t="s">
        <v>664</v>
      </c>
      <c r="IN21" s="12"/>
      <c r="IO21" s="12"/>
      <c r="IP21" s="12"/>
      <c r="IQ21" s="12"/>
      <c r="IR21" s="12"/>
      <c r="IS21" s="261"/>
      <c r="IT21" s="278"/>
      <c r="IU21" s="12"/>
      <c r="IV21" s="12"/>
      <c r="IW21" s="251"/>
      <c r="IX21" s="255">
        <v>1</v>
      </c>
      <c r="IY21" s="125"/>
      <c r="IZ21" s="125" t="s">
        <v>569</v>
      </c>
      <c r="JA21" s="12" t="s">
        <v>570</v>
      </c>
      <c r="JB21" s="12" t="s">
        <v>666</v>
      </c>
      <c r="JC21" s="12" t="s">
        <v>572</v>
      </c>
      <c r="JD21" s="12">
        <v>26.94</v>
      </c>
      <c r="JE21" s="12" t="s">
        <v>573</v>
      </c>
      <c r="JF21" s="12" t="s">
        <v>568</v>
      </c>
      <c r="JG21" s="12"/>
      <c r="JH21" s="12" t="s">
        <v>667</v>
      </c>
      <c r="JI21" s="12"/>
      <c r="JJ21" s="12"/>
      <c r="JK21" s="12"/>
      <c r="JL21" s="12"/>
      <c r="JM21" s="12"/>
      <c r="JN21" s="261"/>
      <c r="JO21" s="278"/>
      <c r="JP21" s="12"/>
      <c r="JQ21" s="12"/>
      <c r="JR21" s="251"/>
      <c r="JS21" s="255">
        <v>1</v>
      </c>
      <c r="JT21" s="125"/>
      <c r="JU21" s="125" t="s">
        <v>569</v>
      </c>
      <c r="JV21" s="12" t="s">
        <v>570</v>
      </c>
      <c r="JW21" s="12" t="s">
        <v>668</v>
      </c>
      <c r="JX21" s="12" t="s">
        <v>572</v>
      </c>
      <c r="JY21" s="12">
        <v>26.09</v>
      </c>
      <c r="JZ21" s="12" t="s">
        <v>573</v>
      </c>
      <c r="KA21" s="12" t="s">
        <v>568</v>
      </c>
      <c r="KB21" s="12"/>
      <c r="KC21" s="12" t="s">
        <v>667</v>
      </c>
      <c r="KD21" s="12"/>
      <c r="KE21" s="12"/>
      <c r="KF21" s="12"/>
      <c r="KG21" s="12"/>
      <c r="KH21" s="12"/>
      <c r="KI21" s="261"/>
      <c r="KJ21" s="278"/>
      <c r="KK21" s="12"/>
      <c r="KL21" s="12"/>
      <c r="KM21" s="251"/>
      <c r="KN21" s="255">
        <v>1</v>
      </c>
      <c r="KO21" s="125"/>
      <c r="KP21" s="125" t="s">
        <v>569</v>
      </c>
      <c r="KQ21" s="12" t="s">
        <v>570</v>
      </c>
      <c r="KR21" s="12" t="s">
        <v>669</v>
      </c>
      <c r="KS21" s="12" t="s">
        <v>572</v>
      </c>
      <c r="KT21" s="12">
        <v>44.84</v>
      </c>
      <c r="KU21" s="12" t="s">
        <v>573</v>
      </c>
      <c r="KV21" s="12" t="s">
        <v>568</v>
      </c>
      <c r="KW21" s="12"/>
      <c r="KX21" s="12" t="s">
        <v>670</v>
      </c>
      <c r="KY21" s="12"/>
      <c r="KZ21" s="12"/>
      <c r="LA21" s="12"/>
      <c r="LB21" s="12"/>
      <c r="LC21" s="12"/>
      <c r="LD21" s="261"/>
      <c r="LE21" s="278"/>
      <c r="LF21" s="12"/>
      <c r="LG21" s="12"/>
      <c r="LH21" s="251"/>
      <c r="LI21" s="255"/>
      <c r="LJ21" s="125"/>
      <c r="LK21" s="125"/>
      <c r="LL21" s="12"/>
      <c r="LM21" s="12"/>
      <c r="LN21" s="12"/>
      <c r="LO21" s="12"/>
      <c r="LP21" s="12"/>
      <c r="LQ21" s="12"/>
      <c r="LR21" s="12"/>
      <c r="LS21" s="12"/>
      <c r="LT21" s="12"/>
      <c r="LU21" s="12"/>
      <c r="LV21" s="12"/>
      <c r="LW21" s="12"/>
      <c r="LX21" s="12"/>
      <c r="LY21" s="261"/>
      <c r="LZ21" s="278"/>
      <c r="MA21" s="12"/>
      <c r="MB21" s="12"/>
      <c r="MC21" s="251"/>
      <c r="MD21" s="255"/>
      <c r="ME21" s="125"/>
      <c r="MF21" s="125"/>
      <c r="MG21" s="12"/>
      <c r="MH21" s="12"/>
      <c r="MI21" s="12"/>
      <c r="MJ21" s="12"/>
      <c r="MK21" s="12"/>
      <c r="ML21" s="12"/>
      <c r="MM21" s="12"/>
      <c r="MN21" s="12"/>
      <c r="MO21" s="12"/>
      <c r="MP21" s="12"/>
      <c r="MQ21" s="12"/>
      <c r="MR21" s="12"/>
      <c r="MS21" s="12"/>
      <c r="MT21" s="261"/>
      <c r="MU21" s="278"/>
      <c r="MV21" s="12"/>
      <c r="MW21" s="12"/>
      <c r="MX21" s="251"/>
      <c r="MY21" s="255"/>
      <c r="MZ21" s="125"/>
      <c r="NA21" s="125"/>
      <c r="NB21" s="12"/>
      <c r="NC21" s="12"/>
      <c r="ND21" s="12"/>
      <c r="NE21" s="12"/>
      <c r="NF21" s="12"/>
      <c r="NG21" s="12"/>
      <c r="NH21" s="12"/>
      <c r="NI21" s="12"/>
      <c r="NJ21" s="12"/>
      <c r="NK21" s="12"/>
      <c r="NL21" s="12"/>
      <c r="NM21" s="12"/>
      <c r="NN21" s="12"/>
      <c r="NO21" s="261"/>
      <c r="NP21" s="278"/>
      <c r="NQ21" s="12"/>
      <c r="NR21" s="12"/>
      <c r="NS21" s="251"/>
      <c r="NT21" s="255"/>
      <c r="NU21" s="125"/>
      <c r="NV21" s="125"/>
      <c r="NW21" s="12"/>
      <c r="NX21" s="12"/>
      <c r="NY21" s="12"/>
      <c r="NZ21" s="12"/>
      <c r="OA21" s="12"/>
      <c r="OB21" s="12"/>
      <c r="OC21" s="12"/>
      <c r="OD21" s="12"/>
      <c r="OE21" s="12"/>
      <c r="OF21" s="12"/>
      <c r="OG21" s="12"/>
      <c r="OH21" s="12"/>
      <c r="OI21" s="12"/>
      <c r="OJ21" s="261"/>
      <c r="OK21" s="278"/>
      <c r="OL21" s="12"/>
      <c r="OM21" s="12"/>
      <c r="ON21" s="251"/>
      <c r="OO21" s="255"/>
      <c r="OP21" s="125"/>
      <c r="OQ21" s="125"/>
      <c r="OR21" s="12"/>
      <c r="OS21" s="12"/>
      <c r="OT21" s="12"/>
      <c r="OU21" s="12"/>
      <c r="OV21" s="12"/>
      <c r="OW21" s="12"/>
      <c r="OX21" s="12"/>
      <c r="OY21" s="12"/>
      <c r="OZ21" s="12"/>
      <c r="PA21" s="12"/>
      <c r="PB21" s="12"/>
      <c r="PC21" s="12"/>
      <c r="PD21" s="12"/>
      <c r="PE21" s="261"/>
      <c r="PF21" s="278"/>
      <c r="PG21" s="12"/>
      <c r="PH21" s="12"/>
      <c r="PI21" s="251"/>
      <c r="PJ21" s="255"/>
      <c r="PK21" s="125"/>
      <c r="PL21" s="125"/>
      <c r="PM21" s="12"/>
      <c r="PN21" s="12"/>
      <c r="PO21" s="12"/>
      <c r="PP21" s="12"/>
      <c r="PQ21" s="12"/>
      <c r="PR21" s="12"/>
      <c r="PS21" s="12"/>
      <c r="PT21" s="12"/>
      <c r="PU21" s="12"/>
      <c r="PV21" s="12"/>
      <c r="PW21" s="12"/>
      <c r="PX21" s="12"/>
      <c r="PY21" s="12"/>
      <c r="PZ21" s="261"/>
      <c r="QA21" s="278"/>
      <c r="QB21" s="12"/>
      <c r="QC21" s="12"/>
      <c r="QD21" s="251"/>
      <c r="QE21" s="255"/>
      <c r="QF21" s="125"/>
      <c r="QG21" s="125"/>
      <c r="QH21" s="12"/>
      <c r="QI21" s="12"/>
      <c r="QJ21" s="12"/>
      <c r="QK21" s="12"/>
      <c r="QL21" s="12"/>
      <c r="QM21" s="12"/>
      <c r="QN21" s="12"/>
      <c r="QO21" s="12"/>
      <c r="QP21" s="12"/>
      <c r="QQ21" s="12"/>
      <c r="QR21" s="12"/>
      <c r="QS21" s="12"/>
      <c r="QT21" s="12"/>
      <c r="QU21" s="261"/>
      <c r="QV21" s="278"/>
      <c r="QW21" s="12"/>
      <c r="QX21" s="12"/>
      <c r="QY21" s="251"/>
      <c r="QZ21" s="255"/>
      <c r="RA21" s="125"/>
      <c r="RB21" s="125"/>
      <c r="RC21" s="12"/>
      <c r="RD21" s="12"/>
      <c r="RE21" s="12"/>
      <c r="RF21" s="12"/>
      <c r="RG21" s="12"/>
      <c r="RH21" s="12"/>
      <c r="RI21" s="12"/>
      <c r="RJ21" s="12"/>
      <c r="RK21" s="12"/>
      <c r="RL21" s="12"/>
      <c r="RM21" s="12"/>
      <c r="RN21" s="12"/>
      <c r="RO21" s="12"/>
      <c r="RP21" s="261"/>
      <c r="RQ21" s="278"/>
      <c r="RR21" s="12"/>
      <c r="RS21" s="12"/>
      <c r="RT21" s="251"/>
      <c r="RU21" s="255"/>
      <c r="RV21" s="125"/>
      <c r="RW21" s="125"/>
      <c r="RX21" s="12"/>
      <c r="RY21" s="12"/>
      <c r="RZ21" s="12"/>
      <c r="SA21" s="12"/>
      <c r="SB21" s="12"/>
      <c r="SC21" s="12"/>
      <c r="SD21" s="12"/>
      <c r="SE21" s="12"/>
      <c r="SF21" s="12"/>
      <c r="SG21" s="12"/>
      <c r="SH21" s="12"/>
      <c r="SI21" s="12"/>
      <c r="SJ21" s="12"/>
      <c r="SK21" s="261"/>
      <c r="SL21" s="278"/>
      <c r="SM21" s="12"/>
      <c r="SN21" s="12"/>
      <c r="SO21" s="251"/>
      <c r="SP21" s="255"/>
      <c r="SQ21" s="125"/>
      <c r="SR21" s="125"/>
      <c r="SS21" s="12"/>
      <c r="ST21" s="12"/>
      <c r="SU21" s="12"/>
      <c r="SV21" s="12"/>
      <c r="SW21" s="12"/>
      <c r="SX21" s="12"/>
      <c r="SY21" s="12"/>
      <c r="SZ21" s="12"/>
      <c r="TA21" s="12"/>
      <c r="TB21" s="12"/>
      <c r="TC21" s="12"/>
      <c r="TD21" s="12"/>
      <c r="TE21" s="12"/>
      <c r="TF21" s="261"/>
      <c r="TG21" s="278"/>
      <c r="TH21" s="12"/>
      <c r="TI21" s="12"/>
      <c r="TJ21" s="251"/>
      <c r="TK21" s="255"/>
      <c r="TL21" s="125"/>
      <c r="TM21" s="125"/>
      <c r="TN21" s="12"/>
      <c r="TO21" s="12"/>
      <c r="TP21" s="12"/>
      <c r="TQ21" s="12"/>
      <c r="TR21" s="12"/>
      <c r="TS21" s="12"/>
      <c r="TT21" s="12"/>
      <c r="TU21" s="12"/>
      <c r="TV21" s="12"/>
      <c r="TW21" s="12"/>
      <c r="TX21" s="12"/>
      <c r="TY21" s="12"/>
      <c r="TZ21" s="12"/>
      <c r="UA21" s="261"/>
      <c r="UB21" s="278"/>
      <c r="UC21" s="12"/>
      <c r="UD21" s="12"/>
      <c r="UE21" s="251"/>
      <c r="UF21" s="255"/>
      <c r="UG21" s="125"/>
      <c r="UH21" s="125"/>
      <c r="UI21" s="12"/>
      <c r="UJ21" s="12"/>
      <c r="UK21" s="12"/>
      <c r="UL21" s="12"/>
      <c r="UM21" s="12"/>
      <c r="UN21" s="12"/>
      <c r="UO21" s="12"/>
      <c r="UP21" s="12"/>
      <c r="UQ21" s="12"/>
      <c r="UR21" s="12"/>
      <c r="US21" s="12"/>
      <c r="UT21" s="12"/>
      <c r="UU21" s="12"/>
      <c r="UV21" s="261"/>
      <c r="UW21" s="278"/>
      <c r="UX21" s="12"/>
      <c r="UY21" s="12"/>
      <c r="UZ21" s="251"/>
      <c r="VA21" s="255"/>
      <c r="VB21" s="125"/>
      <c r="VC21" s="125"/>
      <c r="VD21" s="12"/>
      <c r="VE21" s="12"/>
      <c r="VF21" s="12"/>
      <c r="VG21" s="12"/>
      <c r="VH21" s="12"/>
      <c r="VI21" s="12"/>
      <c r="VJ21" s="12"/>
      <c r="VK21" s="12"/>
      <c r="VL21" s="12"/>
      <c r="VM21" s="12"/>
      <c r="VN21" s="12"/>
      <c r="VO21" s="12"/>
      <c r="VP21" s="12"/>
      <c r="VQ21" s="261"/>
      <c r="VR21" s="278"/>
      <c r="VS21" s="12"/>
      <c r="VT21" s="12"/>
      <c r="VU21" s="251"/>
      <c r="VV21" s="255"/>
      <c r="VW21" s="125"/>
      <c r="VX21" s="125"/>
      <c r="VY21" s="12"/>
      <c r="VZ21" s="12"/>
      <c r="WA21" s="12"/>
      <c r="WB21" s="12"/>
      <c r="WC21" s="12"/>
      <c r="WD21" s="12"/>
      <c r="WE21" s="12"/>
      <c r="WF21" s="12"/>
      <c r="WG21" s="12"/>
      <c r="WH21" s="12"/>
      <c r="WI21" s="12"/>
      <c r="WJ21" s="12"/>
      <c r="WK21" s="12"/>
      <c r="WL21" s="261"/>
      <c r="WM21" s="278"/>
      <c r="WN21" s="12"/>
      <c r="WO21" s="12"/>
      <c r="WP21" s="251"/>
      <c r="WQ21" s="255"/>
      <c r="WR21" s="125"/>
      <c r="WS21" s="125"/>
      <c r="WT21" s="12"/>
      <c r="WU21" s="12"/>
      <c r="WV21" s="12"/>
      <c r="WW21" s="12"/>
      <c r="WX21" s="12"/>
      <c r="WY21" s="12"/>
      <c r="WZ21" s="12"/>
      <c r="XA21" s="12"/>
      <c r="XB21" s="12"/>
      <c r="XC21" s="12"/>
      <c r="XD21" s="12"/>
      <c r="XE21" s="12"/>
      <c r="XF21" s="12"/>
      <c r="XG21" s="261"/>
      <c r="XH21" s="278"/>
      <c r="XI21" s="12"/>
      <c r="XJ21" s="12"/>
      <c r="XK21" s="251"/>
      <c r="XL21" s="255"/>
      <c r="XM21" s="125"/>
      <c r="XN21" s="125"/>
      <c r="XO21" s="12"/>
      <c r="XP21" s="12"/>
      <c r="XQ21" s="12"/>
      <c r="XR21" s="12"/>
      <c r="XS21" s="12"/>
      <c r="XT21" s="12"/>
      <c r="XU21" s="12"/>
      <c r="XV21" s="12"/>
      <c r="XW21" s="12"/>
      <c r="XX21" s="12"/>
      <c r="XY21" s="12"/>
      <c r="XZ21" s="12"/>
      <c r="YA21" s="12"/>
      <c r="YB21" s="261"/>
    </row>
    <row r="22" spans="1:652" x14ac:dyDescent="0.3">
      <c r="A22" s="223" t="s">
        <v>163</v>
      </c>
      <c r="B22" s="271"/>
      <c r="C22" s="48"/>
      <c r="D22" s="48"/>
      <c r="E22" s="235"/>
      <c r="F22" s="239"/>
      <c r="G22" s="49"/>
      <c r="H22" s="49"/>
      <c r="I22" s="49"/>
      <c r="J22" s="49"/>
      <c r="K22" s="49"/>
      <c r="L22" s="49"/>
      <c r="M22" s="49"/>
      <c r="N22" s="49"/>
      <c r="O22" s="49"/>
      <c r="P22" s="49"/>
      <c r="Q22" s="49"/>
      <c r="R22" s="49"/>
      <c r="S22" s="49"/>
      <c r="T22" s="49"/>
      <c r="U22" s="49"/>
      <c r="V22" s="260"/>
      <c r="W22" s="276"/>
      <c r="X22" s="49"/>
      <c r="Y22" s="49"/>
      <c r="Z22" s="249"/>
      <c r="AA22" s="254"/>
      <c r="AB22" s="49"/>
      <c r="AC22" s="49"/>
      <c r="AD22" s="49"/>
      <c r="AE22" s="49"/>
      <c r="AF22" s="49"/>
      <c r="AG22" s="49"/>
      <c r="AH22" s="49"/>
      <c r="AI22" s="49"/>
      <c r="AJ22" s="49"/>
      <c r="AK22" s="49"/>
      <c r="AL22" s="49"/>
      <c r="AM22" s="49"/>
      <c r="AN22" s="49"/>
      <c r="AO22" s="49"/>
      <c r="AP22" s="49"/>
      <c r="AQ22" s="260"/>
      <c r="AR22" s="271"/>
      <c r="AS22" s="48"/>
      <c r="AT22" s="48"/>
      <c r="AU22" s="235"/>
      <c r="AV22" s="239"/>
      <c r="AW22" s="49"/>
      <c r="AX22" s="49"/>
      <c r="AY22" s="49"/>
      <c r="AZ22" s="49"/>
      <c r="BA22" s="49"/>
      <c r="BB22" s="49"/>
      <c r="BC22" s="49"/>
      <c r="BD22" s="49"/>
      <c r="BE22" s="49"/>
      <c r="BF22" s="49"/>
      <c r="BG22" s="49"/>
      <c r="BH22" s="49"/>
      <c r="BI22" s="49"/>
      <c r="BJ22" s="49"/>
      <c r="BK22" s="49"/>
      <c r="BL22" s="260"/>
      <c r="BM22" s="276"/>
      <c r="BN22" s="49"/>
      <c r="BO22" s="49"/>
      <c r="BP22" s="249"/>
      <c r="BQ22" s="254"/>
      <c r="BR22" s="49"/>
      <c r="BS22" s="49"/>
      <c r="BT22" s="49"/>
      <c r="BU22" s="49"/>
      <c r="BV22" s="49"/>
      <c r="BW22" s="49"/>
      <c r="BX22" s="49"/>
      <c r="BY22" s="49"/>
      <c r="BZ22" s="49"/>
      <c r="CA22" s="49"/>
      <c r="CB22" s="49"/>
      <c r="CC22" s="49"/>
      <c r="CD22" s="49"/>
      <c r="CE22" s="49"/>
      <c r="CF22" s="49"/>
      <c r="CG22" s="260"/>
      <c r="CH22" s="276"/>
      <c r="CI22" s="49"/>
      <c r="CJ22" s="49"/>
      <c r="CK22" s="249"/>
      <c r="CL22" s="53"/>
      <c r="CM22" s="53"/>
      <c r="CN22" s="53"/>
      <c r="CO22" s="53"/>
      <c r="CP22" s="53"/>
      <c r="CQ22" s="80"/>
      <c r="CR22" s="53"/>
      <c r="CS22" s="54"/>
      <c r="CT22" s="84"/>
      <c r="CU22" s="53"/>
      <c r="CV22" s="66"/>
      <c r="CW22" s="49"/>
      <c r="CX22" s="49"/>
      <c r="CY22" s="49"/>
      <c r="CZ22" s="49"/>
      <c r="DA22" s="49"/>
      <c r="DB22" s="260"/>
      <c r="DC22" s="276"/>
      <c r="DD22" s="49"/>
      <c r="DE22" s="49"/>
      <c r="DF22" s="249"/>
      <c r="DG22" s="254"/>
      <c r="DH22" s="49"/>
      <c r="DI22" s="49"/>
      <c r="DJ22" s="49"/>
      <c r="DK22" s="49"/>
      <c r="DL22" s="49"/>
      <c r="DM22" s="49"/>
      <c r="DN22" s="49"/>
      <c r="DO22" s="49"/>
      <c r="DP22" s="49"/>
      <c r="DQ22" s="49"/>
      <c r="DR22" s="49"/>
      <c r="DS22" s="49"/>
      <c r="DT22" s="49"/>
      <c r="DU22" s="49"/>
      <c r="DV22" s="49"/>
      <c r="DW22" s="260"/>
      <c r="DX22" s="276"/>
      <c r="DY22" s="49"/>
      <c r="DZ22" s="49"/>
      <c r="EA22" s="249"/>
      <c r="EB22" s="53"/>
      <c r="EC22" s="53"/>
      <c r="ED22" s="53"/>
      <c r="EE22" s="53"/>
      <c r="EF22" s="53"/>
      <c r="EG22" s="80"/>
      <c r="EH22" s="53"/>
      <c r="EI22" s="54"/>
      <c r="EJ22" s="84"/>
      <c r="EK22" s="53"/>
      <c r="EL22" s="66"/>
      <c r="EM22" s="49"/>
      <c r="EN22" s="49"/>
      <c r="EO22" s="49"/>
      <c r="EP22" s="49"/>
      <c r="EQ22" s="49"/>
      <c r="ER22" s="260"/>
      <c r="ES22" s="276"/>
      <c r="ET22" s="49"/>
      <c r="EU22" s="49"/>
      <c r="EV22" s="249"/>
      <c r="EW22" s="254"/>
      <c r="EX22" s="49"/>
      <c r="EY22" s="49"/>
      <c r="EZ22" s="49"/>
      <c r="FA22" s="49"/>
      <c r="FB22" s="49"/>
      <c r="FC22" s="49"/>
      <c r="FD22" s="49"/>
      <c r="FE22" s="49"/>
      <c r="FF22" s="49"/>
      <c r="FG22" s="49"/>
      <c r="FH22" s="49"/>
      <c r="FI22" s="49"/>
      <c r="FJ22" s="49"/>
      <c r="FK22" s="49"/>
      <c r="FL22" s="49"/>
      <c r="FM22" s="260"/>
      <c r="FN22" s="276"/>
      <c r="FO22" s="49"/>
      <c r="FP22" s="49"/>
      <c r="FQ22" s="249"/>
      <c r="FR22" s="53"/>
      <c r="FS22" s="53"/>
      <c r="FT22" s="53"/>
      <c r="FU22" s="53"/>
      <c r="FV22" s="53"/>
      <c r="FW22" s="80"/>
      <c r="FX22" s="53"/>
      <c r="FY22" s="54"/>
      <c r="FZ22" s="84"/>
      <c r="GA22" s="53"/>
      <c r="GB22" s="66"/>
      <c r="GC22" s="49"/>
      <c r="GD22" s="49"/>
      <c r="GE22" s="49"/>
      <c r="GF22" s="49"/>
      <c r="GG22" s="49"/>
      <c r="GH22" s="260"/>
      <c r="GI22" s="276"/>
      <c r="GJ22" s="49"/>
      <c r="GK22" s="49"/>
      <c r="GL22" s="249"/>
      <c r="GM22" s="254"/>
      <c r="GN22" s="49"/>
      <c r="GO22" s="49"/>
      <c r="GP22" s="49"/>
      <c r="GQ22" s="49"/>
      <c r="GR22" s="49"/>
      <c r="GS22" s="49"/>
      <c r="GT22" s="49"/>
      <c r="GU22" s="49"/>
      <c r="GV22" s="49"/>
      <c r="GW22" s="49"/>
      <c r="GX22" s="49"/>
      <c r="GY22" s="49"/>
      <c r="GZ22" s="49"/>
      <c r="HA22" s="49"/>
      <c r="HB22" s="49"/>
      <c r="HC22" s="260"/>
      <c r="HD22" s="276"/>
      <c r="HE22" s="49"/>
      <c r="HF22" s="49"/>
      <c r="HG22" s="249"/>
      <c r="HH22" s="254"/>
      <c r="HI22" s="49"/>
      <c r="HJ22" s="49"/>
      <c r="HK22" s="49"/>
      <c r="HL22" s="49"/>
      <c r="HM22" s="49"/>
      <c r="HN22" s="49"/>
      <c r="HO22" s="49"/>
      <c r="HP22" s="49"/>
      <c r="HQ22" s="49"/>
      <c r="HR22" s="49"/>
      <c r="HS22" s="49"/>
      <c r="HT22" s="49"/>
      <c r="HU22" s="49"/>
      <c r="HV22" s="49"/>
      <c r="HW22" s="49"/>
      <c r="HX22" s="260"/>
      <c r="HY22" s="276"/>
      <c r="HZ22" s="49"/>
      <c r="IA22" s="49"/>
      <c r="IB22" s="249"/>
      <c r="IC22" s="254"/>
      <c r="ID22" s="49"/>
      <c r="IE22" s="49"/>
      <c r="IF22" s="49"/>
      <c r="IG22" s="49"/>
      <c r="IH22" s="49"/>
      <c r="II22" s="49"/>
      <c r="IJ22" s="49"/>
      <c r="IK22" s="49"/>
      <c r="IL22" s="49"/>
      <c r="IM22" s="49"/>
      <c r="IN22" s="49"/>
      <c r="IO22" s="49"/>
      <c r="IP22" s="49"/>
      <c r="IQ22" s="49"/>
      <c r="IR22" s="49"/>
      <c r="IS22" s="260"/>
      <c r="IT22" s="276"/>
      <c r="IU22" s="49"/>
      <c r="IV22" s="49"/>
      <c r="IW22" s="249"/>
      <c r="IX22" s="254"/>
      <c r="IY22" s="49"/>
      <c r="IZ22" s="49"/>
      <c r="JA22" s="49"/>
      <c r="JB22" s="49"/>
      <c r="JC22" s="49"/>
      <c r="JD22" s="49"/>
      <c r="JE22" s="49"/>
      <c r="JF22" s="49"/>
      <c r="JG22" s="49"/>
      <c r="JH22" s="49"/>
      <c r="JI22" s="49"/>
      <c r="JJ22" s="49"/>
      <c r="JK22" s="49"/>
      <c r="JL22" s="49"/>
      <c r="JM22" s="49"/>
      <c r="JN22" s="260"/>
      <c r="JO22" s="276"/>
      <c r="JP22" s="49"/>
      <c r="JQ22" s="49"/>
      <c r="JR22" s="249"/>
      <c r="JS22" s="254"/>
      <c r="JT22" s="49"/>
      <c r="JU22" s="49"/>
      <c r="JV22" s="49"/>
      <c r="JW22" s="49"/>
      <c r="JX22" s="49"/>
      <c r="JY22" s="49"/>
      <c r="JZ22" s="49"/>
      <c r="KA22" s="49"/>
      <c r="KB22" s="49"/>
      <c r="KC22" s="49"/>
      <c r="KD22" s="49"/>
      <c r="KE22" s="49"/>
      <c r="KF22" s="49"/>
      <c r="KG22" s="49"/>
      <c r="KH22" s="49"/>
      <c r="KI22" s="260"/>
      <c r="KJ22" s="276"/>
      <c r="KK22" s="49"/>
      <c r="KL22" s="49"/>
      <c r="KM22" s="249"/>
      <c r="KN22" s="254"/>
      <c r="KO22" s="49"/>
      <c r="KP22" s="49"/>
      <c r="KQ22" s="49"/>
      <c r="KR22" s="49"/>
      <c r="KS22" s="49"/>
      <c r="KT22" s="49"/>
      <c r="KU22" s="49"/>
      <c r="KV22" s="49"/>
      <c r="KW22" s="49"/>
      <c r="KX22" s="49"/>
      <c r="KY22" s="49"/>
      <c r="KZ22" s="49"/>
      <c r="LA22" s="49"/>
      <c r="LB22" s="49"/>
      <c r="LC22" s="49"/>
      <c r="LD22" s="260"/>
      <c r="LE22" s="276"/>
      <c r="LF22" s="49"/>
      <c r="LG22" s="49"/>
      <c r="LH22" s="249"/>
      <c r="LI22" s="254"/>
      <c r="LJ22" s="49"/>
      <c r="LK22" s="49"/>
      <c r="LL22" s="49"/>
      <c r="LM22" s="49"/>
      <c r="LN22" s="49"/>
      <c r="LO22" s="49"/>
      <c r="LP22" s="49"/>
      <c r="LQ22" s="49"/>
      <c r="LR22" s="49"/>
      <c r="LS22" s="49"/>
      <c r="LT22" s="49"/>
      <c r="LU22" s="49"/>
      <c r="LV22" s="49"/>
      <c r="LW22" s="49"/>
      <c r="LX22" s="49"/>
      <c r="LY22" s="260"/>
      <c r="LZ22" s="276"/>
      <c r="MA22" s="49"/>
      <c r="MB22" s="49"/>
      <c r="MC22" s="249"/>
      <c r="MD22" s="254"/>
      <c r="ME22" s="49"/>
      <c r="MF22" s="49"/>
      <c r="MG22" s="49"/>
      <c r="MH22" s="49"/>
      <c r="MI22" s="49"/>
      <c r="MJ22" s="49"/>
      <c r="MK22" s="49"/>
      <c r="ML22" s="49"/>
      <c r="MM22" s="49"/>
      <c r="MN22" s="49"/>
      <c r="MO22" s="49"/>
      <c r="MP22" s="49"/>
      <c r="MQ22" s="49"/>
      <c r="MR22" s="49"/>
      <c r="MS22" s="49"/>
      <c r="MT22" s="260"/>
      <c r="MU22" s="276"/>
      <c r="MV22" s="49"/>
      <c r="MW22" s="49"/>
      <c r="MX22" s="249"/>
      <c r="MY22" s="254"/>
      <c r="MZ22" s="49"/>
      <c r="NA22" s="49"/>
      <c r="NB22" s="49"/>
      <c r="NC22" s="49"/>
      <c r="ND22" s="49"/>
      <c r="NE22" s="49"/>
      <c r="NF22" s="49"/>
      <c r="NG22" s="49"/>
      <c r="NH22" s="49"/>
      <c r="NI22" s="49"/>
      <c r="NJ22" s="49"/>
      <c r="NK22" s="49"/>
      <c r="NL22" s="49"/>
      <c r="NM22" s="49"/>
      <c r="NN22" s="49"/>
      <c r="NO22" s="260"/>
      <c r="NP22" s="276"/>
      <c r="NQ22" s="49"/>
      <c r="NR22" s="49"/>
      <c r="NS22" s="249"/>
      <c r="NT22" s="254"/>
      <c r="NU22" s="49"/>
      <c r="NV22" s="49"/>
      <c r="NW22" s="49"/>
      <c r="NX22" s="49"/>
      <c r="NY22" s="49"/>
      <c r="NZ22" s="49"/>
      <c r="OA22" s="49"/>
      <c r="OB22" s="49"/>
      <c r="OC22" s="49"/>
      <c r="OD22" s="49"/>
      <c r="OE22" s="49"/>
      <c r="OF22" s="49"/>
      <c r="OG22" s="49"/>
      <c r="OH22" s="49"/>
      <c r="OI22" s="49"/>
      <c r="OJ22" s="260"/>
      <c r="OK22" s="276"/>
      <c r="OL22" s="49"/>
      <c r="OM22" s="49"/>
      <c r="ON22" s="249"/>
      <c r="OO22" s="254"/>
      <c r="OP22" s="49"/>
      <c r="OQ22" s="49"/>
      <c r="OR22" s="49"/>
      <c r="OS22" s="49"/>
      <c r="OT22" s="49"/>
      <c r="OU22" s="49"/>
      <c r="OV22" s="49"/>
      <c r="OW22" s="49"/>
      <c r="OX22" s="49"/>
      <c r="OY22" s="49"/>
      <c r="OZ22" s="49"/>
      <c r="PA22" s="49"/>
      <c r="PB22" s="49"/>
      <c r="PC22" s="49"/>
      <c r="PD22" s="49"/>
      <c r="PE22" s="260"/>
      <c r="PF22" s="276"/>
      <c r="PG22" s="49"/>
      <c r="PH22" s="49"/>
      <c r="PI22" s="249"/>
      <c r="PJ22" s="254"/>
      <c r="PK22" s="49"/>
      <c r="PL22" s="49"/>
      <c r="PM22" s="49"/>
      <c r="PN22" s="49"/>
      <c r="PO22" s="49"/>
      <c r="PP22" s="49"/>
      <c r="PQ22" s="49"/>
      <c r="PR22" s="49"/>
      <c r="PS22" s="49"/>
      <c r="PT22" s="49"/>
      <c r="PU22" s="49"/>
      <c r="PV22" s="49"/>
      <c r="PW22" s="49"/>
      <c r="PX22" s="49"/>
      <c r="PY22" s="49"/>
      <c r="PZ22" s="260"/>
      <c r="QA22" s="276"/>
      <c r="QB22" s="49"/>
      <c r="QC22" s="49"/>
      <c r="QD22" s="249"/>
      <c r="QE22" s="254"/>
      <c r="QF22" s="49"/>
      <c r="QG22" s="49"/>
      <c r="QH22" s="49"/>
      <c r="QI22" s="49"/>
      <c r="QJ22" s="49"/>
      <c r="QK22" s="49"/>
      <c r="QL22" s="49"/>
      <c r="QM22" s="49"/>
      <c r="QN22" s="49"/>
      <c r="QO22" s="49"/>
      <c r="QP22" s="49"/>
      <c r="QQ22" s="49"/>
      <c r="QR22" s="49"/>
      <c r="QS22" s="49"/>
      <c r="QT22" s="49"/>
      <c r="QU22" s="260"/>
      <c r="QV22" s="276"/>
      <c r="QW22" s="49"/>
      <c r="QX22" s="49"/>
      <c r="QY22" s="249"/>
      <c r="QZ22" s="254"/>
      <c r="RA22" s="49"/>
      <c r="RB22" s="49"/>
      <c r="RC22" s="49"/>
      <c r="RD22" s="49"/>
      <c r="RE22" s="49"/>
      <c r="RF22" s="49"/>
      <c r="RG22" s="49"/>
      <c r="RH22" s="49"/>
      <c r="RI22" s="49"/>
      <c r="RJ22" s="49"/>
      <c r="RK22" s="49"/>
      <c r="RL22" s="49"/>
      <c r="RM22" s="49"/>
      <c r="RN22" s="49"/>
      <c r="RO22" s="49"/>
      <c r="RP22" s="260"/>
      <c r="RQ22" s="276"/>
      <c r="RR22" s="49"/>
      <c r="RS22" s="49"/>
      <c r="RT22" s="249"/>
      <c r="RU22" s="254"/>
      <c r="RV22" s="49"/>
      <c r="RW22" s="49"/>
      <c r="RX22" s="49"/>
      <c r="RY22" s="49"/>
      <c r="RZ22" s="49"/>
      <c r="SA22" s="49"/>
      <c r="SB22" s="49"/>
      <c r="SC22" s="49"/>
      <c r="SD22" s="49"/>
      <c r="SE22" s="49"/>
      <c r="SF22" s="49"/>
      <c r="SG22" s="49"/>
      <c r="SH22" s="49"/>
      <c r="SI22" s="49"/>
      <c r="SJ22" s="49"/>
      <c r="SK22" s="260"/>
      <c r="SL22" s="276"/>
      <c r="SM22" s="49"/>
      <c r="SN22" s="49"/>
      <c r="SO22" s="249"/>
      <c r="SP22" s="254"/>
      <c r="SQ22" s="49"/>
      <c r="SR22" s="49"/>
      <c r="SS22" s="49"/>
      <c r="ST22" s="49"/>
      <c r="SU22" s="49"/>
      <c r="SV22" s="49"/>
      <c r="SW22" s="49"/>
      <c r="SX22" s="49"/>
      <c r="SY22" s="49"/>
      <c r="SZ22" s="49"/>
      <c r="TA22" s="49"/>
      <c r="TB22" s="49"/>
      <c r="TC22" s="49"/>
      <c r="TD22" s="49"/>
      <c r="TE22" s="49"/>
      <c r="TF22" s="260"/>
      <c r="TG22" s="276"/>
      <c r="TH22" s="49"/>
      <c r="TI22" s="49"/>
      <c r="TJ22" s="249"/>
      <c r="TK22" s="254"/>
      <c r="TL22" s="49"/>
      <c r="TM22" s="49"/>
      <c r="TN22" s="49"/>
      <c r="TO22" s="49"/>
      <c r="TP22" s="49"/>
      <c r="TQ22" s="49"/>
      <c r="TR22" s="49"/>
      <c r="TS22" s="49"/>
      <c r="TT22" s="49"/>
      <c r="TU22" s="49"/>
      <c r="TV22" s="49"/>
      <c r="TW22" s="49"/>
      <c r="TX22" s="49"/>
      <c r="TY22" s="49"/>
      <c r="TZ22" s="49"/>
      <c r="UA22" s="260"/>
      <c r="UB22" s="276"/>
      <c r="UC22" s="49"/>
      <c r="UD22" s="49"/>
      <c r="UE22" s="249"/>
      <c r="UF22" s="254"/>
      <c r="UG22" s="49"/>
      <c r="UH22" s="49"/>
      <c r="UI22" s="49"/>
      <c r="UJ22" s="49"/>
      <c r="UK22" s="49"/>
      <c r="UL22" s="49"/>
      <c r="UM22" s="49"/>
      <c r="UN22" s="49"/>
      <c r="UO22" s="49"/>
      <c r="UP22" s="49"/>
      <c r="UQ22" s="49"/>
      <c r="UR22" s="49"/>
      <c r="US22" s="49"/>
      <c r="UT22" s="49"/>
      <c r="UU22" s="49"/>
      <c r="UV22" s="260"/>
      <c r="UW22" s="276"/>
      <c r="UX22" s="49"/>
      <c r="UY22" s="49"/>
      <c r="UZ22" s="249"/>
      <c r="VA22" s="254"/>
      <c r="VB22" s="49"/>
      <c r="VC22" s="49"/>
      <c r="VD22" s="49"/>
      <c r="VE22" s="49"/>
      <c r="VF22" s="49"/>
      <c r="VG22" s="49"/>
      <c r="VH22" s="49"/>
      <c r="VI22" s="49"/>
      <c r="VJ22" s="49"/>
      <c r="VK22" s="49"/>
      <c r="VL22" s="49"/>
      <c r="VM22" s="49"/>
      <c r="VN22" s="49"/>
      <c r="VO22" s="49"/>
      <c r="VP22" s="49"/>
      <c r="VQ22" s="260"/>
      <c r="VR22" s="276"/>
      <c r="VS22" s="49"/>
      <c r="VT22" s="49"/>
      <c r="VU22" s="249"/>
      <c r="VV22" s="254"/>
      <c r="VW22" s="49"/>
      <c r="VX22" s="49"/>
      <c r="VY22" s="49"/>
      <c r="VZ22" s="49"/>
      <c r="WA22" s="49"/>
      <c r="WB22" s="49"/>
      <c r="WC22" s="49"/>
      <c r="WD22" s="49"/>
      <c r="WE22" s="49"/>
      <c r="WF22" s="49"/>
      <c r="WG22" s="49"/>
      <c r="WH22" s="49"/>
      <c r="WI22" s="49"/>
      <c r="WJ22" s="49"/>
      <c r="WK22" s="49"/>
      <c r="WL22" s="260"/>
      <c r="WM22" s="276"/>
      <c r="WN22" s="49"/>
      <c r="WO22" s="49"/>
      <c r="WP22" s="249"/>
      <c r="WQ22" s="254"/>
      <c r="WR22" s="49"/>
      <c r="WS22" s="49"/>
      <c r="WT22" s="49"/>
      <c r="WU22" s="49"/>
      <c r="WV22" s="49"/>
      <c r="WW22" s="49"/>
      <c r="WX22" s="49"/>
      <c r="WY22" s="49"/>
      <c r="WZ22" s="49"/>
      <c r="XA22" s="49"/>
      <c r="XB22" s="49"/>
      <c r="XC22" s="49"/>
      <c r="XD22" s="49"/>
      <c r="XE22" s="49"/>
      <c r="XF22" s="49"/>
      <c r="XG22" s="260"/>
      <c r="XH22" s="276"/>
      <c r="XI22" s="49"/>
      <c r="XJ22" s="49"/>
      <c r="XK22" s="249"/>
      <c r="XL22" s="254"/>
      <c r="XM22" s="49"/>
      <c r="XN22" s="49"/>
      <c r="XO22" s="49"/>
      <c r="XP22" s="49"/>
      <c r="XQ22" s="49"/>
      <c r="XR22" s="49"/>
      <c r="XS22" s="49"/>
      <c r="XT22" s="49"/>
      <c r="XU22" s="49"/>
      <c r="XV22" s="49"/>
      <c r="XW22" s="49"/>
      <c r="XX22" s="49"/>
      <c r="XY22" s="49"/>
      <c r="XZ22" s="49"/>
      <c r="YA22" s="49"/>
      <c r="YB22" s="260"/>
    </row>
    <row r="23" spans="1:652" x14ac:dyDescent="0.3">
      <c r="A23" s="224" t="s">
        <v>167</v>
      </c>
      <c r="B23" s="270"/>
      <c r="C23" s="10"/>
      <c r="D23" s="10"/>
      <c r="E23" s="234"/>
      <c r="F23" s="240">
        <v>1</v>
      </c>
      <c r="G23" s="125"/>
      <c r="H23" s="125" t="s">
        <v>569</v>
      </c>
      <c r="I23" s="12" t="s">
        <v>570</v>
      </c>
      <c r="J23" s="12" t="s">
        <v>671</v>
      </c>
      <c r="K23" s="12" t="s">
        <v>572</v>
      </c>
      <c r="L23" s="12">
        <v>32.67</v>
      </c>
      <c r="M23" s="12" t="s">
        <v>573</v>
      </c>
      <c r="N23" s="12" t="s">
        <v>568</v>
      </c>
      <c r="O23" s="12"/>
      <c r="P23" s="12" t="s">
        <v>672</v>
      </c>
      <c r="Q23" s="12"/>
      <c r="R23" s="12"/>
      <c r="S23" s="12"/>
      <c r="T23" s="12"/>
      <c r="U23" s="12"/>
      <c r="V23" s="261"/>
      <c r="W23" s="278"/>
      <c r="X23" s="12"/>
      <c r="Y23" s="12"/>
      <c r="Z23" s="251"/>
      <c r="AA23" s="255">
        <v>1</v>
      </c>
      <c r="AB23" s="125"/>
      <c r="AC23" s="125" t="s">
        <v>569</v>
      </c>
      <c r="AD23" s="12" t="s">
        <v>570</v>
      </c>
      <c r="AE23" s="12" t="s">
        <v>673</v>
      </c>
      <c r="AF23" s="12" t="s">
        <v>572</v>
      </c>
      <c r="AG23" s="12">
        <v>35.64</v>
      </c>
      <c r="AH23" s="12" t="s">
        <v>573</v>
      </c>
      <c r="AI23" s="12" t="s">
        <v>568</v>
      </c>
      <c r="AJ23" s="12"/>
      <c r="AK23" s="12" t="s">
        <v>672</v>
      </c>
      <c r="AL23" s="12"/>
      <c r="AM23" s="12"/>
      <c r="AN23" s="12"/>
      <c r="AO23" s="12"/>
      <c r="AP23" s="12"/>
      <c r="AQ23" s="261"/>
      <c r="AR23" s="270"/>
      <c r="AS23" s="10"/>
      <c r="AT23" s="10"/>
      <c r="AU23" s="234"/>
      <c r="AV23" s="240">
        <v>1</v>
      </c>
      <c r="AW23" s="125"/>
      <c r="AX23" s="125" t="s">
        <v>569</v>
      </c>
      <c r="AY23" s="12" t="s">
        <v>570</v>
      </c>
      <c r="AZ23" s="12" t="s">
        <v>674</v>
      </c>
      <c r="BA23" s="12" t="s">
        <v>572</v>
      </c>
      <c r="BB23" s="12">
        <v>45.51</v>
      </c>
      <c r="BC23" s="12" t="s">
        <v>573</v>
      </c>
      <c r="BD23" s="12" t="s">
        <v>568</v>
      </c>
      <c r="BE23" s="12"/>
      <c r="BF23" s="12" t="s">
        <v>675</v>
      </c>
      <c r="BG23" s="12"/>
      <c r="BH23" s="12"/>
      <c r="BI23" s="12"/>
      <c r="BJ23" s="12"/>
      <c r="BK23" s="12"/>
      <c r="BL23" s="261"/>
      <c r="BM23" s="278"/>
      <c r="BN23" s="12"/>
      <c r="BO23" s="12"/>
      <c r="BP23" s="251"/>
      <c r="BQ23" s="255">
        <v>1</v>
      </c>
      <c r="BR23" s="125"/>
      <c r="BS23" s="125" t="s">
        <v>569</v>
      </c>
      <c r="BT23" s="12" t="s">
        <v>570</v>
      </c>
      <c r="BU23" s="12" t="s">
        <v>676</v>
      </c>
      <c r="BV23" s="12" t="s">
        <v>572</v>
      </c>
      <c r="BW23" s="12">
        <v>44.59</v>
      </c>
      <c r="BX23" s="12" t="s">
        <v>573</v>
      </c>
      <c r="BY23" s="12" t="s">
        <v>568</v>
      </c>
      <c r="BZ23" s="12"/>
      <c r="CA23" s="12" t="s">
        <v>677</v>
      </c>
      <c r="CB23" s="12"/>
      <c r="CC23" s="12"/>
      <c r="CD23" s="12"/>
      <c r="CE23" s="12"/>
      <c r="CF23" s="12"/>
      <c r="CG23" s="261"/>
      <c r="CH23" s="278"/>
      <c r="CI23" s="12"/>
      <c r="CJ23" s="12"/>
      <c r="CK23" s="251"/>
      <c r="CL23" s="46">
        <v>1</v>
      </c>
      <c r="CM23" s="46"/>
      <c r="CN23" s="46" t="s">
        <v>569</v>
      </c>
      <c r="CO23" s="46" t="s">
        <v>570</v>
      </c>
      <c r="CP23" s="46" t="s">
        <v>678</v>
      </c>
      <c r="CQ23" s="39" t="s">
        <v>572</v>
      </c>
      <c r="CR23" s="74">
        <v>35</v>
      </c>
      <c r="CS23" s="37" t="s">
        <v>573</v>
      </c>
      <c r="CT23" s="85" t="s">
        <v>568</v>
      </c>
      <c r="CU23" s="46"/>
      <c r="CV23" s="125" t="s">
        <v>679</v>
      </c>
      <c r="CW23" s="12"/>
      <c r="CX23" s="12"/>
      <c r="CY23" s="12"/>
      <c r="CZ23" s="12"/>
      <c r="DA23" s="12"/>
      <c r="DB23" s="261"/>
      <c r="DC23" s="278"/>
      <c r="DD23" s="12"/>
      <c r="DE23" s="12"/>
      <c r="DF23" s="251"/>
      <c r="DG23" s="255">
        <v>1</v>
      </c>
      <c r="DH23" s="125"/>
      <c r="DI23" s="125" t="s">
        <v>569</v>
      </c>
      <c r="DJ23" s="12" t="s">
        <v>570</v>
      </c>
      <c r="DK23" s="12" t="s">
        <v>680</v>
      </c>
      <c r="DL23" s="12" t="s">
        <v>572</v>
      </c>
      <c r="DM23" s="12">
        <v>31.98</v>
      </c>
      <c r="DN23" s="12" t="s">
        <v>573</v>
      </c>
      <c r="DO23" s="12" t="s">
        <v>568</v>
      </c>
      <c r="DP23" s="12"/>
      <c r="DQ23" s="12" t="s">
        <v>679</v>
      </c>
      <c r="DR23" s="12"/>
      <c r="DS23" s="12"/>
      <c r="DT23" s="12"/>
      <c r="DU23" s="12"/>
      <c r="DV23" s="12"/>
      <c r="DW23" s="261"/>
      <c r="DX23" s="278"/>
      <c r="DY23" s="12"/>
      <c r="DZ23" s="12"/>
      <c r="EA23" s="251"/>
      <c r="EB23" s="46">
        <v>1</v>
      </c>
      <c r="EC23" s="46"/>
      <c r="ED23" s="46" t="s">
        <v>569</v>
      </c>
      <c r="EE23" s="46" t="s">
        <v>585</v>
      </c>
      <c r="EF23" s="46" t="s">
        <v>681</v>
      </c>
      <c r="EG23" s="81" t="s">
        <v>575</v>
      </c>
      <c r="EH23" s="74">
        <v>35</v>
      </c>
      <c r="EI23" s="46" t="s">
        <v>573</v>
      </c>
      <c r="EJ23" s="85" t="s">
        <v>568</v>
      </c>
      <c r="EK23" s="46"/>
      <c r="EL23" s="125" t="s">
        <v>682</v>
      </c>
      <c r="EM23" s="12"/>
      <c r="EN23" s="12"/>
      <c r="EO23" s="12"/>
      <c r="EP23" s="12"/>
      <c r="EQ23" s="12"/>
      <c r="ER23" s="261"/>
      <c r="ES23" s="278"/>
      <c r="ET23" s="12"/>
      <c r="EU23" s="12"/>
      <c r="EV23" s="251"/>
      <c r="EW23" s="255">
        <v>1</v>
      </c>
      <c r="EX23" s="125"/>
      <c r="EY23" s="125" t="s">
        <v>569</v>
      </c>
      <c r="EZ23" s="12" t="s">
        <v>585</v>
      </c>
      <c r="FA23" s="12" t="s">
        <v>683</v>
      </c>
      <c r="FB23" s="12" t="s">
        <v>575</v>
      </c>
      <c r="FC23" s="12">
        <v>31.98</v>
      </c>
      <c r="FD23" s="12" t="s">
        <v>573</v>
      </c>
      <c r="FE23" s="12" t="s">
        <v>568</v>
      </c>
      <c r="FF23" s="12"/>
      <c r="FG23" s="12" t="s">
        <v>682</v>
      </c>
      <c r="FH23" s="12"/>
      <c r="FI23" s="12"/>
      <c r="FJ23" s="12"/>
      <c r="FK23" s="12"/>
      <c r="FL23" s="12"/>
      <c r="FM23" s="261"/>
      <c r="FN23" s="278"/>
      <c r="FO23" s="12"/>
      <c r="FP23" s="12"/>
      <c r="FQ23" s="251"/>
      <c r="FR23" s="46">
        <v>1</v>
      </c>
      <c r="FS23" s="46"/>
      <c r="FT23" s="46" t="s">
        <v>569</v>
      </c>
      <c r="FU23" s="46" t="s">
        <v>585</v>
      </c>
      <c r="FV23" s="46" t="s">
        <v>684</v>
      </c>
      <c r="FW23" s="81" t="s">
        <v>575</v>
      </c>
      <c r="FX23" s="74">
        <v>39.96</v>
      </c>
      <c r="FY23" s="46" t="s">
        <v>573</v>
      </c>
      <c r="FZ23" s="85" t="s">
        <v>568</v>
      </c>
      <c r="GA23" s="46"/>
      <c r="GB23" s="125" t="s">
        <v>685</v>
      </c>
      <c r="GC23" s="12"/>
      <c r="GD23" s="12"/>
      <c r="GE23" s="12"/>
      <c r="GF23" s="12"/>
      <c r="GG23" s="12"/>
      <c r="GH23" s="261"/>
      <c r="GI23" s="278"/>
      <c r="GJ23" s="12"/>
      <c r="GK23" s="12"/>
      <c r="GL23" s="251"/>
      <c r="GM23" s="255">
        <v>1</v>
      </c>
      <c r="GN23" s="125"/>
      <c r="GO23" s="125" t="s">
        <v>569</v>
      </c>
      <c r="GP23" s="12" t="s">
        <v>585</v>
      </c>
      <c r="GQ23" s="12" t="s">
        <v>686</v>
      </c>
      <c r="GR23" s="12" t="s">
        <v>575</v>
      </c>
      <c r="GS23" s="12">
        <v>39.96</v>
      </c>
      <c r="GT23" s="12" t="s">
        <v>573</v>
      </c>
      <c r="GU23" s="12" t="s">
        <v>568</v>
      </c>
      <c r="GV23" s="12"/>
      <c r="GW23" s="12" t="s">
        <v>685</v>
      </c>
      <c r="GX23" s="12"/>
      <c r="GY23" s="12"/>
      <c r="GZ23" s="12"/>
      <c r="HA23" s="12"/>
      <c r="HB23" s="12"/>
      <c r="HC23" s="261"/>
      <c r="HD23" s="278"/>
      <c r="HE23" s="12"/>
      <c r="HF23" s="12"/>
      <c r="HG23" s="251"/>
      <c r="HH23" s="255">
        <v>1</v>
      </c>
      <c r="HI23" s="125"/>
      <c r="HJ23" s="125" t="s">
        <v>569</v>
      </c>
      <c r="HK23" s="12" t="s">
        <v>570</v>
      </c>
      <c r="HL23" s="12" t="s">
        <v>687</v>
      </c>
      <c r="HM23" s="12" t="s">
        <v>572</v>
      </c>
      <c r="HN23" s="12">
        <v>25.63</v>
      </c>
      <c r="HO23" s="12" t="s">
        <v>573</v>
      </c>
      <c r="HP23" s="12" t="s">
        <v>568</v>
      </c>
      <c r="HQ23" s="12"/>
      <c r="HR23" s="12" t="s">
        <v>688</v>
      </c>
      <c r="HS23" s="12"/>
      <c r="HT23" s="12"/>
      <c r="HU23" s="12"/>
      <c r="HV23" s="12"/>
      <c r="HW23" s="12"/>
      <c r="HX23" s="261"/>
      <c r="HY23" s="278"/>
      <c r="HZ23" s="12"/>
      <c r="IA23" s="12"/>
      <c r="IB23" s="251"/>
      <c r="IC23" s="255">
        <v>1</v>
      </c>
      <c r="ID23" s="125"/>
      <c r="IE23" s="125" t="s">
        <v>569</v>
      </c>
      <c r="IF23" s="12" t="s">
        <v>570</v>
      </c>
      <c r="IG23" s="12" t="s">
        <v>689</v>
      </c>
      <c r="IH23" s="12" t="s">
        <v>572</v>
      </c>
      <c r="II23" s="12">
        <v>26.34</v>
      </c>
      <c r="IJ23" s="12" t="s">
        <v>573</v>
      </c>
      <c r="IK23" s="12" t="s">
        <v>568</v>
      </c>
      <c r="IL23" s="12"/>
      <c r="IM23" s="12" t="s">
        <v>688</v>
      </c>
      <c r="IN23" s="12"/>
      <c r="IO23" s="12"/>
      <c r="IP23" s="12"/>
      <c r="IQ23" s="12"/>
      <c r="IR23" s="12"/>
      <c r="IS23" s="261"/>
      <c r="IT23" s="278"/>
      <c r="IU23" s="12"/>
      <c r="IV23" s="12"/>
      <c r="IW23" s="251"/>
      <c r="IX23" s="255">
        <v>1</v>
      </c>
      <c r="IY23" s="125"/>
      <c r="IZ23" s="125" t="s">
        <v>569</v>
      </c>
      <c r="JA23" s="12" t="s">
        <v>570</v>
      </c>
      <c r="JB23" s="12" t="s">
        <v>690</v>
      </c>
      <c r="JC23" s="12" t="s">
        <v>572</v>
      </c>
      <c r="JD23" s="12">
        <v>26.75</v>
      </c>
      <c r="JE23" s="12" t="s">
        <v>573</v>
      </c>
      <c r="JF23" s="12" t="s">
        <v>568</v>
      </c>
      <c r="JG23" s="12"/>
      <c r="JH23" s="12" t="s">
        <v>691</v>
      </c>
      <c r="JI23" s="12"/>
      <c r="JJ23" s="12"/>
      <c r="JK23" s="12"/>
      <c r="JL23" s="12"/>
      <c r="JM23" s="12"/>
      <c r="JN23" s="261"/>
      <c r="JO23" s="278"/>
      <c r="JP23" s="12"/>
      <c r="JQ23" s="12"/>
      <c r="JR23" s="251"/>
      <c r="JS23" s="255">
        <v>1</v>
      </c>
      <c r="JT23" s="125"/>
      <c r="JU23" s="125" t="s">
        <v>569</v>
      </c>
      <c r="JV23" s="12" t="s">
        <v>570</v>
      </c>
      <c r="JW23" s="12" t="s">
        <v>692</v>
      </c>
      <c r="JX23" s="12" t="s">
        <v>572</v>
      </c>
      <c r="JY23" s="12">
        <v>27.53</v>
      </c>
      <c r="JZ23" s="12" t="s">
        <v>573</v>
      </c>
      <c r="KA23" s="12" t="s">
        <v>568</v>
      </c>
      <c r="KB23" s="12"/>
      <c r="KC23" s="12" t="s">
        <v>691</v>
      </c>
      <c r="KD23" s="12"/>
      <c r="KE23" s="12"/>
      <c r="KF23" s="12"/>
      <c r="KG23" s="12"/>
      <c r="KH23" s="12"/>
      <c r="KI23" s="261"/>
      <c r="KJ23" s="278"/>
      <c r="KK23" s="12"/>
      <c r="KL23" s="12"/>
      <c r="KM23" s="251"/>
      <c r="KN23" s="255">
        <v>1</v>
      </c>
      <c r="KO23" s="125"/>
      <c r="KP23" s="125" t="s">
        <v>569</v>
      </c>
      <c r="KQ23" s="12" t="s">
        <v>570</v>
      </c>
      <c r="KR23" s="12" t="s">
        <v>693</v>
      </c>
      <c r="KS23" s="12" t="s">
        <v>572</v>
      </c>
      <c r="KT23" s="12">
        <v>25.69</v>
      </c>
      <c r="KU23" s="12" t="s">
        <v>573</v>
      </c>
      <c r="KV23" s="12" t="s">
        <v>568</v>
      </c>
      <c r="KW23" s="12"/>
      <c r="KX23" s="12" t="s">
        <v>694</v>
      </c>
      <c r="KY23" s="12"/>
      <c r="KZ23" s="12"/>
      <c r="LA23" s="12"/>
      <c r="LB23" s="12"/>
      <c r="LC23" s="12"/>
      <c r="LD23" s="261"/>
      <c r="LE23" s="278"/>
      <c r="LF23" s="12"/>
      <c r="LG23" s="12"/>
      <c r="LH23" s="251"/>
      <c r="LI23" s="255">
        <v>1</v>
      </c>
      <c r="LJ23" s="125"/>
      <c r="LK23" s="125" t="s">
        <v>569</v>
      </c>
      <c r="LL23" s="12" t="s">
        <v>570</v>
      </c>
      <c r="LM23" s="12">
        <v>50313</v>
      </c>
      <c r="LN23" s="12" t="s">
        <v>572</v>
      </c>
      <c r="LO23" s="12">
        <v>26.5</v>
      </c>
      <c r="LP23" s="12" t="s">
        <v>573</v>
      </c>
      <c r="LQ23" s="12" t="s">
        <v>568</v>
      </c>
      <c r="LR23" s="12"/>
      <c r="LS23" s="12" t="s">
        <v>694</v>
      </c>
      <c r="LT23" s="12"/>
      <c r="LU23" s="12"/>
      <c r="LV23" s="12"/>
      <c r="LW23" s="12"/>
      <c r="LX23" s="12"/>
      <c r="LY23" s="261"/>
      <c r="LZ23" s="278"/>
      <c r="MA23" s="12"/>
      <c r="MB23" s="12"/>
      <c r="MC23" s="251"/>
      <c r="MD23" s="255">
        <v>1</v>
      </c>
      <c r="ME23" s="125"/>
      <c r="MF23" s="125" t="s">
        <v>641</v>
      </c>
      <c r="MG23" s="12" t="s">
        <v>606</v>
      </c>
      <c r="MH23" s="12" t="s">
        <v>607</v>
      </c>
      <c r="MI23" s="12" t="s">
        <v>575</v>
      </c>
      <c r="MJ23" s="12">
        <v>333</v>
      </c>
      <c r="MK23" s="12" t="s">
        <v>695</v>
      </c>
      <c r="ML23" s="12" t="s">
        <v>568</v>
      </c>
      <c r="MM23" s="12"/>
      <c r="MN23" s="12" t="s">
        <v>644</v>
      </c>
      <c r="MO23" s="12"/>
      <c r="MP23" s="12"/>
      <c r="MQ23" s="12"/>
      <c r="MR23" s="12"/>
      <c r="MS23" s="12"/>
      <c r="MT23" s="261"/>
      <c r="MU23" s="278"/>
      <c r="MV23" s="12"/>
      <c r="MW23" s="12"/>
      <c r="MX23" s="251"/>
      <c r="MY23" s="255">
        <v>1</v>
      </c>
      <c r="MZ23" s="125"/>
      <c r="NA23" s="125" t="s">
        <v>641</v>
      </c>
      <c r="NB23" s="12" t="s">
        <v>578</v>
      </c>
      <c r="NC23" s="12" t="s">
        <v>579</v>
      </c>
      <c r="ND23" s="12" t="s">
        <v>566</v>
      </c>
      <c r="NE23" s="12">
        <v>388.5</v>
      </c>
      <c r="NF23" s="12" t="s">
        <v>695</v>
      </c>
      <c r="NG23" s="12" t="s">
        <v>568</v>
      </c>
      <c r="NH23" s="12"/>
      <c r="NI23" s="125" t="s">
        <v>644</v>
      </c>
      <c r="NJ23" s="12"/>
      <c r="NK23" s="12"/>
      <c r="NL23" s="12"/>
      <c r="NM23" s="12"/>
      <c r="NN23" s="12"/>
      <c r="NO23" s="261"/>
      <c r="NP23" s="278"/>
      <c r="NQ23" s="12"/>
      <c r="NR23" s="12"/>
      <c r="NS23" s="251"/>
      <c r="NT23" s="255">
        <v>1</v>
      </c>
      <c r="NU23" s="125"/>
      <c r="NV23" s="125" t="s">
        <v>641</v>
      </c>
      <c r="NW23" s="12" t="s">
        <v>609</v>
      </c>
      <c r="NX23" s="12" t="s">
        <v>696</v>
      </c>
      <c r="NY23" s="12" t="s">
        <v>576</v>
      </c>
      <c r="NZ23" s="12">
        <v>181.3</v>
      </c>
      <c r="OA23" s="12" t="s">
        <v>695</v>
      </c>
      <c r="OB23" s="12" t="s">
        <v>568</v>
      </c>
      <c r="OC23" s="12"/>
      <c r="OD23" s="125" t="s">
        <v>644</v>
      </c>
      <c r="OE23" s="12"/>
      <c r="OF23" s="12"/>
      <c r="OG23" s="12"/>
      <c r="OH23" s="12"/>
      <c r="OI23" s="12"/>
      <c r="OJ23" s="261"/>
      <c r="OK23" s="278"/>
      <c r="OL23" s="12"/>
      <c r="OM23" s="12"/>
      <c r="ON23" s="251"/>
      <c r="OO23" s="255"/>
      <c r="OP23" s="125"/>
      <c r="OQ23" s="125"/>
      <c r="OR23" s="12"/>
      <c r="OS23" s="12"/>
      <c r="OT23" s="12"/>
      <c r="OU23" s="12"/>
      <c r="OV23" s="12"/>
      <c r="OW23" s="12"/>
      <c r="OX23" s="12"/>
      <c r="OY23" s="125"/>
      <c r="OZ23" s="12"/>
      <c r="PA23" s="12"/>
      <c r="PB23" s="12"/>
      <c r="PC23" s="12"/>
      <c r="PD23" s="12"/>
      <c r="PE23" s="261"/>
      <c r="PF23" s="278"/>
      <c r="PG23" s="12"/>
      <c r="PH23" s="12"/>
      <c r="PI23" s="251"/>
      <c r="PJ23" s="255"/>
      <c r="PK23" s="125"/>
      <c r="PL23" s="125"/>
      <c r="PM23" s="12"/>
      <c r="PN23" s="12"/>
      <c r="PO23" s="12"/>
      <c r="PP23" s="12"/>
      <c r="PQ23" s="12"/>
      <c r="PR23" s="12"/>
      <c r="PS23" s="12"/>
      <c r="PT23" s="125"/>
      <c r="PU23" s="12"/>
      <c r="PV23" s="12"/>
      <c r="PW23" s="12"/>
      <c r="PX23" s="12"/>
      <c r="PY23" s="12"/>
      <c r="PZ23" s="261"/>
      <c r="QA23" s="278"/>
      <c r="QB23" s="12"/>
      <c r="QC23" s="12"/>
      <c r="QD23" s="251"/>
      <c r="QE23" s="255"/>
      <c r="QF23" s="125"/>
      <c r="QG23" s="125"/>
      <c r="QH23" s="12"/>
      <c r="QI23" s="12"/>
      <c r="QJ23" s="12"/>
      <c r="QK23" s="12"/>
      <c r="QL23" s="12"/>
      <c r="QM23" s="12"/>
      <c r="QN23" s="12"/>
      <c r="QO23" s="125"/>
      <c r="QP23" s="12"/>
      <c r="QQ23" s="12"/>
      <c r="QR23" s="12"/>
      <c r="QS23" s="12"/>
      <c r="QT23" s="12"/>
      <c r="QU23" s="261"/>
      <c r="QV23" s="278"/>
      <c r="QW23" s="12"/>
      <c r="QX23" s="12"/>
      <c r="QY23" s="251"/>
      <c r="QZ23" s="255"/>
      <c r="RA23" s="125"/>
      <c r="RB23" s="125"/>
      <c r="RC23" s="12"/>
      <c r="RD23" s="12"/>
      <c r="RE23" s="12"/>
      <c r="RF23" s="12"/>
      <c r="RG23" s="12"/>
      <c r="RH23" s="12"/>
      <c r="RI23" s="12"/>
      <c r="RJ23" s="125"/>
      <c r="RK23" s="12"/>
      <c r="RL23" s="12"/>
      <c r="RM23" s="12"/>
      <c r="RN23" s="12"/>
      <c r="RO23" s="12"/>
      <c r="RP23" s="261"/>
      <c r="RQ23" s="278"/>
      <c r="RR23" s="12"/>
      <c r="RS23" s="12"/>
      <c r="RT23" s="251"/>
      <c r="RU23" s="255"/>
      <c r="RV23" s="125"/>
      <c r="RW23" s="125"/>
      <c r="RX23" s="12"/>
      <c r="RY23" s="12"/>
      <c r="RZ23" s="12"/>
      <c r="SA23" s="12"/>
      <c r="SB23" s="12"/>
      <c r="SC23" s="12"/>
      <c r="SD23" s="12"/>
      <c r="SE23" s="125"/>
      <c r="SF23" s="12"/>
      <c r="SG23" s="12"/>
      <c r="SH23" s="12"/>
      <c r="SI23" s="12"/>
      <c r="SJ23" s="12"/>
      <c r="SK23" s="261"/>
      <c r="SL23" s="278"/>
      <c r="SM23" s="12"/>
      <c r="SN23" s="12"/>
      <c r="SO23" s="251"/>
      <c r="SP23" s="255"/>
      <c r="SQ23" s="125"/>
      <c r="SR23" s="125"/>
      <c r="SS23" s="12"/>
      <c r="ST23" s="12"/>
      <c r="SU23" s="12"/>
      <c r="SV23" s="12"/>
      <c r="SW23" s="12"/>
      <c r="SX23" s="12"/>
      <c r="SY23" s="12"/>
      <c r="SZ23" s="125"/>
      <c r="TA23" s="12"/>
      <c r="TB23" s="12"/>
      <c r="TC23" s="12"/>
      <c r="TD23" s="12"/>
      <c r="TE23" s="12"/>
      <c r="TF23" s="261"/>
      <c r="TG23" s="278"/>
      <c r="TH23" s="12"/>
      <c r="TI23" s="12"/>
      <c r="TJ23" s="251"/>
      <c r="TK23" s="255"/>
      <c r="TL23" s="125"/>
      <c r="TM23" s="125"/>
      <c r="TN23" s="12"/>
      <c r="TO23" s="12"/>
      <c r="TP23" s="12"/>
      <c r="TQ23" s="12"/>
      <c r="TR23" s="12"/>
      <c r="TS23" s="12"/>
      <c r="TT23" s="12"/>
      <c r="TU23" s="125"/>
      <c r="TV23" s="12"/>
      <c r="TW23" s="12"/>
      <c r="TX23" s="12"/>
      <c r="TY23" s="12"/>
      <c r="TZ23" s="12"/>
      <c r="UA23" s="261"/>
      <c r="UB23" s="278"/>
      <c r="UC23" s="12"/>
      <c r="UD23" s="12"/>
      <c r="UE23" s="251"/>
      <c r="UF23" s="255"/>
      <c r="UG23" s="125"/>
      <c r="UH23" s="125"/>
      <c r="UI23" s="12"/>
      <c r="UJ23" s="12"/>
      <c r="UK23" s="12"/>
      <c r="UL23" s="12"/>
      <c r="UM23" s="12"/>
      <c r="UN23" s="12"/>
      <c r="UO23" s="12"/>
      <c r="UP23" s="125"/>
      <c r="UQ23" s="12"/>
      <c r="UR23" s="12"/>
      <c r="US23" s="12"/>
      <c r="UT23" s="12"/>
      <c r="UU23" s="12"/>
      <c r="UV23" s="261"/>
      <c r="UW23" s="278"/>
      <c r="UX23" s="12"/>
      <c r="UY23" s="12"/>
      <c r="UZ23" s="251"/>
      <c r="VA23" s="255"/>
      <c r="VB23" s="125"/>
      <c r="VC23" s="125"/>
      <c r="VD23" s="12"/>
      <c r="VE23" s="12"/>
      <c r="VF23" s="12"/>
      <c r="VG23" s="12"/>
      <c r="VH23" s="12"/>
      <c r="VI23" s="12"/>
      <c r="VJ23" s="12"/>
      <c r="VK23" s="125"/>
      <c r="VL23" s="12"/>
      <c r="VM23" s="12"/>
      <c r="VN23" s="12"/>
      <c r="VO23" s="12"/>
      <c r="VP23" s="12"/>
      <c r="VQ23" s="261"/>
      <c r="VR23" s="278"/>
      <c r="VS23" s="12"/>
      <c r="VT23" s="12"/>
      <c r="VU23" s="251"/>
      <c r="VV23" s="255"/>
      <c r="VW23" s="125"/>
      <c r="VX23" s="125"/>
      <c r="VY23" s="12"/>
      <c r="VZ23" s="12"/>
      <c r="WA23" s="12"/>
      <c r="WB23" s="12"/>
      <c r="WC23" s="12"/>
      <c r="WD23" s="12"/>
      <c r="WE23" s="12"/>
      <c r="WF23" s="125"/>
      <c r="WG23" s="12"/>
      <c r="WH23" s="12"/>
      <c r="WI23" s="12"/>
      <c r="WJ23" s="12"/>
      <c r="WK23" s="12"/>
      <c r="WL23" s="261"/>
      <c r="WM23" s="278"/>
      <c r="WN23" s="12"/>
      <c r="WO23" s="12"/>
      <c r="WP23" s="251"/>
      <c r="WQ23" s="255"/>
      <c r="WR23" s="125"/>
      <c r="WS23" s="125"/>
      <c r="WT23" s="12"/>
      <c r="WU23" s="12"/>
      <c r="WV23" s="12"/>
      <c r="WW23" s="12"/>
      <c r="WX23" s="12"/>
      <c r="WY23" s="12"/>
      <c r="WZ23" s="12"/>
      <c r="XA23" s="125"/>
      <c r="XB23" s="12"/>
      <c r="XC23" s="12"/>
      <c r="XD23" s="12"/>
      <c r="XE23" s="12"/>
      <c r="XF23" s="12"/>
      <c r="XG23" s="261"/>
      <c r="XH23" s="278"/>
      <c r="XI23" s="12"/>
      <c r="XJ23" s="12"/>
      <c r="XK23" s="251"/>
      <c r="XL23" s="255"/>
      <c r="XM23" s="125"/>
      <c r="XN23" s="125"/>
      <c r="XO23" s="12"/>
      <c r="XP23" s="12"/>
      <c r="XQ23" s="12"/>
      <c r="XR23" s="12"/>
      <c r="XS23" s="12"/>
      <c r="XT23" s="12"/>
      <c r="XU23" s="12"/>
      <c r="XV23" s="125"/>
      <c r="XW23" s="12"/>
      <c r="XX23" s="12"/>
      <c r="XY23" s="12"/>
      <c r="XZ23" s="12"/>
      <c r="YA23" s="12"/>
      <c r="YB23" s="261"/>
    </row>
    <row r="24" spans="1:652" x14ac:dyDescent="0.3">
      <c r="A24" s="223" t="s">
        <v>138</v>
      </c>
      <c r="B24" s="271" t="s">
        <v>626</v>
      </c>
      <c r="C24" s="48" t="s">
        <v>631</v>
      </c>
      <c r="D24" s="49" t="str">
        <f>J24</f>
        <v>69132G</v>
      </c>
      <c r="E24" s="235"/>
      <c r="F24" s="239">
        <v>1</v>
      </c>
      <c r="G24" s="49"/>
      <c r="H24" s="66" t="s">
        <v>569</v>
      </c>
      <c r="I24" s="49" t="s">
        <v>570</v>
      </c>
      <c r="J24" s="49" t="s">
        <v>697</v>
      </c>
      <c r="K24" s="49" t="s">
        <v>572</v>
      </c>
      <c r="L24" s="49">
        <v>31.32</v>
      </c>
      <c r="M24" s="49" t="s">
        <v>573</v>
      </c>
      <c r="N24" s="49" t="s">
        <v>568</v>
      </c>
      <c r="O24" s="65">
        <v>43144</v>
      </c>
      <c r="P24" s="49" t="s">
        <v>698</v>
      </c>
      <c r="Q24" s="49"/>
      <c r="R24" s="49"/>
      <c r="S24" s="49"/>
      <c r="T24" s="49"/>
      <c r="U24" s="49"/>
      <c r="V24" s="260"/>
      <c r="W24" s="271" t="s">
        <v>626</v>
      </c>
      <c r="X24" s="48" t="s">
        <v>631</v>
      </c>
      <c r="Y24" s="49" t="str">
        <f>AE24</f>
        <v>69135G</v>
      </c>
      <c r="Z24" s="249"/>
      <c r="AA24" s="239">
        <v>1</v>
      </c>
      <c r="AB24" s="49"/>
      <c r="AC24" s="66" t="s">
        <v>569</v>
      </c>
      <c r="AD24" s="49" t="s">
        <v>570</v>
      </c>
      <c r="AE24" s="49" t="s">
        <v>699</v>
      </c>
      <c r="AF24" s="49" t="s">
        <v>572</v>
      </c>
      <c r="AG24" s="49">
        <v>31.78</v>
      </c>
      <c r="AH24" s="49" t="s">
        <v>573</v>
      </c>
      <c r="AI24" s="49" t="s">
        <v>568</v>
      </c>
      <c r="AJ24" s="65">
        <v>43088</v>
      </c>
      <c r="AK24" s="49" t="s">
        <v>698</v>
      </c>
      <c r="AL24" s="49"/>
      <c r="AM24" s="49"/>
      <c r="AN24" s="49"/>
      <c r="AO24" s="49"/>
      <c r="AP24" s="49"/>
      <c r="AQ24" s="260"/>
      <c r="AR24" s="271"/>
      <c r="AS24" s="48"/>
      <c r="AT24" s="48"/>
      <c r="AU24" s="235"/>
      <c r="AV24" s="239"/>
      <c r="AW24" s="49"/>
      <c r="AX24" s="49"/>
      <c r="AY24" s="49"/>
      <c r="AZ24" s="49"/>
      <c r="BA24" s="49"/>
      <c r="BB24" s="49"/>
      <c r="BC24" s="49"/>
      <c r="BD24" s="49"/>
      <c r="BE24" s="49"/>
      <c r="BF24" s="49"/>
      <c r="BG24" s="49"/>
      <c r="BH24" s="49"/>
      <c r="BI24" s="49"/>
      <c r="BJ24" s="49"/>
      <c r="BK24" s="49"/>
      <c r="BL24" s="260"/>
      <c r="BM24" s="276"/>
      <c r="BN24" s="49"/>
      <c r="BO24" s="49"/>
      <c r="BP24" s="249"/>
      <c r="BQ24" s="254"/>
      <c r="BR24" s="49"/>
      <c r="BS24" s="49"/>
      <c r="BT24" s="49"/>
      <c r="BU24" s="49"/>
      <c r="BV24" s="49"/>
      <c r="BW24" s="49"/>
      <c r="BX24" s="49"/>
      <c r="BY24" s="49"/>
      <c r="BZ24" s="49"/>
      <c r="CA24" s="49"/>
      <c r="CB24" s="49"/>
      <c r="CC24" s="49"/>
      <c r="CD24" s="49"/>
      <c r="CE24" s="49"/>
      <c r="CF24" s="49"/>
      <c r="CG24" s="260"/>
      <c r="CH24" s="276"/>
      <c r="CI24" s="49"/>
      <c r="CJ24" s="49"/>
      <c r="CK24" s="249"/>
      <c r="CL24" s="53"/>
      <c r="CM24" s="53"/>
      <c r="CN24" s="53"/>
      <c r="CO24" s="53"/>
      <c r="CP24" s="53"/>
      <c r="CQ24" s="80"/>
      <c r="CR24" s="53"/>
      <c r="CS24" s="54"/>
      <c r="CT24" s="84"/>
      <c r="CU24" s="53"/>
      <c r="CV24" s="66"/>
      <c r="CW24" s="49"/>
      <c r="CX24" s="49"/>
      <c r="CY24" s="49"/>
      <c r="CZ24" s="49"/>
      <c r="DA24" s="49"/>
      <c r="DB24" s="260"/>
      <c r="DC24" s="276"/>
      <c r="DD24" s="49"/>
      <c r="DE24" s="49"/>
      <c r="DF24" s="249"/>
      <c r="DG24" s="254"/>
      <c r="DH24" s="49"/>
      <c r="DI24" s="49"/>
      <c r="DJ24" s="49"/>
      <c r="DK24" s="49"/>
      <c r="DL24" s="49"/>
      <c r="DM24" s="49"/>
      <c r="DN24" s="49"/>
      <c r="DO24" s="49"/>
      <c r="DP24" s="49"/>
      <c r="DQ24" s="49"/>
      <c r="DR24" s="49"/>
      <c r="DS24" s="49"/>
      <c r="DT24" s="49"/>
      <c r="DU24" s="49"/>
      <c r="DV24" s="49"/>
      <c r="DW24" s="260"/>
      <c r="DX24" s="276"/>
      <c r="DY24" s="49"/>
      <c r="DZ24" s="49"/>
      <c r="EA24" s="249"/>
      <c r="EB24" s="53"/>
      <c r="EC24" s="53"/>
      <c r="ED24" s="53"/>
      <c r="EE24" s="53"/>
      <c r="EF24" s="53"/>
      <c r="EG24" s="80"/>
      <c r="EH24" s="53"/>
      <c r="EI24" s="54"/>
      <c r="EJ24" s="84"/>
      <c r="EK24" s="53"/>
      <c r="EL24" s="66"/>
      <c r="EM24" s="49"/>
      <c r="EN24" s="49"/>
      <c r="EO24" s="49"/>
      <c r="EP24" s="49"/>
      <c r="EQ24" s="49"/>
      <c r="ER24" s="260"/>
      <c r="ES24" s="276"/>
      <c r="ET24" s="49"/>
      <c r="EU24" s="49"/>
      <c r="EV24" s="249"/>
      <c r="EW24" s="254"/>
      <c r="EX24" s="49"/>
      <c r="EY24" s="49"/>
      <c r="EZ24" s="49"/>
      <c r="FA24" s="49"/>
      <c r="FB24" s="49"/>
      <c r="FC24" s="49"/>
      <c r="FD24" s="49"/>
      <c r="FE24" s="49"/>
      <c r="FF24" s="49"/>
      <c r="FG24" s="49"/>
      <c r="FH24" s="49"/>
      <c r="FI24" s="49"/>
      <c r="FJ24" s="49"/>
      <c r="FK24" s="49"/>
      <c r="FL24" s="49"/>
      <c r="FM24" s="260"/>
      <c r="FN24" s="276"/>
      <c r="FO24" s="49"/>
      <c r="FP24" s="49"/>
      <c r="FQ24" s="249"/>
      <c r="FR24" s="53"/>
      <c r="FS24" s="53"/>
      <c r="FT24" s="53"/>
      <c r="FU24" s="53"/>
      <c r="FV24" s="53"/>
      <c r="FW24" s="80"/>
      <c r="FX24" s="53"/>
      <c r="FY24" s="54"/>
      <c r="FZ24" s="84"/>
      <c r="GA24" s="53"/>
      <c r="GB24" s="66"/>
      <c r="GC24" s="49"/>
      <c r="GD24" s="49"/>
      <c r="GE24" s="49"/>
      <c r="GF24" s="49"/>
      <c r="GG24" s="49"/>
      <c r="GH24" s="260"/>
      <c r="GI24" s="276"/>
      <c r="GJ24" s="49"/>
      <c r="GK24" s="49"/>
      <c r="GL24" s="249"/>
      <c r="GM24" s="254"/>
      <c r="GN24" s="49"/>
      <c r="GO24" s="49"/>
      <c r="GP24" s="49"/>
      <c r="GQ24" s="49"/>
      <c r="GR24" s="49"/>
      <c r="GS24" s="49"/>
      <c r="GT24" s="49"/>
      <c r="GU24" s="49"/>
      <c r="GV24" s="49"/>
      <c r="GW24" s="49"/>
      <c r="GX24" s="49"/>
      <c r="GY24" s="49"/>
      <c r="GZ24" s="49"/>
      <c r="HA24" s="49"/>
      <c r="HB24" s="49"/>
      <c r="HC24" s="260"/>
      <c r="HD24" s="276"/>
      <c r="HE24" s="49"/>
      <c r="HF24" s="49"/>
      <c r="HG24" s="249"/>
      <c r="HH24" s="254"/>
      <c r="HI24" s="49"/>
      <c r="HJ24" s="49"/>
      <c r="HK24" s="49"/>
      <c r="HL24" s="49"/>
      <c r="HM24" s="49"/>
      <c r="HN24" s="49"/>
      <c r="HO24" s="49"/>
      <c r="HP24" s="49"/>
      <c r="HQ24" s="49"/>
      <c r="HR24" s="49"/>
      <c r="HS24" s="49"/>
      <c r="HT24" s="49"/>
      <c r="HU24" s="49"/>
      <c r="HV24" s="49"/>
      <c r="HW24" s="49"/>
      <c r="HX24" s="260"/>
      <c r="HY24" s="276"/>
      <c r="HZ24" s="49"/>
      <c r="IA24" s="49"/>
      <c r="IB24" s="249"/>
      <c r="IC24" s="254"/>
      <c r="ID24" s="49"/>
      <c r="IE24" s="49"/>
      <c r="IF24" s="49"/>
      <c r="IG24" s="49"/>
      <c r="IH24" s="49"/>
      <c r="II24" s="49"/>
      <c r="IJ24" s="49"/>
      <c r="IK24" s="49"/>
      <c r="IL24" s="49"/>
      <c r="IM24" s="49"/>
      <c r="IN24" s="49"/>
      <c r="IO24" s="49"/>
      <c r="IP24" s="49"/>
      <c r="IQ24" s="49"/>
      <c r="IR24" s="49"/>
      <c r="IS24" s="260"/>
      <c r="IT24" s="276"/>
      <c r="IU24" s="49"/>
      <c r="IV24" s="49"/>
      <c r="IW24" s="249"/>
      <c r="IX24" s="254"/>
      <c r="IY24" s="49"/>
      <c r="IZ24" s="49"/>
      <c r="JA24" s="49"/>
      <c r="JB24" s="49"/>
      <c r="JC24" s="49"/>
      <c r="JD24" s="49"/>
      <c r="JE24" s="49"/>
      <c r="JF24" s="49"/>
      <c r="JG24" s="49"/>
      <c r="JH24" s="49"/>
      <c r="JI24" s="49"/>
      <c r="JJ24" s="49"/>
      <c r="JK24" s="49"/>
      <c r="JL24" s="49"/>
      <c r="JM24" s="49"/>
      <c r="JN24" s="260"/>
      <c r="JO24" s="276"/>
      <c r="JP24" s="49"/>
      <c r="JQ24" s="49"/>
      <c r="JR24" s="249"/>
      <c r="JS24" s="254"/>
      <c r="JT24" s="49"/>
      <c r="JU24" s="49"/>
      <c r="JV24" s="49"/>
      <c r="JW24" s="49"/>
      <c r="JX24" s="49"/>
      <c r="JY24" s="49"/>
      <c r="JZ24" s="49"/>
      <c r="KA24" s="49"/>
      <c r="KB24" s="49"/>
      <c r="KC24" s="49"/>
      <c r="KD24" s="49"/>
      <c r="KE24" s="49"/>
      <c r="KF24" s="49"/>
      <c r="KG24" s="49"/>
      <c r="KH24" s="49"/>
      <c r="KI24" s="260"/>
      <c r="KJ24" s="276"/>
      <c r="KK24" s="49"/>
      <c r="KL24" s="49"/>
      <c r="KM24" s="249"/>
      <c r="KN24" s="254"/>
      <c r="KO24" s="49"/>
      <c r="KP24" s="49"/>
      <c r="KQ24" s="49"/>
      <c r="KR24" s="49"/>
      <c r="KS24" s="49"/>
      <c r="KT24" s="49"/>
      <c r="KU24" s="49"/>
      <c r="KV24" s="49"/>
      <c r="KW24" s="49"/>
      <c r="KX24" s="49"/>
      <c r="KY24" s="49"/>
      <c r="KZ24" s="49"/>
      <c r="LA24" s="49"/>
      <c r="LB24" s="49"/>
      <c r="LC24" s="49"/>
      <c r="LD24" s="260"/>
      <c r="LE24" s="276"/>
      <c r="LF24" s="49"/>
      <c r="LG24" s="49"/>
      <c r="LH24" s="249"/>
      <c r="LI24" s="254"/>
      <c r="LJ24" s="49"/>
      <c r="LK24" s="49"/>
      <c r="LL24" s="49"/>
      <c r="LM24" s="49"/>
      <c r="LN24" s="49"/>
      <c r="LO24" s="49"/>
      <c r="LP24" s="49"/>
      <c r="LQ24" s="49"/>
      <c r="LR24" s="49"/>
      <c r="LS24" s="49"/>
      <c r="LT24" s="49"/>
      <c r="LU24" s="49"/>
      <c r="LV24" s="49"/>
      <c r="LW24" s="49"/>
      <c r="LX24" s="49"/>
      <c r="LY24" s="260"/>
      <c r="LZ24" s="276"/>
      <c r="MA24" s="49"/>
      <c r="MB24" s="49"/>
      <c r="MC24" s="249"/>
      <c r="MD24" s="254"/>
      <c r="ME24" s="49"/>
      <c r="MF24" s="49"/>
      <c r="MG24" s="49"/>
      <c r="MH24" s="49"/>
      <c r="MI24" s="49"/>
      <c r="MJ24" s="49"/>
      <c r="MK24" s="49"/>
      <c r="ML24" s="49"/>
      <c r="MM24" s="49"/>
      <c r="MN24" s="49"/>
      <c r="MO24" s="49"/>
      <c r="MP24" s="49"/>
      <c r="MQ24" s="49"/>
      <c r="MR24" s="49"/>
      <c r="MS24" s="49"/>
      <c r="MT24" s="260"/>
      <c r="MU24" s="276"/>
      <c r="MV24" s="49"/>
      <c r="MW24" s="49"/>
      <c r="MX24" s="249"/>
      <c r="MY24" s="254"/>
      <c r="MZ24" s="49"/>
      <c r="NA24" s="49"/>
      <c r="NB24" s="49"/>
      <c r="NC24" s="49"/>
      <c r="ND24" s="49"/>
      <c r="NE24" s="49"/>
      <c r="NF24" s="49"/>
      <c r="NG24" s="49"/>
      <c r="NH24" s="49"/>
      <c r="NI24" s="49"/>
      <c r="NJ24" s="49"/>
      <c r="NK24" s="49"/>
      <c r="NL24" s="49"/>
      <c r="NM24" s="49"/>
      <c r="NN24" s="49"/>
      <c r="NO24" s="260"/>
      <c r="NP24" s="276"/>
      <c r="NQ24" s="49"/>
      <c r="NR24" s="49"/>
      <c r="NS24" s="249"/>
      <c r="NT24" s="254"/>
      <c r="NU24" s="49"/>
      <c r="NV24" s="49"/>
      <c r="NW24" s="49"/>
      <c r="NX24" s="49"/>
      <c r="NY24" s="49"/>
      <c r="NZ24" s="49"/>
      <c r="OA24" s="49"/>
      <c r="OB24" s="49"/>
      <c r="OC24" s="49"/>
      <c r="OD24" s="49"/>
      <c r="OE24" s="49"/>
      <c r="OF24" s="49"/>
      <c r="OG24" s="49"/>
      <c r="OH24" s="49"/>
      <c r="OI24" s="49"/>
      <c r="OJ24" s="260"/>
      <c r="OK24" s="276"/>
      <c r="OL24" s="49"/>
      <c r="OM24" s="49"/>
      <c r="ON24" s="249"/>
      <c r="OO24" s="254"/>
      <c r="OP24" s="49"/>
      <c r="OQ24" s="49"/>
      <c r="OR24" s="49"/>
      <c r="OS24" s="49"/>
      <c r="OT24" s="49"/>
      <c r="OU24" s="49"/>
      <c r="OV24" s="49"/>
      <c r="OW24" s="49"/>
      <c r="OX24" s="49"/>
      <c r="OY24" s="49"/>
      <c r="OZ24" s="49"/>
      <c r="PA24" s="49"/>
      <c r="PB24" s="49"/>
      <c r="PC24" s="49"/>
      <c r="PD24" s="49"/>
      <c r="PE24" s="260"/>
      <c r="PF24" s="276"/>
      <c r="PG24" s="49"/>
      <c r="PH24" s="49"/>
      <c r="PI24" s="249"/>
      <c r="PJ24" s="254"/>
      <c r="PK24" s="49"/>
      <c r="PL24" s="49"/>
      <c r="PM24" s="49"/>
      <c r="PN24" s="49"/>
      <c r="PO24" s="49"/>
      <c r="PP24" s="49"/>
      <c r="PQ24" s="49"/>
      <c r="PR24" s="49"/>
      <c r="PS24" s="49"/>
      <c r="PT24" s="49"/>
      <c r="PU24" s="49"/>
      <c r="PV24" s="49"/>
      <c r="PW24" s="49"/>
      <c r="PX24" s="49"/>
      <c r="PY24" s="49"/>
      <c r="PZ24" s="260"/>
      <c r="QA24" s="276"/>
      <c r="QB24" s="49"/>
      <c r="QC24" s="49"/>
      <c r="QD24" s="249"/>
      <c r="QE24" s="254"/>
      <c r="QF24" s="49"/>
      <c r="QG24" s="49"/>
      <c r="QH24" s="49"/>
      <c r="QI24" s="49"/>
      <c r="QJ24" s="49"/>
      <c r="QK24" s="49"/>
      <c r="QL24" s="49"/>
      <c r="QM24" s="49"/>
      <c r="QN24" s="49"/>
      <c r="QO24" s="49"/>
      <c r="QP24" s="49"/>
      <c r="QQ24" s="49"/>
      <c r="QR24" s="49"/>
      <c r="QS24" s="49"/>
      <c r="QT24" s="49"/>
      <c r="QU24" s="260"/>
      <c r="QV24" s="276"/>
      <c r="QW24" s="49"/>
      <c r="QX24" s="49"/>
      <c r="QY24" s="249"/>
      <c r="QZ24" s="254"/>
      <c r="RA24" s="49"/>
      <c r="RB24" s="49"/>
      <c r="RC24" s="49"/>
      <c r="RD24" s="49"/>
      <c r="RE24" s="49"/>
      <c r="RF24" s="49"/>
      <c r="RG24" s="49"/>
      <c r="RH24" s="49"/>
      <c r="RI24" s="49"/>
      <c r="RJ24" s="49"/>
      <c r="RK24" s="49"/>
      <c r="RL24" s="49"/>
      <c r="RM24" s="49"/>
      <c r="RN24" s="49"/>
      <c r="RO24" s="49"/>
      <c r="RP24" s="260"/>
      <c r="RQ24" s="276"/>
      <c r="RR24" s="49"/>
      <c r="RS24" s="49"/>
      <c r="RT24" s="249"/>
      <c r="RU24" s="254"/>
      <c r="RV24" s="49"/>
      <c r="RW24" s="49"/>
      <c r="RX24" s="49"/>
      <c r="RY24" s="49"/>
      <c r="RZ24" s="49"/>
      <c r="SA24" s="49"/>
      <c r="SB24" s="49"/>
      <c r="SC24" s="49"/>
      <c r="SD24" s="49"/>
      <c r="SE24" s="49"/>
      <c r="SF24" s="49"/>
      <c r="SG24" s="49"/>
      <c r="SH24" s="49"/>
      <c r="SI24" s="49"/>
      <c r="SJ24" s="49"/>
      <c r="SK24" s="260"/>
      <c r="SL24" s="276"/>
      <c r="SM24" s="49"/>
      <c r="SN24" s="49"/>
      <c r="SO24" s="249"/>
      <c r="SP24" s="254"/>
      <c r="SQ24" s="49"/>
      <c r="SR24" s="49"/>
      <c r="SS24" s="49"/>
      <c r="ST24" s="49"/>
      <c r="SU24" s="49"/>
      <c r="SV24" s="49"/>
      <c r="SW24" s="49"/>
      <c r="SX24" s="49"/>
      <c r="SY24" s="49"/>
      <c r="SZ24" s="49"/>
      <c r="TA24" s="49"/>
      <c r="TB24" s="49"/>
      <c r="TC24" s="49"/>
      <c r="TD24" s="49"/>
      <c r="TE24" s="49"/>
      <c r="TF24" s="260"/>
      <c r="TG24" s="276"/>
      <c r="TH24" s="49"/>
      <c r="TI24" s="49"/>
      <c r="TJ24" s="249"/>
      <c r="TK24" s="254"/>
      <c r="TL24" s="49"/>
      <c r="TM24" s="49"/>
      <c r="TN24" s="49"/>
      <c r="TO24" s="49"/>
      <c r="TP24" s="49"/>
      <c r="TQ24" s="49"/>
      <c r="TR24" s="49"/>
      <c r="TS24" s="49"/>
      <c r="TT24" s="49"/>
      <c r="TU24" s="49"/>
      <c r="TV24" s="49"/>
      <c r="TW24" s="49"/>
      <c r="TX24" s="49"/>
      <c r="TY24" s="49"/>
      <c r="TZ24" s="49"/>
      <c r="UA24" s="260"/>
      <c r="UB24" s="276"/>
      <c r="UC24" s="49"/>
      <c r="UD24" s="49"/>
      <c r="UE24" s="249"/>
      <c r="UF24" s="254"/>
      <c r="UG24" s="49"/>
      <c r="UH24" s="49"/>
      <c r="UI24" s="49"/>
      <c r="UJ24" s="49"/>
      <c r="UK24" s="49"/>
      <c r="UL24" s="49"/>
      <c r="UM24" s="49"/>
      <c r="UN24" s="49"/>
      <c r="UO24" s="49"/>
      <c r="UP24" s="49"/>
      <c r="UQ24" s="49"/>
      <c r="UR24" s="49"/>
      <c r="US24" s="49"/>
      <c r="UT24" s="49"/>
      <c r="UU24" s="49"/>
      <c r="UV24" s="260"/>
      <c r="UW24" s="276"/>
      <c r="UX24" s="49"/>
      <c r="UY24" s="49"/>
      <c r="UZ24" s="249"/>
      <c r="VA24" s="254"/>
      <c r="VB24" s="49"/>
      <c r="VC24" s="49"/>
      <c r="VD24" s="49"/>
      <c r="VE24" s="49"/>
      <c r="VF24" s="49"/>
      <c r="VG24" s="49"/>
      <c r="VH24" s="49"/>
      <c r="VI24" s="49"/>
      <c r="VJ24" s="49"/>
      <c r="VK24" s="49"/>
      <c r="VL24" s="49"/>
      <c r="VM24" s="49"/>
      <c r="VN24" s="49"/>
      <c r="VO24" s="49"/>
      <c r="VP24" s="49"/>
      <c r="VQ24" s="260"/>
      <c r="VR24" s="276"/>
      <c r="VS24" s="49"/>
      <c r="VT24" s="49"/>
      <c r="VU24" s="249"/>
      <c r="VV24" s="254"/>
      <c r="VW24" s="49"/>
      <c r="VX24" s="49"/>
      <c r="VY24" s="49"/>
      <c r="VZ24" s="49"/>
      <c r="WA24" s="49"/>
      <c r="WB24" s="49"/>
      <c r="WC24" s="49"/>
      <c r="WD24" s="49"/>
      <c r="WE24" s="49"/>
      <c r="WF24" s="49"/>
      <c r="WG24" s="49"/>
      <c r="WH24" s="49"/>
      <c r="WI24" s="49"/>
      <c r="WJ24" s="49"/>
      <c r="WK24" s="49"/>
      <c r="WL24" s="260"/>
      <c r="WM24" s="276"/>
      <c r="WN24" s="49"/>
      <c r="WO24" s="49"/>
      <c r="WP24" s="249"/>
      <c r="WQ24" s="254"/>
      <c r="WR24" s="49"/>
      <c r="WS24" s="49"/>
      <c r="WT24" s="49"/>
      <c r="WU24" s="49"/>
      <c r="WV24" s="49"/>
      <c r="WW24" s="49"/>
      <c r="WX24" s="49"/>
      <c r="WY24" s="49"/>
      <c r="WZ24" s="49"/>
      <c r="XA24" s="49"/>
      <c r="XB24" s="49"/>
      <c r="XC24" s="49"/>
      <c r="XD24" s="49"/>
      <c r="XE24" s="49"/>
      <c r="XF24" s="49"/>
      <c r="XG24" s="260"/>
      <c r="XH24" s="276"/>
      <c r="XI24" s="49"/>
      <c r="XJ24" s="49"/>
      <c r="XK24" s="249"/>
      <c r="XL24" s="254"/>
      <c r="XM24" s="49"/>
      <c r="XN24" s="49"/>
      <c r="XO24" s="49"/>
      <c r="XP24" s="49"/>
      <c r="XQ24" s="49"/>
      <c r="XR24" s="49"/>
      <c r="XS24" s="49"/>
      <c r="XT24" s="49"/>
      <c r="XU24" s="49"/>
      <c r="XV24" s="49"/>
      <c r="XW24" s="49"/>
      <c r="XX24" s="49"/>
      <c r="XY24" s="49"/>
      <c r="XZ24" s="49"/>
      <c r="YA24" s="49"/>
      <c r="YB24" s="260"/>
    </row>
    <row r="25" spans="1:652" x14ac:dyDescent="0.3">
      <c r="A25" s="224" t="s">
        <v>171</v>
      </c>
      <c r="B25" s="270"/>
      <c r="C25" s="10"/>
      <c r="D25" s="10"/>
      <c r="E25" s="234"/>
      <c r="F25" s="240">
        <v>1</v>
      </c>
      <c r="G25" s="12"/>
      <c r="H25" s="125" t="s">
        <v>569</v>
      </c>
      <c r="I25" s="12" t="s">
        <v>570</v>
      </c>
      <c r="J25" s="12" t="s">
        <v>700</v>
      </c>
      <c r="K25" s="12" t="s">
        <v>572</v>
      </c>
      <c r="L25" s="262">
        <v>44.4</v>
      </c>
      <c r="M25" s="12" t="s">
        <v>573</v>
      </c>
      <c r="N25" s="12" t="s">
        <v>568</v>
      </c>
      <c r="O25" s="12"/>
      <c r="P25" s="12" t="s">
        <v>701</v>
      </c>
      <c r="Q25" s="12"/>
      <c r="R25" s="12"/>
      <c r="S25" s="12"/>
      <c r="T25" s="12"/>
      <c r="U25" s="12"/>
      <c r="V25" s="261"/>
      <c r="W25" s="278"/>
      <c r="X25" s="12"/>
      <c r="Y25" s="12"/>
      <c r="Z25" s="251"/>
      <c r="AA25" s="240">
        <v>1</v>
      </c>
      <c r="AB25" s="12"/>
      <c r="AC25" s="125" t="s">
        <v>569</v>
      </c>
      <c r="AD25" s="12" t="s">
        <v>570</v>
      </c>
      <c r="AE25" s="12" t="s">
        <v>702</v>
      </c>
      <c r="AF25" s="12" t="s">
        <v>572</v>
      </c>
      <c r="AG25" s="12">
        <v>32.56</v>
      </c>
      <c r="AH25" s="12" t="s">
        <v>573</v>
      </c>
      <c r="AI25" s="12" t="s">
        <v>568</v>
      </c>
      <c r="AJ25" s="12"/>
      <c r="AK25" s="12" t="s">
        <v>703</v>
      </c>
      <c r="AL25" s="12"/>
      <c r="AM25" s="12"/>
      <c r="AN25" s="12"/>
      <c r="AO25" s="12"/>
      <c r="AP25" s="12"/>
      <c r="AQ25" s="261"/>
      <c r="AR25" s="270"/>
      <c r="AS25" s="10"/>
      <c r="AT25" s="10"/>
      <c r="AU25" s="234"/>
      <c r="AV25" s="240">
        <v>1</v>
      </c>
      <c r="AW25" s="12"/>
      <c r="AX25" s="125" t="s">
        <v>569</v>
      </c>
      <c r="AY25" s="12" t="s">
        <v>570</v>
      </c>
      <c r="AZ25" s="12" t="s">
        <v>704</v>
      </c>
      <c r="BA25" s="12" t="s">
        <v>572</v>
      </c>
      <c r="BB25" s="12">
        <v>32.426000000000002</v>
      </c>
      <c r="BC25" s="12" t="s">
        <v>573</v>
      </c>
      <c r="BD25" s="12" t="s">
        <v>568</v>
      </c>
      <c r="BE25" s="12"/>
      <c r="BF25" s="12" t="s">
        <v>703</v>
      </c>
      <c r="BG25" s="12"/>
      <c r="BH25" s="12"/>
      <c r="BI25" s="12"/>
      <c r="BJ25" s="12"/>
      <c r="BK25" s="12"/>
      <c r="BL25" s="261"/>
      <c r="BM25" s="278"/>
      <c r="BN25" s="12"/>
      <c r="BO25" s="12"/>
      <c r="BP25" s="251"/>
      <c r="BQ25" s="240">
        <v>1</v>
      </c>
      <c r="BR25" s="12"/>
      <c r="BS25" s="125" t="s">
        <v>569</v>
      </c>
      <c r="BT25" s="12" t="s">
        <v>570</v>
      </c>
      <c r="BU25" s="12" t="s">
        <v>705</v>
      </c>
      <c r="BV25" s="12" t="s">
        <v>572</v>
      </c>
      <c r="BW25" s="12">
        <v>32.167000000000002</v>
      </c>
      <c r="BX25" s="12" t="s">
        <v>573</v>
      </c>
      <c r="BY25" s="12" t="s">
        <v>568</v>
      </c>
      <c r="BZ25" s="12"/>
      <c r="CA25" s="12" t="s">
        <v>706</v>
      </c>
      <c r="CB25" s="12"/>
      <c r="CC25" s="12"/>
      <c r="CD25" s="12"/>
      <c r="CE25" s="12"/>
      <c r="CF25" s="12"/>
      <c r="CG25" s="261"/>
      <c r="CH25" s="278"/>
      <c r="CI25" s="12"/>
      <c r="CJ25" s="12"/>
      <c r="CK25" s="251"/>
      <c r="CL25" s="240">
        <v>1</v>
      </c>
      <c r="CM25" s="12"/>
      <c r="CN25" s="125" t="s">
        <v>569</v>
      </c>
      <c r="CO25" s="12" t="s">
        <v>570</v>
      </c>
      <c r="CP25" s="46" t="s">
        <v>707</v>
      </c>
      <c r="CQ25" s="39" t="s">
        <v>572</v>
      </c>
      <c r="CR25" s="46">
        <v>32.301000000000002</v>
      </c>
      <c r="CS25" s="37" t="s">
        <v>573</v>
      </c>
      <c r="CT25" s="85" t="s">
        <v>568</v>
      </c>
      <c r="CU25" s="46"/>
      <c r="CV25" s="125" t="s">
        <v>706</v>
      </c>
      <c r="CW25" s="12"/>
      <c r="CX25" s="12"/>
      <c r="CY25" s="12"/>
      <c r="CZ25" s="12"/>
      <c r="DA25" s="12"/>
      <c r="DB25" s="261"/>
      <c r="DC25" s="278"/>
      <c r="DD25" s="12"/>
      <c r="DE25" s="12"/>
      <c r="DF25" s="251"/>
      <c r="DG25" s="255">
        <v>1</v>
      </c>
      <c r="DH25" s="12"/>
      <c r="DI25" s="125" t="s">
        <v>569</v>
      </c>
      <c r="DJ25" s="12" t="s">
        <v>585</v>
      </c>
      <c r="DK25" s="12" t="s">
        <v>708</v>
      </c>
      <c r="DL25" s="12" t="s">
        <v>575</v>
      </c>
      <c r="DM25" s="12">
        <v>38.85</v>
      </c>
      <c r="DN25" s="12" t="s">
        <v>573</v>
      </c>
      <c r="DO25" s="12" t="s">
        <v>568</v>
      </c>
      <c r="DP25" s="12"/>
      <c r="DQ25" s="12" t="s">
        <v>709</v>
      </c>
      <c r="DR25" s="12"/>
      <c r="DS25" s="12"/>
      <c r="DT25" s="12"/>
      <c r="DU25" s="12"/>
      <c r="DV25" s="12"/>
      <c r="DW25" s="261"/>
      <c r="DX25" s="278"/>
      <c r="DY25" s="12"/>
      <c r="DZ25" s="12"/>
      <c r="EA25" s="251"/>
      <c r="EB25" s="46">
        <v>1</v>
      </c>
      <c r="EC25" s="46"/>
      <c r="ED25" s="125" t="s">
        <v>569</v>
      </c>
      <c r="EE25" s="12" t="s">
        <v>585</v>
      </c>
      <c r="EF25" s="46" t="s">
        <v>710</v>
      </c>
      <c r="EG25" s="81" t="s">
        <v>575</v>
      </c>
      <c r="EH25" s="46">
        <v>39.22</v>
      </c>
      <c r="EI25" s="46" t="s">
        <v>573</v>
      </c>
      <c r="EJ25" s="85" t="s">
        <v>568</v>
      </c>
      <c r="EK25" s="46"/>
      <c r="EL25" s="125" t="s">
        <v>709</v>
      </c>
      <c r="EM25" s="12"/>
      <c r="EN25" s="12"/>
      <c r="EO25" s="12"/>
      <c r="EP25" s="12"/>
      <c r="EQ25" s="12"/>
      <c r="ER25" s="261"/>
      <c r="ES25" s="278"/>
      <c r="ET25" s="12"/>
      <c r="EU25" s="12"/>
      <c r="EV25" s="251"/>
      <c r="EW25" s="255">
        <v>1</v>
      </c>
      <c r="EX25" s="12"/>
      <c r="EY25" s="125" t="s">
        <v>569</v>
      </c>
      <c r="EZ25" s="12" t="s">
        <v>570</v>
      </c>
      <c r="FA25" s="12" t="s">
        <v>711</v>
      </c>
      <c r="FB25" s="12" t="s">
        <v>572</v>
      </c>
      <c r="FC25" s="12">
        <v>24.989000000000001</v>
      </c>
      <c r="FD25" s="12" t="s">
        <v>573</v>
      </c>
      <c r="FE25" s="12" t="s">
        <v>568</v>
      </c>
      <c r="FF25" s="12"/>
      <c r="FG25" s="12" t="s">
        <v>712</v>
      </c>
      <c r="FH25" s="12"/>
      <c r="FI25" s="12"/>
      <c r="FJ25" s="12"/>
      <c r="FK25" s="12"/>
      <c r="FL25" s="12"/>
      <c r="FM25" s="261"/>
      <c r="FN25" s="278"/>
      <c r="FO25" s="12"/>
      <c r="FP25" s="12"/>
      <c r="FQ25" s="251"/>
      <c r="FR25" s="255">
        <v>1</v>
      </c>
      <c r="FS25" s="12"/>
      <c r="FT25" s="125" t="s">
        <v>569</v>
      </c>
      <c r="FU25" s="12" t="s">
        <v>570</v>
      </c>
      <c r="FV25" s="46" t="s">
        <v>713</v>
      </c>
      <c r="FW25" s="39" t="s">
        <v>572</v>
      </c>
      <c r="FX25" s="46">
        <v>24.331</v>
      </c>
      <c r="FY25" s="37" t="s">
        <v>573</v>
      </c>
      <c r="FZ25" s="85" t="s">
        <v>568</v>
      </c>
      <c r="GA25" s="46"/>
      <c r="GB25" s="12" t="s">
        <v>712</v>
      </c>
      <c r="GC25" s="12"/>
      <c r="GD25" s="12"/>
      <c r="GE25" s="12"/>
      <c r="GF25" s="12"/>
      <c r="GG25" s="12"/>
      <c r="GH25" s="261"/>
      <c r="GI25" s="278"/>
      <c r="GJ25" s="12"/>
      <c r="GK25" s="12"/>
      <c r="GL25" s="251"/>
      <c r="GM25" s="255">
        <v>1</v>
      </c>
      <c r="GN25" s="12"/>
      <c r="GO25" s="125" t="s">
        <v>569</v>
      </c>
      <c r="GP25" s="12" t="s">
        <v>570</v>
      </c>
      <c r="GQ25" s="12" t="s">
        <v>714</v>
      </c>
      <c r="GR25" s="12" t="s">
        <v>572</v>
      </c>
      <c r="GS25" s="12">
        <v>33.33</v>
      </c>
      <c r="GT25" s="12" t="s">
        <v>573</v>
      </c>
      <c r="GU25" s="12" t="s">
        <v>568</v>
      </c>
      <c r="GV25" s="12"/>
      <c r="GW25" s="12" t="s">
        <v>715</v>
      </c>
      <c r="GX25" s="12"/>
      <c r="GY25" s="12"/>
      <c r="GZ25" s="12"/>
      <c r="HA25" s="12"/>
      <c r="HB25" s="12"/>
      <c r="HC25" s="261"/>
      <c r="HD25" s="278"/>
      <c r="HE25" s="12"/>
      <c r="HF25" s="12"/>
      <c r="HG25" s="251"/>
      <c r="HH25" s="255">
        <v>1</v>
      </c>
      <c r="HI25" s="12"/>
      <c r="HJ25" s="125" t="s">
        <v>569</v>
      </c>
      <c r="HK25" s="12" t="s">
        <v>570</v>
      </c>
      <c r="HL25" s="12" t="s">
        <v>716</v>
      </c>
      <c r="HM25" s="12" t="s">
        <v>572</v>
      </c>
      <c r="HN25" s="12">
        <v>33.04</v>
      </c>
      <c r="HO25" s="12" t="s">
        <v>573</v>
      </c>
      <c r="HP25" s="12" t="s">
        <v>568</v>
      </c>
      <c r="HQ25" s="12"/>
      <c r="HR25" s="12" t="s">
        <v>715</v>
      </c>
      <c r="HS25" s="12"/>
      <c r="HT25" s="12"/>
      <c r="HU25" s="12"/>
      <c r="HV25" s="12"/>
      <c r="HW25" s="12"/>
      <c r="HX25" s="261"/>
      <c r="HY25" s="278"/>
      <c r="HZ25" s="12"/>
      <c r="IA25" s="12"/>
      <c r="IB25" s="251"/>
      <c r="IC25" s="255">
        <v>1</v>
      </c>
      <c r="ID25" s="12"/>
      <c r="IE25" s="125" t="s">
        <v>569</v>
      </c>
      <c r="IF25" s="12" t="s">
        <v>570</v>
      </c>
      <c r="IG25" s="12" t="s">
        <v>717</v>
      </c>
      <c r="IH25" s="12" t="s">
        <v>572</v>
      </c>
      <c r="II25" s="12">
        <v>27.75</v>
      </c>
      <c r="IJ25" s="12" t="s">
        <v>573</v>
      </c>
      <c r="IK25" s="12" t="s">
        <v>568</v>
      </c>
      <c r="IL25" s="12"/>
      <c r="IM25" s="12" t="s">
        <v>718</v>
      </c>
      <c r="IN25" s="12"/>
      <c r="IO25" s="12"/>
      <c r="IP25" s="12"/>
      <c r="IQ25" s="12"/>
      <c r="IR25" s="12"/>
      <c r="IS25" s="261"/>
      <c r="IT25" s="278"/>
      <c r="IU25" s="12"/>
      <c r="IV25" s="12"/>
      <c r="IW25" s="251"/>
      <c r="IX25" s="255">
        <v>1</v>
      </c>
      <c r="IY25" s="12"/>
      <c r="IZ25" s="125" t="s">
        <v>569</v>
      </c>
      <c r="JA25" s="12" t="s">
        <v>570</v>
      </c>
      <c r="JB25" s="12" t="s">
        <v>719</v>
      </c>
      <c r="JC25" s="12" t="s">
        <v>572</v>
      </c>
      <c r="JD25" s="12">
        <v>27.75</v>
      </c>
      <c r="JE25" s="12" t="s">
        <v>573</v>
      </c>
      <c r="JF25" s="12" t="s">
        <v>568</v>
      </c>
      <c r="JG25" s="12"/>
      <c r="JH25" s="12" t="s">
        <v>718</v>
      </c>
      <c r="JI25" s="12"/>
      <c r="JJ25" s="12"/>
      <c r="JK25" s="12"/>
      <c r="JL25" s="12"/>
      <c r="JM25" s="12"/>
      <c r="JN25" s="261"/>
      <c r="JO25" s="278"/>
      <c r="JP25" s="12"/>
      <c r="JQ25" s="12"/>
      <c r="JR25" s="251"/>
      <c r="JS25" s="255">
        <v>1</v>
      </c>
      <c r="JT25" s="125"/>
      <c r="JU25" s="125" t="s">
        <v>569</v>
      </c>
      <c r="JV25" s="12" t="s">
        <v>570</v>
      </c>
      <c r="JW25" s="12" t="s">
        <v>720</v>
      </c>
      <c r="JX25" s="12" t="s">
        <v>572</v>
      </c>
      <c r="JY25" s="12">
        <v>36.15</v>
      </c>
      <c r="JZ25" s="12" t="s">
        <v>573</v>
      </c>
      <c r="KA25" s="12" t="s">
        <v>568</v>
      </c>
      <c r="KB25" s="12"/>
      <c r="KC25" s="12" t="s">
        <v>721</v>
      </c>
      <c r="KD25" s="12"/>
      <c r="KE25" s="12"/>
      <c r="KF25" s="12"/>
      <c r="KG25" s="12"/>
      <c r="KH25" s="12"/>
      <c r="KI25" s="261"/>
      <c r="KJ25" s="278"/>
      <c r="KK25" s="12"/>
      <c r="KL25" s="12"/>
      <c r="KM25" s="251"/>
      <c r="KN25" s="255">
        <v>1</v>
      </c>
      <c r="KO25" s="12"/>
      <c r="KP25" s="125" t="s">
        <v>569</v>
      </c>
      <c r="KQ25" s="12" t="s">
        <v>570</v>
      </c>
      <c r="KR25" s="12" t="s">
        <v>722</v>
      </c>
      <c r="KS25" s="12" t="s">
        <v>572</v>
      </c>
      <c r="KT25" s="262">
        <v>32.299999999999997</v>
      </c>
      <c r="KU25" s="12" t="s">
        <v>573</v>
      </c>
      <c r="KV25" s="12" t="s">
        <v>568</v>
      </c>
      <c r="KW25" s="12"/>
      <c r="KX25" s="12" t="s">
        <v>721</v>
      </c>
      <c r="KY25" s="12"/>
      <c r="KZ25" s="12"/>
      <c r="LA25" s="12"/>
      <c r="LB25" s="12"/>
      <c r="LC25" s="12"/>
      <c r="LD25" s="261"/>
      <c r="LE25" s="278"/>
      <c r="LF25" s="12"/>
      <c r="LG25" s="12"/>
      <c r="LH25" s="251"/>
      <c r="LI25" s="255">
        <v>1</v>
      </c>
      <c r="LJ25" s="12"/>
      <c r="LK25" s="125" t="s">
        <v>569</v>
      </c>
      <c r="LL25" s="12" t="s">
        <v>570</v>
      </c>
      <c r="LM25" s="12" t="s">
        <v>723</v>
      </c>
      <c r="LN25" s="12" t="s">
        <v>572</v>
      </c>
      <c r="LO25" s="12">
        <v>32.07</v>
      </c>
      <c r="LP25" s="12" t="s">
        <v>573</v>
      </c>
      <c r="LQ25" s="12" t="s">
        <v>568</v>
      </c>
      <c r="LR25" s="12"/>
      <c r="LS25" s="12" t="s">
        <v>724</v>
      </c>
      <c r="LT25" s="12"/>
      <c r="LU25" s="12"/>
      <c r="LV25" s="12"/>
      <c r="LW25" s="12"/>
      <c r="LX25" s="12"/>
      <c r="LY25" s="261"/>
      <c r="LZ25" s="278"/>
      <c r="MA25" s="12"/>
      <c r="MB25" s="12"/>
      <c r="MC25" s="251"/>
      <c r="MD25" s="255">
        <v>1</v>
      </c>
      <c r="ME25" s="12"/>
      <c r="MF25" s="125" t="s">
        <v>569</v>
      </c>
      <c r="MG25" s="12" t="s">
        <v>570</v>
      </c>
      <c r="MH25" s="12" t="s">
        <v>725</v>
      </c>
      <c r="MI25" s="12" t="s">
        <v>572</v>
      </c>
      <c r="MJ25" s="12">
        <v>32.32</v>
      </c>
      <c r="MK25" s="12" t="s">
        <v>573</v>
      </c>
      <c r="ML25" s="12" t="s">
        <v>568</v>
      </c>
      <c r="MM25" s="12"/>
      <c r="MN25" s="12" t="s">
        <v>724</v>
      </c>
      <c r="MO25" s="12"/>
      <c r="MP25" s="12"/>
      <c r="MQ25" s="12"/>
      <c r="MR25" s="12"/>
      <c r="MS25" s="12"/>
      <c r="MT25" s="261"/>
      <c r="MU25" s="278"/>
      <c r="MV25" s="12"/>
      <c r="MW25" s="12"/>
      <c r="MX25" s="251"/>
      <c r="MY25" s="255">
        <v>1</v>
      </c>
      <c r="MZ25" s="12"/>
      <c r="NA25" s="125" t="s">
        <v>569</v>
      </c>
      <c r="NB25" s="12" t="s">
        <v>585</v>
      </c>
      <c r="NC25" s="12" t="s">
        <v>726</v>
      </c>
      <c r="ND25" s="12" t="s">
        <v>575</v>
      </c>
      <c r="NE25" s="12">
        <v>38.85</v>
      </c>
      <c r="NF25" s="12" t="s">
        <v>573</v>
      </c>
      <c r="NG25" s="12" t="s">
        <v>568</v>
      </c>
      <c r="NH25" s="12"/>
      <c r="NI25" s="12" t="s">
        <v>727</v>
      </c>
      <c r="NJ25" s="12"/>
      <c r="NK25" s="12"/>
      <c r="NL25" s="12"/>
      <c r="NM25" s="12"/>
      <c r="NN25" s="12"/>
      <c r="NO25" s="261"/>
      <c r="NP25" s="278"/>
      <c r="NQ25" s="12"/>
      <c r="NR25" s="12"/>
      <c r="NS25" s="251"/>
      <c r="NT25" s="255">
        <v>1</v>
      </c>
      <c r="NU25" s="12"/>
      <c r="NV25" s="125" t="s">
        <v>569</v>
      </c>
      <c r="NW25" s="12" t="s">
        <v>585</v>
      </c>
      <c r="NX25" s="12" t="s">
        <v>728</v>
      </c>
      <c r="NY25" s="12" t="s">
        <v>575</v>
      </c>
      <c r="NZ25" s="12">
        <v>39.22</v>
      </c>
      <c r="OA25" s="12" t="s">
        <v>573</v>
      </c>
      <c r="OB25" s="12" t="s">
        <v>568</v>
      </c>
      <c r="OC25" s="12"/>
      <c r="OD25" s="12" t="s">
        <v>727</v>
      </c>
      <c r="OE25" s="12"/>
      <c r="OF25" s="12"/>
      <c r="OG25" s="12"/>
      <c r="OH25" s="12"/>
      <c r="OI25" s="12"/>
      <c r="OJ25" s="261"/>
      <c r="OK25" s="278"/>
      <c r="OL25" s="12"/>
      <c r="OM25" s="12"/>
      <c r="ON25" s="251"/>
      <c r="OO25" s="255">
        <v>1</v>
      </c>
      <c r="OP25" s="12"/>
      <c r="OQ25" s="125" t="s">
        <v>569</v>
      </c>
      <c r="OR25" s="12" t="s">
        <v>570</v>
      </c>
      <c r="OS25" s="12" t="s">
        <v>729</v>
      </c>
      <c r="OT25" s="12" t="s">
        <v>572</v>
      </c>
      <c r="OU25" s="12">
        <v>32.042000000000002</v>
      </c>
      <c r="OV25" s="12" t="s">
        <v>573</v>
      </c>
      <c r="OW25" s="12" t="s">
        <v>568</v>
      </c>
      <c r="OX25" s="12"/>
      <c r="OY25" s="12" t="s">
        <v>730</v>
      </c>
      <c r="OZ25" s="12"/>
      <c r="PA25" s="12"/>
      <c r="PB25" s="12"/>
      <c r="PC25" s="12"/>
      <c r="PD25" s="12"/>
      <c r="PE25" s="261"/>
      <c r="PF25" s="278"/>
      <c r="PG25" s="12"/>
      <c r="PH25" s="12"/>
      <c r="PI25" s="251"/>
      <c r="PJ25" s="255">
        <v>1</v>
      </c>
      <c r="PK25" s="12"/>
      <c r="PL25" s="125" t="s">
        <v>569</v>
      </c>
      <c r="PM25" s="12" t="s">
        <v>570</v>
      </c>
      <c r="PN25" s="12" t="s">
        <v>731</v>
      </c>
      <c r="PO25" s="12" t="s">
        <v>572</v>
      </c>
      <c r="PP25" s="12">
        <v>31.3797</v>
      </c>
      <c r="PQ25" s="12" t="s">
        <v>573</v>
      </c>
      <c r="PR25" s="12" t="s">
        <v>568</v>
      </c>
      <c r="PS25" s="12"/>
      <c r="PT25" s="12" t="s">
        <v>730</v>
      </c>
      <c r="PU25" s="12"/>
      <c r="PV25" s="12"/>
      <c r="PW25" s="12"/>
      <c r="PX25" s="12"/>
      <c r="PY25" s="12"/>
      <c r="PZ25" s="261"/>
      <c r="QA25" s="278"/>
      <c r="QB25" s="12"/>
      <c r="QC25" s="12"/>
      <c r="QD25" s="251"/>
      <c r="QE25" s="255">
        <v>1</v>
      </c>
      <c r="QF25" s="12"/>
      <c r="QG25" s="12" t="s">
        <v>641</v>
      </c>
      <c r="QH25" s="12" t="s">
        <v>732</v>
      </c>
      <c r="QI25" s="12" t="s">
        <v>733</v>
      </c>
      <c r="QJ25" s="12" t="s">
        <v>566</v>
      </c>
      <c r="QK25" s="12">
        <v>389.6</v>
      </c>
      <c r="QL25" s="12" t="s">
        <v>567</v>
      </c>
      <c r="QM25" s="12" t="s">
        <v>568</v>
      </c>
      <c r="QN25" s="12"/>
      <c r="QO25" s="125" t="s">
        <v>644</v>
      </c>
      <c r="QP25" s="14">
        <v>44945</v>
      </c>
      <c r="QQ25" s="13">
        <f>IF(QP25=0," ",QP25+365)</f>
        <v>45310</v>
      </c>
      <c r="QR25" s="11" t="str">
        <f ca="1">IFERROR(IF(QQ25-TODAY()&gt;60,"VIGENTE",IF(QQ25-TODAY()&lt;=0,"VENCIDO",IF(QQ25-TODAY()&lt;=60,"POR VENCER")))," ")</f>
        <v>VENCIDO</v>
      </c>
      <c r="QS25" s="12"/>
      <c r="QT25" s="12"/>
      <c r="QU25" s="261"/>
      <c r="QV25" s="278"/>
      <c r="QW25" s="12"/>
      <c r="QX25" s="12"/>
      <c r="QY25" s="251"/>
      <c r="QZ25" s="255">
        <v>1</v>
      </c>
      <c r="RA25" s="12"/>
      <c r="RB25" s="125" t="s">
        <v>641</v>
      </c>
      <c r="RC25" s="125" t="s">
        <v>734</v>
      </c>
      <c r="RD25" s="125" t="s">
        <v>735</v>
      </c>
      <c r="RE25" s="12" t="s">
        <v>575</v>
      </c>
      <c r="RF25" s="12">
        <v>386.7</v>
      </c>
      <c r="RG25" s="12" t="s">
        <v>567</v>
      </c>
      <c r="RH25" s="12" t="s">
        <v>568</v>
      </c>
      <c r="RI25" s="12"/>
      <c r="RJ25" s="125" t="s">
        <v>644</v>
      </c>
      <c r="RK25" s="14">
        <v>44945</v>
      </c>
      <c r="RL25" s="13">
        <f>IF(RK25=0," ",RK25+365)</f>
        <v>45310</v>
      </c>
      <c r="RM25" s="11" t="str">
        <f ca="1">IFERROR(IF(RL25-TODAY()&gt;60,"VIGENTE",IF(RL25-TODAY()&lt;=0,"VENCIDO",IF(RL25-TODAY()&lt;=60,"POR VENCER")))," ")</f>
        <v>VENCIDO</v>
      </c>
      <c r="RN25" s="12"/>
      <c r="RO25" s="12"/>
      <c r="RP25" s="261"/>
      <c r="RQ25" s="278"/>
      <c r="RR25" s="12"/>
      <c r="RS25" s="12"/>
      <c r="RT25" s="251"/>
      <c r="RU25" s="255"/>
      <c r="RV25" s="12"/>
      <c r="RW25" s="12"/>
      <c r="RX25" s="12"/>
      <c r="RY25" s="12"/>
      <c r="RZ25" s="12"/>
      <c r="SA25" s="12"/>
      <c r="SB25" s="12"/>
      <c r="SC25" s="12"/>
      <c r="SD25" s="12"/>
      <c r="SE25" s="12"/>
      <c r="SF25" s="12"/>
      <c r="SG25" s="12"/>
      <c r="SH25" s="12"/>
      <c r="SI25" s="12"/>
      <c r="SJ25" s="12"/>
      <c r="SK25" s="261"/>
      <c r="SL25" s="278"/>
      <c r="SM25" s="12"/>
      <c r="SN25" s="12"/>
      <c r="SO25" s="251"/>
      <c r="SP25" s="255"/>
      <c r="SQ25" s="12"/>
      <c r="SR25" s="12"/>
      <c r="SS25" s="12"/>
      <c r="ST25" s="12"/>
      <c r="SU25" s="12"/>
      <c r="SV25" s="12"/>
      <c r="SW25" s="12"/>
      <c r="SX25" s="12"/>
      <c r="SY25" s="12"/>
      <c r="SZ25" s="12"/>
      <c r="TA25" s="12"/>
      <c r="TB25" s="12"/>
      <c r="TC25" s="12"/>
      <c r="TD25" s="12"/>
      <c r="TE25" s="12"/>
      <c r="TF25" s="261"/>
      <c r="TG25" s="278"/>
      <c r="TH25" s="12"/>
      <c r="TI25" s="12"/>
      <c r="TJ25" s="251"/>
      <c r="TK25" s="255"/>
      <c r="TL25" s="12"/>
      <c r="TM25" s="12"/>
      <c r="TN25" s="12"/>
      <c r="TO25" s="12"/>
      <c r="TP25" s="12"/>
      <c r="TQ25" s="12"/>
      <c r="TR25" s="12"/>
      <c r="TS25" s="12"/>
      <c r="TT25" s="12"/>
      <c r="TU25" s="12"/>
      <c r="TV25" s="12"/>
      <c r="TW25" s="12"/>
      <c r="TX25" s="12"/>
      <c r="TY25" s="12"/>
      <c r="TZ25" s="12"/>
      <c r="UA25" s="261"/>
      <c r="UB25" s="278"/>
      <c r="UC25" s="12"/>
      <c r="UD25" s="12"/>
      <c r="UE25" s="251"/>
      <c r="UF25" s="255"/>
      <c r="UG25" s="12"/>
      <c r="UH25" s="12"/>
      <c r="UI25" s="12"/>
      <c r="UJ25" s="12"/>
      <c r="UK25" s="12"/>
      <c r="UL25" s="12"/>
      <c r="UM25" s="12"/>
      <c r="UN25" s="12"/>
      <c r="UO25" s="12"/>
      <c r="UP25" s="12"/>
      <c r="UQ25" s="12"/>
      <c r="UR25" s="12"/>
      <c r="US25" s="12"/>
      <c r="UT25" s="12"/>
      <c r="UU25" s="12"/>
      <c r="UV25" s="261"/>
      <c r="UW25" s="278"/>
      <c r="UX25" s="12"/>
      <c r="UY25" s="12"/>
      <c r="UZ25" s="251"/>
      <c r="VA25" s="255"/>
      <c r="VB25" s="12"/>
      <c r="VC25" s="12"/>
      <c r="VD25" s="12"/>
      <c r="VE25" s="12"/>
      <c r="VF25" s="12"/>
      <c r="VG25" s="12"/>
      <c r="VH25" s="12"/>
      <c r="VI25" s="12"/>
      <c r="VJ25" s="12"/>
      <c r="VK25" s="12"/>
      <c r="VL25" s="12"/>
      <c r="VM25" s="12"/>
      <c r="VN25" s="12"/>
      <c r="VO25" s="12"/>
      <c r="VP25" s="12"/>
      <c r="VQ25" s="261"/>
      <c r="VR25" s="278"/>
      <c r="VS25" s="12"/>
      <c r="VT25" s="12"/>
      <c r="VU25" s="251"/>
      <c r="VV25" s="255"/>
      <c r="VW25" s="12"/>
      <c r="VX25" s="12"/>
      <c r="VY25" s="12"/>
      <c r="VZ25" s="12"/>
      <c r="WA25" s="12"/>
      <c r="WB25" s="12"/>
      <c r="WC25" s="12"/>
      <c r="WD25" s="12"/>
      <c r="WE25" s="12"/>
      <c r="WF25" s="12"/>
      <c r="WG25" s="12"/>
      <c r="WH25" s="12"/>
      <c r="WI25" s="12"/>
      <c r="WJ25" s="12"/>
      <c r="WK25" s="12"/>
      <c r="WL25" s="261"/>
      <c r="WM25" s="278"/>
      <c r="WN25" s="12"/>
      <c r="WO25" s="12"/>
      <c r="WP25" s="251"/>
      <c r="WQ25" s="255"/>
      <c r="WR25" s="12"/>
      <c r="WS25" s="12"/>
      <c r="WT25" s="12"/>
      <c r="WU25" s="12"/>
      <c r="WV25" s="12"/>
      <c r="WW25" s="12"/>
      <c r="WX25" s="12"/>
      <c r="WY25" s="12"/>
      <c r="WZ25" s="12"/>
      <c r="XA25" s="12"/>
      <c r="XB25" s="12"/>
      <c r="XC25" s="12"/>
      <c r="XD25" s="12"/>
      <c r="XE25" s="12"/>
      <c r="XF25" s="12"/>
      <c r="XG25" s="261"/>
      <c r="XH25" s="278"/>
      <c r="XI25" s="12"/>
      <c r="XJ25" s="12"/>
      <c r="XK25" s="251"/>
      <c r="XL25" s="255"/>
      <c r="XM25" s="12"/>
      <c r="XN25" s="12"/>
      <c r="XO25" s="12"/>
      <c r="XP25" s="12"/>
      <c r="XQ25" s="12"/>
      <c r="XR25" s="12"/>
      <c r="XS25" s="12"/>
      <c r="XT25" s="12"/>
      <c r="XU25" s="12"/>
      <c r="XV25" s="12"/>
      <c r="XW25" s="12"/>
      <c r="XX25" s="12"/>
      <c r="XY25" s="12"/>
      <c r="XZ25" s="12"/>
      <c r="YA25" s="12"/>
      <c r="YB25" s="261"/>
    </row>
    <row r="26" spans="1:652" x14ac:dyDescent="0.3">
      <c r="A26" s="223" t="s">
        <v>175</v>
      </c>
      <c r="B26" s="271"/>
      <c r="C26" s="48"/>
      <c r="D26" s="48"/>
      <c r="E26" s="235"/>
      <c r="F26" s="239">
        <v>1</v>
      </c>
      <c r="G26" s="49"/>
      <c r="H26" s="66" t="s">
        <v>569</v>
      </c>
      <c r="I26" s="49" t="s">
        <v>570</v>
      </c>
      <c r="J26" s="49" t="s">
        <v>736</v>
      </c>
      <c r="K26" s="49" t="s">
        <v>575</v>
      </c>
      <c r="L26" s="308">
        <v>43.8</v>
      </c>
      <c r="M26" s="49" t="s">
        <v>573</v>
      </c>
      <c r="N26" s="49" t="s">
        <v>568</v>
      </c>
      <c r="O26" s="49"/>
      <c r="P26" s="49" t="s">
        <v>706</v>
      </c>
      <c r="Q26" s="49"/>
      <c r="R26" s="49"/>
      <c r="S26" s="49"/>
      <c r="T26" s="49"/>
      <c r="U26" s="49"/>
      <c r="V26" s="260"/>
      <c r="W26" s="276"/>
      <c r="X26" s="49"/>
      <c r="Y26" s="49"/>
      <c r="Z26" s="249"/>
      <c r="AA26" s="254">
        <v>1</v>
      </c>
      <c r="AB26" s="49"/>
      <c r="AC26" s="66" t="s">
        <v>569</v>
      </c>
      <c r="AD26" s="49" t="s">
        <v>585</v>
      </c>
      <c r="AE26" s="49" t="s">
        <v>737</v>
      </c>
      <c r="AF26" s="49" t="s">
        <v>572</v>
      </c>
      <c r="AG26" s="49">
        <v>38.85</v>
      </c>
      <c r="AH26" s="49" t="s">
        <v>573</v>
      </c>
      <c r="AI26" s="49" t="s">
        <v>568</v>
      </c>
      <c r="AJ26" s="49"/>
      <c r="AK26" s="49" t="s">
        <v>738</v>
      </c>
      <c r="AL26" s="49"/>
      <c r="AM26" s="49"/>
      <c r="AN26" s="49"/>
      <c r="AO26" s="49"/>
      <c r="AP26" s="49"/>
      <c r="AQ26" s="260"/>
      <c r="AR26" s="271"/>
      <c r="AS26" s="48"/>
      <c r="AT26" s="48"/>
      <c r="AU26" s="235"/>
      <c r="AV26" s="239">
        <v>1</v>
      </c>
      <c r="AW26" s="49"/>
      <c r="AX26" s="66" t="s">
        <v>569</v>
      </c>
      <c r="AY26" s="49" t="s">
        <v>585</v>
      </c>
      <c r="AZ26" s="49" t="s">
        <v>739</v>
      </c>
      <c r="BA26" s="49" t="s">
        <v>572</v>
      </c>
      <c r="BB26" s="49">
        <v>38.85</v>
      </c>
      <c r="BC26" s="49" t="s">
        <v>573</v>
      </c>
      <c r="BD26" s="49" t="s">
        <v>568</v>
      </c>
      <c r="BE26" s="49"/>
      <c r="BF26" s="49" t="s">
        <v>738</v>
      </c>
      <c r="BG26" s="49"/>
      <c r="BH26" s="49"/>
      <c r="BI26" s="49"/>
      <c r="BJ26" s="49"/>
      <c r="BK26" s="49"/>
      <c r="BL26" s="260"/>
      <c r="BM26" s="276"/>
      <c r="BN26" s="49"/>
      <c r="BO26" s="49"/>
      <c r="BP26" s="249"/>
      <c r="BQ26" s="254">
        <v>1</v>
      </c>
      <c r="BR26" s="49"/>
      <c r="BS26" s="66" t="s">
        <v>569</v>
      </c>
      <c r="BT26" s="49" t="s">
        <v>570</v>
      </c>
      <c r="BU26" s="49" t="s">
        <v>740</v>
      </c>
      <c r="BV26" s="49" t="s">
        <v>575</v>
      </c>
      <c r="BW26" s="49">
        <v>25.38</v>
      </c>
      <c r="BX26" s="49" t="s">
        <v>573</v>
      </c>
      <c r="BY26" s="49" t="s">
        <v>568</v>
      </c>
      <c r="BZ26" s="49"/>
      <c r="CA26" s="49" t="s">
        <v>741</v>
      </c>
      <c r="CB26" s="49"/>
      <c r="CC26" s="49"/>
      <c r="CD26" s="49"/>
      <c r="CE26" s="49"/>
      <c r="CF26" s="49"/>
      <c r="CG26" s="260"/>
      <c r="CH26" s="276"/>
      <c r="CI26" s="49"/>
      <c r="CJ26" s="49"/>
      <c r="CK26" s="249"/>
      <c r="CL26" s="53">
        <v>1</v>
      </c>
      <c r="CM26" s="53"/>
      <c r="CN26" s="66" t="s">
        <v>569</v>
      </c>
      <c r="CO26" s="53" t="s">
        <v>570</v>
      </c>
      <c r="CP26" s="53" t="s">
        <v>742</v>
      </c>
      <c r="CQ26" s="80" t="s">
        <v>572</v>
      </c>
      <c r="CR26" s="53">
        <v>56.41</v>
      </c>
      <c r="CS26" s="54" t="s">
        <v>573</v>
      </c>
      <c r="CT26" s="84" t="s">
        <v>568</v>
      </c>
      <c r="CU26" s="53"/>
      <c r="CV26" s="66" t="s">
        <v>741</v>
      </c>
      <c r="CW26" s="49"/>
      <c r="CX26" s="49"/>
      <c r="CY26" s="49"/>
      <c r="CZ26" s="49"/>
      <c r="DA26" s="49"/>
      <c r="DB26" s="260"/>
      <c r="DC26" s="276"/>
      <c r="DD26" s="49"/>
      <c r="DE26" s="49"/>
      <c r="DF26" s="249"/>
      <c r="DG26" s="254">
        <v>1</v>
      </c>
      <c r="DH26" s="49"/>
      <c r="DI26" s="66" t="s">
        <v>569</v>
      </c>
      <c r="DJ26" s="49" t="s">
        <v>570</v>
      </c>
      <c r="DK26" s="49" t="s">
        <v>743</v>
      </c>
      <c r="DL26" s="49" t="s">
        <v>575</v>
      </c>
      <c r="DM26" s="49">
        <v>33.39</v>
      </c>
      <c r="DN26" s="49" t="s">
        <v>573</v>
      </c>
      <c r="DO26" s="49" t="s">
        <v>568</v>
      </c>
      <c r="DP26" s="49"/>
      <c r="DQ26" s="49" t="s">
        <v>675</v>
      </c>
      <c r="DR26" s="49"/>
      <c r="DS26" s="49"/>
      <c r="DT26" s="49"/>
      <c r="DU26" s="49"/>
      <c r="DV26" s="49"/>
      <c r="DW26" s="260"/>
      <c r="DX26" s="276"/>
      <c r="DY26" s="49"/>
      <c r="DZ26" s="49"/>
      <c r="EA26" s="249"/>
      <c r="EB26" s="53">
        <v>1</v>
      </c>
      <c r="EC26" s="53"/>
      <c r="ED26" s="109" t="s">
        <v>569</v>
      </c>
      <c r="EE26" s="49" t="s">
        <v>570</v>
      </c>
      <c r="EF26" s="53" t="s">
        <v>744</v>
      </c>
      <c r="EG26" s="49" t="s">
        <v>575</v>
      </c>
      <c r="EH26" s="53">
        <v>33.39</v>
      </c>
      <c r="EI26" s="54" t="s">
        <v>573</v>
      </c>
      <c r="EJ26" s="84" t="s">
        <v>568</v>
      </c>
      <c r="EK26" s="53"/>
      <c r="EL26" s="66" t="s">
        <v>675</v>
      </c>
      <c r="EM26" s="49"/>
      <c r="EN26" s="49"/>
      <c r="EO26" s="49"/>
      <c r="EP26" s="49"/>
      <c r="EQ26" s="49"/>
      <c r="ER26" s="260"/>
      <c r="ES26" s="276"/>
      <c r="ET26" s="49"/>
      <c r="EU26" s="49"/>
      <c r="EV26" s="249"/>
      <c r="EW26" s="254"/>
      <c r="EX26" s="49"/>
      <c r="EY26" s="109"/>
      <c r="EZ26" s="49"/>
      <c r="FA26" s="49"/>
      <c r="FB26" s="49"/>
      <c r="FC26" s="308"/>
      <c r="FD26" s="49"/>
      <c r="FE26" s="49"/>
      <c r="FF26" s="49"/>
      <c r="FG26" s="49"/>
      <c r="FH26" s="49"/>
      <c r="FI26" s="49"/>
      <c r="FJ26" s="49"/>
      <c r="FK26" s="49"/>
      <c r="FL26" s="49"/>
      <c r="FM26" s="260"/>
      <c r="FN26" s="276"/>
      <c r="FO26" s="49"/>
      <c r="FP26" s="49"/>
      <c r="FQ26" s="249"/>
      <c r="FR26" s="53"/>
      <c r="FS26" s="53"/>
      <c r="FT26" s="53"/>
      <c r="FU26" s="53"/>
      <c r="FV26" s="53"/>
      <c r="FW26" s="80"/>
      <c r="FX26" s="53"/>
      <c r="FY26" s="54"/>
      <c r="FZ26" s="84"/>
      <c r="GA26" s="53"/>
      <c r="GB26" s="66"/>
      <c r="GC26" s="49"/>
      <c r="GD26" s="49"/>
      <c r="GE26" s="49"/>
      <c r="GF26" s="49"/>
      <c r="GG26" s="49"/>
      <c r="GH26" s="260"/>
      <c r="GI26" s="276"/>
      <c r="GJ26" s="49"/>
      <c r="GK26" s="49"/>
      <c r="GL26" s="249"/>
      <c r="GM26" s="254"/>
      <c r="GN26" s="49"/>
      <c r="GO26" s="49"/>
      <c r="GP26" s="49"/>
      <c r="GQ26" s="49"/>
      <c r="GR26" s="49"/>
      <c r="GS26" s="49"/>
      <c r="GT26" s="49"/>
      <c r="GU26" s="49"/>
      <c r="GV26" s="49"/>
      <c r="GW26" s="49"/>
      <c r="GX26" s="49"/>
      <c r="GY26" s="49"/>
      <c r="GZ26" s="49"/>
      <c r="HA26" s="49"/>
      <c r="HB26" s="49"/>
      <c r="HC26" s="260"/>
      <c r="HD26" s="276"/>
      <c r="HE26" s="49"/>
      <c r="HF26" s="49"/>
      <c r="HG26" s="249"/>
      <c r="HH26" s="254"/>
      <c r="HI26" s="49"/>
      <c r="HJ26" s="49"/>
      <c r="HK26" s="49"/>
      <c r="HL26" s="49"/>
      <c r="HM26" s="49"/>
      <c r="HN26" s="49"/>
      <c r="HO26" s="49"/>
      <c r="HP26" s="49"/>
      <c r="HQ26" s="49"/>
      <c r="HR26" s="49"/>
      <c r="HS26" s="49"/>
      <c r="HT26" s="49"/>
      <c r="HU26" s="49"/>
      <c r="HV26" s="49"/>
      <c r="HW26" s="49"/>
      <c r="HX26" s="260"/>
      <c r="HY26" s="276"/>
      <c r="HZ26" s="49"/>
      <c r="IA26" s="49"/>
      <c r="IB26" s="249"/>
      <c r="IC26" s="254"/>
      <c r="ID26" s="49"/>
      <c r="IE26" s="49"/>
      <c r="IF26" s="49"/>
      <c r="IG26" s="49"/>
      <c r="IH26" s="49"/>
      <c r="II26" s="49"/>
      <c r="IJ26" s="49"/>
      <c r="IK26" s="49"/>
      <c r="IL26" s="49"/>
      <c r="IM26" s="49"/>
      <c r="IN26" s="49"/>
      <c r="IO26" s="49"/>
      <c r="IP26" s="49"/>
      <c r="IQ26" s="49"/>
      <c r="IR26" s="49"/>
      <c r="IS26" s="260"/>
      <c r="IT26" s="276"/>
      <c r="IU26" s="49"/>
      <c r="IV26" s="49"/>
      <c r="IW26" s="249"/>
      <c r="IX26" s="254"/>
      <c r="IY26" s="49"/>
      <c r="IZ26" s="49"/>
      <c r="JA26" s="49"/>
      <c r="JB26" s="49"/>
      <c r="JC26" s="49"/>
      <c r="JD26" s="49"/>
      <c r="JE26" s="49"/>
      <c r="JF26" s="49"/>
      <c r="JG26" s="49"/>
      <c r="JH26" s="49"/>
      <c r="JI26" s="49"/>
      <c r="JJ26" s="49"/>
      <c r="JK26" s="49"/>
      <c r="JL26" s="49"/>
      <c r="JM26" s="49"/>
      <c r="JN26" s="260"/>
      <c r="JO26" s="276"/>
      <c r="JP26" s="49"/>
      <c r="JQ26" s="49"/>
      <c r="JR26" s="249"/>
      <c r="JS26" s="254"/>
      <c r="JT26" s="49"/>
      <c r="JU26" s="49"/>
      <c r="JV26" s="49"/>
      <c r="JW26" s="49"/>
      <c r="JX26" s="49"/>
      <c r="JY26" s="49"/>
      <c r="JZ26" s="49"/>
      <c r="KA26" s="49"/>
      <c r="KB26" s="49"/>
      <c r="KC26" s="49"/>
      <c r="KD26" s="49"/>
      <c r="KE26" s="49"/>
      <c r="KF26" s="49"/>
      <c r="KG26" s="49"/>
      <c r="KH26" s="49"/>
      <c r="KI26" s="260"/>
      <c r="KJ26" s="276"/>
      <c r="KK26" s="49"/>
      <c r="KL26" s="49"/>
      <c r="KM26" s="249"/>
      <c r="KN26" s="254"/>
      <c r="KO26" s="49"/>
      <c r="KP26" s="49"/>
      <c r="KQ26" s="49"/>
      <c r="KR26" s="49"/>
      <c r="KS26" s="49"/>
      <c r="KT26" s="49"/>
      <c r="KU26" s="49"/>
      <c r="KV26" s="49"/>
      <c r="KW26" s="49"/>
      <c r="KX26" s="49"/>
      <c r="KY26" s="49"/>
      <c r="KZ26" s="49"/>
      <c r="LA26" s="49"/>
      <c r="LB26" s="49"/>
      <c r="LC26" s="49"/>
      <c r="LD26" s="260"/>
      <c r="LE26" s="276"/>
      <c r="LF26" s="49"/>
      <c r="LG26" s="49"/>
      <c r="LH26" s="249"/>
      <c r="LI26" s="254"/>
      <c r="LJ26" s="49"/>
      <c r="LK26" s="49"/>
      <c r="LL26" s="49"/>
      <c r="LM26" s="49"/>
      <c r="LN26" s="49"/>
      <c r="LO26" s="49"/>
      <c r="LP26" s="49"/>
      <c r="LQ26" s="49"/>
      <c r="LR26" s="49"/>
      <c r="LS26" s="49"/>
      <c r="LT26" s="49"/>
      <c r="LU26" s="49"/>
      <c r="LV26" s="49"/>
      <c r="LW26" s="49"/>
      <c r="LX26" s="49"/>
      <c r="LY26" s="260"/>
      <c r="LZ26" s="276"/>
      <c r="MA26" s="49"/>
      <c r="MB26" s="49"/>
      <c r="MC26" s="249"/>
      <c r="MD26" s="254"/>
      <c r="ME26" s="49"/>
      <c r="MF26" s="49"/>
      <c r="MG26" s="49"/>
      <c r="MH26" s="49"/>
      <c r="MI26" s="49"/>
      <c r="MJ26" s="49"/>
      <c r="MK26" s="49"/>
      <c r="ML26" s="49"/>
      <c r="MM26" s="49"/>
      <c r="MN26" s="49"/>
      <c r="MO26" s="49"/>
      <c r="MP26" s="49"/>
      <c r="MQ26" s="49"/>
      <c r="MR26" s="49"/>
      <c r="MS26" s="49"/>
      <c r="MT26" s="260"/>
      <c r="MU26" s="276"/>
      <c r="MV26" s="49"/>
      <c r="MW26" s="49"/>
      <c r="MX26" s="249"/>
      <c r="MY26" s="254"/>
      <c r="MZ26" s="49"/>
      <c r="NA26" s="49"/>
      <c r="NB26" s="49"/>
      <c r="NC26" s="49"/>
      <c r="ND26" s="49"/>
      <c r="NE26" s="49"/>
      <c r="NF26" s="49"/>
      <c r="NG26" s="49"/>
      <c r="NH26" s="49"/>
      <c r="NI26" s="49"/>
      <c r="NJ26" s="49"/>
      <c r="NK26" s="49"/>
      <c r="NL26" s="49"/>
      <c r="NM26" s="49"/>
      <c r="NN26" s="49"/>
      <c r="NO26" s="260"/>
      <c r="NP26" s="276"/>
      <c r="NQ26" s="49"/>
      <c r="NR26" s="49"/>
      <c r="NS26" s="249"/>
      <c r="NT26" s="254"/>
      <c r="NU26" s="49"/>
      <c r="NV26" s="49"/>
      <c r="NW26" s="49"/>
      <c r="NX26" s="49"/>
      <c r="NY26" s="49"/>
      <c r="NZ26" s="49"/>
      <c r="OA26" s="49"/>
      <c r="OB26" s="49"/>
      <c r="OC26" s="49"/>
      <c r="OD26" s="49"/>
      <c r="OE26" s="49"/>
      <c r="OF26" s="49"/>
      <c r="OG26" s="49"/>
      <c r="OH26" s="49"/>
      <c r="OI26" s="49"/>
      <c r="OJ26" s="260"/>
      <c r="OK26" s="276"/>
      <c r="OL26" s="49"/>
      <c r="OM26" s="49"/>
      <c r="ON26" s="249"/>
      <c r="OO26" s="254"/>
      <c r="OP26" s="49"/>
      <c r="OQ26" s="49"/>
      <c r="OR26" s="49"/>
      <c r="OS26" s="49"/>
      <c r="OT26" s="49"/>
      <c r="OU26" s="49"/>
      <c r="OV26" s="49"/>
      <c r="OW26" s="49"/>
      <c r="OX26" s="49"/>
      <c r="OY26" s="49"/>
      <c r="OZ26" s="49"/>
      <c r="PA26" s="49"/>
      <c r="PB26" s="49"/>
      <c r="PC26" s="49"/>
      <c r="PD26" s="49"/>
      <c r="PE26" s="260"/>
      <c r="PF26" s="276"/>
      <c r="PG26" s="49"/>
      <c r="PH26" s="49"/>
      <c r="PI26" s="249"/>
      <c r="PJ26" s="254"/>
      <c r="PK26" s="49"/>
      <c r="PL26" s="49"/>
      <c r="PM26" s="49"/>
      <c r="PN26" s="49"/>
      <c r="PO26" s="49"/>
      <c r="PP26" s="49"/>
      <c r="PQ26" s="49"/>
      <c r="PR26" s="49"/>
      <c r="PS26" s="49"/>
      <c r="PT26" s="49"/>
      <c r="PU26" s="49"/>
      <c r="PV26" s="49"/>
      <c r="PW26" s="49"/>
      <c r="PX26" s="49"/>
      <c r="PY26" s="49"/>
      <c r="PZ26" s="260"/>
      <c r="QA26" s="276"/>
      <c r="QB26" s="49"/>
      <c r="QC26" s="49"/>
      <c r="QD26" s="249"/>
      <c r="QE26" s="254"/>
      <c r="QF26" s="49"/>
      <c r="QG26" s="49"/>
      <c r="QH26" s="49"/>
      <c r="QI26" s="49"/>
      <c r="QJ26" s="49"/>
      <c r="QK26" s="49"/>
      <c r="QL26" s="49"/>
      <c r="QM26" s="49"/>
      <c r="QN26" s="49"/>
      <c r="QO26" s="49"/>
      <c r="QP26" s="49"/>
      <c r="QQ26" s="49"/>
      <c r="QR26" s="49"/>
      <c r="QS26" s="49"/>
      <c r="QT26" s="49"/>
      <c r="QU26" s="260"/>
      <c r="QV26" s="276"/>
      <c r="QW26" s="49"/>
      <c r="QX26" s="49"/>
      <c r="QY26" s="249"/>
      <c r="QZ26" s="254"/>
      <c r="RA26" s="49"/>
      <c r="RB26" s="49"/>
      <c r="RC26" s="49"/>
      <c r="RD26" s="49"/>
      <c r="RE26" s="49"/>
      <c r="RF26" s="49"/>
      <c r="RG26" s="49"/>
      <c r="RH26" s="49"/>
      <c r="RI26" s="49"/>
      <c r="RJ26" s="49"/>
      <c r="RK26" s="49"/>
      <c r="RL26" s="49"/>
      <c r="RM26" s="49"/>
      <c r="RN26" s="49"/>
      <c r="RO26" s="49"/>
      <c r="RP26" s="260"/>
      <c r="RQ26" s="276"/>
      <c r="RR26" s="49"/>
      <c r="RS26" s="49"/>
      <c r="RT26" s="249"/>
      <c r="RU26" s="254"/>
      <c r="RV26" s="49"/>
      <c r="RW26" s="49"/>
      <c r="RX26" s="49"/>
      <c r="RY26" s="49"/>
      <c r="RZ26" s="49"/>
      <c r="SA26" s="49"/>
      <c r="SB26" s="49"/>
      <c r="SC26" s="49"/>
      <c r="SD26" s="49"/>
      <c r="SE26" s="49"/>
      <c r="SF26" s="49"/>
      <c r="SG26" s="49"/>
      <c r="SH26" s="49"/>
      <c r="SI26" s="49"/>
      <c r="SJ26" s="49"/>
      <c r="SK26" s="260"/>
      <c r="SL26" s="276"/>
      <c r="SM26" s="49"/>
      <c r="SN26" s="49"/>
      <c r="SO26" s="249"/>
      <c r="SP26" s="254"/>
      <c r="SQ26" s="49"/>
      <c r="SR26" s="49"/>
      <c r="SS26" s="49"/>
      <c r="ST26" s="49"/>
      <c r="SU26" s="49"/>
      <c r="SV26" s="49"/>
      <c r="SW26" s="49"/>
      <c r="SX26" s="49"/>
      <c r="SY26" s="49"/>
      <c r="SZ26" s="49"/>
      <c r="TA26" s="49"/>
      <c r="TB26" s="49"/>
      <c r="TC26" s="49"/>
      <c r="TD26" s="49"/>
      <c r="TE26" s="49"/>
      <c r="TF26" s="260"/>
      <c r="TG26" s="276"/>
      <c r="TH26" s="49"/>
      <c r="TI26" s="49"/>
      <c r="TJ26" s="249"/>
      <c r="TK26" s="254"/>
      <c r="TL26" s="49"/>
      <c r="TM26" s="49"/>
      <c r="TN26" s="49"/>
      <c r="TO26" s="49"/>
      <c r="TP26" s="49"/>
      <c r="TQ26" s="49"/>
      <c r="TR26" s="49"/>
      <c r="TS26" s="49"/>
      <c r="TT26" s="49"/>
      <c r="TU26" s="49"/>
      <c r="TV26" s="49"/>
      <c r="TW26" s="49"/>
      <c r="TX26" s="49"/>
      <c r="TY26" s="49"/>
      <c r="TZ26" s="49"/>
      <c r="UA26" s="260"/>
      <c r="UB26" s="276"/>
      <c r="UC26" s="49"/>
      <c r="UD26" s="49"/>
      <c r="UE26" s="249"/>
      <c r="UF26" s="254"/>
      <c r="UG26" s="49"/>
      <c r="UH26" s="49"/>
      <c r="UI26" s="49"/>
      <c r="UJ26" s="49"/>
      <c r="UK26" s="49"/>
      <c r="UL26" s="49"/>
      <c r="UM26" s="49"/>
      <c r="UN26" s="49"/>
      <c r="UO26" s="49"/>
      <c r="UP26" s="49"/>
      <c r="UQ26" s="49"/>
      <c r="UR26" s="49"/>
      <c r="US26" s="49"/>
      <c r="UT26" s="49"/>
      <c r="UU26" s="49"/>
      <c r="UV26" s="260"/>
      <c r="UW26" s="276"/>
      <c r="UX26" s="49"/>
      <c r="UY26" s="49"/>
      <c r="UZ26" s="249"/>
      <c r="VA26" s="254"/>
      <c r="VB26" s="49"/>
      <c r="VC26" s="49"/>
      <c r="VD26" s="49"/>
      <c r="VE26" s="49"/>
      <c r="VF26" s="49"/>
      <c r="VG26" s="49"/>
      <c r="VH26" s="49"/>
      <c r="VI26" s="49"/>
      <c r="VJ26" s="49"/>
      <c r="VK26" s="49"/>
      <c r="VL26" s="49"/>
      <c r="VM26" s="49"/>
      <c r="VN26" s="49"/>
      <c r="VO26" s="49"/>
      <c r="VP26" s="49"/>
      <c r="VQ26" s="260"/>
      <c r="VR26" s="276"/>
      <c r="VS26" s="49"/>
      <c r="VT26" s="49"/>
      <c r="VU26" s="249"/>
      <c r="VV26" s="254"/>
      <c r="VW26" s="49"/>
      <c r="VX26" s="49"/>
      <c r="VY26" s="49"/>
      <c r="VZ26" s="49"/>
      <c r="WA26" s="49"/>
      <c r="WB26" s="49"/>
      <c r="WC26" s="49"/>
      <c r="WD26" s="49"/>
      <c r="WE26" s="49"/>
      <c r="WF26" s="49"/>
      <c r="WG26" s="49"/>
      <c r="WH26" s="49"/>
      <c r="WI26" s="49"/>
      <c r="WJ26" s="49"/>
      <c r="WK26" s="49"/>
      <c r="WL26" s="260"/>
      <c r="WM26" s="276"/>
      <c r="WN26" s="49"/>
      <c r="WO26" s="49"/>
      <c r="WP26" s="249"/>
      <c r="WQ26" s="254"/>
      <c r="WR26" s="49"/>
      <c r="WS26" s="49"/>
      <c r="WT26" s="49"/>
      <c r="WU26" s="49"/>
      <c r="WV26" s="49"/>
      <c r="WW26" s="49"/>
      <c r="WX26" s="49"/>
      <c r="WY26" s="49"/>
      <c r="WZ26" s="49"/>
      <c r="XA26" s="49"/>
      <c r="XB26" s="49"/>
      <c r="XC26" s="49"/>
      <c r="XD26" s="49"/>
      <c r="XE26" s="49"/>
      <c r="XF26" s="49"/>
      <c r="XG26" s="260"/>
      <c r="XH26" s="276"/>
      <c r="XI26" s="49"/>
      <c r="XJ26" s="49"/>
      <c r="XK26" s="249"/>
      <c r="XL26" s="254"/>
      <c r="XM26" s="49"/>
      <c r="XN26" s="49"/>
      <c r="XO26" s="49"/>
      <c r="XP26" s="49"/>
      <c r="XQ26" s="49"/>
      <c r="XR26" s="49"/>
      <c r="XS26" s="49"/>
      <c r="XT26" s="49"/>
      <c r="XU26" s="49"/>
      <c r="XV26" s="49"/>
      <c r="XW26" s="49"/>
      <c r="XX26" s="49"/>
      <c r="XY26" s="49"/>
      <c r="XZ26" s="49"/>
      <c r="YA26" s="49"/>
      <c r="YB26" s="260"/>
    </row>
    <row r="27" spans="1:652" x14ac:dyDescent="0.3">
      <c r="A27" s="224" t="s">
        <v>179</v>
      </c>
      <c r="B27" s="270"/>
      <c r="C27" s="10"/>
      <c r="D27" s="10"/>
      <c r="E27" s="234"/>
      <c r="F27" s="240"/>
      <c r="G27" s="12"/>
      <c r="H27" s="12"/>
      <c r="I27" s="12"/>
      <c r="J27" s="12"/>
      <c r="K27" s="12"/>
      <c r="L27" s="12"/>
      <c r="M27" s="12"/>
      <c r="N27" s="12"/>
      <c r="O27" s="12"/>
      <c r="P27" s="12"/>
      <c r="Q27" s="12"/>
      <c r="R27" s="12"/>
      <c r="S27" s="12"/>
      <c r="T27" s="12"/>
      <c r="U27" s="12"/>
      <c r="V27" s="261"/>
      <c r="W27" s="278"/>
      <c r="X27" s="12"/>
      <c r="Y27" s="12"/>
      <c r="Z27" s="251"/>
      <c r="AA27" s="255"/>
      <c r="AB27" s="12"/>
      <c r="AC27" s="12"/>
      <c r="AD27" s="12"/>
      <c r="AE27" s="12"/>
      <c r="AF27" s="12"/>
      <c r="AG27" s="12"/>
      <c r="AH27" s="12"/>
      <c r="AI27" s="12"/>
      <c r="AJ27" s="12"/>
      <c r="AK27" s="12"/>
      <c r="AL27" s="12"/>
      <c r="AM27" s="12"/>
      <c r="AN27" s="12"/>
      <c r="AO27" s="12"/>
      <c r="AP27" s="12"/>
      <c r="AQ27" s="261"/>
      <c r="AR27" s="270"/>
      <c r="AS27" s="10"/>
      <c r="AT27" s="10"/>
      <c r="AU27" s="234"/>
      <c r="AV27" s="240"/>
      <c r="AW27" s="12"/>
      <c r="AX27" s="12"/>
      <c r="AY27" s="12"/>
      <c r="AZ27" s="12"/>
      <c r="BA27" s="12"/>
      <c r="BB27" s="12"/>
      <c r="BC27" s="12"/>
      <c r="BD27" s="12"/>
      <c r="BE27" s="12"/>
      <c r="BF27" s="12"/>
      <c r="BG27" s="12"/>
      <c r="BH27" s="12"/>
      <c r="BI27" s="12"/>
      <c r="BJ27" s="12"/>
      <c r="BK27" s="12"/>
      <c r="BL27" s="261"/>
      <c r="BM27" s="278"/>
      <c r="BN27" s="12"/>
      <c r="BO27" s="12"/>
      <c r="BP27" s="251"/>
      <c r="BQ27" s="255"/>
      <c r="BR27" s="12"/>
      <c r="BS27" s="12"/>
      <c r="BT27" s="12"/>
      <c r="BU27" s="12"/>
      <c r="BV27" s="12"/>
      <c r="BW27" s="12"/>
      <c r="BX27" s="12"/>
      <c r="BY27" s="12"/>
      <c r="BZ27" s="12"/>
      <c r="CA27" s="12"/>
      <c r="CB27" s="12"/>
      <c r="CC27" s="12"/>
      <c r="CD27" s="12"/>
      <c r="CE27" s="12"/>
      <c r="CF27" s="12"/>
      <c r="CG27" s="261"/>
      <c r="CH27" s="278"/>
      <c r="CI27" s="12"/>
      <c r="CJ27" s="12"/>
      <c r="CK27" s="251"/>
      <c r="CL27" s="46"/>
      <c r="CM27" s="46"/>
      <c r="CN27" s="46"/>
      <c r="CO27" s="46"/>
      <c r="CP27" s="46"/>
      <c r="CQ27" s="81"/>
      <c r="CR27" s="46"/>
      <c r="CS27" s="37"/>
      <c r="CT27" s="85"/>
      <c r="CU27" s="46"/>
      <c r="CV27" s="125"/>
      <c r="CW27" s="12"/>
      <c r="CX27" s="12"/>
      <c r="CY27" s="12"/>
      <c r="CZ27" s="12"/>
      <c r="DA27" s="12"/>
      <c r="DB27" s="261"/>
      <c r="DC27" s="278"/>
      <c r="DD27" s="12"/>
      <c r="DE27" s="12"/>
      <c r="DF27" s="251"/>
      <c r="DG27" s="255"/>
      <c r="DH27" s="12"/>
      <c r="DI27" s="12"/>
      <c r="DJ27" s="12"/>
      <c r="DK27" s="12"/>
      <c r="DL27" s="12"/>
      <c r="DM27" s="12"/>
      <c r="DN27" s="12"/>
      <c r="DO27" s="12"/>
      <c r="DP27" s="12"/>
      <c r="DQ27" s="12"/>
      <c r="DR27" s="12"/>
      <c r="DS27" s="12"/>
      <c r="DT27" s="12"/>
      <c r="DU27" s="12"/>
      <c r="DV27" s="12"/>
      <c r="DW27" s="261"/>
      <c r="DX27" s="278"/>
      <c r="DY27" s="12"/>
      <c r="DZ27" s="12"/>
      <c r="EA27" s="251"/>
      <c r="EB27" s="46"/>
      <c r="EC27" s="46"/>
      <c r="ED27" s="46"/>
      <c r="EE27" s="46"/>
      <c r="EF27" s="46"/>
      <c r="EG27" s="81"/>
      <c r="EH27" s="46"/>
      <c r="EI27" s="37"/>
      <c r="EJ27" s="85"/>
      <c r="EK27" s="46"/>
      <c r="EL27" s="125"/>
      <c r="EM27" s="12"/>
      <c r="EN27" s="12"/>
      <c r="EO27" s="12"/>
      <c r="EP27" s="12"/>
      <c r="EQ27" s="12"/>
      <c r="ER27" s="261"/>
      <c r="ES27" s="278"/>
      <c r="ET27" s="12"/>
      <c r="EU27" s="12"/>
      <c r="EV27" s="251"/>
      <c r="EW27" s="255"/>
      <c r="EX27" s="12"/>
      <c r="EY27" s="12"/>
      <c r="EZ27" s="12"/>
      <c r="FA27" s="12"/>
      <c r="FB27" s="12"/>
      <c r="FC27" s="12"/>
      <c r="FD27" s="12"/>
      <c r="FE27" s="12"/>
      <c r="FF27" s="12"/>
      <c r="FG27" s="12"/>
      <c r="FH27" s="12"/>
      <c r="FI27" s="12"/>
      <c r="FJ27" s="12"/>
      <c r="FK27" s="12"/>
      <c r="FL27" s="12"/>
      <c r="FM27" s="261"/>
      <c r="FN27" s="278"/>
      <c r="FO27" s="12"/>
      <c r="FP27" s="12"/>
      <c r="FQ27" s="251"/>
      <c r="FR27" s="46"/>
      <c r="FS27" s="46"/>
      <c r="FT27" s="46"/>
      <c r="FU27" s="46"/>
      <c r="FV27" s="46"/>
      <c r="FW27" s="81"/>
      <c r="FX27" s="46"/>
      <c r="FY27" s="37"/>
      <c r="FZ27" s="85"/>
      <c r="GA27" s="46"/>
      <c r="GB27" s="125"/>
      <c r="GC27" s="12"/>
      <c r="GD27" s="12"/>
      <c r="GE27" s="12"/>
      <c r="GF27" s="12"/>
      <c r="GG27" s="12"/>
      <c r="GH27" s="261"/>
      <c r="GI27" s="278"/>
      <c r="GJ27" s="12"/>
      <c r="GK27" s="12"/>
      <c r="GL27" s="251"/>
      <c r="GM27" s="255"/>
      <c r="GN27" s="12"/>
      <c r="GO27" s="12"/>
      <c r="GP27" s="12"/>
      <c r="GQ27" s="12"/>
      <c r="GR27" s="12"/>
      <c r="GS27" s="12"/>
      <c r="GT27" s="12"/>
      <c r="GU27" s="12"/>
      <c r="GV27" s="12"/>
      <c r="GW27" s="12"/>
      <c r="GX27" s="12"/>
      <c r="GY27" s="12"/>
      <c r="GZ27" s="12"/>
      <c r="HA27" s="12"/>
      <c r="HB27" s="12"/>
      <c r="HC27" s="261"/>
      <c r="HD27" s="278"/>
      <c r="HE27" s="12"/>
      <c r="HF27" s="12"/>
      <c r="HG27" s="251"/>
      <c r="HH27" s="255"/>
      <c r="HI27" s="12"/>
      <c r="HJ27" s="12"/>
      <c r="HK27" s="12"/>
      <c r="HL27" s="12"/>
      <c r="HM27" s="12"/>
      <c r="HN27" s="12"/>
      <c r="HO27" s="12"/>
      <c r="HP27" s="12"/>
      <c r="HQ27" s="12"/>
      <c r="HR27" s="12"/>
      <c r="HS27" s="12"/>
      <c r="HT27" s="12"/>
      <c r="HU27" s="12"/>
      <c r="HV27" s="12"/>
      <c r="HW27" s="12"/>
      <c r="HX27" s="261"/>
      <c r="HY27" s="278"/>
      <c r="HZ27" s="12"/>
      <c r="IA27" s="12"/>
      <c r="IB27" s="251"/>
      <c r="IC27" s="255"/>
      <c r="ID27" s="12"/>
      <c r="IE27" s="12"/>
      <c r="IF27" s="12"/>
      <c r="IG27" s="12"/>
      <c r="IH27" s="12"/>
      <c r="II27" s="12"/>
      <c r="IJ27" s="12"/>
      <c r="IK27" s="12"/>
      <c r="IL27" s="12"/>
      <c r="IM27" s="12"/>
      <c r="IN27" s="12"/>
      <c r="IO27" s="12"/>
      <c r="IP27" s="12"/>
      <c r="IQ27" s="12"/>
      <c r="IR27" s="12"/>
      <c r="IS27" s="261"/>
      <c r="IT27" s="278"/>
      <c r="IU27" s="12"/>
      <c r="IV27" s="12"/>
      <c r="IW27" s="251"/>
      <c r="IX27" s="255"/>
      <c r="IY27" s="12"/>
      <c r="IZ27" s="12"/>
      <c r="JA27" s="12"/>
      <c r="JB27" s="12"/>
      <c r="JC27" s="12"/>
      <c r="JD27" s="12"/>
      <c r="JE27" s="12"/>
      <c r="JF27" s="12"/>
      <c r="JG27" s="12"/>
      <c r="JH27" s="12"/>
      <c r="JI27" s="12"/>
      <c r="JJ27" s="12"/>
      <c r="JK27" s="12"/>
      <c r="JL27" s="12"/>
      <c r="JM27" s="12"/>
      <c r="JN27" s="261"/>
      <c r="JO27" s="278"/>
      <c r="JP27" s="12"/>
      <c r="JQ27" s="12"/>
      <c r="JR27" s="251"/>
      <c r="JS27" s="255"/>
      <c r="JT27" s="12"/>
      <c r="JU27" s="12"/>
      <c r="JV27" s="12"/>
      <c r="JW27" s="12"/>
      <c r="JX27" s="12"/>
      <c r="JY27" s="12"/>
      <c r="JZ27" s="12"/>
      <c r="KA27" s="12"/>
      <c r="KB27" s="12"/>
      <c r="KC27" s="12"/>
      <c r="KD27" s="12"/>
      <c r="KE27" s="12"/>
      <c r="KF27" s="12"/>
      <c r="KG27" s="12"/>
      <c r="KH27" s="12"/>
      <c r="KI27" s="261"/>
      <c r="KJ27" s="278"/>
      <c r="KK27" s="12"/>
      <c r="KL27" s="12"/>
      <c r="KM27" s="251"/>
      <c r="KN27" s="255"/>
      <c r="KO27" s="12"/>
      <c r="KP27" s="12"/>
      <c r="KQ27" s="12"/>
      <c r="KR27" s="12"/>
      <c r="KS27" s="12"/>
      <c r="KT27" s="12"/>
      <c r="KU27" s="12"/>
      <c r="KV27" s="12"/>
      <c r="KW27" s="12"/>
      <c r="KX27" s="12"/>
      <c r="KY27" s="12"/>
      <c r="KZ27" s="12"/>
      <c r="LA27" s="12"/>
      <c r="LB27" s="12"/>
      <c r="LC27" s="12"/>
      <c r="LD27" s="261"/>
      <c r="LE27" s="278"/>
      <c r="LF27" s="12"/>
      <c r="LG27" s="12"/>
      <c r="LH27" s="251"/>
      <c r="LI27" s="255"/>
      <c r="LJ27" s="12"/>
      <c r="LK27" s="12"/>
      <c r="LL27" s="12"/>
      <c r="LM27" s="12"/>
      <c r="LN27" s="12"/>
      <c r="LO27" s="12"/>
      <c r="LP27" s="12"/>
      <c r="LQ27" s="12"/>
      <c r="LR27" s="12"/>
      <c r="LS27" s="12"/>
      <c r="LT27" s="12"/>
      <c r="LU27" s="12"/>
      <c r="LV27" s="12"/>
      <c r="LW27" s="12"/>
      <c r="LX27" s="12"/>
      <c r="LY27" s="261"/>
      <c r="LZ27" s="278"/>
      <c r="MA27" s="12"/>
      <c r="MB27" s="12"/>
      <c r="MC27" s="251"/>
      <c r="MD27" s="255"/>
      <c r="ME27" s="12"/>
      <c r="MF27" s="12"/>
      <c r="MG27" s="12"/>
      <c r="MH27" s="12"/>
      <c r="MI27" s="12"/>
      <c r="MJ27" s="12"/>
      <c r="MK27" s="12"/>
      <c r="ML27" s="12"/>
      <c r="MM27" s="12"/>
      <c r="MN27" s="12"/>
      <c r="MO27" s="12"/>
      <c r="MP27" s="12"/>
      <c r="MQ27" s="12"/>
      <c r="MR27" s="12"/>
      <c r="MS27" s="12"/>
      <c r="MT27" s="261"/>
      <c r="MU27" s="278"/>
      <c r="MV27" s="12"/>
      <c r="MW27" s="12"/>
      <c r="MX27" s="251"/>
      <c r="MY27" s="255"/>
      <c r="MZ27" s="12"/>
      <c r="NA27" s="12"/>
      <c r="NB27" s="12"/>
      <c r="NC27" s="12"/>
      <c r="ND27" s="12"/>
      <c r="NE27" s="12"/>
      <c r="NF27" s="12"/>
      <c r="NG27" s="12"/>
      <c r="NH27" s="12"/>
      <c r="NI27" s="12"/>
      <c r="NJ27" s="12"/>
      <c r="NK27" s="12"/>
      <c r="NL27" s="12"/>
      <c r="NM27" s="12"/>
      <c r="NN27" s="12"/>
      <c r="NO27" s="261"/>
      <c r="NP27" s="278"/>
      <c r="NQ27" s="12"/>
      <c r="NR27" s="12"/>
      <c r="NS27" s="251"/>
      <c r="NT27" s="255"/>
      <c r="NU27" s="12"/>
      <c r="NV27" s="12"/>
      <c r="NW27" s="12"/>
      <c r="NX27" s="12"/>
      <c r="NY27" s="12"/>
      <c r="NZ27" s="12"/>
      <c r="OA27" s="12"/>
      <c r="OB27" s="12"/>
      <c r="OC27" s="12"/>
      <c r="OD27" s="12"/>
      <c r="OE27" s="12"/>
      <c r="OF27" s="12"/>
      <c r="OG27" s="12"/>
      <c r="OH27" s="12"/>
      <c r="OI27" s="12"/>
      <c r="OJ27" s="261"/>
      <c r="OK27" s="278"/>
      <c r="OL27" s="12"/>
      <c r="OM27" s="12"/>
      <c r="ON27" s="251"/>
      <c r="OO27" s="255"/>
      <c r="OP27" s="12"/>
      <c r="OQ27" s="12"/>
      <c r="OR27" s="12"/>
      <c r="OS27" s="12"/>
      <c r="OT27" s="12"/>
      <c r="OU27" s="12"/>
      <c r="OV27" s="12"/>
      <c r="OW27" s="12"/>
      <c r="OX27" s="12"/>
      <c r="OY27" s="12"/>
      <c r="OZ27" s="12"/>
      <c r="PA27" s="12"/>
      <c r="PB27" s="12"/>
      <c r="PC27" s="12"/>
      <c r="PD27" s="12"/>
      <c r="PE27" s="261"/>
      <c r="PF27" s="278"/>
      <c r="PG27" s="12"/>
      <c r="PH27" s="12"/>
      <c r="PI27" s="251"/>
      <c r="PJ27" s="255"/>
      <c r="PK27" s="12"/>
      <c r="PL27" s="12"/>
      <c r="PM27" s="12"/>
      <c r="PN27" s="12"/>
      <c r="PO27" s="12"/>
      <c r="PP27" s="12"/>
      <c r="PQ27" s="12"/>
      <c r="PR27" s="12"/>
      <c r="PS27" s="12"/>
      <c r="PT27" s="12"/>
      <c r="PU27" s="12"/>
      <c r="PV27" s="12"/>
      <c r="PW27" s="12"/>
      <c r="PX27" s="12"/>
      <c r="PY27" s="12"/>
      <c r="PZ27" s="261"/>
      <c r="QA27" s="278"/>
      <c r="QB27" s="12"/>
      <c r="QC27" s="12"/>
      <c r="QD27" s="251"/>
      <c r="QE27" s="255"/>
      <c r="QF27" s="12"/>
      <c r="QG27" s="12"/>
      <c r="QH27" s="12"/>
      <c r="QI27" s="12"/>
      <c r="QJ27" s="12"/>
      <c r="QK27" s="12"/>
      <c r="QL27" s="12"/>
      <c r="QM27" s="12"/>
      <c r="QN27" s="12"/>
      <c r="QO27" s="12"/>
      <c r="QP27" s="12"/>
      <c r="QQ27" s="12"/>
      <c r="QR27" s="12"/>
      <c r="QS27" s="12"/>
      <c r="QT27" s="12"/>
      <c r="QU27" s="261"/>
      <c r="QV27" s="278"/>
      <c r="QW27" s="12"/>
      <c r="QX27" s="12"/>
      <c r="QY27" s="251"/>
      <c r="QZ27" s="255"/>
      <c r="RA27" s="12"/>
      <c r="RB27" s="12"/>
      <c r="RC27" s="12"/>
      <c r="RD27" s="12"/>
      <c r="RE27" s="12"/>
      <c r="RF27" s="12"/>
      <c r="RG27" s="12"/>
      <c r="RH27" s="12"/>
      <c r="RI27" s="12"/>
      <c r="RJ27" s="12"/>
      <c r="RK27" s="12"/>
      <c r="RL27" s="12"/>
      <c r="RM27" s="12"/>
      <c r="RN27" s="12"/>
      <c r="RO27" s="12"/>
      <c r="RP27" s="261"/>
      <c r="RQ27" s="278"/>
      <c r="RR27" s="12"/>
      <c r="RS27" s="12"/>
      <c r="RT27" s="251"/>
      <c r="RU27" s="255"/>
      <c r="RV27" s="12"/>
      <c r="RW27" s="12"/>
      <c r="RX27" s="12"/>
      <c r="RY27" s="12"/>
      <c r="RZ27" s="12"/>
      <c r="SA27" s="12"/>
      <c r="SB27" s="12"/>
      <c r="SC27" s="12"/>
      <c r="SD27" s="12"/>
      <c r="SE27" s="12"/>
      <c r="SF27" s="12"/>
      <c r="SG27" s="12"/>
      <c r="SH27" s="12"/>
      <c r="SI27" s="12"/>
      <c r="SJ27" s="12"/>
      <c r="SK27" s="261"/>
      <c r="SL27" s="278"/>
      <c r="SM27" s="12"/>
      <c r="SN27" s="12"/>
      <c r="SO27" s="251"/>
      <c r="SP27" s="255"/>
      <c r="SQ27" s="12"/>
      <c r="SR27" s="12"/>
      <c r="SS27" s="12"/>
      <c r="ST27" s="12"/>
      <c r="SU27" s="12"/>
      <c r="SV27" s="12"/>
      <c r="SW27" s="12"/>
      <c r="SX27" s="12"/>
      <c r="SY27" s="12"/>
      <c r="SZ27" s="12"/>
      <c r="TA27" s="12"/>
      <c r="TB27" s="12"/>
      <c r="TC27" s="12"/>
      <c r="TD27" s="12"/>
      <c r="TE27" s="12"/>
      <c r="TF27" s="261"/>
      <c r="TG27" s="278"/>
      <c r="TH27" s="12"/>
      <c r="TI27" s="12"/>
      <c r="TJ27" s="251"/>
      <c r="TK27" s="255"/>
      <c r="TL27" s="12"/>
      <c r="TM27" s="12"/>
      <c r="TN27" s="12"/>
      <c r="TO27" s="12"/>
      <c r="TP27" s="12"/>
      <c r="TQ27" s="12"/>
      <c r="TR27" s="12"/>
      <c r="TS27" s="12"/>
      <c r="TT27" s="12"/>
      <c r="TU27" s="12"/>
      <c r="TV27" s="12"/>
      <c r="TW27" s="12"/>
      <c r="TX27" s="12"/>
      <c r="TY27" s="12"/>
      <c r="TZ27" s="12"/>
      <c r="UA27" s="261"/>
      <c r="UB27" s="278"/>
      <c r="UC27" s="12"/>
      <c r="UD27" s="12"/>
      <c r="UE27" s="251"/>
      <c r="UF27" s="255"/>
      <c r="UG27" s="12"/>
      <c r="UH27" s="12"/>
      <c r="UI27" s="12"/>
      <c r="UJ27" s="12"/>
      <c r="UK27" s="12"/>
      <c r="UL27" s="12"/>
      <c r="UM27" s="12"/>
      <c r="UN27" s="12"/>
      <c r="UO27" s="12"/>
      <c r="UP27" s="12"/>
      <c r="UQ27" s="12"/>
      <c r="UR27" s="12"/>
      <c r="US27" s="12"/>
      <c r="UT27" s="12"/>
      <c r="UU27" s="12"/>
      <c r="UV27" s="261"/>
      <c r="UW27" s="278"/>
      <c r="UX27" s="12"/>
      <c r="UY27" s="12"/>
      <c r="UZ27" s="251"/>
      <c r="VA27" s="255"/>
      <c r="VB27" s="12"/>
      <c r="VC27" s="12"/>
      <c r="VD27" s="12"/>
      <c r="VE27" s="12"/>
      <c r="VF27" s="12"/>
      <c r="VG27" s="12"/>
      <c r="VH27" s="12"/>
      <c r="VI27" s="12"/>
      <c r="VJ27" s="12"/>
      <c r="VK27" s="12"/>
      <c r="VL27" s="12"/>
      <c r="VM27" s="12"/>
      <c r="VN27" s="12"/>
      <c r="VO27" s="12"/>
      <c r="VP27" s="12"/>
      <c r="VQ27" s="261"/>
      <c r="VR27" s="278"/>
      <c r="VS27" s="12"/>
      <c r="VT27" s="12"/>
      <c r="VU27" s="251"/>
      <c r="VV27" s="255"/>
      <c r="VW27" s="12"/>
      <c r="VX27" s="12"/>
      <c r="VY27" s="12"/>
      <c r="VZ27" s="12"/>
      <c r="WA27" s="12"/>
      <c r="WB27" s="12"/>
      <c r="WC27" s="12"/>
      <c r="WD27" s="12"/>
      <c r="WE27" s="12"/>
      <c r="WF27" s="12"/>
      <c r="WG27" s="12"/>
      <c r="WH27" s="12"/>
      <c r="WI27" s="12"/>
      <c r="WJ27" s="12"/>
      <c r="WK27" s="12"/>
      <c r="WL27" s="261"/>
      <c r="WM27" s="278"/>
      <c r="WN27" s="12"/>
      <c r="WO27" s="12"/>
      <c r="WP27" s="251"/>
      <c r="WQ27" s="255"/>
      <c r="WR27" s="12"/>
      <c r="WS27" s="12"/>
      <c r="WT27" s="12"/>
      <c r="WU27" s="12"/>
      <c r="WV27" s="12"/>
      <c r="WW27" s="12"/>
      <c r="WX27" s="12"/>
      <c r="WY27" s="12"/>
      <c r="WZ27" s="12"/>
      <c r="XA27" s="12"/>
      <c r="XB27" s="12"/>
      <c r="XC27" s="12"/>
      <c r="XD27" s="12"/>
      <c r="XE27" s="12"/>
      <c r="XF27" s="12"/>
      <c r="XG27" s="261"/>
      <c r="XH27" s="278"/>
      <c r="XI27" s="12"/>
      <c r="XJ27" s="12"/>
      <c r="XK27" s="251"/>
      <c r="XL27" s="255"/>
      <c r="XM27" s="12"/>
      <c r="XN27" s="12"/>
      <c r="XO27" s="12"/>
      <c r="XP27" s="12"/>
      <c r="XQ27" s="12"/>
      <c r="XR27" s="12"/>
      <c r="XS27" s="12"/>
      <c r="XT27" s="12"/>
      <c r="XU27" s="12"/>
      <c r="XV27" s="12"/>
      <c r="XW27" s="12"/>
      <c r="XX27" s="12"/>
      <c r="XY27" s="12"/>
      <c r="XZ27" s="12"/>
      <c r="YA27" s="12"/>
      <c r="YB27" s="261"/>
    </row>
    <row r="28" spans="1:652" x14ac:dyDescent="0.3">
      <c r="A28" s="223" t="s">
        <v>183</v>
      </c>
      <c r="B28" s="271"/>
      <c r="C28" s="48"/>
      <c r="D28" s="48"/>
      <c r="E28" s="235"/>
      <c r="F28" s="239">
        <v>1</v>
      </c>
      <c r="G28" s="49"/>
      <c r="H28" s="66" t="s">
        <v>604</v>
      </c>
      <c r="I28" s="49" t="s">
        <v>585</v>
      </c>
      <c r="J28" s="49" t="s">
        <v>745</v>
      </c>
      <c r="K28" s="49" t="s">
        <v>575</v>
      </c>
      <c r="L28" s="49">
        <v>39.22</v>
      </c>
      <c r="M28" s="49" t="s">
        <v>573</v>
      </c>
      <c r="N28" s="49" t="s">
        <v>568</v>
      </c>
      <c r="O28" s="49"/>
      <c r="P28" s="49" t="s">
        <v>746</v>
      </c>
      <c r="Q28" s="49"/>
      <c r="R28" s="49"/>
      <c r="S28" s="49"/>
      <c r="T28" s="49"/>
      <c r="U28" s="49"/>
      <c r="V28" s="260"/>
      <c r="W28" s="276"/>
      <c r="X28" s="49"/>
      <c r="Y28" s="49"/>
      <c r="Z28" s="249"/>
      <c r="AA28" s="254">
        <v>1</v>
      </c>
      <c r="AB28" s="49"/>
      <c r="AC28" s="66" t="s">
        <v>604</v>
      </c>
      <c r="AD28" s="49" t="s">
        <v>585</v>
      </c>
      <c r="AE28" s="49" t="s">
        <v>747</v>
      </c>
      <c r="AF28" s="49" t="s">
        <v>575</v>
      </c>
      <c r="AG28" s="49">
        <v>39.22</v>
      </c>
      <c r="AH28" s="49" t="s">
        <v>573</v>
      </c>
      <c r="AI28" s="49" t="s">
        <v>568</v>
      </c>
      <c r="AJ28" s="49"/>
      <c r="AK28" s="49" t="s">
        <v>746</v>
      </c>
      <c r="AL28" s="49"/>
      <c r="AM28" s="49"/>
      <c r="AN28" s="49"/>
      <c r="AO28" s="49"/>
      <c r="AP28" s="49"/>
      <c r="AQ28" s="260"/>
      <c r="AR28" s="271"/>
      <c r="AS28" s="48"/>
      <c r="AT28" s="48"/>
      <c r="AU28" s="235"/>
      <c r="AV28" s="239">
        <v>1</v>
      </c>
      <c r="AW28" s="49"/>
      <c r="AX28" s="66" t="s">
        <v>569</v>
      </c>
      <c r="AY28" s="49" t="s">
        <v>570</v>
      </c>
      <c r="AZ28" s="49" t="s">
        <v>748</v>
      </c>
      <c r="BA28" s="49" t="s">
        <v>572</v>
      </c>
      <c r="BB28" s="49">
        <v>34.409999999999997</v>
      </c>
      <c r="BC28" s="49" t="s">
        <v>573</v>
      </c>
      <c r="BD28" s="49" t="s">
        <v>749</v>
      </c>
      <c r="BE28" s="49"/>
      <c r="BF28" s="49" t="s">
        <v>750</v>
      </c>
      <c r="BG28" s="49"/>
      <c r="BH28" s="49"/>
      <c r="BI28" s="49"/>
      <c r="BJ28" s="49"/>
      <c r="BK28" s="49"/>
      <c r="BL28" s="260"/>
      <c r="BM28" s="276"/>
      <c r="BN28" s="49"/>
      <c r="BO28" s="49"/>
      <c r="BP28" s="249"/>
      <c r="BQ28" s="254">
        <v>1</v>
      </c>
      <c r="BR28" s="49"/>
      <c r="BS28" s="66" t="s">
        <v>569</v>
      </c>
      <c r="BT28" s="49" t="s">
        <v>570</v>
      </c>
      <c r="BU28" s="49" t="s">
        <v>751</v>
      </c>
      <c r="BV28" s="49" t="s">
        <v>572</v>
      </c>
      <c r="BW28" s="49">
        <v>26.3</v>
      </c>
      <c r="BX28" s="49" t="s">
        <v>573</v>
      </c>
      <c r="BY28" s="49" t="s">
        <v>568</v>
      </c>
      <c r="BZ28" s="49"/>
      <c r="CA28" s="49" t="s">
        <v>750</v>
      </c>
      <c r="CB28" s="49"/>
      <c r="CC28" s="49"/>
      <c r="CD28" s="49"/>
      <c r="CE28" s="49"/>
      <c r="CF28" s="49"/>
      <c r="CG28" s="260"/>
      <c r="CH28" s="276"/>
      <c r="CI28" s="49"/>
      <c r="CJ28" s="49"/>
      <c r="CK28" s="249"/>
      <c r="CL28" s="53">
        <v>1</v>
      </c>
      <c r="CM28" s="53"/>
      <c r="CN28" s="66" t="s">
        <v>569</v>
      </c>
      <c r="CO28" s="53" t="s">
        <v>570</v>
      </c>
      <c r="CP28" s="53" t="s">
        <v>752</v>
      </c>
      <c r="CQ28" s="80" t="s">
        <v>572</v>
      </c>
      <c r="CR28" s="311">
        <v>37</v>
      </c>
      <c r="CS28" s="54" t="s">
        <v>573</v>
      </c>
      <c r="CT28" s="84" t="s">
        <v>568</v>
      </c>
      <c r="CU28" s="53"/>
      <c r="CV28" s="66" t="s">
        <v>753</v>
      </c>
      <c r="CW28" s="49"/>
      <c r="CX28" s="49"/>
      <c r="CY28" s="49"/>
      <c r="CZ28" s="49"/>
      <c r="DA28" s="49"/>
      <c r="DB28" s="260"/>
      <c r="DC28" s="276"/>
      <c r="DD28" s="49"/>
      <c r="DE28" s="49"/>
      <c r="DF28" s="249"/>
      <c r="DG28" s="254"/>
      <c r="DH28" s="49"/>
      <c r="DI28" s="49"/>
      <c r="DJ28" s="49"/>
      <c r="DK28" s="49"/>
      <c r="DL28" s="49"/>
      <c r="DM28" s="49"/>
      <c r="DN28" s="49"/>
      <c r="DO28" s="49"/>
      <c r="DP28" s="49"/>
      <c r="DQ28" s="49"/>
      <c r="DR28" s="49"/>
      <c r="DS28" s="49"/>
      <c r="DT28" s="49"/>
      <c r="DU28" s="49"/>
      <c r="DV28" s="49"/>
      <c r="DW28" s="260"/>
      <c r="DX28" s="276"/>
      <c r="DY28" s="49"/>
      <c r="DZ28" s="49"/>
      <c r="EA28" s="249"/>
      <c r="EB28" s="53"/>
      <c r="EC28" s="53"/>
      <c r="ED28" s="53"/>
      <c r="EE28" s="53"/>
      <c r="EF28" s="53"/>
      <c r="EG28" s="80"/>
      <c r="EH28" s="53"/>
      <c r="EI28" s="54"/>
      <c r="EJ28" s="84"/>
      <c r="EK28" s="53"/>
      <c r="EL28" s="66"/>
      <c r="EM28" s="49"/>
      <c r="EN28" s="49"/>
      <c r="EO28" s="49"/>
      <c r="EP28" s="49"/>
      <c r="EQ28" s="49"/>
      <c r="ER28" s="260"/>
      <c r="ES28" s="276"/>
      <c r="ET28" s="49"/>
      <c r="EU28" s="49"/>
      <c r="EV28" s="249"/>
      <c r="EW28" s="254"/>
      <c r="EX28" s="49"/>
      <c r="EY28" s="49"/>
      <c r="EZ28" s="49"/>
      <c r="FA28" s="49"/>
      <c r="FB28" s="49"/>
      <c r="FC28" s="49"/>
      <c r="FD28" s="49"/>
      <c r="FE28" s="49"/>
      <c r="FF28" s="49"/>
      <c r="FG28" s="49"/>
      <c r="FH28" s="49"/>
      <c r="FI28" s="49"/>
      <c r="FJ28" s="49"/>
      <c r="FK28" s="49"/>
      <c r="FL28" s="49"/>
      <c r="FM28" s="260"/>
      <c r="FN28" s="276"/>
      <c r="FO28" s="49"/>
      <c r="FP28" s="49"/>
      <c r="FQ28" s="249"/>
      <c r="FR28" s="53"/>
      <c r="FS28" s="53"/>
      <c r="FT28" s="53"/>
      <c r="FU28" s="53"/>
      <c r="FV28" s="53"/>
      <c r="FW28" s="80"/>
      <c r="FX28" s="53"/>
      <c r="FY28" s="54"/>
      <c r="FZ28" s="84"/>
      <c r="GA28" s="53"/>
      <c r="GB28" s="66"/>
      <c r="GC28" s="49"/>
      <c r="GD28" s="49"/>
      <c r="GE28" s="49"/>
      <c r="GF28" s="49"/>
      <c r="GG28" s="49"/>
      <c r="GH28" s="260"/>
      <c r="GI28" s="276"/>
      <c r="GJ28" s="49"/>
      <c r="GK28" s="49"/>
      <c r="GL28" s="249"/>
      <c r="GM28" s="254"/>
      <c r="GN28" s="49"/>
      <c r="GO28" s="49"/>
      <c r="GP28" s="49"/>
      <c r="GQ28" s="49"/>
      <c r="GR28" s="49"/>
      <c r="GS28" s="49"/>
      <c r="GT28" s="49"/>
      <c r="GU28" s="49"/>
      <c r="GV28" s="49"/>
      <c r="GW28" s="49"/>
      <c r="GX28" s="49"/>
      <c r="GY28" s="49"/>
      <c r="GZ28" s="49"/>
      <c r="HA28" s="49"/>
      <c r="HB28" s="49"/>
      <c r="HC28" s="260"/>
      <c r="HD28" s="276"/>
      <c r="HE28" s="49"/>
      <c r="HF28" s="49"/>
      <c r="HG28" s="249"/>
      <c r="HH28" s="254"/>
      <c r="HI28" s="49"/>
      <c r="HJ28" s="49"/>
      <c r="HK28" s="49"/>
      <c r="HL28" s="49"/>
      <c r="HM28" s="49"/>
      <c r="HN28" s="49"/>
      <c r="HO28" s="49"/>
      <c r="HP28" s="49"/>
      <c r="HQ28" s="49"/>
      <c r="HR28" s="49"/>
      <c r="HS28" s="49"/>
      <c r="HT28" s="49"/>
      <c r="HU28" s="49"/>
      <c r="HV28" s="49"/>
      <c r="HW28" s="49"/>
      <c r="HX28" s="260"/>
      <c r="HY28" s="276"/>
      <c r="HZ28" s="49"/>
      <c r="IA28" s="49"/>
      <c r="IB28" s="249"/>
      <c r="IC28" s="254"/>
      <c r="ID28" s="49"/>
      <c r="IE28" s="49"/>
      <c r="IF28" s="49"/>
      <c r="IG28" s="49"/>
      <c r="IH28" s="49"/>
      <c r="II28" s="49"/>
      <c r="IJ28" s="49"/>
      <c r="IK28" s="49"/>
      <c r="IL28" s="49"/>
      <c r="IM28" s="49"/>
      <c r="IN28" s="49"/>
      <c r="IO28" s="49"/>
      <c r="IP28" s="49"/>
      <c r="IQ28" s="49"/>
      <c r="IR28" s="49"/>
      <c r="IS28" s="260"/>
      <c r="IT28" s="276"/>
      <c r="IU28" s="49"/>
      <c r="IV28" s="49"/>
      <c r="IW28" s="249"/>
      <c r="IX28" s="254"/>
      <c r="IY28" s="49"/>
      <c r="IZ28" s="49"/>
      <c r="JA28" s="49"/>
      <c r="JB28" s="49"/>
      <c r="JC28" s="49"/>
      <c r="JD28" s="49"/>
      <c r="JE28" s="49"/>
      <c r="JF28" s="49"/>
      <c r="JG28" s="49"/>
      <c r="JH28" s="49"/>
      <c r="JI28" s="49"/>
      <c r="JJ28" s="49"/>
      <c r="JK28" s="49"/>
      <c r="JL28" s="49"/>
      <c r="JM28" s="49"/>
      <c r="JN28" s="260"/>
      <c r="JO28" s="276"/>
      <c r="JP28" s="49"/>
      <c r="JQ28" s="49"/>
      <c r="JR28" s="249"/>
      <c r="JS28" s="254"/>
      <c r="JT28" s="49"/>
      <c r="JU28" s="49"/>
      <c r="JV28" s="49"/>
      <c r="JW28" s="49"/>
      <c r="JX28" s="49"/>
      <c r="JY28" s="49"/>
      <c r="JZ28" s="49"/>
      <c r="KA28" s="49"/>
      <c r="KB28" s="49"/>
      <c r="KC28" s="49"/>
      <c r="KD28" s="49"/>
      <c r="KE28" s="49"/>
      <c r="KF28" s="49"/>
      <c r="KG28" s="49"/>
      <c r="KH28" s="49"/>
      <c r="KI28" s="260"/>
      <c r="KJ28" s="276"/>
      <c r="KK28" s="49"/>
      <c r="KL28" s="49"/>
      <c r="KM28" s="249"/>
      <c r="KN28" s="254"/>
      <c r="KO28" s="49"/>
      <c r="KP28" s="49"/>
      <c r="KQ28" s="49"/>
      <c r="KR28" s="49"/>
      <c r="KS28" s="49"/>
      <c r="KT28" s="49"/>
      <c r="KU28" s="49"/>
      <c r="KV28" s="49"/>
      <c r="KW28" s="49"/>
      <c r="KX28" s="49"/>
      <c r="KY28" s="49"/>
      <c r="KZ28" s="49"/>
      <c r="LA28" s="49"/>
      <c r="LB28" s="49"/>
      <c r="LC28" s="49"/>
      <c r="LD28" s="260"/>
      <c r="LE28" s="276"/>
      <c r="LF28" s="49"/>
      <c r="LG28" s="49"/>
      <c r="LH28" s="249"/>
      <c r="LI28" s="254"/>
      <c r="LJ28" s="49"/>
      <c r="LK28" s="49"/>
      <c r="LL28" s="49"/>
      <c r="LM28" s="49"/>
      <c r="LN28" s="49"/>
      <c r="LO28" s="49"/>
      <c r="LP28" s="49"/>
      <c r="LQ28" s="49"/>
      <c r="LR28" s="49"/>
      <c r="LS28" s="49"/>
      <c r="LT28" s="49"/>
      <c r="LU28" s="49"/>
      <c r="LV28" s="49"/>
      <c r="LW28" s="49"/>
      <c r="LX28" s="49"/>
      <c r="LY28" s="260"/>
      <c r="LZ28" s="276"/>
      <c r="MA28" s="49"/>
      <c r="MB28" s="49"/>
      <c r="MC28" s="249"/>
      <c r="MD28" s="254"/>
      <c r="ME28" s="49"/>
      <c r="MF28" s="49"/>
      <c r="MG28" s="49"/>
      <c r="MH28" s="49"/>
      <c r="MI28" s="49"/>
      <c r="MJ28" s="49"/>
      <c r="MK28" s="49"/>
      <c r="ML28" s="49"/>
      <c r="MM28" s="49"/>
      <c r="MN28" s="49"/>
      <c r="MO28" s="49"/>
      <c r="MP28" s="49"/>
      <c r="MQ28" s="49"/>
      <c r="MR28" s="49"/>
      <c r="MS28" s="49"/>
      <c r="MT28" s="260"/>
      <c r="MU28" s="276"/>
      <c r="MV28" s="49"/>
      <c r="MW28" s="49"/>
      <c r="MX28" s="249"/>
      <c r="MY28" s="254"/>
      <c r="MZ28" s="49"/>
      <c r="NA28" s="49"/>
      <c r="NB28" s="49"/>
      <c r="NC28" s="49"/>
      <c r="ND28" s="49"/>
      <c r="NE28" s="49"/>
      <c r="NF28" s="49"/>
      <c r="NG28" s="49"/>
      <c r="NH28" s="49"/>
      <c r="NI28" s="49"/>
      <c r="NJ28" s="49"/>
      <c r="NK28" s="49"/>
      <c r="NL28" s="49"/>
      <c r="NM28" s="49"/>
      <c r="NN28" s="49"/>
      <c r="NO28" s="260"/>
      <c r="NP28" s="276"/>
      <c r="NQ28" s="49"/>
      <c r="NR28" s="49"/>
      <c r="NS28" s="249"/>
      <c r="NT28" s="254"/>
      <c r="NU28" s="49"/>
      <c r="NV28" s="49"/>
      <c r="NW28" s="49"/>
      <c r="NX28" s="49"/>
      <c r="NY28" s="49"/>
      <c r="NZ28" s="49"/>
      <c r="OA28" s="49"/>
      <c r="OB28" s="49"/>
      <c r="OC28" s="49"/>
      <c r="OD28" s="49"/>
      <c r="OE28" s="49"/>
      <c r="OF28" s="49"/>
      <c r="OG28" s="49"/>
      <c r="OH28" s="49"/>
      <c r="OI28" s="49"/>
      <c r="OJ28" s="260"/>
      <c r="OK28" s="276"/>
      <c r="OL28" s="49"/>
      <c r="OM28" s="49"/>
      <c r="ON28" s="249"/>
      <c r="OO28" s="254"/>
      <c r="OP28" s="49"/>
      <c r="OQ28" s="49"/>
      <c r="OR28" s="49"/>
      <c r="OS28" s="49"/>
      <c r="OT28" s="49"/>
      <c r="OU28" s="49"/>
      <c r="OV28" s="49"/>
      <c r="OW28" s="49"/>
      <c r="OX28" s="49"/>
      <c r="OY28" s="49"/>
      <c r="OZ28" s="49"/>
      <c r="PA28" s="49"/>
      <c r="PB28" s="49"/>
      <c r="PC28" s="49"/>
      <c r="PD28" s="49"/>
      <c r="PE28" s="260"/>
      <c r="PF28" s="276"/>
      <c r="PG28" s="49"/>
      <c r="PH28" s="49"/>
      <c r="PI28" s="249"/>
      <c r="PJ28" s="254"/>
      <c r="PK28" s="49"/>
      <c r="PL28" s="49"/>
      <c r="PM28" s="49"/>
      <c r="PN28" s="49"/>
      <c r="PO28" s="49"/>
      <c r="PP28" s="49"/>
      <c r="PQ28" s="49"/>
      <c r="PR28" s="49"/>
      <c r="PS28" s="49"/>
      <c r="PT28" s="49"/>
      <c r="PU28" s="49"/>
      <c r="PV28" s="49"/>
      <c r="PW28" s="49"/>
      <c r="PX28" s="49"/>
      <c r="PY28" s="49"/>
      <c r="PZ28" s="260"/>
      <c r="QA28" s="276"/>
      <c r="QB28" s="49"/>
      <c r="QC28" s="49"/>
      <c r="QD28" s="249"/>
      <c r="QE28" s="254"/>
      <c r="QF28" s="49"/>
      <c r="QG28" s="49"/>
      <c r="QH28" s="49"/>
      <c r="QI28" s="49"/>
      <c r="QJ28" s="49"/>
      <c r="QK28" s="49"/>
      <c r="QL28" s="49"/>
      <c r="QM28" s="49"/>
      <c r="QN28" s="49"/>
      <c r="QO28" s="49"/>
      <c r="QP28" s="49"/>
      <c r="QQ28" s="49"/>
      <c r="QR28" s="49"/>
      <c r="QS28" s="49"/>
      <c r="QT28" s="49"/>
      <c r="QU28" s="260"/>
      <c r="QV28" s="276"/>
      <c r="QW28" s="49"/>
      <c r="QX28" s="49"/>
      <c r="QY28" s="249"/>
      <c r="QZ28" s="254"/>
      <c r="RA28" s="49"/>
      <c r="RB28" s="49"/>
      <c r="RC28" s="49"/>
      <c r="RD28" s="49"/>
      <c r="RE28" s="49"/>
      <c r="RF28" s="49"/>
      <c r="RG28" s="49"/>
      <c r="RH28" s="49"/>
      <c r="RI28" s="49"/>
      <c r="RJ28" s="49"/>
      <c r="RK28" s="49"/>
      <c r="RL28" s="49"/>
      <c r="RM28" s="49"/>
      <c r="RN28" s="49"/>
      <c r="RO28" s="49"/>
      <c r="RP28" s="260"/>
      <c r="RQ28" s="276"/>
      <c r="RR28" s="49"/>
      <c r="RS28" s="49"/>
      <c r="RT28" s="249"/>
      <c r="RU28" s="254"/>
      <c r="RV28" s="49"/>
      <c r="RW28" s="49"/>
      <c r="RX28" s="49"/>
      <c r="RY28" s="49"/>
      <c r="RZ28" s="49"/>
      <c r="SA28" s="49"/>
      <c r="SB28" s="49"/>
      <c r="SC28" s="49"/>
      <c r="SD28" s="49"/>
      <c r="SE28" s="49"/>
      <c r="SF28" s="49"/>
      <c r="SG28" s="49"/>
      <c r="SH28" s="49"/>
      <c r="SI28" s="49"/>
      <c r="SJ28" s="49"/>
      <c r="SK28" s="260"/>
      <c r="SL28" s="276"/>
      <c r="SM28" s="49"/>
      <c r="SN28" s="49"/>
      <c r="SO28" s="249"/>
      <c r="SP28" s="254"/>
      <c r="SQ28" s="49"/>
      <c r="SR28" s="49"/>
      <c r="SS28" s="49"/>
      <c r="ST28" s="49"/>
      <c r="SU28" s="49"/>
      <c r="SV28" s="49"/>
      <c r="SW28" s="49"/>
      <c r="SX28" s="49"/>
      <c r="SY28" s="49"/>
      <c r="SZ28" s="49"/>
      <c r="TA28" s="49"/>
      <c r="TB28" s="49"/>
      <c r="TC28" s="49"/>
      <c r="TD28" s="49"/>
      <c r="TE28" s="49"/>
      <c r="TF28" s="260"/>
      <c r="TG28" s="276"/>
      <c r="TH28" s="49"/>
      <c r="TI28" s="49"/>
      <c r="TJ28" s="249"/>
      <c r="TK28" s="254"/>
      <c r="TL28" s="49"/>
      <c r="TM28" s="49"/>
      <c r="TN28" s="49"/>
      <c r="TO28" s="49"/>
      <c r="TP28" s="49"/>
      <c r="TQ28" s="49"/>
      <c r="TR28" s="49"/>
      <c r="TS28" s="49"/>
      <c r="TT28" s="49"/>
      <c r="TU28" s="49"/>
      <c r="TV28" s="49"/>
      <c r="TW28" s="49"/>
      <c r="TX28" s="49"/>
      <c r="TY28" s="49"/>
      <c r="TZ28" s="49"/>
      <c r="UA28" s="260"/>
      <c r="UB28" s="276"/>
      <c r="UC28" s="49"/>
      <c r="UD28" s="49"/>
      <c r="UE28" s="249"/>
      <c r="UF28" s="254"/>
      <c r="UG28" s="49"/>
      <c r="UH28" s="49"/>
      <c r="UI28" s="49"/>
      <c r="UJ28" s="49"/>
      <c r="UK28" s="49"/>
      <c r="UL28" s="49"/>
      <c r="UM28" s="49"/>
      <c r="UN28" s="49"/>
      <c r="UO28" s="49"/>
      <c r="UP28" s="49"/>
      <c r="UQ28" s="49"/>
      <c r="UR28" s="49"/>
      <c r="US28" s="49"/>
      <c r="UT28" s="49"/>
      <c r="UU28" s="49"/>
      <c r="UV28" s="260"/>
      <c r="UW28" s="276"/>
      <c r="UX28" s="49"/>
      <c r="UY28" s="49"/>
      <c r="UZ28" s="249"/>
      <c r="VA28" s="254"/>
      <c r="VB28" s="49"/>
      <c r="VC28" s="49"/>
      <c r="VD28" s="49"/>
      <c r="VE28" s="49"/>
      <c r="VF28" s="49"/>
      <c r="VG28" s="49"/>
      <c r="VH28" s="49"/>
      <c r="VI28" s="49"/>
      <c r="VJ28" s="49"/>
      <c r="VK28" s="49"/>
      <c r="VL28" s="49"/>
      <c r="VM28" s="49"/>
      <c r="VN28" s="49"/>
      <c r="VO28" s="49"/>
      <c r="VP28" s="49"/>
      <c r="VQ28" s="260"/>
      <c r="VR28" s="276"/>
      <c r="VS28" s="49"/>
      <c r="VT28" s="49"/>
      <c r="VU28" s="249"/>
      <c r="VV28" s="254"/>
      <c r="VW28" s="49"/>
      <c r="VX28" s="49"/>
      <c r="VY28" s="49"/>
      <c r="VZ28" s="49"/>
      <c r="WA28" s="49"/>
      <c r="WB28" s="49"/>
      <c r="WC28" s="49"/>
      <c r="WD28" s="49"/>
      <c r="WE28" s="49"/>
      <c r="WF28" s="49"/>
      <c r="WG28" s="49"/>
      <c r="WH28" s="49"/>
      <c r="WI28" s="49"/>
      <c r="WJ28" s="49"/>
      <c r="WK28" s="49"/>
      <c r="WL28" s="260"/>
      <c r="WM28" s="276"/>
      <c r="WN28" s="49"/>
      <c r="WO28" s="49"/>
      <c r="WP28" s="249"/>
      <c r="WQ28" s="254"/>
      <c r="WR28" s="49"/>
      <c r="WS28" s="49"/>
      <c r="WT28" s="49"/>
      <c r="WU28" s="49"/>
      <c r="WV28" s="49"/>
      <c r="WW28" s="49"/>
      <c r="WX28" s="49"/>
      <c r="WY28" s="49"/>
      <c r="WZ28" s="49"/>
      <c r="XA28" s="49"/>
      <c r="XB28" s="49"/>
      <c r="XC28" s="49"/>
      <c r="XD28" s="49"/>
      <c r="XE28" s="49"/>
      <c r="XF28" s="49"/>
      <c r="XG28" s="260"/>
      <c r="XH28" s="276"/>
      <c r="XI28" s="49"/>
      <c r="XJ28" s="49"/>
      <c r="XK28" s="249"/>
      <c r="XL28" s="254"/>
      <c r="XM28" s="49"/>
      <c r="XN28" s="49"/>
      <c r="XO28" s="49"/>
      <c r="XP28" s="49"/>
      <c r="XQ28" s="49"/>
      <c r="XR28" s="49"/>
      <c r="XS28" s="49"/>
      <c r="XT28" s="49"/>
      <c r="XU28" s="49"/>
      <c r="XV28" s="49"/>
      <c r="XW28" s="49"/>
      <c r="XX28" s="49"/>
      <c r="XY28" s="49"/>
      <c r="XZ28" s="49"/>
      <c r="YA28" s="49"/>
      <c r="YB28" s="260"/>
    </row>
    <row r="29" spans="1:652" x14ac:dyDescent="0.3">
      <c r="A29" s="224" t="s">
        <v>187</v>
      </c>
      <c r="B29" s="270"/>
      <c r="C29" s="10"/>
      <c r="D29" s="10"/>
      <c r="E29" s="234"/>
      <c r="F29" s="238"/>
      <c r="G29" s="11"/>
      <c r="H29" s="11"/>
      <c r="I29" s="11"/>
      <c r="J29" s="11"/>
      <c r="K29" s="12"/>
      <c r="L29" s="11"/>
      <c r="M29" s="11"/>
      <c r="N29" s="11"/>
      <c r="O29" s="11"/>
      <c r="P29" s="11"/>
      <c r="Q29" s="11"/>
      <c r="R29" s="11"/>
      <c r="S29" s="11"/>
      <c r="T29" s="11"/>
      <c r="U29" s="11"/>
      <c r="V29" s="259"/>
      <c r="W29" s="275"/>
      <c r="X29" s="11"/>
      <c r="Y29" s="11"/>
      <c r="Z29" s="248"/>
      <c r="AA29" s="253"/>
      <c r="AB29" s="11"/>
      <c r="AC29" s="11"/>
      <c r="AD29" s="11"/>
      <c r="AE29" s="11"/>
      <c r="AF29" s="11"/>
      <c r="AG29" s="11"/>
      <c r="AH29" s="11"/>
      <c r="AI29" s="11"/>
      <c r="AJ29" s="11"/>
      <c r="AK29" s="11"/>
      <c r="AL29" s="11"/>
      <c r="AM29" s="11"/>
      <c r="AN29" s="11"/>
      <c r="AO29" s="11"/>
      <c r="AP29" s="11"/>
      <c r="AQ29" s="259"/>
      <c r="AR29" s="270"/>
      <c r="AS29" s="10"/>
      <c r="AT29" s="10"/>
      <c r="AU29" s="234"/>
      <c r="AV29" s="238"/>
      <c r="AW29" s="11"/>
      <c r="AX29" s="11"/>
      <c r="AY29" s="11"/>
      <c r="AZ29" s="11"/>
      <c r="BA29" s="11"/>
      <c r="BB29" s="11"/>
      <c r="BC29" s="11"/>
      <c r="BD29" s="11"/>
      <c r="BE29" s="11"/>
      <c r="BF29" s="11"/>
      <c r="BG29" s="11"/>
      <c r="BH29" s="11"/>
      <c r="BI29" s="11"/>
      <c r="BJ29" s="11"/>
      <c r="BK29" s="11"/>
      <c r="BL29" s="259"/>
      <c r="BM29" s="275"/>
      <c r="BN29" s="11"/>
      <c r="BO29" s="11"/>
      <c r="BP29" s="248"/>
      <c r="BQ29" s="253"/>
      <c r="BR29" s="11"/>
      <c r="BS29" s="11"/>
      <c r="BT29" s="11"/>
      <c r="BU29" s="11"/>
      <c r="BV29" s="11"/>
      <c r="BW29" s="11"/>
      <c r="BX29" s="11"/>
      <c r="BY29" s="11"/>
      <c r="BZ29" s="11"/>
      <c r="CA29" s="11"/>
      <c r="CB29" s="11"/>
      <c r="CC29" s="11"/>
      <c r="CD29" s="11"/>
      <c r="CE29" s="11"/>
      <c r="CF29" s="11"/>
      <c r="CG29" s="259"/>
      <c r="CH29" s="275"/>
      <c r="CI29" s="11"/>
      <c r="CJ29" s="11"/>
      <c r="CK29" s="248"/>
      <c r="CL29" s="45"/>
      <c r="CM29" s="45"/>
      <c r="CN29" s="45"/>
      <c r="CO29" s="45"/>
      <c r="CP29" s="45"/>
      <c r="CQ29" s="79"/>
      <c r="CR29" s="45"/>
      <c r="CS29" s="36"/>
      <c r="CT29" s="86"/>
      <c r="CU29" s="45"/>
      <c r="CV29" s="10"/>
      <c r="CW29" s="11"/>
      <c r="CX29" s="11"/>
      <c r="CY29" s="11"/>
      <c r="CZ29" s="11"/>
      <c r="DA29" s="11"/>
      <c r="DB29" s="259"/>
      <c r="DC29" s="275"/>
      <c r="DD29" s="11"/>
      <c r="DE29" s="11"/>
      <c r="DF29" s="248"/>
      <c r="DG29" s="253"/>
      <c r="DH29" s="11"/>
      <c r="DI29" s="11"/>
      <c r="DJ29" s="11"/>
      <c r="DK29" s="11"/>
      <c r="DL29" s="11"/>
      <c r="DM29" s="11"/>
      <c r="DN29" s="11"/>
      <c r="DO29" s="11"/>
      <c r="DP29" s="11"/>
      <c r="DQ29" s="11"/>
      <c r="DR29" s="11"/>
      <c r="DS29" s="11"/>
      <c r="DT29" s="11"/>
      <c r="DU29" s="11"/>
      <c r="DV29" s="11"/>
      <c r="DW29" s="259"/>
      <c r="DX29" s="275"/>
      <c r="DY29" s="11"/>
      <c r="DZ29" s="11"/>
      <c r="EA29" s="248"/>
      <c r="EB29" s="45"/>
      <c r="EC29" s="45"/>
      <c r="ED29" s="45"/>
      <c r="EE29" s="45"/>
      <c r="EF29" s="45"/>
      <c r="EG29" s="79"/>
      <c r="EH29" s="45"/>
      <c r="EI29" s="36"/>
      <c r="EJ29" s="86"/>
      <c r="EK29" s="45"/>
      <c r="EL29" s="10"/>
      <c r="EM29" s="11"/>
      <c r="EN29" s="11"/>
      <c r="EO29" s="11"/>
      <c r="EP29" s="11"/>
      <c r="EQ29" s="11"/>
      <c r="ER29" s="259"/>
      <c r="ES29" s="275"/>
      <c r="ET29" s="11"/>
      <c r="EU29" s="11"/>
      <c r="EV29" s="248"/>
      <c r="EW29" s="253"/>
      <c r="EX29" s="11"/>
      <c r="EY29" s="11"/>
      <c r="EZ29" s="11"/>
      <c r="FA29" s="11"/>
      <c r="FB29" s="11"/>
      <c r="FC29" s="11"/>
      <c r="FD29" s="11"/>
      <c r="FE29" s="11"/>
      <c r="FF29" s="11"/>
      <c r="FG29" s="11"/>
      <c r="FH29" s="11"/>
      <c r="FI29" s="11"/>
      <c r="FJ29" s="11"/>
      <c r="FK29" s="11"/>
      <c r="FL29" s="11"/>
      <c r="FM29" s="259"/>
      <c r="FN29" s="275"/>
      <c r="FO29" s="11"/>
      <c r="FP29" s="11"/>
      <c r="FQ29" s="248"/>
      <c r="FR29" s="45"/>
      <c r="FS29" s="45"/>
      <c r="FT29" s="45"/>
      <c r="FU29" s="45"/>
      <c r="FV29" s="45"/>
      <c r="FW29" s="79"/>
      <c r="FX29" s="45"/>
      <c r="FY29" s="36"/>
      <c r="FZ29" s="86"/>
      <c r="GA29" s="45"/>
      <c r="GB29" s="10"/>
      <c r="GC29" s="11"/>
      <c r="GD29" s="11"/>
      <c r="GE29" s="11"/>
      <c r="GF29" s="11"/>
      <c r="GG29" s="11"/>
      <c r="GH29" s="259"/>
      <c r="GI29" s="275"/>
      <c r="GJ29" s="11"/>
      <c r="GK29" s="11"/>
      <c r="GL29" s="248"/>
      <c r="GM29" s="253"/>
      <c r="GN29" s="11"/>
      <c r="GO29" s="11"/>
      <c r="GP29" s="11"/>
      <c r="GQ29" s="11"/>
      <c r="GR29" s="11"/>
      <c r="GS29" s="11"/>
      <c r="GT29" s="11"/>
      <c r="GU29" s="11"/>
      <c r="GV29" s="11"/>
      <c r="GW29" s="11"/>
      <c r="GX29" s="11"/>
      <c r="GY29" s="11"/>
      <c r="GZ29" s="11"/>
      <c r="HA29" s="11"/>
      <c r="HB29" s="11"/>
      <c r="HC29" s="259"/>
      <c r="HD29" s="275"/>
      <c r="HE29" s="11"/>
      <c r="HF29" s="11"/>
      <c r="HG29" s="248"/>
      <c r="HH29" s="253"/>
      <c r="HI29" s="11"/>
      <c r="HJ29" s="11"/>
      <c r="HK29" s="11"/>
      <c r="HL29" s="11"/>
      <c r="HM29" s="11"/>
      <c r="HN29" s="11"/>
      <c r="HO29" s="11"/>
      <c r="HP29" s="11"/>
      <c r="HQ29" s="11"/>
      <c r="HR29" s="11"/>
      <c r="HS29" s="11"/>
      <c r="HT29" s="11"/>
      <c r="HU29" s="11"/>
      <c r="HV29" s="11"/>
      <c r="HW29" s="11"/>
      <c r="HX29" s="259"/>
      <c r="HY29" s="275"/>
      <c r="HZ29" s="11"/>
      <c r="IA29" s="11"/>
      <c r="IB29" s="248"/>
      <c r="IC29" s="253"/>
      <c r="ID29" s="11"/>
      <c r="IE29" s="11"/>
      <c r="IF29" s="11"/>
      <c r="IG29" s="11"/>
      <c r="IH29" s="11"/>
      <c r="II29" s="11"/>
      <c r="IJ29" s="11"/>
      <c r="IK29" s="11"/>
      <c r="IL29" s="11"/>
      <c r="IM29" s="11"/>
      <c r="IN29" s="11"/>
      <c r="IO29" s="11"/>
      <c r="IP29" s="11"/>
      <c r="IQ29" s="11"/>
      <c r="IR29" s="11"/>
      <c r="IS29" s="259"/>
      <c r="IT29" s="275"/>
      <c r="IU29" s="11"/>
      <c r="IV29" s="11"/>
      <c r="IW29" s="248"/>
      <c r="IX29" s="253"/>
      <c r="IY29" s="11"/>
      <c r="IZ29" s="11"/>
      <c r="JA29" s="11"/>
      <c r="JB29" s="11"/>
      <c r="JC29" s="11"/>
      <c r="JD29" s="11"/>
      <c r="JE29" s="11"/>
      <c r="JF29" s="11"/>
      <c r="JG29" s="11"/>
      <c r="JH29" s="11"/>
      <c r="JI29" s="11"/>
      <c r="JJ29" s="11"/>
      <c r="JK29" s="11"/>
      <c r="JL29" s="11"/>
      <c r="JM29" s="11"/>
      <c r="JN29" s="259"/>
      <c r="JO29" s="275"/>
      <c r="JP29" s="11"/>
      <c r="JQ29" s="11"/>
      <c r="JR29" s="248"/>
      <c r="JS29" s="253"/>
      <c r="JT29" s="11"/>
      <c r="JU29" s="11"/>
      <c r="JV29" s="11"/>
      <c r="JW29" s="11"/>
      <c r="JX29" s="11"/>
      <c r="JY29" s="11"/>
      <c r="JZ29" s="11"/>
      <c r="KA29" s="11"/>
      <c r="KB29" s="11"/>
      <c r="KC29" s="11"/>
      <c r="KD29" s="11"/>
      <c r="KE29" s="11"/>
      <c r="KF29" s="11"/>
      <c r="KG29" s="11"/>
      <c r="KH29" s="11"/>
      <c r="KI29" s="259"/>
      <c r="KJ29" s="275"/>
      <c r="KK29" s="11"/>
      <c r="KL29" s="11"/>
      <c r="KM29" s="248"/>
      <c r="KN29" s="253"/>
      <c r="KO29" s="11"/>
      <c r="KP29" s="11"/>
      <c r="KQ29" s="11"/>
      <c r="KR29" s="11"/>
      <c r="KS29" s="11"/>
      <c r="KT29" s="11"/>
      <c r="KU29" s="11"/>
      <c r="KV29" s="11"/>
      <c r="KW29" s="11"/>
      <c r="KX29" s="11"/>
      <c r="KY29" s="11"/>
      <c r="KZ29" s="11"/>
      <c r="LA29" s="11"/>
      <c r="LB29" s="11"/>
      <c r="LC29" s="11"/>
      <c r="LD29" s="259"/>
      <c r="LE29" s="275"/>
      <c r="LF29" s="11"/>
      <c r="LG29" s="11"/>
      <c r="LH29" s="248"/>
      <c r="LI29" s="253"/>
      <c r="LJ29" s="11"/>
      <c r="LK29" s="11"/>
      <c r="LL29" s="11"/>
      <c r="LM29" s="11"/>
      <c r="LN29" s="11"/>
      <c r="LO29" s="11"/>
      <c r="LP29" s="11"/>
      <c r="LQ29" s="11"/>
      <c r="LR29" s="11"/>
      <c r="LS29" s="11"/>
      <c r="LT29" s="11"/>
      <c r="LU29" s="11"/>
      <c r="LV29" s="11"/>
      <c r="LW29" s="11"/>
      <c r="LX29" s="11"/>
      <c r="LY29" s="259"/>
      <c r="LZ29" s="275"/>
      <c r="MA29" s="11"/>
      <c r="MB29" s="11"/>
      <c r="MC29" s="248"/>
      <c r="MD29" s="253"/>
      <c r="ME29" s="11"/>
      <c r="MF29" s="11"/>
      <c r="MG29" s="11"/>
      <c r="MH29" s="11"/>
      <c r="MI29" s="11"/>
      <c r="MJ29" s="11"/>
      <c r="MK29" s="11"/>
      <c r="ML29" s="11"/>
      <c r="MM29" s="11"/>
      <c r="MN29" s="11"/>
      <c r="MO29" s="11"/>
      <c r="MP29" s="11"/>
      <c r="MQ29" s="11"/>
      <c r="MR29" s="11"/>
      <c r="MS29" s="11"/>
      <c r="MT29" s="259"/>
      <c r="MU29" s="275"/>
      <c r="MV29" s="11"/>
      <c r="MW29" s="11"/>
      <c r="MX29" s="248"/>
      <c r="MY29" s="253"/>
      <c r="MZ29" s="11"/>
      <c r="NA29" s="11"/>
      <c r="NB29" s="11"/>
      <c r="NC29" s="11"/>
      <c r="ND29" s="11"/>
      <c r="NE29" s="11"/>
      <c r="NF29" s="11"/>
      <c r="NG29" s="11"/>
      <c r="NH29" s="11"/>
      <c r="NI29" s="11"/>
      <c r="NJ29" s="11"/>
      <c r="NK29" s="11"/>
      <c r="NL29" s="11"/>
      <c r="NM29" s="11"/>
      <c r="NN29" s="11"/>
      <c r="NO29" s="259"/>
      <c r="NP29" s="275"/>
      <c r="NQ29" s="11"/>
      <c r="NR29" s="11"/>
      <c r="NS29" s="248"/>
      <c r="NT29" s="253"/>
      <c r="NU29" s="11"/>
      <c r="NV29" s="11"/>
      <c r="NW29" s="11"/>
      <c r="NX29" s="11"/>
      <c r="NY29" s="11"/>
      <c r="NZ29" s="11"/>
      <c r="OA29" s="11"/>
      <c r="OB29" s="11"/>
      <c r="OC29" s="11"/>
      <c r="OD29" s="11"/>
      <c r="OE29" s="11"/>
      <c r="OF29" s="11"/>
      <c r="OG29" s="11"/>
      <c r="OH29" s="11"/>
      <c r="OI29" s="11"/>
      <c r="OJ29" s="259"/>
      <c r="OK29" s="275"/>
      <c r="OL29" s="11"/>
      <c r="OM29" s="11"/>
      <c r="ON29" s="248"/>
      <c r="OO29" s="253"/>
      <c r="OP29" s="11"/>
      <c r="OQ29" s="11"/>
      <c r="OR29" s="11"/>
      <c r="OS29" s="11"/>
      <c r="OT29" s="11"/>
      <c r="OU29" s="11"/>
      <c r="OV29" s="11"/>
      <c r="OW29" s="11"/>
      <c r="OX29" s="11"/>
      <c r="OY29" s="11"/>
      <c r="OZ29" s="11"/>
      <c r="PA29" s="11"/>
      <c r="PB29" s="11"/>
      <c r="PC29" s="11"/>
      <c r="PD29" s="11"/>
      <c r="PE29" s="259"/>
      <c r="PF29" s="275"/>
      <c r="PG29" s="11"/>
      <c r="PH29" s="11"/>
      <c r="PI29" s="248"/>
      <c r="PJ29" s="253"/>
      <c r="PK29" s="11"/>
      <c r="PL29" s="11"/>
      <c r="PM29" s="11"/>
      <c r="PN29" s="11"/>
      <c r="PO29" s="11"/>
      <c r="PP29" s="11"/>
      <c r="PQ29" s="11"/>
      <c r="PR29" s="11"/>
      <c r="PS29" s="11"/>
      <c r="PT29" s="11"/>
      <c r="PU29" s="11"/>
      <c r="PV29" s="11"/>
      <c r="PW29" s="11"/>
      <c r="PX29" s="11"/>
      <c r="PY29" s="11"/>
      <c r="PZ29" s="259"/>
      <c r="QA29" s="275"/>
      <c r="QB29" s="11"/>
      <c r="QC29" s="11"/>
      <c r="QD29" s="248"/>
      <c r="QE29" s="253"/>
      <c r="QF29" s="11"/>
      <c r="QG29" s="11"/>
      <c r="QH29" s="11"/>
      <c r="QI29" s="11"/>
      <c r="QJ29" s="11"/>
      <c r="QK29" s="11"/>
      <c r="QL29" s="11"/>
      <c r="QM29" s="11"/>
      <c r="QN29" s="11"/>
      <c r="QO29" s="11"/>
      <c r="QP29" s="11"/>
      <c r="QQ29" s="11"/>
      <c r="QR29" s="11"/>
      <c r="QS29" s="11"/>
      <c r="QT29" s="11"/>
      <c r="QU29" s="259"/>
      <c r="QV29" s="275"/>
      <c r="QW29" s="11"/>
      <c r="QX29" s="11"/>
      <c r="QY29" s="248"/>
      <c r="QZ29" s="253"/>
      <c r="RA29" s="11"/>
      <c r="RB29" s="11"/>
      <c r="RC29" s="11"/>
      <c r="RD29" s="11"/>
      <c r="RE29" s="11"/>
      <c r="RF29" s="11"/>
      <c r="RG29" s="11"/>
      <c r="RH29" s="11"/>
      <c r="RI29" s="11"/>
      <c r="RJ29" s="11"/>
      <c r="RK29" s="11"/>
      <c r="RL29" s="11"/>
      <c r="RM29" s="11"/>
      <c r="RN29" s="11"/>
      <c r="RO29" s="11"/>
      <c r="RP29" s="259"/>
      <c r="RQ29" s="275"/>
      <c r="RR29" s="11"/>
      <c r="RS29" s="11"/>
      <c r="RT29" s="248"/>
      <c r="RU29" s="253"/>
      <c r="RV29" s="11"/>
      <c r="RW29" s="11"/>
      <c r="RX29" s="11"/>
      <c r="RY29" s="11"/>
      <c r="RZ29" s="11"/>
      <c r="SA29" s="11"/>
      <c r="SB29" s="11"/>
      <c r="SC29" s="11"/>
      <c r="SD29" s="11"/>
      <c r="SE29" s="11"/>
      <c r="SF29" s="11"/>
      <c r="SG29" s="11"/>
      <c r="SH29" s="11"/>
      <c r="SI29" s="11"/>
      <c r="SJ29" s="11"/>
      <c r="SK29" s="259"/>
      <c r="SL29" s="275"/>
      <c r="SM29" s="11"/>
      <c r="SN29" s="11"/>
      <c r="SO29" s="248"/>
      <c r="SP29" s="253"/>
      <c r="SQ29" s="11"/>
      <c r="SR29" s="11"/>
      <c r="SS29" s="11"/>
      <c r="ST29" s="11"/>
      <c r="SU29" s="11"/>
      <c r="SV29" s="11"/>
      <c r="SW29" s="11"/>
      <c r="SX29" s="11"/>
      <c r="SY29" s="11"/>
      <c r="SZ29" s="11"/>
      <c r="TA29" s="11"/>
      <c r="TB29" s="11"/>
      <c r="TC29" s="11"/>
      <c r="TD29" s="11"/>
      <c r="TE29" s="11"/>
      <c r="TF29" s="259"/>
      <c r="TG29" s="275"/>
      <c r="TH29" s="11"/>
      <c r="TI29" s="11"/>
      <c r="TJ29" s="248"/>
      <c r="TK29" s="253"/>
      <c r="TL29" s="11"/>
      <c r="TM29" s="11"/>
      <c r="TN29" s="11"/>
      <c r="TO29" s="11"/>
      <c r="TP29" s="11"/>
      <c r="TQ29" s="11"/>
      <c r="TR29" s="11"/>
      <c r="TS29" s="11"/>
      <c r="TT29" s="11"/>
      <c r="TU29" s="11"/>
      <c r="TV29" s="11"/>
      <c r="TW29" s="11"/>
      <c r="TX29" s="11"/>
      <c r="TY29" s="11"/>
      <c r="TZ29" s="11"/>
      <c r="UA29" s="259"/>
      <c r="UB29" s="275"/>
      <c r="UC29" s="11"/>
      <c r="UD29" s="11"/>
      <c r="UE29" s="248"/>
      <c r="UF29" s="253"/>
      <c r="UG29" s="11"/>
      <c r="UH29" s="11"/>
      <c r="UI29" s="11"/>
      <c r="UJ29" s="11"/>
      <c r="UK29" s="11"/>
      <c r="UL29" s="11"/>
      <c r="UM29" s="11"/>
      <c r="UN29" s="11"/>
      <c r="UO29" s="11"/>
      <c r="UP29" s="11"/>
      <c r="UQ29" s="11"/>
      <c r="UR29" s="11"/>
      <c r="US29" s="11"/>
      <c r="UT29" s="11"/>
      <c r="UU29" s="11"/>
      <c r="UV29" s="259"/>
      <c r="UW29" s="275"/>
      <c r="UX29" s="11"/>
      <c r="UY29" s="11"/>
      <c r="UZ29" s="248"/>
      <c r="VA29" s="253"/>
      <c r="VB29" s="11"/>
      <c r="VC29" s="11"/>
      <c r="VD29" s="11"/>
      <c r="VE29" s="11"/>
      <c r="VF29" s="11"/>
      <c r="VG29" s="11"/>
      <c r="VH29" s="11"/>
      <c r="VI29" s="11"/>
      <c r="VJ29" s="11"/>
      <c r="VK29" s="11"/>
      <c r="VL29" s="11"/>
      <c r="VM29" s="11"/>
      <c r="VN29" s="11"/>
      <c r="VO29" s="11"/>
      <c r="VP29" s="11"/>
      <c r="VQ29" s="259"/>
      <c r="VR29" s="275"/>
      <c r="VS29" s="11"/>
      <c r="VT29" s="11"/>
      <c r="VU29" s="248"/>
      <c r="VV29" s="253"/>
      <c r="VW29" s="11"/>
      <c r="VX29" s="11"/>
      <c r="VY29" s="11"/>
      <c r="VZ29" s="11"/>
      <c r="WA29" s="11"/>
      <c r="WB29" s="11"/>
      <c r="WC29" s="11"/>
      <c r="WD29" s="11"/>
      <c r="WE29" s="11"/>
      <c r="WF29" s="11"/>
      <c r="WG29" s="11"/>
      <c r="WH29" s="11"/>
      <c r="WI29" s="11"/>
      <c r="WJ29" s="11"/>
      <c r="WK29" s="11"/>
      <c r="WL29" s="259"/>
      <c r="WM29" s="275"/>
      <c r="WN29" s="11"/>
      <c r="WO29" s="11"/>
      <c r="WP29" s="248"/>
      <c r="WQ29" s="253"/>
      <c r="WR29" s="11"/>
      <c r="WS29" s="11"/>
      <c r="WT29" s="11"/>
      <c r="WU29" s="11"/>
      <c r="WV29" s="11"/>
      <c r="WW29" s="11"/>
      <c r="WX29" s="11"/>
      <c r="WY29" s="11"/>
      <c r="WZ29" s="11"/>
      <c r="XA29" s="11"/>
      <c r="XB29" s="11"/>
      <c r="XC29" s="11"/>
      <c r="XD29" s="11"/>
      <c r="XE29" s="11"/>
      <c r="XF29" s="11"/>
      <c r="XG29" s="259"/>
      <c r="XH29" s="275"/>
      <c r="XI29" s="11"/>
      <c r="XJ29" s="11"/>
      <c r="XK29" s="248"/>
      <c r="XL29" s="253"/>
      <c r="XM29" s="11"/>
      <c r="XN29" s="11"/>
      <c r="XO29" s="11"/>
      <c r="XP29" s="11"/>
      <c r="XQ29" s="11"/>
      <c r="XR29" s="11"/>
      <c r="XS29" s="11"/>
      <c r="XT29" s="11"/>
      <c r="XU29" s="11"/>
      <c r="XV29" s="11"/>
      <c r="XW29" s="11"/>
      <c r="XX29" s="11"/>
      <c r="XY29" s="11"/>
      <c r="XZ29" s="11"/>
      <c r="YA29" s="11"/>
      <c r="YB29" s="259"/>
    </row>
    <row r="30" spans="1:652" x14ac:dyDescent="0.3">
      <c r="A30" s="223" t="s">
        <v>196</v>
      </c>
      <c r="B30" s="271" t="s">
        <v>754</v>
      </c>
      <c r="C30" s="48" t="s">
        <v>570</v>
      </c>
      <c r="D30" s="49" t="s">
        <v>755</v>
      </c>
      <c r="E30" s="235"/>
      <c r="F30" s="239">
        <v>1</v>
      </c>
      <c r="G30" s="49"/>
      <c r="H30" s="66" t="s">
        <v>569</v>
      </c>
      <c r="I30" s="49" t="s">
        <v>570</v>
      </c>
      <c r="J30" s="49" t="s">
        <v>755</v>
      </c>
      <c r="K30" s="49" t="s">
        <v>572</v>
      </c>
      <c r="L30" s="49">
        <v>25.97</v>
      </c>
      <c r="M30" s="49" t="s">
        <v>573</v>
      </c>
      <c r="N30" s="49" t="s">
        <v>568</v>
      </c>
      <c r="O30" s="49" t="s">
        <v>756</v>
      </c>
      <c r="P30" s="49" t="s">
        <v>757</v>
      </c>
      <c r="Q30" s="49"/>
      <c r="R30" s="49"/>
      <c r="S30" s="49"/>
      <c r="T30" s="49"/>
      <c r="U30" s="49"/>
      <c r="V30" s="260"/>
      <c r="W30" s="271" t="s">
        <v>754</v>
      </c>
      <c r="X30" s="48" t="s">
        <v>570</v>
      </c>
      <c r="Y30" s="49" t="s">
        <v>758</v>
      </c>
      <c r="Z30" s="235"/>
      <c r="AA30" s="239">
        <v>1</v>
      </c>
      <c r="AB30" s="49"/>
      <c r="AC30" s="66" t="s">
        <v>569</v>
      </c>
      <c r="AD30" s="49" t="s">
        <v>570</v>
      </c>
      <c r="AE30" s="49" t="s">
        <v>758</v>
      </c>
      <c r="AF30" s="49" t="s">
        <v>572</v>
      </c>
      <c r="AG30" s="49">
        <v>25.64</v>
      </c>
      <c r="AH30" s="49" t="s">
        <v>573</v>
      </c>
      <c r="AI30" s="49" t="s">
        <v>568</v>
      </c>
      <c r="AJ30" s="49" t="s">
        <v>756</v>
      </c>
      <c r="AK30" s="49" t="s">
        <v>757</v>
      </c>
      <c r="AL30" s="49"/>
      <c r="AM30" s="49"/>
      <c r="AN30" s="49"/>
      <c r="AO30" s="49"/>
      <c r="AP30" s="49"/>
      <c r="AQ30" s="260"/>
      <c r="AR30" s="271"/>
      <c r="AS30" s="48"/>
      <c r="AT30" s="48"/>
      <c r="AU30" s="235"/>
      <c r="AV30" s="239"/>
      <c r="AW30" s="49"/>
      <c r="AX30" s="49"/>
      <c r="AY30" s="49"/>
      <c r="AZ30" s="49"/>
      <c r="BA30" s="49"/>
      <c r="BB30" s="49"/>
      <c r="BC30" s="49"/>
      <c r="BD30" s="49"/>
      <c r="BE30" s="49"/>
      <c r="BF30" s="49"/>
      <c r="BG30" s="49"/>
      <c r="BH30" s="49"/>
      <c r="BI30" s="49"/>
      <c r="BJ30" s="49"/>
      <c r="BK30" s="49"/>
      <c r="BL30" s="260"/>
      <c r="BM30" s="276"/>
      <c r="BN30" s="49"/>
      <c r="BO30" s="49"/>
      <c r="BP30" s="249"/>
      <c r="BQ30" s="254"/>
      <c r="BR30" s="49"/>
      <c r="BS30" s="49"/>
      <c r="BT30" s="49"/>
      <c r="BU30" s="49"/>
      <c r="BV30" s="49"/>
      <c r="BW30" s="49"/>
      <c r="BX30" s="49"/>
      <c r="BY30" s="49"/>
      <c r="BZ30" s="49"/>
      <c r="CA30" s="49"/>
      <c r="CB30" s="49"/>
      <c r="CC30" s="49"/>
      <c r="CD30" s="49"/>
      <c r="CE30" s="49"/>
      <c r="CF30" s="49"/>
      <c r="CG30" s="260"/>
      <c r="CH30" s="276"/>
      <c r="CI30" s="49"/>
      <c r="CJ30" s="49"/>
      <c r="CK30" s="249"/>
      <c r="CL30" s="53"/>
      <c r="CM30" s="53"/>
      <c r="CN30" s="53"/>
      <c r="CO30" s="53"/>
      <c r="CP30" s="53"/>
      <c r="CQ30" s="80"/>
      <c r="CR30" s="53"/>
      <c r="CS30" s="54"/>
      <c r="CT30" s="84"/>
      <c r="CU30" s="53"/>
      <c r="CV30" s="66"/>
      <c r="CW30" s="49"/>
      <c r="CX30" s="49"/>
      <c r="CY30" s="49"/>
      <c r="CZ30" s="49"/>
      <c r="DA30" s="49"/>
      <c r="DB30" s="260"/>
      <c r="DC30" s="276"/>
      <c r="DD30" s="49"/>
      <c r="DE30" s="49"/>
      <c r="DF30" s="249"/>
      <c r="DG30" s="254"/>
      <c r="DH30" s="49"/>
      <c r="DI30" s="49"/>
      <c r="DJ30" s="49"/>
      <c r="DK30" s="49"/>
      <c r="DL30" s="49"/>
      <c r="DM30" s="49"/>
      <c r="DN30" s="49"/>
      <c r="DO30" s="49"/>
      <c r="DP30" s="49"/>
      <c r="DQ30" s="49"/>
      <c r="DR30" s="49"/>
      <c r="DS30" s="49"/>
      <c r="DT30" s="49"/>
      <c r="DU30" s="49"/>
      <c r="DV30" s="49"/>
      <c r="DW30" s="260"/>
      <c r="DX30" s="276"/>
      <c r="DY30" s="49"/>
      <c r="DZ30" s="49"/>
      <c r="EA30" s="249"/>
      <c r="EB30" s="53"/>
      <c r="EC30" s="53"/>
      <c r="ED30" s="53"/>
      <c r="EE30" s="53"/>
      <c r="EF30" s="53"/>
      <c r="EG30" s="80"/>
      <c r="EH30" s="53"/>
      <c r="EI30" s="54"/>
      <c r="EJ30" s="84"/>
      <c r="EK30" s="53"/>
      <c r="EL30" s="66"/>
      <c r="EM30" s="49"/>
      <c r="EN30" s="49"/>
      <c r="EO30" s="49"/>
      <c r="EP30" s="49"/>
      <c r="EQ30" s="49"/>
      <c r="ER30" s="260"/>
      <c r="ES30" s="276"/>
      <c r="ET30" s="49"/>
      <c r="EU30" s="49"/>
      <c r="EV30" s="249"/>
      <c r="EW30" s="254"/>
      <c r="EX30" s="49"/>
      <c r="EY30" s="49"/>
      <c r="EZ30" s="49"/>
      <c r="FA30" s="49"/>
      <c r="FB30" s="49"/>
      <c r="FC30" s="49"/>
      <c r="FD30" s="49"/>
      <c r="FE30" s="49"/>
      <c r="FF30" s="49"/>
      <c r="FG30" s="49"/>
      <c r="FH30" s="49"/>
      <c r="FI30" s="49"/>
      <c r="FJ30" s="49"/>
      <c r="FK30" s="49"/>
      <c r="FL30" s="49"/>
      <c r="FM30" s="260"/>
      <c r="FN30" s="276"/>
      <c r="FO30" s="49"/>
      <c r="FP30" s="49"/>
      <c r="FQ30" s="249"/>
      <c r="FR30" s="53"/>
      <c r="FS30" s="53"/>
      <c r="FT30" s="53"/>
      <c r="FU30" s="53"/>
      <c r="FV30" s="53"/>
      <c r="FW30" s="80"/>
      <c r="FX30" s="53"/>
      <c r="FY30" s="54"/>
      <c r="FZ30" s="84"/>
      <c r="GA30" s="53"/>
      <c r="GB30" s="66"/>
      <c r="GC30" s="49"/>
      <c r="GD30" s="49"/>
      <c r="GE30" s="49"/>
      <c r="GF30" s="49"/>
      <c r="GG30" s="49"/>
      <c r="GH30" s="260"/>
      <c r="GI30" s="276"/>
      <c r="GJ30" s="49"/>
      <c r="GK30" s="49"/>
      <c r="GL30" s="249"/>
      <c r="GM30" s="254"/>
      <c r="GN30" s="49"/>
      <c r="GO30" s="49"/>
      <c r="GP30" s="49"/>
      <c r="GQ30" s="49"/>
      <c r="GR30" s="49"/>
      <c r="GS30" s="49"/>
      <c r="GT30" s="49"/>
      <c r="GU30" s="49"/>
      <c r="GV30" s="49"/>
      <c r="GW30" s="49"/>
      <c r="GX30" s="49"/>
      <c r="GY30" s="49"/>
      <c r="GZ30" s="49"/>
      <c r="HA30" s="49"/>
      <c r="HB30" s="49"/>
      <c r="HC30" s="260"/>
      <c r="HD30" s="276"/>
      <c r="HE30" s="49"/>
      <c r="HF30" s="49"/>
      <c r="HG30" s="249"/>
      <c r="HH30" s="254"/>
      <c r="HI30" s="49"/>
      <c r="HJ30" s="49"/>
      <c r="HK30" s="49"/>
      <c r="HL30" s="49"/>
      <c r="HM30" s="49"/>
      <c r="HN30" s="49"/>
      <c r="HO30" s="49"/>
      <c r="HP30" s="49"/>
      <c r="HQ30" s="49"/>
      <c r="HR30" s="49"/>
      <c r="HS30" s="49"/>
      <c r="HT30" s="49"/>
      <c r="HU30" s="49"/>
      <c r="HV30" s="49"/>
      <c r="HW30" s="49"/>
      <c r="HX30" s="260"/>
      <c r="HY30" s="276"/>
      <c r="HZ30" s="49"/>
      <c r="IA30" s="49"/>
      <c r="IB30" s="249"/>
      <c r="IC30" s="254"/>
      <c r="ID30" s="49"/>
      <c r="IE30" s="49"/>
      <c r="IF30" s="49"/>
      <c r="IG30" s="49"/>
      <c r="IH30" s="49"/>
      <c r="II30" s="49"/>
      <c r="IJ30" s="49"/>
      <c r="IK30" s="49"/>
      <c r="IL30" s="49"/>
      <c r="IM30" s="49"/>
      <c r="IN30" s="49"/>
      <c r="IO30" s="49"/>
      <c r="IP30" s="49"/>
      <c r="IQ30" s="49"/>
      <c r="IR30" s="49"/>
      <c r="IS30" s="260"/>
      <c r="IT30" s="276"/>
      <c r="IU30" s="49"/>
      <c r="IV30" s="49"/>
      <c r="IW30" s="249"/>
      <c r="IX30" s="254"/>
      <c r="IY30" s="49"/>
      <c r="IZ30" s="49"/>
      <c r="JA30" s="49"/>
      <c r="JB30" s="49"/>
      <c r="JC30" s="49"/>
      <c r="JD30" s="49"/>
      <c r="JE30" s="49"/>
      <c r="JF30" s="49"/>
      <c r="JG30" s="49"/>
      <c r="JH30" s="49"/>
      <c r="JI30" s="49"/>
      <c r="JJ30" s="49"/>
      <c r="JK30" s="49"/>
      <c r="JL30" s="49"/>
      <c r="JM30" s="49"/>
      <c r="JN30" s="260"/>
      <c r="JO30" s="276"/>
      <c r="JP30" s="49"/>
      <c r="JQ30" s="49"/>
      <c r="JR30" s="249"/>
      <c r="JS30" s="254"/>
      <c r="JT30" s="49"/>
      <c r="JU30" s="49"/>
      <c r="JV30" s="49"/>
      <c r="JW30" s="49"/>
      <c r="JX30" s="49"/>
      <c r="JY30" s="49"/>
      <c r="JZ30" s="49"/>
      <c r="KA30" s="49"/>
      <c r="KB30" s="49"/>
      <c r="KC30" s="49"/>
      <c r="KD30" s="49"/>
      <c r="KE30" s="49"/>
      <c r="KF30" s="49"/>
      <c r="KG30" s="49"/>
      <c r="KH30" s="49"/>
      <c r="KI30" s="260"/>
      <c r="KJ30" s="276"/>
      <c r="KK30" s="49"/>
      <c r="KL30" s="49"/>
      <c r="KM30" s="249"/>
      <c r="KN30" s="254"/>
      <c r="KO30" s="49"/>
      <c r="KP30" s="49"/>
      <c r="KQ30" s="49"/>
      <c r="KR30" s="49"/>
      <c r="KS30" s="49"/>
      <c r="KT30" s="49"/>
      <c r="KU30" s="49"/>
      <c r="KV30" s="49"/>
      <c r="KW30" s="49"/>
      <c r="KX30" s="49"/>
      <c r="KY30" s="49"/>
      <c r="KZ30" s="49"/>
      <c r="LA30" s="49"/>
      <c r="LB30" s="49"/>
      <c r="LC30" s="49"/>
      <c r="LD30" s="260"/>
      <c r="LE30" s="276"/>
      <c r="LF30" s="49"/>
      <c r="LG30" s="49"/>
      <c r="LH30" s="249"/>
      <c r="LI30" s="254"/>
      <c r="LJ30" s="49"/>
      <c r="LK30" s="49"/>
      <c r="LL30" s="49"/>
      <c r="LM30" s="49"/>
      <c r="LN30" s="49"/>
      <c r="LO30" s="49"/>
      <c r="LP30" s="49"/>
      <c r="LQ30" s="49"/>
      <c r="LR30" s="49"/>
      <c r="LS30" s="49"/>
      <c r="LT30" s="49"/>
      <c r="LU30" s="49"/>
      <c r="LV30" s="49"/>
      <c r="LW30" s="49"/>
      <c r="LX30" s="49"/>
      <c r="LY30" s="260"/>
      <c r="LZ30" s="276"/>
      <c r="MA30" s="49"/>
      <c r="MB30" s="49"/>
      <c r="MC30" s="249"/>
      <c r="MD30" s="254"/>
      <c r="ME30" s="49"/>
      <c r="MF30" s="49"/>
      <c r="MG30" s="49"/>
      <c r="MH30" s="49"/>
      <c r="MI30" s="49"/>
      <c r="MJ30" s="49"/>
      <c r="MK30" s="49"/>
      <c r="ML30" s="49"/>
      <c r="MM30" s="49"/>
      <c r="MN30" s="49"/>
      <c r="MO30" s="49"/>
      <c r="MP30" s="49"/>
      <c r="MQ30" s="49"/>
      <c r="MR30" s="49"/>
      <c r="MS30" s="49"/>
      <c r="MT30" s="260"/>
      <c r="MU30" s="276"/>
      <c r="MV30" s="49"/>
      <c r="MW30" s="49"/>
      <c r="MX30" s="249"/>
      <c r="MY30" s="254"/>
      <c r="MZ30" s="49"/>
      <c r="NA30" s="49"/>
      <c r="NB30" s="49"/>
      <c r="NC30" s="49"/>
      <c r="ND30" s="49"/>
      <c r="NE30" s="49"/>
      <c r="NF30" s="49"/>
      <c r="NG30" s="49"/>
      <c r="NH30" s="49"/>
      <c r="NI30" s="49"/>
      <c r="NJ30" s="49"/>
      <c r="NK30" s="49"/>
      <c r="NL30" s="49"/>
      <c r="NM30" s="49"/>
      <c r="NN30" s="49"/>
      <c r="NO30" s="260"/>
      <c r="NP30" s="276"/>
      <c r="NQ30" s="49"/>
      <c r="NR30" s="49"/>
      <c r="NS30" s="249"/>
      <c r="NT30" s="254"/>
      <c r="NU30" s="49"/>
      <c r="NV30" s="49"/>
      <c r="NW30" s="49"/>
      <c r="NX30" s="49"/>
      <c r="NY30" s="49"/>
      <c r="NZ30" s="49"/>
      <c r="OA30" s="49"/>
      <c r="OB30" s="49"/>
      <c r="OC30" s="49"/>
      <c r="OD30" s="49"/>
      <c r="OE30" s="49"/>
      <c r="OF30" s="49"/>
      <c r="OG30" s="49"/>
      <c r="OH30" s="49"/>
      <c r="OI30" s="49"/>
      <c r="OJ30" s="260"/>
      <c r="OK30" s="276"/>
      <c r="OL30" s="49"/>
      <c r="OM30" s="49"/>
      <c r="ON30" s="249"/>
      <c r="OO30" s="254"/>
      <c r="OP30" s="49"/>
      <c r="OQ30" s="49"/>
      <c r="OR30" s="49"/>
      <c r="OS30" s="49"/>
      <c r="OT30" s="49"/>
      <c r="OU30" s="49"/>
      <c r="OV30" s="49"/>
      <c r="OW30" s="49"/>
      <c r="OX30" s="49"/>
      <c r="OY30" s="49"/>
      <c r="OZ30" s="49"/>
      <c r="PA30" s="49"/>
      <c r="PB30" s="49"/>
      <c r="PC30" s="49"/>
      <c r="PD30" s="49"/>
      <c r="PE30" s="260"/>
      <c r="PF30" s="276"/>
      <c r="PG30" s="49"/>
      <c r="PH30" s="49"/>
      <c r="PI30" s="249"/>
      <c r="PJ30" s="254"/>
      <c r="PK30" s="49"/>
      <c r="PL30" s="49"/>
      <c r="PM30" s="49"/>
      <c r="PN30" s="49"/>
      <c r="PO30" s="49"/>
      <c r="PP30" s="49"/>
      <c r="PQ30" s="49"/>
      <c r="PR30" s="49"/>
      <c r="PS30" s="49"/>
      <c r="PT30" s="49"/>
      <c r="PU30" s="49"/>
      <c r="PV30" s="49"/>
      <c r="PW30" s="49"/>
      <c r="PX30" s="49"/>
      <c r="PY30" s="49"/>
      <c r="PZ30" s="260"/>
      <c r="QA30" s="276"/>
      <c r="QB30" s="49"/>
      <c r="QC30" s="49"/>
      <c r="QD30" s="249"/>
      <c r="QE30" s="254"/>
      <c r="QF30" s="49"/>
      <c r="QG30" s="49"/>
      <c r="QH30" s="49"/>
      <c r="QI30" s="49"/>
      <c r="QJ30" s="49"/>
      <c r="QK30" s="49"/>
      <c r="QL30" s="49"/>
      <c r="QM30" s="49"/>
      <c r="QN30" s="49"/>
      <c r="QO30" s="49"/>
      <c r="QP30" s="49"/>
      <c r="QQ30" s="49"/>
      <c r="QR30" s="49"/>
      <c r="QS30" s="49"/>
      <c r="QT30" s="49"/>
      <c r="QU30" s="260"/>
      <c r="QV30" s="276"/>
      <c r="QW30" s="49"/>
      <c r="QX30" s="49"/>
      <c r="QY30" s="249"/>
      <c r="QZ30" s="254"/>
      <c r="RA30" s="49"/>
      <c r="RB30" s="49"/>
      <c r="RC30" s="49"/>
      <c r="RD30" s="49"/>
      <c r="RE30" s="49"/>
      <c r="RF30" s="49"/>
      <c r="RG30" s="49"/>
      <c r="RH30" s="49"/>
      <c r="RI30" s="49"/>
      <c r="RJ30" s="49"/>
      <c r="RK30" s="49"/>
      <c r="RL30" s="49"/>
      <c r="RM30" s="49"/>
      <c r="RN30" s="49"/>
      <c r="RO30" s="49"/>
      <c r="RP30" s="260"/>
      <c r="RQ30" s="276"/>
      <c r="RR30" s="49"/>
      <c r="RS30" s="49"/>
      <c r="RT30" s="249"/>
      <c r="RU30" s="254"/>
      <c r="RV30" s="49"/>
      <c r="RW30" s="49"/>
      <c r="RX30" s="49"/>
      <c r="RY30" s="49"/>
      <c r="RZ30" s="49"/>
      <c r="SA30" s="49"/>
      <c r="SB30" s="49"/>
      <c r="SC30" s="49"/>
      <c r="SD30" s="49"/>
      <c r="SE30" s="49"/>
      <c r="SF30" s="49"/>
      <c r="SG30" s="49"/>
      <c r="SH30" s="49"/>
      <c r="SI30" s="49"/>
      <c r="SJ30" s="49"/>
      <c r="SK30" s="260"/>
      <c r="SL30" s="276"/>
      <c r="SM30" s="49"/>
      <c r="SN30" s="49"/>
      <c r="SO30" s="249"/>
      <c r="SP30" s="254"/>
      <c r="SQ30" s="49"/>
      <c r="SR30" s="49"/>
      <c r="SS30" s="49"/>
      <c r="ST30" s="49"/>
      <c r="SU30" s="49"/>
      <c r="SV30" s="49"/>
      <c r="SW30" s="49"/>
      <c r="SX30" s="49"/>
      <c r="SY30" s="49"/>
      <c r="SZ30" s="49"/>
      <c r="TA30" s="49"/>
      <c r="TB30" s="49"/>
      <c r="TC30" s="49"/>
      <c r="TD30" s="49"/>
      <c r="TE30" s="49"/>
      <c r="TF30" s="260"/>
      <c r="TG30" s="276"/>
      <c r="TH30" s="49"/>
      <c r="TI30" s="49"/>
      <c r="TJ30" s="249"/>
      <c r="TK30" s="254"/>
      <c r="TL30" s="49"/>
      <c r="TM30" s="49"/>
      <c r="TN30" s="49"/>
      <c r="TO30" s="49"/>
      <c r="TP30" s="49"/>
      <c r="TQ30" s="49"/>
      <c r="TR30" s="49"/>
      <c r="TS30" s="49"/>
      <c r="TT30" s="49"/>
      <c r="TU30" s="49"/>
      <c r="TV30" s="49"/>
      <c r="TW30" s="49"/>
      <c r="TX30" s="49"/>
      <c r="TY30" s="49"/>
      <c r="TZ30" s="49"/>
      <c r="UA30" s="260"/>
      <c r="UB30" s="276"/>
      <c r="UC30" s="49"/>
      <c r="UD30" s="49"/>
      <c r="UE30" s="249"/>
      <c r="UF30" s="254"/>
      <c r="UG30" s="49"/>
      <c r="UH30" s="49"/>
      <c r="UI30" s="49"/>
      <c r="UJ30" s="49"/>
      <c r="UK30" s="49"/>
      <c r="UL30" s="49"/>
      <c r="UM30" s="49"/>
      <c r="UN30" s="49"/>
      <c r="UO30" s="49"/>
      <c r="UP30" s="49"/>
      <c r="UQ30" s="49"/>
      <c r="UR30" s="49"/>
      <c r="US30" s="49"/>
      <c r="UT30" s="49"/>
      <c r="UU30" s="49"/>
      <c r="UV30" s="260"/>
      <c r="UW30" s="276"/>
      <c r="UX30" s="49"/>
      <c r="UY30" s="49"/>
      <c r="UZ30" s="249"/>
      <c r="VA30" s="254"/>
      <c r="VB30" s="49"/>
      <c r="VC30" s="49"/>
      <c r="VD30" s="49"/>
      <c r="VE30" s="49"/>
      <c r="VF30" s="49"/>
      <c r="VG30" s="49"/>
      <c r="VH30" s="49"/>
      <c r="VI30" s="49"/>
      <c r="VJ30" s="49"/>
      <c r="VK30" s="49"/>
      <c r="VL30" s="49"/>
      <c r="VM30" s="49"/>
      <c r="VN30" s="49"/>
      <c r="VO30" s="49"/>
      <c r="VP30" s="49"/>
      <c r="VQ30" s="260"/>
      <c r="VR30" s="276"/>
      <c r="VS30" s="49"/>
      <c r="VT30" s="49"/>
      <c r="VU30" s="249"/>
      <c r="VV30" s="254"/>
      <c r="VW30" s="49"/>
      <c r="VX30" s="49"/>
      <c r="VY30" s="49"/>
      <c r="VZ30" s="49"/>
      <c r="WA30" s="49"/>
      <c r="WB30" s="49"/>
      <c r="WC30" s="49"/>
      <c r="WD30" s="49"/>
      <c r="WE30" s="49"/>
      <c r="WF30" s="49"/>
      <c r="WG30" s="49"/>
      <c r="WH30" s="49"/>
      <c r="WI30" s="49"/>
      <c r="WJ30" s="49"/>
      <c r="WK30" s="49"/>
      <c r="WL30" s="260"/>
      <c r="WM30" s="276"/>
      <c r="WN30" s="49"/>
      <c r="WO30" s="49"/>
      <c r="WP30" s="249"/>
      <c r="WQ30" s="254"/>
      <c r="WR30" s="49"/>
      <c r="WS30" s="49"/>
      <c r="WT30" s="49"/>
      <c r="WU30" s="49"/>
      <c r="WV30" s="49"/>
      <c r="WW30" s="49"/>
      <c r="WX30" s="49"/>
      <c r="WY30" s="49"/>
      <c r="WZ30" s="49"/>
      <c r="XA30" s="49"/>
      <c r="XB30" s="49"/>
      <c r="XC30" s="49"/>
      <c r="XD30" s="49"/>
      <c r="XE30" s="49"/>
      <c r="XF30" s="49"/>
      <c r="XG30" s="260"/>
      <c r="XH30" s="276"/>
      <c r="XI30" s="49"/>
      <c r="XJ30" s="49"/>
      <c r="XK30" s="249"/>
      <c r="XL30" s="254"/>
      <c r="XM30" s="49"/>
      <c r="XN30" s="49"/>
      <c r="XO30" s="49"/>
      <c r="XP30" s="49"/>
      <c r="XQ30" s="49"/>
      <c r="XR30" s="49"/>
      <c r="XS30" s="49"/>
      <c r="XT30" s="49"/>
      <c r="XU30" s="49"/>
      <c r="XV30" s="49"/>
      <c r="XW30" s="49"/>
      <c r="XX30" s="49"/>
      <c r="XY30" s="49"/>
      <c r="XZ30" s="49"/>
      <c r="YA30" s="49"/>
      <c r="YB30" s="260"/>
    </row>
    <row r="31" spans="1:652" x14ac:dyDescent="0.3">
      <c r="A31" s="224" t="s">
        <v>200</v>
      </c>
      <c r="B31" s="270"/>
      <c r="C31" s="10"/>
      <c r="D31" s="10"/>
      <c r="E31" s="234"/>
      <c r="F31" s="238"/>
      <c r="G31" s="11"/>
      <c r="H31" s="11"/>
      <c r="I31" s="11"/>
      <c r="J31" s="11"/>
      <c r="K31" s="12"/>
      <c r="L31" s="11"/>
      <c r="M31" s="11"/>
      <c r="N31" s="11"/>
      <c r="O31" s="11"/>
      <c r="P31" s="11"/>
      <c r="Q31" s="11"/>
      <c r="R31" s="11"/>
      <c r="S31" s="11"/>
      <c r="T31" s="11"/>
      <c r="U31" s="11"/>
      <c r="V31" s="259"/>
      <c r="W31" s="275"/>
      <c r="X31" s="11"/>
      <c r="Y31" s="11"/>
      <c r="Z31" s="248"/>
      <c r="AA31" s="253"/>
      <c r="AB31" s="11"/>
      <c r="AC31" s="11"/>
      <c r="AD31" s="11"/>
      <c r="AE31" s="11"/>
      <c r="AF31" s="11"/>
      <c r="AG31" s="11"/>
      <c r="AH31" s="11"/>
      <c r="AI31" s="11"/>
      <c r="AJ31" s="11"/>
      <c r="AK31" s="11"/>
      <c r="AL31" s="11"/>
      <c r="AM31" s="11"/>
      <c r="AN31" s="11"/>
      <c r="AO31" s="11"/>
      <c r="AP31" s="11"/>
      <c r="AQ31" s="259"/>
      <c r="AR31" s="270"/>
      <c r="AS31" s="10"/>
      <c r="AT31" s="10"/>
      <c r="AU31" s="234"/>
      <c r="AV31" s="238"/>
      <c r="AW31" s="11"/>
      <c r="AX31" s="11"/>
      <c r="AY31" s="11"/>
      <c r="AZ31" s="11"/>
      <c r="BA31" s="11"/>
      <c r="BB31" s="11"/>
      <c r="BC31" s="11"/>
      <c r="BD31" s="11"/>
      <c r="BE31" s="11"/>
      <c r="BF31" s="11"/>
      <c r="BG31" s="11"/>
      <c r="BH31" s="11"/>
      <c r="BI31" s="11"/>
      <c r="BJ31" s="11"/>
      <c r="BK31" s="11"/>
      <c r="BL31" s="259"/>
      <c r="BM31" s="275"/>
      <c r="BN31" s="11"/>
      <c r="BO31" s="11"/>
      <c r="BP31" s="248"/>
      <c r="BQ31" s="253"/>
      <c r="BR31" s="11"/>
      <c r="BS31" s="11"/>
      <c r="BT31" s="11"/>
      <c r="BU31" s="11"/>
      <c r="BV31" s="11"/>
      <c r="BW31" s="11"/>
      <c r="BX31" s="11"/>
      <c r="BY31" s="11"/>
      <c r="BZ31" s="11"/>
      <c r="CA31" s="11"/>
      <c r="CB31" s="11"/>
      <c r="CC31" s="11"/>
      <c r="CD31" s="11"/>
      <c r="CE31" s="11"/>
      <c r="CF31" s="11"/>
      <c r="CG31" s="259"/>
      <c r="CH31" s="275"/>
      <c r="CI31" s="11"/>
      <c r="CJ31" s="11"/>
      <c r="CK31" s="248"/>
      <c r="CL31" s="45"/>
      <c r="CM31" s="45"/>
      <c r="CN31" s="45"/>
      <c r="CO31" s="45"/>
      <c r="CP31" s="45"/>
      <c r="CQ31" s="79"/>
      <c r="CR31" s="45"/>
      <c r="CS31" s="36"/>
      <c r="CT31" s="86"/>
      <c r="CU31" s="45"/>
      <c r="CV31" s="10"/>
      <c r="CW31" s="11"/>
      <c r="CX31" s="11"/>
      <c r="CY31" s="11"/>
      <c r="CZ31" s="11"/>
      <c r="DA31" s="11"/>
      <c r="DB31" s="259"/>
      <c r="DC31" s="275"/>
      <c r="DD31" s="11"/>
      <c r="DE31" s="11"/>
      <c r="DF31" s="248"/>
      <c r="DG31" s="253"/>
      <c r="DH31" s="11"/>
      <c r="DI31" s="11"/>
      <c r="DJ31" s="11"/>
      <c r="DK31" s="11"/>
      <c r="DL31" s="11"/>
      <c r="DM31" s="11"/>
      <c r="DN31" s="11"/>
      <c r="DO31" s="11"/>
      <c r="DP31" s="11"/>
      <c r="DQ31" s="11"/>
      <c r="DR31" s="11"/>
      <c r="DS31" s="11"/>
      <c r="DT31" s="11"/>
      <c r="DU31" s="11"/>
      <c r="DV31" s="11"/>
      <c r="DW31" s="259"/>
      <c r="DX31" s="275"/>
      <c r="DY31" s="11"/>
      <c r="DZ31" s="11"/>
      <c r="EA31" s="248"/>
      <c r="EB31" s="45"/>
      <c r="EC31" s="45"/>
      <c r="ED31" s="45"/>
      <c r="EE31" s="45"/>
      <c r="EF31" s="45"/>
      <c r="EG31" s="79"/>
      <c r="EH31" s="45"/>
      <c r="EI31" s="36"/>
      <c r="EJ31" s="86"/>
      <c r="EK31" s="45"/>
      <c r="EL31" s="10"/>
      <c r="EM31" s="11"/>
      <c r="EN31" s="11"/>
      <c r="EO31" s="11"/>
      <c r="EP31" s="11"/>
      <c r="EQ31" s="11"/>
      <c r="ER31" s="259"/>
      <c r="ES31" s="275"/>
      <c r="ET31" s="11"/>
      <c r="EU31" s="11"/>
      <c r="EV31" s="248"/>
      <c r="EW31" s="253"/>
      <c r="EX31" s="11"/>
      <c r="EY31" s="11"/>
      <c r="EZ31" s="11"/>
      <c r="FA31" s="11"/>
      <c r="FB31" s="11"/>
      <c r="FC31" s="11"/>
      <c r="FD31" s="11"/>
      <c r="FE31" s="11"/>
      <c r="FF31" s="11"/>
      <c r="FG31" s="11"/>
      <c r="FH31" s="11"/>
      <c r="FI31" s="11"/>
      <c r="FJ31" s="11"/>
      <c r="FK31" s="11"/>
      <c r="FL31" s="11"/>
      <c r="FM31" s="259"/>
      <c r="FN31" s="275"/>
      <c r="FO31" s="11"/>
      <c r="FP31" s="11"/>
      <c r="FQ31" s="248"/>
      <c r="FR31" s="45"/>
      <c r="FS31" s="45"/>
      <c r="FT31" s="45"/>
      <c r="FU31" s="45"/>
      <c r="FV31" s="45"/>
      <c r="FW31" s="79"/>
      <c r="FX31" s="45"/>
      <c r="FY31" s="36"/>
      <c r="FZ31" s="86"/>
      <c r="GA31" s="45"/>
      <c r="GB31" s="10"/>
      <c r="GC31" s="11"/>
      <c r="GD31" s="11"/>
      <c r="GE31" s="11"/>
      <c r="GF31" s="11"/>
      <c r="GG31" s="11"/>
      <c r="GH31" s="259"/>
      <c r="GI31" s="275"/>
      <c r="GJ31" s="11"/>
      <c r="GK31" s="11"/>
      <c r="GL31" s="248"/>
      <c r="GM31" s="253"/>
      <c r="GN31" s="11"/>
      <c r="GO31" s="11"/>
      <c r="GP31" s="11"/>
      <c r="GQ31" s="11"/>
      <c r="GR31" s="11"/>
      <c r="GS31" s="11"/>
      <c r="GT31" s="11"/>
      <c r="GU31" s="11"/>
      <c r="GV31" s="11"/>
      <c r="GW31" s="11"/>
      <c r="GX31" s="11"/>
      <c r="GY31" s="11"/>
      <c r="GZ31" s="11"/>
      <c r="HA31" s="11"/>
      <c r="HB31" s="11"/>
      <c r="HC31" s="259"/>
      <c r="HD31" s="275"/>
      <c r="HE31" s="11"/>
      <c r="HF31" s="11"/>
      <c r="HG31" s="248"/>
      <c r="HH31" s="253"/>
      <c r="HI31" s="11"/>
      <c r="HJ31" s="11"/>
      <c r="HK31" s="11"/>
      <c r="HL31" s="11"/>
      <c r="HM31" s="11"/>
      <c r="HN31" s="11"/>
      <c r="HO31" s="11"/>
      <c r="HP31" s="11"/>
      <c r="HQ31" s="11"/>
      <c r="HR31" s="11"/>
      <c r="HS31" s="11"/>
      <c r="HT31" s="11"/>
      <c r="HU31" s="11"/>
      <c r="HV31" s="11"/>
      <c r="HW31" s="11"/>
      <c r="HX31" s="259"/>
      <c r="HY31" s="275"/>
      <c r="HZ31" s="11"/>
      <c r="IA31" s="11"/>
      <c r="IB31" s="248"/>
      <c r="IC31" s="253"/>
      <c r="ID31" s="11"/>
      <c r="IE31" s="11"/>
      <c r="IF31" s="11"/>
      <c r="IG31" s="11"/>
      <c r="IH31" s="11"/>
      <c r="II31" s="11"/>
      <c r="IJ31" s="11"/>
      <c r="IK31" s="11"/>
      <c r="IL31" s="11"/>
      <c r="IM31" s="11"/>
      <c r="IN31" s="11"/>
      <c r="IO31" s="11"/>
      <c r="IP31" s="11"/>
      <c r="IQ31" s="11"/>
      <c r="IR31" s="11"/>
      <c r="IS31" s="259"/>
      <c r="IT31" s="275"/>
      <c r="IU31" s="11"/>
      <c r="IV31" s="11"/>
      <c r="IW31" s="248"/>
      <c r="IX31" s="253"/>
      <c r="IY31" s="11"/>
      <c r="IZ31" s="11"/>
      <c r="JA31" s="11"/>
      <c r="JB31" s="11"/>
      <c r="JC31" s="11"/>
      <c r="JD31" s="11"/>
      <c r="JE31" s="11"/>
      <c r="JF31" s="11"/>
      <c r="JG31" s="11"/>
      <c r="JH31" s="11"/>
      <c r="JI31" s="11"/>
      <c r="JJ31" s="11"/>
      <c r="JK31" s="11"/>
      <c r="JL31" s="11"/>
      <c r="JM31" s="11"/>
      <c r="JN31" s="259"/>
      <c r="JO31" s="275"/>
      <c r="JP31" s="11"/>
      <c r="JQ31" s="11"/>
      <c r="JR31" s="248"/>
      <c r="JS31" s="253"/>
      <c r="JT31" s="11"/>
      <c r="JU31" s="11"/>
      <c r="JV31" s="11"/>
      <c r="JW31" s="11"/>
      <c r="JX31" s="11"/>
      <c r="JY31" s="11"/>
      <c r="JZ31" s="11"/>
      <c r="KA31" s="11"/>
      <c r="KB31" s="11"/>
      <c r="KC31" s="11"/>
      <c r="KD31" s="11"/>
      <c r="KE31" s="11"/>
      <c r="KF31" s="11"/>
      <c r="KG31" s="11"/>
      <c r="KH31" s="11"/>
      <c r="KI31" s="259"/>
      <c r="KJ31" s="275"/>
      <c r="KK31" s="11"/>
      <c r="KL31" s="11"/>
      <c r="KM31" s="248"/>
      <c r="KN31" s="253"/>
      <c r="KO31" s="11"/>
      <c r="KP31" s="11"/>
      <c r="KQ31" s="11"/>
      <c r="KR31" s="11"/>
      <c r="KS31" s="11"/>
      <c r="KT31" s="11"/>
      <c r="KU31" s="11"/>
      <c r="KV31" s="11"/>
      <c r="KW31" s="11"/>
      <c r="KX31" s="11"/>
      <c r="KY31" s="11"/>
      <c r="KZ31" s="11"/>
      <c r="LA31" s="11"/>
      <c r="LB31" s="11"/>
      <c r="LC31" s="11"/>
      <c r="LD31" s="259"/>
      <c r="LE31" s="275"/>
      <c r="LF31" s="11"/>
      <c r="LG31" s="11"/>
      <c r="LH31" s="248"/>
      <c r="LI31" s="253"/>
      <c r="LJ31" s="11"/>
      <c r="LK31" s="11"/>
      <c r="LL31" s="11"/>
      <c r="LM31" s="11"/>
      <c r="LN31" s="11"/>
      <c r="LO31" s="11"/>
      <c r="LP31" s="11"/>
      <c r="LQ31" s="11"/>
      <c r="LR31" s="11"/>
      <c r="LS31" s="11"/>
      <c r="LT31" s="11"/>
      <c r="LU31" s="11"/>
      <c r="LV31" s="11"/>
      <c r="LW31" s="11"/>
      <c r="LX31" s="11"/>
      <c r="LY31" s="259"/>
      <c r="LZ31" s="275"/>
      <c r="MA31" s="11"/>
      <c r="MB31" s="11"/>
      <c r="MC31" s="248"/>
      <c r="MD31" s="253"/>
      <c r="ME31" s="11"/>
      <c r="MF31" s="11"/>
      <c r="MG31" s="11"/>
      <c r="MH31" s="11"/>
      <c r="MI31" s="11"/>
      <c r="MJ31" s="11"/>
      <c r="MK31" s="11"/>
      <c r="ML31" s="11"/>
      <c r="MM31" s="11"/>
      <c r="MN31" s="11"/>
      <c r="MO31" s="11"/>
      <c r="MP31" s="11"/>
      <c r="MQ31" s="11"/>
      <c r="MR31" s="11"/>
      <c r="MS31" s="11"/>
      <c r="MT31" s="259"/>
      <c r="MU31" s="275"/>
      <c r="MV31" s="11"/>
      <c r="MW31" s="11"/>
      <c r="MX31" s="248"/>
      <c r="MY31" s="253"/>
      <c r="MZ31" s="11"/>
      <c r="NA31" s="11"/>
      <c r="NB31" s="11"/>
      <c r="NC31" s="11"/>
      <c r="ND31" s="11"/>
      <c r="NE31" s="11"/>
      <c r="NF31" s="11"/>
      <c r="NG31" s="11"/>
      <c r="NH31" s="11"/>
      <c r="NI31" s="11"/>
      <c r="NJ31" s="11"/>
      <c r="NK31" s="11"/>
      <c r="NL31" s="11"/>
      <c r="NM31" s="11"/>
      <c r="NN31" s="11"/>
      <c r="NO31" s="259"/>
      <c r="NP31" s="275"/>
      <c r="NQ31" s="11"/>
      <c r="NR31" s="11"/>
      <c r="NS31" s="248"/>
      <c r="NT31" s="253"/>
      <c r="NU31" s="11"/>
      <c r="NV31" s="11"/>
      <c r="NW31" s="11"/>
      <c r="NX31" s="11"/>
      <c r="NY31" s="11"/>
      <c r="NZ31" s="11"/>
      <c r="OA31" s="11"/>
      <c r="OB31" s="11"/>
      <c r="OC31" s="11"/>
      <c r="OD31" s="11"/>
      <c r="OE31" s="11"/>
      <c r="OF31" s="11"/>
      <c r="OG31" s="11"/>
      <c r="OH31" s="11"/>
      <c r="OI31" s="11"/>
      <c r="OJ31" s="259"/>
      <c r="OK31" s="275"/>
      <c r="OL31" s="11"/>
      <c r="OM31" s="11"/>
      <c r="ON31" s="248"/>
      <c r="OO31" s="253"/>
      <c r="OP31" s="11"/>
      <c r="OQ31" s="11"/>
      <c r="OR31" s="11"/>
      <c r="OS31" s="11"/>
      <c r="OT31" s="11"/>
      <c r="OU31" s="11"/>
      <c r="OV31" s="11"/>
      <c r="OW31" s="11"/>
      <c r="OX31" s="11"/>
      <c r="OY31" s="11"/>
      <c r="OZ31" s="11"/>
      <c r="PA31" s="11"/>
      <c r="PB31" s="11"/>
      <c r="PC31" s="11"/>
      <c r="PD31" s="11"/>
      <c r="PE31" s="259"/>
      <c r="PF31" s="275"/>
      <c r="PG31" s="11"/>
      <c r="PH31" s="11"/>
      <c r="PI31" s="248"/>
      <c r="PJ31" s="253"/>
      <c r="PK31" s="11"/>
      <c r="PL31" s="11"/>
      <c r="PM31" s="11"/>
      <c r="PN31" s="11"/>
      <c r="PO31" s="11"/>
      <c r="PP31" s="11"/>
      <c r="PQ31" s="11"/>
      <c r="PR31" s="11"/>
      <c r="PS31" s="11"/>
      <c r="PT31" s="11"/>
      <c r="PU31" s="11"/>
      <c r="PV31" s="11"/>
      <c r="PW31" s="11"/>
      <c r="PX31" s="11"/>
      <c r="PY31" s="11"/>
      <c r="PZ31" s="259"/>
      <c r="QA31" s="275"/>
      <c r="QB31" s="11"/>
      <c r="QC31" s="11"/>
      <c r="QD31" s="248"/>
      <c r="QE31" s="253"/>
      <c r="QF31" s="11"/>
      <c r="QG31" s="11"/>
      <c r="QH31" s="11"/>
      <c r="QI31" s="11"/>
      <c r="QJ31" s="11"/>
      <c r="QK31" s="11"/>
      <c r="QL31" s="11"/>
      <c r="QM31" s="11"/>
      <c r="QN31" s="11"/>
      <c r="QO31" s="11"/>
      <c r="QP31" s="11"/>
      <c r="QQ31" s="11"/>
      <c r="QR31" s="11"/>
      <c r="QS31" s="11"/>
      <c r="QT31" s="11"/>
      <c r="QU31" s="259"/>
      <c r="QV31" s="275"/>
      <c r="QW31" s="11"/>
      <c r="QX31" s="11"/>
      <c r="QY31" s="248"/>
      <c r="QZ31" s="253"/>
      <c r="RA31" s="11"/>
      <c r="RB31" s="11"/>
      <c r="RC31" s="11"/>
      <c r="RD31" s="11"/>
      <c r="RE31" s="11"/>
      <c r="RF31" s="11"/>
      <c r="RG31" s="11"/>
      <c r="RH31" s="11"/>
      <c r="RI31" s="11"/>
      <c r="RJ31" s="11"/>
      <c r="RK31" s="11"/>
      <c r="RL31" s="11"/>
      <c r="RM31" s="11"/>
      <c r="RN31" s="11"/>
      <c r="RO31" s="11"/>
      <c r="RP31" s="259"/>
      <c r="RQ31" s="275"/>
      <c r="RR31" s="11"/>
      <c r="RS31" s="11"/>
      <c r="RT31" s="248"/>
      <c r="RU31" s="253"/>
      <c r="RV31" s="11"/>
      <c r="RW31" s="11"/>
      <c r="RX31" s="11"/>
      <c r="RY31" s="11"/>
      <c r="RZ31" s="11"/>
      <c r="SA31" s="11"/>
      <c r="SB31" s="11"/>
      <c r="SC31" s="11"/>
      <c r="SD31" s="11"/>
      <c r="SE31" s="11"/>
      <c r="SF31" s="11"/>
      <c r="SG31" s="11"/>
      <c r="SH31" s="11"/>
      <c r="SI31" s="11"/>
      <c r="SJ31" s="11"/>
      <c r="SK31" s="259"/>
      <c r="SL31" s="275"/>
      <c r="SM31" s="11"/>
      <c r="SN31" s="11"/>
      <c r="SO31" s="248"/>
      <c r="SP31" s="253"/>
      <c r="SQ31" s="11"/>
      <c r="SR31" s="11"/>
      <c r="SS31" s="11"/>
      <c r="ST31" s="11"/>
      <c r="SU31" s="11"/>
      <c r="SV31" s="11"/>
      <c r="SW31" s="11"/>
      <c r="SX31" s="11"/>
      <c r="SY31" s="11"/>
      <c r="SZ31" s="11"/>
      <c r="TA31" s="11"/>
      <c r="TB31" s="11"/>
      <c r="TC31" s="11"/>
      <c r="TD31" s="11"/>
      <c r="TE31" s="11"/>
      <c r="TF31" s="259"/>
      <c r="TG31" s="275"/>
      <c r="TH31" s="11"/>
      <c r="TI31" s="11"/>
      <c r="TJ31" s="248"/>
      <c r="TK31" s="253"/>
      <c r="TL31" s="11"/>
      <c r="TM31" s="11"/>
      <c r="TN31" s="11"/>
      <c r="TO31" s="11"/>
      <c r="TP31" s="11"/>
      <c r="TQ31" s="11"/>
      <c r="TR31" s="11"/>
      <c r="TS31" s="11"/>
      <c r="TT31" s="11"/>
      <c r="TU31" s="11"/>
      <c r="TV31" s="11"/>
      <c r="TW31" s="11"/>
      <c r="TX31" s="11"/>
      <c r="TY31" s="11"/>
      <c r="TZ31" s="11"/>
      <c r="UA31" s="259"/>
      <c r="UB31" s="275"/>
      <c r="UC31" s="11"/>
      <c r="UD31" s="11"/>
      <c r="UE31" s="248"/>
      <c r="UF31" s="253"/>
      <c r="UG31" s="11"/>
      <c r="UH31" s="11"/>
      <c r="UI31" s="11"/>
      <c r="UJ31" s="11"/>
      <c r="UK31" s="11"/>
      <c r="UL31" s="11"/>
      <c r="UM31" s="11"/>
      <c r="UN31" s="11"/>
      <c r="UO31" s="11"/>
      <c r="UP31" s="11"/>
      <c r="UQ31" s="11"/>
      <c r="UR31" s="11"/>
      <c r="US31" s="11"/>
      <c r="UT31" s="11"/>
      <c r="UU31" s="11"/>
      <c r="UV31" s="259"/>
      <c r="UW31" s="275"/>
      <c r="UX31" s="11"/>
      <c r="UY31" s="11"/>
      <c r="UZ31" s="248"/>
      <c r="VA31" s="253"/>
      <c r="VB31" s="11"/>
      <c r="VC31" s="11"/>
      <c r="VD31" s="11"/>
      <c r="VE31" s="11"/>
      <c r="VF31" s="11"/>
      <c r="VG31" s="11"/>
      <c r="VH31" s="11"/>
      <c r="VI31" s="11"/>
      <c r="VJ31" s="11"/>
      <c r="VK31" s="11"/>
      <c r="VL31" s="11"/>
      <c r="VM31" s="11"/>
      <c r="VN31" s="11"/>
      <c r="VO31" s="11"/>
      <c r="VP31" s="11"/>
      <c r="VQ31" s="259"/>
      <c r="VR31" s="275"/>
      <c r="VS31" s="11"/>
      <c r="VT31" s="11"/>
      <c r="VU31" s="248"/>
      <c r="VV31" s="253"/>
      <c r="VW31" s="11"/>
      <c r="VX31" s="11"/>
      <c r="VY31" s="11"/>
      <c r="VZ31" s="11"/>
      <c r="WA31" s="11"/>
      <c r="WB31" s="11"/>
      <c r="WC31" s="11"/>
      <c r="WD31" s="11"/>
      <c r="WE31" s="11"/>
      <c r="WF31" s="11"/>
      <c r="WG31" s="11"/>
      <c r="WH31" s="11"/>
      <c r="WI31" s="11"/>
      <c r="WJ31" s="11"/>
      <c r="WK31" s="11"/>
      <c r="WL31" s="259"/>
      <c r="WM31" s="275"/>
      <c r="WN31" s="11"/>
      <c r="WO31" s="11"/>
      <c r="WP31" s="248"/>
      <c r="WQ31" s="253"/>
      <c r="WR31" s="11"/>
      <c r="WS31" s="11"/>
      <c r="WT31" s="11"/>
      <c r="WU31" s="11"/>
      <c r="WV31" s="11"/>
      <c r="WW31" s="11"/>
      <c r="WX31" s="11"/>
      <c r="WY31" s="11"/>
      <c r="WZ31" s="11"/>
      <c r="XA31" s="11"/>
      <c r="XB31" s="11"/>
      <c r="XC31" s="11"/>
      <c r="XD31" s="11"/>
      <c r="XE31" s="11"/>
      <c r="XF31" s="11"/>
      <c r="XG31" s="259"/>
      <c r="XH31" s="275"/>
      <c r="XI31" s="11"/>
      <c r="XJ31" s="11"/>
      <c r="XK31" s="248"/>
      <c r="XL31" s="253"/>
      <c r="XM31" s="11"/>
      <c r="XN31" s="11"/>
      <c r="XO31" s="11"/>
      <c r="XP31" s="11"/>
      <c r="XQ31" s="11"/>
      <c r="XR31" s="11"/>
      <c r="XS31" s="11"/>
      <c r="XT31" s="11"/>
      <c r="XU31" s="11"/>
      <c r="XV31" s="11"/>
      <c r="XW31" s="11"/>
      <c r="XX31" s="11"/>
      <c r="XY31" s="11"/>
      <c r="XZ31" s="11"/>
      <c r="YA31" s="11"/>
      <c r="YB31" s="259"/>
    </row>
    <row r="32" spans="1:652" x14ac:dyDescent="0.3">
      <c r="A32" s="223" t="s">
        <v>192</v>
      </c>
      <c r="B32" s="271"/>
      <c r="C32" s="48"/>
      <c r="D32" s="48"/>
      <c r="E32" s="235"/>
      <c r="F32" s="239"/>
      <c r="G32" s="49"/>
      <c r="H32" s="49"/>
      <c r="I32" s="49"/>
      <c r="J32" s="49"/>
      <c r="K32" s="49"/>
      <c r="L32" s="49"/>
      <c r="M32" s="49"/>
      <c r="N32" s="49"/>
      <c r="O32" s="49"/>
      <c r="P32" s="49"/>
      <c r="Q32" s="49"/>
      <c r="R32" s="49"/>
      <c r="S32" s="49"/>
      <c r="T32" s="49"/>
      <c r="U32" s="49"/>
      <c r="V32" s="260"/>
      <c r="W32" s="276"/>
      <c r="X32" s="49"/>
      <c r="Y32" s="49"/>
      <c r="Z32" s="249"/>
      <c r="AA32" s="254"/>
      <c r="AB32" s="49"/>
      <c r="AC32" s="49"/>
      <c r="AD32" s="49"/>
      <c r="AE32" s="49"/>
      <c r="AF32" s="49"/>
      <c r="AG32" s="49"/>
      <c r="AH32" s="49"/>
      <c r="AI32" s="49"/>
      <c r="AJ32" s="49"/>
      <c r="AK32" s="49"/>
      <c r="AL32" s="49"/>
      <c r="AM32" s="49"/>
      <c r="AN32" s="49"/>
      <c r="AO32" s="49"/>
      <c r="AP32" s="49"/>
      <c r="AQ32" s="260"/>
      <c r="AR32" s="271"/>
      <c r="AS32" s="48"/>
      <c r="AT32" s="48"/>
      <c r="AU32" s="235"/>
      <c r="AV32" s="239"/>
      <c r="AW32" s="49"/>
      <c r="AX32" s="49"/>
      <c r="AY32" s="49"/>
      <c r="AZ32" s="49"/>
      <c r="BA32" s="49"/>
      <c r="BB32" s="49"/>
      <c r="BC32" s="49"/>
      <c r="BD32" s="49"/>
      <c r="BE32" s="49"/>
      <c r="BF32" s="49"/>
      <c r="BG32" s="49"/>
      <c r="BH32" s="49"/>
      <c r="BI32" s="49"/>
      <c r="BJ32" s="49"/>
      <c r="BK32" s="49"/>
      <c r="BL32" s="260"/>
      <c r="BM32" s="276"/>
      <c r="BN32" s="49"/>
      <c r="BO32" s="49"/>
      <c r="BP32" s="249"/>
      <c r="BQ32" s="254"/>
      <c r="BR32" s="49"/>
      <c r="BS32" s="49"/>
      <c r="BT32" s="49"/>
      <c r="BU32" s="49"/>
      <c r="BV32" s="49"/>
      <c r="BW32" s="49"/>
      <c r="BX32" s="49"/>
      <c r="BY32" s="49"/>
      <c r="BZ32" s="49"/>
      <c r="CA32" s="49"/>
      <c r="CB32" s="49"/>
      <c r="CC32" s="49"/>
      <c r="CD32" s="49"/>
      <c r="CE32" s="49"/>
      <c r="CF32" s="49"/>
      <c r="CG32" s="260"/>
      <c r="CH32" s="276"/>
      <c r="CI32" s="49"/>
      <c r="CJ32" s="49"/>
      <c r="CK32" s="249"/>
      <c r="CL32" s="53"/>
      <c r="CM32" s="53"/>
      <c r="CN32" s="53"/>
      <c r="CO32" s="53"/>
      <c r="CP32" s="53"/>
      <c r="CQ32" s="80"/>
      <c r="CR32" s="53"/>
      <c r="CS32" s="54"/>
      <c r="CT32" s="84"/>
      <c r="CU32" s="53"/>
      <c r="CV32" s="66"/>
      <c r="CW32" s="49"/>
      <c r="CX32" s="49"/>
      <c r="CY32" s="49"/>
      <c r="CZ32" s="49"/>
      <c r="DA32" s="49"/>
      <c r="DB32" s="260"/>
      <c r="DC32" s="276"/>
      <c r="DD32" s="49"/>
      <c r="DE32" s="49"/>
      <c r="DF32" s="249"/>
      <c r="DG32" s="254"/>
      <c r="DH32" s="49"/>
      <c r="DI32" s="49"/>
      <c r="DJ32" s="49"/>
      <c r="DK32" s="49"/>
      <c r="DL32" s="49"/>
      <c r="DM32" s="49"/>
      <c r="DN32" s="49"/>
      <c r="DO32" s="49"/>
      <c r="DP32" s="49"/>
      <c r="DQ32" s="49"/>
      <c r="DR32" s="49"/>
      <c r="DS32" s="49"/>
      <c r="DT32" s="49"/>
      <c r="DU32" s="49"/>
      <c r="DV32" s="49"/>
      <c r="DW32" s="260"/>
      <c r="DX32" s="276"/>
      <c r="DY32" s="49"/>
      <c r="DZ32" s="49"/>
      <c r="EA32" s="249"/>
      <c r="EB32" s="53"/>
      <c r="EC32" s="53"/>
      <c r="ED32" s="53"/>
      <c r="EE32" s="53"/>
      <c r="EF32" s="53"/>
      <c r="EG32" s="80"/>
      <c r="EH32" s="53"/>
      <c r="EI32" s="54"/>
      <c r="EJ32" s="84"/>
      <c r="EK32" s="53"/>
      <c r="EL32" s="66"/>
      <c r="EM32" s="49"/>
      <c r="EN32" s="49"/>
      <c r="EO32" s="49"/>
      <c r="EP32" s="49"/>
      <c r="EQ32" s="49"/>
      <c r="ER32" s="260"/>
      <c r="ES32" s="276"/>
      <c r="ET32" s="49"/>
      <c r="EU32" s="49"/>
      <c r="EV32" s="249"/>
      <c r="EW32" s="254"/>
      <c r="EX32" s="49"/>
      <c r="EY32" s="49"/>
      <c r="EZ32" s="49"/>
      <c r="FA32" s="49"/>
      <c r="FB32" s="49"/>
      <c r="FC32" s="49"/>
      <c r="FD32" s="49"/>
      <c r="FE32" s="49"/>
      <c r="FF32" s="49"/>
      <c r="FG32" s="49"/>
      <c r="FH32" s="49"/>
      <c r="FI32" s="49"/>
      <c r="FJ32" s="49"/>
      <c r="FK32" s="49"/>
      <c r="FL32" s="49"/>
      <c r="FM32" s="260"/>
      <c r="FN32" s="276"/>
      <c r="FO32" s="49"/>
      <c r="FP32" s="49"/>
      <c r="FQ32" s="249"/>
      <c r="FR32" s="53"/>
      <c r="FS32" s="53"/>
      <c r="FT32" s="53"/>
      <c r="FU32" s="53"/>
      <c r="FV32" s="53"/>
      <c r="FW32" s="80"/>
      <c r="FX32" s="53"/>
      <c r="FY32" s="54"/>
      <c r="FZ32" s="84"/>
      <c r="GA32" s="53"/>
      <c r="GB32" s="66"/>
      <c r="GC32" s="49"/>
      <c r="GD32" s="49"/>
      <c r="GE32" s="49"/>
      <c r="GF32" s="49"/>
      <c r="GG32" s="49"/>
      <c r="GH32" s="260"/>
      <c r="GI32" s="276"/>
      <c r="GJ32" s="49"/>
      <c r="GK32" s="49"/>
      <c r="GL32" s="249"/>
      <c r="GM32" s="254"/>
      <c r="GN32" s="49"/>
      <c r="GO32" s="49"/>
      <c r="GP32" s="49"/>
      <c r="GQ32" s="49"/>
      <c r="GR32" s="49"/>
      <c r="GS32" s="49"/>
      <c r="GT32" s="49"/>
      <c r="GU32" s="49"/>
      <c r="GV32" s="49"/>
      <c r="GW32" s="49"/>
      <c r="GX32" s="49"/>
      <c r="GY32" s="49"/>
      <c r="GZ32" s="49"/>
      <c r="HA32" s="49"/>
      <c r="HB32" s="49"/>
      <c r="HC32" s="260"/>
      <c r="HD32" s="276"/>
      <c r="HE32" s="49"/>
      <c r="HF32" s="49"/>
      <c r="HG32" s="249"/>
      <c r="HH32" s="254"/>
      <c r="HI32" s="49"/>
      <c r="HJ32" s="49"/>
      <c r="HK32" s="49"/>
      <c r="HL32" s="49"/>
      <c r="HM32" s="49"/>
      <c r="HN32" s="49"/>
      <c r="HO32" s="49"/>
      <c r="HP32" s="49"/>
      <c r="HQ32" s="49"/>
      <c r="HR32" s="49"/>
      <c r="HS32" s="49"/>
      <c r="HT32" s="49"/>
      <c r="HU32" s="49"/>
      <c r="HV32" s="49"/>
      <c r="HW32" s="49"/>
      <c r="HX32" s="260"/>
      <c r="HY32" s="276"/>
      <c r="HZ32" s="49"/>
      <c r="IA32" s="49"/>
      <c r="IB32" s="249"/>
      <c r="IC32" s="254"/>
      <c r="ID32" s="49"/>
      <c r="IE32" s="49"/>
      <c r="IF32" s="49"/>
      <c r="IG32" s="49"/>
      <c r="IH32" s="49"/>
      <c r="II32" s="49"/>
      <c r="IJ32" s="49"/>
      <c r="IK32" s="49"/>
      <c r="IL32" s="49"/>
      <c r="IM32" s="49"/>
      <c r="IN32" s="49"/>
      <c r="IO32" s="49"/>
      <c r="IP32" s="49"/>
      <c r="IQ32" s="49"/>
      <c r="IR32" s="49"/>
      <c r="IS32" s="260"/>
      <c r="IT32" s="276"/>
      <c r="IU32" s="49"/>
      <c r="IV32" s="49"/>
      <c r="IW32" s="249"/>
      <c r="IX32" s="254"/>
      <c r="IY32" s="49"/>
      <c r="IZ32" s="49"/>
      <c r="JA32" s="49"/>
      <c r="JB32" s="49"/>
      <c r="JC32" s="49"/>
      <c r="JD32" s="49"/>
      <c r="JE32" s="49"/>
      <c r="JF32" s="49"/>
      <c r="JG32" s="49"/>
      <c r="JH32" s="49"/>
      <c r="JI32" s="49"/>
      <c r="JJ32" s="49"/>
      <c r="JK32" s="49"/>
      <c r="JL32" s="49"/>
      <c r="JM32" s="49"/>
      <c r="JN32" s="260"/>
      <c r="JO32" s="276"/>
      <c r="JP32" s="49"/>
      <c r="JQ32" s="49"/>
      <c r="JR32" s="249"/>
      <c r="JS32" s="254"/>
      <c r="JT32" s="49"/>
      <c r="JU32" s="49"/>
      <c r="JV32" s="49"/>
      <c r="JW32" s="49"/>
      <c r="JX32" s="49"/>
      <c r="JY32" s="49"/>
      <c r="JZ32" s="49"/>
      <c r="KA32" s="49"/>
      <c r="KB32" s="49"/>
      <c r="KC32" s="49"/>
      <c r="KD32" s="49"/>
      <c r="KE32" s="49"/>
      <c r="KF32" s="49"/>
      <c r="KG32" s="49"/>
      <c r="KH32" s="49"/>
      <c r="KI32" s="260"/>
      <c r="KJ32" s="276"/>
      <c r="KK32" s="49"/>
      <c r="KL32" s="49"/>
      <c r="KM32" s="249"/>
      <c r="KN32" s="254"/>
      <c r="KO32" s="49"/>
      <c r="KP32" s="49"/>
      <c r="KQ32" s="49"/>
      <c r="KR32" s="49"/>
      <c r="KS32" s="49"/>
      <c r="KT32" s="49"/>
      <c r="KU32" s="49"/>
      <c r="KV32" s="49"/>
      <c r="KW32" s="49"/>
      <c r="KX32" s="49"/>
      <c r="KY32" s="49"/>
      <c r="KZ32" s="49"/>
      <c r="LA32" s="49"/>
      <c r="LB32" s="49"/>
      <c r="LC32" s="49"/>
      <c r="LD32" s="260"/>
      <c r="LE32" s="276"/>
      <c r="LF32" s="49"/>
      <c r="LG32" s="49"/>
      <c r="LH32" s="249"/>
      <c r="LI32" s="254"/>
      <c r="LJ32" s="49"/>
      <c r="LK32" s="49"/>
      <c r="LL32" s="49"/>
      <c r="LM32" s="49"/>
      <c r="LN32" s="49"/>
      <c r="LO32" s="49"/>
      <c r="LP32" s="49"/>
      <c r="LQ32" s="49"/>
      <c r="LR32" s="49"/>
      <c r="LS32" s="49"/>
      <c r="LT32" s="49"/>
      <c r="LU32" s="49"/>
      <c r="LV32" s="49"/>
      <c r="LW32" s="49"/>
      <c r="LX32" s="49"/>
      <c r="LY32" s="260"/>
      <c r="LZ32" s="276"/>
      <c r="MA32" s="49"/>
      <c r="MB32" s="49"/>
      <c r="MC32" s="249"/>
      <c r="MD32" s="254"/>
      <c r="ME32" s="49"/>
      <c r="MF32" s="49"/>
      <c r="MG32" s="49"/>
      <c r="MH32" s="49"/>
      <c r="MI32" s="49"/>
      <c r="MJ32" s="49"/>
      <c r="MK32" s="49"/>
      <c r="ML32" s="49"/>
      <c r="MM32" s="49"/>
      <c r="MN32" s="49"/>
      <c r="MO32" s="49"/>
      <c r="MP32" s="49"/>
      <c r="MQ32" s="49"/>
      <c r="MR32" s="49"/>
      <c r="MS32" s="49"/>
      <c r="MT32" s="260"/>
      <c r="MU32" s="276"/>
      <c r="MV32" s="49"/>
      <c r="MW32" s="49"/>
      <c r="MX32" s="249"/>
      <c r="MY32" s="254"/>
      <c r="MZ32" s="49"/>
      <c r="NA32" s="49"/>
      <c r="NB32" s="49"/>
      <c r="NC32" s="49"/>
      <c r="ND32" s="49"/>
      <c r="NE32" s="49"/>
      <c r="NF32" s="49"/>
      <c r="NG32" s="49"/>
      <c r="NH32" s="49"/>
      <c r="NI32" s="49"/>
      <c r="NJ32" s="49"/>
      <c r="NK32" s="49"/>
      <c r="NL32" s="49"/>
      <c r="NM32" s="49"/>
      <c r="NN32" s="49"/>
      <c r="NO32" s="260"/>
      <c r="NP32" s="276"/>
      <c r="NQ32" s="49"/>
      <c r="NR32" s="49"/>
      <c r="NS32" s="249"/>
      <c r="NT32" s="254"/>
      <c r="NU32" s="49"/>
      <c r="NV32" s="49"/>
      <c r="NW32" s="49"/>
      <c r="NX32" s="49"/>
      <c r="NY32" s="49"/>
      <c r="NZ32" s="49"/>
      <c r="OA32" s="49"/>
      <c r="OB32" s="49"/>
      <c r="OC32" s="49"/>
      <c r="OD32" s="49"/>
      <c r="OE32" s="49"/>
      <c r="OF32" s="49"/>
      <c r="OG32" s="49"/>
      <c r="OH32" s="49"/>
      <c r="OI32" s="49"/>
      <c r="OJ32" s="260"/>
      <c r="OK32" s="276"/>
      <c r="OL32" s="49"/>
      <c r="OM32" s="49"/>
      <c r="ON32" s="249"/>
      <c r="OO32" s="254"/>
      <c r="OP32" s="49"/>
      <c r="OQ32" s="49"/>
      <c r="OR32" s="49"/>
      <c r="OS32" s="49"/>
      <c r="OT32" s="49"/>
      <c r="OU32" s="49"/>
      <c r="OV32" s="49"/>
      <c r="OW32" s="49"/>
      <c r="OX32" s="49"/>
      <c r="OY32" s="49"/>
      <c r="OZ32" s="49"/>
      <c r="PA32" s="49"/>
      <c r="PB32" s="49"/>
      <c r="PC32" s="49"/>
      <c r="PD32" s="49"/>
      <c r="PE32" s="260"/>
      <c r="PF32" s="276"/>
      <c r="PG32" s="49"/>
      <c r="PH32" s="49"/>
      <c r="PI32" s="249"/>
      <c r="PJ32" s="254"/>
      <c r="PK32" s="49"/>
      <c r="PL32" s="49"/>
      <c r="PM32" s="49"/>
      <c r="PN32" s="49"/>
      <c r="PO32" s="49"/>
      <c r="PP32" s="49"/>
      <c r="PQ32" s="49"/>
      <c r="PR32" s="49"/>
      <c r="PS32" s="49"/>
      <c r="PT32" s="49"/>
      <c r="PU32" s="49"/>
      <c r="PV32" s="49"/>
      <c r="PW32" s="49"/>
      <c r="PX32" s="49"/>
      <c r="PY32" s="49"/>
      <c r="PZ32" s="260"/>
      <c r="QA32" s="276"/>
      <c r="QB32" s="49"/>
      <c r="QC32" s="49"/>
      <c r="QD32" s="249"/>
      <c r="QE32" s="254"/>
      <c r="QF32" s="49"/>
      <c r="QG32" s="49"/>
      <c r="QH32" s="49"/>
      <c r="QI32" s="49"/>
      <c r="QJ32" s="49"/>
      <c r="QK32" s="49"/>
      <c r="QL32" s="49"/>
      <c r="QM32" s="49"/>
      <c r="QN32" s="49"/>
      <c r="QO32" s="49"/>
      <c r="QP32" s="49"/>
      <c r="QQ32" s="49"/>
      <c r="QR32" s="49"/>
      <c r="QS32" s="49"/>
      <c r="QT32" s="49"/>
      <c r="QU32" s="260"/>
      <c r="QV32" s="276"/>
      <c r="QW32" s="49"/>
      <c r="QX32" s="49"/>
      <c r="QY32" s="249"/>
      <c r="QZ32" s="254"/>
      <c r="RA32" s="49"/>
      <c r="RB32" s="49"/>
      <c r="RC32" s="49"/>
      <c r="RD32" s="49"/>
      <c r="RE32" s="49"/>
      <c r="RF32" s="49"/>
      <c r="RG32" s="49"/>
      <c r="RH32" s="49"/>
      <c r="RI32" s="49"/>
      <c r="RJ32" s="49"/>
      <c r="RK32" s="49"/>
      <c r="RL32" s="49"/>
      <c r="RM32" s="49"/>
      <c r="RN32" s="49"/>
      <c r="RO32" s="49"/>
      <c r="RP32" s="260"/>
      <c r="RQ32" s="276"/>
      <c r="RR32" s="49"/>
      <c r="RS32" s="49"/>
      <c r="RT32" s="249"/>
      <c r="RU32" s="254"/>
      <c r="RV32" s="49"/>
      <c r="RW32" s="49"/>
      <c r="RX32" s="49"/>
      <c r="RY32" s="49"/>
      <c r="RZ32" s="49"/>
      <c r="SA32" s="49"/>
      <c r="SB32" s="49"/>
      <c r="SC32" s="49"/>
      <c r="SD32" s="49"/>
      <c r="SE32" s="49"/>
      <c r="SF32" s="49"/>
      <c r="SG32" s="49"/>
      <c r="SH32" s="49"/>
      <c r="SI32" s="49"/>
      <c r="SJ32" s="49"/>
      <c r="SK32" s="260"/>
      <c r="SL32" s="276"/>
      <c r="SM32" s="49"/>
      <c r="SN32" s="49"/>
      <c r="SO32" s="249"/>
      <c r="SP32" s="254"/>
      <c r="SQ32" s="49"/>
      <c r="SR32" s="49"/>
      <c r="SS32" s="49"/>
      <c r="ST32" s="49"/>
      <c r="SU32" s="49"/>
      <c r="SV32" s="49"/>
      <c r="SW32" s="49"/>
      <c r="SX32" s="49"/>
      <c r="SY32" s="49"/>
      <c r="SZ32" s="49"/>
      <c r="TA32" s="49"/>
      <c r="TB32" s="49"/>
      <c r="TC32" s="49"/>
      <c r="TD32" s="49"/>
      <c r="TE32" s="49"/>
      <c r="TF32" s="260"/>
      <c r="TG32" s="276"/>
      <c r="TH32" s="49"/>
      <c r="TI32" s="49"/>
      <c r="TJ32" s="249"/>
      <c r="TK32" s="254"/>
      <c r="TL32" s="49"/>
      <c r="TM32" s="49"/>
      <c r="TN32" s="49"/>
      <c r="TO32" s="49"/>
      <c r="TP32" s="49"/>
      <c r="TQ32" s="49"/>
      <c r="TR32" s="49"/>
      <c r="TS32" s="49"/>
      <c r="TT32" s="49"/>
      <c r="TU32" s="49"/>
      <c r="TV32" s="49"/>
      <c r="TW32" s="49"/>
      <c r="TX32" s="49"/>
      <c r="TY32" s="49"/>
      <c r="TZ32" s="49"/>
      <c r="UA32" s="260"/>
      <c r="UB32" s="276"/>
      <c r="UC32" s="49"/>
      <c r="UD32" s="49"/>
      <c r="UE32" s="249"/>
      <c r="UF32" s="254"/>
      <c r="UG32" s="49"/>
      <c r="UH32" s="49"/>
      <c r="UI32" s="49"/>
      <c r="UJ32" s="49"/>
      <c r="UK32" s="49"/>
      <c r="UL32" s="49"/>
      <c r="UM32" s="49"/>
      <c r="UN32" s="49"/>
      <c r="UO32" s="49"/>
      <c r="UP32" s="49"/>
      <c r="UQ32" s="49"/>
      <c r="UR32" s="49"/>
      <c r="US32" s="49"/>
      <c r="UT32" s="49"/>
      <c r="UU32" s="49"/>
      <c r="UV32" s="260"/>
      <c r="UW32" s="276"/>
      <c r="UX32" s="49"/>
      <c r="UY32" s="49"/>
      <c r="UZ32" s="249"/>
      <c r="VA32" s="254"/>
      <c r="VB32" s="49"/>
      <c r="VC32" s="49"/>
      <c r="VD32" s="49"/>
      <c r="VE32" s="49"/>
      <c r="VF32" s="49"/>
      <c r="VG32" s="49"/>
      <c r="VH32" s="49"/>
      <c r="VI32" s="49"/>
      <c r="VJ32" s="49"/>
      <c r="VK32" s="49"/>
      <c r="VL32" s="49"/>
      <c r="VM32" s="49"/>
      <c r="VN32" s="49"/>
      <c r="VO32" s="49"/>
      <c r="VP32" s="49"/>
      <c r="VQ32" s="260"/>
      <c r="VR32" s="276"/>
      <c r="VS32" s="49"/>
      <c r="VT32" s="49"/>
      <c r="VU32" s="249"/>
      <c r="VV32" s="254"/>
      <c r="VW32" s="49"/>
      <c r="VX32" s="49"/>
      <c r="VY32" s="49"/>
      <c r="VZ32" s="49"/>
      <c r="WA32" s="49"/>
      <c r="WB32" s="49"/>
      <c r="WC32" s="49"/>
      <c r="WD32" s="49"/>
      <c r="WE32" s="49"/>
      <c r="WF32" s="49"/>
      <c r="WG32" s="49"/>
      <c r="WH32" s="49"/>
      <c r="WI32" s="49"/>
      <c r="WJ32" s="49"/>
      <c r="WK32" s="49"/>
      <c r="WL32" s="260"/>
      <c r="WM32" s="276"/>
      <c r="WN32" s="49"/>
      <c r="WO32" s="49"/>
      <c r="WP32" s="249"/>
      <c r="WQ32" s="254"/>
      <c r="WR32" s="49"/>
      <c r="WS32" s="49"/>
      <c r="WT32" s="49"/>
      <c r="WU32" s="49"/>
      <c r="WV32" s="49"/>
      <c r="WW32" s="49"/>
      <c r="WX32" s="49"/>
      <c r="WY32" s="49"/>
      <c r="WZ32" s="49"/>
      <c r="XA32" s="49"/>
      <c r="XB32" s="49"/>
      <c r="XC32" s="49"/>
      <c r="XD32" s="49"/>
      <c r="XE32" s="49"/>
      <c r="XF32" s="49"/>
      <c r="XG32" s="260"/>
      <c r="XH32" s="276"/>
      <c r="XI32" s="49"/>
      <c r="XJ32" s="49"/>
      <c r="XK32" s="249"/>
      <c r="XL32" s="254"/>
      <c r="XM32" s="49"/>
      <c r="XN32" s="49"/>
      <c r="XO32" s="49"/>
      <c r="XP32" s="49"/>
      <c r="XQ32" s="49"/>
      <c r="XR32" s="49"/>
      <c r="XS32" s="49"/>
      <c r="XT32" s="49"/>
      <c r="XU32" s="49"/>
      <c r="XV32" s="49"/>
      <c r="XW32" s="49"/>
      <c r="XX32" s="49"/>
      <c r="XY32" s="49"/>
      <c r="XZ32" s="49"/>
      <c r="YA32" s="49"/>
      <c r="YB32" s="260"/>
    </row>
    <row r="33" spans="1:652" x14ac:dyDescent="0.3">
      <c r="A33" s="224" t="s">
        <v>188</v>
      </c>
      <c r="B33" s="270"/>
      <c r="C33" s="10"/>
      <c r="D33" s="10"/>
      <c r="E33" s="234"/>
      <c r="F33" s="238">
        <v>1</v>
      </c>
      <c r="G33" s="11"/>
      <c r="H33" s="125" t="s">
        <v>569</v>
      </c>
      <c r="I33" s="11" t="s">
        <v>570</v>
      </c>
      <c r="J33" s="11" t="s">
        <v>759</v>
      </c>
      <c r="K33" s="12" t="s">
        <v>572</v>
      </c>
      <c r="L33" s="11">
        <v>26.42</v>
      </c>
      <c r="M33" s="11" t="s">
        <v>573</v>
      </c>
      <c r="N33" s="11" t="s">
        <v>568</v>
      </c>
      <c r="O33" s="11">
        <v>43627</v>
      </c>
      <c r="P33" s="11" t="s">
        <v>760</v>
      </c>
      <c r="Q33" s="11"/>
      <c r="R33" s="11"/>
      <c r="S33" s="11"/>
      <c r="T33" s="11"/>
      <c r="U33" s="11"/>
      <c r="V33" s="259"/>
      <c r="W33" s="275"/>
      <c r="X33" s="11"/>
      <c r="Y33" s="11"/>
      <c r="Z33" s="248"/>
      <c r="AA33" s="253">
        <v>1</v>
      </c>
      <c r="AB33" s="11"/>
      <c r="AC33" s="125" t="s">
        <v>569</v>
      </c>
      <c r="AD33" s="11" t="s">
        <v>570</v>
      </c>
      <c r="AE33" s="11" t="s">
        <v>761</v>
      </c>
      <c r="AF33" s="11" t="s">
        <v>572</v>
      </c>
      <c r="AG33" s="11">
        <v>25.54</v>
      </c>
      <c r="AH33" s="11" t="s">
        <v>573</v>
      </c>
      <c r="AI33" s="11" t="s">
        <v>568</v>
      </c>
      <c r="AJ33" s="11">
        <v>43676</v>
      </c>
      <c r="AK33" s="11" t="s">
        <v>760</v>
      </c>
      <c r="AL33" s="11"/>
      <c r="AM33" s="11"/>
      <c r="AN33" s="11"/>
      <c r="AO33" s="11"/>
      <c r="AP33" s="11"/>
      <c r="AQ33" s="259"/>
      <c r="AR33" s="270"/>
      <c r="AS33" s="10"/>
      <c r="AT33" s="10"/>
      <c r="AU33" s="234"/>
      <c r="AV33" s="238">
        <v>1</v>
      </c>
      <c r="AW33" s="11"/>
      <c r="AX33" s="11" t="s">
        <v>569</v>
      </c>
      <c r="AY33" s="11" t="s">
        <v>570</v>
      </c>
      <c r="AZ33" s="11" t="s">
        <v>762</v>
      </c>
      <c r="BA33" s="11" t="s">
        <v>572</v>
      </c>
      <c r="BB33" s="11">
        <v>23.93</v>
      </c>
      <c r="BC33" s="11" t="s">
        <v>573</v>
      </c>
      <c r="BD33" s="11" t="s">
        <v>568</v>
      </c>
      <c r="BE33" s="11">
        <v>43074</v>
      </c>
      <c r="BF33" s="11" t="s">
        <v>763</v>
      </c>
      <c r="BG33" s="11"/>
      <c r="BH33" s="11"/>
      <c r="BI33" s="11"/>
      <c r="BJ33" s="11"/>
      <c r="BK33" s="11"/>
      <c r="BL33" s="259"/>
      <c r="BM33" s="275"/>
      <c r="BN33" s="11"/>
      <c r="BO33" s="11"/>
      <c r="BP33" s="248"/>
      <c r="BQ33" s="253">
        <v>1</v>
      </c>
      <c r="BR33" s="11"/>
      <c r="BS33" s="11" t="s">
        <v>569</v>
      </c>
      <c r="BT33" s="11" t="s">
        <v>570</v>
      </c>
      <c r="BU33" s="11" t="s">
        <v>764</v>
      </c>
      <c r="BV33" s="11" t="s">
        <v>572</v>
      </c>
      <c r="BW33" s="11">
        <v>24.48</v>
      </c>
      <c r="BX33" s="11" t="s">
        <v>573</v>
      </c>
      <c r="BY33" s="11" t="s">
        <v>568</v>
      </c>
      <c r="BZ33" s="11">
        <v>43074</v>
      </c>
      <c r="CA33" s="11" t="s">
        <v>763</v>
      </c>
      <c r="CB33" s="11"/>
      <c r="CC33" s="11"/>
      <c r="CD33" s="11"/>
      <c r="CE33" s="11"/>
      <c r="CF33" s="11"/>
      <c r="CG33" s="259"/>
      <c r="CH33" s="275"/>
      <c r="CI33" s="11"/>
      <c r="CJ33" s="11"/>
      <c r="CK33" s="248"/>
      <c r="CL33" s="45">
        <v>1</v>
      </c>
      <c r="CM33" s="45"/>
      <c r="CN33" s="45" t="s">
        <v>569</v>
      </c>
      <c r="CO33" s="45" t="s">
        <v>570</v>
      </c>
      <c r="CP33" s="45" t="s">
        <v>765</v>
      </c>
      <c r="CQ33" s="79" t="s">
        <v>572</v>
      </c>
      <c r="CR33" s="45">
        <v>26.4</v>
      </c>
      <c r="CS33" s="36" t="s">
        <v>573</v>
      </c>
      <c r="CT33" s="86" t="s">
        <v>568</v>
      </c>
      <c r="CU33" s="45">
        <v>43027</v>
      </c>
      <c r="CV33" s="10" t="s">
        <v>766</v>
      </c>
      <c r="CW33" s="11"/>
      <c r="CX33" s="11"/>
      <c r="CY33" s="11"/>
      <c r="CZ33" s="11"/>
      <c r="DA33" s="11"/>
      <c r="DB33" s="259"/>
      <c r="DC33" s="275"/>
      <c r="DD33" s="11"/>
      <c r="DE33" s="11"/>
      <c r="DF33" s="248"/>
      <c r="DG33" s="253">
        <v>1</v>
      </c>
      <c r="DH33" s="11"/>
      <c r="DI33" s="11" t="s">
        <v>569</v>
      </c>
      <c r="DJ33" s="11" t="s">
        <v>570</v>
      </c>
      <c r="DK33" s="11" t="s">
        <v>767</v>
      </c>
      <c r="DL33" s="11" t="s">
        <v>572</v>
      </c>
      <c r="DM33" s="11">
        <v>34.04</v>
      </c>
      <c r="DN33" s="11" t="s">
        <v>573</v>
      </c>
      <c r="DO33" s="11" t="s">
        <v>568</v>
      </c>
      <c r="DP33" s="11">
        <v>42319</v>
      </c>
      <c r="DQ33" s="11" t="s">
        <v>766</v>
      </c>
      <c r="DR33" s="11"/>
      <c r="DS33" s="11"/>
      <c r="DT33" s="11"/>
      <c r="DU33" s="11"/>
      <c r="DV33" s="11"/>
      <c r="DW33" s="259"/>
      <c r="DX33" s="275"/>
      <c r="DY33" s="11"/>
      <c r="DZ33" s="11"/>
      <c r="EA33" s="248"/>
      <c r="EB33" s="45">
        <v>1</v>
      </c>
      <c r="EC33" s="45"/>
      <c r="ED33" s="45" t="s">
        <v>569</v>
      </c>
      <c r="EE33" s="45" t="s">
        <v>570</v>
      </c>
      <c r="EF33" s="45" t="s">
        <v>768</v>
      </c>
      <c r="EG33" s="79" t="s">
        <v>572</v>
      </c>
      <c r="EH33" s="45">
        <v>25.4</v>
      </c>
      <c r="EI33" s="36" t="s">
        <v>573</v>
      </c>
      <c r="EJ33" s="86" t="s">
        <v>568</v>
      </c>
      <c r="EK33" s="45">
        <v>43074</v>
      </c>
      <c r="EL33" s="10" t="s">
        <v>769</v>
      </c>
      <c r="EM33" s="11"/>
      <c r="EN33" s="11"/>
      <c r="EO33" s="11"/>
      <c r="EP33" s="11"/>
      <c r="EQ33" s="11"/>
      <c r="ER33" s="259"/>
      <c r="ES33" s="275"/>
      <c r="ET33" s="11"/>
      <c r="EU33" s="11"/>
      <c r="EV33" s="248"/>
      <c r="EW33" s="253">
        <v>1</v>
      </c>
      <c r="EX33" s="11"/>
      <c r="EY33" s="11" t="s">
        <v>569</v>
      </c>
      <c r="EZ33" s="11" t="s">
        <v>570</v>
      </c>
      <c r="FA33" s="11" t="s">
        <v>770</v>
      </c>
      <c r="FB33" s="11" t="s">
        <v>572</v>
      </c>
      <c r="FC33" s="11">
        <v>24.78</v>
      </c>
      <c r="FD33" s="11" t="s">
        <v>573</v>
      </c>
      <c r="FE33" s="11" t="s">
        <v>568</v>
      </c>
      <c r="FF33" s="11">
        <v>43074</v>
      </c>
      <c r="FG33" s="11" t="s">
        <v>769</v>
      </c>
      <c r="FH33" s="11"/>
      <c r="FI33" s="11"/>
      <c r="FJ33" s="11"/>
      <c r="FK33" s="11"/>
      <c r="FL33" s="11"/>
      <c r="FM33" s="259"/>
      <c r="FN33" s="275"/>
      <c r="FO33" s="11"/>
      <c r="FP33" s="11"/>
      <c r="FQ33" s="248"/>
      <c r="FR33" s="45">
        <v>1</v>
      </c>
      <c r="FS33" s="45"/>
      <c r="FT33" s="45" t="s">
        <v>569</v>
      </c>
      <c r="FU33" s="45" t="s">
        <v>570</v>
      </c>
      <c r="FV33" s="45" t="s">
        <v>771</v>
      </c>
      <c r="FW33" s="79" t="s">
        <v>572</v>
      </c>
      <c r="FX33" s="45">
        <v>41.77</v>
      </c>
      <c r="FY33" s="36" t="s">
        <v>573</v>
      </c>
      <c r="FZ33" s="86" t="s">
        <v>568</v>
      </c>
      <c r="GA33" s="45">
        <v>43074</v>
      </c>
      <c r="GB33" s="10" t="s">
        <v>772</v>
      </c>
      <c r="GC33" s="11"/>
      <c r="GD33" s="11"/>
      <c r="GE33" s="11"/>
      <c r="GF33" s="11"/>
      <c r="GG33" s="11"/>
      <c r="GH33" s="259"/>
      <c r="GI33" s="275"/>
      <c r="GJ33" s="11"/>
      <c r="GK33" s="11"/>
      <c r="GL33" s="248"/>
      <c r="GM33" s="253"/>
      <c r="GN33" s="11"/>
      <c r="GO33" s="11"/>
      <c r="GP33" s="11"/>
      <c r="GQ33" s="11"/>
      <c r="GR33" s="11"/>
      <c r="GS33" s="11"/>
      <c r="GT33" s="11"/>
      <c r="GU33" s="11"/>
      <c r="GV33" s="11"/>
      <c r="GW33" s="11"/>
      <c r="GX33" s="11"/>
      <c r="GY33" s="11"/>
      <c r="GZ33" s="11"/>
      <c r="HA33" s="11"/>
      <c r="HB33" s="11"/>
      <c r="HC33" s="259"/>
      <c r="HD33" s="275"/>
      <c r="HE33" s="11"/>
      <c r="HF33" s="11"/>
      <c r="HG33" s="248"/>
      <c r="HH33" s="253"/>
      <c r="HI33" s="11"/>
      <c r="HJ33" s="11"/>
      <c r="HK33" s="11"/>
      <c r="HL33" s="11"/>
      <c r="HM33" s="11"/>
      <c r="HN33" s="11"/>
      <c r="HO33" s="11"/>
      <c r="HP33" s="11"/>
      <c r="HQ33" s="11"/>
      <c r="HR33" s="11"/>
      <c r="HS33" s="11"/>
      <c r="HT33" s="11"/>
      <c r="HU33" s="11"/>
      <c r="HV33" s="11"/>
      <c r="HW33" s="11"/>
      <c r="HX33" s="259"/>
      <c r="HY33" s="275"/>
      <c r="HZ33" s="11"/>
      <c r="IA33" s="11"/>
      <c r="IB33" s="248"/>
      <c r="IC33" s="253"/>
      <c r="ID33" s="11"/>
      <c r="IE33" s="11"/>
      <c r="IF33" s="11"/>
      <c r="IG33" s="11"/>
      <c r="IH33" s="11"/>
      <c r="II33" s="11"/>
      <c r="IJ33" s="11"/>
      <c r="IK33" s="11"/>
      <c r="IL33" s="11"/>
      <c r="IM33" s="11"/>
      <c r="IN33" s="11"/>
      <c r="IO33" s="11"/>
      <c r="IP33" s="11"/>
      <c r="IQ33" s="11"/>
      <c r="IR33" s="11"/>
      <c r="IS33" s="259"/>
      <c r="IT33" s="275"/>
      <c r="IU33" s="11"/>
      <c r="IV33" s="11"/>
      <c r="IW33" s="248"/>
      <c r="IX33" s="253"/>
      <c r="IY33" s="11"/>
      <c r="IZ33" s="11"/>
      <c r="JA33" s="11"/>
      <c r="JB33" s="11"/>
      <c r="JC33" s="11"/>
      <c r="JD33" s="11"/>
      <c r="JE33" s="11"/>
      <c r="JF33" s="11"/>
      <c r="JG33" s="11"/>
      <c r="JH33" s="11"/>
      <c r="JI33" s="11"/>
      <c r="JJ33" s="11"/>
      <c r="JK33" s="11"/>
      <c r="JL33" s="11"/>
      <c r="JM33" s="11"/>
      <c r="JN33" s="259"/>
      <c r="JO33" s="275"/>
      <c r="JP33" s="11"/>
      <c r="JQ33" s="11"/>
      <c r="JR33" s="248"/>
      <c r="JS33" s="253"/>
      <c r="JT33" s="11"/>
      <c r="JU33" s="11"/>
      <c r="JV33" s="11"/>
      <c r="JW33" s="11"/>
      <c r="JX33" s="11"/>
      <c r="JY33" s="11"/>
      <c r="JZ33" s="11"/>
      <c r="KA33" s="11"/>
      <c r="KB33" s="11"/>
      <c r="KC33" s="11"/>
      <c r="KD33" s="11"/>
      <c r="KE33" s="11"/>
      <c r="KF33" s="11"/>
      <c r="KG33" s="11"/>
      <c r="KH33" s="11"/>
      <c r="KI33" s="259"/>
      <c r="KJ33" s="275"/>
      <c r="KK33" s="11"/>
      <c r="KL33" s="11"/>
      <c r="KM33" s="248"/>
      <c r="KN33" s="253"/>
      <c r="KO33" s="11"/>
      <c r="KP33" s="11"/>
      <c r="KQ33" s="11"/>
      <c r="KR33" s="11"/>
      <c r="KS33" s="11"/>
      <c r="KT33" s="11"/>
      <c r="KU33" s="11"/>
      <c r="KV33" s="11"/>
      <c r="KW33" s="11"/>
      <c r="KX33" s="11"/>
      <c r="KY33" s="11"/>
      <c r="KZ33" s="11"/>
      <c r="LA33" s="11"/>
      <c r="LB33" s="11"/>
      <c r="LC33" s="11"/>
      <c r="LD33" s="259"/>
      <c r="LE33" s="275"/>
      <c r="LF33" s="11"/>
      <c r="LG33" s="11"/>
      <c r="LH33" s="248"/>
      <c r="LI33" s="253"/>
      <c r="LJ33" s="11"/>
      <c r="LK33" s="11"/>
      <c r="LL33" s="11"/>
      <c r="LM33" s="11"/>
      <c r="LN33" s="11"/>
      <c r="LO33" s="11"/>
      <c r="LP33" s="11"/>
      <c r="LQ33" s="11"/>
      <c r="LR33" s="11"/>
      <c r="LS33" s="11"/>
      <c r="LT33" s="11"/>
      <c r="LU33" s="11"/>
      <c r="LV33" s="11"/>
      <c r="LW33" s="11"/>
      <c r="LX33" s="11"/>
      <c r="LY33" s="259"/>
      <c r="LZ33" s="275"/>
      <c r="MA33" s="11"/>
      <c r="MB33" s="11"/>
      <c r="MC33" s="248"/>
      <c r="MD33" s="253"/>
      <c r="ME33" s="11"/>
      <c r="MF33" s="11"/>
      <c r="MG33" s="11"/>
      <c r="MH33" s="11"/>
      <c r="MI33" s="11"/>
      <c r="MJ33" s="11"/>
      <c r="MK33" s="11"/>
      <c r="ML33" s="11"/>
      <c r="MM33" s="11"/>
      <c r="MN33" s="11"/>
      <c r="MO33" s="11"/>
      <c r="MP33" s="11"/>
      <c r="MQ33" s="11"/>
      <c r="MR33" s="11"/>
      <c r="MS33" s="11"/>
      <c r="MT33" s="259"/>
      <c r="MU33" s="275"/>
      <c r="MV33" s="11"/>
      <c r="MW33" s="11"/>
      <c r="MX33" s="248"/>
      <c r="MY33" s="253"/>
      <c r="MZ33" s="11"/>
      <c r="NA33" s="11"/>
      <c r="NB33" s="11"/>
      <c r="NC33" s="11"/>
      <c r="ND33" s="11"/>
      <c r="NE33" s="11"/>
      <c r="NF33" s="11"/>
      <c r="NG33" s="11"/>
      <c r="NH33" s="11"/>
      <c r="NI33" s="11"/>
      <c r="NJ33" s="11"/>
      <c r="NK33" s="11"/>
      <c r="NL33" s="11"/>
      <c r="NM33" s="11"/>
      <c r="NN33" s="11"/>
      <c r="NO33" s="259"/>
      <c r="NP33" s="275"/>
      <c r="NQ33" s="11"/>
      <c r="NR33" s="11"/>
      <c r="NS33" s="248"/>
      <c r="NT33" s="253"/>
      <c r="NU33" s="11"/>
      <c r="NV33" s="11"/>
      <c r="NW33" s="11"/>
      <c r="NX33" s="11"/>
      <c r="NY33" s="11"/>
      <c r="NZ33" s="11"/>
      <c r="OA33" s="11"/>
      <c r="OB33" s="11"/>
      <c r="OC33" s="11"/>
      <c r="OD33" s="11"/>
      <c r="OE33" s="11"/>
      <c r="OF33" s="11"/>
      <c r="OG33" s="11"/>
      <c r="OH33" s="11"/>
      <c r="OI33" s="11"/>
      <c r="OJ33" s="259"/>
      <c r="OK33" s="275"/>
      <c r="OL33" s="11"/>
      <c r="OM33" s="11"/>
      <c r="ON33" s="248"/>
      <c r="OO33" s="253"/>
      <c r="OP33" s="11"/>
      <c r="OQ33" s="11"/>
      <c r="OR33" s="11"/>
      <c r="OS33" s="11"/>
      <c r="OT33" s="11"/>
      <c r="OU33" s="11"/>
      <c r="OV33" s="11"/>
      <c r="OW33" s="11"/>
      <c r="OX33" s="11"/>
      <c r="OY33" s="11"/>
      <c r="OZ33" s="11"/>
      <c r="PA33" s="11"/>
      <c r="PB33" s="11"/>
      <c r="PC33" s="11"/>
      <c r="PD33" s="11"/>
      <c r="PE33" s="259"/>
      <c r="PF33" s="275"/>
      <c r="PG33" s="11"/>
      <c r="PH33" s="11"/>
      <c r="PI33" s="248"/>
      <c r="PJ33" s="253"/>
      <c r="PK33" s="11"/>
      <c r="PL33" s="11"/>
      <c r="PM33" s="11"/>
      <c r="PN33" s="11"/>
      <c r="PO33" s="11"/>
      <c r="PP33" s="11"/>
      <c r="PQ33" s="11"/>
      <c r="PR33" s="11"/>
      <c r="PS33" s="11"/>
      <c r="PT33" s="11"/>
      <c r="PU33" s="11"/>
      <c r="PV33" s="11"/>
      <c r="PW33" s="11"/>
      <c r="PX33" s="11"/>
      <c r="PY33" s="11"/>
      <c r="PZ33" s="259"/>
      <c r="QA33" s="275"/>
      <c r="QB33" s="11"/>
      <c r="QC33" s="11"/>
      <c r="QD33" s="248"/>
      <c r="QE33" s="253"/>
      <c r="QF33" s="11"/>
      <c r="QG33" s="11"/>
      <c r="QH33" s="11"/>
      <c r="QI33" s="11"/>
      <c r="QJ33" s="11"/>
      <c r="QK33" s="11"/>
      <c r="QL33" s="11"/>
      <c r="QM33" s="11"/>
      <c r="QN33" s="11"/>
      <c r="QO33" s="11"/>
      <c r="QP33" s="11"/>
      <c r="QQ33" s="11"/>
      <c r="QR33" s="11"/>
      <c r="QS33" s="11"/>
      <c r="QT33" s="11"/>
      <c r="QU33" s="259"/>
      <c r="QV33" s="275"/>
      <c r="QW33" s="11"/>
      <c r="QX33" s="11"/>
      <c r="QY33" s="248"/>
      <c r="QZ33" s="253"/>
      <c r="RA33" s="11"/>
      <c r="RB33" s="11"/>
      <c r="RC33" s="11"/>
      <c r="RD33" s="11"/>
      <c r="RE33" s="11"/>
      <c r="RF33" s="11"/>
      <c r="RG33" s="11"/>
      <c r="RH33" s="11"/>
      <c r="RI33" s="11"/>
      <c r="RJ33" s="11"/>
      <c r="RK33" s="11"/>
      <c r="RL33" s="11"/>
      <c r="RM33" s="11"/>
      <c r="RN33" s="11"/>
      <c r="RO33" s="11"/>
      <c r="RP33" s="259"/>
      <c r="RQ33" s="275"/>
      <c r="RR33" s="11"/>
      <c r="RS33" s="11"/>
      <c r="RT33" s="248"/>
      <c r="RU33" s="253"/>
      <c r="RV33" s="11"/>
      <c r="RW33" s="11"/>
      <c r="RX33" s="11"/>
      <c r="RY33" s="11"/>
      <c r="RZ33" s="11"/>
      <c r="SA33" s="11"/>
      <c r="SB33" s="11"/>
      <c r="SC33" s="11"/>
      <c r="SD33" s="11"/>
      <c r="SE33" s="11"/>
      <c r="SF33" s="11"/>
      <c r="SG33" s="11"/>
      <c r="SH33" s="11"/>
      <c r="SI33" s="11"/>
      <c r="SJ33" s="11"/>
      <c r="SK33" s="259"/>
      <c r="SL33" s="275"/>
      <c r="SM33" s="11"/>
      <c r="SN33" s="11"/>
      <c r="SO33" s="248"/>
      <c r="SP33" s="253"/>
      <c r="SQ33" s="11"/>
      <c r="SR33" s="11"/>
      <c r="SS33" s="11"/>
      <c r="ST33" s="11"/>
      <c r="SU33" s="11"/>
      <c r="SV33" s="11"/>
      <c r="SW33" s="11"/>
      <c r="SX33" s="11"/>
      <c r="SY33" s="11"/>
      <c r="SZ33" s="11"/>
      <c r="TA33" s="11"/>
      <c r="TB33" s="11"/>
      <c r="TC33" s="11"/>
      <c r="TD33" s="11"/>
      <c r="TE33" s="11"/>
      <c r="TF33" s="259"/>
      <c r="TG33" s="275"/>
      <c r="TH33" s="11"/>
      <c r="TI33" s="11"/>
      <c r="TJ33" s="248"/>
      <c r="TK33" s="253"/>
      <c r="TL33" s="11"/>
      <c r="TM33" s="11"/>
      <c r="TN33" s="11"/>
      <c r="TO33" s="11"/>
      <c r="TP33" s="11"/>
      <c r="TQ33" s="11"/>
      <c r="TR33" s="11"/>
      <c r="TS33" s="11"/>
      <c r="TT33" s="11"/>
      <c r="TU33" s="11"/>
      <c r="TV33" s="11"/>
      <c r="TW33" s="11"/>
      <c r="TX33" s="11"/>
      <c r="TY33" s="11"/>
      <c r="TZ33" s="11"/>
      <c r="UA33" s="259"/>
      <c r="UB33" s="275"/>
      <c r="UC33" s="11"/>
      <c r="UD33" s="11"/>
      <c r="UE33" s="248"/>
      <c r="UF33" s="253"/>
      <c r="UG33" s="11"/>
      <c r="UH33" s="11"/>
      <c r="UI33" s="11"/>
      <c r="UJ33" s="11"/>
      <c r="UK33" s="11"/>
      <c r="UL33" s="11"/>
      <c r="UM33" s="11"/>
      <c r="UN33" s="11"/>
      <c r="UO33" s="11"/>
      <c r="UP33" s="11"/>
      <c r="UQ33" s="11"/>
      <c r="UR33" s="11"/>
      <c r="US33" s="11"/>
      <c r="UT33" s="11"/>
      <c r="UU33" s="11"/>
      <c r="UV33" s="259"/>
      <c r="UW33" s="275"/>
      <c r="UX33" s="11"/>
      <c r="UY33" s="11"/>
      <c r="UZ33" s="248"/>
      <c r="VA33" s="253"/>
      <c r="VB33" s="11"/>
      <c r="VC33" s="11"/>
      <c r="VD33" s="11"/>
      <c r="VE33" s="11"/>
      <c r="VF33" s="11"/>
      <c r="VG33" s="11"/>
      <c r="VH33" s="11"/>
      <c r="VI33" s="11"/>
      <c r="VJ33" s="11"/>
      <c r="VK33" s="11"/>
      <c r="VL33" s="11"/>
      <c r="VM33" s="11"/>
      <c r="VN33" s="11"/>
      <c r="VO33" s="11"/>
      <c r="VP33" s="11"/>
      <c r="VQ33" s="259"/>
      <c r="VR33" s="275"/>
      <c r="VS33" s="11"/>
      <c r="VT33" s="11"/>
      <c r="VU33" s="248"/>
      <c r="VV33" s="253"/>
      <c r="VW33" s="11"/>
      <c r="VX33" s="11"/>
      <c r="VY33" s="11"/>
      <c r="VZ33" s="11"/>
      <c r="WA33" s="11"/>
      <c r="WB33" s="11"/>
      <c r="WC33" s="11"/>
      <c r="WD33" s="11"/>
      <c r="WE33" s="11"/>
      <c r="WF33" s="11"/>
      <c r="WG33" s="11"/>
      <c r="WH33" s="11"/>
      <c r="WI33" s="11"/>
      <c r="WJ33" s="11"/>
      <c r="WK33" s="11"/>
      <c r="WL33" s="259"/>
      <c r="WM33" s="275"/>
      <c r="WN33" s="11"/>
      <c r="WO33" s="11"/>
      <c r="WP33" s="248"/>
      <c r="WQ33" s="253"/>
      <c r="WR33" s="11"/>
      <c r="WS33" s="11"/>
      <c r="WT33" s="11"/>
      <c r="WU33" s="11"/>
      <c r="WV33" s="11"/>
      <c r="WW33" s="11"/>
      <c r="WX33" s="11"/>
      <c r="WY33" s="11"/>
      <c r="WZ33" s="11"/>
      <c r="XA33" s="11"/>
      <c r="XB33" s="11"/>
      <c r="XC33" s="11"/>
      <c r="XD33" s="11"/>
      <c r="XE33" s="11"/>
      <c r="XF33" s="11"/>
      <c r="XG33" s="259"/>
      <c r="XH33" s="275"/>
      <c r="XI33" s="11"/>
      <c r="XJ33" s="11"/>
      <c r="XK33" s="248"/>
      <c r="XL33" s="253"/>
      <c r="XM33" s="11"/>
      <c r="XN33" s="11"/>
      <c r="XO33" s="11"/>
      <c r="XP33" s="11"/>
      <c r="XQ33" s="11"/>
      <c r="XR33" s="11"/>
      <c r="XS33" s="11"/>
      <c r="XT33" s="11"/>
      <c r="XU33" s="11"/>
      <c r="XV33" s="11"/>
      <c r="XW33" s="11"/>
      <c r="XX33" s="11"/>
      <c r="XY33" s="11"/>
      <c r="XZ33" s="11"/>
      <c r="YA33" s="11"/>
      <c r="YB33" s="259"/>
    </row>
    <row r="34" spans="1:652" x14ac:dyDescent="0.3">
      <c r="A34" s="223" t="s">
        <v>211</v>
      </c>
      <c r="B34" s="271"/>
      <c r="C34" s="48"/>
      <c r="D34" s="48"/>
      <c r="E34" s="235"/>
      <c r="F34" s="239"/>
      <c r="G34" s="49"/>
      <c r="H34" s="66"/>
      <c r="I34" s="49"/>
      <c r="J34" s="49"/>
      <c r="K34" s="49"/>
      <c r="L34" s="49"/>
      <c r="M34" s="49"/>
      <c r="N34" s="49"/>
      <c r="O34" s="49"/>
      <c r="P34" s="49"/>
      <c r="Q34" s="49"/>
      <c r="R34" s="49"/>
      <c r="S34" s="49"/>
      <c r="T34" s="49"/>
      <c r="U34" s="49"/>
      <c r="V34" s="260"/>
      <c r="W34" s="276"/>
      <c r="X34" s="49"/>
      <c r="Y34" s="49"/>
      <c r="Z34" s="249"/>
      <c r="AA34" s="254"/>
      <c r="AB34" s="49"/>
      <c r="AC34" s="66"/>
      <c r="AD34" s="49"/>
      <c r="AE34" s="49"/>
      <c r="AF34" s="49"/>
      <c r="AG34" s="49"/>
      <c r="AH34" s="49"/>
      <c r="AI34" s="49"/>
      <c r="AJ34" s="49"/>
      <c r="AK34" s="49"/>
      <c r="AL34" s="49"/>
      <c r="AM34" s="49"/>
      <c r="AN34" s="49"/>
      <c r="AO34" s="49"/>
      <c r="AP34" s="49"/>
      <c r="AQ34" s="260"/>
      <c r="AR34" s="271"/>
      <c r="AS34" s="48"/>
      <c r="AT34" s="48"/>
      <c r="AU34" s="235"/>
      <c r="AV34" s="239"/>
      <c r="AW34" s="49"/>
      <c r="AX34" s="49"/>
      <c r="AY34" s="49"/>
      <c r="AZ34" s="49"/>
      <c r="BA34" s="49"/>
      <c r="BB34" s="49"/>
      <c r="BC34" s="49"/>
      <c r="BD34" s="49"/>
      <c r="BE34" s="49"/>
      <c r="BF34" s="49"/>
      <c r="BG34" s="49"/>
      <c r="BH34" s="49"/>
      <c r="BI34" s="49"/>
      <c r="BJ34" s="49"/>
      <c r="BK34" s="49"/>
      <c r="BL34" s="260"/>
      <c r="BM34" s="276"/>
      <c r="BN34" s="49"/>
      <c r="BO34" s="49"/>
      <c r="BP34" s="249"/>
      <c r="BQ34" s="254"/>
      <c r="BR34" s="49"/>
      <c r="BS34" s="49"/>
      <c r="BT34" s="49"/>
      <c r="BU34" s="49"/>
      <c r="BV34" s="49"/>
      <c r="BW34" s="49"/>
      <c r="BX34" s="49"/>
      <c r="BY34" s="49"/>
      <c r="BZ34" s="49"/>
      <c r="CA34" s="49"/>
      <c r="CB34" s="49"/>
      <c r="CC34" s="49"/>
      <c r="CD34" s="49"/>
      <c r="CE34" s="49"/>
      <c r="CF34" s="49"/>
      <c r="CG34" s="260"/>
      <c r="CH34" s="276"/>
      <c r="CI34" s="49"/>
      <c r="CJ34" s="49"/>
      <c r="CK34" s="249"/>
      <c r="CL34" s="53"/>
      <c r="CM34" s="53"/>
      <c r="CN34" s="53"/>
      <c r="CO34" s="53"/>
      <c r="CP34" s="53"/>
      <c r="CQ34" s="80"/>
      <c r="CR34" s="53"/>
      <c r="CS34" s="54"/>
      <c r="CT34" s="84"/>
      <c r="CU34" s="53"/>
      <c r="CV34" s="66"/>
      <c r="CW34" s="49"/>
      <c r="CX34" s="49"/>
      <c r="CY34" s="49"/>
      <c r="CZ34" s="49"/>
      <c r="DA34" s="49"/>
      <c r="DB34" s="260"/>
      <c r="DC34" s="276"/>
      <c r="DD34" s="49"/>
      <c r="DE34" s="49"/>
      <c r="DF34" s="249"/>
      <c r="DG34" s="254"/>
      <c r="DH34" s="49"/>
      <c r="DI34" s="49"/>
      <c r="DJ34" s="49"/>
      <c r="DK34" s="49"/>
      <c r="DL34" s="49"/>
      <c r="DM34" s="49"/>
      <c r="DN34" s="49"/>
      <c r="DO34" s="49"/>
      <c r="DP34" s="49"/>
      <c r="DQ34" s="49"/>
      <c r="DR34" s="49"/>
      <c r="DS34" s="49"/>
      <c r="DT34" s="49"/>
      <c r="DU34" s="49"/>
      <c r="DV34" s="49"/>
      <c r="DW34" s="260"/>
      <c r="DX34" s="276"/>
      <c r="DY34" s="49"/>
      <c r="DZ34" s="49"/>
      <c r="EA34" s="249"/>
      <c r="EB34" s="53"/>
      <c r="EC34" s="53"/>
      <c r="ED34" s="53"/>
      <c r="EE34" s="53"/>
      <c r="EF34" s="53"/>
      <c r="EG34" s="80"/>
      <c r="EH34" s="53"/>
      <c r="EI34" s="54"/>
      <c r="EJ34" s="84"/>
      <c r="EK34" s="53"/>
      <c r="EL34" s="66"/>
      <c r="EM34" s="49"/>
      <c r="EN34" s="49"/>
      <c r="EO34" s="49"/>
      <c r="EP34" s="49"/>
      <c r="EQ34" s="49"/>
      <c r="ER34" s="260"/>
      <c r="ES34" s="276"/>
      <c r="ET34" s="49"/>
      <c r="EU34" s="49"/>
      <c r="EV34" s="249"/>
      <c r="EW34" s="254"/>
      <c r="EX34" s="49"/>
      <c r="EY34" s="49"/>
      <c r="EZ34" s="49"/>
      <c r="FA34" s="49"/>
      <c r="FB34" s="49"/>
      <c r="FC34" s="49"/>
      <c r="FD34" s="49"/>
      <c r="FE34" s="49"/>
      <c r="FF34" s="49"/>
      <c r="FG34" s="49"/>
      <c r="FH34" s="49"/>
      <c r="FI34" s="49"/>
      <c r="FJ34" s="49"/>
      <c r="FK34" s="49"/>
      <c r="FL34" s="49"/>
      <c r="FM34" s="260"/>
      <c r="FN34" s="276"/>
      <c r="FO34" s="49"/>
      <c r="FP34" s="49"/>
      <c r="FQ34" s="249"/>
      <c r="FR34" s="53"/>
      <c r="FS34" s="53"/>
      <c r="FT34" s="53"/>
      <c r="FU34" s="53"/>
      <c r="FV34" s="53"/>
      <c r="FW34" s="80"/>
      <c r="FX34" s="53"/>
      <c r="FY34" s="54"/>
      <c r="FZ34" s="84"/>
      <c r="GA34" s="53"/>
      <c r="GB34" s="66"/>
      <c r="GC34" s="49"/>
      <c r="GD34" s="49"/>
      <c r="GE34" s="49"/>
      <c r="GF34" s="49"/>
      <c r="GG34" s="49"/>
      <c r="GH34" s="260"/>
      <c r="GI34" s="276"/>
      <c r="GJ34" s="49"/>
      <c r="GK34" s="49"/>
      <c r="GL34" s="249"/>
      <c r="GM34" s="254"/>
      <c r="GN34" s="49"/>
      <c r="GO34" s="49"/>
      <c r="GP34" s="49"/>
      <c r="GQ34" s="49"/>
      <c r="GR34" s="49"/>
      <c r="GS34" s="49"/>
      <c r="GT34" s="49"/>
      <c r="GU34" s="49"/>
      <c r="GV34" s="49"/>
      <c r="GW34" s="49"/>
      <c r="GX34" s="49"/>
      <c r="GY34" s="49"/>
      <c r="GZ34" s="49"/>
      <c r="HA34" s="49"/>
      <c r="HB34" s="49"/>
      <c r="HC34" s="260"/>
      <c r="HD34" s="276"/>
      <c r="HE34" s="49"/>
      <c r="HF34" s="49"/>
      <c r="HG34" s="249"/>
      <c r="HH34" s="254"/>
      <c r="HI34" s="49"/>
      <c r="HJ34" s="49"/>
      <c r="HK34" s="49"/>
      <c r="HL34" s="49"/>
      <c r="HM34" s="49"/>
      <c r="HN34" s="49"/>
      <c r="HO34" s="49"/>
      <c r="HP34" s="49"/>
      <c r="HQ34" s="49"/>
      <c r="HR34" s="49"/>
      <c r="HS34" s="49"/>
      <c r="HT34" s="49"/>
      <c r="HU34" s="49"/>
      <c r="HV34" s="49"/>
      <c r="HW34" s="49"/>
      <c r="HX34" s="260"/>
      <c r="HY34" s="276"/>
      <c r="HZ34" s="49"/>
      <c r="IA34" s="49"/>
      <c r="IB34" s="249"/>
      <c r="IC34" s="254"/>
      <c r="ID34" s="49"/>
      <c r="IE34" s="49"/>
      <c r="IF34" s="49"/>
      <c r="IG34" s="49"/>
      <c r="IH34" s="49"/>
      <c r="II34" s="49"/>
      <c r="IJ34" s="49"/>
      <c r="IK34" s="49"/>
      <c r="IL34" s="49"/>
      <c r="IM34" s="49"/>
      <c r="IN34" s="49"/>
      <c r="IO34" s="49"/>
      <c r="IP34" s="49"/>
      <c r="IQ34" s="49"/>
      <c r="IR34" s="49"/>
      <c r="IS34" s="260"/>
      <c r="IT34" s="276"/>
      <c r="IU34" s="49"/>
      <c r="IV34" s="49"/>
      <c r="IW34" s="249"/>
      <c r="IX34" s="254"/>
      <c r="IY34" s="49"/>
      <c r="IZ34" s="49"/>
      <c r="JA34" s="49"/>
      <c r="JB34" s="49"/>
      <c r="JC34" s="49"/>
      <c r="JD34" s="49"/>
      <c r="JE34" s="49"/>
      <c r="JF34" s="49"/>
      <c r="JG34" s="49"/>
      <c r="JH34" s="49"/>
      <c r="JI34" s="49"/>
      <c r="JJ34" s="49"/>
      <c r="JK34" s="49"/>
      <c r="JL34" s="49"/>
      <c r="JM34" s="49"/>
      <c r="JN34" s="260"/>
      <c r="JO34" s="276"/>
      <c r="JP34" s="49"/>
      <c r="JQ34" s="49"/>
      <c r="JR34" s="249"/>
      <c r="JS34" s="254"/>
      <c r="JT34" s="49"/>
      <c r="JU34" s="49"/>
      <c r="JV34" s="49"/>
      <c r="JW34" s="49"/>
      <c r="JX34" s="49"/>
      <c r="JY34" s="49"/>
      <c r="JZ34" s="49"/>
      <c r="KA34" s="49"/>
      <c r="KB34" s="49"/>
      <c r="KC34" s="49"/>
      <c r="KD34" s="49"/>
      <c r="KE34" s="49"/>
      <c r="KF34" s="49"/>
      <c r="KG34" s="49"/>
      <c r="KH34" s="49"/>
      <c r="KI34" s="260"/>
      <c r="KJ34" s="276"/>
      <c r="KK34" s="49"/>
      <c r="KL34" s="49"/>
      <c r="KM34" s="249"/>
      <c r="KN34" s="254"/>
      <c r="KO34" s="49"/>
      <c r="KP34" s="49"/>
      <c r="KQ34" s="49"/>
      <c r="KR34" s="49"/>
      <c r="KS34" s="49"/>
      <c r="KT34" s="49"/>
      <c r="KU34" s="49"/>
      <c r="KV34" s="49"/>
      <c r="KW34" s="49"/>
      <c r="KX34" s="49"/>
      <c r="KY34" s="49"/>
      <c r="KZ34" s="49"/>
      <c r="LA34" s="49"/>
      <c r="LB34" s="49"/>
      <c r="LC34" s="49"/>
      <c r="LD34" s="260"/>
      <c r="LE34" s="276"/>
      <c r="LF34" s="49"/>
      <c r="LG34" s="49"/>
      <c r="LH34" s="249"/>
      <c r="LI34" s="254"/>
      <c r="LJ34" s="49"/>
      <c r="LK34" s="49"/>
      <c r="LL34" s="49"/>
      <c r="LM34" s="49"/>
      <c r="LN34" s="49"/>
      <c r="LO34" s="49"/>
      <c r="LP34" s="49"/>
      <c r="LQ34" s="49"/>
      <c r="LR34" s="49"/>
      <c r="LS34" s="49"/>
      <c r="LT34" s="49"/>
      <c r="LU34" s="49"/>
      <c r="LV34" s="49"/>
      <c r="LW34" s="49"/>
      <c r="LX34" s="49"/>
      <c r="LY34" s="260"/>
      <c r="LZ34" s="276"/>
      <c r="MA34" s="49"/>
      <c r="MB34" s="49"/>
      <c r="MC34" s="249"/>
      <c r="MD34" s="254"/>
      <c r="ME34" s="49"/>
      <c r="MF34" s="49"/>
      <c r="MG34" s="49"/>
      <c r="MH34" s="49"/>
      <c r="MI34" s="49"/>
      <c r="MJ34" s="49"/>
      <c r="MK34" s="49"/>
      <c r="ML34" s="49"/>
      <c r="MM34" s="49"/>
      <c r="MN34" s="49"/>
      <c r="MO34" s="49"/>
      <c r="MP34" s="49"/>
      <c r="MQ34" s="49"/>
      <c r="MR34" s="49"/>
      <c r="MS34" s="49"/>
      <c r="MT34" s="260"/>
      <c r="MU34" s="276"/>
      <c r="MV34" s="49"/>
      <c r="MW34" s="49"/>
      <c r="MX34" s="249"/>
      <c r="MY34" s="254"/>
      <c r="MZ34" s="49"/>
      <c r="NA34" s="49"/>
      <c r="NB34" s="49"/>
      <c r="NC34" s="49"/>
      <c r="ND34" s="49"/>
      <c r="NE34" s="49"/>
      <c r="NF34" s="49"/>
      <c r="NG34" s="49"/>
      <c r="NH34" s="49"/>
      <c r="NI34" s="49"/>
      <c r="NJ34" s="49"/>
      <c r="NK34" s="49"/>
      <c r="NL34" s="49"/>
      <c r="NM34" s="49"/>
      <c r="NN34" s="49"/>
      <c r="NO34" s="260"/>
      <c r="NP34" s="276"/>
      <c r="NQ34" s="49"/>
      <c r="NR34" s="49"/>
      <c r="NS34" s="249"/>
      <c r="NT34" s="254"/>
      <c r="NU34" s="49"/>
      <c r="NV34" s="49"/>
      <c r="NW34" s="49"/>
      <c r="NX34" s="49"/>
      <c r="NY34" s="49"/>
      <c r="NZ34" s="49"/>
      <c r="OA34" s="49"/>
      <c r="OB34" s="49"/>
      <c r="OC34" s="49"/>
      <c r="OD34" s="49"/>
      <c r="OE34" s="49"/>
      <c r="OF34" s="49"/>
      <c r="OG34" s="49"/>
      <c r="OH34" s="49"/>
      <c r="OI34" s="49"/>
      <c r="OJ34" s="260"/>
      <c r="OK34" s="276"/>
      <c r="OL34" s="49"/>
      <c r="OM34" s="49"/>
      <c r="ON34" s="249"/>
      <c r="OO34" s="254"/>
      <c r="OP34" s="49"/>
      <c r="OQ34" s="49"/>
      <c r="OR34" s="49"/>
      <c r="OS34" s="49"/>
      <c r="OT34" s="49"/>
      <c r="OU34" s="49"/>
      <c r="OV34" s="49"/>
      <c r="OW34" s="49"/>
      <c r="OX34" s="49"/>
      <c r="OY34" s="49"/>
      <c r="OZ34" s="49"/>
      <c r="PA34" s="49"/>
      <c r="PB34" s="49"/>
      <c r="PC34" s="49"/>
      <c r="PD34" s="49"/>
      <c r="PE34" s="260"/>
      <c r="PF34" s="276"/>
      <c r="PG34" s="49"/>
      <c r="PH34" s="49"/>
      <c r="PI34" s="249"/>
      <c r="PJ34" s="254"/>
      <c r="PK34" s="49"/>
      <c r="PL34" s="49"/>
      <c r="PM34" s="49"/>
      <c r="PN34" s="49"/>
      <c r="PO34" s="49"/>
      <c r="PP34" s="49"/>
      <c r="PQ34" s="49"/>
      <c r="PR34" s="49"/>
      <c r="PS34" s="49"/>
      <c r="PT34" s="49"/>
      <c r="PU34" s="49"/>
      <c r="PV34" s="49"/>
      <c r="PW34" s="49"/>
      <c r="PX34" s="49"/>
      <c r="PY34" s="49"/>
      <c r="PZ34" s="260"/>
      <c r="QA34" s="276"/>
      <c r="QB34" s="49"/>
      <c r="QC34" s="49"/>
      <c r="QD34" s="249"/>
      <c r="QE34" s="254"/>
      <c r="QF34" s="49"/>
      <c r="QG34" s="49"/>
      <c r="QH34" s="49"/>
      <c r="QI34" s="49"/>
      <c r="QJ34" s="49"/>
      <c r="QK34" s="49"/>
      <c r="QL34" s="49"/>
      <c r="QM34" s="49"/>
      <c r="QN34" s="49"/>
      <c r="QO34" s="49"/>
      <c r="QP34" s="49"/>
      <c r="QQ34" s="49"/>
      <c r="QR34" s="49"/>
      <c r="QS34" s="49"/>
      <c r="QT34" s="49"/>
      <c r="QU34" s="260"/>
      <c r="QV34" s="276"/>
      <c r="QW34" s="49"/>
      <c r="QX34" s="49"/>
      <c r="QY34" s="249"/>
      <c r="QZ34" s="254"/>
      <c r="RA34" s="49"/>
      <c r="RB34" s="49"/>
      <c r="RC34" s="49"/>
      <c r="RD34" s="49"/>
      <c r="RE34" s="49"/>
      <c r="RF34" s="49"/>
      <c r="RG34" s="49"/>
      <c r="RH34" s="49"/>
      <c r="RI34" s="49"/>
      <c r="RJ34" s="49"/>
      <c r="RK34" s="49"/>
      <c r="RL34" s="49"/>
      <c r="RM34" s="49"/>
      <c r="RN34" s="49"/>
      <c r="RO34" s="49"/>
      <c r="RP34" s="260"/>
      <c r="RQ34" s="276"/>
      <c r="RR34" s="49"/>
      <c r="RS34" s="49"/>
      <c r="RT34" s="249"/>
      <c r="RU34" s="254"/>
      <c r="RV34" s="49"/>
      <c r="RW34" s="49"/>
      <c r="RX34" s="49"/>
      <c r="RY34" s="49"/>
      <c r="RZ34" s="49"/>
      <c r="SA34" s="49"/>
      <c r="SB34" s="49"/>
      <c r="SC34" s="49"/>
      <c r="SD34" s="49"/>
      <c r="SE34" s="49"/>
      <c r="SF34" s="49"/>
      <c r="SG34" s="49"/>
      <c r="SH34" s="49"/>
      <c r="SI34" s="49"/>
      <c r="SJ34" s="49"/>
      <c r="SK34" s="260"/>
      <c r="SL34" s="276"/>
      <c r="SM34" s="49"/>
      <c r="SN34" s="49"/>
      <c r="SO34" s="249"/>
      <c r="SP34" s="254"/>
      <c r="SQ34" s="49"/>
      <c r="SR34" s="49"/>
      <c r="SS34" s="49"/>
      <c r="ST34" s="49"/>
      <c r="SU34" s="49"/>
      <c r="SV34" s="49"/>
      <c r="SW34" s="49"/>
      <c r="SX34" s="49"/>
      <c r="SY34" s="49"/>
      <c r="SZ34" s="49"/>
      <c r="TA34" s="49"/>
      <c r="TB34" s="49"/>
      <c r="TC34" s="49"/>
      <c r="TD34" s="49"/>
      <c r="TE34" s="49"/>
      <c r="TF34" s="260"/>
      <c r="TG34" s="276"/>
      <c r="TH34" s="49"/>
      <c r="TI34" s="49"/>
      <c r="TJ34" s="249"/>
      <c r="TK34" s="254"/>
      <c r="TL34" s="49"/>
      <c r="TM34" s="49"/>
      <c r="TN34" s="49"/>
      <c r="TO34" s="49"/>
      <c r="TP34" s="49"/>
      <c r="TQ34" s="49"/>
      <c r="TR34" s="49"/>
      <c r="TS34" s="49"/>
      <c r="TT34" s="49"/>
      <c r="TU34" s="49"/>
      <c r="TV34" s="49"/>
      <c r="TW34" s="49"/>
      <c r="TX34" s="49"/>
      <c r="TY34" s="49"/>
      <c r="TZ34" s="49"/>
      <c r="UA34" s="260"/>
      <c r="UB34" s="276"/>
      <c r="UC34" s="49"/>
      <c r="UD34" s="49"/>
      <c r="UE34" s="249"/>
      <c r="UF34" s="254"/>
      <c r="UG34" s="49"/>
      <c r="UH34" s="49"/>
      <c r="UI34" s="49"/>
      <c r="UJ34" s="49"/>
      <c r="UK34" s="49"/>
      <c r="UL34" s="49"/>
      <c r="UM34" s="49"/>
      <c r="UN34" s="49"/>
      <c r="UO34" s="49"/>
      <c r="UP34" s="49"/>
      <c r="UQ34" s="49"/>
      <c r="UR34" s="49"/>
      <c r="US34" s="49"/>
      <c r="UT34" s="49"/>
      <c r="UU34" s="49"/>
      <c r="UV34" s="260"/>
      <c r="UW34" s="276"/>
      <c r="UX34" s="49"/>
      <c r="UY34" s="49"/>
      <c r="UZ34" s="249"/>
      <c r="VA34" s="254"/>
      <c r="VB34" s="49"/>
      <c r="VC34" s="49"/>
      <c r="VD34" s="49"/>
      <c r="VE34" s="49"/>
      <c r="VF34" s="49"/>
      <c r="VG34" s="49"/>
      <c r="VH34" s="49"/>
      <c r="VI34" s="49"/>
      <c r="VJ34" s="49"/>
      <c r="VK34" s="49"/>
      <c r="VL34" s="49"/>
      <c r="VM34" s="49"/>
      <c r="VN34" s="49"/>
      <c r="VO34" s="49"/>
      <c r="VP34" s="49"/>
      <c r="VQ34" s="260"/>
      <c r="VR34" s="276"/>
      <c r="VS34" s="49"/>
      <c r="VT34" s="49"/>
      <c r="VU34" s="249"/>
      <c r="VV34" s="254"/>
      <c r="VW34" s="49"/>
      <c r="VX34" s="49"/>
      <c r="VY34" s="49"/>
      <c r="VZ34" s="49"/>
      <c r="WA34" s="49"/>
      <c r="WB34" s="49"/>
      <c r="WC34" s="49"/>
      <c r="WD34" s="49"/>
      <c r="WE34" s="49"/>
      <c r="WF34" s="49"/>
      <c r="WG34" s="49"/>
      <c r="WH34" s="49"/>
      <c r="WI34" s="49"/>
      <c r="WJ34" s="49"/>
      <c r="WK34" s="49"/>
      <c r="WL34" s="260"/>
      <c r="WM34" s="276"/>
      <c r="WN34" s="49"/>
      <c r="WO34" s="49"/>
      <c r="WP34" s="249"/>
      <c r="WQ34" s="254"/>
      <c r="WR34" s="49"/>
      <c r="WS34" s="49"/>
      <c r="WT34" s="49"/>
      <c r="WU34" s="49"/>
      <c r="WV34" s="49"/>
      <c r="WW34" s="49"/>
      <c r="WX34" s="49"/>
      <c r="WY34" s="49"/>
      <c r="WZ34" s="49"/>
      <c r="XA34" s="49"/>
      <c r="XB34" s="49"/>
      <c r="XC34" s="49"/>
      <c r="XD34" s="49"/>
      <c r="XE34" s="49"/>
      <c r="XF34" s="49"/>
      <c r="XG34" s="260"/>
      <c r="XH34" s="276"/>
      <c r="XI34" s="49"/>
      <c r="XJ34" s="49"/>
      <c r="XK34" s="249"/>
      <c r="XL34" s="254"/>
      <c r="XM34" s="49"/>
      <c r="XN34" s="49"/>
      <c r="XO34" s="49"/>
      <c r="XP34" s="49"/>
      <c r="XQ34" s="49"/>
      <c r="XR34" s="49"/>
      <c r="XS34" s="49"/>
      <c r="XT34" s="49"/>
      <c r="XU34" s="49"/>
      <c r="XV34" s="49"/>
      <c r="XW34" s="49"/>
      <c r="XX34" s="49"/>
      <c r="XY34" s="49"/>
      <c r="XZ34" s="49"/>
      <c r="YA34" s="49"/>
      <c r="YB34" s="260"/>
    </row>
    <row r="35" spans="1:652" x14ac:dyDescent="0.3">
      <c r="A35" s="224" t="s">
        <v>209</v>
      </c>
      <c r="B35" s="270"/>
      <c r="C35" s="10"/>
      <c r="D35" s="10"/>
      <c r="E35" s="234"/>
      <c r="F35" s="238"/>
      <c r="G35" s="11"/>
      <c r="H35" s="125"/>
      <c r="I35" s="11"/>
      <c r="J35" s="11"/>
      <c r="K35" s="12"/>
      <c r="L35" s="11"/>
      <c r="M35" s="11"/>
      <c r="N35" s="11"/>
      <c r="O35" s="11"/>
      <c r="P35" s="11"/>
      <c r="Q35" s="11"/>
      <c r="R35" s="11"/>
      <c r="S35" s="11"/>
      <c r="T35" s="11"/>
      <c r="U35" s="11"/>
      <c r="V35" s="259"/>
      <c r="W35" s="275"/>
      <c r="X35" s="11"/>
      <c r="Y35" s="11"/>
      <c r="Z35" s="248"/>
      <c r="AA35" s="253"/>
      <c r="AB35" s="11"/>
      <c r="AC35" s="125"/>
      <c r="AD35" s="11"/>
      <c r="AE35" s="11"/>
      <c r="AF35" s="11"/>
      <c r="AG35" s="11"/>
      <c r="AH35" s="11"/>
      <c r="AI35" s="11"/>
      <c r="AJ35" s="11"/>
      <c r="AK35" s="11"/>
      <c r="AL35" s="11"/>
      <c r="AM35" s="11"/>
      <c r="AN35" s="11"/>
      <c r="AO35" s="11"/>
      <c r="AP35" s="11"/>
      <c r="AQ35" s="259"/>
      <c r="AR35" s="270"/>
      <c r="AS35" s="10"/>
      <c r="AT35" s="10"/>
      <c r="AU35" s="234"/>
      <c r="AV35" s="238"/>
      <c r="AW35" s="11"/>
      <c r="AX35" s="11"/>
      <c r="AY35" s="11"/>
      <c r="AZ35" s="11"/>
      <c r="BA35" s="11"/>
      <c r="BB35" s="11"/>
      <c r="BC35" s="11"/>
      <c r="BD35" s="11"/>
      <c r="BE35" s="11"/>
      <c r="BF35" s="11"/>
      <c r="BG35" s="11"/>
      <c r="BH35" s="11"/>
      <c r="BI35" s="11"/>
      <c r="BJ35" s="11"/>
      <c r="BK35" s="11"/>
      <c r="BL35" s="259"/>
      <c r="BM35" s="275"/>
      <c r="BN35" s="11"/>
      <c r="BO35" s="11"/>
      <c r="BP35" s="248"/>
      <c r="BQ35" s="253"/>
      <c r="BR35" s="11"/>
      <c r="BS35" s="11"/>
      <c r="BT35" s="11"/>
      <c r="BU35" s="11"/>
      <c r="BV35" s="11"/>
      <c r="BW35" s="11"/>
      <c r="BX35" s="11"/>
      <c r="BY35" s="11"/>
      <c r="BZ35" s="11"/>
      <c r="CA35" s="11"/>
      <c r="CB35" s="11"/>
      <c r="CC35" s="11"/>
      <c r="CD35" s="11"/>
      <c r="CE35" s="11"/>
      <c r="CF35" s="11"/>
      <c r="CG35" s="259"/>
      <c r="CH35" s="275"/>
      <c r="CI35" s="11"/>
      <c r="CJ35" s="11"/>
      <c r="CK35" s="248"/>
      <c r="CL35" s="45"/>
      <c r="CM35" s="45"/>
      <c r="CN35" s="45"/>
      <c r="CO35" s="45"/>
      <c r="CP35" s="45"/>
      <c r="CQ35" s="79"/>
      <c r="CR35" s="45"/>
      <c r="CS35" s="36"/>
      <c r="CT35" s="86"/>
      <c r="CU35" s="45"/>
      <c r="CV35" s="10"/>
      <c r="CW35" s="11"/>
      <c r="CX35" s="11"/>
      <c r="CY35" s="11"/>
      <c r="CZ35" s="11"/>
      <c r="DA35" s="11"/>
      <c r="DB35" s="259"/>
      <c r="DC35" s="275"/>
      <c r="DD35" s="11"/>
      <c r="DE35" s="11"/>
      <c r="DF35" s="248"/>
      <c r="DG35" s="253"/>
      <c r="DH35" s="11"/>
      <c r="DI35" s="11"/>
      <c r="DJ35" s="11"/>
      <c r="DK35" s="11"/>
      <c r="DL35" s="11"/>
      <c r="DM35" s="11"/>
      <c r="DN35" s="11"/>
      <c r="DO35" s="11"/>
      <c r="DP35" s="11"/>
      <c r="DQ35" s="11"/>
      <c r="DR35" s="11"/>
      <c r="DS35" s="11"/>
      <c r="DT35" s="11"/>
      <c r="DU35" s="11"/>
      <c r="DV35" s="11"/>
      <c r="DW35" s="259"/>
      <c r="DX35" s="275"/>
      <c r="DY35" s="11"/>
      <c r="DZ35" s="11"/>
      <c r="EA35" s="248"/>
      <c r="EB35" s="45"/>
      <c r="EC35" s="45"/>
      <c r="ED35" s="45"/>
      <c r="EE35" s="45"/>
      <c r="EF35" s="45"/>
      <c r="EG35" s="79"/>
      <c r="EH35" s="45"/>
      <c r="EI35" s="36"/>
      <c r="EJ35" s="86"/>
      <c r="EK35" s="45"/>
      <c r="EL35" s="10"/>
      <c r="EM35" s="11"/>
      <c r="EN35" s="11"/>
      <c r="EO35" s="11"/>
      <c r="EP35" s="11"/>
      <c r="EQ35" s="11"/>
      <c r="ER35" s="259"/>
      <c r="ES35" s="275"/>
      <c r="ET35" s="11"/>
      <c r="EU35" s="11"/>
      <c r="EV35" s="248"/>
      <c r="EW35" s="253"/>
      <c r="EX35" s="11"/>
      <c r="EY35" s="11"/>
      <c r="EZ35" s="11"/>
      <c r="FA35" s="11"/>
      <c r="FB35" s="11"/>
      <c r="FC35" s="11"/>
      <c r="FD35" s="11"/>
      <c r="FE35" s="11"/>
      <c r="FF35" s="11"/>
      <c r="FG35" s="11"/>
      <c r="FH35" s="11"/>
      <c r="FI35" s="11"/>
      <c r="FJ35" s="11"/>
      <c r="FK35" s="11"/>
      <c r="FL35" s="11"/>
      <c r="FM35" s="259"/>
      <c r="FN35" s="275"/>
      <c r="FO35" s="11"/>
      <c r="FP35" s="11"/>
      <c r="FQ35" s="248"/>
      <c r="FR35" s="45"/>
      <c r="FS35" s="45"/>
      <c r="FT35" s="45"/>
      <c r="FU35" s="45"/>
      <c r="FV35" s="45"/>
      <c r="FW35" s="79"/>
      <c r="FX35" s="45"/>
      <c r="FY35" s="36"/>
      <c r="FZ35" s="86"/>
      <c r="GA35" s="45"/>
      <c r="GB35" s="10"/>
      <c r="GC35" s="11"/>
      <c r="GD35" s="11"/>
      <c r="GE35" s="11"/>
      <c r="GF35" s="11"/>
      <c r="GG35" s="11"/>
      <c r="GH35" s="259"/>
      <c r="GI35" s="275"/>
      <c r="GJ35" s="11"/>
      <c r="GK35" s="11"/>
      <c r="GL35" s="248"/>
      <c r="GM35" s="253"/>
      <c r="GN35" s="11"/>
      <c r="GO35" s="11"/>
      <c r="GP35" s="11"/>
      <c r="GQ35" s="11"/>
      <c r="GR35" s="11"/>
      <c r="GS35" s="11"/>
      <c r="GT35" s="11"/>
      <c r="GU35" s="11"/>
      <c r="GV35" s="11"/>
      <c r="GW35" s="11"/>
      <c r="GX35" s="11"/>
      <c r="GY35" s="11"/>
      <c r="GZ35" s="11"/>
      <c r="HA35" s="11"/>
      <c r="HB35" s="11"/>
      <c r="HC35" s="259"/>
      <c r="HD35" s="275"/>
      <c r="HE35" s="11"/>
      <c r="HF35" s="11"/>
      <c r="HG35" s="248"/>
      <c r="HH35" s="253"/>
      <c r="HI35" s="11"/>
      <c r="HJ35" s="11"/>
      <c r="HK35" s="11"/>
      <c r="HL35" s="11"/>
      <c r="HM35" s="11"/>
      <c r="HN35" s="11"/>
      <c r="HO35" s="11"/>
      <c r="HP35" s="11"/>
      <c r="HQ35" s="11"/>
      <c r="HR35" s="11"/>
      <c r="HS35" s="11"/>
      <c r="HT35" s="11"/>
      <c r="HU35" s="11"/>
      <c r="HV35" s="11"/>
      <c r="HW35" s="11"/>
      <c r="HX35" s="259"/>
      <c r="HY35" s="275"/>
      <c r="HZ35" s="11"/>
      <c r="IA35" s="11"/>
      <c r="IB35" s="248"/>
      <c r="IC35" s="253"/>
      <c r="ID35" s="11"/>
      <c r="IE35" s="11"/>
      <c r="IF35" s="11"/>
      <c r="IG35" s="11"/>
      <c r="IH35" s="11"/>
      <c r="II35" s="11"/>
      <c r="IJ35" s="11"/>
      <c r="IK35" s="11"/>
      <c r="IL35" s="11"/>
      <c r="IM35" s="11"/>
      <c r="IN35" s="11"/>
      <c r="IO35" s="11"/>
      <c r="IP35" s="11"/>
      <c r="IQ35" s="11"/>
      <c r="IR35" s="11"/>
      <c r="IS35" s="259"/>
      <c r="IT35" s="275"/>
      <c r="IU35" s="11"/>
      <c r="IV35" s="11"/>
      <c r="IW35" s="248"/>
      <c r="IX35" s="253"/>
      <c r="IY35" s="11"/>
      <c r="IZ35" s="11"/>
      <c r="JA35" s="11"/>
      <c r="JB35" s="11"/>
      <c r="JC35" s="11"/>
      <c r="JD35" s="11"/>
      <c r="JE35" s="11"/>
      <c r="JF35" s="11"/>
      <c r="JG35" s="11"/>
      <c r="JH35" s="11"/>
      <c r="JI35" s="11"/>
      <c r="JJ35" s="11"/>
      <c r="JK35" s="11"/>
      <c r="JL35" s="11"/>
      <c r="JM35" s="11"/>
      <c r="JN35" s="259"/>
      <c r="JO35" s="275"/>
      <c r="JP35" s="11"/>
      <c r="JQ35" s="11"/>
      <c r="JR35" s="248"/>
      <c r="JS35" s="253"/>
      <c r="JT35" s="11"/>
      <c r="JU35" s="11"/>
      <c r="JV35" s="11"/>
      <c r="JW35" s="11"/>
      <c r="JX35" s="11"/>
      <c r="JY35" s="11"/>
      <c r="JZ35" s="11"/>
      <c r="KA35" s="11"/>
      <c r="KB35" s="11"/>
      <c r="KC35" s="11"/>
      <c r="KD35" s="11"/>
      <c r="KE35" s="11"/>
      <c r="KF35" s="11"/>
      <c r="KG35" s="11"/>
      <c r="KH35" s="11"/>
      <c r="KI35" s="259"/>
      <c r="KJ35" s="275"/>
      <c r="KK35" s="11"/>
      <c r="KL35" s="11"/>
      <c r="KM35" s="248"/>
      <c r="KN35" s="253"/>
      <c r="KO35" s="11"/>
      <c r="KP35" s="11"/>
      <c r="KQ35" s="11"/>
      <c r="KR35" s="11"/>
      <c r="KS35" s="11"/>
      <c r="KT35" s="11"/>
      <c r="KU35" s="11"/>
      <c r="KV35" s="11"/>
      <c r="KW35" s="11"/>
      <c r="KX35" s="11"/>
      <c r="KY35" s="11"/>
      <c r="KZ35" s="11"/>
      <c r="LA35" s="11"/>
      <c r="LB35" s="11"/>
      <c r="LC35" s="11"/>
      <c r="LD35" s="259"/>
      <c r="LE35" s="275"/>
      <c r="LF35" s="11"/>
      <c r="LG35" s="11"/>
      <c r="LH35" s="248"/>
      <c r="LI35" s="253"/>
      <c r="LJ35" s="11"/>
      <c r="LK35" s="11"/>
      <c r="LL35" s="11"/>
      <c r="LM35" s="11"/>
      <c r="LN35" s="11"/>
      <c r="LO35" s="11"/>
      <c r="LP35" s="11"/>
      <c r="LQ35" s="11"/>
      <c r="LR35" s="11"/>
      <c r="LS35" s="11"/>
      <c r="LT35" s="11"/>
      <c r="LU35" s="11"/>
      <c r="LV35" s="11"/>
      <c r="LW35" s="11"/>
      <c r="LX35" s="11"/>
      <c r="LY35" s="259"/>
      <c r="LZ35" s="275"/>
      <c r="MA35" s="11"/>
      <c r="MB35" s="11"/>
      <c r="MC35" s="248"/>
      <c r="MD35" s="253"/>
      <c r="ME35" s="11"/>
      <c r="MF35" s="11"/>
      <c r="MG35" s="11"/>
      <c r="MH35" s="11"/>
      <c r="MI35" s="11"/>
      <c r="MJ35" s="11"/>
      <c r="MK35" s="11"/>
      <c r="ML35" s="11"/>
      <c r="MM35" s="11"/>
      <c r="MN35" s="11"/>
      <c r="MO35" s="11"/>
      <c r="MP35" s="11"/>
      <c r="MQ35" s="11"/>
      <c r="MR35" s="11"/>
      <c r="MS35" s="11"/>
      <c r="MT35" s="259"/>
      <c r="MU35" s="275"/>
      <c r="MV35" s="11"/>
      <c r="MW35" s="11"/>
      <c r="MX35" s="248"/>
      <c r="MY35" s="253"/>
      <c r="MZ35" s="11"/>
      <c r="NA35" s="11"/>
      <c r="NB35" s="11"/>
      <c r="NC35" s="11"/>
      <c r="ND35" s="11"/>
      <c r="NE35" s="11"/>
      <c r="NF35" s="11"/>
      <c r="NG35" s="11"/>
      <c r="NH35" s="11"/>
      <c r="NI35" s="11"/>
      <c r="NJ35" s="11"/>
      <c r="NK35" s="11"/>
      <c r="NL35" s="11"/>
      <c r="NM35" s="11"/>
      <c r="NN35" s="11"/>
      <c r="NO35" s="259"/>
      <c r="NP35" s="275"/>
      <c r="NQ35" s="11"/>
      <c r="NR35" s="11"/>
      <c r="NS35" s="248"/>
      <c r="NT35" s="253"/>
      <c r="NU35" s="11"/>
      <c r="NV35" s="11"/>
      <c r="NW35" s="11"/>
      <c r="NX35" s="11"/>
      <c r="NY35" s="11"/>
      <c r="NZ35" s="11"/>
      <c r="OA35" s="11"/>
      <c r="OB35" s="11"/>
      <c r="OC35" s="11"/>
      <c r="OD35" s="11"/>
      <c r="OE35" s="11"/>
      <c r="OF35" s="11"/>
      <c r="OG35" s="11"/>
      <c r="OH35" s="11"/>
      <c r="OI35" s="11"/>
      <c r="OJ35" s="259"/>
      <c r="OK35" s="275"/>
      <c r="OL35" s="11"/>
      <c r="OM35" s="11"/>
      <c r="ON35" s="248"/>
      <c r="OO35" s="253"/>
      <c r="OP35" s="11"/>
      <c r="OQ35" s="11"/>
      <c r="OR35" s="11"/>
      <c r="OS35" s="11"/>
      <c r="OT35" s="11"/>
      <c r="OU35" s="11"/>
      <c r="OV35" s="11"/>
      <c r="OW35" s="11"/>
      <c r="OX35" s="11"/>
      <c r="OY35" s="11"/>
      <c r="OZ35" s="11"/>
      <c r="PA35" s="11"/>
      <c r="PB35" s="11"/>
      <c r="PC35" s="11"/>
      <c r="PD35" s="11"/>
      <c r="PE35" s="259"/>
      <c r="PF35" s="275"/>
      <c r="PG35" s="11"/>
      <c r="PH35" s="11"/>
      <c r="PI35" s="248"/>
      <c r="PJ35" s="253"/>
      <c r="PK35" s="11"/>
      <c r="PL35" s="11"/>
      <c r="PM35" s="11"/>
      <c r="PN35" s="11"/>
      <c r="PO35" s="11"/>
      <c r="PP35" s="11"/>
      <c r="PQ35" s="11"/>
      <c r="PR35" s="11"/>
      <c r="PS35" s="11"/>
      <c r="PT35" s="11"/>
      <c r="PU35" s="11"/>
      <c r="PV35" s="11"/>
      <c r="PW35" s="11"/>
      <c r="PX35" s="11"/>
      <c r="PY35" s="11"/>
      <c r="PZ35" s="259"/>
      <c r="QA35" s="275"/>
      <c r="QB35" s="11"/>
      <c r="QC35" s="11"/>
      <c r="QD35" s="248"/>
      <c r="QE35" s="253"/>
      <c r="QF35" s="11"/>
      <c r="QG35" s="11"/>
      <c r="QH35" s="11"/>
      <c r="QI35" s="11"/>
      <c r="QJ35" s="11"/>
      <c r="QK35" s="11"/>
      <c r="QL35" s="11"/>
      <c r="QM35" s="11"/>
      <c r="QN35" s="11"/>
      <c r="QO35" s="11"/>
      <c r="QP35" s="11"/>
      <c r="QQ35" s="11"/>
      <c r="QR35" s="11"/>
      <c r="QS35" s="11"/>
      <c r="QT35" s="11"/>
      <c r="QU35" s="259"/>
      <c r="QV35" s="275"/>
      <c r="QW35" s="11"/>
      <c r="QX35" s="11"/>
      <c r="QY35" s="248"/>
      <c r="QZ35" s="253"/>
      <c r="RA35" s="11"/>
      <c r="RB35" s="11"/>
      <c r="RC35" s="11"/>
      <c r="RD35" s="11"/>
      <c r="RE35" s="11"/>
      <c r="RF35" s="11"/>
      <c r="RG35" s="11"/>
      <c r="RH35" s="11"/>
      <c r="RI35" s="11"/>
      <c r="RJ35" s="11"/>
      <c r="RK35" s="11"/>
      <c r="RL35" s="11"/>
      <c r="RM35" s="11"/>
      <c r="RN35" s="11"/>
      <c r="RO35" s="11"/>
      <c r="RP35" s="259"/>
      <c r="RQ35" s="275"/>
      <c r="RR35" s="11"/>
      <c r="RS35" s="11"/>
      <c r="RT35" s="248"/>
      <c r="RU35" s="253"/>
      <c r="RV35" s="11"/>
      <c r="RW35" s="11"/>
      <c r="RX35" s="11"/>
      <c r="RY35" s="11"/>
      <c r="RZ35" s="11"/>
      <c r="SA35" s="11"/>
      <c r="SB35" s="11"/>
      <c r="SC35" s="11"/>
      <c r="SD35" s="11"/>
      <c r="SE35" s="11"/>
      <c r="SF35" s="11"/>
      <c r="SG35" s="11"/>
      <c r="SH35" s="11"/>
      <c r="SI35" s="11"/>
      <c r="SJ35" s="11"/>
      <c r="SK35" s="259"/>
      <c r="SL35" s="275"/>
      <c r="SM35" s="11"/>
      <c r="SN35" s="11"/>
      <c r="SO35" s="248"/>
      <c r="SP35" s="253"/>
      <c r="SQ35" s="11"/>
      <c r="SR35" s="11"/>
      <c r="SS35" s="11"/>
      <c r="ST35" s="11"/>
      <c r="SU35" s="11"/>
      <c r="SV35" s="11"/>
      <c r="SW35" s="11"/>
      <c r="SX35" s="11"/>
      <c r="SY35" s="11"/>
      <c r="SZ35" s="11"/>
      <c r="TA35" s="11"/>
      <c r="TB35" s="11"/>
      <c r="TC35" s="11"/>
      <c r="TD35" s="11"/>
      <c r="TE35" s="11"/>
      <c r="TF35" s="259"/>
      <c r="TG35" s="275"/>
      <c r="TH35" s="11"/>
      <c r="TI35" s="11"/>
      <c r="TJ35" s="248"/>
      <c r="TK35" s="253"/>
      <c r="TL35" s="11"/>
      <c r="TM35" s="11"/>
      <c r="TN35" s="11"/>
      <c r="TO35" s="11"/>
      <c r="TP35" s="11"/>
      <c r="TQ35" s="11"/>
      <c r="TR35" s="11"/>
      <c r="TS35" s="11"/>
      <c r="TT35" s="11"/>
      <c r="TU35" s="11"/>
      <c r="TV35" s="11"/>
      <c r="TW35" s="11"/>
      <c r="TX35" s="11"/>
      <c r="TY35" s="11"/>
      <c r="TZ35" s="11"/>
      <c r="UA35" s="259"/>
      <c r="UB35" s="275"/>
      <c r="UC35" s="11"/>
      <c r="UD35" s="11"/>
      <c r="UE35" s="248"/>
      <c r="UF35" s="253"/>
      <c r="UG35" s="11"/>
      <c r="UH35" s="11"/>
      <c r="UI35" s="11"/>
      <c r="UJ35" s="11"/>
      <c r="UK35" s="11"/>
      <c r="UL35" s="11"/>
      <c r="UM35" s="11"/>
      <c r="UN35" s="11"/>
      <c r="UO35" s="11"/>
      <c r="UP35" s="11"/>
      <c r="UQ35" s="11"/>
      <c r="UR35" s="11"/>
      <c r="US35" s="11"/>
      <c r="UT35" s="11"/>
      <c r="UU35" s="11"/>
      <c r="UV35" s="259"/>
      <c r="UW35" s="275"/>
      <c r="UX35" s="11"/>
      <c r="UY35" s="11"/>
      <c r="UZ35" s="248"/>
      <c r="VA35" s="253"/>
      <c r="VB35" s="11"/>
      <c r="VC35" s="11"/>
      <c r="VD35" s="11"/>
      <c r="VE35" s="11"/>
      <c r="VF35" s="11"/>
      <c r="VG35" s="11"/>
      <c r="VH35" s="11"/>
      <c r="VI35" s="11"/>
      <c r="VJ35" s="11"/>
      <c r="VK35" s="11"/>
      <c r="VL35" s="11"/>
      <c r="VM35" s="11"/>
      <c r="VN35" s="11"/>
      <c r="VO35" s="11"/>
      <c r="VP35" s="11"/>
      <c r="VQ35" s="259"/>
      <c r="VR35" s="275"/>
      <c r="VS35" s="11"/>
      <c r="VT35" s="11"/>
      <c r="VU35" s="248"/>
      <c r="VV35" s="253"/>
      <c r="VW35" s="11"/>
      <c r="VX35" s="11"/>
      <c r="VY35" s="11"/>
      <c r="VZ35" s="11"/>
      <c r="WA35" s="11"/>
      <c r="WB35" s="11"/>
      <c r="WC35" s="11"/>
      <c r="WD35" s="11"/>
      <c r="WE35" s="11"/>
      <c r="WF35" s="11"/>
      <c r="WG35" s="11"/>
      <c r="WH35" s="11"/>
      <c r="WI35" s="11"/>
      <c r="WJ35" s="11"/>
      <c r="WK35" s="11"/>
      <c r="WL35" s="259"/>
      <c r="WM35" s="275"/>
      <c r="WN35" s="11"/>
      <c r="WO35" s="11"/>
      <c r="WP35" s="248"/>
      <c r="WQ35" s="253"/>
      <c r="WR35" s="11"/>
      <c r="WS35" s="11"/>
      <c r="WT35" s="11"/>
      <c r="WU35" s="11"/>
      <c r="WV35" s="11"/>
      <c r="WW35" s="11"/>
      <c r="WX35" s="11"/>
      <c r="WY35" s="11"/>
      <c r="WZ35" s="11"/>
      <c r="XA35" s="11"/>
      <c r="XB35" s="11"/>
      <c r="XC35" s="11"/>
      <c r="XD35" s="11"/>
      <c r="XE35" s="11"/>
      <c r="XF35" s="11"/>
      <c r="XG35" s="259"/>
      <c r="XH35" s="275"/>
      <c r="XI35" s="11"/>
      <c r="XJ35" s="11"/>
      <c r="XK35" s="248"/>
      <c r="XL35" s="253"/>
      <c r="XM35" s="11"/>
      <c r="XN35" s="11"/>
      <c r="XO35" s="11"/>
      <c r="XP35" s="11"/>
      <c r="XQ35" s="11"/>
      <c r="XR35" s="11"/>
      <c r="XS35" s="11"/>
      <c r="XT35" s="11"/>
      <c r="XU35" s="11"/>
      <c r="XV35" s="11"/>
      <c r="XW35" s="11"/>
      <c r="XX35" s="11"/>
      <c r="XY35" s="11"/>
      <c r="XZ35" s="11"/>
      <c r="YA35" s="11"/>
      <c r="YB35" s="259"/>
    </row>
    <row r="36" spans="1:652" x14ac:dyDescent="0.3">
      <c r="A36" s="223" t="s">
        <v>204</v>
      </c>
      <c r="B36" s="271"/>
      <c r="C36" s="48"/>
      <c r="D36" s="48"/>
      <c r="E36" s="235"/>
      <c r="F36" s="239">
        <v>1</v>
      </c>
      <c r="G36" s="49"/>
      <c r="H36" s="66" t="s">
        <v>569</v>
      </c>
      <c r="I36" s="49" t="s">
        <v>570</v>
      </c>
      <c r="J36" s="49" t="s">
        <v>773</v>
      </c>
      <c r="K36" s="49" t="s">
        <v>572</v>
      </c>
      <c r="L36" s="49">
        <v>31.3</v>
      </c>
      <c r="M36" s="49" t="s">
        <v>573</v>
      </c>
      <c r="N36" s="49" t="s">
        <v>568</v>
      </c>
      <c r="O36" s="49"/>
      <c r="P36" s="49" t="s">
        <v>774</v>
      </c>
      <c r="Q36" s="49"/>
      <c r="R36" s="49"/>
      <c r="S36" s="49"/>
      <c r="T36" s="49"/>
      <c r="U36" s="49"/>
      <c r="V36" s="260"/>
      <c r="W36" s="276"/>
      <c r="X36" s="49"/>
      <c r="Y36" s="49"/>
      <c r="Z36" s="249"/>
      <c r="AA36" s="254">
        <v>1</v>
      </c>
      <c r="AB36" s="49"/>
      <c r="AC36" s="66" t="s">
        <v>569</v>
      </c>
      <c r="AD36" s="49" t="s">
        <v>570</v>
      </c>
      <c r="AE36" s="49" t="s">
        <v>775</v>
      </c>
      <c r="AF36" s="49" t="s">
        <v>572</v>
      </c>
      <c r="AG36" s="49">
        <v>31.75</v>
      </c>
      <c r="AH36" s="49" t="s">
        <v>573</v>
      </c>
      <c r="AI36" s="49" t="s">
        <v>568</v>
      </c>
      <c r="AJ36" s="49"/>
      <c r="AK36" s="49" t="s">
        <v>774</v>
      </c>
      <c r="AL36" s="49"/>
      <c r="AM36" s="49"/>
      <c r="AN36" s="49"/>
      <c r="AO36" s="49"/>
      <c r="AP36" s="49"/>
      <c r="AQ36" s="260"/>
      <c r="AR36" s="271"/>
      <c r="AS36" s="48"/>
      <c r="AT36" s="48"/>
      <c r="AU36" s="235"/>
      <c r="AV36" s="239">
        <v>1</v>
      </c>
      <c r="AW36" s="49"/>
      <c r="AX36" s="49" t="s">
        <v>569</v>
      </c>
      <c r="AY36" s="49" t="s">
        <v>570</v>
      </c>
      <c r="AZ36" s="49" t="s">
        <v>776</v>
      </c>
      <c r="BA36" s="49" t="s">
        <v>572</v>
      </c>
      <c r="BB36" s="49">
        <v>32.25</v>
      </c>
      <c r="BC36" s="49" t="s">
        <v>573</v>
      </c>
      <c r="BD36" s="49" t="s">
        <v>568</v>
      </c>
      <c r="BE36" s="49"/>
      <c r="BF36" s="49" t="s">
        <v>777</v>
      </c>
      <c r="BG36" s="49"/>
      <c r="BH36" s="49"/>
      <c r="BI36" s="49"/>
      <c r="BJ36" s="49"/>
      <c r="BK36" s="49"/>
      <c r="BL36" s="260"/>
      <c r="BM36" s="276"/>
      <c r="BN36" s="49"/>
      <c r="BO36" s="49"/>
      <c r="BP36" s="249"/>
      <c r="BQ36" s="254">
        <v>1</v>
      </c>
      <c r="BR36" s="49"/>
      <c r="BS36" s="49" t="s">
        <v>569</v>
      </c>
      <c r="BT36" s="49" t="s">
        <v>570</v>
      </c>
      <c r="BU36" s="49" t="s">
        <v>778</v>
      </c>
      <c r="BV36" s="49" t="s">
        <v>572</v>
      </c>
      <c r="BW36" s="49">
        <v>32.18</v>
      </c>
      <c r="BX36" s="49" t="s">
        <v>573</v>
      </c>
      <c r="BY36" s="49" t="s">
        <v>568</v>
      </c>
      <c r="BZ36" s="49"/>
      <c r="CA36" s="49" t="s">
        <v>777</v>
      </c>
      <c r="CB36" s="49"/>
      <c r="CC36" s="49"/>
      <c r="CD36" s="49"/>
      <c r="CE36" s="49"/>
      <c r="CF36" s="49"/>
      <c r="CG36" s="260"/>
      <c r="CH36" s="276"/>
      <c r="CI36" s="49"/>
      <c r="CJ36" s="49"/>
      <c r="CK36" s="249"/>
      <c r="CL36" s="53">
        <v>1</v>
      </c>
      <c r="CM36" s="53"/>
      <c r="CN36" s="53" t="s">
        <v>569</v>
      </c>
      <c r="CO36" s="53" t="s">
        <v>570</v>
      </c>
      <c r="CP36" s="53" t="s">
        <v>779</v>
      </c>
      <c r="CQ36" s="80" t="s">
        <v>572</v>
      </c>
      <c r="CR36" s="53">
        <v>43.59</v>
      </c>
      <c r="CS36" s="54" t="s">
        <v>573</v>
      </c>
      <c r="CT36" s="84" t="s">
        <v>568</v>
      </c>
      <c r="CU36" s="53"/>
      <c r="CV36" s="66" t="s">
        <v>780</v>
      </c>
      <c r="CW36" s="49"/>
      <c r="CX36" s="49"/>
      <c r="CY36" s="49"/>
      <c r="CZ36" s="49"/>
      <c r="DA36" s="49"/>
      <c r="DB36" s="260"/>
      <c r="DC36" s="276"/>
      <c r="DD36" s="49"/>
      <c r="DE36" s="49"/>
      <c r="DF36" s="249"/>
      <c r="DG36" s="254"/>
      <c r="DH36" s="49"/>
      <c r="DI36" s="49"/>
      <c r="DJ36" s="49"/>
      <c r="DK36" s="49"/>
      <c r="DL36" s="49"/>
      <c r="DM36" s="49"/>
      <c r="DN36" s="49"/>
      <c r="DO36" s="49"/>
      <c r="DP36" s="49"/>
      <c r="DQ36" s="49"/>
      <c r="DR36" s="49"/>
      <c r="DS36" s="49"/>
      <c r="DT36" s="49"/>
      <c r="DU36" s="49"/>
      <c r="DV36" s="49"/>
      <c r="DW36" s="260"/>
      <c r="DX36" s="276"/>
      <c r="DY36" s="49"/>
      <c r="DZ36" s="49"/>
      <c r="EA36" s="249"/>
      <c r="EB36" s="53"/>
      <c r="EC36" s="53"/>
      <c r="ED36" s="53"/>
      <c r="EE36" s="53"/>
      <c r="EF36" s="53"/>
      <c r="EG36" s="80"/>
      <c r="EH36" s="53"/>
      <c r="EI36" s="54"/>
      <c r="EJ36" s="84"/>
      <c r="EK36" s="53"/>
      <c r="EL36" s="66"/>
      <c r="EM36" s="49"/>
      <c r="EN36" s="49"/>
      <c r="EO36" s="49"/>
      <c r="EP36" s="49"/>
      <c r="EQ36" s="49"/>
      <c r="ER36" s="260"/>
      <c r="ES36" s="276"/>
      <c r="ET36" s="49"/>
      <c r="EU36" s="49"/>
      <c r="EV36" s="249"/>
      <c r="EW36" s="254"/>
      <c r="EX36" s="49"/>
      <c r="EY36" s="49"/>
      <c r="EZ36" s="49"/>
      <c r="FA36" s="49"/>
      <c r="FB36" s="49"/>
      <c r="FC36" s="49"/>
      <c r="FD36" s="49"/>
      <c r="FE36" s="49"/>
      <c r="FF36" s="49"/>
      <c r="FG36" s="49"/>
      <c r="FH36" s="49"/>
      <c r="FI36" s="49"/>
      <c r="FJ36" s="49"/>
      <c r="FK36" s="49"/>
      <c r="FL36" s="49"/>
      <c r="FM36" s="260"/>
      <c r="FN36" s="276"/>
      <c r="FO36" s="49"/>
      <c r="FP36" s="49"/>
      <c r="FQ36" s="249"/>
      <c r="FR36" s="53"/>
      <c r="FS36" s="53"/>
      <c r="FT36" s="53"/>
      <c r="FU36" s="53"/>
      <c r="FV36" s="53"/>
      <c r="FW36" s="80"/>
      <c r="FX36" s="53"/>
      <c r="FY36" s="54"/>
      <c r="FZ36" s="84"/>
      <c r="GA36" s="53"/>
      <c r="GB36" s="66"/>
      <c r="GC36" s="49"/>
      <c r="GD36" s="49"/>
      <c r="GE36" s="49"/>
      <c r="GF36" s="49"/>
      <c r="GG36" s="49"/>
      <c r="GH36" s="260"/>
      <c r="GI36" s="276"/>
      <c r="GJ36" s="49"/>
      <c r="GK36" s="49"/>
      <c r="GL36" s="249"/>
      <c r="GM36" s="254"/>
      <c r="GN36" s="49"/>
      <c r="GO36" s="49"/>
      <c r="GP36" s="49"/>
      <c r="GQ36" s="49"/>
      <c r="GR36" s="49"/>
      <c r="GS36" s="49"/>
      <c r="GT36" s="49"/>
      <c r="GU36" s="49"/>
      <c r="GV36" s="49"/>
      <c r="GW36" s="49"/>
      <c r="GX36" s="49"/>
      <c r="GY36" s="49"/>
      <c r="GZ36" s="49"/>
      <c r="HA36" s="49"/>
      <c r="HB36" s="49"/>
      <c r="HC36" s="260"/>
      <c r="HD36" s="276"/>
      <c r="HE36" s="49"/>
      <c r="HF36" s="49"/>
      <c r="HG36" s="249"/>
      <c r="HH36" s="254"/>
      <c r="HI36" s="49"/>
      <c r="HJ36" s="49"/>
      <c r="HK36" s="49"/>
      <c r="HL36" s="49"/>
      <c r="HM36" s="49"/>
      <c r="HN36" s="49"/>
      <c r="HO36" s="49"/>
      <c r="HP36" s="49"/>
      <c r="HQ36" s="49"/>
      <c r="HR36" s="49"/>
      <c r="HS36" s="49"/>
      <c r="HT36" s="49"/>
      <c r="HU36" s="49"/>
      <c r="HV36" s="49"/>
      <c r="HW36" s="49"/>
      <c r="HX36" s="260"/>
      <c r="HY36" s="276"/>
      <c r="HZ36" s="49"/>
      <c r="IA36" s="49"/>
      <c r="IB36" s="249"/>
      <c r="IC36" s="254"/>
      <c r="ID36" s="49"/>
      <c r="IE36" s="49"/>
      <c r="IF36" s="49"/>
      <c r="IG36" s="49"/>
      <c r="IH36" s="49"/>
      <c r="II36" s="49"/>
      <c r="IJ36" s="49"/>
      <c r="IK36" s="49"/>
      <c r="IL36" s="49"/>
      <c r="IM36" s="49"/>
      <c r="IN36" s="49"/>
      <c r="IO36" s="49"/>
      <c r="IP36" s="49"/>
      <c r="IQ36" s="49"/>
      <c r="IR36" s="49"/>
      <c r="IS36" s="260"/>
      <c r="IT36" s="276"/>
      <c r="IU36" s="49"/>
      <c r="IV36" s="49"/>
      <c r="IW36" s="249"/>
      <c r="IX36" s="254"/>
      <c r="IY36" s="49"/>
      <c r="IZ36" s="49"/>
      <c r="JA36" s="49"/>
      <c r="JB36" s="49"/>
      <c r="JC36" s="49"/>
      <c r="JD36" s="49"/>
      <c r="JE36" s="49"/>
      <c r="JF36" s="49"/>
      <c r="JG36" s="49"/>
      <c r="JH36" s="49"/>
      <c r="JI36" s="49"/>
      <c r="JJ36" s="49"/>
      <c r="JK36" s="49"/>
      <c r="JL36" s="49"/>
      <c r="JM36" s="49"/>
      <c r="JN36" s="260"/>
      <c r="JO36" s="276"/>
      <c r="JP36" s="49"/>
      <c r="JQ36" s="49"/>
      <c r="JR36" s="249"/>
      <c r="JS36" s="254"/>
      <c r="JT36" s="49"/>
      <c r="JU36" s="49"/>
      <c r="JV36" s="49"/>
      <c r="JW36" s="49"/>
      <c r="JX36" s="49"/>
      <c r="JY36" s="49"/>
      <c r="JZ36" s="49"/>
      <c r="KA36" s="49"/>
      <c r="KB36" s="49"/>
      <c r="KC36" s="49"/>
      <c r="KD36" s="49"/>
      <c r="KE36" s="49"/>
      <c r="KF36" s="49"/>
      <c r="KG36" s="49"/>
      <c r="KH36" s="49"/>
      <c r="KI36" s="260"/>
      <c r="KJ36" s="276"/>
      <c r="KK36" s="49"/>
      <c r="KL36" s="49"/>
      <c r="KM36" s="249"/>
      <c r="KN36" s="254"/>
      <c r="KO36" s="49"/>
      <c r="KP36" s="49"/>
      <c r="KQ36" s="49"/>
      <c r="KR36" s="49"/>
      <c r="KS36" s="49"/>
      <c r="KT36" s="49"/>
      <c r="KU36" s="49"/>
      <c r="KV36" s="49"/>
      <c r="KW36" s="49"/>
      <c r="KX36" s="49"/>
      <c r="KY36" s="49"/>
      <c r="KZ36" s="49"/>
      <c r="LA36" s="49"/>
      <c r="LB36" s="49"/>
      <c r="LC36" s="49"/>
      <c r="LD36" s="260"/>
      <c r="LE36" s="276"/>
      <c r="LF36" s="49"/>
      <c r="LG36" s="49"/>
      <c r="LH36" s="249"/>
      <c r="LI36" s="254"/>
      <c r="LJ36" s="49"/>
      <c r="LK36" s="49"/>
      <c r="LL36" s="49"/>
      <c r="LM36" s="49"/>
      <c r="LN36" s="49"/>
      <c r="LO36" s="49"/>
      <c r="LP36" s="49"/>
      <c r="LQ36" s="49"/>
      <c r="LR36" s="49"/>
      <c r="LS36" s="49"/>
      <c r="LT36" s="49"/>
      <c r="LU36" s="49"/>
      <c r="LV36" s="49"/>
      <c r="LW36" s="49"/>
      <c r="LX36" s="49"/>
      <c r="LY36" s="260"/>
      <c r="LZ36" s="276"/>
      <c r="MA36" s="49"/>
      <c r="MB36" s="49"/>
      <c r="MC36" s="249"/>
      <c r="MD36" s="254"/>
      <c r="ME36" s="49"/>
      <c r="MF36" s="49"/>
      <c r="MG36" s="49"/>
      <c r="MH36" s="49"/>
      <c r="MI36" s="49"/>
      <c r="MJ36" s="49"/>
      <c r="MK36" s="49"/>
      <c r="ML36" s="49"/>
      <c r="MM36" s="49"/>
      <c r="MN36" s="49"/>
      <c r="MO36" s="49"/>
      <c r="MP36" s="49"/>
      <c r="MQ36" s="49"/>
      <c r="MR36" s="49"/>
      <c r="MS36" s="49"/>
      <c r="MT36" s="260"/>
      <c r="MU36" s="276"/>
      <c r="MV36" s="49"/>
      <c r="MW36" s="49"/>
      <c r="MX36" s="249"/>
      <c r="MY36" s="254"/>
      <c r="MZ36" s="49"/>
      <c r="NA36" s="49"/>
      <c r="NB36" s="49"/>
      <c r="NC36" s="49"/>
      <c r="ND36" s="49"/>
      <c r="NE36" s="49"/>
      <c r="NF36" s="49"/>
      <c r="NG36" s="49"/>
      <c r="NH36" s="49"/>
      <c r="NI36" s="49"/>
      <c r="NJ36" s="49"/>
      <c r="NK36" s="49"/>
      <c r="NL36" s="49"/>
      <c r="NM36" s="49"/>
      <c r="NN36" s="49"/>
      <c r="NO36" s="260"/>
      <c r="NP36" s="276"/>
      <c r="NQ36" s="49"/>
      <c r="NR36" s="49"/>
      <c r="NS36" s="249"/>
      <c r="NT36" s="254"/>
      <c r="NU36" s="49"/>
      <c r="NV36" s="49"/>
      <c r="NW36" s="49"/>
      <c r="NX36" s="49"/>
      <c r="NY36" s="49"/>
      <c r="NZ36" s="49"/>
      <c r="OA36" s="49"/>
      <c r="OB36" s="49"/>
      <c r="OC36" s="49"/>
      <c r="OD36" s="49"/>
      <c r="OE36" s="49"/>
      <c r="OF36" s="49"/>
      <c r="OG36" s="49"/>
      <c r="OH36" s="49"/>
      <c r="OI36" s="49"/>
      <c r="OJ36" s="260"/>
      <c r="OK36" s="276"/>
      <c r="OL36" s="49"/>
      <c r="OM36" s="49"/>
      <c r="ON36" s="249"/>
      <c r="OO36" s="254"/>
      <c r="OP36" s="49"/>
      <c r="OQ36" s="49"/>
      <c r="OR36" s="49"/>
      <c r="OS36" s="49"/>
      <c r="OT36" s="49"/>
      <c r="OU36" s="49"/>
      <c r="OV36" s="49"/>
      <c r="OW36" s="49"/>
      <c r="OX36" s="49"/>
      <c r="OY36" s="49"/>
      <c r="OZ36" s="49"/>
      <c r="PA36" s="49"/>
      <c r="PB36" s="49"/>
      <c r="PC36" s="49"/>
      <c r="PD36" s="49"/>
      <c r="PE36" s="260"/>
      <c r="PF36" s="276"/>
      <c r="PG36" s="49"/>
      <c r="PH36" s="49"/>
      <c r="PI36" s="249"/>
      <c r="PJ36" s="254"/>
      <c r="PK36" s="49"/>
      <c r="PL36" s="49"/>
      <c r="PM36" s="49"/>
      <c r="PN36" s="49"/>
      <c r="PO36" s="49"/>
      <c r="PP36" s="49"/>
      <c r="PQ36" s="49"/>
      <c r="PR36" s="49"/>
      <c r="PS36" s="49"/>
      <c r="PT36" s="49"/>
      <c r="PU36" s="49"/>
      <c r="PV36" s="49"/>
      <c r="PW36" s="49"/>
      <c r="PX36" s="49"/>
      <c r="PY36" s="49"/>
      <c r="PZ36" s="260"/>
      <c r="QA36" s="276"/>
      <c r="QB36" s="49"/>
      <c r="QC36" s="49"/>
      <c r="QD36" s="249"/>
      <c r="QE36" s="254"/>
      <c r="QF36" s="49"/>
      <c r="QG36" s="49"/>
      <c r="QH36" s="49"/>
      <c r="QI36" s="49"/>
      <c r="QJ36" s="49"/>
      <c r="QK36" s="49"/>
      <c r="QL36" s="49"/>
      <c r="QM36" s="49"/>
      <c r="QN36" s="49"/>
      <c r="QO36" s="49"/>
      <c r="QP36" s="49"/>
      <c r="QQ36" s="49"/>
      <c r="QR36" s="49"/>
      <c r="QS36" s="49"/>
      <c r="QT36" s="49"/>
      <c r="QU36" s="260"/>
      <c r="QV36" s="276"/>
      <c r="QW36" s="49"/>
      <c r="QX36" s="49"/>
      <c r="QY36" s="249"/>
      <c r="QZ36" s="254"/>
      <c r="RA36" s="49"/>
      <c r="RB36" s="49"/>
      <c r="RC36" s="49"/>
      <c r="RD36" s="49"/>
      <c r="RE36" s="49"/>
      <c r="RF36" s="49"/>
      <c r="RG36" s="49"/>
      <c r="RH36" s="49"/>
      <c r="RI36" s="49"/>
      <c r="RJ36" s="49"/>
      <c r="RK36" s="49"/>
      <c r="RL36" s="49"/>
      <c r="RM36" s="49"/>
      <c r="RN36" s="49"/>
      <c r="RO36" s="49"/>
      <c r="RP36" s="260"/>
      <c r="RQ36" s="276"/>
      <c r="RR36" s="49"/>
      <c r="RS36" s="49"/>
      <c r="RT36" s="249"/>
      <c r="RU36" s="254"/>
      <c r="RV36" s="49"/>
      <c r="RW36" s="49"/>
      <c r="RX36" s="49"/>
      <c r="RY36" s="49"/>
      <c r="RZ36" s="49"/>
      <c r="SA36" s="49"/>
      <c r="SB36" s="49"/>
      <c r="SC36" s="49"/>
      <c r="SD36" s="49"/>
      <c r="SE36" s="49"/>
      <c r="SF36" s="49"/>
      <c r="SG36" s="49"/>
      <c r="SH36" s="49"/>
      <c r="SI36" s="49"/>
      <c r="SJ36" s="49"/>
      <c r="SK36" s="260"/>
      <c r="SL36" s="276"/>
      <c r="SM36" s="49"/>
      <c r="SN36" s="49"/>
      <c r="SO36" s="249"/>
      <c r="SP36" s="254"/>
      <c r="SQ36" s="49"/>
      <c r="SR36" s="49"/>
      <c r="SS36" s="49"/>
      <c r="ST36" s="49"/>
      <c r="SU36" s="49"/>
      <c r="SV36" s="49"/>
      <c r="SW36" s="49"/>
      <c r="SX36" s="49"/>
      <c r="SY36" s="49"/>
      <c r="SZ36" s="49"/>
      <c r="TA36" s="49"/>
      <c r="TB36" s="49"/>
      <c r="TC36" s="49"/>
      <c r="TD36" s="49"/>
      <c r="TE36" s="49"/>
      <c r="TF36" s="260"/>
      <c r="TG36" s="276"/>
      <c r="TH36" s="49"/>
      <c r="TI36" s="49"/>
      <c r="TJ36" s="249"/>
      <c r="TK36" s="254"/>
      <c r="TL36" s="49"/>
      <c r="TM36" s="49"/>
      <c r="TN36" s="49"/>
      <c r="TO36" s="49"/>
      <c r="TP36" s="49"/>
      <c r="TQ36" s="49"/>
      <c r="TR36" s="49"/>
      <c r="TS36" s="49"/>
      <c r="TT36" s="49"/>
      <c r="TU36" s="49"/>
      <c r="TV36" s="49"/>
      <c r="TW36" s="49"/>
      <c r="TX36" s="49"/>
      <c r="TY36" s="49"/>
      <c r="TZ36" s="49"/>
      <c r="UA36" s="260"/>
      <c r="UB36" s="276"/>
      <c r="UC36" s="49"/>
      <c r="UD36" s="49"/>
      <c r="UE36" s="249"/>
      <c r="UF36" s="254"/>
      <c r="UG36" s="49"/>
      <c r="UH36" s="49"/>
      <c r="UI36" s="49"/>
      <c r="UJ36" s="49"/>
      <c r="UK36" s="49"/>
      <c r="UL36" s="49"/>
      <c r="UM36" s="49"/>
      <c r="UN36" s="49"/>
      <c r="UO36" s="49"/>
      <c r="UP36" s="49"/>
      <c r="UQ36" s="49"/>
      <c r="UR36" s="49"/>
      <c r="US36" s="49"/>
      <c r="UT36" s="49"/>
      <c r="UU36" s="49"/>
      <c r="UV36" s="260"/>
      <c r="UW36" s="276"/>
      <c r="UX36" s="49"/>
      <c r="UY36" s="49"/>
      <c r="UZ36" s="249"/>
      <c r="VA36" s="254"/>
      <c r="VB36" s="49"/>
      <c r="VC36" s="49"/>
      <c r="VD36" s="49"/>
      <c r="VE36" s="49"/>
      <c r="VF36" s="49"/>
      <c r="VG36" s="49"/>
      <c r="VH36" s="49"/>
      <c r="VI36" s="49"/>
      <c r="VJ36" s="49"/>
      <c r="VK36" s="49"/>
      <c r="VL36" s="49"/>
      <c r="VM36" s="49"/>
      <c r="VN36" s="49"/>
      <c r="VO36" s="49"/>
      <c r="VP36" s="49"/>
      <c r="VQ36" s="260"/>
      <c r="VR36" s="276"/>
      <c r="VS36" s="49"/>
      <c r="VT36" s="49"/>
      <c r="VU36" s="249"/>
      <c r="VV36" s="254"/>
      <c r="VW36" s="49"/>
      <c r="VX36" s="49"/>
      <c r="VY36" s="49"/>
      <c r="VZ36" s="49"/>
      <c r="WA36" s="49"/>
      <c r="WB36" s="49"/>
      <c r="WC36" s="49"/>
      <c r="WD36" s="49"/>
      <c r="WE36" s="49"/>
      <c r="WF36" s="49"/>
      <c r="WG36" s="49"/>
      <c r="WH36" s="49"/>
      <c r="WI36" s="49"/>
      <c r="WJ36" s="49"/>
      <c r="WK36" s="49"/>
      <c r="WL36" s="260"/>
      <c r="WM36" s="276"/>
      <c r="WN36" s="49"/>
      <c r="WO36" s="49"/>
      <c r="WP36" s="249"/>
      <c r="WQ36" s="254"/>
      <c r="WR36" s="49"/>
      <c r="WS36" s="49"/>
      <c r="WT36" s="49"/>
      <c r="WU36" s="49"/>
      <c r="WV36" s="49"/>
      <c r="WW36" s="49"/>
      <c r="WX36" s="49"/>
      <c r="WY36" s="49"/>
      <c r="WZ36" s="49"/>
      <c r="XA36" s="49"/>
      <c r="XB36" s="49"/>
      <c r="XC36" s="49"/>
      <c r="XD36" s="49"/>
      <c r="XE36" s="49"/>
      <c r="XF36" s="49"/>
      <c r="XG36" s="260"/>
      <c r="XH36" s="276"/>
      <c r="XI36" s="49"/>
      <c r="XJ36" s="49"/>
      <c r="XK36" s="249"/>
      <c r="XL36" s="254"/>
      <c r="XM36" s="49"/>
      <c r="XN36" s="49"/>
      <c r="XO36" s="49"/>
      <c r="XP36" s="49"/>
      <c r="XQ36" s="49"/>
      <c r="XR36" s="49"/>
      <c r="XS36" s="49"/>
      <c r="XT36" s="49"/>
      <c r="XU36" s="49"/>
      <c r="XV36" s="49"/>
      <c r="XW36" s="49"/>
      <c r="XX36" s="49"/>
      <c r="XY36" s="49"/>
      <c r="XZ36" s="49"/>
      <c r="YA36" s="49"/>
      <c r="YB36" s="260"/>
    </row>
    <row r="37" spans="1:652" x14ac:dyDescent="0.3">
      <c r="A37" s="224" t="s">
        <v>212</v>
      </c>
      <c r="B37" s="270" t="s">
        <v>626</v>
      </c>
      <c r="C37" s="10" t="s">
        <v>631</v>
      </c>
      <c r="D37" s="12" t="str">
        <f>J37</f>
        <v>69171G</v>
      </c>
      <c r="E37" s="234"/>
      <c r="F37" s="238">
        <v>1</v>
      </c>
      <c r="G37" s="11"/>
      <c r="H37" s="125" t="s">
        <v>569</v>
      </c>
      <c r="I37" s="11" t="s">
        <v>570</v>
      </c>
      <c r="J37" s="11" t="s">
        <v>781</v>
      </c>
      <c r="K37" s="12" t="s">
        <v>572</v>
      </c>
      <c r="L37" s="11">
        <v>26.04</v>
      </c>
      <c r="M37" s="11" t="s">
        <v>573</v>
      </c>
      <c r="N37" s="11" t="s">
        <v>568</v>
      </c>
      <c r="O37" s="11">
        <v>43556</v>
      </c>
      <c r="P37" s="11" t="s">
        <v>782</v>
      </c>
      <c r="Q37" s="11"/>
      <c r="R37" s="11"/>
      <c r="S37" s="11"/>
      <c r="T37" s="11"/>
      <c r="U37" s="11"/>
      <c r="V37" s="259"/>
      <c r="W37" s="313" t="s">
        <v>626</v>
      </c>
      <c r="X37" s="11" t="s">
        <v>631</v>
      </c>
      <c r="Y37" s="11" t="str">
        <f>AE37</f>
        <v>69173G</v>
      </c>
      <c r="Z37" s="248"/>
      <c r="AA37" s="253">
        <v>1</v>
      </c>
      <c r="AB37" s="11"/>
      <c r="AC37" s="125" t="s">
        <v>569</v>
      </c>
      <c r="AD37" s="11" t="s">
        <v>570</v>
      </c>
      <c r="AE37" s="11" t="s">
        <v>783</v>
      </c>
      <c r="AF37" s="11" t="s">
        <v>572</v>
      </c>
      <c r="AG37" s="11">
        <v>25.57</v>
      </c>
      <c r="AH37" s="11" t="s">
        <v>573</v>
      </c>
      <c r="AI37" s="11" t="s">
        <v>568</v>
      </c>
      <c r="AJ37" s="11">
        <v>43627</v>
      </c>
      <c r="AK37" s="11" t="s">
        <v>782</v>
      </c>
      <c r="AL37" s="11"/>
      <c r="AM37" s="11"/>
      <c r="AN37" s="11"/>
      <c r="AO37" s="11"/>
      <c r="AP37" s="11"/>
      <c r="AQ37" s="259"/>
      <c r="AR37" s="270"/>
      <c r="AS37" s="10"/>
      <c r="AT37" s="10"/>
      <c r="AU37" s="234"/>
      <c r="AV37" s="238"/>
      <c r="AW37" s="11"/>
      <c r="AX37" s="11"/>
      <c r="AY37" s="11"/>
      <c r="AZ37" s="11"/>
      <c r="BA37" s="11"/>
      <c r="BB37" s="11"/>
      <c r="BC37" s="11"/>
      <c r="BD37" s="11"/>
      <c r="BE37" s="11"/>
      <c r="BF37" s="11"/>
      <c r="BG37" s="11"/>
      <c r="BH37" s="11"/>
      <c r="BI37" s="11"/>
      <c r="BJ37" s="11"/>
      <c r="BK37" s="11"/>
      <c r="BL37" s="259"/>
      <c r="BM37" s="275"/>
      <c r="BN37" s="11"/>
      <c r="BO37" s="11"/>
      <c r="BP37" s="248"/>
      <c r="BQ37" s="253"/>
      <c r="BR37" s="11"/>
      <c r="BS37" s="11"/>
      <c r="BT37" s="11"/>
      <c r="BU37" s="11"/>
      <c r="BV37" s="11"/>
      <c r="BW37" s="11"/>
      <c r="BX37" s="11"/>
      <c r="BY37" s="11"/>
      <c r="BZ37" s="11"/>
      <c r="CA37" s="11"/>
      <c r="CB37" s="11"/>
      <c r="CC37" s="11"/>
      <c r="CD37" s="11"/>
      <c r="CE37" s="11"/>
      <c r="CF37" s="11"/>
      <c r="CG37" s="259"/>
      <c r="CH37" s="275"/>
      <c r="CI37" s="11"/>
      <c r="CJ37" s="11"/>
      <c r="CK37" s="248"/>
      <c r="CL37" s="45"/>
      <c r="CM37" s="45"/>
      <c r="CN37" s="45"/>
      <c r="CO37" s="45"/>
      <c r="CP37" s="45"/>
      <c r="CQ37" s="79"/>
      <c r="CR37" s="45"/>
      <c r="CS37" s="36"/>
      <c r="CT37" s="86"/>
      <c r="CU37" s="45"/>
      <c r="CV37" s="10"/>
      <c r="CW37" s="11"/>
      <c r="CX37" s="11"/>
      <c r="CY37" s="11"/>
      <c r="CZ37" s="11"/>
      <c r="DA37" s="11"/>
      <c r="DB37" s="259"/>
      <c r="DC37" s="275"/>
      <c r="DD37" s="11"/>
      <c r="DE37" s="11"/>
      <c r="DF37" s="248"/>
      <c r="DG37" s="253"/>
      <c r="DH37" s="11"/>
      <c r="DI37" s="11"/>
      <c r="DJ37" s="11"/>
      <c r="DK37" s="11"/>
      <c r="DL37" s="11"/>
      <c r="DM37" s="11"/>
      <c r="DN37" s="11"/>
      <c r="DO37" s="11"/>
      <c r="DP37" s="11"/>
      <c r="DQ37" s="11"/>
      <c r="DR37" s="11"/>
      <c r="DS37" s="11"/>
      <c r="DT37" s="11"/>
      <c r="DU37" s="11"/>
      <c r="DV37" s="11"/>
      <c r="DW37" s="259"/>
      <c r="DX37" s="275"/>
      <c r="DY37" s="11"/>
      <c r="DZ37" s="11"/>
      <c r="EA37" s="248"/>
      <c r="EB37" s="45"/>
      <c r="EC37" s="45"/>
      <c r="ED37" s="45"/>
      <c r="EE37" s="45"/>
      <c r="EF37" s="45"/>
      <c r="EG37" s="79"/>
      <c r="EH37" s="45"/>
      <c r="EI37" s="36"/>
      <c r="EJ37" s="86"/>
      <c r="EK37" s="45"/>
      <c r="EL37" s="10"/>
      <c r="EM37" s="11"/>
      <c r="EN37" s="11"/>
      <c r="EO37" s="11"/>
      <c r="EP37" s="11"/>
      <c r="EQ37" s="11"/>
      <c r="ER37" s="259"/>
      <c r="ES37" s="275"/>
      <c r="ET37" s="11"/>
      <c r="EU37" s="11"/>
      <c r="EV37" s="248"/>
      <c r="EW37" s="253"/>
      <c r="EX37" s="11"/>
      <c r="EY37" s="11"/>
      <c r="EZ37" s="11"/>
      <c r="FA37" s="11"/>
      <c r="FB37" s="11"/>
      <c r="FC37" s="11"/>
      <c r="FD37" s="11"/>
      <c r="FE37" s="11"/>
      <c r="FF37" s="11"/>
      <c r="FG37" s="11"/>
      <c r="FH37" s="11"/>
      <c r="FI37" s="11"/>
      <c r="FJ37" s="11"/>
      <c r="FK37" s="11"/>
      <c r="FL37" s="11"/>
      <c r="FM37" s="259"/>
      <c r="FN37" s="275"/>
      <c r="FO37" s="11"/>
      <c r="FP37" s="11"/>
      <c r="FQ37" s="248"/>
      <c r="FR37" s="45"/>
      <c r="FS37" s="45"/>
      <c r="FT37" s="45"/>
      <c r="FU37" s="45"/>
      <c r="FV37" s="45"/>
      <c r="FW37" s="79"/>
      <c r="FX37" s="45"/>
      <c r="FY37" s="36"/>
      <c r="FZ37" s="86"/>
      <c r="GA37" s="45"/>
      <c r="GB37" s="10"/>
      <c r="GC37" s="11"/>
      <c r="GD37" s="11"/>
      <c r="GE37" s="11"/>
      <c r="GF37" s="11"/>
      <c r="GG37" s="11"/>
      <c r="GH37" s="259"/>
      <c r="GI37" s="275"/>
      <c r="GJ37" s="11"/>
      <c r="GK37" s="11"/>
      <c r="GL37" s="248"/>
      <c r="GM37" s="253"/>
      <c r="GN37" s="11"/>
      <c r="GO37" s="11"/>
      <c r="GP37" s="11"/>
      <c r="GQ37" s="11"/>
      <c r="GR37" s="11"/>
      <c r="GS37" s="11"/>
      <c r="GT37" s="11"/>
      <c r="GU37" s="11"/>
      <c r="GV37" s="11"/>
      <c r="GW37" s="11"/>
      <c r="GX37" s="11"/>
      <c r="GY37" s="11"/>
      <c r="GZ37" s="11"/>
      <c r="HA37" s="11"/>
      <c r="HB37" s="11"/>
      <c r="HC37" s="259"/>
      <c r="HD37" s="275"/>
      <c r="HE37" s="11"/>
      <c r="HF37" s="11"/>
      <c r="HG37" s="248"/>
      <c r="HH37" s="253"/>
      <c r="HI37" s="11"/>
      <c r="HJ37" s="11"/>
      <c r="HK37" s="11"/>
      <c r="HL37" s="11"/>
      <c r="HM37" s="11"/>
      <c r="HN37" s="11"/>
      <c r="HO37" s="11"/>
      <c r="HP37" s="11"/>
      <c r="HQ37" s="11"/>
      <c r="HR37" s="11"/>
      <c r="HS37" s="11"/>
      <c r="HT37" s="11"/>
      <c r="HU37" s="11"/>
      <c r="HV37" s="11"/>
      <c r="HW37" s="11"/>
      <c r="HX37" s="259"/>
      <c r="HY37" s="275"/>
      <c r="HZ37" s="11"/>
      <c r="IA37" s="11"/>
      <c r="IB37" s="248"/>
      <c r="IC37" s="253"/>
      <c r="ID37" s="11"/>
      <c r="IE37" s="11"/>
      <c r="IF37" s="11"/>
      <c r="IG37" s="11"/>
      <c r="IH37" s="11"/>
      <c r="II37" s="11"/>
      <c r="IJ37" s="11"/>
      <c r="IK37" s="11"/>
      <c r="IL37" s="11"/>
      <c r="IM37" s="11"/>
      <c r="IN37" s="11"/>
      <c r="IO37" s="11"/>
      <c r="IP37" s="11"/>
      <c r="IQ37" s="11"/>
      <c r="IR37" s="11"/>
      <c r="IS37" s="259"/>
      <c r="IT37" s="275"/>
      <c r="IU37" s="11"/>
      <c r="IV37" s="11"/>
      <c r="IW37" s="248"/>
      <c r="IX37" s="253"/>
      <c r="IY37" s="11"/>
      <c r="IZ37" s="11"/>
      <c r="JA37" s="11"/>
      <c r="JB37" s="11"/>
      <c r="JC37" s="11"/>
      <c r="JD37" s="11"/>
      <c r="JE37" s="11"/>
      <c r="JF37" s="11"/>
      <c r="JG37" s="11"/>
      <c r="JH37" s="11"/>
      <c r="JI37" s="11"/>
      <c r="JJ37" s="11"/>
      <c r="JK37" s="11"/>
      <c r="JL37" s="11"/>
      <c r="JM37" s="11"/>
      <c r="JN37" s="259"/>
      <c r="JO37" s="275"/>
      <c r="JP37" s="11"/>
      <c r="JQ37" s="11"/>
      <c r="JR37" s="248"/>
      <c r="JS37" s="253"/>
      <c r="JT37" s="11"/>
      <c r="JU37" s="11"/>
      <c r="JV37" s="11"/>
      <c r="JW37" s="11"/>
      <c r="JX37" s="11"/>
      <c r="JY37" s="11"/>
      <c r="JZ37" s="11"/>
      <c r="KA37" s="11"/>
      <c r="KB37" s="11"/>
      <c r="KC37" s="11"/>
      <c r="KD37" s="11"/>
      <c r="KE37" s="11"/>
      <c r="KF37" s="11"/>
      <c r="KG37" s="11"/>
      <c r="KH37" s="11"/>
      <c r="KI37" s="259"/>
      <c r="KJ37" s="275"/>
      <c r="KK37" s="11"/>
      <c r="KL37" s="11"/>
      <c r="KM37" s="248"/>
      <c r="KN37" s="253"/>
      <c r="KO37" s="11"/>
      <c r="KP37" s="11"/>
      <c r="KQ37" s="11"/>
      <c r="KR37" s="11"/>
      <c r="KS37" s="11"/>
      <c r="KT37" s="11"/>
      <c r="KU37" s="11"/>
      <c r="KV37" s="11"/>
      <c r="KW37" s="11"/>
      <c r="KX37" s="11"/>
      <c r="KY37" s="11"/>
      <c r="KZ37" s="11"/>
      <c r="LA37" s="11"/>
      <c r="LB37" s="11"/>
      <c r="LC37" s="11"/>
      <c r="LD37" s="259"/>
      <c r="LE37" s="275"/>
      <c r="LF37" s="11"/>
      <c r="LG37" s="11"/>
      <c r="LH37" s="248"/>
      <c r="LI37" s="253"/>
      <c r="LJ37" s="11"/>
      <c r="LK37" s="11"/>
      <c r="LL37" s="11"/>
      <c r="LM37" s="11"/>
      <c r="LN37" s="11"/>
      <c r="LO37" s="11"/>
      <c r="LP37" s="11"/>
      <c r="LQ37" s="11"/>
      <c r="LR37" s="11"/>
      <c r="LS37" s="11"/>
      <c r="LT37" s="11"/>
      <c r="LU37" s="11"/>
      <c r="LV37" s="11"/>
      <c r="LW37" s="11"/>
      <c r="LX37" s="11"/>
      <c r="LY37" s="259"/>
      <c r="LZ37" s="275"/>
      <c r="MA37" s="11"/>
      <c r="MB37" s="11"/>
      <c r="MC37" s="248"/>
      <c r="MD37" s="253"/>
      <c r="ME37" s="11"/>
      <c r="MF37" s="11"/>
      <c r="MG37" s="11"/>
      <c r="MH37" s="11"/>
      <c r="MI37" s="11"/>
      <c r="MJ37" s="11"/>
      <c r="MK37" s="11"/>
      <c r="ML37" s="11"/>
      <c r="MM37" s="11"/>
      <c r="MN37" s="11"/>
      <c r="MO37" s="11"/>
      <c r="MP37" s="11"/>
      <c r="MQ37" s="11"/>
      <c r="MR37" s="11"/>
      <c r="MS37" s="11"/>
      <c r="MT37" s="259"/>
      <c r="MU37" s="275"/>
      <c r="MV37" s="11"/>
      <c r="MW37" s="11"/>
      <c r="MX37" s="248"/>
      <c r="MY37" s="253"/>
      <c r="MZ37" s="11"/>
      <c r="NA37" s="11"/>
      <c r="NB37" s="11"/>
      <c r="NC37" s="11"/>
      <c r="ND37" s="11"/>
      <c r="NE37" s="11"/>
      <c r="NF37" s="11"/>
      <c r="NG37" s="11"/>
      <c r="NH37" s="11"/>
      <c r="NI37" s="11"/>
      <c r="NJ37" s="11"/>
      <c r="NK37" s="11"/>
      <c r="NL37" s="11"/>
      <c r="NM37" s="11"/>
      <c r="NN37" s="11"/>
      <c r="NO37" s="259"/>
      <c r="NP37" s="275"/>
      <c r="NQ37" s="11"/>
      <c r="NR37" s="11"/>
      <c r="NS37" s="248"/>
      <c r="NT37" s="253"/>
      <c r="NU37" s="11"/>
      <c r="NV37" s="11"/>
      <c r="NW37" s="11"/>
      <c r="NX37" s="11"/>
      <c r="NY37" s="11"/>
      <c r="NZ37" s="11"/>
      <c r="OA37" s="11"/>
      <c r="OB37" s="11"/>
      <c r="OC37" s="11"/>
      <c r="OD37" s="11"/>
      <c r="OE37" s="11"/>
      <c r="OF37" s="11"/>
      <c r="OG37" s="11"/>
      <c r="OH37" s="11"/>
      <c r="OI37" s="11"/>
      <c r="OJ37" s="259"/>
      <c r="OK37" s="275"/>
      <c r="OL37" s="11"/>
      <c r="OM37" s="11"/>
      <c r="ON37" s="248"/>
      <c r="OO37" s="253"/>
      <c r="OP37" s="11"/>
      <c r="OQ37" s="11"/>
      <c r="OR37" s="11"/>
      <c r="OS37" s="11"/>
      <c r="OT37" s="11"/>
      <c r="OU37" s="11"/>
      <c r="OV37" s="11"/>
      <c r="OW37" s="11"/>
      <c r="OX37" s="11"/>
      <c r="OY37" s="11"/>
      <c r="OZ37" s="11"/>
      <c r="PA37" s="11"/>
      <c r="PB37" s="11"/>
      <c r="PC37" s="11"/>
      <c r="PD37" s="11"/>
      <c r="PE37" s="259"/>
      <c r="PF37" s="275"/>
      <c r="PG37" s="11"/>
      <c r="PH37" s="11"/>
      <c r="PI37" s="248"/>
      <c r="PJ37" s="253"/>
      <c r="PK37" s="11"/>
      <c r="PL37" s="11"/>
      <c r="PM37" s="11"/>
      <c r="PN37" s="11"/>
      <c r="PO37" s="11"/>
      <c r="PP37" s="11"/>
      <c r="PQ37" s="11"/>
      <c r="PR37" s="11"/>
      <c r="PS37" s="11"/>
      <c r="PT37" s="11"/>
      <c r="PU37" s="11"/>
      <c r="PV37" s="11"/>
      <c r="PW37" s="11"/>
      <c r="PX37" s="11"/>
      <c r="PY37" s="11"/>
      <c r="PZ37" s="259"/>
      <c r="QA37" s="275"/>
      <c r="QB37" s="11"/>
      <c r="QC37" s="11"/>
      <c r="QD37" s="248"/>
      <c r="QE37" s="253"/>
      <c r="QF37" s="11"/>
      <c r="QG37" s="11"/>
      <c r="QH37" s="11"/>
      <c r="QI37" s="11"/>
      <c r="QJ37" s="11"/>
      <c r="QK37" s="11"/>
      <c r="QL37" s="11"/>
      <c r="QM37" s="11"/>
      <c r="QN37" s="11"/>
      <c r="QO37" s="11"/>
      <c r="QP37" s="11"/>
      <c r="QQ37" s="11"/>
      <c r="QR37" s="11"/>
      <c r="QS37" s="11"/>
      <c r="QT37" s="11"/>
      <c r="QU37" s="259"/>
      <c r="QV37" s="275"/>
      <c r="QW37" s="11"/>
      <c r="QX37" s="11"/>
      <c r="QY37" s="248"/>
      <c r="QZ37" s="253"/>
      <c r="RA37" s="11"/>
      <c r="RB37" s="11"/>
      <c r="RC37" s="11"/>
      <c r="RD37" s="11"/>
      <c r="RE37" s="11"/>
      <c r="RF37" s="11"/>
      <c r="RG37" s="11"/>
      <c r="RH37" s="11"/>
      <c r="RI37" s="11"/>
      <c r="RJ37" s="11"/>
      <c r="RK37" s="11"/>
      <c r="RL37" s="11"/>
      <c r="RM37" s="11"/>
      <c r="RN37" s="11"/>
      <c r="RO37" s="11"/>
      <c r="RP37" s="259"/>
      <c r="RQ37" s="275"/>
      <c r="RR37" s="11"/>
      <c r="RS37" s="11"/>
      <c r="RT37" s="248"/>
      <c r="RU37" s="253"/>
      <c r="RV37" s="11"/>
      <c r="RW37" s="11"/>
      <c r="RX37" s="11"/>
      <c r="RY37" s="11"/>
      <c r="RZ37" s="11"/>
      <c r="SA37" s="11"/>
      <c r="SB37" s="11"/>
      <c r="SC37" s="11"/>
      <c r="SD37" s="11"/>
      <c r="SE37" s="11"/>
      <c r="SF37" s="11"/>
      <c r="SG37" s="11"/>
      <c r="SH37" s="11"/>
      <c r="SI37" s="11"/>
      <c r="SJ37" s="11"/>
      <c r="SK37" s="259"/>
      <c r="SL37" s="275"/>
      <c r="SM37" s="11"/>
      <c r="SN37" s="11"/>
      <c r="SO37" s="248"/>
      <c r="SP37" s="253"/>
      <c r="SQ37" s="11"/>
      <c r="SR37" s="11"/>
      <c r="SS37" s="11"/>
      <c r="ST37" s="11"/>
      <c r="SU37" s="11"/>
      <c r="SV37" s="11"/>
      <c r="SW37" s="11"/>
      <c r="SX37" s="11"/>
      <c r="SY37" s="11"/>
      <c r="SZ37" s="11"/>
      <c r="TA37" s="11"/>
      <c r="TB37" s="11"/>
      <c r="TC37" s="11"/>
      <c r="TD37" s="11"/>
      <c r="TE37" s="11"/>
      <c r="TF37" s="259"/>
      <c r="TG37" s="275"/>
      <c r="TH37" s="11"/>
      <c r="TI37" s="11"/>
      <c r="TJ37" s="248"/>
      <c r="TK37" s="253"/>
      <c r="TL37" s="11"/>
      <c r="TM37" s="11"/>
      <c r="TN37" s="11"/>
      <c r="TO37" s="11"/>
      <c r="TP37" s="11"/>
      <c r="TQ37" s="11"/>
      <c r="TR37" s="11"/>
      <c r="TS37" s="11"/>
      <c r="TT37" s="11"/>
      <c r="TU37" s="11"/>
      <c r="TV37" s="11"/>
      <c r="TW37" s="11"/>
      <c r="TX37" s="11"/>
      <c r="TY37" s="11"/>
      <c r="TZ37" s="11"/>
      <c r="UA37" s="259"/>
      <c r="UB37" s="275"/>
      <c r="UC37" s="11"/>
      <c r="UD37" s="11"/>
      <c r="UE37" s="248"/>
      <c r="UF37" s="253"/>
      <c r="UG37" s="11"/>
      <c r="UH37" s="11"/>
      <c r="UI37" s="11"/>
      <c r="UJ37" s="11"/>
      <c r="UK37" s="11"/>
      <c r="UL37" s="11"/>
      <c r="UM37" s="11"/>
      <c r="UN37" s="11"/>
      <c r="UO37" s="11"/>
      <c r="UP37" s="11"/>
      <c r="UQ37" s="11"/>
      <c r="UR37" s="11"/>
      <c r="US37" s="11"/>
      <c r="UT37" s="11"/>
      <c r="UU37" s="11"/>
      <c r="UV37" s="259"/>
      <c r="UW37" s="275"/>
      <c r="UX37" s="11"/>
      <c r="UY37" s="11"/>
      <c r="UZ37" s="248"/>
      <c r="VA37" s="253"/>
      <c r="VB37" s="11"/>
      <c r="VC37" s="11"/>
      <c r="VD37" s="11"/>
      <c r="VE37" s="11"/>
      <c r="VF37" s="11"/>
      <c r="VG37" s="11"/>
      <c r="VH37" s="11"/>
      <c r="VI37" s="11"/>
      <c r="VJ37" s="11"/>
      <c r="VK37" s="11"/>
      <c r="VL37" s="11"/>
      <c r="VM37" s="11"/>
      <c r="VN37" s="11"/>
      <c r="VO37" s="11"/>
      <c r="VP37" s="11"/>
      <c r="VQ37" s="259"/>
      <c r="VR37" s="275"/>
      <c r="VS37" s="11"/>
      <c r="VT37" s="11"/>
      <c r="VU37" s="248"/>
      <c r="VV37" s="253"/>
      <c r="VW37" s="11"/>
      <c r="VX37" s="11"/>
      <c r="VY37" s="11"/>
      <c r="VZ37" s="11"/>
      <c r="WA37" s="11"/>
      <c r="WB37" s="11"/>
      <c r="WC37" s="11"/>
      <c r="WD37" s="11"/>
      <c r="WE37" s="11"/>
      <c r="WF37" s="11"/>
      <c r="WG37" s="11"/>
      <c r="WH37" s="11"/>
      <c r="WI37" s="11"/>
      <c r="WJ37" s="11"/>
      <c r="WK37" s="11"/>
      <c r="WL37" s="259"/>
      <c r="WM37" s="275"/>
      <c r="WN37" s="11"/>
      <c r="WO37" s="11"/>
      <c r="WP37" s="248"/>
      <c r="WQ37" s="253"/>
      <c r="WR37" s="11"/>
      <c r="WS37" s="11"/>
      <c r="WT37" s="11"/>
      <c r="WU37" s="11"/>
      <c r="WV37" s="11"/>
      <c r="WW37" s="11"/>
      <c r="WX37" s="11"/>
      <c r="WY37" s="11"/>
      <c r="WZ37" s="11"/>
      <c r="XA37" s="11"/>
      <c r="XB37" s="11"/>
      <c r="XC37" s="11"/>
      <c r="XD37" s="11"/>
      <c r="XE37" s="11"/>
      <c r="XF37" s="11"/>
      <c r="XG37" s="259"/>
      <c r="XH37" s="275"/>
      <c r="XI37" s="11"/>
      <c r="XJ37" s="11"/>
      <c r="XK37" s="248"/>
      <c r="XL37" s="253"/>
      <c r="XM37" s="11"/>
      <c r="XN37" s="11"/>
      <c r="XO37" s="11"/>
      <c r="XP37" s="11"/>
      <c r="XQ37" s="11"/>
      <c r="XR37" s="11"/>
      <c r="XS37" s="11"/>
      <c r="XT37" s="11"/>
      <c r="XU37" s="11"/>
      <c r="XV37" s="11"/>
      <c r="XW37" s="11"/>
      <c r="XX37" s="11"/>
      <c r="XY37" s="11"/>
      <c r="XZ37" s="11"/>
      <c r="YA37" s="11"/>
      <c r="YB37" s="259"/>
    </row>
    <row r="38" spans="1:652" x14ac:dyDescent="0.3">
      <c r="A38" s="223" t="s">
        <v>216</v>
      </c>
      <c r="B38" s="271"/>
      <c r="C38" s="48"/>
      <c r="D38" s="48"/>
      <c r="E38" s="235"/>
      <c r="F38" s="239"/>
      <c r="G38" s="49"/>
      <c r="H38" s="49"/>
      <c r="I38" s="49"/>
      <c r="J38" s="49"/>
      <c r="K38" s="49"/>
      <c r="L38" s="49"/>
      <c r="M38" s="49"/>
      <c r="N38" s="49"/>
      <c r="O38" s="49"/>
      <c r="P38" s="49"/>
      <c r="Q38" s="49"/>
      <c r="R38" s="49"/>
      <c r="S38" s="49"/>
      <c r="T38" s="49"/>
      <c r="U38" s="49"/>
      <c r="V38" s="260"/>
      <c r="W38" s="276"/>
      <c r="X38" s="49"/>
      <c r="Y38" s="49"/>
      <c r="Z38" s="249"/>
      <c r="AA38" s="254"/>
      <c r="AB38" s="49"/>
      <c r="AC38" s="49"/>
      <c r="AD38" s="49"/>
      <c r="AE38" s="49"/>
      <c r="AF38" s="49"/>
      <c r="AG38" s="49"/>
      <c r="AH38" s="49"/>
      <c r="AI38" s="49"/>
      <c r="AJ38" s="49"/>
      <c r="AK38" s="49"/>
      <c r="AL38" s="49"/>
      <c r="AM38" s="49"/>
      <c r="AN38" s="49"/>
      <c r="AO38" s="49"/>
      <c r="AP38" s="49"/>
      <c r="AQ38" s="260"/>
      <c r="AR38" s="271"/>
      <c r="AS38" s="48"/>
      <c r="AT38" s="48"/>
      <c r="AU38" s="235"/>
      <c r="AV38" s="239"/>
      <c r="AW38" s="49"/>
      <c r="AX38" s="49"/>
      <c r="AY38" s="49"/>
      <c r="AZ38" s="49"/>
      <c r="BA38" s="49"/>
      <c r="BB38" s="49"/>
      <c r="BC38" s="49"/>
      <c r="BD38" s="49"/>
      <c r="BE38" s="49"/>
      <c r="BF38" s="49"/>
      <c r="BG38" s="49"/>
      <c r="BH38" s="49"/>
      <c r="BI38" s="49"/>
      <c r="BJ38" s="49"/>
      <c r="BK38" s="49"/>
      <c r="BL38" s="260"/>
      <c r="BM38" s="276"/>
      <c r="BN38" s="49"/>
      <c r="BO38" s="49"/>
      <c r="BP38" s="249"/>
      <c r="BQ38" s="254"/>
      <c r="BR38" s="49"/>
      <c r="BS38" s="49"/>
      <c r="BT38" s="49"/>
      <c r="BU38" s="49"/>
      <c r="BV38" s="49"/>
      <c r="BW38" s="49"/>
      <c r="BX38" s="49"/>
      <c r="BY38" s="49"/>
      <c r="BZ38" s="49"/>
      <c r="CA38" s="49"/>
      <c r="CB38" s="49"/>
      <c r="CC38" s="49"/>
      <c r="CD38" s="49"/>
      <c r="CE38" s="49"/>
      <c r="CF38" s="49"/>
      <c r="CG38" s="260"/>
      <c r="CH38" s="276"/>
      <c r="CI38" s="49"/>
      <c r="CJ38" s="49"/>
      <c r="CK38" s="249"/>
      <c r="CL38" s="53"/>
      <c r="CM38" s="53"/>
      <c r="CN38" s="53"/>
      <c r="CO38" s="53"/>
      <c r="CP38" s="53"/>
      <c r="CQ38" s="80"/>
      <c r="CR38" s="53"/>
      <c r="CS38" s="54"/>
      <c r="CT38" s="84"/>
      <c r="CU38" s="53"/>
      <c r="CV38" s="66"/>
      <c r="CW38" s="49"/>
      <c r="CX38" s="49"/>
      <c r="CY38" s="49"/>
      <c r="CZ38" s="49"/>
      <c r="DA38" s="49"/>
      <c r="DB38" s="260"/>
      <c r="DC38" s="276"/>
      <c r="DD38" s="49"/>
      <c r="DE38" s="49"/>
      <c r="DF38" s="249"/>
      <c r="DG38" s="254"/>
      <c r="DH38" s="49"/>
      <c r="DI38" s="49"/>
      <c r="DJ38" s="49"/>
      <c r="DK38" s="49"/>
      <c r="DL38" s="49"/>
      <c r="DM38" s="49"/>
      <c r="DN38" s="49"/>
      <c r="DO38" s="49"/>
      <c r="DP38" s="49"/>
      <c r="DQ38" s="49"/>
      <c r="DR38" s="49"/>
      <c r="DS38" s="49"/>
      <c r="DT38" s="49"/>
      <c r="DU38" s="49"/>
      <c r="DV38" s="49"/>
      <c r="DW38" s="260"/>
      <c r="DX38" s="276"/>
      <c r="DY38" s="49"/>
      <c r="DZ38" s="49"/>
      <c r="EA38" s="249"/>
      <c r="EB38" s="53"/>
      <c r="EC38" s="53"/>
      <c r="ED38" s="53"/>
      <c r="EE38" s="53"/>
      <c r="EF38" s="53"/>
      <c r="EG38" s="80"/>
      <c r="EH38" s="53"/>
      <c r="EI38" s="54"/>
      <c r="EJ38" s="84"/>
      <c r="EK38" s="53"/>
      <c r="EL38" s="66"/>
      <c r="EM38" s="49"/>
      <c r="EN38" s="49"/>
      <c r="EO38" s="49"/>
      <c r="EP38" s="49"/>
      <c r="EQ38" s="49"/>
      <c r="ER38" s="260"/>
      <c r="ES38" s="276"/>
      <c r="ET38" s="49"/>
      <c r="EU38" s="49"/>
      <c r="EV38" s="249"/>
      <c r="EW38" s="254"/>
      <c r="EX38" s="49"/>
      <c r="EY38" s="49"/>
      <c r="EZ38" s="49"/>
      <c r="FA38" s="49"/>
      <c r="FB38" s="49"/>
      <c r="FC38" s="49"/>
      <c r="FD38" s="49"/>
      <c r="FE38" s="49"/>
      <c r="FF38" s="49"/>
      <c r="FG38" s="49"/>
      <c r="FH38" s="49"/>
      <c r="FI38" s="49"/>
      <c r="FJ38" s="49"/>
      <c r="FK38" s="49"/>
      <c r="FL38" s="49"/>
      <c r="FM38" s="260"/>
      <c r="FN38" s="276"/>
      <c r="FO38" s="49"/>
      <c r="FP38" s="49"/>
      <c r="FQ38" s="249"/>
      <c r="FR38" s="53"/>
      <c r="FS38" s="53"/>
      <c r="FT38" s="53"/>
      <c r="FU38" s="53"/>
      <c r="FV38" s="53"/>
      <c r="FW38" s="80"/>
      <c r="FX38" s="53"/>
      <c r="FY38" s="54"/>
      <c r="FZ38" s="84"/>
      <c r="GA38" s="53"/>
      <c r="GB38" s="66"/>
      <c r="GC38" s="49"/>
      <c r="GD38" s="49"/>
      <c r="GE38" s="49"/>
      <c r="GF38" s="49"/>
      <c r="GG38" s="49"/>
      <c r="GH38" s="260"/>
      <c r="GI38" s="276"/>
      <c r="GJ38" s="49"/>
      <c r="GK38" s="49"/>
      <c r="GL38" s="249"/>
      <c r="GM38" s="254"/>
      <c r="GN38" s="49"/>
      <c r="GO38" s="49"/>
      <c r="GP38" s="49"/>
      <c r="GQ38" s="49"/>
      <c r="GR38" s="49"/>
      <c r="GS38" s="49"/>
      <c r="GT38" s="49"/>
      <c r="GU38" s="49"/>
      <c r="GV38" s="49"/>
      <c r="GW38" s="49"/>
      <c r="GX38" s="49"/>
      <c r="GY38" s="49"/>
      <c r="GZ38" s="49"/>
      <c r="HA38" s="49"/>
      <c r="HB38" s="49"/>
      <c r="HC38" s="260"/>
      <c r="HD38" s="276"/>
      <c r="HE38" s="49"/>
      <c r="HF38" s="49"/>
      <c r="HG38" s="249"/>
      <c r="HH38" s="254"/>
      <c r="HI38" s="49"/>
      <c r="HJ38" s="49"/>
      <c r="HK38" s="49"/>
      <c r="HL38" s="49"/>
      <c r="HM38" s="49"/>
      <c r="HN38" s="49"/>
      <c r="HO38" s="49"/>
      <c r="HP38" s="49"/>
      <c r="HQ38" s="49"/>
      <c r="HR38" s="49"/>
      <c r="HS38" s="49"/>
      <c r="HT38" s="49"/>
      <c r="HU38" s="49"/>
      <c r="HV38" s="49"/>
      <c r="HW38" s="49"/>
      <c r="HX38" s="260"/>
      <c r="HY38" s="276"/>
      <c r="HZ38" s="49"/>
      <c r="IA38" s="49"/>
      <c r="IB38" s="249"/>
      <c r="IC38" s="254"/>
      <c r="ID38" s="49"/>
      <c r="IE38" s="49"/>
      <c r="IF38" s="49"/>
      <c r="IG38" s="49"/>
      <c r="IH38" s="49"/>
      <c r="II38" s="49"/>
      <c r="IJ38" s="49"/>
      <c r="IK38" s="49"/>
      <c r="IL38" s="49"/>
      <c r="IM38" s="49"/>
      <c r="IN38" s="49"/>
      <c r="IO38" s="49"/>
      <c r="IP38" s="49"/>
      <c r="IQ38" s="49"/>
      <c r="IR38" s="49"/>
      <c r="IS38" s="260"/>
      <c r="IT38" s="276"/>
      <c r="IU38" s="49"/>
      <c r="IV38" s="49"/>
      <c r="IW38" s="249"/>
      <c r="IX38" s="254"/>
      <c r="IY38" s="49"/>
      <c r="IZ38" s="49"/>
      <c r="JA38" s="49"/>
      <c r="JB38" s="49"/>
      <c r="JC38" s="49"/>
      <c r="JD38" s="49"/>
      <c r="JE38" s="49"/>
      <c r="JF38" s="49"/>
      <c r="JG38" s="49"/>
      <c r="JH38" s="49"/>
      <c r="JI38" s="49"/>
      <c r="JJ38" s="49"/>
      <c r="JK38" s="49"/>
      <c r="JL38" s="49"/>
      <c r="JM38" s="49"/>
      <c r="JN38" s="260"/>
      <c r="JO38" s="276"/>
      <c r="JP38" s="49"/>
      <c r="JQ38" s="49"/>
      <c r="JR38" s="249"/>
      <c r="JS38" s="254"/>
      <c r="JT38" s="49"/>
      <c r="JU38" s="49"/>
      <c r="JV38" s="49"/>
      <c r="JW38" s="49"/>
      <c r="JX38" s="49"/>
      <c r="JY38" s="49"/>
      <c r="JZ38" s="49"/>
      <c r="KA38" s="49"/>
      <c r="KB38" s="49"/>
      <c r="KC38" s="49"/>
      <c r="KD38" s="49"/>
      <c r="KE38" s="49"/>
      <c r="KF38" s="49"/>
      <c r="KG38" s="49"/>
      <c r="KH38" s="49"/>
      <c r="KI38" s="260"/>
      <c r="KJ38" s="276"/>
      <c r="KK38" s="49"/>
      <c r="KL38" s="49"/>
      <c r="KM38" s="249"/>
      <c r="KN38" s="254"/>
      <c r="KO38" s="49"/>
      <c r="KP38" s="49"/>
      <c r="KQ38" s="49"/>
      <c r="KR38" s="49"/>
      <c r="KS38" s="49"/>
      <c r="KT38" s="49"/>
      <c r="KU38" s="49"/>
      <c r="KV38" s="49"/>
      <c r="KW38" s="49"/>
      <c r="KX38" s="49"/>
      <c r="KY38" s="49"/>
      <c r="KZ38" s="49"/>
      <c r="LA38" s="49"/>
      <c r="LB38" s="49"/>
      <c r="LC38" s="49"/>
      <c r="LD38" s="260"/>
      <c r="LE38" s="276"/>
      <c r="LF38" s="49"/>
      <c r="LG38" s="49"/>
      <c r="LH38" s="249"/>
      <c r="LI38" s="254"/>
      <c r="LJ38" s="49"/>
      <c r="LK38" s="49"/>
      <c r="LL38" s="49"/>
      <c r="LM38" s="49"/>
      <c r="LN38" s="49"/>
      <c r="LO38" s="49"/>
      <c r="LP38" s="49"/>
      <c r="LQ38" s="49"/>
      <c r="LR38" s="49"/>
      <c r="LS38" s="49"/>
      <c r="LT38" s="49"/>
      <c r="LU38" s="49"/>
      <c r="LV38" s="49"/>
      <c r="LW38" s="49"/>
      <c r="LX38" s="49"/>
      <c r="LY38" s="260"/>
      <c r="LZ38" s="276"/>
      <c r="MA38" s="49"/>
      <c r="MB38" s="49"/>
      <c r="MC38" s="249"/>
      <c r="MD38" s="254"/>
      <c r="ME38" s="49"/>
      <c r="MF38" s="49"/>
      <c r="MG38" s="49"/>
      <c r="MH38" s="49"/>
      <c r="MI38" s="49"/>
      <c r="MJ38" s="49"/>
      <c r="MK38" s="49"/>
      <c r="ML38" s="49"/>
      <c r="MM38" s="49"/>
      <c r="MN38" s="49"/>
      <c r="MO38" s="49"/>
      <c r="MP38" s="49"/>
      <c r="MQ38" s="49"/>
      <c r="MR38" s="49"/>
      <c r="MS38" s="49"/>
      <c r="MT38" s="260"/>
      <c r="MU38" s="276"/>
      <c r="MV38" s="49"/>
      <c r="MW38" s="49"/>
      <c r="MX38" s="249"/>
      <c r="MY38" s="254"/>
      <c r="MZ38" s="49"/>
      <c r="NA38" s="49"/>
      <c r="NB38" s="49"/>
      <c r="NC38" s="49"/>
      <c r="ND38" s="49"/>
      <c r="NE38" s="49"/>
      <c r="NF38" s="49"/>
      <c r="NG38" s="49"/>
      <c r="NH38" s="49"/>
      <c r="NI38" s="49"/>
      <c r="NJ38" s="49"/>
      <c r="NK38" s="49"/>
      <c r="NL38" s="49"/>
      <c r="NM38" s="49"/>
      <c r="NN38" s="49"/>
      <c r="NO38" s="260"/>
      <c r="NP38" s="276"/>
      <c r="NQ38" s="49"/>
      <c r="NR38" s="49"/>
      <c r="NS38" s="249"/>
      <c r="NT38" s="254"/>
      <c r="NU38" s="49"/>
      <c r="NV38" s="49"/>
      <c r="NW38" s="49"/>
      <c r="NX38" s="49"/>
      <c r="NY38" s="49"/>
      <c r="NZ38" s="49"/>
      <c r="OA38" s="49"/>
      <c r="OB38" s="49"/>
      <c r="OC38" s="49"/>
      <c r="OD38" s="49"/>
      <c r="OE38" s="49"/>
      <c r="OF38" s="49"/>
      <c r="OG38" s="49"/>
      <c r="OH38" s="49"/>
      <c r="OI38" s="49"/>
      <c r="OJ38" s="260"/>
      <c r="OK38" s="276"/>
      <c r="OL38" s="49"/>
      <c r="OM38" s="49"/>
      <c r="ON38" s="249"/>
      <c r="OO38" s="254"/>
      <c r="OP38" s="49"/>
      <c r="OQ38" s="49"/>
      <c r="OR38" s="49"/>
      <c r="OS38" s="49"/>
      <c r="OT38" s="49"/>
      <c r="OU38" s="49"/>
      <c r="OV38" s="49"/>
      <c r="OW38" s="49"/>
      <c r="OX38" s="49"/>
      <c r="OY38" s="49"/>
      <c r="OZ38" s="49"/>
      <c r="PA38" s="49"/>
      <c r="PB38" s="49"/>
      <c r="PC38" s="49"/>
      <c r="PD38" s="49"/>
      <c r="PE38" s="260"/>
      <c r="PF38" s="276"/>
      <c r="PG38" s="49"/>
      <c r="PH38" s="49"/>
      <c r="PI38" s="249"/>
      <c r="PJ38" s="254"/>
      <c r="PK38" s="49"/>
      <c r="PL38" s="49"/>
      <c r="PM38" s="49"/>
      <c r="PN38" s="49"/>
      <c r="PO38" s="49"/>
      <c r="PP38" s="49"/>
      <c r="PQ38" s="49"/>
      <c r="PR38" s="49"/>
      <c r="PS38" s="49"/>
      <c r="PT38" s="49"/>
      <c r="PU38" s="49"/>
      <c r="PV38" s="49"/>
      <c r="PW38" s="49"/>
      <c r="PX38" s="49"/>
      <c r="PY38" s="49"/>
      <c r="PZ38" s="260"/>
      <c r="QA38" s="276"/>
      <c r="QB38" s="49"/>
      <c r="QC38" s="49"/>
      <c r="QD38" s="249"/>
      <c r="QE38" s="254"/>
      <c r="QF38" s="49"/>
      <c r="QG38" s="49"/>
      <c r="QH38" s="49"/>
      <c r="QI38" s="49"/>
      <c r="QJ38" s="49"/>
      <c r="QK38" s="49"/>
      <c r="QL38" s="49"/>
      <c r="QM38" s="49"/>
      <c r="QN38" s="49"/>
      <c r="QO38" s="49"/>
      <c r="QP38" s="49"/>
      <c r="QQ38" s="49"/>
      <c r="QR38" s="49"/>
      <c r="QS38" s="49"/>
      <c r="QT38" s="49"/>
      <c r="QU38" s="260"/>
      <c r="QV38" s="276"/>
      <c r="QW38" s="49"/>
      <c r="QX38" s="49"/>
      <c r="QY38" s="249"/>
      <c r="QZ38" s="254"/>
      <c r="RA38" s="49"/>
      <c r="RB38" s="49"/>
      <c r="RC38" s="49"/>
      <c r="RD38" s="49"/>
      <c r="RE38" s="49"/>
      <c r="RF38" s="49"/>
      <c r="RG38" s="49"/>
      <c r="RH38" s="49"/>
      <c r="RI38" s="49"/>
      <c r="RJ38" s="49"/>
      <c r="RK38" s="49"/>
      <c r="RL38" s="49"/>
      <c r="RM38" s="49"/>
      <c r="RN38" s="49"/>
      <c r="RO38" s="49"/>
      <c r="RP38" s="260"/>
      <c r="RQ38" s="276"/>
      <c r="RR38" s="49"/>
      <c r="RS38" s="49"/>
      <c r="RT38" s="249"/>
      <c r="RU38" s="254"/>
      <c r="RV38" s="49"/>
      <c r="RW38" s="49"/>
      <c r="RX38" s="49"/>
      <c r="RY38" s="49"/>
      <c r="RZ38" s="49"/>
      <c r="SA38" s="49"/>
      <c r="SB38" s="49"/>
      <c r="SC38" s="49"/>
      <c r="SD38" s="49"/>
      <c r="SE38" s="49"/>
      <c r="SF38" s="49"/>
      <c r="SG38" s="49"/>
      <c r="SH38" s="49"/>
      <c r="SI38" s="49"/>
      <c r="SJ38" s="49"/>
      <c r="SK38" s="260"/>
      <c r="SL38" s="276"/>
      <c r="SM38" s="49"/>
      <c r="SN38" s="49"/>
      <c r="SO38" s="249"/>
      <c r="SP38" s="254"/>
      <c r="SQ38" s="49"/>
      <c r="SR38" s="49"/>
      <c r="SS38" s="49"/>
      <c r="ST38" s="49"/>
      <c r="SU38" s="49"/>
      <c r="SV38" s="49"/>
      <c r="SW38" s="49"/>
      <c r="SX38" s="49"/>
      <c r="SY38" s="49"/>
      <c r="SZ38" s="49"/>
      <c r="TA38" s="49"/>
      <c r="TB38" s="49"/>
      <c r="TC38" s="49"/>
      <c r="TD38" s="49"/>
      <c r="TE38" s="49"/>
      <c r="TF38" s="260"/>
      <c r="TG38" s="276"/>
      <c r="TH38" s="49"/>
      <c r="TI38" s="49"/>
      <c r="TJ38" s="249"/>
      <c r="TK38" s="254"/>
      <c r="TL38" s="49"/>
      <c r="TM38" s="49"/>
      <c r="TN38" s="49"/>
      <c r="TO38" s="49"/>
      <c r="TP38" s="49"/>
      <c r="TQ38" s="49"/>
      <c r="TR38" s="49"/>
      <c r="TS38" s="49"/>
      <c r="TT38" s="49"/>
      <c r="TU38" s="49"/>
      <c r="TV38" s="49"/>
      <c r="TW38" s="49"/>
      <c r="TX38" s="49"/>
      <c r="TY38" s="49"/>
      <c r="TZ38" s="49"/>
      <c r="UA38" s="260"/>
      <c r="UB38" s="276"/>
      <c r="UC38" s="49"/>
      <c r="UD38" s="49"/>
      <c r="UE38" s="249"/>
      <c r="UF38" s="254"/>
      <c r="UG38" s="49"/>
      <c r="UH38" s="49"/>
      <c r="UI38" s="49"/>
      <c r="UJ38" s="49"/>
      <c r="UK38" s="49"/>
      <c r="UL38" s="49"/>
      <c r="UM38" s="49"/>
      <c r="UN38" s="49"/>
      <c r="UO38" s="49"/>
      <c r="UP38" s="49"/>
      <c r="UQ38" s="49"/>
      <c r="UR38" s="49"/>
      <c r="US38" s="49"/>
      <c r="UT38" s="49"/>
      <c r="UU38" s="49"/>
      <c r="UV38" s="260"/>
      <c r="UW38" s="276"/>
      <c r="UX38" s="49"/>
      <c r="UY38" s="49"/>
      <c r="UZ38" s="249"/>
      <c r="VA38" s="254"/>
      <c r="VB38" s="49"/>
      <c r="VC38" s="49"/>
      <c r="VD38" s="49"/>
      <c r="VE38" s="49"/>
      <c r="VF38" s="49"/>
      <c r="VG38" s="49"/>
      <c r="VH38" s="49"/>
      <c r="VI38" s="49"/>
      <c r="VJ38" s="49"/>
      <c r="VK38" s="49"/>
      <c r="VL38" s="49"/>
      <c r="VM38" s="49"/>
      <c r="VN38" s="49"/>
      <c r="VO38" s="49"/>
      <c r="VP38" s="49"/>
      <c r="VQ38" s="260"/>
      <c r="VR38" s="276"/>
      <c r="VS38" s="49"/>
      <c r="VT38" s="49"/>
      <c r="VU38" s="249"/>
      <c r="VV38" s="254"/>
      <c r="VW38" s="49"/>
      <c r="VX38" s="49"/>
      <c r="VY38" s="49"/>
      <c r="VZ38" s="49"/>
      <c r="WA38" s="49"/>
      <c r="WB38" s="49"/>
      <c r="WC38" s="49"/>
      <c r="WD38" s="49"/>
      <c r="WE38" s="49"/>
      <c r="WF38" s="49"/>
      <c r="WG38" s="49"/>
      <c r="WH38" s="49"/>
      <c r="WI38" s="49"/>
      <c r="WJ38" s="49"/>
      <c r="WK38" s="49"/>
      <c r="WL38" s="260"/>
      <c r="WM38" s="276"/>
      <c r="WN38" s="49"/>
      <c r="WO38" s="49"/>
      <c r="WP38" s="249"/>
      <c r="WQ38" s="254"/>
      <c r="WR38" s="49"/>
      <c r="WS38" s="49"/>
      <c r="WT38" s="49"/>
      <c r="WU38" s="49"/>
      <c r="WV38" s="49"/>
      <c r="WW38" s="49"/>
      <c r="WX38" s="49"/>
      <c r="WY38" s="49"/>
      <c r="WZ38" s="49"/>
      <c r="XA38" s="49"/>
      <c r="XB38" s="49"/>
      <c r="XC38" s="49"/>
      <c r="XD38" s="49"/>
      <c r="XE38" s="49"/>
      <c r="XF38" s="49"/>
      <c r="XG38" s="260"/>
      <c r="XH38" s="276"/>
      <c r="XI38" s="49"/>
      <c r="XJ38" s="49"/>
      <c r="XK38" s="249"/>
      <c r="XL38" s="254"/>
      <c r="XM38" s="49"/>
      <c r="XN38" s="49"/>
      <c r="XO38" s="49"/>
      <c r="XP38" s="49"/>
      <c r="XQ38" s="49"/>
      <c r="XR38" s="49"/>
      <c r="XS38" s="49"/>
      <c r="XT38" s="49"/>
      <c r="XU38" s="49"/>
      <c r="XV38" s="49"/>
      <c r="XW38" s="49"/>
      <c r="XX38" s="49"/>
      <c r="XY38" s="49"/>
      <c r="XZ38" s="49"/>
      <c r="YA38" s="49"/>
      <c r="YB38" s="260"/>
    </row>
    <row r="39" spans="1:652" x14ac:dyDescent="0.3">
      <c r="A39" s="224" t="s">
        <v>221</v>
      </c>
      <c r="B39" s="270"/>
      <c r="C39" s="10"/>
      <c r="D39" s="10"/>
      <c r="E39" s="234"/>
      <c r="F39" s="238"/>
      <c r="G39" s="11"/>
      <c r="H39" s="11"/>
      <c r="I39" s="11"/>
      <c r="J39" s="11"/>
      <c r="K39" s="12"/>
      <c r="L39" s="11"/>
      <c r="M39" s="11"/>
      <c r="N39" s="11"/>
      <c r="O39" s="11"/>
      <c r="P39" s="11"/>
      <c r="Q39" s="11"/>
      <c r="R39" s="11"/>
      <c r="S39" s="11"/>
      <c r="T39" s="11"/>
      <c r="U39" s="11"/>
      <c r="V39" s="259"/>
      <c r="W39" s="275"/>
      <c r="X39" s="11"/>
      <c r="Y39" s="11"/>
      <c r="Z39" s="248"/>
      <c r="AA39" s="253"/>
      <c r="AB39" s="11"/>
      <c r="AC39" s="11"/>
      <c r="AD39" s="11"/>
      <c r="AE39" s="11"/>
      <c r="AF39" s="11"/>
      <c r="AG39" s="11"/>
      <c r="AH39" s="11"/>
      <c r="AI39" s="11"/>
      <c r="AJ39" s="11"/>
      <c r="AK39" s="11"/>
      <c r="AL39" s="11"/>
      <c r="AM39" s="11"/>
      <c r="AN39" s="11"/>
      <c r="AO39" s="11"/>
      <c r="AP39" s="11"/>
      <c r="AQ39" s="259"/>
      <c r="AR39" s="270"/>
      <c r="AS39" s="10"/>
      <c r="AT39" s="10"/>
      <c r="AU39" s="234"/>
      <c r="AV39" s="238"/>
      <c r="AW39" s="11"/>
      <c r="AX39" s="11"/>
      <c r="AY39" s="11"/>
      <c r="AZ39" s="11"/>
      <c r="BA39" s="11"/>
      <c r="BB39" s="11"/>
      <c r="BC39" s="11"/>
      <c r="BD39" s="11"/>
      <c r="BE39" s="11"/>
      <c r="BF39" s="11"/>
      <c r="BG39" s="11"/>
      <c r="BH39" s="11"/>
      <c r="BI39" s="11"/>
      <c r="BJ39" s="11"/>
      <c r="BK39" s="11"/>
      <c r="BL39" s="259"/>
      <c r="BM39" s="275"/>
      <c r="BN39" s="11"/>
      <c r="BO39" s="11"/>
      <c r="BP39" s="248"/>
      <c r="BQ39" s="253"/>
      <c r="BR39" s="11"/>
      <c r="BS39" s="11"/>
      <c r="BT39" s="11"/>
      <c r="BU39" s="11"/>
      <c r="BV39" s="11"/>
      <c r="BW39" s="11"/>
      <c r="BX39" s="11"/>
      <c r="BY39" s="11"/>
      <c r="BZ39" s="11"/>
      <c r="CA39" s="11"/>
      <c r="CB39" s="11"/>
      <c r="CC39" s="11"/>
      <c r="CD39" s="11"/>
      <c r="CE39" s="11"/>
      <c r="CF39" s="11"/>
      <c r="CG39" s="259"/>
      <c r="CH39" s="275"/>
      <c r="CI39" s="11"/>
      <c r="CJ39" s="11"/>
      <c r="CK39" s="248"/>
      <c r="CL39" s="45"/>
      <c r="CM39" s="45"/>
      <c r="CN39" s="45"/>
      <c r="CO39" s="45"/>
      <c r="CP39" s="45"/>
      <c r="CQ39" s="79"/>
      <c r="CR39" s="45"/>
      <c r="CS39" s="36"/>
      <c r="CT39" s="86"/>
      <c r="CU39" s="45"/>
      <c r="CV39" s="10"/>
      <c r="CW39" s="11"/>
      <c r="CX39" s="11"/>
      <c r="CY39" s="11"/>
      <c r="CZ39" s="11"/>
      <c r="DA39" s="11"/>
      <c r="DB39" s="259"/>
      <c r="DC39" s="275"/>
      <c r="DD39" s="11"/>
      <c r="DE39" s="11"/>
      <c r="DF39" s="248"/>
      <c r="DG39" s="253"/>
      <c r="DH39" s="11"/>
      <c r="DI39" s="11"/>
      <c r="DJ39" s="11"/>
      <c r="DK39" s="11"/>
      <c r="DL39" s="11"/>
      <c r="DM39" s="11"/>
      <c r="DN39" s="11"/>
      <c r="DO39" s="11"/>
      <c r="DP39" s="11"/>
      <c r="DQ39" s="11"/>
      <c r="DR39" s="11"/>
      <c r="DS39" s="11"/>
      <c r="DT39" s="11"/>
      <c r="DU39" s="11"/>
      <c r="DV39" s="11"/>
      <c r="DW39" s="259"/>
      <c r="DX39" s="275"/>
      <c r="DY39" s="11"/>
      <c r="DZ39" s="11"/>
      <c r="EA39" s="248"/>
      <c r="EB39" s="45"/>
      <c r="EC39" s="45"/>
      <c r="ED39" s="45"/>
      <c r="EE39" s="45"/>
      <c r="EF39" s="45"/>
      <c r="EG39" s="79"/>
      <c r="EH39" s="45"/>
      <c r="EI39" s="36"/>
      <c r="EJ39" s="86"/>
      <c r="EK39" s="45"/>
      <c r="EL39" s="10"/>
      <c r="EM39" s="11"/>
      <c r="EN39" s="11"/>
      <c r="EO39" s="11"/>
      <c r="EP39" s="11"/>
      <c r="EQ39" s="11"/>
      <c r="ER39" s="259"/>
      <c r="ES39" s="275"/>
      <c r="ET39" s="11"/>
      <c r="EU39" s="11"/>
      <c r="EV39" s="248"/>
      <c r="EW39" s="253"/>
      <c r="EX39" s="11"/>
      <c r="EY39" s="11"/>
      <c r="EZ39" s="11"/>
      <c r="FA39" s="11"/>
      <c r="FB39" s="11"/>
      <c r="FC39" s="11"/>
      <c r="FD39" s="11"/>
      <c r="FE39" s="11"/>
      <c r="FF39" s="11"/>
      <c r="FG39" s="11"/>
      <c r="FH39" s="11"/>
      <c r="FI39" s="11"/>
      <c r="FJ39" s="11"/>
      <c r="FK39" s="11"/>
      <c r="FL39" s="11"/>
      <c r="FM39" s="259"/>
      <c r="FN39" s="275"/>
      <c r="FO39" s="11"/>
      <c r="FP39" s="11"/>
      <c r="FQ39" s="248"/>
      <c r="FR39" s="45"/>
      <c r="FS39" s="45"/>
      <c r="FT39" s="45"/>
      <c r="FU39" s="45"/>
      <c r="FV39" s="45"/>
      <c r="FW39" s="79"/>
      <c r="FX39" s="45"/>
      <c r="FY39" s="36"/>
      <c r="FZ39" s="86"/>
      <c r="GA39" s="45"/>
      <c r="GB39" s="10"/>
      <c r="GC39" s="11"/>
      <c r="GD39" s="11"/>
      <c r="GE39" s="11"/>
      <c r="GF39" s="11"/>
      <c r="GG39" s="11"/>
      <c r="GH39" s="259"/>
      <c r="GI39" s="275"/>
      <c r="GJ39" s="11"/>
      <c r="GK39" s="11"/>
      <c r="GL39" s="248"/>
      <c r="GM39" s="253"/>
      <c r="GN39" s="11"/>
      <c r="GO39" s="11"/>
      <c r="GP39" s="11"/>
      <c r="GQ39" s="11"/>
      <c r="GR39" s="11"/>
      <c r="GS39" s="11"/>
      <c r="GT39" s="11"/>
      <c r="GU39" s="11"/>
      <c r="GV39" s="11"/>
      <c r="GW39" s="11"/>
      <c r="GX39" s="11"/>
      <c r="GY39" s="11"/>
      <c r="GZ39" s="11"/>
      <c r="HA39" s="11"/>
      <c r="HB39" s="11"/>
      <c r="HC39" s="259"/>
      <c r="HD39" s="275"/>
      <c r="HE39" s="11"/>
      <c r="HF39" s="11"/>
      <c r="HG39" s="248"/>
      <c r="HH39" s="253"/>
      <c r="HI39" s="11"/>
      <c r="HJ39" s="11"/>
      <c r="HK39" s="11"/>
      <c r="HL39" s="11"/>
      <c r="HM39" s="11"/>
      <c r="HN39" s="11"/>
      <c r="HO39" s="11"/>
      <c r="HP39" s="11"/>
      <c r="HQ39" s="11"/>
      <c r="HR39" s="11"/>
      <c r="HS39" s="11"/>
      <c r="HT39" s="11"/>
      <c r="HU39" s="11"/>
      <c r="HV39" s="11"/>
      <c r="HW39" s="11"/>
      <c r="HX39" s="259"/>
      <c r="HY39" s="275"/>
      <c r="HZ39" s="11"/>
      <c r="IA39" s="11"/>
      <c r="IB39" s="248"/>
      <c r="IC39" s="253"/>
      <c r="ID39" s="11"/>
      <c r="IE39" s="11"/>
      <c r="IF39" s="11"/>
      <c r="IG39" s="11"/>
      <c r="IH39" s="11"/>
      <c r="II39" s="11"/>
      <c r="IJ39" s="11"/>
      <c r="IK39" s="11"/>
      <c r="IL39" s="11"/>
      <c r="IM39" s="11"/>
      <c r="IN39" s="11"/>
      <c r="IO39" s="11"/>
      <c r="IP39" s="11"/>
      <c r="IQ39" s="11"/>
      <c r="IR39" s="11"/>
      <c r="IS39" s="259"/>
      <c r="IT39" s="275"/>
      <c r="IU39" s="11"/>
      <c r="IV39" s="11"/>
      <c r="IW39" s="248"/>
      <c r="IX39" s="253"/>
      <c r="IY39" s="11"/>
      <c r="IZ39" s="11"/>
      <c r="JA39" s="11"/>
      <c r="JB39" s="11"/>
      <c r="JC39" s="11"/>
      <c r="JD39" s="11"/>
      <c r="JE39" s="11"/>
      <c r="JF39" s="11"/>
      <c r="JG39" s="11"/>
      <c r="JH39" s="11"/>
      <c r="JI39" s="11"/>
      <c r="JJ39" s="11"/>
      <c r="JK39" s="11"/>
      <c r="JL39" s="11"/>
      <c r="JM39" s="11"/>
      <c r="JN39" s="259"/>
      <c r="JO39" s="275"/>
      <c r="JP39" s="11"/>
      <c r="JQ39" s="11"/>
      <c r="JR39" s="248"/>
      <c r="JS39" s="253"/>
      <c r="JT39" s="11"/>
      <c r="JU39" s="11"/>
      <c r="JV39" s="11"/>
      <c r="JW39" s="11"/>
      <c r="JX39" s="11"/>
      <c r="JY39" s="11"/>
      <c r="JZ39" s="11"/>
      <c r="KA39" s="11"/>
      <c r="KB39" s="11"/>
      <c r="KC39" s="11"/>
      <c r="KD39" s="11"/>
      <c r="KE39" s="11"/>
      <c r="KF39" s="11"/>
      <c r="KG39" s="11"/>
      <c r="KH39" s="11"/>
      <c r="KI39" s="259"/>
      <c r="KJ39" s="275"/>
      <c r="KK39" s="11"/>
      <c r="KL39" s="11"/>
      <c r="KM39" s="248"/>
      <c r="KN39" s="253"/>
      <c r="KO39" s="11"/>
      <c r="KP39" s="11"/>
      <c r="KQ39" s="11"/>
      <c r="KR39" s="11"/>
      <c r="KS39" s="11"/>
      <c r="KT39" s="11"/>
      <c r="KU39" s="11"/>
      <c r="KV39" s="11"/>
      <c r="KW39" s="11"/>
      <c r="KX39" s="11"/>
      <c r="KY39" s="11"/>
      <c r="KZ39" s="11"/>
      <c r="LA39" s="11"/>
      <c r="LB39" s="11"/>
      <c r="LC39" s="11"/>
      <c r="LD39" s="259"/>
      <c r="LE39" s="275"/>
      <c r="LF39" s="11"/>
      <c r="LG39" s="11"/>
      <c r="LH39" s="248"/>
      <c r="LI39" s="253"/>
      <c r="LJ39" s="11"/>
      <c r="LK39" s="11"/>
      <c r="LL39" s="11"/>
      <c r="LM39" s="11"/>
      <c r="LN39" s="11"/>
      <c r="LO39" s="11"/>
      <c r="LP39" s="11"/>
      <c r="LQ39" s="11"/>
      <c r="LR39" s="11"/>
      <c r="LS39" s="11"/>
      <c r="LT39" s="11"/>
      <c r="LU39" s="11"/>
      <c r="LV39" s="11"/>
      <c r="LW39" s="11"/>
      <c r="LX39" s="11"/>
      <c r="LY39" s="259"/>
      <c r="LZ39" s="275"/>
      <c r="MA39" s="11"/>
      <c r="MB39" s="11"/>
      <c r="MC39" s="248"/>
      <c r="MD39" s="253"/>
      <c r="ME39" s="11"/>
      <c r="MF39" s="11"/>
      <c r="MG39" s="11"/>
      <c r="MH39" s="11"/>
      <c r="MI39" s="11"/>
      <c r="MJ39" s="11"/>
      <c r="MK39" s="11"/>
      <c r="ML39" s="11"/>
      <c r="MM39" s="11"/>
      <c r="MN39" s="11"/>
      <c r="MO39" s="11"/>
      <c r="MP39" s="11"/>
      <c r="MQ39" s="11"/>
      <c r="MR39" s="11"/>
      <c r="MS39" s="11"/>
      <c r="MT39" s="259"/>
      <c r="MU39" s="275"/>
      <c r="MV39" s="11"/>
      <c r="MW39" s="11"/>
      <c r="MX39" s="248"/>
      <c r="MY39" s="253"/>
      <c r="MZ39" s="11"/>
      <c r="NA39" s="11"/>
      <c r="NB39" s="11"/>
      <c r="NC39" s="11"/>
      <c r="ND39" s="11"/>
      <c r="NE39" s="11"/>
      <c r="NF39" s="11"/>
      <c r="NG39" s="11"/>
      <c r="NH39" s="11"/>
      <c r="NI39" s="11"/>
      <c r="NJ39" s="11"/>
      <c r="NK39" s="11"/>
      <c r="NL39" s="11"/>
      <c r="NM39" s="11"/>
      <c r="NN39" s="11"/>
      <c r="NO39" s="259"/>
      <c r="NP39" s="275"/>
      <c r="NQ39" s="11"/>
      <c r="NR39" s="11"/>
      <c r="NS39" s="248"/>
      <c r="NT39" s="253"/>
      <c r="NU39" s="11"/>
      <c r="NV39" s="11"/>
      <c r="NW39" s="11"/>
      <c r="NX39" s="11"/>
      <c r="NY39" s="11"/>
      <c r="NZ39" s="11"/>
      <c r="OA39" s="11"/>
      <c r="OB39" s="11"/>
      <c r="OC39" s="11"/>
      <c r="OD39" s="11"/>
      <c r="OE39" s="11"/>
      <c r="OF39" s="11"/>
      <c r="OG39" s="11"/>
      <c r="OH39" s="11"/>
      <c r="OI39" s="11"/>
      <c r="OJ39" s="259"/>
      <c r="OK39" s="275"/>
      <c r="OL39" s="11"/>
      <c r="OM39" s="11"/>
      <c r="ON39" s="248"/>
      <c r="OO39" s="253"/>
      <c r="OP39" s="11"/>
      <c r="OQ39" s="11"/>
      <c r="OR39" s="11"/>
      <c r="OS39" s="11"/>
      <c r="OT39" s="11"/>
      <c r="OU39" s="11"/>
      <c r="OV39" s="11"/>
      <c r="OW39" s="11"/>
      <c r="OX39" s="11"/>
      <c r="OY39" s="11"/>
      <c r="OZ39" s="11"/>
      <c r="PA39" s="11"/>
      <c r="PB39" s="11"/>
      <c r="PC39" s="11"/>
      <c r="PD39" s="11"/>
      <c r="PE39" s="259"/>
      <c r="PF39" s="275"/>
      <c r="PG39" s="11"/>
      <c r="PH39" s="11"/>
      <c r="PI39" s="248"/>
      <c r="PJ39" s="253"/>
      <c r="PK39" s="11"/>
      <c r="PL39" s="11"/>
      <c r="PM39" s="11"/>
      <c r="PN39" s="11"/>
      <c r="PO39" s="11"/>
      <c r="PP39" s="11"/>
      <c r="PQ39" s="11"/>
      <c r="PR39" s="11"/>
      <c r="PS39" s="11"/>
      <c r="PT39" s="11"/>
      <c r="PU39" s="11"/>
      <c r="PV39" s="11"/>
      <c r="PW39" s="11"/>
      <c r="PX39" s="11"/>
      <c r="PY39" s="11"/>
      <c r="PZ39" s="259"/>
      <c r="QA39" s="275"/>
      <c r="QB39" s="11"/>
      <c r="QC39" s="11"/>
      <c r="QD39" s="248"/>
      <c r="QE39" s="253"/>
      <c r="QF39" s="11"/>
      <c r="QG39" s="11"/>
      <c r="QH39" s="11"/>
      <c r="QI39" s="11"/>
      <c r="QJ39" s="11"/>
      <c r="QK39" s="11"/>
      <c r="QL39" s="11"/>
      <c r="QM39" s="11"/>
      <c r="QN39" s="11"/>
      <c r="QO39" s="11"/>
      <c r="QP39" s="11"/>
      <c r="QQ39" s="11"/>
      <c r="QR39" s="11"/>
      <c r="QS39" s="11"/>
      <c r="QT39" s="11"/>
      <c r="QU39" s="259"/>
      <c r="QV39" s="275"/>
      <c r="QW39" s="11"/>
      <c r="QX39" s="11"/>
      <c r="QY39" s="248"/>
      <c r="QZ39" s="253"/>
      <c r="RA39" s="11"/>
      <c r="RB39" s="11"/>
      <c r="RC39" s="11"/>
      <c r="RD39" s="11"/>
      <c r="RE39" s="11"/>
      <c r="RF39" s="11"/>
      <c r="RG39" s="11"/>
      <c r="RH39" s="11"/>
      <c r="RI39" s="11"/>
      <c r="RJ39" s="11"/>
      <c r="RK39" s="11"/>
      <c r="RL39" s="11"/>
      <c r="RM39" s="11"/>
      <c r="RN39" s="11"/>
      <c r="RO39" s="11"/>
      <c r="RP39" s="259"/>
      <c r="RQ39" s="275"/>
      <c r="RR39" s="11"/>
      <c r="RS39" s="11"/>
      <c r="RT39" s="248"/>
      <c r="RU39" s="253"/>
      <c r="RV39" s="11"/>
      <c r="RW39" s="11"/>
      <c r="RX39" s="11"/>
      <c r="RY39" s="11"/>
      <c r="RZ39" s="11"/>
      <c r="SA39" s="11"/>
      <c r="SB39" s="11"/>
      <c r="SC39" s="11"/>
      <c r="SD39" s="11"/>
      <c r="SE39" s="11"/>
      <c r="SF39" s="11"/>
      <c r="SG39" s="11"/>
      <c r="SH39" s="11"/>
      <c r="SI39" s="11"/>
      <c r="SJ39" s="11"/>
      <c r="SK39" s="259"/>
      <c r="SL39" s="275"/>
      <c r="SM39" s="11"/>
      <c r="SN39" s="11"/>
      <c r="SO39" s="248"/>
      <c r="SP39" s="253"/>
      <c r="SQ39" s="11"/>
      <c r="SR39" s="11"/>
      <c r="SS39" s="11"/>
      <c r="ST39" s="11"/>
      <c r="SU39" s="11"/>
      <c r="SV39" s="11"/>
      <c r="SW39" s="11"/>
      <c r="SX39" s="11"/>
      <c r="SY39" s="11"/>
      <c r="SZ39" s="11"/>
      <c r="TA39" s="11"/>
      <c r="TB39" s="11"/>
      <c r="TC39" s="11"/>
      <c r="TD39" s="11"/>
      <c r="TE39" s="11"/>
      <c r="TF39" s="259"/>
      <c r="TG39" s="275"/>
      <c r="TH39" s="11"/>
      <c r="TI39" s="11"/>
      <c r="TJ39" s="248"/>
      <c r="TK39" s="253"/>
      <c r="TL39" s="11"/>
      <c r="TM39" s="11"/>
      <c r="TN39" s="11"/>
      <c r="TO39" s="11"/>
      <c r="TP39" s="11"/>
      <c r="TQ39" s="11"/>
      <c r="TR39" s="11"/>
      <c r="TS39" s="11"/>
      <c r="TT39" s="11"/>
      <c r="TU39" s="11"/>
      <c r="TV39" s="11"/>
      <c r="TW39" s="11"/>
      <c r="TX39" s="11"/>
      <c r="TY39" s="11"/>
      <c r="TZ39" s="11"/>
      <c r="UA39" s="259"/>
      <c r="UB39" s="275"/>
      <c r="UC39" s="11"/>
      <c r="UD39" s="11"/>
      <c r="UE39" s="248"/>
      <c r="UF39" s="253"/>
      <c r="UG39" s="11"/>
      <c r="UH39" s="11"/>
      <c r="UI39" s="11"/>
      <c r="UJ39" s="11"/>
      <c r="UK39" s="11"/>
      <c r="UL39" s="11"/>
      <c r="UM39" s="11"/>
      <c r="UN39" s="11"/>
      <c r="UO39" s="11"/>
      <c r="UP39" s="11"/>
      <c r="UQ39" s="11"/>
      <c r="UR39" s="11"/>
      <c r="US39" s="11"/>
      <c r="UT39" s="11"/>
      <c r="UU39" s="11"/>
      <c r="UV39" s="259"/>
      <c r="UW39" s="275"/>
      <c r="UX39" s="11"/>
      <c r="UY39" s="11"/>
      <c r="UZ39" s="248"/>
      <c r="VA39" s="253"/>
      <c r="VB39" s="11"/>
      <c r="VC39" s="11"/>
      <c r="VD39" s="11"/>
      <c r="VE39" s="11"/>
      <c r="VF39" s="11"/>
      <c r="VG39" s="11"/>
      <c r="VH39" s="11"/>
      <c r="VI39" s="11"/>
      <c r="VJ39" s="11"/>
      <c r="VK39" s="11"/>
      <c r="VL39" s="11"/>
      <c r="VM39" s="11"/>
      <c r="VN39" s="11"/>
      <c r="VO39" s="11"/>
      <c r="VP39" s="11"/>
      <c r="VQ39" s="259"/>
      <c r="VR39" s="275"/>
      <c r="VS39" s="11"/>
      <c r="VT39" s="11"/>
      <c r="VU39" s="248"/>
      <c r="VV39" s="253"/>
      <c r="VW39" s="11"/>
      <c r="VX39" s="11"/>
      <c r="VY39" s="11"/>
      <c r="VZ39" s="11"/>
      <c r="WA39" s="11"/>
      <c r="WB39" s="11"/>
      <c r="WC39" s="11"/>
      <c r="WD39" s="11"/>
      <c r="WE39" s="11"/>
      <c r="WF39" s="11"/>
      <c r="WG39" s="11"/>
      <c r="WH39" s="11"/>
      <c r="WI39" s="11"/>
      <c r="WJ39" s="11"/>
      <c r="WK39" s="11"/>
      <c r="WL39" s="259"/>
      <c r="WM39" s="275"/>
      <c r="WN39" s="11"/>
      <c r="WO39" s="11"/>
      <c r="WP39" s="248"/>
      <c r="WQ39" s="253"/>
      <c r="WR39" s="11"/>
      <c r="WS39" s="11"/>
      <c r="WT39" s="11"/>
      <c r="WU39" s="11"/>
      <c r="WV39" s="11"/>
      <c r="WW39" s="11"/>
      <c r="WX39" s="11"/>
      <c r="WY39" s="11"/>
      <c r="WZ39" s="11"/>
      <c r="XA39" s="11"/>
      <c r="XB39" s="11"/>
      <c r="XC39" s="11"/>
      <c r="XD39" s="11"/>
      <c r="XE39" s="11"/>
      <c r="XF39" s="11"/>
      <c r="XG39" s="259"/>
      <c r="XH39" s="275"/>
      <c r="XI39" s="11"/>
      <c r="XJ39" s="11"/>
      <c r="XK39" s="248"/>
      <c r="XL39" s="253"/>
      <c r="XM39" s="11"/>
      <c r="XN39" s="11"/>
      <c r="XO39" s="11"/>
      <c r="XP39" s="11"/>
      <c r="XQ39" s="11"/>
      <c r="XR39" s="11"/>
      <c r="XS39" s="11"/>
      <c r="XT39" s="11"/>
      <c r="XU39" s="11"/>
      <c r="XV39" s="11"/>
      <c r="XW39" s="11"/>
      <c r="XX39" s="11"/>
      <c r="XY39" s="11"/>
      <c r="XZ39" s="11"/>
      <c r="YA39" s="11"/>
      <c r="YB39" s="259"/>
    </row>
    <row r="40" spans="1:652" x14ac:dyDescent="0.3">
      <c r="A40" s="223" t="s">
        <v>225</v>
      </c>
      <c r="B40" s="271"/>
      <c r="C40" s="48"/>
      <c r="D40" s="48"/>
      <c r="E40" s="235"/>
      <c r="F40" s="239"/>
      <c r="G40" s="49"/>
      <c r="H40" s="49"/>
      <c r="I40" s="49"/>
      <c r="J40" s="49"/>
      <c r="K40" s="49"/>
      <c r="L40" s="49"/>
      <c r="M40" s="49"/>
      <c r="N40" s="49"/>
      <c r="O40" s="49"/>
      <c r="P40" s="49"/>
      <c r="Q40" s="49"/>
      <c r="R40" s="49"/>
      <c r="S40" s="49"/>
      <c r="T40" s="49"/>
      <c r="U40" s="49"/>
      <c r="V40" s="260"/>
      <c r="W40" s="276"/>
      <c r="X40" s="49"/>
      <c r="Y40" s="49"/>
      <c r="Z40" s="249"/>
      <c r="AA40" s="254"/>
      <c r="AB40" s="49"/>
      <c r="AC40" s="49"/>
      <c r="AD40" s="49"/>
      <c r="AE40" s="49"/>
      <c r="AF40" s="49"/>
      <c r="AG40" s="49"/>
      <c r="AH40" s="49"/>
      <c r="AI40" s="49"/>
      <c r="AJ40" s="49"/>
      <c r="AK40" s="49"/>
      <c r="AL40" s="49"/>
      <c r="AM40" s="49"/>
      <c r="AN40" s="49"/>
      <c r="AO40" s="49"/>
      <c r="AP40" s="49"/>
      <c r="AQ40" s="260"/>
      <c r="AR40" s="271"/>
      <c r="AS40" s="48"/>
      <c r="AT40" s="48"/>
      <c r="AU40" s="235"/>
      <c r="AV40" s="239"/>
      <c r="AW40" s="49"/>
      <c r="AX40" s="49"/>
      <c r="AY40" s="49"/>
      <c r="AZ40" s="49"/>
      <c r="BA40" s="49"/>
      <c r="BB40" s="49"/>
      <c r="BC40" s="49"/>
      <c r="BD40" s="49"/>
      <c r="BE40" s="49"/>
      <c r="BF40" s="49"/>
      <c r="BG40" s="49"/>
      <c r="BH40" s="49"/>
      <c r="BI40" s="49"/>
      <c r="BJ40" s="49"/>
      <c r="BK40" s="49"/>
      <c r="BL40" s="260"/>
      <c r="BM40" s="276"/>
      <c r="BN40" s="49"/>
      <c r="BO40" s="49"/>
      <c r="BP40" s="249"/>
      <c r="BQ40" s="254"/>
      <c r="BR40" s="49"/>
      <c r="BS40" s="49"/>
      <c r="BT40" s="49"/>
      <c r="BU40" s="49"/>
      <c r="BV40" s="49"/>
      <c r="BW40" s="49"/>
      <c r="BX40" s="49"/>
      <c r="BY40" s="49"/>
      <c r="BZ40" s="49"/>
      <c r="CA40" s="49"/>
      <c r="CB40" s="49"/>
      <c r="CC40" s="49"/>
      <c r="CD40" s="49"/>
      <c r="CE40" s="49"/>
      <c r="CF40" s="49"/>
      <c r="CG40" s="260"/>
      <c r="CH40" s="276"/>
      <c r="CI40" s="49"/>
      <c r="CJ40" s="49"/>
      <c r="CK40" s="249"/>
      <c r="CL40" s="53"/>
      <c r="CM40" s="53"/>
      <c r="CN40" s="53"/>
      <c r="CO40" s="53"/>
      <c r="CP40" s="53"/>
      <c r="CQ40" s="80"/>
      <c r="CR40" s="53"/>
      <c r="CS40" s="54"/>
      <c r="CT40" s="84"/>
      <c r="CU40" s="53"/>
      <c r="CV40" s="66"/>
      <c r="CW40" s="49"/>
      <c r="CX40" s="49"/>
      <c r="CY40" s="49"/>
      <c r="CZ40" s="49"/>
      <c r="DA40" s="49"/>
      <c r="DB40" s="260"/>
      <c r="DC40" s="276"/>
      <c r="DD40" s="49"/>
      <c r="DE40" s="49"/>
      <c r="DF40" s="249"/>
      <c r="DG40" s="254"/>
      <c r="DH40" s="49"/>
      <c r="DI40" s="49"/>
      <c r="DJ40" s="49"/>
      <c r="DK40" s="49"/>
      <c r="DL40" s="49"/>
      <c r="DM40" s="49"/>
      <c r="DN40" s="49"/>
      <c r="DO40" s="49"/>
      <c r="DP40" s="49"/>
      <c r="DQ40" s="49"/>
      <c r="DR40" s="49"/>
      <c r="DS40" s="49"/>
      <c r="DT40" s="49"/>
      <c r="DU40" s="49"/>
      <c r="DV40" s="49"/>
      <c r="DW40" s="260"/>
      <c r="DX40" s="276"/>
      <c r="DY40" s="49"/>
      <c r="DZ40" s="49"/>
      <c r="EA40" s="249"/>
      <c r="EB40" s="53"/>
      <c r="EC40" s="53"/>
      <c r="ED40" s="53"/>
      <c r="EE40" s="53"/>
      <c r="EF40" s="53"/>
      <c r="EG40" s="80"/>
      <c r="EH40" s="53"/>
      <c r="EI40" s="54"/>
      <c r="EJ40" s="84"/>
      <c r="EK40" s="53"/>
      <c r="EL40" s="66"/>
      <c r="EM40" s="49"/>
      <c r="EN40" s="49"/>
      <c r="EO40" s="49"/>
      <c r="EP40" s="49"/>
      <c r="EQ40" s="49"/>
      <c r="ER40" s="260"/>
      <c r="ES40" s="276"/>
      <c r="ET40" s="49"/>
      <c r="EU40" s="49"/>
      <c r="EV40" s="249"/>
      <c r="EW40" s="254"/>
      <c r="EX40" s="49"/>
      <c r="EY40" s="49"/>
      <c r="EZ40" s="49"/>
      <c r="FA40" s="49"/>
      <c r="FB40" s="49"/>
      <c r="FC40" s="49"/>
      <c r="FD40" s="49"/>
      <c r="FE40" s="49"/>
      <c r="FF40" s="49"/>
      <c r="FG40" s="49"/>
      <c r="FH40" s="49"/>
      <c r="FI40" s="49"/>
      <c r="FJ40" s="49"/>
      <c r="FK40" s="49"/>
      <c r="FL40" s="49"/>
      <c r="FM40" s="260"/>
      <c r="FN40" s="276"/>
      <c r="FO40" s="49"/>
      <c r="FP40" s="49"/>
      <c r="FQ40" s="249"/>
      <c r="FR40" s="53"/>
      <c r="FS40" s="53"/>
      <c r="FT40" s="53"/>
      <c r="FU40" s="53"/>
      <c r="FV40" s="53"/>
      <c r="FW40" s="80"/>
      <c r="FX40" s="53"/>
      <c r="FY40" s="54"/>
      <c r="FZ40" s="84"/>
      <c r="GA40" s="53"/>
      <c r="GB40" s="66"/>
      <c r="GC40" s="49"/>
      <c r="GD40" s="49"/>
      <c r="GE40" s="49"/>
      <c r="GF40" s="49"/>
      <c r="GG40" s="49"/>
      <c r="GH40" s="260"/>
      <c r="GI40" s="276"/>
      <c r="GJ40" s="49"/>
      <c r="GK40" s="49"/>
      <c r="GL40" s="249"/>
      <c r="GM40" s="254"/>
      <c r="GN40" s="49"/>
      <c r="GO40" s="49"/>
      <c r="GP40" s="49"/>
      <c r="GQ40" s="49"/>
      <c r="GR40" s="49"/>
      <c r="GS40" s="49"/>
      <c r="GT40" s="49"/>
      <c r="GU40" s="49"/>
      <c r="GV40" s="49"/>
      <c r="GW40" s="49"/>
      <c r="GX40" s="49"/>
      <c r="GY40" s="49"/>
      <c r="GZ40" s="49"/>
      <c r="HA40" s="49"/>
      <c r="HB40" s="49"/>
      <c r="HC40" s="260"/>
      <c r="HD40" s="276"/>
      <c r="HE40" s="49"/>
      <c r="HF40" s="49"/>
      <c r="HG40" s="249"/>
      <c r="HH40" s="254"/>
      <c r="HI40" s="49"/>
      <c r="HJ40" s="49"/>
      <c r="HK40" s="49"/>
      <c r="HL40" s="49"/>
      <c r="HM40" s="49"/>
      <c r="HN40" s="49"/>
      <c r="HO40" s="49"/>
      <c r="HP40" s="49"/>
      <c r="HQ40" s="49"/>
      <c r="HR40" s="49"/>
      <c r="HS40" s="49"/>
      <c r="HT40" s="49"/>
      <c r="HU40" s="49"/>
      <c r="HV40" s="49"/>
      <c r="HW40" s="49"/>
      <c r="HX40" s="260"/>
      <c r="HY40" s="276"/>
      <c r="HZ40" s="49"/>
      <c r="IA40" s="49"/>
      <c r="IB40" s="249"/>
      <c r="IC40" s="254"/>
      <c r="ID40" s="49"/>
      <c r="IE40" s="49"/>
      <c r="IF40" s="49"/>
      <c r="IG40" s="49"/>
      <c r="IH40" s="49"/>
      <c r="II40" s="49"/>
      <c r="IJ40" s="49"/>
      <c r="IK40" s="49"/>
      <c r="IL40" s="49"/>
      <c r="IM40" s="49"/>
      <c r="IN40" s="49"/>
      <c r="IO40" s="49"/>
      <c r="IP40" s="49"/>
      <c r="IQ40" s="49"/>
      <c r="IR40" s="49"/>
      <c r="IS40" s="260"/>
      <c r="IT40" s="276"/>
      <c r="IU40" s="49"/>
      <c r="IV40" s="49"/>
      <c r="IW40" s="249"/>
      <c r="IX40" s="254"/>
      <c r="IY40" s="49"/>
      <c r="IZ40" s="49"/>
      <c r="JA40" s="49"/>
      <c r="JB40" s="49"/>
      <c r="JC40" s="49"/>
      <c r="JD40" s="49"/>
      <c r="JE40" s="49"/>
      <c r="JF40" s="49"/>
      <c r="JG40" s="49"/>
      <c r="JH40" s="49"/>
      <c r="JI40" s="49"/>
      <c r="JJ40" s="49"/>
      <c r="JK40" s="49"/>
      <c r="JL40" s="49"/>
      <c r="JM40" s="49"/>
      <c r="JN40" s="260"/>
      <c r="JO40" s="276"/>
      <c r="JP40" s="49"/>
      <c r="JQ40" s="49"/>
      <c r="JR40" s="249"/>
      <c r="JS40" s="254"/>
      <c r="JT40" s="49"/>
      <c r="JU40" s="49"/>
      <c r="JV40" s="49"/>
      <c r="JW40" s="49"/>
      <c r="JX40" s="49"/>
      <c r="JY40" s="49"/>
      <c r="JZ40" s="49"/>
      <c r="KA40" s="49"/>
      <c r="KB40" s="49"/>
      <c r="KC40" s="49"/>
      <c r="KD40" s="49"/>
      <c r="KE40" s="49"/>
      <c r="KF40" s="49"/>
      <c r="KG40" s="49"/>
      <c r="KH40" s="49"/>
      <c r="KI40" s="260"/>
      <c r="KJ40" s="276"/>
      <c r="KK40" s="49"/>
      <c r="KL40" s="49"/>
      <c r="KM40" s="249"/>
      <c r="KN40" s="254"/>
      <c r="KO40" s="49"/>
      <c r="KP40" s="49"/>
      <c r="KQ40" s="49"/>
      <c r="KR40" s="49"/>
      <c r="KS40" s="49"/>
      <c r="KT40" s="49"/>
      <c r="KU40" s="49"/>
      <c r="KV40" s="49"/>
      <c r="KW40" s="49"/>
      <c r="KX40" s="49"/>
      <c r="KY40" s="49"/>
      <c r="KZ40" s="49"/>
      <c r="LA40" s="49"/>
      <c r="LB40" s="49"/>
      <c r="LC40" s="49"/>
      <c r="LD40" s="260"/>
      <c r="LE40" s="276"/>
      <c r="LF40" s="49"/>
      <c r="LG40" s="49"/>
      <c r="LH40" s="249"/>
      <c r="LI40" s="254"/>
      <c r="LJ40" s="49"/>
      <c r="LK40" s="49"/>
      <c r="LL40" s="49"/>
      <c r="LM40" s="49"/>
      <c r="LN40" s="49"/>
      <c r="LO40" s="49"/>
      <c r="LP40" s="49"/>
      <c r="LQ40" s="49"/>
      <c r="LR40" s="49"/>
      <c r="LS40" s="49"/>
      <c r="LT40" s="49"/>
      <c r="LU40" s="49"/>
      <c r="LV40" s="49"/>
      <c r="LW40" s="49"/>
      <c r="LX40" s="49"/>
      <c r="LY40" s="260"/>
      <c r="LZ40" s="276"/>
      <c r="MA40" s="49"/>
      <c r="MB40" s="49"/>
      <c r="MC40" s="249"/>
      <c r="MD40" s="254"/>
      <c r="ME40" s="49"/>
      <c r="MF40" s="49"/>
      <c r="MG40" s="49"/>
      <c r="MH40" s="49"/>
      <c r="MI40" s="49"/>
      <c r="MJ40" s="49"/>
      <c r="MK40" s="49"/>
      <c r="ML40" s="49"/>
      <c r="MM40" s="49"/>
      <c r="MN40" s="49"/>
      <c r="MO40" s="49"/>
      <c r="MP40" s="49"/>
      <c r="MQ40" s="49"/>
      <c r="MR40" s="49"/>
      <c r="MS40" s="49"/>
      <c r="MT40" s="260"/>
      <c r="MU40" s="276"/>
      <c r="MV40" s="49"/>
      <c r="MW40" s="49"/>
      <c r="MX40" s="249"/>
      <c r="MY40" s="254"/>
      <c r="MZ40" s="49"/>
      <c r="NA40" s="49"/>
      <c r="NB40" s="49"/>
      <c r="NC40" s="49"/>
      <c r="ND40" s="49"/>
      <c r="NE40" s="49"/>
      <c r="NF40" s="49"/>
      <c r="NG40" s="49"/>
      <c r="NH40" s="49"/>
      <c r="NI40" s="49"/>
      <c r="NJ40" s="49"/>
      <c r="NK40" s="49"/>
      <c r="NL40" s="49"/>
      <c r="NM40" s="49"/>
      <c r="NN40" s="49"/>
      <c r="NO40" s="260"/>
      <c r="NP40" s="276"/>
      <c r="NQ40" s="49"/>
      <c r="NR40" s="49"/>
      <c r="NS40" s="249"/>
      <c r="NT40" s="254"/>
      <c r="NU40" s="49"/>
      <c r="NV40" s="49"/>
      <c r="NW40" s="49"/>
      <c r="NX40" s="49"/>
      <c r="NY40" s="49"/>
      <c r="NZ40" s="49"/>
      <c r="OA40" s="49"/>
      <c r="OB40" s="49"/>
      <c r="OC40" s="49"/>
      <c r="OD40" s="49"/>
      <c r="OE40" s="49"/>
      <c r="OF40" s="49"/>
      <c r="OG40" s="49"/>
      <c r="OH40" s="49"/>
      <c r="OI40" s="49"/>
      <c r="OJ40" s="260"/>
      <c r="OK40" s="276"/>
      <c r="OL40" s="49"/>
      <c r="OM40" s="49"/>
      <c r="ON40" s="249"/>
      <c r="OO40" s="254"/>
      <c r="OP40" s="49"/>
      <c r="OQ40" s="49"/>
      <c r="OR40" s="49"/>
      <c r="OS40" s="49"/>
      <c r="OT40" s="49"/>
      <c r="OU40" s="49"/>
      <c r="OV40" s="49"/>
      <c r="OW40" s="49"/>
      <c r="OX40" s="49"/>
      <c r="OY40" s="49"/>
      <c r="OZ40" s="49"/>
      <c r="PA40" s="49"/>
      <c r="PB40" s="49"/>
      <c r="PC40" s="49"/>
      <c r="PD40" s="49"/>
      <c r="PE40" s="260"/>
      <c r="PF40" s="276"/>
      <c r="PG40" s="49"/>
      <c r="PH40" s="49"/>
      <c r="PI40" s="249"/>
      <c r="PJ40" s="254"/>
      <c r="PK40" s="49"/>
      <c r="PL40" s="49"/>
      <c r="PM40" s="49"/>
      <c r="PN40" s="49"/>
      <c r="PO40" s="49"/>
      <c r="PP40" s="49"/>
      <c r="PQ40" s="49"/>
      <c r="PR40" s="49"/>
      <c r="PS40" s="49"/>
      <c r="PT40" s="49"/>
      <c r="PU40" s="49"/>
      <c r="PV40" s="49"/>
      <c r="PW40" s="49"/>
      <c r="PX40" s="49"/>
      <c r="PY40" s="49"/>
      <c r="PZ40" s="260"/>
      <c r="QA40" s="276"/>
      <c r="QB40" s="49"/>
      <c r="QC40" s="49"/>
      <c r="QD40" s="249"/>
      <c r="QE40" s="254"/>
      <c r="QF40" s="49"/>
      <c r="QG40" s="49"/>
      <c r="QH40" s="49"/>
      <c r="QI40" s="49"/>
      <c r="QJ40" s="49"/>
      <c r="QK40" s="49"/>
      <c r="QL40" s="49"/>
      <c r="QM40" s="49"/>
      <c r="QN40" s="49"/>
      <c r="QO40" s="49"/>
      <c r="QP40" s="49"/>
      <c r="QQ40" s="49"/>
      <c r="QR40" s="49"/>
      <c r="QS40" s="49"/>
      <c r="QT40" s="49"/>
      <c r="QU40" s="260"/>
      <c r="QV40" s="276"/>
      <c r="QW40" s="49"/>
      <c r="QX40" s="49"/>
      <c r="QY40" s="249"/>
      <c r="QZ40" s="254"/>
      <c r="RA40" s="49"/>
      <c r="RB40" s="49"/>
      <c r="RC40" s="49"/>
      <c r="RD40" s="49"/>
      <c r="RE40" s="49"/>
      <c r="RF40" s="49"/>
      <c r="RG40" s="49"/>
      <c r="RH40" s="49"/>
      <c r="RI40" s="49"/>
      <c r="RJ40" s="49"/>
      <c r="RK40" s="49"/>
      <c r="RL40" s="49"/>
      <c r="RM40" s="49"/>
      <c r="RN40" s="49"/>
      <c r="RO40" s="49"/>
      <c r="RP40" s="260"/>
      <c r="RQ40" s="276"/>
      <c r="RR40" s="49"/>
      <c r="RS40" s="49"/>
      <c r="RT40" s="249"/>
      <c r="RU40" s="254"/>
      <c r="RV40" s="49"/>
      <c r="RW40" s="49"/>
      <c r="RX40" s="49"/>
      <c r="RY40" s="49"/>
      <c r="RZ40" s="49"/>
      <c r="SA40" s="49"/>
      <c r="SB40" s="49"/>
      <c r="SC40" s="49"/>
      <c r="SD40" s="49"/>
      <c r="SE40" s="49"/>
      <c r="SF40" s="49"/>
      <c r="SG40" s="49"/>
      <c r="SH40" s="49"/>
      <c r="SI40" s="49"/>
      <c r="SJ40" s="49"/>
      <c r="SK40" s="260"/>
      <c r="SL40" s="276"/>
      <c r="SM40" s="49"/>
      <c r="SN40" s="49"/>
      <c r="SO40" s="249"/>
      <c r="SP40" s="254"/>
      <c r="SQ40" s="49"/>
      <c r="SR40" s="49"/>
      <c r="SS40" s="49"/>
      <c r="ST40" s="49"/>
      <c r="SU40" s="49"/>
      <c r="SV40" s="49"/>
      <c r="SW40" s="49"/>
      <c r="SX40" s="49"/>
      <c r="SY40" s="49"/>
      <c r="SZ40" s="49"/>
      <c r="TA40" s="49"/>
      <c r="TB40" s="49"/>
      <c r="TC40" s="49"/>
      <c r="TD40" s="49"/>
      <c r="TE40" s="49"/>
      <c r="TF40" s="260"/>
      <c r="TG40" s="276"/>
      <c r="TH40" s="49"/>
      <c r="TI40" s="49"/>
      <c r="TJ40" s="249"/>
      <c r="TK40" s="254"/>
      <c r="TL40" s="49"/>
      <c r="TM40" s="49"/>
      <c r="TN40" s="49"/>
      <c r="TO40" s="49"/>
      <c r="TP40" s="49"/>
      <c r="TQ40" s="49"/>
      <c r="TR40" s="49"/>
      <c r="TS40" s="49"/>
      <c r="TT40" s="49"/>
      <c r="TU40" s="49"/>
      <c r="TV40" s="49"/>
      <c r="TW40" s="49"/>
      <c r="TX40" s="49"/>
      <c r="TY40" s="49"/>
      <c r="TZ40" s="49"/>
      <c r="UA40" s="260"/>
      <c r="UB40" s="276"/>
      <c r="UC40" s="49"/>
      <c r="UD40" s="49"/>
      <c r="UE40" s="249"/>
      <c r="UF40" s="254"/>
      <c r="UG40" s="49"/>
      <c r="UH40" s="49"/>
      <c r="UI40" s="49"/>
      <c r="UJ40" s="49"/>
      <c r="UK40" s="49"/>
      <c r="UL40" s="49"/>
      <c r="UM40" s="49"/>
      <c r="UN40" s="49"/>
      <c r="UO40" s="49"/>
      <c r="UP40" s="49"/>
      <c r="UQ40" s="49"/>
      <c r="UR40" s="49"/>
      <c r="US40" s="49"/>
      <c r="UT40" s="49"/>
      <c r="UU40" s="49"/>
      <c r="UV40" s="260"/>
      <c r="UW40" s="276"/>
      <c r="UX40" s="49"/>
      <c r="UY40" s="49"/>
      <c r="UZ40" s="249"/>
      <c r="VA40" s="254"/>
      <c r="VB40" s="49"/>
      <c r="VC40" s="49"/>
      <c r="VD40" s="49"/>
      <c r="VE40" s="49"/>
      <c r="VF40" s="49"/>
      <c r="VG40" s="49"/>
      <c r="VH40" s="49"/>
      <c r="VI40" s="49"/>
      <c r="VJ40" s="49"/>
      <c r="VK40" s="49"/>
      <c r="VL40" s="49"/>
      <c r="VM40" s="49"/>
      <c r="VN40" s="49"/>
      <c r="VO40" s="49"/>
      <c r="VP40" s="49"/>
      <c r="VQ40" s="260"/>
      <c r="VR40" s="276"/>
      <c r="VS40" s="49"/>
      <c r="VT40" s="49"/>
      <c r="VU40" s="249"/>
      <c r="VV40" s="254"/>
      <c r="VW40" s="49"/>
      <c r="VX40" s="49"/>
      <c r="VY40" s="49"/>
      <c r="VZ40" s="49"/>
      <c r="WA40" s="49"/>
      <c r="WB40" s="49"/>
      <c r="WC40" s="49"/>
      <c r="WD40" s="49"/>
      <c r="WE40" s="49"/>
      <c r="WF40" s="49"/>
      <c r="WG40" s="49"/>
      <c r="WH40" s="49"/>
      <c r="WI40" s="49"/>
      <c r="WJ40" s="49"/>
      <c r="WK40" s="49"/>
      <c r="WL40" s="260"/>
      <c r="WM40" s="276"/>
      <c r="WN40" s="49"/>
      <c r="WO40" s="49"/>
      <c r="WP40" s="249"/>
      <c r="WQ40" s="254"/>
      <c r="WR40" s="49"/>
      <c r="WS40" s="49"/>
      <c r="WT40" s="49"/>
      <c r="WU40" s="49"/>
      <c r="WV40" s="49"/>
      <c r="WW40" s="49"/>
      <c r="WX40" s="49"/>
      <c r="WY40" s="49"/>
      <c r="WZ40" s="49"/>
      <c r="XA40" s="49"/>
      <c r="XB40" s="49"/>
      <c r="XC40" s="49"/>
      <c r="XD40" s="49"/>
      <c r="XE40" s="49"/>
      <c r="XF40" s="49"/>
      <c r="XG40" s="260"/>
      <c r="XH40" s="276"/>
      <c r="XI40" s="49"/>
      <c r="XJ40" s="49"/>
      <c r="XK40" s="249"/>
      <c r="XL40" s="254"/>
      <c r="XM40" s="49"/>
      <c r="XN40" s="49"/>
      <c r="XO40" s="49"/>
      <c r="XP40" s="49"/>
      <c r="XQ40" s="49"/>
      <c r="XR40" s="49"/>
      <c r="XS40" s="49"/>
      <c r="XT40" s="49"/>
      <c r="XU40" s="49"/>
      <c r="XV40" s="49"/>
      <c r="XW40" s="49"/>
      <c r="XX40" s="49"/>
      <c r="XY40" s="49"/>
      <c r="XZ40" s="49"/>
      <c r="YA40" s="49"/>
      <c r="YB40" s="260"/>
    </row>
    <row r="41" spans="1:652" x14ac:dyDescent="0.3">
      <c r="A41" s="224" t="s">
        <v>229</v>
      </c>
      <c r="B41" s="270"/>
      <c r="C41" s="10"/>
      <c r="D41" s="10"/>
      <c r="E41" s="234"/>
      <c r="F41" s="238"/>
      <c r="G41" s="11"/>
      <c r="H41" s="11"/>
      <c r="I41" s="11"/>
      <c r="J41" s="11"/>
      <c r="K41" s="12"/>
      <c r="L41" s="11"/>
      <c r="M41" s="11"/>
      <c r="N41" s="11"/>
      <c r="O41" s="11"/>
      <c r="P41" s="11"/>
      <c r="Q41" s="11"/>
      <c r="R41" s="11"/>
      <c r="S41" s="11"/>
      <c r="T41" s="11"/>
      <c r="U41" s="11"/>
      <c r="V41" s="259"/>
      <c r="W41" s="275"/>
      <c r="X41" s="11"/>
      <c r="Y41" s="11"/>
      <c r="Z41" s="248"/>
      <c r="AA41" s="253"/>
      <c r="AB41" s="11"/>
      <c r="AC41" s="11"/>
      <c r="AD41" s="11"/>
      <c r="AE41" s="11"/>
      <c r="AF41" s="11"/>
      <c r="AG41" s="11"/>
      <c r="AH41" s="11"/>
      <c r="AI41" s="11"/>
      <c r="AJ41" s="11"/>
      <c r="AK41" s="11"/>
      <c r="AL41" s="11"/>
      <c r="AM41" s="11"/>
      <c r="AN41" s="11"/>
      <c r="AO41" s="11"/>
      <c r="AP41" s="11"/>
      <c r="AQ41" s="259"/>
      <c r="AR41" s="270"/>
      <c r="AS41" s="10"/>
      <c r="AT41" s="10"/>
      <c r="AU41" s="234"/>
      <c r="AV41" s="238"/>
      <c r="AW41" s="11"/>
      <c r="AX41" s="11"/>
      <c r="AY41" s="11"/>
      <c r="AZ41" s="11"/>
      <c r="BA41" s="11"/>
      <c r="BB41" s="11"/>
      <c r="BC41" s="11"/>
      <c r="BD41" s="11"/>
      <c r="BE41" s="11"/>
      <c r="BF41" s="11"/>
      <c r="BG41" s="11"/>
      <c r="BH41" s="11"/>
      <c r="BI41" s="11"/>
      <c r="BJ41" s="11"/>
      <c r="BK41" s="11"/>
      <c r="BL41" s="259"/>
      <c r="BM41" s="275"/>
      <c r="BN41" s="11"/>
      <c r="BO41" s="11"/>
      <c r="BP41" s="248"/>
      <c r="BQ41" s="253"/>
      <c r="BR41" s="11"/>
      <c r="BS41" s="11"/>
      <c r="BT41" s="11"/>
      <c r="BU41" s="11"/>
      <c r="BV41" s="11"/>
      <c r="BW41" s="11"/>
      <c r="BX41" s="11"/>
      <c r="BY41" s="11"/>
      <c r="BZ41" s="11"/>
      <c r="CA41" s="11"/>
      <c r="CB41" s="11"/>
      <c r="CC41" s="11"/>
      <c r="CD41" s="11"/>
      <c r="CE41" s="11"/>
      <c r="CF41" s="11"/>
      <c r="CG41" s="259"/>
      <c r="CH41" s="275"/>
      <c r="CI41" s="11"/>
      <c r="CJ41" s="11"/>
      <c r="CK41" s="248"/>
      <c r="CL41" s="45"/>
      <c r="CM41" s="45"/>
      <c r="CN41" s="45"/>
      <c r="CO41" s="45"/>
      <c r="CP41" s="45"/>
      <c r="CQ41" s="79"/>
      <c r="CR41" s="45"/>
      <c r="CS41" s="36"/>
      <c r="CT41" s="86"/>
      <c r="CU41" s="45"/>
      <c r="CV41" s="10"/>
      <c r="CW41" s="11"/>
      <c r="CX41" s="11"/>
      <c r="CY41" s="11"/>
      <c r="CZ41" s="11"/>
      <c r="DA41" s="11"/>
      <c r="DB41" s="259"/>
      <c r="DC41" s="275"/>
      <c r="DD41" s="11"/>
      <c r="DE41" s="11"/>
      <c r="DF41" s="248"/>
      <c r="DG41" s="253"/>
      <c r="DH41" s="11"/>
      <c r="DI41" s="11"/>
      <c r="DJ41" s="11"/>
      <c r="DK41" s="11"/>
      <c r="DL41" s="11"/>
      <c r="DM41" s="11"/>
      <c r="DN41" s="11"/>
      <c r="DO41" s="11"/>
      <c r="DP41" s="11"/>
      <c r="DQ41" s="11"/>
      <c r="DR41" s="11"/>
      <c r="DS41" s="11"/>
      <c r="DT41" s="11"/>
      <c r="DU41" s="11"/>
      <c r="DV41" s="11"/>
      <c r="DW41" s="259"/>
      <c r="DX41" s="275"/>
      <c r="DY41" s="11"/>
      <c r="DZ41" s="11"/>
      <c r="EA41" s="248"/>
      <c r="EB41" s="45"/>
      <c r="EC41" s="45"/>
      <c r="ED41" s="45"/>
      <c r="EE41" s="45"/>
      <c r="EF41" s="45"/>
      <c r="EG41" s="79"/>
      <c r="EH41" s="45"/>
      <c r="EI41" s="36"/>
      <c r="EJ41" s="86"/>
      <c r="EK41" s="45"/>
      <c r="EL41" s="10"/>
      <c r="EM41" s="11"/>
      <c r="EN41" s="11"/>
      <c r="EO41" s="11"/>
      <c r="EP41" s="11"/>
      <c r="EQ41" s="11"/>
      <c r="ER41" s="259"/>
      <c r="ES41" s="275"/>
      <c r="ET41" s="11"/>
      <c r="EU41" s="11"/>
      <c r="EV41" s="248"/>
      <c r="EW41" s="253"/>
      <c r="EX41" s="11"/>
      <c r="EY41" s="11"/>
      <c r="EZ41" s="11"/>
      <c r="FA41" s="11"/>
      <c r="FB41" s="11"/>
      <c r="FC41" s="11"/>
      <c r="FD41" s="11"/>
      <c r="FE41" s="11"/>
      <c r="FF41" s="11"/>
      <c r="FG41" s="11"/>
      <c r="FH41" s="11"/>
      <c r="FI41" s="11"/>
      <c r="FJ41" s="11"/>
      <c r="FK41" s="11"/>
      <c r="FL41" s="11"/>
      <c r="FM41" s="259"/>
      <c r="FN41" s="275"/>
      <c r="FO41" s="11"/>
      <c r="FP41" s="11"/>
      <c r="FQ41" s="248"/>
      <c r="FR41" s="45"/>
      <c r="FS41" s="45"/>
      <c r="FT41" s="45"/>
      <c r="FU41" s="45"/>
      <c r="FV41" s="45"/>
      <c r="FW41" s="79"/>
      <c r="FX41" s="45"/>
      <c r="FY41" s="36"/>
      <c r="FZ41" s="86"/>
      <c r="GA41" s="45"/>
      <c r="GB41" s="10"/>
      <c r="GC41" s="11"/>
      <c r="GD41" s="11"/>
      <c r="GE41" s="11"/>
      <c r="GF41" s="11"/>
      <c r="GG41" s="11"/>
      <c r="GH41" s="259"/>
      <c r="GI41" s="275"/>
      <c r="GJ41" s="11"/>
      <c r="GK41" s="11"/>
      <c r="GL41" s="248"/>
      <c r="GM41" s="253"/>
      <c r="GN41" s="11"/>
      <c r="GO41" s="11"/>
      <c r="GP41" s="11"/>
      <c r="GQ41" s="11"/>
      <c r="GR41" s="11"/>
      <c r="GS41" s="11"/>
      <c r="GT41" s="11"/>
      <c r="GU41" s="11"/>
      <c r="GV41" s="11"/>
      <c r="GW41" s="11"/>
      <c r="GX41" s="11"/>
      <c r="GY41" s="11"/>
      <c r="GZ41" s="11"/>
      <c r="HA41" s="11"/>
      <c r="HB41" s="11"/>
      <c r="HC41" s="259"/>
      <c r="HD41" s="275"/>
      <c r="HE41" s="11"/>
      <c r="HF41" s="11"/>
      <c r="HG41" s="248"/>
      <c r="HH41" s="253"/>
      <c r="HI41" s="11"/>
      <c r="HJ41" s="11"/>
      <c r="HK41" s="11"/>
      <c r="HL41" s="11"/>
      <c r="HM41" s="11"/>
      <c r="HN41" s="11"/>
      <c r="HO41" s="11"/>
      <c r="HP41" s="11"/>
      <c r="HQ41" s="11"/>
      <c r="HR41" s="11"/>
      <c r="HS41" s="11"/>
      <c r="HT41" s="11"/>
      <c r="HU41" s="11"/>
      <c r="HV41" s="11"/>
      <c r="HW41" s="11"/>
      <c r="HX41" s="259"/>
      <c r="HY41" s="275"/>
      <c r="HZ41" s="11"/>
      <c r="IA41" s="11"/>
      <c r="IB41" s="248"/>
      <c r="IC41" s="253"/>
      <c r="ID41" s="11"/>
      <c r="IE41" s="11"/>
      <c r="IF41" s="11"/>
      <c r="IG41" s="11"/>
      <c r="IH41" s="11"/>
      <c r="II41" s="11"/>
      <c r="IJ41" s="11"/>
      <c r="IK41" s="11"/>
      <c r="IL41" s="11"/>
      <c r="IM41" s="11"/>
      <c r="IN41" s="11"/>
      <c r="IO41" s="11"/>
      <c r="IP41" s="11"/>
      <c r="IQ41" s="11"/>
      <c r="IR41" s="11"/>
      <c r="IS41" s="259"/>
      <c r="IT41" s="275"/>
      <c r="IU41" s="11"/>
      <c r="IV41" s="11"/>
      <c r="IW41" s="248"/>
      <c r="IX41" s="253"/>
      <c r="IY41" s="11"/>
      <c r="IZ41" s="11"/>
      <c r="JA41" s="11"/>
      <c r="JB41" s="11"/>
      <c r="JC41" s="11"/>
      <c r="JD41" s="11"/>
      <c r="JE41" s="11"/>
      <c r="JF41" s="11"/>
      <c r="JG41" s="11"/>
      <c r="JH41" s="11"/>
      <c r="JI41" s="11"/>
      <c r="JJ41" s="11"/>
      <c r="JK41" s="11"/>
      <c r="JL41" s="11"/>
      <c r="JM41" s="11"/>
      <c r="JN41" s="259"/>
      <c r="JO41" s="275"/>
      <c r="JP41" s="11"/>
      <c r="JQ41" s="11"/>
      <c r="JR41" s="248"/>
      <c r="JS41" s="253"/>
      <c r="JT41" s="11"/>
      <c r="JU41" s="11"/>
      <c r="JV41" s="11"/>
      <c r="JW41" s="11"/>
      <c r="JX41" s="11"/>
      <c r="JY41" s="11"/>
      <c r="JZ41" s="11"/>
      <c r="KA41" s="11"/>
      <c r="KB41" s="11"/>
      <c r="KC41" s="11"/>
      <c r="KD41" s="11"/>
      <c r="KE41" s="11"/>
      <c r="KF41" s="11"/>
      <c r="KG41" s="11"/>
      <c r="KH41" s="11"/>
      <c r="KI41" s="259"/>
      <c r="KJ41" s="275"/>
      <c r="KK41" s="11"/>
      <c r="KL41" s="11"/>
      <c r="KM41" s="248"/>
      <c r="KN41" s="253"/>
      <c r="KO41" s="11"/>
      <c r="KP41" s="11"/>
      <c r="KQ41" s="11"/>
      <c r="KR41" s="11"/>
      <c r="KS41" s="11"/>
      <c r="KT41" s="11"/>
      <c r="KU41" s="11"/>
      <c r="KV41" s="11"/>
      <c r="KW41" s="11"/>
      <c r="KX41" s="11"/>
      <c r="KY41" s="11"/>
      <c r="KZ41" s="11"/>
      <c r="LA41" s="11"/>
      <c r="LB41" s="11"/>
      <c r="LC41" s="11"/>
      <c r="LD41" s="259"/>
      <c r="LE41" s="275"/>
      <c r="LF41" s="11"/>
      <c r="LG41" s="11"/>
      <c r="LH41" s="248"/>
      <c r="LI41" s="253"/>
      <c r="LJ41" s="11"/>
      <c r="LK41" s="11"/>
      <c r="LL41" s="11"/>
      <c r="LM41" s="11"/>
      <c r="LN41" s="11"/>
      <c r="LO41" s="11"/>
      <c r="LP41" s="11"/>
      <c r="LQ41" s="11"/>
      <c r="LR41" s="11"/>
      <c r="LS41" s="11"/>
      <c r="LT41" s="11"/>
      <c r="LU41" s="11"/>
      <c r="LV41" s="11"/>
      <c r="LW41" s="11"/>
      <c r="LX41" s="11"/>
      <c r="LY41" s="259"/>
      <c r="LZ41" s="275"/>
      <c r="MA41" s="11"/>
      <c r="MB41" s="11"/>
      <c r="MC41" s="248"/>
      <c r="MD41" s="253"/>
      <c r="ME41" s="11"/>
      <c r="MF41" s="11"/>
      <c r="MG41" s="11"/>
      <c r="MH41" s="11"/>
      <c r="MI41" s="11"/>
      <c r="MJ41" s="11"/>
      <c r="MK41" s="11"/>
      <c r="ML41" s="11"/>
      <c r="MM41" s="11"/>
      <c r="MN41" s="11"/>
      <c r="MO41" s="11"/>
      <c r="MP41" s="11"/>
      <c r="MQ41" s="11"/>
      <c r="MR41" s="11"/>
      <c r="MS41" s="11"/>
      <c r="MT41" s="259"/>
      <c r="MU41" s="275"/>
      <c r="MV41" s="11"/>
      <c r="MW41" s="11"/>
      <c r="MX41" s="248"/>
      <c r="MY41" s="253"/>
      <c r="MZ41" s="11"/>
      <c r="NA41" s="11"/>
      <c r="NB41" s="11"/>
      <c r="NC41" s="11"/>
      <c r="ND41" s="11"/>
      <c r="NE41" s="11"/>
      <c r="NF41" s="11"/>
      <c r="NG41" s="11"/>
      <c r="NH41" s="11"/>
      <c r="NI41" s="11"/>
      <c r="NJ41" s="11"/>
      <c r="NK41" s="11"/>
      <c r="NL41" s="11"/>
      <c r="NM41" s="11"/>
      <c r="NN41" s="11"/>
      <c r="NO41" s="259"/>
      <c r="NP41" s="275"/>
      <c r="NQ41" s="11"/>
      <c r="NR41" s="11"/>
      <c r="NS41" s="248"/>
      <c r="NT41" s="253"/>
      <c r="NU41" s="11"/>
      <c r="NV41" s="11"/>
      <c r="NW41" s="11"/>
      <c r="NX41" s="11"/>
      <c r="NY41" s="11"/>
      <c r="NZ41" s="11"/>
      <c r="OA41" s="11"/>
      <c r="OB41" s="11"/>
      <c r="OC41" s="11"/>
      <c r="OD41" s="11"/>
      <c r="OE41" s="11"/>
      <c r="OF41" s="11"/>
      <c r="OG41" s="11"/>
      <c r="OH41" s="11"/>
      <c r="OI41" s="11"/>
      <c r="OJ41" s="259"/>
      <c r="OK41" s="275"/>
      <c r="OL41" s="11"/>
      <c r="OM41" s="11"/>
      <c r="ON41" s="248"/>
      <c r="OO41" s="253"/>
      <c r="OP41" s="11"/>
      <c r="OQ41" s="11"/>
      <c r="OR41" s="11"/>
      <c r="OS41" s="11"/>
      <c r="OT41" s="11"/>
      <c r="OU41" s="11"/>
      <c r="OV41" s="11"/>
      <c r="OW41" s="11"/>
      <c r="OX41" s="11"/>
      <c r="OY41" s="11"/>
      <c r="OZ41" s="11"/>
      <c r="PA41" s="11"/>
      <c r="PB41" s="11"/>
      <c r="PC41" s="11"/>
      <c r="PD41" s="11"/>
      <c r="PE41" s="259"/>
      <c r="PF41" s="275"/>
      <c r="PG41" s="11"/>
      <c r="PH41" s="11"/>
      <c r="PI41" s="248"/>
      <c r="PJ41" s="253"/>
      <c r="PK41" s="11"/>
      <c r="PL41" s="11"/>
      <c r="PM41" s="11"/>
      <c r="PN41" s="11"/>
      <c r="PO41" s="11"/>
      <c r="PP41" s="11"/>
      <c r="PQ41" s="11"/>
      <c r="PR41" s="11"/>
      <c r="PS41" s="11"/>
      <c r="PT41" s="11"/>
      <c r="PU41" s="11"/>
      <c r="PV41" s="11"/>
      <c r="PW41" s="11"/>
      <c r="PX41" s="11"/>
      <c r="PY41" s="11"/>
      <c r="PZ41" s="259"/>
      <c r="QA41" s="275"/>
      <c r="QB41" s="11"/>
      <c r="QC41" s="11"/>
      <c r="QD41" s="248"/>
      <c r="QE41" s="253"/>
      <c r="QF41" s="11"/>
      <c r="QG41" s="11"/>
      <c r="QH41" s="11"/>
      <c r="QI41" s="11"/>
      <c r="QJ41" s="11"/>
      <c r="QK41" s="11"/>
      <c r="QL41" s="11"/>
      <c r="QM41" s="11"/>
      <c r="QN41" s="11"/>
      <c r="QO41" s="11"/>
      <c r="QP41" s="11"/>
      <c r="QQ41" s="11"/>
      <c r="QR41" s="11"/>
      <c r="QS41" s="11"/>
      <c r="QT41" s="11"/>
      <c r="QU41" s="259"/>
      <c r="QV41" s="275"/>
      <c r="QW41" s="11"/>
      <c r="QX41" s="11"/>
      <c r="QY41" s="248"/>
      <c r="QZ41" s="253"/>
      <c r="RA41" s="11"/>
      <c r="RB41" s="11"/>
      <c r="RC41" s="11"/>
      <c r="RD41" s="11"/>
      <c r="RE41" s="11"/>
      <c r="RF41" s="11"/>
      <c r="RG41" s="11"/>
      <c r="RH41" s="11"/>
      <c r="RI41" s="11"/>
      <c r="RJ41" s="11"/>
      <c r="RK41" s="11"/>
      <c r="RL41" s="11"/>
      <c r="RM41" s="11"/>
      <c r="RN41" s="11"/>
      <c r="RO41" s="11"/>
      <c r="RP41" s="259"/>
      <c r="RQ41" s="275"/>
      <c r="RR41" s="11"/>
      <c r="RS41" s="11"/>
      <c r="RT41" s="248"/>
      <c r="RU41" s="253"/>
      <c r="RV41" s="11"/>
      <c r="RW41" s="11"/>
      <c r="RX41" s="11"/>
      <c r="RY41" s="11"/>
      <c r="RZ41" s="11"/>
      <c r="SA41" s="11"/>
      <c r="SB41" s="11"/>
      <c r="SC41" s="11"/>
      <c r="SD41" s="11"/>
      <c r="SE41" s="11"/>
      <c r="SF41" s="11"/>
      <c r="SG41" s="11"/>
      <c r="SH41" s="11"/>
      <c r="SI41" s="11"/>
      <c r="SJ41" s="11"/>
      <c r="SK41" s="259"/>
      <c r="SL41" s="275"/>
      <c r="SM41" s="11"/>
      <c r="SN41" s="11"/>
      <c r="SO41" s="248"/>
      <c r="SP41" s="253"/>
      <c r="SQ41" s="11"/>
      <c r="SR41" s="11"/>
      <c r="SS41" s="11"/>
      <c r="ST41" s="11"/>
      <c r="SU41" s="11"/>
      <c r="SV41" s="11"/>
      <c r="SW41" s="11"/>
      <c r="SX41" s="11"/>
      <c r="SY41" s="11"/>
      <c r="SZ41" s="11"/>
      <c r="TA41" s="11"/>
      <c r="TB41" s="11"/>
      <c r="TC41" s="11"/>
      <c r="TD41" s="11"/>
      <c r="TE41" s="11"/>
      <c r="TF41" s="259"/>
      <c r="TG41" s="275"/>
      <c r="TH41" s="11"/>
      <c r="TI41" s="11"/>
      <c r="TJ41" s="248"/>
      <c r="TK41" s="253"/>
      <c r="TL41" s="11"/>
      <c r="TM41" s="11"/>
      <c r="TN41" s="11"/>
      <c r="TO41" s="11"/>
      <c r="TP41" s="11"/>
      <c r="TQ41" s="11"/>
      <c r="TR41" s="11"/>
      <c r="TS41" s="11"/>
      <c r="TT41" s="11"/>
      <c r="TU41" s="11"/>
      <c r="TV41" s="11"/>
      <c r="TW41" s="11"/>
      <c r="TX41" s="11"/>
      <c r="TY41" s="11"/>
      <c r="TZ41" s="11"/>
      <c r="UA41" s="259"/>
      <c r="UB41" s="275"/>
      <c r="UC41" s="11"/>
      <c r="UD41" s="11"/>
      <c r="UE41" s="248"/>
      <c r="UF41" s="253"/>
      <c r="UG41" s="11"/>
      <c r="UH41" s="11"/>
      <c r="UI41" s="11"/>
      <c r="UJ41" s="11"/>
      <c r="UK41" s="11"/>
      <c r="UL41" s="11"/>
      <c r="UM41" s="11"/>
      <c r="UN41" s="11"/>
      <c r="UO41" s="11"/>
      <c r="UP41" s="11"/>
      <c r="UQ41" s="11"/>
      <c r="UR41" s="11"/>
      <c r="US41" s="11"/>
      <c r="UT41" s="11"/>
      <c r="UU41" s="11"/>
      <c r="UV41" s="259"/>
      <c r="UW41" s="275"/>
      <c r="UX41" s="11"/>
      <c r="UY41" s="11"/>
      <c r="UZ41" s="248"/>
      <c r="VA41" s="253"/>
      <c r="VB41" s="11"/>
      <c r="VC41" s="11"/>
      <c r="VD41" s="11"/>
      <c r="VE41" s="11"/>
      <c r="VF41" s="11"/>
      <c r="VG41" s="11"/>
      <c r="VH41" s="11"/>
      <c r="VI41" s="11"/>
      <c r="VJ41" s="11"/>
      <c r="VK41" s="11"/>
      <c r="VL41" s="11"/>
      <c r="VM41" s="11"/>
      <c r="VN41" s="11"/>
      <c r="VO41" s="11"/>
      <c r="VP41" s="11"/>
      <c r="VQ41" s="259"/>
      <c r="VR41" s="275"/>
      <c r="VS41" s="11"/>
      <c r="VT41" s="11"/>
      <c r="VU41" s="248"/>
      <c r="VV41" s="253"/>
      <c r="VW41" s="11"/>
      <c r="VX41" s="11"/>
      <c r="VY41" s="11"/>
      <c r="VZ41" s="11"/>
      <c r="WA41" s="11"/>
      <c r="WB41" s="11"/>
      <c r="WC41" s="11"/>
      <c r="WD41" s="11"/>
      <c r="WE41" s="11"/>
      <c r="WF41" s="11"/>
      <c r="WG41" s="11"/>
      <c r="WH41" s="11"/>
      <c r="WI41" s="11"/>
      <c r="WJ41" s="11"/>
      <c r="WK41" s="11"/>
      <c r="WL41" s="259"/>
      <c r="WM41" s="275"/>
      <c r="WN41" s="11"/>
      <c r="WO41" s="11"/>
      <c r="WP41" s="248"/>
      <c r="WQ41" s="253"/>
      <c r="WR41" s="11"/>
      <c r="WS41" s="11"/>
      <c r="WT41" s="11"/>
      <c r="WU41" s="11"/>
      <c r="WV41" s="11"/>
      <c r="WW41" s="11"/>
      <c r="WX41" s="11"/>
      <c r="WY41" s="11"/>
      <c r="WZ41" s="11"/>
      <c r="XA41" s="11"/>
      <c r="XB41" s="11"/>
      <c r="XC41" s="11"/>
      <c r="XD41" s="11"/>
      <c r="XE41" s="11"/>
      <c r="XF41" s="11"/>
      <c r="XG41" s="259"/>
      <c r="XH41" s="275"/>
      <c r="XI41" s="11"/>
      <c r="XJ41" s="11"/>
      <c r="XK41" s="248"/>
      <c r="XL41" s="253"/>
      <c r="XM41" s="11"/>
      <c r="XN41" s="11"/>
      <c r="XO41" s="11"/>
      <c r="XP41" s="11"/>
      <c r="XQ41" s="11"/>
      <c r="XR41" s="11"/>
      <c r="XS41" s="11"/>
      <c r="XT41" s="11"/>
      <c r="XU41" s="11"/>
      <c r="XV41" s="11"/>
      <c r="XW41" s="11"/>
      <c r="XX41" s="11"/>
      <c r="XY41" s="11"/>
      <c r="XZ41" s="11"/>
      <c r="YA41" s="11"/>
      <c r="YB41" s="259"/>
    </row>
    <row r="42" spans="1:652" x14ac:dyDescent="0.3">
      <c r="A42" s="223" t="s">
        <v>233</v>
      </c>
      <c r="B42" s="271"/>
      <c r="C42" s="48"/>
      <c r="D42" s="48"/>
      <c r="E42" s="235"/>
      <c r="F42" s="239"/>
      <c r="G42" s="49"/>
      <c r="H42" s="49"/>
      <c r="I42" s="49"/>
      <c r="J42" s="49"/>
      <c r="K42" s="49"/>
      <c r="L42" s="49"/>
      <c r="M42" s="49"/>
      <c r="N42" s="49"/>
      <c r="O42" s="49"/>
      <c r="P42" s="49"/>
      <c r="Q42" s="49"/>
      <c r="R42" s="49"/>
      <c r="S42" s="49"/>
      <c r="T42" s="49"/>
      <c r="U42" s="49"/>
      <c r="V42" s="260"/>
      <c r="W42" s="276"/>
      <c r="X42" s="49"/>
      <c r="Y42" s="49"/>
      <c r="Z42" s="249"/>
      <c r="AA42" s="254"/>
      <c r="AB42" s="49"/>
      <c r="AC42" s="49"/>
      <c r="AD42" s="49"/>
      <c r="AE42" s="49"/>
      <c r="AF42" s="49"/>
      <c r="AG42" s="49"/>
      <c r="AH42" s="49"/>
      <c r="AI42" s="49"/>
      <c r="AJ42" s="49"/>
      <c r="AK42" s="49"/>
      <c r="AL42" s="49"/>
      <c r="AM42" s="49"/>
      <c r="AN42" s="49"/>
      <c r="AO42" s="49"/>
      <c r="AP42" s="49"/>
      <c r="AQ42" s="260"/>
      <c r="AR42" s="271"/>
      <c r="AS42" s="48"/>
      <c r="AT42" s="48"/>
      <c r="AU42" s="235"/>
      <c r="AV42" s="239"/>
      <c r="AW42" s="49"/>
      <c r="AX42" s="49"/>
      <c r="AY42" s="49"/>
      <c r="AZ42" s="49"/>
      <c r="BA42" s="49"/>
      <c r="BB42" s="49"/>
      <c r="BC42" s="49"/>
      <c r="BD42" s="49"/>
      <c r="BE42" s="49"/>
      <c r="BF42" s="49"/>
      <c r="BG42" s="49"/>
      <c r="BH42" s="49"/>
      <c r="BI42" s="49"/>
      <c r="BJ42" s="49"/>
      <c r="BK42" s="49"/>
      <c r="BL42" s="260"/>
      <c r="BM42" s="276"/>
      <c r="BN42" s="49"/>
      <c r="BO42" s="49"/>
      <c r="BP42" s="249"/>
      <c r="BQ42" s="254"/>
      <c r="BR42" s="49"/>
      <c r="BS42" s="49"/>
      <c r="BT42" s="49"/>
      <c r="BU42" s="49"/>
      <c r="BV42" s="49"/>
      <c r="BW42" s="49"/>
      <c r="BX42" s="49"/>
      <c r="BY42" s="49"/>
      <c r="BZ42" s="49"/>
      <c r="CA42" s="49"/>
      <c r="CB42" s="49"/>
      <c r="CC42" s="49"/>
      <c r="CD42" s="49"/>
      <c r="CE42" s="49"/>
      <c r="CF42" s="49"/>
      <c r="CG42" s="260"/>
      <c r="CH42" s="276"/>
      <c r="CI42" s="49"/>
      <c r="CJ42" s="49"/>
      <c r="CK42" s="249"/>
      <c r="CL42" s="53"/>
      <c r="CM42" s="53"/>
      <c r="CN42" s="53"/>
      <c r="CO42" s="53"/>
      <c r="CP42" s="53"/>
      <c r="CQ42" s="80"/>
      <c r="CR42" s="53"/>
      <c r="CS42" s="54"/>
      <c r="CT42" s="84"/>
      <c r="CU42" s="53"/>
      <c r="CV42" s="66"/>
      <c r="CW42" s="49"/>
      <c r="CX42" s="49"/>
      <c r="CY42" s="49"/>
      <c r="CZ42" s="49"/>
      <c r="DA42" s="49"/>
      <c r="DB42" s="260"/>
      <c r="DC42" s="276"/>
      <c r="DD42" s="49"/>
      <c r="DE42" s="49"/>
      <c r="DF42" s="249"/>
      <c r="DG42" s="254"/>
      <c r="DH42" s="49"/>
      <c r="DI42" s="49"/>
      <c r="DJ42" s="49"/>
      <c r="DK42" s="49"/>
      <c r="DL42" s="49"/>
      <c r="DM42" s="49"/>
      <c r="DN42" s="49"/>
      <c r="DO42" s="49"/>
      <c r="DP42" s="49"/>
      <c r="DQ42" s="49"/>
      <c r="DR42" s="49"/>
      <c r="DS42" s="49"/>
      <c r="DT42" s="49"/>
      <c r="DU42" s="49"/>
      <c r="DV42" s="49"/>
      <c r="DW42" s="260"/>
      <c r="DX42" s="276"/>
      <c r="DY42" s="49"/>
      <c r="DZ42" s="49"/>
      <c r="EA42" s="249"/>
      <c r="EB42" s="53"/>
      <c r="EC42" s="53"/>
      <c r="ED42" s="53"/>
      <c r="EE42" s="53"/>
      <c r="EF42" s="53"/>
      <c r="EG42" s="80"/>
      <c r="EH42" s="53"/>
      <c r="EI42" s="54"/>
      <c r="EJ42" s="84"/>
      <c r="EK42" s="53"/>
      <c r="EL42" s="66"/>
      <c r="EM42" s="49"/>
      <c r="EN42" s="49"/>
      <c r="EO42" s="49"/>
      <c r="EP42" s="49"/>
      <c r="EQ42" s="49"/>
      <c r="ER42" s="260"/>
      <c r="ES42" s="276"/>
      <c r="ET42" s="49"/>
      <c r="EU42" s="49"/>
      <c r="EV42" s="249"/>
      <c r="EW42" s="254"/>
      <c r="EX42" s="49"/>
      <c r="EY42" s="49"/>
      <c r="EZ42" s="49"/>
      <c r="FA42" s="49"/>
      <c r="FB42" s="49"/>
      <c r="FC42" s="49"/>
      <c r="FD42" s="49"/>
      <c r="FE42" s="49"/>
      <c r="FF42" s="49"/>
      <c r="FG42" s="49"/>
      <c r="FH42" s="49"/>
      <c r="FI42" s="49"/>
      <c r="FJ42" s="49"/>
      <c r="FK42" s="49"/>
      <c r="FL42" s="49"/>
      <c r="FM42" s="260"/>
      <c r="FN42" s="276"/>
      <c r="FO42" s="49"/>
      <c r="FP42" s="49"/>
      <c r="FQ42" s="249"/>
      <c r="FR42" s="53"/>
      <c r="FS42" s="53"/>
      <c r="FT42" s="53"/>
      <c r="FU42" s="53"/>
      <c r="FV42" s="53"/>
      <c r="FW42" s="80"/>
      <c r="FX42" s="53"/>
      <c r="FY42" s="54"/>
      <c r="FZ42" s="84"/>
      <c r="GA42" s="53"/>
      <c r="GB42" s="66"/>
      <c r="GC42" s="49"/>
      <c r="GD42" s="49"/>
      <c r="GE42" s="49"/>
      <c r="GF42" s="49"/>
      <c r="GG42" s="49"/>
      <c r="GH42" s="260"/>
      <c r="GI42" s="276"/>
      <c r="GJ42" s="49"/>
      <c r="GK42" s="49"/>
      <c r="GL42" s="249"/>
      <c r="GM42" s="254"/>
      <c r="GN42" s="49"/>
      <c r="GO42" s="49"/>
      <c r="GP42" s="49"/>
      <c r="GQ42" s="49"/>
      <c r="GR42" s="49"/>
      <c r="GS42" s="49"/>
      <c r="GT42" s="49"/>
      <c r="GU42" s="49"/>
      <c r="GV42" s="49"/>
      <c r="GW42" s="49"/>
      <c r="GX42" s="49"/>
      <c r="GY42" s="49"/>
      <c r="GZ42" s="49"/>
      <c r="HA42" s="49"/>
      <c r="HB42" s="49"/>
      <c r="HC42" s="260"/>
      <c r="HD42" s="276"/>
      <c r="HE42" s="49"/>
      <c r="HF42" s="49"/>
      <c r="HG42" s="249"/>
      <c r="HH42" s="254"/>
      <c r="HI42" s="49"/>
      <c r="HJ42" s="49"/>
      <c r="HK42" s="49"/>
      <c r="HL42" s="49"/>
      <c r="HM42" s="49"/>
      <c r="HN42" s="49"/>
      <c r="HO42" s="49"/>
      <c r="HP42" s="49"/>
      <c r="HQ42" s="49"/>
      <c r="HR42" s="49"/>
      <c r="HS42" s="49"/>
      <c r="HT42" s="49"/>
      <c r="HU42" s="49"/>
      <c r="HV42" s="49"/>
      <c r="HW42" s="49"/>
      <c r="HX42" s="260"/>
      <c r="HY42" s="276"/>
      <c r="HZ42" s="49"/>
      <c r="IA42" s="49"/>
      <c r="IB42" s="249"/>
      <c r="IC42" s="254"/>
      <c r="ID42" s="49"/>
      <c r="IE42" s="49"/>
      <c r="IF42" s="49"/>
      <c r="IG42" s="49"/>
      <c r="IH42" s="49"/>
      <c r="II42" s="49"/>
      <c r="IJ42" s="49"/>
      <c r="IK42" s="49"/>
      <c r="IL42" s="49"/>
      <c r="IM42" s="49"/>
      <c r="IN42" s="49"/>
      <c r="IO42" s="49"/>
      <c r="IP42" s="49"/>
      <c r="IQ42" s="49"/>
      <c r="IR42" s="49"/>
      <c r="IS42" s="260"/>
      <c r="IT42" s="276"/>
      <c r="IU42" s="49"/>
      <c r="IV42" s="49"/>
      <c r="IW42" s="249"/>
      <c r="IX42" s="254"/>
      <c r="IY42" s="49"/>
      <c r="IZ42" s="49"/>
      <c r="JA42" s="49"/>
      <c r="JB42" s="49"/>
      <c r="JC42" s="49"/>
      <c r="JD42" s="49"/>
      <c r="JE42" s="49"/>
      <c r="JF42" s="49"/>
      <c r="JG42" s="49"/>
      <c r="JH42" s="49"/>
      <c r="JI42" s="49"/>
      <c r="JJ42" s="49"/>
      <c r="JK42" s="49"/>
      <c r="JL42" s="49"/>
      <c r="JM42" s="49"/>
      <c r="JN42" s="260"/>
      <c r="JO42" s="276"/>
      <c r="JP42" s="49"/>
      <c r="JQ42" s="49"/>
      <c r="JR42" s="249"/>
      <c r="JS42" s="254"/>
      <c r="JT42" s="49"/>
      <c r="JU42" s="49"/>
      <c r="JV42" s="49"/>
      <c r="JW42" s="49"/>
      <c r="JX42" s="49"/>
      <c r="JY42" s="49"/>
      <c r="JZ42" s="49"/>
      <c r="KA42" s="49"/>
      <c r="KB42" s="49"/>
      <c r="KC42" s="49"/>
      <c r="KD42" s="49"/>
      <c r="KE42" s="49"/>
      <c r="KF42" s="49"/>
      <c r="KG42" s="49"/>
      <c r="KH42" s="49"/>
      <c r="KI42" s="260"/>
      <c r="KJ42" s="276"/>
      <c r="KK42" s="49"/>
      <c r="KL42" s="49"/>
      <c r="KM42" s="249"/>
      <c r="KN42" s="254"/>
      <c r="KO42" s="49"/>
      <c r="KP42" s="49"/>
      <c r="KQ42" s="49"/>
      <c r="KR42" s="49"/>
      <c r="KS42" s="49"/>
      <c r="KT42" s="49"/>
      <c r="KU42" s="49"/>
      <c r="KV42" s="49"/>
      <c r="KW42" s="49"/>
      <c r="KX42" s="49"/>
      <c r="KY42" s="49"/>
      <c r="KZ42" s="49"/>
      <c r="LA42" s="49"/>
      <c r="LB42" s="49"/>
      <c r="LC42" s="49"/>
      <c r="LD42" s="260"/>
      <c r="LE42" s="276"/>
      <c r="LF42" s="49"/>
      <c r="LG42" s="49"/>
      <c r="LH42" s="249"/>
      <c r="LI42" s="254"/>
      <c r="LJ42" s="49"/>
      <c r="LK42" s="49"/>
      <c r="LL42" s="49"/>
      <c r="LM42" s="49"/>
      <c r="LN42" s="49"/>
      <c r="LO42" s="49"/>
      <c r="LP42" s="49"/>
      <c r="LQ42" s="49"/>
      <c r="LR42" s="49"/>
      <c r="LS42" s="49"/>
      <c r="LT42" s="49"/>
      <c r="LU42" s="49"/>
      <c r="LV42" s="49"/>
      <c r="LW42" s="49"/>
      <c r="LX42" s="49"/>
      <c r="LY42" s="260"/>
      <c r="LZ42" s="276"/>
      <c r="MA42" s="49"/>
      <c r="MB42" s="49"/>
      <c r="MC42" s="249"/>
      <c r="MD42" s="254"/>
      <c r="ME42" s="49"/>
      <c r="MF42" s="49"/>
      <c r="MG42" s="49"/>
      <c r="MH42" s="49"/>
      <c r="MI42" s="49"/>
      <c r="MJ42" s="49"/>
      <c r="MK42" s="49"/>
      <c r="ML42" s="49"/>
      <c r="MM42" s="49"/>
      <c r="MN42" s="49"/>
      <c r="MO42" s="49"/>
      <c r="MP42" s="49"/>
      <c r="MQ42" s="49"/>
      <c r="MR42" s="49"/>
      <c r="MS42" s="49"/>
      <c r="MT42" s="260"/>
      <c r="MU42" s="276"/>
      <c r="MV42" s="49"/>
      <c r="MW42" s="49"/>
      <c r="MX42" s="249"/>
      <c r="MY42" s="254"/>
      <c r="MZ42" s="49"/>
      <c r="NA42" s="49"/>
      <c r="NB42" s="49"/>
      <c r="NC42" s="49"/>
      <c r="ND42" s="49"/>
      <c r="NE42" s="49"/>
      <c r="NF42" s="49"/>
      <c r="NG42" s="49"/>
      <c r="NH42" s="49"/>
      <c r="NI42" s="49"/>
      <c r="NJ42" s="49"/>
      <c r="NK42" s="49"/>
      <c r="NL42" s="49"/>
      <c r="NM42" s="49"/>
      <c r="NN42" s="49"/>
      <c r="NO42" s="260"/>
      <c r="NP42" s="276"/>
      <c r="NQ42" s="49"/>
      <c r="NR42" s="49"/>
      <c r="NS42" s="249"/>
      <c r="NT42" s="254"/>
      <c r="NU42" s="49"/>
      <c r="NV42" s="49"/>
      <c r="NW42" s="49"/>
      <c r="NX42" s="49"/>
      <c r="NY42" s="49"/>
      <c r="NZ42" s="49"/>
      <c r="OA42" s="49"/>
      <c r="OB42" s="49"/>
      <c r="OC42" s="49"/>
      <c r="OD42" s="49"/>
      <c r="OE42" s="49"/>
      <c r="OF42" s="49"/>
      <c r="OG42" s="49"/>
      <c r="OH42" s="49"/>
      <c r="OI42" s="49"/>
      <c r="OJ42" s="260"/>
      <c r="OK42" s="276"/>
      <c r="OL42" s="49"/>
      <c r="OM42" s="49"/>
      <c r="ON42" s="249"/>
      <c r="OO42" s="254"/>
      <c r="OP42" s="49"/>
      <c r="OQ42" s="49"/>
      <c r="OR42" s="49"/>
      <c r="OS42" s="49"/>
      <c r="OT42" s="49"/>
      <c r="OU42" s="49"/>
      <c r="OV42" s="49"/>
      <c r="OW42" s="49"/>
      <c r="OX42" s="49"/>
      <c r="OY42" s="49"/>
      <c r="OZ42" s="49"/>
      <c r="PA42" s="49"/>
      <c r="PB42" s="49"/>
      <c r="PC42" s="49"/>
      <c r="PD42" s="49"/>
      <c r="PE42" s="260"/>
      <c r="PF42" s="276"/>
      <c r="PG42" s="49"/>
      <c r="PH42" s="49"/>
      <c r="PI42" s="249"/>
      <c r="PJ42" s="254"/>
      <c r="PK42" s="49"/>
      <c r="PL42" s="49"/>
      <c r="PM42" s="49"/>
      <c r="PN42" s="49"/>
      <c r="PO42" s="49"/>
      <c r="PP42" s="49"/>
      <c r="PQ42" s="49"/>
      <c r="PR42" s="49"/>
      <c r="PS42" s="49"/>
      <c r="PT42" s="49"/>
      <c r="PU42" s="49"/>
      <c r="PV42" s="49"/>
      <c r="PW42" s="49"/>
      <c r="PX42" s="49"/>
      <c r="PY42" s="49"/>
      <c r="PZ42" s="260"/>
      <c r="QA42" s="276"/>
      <c r="QB42" s="49"/>
      <c r="QC42" s="49"/>
      <c r="QD42" s="249"/>
      <c r="QE42" s="254"/>
      <c r="QF42" s="49"/>
      <c r="QG42" s="49"/>
      <c r="QH42" s="49"/>
      <c r="QI42" s="49"/>
      <c r="QJ42" s="49"/>
      <c r="QK42" s="49"/>
      <c r="QL42" s="49"/>
      <c r="QM42" s="49"/>
      <c r="QN42" s="49"/>
      <c r="QO42" s="49"/>
      <c r="QP42" s="49"/>
      <c r="QQ42" s="49"/>
      <c r="QR42" s="49"/>
      <c r="QS42" s="49"/>
      <c r="QT42" s="49"/>
      <c r="QU42" s="260"/>
      <c r="QV42" s="276"/>
      <c r="QW42" s="49"/>
      <c r="QX42" s="49"/>
      <c r="QY42" s="249"/>
      <c r="QZ42" s="254"/>
      <c r="RA42" s="49"/>
      <c r="RB42" s="49"/>
      <c r="RC42" s="49"/>
      <c r="RD42" s="49"/>
      <c r="RE42" s="49"/>
      <c r="RF42" s="49"/>
      <c r="RG42" s="49"/>
      <c r="RH42" s="49"/>
      <c r="RI42" s="49"/>
      <c r="RJ42" s="49"/>
      <c r="RK42" s="49"/>
      <c r="RL42" s="49"/>
      <c r="RM42" s="49"/>
      <c r="RN42" s="49"/>
      <c r="RO42" s="49"/>
      <c r="RP42" s="260"/>
      <c r="RQ42" s="276"/>
      <c r="RR42" s="49"/>
      <c r="RS42" s="49"/>
      <c r="RT42" s="249"/>
      <c r="RU42" s="254"/>
      <c r="RV42" s="49"/>
      <c r="RW42" s="49"/>
      <c r="RX42" s="49"/>
      <c r="RY42" s="49"/>
      <c r="RZ42" s="49"/>
      <c r="SA42" s="49"/>
      <c r="SB42" s="49"/>
      <c r="SC42" s="49"/>
      <c r="SD42" s="49"/>
      <c r="SE42" s="49"/>
      <c r="SF42" s="49"/>
      <c r="SG42" s="49"/>
      <c r="SH42" s="49"/>
      <c r="SI42" s="49"/>
      <c r="SJ42" s="49"/>
      <c r="SK42" s="260"/>
      <c r="SL42" s="276"/>
      <c r="SM42" s="49"/>
      <c r="SN42" s="49"/>
      <c r="SO42" s="249"/>
      <c r="SP42" s="254"/>
      <c r="SQ42" s="49"/>
      <c r="SR42" s="49"/>
      <c r="SS42" s="49"/>
      <c r="ST42" s="49"/>
      <c r="SU42" s="49"/>
      <c r="SV42" s="49"/>
      <c r="SW42" s="49"/>
      <c r="SX42" s="49"/>
      <c r="SY42" s="49"/>
      <c r="SZ42" s="49"/>
      <c r="TA42" s="49"/>
      <c r="TB42" s="49"/>
      <c r="TC42" s="49"/>
      <c r="TD42" s="49"/>
      <c r="TE42" s="49"/>
      <c r="TF42" s="260"/>
      <c r="TG42" s="276"/>
      <c r="TH42" s="49"/>
      <c r="TI42" s="49"/>
      <c r="TJ42" s="249"/>
      <c r="TK42" s="254"/>
      <c r="TL42" s="49"/>
      <c r="TM42" s="49"/>
      <c r="TN42" s="49"/>
      <c r="TO42" s="49"/>
      <c r="TP42" s="49"/>
      <c r="TQ42" s="49"/>
      <c r="TR42" s="49"/>
      <c r="TS42" s="49"/>
      <c r="TT42" s="49"/>
      <c r="TU42" s="49"/>
      <c r="TV42" s="49"/>
      <c r="TW42" s="49"/>
      <c r="TX42" s="49"/>
      <c r="TY42" s="49"/>
      <c r="TZ42" s="49"/>
      <c r="UA42" s="260"/>
      <c r="UB42" s="276"/>
      <c r="UC42" s="49"/>
      <c r="UD42" s="49"/>
      <c r="UE42" s="249"/>
      <c r="UF42" s="254"/>
      <c r="UG42" s="49"/>
      <c r="UH42" s="49"/>
      <c r="UI42" s="49"/>
      <c r="UJ42" s="49"/>
      <c r="UK42" s="49"/>
      <c r="UL42" s="49"/>
      <c r="UM42" s="49"/>
      <c r="UN42" s="49"/>
      <c r="UO42" s="49"/>
      <c r="UP42" s="49"/>
      <c r="UQ42" s="49"/>
      <c r="UR42" s="49"/>
      <c r="US42" s="49"/>
      <c r="UT42" s="49"/>
      <c r="UU42" s="49"/>
      <c r="UV42" s="260"/>
      <c r="UW42" s="276"/>
      <c r="UX42" s="49"/>
      <c r="UY42" s="49"/>
      <c r="UZ42" s="249"/>
      <c r="VA42" s="254"/>
      <c r="VB42" s="49"/>
      <c r="VC42" s="49"/>
      <c r="VD42" s="49"/>
      <c r="VE42" s="49"/>
      <c r="VF42" s="49"/>
      <c r="VG42" s="49"/>
      <c r="VH42" s="49"/>
      <c r="VI42" s="49"/>
      <c r="VJ42" s="49"/>
      <c r="VK42" s="49"/>
      <c r="VL42" s="49"/>
      <c r="VM42" s="49"/>
      <c r="VN42" s="49"/>
      <c r="VO42" s="49"/>
      <c r="VP42" s="49"/>
      <c r="VQ42" s="260"/>
      <c r="VR42" s="276"/>
      <c r="VS42" s="49"/>
      <c r="VT42" s="49"/>
      <c r="VU42" s="249"/>
      <c r="VV42" s="254"/>
      <c r="VW42" s="49"/>
      <c r="VX42" s="49"/>
      <c r="VY42" s="49"/>
      <c r="VZ42" s="49"/>
      <c r="WA42" s="49"/>
      <c r="WB42" s="49"/>
      <c r="WC42" s="49"/>
      <c r="WD42" s="49"/>
      <c r="WE42" s="49"/>
      <c r="WF42" s="49"/>
      <c r="WG42" s="49"/>
      <c r="WH42" s="49"/>
      <c r="WI42" s="49"/>
      <c r="WJ42" s="49"/>
      <c r="WK42" s="49"/>
      <c r="WL42" s="260"/>
      <c r="WM42" s="276"/>
      <c r="WN42" s="49"/>
      <c r="WO42" s="49"/>
      <c r="WP42" s="249"/>
      <c r="WQ42" s="254"/>
      <c r="WR42" s="49"/>
      <c r="WS42" s="49"/>
      <c r="WT42" s="49"/>
      <c r="WU42" s="49"/>
      <c r="WV42" s="49"/>
      <c r="WW42" s="49"/>
      <c r="WX42" s="49"/>
      <c r="WY42" s="49"/>
      <c r="WZ42" s="49"/>
      <c r="XA42" s="49"/>
      <c r="XB42" s="49"/>
      <c r="XC42" s="49"/>
      <c r="XD42" s="49"/>
      <c r="XE42" s="49"/>
      <c r="XF42" s="49"/>
      <c r="XG42" s="260"/>
      <c r="XH42" s="276"/>
      <c r="XI42" s="49"/>
      <c r="XJ42" s="49"/>
      <c r="XK42" s="249"/>
      <c r="XL42" s="254"/>
      <c r="XM42" s="49"/>
      <c r="XN42" s="49"/>
      <c r="XO42" s="49"/>
      <c r="XP42" s="49"/>
      <c r="XQ42" s="49"/>
      <c r="XR42" s="49"/>
      <c r="XS42" s="49"/>
      <c r="XT42" s="49"/>
      <c r="XU42" s="49"/>
      <c r="XV42" s="49"/>
      <c r="XW42" s="49"/>
      <c r="XX42" s="49"/>
      <c r="XY42" s="49"/>
      <c r="XZ42" s="49"/>
      <c r="YA42" s="49"/>
      <c r="YB42" s="260"/>
    </row>
    <row r="43" spans="1:652" x14ac:dyDescent="0.3">
      <c r="A43" s="224" t="s">
        <v>237</v>
      </c>
      <c r="B43" s="270"/>
      <c r="C43" s="10"/>
      <c r="D43" s="10"/>
      <c r="E43" s="234"/>
      <c r="F43" s="238"/>
      <c r="G43" s="11"/>
      <c r="H43" s="11"/>
      <c r="I43" s="11"/>
      <c r="J43" s="11"/>
      <c r="K43" s="12"/>
      <c r="L43" s="11"/>
      <c r="M43" s="11"/>
      <c r="N43" s="11"/>
      <c r="O43" s="11"/>
      <c r="P43" s="11"/>
      <c r="Q43" s="11"/>
      <c r="R43" s="11"/>
      <c r="S43" s="11"/>
      <c r="T43" s="11"/>
      <c r="U43" s="11"/>
      <c r="V43" s="259"/>
      <c r="W43" s="275"/>
      <c r="X43" s="11"/>
      <c r="Y43" s="11"/>
      <c r="Z43" s="248"/>
      <c r="AA43" s="253"/>
      <c r="AB43" s="11"/>
      <c r="AC43" s="11"/>
      <c r="AD43" s="11"/>
      <c r="AE43" s="11"/>
      <c r="AF43" s="11"/>
      <c r="AG43" s="11"/>
      <c r="AH43" s="11"/>
      <c r="AI43" s="11"/>
      <c r="AJ43" s="11"/>
      <c r="AK43" s="11"/>
      <c r="AL43" s="11"/>
      <c r="AM43" s="11"/>
      <c r="AN43" s="11"/>
      <c r="AO43" s="11"/>
      <c r="AP43" s="11"/>
      <c r="AQ43" s="259"/>
      <c r="AR43" s="270"/>
      <c r="AS43" s="10"/>
      <c r="AT43" s="10"/>
      <c r="AU43" s="234"/>
      <c r="AV43" s="238"/>
      <c r="AW43" s="11"/>
      <c r="AX43" s="11"/>
      <c r="AY43" s="11"/>
      <c r="AZ43" s="11"/>
      <c r="BA43" s="11"/>
      <c r="BB43" s="11"/>
      <c r="BC43" s="11"/>
      <c r="BD43" s="11"/>
      <c r="BE43" s="11"/>
      <c r="BF43" s="11"/>
      <c r="BG43" s="11"/>
      <c r="BH43" s="11"/>
      <c r="BI43" s="11"/>
      <c r="BJ43" s="11"/>
      <c r="BK43" s="11"/>
      <c r="BL43" s="259"/>
      <c r="BM43" s="275"/>
      <c r="BN43" s="11"/>
      <c r="BO43" s="11"/>
      <c r="BP43" s="248"/>
      <c r="BQ43" s="253"/>
      <c r="BR43" s="11"/>
      <c r="BS43" s="11"/>
      <c r="BT43" s="11"/>
      <c r="BU43" s="11"/>
      <c r="BV43" s="11"/>
      <c r="BW43" s="11"/>
      <c r="BX43" s="11"/>
      <c r="BY43" s="11"/>
      <c r="BZ43" s="11"/>
      <c r="CA43" s="11"/>
      <c r="CB43" s="11"/>
      <c r="CC43" s="11"/>
      <c r="CD43" s="11"/>
      <c r="CE43" s="11"/>
      <c r="CF43" s="11"/>
      <c r="CG43" s="259"/>
      <c r="CH43" s="275"/>
      <c r="CI43" s="11"/>
      <c r="CJ43" s="11"/>
      <c r="CK43" s="248"/>
      <c r="CL43" s="45"/>
      <c r="CM43" s="45"/>
      <c r="CN43" s="45"/>
      <c r="CO43" s="45"/>
      <c r="CP43" s="45"/>
      <c r="CQ43" s="79"/>
      <c r="CR43" s="45"/>
      <c r="CS43" s="36"/>
      <c r="CT43" s="86"/>
      <c r="CU43" s="45"/>
      <c r="CV43" s="10"/>
      <c r="CW43" s="11"/>
      <c r="CX43" s="11"/>
      <c r="CY43" s="11"/>
      <c r="CZ43" s="11"/>
      <c r="DA43" s="11"/>
      <c r="DB43" s="259"/>
      <c r="DC43" s="275"/>
      <c r="DD43" s="11"/>
      <c r="DE43" s="11"/>
      <c r="DF43" s="248"/>
      <c r="DG43" s="253"/>
      <c r="DH43" s="11"/>
      <c r="DI43" s="11"/>
      <c r="DJ43" s="11"/>
      <c r="DK43" s="11"/>
      <c r="DL43" s="11"/>
      <c r="DM43" s="11"/>
      <c r="DN43" s="11"/>
      <c r="DO43" s="11"/>
      <c r="DP43" s="11"/>
      <c r="DQ43" s="11"/>
      <c r="DR43" s="11"/>
      <c r="DS43" s="11"/>
      <c r="DT43" s="11"/>
      <c r="DU43" s="11"/>
      <c r="DV43" s="11"/>
      <c r="DW43" s="259"/>
      <c r="DX43" s="275"/>
      <c r="DY43" s="11"/>
      <c r="DZ43" s="11"/>
      <c r="EA43" s="248"/>
      <c r="EB43" s="45"/>
      <c r="EC43" s="45"/>
      <c r="ED43" s="45"/>
      <c r="EE43" s="45"/>
      <c r="EF43" s="45"/>
      <c r="EG43" s="79"/>
      <c r="EH43" s="45"/>
      <c r="EI43" s="36"/>
      <c r="EJ43" s="86"/>
      <c r="EK43" s="45"/>
      <c r="EL43" s="10"/>
      <c r="EM43" s="11"/>
      <c r="EN43" s="11"/>
      <c r="EO43" s="11"/>
      <c r="EP43" s="11"/>
      <c r="EQ43" s="11"/>
      <c r="ER43" s="259"/>
      <c r="ES43" s="275"/>
      <c r="ET43" s="11"/>
      <c r="EU43" s="11"/>
      <c r="EV43" s="248"/>
      <c r="EW43" s="253"/>
      <c r="EX43" s="11"/>
      <c r="EY43" s="11"/>
      <c r="EZ43" s="11"/>
      <c r="FA43" s="11"/>
      <c r="FB43" s="11"/>
      <c r="FC43" s="11"/>
      <c r="FD43" s="11"/>
      <c r="FE43" s="11"/>
      <c r="FF43" s="11"/>
      <c r="FG43" s="11"/>
      <c r="FH43" s="11"/>
      <c r="FI43" s="11"/>
      <c r="FJ43" s="11"/>
      <c r="FK43" s="11"/>
      <c r="FL43" s="11"/>
      <c r="FM43" s="259"/>
      <c r="FN43" s="275"/>
      <c r="FO43" s="11"/>
      <c r="FP43" s="11"/>
      <c r="FQ43" s="248"/>
      <c r="FR43" s="45"/>
      <c r="FS43" s="45"/>
      <c r="FT43" s="45"/>
      <c r="FU43" s="45"/>
      <c r="FV43" s="45"/>
      <c r="FW43" s="79"/>
      <c r="FX43" s="45"/>
      <c r="FY43" s="36"/>
      <c r="FZ43" s="86"/>
      <c r="GA43" s="45"/>
      <c r="GB43" s="10"/>
      <c r="GC43" s="11"/>
      <c r="GD43" s="11"/>
      <c r="GE43" s="11"/>
      <c r="GF43" s="11"/>
      <c r="GG43" s="11"/>
      <c r="GH43" s="259"/>
      <c r="GI43" s="275"/>
      <c r="GJ43" s="11"/>
      <c r="GK43" s="11"/>
      <c r="GL43" s="248"/>
      <c r="GM43" s="253"/>
      <c r="GN43" s="11"/>
      <c r="GO43" s="11"/>
      <c r="GP43" s="11"/>
      <c r="GQ43" s="11"/>
      <c r="GR43" s="11"/>
      <c r="GS43" s="11"/>
      <c r="GT43" s="11"/>
      <c r="GU43" s="11"/>
      <c r="GV43" s="11"/>
      <c r="GW43" s="11"/>
      <c r="GX43" s="11"/>
      <c r="GY43" s="11"/>
      <c r="GZ43" s="11"/>
      <c r="HA43" s="11"/>
      <c r="HB43" s="11"/>
      <c r="HC43" s="259"/>
      <c r="HD43" s="275"/>
      <c r="HE43" s="11"/>
      <c r="HF43" s="11"/>
      <c r="HG43" s="248"/>
      <c r="HH43" s="253"/>
      <c r="HI43" s="11"/>
      <c r="HJ43" s="11"/>
      <c r="HK43" s="11"/>
      <c r="HL43" s="11"/>
      <c r="HM43" s="11"/>
      <c r="HN43" s="11"/>
      <c r="HO43" s="11"/>
      <c r="HP43" s="11"/>
      <c r="HQ43" s="11"/>
      <c r="HR43" s="11"/>
      <c r="HS43" s="11"/>
      <c r="HT43" s="11"/>
      <c r="HU43" s="11"/>
      <c r="HV43" s="11"/>
      <c r="HW43" s="11"/>
      <c r="HX43" s="259"/>
      <c r="HY43" s="275"/>
      <c r="HZ43" s="11"/>
      <c r="IA43" s="11"/>
      <c r="IB43" s="248"/>
      <c r="IC43" s="253"/>
      <c r="ID43" s="11"/>
      <c r="IE43" s="11"/>
      <c r="IF43" s="11"/>
      <c r="IG43" s="11"/>
      <c r="IH43" s="11"/>
      <c r="II43" s="11"/>
      <c r="IJ43" s="11"/>
      <c r="IK43" s="11"/>
      <c r="IL43" s="11"/>
      <c r="IM43" s="11"/>
      <c r="IN43" s="11"/>
      <c r="IO43" s="11"/>
      <c r="IP43" s="11"/>
      <c r="IQ43" s="11"/>
      <c r="IR43" s="11"/>
      <c r="IS43" s="259"/>
      <c r="IT43" s="275"/>
      <c r="IU43" s="11"/>
      <c r="IV43" s="11"/>
      <c r="IW43" s="248"/>
      <c r="IX43" s="253"/>
      <c r="IY43" s="11"/>
      <c r="IZ43" s="11"/>
      <c r="JA43" s="11"/>
      <c r="JB43" s="11"/>
      <c r="JC43" s="11"/>
      <c r="JD43" s="11"/>
      <c r="JE43" s="11"/>
      <c r="JF43" s="11"/>
      <c r="JG43" s="11"/>
      <c r="JH43" s="11"/>
      <c r="JI43" s="11"/>
      <c r="JJ43" s="11"/>
      <c r="JK43" s="11"/>
      <c r="JL43" s="11"/>
      <c r="JM43" s="11"/>
      <c r="JN43" s="259"/>
      <c r="JO43" s="275"/>
      <c r="JP43" s="11"/>
      <c r="JQ43" s="11"/>
      <c r="JR43" s="248"/>
      <c r="JS43" s="253"/>
      <c r="JT43" s="11"/>
      <c r="JU43" s="11"/>
      <c r="JV43" s="11"/>
      <c r="JW43" s="11"/>
      <c r="JX43" s="11"/>
      <c r="JY43" s="11"/>
      <c r="JZ43" s="11"/>
      <c r="KA43" s="11"/>
      <c r="KB43" s="11"/>
      <c r="KC43" s="11"/>
      <c r="KD43" s="11"/>
      <c r="KE43" s="11"/>
      <c r="KF43" s="11"/>
      <c r="KG43" s="11"/>
      <c r="KH43" s="11"/>
      <c r="KI43" s="259"/>
      <c r="KJ43" s="275"/>
      <c r="KK43" s="11"/>
      <c r="KL43" s="11"/>
      <c r="KM43" s="248"/>
      <c r="KN43" s="253"/>
      <c r="KO43" s="11"/>
      <c r="KP43" s="11"/>
      <c r="KQ43" s="11"/>
      <c r="KR43" s="11"/>
      <c r="KS43" s="11"/>
      <c r="KT43" s="11"/>
      <c r="KU43" s="11"/>
      <c r="KV43" s="11"/>
      <c r="KW43" s="11"/>
      <c r="KX43" s="11"/>
      <c r="KY43" s="11"/>
      <c r="KZ43" s="11"/>
      <c r="LA43" s="11"/>
      <c r="LB43" s="11"/>
      <c r="LC43" s="11"/>
      <c r="LD43" s="259"/>
      <c r="LE43" s="275"/>
      <c r="LF43" s="11"/>
      <c r="LG43" s="11"/>
      <c r="LH43" s="248"/>
      <c r="LI43" s="253"/>
      <c r="LJ43" s="11"/>
      <c r="LK43" s="11"/>
      <c r="LL43" s="11"/>
      <c r="LM43" s="11"/>
      <c r="LN43" s="11"/>
      <c r="LO43" s="11"/>
      <c r="LP43" s="11"/>
      <c r="LQ43" s="11"/>
      <c r="LR43" s="11"/>
      <c r="LS43" s="11"/>
      <c r="LT43" s="11"/>
      <c r="LU43" s="11"/>
      <c r="LV43" s="11"/>
      <c r="LW43" s="11"/>
      <c r="LX43" s="11"/>
      <c r="LY43" s="259"/>
      <c r="LZ43" s="275"/>
      <c r="MA43" s="11"/>
      <c r="MB43" s="11"/>
      <c r="MC43" s="248"/>
      <c r="MD43" s="253"/>
      <c r="ME43" s="11"/>
      <c r="MF43" s="11"/>
      <c r="MG43" s="11"/>
      <c r="MH43" s="11"/>
      <c r="MI43" s="11"/>
      <c r="MJ43" s="11"/>
      <c r="MK43" s="11"/>
      <c r="ML43" s="11"/>
      <c r="MM43" s="11"/>
      <c r="MN43" s="11"/>
      <c r="MO43" s="11"/>
      <c r="MP43" s="11"/>
      <c r="MQ43" s="11"/>
      <c r="MR43" s="11"/>
      <c r="MS43" s="11"/>
      <c r="MT43" s="259"/>
      <c r="MU43" s="275"/>
      <c r="MV43" s="11"/>
      <c r="MW43" s="11"/>
      <c r="MX43" s="248"/>
      <c r="MY43" s="253"/>
      <c r="MZ43" s="11"/>
      <c r="NA43" s="11"/>
      <c r="NB43" s="11"/>
      <c r="NC43" s="11"/>
      <c r="ND43" s="11"/>
      <c r="NE43" s="11"/>
      <c r="NF43" s="11"/>
      <c r="NG43" s="11"/>
      <c r="NH43" s="11"/>
      <c r="NI43" s="11"/>
      <c r="NJ43" s="11"/>
      <c r="NK43" s="11"/>
      <c r="NL43" s="11"/>
      <c r="NM43" s="11"/>
      <c r="NN43" s="11"/>
      <c r="NO43" s="259"/>
      <c r="NP43" s="275"/>
      <c r="NQ43" s="11"/>
      <c r="NR43" s="11"/>
      <c r="NS43" s="248"/>
      <c r="NT43" s="253"/>
      <c r="NU43" s="11"/>
      <c r="NV43" s="11"/>
      <c r="NW43" s="11"/>
      <c r="NX43" s="11"/>
      <c r="NY43" s="11"/>
      <c r="NZ43" s="11"/>
      <c r="OA43" s="11"/>
      <c r="OB43" s="11"/>
      <c r="OC43" s="11"/>
      <c r="OD43" s="11"/>
      <c r="OE43" s="11"/>
      <c r="OF43" s="11"/>
      <c r="OG43" s="11"/>
      <c r="OH43" s="11"/>
      <c r="OI43" s="11"/>
      <c r="OJ43" s="259"/>
      <c r="OK43" s="275"/>
      <c r="OL43" s="11"/>
      <c r="OM43" s="11"/>
      <c r="ON43" s="248"/>
      <c r="OO43" s="253"/>
      <c r="OP43" s="11"/>
      <c r="OQ43" s="11"/>
      <c r="OR43" s="11"/>
      <c r="OS43" s="11"/>
      <c r="OT43" s="11"/>
      <c r="OU43" s="11"/>
      <c r="OV43" s="11"/>
      <c r="OW43" s="11"/>
      <c r="OX43" s="11"/>
      <c r="OY43" s="11"/>
      <c r="OZ43" s="11"/>
      <c r="PA43" s="11"/>
      <c r="PB43" s="11"/>
      <c r="PC43" s="11"/>
      <c r="PD43" s="11"/>
      <c r="PE43" s="259"/>
      <c r="PF43" s="275"/>
      <c r="PG43" s="11"/>
      <c r="PH43" s="11"/>
      <c r="PI43" s="248"/>
      <c r="PJ43" s="253"/>
      <c r="PK43" s="11"/>
      <c r="PL43" s="11"/>
      <c r="PM43" s="11"/>
      <c r="PN43" s="11"/>
      <c r="PO43" s="11"/>
      <c r="PP43" s="11"/>
      <c r="PQ43" s="11"/>
      <c r="PR43" s="11"/>
      <c r="PS43" s="11"/>
      <c r="PT43" s="11"/>
      <c r="PU43" s="11"/>
      <c r="PV43" s="11"/>
      <c r="PW43" s="11"/>
      <c r="PX43" s="11"/>
      <c r="PY43" s="11"/>
      <c r="PZ43" s="259"/>
      <c r="QA43" s="275"/>
      <c r="QB43" s="11"/>
      <c r="QC43" s="11"/>
      <c r="QD43" s="248"/>
      <c r="QE43" s="253"/>
      <c r="QF43" s="11"/>
      <c r="QG43" s="11"/>
      <c r="QH43" s="11"/>
      <c r="QI43" s="11"/>
      <c r="QJ43" s="11"/>
      <c r="QK43" s="11"/>
      <c r="QL43" s="11"/>
      <c r="QM43" s="11"/>
      <c r="QN43" s="11"/>
      <c r="QO43" s="11"/>
      <c r="QP43" s="11"/>
      <c r="QQ43" s="11"/>
      <c r="QR43" s="11"/>
      <c r="QS43" s="11"/>
      <c r="QT43" s="11"/>
      <c r="QU43" s="259"/>
      <c r="QV43" s="275"/>
      <c r="QW43" s="11"/>
      <c r="QX43" s="11"/>
      <c r="QY43" s="248"/>
      <c r="QZ43" s="253"/>
      <c r="RA43" s="11"/>
      <c r="RB43" s="11"/>
      <c r="RC43" s="11"/>
      <c r="RD43" s="11"/>
      <c r="RE43" s="11"/>
      <c r="RF43" s="11"/>
      <c r="RG43" s="11"/>
      <c r="RH43" s="11"/>
      <c r="RI43" s="11"/>
      <c r="RJ43" s="11"/>
      <c r="RK43" s="11"/>
      <c r="RL43" s="11"/>
      <c r="RM43" s="11"/>
      <c r="RN43" s="11"/>
      <c r="RO43" s="11"/>
      <c r="RP43" s="259"/>
      <c r="RQ43" s="275"/>
      <c r="RR43" s="11"/>
      <c r="RS43" s="11"/>
      <c r="RT43" s="248"/>
      <c r="RU43" s="253"/>
      <c r="RV43" s="11"/>
      <c r="RW43" s="11"/>
      <c r="RX43" s="11"/>
      <c r="RY43" s="11"/>
      <c r="RZ43" s="11"/>
      <c r="SA43" s="11"/>
      <c r="SB43" s="11"/>
      <c r="SC43" s="11"/>
      <c r="SD43" s="11"/>
      <c r="SE43" s="11"/>
      <c r="SF43" s="11"/>
      <c r="SG43" s="11"/>
      <c r="SH43" s="11"/>
      <c r="SI43" s="11"/>
      <c r="SJ43" s="11"/>
      <c r="SK43" s="259"/>
      <c r="SL43" s="275"/>
      <c r="SM43" s="11"/>
      <c r="SN43" s="11"/>
      <c r="SO43" s="248"/>
      <c r="SP43" s="253"/>
      <c r="SQ43" s="11"/>
      <c r="SR43" s="11"/>
      <c r="SS43" s="11"/>
      <c r="ST43" s="11"/>
      <c r="SU43" s="11"/>
      <c r="SV43" s="11"/>
      <c r="SW43" s="11"/>
      <c r="SX43" s="11"/>
      <c r="SY43" s="11"/>
      <c r="SZ43" s="11"/>
      <c r="TA43" s="11"/>
      <c r="TB43" s="11"/>
      <c r="TC43" s="11"/>
      <c r="TD43" s="11"/>
      <c r="TE43" s="11"/>
      <c r="TF43" s="259"/>
      <c r="TG43" s="275"/>
      <c r="TH43" s="11"/>
      <c r="TI43" s="11"/>
      <c r="TJ43" s="248"/>
      <c r="TK43" s="253"/>
      <c r="TL43" s="11"/>
      <c r="TM43" s="11"/>
      <c r="TN43" s="11"/>
      <c r="TO43" s="11"/>
      <c r="TP43" s="11"/>
      <c r="TQ43" s="11"/>
      <c r="TR43" s="11"/>
      <c r="TS43" s="11"/>
      <c r="TT43" s="11"/>
      <c r="TU43" s="11"/>
      <c r="TV43" s="11"/>
      <c r="TW43" s="11"/>
      <c r="TX43" s="11"/>
      <c r="TY43" s="11"/>
      <c r="TZ43" s="11"/>
      <c r="UA43" s="259"/>
      <c r="UB43" s="275"/>
      <c r="UC43" s="11"/>
      <c r="UD43" s="11"/>
      <c r="UE43" s="248"/>
      <c r="UF43" s="253"/>
      <c r="UG43" s="11"/>
      <c r="UH43" s="11"/>
      <c r="UI43" s="11"/>
      <c r="UJ43" s="11"/>
      <c r="UK43" s="11"/>
      <c r="UL43" s="11"/>
      <c r="UM43" s="11"/>
      <c r="UN43" s="11"/>
      <c r="UO43" s="11"/>
      <c r="UP43" s="11"/>
      <c r="UQ43" s="11"/>
      <c r="UR43" s="11"/>
      <c r="US43" s="11"/>
      <c r="UT43" s="11"/>
      <c r="UU43" s="11"/>
      <c r="UV43" s="259"/>
      <c r="UW43" s="275"/>
      <c r="UX43" s="11"/>
      <c r="UY43" s="11"/>
      <c r="UZ43" s="248"/>
      <c r="VA43" s="253"/>
      <c r="VB43" s="11"/>
      <c r="VC43" s="11"/>
      <c r="VD43" s="11"/>
      <c r="VE43" s="11"/>
      <c r="VF43" s="11"/>
      <c r="VG43" s="11"/>
      <c r="VH43" s="11"/>
      <c r="VI43" s="11"/>
      <c r="VJ43" s="11"/>
      <c r="VK43" s="11"/>
      <c r="VL43" s="11"/>
      <c r="VM43" s="11"/>
      <c r="VN43" s="11"/>
      <c r="VO43" s="11"/>
      <c r="VP43" s="11"/>
      <c r="VQ43" s="259"/>
      <c r="VR43" s="275"/>
      <c r="VS43" s="11"/>
      <c r="VT43" s="11"/>
      <c r="VU43" s="248"/>
      <c r="VV43" s="253"/>
      <c r="VW43" s="11"/>
      <c r="VX43" s="11"/>
      <c r="VY43" s="11"/>
      <c r="VZ43" s="11"/>
      <c r="WA43" s="11"/>
      <c r="WB43" s="11"/>
      <c r="WC43" s="11"/>
      <c r="WD43" s="11"/>
      <c r="WE43" s="11"/>
      <c r="WF43" s="11"/>
      <c r="WG43" s="11"/>
      <c r="WH43" s="11"/>
      <c r="WI43" s="11"/>
      <c r="WJ43" s="11"/>
      <c r="WK43" s="11"/>
      <c r="WL43" s="259"/>
      <c r="WM43" s="275"/>
      <c r="WN43" s="11"/>
      <c r="WO43" s="11"/>
      <c r="WP43" s="248"/>
      <c r="WQ43" s="253"/>
      <c r="WR43" s="11"/>
      <c r="WS43" s="11"/>
      <c r="WT43" s="11"/>
      <c r="WU43" s="11"/>
      <c r="WV43" s="11"/>
      <c r="WW43" s="11"/>
      <c r="WX43" s="11"/>
      <c r="WY43" s="11"/>
      <c r="WZ43" s="11"/>
      <c r="XA43" s="11"/>
      <c r="XB43" s="11"/>
      <c r="XC43" s="11"/>
      <c r="XD43" s="11"/>
      <c r="XE43" s="11"/>
      <c r="XF43" s="11"/>
      <c r="XG43" s="259"/>
      <c r="XH43" s="275"/>
      <c r="XI43" s="11"/>
      <c r="XJ43" s="11"/>
      <c r="XK43" s="248"/>
      <c r="XL43" s="253"/>
      <c r="XM43" s="11"/>
      <c r="XN43" s="11"/>
      <c r="XO43" s="11"/>
      <c r="XP43" s="11"/>
      <c r="XQ43" s="11"/>
      <c r="XR43" s="11"/>
      <c r="XS43" s="11"/>
      <c r="XT43" s="11"/>
      <c r="XU43" s="11"/>
      <c r="XV43" s="11"/>
      <c r="XW43" s="11"/>
      <c r="XX43" s="11"/>
      <c r="XY43" s="11"/>
      <c r="XZ43" s="11"/>
      <c r="YA43" s="11"/>
      <c r="YB43" s="259"/>
    </row>
    <row r="44" spans="1:652" x14ac:dyDescent="0.3">
      <c r="A44" s="223" t="s">
        <v>241</v>
      </c>
      <c r="B44" s="271"/>
      <c r="C44" s="48"/>
      <c r="D44" s="48"/>
      <c r="E44" s="235"/>
      <c r="F44" s="239"/>
      <c r="G44" s="49"/>
      <c r="H44" s="49"/>
      <c r="I44" s="49"/>
      <c r="J44" s="49"/>
      <c r="K44" s="49"/>
      <c r="L44" s="49"/>
      <c r="M44" s="49"/>
      <c r="N44" s="49"/>
      <c r="O44" s="49"/>
      <c r="P44" s="49"/>
      <c r="Q44" s="49"/>
      <c r="R44" s="49"/>
      <c r="S44" s="49"/>
      <c r="T44" s="49"/>
      <c r="U44" s="49"/>
      <c r="V44" s="260"/>
      <c r="W44" s="276"/>
      <c r="X44" s="49"/>
      <c r="Y44" s="49"/>
      <c r="Z44" s="249"/>
      <c r="AA44" s="254"/>
      <c r="AB44" s="49"/>
      <c r="AC44" s="49"/>
      <c r="AD44" s="49"/>
      <c r="AE44" s="49"/>
      <c r="AF44" s="49"/>
      <c r="AG44" s="49"/>
      <c r="AH44" s="49"/>
      <c r="AI44" s="49"/>
      <c r="AJ44" s="49"/>
      <c r="AK44" s="49"/>
      <c r="AL44" s="49"/>
      <c r="AM44" s="49"/>
      <c r="AN44" s="49"/>
      <c r="AO44" s="49"/>
      <c r="AP44" s="49"/>
      <c r="AQ44" s="260"/>
      <c r="AR44" s="271"/>
      <c r="AS44" s="48"/>
      <c r="AT44" s="48"/>
      <c r="AU44" s="235"/>
      <c r="AV44" s="239"/>
      <c r="AW44" s="49"/>
      <c r="AX44" s="49"/>
      <c r="AY44" s="49"/>
      <c r="AZ44" s="49"/>
      <c r="BA44" s="49"/>
      <c r="BB44" s="49"/>
      <c r="BC44" s="49"/>
      <c r="BD44" s="49"/>
      <c r="BE44" s="49"/>
      <c r="BF44" s="49"/>
      <c r="BG44" s="49"/>
      <c r="BH44" s="49"/>
      <c r="BI44" s="49"/>
      <c r="BJ44" s="49"/>
      <c r="BK44" s="49"/>
      <c r="BL44" s="260"/>
      <c r="BM44" s="276"/>
      <c r="BN44" s="49"/>
      <c r="BO44" s="49"/>
      <c r="BP44" s="249"/>
      <c r="BQ44" s="254"/>
      <c r="BR44" s="49"/>
      <c r="BS44" s="49"/>
      <c r="BT44" s="49"/>
      <c r="BU44" s="49"/>
      <c r="BV44" s="49"/>
      <c r="BW44" s="49"/>
      <c r="BX44" s="49"/>
      <c r="BY44" s="49"/>
      <c r="BZ44" s="49"/>
      <c r="CA44" s="49"/>
      <c r="CB44" s="49"/>
      <c r="CC44" s="49"/>
      <c r="CD44" s="49"/>
      <c r="CE44" s="49"/>
      <c r="CF44" s="49"/>
      <c r="CG44" s="260"/>
      <c r="CH44" s="276"/>
      <c r="CI44" s="49"/>
      <c r="CJ44" s="49"/>
      <c r="CK44" s="249"/>
      <c r="CL44" s="53"/>
      <c r="CM44" s="53"/>
      <c r="CN44" s="53"/>
      <c r="CO44" s="53"/>
      <c r="CP44" s="53"/>
      <c r="CQ44" s="80"/>
      <c r="CR44" s="53"/>
      <c r="CS44" s="54"/>
      <c r="CT44" s="84"/>
      <c r="CU44" s="53"/>
      <c r="CV44" s="66"/>
      <c r="CW44" s="49"/>
      <c r="CX44" s="49"/>
      <c r="CY44" s="49"/>
      <c r="CZ44" s="49"/>
      <c r="DA44" s="49"/>
      <c r="DB44" s="260"/>
      <c r="DC44" s="276"/>
      <c r="DD44" s="49"/>
      <c r="DE44" s="49"/>
      <c r="DF44" s="249"/>
      <c r="DG44" s="254"/>
      <c r="DH44" s="49"/>
      <c r="DI44" s="49"/>
      <c r="DJ44" s="49"/>
      <c r="DK44" s="49"/>
      <c r="DL44" s="49"/>
      <c r="DM44" s="49"/>
      <c r="DN44" s="49"/>
      <c r="DO44" s="49"/>
      <c r="DP44" s="49"/>
      <c r="DQ44" s="49"/>
      <c r="DR44" s="49"/>
      <c r="DS44" s="49"/>
      <c r="DT44" s="49"/>
      <c r="DU44" s="49"/>
      <c r="DV44" s="49"/>
      <c r="DW44" s="260"/>
      <c r="DX44" s="276"/>
      <c r="DY44" s="49"/>
      <c r="DZ44" s="49"/>
      <c r="EA44" s="249"/>
      <c r="EB44" s="53"/>
      <c r="EC44" s="53"/>
      <c r="ED44" s="53"/>
      <c r="EE44" s="53"/>
      <c r="EF44" s="53"/>
      <c r="EG44" s="80"/>
      <c r="EH44" s="53"/>
      <c r="EI44" s="54"/>
      <c r="EJ44" s="84"/>
      <c r="EK44" s="53"/>
      <c r="EL44" s="66"/>
      <c r="EM44" s="49"/>
      <c r="EN44" s="49"/>
      <c r="EO44" s="49"/>
      <c r="EP44" s="49"/>
      <c r="EQ44" s="49"/>
      <c r="ER44" s="260"/>
      <c r="ES44" s="276"/>
      <c r="ET44" s="49"/>
      <c r="EU44" s="49"/>
      <c r="EV44" s="249"/>
      <c r="EW44" s="254"/>
      <c r="EX44" s="49"/>
      <c r="EY44" s="49"/>
      <c r="EZ44" s="49"/>
      <c r="FA44" s="49"/>
      <c r="FB44" s="49"/>
      <c r="FC44" s="49"/>
      <c r="FD44" s="49"/>
      <c r="FE44" s="49"/>
      <c r="FF44" s="49"/>
      <c r="FG44" s="49"/>
      <c r="FH44" s="49"/>
      <c r="FI44" s="49"/>
      <c r="FJ44" s="49"/>
      <c r="FK44" s="49"/>
      <c r="FL44" s="49"/>
      <c r="FM44" s="260"/>
      <c r="FN44" s="276"/>
      <c r="FO44" s="49"/>
      <c r="FP44" s="49"/>
      <c r="FQ44" s="249"/>
      <c r="FR44" s="53"/>
      <c r="FS44" s="53"/>
      <c r="FT44" s="53"/>
      <c r="FU44" s="53"/>
      <c r="FV44" s="53"/>
      <c r="FW44" s="80"/>
      <c r="FX44" s="53"/>
      <c r="FY44" s="54"/>
      <c r="FZ44" s="84"/>
      <c r="GA44" s="53"/>
      <c r="GB44" s="66"/>
      <c r="GC44" s="49"/>
      <c r="GD44" s="49"/>
      <c r="GE44" s="49"/>
      <c r="GF44" s="49"/>
      <c r="GG44" s="49"/>
      <c r="GH44" s="260"/>
      <c r="GI44" s="276"/>
      <c r="GJ44" s="49"/>
      <c r="GK44" s="49"/>
      <c r="GL44" s="249"/>
      <c r="GM44" s="254"/>
      <c r="GN44" s="49"/>
      <c r="GO44" s="49"/>
      <c r="GP44" s="49"/>
      <c r="GQ44" s="49"/>
      <c r="GR44" s="49"/>
      <c r="GS44" s="49"/>
      <c r="GT44" s="49"/>
      <c r="GU44" s="49"/>
      <c r="GV44" s="49"/>
      <c r="GW44" s="49"/>
      <c r="GX44" s="49"/>
      <c r="GY44" s="49"/>
      <c r="GZ44" s="49"/>
      <c r="HA44" s="49"/>
      <c r="HB44" s="49"/>
      <c r="HC44" s="260"/>
      <c r="HD44" s="276"/>
      <c r="HE44" s="49"/>
      <c r="HF44" s="49"/>
      <c r="HG44" s="249"/>
      <c r="HH44" s="254"/>
      <c r="HI44" s="49"/>
      <c r="HJ44" s="49"/>
      <c r="HK44" s="49"/>
      <c r="HL44" s="49"/>
      <c r="HM44" s="49"/>
      <c r="HN44" s="49"/>
      <c r="HO44" s="49"/>
      <c r="HP44" s="49"/>
      <c r="HQ44" s="49"/>
      <c r="HR44" s="49"/>
      <c r="HS44" s="49"/>
      <c r="HT44" s="49"/>
      <c r="HU44" s="49"/>
      <c r="HV44" s="49"/>
      <c r="HW44" s="49"/>
      <c r="HX44" s="260"/>
      <c r="HY44" s="276"/>
      <c r="HZ44" s="49"/>
      <c r="IA44" s="49"/>
      <c r="IB44" s="249"/>
      <c r="IC44" s="254"/>
      <c r="ID44" s="49"/>
      <c r="IE44" s="49"/>
      <c r="IF44" s="49"/>
      <c r="IG44" s="49"/>
      <c r="IH44" s="49"/>
      <c r="II44" s="49"/>
      <c r="IJ44" s="49"/>
      <c r="IK44" s="49"/>
      <c r="IL44" s="49"/>
      <c r="IM44" s="49"/>
      <c r="IN44" s="49"/>
      <c r="IO44" s="49"/>
      <c r="IP44" s="49"/>
      <c r="IQ44" s="49"/>
      <c r="IR44" s="49"/>
      <c r="IS44" s="260"/>
      <c r="IT44" s="276"/>
      <c r="IU44" s="49"/>
      <c r="IV44" s="49"/>
      <c r="IW44" s="249"/>
      <c r="IX44" s="254"/>
      <c r="IY44" s="49"/>
      <c r="IZ44" s="49"/>
      <c r="JA44" s="49"/>
      <c r="JB44" s="49"/>
      <c r="JC44" s="49"/>
      <c r="JD44" s="49"/>
      <c r="JE44" s="49"/>
      <c r="JF44" s="49"/>
      <c r="JG44" s="49"/>
      <c r="JH44" s="49"/>
      <c r="JI44" s="49"/>
      <c r="JJ44" s="49"/>
      <c r="JK44" s="49"/>
      <c r="JL44" s="49"/>
      <c r="JM44" s="49"/>
      <c r="JN44" s="260"/>
      <c r="JO44" s="276"/>
      <c r="JP44" s="49"/>
      <c r="JQ44" s="49"/>
      <c r="JR44" s="249"/>
      <c r="JS44" s="254"/>
      <c r="JT44" s="49"/>
      <c r="JU44" s="49"/>
      <c r="JV44" s="49"/>
      <c r="JW44" s="49"/>
      <c r="JX44" s="49"/>
      <c r="JY44" s="49"/>
      <c r="JZ44" s="49"/>
      <c r="KA44" s="49"/>
      <c r="KB44" s="49"/>
      <c r="KC44" s="49"/>
      <c r="KD44" s="49"/>
      <c r="KE44" s="49"/>
      <c r="KF44" s="49"/>
      <c r="KG44" s="49"/>
      <c r="KH44" s="49"/>
      <c r="KI44" s="260"/>
      <c r="KJ44" s="276"/>
      <c r="KK44" s="49"/>
      <c r="KL44" s="49"/>
      <c r="KM44" s="249"/>
      <c r="KN44" s="254"/>
      <c r="KO44" s="49"/>
      <c r="KP44" s="49"/>
      <c r="KQ44" s="49"/>
      <c r="KR44" s="49"/>
      <c r="KS44" s="49"/>
      <c r="KT44" s="49"/>
      <c r="KU44" s="49"/>
      <c r="KV44" s="49"/>
      <c r="KW44" s="49"/>
      <c r="KX44" s="49"/>
      <c r="KY44" s="49"/>
      <c r="KZ44" s="49"/>
      <c r="LA44" s="49"/>
      <c r="LB44" s="49"/>
      <c r="LC44" s="49"/>
      <c r="LD44" s="260"/>
      <c r="LE44" s="276"/>
      <c r="LF44" s="49"/>
      <c r="LG44" s="49"/>
      <c r="LH44" s="249"/>
      <c r="LI44" s="254"/>
      <c r="LJ44" s="49"/>
      <c r="LK44" s="49"/>
      <c r="LL44" s="49"/>
      <c r="LM44" s="49"/>
      <c r="LN44" s="49"/>
      <c r="LO44" s="49"/>
      <c r="LP44" s="49"/>
      <c r="LQ44" s="49"/>
      <c r="LR44" s="49"/>
      <c r="LS44" s="49"/>
      <c r="LT44" s="49"/>
      <c r="LU44" s="49"/>
      <c r="LV44" s="49"/>
      <c r="LW44" s="49"/>
      <c r="LX44" s="49"/>
      <c r="LY44" s="260"/>
      <c r="LZ44" s="276"/>
      <c r="MA44" s="49"/>
      <c r="MB44" s="49"/>
      <c r="MC44" s="249"/>
      <c r="MD44" s="254"/>
      <c r="ME44" s="49"/>
      <c r="MF44" s="49"/>
      <c r="MG44" s="49"/>
      <c r="MH44" s="49"/>
      <c r="MI44" s="49"/>
      <c r="MJ44" s="49"/>
      <c r="MK44" s="49"/>
      <c r="ML44" s="49"/>
      <c r="MM44" s="49"/>
      <c r="MN44" s="49"/>
      <c r="MO44" s="49"/>
      <c r="MP44" s="49"/>
      <c r="MQ44" s="49"/>
      <c r="MR44" s="49"/>
      <c r="MS44" s="49"/>
      <c r="MT44" s="260"/>
      <c r="MU44" s="276"/>
      <c r="MV44" s="49"/>
      <c r="MW44" s="49"/>
      <c r="MX44" s="249"/>
      <c r="MY44" s="254"/>
      <c r="MZ44" s="49"/>
      <c r="NA44" s="49"/>
      <c r="NB44" s="49"/>
      <c r="NC44" s="49"/>
      <c r="ND44" s="49"/>
      <c r="NE44" s="49"/>
      <c r="NF44" s="49"/>
      <c r="NG44" s="49"/>
      <c r="NH44" s="49"/>
      <c r="NI44" s="49"/>
      <c r="NJ44" s="49"/>
      <c r="NK44" s="49"/>
      <c r="NL44" s="49"/>
      <c r="NM44" s="49"/>
      <c r="NN44" s="49"/>
      <c r="NO44" s="260"/>
      <c r="NP44" s="276"/>
      <c r="NQ44" s="49"/>
      <c r="NR44" s="49"/>
      <c r="NS44" s="249"/>
      <c r="NT44" s="254"/>
      <c r="NU44" s="49"/>
      <c r="NV44" s="49"/>
      <c r="NW44" s="49"/>
      <c r="NX44" s="49"/>
      <c r="NY44" s="49"/>
      <c r="NZ44" s="49"/>
      <c r="OA44" s="49"/>
      <c r="OB44" s="49"/>
      <c r="OC44" s="49"/>
      <c r="OD44" s="49"/>
      <c r="OE44" s="49"/>
      <c r="OF44" s="49"/>
      <c r="OG44" s="49"/>
      <c r="OH44" s="49"/>
      <c r="OI44" s="49"/>
      <c r="OJ44" s="260"/>
      <c r="OK44" s="276"/>
      <c r="OL44" s="49"/>
      <c r="OM44" s="49"/>
      <c r="ON44" s="249"/>
      <c r="OO44" s="254"/>
      <c r="OP44" s="49"/>
      <c r="OQ44" s="49"/>
      <c r="OR44" s="49"/>
      <c r="OS44" s="49"/>
      <c r="OT44" s="49"/>
      <c r="OU44" s="49"/>
      <c r="OV44" s="49"/>
      <c r="OW44" s="49"/>
      <c r="OX44" s="49"/>
      <c r="OY44" s="49"/>
      <c r="OZ44" s="49"/>
      <c r="PA44" s="49"/>
      <c r="PB44" s="49"/>
      <c r="PC44" s="49"/>
      <c r="PD44" s="49"/>
      <c r="PE44" s="260"/>
      <c r="PF44" s="276"/>
      <c r="PG44" s="49"/>
      <c r="PH44" s="49"/>
      <c r="PI44" s="249"/>
      <c r="PJ44" s="254"/>
      <c r="PK44" s="49"/>
      <c r="PL44" s="49"/>
      <c r="PM44" s="49"/>
      <c r="PN44" s="49"/>
      <c r="PO44" s="49"/>
      <c r="PP44" s="49"/>
      <c r="PQ44" s="49"/>
      <c r="PR44" s="49"/>
      <c r="PS44" s="49"/>
      <c r="PT44" s="49"/>
      <c r="PU44" s="49"/>
      <c r="PV44" s="49"/>
      <c r="PW44" s="49"/>
      <c r="PX44" s="49"/>
      <c r="PY44" s="49"/>
      <c r="PZ44" s="260"/>
      <c r="QA44" s="276"/>
      <c r="QB44" s="49"/>
      <c r="QC44" s="49"/>
      <c r="QD44" s="249"/>
      <c r="QE44" s="254"/>
      <c r="QF44" s="49"/>
      <c r="QG44" s="49"/>
      <c r="QH44" s="49"/>
      <c r="QI44" s="49"/>
      <c r="QJ44" s="49"/>
      <c r="QK44" s="49"/>
      <c r="QL44" s="49"/>
      <c r="QM44" s="49"/>
      <c r="QN44" s="49"/>
      <c r="QO44" s="49"/>
      <c r="QP44" s="49"/>
      <c r="QQ44" s="49"/>
      <c r="QR44" s="49"/>
      <c r="QS44" s="49"/>
      <c r="QT44" s="49"/>
      <c r="QU44" s="260"/>
      <c r="QV44" s="276"/>
      <c r="QW44" s="49"/>
      <c r="QX44" s="49"/>
      <c r="QY44" s="249"/>
      <c r="QZ44" s="254"/>
      <c r="RA44" s="49"/>
      <c r="RB44" s="49"/>
      <c r="RC44" s="49"/>
      <c r="RD44" s="49"/>
      <c r="RE44" s="49"/>
      <c r="RF44" s="49"/>
      <c r="RG44" s="49"/>
      <c r="RH44" s="49"/>
      <c r="RI44" s="49"/>
      <c r="RJ44" s="49"/>
      <c r="RK44" s="49"/>
      <c r="RL44" s="49"/>
      <c r="RM44" s="49"/>
      <c r="RN44" s="49"/>
      <c r="RO44" s="49"/>
      <c r="RP44" s="260"/>
      <c r="RQ44" s="276"/>
      <c r="RR44" s="49"/>
      <c r="RS44" s="49"/>
      <c r="RT44" s="249"/>
      <c r="RU44" s="254"/>
      <c r="RV44" s="49"/>
      <c r="RW44" s="49"/>
      <c r="RX44" s="49"/>
      <c r="RY44" s="49"/>
      <c r="RZ44" s="49"/>
      <c r="SA44" s="49"/>
      <c r="SB44" s="49"/>
      <c r="SC44" s="49"/>
      <c r="SD44" s="49"/>
      <c r="SE44" s="49"/>
      <c r="SF44" s="49"/>
      <c r="SG44" s="49"/>
      <c r="SH44" s="49"/>
      <c r="SI44" s="49"/>
      <c r="SJ44" s="49"/>
      <c r="SK44" s="260"/>
      <c r="SL44" s="276"/>
      <c r="SM44" s="49"/>
      <c r="SN44" s="49"/>
      <c r="SO44" s="249"/>
      <c r="SP44" s="254"/>
      <c r="SQ44" s="49"/>
      <c r="SR44" s="49"/>
      <c r="SS44" s="49"/>
      <c r="ST44" s="49"/>
      <c r="SU44" s="49"/>
      <c r="SV44" s="49"/>
      <c r="SW44" s="49"/>
      <c r="SX44" s="49"/>
      <c r="SY44" s="49"/>
      <c r="SZ44" s="49"/>
      <c r="TA44" s="49"/>
      <c r="TB44" s="49"/>
      <c r="TC44" s="49"/>
      <c r="TD44" s="49"/>
      <c r="TE44" s="49"/>
      <c r="TF44" s="260"/>
      <c r="TG44" s="276"/>
      <c r="TH44" s="49"/>
      <c r="TI44" s="49"/>
      <c r="TJ44" s="249"/>
      <c r="TK44" s="254"/>
      <c r="TL44" s="49"/>
      <c r="TM44" s="49"/>
      <c r="TN44" s="49"/>
      <c r="TO44" s="49"/>
      <c r="TP44" s="49"/>
      <c r="TQ44" s="49"/>
      <c r="TR44" s="49"/>
      <c r="TS44" s="49"/>
      <c r="TT44" s="49"/>
      <c r="TU44" s="49"/>
      <c r="TV44" s="49"/>
      <c r="TW44" s="49"/>
      <c r="TX44" s="49"/>
      <c r="TY44" s="49"/>
      <c r="TZ44" s="49"/>
      <c r="UA44" s="260"/>
      <c r="UB44" s="276"/>
      <c r="UC44" s="49"/>
      <c r="UD44" s="49"/>
      <c r="UE44" s="249"/>
      <c r="UF44" s="254"/>
      <c r="UG44" s="49"/>
      <c r="UH44" s="49"/>
      <c r="UI44" s="49"/>
      <c r="UJ44" s="49"/>
      <c r="UK44" s="49"/>
      <c r="UL44" s="49"/>
      <c r="UM44" s="49"/>
      <c r="UN44" s="49"/>
      <c r="UO44" s="49"/>
      <c r="UP44" s="49"/>
      <c r="UQ44" s="49"/>
      <c r="UR44" s="49"/>
      <c r="US44" s="49"/>
      <c r="UT44" s="49"/>
      <c r="UU44" s="49"/>
      <c r="UV44" s="260"/>
      <c r="UW44" s="276"/>
      <c r="UX44" s="49"/>
      <c r="UY44" s="49"/>
      <c r="UZ44" s="249"/>
      <c r="VA44" s="254"/>
      <c r="VB44" s="49"/>
      <c r="VC44" s="49"/>
      <c r="VD44" s="49"/>
      <c r="VE44" s="49"/>
      <c r="VF44" s="49"/>
      <c r="VG44" s="49"/>
      <c r="VH44" s="49"/>
      <c r="VI44" s="49"/>
      <c r="VJ44" s="49"/>
      <c r="VK44" s="49"/>
      <c r="VL44" s="49"/>
      <c r="VM44" s="49"/>
      <c r="VN44" s="49"/>
      <c r="VO44" s="49"/>
      <c r="VP44" s="49"/>
      <c r="VQ44" s="260"/>
      <c r="VR44" s="276"/>
      <c r="VS44" s="49"/>
      <c r="VT44" s="49"/>
      <c r="VU44" s="249"/>
      <c r="VV44" s="254"/>
      <c r="VW44" s="49"/>
      <c r="VX44" s="49"/>
      <c r="VY44" s="49"/>
      <c r="VZ44" s="49"/>
      <c r="WA44" s="49"/>
      <c r="WB44" s="49"/>
      <c r="WC44" s="49"/>
      <c r="WD44" s="49"/>
      <c r="WE44" s="49"/>
      <c r="WF44" s="49"/>
      <c r="WG44" s="49"/>
      <c r="WH44" s="49"/>
      <c r="WI44" s="49"/>
      <c r="WJ44" s="49"/>
      <c r="WK44" s="49"/>
      <c r="WL44" s="260"/>
      <c r="WM44" s="276"/>
      <c r="WN44" s="49"/>
      <c r="WO44" s="49"/>
      <c r="WP44" s="249"/>
      <c r="WQ44" s="254"/>
      <c r="WR44" s="49"/>
      <c r="WS44" s="49"/>
      <c r="WT44" s="49"/>
      <c r="WU44" s="49"/>
      <c r="WV44" s="49"/>
      <c r="WW44" s="49"/>
      <c r="WX44" s="49"/>
      <c r="WY44" s="49"/>
      <c r="WZ44" s="49"/>
      <c r="XA44" s="49"/>
      <c r="XB44" s="49"/>
      <c r="XC44" s="49"/>
      <c r="XD44" s="49"/>
      <c r="XE44" s="49"/>
      <c r="XF44" s="49"/>
      <c r="XG44" s="260"/>
      <c r="XH44" s="276"/>
      <c r="XI44" s="49"/>
      <c r="XJ44" s="49"/>
      <c r="XK44" s="249"/>
      <c r="XL44" s="254"/>
      <c r="XM44" s="49"/>
      <c r="XN44" s="49"/>
      <c r="XO44" s="49"/>
      <c r="XP44" s="49"/>
      <c r="XQ44" s="49"/>
      <c r="XR44" s="49"/>
      <c r="XS44" s="49"/>
      <c r="XT44" s="49"/>
      <c r="XU44" s="49"/>
      <c r="XV44" s="49"/>
      <c r="XW44" s="49"/>
      <c r="XX44" s="49"/>
      <c r="XY44" s="49"/>
      <c r="XZ44" s="49"/>
      <c r="YA44" s="49"/>
      <c r="YB44" s="260"/>
    </row>
    <row r="45" spans="1:652" x14ac:dyDescent="0.3">
      <c r="A45" s="224" t="s">
        <v>245</v>
      </c>
      <c r="B45" s="270"/>
      <c r="C45" s="10"/>
      <c r="D45" s="10"/>
      <c r="E45" s="234"/>
      <c r="F45" s="238"/>
      <c r="G45" s="11"/>
      <c r="H45" s="11"/>
      <c r="I45" s="11"/>
      <c r="J45" s="11"/>
      <c r="K45" s="12"/>
      <c r="L45" s="11"/>
      <c r="M45" s="11"/>
      <c r="N45" s="11"/>
      <c r="O45" s="11"/>
      <c r="P45" s="11"/>
      <c r="Q45" s="11"/>
      <c r="R45" s="11"/>
      <c r="S45" s="11"/>
      <c r="T45" s="11"/>
      <c r="U45" s="11"/>
      <c r="V45" s="259"/>
      <c r="W45" s="275"/>
      <c r="X45" s="11"/>
      <c r="Y45" s="11"/>
      <c r="Z45" s="248"/>
      <c r="AA45" s="253"/>
      <c r="AB45" s="11"/>
      <c r="AC45" s="11"/>
      <c r="AD45" s="11"/>
      <c r="AE45" s="11"/>
      <c r="AF45" s="11"/>
      <c r="AG45" s="11"/>
      <c r="AH45" s="11"/>
      <c r="AI45" s="11"/>
      <c r="AJ45" s="11"/>
      <c r="AK45" s="11"/>
      <c r="AL45" s="11"/>
      <c r="AM45" s="11"/>
      <c r="AN45" s="11"/>
      <c r="AO45" s="11"/>
      <c r="AP45" s="11"/>
      <c r="AQ45" s="259"/>
      <c r="AR45" s="270"/>
      <c r="AS45" s="10"/>
      <c r="AT45" s="10"/>
      <c r="AU45" s="234"/>
      <c r="AV45" s="238"/>
      <c r="AW45" s="11"/>
      <c r="AX45" s="11"/>
      <c r="AY45" s="11"/>
      <c r="AZ45" s="11"/>
      <c r="BA45" s="11"/>
      <c r="BB45" s="11"/>
      <c r="BC45" s="11"/>
      <c r="BD45" s="11"/>
      <c r="BE45" s="11"/>
      <c r="BF45" s="11"/>
      <c r="BG45" s="11"/>
      <c r="BH45" s="11"/>
      <c r="BI45" s="11"/>
      <c r="BJ45" s="11"/>
      <c r="BK45" s="11"/>
      <c r="BL45" s="259"/>
      <c r="BM45" s="275"/>
      <c r="BN45" s="11"/>
      <c r="BO45" s="11"/>
      <c r="BP45" s="248"/>
      <c r="BQ45" s="253"/>
      <c r="BR45" s="11"/>
      <c r="BS45" s="11"/>
      <c r="BT45" s="11"/>
      <c r="BU45" s="11"/>
      <c r="BV45" s="11"/>
      <c r="BW45" s="11"/>
      <c r="BX45" s="11"/>
      <c r="BY45" s="11"/>
      <c r="BZ45" s="11"/>
      <c r="CA45" s="11"/>
      <c r="CB45" s="11"/>
      <c r="CC45" s="11"/>
      <c r="CD45" s="11"/>
      <c r="CE45" s="11"/>
      <c r="CF45" s="11"/>
      <c r="CG45" s="259"/>
      <c r="CH45" s="275"/>
      <c r="CI45" s="11"/>
      <c r="CJ45" s="11"/>
      <c r="CK45" s="248"/>
      <c r="CL45" s="45"/>
      <c r="CM45" s="45"/>
      <c r="CN45" s="45"/>
      <c r="CO45" s="45"/>
      <c r="CP45" s="45"/>
      <c r="CQ45" s="79"/>
      <c r="CR45" s="45"/>
      <c r="CS45" s="36"/>
      <c r="CT45" s="86"/>
      <c r="CU45" s="45"/>
      <c r="CV45" s="10"/>
      <c r="CW45" s="11"/>
      <c r="CX45" s="11"/>
      <c r="CY45" s="11"/>
      <c r="CZ45" s="11"/>
      <c r="DA45" s="11"/>
      <c r="DB45" s="259"/>
      <c r="DC45" s="275"/>
      <c r="DD45" s="11"/>
      <c r="DE45" s="11"/>
      <c r="DF45" s="248"/>
      <c r="DG45" s="253"/>
      <c r="DH45" s="11"/>
      <c r="DI45" s="11"/>
      <c r="DJ45" s="11"/>
      <c r="DK45" s="11"/>
      <c r="DL45" s="11"/>
      <c r="DM45" s="11"/>
      <c r="DN45" s="11"/>
      <c r="DO45" s="11"/>
      <c r="DP45" s="11"/>
      <c r="DQ45" s="11"/>
      <c r="DR45" s="11"/>
      <c r="DS45" s="11"/>
      <c r="DT45" s="11"/>
      <c r="DU45" s="11"/>
      <c r="DV45" s="11"/>
      <c r="DW45" s="259"/>
      <c r="DX45" s="275"/>
      <c r="DY45" s="11"/>
      <c r="DZ45" s="11"/>
      <c r="EA45" s="248"/>
      <c r="EB45" s="45"/>
      <c r="EC45" s="45"/>
      <c r="ED45" s="45"/>
      <c r="EE45" s="45"/>
      <c r="EF45" s="45"/>
      <c r="EG45" s="79"/>
      <c r="EH45" s="45"/>
      <c r="EI45" s="36"/>
      <c r="EJ45" s="86"/>
      <c r="EK45" s="45"/>
      <c r="EL45" s="10"/>
      <c r="EM45" s="11"/>
      <c r="EN45" s="11"/>
      <c r="EO45" s="11"/>
      <c r="EP45" s="11"/>
      <c r="EQ45" s="11"/>
      <c r="ER45" s="259"/>
      <c r="ES45" s="275"/>
      <c r="ET45" s="11"/>
      <c r="EU45" s="11"/>
      <c r="EV45" s="248"/>
      <c r="EW45" s="253"/>
      <c r="EX45" s="11"/>
      <c r="EY45" s="11"/>
      <c r="EZ45" s="11"/>
      <c r="FA45" s="11"/>
      <c r="FB45" s="11"/>
      <c r="FC45" s="11"/>
      <c r="FD45" s="11"/>
      <c r="FE45" s="11"/>
      <c r="FF45" s="11"/>
      <c r="FG45" s="11"/>
      <c r="FH45" s="11"/>
      <c r="FI45" s="11"/>
      <c r="FJ45" s="11"/>
      <c r="FK45" s="11"/>
      <c r="FL45" s="11"/>
      <c r="FM45" s="259"/>
      <c r="FN45" s="275"/>
      <c r="FO45" s="11"/>
      <c r="FP45" s="11"/>
      <c r="FQ45" s="248"/>
      <c r="FR45" s="45"/>
      <c r="FS45" s="45"/>
      <c r="FT45" s="45"/>
      <c r="FU45" s="45"/>
      <c r="FV45" s="45"/>
      <c r="FW45" s="79"/>
      <c r="FX45" s="45"/>
      <c r="FY45" s="36"/>
      <c r="FZ45" s="86"/>
      <c r="GA45" s="45"/>
      <c r="GB45" s="10"/>
      <c r="GC45" s="11"/>
      <c r="GD45" s="11"/>
      <c r="GE45" s="11"/>
      <c r="GF45" s="11"/>
      <c r="GG45" s="11"/>
      <c r="GH45" s="259"/>
      <c r="GI45" s="275"/>
      <c r="GJ45" s="11"/>
      <c r="GK45" s="11"/>
      <c r="GL45" s="248"/>
      <c r="GM45" s="253"/>
      <c r="GN45" s="11"/>
      <c r="GO45" s="11"/>
      <c r="GP45" s="11"/>
      <c r="GQ45" s="11"/>
      <c r="GR45" s="11"/>
      <c r="GS45" s="11"/>
      <c r="GT45" s="11"/>
      <c r="GU45" s="11"/>
      <c r="GV45" s="11"/>
      <c r="GW45" s="11"/>
      <c r="GX45" s="11"/>
      <c r="GY45" s="11"/>
      <c r="GZ45" s="11"/>
      <c r="HA45" s="11"/>
      <c r="HB45" s="11"/>
      <c r="HC45" s="259"/>
      <c r="HD45" s="275"/>
      <c r="HE45" s="11"/>
      <c r="HF45" s="11"/>
      <c r="HG45" s="248"/>
      <c r="HH45" s="253"/>
      <c r="HI45" s="11"/>
      <c r="HJ45" s="11"/>
      <c r="HK45" s="11"/>
      <c r="HL45" s="11"/>
      <c r="HM45" s="11"/>
      <c r="HN45" s="11"/>
      <c r="HO45" s="11"/>
      <c r="HP45" s="11"/>
      <c r="HQ45" s="11"/>
      <c r="HR45" s="11"/>
      <c r="HS45" s="11"/>
      <c r="HT45" s="11"/>
      <c r="HU45" s="11"/>
      <c r="HV45" s="11"/>
      <c r="HW45" s="11"/>
      <c r="HX45" s="259"/>
      <c r="HY45" s="275"/>
      <c r="HZ45" s="11"/>
      <c r="IA45" s="11"/>
      <c r="IB45" s="248"/>
      <c r="IC45" s="253"/>
      <c r="ID45" s="11"/>
      <c r="IE45" s="11"/>
      <c r="IF45" s="11"/>
      <c r="IG45" s="11"/>
      <c r="IH45" s="11"/>
      <c r="II45" s="11"/>
      <c r="IJ45" s="11"/>
      <c r="IK45" s="11"/>
      <c r="IL45" s="11"/>
      <c r="IM45" s="11"/>
      <c r="IN45" s="11"/>
      <c r="IO45" s="11"/>
      <c r="IP45" s="11"/>
      <c r="IQ45" s="11"/>
      <c r="IR45" s="11"/>
      <c r="IS45" s="259"/>
      <c r="IT45" s="275"/>
      <c r="IU45" s="11"/>
      <c r="IV45" s="11"/>
      <c r="IW45" s="248"/>
      <c r="IX45" s="253"/>
      <c r="IY45" s="11"/>
      <c r="IZ45" s="11"/>
      <c r="JA45" s="11"/>
      <c r="JB45" s="11"/>
      <c r="JC45" s="11"/>
      <c r="JD45" s="11"/>
      <c r="JE45" s="11"/>
      <c r="JF45" s="11"/>
      <c r="JG45" s="11"/>
      <c r="JH45" s="11"/>
      <c r="JI45" s="11"/>
      <c r="JJ45" s="11"/>
      <c r="JK45" s="11"/>
      <c r="JL45" s="11"/>
      <c r="JM45" s="11"/>
      <c r="JN45" s="259"/>
      <c r="JO45" s="275"/>
      <c r="JP45" s="11"/>
      <c r="JQ45" s="11"/>
      <c r="JR45" s="248"/>
      <c r="JS45" s="253"/>
      <c r="JT45" s="11"/>
      <c r="JU45" s="11"/>
      <c r="JV45" s="11"/>
      <c r="JW45" s="11"/>
      <c r="JX45" s="11"/>
      <c r="JY45" s="11"/>
      <c r="JZ45" s="11"/>
      <c r="KA45" s="11"/>
      <c r="KB45" s="11"/>
      <c r="KC45" s="11"/>
      <c r="KD45" s="11"/>
      <c r="KE45" s="11"/>
      <c r="KF45" s="11"/>
      <c r="KG45" s="11"/>
      <c r="KH45" s="11"/>
      <c r="KI45" s="259"/>
      <c r="KJ45" s="275"/>
      <c r="KK45" s="11"/>
      <c r="KL45" s="11"/>
      <c r="KM45" s="248"/>
      <c r="KN45" s="253"/>
      <c r="KO45" s="11"/>
      <c r="KP45" s="11"/>
      <c r="KQ45" s="11"/>
      <c r="KR45" s="11"/>
      <c r="KS45" s="11"/>
      <c r="KT45" s="11"/>
      <c r="KU45" s="11"/>
      <c r="KV45" s="11"/>
      <c r="KW45" s="11"/>
      <c r="KX45" s="11"/>
      <c r="KY45" s="11"/>
      <c r="KZ45" s="11"/>
      <c r="LA45" s="11"/>
      <c r="LB45" s="11"/>
      <c r="LC45" s="11"/>
      <c r="LD45" s="259"/>
      <c r="LE45" s="275"/>
      <c r="LF45" s="11"/>
      <c r="LG45" s="11"/>
      <c r="LH45" s="248"/>
      <c r="LI45" s="253"/>
      <c r="LJ45" s="11"/>
      <c r="LK45" s="11"/>
      <c r="LL45" s="11"/>
      <c r="LM45" s="11"/>
      <c r="LN45" s="11"/>
      <c r="LO45" s="11"/>
      <c r="LP45" s="11"/>
      <c r="LQ45" s="11"/>
      <c r="LR45" s="11"/>
      <c r="LS45" s="11"/>
      <c r="LT45" s="11"/>
      <c r="LU45" s="11"/>
      <c r="LV45" s="11"/>
      <c r="LW45" s="11"/>
      <c r="LX45" s="11"/>
      <c r="LY45" s="259"/>
      <c r="LZ45" s="275"/>
      <c r="MA45" s="11"/>
      <c r="MB45" s="11"/>
      <c r="MC45" s="248"/>
      <c r="MD45" s="253"/>
      <c r="ME45" s="11"/>
      <c r="MF45" s="11"/>
      <c r="MG45" s="11"/>
      <c r="MH45" s="11"/>
      <c r="MI45" s="11"/>
      <c r="MJ45" s="11"/>
      <c r="MK45" s="11"/>
      <c r="ML45" s="11"/>
      <c r="MM45" s="11"/>
      <c r="MN45" s="11"/>
      <c r="MO45" s="11"/>
      <c r="MP45" s="11"/>
      <c r="MQ45" s="11"/>
      <c r="MR45" s="11"/>
      <c r="MS45" s="11"/>
      <c r="MT45" s="259"/>
      <c r="MU45" s="275"/>
      <c r="MV45" s="11"/>
      <c r="MW45" s="11"/>
      <c r="MX45" s="248"/>
      <c r="MY45" s="253"/>
      <c r="MZ45" s="11"/>
      <c r="NA45" s="11"/>
      <c r="NB45" s="11"/>
      <c r="NC45" s="11"/>
      <c r="ND45" s="11"/>
      <c r="NE45" s="11"/>
      <c r="NF45" s="11"/>
      <c r="NG45" s="11"/>
      <c r="NH45" s="11"/>
      <c r="NI45" s="11"/>
      <c r="NJ45" s="11"/>
      <c r="NK45" s="11"/>
      <c r="NL45" s="11"/>
      <c r="NM45" s="11"/>
      <c r="NN45" s="11"/>
      <c r="NO45" s="259"/>
      <c r="NP45" s="275"/>
      <c r="NQ45" s="11"/>
      <c r="NR45" s="11"/>
      <c r="NS45" s="248"/>
      <c r="NT45" s="253"/>
      <c r="NU45" s="11"/>
      <c r="NV45" s="11"/>
      <c r="NW45" s="11"/>
      <c r="NX45" s="11"/>
      <c r="NY45" s="11"/>
      <c r="NZ45" s="11"/>
      <c r="OA45" s="11"/>
      <c r="OB45" s="11"/>
      <c r="OC45" s="11"/>
      <c r="OD45" s="11"/>
      <c r="OE45" s="11"/>
      <c r="OF45" s="11"/>
      <c r="OG45" s="11"/>
      <c r="OH45" s="11"/>
      <c r="OI45" s="11"/>
      <c r="OJ45" s="259"/>
      <c r="OK45" s="275"/>
      <c r="OL45" s="11"/>
      <c r="OM45" s="11"/>
      <c r="ON45" s="248"/>
      <c r="OO45" s="253"/>
      <c r="OP45" s="11"/>
      <c r="OQ45" s="11"/>
      <c r="OR45" s="11"/>
      <c r="OS45" s="11"/>
      <c r="OT45" s="11"/>
      <c r="OU45" s="11"/>
      <c r="OV45" s="11"/>
      <c r="OW45" s="11"/>
      <c r="OX45" s="11"/>
      <c r="OY45" s="11"/>
      <c r="OZ45" s="11"/>
      <c r="PA45" s="11"/>
      <c r="PB45" s="11"/>
      <c r="PC45" s="11"/>
      <c r="PD45" s="11"/>
      <c r="PE45" s="259"/>
      <c r="PF45" s="275"/>
      <c r="PG45" s="11"/>
      <c r="PH45" s="11"/>
      <c r="PI45" s="248"/>
      <c r="PJ45" s="253"/>
      <c r="PK45" s="11"/>
      <c r="PL45" s="11"/>
      <c r="PM45" s="11"/>
      <c r="PN45" s="11"/>
      <c r="PO45" s="11"/>
      <c r="PP45" s="11"/>
      <c r="PQ45" s="11"/>
      <c r="PR45" s="11"/>
      <c r="PS45" s="11"/>
      <c r="PT45" s="11"/>
      <c r="PU45" s="11"/>
      <c r="PV45" s="11"/>
      <c r="PW45" s="11"/>
      <c r="PX45" s="11"/>
      <c r="PY45" s="11"/>
      <c r="PZ45" s="259"/>
      <c r="QA45" s="275"/>
      <c r="QB45" s="11"/>
      <c r="QC45" s="11"/>
      <c r="QD45" s="248"/>
      <c r="QE45" s="253"/>
      <c r="QF45" s="11"/>
      <c r="QG45" s="11"/>
      <c r="QH45" s="11"/>
      <c r="QI45" s="11"/>
      <c r="QJ45" s="11"/>
      <c r="QK45" s="11"/>
      <c r="QL45" s="11"/>
      <c r="QM45" s="11"/>
      <c r="QN45" s="11"/>
      <c r="QO45" s="11"/>
      <c r="QP45" s="11"/>
      <c r="QQ45" s="11"/>
      <c r="QR45" s="11"/>
      <c r="QS45" s="11"/>
      <c r="QT45" s="11"/>
      <c r="QU45" s="259"/>
      <c r="QV45" s="275"/>
      <c r="QW45" s="11"/>
      <c r="QX45" s="11"/>
      <c r="QY45" s="248"/>
      <c r="QZ45" s="253"/>
      <c r="RA45" s="11"/>
      <c r="RB45" s="11"/>
      <c r="RC45" s="11"/>
      <c r="RD45" s="11"/>
      <c r="RE45" s="11"/>
      <c r="RF45" s="11"/>
      <c r="RG45" s="11"/>
      <c r="RH45" s="11"/>
      <c r="RI45" s="11"/>
      <c r="RJ45" s="11"/>
      <c r="RK45" s="11"/>
      <c r="RL45" s="11"/>
      <c r="RM45" s="11"/>
      <c r="RN45" s="11"/>
      <c r="RO45" s="11"/>
      <c r="RP45" s="259"/>
      <c r="RQ45" s="275"/>
      <c r="RR45" s="11"/>
      <c r="RS45" s="11"/>
      <c r="RT45" s="248"/>
      <c r="RU45" s="253"/>
      <c r="RV45" s="11"/>
      <c r="RW45" s="11"/>
      <c r="RX45" s="11"/>
      <c r="RY45" s="11"/>
      <c r="RZ45" s="11"/>
      <c r="SA45" s="11"/>
      <c r="SB45" s="11"/>
      <c r="SC45" s="11"/>
      <c r="SD45" s="11"/>
      <c r="SE45" s="11"/>
      <c r="SF45" s="11"/>
      <c r="SG45" s="11"/>
      <c r="SH45" s="11"/>
      <c r="SI45" s="11"/>
      <c r="SJ45" s="11"/>
      <c r="SK45" s="259"/>
      <c r="SL45" s="275"/>
      <c r="SM45" s="11"/>
      <c r="SN45" s="11"/>
      <c r="SO45" s="248"/>
      <c r="SP45" s="253"/>
      <c r="SQ45" s="11"/>
      <c r="SR45" s="11"/>
      <c r="SS45" s="11"/>
      <c r="ST45" s="11"/>
      <c r="SU45" s="11"/>
      <c r="SV45" s="11"/>
      <c r="SW45" s="11"/>
      <c r="SX45" s="11"/>
      <c r="SY45" s="11"/>
      <c r="SZ45" s="11"/>
      <c r="TA45" s="11"/>
      <c r="TB45" s="11"/>
      <c r="TC45" s="11"/>
      <c r="TD45" s="11"/>
      <c r="TE45" s="11"/>
      <c r="TF45" s="259"/>
      <c r="TG45" s="275"/>
      <c r="TH45" s="11"/>
      <c r="TI45" s="11"/>
      <c r="TJ45" s="248"/>
      <c r="TK45" s="253"/>
      <c r="TL45" s="11"/>
      <c r="TM45" s="11"/>
      <c r="TN45" s="11"/>
      <c r="TO45" s="11"/>
      <c r="TP45" s="11"/>
      <c r="TQ45" s="11"/>
      <c r="TR45" s="11"/>
      <c r="TS45" s="11"/>
      <c r="TT45" s="11"/>
      <c r="TU45" s="11"/>
      <c r="TV45" s="11"/>
      <c r="TW45" s="11"/>
      <c r="TX45" s="11"/>
      <c r="TY45" s="11"/>
      <c r="TZ45" s="11"/>
      <c r="UA45" s="259"/>
      <c r="UB45" s="275"/>
      <c r="UC45" s="11"/>
      <c r="UD45" s="11"/>
      <c r="UE45" s="248"/>
      <c r="UF45" s="253"/>
      <c r="UG45" s="11"/>
      <c r="UH45" s="11"/>
      <c r="UI45" s="11"/>
      <c r="UJ45" s="11"/>
      <c r="UK45" s="11"/>
      <c r="UL45" s="11"/>
      <c r="UM45" s="11"/>
      <c r="UN45" s="11"/>
      <c r="UO45" s="11"/>
      <c r="UP45" s="11"/>
      <c r="UQ45" s="11"/>
      <c r="UR45" s="11"/>
      <c r="US45" s="11"/>
      <c r="UT45" s="11"/>
      <c r="UU45" s="11"/>
      <c r="UV45" s="259"/>
      <c r="UW45" s="275"/>
      <c r="UX45" s="11"/>
      <c r="UY45" s="11"/>
      <c r="UZ45" s="248"/>
      <c r="VA45" s="253"/>
      <c r="VB45" s="11"/>
      <c r="VC45" s="11"/>
      <c r="VD45" s="11"/>
      <c r="VE45" s="11"/>
      <c r="VF45" s="11"/>
      <c r="VG45" s="11"/>
      <c r="VH45" s="11"/>
      <c r="VI45" s="11"/>
      <c r="VJ45" s="11"/>
      <c r="VK45" s="11"/>
      <c r="VL45" s="11"/>
      <c r="VM45" s="11"/>
      <c r="VN45" s="11"/>
      <c r="VO45" s="11"/>
      <c r="VP45" s="11"/>
      <c r="VQ45" s="259"/>
      <c r="VR45" s="275"/>
      <c r="VS45" s="11"/>
      <c r="VT45" s="11"/>
      <c r="VU45" s="248"/>
      <c r="VV45" s="253"/>
      <c r="VW45" s="11"/>
      <c r="VX45" s="11"/>
      <c r="VY45" s="11"/>
      <c r="VZ45" s="11"/>
      <c r="WA45" s="11"/>
      <c r="WB45" s="11"/>
      <c r="WC45" s="11"/>
      <c r="WD45" s="11"/>
      <c r="WE45" s="11"/>
      <c r="WF45" s="11"/>
      <c r="WG45" s="11"/>
      <c r="WH45" s="11"/>
      <c r="WI45" s="11"/>
      <c r="WJ45" s="11"/>
      <c r="WK45" s="11"/>
      <c r="WL45" s="259"/>
      <c r="WM45" s="275"/>
      <c r="WN45" s="11"/>
      <c r="WO45" s="11"/>
      <c r="WP45" s="248"/>
      <c r="WQ45" s="253"/>
      <c r="WR45" s="11"/>
      <c r="WS45" s="11"/>
      <c r="WT45" s="11"/>
      <c r="WU45" s="11"/>
      <c r="WV45" s="11"/>
      <c r="WW45" s="11"/>
      <c r="WX45" s="11"/>
      <c r="WY45" s="11"/>
      <c r="WZ45" s="11"/>
      <c r="XA45" s="11"/>
      <c r="XB45" s="11"/>
      <c r="XC45" s="11"/>
      <c r="XD45" s="11"/>
      <c r="XE45" s="11"/>
      <c r="XF45" s="11"/>
      <c r="XG45" s="259"/>
      <c r="XH45" s="275"/>
      <c r="XI45" s="11"/>
      <c r="XJ45" s="11"/>
      <c r="XK45" s="248"/>
      <c r="XL45" s="253"/>
      <c r="XM45" s="11"/>
      <c r="XN45" s="11"/>
      <c r="XO45" s="11"/>
      <c r="XP45" s="11"/>
      <c r="XQ45" s="11"/>
      <c r="XR45" s="11"/>
      <c r="XS45" s="11"/>
      <c r="XT45" s="11"/>
      <c r="XU45" s="11"/>
      <c r="XV45" s="11"/>
      <c r="XW45" s="11"/>
      <c r="XX45" s="11"/>
      <c r="XY45" s="11"/>
      <c r="XZ45" s="11"/>
      <c r="YA45" s="11"/>
      <c r="YB45" s="259"/>
    </row>
    <row r="46" spans="1:652" x14ac:dyDescent="0.3">
      <c r="A46" s="223" t="s">
        <v>249</v>
      </c>
      <c r="B46" s="271"/>
      <c r="C46" s="48"/>
      <c r="D46" s="48"/>
      <c r="E46" s="235"/>
      <c r="F46" s="239"/>
      <c r="G46" s="49"/>
      <c r="H46" s="49"/>
      <c r="I46" s="49"/>
      <c r="J46" s="49"/>
      <c r="K46" s="49"/>
      <c r="L46" s="49"/>
      <c r="M46" s="49"/>
      <c r="N46" s="49"/>
      <c r="O46" s="49"/>
      <c r="P46" s="49"/>
      <c r="Q46" s="49"/>
      <c r="R46" s="49"/>
      <c r="S46" s="49"/>
      <c r="T46" s="49"/>
      <c r="U46" s="49"/>
      <c r="V46" s="260"/>
      <c r="W46" s="276"/>
      <c r="X46" s="49"/>
      <c r="Y46" s="49"/>
      <c r="Z46" s="249"/>
      <c r="AA46" s="254"/>
      <c r="AB46" s="49"/>
      <c r="AC46" s="49"/>
      <c r="AD46" s="49"/>
      <c r="AE46" s="49"/>
      <c r="AF46" s="49"/>
      <c r="AG46" s="49"/>
      <c r="AH46" s="49"/>
      <c r="AI46" s="49"/>
      <c r="AJ46" s="49"/>
      <c r="AK46" s="49"/>
      <c r="AL46" s="49"/>
      <c r="AM46" s="49"/>
      <c r="AN46" s="49"/>
      <c r="AO46" s="49"/>
      <c r="AP46" s="49"/>
      <c r="AQ46" s="260"/>
      <c r="AR46" s="271"/>
      <c r="AS46" s="48"/>
      <c r="AT46" s="48"/>
      <c r="AU46" s="235"/>
      <c r="AV46" s="239"/>
      <c r="AW46" s="49"/>
      <c r="AX46" s="49"/>
      <c r="AY46" s="49"/>
      <c r="AZ46" s="49"/>
      <c r="BA46" s="49"/>
      <c r="BB46" s="49"/>
      <c r="BC46" s="49"/>
      <c r="BD46" s="49"/>
      <c r="BE46" s="49"/>
      <c r="BF46" s="49"/>
      <c r="BG46" s="49"/>
      <c r="BH46" s="49"/>
      <c r="BI46" s="49"/>
      <c r="BJ46" s="49"/>
      <c r="BK46" s="49"/>
      <c r="BL46" s="260"/>
      <c r="BM46" s="276"/>
      <c r="BN46" s="49"/>
      <c r="BO46" s="49"/>
      <c r="BP46" s="249"/>
      <c r="BQ46" s="254"/>
      <c r="BR46" s="49"/>
      <c r="BS46" s="49"/>
      <c r="BT46" s="49"/>
      <c r="BU46" s="49"/>
      <c r="BV46" s="49"/>
      <c r="BW46" s="49"/>
      <c r="BX46" s="49"/>
      <c r="BY46" s="49"/>
      <c r="BZ46" s="49"/>
      <c r="CA46" s="49"/>
      <c r="CB46" s="49"/>
      <c r="CC46" s="49"/>
      <c r="CD46" s="49"/>
      <c r="CE46" s="49"/>
      <c r="CF46" s="49"/>
      <c r="CG46" s="260"/>
      <c r="CH46" s="276"/>
      <c r="CI46" s="49"/>
      <c r="CJ46" s="49"/>
      <c r="CK46" s="249"/>
      <c r="CL46" s="53"/>
      <c r="CM46" s="53"/>
      <c r="CN46" s="53"/>
      <c r="CO46" s="53"/>
      <c r="CP46" s="53"/>
      <c r="CQ46" s="80"/>
      <c r="CR46" s="53"/>
      <c r="CS46" s="54"/>
      <c r="CT46" s="84"/>
      <c r="CU46" s="53"/>
      <c r="CV46" s="66"/>
      <c r="CW46" s="49"/>
      <c r="CX46" s="49"/>
      <c r="CY46" s="49"/>
      <c r="CZ46" s="49"/>
      <c r="DA46" s="49"/>
      <c r="DB46" s="260"/>
      <c r="DC46" s="276"/>
      <c r="DD46" s="49"/>
      <c r="DE46" s="49"/>
      <c r="DF46" s="249"/>
      <c r="DG46" s="254"/>
      <c r="DH46" s="49"/>
      <c r="DI46" s="49"/>
      <c r="DJ46" s="49"/>
      <c r="DK46" s="49"/>
      <c r="DL46" s="49"/>
      <c r="DM46" s="49"/>
      <c r="DN46" s="49"/>
      <c r="DO46" s="49"/>
      <c r="DP46" s="49"/>
      <c r="DQ46" s="49"/>
      <c r="DR46" s="49"/>
      <c r="DS46" s="49"/>
      <c r="DT46" s="49"/>
      <c r="DU46" s="49"/>
      <c r="DV46" s="49"/>
      <c r="DW46" s="260"/>
      <c r="DX46" s="276"/>
      <c r="DY46" s="49"/>
      <c r="DZ46" s="49"/>
      <c r="EA46" s="249"/>
      <c r="EB46" s="53"/>
      <c r="EC46" s="53"/>
      <c r="ED46" s="53"/>
      <c r="EE46" s="53"/>
      <c r="EF46" s="53"/>
      <c r="EG46" s="80"/>
      <c r="EH46" s="53"/>
      <c r="EI46" s="54"/>
      <c r="EJ46" s="84"/>
      <c r="EK46" s="53"/>
      <c r="EL46" s="66"/>
      <c r="EM46" s="49"/>
      <c r="EN46" s="49"/>
      <c r="EO46" s="49"/>
      <c r="EP46" s="49"/>
      <c r="EQ46" s="49"/>
      <c r="ER46" s="260"/>
      <c r="ES46" s="276"/>
      <c r="ET46" s="49"/>
      <c r="EU46" s="49"/>
      <c r="EV46" s="249"/>
      <c r="EW46" s="254"/>
      <c r="EX46" s="49"/>
      <c r="EY46" s="49"/>
      <c r="EZ46" s="49"/>
      <c r="FA46" s="49"/>
      <c r="FB46" s="49"/>
      <c r="FC46" s="49"/>
      <c r="FD46" s="49"/>
      <c r="FE46" s="49"/>
      <c r="FF46" s="49"/>
      <c r="FG46" s="49"/>
      <c r="FH46" s="49"/>
      <c r="FI46" s="49"/>
      <c r="FJ46" s="49"/>
      <c r="FK46" s="49"/>
      <c r="FL46" s="49"/>
      <c r="FM46" s="260"/>
      <c r="FN46" s="276"/>
      <c r="FO46" s="49"/>
      <c r="FP46" s="49"/>
      <c r="FQ46" s="249"/>
      <c r="FR46" s="53"/>
      <c r="FS46" s="53"/>
      <c r="FT46" s="53"/>
      <c r="FU46" s="53"/>
      <c r="FV46" s="53"/>
      <c r="FW46" s="80"/>
      <c r="FX46" s="53"/>
      <c r="FY46" s="54"/>
      <c r="FZ46" s="84"/>
      <c r="GA46" s="53"/>
      <c r="GB46" s="66"/>
      <c r="GC46" s="49"/>
      <c r="GD46" s="49"/>
      <c r="GE46" s="49"/>
      <c r="GF46" s="49"/>
      <c r="GG46" s="49"/>
      <c r="GH46" s="260"/>
      <c r="GI46" s="276"/>
      <c r="GJ46" s="49"/>
      <c r="GK46" s="49"/>
      <c r="GL46" s="249"/>
      <c r="GM46" s="254"/>
      <c r="GN46" s="49"/>
      <c r="GO46" s="49"/>
      <c r="GP46" s="49"/>
      <c r="GQ46" s="49"/>
      <c r="GR46" s="49"/>
      <c r="GS46" s="49"/>
      <c r="GT46" s="49"/>
      <c r="GU46" s="49"/>
      <c r="GV46" s="49"/>
      <c r="GW46" s="49"/>
      <c r="GX46" s="49"/>
      <c r="GY46" s="49"/>
      <c r="GZ46" s="49"/>
      <c r="HA46" s="49"/>
      <c r="HB46" s="49"/>
      <c r="HC46" s="260"/>
      <c r="HD46" s="276"/>
      <c r="HE46" s="49"/>
      <c r="HF46" s="49"/>
      <c r="HG46" s="249"/>
      <c r="HH46" s="254"/>
      <c r="HI46" s="49"/>
      <c r="HJ46" s="49"/>
      <c r="HK46" s="49"/>
      <c r="HL46" s="49"/>
      <c r="HM46" s="49"/>
      <c r="HN46" s="49"/>
      <c r="HO46" s="49"/>
      <c r="HP46" s="49"/>
      <c r="HQ46" s="49"/>
      <c r="HR46" s="49"/>
      <c r="HS46" s="49"/>
      <c r="HT46" s="49"/>
      <c r="HU46" s="49"/>
      <c r="HV46" s="49"/>
      <c r="HW46" s="49"/>
      <c r="HX46" s="260"/>
      <c r="HY46" s="276"/>
      <c r="HZ46" s="49"/>
      <c r="IA46" s="49"/>
      <c r="IB46" s="249"/>
      <c r="IC46" s="254"/>
      <c r="ID46" s="49"/>
      <c r="IE46" s="49"/>
      <c r="IF46" s="49"/>
      <c r="IG46" s="49"/>
      <c r="IH46" s="49"/>
      <c r="II46" s="49"/>
      <c r="IJ46" s="49"/>
      <c r="IK46" s="49"/>
      <c r="IL46" s="49"/>
      <c r="IM46" s="49"/>
      <c r="IN46" s="49"/>
      <c r="IO46" s="49"/>
      <c r="IP46" s="49"/>
      <c r="IQ46" s="49"/>
      <c r="IR46" s="49"/>
      <c r="IS46" s="260"/>
      <c r="IT46" s="276"/>
      <c r="IU46" s="49"/>
      <c r="IV46" s="49"/>
      <c r="IW46" s="249"/>
      <c r="IX46" s="254"/>
      <c r="IY46" s="49"/>
      <c r="IZ46" s="49"/>
      <c r="JA46" s="49"/>
      <c r="JB46" s="49"/>
      <c r="JC46" s="49"/>
      <c r="JD46" s="49"/>
      <c r="JE46" s="49"/>
      <c r="JF46" s="49"/>
      <c r="JG46" s="49"/>
      <c r="JH46" s="49"/>
      <c r="JI46" s="49"/>
      <c r="JJ46" s="49"/>
      <c r="JK46" s="49"/>
      <c r="JL46" s="49"/>
      <c r="JM46" s="49"/>
      <c r="JN46" s="260"/>
      <c r="JO46" s="276"/>
      <c r="JP46" s="49"/>
      <c r="JQ46" s="49"/>
      <c r="JR46" s="249"/>
      <c r="JS46" s="254"/>
      <c r="JT46" s="49"/>
      <c r="JU46" s="49"/>
      <c r="JV46" s="49"/>
      <c r="JW46" s="49"/>
      <c r="JX46" s="49"/>
      <c r="JY46" s="49"/>
      <c r="JZ46" s="49"/>
      <c r="KA46" s="49"/>
      <c r="KB46" s="49"/>
      <c r="KC46" s="49"/>
      <c r="KD46" s="49"/>
      <c r="KE46" s="49"/>
      <c r="KF46" s="49"/>
      <c r="KG46" s="49"/>
      <c r="KH46" s="49"/>
      <c r="KI46" s="260"/>
      <c r="KJ46" s="276"/>
      <c r="KK46" s="49"/>
      <c r="KL46" s="49"/>
      <c r="KM46" s="249"/>
      <c r="KN46" s="254"/>
      <c r="KO46" s="49"/>
      <c r="KP46" s="49"/>
      <c r="KQ46" s="49"/>
      <c r="KR46" s="49"/>
      <c r="KS46" s="49"/>
      <c r="KT46" s="49"/>
      <c r="KU46" s="49"/>
      <c r="KV46" s="49"/>
      <c r="KW46" s="49"/>
      <c r="KX46" s="49"/>
      <c r="KY46" s="49"/>
      <c r="KZ46" s="49"/>
      <c r="LA46" s="49"/>
      <c r="LB46" s="49"/>
      <c r="LC46" s="49"/>
      <c r="LD46" s="260"/>
      <c r="LE46" s="276"/>
      <c r="LF46" s="49"/>
      <c r="LG46" s="49"/>
      <c r="LH46" s="249"/>
      <c r="LI46" s="254"/>
      <c r="LJ46" s="49"/>
      <c r="LK46" s="49"/>
      <c r="LL46" s="49"/>
      <c r="LM46" s="49"/>
      <c r="LN46" s="49"/>
      <c r="LO46" s="49"/>
      <c r="LP46" s="49"/>
      <c r="LQ46" s="49"/>
      <c r="LR46" s="49"/>
      <c r="LS46" s="49"/>
      <c r="LT46" s="49"/>
      <c r="LU46" s="49"/>
      <c r="LV46" s="49"/>
      <c r="LW46" s="49"/>
      <c r="LX46" s="49"/>
      <c r="LY46" s="260"/>
      <c r="LZ46" s="276"/>
      <c r="MA46" s="49"/>
      <c r="MB46" s="49"/>
      <c r="MC46" s="249"/>
      <c r="MD46" s="254"/>
      <c r="ME46" s="49"/>
      <c r="MF46" s="49"/>
      <c r="MG46" s="49"/>
      <c r="MH46" s="49"/>
      <c r="MI46" s="49"/>
      <c r="MJ46" s="49"/>
      <c r="MK46" s="49"/>
      <c r="ML46" s="49"/>
      <c r="MM46" s="49"/>
      <c r="MN46" s="49"/>
      <c r="MO46" s="49"/>
      <c r="MP46" s="49"/>
      <c r="MQ46" s="49"/>
      <c r="MR46" s="49"/>
      <c r="MS46" s="49"/>
      <c r="MT46" s="260"/>
      <c r="MU46" s="276"/>
      <c r="MV46" s="49"/>
      <c r="MW46" s="49"/>
      <c r="MX46" s="249"/>
      <c r="MY46" s="254"/>
      <c r="MZ46" s="49"/>
      <c r="NA46" s="49"/>
      <c r="NB46" s="49"/>
      <c r="NC46" s="49"/>
      <c r="ND46" s="49"/>
      <c r="NE46" s="49"/>
      <c r="NF46" s="49"/>
      <c r="NG46" s="49"/>
      <c r="NH46" s="49"/>
      <c r="NI46" s="49"/>
      <c r="NJ46" s="49"/>
      <c r="NK46" s="49"/>
      <c r="NL46" s="49"/>
      <c r="NM46" s="49"/>
      <c r="NN46" s="49"/>
      <c r="NO46" s="260"/>
      <c r="NP46" s="276"/>
      <c r="NQ46" s="49"/>
      <c r="NR46" s="49"/>
      <c r="NS46" s="249"/>
      <c r="NT46" s="254"/>
      <c r="NU46" s="49"/>
      <c r="NV46" s="49"/>
      <c r="NW46" s="49"/>
      <c r="NX46" s="49"/>
      <c r="NY46" s="49"/>
      <c r="NZ46" s="49"/>
      <c r="OA46" s="49"/>
      <c r="OB46" s="49"/>
      <c r="OC46" s="49"/>
      <c r="OD46" s="49"/>
      <c r="OE46" s="49"/>
      <c r="OF46" s="49"/>
      <c r="OG46" s="49"/>
      <c r="OH46" s="49"/>
      <c r="OI46" s="49"/>
      <c r="OJ46" s="260"/>
      <c r="OK46" s="276"/>
      <c r="OL46" s="49"/>
      <c r="OM46" s="49"/>
      <c r="ON46" s="249"/>
      <c r="OO46" s="254"/>
      <c r="OP46" s="49"/>
      <c r="OQ46" s="49"/>
      <c r="OR46" s="49"/>
      <c r="OS46" s="49"/>
      <c r="OT46" s="49"/>
      <c r="OU46" s="49"/>
      <c r="OV46" s="49"/>
      <c r="OW46" s="49"/>
      <c r="OX46" s="49"/>
      <c r="OY46" s="49"/>
      <c r="OZ46" s="49"/>
      <c r="PA46" s="49"/>
      <c r="PB46" s="49"/>
      <c r="PC46" s="49"/>
      <c r="PD46" s="49"/>
      <c r="PE46" s="260"/>
      <c r="PF46" s="276"/>
      <c r="PG46" s="49"/>
      <c r="PH46" s="49"/>
      <c r="PI46" s="249"/>
      <c r="PJ46" s="254"/>
      <c r="PK46" s="49"/>
      <c r="PL46" s="49"/>
      <c r="PM46" s="49"/>
      <c r="PN46" s="49"/>
      <c r="PO46" s="49"/>
      <c r="PP46" s="49"/>
      <c r="PQ46" s="49"/>
      <c r="PR46" s="49"/>
      <c r="PS46" s="49"/>
      <c r="PT46" s="49"/>
      <c r="PU46" s="49"/>
      <c r="PV46" s="49"/>
      <c r="PW46" s="49"/>
      <c r="PX46" s="49"/>
      <c r="PY46" s="49"/>
      <c r="PZ46" s="260"/>
      <c r="QA46" s="276"/>
      <c r="QB46" s="49"/>
      <c r="QC46" s="49"/>
      <c r="QD46" s="249"/>
      <c r="QE46" s="254"/>
      <c r="QF46" s="49"/>
      <c r="QG46" s="49"/>
      <c r="QH46" s="49"/>
      <c r="QI46" s="49"/>
      <c r="QJ46" s="49"/>
      <c r="QK46" s="49"/>
      <c r="QL46" s="49"/>
      <c r="QM46" s="49"/>
      <c r="QN46" s="49"/>
      <c r="QO46" s="49"/>
      <c r="QP46" s="49"/>
      <c r="QQ46" s="49"/>
      <c r="QR46" s="49"/>
      <c r="QS46" s="49"/>
      <c r="QT46" s="49"/>
      <c r="QU46" s="260"/>
      <c r="QV46" s="276"/>
      <c r="QW46" s="49"/>
      <c r="QX46" s="49"/>
      <c r="QY46" s="249"/>
      <c r="QZ46" s="254"/>
      <c r="RA46" s="49"/>
      <c r="RB46" s="49"/>
      <c r="RC46" s="49"/>
      <c r="RD46" s="49"/>
      <c r="RE46" s="49"/>
      <c r="RF46" s="49"/>
      <c r="RG46" s="49"/>
      <c r="RH46" s="49"/>
      <c r="RI46" s="49"/>
      <c r="RJ46" s="49"/>
      <c r="RK46" s="49"/>
      <c r="RL46" s="49"/>
      <c r="RM46" s="49"/>
      <c r="RN46" s="49"/>
      <c r="RO46" s="49"/>
      <c r="RP46" s="260"/>
      <c r="RQ46" s="276"/>
      <c r="RR46" s="49"/>
      <c r="RS46" s="49"/>
      <c r="RT46" s="249"/>
      <c r="RU46" s="254"/>
      <c r="RV46" s="49"/>
      <c r="RW46" s="49"/>
      <c r="RX46" s="49"/>
      <c r="RY46" s="49"/>
      <c r="RZ46" s="49"/>
      <c r="SA46" s="49"/>
      <c r="SB46" s="49"/>
      <c r="SC46" s="49"/>
      <c r="SD46" s="49"/>
      <c r="SE46" s="49"/>
      <c r="SF46" s="49"/>
      <c r="SG46" s="49"/>
      <c r="SH46" s="49"/>
      <c r="SI46" s="49"/>
      <c r="SJ46" s="49"/>
      <c r="SK46" s="260"/>
      <c r="SL46" s="276"/>
      <c r="SM46" s="49"/>
      <c r="SN46" s="49"/>
      <c r="SO46" s="249"/>
      <c r="SP46" s="254"/>
      <c r="SQ46" s="49"/>
      <c r="SR46" s="49"/>
      <c r="SS46" s="49"/>
      <c r="ST46" s="49"/>
      <c r="SU46" s="49"/>
      <c r="SV46" s="49"/>
      <c r="SW46" s="49"/>
      <c r="SX46" s="49"/>
      <c r="SY46" s="49"/>
      <c r="SZ46" s="49"/>
      <c r="TA46" s="49"/>
      <c r="TB46" s="49"/>
      <c r="TC46" s="49"/>
      <c r="TD46" s="49"/>
      <c r="TE46" s="49"/>
      <c r="TF46" s="260"/>
      <c r="TG46" s="276"/>
      <c r="TH46" s="49"/>
      <c r="TI46" s="49"/>
      <c r="TJ46" s="249"/>
      <c r="TK46" s="254"/>
      <c r="TL46" s="49"/>
      <c r="TM46" s="49"/>
      <c r="TN46" s="49"/>
      <c r="TO46" s="49"/>
      <c r="TP46" s="49"/>
      <c r="TQ46" s="49"/>
      <c r="TR46" s="49"/>
      <c r="TS46" s="49"/>
      <c r="TT46" s="49"/>
      <c r="TU46" s="49"/>
      <c r="TV46" s="49"/>
      <c r="TW46" s="49"/>
      <c r="TX46" s="49"/>
      <c r="TY46" s="49"/>
      <c r="TZ46" s="49"/>
      <c r="UA46" s="260"/>
      <c r="UB46" s="276"/>
      <c r="UC46" s="49"/>
      <c r="UD46" s="49"/>
      <c r="UE46" s="249"/>
      <c r="UF46" s="254"/>
      <c r="UG46" s="49"/>
      <c r="UH46" s="49"/>
      <c r="UI46" s="49"/>
      <c r="UJ46" s="49"/>
      <c r="UK46" s="49"/>
      <c r="UL46" s="49"/>
      <c r="UM46" s="49"/>
      <c r="UN46" s="49"/>
      <c r="UO46" s="49"/>
      <c r="UP46" s="49"/>
      <c r="UQ46" s="49"/>
      <c r="UR46" s="49"/>
      <c r="US46" s="49"/>
      <c r="UT46" s="49"/>
      <c r="UU46" s="49"/>
      <c r="UV46" s="260"/>
      <c r="UW46" s="276"/>
      <c r="UX46" s="49"/>
      <c r="UY46" s="49"/>
      <c r="UZ46" s="249"/>
      <c r="VA46" s="254"/>
      <c r="VB46" s="49"/>
      <c r="VC46" s="49"/>
      <c r="VD46" s="49"/>
      <c r="VE46" s="49"/>
      <c r="VF46" s="49"/>
      <c r="VG46" s="49"/>
      <c r="VH46" s="49"/>
      <c r="VI46" s="49"/>
      <c r="VJ46" s="49"/>
      <c r="VK46" s="49"/>
      <c r="VL46" s="49"/>
      <c r="VM46" s="49"/>
      <c r="VN46" s="49"/>
      <c r="VO46" s="49"/>
      <c r="VP46" s="49"/>
      <c r="VQ46" s="260"/>
      <c r="VR46" s="276"/>
      <c r="VS46" s="49"/>
      <c r="VT46" s="49"/>
      <c r="VU46" s="249"/>
      <c r="VV46" s="254"/>
      <c r="VW46" s="49"/>
      <c r="VX46" s="49"/>
      <c r="VY46" s="49"/>
      <c r="VZ46" s="49"/>
      <c r="WA46" s="49"/>
      <c r="WB46" s="49"/>
      <c r="WC46" s="49"/>
      <c r="WD46" s="49"/>
      <c r="WE46" s="49"/>
      <c r="WF46" s="49"/>
      <c r="WG46" s="49"/>
      <c r="WH46" s="49"/>
      <c r="WI46" s="49"/>
      <c r="WJ46" s="49"/>
      <c r="WK46" s="49"/>
      <c r="WL46" s="260"/>
      <c r="WM46" s="276"/>
      <c r="WN46" s="49"/>
      <c r="WO46" s="49"/>
      <c r="WP46" s="249"/>
      <c r="WQ46" s="254"/>
      <c r="WR46" s="49"/>
      <c r="WS46" s="49"/>
      <c r="WT46" s="49"/>
      <c r="WU46" s="49"/>
      <c r="WV46" s="49"/>
      <c r="WW46" s="49"/>
      <c r="WX46" s="49"/>
      <c r="WY46" s="49"/>
      <c r="WZ46" s="49"/>
      <c r="XA46" s="49"/>
      <c r="XB46" s="49"/>
      <c r="XC46" s="49"/>
      <c r="XD46" s="49"/>
      <c r="XE46" s="49"/>
      <c r="XF46" s="49"/>
      <c r="XG46" s="260"/>
      <c r="XH46" s="276"/>
      <c r="XI46" s="49"/>
      <c r="XJ46" s="49"/>
      <c r="XK46" s="249"/>
      <c r="XL46" s="254"/>
      <c r="XM46" s="49"/>
      <c r="XN46" s="49"/>
      <c r="XO46" s="49"/>
      <c r="XP46" s="49"/>
      <c r="XQ46" s="49"/>
      <c r="XR46" s="49"/>
      <c r="XS46" s="49"/>
      <c r="XT46" s="49"/>
      <c r="XU46" s="49"/>
      <c r="XV46" s="49"/>
      <c r="XW46" s="49"/>
      <c r="XX46" s="49"/>
      <c r="XY46" s="49"/>
      <c r="XZ46" s="49"/>
      <c r="YA46" s="49"/>
      <c r="YB46" s="260"/>
    </row>
    <row r="47" spans="1:652" x14ac:dyDescent="0.3">
      <c r="A47" s="224" t="s">
        <v>253</v>
      </c>
      <c r="B47" s="270"/>
      <c r="C47" s="10"/>
      <c r="D47" s="10"/>
      <c r="E47" s="234"/>
      <c r="F47" s="238"/>
      <c r="G47" s="11"/>
      <c r="H47" s="11"/>
      <c r="I47" s="11"/>
      <c r="J47" s="11"/>
      <c r="K47" s="12"/>
      <c r="L47" s="11"/>
      <c r="M47" s="11"/>
      <c r="N47" s="11"/>
      <c r="O47" s="11"/>
      <c r="P47" s="11"/>
      <c r="Q47" s="11"/>
      <c r="R47" s="11"/>
      <c r="S47" s="11"/>
      <c r="T47" s="11"/>
      <c r="U47" s="11"/>
      <c r="V47" s="259"/>
      <c r="W47" s="275"/>
      <c r="X47" s="11"/>
      <c r="Y47" s="11"/>
      <c r="Z47" s="248"/>
      <c r="AA47" s="253"/>
      <c r="AB47" s="11"/>
      <c r="AC47" s="11"/>
      <c r="AD47" s="11"/>
      <c r="AE47" s="11"/>
      <c r="AF47" s="11"/>
      <c r="AG47" s="11"/>
      <c r="AH47" s="11"/>
      <c r="AI47" s="11"/>
      <c r="AJ47" s="11"/>
      <c r="AK47" s="11"/>
      <c r="AL47" s="11"/>
      <c r="AM47" s="11"/>
      <c r="AN47" s="11"/>
      <c r="AO47" s="11"/>
      <c r="AP47" s="11"/>
      <c r="AQ47" s="259"/>
      <c r="AR47" s="270"/>
      <c r="AS47" s="10"/>
      <c r="AT47" s="10"/>
      <c r="AU47" s="234"/>
      <c r="AV47" s="238"/>
      <c r="AW47" s="11"/>
      <c r="AX47" s="11"/>
      <c r="AY47" s="11"/>
      <c r="AZ47" s="11"/>
      <c r="BA47" s="11"/>
      <c r="BB47" s="11"/>
      <c r="BC47" s="11"/>
      <c r="BD47" s="11"/>
      <c r="BE47" s="11"/>
      <c r="BF47" s="11"/>
      <c r="BG47" s="11"/>
      <c r="BH47" s="11"/>
      <c r="BI47" s="11"/>
      <c r="BJ47" s="11"/>
      <c r="BK47" s="11"/>
      <c r="BL47" s="259"/>
      <c r="BM47" s="275"/>
      <c r="BN47" s="11"/>
      <c r="BO47" s="11"/>
      <c r="BP47" s="248"/>
      <c r="BQ47" s="253"/>
      <c r="BR47" s="11"/>
      <c r="BS47" s="11"/>
      <c r="BT47" s="11"/>
      <c r="BU47" s="11"/>
      <c r="BV47" s="11"/>
      <c r="BW47" s="11"/>
      <c r="BX47" s="11"/>
      <c r="BY47" s="11"/>
      <c r="BZ47" s="11"/>
      <c r="CA47" s="11"/>
      <c r="CB47" s="11"/>
      <c r="CC47" s="11"/>
      <c r="CD47" s="11"/>
      <c r="CE47" s="11"/>
      <c r="CF47" s="11"/>
      <c r="CG47" s="259"/>
      <c r="CH47" s="275"/>
      <c r="CI47" s="11"/>
      <c r="CJ47" s="11"/>
      <c r="CK47" s="248"/>
      <c r="CL47" s="45"/>
      <c r="CM47" s="45"/>
      <c r="CN47" s="45"/>
      <c r="CO47" s="45"/>
      <c r="CP47" s="45"/>
      <c r="CQ47" s="79"/>
      <c r="CR47" s="45"/>
      <c r="CS47" s="36"/>
      <c r="CT47" s="86"/>
      <c r="CU47" s="45"/>
      <c r="CV47" s="10"/>
      <c r="CW47" s="11"/>
      <c r="CX47" s="11"/>
      <c r="CY47" s="11"/>
      <c r="CZ47" s="11"/>
      <c r="DA47" s="11"/>
      <c r="DB47" s="259"/>
      <c r="DC47" s="275"/>
      <c r="DD47" s="11"/>
      <c r="DE47" s="11"/>
      <c r="DF47" s="248"/>
      <c r="DG47" s="253"/>
      <c r="DH47" s="11"/>
      <c r="DI47" s="11"/>
      <c r="DJ47" s="11"/>
      <c r="DK47" s="11"/>
      <c r="DL47" s="11"/>
      <c r="DM47" s="11"/>
      <c r="DN47" s="11"/>
      <c r="DO47" s="11"/>
      <c r="DP47" s="11"/>
      <c r="DQ47" s="11"/>
      <c r="DR47" s="11"/>
      <c r="DS47" s="11"/>
      <c r="DT47" s="11"/>
      <c r="DU47" s="11"/>
      <c r="DV47" s="11"/>
      <c r="DW47" s="259"/>
      <c r="DX47" s="275"/>
      <c r="DY47" s="11"/>
      <c r="DZ47" s="11"/>
      <c r="EA47" s="248"/>
      <c r="EB47" s="45"/>
      <c r="EC47" s="45"/>
      <c r="ED47" s="45"/>
      <c r="EE47" s="45"/>
      <c r="EF47" s="45"/>
      <c r="EG47" s="79"/>
      <c r="EH47" s="45"/>
      <c r="EI47" s="36"/>
      <c r="EJ47" s="86"/>
      <c r="EK47" s="45"/>
      <c r="EL47" s="10"/>
      <c r="EM47" s="11"/>
      <c r="EN47" s="11"/>
      <c r="EO47" s="11"/>
      <c r="EP47" s="11"/>
      <c r="EQ47" s="11"/>
      <c r="ER47" s="259"/>
      <c r="ES47" s="275"/>
      <c r="ET47" s="11"/>
      <c r="EU47" s="11"/>
      <c r="EV47" s="248"/>
      <c r="EW47" s="253"/>
      <c r="EX47" s="11"/>
      <c r="EY47" s="11"/>
      <c r="EZ47" s="11"/>
      <c r="FA47" s="11"/>
      <c r="FB47" s="11"/>
      <c r="FC47" s="11"/>
      <c r="FD47" s="11"/>
      <c r="FE47" s="11"/>
      <c r="FF47" s="11"/>
      <c r="FG47" s="11"/>
      <c r="FH47" s="11"/>
      <c r="FI47" s="11"/>
      <c r="FJ47" s="11"/>
      <c r="FK47" s="11"/>
      <c r="FL47" s="11"/>
      <c r="FM47" s="259"/>
      <c r="FN47" s="275"/>
      <c r="FO47" s="11"/>
      <c r="FP47" s="11"/>
      <c r="FQ47" s="248"/>
      <c r="FR47" s="45"/>
      <c r="FS47" s="45"/>
      <c r="FT47" s="45"/>
      <c r="FU47" s="45"/>
      <c r="FV47" s="45"/>
      <c r="FW47" s="79"/>
      <c r="FX47" s="45"/>
      <c r="FY47" s="36"/>
      <c r="FZ47" s="86"/>
      <c r="GA47" s="45"/>
      <c r="GB47" s="10"/>
      <c r="GC47" s="11"/>
      <c r="GD47" s="11"/>
      <c r="GE47" s="11"/>
      <c r="GF47" s="11"/>
      <c r="GG47" s="11"/>
      <c r="GH47" s="259"/>
      <c r="GI47" s="275"/>
      <c r="GJ47" s="11"/>
      <c r="GK47" s="11"/>
      <c r="GL47" s="248"/>
      <c r="GM47" s="253"/>
      <c r="GN47" s="11"/>
      <c r="GO47" s="11"/>
      <c r="GP47" s="11"/>
      <c r="GQ47" s="11"/>
      <c r="GR47" s="11"/>
      <c r="GS47" s="11"/>
      <c r="GT47" s="11"/>
      <c r="GU47" s="11"/>
      <c r="GV47" s="11"/>
      <c r="GW47" s="11"/>
      <c r="GX47" s="11"/>
      <c r="GY47" s="11"/>
      <c r="GZ47" s="11"/>
      <c r="HA47" s="11"/>
      <c r="HB47" s="11"/>
      <c r="HC47" s="259"/>
      <c r="HD47" s="275"/>
      <c r="HE47" s="11"/>
      <c r="HF47" s="11"/>
      <c r="HG47" s="248"/>
      <c r="HH47" s="253"/>
      <c r="HI47" s="11"/>
      <c r="HJ47" s="11"/>
      <c r="HK47" s="11"/>
      <c r="HL47" s="11"/>
      <c r="HM47" s="11"/>
      <c r="HN47" s="11"/>
      <c r="HO47" s="11"/>
      <c r="HP47" s="11"/>
      <c r="HQ47" s="11"/>
      <c r="HR47" s="11"/>
      <c r="HS47" s="11"/>
      <c r="HT47" s="11"/>
      <c r="HU47" s="11"/>
      <c r="HV47" s="11"/>
      <c r="HW47" s="11"/>
      <c r="HX47" s="259"/>
      <c r="HY47" s="275"/>
      <c r="HZ47" s="11"/>
      <c r="IA47" s="11"/>
      <c r="IB47" s="248"/>
      <c r="IC47" s="253"/>
      <c r="ID47" s="11"/>
      <c r="IE47" s="11"/>
      <c r="IF47" s="11"/>
      <c r="IG47" s="11"/>
      <c r="IH47" s="11"/>
      <c r="II47" s="11"/>
      <c r="IJ47" s="11"/>
      <c r="IK47" s="11"/>
      <c r="IL47" s="11"/>
      <c r="IM47" s="11"/>
      <c r="IN47" s="11"/>
      <c r="IO47" s="11"/>
      <c r="IP47" s="11"/>
      <c r="IQ47" s="11"/>
      <c r="IR47" s="11"/>
      <c r="IS47" s="259"/>
      <c r="IT47" s="275"/>
      <c r="IU47" s="11"/>
      <c r="IV47" s="11"/>
      <c r="IW47" s="248"/>
      <c r="IX47" s="253"/>
      <c r="IY47" s="11"/>
      <c r="IZ47" s="11"/>
      <c r="JA47" s="11"/>
      <c r="JB47" s="11"/>
      <c r="JC47" s="11"/>
      <c r="JD47" s="11"/>
      <c r="JE47" s="11"/>
      <c r="JF47" s="11"/>
      <c r="JG47" s="11"/>
      <c r="JH47" s="11"/>
      <c r="JI47" s="11"/>
      <c r="JJ47" s="11"/>
      <c r="JK47" s="11"/>
      <c r="JL47" s="11"/>
      <c r="JM47" s="11"/>
      <c r="JN47" s="259"/>
      <c r="JO47" s="275"/>
      <c r="JP47" s="11"/>
      <c r="JQ47" s="11"/>
      <c r="JR47" s="248"/>
      <c r="JS47" s="253"/>
      <c r="JT47" s="11"/>
      <c r="JU47" s="11"/>
      <c r="JV47" s="11"/>
      <c r="JW47" s="11"/>
      <c r="JX47" s="11"/>
      <c r="JY47" s="11"/>
      <c r="JZ47" s="11"/>
      <c r="KA47" s="11"/>
      <c r="KB47" s="11"/>
      <c r="KC47" s="11"/>
      <c r="KD47" s="11"/>
      <c r="KE47" s="11"/>
      <c r="KF47" s="11"/>
      <c r="KG47" s="11"/>
      <c r="KH47" s="11"/>
      <c r="KI47" s="259"/>
      <c r="KJ47" s="275"/>
      <c r="KK47" s="11"/>
      <c r="KL47" s="11"/>
      <c r="KM47" s="248"/>
      <c r="KN47" s="253"/>
      <c r="KO47" s="11"/>
      <c r="KP47" s="11"/>
      <c r="KQ47" s="11"/>
      <c r="KR47" s="11"/>
      <c r="KS47" s="11"/>
      <c r="KT47" s="11"/>
      <c r="KU47" s="11"/>
      <c r="KV47" s="11"/>
      <c r="KW47" s="11"/>
      <c r="KX47" s="11"/>
      <c r="KY47" s="11"/>
      <c r="KZ47" s="11"/>
      <c r="LA47" s="11"/>
      <c r="LB47" s="11"/>
      <c r="LC47" s="11"/>
      <c r="LD47" s="259"/>
      <c r="LE47" s="275"/>
      <c r="LF47" s="11"/>
      <c r="LG47" s="11"/>
      <c r="LH47" s="248"/>
      <c r="LI47" s="253"/>
      <c r="LJ47" s="11"/>
      <c r="LK47" s="11"/>
      <c r="LL47" s="11"/>
      <c r="LM47" s="11"/>
      <c r="LN47" s="11"/>
      <c r="LO47" s="11"/>
      <c r="LP47" s="11"/>
      <c r="LQ47" s="11"/>
      <c r="LR47" s="11"/>
      <c r="LS47" s="11"/>
      <c r="LT47" s="11"/>
      <c r="LU47" s="11"/>
      <c r="LV47" s="11"/>
      <c r="LW47" s="11"/>
      <c r="LX47" s="11"/>
      <c r="LY47" s="259"/>
      <c r="LZ47" s="275"/>
      <c r="MA47" s="11"/>
      <c r="MB47" s="11"/>
      <c r="MC47" s="248"/>
      <c r="MD47" s="253"/>
      <c r="ME47" s="11"/>
      <c r="MF47" s="11"/>
      <c r="MG47" s="11"/>
      <c r="MH47" s="11"/>
      <c r="MI47" s="11"/>
      <c r="MJ47" s="11"/>
      <c r="MK47" s="11"/>
      <c r="ML47" s="11"/>
      <c r="MM47" s="11"/>
      <c r="MN47" s="11"/>
      <c r="MO47" s="11"/>
      <c r="MP47" s="11"/>
      <c r="MQ47" s="11"/>
      <c r="MR47" s="11"/>
      <c r="MS47" s="11"/>
      <c r="MT47" s="259"/>
      <c r="MU47" s="275"/>
      <c r="MV47" s="11"/>
      <c r="MW47" s="11"/>
      <c r="MX47" s="248"/>
      <c r="MY47" s="253"/>
      <c r="MZ47" s="11"/>
      <c r="NA47" s="11"/>
      <c r="NB47" s="11"/>
      <c r="NC47" s="11"/>
      <c r="ND47" s="11"/>
      <c r="NE47" s="11"/>
      <c r="NF47" s="11"/>
      <c r="NG47" s="11"/>
      <c r="NH47" s="11"/>
      <c r="NI47" s="11"/>
      <c r="NJ47" s="11"/>
      <c r="NK47" s="11"/>
      <c r="NL47" s="11"/>
      <c r="NM47" s="11"/>
      <c r="NN47" s="11"/>
      <c r="NO47" s="259"/>
      <c r="NP47" s="275"/>
      <c r="NQ47" s="11"/>
      <c r="NR47" s="11"/>
      <c r="NS47" s="248"/>
      <c r="NT47" s="253"/>
      <c r="NU47" s="11"/>
      <c r="NV47" s="11"/>
      <c r="NW47" s="11"/>
      <c r="NX47" s="11"/>
      <c r="NY47" s="11"/>
      <c r="NZ47" s="11"/>
      <c r="OA47" s="11"/>
      <c r="OB47" s="11"/>
      <c r="OC47" s="11"/>
      <c r="OD47" s="11"/>
      <c r="OE47" s="11"/>
      <c r="OF47" s="11"/>
      <c r="OG47" s="11"/>
      <c r="OH47" s="11"/>
      <c r="OI47" s="11"/>
      <c r="OJ47" s="259"/>
      <c r="OK47" s="275"/>
      <c r="OL47" s="11"/>
      <c r="OM47" s="11"/>
      <c r="ON47" s="248"/>
      <c r="OO47" s="253"/>
      <c r="OP47" s="11"/>
      <c r="OQ47" s="11"/>
      <c r="OR47" s="11"/>
      <c r="OS47" s="11"/>
      <c r="OT47" s="11"/>
      <c r="OU47" s="11"/>
      <c r="OV47" s="11"/>
      <c r="OW47" s="11"/>
      <c r="OX47" s="11"/>
      <c r="OY47" s="11"/>
      <c r="OZ47" s="11"/>
      <c r="PA47" s="11"/>
      <c r="PB47" s="11"/>
      <c r="PC47" s="11"/>
      <c r="PD47" s="11"/>
      <c r="PE47" s="259"/>
      <c r="PF47" s="275"/>
      <c r="PG47" s="11"/>
      <c r="PH47" s="11"/>
      <c r="PI47" s="248"/>
      <c r="PJ47" s="253"/>
      <c r="PK47" s="11"/>
      <c r="PL47" s="11"/>
      <c r="PM47" s="11"/>
      <c r="PN47" s="11"/>
      <c r="PO47" s="11"/>
      <c r="PP47" s="11"/>
      <c r="PQ47" s="11"/>
      <c r="PR47" s="11"/>
      <c r="PS47" s="11"/>
      <c r="PT47" s="11"/>
      <c r="PU47" s="11"/>
      <c r="PV47" s="11"/>
      <c r="PW47" s="11"/>
      <c r="PX47" s="11"/>
      <c r="PY47" s="11"/>
      <c r="PZ47" s="259"/>
      <c r="QA47" s="275"/>
      <c r="QB47" s="11"/>
      <c r="QC47" s="11"/>
      <c r="QD47" s="248"/>
      <c r="QE47" s="253"/>
      <c r="QF47" s="11"/>
      <c r="QG47" s="11"/>
      <c r="QH47" s="11"/>
      <c r="QI47" s="11"/>
      <c r="QJ47" s="11"/>
      <c r="QK47" s="11"/>
      <c r="QL47" s="11"/>
      <c r="QM47" s="11"/>
      <c r="QN47" s="11"/>
      <c r="QO47" s="11"/>
      <c r="QP47" s="11"/>
      <c r="QQ47" s="11"/>
      <c r="QR47" s="11"/>
      <c r="QS47" s="11"/>
      <c r="QT47" s="11"/>
      <c r="QU47" s="259"/>
      <c r="QV47" s="275"/>
      <c r="QW47" s="11"/>
      <c r="QX47" s="11"/>
      <c r="QY47" s="248"/>
      <c r="QZ47" s="253"/>
      <c r="RA47" s="11"/>
      <c r="RB47" s="11"/>
      <c r="RC47" s="11"/>
      <c r="RD47" s="11"/>
      <c r="RE47" s="11"/>
      <c r="RF47" s="11"/>
      <c r="RG47" s="11"/>
      <c r="RH47" s="11"/>
      <c r="RI47" s="11"/>
      <c r="RJ47" s="11"/>
      <c r="RK47" s="11"/>
      <c r="RL47" s="11"/>
      <c r="RM47" s="11"/>
      <c r="RN47" s="11"/>
      <c r="RO47" s="11"/>
      <c r="RP47" s="259"/>
      <c r="RQ47" s="275"/>
      <c r="RR47" s="11"/>
      <c r="RS47" s="11"/>
      <c r="RT47" s="248"/>
      <c r="RU47" s="253"/>
      <c r="RV47" s="11"/>
      <c r="RW47" s="11"/>
      <c r="RX47" s="11"/>
      <c r="RY47" s="11"/>
      <c r="RZ47" s="11"/>
      <c r="SA47" s="11"/>
      <c r="SB47" s="11"/>
      <c r="SC47" s="11"/>
      <c r="SD47" s="11"/>
      <c r="SE47" s="11"/>
      <c r="SF47" s="11"/>
      <c r="SG47" s="11"/>
      <c r="SH47" s="11"/>
      <c r="SI47" s="11"/>
      <c r="SJ47" s="11"/>
      <c r="SK47" s="259"/>
      <c r="SL47" s="275"/>
      <c r="SM47" s="11"/>
      <c r="SN47" s="11"/>
      <c r="SO47" s="248"/>
      <c r="SP47" s="253"/>
      <c r="SQ47" s="11"/>
      <c r="SR47" s="11"/>
      <c r="SS47" s="11"/>
      <c r="ST47" s="11"/>
      <c r="SU47" s="11"/>
      <c r="SV47" s="11"/>
      <c r="SW47" s="11"/>
      <c r="SX47" s="11"/>
      <c r="SY47" s="11"/>
      <c r="SZ47" s="11"/>
      <c r="TA47" s="11"/>
      <c r="TB47" s="11"/>
      <c r="TC47" s="11"/>
      <c r="TD47" s="11"/>
      <c r="TE47" s="11"/>
      <c r="TF47" s="259"/>
      <c r="TG47" s="275"/>
      <c r="TH47" s="11"/>
      <c r="TI47" s="11"/>
      <c r="TJ47" s="248"/>
      <c r="TK47" s="253"/>
      <c r="TL47" s="11"/>
      <c r="TM47" s="11"/>
      <c r="TN47" s="11"/>
      <c r="TO47" s="11"/>
      <c r="TP47" s="11"/>
      <c r="TQ47" s="11"/>
      <c r="TR47" s="11"/>
      <c r="TS47" s="11"/>
      <c r="TT47" s="11"/>
      <c r="TU47" s="11"/>
      <c r="TV47" s="11"/>
      <c r="TW47" s="11"/>
      <c r="TX47" s="11"/>
      <c r="TY47" s="11"/>
      <c r="TZ47" s="11"/>
      <c r="UA47" s="259"/>
      <c r="UB47" s="275"/>
      <c r="UC47" s="11"/>
      <c r="UD47" s="11"/>
      <c r="UE47" s="248"/>
      <c r="UF47" s="253"/>
      <c r="UG47" s="11"/>
      <c r="UH47" s="11"/>
      <c r="UI47" s="11"/>
      <c r="UJ47" s="11"/>
      <c r="UK47" s="11"/>
      <c r="UL47" s="11"/>
      <c r="UM47" s="11"/>
      <c r="UN47" s="11"/>
      <c r="UO47" s="11"/>
      <c r="UP47" s="11"/>
      <c r="UQ47" s="11"/>
      <c r="UR47" s="11"/>
      <c r="US47" s="11"/>
      <c r="UT47" s="11"/>
      <c r="UU47" s="11"/>
      <c r="UV47" s="259"/>
      <c r="UW47" s="275"/>
      <c r="UX47" s="11"/>
      <c r="UY47" s="11"/>
      <c r="UZ47" s="248"/>
      <c r="VA47" s="253"/>
      <c r="VB47" s="11"/>
      <c r="VC47" s="11"/>
      <c r="VD47" s="11"/>
      <c r="VE47" s="11"/>
      <c r="VF47" s="11"/>
      <c r="VG47" s="11"/>
      <c r="VH47" s="11"/>
      <c r="VI47" s="11"/>
      <c r="VJ47" s="11"/>
      <c r="VK47" s="11"/>
      <c r="VL47" s="11"/>
      <c r="VM47" s="11"/>
      <c r="VN47" s="11"/>
      <c r="VO47" s="11"/>
      <c r="VP47" s="11"/>
      <c r="VQ47" s="259"/>
      <c r="VR47" s="275"/>
      <c r="VS47" s="11"/>
      <c r="VT47" s="11"/>
      <c r="VU47" s="248"/>
      <c r="VV47" s="253"/>
      <c r="VW47" s="11"/>
      <c r="VX47" s="11"/>
      <c r="VY47" s="11"/>
      <c r="VZ47" s="11"/>
      <c r="WA47" s="11"/>
      <c r="WB47" s="11"/>
      <c r="WC47" s="11"/>
      <c r="WD47" s="11"/>
      <c r="WE47" s="11"/>
      <c r="WF47" s="11"/>
      <c r="WG47" s="11"/>
      <c r="WH47" s="11"/>
      <c r="WI47" s="11"/>
      <c r="WJ47" s="11"/>
      <c r="WK47" s="11"/>
      <c r="WL47" s="259"/>
      <c r="WM47" s="275"/>
      <c r="WN47" s="11"/>
      <c r="WO47" s="11"/>
      <c r="WP47" s="248"/>
      <c r="WQ47" s="253"/>
      <c r="WR47" s="11"/>
      <c r="WS47" s="11"/>
      <c r="WT47" s="11"/>
      <c r="WU47" s="11"/>
      <c r="WV47" s="11"/>
      <c r="WW47" s="11"/>
      <c r="WX47" s="11"/>
      <c r="WY47" s="11"/>
      <c r="WZ47" s="11"/>
      <c r="XA47" s="11"/>
      <c r="XB47" s="11"/>
      <c r="XC47" s="11"/>
      <c r="XD47" s="11"/>
      <c r="XE47" s="11"/>
      <c r="XF47" s="11"/>
      <c r="XG47" s="259"/>
      <c r="XH47" s="275"/>
      <c r="XI47" s="11"/>
      <c r="XJ47" s="11"/>
      <c r="XK47" s="248"/>
      <c r="XL47" s="253"/>
      <c r="XM47" s="11"/>
      <c r="XN47" s="11"/>
      <c r="XO47" s="11"/>
      <c r="XP47" s="11"/>
      <c r="XQ47" s="11"/>
      <c r="XR47" s="11"/>
      <c r="XS47" s="11"/>
      <c r="XT47" s="11"/>
      <c r="XU47" s="11"/>
      <c r="XV47" s="11"/>
      <c r="XW47" s="11"/>
      <c r="XX47" s="11"/>
      <c r="XY47" s="11"/>
      <c r="XZ47" s="11"/>
      <c r="YA47" s="11"/>
      <c r="YB47" s="259"/>
    </row>
    <row r="48" spans="1:652" x14ac:dyDescent="0.3">
      <c r="A48" s="223" t="s">
        <v>254</v>
      </c>
      <c r="B48" s="271"/>
      <c r="C48" s="48"/>
      <c r="D48" s="48"/>
      <c r="E48" s="235"/>
      <c r="F48" s="239"/>
      <c r="G48" s="49"/>
      <c r="H48" s="49"/>
      <c r="I48" s="49"/>
      <c r="J48" s="49"/>
      <c r="K48" s="49"/>
      <c r="L48" s="49"/>
      <c r="M48" s="49"/>
      <c r="N48" s="49"/>
      <c r="O48" s="49"/>
      <c r="P48" s="49"/>
      <c r="Q48" s="49"/>
      <c r="R48" s="49"/>
      <c r="S48" s="49"/>
      <c r="T48" s="49"/>
      <c r="U48" s="49"/>
      <c r="V48" s="260"/>
      <c r="W48" s="276"/>
      <c r="X48" s="49"/>
      <c r="Y48" s="49"/>
      <c r="Z48" s="249"/>
      <c r="AA48" s="254"/>
      <c r="AB48" s="49"/>
      <c r="AC48" s="49"/>
      <c r="AD48" s="49"/>
      <c r="AE48" s="49"/>
      <c r="AF48" s="49"/>
      <c r="AG48" s="49"/>
      <c r="AH48" s="49"/>
      <c r="AI48" s="49"/>
      <c r="AJ48" s="49"/>
      <c r="AK48" s="49"/>
      <c r="AL48" s="49"/>
      <c r="AM48" s="49"/>
      <c r="AN48" s="49"/>
      <c r="AO48" s="49"/>
      <c r="AP48" s="49"/>
      <c r="AQ48" s="260"/>
      <c r="AR48" s="271"/>
      <c r="AS48" s="48"/>
      <c r="AT48" s="48"/>
      <c r="AU48" s="235"/>
      <c r="AV48" s="239"/>
      <c r="AW48" s="49"/>
      <c r="AX48" s="49"/>
      <c r="AY48" s="49"/>
      <c r="AZ48" s="49"/>
      <c r="BA48" s="49"/>
      <c r="BB48" s="49"/>
      <c r="BC48" s="49"/>
      <c r="BD48" s="49"/>
      <c r="BE48" s="49"/>
      <c r="BF48" s="49"/>
      <c r="BG48" s="49"/>
      <c r="BH48" s="49"/>
      <c r="BI48" s="49"/>
      <c r="BJ48" s="49"/>
      <c r="BK48" s="49"/>
      <c r="BL48" s="260"/>
      <c r="BM48" s="276"/>
      <c r="BN48" s="49"/>
      <c r="BO48" s="49"/>
      <c r="BP48" s="249"/>
      <c r="BQ48" s="254"/>
      <c r="BR48" s="49"/>
      <c r="BS48" s="49"/>
      <c r="BT48" s="49"/>
      <c r="BU48" s="49"/>
      <c r="BV48" s="49"/>
      <c r="BW48" s="49"/>
      <c r="BX48" s="49"/>
      <c r="BY48" s="49"/>
      <c r="BZ48" s="49"/>
      <c r="CA48" s="49"/>
      <c r="CB48" s="49"/>
      <c r="CC48" s="49"/>
      <c r="CD48" s="49"/>
      <c r="CE48" s="49"/>
      <c r="CF48" s="49"/>
      <c r="CG48" s="260"/>
      <c r="CH48" s="276"/>
      <c r="CI48" s="49"/>
      <c r="CJ48" s="49"/>
      <c r="CK48" s="249"/>
      <c r="CL48" s="53"/>
      <c r="CM48" s="53"/>
      <c r="CN48" s="53"/>
      <c r="CO48" s="53"/>
      <c r="CP48" s="53"/>
      <c r="CQ48" s="80"/>
      <c r="CR48" s="53"/>
      <c r="CS48" s="54"/>
      <c r="CT48" s="84"/>
      <c r="CU48" s="53"/>
      <c r="CV48" s="66"/>
      <c r="CW48" s="49"/>
      <c r="CX48" s="49"/>
      <c r="CY48" s="49"/>
      <c r="CZ48" s="49"/>
      <c r="DA48" s="49"/>
      <c r="DB48" s="260"/>
      <c r="DC48" s="276"/>
      <c r="DD48" s="49"/>
      <c r="DE48" s="49"/>
      <c r="DF48" s="249"/>
      <c r="DG48" s="254"/>
      <c r="DH48" s="49"/>
      <c r="DI48" s="49"/>
      <c r="DJ48" s="49"/>
      <c r="DK48" s="49"/>
      <c r="DL48" s="49"/>
      <c r="DM48" s="49"/>
      <c r="DN48" s="49"/>
      <c r="DO48" s="49"/>
      <c r="DP48" s="49"/>
      <c r="DQ48" s="49"/>
      <c r="DR48" s="49"/>
      <c r="DS48" s="49"/>
      <c r="DT48" s="49"/>
      <c r="DU48" s="49"/>
      <c r="DV48" s="49"/>
      <c r="DW48" s="260"/>
      <c r="DX48" s="276"/>
      <c r="DY48" s="49"/>
      <c r="DZ48" s="49"/>
      <c r="EA48" s="249"/>
      <c r="EB48" s="53"/>
      <c r="EC48" s="53"/>
      <c r="ED48" s="53"/>
      <c r="EE48" s="53"/>
      <c r="EF48" s="53"/>
      <c r="EG48" s="80"/>
      <c r="EH48" s="53"/>
      <c r="EI48" s="54"/>
      <c r="EJ48" s="84"/>
      <c r="EK48" s="53"/>
      <c r="EL48" s="66"/>
      <c r="EM48" s="49"/>
      <c r="EN48" s="49"/>
      <c r="EO48" s="49"/>
      <c r="EP48" s="49"/>
      <c r="EQ48" s="49"/>
      <c r="ER48" s="260"/>
      <c r="ES48" s="276"/>
      <c r="ET48" s="49"/>
      <c r="EU48" s="49"/>
      <c r="EV48" s="249"/>
      <c r="EW48" s="254"/>
      <c r="EX48" s="49"/>
      <c r="EY48" s="49"/>
      <c r="EZ48" s="49"/>
      <c r="FA48" s="49"/>
      <c r="FB48" s="49"/>
      <c r="FC48" s="49"/>
      <c r="FD48" s="49"/>
      <c r="FE48" s="49"/>
      <c r="FF48" s="49"/>
      <c r="FG48" s="49"/>
      <c r="FH48" s="49"/>
      <c r="FI48" s="49"/>
      <c r="FJ48" s="49"/>
      <c r="FK48" s="49"/>
      <c r="FL48" s="49"/>
      <c r="FM48" s="260"/>
      <c r="FN48" s="276"/>
      <c r="FO48" s="49"/>
      <c r="FP48" s="49"/>
      <c r="FQ48" s="249"/>
      <c r="FR48" s="53"/>
      <c r="FS48" s="53"/>
      <c r="FT48" s="53"/>
      <c r="FU48" s="53"/>
      <c r="FV48" s="53"/>
      <c r="FW48" s="80"/>
      <c r="FX48" s="53"/>
      <c r="FY48" s="54"/>
      <c r="FZ48" s="84"/>
      <c r="GA48" s="53"/>
      <c r="GB48" s="66"/>
      <c r="GC48" s="49"/>
      <c r="GD48" s="49"/>
      <c r="GE48" s="49"/>
      <c r="GF48" s="49"/>
      <c r="GG48" s="49"/>
      <c r="GH48" s="260"/>
      <c r="GI48" s="276"/>
      <c r="GJ48" s="49"/>
      <c r="GK48" s="49"/>
      <c r="GL48" s="249"/>
      <c r="GM48" s="254"/>
      <c r="GN48" s="49"/>
      <c r="GO48" s="49"/>
      <c r="GP48" s="49"/>
      <c r="GQ48" s="49"/>
      <c r="GR48" s="49"/>
      <c r="GS48" s="49"/>
      <c r="GT48" s="49"/>
      <c r="GU48" s="49"/>
      <c r="GV48" s="49"/>
      <c r="GW48" s="49"/>
      <c r="GX48" s="49"/>
      <c r="GY48" s="49"/>
      <c r="GZ48" s="49"/>
      <c r="HA48" s="49"/>
      <c r="HB48" s="49"/>
      <c r="HC48" s="260"/>
      <c r="HD48" s="276"/>
      <c r="HE48" s="49"/>
      <c r="HF48" s="49"/>
      <c r="HG48" s="249"/>
      <c r="HH48" s="254"/>
      <c r="HI48" s="49"/>
      <c r="HJ48" s="49"/>
      <c r="HK48" s="49"/>
      <c r="HL48" s="49"/>
      <c r="HM48" s="49"/>
      <c r="HN48" s="49"/>
      <c r="HO48" s="49"/>
      <c r="HP48" s="49"/>
      <c r="HQ48" s="49"/>
      <c r="HR48" s="49"/>
      <c r="HS48" s="49"/>
      <c r="HT48" s="49"/>
      <c r="HU48" s="49"/>
      <c r="HV48" s="49"/>
      <c r="HW48" s="49"/>
      <c r="HX48" s="260"/>
      <c r="HY48" s="276"/>
      <c r="HZ48" s="49"/>
      <c r="IA48" s="49"/>
      <c r="IB48" s="249"/>
      <c r="IC48" s="254"/>
      <c r="ID48" s="49"/>
      <c r="IE48" s="49"/>
      <c r="IF48" s="49"/>
      <c r="IG48" s="49"/>
      <c r="IH48" s="49"/>
      <c r="II48" s="49"/>
      <c r="IJ48" s="49"/>
      <c r="IK48" s="49"/>
      <c r="IL48" s="49"/>
      <c r="IM48" s="49"/>
      <c r="IN48" s="49"/>
      <c r="IO48" s="49"/>
      <c r="IP48" s="49"/>
      <c r="IQ48" s="49"/>
      <c r="IR48" s="49"/>
      <c r="IS48" s="260"/>
      <c r="IT48" s="276"/>
      <c r="IU48" s="49"/>
      <c r="IV48" s="49"/>
      <c r="IW48" s="249"/>
      <c r="IX48" s="254"/>
      <c r="IY48" s="49"/>
      <c r="IZ48" s="49"/>
      <c r="JA48" s="49"/>
      <c r="JB48" s="49"/>
      <c r="JC48" s="49"/>
      <c r="JD48" s="49"/>
      <c r="JE48" s="49"/>
      <c r="JF48" s="49"/>
      <c r="JG48" s="49"/>
      <c r="JH48" s="49"/>
      <c r="JI48" s="49"/>
      <c r="JJ48" s="49"/>
      <c r="JK48" s="49"/>
      <c r="JL48" s="49"/>
      <c r="JM48" s="49"/>
      <c r="JN48" s="260"/>
      <c r="JO48" s="276"/>
      <c r="JP48" s="49"/>
      <c r="JQ48" s="49"/>
      <c r="JR48" s="249"/>
      <c r="JS48" s="254"/>
      <c r="JT48" s="49"/>
      <c r="JU48" s="49"/>
      <c r="JV48" s="49"/>
      <c r="JW48" s="49"/>
      <c r="JX48" s="49"/>
      <c r="JY48" s="49"/>
      <c r="JZ48" s="49"/>
      <c r="KA48" s="49"/>
      <c r="KB48" s="49"/>
      <c r="KC48" s="49"/>
      <c r="KD48" s="49"/>
      <c r="KE48" s="49"/>
      <c r="KF48" s="49"/>
      <c r="KG48" s="49"/>
      <c r="KH48" s="49"/>
      <c r="KI48" s="260"/>
      <c r="KJ48" s="276"/>
      <c r="KK48" s="49"/>
      <c r="KL48" s="49"/>
      <c r="KM48" s="249"/>
      <c r="KN48" s="254"/>
      <c r="KO48" s="49"/>
      <c r="KP48" s="49"/>
      <c r="KQ48" s="49"/>
      <c r="KR48" s="49"/>
      <c r="KS48" s="49"/>
      <c r="KT48" s="49"/>
      <c r="KU48" s="49"/>
      <c r="KV48" s="49"/>
      <c r="KW48" s="49"/>
      <c r="KX48" s="49"/>
      <c r="KY48" s="49"/>
      <c r="KZ48" s="49"/>
      <c r="LA48" s="49"/>
      <c r="LB48" s="49"/>
      <c r="LC48" s="49"/>
      <c r="LD48" s="260"/>
      <c r="LE48" s="276"/>
      <c r="LF48" s="49"/>
      <c r="LG48" s="49"/>
      <c r="LH48" s="249"/>
      <c r="LI48" s="254"/>
      <c r="LJ48" s="49"/>
      <c r="LK48" s="49"/>
      <c r="LL48" s="49"/>
      <c r="LM48" s="49"/>
      <c r="LN48" s="49"/>
      <c r="LO48" s="49"/>
      <c r="LP48" s="49"/>
      <c r="LQ48" s="49"/>
      <c r="LR48" s="49"/>
      <c r="LS48" s="49"/>
      <c r="LT48" s="49"/>
      <c r="LU48" s="49"/>
      <c r="LV48" s="49"/>
      <c r="LW48" s="49"/>
      <c r="LX48" s="49"/>
      <c r="LY48" s="260"/>
      <c r="LZ48" s="276"/>
      <c r="MA48" s="49"/>
      <c r="MB48" s="49"/>
      <c r="MC48" s="249"/>
      <c r="MD48" s="254"/>
      <c r="ME48" s="49"/>
      <c r="MF48" s="49"/>
      <c r="MG48" s="49"/>
      <c r="MH48" s="49"/>
      <c r="MI48" s="49"/>
      <c r="MJ48" s="49"/>
      <c r="MK48" s="49"/>
      <c r="ML48" s="49"/>
      <c r="MM48" s="49"/>
      <c r="MN48" s="49"/>
      <c r="MO48" s="49"/>
      <c r="MP48" s="49"/>
      <c r="MQ48" s="49"/>
      <c r="MR48" s="49"/>
      <c r="MS48" s="49"/>
      <c r="MT48" s="260"/>
      <c r="MU48" s="276"/>
      <c r="MV48" s="49"/>
      <c r="MW48" s="49"/>
      <c r="MX48" s="249"/>
      <c r="MY48" s="254"/>
      <c r="MZ48" s="49"/>
      <c r="NA48" s="49"/>
      <c r="NB48" s="49"/>
      <c r="NC48" s="49"/>
      <c r="ND48" s="49"/>
      <c r="NE48" s="49"/>
      <c r="NF48" s="49"/>
      <c r="NG48" s="49"/>
      <c r="NH48" s="49"/>
      <c r="NI48" s="49"/>
      <c r="NJ48" s="49"/>
      <c r="NK48" s="49"/>
      <c r="NL48" s="49"/>
      <c r="NM48" s="49"/>
      <c r="NN48" s="49"/>
      <c r="NO48" s="260"/>
      <c r="NP48" s="276"/>
      <c r="NQ48" s="49"/>
      <c r="NR48" s="49"/>
      <c r="NS48" s="249"/>
      <c r="NT48" s="254"/>
      <c r="NU48" s="49"/>
      <c r="NV48" s="49"/>
      <c r="NW48" s="49"/>
      <c r="NX48" s="49"/>
      <c r="NY48" s="49"/>
      <c r="NZ48" s="49"/>
      <c r="OA48" s="49"/>
      <c r="OB48" s="49"/>
      <c r="OC48" s="49"/>
      <c r="OD48" s="49"/>
      <c r="OE48" s="49"/>
      <c r="OF48" s="49"/>
      <c r="OG48" s="49"/>
      <c r="OH48" s="49"/>
      <c r="OI48" s="49"/>
      <c r="OJ48" s="260"/>
      <c r="OK48" s="276"/>
      <c r="OL48" s="49"/>
      <c r="OM48" s="49"/>
      <c r="ON48" s="249"/>
      <c r="OO48" s="254"/>
      <c r="OP48" s="49"/>
      <c r="OQ48" s="49"/>
      <c r="OR48" s="49"/>
      <c r="OS48" s="49"/>
      <c r="OT48" s="49"/>
      <c r="OU48" s="49"/>
      <c r="OV48" s="49"/>
      <c r="OW48" s="49"/>
      <c r="OX48" s="49"/>
      <c r="OY48" s="49"/>
      <c r="OZ48" s="49"/>
      <c r="PA48" s="49"/>
      <c r="PB48" s="49"/>
      <c r="PC48" s="49"/>
      <c r="PD48" s="49"/>
      <c r="PE48" s="260"/>
      <c r="PF48" s="276"/>
      <c r="PG48" s="49"/>
      <c r="PH48" s="49"/>
      <c r="PI48" s="249"/>
      <c r="PJ48" s="254"/>
      <c r="PK48" s="49"/>
      <c r="PL48" s="49"/>
      <c r="PM48" s="49"/>
      <c r="PN48" s="49"/>
      <c r="PO48" s="49"/>
      <c r="PP48" s="49"/>
      <c r="PQ48" s="49"/>
      <c r="PR48" s="49"/>
      <c r="PS48" s="49"/>
      <c r="PT48" s="49"/>
      <c r="PU48" s="49"/>
      <c r="PV48" s="49"/>
      <c r="PW48" s="49"/>
      <c r="PX48" s="49"/>
      <c r="PY48" s="49"/>
      <c r="PZ48" s="260"/>
      <c r="QA48" s="276"/>
      <c r="QB48" s="49"/>
      <c r="QC48" s="49"/>
      <c r="QD48" s="249"/>
      <c r="QE48" s="254"/>
      <c r="QF48" s="49"/>
      <c r="QG48" s="49"/>
      <c r="QH48" s="49"/>
      <c r="QI48" s="49"/>
      <c r="QJ48" s="49"/>
      <c r="QK48" s="49"/>
      <c r="QL48" s="49"/>
      <c r="QM48" s="49"/>
      <c r="QN48" s="49"/>
      <c r="QO48" s="49"/>
      <c r="QP48" s="49"/>
      <c r="QQ48" s="49"/>
      <c r="QR48" s="49"/>
      <c r="QS48" s="49"/>
      <c r="QT48" s="49"/>
      <c r="QU48" s="260"/>
      <c r="QV48" s="276"/>
      <c r="QW48" s="49"/>
      <c r="QX48" s="49"/>
      <c r="QY48" s="249"/>
      <c r="QZ48" s="254"/>
      <c r="RA48" s="49"/>
      <c r="RB48" s="49"/>
      <c r="RC48" s="49"/>
      <c r="RD48" s="49"/>
      <c r="RE48" s="49"/>
      <c r="RF48" s="49"/>
      <c r="RG48" s="49"/>
      <c r="RH48" s="49"/>
      <c r="RI48" s="49"/>
      <c r="RJ48" s="49"/>
      <c r="RK48" s="49"/>
      <c r="RL48" s="49"/>
      <c r="RM48" s="49"/>
      <c r="RN48" s="49"/>
      <c r="RO48" s="49"/>
      <c r="RP48" s="260"/>
      <c r="RQ48" s="276"/>
      <c r="RR48" s="49"/>
      <c r="RS48" s="49"/>
      <c r="RT48" s="249"/>
      <c r="RU48" s="254"/>
      <c r="RV48" s="49"/>
      <c r="RW48" s="49"/>
      <c r="RX48" s="49"/>
      <c r="RY48" s="49"/>
      <c r="RZ48" s="49"/>
      <c r="SA48" s="49"/>
      <c r="SB48" s="49"/>
      <c r="SC48" s="49"/>
      <c r="SD48" s="49"/>
      <c r="SE48" s="49"/>
      <c r="SF48" s="49"/>
      <c r="SG48" s="49"/>
      <c r="SH48" s="49"/>
      <c r="SI48" s="49"/>
      <c r="SJ48" s="49"/>
      <c r="SK48" s="260"/>
      <c r="SL48" s="276"/>
      <c r="SM48" s="49"/>
      <c r="SN48" s="49"/>
      <c r="SO48" s="249"/>
      <c r="SP48" s="254"/>
      <c r="SQ48" s="49"/>
      <c r="SR48" s="49"/>
      <c r="SS48" s="49"/>
      <c r="ST48" s="49"/>
      <c r="SU48" s="49"/>
      <c r="SV48" s="49"/>
      <c r="SW48" s="49"/>
      <c r="SX48" s="49"/>
      <c r="SY48" s="49"/>
      <c r="SZ48" s="49"/>
      <c r="TA48" s="49"/>
      <c r="TB48" s="49"/>
      <c r="TC48" s="49"/>
      <c r="TD48" s="49"/>
      <c r="TE48" s="49"/>
      <c r="TF48" s="260"/>
      <c r="TG48" s="276"/>
      <c r="TH48" s="49"/>
      <c r="TI48" s="49"/>
      <c r="TJ48" s="249"/>
      <c r="TK48" s="254"/>
      <c r="TL48" s="49"/>
      <c r="TM48" s="49"/>
      <c r="TN48" s="49"/>
      <c r="TO48" s="49"/>
      <c r="TP48" s="49"/>
      <c r="TQ48" s="49"/>
      <c r="TR48" s="49"/>
      <c r="TS48" s="49"/>
      <c r="TT48" s="49"/>
      <c r="TU48" s="49"/>
      <c r="TV48" s="49"/>
      <c r="TW48" s="49"/>
      <c r="TX48" s="49"/>
      <c r="TY48" s="49"/>
      <c r="TZ48" s="49"/>
      <c r="UA48" s="260"/>
      <c r="UB48" s="276"/>
      <c r="UC48" s="49"/>
      <c r="UD48" s="49"/>
      <c r="UE48" s="249"/>
      <c r="UF48" s="254"/>
      <c r="UG48" s="49"/>
      <c r="UH48" s="49"/>
      <c r="UI48" s="49"/>
      <c r="UJ48" s="49"/>
      <c r="UK48" s="49"/>
      <c r="UL48" s="49"/>
      <c r="UM48" s="49"/>
      <c r="UN48" s="49"/>
      <c r="UO48" s="49"/>
      <c r="UP48" s="49"/>
      <c r="UQ48" s="49"/>
      <c r="UR48" s="49"/>
      <c r="US48" s="49"/>
      <c r="UT48" s="49"/>
      <c r="UU48" s="49"/>
      <c r="UV48" s="260"/>
      <c r="UW48" s="276"/>
      <c r="UX48" s="49"/>
      <c r="UY48" s="49"/>
      <c r="UZ48" s="249"/>
      <c r="VA48" s="254"/>
      <c r="VB48" s="49"/>
      <c r="VC48" s="49"/>
      <c r="VD48" s="49"/>
      <c r="VE48" s="49"/>
      <c r="VF48" s="49"/>
      <c r="VG48" s="49"/>
      <c r="VH48" s="49"/>
      <c r="VI48" s="49"/>
      <c r="VJ48" s="49"/>
      <c r="VK48" s="49"/>
      <c r="VL48" s="49"/>
      <c r="VM48" s="49"/>
      <c r="VN48" s="49"/>
      <c r="VO48" s="49"/>
      <c r="VP48" s="49"/>
      <c r="VQ48" s="260"/>
      <c r="VR48" s="276"/>
      <c r="VS48" s="49"/>
      <c r="VT48" s="49"/>
      <c r="VU48" s="249"/>
      <c r="VV48" s="254"/>
      <c r="VW48" s="49"/>
      <c r="VX48" s="49"/>
      <c r="VY48" s="49"/>
      <c r="VZ48" s="49"/>
      <c r="WA48" s="49"/>
      <c r="WB48" s="49"/>
      <c r="WC48" s="49"/>
      <c r="WD48" s="49"/>
      <c r="WE48" s="49"/>
      <c r="WF48" s="49"/>
      <c r="WG48" s="49"/>
      <c r="WH48" s="49"/>
      <c r="WI48" s="49"/>
      <c r="WJ48" s="49"/>
      <c r="WK48" s="49"/>
      <c r="WL48" s="260"/>
      <c r="WM48" s="276"/>
      <c r="WN48" s="49"/>
      <c r="WO48" s="49"/>
      <c r="WP48" s="249"/>
      <c r="WQ48" s="254"/>
      <c r="WR48" s="49"/>
      <c r="WS48" s="49"/>
      <c r="WT48" s="49"/>
      <c r="WU48" s="49"/>
      <c r="WV48" s="49"/>
      <c r="WW48" s="49"/>
      <c r="WX48" s="49"/>
      <c r="WY48" s="49"/>
      <c r="WZ48" s="49"/>
      <c r="XA48" s="49"/>
      <c r="XB48" s="49"/>
      <c r="XC48" s="49"/>
      <c r="XD48" s="49"/>
      <c r="XE48" s="49"/>
      <c r="XF48" s="49"/>
      <c r="XG48" s="260"/>
      <c r="XH48" s="276"/>
      <c r="XI48" s="49"/>
      <c r="XJ48" s="49"/>
      <c r="XK48" s="249"/>
      <c r="XL48" s="254"/>
      <c r="XM48" s="49"/>
      <c r="XN48" s="49"/>
      <c r="XO48" s="49"/>
      <c r="XP48" s="49"/>
      <c r="XQ48" s="49"/>
      <c r="XR48" s="49"/>
      <c r="XS48" s="49"/>
      <c r="XT48" s="49"/>
      <c r="XU48" s="49"/>
      <c r="XV48" s="49"/>
      <c r="XW48" s="49"/>
      <c r="XX48" s="49"/>
      <c r="XY48" s="49"/>
      <c r="XZ48" s="49"/>
      <c r="YA48" s="49"/>
      <c r="YB48" s="260"/>
    </row>
    <row r="49" spans="1:652" x14ac:dyDescent="0.3">
      <c r="A49" s="224" t="s">
        <v>3</v>
      </c>
      <c r="B49" s="270"/>
      <c r="C49" s="10"/>
      <c r="D49" s="10"/>
      <c r="E49" s="234"/>
      <c r="F49" s="238"/>
      <c r="G49" s="11"/>
      <c r="H49" s="11"/>
      <c r="I49" s="11"/>
      <c r="J49" s="11"/>
      <c r="K49" s="12"/>
      <c r="L49" s="11"/>
      <c r="M49" s="11"/>
      <c r="N49" s="11"/>
      <c r="O49" s="11"/>
      <c r="P49" s="11"/>
      <c r="Q49" s="11"/>
      <c r="R49" s="11"/>
      <c r="S49" s="11"/>
      <c r="T49" s="11"/>
      <c r="U49" s="11"/>
      <c r="V49" s="259"/>
      <c r="W49" s="275"/>
      <c r="X49" s="11"/>
      <c r="Y49" s="11"/>
      <c r="Z49" s="248"/>
      <c r="AA49" s="253"/>
      <c r="AB49" s="11"/>
      <c r="AC49" s="11"/>
      <c r="AD49" s="11"/>
      <c r="AE49" s="11"/>
      <c r="AF49" s="11"/>
      <c r="AG49" s="11"/>
      <c r="AH49" s="11"/>
      <c r="AI49" s="11"/>
      <c r="AJ49" s="11"/>
      <c r="AK49" s="11"/>
      <c r="AL49" s="11"/>
      <c r="AM49" s="11"/>
      <c r="AN49" s="11"/>
      <c r="AO49" s="11"/>
      <c r="AP49" s="11"/>
      <c r="AQ49" s="259"/>
      <c r="AR49" s="270"/>
      <c r="AS49" s="10"/>
      <c r="AT49" s="10"/>
      <c r="AU49" s="234"/>
      <c r="AV49" s="238"/>
      <c r="AW49" s="11"/>
      <c r="AX49" s="11"/>
      <c r="AY49" s="11"/>
      <c r="AZ49" s="11"/>
      <c r="BA49" s="11"/>
      <c r="BB49" s="11"/>
      <c r="BC49" s="11"/>
      <c r="BD49" s="11"/>
      <c r="BE49" s="11"/>
      <c r="BF49" s="11"/>
      <c r="BG49" s="11"/>
      <c r="BH49" s="11"/>
      <c r="BI49" s="11"/>
      <c r="BJ49" s="11"/>
      <c r="BK49" s="11"/>
      <c r="BL49" s="259"/>
      <c r="BM49" s="275"/>
      <c r="BN49" s="11"/>
      <c r="BO49" s="11"/>
      <c r="BP49" s="248"/>
      <c r="BQ49" s="253"/>
      <c r="BR49" s="11"/>
      <c r="BS49" s="11"/>
      <c r="BT49" s="11"/>
      <c r="BU49" s="11"/>
      <c r="BV49" s="11"/>
      <c r="BW49" s="11"/>
      <c r="BX49" s="11"/>
      <c r="BY49" s="11"/>
      <c r="BZ49" s="11"/>
      <c r="CA49" s="11"/>
      <c r="CB49" s="11"/>
      <c r="CC49" s="11"/>
      <c r="CD49" s="11"/>
      <c r="CE49" s="11"/>
      <c r="CF49" s="11"/>
      <c r="CG49" s="259"/>
      <c r="CH49" s="275"/>
      <c r="CI49" s="11"/>
      <c r="CJ49" s="11"/>
      <c r="CK49" s="248"/>
      <c r="CL49" s="45"/>
      <c r="CM49" s="45"/>
      <c r="CN49" s="45"/>
      <c r="CO49" s="45"/>
      <c r="CP49" s="45"/>
      <c r="CQ49" s="79"/>
      <c r="CR49" s="45"/>
      <c r="CS49" s="36"/>
      <c r="CT49" s="86"/>
      <c r="CU49" s="45"/>
      <c r="CV49" s="10"/>
      <c r="CW49" s="11"/>
      <c r="CX49" s="11"/>
      <c r="CY49" s="11"/>
      <c r="CZ49" s="11"/>
      <c r="DA49" s="11"/>
      <c r="DB49" s="259"/>
      <c r="DC49" s="275"/>
      <c r="DD49" s="11"/>
      <c r="DE49" s="11"/>
      <c r="DF49" s="248"/>
      <c r="DG49" s="253"/>
      <c r="DH49" s="11"/>
      <c r="DI49" s="11"/>
      <c r="DJ49" s="11"/>
      <c r="DK49" s="11"/>
      <c r="DL49" s="11"/>
      <c r="DM49" s="11"/>
      <c r="DN49" s="11"/>
      <c r="DO49" s="11"/>
      <c r="DP49" s="11"/>
      <c r="DQ49" s="11"/>
      <c r="DR49" s="11"/>
      <c r="DS49" s="11"/>
      <c r="DT49" s="11"/>
      <c r="DU49" s="11"/>
      <c r="DV49" s="11"/>
      <c r="DW49" s="259"/>
      <c r="DX49" s="275"/>
      <c r="DY49" s="11"/>
      <c r="DZ49" s="11"/>
      <c r="EA49" s="248"/>
      <c r="EB49" s="45"/>
      <c r="EC49" s="45"/>
      <c r="ED49" s="45"/>
      <c r="EE49" s="45"/>
      <c r="EF49" s="45"/>
      <c r="EG49" s="79"/>
      <c r="EH49" s="45"/>
      <c r="EI49" s="36"/>
      <c r="EJ49" s="86"/>
      <c r="EK49" s="45"/>
      <c r="EL49" s="10"/>
      <c r="EM49" s="11"/>
      <c r="EN49" s="11"/>
      <c r="EO49" s="11"/>
      <c r="EP49" s="11"/>
      <c r="EQ49" s="11"/>
      <c r="ER49" s="259"/>
      <c r="ES49" s="275"/>
      <c r="ET49" s="11"/>
      <c r="EU49" s="11"/>
      <c r="EV49" s="248"/>
      <c r="EW49" s="253"/>
      <c r="EX49" s="11"/>
      <c r="EY49" s="11"/>
      <c r="EZ49" s="11"/>
      <c r="FA49" s="11"/>
      <c r="FB49" s="11"/>
      <c r="FC49" s="11"/>
      <c r="FD49" s="11"/>
      <c r="FE49" s="11"/>
      <c r="FF49" s="11"/>
      <c r="FG49" s="11"/>
      <c r="FH49" s="11"/>
      <c r="FI49" s="11"/>
      <c r="FJ49" s="11"/>
      <c r="FK49" s="11"/>
      <c r="FL49" s="11"/>
      <c r="FM49" s="259"/>
      <c r="FN49" s="275"/>
      <c r="FO49" s="11"/>
      <c r="FP49" s="11"/>
      <c r="FQ49" s="248"/>
      <c r="FR49" s="45"/>
      <c r="FS49" s="45"/>
      <c r="FT49" s="45"/>
      <c r="FU49" s="45"/>
      <c r="FV49" s="45"/>
      <c r="FW49" s="79"/>
      <c r="FX49" s="45"/>
      <c r="FY49" s="36"/>
      <c r="FZ49" s="86"/>
      <c r="GA49" s="45"/>
      <c r="GB49" s="10"/>
      <c r="GC49" s="11"/>
      <c r="GD49" s="11"/>
      <c r="GE49" s="11"/>
      <c r="GF49" s="11"/>
      <c r="GG49" s="11"/>
      <c r="GH49" s="259"/>
      <c r="GI49" s="275"/>
      <c r="GJ49" s="11"/>
      <c r="GK49" s="11"/>
      <c r="GL49" s="248"/>
      <c r="GM49" s="253"/>
      <c r="GN49" s="11"/>
      <c r="GO49" s="11"/>
      <c r="GP49" s="11"/>
      <c r="GQ49" s="11"/>
      <c r="GR49" s="11"/>
      <c r="GS49" s="11"/>
      <c r="GT49" s="11"/>
      <c r="GU49" s="11"/>
      <c r="GV49" s="11"/>
      <c r="GW49" s="11"/>
      <c r="GX49" s="11"/>
      <c r="GY49" s="11"/>
      <c r="GZ49" s="11"/>
      <c r="HA49" s="11"/>
      <c r="HB49" s="11"/>
      <c r="HC49" s="259"/>
      <c r="HD49" s="275"/>
      <c r="HE49" s="11"/>
      <c r="HF49" s="11"/>
      <c r="HG49" s="248"/>
      <c r="HH49" s="253"/>
      <c r="HI49" s="11"/>
      <c r="HJ49" s="11"/>
      <c r="HK49" s="11"/>
      <c r="HL49" s="11"/>
      <c r="HM49" s="11"/>
      <c r="HN49" s="11"/>
      <c r="HO49" s="11"/>
      <c r="HP49" s="11"/>
      <c r="HQ49" s="11"/>
      <c r="HR49" s="11"/>
      <c r="HS49" s="11"/>
      <c r="HT49" s="11"/>
      <c r="HU49" s="11"/>
      <c r="HV49" s="11"/>
      <c r="HW49" s="11"/>
      <c r="HX49" s="259"/>
      <c r="HY49" s="275"/>
      <c r="HZ49" s="11"/>
      <c r="IA49" s="11"/>
      <c r="IB49" s="248"/>
      <c r="IC49" s="253"/>
      <c r="ID49" s="11"/>
      <c r="IE49" s="11"/>
      <c r="IF49" s="11"/>
      <c r="IG49" s="11"/>
      <c r="IH49" s="11"/>
      <c r="II49" s="11"/>
      <c r="IJ49" s="11"/>
      <c r="IK49" s="11"/>
      <c r="IL49" s="11"/>
      <c r="IM49" s="11"/>
      <c r="IN49" s="11"/>
      <c r="IO49" s="11"/>
      <c r="IP49" s="11"/>
      <c r="IQ49" s="11"/>
      <c r="IR49" s="11"/>
      <c r="IS49" s="259"/>
      <c r="IT49" s="275"/>
      <c r="IU49" s="11"/>
      <c r="IV49" s="11"/>
      <c r="IW49" s="248"/>
      <c r="IX49" s="253"/>
      <c r="IY49" s="11"/>
      <c r="IZ49" s="11"/>
      <c r="JA49" s="11"/>
      <c r="JB49" s="11"/>
      <c r="JC49" s="11"/>
      <c r="JD49" s="11"/>
      <c r="JE49" s="11"/>
      <c r="JF49" s="11"/>
      <c r="JG49" s="11"/>
      <c r="JH49" s="11"/>
      <c r="JI49" s="11"/>
      <c r="JJ49" s="11"/>
      <c r="JK49" s="11"/>
      <c r="JL49" s="11"/>
      <c r="JM49" s="11"/>
      <c r="JN49" s="259"/>
      <c r="JO49" s="275"/>
      <c r="JP49" s="11"/>
      <c r="JQ49" s="11"/>
      <c r="JR49" s="248"/>
      <c r="JS49" s="253"/>
      <c r="JT49" s="11"/>
      <c r="JU49" s="11"/>
      <c r="JV49" s="11"/>
      <c r="JW49" s="11"/>
      <c r="JX49" s="11"/>
      <c r="JY49" s="11"/>
      <c r="JZ49" s="11"/>
      <c r="KA49" s="11"/>
      <c r="KB49" s="11"/>
      <c r="KC49" s="11"/>
      <c r="KD49" s="11"/>
      <c r="KE49" s="11"/>
      <c r="KF49" s="11"/>
      <c r="KG49" s="11"/>
      <c r="KH49" s="11"/>
      <c r="KI49" s="259"/>
      <c r="KJ49" s="275"/>
      <c r="KK49" s="11"/>
      <c r="KL49" s="11"/>
      <c r="KM49" s="248"/>
      <c r="KN49" s="253"/>
      <c r="KO49" s="11"/>
      <c r="KP49" s="11"/>
      <c r="KQ49" s="11"/>
      <c r="KR49" s="11"/>
      <c r="KS49" s="11"/>
      <c r="KT49" s="11"/>
      <c r="KU49" s="11"/>
      <c r="KV49" s="11"/>
      <c r="KW49" s="11"/>
      <c r="KX49" s="11"/>
      <c r="KY49" s="11"/>
      <c r="KZ49" s="11"/>
      <c r="LA49" s="11"/>
      <c r="LB49" s="11"/>
      <c r="LC49" s="11"/>
      <c r="LD49" s="259"/>
      <c r="LE49" s="275"/>
      <c r="LF49" s="11"/>
      <c r="LG49" s="11"/>
      <c r="LH49" s="248"/>
      <c r="LI49" s="253"/>
      <c r="LJ49" s="11"/>
      <c r="LK49" s="11"/>
      <c r="LL49" s="11"/>
      <c r="LM49" s="11"/>
      <c r="LN49" s="11"/>
      <c r="LO49" s="11"/>
      <c r="LP49" s="11"/>
      <c r="LQ49" s="11"/>
      <c r="LR49" s="11"/>
      <c r="LS49" s="11"/>
      <c r="LT49" s="11"/>
      <c r="LU49" s="11"/>
      <c r="LV49" s="11"/>
      <c r="LW49" s="11"/>
      <c r="LX49" s="11"/>
      <c r="LY49" s="259"/>
      <c r="LZ49" s="275"/>
      <c r="MA49" s="11"/>
      <c r="MB49" s="11"/>
      <c r="MC49" s="248"/>
      <c r="MD49" s="253"/>
      <c r="ME49" s="11"/>
      <c r="MF49" s="11"/>
      <c r="MG49" s="11"/>
      <c r="MH49" s="11"/>
      <c r="MI49" s="11"/>
      <c r="MJ49" s="11"/>
      <c r="MK49" s="11"/>
      <c r="ML49" s="11"/>
      <c r="MM49" s="11"/>
      <c r="MN49" s="11"/>
      <c r="MO49" s="11"/>
      <c r="MP49" s="11"/>
      <c r="MQ49" s="11"/>
      <c r="MR49" s="11"/>
      <c r="MS49" s="11"/>
      <c r="MT49" s="259"/>
      <c r="MU49" s="275"/>
      <c r="MV49" s="11"/>
      <c r="MW49" s="11"/>
      <c r="MX49" s="248"/>
      <c r="MY49" s="253"/>
      <c r="MZ49" s="11"/>
      <c r="NA49" s="11"/>
      <c r="NB49" s="11"/>
      <c r="NC49" s="11"/>
      <c r="ND49" s="11"/>
      <c r="NE49" s="11"/>
      <c r="NF49" s="11"/>
      <c r="NG49" s="11"/>
      <c r="NH49" s="11"/>
      <c r="NI49" s="11"/>
      <c r="NJ49" s="11"/>
      <c r="NK49" s="11"/>
      <c r="NL49" s="11"/>
      <c r="NM49" s="11"/>
      <c r="NN49" s="11"/>
      <c r="NO49" s="259"/>
      <c r="NP49" s="275"/>
      <c r="NQ49" s="11"/>
      <c r="NR49" s="11"/>
      <c r="NS49" s="248"/>
      <c r="NT49" s="253"/>
      <c r="NU49" s="11"/>
      <c r="NV49" s="11"/>
      <c r="NW49" s="11"/>
      <c r="NX49" s="11"/>
      <c r="NY49" s="11"/>
      <c r="NZ49" s="11"/>
      <c r="OA49" s="11"/>
      <c r="OB49" s="11"/>
      <c r="OC49" s="11"/>
      <c r="OD49" s="11"/>
      <c r="OE49" s="11"/>
      <c r="OF49" s="11"/>
      <c r="OG49" s="11"/>
      <c r="OH49" s="11"/>
      <c r="OI49" s="11"/>
      <c r="OJ49" s="259"/>
      <c r="OK49" s="275"/>
      <c r="OL49" s="11"/>
      <c r="OM49" s="11"/>
      <c r="ON49" s="248"/>
      <c r="OO49" s="253"/>
      <c r="OP49" s="11"/>
      <c r="OQ49" s="11"/>
      <c r="OR49" s="11"/>
      <c r="OS49" s="11"/>
      <c r="OT49" s="11"/>
      <c r="OU49" s="11"/>
      <c r="OV49" s="11"/>
      <c r="OW49" s="11"/>
      <c r="OX49" s="11"/>
      <c r="OY49" s="11"/>
      <c r="OZ49" s="11"/>
      <c r="PA49" s="11"/>
      <c r="PB49" s="11"/>
      <c r="PC49" s="11"/>
      <c r="PD49" s="11"/>
      <c r="PE49" s="259"/>
      <c r="PF49" s="275"/>
      <c r="PG49" s="11"/>
      <c r="PH49" s="11"/>
      <c r="PI49" s="248"/>
      <c r="PJ49" s="253"/>
      <c r="PK49" s="11"/>
      <c r="PL49" s="11"/>
      <c r="PM49" s="11"/>
      <c r="PN49" s="11"/>
      <c r="PO49" s="11"/>
      <c r="PP49" s="11"/>
      <c r="PQ49" s="11"/>
      <c r="PR49" s="11"/>
      <c r="PS49" s="11"/>
      <c r="PT49" s="11"/>
      <c r="PU49" s="11"/>
      <c r="PV49" s="11"/>
      <c r="PW49" s="11"/>
      <c r="PX49" s="11"/>
      <c r="PY49" s="11"/>
      <c r="PZ49" s="259"/>
      <c r="QA49" s="275"/>
      <c r="QB49" s="11"/>
      <c r="QC49" s="11"/>
      <c r="QD49" s="248"/>
      <c r="QE49" s="253"/>
      <c r="QF49" s="11"/>
      <c r="QG49" s="11"/>
      <c r="QH49" s="11"/>
      <c r="QI49" s="11"/>
      <c r="QJ49" s="11"/>
      <c r="QK49" s="11"/>
      <c r="QL49" s="11"/>
      <c r="QM49" s="11"/>
      <c r="QN49" s="11"/>
      <c r="QO49" s="11"/>
      <c r="QP49" s="11"/>
      <c r="QQ49" s="11"/>
      <c r="QR49" s="11"/>
      <c r="QS49" s="11"/>
      <c r="QT49" s="11"/>
      <c r="QU49" s="259"/>
      <c r="QV49" s="275"/>
      <c r="QW49" s="11"/>
      <c r="QX49" s="11"/>
      <c r="QY49" s="248"/>
      <c r="QZ49" s="253"/>
      <c r="RA49" s="11"/>
      <c r="RB49" s="11"/>
      <c r="RC49" s="11"/>
      <c r="RD49" s="11"/>
      <c r="RE49" s="11"/>
      <c r="RF49" s="11"/>
      <c r="RG49" s="11"/>
      <c r="RH49" s="11"/>
      <c r="RI49" s="11"/>
      <c r="RJ49" s="11"/>
      <c r="RK49" s="11"/>
      <c r="RL49" s="11"/>
      <c r="RM49" s="11"/>
      <c r="RN49" s="11"/>
      <c r="RO49" s="11"/>
      <c r="RP49" s="259"/>
      <c r="RQ49" s="275"/>
      <c r="RR49" s="11"/>
      <c r="RS49" s="11"/>
      <c r="RT49" s="248"/>
      <c r="RU49" s="253"/>
      <c r="RV49" s="11"/>
      <c r="RW49" s="11"/>
      <c r="RX49" s="11"/>
      <c r="RY49" s="11"/>
      <c r="RZ49" s="11"/>
      <c r="SA49" s="11"/>
      <c r="SB49" s="11"/>
      <c r="SC49" s="11"/>
      <c r="SD49" s="11"/>
      <c r="SE49" s="11"/>
      <c r="SF49" s="11"/>
      <c r="SG49" s="11"/>
      <c r="SH49" s="11"/>
      <c r="SI49" s="11"/>
      <c r="SJ49" s="11"/>
      <c r="SK49" s="259"/>
      <c r="SL49" s="275"/>
      <c r="SM49" s="11"/>
      <c r="SN49" s="11"/>
      <c r="SO49" s="248"/>
      <c r="SP49" s="253"/>
      <c r="SQ49" s="11"/>
      <c r="SR49" s="11"/>
      <c r="SS49" s="11"/>
      <c r="ST49" s="11"/>
      <c r="SU49" s="11"/>
      <c r="SV49" s="11"/>
      <c r="SW49" s="11"/>
      <c r="SX49" s="11"/>
      <c r="SY49" s="11"/>
      <c r="SZ49" s="11"/>
      <c r="TA49" s="11"/>
      <c r="TB49" s="11"/>
      <c r="TC49" s="11"/>
      <c r="TD49" s="11"/>
      <c r="TE49" s="11"/>
      <c r="TF49" s="259"/>
      <c r="TG49" s="275"/>
      <c r="TH49" s="11"/>
      <c r="TI49" s="11"/>
      <c r="TJ49" s="248"/>
      <c r="TK49" s="253"/>
      <c r="TL49" s="11"/>
      <c r="TM49" s="11"/>
      <c r="TN49" s="11"/>
      <c r="TO49" s="11"/>
      <c r="TP49" s="11"/>
      <c r="TQ49" s="11"/>
      <c r="TR49" s="11"/>
      <c r="TS49" s="11"/>
      <c r="TT49" s="11"/>
      <c r="TU49" s="11"/>
      <c r="TV49" s="11"/>
      <c r="TW49" s="11"/>
      <c r="TX49" s="11"/>
      <c r="TY49" s="11"/>
      <c r="TZ49" s="11"/>
      <c r="UA49" s="259"/>
      <c r="UB49" s="275"/>
      <c r="UC49" s="11"/>
      <c r="UD49" s="11"/>
      <c r="UE49" s="248"/>
      <c r="UF49" s="253"/>
      <c r="UG49" s="11"/>
      <c r="UH49" s="11"/>
      <c r="UI49" s="11"/>
      <c r="UJ49" s="11"/>
      <c r="UK49" s="11"/>
      <c r="UL49" s="11"/>
      <c r="UM49" s="11"/>
      <c r="UN49" s="11"/>
      <c r="UO49" s="11"/>
      <c r="UP49" s="11"/>
      <c r="UQ49" s="11"/>
      <c r="UR49" s="11"/>
      <c r="US49" s="11"/>
      <c r="UT49" s="11"/>
      <c r="UU49" s="11"/>
      <c r="UV49" s="259"/>
      <c r="UW49" s="275"/>
      <c r="UX49" s="11"/>
      <c r="UY49" s="11"/>
      <c r="UZ49" s="248"/>
      <c r="VA49" s="253"/>
      <c r="VB49" s="11"/>
      <c r="VC49" s="11"/>
      <c r="VD49" s="11"/>
      <c r="VE49" s="11"/>
      <c r="VF49" s="11"/>
      <c r="VG49" s="11"/>
      <c r="VH49" s="11"/>
      <c r="VI49" s="11"/>
      <c r="VJ49" s="11"/>
      <c r="VK49" s="11"/>
      <c r="VL49" s="11"/>
      <c r="VM49" s="11"/>
      <c r="VN49" s="11"/>
      <c r="VO49" s="11"/>
      <c r="VP49" s="11"/>
      <c r="VQ49" s="259"/>
      <c r="VR49" s="275"/>
      <c r="VS49" s="11"/>
      <c r="VT49" s="11"/>
      <c r="VU49" s="248"/>
      <c r="VV49" s="253"/>
      <c r="VW49" s="11"/>
      <c r="VX49" s="11"/>
      <c r="VY49" s="11"/>
      <c r="VZ49" s="11"/>
      <c r="WA49" s="11"/>
      <c r="WB49" s="11"/>
      <c r="WC49" s="11"/>
      <c r="WD49" s="11"/>
      <c r="WE49" s="11"/>
      <c r="WF49" s="11"/>
      <c r="WG49" s="11"/>
      <c r="WH49" s="11"/>
      <c r="WI49" s="11"/>
      <c r="WJ49" s="11"/>
      <c r="WK49" s="11"/>
      <c r="WL49" s="259"/>
      <c r="WM49" s="275"/>
      <c r="WN49" s="11"/>
      <c r="WO49" s="11"/>
      <c r="WP49" s="248"/>
      <c r="WQ49" s="253"/>
      <c r="WR49" s="11"/>
      <c r="WS49" s="11"/>
      <c r="WT49" s="11"/>
      <c r="WU49" s="11"/>
      <c r="WV49" s="11"/>
      <c r="WW49" s="11"/>
      <c r="WX49" s="11"/>
      <c r="WY49" s="11"/>
      <c r="WZ49" s="11"/>
      <c r="XA49" s="11"/>
      <c r="XB49" s="11"/>
      <c r="XC49" s="11"/>
      <c r="XD49" s="11"/>
      <c r="XE49" s="11"/>
      <c r="XF49" s="11"/>
      <c r="XG49" s="259"/>
      <c r="XH49" s="275"/>
      <c r="XI49" s="11"/>
      <c r="XJ49" s="11"/>
      <c r="XK49" s="248"/>
      <c r="XL49" s="253"/>
      <c r="XM49" s="11"/>
      <c r="XN49" s="11"/>
      <c r="XO49" s="11"/>
      <c r="XP49" s="11"/>
      <c r="XQ49" s="11"/>
      <c r="XR49" s="11"/>
      <c r="XS49" s="11"/>
      <c r="XT49" s="11"/>
      <c r="XU49" s="11"/>
      <c r="XV49" s="11"/>
      <c r="XW49" s="11"/>
      <c r="XX49" s="11"/>
      <c r="XY49" s="11"/>
      <c r="XZ49" s="11"/>
      <c r="YA49" s="11"/>
      <c r="YB49" s="259"/>
    </row>
    <row r="50" spans="1:652" s="1" customFormat="1" x14ac:dyDescent="0.3">
      <c r="A50" s="8"/>
      <c r="B50" s="8"/>
      <c r="C50" s="8"/>
      <c r="D50" s="8"/>
      <c r="E50" s="8"/>
      <c r="F50" s="2"/>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row>
    <row r="51" spans="1:652" s="1" customFormat="1" x14ac:dyDescent="0.3">
      <c r="A51" s="8"/>
      <c r="B51" s="8"/>
      <c r="C51" s="8"/>
      <c r="D51" s="8"/>
      <c r="E51" s="8"/>
      <c r="F51" s="2"/>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row>
    <row r="52" spans="1:652" s="1" customFormat="1" x14ac:dyDescent="0.3">
      <c r="A52" s="8"/>
      <c r="B52" s="8"/>
      <c r="C52" s="8"/>
      <c r="D52" s="8"/>
      <c r="E52" s="8"/>
      <c r="F52" s="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row>
    <row r="53" spans="1:652" s="1" customFormat="1" x14ac:dyDescent="0.3">
      <c r="A53" s="8"/>
      <c r="B53" s="8"/>
      <c r="C53" s="8"/>
      <c r="D53" s="8"/>
      <c r="E53" s="8"/>
      <c r="F53" s="2"/>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row>
    <row r="54" spans="1:652" s="1" customFormat="1" x14ac:dyDescent="0.3">
      <c r="A54" s="8"/>
      <c r="B54" s="8"/>
      <c r="C54" s="8"/>
      <c r="D54" s="8"/>
      <c r="E54" s="8"/>
      <c r="F54" s="2"/>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row>
    <row r="55" spans="1:652" s="1" customFormat="1" x14ac:dyDescent="0.3">
      <c r="A55" s="8"/>
      <c r="B55" s="8"/>
      <c r="C55" s="8"/>
      <c r="D55" s="8"/>
      <c r="E55" s="8"/>
      <c r="F55" s="2"/>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row>
    <row r="56" spans="1:652" s="1" customFormat="1" x14ac:dyDescent="0.3">
      <c r="A56" s="8"/>
      <c r="B56" s="8"/>
      <c r="C56" s="8"/>
      <c r="D56" s="8"/>
      <c r="E56" s="8"/>
      <c r="F56" s="2"/>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row>
    <row r="57" spans="1:652" s="1" customFormat="1" x14ac:dyDescent="0.3">
      <c r="A57" s="8"/>
      <c r="B57" s="8"/>
      <c r="C57" s="8"/>
      <c r="D57" s="8"/>
      <c r="E57" s="8"/>
      <c r="F57" s="2"/>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row>
    <row r="58" spans="1:652" s="1" customFormat="1" x14ac:dyDescent="0.3">
      <c r="A58" s="8"/>
      <c r="B58" s="8"/>
      <c r="C58" s="8"/>
      <c r="D58" s="8"/>
      <c r="E58" s="8"/>
      <c r="F58" s="2"/>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row>
    <row r="59" spans="1:652" s="1" customFormat="1" x14ac:dyDescent="0.3">
      <c r="A59" s="8"/>
      <c r="B59" s="8"/>
      <c r="C59" s="8"/>
      <c r="D59" s="8"/>
      <c r="E59" s="8"/>
      <c r="F59" s="2"/>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row>
    <row r="60" spans="1:652" s="1" customFormat="1" x14ac:dyDescent="0.3">
      <c r="A60" s="8"/>
      <c r="B60" s="8"/>
      <c r="C60" s="8"/>
      <c r="D60" s="8"/>
      <c r="E60" s="8"/>
      <c r="F60" s="2"/>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row>
    <row r="61" spans="1:652" s="1" customFormat="1" x14ac:dyDescent="0.3">
      <c r="A61" s="8"/>
      <c r="B61" s="8"/>
      <c r="C61" s="8"/>
      <c r="D61" s="8"/>
      <c r="E61" s="8"/>
      <c r="F61" s="2"/>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row>
    <row r="62" spans="1:652" s="1" customFormat="1" x14ac:dyDescent="0.3">
      <c r="A62" s="8"/>
      <c r="B62" s="8"/>
      <c r="C62" s="8"/>
      <c r="D62" s="8"/>
      <c r="E62" s="8"/>
      <c r="F62" s="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row>
    <row r="63" spans="1:652" s="1" customFormat="1" x14ac:dyDescent="0.3">
      <c r="A63" s="8"/>
      <c r="B63" s="8"/>
      <c r="C63" s="8"/>
      <c r="D63" s="8"/>
      <c r="E63" s="8"/>
      <c r="F63" s="2"/>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row>
    <row r="64" spans="1:652" s="1" customFormat="1" x14ac:dyDescent="0.3">
      <c r="A64" s="8"/>
      <c r="B64" s="8"/>
      <c r="C64" s="8"/>
      <c r="D64" s="8"/>
      <c r="E64" s="8"/>
      <c r="F64" s="2"/>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row>
    <row r="65" spans="1:429" s="1" customFormat="1" x14ac:dyDescent="0.3">
      <c r="A65" s="8"/>
      <c r="B65" s="8"/>
      <c r="C65" s="8"/>
      <c r="D65" s="8"/>
      <c r="E65" s="8"/>
      <c r="F65" s="2"/>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row>
    <row r="66" spans="1:429" s="1" customFormat="1" x14ac:dyDescent="0.3">
      <c r="A66" s="8"/>
      <c r="B66" s="8"/>
      <c r="C66" s="8"/>
      <c r="D66" s="8"/>
      <c r="E66" s="8"/>
      <c r="F66" s="2"/>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row>
    <row r="67" spans="1:429" s="1" customFormat="1" x14ac:dyDescent="0.3">
      <c r="A67" s="8"/>
      <c r="B67" s="8"/>
      <c r="C67" s="8"/>
      <c r="D67" s="8"/>
      <c r="E67" s="8"/>
      <c r="F67" s="2"/>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row>
    <row r="68" spans="1:429" s="1" customFormat="1" x14ac:dyDescent="0.3">
      <c r="A68" s="8"/>
      <c r="B68" s="8"/>
      <c r="C68" s="8"/>
      <c r="D68" s="8"/>
      <c r="E68" s="8"/>
      <c r="F68" s="2"/>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row>
    <row r="69" spans="1:429" s="1" customFormat="1" x14ac:dyDescent="0.3">
      <c r="A69" s="8"/>
      <c r="B69" s="8"/>
      <c r="C69" s="8"/>
      <c r="D69" s="8"/>
      <c r="E69" s="8"/>
      <c r="F69" s="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row>
    <row r="70" spans="1:429" s="1" customFormat="1" x14ac:dyDescent="0.3">
      <c r="A70" s="8"/>
      <c r="B70" s="8"/>
      <c r="C70" s="8"/>
      <c r="D70" s="8"/>
      <c r="E70" s="8"/>
      <c r="F70" s="2"/>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row>
    <row r="71" spans="1:429" s="1" customFormat="1" x14ac:dyDescent="0.3">
      <c r="A71"/>
      <c r="B71"/>
      <c r="C71"/>
      <c r="D71"/>
      <c r="E71"/>
      <c r="F71" s="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row>
    <row r="72" spans="1:429" s="1" customFormat="1" x14ac:dyDescent="0.3">
      <c r="A72"/>
      <c r="B72"/>
      <c r="C72"/>
      <c r="D72"/>
      <c r="E72"/>
      <c r="F72" s="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row>
    <row r="73" spans="1:429" s="1" customFormat="1" x14ac:dyDescent="0.3">
      <c r="A73"/>
      <c r="B73"/>
      <c r="C73"/>
      <c r="D73"/>
      <c r="E73"/>
      <c r="F73" s="2"/>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row>
    <row r="74" spans="1:429" s="1" customFormat="1" x14ac:dyDescent="0.3">
      <c r="A74"/>
      <c r="B74"/>
      <c r="C74"/>
      <c r="D74"/>
      <c r="E74"/>
      <c r="F74" s="2"/>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row>
    <row r="75" spans="1:429" s="1" customFormat="1" x14ac:dyDescent="0.3">
      <c r="A75"/>
      <c r="B75"/>
      <c r="C75"/>
      <c r="D75"/>
      <c r="E75"/>
      <c r="F75" s="2"/>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row>
    <row r="76" spans="1:429" s="1" customFormat="1" x14ac:dyDescent="0.3">
      <c r="A76"/>
      <c r="B76"/>
      <c r="C76"/>
      <c r="D76"/>
      <c r="E76"/>
      <c r="F76" s="2"/>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row>
    <row r="77" spans="1:429" s="1" customFormat="1" x14ac:dyDescent="0.3">
      <c r="A77"/>
      <c r="B77"/>
      <c r="C77"/>
      <c r="D77"/>
      <c r="E77"/>
      <c r="F77" s="2"/>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row>
    <row r="78" spans="1:429" s="1" customFormat="1" x14ac:dyDescent="0.3">
      <c r="A78"/>
      <c r="B78"/>
      <c r="C78"/>
      <c r="D78"/>
      <c r="E78"/>
      <c r="F78" s="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row>
    <row r="79" spans="1:429" s="1" customFormat="1" x14ac:dyDescent="0.3">
      <c r="A79"/>
      <c r="B79"/>
      <c r="C79"/>
      <c r="D79"/>
      <c r="E79"/>
      <c r="F79" s="2"/>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row>
    <row r="80" spans="1:429" s="1" customFormat="1" x14ac:dyDescent="0.3">
      <c r="A80"/>
      <c r="B80"/>
      <c r="C80"/>
      <c r="D80"/>
      <c r="E80"/>
      <c r="F80" s="2"/>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row>
    <row r="81" spans="1:429" s="1" customFormat="1" x14ac:dyDescent="0.3">
      <c r="A81"/>
      <c r="B81"/>
      <c r="C81"/>
      <c r="D81"/>
      <c r="E81"/>
      <c r="F81" s="2"/>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row>
    <row r="82" spans="1:429" s="1" customFormat="1" x14ac:dyDescent="0.3">
      <c r="A82"/>
      <c r="B82"/>
      <c r="C82"/>
      <c r="D82"/>
      <c r="E82"/>
      <c r="F82" s="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row>
    <row r="83" spans="1:429" s="1" customFormat="1" x14ac:dyDescent="0.3">
      <c r="A83"/>
      <c r="B83"/>
      <c r="C83"/>
      <c r="D83"/>
      <c r="E83"/>
      <c r="F83" s="2"/>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row>
    <row r="84" spans="1:429" s="1" customFormat="1" x14ac:dyDescent="0.3">
      <c r="A84"/>
      <c r="B84"/>
      <c r="C84"/>
      <c r="D84"/>
      <c r="E84"/>
      <c r="F84" s="2"/>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row>
    <row r="85" spans="1:429" s="1" customFormat="1" x14ac:dyDescent="0.3">
      <c r="A85"/>
      <c r="B85"/>
      <c r="C85"/>
      <c r="D85"/>
      <c r="E85"/>
      <c r="F85" s="2"/>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row>
    <row r="86" spans="1:429" s="1" customFormat="1" x14ac:dyDescent="0.3">
      <c r="A86"/>
      <c r="B86"/>
      <c r="C86"/>
      <c r="D86"/>
      <c r="E86"/>
      <c r="F86" s="2"/>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row>
    <row r="87" spans="1:429" s="1" customFormat="1" x14ac:dyDescent="0.3">
      <c r="A87"/>
      <c r="B87"/>
      <c r="C87"/>
      <c r="D87"/>
      <c r="E87"/>
      <c r="F87" s="2"/>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row>
    <row r="88" spans="1:429" s="1" customFormat="1" x14ac:dyDescent="0.3">
      <c r="A88"/>
      <c r="B88"/>
      <c r="C88"/>
      <c r="D88"/>
      <c r="E88"/>
      <c r="F88" s="2"/>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row>
    <row r="89" spans="1:429" s="1" customFormat="1" x14ac:dyDescent="0.3">
      <c r="A89"/>
      <c r="B89"/>
      <c r="C89"/>
      <c r="D89"/>
      <c r="E89"/>
      <c r="F89" s="2"/>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row>
    <row r="90" spans="1:429" s="1" customFormat="1" x14ac:dyDescent="0.3">
      <c r="A90"/>
      <c r="B90"/>
      <c r="C90"/>
      <c r="D90"/>
      <c r="E90"/>
      <c r="F90" s="2"/>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row>
    <row r="91" spans="1:429" s="1" customFormat="1" x14ac:dyDescent="0.3">
      <c r="A91"/>
      <c r="B91"/>
      <c r="C91"/>
      <c r="D91"/>
      <c r="E91"/>
      <c r="F91" s="2"/>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row>
    <row r="92" spans="1:429" s="1" customFormat="1" x14ac:dyDescent="0.3">
      <c r="A92"/>
      <c r="B92"/>
      <c r="C92"/>
      <c r="D92"/>
      <c r="E92"/>
      <c r="F92" s="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row>
    <row r="93" spans="1:429" s="1" customFormat="1" x14ac:dyDescent="0.3">
      <c r="A93"/>
      <c r="B93"/>
      <c r="C93"/>
      <c r="D93"/>
      <c r="E93"/>
      <c r="F93" s="2"/>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row>
    <row r="94" spans="1:429" s="1" customFormat="1" x14ac:dyDescent="0.3">
      <c r="A94"/>
      <c r="B94"/>
      <c r="C94"/>
      <c r="D94"/>
      <c r="E94"/>
      <c r="F94" s="2"/>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row>
    <row r="95" spans="1:429" s="1" customFormat="1" x14ac:dyDescent="0.3">
      <c r="A95"/>
      <c r="B95"/>
      <c r="C95"/>
      <c r="D95"/>
      <c r="E95"/>
      <c r="F95" s="2"/>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row>
    <row r="96" spans="1:429" s="1" customFormat="1" x14ac:dyDescent="0.3">
      <c r="A96"/>
      <c r="B96"/>
      <c r="C96"/>
      <c r="D96"/>
      <c r="E96"/>
      <c r="F96" s="2"/>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row>
    <row r="97" spans="1:429" s="1" customFormat="1" x14ac:dyDescent="0.3">
      <c r="A97"/>
      <c r="B97"/>
      <c r="C97"/>
      <c r="D97"/>
      <c r="E97"/>
      <c r="F97" s="2"/>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row>
    <row r="98" spans="1:429" s="1" customFormat="1" x14ac:dyDescent="0.3">
      <c r="A98"/>
      <c r="B98"/>
      <c r="C98"/>
      <c r="D98"/>
      <c r="E98"/>
      <c r="F98" s="2"/>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row>
    <row r="99" spans="1:429" s="1" customFormat="1" x14ac:dyDescent="0.3">
      <c r="A99"/>
      <c r="B99"/>
      <c r="C99"/>
      <c r="D99"/>
      <c r="E99"/>
      <c r="F99" s="2"/>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row>
    <row r="100" spans="1:429" s="1" customFormat="1" x14ac:dyDescent="0.3">
      <c r="A100"/>
      <c r="B100"/>
      <c r="C100"/>
      <c r="D100"/>
      <c r="E100"/>
      <c r="F100" s="2"/>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row>
    <row r="101" spans="1:429" s="1" customFormat="1" x14ac:dyDescent="0.3">
      <c r="A101"/>
      <c r="B101"/>
      <c r="C101"/>
      <c r="D101"/>
      <c r="E101"/>
      <c r="F101" s="2"/>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row>
    <row r="102" spans="1:429" s="1" customFormat="1" x14ac:dyDescent="0.3">
      <c r="A102"/>
      <c r="B102"/>
      <c r="C102"/>
      <c r="D102"/>
      <c r="E102"/>
      <c r="F102" s="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row>
    <row r="103" spans="1:429" s="1" customFormat="1" x14ac:dyDescent="0.3">
      <c r="A103"/>
      <c r="B103"/>
      <c r="C103"/>
      <c r="D103"/>
      <c r="E103"/>
      <c r="F103" s="2"/>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row>
    <row r="104" spans="1:429" s="1" customFormat="1" x14ac:dyDescent="0.3">
      <c r="A104"/>
      <c r="B104"/>
      <c r="C104"/>
      <c r="D104"/>
      <c r="E104"/>
      <c r="F104" s="2"/>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row>
    <row r="105" spans="1:429" s="1" customFormat="1" x14ac:dyDescent="0.3">
      <c r="A105"/>
      <c r="B105"/>
      <c r="C105"/>
      <c r="D105"/>
      <c r="E105"/>
      <c r="F105" s="2"/>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row>
    <row r="106" spans="1:429" s="1" customFormat="1" x14ac:dyDescent="0.3">
      <c r="A106"/>
      <c r="B106"/>
      <c r="C106"/>
      <c r="D106"/>
      <c r="E106"/>
      <c r="F106" s="2"/>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row>
    <row r="107" spans="1:429" s="1" customFormat="1" x14ac:dyDescent="0.3">
      <c r="A107"/>
      <c r="B107"/>
      <c r="C107"/>
      <c r="D107"/>
      <c r="E107"/>
      <c r="F107" s="2"/>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row>
    <row r="108" spans="1:429" s="1" customFormat="1" x14ac:dyDescent="0.3">
      <c r="A108"/>
      <c r="B108"/>
      <c r="C108"/>
      <c r="D108"/>
      <c r="E108"/>
      <c r="F108" s="2"/>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row>
    <row r="109" spans="1:429" s="1" customFormat="1" x14ac:dyDescent="0.3">
      <c r="A109"/>
      <c r="B109"/>
      <c r="C109"/>
      <c r="D109"/>
      <c r="E109"/>
      <c r="F109" s="2"/>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row>
    <row r="110" spans="1:429" s="1" customFormat="1" x14ac:dyDescent="0.3">
      <c r="A110"/>
      <c r="B110"/>
      <c r="C110"/>
      <c r="D110"/>
      <c r="E110"/>
      <c r="F110" s="2"/>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row>
    <row r="111" spans="1:429" s="1" customFormat="1" x14ac:dyDescent="0.3">
      <c r="A111"/>
      <c r="B111"/>
      <c r="C111"/>
      <c r="D111"/>
      <c r="E111"/>
      <c r="F111" s="2"/>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row>
    <row r="112" spans="1:429" s="1" customFormat="1" x14ac:dyDescent="0.3">
      <c r="A112"/>
      <c r="B112"/>
      <c r="C112"/>
      <c r="D112"/>
      <c r="E112"/>
      <c r="F112" s="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row>
    <row r="113" spans="1:429" s="1" customFormat="1" x14ac:dyDescent="0.3">
      <c r="A113"/>
      <c r="B113"/>
      <c r="C113"/>
      <c r="D113"/>
      <c r="E113"/>
      <c r="F113" s="2"/>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row>
    <row r="114" spans="1:429" s="1" customFormat="1" x14ac:dyDescent="0.3">
      <c r="A114"/>
      <c r="B114"/>
      <c r="C114"/>
      <c r="D114"/>
      <c r="E114"/>
      <c r="F114" s="2"/>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row>
    <row r="115" spans="1:429" s="1" customFormat="1" x14ac:dyDescent="0.3">
      <c r="A115"/>
      <c r="B115"/>
      <c r="C115"/>
      <c r="D115"/>
      <c r="E115"/>
      <c r="F115" s="2"/>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row>
    <row r="116" spans="1:429" s="1" customFormat="1" x14ac:dyDescent="0.3">
      <c r="A116"/>
      <c r="B116"/>
      <c r="C116"/>
      <c r="D116"/>
      <c r="E116"/>
      <c r="F116" s="2"/>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row>
    <row r="117" spans="1:429" s="1" customFormat="1" x14ac:dyDescent="0.3">
      <c r="A117"/>
      <c r="B117"/>
      <c r="C117"/>
      <c r="D117"/>
      <c r="E117"/>
      <c r="F117" s="2"/>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row>
    <row r="118" spans="1:429" s="1" customFormat="1" x14ac:dyDescent="0.3">
      <c r="A118"/>
      <c r="B118"/>
      <c r="C118"/>
      <c r="D118"/>
      <c r="E118"/>
      <c r="F118" s="2"/>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row>
    <row r="119" spans="1:429" s="1" customFormat="1" x14ac:dyDescent="0.3">
      <c r="A119"/>
      <c r="B119"/>
      <c r="C119"/>
      <c r="D119"/>
      <c r="E119"/>
      <c r="F119" s="2"/>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row>
    <row r="120" spans="1:429" s="1" customFormat="1" x14ac:dyDescent="0.3">
      <c r="A120"/>
      <c r="B120"/>
      <c r="C120"/>
      <c r="D120"/>
      <c r="E120"/>
      <c r="F120" s="2"/>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row>
    <row r="121" spans="1:429" s="1" customFormat="1" x14ac:dyDescent="0.3">
      <c r="A121"/>
      <c r="B121"/>
      <c r="C121"/>
      <c r="D121"/>
      <c r="E121"/>
      <c r="F121" s="2"/>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row>
    <row r="122" spans="1:429" s="1" customFormat="1" x14ac:dyDescent="0.3">
      <c r="A122"/>
      <c r="B122"/>
      <c r="C122"/>
      <c r="D122"/>
      <c r="E122"/>
      <c r="F122" s="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row>
    <row r="123" spans="1:429" s="1" customFormat="1" x14ac:dyDescent="0.3">
      <c r="A123"/>
      <c r="B123"/>
      <c r="C123"/>
      <c r="D123"/>
      <c r="E123"/>
      <c r="F123" s="2"/>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row>
    <row r="124" spans="1:429" s="1" customFormat="1" x14ac:dyDescent="0.3">
      <c r="A124"/>
      <c r="B124"/>
      <c r="C124"/>
      <c r="D124"/>
      <c r="E124"/>
      <c r="F124" s="2"/>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row>
    <row r="125" spans="1:429" s="1" customFormat="1" x14ac:dyDescent="0.3">
      <c r="A125"/>
      <c r="B125"/>
      <c r="C125"/>
      <c r="D125"/>
      <c r="E125"/>
      <c r="F125" s="2"/>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row>
    <row r="126" spans="1:429" s="1" customFormat="1" x14ac:dyDescent="0.3">
      <c r="A126"/>
      <c r="B126"/>
      <c r="C126"/>
      <c r="D126"/>
      <c r="E126"/>
      <c r="F126" s="2"/>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row>
    <row r="127" spans="1:429" s="1" customFormat="1" x14ac:dyDescent="0.3">
      <c r="A127"/>
      <c r="B127"/>
      <c r="C127"/>
      <c r="D127"/>
      <c r="E127"/>
      <c r="F127" s="2"/>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row>
    <row r="128" spans="1:429" s="1" customFormat="1" x14ac:dyDescent="0.3">
      <c r="A128"/>
      <c r="B128"/>
      <c r="C128"/>
      <c r="D128"/>
      <c r="E128"/>
      <c r="F128" s="2"/>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row>
    <row r="129" spans="1:429" s="1" customFormat="1" x14ac:dyDescent="0.3">
      <c r="A129"/>
      <c r="B129"/>
      <c r="C129"/>
      <c r="D129"/>
      <c r="E129"/>
      <c r="F129" s="2"/>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row>
    <row r="130" spans="1:429" s="1" customFormat="1" x14ac:dyDescent="0.3">
      <c r="A130"/>
      <c r="B130"/>
      <c r="C130"/>
      <c r="D130"/>
      <c r="E130"/>
      <c r="F130" s="2"/>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row>
    <row r="131" spans="1:429" s="1" customFormat="1" x14ac:dyDescent="0.3">
      <c r="A131"/>
      <c r="B131"/>
      <c r="C131"/>
      <c r="D131"/>
      <c r="E131"/>
      <c r="F131" s="2"/>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row>
    <row r="132" spans="1:429" s="1" customFormat="1" x14ac:dyDescent="0.3">
      <c r="A132"/>
      <c r="B132"/>
      <c r="C132"/>
      <c r="D132"/>
      <c r="E132"/>
      <c r="F132" s="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row>
    <row r="133" spans="1:429" s="1" customFormat="1" x14ac:dyDescent="0.3">
      <c r="A133"/>
      <c r="B133"/>
      <c r="C133"/>
      <c r="D133"/>
      <c r="E133"/>
      <c r="F133" s="2"/>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row>
    <row r="134" spans="1:429" s="1" customFormat="1" x14ac:dyDescent="0.3">
      <c r="A134"/>
      <c r="B134"/>
      <c r="C134"/>
      <c r="D134"/>
      <c r="E134"/>
      <c r="F134" s="2"/>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row>
    <row r="135" spans="1:429" s="1" customFormat="1" x14ac:dyDescent="0.3">
      <c r="A135"/>
      <c r="B135"/>
      <c r="C135"/>
      <c r="D135"/>
      <c r="E135"/>
      <c r="F135" s="2"/>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row>
    <row r="136" spans="1:429" s="1" customFormat="1" x14ac:dyDescent="0.3">
      <c r="A136"/>
      <c r="B136"/>
      <c r="C136"/>
      <c r="D136"/>
      <c r="E136"/>
      <c r="F136" s="2"/>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row>
  </sheetData>
  <sheetProtection algorithmName="SHA-512" hashValue="H0sKdmXhF/IU0UCCYMz4Oo6XS4DQtqjHarlsBS91G1ox5mTqV5GU4LSy6l5pZc6KhxxpOkBocEmG08PSook4RQ==" saltValue="Y3sSD8QX6KPOpPL6BXfbsQ==" spinCount="100000" sheet="1" objects="1" scenarios="1"/>
  <mergeCells count="15">
    <mergeCell ref="QA3:QD3"/>
    <mergeCell ref="RQ3:RT3"/>
    <mergeCell ref="TG3:TJ3"/>
    <mergeCell ref="UW3:UZ3"/>
    <mergeCell ref="WM3:WP3"/>
    <mergeCell ref="HY3:IB3"/>
    <mergeCell ref="JO3:JR3"/>
    <mergeCell ref="LE3:LH3"/>
    <mergeCell ref="MU3:MX3"/>
    <mergeCell ref="OK3:ON3"/>
    <mergeCell ref="ES3:EV3"/>
    <mergeCell ref="GI3:GL3"/>
    <mergeCell ref="W3:Z3"/>
    <mergeCell ref="BM3:BP3"/>
    <mergeCell ref="DC3:DF3"/>
  </mergeCells>
  <phoneticPr fontId="2" type="noConversion"/>
  <conditionalFormatting sqref="BA27:BA49 BV27:BV49 CQ26:CQ49 EG27:EG49 DL27:DL49 FW26:FW49 FB26:FB49 GR26:GR49 HM26:HM49 IH26:IH49 JC26:JC49 JX26:JX49 KS26:KS49 LN26:LN49 MI26:MI49 ND24:ND49 NY26:NY49 OT26:OT49 PO26:PO49 QJ24:QJ49 RE24:RE49 RZ24:RZ49 SU24:SU49 TP24:TP49 UK24:UK49 VF24:VF49 WA24:WA49 WV24:WV49 XQ24:XQ49 K5:K49 AF29:AF49">
    <cfRule type="containsText" dxfId="224" priority="288" operator="containsText" text="Co-60">
      <formula>NOT(ISERROR(SEARCH("Co-60",K5)))</formula>
    </cfRule>
  </conditionalFormatting>
  <conditionalFormatting sqref="BA5:BA20 BA24 BA22">
    <cfRule type="containsText" dxfId="223" priority="287" operator="containsText" text="Co-60">
      <formula>NOT(ISERROR(SEARCH("Co-60",BA5)))</formula>
    </cfRule>
  </conditionalFormatting>
  <conditionalFormatting sqref="AF5:AF20 AF24 AF22 AF27">
    <cfRule type="containsText" dxfId="222" priority="286" operator="containsText" text="Co-60">
      <formula>NOT(ISERROR(SEARCH("Co-60",AF5)))</formula>
    </cfRule>
  </conditionalFormatting>
  <conditionalFormatting sqref="BV5:BV20 BV24 BV22">
    <cfRule type="containsText" dxfId="221" priority="285" operator="containsText" text="Co-60">
      <formula>NOT(ISERROR(SEARCH("Co-60",BV5)))</formula>
    </cfRule>
  </conditionalFormatting>
  <conditionalFormatting sqref="CQ5:CQ20 CQ24 CQ22">
    <cfRule type="containsText" dxfId="220" priority="284" operator="containsText" text="Co-60">
      <formula>NOT(ISERROR(SEARCH("Co-60",CQ5)))</formula>
    </cfRule>
  </conditionalFormatting>
  <conditionalFormatting sqref="BC26:BC49 BX29:BX49 CS26:CS49 EI26:EI49 DN26:DN49 FY26:FY49 FD26:FD49 GT26:GT49 HO26:HO49 IJ26:IJ49 JE26:JE49 JZ26:JZ49 KU26:KU49 LP26:LP49 MK26:MK49 NF26:NF49 OA26:OA49 OV26:OV49 PQ26:PQ49 QL24:QL49 RG26:RG49 SB24:SB49 SW24:SW49 TR24:TR49 UM24:UM49 VH24:VH49 WC24:WC49 WX24:WX49 XS24:XS49 M5:M49 AH29:AH49">
    <cfRule type="containsText" dxfId="219" priority="278" operator="containsText" text="GBq">
      <formula>NOT(ISERROR(SEARCH("GBq",M5)))</formula>
    </cfRule>
  </conditionalFormatting>
  <conditionalFormatting sqref="AH5:AH20 AH24 AH22 AH27">
    <cfRule type="containsText" dxfId="218" priority="277" operator="containsText" text="GBq">
      <formula>NOT(ISERROR(SEARCH("GBq",AH5)))</formula>
    </cfRule>
  </conditionalFormatting>
  <conditionalFormatting sqref="BC5:BC20 BC24 BC22">
    <cfRule type="containsText" dxfId="217" priority="276" operator="containsText" text="GBq">
      <formula>NOT(ISERROR(SEARCH("GBq",BC5)))</formula>
    </cfRule>
  </conditionalFormatting>
  <conditionalFormatting sqref="BX5:BX20 BX24 BX22 BX27">
    <cfRule type="containsText" dxfId="216" priority="275" operator="containsText" text="GBq">
      <formula>NOT(ISERROR(SEARCH("GBq",BX5)))</formula>
    </cfRule>
  </conditionalFormatting>
  <conditionalFormatting sqref="CS5:CS20 CS24 CS22">
    <cfRule type="containsText" dxfId="215" priority="274" operator="containsText" text="GBq">
      <formula>NOT(ISERROR(SEARCH("GBq",CS5)))</formula>
    </cfRule>
  </conditionalFormatting>
  <conditionalFormatting sqref="AF23">
    <cfRule type="containsText" dxfId="214" priority="268" operator="containsText" text="Co-60">
      <formula>NOT(ISERROR(SEARCH("Co-60",AF23)))</formula>
    </cfRule>
  </conditionalFormatting>
  <conditionalFormatting sqref="AH23">
    <cfRule type="containsText" dxfId="213" priority="267" operator="containsText" text="GBq">
      <formula>NOT(ISERROR(SEARCH("GBq",AH23)))</formula>
    </cfRule>
  </conditionalFormatting>
  <conditionalFormatting sqref="BA23">
    <cfRule type="containsText" dxfId="212" priority="266" operator="containsText" text="Co-60">
      <formula>NOT(ISERROR(SEARCH("Co-60",BA23)))</formula>
    </cfRule>
  </conditionalFormatting>
  <conditionalFormatting sqref="BC23">
    <cfRule type="containsText" dxfId="211" priority="265" operator="containsText" text="GBq">
      <formula>NOT(ISERROR(SEARCH("GBq",BC23)))</formula>
    </cfRule>
  </conditionalFormatting>
  <conditionalFormatting sqref="BV23">
    <cfRule type="containsText" dxfId="210" priority="264" operator="containsText" text="Co-60">
      <formula>NOT(ISERROR(SEARCH("Co-60",BV23)))</formula>
    </cfRule>
  </conditionalFormatting>
  <conditionalFormatting sqref="BX23">
    <cfRule type="containsText" dxfId="209" priority="263" operator="containsText" text="GBq">
      <formula>NOT(ISERROR(SEARCH("GBq",BX23)))</formula>
    </cfRule>
  </conditionalFormatting>
  <conditionalFormatting sqref="AF21">
    <cfRule type="containsText" dxfId="208" priority="257" operator="containsText" text="Co-60">
      <formula>NOT(ISERROR(SEARCH("Co-60",AF21)))</formula>
    </cfRule>
  </conditionalFormatting>
  <conditionalFormatting sqref="AH21">
    <cfRule type="containsText" dxfId="207" priority="256" operator="containsText" text="GBq">
      <formula>NOT(ISERROR(SEARCH("GBq",AH21)))</formula>
    </cfRule>
  </conditionalFormatting>
  <conditionalFormatting sqref="BA21">
    <cfRule type="containsText" dxfId="206" priority="255" operator="containsText" text="Co-60">
      <formula>NOT(ISERROR(SEARCH("Co-60",BA21)))</formula>
    </cfRule>
  </conditionalFormatting>
  <conditionalFormatting sqref="BC21">
    <cfRule type="containsText" dxfId="205" priority="254" operator="containsText" text="GBq">
      <formula>NOT(ISERROR(SEARCH("GBq",BC21)))</formula>
    </cfRule>
  </conditionalFormatting>
  <conditionalFormatting sqref="BV21">
    <cfRule type="containsText" dxfId="204" priority="253" operator="containsText" text="Co-60">
      <formula>NOT(ISERROR(SEARCH("Co-60",BV21)))</formula>
    </cfRule>
  </conditionalFormatting>
  <conditionalFormatting sqref="BX21">
    <cfRule type="containsText" dxfId="203" priority="252" operator="containsText" text="GBq">
      <formula>NOT(ISERROR(SEARCH("GBq",BX21)))</formula>
    </cfRule>
  </conditionalFormatting>
  <conditionalFormatting sqref="CQ21">
    <cfRule type="containsText" dxfId="202" priority="251" operator="containsText" text="Co-60">
      <formula>NOT(ISERROR(SEARCH("Co-60",CQ21)))</formula>
    </cfRule>
  </conditionalFormatting>
  <conditionalFormatting sqref="CS21">
    <cfRule type="containsText" dxfId="201" priority="250" operator="containsText" text="GBq">
      <formula>NOT(ISERROR(SEARCH("GBq",CS21)))</formula>
    </cfRule>
  </conditionalFormatting>
  <conditionalFormatting sqref="EG5:EG20 EG24 EG22">
    <cfRule type="containsText" dxfId="200" priority="233" operator="containsText" text="Co-60">
      <formula>NOT(ISERROR(SEARCH("Co-60",EG5)))</formula>
    </cfRule>
  </conditionalFormatting>
  <conditionalFormatting sqref="EI5:EI20 EI24 EI22">
    <cfRule type="containsText" dxfId="199" priority="232" operator="containsText" text="GBq">
      <formula>NOT(ISERROR(SEARCH("GBq",EI5)))</formula>
    </cfRule>
  </conditionalFormatting>
  <conditionalFormatting sqref="EG21">
    <cfRule type="containsText" dxfId="198" priority="231" operator="containsText" text="Co-60">
      <formula>NOT(ISERROR(SEARCH("Co-60",EG21)))</formula>
    </cfRule>
  </conditionalFormatting>
  <conditionalFormatting sqref="EI21">
    <cfRule type="containsText" dxfId="197" priority="230" operator="containsText" text="GBq">
      <formula>NOT(ISERROR(SEARCH("GBq",EI21)))</formula>
    </cfRule>
  </conditionalFormatting>
  <conditionalFormatting sqref="DL5:DL20 DL22 DL24:DL25">
    <cfRule type="containsText" dxfId="196" priority="229" operator="containsText" text="Co-60">
      <formula>NOT(ISERROR(SEARCH("Co-60",DL5)))</formula>
    </cfRule>
  </conditionalFormatting>
  <conditionalFormatting sqref="DN5:DN20 DN22 DN24">
    <cfRule type="containsText" dxfId="195" priority="228" operator="containsText" text="GBq">
      <formula>NOT(ISERROR(SEARCH("GBq",DN5)))</formula>
    </cfRule>
  </conditionalFormatting>
  <conditionalFormatting sqref="DL23">
    <cfRule type="containsText" dxfId="194" priority="227" operator="containsText" text="Co-60">
      <formula>NOT(ISERROR(SEARCH("Co-60",DL23)))</formula>
    </cfRule>
  </conditionalFormatting>
  <conditionalFormatting sqref="DN23">
    <cfRule type="containsText" dxfId="193" priority="226" operator="containsText" text="GBq">
      <formula>NOT(ISERROR(SEARCH("GBq",DN23)))</formula>
    </cfRule>
  </conditionalFormatting>
  <conditionalFormatting sqref="DL21">
    <cfRule type="containsText" dxfId="192" priority="225" operator="containsText" text="Co-60">
      <formula>NOT(ISERROR(SEARCH("Co-60",DL21)))</formula>
    </cfRule>
  </conditionalFormatting>
  <conditionalFormatting sqref="DN21">
    <cfRule type="containsText" dxfId="191" priority="224" operator="containsText" text="GBq">
      <formula>NOT(ISERROR(SEARCH("GBq",DN21)))</formula>
    </cfRule>
  </conditionalFormatting>
  <conditionalFormatting sqref="FW5:FW20 FW24 FW22">
    <cfRule type="containsText" dxfId="190" priority="217" operator="containsText" text="Co-60">
      <formula>NOT(ISERROR(SEARCH("Co-60",FW5)))</formula>
    </cfRule>
  </conditionalFormatting>
  <conditionalFormatting sqref="FY5:FY20 FY24 FY22">
    <cfRule type="containsText" dxfId="189" priority="216" operator="containsText" text="GBq">
      <formula>NOT(ISERROR(SEARCH("GBq",FY5)))</formula>
    </cfRule>
  </conditionalFormatting>
  <conditionalFormatting sqref="FW21">
    <cfRule type="containsText" dxfId="188" priority="215" operator="containsText" text="Co-60">
      <formula>NOT(ISERROR(SEARCH("Co-60",FW21)))</formula>
    </cfRule>
  </conditionalFormatting>
  <conditionalFormatting sqref="FY21">
    <cfRule type="containsText" dxfId="187" priority="214" operator="containsText" text="GBq">
      <formula>NOT(ISERROR(SEARCH("GBq",FY21)))</formula>
    </cfRule>
  </conditionalFormatting>
  <conditionalFormatting sqref="FB5:FB20 FB24 FB22">
    <cfRule type="containsText" dxfId="186" priority="207" operator="containsText" text="Co-60">
      <formula>NOT(ISERROR(SEARCH("Co-60",FB5)))</formula>
    </cfRule>
  </conditionalFormatting>
  <conditionalFormatting sqref="FD5:FD20 FD24 FD22">
    <cfRule type="containsText" dxfId="185" priority="206" operator="containsText" text="GBq">
      <formula>NOT(ISERROR(SEARCH("GBq",FD5)))</formula>
    </cfRule>
  </conditionalFormatting>
  <conditionalFormatting sqref="FB23">
    <cfRule type="containsText" dxfId="184" priority="205" operator="containsText" text="Co-60">
      <formula>NOT(ISERROR(SEARCH("Co-60",FB23)))</formula>
    </cfRule>
  </conditionalFormatting>
  <conditionalFormatting sqref="FD23">
    <cfRule type="containsText" dxfId="183" priority="204" operator="containsText" text="GBq">
      <formula>NOT(ISERROR(SEARCH("GBq",FD23)))</formula>
    </cfRule>
  </conditionalFormatting>
  <conditionalFormatting sqref="FB21">
    <cfRule type="containsText" dxfId="182" priority="203" operator="containsText" text="Co-60">
      <formula>NOT(ISERROR(SEARCH("Co-60",FB21)))</formula>
    </cfRule>
  </conditionalFormatting>
  <conditionalFormatting sqref="FD21">
    <cfRule type="containsText" dxfId="181" priority="202" operator="containsText" text="GBq">
      <formula>NOT(ISERROR(SEARCH("GBq",FD21)))</formula>
    </cfRule>
  </conditionalFormatting>
  <conditionalFormatting sqref="GR5:GR20 GR24 GR22">
    <cfRule type="containsText" dxfId="180" priority="201" operator="containsText" text="Co-60">
      <formula>NOT(ISERROR(SEARCH("Co-60",GR5)))</formula>
    </cfRule>
  </conditionalFormatting>
  <conditionalFormatting sqref="GT5:GT20 GT24 GT22">
    <cfRule type="containsText" dxfId="179" priority="200" operator="containsText" text="GBq">
      <formula>NOT(ISERROR(SEARCH("GBq",GT5)))</formula>
    </cfRule>
  </conditionalFormatting>
  <conditionalFormatting sqref="GR23">
    <cfRule type="containsText" dxfId="178" priority="199" operator="containsText" text="Co-60">
      <formula>NOT(ISERROR(SEARCH("Co-60",GR23)))</formula>
    </cfRule>
  </conditionalFormatting>
  <conditionalFormatting sqref="GT23">
    <cfRule type="containsText" dxfId="177" priority="198" operator="containsText" text="GBq">
      <formula>NOT(ISERROR(SEARCH("GBq",GT23)))</formula>
    </cfRule>
  </conditionalFormatting>
  <conditionalFormatting sqref="GR21">
    <cfRule type="containsText" dxfId="176" priority="197" operator="containsText" text="Co-60">
      <formula>NOT(ISERROR(SEARCH("Co-60",GR21)))</formula>
    </cfRule>
  </conditionalFormatting>
  <conditionalFormatting sqref="GT21">
    <cfRule type="containsText" dxfId="175" priority="196" operator="containsText" text="GBq">
      <formula>NOT(ISERROR(SEARCH("GBq",GT21)))</formula>
    </cfRule>
  </conditionalFormatting>
  <conditionalFormatting sqref="HM5:HM20 HM24 HM22">
    <cfRule type="containsText" dxfId="174" priority="195" operator="containsText" text="Co-60">
      <formula>NOT(ISERROR(SEARCH("Co-60",HM5)))</formula>
    </cfRule>
  </conditionalFormatting>
  <conditionalFormatting sqref="HO5:HO20 HO24 HO22">
    <cfRule type="containsText" dxfId="173" priority="194" operator="containsText" text="GBq">
      <formula>NOT(ISERROR(SEARCH("GBq",HO5)))</formula>
    </cfRule>
  </conditionalFormatting>
  <conditionalFormatting sqref="HM23">
    <cfRule type="containsText" dxfId="172" priority="193" operator="containsText" text="Co-60">
      <formula>NOT(ISERROR(SEARCH("Co-60",HM23)))</formula>
    </cfRule>
  </conditionalFormatting>
  <conditionalFormatting sqref="HO23">
    <cfRule type="containsText" dxfId="171" priority="192" operator="containsText" text="GBq">
      <formula>NOT(ISERROR(SEARCH("GBq",HO23)))</formula>
    </cfRule>
  </conditionalFormatting>
  <conditionalFormatting sqref="HM21">
    <cfRule type="containsText" dxfId="170" priority="191" operator="containsText" text="Co-60">
      <formula>NOT(ISERROR(SEARCH("Co-60",HM21)))</formula>
    </cfRule>
  </conditionalFormatting>
  <conditionalFormatting sqref="HO21">
    <cfRule type="containsText" dxfId="169" priority="190" operator="containsText" text="GBq">
      <formula>NOT(ISERROR(SEARCH("GBq",HO21)))</formula>
    </cfRule>
  </conditionalFormatting>
  <conditionalFormatting sqref="IH5:IH20 IH24 IH22">
    <cfRule type="containsText" dxfId="168" priority="189" operator="containsText" text="Co-60">
      <formula>NOT(ISERROR(SEARCH("Co-60",IH5)))</formula>
    </cfRule>
  </conditionalFormatting>
  <conditionalFormatting sqref="IJ5:IJ20 IJ24 IJ22">
    <cfRule type="containsText" dxfId="167" priority="188" operator="containsText" text="GBq">
      <formula>NOT(ISERROR(SEARCH("GBq",IJ5)))</formula>
    </cfRule>
  </conditionalFormatting>
  <conditionalFormatting sqref="IH23">
    <cfRule type="containsText" dxfId="166" priority="187" operator="containsText" text="Co-60">
      <formula>NOT(ISERROR(SEARCH("Co-60",IH23)))</formula>
    </cfRule>
  </conditionalFormatting>
  <conditionalFormatting sqref="IJ23">
    <cfRule type="containsText" dxfId="165" priority="186" operator="containsText" text="GBq">
      <formula>NOT(ISERROR(SEARCH("GBq",IJ23)))</formula>
    </cfRule>
  </conditionalFormatting>
  <conditionalFormatting sqref="IH21">
    <cfRule type="containsText" dxfId="164" priority="185" operator="containsText" text="Co-60">
      <formula>NOT(ISERROR(SEARCH("Co-60",IH21)))</formula>
    </cfRule>
  </conditionalFormatting>
  <conditionalFormatting sqref="IJ21">
    <cfRule type="containsText" dxfId="163" priority="184" operator="containsText" text="GBq">
      <formula>NOT(ISERROR(SEARCH("GBq",IJ21)))</formula>
    </cfRule>
  </conditionalFormatting>
  <conditionalFormatting sqref="JC5:JC20 JC24 JC22">
    <cfRule type="containsText" dxfId="162" priority="183" operator="containsText" text="Co-60">
      <formula>NOT(ISERROR(SEARCH("Co-60",JC5)))</formula>
    </cfRule>
  </conditionalFormatting>
  <conditionalFormatting sqref="JE5:JE20 JE24 JE22">
    <cfRule type="containsText" dxfId="161" priority="182" operator="containsText" text="GBq">
      <formula>NOT(ISERROR(SEARCH("GBq",JE5)))</formula>
    </cfRule>
  </conditionalFormatting>
  <conditionalFormatting sqref="JC23">
    <cfRule type="containsText" dxfId="160" priority="181" operator="containsText" text="Co-60">
      <formula>NOT(ISERROR(SEARCH("Co-60",JC23)))</formula>
    </cfRule>
  </conditionalFormatting>
  <conditionalFormatting sqref="JE23">
    <cfRule type="containsText" dxfId="159" priority="180" operator="containsText" text="GBq">
      <formula>NOT(ISERROR(SEARCH("GBq",JE23)))</formula>
    </cfRule>
  </conditionalFormatting>
  <conditionalFormatting sqref="JC21">
    <cfRule type="containsText" dxfId="158" priority="179" operator="containsText" text="Co-60">
      <formula>NOT(ISERROR(SEARCH("Co-60",JC21)))</formula>
    </cfRule>
  </conditionalFormatting>
  <conditionalFormatting sqref="JE21">
    <cfRule type="containsText" dxfId="157" priority="178" operator="containsText" text="GBq">
      <formula>NOT(ISERROR(SEARCH("GBq",JE21)))</formula>
    </cfRule>
  </conditionalFormatting>
  <conditionalFormatting sqref="JX5:JX20 JX24 JX22">
    <cfRule type="containsText" dxfId="156" priority="177" operator="containsText" text="Co-60">
      <formula>NOT(ISERROR(SEARCH("Co-60",JX5)))</formula>
    </cfRule>
  </conditionalFormatting>
  <conditionalFormatting sqref="JZ5:JZ20 JZ24 JZ22">
    <cfRule type="containsText" dxfId="155" priority="176" operator="containsText" text="GBq">
      <formula>NOT(ISERROR(SEARCH("GBq",JZ5)))</formula>
    </cfRule>
  </conditionalFormatting>
  <conditionalFormatting sqref="JX23">
    <cfRule type="containsText" dxfId="154" priority="175" operator="containsText" text="Co-60">
      <formula>NOT(ISERROR(SEARCH("Co-60",JX23)))</formula>
    </cfRule>
  </conditionalFormatting>
  <conditionalFormatting sqref="JZ23">
    <cfRule type="containsText" dxfId="153" priority="174" operator="containsText" text="GBq">
      <formula>NOT(ISERROR(SEARCH("GBq",JZ23)))</formula>
    </cfRule>
  </conditionalFormatting>
  <conditionalFormatting sqref="JX21">
    <cfRule type="containsText" dxfId="152" priority="173" operator="containsText" text="Co-60">
      <formula>NOT(ISERROR(SEARCH("Co-60",JX21)))</formula>
    </cfRule>
  </conditionalFormatting>
  <conditionalFormatting sqref="JZ21">
    <cfRule type="containsText" dxfId="151" priority="172" operator="containsText" text="GBq">
      <formula>NOT(ISERROR(SEARCH("GBq",JZ21)))</formula>
    </cfRule>
  </conditionalFormatting>
  <conditionalFormatting sqref="KS5:KS20 KS24 KS22">
    <cfRule type="containsText" dxfId="150" priority="171" operator="containsText" text="Co-60">
      <formula>NOT(ISERROR(SEARCH("Co-60",KS5)))</formula>
    </cfRule>
  </conditionalFormatting>
  <conditionalFormatting sqref="KU5:KU20 KU24 KU22">
    <cfRule type="containsText" dxfId="149" priority="170" operator="containsText" text="GBq">
      <formula>NOT(ISERROR(SEARCH("GBq",KU5)))</formula>
    </cfRule>
  </conditionalFormatting>
  <conditionalFormatting sqref="KS23">
    <cfRule type="containsText" dxfId="148" priority="169" operator="containsText" text="Co-60">
      <formula>NOT(ISERROR(SEARCH("Co-60",KS23)))</formula>
    </cfRule>
  </conditionalFormatting>
  <conditionalFormatting sqref="KU23">
    <cfRule type="containsText" dxfId="147" priority="168" operator="containsText" text="GBq">
      <formula>NOT(ISERROR(SEARCH("GBq",KU23)))</formula>
    </cfRule>
  </conditionalFormatting>
  <conditionalFormatting sqref="KS21">
    <cfRule type="containsText" dxfId="146" priority="167" operator="containsText" text="Co-60">
      <formula>NOT(ISERROR(SEARCH("Co-60",KS21)))</formula>
    </cfRule>
  </conditionalFormatting>
  <conditionalFormatting sqref="KU21">
    <cfRule type="containsText" dxfId="145" priority="166" operator="containsText" text="GBq">
      <formula>NOT(ISERROR(SEARCH("GBq",KU21)))</formula>
    </cfRule>
  </conditionalFormatting>
  <conditionalFormatting sqref="LN5:LN20 LN24 LN22">
    <cfRule type="containsText" dxfId="144" priority="165" operator="containsText" text="Co-60">
      <formula>NOT(ISERROR(SEARCH("Co-60",LN5)))</formula>
    </cfRule>
  </conditionalFormatting>
  <conditionalFormatting sqref="LP5:LP20 LP24 LP22">
    <cfRule type="containsText" dxfId="143" priority="164" operator="containsText" text="GBq">
      <formula>NOT(ISERROR(SEARCH("GBq",LP5)))</formula>
    </cfRule>
  </conditionalFormatting>
  <conditionalFormatting sqref="LN23">
    <cfRule type="containsText" dxfId="142" priority="163" operator="containsText" text="Co-60">
      <formula>NOT(ISERROR(SEARCH("Co-60",LN23)))</formula>
    </cfRule>
  </conditionalFormatting>
  <conditionalFormatting sqref="LP23">
    <cfRule type="containsText" dxfId="141" priority="162" operator="containsText" text="GBq">
      <formula>NOT(ISERROR(SEARCH("GBq",LP23)))</formula>
    </cfRule>
  </conditionalFormatting>
  <conditionalFormatting sqref="LN21">
    <cfRule type="containsText" dxfId="140" priority="161" operator="containsText" text="Co-60">
      <formula>NOT(ISERROR(SEARCH("Co-60",LN21)))</formula>
    </cfRule>
  </conditionalFormatting>
  <conditionalFormatting sqref="LP21">
    <cfRule type="containsText" dxfId="139" priority="160" operator="containsText" text="GBq">
      <formula>NOT(ISERROR(SEARCH("GBq",LP21)))</formula>
    </cfRule>
  </conditionalFormatting>
  <conditionalFormatting sqref="MI5:MI20 MI24 MI22">
    <cfRule type="containsText" dxfId="138" priority="159" operator="containsText" text="Co-60">
      <formula>NOT(ISERROR(SEARCH("Co-60",MI5)))</formula>
    </cfRule>
  </conditionalFormatting>
  <conditionalFormatting sqref="MK5:MK20 MK24 MK22">
    <cfRule type="containsText" dxfId="137" priority="158" operator="containsText" text="GBq">
      <formula>NOT(ISERROR(SEARCH("GBq",MK5)))</formula>
    </cfRule>
  </conditionalFormatting>
  <conditionalFormatting sqref="MI23">
    <cfRule type="containsText" dxfId="136" priority="157" operator="containsText" text="Co-60">
      <formula>NOT(ISERROR(SEARCH("Co-60",MI23)))</formula>
    </cfRule>
  </conditionalFormatting>
  <conditionalFormatting sqref="MK23">
    <cfRule type="containsText" dxfId="135" priority="156" operator="containsText" text="GBq">
      <formula>NOT(ISERROR(SEARCH("GBq",MK23)))</formula>
    </cfRule>
  </conditionalFormatting>
  <conditionalFormatting sqref="MI21">
    <cfRule type="containsText" dxfId="134" priority="155" operator="containsText" text="Co-60">
      <formula>NOT(ISERROR(SEARCH("Co-60",MI21)))</formula>
    </cfRule>
  </conditionalFormatting>
  <conditionalFormatting sqref="MK21">
    <cfRule type="containsText" dxfId="133" priority="154" operator="containsText" text="GBq">
      <formula>NOT(ISERROR(SEARCH("GBq",MK21)))</formula>
    </cfRule>
  </conditionalFormatting>
  <conditionalFormatting sqref="ND5:ND20 ND22">
    <cfRule type="containsText" dxfId="132" priority="153" operator="containsText" text="Co-60">
      <formula>NOT(ISERROR(SEARCH("Co-60",ND5)))</formula>
    </cfRule>
  </conditionalFormatting>
  <conditionalFormatting sqref="NF5:NF20 NF24 NF22">
    <cfRule type="containsText" dxfId="131" priority="152" operator="containsText" text="GBq">
      <formula>NOT(ISERROR(SEARCH("GBq",NF5)))</formula>
    </cfRule>
  </conditionalFormatting>
  <conditionalFormatting sqref="ND23">
    <cfRule type="containsText" dxfId="130" priority="151" operator="containsText" text="Co-60">
      <formula>NOT(ISERROR(SEARCH("Co-60",ND23)))</formula>
    </cfRule>
  </conditionalFormatting>
  <conditionalFormatting sqref="NF23">
    <cfRule type="containsText" dxfId="129" priority="150" operator="containsText" text="GBq">
      <formula>NOT(ISERROR(SEARCH("GBq",NF23)))</formula>
    </cfRule>
  </conditionalFormatting>
  <conditionalFormatting sqref="ND21">
    <cfRule type="containsText" dxfId="128" priority="149" operator="containsText" text="Co-60">
      <formula>NOT(ISERROR(SEARCH("Co-60",ND21)))</formula>
    </cfRule>
  </conditionalFormatting>
  <conditionalFormatting sqref="NF21">
    <cfRule type="containsText" dxfId="127" priority="148" operator="containsText" text="GBq">
      <formula>NOT(ISERROR(SEARCH("GBq",NF21)))</formula>
    </cfRule>
  </conditionalFormatting>
  <conditionalFormatting sqref="NY5:NY20 NY24 NY22">
    <cfRule type="containsText" dxfId="126" priority="147" operator="containsText" text="Co-60">
      <formula>NOT(ISERROR(SEARCH("Co-60",NY5)))</formula>
    </cfRule>
  </conditionalFormatting>
  <conditionalFormatting sqref="OA5:OA20 OA24 OA22">
    <cfRule type="containsText" dxfId="125" priority="146" operator="containsText" text="GBq">
      <formula>NOT(ISERROR(SEARCH("GBq",OA5)))</formula>
    </cfRule>
  </conditionalFormatting>
  <conditionalFormatting sqref="NY23">
    <cfRule type="containsText" dxfId="124" priority="145" operator="containsText" text="Co-60">
      <formula>NOT(ISERROR(SEARCH("Co-60",NY23)))</formula>
    </cfRule>
  </conditionalFormatting>
  <conditionalFormatting sqref="OA23">
    <cfRule type="containsText" dxfId="123" priority="144" operator="containsText" text="GBq">
      <formula>NOT(ISERROR(SEARCH("GBq",OA23)))</formula>
    </cfRule>
  </conditionalFormatting>
  <conditionalFormatting sqref="NY21">
    <cfRule type="containsText" dxfId="122" priority="143" operator="containsText" text="Co-60">
      <formula>NOT(ISERROR(SEARCH("Co-60",NY21)))</formula>
    </cfRule>
  </conditionalFormatting>
  <conditionalFormatting sqref="OA21">
    <cfRule type="containsText" dxfId="121" priority="142" operator="containsText" text="GBq">
      <formula>NOT(ISERROR(SEARCH("GBq",OA21)))</formula>
    </cfRule>
  </conditionalFormatting>
  <conditionalFormatting sqref="OT5:OT20 OT24 OT22">
    <cfRule type="containsText" dxfId="120" priority="141" operator="containsText" text="Co-60">
      <formula>NOT(ISERROR(SEARCH("Co-60",OT5)))</formula>
    </cfRule>
  </conditionalFormatting>
  <conditionalFormatting sqref="OV5:OV20 OV24 OV22">
    <cfRule type="containsText" dxfId="119" priority="140" operator="containsText" text="GBq">
      <formula>NOT(ISERROR(SEARCH("GBq",OV5)))</formula>
    </cfRule>
  </conditionalFormatting>
  <conditionalFormatting sqref="OT23">
    <cfRule type="containsText" dxfId="118" priority="139" operator="containsText" text="Co-60">
      <formula>NOT(ISERROR(SEARCH("Co-60",OT23)))</formula>
    </cfRule>
  </conditionalFormatting>
  <conditionalFormatting sqref="OV23">
    <cfRule type="containsText" dxfId="117" priority="138" operator="containsText" text="GBq">
      <formula>NOT(ISERROR(SEARCH("GBq",OV23)))</formula>
    </cfRule>
  </conditionalFormatting>
  <conditionalFormatting sqref="OT21">
    <cfRule type="containsText" dxfId="116" priority="137" operator="containsText" text="Co-60">
      <formula>NOT(ISERROR(SEARCH("Co-60",OT21)))</formula>
    </cfRule>
  </conditionalFormatting>
  <conditionalFormatting sqref="OV21">
    <cfRule type="containsText" dxfId="115" priority="136" operator="containsText" text="GBq">
      <formula>NOT(ISERROR(SEARCH("GBq",OV21)))</formula>
    </cfRule>
  </conditionalFormatting>
  <conditionalFormatting sqref="PO5:PO20 PO24 PO22">
    <cfRule type="containsText" dxfId="114" priority="135" operator="containsText" text="Co-60">
      <formula>NOT(ISERROR(SEARCH("Co-60",PO5)))</formula>
    </cfRule>
  </conditionalFormatting>
  <conditionalFormatting sqref="PQ5:PQ20 PQ24 PQ22">
    <cfRule type="containsText" dxfId="113" priority="134" operator="containsText" text="GBq">
      <formula>NOT(ISERROR(SEARCH("GBq",PQ5)))</formula>
    </cfRule>
  </conditionalFormatting>
  <conditionalFormatting sqref="PO23">
    <cfRule type="containsText" dxfId="112" priority="133" operator="containsText" text="Co-60">
      <formula>NOT(ISERROR(SEARCH("Co-60",PO23)))</formula>
    </cfRule>
  </conditionalFormatting>
  <conditionalFormatting sqref="PQ23">
    <cfRule type="containsText" dxfId="111" priority="132" operator="containsText" text="GBq">
      <formula>NOT(ISERROR(SEARCH("GBq",PQ23)))</formula>
    </cfRule>
  </conditionalFormatting>
  <conditionalFormatting sqref="PO21">
    <cfRule type="containsText" dxfId="110" priority="131" operator="containsText" text="Co-60">
      <formula>NOT(ISERROR(SEARCH("Co-60",PO21)))</formula>
    </cfRule>
  </conditionalFormatting>
  <conditionalFormatting sqref="PQ21">
    <cfRule type="containsText" dxfId="109" priority="130" operator="containsText" text="GBq">
      <formula>NOT(ISERROR(SEARCH("GBq",PQ21)))</formula>
    </cfRule>
  </conditionalFormatting>
  <conditionalFormatting sqref="QJ5:QJ20 QJ22">
    <cfRule type="containsText" dxfId="108" priority="129" operator="containsText" text="Co-60">
      <formula>NOT(ISERROR(SEARCH("Co-60",QJ5)))</formula>
    </cfRule>
  </conditionalFormatting>
  <conditionalFormatting sqref="QL5:QL20 QL22">
    <cfRule type="containsText" dxfId="107" priority="128" operator="containsText" text="GBq">
      <formula>NOT(ISERROR(SEARCH("GBq",QL5)))</formula>
    </cfRule>
  </conditionalFormatting>
  <conditionalFormatting sqref="QJ23">
    <cfRule type="containsText" dxfId="106" priority="127" operator="containsText" text="Co-60">
      <formula>NOT(ISERROR(SEARCH("Co-60",QJ23)))</formula>
    </cfRule>
  </conditionalFormatting>
  <conditionalFormatting sqref="QL23">
    <cfRule type="containsText" dxfId="105" priority="126" operator="containsText" text="GBq">
      <formula>NOT(ISERROR(SEARCH("GBq",QL23)))</formula>
    </cfRule>
  </conditionalFormatting>
  <conditionalFormatting sqref="QJ21">
    <cfRule type="containsText" dxfId="104" priority="125" operator="containsText" text="Co-60">
      <formula>NOT(ISERROR(SEARCH("Co-60",QJ21)))</formula>
    </cfRule>
  </conditionalFormatting>
  <conditionalFormatting sqref="QL21">
    <cfRule type="containsText" dxfId="103" priority="124" operator="containsText" text="GBq">
      <formula>NOT(ISERROR(SEARCH("GBq",QL21)))</formula>
    </cfRule>
  </conditionalFormatting>
  <conditionalFormatting sqref="RE5:RE20 RE22">
    <cfRule type="containsText" dxfId="102" priority="123" operator="containsText" text="Co-60">
      <formula>NOT(ISERROR(SEARCH("Co-60",RE5)))</formula>
    </cfRule>
  </conditionalFormatting>
  <conditionalFormatting sqref="RG5:RG20 RG24 RG22">
    <cfRule type="containsText" dxfId="101" priority="122" operator="containsText" text="GBq">
      <formula>NOT(ISERROR(SEARCH("GBq",RG5)))</formula>
    </cfRule>
  </conditionalFormatting>
  <conditionalFormatting sqref="RE23">
    <cfRule type="containsText" dxfId="100" priority="121" operator="containsText" text="Co-60">
      <formula>NOT(ISERROR(SEARCH("Co-60",RE23)))</formula>
    </cfRule>
  </conditionalFormatting>
  <conditionalFormatting sqref="RG23">
    <cfRule type="containsText" dxfId="99" priority="120" operator="containsText" text="GBq">
      <formula>NOT(ISERROR(SEARCH("GBq",RG23)))</formula>
    </cfRule>
  </conditionalFormatting>
  <conditionalFormatting sqref="RE21">
    <cfRule type="containsText" dxfId="98" priority="119" operator="containsText" text="Co-60">
      <formula>NOT(ISERROR(SEARCH("Co-60",RE21)))</formula>
    </cfRule>
  </conditionalFormatting>
  <conditionalFormatting sqref="RG21">
    <cfRule type="containsText" dxfId="97" priority="118" operator="containsText" text="GBq">
      <formula>NOT(ISERROR(SEARCH("GBq",RG21)))</formula>
    </cfRule>
  </conditionalFormatting>
  <conditionalFormatting sqref="RZ5:RZ20 RZ22">
    <cfRule type="containsText" dxfId="96" priority="117" operator="containsText" text="Co-60">
      <formula>NOT(ISERROR(SEARCH("Co-60",RZ5)))</formula>
    </cfRule>
  </conditionalFormatting>
  <conditionalFormatting sqref="SB5:SB20 SB22">
    <cfRule type="containsText" dxfId="95" priority="116" operator="containsText" text="GBq">
      <formula>NOT(ISERROR(SEARCH("GBq",SB5)))</formula>
    </cfRule>
  </conditionalFormatting>
  <conditionalFormatting sqref="RZ23">
    <cfRule type="containsText" dxfId="94" priority="115" operator="containsText" text="Co-60">
      <formula>NOT(ISERROR(SEARCH("Co-60",RZ23)))</formula>
    </cfRule>
  </conditionalFormatting>
  <conditionalFormatting sqref="SB23">
    <cfRule type="containsText" dxfId="93" priority="114" operator="containsText" text="GBq">
      <formula>NOT(ISERROR(SEARCH("GBq",SB23)))</formula>
    </cfRule>
  </conditionalFormatting>
  <conditionalFormatting sqref="RZ21">
    <cfRule type="containsText" dxfId="92" priority="113" operator="containsText" text="Co-60">
      <formula>NOT(ISERROR(SEARCH("Co-60",RZ21)))</formula>
    </cfRule>
  </conditionalFormatting>
  <conditionalFormatting sqref="SB21">
    <cfRule type="containsText" dxfId="91" priority="112" operator="containsText" text="GBq">
      <formula>NOT(ISERROR(SEARCH("GBq",SB21)))</formula>
    </cfRule>
  </conditionalFormatting>
  <conditionalFormatting sqref="SU5:SU20 SU22">
    <cfRule type="containsText" dxfId="90" priority="111" operator="containsText" text="Co-60">
      <formula>NOT(ISERROR(SEARCH("Co-60",SU5)))</formula>
    </cfRule>
  </conditionalFormatting>
  <conditionalFormatting sqref="SW5:SW20 SW22">
    <cfRule type="containsText" dxfId="89" priority="110" operator="containsText" text="GBq">
      <formula>NOT(ISERROR(SEARCH("GBq",SW5)))</formula>
    </cfRule>
  </conditionalFormatting>
  <conditionalFormatting sqref="SU23">
    <cfRule type="containsText" dxfId="88" priority="109" operator="containsText" text="Co-60">
      <formula>NOT(ISERROR(SEARCH("Co-60",SU23)))</formula>
    </cfRule>
  </conditionalFormatting>
  <conditionalFormatting sqref="SW23">
    <cfRule type="containsText" dxfId="87" priority="108" operator="containsText" text="GBq">
      <formula>NOT(ISERROR(SEARCH("GBq",SW23)))</formula>
    </cfRule>
  </conditionalFormatting>
  <conditionalFormatting sqref="SU21">
    <cfRule type="containsText" dxfId="86" priority="107" operator="containsText" text="Co-60">
      <formula>NOT(ISERROR(SEARCH("Co-60",SU21)))</formula>
    </cfRule>
  </conditionalFormatting>
  <conditionalFormatting sqref="SW21">
    <cfRule type="containsText" dxfId="85" priority="106" operator="containsText" text="GBq">
      <formula>NOT(ISERROR(SEARCH("GBq",SW21)))</formula>
    </cfRule>
  </conditionalFormatting>
  <conditionalFormatting sqref="TP5:TP20 TP22">
    <cfRule type="containsText" dxfId="84" priority="105" operator="containsText" text="Co-60">
      <formula>NOT(ISERROR(SEARCH("Co-60",TP5)))</formula>
    </cfRule>
  </conditionalFormatting>
  <conditionalFormatting sqref="TR5:TR20 TR22">
    <cfRule type="containsText" dxfId="83" priority="104" operator="containsText" text="GBq">
      <formula>NOT(ISERROR(SEARCH("GBq",TR5)))</formula>
    </cfRule>
  </conditionalFormatting>
  <conditionalFormatting sqref="TP23">
    <cfRule type="containsText" dxfId="82" priority="103" operator="containsText" text="Co-60">
      <formula>NOT(ISERROR(SEARCH("Co-60",TP23)))</formula>
    </cfRule>
  </conditionalFormatting>
  <conditionalFormatting sqref="TR23">
    <cfRule type="containsText" dxfId="81" priority="102" operator="containsText" text="GBq">
      <formula>NOT(ISERROR(SEARCH("GBq",TR23)))</formula>
    </cfRule>
  </conditionalFormatting>
  <conditionalFormatting sqref="TP21">
    <cfRule type="containsText" dxfId="80" priority="101" operator="containsText" text="Co-60">
      <formula>NOT(ISERROR(SEARCH("Co-60",TP21)))</formula>
    </cfRule>
  </conditionalFormatting>
  <conditionalFormatting sqref="TR21">
    <cfRule type="containsText" dxfId="79" priority="100" operator="containsText" text="GBq">
      <formula>NOT(ISERROR(SEARCH("GBq",TR21)))</formula>
    </cfRule>
  </conditionalFormatting>
  <conditionalFormatting sqref="UK5:UK20 UK22">
    <cfRule type="containsText" dxfId="78" priority="99" operator="containsText" text="Co-60">
      <formula>NOT(ISERROR(SEARCH("Co-60",UK5)))</formula>
    </cfRule>
  </conditionalFormatting>
  <conditionalFormatting sqref="UM5:UM20 UM22">
    <cfRule type="containsText" dxfId="77" priority="98" operator="containsText" text="GBq">
      <formula>NOT(ISERROR(SEARCH("GBq",UM5)))</formula>
    </cfRule>
  </conditionalFormatting>
  <conditionalFormatting sqref="UK23">
    <cfRule type="containsText" dxfId="76" priority="97" operator="containsText" text="Co-60">
      <formula>NOT(ISERROR(SEARCH("Co-60",UK23)))</formula>
    </cfRule>
  </conditionalFormatting>
  <conditionalFormatting sqref="UM23">
    <cfRule type="containsText" dxfId="75" priority="96" operator="containsText" text="GBq">
      <formula>NOT(ISERROR(SEARCH("GBq",UM23)))</formula>
    </cfRule>
  </conditionalFormatting>
  <conditionalFormatting sqref="UK21">
    <cfRule type="containsText" dxfId="74" priority="95" operator="containsText" text="Co-60">
      <formula>NOT(ISERROR(SEARCH("Co-60",UK21)))</formula>
    </cfRule>
  </conditionalFormatting>
  <conditionalFormatting sqref="UM21">
    <cfRule type="containsText" dxfId="73" priority="94" operator="containsText" text="GBq">
      <formula>NOT(ISERROR(SEARCH("GBq",UM21)))</formula>
    </cfRule>
  </conditionalFormatting>
  <conditionalFormatting sqref="VF5:VF20 VF22">
    <cfRule type="containsText" dxfId="72" priority="93" operator="containsText" text="Co-60">
      <formula>NOT(ISERROR(SEARCH("Co-60",VF5)))</formula>
    </cfRule>
  </conditionalFormatting>
  <conditionalFormatting sqref="VH5:VH20 VH22">
    <cfRule type="containsText" dxfId="71" priority="92" operator="containsText" text="GBq">
      <formula>NOT(ISERROR(SEARCH("GBq",VH5)))</formula>
    </cfRule>
  </conditionalFormatting>
  <conditionalFormatting sqref="VF23">
    <cfRule type="containsText" dxfId="70" priority="91" operator="containsText" text="Co-60">
      <formula>NOT(ISERROR(SEARCH("Co-60",VF23)))</formula>
    </cfRule>
  </conditionalFormatting>
  <conditionalFormatting sqref="VH23">
    <cfRule type="containsText" dxfId="69" priority="90" operator="containsText" text="GBq">
      <formula>NOT(ISERROR(SEARCH("GBq",VH23)))</formula>
    </cfRule>
  </conditionalFormatting>
  <conditionalFormatting sqref="VF21">
    <cfRule type="containsText" dxfId="68" priority="89" operator="containsText" text="Co-60">
      <formula>NOT(ISERROR(SEARCH("Co-60",VF21)))</formula>
    </cfRule>
  </conditionalFormatting>
  <conditionalFormatting sqref="VH21">
    <cfRule type="containsText" dxfId="67" priority="88" operator="containsText" text="GBq">
      <formula>NOT(ISERROR(SEARCH("GBq",VH21)))</formula>
    </cfRule>
  </conditionalFormatting>
  <conditionalFormatting sqref="WA5:WA20 WA22">
    <cfRule type="containsText" dxfId="66" priority="87" operator="containsText" text="Co-60">
      <formula>NOT(ISERROR(SEARCH("Co-60",WA5)))</formula>
    </cfRule>
  </conditionalFormatting>
  <conditionalFormatting sqref="WC5:WC20 WC22">
    <cfRule type="containsText" dxfId="65" priority="86" operator="containsText" text="GBq">
      <formula>NOT(ISERROR(SEARCH("GBq",WC5)))</formula>
    </cfRule>
  </conditionalFormatting>
  <conditionalFormatting sqref="WA23">
    <cfRule type="containsText" dxfId="64" priority="85" operator="containsText" text="Co-60">
      <formula>NOT(ISERROR(SEARCH("Co-60",WA23)))</formula>
    </cfRule>
  </conditionalFormatting>
  <conditionalFormatting sqref="WC23">
    <cfRule type="containsText" dxfId="63" priority="84" operator="containsText" text="GBq">
      <formula>NOT(ISERROR(SEARCH("GBq",WC23)))</formula>
    </cfRule>
  </conditionalFormatting>
  <conditionalFormatting sqref="WA21">
    <cfRule type="containsText" dxfId="62" priority="83" operator="containsText" text="Co-60">
      <formula>NOT(ISERROR(SEARCH("Co-60",WA21)))</formula>
    </cfRule>
  </conditionalFormatting>
  <conditionalFormatting sqref="WC21">
    <cfRule type="containsText" dxfId="61" priority="82" operator="containsText" text="GBq">
      <formula>NOT(ISERROR(SEARCH("GBq",WC21)))</formula>
    </cfRule>
  </conditionalFormatting>
  <conditionalFormatting sqref="WV5:WV20 WV22">
    <cfRule type="containsText" dxfId="60" priority="81" operator="containsText" text="Co-60">
      <formula>NOT(ISERROR(SEARCH("Co-60",WV5)))</formula>
    </cfRule>
  </conditionalFormatting>
  <conditionalFormatting sqref="WX5:WX20 WX22">
    <cfRule type="containsText" dxfId="59" priority="80" operator="containsText" text="GBq">
      <formula>NOT(ISERROR(SEARCH("GBq",WX5)))</formula>
    </cfRule>
  </conditionalFormatting>
  <conditionalFormatting sqref="WV23">
    <cfRule type="containsText" dxfId="58" priority="79" operator="containsText" text="Co-60">
      <formula>NOT(ISERROR(SEARCH("Co-60",WV23)))</formula>
    </cfRule>
  </conditionalFormatting>
  <conditionalFormatting sqref="WX23">
    <cfRule type="containsText" dxfId="57" priority="78" operator="containsText" text="GBq">
      <formula>NOT(ISERROR(SEARCH("GBq",WX23)))</formula>
    </cfRule>
  </conditionalFormatting>
  <conditionalFormatting sqref="WV21">
    <cfRule type="containsText" dxfId="56" priority="77" operator="containsText" text="Co-60">
      <formula>NOT(ISERROR(SEARCH("Co-60",WV21)))</formula>
    </cfRule>
  </conditionalFormatting>
  <conditionalFormatting sqref="WX21">
    <cfRule type="containsText" dxfId="55" priority="76" operator="containsText" text="GBq">
      <formula>NOT(ISERROR(SEARCH("GBq",WX21)))</formula>
    </cfRule>
  </conditionalFormatting>
  <conditionalFormatting sqref="XQ5:XQ20 XQ22">
    <cfRule type="containsText" dxfId="54" priority="75" operator="containsText" text="Co-60">
      <formula>NOT(ISERROR(SEARCH("Co-60",XQ5)))</formula>
    </cfRule>
  </conditionalFormatting>
  <conditionalFormatting sqref="XS5:XS20 XS22">
    <cfRule type="containsText" dxfId="53" priority="74" operator="containsText" text="GBq">
      <formula>NOT(ISERROR(SEARCH("GBq",XS5)))</formula>
    </cfRule>
  </conditionalFormatting>
  <conditionalFormatting sqref="XQ23">
    <cfRule type="containsText" dxfId="52" priority="73" operator="containsText" text="Co-60">
      <formula>NOT(ISERROR(SEARCH("Co-60",XQ23)))</formula>
    </cfRule>
  </conditionalFormatting>
  <conditionalFormatting sqref="XS23">
    <cfRule type="containsText" dxfId="51" priority="72" operator="containsText" text="GBq">
      <formula>NOT(ISERROR(SEARCH("GBq",XS23)))</formula>
    </cfRule>
  </conditionalFormatting>
  <conditionalFormatting sqref="XQ21">
    <cfRule type="containsText" dxfId="50" priority="71" operator="containsText" text="Co-60">
      <formula>NOT(ISERROR(SEARCH("Co-60",XQ21)))</formula>
    </cfRule>
  </conditionalFormatting>
  <conditionalFormatting sqref="XS21">
    <cfRule type="containsText" dxfId="49" priority="70" operator="containsText" text="GBq">
      <formula>NOT(ISERROR(SEARCH("GBq",XS21)))</formula>
    </cfRule>
  </conditionalFormatting>
  <conditionalFormatting sqref="AF25">
    <cfRule type="containsText" dxfId="48" priority="69" operator="containsText" text="Co-60">
      <formula>NOT(ISERROR(SEARCH("Co-60",AF25)))</formula>
    </cfRule>
  </conditionalFormatting>
  <conditionalFormatting sqref="AH25">
    <cfRule type="containsText" dxfId="47" priority="68" operator="containsText" text="GBq">
      <formula>NOT(ISERROR(SEARCH("GBq",AH25)))</formula>
    </cfRule>
  </conditionalFormatting>
  <conditionalFormatting sqref="BA25">
    <cfRule type="containsText" dxfId="46" priority="67" operator="containsText" text="Co-60">
      <formula>NOT(ISERROR(SEARCH("Co-60",BA25)))</formula>
    </cfRule>
  </conditionalFormatting>
  <conditionalFormatting sqref="BC25">
    <cfRule type="containsText" dxfId="45" priority="66" operator="containsText" text="GBq">
      <formula>NOT(ISERROR(SEARCH("GBq",BC25)))</formula>
    </cfRule>
  </conditionalFormatting>
  <conditionalFormatting sqref="BV25">
    <cfRule type="containsText" dxfId="44" priority="65" operator="containsText" text="Co-60">
      <formula>NOT(ISERROR(SEARCH("Co-60",BV25)))</formula>
    </cfRule>
  </conditionalFormatting>
  <conditionalFormatting sqref="BX25">
    <cfRule type="containsText" dxfId="43" priority="64" operator="containsText" text="GBq">
      <formula>NOT(ISERROR(SEARCH("GBq",BX25)))</formula>
    </cfRule>
  </conditionalFormatting>
  <conditionalFormatting sqref="CQ23">
    <cfRule type="containsText" dxfId="42" priority="63" operator="containsText" text="Co-60">
      <formula>NOT(ISERROR(SEARCH("Co-60",CQ23)))</formula>
    </cfRule>
  </conditionalFormatting>
  <conditionalFormatting sqref="CQ25">
    <cfRule type="containsText" dxfId="41" priority="62" operator="containsText" text="Co-60">
      <formula>NOT(ISERROR(SEARCH("Co-60",CQ25)))</formula>
    </cfRule>
  </conditionalFormatting>
  <conditionalFormatting sqref="CS23">
    <cfRule type="containsText" dxfId="40" priority="61" operator="containsText" text="GBq">
      <formula>NOT(ISERROR(SEARCH("GBq",CS23)))</formula>
    </cfRule>
  </conditionalFormatting>
  <conditionalFormatting sqref="CS25">
    <cfRule type="containsText" dxfId="39" priority="60" operator="containsText" text="GBq">
      <formula>NOT(ISERROR(SEARCH("GBq",CS25)))</formula>
    </cfRule>
  </conditionalFormatting>
  <conditionalFormatting sqref="DN25">
    <cfRule type="containsText" dxfId="38" priority="59" operator="containsText" text="GBq">
      <formula>NOT(ISERROR(SEARCH("GBq",DN25)))</formula>
    </cfRule>
  </conditionalFormatting>
  <conditionalFormatting sqref="FB25">
    <cfRule type="containsText" dxfId="37" priority="58" operator="containsText" text="Co-60">
      <formula>NOT(ISERROR(SEARCH("Co-60",FB25)))</formula>
    </cfRule>
  </conditionalFormatting>
  <conditionalFormatting sqref="FD25">
    <cfRule type="containsText" dxfId="36" priority="57" operator="containsText" text="GBq">
      <formula>NOT(ISERROR(SEARCH("GBq",FD25)))</formula>
    </cfRule>
  </conditionalFormatting>
  <conditionalFormatting sqref="FW25">
    <cfRule type="containsText" dxfId="35" priority="56" operator="containsText" text="Co-60">
      <formula>NOT(ISERROR(SEARCH("Co-60",FW25)))</formula>
    </cfRule>
  </conditionalFormatting>
  <conditionalFormatting sqref="FY25">
    <cfRule type="containsText" dxfId="34" priority="55" operator="containsText" text="GBq">
      <formula>NOT(ISERROR(SEARCH("GBq",FY25)))</formula>
    </cfRule>
  </conditionalFormatting>
  <conditionalFormatting sqref="GR25">
    <cfRule type="containsText" dxfId="33" priority="54" operator="containsText" text="Co-60">
      <formula>NOT(ISERROR(SEARCH("Co-60",GR25)))</formula>
    </cfRule>
  </conditionalFormatting>
  <conditionalFormatting sqref="GT25">
    <cfRule type="containsText" dxfId="32" priority="53" operator="containsText" text="GBq">
      <formula>NOT(ISERROR(SEARCH("GBq",GT25)))</formula>
    </cfRule>
  </conditionalFormatting>
  <conditionalFormatting sqref="HM25">
    <cfRule type="containsText" dxfId="31" priority="52" operator="containsText" text="Co-60">
      <formula>NOT(ISERROR(SEARCH("Co-60",HM25)))</formula>
    </cfRule>
  </conditionalFormatting>
  <conditionalFormatting sqref="HO25">
    <cfRule type="containsText" dxfId="30" priority="51" operator="containsText" text="GBq">
      <formula>NOT(ISERROR(SEARCH("GBq",HO25)))</formula>
    </cfRule>
  </conditionalFormatting>
  <conditionalFormatting sqref="IH25">
    <cfRule type="containsText" dxfId="29" priority="50" operator="containsText" text="Co-60">
      <formula>NOT(ISERROR(SEARCH("Co-60",IH25)))</formula>
    </cfRule>
  </conditionalFormatting>
  <conditionalFormatting sqref="IJ25">
    <cfRule type="containsText" dxfId="28" priority="49" operator="containsText" text="GBq">
      <formula>NOT(ISERROR(SEARCH("GBq",IJ25)))</formula>
    </cfRule>
  </conditionalFormatting>
  <conditionalFormatting sqref="JC25">
    <cfRule type="containsText" dxfId="27" priority="48" operator="containsText" text="Co-60">
      <formula>NOT(ISERROR(SEARCH("Co-60",JC25)))</formula>
    </cfRule>
  </conditionalFormatting>
  <conditionalFormatting sqref="JE25">
    <cfRule type="containsText" dxfId="26" priority="47" operator="containsText" text="GBq">
      <formula>NOT(ISERROR(SEARCH("GBq",JE25)))</formula>
    </cfRule>
  </conditionalFormatting>
  <conditionalFormatting sqref="JX25">
    <cfRule type="containsText" dxfId="25" priority="46" operator="containsText" text="Co-60">
      <formula>NOT(ISERROR(SEARCH("Co-60",JX25)))</formula>
    </cfRule>
  </conditionalFormatting>
  <conditionalFormatting sqref="JZ25">
    <cfRule type="containsText" dxfId="24" priority="45" operator="containsText" text="GBq">
      <formula>NOT(ISERROR(SEARCH("GBq",JZ25)))</formula>
    </cfRule>
  </conditionalFormatting>
  <conditionalFormatting sqref="KS25">
    <cfRule type="containsText" dxfId="23" priority="44" operator="containsText" text="Co-60">
      <formula>NOT(ISERROR(SEARCH("Co-60",KS25)))</formula>
    </cfRule>
  </conditionalFormatting>
  <conditionalFormatting sqref="KU25">
    <cfRule type="containsText" dxfId="22" priority="43" operator="containsText" text="GBq">
      <formula>NOT(ISERROR(SEARCH("GBq",KU25)))</formula>
    </cfRule>
  </conditionalFormatting>
  <conditionalFormatting sqref="LN25">
    <cfRule type="containsText" dxfId="21" priority="42" operator="containsText" text="Co-60">
      <formula>NOT(ISERROR(SEARCH("Co-60",LN25)))</formula>
    </cfRule>
  </conditionalFormatting>
  <conditionalFormatting sqref="LP25">
    <cfRule type="containsText" dxfId="20" priority="41" operator="containsText" text="GBq">
      <formula>NOT(ISERROR(SEARCH("GBq",LP25)))</formula>
    </cfRule>
  </conditionalFormatting>
  <conditionalFormatting sqref="MI25">
    <cfRule type="containsText" dxfId="19" priority="40" operator="containsText" text="Co-60">
      <formula>NOT(ISERROR(SEARCH("Co-60",MI25)))</formula>
    </cfRule>
  </conditionalFormatting>
  <conditionalFormatting sqref="MK25">
    <cfRule type="containsText" dxfId="18" priority="39" operator="containsText" text="GBq">
      <formula>NOT(ISERROR(SEARCH("GBq",MK25)))</formula>
    </cfRule>
  </conditionalFormatting>
  <conditionalFormatting sqref="NF25">
    <cfRule type="containsText" dxfId="17" priority="38" operator="containsText" text="GBq">
      <formula>NOT(ISERROR(SEARCH("GBq",NF25)))</formula>
    </cfRule>
  </conditionalFormatting>
  <conditionalFormatting sqref="NY25">
    <cfRule type="containsText" dxfId="16" priority="37" operator="containsText" text="Co-60">
      <formula>NOT(ISERROR(SEARCH("Co-60",NY25)))</formula>
    </cfRule>
  </conditionalFormatting>
  <conditionalFormatting sqref="OA25">
    <cfRule type="containsText" dxfId="15" priority="36" operator="containsText" text="GBq">
      <formula>NOT(ISERROR(SEARCH("GBq",OA25)))</formula>
    </cfRule>
  </conditionalFormatting>
  <conditionalFormatting sqref="OT25">
    <cfRule type="containsText" dxfId="14" priority="35" operator="containsText" text="Co-60">
      <formula>NOT(ISERROR(SEARCH("Co-60",OT25)))</formula>
    </cfRule>
  </conditionalFormatting>
  <conditionalFormatting sqref="OV25">
    <cfRule type="containsText" dxfId="13" priority="34" operator="containsText" text="GBq">
      <formula>NOT(ISERROR(SEARCH("GBq",OV25)))</formula>
    </cfRule>
  </conditionalFormatting>
  <conditionalFormatting sqref="PO25">
    <cfRule type="containsText" dxfId="12" priority="33" operator="containsText" text="Co-60">
      <formula>NOT(ISERROR(SEARCH("Co-60",PO25)))</formula>
    </cfRule>
  </conditionalFormatting>
  <conditionalFormatting sqref="PQ25">
    <cfRule type="containsText" dxfId="11" priority="32" operator="containsText" text="GBq">
      <formula>NOT(ISERROR(SEARCH("GBq",PQ25)))</formula>
    </cfRule>
  </conditionalFormatting>
  <conditionalFormatting sqref="RG25">
    <cfRule type="containsText" dxfId="10" priority="31" operator="containsText" text="GBq">
      <formula>NOT(ISERROR(SEARCH("GBq",RG25)))</formula>
    </cfRule>
  </conditionalFormatting>
  <conditionalFormatting sqref="AF26">
    <cfRule type="containsText" dxfId="9" priority="30" operator="containsText" text="Co-60">
      <formula>NOT(ISERROR(SEARCH("Co-60",AF26)))</formula>
    </cfRule>
  </conditionalFormatting>
  <conditionalFormatting sqref="AH26">
    <cfRule type="containsText" dxfId="8" priority="29" operator="containsText" text="GBq">
      <formula>NOT(ISERROR(SEARCH("GBq",AH26)))</formula>
    </cfRule>
  </conditionalFormatting>
  <conditionalFormatting sqref="BX26">
    <cfRule type="containsText" dxfId="7" priority="27" operator="containsText" text="GBq">
      <formula>NOT(ISERROR(SEARCH("GBq",BX26)))</formula>
    </cfRule>
  </conditionalFormatting>
  <conditionalFormatting sqref="BA26">
    <cfRule type="containsText" dxfId="6" priority="25" operator="containsText" text="Co-60">
      <formula>NOT(ISERROR(SEARCH("Co-60",BA26)))</formula>
    </cfRule>
  </conditionalFormatting>
  <conditionalFormatting sqref="BV26">
    <cfRule type="containsText" dxfId="5" priority="24" operator="containsText" text="Co-60">
      <formula>NOT(ISERROR(SEARCH("Co-60",BV26)))</formula>
    </cfRule>
  </conditionalFormatting>
  <conditionalFormatting sqref="DL26">
    <cfRule type="containsText" dxfId="4" priority="23" operator="containsText" text="Co-60">
      <formula>NOT(ISERROR(SEARCH("Co-60",DL26)))</formula>
    </cfRule>
  </conditionalFormatting>
  <conditionalFormatting sqref="EG26">
    <cfRule type="containsText" dxfId="3" priority="22" operator="containsText" text="Co-60">
      <formula>NOT(ISERROR(SEARCH("Co-60",EG26)))</formula>
    </cfRule>
  </conditionalFormatting>
  <conditionalFormatting sqref="AF28">
    <cfRule type="containsText" dxfId="2" priority="21" operator="containsText" text="Co-60">
      <formula>NOT(ISERROR(SEARCH("Co-60",AF28)))</formula>
    </cfRule>
  </conditionalFormatting>
  <conditionalFormatting sqref="AH28">
    <cfRule type="containsText" dxfId="1" priority="20" operator="containsText" text="GBq">
      <formula>NOT(ISERROR(SEARCH("GBq",AH28)))</formula>
    </cfRule>
  </conditionalFormatting>
  <conditionalFormatting sqref="BX28">
    <cfRule type="containsText" dxfId="0" priority="19" operator="containsText" text="GBq">
      <formula>NOT(ISERROR(SEARCH("GBq",BX28)))</formula>
    </cfRule>
  </conditionalFormatting>
  <pageMargins left="0.7" right="0.7" top="0.75" bottom="0.75" header="0.3" footer="0.3"/>
  <pageSetup orientation="portrait"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3A800-0724-44D0-BAB0-6CABAA8833C0}">
  <sheetPr codeName="Sheet5"/>
  <dimension ref="A1:OK103"/>
  <sheetViews>
    <sheetView showGridLines="0" zoomScale="110" zoomScaleNormal="110" workbookViewId="0">
      <pane xSplit="1" ySplit="3" topLeftCell="B26" activePane="bottomRight" state="frozen"/>
      <selection activeCell="A44" sqref="A44"/>
      <selection pane="topRight" activeCell="A44" sqref="A44"/>
      <selection pane="bottomLeft" activeCell="A44" sqref="A44"/>
      <selection pane="bottomRight" activeCell="A44" sqref="A44"/>
    </sheetView>
  </sheetViews>
  <sheetFormatPr defaultColWidth="8.88671875" defaultRowHeight="14.4" x14ac:dyDescent="0.3"/>
  <cols>
    <col min="1" max="1" width="22.33203125" customWidth="1"/>
    <col min="2" max="2" width="37.44140625" customWidth="1"/>
    <col min="3" max="3" width="11" style="2" customWidth="1"/>
    <col min="4" max="4" width="11" customWidth="1"/>
    <col min="5" max="6" width="11" style="2" customWidth="1"/>
    <col min="7" max="7" width="11" customWidth="1"/>
    <col min="8" max="21" width="11" style="2" customWidth="1"/>
    <col min="22" max="34" width="11" customWidth="1"/>
    <col min="35" max="36" width="11" style="1" customWidth="1"/>
    <col min="37" max="82" width="11" customWidth="1"/>
    <col min="83" max="83" width="11" style="1" customWidth="1"/>
    <col min="84" max="92" width="11" customWidth="1"/>
    <col min="93" max="93" width="11" style="1" customWidth="1"/>
    <col min="94" max="102" width="11" customWidth="1"/>
    <col min="103" max="103" width="11" style="1" customWidth="1"/>
    <col min="104" max="112" width="11" customWidth="1"/>
    <col min="113" max="113" width="11" style="1" customWidth="1"/>
    <col min="114" max="122" width="11" customWidth="1"/>
    <col min="123" max="123" width="11" style="1" customWidth="1"/>
    <col min="124" max="132" width="11" customWidth="1"/>
    <col min="133" max="133" width="11" style="1" customWidth="1"/>
    <col min="134" max="142" width="11" customWidth="1"/>
    <col min="143" max="143" width="11" style="1" customWidth="1"/>
    <col min="144" max="151" width="11" customWidth="1"/>
    <col min="152" max="153" width="11" style="1" customWidth="1"/>
    <col min="154" max="154" width="18.6640625" style="1" customWidth="1"/>
    <col min="155" max="160" width="11" style="1" customWidth="1"/>
    <col min="161" max="161" width="10.88671875" style="1" customWidth="1"/>
    <col min="162" max="201" width="11" style="1" customWidth="1"/>
    <col min="202" max="202" width="11" customWidth="1"/>
    <col min="203" max="203" width="11" style="1" customWidth="1"/>
    <col min="204" max="212" width="11" customWidth="1"/>
    <col min="213" max="213" width="11" style="1" customWidth="1"/>
    <col min="214" max="222" width="11" customWidth="1"/>
    <col min="223" max="223" width="11" style="1" customWidth="1"/>
    <col min="224" max="232" width="11" customWidth="1"/>
    <col min="233" max="233" width="11" style="1" customWidth="1"/>
    <col min="234" max="234" width="11" customWidth="1"/>
    <col min="235" max="235" width="13" customWidth="1"/>
    <col min="236" max="301" width="11" customWidth="1"/>
    <col min="305" max="305" width="10.88671875" bestFit="1" customWidth="1"/>
    <col min="306" max="306" width="9.33203125" bestFit="1" customWidth="1"/>
    <col min="315" max="315" width="10.88671875" bestFit="1" customWidth="1"/>
    <col min="316" max="316" width="9.33203125" bestFit="1" customWidth="1"/>
    <col min="325" max="325" width="10.88671875" bestFit="1" customWidth="1"/>
    <col min="326" max="326" width="9.5546875" bestFit="1" customWidth="1"/>
    <col min="335" max="335" width="10.88671875" bestFit="1" customWidth="1"/>
    <col min="336" max="336" width="9.33203125" bestFit="1" customWidth="1"/>
    <col min="345" max="346" width="9.33203125" bestFit="1" customWidth="1"/>
    <col min="357" max="357" width="11.6640625" bestFit="1" customWidth="1"/>
    <col min="365" max="366" width="9.5546875" bestFit="1" customWidth="1"/>
    <col min="375" max="376" width="9.5546875" bestFit="1" customWidth="1"/>
  </cols>
  <sheetData>
    <row r="1" spans="1:401" x14ac:dyDescent="0.3">
      <c r="A1" s="47">
        <v>1</v>
      </c>
      <c r="B1" s="47">
        <v>2</v>
      </c>
      <c r="C1" s="47">
        <v>3</v>
      </c>
      <c r="D1" s="47">
        <v>4</v>
      </c>
      <c r="E1" s="47">
        <v>5</v>
      </c>
      <c r="F1" s="47">
        <v>6</v>
      </c>
      <c r="G1" s="47">
        <v>7</v>
      </c>
      <c r="H1" s="47">
        <v>8</v>
      </c>
      <c r="I1" s="47">
        <v>9</v>
      </c>
      <c r="J1" s="47">
        <v>10</v>
      </c>
      <c r="K1" s="47">
        <v>11</v>
      </c>
      <c r="L1" s="47">
        <v>12</v>
      </c>
      <c r="M1" s="47">
        <v>13</v>
      </c>
      <c r="N1" s="47">
        <v>14</v>
      </c>
      <c r="O1" s="47">
        <v>15</v>
      </c>
      <c r="P1" s="47">
        <v>16</v>
      </c>
      <c r="Q1" s="47">
        <v>17</v>
      </c>
      <c r="R1" s="47">
        <v>18</v>
      </c>
      <c r="S1" s="47">
        <v>19</v>
      </c>
      <c r="T1" s="47">
        <v>20</v>
      </c>
      <c r="U1" s="47">
        <v>21</v>
      </c>
      <c r="V1" s="47">
        <v>22</v>
      </c>
      <c r="W1" s="47">
        <v>23</v>
      </c>
      <c r="X1" s="47">
        <v>24</v>
      </c>
      <c r="Y1" s="47">
        <v>25</v>
      </c>
      <c r="Z1" s="47">
        <v>26</v>
      </c>
      <c r="AA1" s="47">
        <v>27</v>
      </c>
      <c r="AB1" s="47">
        <v>28</v>
      </c>
      <c r="AC1" s="47">
        <v>29</v>
      </c>
      <c r="AD1" s="47">
        <v>30</v>
      </c>
      <c r="AE1" s="47">
        <v>31</v>
      </c>
      <c r="AF1" s="47">
        <v>32</v>
      </c>
      <c r="AG1" s="47">
        <v>33</v>
      </c>
      <c r="AH1" s="47">
        <v>34</v>
      </c>
      <c r="AI1" s="47">
        <v>35</v>
      </c>
      <c r="AJ1" s="47">
        <v>36</v>
      </c>
      <c r="AK1" s="47">
        <v>37</v>
      </c>
      <c r="AL1" s="47">
        <v>38</v>
      </c>
      <c r="AM1" s="47">
        <v>39</v>
      </c>
      <c r="AN1" s="47">
        <v>40</v>
      </c>
      <c r="AO1" s="47">
        <v>41</v>
      </c>
      <c r="AP1" s="47">
        <v>42</v>
      </c>
      <c r="AQ1" s="47">
        <v>43</v>
      </c>
      <c r="AR1" s="47">
        <v>44</v>
      </c>
      <c r="AS1" s="47">
        <v>45</v>
      </c>
      <c r="AT1" s="47">
        <v>46</v>
      </c>
      <c r="AU1" s="47">
        <v>47</v>
      </c>
      <c r="AV1" s="47">
        <v>48</v>
      </c>
      <c r="AW1" s="47">
        <v>49</v>
      </c>
      <c r="AX1" s="47">
        <v>50</v>
      </c>
      <c r="AY1" s="47">
        <v>51</v>
      </c>
      <c r="AZ1" s="47">
        <v>52</v>
      </c>
      <c r="BA1" s="47">
        <v>53</v>
      </c>
      <c r="BB1" s="47">
        <v>54</v>
      </c>
      <c r="BC1" s="47">
        <v>55</v>
      </c>
      <c r="BD1" s="47">
        <v>56</v>
      </c>
      <c r="BE1" s="47">
        <v>57</v>
      </c>
      <c r="BF1" s="47">
        <v>58</v>
      </c>
      <c r="BG1" s="47">
        <v>59</v>
      </c>
      <c r="BH1" s="47">
        <v>60</v>
      </c>
      <c r="BI1" s="47">
        <v>61</v>
      </c>
      <c r="BJ1" s="47">
        <v>62</v>
      </c>
      <c r="BK1" s="47">
        <v>63</v>
      </c>
      <c r="BL1" s="47">
        <v>64</v>
      </c>
      <c r="BM1" s="47">
        <v>65</v>
      </c>
      <c r="BN1" s="47">
        <v>66</v>
      </c>
      <c r="BO1" s="47">
        <v>67</v>
      </c>
      <c r="BP1" s="47">
        <v>68</v>
      </c>
      <c r="BQ1" s="47">
        <v>69</v>
      </c>
      <c r="BR1" s="47">
        <v>70</v>
      </c>
      <c r="BS1" s="47">
        <v>71</v>
      </c>
      <c r="BT1" s="47">
        <v>72</v>
      </c>
      <c r="BU1" s="47">
        <v>73</v>
      </c>
      <c r="BV1" s="47">
        <v>74</v>
      </c>
      <c r="BW1" s="47">
        <v>75</v>
      </c>
      <c r="BX1" s="47">
        <v>76</v>
      </c>
      <c r="BY1" s="47">
        <v>77</v>
      </c>
      <c r="BZ1" s="47">
        <v>78</v>
      </c>
      <c r="CA1" s="47">
        <v>79</v>
      </c>
      <c r="CB1" s="47">
        <v>80</v>
      </c>
      <c r="CC1" s="47">
        <v>81</v>
      </c>
      <c r="CD1" s="47">
        <v>82</v>
      </c>
      <c r="CE1" s="47">
        <v>83</v>
      </c>
      <c r="CF1" s="47">
        <v>84</v>
      </c>
      <c r="CG1" s="47">
        <v>85</v>
      </c>
      <c r="CH1" s="47">
        <v>86</v>
      </c>
      <c r="CI1" s="47">
        <v>87</v>
      </c>
      <c r="CJ1" s="47">
        <v>88</v>
      </c>
      <c r="CK1" s="47">
        <v>89</v>
      </c>
      <c r="CL1" s="47">
        <v>90</v>
      </c>
      <c r="CM1" s="47">
        <v>91</v>
      </c>
      <c r="CN1" s="47">
        <v>92</v>
      </c>
      <c r="CO1" s="47">
        <v>93</v>
      </c>
      <c r="CP1" s="47">
        <v>94</v>
      </c>
      <c r="CQ1" s="47">
        <v>95</v>
      </c>
      <c r="CR1" s="47">
        <v>96</v>
      </c>
      <c r="CS1" s="47">
        <v>97</v>
      </c>
      <c r="CT1" s="47">
        <v>98</v>
      </c>
      <c r="CU1" s="47">
        <v>99</v>
      </c>
      <c r="CV1" s="47">
        <v>100</v>
      </c>
      <c r="CW1" s="47">
        <v>101</v>
      </c>
      <c r="CX1" s="47">
        <v>102</v>
      </c>
      <c r="CY1" s="47">
        <v>103</v>
      </c>
      <c r="CZ1" s="47">
        <v>104</v>
      </c>
      <c r="DA1" s="47">
        <v>105</v>
      </c>
      <c r="DB1" s="47">
        <v>106</v>
      </c>
      <c r="DC1" s="47">
        <v>107</v>
      </c>
      <c r="DD1" s="47">
        <v>108</v>
      </c>
      <c r="DE1" s="47">
        <v>109</v>
      </c>
      <c r="DF1" s="47">
        <v>110</v>
      </c>
      <c r="DG1" s="47">
        <v>111</v>
      </c>
      <c r="DH1" s="47">
        <v>112</v>
      </c>
      <c r="DI1" s="47">
        <v>113</v>
      </c>
      <c r="DJ1" s="47">
        <v>114</v>
      </c>
      <c r="DK1" s="47">
        <v>115</v>
      </c>
      <c r="DL1" s="47">
        <v>116</v>
      </c>
      <c r="DM1" s="47">
        <v>117</v>
      </c>
      <c r="DN1" s="47">
        <v>118</v>
      </c>
      <c r="DO1" s="47">
        <v>119</v>
      </c>
      <c r="DP1" s="47">
        <v>120</v>
      </c>
      <c r="DQ1" s="47">
        <v>121</v>
      </c>
      <c r="DR1" s="47">
        <v>122</v>
      </c>
      <c r="DS1" s="47">
        <v>123</v>
      </c>
      <c r="DT1" s="47">
        <v>124</v>
      </c>
      <c r="DU1" s="47">
        <v>125</v>
      </c>
      <c r="DV1" s="47">
        <v>126</v>
      </c>
      <c r="DW1" s="47">
        <v>127</v>
      </c>
      <c r="DX1" s="47">
        <v>128</v>
      </c>
      <c r="DY1" s="47">
        <v>129</v>
      </c>
      <c r="DZ1" s="47">
        <v>130</v>
      </c>
      <c r="EA1" s="47">
        <v>131</v>
      </c>
      <c r="EB1" s="47">
        <v>132</v>
      </c>
      <c r="EC1" s="47">
        <v>133</v>
      </c>
      <c r="ED1" s="47">
        <v>134</v>
      </c>
      <c r="EE1" s="47">
        <v>135</v>
      </c>
      <c r="EF1" s="47">
        <v>136</v>
      </c>
      <c r="EG1" s="47">
        <v>137</v>
      </c>
      <c r="EH1" s="47">
        <v>138</v>
      </c>
      <c r="EI1" s="47">
        <v>139</v>
      </c>
      <c r="EJ1" s="47">
        <v>140</v>
      </c>
      <c r="EK1" s="47">
        <v>141</v>
      </c>
      <c r="EL1" s="47">
        <v>142</v>
      </c>
      <c r="EM1" s="47">
        <v>143</v>
      </c>
      <c r="EN1" s="47">
        <v>144</v>
      </c>
      <c r="EO1" s="47">
        <v>145</v>
      </c>
      <c r="EP1" s="47">
        <v>146</v>
      </c>
      <c r="EQ1" s="47">
        <v>147</v>
      </c>
      <c r="ER1" s="47">
        <v>148</v>
      </c>
      <c r="ES1" s="47">
        <v>149</v>
      </c>
      <c r="ET1" s="47">
        <v>150</v>
      </c>
      <c r="EU1" s="47">
        <v>151</v>
      </c>
      <c r="EV1" s="47">
        <v>152</v>
      </c>
      <c r="EW1" s="47">
        <v>153</v>
      </c>
      <c r="EX1" s="47">
        <v>154</v>
      </c>
      <c r="EY1" s="47">
        <v>155</v>
      </c>
      <c r="EZ1" s="47">
        <v>156</v>
      </c>
      <c r="FA1" s="47">
        <v>157</v>
      </c>
      <c r="FB1" s="47">
        <v>158</v>
      </c>
      <c r="FC1" s="47">
        <v>159</v>
      </c>
      <c r="FD1" s="47">
        <v>160</v>
      </c>
      <c r="FE1" s="47">
        <v>161</v>
      </c>
      <c r="FF1" s="47">
        <v>162</v>
      </c>
      <c r="FG1" s="47">
        <v>163</v>
      </c>
      <c r="FH1" s="47">
        <v>164</v>
      </c>
      <c r="FI1" s="47">
        <v>165</v>
      </c>
      <c r="FJ1" s="47">
        <v>166</v>
      </c>
      <c r="FK1" s="47">
        <v>167</v>
      </c>
      <c r="FL1" s="47">
        <v>168</v>
      </c>
      <c r="FM1" s="47">
        <v>169</v>
      </c>
      <c r="FN1" s="47">
        <v>170</v>
      </c>
      <c r="FO1" s="47">
        <v>171</v>
      </c>
      <c r="FP1" s="47">
        <v>172</v>
      </c>
      <c r="FQ1" s="47">
        <v>173</v>
      </c>
      <c r="FR1" s="47">
        <v>174</v>
      </c>
      <c r="FS1" s="47">
        <v>175</v>
      </c>
      <c r="FT1" s="47">
        <v>176</v>
      </c>
      <c r="FU1" s="47">
        <v>177</v>
      </c>
      <c r="FV1" s="47">
        <v>178</v>
      </c>
      <c r="FW1" s="47">
        <v>179</v>
      </c>
      <c r="FX1" s="47">
        <v>180</v>
      </c>
      <c r="FY1" s="47">
        <v>181</v>
      </c>
      <c r="FZ1" s="47">
        <v>182</v>
      </c>
      <c r="GA1" s="47">
        <v>183</v>
      </c>
      <c r="GB1" s="47">
        <v>184</v>
      </c>
      <c r="GC1" s="47">
        <v>185</v>
      </c>
      <c r="GD1" s="47">
        <v>186</v>
      </c>
      <c r="GE1" s="47">
        <v>187</v>
      </c>
      <c r="GF1" s="47">
        <v>188</v>
      </c>
      <c r="GG1" s="47">
        <v>189</v>
      </c>
      <c r="GH1" s="47">
        <v>190</v>
      </c>
      <c r="GI1" s="47">
        <v>191</v>
      </c>
      <c r="GJ1" s="47">
        <v>192</v>
      </c>
      <c r="GK1" s="47">
        <v>193</v>
      </c>
      <c r="GL1" s="47">
        <v>194</v>
      </c>
      <c r="GM1" s="47">
        <v>195</v>
      </c>
      <c r="GN1" s="47">
        <v>196</v>
      </c>
      <c r="GO1" s="47">
        <v>197</v>
      </c>
      <c r="GP1" s="47">
        <v>198</v>
      </c>
      <c r="GQ1" s="47">
        <v>199</v>
      </c>
      <c r="GR1" s="47">
        <v>200</v>
      </c>
      <c r="GS1" s="47">
        <v>201</v>
      </c>
      <c r="GT1" s="47">
        <v>202</v>
      </c>
      <c r="GU1" s="47">
        <v>203</v>
      </c>
      <c r="GV1" s="47">
        <v>204</v>
      </c>
      <c r="GW1" s="47">
        <v>205</v>
      </c>
      <c r="GX1" s="47">
        <v>206</v>
      </c>
      <c r="GY1" s="47">
        <v>207</v>
      </c>
      <c r="GZ1" s="47">
        <v>208</v>
      </c>
      <c r="HA1" s="47">
        <v>209</v>
      </c>
      <c r="HB1" s="47">
        <v>210</v>
      </c>
      <c r="HC1" s="47">
        <v>211</v>
      </c>
      <c r="HD1" s="47">
        <v>212</v>
      </c>
      <c r="HE1" s="47">
        <v>213</v>
      </c>
      <c r="HF1" s="47">
        <v>214</v>
      </c>
      <c r="HG1" s="47">
        <v>215</v>
      </c>
      <c r="HH1" s="47">
        <v>216</v>
      </c>
      <c r="HI1" s="47">
        <v>217</v>
      </c>
      <c r="HJ1" s="47">
        <v>218</v>
      </c>
      <c r="HK1" s="47">
        <v>219</v>
      </c>
      <c r="HL1" s="47">
        <v>220</v>
      </c>
      <c r="HM1" s="47">
        <v>221</v>
      </c>
      <c r="HN1" s="47">
        <v>222</v>
      </c>
      <c r="HO1" s="47">
        <v>223</v>
      </c>
      <c r="HP1" s="47">
        <v>224</v>
      </c>
      <c r="HQ1" s="47">
        <v>225</v>
      </c>
      <c r="HR1" s="47">
        <v>226</v>
      </c>
      <c r="HS1" s="47">
        <v>227</v>
      </c>
      <c r="HT1" s="47">
        <v>228</v>
      </c>
      <c r="HU1" s="47">
        <v>229</v>
      </c>
      <c r="HV1" s="47">
        <v>230</v>
      </c>
      <c r="HW1" s="47">
        <v>231</v>
      </c>
      <c r="HX1" s="47">
        <v>232</v>
      </c>
      <c r="HY1" s="47">
        <v>233</v>
      </c>
      <c r="HZ1" s="47">
        <v>234</v>
      </c>
      <c r="IA1" s="47">
        <v>235</v>
      </c>
      <c r="IB1" s="47">
        <v>236</v>
      </c>
      <c r="IC1" s="47">
        <v>237</v>
      </c>
      <c r="ID1" s="47">
        <v>238</v>
      </c>
      <c r="IE1" s="47">
        <v>239</v>
      </c>
      <c r="IF1" s="47">
        <v>240</v>
      </c>
      <c r="IG1" s="47">
        <v>241</v>
      </c>
      <c r="IH1" s="47">
        <v>242</v>
      </c>
      <c r="II1" s="47">
        <v>243</v>
      </c>
      <c r="IJ1" s="47">
        <v>244</v>
      </c>
      <c r="IK1" s="47">
        <v>245</v>
      </c>
      <c r="IL1" s="47">
        <v>246</v>
      </c>
      <c r="IM1" s="47">
        <v>247</v>
      </c>
      <c r="IN1" s="47">
        <v>248</v>
      </c>
      <c r="IO1" s="47">
        <v>249</v>
      </c>
      <c r="IP1" s="47">
        <v>250</v>
      </c>
      <c r="IQ1" s="47">
        <v>251</v>
      </c>
      <c r="IR1" s="47">
        <v>252</v>
      </c>
      <c r="IS1" s="47">
        <v>253</v>
      </c>
      <c r="IT1" s="47">
        <v>254</v>
      </c>
      <c r="IU1" s="47">
        <v>255</v>
      </c>
      <c r="IV1" s="47">
        <v>256</v>
      </c>
      <c r="IW1" s="47">
        <v>257</v>
      </c>
      <c r="IX1" s="47">
        <v>258</v>
      </c>
      <c r="IY1" s="47">
        <v>259</v>
      </c>
      <c r="IZ1" s="47">
        <v>260</v>
      </c>
      <c r="JA1" s="47">
        <v>261</v>
      </c>
      <c r="JB1" s="47">
        <v>262</v>
      </c>
      <c r="JC1" s="47">
        <v>263</v>
      </c>
      <c r="JD1" s="47">
        <v>264</v>
      </c>
      <c r="JE1" s="47">
        <v>265</v>
      </c>
      <c r="JF1" s="47">
        <v>266</v>
      </c>
      <c r="JG1" s="47">
        <v>267</v>
      </c>
      <c r="JH1" s="47">
        <v>268</v>
      </c>
      <c r="JI1" s="47">
        <v>269</v>
      </c>
      <c r="JJ1" s="47">
        <v>270</v>
      </c>
      <c r="JK1" s="47">
        <v>271</v>
      </c>
      <c r="JL1" s="47">
        <v>272</v>
      </c>
      <c r="JM1" s="47">
        <v>273</v>
      </c>
      <c r="JN1" s="47">
        <v>274</v>
      </c>
      <c r="JO1" s="47">
        <v>275</v>
      </c>
      <c r="JP1" s="47">
        <v>276</v>
      </c>
      <c r="JQ1" s="47">
        <v>277</v>
      </c>
      <c r="JR1" s="47">
        <v>278</v>
      </c>
      <c r="JS1" s="47">
        <v>279</v>
      </c>
      <c r="JT1" s="47">
        <v>280</v>
      </c>
      <c r="JU1" s="47">
        <v>281</v>
      </c>
      <c r="JV1" s="47">
        <v>282</v>
      </c>
      <c r="JW1" s="47">
        <v>283</v>
      </c>
      <c r="JX1" s="47">
        <v>284</v>
      </c>
      <c r="JY1" s="47">
        <v>285</v>
      </c>
      <c r="JZ1" s="47">
        <v>286</v>
      </c>
      <c r="KA1" s="47">
        <v>287</v>
      </c>
      <c r="KB1" s="47">
        <v>288</v>
      </c>
      <c r="KC1" s="47">
        <v>289</v>
      </c>
      <c r="KD1" s="47">
        <v>290</v>
      </c>
      <c r="KE1" s="47">
        <v>291</v>
      </c>
      <c r="KF1" s="47">
        <v>292</v>
      </c>
      <c r="KG1" s="47">
        <v>293</v>
      </c>
      <c r="KH1" s="47">
        <v>294</v>
      </c>
      <c r="KI1" s="47">
        <v>295</v>
      </c>
      <c r="KJ1" s="47">
        <v>296</v>
      </c>
      <c r="KK1" s="47">
        <v>297</v>
      </c>
      <c r="KL1" s="47">
        <v>298</v>
      </c>
      <c r="KM1" s="47">
        <v>299</v>
      </c>
      <c r="KN1" s="47">
        <v>300</v>
      </c>
      <c r="KO1" s="47">
        <v>301</v>
      </c>
      <c r="KP1" s="47">
        <v>302</v>
      </c>
      <c r="KQ1" s="47">
        <v>303</v>
      </c>
      <c r="KR1" s="47">
        <v>304</v>
      </c>
      <c r="KS1" s="47">
        <v>305</v>
      </c>
      <c r="KT1" s="47">
        <v>306</v>
      </c>
      <c r="KU1" s="47">
        <v>307</v>
      </c>
      <c r="KV1" s="47">
        <v>308</v>
      </c>
      <c r="KW1" s="47">
        <v>309</v>
      </c>
      <c r="KX1" s="47">
        <v>310</v>
      </c>
      <c r="KY1" s="47">
        <v>311</v>
      </c>
      <c r="KZ1" s="47">
        <v>312</v>
      </c>
      <c r="LA1" s="47">
        <v>313</v>
      </c>
      <c r="LB1" s="47">
        <v>314</v>
      </c>
      <c r="LC1" s="47">
        <v>315</v>
      </c>
      <c r="LD1" s="47">
        <v>316</v>
      </c>
      <c r="LE1" s="47">
        <v>317</v>
      </c>
      <c r="LF1" s="47">
        <v>318</v>
      </c>
      <c r="LG1" s="47">
        <v>319</v>
      </c>
      <c r="LH1" s="47">
        <v>320</v>
      </c>
      <c r="LI1" s="47">
        <v>321</v>
      </c>
      <c r="LJ1" s="47">
        <v>322</v>
      </c>
      <c r="LK1" s="47">
        <v>323</v>
      </c>
      <c r="LL1" s="47">
        <v>324</v>
      </c>
      <c r="LM1" s="47">
        <v>325</v>
      </c>
      <c r="LN1" s="47">
        <v>326</v>
      </c>
      <c r="LO1" s="47">
        <v>327</v>
      </c>
      <c r="LP1" s="47">
        <v>328</v>
      </c>
      <c r="LQ1" s="47">
        <v>329</v>
      </c>
      <c r="LR1" s="47">
        <v>330</v>
      </c>
      <c r="LS1" s="47">
        <v>331</v>
      </c>
      <c r="LT1" s="47">
        <v>332</v>
      </c>
      <c r="LU1" s="47">
        <v>333</v>
      </c>
      <c r="LV1" s="47">
        <v>334</v>
      </c>
      <c r="LW1" s="47">
        <v>335</v>
      </c>
      <c r="LX1" s="47">
        <v>336</v>
      </c>
      <c r="LY1" s="47">
        <v>337</v>
      </c>
      <c r="LZ1" s="47">
        <v>338</v>
      </c>
      <c r="MA1" s="47">
        <v>339</v>
      </c>
      <c r="MB1" s="47">
        <v>340</v>
      </c>
      <c r="MC1" s="47">
        <v>341</v>
      </c>
      <c r="MD1" s="47">
        <v>342</v>
      </c>
      <c r="ME1" s="47">
        <v>343</v>
      </c>
      <c r="MF1" s="47">
        <v>344</v>
      </c>
      <c r="MG1" s="47">
        <v>345</v>
      </c>
      <c r="MH1" s="47">
        <v>346</v>
      </c>
      <c r="MI1" s="47">
        <v>347</v>
      </c>
      <c r="MJ1" s="47">
        <v>348</v>
      </c>
      <c r="MK1" s="47">
        <v>349</v>
      </c>
      <c r="ML1" s="47">
        <v>350</v>
      </c>
      <c r="MM1" s="47">
        <v>351</v>
      </c>
      <c r="MN1" s="47">
        <v>352</v>
      </c>
      <c r="MO1" s="47">
        <v>353</v>
      </c>
      <c r="MP1" s="47">
        <v>354</v>
      </c>
      <c r="MQ1" s="47">
        <v>355</v>
      </c>
      <c r="MR1" s="47">
        <v>356</v>
      </c>
      <c r="MS1" s="47">
        <v>357</v>
      </c>
      <c r="MT1" s="47">
        <v>358</v>
      </c>
      <c r="MU1" s="47">
        <v>359</v>
      </c>
      <c r="MV1" s="47">
        <v>360</v>
      </c>
      <c r="MW1" s="47">
        <v>361</v>
      </c>
      <c r="MX1" s="47">
        <v>362</v>
      </c>
      <c r="MY1" s="47">
        <v>363</v>
      </c>
      <c r="MZ1" s="47">
        <v>364</v>
      </c>
      <c r="NA1" s="47">
        <v>365</v>
      </c>
      <c r="NB1" s="47">
        <v>366</v>
      </c>
      <c r="NC1" s="47">
        <v>367</v>
      </c>
      <c r="ND1" s="47">
        <v>368</v>
      </c>
      <c r="NE1" s="47">
        <v>369</v>
      </c>
      <c r="NF1" s="47">
        <v>370</v>
      </c>
      <c r="NG1" s="47">
        <v>371</v>
      </c>
      <c r="NH1" s="47">
        <v>372</v>
      </c>
      <c r="NI1" s="47">
        <v>373</v>
      </c>
      <c r="NJ1" s="47">
        <v>374</v>
      </c>
      <c r="NK1" s="47">
        <v>375</v>
      </c>
      <c r="NL1" s="47">
        <v>376</v>
      </c>
      <c r="NM1" s="47">
        <v>377</v>
      </c>
      <c r="NN1" s="47">
        <v>378</v>
      </c>
      <c r="NO1" s="47">
        <v>379</v>
      </c>
      <c r="NP1" s="47">
        <v>380</v>
      </c>
      <c r="NQ1" s="47">
        <v>381</v>
      </c>
      <c r="NR1" s="47">
        <v>382</v>
      </c>
      <c r="NS1" s="47">
        <v>383</v>
      </c>
      <c r="NT1" s="47">
        <v>384</v>
      </c>
      <c r="NU1" s="47">
        <v>385</v>
      </c>
      <c r="NV1" s="47">
        <v>386</v>
      </c>
      <c r="NW1" s="47">
        <v>387</v>
      </c>
      <c r="NX1" s="47">
        <v>388</v>
      </c>
      <c r="NY1" s="47">
        <v>389</v>
      </c>
      <c r="NZ1" s="47">
        <v>390</v>
      </c>
      <c r="OA1" s="47">
        <v>391</v>
      </c>
      <c r="OB1" s="47">
        <v>392</v>
      </c>
      <c r="OC1" s="47">
        <v>393</v>
      </c>
      <c r="OD1" s="47">
        <v>394</v>
      </c>
      <c r="OE1" s="47">
        <v>395</v>
      </c>
      <c r="OF1" s="47">
        <v>396</v>
      </c>
      <c r="OG1" s="47">
        <v>397</v>
      </c>
      <c r="OH1" s="47">
        <v>398</v>
      </c>
      <c r="OI1" s="47">
        <v>399</v>
      </c>
      <c r="OJ1" s="47">
        <v>400</v>
      </c>
      <c r="OK1" s="47">
        <v>401</v>
      </c>
    </row>
    <row r="2" spans="1:401" x14ac:dyDescent="0.3">
      <c r="A2" s="475" t="s">
        <v>84</v>
      </c>
      <c r="B2" s="468" t="s">
        <v>784</v>
      </c>
      <c r="C2" s="469"/>
      <c r="D2" s="469"/>
      <c r="E2" s="469"/>
      <c r="F2" s="469"/>
      <c r="G2" s="469"/>
      <c r="H2" s="469"/>
      <c r="I2" s="469"/>
      <c r="J2" s="469"/>
      <c r="K2" s="470"/>
      <c r="L2" s="471" t="s">
        <v>785</v>
      </c>
      <c r="M2" s="472"/>
      <c r="N2" s="472"/>
      <c r="O2" s="472"/>
      <c r="P2" s="472"/>
      <c r="Q2" s="472"/>
      <c r="R2" s="472"/>
      <c r="S2" s="472"/>
      <c r="T2" s="472"/>
      <c r="U2" s="473"/>
      <c r="V2" s="468" t="s">
        <v>786</v>
      </c>
      <c r="W2" s="469"/>
      <c r="X2" s="469"/>
      <c r="Y2" s="469"/>
      <c r="Z2" s="469"/>
      <c r="AA2" s="469"/>
      <c r="AB2" s="469"/>
      <c r="AC2" s="469"/>
      <c r="AD2" s="469"/>
      <c r="AE2" s="470"/>
      <c r="AF2" s="474" t="s">
        <v>787</v>
      </c>
      <c r="AG2" s="474"/>
      <c r="AH2" s="474"/>
      <c r="AI2" s="474"/>
      <c r="AJ2" s="474"/>
      <c r="AK2" s="474"/>
      <c r="AL2" s="474"/>
      <c r="AM2" s="474"/>
      <c r="AN2" s="474"/>
      <c r="AO2" s="474"/>
      <c r="AP2" s="468" t="s">
        <v>788</v>
      </c>
      <c r="AQ2" s="469"/>
      <c r="AR2" s="469"/>
      <c r="AS2" s="469"/>
      <c r="AT2" s="469"/>
      <c r="AU2" s="469"/>
      <c r="AV2" s="469"/>
      <c r="AW2" s="469"/>
      <c r="AX2" s="469"/>
      <c r="AY2" s="470"/>
      <c r="AZ2" s="474" t="s">
        <v>789</v>
      </c>
      <c r="BA2" s="474"/>
      <c r="BB2" s="474"/>
      <c r="BC2" s="474"/>
      <c r="BD2" s="474"/>
      <c r="BE2" s="474"/>
      <c r="BF2" s="474"/>
      <c r="BG2" s="474"/>
      <c r="BH2" s="474"/>
      <c r="BI2" s="474"/>
      <c r="BJ2" s="468" t="s">
        <v>790</v>
      </c>
      <c r="BK2" s="469"/>
      <c r="BL2" s="469"/>
      <c r="BM2" s="469"/>
      <c r="BN2" s="469"/>
      <c r="BO2" s="469"/>
      <c r="BP2" s="469"/>
      <c r="BQ2" s="469"/>
      <c r="BR2" s="469"/>
      <c r="BS2" s="470"/>
      <c r="BT2" s="474" t="s">
        <v>791</v>
      </c>
      <c r="BU2" s="474"/>
      <c r="BV2" s="474"/>
      <c r="BW2" s="474"/>
      <c r="BX2" s="474"/>
      <c r="BY2" s="474"/>
      <c r="BZ2" s="474"/>
      <c r="CA2" s="474"/>
      <c r="CB2" s="474"/>
      <c r="CC2" s="474"/>
      <c r="CD2" s="468" t="s">
        <v>792</v>
      </c>
      <c r="CE2" s="469"/>
      <c r="CF2" s="469"/>
      <c r="CG2" s="469"/>
      <c r="CH2" s="469"/>
      <c r="CI2" s="469"/>
      <c r="CJ2" s="469"/>
      <c r="CK2" s="469"/>
      <c r="CL2" s="469"/>
      <c r="CM2" s="470"/>
      <c r="CN2" s="474" t="s">
        <v>793</v>
      </c>
      <c r="CO2" s="474"/>
      <c r="CP2" s="474"/>
      <c r="CQ2" s="474"/>
      <c r="CR2" s="474"/>
      <c r="CS2" s="474"/>
      <c r="CT2" s="474"/>
      <c r="CU2" s="474"/>
      <c r="CV2" s="474"/>
      <c r="CW2" s="474"/>
      <c r="CX2" s="468" t="s">
        <v>794</v>
      </c>
      <c r="CY2" s="469"/>
      <c r="CZ2" s="469"/>
      <c r="DA2" s="469"/>
      <c r="DB2" s="469"/>
      <c r="DC2" s="469"/>
      <c r="DD2" s="469"/>
      <c r="DE2" s="469"/>
      <c r="DF2" s="469"/>
      <c r="DG2" s="470"/>
      <c r="DH2" s="474" t="s">
        <v>795</v>
      </c>
      <c r="DI2" s="474"/>
      <c r="DJ2" s="474"/>
      <c r="DK2" s="474"/>
      <c r="DL2" s="474"/>
      <c r="DM2" s="474"/>
      <c r="DN2" s="474"/>
      <c r="DO2" s="474"/>
      <c r="DP2" s="474"/>
      <c r="DQ2" s="474"/>
      <c r="DR2" s="468" t="s">
        <v>796</v>
      </c>
      <c r="DS2" s="469"/>
      <c r="DT2" s="469"/>
      <c r="DU2" s="469"/>
      <c r="DV2" s="469"/>
      <c r="DW2" s="469"/>
      <c r="DX2" s="469"/>
      <c r="DY2" s="469"/>
      <c r="DZ2" s="469"/>
      <c r="EA2" s="470"/>
      <c r="EB2" s="474" t="s">
        <v>797</v>
      </c>
      <c r="EC2" s="474"/>
      <c r="ED2" s="474"/>
      <c r="EE2" s="474"/>
      <c r="EF2" s="474"/>
      <c r="EG2" s="474"/>
      <c r="EH2" s="474"/>
      <c r="EI2" s="474"/>
      <c r="EJ2" s="474"/>
      <c r="EK2" s="474"/>
      <c r="EL2" s="468" t="s">
        <v>798</v>
      </c>
      <c r="EM2" s="469"/>
      <c r="EN2" s="469"/>
      <c r="EO2" s="469"/>
      <c r="EP2" s="469"/>
      <c r="EQ2" s="469"/>
      <c r="ER2" s="469"/>
      <c r="ES2" s="469"/>
      <c r="ET2" s="469"/>
      <c r="EU2" s="470"/>
      <c r="EV2" s="474" t="s">
        <v>799</v>
      </c>
      <c r="EW2" s="474"/>
      <c r="EX2" s="474"/>
      <c r="EY2" s="474"/>
      <c r="EZ2" s="474"/>
      <c r="FA2" s="474"/>
      <c r="FB2" s="474"/>
      <c r="FC2" s="474"/>
      <c r="FD2" s="474"/>
      <c r="FE2" s="474"/>
      <c r="FF2" s="468" t="s">
        <v>800</v>
      </c>
      <c r="FG2" s="469"/>
      <c r="FH2" s="469"/>
      <c r="FI2" s="469"/>
      <c r="FJ2" s="469"/>
      <c r="FK2" s="469"/>
      <c r="FL2" s="469"/>
      <c r="FM2" s="469"/>
      <c r="FN2" s="469"/>
      <c r="FO2" s="470"/>
      <c r="FP2" s="474" t="s">
        <v>801</v>
      </c>
      <c r="FQ2" s="474"/>
      <c r="FR2" s="474"/>
      <c r="FS2" s="474"/>
      <c r="FT2" s="474"/>
      <c r="FU2" s="474"/>
      <c r="FV2" s="474"/>
      <c r="FW2" s="474"/>
      <c r="FX2" s="474"/>
      <c r="FY2" s="474"/>
      <c r="FZ2" s="468" t="s">
        <v>802</v>
      </c>
      <c r="GA2" s="469"/>
      <c r="GB2" s="469"/>
      <c r="GC2" s="469"/>
      <c r="GD2" s="469"/>
      <c r="GE2" s="469"/>
      <c r="GF2" s="469"/>
      <c r="GG2" s="469"/>
      <c r="GH2" s="469"/>
      <c r="GI2" s="470"/>
      <c r="GJ2" s="477" t="s">
        <v>803</v>
      </c>
      <c r="GK2" s="474"/>
      <c r="GL2" s="474"/>
      <c r="GM2" s="474"/>
      <c r="GN2" s="474"/>
      <c r="GO2" s="474"/>
      <c r="GP2" s="474"/>
      <c r="GQ2" s="474"/>
      <c r="GR2" s="474"/>
      <c r="GS2" s="478"/>
      <c r="GT2" s="468" t="s">
        <v>804</v>
      </c>
      <c r="GU2" s="469"/>
      <c r="GV2" s="469"/>
      <c r="GW2" s="469"/>
      <c r="GX2" s="469"/>
      <c r="GY2" s="469"/>
      <c r="GZ2" s="469"/>
      <c r="HA2" s="469"/>
      <c r="HB2" s="469"/>
      <c r="HC2" s="470"/>
      <c r="HD2" s="477" t="s">
        <v>805</v>
      </c>
      <c r="HE2" s="474"/>
      <c r="HF2" s="474"/>
      <c r="HG2" s="474"/>
      <c r="HH2" s="474"/>
      <c r="HI2" s="474"/>
      <c r="HJ2" s="474"/>
      <c r="HK2" s="474"/>
      <c r="HL2" s="474"/>
      <c r="HM2" s="478"/>
      <c r="HN2" s="468" t="s">
        <v>806</v>
      </c>
      <c r="HO2" s="469"/>
      <c r="HP2" s="469"/>
      <c r="HQ2" s="469"/>
      <c r="HR2" s="469"/>
      <c r="HS2" s="469"/>
      <c r="HT2" s="469"/>
      <c r="HU2" s="469"/>
      <c r="HV2" s="469"/>
      <c r="HW2" s="470"/>
      <c r="HX2" s="477" t="s">
        <v>807</v>
      </c>
      <c r="HY2" s="474"/>
      <c r="HZ2" s="474"/>
      <c r="IA2" s="474"/>
      <c r="IB2" s="474"/>
      <c r="IC2" s="474"/>
      <c r="ID2" s="474"/>
      <c r="IE2" s="474"/>
      <c r="IF2" s="474"/>
      <c r="IG2" s="478"/>
      <c r="IH2" s="468" t="s">
        <v>808</v>
      </c>
      <c r="II2" s="469"/>
      <c r="IJ2" s="469"/>
      <c r="IK2" s="469"/>
      <c r="IL2" s="469"/>
      <c r="IM2" s="469"/>
      <c r="IN2" s="469"/>
      <c r="IO2" s="469"/>
      <c r="IP2" s="469"/>
      <c r="IQ2" s="470"/>
      <c r="IR2" s="477" t="s">
        <v>809</v>
      </c>
      <c r="IS2" s="474"/>
      <c r="IT2" s="474"/>
      <c r="IU2" s="474"/>
      <c r="IV2" s="474"/>
      <c r="IW2" s="474"/>
      <c r="IX2" s="474"/>
      <c r="IY2" s="474"/>
      <c r="IZ2" s="474"/>
      <c r="JA2" s="478"/>
      <c r="JB2" s="468" t="s">
        <v>810</v>
      </c>
      <c r="JC2" s="469"/>
      <c r="JD2" s="469"/>
      <c r="JE2" s="469"/>
      <c r="JF2" s="469"/>
      <c r="JG2" s="469"/>
      <c r="JH2" s="469"/>
      <c r="JI2" s="469"/>
      <c r="JJ2" s="469"/>
      <c r="JK2" s="470"/>
      <c r="JL2" s="477" t="s">
        <v>811</v>
      </c>
      <c r="JM2" s="474"/>
      <c r="JN2" s="474"/>
      <c r="JO2" s="474"/>
      <c r="JP2" s="474"/>
      <c r="JQ2" s="474"/>
      <c r="JR2" s="474"/>
      <c r="JS2" s="474"/>
      <c r="JT2" s="474"/>
      <c r="JU2" s="478"/>
      <c r="JV2" s="468" t="s">
        <v>812</v>
      </c>
      <c r="JW2" s="469"/>
      <c r="JX2" s="469"/>
      <c r="JY2" s="469"/>
      <c r="JZ2" s="469"/>
      <c r="KA2" s="469"/>
      <c r="KB2" s="469"/>
      <c r="KC2" s="469"/>
      <c r="KD2" s="469"/>
      <c r="KE2" s="470"/>
      <c r="KF2" s="477" t="s">
        <v>813</v>
      </c>
      <c r="KG2" s="474"/>
      <c r="KH2" s="474"/>
      <c r="KI2" s="474"/>
      <c r="KJ2" s="474"/>
      <c r="KK2" s="474"/>
      <c r="KL2" s="474"/>
      <c r="KM2" s="474"/>
      <c r="KN2" s="474"/>
      <c r="KO2" s="478"/>
      <c r="KP2" s="468" t="s">
        <v>814</v>
      </c>
      <c r="KQ2" s="469"/>
      <c r="KR2" s="469"/>
      <c r="KS2" s="469"/>
      <c r="KT2" s="469"/>
      <c r="KU2" s="469"/>
      <c r="KV2" s="469"/>
      <c r="KW2" s="469"/>
      <c r="KX2" s="469"/>
      <c r="KY2" s="470"/>
      <c r="KZ2" s="477" t="s">
        <v>815</v>
      </c>
      <c r="LA2" s="474"/>
      <c r="LB2" s="474"/>
      <c r="LC2" s="474"/>
      <c r="LD2" s="474"/>
      <c r="LE2" s="474"/>
      <c r="LF2" s="474"/>
      <c r="LG2" s="474"/>
      <c r="LH2" s="474"/>
      <c r="LI2" s="478"/>
      <c r="LJ2" s="468" t="s">
        <v>816</v>
      </c>
      <c r="LK2" s="469"/>
      <c r="LL2" s="469"/>
      <c r="LM2" s="469"/>
      <c r="LN2" s="469"/>
      <c r="LO2" s="469"/>
      <c r="LP2" s="469"/>
      <c r="LQ2" s="469"/>
      <c r="LR2" s="469"/>
      <c r="LS2" s="470"/>
      <c r="LT2" s="477" t="s">
        <v>817</v>
      </c>
      <c r="LU2" s="474"/>
      <c r="LV2" s="474"/>
      <c r="LW2" s="474"/>
      <c r="LX2" s="474"/>
      <c r="LY2" s="474"/>
      <c r="LZ2" s="474"/>
      <c r="MA2" s="474"/>
      <c r="MB2" s="474"/>
      <c r="MC2" s="478"/>
      <c r="MD2" s="468" t="s">
        <v>818</v>
      </c>
      <c r="ME2" s="469"/>
      <c r="MF2" s="469"/>
      <c r="MG2" s="469"/>
      <c r="MH2" s="469"/>
      <c r="MI2" s="469"/>
      <c r="MJ2" s="469"/>
      <c r="MK2" s="469"/>
      <c r="ML2" s="469"/>
      <c r="MM2" s="470"/>
      <c r="MN2" s="477" t="s">
        <v>819</v>
      </c>
      <c r="MO2" s="474"/>
      <c r="MP2" s="474"/>
      <c r="MQ2" s="474"/>
      <c r="MR2" s="474"/>
      <c r="MS2" s="474"/>
      <c r="MT2" s="474"/>
      <c r="MU2" s="474"/>
      <c r="MV2" s="474"/>
      <c r="MW2" s="478"/>
      <c r="MX2" s="468" t="s">
        <v>820</v>
      </c>
      <c r="MY2" s="469"/>
      <c r="MZ2" s="469"/>
      <c r="NA2" s="469"/>
      <c r="NB2" s="469"/>
      <c r="NC2" s="469"/>
      <c r="ND2" s="469"/>
      <c r="NE2" s="469"/>
      <c r="NF2" s="469"/>
      <c r="NG2" s="470"/>
      <c r="NH2" s="477" t="s">
        <v>821</v>
      </c>
      <c r="NI2" s="474"/>
      <c r="NJ2" s="474"/>
      <c r="NK2" s="474"/>
      <c r="NL2" s="474"/>
      <c r="NM2" s="474"/>
      <c r="NN2" s="474"/>
      <c r="NO2" s="474"/>
      <c r="NP2" s="474"/>
      <c r="NQ2" s="478"/>
      <c r="NR2" s="468" t="s">
        <v>822</v>
      </c>
      <c r="NS2" s="469"/>
      <c r="NT2" s="469"/>
      <c r="NU2" s="469"/>
      <c r="NV2" s="469"/>
      <c r="NW2" s="469"/>
      <c r="NX2" s="469"/>
      <c r="NY2" s="469"/>
      <c r="NZ2" s="469"/>
      <c r="OA2" s="470"/>
      <c r="OB2" s="477" t="s">
        <v>823</v>
      </c>
      <c r="OC2" s="474"/>
      <c r="OD2" s="474"/>
      <c r="OE2" s="474"/>
      <c r="OF2" s="474"/>
      <c r="OG2" s="474"/>
      <c r="OH2" s="474"/>
      <c r="OI2" s="474"/>
      <c r="OJ2" s="474"/>
      <c r="OK2" s="478"/>
    </row>
    <row r="3" spans="1:401" ht="57.6" x14ac:dyDescent="0.3">
      <c r="A3" s="476"/>
      <c r="B3" s="167" t="s">
        <v>824</v>
      </c>
      <c r="C3" s="168" t="s">
        <v>825</v>
      </c>
      <c r="D3" s="168" t="s">
        <v>826</v>
      </c>
      <c r="E3" s="168" t="s">
        <v>827</v>
      </c>
      <c r="F3" s="168" t="s">
        <v>828</v>
      </c>
      <c r="G3" s="168" t="s">
        <v>829</v>
      </c>
      <c r="H3" s="168" t="s">
        <v>830</v>
      </c>
      <c r="I3" s="168" t="s">
        <v>831</v>
      </c>
      <c r="J3" s="168" t="s">
        <v>832</v>
      </c>
      <c r="K3" s="169"/>
      <c r="L3" s="178" t="s">
        <v>824</v>
      </c>
      <c r="M3" s="179" t="s">
        <v>825</v>
      </c>
      <c r="N3" s="179" t="s">
        <v>826</v>
      </c>
      <c r="O3" s="179" t="s">
        <v>827</v>
      </c>
      <c r="P3" s="179" t="s">
        <v>828</v>
      </c>
      <c r="Q3" s="179" t="s">
        <v>829</v>
      </c>
      <c r="R3" s="179" t="s">
        <v>830</v>
      </c>
      <c r="S3" s="179" t="s">
        <v>831</v>
      </c>
      <c r="T3" s="179" t="s">
        <v>832</v>
      </c>
      <c r="U3" s="180"/>
      <c r="V3" s="167" t="s">
        <v>824</v>
      </c>
      <c r="W3" s="168" t="s">
        <v>825</v>
      </c>
      <c r="X3" s="168" t="s">
        <v>826</v>
      </c>
      <c r="Y3" s="168" t="s">
        <v>827</v>
      </c>
      <c r="Z3" s="168" t="s">
        <v>828</v>
      </c>
      <c r="AA3" s="168" t="s">
        <v>829</v>
      </c>
      <c r="AB3" s="168" t="s">
        <v>830</v>
      </c>
      <c r="AC3" s="168" t="s">
        <v>831</v>
      </c>
      <c r="AD3" s="168" t="s">
        <v>832</v>
      </c>
      <c r="AE3" s="169"/>
      <c r="AF3" s="165" t="s">
        <v>824</v>
      </c>
      <c r="AG3" s="164" t="s">
        <v>825</v>
      </c>
      <c r="AH3" s="164" t="s">
        <v>826</v>
      </c>
      <c r="AI3" s="164" t="s">
        <v>827</v>
      </c>
      <c r="AJ3" s="164" t="s">
        <v>828</v>
      </c>
      <c r="AK3" s="164" t="s">
        <v>829</v>
      </c>
      <c r="AL3" s="164" t="s">
        <v>830</v>
      </c>
      <c r="AM3" s="164" t="s">
        <v>831</v>
      </c>
      <c r="AN3" s="164" t="s">
        <v>832</v>
      </c>
      <c r="AO3" s="185"/>
      <c r="AP3" s="167" t="s">
        <v>824</v>
      </c>
      <c r="AQ3" s="168" t="s">
        <v>825</v>
      </c>
      <c r="AR3" s="168" t="s">
        <v>826</v>
      </c>
      <c r="AS3" s="168" t="s">
        <v>827</v>
      </c>
      <c r="AT3" s="168" t="s">
        <v>828</v>
      </c>
      <c r="AU3" s="168" t="s">
        <v>829</v>
      </c>
      <c r="AV3" s="168" t="s">
        <v>830</v>
      </c>
      <c r="AW3" s="168" t="s">
        <v>831</v>
      </c>
      <c r="AX3" s="168" t="s">
        <v>832</v>
      </c>
      <c r="AY3" s="169"/>
      <c r="AZ3" s="165" t="s">
        <v>824</v>
      </c>
      <c r="BA3" s="164" t="s">
        <v>825</v>
      </c>
      <c r="BB3" s="164" t="s">
        <v>826</v>
      </c>
      <c r="BC3" s="164" t="s">
        <v>827</v>
      </c>
      <c r="BD3" s="164" t="s">
        <v>828</v>
      </c>
      <c r="BE3" s="164" t="s">
        <v>829</v>
      </c>
      <c r="BF3" s="164" t="s">
        <v>830</v>
      </c>
      <c r="BG3" s="164" t="s">
        <v>831</v>
      </c>
      <c r="BH3" s="164" t="s">
        <v>832</v>
      </c>
      <c r="BI3" s="185"/>
      <c r="BJ3" s="167" t="s">
        <v>824</v>
      </c>
      <c r="BK3" s="168" t="s">
        <v>825</v>
      </c>
      <c r="BL3" s="168" t="s">
        <v>826</v>
      </c>
      <c r="BM3" s="168" t="s">
        <v>827</v>
      </c>
      <c r="BN3" s="168" t="s">
        <v>828</v>
      </c>
      <c r="BO3" s="168" t="s">
        <v>829</v>
      </c>
      <c r="BP3" s="168" t="s">
        <v>830</v>
      </c>
      <c r="BQ3" s="168" t="s">
        <v>831</v>
      </c>
      <c r="BR3" s="168" t="s">
        <v>832</v>
      </c>
      <c r="BS3" s="169"/>
      <c r="BT3" s="165" t="s">
        <v>824</v>
      </c>
      <c r="BU3" s="164" t="s">
        <v>825</v>
      </c>
      <c r="BV3" s="164" t="s">
        <v>826</v>
      </c>
      <c r="BW3" s="164" t="s">
        <v>827</v>
      </c>
      <c r="BX3" s="164" t="s">
        <v>828</v>
      </c>
      <c r="BY3" s="164" t="s">
        <v>829</v>
      </c>
      <c r="BZ3" s="164" t="s">
        <v>830</v>
      </c>
      <c r="CA3" s="164" t="s">
        <v>831</v>
      </c>
      <c r="CB3" s="164" t="s">
        <v>832</v>
      </c>
      <c r="CC3" s="185"/>
      <c r="CD3" s="167" t="s">
        <v>824</v>
      </c>
      <c r="CE3" s="168" t="s">
        <v>825</v>
      </c>
      <c r="CF3" s="168" t="s">
        <v>826</v>
      </c>
      <c r="CG3" s="168" t="s">
        <v>827</v>
      </c>
      <c r="CH3" s="168" t="s">
        <v>828</v>
      </c>
      <c r="CI3" s="168" t="s">
        <v>829</v>
      </c>
      <c r="CJ3" s="168" t="s">
        <v>830</v>
      </c>
      <c r="CK3" s="168" t="s">
        <v>831</v>
      </c>
      <c r="CL3" s="168" t="s">
        <v>832</v>
      </c>
      <c r="CM3" s="169"/>
      <c r="CN3" s="165" t="s">
        <v>824</v>
      </c>
      <c r="CO3" s="164" t="s">
        <v>825</v>
      </c>
      <c r="CP3" s="164" t="s">
        <v>826</v>
      </c>
      <c r="CQ3" s="164" t="s">
        <v>827</v>
      </c>
      <c r="CR3" s="164" t="s">
        <v>828</v>
      </c>
      <c r="CS3" s="164" t="s">
        <v>829</v>
      </c>
      <c r="CT3" s="164" t="s">
        <v>830</v>
      </c>
      <c r="CU3" s="164" t="s">
        <v>831</v>
      </c>
      <c r="CV3" s="164" t="s">
        <v>832</v>
      </c>
      <c r="CW3" s="185"/>
      <c r="CX3" s="167" t="s">
        <v>824</v>
      </c>
      <c r="CY3" s="168" t="s">
        <v>825</v>
      </c>
      <c r="CZ3" s="168" t="s">
        <v>826</v>
      </c>
      <c r="DA3" s="168" t="s">
        <v>827</v>
      </c>
      <c r="DB3" s="168" t="s">
        <v>828</v>
      </c>
      <c r="DC3" s="168" t="s">
        <v>829</v>
      </c>
      <c r="DD3" s="168" t="s">
        <v>830</v>
      </c>
      <c r="DE3" s="168" t="s">
        <v>831</v>
      </c>
      <c r="DF3" s="168" t="s">
        <v>832</v>
      </c>
      <c r="DG3" s="169"/>
      <c r="DH3" s="165" t="s">
        <v>824</v>
      </c>
      <c r="DI3" s="164" t="s">
        <v>825</v>
      </c>
      <c r="DJ3" s="164" t="s">
        <v>826</v>
      </c>
      <c r="DK3" s="164" t="s">
        <v>827</v>
      </c>
      <c r="DL3" s="164" t="s">
        <v>828</v>
      </c>
      <c r="DM3" s="164" t="s">
        <v>829</v>
      </c>
      <c r="DN3" s="164" t="s">
        <v>830</v>
      </c>
      <c r="DO3" s="164" t="s">
        <v>831</v>
      </c>
      <c r="DP3" s="164" t="s">
        <v>832</v>
      </c>
      <c r="DQ3" s="185"/>
      <c r="DR3" s="167" t="s">
        <v>824</v>
      </c>
      <c r="DS3" s="168" t="s">
        <v>825</v>
      </c>
      <c r="DT3" s="168" t="s">
        <v>826</v>
      </c>
      <c r="DU3" s="168" t="s">
        <v>827</v>
      </c>
      <c r="DV3" s="168" t="s">
        <v>828</v>
      </c>
      <c r="DW3" s="168" t="s">
        <v>829</v>
      </c>
      <c r="DX3" s="168" t="s">
        <v>830</v>
      </c>
      <c r="DY3" s="168" t="s">
        <v>831</v>
      </c>
      <c r="DZ3" s="168" t="s">
        <v>832</v>
      </c>
      <c r="EA3" s="169"/>
      <c r="EB3" s="165" t="s">
        <v>824</v>
      </c>
      <c r="EC3" s="164" t="s">
        <v>825</v>
      </c>
      <c r="ED3" s="164" t="s">
        <v>826</v>
      </c>
      <c r="EE3" s="164" t="s">
        <v>827</v>
      </c>
      <c r="EF3" s="164" t="s">
        <v>828</v>
      </c>
      <c r="EG3" s="164" t="s">
        <v>829</v>
      </c>
      <c r="EH3" s="164" t="s">
        <v>830</v>
      </c>
      <c r="EI3" s="164" t="s">
        <v>831</v>
      </c>
      <c r="EJ3" s="164" t="s">
        <v>832</v>
      </c>
      <c r="EK3" s="185"/>
      <c r="EL3" s="167" t="s">
        <v>824</v>
      </c>
      <c r="EM3" s="168" t="s">
        <v>825</v>
      </c>
      <c r="EN3" s="168" t="s">
        <v>826</v>
      </c>
      <c r="EO3" s="168" t="s">
        <v>827</v>
      </c>
      <c r="EP3" s="168" t="s">
        <v>828</v>
      </c>
      <c r="EQ3" s="168" t="s">
        <v>829</v>
      </c>
      <c r="ER3" s="168" t="s">
        <v>830</v>
      </c>
      <c r="ES3" s="168" t="s">
        <v>831</v>
      </c>
      <c r="ET3" s="168" t="s">
        <v>832</v>
      </c>
      <c r="EU3" s="169"/>
      <c r="EV3" s="165" t="s">
        <v>824</v>
      </c>
      <c r="EW3" s="164" t="s">
        <v>825</v>
      </c>
      <c r="EX3" s="164" t="s">
        <v>826</v>
      </c>
      <c r="EY3" s="164" t="s">
        <v>827</v>
      </c>
      <c r="EZ3" s="164" t="s">
        <v>828</v>
      </c>
      <c r="FA3" s="164" t="s">
        <v>829</v>
      </c>
      <c r="FB3" s="164" t="s">
        <v>830</v>
      </c>
      <c r="FC3" s="164" t="s">
        <v>831</v>
      </c>
      <c r="FD3" s="164" t="s">
        <v>832</v>
      </c>
      <c r="FE3" s="185"/>
      <c r="FF3" s="167" t="s">
        <v>824</v>
      </c>
      <c r="FG3" s="168" t="s">
        <v>825</v>
      </c>
      <c r="FH3" s="168" t="s">
        <v>826</v>
      </c>
      <c r="FI3" s="168" t="s">
        <v>827</v>
      </c>
      <c r="FJ3" s="168" t="s">
        <v>828</v>
      </c>
      <c r="FK3" s="168" t="s">
        <v>829</v>
      </c>
      <c r="FL3" s="168" t="s">
        <v>830</v>
      </c>
      <c r="FM3" s="168" t="s">
        <v>831</v>
      </c>
      <c r="FN3" s="168" t="s">
        <v>832</v>
      </c>
      <c r="FO3" s="169"/>
      <c r="FP3" s="165" t="s">
        <v>824</v>
      </c>
      <c r="FQ3" s="164" t="s">
        <v>825</v>
      </c>
      <c r="FR3" s="164" t="s">
        <v>826</v>
      </c>
      <c r="FS3" s="164" t="s">
        <v>827</v>
      </c>
      <c r="FT3" s="164" t="s">
        <v>828</v>
      </c>
      <c r="FU3" s="164" t="s">
        <v>829</v>
      </c>
      <c r="FV3" s="164" t="s">
        <v>830</v>
      </c>
      <c r="FW3" s="164" t="s">
        <v>831</v>
      </c>
      <c r="FX3" s="164" t="s">
        <v>832</v>
      </c>
      <c r="FY3" s="185"/>
      <c r="FZ3" s="167" t="s">
        <v>824</v>
      </c>
      <c r="GA3" s="168" t="s">
        <v>825</v>
      </c>
      <c r="GB3" s="168" t="s">
        <v>826</v>
      </c>
      <c r="GC3" s="168" t="s">
        <v>827</v>
      </c>
      <c r="GD3" s="168" t="s">
        <v>828</v>
      </c>
      <c r="GE3" s="168" t="s">
        <v>829</v>
      </c>
      <c r="GF3" s="168" t="s">
        <v>830</v>
      </c>
      <c r="GG3" s="168" t="s">
        <v>831</v>
      </c>
      <c r="GH3" s="168" t="s">
        <v>832</v>
      </c>
      <c r="GI3" s="169"/>
      <c r="GJ3" s="186" t="s">
        <v>824</v>
      </c>
      <c r="GK3" s="164" t="s">
        <v>825</v>
      </c>
      <c r="GL3" s="164" t="s">
        <v>826</v>
      </c>
      <c r="GM3" s="164" t="s">
        <v>827</v>
      </c>
      <c r="GN3" s="164" t="s">
        <v>828</v>
      </c>
      <c r="GO3" s="164" t="s">
        <v>829</v>
      </c>
      <c r="GP3" s="164" t="s">
        <v>830</v>
      </c>
      <c r="GQ3" s="164" t="s">
        <v>831</v>
      </c>
      <c r="GR3" s="164" t="s">
        <v>832</v>
      </c>
      <c r="GS3" s="187"/>
      <c r="GT3" s="167" t="s">
        <v>824</v>
      </c>
      <c r="GU3" s="168" t="s">
        <v>825</v>
      </c>
      <c r="GV3" s="168" t="s">
        <v>826</v>
      </c>
      <c r="GW3" s="168" t="s">
        <v>827</v>
      </c>
      <c r="GX3" s="168" t="s">
        <v>828</v>
      </c>
      <c r="GY3" s="168" t="s">
        <v>829</v>
      </c>
      <c r="GZ3" s="168" t="s">
        <v>830</v>
      </c>
      <c r="HA3" s="168" t="s">
        <v>831</v>
      </c>
      <c r="HB3" s="168" t="s">
        <v>832</v>
      </c>
      <c r="HC3" s="169"/>
      <c r="HD3" s="186" t="s">
        <v>824</v>
      </c>
      <c r="HE3" s="164" t="s">
        <v>825</v>
      </c>
      <c r="HF3" s="164" t="s">
        <v>826</v>
      </c>
      <c r="HG3" s="164" t="s">
        <v>827</v>
      </c>
      <c r="HH3" s="164" t="s">
        <v>828</v>
      </c>
      <c r="HI3" s="164" t="s">
        <v>829</v>
      </c>
      <c r="HJ3" s="164" t="s">
        <v>830</v>
      </c>
      <c r="HK3" s="164" t="s">
        <v>831</v>
      </c>
      <c r="HL3" s="164" t="s">
        <v>832</v>
      </c>
      <c r="HM3" s="187"/>
      <c r="HN3" s="167" t="s">
        <v>824</v>
      </c>
      <c r="HO3" s="168" t="s">
        <v>825</v>
      </c>
      <c r="HP3" s="168" t="s">
        <v>826</v>
      </c>
      <c r="HQ3" s="168" t="s">
        <v>827</v>
      </c>
      <c r="HR3" s="168" t="s">
        <v>828</v>
      </c>
      <c r="HS3" s="168" t="s">
        <v>829</v>
      </c>
      <c r="HT3" s="168" t="s">
        <v>830</v>
      </c>
      <c r="HU3" s="168" t="s">
        <v>831</v>
      </c>
      <c r="HV3" s="168" t="s">
        <v>832</v>
      </c>
      <c r="HW3" s="169"/>
      <c r="HX3" s="186" t="s">
        <v>824</v>
      </c>
      <c r="HY3" s="164" t="s">
        <v>833</v>
      </c>
      <c r="HZ3" s="164" t="s">
        <v>826</v>
      </c>
      <c r="IA3" s="164" t="s">
        <v>827</v>
      </c>
      <c r="IB3" s="164" t="s">
        <v>828</v>
      </c>
      <c r="IC3" s="164" t="s">
        <v>829</v>
      </c>
      <c r="ID3" s="164" t="s">
        <v>830</v>
      </c>
      <c r="IE3" s="164" t="s">
        <v>831</v>
      </c>
      <c r="IF3" s="164" t="s">
        <v>832</v>
      </c>
      <c r="IG3" s="187"/>
      <c r="IH3" s="167" t="s">
        <v>824</v>
      </c>
      <c r="II3" s="168" t="s">
        <v>825</v>
      </c>
      <c r="IJ3" s="168" t="s">
        <v>826</v>
      </c>
      <c r="IK3" s="168" t="s">
        <v>827</v>
      </c>
      <c r="IL3" s="168" t="s">
        <v>828</v>
      </c>
      <c r="IM3" s="168" t="s">
        <v>829</v>
      </c>
      <c r="IN3" s="168" t="s">
        <v>830</v>
      </c>
      <c r="IO3" s="168" t="s">
        <v>831</v>
      </c>
      <c r="IP3" s="168" t="s">
        <v>832</v>
      </c>
      <c r="IQ3" s="169"/>
      <c r="IR3" s="186" t="s">
        <v>824</v>
      </c>
      <c r="IS3" s="164" t="s">
        <v>825</v>
      </c>
      <c r="IT3" s="164" t="s">
        <v>826</v>
      </c>
      <c r="IU3" s="164" t="s">
        <v>827</v>
      </c>
      <c r="IV3" s="164" t="s">
        <v>828</v>
      </c>
      <c r="IW3" s="164" t="s">
        <v>829</v>
      </c>
      <c r="IX3" s="164" t="s">
        <v>830</v>
      </c>
      <c r="IY3" s="164" t="s">
        <v>831</v>
      </c>
      <c r="IZ3" s="164" t="s">
        <v>832</v>
      </c>
      <c r="JA3" s="187"/>
      <c r="JB3" s="167" t="s">
        <v>824</v>
      </c>
      <c r="JC3" s="168" t="s">
        <v>825</v>
      </c>
      <c r="JD3" s="168" t="s">
        <v>826</v>
      </c>
      <c r="JE3" s="168" t="s">
        <v>827</v>
      </c>
      <c r="JF3" s="168" t="s">
        <v>828</v>
      </c>
      <c r="JG3" s="168" t="s">
        <v>829</v>
      </c>
      <c r="JH3" s="168" t="s">
        <v>830</v>
      </c>
      <c r="JI3" s="168" t="s">
        <v>831</v>
      </c>
      <c r="JJ3" s="168" t="s">
        <v>832</v>
      </c>
      <c r="JK3" s="169"/>
      <c r="JL3" s="186" t="s">
        <v>824</v>
      </c>
      <c r="JM3" s="164" t="s">
        <v>825</v>
      </c>
      <c r="JN3" s="164" t="s">
        <v>826</v>
      </c>
      <c r="JO3" s="164" t="s">
        <v>827</v>
      </c>
      <c r="JP3" s="164" t="s">
        <v>828</v>
      </c>
      <c r="JQ3" s="164" t="s">
        <v>829</v>
      </c>
      <c r="JR3" s="164" t="s">
        <v>830</v>
      </c>
      <c r="JS3" s="164" t="s">
        <v>831</v>
      </c>
      <c r="JT3" s="164" t="s">
        <v>832</v>
      </c>
      <c r="JU3" s="187"/>
      <c r="JV3" s="167" t="s">
        <v>824</v>
      </c>
      <c r="JW3" s="168" t="s">
        <v>825</v>
      </c>
      <c r="JX3" s="168" t="s">
        <v>826</v>
      </c>
      <c r="JY3" s="168" t="s">
        <v>827</v>
      </c>
      <c r="JZ3" s="168" t="s">
        <v>828</v>
      </c>
      <c r="KA3" s="168" t="s">
        <v>829</v>
      </c>
      <c r="KB3" s="168" t="s">
        <v>830</v>
      </c>
      <c r="KC3" s="168" t="s">
        <v>831</v>
      </c>
      <c r="KD3" s="168" t="s">
        <v>832</v>
      </c>
      <c r="KE3" s="169"/>
      <c r="KF3" s="186" t="s">
        <v>824</v>
      </c>
      <c r="KG3" s="164" t="s">
        <v>825</v>
      </c>
      <c r="KH3" s="164" t="s">
        <v>826</v>
      </c>
      <c r="KI3" s="164" t="s">
        <v>827</v>
      </c>
      <c r="KJ3" s="164" t="s">
        <v>828</v>
      </c>
      <c r="KK3" s="164" t="s">
        <v>829</v>
      </c>
      <c r="KL3" s="164" t="s">
        <v>830</v>
      </c>
      <c r="KM3" s="164" t="s">
        <v>831</v>
      </c>
      <c r="KN3" s="164" t="s">
        <v>832</v>
      </c>
      <c r="KO3" s="187"/>
      <c r="KP3" s="167" t="s">
        <v>824</v>
      </c>
      <c r="KQ3" s="168" t="s">
        <v>825</v>
      </c>
      <c r="KR3" s="168" t="s">
        <v>826</v>
      </c>
      <c r="KS3" s="168" t="s">
        <v>827</v>
      </c>
      <c r="KT3" s="168" t="s">
        <v>828</v>
      </c>
      <c r="KU3" s="168" t="s">
        <v>829</v>
      </c>
      <c r="KV3" s="168" t="s">
        <v>830</v>
      </c>
      <c r="KW3" s="168" t="s">
        <v>831</v>
      </c>
      <c r="KX3" s="168" t="s">
        <v>832</v>
      </c>
      <c r="KY3" s="169"/>
      <c r="KZ3" s="186" t="s">
        <v>824</v>
      </c>
      <c r="LA3" s="164" t="s">
        <v>825</v>
      </c>
      <c r="LB3" s="164" t="s">
        <v>826</v>
      </c>
      <c r="LC3" s="164" t="s">
        <v>827</v>
      </c>
      <c r="LD3" s="164" t="s">
        <v>828</v>
      </c>
      <c r="LE3" s="164" t="s">
        <v>829</v>
      </c>
      <c r="LF3" s="164" t="s">
        <v>830</v>
      </c>
      <c r="LG3" s="164" t="s">
        <v>831</v>
      </c>
      <c r="LH3" s="164" t="s">
        <v>832</v>
      </c>
      <c r="LI3" s="187"/>
      <c r="LJ3" s="167" t="s">
        <v>824</v>
      </c>
      <c r="LK3" s="168" t="s">
        <v>825</v>
      </c>
      <c r="LL3" s="168" t="s">
        <v>826</v>
      </c>
      <c r="LM3" s="168" t="s">
        <v>827</v>
      </c>
      <c r="LN3" s="168" t="s">
        <v>828</v>
      </c>
      <c r="LO3" s="168" t="s">
        <v>829</v>
      </c>
      <c r="LP3" s="168" t="s">
        <v>830</v>
      </c>
      <c r="LQ3" s="168" t="s">
        <v>831</v>
      </c>
      <c r="LR3" s="168" t="s">
        <v>832</v>
      </c>
      <c r="LS3" s="169"/>
      <c r="LT3" s="186" t="s">
        <v>824</v>
      </c>
      <c r="LU3" s="164" t="s">
        <v>825</v>
      </c>
      <c r="LV3" s="164" t="s">
        <v>826</v>
      </c>
      <c r="LW3" s="164" t="s">
        <v>827</v>
      </c>
      <c r="LX3" s="164" t="s">
        <v>828</v>
      </c>
      <c r="LY3" s="164" t="s">
        <v>829</v>
      </c>
      <c r="LZ3" s="164" t="s">
        <v>830</v>
      </c>
      <c r="MA3" s="164" t="s">
        <v>831</v>
      </c>
      <c r="MB3" s="164" t="s">
        <v>832</v>
      </c>
      <c r="MC3" s="187"/>
      <c r="MD3" s="167" t="s">
        <v>824</v>
      </c>
      <c r="ME3" s="168" t="s">
        <v>825</v>
      </c>
      <c r="MF3" s="168" t="s">
        <v>826</v>
      </c>
      <c r="MG3" s="168" t="s">
        <v>827</v>
      </c>
      <c r="MH3" s="168" t="s">
        <v>828</v>
      </c>
      <c r="MI3" s="168" t="s">
        <v>829</v>
      </c>
      <c r="MJ3" s="168" t="s">
        <v>830</v>
      </c>
      <c r="MK3" s="168" t="s">
        <v>831</v>
      </c>
      <c r="ML3" s="168" t="s">
        <v>832</v>
      </c>
      <c r="MM3" s="169"/>
      <c r="MN3" s="186" t="s">
        <v>824</v>
      </c>
      <c r="MO3" s="164" t="s">
        <v>825</v>
      </c>
      <c r="MP3" s="164" t="s">
        <v>826</v>
      </c>
      <c r="MQ3" s="164" t="s">
        <v>827</v>
      </c>
      <c r="MR3" s="164" t="s">
        <v>828</v>
      </c>
      <c r="MS3" s="164" t="s">
        <v>829</v>
      </c>
      <c r="MT3" s="164" t="s">
        <v>830</v>
      </c>
      <c r="MU3" s="164" t="s">
        <v>831</v>
      </c>
      <c r="MV3" s="164" t="s">
        <v>832</v>
      </c>
      <c r="MW3" s="187"/>
      <c r="MX3" s="167" t="s">
        <v>824</v>
      </c>
      <c r="MY3" s="168" t="s">
        <v>825</v>
      </c>
      <c r="MZ3" s="168" t="s">
        <v>826</v>
      </c>
      <c r="NA3" s="168" t="s">
        <v>827</v>
      </c>
      <c r="NB3" s="168" t="s">
        <v>828</v>
      </c>
      <c r="NC3" s="168" t="s">
        <v>829</v>
      </c>
      <c r="ND3" s="168" t="s">
        <v>830</v>
      </c>
      <c r="NE3" s="168" t="s">
        <v>831</v>
      </c>
      <c r="NF3" s="168" t="s">
        <v>832</v>
      </c>
      <c r="NG3" s="169"/>
      <c r="NH3" s="186" t="s">
        <v>824</v>
      </c>
      <c r="NI3" s="164" t="s">
        <v>825</v>
      </c>
      <c r="NJ3" s="164" t="s">
        <v>826</v>
      </c>
      <c r="NK3" s="164" t="s">
        <v>827</v>
      </c>
      <c r="NL3" s="164" t="s">
        <v>828</v>
      </c>
      <c r="NM3" s="164" t="s">
        <v>829</v>
      </c>
      <c r="NN3" s="164" t="s">
        <v>830</v>
      </c>
      <c r="NO3" s="164" t="s">
        <v>831</v>
      </c>
      <c r="NP3" s="164" t="s">
        <v>832</v>
      </c>
      <c r="NQ3" s="187"/>
      <c r="NR3" s="167" t="s">
        <v>824</v>
      </c>
      <c r="NS3" s="168" t="s">
        <v>825</v>
      </c>
      <c r="NT3" s="168" t="s">
        <v>826</v>
      </c>
      <c r="NU3" s="168" t="s">
        <v>827</v>
      </c>
      <c r="NV3" s="168" t="s">
        <v>828</v>
      </c>
      <c r="NW3" s="168" t="s">
        <v>829</v>
      </c>
      <c r="NX3" s="168" t="s">
        <v>830</v>
      </c>
      <c r="NY3" s="168" t="s">
        <v>831</v>
      </c>
      <c r="NZ3" s="168" t="s">
        <v>832</v>
      </c>
      <c r="OA3" s="169"/>
      <c r="OB3" s="186" t="s">
        <v>824</v>
      </c>
      <c r="OC3" s="164" t="s">
        <v>825</v>
      </c>
      <c r="OD3" s="164" t="s">
        <v>826</v>
      </c>
      <c r="OE3" s="164" t="s">
        <v>827</v>
      </c>
      <c r="OF3" s="164" t="s">
        <v>828</v>
      </c>
      <c r="OG3" s="164" t="s">
        <v>829</v>
      </c>
      <c r="OH3" s="164" t="s">
        <v>830</v>
      </c>
      <c r="OI3" s="164" t="s">
        <v>831</v>
      </c>
      <c r="OJ3" s="164" t="s">
        <v>832</v>
      </c>
      <c r="OK3" s="187"/>
    </row>
    <row r="4" spans="1:401" s="44" customFormat="1" ht="22.2" customHeight="1" x14ac:dyDescent="0.3">
      <c r="A4" s="355" t="s">
        <v>95</v>
      </c>
      <c r="B4" s="172" t="s">
        <v>834</v>
      </c>
      <c r="C4" s="37" t="s">
        <v>835</v>
      </c>
      <c r="D4" s="205" t="s">
        <v>836</v>
      </c>
      <c r="E4" s="91">
        <v>45630</v>
      </c>
      <c r="F4" s="91">
        <f t="shared" ref="F4:F24" si="0">IF(E4=0," ",E4+365)</f>
        <v>45995</v>
      </c>
      <c r="G4" s="37" t="str">
        <f t="shared" ref="G4:G8" ca="1" si="1">IF(E4=0," ",IF(F4-TODAY()&gt;60,"VIGENTE",IF(F4-TODAY()&lt;=0,"VENCIDO",IF(F4-TODAY()&lt;=60,"POR VENCER"))))</f>
        <v>VIGENTE</v>
      </c>
      <c r="H4" s="37"/>
      <c r="I4" s="37"/>
      <c r="J4" s="37" t="str">
        <f t="shared" ref="J4:J47" si="2">IFERROR(VLOOKUP(B4,TIPODET1,2,FALSE)," ")</f>
        <v>C.I.</v>
      </c>
      <c r="K4" s="170"/>
      <c r="L4" s="172" t="s">
        <v>834</v>
      </c>
      <c r="M4" s="37">
        <v>3300</v>
      </c>
      <c r="N4" s="205" t="s">
        <v>837</v>
      </c>
      <c r="O4" s="91">
        <v>45540</v>
      </c>
      <c r="P4" s="91">
        <f t="shared" ref="P4:P49" si="3">IF(O4=0," ",O4+365)</f>
        <v>45905</v>
      </c>
      <c r="Q4" s="37" t="str">
        <f t="shared" ref="Q4:Q47" ca="1" si="4">IF(O4=0," ",IF(P4-TODAY()&gt;60,"VIGENTE",IF(P4-TODAY()&lt;=0,"VENCIDO",IF(P4-TODAY()&lt;=60,"POR VENCER"))))</f>
        <v>VIGENTE</v>
      </c>
      <c r="R4" s="37"/>
      <c r="S4" s="37"/>
      <c r="T4" s="37" t="str">
        <f t="shared" ref="T4:T47" si="5">IFERROR(VLOOKUP(L4,TIPODET1,2,FALSE)," ")</f>
        <v>C.I.</v>
      </c>
      <c r="U4" s="170"/>
      <c r="V4" s="172" t="s">
        <v>838</v>
      </c>
      <c r="W4" s="37" t="s">
        <v>839</v>
      </c>
      <c r="X4" s="205" t="s">
        <v>840</v>
      </c>
      <c r="Y4" s="91">
        <v>45667</v>
      </c>
      <c r="Z4" s="91">
        <f t="shared" ref="Z4:Z24" si="6">IF(Y4=0," ",Y4+365)</f>
        <v>46032</v>
      </c>
      <c r="AA4" s="37" t="str">
        <f t="shared" ref="AA4:AA47" ca="1" si="7">IF(Y4=0," ",IF(Z4-TODAY()&gt;60,"VIGENTE",IF(Z4-TODAY()&lt;=0,"VENCIDO",IF(Z4-TODAY()&lt;=60,"POR VENCER"))))</f>
        <v>VIGENTE</v>
      </c>
      <c r="AB4" s="357"/>
      <c r="AC4" s="357"/>
      <c r="AD4" s="37" t="str">
        <f t="shared" ref="AD4:AD47" si="8">IFERROR(VLOOKUP(V4,TIPODET1,2,FALSE)," ")</f>
        <v>C.I.</v>
      </c>
      <c r="AE4" s="359"/>
      <c r="AF4" s="172"/>
      <c r="AG4" s="37"/>
      <c r="AH4" s="205"/>
      <c r="AI4" s="91"/>
      <c r="AJ4" s="91" t="str">
        <f t="shared" ref="AJ4:AJ24" si="9">IF(AI4=0," ",AI4+365)</f>
        <v xml:space="preserve"> </v>
      </c>
      <c r="AK4" s="37" t="str">
        <f t="shared" ref="AK4:AK47" ca="1" si="10">IF(AI4=0," ",IF(AJ4-TODAY()&gt;60,"VIGENTE",IF(AJ4-TODAY()&lt;=0,"VENCIDO",IF(AJ4-TODAY()&lt;=60,"POR VENCER"))))</f>
        <v xml:space="preserve"> </v>
      </c>
      <c r="AL4" s="348"/>
      <c r="AM4" s="348"/>
      <c r="AN4" s="12" t="str">
        <f t="shared" ref="AN4:AN47" si="11">IFERROR(VLOOKUP(AF4,TIPODET1,2,FALSE)," ")</f>
        <v xml:space="preserve"> </v>
      </c>
      <c r="AO4" s="361"/>
      <c r="AP4" s="356"/>
      <c r="AQ4" s="357"/>
      <c r="AR4" s="357"/>
      <c r="AS4" s="358"/>
      <c r="AT4" s="358" t="str">
        <f t="shared" ref="AT4:AT24" si="12">IF(AS4=0," ",AS4+365)</f>
        <v xml:space="preserve"> </v>
      </c>
      <c r="AU4" s="37" t="str">
        <f t="shared" ref="AU4:AU47" ca="1" si="13">IF(AS4=0," ",IF(AT4-TODAY()&gt;60,"VIGENTE",IF(AT4-TODAY()&lt;=0,"VENCIDO",IF(AT4-TODAY()&lt;=60,"POR VENCER"))))</f>
        <v xml:space="preserve"> </v>
      </c>
      <c r="AV4" s="357"/>
      <c r="AW4" s="357"/>
      <c r="AX4" s="37" t="str">
        <f t="shared" ref="AX4:AX47" si="14">IFERROR(VLOOKUP(AP4,TIPODET1,2,FALSE)," ")</f>
        <v xml:space="preserve"> </v>
      </c>
      <c r="AY4" s="359"/>
      <c r="AZ4" s="360"/>
      <c r="BA4" s="348"/>
      <c r="BB4" s="348"/>
      <c r="BC4" s="362"/>
      <c r="BD4" s="362" t="str">
        <f t="shared" ref="BD4:BD24" si="15">IF(BC4=0," ",BC4+366)</f>
        <v xml:space="preserve"> </v>
      </c>
      <c r="BE4" s="37" t="str">
        <f t="shared" ref="BE4:BE47" ca="1" si="16">IF(BC4=0," ",IF(BD4-TODAY()&gt;60,"VIGENTE",IF(BD4-TODAY()&lt;=0,"VENCIDO",IF(BD4-TODAY()&lt;=60,"POR VENCER"))))</f>
        <v xml:space="preserve"> </v>
      </c>
      <c r="BF4" s="348"/>
      <c r="BG4" s="348"/>
      <c r="BH4" s="12" t="str">
        <f t="shared" ref="BH4:BH47" si="17">IFERROR(VLOOKUP(AZ4,TIPODET1,2,FALSE)," ")</f>
        <v xml:space="preserve"> </v>
      </c>
      <c r="BI4" s="361"/>
      <c r="BJ4" s="356"/>
      <c r="BK4" s="357"/>
      <c r="BL4" s="357"/>
      <c r="BM4" s="358"/>
      <c r="BN4" s="358" t="str">
        <f t="shared" ref="BN4:BN24" si="18">IF(BM4=0," ",BM4+365)</f>
        <v xml:space="preserve"> </v>
      </c>
      <c r="BO4" s="37" t="str">
        <f t="shared" ref="BO4:BO47" ca="1" si="19">IF(BM4=0," ",IF(BN4-TODAY()&gt;60,"VIGENTE",IF(BN4-TODAY()&lt;=0,"VENCIDO",IF(BN4-TODAY()&lt;=60,"POR VENCER"))))</f>
        <v xml:space="preserve"> </v>
      </c>
      <c r="BP4" s="357"/>
      <c r="BQ4" s="357"/>
      <c r="BR4" s="37" t="str">
        <f t="shared" ref="BR4:BR47" si="20">IFERROR(VLOOKUP(BJ4,TIPODET1,2,FALSE)," ")</f>
        <v xml:space="preserve"> </v>
      </c>
      <c r="BS4" s="359"/>
      <c r="BT4" s="360"/>
      <c r="BU4" s="348"/>
      <c r="BV4" s="348"/>
      <c r="BW4" s="362"/>
      <c r="BX4" s="362" t="str">
        <f t="shared" ref="BX4:BX24" si="21">IF(BW4=0," ",BW4+365)</f>
        <v xml:space="preserve"> </v>
      </c>
      <c r="BY4" s="37" t="str">
        <f t="shared" ref="BY4:BY47" ca="1" si="22">IF(BW4=0," ",IF(BX4-TODAY()&gt;60,"VIGENTE",IF(BX4-TODAY()&lt;=0,"VENCIDO",IF(BX4-TODAY()&lt;=60,"POR VENCER"))))</f>
        <v xml:space="preserve"> </v>
      </c>
      <c r="BZ4" s="348"/>
      <c r="CA4" s="348"/>
      <c r="CB4" s="12" t="str">
        <f t="shared" ref="CB4:CB47" si="23">IFERROR(VLOOKUP(BT4,TIPODET1,2,FALSE)," ")</f>
        <v xml:space="preserve"> </v>
      </c>
      <c r="CC4" s="361"/>
      <c r="CD4" s="356"/>
      <c r="CE4" s="37"/>
      <c r="CF4" s="357"/>
      <c r="CG4" s="357"/>
      <c r="CH4" s="357" t="str">
        <f t="shared" ref="CH4:CH24" si="24">IF(CG4=0," ",CG4+365)</f>
        <v xml:space="preserve"> </v>
      </c>
      <c r="CI4" s="37" t="str">
        <f t="shared" ref="CI4:CI47" ca="1" si="25">IF(CG4=0," ",IF(CH4-TODAY()&gt;60,"VIGENTE",IF(CH4-TODAY()&lt;=0,"VENCIDO",IF(CH4-TODAY()&lt;=60,"POR VENCER"))))</f>
        <v xml:space="preserve"> </v>
      </c>
      <c r="CJ4" s="357"/>
      <c r="CK4" s="357"/>
      <c r="CL4" s="37" t="str">
        <f t="shared" ref="CL4:CL47" si="26">IFERROR(VLOOKUP(CD4,TIPODET1,2,FALSE)," ")</f>
        <v xml:space="preserve"> </v>
      </c>
      <c r="CM4" s="359"/>
      <c r="CN4" s="360"/>
      <c r="CO4" s="12"/>
      <c r="CP4" s="348"/>
      <c r="CQ4" s="348"/>
      <c r="CR4" s="348" t="str">
        <f t="shared" ref="CR4:CR24" si="27">IF(CQ4=0," ",CQ4+365)</f>
        <v xml:space="preserve"> </v>
      </c>
      <c r="CS4" s="37" t="str">
        <f t="shared" ref="CS4:CS47" ca="1" si="28">IF(CQ4=0," ",IF(CR4-TODAY()&gt;60,"VIGENTE",IF(CR4-TODAY()&lt;=0,"VENCIDO",IF(CR4-TODAY()&lt;=60,"POR VENCER"))))</f>
        <v xml:space="preserve"> </v>
      </c>
      <c r="CT4" s="348"/>
      <c r="CU4" s="348"/>
      <c r="CV4" s="12" t="str">
        <f t="shared" ref="CV4:CV47" si="29">IFERROR(VLOOKUP(CN4,TIPODET1,2,FALSE)," ")</f>
        <v xml:space="preserve"> </v>
      </c>
      <c r="CW4" s="361"/>
      <c r="CX4" s="356"/>
      <c r="CY4" s="37"/>
      <c r="CZ4" s="357"/>
      <c r="DA4" s="357"/>
      <c r="DB4" s="357" t="str">
        <f t="shared" ref="DB4:DB24" si="30">IF(DA4=0," ",DA4+365)</f>
        <v xml:space="preserve"> </v>
      </c>
      <c r="DC4" s="37" t="str">
        <f t="shared" ref="DC4:DC47" ca="1" si="31">IF(DA4=0," ",IF(DB4-TODAY()&gt;60,"VIGENTE",IF(DB4-TODAY()&lt;=0,"VENCIDO",IF(DB4-TODAY()&lt;=60,"POR VENCER"))))</f>
        <v xml:space="preserve"> </v>
      </c>
      <c r="DD4" s="357"/>
      <c r="DE4" s="357"/>
      <c r="DF4" s="37" t="str">
        <f t="shared" ref="DF4:DF47" si="32">IFERROR(VLOOKUP(CX4,TIPODET1,2,FALSE)," ")</f>
        <v xml:space="preserve"> </v>
      </c>
      <c r="DG4" s="359"/>
      <c r="DH4" s="360"/>
      <c r="DI4" s="12"/>
      <c r="DJ4" s="348"/>
      <c r="DK4" s="348"/>
      <c r="DL4" s="348" t="str">
        <f t="shared" ref="DL4:DL24" si="33">IF(DK4=0," ",DK4+365)</f>
        <v xml:space="preserve"> </v>
      </c>
      <c r="DM4" s="37" t="str">
        <f t="shared" ref="DM4:DM47" ca="1" si="34">IF(DK4=0," ",IF(DL4-TODAY()&gt;60,"VIGENTE",IF(DL4-TODAY()&lt;=0,"VENCIDO",IF(DL4-TODAY()&lt;=60,"POR VENCER"))))</f>
        <v xml:space="preserve"> </v>
      </c>
      <c r="DN4" s="348"/>
      <c r="DO4" s="348"/>
      <c r="DP4" s="12" t="str">
        <f t="shared" ref="DP4:DP47" si="35">IFERROR(VLOOKUP(DH4,TIPODET1,2,FALSE)," ")</f>
        <v xml:space="preserve"> </v>
      </c>
      <c r="DQ4" s="361"/>
      <c r="DR4" s="356"/>
      <c r="DS4" s="37"/>
      <c r="DT4" s="357"/>
      <c r="DU4" s="357"/>
      <c r="DV4" s="14" t="str">
        <f t="shared" ref="DV4:DV24" si="36">IF(DU4=0," ",DU4+365)</f>
        <v xml:space="preserve"> </v>
      </c>
      <c r="DW4" s="37" t="str">
        <f t="shared" ref="DW4:DW47" ca="1" si="37">IF(DU4=0," ",IF(DV4-TODAY()&gt;60,"VIGENTE",IF(DV4-TODAY()&lt;=0,"VENCIDO",IF(DV4-TODAY()&lt;=60,"POR VENCER"))))</f>
        <v xml:space="preserve"> </v>
      </c>
      <c r="DX4" s="357"/>
      <c r="DY4" s="357"/>
      <c r="DZ4" s="37" t="str">
        <f t="shared" ref="DZ4:DZ47" si="38">IFERROR(VLOOKUP(DR4,TIPODET1,2,FALSE)," ")</f>
        <v xml:space="preserve"> </v>
      </c>
      <c r="EA4" s="359"/>
      <c r="EB4" s="360"/>
      <c r="EC4" s="12"/>
      <c r="ED4" s="348"/>
      <c r="EE4" s="348"/>
      <c r="EF4" s="91" t="str">
        <f t="shared" ref="EF4:EF24" si="39">IF(EE4=0," ",EE4+365)</f>
        <v xml:space="preserve"> </v>
      </c>
      <c r="EG4" s="37" t="str">
        <f t="shared" ref="EG4:EG47" ca="1" si="40">IF(EE4=0," ",IF(EF4-TODAY()&gt;60,"VIGENTE",IF(EF4-TODAY()&lt;=0,"VENCIDO",IF(EF4-TODAY()&lt;=60,"POR VENCER"))))</f>
        <v xml:space="preserve"> </v>
      </c>
      <c r="EH4" s="348"/>
      <c r="EI4" s="348"/>
      <c r="EJ4" s="12" t="str">
        <f t="shared" ref="EJ4:EJ47" si="41">IFERROR(VLOOKUP(EB4,TIPODET1,2,FALSE)," ")</f>
        <v xml:space="preserve"> </v>
      </c>
      <c r="EK4" s="361"/>
      <c r="EL4" s="356"/>
      <c r="EM4" s="37"/>
      <c r="EN4" s="357"/>
      <c r="EO4" s="357"/>
      <c r="EP4" s="91" t="str">
        <f t="shared" ref="EP4:EP24" si="42">IF(EO4=0," ",EO4+365)</f>
        <v xml:space="preserve"> </v>
      </c>
      <c r="EQ4" s="37" t="str">
        <f t="shared" ref="EQ4:EQ47" ca="1" si="43">IF(EO4=0," ",IF(EP4-TODAY()&gt;60,"VIGENTE",IF(EP4-TODAY()&lt;=0,"VENCIDO",IF(EP4-TODAY()&lt;=60,"POR VENCER"))))</f>
        <v xml:space="preserve"> </v>
      </c>
      <c r="ER4" s="357"/>
      <c r="ES4" s="357"/>
      <c r="ET4" s="37" t="str">
        <f t="shared" ref="ET4:ET47" si="44">IFERROR(VLOOKUP(EL4,TIPODET1,2,FALSE)," ")</f>
        <v xml:space="preserve"> </v>
      </c>
      <c r="EU4" s="359"/>
      <c r="EV4" s="360"/>
      <c r="EW4" s="12"/>
      <c r="EX4" s="348"/>
      <c r="EY4" s="348"/>
      <c r="EZ4" s="91" t="str">
        <f t="shared" ref="EZ4:EZ24" si="45">IF(EY4=0," ",EY4+365)</f>
        <v xml:space="preserve"> </v>
      </c>
      <c r="FA4" s="37" t="str">
        <f t="shared" ref="FA4:FA47" ca="1" si="46">IF(EY4=0," ",IF(EZ4-TODAY()&gt;60,"VIGENTE",IF(EZ4-TODAY()&lt;=0,"VENCIDO",IF(EZ4-TODAY()&lt;=60,"POR VENCER"))))</f>
        <v xml:space="preserve"> </v>
      </c>
      <c r="FB4" s="348"/>
      <c r="FC4" s="348"/>
      <c r="FD4" s="12" t="str">
        <f t="shared" ref="FD4:FD47" si="47">IFERROR(VLOOKUP(EV4,TIPODET1,2,FALSE)," ")</f>
        <v xml:space="preserve"> </v>
      </c>
      <c r="FE4" s="361"/>
      <c r="FF4" s="356"/>
      <c r="FG4" s="37"/>
      <c r="FH4" s="357"/>
      <c r="FI4" s="357"/>
      <c r="FJ4" s="91" t="str">
        <f t="shared" ref="FJ4:FJ24" si="48">IF(FI4=0," ",FI4+365)</f>
        <v xml:space="preserve"> </v>
      </c>
      <c r="FK4" s="37" t="str">
        <f t="shared" ref="FK4:FK47" ca="1" si="49">IF(FI4=0," ",IF(FJ4-TODAY()&gt;60,"VIGENTE",IF(FJ4-TODAY()&lt;=0,"VENCIDO",IF(FJ4-TODAY()&lt;=60,"POR VENCER"))))</f>
        <v xml:space="preserve"> </v>
      </c>
      <c r="FL4" s="357"/>
      <c r="FM4" s="357"/>
      <c r="FN4" s="37" t="str">
        <f t="shared" ref="FN4:FN47" si="50">IFERROR(VLOOKUP(FF4,TIPODET1,2,FALSE)," ")</f>
        <v xml:space="preserve"> </v>
      </c>
      <c r="FO4" s="359"/>
      <c r="FP4" s="360"/>
      <c r="FQ4" s="12"/>
      <c r="FR4" s="348"/>
      <c r="FS4" s="348"/>
      <c r="FT4" s="91" t="str">
        <f t="shared" ref="FT4:FT24" si="51">IF(FS4=0," ",FS4+365)</f>
        <v xml:space="preserve"> </v>
      </c>
      <c r="FU4" s="37" t="str">
        <f t="shared" ref="FU4:FU47" ca="1" si="52">IF(FS4=0," ",IF(FT4-TODAY()&gt;60,"VIGENTE",IF(FT4-TODAY()&lt;=0,"VENCIDO",IF(FT4-TODAY()&lt;=60,"POR VENCER"))))</f>
        <v xml:space="preserve"> </v>
      </c>
      <c r="FV4" s="348"/>
      <c r="FW4" s="348"/>
      <c r="FX4" s="12" t="str">
        <f t="shared" ref="FX4:FX47" si="53">IFERROR(VLOOKUP(FP4,TIPODET1,2,FALSE)," ")</f>
        <v xml:space="preserve"> </v>
      </c>
      <c r="FY4" s="361"/>
      <c r="FZ4" s="356"/>
      <c r="GA4" s="37"/>
      <c r="GB4" s="357"/>
      <c r="GC4" s="357"/>
      <c r="GD4" s="91" t="str">
        <f t="shared" ref="GD4:GD24" si="54">IF(GC4=0," ",GC4+365)</f>
        <v xml:space="preserve"> </v>
      </c>
      <c r="GE4" s="37" t="str">
        <f t="shared" ref="GE4:GE47" ca="1" si="55">IF(GC4=0," ",IF(GD4-TODAY()&gt;60,"VIGENTE",IF(GD4-TODAY()&lt;=0,"VENCIDO",IF(GD4-TODAY()&lt;=60,"POR VENCER"))))</f>
        <v xml:space="preserve"> </v>
      </c>
      <c r="GF4" s="357"/>
      <c r="GG4" s="357"/>
      <c r="GH4" s="37" t="str">
        <f t="shared" ref="GH4:GH47" si="56">IFERROR(VLOOKUP(FZ4,TIPODET1,2,FALSE)," ")</f>
        <v xml:space="preserve"> </v>
      </c>
      <c r="GI4" s="359"/>
      <c r="GJ4" s="363"/>
      <c r="GK4" s="12"/>
      <c r="GL4" s="348"/>
      <c r="GM4" s="348"/>
      <c r="GN4" s="91" t="str">
        <f t="shared" ref="GN4:GN24" si="57">IF(GM4=0," ",GM4+365)</f>
        <v xml:space="preserve"> </v>
      </c>
      <c r="GO4" s="37" t="str">
        <f t="shared" ref="GO4:GO47" ca="1" si="58">IF(GM4=0," ",IF(GN4-TODAY()&gt;60,"VIGENTE",IF(GN4-TODAY()&lt;=0,"VENCIDO",IF(GN4-TODAY()&lt;=60,"POR VENCER"))))</f>
        <v xml:space="preserve"> </v>
      </c>
      <c r="GP4" s="348"/>
      <c r="GQ4" s="348"/>
      <c r="GR4" s="12" t="str">
        <f t="shared" ref="GR4:GR47" si="59">IFERROR(VLOOKUP(GJ4,TIPODET1,2,FALSE)," ")</f>
        <v xml:space="preserve"> </v>
      </c>
      <c r="GS4" s="364"/>
      <c r="GT4" s="356"/>
      <c r="GU4" s="37"/>
      <c r="GV4" s="357"/>
      <c r="GW4" s="357"/>
      <c r="GX4" s="91" t="str">
        <f t="shared" ref="GX4:GX24" si="60">IF(GW4=0," ",GW4+365)</f>
        <v xml:space="preserve"> </v>
      </c>
      <c r="GY4" s="37" t="str">
        <f t="shared" ref="GY4:GY47" ca="1" si="61">IF(GW4=0," ",IF(GX4-TODAY()&gt;60,"VIGENTE",IF(GX4-TODAY()&lt;=0,"VENCIDO",IF(GX4-TODAY()&lt;=60,"POR VENCER"))))</f>
        <v xml:space="preserve"> </v>
      </c>
      <c r="GZ4" s="357"/>
      <c r="HA4" s="357"/>
      <c r="HB4" s="37" t="str">
        <f t="shared" ref="HB4:HB47" si="62">IFERROR(VLOOKUP(GT4,TIPODET1,2,FALSE)," ")</f>
        <v xml:space="preserve"> </v>
      </c>
      <c r="HC4" s="359"/>
      <c r="HD4" s="363"/>
      <c r="HE4" s="12"/>
      <c r="HF4" s="348"/>
      <c r="HG4" s="348"/>
      <c r="HH4" s="91" t="str">
        <f t="shared" ref="HH4:HH24" si="63">IF(HG4=0," ",HG4+365)</f>
        <v xml:space="preserve"> </v>
      </c>
      <c r="HI4" s="37" t="str">
        <f t="shared" ref="HI4:HI47" ca="1" si="64">IF(HG4=0," ",IF(HH4-TODAY()&gt;60,"VIGENTE",IF(HH4-TODAY()&lt;=0,"VENCIDO",IF(HH4-TODAY()&lt;=60,"POR VENCER"))))</f>
        <v xml:space="preserve"> </v>
      </c>
      <c r="HJ4" s="348"/>
      <c r="HK4" s="348"/>
      <c r="HL4" s="12" t="str">
        <f t="shared" ref="HL4:HL47" si="65">IFERROR(VLOOKUP(HD4,TIPODET1,2,FALSE)," ")</f>
        <v xml:space="preserve"> </v>
      </c>
      <c r="HM4" s="364"/>
      <c r="HN4" s="356"/>
      <c r="HO4" s="37"/>
      <c r="HP4" s="357"/>
      <c r="HQ4" s="357"/>
      <c r="HR4" s="91" t="str">
        <f t="shared" ref="HR4:HR24" si="66">IF(HQ4=0," ",HQ4+365)</f>
        <v xml:space="preserve"> </v>
      </c>
      <c r="HS4" s="37" t="str">
        <f t="shared" ref="HS4:HS47" ca="1" si="67">IF(HQ4=0," ",IF(HR4-TODAY()&gt;60,"VIGENTE",IF(HR4-TODAY()&lt;=0,"VENCIDO",IF(HR4-TODAY()&lt;=60,"POR VENCER"))))</f>
        <v xml:space="preserve"> </v>
      </c>
      <c r="HT4" s="357"/>
      <c r="HU4" s="357"/>
      <c r="HV4" s="37" t="str">
        <f t="shared" ref="HV4:HV47" si="68">IFERROR(VLOOKUP(HN4,TIPODET1,2,FALSE)," ")</f>
        <v xml:space="preserve"> </v>
      </c>
      <c r="HW4" s="359"/>
      <c r="HX4" s="363"/>
      <c r="HY4" s="12"/>
      <c r="HZ4" s="348"/>
      <c r="IA4" s="348"/>
      <c r="IB4" s="91" t="str">
        <f t="shared" ref="IB4:IB24" si="69">IF(IA4=0," ",IA4+365)</f>
        <v xml:space="preserve"> </v>
      </c>
      <c r="IC4" s="37" t="str">
        <f t="shared" ref="IC4:IC47" ca="1" si="70">IF(IA4=0," ",IF(IB4-TODAY()&gt;60,"VIGENTE",IF(IB4-TODAY()&lt;=0,"VENCIDO",IF(IB4-TODAY()&lt;=60,"POR VENCER"))))</f>
        <v xml:space="preserve"> </v>
      </c>
      <c r="ID4" s="348"/>
      <c r="IE4" s="348"/>
      <c r="IF4" s="12" t="str">
        <f t="shared" ref="IF4:IF47" si="71">IFERROR(VLOOKUP(HX4,TIPODET1,2,FALSE)," ")</f>
        <v xml:space="preserve"> </v>
      </c>
      <c r="IG4" s="364"/>
      <c r="IH4" s="356"/>
      <c r="II4" s="357"/>
      <c r="IJ4" s="357"/>
      <c r="IK4" s="357"/>
      <c r="IL4" s="91" t="str">
        <f t="shared" ref="IL4:IL26" si="72">IF(IK4=0," ",IK4+365)</f>
        <v xml:space="preserve"> </v>
      </c>
      <c r="IM4" s="37" t="str">
        <f t="shared" ref="IM4:IM47" ca="1" si="73">IF(IK4=0," ",IF(IL4-TODAY()&gt;60,"VIGENTE",IF(IL4-TODAY()&lt;=0,"VENCIDO",IF(IL4-TODAY()&lt;=60,"POR VENCER"))))</f>
        <v xml:space="preserve"> </v>
      </c>
      <c r="IN4" s="357"/>
      <c r="IO4" s="357"/>
      <c r="IP4" s="37" t="str">
        <f t="shared" ref="IP4:IP47" si="74">IFERROR(VLOOKUP(IH4,TIPODET1,2,FALSE)," ")</f>
        <v xml:space="preserve"> </v>
      </c>
      <c r="IQ4" s="359"/>
      <c r="IR4" s="363"/>
      <c r="IS4" s="348"/>
      <c r="IT4" s="348"/>
      <c r="IU4" s="348"/>
      <c r="IV4" s="91" t="str">
        <f t="shared" ref="IV4:IV26" si="75">IF(IU4=0," ",IU4+365)</f>
        <v xml:space="preserve"> </v>
      </c>
      <c r="IW4" s="37" t="str">
        <f t="shared" ref="IW4:IW48" ca="1" si="76">IF(IU4=0," ",IF(IV4-TODAY()&gt;60,"VIGENTE",IF(IV4-TODAY()&lt;=0,"VENCIDO",IF(IV4-TODAY()&lt;=60,"POR VENCER"))))</f>
        <v xml:space="preserve"> </v>
      </c>
      <c r="IX4" s="348"/>
      <c r="IY4" s="348"/>
      <c r="IZ4" s="37" t="str">
        <f t="shared" ref="IZ4:IZ48" si="77">IFERROR(VLOOKUP(IR4,TIPODET1,2,FALSE)," ")</f>
        <v xml:space="preserve"> </v>
      </c>
      <c r="JA4" s="364"/>
      <c r="JB4" s="356"/>
      <c r="JC4" s="357"/>
      <c r="JD4" s="357"/>
      <c r="JE4" s="357"/>
      <c r="JF4" s="91" t="str">
        <f t="shared" ref="JF4:JF26" si="78">IF(JE4=0," ",JE4+365)</f>
        <v xml:space="preserve"> </v>
      </c>
      <c r="JG4" s="37" t="str">
        <f t="shared" ref="JG4:JG48" ca="1" si="79">IF(JE4=0," ",IF(JF4-TODAY()&gt;60,"VIGENTE",IF(JF4-TODAY()&lt;=0,"VENCIDO",IF(JF4-TODAY()&lt;=60,"POR VENCER"))))</f>
        <v xml:space="preserve"> </v>
      </c>
      <c r="JH4" s="357"/>
      <c r="JI4" s="357"/>
      <c r="JJ4" s="37" t="str">
        <f t="shared" ref="JJ4:JJ48" si="80">IFERROR(VLOOKUP(JB4,TIPODET1,2,FALSE)," ")</f>
        <v xml:space="preserve"> </v>
      </c>
      <c r="JK4" s="359"/>
      <c r="JL4" s="363"/>
      <c r="JM4" s="348"/>
      <c r="JN4" s="348"/>
      <c r="JO4" s="348"/>
      <c r="JP4" s="348" t="str">
        <f t="shared" ref="JP4:JP36" si="81">IF(JO4=0," ",JO4+365)</f>
        <v xml:space="preserve"> </v>
      </c>
      <c r="JQ4" s="37" t="str">
        <f t="shared" ref="JQ4:JQ48" ca="1" si="82">IF(JO4=0," ",IF(JP4-TODAY()&gt;60,"VIGENTE",IF(JP4-TODAY()&lt;=0,"VENCIDO",IF(JP4-TODAY()&lt;=60,"POR VENCER"))))</f>
        <v xml:space="preserve"> </v>
      </c>
      <c r="JR4" s="348"/>
      <c r="JS4" s="348"/>
      <c r="JT4" s="37" t="str">
        <f t="shared" ref="JT4:JT48" si="83">IFERROR(VLOOKUP(JL4,TIPODET1,2,FALSE)," ")</f>
        <v xml:space="preserve"> </v>
      </c>
      <c r="JU4" s="364"/>
      <c r="JV4" s="356"/>
      <c r="JW4" s="357"/>
      <c r="JX4" s="357"/>
      <c r="JY4" s="357"/>
      <c r="JZ4" s="357" t="str">
        <f t="shared" ref="JZ4:JZ36" si="84">IF(JY4=0," ",JY4+365)</f>
        <v xml:space="preserve"> </v>
      </c>
      <c r="KA4" s="37" t="str">
        <f t="shared" ref="KA4:KA48" ca="1" si="85">IF(JY4=0," ",IF(JZ4-TODAY()&gt;60,"VIGENTE",IF(JZ4-TODAY()&lt;=0,"VENCIDO",IF(JZ4-TODAY()&lt;=60,"POR VENCER"))))</f>
        <v xml:space="preserve"> </v>
      </c>
      <c r="KB4" s="357"/>
      <c r="KC4" s="357"/>
      <c r="KD4" s="37" t="str">
        <f t="shared" ref="KD4:KD48" si="86">IFERROR(VLOOKUP(JV4,TIPODET1,2,FALSE)," ")</f>
        <v xml:space="preserve"> </v>
      </c>
      <c r="KE4" s="359"/>
      <c r="KF4" s="363"/>
      <c r="KG4" s="348"/>
      <c r="KH4" s="348"/>
      <c r="KI4" s="348"/>
      <c r="KJ4" s="348" t="str">
        <f t="shared" ref="KJ4:KJ36" si="87">IF(KI4=0," ",KI4+365)</f>
        <v xml:space="preserve"> </v>
      </c>
      <c r="KK4" s="37" t="str">
        <f t="shared" ref="KK4:KK48" ca="1" si="88">IF(KI4=0," ",IF(KJ4-TODAY()&gt;60,"VIGENTE",IF(KJ4-TODAY()&lt;=0,"VENCIDO",IF(KJ4-TODAY()&lt;=60,"POR VENCER"))))</f>
        <v xml:space="preserve"> </v>
      </c>
      <c r="KL4" s="348"/>
      <c r="KM4" s="348"/>
      <c r="KN4" s="37" t="str">
        <f t="shared" ref="KN4:KN48" si="89">IFERROR(VLOOKUP(KF4,TIPODET1,2,FALSE)," ")</f>
        <v xml:space="preserve"> </v>
      </c>
      <c r="KO4" s="364"/>
      <c r="KP4" s="356"/>
      <c r="KQ4" s="357"/>
      <c r="KR4" s="357"/>
      <c r="KS4" s="357"/>
      <c r="KT4" s="357" t="str">
        <f t="shared" ref="KT4:KT36" si="90">IF(KS4=0," ",KS4+365)</f>
        <v xml:space="preserve"> </v>
      </c>
      <c r="KU4" s="37" t="str">
        <f t="shared" ref="KU4:KU48" ca="1" si="91">IF(KS4=0," ",IF(KT4-TODAY()&gt;60,"VIGENTE",IF(KT4-TODAY()&lt;=0,"VENCIDO",IF(KT4-TODAY()&lt;=60,"POR VENCER"))))</f>
        <v xml:space="preserve"> </v>
      </c>
      <c r="KV4" s="357"/>
      <c r="KW4" s="357"/>
      <c r="KX4" s="37" t="str">
        <f t="shared" ref="KX4:KX48" si="92">IFERROR(VLOOKUP(KP4,TIPODET1,2,FALSE)," ")</f>
        <v xml:space="preserve"> </v>
      </c>
      <c r="KY4" s="359"/>
      <c r="KZ4" s="363"/>
      <c r="LA4" s="348"/>
      <c r="LB4" s="348"/>
      <c r="LC4" s="348"/>
      <c r="LD4" s="348" t="str">
        <f t="shared" ref="LD4:LD36" si="93">IF(LC4=0," ",LC4+365)</f>
        <v xml:space="preserve"> </v>
      </c>
      <c r="LE4" s="37" t="str">
        <f t="shared" ref="LE4:LE48" ca="1" si="94">IF(LC4=0," ",IF(LD4-TODAY()&gt;60,"VIGENTE",IF(LD4-TODAY()&lt;=0,"VENCIDO",IF(LD4-TODAY()&lt;=60,"POR VENCER"))))</f>
        <v xml:space="preserve"> </v>
      </c>
      <c r="LF4" s="348"/>
      <c r="LG4" s="348"/>
      <c r="LH4" s="37" t="str">
        <f t="shared" ref="LH4:LH48" si="95">IFERROR(VLOOKUP(KZ4,TIPODET1,2,FALSE)," ")</f>
        <v xml:space="preserve"> </v>
      </c>
      <c r="LI4" s="364"/>
      <c r="LJ4" s="356"/>
      <c r="LK4" s="357"/>
      <c r="LL4" s="357"/>
      <c r="LM4" s="357"/>
      <c r="LN4" s="357" t="str">
        <f t="shared" ref="LN4:LN36" si="96">IF(LM4=0," ",LM4+365)</f>
        <v xml:space="preserve"> </v>
      </c>
      <c r="LO4" s="37" t="str">
        <f t="shared" ref="LO4:LO48" ca="1" si="97">IF(LM4=0," ",IF(LN4-TODAY()&gt;60,"VIGENTE",IF(LN4-TODAY()&lt;=0,"VENCIDO",IF(LN4-TODAY()&lt;=60,"POR VENCER"))))</f>
        <v xml:space="preserve"> </v>
      </c>
      <c r="LP4" s="357"/>
      <c r="LQ4" s="357"/>
      <c r="LR4" s="37" t="str">
        <f t="shared" ref="LR4:LR48" si="98">IFERROR(VLOOKUP(LJ4,TIPODET1,2,FALSE)," ")</f>
        <v xml:space="preserve"> </v>
      </c>
      <c r="LS4" s="359"/>
      <c r="LT4" s="363"/>
      <c r="LU4" s="348"/>
      <c r="LV4" s="348"/>
      <c r="LW4" s="348"/>
      <c r="LX4" s="348"/>
      <c r="LY4" s="37" t="str">
        <f t="shared" ref="LY4:LY48" ca="1" si="99">IF(LW4=0," ",IF(LX4-TODAY()&gt;60,"VIGENTE",IF(LX4-TODAY()&lt;=0,"VENCIDO",IF(LX4-TODAY()&lt;=60,"POR VENCER"))))</f>
        <v xml:space="preserve"> </v>
      </c>
      <c r="LZ4" s="348"/>
      <c r="MA4" s="348"/>
      <c r="MB4" s="37" t="str">
        <f t="shared" ref="MB4:MB48" si="100">IFERROR(VLOOKUP(LT4,TIPODET1,2,FALSE)," ")</f>
        <v xml:space="preserve"> </v>
      </c>
      <c r="MC4" s="364"/>
      <c r="MD4" s="356"/>
      <c r="ME4" s="357"/>
      <c r="MF4" s="357"/>
      <c r="MG4" s="357"/>
      <c r="MH4" s="357"/>
      <c r="MI4" s="37" t="str">
        <f t="shared" ref="MI4:MI48" ca="1" si="101">IF(MG4=0," ",IF(MH4-TODAY()&gt;60,"VIGENTE",IF(MH4-TODAY()&lt;=0,"VENCIDO",IF(MH4-TODAY()&lt;=60,"POR VENCER"))))</f>
        <v xml:space="preserve"> </v>
      </c>
      <c r="MJ4" s="357"/>
      <c r="MK4" s="357"/>
      <c r="ML4" s="37" t="str">
        <f t="shared" ref="ML4:ML48" si="102">IFERROR(VLOOKUP(MD4,TIPODET1,2,FALSE)," ")</f>
        <v xml:space="preserve"> </v>
      </c>
      <c r="MM4" s="359"/>
      <c r="MN4" s="363"/>
      <c r="MO4" s="348"/>
      <c r="MP4" s="348"/>
      <c r="MQ4" s="348"/>
      <c r="MR4" s="348"/>
      <c r="MS4" s="37" t="str">
        <f t="shared" ref="MS4:MS48" ca="1" si="103">IF(MQ4=0," ",IF(MR4-TODAY()&gt;60,"VIGENTE",IF(MR4-TODAY()&lt;=0,"VENCIDO",IF(MR4-TODAY()&lt;=60,"POR VENCER"))))</f>
        <v xml:space="preserve"> </v>
      </c>
      <c r="MT4" s="348"/>
      <c r="MU4" s="348"/>
      <c r="MV4" s="37" t="str">
        <f t="shared" ref="MV4:MV48" si="104">IFERROR(VLOOKUP(MN4,TIPODET1,2,FALSE)," ")</f>
        <v xml:space="preserve"> </v>
      </c>
      <c r="MW4" s="364"/>
      <c r="MX4" s="356"/>
      <c r="MY4" s="357"/>
      <c r="MZ4" s="357"/>
      <c r="NA4" s="357"/>
      <c r="NB4" s="357"/>
      <c r="NC4" s="37" t="str">
        <f t="shared" ref="NC4:NC48" ca="1" si="105">IF(NA4=0," ",IF(NB4-TODAY()&gt;60,"VIGENTE",IF(NB4-TODAY()&lt;=0,"VENCIDO",IF(NB4-TODAY()&lt;=60,"POR VENCER"))))</f>
        <v xml:space="preserve"> </v>
      </c>
      <c r="ND4" s="357"/>
      <c r="NE4" s="357"/>
      <c r="NF4" s="37" t="str">
        <f t="shared" ref="NF4:NF24" si="106">IFERROR(VLOOKUP(MX4,TIPODET1,2,FALSE)," ")</f>
        <v xml:space="preserve"> </v>
      </c>
      <c r="NG4" s="359"/>
      <c r="NH4" s="363"/>
      <c r="NI4" s="348"/>
      <c r="NJ4" s="348"/>
      <c r="NK4" s="348"/>
      <c r="NL4" s="348"/>
      <c r="NM4" s="37" t="str">
        <f t="shared" ref="NM4:NM48" ca="1" si="107">IF(NK4=0," ",IF(NL4-TODAY()&gt;60,"VIGENTE",IF(NL4-TODAY()&lt;=0,"VENCIDO",IF(NL4-TODAY()&lt;=60,"POR VENCER"))))</f>
        <v xml:space="preserve"> </v>
      </c>
      <c r="NN4" s="348"/>
      <c r="NO4" s="348"/>
      <c r="NP4" s="37" t="str">
        <f t="shared" ref="NP4:NP24" si="108">IFERROR(VLOOKUP(NH4,TIPODET1,2,FALSE)," ")</f>
        <v xml:space="preserve"> </v>
      </c>
      <c r="NQ4" s="364"/>
      <c r="NR4" s="356"/>
      <c r="NS4" s="357"/>
      <c r="NT4" s="357"/>
      <c r="NU4" s="357"/>
      <c r="NV4" s="357"/>
      <c r="NW4" s="37" t="str">
        <f t="shared" ref="NW4:NW48" ca="1" si="109">IF(NU4=0," ",IF(NV4-TODAY()&gt;60,"VIGENTE",IF(NV4-TODAY()&lt;=0,"VENCIDO",IF(NV4-TODAY()&lt;=60,"POR VENCER"))))</f>
        <v xml:space="preserve"> </v>
      </c>
      <c r="NX4" s="357"/>
      <c r="NY4" s="357"/>
      <c r="NZ4" s="37" t="str">
        <f t="shared" ref="NZ4:NZ24" si="110">IFERROR(VLOOKUP(NR4,TIPODET1,2,FALSE)," ")</f>
        <v xml:space="preserve"> </v>
      </c>
      <c r="OA4" s="359"/>
      <c r="OB4" s="363"/>
      <c r="OC4" s="348"/>
      <c r="OD4" s="348"/>
      <c r="OE4" s="348"/>
      <c r="OF4" s="348"/>
      <c r="OG4" s="37" t="str">
        <f t="shared" ref="OG4:OG48" ca="1" si="111">IF(OE4=0," ",IF(OF4-TODAY()&gt;60,"VIGENTE",IF(OF4-TODAY()&lt;=0,"VENCIDO",IF(OF4-TODAY()&lt;=60,"POR VENCER"))))</f>
        <v xml:space="preserve"> </v>
      </c>
      <c r="OH4" s="348"/>
      <c r="OI4" s="348"/>
      <c r="OJ4" s="37" t="str">
        <f t="shared" ref="OJ4:OJ24" si="112">IFERROR(VLOOKUP(OB4,TIPODET1,2,FALSE)," ")</f>
        <v xml:space="preserve"> </v>
      </c>
      <c r="OK4" s="364"/>
    </row>
    <row r="5" spans="1:401" s="44" customFormat="1" ht="22.2" customHeight="1" x14ac:dyDescent="0.3">
      <c r="A5" s="365" t="s">
        <v>118</v>
      </c>
      <c r="B5" s="176" t="s">
        <v>841</v>
      </c>
      <c r="C5" s="49">
        <v>51941</v>
      </c>
      <c r="D5" s="49" t="s">
        <v>115</v>
      </c>
      <c r="E5" s="65">
        <v>44550</v>
      </c>
      <c r="F5" s="65">
        <f t="shared" si="0"/>
        <v>44915</v>
      </c>
      <c r="G5" s="49" t="str">
        <f t="shared" ca="1" si="1"/>
        <v>VENCIDO</v>
      </c>
      <c r="H5" s="54"/>
      <c r="I5" s="54"/>
      <c r="J5" s="54" t="str">
        <f t="shared" si="2"/>
        <v>C.C.</v>
      </c>
      <c r="K5" s="171"/>
      <c r="L5" s="176" t="s">
        <v>838</v>
      </c>
      <c r="M5" s="54" t="s">
        <v>842</v>
      </c>
      <c r="N5" s="389" t="s">
        <v>843</v>
      </c>
      <c r="O5" s="177">
        <v>45127</v>
      </c>
      <c r="P5" s="177">
        <f t="shared" si="3"/>
        <v>45492</v>
      </c>
      <c r="Q5" s="54" t="str">
        <f t="shared" ca="1" si="4"/>
        <v>VENCIDO</v>
      </c>
      <c r="R5" s="54"/>
      <c r="S5" s="54"/>
      <c r="T5" s="54" t="str">
        <f t="shared" si="5"/>
        <v>C.I.</v>
      </c>
      <c r="U5" s="171"/>
      <c r="V5" s="176" t="s">
        <v>838</v>
      </c>
      <c r="W5" s="54" t="s">
        <v>844</v>
      </c>
      <c r="X5" s="389" t="s">
        <v>845</v>
      </c>
      <c r="Y5" s="177">
        <v>45701</v>
      </c>
      <c r="Z5" s="177">
        <f t="shared" si="6"/>
        <v>46066</v>
      </c>
      <c r="AA5" s="54" t="str">
        <f t="shared" ca="1" si="7"/>
        <v>VIGENTE</v>
      </c>
      <c r="AB5" s="366"/>
      <c r="AC5" s="366"/>
      <c r="AD5" s="54" t="str">
        <f t="shared" si="8"/>
        <v>C.I.</v>
      </c>
      <c r="AE5" s="367"/>
      <c r="AF5" s="176" t="s">
        <v>838</v>
      </c>
      <c r="AG5" s="54" t="s">
        <v>846</v>
      </c>
      <c r="AH5" s="389" t="s">
        <v>847</v>
      </c>
      <c r="AI5" s="177">
        <v>45701</v>
      </c>
      <c r="AJ5" s="177">
        <f t="shared" si="9"/>
        <v>46066</v>
      </c>
      <c r="AK5" s="54" t="str">
        <f t="shared" ca="1" si="10"/>
        <v>VIGENTE</v>
      </c>
      <c r="AL5" s="346"/>
      <c r="AM5" s="346"/>
      <c r="AN5" s="49" t="str">
        <f t="shared" si="11"/>
        <v>C.I.</v>
      </c>
      <c r="AO5" s="368"/>
      <c r="AP5" s="176" t="s">
        <v>838</v>
      </c>
      <c r="AQ5" s="54" t="s">
        <v>848</v>
      </c>
      <c r="AR5" s="389" t="s">
        <v>849</v>
      </c>
      <c r="AS5" s="177">
        <v>45701</v>
      </c>
      <c r="AT5" s="177">
        <f t="shared" si="12"/>
        <v>46066</v>
      </c>
      <c r="AU5" s="54" t="str">
        <f t="shared" ca="1" si="13"/>
        <v>VIGENTE</v>
      </c>
      <c r="AV5" s="366"/>
      <c r="AW5" s="366"/>
      <c r="AX5" s="54" t="str">
        <f t="shared" si="14"/>
        <v>C.I.</v>
      </c>
      <c r="AY5" s="367"/>
      <c r="AZ5" s="176" t="s">
        <v>838</v>
      </c>
      <c r="BA5" s="54" t="s">
        <v>850</v>
      </c>
      <c r="BB5" s="389" t="s">
        <v>851</v>
      </c>
      <c r="BC5" s="177">
        <v>45701</v>
      </c>
      <c r="BD5" s="177">
        <f t="shared" si="15"/>
        <v>46067</v>
      </c>
      <c r="BE5" s="54" t="str">
        <f t="shared" ca="1" si="16"/>
        <v>VIGENTE</v>
      </c>
      <c r="BF5" s="346"/>
      <c r="BG5" s="346"/>
      <c r="BH5" s="49" t="str">
        <f t="shared" si="17"/>
        <v>C.I.</v>
      </c>
      <c r="BI5" s="368"/>
      <c r="BJ5" s="176" t="s">
        <v>838</v>
      </c>
      <c r="BK5" s="54" t="s">
        <v>852</v>
      </c>
      <c r="BL5" s="389" t="s">
        <v>853</v>
      </c>
      <c r="BM5" s="177">
        <v>45701</v>
      </c>
      <c r="BN5" s="177">
        <f t="shared" si="18"/>
        <v>46066</v>
      </c>
      <c r="BO5" s="54" t="str">
        <f t="shared" ca="1" si="19"/>
        <v>VIGENTE</v>
      </c>
      <c r="BP5" s="366"/>
      <c r="BQ5" s="366"/>
      <c r="BR5" s="54" t="str">
        <f t="shared" si="20"/>
        <v>C.I.</v>
      </c>
      <c r="BS5" s="367"/>
      <c r="BT5" s="371"/>
      <c r="BU5" s="346"/>
      <c r="BV5" s="346"/>
      <c r="BW5" s="372"/>
      <c r="BX5" s="372" t="str">
        <f t="shared" si="21"/>
        <v xml:space="preserve"> </v>
      </c>
      <c r="BY5" s="54" t="str">
        <f t="shared" ca="1" si="22"/>
        <v xml:space="preserve"> </v>
      </c>
      <c r="BZ5" s="346"/>
      <c r="CA5" s="346"/>
      <c r="CB5" s="49" t="str">
        <f t="shared" si="23"/>
        <v xml:space="preserve"> </v>
      </c>
      <c r="CC5" s="368"/>
      <c r="CD5" s="369"/>
      <c r="CE5" s="54"/>
      <c r="CF5" s="366"/>
      <c r="CG5" s="366"/>
      <c r="CH5" s="366" t="str">
        <f t="shared" si="24"/>
        <v xml:space="preserve"> </v>
      </c>
      <c r="CI5" s="54" t="str">
        <f t="shared" ca="1" si="25"/>
        <v xml:space="preserve"> </v>
      </c>
      <c r="CJ5" s="366"/>
      <c r="CK5" s="366"/>
      <c r="CL5" s="54" t="str">
        <f t="shared" si="26"/>
        <v xml:space="preserve"> </v>
      </c>
      <c r="CM5" s="367"/>
      <c r="CN5" s="371"/>
      <c r="CO5" s="49"/>
      <c r="CP5" s="346"/>
      <c r="CQ5" s="346"/>
      <c r="CR5" s="346" t="str">
        <f t="shared" si="27"/>
        <v xml:space="preserve"> </v>
      </c>
      <c r="CS5" s="54" t="str">
        <f t="shared" ca="1" si="28"/>
        <v xml:space="preserve"> </v>
      </c>
      <c r="CT5" s="346"/>
      <c r="CU5" s="346"/>
      <c r="CV5" s="49" t="str">
        <f t="shared" si="29"/>
        <v xml:space="preserve"> </v>
      </c>
      <c r="CW5" s="368"/>
      <c r="CX5" s="369"/>
      <c r="CY5" s="54"/>
      <c r="CZ5" s="366"/>
      <c r="DA5" s="366"/>
      <c r="DB5" s="366" t="str">
        <f t="shared" si="30"/>
        <v xml:space="preserve"> </v>
      </c>
      <c r="DC5" s="54" t="str">
        <f t="shared" ca="1" si="31"/>
        <v xml:space="preserve"> </v>
      </c>
      <c r="DD5" s="366"/>
      <c r="DE5" s="366"/>
      <c r="DF5" s="54" t="str">
        <f t="shared" si="32"/>
        <v xml:space="preserve"> </v>
      </c>
      <c r="DG5" s="367"/>
      <c r="DH5" s="371"/>
      <c r="DI5" s="49"/>
      <c r="DJ5" s="346"/>
      <c r="DK5" s="346"/>
      <c r="DL5" s="346" t="str">
        <f t="shared" si="33"/>
        <v xml:space="preserve"> </v>
      </c>
      <c r="DM5" s="54" t="str">
        <f t="shared" ca="1" si="34"/>
        <v xml:space="preserve"> </v>
      </c>
      <c r="DN5" s="346"/>
      <c r="DO5" s="346"/>
      <c r="DP5" s="49" t="str">
        <f t="shared" si="35"/>
        <v xml:space="preserve"> </v>
      </c>
      <c r="DQ5" s="368"/>
      <c r="DR5" s="369"/>
      <c r="DS5" s="54"/>
      <c r="DT5" s="366"/>
      <c r="DU5" s="366"/>
      <c r="DV5" s="177" t="str">
        <f t="shared" si="36"/>
        <v xml:space="preserve"> </v>
      </c>
      <c r="DW5" s="54" t="str">
        <f t="shared" ca="1" si="37"/>
        <v xml:space="preserve"> </v>
      </c>
      <c r="DX5" s="366"/>
      <c r="DY5" s="366"/>
      <c r="DZ5" s="54" t="str">
        <f t="shared" si="38"/>
        <v xml:space="preserve"> </v>
      </c>
      <c r="EA5" s="367"/>
      <c r="EB5" s="371"/>
      <c r="EC5" s="49"/>
      <c r="ED5" s="346"/>
      <c r="EE5" s="346"/>
      <c r="EF5" s="177" t="str">
        <f t="shared" si="39"/>
        <v xml:space="preserve"> </v>
      </c>
      <c r="EG5" s="54" t="str">
        <f t="shared" ca="1" si="40"/>
        <v xml:space="preserve"> </v>
      </c>
      <c r="EH5" s="346"/>
      <c r="EI5" s="346"/>
      <c r="EJ5" s="49" t="str">
        <f t="shared" si="41"/>
        <v xml:space="preserve"> </v>
      </c>
      <c r="EK5" s="368"/>
      <c r="EL5" s="369"/>
      <c r="EM5" s="54"/>
      <c r="EN5" s="366"/>
      <c r="EO5" s="366"/>
      <c r="EP5" s="177" t="str">
        <f t="shared" si="42"/>
        <v xml:space="preserve"> </v>
      </c>
      <c r="EQ5" s="54" t="str">
        <f t="shared" ca="1" si="43"/>
        <v xml:space="preserve"> </v>
      </c>
      <c r="ER5" s="366"/>
      <c r="ES5" s="366"/>
      <c r="ET5" s="54" t="str">
        <f t="shared" si="44"/>
        <v xml:space="preserve"> </v>
      </c>
      <c r="EU5" s="367"/>
      <c r="EV5" s="371"/>
      <c r="EW5" s="49"/>
      <c r="EX5" s="346"/>
      <c r="EY5" s="346"/>
      <c r="EZ5" s="177" t="str">
        <f t="shared" si="45"/>
        <v xml:space="preserve"> </v>
      </c>
      <c r="FA5" s="54" t="str">
        <f t="shared" ca="1" si="46"/>
        <v xml:space="preserve"> </v>
      </c>
      <c r="FB5" s="346"/>
      <c r="FC5" s="346"/>
      <c r="FD5" s="49" t="str">
        <f t="shared" si="47"/>
        <v xml:space="preserve"> </v>
      </c>
      <c r="FE5" s="368"/>
      <c r="FF5" s="369"/>
      <c r="FG5" s="54"/>
      <c r="FH5" s="366"/>
      <c r="FI5" s="366"/>
      <c r="FJ5" s="177" t="str">
        <f t="shared" si="48"/>
        <v xml:space="preserve"> </v>
      </c>
      <c r="FK5" s="54" t="str">
        <f t="shared" ca="1" si="49"/>
        <v xml:space="preserve"> </v>
      </c>
      <c r="FL5" s="366"/>
      <c r="FM5" s="366"/>
      <c r="FN5" s="54" t="str">
        <f t="shared" si="50"/>
        <v xml:space="preserve"> </v>
      </c>
      <c r="FO5" s="367"/>
      <c r="FP5" s="371"/>
      <c r="FQ5" s="49"/>
      <c r="FR5" s="346"/>
      <c r="FS5" s="346"/>
      <c r="FT5" s="177" t="str">
        <f t="shared" si="51"/>
        <v xml:space="preserve"> </v>
      </c>
      <c r="FU5" s="54" t="str">
        <f t="shared" ca="1" si="52"/>
        <v xml:space="preserve"> </v>
      </c>
      <c r="FV5" s="346"/>
      <c r="FW5" s="346"/>
      <c r="FX5" s="49" t="str">
        <f t="shared" si="53"/>
        <v xml:space="preserve"> </v>
      </c>
      <c r="FY5" s="368"/>
      <c r="FZ5" s="369"/>
      <c r="GA5" s="54"/>
      <c r="GB5" s="366"/>
      <c r="GC5" s="366"/>
      <c r="GD5" s="177" t="str">
        <f t="shared" si="54"/>
        <v xml:space="preserve"> </v>
      </c>
      <c r="GE5" s="54" t="str">
        <f t="shared" ca="1" si="55"/>
        <v xml:space="preserve"> </v>
      </c>
      <c r="GF5" s="366"/>
      <c r="GG5" s="366"/>
      <c r="GH5" s="54" t="str">
        <f t="shared" si="56"/>
        <v xml:space="preserve"> </v>
      </c>
      <c r="GI5" s="367"/>
      <c r="GJ5" s="373"/>
      <c r="GK5" s="49"/>
      <c r="GL5" s="346"/>
      <c r="GM5" s="346"/>
      <c r="GN5" s="177" t="str">
        <f t="shared" si="57"/>
        <v xml:space="preserve"> </v>
      </c>
      <c r="GO5" s="54" t="str">
        <f t="shared" ca="1" si="58"/>
        <v xml:space="preserve"> </v>
      </c>
      <c r="GP5" s="346"/>
      <c r="GQ5" s="346"/>
      <c r="GR5" s="49" t="str">
        <f t="shared" si="59"/>
        <v xml:space="preserve"> </v>
      </c>
      <c r="GS5" s="374"/>
      <c r="GT5" s="369"/>
      <c r="GU5" s="54"/>
      <c r="GV5" s="366"/>
      <c r="GW5" s="366"/>
      <c r="GX5" s="177" t="str">
        <f t="shared" si="60"/>
        <v xml:space="preserve"> </v>
      </c>
      <c r="GY5" s="54" t="str">
        <f t="shared" ca="1" si="61"/>
        <v xml:space="preserve"> </v>
      </c>
      <c r="GZ5" s="366"/>
      <c r="HA5" s="366"/>
      <c r="HB5" s="54" t="str">
        <f t="shared" si="62"/>
        <v xml:space="preserve"> </v>
      </c>
      <c r="HC5" s="367"/>
      <c r="HD5" s="373"/>
      <c r="HE5" s="49"/>
      <c r="HF5" s="346"/>
      <c r="HG5" s="346"/>
      <c r="HH5" s="177" t="str">
        <f t="shared" si="63"/>
        <v xml:space="preserve"> </v>
      </c>
      <c r="HI5" s="54" t="str">
        <f t="shared" ca="1" si="64"/>
        <v xml:space="preserve"> </v>
      </c>
      <c r="HJ5" s="346"/>
      <c r="HK5" s="346"/>
      <c r="HL5" s="49" t="str">
        <f t="shared" si="65"/>
        <v xml:space="preserve"> </v>
      </c>
      <c r="HM5" s="374"/>
      <c r="HN5" s="369"/>
      <c r="HO5" s="54"/>
      <c r="HP5" s="366"/>
      <c r="HQ5" s="366"/>
      <c r="HR5" s="177" t="str">
        <f t="shared" si="66"/>
        <v xml:space="preserve"> </v>
      </c>
      <c r="HS5" s="54" t="str">
        <f t="shared" ca="1" si="67"/>
        <v xml:space="preserve"> </v>
      </c>
      <c r="HT5" s="366"/>
      <c r="HU5" s="366"/>
      <c r="HV5" s="54" t="str">
        <f t="shared" si="68"/>
        <v xml:space="preserve"> </v>
      </c>
      <c r="HW5" s="367"/>
      <c r="HX5" s="373"/>
      <c r="HY5" s="49"/>
      <c r="HZ5" s="346"/>
      <c r="IA5" s="177"/>
      <c r="IB5" s="177" t="str">
        <f t="shared" si="69"/>
        <v xml:space="preserve"> </v>
      </c>
      <c r="IC5" s="54" t="str">
        <f t="shared" ca="1" si="70"/>
        <v xml:space="preserve"> </v>
      </c>
      <c r="ID5" s="346"/>
      <c r="IE5" s="346"/>
      <c r="IF5" s="49" t="str">
        <f t="shared" si="71"/>
        <v xml:space="preserve"> </v>
      </c>
      <c r="IG5" s="374"/>
      <c r="IH5" s="369"/>
      <c r="II5" s="366"/>
      <c r="IJ5" s="366"/>
      <c r="IK5" s="366"/>
      <c r="IL5" s="177" t="str">
        <f t="shared" si="72"/>
        <v xml:space="preserve"> </v>
      </c>
      <c r="IM5" s="54" t="str">
        <f t="shared" ca="1" si="73"/>
        <v xml:space="preserve"> </v>
      </c>
      <c r="IN5" s="366"/>
      <c r="IO5" s="366"/>
      <c r="IP5" s="54" t="str">
        <f t="shared" si="74"/>
        <v xml:space="preserve"> </v>
      </c>
      <c r="IQ5" s="367"/>
      <c r="IR5" s="373"/>
      <c r="IS5" s="346"/>
      <c r="IT5" s="346"/>
      <c r="IU5" s="346"/>
      <c r="IV5" s="177" t="str">
        <f t="shared" si="75"/>
        <v xml:space="preserve"> </v>
      </c>
      <c r="IW5" s="54" t="str">
        <f t="shared" ca="1" si="76"/>
        <v xml:space="preserve"> </v>
      </c>
      <c r="IX5" s="346"/>
      <c r="IY5" s="346"/>
      <c r="IZ5" s="54" t="str">
        <f t="shared" si="77"/>
        <v xml:space="preserve"> </v>
      </c>
      <c r="JA5" s="374"/>
      <c r="JB5" s="369"/>
      <c r="JC5" s="366"/>
      <c r="JD5" s="366"/>
      <c r="JE5" s="366"/>
      <c r="JF5" s="177" t="str">
        <f t="shared" si="78"/>
        <v xml:space="preserve"> </v>
      </c>
      <c r="JG5" s="54" t="str">
        <f t="shared" ca="1" si="79"/>
        <v xml:space="preserve"> </v>
      </c>
      <c r="JH5" s="366"/>
      <c r="JI5" s="366"/>
      <c r="JJ5" s="54" t="str">
        <f t="shared" si="80"/>
        <v xml:space="preserve"> </v>
      </c>
      <c r="JK5" s="367"/>
      <c r="JL5" s="373"/>
      <c r="JM5" s="346"/>
      <c r="JN5" s="346"/>
      <c r="JO5" s="346"/>
      <c r="JP5" s="346" t="str">
        <f t="shared" si="81"/>
        <v xml:space="preserve"> </v>
      </c>
      <c r="JQ5" s="54" t="str">
        <f t="shared" ca="1" si="82"/>
        <v xml:space="preserve"> </v>
      </c>
      <c r="JR5" s="346"/>
      <c r="JS5" s="346"/>
      <c r="JT5" s="54" t="str">
        <f t="shared" si="83"/>
        <v xml:space="preserve"> </v>
      </c>
      <c r="JU5" s="374"/>
      <c r="JV5" s="369"/>
      <c r="JW5" s="366"/>
      <c r="JX5" s="366"/>
      <c r="JY5" s="366"/>
      <c r="JZ5" s="366" t="str">
        <f t="shared" si="84"/>
        <v xml:space="preserve"> </v>
      </c>
      <c r="KA5" s="54" t="str">
        <f t="shared" ca="1" si="85"/>
        <v xml:space="preserve"> </v>
      </c>
      <c r="KB5" s="366"/>
      <c r="KC5" s="366"/>
      <c r="KD5" s="54" t="str">
        <f t="shared" si="86"/>
        <v xml:space="preserve"> </v>
      </c>
      <c r="KE5" s="367"/>
      <c r="KF5" s="373"/>
      <c r="KG5" s="346"/>
      <c r="KH5" s="346"/>
      <c r="KI5" s="346"/>
      <c r="KJ5" s="346" t="str">
        <f t="shared" si="87"/>
        <v xml:space="preserve"> </v>
      </c>
      <c r="KK5" s="54" t="str">
        <f t="shared" ca="1" si="88"/>
        <v xml:space="preserve"> </v>
      </c>
      <c r="KL5" s="346"/>
      <c r="KM5" s="346"/>
      <c r="KN5" s="54" t="str">
        <f t="shared" si="89"/>
        <v xml:space="preserve"> </v>
      </c>
      <c r="KO5" s="374"/>
      <c r="KP5" s="369"/>
      <c r="KQ5" s="366"/>
      <c r="KR5" s="366"/>
      <c r="KS5" s="366"/>
      <c r="KT5" s="366" t="str">
        <f t="shared" si="90"/>
        <v xml:space="preserve"> </v>
      </c>
      <c r="KU5" s="54" t="str">
        <f t="shared" ca="1" si="91"/>
        <v xml:space="preserve"> </v>
      </c>
      <c r="KV5" s="366"/>
      <c r="KW5" s="366"/>
      <c r="KX5" s="54" t="str">
        <f t="shared" si="92"/>
        <v xml:space="preserve"> </v>
      </c>
      <c r="KY5" s="367"/>
      <c r="KZ5" s="373"/>
      <c r="LA5" s="346"/>
      <c r="LB5" s="346"/>
      <c r="LC5" s="346"/>
      <c r="LD5" s="346" t="str">
        <f t="shared" si="93"/>
        <v xml:space="preserve"> </v>
      </c>
      <c r="LE5" s="54" t="str">
        <f t="shared" ca="1" si="94"/>
        <v xml:space="preserve"> </v>
      </c>
      <c r="LF5" s="346"/>
      <c r="LG5" s="346"/>
      <c r="LH5" s="54" t="str">
        <f t="shared" si="95"/>
        <v xml:space="preserve"> </v>
      </c>
      <c r="LI5" s="374"/>
      <c r="LJ5" s="369"/>
      <c r="LK5" s="366"/>
      <c r="LL5" s="366"/>
      <c r="LM5" s="366"/>
      <c r="LN5" s="366" t="str">
        <f t="shared" si="96"/>
        <v xml:space="preserve"> </v>
      </c>
      <c r="LO5" s="54" t="str">
        <f t="shared" ca="1" si="97"/>
        <v xml:space="preserve"> </v>
      </c>
      <c r="LP5" s="366"/>
      <c r="LQ5" s="366"/>
      <c r="LR5" s="54" t="str">
        <f t="shared" si="98"/>
        <v xml:space="preserve"> </v>
      </c>
      <c r="LS5" s="367"/>
      <c r="LT5" s="373"/>
      <c r="LU5" s="346"/>
      <c r="LV5" s="346"/>
      <c r="LW5" s="346"/>
      <c r="LX5" s="346"/>
      <c r="LY5" s="54" t="str">
        <f t="shared" ca="1" si="99"/>
        <v xml:space="preserve"> </v>
      </c>
      <c r="LZ5" s="346"/>
      <c r="MA5" s="346"/>
      <c r="MB5" s="54" t="str">
        <f t="shared" si="100"/>
        <v xml:space="preserve"> </v>
      </c>
      <c r="MC5" s="374"/>
      <c r="MD5" s="369"/>
      <c r="ME5" s="366"/>
      <c r="MF5" s="366"/>
      <c r="MG5" s="366"/>
      <c r="MH5" s="366"/>
      <c r="MI5" s="54" t="str">
        <f t="shared" ca="1" si="101"/>
        <v xml:space="preserve"> </v>
      </c>
      <c r="MJ5" s="366"/>
      <c r="MK5" s="366"/>
      <c r="ML5" s="54" t="str">
        <f t="shared" si="102"/>
        <v xml:space="preserve"> </v>
      </c>
      <c r="MM5" s="367"/>
      <c r="MN5" s="373"/>
      <c r="MO5" s="346"/>
      <c r="MP5" s="346"/>
      <c r="MQ5" s="346"/>
      <c r="MR5" s="346"/>
      <c r="MS5" s="54" t="str">
        <f t="shared" ca="1" si="103"/>
        <v xml:space="preserve"> </v>
      </c>
      <c r="MT5" s="346"/>
      <c r="MU5" s="346"/>
      <c r="MV5" s="54" t="str">
        <f t="shared" si="104"/>
        <v xml:space="preserve"> </v>
      </c>
      <c r="MW5" s="374"/>
      <c r="MX5" s="369"/>
      <c r="MY5" s="366"/>
      <c r="MZ5" s="366"/>
      <c r="NA5" s="366"/>
      <c r="NB5" s="366"/>
      <c r="NC5" s="54" t="str">
        <f t="shared" ca="1" si="105"/>
        <v xml:space="preserve"> </v>
      </c>
      <c r="ND5" s="366"/>
      <c r="NE5" s="366"/>
      <c r="NF5" s="54" t="str">
        <f t="shared" si="106"/>
        <v xml:space="preserve"> </v>
      </c>
      <c r="NG5" s="367"/>
      <c r="NH5" s="373"/>
      <c r="NI5" s="346"/>
      <c r="NJ5" s="346"/>
      <c r="NK5" s="346"/>
      <c r="NL5" s="346"/>
      <c r="NM5" s="54" t="str">
        <f t="shared" ca="1" si="107"/>
        <v xml:space="preserve"> </v>
      </c>
      <c r="NN5" s="346"/>
      <c r="NO5" s="346"/>
      <c r="NP5" s="54" t="str">
        <f t="shared" si="108"/>
        <v xml:space="preserve"> </v>
      </c>
      <c r="NQ5" s="374"/>
      <c r="NR5" s="369"/>
      <c r="NS5" s="366"/>
      <c r="NT5" s="366"/>
      <c r="NU5" s="366"/>
      <c r="NV5" s="366"/>
      <c r="NW5" s="54" t="str">
        <f t="shared" ca="1" si="109"/>
        <v xml:space="preserve"> </v>
      </c>
      <c r="NX5" s="366"/>
      <c r="NY5" s="366"/>
      <c r="NZ5" s="54" t="str">
        <f t="shared" si="110"/>
        <v xml:space="preserve"> </v>
      </c>
      <c r="OA5" s="367"/>
      <c r="OB5" s="373"/>
      <c r="OC5" s="346"/>
      <c r="OD5" s="346"/>
      <c r="OE5" s="346"/>
      <c r="OF5" s="346"/>
      <c r="OG5" s="54" t="str">
        <f t="shared" ca="1" si="111"/>
        <v xml:space="preserve"> </v>
      </c>
      <c r="OH5" s="346"/>
      <c r="OI5" s="346"/>
      <c r="OJ5" s="54" t="str">
        <f t="shared" si="112"/>
        <v xml:space="preserve"> </v>
      </c>
      <c r="OK5" s="374"/>
    </row>
    <row r="6" spans="1:401" s="44" customFormat="1" ht="22.2" customHeight="1" x14ac:dyDescent="0.3">
      <c r="A6" s="355" t="s">
        <v>101</v>
      </c>
      <c r="B6" s="172" t="s">
        <v>854</v>
      </c>
      <c r="C6" s="173" t="s">
        <v>855</v>
      </c>
      <c r="D6" s="174" t="s">
        <v>856</v>
      </c>
      <c r="E6" s="175">
        <v>45573</v>
      </c>
      <c r="F6" s="175">
        <f t="shared" si="0"/>
        <v>45938</v>
      </c>
      <c r="G6" s="37" t="str">
        <f t="shared" ca="1" si="1"/>
        <v>VIGENTE</v>
      </c>
      <c r="H6" s="37"/>
      <c r="I6" s="37"/>
      <c r="J6" s="37" t="str">
        <f t="shared" si="2"/>
        <v>G.M.</v>
      </c>
      <c r="K6" s="170"/>
      <c r="L6" s="172" t="s">
        <v>834</v>
      </c>
      <c r="M6" s="37">
        <v>4616</v>
      </c>
      <c r="N6" s="37" t="s">
        <v>857</v>
      </c>
      <c r="O6" s="175">
        <v>45623</v>
      </c>
      <c r="P6" s="175">
        <f t="shared" si="3"/>
        <v>45988</v>
      </c>
      <c r="Q6" s="12" t="str">
        <f t="shared" ca="1" si="4"/>
        <v>VIGENTE</v>
      </c>
      <c r="R6" s="37"/>
      <c r="S6" s="37"/>
      <c r="T6" s="37" t="str">
        <f t="shared" si="5"/>
        <v>C.I.</v>
      </c>
      <c r="U6" s="170"/>
      <c r="V6" s="172" t="s">
        <v>834</v>
      </c>
      <c r="W6" s="37">
        <v>4615</v>
      </c>
      <c r="X6" s="37" t="s">
        <v>858</v>
      </c>
      <c r="Y6" s="91">
        <v>45623</v>
      </c>
      <c r="Z6" s="91">
        <f t="shared" si="6"/>
        <v>45988</v>
      </c>
      <c r="AA6" s="37" t="str">
        <f t="shared" ca="1" si="7"/>
        <v>VIGENTE</v>
      </c>
      <c r="AB6" s="37"/>
      <c r="AC6" s="37"/>
      <c r="AD6" s="37" t="str">
        <f t="shared" si="8"/>
        <v>C.I.</v>
      </c>
      <c r="AE6" s="170"/>
      <c r="AF6" s="172" t="s">
        <v>834</v>
      </c>
      <c r="AG6" s="15">
        <v>4710</v>
      </c>
      <c r="AH6" s="64" t="s">
        <v>859</v>
      </c>
      <c r="AI6" s="63">
        <v>45623</v>
      </c>
      <c r="AJ6" s="63">
        <f t="shared" si="9"/>
        <v>45988</v>
      </c>
      <c r="AK6" s="37" t="str">
        <f t="shared" ca="1" si="10"/>
        <v>VIGENTE</v>
      </c>
      <c r="AL6" s="348"/>
      <c r="AM6" s="348"/>
      <c r="AN6" s="12" t="str">
        <f t="shared" si="11"/>
        <v>C.I.</v>
      </c>
      <c r="AO6" s="361"/>
      <c r="AP6" s="184"/>
      <c r="AQ6" s="12"/>
      <c r="AR6" s="125"/>
      <c r="AS6" s="14"/>
      <c r="AT6" s="14" t="str">
        <f t="shared" si="12"/>
        <v xml:space="preserve"> </v>
      </c>
      <c r="AU6" s="37"/>
      <c r="AV6" s="357"/>
      <c r="AW6" s="357"/>
      <c r="AX6" s="37" t="str">
        <f t="shared" si="14"/>
        <v xml:space="preserve"> </v>
      </c>
      <c r="AY6" s="359"/>
      <c r="AZ6" s="125"/>
      <c r="BA6" s="125"/>
      <c r="BB6" s="12"/>
      <c r="BC6" s="14"/>
      <c r="BD6" s="14" t="str">
        <f t="shared" si="15"/>
        <v xml:space="preserve"> </v>
      </c>
      <c r="BE6" s="37"/>
      <c r="BF6" s="348"/>
      <c r="BG6" s="348"/>
      <c r="BH6" s="12" t="str">
        <f t="shared" si="17"/>
        <v xml:space="preserve"> </v>
      </c>
      <c r="BI6" s="361"/>
      <c r="BJ6" s="356"/>
      <c r="BK6" s="12"/>
      <c r="BL6" s="12"/>
      <c r="BM6" s="14"/>
      <c r="BN6" s="14" t="str">
        <f t="shared" si="18"/>
        <v xml:space="preserve"> </v>
      </c>
      <c r="BO6" s="37" t="str">
        <f t="shared" ca="1" si="19"/>
        <v xml:space="preserve"> </v>
      </c>
      <c r="BP6" s="357"/>
      <c r="BQ6" s="357"/>
      <c r="BR6" s="37" t="str">
        <f t="shared" si="20"/>
        <v xml:space="preserve"> </v>
      </c>
      <c r="BS6" s="359"/>
      <c r="BT6" s="360"/>
      <c r="BU6" s="348"/>
      <c r="BV6" s="348"/>
      <c r="BW6" s="362"/>
      <c r="BX6" s="362" t="str">
        <f t="shared" si="21"/>
        <v xml:space="preserve"> </v>
      </c>
      <c r="BY6" s="37" t="str">
        <f t="shared" ca="1" si="22"/>
        <v xml:space="preserve"> </v>
      </c>
      <c r="BZ6" s="348"/>
      <c r="CA6" s="348"/>
      <c r="CB6" s="12" t="str">
        <f t="shared" si="23"/>
        <v xml:space="preserve"> </v>
      </c>
      <c r="CC6" s="361"/>
      <c r="CD6" s="356"/>
      <c r="CE6" s="37"/>
      <c r="CF6" s="357"/>
      <c r="CG6" s="357"/>
      <c r="CH6" s="357" t="str">
        <f t="shared" si="24"/>
        <v xml:space="preserve"> </v>
      </c>
      <c r="CI6" s="37" t="str">
        <f t="shared" ca="1" si="25"/>
        <v xml:space="preserve"> </v>
      </c>
      <c r="CJ6" s="357"/>
      <c r="CK6" s="357"/>
      <c r="CL6" s="37" t="str">
        <f t="shared" si="26"/>
        <v xml:space="preserve"> </v>
      </c>
      <c r="CM6" s="359"/>
      <c r="CN6" s="360"/>
      <c r="CO6" s="12"/>
      <c r="CP6" s="348"/>
      <c r="CQ6" s="348"/>
      <c r="CR6" s="348" t="str">
        <f t="shared" si="27"/>
        <v xml:space="preserve"> </v>
      </c>
      <c r="CS6" s="37" t="str">
        <f t="shared" ca="1" si="28"/>
        <v xml:space="preserve"> </v>
      </c>
      <c r="CT6" s="348"/>
      <c r="CU6" s="348"/>
      <c r="CV6" s="12" t="str">
        <f t="shared" si="29"/>
        <v xml:space="preserve"> </v>
      </c>
      <c r="CW6" s="361"/>
      <c r="CX6" s="356"/>
      <c r="CY6" s="37"/>
      <c r="CZ6" s="357"/>
      <c r="DA6" s="357"/>
      <c r="DB6" s="357" t="str">
        <f t="shared" si="30"/>
        <v xml:space="preserve"> </v>
      </c>
      <c r="DC6" s="37" t="str">
        <f t="shared" ca="1" si="31"/>
        <v xml:space="preserve"> </v>
      </c>
      <c r="DD6" s="357"/>
      <c r="DE6" s="357"/>
      <c r="DF6" s="37" t="str">
        <f t="shared" si="32"/>
        <v xml:space="preserve"> </v>
      </c>
      <c r="DG6" s="359"/>
      <c r="DH6" s="360"/>
      <c r="DI6" s="12"/>
      <c r="DJ6" s="348"/>
      <c r="DK6" s="348"/>
      <c r="DL6" s="348" t="str">
        <f t="shared" si="33"/>
        <v xml:space="preserve"> </v>
      </c>
      <c r="DM6" s="37" t="str">
        <f t="shared" ca="1" si="34"/>
        <v xml:space="preserve"> </v>
      </c>
      <c r="DN6" s="348"/>
      <c r="DO6" s="348"/>
      <c r="DP6" s="12" t="str">
        <f t="shared" si="35"/>
        <v xml:space="preserve"> </v>
      </c>
      <c r="DQ6" s="361"/>
      <c r="DR6" s="356"/>
      <c r="DS6" s="37"/>
      <c r="DT6" s="357"/>
      <c r="DU6" s="357"/>
      <c r="DV6" s="14" t="str">
        <f t="shared" si="36"/>
        <v xml:space="preserve"> </v>
      </c>
      <c r="DW6" s="37" t="str">
        <f t="shared" ca="1" si="37"/>
        <v xml:space="preserve"> </v>
      </c>
      <c r="DX6" s="357"/>
      <c r="DY6" s="357"/>
      <c r="DZ6" s="37" t="str">
        <f t="shared" si="38"/>
        <v xml:space="preserve"> </v>
      </c>
      <c r="EA6" s="359"/>
      <c r="EB6" s="360"/>
      <c r="EC6" s="12"/>
      <c r="ED6" s="348"/>
      <c r="EE6" s="348"/>
      <c r="EF6" s="91" t="str">
        <f t="shared" si="39"/>
        <v xml:space="preserve"> </v>
      </c>
      <c r="EG6" s="37" t="str">
        <f t="shared" ca="1" si="40"/>
        <v xml:space="preserve"> </v>
      </c>
      <c r="EH6" s="348"/>
      <c r="EI6" s="348"/>
      <c r="EJ6" s="12" t="str">
        <f t="shared" si="41"/>
        <v xml:space="preserve"> </v>
      </c>
      <c r="EK6" s="361"/>
      <c r="EL6" s="356"/>
      <c r="EM6" s="37"/>
      <c r="EN6" s="357"/>
      <c r="EO6" s="357"/>
      <c r="EP6" s="91" t="str">
        <f t="shared" si="42"/>
        <v xml:space="preserve"> </v>
      </c>
      <c r="EQ6" s="37" t="str">
        <f t="shared" ca="1" si="43"/>
        <v xml:space="preserve"> </v>
      </c>
      <c r="ER6" s="357"/>
      <c r="ES6" s="357"/>
      <c r="ET6" s="37" t="str">
        <f t="shared" si="44"/>
        <v xml:space="preserve"> </v>
      </c>
      <c r="EU6" s="359"/>
      <c r="EV6" s="360"/>
      <c r="EW6" s="12"/>
      <c r="EX6" s="348"/>
      <c r="EY6" s="348"/>
      <c r="EZ6" s="91" t="str">
        <f t="shared" si="45"/>
        <v xml:space="preserve"> </v>
      </c>
      <c r="FA6" s="37" t="str">
        <f t="shared" ca="1" si="46"/>
        <v xml:space="preserve"> </v>
      </c>
      <c r="FB6" s="348"/>
      <c r="FC6" s="348"/>
      <c r="FD6" s="12" t="str">
        <f t="shared" si="47"/>
        <v xml:space="preserve"> </v>
      </c>
      <c r="FE6" s="361"/>
      <c r="FF6" s="356"/>
      <c r="FG6" s="37"/>
      <c r="FH6" s="357"/>
      <c r="FI6" s="357"/>
      <c r="FJ6" s="91" t="str">
        <f t="shared" si="48"/>
        <v xml:space="preserve"> </v>
      </c>
      <c r="FK6" s="37" t="str">
        <f t="shared" ca="1" si="49"/>
        <v xml:space="preserve"> </v>
      </c>
      <c r="FL6" s="357"/>
      <c r="FM6" s="357"/>
      <c r="FN6" s="37" t="str">
        <f t="shared" si="50"/>
        <v xml:space="preserve"> </v>
      </c>
      <c r="FO6" s="359"/>
      <c r="FP6" s="360"/>
      <c r="FQ6" s="12"/>
      <c r="FR6" s="348"/>
      <c r="FS6" s="348"/>
      <c r="FT6" s="91" t="str">
        <f t="shared" si="51"/>
        <v xml:space="preserve"> </v>
      </c>
      <c r="FU6" s="37" t="str">
        <f t="shared" ca="1" si="52"/>
        <v xml:space="preserve"> </v>
      </c>
      <c r="FV6" s="348"/>
      <c r="FW6" s="348"/>
      <c r="FX6" s="12" t="str">
        <f t="shared" si="53"/>
        <v xml:space="preserve"> </v>
      </c>
      <c r="FY6" s="361"/>
      <c r="FZ6" s="356"/>
      <c r="GA6" s="37"/>
      <c r="GB6" s="357"/>
      <c r="GC6" s="357"/>
      <c r="GD6" s="91" t="str">
        <f t="shared" si="54"/>
        <v xml:space="preserve"> </v>
      </c>
      <c r="GE6" s="37" t="str">
        <f t="shared" ca="1" si="55"/>
        <v xml:space="preserve"> </v>
      </c>
      <c r="GF6" s="357"/>
      <c r="GG6" s="357"/>
      <c r="GH6" s="37" t="str">
        <f t="shared" si="56"/>
        <v xml:space="preserve"> </v>
      </c>
      <c r="GI6" s="359"/>
      <c r="GJ6" s="363"/>
      <c r="GK6" s="12"/>
      <c r="GL6" s="348"/>
      <c r="GM6" s="348"/>
      <c r="GN6" s="91" t="str">
        <f t="shared" si="57"/>
        <v xml:space="preserve"> </v>
      </c>
      <c r="GO6" s="37" t="str">
        <f t="shared" ca="1" si="58"/>
        <v xml:space="preserve"> </v>
      </c>
      <c r="GP6" s="348"/>
      <c r="GQ6" s="348"/>
      <c r="GR6" s="12" t="str">
        <f t="shared" si="59"/>
        <v xml:space="preserve"> </v>
      </c>
      <c r="GS6" s="364"/>
      <c r="GT6" s="356"/>
      <c r="GU6" s="37"/>
      <c r="GV6" s="357"/>
      <c r="GW6" s="357"/>
      <c r="GX6" s="91" t="str">
        <f t="shared" si="60"/>
        <v xml:space="preserve"> </v>
      </c>
      <c r="GY6" s="37" t="str">
        <f t="shared" ca="1" si="61"/>
        <v xml:space="preserve"> </v>
      </c>
      <c r="GZ6" s="357"/>
      <c r="HA6" s="357"/>
      <c r="HB6" s="37" t="str">
        <f t="shared" si="62"/>
        <v xml:space="preserve"> </v>
      </c>
      <c r="HC6" s="359"/>
      <c r="HD6" s="363"/>
      <c r="HE6" s="12"/>
      <c r="HF6" s="348"/>
      <c r="HG6" s="348"/>
      <c r="HH6" s="91" t="str">
        <f t="shared" si="63"/>
        <v xml:space="preserve"> </v>
      </c>
      <c r="HI6" s="37" t="str">
        <f t="shared" ca="1" si="64"/>
        <v xml:space="preserve"> </v>
      </c>
      <c r="HJ6" s="348"/>
      <c r="HK6" s="348"/>
      <c r="HL6" s="12" t="str">
        <f t="shared" si="65"/>
        <v xml:space="preserve"> </v>
      </c>
      <c r="HM6" s="364"/>
      <c r="HN6" s="356"/>
      <c r="HO6" s="37"/>
      <c r="HP6" s="357"/>
      <c r="HQ6" s="357"/>
      <c r="HR6" s="91" t="str">
        <f t="shared" si="66"/>
        <v xml:space="preserve"> </v>
      </c>
      <c r="HS6" s="37" t="str">
        <f t="shared" ca="1" si="67"/>
        <v xml:space="preserve"> </v>
      </c>
      <c r="HT6" s="357"/>
      <c r="HU6" s="357"/>
      <c r="HV6" s="37" t="str">
        <f t="shared" si="68"/>
        <v xml:space="preserve"> </v>
      </c>
      <c r="HW6" s="359"/>
      <c r="HX6" s="363"/>
      <c r="HY6" s="12"/>
      <c r="HZ6" s="348"/>
      <c r="IA6" s="348"/>
      <c r="IB6" s="91" t="str">
        <f t="shared" si="69"/>
        <v xml:space="preserve"> </v>
      </c>
      <c r="IC6" s="37" t="str">
        <f t="shared" ca="1" si="70"/>
        <v xml:space="preserve"> </v>
      </c>
      <c r="ID6" s="348"/>
      <c r="IE6" s="348"/>
      <c r="IF6" s="12" t="str">
        <f t="shared" si="71"/>
        <v xml:space="preserve"> </v>
      </c>
      <c r="IG6" s="364"/>
      <c r="IH6" s="356"/>
      <c r="II6" s="357"/>
      <c r="IJ6" s="357"/>
      <c r="IK6" s="357"/>
      <c r="IL6" s="91" t="str">
        <f t="shared" si="72"/>
        <v xml:space="preserve"> </v>
      </c>
      <c r="IM6" s="37" t="str">
        <f t="shared" ca="1" si="73"/>
        <v xml:space="preserve"> </v>
      </c>
      <c r="IN6" s="357"/>
      <c r="IO6" s="357"/>
      <c r="IP6" s="37" t="str">
        <f t="shared" si="74"/>
        <v xml:space="preserve"> </v>
      </c>
      <c r="IQ6" s="359"/>
      <c r="IR6" s="363"/>
      <c r="IS6" s="348"/>
      <c r="IT6" s="348"/>
      <c r="IU6" s="348"/>
      <c r="IV6" s="91" t="str">
        <f t="shared" si="75"/>
        <v xml:space="preserve"> </v>
      </c>
      <c r="IW6" s="37" t="str">
        <f t="shared" ca="1" si="76"/>
        <v xml:space="preserve"> </v>
      </c>
      <c r="IX6" s="348"/>
      <c r="IY6" s="348"/>
      <c r="IZ6" s="37" t="str">
        <f t="shared" si="77"/>
        <v xml:space="preserve"> </v>
      </c>
      <c r="JA6" s="364"/>
      <c r="JB6" s="356"/>
      <c r="JC6" s="357"/>
      <c r="JD6" s="357"/>
      <c r="JE6" s="357"/>
      <c r="JF6" s="91" t="str">
        <f t="shared" si="78"/>
        <v xml:space="preserve"> </v>
      </c>
      <c r="JG6" s="37" t="str">
        <f t="shared" ca="1" si="79"/>
        <v xml:space="preserve"> </v>
      </c>
      <c r="JH6" s="357"/>
      <c r="JI6" s="357"/>
      <c r="JJ6" s="37" t="str">
        <f t="shared" si="80"/>
        <v xml:space="preserve"> </v>
      </c>
      <c r="JK6" s="359"/>
      <c r="JL6" s="363"/>
      <c r="JM6" s="348"/>
      <c r="JN6" s="348"/>
      <c r="JO6" s="348"/>
      <c r="JP6" s="348" t="str">
        <f t="shared" si="81"/>
        <v xml:space="preserve"> </v>
      </c>
      <c r="JQ6" s="37" t="str">
        <f t="shared" ca="1" si="82"/>
        <v xml:space="preserve"> </v>
      </c>
      <c r="JR6" s="348"/>
      <c r="JS6" s="348"/>
      <c r="JT6" s="37" t="str">
        <f t="shared" si="83"/>
        <v xml:space="preserve"> </v>
      </c>
      <c r="JU6" s="364"/>
      <c r="JV6" s="356"/>
      <c r="JW6" s="357"/>
      <c r="JX6" s="357"/>
      <c r="JY6" s="357"/>
      <c r="JZ6" s="357" t="str">
        <f t="shared" si="84"/>
        <v xml:space="preserve"> </v>
      </c>
      <c r="KA6" s="37" t="str">
        <f t="shared" ca="1" si="85"/>
        <v xml:space="preserve"> </v>
      </c>
      <c r="KB6" s="357"/>
      <c r="KC6" s="357"/>
      <c r="KD6" s="37" t="str">
        <f t="shared" si="86"/>
        <v xml:space="preserve"> </v>
      </c>
      <c r="KE6" s="359"/>
      <c r="KF6" s="363"/>
      <c r="KG6" s="348"/>
      <c r="KH6" s="348"/>
      <c r="KI6" s="348"/>
      <c r="KJ6" s="348" t="str">
        <f t="shared" si="87"/>
        <v xml:space="preserve"> </v>
      </c>
      <c r="KK6" s="37" t="str">
        <f t="shared" ca="1" si="88"/>
        <v xml:space="preserve"> </v>
      </c>
      <c r="KL6" s="348"/>
      <c r="KM6" s="348"/>
      <c r="KN6" s="37" t="str">
        <f t="shared" si="89"/>
        <v xml:space="preserve"> </v>
      </c>
      <c r="KO6" s="364"/>
      <c r="KP6" s="356"/>
      <c r="KQ6" s="357"/>
      <c r="KR6" s="357"/>
      <c r="KS6" s="357"/>
      <c r="KT6" s="357" t="str">
        <f t="shared" si="90"/>
        <v xml:space="preserve"> </v>
      </c>
      <c r="KU6" s="37" t="str">
        <f t="shared" ca="1" si="91"/>
        <v xml:space="preserve"> </v>
      </c>
      <c r="KV6" s="357"/>
      <c r="KW6" s="357"/>
      <c r="KX6" s="37" t="str">
        <f t="shared" si="92"/>
        <v xml:space="preserve"> </v>
      </c>
      <c r="KY6" s="359"/>
      <c r="KZ6" s="363"/>
      <c r="LA6" s="348"/>
      <c r="LB6" s="348"/>
      <c r="LC6" s="348"/>
      <c r="LD6" s="348" t="str">
        <f t="shared" si="93"/>
        <v xml:space="preserve"> </v>
      </c>
      <c r="LE6" s="37" t="str">
        <f t="shared" ca="1" si="94"/>
        <v xml:space="preserve"> </v>
      </c>
      <c r="LF6" s="348"/>
      <c r="LG6" s="348"/>
      <c r="LH6" s="37" t="str">
        <f t="shared" si="95"/>
        <v xml:space="preserve"> </v>
      </c>
      <c r="LI6" s="364"/>
      <c r="LJ6" s="356"/>
      <c r="LK6" s="357"/>
      <c r="LL6" s="357"/>
      <c r="LM6" s="357"/>
      <c r="LN6" s="357" t="str">
        <f t="shared" si="96"/>
        <v xml:space="preserve"> </v>
      </c>
      <c r="LO6" s="37" t="str">
        <f t="shared" ca="1" si="97"/>
        <v xml:space="preserve"> </v>
      </c>
      <c r="LP6" s="357"/>
      <c r="LQ6" s="357"/>
      <c r="LR6" s="37" t="str">
        <f t="shared" si="98"/>
        <v xml:space="preserve"> </v>
      </c>
      <c r="LS6" s="359"/>
      <c r="LT6" s="363"/>
      <c r="LU6" s="348"/>
      <c r="LV6" s="348"/>
      <c r="LW6" s="348"/>
      <c r="LX6" s="348"/>
      <c r="LY6" s="37" t="str">
        <f t="shared" ca="1" si="99"/>
        <v xml:space="preserve"> </v>
      </c>
      <c r="LZ6" s="348"/>
      <c r="MA6" s="348"/>
      <c r="MB6" s="37" t="str">
        <f t="shared" si="100"/>
        <v xml:space="preserve"> </v>
      </c>
      <c r="MC6" s="364"/>
      <c r="MD6" s="356"/>
      <c r="ME6" s="357"/>
      <c r="MF6" s="357"/>
      <c r="MG6" s="357"/>
      <c r="MH6" s="357"/>
      <c r="MI6" s="37" t="str">
        <f t="shared" ca="1" si="101"/>
        <v xml:space="preserve"> </v>
      </c>
      <c r="MJ6" s="357"/>
      <c r="MK6" s="357"/>
      <c r="ML6" s="37" t="str">
        <f t="shared" si="102"/>
        <v xml:space="preserve"> </v>
      </c>
      <c r="MM6" s="359"/>
      <c r="MN6" s="363"/>
      <c r="MO6" s="348"/>
      <c r="MP6" s="348"/>
      <c r="MQ6" s="348"/>
      <c r="MR6" s="348"/>
      <c r="MS6" s="37" t="str">
        <f t="shared" ca="1" si="103"/>
        <v xml:space="preserve"> </v>
      </c>
      <c r="MT6" s="348"/>
      <c r="MU6" s="348"/>
      <c r="MV6" s="37" t="str">
        <f t="shared" si="104"/>
        <v xml:space="preserve"> </v>
      </c>
      <c r="MW6" s="364"/>
      <c r="MX6" s="356"/>
      <c r="MY6" s="357"/>
      <c r="MZ6" s="357"/>
      <c r="NA6" s="357"/>
      <c r="NB6" s="357"/>
      <c r="NC6" s="37" t="str">
        <f t="shared" ca="1" si="105"/>
        <v xml:space="preserve"> </v>
      </c>
      <c r="ND6" s="357"/>
      <c r="NE6" s="357"/>
      <c r="NF6" s="37" t="str">
        <f t="shared" si="106"/>
        <v xml:space="preserve"> </v>
      </c>
      <c r="NG6" s="359"/>
      <c r="NH6" s="363"/>
      <c r="NI6" s="348"/>
      <c r="NJ6" s="348"/>
      <c r="NK6" s="348"/>
      <c r="NL6" s="348"/>
      <c r="NM6" s="37" t="str">
        <f t="shared" ca="1" si="107"/>
        <v xml:space="preserve"> </v>
      </c>
      <c r="NN6" s="348"/>
      <c r="NO6" s="348"/>
      <c r="NP6" s="37" t="str">
        <f t="shared" si="108"/>
        <v xml:space="preserve"> </v>
      </c>
      <c r="NQ6" s="364"/>
      <c r="NR6" s="356"/>
      <c r="NS6" s="357"/>
      <c r="NT6" s="357"/>
      <c r="NU6" s="357"/>
      <c r="NV6" s="357"/>
      <c r="NW6" s="37" t="str">
        <f t="shared" ca="1" si="109"/>
        <v xml:space="preserve"> </v>
      </c>
      <c r="NX6" s="357"/>
      <c r="NY6" s="357"/>
      <c r="NZ6" s="37" t="str">
        <f t="shared" si="110"/>
        <v xml:space="preserve"> </v>
      </c>
      <c r="OA6" s="359"/>
      <c r="OB6" s="363"/>
      <c r="OC6" s="348"/>
      <c r="OD6" s="348"/>
      <c r="OE6" s="348"/>
      <c r="OF6" s="348"/>
      <c r="OG6" s="37" t="str">
        <f t="shared" ca="1" si="111"/>
        <v xml:space="preserve"> </v>
      </c>
      <c r="OH6" s="348"/>
      <c r="OI6" s="348"/>
      <c r="OJ6" s="37" t="str">
        <f t="shared" si="112"/>
        <v xml:space="preserve"> </v>
      </c>
      <c r="OK6" s="364"/>
    </row>
    <row r="7" spans="1:401" s="44" customFormat="1" ht="22.2" customHeight="1" x14ac:dyDescent="0.3">
      <c r="A7" s="365" t="s">
        <v>106</v>
      </c>
      <c r="B7" s="176" t="s">
        <v>838</v>
      </c>
      <c r="C7" s="54">
        <v>3255</v>
      </c>
      <c r="D7" s="366" t="s">
        <v>860</v>
      </c>
      <c r="E7" s="177">
        <v>45636</v>
      </c>
      <c r="F7" s="177">
        <f t="shared" si="0"/>
        <v>46001</v>
      </c>
      <c r="G7" s="49" t="str">
        <f t="shared" ca="1" si="1"/>
        <v>VIGENTE</v>
      </c>
      <c r="H7" s="54"/>
      <c r="I7" s="54"/>
      <c r="J7" s="54" t="str">
        <f t="shared" si="2"/>
        <v>C.I.</v>
      </c>
      <c r="K7" s="171"/>
      <c r="L7" s="176" t="s">
        <v>838</v>
      </c>
      <c r="M7" s="49">
        <v>3370</v>
      </c>
      <c r="N7" s="49" t="s">
        <v>861</v>
      </c>
      <c r="O7" s="65">
        <v>45735</v>
      </c>
      <c r="P7" s="65">
        <f t="shared" si="3"/>
        <v>46100</v>
      </c>
      <c r="Q7" s="49" t="str">
        <f t="shared" ca="1" si="4"/>
        <v>VIGENTE</v>
      </c>
      <c r="R7" s="54"/>
      <c r="S7" s="54"/>
      <c r="T7" s="54" t="str">
        <f t="shared" si="5"/>
        <v>C.I.</v>
      </c>
      <c r="U7" s="171"/>
      <c r="V7" s="66"/>
      <c r="W7" s="49"/>
      <c r="X7" s="49"/>
      <c r="Y7" s="370"/>
      <c r="Z7" s="370" t="str">
        <f t="shared" si="6"/>
        <v xml:space="preserve"> </v>
      </c>
      <c r="AA7" s="54" t="str">
        <f t="shared" ca="1" si="7"/>
        <v xml:space="preserve"> </v>
      </c>
      <c r="AB7" s="366"/>
      <c r="AC7" s="366"/>
      <c r="AD7" s="54" t="str">
        <f t="shared" si="8"/>
        <v xml:space="preserve"> </v>
      </c>
      <c r="AE7" s="367"/>
      <c r="AF7" s="66"/>
      <c r="AG7" s="49"/>
      <c r="AH7" s="49"/>
      <c r="AI7" s="65"/>
      <c r="AJ7" s="65" t="str">
        <f t="shared" si="9"/>
        <v xml:space="preserve"> </v>
      </c>
      <c r="AK7" s="54" t="str">
        <f t="shared" ca="1" si="10"/>
        <v xml:space="preserve"> </v>
      </c>
      <c r="AL7" s="346"/>
      <c r="AM7" s="346"/>
      <c r="AN7" s="49" t="str">
        <f t="shared" si="11"/>
        <v xml:space="preserve"> </v>
      </c>
      <c r="AO7" s="368"/>
      <c r="AP7" s="369"/>
      <c r="AQ7" s="49"/>
      <c r="AR7" s="49"/>
      <c r="AS7" s="49"/>
      <c r="AT7" s="49" t="str">
        <f t="shared" si="12"/>
        <v xml:space="preserve"> </v>
      </c>
      <c r="AU7" s="54" t="str">
        <f t="shared" ca="1" si="13"/>
        <v xml:space="preserve"> </v>
      </c>
      <c r="AV7" s="366"/>
      <c r="AW7" s="366"/>
      <c r="AX7" s="54" t="str">
        <f t="shared" si="14"/>
        <v xml:space="preserve"> </v>
      </c>
      <c r="AY7" s="367"/>
      <c r="AZ7" s="66" t="s">
        <v>841</v>
      </c>
      <c r="BA7" s="49">
        <v>54020</v>
      </c>
      <c r="BB7" s="49" t="s">
        <v>315</v>
      </c>
      <c r="BC7" s="49"/>
      <c r="BD7" s="49" t="str">
        <f t="shared" si="15"/>
        <v xml:space="preserve"> </v>
      </c>
      <c r="BE7" s="54" t="str">
        <f t="shared" ca="1" si="16"/>
        <v xml:space="preserve"> </v>
      </c>
      <c r="BF7" s="346"/>
      <c r="BG7" s="346"/>
      <c r="BH7" s="49" t="str">
        <f t="shared" si="17"/>
        <v>C.C.</v>
      </c>
      <c r="BI7" s="368"/>
      <c r="BJ7" s="369" t="s">
        <v>862</v>
      </c>
      <c r="BK7" s="49">
        <v>220455</v>
      </c>
      <c r="BL7" s="49" t="s">
        <v>315</v>
      </c>
      <c r="BM7" s="370"/>
      <c r="BN7" s="370" t="str">
        <f t="shared" si="18"/>
        <v xml:space="preserve"> </v>
      </c>
      <c r="BO7" s="54" t="str">
        <f t="shared" ca="1" si="19"/>
        <v xml:space="preserve"> </v>
      </c>
      <c r="BP7" s="366"/>
      <c r="BQ7" s="366"/>
      <c r="BR7" s="54">
        <f t="shared" si="20"/>
        <v>0</v>
      </c>
      <c r="BS7" s="367"/>
      <c r="BT7" s="369" t="s">
        <v>862</v>
      </c>
      <c r="BU7" s="49">
        <v>220433</v>
      </c>
      <c r="BV7" s="49" t="s">
        <v>315</v>
      </c>
      <c r="BW7" s="370"/>
      <c r="BX7" s="370" t="str">
        <f t="shared" si="21"/>
        <v xml:space="preserve"> </v>
      </c>
      <c r="BY7" s="54" t="str">
        <f t="shared" ca="1" si="22"/>
        <v xml:space="preserve"> </v>
      </c>
      <c r="BZ7" s="346"/>
      <c r="CA7" s="346"/>
      <c r="CB7" s="49">
        <f t="shared" si="23"/>
        <v>0</v>
      </c>
      <c r="CC7" s="368"/>
      <c r="CD7" s="369" t="s">
        <v>862</v>
      </c>
      <c r="CE7" s="49">
        <v>220437</v>
      </c>
      <c r="CF7" s="49" t="s">
        <v>315</v>
      </c>
      <c r="CG7" s="370"/>
      <c r="CH7" s="370" t="str">
        <f t="shared" si="24"/>
        <v xml:space="preserve"> </v>
      </c>
      <c r="CI7" s="54" t="str">
        <f t="shared" ca="1" si="25"/>
        <v xml:space="preserve"> </v>
      </c>
      <c r="CJ7" s="366"/>
      <c r="CK7" s="366"/>
      <c r="CL7" s="54">
        <f t="shared" si="26"/>
        <v>0</v>
      </c>
      <c r="CM7" s="367"/>
      <c r="CN7" s="369" t="s">
        <v>862</v>
      </c>
      <c r="CO7" s="49">
        <v>220451</v>
      </c>
      <c r="CP7" s="49" t="s">
        <v>315</v>
      </c>
      <c r="CQ7" s="370"/>
      <c r="CR7" s="370" t="str">
        <f t="shared" si="27"/>
        <v xml:space="preserve"> </v>
      </c>
      <c r="CS7" s="54" t="str">
        <f t="shared" ca="1" si="28"/>
        <v xml:space="preserve"> </v>
      </c>
      <c r="CT7" s="346"/>
      <c r="CU7" s="346"/>
      <c r="CV7" s="49">
        <f t="shared" si="29"/>
        <v>0</v>
      </c>
      <c r="CW7" s="368"/>
      <c r="CX7" s="369" t="s">
        <v>863</v>
      </c>
      <c r="CY7" s="54" t="s">
        <v>315</v>
      </c>
      <c r="CZ7" s="366" t="s">
        <v>315</v>
      </c>
      <c r="DA7" s="366"/>
      <c r="DB7" s="366" t="str">
        <f t="shared" si="30"/>
        <v xml:space="preserve"> </v>
      </c>
      <c r="DC7" s="54" t="str">
        <f t="shared" ca="1" si="31"/>
        <v xml:space="preserve"> </v>
      </c>
      <c r="DD7" s="366"/>
      <c r="DE7" s="366"/>
      <c r="DF7" s="54" t="str">
        <f t="shared" si="32"/>
        <v xml:space="preserve"> </v>
      </c>
      <c r="DG7" s="367"/>
      <c r="DH7" s="369" t="s">
        <v>863</v>
      </c>
      <c r="DI7" s="54" t="s">
        <v>315</v>
      </c>
      <c r="DJ7" s="366" t="s">
        <v>315</v>
      </c>
      <c r="DK7" s="346"/>
      <c r="DL7" s="346" t="str">
        <f t="shared" si="33"/>
        <v xml:space="preserve"> </v>
      </c>
      <c r="DM7" s="54" t="str">
        <f t="shared" ca="1" si="34"/>
        <v xml:space="preserve"> </v>
      </c>
      <c r="DN7" s="346"/>
      <c r="DO7" s="346"/>
      <c r="DP7" s="49" t="str">
        <f t="shared" si="35"/>
        <v xml:space="preserve"> </v>
      </c>
      <c r="DQ7" s="368"/>
      <c r="DR7" s="369" t="s">
        <v>863</v>
      </c>
      <c r="DS7" s="54" t="s">
        <v>315</v>
      </c>
      <c r="DT7" s="366" t="s">
        <v>315</v>
      </c>
      <c r="DU7" s="366"/>
      <c r="DV7" s="177" t="str">
        <f t="shared" si="36"/>
        <v xml:space="preserve"> </v>
      </c>
      <c r="DW7" s="54" t="str">
        <f t="shared" ca="1" si="37"/>
        <v xml:space="preserve"> </v>
      </c>
      <c r="DX7" s="366"/>
      <c r="DY7" s="366"/>
      <c r="DZ7" s="54" t="str">
        <f t="shared" si="38"/>
        <v xml:space="preserve"> </v>
      </c>
      <c r="EA7" s="367"/>
      <c r="EB7" s="369" t="s">
        <v>863</v>
      </c>
      <c r="EC7" s="54" t="s">
        <v>315</v>
      </c>
      <c r="ED7" s="366" t="s">
        <v>315</v>
      </c>
      <c r="EE7" s="346"/>
      <c r="EF7" s="177" t="str">
        <f t="shared" si="39"/>
        <v xml:space="preserve"> </v>
      </c>
      <c r="EG7" s="54" t="str">
        <f t="shared" ca="1" si="40"/>
        <v xml:space="preserve"> </v>
      </c>
      <c r="EH7" s="346"/>
      <c r="EI7" s="346"/>
      <c r="EJ7" s="49" t="str">
        <f t="shared" si="41"/>
        <v xml:space="preserve"> </v>
      </c>
      <c r="EK7" s="368"/>
      <c r="EL7" s="369"/>
      <c r="EM7" s="54"/>
      <c r="EN7" s="366"/>
      <c r="EO7" s="366"/>
      <c r="EP7" s="177" t="str">
        <f t="shared" si="42"/>
        <v xml:space="preserve"> </v>
      </c>
      <c r="EQ7" s="54" t="str">
        <f t="shared" ca="1" si="43"/>
        <v xml:space="preserve"> </v>
      </c>
      <c r="ER7" s="366"/>
      <c r="ES7" s="366"/>
      <c r="ET7" s="54" t="str">
        <f t="shared" si="44"/>
        <v xml:space="preserve"> </v>
      </c>
      <c r="EU7" s="367"/>
      <c r="EV7" s="371"/>
      <c r="EW7" s="49"/>
      <c r="EX7" s="346"/>
      <c r="EY7" s="346"/>
      <c r="EZ7" s="177" t="str">
        <f t="shared" si="45"/>
        <v xml:space="preserve"> </v>
      </c>
      <c r="FA7" s="54" t="str">
        <f t="shared" ca="1" si="46"/>
        <v xml:space="preserve"> </v>
      </c>
      <c r="FB7" s="346"/>
      <c r="FC7" s="346"/>
      <c r="FD7" s="49" t="str">
        <f t="shared" si="47"/>
        <v xml:space="preserve"> </v>
      </c>
      <c r="FE7" s="368"/>
      <c r="FF7" s="369"/>
      <c r="FG7" s="54"/>
      <c r="FH7" s="366"/>
      <c r="FI7" s="366"/>
      <c r="FJ7" s="177" t="str">
        <f t="shared" si="48"/>
        <v xml:space="preserve"> </v>
      </c>
      <c r="FK7" s="54" t="str">
        <f t="shared" ca="1" si="49"/>
        <v xml:space="preserve"> </v>
      </c>
      <c r="FL7" s="366"/>
      <c r="FM7" s="366"/>
      <c r="FN7" s="54" t="str">
        <f t="shared" si="50"/>
        <v xml:space="preserve"> </v>
      </c>
      <c r="FO7" s="367"/>
      <c r="FP7" s="371"/>
      <c r="FQ7" s="49"/>
      <c r="FR7" s="346"/>
      <c r="FS7" s="346"/>
      <c r="FT7" s="177" t="str">
        <f t="shared" si="51"/>
        <v xml:space="preserve"> </v>
      </c>
      <c r="FU7" s="54" t="str">
        <f t="shared" ca="1" si="52"/>
        <v xml:space="preserve"> </v>
      </c>
      <c r="FV7" s="346"/>
      <c r="FW7" s="346"/>
      <c r="FX7" s="49" t="str">
        <f t="shared" si="53"/>
        <v xml:space="preserve"> </v>
      </c>
      <c r="FY7" s="368"/>
      <c r="FZ7" s="369"/>
      <c r="GA7" s="54"/>
      <c r="GB7" s="366"/>
      <c r="GC7" s="366"/>
      <c r="GD7" s="177" t="str">
        <f t="shared" si="54"/>
        <v xml:space="preserve"> </v>
      </c>
      <c r="GE7" s="54" t="str">
        <f t="shared" ca="1" si="55"/>
        <v xml:space="preserve"> </v>
      </c>
      <c r="GF7" s="366"/>
      <c r="GG7" s="366"/>
      <c r="GH7" s="54" t="str">
        <f t="shared" si="56"/>
        <v xml:space="preserve"> </v>
      </c>
      <c r="GI7" s="367"/>
      <c r="GJ7" s="373"/>
      <c r="GK7" s="49"/>
      <c r="GL7" s="346"/>
      <c r="GM7" s="346"/>
      <c r="GN7" s="177" t="str">
        <f t="shared" si="57"/>
        <v xml:space="preserve"> </v>
      </c>
      <c r="GO7" s="54" t="str">
        <f t="shared" ca="1" si="58"/>
        <v xml:space="preserve"> </v>
      </c>
      <c r="GP7" s="346"/>
      <c r="GQ7" s="346"/>
      <c r="GR7" s="49" t="str">
        <f t="shared" si="59"/>
        <v xml:space="preserve"> </v>
      </c>
      <c r="GS7" s="374"/>
      <c r="GT7" s="369"/>
      <c r="GU7" s="54"/>
      <c r="GV7" s="366"/>
      <c r="GW7" s="366"/>
      <c r="GX7" s="177" t="str">
        <f t="shared" si="60"/>
        <v xml:space="preserve"> </v>
      </c>
      <c r="GY7" s="54" t="str">
        <f t="shared" ca="1" si="61"/>
        <v xml:space="preserve"> </v>
      </c>
      <c r="GZ7" s="366"/>
      <c r="HA7" s="366"/>
      <c r="HB7" s="54" t="str">
        <f t="shared" si="62"/>
        <v xml:space="preserve"> </v>
      </c>
      <c r="HC7" s="367"/>
      <c r="HD7" s="373"/>
      <c r="HE7" s="49"/>
      <c r="HF7" s="346"/>
      <c r="HG7" s="346"/>
      <c r="HH7" s="177" t="str">
        <f t="shared" si="63"/>
        <v xml:space="preserve"> </v>
      </c>
      <c r="HI7" s="54" t="str">
        <f t="shared" ca="1" si="64"/>
        <v xml:space="preserve"> </v>
      </c>
      <c r="HJ7" s="346"/>
      <c r="HK7" s="346"/>
      <c r="HL7" s="49" t="str">
        <f t="shared" si="65"/>
        <v xml:space="preserve"> </v>
      </c>
      <c r="HM7" s="374"/>
      <c r="HN7" s="369"/>
      <c r="HO7" s="54"/>
      <c r="HP7" s="366"/>
      <c r="HQ7" s="366"/>
      <c r="HR7" s="177" t="str">
        <f t="shared" si="66"/>
        <v xml:space="preserve"> </v>
      </c>
      <c r="HS7" s="54" t="str">
        <f t="shared" ca="1" si="67"/>
        <v xml:space="preserve"> </v>
      </c>
      <c r="HT7" s="366"/>
      <c r="HU7" s="366"/>
      <c r="HV7" s="54" t="str">
        <f t="shared" si="68"/>
        <v xml:space="preserve"> </v>
      </c>
      <c r="HW7" s="367"/>
      <c r="HX7" s="373"/>
      <c r="HY7" s="49"/>
      <c r="HZ7" s="346"/>
      <c r="IA7" s="177"/>
      <c r="IB7" s="177" t="str">
        <f t="shared" si="69"/>
        <v xml:space="preserve"> </v>
      </c>
      <c r="IC7" s="54" t="str">
        <f t="shared" ca="1" si="70"/>
        <v xml:space="preserve"> </v>
      </c>
      <c r="ID7" s="346"/>
      <c r="IE7" s="346"/>
      <c r="IF7" s="49" t="str">
        <f t="shared" si="71"/>
        <v xml:space="preserve"> </v>
      </c>
      <c r="IG7" s="374"/>
      <c r="IH7" s="369"/>
      <c r="II7" s="366"/>
      <c r="IJ7" s="366"/>
      <c r="IK7" s="366"/>
      <c r="IL7" s="177" t="str">
        <f t="shared" si="72"/>
        <v xml:space="preserve"> </v>
      </c>
      <c r="IM7" s="54" t="str">
        <f t="shared" ca="1" si="73"/>
        <v xml:space="preserve"> </v>
      </c>
      <c r="IN7" s="366"/>
      <c r="IO7" s="366"/>
      <c r="IP7" s="54" t="str">
        <f t="shared" si="74"/>
        <v xml:space="preserve"> </v>
      </c>
      <c r="IQ7" s="367"/>
      <c r="IR7" s="373"/>
      <c r="IS7" s="346"/>
      <c r="IT7" s="346"/>
      <c r="IU7" s="346"/>
      <c r="IV7" s="177" t="str">
        <f t="shared" si="75"/>
        <v xml:space="preserve"> </v>
      </c>
      <c r="IW7" s="54" t="str">
        <f t="shared" ca="1" si="76"/>
        <v xml:space="preserve"> </v>
      </c>
      <c r="IX7" s="346"/>
      <c r="IY7" s="346"/>
      <c r="IZ7" s="54" t="str">
        <f t="shared" si="77"/>
        <v xml:space="preserve"> </v>
      </c>
      <c r="JA7" s="374"/>
      <c r="JB7" s="369"/>
      <c r="JC7" s="366"/>
      <c r="JD7" s="366"/>
      <c r="JE7" s="366"/>
      <c r="JF7" s="177" t="str">
        <f t="shared" si="78"/>
        <v xml:space="preserve"> </v>
      </c>
      <c r="JG7" s="54" t="str">
        <f t="shared" ca="1" si="79"/>
        <v xml:space="preserve"> </v>
      </c>
      <c r="JH7" s="366"/>
      <c r="JI7" s="366"/>
      <c r="JJ7" s="54" t="str">
        <f t="shared" si="80"/>
        <v xml:space="preserve"> </v>
      </c>
      <c r="JK7" s="367"/>
      <c r="JL7" s="373"/>
      <c r="JM7" s="346"/>
      <c r="JN7" s="346"/>
      <c r="JO7" s="346"/>
      <c r="JP7" s="346" t="str">
        <f t="shared" si="81"/>
        <v xml:space="preserve"> </v>
      </c>
      <c r="JQ7" s="54" t="str">
        <f t="shared" ca="1" si="82"/>
        <v xml:space="preserve"> </v>
      </c>
      <c r="JR7" s="346"/>
      <c r="JS7" s="346"/>
      <c r="JT7" s="54" t="str">
        <f t="shared" si="83"/>
        <v xml:space="preserve"> </v>
      </c>
      <c r="JU7" s="374"/>
      <c r="JV7" s="369"/>
      <c r="JW7" s="366"/>
      <c r="JX7" s="366"/>
      <c r="JY7" s="366"/>
      <c r="JZ7" s="366" t="str">
        <f t="shared" si="84"/>
        <v xml:space="preserve"> </v>
      </c>
      <c r="KA7" s="54" t="str">
        <f t="shared" ca="1" si="85"/>
        <v xml:space="preserve"> </v>
      </c>
      <c r="KB7" s="366"/>
      <c r="KC7" s="366"/>
      <c r="KD7" s="54" t="str">
        <f t="shared" si="86"/>
        <v xml:space="preserve"> </v>
      </c>
      <c r="KE7" s="367"/>
      <c r="KF7" s="373"/>
      <c r="KG7" s="346"/>
      <c r="KH7" s="346"/>
      <c r="KI7" s="346"/>
      <c r="KJ7" s="346" t="str">
        <f t="shared" si="87"/>
        <v xml:space="preserve"> </v>
      </c>
      <c r="KK7" s="54" t="str">
        <f t="shared" ca="1" si="88"/>
        <v xml:space="preserve"> </v>
      </c>
      <c r="KL7" s="346"/>
      <c r="KM7" s="346"/>
      <c r="KN7" s="54" t="str">
        <f t="shared" si="89"/>
        <v xml:space="preserve"> </v>
      </c>
      <c r="KO7" s="374"/>
      <c r="KP7" s="369"/>
      <c r="KQ7" s="366"/>
      <c r="KR7" s="366"/>
      <c r="KS7" s="366"/>
      <c r="KT7" s="366" t="str">
        <f t="shared" si="90"/>
        <v xml:space="preserve"> </v>
      </c>
      <c r="KU7" s="54" t="str">
        <f t="shared" ca="1" si="91"/>
        <v xml:space="preserve"> </v>
      </c>
      <c r="KV7" s="366"/>
      <c r="KW7" s="366"/>
      <c r="KX7" s="54" t="str">
        <f t="shared" si="92"/>
        <v xml:space="preserve"> </v>
      </c>
      <c r="KY7" s="367"/>
      <c r="KZ7" s="373"/>
      <c r="LA7" s="346"/>
      <c r="LB7" s="346"/>
      <c r="LC7" s="346"/>
      <c r="LD7" s="346" t="str">
        <f t="shared" si="93"/>
        <v xml:space="preserve"> </v>
      </c>
      <c r="LE7" s="54" t="str">
        <f t="shared" ca="1" si="94"/>
        <v xml:space="preserve"> </v>
      </c>
      <c r="LF7" s="346"/>
      <c r="LG7" s="346"/>
      <c r="LH7" s="54" t="str">
        <f t="shared" si="95"/>
        <v xml:space="preserve"> </v>
      </c>
      <c r="LI7" s="374"/>
      <c r="LJ7" s="369"/>
      <c r="LK7" s="366"/>
      <c r="LL7" s="366"/>
      <c r="LM7" s="366"/>
      <c r="LN7" s="366" t="str">
        <f t="shared" si="96"/>
        <v xml:space="preserve"> </v>
      </c>
      <c r="LO7" s="54" t="str">
        <f t="shared" ca="1" si="97"/>
        <v xml:space="preserve"> </v>
      </c>
      <c r="LP7" s="366"/>
      <c r="LQ7" s="366"/>
      <c r="LR7" s="54" t="str">
        <f t="shared" si="98"/>
        <v xml:space="preserve"> </v>
      </c>
      <c r="LS7" s="367"/>
      <c r="LT7" s="373"/>
      <c r="LU7" s="346"/>
      <c r="LV7" s="346"/>
      <c r="LW7" s="346"/>
      <c r="LX7" s="346"/>
      <c r="LY7" s="54" t="str">
        <f t="shared" ca="1" si="99"/>
        <v xml:space="preserve"> </v>
      </c>
      <c r="LZ7" s="346"/>
      <c r="MA7" s="346"/>
      <c r="MB7" s="54" t="str">
        <f t="shared" si="100"/>
        <v xml:space="preserve"> </v>
      </c>
      <c r="MC7" s="374"/>
      <c r="MD7" s="369"/>
      <c r="ME7" s="366"/>
      <c r="MF7" s="366"/>
      <c r="MG7" s="366"/>
      <c r="MH7" s="366"/>
      <c r="MI7" s="54" t="str">
        <f t="shared" ca="1" si="101"/>
        <v xml:space="preserve"> </v>
      </c>
      <c r="MJ7" s="366"/>
      <c r="MK7" s="366"/>
      <c r="ML7" s="54" t="str">
        <f t="shared" si="102"/>
        <v xml:space="preserve"> </v>
      </c>
      <c r="MM7" s="367"/>
      <c r="MN7" s="373"/>
      <c r="MO7" s="346"/>
      <c r="MP7" s="346"/>
      <c r="MQ7" s="346"/>
      <c r="MR7" s="346"/>
      <c r="MS7" s="54" t="str">
        <f t="shared" ca="1" si="103"/>
        <v xml:space="preserve"> </v>
      </c>
      <c r="MT7" s="346"/>
      <c r="MU7" s="346"/>
      <c r="MV7" s="54" t="str">
        <f t="shared" si="104"/>
        <v xml:space="preserve"> </v>
      </c>
      <c r="MW7" s="374"/>
      <c r="MX7" s="369"/>
      <c r="MY7" s="366"/>
      <c r="MZ7" s="366"/>
      <c r="NA7" s="366"/>
      <c r="NB7" s="366"/>
      <c r="NC7" s="54" t="str">
        <f t="shared" ca="1" si="105"/>
        <v xml:space="preserve"> </v>
      </c>
      <c r="ND7" s="366"/>
      <c r="NE7" s="366"/>
      <c r="NF7" s="54" t="str">
        <f t="shared" si="106"/>
        <v xml:space="preserve"> </v>
      </c>
      <c r="NG7" s="367"/>
      <c r="NH7" s="373"/>
      <c r="NI7" s="346"/>
      <c r="NJ7" s="346"/>
      <c r="NK7" s="346"/>
      <c r="NL7" s="346"/>
      <c r="NM7" s="54" t="str">
        <f t="shared" ca="1" si="107"/>
        <v xml:space="preserve"> </v>
      </c>
      <c r="NN7" s="346"/>
      <c r="NO7" s="346"/>
      <c r="NP7" s="54" t="str">
        <f t="shared" si="108"/>
        <v xml:space="preserve"> </v>
      </c>
      <c r="NQ7" s="374"/>
      <c r="NR7" s="369"/>
      <c r="NS7" s="366"/>
      <c r="NT7" s="366"/>
      <c r="NU7" s="366"/>
      <c r="NV7" s="366"/>
      <c r="NW7" s="54" t="str">
        <f t="shared" ca="1" si="109"/>
        <v xml:space="preserve"> </v>
      </c>
      <c r="NX7" s="366"/>
      <c r="NY7" s="366"/>
      <c r="NZ7" s="54" t="str">
        <f t="shared" si="110"/>
        <v xml:space="preserve"> </v>
      </c>
      <c r="OA7" s="367"/>
      <c r="OB7" s="373"/>
      <c r="OC7" s="346"/>
      <c r="OD7" s="346"/>
      <c r="OE7" s="346"/>
      <c r="OF7" s="346"/>
      <c r="OG7" s="54" t="str">
        <f t="shared" ca="1" si="111"/>
        <v xml:space="preserve"> </v>
      </c>
      <c r="OH7" s="346"/>
      <c r="OI7" s="346"/>
      <c r="OJ7" s="54" t="str">
        <f t="shared" si="112"/>
        <v xml:space="preserve"> </v>
      </c>
      <c r="OK7" s="374"/>
    </row>
    <row r="8" spans="1:401" s="44" customFormat="1" ht="22.2" customHeight="1" x14ac:dyDescent="0.3">
      <c r="A8" s="355" t="s">
        <v>110</v>
      </c>
      <c r="B8" s="172" t="s">
        <v>841</v>
      </c>
      <c r="C8" s="37">
        <v>54476</v>
      </c>
      <c r="D8" s="357" t="s">
        <v>864</v>
      </c>
      <c r="E8" s="91">
        <v>45539</v>
      </c>
      <c r="F8" s="91">
        <f t="shared" si="0"/>
        <v>45904</v>
      </c>
      <c r="G8" s="37" t="str">
        <f t="shared" ca="1" si="1"/>
        <v>VIGENTE</v>
      </c>
      <c r="H8" s="37"/>
      <c r="I8" s="37"/>
      <c r="J8" s="37" t="str">
        <f t="shared" si="2"/>
        <v>C.C.</v>
      </c>
      <c r="K8" s="170"/>
      <c r="L8" s="172" t="s">
        <v>841</v>
      </c>
      <c r="M8" s="37">
        <v>51444</v>
      </c>
      <c r="N8" s="37" t="s">
        <v>865</v>
      </c>
      <c r="O8" s="91">
        <v>45540</v>
      </c>
      <c r="P8" s="91">
        <f t="shared" si="3"/>
        <v>45905</v>
      </c>
      <c r="Q8" s="12" t="str">
        <f t="shared" ca="1" si="4"/>
        <v>VIGENTE</v>
      </c>
      <c r="R8" s="37"/>
      <c r="S8" s="37"/>
      <c r="T8" s="37" t="str">
        <f t="shared" si="5"/>
        <v>C.C.</v>
      </c>
      <c r="U8" s="170"/>
      <c r="V8" s="184" t="s">
        <v>866</v>
      </c>
      <c r="W8" s="37">
        <v>24317</v>
      </c>
      <c r="X8" s="37" t="s">
        <v>867</v>
      </c>
      <c r="Y8" s="91">
        <v>45540</v>
      </c>
      <c r="Z8" s="91">
        <f t="shared" si="6"/>
        <v>45905</v>
      </c>
      <c r="AA8" s="37" t="str">
        <f t="shared" ca="1" si="7"/>
        <v>VIGENTE</v>
      </c>
      <c r="AB8" s="357"/>
      <c r="AC8" s="357"/>
      <c r="AD8" s="37" t="str">
        <f t="shared" si="8"/>
        <v>D.P.</v>
      </c>
      <c r="AE8" s="359"/>
      <c r="AF8" s="184" t="s">
        <v>868</v>
      </c>
      <c r="AG8" s="12">
        <v>30778</v>
      </c>
      <c r="AH8" s="12" t="s">
        <v>869</v>
      </c>
      <c r="AI8" s="14">
        <v>45540</v>
      </c>
      <c r="AJ8" s="14">
        <f t="shared" si="9"/>
        <v>45905</v>
      </c>
      <c r="AK8" s="37" t="str">
        <f t="shared" ca="1" si="10"/>
        <v>VIGENTE</v>
      </c>
      <c r="AL8" s="348"/>
      <c r="AM8" s="348"/>
      <c r="AN8" s="12" t="str">
        <f t="shared" si="11"/>
        <v>G.M.</v>
      </c>
      <c r="AO8" s="361"/>
      <c r="AP8" s="184" t="s">
        <v>838</v>
      </c>
      <c r="AQ8" s="12" t="s">
        <v>870</v>
      </c>
      <c r="AR8" s="12" t="s">
        <v>871</v>
      </c>
      <c r="AS8" s="14">
        <v>45561</v>
      </c>
      <c r="AT8" s="14">
        <f t="shared" si="12"/>
        <v>45926</v>
      </c>
      <c r="AU8" s="37" t="str">
        <f t="shared" ca="1" si="13"/>
        <v>VIGENTE</v>
      </c>
      <c r="AV8" s="348"/>
      <c r="AW8" s="357"/>
      <c r="AX8" s="37" t="str">
        <f t="shared" si="14"/>
        <v>C.I.</v>
      </c>
      <c r="AY8" s="359"/>
      <c r="AZ8" s="184" t="s">
        <v>834</v>
      </c>
      <c r="BA8" s="12">
        <v>5795</v>
      </c>
      <c r="BB8" s="12" t="s">
        <v>872</v>
      </c>
      <c r="BC8" s="14">
        <v>45561</v>
      </c>
      <c r="BD8" s="14">
        <f t="shared" si="15"/>
        <v>45927</v>
      </c>
      <c r="BE8" s="37" t="str">
        <f t="shared" ca="1" si="16"/>
        <v>VIGENTE</v>
      </c>
      <c r="BF8" s="348"/>
      <c r="BG8" s="348"/>
      <c r="BH8" s="12" t="str">
        <f t="shared" si="17"/>
        <v>C.I.</v>
      </c>
      <c r="BI8" s="361"/>
      <c r="BJ8" s="356" t="s">
        <v>873</v>
      </c>
      <c r="BK8" s="12">
        <v>30374</v>
      </c>
      <c r="BL8" s="12" t="s">
        <v>874</v>
      </c>
      <c r="BM8" s="14">
        <v>45565</v>
      </c>
      <c r="BN8" s="14">
        <f t="shared" si="18"/>
        <v>45930</v>
      </c>
      <c r="BO8" s="37" t="str">
        <f t="shared" ca="1" si="19"/>
        <v>VIGENTE</v>
      </c>
      <c r="BP8" s="12"/>
      <c r="BQ8" s="357"/>
      <c r="BR8" s="37" t="str">
        <f t="shared" si="20"/>
        <v>G.M.</v>
      </c>
      <c r="BS8" s="359"/>
      <c r="BT8" s="44" t="s">
        <v>875</v>
      </c>
      <c r="BU8" s="12">
        <v>17280</v>
      </c>
      <c r="BV8" s="12" t="s">
        <v>876</v>
      </c>
      <c r="BW8" s="14">
        <v>45573</v>
      </c>
      <c r="BX8" s="14">
        <f t="shared" si="21"/>
        <v>45938</v>
      </c>
      <c r="BY8" s="37" t="str">
        <f t="shared" ca="1" si="22"/>
        <v>VIGENTE</v>
      </c>
      <c r="BZ8" s="125"/>
      <c r="CA8" s="348"/>
      <c r="CB8" s="37" t="str">
        <f t="shared" si="23"/>
        <v>G.M.</v>
      </c>
      <c r="CC8" s="361"/>
      <c r="CD8" s="356" t="s">
        <v>838</v>
      </c>
      <c r="CE8" s="12">
        <v>3523</v>
      </c>
      <c r="CF8" s="12" t="s">
        <v>877</v>
      </c>
      <c r="CG8" s="14">
        <v>45636</v>
      </c>
      <c r="CH8" s="14">
        <f t="shared" si="24"/>
        <v>46001</v>
      </c>
      <c r="CI8" s="37" t="str">
        <f t="shared" ca="1" si="25"/>
        <v>VIGENTE</v>
      </c>
      <c r="CJ8" s="357"/>
      <c r="CK8" s="357"/>
      <c r="CL8" s="37" t="str">
        <f t="shared" si="26"/>
        <v>C.I.</v>
      </c>
      <c r="CM8" s="359"/>
      <c r="CN8" s="356" t="s">
        <v>841</v>
      </c>
      <c r="CO8" s="12">
        <v>54003</v>
      </c>
      <c r="CP8" s="12" t="s">
        <v>878</v>
      </c>
      <c r="CQ8" s="14">
        <v>45639</v>
      </c>
      <c r="CR8" s="14">
        <f t="shared" si="27"/>
        <v>46004</v>
      </c>
      <c r="CS8" s="37" t="str">
        <f t="shared" ca="1" si="28"/>
        <v>VIGENTE</v>
      </c>
      <c r="CT8" s="348"/>
      <c r="CU8" s="348"/>
      <c r="CV8" s="12" t="str">
        <f t="shared" si="29"/>
        <v>C.C.</v>
      </c>
      <c r="CW8" s="361"/>
      <c r="CX8" s="356" t="s">
        <v>841</v>
      </c>
      <c r="CY8" s="12">
        <v>53975</v>
      </c>
      <c r="CZ8" s="12" t="s">
        <v>879</v>
      </c>
      <c r="DA8" s="14">
        <v>45639</v>
      </c>
      <c r="DB8" s="14">
        <f t="shared" si="30"/>
        <v>46004</v>
      </c>
      <c r="DC8" s="37" t="str">
        <f t="shared" ca="1" si="31"/>
        <v>VIGENTE</v>
      </c>
      <c r="DD8" s="357"/>
      <c r="DE8" s="357"/>
      <c r="DF8" s="37" t="str">
        <f t="shared" si="32"/>
        <v>C.C.</v>
      </c>
      <c r="DG8" s="359"/>
      <c r="DH8" s="356" t="s">
        <v>868</v>
      </c>
      <c r="DI8" s="12">
        <v>312862</v>
      </c>
      <c r="DJ8" s="12" t="s">
        <v>880</v>
      </c>
      <c r="DK8" s="14">
        <v>45666</v>
      </c>
      <c r="DL8" s="14">
        <f t="shared" si="33"/>
        <v>46031</v>
      </c>
      <c r="DM8" s="37" t="str">
        <f t="shared" ca="1" si="34"/>
        <v>VIGENTE</v>
      </c>
      <c r="DN8" s="348"/>
      <c r="DO8" s="348"/>
      <c r="DP8" s="12" t="str">
        <f t="shared" si="35"/>
        <v>G.M.</v>
      </c>
      <c r="DQ8" s="361"/>
      <c r="DR8" s="356" t="s">
        <v>854</v>
      </c>
      <c r="DS8" s="12" t="s">
        <v>881</v>
      </c>
      <c r="DT8" s="12" t="s">
        <v>882</v>
      </c>
      <c r="DU8" s="14">
        <v>45666</v>
      </c>
      <c r="DV8" s="14">
        <f t="shared" si="36"/>
        <v>46031</v>
      </c>
      <c r="DW8" s="37" t="str">
        <f t="shared" ca="1" si="37"/>
        <v>VIGENTE</v>
      </c>
      <c r="DX8" s="357"/>
      <c r="DY8" s="357"/>
      <c r="DZ8" s="37" t="str">
        <f t="shared" si="38"/>
        <v>G.M.</v>
      </c>
      <c r="EA8" s="359"/>
      <c r="EB8" s="356" t="s">
        <v>883</v>
      </c>
      <c r="EC8" s="12" t="s">
        <v>884</v>
      </c>
      <c r="ED8" s="12" t="s">
        <v>885</v>
      </c>
      <c r="EE8" s="14">
        <v>45735</v>
      </c>
      <c r="EF8" s="14">
        <f t="shared" si="39"/>
        <v>46100</v>
      </c>
      <c r="EG8" s="37" t="str">
        <f t="shared" ca="1" si="40"/>
        <v>VIGENTE</v>
      </c>
      <c r="EH8" s="348"/>
      <c r="EI8" s="348"/>
      <c r="EJ8" s="12" t="str">
        <f t="shared" si="41"/>
        <v>C.I.</v>
      </c>
      <c r="EK8" s="361"/>
      <c r="EL8" s="356" t="s">
        <v>883</v>
      </c>
      <c r="EM8" s="12" t="s">
        <v>886</v>
      </c>
      <c r="EN8" s="12" t="s">
        <v>887</v>
      </c>
      <c r="EO8" s="14">
        <v>45735</v>
      </c>
      <c r="EP8" s="14">
        <f t="shared" si="42"/>
        <v>46100</v>
      </c>
      <c r="EQ8" s="37"/>
      <c r="ER8" s="357"/>
      <c r="ES8" s="357"/>
      <c r="ET8" s="37" t="str">
        <f t="shared" si="44"/>
        <v>C.I.</v>
      </c>
      <c r="EU8" s="359"/>
      <c r="EV8" s="356" t="s">
        <v>883</v>
      </c>
      <c r="EW8" s="12" t="s">
        <v>888</v>
      </c>
      <c r="EX8" s="12" t="s">
        <v>889</v>
      </c>
      <c r="EY8" s="14">
        <v>45735</v>
      </c>
      <c r="EZ8" s="14">
        <f t="shared" si="45"/>
        <v>46100</v>
      </c>
      <c r="FA8" s="37" t="str">
        <f t="shared" ca="1" si="46"/>
        <v>VIGENTE</v>
      </c>
      <c r="FB8" s="348"/>
      <c r="FC8" s="348"/>
      <c r="FD8" s="12" t="str">
        <f t="shared" si="47"/>
        <v>C.I.</v>
      </c>
      <c r="FE8" s="361"/>
      <c r="FF8" s="356" t="s">
        <v>883</v>
      </c>
      <c r="FG8" s="12" t="s">
        <v>890</v>
      </c>
      <c r="FH8" s="12" t="s">
        <v>891</v>
      </c>
      <c r="FI8" s="14">
        <v>45749</v>
      </c>
      <c r="FJ8" s="14">
        <f t="shared" si="48"/>
        <v>46114</v>
      </c>
      <c r="FK8" s="37" t="str">
        <f t="shared" ca="1" si="49"/>
        <v>VIGENTE</v>
      </c>
      <c r="FL8" s="357"/>
      <c r="FM8" s="357"/>
      <c r="FN8" s="37" t="str">
        <f t="shared" si="50"/>
        <v>C.I.</v>
      </c>
      <c r="FO8" s="359"/>
      <c r="FP8" s="360"/>
      <c r="FQ8" s="12"/>
      <c r="FR8" s="12"/>
      <c r="FS8" s="14"/>
      <c r="FT8" s="91" t="str">
        <f t="shared" si="51"/>
        <v xml:space="preserve"> </v>
      </c>
      <c r="FU8" s="37" t="str">
        <f t="shared" ca="1" si="52"/>
        <v xml:space="preserve"> </v>
      </c>
      <c r="FV8" s="348"/>
      <c r="FW8" s="348"/>
      <c r="FX8" s="12" t="str">
        <f t="shared" si="53"/>
        <v xml:space="preserve"> </v>
      </c>
      <c r="FY8" s="361"/>
      <c r="FZ8" s="356"/>
      <c r="GA8" s="12"/>
      <c r="GB8" s="12"/>
      <c r="GC8" s="14"/>
      <c r="GD8" s="91" t="str">
        <f t="shared" si="54"/>
        <v xml:space="preserve"> </v>
      </c>
      <c r="GE8" s="37" t="str">
        <f t="shared" ca="1" si="55"/>
        <v xml:space="preserve"> </v>
      </c>
      <c r="GF8" s="357"/>
      <c r="GG8" s="357"/>
      <c r="GH8" s="37" t="str">
        <f t="shared" si="56"/>
        <v xml:space="preserve"> </v>
      </c>
      <c r="GI8" s="359"/>
      <c r="GJ8" s="363"/>
      <c r="GK8" s="12"/>
      <c r="GL8" s="12"/>
      <c r="GM8" s="14"/>
      <c r="GN8" s="91" t="str">
        <f t="shared" si="57"/>
        <v xml:space="preserve"> </v>
      </c>
      <c r="GO8" s="37" t="str">
        <f t="shared" ca="1" si="58"/>
        <v xml:space="preserve"> </v>
      </c>
      <c r="GP8" s="348"/>
      <c r="GQ8" s="348"/>
      <c r="GR8" s="12" t="str">
        <f t="shared" si="59"/>
        <v xml:space="preserve"> </v>
      </c>
      <c r="GS8" s="364"/>
      <c r="GT8" s="356"/>
      <c r="GU8" s="12"/>
      <c r="GV8" s="12"/>
      <c r="GW8" s="14"/>
      <c r="GX8" s="91" t="str">
        <f t="shared" si="60"/>
        <v xml:space="preserve"> </v>
      </c>
      <c r="GY8" s="37" t="str">
        <f t="shared" ca="1" si="61"/>
        <v xml:space="preserve"> </v>
      </c>
      <c r="GZ8" s="357"/>
      <c r="HA8" s="357"/>
      <c r="HB8" s="37" t="str">
        <f t="shared" si="62"/>
        <v xml:space="preserve"> </v>
      </c>
      <c r="HC8" s="359"/>
      <c r="HD8" s="363"/>
      <c r="HE8" s="12"/>
      <c r="HF8" s="12"/>
      <c r="HG8" s="14"/>
      <c r="HH8" s="91" t="str">
        <f t="shared" si="63"/>
        <v xml:space="preserve"> </v>
      </c>
      <c r="HI8" s="37" t="str">
        <f t="shared" ca="1" si="64"/>
        <v xml:space="preserve"> </v>
      </c>
      <c r="HJ8" s="348"/>
      <c r="HK8" s="348"/>
      <c r="HL8" s="12" t="str">
        <f t="shared" si="65"/>
        <v xml:space="preserve"> </v>
      </c>
      <c r="HM8" s="364"/>
      <c r="HN8" s="356"/>
      <c r="HO8" s="12"/>
      <c r="HP8" s="12"/>
      <c r="HQ8" s="14"/>
      <c r="HR8" s="91" t="str">
        <f t="shared" si="66"/>
        <v xml:space="preserve"> </v>
      </c>
      <c r="HS8" s="37" t="str">
        <f t="shared" ca="1" si="67"/>
        <v xml:space="preserve"> </v>
      </c>
      <c r="HT8" s="357"/>
      <c r="HU8" s="357"/>
      <c r="HV8" s="37" t="str">
        <f t="shared" si="68"/>
        <v xml:space="preserve"> </v>
      </c>
      <c r="HW8" s="359"/>
      <c r="HX8" s="363"/>
      <c r="HY8" s="12"/>
      <c r="HZ8" s="12"/>
      <c r="IA8" s="348"/>
      <c r="IB8" s="91" t="str">
        <f t="shared" si="69"/>
        <v xml:space="preserve"> </v>
      </c>
      <c r="IC8" s="37" t="str">
        <f t="shared" ca="1" si="70"/>
        <v xml:space="preserve"> </v>
      </c>
      <c r="ID8" s="348"/>
      <c r="IE8" s="348"/>
      <c r="IF8" s="12" t="str">
        <f t="shared" si="71"/>
        <v xml:space="preserve"> </v>
      </c>
      <c r="IG8" s="364"/>
      <c r="IH8" s="356"/>
      <c r="II8" s="12"/>
      <c r="IJ8" s="12"/>
      <c r="IK8" s="14"/>
      <c r="IL8" s="91" t="str">
        <f t="shared" si="72"/>
        <v xml:space="preserve"> </v>
      </c>
      <c r="IM8" s="37" t="str">
        <f t="shared" ca="1" si="73"/>
        <v xml:space="preserve"> </v>
      </c>
      <c r="IN8" s="357"/>
      <c r="IO8" s="357"/>
      <c r="IP8" s="37" t="str">
        <f t="shared" si="74"/>
        <v xml:space="preserve"> </v>
      </c>
      <c r="IQ8" s="359"/>
      <c r="IR8" s="363"/>
      <c r="IS8" s="12"/>
      <c r="IT8" s="12"/>
      <c r="IU8" s="14"/>
      <c r="IV8" s="91" t="str">
        <f t="shared" si="75"/>
        <v xml:space="preserve"> </v>
      </c>
      <c r="IW8" s="37" t="str">
        <f t="shared" ca="1" si="76"/>
        <v xml:space="preserve"> </v>
      </c>
      <c r="IX8" s="348"/>
      <c r="IY8" s="348"/>
      <c r="IZ8" s="37" t="str">
        <f t="shared" si="77"/>
        <v xml:space="preserve"> </v>
      </c>
      <c r="JA8" s="364"/>
      <c r="JB8" s="356"/>
      <c r="JC8" s="12"/>
      <c r="JD8" s="12"/>
      <c r="JE8" s="14"/>
      <c r="JF8" s="91" t="str">
        <f t="shared" si="78"/>
        <v xml:space="preserve"> </v>
      </c>
      <c r="JG8" s="37" t="str">
        <f t="shared" ca="1" si="79"/>
        <v xml:space="preserve"> </v>
      </c>
      <c r="JH8" s="357"/>
      <c r="JI8" s="357"/>
      <c r="JJ8" s="37" t="str">
        <f t="shared" si="80"/>
        <v xml:space="preserve"> </v>
      </c>
      <c r="JK8" s="359"/>
      <c r="JL8" s="363"/>
      <c r="JM8" s="12"/>
      <c r="JN8" s="12"/>
      <c r="JO8" s="14"/>
      <c r="JP8" s="14" t="str">
        <f t="shared" si="81"/>
        <v xml:space="preserve"> </v>
      </c>
      <c r="JQ8" s="37" t="str">
        <f t="shared" ca="1" si="82"/>
        <v xml:space="preserve"> </v>
      </c>
      <c r="JR8" s="348"/>
      <c r="JS8" s="348"/>
      <c r="JT8" s="37" t="str">
        <f t="shared" si="83"/>
        <v xml:space="preserve"> </v>
      </c>
      <c r="JU8" s="364"/>
      <c r="JV8" s="356"/>
      <c r="JW8" s="12"/>
      <c r="JX8" s="12"/>
      <c r="JY8" s="14"/>
      <c r="JZ8" s="14" t="str">
        <f t="shared" si="84"/>
        <v xml:space="preserve"> </v>
      </c>
      <c r="KA8" s="37" t="str">
        <f t="shared" ca="1" si="85"/>
        <v xml:space="preserve"> </v>
      </c>
      <c r="KB8" s="357"/>
      <c r="KC8" s="357"/>
      <c r="KD8" s="37" t="str">
        <f t="shared" si="86"/>
        <v xml:space="preserve"> </v>
      </c>
      <c r="KE8" s="359"/>
      <c r="KF8" s="363"/>
      <c r="KG8" s="12"/>
      <c r="KH8" s="12"/>
      <c r="KI8" s="14"/>
      <c r="KJ8" s="14" t="str">
        <f t="shared" si="87"/>
        <v xml:space="preserve"> </v>
      </c>
      <c r="KK8" s="37" t="str">
        <f t="shared" ca="1" si="88"/>
        <v xml:space="preserve"> </v>
      </c>
      <c r="KL8" s="348"/>
      <c r="KM8" s="348"/>
      <c r="KN8" s="37" t="str">
        <f t="shared" si="89"/>
        <v xml:space="preserve"> </v>
      </c>
      <c r="KO8" s="364"/>
      <c r="KP8" s="356"/>
      <c r="KQ8" s="12"/>
      <c r="KR8" s="12"/>
      <c r="KS8" s="14"/>
      <c r="KT8" s="14" t="str">
        <f t="shared" si="90"/>
        <v xml:space="preserve"> </v>
      </c>
      <c r="KU8" s="37" t="str">
        <f t="shared" ca="1" si="91"/>
        <v xml:space="preserve"> </v>
      </c>
      <c r="KV8" s="357"/>
      <c r="KW8" s="357"/>
      <c r="KX8" s="37" t="str">
        <f t="shared" si="92"/>
        <v xml:space="preserve"> </v>
      </c>
      <c r="KY8" s="359"/>
      <c r="KZ8" s="363"/>
      <c r="LA8" s="12"/>
      <c r="LB8" s="12"/>
      <c r="LC8" s="14"/>
      <c r="LD8" s="14" t="str">
        <f t="shared" si="93"/>
        <v xml:space="preserve"> </v>
      </c>
      <c r="LE8" s="37" t="str">
        <f t="shared" ca="1" si="94"/>
        <v xml:space="preserve"> </v>
      </c>
      <c r="LF8" s="348"/>
      <c r="LG8" s="348"/>
      <c r="LH8" s="37" t="str">
        <f t="shared" si="95"/>
        <v xml:space="preserve"> </v>
      </c>
      <c r="LI8" s="364"/>
      <c r="LJ8" s="356"/>
      <c r="LK8" s="12"/>
      <c r="LL8" s="12"/>
      <c r="LM8" s="14"/>
      <c r="LN8" s="14" t="str">
        <f t="shared" si="96"/>
        <v xml:space="preserve"> </v>
      </c>
      <c r="LO8" s="37" t="str">
        <f t="shared" ca="1" si="97"/>
        <v xml:space="preserve"> </v>
      </c>
      <c r="LP8" s="357"/>
      <c r="LQ8" s="357"/>
      <c r="LR8" s="37" t="str">
        <f t="shared" si="98"/>
        <v xml:space="preserve"> </v>
      </c>
      <c r="LS8" s="359"/>
      <c r="LT8" s="363"/>
      <c r="LU8" s="12"/>
      <c r="LV8" s="12"/>
      <c r="LW8" s="14"/>
      <c r="LX8" s="14"/>
      <c r="LY8" s="37" t="str">
        <f t="shared" ca="1" si="99"/>
        <v xml:space="preserve"> </v>
      </c>
      <c r="LZ8" s="348"/>
      <c r="MA8" s="348"/>
      <c r="MB8" s="37" t="str">
        <f t="shared" si="100"/>
        <v xml:space="preserve"> </v>
      </c>
      <c r="MC8" s="364"/>
      <c r="MD8" s="356"/>
      <c r="ME8" s="12"/>
      <c r="MF8" s="12"/>
      <c r="MG8" s="14"/>
      <c r="MH8" s="14"/>
      <c r="MI8" s="37" t="str">
        <f t="shared" ca="1" si="101"/>
        <v xml:space="preserve"> </v>
      </c>
      <c r="MJ8" s="357"/>
      <c r="MK8" s="357"/>
      <c r="ML8" s="37" t="str">
        <f t="shared" si="102"/>
        <v xml:space="preserve"> </v>
      </c>
      <c r="MM8" s="359"/>
      <c r="MN8" s="363"/>
      <c r="MO8" s="12"/>
      <c r="MP8" s="12"/>
      <c r="MQ8" s="14"/>
      <c r="MR8" s="14"/>
      <c r="MS8" s="37" t="str">
        <f t="shared" ca="1" si="103"/>
        <v xml:space="preserve"> </v>
      </c>
      <c r="MT8" s="348"/>
      <c r="MU8" s="348"/>
      <c r="MV8" s="37" t="str">
        <f t="shared" si="104"/>
        <v xml:space="preserve"> </v>
      </c>
      <c r="MW8" s="364"/>
      <c r="MX8" s="356"/>
      <c r="MY8" s="12"/>
      <c r="MZ8" s="12"/>
      <c r="NA8" s="14"/>
      <c r="NB8" s="14"/>
      <c r="NC8" s="37" t="str">
        <f t="shared" ca="1" si="105"/>
        <v xml:space="preserve"> </v>
      </c>
      <c r="ND8" s="357"/>
      <c r="NE8" s="357"/>
      <c r="NF8" s="37" t="str">
        <f t="shared" si="106"/>
        <v xml:space="preserve"> </v>
      </c>
      <c r="NG8" s="359"/>
      <c r="NH8" s="363"/>
      <c r="NI8" s="12"/>
      <c r="NJ8" s="12"/>
      <c r="NK8" s="14"/>
      <c r="NL8" s="14"/>
      <c r="NM8" s="37" t="str">
        <f t="shared" ca="1" si="107"/>
        <v xml:space="preserve"> </v>
      </c>
      <c r="NN8" s="348"/>
      <c r="NO8" s="348"/>
      <c r="NP8" s="37" t="str">
        <f t="shared" si="108"/>
        <v xml:space="preserve"> </v>
      </c>
      <c r="NQ8" s="364"/>
      <c r="NR8" s="356"/>
      <c r="NS8" s="12"/>
      <c r="NT8" s="12"/>
      <c r="NU8" s="14"/>
      <c r="NV8" s="14"/>
      <c r="NW8" s="37" t="str">
        <f t="shared" ca="1" si="109"/>
        <v xml:space="preserve"> </v>
      </c>
      <c r="NX8" s="357"/>
      <c r="NY8" s="357"/>
      <c r="NZ8" s="37" t="str">
        <f t="shared" si="110"/>
        <v xml:space="preserve"> </v>
      </c>
      <c r="OA8" s="359"/>
      <c r="OB8" s="363"/>
      <c r="OC8" s="12"/>
      <c r="OD8" s="12"/>
      <c r="OE8" s="14"/>
      <c r="OF8" s="14"/>
      <c r="OG8" s="37" t="str">
        <f t="shared" ca="1" si="111"/>
        <v xml:space="preserve"> </v>
      </c>
      <c r="OH8" s="348"/>
      <c r="OI8" s="348"/>
      <c r="OJ8" s="37" t="str">
        <f t="shared" si="112"/>
        <v xml:space="preserve"> </v>
      </c>
      <c r="OK8" s="364"/>
    </row>
    <row r="9" spans="1:401" s="44" customFormat="1" ht="22.2" customHeight="1" x14ac:dyDescent="0.3">
      <c r="A9" s="365" t="s">
        <v>122</v>
      </c>
      <c r="B9" s="176" t="s">
        <v>838</v>
      </c>
      <c r="C9" s="54" t="s">
        <v>315</v>
      </c>
      <c r="D9" s="54" t="s">
        <v>315</v>
      </c>
      <c r="E9" s="177"/>
      <c r="F9" s="177" t="str">
        <f t="shared" si="0"/>
        <v xml:space="preserve"> </v>
      </c>
      <c r="G9" s="54" t="str">
        <f t="shared" ref="G9:G47" ca="1" si="113">IF(E9=0," ",IF(F9-TODAY()&gt;60,"VIGENTE",IF(F9-TODAY()&lt;=0,"VENCIDO",IF(F9-TODAY()&lt;=60,"POR VENCER"))))</f>
        <v xml:space="preserve"> </v>
      </c>
      <c r="H9" s="54"/>
      <c r="I9" s="54"/>
      <c r="J9" s="54" t="str">
        <f t="shared" si="2"/>
        <v>C.I.</v>
      </c>
      <c r="K9" s="171"/>
      <c r="L9" s="176" t="s">
        <v>838</v>
      </c>
      <c r="M9" s="54" t="s">
        <v>315</v>
      </c>
      <c r="N9" s="54" t="s">
        <v>315</v>
      </c>
      <c r="O9" s="177"/>
      <c r="P9" s="177" t="str">
        <f t="shared" si="3"/>
        <v xml:space="preserve"> </v>
      </c>
      <c r="Q9" s="54" t="str">
        <f t="shared" ca="1" si="4"/>
        <v xml:space="preserve"> </v>
      </c>
      <c r="R9" s="54"/>
      <c r="S9" s="54"/>
      <c r="T9" s="54" t="str">
        <f t="shared" si="5"/>
        <v>C.I.</v>
      </c>
      <c r="U9" s="171"/>
      <c r="V9" s="176" t="s">
        <v>875</v>
      </c>
      <c r="W9" s="49">
        <v>17440</v>
      </c>
      <c r="X9" s="49" t="s">
        <v>892</v>
      </c>
      <c r="Y9" s="65">
        <v>44552</v>
      </c>
      <c r="Z9" s="65">
        <f t="shared" si="6"/>
        <v>44917</v>
      </c>
      <c r="AA9" s="54" t="str">
        <f t="shared" ca="1" si="7"/>
        <v>VENCIDO</v>
      </c>
      <c r="AB9" s="366"/>
      <c r="AC9" s="366"/>
      <c r="AD9" s="54" t="str">
        <f t="shared" si="8"/>
        <v>G.M.</v>
      </c>
      <c r="AE9" s="367"/>
      <c r="AF9" s="166"/>
      <c r="AG9" s="49"/>
      <c r="AH9" s="49"/>
      <c r="AI9" s="65"/>
      <c r="AJ9" s="65" t="str">
        <f t="shared" si="9"/>
        <v xml:space="preserve"> </v>
      </c>
      <c r="AK9" s="54" t="str">
        <f t="shared" ca="1" si="10"/>
        <v xml:space="preserve"> </v>
      </c>
      <c r="AL9" s="346"/>
      <c r="AM9" s="346"/>
      <c r="AN9" s="49" t="str">
        <f t="shared" si="11"/>
        <v xml:space="preserve"> </v>
      </c>
      <c r="AO9" s="368"/>
      <c r="AP9" s="369"/>
      <c r="AQ9" s="366"/>
      <c r="AR9" s="366"/>
      <c r="AS9" s="370"/>
      <c r="AT9" s="370" t="str">
        <f t="shared" si="12"/>
        <v xml:space="preserve"> </v>
      </c>
      <c r="AU9" s="54" t="str">
        <f t="shared" ca="1" si="13"/>
        <v xml:space="preserve"> </v>
      </c>
      <c r="AV9" s="366"/>
      <c r="AW9" s="366"/>
      <c r="AX9" s="54" t="str">
        <f t="shared" si="14"/>
        <v xml:space="preserve"> </v>
      </c>
      <c r="AY9" s="367"/>
      <c r="AZ9" s="371"/>
      <c r="BA9" s="346"/>
      <c r="BB9" s="346"/>
      <c r="BC9" s="372"/>
      <c r="BD9" s="372" t="str">
        <f t="shared" si="15"/>
        <v xml:space="preserve"> </v>
      </c>
      <c r="BE9" s="54" t="str">
        <f t="shared" ca="1" si="16"/>
        <v xml:space="preserve"> </v>
      </c>
      <c r="BF9" s="346"/>
      <c r="BG9" s="346"/>
      <c r="BH9" s="49" t="str">
        <f t="shared" si="17"/>
        <v xml:space="preserve"> </v>
      </c>
      <c r="BI9" s="368"/>
      <c r="BJ9" s="369"/>
      <c r="BK9" s="366"/>
      <c r="BL9" s="366"/>
      <c r="BM9" s="370"/>
      <c r="BN9" s="370" t="str">
        <f t="shared" si="18"/>
        <v xml:space="preserve"> </v>
      </c>
      <c r="BO9" s="54" t="str">
        <f t="shared" ca="1" si="19"/>
        <v xml:space="preserve"> </v>
      </c>
      <c r="BP9" s="366"/>
      <c r="BQ9" s="366"/>
      <c r="BR9" s="54" t="str">
        <f t="shared" si="20"/>
        <v xml:space="preserve"> </v>
      </c>
      <c r="BS9" s="367"/>
      <c r="BT9" s="371"/>
      <c r="BU9" s="346"/>
      <c r="BV9" s="346"/>
      <c r="BW9" s="372"/>
      <c r="BX9" s="372" t="str">
        <f t="shared" si="21"/>
        <v xml:space="preserve"> </v>
      </c>
      <c r="BY9" s="54" t="str">
        <f t="shared" ca="1" si="22"/>
        <v xml:space="preserve"> </v>
      </c>
      <c r="BZ9" s="346"/>
      <c r="CA9" s="346"/>
      <c r="CB9" s="49" t="str">
        <f t="shared" si="23"/>
        <v xml:space="preserve"> </v>
      </c>
      <c r="CC9" s="368"/>
      <c r="CD9" s="369"/>
      <c r="CE9" s="54"/>
      <c r="CF9" s="366"/>
      <c r="CG9" s="366"/>
      <c r="CH9" s="366" t="str">
        <f t="shared" si="24"/>
        <v xml:space="preserve"> </v>
      </c>
      <c r="CI9" s="54" t="str">
        <f t="shared" ca="1" si="25"/>
        <v xml:space="preserve"> </v>
      </c>
      <c r="CJ9" s="366"/>
      <c r="CK9" s="366"/>
      <c r="CL9" s="54" t="str">
        <f t="shared" si="26"/>
        <v xml:space="preserve"> </v>
      </c>
      <c r="CM9" s="367"/>
      <c r="CN9" s="371"/>
      <c r="CO9" s="49"/>
      <c r="CP9" s="346"/>
      <c r="CQ9" s="346"/>
      <c r="CR9" s="346" t="str">
        <f t="shared" si="27"/>
        <v xml:space="preserve"> </v>
      </c>
      <c r="CS9" s="54" t="str">
        <f t="shared" ca="1" si="28"/>
        <v xml:space="preserve"> </v>
      </c>
      <c r="CT9" s="346"/>
      <c r="CU9" s="346"/>
      <c r="CV9" s="49" t="str">
        <f t="shared" si="29"/>
        <v xml:space="preserve"> </v>
      </c>
      <c r="CW9" s="368"/>
      <c r="CX9" s="369"/>
      <c r="CY9" s="54"/>
      <c r="CZ9" s="366"/>
      <c r="DA9" s="366"/>
      <c r="DB9" s="366" t="str">
        <f t="shared" si="30"/>
        <v xml:space="preserve"> </v>
      </c>
      <c r="DC9" s="54" t="str">
        <f t="shared" ca="1" si="31"/>
        <v xml:space="preserve"> </v>
      </c>
      <c r="DD9" s="366"/>
      <c r="DE9" s="366"/>
      <c r="DF9" s="54" t="str">
        <f t="shared" si="32"/>
        <v xml:space="preserve"> </v>
      </c>
      <c r="DG9" s="367"/>
      <c r="DH9" s="371"/>
      <c r="DI9" s="49"/>
      <c r="DJ9" s="346"/>
      <c r="DK9" s="346"/>
      <c r="DL9" s="346" t="str">
        <f t="shared" si="33"/>
        <v xml:space="preserve"> </v>
      </c>
      <c r="DM9" s="54" t="str">
        <f t="shared" ca="1" si="34"/>
        <v xml:space="preserve"> </v>
      </c>
      <c r="DN9" s="346"/>
      <c r="DO9" s="346"/>
      <c r="DP9" s="49" t="str">
        <f t="shared" si="35"/>
        <v xml:space="preserve"> </v>
      </c>
      <c r="DQ9" s="368"/>
      <c r="DR9" s="369"/>
      <c r="DS9" s="54"/>
      <c r="DT9" s="366"/>
      <c r="DU9" s="366"/>
      <c r="DV9" s="177" t="str">
        <f t="shared" si="36"/>
        <v xml:space="preserve"> </v>
      </c>
      <c r="DW9" s="54" t="str">
        <f t="shared" ca="1" si="37"/>
        <v xml:space="preserve"> </v>
      </c>
      <c r="DX9" s="366"/>
      <c r="DY9" s="366"/>
      <c r="DZ9" s="54" t="str">
        <f t="shared" si="38"/>
        <v xml:space="preserve"> </v>
      </c>
      <c r="EA9" s="367"/>
      <c r="EB9" s="371"/>
      <c r="EC9" s="49"/>
      <c r="ED9" s="346"/>
      <c r="EE9" s="346"/>
      <c r="EF9" s="177" t="str">
        <f t="shared" si="39"/>
        <v xml:space="preserve"> </v>
      </c>
      <c r="EG9" s="54" t="str">
        <f t="shared" ca="1" si="40"/>
        <v xml:space="preserve"> </v>
      </c>
      <c r="EH9" s="346"/>
      <c r="EI9" s="346"/>
      <c r="EJ9" s="49" t="str">
        <f t="shared" si="41"/>
        <v xml:space="preserve"> </v>
      </c>
      <c r="EK9" s="368"/>
      <c r="EL9" s="369"/>
      <c r="EM9" s="54"/>
      <c r="EN9" s="366"/>
      <c r="EO9" s="366"/>
      <c r="EP9" s="177" t="str">
        <f t="shared" si="42"/>
        <v xml:space="preserve"> </v>
      </c>
      <c r="EQ9" s="54" t="str">
        <f t="shared" ca="1" si="43"/>
        <v xml:space="preserve"> </v>
      </c>
      <c r="ER9" s="366"/>
      <c r="ES9" s="366"/>
      <c r="ET9" s="54" t="str">
        <f t="shared" si="44"/>
        <v xml:space="preserve"> </v>
      </c>
      <c r="EU9" s="367"/>
      <c r="EV9" s="371"/>
      <c r="EW9" s="49"/>
      <c r="EX9" s="346"/>
      <c r="EY9" s="346"/>
      <c r="EZ9" s="177" t="str">
        <f t="shared" si="45"/>
        <v xml:space="preserve"> </v>
      </c>
      <c r="FA9" s="54" t="str">
        <f t="shared" ca="1" si="46"/>
        <v xml:space="preserve"> </v>
      </c>
      <c r="FB9" s="346"/>
      <c r="FC9" s="346"/>
      <c r="FD9" s="49" t="str">
        <f t="shared" si="47"/>
        <v xml:space="preserve"> </v>
      </c>
      <c r="FE9" s="368"/>
      <c r="FF9" s="369"/>
      <c r="FG9" s="54"/>
      <c r="FH9" s="366"/>
      <c r="FI9" s="366"/>
      <c r="FJ9" s="177" t="str">
        <f t="shared" si="48"/>
        <v xml:space="preserve"> </v>
      </c>
      <c r="FK9" s="54" t="str">
        <f t="shared" ca="1" si="49"/>
        <v xml:space="preserve"> </v>
      </c>
      <c r="FL9" s="366"/>
      <c r="FM9" s="366"/>
      <c r="FN9" s="54" t="str">
        <f t="shared" si="50"/>
        <v xml:space="preserve"> </v>
      </c>
      <c r="FO9" s="367"/>
      <c r="FP9" s="371"/>
      <c r="FQ9" s="49"/>
      <c r="FR9" s="346"/>
      <c r="FS9" s="346"/>
      <c r="FT9" s="177" t="str">
        <f t="shared" si="51"/>
        <v xml:space="preserve"> </v>
      </c>
      <c r="FU9" s="54" t="str">
        <f t="shared" ca="1" si="52"/>
        <v xml:space="preserve"> </v>
      </c>
      <c r="FV9" s="346"/>
      <c r="FW9" s="346"/>
      <c r="FX9" s="49" t="str">
        <f t="shared" si="53"/>
        <v xml:space="preserve"> </v>
      </c>
      <c r="FY9" s="368"/>
      <c r="FZ9" s="369"/>
      <c r="GA9" s="54"/>
      <c r="GB9" s="366"/>
      <c r="GC9" s="366"/>
      <c r="GD9" s="177" t="str">
        <f t="shared" si="54"/>
        <v xml:space="preserve"> </v>
      </c>
      <c r="GE9" s="54" t="str">
        <f t="shared" ca="1" si="55"/>
        <v xml:space="preserve"> </v>
      </c>
      <c r="GF9" s="366"/>
      <c r="GG9" s="366"/>
      <c r="GH9" s="54" t="str">
        <f t="shared" si="56"/>
        <v xml:space="preserve"> </v>
      </c>
      <c r="GI9" s="367"/>
      <c r="GJ9" s="373"/>
      <c r="GK9" s="49"/>
      <c r="GL9" s="346"/>
      <c r="GM9" s="346"/>
      <c r="GN9" s="177" t="str">
        <f t="shared" si="57"/>
        <v xml:space="preserve"> </v>
      </c>
      <c r="GO9" s="54" t="str">
        <f t="shared" ca="1" si="58"/>
        <v xml:space="preserve"> </v>
      </c>
      <c r="GP9" s="346"/>
      <c r="GQ9" s="346"/>
      <c r="GR9" s="49" t="str">
        <f t="shared" si="59"/>
        <v xml:space="preserve"> </v>
      </c>
      <c r="GS9" s="374"/>
      <c r="GT9" s="369"/>
      <c r="GU9" s="54"/>
      <c r="GV9" s="366"/>
      <c r="GW9" s="366"/>
      <c r="GX9" s="177" t="str">
        <f t="shared" si="60"/>
        <v xml:space="preserve"> </v>
      </c>
      <c r="GY9" s="54" t="str">
        <f t="shared" ca="1" si="61"/>
        <v xml:space="preserve"> </v>
      </c>
      <c r="GZ9" s="366"/>
      <c r="HA9" s="366"/>
      <c r="HB9" s="54" t="str">
        <f t="shared" si="62"/>
        <v xml:space="preserve"> </v>
      </c>
      <c r="HC9" s="367"/>
      <c r="HD9" s="373"/>
      <c r="HE9" s="49"/>
      <c r="HF9" s="346"/>
      <c r="HG9" s="346"/>
      <c r="HH9" s="177" t="str">
        <f t="shared" si="63"/>
        <v xml:space="preserve"> </v>
      </c>
      <c r="HI9" s="54" t="str">
        <f t="shared" ca="1" si="64"/>
        <v xml:space="preserve"> </v>
      </c>
      <c r="HJ9" s="346"/>
      <c r="HK9" s="346"/>
      <c r="HL9" s="49" t="str">
        <f t="shared" si="65"/>
        <v xml:space="preserve"> </v>
      </c>
      <c r="HM9" s="374"/>
      <c r="HN9" s="369"/>
      <c r="HO9" s="54"/>
      <c r="HP9" s="366"/>
      <c r="HQ9" s="366"/>
      <c r="HR9" s="177" t="str">
        <f t="shared" si="66"/>
        <v xml:space="preserve"> </v>
      </c>
      <c r="HS9" s="54" t="str">
        <f t="shared" ca="1" si="67"/>
        <v xml:space="preserve"> </v>
      </c>
      <c r="HT9" s="366"/>
      <c r="HU9" s="366"/>
      <c r="HV9" s="54" t="str">
        <f t="shared" si="68"/>
        <v xml:space="preserve"> </v>
      </c>
      <c r="HW9" s="367"/>
      <c r="HX9" s="373"/>
      <c r="HY9" s="49"/>
      <c r="HZ9" s="346"/>
      <c r="IA9" s="177"/>
      <c r="IB9" s="177" t="str">
        <f t="shared" si="69"/>
        <v xml:space="preserve"> </v>
      </c>
      <c r="IC9" s="54" t="str">
        <f t="shared" ca="1" si="70"/>
        <v xml:space="preserve"> </v>
      </c>
      <c r="ID9" s="346"/>
      <c r="IE9" s="346"/>
      <c r="IF9" s="49" t="str">
        <f t="shared" si="71"/>
        <v xml:space="preserve"> </v>
      </c>
      <c r="IG9" s="374"/>
      <c r="IH9" s="369"/>
      <c r="II9" s="366"/>
      <c r="IJ9" s="366"/>
      <c r="IK9" s="366"/>
      <c r="IL9" s="177" t="str">
        <f t="shared" si="72"/>
        <v xml:space="preserve"> </v>
      </c>
      <c r="IM9" s="54" t="str">
        <f t="shared" ca="1" si="73"/>
        <v xml:space="preserve"> </v>
      </c>
      <c r="IN9" s="366"/>
      <c r="IO9" s="366"/>
      <c r="IP9" s="54" t="str">
        <f t="shared" si="74"/>
        <v xml:space="preserve"> </v>
      </c>
      <c r="IQ9" s="367"/>
      <c r="IR9" s="373"/>
      <c r="IS9" s="346"/>
      <c r="IT9" s="346"/>
      <c r="IU9" s="346"/>
      <c r="IV9" s="177" t="str">
        <f t="shared" si="75"/>
        <v xml:space="preserve"> </v>
      </c>
      <c r="IW9" s="54" t="str">
        <f t="shared" ca="1" si="76"/>
        <v xml:space="preserve"> </v>
      </c>
      <c r="IX9" s="346"/>
      <c r="IY9" s="346"/>
      <c r="IZ9" s="54" t="str">
        <f t="shared" si="77"/>
        <v xml:space="preserve"> </v>
      </c>
      <c r="JA9" s="374"/>
      <c r="JB9" s="369"/>
      <c r="JC9" s="366"/>
      <c r="JD9" s="366"/>
      <c r="JE9" s="366"/>
      <c r="JF9" s="177" t="str">
        <f t="shared" si="78"/>
        <v xml:space="preserve"> </v>
      </c>
      <c r="JG9" s="54" t="str">
        <f t="shared" ca="1" si="79"/>
        <v xml:space="preserve"> </v>
      </c>
      <c r="JH9" s="366"/>
      <c r="JI9" s="366"/>
      <c r="JJ9" s="54" t="str">
        <f t="shared" si="80"/>
        <v xml:space="preserve"> </v>
      </c>
      <c r="JK9" s="367"/>
      <c r="JL9" s="373"/>
      <c r="JM9" s="346"/>
      <c r="JN9" s="346"/>
      <c r="JO9" s="346"/>
      <c r="JP9" s="346" t="str">
        <f t="shared" si="81"/>
        <v xml:space="preserve"> </v>
      </c>
      <c r="JQ9" s="54" t="str">
        <f t="shared" ca="1" si="82"/>
        <v xml:space="preserve"> </v>
      </c>
      <c r="JR9" s="346"/>
      <c r="JS9" s="346"/>
      <c r="JT9" s="54" t="str">
        <f t="shared" si="83"/>
        <v xml:space="preserve"> </v>
      </c>
      <c r="JU9" s="374"/>
      <c r="JV9" s="369"/>
      <c r="JW9" s="366"/>
      <c r="JX9" s="366"/>
      <c r="JY9" s="366"/>
      <c r="JZ9" s="366" t="str">
        <f t="shared" si="84"/>
        <v xml:space="preserve"> </v>
      </c>
      <c r="KA9" s="54" t="str">
        <f t="shared" ca="1" si="85"/>
        <v xml:space="preserve"> </v>
      </c>
      <c r="KB9" s="366"/>
      <c r="KC9" s="366"/>
      <c r="KD9" s="54" t="str">
        <f t="shared" si="86"/>
        <v xml:space="preserve"> </v>
      </c>
      <c r="KE9" s="367"/>
      <c r="KF9" s="373"/>
      <c r="KG9" s="346"/>
      <c r="KH9" s="346"/>
      <c r="KI9" s="346"/>
      <c r="KJ9" s="346" t="str">
        <f t="shared" si="87"/>
        <v xml:space="preserve"> </v>
      </c>
      <c r="KK9" s="54" t="str">
        <f t="shared" ca="1" si="88"/>
        <v xml:space="preserve"> </v>
      </c>
      <c r="KL9" s="346"/>
      <c r="KM9" s="346"/>
      <c r="KN9" s="54" t="str">
        <f t="shared" si="89"/>
        <v xml:space="preserve"> </v>
      </c>
      <c r="KO9" s="374"/>
      <c r="KP9" s="369"/>
      <c r="KQ9" s="366"/>
      <c r="KR9" s="366"/>
      <c r="KS9" s="366"/>
      <c r="KT9" s="366" t="str">
        <f t="shared" si="90"/>
        <v xml:space="preserve"> </v>
      </c>
      <c r="KU9" s="54" t="str">
        <f t="shared" ca="1" si="91"/>
        <v xml:space="preserve"> </v>
      </c>
      <c r="KV9" s="366"/>
      <c r="KW9" s="366"/>
      <c r="KX9" s="54" t="str">
        <f t="shared" si="92"/>
        <v xml:space="preserve"> </v>
      </c>
      <c r="KY9" s="367"/>
      <c r="KZ9" s="373"/>
      <c r="LA9" s="346"/>
      <c r="LB9" s="346"/>
      <c r="LC9" s="346"/>
      <c r="LD9" s="346" t="str">
        <f t="shared" si="93"/>
        <v xml:space="preserve"> </v>
      </c>
      <c r="LE9" s="54" t="str">
        <f t="shared" ca="1" si="94"/>
        <v xml:space="preserve"> </v>
      </c>
      <c r="LF9" s="346"/>
      <c r="LG9" s="346"/>
      <c r="LH9" s="54" t="str">
        <f t="shared" si="95"/>
        <v xml:space="preserve"> </v>
      </c>
      <c r="LI9" s="374"/>
      <c r="LJ9" s="369"/>
      <c r="LK9" s="366"/>
      <c r="LL9" s="366"/>
      <c r="LM9" s="366"/>
      <c r="LN9" s="366" t="str">
        <f t="shared" si="96"/>
        <v xml:space="preserve"> </v>
      </c>
      <c r="LO9" s="54" t="str">
        <f t="shared" ca="1" si="97"/>
        <v xml:space="preserve"> </v>
      </c>
      <c r="LP9" s="366"/>
      <c r="LQ9" s="366"/>
      <c r="LR9" s="54" t="str">
        <f t="shared" si="98"/>
        <v xml:space="preserve"> </v>
      </c>
      <c r="LS9" s="367"/>
      <c r="LT9" s="373"/>
      <c r="LU9" s="346"/>
      <c r="LV9" s="346"/>
      <c r="LW9" s="346"/>
      <c r="LX9" s="346"/>
      <c r="LY9" s="54" t="str">
        <f t="shared" ca="1" si="99"/>
        <v xml:space="preserve"> </v>
      </c>
      <c r="LZ9" s="346"/>
      <c r="MA9" s="346"/>
      <c r="MB9" s="54" t="str">
        <f t="shared" si="100"/>
        <v xml:space="preserve"> </v>
      </c>
      <c r="MC9" s="374"/>
      <c r="MD9" s="369"/>
      <c r="ME9" s="366"/>
      <c r="MF9" s="366"/>
      <c r="MG9" s="366"/>
      <c r="MH9" s="366"/>
      <c r="MI9" s="54" t="str">
        <f t="shared" ca="1" si="101"/>
        <v xml:space="preserve"> </v>
      </c>
      <c r="MJ9" s="366"/>
      <c r="MK9" s="366"/>
      <c r="ML9" s="54" t="str">
        <f t="shared" si="102"/>
        <v xml:space="preserve"> </v>
      </c>
      <c r="MM9" s="367"/>
      <c r="MN9" s="373"/>
      <c r="MO9" s="346"/>
      <c r="MP9" s="346"/>
      <c r="MQ9" s="346"/>
      <c r="MR9" s="346"/>
      <c r="MS9" s="54" t="str">
        <f t="shared" ca="1" si="103"/>
        <v xml:space="preserve"> </v>
      </c>
      <c r="MT9" s="346"/>
      <c r="MU9" s="346"/>
      <c r="MV9" s="54" t="str">
        <f t="shared" si="104"/>
        <v xml:space="preserve"> </v>
      </c>
      <c r="MW9" s="374"/>
      <c r="MX9" s="369"/>
      <c r="MY9" s="366"/>
      <c r="MZ9" s="366"/>
      <c r="NA9" s="366"/>
      <c r="NB9" s="366"/>
      <c r="NC9" s="54" t="str">
        <f t="shared" ca="1" si="105"/>
        <v xml:space="preserve"> </v>
      </c>
      <c r="ND9" s="366"/>
      <c r="NE9" s="366"/>
      <c r="NF9" s="54" t="str">
        <f t="shared" si="106"/>
        <v xml:space="preserve"> </v>
      </c>
      <c r="NG9" s="367"/>
      <c r="NH9" s="373"/>
      <c r="NI9" s="346"/>
      <c r="NJ9" s="346"/>
      <c r="NK9" s="346"/>
      <c r="NL9" s="346"/>
      <c r="NM9" s="54" t="str">
        <f t="shared" ca="1" si="107"/>
        <v xml:space="preserve"> </v>
      </c>
      <c r="NN9" s="346"/>
      <c r="NO9" s="346"/>
      <c r="NP9" s="54" t="str">
        <f t="shared" si="108"/>
        <v xml:space="preserve"> </v>
      </c>
      <c r="NQ9" s="374"/>
      <c r="NR9" s="369"/>
      <c r="NS9" s="366"/>
      <c r="NT9" s="366"/>
      <c r="NU9" s="366"/>
      <c r="NV9" s="366"/>
      <c r="NW9" s="54" t="str">
        <f t="shared" ca="1" si="109"/>
        <v xml:space="preserve"> </v>
      </c>
      <c r="NX9" s="366"/>
      <c r="NY9" s="366"/>
      <c r="NZ9" s="54" t="str">
        <f t="shared" si="110"/>
        <v xml:space="preserve"> </v>
      </c>
      <c r="OA9" s="367"/>
      <c r="OB9" s="373"/>
      <c r="OC9" s="346"/>
      <c r="OD9" s="346"/>
      <c r="OE9" s="346"/>
      <c r="OF9" s="346"/>
      <c r="OG9" s="54" t="str">
        <f t="shared" ca="1" si="111"/>
        <v xml:space="preserve"> </v>
      </c>
      <c r="OH9" s="346"/>
      <c r="OI9" s="346"/>
      <c r="OJ9" s="54" t="str">
        <f t="shared" si="112"/>
        <v xml:space="preserve"> </v>
      </c>
      <c r="OK9" s="374"/>
    </row>
    <row r="10" spans="1:401" s="44" customFormat="1" ht="22.2" customHeight="1" x14ac:dyDescent="0.3">
      <c r="A10" s="355" t="s">
        <v>893</v>
      </c>
      <c r="B10" s="356" t="s">
        <v>841</v>
      </c>
      <c r="C10" s="37">
        <v>53905</v>
      </c>
      <c r="D10" s="357" t="s">
        <v>315</v>
      </c>
      <c r="E10" s="91"/>
      <c r="F10" s="91" t="str">
        <f t="shared" si="0"/>
        <v xml:space="preserve"> </v>
      </c>
      <c r="G10" s="357" t="str">
        <f t="shared" ca="1" si="113"/>
        <v xml:space="preserve"> </v>
      </c>
      <c r="H10" s="37"/>
      <c r="I10" s="37"/>
      <c r="J10" s="37" t="s">
        <v>894</v>
      </c>
      <c r="K10" s="170"/>
      <c r="L10" s="181"/>
      <c r="M10" s="37"/>
      <c r="N10" s="37"/>
      <c r="O10" s="91"/>
      <c r="P10" s="91" t="str">
        <f t="shared" si="3"/>
        <v xml:space="preserve"> </v>
      </c>
      <c r="Q10" s="37" t="str">
        <f t="shared" ca="1" si="4"/>
        <v xml:space="preserve"> </v>
      </c>
      <c r="R10" s="37"/>
      <c r="S10" s="37"/>
      <c r="T10" s="37" t="str">
        <f t="shared" si="5"/>
        <v xml:space="preserve"> </v>
      </c>
      <c r="U10" s="170"/>
      <c r="V10" s="356"/>
      <c r="W10" s="357"/>
      <c r="X10" s="357"/>
      <c r="Y10" s="358"/>
      <c r="Z10" s="358" t="str">
        <f t="shared" si="6"/>
        <v xml:space="preserve"> </v>
      </c>
      <c r="AA10" s="37" t="str">
        <f t="shared" ca="1" si="7"/>
        <v xml:space="preserve"> </v>
      </c>
      <c r="AB10" s="357"/>
      <c r="AC10" s="357"/>
      <c r="AD10" s="37" t="str">
        <f t="shared" si="8"/>
        <v xml:space="preserve"> </v>
      </c>
      <c r="AE10" s="359"/>
      <c r="AF10" s="360"/>
      <c r="AG10" s="348"/>
      <c r="AH10" s="348"/>
      <c r="AI10" s="14"/>
      <c r="AJ10" s="14" t="str">
        <f t="shared" si="9"/>
        <v xml:space="preserve"> </v>
      </c>
      <c r="AK10" s="37" t="str">
        <f t="shared" ca="1" si="10"/>
        <v xml:space="preserve"> </v>
      </c>
      <c r="AL10" s="348"/>
      <c r="AM10" s="348"/>
      <c r="AN10" s="12" t="str">
        <f t="shared" si="11"/>
        <v xml:space="preserve"> </v>
      </c>
      <c r="AO10" s="361"/>
      <c r="AP10" s="356"/>
      <c r="AQ10" s="357"/>
      <c r="AR10" s="357"/>
      <c r="AS10" s="358"/>
      <c r="AT10" s="358" t="str">
        <f t="shared" si="12"/>
        <v xml:space="preserve"> </v>
      </c>
      <c r="AU10" s="37" t="str">
        <f t="shared" ca="1" si="13"/>
        <v xml:space="preserve"> </v>
      </c>
      <c r="AV10" s="357"/>
      <c r="AW10" s="357"/>
      <c r="AX10" s="37" t="str">
        <f t="shared" si="14"/>
        <v xml:space="preserve"> </v>
      </c>
      <c r="AY10" s="359"/>
      <c r="AZ10" s="360"/>
      <c r="BA10" s="348"/>
      <c r="BB10" s="348"/>
      <c r="BC10" s="362"/>
      <c r="BD10" s="362" t="str">
        <f t="shared" si="15"/>
        <v xml:space="preserve"> </v>
      </c>
      <c r="BE10" s="37" t="str">
        <f t="shared" ca="1" si="16"/>
        <v xml:space="preserve"> </v>
      </c>
      <c r="BF10" s="348"/>
      <c r="BG10" s="348"/>
      <c r="BH10" s="12" t="str">
        <f t="shared" si="17"/>
        <v xml:space="preserve"> </v>
      </c>
      <c r="BI10" s="361"/>
      <c r="BJ10" s="356"/>
      <c r="BK10" s="357"/>
      <c r="BL10" s="357"/>
      <c r="BM10" s="358"/>
      <c r="BN10" s="358" t="str">
        <f t="shared" si="18"/>
        <v xml:space="preserve"> </v>
      </c>
      <c r="BO10" s="37" t="str">
        <f t="shared" ca="1" si="19"/>
        <v xml:space="preserve"> </v>
      </c>
      <c r="BP10" s="357"/>
      <c r="BQ10" s="357"/>
      <c r="BR10" s="37" t="str">
        <f t="shared" si="20"/>
        <v xml:space="preserve"> </v>
      </c>
      <c r="BS10" s="359"/>
      <c r="BT10" s="360"/>
      <c r="BU10" s="348"/>
      <c r="BV10" s="348"/>
      <c r="BW10" s="362"/>
      <c r="BX10" s="362" t="str">
        <f t="shared" si="21"/>
        <v xml:space="preserve"> </v>
      </c>
      <c r="BY10" s="37" t="str">
        <f t="shared" ca="1" si="22"/>
        <v xml:space="preserve"> </v>
      </c>
      <c r="BZ10" s="348"/>
      <c r="CA10" s="348"/>
      <c r="CB10" s="12" t="str">
        <f t="shared" si="23"/>
        <v xml:space="preserve"> </v>
      </c>
      <c r="CC10" s="361"/>
      <c r="CD10" s="356"/>
      <c r="CE10" s="37"/>
      <c r="CF10" s="357"/>
      <c r="CG10" s="357"/>
      <c r="CH10" s="357" t="str">
        <f t="shared" si="24"/>
        <v xml:space="preserve"> </v>
      </c>
      <c r="CI10" s="37" t="str">
        <f t="shared" ca="1" si="25"/>
        <v xml:space="preserve"> </v>
      </c>
      <c r="CJ10" s="357"/>
      <c r="CK10" s="357"/>
      <c r="CL10" s="37" t="str">
        <f t="shared" si="26"/>
        <v xml:space="preserve"> </v>
      </c>
      <c r="CM10" s="359"/>
      <c r="CN10" s="360"/>
      <c r="CO10" s="12"/>
      <c r="CP10" s="348"/>
      <c r="CQ10" s="348"/>
      <c r="CR10" s="348" t="str">
        <f t="shared" si="27"/>
        <v xml:space="preserve"> </v>
      </c>
      <c r="CS10" s="37" t="str">
        <f t="shared" ca="1" si="28"/>
        <v xml:space="preserve"> </v>
      </c>
      <c r="CT10" s="348"/>
      <c r="CU10" s="348"/>
      <c r="CV10" s="12" t="str">
        <f t="shared" si="29"/>
        <v xml:space="preserve"> </v>
      </c>
      <c r="CW10" s="361"/>
      <c r="CX10" s="356"/>
      <c r="CY10" s="37"/>
      <c r="CZ10" s="357"/>
      <c r="DA10" s="357"/>
      <c r="DB10" s="357" t="str">
        <f t="shared" si="30"/>
        <v xml:space="preserve"> </v>
      </c>
      <c r="DC10" s="37" t="str">
        <f t="shared" ca="1" si="31"/>
        <v xml:space="preserve"> </v>
      </c>
      <c r="DD10" s="357"/>
      <c r="DE10" s="357"/>
      <c r="DF10" s="37" t="str">
        <f t="shared" si="32"/>
        <v xml:space="preserve"> </v>
      </c>
      <c r="DG10" s="359"/>
      <c r="DH10" s="360"/>
      <c r="DI10" s="12"/>
      <c r="DJ10" s="348"/>
      <c r="DK10" s="348"/>
      <c r="DL10" s="348" t="str">
        <f t="shared" si="33"/>
        <v xml:space="preserve"> </v>
      </c>
      <c r="DM10" s="37" t="str">
        <f t="shared" ca="1" si="34"/>
        <v xml:space="preserve"> </v>
      </c>
      <c r="DN10" s="348"/>
      <c r="DO10" s="348"/>
      <c r="DP10" s="12" t="str">
        <f t="shared" si="35"/>
        <v xml:space="preserve"> </v>
      </c>
      <c r="DQ10" s="361"/>
      <c r="DR10" s="356"/>
      <c r="DS10" s="37"/>
      <c r="DT10" s="357"/>
      <c r="DU10" s="357"/>
      <c r="DV10" s="14" t="str">
        <f t="shared" si="36"/>
        <v xml:space="preserve"> </v>
      </c>
      <c r="DW10" s="37" t="str">
        <f t="shared" ca="1" si="37"/>
        <v xml:space="preserve"> </v>
      </c>
      <c r="DX10" s="357"/>
      <c r="DY10" s="357"/>
      <c r="DZ10" s="37" t="str">
        <f t="shared" si="38"/>
        <v xml:space="preserve"> </v>
      </c>
      <c r="EA10" s="359"/>
      <c r="EB10" s="360"/>
      <c r="EC10" s="12"/>
      <c r="ED10" s="348"/>
      <c r="EE10" s="348"/>
      <c r="EF10" s="91" t="str">
        <f t="shared" si="39"/>
        <v xml:space="preserve"> </v>
      </c>
      <c r="EG10" s="37" t="str">
        <f t="shared" ca="1" si="40"/>
        <v xml:space="preserve"> </v>
      </c>
      <c r="EH10" s="348"/>
      <c r="EI10" s="348"/>
      <c r="EJ10" s="12" t="str">
        <f t="shared" si="41"/>
        <v xml:space="preserve"> </v>
      </c>
      <c r="EK10" s="361"/>
      <c r="EL10" s="356"/>
      <c r="EM10" s="37"/>
      <c r="EN10" s="357"/>
      <c r="EO10" s="357"/>
      <c r="EP10" s="91" t="str">
        <f t="shared" si="42"/>
        <v xml:space="preserve"> </v>
      </c>
      <c r="EQ10" s="37" t="str">
        <f t="shared" ca="1" si="43"/>
        <v xml:space="preserve"> </v>
      </c>
      <c r="ER10" s="357"/>
      <c r="ES10" s="357"/>
      <c r="ET10" s="37" t="str">
        <f t="shared" si="44"/>
        <v xml:space="preserve"> </v>
      </c>
      <c r="EU10" s="359"/>
      <c r="EV10" s="360"/>
      <c r="EW10" s="12"/>
      <c r="EX10" s="348"/>
      <c r="EY10" s="348"/>
      <c r="EZ10" s="91" t="str">
        <f t="shared" si="45"/>
        <v xml:space="preserve"> </v>
      </c>
      <c r="FA10" s="37" t="str">
        <f t="shared" ca="1" si="46"/>
        <v xml:space="preserve"> </v>
      </c>
      <c r="FB10" s="348"/>
      <c r="FC10" s="348"/>
      <c r="FD10" s="12" t="str">
        <f t="shared" si="47"/>
        <v xml:space="preserve"> </v>
      </c>
      <c r="FE10" s="361"/>
      <c r="FF10" s="356"/>
      <c r="FG10" s="37"/>
      <c r="FH10" s="357"/>
      <c r="FI10" s="357"/>
      <c r="FJ10" s="91" t="str">
        <f t="shared" si="48"/>
        <v xml:space="preserve"> </v>
      </c>
      <c r="FK10" s="37" t="str">
        <f t="shared" ca="1" si="49"/>
        <v xml:space="preserve"> </v>
      </c>
      <c r="FL10" s="357"/>
      <c r="FM10" s="357"/>
      <c r="FN10" s="37" t="str">
        <f t="shared" si="50"/>
        <v xml:space="preserve"> </v>
      </c>
      <c r="FO10" s="359"/>
      <c r="FP10" s="360"/>
      <c r="FQ10" s="12"/>
      <c r="FR10" s="348"/>
      <c r="FS10" s="348"/>
      <c r="FT10" s="91" t="str">
        <f t="shared" si="51"/>
        <v xml:space="preserve"> </v>
      </c>
      <c r="FU10" s="37" t="str">
        <f t="shared" ca="1" si="52"/>
        <v xml:space="preserve"> </v>
      </c>
      <c r="FV10" s="348"/>
      <c r="FW10" s="348"/>
      <c r="FX10" s="12" t="str">
        <f t="shared" si="53"/>
        <v xml:space="preserve"> </v>
      </c>
      <c r="FY10" s="361"/>
      <c r="FZ10" s="356"/>
      <c r="GA10" s="37"/>
      <c r="GB10" s="357"/>
      <c r="GC10" s="357"/>
      <c r="GD10" s="91" t="str">
        <f t="shared" si="54"/>
        <v xml:space="preserve"> </v>
      </c>
      <c r="GE10" s="37" t="str">
        <f t="shared" ca="1" si="55"/>
        <v xml:space="preserve"> </v>
      </c>
      <c r="GF10" s="357"/>
      <c r="GG10" s="357"/>
      <c r="GH10" s="37" t="str">
        <f t="shared" si="56"/>
        <v xml:space="preserve"> </v>
      </c>
      <c r="GI10" s="359"/>
      <c r="GJ10" s="363"/>
      <c r="GK10" s="12"/>
      <c r="GL10" s="348"/>
      <c r="GM10" s="348"/>
      <c r="GN10" s="91" t="str">
        <f t="shared" si="57"/>
        <v xml:space="preserve"> </v>
      </c>
      <c r="GO10" s="37" t="str">
        <f t="shared" ca="1" si="58"/>
        <v xml:space="preserve"> </v>
      </c>
      <c r="GP10" s="348"/>
      <c r="GQ10" s="348"/>
      <c r="GR10" s="12" t="str">
        <f t="shared" si="59"/>
        <v xml:space="preserve"> </v>
      </c>
      <c r="GS10" s="364"/>
      <c r="GT10" s="356"/>
      <c r="GU10" s="37"/>
      <c r="GV10" s="357"/>
      <c r="GW10" s="357"/>
      <c r="GX10" s="91" t="str">
        <f t="shared" si="60"/>
        <v xml:space="preserve"> </v>
      </c>
      <c r="GY10" s="37" t="str">
        <f t="shared" ca="1" si="61"/>
        <v xml:space="preserve"> </v>
      </c>
      <c r="GZ10" s="357"/>
      <c r="HA10" s="357"/>
      <c r="HB10" s="37" t="str">
        <f t="shared" si="62"/>
        <v xml:space="preserve"> </v>
      </c>
      <c r="HC10" s="359"/>
      <c r="HD10" s="363"/>
      <c r="HE10" s="12"/>
      <c r="HF10" s="348"/>
      <c r="HG10" s="348"/>
      <c r="HH10" s="91" t="str">
        <f t="shared" si="63"/>
        <v xml:space="preserve"> </v>
      </c>
      <c r="HI10" s="37" t="str">
        <f t="shared" ca="1" si="64"/>
        <v xml:space="preserve"> </v>
      </c>
      <c r="HJ10" s="348"/>
      <c r="HK10" s="348"/>
      <c r="HL10" s="12" t="str">
        <f t="shared" si="65"/>
        <v xml:space="preserve"> </v>
      </c>
      <c r="HM10" s="364"/>
      <c r="HN10" s="356"/>
      <c r="HO10" s="37"/>
      <c r="HP10" s="357"/>
      <c r="HQ10" s="357"/>
      <c r="HR10" s="91" t="str">
        <f t="shared" si="66"/>
        <v xml:space="preserve"> </v>
      </c>
      <c r="HS10" s="37" t="str">
        <f t="shared" ca="1" si="67"/>
        <v xml:space="preserve"> </v>
      </c>
      <c r="HT10" s="357"/>
      <c r="HU10" s="357"/>
      <c r="HV10" s="37" t="str">
        <f t="shared" si="68"/>
        <v xml:space="preserve"> </v>
      </c>
      <c r="HW10" s="359"/>
      <c r="HX10" s="363"/>
      <c r="HY10" s="12"/>
      <c r="HZ10" s="348"/>
      <c r="IA10" s="348"/>
      <c r="IB10" s="91" t="str">
        <f t="shared" si="69"/>
        <v xml:space="preserve"> </v>
      </c>
      <c r="IC10" s="37" t="str">
        <f t="shared" ca="1" si="70"/>
        <v xml:space="preserve"> </v>
      </c>
      <c r="ID10" s="348"/>
      <c r="IE10" s="348"/>
      <c r="IF10" s="12" t="str">
        <f t="shared" si="71"/>
        <v xml:space="preserve"> </v>
      </c>
      <c r="IG10" s="364"/>
      <c r="IH10" s="356"/>
      <c r="II10" s="357"/>
      <c r="IJ10" s="357"/>
      <c r="IK10" s="357"/>
      <c r="IL10" s="91" t="str">
        <f t="shared" si="72"/>
        <v xml:space="preserve"> </v>
      </c>
      <c r="IM10" s="37" t="str">
        <f t="shared" ca="1" si="73"/>
        <v xml:space="preserve"> </v>
      </c>
      <c r="IN10" s="357"/>
      <c r="IO10" s="357"/>
      <c r="IP10" s="37" t="str">
        <f t="shared" si="74"/>
        <v xml:space="preserve"> </v>
      </c>
      <c r="IQ10" s="359"/>
      <c r="IR10" s="363"/>
      <c r="IS10" s="348"/>
      <c r="IT10" s="348"/>
      <c r="IU10" s="348"/>
      <c r="IV10" s="91" t="str">
        <f t="shared" si="75"/>
        <v xml:space="preserve"> </v>
      </c>
      <c r="IW10" s="37" t="str">
        <f t="shared" ca="1" si="76"/>
        <v xml:space="preserve"> </v>
      </c>
      <c r="IX10" s="348"/>
      <c r="IY10" s="348"/>
      <c r="IZ10" s="37" t="str">
        <f t="shared" si="77"/>
        <v xml:space="preserve"> </v>
      </c>
      <c r="JA10" s="364"/>
      <c r="JB10" s="356"/>
      <c r="JC10" s="357"/>
      <c r="JD10" s="357"/>
      <c r="JE10" s="357"/>
      <c r="JF10" s="91" t="str">
        <f t="shared" si="78"/>
        <v xml:space="preserve"> </v>
      </c>
      <c r="JG10" s="37" t="str">
        <f t="shared" ca="1" si="79"/>
        <v xml:space="preserve"> </v>
      </c>
      <c r="JH10" s="357"/>
      <c r="JI10" s="357"/>
      <c r="JJ10" s="37" t="str">
        <f t="shared" si="80"/>
        <v xml:space="preserve"> </v>
      </c>
      <c r="JK10" s="359"/>
      <c r="JL10" s="363"/>
      <c r="JM10" s="348"/>
      <c r="JN10" s="348"/>
      <c r="JO10" s="348"/>
      <c r="JP10" s="348" t="str">
        <f t="shared" si="81"/>
        <v xml:space="preserve"> </v>
      </c>
      <c r="JQ10" s="37" t="str">
        <f t="shared" ca="1" si="82"/>
        <v xml:space="preserve"> </v>
      </c>
      <c r="JR10" s="348"/>
      <c r="JS10" s="348"/>
      <c r="JT10" s="37" t="str">
        <f t="shared" si="83"/>
        <v xml:space="preserve"> </v>
      </c>
      <c r="JU10" s="364"/>
      <c r="JV10" s="356"/>
      <c r="JW10" s="357"/>
      <c r="JX10" s="357"/>
      <c r="JY10" s="357"/>
      <c r="JZ10" s="357" t="str">
        <f t="shared" si="84"/>
        <v xml:space="preserve"> </v>
      </c>
      <c r="KA10" s="37" t="str">
        <f t="shared" ca="1" si="85"/>
        <v xml:space="preserve"> </v>
      </c>
      <c r="KB10" s="357"/>
      <c r="KC10" s="357"/>
      <c r="KD10" s="37" t="str">
        <f t="shared" si="86"/>
        <v xml:space="preserve"> </v>
      </c>
      <c r="KE10" s="359"/>
      <c r="KF10" s="363"/>
      <c r="KG10" s="348"/>
      <c r="KH10" s="348"/>
      <c r="KI10" s="348"/>
      <c r="KJ10" s="348" t="str">
        <f t="shared" si="87"/>
        <v xml:space="preserve"> </v>
      </c>
      <c r="KK10" s="37" t="str">
        <f t="shared" ca="1" si="88"/>
        <v xml:space="preserve"> </v>
      </c>
      <c r="KL10" s="348"/>
      <c r="KM10" s="348"/>
      <c r="KN10" s="37" t="str">
        <f t="shared" si="89"/>
        <v xml:space="preserve"> </v>
      </c>
      <c r="KO10" s="364"/>
      <c r="KP10" s="356"/>
      <c r="KQ10" s="357"/>
      <c r="KR10" s="357"/>
      <c r="KS10" s="357"/>
      <c r="KT10" s="357" t="str">
        <f t="shared" si="90"/>
        <v xml:space="preserve"> </v>
      </c>
      <c r="KU10" s="37" t="str">
        <f t="shared" ca="1" si="91"/>
        <v xml:space="preserve"> </v>
      </c>
      <c r="KV10" s="357"/>
      <c r="KW10" s="357"/>
      <c r="KX10" s="37" t="str">
        <f t="shared" si="92"/>
        <v xml:space="preserve"> </v>
      </c>
      <c r="KY10" s="359"/>
      <c r="KZ10" s="363"/>
      <c r="LA10" s="348"/>
      <c r="LB10" s="348"/>
      <c r="LC10" s="348"/>
      <c r="LD10" s="348" t="str">
        <f t="shared" si="93"/>
        <v xml:space="preserve"> </v>
      </c>
      <c r="LE10" s="37" t="str">
        <f t="shared" ca="1" si="94"/>
        <v xml:space="preserve"> </v>
      </c>
      <c r="LF10" s="348"/>
      <c r="LG10" s="348"/>
      <c r="LH10" s="37" t="str">
        <f t="shared" si="95"/>
        <v xml:space="preserve"> </v>
      </c>
      <c r="LI10" s="364"/>
      <c r="LJ10" s="356"/>
      <c r="LK10" s="357"/>
      <c r="LL10" s="357"/>
      <c r="LM10" s="357"/>
      <c r="LN10" s="357" t="str">
        <f t="shared" si="96"/>
        <v xml:space="preserve"> </v>
      </c>
      <c r="LO10" s="37" t="str">
        <f t="shared" ca="1" si="97"/>
        <v xml:space="preserve"> </v>
      </c>
      <c r="LP10" s="357"/>
      <c r="LQ10" s="357"/>
      <c r="LR10" s="37" t="str">
        <f t="shared" si="98"/>
        <v xml:space="preserve"> </v>
      </c>
      <c r="LS10" s="359"/>
      <c r="LT10" s="363"/>
      <c r="LU10" s="348"/>
      <c r="LV10" s="348"/>
      <c r="LW10" s="348"/>
      <c r="LX10" s="348"/>
      <c r="LY10" s="37" t="str">
        <f t="shared" ca="1" si="99"/>
        <v xml:space="preserve"> </v>
      </c>
      <c r="LZ10" s="348"/>
      <c r="MA10" s="348"/>
      <c r="MB10" s="37" t="str">
        <f t="shared" si="100"/>
        <v xml:space="preserve"> </v>
      </c>
      <c r="MC10" s="364"/>
      <c r="MD10" s="356"/>
      <c r="ME10" s="357"/>
      <c r="MF10" s="357"/>
      <c r="MG10" s="357"/>
      <c r="MH10" s="357"/>
      <c r="MI10" s="37" t="str">
        <f t="shared" ca="1" si="101"/>
        <v xml:space="preserve"> </v>
      </c>
      <c r="MJ10" s="357"/>
      <c r="MK10" s="357"/>
      <c r="ML10" s="37" t="str">
        <f t="shared" si="102"/>
        <v xml:space="preserve"> </v>
      </c>
      <c r="MM10" s="359"/>
      <c r="MN10" s="363"/>
      <c r="MO10" s="348"/>
      <c r="MP10" s="348"/>
      <c r="MQ10" s="348"/>
      <c r="MR10" s="348"/>
      <c r="MS10" s="37" t="str">
        <f t="shared" ca="1" si="103"/>
        <v xml:space="preserve"> </v>
      </c>
      <c r="MT10" s="348"/>
      <c r="MU10" s="348"/>
      <c r="MV10" s="37" t="str">
        <f t="shared" si="104"/>
        <v xml:space="preserve"> </v>
      </c>
      <c r="MW10" s="364"/>
      <c r="MX10" s="356"/>
      <c r="MY10" s="357"/>
      <c r="MZ10" s="357"/>
      <c r="NA10" s="357"/>
      <c r="NB10" s="357"/>
      <c r="NC10" s="37" t="str">
        <f t="shared" ca="1" si="105"/>
        <v xml:space="preserve"> </v>
      </c>
      <c r="ND10" s="357"/>
      <c r="NE10" s="357"/>
      <c r="NF10" s="37" t="str">
        <f t="shared" si="106"/>
        <v xml:space="preserve"> </v>
      </c>
      <c r="NG10" s="359"/>
      <c r="NH10" s="363"/>
      <c r="NI10" s="348"/>
      <c r="NJ10" s="348"/>
      <c r="NK10" s="348"/>
      <c r="NL10" s="348"/>
      <c r="NM10" s="37" t="str">
        <f t="shared" ca="1" si="107"/>
        <v xml:space="preserve"> </v>
      </c>
      <c r="NN10" s="348"/>
      <c r="NO10" s="348"/>
      <c r="NP10" s="37" t="str">
        <f t="shared" si="108"/>
        <v xml:space="preserve"> </v>
      </c>
      <c r="NQ10" s="364"/>
      <c r="NR10" s="356"/>
      <c r="NS10" s="357"/>
      <c r="NT10" s="357"/>
      <c r="NU10" s="357"/>
      <c r="NV10" s="357"/>
      <c r="NW10" s="37" t="str">
        <f t="shared" ca="1" si="109"/>
        <v xml:space="preserve"> </v>
      </c>
      <c r="NX10" s="357"/>
      <c r="NY10" s="357"/>
      <c r="NZ10" s="37" t="str">
        <f t="shared" si="110"/>
        <v xml:space="preserve"> </v>
      </c>
      <c r="OA10" s="359"/>
      <c r="OB10" s="363"/>
      <c r="OC10" s="348"/>
      <c r="OD10" s="348"/>
      <c r="OE10" s="348"/>
      <c r="OF10" s="348"/>
      <c r="OG10" s="37" t="str">
        <f t="shared" ca="1" si="111"/>
        <v xml:space="preserve"> </v>
      </c>
      <c r="OH10" s="348"/>
      <c r="OI10" s="348"/>
      <c r="OJ10" s="37" t="str">
        <f t="shared" si="112"/>
        <v xml:space="preserve"> </v>
      </c>
      <c r="OK10" s="364"/>
    </row>
    <row r="11" spans="1:401" s="44" customFormat="1" ht="22.2" customHeight="1" x14ac:dyDescent="0.3">
      <c r="A11" s="365" t="s">
        <v>117</v>
      </c>
      <c r="B11" s="369"/>
      <c r="C11" s="54"/>
      <c r="D11" s="366"/>
      <c r="E11" s="177"/>
      <c r="F11" s="177" t="str">
        <f t="shared" si="0"/>
        <v xml:space="preserve"> </v>
      </c>
      <c r="G11" s="54" t="str">
        <f ca="1">IF(E11=0," ",IF(F11-TODAY()&gt;60,"VIGENTE",IF(F11-TODAY()&lt;=0,"VENCIDO",IF(F11-TODAY()&lt;=60,"POR VENCER"))))</f>
        <v xml:space="preserve"> </v>
      </c>
      <c r="H11" s="54"/>
      <c r="I11" s="54"/>
      <c r="J11" s="54" t="str">
        <f t="shared" si="2"/>
        <v xml:space="preserve"> </v>
      </c>
      <c r="K11" s="171"/>
      <c r="L11" s="182"/>
      <c r="M11" s="54"/>
      <c r="N11" s="54"/>
      <c r="O11" s="177"/>
      <c r="P11" s="177" t="str">
        <f t="shared" si="3"/>
        <v xml:space="preserve"> </v>
      </c>
      <c r="Q11" s="54" t="str">
        <f t="shared" ca="1" si="4"/>
        <v xml:space="preserve"> </v>
      </c>
      <c r="R11" s="54"/>
      <c r="S11" s="54"/>
      <c r="T11" s="54" t="str">
        <f t="shared" si="5"/>
        <v xml:space="preserve"> </v>
      </c>
      <c r="U11" s="171"/>
      <c r="V11" s="369"/>
      <c r="W11" s="366"/>
      <c r="X11" s="366"/>
      <c r="Y11" s="370"/>
      <c r="Z11" s="370" t="str">
        <f t="shared" si="6"/>
        <v xml:space="preserve"> </v>
      </c>
      <c r="AA11" s="54" t="str">
        <f t="shared" ca="1" si="7"/>
        <v xml:space="preserve"> </v>
      </c>
      <c r="AB11" s="366"/>
      <c r="AC11" s="366"/>
      <c r="AD11" s="54" t="str">
        <f t="shared" si="8"/>
        <v xml:space="preserve"> </v>
      </c>
      <c r="AE11" s="367"/>
      <c r="AF11" s="371"/>
      <c r="AG11" s="346"/>
      <c r="AH11" s="346"/>
      <c r="AI11" s="65"/>
      <c r="AJ11" s="65" t="str">
        <f t="shared" si="9"/>
        <v xml:space="preserve"> </v>
      </c>
      <c r="AK11" s="54" t="str">
        <f t="shared" ca="1" si="10"/>
        <v xml:space="preserve"> </v>
      </c>
      <c r="AL11" s="346"/>
      <c r="AM11" s="346"/>
      <c r="AN11" s="49" t="str">
        <f t="shared" si="11"/>
        <v xml:space="preserve"> </v>
      </c>
      <c r="AO11" s="368"/>
      <c r="AP11" s="369"/>
      <c r="AQ11" s="366"/>
      <c r="AR11" s="366"/>
      <c r="AS11" s="370"/>
      <c r="AT11" s="370" t="str">
        <f t="shared" si="12"/>
        <v xml:space="preserve"> </v>
      </c>
      <c r="AU11" s="54" t="str">
        <f t="shared" ca="1" si="13"/>
        <v xml:space="preserve"> </v>
      </c>
      <c r="AV11" s="366"/>
      <c r="AW11" s="366"/>
      <c r="AX11" s="54" t="str">
        <f t="shared" si="14"/>
        <v xml:space="preserve"> </v>
      </c>
      <c r="AY11" s="367"/>
      <c r="AZ11" s="371"/>
      <c r="BA11" s="346"/>
      <c r="BB11" s="346"/>
      <c r="BC11" s="372"/>
      <c r="BD11" s="372" t="str">
        <f t="shared" si="15"/>
        <v xml:space="preserve"> </v>
      </c>
      <c r="BE11" s="54" t="str">
        <f t="shared" ca="1" si="16"/>
        <v xml:space="preserve"> </v>
      </c>
      <c r="BF11" s="346"/>
      <c r="BG11" s="346"/>
      <c r="BH11" s="49" t="str">
        <f t="shared" si="17"/>
        <v xml:space="preserve"> </v>
      </c>
      <c r="BI11" s="368"/>
      <c r="BJ11" s="369"/>
      <c r="BK11" s="366"/>
      <c r="BL11" s="366"/>
      <c r="BM11" s="370"/>
      <c r="BN11" s="370" t="str">
        <f t="shared" si="18"/>
        <v xml:space="preserve"> </v>
      </c>
      <c r="BO11" s="54" t="str">
        <f t="shared" ca="1" si="19"/>
        <v xml:space="preserve"> </v>
      </c>
      <c r="BP11" s="366"/>
      <c r="BQ11" s="366"/>
      <c r="BR11" s="54" t="str">
        <f t="shared" si="20"/>
        <v xml:space="preserve"> </v>
      </c>
      <c r="BS11" s="367"/>
      <c r="BT11" s="371"/>
      <c r="BU11" s="346"/>
      <c r="BV11" s="346"/>
      <c r="BW11" s="372"/>
      <c r="BX11" s="372" t="str">
        <f t="shared" si="21"/>
        <v xml:space="preserve"> </v>
      </c>
      <c r="BY11" s="54" t="str">
        <f t="shared" ca="1" si="22"/>
        <v xml:space="preserve"> </v>
      </c>
      <c r="BZ11" s="346"/>
      <c r="CA11" s="346"/>
      <c r="CB11" s="49" t="str">
        <f t="shared" si="23"/>
        <v xml:space="preserve"> </v>
      </c>
      <c r="CC11" s="368"/>
      <c r="CD11" s="369"/>
      <c r="CE11" s="54"/>
      <c r="CF11" s="366"/>
      <c r="CG11" s="366"/>
      <c r="CH11" s="366" t="str">
        <f t="shared" si="24"/>
        <v xml:space="preserve"> </v>
      </c>
      <c r="CI11" s="54" t="str">
        <f t="shared" ca="1" si="25"/>
        <v xml:space="preserve"> </v>
      </c>
      <c r="CJ11" s="366"/>
      <c r="CK11" s="366"/>
      <c r="CL11" s="54" t="str">
        <f t="shared" si="26"/>
        <v xml:space="preserve"> </v>
      </c>
      <c r="CM11" s="367"/>
      <c r="CN11" s="371"/>
      <c r="CO11" s="49"/>
      <c r="CP11" s="346"/>
      <c r="CQ11" s="346"/>
      <c r="CR11" s="346" t="str">
        <f t="shared" si="27"/>
        <v xml:space="preserve"> </v>
      </c>
      <c r="CS11" s="54" t="str">
        <f t="shared" ca="1" si="28"/>
        <v xml:space="preserve"> </v>
      </c>
      <c r="CT11" s="346"/>
      <c r="CU11" s="346"/>
      <c r="CV11" s="49" t="str">
        <f t="shared" si="29"/>
        <v xml:space="preserve"> </v>
      </c>
      <c r="CW11" s="368"/>
      <c r="CX11" s="369"/>
      <c r="CY11" s="54"/>
      <c r="CZ11" s="366"/>
      <c r="DA11" s="366"/>
      <c r="DB11" s="366" t="str">
        <f t="shared" si="30"/>
        <v xml:space="preserve"> </v>
      </c>
      <c r="DC11" s="54" t="str">
        <f t="shared" ca="1" si="31"/>
        <v xml:space="preserve"> </v>
      </c>
      <c r="DD11" s="366"/>
      <c r="DE11" s="366"/>
      <c r="DF11" s="54" t="str">
        <f t="shared" si="32"/>
        <v xml:space="preserve"> </v>
      </c>
      <c r="DG11" s="367"/>
      <c r="DH11" s="371"/>
      <c r="DI11" s="49"/>
      <c r="DJ11" s="346"/>
      <c r="DK11" s="346"/>
      <c r="DL11" s="346" t="str">
        <f t="shared" si="33"/>
        <v xml:space="preserve"> </v>
      </c>
      <c r="DM11" s="54" t="str">
        <f t="shared" ca="1" si="34"/>
        <v xml:space="preserve"> </v>
      </c>
      <c r="DN11" s="346"/>
      <c r="DO11" s="346"/>
      <c r="DP11" s="49" t="str">
        <f t="shared" si="35"/>
        <v xml:space="preserve"> </v>
      </c>
      <c r="DQ11" s="368"/>
      <c r="DR11" s="369"/>
      <c r="DS11" s="54"/>
      <c r="DT11" s="366"/>
      <c r="DU11" s="366"/>
      <c r="DV11" s="177" t="str">
        <f t="shared" si="36"/>
        <v xml:space="preserve"> </v>
      </c>
      <c r="DW11" s="54" t="str">
        <f t="shared" ca="1" si="37"/>
        <v xml:space="preserve"> </v>
      </c>
      <c r="DX11" s="366"/>
      <c r="DY11" s="366"/>
      <c r="DZ11" s="54" t="str">
        <f t="shared" si="38"/>
        <v xml:space="preserve"> </v>
      </c>
      <c r="EA11" s="367"/>
      <c r="EB11" s="371"/>
      <c r="EC11" s="49"/>
      <c r="ED11" s="346"/>
      <c r="EE11" s="346"/>
      <c r="EF11" s="177" t="str">
        <f t="shared" si="39"/>
        <v xml:space="preserve"> </v>
      </c>
      <c r="EG11" s="54" t="str">
        <f t="shared" ca="1" si="40"/>
        <v xml:space="preserve"> </v>
      </c>
      <c r="EH11" s="346"/>
      <c r="EI11" s="346"/>
      <c r="EJ11" s="49" t="str">
        <f t="shared" si="41"/>
        <v xml:space="preserve"> </v>
      </c>
      <c r="EK11" s="368"/>
      <c r="EL11" s="369"/>
      <c r="EM11" s="54"/>
      <c r="EN11" s="366"/>
      <c r="EO11" s="366"/>
      <c r="EP11" s="177" t="str">
        <f t="shared" si="42"/>
        <v xml:space="preserve"> </v>
      </c>
      <c r="EQ11" s="54" t="str">
        <f t="shared" ca="1" si="43"/>
        <v xml:space="preserve"> </v>
      </c>
      <c r="ER11" s="366"/>
      <c r="ES11" s="366"/>
      <c r="ET11" s="54" t="str">
        <f t="shared" si="44"/>
        <v xml:space="preserve"> </v>
      </c>
      <c r="EU11" s="367"/>
      <c r="EV11" s="371"/>
      <c r="EW11" s="49"/>
      <c r="EX11" s="346"/>
      <c r="EY11" s="346"/>
      <c r="EZ11" s="177" t="str">
        <f t="shared" si="45"/>
        <v xml:space="preserve"> </v>
      </c>
      <c r="FA11" s="54" t="str">
        <f t="shared" ca="1" si="46"/>
        <v xml:space="preserve"> </v>
      </c>
      <c r="FB11" s="346"/>
      <c r="FC11" s="346"/>
      <c r="FD11" s="49" t="str">
        <f t="shared" si="47"/>
        <v xml:space="preserve"> </v>
      </c>
      <c r="FE11" s="368"/>
      <c r="FF11" s="369"/>
      <c r="FG11" s="54"/>
      <c r="FH11" s="366"/>
      <c r="FI11" s="366"/>
      <c r="FJ11" s="177" t="str">
        <f t="shared" si="48"/>
        <v xml:space="preserve"> </v>
      </c>
      <c r="FK11" s="54" t="str">
        <f t="shared" ca="1" si="49"/>
        <v xml:space="preserve"> </v>
      </c>
      <c r="FL11" s="366"/>
      <c r="FM11" s="366"/>
      <c r="FN11" s="54" t="str">
        <f t="shared" si="50"/>
        <v xml:space="preserve"> </v>
      </c>
      <c r="FO11" s="367"/>
      <c r="FP11" s="371"/>
      <c r="FQ11" s="49"/>
      <c r="FR11" s="346"/>
      <c r="FS11" s="346"/>
      <c r="FT11" s="177" t="str">
        <f t="shared" si="51"/>
        <v xml:space="preserve"> </v>
      </c>
      <c r="FU11" s="54" t="str">
        <f t="shared" ca="1" si="52"/>
        <v xml:space="preserve"> </v>
      </c>
      <c r="FV11" s="346"/>
      <c r="FW11" s="346"/>
      <c r="FX11" s="49" t="str">
        <f t="shared" si="53"/>
        <v xml:space="preserve"> </v>
      </c>
      <c r="FY11" s="368"/>
      <c r="FZ11" s="369"/>
      <c r="GA11" s="54"/>
      <c r="GB11" s="366"/>
      <c r="GC11" s="366"/>
      <c r="GD11" s="177" t="str">
        <f t="shared" si="54"/>
        <v xml:space="preserve"> </v>
      </c>
      <c r="GE11" s="54" t="str">
        <f t="shared" ca="1" si="55"/>
        <v xml:space="preserve"> </v>
      </c>
      <c r="GF11" s="366"/>
      <c r="GG11" s="366"/>
      <c r="GH11" s="54" t="str">
        <f t="shared" si="56"/>
        <v xml:space="preserve"> </v>
      </c>
      <c r="GI11" s="367"/>
      <c r="GJ11" s="373"/>
      <c r="GK11" s="49"/>
      <c r="GL11" s="346"/>
      <c r="GM11" s="346"/>
      <c r="GN11" s="177" t="str">
        <f t="shared" si="57"/>
        <v xml:space="preserve"> </v>
      </c>
      <c r="GO11" s="54" t="str">
        <f t="shared" ca="1" si="58"/>
        <v xml:space="preserve"> </v>
      </c>
      <c r="GP11" s="346"/>
      <c r="GQ11" s="346"/>
      <c r="GR11" s="49" t="str">
        <f t="shared" si="59"/>
        <v xml:space="preserve"> </v>
      </c>
      <c r="GS11" s="374"/>
      <c r="GT11" s="369"/>
      <c r="GU11" s="54"/>
      <c r="GV11" s="366"/>
      <c r="GW11" s="366"/>
      <c r="GX11" s="177" t="str">
        <f t="shared" si="60"/>
        <v xml:space="preserve"> </v>
      </c>
      <c r="GY11" s="54" t="str">
        <f t="shared" ca="1" si="61"/>
        <v xml:space="preserve"> </v>
      </c>
      <c r="GZ11" s="366"/>
      <c r="HA11" s="366"/>
      <c r="HB11" s="54" t="str">
        <f t="shared" si="62"/>
        <v xml:space="preserve"> </v>
      </c>
      <c r="HC11" s="367"/>
      <c r="HD11" s="373"/>
      <c r="HE11" s="49"/>
      <c r="HF11" s="346"/>
      <c r="HG11" s="346"/>
      <c r="HH11" s="177" t="str">
        <f t="shared" si="63"/>
        <v xml:space="preserve"> </v>
      </c>
      <c r="HI11" s="54" t="str">
        <f t="shared" ca="1" si="64"/>
        <v xml:space="preserve"> </v>
      </c>
      <c r="HJ11" s="346"/>
      <c r="HK11" s="346"/>
      <c r="HL11" s="49" t="str">
        <f t="shared" si="65"/>
        <v xml:space="preserve"> </v>
      </c>
      <c r="HM11" s="374"/>
      <c r="HN11" s="369"/>
      <c r="HO11" s="54"/>
      <c r="HP11" s="366"/>
      <c r="HQ11" s="366"/>
      <c r="HR11" s="177" t="str">
        <f t="shared" si="66"/>
        <v xml:space="preserve"> </v>
      </c>
      <c r="HS11" s="54" t="str">
        <f t="shared" ca="1" si="67"/>
        <v xml:space="preserve"> </v>
      </c>
      <c r="HT11" s="366"/>
      <c r="HU11" s="366"/>
      <c r="HV11" s="54" t="str">
        <f t="shared" si="68"/>
        <v xml:space="preserve"> </v>
      </c>
      <c r="HW11" s="367"/>
      <c r="HX11" s="373"/>
      <c r="HY11" s="49"/>
      <c r="HZ11" s="346"/>
      <c r="IA11" s="177"/>
      <c r="IB11" s="177" t="str">
        <f t="shared" si="69"/>
        <v xml:space="preserve"> </v>
      </c>
      <c r="IC11" s="54" t="str">
        <f t="shared" ca="1" si="70"/>
        <v xml:space="preserve"> </v>
      </c>
      <c r="ID11" s="346"/>
      <c r="IE11" s="346"/>
      <c r="IF11" s="49" t="str">
        <f t="shared" si="71"/>
        <v xml:space="preserve"> </v>
      </c>
      <c r="IG11" s="374"/>
      <c r="IH11" s="369"/>
      <c r="II11" s="366"/>
      <c r="IJ11" s="366"/>
      <c r="IK11" s="366"/>
      <c r="IL11" s="177" t="str">
        <f t="shared" si="72"/>
        <v xml:space="preserve"> </v>
      </c>
      <c r="IM11" s="54" t="str">
        <f t="shared" ca="1" si="73"/>
        <v xml:space="preserve"> </v>
      </c>
      <c r="IN11" s="366"/>
      <c r="IO11" s="366"/>
      <c r="IP11" s="54" t="str">
        <f t="shared" si="74"/>
        <v xml:space="preserve"> </v>
      </c>
      <c r="IQ11" s="367"/>
      <c r="IR11" s="373"/>
      <c r="IS11" s="346"/>
      <c r="IT11" s="346"/>
      <c r="IU11" s="346"/>
      <c r="IV11" s="177" t="str">
        <f t="shared" si="75"/>
        <v xml:space="preserve"> </v>
      </c>
      <c r="IW11" s="54" t="str">
        <f t="shared" ca="1" si="76"/>
        <v xml:space="preserve"> </v>
      </c>
      <c r="IX11" s="346"/>
      <c r="IY11" s="346"/>
      <c r="IZ11" s="54" t="str">
        <f t="shared" si="77"/>
        <v xml:space="preserve"> </v>
      </c>
      <c r="JA11" s="374"/>
      <c r="JB11" s="369"/>
      <c r="JC11" s="366"/>
      <c r="JD11" s="366"/>
      <c r="JE11" s="366"/>
      <c r="JF11" s="177" t="str">
        <f t="shared" si="78"/>
        <v xml:space="preserve"> </v>
      </c>
      <c r="JG11" s="54" t="str">
        <f t="shared" ca="1" si="79"/>
        <v xml:space="preserve"> </v>
      </c>
      <c r="JH11" s="366"/>
      <c r="JI11" s="366"/>
      <c r="JJ11" s="54" t="str">
        <f t="shared" si="80"/>
        <v xml:space="preserve"> </v>
      </c>
      <c r="JK11" s="367"/>
      <c r="JL11" s="373"/>
      <c r="JM11" s="346"/>
      <c r="JN11" s="346"/>
      <c r="JO11" s="346"/>
      <c r="JP11" s="346" t="str">
        <f t="shared" si="81"/>
        <v xml:space="preserve"> </v>
      </c>
      <c r="JQ11" s="54" t="str">
        <f t="shared" ca="1" si="82"/>
        <v xml:space="preserve"> </v>
      </c>
      <c r="JR11" s="346"/>
      <c r="JS11" s="346"/>
      <c r="JT11" s="54" t="str">
        <f t="shared" si="83"/>
        <v xml:space="preserve"> </v>
      </c>
      <c r="JU11" s="374"/>
      <c r="JV11" s="369"/>
      <c r="JW11" s="366"/>
      <c r="JX11" s="366"/>
      <c r="JY11" s="366"/>
      <c r="JZ11" s="366" t="str">
        <f t="shared" si="84"/>
        <v xml:space="preserve"> </v>
      </c>
      <c r="KA11" s="54" t="str">
        <f t="shared" ca="1" si="85"/>
        <v xml:space="preserve"> </v>
      </c>
      <c r="KB11" s="366"/>
      <c r="KC11" s="366"/>
      <c r="KD11" s="54" t="str">
        <f t="shared" si="86"/>
        <v xml:space="preserve"> </v>
      </c>
      <c r="KE11" s="367"/>
      <c r="KF11" s="373"/>
      <c r="KG11" s="346"/>
      <c r="KH11" s="346"/>
      <c r="KI11" s="346"/>
      <c r="KJ11" s="346" t="str">
        <f t="shared" si="87"/>
        <v xml:space="preserve"> </v>
      </c>
      <c r="KK11" s="54" t="str">
        <f t="shared" ca="1" si="88"/>
        <v xml:space="preserve"> </v>
      </c>
      <c r="KL11" s="346"/>
      <c r="KM11" s="346"/>
      <c r="KN11" s="54" t="str">
        <f t="shared" si="89"/>
        <v xml:space="preserve"> </v>
      </c>
      <c r="KO11" s="374"/>
      <c r="KP11" s="369"/>
      <c r="KQ11" s="366"/>
      <c r="KR11" s="366"/>
      <c r="KS11" s="366"/>
      <c r="KT11" s="366" t="str">
        <f t="shared" si="90"/>
        <v xml:space="preserve"> </v>
      </c>
      <c r="KU11" s="54" t="str">
        <f t="shared" ca="1" si="91"/>
        <v xml:space="preserve"> </v>
      </c>
      <c r="KV11" s="366"/>
      <c r="KW11" s="366"/>
      <c r="KX11" s="54" t="str">
        <f t="shared" si="92"/>
        <v xml:space="preserve"> </v>
      </c>
      <c r="KY11" s="367"/>
      <c r="KZ11" s="373"/>
      <c r="LA11" s="346"/>
      <c r="LB11" s="346"/>
      <c r="LC11" s="346"/>
      <c r="LD11" s="346" t="str">
        <f t="shared" si="93"/>
        <v xml:space="preserve"> </v>
      </c>
      <c r="LE11" s="54" t="str">
        <f t="shared" ca="1" si="94"/>
        <v xml:space="preserve"> </v>
      </c>
      <c r="LF11" s="346"/>
      <c r="LG11" s="346"/>
      <c r="LH11" s="54" t="str">
        <f t="shared" si="95"/>
        <v xml:space="preserve"> </v>
      </c>
      <c r="LI11" s="374"/>
      <c r="LJ11" s="369"/>
      <c r="LK11" s="366"/>
      <c r="LL11" s="366"/>
      <c r="LM11" s="366"/>
      <c r="LN11" s="366" t="str">
        <f t="shared" si="96"/>
        <v xml:space="preserve"> </v>
      </c>
      <c r="LO11" s="54" t="str">
        <f t="shared" ca="1" si="97"/>
        <v xml:space="preserve"> </v>
      </c>
      <c r="LP11" s="366"/>
      <c r="LQ11" s="366"/>
      <c r="LR11" s="54" t="str">
        <f t="shared" si="98"/>
        <v xml:space="preserve"> </v>
      </c>
      <c r="LS11" s="367"/>
      <c r="LT11" s="373"/>
      <c r="LU11" s="346"/>
      <c r="LV11" s="346"/>
      <c r="LW11" s="346"/>
      <c r="LX11" s="346"/>
      <c r="LY11" s="54" t="str">
        <f t="shared" ca="1" si="99"/>
        <v xml:space="preserve"> </v>
      </c>
      <c r="LZ11" s="346"/>
      <c r="MA11" s="346"/>
      <c r="MB11" s="54" t="str">
        <f t="shared" si="100"/>
        <v xml:space="preserve"> </v>
      </c>
      <c r="MC11" s="374"/>
      <c r="MD11" s="369"/>
      <c r="ME11" s="366"/>
      <c r="MF11" s="366"/>
      <c r="MG11" s="366"/>
      <c r="MH11" s="366"/>
      <c r="MI11" s="54" t="str">
        <f t="shared" ca="1" si="101"/>
        <v xml:space="preserve"> </v>
      </c>
      <c r="MJ11" s="366"/>
      <c r="MK11" s="366"/>
      <c r="ML11" s="54" t="str">
        <f t="shared" si="102"/>
        <v xml:space="preserve"> </v>
      </c>
      <c r="MM11" s="367"/>
      <c r="MN11" s="373"/>
      <c r="MO11" s="346"/>
      <c r="MP11" s="346"/>
      <c r="MQ11" s="346"/>
      <c r="MR11" s="346"/>
      <c r="MS11" s="54" t="str">
        <f t="shared" ca="1" si="103"/>
        <v xml:space="preserve"> </v>
      </c>
      <c r="MT11" s="346"/>
      <c r="MU11" s="346"/>
      <c r="MV11" s="54" t="str">
        <f t="shared" si="104"/>
        <v xml:space="preserve"> </v>
      </c>
      <c r="MW11" s="374"/>
      <c r="MX11" s="369"/>
      <c r="MY11" s="366"/>
      <c r="MZ11" s="366"/>
      <c r="NA11" s="366"/>
      <c r="NB11" s="366"/>
      <c r="NC11" s="54" t="str">
        <f t="shared" ca="1" si="105"/>
        <v xml:space="preserve"> </v>
      </c>
      <c r="ND11" s="366"/>
      <c r="NE11" s="366"/>
      <c r="NF11" s="54" t="str">
        <f t="shared" si="106"/>
        <v xml:space="preserve"> </v>
      </c>
      <c r="NG11" s="367"/>
      <c r="NH11" s="373"/>
      <c r="NI11" s="346"/>
      <c r="NJ11" s="346"/>
      <c r="NK11" s="346"/>
      <c r="NL11" s="346"/>
      <c r="NM11" s="54" t="str">
        <f t="shared" ca="1" si="107"/>
        <v xml:space="preserve"> </v>
      </c>
      <c r="NN11" s="346"/>
      <c r="NO11" s="346"/>
      <c r="NP11" s="54" t="str">
        <f t="shared" si="108"/>
        <v xml:space="preserve"> </v>
      </c>
      <c r="NQ11" s="374"/>
      <c r="NR11" s="369"/>
      <c r="NS11" s="366"/>
      <c r="NT11" s="366"/>
      <c r="NU11" s="366"/>
      <c r="NV11" s="366"/>
      <c r="NW11" s="54" t="str">
        <f t="shared" ca="1" si="109"/>
        <v xml:space="preserve"> </v>
      </c>
      <c r="NX11" s="366"/>
      <c r="NY11" s="366"/>
      <c r="NZ11" s="54" t="str">
        <f t="shared" si="110"/>
        <v xml:space="preserve"> </v>
      </c>
      <c r="OA11" s="367"/>
      <c r="OB11" s="373"/>
      <c r="OC11" s="346"/>
      <c r="OD11" s="346"/>
      <c r="OE11" s="346"/>
      <c r="OF11" s="346"/>
      <c r="OG11" s="54" t="str">
        <f t="shared" ca="1" si="111"/>
        <v xml:space="preserve"> </v>
      </c>
      <c r="OH11" s="346"/>
      <c r="OI11" s="346"/>
      <c r="OJ11" s="54" t="str">
        <f t="shared" si="112"/>
        <v xml:space="preserve"> </v>
      </c>
      <c r="OK11" s="374"/>
    </row>
    <row r="12" spans="1:401" s="44" customFormat="1" ht="22.2" customHeight="1" x14ac:dyDescent="0.3">
      <c r="A12" s="355" t="s">
        <v>126</v>
      </c>
      <c r="B12" s="356"/>
      <c r="C12" s="37"/>
      <c r="D12" s="357"/>
      <c r="E12" s="91"/>
      <c r="F12" s="91" t="str">
        <f t="shared" si="0"/>
        <v xml:space="preserve"> </v>
      </c>
      <c r="G12" s="357" t="str">
        <f t="shared" ca="1" si="113"/>
        <v xml:space="preserve"> </v>
      </c>
      <c r="H12" s="37"/>
      <c r="I12" s="37"/>
      <c r="J12" s="37" t="str">
        <f t="shared" si="2"/>
        <v xml:space="preserve"> </v>
      </c>
      <c r="K12" s="170"/>
      <c r="L12" s="181"/>
      <c r="M12" s="37"/>
      <c r="N12" s="37"/>
      <c r="O12" s="91"/>
      <c r="P12" s="91" t="str">
        <f t="shared" si="3"/>
        <v xml:space="preserve"> </v>
      </c>
      <c r="Q12" s="37" t="str">
        <f t="shared" ca="1" si="4"/>
        <v xml:space="preserve"> </v>
      </c>
      <c r="R12" s="37"/>
      <c r="S12" s="37"/>
      <c r="T12" s="37" t="str">
        <f t="shared" si="5"/>
        <v xml:space="preserve"> </v>
      </c>
      <c r="U12" s="170"/>
      <c r="V12" s="356"/>
      <c r="W12" s="357"/>
      <c r="X12" s="357"/>
      <c r="Y12" s="358"/>
      <c r="Z12" s="358" t="str">
        <f t="shared" si="6"/>
        <v xml:space="preserve"> </v>
      </c>
      <c r="AA12" s="37" t="str">
        <f t="shared" ca="1" si="7"/>
        <v xml:space="preserve"> </v>
      </c>
      <c r="AB12" s="357"/>
      <c r="AC12" s="357"/>
      <c r="AD12" s="37" t="str">
        <f t="shared" si="8"/>
        <v xml:space="preserve"> </v>
      </c>
      <c r="AE12" s="359"/>
      <c r="AF12" s="360"/>
      <c r="AG12" s="348"/>
      <c r="AH12" s="348"/>
      <c r="AI12" s="14"/>
      <c r="AJ12" s="14" t="str">
        <f t="shared" si="9"/>
        <v xml:space="preserve"> </v>
      </c>
      <c r="AK12" s="37" t="str">
        <f t="shared" ca="1" si="10"/>
        <v xml:space="preserve"> </v>
      </c>
      <c r="AL12" s="348"/>
      <c r="AM12" s="348"/>
      <c r="AN12" s="12" t="str">
        <f t="shared" si="11"/>
        <v xml:space="preserve"> </v>
      </c>
      <c r="AO12" s="361"/>
      <c r="AP12" s="356"/>
      <c r="AQ12" s="357"/>
      <c r="AR12" s="357"/>
      <c r="AS12" s="358"/>
      <c r="AT12" s="358" t="str">
        <f t="shared" si="12"/>
        <v xml:space="preserve"> </v>
      </c>
      <c r="AU12" s="37" t="str">
        <f t="shared" ca="1" si="13"/>
        <v xml:space="preserve"> </v>
      </c>
      <c r="AV12" s="357"/>
      <c r="AW12" s="357"/>
      <c r="AX12" s="37" t="str">
        <f t="shared" si="14"/>
        <v xml:space="preserve"> </v>
      </c>
      <c r="AY12" s="359"/>
      <c r="AZ12" s="360"/>
      <c r="BA12" s="348"/>
      <c r="BB12" s="348"/>
      <c r="BC12" s="362"/>
      <c r="BD12" s="362" t="str">
        <f t="shared" si="15"/>
        <v xml:space="preserve"> </v>
      </c>
      <c r="BE12" s="37" t="str">
        <f t="shared" ca="1" si="16"/>
        <v xml:space="preserve"> </v>
      </c>
      <c r="BF12" s="348"/>
      <c r="BG12" s="348"/>
      <c r="BH12" s="12" t="str">
        <f t="shared" si="17"/>
        <v xml:space="preserve"> </v>
      </c>
      <c r="BI12" s="361"/>
      <c r="BJ12" s="356"/>
      <c r="BK12" s="357"/>
      <c r="BL12" s="357"/>
      <c r="BM12" s="358"/>
      <c r="BN12" s="358" t="str">
        <f t="shared" si="18"/>
        <v xml:space="preserve"> </v>
      </c>
      <c r="BO12" s="37" t="str">
        <f t="shared" ca="1" si="19"/>
        <v xml:space="preserve"> </v>
      </c>
      <c r="BP12" s="357"/>
      <c r="BQ12" s="357"/>
      <c r="BR12" s="37" t="str">
        <f t="shared" si="20"/>
        <v xml:space="preserve"> </v>
      </c>
      <c r="BS12" s="359"/>
      <c r="BT12" s="360"/>
      <c r="BU12" s="348"/>
      <c r="BV12" s="348"/>
      <c r="BW12" s="362"/>
      <c r="BX12" s="362" t="str">
        <f t="shared" si="21"/>
        <v xml:space="preserve"> </v>
      </c>
      <c r="BY12" s="37" t="str">
        <f t="shared" ca="1" si="22"/>
        <v xml:space="preserve"> </v>
      </c>
      <c r="BZ12" s="348"/>
      <c r="CA12" s="348"/>
      <c r="CB12" s="12" t="str">
        <f t="shared" si="23"/>
        <v xml:space="preserve"> </v>
      </c>
      <c r="CC12" s="361"/>
      <c r="CD12" s="356"/>
      <c r="CE12" s="37"/>
      <c r="CF12" s="357"/>
      <c r="CG12" s="357"/>
      <c r="CH12" s="357" t="str">
        <f t="shared" si="24"/>
        <v xml:space="preserve"> </v>
      </c>
      <c r="CI12" s="37" t="str">
        <f t="shared" ca="1" si="25"/>
        <v xml:space="preserve"> </v>
      </c>
      <c r="CJ12" s="357"/>
      <c r="CK12" s="357"/>
      <c r="CL12" s="37" t="str">
        <f t="shared" si="26"/>
        <v xml:space="preserve"> </v>
      </c>
      <c r="CM12" s="359"/>
      <c r="CN12" s="360"/>
      <c r="CO12" s="12"/>
      <c r="CP12" s="348"/>
      <c r="CQ12" s="348"/>
      <c r="CR12" s="348" t="str">
        <f t="shared" si="27"/>
        <v xml:space="preserve"> </v>
      </c>
      <c r="CS12" s="37" t="str">
        <f t="shared" ca="1" si="28"/>
        <v xml:space="preserve"> </v>
      </c>
      <c r="CT12" s="348"/>
      <c r="CU12" s="348"/>
      <c r="CV12" s="12" t="str">
        <f t="shared" si="29"/>
        <v xml:space="preserve"> </v>
      </c>
      <c r="CW12" s="361"/>
      <c r="CX12" s="356"/>
      <c r="CY12" s="37"/>
      <c r="CZ12" s="357"/>
      <c r="DA12" s="357"/>
      <c r="DB12" s="357" t="str">
        <f t="shared" si="30"/>
        <v xml:space="preserve"> </v>
      </c>
      <c r="DC12" s="37" t="str">
        <f t="shared" ca="1" si="31"/>
        <v xml:space="preserve"> </v>
      </c>
      <c r="DD12" s="357"/>
      <c r="DE12" s="357"/>
      <c r="DF12" s="37" t="str">
        <f t="shared" si="32"/>
        <v xml:space="preserve"> </v>
      </c>
      <c r="DG12" s="359"/>
      <c r="DH12" s="360"/>
      <c r="DI12" s="12"/>
      <c r="DJ12" s="348"/>
      <c r="DK12" s="348"/>
      <c r="DL12" s="348" t="str">
        <f t="shared" si="33"/>
        <v xml:space="preserve"> </v>
      </c>
      <c r="DM12" s="37" t="str">
        <f t="shared" ca="1" si="34"/>
        <v xml:space="preserve"> </v>
      </c>
      <c r="DN12" s="348"/>
      <c r="DO12" s="348"/>
      <c r="DP12" s="12" t="str">
        <f t="shared" si="35"/>
        <v xml:space="preserve"> </v>
      </c>
      <c r="DQ12" s="361"/>
      <c r="DR12" s="356"/>
      <c r="DS12" s="37"/>
      <c r="DT12" s="357"/>
      <c r="DU12" s="357"/>
      <c r="DV12" s="14" t="str">
        <f t="shared" si="36"/>
        <v xml:space="preserve"> </v>
      </c>
      <c r="DW12" s="37" t="str">
        <f t="shared" ca="1" si="37"/>
        <v xml:space="preserve"> </v>
      </c>
      <c r="DX12" s="357"/>
      <c r="DY12" s="357"/>
      <c r="DZ12" s="37" t="str">
        <f t="shared" si="38"/>
        <v xml:space="preserve"> </v>
      </c>
      <c r="EA12" s="359"/>
      <c r="EB12" s="360"/>
      <c r="EC12" s="12"/>
      <c r="ED12" s="348"/>
      <c r="EE12" s="348"/>
      <c r="EF12" s="91" t="str">
        <f t="shared" si="39"/>
        <v xml:space="preserve"> </v>
      </c>
      <c r="EG12" s="37" t="str">
        <f t="shared" ca="1" si="40"/>
        <v xml:space="preserve"> </v>
      </c>
      <c r="EH12" s="348"/>
      <c r="EI12" s="348"/>
      <c r="EJ12" s="12" t="str">
        <f t="shared" si="41"/>
        <v xml:space="preserve"> </v>
      </c>
      <c r="EK12" s="361"/>
      <c r="EL12" s="356"/>
      <c r="EM12" s="37"/>
      <c r="EN12" s="357"/>
      <c r="EO12" s="357"/>
      <c r="EP12" s="91" t="str">
        <f t="shared" si="42"/>
        <v xml:space="preserve"> </v>
      </c>
      <c r="EQ12" s="37" t="str">
        <f t="shared" ca="1" si="43"/>
        <v xml:space="preserve"> </v>
      </c>
      <c r="ER12" s="357"/>
      <c r="ES12" s="357"/>
      <c r="ET12" s="37" t="str">
        <f t="shared" si="44"/>
        <v xml:space="preserve"> </v>
      </c>
      <c r="EU12" s="359"/>
      <c r="EV12" s="360"/>
      <c r="EW12" s="12"/>
      <c r="EX12" s="348"/>
      <c r="EY12" s="348"/>
      <c r="EZ12" s="91" t="str">
        <f t="shared" si="45"/>
        <v xml:space="preserve"> </v>
      </c>
      <c r="FA12" s="37" t="str">
        <f t="shared" ca="1" si="46"/>
        <v xml:space="preserve"> </v>
      </c>
      <c r="FB12" s="348"/>
      <c r="FC12" s="348"/>
      <c r="FD12" s="12" t="str">
        <f t="shared" si="47"/>
        <v xml:space="preserve"> </v>
      </c>
      <c r="FE12" s="361"/>
      <c r="FF12" s="356"/>
      <c r="FG12" s="37"/>
      <c r="FH12" s="357"/>
      <c r="FI12" s="357"/>
      <c r="FJ12" s="91" t="str">
        <f t="shared" si="48"/>
        <v xml:space="preserve"> </v>
      </c>
      <c r="FK12" s="37" t="str">
        <f t="shared" ca="1" si="49"/>
        <v xml:space="preserve"> </v>
      </c>
      <c r="FL12" s="357"/>
      <c r="FM12" s="357"/>
      <c r="FN12" s="37" t="str">
        <f t="shared" si="50"/>
        <v xml:space="preserve"> </v>
      </c>
      <c r="FO12" s="359"/>
      <c r="FP12" s="360"/>
      <c r="FQ12" s="12"/>
      <c r="FR12" s="348"/>
      <c r="FS12" s="348"/>
      <c r="FT12" s="91" t="str">
        <f t="shared" si="51"/>
        <v xml:space="preserve"> </v>
      </c>
      <c r="FU12" s="37" t="str">
        <f t="shared" ca="1" si="52"/>
        <v xml:space="preserve"> </v>
      </c>
      <c r="FV12" s="348"/>
      <c r="FW12" s="348"/>
      <c r="FX12" s="12" t="str">
        <f t="shared" si="53"/>
        <v xml:space="preserve"> </v>
      </c>
      <c r="FY12" s="361"/>
      <c r="FZ12" s="356"/>
      <c r="GA12" s="37"/>
      <c r="GB12" s="357"/>
      <c r="GC12" s="357"/>
      <c r="GD12" s="91" t="str">
        <f t="shared" si="54"/>
        <v xml:space="preserve"> </v>
      </c>
      <c r="GE12" s="37" t="str">
        <f t="shared" ca="1" si="55"/>
        <v xml:space="preserve"> </v>
      </c>
      <c r="GF12" s="357"/>
      <c r="GG12" s="357"/>
      <c r="GH12" s="37" t="str">
        <f t="shared" si="56"/>
        <v xml:space="preserve"> </v>
      </c>
      <c r="GI12" s="359"/>
      <c r="GJ12" s="363"/>
      <c r="GK12" s="12"/>
      <c r="GL12" s="348"/>
      <c r="GM12" s="348"/>
      <c r="GN12" s="91" t="str">
        <f t="shared" si="57"/>
        <v xml:space="preserve"> </v>
      </c>
      <c r="GO12" s="37" t="str">
        <f t="shared" ca="1" si="58"/>
        <v xml:space="preserve"> </v>
      </c>
      <c r="GP12" s="348"/>
      <c r="GQ12" s="348"/>
      <c r="GR12" s="12" t="str">
        <f t="shared" si="59"/>
        <v xml:space="preserve"> </v>
      </c>
      <c r="GS12" s="364"/>
      <c r="GT12" s="356"/>
      <c r="GU12" s="37"/>
      <c r="GV12" s="357"/>
      <c r="GW12" s="357"/>
      <c r="GX12" s="91" t="str">
        <f t="shared" si="60"/>
        <v xml:space="preserve"> </v>
      </c>
      <c r="GY12" s="37" t="str">
        <f t="shared" ca="1" si="61"/>
        <v xml:space="preserve"> </v>
      </c>
      <c r="GZ12" s="357"/>
      <c r="HA12" s="357"/>
      <c r="HB12" s="37" t="str">
        <f t="shared" si="62"/>
        <v xml:space="preserve"> </v>
      </c>
      <c r="HC12" s="359"/>
      <c r="HD12" s="363"/>
      <c r="HE12" s="12"/>
      <c r="HF12" s="348"/>
      <c r="HG12" s="348"/>
      <c r="HH12" s="91" t="str">
        <f t="shared" si="63"/>
        <v xml:space="preserve"> </v>
      </c>
      <c r="HI12" s="37" t="str">
        <f t="shared" ca="1" si="64"/>
        <v xml:space="preserve"> </v>
      </c>
      <c r="HJ12" s="348"/>
      <c r="HK12" s="348"/>
      <c r="HL12" s="12" t="str">
        <f t="shared" si="65"/>
        <v xml:space="preserve"> </v>
      </c>
      <c r="HM12" s="364"/>
      <c r="HN12" s="356"/>
      <c r="HO12" s="37"/>
      <c r="HP12" s="357"/>
      <c r="HQ12" s="357"/>
      <c r="HR12" s="91" t="str">
        <f t="shared" si="66"/>
        <v xml:space="preserve"> </v>
      </c>
      <c r="HS12" s="37" t="str">
        <f t="shared" ca="1" si="67"/>
        <v xml:space="preserve"> </v>
      </c>
      <c r="HT12" s="357"/>
      <c r="HU12" s="357"/>
      <c r="HV12" s="37" t="str">
        <f t="shared" si="68"/>
        <v xml:space="preserve"> </v>
      </c>
      <c r="HW12" s="359"/>
      <c r="HX12" s="363"/>
      <c r="HY12" s="12"/>
      <c r="HZ12" s="348"/>
      <c r="IA12" s="348"/>
      <c r="IB12" s="91" t="str">
        <f t="shared" si="69"/>
        <v xml:space="preserve"> </v>
      </c>
      <c r="IC12" s="37" t="str">
        <f t="shared" ca="1" si="70"/>
        <v xml:space="preserve"> </v>
      </c>
      <c r="ID12" s="348"/>
      <c r="IE12" s="348"/>
      <c r="IF12" s="12" t="str">
        <f t="shared" si="71"/>
        <v xml:space="preserve"> </v>
      </c>
      <c r="IG12" s="364"/>
      <c r="IH12" s="356"/>
      <c r="II12" s="357"/>
      <c r="IJ12" s="357"/>
      <c r="IK12" s="357"/>
      <c r="IL12" s="91" t="str">
        <f t="shared" si="72"/>
        <v xml:space="preserve"> </v>
      </c>
      <c r="IM12" s="37" t="str">
        <f t="shared" ca="1" si="73"/>
        <v xml:space="preserve"> </v>
      </c>
      <c r="IN12" s="357"/>
      <c r="IO12" s="357"/>
      <c r="IP12" s="37" t="str">
        <f t="shared" si="74"/>
        <v xml:space="preserve"> </v>
      </c>
      <c r="IQ12" s="359"/>
      <c r="IR12" s="363"/>
      <c r="IS12" s="348"/>
      <c r="IT12" s="348"/>
      <c r="IU12" s="348"/>
      <c r="IV12" s="91" t="str">
        <f t="shared" si="75"/>
        <v xml:space="preserve"> </v>
      </c>
      <c r="IW12" s="37" t="str">
        <f t="shared" ca="1" si="76"/>
        <v xml:space="preserve"> </v>
      </c>
      <c r="IX12" s="348"/>
      <c r="IY12" s="348"/>
      <c r="IZ12" s="37" t="str">
        <f t="shared" si="77"/>
        <v xml:space="preserve"> </v>
      </c>
      <c r="JA12" s="364"/>
      <c r="JB12" s="356"/>
      <c r="JC12" s="357"/>
      <c r="JD12" s="357"/>
      <c r="JE12" s="357"/>
      <c r="JF12" s="91" t="str">
        <f t="shared" si="78"/>
        <v xml:space="preserve"> </v>
      </c>
      <c r="JG12" s="37" t="str">
        <f t="shared" ca="1" si="79"/>
        <v xml:space="preserve"> </v>
      </c>
      <c r="JH12" s="357"/>
      <c r="JI12" s="357"/>
      <c r="JJ12" s="37" t="str">
        <f t="shared" si="80"/>
        <v xml:space="preserve"> </v>
      </c>
      <c r="JK12" s="359"/>
      <c r="JL12" s="363"/>
      <c r="JM12" s="348"/>
      <c r="JN12" s="348"/>
      <c r="JO12" s="348"/>
      <c r="JP12" s="348" t="str">
        <f t="shared" si="81"/>
        <v xml:space="preserve"> </v>
      </c>
      <c r="JQ12" s="37" t="str">
        <f t="shared" ca="1" si="82"/>
        <v xml:space="preserve"> </v>
      </c>
      <c r="JR12" s="348"/>
      <c r="JS12" s="348"/>
      <c r="JT12" s="37" t="str">
        <f t="shared" si="83"/>
        <v xml:space="preserve"> </v>
      </c>
      <c r="JU12" s="364"/>
      <c r="JV12" s="356"/>
      <c r="JW12" s="357"/>
      <c r="JX12" s="357"/>
      <c r="JY12" s="357"/>
      <c r="JZ12" s="357" t="str">
        <f t="shared" si="84"/>
        <v xml:space="preserve"> </v>
      </c>
      <c r="KA12" s="37" t="str">
        <f t="shared" ca="1" si="85"/>
        <v xml:space="preserve"> </v>
      </c>
      <c r="KB12" s="357"/>
      <c r="KC12" s="357"/>
      <c r="KD12" s="37" t="str">
        <f t="shared" si="86"/>
        <v xml:space="preserve"> </v>
      </c>
      <c r="KE12" s="359"/>
      <c r="KF12" s="363"/>
      <c r="KG12" s="348"/>
      <c r="KH12" s="348"/>
      <c r="KI12" s="348"/>
      <c r="KJ12" s="348" t="str">
        <f t="shared" si="87"/>
        <v xml:space="preserve"> </v>
      </c>
      <c r="KK12" s="37" t="str">
        <f t="shared" ca="1" si="88"/>
        <v xml:space="preserve"> </v>
      </c>
      <c r="KL12" s="348"/>
      <c r="KM12" s="348"/>
      <c r="KN12" s="37" t="str">
        <f t="shared" si="89"/>
        <v xml:space="preserve"> </v>
      </c>
      <c r="KO12" s="364"/>
      <c r="KP12" s="356"/>
      <c r="KQ12" s="357"/>
      <c r="KR12" s="357"/>
      <c r="KS12" s="357"/>
      <c r="KT12" s="357" t="str">
        <f t="shared" si="90"/>
        <v xml:space="preserve"> </v>
      </c>
      <c r="KU12" s="37" t="str">
        <f t="shared" ca="1" si="91"/>
        <v xml:space="preserve"> </v>
      </c>
      <c r="KV12" s="357"/>
      <c r="KW12" s="357"/>
      <c r="KX12" s="37" t="str">
        <f t="shared" si="92"/>
        <v xml:space="preserve"> </v>
      </c>
      <c r="KY12" s="359"/>
      <c r="KZ12" s="363"/>
      <c r="LA12" s="348"/>
      <c r="LB12" s="348"/>
      <c r="LC12" s="348"/>
      <c r="LD12" s="348" t="str">
        <f t="shared" si="93"/>
        <v xml:space="preserve"> </v>
      </c>
      <c r="LE12" s="37" t="str">
        <f t="shared" ca="1" si="94"/>
        <v xml:space="preserve"> </v>
      </c>
      <c r="LF12" s="348"/>
      <c r="LG12" s="348"/>
      <c r="LH12" s="37" t="str">
        <f t="shared" si="95"/>
        <v xml:space="preserve"> </v>
      </c>
      <c r="LI12" s="364"/>
      <c r="LJ12" s="356"/>
      <c r="LK12" s="357"/>
      <c r="LL12" s="357"/>
      <c r="LM12" s="357"/>
      <c r="LN12" s="357" t="str">
        <f t="shared" si="96"/>
        <v xml:space="preserve"> </v>
      </c>
      <c r="LO12" s="37" t="str">
        <f t="shared" ca="1" si="97"/>
        <v xml:space="preserve"> </v>
      </c>
      <c r="LP12" s="357"/>
      <c r="LQ12" s="357"/>
      <c r="LR12" s="37" t="str">
        <f t="shared" si="98"/>
        <v xml:space="preserve"> </v>
      </c>
      <c r="LS12" s="359"/>
      <c r="LT12" s="363"/>
      <c r="LU12" s="348"/>
      <c r="LV12" s="348"/>
      <c r="LW12" s="348"/>
      <c r="LX12" s="348"/>
      <c r="LY12" s="37" t="str">
        <f t="shared" ca="1" si="99"/>
        <v xml:space="preserve"> </v>
      </c>
      <c r="LZ12" s="348"/>
      <c r="MA12" s="348"/>
      <c r="MB12" s="37" t="str">
        <f t="shared" si="100"/>
        <v xml:space="preserve"> </v>
      </c>
      <c r="MC12" s="364"/>
      <c r="MD12" s="356"/>
      <c r="ME12" s="357"/>
      <c r="MF12" s="357"/>
      <c r="MG12" s="357"/>
      <c r="MH12" s="357"/>
      <c r="MI12" s="37" t="str">
        <f t="shared" ca="1" si="101"/>
        <v xml:space="preserve"> </v>
      </c>
      <c r="MJ12" s="357"/>
      <c r="MK12" s="357"/>
      <c r="ML12" s="37" t="str">
        <f t="shared" si="102"/>
        <v xml:space="preserve"> </v>
      </c>
      <c r="MM12" s="359"/>
      <c r="MN12" s="363"/>
      <c r="MO12" s="348"/>
      <c r="MP12" s="348"/>
      <c r="MQ12" s="348"/>
      <c r="MR12" s="348"/>
      <c r="MS12" s="37" t="str">
        <f t="shared" ca="1" si="103"/>
        <v xml:space="preserve"> </v>
      </c>
      <c r="MT12" s="348"/>
      <c r="MU12" s="348"/>
      <c r="MV12" s="37" t="str">
        <f t="shared" si="104"/>
        <v xml:space="preserve"> </v>
      </c>
      <c r="MW12" s="364"/>
      <c r="MX12" s="356"/>
      <c r="MY12" s="357"/>
      <c r="MZ12" s="357"/>
      <c r="NA12" s="357"/>
      <c r="NB12" s="357"/>
      <c r="NC12" s="37" t="str">
        <f t="shared" ca="1" si="105"/>
        <v xml:space="preserve"> </v>
      </c>
      <c r="ND12" s="357"/>
      <c r="NE12" s="357"/>
      <c r="NF12" s="37" t="str">
        <f t="shared" si="106"/>
        <v xml:space="preserve"> </v>
      </c>
      <c r="NG12" s="359"/>
      <c r="NH12" s="363"/>
      <c r="NI12" s="348"/>
      <c r="NJ12" s="348"/>
      <c r="NK12" s="348"/>
      <c r="NL12" s="348"/>
      <c r="NM12" s="37" t="str">
        <f t="shared" ca="1" si="107"/>
        <v xml:space="preserve"> </v>
      </c>
      <c r="NN12" s="348"/>
      <c r="NO12" s="348"/>
      <c r="NP12" s="37" t="str">
        <f t="shared" si="108"/>
        <v xml:space="preserve"> </v>
      </c>
      <c r="NQ12" s="364"/>
      <c r="NR12" s="356"/>
      <c r="NS12" s="357"/>
      <c r="NT12" s="357"/>
      <c r="NU12" s="357"/>
      <c r="NV12" s="357"/>
      <c r="NW12" s="37" t="str">
        <f t="shared" ca="1" si="109"/>
        <v xml:space="preserve"> </v>
      </c>
      <c r="NX12" s="357"/>
      <c r="NY12" s="357"/>
      <c r="NZ12" s="37" t="str">
        <f t="shared" si="110"/>
        <v xml:space="preserve"> </v>
      </c>
      <c r="OA12" s="359"/>
      <c r="OB12" s="363"/>
      <c r="OC12" s="348"/>
      <c r="OD12" s="348"/>
      <c r="OE12" s="348"/>
      <c r="OF12" s="348"/>
      <c r="OG12" s="37" t="str">
        <f t="shared" ca="1" si="111"/>
        <v xml:space="preserve"> </v>
      </c>
      <c r="OH12" s="348"/>
      <c r="OI12" s="348"/>
      <c r="OJ12" s="37" t="str">
        <f t="shared" si="112"/>
        <v xml:space="preserve"> </v>
      </c>
      <c r="OK12" s="364"/>
    </row>
    <row r="13" spans="1:401" s="44" customFormat="1" ht="22.2" customHeight="1" x14ac:dyDescent="0.3">
      <c r="A13" s="365" t="s">
        <v>142</v>
      </c>
      <c r="B13" s="369" t="s">
        <v>838</v>
      </c>
      <c r="C13" s="54" t="s">
        <v>895</v>
      </c>
      <c r="D13" s="54" t="s">
        <v>315</v>
      </c>
      <c r="E13" s="177"/>
      <c r="F13" s="177" t="str">
        <f t="shared" si="0"/>
        <v xml:space="preserve"> </v>
      </c>
      <c r="G13" s="54" t="str">
        <f t="shared" ca="1" si="113"/>
        <v xml:space="preserve"> </v>
      </c>
      <c r="H13" s="54"/>
      <c r="I13" s="54"/>
      <c r="J13" s="54" t="str">
        <f t="shared" si="2"/>
        <v>C.I.</v>
      </c>
      <c r="K13" s="171"/>
      <c r="L13" s="369" t="s">
        <v>838</v>
      </c>
      <c r="M13" s="54" t="s">
        <v>895</v>
      </c>
      <c r="N13" s="54" t="s">
        <v>315</v>
      </c>
      <c r="O13" s="177"/>
      <c r="P13" s="177" t="str">
        <f t="shared" si="3"/>
        <v xml:space="preserve"> </v>
      </c>
      <c r="Q13" s="54" t="str">
        <f t="shared" ca="1" si="4"/>
        <v xml:space="preserve"> </v>
      </c>
      <c r="R13" s="54"/>
      <c r="S13" s="54"/>
      <c r="T13" s="54" t="str">
        <f t="shared" si="5"/>
        <v>C.I.</v>
      </c>
      <c r="U13" s="171"/>
      <c r="V13" s="369" t="s">
        <v>838</v>
      </c>
      <c r="W13" s="54" t="s">
        <v>895</v>
      </c>
      <c r="X13" s="54" t="s">
        <v>315</v>
      </c>
      <c r="Y13" s="177"/>
      <c r="Z13" s="177" t="str">
        <f t="shared" si="6"/>
        <v xml:space="preserve"> </v>
      </c>
      <c r="AA13" s="54" t="str">
        <f t="shared" ca="1" si="7"/>
        <v xml:space="preserve"> </v>
      </c>
      <c r="AB13" s="366"/>
      <c r="AC13" s="366"/>
      <c r="AD13" s="54" t="str">
        <f t="shared" si="8"/>
        <v>C.I.</v>
      </c>
      <c r="AE13" s="367"/>
      <c r="AF13" s="369" t="s">
        <v>841</v>
      </c>
      <c r="AG13" s="54">
        <v>53903</v>
      </c>
      <c r="AH13" s="366" t="s">
        <v>896</v>
      </c>
      <c r="AI13" s="177">
        <v>45741</v>
      </c>
      <c r="AJ13" s="177">
        <f t="shared" si="9"/>
        <v>46106</v>
      </c>
      <c r="AK13" s="54" t="str">
        <f t="shared" ca="1" si="10"/>
        <v>VIGENTE</v>
      </c>
      <c r="AL13" s="346"/>
      <c r="AM13" s="346"/>
      <c r="AN13" s="49" t="str">
        <f t="shared" si="11"/>
        <v>C.C.</v>
      </c>
      <c r="AO13" s="368"/>
      <c r="AP13" s="369" t="s">
        <v>897</v>
      </c>
      <c r="AQ13" s="54">
        <v>22881</v>
      </c>
      <c r="AR13" s="366" t="s">
        <v>898</v>
      </c>
      <c r="AS13" s="177">
        <v>44146</v>
      </c>
      <c r="AT13" s="177">
        <f t="shared" si="12"/>
        <v>44511</v>
      </c>
      <c r="AU13" s="54" t="str">
        <f t="shared" ca="1" si="13"/>
        <v>VENCIDO</v>
      </c>
      <c r="AV13" s="366"/>
      <c r="AW13" s="366"/>
      <c r="AX13" s="54" t="str">
        <f t="shared" si="14"/>
        <v>D.P.</v>
      </c>
      <c r="AY13" s="367"/>
      <c r="AZ13" s="369" t="s">
        <v>834</v>
      </c>
      <c r="BA13" s="54" t="s">
        <v>899</v>
      </c>
      <c r="BB13" s="366" t="s">
        <v>900</v>
      </c>
      <c r="BC13" s="177">
        <v>45716</v>
      </c>
      <c r="BD13" s="177">
        <f t="shared" si="15"/>
        <v>46082</v>
      </c>
      <c r="BE13" s="54" t="str">
        <f t="shared" ca="1" si="16"/>
        <v>VIGENTE</v>
      </c>
      <c r="BF13" s="346"/>
      <c r="BG13" s="346"/>
      <c r="BH13" s="49" t="str">
        <f t="shared" si="17"/>
        <v>C.I.</v>
      </c>
      <c r="BI13" s="368"/>
      <c r="BJ13" s="369" t="s">
        <v>834</v>
      </c>
      <c r="BK13" s="54" t="s">
        <v>901</v>
      </c>
      <c r="BL13" s="366" t="s">
        <v>902</v>
      </c>
      <c r="BM13" s="177">
        <v>45716</v>
      </c>
      <c r="BN13" s="177">
        <f t="shared" si="18"/>
        <v>46081</v>
      </c>
      <c r="BO13" s="54" t="str">
        <f t="shared" ca="1" si="19"/>
        <v>VIGENTE</v>
      </c>
      <c r="BP13" s="366"/>
      <c r="BQ13" s="366"/>
      <c r="BR13" s="54" t="str">
        <f t="shared" si="20"/>
        <v>C.I.</v>
      </c>
      <c r="BS13" s="367"/>
      <c r="BT13" s="369" t="s">
        <v>834</v>
      </c>
      <c r="BU13" s="54" t="s">
        <v>903</v>
      </c>
      <c r="BV13" s="366" t="s">
        <v>904</v>
      </c>
      <c r="BW13" s="177">
        <v>45716</v>
      </c>
      <c r="BX13" s="177">
        <f t="shared" si="21"/>
        <v>46081</v>
      </c>
      <c r="BY13" s="54" t="str">
        <f t="shared" ca="1" si="22"/>
        <v>VIGENTE</v>
      </c>
      <c r="BZ13" s="346"/>
      <c r="CA13" s="346"/>
      <c r="CB13" s="49" t="str">
        <f t="shared" si="23"/>
        <v>C.I.</v>
      </c>
      <c r="CC13" s="368"/>
      <c r="CD13" s="369" t="s">
        <v>905</v>
      </c>
      <c r="CE13" s="54">
        <v>506769</v>
      </c>
      <c r="CF13" s="366" t="s">
        <v>906</v>
      </c>
      <c r="CG13" s="177" t="s">
        <v>907</v>
      </c>
      <c r="CH13" s="177">
        <f t="shared" si="24"/>
        <v>46101</v>
      </c>
      <c r="CI13" s="54" t="str">
        <f t="shared" ca="1" si="25"/>
        <v>VIGENTE</v>
      </c>
      <c r="CJ13" s="366"/>
      <c r="CK13" s="366"/>
      <c r="CL13" s="54" t="str">
        <f t="shared" si="26"/>
        <v>G.M.</v>
      </c>
      <c r="CM13" s="367"/>
      <c r="CN13" s="369" t="s">
        <v>854</v>
      </c>
      <c r="CO13" s="54" t="s">
        <v>908</v>
      </c>
      <c r="CP13" s="366" t="s">
        <v>909</v>
      </c>
      <c r="CQ13" s="177">
        <v>45741</v>
      </c>
      <c r="CR13" s="177">
        <f t="shared" si="27"/>
        <v>46106</v>
      </c>
      <c r="CS13" s="54" t="str">
        <f t="shared" ca="1" si="28"/>
        <v>VIGENTE</v>
      </c>
      <c r="CT13" s="346"/>
      <c r="CU13" s="346"/>
      <c r="CV13" s="49" t="str">
        <f t="shared" si="29"/>
        <v>G.M.</v>
      </c>
      <c r="CW13" s="368"/>
      <c r="CX13" s="369"/>
      <c r="CY13" s="54"/>
      <c r="CZ13" s="366"/>
      <c r="DA13" s="366"/>
      <c r="DB13" s="366" t="str">
        <f t="shared" si="30"/>
        <v xml:space="preserve"> </v>
      </c>
      <c r="DC13" s="54" t="str">
        <f t="shared" ca="1" si="31"/>
        <v xml:space="preserve"> </v>
      </c>
      <c r="DD13" s="366"/>
      <c r="DE13" s="366"/>
      <c r="DF13" s="54" t="str">
        <f t="shared" si="32"/>
        <v xml:space="preserve"> </v>
      </c>
      <c r="DG13" s="367"/>
      <c r="DH13" s="371"/>
      <c r="DI13" s="49"/>
      <c r="DJ13" s="346"/>
      <c r="DK13" s="346"/>
      <c r="DL13" s="346" t="str">
        <f t="shared" si="33"/>
        <v xml:space="preserve"> </v>
      </c>
      <c r="DM13" s="54" t="str">
        <f t="shared" ca="1" si="34"/>
        <v xml:space="preserve"> </v>
      </c>
      <c r="DN13" s="346"/>
      <c r="DO13" s="346"/>
      <c r="DP13" s="49" t="str">
        <f t="shared" si="35"/>
        <v xml:space="preserve"> </v>
      </c>
      <c r="DQ13" s="368"/>
      <c r="DR13" s="369"/>
      <c r="DS13" s="54"/>
      <c r="DT13" s="366"/>
      <c r="DU13" s="366"/>
      <c r="DV13" s="177" t="str">
        <f t="shared" si="36"/>
        <v xml:space="preserve"> </v>
      </c>
      <c r="DW13" s="54" t="str">
        <f t="shared" ca="1" si="37"/>
        <v xml:space="preserve"> </v>
      </c>
      <c r="DX13" s="366"/>
      <c r="DY13" s="366"/>
      <c r="DZ13" s="54" t="str">
        <f t="shared" si="38"/>
        <v xml:space="preserve"> </v>
      </c>
      <c r="EA13" s="367"/>
      <c r="EB13" s="371"/>
      <c r="EC13" s="49"/>
      <c r="ED13" s="346"/>
      <c r="EE13" s="346"/>
      <c r="EF13" s="177" t="str">
        <f t="shared" si="39"/>
        <v xml:space="preserve"> </v>
      </c>
      <c r="EG13" s="54" t="str">
        <f t="shared" ca="1" si="40"/>
        <v xml:space="preserve"> </v>
      </c>
      <c r="EH13" s="346"/>
      <c r="EI13" s="346"/>
      <c r="EJ13" s="49" t="str">
        <f t="shared" si="41"/>
        <v xml:space="preserve"> </v>
      </c>
      <c r="EK13" s="368"/>
      <c r="EL13" s="369"/>
      <c r="EM13" s="54"/>
      <c r="EN13" s="366"/>
      <c r="EO13" s="366"/>
      <c r="EP13" s="177" t="str">
        <f t="shared" si="42"/>
        <v xml:space="preserve"> </v>
      </c>
      <c r="EQ13" s="54" t="str">
        <f t="shared" ca="1" si="43"/>
        <v xml:space="preserve"> </v>
      </c>
      <c r="ER13" s="366"/>
      <c r="ES13" s="366"/>
      <c r="ET13" s="54" t="str">
        <f t="shared" si="44"/>
        <v xml:space="preserve"> </v>
      </c>
      <c r="EU13" s="367"/>
      <c r="EV13" s="371"/>
      <c r="EW13" s="49"/>
      <c r="EX13" s="346"/>
      <c r="EY13" s="346"/>
      <c r="EZ13" s="177" t="str">
        <f t="shared" si="45"/>
        <v xml:space="preserve"> </v>
      </c>
      <c r="FA13" s="54" t="str">
        <f t="shared" ca="1" si="46"/>
        <v xml:space="preserve"> </v>
      </c>
      <c r="FB13" s="346"/>
      <c r="FC13" s="346"/>
      <c r="FD13" s="49" t="str">
        <f t="shared" si="47"/>
        <v xml:space="preserve"> </v>
      </c>
      <c r="FE13" s="368"/>
      <c r="FF13" s="369"/>
      <c r="FG13" s="54"/>
      <c r="FH13" s="366"/>
      <c r="FI13" s="366"/>
      <c r="FJ13" s="177" t="str">
        <f t="shared" si="48"/>
        <v xml:space="preserve"> </v>
      </c>
      <c r="FK13" s="54" t="str">
        <f t="shared" ca="1" si="49"/>
        <v xml:space="preserve"> </v>
      </c>
      <c r="FL13" s="366"/>
      <c r="FM13" s="366"/>
      <c r="FN13" s="54" t="str">
        <f t="shared" si="50"/>
        <v xml:space="preserve"> </v>
      </c>
      <c r="FO13" s="367"/>
      <c r="FP13" s="371"/>
      <c r="FQ13" s="49"/>
      <c r="FR13" s="346"/>
      <c r="FS13" s="346"/>
      <c r="FT13" s="177" t="str">
        <f t="shared" si="51"/>
        <v xml:space="preserve"> </v>
      </c>
      <c r="FU13" s="54" t="str">
        <f t="shared" ca="1" si="52"/>
        <v xml:space="preserve"> </v>
      </c>
      <c r="FV13" s="346"/>
      <c r="FW13" s="346"/>
      <c r="FX13" s="49" t="str">
        <f t="shared" si="53"/>
        <v xml:space="preserve"> </v>
      </c>
      <c r="FY13" s="368"/>
      <c r="FZ13" s="369"/>
      <c r="GA13" s="54"/>
      <c r="GB13" s="366"/>
      <c r="GC13" s="366"/>
      <c r="GD13" s="177" t="str">
        <f t="shared" si="54"/>
        <v xml:space="preserve"> </v>
      </c>
      <c r="GE13" s="54" t="str">
        <f t="shared" ca="1" si="55"/>
        <v xml:space="preserve"> </v>
      </c>
      <c r="GF13" s="366"/>
      <c r="GG13" s="366"/>
      <c r="GH13" s="54" t="str">
        <f t="shared" si="56"/>
        <v xml:space="preserve"> </v>
      </c>
      <c r="GI13" s="367"/>
      <c r="GJ13" s="373"/>
      <c r="GK13" s="49"/>
      <c r="GL13" s="346"/>
      <c r="GM13" s="346"/>
      <c r="GN13" s="177" t="str">
        <f t="shared" si="57"/>
        <v xml:space="preserve"> </v>
      </c>
      <c r="GO13" s="54" t="str">
        <f t="shared" ca="1" si="58"/>
        <v xml:space="preserve"> </v>
      </c>
      <c r="GP13" s="346"/>
      <c r="GQ13" s="346"/>
      <c r="GR13" s="49" t="str">
        <f t="shared" si="59"/>
        <v xml:space="preserve"> </v>
      </c>
      <c r="GS13" s="374"/>
      <c r="GT13" s="369"/>
      <c r="GU13" s="54"/>
      <c r="GV13" s="366"/>
      <c r="GW13" s="366"/>
      <c r="GX13" s="177" t="str">
        <f t="shared" si="60"/>
        <v xml:space="preserve"> </v>
      </c>
      <c r="GY13" s="54" t="str">
        <f t="shared" ca="1" si="61"/>
        <v xml:space="preserve"> </v>
      </c>
      <c r="GZ13" s="366"/>
      <c r="HA13" s="366"/>
      <c r="HB13" s="54" t="str">
        <f t="shared" si="62"/>
        <v xml:space="preserve"> </v>
      </c>
      <c r="HC13" s="367"/>
      <c r="HD13" s="373"/>
      <c r="HE13" s="49"/>
      <c r="HF13" s="346"/>
      <c r="HG13" s="346"/>
      <c r="HH13" s="177" t="str">
        <f t="shared" si="63"/>
        <v xml:space="preserve"> </v>
      </c>
      <c r="HI13" s="54" t="str">
        <f t="shared" ca="1" si="64"/>
        <v xml:space="preserve"> </v>
      </c>
      <c r="HJ13" s="346"/>
      <c r="HK13" s="346"/>
      <c r="HL13" s="49" t="str">
        <f t="shared" si="65"/>
        <v xml:space="preserve"> </v>
      </c>
      <c r="HM13" s="374"/>
      <c r="HN13" s="369"/>
      <c r="HO13" s="54"/>
      <c r="HP13" s="366"/>
      <c r="HQ13" s="366"/>
      <c r="HR13" s="177" t="str">
        <f t="shared" si="66"/>
        <v xml:space="preserve"> </v>
      </c>
      <c r="HS13" s="54" t="str">
        <f t="shared" ca="1" si="67"/>
        <v xml:space="preserve"> </v>
      </c>
      <c r="HT13" s="366"/>
      <c r="HU13" s="366"/>
      <c r="HV13" s="54" t="str">
        <f t="shared" si="68"/>
        <v xml:space="preserve"> </v>
      </c>
      <c r="HW13" s="367"/>
      <c r="HX13" s="373"/>
      <c r="HY13" s="49"/>
      <c r="HZ13" s="346"/>
      <c r="IA13" s="177"/>
      <c r="IB13" s="177" t="str">
        <f t="shared" si="69"/>
        <v xml:space="preserve"> </v>
      </c>
      <c r="IC13" s="54" t="str">
        <f t="shared" ca="1" si="70"/>
        <v xml:space="preserve"> </v>
      </c>
      <c r="ID13" s="346"/>
      <c r="IE13" s="346"/>
      <c r="IF13" s="49" t="str">
        <f t="shared" si="71"/>
        <v xml:space="preserve"> </v>
      </c>
      <c r="IG13" s="374"/>
      <c r="IH13" s="369"/>
      <c r="II13" s="366"/>
      <c r="IJ13" s="366"/>
      <c r="IK13" s="366"/>
      <c r="IL13" s="177" t="str">
        <f t="shared" si="72"/>
        <v xml:space="preserve"> </v>
      </c>
      <c r="IM13" s="54" t="str">
        <f t="shared" ca="1" si="73"/>
        <v xml:space="preserve"> </v>
      </c>
      <c r="IN13" s="366"/>
      <c r="IO13" s="366"/>
      <c r="IP13" s="54" t="str">
        <f t="shared" si="74"/>
        <v xml:space="preserve"> </v>
      </c>
      <c r="IQ13" s="367"/>
      <c r="IR13" s="373"/>
      <c r="IS13" s="346"/>
      <c r="IT13" s="346"/>
      <c r="IU13" s="346"/>
      <c r="IV13" s="177" t="str">
        <f t="shared" si="75"/>
        <v xml:space="preserve"> </v>
      </c>
      <c r="IW13" s="54" t="str">
        <f t="shared" ca="1" si="76"/>
        <v xml:space="preserve"> </v>
      </c>
      <c r="IX13" s="346"/>
      <c r="IY13" s="346"/>
      <c r="IZ13" s="54" t="str">
        <f t="shared" si="77"/>
        <v xml:space="preserve"> </v>
      </c>
      <c r="JA13" s="374"/>
      <c r="JB13" s="369"/>
      <c r="JC13" s="366"/>
      <c r="JD13" s="366"/>
      <c r="JE13" s="366"/>
      <c r="JF13" s="177" t="str">
        <f t="shared" si="78"/>
        <v xml:space="preserve"> </v>
      </c>
      <c r="JG13" s="54" t="str">
        <f t="shared" ca="1" si="79"/>
        <v xml:space="preserve"> </v>
      </c>
      <c r="JH13" s="366"/>
      <c r="JI13" s="366"/>
      <c r="JJ13" s="54" t="str">
        <f t="shared" si="80"/>
        <v xml:space="preserve"> </v>
      </c>
      <c r="JK13" s="367"/>
      <c r="JL13" s="373"/>
      <c r="JM13" s="346"/>
      <c r="JN13" s="346"/>
      <c r="JO13" s="346"/>
      <c r="JP13" s="346" t="str">
        <f t="shared" si="81"/>
        <v xml:space="preserve"> </v>
      </c>
      <c r="JQ13" s="54" t="str">
        <f t="shared" ca="1" si="82"/>
        <v xml:space="preserve"> </v>
      </c>
      <c r="JR13" s="346"/>
      <c r="JS13" s="346"/>
      <c r="JT13" s="54" t="str">
        <f t="shared" si="83"/>
        <v xml:space="preserve"> </v>
      </c>
      <c r="JU13" s="374"/>
      <c r="JV13" s="369"/>
      <c r="JW13" s="366"/>
      <c r="JX13" s="366"/>
      <c r="JY13" s="366"/>
      <c r="JZ13" s="366" t="str">
        <f t="shared" si="84"/>
        <v xml:space="preserve"> </v>
      </c>
      <c r="KA13" s="54" t="str">
        <f t="shared" ca="1" si="85"/>
        <v xml:space="preserve"> </v>
      </c>
      <c r="KB13" s="366"/>
      <c r="KC13" s="366"/>
      <c r="KD13" s="54" t="str">
        <f t="shared" si="86"/>
        <v xml:space="preserve"> </v>
      </c>
      <c r="KE13" s="367"/>
      <c r="KF13" s="373"/>
      <c r="KG13" s="346"/>
      <c r="KH13" s="346"/>
      <c r="KI13" s="346"/>
      <c r="KJ13" s="346" t="str">
        <f t="shared" si="87"/>
        <v xml:space="preserve"> </v>
      </c>
      <c r="KK13" s="54" t="str">
        <f t="shared" ca="1" si="88"/>
        <v xml:space="preserve"> </v>
      </c>
      <c r="KL13" s="346"/>
      <c r="KM13" s="346"/>
      <c r="KN13" s="54" t="str">
        <f t="shared" si="89"/>
        <v xml:space="preserve"> </v>
      </c>
      <c r="KO13" s="374"/>
      <c r="KP13" s="369"/>
      <c r="KQ13" s="366"/>
      <c r="KR13" s="366"/>
      <c r="KS13" s="366"/>
      <c r="KT13" s="366" t="str">
        <f t="shared" si="90"/>
        <v xml:space="preserve"> </v>
      </c>
      <c r="KU13" s="54" t="str">
        <f t="shared" ca="1" si="91"/>
        <v xml:space="preserve"> </v>
      </c>
      <c r="KV13" s="366"/>
      <c r="KW13" s="366"/>
      <c r="KX13" s="54" t="str">
        <f t="shared" si="92"/>
        <v xml:space="preserve"> </v>
      </c>
      <c r="KY13" s="367"/>
      <c r="KZ13" s="373"/>
      <c r="LA13" s="346"/>
      <c r="LB13" s="346"/>
      <c r="LC13" s="346"/>
      <c r="LD13" s="346" t="str">
        <f t="shared" si="93"/>
        <v xml:space="preserve"> </v>
      </c>
      <c r="LE13" s="54" t="str">
        <f t="shared" ca="1" si="94"/>
        <v xml:space="preserve"> </v>
      </c>
      <c r="LF13" s="346"/>
      <c r="LG13" s="346"/>
      <c r="LH13" s="54" t="str">
        <f t="shared" si="95"/>
        <v xml:space="preserve"> </v>
      </c>
      <c r="LI13" s="374"/>
      <c r="LJ13" s="369"/>
      <c r="LK13" s="366"/>
      <c r="LL13" s="366"/>
      <c r="LM13" s="366"/>
      <c r="LN13" s="366" t="str">
        <f t="shared" si="96"/>
        <v xml:space="preserve"> </v>
      </c>
      <c r="LO13" s="54" t="str">
        <f t="shared" ca="1" si="97"/>
        <v xml:space="preserve"> </v>
      </c>
      <c r="LP13" s="366"/>
      <c r="LQ13" s="366"/>
      <c r="LR13" s="54" t="str">
        <f t="shared" si="98"/>
        <v xml:space="preserve"> </v>
      </c>
      <c r="LS13" s="367"/>
      <c r="LT13" s="373"/>
      <c r="LU13" s="346"/>
      <c r="LV13" s="346"/>
      <c r="LW13" s="346"/>
      <c r="LX13" s="346"/>
      <c r="LY13" s="54" t="str">
        <f t="shared" ca="1" si="99"/>
        <v xml:space="preserve"> </v>
      </c>
      <c r="LZ13" s="346"/>
      <c r="MA13" s="346"/>
      <c r="MB13" s="54" t="str">
        <f t="shared" si="100"/>
        <v xml:space="preserve"> </v>
      </c>
      <c r="MC13" s="374"/>
      <c r="MD13" s="369"/>
      <c r="ME13" s="366"/>
      <c r="MF13" s="366"/>
      <c r="MG13" s="366"/>
      <c r="MH13" s="366"/>
      <c r="MI13" s="54" t="str">
        <f t="shared" ca="1" si="101"/>
        <v xml:space="preserve"> </v>
      </c>
      <c r="MJ13" s="366"/>
      <c r="MK13" s="366"/>
      <c r="ML13" s="54" t="str">
        <f t="shared" si="102"/>
        <v xml:space="preserve"> </v>
      </c>
      <c r="MM13" s="367"/>
      <c r="MN13" s="373"/>
      <c r="MO13" s="346"/>
      <c r="MP13" s="346"/>
      <c r="MQ13" s="346"/>
      <c r="MR13" s="346"/>
      <c r="MS13" s="54" t="str">
        <f t="shared" ca="1" si="103"/>
        <v xml:space="preserve"> </v>
      </c>
      <c r="MT13" s="346"/>
      <c r="MU13" s="346"/>
      <c r="MV13" s="54" t="str">
        <f t="shared" si="104"/>
        <v xml:space="preserve"> </v>
      </c>
      <c r="MW13" s="374"/>
      <c r="MX13" s="369"/>
      <c r="MY13" s="366"/>
      <c r="MZ13" s="366"/>
      <c r="NA13" s="366"/>
      <c r="NB13" s="366"/>
      <c r="NC13" s="54" t="str">
        <f t="shared" ca="1" si="105"/>
        <v xml:space="preserve"> </v>
      </c>
      <c r="ND13" s="366"/>
      <c r="NE13" s="366"/>
      <c r="NF13" s="54" t="str">
        <f t="shared" si="106"/>
        <v xml:space="preserve"> </v>
      </c>
      <c r="NG13" s="367"/>
      <c r="NH13" s="373"/>
      <c r="NI13" s="346"/>
      <c r="NJ13" s="346"/>
      <c r="NK13" s="346"/>
      <c r="NL13" s="346"/>
      <c r="NM13" s="54" t="str">
        <f t="shared" ca="1" si="107"/>
        <v xml:space="preserve"> </v>
      </c>
      <c r="NN13" s="346"/>
      <c r="NO13" s="346"/>
      <c r="NP13" s="54" t="str">
        <f t="shared" si="108"/>
        <v xml:space="preserve"> </v>
      </c>
      <c r="NQ13" s="374"/>
      <c r="NR13" s="369"/>
      <c r="NS13" s="366"/>
      <c r="NT13" s="366"/>
      <c r="NU13" s="366"/>
      <c r="NV13" s="366"/>
      <c r="NW13" s="54" t="str">
        <f t="shared" ca="1" si="109"/>
        <v xml:space="preserve"> </v>
      </c>
      <c r="NX13" s="366"/>
      <c r="NY13" s="366"/>
      <c r="NZ13" s="54" t="str">
        <f t="shared" si="110"/>
        <v xml:space="preserve"> </v>
      </c>
      <c r="OA13" s="367"/>
      <c r="OB13" s="373"/>
      <c r="OC13" s="346"/>
      <c r="OD13" s="346"/>
      <c r="OE13" s="346"/>
      <c r="OF13" s="346"/>
      <c r="OG13" s="54" t="str">
        <f t="shared" ca="1" si="111"/>
        <v xml:space="preserve"> </v>
      </c>
      <c r="OH13" s="346"/>
      <c r="OI13" s="346"/>
      <c r="OJ13" s="54" t="str">
        <f t="shared" si="112"/>
        <v xml:space="preserve"> </v>
      </c>
      <c r="OK13" s="374"/>
    </row>
    <row r="14" spans="1:401" s="44" customFormat="1" ht="22.2" customHeight="1" x14ac:dyDescent="0.3">
      <c r="A14" s="355" t="s">
        <v>146</v>
      </c>
      <c r="B14" s="356" t="s">
        <v>838</v>
      </c>
      <c r="C14" s="37" t="s">
        <v>910</v>
      </c>
      <c r="D14" s="357" t="s">
        <v>911</v>
      </c>
      <c r="E14" s="91">
        <v>45540</v>
      </c>
      <c r="F14" s="91">
        <f t="shared" si="0"/>
        <v>45905</v>
      </c>
      <c r="G14" s="37" t="str">
        <f t="shared" ca="1" si="113"/>
        <v>VIGENTE</v>
      </c>
      <c r="H14" s="37"/>
      <c r="I14" s="37"/>
      <c r="J14" s="37" t="str">
        <f t="shared" si="2"/>
        <v>C.I.</v>
      </c>
      <c r="K14" s="170"/>
      <c r="L14" s="125" t="s">
        <v>912</v>
      </c>
      <c r="M14" s="12">
        <v>506770</v>
      </c>
      <c r="N14" s="12" t="s">
        <v>913</v>
      </c>
      <c r="O14" s="14">
        <v>45540</v>
      </c>
      <c r="P14" s="14">
        <f t="shared" si="3"/>
        <v>45905</v>
      </c>
      <c r="Q14" s="12" t="str">
        <f t="shared" ca="1" si="4"/>
        <v>VIGENTE</v>
      </c>
      <c r="R14" s="37"/>
      <c r="S14" s="37"/>
      <c r="T14" s="37" t="str">
        <f t="shared" si="5"/>
        <v>G.M.</v>
      </c>
      <c r="U14" s="170"/>
      <c r="V14" s="125" t="s">
        <v>875</v>
      </c>
      <c r="W14" s="12">
        <v>17437</v>
      </c>
      <c r="X14" s="12" t="s">
        <v>914</v>
      </c>
      <c r="Y14" s="14">
        <v>45540</v>
      </c>
      <c r="Z14" s="14">
        <f t="shared" si="6"/>
        <v>45905</v>
      </c>
      <c r="AA14" s="12" t="str">
        <f t="shared" ca="1" si="7"/>
        <v>VIGENTE</v>
      </c>
      <c r="AB14" s="357"/>
      <c r="AC14" s="357"/>
      <c r="AD14" s="37" t="str">
        <f t="shared" si="8"/>
        <v>G.M.</v>
      </c>
      <c r="AE14" s="359"/>
      <c r="AF14" s="356" t="s">
        <v>873</v>
      </c>
      <c r="AG14" s="12">
        <v>30517</v>
      </c>
      <c r="AH14" s="125" t="s">
        <v>915</v>
      </c>
      <c r="AI14" s="14">
        <v>45540</v>
      </c>
      <c r="AJ14" s="14">
        <f t="shared" si="9"/>
        <v>45905</v>
      </c>
      <c r="AK14" s="12" t="str">
        <f t="shared" ca="1" si="10"/>
        <v>VIGENTE</v>
      </c>
      <c r="AL14" s="348"/>
      <c r="AM14" s="348"/>
      <c r="AN14" s="12" t="str">
        <f t="shared" si="11"/>
        <v>G.M.</v>
      </c>
      <c r="AO14" s="361"/>
      <c r="AP14" s="184" t="s">
        <v>916</v>
      </c>
      <c r="AQ14" s="12">
        <v>3523</v>
      </c>
      <c r="AR14" s="125" t="s">
        <v>876</v>
      </c>
      <c r="AS14" s="14">
        <v>45573</v>
      </c>
      <c r="AT14" s="14">
        <f t="shared" si="12"/>
        <v>45938</v>
      </c>
      <c r="AU14" s="12" t="str">
        <f t="shared" ca="1" si="13"/>
        <v>VIGENTE</v>
      </c>
      <c r="AV14" s="357"/>
      <c r="AW14" s="357"/>
      <c r="AX14" s="37">
        <f t="shared" si="14"/>
        <v>0</v>
      </c>
      <c r="AY14" s="359"/>
      <c r="AZ14" s="184" t="s">
        <v>916</v>
      </c>
      <c r="BA14" s="12">
        <v>3523</v>
      </c>
      <c r="BB14" s="348" t="s">
        <v>917</v>
      </c>
      <c r="BC14" s="362">
        <v>45579</v>
      </c>
      <c r="BD14" s="362">
        <f t="shared" si="15"/>
        <v>45945</v>
      </c>
      <c r="BE14" s="12" t="str">
        <f t="shared" ca="1" si="16"/>
        <v>VIGENTE</v>
      </c>
      <c r="BF14" s="348"/>
      <c r="BG14" s="348"/>
      <c r="BH14" s="12">
        <f t="shared" si="17"/>
        <v>0</v>
      </c>
      <c r="BI14" s="361"/>
      <c r="BJ14" s="356"/>
      <c r="BK14" s="357"/>
      <c r="BL14" s="357"/>
      <c r="BM14" s="358"/>
      <c r="BN14" s="358" t="str">
        <f t="shared" si="18"/>
        <v xml:space="preserve"> </v>
      </c>
      <c r="BO14" s="12" t="str">
        <f t="shared" ca="1" si="19"/>
        <v xml:space="preserve"> </v>
      </c>
      <c r="BP14" s="357"/>
      <c r="BQ14" s="357"/>
      <c r="BR14" s="37" t="str">
        <f t="shared" si="20"/>
        <v xml:space="preserve"> </v>
      </c>
      <c r="BS14" s="359"/>
      <c r="BT14" s="360"/>
      <c r="BU14" s="348"/>
      <c r="BV14" s="348"/>
      <c r="BW14" s="362"/>
      <c r="BX14" s="362" t="str">
        <f t="shared" si="21"/>
        <v xml:space="preserve"> </v>
      </c>
      <c r="BY14" s="12" t="str">
        <f t="shared" ca="1" si="22"/>
        <v xml:space="preserve"> </v>
      </c>
      <c r="BZ14" s="348"/>
      <c r="CA14" s="348"/>
      <c r="CB14" s="12" t="str">
        <f t="shared" si="23"/>
        <v xml:space="preserve"> </v>
      </c>
      <c r="CC14" s="361"/>
      <c r="CD14" s="356"/>
      <c r="CE14" s="37"/>
      <c r="CF14" s="357"/>
      <c r="CG14" s="357"/>
      <c r="CH14" s="357" t="str">
        <f t="shared" si="24"/>
        <v xml:space="preserve"> </v>
      </c>
      <c r="CI14" s="12" t="str">
        <f t="shared" ca="1" si="25"/>
        <v xml:space="preserve"> </v>
      </c>
      <c r="CJ14" s="357"/>
      <c r="CK14" s="357"/>
      <c r="CL14" s="37" t="str">
        <f t="shared" si="26"/>
        <v xml:space="preserve"> </v>
      </c>
      <c r="CM14" s="359"/>
      <c r="CN14" s="360"/>
      <c r="CO14" s="12"/>
      <c r="CP14" s="348"/>
      <c r="CQ14" s="348"/>
      <c r="CR14" s="348" t="str">
        <f t="shared" si="27"/>
        <v xml:space="preserve"> </v>
      </c>
      <c r="CS14" s="12" t="str">
        <f t="shared" ca="1" si="28"/>
        <v xml:space="preserve"> </v>
      </c>
      <c r="CT14" s="348"/>
      <c r="CU14" s="348"/>
      <c r="CV14" s="12" t="str">
        <f t="shared" si="29"/>
        <v xml:space="preserve"> </v>
      </c>
      <c r="CW14" s="361"/>
      <c r="CX14" s="356"/>
      <c r="CY14" s="37"/>
      <c r="CZ14" s="357"/>
      <c r="DA14" s="357"/>
      <c r="DB14" s="357" t="str">
        <f t="shared" si="30"/>
        <v xml:space="preserve"> </v>
      </c>
      <c r="DC14" s="12" t="str">
        <f t="shared" ca="1" si="31"/>
        <v xml:space="preserve"> </v>
      </c>
      <c r="DD14" s="357"/>
      <c r="DE14" s="357"/>
      <c r="DF14" s="37" t="str">
        <f t="shared" si="32"/>
        <v xml:space="preserve"> </v>
      </c>
      <c r="DG14" s="359"/>
      <c r="DH14" s="360"/>
      <c r="DI14" s="12"/>
      <c r="DJ14" s="348"/>
      <c r="DK14" s="348"/>
      <c r="DL14" s="348" t="str">
        <f t="shared" si="33"/>
        <v xml:space="preserve"> </v>
      </c>
      <c r="DM14" s="12" t="str">
        <f t="shared" ca="1" si="34"/>
        <v xml:space="preserve"> </v>
      </c>
      <c r="DN14" s="348"/>
      <c r="DO14" s="348"/>
      <c r="DP14" s="12" t="str">
        <f t="shared" si="35"/>
        <v xml:space="preserve"> </v>
      </c>
      <c r="DQ14" s="361"/>
      <c r="DR14" s="356"/>
      <c r="DS14" s="37"/>
      <c r="DT14" s="357"/>
      <c r="DU14" s="357"/>
      <c r="DV14" s="14" t="str">
        <f t="shared" si="36"/>
        <v xml:space="preserve"> </v>
      </c>
      <c r="DW14" s="12" t="str">
        <f t="shared" ca="1" si="37"/>
        <v xml:space="preserve"> </v>
      </c>
      <c r="DX14" s="357"/>
      <c r="DY14" s="357"/>
      <c r="DZ14" s="37" t="str">
        <f t="shared" si="38"/>
        <v xml:space="preserve"> </v>
      </c>
      <c r="EA14" s="359"/>
      <c r="EB14" s="360"/>
      <c r="EC14" s="12"/>
      <c r="ED14" s="348"/>
      <c r="EE14" s="348"/>
      <c r="EF14" s="91" t="str">
        <f t="shared" si="39"/>
        <v xml:space="preserve"> </v>
      </c>
      <c r="EG14" s="12" t="str">
        <f t="shared" ca="1" si="40"/>
        <v xml:space="preserve"> </v>
      </c>
      <c r="EH14" s="348"/>
      <c r="EI14" s="348"/>
      <c r="EJ14" s="12" t="str">
        <f t="shared" si="41"/>
        <v xml:space="preserve"> </v>
      </c>
      <c r="EK14" s="361"/>
      <c r="EL14" s="356"/>
      <c r="EM14" s="37"/>
      <c r="EN14" s="357"/>
      <c r="EO14" s="357"/>
      <c r="EP14" s="91" t="str">
        <f t="shared" si="42"/>
        <v xml:space="preserve"> </v>
      </c>
      <c r="EQ14" s="12" t="str">
        <f t="shared" ca="1" si="43"/>
        <v xml:space="preserve"> </v>
      </c>
      <c r="ER14" s="357"/>
      <c r="ES14" s="357"/>
      <c r="ET14" s="37" t="str">
        <f t="shared" si="44"/>
        <v xml:space="preserve"> </v>
      </c>
      <c r="EU14" s="359"/>
      <c r="EV14" s="360"/>
      <c r="EW14" s="12"/>
      <c r="EX14" s="348"/>
      <c r="EY14" s="348"/>
      <c r="EZ14" s="91" t="str">
        <f t="shared" si="45"/>
        <v xml:space="preserve"> </v>
      </c>
      <c r="FA14" s="12" t="str">
        <f t="shared" ca="1" si="46"/>
        <v xml:space="preserve"> </v>
      </c>
      <c r="FB14" s="348"/>
      <c r="FC14" s="348"/>
      <c r="FD14" s="12" t="str">
        <f t="shared" si="47"/>
        <v xml:space="preserve"> </v>
      </c>
      <c r="FE14" s="361"/>
      <c r="FF14" s="356"/>
      <c r="FG14" s="37"/>
      <c r="FH14" s="357"/>
      <c r="FI14" s="357"/>
      <c r="FJ14" s="91" t="str">
        <f t="shared" si="48"/>
        <v xml:space="preserve"> </v>
      </c>
      <c r="FK14" s="12" t="str">
        <f t="shared" ca="1" si="49"/>
        <v xml:space="preserve"> </v>
      </c>
      <c r="FL14" s="357"/>
      <c r="FM14" s="357"/>
      <c r="FN14" s="37" t="str">
        <f t="shared" si="50"/>
        <v xml:space="preserve"> </v>
      </c>
      <c r="FO14" s="359"/>
      <c r="FP14" s="360"/>
      <c r="FQ14" s="12"/>
      <c r="FR14" s="348"/>
      <c r="FS14" s="348"/>
      <c r="FT14" s="91" t="str">
        <f t="shared" si="51"/>
        <v xml:space="preserve"> </v>
      </c>
      <c r="FU14" s="12" t="str">
        <f t="shared" ca="1" si="52"/>
        <v xml:space="preserve"> </v>
      </c>
      <c r="FV14" s="348"/>
      <c r="FW14" s="348"/>
      <c r="FX14" s="12" t="str">
        <f t="shared" si="53"/>
        <v xml:space="preserve"> </v>
      </c>
      <c r="FY14" s="361"/>
      <c r="FZ14" s="356"/>
      <c r="GA14" s="37"/>
      <c r="GB14" s="357"/>
      <c r="GC14" s="357"/>
      <c r="GD14" s="91" t="str">
        <f t="shared" si="54"/>
        <v xml:space="preserve"> </v>
      </c>
      <c r="GE14" s="12" t="str">
        <f t="shared" ca="1" si="55"/>
        <v xml:space="preserve"> </v>
      </c>
      <c r="GF14" s="357"/>
      <c r="GG14" s="357"/>
      <c r="GH14" s="37" t="str">
        <f t="shared" si="56"/>
        <v xml:space="preserve"> </v>
      </c>
      <c r="GI14" s="359"/>
      <c r="GJ14" s="363"/>
      <c r="GK14" s="12"/>
      <c r="GL14" s="348"/>
      <c r="GM14" s="348"/>
      <c r="GN14" s="91" t="str">
        <f t="shared" si="57"/>
        <v xml:space="preserve"> </v>
      </c>
      <c r="GO14" s="12" t="str">
        <f t="shared" ca="1" si="58"/>
        <v xml:space="preserve"> </v>
      </c>
      <c r="GP14" s="348"/>
      <c r="GQ14" s="348"/>
      <c r="GR14" s="12" t="str">
        <f t="shared" si="59"/>
        <v xml:space="preserve"> </v>
      </c>
      <c r="GS14" s="364"/>
      <c r="GT14" s="356"/>
      <c r="GU14" s="37"/>
      <c r="GV14" s="357"/>
      <c r="GW14" s="357"/>
      <c r="GX14" s="91" t="str">
        <f t="shared" si="60"/>
        <v xml:space="preserve"> </v>
      </c>
      <c r="GY14" s="12" t="str">
        <f t="shared" ca="1" si="61"/>
        <v xml:space="preserve"> </v>
      </c>
      <c r="GZ14" s="357"/>
      <c r="HA14" s="357"/>
      <c r="HB14" s="37" t="str">
        <f t="shared" si="62"/>
        <v xml:space="preserve"> </v>
      </c>
      <c r="HC14" s="359"/>
      <c r="HD14" s="363"/>
      <c r="HE14" s="12"/>
      <c r="HF14" s="348"/>
      <c r="HG14" s="348"/>
      <c r="HH14" s="91" t="str">
        <f t="shared" si="63"/>
        <v xml:space="preserve"> </v>
      </c>
      <c r="HI14" s="12" t="str">
        <f t="shared" ca="1" si="64"/>
        <v xml:space="preserve"> </v>
      </c>
      <c r="HJ14" s="348"/>
      <c r="HK14" s="348"/>
      <c r="HL14" s="12" t="str">
        <f t="shared" si="65"/>
        <v xml:space="preserve"> </v>
      </c>
      <c r="HM14" s="364"/>
      <c r="HN14" s="356"/>
      <c r="HO14" s="37"/>
      <c r="HP14" s="357"/>
      <c r="HQ14" s="357"/>
      <c r="HR14" s="91" t="str">
        <f t="shared" si="66"/>
        <v xml:space="preserve"> </v>
      </c>
      <c r="HS14" s="12" t="str">
        <f t="shared" ca="1" si="67"/>
        <v xml:space="preserve"> </v>
      </c>
      <c r="HT14" s="357"/>
      <c r="HU14" s="357"/>
      <c r="HV14" s="37" t="str">
        <f t="shared" si="68"/>
        <v xml:space="preserve"> </v>
      </c>
      <c r="HW14" s="359"/>
      <c r="HX14" s="363"/>
      <c r="HY14" s="12"/>
      <c r="HZ14" s="348"/>
      <c r="IA14" s="348"/>
      <c r="IB14" s="91" t="str">
        <f t="shared" si="69"/>
        <v xml:space="preserve"> </v>
      </c>
      <c r="IC14" s="12" t="str">
        <f t="shared" ca="1" si="70"/>
        <v xml:space="preserve"> </v>
      </c>
      <c r="ID14" s="348"/>
      <c r="IE14" s="348"/>
      <c r="IF14" s="12" t="str">
        <f t="shared" si="71"/>
        <v xml:space="preserve"> </v>
      </c>
      <c r="IG14" s="364"/>
      <c r="IH14" s="356"/>
      <c r="II14" s="357"/>
      <c r="IJ14" s="357"/>
      <c r="IK14" s="357"/>
      <c r="IL14" s="91" t="str">
        <f t="shared" si="72"/>
        <v xml:space="preserve"> </v>
      </c>
      <c r="IM14" s="12" t="str">
        <f t="shared" ca="1" si="73"/>
        <v xml:space="preserve"> </v>
      </c>
      <c r="IN14" s="357"/>
      <c r="IO14" s="357"/>
      <c r="IP14" s="37" t="str">
        <f t="shared" si="74"/>
        <v xml:space="preserve"> </v>
      </c>
      <c r="IQ14" s="359"/>
      <c r="IR14" s="363"/>
      <c r="IS14" s="348"/>
      <c r="IT14" s="348"/>
      <c r="IU14" s="348"/>
      <c r="IV14" s="91" t="str">
        <f t="shared" si="75"/>
        <v xml:space="preserve"> </v>
      </c>
      <c r="IW14" s="12" t="str">
        <f t="shared" ca="1" si="76"/>
        <v xml:space="preserve"> </v>
      </c>
      <c r="IX14" s="348"/>
      <c r="IY14" s="348"/>
      <c r="IZ14" s="37" t="str">
        <f t="shared" si="77"/>
        <v xml:space="preserve"> </v>
      </c>
      <c r="JA14" s="364"/>
      <c r="JB14" s="356"/>
      <c r="JC14" s="357"/>
      <c r="JD14" s="357"/>
      <c r="JE14" s="357"/>
      <c r="JF14" s="91" t="str">
        <f t="shared" si="78"/>
        <v xml:space="preserve"> </v>
      </c>
      <c r="JG14" s="12" t="str">
        <f t="shared" ca="1" si="79"/>
        <v xml:space="preserve"> </v>
      </c>
      <c r="JH14" s="357"/>
      <c r="JI14" s="357"/>
      <c r="JJ14" s="37" t="str">
        <f t="shared" si="80"/>
        <v xml:space="preserve"> </v>
      </c>
      <c r="JK14" s="359"/>
      <c r="JL14" s="363"/>
      <c r="JM14" s="348"/>
      <c r="JN14" s="348"/>
      <c r="JO14" s="348"/>
      <c r="JP14" s="348" t="str">
        <f t="shared" si="81"/>
        <v xml:space="preserve"> </v>
      </c>
      <c r="JQ14" s="12" t="str">
        <f t="shared" ca="1" si="82"/>
        <v xml:space="preserve"> </v>
      </c>
      <c r="JR14" s="348"/>
      <c r="JS14" s="348"/>
      <c r="JT14" s="37" t="str">
        <f t="shared" si="83"/>
        <v xml:space="preserve"> </v>
      </c>
      <c r="JU14" s="364"/>
      <c r="JV14" s="356"/>
      <c r="JW14" s="357"/>
      <c r="JX14" s="357"/>
      <c r="JY14" s="357"/>
      <c r="JZ14" s="357" t="str">
        <f t="shared" si="84"/>
        <v xml:space="preserve"> </v>
      </c>
      <c r="KA14" s="12" t="str">
        <f t="shared" ca="1" si="85"/>
        <v xml:space="preserve"> </v>
      </c>
      <c r="KB14" s="357"/>
      <c r="KC14" s="357"/>
      <c r="KD14" s="37" t="str">
        <f t="shared" si="86"/>
        <v xml:space="preserve"> </v>
      </c>
      <c r="KE14" s="359"/>
      <c r="KF14" s="363"/>
      <c r="KG14" s="348"/>
      <c r="KH14" s="348"/>
      <c r="KI14" s="348"/>
      <c r="KJ14" s="348" t="str">
        <f t="shared" si="87"/>
        <v xml:space="preserve"> </v>
      </c>
      <c r="KK14" s="12" t="str">
        <f t="shared" ca="1" si="88"/>
        <v xml:space="preserve"> </v>
      </c>
      <c r="KL14" s="348"/>
      <c r="KM14" s="348"/>
      <c r="KN14" s="37" t="str">
        <f t="shared" si="89"/>
        <v xml:space="preserve"> </v>
      </c>
      <c r="KO14" s="364"/>
      <c r="KP14" s="356"/>
      <c r="KQ14" s="357"/>
      <c r="KR14" s="357"/>
      <c r="KS14" s="357"/>
      <c r="KT14" s="357" t="str">
        <f t="shared" si="90"/>
        <v xml:space="preserve"> </v>
      </c>
      <c r="KU14" s="12" t="str">
        <f t="shared" ca="1" si="91"/>
        <v xml:space="preserve"> </v>
      </c>
      <c r="KV14" s="357"/>
      <c r="KW14" s="357"/>
      <c r="KX14" s="37" t="str">
        <f t="shared" si="92"/>
        <v xml:space="preserve"> </v>
      </c>
      <c r="KY14" s="359"/>
      <c r="KZ14" s="363"/>
      <c r="LA14" s="348"/>
      <c r="LB14" s="348"/>
      <c r="LC14" s="348"/>
      <c r="LD14" s="348" t="str">
        <f t="shared" si="93"/>
        <v xml:space="preserve"> </v>
      </c>
      <c r="LE14" s="12" t="str">
        <f t="shared" ca="1" si="94"/>
        <v xml:space="preserve"> </v>
      </c>
      <c r="LF14" s="348"/>
      <c r="LG14" s="348"/>
      <c r="LH14" s="37" t="str">
        <f t="shared" si="95"/>
        <v xml:space="preserve"> </v>
      </c>
      <c r="LI14" s="364"/>
      <c r="LJ14" s="356"/>
      <c r="LK14" s="357"/>
      <c r="LL14" s="357"/>
      <c r="LM14" s="357"/>
      <c r="LN14" s="357" t="str">
        <f t="shared" si="96"/>
        <v xml:space="preserve"> </v>
      </c>
      <c r="LO14" s="12" t="str">
        <f t="shared" ca="1" si="97"/>
        <v xml:space="preserve"> </v>
      </c>
      <c r="LP14" s="357"/>
      <c r="LQ14" s="357"/>
      <c r="LR14" s="37" t="str">
        <f t="shared" si="98"/>
        <v xml:space="preserve"> </v>
      </c>
      <c r="LS14" s="359"/>
      <c r="LT14" s="363"/>
      <c r="LU14" s="348"/>
      <c r="LV14" s="348"/>
      <c r="LW14" s="348"/>
      <c r="LX14" s="348"/>
      <c r="LY14" s="12" t="str">
        <f t="shared" ca="1" si="99"/>
        <v xml:space="preserve"> </v>
      </c>
      <c r="LZ14" s="348"/>
      <c r="MA14" s="348"/>
      <c r="MB14" s="37" t="str">
        <f t="shared" si="100"/>
        <v xml:space="preserve"> </v>
      </c>
      <c r="MC14" s="364"/>
      <c r="MD14" s="356"/>
      <c r="ME14" s="357"/>
      <c r="MF14" s="357"/>
      <c r="MG14" s="357"/>
      <c r="MH14" s="357"/>
      <c r="MI14" s="12" t="str">
        <f t="shared" ca="1" si="101"/>
        <v xml:space="preserve"> </v>
      </c>
      <c r="MJ14" s="357"/>
      <c r="MK14" s="357"/>
      <c r="ML14" s="37" t="str">
        <f t="shared" si="102"/>
        <v xml:space="preserve"> </v>
      </c>
      <c r="MM14" s="359"/>
      <c r="MN14" s="363"/>
      <c r="MO14" s="348"/>
      <c r="MP14" s="348"/>
      <c r="MQ14" s="348"/>
      <c r="MR14" s="348"/>
      <c r="MS14" s="12" t="str">
        <f t="shared" ca="1" si="103"/>
        <v xml:space="preserve"> </v>
      </c>
      <c r="MT14" s="348"/>
      <c r="MU14" s="348"/>
      <c r="MV14" s="37" t="str">
        <f t="shared" si="104"/>
        <v xml:space="preserve"> </v>
      </c>
      <c r="MW14" s="364"/>
      <c r="MX14" s="356"/>
      <c r="MY14" s="357"/>
      <c r="MZ14" s="357"/>
      <c r="NA14" s="357"/>
      <c r="NB14" s="357"/>
      <c r="NC14" s="12" t="str">
        <f t="shared" ca="1" si="105"/>
        <v xml:space="preserve"> </v>
      </c>
      <c r="ND14" s="357"/>
      <c r="NE14" s="357"/>
      <c r="NF14" s="37" t="str">
        <f t="shared" si="106"/>
        <v xml:space="preserve"> </v>
      </c>
      <c r="NG14" s="359"/>
      <c r="NH14" s="363"/>
      <c r="NI14" s="348"/>
      <c r="NJ14" s="348"/>
      <c r="NK14" s="348"/>
      <c r="NL14" s="348"/>
      <c r="NM14" s="12" t="str">
        <f t="shared" ca="1" si="107"/>
        <v xml:space="preserve"> </v>
      </c>
      <c r="NN14" s="348"/>
      <c r="NO14" s="348"/>
      <c r="NP14" s="37" t="str">
        <f t="shared" si="108"/>
        <v xml:space="preserve"> </v>
      </c>
      <c r="NQ14" s="364"/>
      <c r="NR14" s="356"/>
      <c r="NS14" s="357"/>
      <c r="NT14" s="357"/>
      <c r="NU14" s="357"/>
      <c r="NV14" s="357"/>
      <c r="NW14" s="12" t="str">
        <f t="shared" ca="1" si="109"/>
        <v xml:space="preserve"> </v>
      </c>
      <c r="NX14" s="357"/>
      <c r="NY14" s="357"/>
      <c r="NZ14" s="37" t="str">
        <f t="shared" si="110"/>
        <v xml:space="preserve"> </v>
      </c>
      <c r="OA14" s="359"/>
      <c r="OB14" s="363"/>
      <c r="OC14" s="348"/>
      <c r="OD14" s="348"/>
      <c r="OE14" s="348"/>
      <c r="OF14" s="348"/>
      <c r="OG14" s="12" t="str">
        <f t="shared" ca="1" si="111"/>
        <v xml:space="preserve"> </v>
      </c>
      <c r="OH14" s="348"/>
      <c r="OI14" s="348"/>
      <c r="OJ14" s="37" t="str">
        <f t="shared" si="112"/>
        <v xml:space="preserve"> </v>
      </c>
      <c r="OK14" s="364"/>
    </row>
    <row r="15" spans="1:401" s="44" customFormat="1" ht="22.2" customHeight="1" x14ac:dyDescent="0.3">
      <c r="A15" s="365" t="s">
        <v>150</v>
      </c>
      <c r="B15" s="369" t="s">
        <v>841</v>
      </c>
      <c r="C15" s="54">
        <v>53906</v>
      </c>
      <c r="D15" s="366" t="s">
        <v>917</v>
      </c>
      <c r="E15" s="177">
        <v>45579</v>
      </c>
      <c r="F15" s="177">
        <f t="shared" si="0"/>
        <v>45944</v>
      </c>
      <c r="G15" s="54" t="str">
        <f t="shared" ca="1" si="113"/>
        <v>VIGENTE</v>
      </c>
      <c r="H15" s="183" t="s">
        <v>392</v>
      </c>
      <c r="I15" s="54"/>
      <c r="J15" s="54" t="str">
        <f t="shared" si="2"/>
        <v>C.C.</v>
      </c>
      <c r="K15" s="171"/>
      <c r="L15" s="369" t="s">
        <v>838</v>
      </c>
      <c r="M15" s="54" t="s">
        <v>918</v>
      </c>
      <c r="N15" s="366" t="s">
        <v>919</v>
      </c>
      <c r="O15" s="177">
        <v>45735</v>
      </c>
      <c r="P15" s="177">
        <f t="shared" si="3"/>
        <v>46100</v>
      </c>
      <c r="Q15" s="54" t="str">
        <f t="shared" ca="1" si="4"/>
        <v>VIGENTE</v>
      </c>
      <c r="R15" s="54"/>
      <c r="S15" s="54"/>
      <c r="T15" s="54" t="str">
        <f t="shared" si="5"/>
        <v>C.I.</v>
      </c>
      <c r="U15" s="171"/>
      <c r="V15" s="369" t="s">
        <v>838</v>
      </c>
      <c r="W15" s="54" t="s">
        <v>920</v>
      </c>
      <c r="X15" s="366" t="s">
        <v>921</v>
      </c>
      <c r="Y15" s="177">
        <v>45736</v>
      </c>
      <c r="Z15" s="177">
        <f t="shared" si="6"/>
        <v>46101</v>
      </c>
      <c r="AA15" s="54" t="str">
        <f t="shared" ca="1" si="7"/>
        <v>VIGENTE</v>
      </c>
      <c r="AB15" s="366"/>
      <c r="AC15" s="366"/>
      <c r="AD15" s="54" t="str">
        <f t="shared" si="8"/>
        <v>C.I.</v>
      </c>
      <c r="AE15" s="367"/>
      <c r="AF15" s="371"/>
      <c r="AG15" s="346"/>
      <c r="AH15" s="346"/>
      <c r="AI15" s="65"/>
      <c r="AJ15" s="65" t="str">
        <f t="shared" si="9"/>
        <v xml:space="preserve"> </v>
      </c>
      <c r="AK15" s="54" t="str">
        <f t="shared" ca="1" si="10"/>
        <v xml:space="preserve"> </v>
      </c>
      <c r="AL15" s="346"/>
      <c r="AM15" s="346"/>
      <c r="AN15" s="49" t="str">
        <f t="shared" si="11"/>
        <v xml:space="preserve"> </v>
      </c>
      <c r="AO15" s="368"/>
      <c r="AP15" s="369"/>
      <c r="AQ15" s="366"/>
      <c r="AR15" s="366"/>
      <c r="AS15" s="370"/>
      <c r="AT15" s="370" t="str">
        <f t="shared" si="12"/>
        <v xml:space="preserve"> </v>
      </c>
      <c r="AU15" s="54" t="str">
        <f t="shared" ca="1" si="13"/>
        <v xml:space="preserve"> </v>
      </c>
      <c r="AV15" s="366"/>
      <c r="AW15" s="366"/>
      <c r="AX15" s="54" t="str">
        <f t="shared" si="14"/>
        <v xml:space="preserve"> </v>
      </c>
      <c r="AY15" s="367"/>
      <c r="AZ15" s="371"/>
      <c r="BA15" s="346"/>
      <c r="BB15" s="346"/>
      <c r="BC15" s="372"/>
      <c r="BD15" s="372" t="str">
        <f t="shared" si="15"/>
        <v xml:space="preserve"> </v>
      </c>
      <c r="BE15" s="54" t="str">
        <f t="shared" ca="1" si="16"/>
        <v xml:space="preserve"> </v>
      </c>
      <c r="BF15" s="346"/>
      <c r="BG15" s="346"/>
      <c r="BH15" s="49" t="str">
        <f t="shared" si="17"/>
        <v xml:space="preserve"> </v>
      </c>
      <c r="BI15" s="368"/>
      <c r="BJ15" s="369"/>
      <c r="BK15" s="366"/>
      <c r="BL15" s="366"/>
      <c r="BM15" s="370"/>
      <c r="BN15" s="370" t="str">
        <f t="shared" si="18"/>
        <v xml:space="preserve"> </v>
      </c>
      <c r="BO15" s="54" t="str">
        <f t="shared" ca="1" si="19"/>
        <v xml:space="preserve"> </v>
      </c>
      <c r="BP15" s="366"/>
      <c r="BQ15" s="366"/>
      <c r="BR15" s="54" t="str">
        <f t="shared" si="20"/>
        <v xml:space="preserve"> </v>
      </c>
      <c r="BS15" s="367"/>
      <c r="BT15" s="371"/>
      <c r="BU15" s="346"/>
      <c r="BV15" s="346"/>
      <c r="BW15" s="372"/>
      <c r="BX15" s="372" t="str">
        <f t="shared" si="21"/>
        <v xml:space="preserve"> </v>
      </c>
      <c r="BY15" s="54" t="str">
        <f t="shared" ca="1" si="22"/>
        <v xml:space="preserve"> </v>
      </c>
      <c r="BZ15" s="346"/>
      <c r="CA15" s="346"/>
      <c r="CB15" s="49" t="str">
        <f t="shared" si="23"/>
        <v xml:space="preserve"> </v>
      </c>
      <c r="CC15" s="368"/>
      <c r="CD15" s="369"/>
      <c r="CE15" s="54"/>
      <c r="CF15" s="366"/>
      <c r="CG15" s="366"/>
      <c r="CH15" s="366" t="str">
        <f t="shared" si="24"/>
        <v xml:space="preserve"> </v>
      </c>
      <c r="CI15" s="54" t="str">
        <f t="shared" ca="1" si="25"/>
        <v xml:space="preserve"> </v>
      </c>
      <c r="CJ15" s="366"/>
      <c r="CK15" s="366"/>
      <c r="CL15" s="54" t="str">
        <f t="shared" si="26"/>
        <v xml:space="preserve"> </v>
      </c>
      <c r="CM15" s="367"/>
      <c r="CN15" s="371"/>
      <c r="CO15" s="49"/>
      <c r="CP15" s="346"/>
      <c r="CQ15" s="346"/>
      <c r="CR15" s="346" t="str">
        <f t="shared" si="27"/>
        <v xml:space="preserve"> </v>
      </c>
      <c r="CS15" s="54" t="str">
        <f t="shared" ca="1" si="28"/>
        <v xml:space="preserve"> </v>
      </c>
      <c r="CT15" s="346"/>
      <c r="CU15" s="346"/>
      <c r="CV15" s="49" t="str">
        <f t="shared" si="29"/>
        <v xml:space="preserve"> </v>
      </c>
      <c r="CW15" s="368"/>
      <c r="CX15" s="369"/>
      <c r="CY15" s="54"/>
      <c r="CZ15" s="366"/>
      <c r="DA15" s="366"/>
      <c r="DB15" s="366" t="str">
        <f t="shared" si="30"/>
        <v xml:space="preserve"> </v>
      </c>
      <c r="DC15" s="54" t="str">
        <f t="shared" ca="1" si="31"/>
        <v xml:space="preserve"> </v>
      </c>
      <c r="DD15" s="366"/>
      <c r="DE15" s="366"/>
      <c r="DF15" s="54" t="str">
        <f t="shared" si="32"/>
        <v xml:space="preserve"> </v>
      </c>
      <c r="DG15" s="367"/>
      <c r="DH15" s="371"/>
      <c r="DI15" s="49"/>
      <c r="DJ15" s="346"/>
      <c r="DK15" s="346"/>
      <c r="DL15" s="346" t="str">
        <f t="shared" si="33"/>
        <v xml:space="preserve"> </v>
      </c>
      <c r="DM15" s="54" t="str">
        <f t="shared" ca="1" si="34"/>
        <v xml:space="preserve"> </v>
      </c>
      <c r="DN15" s="346"/>
      <c r="DO15" s="346"/>
      <c r="DP15" s="49" t="str">
        <f t="shared" si="35"/>
        <v xml:space="preserve"> </v>
      </c>
      <c r="DQ15" s="368"/>
      <c r="DR15" s="369"/>
      <c r="DS15" s="54"/>
      <c r="DT15" s="366"/>
      <c r="DU15" s="366"/>
      <c r="DV15" s="177" t="str">
        <f t="shared" si="36"/>
        <v xml:space="preserve"> </v>
      </c>
      <c r="DW15" s="54" t="str">
        <f t="shared" ca="1" si="37"/>
        <v xml:space="preserve"> </v>
      </c>
      <c r="DX15" s="366"/>
      <c r="DY15" s="366"/>
      <c r="DZ15" s="54" t="str">
        <f t="shared" si="38"/>
        <v xml:space="preserve"> </v>
      </c>
      <c r="EA15" s="367"/>
      <c r="EB15" s="371"/>
      <c r="EC15" s="49"/>
      <c r="ED15" s="346"/>
      <c r="EE15" s="346"/>
      <c r="EF15" s="177" t="str">
        <f t="shared" si="39"/>
        <v xml:space="preserve"> </v>
      </c>
      <c r="EG15" s="54" t="str">
        <f t="shared" ca="1" si="40"/>
        <v xml:space="preserve"> </v>
      </c>
      <c r="EH15" s="346"/>
      <c r="EI15" s="346"/>
      <c r="EJ15" s="49" t="str">
        <f t="shared" si="41"/>
        <v xml:space="preserve"> </v>
      </c>
      <c r="EK15" s="368"/>
      <c r="EL15" s="369"/>
      <c r="EM15" s="54"/>
      <c r="EN15" s="366"/>
      <c r="EO15" s="366"/>
      <c r="EP15" s="177" t="str">
        <f t="shared" si="42"/>
        <v xml:space="preserve"> </v>
      </c>
      <c r="EQ15" s="54" t="str">
        <f t="shared" ca="1" si="43"/>
        <v xml:space="preserve"> </v>
      </c>
      <c r="ER15" s="366"/>
      <c r="ES15" s="366"/>
      <c r="ET15" s="54" t="str">
        <f t="shared" si="44"/>
        <v xml:space="preserve"> </v>
      </c>
      <c r="EU15" s="367"/>
      <c r="EV15" s="371"/>
      <c r="EW15" s="49"/>
      <c r="EX15" s="346"/>
      <c r="EY15" s="346"/>
      <c r="EZ15" s="177" t="str">
        <f t="shared" si="45"/>
        <v xml:space="preserve"> </v>
      </c>
      <c r="FA15" s="54" t="str">
        <f t="shared" ca="1" si="46"/>
        <v xml:space="preserve"> </v>
      </c>
      <c r="FB15" s="346"/>
      <c r="FC15" s="346"/>
      <c r="FD15" s="49" t="str">
        <f t="shared" si="47"/>
        <v xml:space="preserve"> </v>
      </c>
      <c r="FE15" s="368"/>
      <c r="FF15" s="369"/>
      <c r="FG15" s="54"/>
      <c r="FH15" s="366"/>
      <c r="FI15" s="366"/>
      <c r="FJ15" s="177" t="str">
        <f t="shared" si="48"/>
        <v xml:space="preserve"> </v>
      </c>
      <c r="FK15" s="54" t="str">
        <f t="shared" ca="1" si="49"/>
        <v xml:space="preserve"> </v>
      </c>
      <c r="FL15" s="366"/>
      <c r="FM15" s="366"/>
      <c r="FN15" s="54" t="str">
        <f t="shared" si="50"/>
        <v xml:space="preserve"> </v>
      </c>
      <c r="FO15" s="367"/>
      <c r="FP15" s="371"/>
      <c r="FQ15" s="49"/>
      <c r="FR15" s="346"/>
      <c r="FS15" s="346"/>
      <c r="FT15" s="177" t="str">
        <f t="shared" si="51"/>
        <v xml:space="preserve"> </v>
      </c>
      <c r="FU15" s="54" t="str">
        <f t="shared" ca="1" si="52"/>
        <v xml:space="preserve"> </v>
      </c>
      <c r="FV15" s="346"/>
      <c r="FW15" s="346"/>
      <c r="FX15" s="49" t="str">
        <f t="shared" si="53"/>
        <v xml:space="preserve"> </v>
      </c>
      <c r="FY15" s="368"/>
      <c r="FZ15" s="369"/>
      <c r="GA15" s="54"/>
      <c r="GB15" s="366"/>
      <c r="GC15" s="366"/>
      <c r="GD15" s="177" t="str">
        <f t="shared" si="54"/>
        <v xml:space="preserve"> </v>
      </c>
      <c r="GE15" s="54" t="str">
        <f t="shared" ca="1" si="55"/>
        <v xml:space="preserve"> </v>
      </c>
      <c r="GF15" s="366"/>
      <c r="GG15" s="366"/>
      <c r="GH15" s="54" t="str">
        <f t="shared" si="56"/>
        <v xml:space="preserve"> </v>
      </c>
      <c r="GI15" s="367"/>
      <c r="GJ15" s="373"/>
      <c r="GK15" s="49"/>
      <c r="GL15" s="346"/>
      <c r="GM15" s="346"/>
      <c r="GN15" s="177" t="str">
        <f t="shared" si="57"/>
        <v xml:space="preserve"> </v>
      </c>
      <c r="GO15" s="54" t="str">
        <f t="shared" ca="1" si="58"/>
        <v xml:space="preserve"> </v>
      </c>
      <c r="GP15" s="346"/>
      <c r="GQ15" s="346"/>
      <c r="GR15" s="49" t="str">
        <f t="shared" si="59"/>
        <v xml:space="preserve"> </v>
      </c>
      <c r="GS15" s="374"/>
      <c r="GT15" s="369"/>
      <c r="GU15" s="54"/>
      <c r="GV15" s="366"/>
      <c r="GW15" s="366"/>
      <c r="GX15" s="177" t="str">
        <f t="shared" si="60"/>
        <v xml:space="preserve"> </v>
      </c>
      <c r="GY15" s="54" t="str">
        <f t="shared" ca="1" si="61"/>
        <v xml:space="preserve"> </v>
      </c>
      <c r="GZ15" s="366"/>
      <c r="HA15" s="366"/>
      <c r="HB15" s="54" t="str">
        <f t="shared" si="62"/>
        <v xml:space="preserve"> </v>
      </c>
      <c r="HC15" s="367"/>
      <c r="HD15" s="373"/>
      <c r="HE15" s="49"/>
      <c r="HF15" s="346"/>
      <c r="HG15" s="346"/>
      <c r="HH15" s="177" t="str">
        <f t="shared" si="63"/>
        <v xml:space="preserve"> </v>
      </c>
      <c r="HI15" s="54" t="str">
        <f t="shared" ca="1" si="64"/>
        <v xml:space="preserve"> </v>
      </c>
      <c r="HJ15" s="346"/>
      <c r="HK15" s="346"/>
      <c r="HL15" s="49" t="str">
        <f t="shared" si="65"/>
        <v xml:space="preserve"> </v>
      </c>
      <c r="HM15" s="374"/>
      <c r="HN15" s="369"/>
      <c r="HO15" s="54"/>
      <c r="HP15" s="366"/>
      <c r="HQ15" s="366"/>
      <c r="HR15" s="177" t="str">
        <f t="shared" si="66"/>
        <v xml:space="preserve"> </v>
      </c>
      <c r="HS15" s="54" t="str">
        <f t="shared" ca="1" si="67"/>
        <v xml:space="preserve"> </v>
      </c>
      <c r="HT15" s="366"/>
      <c r="HU15" s="366"/>
      <c r="HV15" s="54" t="str">
        <f t="shared" si="68"/>
        <v xml:space="preserve"> </v>
      </c>
      <c r="HW15" s="367"/>
      <c r="HX15" s="373"/>
      <c r="HY15" s="49"/>
      <c r="HZ15" s="346"/>
      <c r="IA15" s="177"/>
      <c r="IB15" s="177" t="str">
        <f t="shared" si="69"/>
        <v xml:space="preserve"> </v>
      </c>
      <c r="IC15" s="54" t="str">
        <f t="shared" ca="1" si="70"/>
        <v xml:space="preserve"> </v>
      </c>
      <c r="ID15" s="346"/>
      <c r="IE15" s="346"/>
      <c r="IF15" s="49" t="str">
        <f t="shared" si="71"/>
        <v xml:space="preserve"> </v>
      </c>
      <c r="IG15" s="374"/>
      <c r="IH15" s="369"/>
      <c r="II15" s="366"/>
      <c r="IJ15" s="366"/>
      <c r="IK15" s="366"/>
      <c r="IL15" s="177" t="str">
        <f t="shared" si="72"/>
        <v xml:space="preserve"> </v>
      </c>
      <c r="IM15" s="54" t="str">
        <f t="shared" ca="1" si="73"/>
        <v xml:space="preserve"> </v>
      </c>
      <c r="IN15" s="366"/>
      <c r="IO15" s="366"/>
      <c r="IP15" s="54" t="str">
        <f t="shared" si="74"/>
        <v xml:space="preserve"> </v>
      </c>
      <c r="IQ15" s="367"/>
      <c r="IR15" s="373"/>
      <c r="IS15" s="346"/>
      <c r="IT15" s="346"/>
      <c r="IU15" s="346"/>
      <c r="IV15" s="177" t="str">
        <f t="shared" si="75"/>
        <v xml:space="preserve"> </v>
      </c>
      <c r="IW15" s="54" t="str">
        <f t="shared" ca="1" si="76"/>
        <v xml:space="preserve"> </v>
      </c>
      <c r="IX15" s="346"/>
      <c r="IY15" s="346"/>
      <c r="IZ15" s="54" t="str">
        <f t="shared" si="77"/>
        <v xml:space="preserve"> </v>
      </c>
      <c r="JA15" s="374"/>
      <c r="JB15" s="369"/>
      <c r="JC15" s="366"/>
      <c r="JD15" s="366"/>
      <c r="JE15" s="366"/>
      <c r="JF15" s="177" t="str">
        <f t="shared" si="78"/>
        <v xml:space="preserve"> </v>
      </c>
      <c r="JG15" s="54" t="str">
        <f t="shared" ca="1" si="79"/>
        <v xml:space="preserve"> </v>
      </c>
      <c r="JH15" s="366"/>
      <c r="JI15" s="366"/>
      <c r="JJ15" s="54" t="str">
        <f t="shared" si="80"/>
        <v xml:space="preserve"> </v>
      </c>
      <c r="JK15" s="367"/>
      <c r="JL15" s="373"/>
      <c r="JM15" s="346"/>
      <c r="JN15" s="346"/>
      <c r="JO15" s="346"/>
      <c r="JP15" s="346" t="str">
        <f t="shared" si="81"/>
        <v xml:space="preserve"> </v>
      </c>
      <c r="JQ15" s="54" t="str">
        <f t="shared" ca="1" si="82"/>
        <v xml:space="preserve"> </v>
      </c>
      <c r="JR15" s="346"/>
      <c r="JS15" s="346"/>
      <c r="JT15" s="54" t="str">
        <f t="shared" si="83"/>
        <v xml:space="preserve"> </v>
      </c>
      <c r="JU15" s="374"/>
      <c r="JV15" s="369"/>
      <c r="JW15" s="366"/>
      <c r="JX15" s="366"/>
      <c r="JY15" s="366"/>
      <c r="JZ15" s="366" t="str">
        <f t="shared" si="84"/>
        <v xml:space="preserve"> </v>
      </c>
      <c r="KA15" s="54" t="str">
        <f t="shared" ca="1" si="85"/>
        <v xml:space="preserve"> </v>
      </c>
      <c r="KB15" s="366"/>
      <c r="KC15" s="366"/>
      <c r="KD15" s="54" t="str">
        <f t="shared" si="86"/>
        <v xml:space="preserve"> </v>
      </c>
      <c r="KE15" s="367"/>
      <c r="KF15" s="373"/>
      <c r="KG15" s="346"/>
      <c r="KH15" s="346"/>
      <c r="KI15" s="346"/>
      <c r="KJ15" s="346" t="str">
        <f t="shared" si="87"/>
        <v xml:space="preserve"> </v>
      </c>
      <c r="KK15" s="54" t="str">
        <f t="shared" ca="1" si="88"/>
        <v xml:space="preserve"> </v>
      </c>
      <c r="KL15" s="346"/>
      <c r="KM15" s="346"/>
      <c r="KN15" s="54" t="str">
        <f t="shared" si="89"/>
        <v xml:space="preserve"> </v>
      </c>
      <c r="KO15" s="374"/>
      <c r="KP15" s="369"/>
      <c r="KQ15" s="366"/>
      <c r="KR15" s="366"/>
      <c r="KS15" s="366"/>
      <c r="KT15" s="366" t="str">
        <f t="shared" si="90"/>
        <v xml:space="preserve"> </v>
      </c>
      <c r="KU15" s="54" t="str">
        <f t="shared" ca="1" si="91"/>
        <v xml:space="preserve"> </v>
      </c>
      <c r="KV15" s="366"/>
      <c r="KW15" s="366"/>
      <c r="KX15" s="54" t="str">
        <f t="shared" si="92"/>
        <v xml:space="preserve"> </v>
      </c>
      <c r="KY15" s="367"/>
      <c r="KZ15" s="373"/>
      <c r="LA15" s="346"/>
      <c r="LB15" s="346"/>
      <c r="LC15" s="346"/>
      <c r="LD15" s="346" t="str">
        <f t="shared" si="93"/>
        <v xml:space="preserve"> </v>
      </c>
      <c r="LE15" s="54" t="str">
        <f t="shared" ca="1" si="94"/>
        <v xml:space="preserve"> </v>
      </c>
      <c r="LF15" s="346"/>
      <c r="LG15" s="346"/>
      <c r="LH15" s="54" t="str">
        <f t="shared" si="95"/>
        <v xml:space="preserve"> </v>
      </c>
      <c r="LI15" s="374"/>
      <c r="LJ15" s="369"/>
      <c r="LK15" s="366"/>
      <c r="LL15" s="366"/>
      <c r="LM15" s="366"/>
      <c r="LN15" s="366" t="str">
        <f t="shared" si="96"/>
        <v xml:space="preserve"> </v>
      </c>
      <c r="LO15" s="54" t="str">
        <f t="shared" ca="1" si="97"/>
        <v xml:space="preserve"> </v>
      </c>
      <c r="LP15" s="366"/>
      <c r="LQ15" s="366"/>
      <c r="LR15" s="54" t="str">
        <f t="shared" si="98"/>
        <v xml:space="preserve"> </v>
      </c>
      <c r="LS15" s="367"/>
      <c r="LT15" s="373"/>
      <c r="LU15" s="346"/>
      <c r="LV15" s="346"/>
      <c r="LW15" s="346"/>
      <c r="LX15" s="346"/>
      <c r="LY15" s="54" t="str">
        <f t="shared" ca="1" si="99"/>
        <v xml:space="preserve"> </v>
      </c>
      <c r="LZ15" s="346"/>
      <c r="MA15" s="346"/>
      <c r="MB15" s="54" t="str">
        <f t="shared" si="100"/>
        <v xml:space="preserve"> </v>
      </c>
      <c r="MC15" s="374"/>
      <c r="MD15" s="369"/>
      <c r="ME15" s="366"/>
      <c r="MF15" s="366"/>
      <c r="MG15" s="366"/>
      <c r="MH15" s="366"/>
      <c r="MI15" s="54" t="str">
        <f t="shared" ca="1" si="101"/>
        <v xml:space="preserve"> </v>
      </c>
      <c r="MJ15" s="366"/>
      <c r="MK15" s="366"/>
      <c r="ML15" s="54" t="str">
        <f t="shared" si="102"/>
        <v xml:space="preserve"> </v>
      </c>
      <c r="MM15" s="367"/>
      <c r="MN15" s="373"/>
      <c r="MO15" s="346"/>
      <c r="MP15" s="346"/>
      <c r="MQ15" s="346"/>
      <c r="MR15" s="346"/>
      <c r="MS15" s="54" t="str">
        <f t="shared" ca="1" si="103"/>
        <v xml:space="preserve"> </v>
      </c>
      <c r="MT15" s="346"/>
      <c r="MU15" s="346"/>
      <c r="MV15" s="54" t="str">
        <f t="shared" si="104"/>
        <v xml:space="preserve"> </v>
      </c>
      <c r="MW15" s="374"/>
      <c r="MX15" s="369"/>
      <c r="MY15" s="366"/>
      <c r="MZ15" s="366"/>
      <c r="NA15" s="366"/>
      <c r="NB15" s="366"/>
      <c r="NC15" s="54" t="str">
        <f t="shared" ca="1" si="105"/>
        <v xml:space="preserve"> </v>
      </c>
      <c r="ND15" s="366"/>
      <c r="NE15" s="366"/>
      <c r="NF15" s="54" t="str">
        <f t="shared" si="106"/>
        <v xml:space="preserve"> </v>
      </c>
      <c r="NG15" s="367"/>
      <c r="NH15" s="373"/>
      <c r="NI15" s="346"/>
      <c r="NJ15" s="346"/>
      <c r="NK15" s="346"/>
      <c r="NL15" s="346"/>
      <c r="NM15" s="54" t="str">
        <f t="shared" ca="1" si="107"/>
        <v xml:space="preserve"> </v>
      </c>
      <c r="NN15" s="346"/>
      <c r="NO15" s="346"/>
      <c r="NP15" s="54" t="str">
        <f t="shared" si="108"/>
        <v xml:space="preserve"> </v>
      </c>
      <c r="NQ15" s="374"/>
      <c r="NR15" s="369"/>
      <c r="NS15" s="366"/>
      <c r="NT15" s="366"/>
      <c r="NU15" s="366"/>
      <c r="NV15" s="366"/>
      <c r="NW15" s="54" t="str">
        <f t="shared" ca="1" si="109"/>
        <v xml:space="preserve"> </v>
      </c>
      <c r="NX15" s="366"/>
      <c r="NY15" s="366"/>
      <c r="NZ15" s="54" t="str">
        <f t="shared" si="110"/>
        <v xml:space="preserve"> </v>
      </c>
      <c r="OA15" s="367"/>
      <c r="OB15" s="373"/>
      <c r="OC15" s="346"/>
      <c r="OD15" s="346"/>
      <c r="OE15" s="346"/>
      <c r="OF15" s="346"/>
      <c r="OG15" s="54" t="str">
        <f t="shared" ca="1" si="111"/>
        <v xml:space="preserve"> </v>
      </c>
      <c r="OH15" s="346"/>
      <c r="OI15" s="346"/>
      <c r="OJ15" s="54" t="str">
        <f t="shared" si="112"/>
        <v xml:space="preserve"> </v>
      </c>
      <c r="OK15" s="374"/>
    </row>
    <row r="16" spans="1:401" s="44" customFormat="1" ht="22.2" customHeight="1" x14ac:dyDescent="0.3">
      <c r="A16" s="355" t="s">
        <v>154</v>
      </c>
      <c r="B16" s="356" t="s">
        <v>838</v>
      </c>
      <c r="C16" s="37">
        <v>3337</v>
      </c>
      <c r="D16" s="357" t="s">
        <v>115</v>
      </c>
      <c r="E16" s="91"/>
      <c r="F16" s="91" t="str">
        <f t="shared" si="0"/>
        <v xml:space="preserve"> </v>
      </c>
      <c r="G16" s="37" t="str">
        <f t="shared" ca="1" si="113"/>
        <v xml:space="preserve"> </v>
      </c>
      <c r="H16" s="37"/>
      <c r="I16" s="37"/>
      <c r="J16" s="37" t="str">
        <f t="shared" si="2"/>
        <v>C.I.</v>
      </c>
      <c r="K16" s="170"/>
      <c r="L16" s="356" t="s">
        <v>838</v>
      </c>
      <c r="M16" s="37" t="s">
        <v>315</v>
      </c>
      <c r="N16" s="37" t="s">
        <v>315</v>
      </c>
      <c r="O16" s="91"/>
      <c r="P16" s="91" t="str">
        <f t="shared" si="3"/>
        <v xml:space="preserve"> </v>
      </c>
      <c r="Q16" s="12" t="str">
        <f t="shared" ca="1" si="4"/>
        <v xml:space="preserve"> </v>
      </c>
      <c r="R16" s="37"/>
      <c r="S16" s="37"/>
      <c r="T16" s="37" t="str">
        <f t="shared" si="5"/>
        <v>C.I.</v>
      </c>
      <c r="U16" s="170"/>
      <c r="V16" s="356" t="s">
        <v>838</v>
      </c>
      <c r="W16" s="37" t="s">
        <v>315</v>
      </c>
      <c r="X16" s="37" t="s">
        <v>315</v>
      </c>
      <c r="Y16" s="358"/>
      <c r="Z16" s="358" t="str">
        <f t="shared" si="6"/>
        <v xml:space="preserve"> </v>
      </c>
      <c r="AA16" s="12" t="str">
        <f t="shared" ca="1" si="7"/>
        <v xml:space="preserve"> </v>
      </c>
      <c r="AB16" s="357"/>
      <c r="AC16" s="357"/>
      <c r="AD16" s="37" t="str">
        <f t="shared" si="8"/>
        <v>C.I.</v>
      </c>
      <c r="AE16" s="359"/>
      <c r="AF16" s="360" t="s">
        <v>841</v>
      </c>
      <c r="AG16" s="12">
        <v>53892</v>
      </c>
      <c r="AH16" s="348" t="s">
        <v>922</v>
      </c>
      <c r="AI16" s="14">
        <v>44995</v>
      </c>
      <c r="AJ16" s="14">
        <f t="shared" si="9"/>
        <v>45360</v>
      </c>
      <c r="AK16" s="12" t="str">
        <f t="shared" ca="1" si="10"/>
        <v>VENCIDO</v>
      </c>
      <c r="AL16" s="348"/>
      <c r="AM16" s="348"/>
      <c r="AN16" s="12" t="str">
        <f t="shared" si="11"/>
        <v>C.C.</v>
      </c>
      <c r="AO16" s="361"/>
      <c r="AP16" s="356" t="s">
        <v>897</v>
      </c>
      <c r="AQ16" s="37">
        <v>23617</v>
      </c>
      <c r="AR16" s="357" t="s">
        <v>923</v>
      </c>
      <c r="AS16" s="91">
        <v>44997</v>
      </c>
      <c r="AT16" s="91">
        <f t="shared" si="12"/>
        <v>45362</v>
      </c>
      <c r="AU16" s="12" t="str">
        <f t="shared" ca="1" si="13"/>
        <v>VENCIDO</v>
      </c>
      <c r="AV16" s="357"/>
      <c r="AW16" s="357"/>
      <c r="AX16" s="37" t="str">
        <f t="shared" si="14"/>
        <v>D.P.</v>
      </c>
      <c r="AY16" s="359"/>
      <c r="AZ16" s="356" t="s">
        <v>897</v>
      </c>
      <c r="BA16" s="12">
        <v>20117</v>
      </c>
      <c r="BB16" s="348" t="s">
        <v>924</v>
      </c>
      <c r="BC16" s="91">
        <v>44997</v>
      </c>
      <c r="BD16" s="91">
        <f t="shared" si="15"/>
        <v>45363</v>
      </c>
      <c r="BE16" s="12" t="str">
        <f t="shared" ca="1" si="16"/>
        <v>VENCIDO</v>
      </c>
      <c r="BF16" s="348"/>
      <c r="BG16" s="348"/>
      <c r="BH16" s="12" t="str">
        <f t="shared" si="17"/>
        <v>D.P.</v>
      </c>
      <c r="BI16" s="361"/>
      <c r="BJ16" s="356"/>
      <c r="BK16" s="357"/>
      <c r="BL16" s="357"/>
      <c r="BM16" s="358"/>
      <c r="BN16" s="358" t="str">
        <f t="shared" si="18"/>
        <v xml:space="preserve"> </v>
      </c>
      <c r="BO16" s="12" t="str">
        <f t="shared" ca="1" si="19"/>
        <v xml:space="preserve"> </v>
      </c>
      <c r="BP16" s="357"/>
      <c r="BQ16" s="357"/>
      <c r="BR16" s="37" t="str">
        <f t="shared" si="20"/>
        <v xml:space="preserve"> </v>
      </c>
      <c r="BS16" s="359"/>
      <c r="BT16" s="360"/>
      <c r="BU16" s="348"/>
      <c r="BV16" s="348"/>
      <c r="BW16" s="362"/>
      <c r="BX16" s="362" t="str">
        <f t="shared" si="21"/>
        <v xml:space="preserve"> </v>
      </c>
      <c r="BY16" s="12" t="str">
        <f t="shared" ca="1" si="22"/>
        <v xml:space="preserve"> </v>
      </c>
      <c r="BZ16" s="348"/>
      <c r="CA16" s="348"/>
      <c r="CB16" s="12" t="str">
        <f t="shared" si="23"/>
        <v xml:space="preserve"> </v>
      </c>
      <c r="CC16" s="361"/>
      <c r="CD16" s="356"/>
      <c r="CE16" s="37"/>
      <c r="CF16" s="357"/>
      <c r="CG16" s="357"/>
      <c r="CH16" s="357" t="str">
        <f t="shared" si="24"/>
        <v xml:space="preserve"> </v>
      </c>
      <c r="CI16" s="12" t="str">
        <f t="shared" ca="1" si="25"/>
        <v xml:space="preserve"> </v>
      </c>
      <c r="CJ16" s="357"/>
      <c r="CK16" s="357"/>
      <c r="CL16" s="37" t="str">
        <f t="shared" si="26"/>
        <v xml:space="preserve"> </v>
      </c>
      <c r="CM16" s="359"/>
      <c r="CN16" s="360"/>
      <c r="CO16" s="12"/>
      <c r="CP16" s="348"/>
      <c r="CQ16" s="348"/>
      <c r="CR16" s="348" t="str">
        <f t="shared" si="27"/>
        <v xml:space="preserve"> </v>
      </c>
      <c r="CS16" s="12" t="str">
        <f t="shared" ca="1" si="28"/>
        <v xml:space="preserve"> </v>
      </c>
      <c r="CT16" s="348"/>
      <c r="CU16" s="348"/>
      <c r="CV16" s="12" t="str">
        <f t="shared" si="29"/>
        <v xml:space="preserve"> </v>
      </c>
      <c r="CW16" s="361"/>
      <c r="CX16" s="356"/>
      <c r="CY16" s="37"/>
      <c r="CZ16" s="357"/>
      <c r="DA16" s="357"/>
      <c r="DB16" s="357" t="str">
        <f t="shared" si="30"/>
        <v xml:space="preserve"> </v>
      </c>
      <c r="DC16" s="12" t="str">
        <f t="shared" ca="1" si="31"/>
        <v xml:space="preserve"> </v>
      </c>
      <c r="DD16" s="357"/>
      <c r="DE16" s="357"/>
      <c r="DF16" s="37" t="str">
        <f t="shared" si="32"/>
        <v xml:space="preserve"> </v>
      </c>
      <c r="DG16" s="359"/>
      <c r="DH16" s="360"/>
      <c r="DI16" s="12"/>
      <c r="DJ16" s="348"/>
      <c r="DK16" s="348"/>
      <c r="DL16" s="348" t="str">
        <f t="shared" si="33"/>
        <v xml:space="preserve"> </v>
      </c>
      <c r="DM16" s="12" t="str">
        <f t="shared" ca="1" si="34"/>
        <v xml:space="preserve"> </v>
      </c>
      <c r="DN16" s="348"/>
      <c r="DO16" s="348"/>
      <c r="DP16" s="12" t="str">
        <f t="shared" si="35"/>
        <v xml:space="preserve"> </v>
      </c>
      <c r="DQ16" s="361"/>
      <c r="DR16" s="356"/>
      <c r="DS16" s="37"/>
      <c r="DT16" s="357"/>
      <c r="DU16" s="357"/>
      <c r="DV16" s="14" t="str">
        <f t="shared" si="36"/>
        <v xml:space="preserve"> </v>
      </c>
      <c r="DW16" s="12" t="str">
        <f t="shared" ca="1" si="37"/>
        <v xml:space="preserve"> </v>
      </c>
      <c r="DX16" s="357"/>
      <c r="DY16" s="357"/>
      <c r="DZ16" s="37" t="str">
        <f t="shared" si="38"/>
        <v xml:space="preserve"> </v>
      </c>
      <c r="EA16" s="359"/>
      <c r="EB16" s="360"/>
      <c r="EC16" s="12"/>
      <c r="ED16" s="348"/>
      <c r="EE16" s="348"/>
      <c r="EF16" s="91" t="str">
        <f t="shared" si="39"/>
        <v xml:space="preserve"> </v>
      </c>
      <c r="EG16" s="12" t="str">
        <f t="shared" ca="1" si="40"/>
        <v xml:space="preserve"> </v>
      </c>
      <c r="EH16" s="348"/>
      <c r="EI16" s="348"/>
      <c r="EJ16" s="12" t="str">
        <f t="shared" si="41"/>
        <v xml:space="preserve"> </v>
      </c>
      <c r="EK16" s="361"/>
      <c r="EL16" s="356"/>
      <c r="EM16" s="37"/>
      <c r="EN16" s="357"/>
      <c r="EO16" s="357"/>
      <c r="EP16" s="91" t="str">
        <f t="shared" si="42"/>
        <v xml:space="preserve"> </v>
      </c>
      <c r="EQ16" s="12" t="str">
        <f t="shared" ca="1" si="43"/>
        <v xml:space="preserve"> </v>
      </c>
      <c r="ER16" s="357"/>
      <c r="ES16" s="357"/>
      <c r="ET16" s="37" t="str">
        <f t="shared" si="44"/>
        <v xml:space="preserve"> </v>
      </c>
      <c r="EU16" s="359"/>
      <c r="EV16" s="360"/>
      <c r="EW16" s="12"/>
      <c r="EX16" s="348"/>
      <c r="EY16" s="348"/>
      <c r="EZ16" s="91" t="str">
        <f t="shared" si="45"/>
        <v xml:space="preserve"> </v>
      </c>
      <c r="FA16" s="12" t="str">
        <f t="shared" ca="1" si="46"/>
        <v xml:space="preserve"> </v>
      </c>
      <c r="FB16" s="348"/>
      <c r="FC16" s="348"/>
      <c r="FD16" s="12" t="str">
        <f t="shared" si="47"/>
        <v xml:space="preserve"> </v>
      </c>
      <c r="FE16" s="361"/>
      <c r="FF16" s="356"/>
      <c r="FG16" s="37"/>
      <c r="FH16" s="357"/>
      <c r="FI16" s="357"/>
      <c r="FJ16" s="91" t="str">
        <f t="shared" si="48"/>
        <v xml:space="preserve"> </v>
      </c>
      <c r="FK16" s="12" t="str">
        <f t="shared" ca="1" si="49"/>
        <v xml:space="preserve"> </v>
      </c>
      <c r="FL16" s="357"/>
      <c r="FM16" s="357"/>
      <c r="FN16" s="37" t="str">
        <f t="shared" si="50"/>
        <v xml:space="preserve"> </v>
      </c>
      <c r="FO16" s="359"/>
      <c r="FP16" s="360"/>
      <c r="FQ16" s="12"/>
      <c r="FR16" s="348"/>
      <c r="FS16" s="348"/>
      <c r="FT16" s="91" t="str">
        <f t="shared" si="51"/>
        <v xml:space="preserve"> </v>
      </c>
      <c r="FU16" s="12" t="str">
        <f t="shared" ca="1" si="52"/>
        <v xml:space="preserve"> </v>
      </c>
      <c r="FV16" s="348"/>
      <c r="FW16" s="348"/>
      <c r="FX16" s="12" t="str">
        <f t="shared" si="53"/>
        <v xml:space="preserve"> </v>
      </c>
      <c r="FY16" s="361"/>
      <c r="FZ16" s="356"/>
      <c r="GA16" s="37"/>
      <c r="GB16" s="357"/>
      <c r="GC16" s="357"/>
      <c r="GD16" s="91" t="str">
        <f t="shared" si="54"/>
        <v xml:space="preserve"> </v>
      </c>
      <c r="GE16" s="12" t="str">
        <f t="shared" ca="1" si="55"/>
        <v xml:space="preserve"> </v>
      </c>
      <c r="GF16" s="357"/>
      <c r="GG16" s="357"/>
      <c r="GH16" s="37" t="str">
        <f t="shared" si="56"/>
        <v xml:space="preserve"> </v>
      </c>
      <c r="GI16" s="359"/>
      <c r="GJ16" s="363"/>
      <c r="GK16" s="12"/>
      <c r="GL16" s="348"/>
      <c r="GM16" s="348"/>
      <c r="GN16" s="91" t="str">
        <f t="shared" si="57"/>
        <v xml:space="preserve"> </v>
      </c>
      <c r="GO16" s="12" t="str">
        <f t="shared" ca="1" si="58"/>
        <v xml:space="preserve"> </v>
      </c>
      <c r="GP16" s="348"/>
      <c r="GQ16" s="348"/>
      <c r="GR16" s="12" t="str">
        <f t="shared" si="59"/>
        <v xml:space="preserve"> </v>
      </c>
      <c r="GS16" s="364"/>
      <c r="GT16" s="356"/>
      <c r="GU16" s="37"/>
      <c r="GV16" s="357"/>
      <c r="GW16" s="357"/>
      <c r="GX16" s="91" t="str">
        <f t="shared" si="60"/>
        <v xml:space="preserve"> </v>
      </c>
      <c r="GY16" s="12" t="str">
        <f t="shared" ca="1" si="61"/>
        <v xml:space="preserve"> </v>
      </c>
      <c r="GZ16" s="357"/>
      <c r="HA16" s="357"/>
      <c r="HB16" s="37" t="str">
        <f t="shared" si="62"/>
        <v xml:space="preserve"> </v>
      </c>
      <c r="HC16" s="359"/>
      <c r="HD16" s="363"/>
      <c r="HE16" s="12"/>
      <c r="HF16" s="348"/>
      <c r="HG16" s="348"/>
      <c r="HH16" s="91" t="str">
        <f t="shared" si="63"/>
        <v xml:space="preserve"> </v>
      </c>
      <c r="HI16" s="12" t="str">
        <f t="shared" ca="1" si="64"/>
        <v xml:space="preserve"> </v>
      </c>
      <c r="HJ16" s="348"/>
      <c r="HK16" s="348"/>
      <c r="HL16" s="12" t="str">
        <f t="shared" si="65"/>
        <v xml:space="preserve"> </v>
      </c>
      <c r="HM16" s="364"/>
      <c r="HN16" s="356"/>
      <c r="HO16" s="37"/>
      <c r="HP16" s="357"/>
      <c r="HQ16" s="357"/>
      <c r="HR16" s="91" t="str">
        <f t="shared" si="66"/>
        <v xml:space="preserve"> </v>
      </c>
      <c r="HS16" s="12" t="str">
        <f t="shared" ca="1" si="67"/>
        <v xml:space="preserve"> </v>
      </c>
      <c r="HT16" s="357"/>
      <c r="HU16" s="357"/>
      <c r="HV16" s="37" t="str">
        <f t="shared" si="68"/>
        <v xml:space="preserve"> </v>
      </c>
      <c r="HW16" s="359"/>
      <c r="HX16" s="363"/>
      <c r="HY16" s="12"/>
      <c r="HZ16" s="348"/>
      <c r="IA16" s="348"/>
      <c r="IB16" s="91" t="str">
        <f t="shared" si="69"/>
        <v xml:space="preserve"> </v>
      </c>
      <c r="IC16" s="12" t="str">
        <f t="shared" ca="1" si="70"/>
        <v xml:space="preserve"> </v>
      </c>
      <c r="ID16" s="348"/>
      <c r="IE16" s="348"/>
      <c r="IF16" s="12" t="str">
        <f t="shared" si="71"/>
        <v xml:space="preserve"> </v>
      </c>
      <c r="IG16" s="364"/>
      <c r="IH16" s="356"/>
      <c r="II16" s="357"/>
      <c r="IJ16" s="357"/>
      <c r="IK16" s="357"/>
      <c r="IL16" s="91" t="str">
        <f t="shared" si="72"/>
        <v xml:space="preserve"> </v>
      </c>
      <c r="IM16" s="12" t="str">
        <f t="shared" ca="1" si="73"/>
        <v xml:space="preserve"> </v>
      </c>
      <c r="IN16" s="357"/>
      <c r="IO16" s="357"/>
      <c r="IP16" s="37" t="str">
        <f t="shared" si="74"/>
        <v xml:space="preserve"> </v>
      </c>
      <c r="IQ16" s="359"/>
      <c r="IR16" s="363"/>
      <c r="IS16" s="348"/>
      <c r="IT16" s="348"/>
      <c r="IU16" s="348"/>
      <c r="IV16" s="91" t="str">
        <f t="shared" si="75"/>
        <v xml:space="preserve"> </v>
      </c>
      <c r="IW16" s="12" t="str">
        <f t="shared" ca="1" si="76"/>
        <v xml:space="preserve"> </v>
      </c>
      <c r="IX16" s="348"/>
      <c r="IY16" s="348"/>
      <c r="IZ16" s="37" t="str">
        <f t="shared" si="77"/>
        <v xml:space="preserve"> </v>
      </c>
      <c r="JA16" s="364"/>
      <c r="JB16" s="356"/>
      <c r="JC16" s="357"/>
      <c r="JD16" s="357"/>
      <c r="JE16" s="357"/>
      <c r="JF16" s="91" t="str">
        <f t="shared" si="78"/>
        <v xml:space="preserve"> </v>
      </c>
      <c r="JG16" s="12" t="str">
        <f t="shared" ca="1" si="79"/>
        <v xml:space="preserve"> </v>
      </c>
      <c r="JH16" s="357"/>
      <c r="JI16" s="357"/>
      <c r="JJ16" s="37" t="str">
        <f t="shared" si="80"/>
        <v xml:space="preserve"> </v>
      </c>
      <c r="JK16" s="359"/>
      <c r="JL16" s="363"/>
      <c r="JM16" s="348"/>
      <c r="JN16" s="348"/>
      <c r="JO16" s="348"/>
      <c r="JP16" s="348" t="str">
        <f t="shared" si="81"/>
        <v xml:space="preserve"> </v>
      </c>
      <c r="JQ16" s="12" t="str">
        <f t="shared" ca="1" si="82"/>
        <v xml:space="preserve"> </v>
      </c>
      <c r="JR16" s="348"/>
      <c r="JS16" s="348"/>
      <c r="JT16" s="37" t="str">
        <f t="shared" si="83"/>
        <v xml:space="preserve"> </v>
      </c>
      <c r="JU16" s="364"/>
      <c r="JV16" s="356"/>
      <c r="JW16" s="357"/>
      <c r="JX16" s="357"/>
      <c r="JY16" s="357"/>
      <c r="JZ16" s="357" t="str">
        <f t="shared" si="84"/>
        <v xml:space="preserve"> </v>
      </c>
      <c r="KA16" s="12" t="str">
        <f t="shared" ca="1" si="85"/>
        <v xml:space="preserve"> </v>
      </c>
      <c r="KB16" s="357"/>
      <c r="KC16" s="357"/>
      <c r="KD16" s="37" t="str">
        <f t="shared" si="86"/>
        <v xml:space="preserve"> </v>
      </c>
      <c r="KE16" s="359"/>
      <c r="KF16" s="363"/>
      <c r="KG16" s="348"/>
      <c r="KH16" s="348"/>
      <c r="KI16" s="348"/>
      <c r="KJ16" s="348" t="str">
        <f t="shared" si="87"/>
        <v xml:space="preserve"> </v>
      </c>
      <c r="KK16" s="12" t="str">
        <f t="shared" ca="1" si="88"/>
        <v xml:space="preserve"> </v>
      </c>
      <c r="KL16" s="348"/>
      <c r="KM16" s="348"/>
      <c r="KN16" s="37" t="str">
        <f t="shared" si="89"/>
        <v xml:space="preserve"> </v>
      </c>
      <c r="KO16" s="364"/>
      <c r="KP16" s="356"/>
      <c r="KQ16" s="357"/>
      <c r="KR16" s="357"/>
      <c r="KS16" s="357"/>
      <c r="KT16" s="357" t="str">
        <f t="shared" si="90"/>
        <v xml:space="preserve"> </v>
      </c>
      <c r="KU16" s="12" t="str">
        <f t="shared" ca="1" si="91"/>
        <v xml:space="preserve"> </v>
      </c>
      <c r="KV16" s="357"/>
      <c r="KW16" s="357"/>
      <c r="KX16" s="37" t="str">
        <f t="shared" si="92"/>
        <v xml:space="preserve"> </v>
      </c>
      <c r="KY16" s="359"/>
      <c r="KZ16" s="363"/>
      <c r="LA16" s="348"/>
      <c r="LB16" s="348"/>
      <c r="LC16" s="348"/>
      <c r="LD16" s="348" t="str">
        <f t="shared" si="93"/>
        <v xml:space="preserve"> </v>
      </c>
      <c r="LE16" s="12" t="str">
        <f t="shared" ca="1" si="94"/>
        <v xml:space="preserve"> </v>
      </c>
      <c r="LF16" s="348"/>
      <c r="LG16" s="348"/>
      <c r="LH16" s="37" t="str">
        <f t="shared" si="95"/>
        <v xml:space="preserve"> </v>
      </c>
      <c r="LI16" s="364"/>
      <c r="LJ16" s="356"/>
      <c r="LK16" s="357"/>
      <c r="LL16" s="357"/>
      <c r="LM16" s="357"/>
      <c r="LN16" s="357" t="str">
        <f t="shared" si="96"/>
        <v xml:space="preserve"> </v>
      </c>
      <c r="LO16" s="12" t="str">
        <f t="shared" ca="1" si="97"/>
        <v xml:space="preserve"> </v>
      </c>
      <c r="LP16" s="357"/>
      <c r="LQ16" s="357"/>
      <c r="LR16" s="37" t="str">
        <f t="shared" si="98"/>
        <v xml:space="preserve"> </v>
      </c>
      <c r="LS16" s="359"/>
      <c r="LT16" s="363"/>
      <c r="LU16" s="348"/>
      <c r="LV16" s="348"/>
      <c r="LW16" s="348"/>
      <c r="LX16" s="348"/>
      <c r="LY16" s="12" t="str">
        <f t="shared" ca="1" si="99"/>
        <v xml:space="preserve"> </v>
      </c>
      <c r="LZ16" s="348"/>
      <c r="MA16" s="348"/>
      <c r="MB16" s="37" t="str">
        <f t="shared" si="100"/>
        <v xml:space="preserve"> </v>
      </c>
      <c r="MC16" s="364"/>
      <c r="MD16" s="356"/>
      <c r="ME16" s="357"/>
      <c r="MF16" s="357"/>
      <c r="MG16" s="357"/>
      <c r="MH16" s="357"/>
      <c r="MI16" s="12" t="str">
        <f t="shared" ca="1" si="101"/>
        <v xml:space="preserve"> </v>
      </c>
      <c r="MJ16" s="357"/>
      <c r="MK16" s="357"/>
      <c r="ML16" s="37" t="str">
        <f t="shared" si="102"/>
        <v xml:space="preserve"> </v>
      </c>
      <c r="MM16" s="359"/>
      <c r="MN16" s="363"/>
      <c r="MO16" s="348"/>
      <c r="MP16" s="348"/>
      <c r="MQ16" s="348"/>
      <c r="MR16" s="348"/>
      <c r="MS16" s="12" t="str">
        <f t="shared" ca="1" si="103"/>
        <v xml:space="preserve"> </v>
      </c>
      <c r="MT16" s="348"/>
      <c r="MU16" s="348"/>
      <c r="MV16" s="37" t="str">
        <f t="shared" si="104"/>
        <v xml:space="preserve"> </v>
      </c>
      <c r="MW16" s="364"/>
      <c r="MX16" s="356"/>
      <c r="MY16" s="357"/>
      <c r="MZ16" s="357"/>
      <c r="NA16" s="357"/>
      <c r="NB16" s="357"/>
      <c r="NC16" s="12" t="str">
        <f t="shared" ca="1" si="105"/>
        <v xml:space="preserve"> </v>
      </c>
      <c r="ND16" s="357"/>
      <c r="NE16" s="357"/>
      <c r="NF16" s="37" t="str">
        <f t="shared" si="106"/>
        <v xml:space="preserve"> </v>
      </c>
      <c r="NG16" s="359"/>
      <c r="NH16" s="363"/>
      <c r="NI16" s="348"/>
      <c r="NJ16" s="348"/>
      <c r="NK16" s="348"/>
      <c r="NL16" s="348"/>
      <c r="NM16" s="12" t="str">
        <f t="shared" ca="1" si="107"/>
        <v xml:space="preserve"> </v>
      </c>
      <c r="NN16" s="348"/>
      <c r="NO16" s="348"/>
      <c r="NP16" s="37" t="str">
        <f t="shared" si="108"/>
        <v xml:space="preserve"> </v>
      </c>
      <c r="NQ16" s="364"/>
      <c r="NR16" s="356"/>
      <c r="NS16" s="357"/>
      <c r="NT16" s="357"/>
      <c r="NU16" s="357"/>
      <c r="NV16" s="357"/>
      <c r="NW16" s="12" t="str">
        <f t="shared" ca="1" si="109"/>
        <v xml:space="preserve"> </v>
      </c>
      <c r="NX16" s="357"/>
      <c r="NY16" s="357"/>
      <c r="NZ16" s="37" t="str">
        <f t="shared" si="110"/>
        <v xml:space="preserve"> </v>
      </c>
      <c r="OA16" s="359"/>
      <c r="OB16" s="363"/>
      <c r="OC16" s="348"/>
      <c r="OD16" s="348"/>
      <c r="OE16" s="348"/>
      <c r="OF16" s="348"/>
      <c r="OG16" s="12" t="str">
        <f t="shared" ca="1" si="111"/>
        <v xml:space="preserve"> </v>
      </c>
      <c r="OH16" s="348"/>
      <c r="OI16" s="348"/>
      <c r="OJ16" s="37" t="str">
        <f t="shared" si="112"/>
        <v xml:space="preserve"> </v>
      </c>
      <c r="OK16" s="364"/>
    </row>
    <row r="17" spans="1:401" s="44" customFormat="1" ht="22.2" customHeight="1" x14ac:dyDescent="0.3">
      <c r="A17" s="365" t="s">
        <v>925</v>
      </c>
      <c r="B17" s="369"/>
      <c r="C17" s="54"/>
      <c r="D17" s="366"/>
      <c r="E17" s="177"/>
      <c r="F17" s="177" t="str">
        <f t="shared" si="0"/>
        <v xml:space="preserve"> </v>
      </c>
      <c r="G17" s="366" t="str">
        <f t="shared" ca="1" si="113"/>
        <v xml:space="preserve"> </v>
      </c>
      <c r="H17" s="54"/>
      <c r="I17" s="54"/>
      <c r="J17" s="54" t="str">
        <f t="shared" si="2"/>
        <v xml:space="preserve"> </v>
      </c>
      <c r="K17" s="171"/>
      <c r="L17" s="182"/>
      <c r="M17" s="54"/>
      <c r="N17" s="54"/>
      <c r="O17" s="177"/>
      <c r="P17" s="177" t="str">
        <f t="shared" si="3"/>
        <v xml:space="preserve"> </v>
      </c>
      <c r="Q17" s="54" t="str">
        <f t="shared" ca="1" si="4"/>
        <v xml:space="preserve"> </v>
      </c>
      <c r="R17" s="54"/>
      <c r="S17" s="54"/>
      <c r="T17" s="54" t="str">
        <f t="shared" si="5"/>
        <v xml:space="preserve"> </v>
      </c>
      <c r="U17" s="171"/>
      <c r="V17" s="369"/>
      <c r="W17" s="366"/>
      <c r="X17" s="366"/>
      <c r="Y17" s="370"/>
      <c r="Z17" s="370" t="str">
        <f t="shared" si="6"/>
        <v xml:space="preserve"> </v>
      </c>
      <c r="AA17" s="54" t="str">
        <f t="shared" ca="1" si="7"/>
        <v xml:space="preserve"> </v>
      </c>
      <c r="AB17" s="366"/>
      <c r="AC17" s="366"/>
      <c r="AD17" s="54" t="str">
        <f t="shared" si="8"/>
        <v xml:space="preserve"> </v>
      </c>
      <c r="AE17" s="367"/>
      <c r="AF17" s="371"/>
      <c r="AG17" s="346"/>
      <c r="AH17" s="346"/>
      <c r="AI17" s="65"/>
      <c r="AJ17" s="65" t="str">
        <f t="shared" si="9"/>
        <v xml:space="preserve"> </v>
      </c>
      <c r="AK17" s="54" t="str">
        <f t="shared" ca="1" si="10"/>
        <v xml:space="preserve"> </v>
      </c>
      <c r="AL17" s="346"/>
      <c r="AM17" s="346"/>
      <c r="AN17" s="49" t="str">
        <f t="shared" si="11"/>
        <v xml:space="preserve"> </v>
      </c>
      <c r="AO17" s="368"/>
      <c r="AP17" s="369"/>
      <c r="AQ17" s="366"/>
      <c r="AR17" s="366"/>
      <c r="AS17" s="370"/>
      <c r="AT17" s="370" t="str">
        <f t="shared" si="12"/>
        <v xml:space="preserve"> </v>
      </c>
      <c r="AU17" s="54" t="str">
        <f t="shared" ca="1" si="13"/>
        <v xml:space="preserve"> </v>
      </c>
      <c r="AV17" s="366"/>
      <c r="AW17" s="366"/>
      <c r="AX17" s="54" t="str">
        <f t="shared" si="14"/>
        <v xml:space="preserve"> </v>
      </c>
      <c r="AY17" s="367"/>
      <c r="AZ17" s="371"/>
      <c r="BA17" s="346"/>
      <c r="BB17" s="346"/>
      <c r="BC17" s="372"/>
      <c r="BD17" s="372" t="str">
        <f t="shared" si="15"/>
        <v xml:space="preserve"> </v>
      </c>
      <c r="BE17" s="54" t="str">
        <f t="shared" ca="1" si="16"/>
        <v xml:space="preserve"> </v>
      </c>
      <c r="BF17" s="346"/>
      <c r="BG17" s="346"/>
      <c r="BH17" s="49" t="str">
        <f t="shared" si="17"/>
        <v xml:space="preserve"> </v>
      </c>
      <c r="BI17" s="368"/>
      <c r="BJ17" s="369"/>
      <c r="BK17" s="366"/>
      <c r="BL17" s="366"/>
      <c r="BM17" s="370"/>
      <c r="BN17" s="370" t="str">
        <f t="shared" si="18"/>
        <v xml:space="preserve"> </v>
      </c>
      <c r="BO17" s="54" t="str">
        <f t="shared" ca="1" si="19"/>
        <v xml:space="preserve"> </v>
      </c>
      <c r="BP17" s="366"/>
      <c r="BQ17" s="366"/>
      <c r="BR17" s="54" t="str">
        <f t="shared" si="20"/>
        <v xml:space="preserve"> </v>
      </c>
      <c r="BS17" s="367"/>
      <c r="BT17" s="371"/>
      <c r="BU17" s="346"/>
      <c r="BV17" s="346"/>
      <c r="BW17" s="372"/>
      <c r="BX17" s="372" t="str">
        <f t="shared" si="21"/>
        <v xml:space="preserve"> </v>
      </c>
      <c r="BY17" s="54" t="str">
        <f t="shared" ca="1" si="22"/>
        <v xml:space="preserve"> </v>
      </c>
      <c r="BZ17" s="346"/>
      <c r="CA17" s="346"/>
      <c r="CB17" s="49" t="str">
        <f t="shared" si="23"/>
        <v xml:space="preserve"> </v>
      </c>
      <c r="CC17" s="368"/>
      <c r="CD17" s="369"/>
      <c r="CE17" s="54"/>
      <c r="CF17" s="366"/>
      <c r="CG17" s="366"/>
      <c r="CH17" s="366" t="str">
        <f t="shared" si="24"/>
        <v xml:space="preserve"> </v>
      </c>
      <c r="CI17" s="54" t="str">
        <f t="shared" ca="1" si="25"/>
        <v xml:space="preserve"> </v>
      </c>
      <c r="CJ17" s="366"/>
      <c r="CK17" s="366"/>
      <c r="CL17" s="54" t="str">
        <f t="shared" si="26"/>
        <v xml:space="preserve"> </v>
      </c>
      <c r="CM17" s="367"/>
      <c r="CN17" s="371"/>
      <c r="CO17" s="49"/>
      <c r="CP17" s="346"/>
      <c r="CQ17" s="346"/>
      <c r="CR17" s="346" t="str">
        <f t="shared" si="27"/>
        <v xml:space="preserve"> </v>
      </c>
      <c r="CS17" s="54" t="str">
        <f t="shared" ca="1" si="28"/>
        <v xml:space="preserve"> </v>
      </c>
      <c r="CT17" s="346"/>
      <c r="CU17" s="346"/>
      <c r="CV17" s="49" t="str">
        <f t="shared" si="29"/>
        <v xml:space="preserve"> </v>
      </c>
      <c r="CW17" s="368"/>
      <c r="CX17" s="369"/>
      <c r="CY17" s="54"/>
      <c r="CZ17" s="366"/>
      <c r="DA17" s="366"/>
      <c r="DB17" s="366" t="str">
        <f t="shared" si="30"/>
        <v xml:space="preserve"> </v>
      </c>
      <c r="DC17" s="54" t="str">
        <f t="shared" ca="1" si="31"/>
        <v xml:space="preserve"> </v>
      </c>
      <c r="DD17" s="366"/>
      <c r="DE17" s="366"/>
      <c r="DF17" s="54" t="str">
        <f t="shared" si="32"/>
        <v xml:space="preserve"> </v>
      </c>
      <c r="DG17" s="367"/>
      <c r="DH17" s="371"/>
      <c r="DI17" s="49"/>
      <c r="DJ17" s="346"/>
      <c r="DK17" s="346"/>
      <c r="DL17" s="346" t="str">
        <f t="shared" si="33"/>
        <v xml:space="preserve"> </v>
      </c>
      <c r="DM17" s="54" t="str">
        <f t="shared" ca="1" si="34"/>
        <v xml:space="preserve"> </v>
      </c>
      <c r="DN17" s="346"/>
      <c r="DO17" s="346"/>
      <c r="DP17" s="49" t="str">
        <f t="shared" si="35"/>
        <v xml:space="preserve"> </v>
      </c>
      <c r="DQ17" s="368"/>
      <c r="DR17" s="369"/>
      <c r="DS17" s="54"/>
      <c r="DT17" s="366"/>
      <c r="DU17" s="366"/>
      <c r="DV17" s="177" t="str">
        <f t="shared" si="36"/>
        <v xml:space="preserve"> </v>
      </c>
      <c r="DW17" s="54" t="str">
        <f t="shared" ca="1" si="37"/>
        <v xml:space="preserve"> </v>
      </c>
      <c r="DX17" s="366"/>
      <c r="DY17" s="366"/>
      <c r="DZ17" s="54" t="str">
        <f t="shared" si="38"/>
        <v xml:space="preserve"> </v>
      </c>
      <c r="EA17" s="367"/>
      <c r="EB17" s="371"/>
      <c r="EC17" s="49"/>
      <c r="ED17" s="346"/>
      <c r="EE17" s="346"/>
      <c r="EF17" s="177" t="str">
        <f t="shared" si="39"/>
        <v xml:space="preserve"> </v>
      </c>
      <c r="EG17" s="54" t="str">
        <f t="shared" ca="1" si="40"/>
        <v xml:space="preserve"> </v>
      </c>
      <c r="EH17" s="346"/>
      <c r="EI17" s="346"/>
      <c r="EJ17" s="49" t="str">
        <f t="shared" si="41"/>
        <v xml:space="preserve"> </v>
      </c>
      <c r="EK17" s="368"/>
      <c r="EL17" s="369"/>
      <c r="EM17" s="54"/>
      <c r="EN17" s="366"/>
      <c r="EO17" s="366"/>
      <c r="EP17" s="177" t="str">
        <f t="shared" si="42"/>
        <v xml:space="preserve"> </v>
      </c>
      <c r="EQ17" s="54" t="str">
        <f t="shared" ca="1" si="43"/>
        <v xml:space="preserve"> </v>
      </c>
      <c r="ER17" s="366"/>
      <c r="ES17" s="366"/>
      <c r="ET17" s="54" t="str">
        <f t="shared" si="44"/>
        <v xml:space="preserve"> </v>
      </c>
      <c r="EU17" s="367"/>
      <c r="EV17" s="371"/>
      <c r="EW17" s="49"/>
      <c r="EX17" s="346"/>
      <c r="EY17" s="346"/>
      <c r="EZ17" s="177" t="str">
        <f t="shared" si="45"/>
        <v xml:space="preserve"> </v>
      </c>
      <c r="FA17" s="54" t="str">
        <f t="shared" ca="1" si="46"/>
        <v xml:space="preserve"> </v>
      </c>
      <c r="FB17" s="346"/>
      <c r="FC17" s="346"/>
      <c r="FD17" s="49" t="str">
        <f t="shared" si="47"/>
        <v xml:space="preserve"> </v>
      </c>
      <c r="FE17" s="368"/>
      <c r="FF17" s="369"/>
      <c r="FG17" s="54"/>
      <c r="FH17" s="366"/>
      <c r="FI17" s="366"/>
      <c r="FJ17" s="177" t="str">
        <f t="shared" si="48"/>
        <v xml:space="preserve"> </v>
      </c>
      <c r="FK17" s="54" t="str">
        <f t="shared" ca="1" si="49"/>
        <v xml:space="preserve"> </v>
      </c>
      <c r="FL17" s="366"/>
      <c r="FM17" s="366"/>
      <c r="FN17" s="54" t="str">
        <f t="shared" si="50"/>
        <v xml:space="preserve"> </v>
      </c>
      <c r="FO17" s="367"/>
      <c r="FP17" s="371"/>
      <c r="FQ17" s="49"/>
      <c r="FR17" s="346"/>
      <c r="FS17" s="346"/>
      <c r="FT17" s="177" t="str">
        <f t="shared" si="51"/>
        <v xml:space="preserve"> </v>
      </c>
      <c r="FU17" s="54" t="str">
        <f t="shared" ca="1" si="52"/>
        <v xml:space="preserve"> </v>
      </c>
      <c r="FV17" s="346"/>
      <c r="FW17" s="346"/>
      <c r="FX17" s="49" t="str">
        <f t="shared" si="53"/>
        <v xml:space="preserve"> </v>
      </c>
      <c r="FY17" s="368"/>
      <c r="FZ17" s="369"/>
      <c r="GA17" s="54"/>
      <c r="GB17" s="366"/>
      <c r="GC17" s="366"/>
      <c r="GD17" s="177" t="str">
        <f t="shared" si="54"/>
        <v xml:space="preserve"> </v>
      </c>
      <c r="GE17" s="54" t="str">
        <f t="shared" ca="1" si="55"/>
        <v xml:space="preserve"> </v>
      </c>
      <c r="GF17" s="366"/>
      <c r="GG17" s="366"/>
      <c r="GH17" s="54" t="str">
        <f t="shared" si="56"/>
        <v xml:space="preserve"> </v>
      </c>
      <c r="GI17" s="367"/>
      <c r="GJ17" s="373"/>
      <c r="GK17" s="49"/>
      <c r="GL17" s="346"/>
      <c r="GM17" s="346"/>
      <c r="GN17" s="177" t="str">
        <f t="shared" si="57"/>
        <v xml:space="preserve"> </v>
      </c>
      <c r="GO17" s="54" t="str">
        <f t="shared" ca="1" si="58"/>
        <v xml:space="preserve"> </v>
      </c>
      <c r="GP17" s="346"/>
      <c r="GQ17" s="346"/>
      <c r="GR17" s="49" t="str">
        <f t="shared" si="59"/>
        <v xml:space="preserve"> </v>
      </c>
      <c r="GS17" s="374"/>
      <c r="GT17" s="369"/>
      <c r="GU17" s="54"/>
      <c r="GV17" s="366"/>
      <c r="GW17" s="366"/>
      <c r="GX17" s="177" t="str">
        <f t="shared" si="60"/>
        <v xml:space="preserve"> </v>
      </c>
      <c r="GY17" s="54" t="str">
        <f t="shared" ca="1" si="61"/>
        <v xml:space="preserve"> </v>
      </c>
      <c r="GZ17" s="366"/>
      <c r="HA17" s="366"/>
      <c r="HB17" s="54" t="str">
        <f t="shared" si="62"/>
        <v xml:space="preserve"> </v>
      </c>
      <c r="HC17" s="367"/>
      <c r="HD17" s="373"/>
      <c r="HE17" s="49"/>
      <c r="HF17" s="346"/>
      <c r="HG17" s="346"/>
      <c r="HH17" s="177" t="str">
        <f t="shared" si="63"/>
        <v xml:space="preserve"> </v>
      </c>
      <c r="HI17" s="54" t="str">
        <f t="shared" ca="1" si="64"/>
        <v xml:space="preserve"> </v>
      </c>
      <c r="HJ17" s="346"/>
      <c r="HK17" s="346"/>
      <c r="HL17" s="49" t="str">
        <f t="shared" si="65"/>
        <v xml:space="preserve"> </v>
      </c>
      <c r="HM17" s="374"/>
      <c r="HN17" s="369"/>
      <c r="HO17" s="54"/>
      <c r="HP17" s="366"/>
      <c r="HQ17" s="366"/>
      <c r="HR17" s="177" t="str">
        <f t="shared" si="66"/>
        <v xml:space="preserve"> </v>
      </c>
      <c r="HS17" s="54" t="str">
        <f t="shared" ca="1" si="67"/>
        <v xml:space="preserve"> </v>
      </c>
      <c r="HT17" s="366"/>
      <c r="HU17" s="366"/>
      <c r="HV17" s="54" t="str">
        <f t="shared" si="68"/>
        <v xml:space="preserve"> </v>
      </c>
      <c r="HW17" s="367"/>
      <c r="HX17" s="373"/>
      <c r="HY17" s="49"/>
      <c r="HZ17" s="346"/>
      <c r="IA17" s="177"/>
      <c r="IB17" s="177" t="str">
        <f t="shared" si="69"/>
        <v xml:space="preserve"> </v>
      </c>
      <c r="IC17" s="54" t="str">
        <f t="shared" ca="1" si="70"/>
        <v xml:space="preserve"> </v>
      </c>
      <c r="ID17" s="346"/>
      <c r="IE17" s="346"/>
      <c r="IF17" s="49" t="str">
        <f t="shared" si="71"/>
        <v xml:space="preserve"> </v>
      </c>
      <c r="IG17" s="374"/>
      <c r="IH17" s="369"/>
      <c r="II17" s="366"/>
      <c r="IJ17" s="366"/>
      <c r="IK17" s="366"/>
      <c r="IL17" s="177" t="str">
        <f t="shared" si="72"/>
        <v xml:space="preserve"> </v>
      </c>
      <c r="IM17" s="54" t="str">
        <f t="shared" ca="1" si="73"/>
        <v xml:space="preserve"> </v>
      </c>
      <c r="IN17" s="366"/>
      <c r="IO17" s="366"/>
      <c r="IP17" s="54" t="str">
        <f t="shared" si="74"/>
        <v xml:space="preserve"> </v>
      </c>
      <c r="IQ17" s="367"/>
      <c r="IR17" s="373"/>
      <c r="IS17" s="346"/>
      <c r="IT17" s="346"/>
      <c r="IU17" s="346"/>
      <c r="IV17" s="177" t="str">
        <f t="shared" si="75"/>
        <v xml:space="preserve"> </v>
      </c>
      <c r="IW17" s="54" t="str">
        <f t="shared" ca="1" si="76"/>
        <v xml:space="preserve"> </v>
      </c>
      <c r="IX17" s="346"/>
      <c r="IY17" s="346"/>
      <c r="IZ17" s="54" t="str">
        <f t="shared" si="77"/>
        <v xml:space="preserve"> </v>
      </c>
      <c r="JA17" s="374"/>
      <c r="JB17" s="369"/>
      <c r="JC17" s="366"/>
      <c r="JD17" s="366"/>
      <c r="JE17" s="366"/>
      <c r="JF17" s="177" t="str">
        <f t="shared" si="78"/>
        <v xml:space="preserve"> </v>
      </c>
      <c r="JG17" s="54" t="str">
        <f t="shared" ca="1" si="79"/>
        <v xml:space="preserve"> </v>
      </c>
      <c r="JH17" s="366"/>
      <c r="JI17" s="366"/>
      <c r="JJ17" s="54" t="str">
        <f t="shared" si="80"/>
        <v xml:space="preserve"> </v>
      </c>
      <c r="JK17" s="367"/>
      <c r="JL17" s="373"/>
      <c r="JM17" s="346"/>
      <c r="JN17" s="346"/>
      <c r="JO17" s="346"/>
      <c r="JP17" s="346" t="str">
        <f t="shared" si="81"/>
        <v xml:space="preserve"> </v>
      </c>
      <c r="JQ17" s="54" t="str">
        <f t="shared" ca="1" si="82"/>
        <v xml:space="preserve"> </v>
      </c>
      <c r="JR17" s="346"/>
      <c r="JS17" s="346"/>
      <c r="JT17" s="54" t="str">
        <f t="shared" si="83"/>
        <v xml:space="preserve"> </v>
      </c>
      <c r="JU17" s="374"/>
      <c r="JV17" s="369"/>
      <c r="JW17" s="366"/>
      <c r="JX17" s="366"/>
      <c r="JY17" s="366"/>
      <c r="JZ17" s="366" t="str">
        <f t="shared" si="84"/>
        <v xml:space="preserve"> </v>
      </c>
      <c r="KA17" s="54" t="str">
        <f t="shared" ca="1" si="85"/>
        <v xml:space="preserve"> </v>
      </c>
      <c r="KB17" s="366"/>
      <c r="KC17" s="366"/>
      <c r="KD17" s="54" t="str">
        <f t="shared" si="86"/>
        <v xml:space="preserve"> </v>
      </c>
      <c r="KE17" s="367"/>
      <c r="KF17" s="373"/>
      <c r="KG17" s="346"/>
      <c r="KH17" s="346"/>
      <c r="KI17" s="346"/>
      <c r="KJ17" s="346" t="str">
        <f t="shared" si="87"/>
        <v xml:space="preserve"> </v>
      </c>
      <c r="KK17" s="54" t="str">
        <f t="shared" ca="1" si="88"/>
        <v xml:space="preserve"> </v>
      </c>
      <c r="KL17" s="346"/>
      <c r="KM17" s="346"/>
      <c r="KN17" s="54" t="str">
        <f t="shared" si="89"/>
        <v xml:space="preserve"> </v>
      </c>
      <c r="KO17" s="374"/>
      <c r="KP17" s="369"/>
      <c r="KQ17" s="366"/>
      <c r="KR17" s="366"/>
      <c r="KS17" s="366"/>
      <c r="KT17" s="366" t="str">
        <f t="shared" si="90"/>
        <v xml:space="preserve"> </v>
      </c>
      <c r="KU17" s="54" t="str">
        <f t="shared" ca="1" si="91"/>
        <v xml:space="preserve"> </v>
      </c>
      <c r="KV17" s="366"/>
      <c r="KW17" s="366"/>
      <c r="KX17" s="54" t="str">
        <f t="shared" si="92"/>
        <v xml:space="preserve"> </v>
      </c>
      <c r="KY17" s="367"/>
      <c r="KZ17" s="373"/>
      <c r="LA17" s="346"/>
      <c r="LB17" s="346"/>
      <c r="LC17" s="346"/>
      <c r="LD17" s="346" t="str">
        <f t="shared" si="93"/>
        <v xml:space="preserve"> </v>
      </c>
      <c r="LE17" s="54" t="str">
        <f t="shared" ca="1" si="94"/>
        <v xml:space="preserve"> </v>
      </c>
      <c r="LF17" s="346"/>
      <c r="LG17" s="346"/>
      <c r="LH17" s="54" t="str">
        <f t="shared" si="95"/>
        <v xml:space="preserve"> </v>
      </c>
      <c r="LI17" s="374"/>
      <c r="LJ17" s="369"/>
      <c r="LK17" s="366"/>
      <c r="LL17" s="366"/>
      <c r="LM17" s="366"/>
      <c r="LN17" s="366" t="str">
        <f t="shared" si="96"/>
        <v xml:space="preserve"> </v>
      </c>
      <c r="LO17" s="54" t="str">
        <f t="shared" ca="1" si="97"/>
        <v xml:space="preserve"> </v>
      </c>
      <c r="LP17" s="366"/>
      <c r="LQ17" s="366"/>
      <c r="LR17" s="54" t="str">
        <f t="shared" si="98"/>
        <v xml:space="preserve"> </v>
      </c>
      <c r="LS17" s="367"/>
      <c r="LT17" s="373"/>
      <c r="LU17" s="346"/>
      <c r="LV17" s="346"/>
      <c r="LW17" s="346"/>
      <c r="LX17" s="346"/>
      <c r="LY17" s="54" t="str">
        <f t="shared" ca="1" si="99"/>
        <v xml:space="preserve"> </v>
      </c>
      <c r="LZ17" s="346"/>
      <c r="MA17" s="346"/>
      <c r="MB17" s="54" t="str">
        <f t="shared" si="100"/>
        <v xml:space="preserve"> </v>
      </c>
      <c r="MC17" s="374"/>
      <c r="MD17" s="369"/>
      <c r="ME17" s="366"/>
      <c r="MF17" s="366"/>
      <c r="MG17" s="366"/>
      <c r="MH17" s="366"/>
      <c r="MI17" s="54" t="str">
        <f t="shared" ca="1" si="101"/>
        <v xml:space="preserve"> </v>
      </c>
      <c r="MJ17" s="366"/>
      <c r="MK17" s="366"/>
      <c r="ML17" s="54" t="str">
        <f t="shared" si="102"/>
        <v xml:space="preserve"> </v>
      </c>
      <c r="MM17" s="367"/>
      <c r="MN17" s="373"/>
      <c r="MO17" s="346"/>
      <c r="MP17" s="346"/>
      <c r="MQ17" s="346"/>
      <c r="MR17" s="346"/>
      <c r="MS17" s="54" t="str">
        <f t="shared" ca="1" si="103"/>
        <v xml:space="preserve"> </v>
      </c>
      <c r="MT17" s="346"/>
      <c r="MU17" s="346"/>
      <c r="MV17" s="54" t="str">
        <f t="shared" si="104"/>
        <v xml:space="preserve"> </v>
      </c>
      <c r="MW17" s="374"/>
      <c r="MX17" s="369"/>
      <c r="MY17" s="366"/>
      <c r="MZ17" s="366"/>
      <c r="NA17" s="366"/>
      <c r="NB17" s="366"/>
      <c r="NC17" s="54" t="str">
        <f t="shared" ca="1" si="105"/>
        <v xml:space="preserve"> </v>
      </c>
      <c r="ND17" s="366"/>
      <c r="NE17" s="366"/>
      <c r="NF17" s="54" t="str">
        <f t="shared" si="106"/>
        <v xml:space="preserve"> </v>
      </c>
      <c r="NG17" s="367"/>
      <c r="NH17" s="373"/>
      <c r="NI17" s="346"/>
      <c r="NJ17" s="346"/>
      <c r="NK17" s="346"/>
      <c r="NL17" s="346"/>
      <c r="NM17" s="54" t="str">
        <f t="shared" ca="1" si="107"/>
        <v xml:space="preserve"> </v>
      </c>
      <c r="NN17" s="346"/>
      <c r="NO17" s="346"/>
      <c r="NP17" s="54" t="str">
        <f t="shared" si="108"/>
        <v xml:space="preserve"> </v>
      </c>
      <c r="NQ17" s="374"/>
      <c r="NR17" s="369"/>
      <c r="NS17" s="366"/>
      <c r="NT17" s="366"/>
      <c r="NU17" s="366"/>
      <c r="NV17" s="366"/>
      <c r="NW17" s="54" t="str">
        <f t="shared" ca="1" si="109"/>
        <v xml:space="preserve"> </v>
      </c>
      <c r="NX17" s="366"/>
      <c r="NY17" s="366"/>
      <c r="NZ17" s="54" t="str">
        <f t="shared" si="110"/>
        <v xml:space="preserve"> </v>
      </c>
      <c r="OA17" s="367"/>
      <c r="OB17" s="373"/>
      <c r="OC17" s="346"/>
      <c r="OD17" s="346"/>
      <c r="OE17" s="346"/>
      <c r="OF17" s="346"/>
      <c r="OG17" s="54" t="str">
        <f t="shared" ca="1" si="111"/>
        <v xml:space="preserve"> </v>
      </c>
      <c r="OH17" s="346"/>
      <c r="OI17" s="346"/>
      <c r="OJ17" s="54" t="str">
        <f t="shared" si="112"/>
        <v xml:space="preserve"> </v>
      </c>
      <c r="OK17" s="374"/>
    </row>
    <row r="18" spans="1:401" s="44" customFormat="1" ht="22.2" customHeight="1" x14ac:dyDescent="0.3">
      <c r="A18" s="355" t="s">
        <v>159</v>
      </c>
      <c r="B18" s="356" t="s">
        <v>841</v>
      </c>
      <c r="C18" s="37">
        <v>53902</v>
      </c>
      <c r="D18" s="357" t="s">
        <v>926</v>
      </c>
      <c r="E18" s="91">
        <v>45540</v>
      </c>
      <c r="F18" s="91">
        <f t="shared" si="0"/>
        <v>45905</v>
      </c>
      <c r="G18" s="37" t="str">
        <f t="shared" ca="1" si="113"/>
        <v>VIGENTE</v>
      </c>
      <c r="H18" s="37"/>
      <c r="I18" s="37"/>
      <c r="J18" s="37" t="str">
        <f t="shared" si="2"/>
        <v>C.C.</v>
      </c>
      <c r="K18" s="170"/>
      <c r="L18" s="125"/>
      <c r="M18" s="12"/>
      <c r="N18" s="12"/>
      <c r="O18" s="91"/>
      <c r="P18" s="91" t="str">
        <f t="shared" si="3"/>
        <v xml:space="preserve"> </v>
      </c>
      <c r="Q18" s="37" t="str">
        <f t="shared" ca="1" si="4"/>
        <v xml:space="preserve"> </v>
      </c>
      <c r="R18" s="37"/>
      <c r="S18" s="37"/>
      <c r="T18" s="37" t="str">
        <f>IFERROR(VLOOKUP(L18,TIPODET1,2,FALSE)," ")</f>
        <v xml:space="preserve"> </v>
      </c>
      <c r="U18" s="170"/>
      <c r="V18" s="356"/>
      <c r="W18" s="357"/>
      <c r="X18" s="357"/>
      <c r="Y18" s="358"/>
      <c r="Z18" s="358" t="str">
        <f t="shared" si="6"/>
        <v xml:space="preserve"> </v>
      </c>
      <c r="AA18" s="37" t="str">
        <f t="shared" ca="1" si="7"/>
        <v xml:space="preserve"> </v>
      </c>
      <c r="AB18" s="357"/>
      <c r="AC18" s="357"/>
      <c r="AD18" s="37" t="str">
        <f>IFERROR(VLOOKUP(V18,TIPODET1,2,FALSE)," ")</f>
        <v xml:space="preserve"> </v>
      </c>
      <c r="AE18" s="359"/>
      <c r="AF18" s="360"/>
      <c r="AG18" s="348"/>
      <c r="AH18" s="348"/>
      <c r="AI18" s="14"/>
      <c r="AJ18" s="14" t="str">
        <f t="shared" si="9"/>
        <v xml:space="preserve"> </v>
      </c>
      <c r="AK18" s="37" t="str">
        <f t="shared" ca="1" si="10"/>
        <v xml:space="preserve"> </v>
      </c>
      <c r="AL18" s="348"/>
      <c r="AM18" s="348"/>
      <c r="AN18" s="12" t="str">
        <f t="shared" si="11"/>
        <v xml:space="preserve"> </v>
      </c>
      <c r="AO18" s="361"/>
      <c r="AP18" s="356"/>
      <c r="AQ18" s="357"/>
      <c r="AR18" s="357"/>
      <c r="AS18" s="358"/>
      <c r="AT18" s="358" t="str">
        <f t="shared" si="12"/>
        <v xml:space="preserve"> </v>
      </c>
      <c r="AU18" s="37" t="str">
        <f t="shared" ca="1" si="13"/>
        <v xml:space="preserve"> </v>
      </c>
      <c r="AV18" s="357"/>
      <c r="AW18" s="357"/>
      <c r="AX18" s="37" t="str">
        <f t="shared" si="14"/>
        <v xml:space="preserve"> </v>
      </c>
      <c r="AY18" s="359"/>
      <c r="AZ18" s="360"/>
      <c r="BA18" s="348"/>
      <c r="BB18" s="348"/>
      <c r="BC18" s="362"/>
      <c r="BD18" s="362" t="str">
        <f t="shared" si="15"/>
        <v xml:space="preserve"> </v>
      </c>
      <c r="BE18" s="37" t="str">
        <f t="shared" ca="1" si="16"/>
        <v xml:space="preserve"> </v>
      </c>
      <c r="BF18" s="348"/>
      <c r="BG18" s="348"/>
      <c r="BH18" s="12" t="str">
        <f t="shared" si="17"/>
        <v xml:space="preserve"> </v>
      </c>
      <c r="BI18" s="361"/>
      <c r="BJ18" s="356"/>
      <c r="BK18" s="357"/>
      <c r="BL18" s="357"/>
      <c r="BM18" s="358"/>
      <c r="BN18" s="358" t="str">
        <f t="shared" si="18"/>
        <v xml:space="preserve"> </v>
      </c>
      <c r="BO18" s="37" t="str">
        <f t="shared" ca="1" si="19"/>
        <v xml:space="preserve"> </v>
      </c>
      <c r="BP18" s="357"/>
      <c r="BQ18" s="357"/>
      <c r="BR18" s="37" t="str">
        <f t="shared" si="20"/>
        <v xml:space="preserve"> </v>
      </c>
      <c r="BS18" s="359"/>
      <c r="BT18" s="360"/>
      <c r="BU18" s="348"/>
      <c r="BV18" s="348"/>
      <c r="BW18" s="362"/>
      <c r="BX18" s="362" t="str">
        <f t="shared" si="21"/>
        <v xml:space="preserve"> </v>
      </c>
      <c r="BY18" s="37" t="str">
        <f t="shared" ca="1" si="22"/>
        <v xml:space="preserve"> </v>
      </c>
      <c r="BZ18" s="348"/>
      <c r="CA18" s="348"/>
      <c r="CB18" s="12" t="str">
        <f t="shared" si="23"/>
        <v xml:space="preserve"> </v>
      </c>
      <c r="CC18" s="361"/>
      <c r="CD18" s="356"/>
      <c r="CE18" s="37"/>
      <c r="CF18" s="357"/>
      <c r="CG18" s="357"/>
      <c r="CH18" s="357" t="str">
        <f t="shared" si="24"/>
        <v xml:space="preserve"> </v>
      </c>
      <c r="CI18" s="37" t="str">
        <f t="shared" ca="1" si="25"/>
        <v xml:space="preserve"> </v>
      </c>
      <c r="CJ18" s="357"/>
      <c r="CK18" s="357"/>
      <c r="CL18" s="37" t="str">
        <f t="shared" si="26"/>
        <v xml:space="preserve"> </v>
      </c>
      <c r="CM18" s="359"/>
      <c r="CN18" s="360"/>
      <c r="CO18" s="12"/>
      <c r="CP18" s="348"/>
      <c r="CQ18" s="348"/>
      <c r="CR18" s="348" t="str">
        <f t="shared" si="27"/>
        <v xml:space="preserve"> </v>
      </c>
      <c r="CS18" s="37" t="str">
        <f t="shared" ca="1" si="28"/>
        <v xml:space="preserve"> </v>
      </c>
      <c r="CT18" s="348"/>
      <c r="CU18" s="348"/>
      <c r="CV18" s="12" t="str">
        <f t="shared" si="29"/>
        <v xml:space="preserve"> </v>
      </c>
      <c r="CW18" s="361"/>
      <c r="CX18" s="356"/>
      <c r="CY18" s="37"/>
      <c r="CZ18" s="357"/>
      <c r="DA18" s="357"/>
      <c r="DB18" s="357" t="str">
        <f t="shared" si="30"/>
        <v xml:space="preserve"> </v>
      </c>
      <c r="DC18" s="37" t="str">
        <f t="shared" ca="1" si="31"/>
        <v xml:space="preserve"> </v>
      </c>
      <c r="DD18" s="357"/>
      <c r="DE18" s="357"/>
      <c r="DF18" s="37" t="str">
        <f t="shared" si="32"/>
        <v xml:space="preserve"> </v>
      </c>
      <c r="DG18" s="359"/>
      <c r="DH18" s="360"/>
      <c r="DI18" s="12"/>
      <c r="DJ18" s="348"/>
      <c r="DK18" s="348"/>
      <c r="DL18" s="348" t="str">
        <f t="shared" si="33"/>
        <v xml:space="preserve"> </v>
      </c>
      <c r="DM18" s="37" t="str">
        <f t="shared" ca="1" si="34"/>
        <v xml:space="preserve"> </v>
      </c>
      <c r="DN18" s="348"/>
      <c r="DO18" s="348"/>
      <c r="DP18" s="12" t="str">
        <f t="shared" si="35"/>
        <v xml:space="preserve"> </v>
      </c>
      <c r="DQ18" s="361"/>
      <c r="DR18" s="356"/>
      <c r="DS18" s="37"/>
      <c r="DT18" s="357"/>
      <c r="DU18" s="357"/>
      <c r="DV18" s="14" t="str">
        <f t="shared" si="36"/>
        <v xml:space="preserve"> </v>
      </c>
      <c r="DW18" s="37" t="str">
        <f t="shared" ca="1" si="37"/>
        <v xml:space="preserve"> </v>
      </c>
      <c r="DX18" s="357"/>
      <c r="DY18" s="357"/>
      <c r="DZ18" s="37" t="str">
        <f t="shared" si="38"/>
        <v xml:space="preserve"> </v>
      </c>
      <c r="EA18" s="359"/>
      <c r="EB18" s="360"/>
      <c r="EC18" s="12"/>
      <c r="ED18" s="348"/>
      <c r="EE18" s="348"/>
      <c r="EF18" s="91" t="str">
        <f t="shared" si="39"/>
        <v xml:space="preserve"> </v>
      </c>
      <c r="EG18" s="37" t="str">
        <f t="shared" ca="1" si="40"/>
        <v xml:space="preserve"> </v>
      </c>
      <c r="EH18" s="348"/>
      <c r="EI18" s="348"/>
      <c r="EJ18" s="12" t="str">
        <f t="shared" si="41"/>
        <v xml:space="preserve"> </v>
      </c>
      <c r="EK18" s="361"/>
      <c r="EL18" s="356"/>
      <c r="EM18" s="37"/>
      <c r="EN18" s="357"/>
      <c r="EO18" s="357"/>
      <c r="EP18" s="91" t="str">
        <f t="shared" si="42"/>
        <v xml:space="preserve"> </v>
      </c>
      <c r="EQ18" s="37" t="str">
        <f t="shared" ca="1" si="43"/>
        <v xml:space="preserve"> </v>
      </c>
      <c r="ER18" s="357"/>
      <c r="ES18" s="357"/>
      <c r="ET18" s="37" t="str">
        <f t="shared" si="44"/>
        <v xml:space="preserve"> </v>
      </c>
      <c r="EU18" s="359"/>
      <c r="EV18" s="360"/>
      <c r="EW18" s="12"/>
      <c r="EX18" s="348"/>
      <c r="EY18" s="348"/>
      <c r="EZ18" s="91" t="str">
        <f t="shared" si="45"/>
        <v xml:space="preserve"> </v>
      </c>
      <c r="FA18" s="37" t="str">
        <f t="shared" ca="1" si="46"/>
        <v xml:space="preserve"> </v>
      </c>
      <c r="FB18" s="348"/>
      <c r="FC18" s="348"/>
      <c r="FD18" s="12" t="str">
        <f t="shared" si="47"/>
        <v xml:space="preserve"> </v>
      </c>
      <c r="FE18" s="361"/>
      <c r="FF18" s="356"/>
      <c r="FG18" s="37"/>
      <c r="FH18" s="357"/>
      <c r="FI18" s="357"/>
      <c r="FJ18" s="91" t="str">
        <f t="shared" si="48"/>
        <v xml:space="preserve"> </v>
      </c>
      <c r="FK18" s="37" t="str">
        <f t="shared" ca="1" si="49"/>
        <v xml:space="preserve"> </v>
      </c>
      <c r="FL18" s="357"/>
      <c r="FM18" s="357"/>
      <c r="FN18" s="37" t="str">
        <f t="shared" si="50"/>
        <v xml:space="preserve"> </v>
      </c>
      <c r="FO18" s="359"/>
      <c r="FP18" s="360"/>
      <c r="FQ18" s="12"/>
      <c r="FR18" s="348"/>
      <c r="FS18" s="348"/>
      <c r="FT18" s="91" t="str">
        <f t="shared" si="51"/>
        <v xml:space="preserve"> </v>
      </c>
      <c r="FU18" s="37" t="str">
        <f t="shared" ca="1" si="52"/>
        <v xml:space="preserve"> </v>
      </c>
      <c r="FV18" s="348"/>
      <c r="FW18" s="348"/>
      <c r="FX18" s="12" t="str">
        <f t="shared" si="53"/>
        <v xml:space="preserve"> </v>
      </c>
      <c r="FY18" s="361"/>
      <c r="FZ18" s="356"/>
      <c r="GA18" s="37"/>
      <c r="GB18" s="357"/>
      <c r="GC18" s="357"/>
      <c r="GD18" s="91" t="str">
        <f t="shared" si="54"/>
        <v xml:space="preserve"> </v>
      </c>
      <c r="GE18" s="37" t="str">
        <f t="shared" ca="1" si="55"/>
        <v xml:space="preserve"> </v>
      </c>
      <c r="GF18" s="357"/>
      <c r="GG18" s="357"/>
      <c r="GH18" s="37" t="str">
        <f t="shared" si="56"/>
        <v xml:space="preserve"> </v>
      </c>
      <c r="GI18" s="359"/>
      <c r="GJ18" s="363"/>
      <c r="GK18" s="12"/>
      <c r="GL18" s="348"/>
      <c r="GM18" s="348"/>
      <c r="GN18" s="91" t="str">
        <f t="shared" si="57"/>
        <v xml:space="preserve"> </v>
      </c>
      <c r="GO18" s="37" t="str">
        <f t="shared" ca="1" si="58"/>
        <v xml:space="preserve"> </v>
      </c>
      <c r="GP18" s="348"/>
      <c r="GQ18" s="348"/>
      <c r="GR18" s="12" t="str">
        <f t="shared" si="59"/>
        <v xml:space="preserve"> </v>
      </c>
      <c r="GS18" s="364"/>
      <c r="GT18" s="356"/>
      <c r="GU18" s="37"/>
      <c r="GV18" s="357"/>
      <c r="GW18" s="357"/>
      <c r="GX18" s="91" t="str">
        <f t="shared" si="60"/>
        <v xml:space="preserve"> </v>
      </c>
      <c r="GY18" s="37" t="str">
        <f t="shared" ca="1" si="61"/>
        <v xml:space="preserve"> </v>
      </c>
      <c r="GZ18" s="357"/>
      <c r="HA18" s="357"/>
      <c r="HB18" s="37" t="str">
        <f t="shared" si="62"/>
        <v xml:space="preserve"> </v>
      </c>
      <c r="HC18" s="359"/>
      <c r="HD18" s="363"/>
      <c r="HE18" s="12"/>
      <c r="HF18" s="348"/>
      <c r="HG18" s="348"/>
      <c r="HH18" s="91" t="str">
        <f t="shared" si="63"/>
        <v xml:space="preserve"> </v>
      </c>
      <c r="HI18" s="37" t="str">
        <f t="shared" ca="1" si="64"/>
        <v xml:space="preserve"> </v>
      </c>
      <c r="HJ18" s="348"/>
      <c r="HK18" s="348"/>
      <c r="HL18" s="12" t="str">
        <f t="shared" si="65"/>
        <v xml:space="preserve"> </v>
      </c>
      <c r="HM18" s="364"/>
      <c r="HN18" s="356"/>
      <c r="HO18" s="37"/>
      <c r="HP18" s="357"/>
      <c r="HQ18" s="357"/>
      <c r="HR18" s="91" t="str">
        <f t="shared" si="66"/>
        <v xml:space="preserve"> </v>
      </c>
      <c r="HS18" s="37" t="str">
        <f t="shared" ca="1" si="67"/>
        <v xml:space="preserve"> </v>
      </c>
      <c r="HT18" s="357"/>
      <c r="HU18" s="357"/>
      <c r="HV18" s="37" t="str">
        <f t="shared" si="68"/>
        <v xml:space="preserve"> </v>
      </c>
      <c r="HW18" s="359"/>
      <c r="HX18" s="363"/>
      <c r="HY18" s="12"/>
      <c r="HZ18" s="348"/>
      <c r="IA18" s="348"/>
      <c r="IB18" s="91" t="str">
        <f t="shared" si="69"/>
        <v xml:space="preserve"> </v>
      </c>
      <c r="IC18" s="37" t="str">
        <f t="shared" ca="1" si="70"/>
        <v xml:space="preserve"> </v>
      </c>
      <c r="ID18" s="348"/>
      <c r="IE18" s="348"/>
      <c r="IF18" s="12" t="str">
        <f t="shared" si="71"/>
        <v xml:space="preserve"> </v>
      </c>
      <c r="IG18" s="364"/>
      <c r="IH18" s="356"/>
      <c r="II18" s="357"/>
      <c r="IJ18" s="357"/>
      <c r="IK18" s="357"/>
      <c r="IL18" s="91" t="str">
        <f t="shared" si="72"/>
        <v xml:space="preserve"> </v>
      </c>
      <c r="IM18" s="37" t="str">
        <f t="shared" ca="1" si="73"/>
        <v xml:space="preserve"> </v>
      </c>
      <c r="IN18" s="357"/>
      <c r="IO18" s="357"/>
      <c r="IP18" s="37" t="str">
        <f t="shared" si="74"/>
        <v xml:space="preserve"> </v>
      </c>
      <c r="IQ18" s="359"/>
      <c r="IR18" s="363"/>
      <c r="IS18" s="348"/>
      <c r="IT18" s="348"/>
      <c r="IU18" s="348"/>
      <c r="IV18" s="91" t="str">
        <f t="shared" si="75"/>
        <v xml:space="preserve"> </v>
      </c>
      <c r="IW18" s="37" t="str">
        <f t="shared" ca="1" si="76"/>
        <v xml:space="preserve"> </v>
      </c>
      <c r="IX18" s="348"/>
      <c r="IY18" s="348"/>
      <c r="IZ18" s="37" t="str">
        <f t="shared" si="77"/>
        <v xml:space="preserve"> </v>
      </c>
      <c r="JA18" s="364"/>
      <c r="JB18" s="356"/>
      <c r="JC18" s="357"/>
      <c r="JD18" s="357"/>
      <c r="JE18" s="357"/>
      <c r="JF18" s="91" t="str">
        <f t="shared" si="78"/>
        <v xml:space="preserve"> </v>
      </c>
      <c r="JG18" s="37" t="str">
        <f t="shared" ca="1" si="79"/>
        <v xml:space="preserve"> </v>
      </c>
      <c r="JH18" s="357"/>
      <c r="JI18" s="357"/>
      <c r="JJ18" s="37" t="str">
        <f t="shared" si="80"/>
        <v xml:space="preserve"> </v>
      </c>
      <c r="JK18" s="359"/>
      <c r="JL18" s="363"/>
      <c r="JM18" s="348"/>
      <c r="JN18" s="348"/>
      <c r="JO18" s="348"/>
      <c r="JP18" s="348" t="str">
        <f t="shared" si="81"/>
        <v xml:space="preserve"> </v>
      </c>
      <c r="JQ18" s="37" t="str">
        <f t="shared" ca="1" si="82"/>
        <v xml:space="preserve"> </v>
      </c>
      <c r="JR18" s="348"/>
      <c r="JS18" s="348"/>
      <c r="JT18" s="37" t="str">
        <f t="shared" si="83"/>
        <v xml:space="preserve"> </v>
      </c>
      <c r="JU18" s="364"/>
      <c r="JV18" s="356"/>
      <c r="JW18" s="357"/>
      <c r="JX18" s="357"/>
      <c r="JY18" s="357"/>
      <c r="JZ18" s="357" t="str">
        <f t="shared" si="84"/>
        <v xml:space="preserve"> </v>
      </c>
      <c r="KA18" s="37" t="str">
        <f t="shared" ca="1" si="85"/>
        <v xml:space="preserve"> </v>
      </c>
      <c r="KB18" s="357"/>
      <c r="KC18" s="357"/>
      <c r="KD18" s="37" t="str">
        <f t="shared" si="86"/>
        <v xml:space="preserve"> </v>
      </c>
      <c r="KE18" s="359"/>
      <c r="KF18" s="363"/>
      <c r="KG18" s="348"/>
      <c r="KH18" s="348"/>
      <c r="KI18" s="348"/>
      <c r="KJ18" s="348" t="str">
        <f t="shared" si="87"/>
        <v xml:space="preserve"> </v>
      </c>
      <c r="KK18" s="37" t="str">
        <f t="shared" ca="1" si="88"/>
        <v xml:space="preserve"> </v>
      </c>
      <c r="KL18" s="348"/>
      <c r="KM18" s="348"/>
      <c r="KN18" s="37" t="str">
        <f t="shared" si="89"/>
        <v xml:space="preserve"> </v>
      </c>
      <c r="KO18" s="364"/>
      <c r="KP18" s="356"/>
      <c r="KQ18" s="357"/>
      <c r="KR18" s="357"/>
      <c r="KS18" s="357"/>
      <c r="KT18" s="357" t="str">
        <f t="shared" si="90"/>
        <v xml:space="preserve"> </v>
      </c>
      <c r="KU18" s="37" t="str">
        <f t="shared" ca="1" si="91"/>
        <v xml:space="preserve"> </v>
      </c>
      <c r="KV18" s="357"/>
      <c r="KW18" s="357"/>
      <c r="KX18" s="37" t="str">
        <f t="shared" si="92"/>
        <v xml:space="preserve"> </v>
      </c>
      <c r="KY18" s="359"/>
      <c r="KZ18" s="363"/>
      <c r="LA18" s="348"/>
      <c r="LB18" s="348"/>
      <c r="LC18" s="348"/>
      <c r="LD18" s="348" t="str">
        <f t="shared" si="93"/>
        <v xml:space="preserve"> </v>
      </c>
      <c r="LE18" s="37" t="str">
        <f t="shared" ca="1" si="94"/>
        <v xml:space="preserve"> </v>
      </c>
      <c r="LF18" s="348"/>
      <c r="LG18" s="348"/>
      <c r="LH18" s="37" t="str">
        <f t="shared" si="95"/>
        <v xml:space="preserve"> </v>
      </c>
      <c r="LI18" s="364"/>
      <c r="LJ18" s="356"/>
      <c r="LK18" s="357"/>
      <c r="LL18" s="357"/>
      <c r="LM18" s="357"/>
      <c r="LN18" s="357" t="str">
        <f t="shared" si="96"/>
        <v xml:space="preserve"> </v>
      </c>
      <c r="LO18" s="37" t="str">
        <f t="shared" ca="1" si="97"/>
        <v xml:space="preserve"> </v>
      </c>
      <c r="LP18" s="357"/>
      <c r="LQ18" s="357"/>
      <c r="LR18" s="37" t="str">
        <f t="shared" si="98"/>
        <v xml:space="preserve"> </v>
      </c>
      <c r="LS18" s="359"/>
      <c r="LT18" s="363"/>
      <c r="LU18" s="348"/>
      <c r="LV18" s="348"/>
      <c r="LW18" s="348"/>
      <c r="LX18" s="348"/>
      <c r="LY18" s="37" t="str">
        <f t="shared" ca="1" si="99"/>
        <v xml:space="preserve"> </v>
      </c>
      <c r="LZ18" s="348"/>
      <c r="MA18" s="348"/>
      <c r="MB18" s="37" t="str">
        <f t="shared" si="100"/>
        <v xml:space="preserve"> </v>
      </c>
      <c r="MC18" s="364"/>
      <c r="MD18" s="356"/>
      <c r="ME18" s="357"/>
      <c r="MF18" s="357"/>
      <c r="MG18" s="357"/>
      <c r="MH18" s="357"/>
      <c r="MI18" s="37" t="str">
        <f t="shared" ca="1" si="101"/>
        <v xml:space="preserve"> </v>
      </c>
      <c r="MJ18" s="357"/>
      <c r="MK18" s="357"/>
      <c r="ML18" s="37" t="str">
        <f t="shared" si="102"/>
        <v xml:space="preserve"> </v>
      </c>
      <c r="MM18" s="359"/>
      <c r="MN18" s="363"/>
      <c r="MO18" s="348"/>
      <c r="MP18" s="348"/>
      <c r="MQ18" s="348"/>
      <c r="MR18" s="348"/>
      <c r="MS18" s="37" t="str">
        <f t="shared" ca="1" si="103"/>
        <v xml:space="preserve"> </v>
      </c>
      <c r="MT18" s="348"/>
      <c r="MU18" s="348"/>
      <c r="MV18" s="37" t="str">
        <f t="shared" si="104"/>
        <v xml:space="preserve"> </v>
      </c>
      <c r="MW18" s="364"/>
      <c r="MX18" s="356"/>
      <c r="MY18" s="357"/>
      <c r="MZ18" s="357"/>
      <c r="NA18" s="357"/>
      <c r="NB18" s="357"/>
      <c r="NC18" s="37" t="str">
        <f t="shared" ca="1" si="105"/>
        <v xml:space="preserve"> </v>
      </c>
      <c r="ND18" s="357"/>
      <c r="NE18" s="357"/>
      <c r="NF18" s="37" t="str">
        <f t="shared" si="106"/>
        <v xml:space="preserve"> </v>
      </c>
      <c r="NG18" s="359"/>
      <c r="NH18" s="363"/>
      <c r="NI18" s="348"/>
      <c r="NJ18" s="348"/>
      <c r="NK18" s="348"/>
      <c r="NL18" s="348"/>
      <c r="NM18" s="37" t="str">
        <f t="shared" ca="1" si="107"/>
        <v xml:space="preserve"> </v>
      </c>
      <c r="NN18" s="348"/>
      <c r="NO18" s="348"/>
      <c r="NP18" s="37" t="str">
        <f t="shared" si="108"/>
        <v xml:space="preserve"> </v>
      </c>
      <c r="NQ18" s="364"/>
      <c r="NR18" s="356"/>
      <c r="NS18" s="357"/>
      <c r="NT18" s="357"/>
      <c r="NU18" s="357"/>
      <c r="NV18" s="357"/>
      <c r="NW18" s="37" t="str">
        <f t="shared" ca="1" si="109"/>
        <v xml:space="preserve"> </v>
      </c>
      <c r="NX18" s="357"/>
      <c r="NY18" s="357"/>
      <c r="NZ18" s="37" t="str">
        <f t="shared" si="110"/>
        <v xml:space="preserve"> </v>
      </c>
      <c r="OA18" s="359"/>
      <c r="OB18" s="363"/>
      <c r="OC18" s="348"/>
      <c r="OD18" s="348"/>
      <c r="OE18" s="348"/>
      <c r="OF18" s="348"/>
      <c r="OG18" s="37" t="str">
        <f t="shared" ca="1" si="111"/>
        <v xml:space="preserve"> </v>
      </c>
      <c r="OH18" s="348"/>
      <c r="OI18" s="348"/>
      <c r="OJ18" s="37" t="str">
        <f t="shared" si="112"/>
        <v xml:space="preserve"> </v>
      </c>
      <c r="OK18" s="364"/>
    </row>
    <row r="19" spans="1:401" s="44" customFormat="1" ht="22.2" customHeight="1" x14ac:dyDescent="0.3">
      <c r="A19" s="365" t="s">
        <v>130</v>
      </c>
      <c r="B19" s="369" t="s">
        <v>854</v>
      </c>
      <c r="C19" s="54" t="s">
        <v>927</v>
      </c>
      <c r="D19" s="366" t="s">
        <v>928</v>
      </c>
      <c r="E19" s="177">
        <v>45573</v>
      </c>
      <c r="F19" s="177">
        <f t="shared" si="0"/>
        <v>45938</v>
      </c>
      <c r="G19" s="54" t="str">
        <f t="shared" ca="1" si="113"/>
        <v>VIGENTE</v>
      </c>
      <c r="H19" s="54"/>
      <c r="I19" s="54"/>
      <c r="J19" s="54" t="str">
        <f t="shared" si="2"/>
        <v>G.M.</v>
      </c>
      <c r="K19" s="171"/>
      <c r="L19" s="66"/>
      <c r="M19" s="49"/>
      <c r="N19" s="66"/>
      <c r="O19" s="177"/>
      <c r="P19" s="177" t="str">
        <f t="shared" si="3"/>
        <v xml:space="preserve"> </v>
      </c>
      <c r="Q19" s="49" t="str">
        <f t="shared" ca="1" si="4"/>
        <v xml:space="preserve"> </v>
      </c>
      <c r="R19" s="54"/>
      <c r="S19" s="54"/>
      <c r="T19" s="54" t="str">
        <f t="shared" si="5"/>
        <v xml:space="preserve"> </v>
      </c>
      <c r="U19" s="171"/>
      <c r="V19" s="369"/>
      <c r="W19" s="49"/>
      <c r="X19" s="66"/>
      <c r="Y19" s="65"/>
      <c r="Z19" s="65" t="str">
        <f t="shared" si="6"/>
        <v xml:space="preserve"> </v>
      </c>
      <c r="AA19" s="49" t="str">
        <f t="shared" ca="1" si="7"/>
        <v xml:space="preserve"> </v>
      </c>
      <c r="AB19" s="366"/>
      <c r="AC19" s="366"/>
      <c r="AD19" s="54" t="str">
        <f t="shared" si="8"/>
        <v xml:space="preserve"> </v>
      </c>
      <c r="AE19" s="367"/>
      <c r="AF19" s="66"/>
      <c r="AG19" s="49"/>
      <c r="AH19" s="49"/>
      <c r="AI19" s="65"/>
      <c r="AJ19" s="65" t="str">
        <f t="shared" si="9"/>
        <v xml:space="preserve"> </v>
      </c>
      <c r="AK19" s="49" t="str">
        <f t="shared" ca="1" si="10"/>
        <v xml:space="preserve"> </v>
      </c>
      <c r="AL19" s="346"/>
      <c r="AM19" s="346"/>
      <c r="AN19" s="49" t="str">
        <f t="shared" si="11"/>
        <v xml:space="preserve"> </v>
      </c>
      <c r="AO19" s="368"/>
      <c r="AP19" s="369"/>
      <c r="AQ19" s="66"/>
      <c r="AR19" s="366"/>
      <c r="AS19" s="370"/>
      <c r="AT19" s="370" t="str">
        <f t="shared" si="12"/>
        <v xml:space="preserve"> </v>
      </c>
      <c r="AU19" s="49" t="str">
        <f t="shared" ca="1" si="13"/>
        <v xml:space="preserve"> </v>
      </c>
      <c r="AV19" s="366"/>
      <c r="AW19" s="366"/>
      <c r="AX19" s="54" t="str">
        <f t="shared" si="14"/>
        <v xml:space="preserve"> </v>
      </c>
      <c r="AY19" s="367"/>
      <c r="AZ19" s="371"/>
      <c r="BA19" s="49"/>
      <c r="BB19" s="49"/>
      <c r="BC19" s="65"/>
      <c r="BD19" s="65" t="str">
        <f t="shared" si="15"/>
        <v xml:space="preserve"> </v>
      </c>
      <c r="BE19" s="49" t="str">
        <f t="shared" ca="1" si="16"/>
        <v xml:space="preserve"> </v>
      </c>
      <c r="BF19" s="346"/>
      <c r="BG19" s="346"/>
      <c r="BH19" s="49" t="str">
        <f t="shared" si="17"/>
        <v xml:space="preserve"> </v>
      </c>
      <c r="BI19" s="368"/>
      <c r="BJ19" s="176"/>
      <c r="BK19" s="49"/>
      <c r="BL19" s="49"/>
      <c r="BM19" s="65"/>
      <c r="BN19" s="65" t="str">
        <f t="shared" si="18"/>
        <v xml:space="preserve"> </v>
      </c>
      <c r="BO19" s="49"/>
      <c r="BP19" s="366"/>
      <c r="BQ19" s="366"/>
      <c r="BR19" s="54" t="str">
        <f t="shared" si="20"/>
        <v xml:space="preserve"> </v>
      </c>
      <c r="BS19" s="367"/>
      <c r="BT19" s="176"/>
      <c r="BU19" s="54"/>
      <c r="BV19" s="54"/>
      <c r="BW19" s="177"/>
      <c r="BX19" s="177" t="str">
        <f t="shared" si="21"/>
        <v xml:space="preserve"> </v>
      </c>
      <c r="BY19" s="54" t="str">
        <f t="shared" ca="1" si="22"/>
        <v xml:space="preserve"> </v>
      </c>
      <c r="BZ19" s="54"/>
      <c r="CA19" s="54"/>
      <c r="CB19" s="54" t="str">
        <f t="shared" si="23"/>
        <v xml:space="preserve"> </v>
      </c>
      <c r="CC19" s="368"/>
      <c r="CD19" s="176"/>
      <c r="CE19" s="54"/>
      <c r="CF19" s="54"/>
      <c r="CG19" s="177"/>
      <c r="CH19" s="177" t="str">
        <f t="shared" si="24"/>
        <v xml:space="preserve"> </v>
      </c>
      <c r="CI19" s="54" t="str">
        <f t="shared" ca="1" si="25"/>
        <v xml:space="preserve"> </v>
      </c>
      <c r="CJ19" s="54"/>
      <c r="CK19" s="54"/>
      <c r="CL19" s="54" t="str">
        <f t="shared" si="26"/>
        <v xml:space="preserve"> </v>
      </c>
      <c r="CM19" s="367"/>
      <c r="CN19" s="371"/>
      <c r="CO19" s="49"/>
      <c r="CP19" s="346"/>
      <c r="CQ19" s="346"/>
      <c r="CR19" s="346" t="str">
        <f t="shared" si="27"/>
        <v xml:space="preserve"> </v>
      </c>
      <c r="CS19" s="49" t="str">
        <f t="shared" ca="1" si="28"/>
        <v xml:space="preserve"> </v>
      </c>
      <c r="CT19" s="346"/>
      <c r="CU19" s="346"/>
      <c r="CV19" s="49" t="str">
        <f t="shared" si="29"/>
        <v xml:space="preserve"> </v>
      </c>
      <c r="CW19" s="368"/>
      <c r="CX19" s="369"/>
      <c r="CY19" s="54"/>
      <c r="CZ19" s="366"/>
      <c r="DA19" s="366"/>
      <c r="DB19" s="366" t="str">
        <f t="shared" si="30"/>
        <v xml:space="preserve"> </v>
      </c>
      <c r="DC19" s="49" t="str">
        <f t="shared" ca="1" si="31"/>
        <v xml:space="preserve"> </v>
      </c>
      <c r="DD19" s="366"/>
      <c r="DE19" s="366"/>
      <c r="DF19" s="54" t="str">
        <f t="shared" si="32"/>
        <v xml:space="preserve"> </v>
      </c>
      <c r="DG19" s="367"/>
      <c r="DH19" s="371"/>
      <c r="DI19" s="49"/>
      <c r="DJ19" s="346"/>
      <c r="DK19" s="346"/>
      <c r="DL19" s="346" t="str">
        <f t="shared" si="33"/>
        <v xml:space="preserve"> </v>
      </c>
      <c r="DM19" s="49" t="str">
        <f t="shared" ca="1" si="34"/>
        <v xml:space="preserve"> </v>
      </c>
      <c r="DN19" s="346"/>
      <c r="DO19" s="346"/>
      <c r="DP19" s="49" t="str">
        <f t="shared" si="35"/>
        <v xml:space="preserve"> </v>
      </c>
      <c r="DQ19" s="368"/>
      <c r="DR19" s="369"/>
      <c r="DS19" s="54"/>
      <c r="DT19" s="366"/>
      <c r="DU19" s="366"/>
      <c r="DV19" s="177" t="str">
        <f t="shared" si="36"/>
        <v xml:space="preserve"> </v>
      </c>
      <c r="DW19" s="49" t="str">
        <f t="shared" ca="1" si="37"/>
        <v xml:space="preserve"> </v>
      </c>
      <c r="DX19" s="366"/>
      <c r="DY19" s="366"/>
      <c r="DZ19" s="54" t="str">
        <f t="shared" si="38"/>
        <v xml:space="preserve"> </v>
      </c>
      <c r="EA19" s="367"/>
      <c r="EB19" s="371"/>
      <c r="EC19" s="49"/>
      <c r="ED19" s="346"/>
      <c r="EE19" s="346"/>
      <c r="EF19" s="177" t="str">
        <f t="shared" si="39"/>
        <v xml:space="preserve"> </v>
      </c>
      <c r="EG19" s="49" t="str">
        <f t="shared" ca="1" si="40"/>
        <v xml:space="preserve"> </v>
      </c>
      <c r="EH19" s="346"/>
      <c r="EI19" s="346"/>
      <c r="EJ19" s="49" t="str">
        <f t="shared" si="41"/>
        <v xml:space="preserve"> </v>
      </c>
      <c r="EK19" s="368"/>
      <c r="EL19" s="369"/>
      <c r="EM19" s="54"/>
      <c r="EN19" s="366"/>
      <c r="EO19" s="366"/>
      <c r="EP19" s="177" t="str">
        <f t="shared" si="42"/>
        <v xml:space="preserve"> </v>
      </c>
      <c r="EQ19" s="49" t="str">
        <f t="shared" ca="1" si="43"/>
        <v xml:space="preserve"> </v>
      </c>
      <c r="ER19" s="366"/>
      <c r="ES19" s="366"/>
      <c r="ET19" s="54" t="str">
        <f t="shared" si="44"/>
        <v xml:space="preserve"> </v>
      </c>
      <c r="EU19" s="367"/>
      <c r="EV19" s="371"/>
      <c r="EW19" s="49"/>
      <c r="EX19" s="346"/>
      <c r="EY19" s="346"/>
      <c r="EZ19" s="177" t="str">
        <f t="shared" si="45"/>
        <v xml:space="preserve"> </v>
      </c>
      <c r="FA19" s="49" t="str">
        <f t="shared" ca="1" si="46"/>
        <v xml:space="preserve"> </v>
      </c>
      <c r="FB19" s="346"/>
      <c r="FC19" s="346"/>
      <c r="FD19" s="49" t="str">
        <f t="shared" si="47"/>
        <v xml:space="preserve"> </v>
      </c>
      <c r="FE19" s="368"/>
      <c r="FF19" s="369"/>
      <c r="FG19" s="54"/>
      <c r="FH19" s="366"/>
      <c r="FI19" s="366"/>
      <c r="FJ19" s="177" t="str">
        <f t="shared" si="48"/>
        <v xml:space="preserve"> </v>
      </c>
      <c r="FK19" s="49" t="str">
        <f t="shared" ca="1" si="49"/>
        <v xml:space="preserve"> </v>
      </c>
      <c r="FL19" s="366"/>
      <c r="FM19" s="366"/>
      <c r="FN19" s="54" t="str">
        <f t="shared" si="50"/>
        <v xml:space="preserve"> </v>
      </c>
      <c r="FO19" s="367"/>
      <c r="FP19" s="371"/>
      <c r="FQ19" s="49"/>
      <c r="FR19" s="346"/>
      <c r="FS19" s="346"/>
      <c r="FT19" s="177" t="str">
        <f t="shared" si="51"/>
        <v xml:space="preserve"> </v>
      </c>
      <c r="FU19" s="49" t="str">
        <f t="shared" ca="1" si="52"/>
        <v xml:space="preserve"> </v>
      </c>
      <c r="FV19" s="346"/>
      <c r="FW19" s="346"/>
      <c r="FX19" s="49" t="str">
        <f t="shared" si="53"/>
        <v xml:space="preserve"> </v>
      </c>
      <c r="FY19" s="368"/>
      <c r="FZ19" s="369"/>
      <c r="GA19" s="54"/>
      <c r="GB19" s="366"/>
      <c r="GC19" s="366"/>
      <c r="GD19" s="177" t="str">
        <f t="shared" si="54"/>
        <v xml:space="preserve"> </v>
      </c>
      <c r="GE19" s="49" t="str">
        <f t="shared" ca="1" si="55"/>
        <v xml:space="preserve"> </v>
      </c>
      <c r="GF19" s="366"/>
      <c r="GG19" s="366"/>
      <c r="GH19" s="54" t="str">
        <f t="shared" si="56"/>
        <v xml:space="preserve"> </v>
      </c>
      <c r="GI19" s="367"/>
      <c r="GJ19" s="373"/>
      <c r="GK19" s="49"/>
      <c r="GL19" s="346"/>
      <c r="GM19" s="346"/>
      <c r="GN19" s="177" t="str">
        <f t="shared" si="57"/>
        <v xml:space="preserve"> </v>
      </c>
      <c r="GO19" s="49" t="str">
        <f t="shared" ca="1" si="58"/>
        <v xml:space="preserve"> </v>
      </c>
      <c r="GP19" s="346"/>
      <c r="GQ19" s="346"/>
      <c r="GR19" s="49" t="str">
        <f t="shared" si="59"/>
        <v xml:space="preserve"> </v>
      </c>
      <c r="GS19" s="374"/>
      <c r="GT19" s="369"/>
      <c r="GU19" s="54"/>
      <c r="GV19" s="366"/>
      <c r="GW19" s="366"/>
      <c r="GX19" s="177" t="str">
        <f t="shared" si="60"/>
        <v xml:space="preserve"> </v>
      </c>
      <c r="GY19" s="49" t="str">
        <f t="shared" ca="1" si="61"/>
        <v xml:space="preserve"> </v>
      </c>
      <c r="GZ19" s="366"/>
      <c r="HA19" s="366"/>
      <c r="HB19" s="54" t="str">
        <f t="shared" si="62"/>
        <v xml:space="preserve"> </v>
      </c>
      <c r="HC19" s="367"/>
      <c r="HD19" s="373"/>
      <c r="HE19" s="49"/>
      <c r="HF19" s="346"/>
      <c r="HG19" s="346"/>
      <c r="HH19" s="177" t="str">
        <f t="shared" si="63"/>
        <v xml:space="preserve"> </v>
      </c>
      <c r="HI19" s="49" t="str">
        <f t="shared" ca="1" si="64"/>
        <v xml:space="preserve"> </v>
      </c>
      <c r="HJ19" s="346"/>
      <c r="HK19" s="346"/>
      <c r="HL19" s="49" t="str">
        <f t="shared" si="65"/>
        <v xml:space="preserve"> </v>
      </c>
      <c r="HM19" s="374"/>
      <c r="HN19" s="369"/>
      <c r="HO19" s="54"/>
      <c r="HP19" s="366"/>
      <c r="HQ19" s="366"/>
      <c r="HR19" s="177" t="str">
        <f t="shared" si="66"/>
        <v xml:space="preserve"> </v>
      </c>
      <c r="HS19" s="49" t="str">
        <f t="shared" ca="1" si="67"/>
        <v xml:space="preserve"> </v>
      </c>
      <c r="HT19" s="366"/>
      <c r="HU19" s="366"/>
      <c r="HV19" s="54" t="str">
        <f t="shared" si="68"/>
        <v xml:space="preserve"> </v>
      </c>
      <c r="HW19" s="367"/>
      <c r="HX19" s="373"/>
      <c r="HY19" s="49"/>
      <c r="HZ19" s="346"/>
      <c r="IA19" s="177"/>
      <c r="IB19" s="177" t="str">
        <f t="shared" si="69"/>
        <v xml:space="preserve"> </v>
      </c>
      <c r="IC19" s="49" t="str">
        <f t="shared" ca="1" si="70"/>
        <v xml:space="preserve"> </v>
      </c>
      <c r="ID19" s="346"/>
      <c r="IE19" s="346"/>
      <c r="IF19" s="49" t="str">
        <f t="shared" si="71"/>
        <v xml:space="preserve"> </v>
      </c>
      <c r="IG19" s="374"/>
      <c r="IH19" s="369"/>
      <c r="II19" s="366"/>
      <c r="IJ19" s="366"/>
      <c r="IK19" s="366"/>
      <c r="IL19" s="177" t="str">
        <f t="shared" si="72"/>
        <v xml:space="preserve"> </v>
      </c>
      <c r="IM19" s="49" t="str">
        <f t="shared" ca="1" si="73"/>
        <v xml:space="preserve"> </v>
      </c>
      <c r="IN19" s="366"/>
      <c r="IO19" s="366"/>
      <c r="IP19" s="54" t="str">
        <f t="shared" si="74"/>
        <v xml:space="preserve"> </v>
      </c>
      <c r="IQ19" s="367"/>
      <c r="IR19" s="373"/>
      <c r="IS19" s="346"/>
      <c r="IT19" s="346"/>
      <c r="IU19" s="346"/>
      <c r="IV19" s="177" t="str">
        <f t="shared" si="75"/>
        <v xml:space="preserve"> </v>
      </c>
      <c r="IW19" s="49" t="str">
        <f t="shared" ca="1" si="76"/>
        <v xml:space="preserve"> </v>
      </c>
      <c r="IX19" s="346"/>
      <c r="IY19" s="346"/>
      <c r="IZ19" s="54" t="str">
        <f t="shared" si="77"/>
        <v xml:space="preserve"> </v>
      </c>
      <c r="JA19" s="374"/>
      <c r="JB19" s="369"/>
      <c r="JC19" s="366"/>
      <c r="JD19" s="366"/>
      <c r="JE19" s="366"/>
      <c r="JF19" s="177" t="str">
        <f t="shared" si="78"/>
        <v xml:space="preserve"> </v>
      </c>
      <c r="JG19" s="49" t="str">
        <f t="shared" ca="1" si="79"/>
        <v xml:space="preserve"> </v>
      </c>
      <c r="JH19" s="366"/>
      <c r="JI19" s="366"/>
      <c r="JJ19" s="54" t="str">
        <f t="shared" si="80"/>
        <v xml:space="preserve"> </v>
      </c>
      <c r="JK19" s="367"/>
      <c r="JL19" s="373"/>
      <c r="JM19" s="346"/>
      <c r="JN19" s="346"/>
      <c r="JO19" s="346"/>
      <c r="JP19" s="346" t="str">
        <f t="shared" si="81"/>
        <v xml:space="preserve"> </v>
      </c>
      <c r="JQ19" s="49" t="str">
        <f t="shared" ca="1" si="82"/>
        <v xml:space="preserve"> </v>
      </c>
      <c r="JR19" s="346"/>
      <c r="JS19" s="346"/>
      <c r="JT19" s="54" t="str">
        <f t="shared" si="83"/>
        <v xml:space="preserve"> </v>
      </c>
      <c r="JU19" s="374"/>
      <c r="JV19" s="369"/>
      <c r="JW19" s="366"/>
      <c r="JX19" s="366"/>
      <c r="JY19" s="366"/>
      <c r="JZ19" s="366" t="str">
        <f t="shared" si="84"/>
        <v xml:space="preserve"> </v>
      </c>
      <c r="KA19" s="49" t="str">
        <f t="shared" ca="1" si="85"/>
        <v xml:space="preserve"> </v>
      </c>
      <c r="KB19" s="366"/>
      <c r="KC19" s="366"/>
      <c r="KD19" s="54" t="str">
        <f t="shared" si="86"/>
        <v xml:space="preserve"> </v>
      </c>
      <c r="KE19" s="367"/>
      <c r="KF19" s="373"/>
      <c r="KG19" s="346"/>
      <c r="KH19" s="346"/>
      <c r="KI19" s="346"/>
      <c r="KJ19" s="346" t="str">
        <f t="shared" si="87"/>
        <v xml:space="preserve"> </v>
      </c>
      <c r="KK19" s="49" t="str">
        <f t="shared" ca="1" si="88"/>
        <v xml:space="preserve"> </v>
      </c>
      <c r="KL19" s="346"/>
      <c r="KM19" s="346"/>
      <c r="KN19" s="54" t="str">
        <f t="shared" si="89"/>
        <v xml:space="preserve"> </v>
      </c>
      <c r="KO19" s="374"/>
      <c r="KP19" s="369"/>
      <c r="KQ19" s="366"/>
      <c r="KR19" s="366"/>
      <c r="KS19" s="366"/>
      <c r="KT19" s="366" t="str">
        <f t="shared" si="90"/>
        <v xml:space="preserve"> </v>
      </c>
      <c r="KU19" s="49" t="str">
        <f t="shared" ca="1" si="91"/>
        <v xml:space="preserve"> </v>
      </c>
      <c r="KV19" s="366"/>
      <c r="KW19" s="366"/>
      <c r="KX19" s="54" t="str">
        <f t="shared" si="92"/>
        <v xml:space="preserve"> </v>
      </c>
      <c r="KY19" s="367"/>
      <c r="KZ19" s="373"/>
      <c r="LA19" s="346"/>
      <c r="LB19" s="346"/>
      <c r="LC19" s="346"/>
      <c r="LD19" s="346" t="str">
        <f t="shared" si="93"/>
        <v xml:space="preserve"> </v>
      </c>
      <c r="LE19" s="49" t="str">
        <f t="shared" ca="1" si="94"/>
        <v xml:space="preserve"> </v>
      </c>
      <c r="LF19" s="346"/>
      <c r="LG19" s="346"/>
      <c r="LH19" s="54" t="str">
        <f t="shared" si="95"/>
        <v xml:space="preserve"> </v>
      </c>
      <c r="LI19" s="374"/>
      <c r="LJ19" s="369"/>
      <c r="LK19" s="366"/>
      <c r="LL19" s="366"/>
      <c r="LM19" s="366"/>
      <c r="LN19" s="366" t="str">
        <f t="shared" si="96"/>
        <v xml:space="preserve"> </v>
      </c>
      <c r="LO19" s="49" t="str">
        <f t="shared" ca="1" si="97"/>
        <v xml:space="preserve"> </v>
      </c>
      <c r="LP19" s="366"/>
      <c r="LQ19" s="366"/>
      <c r="LR19" s="54" t="str">
        <f t="shared" si="98"/>
        <v xml:space="preserve"> </v>
      </c>
      <c r="LS19" s="367"/>
      <c r="LT19" s="373"/>
      <c r="LU19" s="346"/>
      <c r="LV19" s="346"/>
      <c r="LW19" s="346"/>
      <c r="LX19" s="346"/>
      <c r="LY19" s="49" t="str">
        <f t="shared" ca="1" si="99"/>
        <v xml:space="preserve"> </v>
      </c>
      <c r="LZ19" s="346"/>
      <c r="MA19" s="346"/>
      <c r="MB19" s="54" t="str">
        <f t="shared" si="100"/>
        <v xml:space="preserve"> </v>
      </c>
      <c r="MC19" s="374"/>
      <c r="MD19" s="369"/>
      <c r="ME19" s="366"/>
      <c r="MF19" s="366"/>
      <c r="MG19" s="366"/>
      <c r="MH19" s="366"/>
      <c r="MI19" s="49" t="str">
        <f t="shared" ca="1" si="101"/>
        <v xml:space="preserve"> </v>
      </c>
      <c r="MJ19" s="366"/>
      <c r="MK19" s="366"/>
      <c r="ML19" s="54" t="str">
        <f t="shared" si="102"/>
        <v xml:space="preserve"> </v>
      </c>
      <c r="MM19" s="367"/>
      <c r="MN19" s="373"/>
      <c r="MO19" s="346"/>
      <c r="MP19" s="346"/>
      <c r="MQ19" s="346"/>
      <c r="MR19" s="346"/>
      <c r="MS19" s="49" t="str">
        <f t="shared" ca="1" si="103"/>
        <v xml:space="preserve"> </v>
      </c>
      <c r="MT19" s="346"/>
      <c r="MU19" s="346"/>
      <c r="MV19" s="54" t="str">
        <f t="shared" si="104"/>
        <v xml:space="preserve"> </v>
      </c>
      <c r="MW19" s="374"/>
      <c r="MX19" s="369"/>
      <c r="MY19" s="366"/>
      <c r="MZ19" s="366"/>
      <c r="NA19" s="366"/>
      <c r="NB19" s="366"/>
      <c r="NC19" s="49" t="str">
        <f t="shared" ca="1" si="105"/>
        <v xml:space="preserve"> </v>
      </c>
      <c r="ND19" s="366"/>
      <c r="NE19" s="366"/>
      <c r="NF19" s="54" t="str">
        <f t="shared" si="106"/>
        <v xml:space="preserve"> </v>
      </c>
      <c r="NG19" s="367"/>
      <c r="NH19" s="373"/>
      <c r="NI19" s="346"/>
      <c r="NJ19" s="346"/>
      <c r="NK19" s="346"/>
      <c r="NL19" s="346"/>
      <c r="NM19" s="49" t="str">
        <f t="shared" ca="1" si="107"/>
        <v xml:space="preserve"> </v>
      </c>
      <c r="NN19" s="346"/>
      <c r="NO19" s="346"/>
      <c r="NP19" s="54" t="str">
        <f t="shared" si="108"/>
        <v xml:space="preserve"> </v>
      </c>
      <c r="NQ19" s="374"/>
      <c r="NR19" s="369"/>
      <c r="NS19" s="366"/>
      <c r="NT19" s="366"/>
      <c r="NU19" s="366"/>
      <c r="NV19" s="366"/>
      <c r="NW19" s="49" t="str">
        <f t="shared" ca="1" si="109"/>
        <v xml:space="preserve"> </v>
      </c>
      <c r="NX19" s="366"/>
      <c r="NY19" s="366"/>
      <c r="NZ19" s="54" t="str">
        <f t="shared" si="110"/>
        <v xml:space="preserve"> </v>
      </c>
      <c r="OA19" s="367"/>
      <c r="OB19" s="373"/>
      <c r="OC19" s="346"/>
      <c r="OD19" s="346"/>
      <c r="OE19" s="346"/>
      <c r="OF19" s="346"/>
      <c r="OG19" s="49" t="str">
        <f t="shared" ca="1" si="111"/>
        <v xml:space="preserve"> </v>
      </c>
      <c r="OH19" s="346"/>
      <c r="OI19" s="346"/>
      <c r="OJ19" s="54" t="str">
        <f t="shared" si="112"/>
        <v xml:space="preserve"> </v>
      </c>
      <c r="OK19" s="374"/>
    </row>
    <row r="20" spans="1:401" s="44" customFormat="1" ht="22.2" customHeight="1" x14ac:dyDescent="0.3">
      <c r="A20" s="355" t="s">
        <v>134</v>
      </c>
      <c r="B20" s="356" t="s">
        <v>875</v>
      </c>
      <c r="C20" s="425">
        <v>17499</v>
      </c>
      <c r="D20" s="357" t="s">
        <v>929</v>
      </c>
      <c r="E20" s="91">
        <v>44817</v>
      </c>
      <c r="F20" s="91">
        <f t="shared" si="0"/>
        <v>45182</v>
      </c>
      <c r="G20" s="37" t="str">
        <f t="shared" ca="1" si="113"/>
        <v>VENCIDO</v>
      </c>
      <c r="H20" s="37"/>
      <c r="I20" s="37"/>
      <c r="J20" s="37" t="str">
        <f t="shared" si="2"/>
        <v>G.M.</v>
      </c>
      <c r="K20" s="170"/>
      <c r="L20" s="356" t="s">
        <v>875</v>
      </c>
      <c r="M20" s="37">
        <v>17886</v>
      </c>
      <c r="N20" s="205" t="s">
        <v>930</v>
      </c>
      <c r="O20" s="91">
        <v>44943</v>
      </c>
      <c r="P20" s="91">
        <f t="shared" si="3"/>
        <v>45308</v>
      </c>
      <c r="Q20" s="37" t="str">
        <f t="shared" ca="1" si="4"/>
        <v>VENCIDO</v>
      </c>
      <c r="R20" s="37"/>
      <c r="S20" s="37"/>
      <c r="T20" s="37" t="str">
        <f t="shared" si="5"/>
        <v>G.M.</v>
      </c>
      <c r="U20" s="170"/>
      <c r="V20" s="356" t="s">
        <v>875</v>
      </c>
      <c r="W20" s="37">
        <v>17435</v>
      </c>
      <c r="X20" s="205" t="s">
        <v>931</v>
      </c>
      <c r="Y20" s="91">
        <v>44952</v>
      </c>
      <c r="Z20" s="91">
        <f t="shared" si="6"/>
        <v>45317</v>
      </c>
      <c r="AA20" s="37" t="str">
        <f t="shared" ca="1" si="7"/>
        <v>VENCIDO</v>
      </c>
      <c r="AB20" s="357"/>
      <c r="AC20" s="357"/>
      <c r="AD20" s="37" t="str">
        <f t="shared" si="8"/>
        <v>G.M.</v>
      </c>
      <c r="AE20" s="359"/>
      <c r="AF20" s="356" t="s">
        <v>875</v>
      </c>
      <c r="AG20" s="12">
        <v>17513</v>
      </c>
      <c r="AH20" s="348" t="s">
        <v>932</v>
      </c>
      <c r="AI20" s="14">
        <v>44952</v>
      </c>
      <c r="AJ20" s="14">
        <f t="shared" si="9"/>
        <v>45317</v>
      </c>
      <c r="AK20" s="37" t="str">
        <f ca="1">IF(AI20=0," ",IF(AJ20-TODAY()&gt;60,"VIGENTE",IF(AJ20-TODAY()&lt;=0,"VENCIDO",IF(AJ20-TODAY()&lt;=60,"POR VENCER"))))</f>
        <v>VENCIDO</v>
      </c>
      <c r="AL20" s="348"/>
      <c r="AM20" s="348"/>
      <c r="AN20" s="12" t="str">
        <f>IFERROR(VLOOKUP(AF20,TIPODET1,2,FALSE)," ")</f>
        <v>G.M.</v>
      </c>
      <c r="AO20" s="361"/>
      <c r="AP20" s="356" t="s">
        <v>854</v>
      </c>
      <c r="AQ20" s="357" t="s">
        <v>933</v>
      </c>
      <c r="AR20" s="357" t="s">
        <v>934</v>
      </c>
      <c r="AS20" s="91">
        <v>44951</v>
      </c>
      <c r="AT20" s="91">
        <f t="shared" si="12"/>
        <v>45316</v>
      </c>
      <c r="AU20" s="37" t="str">
        <f t="shared" ca="1" si="13"/>
        <v>VENCIDO</v>
      </c>
      <c r="AV20" s="357"/>
      <c r="AW20" s="357"/>
      <c r="AX20" s="37" t="str">
        <f t="shared" si="14"/>
        <v>G.M.</v>
      </c>
      <c r="AY20" s="359"/>
      <c r="AZ20" s="356" t="s">
        <v>854</v>
      </c>
      <c r="BA20" s="348" t="s">
        <v>935</v>
      </c>
      <c r="BB20" s="348" t="s">
        <v>936</v>
      </c>
      <c r="BC20" s="14">
        <v>44817</v>
      </c>
      <c r="BD20" s="14">
        <f t="shared" si="15"/>
        <v>45183</v>
      </c>
      <c r="BE20" s="37" t="str">
        <f t="shared" ca="1" si="16"/>
        <v>VENCIDO</v>
      </c>
      <c r="BF20" s="348"/>
      <c r="BG20" s="348"/>
      <c r="BH20" s="12" t="str">
        <f t="shared" si="17"/>
        <v>G.M.</v>
      </c>
      <c r="BI20" s="361"/>
      <c r="BJ20" s="356" t="s">
        <v>854</v>
      </c>
      <c r="BK20" s="357" t="s">
        <v>937</v>
      </c>
      <c r="BL20" s="357" t="s">
        <v>938</v>
      </c>
      <c r="BM20" s="91">
        <v>44952</v>
      </c>
      <c r="BN20" s="91">
        <f t="shared" si="18"/>
        <v>45317</v>
      </c>
      <c r="BO20" s="37" t="str">
        <f t="shared" ca="1" si="19"/>
        <v>VENCIDO</v>
      </c>
      <c r="BP20" s="357"/>
      <c r="BQ20" s="357"/>
      <c r="BR20" s="37" t="str">
        <f t="shared" si="20"/>
        <v>G.M.</v>
      </c>
      <c r="BS20" s="359"/>
      <c r="BT20" s="360" t="s">
        <v>841</v>
      </c>
      <c r="BU20" s="12">
        <v>53994</v>
      </c>
      <c r="BV20" s="357" t="s">
        <v>939</v>
      </c>
      <c r="BW20" s="91">
        <v>45700</v>
      </c>
      <c r="BX20" s="91">
        <f t="shared" si="21"/>
        <v>46065</v>
      </c>
      <c r="BY20" s="37" t="str">
        <f t="shared" ca="1" si="22"/>
        <v>VIGENTE</v>
      </c>
      <c r="BZ20" s="348" t="s">
        <v>443</v>
      </c>
      <c r="CA20" s="348"/>
      <c r="CB20" s="12" t="str">
        <f t="shared" si="23"/>
        <v>C.C.</v>
      </c>
      <c r="CC20" s="361"/>
      <c r="CD20" s="360" t="s">
        <v>841</v>
      </c>
      <c r="CE20" s="12">
        <v>53899</v>
      </c>
      <c r="CF20" s="357" t="s">
        <v>940</v>
      </c>
      <c r="CG20" s="91">
        <v>45700</v>
      </c>
      <c r="CH20" s="91">
        <f t="shared" si="24"/>
        <v>46065</v>
      </c>
      <c r="CI20" s="37" t="str">
        <f t="shared" ca="1" si="25"/>
        <v>VIGENTE</v>
      </c>
      <c r="CJ20" s="348" t="s">
        <v>445</v>
      </c>
      <c r="CK20" s="357"/>
      <c r="CL20" s="37" t="str">
        <f t="shared" si="26"/>
        <v>C.C.</v>
      </c>
      <c r="CM20" s="359"/>
      <c r="CN20" s="360" t="s">
        <v>841</v>
      </c>
      <c r="CO20" s="12">
        <v>51705</v>
      </c>
      <c r="CP20" s="357" t="s">
        <v>941</v>
      </c>
      <c r="CQ20" s="91">
        <v>45700</v>
      </c>
      <c r="CR20" s="91">
        <f t="shared" si="27"/>
        <v>46065</v>
      </c>
      <c r="CS20" s="37" t="str">
        <f t="shared" ca="1" si="28"/>
        <v>VIGENTE</v>
      </c>
      <c r="CT20" s="348" t="s">
        <v>447</v>
      </c>
      <c r="CU20" s="348"/>
      <c r="CV20" s="12" t="str">
        <f t="shared" si="29"/>
        <v>C.C.</v>
      </c>
      <c r="CW20" s="361"/>
      <c r="CX20" s="360" t="s">
        <v>883</v>
      </c>
      <c r="CY20" s="12">
        <v>3302</v>
      </c>
      <c r="CZ20" s="357" t="s">
        <v>942</v>
      </c>
      <c r="DA20" s="91">
        <v>45699</v>
      </c>
      <c r="DB20" s="91">
        <f t="shared" si="30"/>
        <v>46064</v>
      </c>
      <c r="DC20" s="37" t="str">
        <f t="shared" ca="1" si="31"/>
        <v>VIGENTE</v>
      </c>
      <c r="DD20" s="348" t="s">
        <v>439</v>
      </c>
      <c r="DE20" s="357"/>
      <c r="DF20" s="37" t="str">
        <f t="shared" si="32"/>
        <v>C.I.</v>
      </c>
      <c r="DG20" s="359"/>
      <c r="DH20" s="360" t="s">
        <v>883</v>
      </c>
      <c r="DI20" s="12" t="s">
        <v>943</v>
      </c>
      <c r="DJ20" s="357" t="s">
        <v>944</v>
      </c>
      <c r="DK20" s="91">
        <v>45699</v>
      </c>
      <c r="DL20" s="91">
        <f t="shared" si="33"/>
        <v>46064</v>
      </c>
      <c r="DM20" s="37" t="str">
        <f t="shared" ca="1" si="34"/>
        <v>VIGENTE</v>
      </c>
      <c r="DN20" s="348"/>
      <c r="DO20" s="348"/>
      <c r="DP20" s="12" t="str">
        <f t="shared" si="35"/>
        <v>C.I.</v>
      </c>
      <c r="DQ20" s="361"/>
      <c r="DR20" s="360" t="s">
        <v>883</v>
      </c>
      <c r="DS20" s="12" t="s">
        <v>945</v>
      </c>
      <c r="DT20" s="357" t="s">
        <v>946</v>
      </c>
      <c r="DU20" s="91">
        <v>45699</v>
      </c>
      <c r="DV20" s="14">
        <f t="shared" si="36"/>
        <v>46064</v>
      </c>
      <c r="DW20" s="37" t="str">
        <f t="shared" ca="1" si="37"/>
        <v>VIGENTE</v>
      </c>
      <c r="DX20" s="348"/>
      <c r="DY20" s="357"/>
      <c r="DZ20" s="37" t="str">
        <f t="shared" si="38"/>
        <v>C.I.</v>
      </c>
      <c r="EA20" s="359"/>
      <c r="EB20" s="360" t="s">
        <v>883</v>
      </c>
      <c r="EC20" s="12" t="s">
        <v>947</v>
      </c>
      <c r="ED20" s="357" t="s">
        <v>948</v>
      </c>
      <c r="EE20" s="91">
        <v>45700</v>
      </c>
      <c r="EF20" s="91">
        <f t="shared" si="39"/>
        <v>46065</v>
      </c>
      <c r="EG20" s="37" t="str">
        <f t="shared" ca="1" si="40"/>
        <v>VIGENTE</v>
      </c>
      <c r="EH20" s="348"/>
      <c r="EI20" s="348"/>
      <c r="EJ20" s="12" t="str">
        <f t="shared" si="41"/>
        <v>C.I.</v>
      </c>
      <c r="EK20" s="361"/>
      <c r="EL20" s="356"/>
      <c r="EM20" s="37"/>
      <c r="EN20" s="357"/>
      <c r="EO20" s="357"/>
      <c r="EP20" s="91" t="str">
        <f t="shared" si="42"/>
        <v xml:space="preserve"> </v>
      </c>
      <c r="EQ20" s="37" t="str">
        <f t="shared" ca="1" si="43"/>
        <v xml:space="preserve"> </v>
      </c>
      <c r="ER20" s="357"/>
      <c r="ES20" s="357"/>
      <c r="ET20" s="37" t="str">
        <f t="shared" si="44"/>
        <v xml:space="preserve"> </v>
      </c>
      <c r="EU20" s="359"/>
      <c r="EV20" s="360"/>
      <c r="EW20" s="12"/>
      <c r="EX20" s="348"/>
      <c r="EY20" s="348"/>
      <c r="EZ20" s="91" t="str">
        <f t="shared" si="45"/>
        <v xml:space="preserve"> </v>
      </c>
      <c r="FA20" s="37" t="str">
        <f t="shared" ca="1" si="46"/>
        <v xml:space="preserve"> </v>
      </c>
      <c r="FB20" s="348"/>
      <c r="FC20" s="348"/>
      <c r="FD20" s="12" t="str">
        <f t="shared" si="47"/>
        <v xml:space="preserve"> </v>
      </c>
      <c r="FE20" s="361"/>
      <c r="FF20" s="356"/>
      <c r="FG20" s="37"/>
      <c r="FH20" s="357"/>
      <c r="FI20" s="357"/>
      <c r="FJ20" s="91" t="str">
        <f t="shared" si="48"/>
        <v xml:space="preserve"> </v>
      </c>
      <c r="FK20" s="37" t="str">
        <f t="shared" ca="1" si="49"/>
        <v xml:space="preserve"> </v>
      </c>
      <c r="FL20" s="357"/>
      <c r="FM20" s="357"/>
      <c r="FN20" s="37" t="str">
        <f t="shared" si="50"/>
        <v xml:space="preserve"> </v>
      </c>
      <c r="FO20" s="359"/>
      <c r="FP20" s="360"/>
      <c r="FQ20" s="12"/>
      <c r="FR20" s="348"/>
      <c r="FS20" s="348"/>
      <c r="FT20" s="91" t="str">
        <f t="shared" si="51"/>
        <v xml:space="preserve"> </v>
      </c>
      <c r="FU20" s="37" t="str">
        <f t="shared" ca="1" si="52"/>
        <v xml:space="preserve"> </v>
      </c>
      <c r="FV20" s="348"/>
      <c r="FW20" s="348"/>
      <c r="FX20" s="12" t="str">
        <f t="shared" si="53"/>
        <v xml:space="preserve"> </v>
      </c>
      <c r="FY20" s="361"/>
      <c r="FZ20" s="356"/>
      <c r="GA20" s="37"/>
      <c r="GB20" s="357"/>
      <c r="GC20" s="357"/>
      <c r="GD20" s="91" t="str">
        <f t="shared" si="54"/>
        <v xml:space="preserve"> </v>
      </c>
      <c r="GE20" s="37" t="str">
        <f t="shared" ca="1" si="55"/>
        <v xml:space="preserve"> </v>
      </c>
      <c r="GF20" s="357"/>
      <c r="GG20" s="357"/>
      <c r="GH20" s="37" t="str">
        <f t="shared" si="56"/>
        <v xml:space="preserve"> </v>
      </c>
      <c r="GI20" s="359"/>
      <c r="GJ20" s="363"/>
      <c r="GK20" s="12"/>
      <c r="GL20" s="348"/>
      <c r="GM20" s="348"/>
      <c r="GN20" s="91" t="str">
        <f t="shared" si="57"/>
        <v xml:space="preserve"> </v>
      </c>
      <c r="GO20" s="37" t="str">
        <f t="shared" ca="1" si="58"/>
        <v xml:space="preserve"> </v>
      </c>
      <c r="GP20" s="348"/>
      <c r="GQ20" s="348"/>
      <c r="GR20" s="12" t="str">
        <f t="shared" si="59"/>
        <v xml:space="preserve"> </v>
      </c>
      <c r="GS20" s="364"/>
      <c r="GT20" s="356"/>
      <c r="GU20" s="37"/>
      <c r="GV20" s="357"/>
      <c r="GW20" s="357"/>
      <c r="GX20" s="91" t="str">
        <f t="shared" si="60"/>
        <v xml:space="preserve"> </v>
      </c>
      <c r="GY20" s="37" t="str">
        <f t="shared" ca="1" si="61"/>
        <v xml:space="preserve"> </v>
      </c>
      <c r="GZ20" s="357"/>
      <c r="HA20" s="357"/>
      <c r="HB20" s="37" t="str">
        <f t="shared" si="62"/>
        <v xml:space="preserve"> </v>
      </c>
      <c r="HC20" s="359"/>
      <c r="HD20" s="363"/>
      <c r="HE20" s="12"/>
      <c r="HF20" s="348"/>
      <c r="HG20" s="348"/>
      <c r="HH20" s="91" t="str">
        <f t="shared" si="63"/>
        <v xml:space="preserve"> </v>
      </c>
      <c r="HI20" s="37" t="str">
        <f t="shared" ca="1" si="64"/>
        <v xml:space="preserve"> </v>
      </c>
      <c r="HJ20" s="348"/>
      <c r="HK20" s="348"/>
      <c r="HL20" s="12" t="str">
        <f t="shared" si="65"/>
        <v xml:space="preserve"> </v>
      </c>
      <c r="HM20" s="364"/>
      <c r="HN20" s="356"/>
      <c r="HO20" s="37"/>
      <c r="HP20" s="357"/>
      <c r="HQ20" s="357"/>
      <c r="HR20" s="91" t="str">
        <f t="shared" si="66"/>
        <v xml:space="preserve"> </v>
      </c>
      <c r="HS20" s="37" t="str">
        <f t="shared" ca="1" si="67"/>
        <v xml:space="preserve"> </v>
      </c>
      <c r="HT20" s="357"/>
      <c r="HU20" s="357"/>
      <c r="HV20" s="37" t="str">
        <f t="shared" si="68"/>
        <v xml:space="preserve"> </v>
      </c>
      <c r="HW20" s="359"/>
      <c r="HX20" s="363"/>
      <c r="HY20" s="12"/>
      <c r="HZ20" s="348"/>
      <c r="IA20" s="348"/>
      <c r="IB20" s="91" t="str">
        <f t="shared" si="69"/>
        <v xml:space="preserve"> </v>
      </c>
      <c r="IC20" s="37" t="str">
        <f t="shared" ca="1" si="70"/>
        <v xml:space="preserve"> </v>
      </c>
      <c r="ID20" s="348"/>
      <c r="IE20" s="348"/>
      <c r="IF20" s="12" t="str">
        <f t="shared" si="71"/>
        <v xml:space="preserve"> </v>
      </c>
      <c r="IG20" s="364"/>
      <c r="IH20" s="356"/>
      <c r="II20" s="357"/>
      <c r="IJ20" s="357"/>
      <c r="IK20" s="357"/>
      <c r="IL20" s="91" t="str">
        <f t="shared" si="72"/>
        <v xml:space="preserve"> </v>
      </c>
      <c r="IM20" s="37" t="str">
        <f t="shared" ca="1" si="73"/>
        <v xml:space="preserve"> </v>
      </c>
      <c r="IN20" s="357"/>
      <c r="IO20" s="357"/>
      <c r="IP20" s="37" t="str">
        <f t="shared" si="74"/>
        <v xml:space="preserve"> </v>
      </c>
      <c r="IQ20" s="359"/>
      <c r="IR20" s="363"/>
      <c r="IS20" s="348"/>
      <c r="IT20" s="348"/>
      <c r="IU20" s="348"/>
      <c r="IV20" s="91" t="str">
        <f t="shared" si="75"/>
        <v xml:space="preserve"> </v>
      </c>
      <c r="IW20" s="37" t="str">
        <f t="shared" ca="1" si="76"/>
        <v xml:space="preserve"> </v>
      </c>
      <c r="IX20" s="348"/>
      <c r="IY20" s="348"/>
      <c r="IZ20" s="37" t="str">
        <f t="shared" si="77"/>
        <v xml:space="preserve"> </v>
      </c>
      <c r="JA20" s="364"/>
      <c r="JB20" s="356"/>
      <c r="JC20" s="357"/>
      <c r="JD20" s="357"/>
      <c r="JE20" s="357"/>
      <c r="JF20" s="91" t="str">
        <f t="shared" si="78"/>
        <v xml:space="preserve"> </v>
      </c>
      <c r="JG20" s="37" t="str">
        <f t="shared" ca="1" si="79"/>
        <v xml:space="preserve"> </v>
      </c>
      <c r="JH20" s="357"/>
      <c r="JI20" s="357"/>
      <c r="JJ20" s="37" t="str">
        <f t="shared" si="80"/>
        <v xml:space="preserve"> </v>
      </c>
      <c r="JK20" s="359"/>
      <c r="JL20" s="363"/>
      <c r="JM20" s="348"/>
      <c r="JN20" s="348"/>
      <c r="JO20" s="348"/>
      <c r="JP20" s="348" t="str">
        <f t="shared" si="81"/>
        <v xml:space="preserve"> </v>
      </c>
      <c r="JQ20" s="37" t="str">
        <f t="shared" ca="1" si="82"/>
        <v xml:space="preserve"> </v>
      </c>
      <c r="JR20" s="348"/>
      <c r="JS20" s="348"/>
      <c r="JT20" s="37" t="str">
        <f t="shared" si="83"/>
        <v xml:space="preserve"> </v>
      </c>
      <c r="JU20" s="364"/>
      <c r="JV20" s="356"/>
      <c r="JW20" s="357"/>
      <c r="JX20" s="357"/>
      <c r="JY20" s="357"/>
      <c r="JZ20" s="357" t="str">
        <f t="shared" si="84"/>
        <v xml:space="preserve"> </v>
      </c>
      <c r="KA20" s="37" t="str">
        <f t="shared" ca="1" si="85"/>
        <v xml:space="preserve"> </v>
      </c>
      <c r="KB20" s="357"/>
      <c r="KC20" s="357"/>
      <c r="KD20" s="37" t="str">
        <f t="shared" si="86"/>
        <v xml:space="preserve"> </v>
      </c>
      <c r="KE20" s="359"/>
      <c r="KF20" s="363"/>
      <c r="KG20" s="348"/>
      <c r="KH20" s="348"/>
      <c r="KI20" s="348"/>
      <c r="KJ20" s="348" t="str">
        <f t="shared" si="87"/>
        <v xml:space="preserve"> </v>
      </c>
      <c r="KK20" s="37" t="str">
        <f t="shared" ca="1" si="88"/>
        <v xml:space="preserve"> </v>
      </c>
      <c r="KL20" s="348"/>
      <c r="KM20" s="348"/>
      <c r="KN20" s="37" t="str">
        <f t="shared" si="89"/>
        <v xml:space="preserve"> </v>
      </c>
      <c r="KO20" s="364"/>
      <c r="KP20" s="356"/>
      <c r="KQ20" s="357"/>
      <c r="KR20" s="357"/>
      <c r="KS20" s="357"/>
      <c r="KT20" s="357" t="str">
        <f t="shared" si="90"/>
        <v xml:space="preserve"> </v>
      </c>
      <c r="KU20" s="37" t="str">
        <f t="shared" ca="1" si="91"/>
        <v xml:space="preserve"> </v>
      </c>
      <c r="KV20" s="357"/>
      <c r="KW20" s="357"/>
      <c r="KX20" s="37" t="str">
        <f t="shared" si="92"/>
        <v xml:space="preserve"> </v>
      </c>
      <c r="KY20" s="359"/>
      <c r="KZ20" s="363"/>
      <c r="LA20" s="348"/>
      <c r="LB20" s="348"/>
      <c r="LC20" s="348"/>
      <c r="LD20" s="348" t="str">
        <f t="shared" si="93"/>
        <v xml:space="preserve"> </v>
      </c>
      <c r="LE20" s="37" t="str">
        <f t="shared" ca="1" si="94"/>
        <v xml:space="preserve"> </v>
      </c>
      <c r="LF20" s="348"/>
      <c r="LG20" s="348"/>
      <c r="LH20" s="37" t="str">
        <f t="shared" si="95"/>
        <v xml:space="preserve"> </v>
      </c>
      <c r="LI20" s="364"/>
      <c r="LJ20" s="356"/>
      <c r="LK20" s="357"/>
      <c r="LL20" s="357"/>
      <c r="LM20" s="357"/>
      <c r="LN20" s="357" t="str">
        <f t="shared" si="96"/>
        <v xml:space="preserve"> </v>
      </c>
      <c r="LO20" s="37" t="str">
        <f t="shared" ca="1" si="97"/>
        <v xml:space="preserve"> </v>
      </c>
      <c r="LP20" s="357"/>
      <c r="LQ20" s="357"/>
      <c r="LR20" s="37" t="str">
        <f t="shared" si="98"/>
        <v xml:space="preserve"> </v>
      </c>
      <c r="LS20" s="359"/>
      <c r="LT20" s="363"/>
      <c r="LU20" s="348"/>
      <c r="LV20" s="348"/>
      <c r="LW20" s="348"/>
      <c r="LX20" s="348"/>
      <c r="LY20" s="37" t="str">
        <f t="shared" ca="1" si="99"/>
        <v xml:space="preserve"> </v>
      </c>
      <c r="LZ20" s="348"/>
      <c r="MA20" s="348"/>
      <c r="MB20" s="37" t="str">
        <f t="shared" si="100"/>
        <v xml:space="preserve"> </v>
      </c>
      <c r="MC20" s="364"/>
      <c r="MD20" s="356"/>
      <c r="ME20" s="357"/>
      <c r="MF20" s="357"/>
      <c r="MG20" s="357"/>
      <c r="MH20" s="357"/>
      <c r="MI20" s="37" t="str">
        <f t="shared" ca="1" si="101"/>
        <v xml:space="preserve"> </v>
      </c>
      <c r="MJ20" s="357"/>
      <c r="MK20" s="357"/>
      <c r="ML20" s="37" t="str">
        <f t="shared" si="102"/>
        <v xml:space="preserve"> </v>
      </c>
      <c r="MM20" s="359"/>
      <c r="MN20" s="363"/>
      <c r="MO20" s="348"/>
      <c r="MP20" s="348"/>
      <c r="MQ20" s="348"/>
      <c r="MR20" s="348"/>
      <c r="MS20" s="37" t="str">
        <f t="shared" ca="1" si="103"/>
        <v xml:space="preserve"> </v>
      </c>
      <c r="MT20" s="348"/>
      <c r="MU20" s="348"/>
      <c r="MV20" s="37" t="str">
        <f t="shared" si="104"/>
        <v xml:space="preserve"> </v>
      </c>
      <c r="MW20" s="364"/>
      <c r="MX20" s="356"/>
      <c r="MY20" s="357"/>
      <c r="MZ20" s="357"/>
      <c r="NA20" s="357"/>
      <c r="NB20" s="357"/>
      <c r="NC20" s="37" t="str">
        <f t="shared" ca="1" si="105"/>
        <v xml:space="preserve"> </v>
      </c>
      <c r="ND20" s="357"/>
      <c r="NE20" s="357"/>
      <c r="NF20" s="37" t="str">
        <f t="shared" si="106"/>
        <v xml:space="preserve"> </v>
      </c>
      <c r="NG20" s="359"/>
      <c r="NH20" s="363"/>
      <c r="NI20" s="348"/>
      <c r="NJ20" s="348"/>
      <c r="NK20" s="348"/>
      <c r="NL20" s="348"/>
      <c r="NM20" s="37" t="str">
        <f t="shared" ca="1" si="107"/>
        <v xml:space="preserve"> </v>
      </c>
      <c r="NN20" s="348"/>
      <c r="NO20" s="348"/>
      <c r="NP20" s="37" t="str">
        <f t="shared" si="108"/>
        <v xml:space="preserve"> </v>
      </c>
      <c r="NQ20" s="364"/>
      <c r="NR20" s="356"/>
      <c r="NS20" s="357"/>
      <c r="NT20" s="357"/>
      <c r="NU20" s="357"/>
      <c r="NV20" s="357"/>
      <c r="NW20" s="37" t="str">
        <f t="shared" ca="1" si="109"/>
        <v xml:space="preserve"> </v>
      </c>
      <c r="NX20" s="357"/>
      <c r="NY20" s="357"/>
      <c r="NZ20" s="37" t="str">
        <f t="shared" si="110"/>
        <v xml:space="preserve"> </v>
      </c>
      <c r="OA20" s="359"/>
      <c r="OB20" s="363"/>
      <c r="OC20" s="348"/>
      <c r="OD20" s="348"/>
      <c r="OE20" s="348"/>
      <c r="OF20" s="348"/>
      <c r="OG20" s="37" t="str">
        <f t="shared" ca="1" si="111"/>
        <v xml:space="preserve"> </v>
      </c>
      <c r="OH20" s="348"/>
      <c r="OI20" s="348"/>
      <c r="OJ20" s="37" t="str">
        <f t="shared" si="112"/>
        <v xml:space="preserve"> </v>
      </c>
      <c r="OK20" s="364"/>
    </row>
    <row r="21" spans="1:401" s="44" customFormat="1" ht="22.2" customHeight="1" x14ac:dyDescent="0.3">
      <c r="A21" s="365" t="s">
        <v>163</v>
      </c>
      <c r="B21" s="369" t="s">
        <v>838</v>
      </c>
      <c r="C21" s="54" t="s">
        <v>315</v>
      </c>
      <c r="D21" s="54"/>
      <c r="E21" s="177"/>
      <c r="F21" s="177" t="str">
        <f t="shared" si="0"/>
        <v xml:space="preserve"> </v>
      </c>
      <c r="G21" s="54" t="str">
        <f t="shared" ca="1" si="113"/>
        <v xml:space="preserve"> </v>
      </c>
      <c r="H21" s="54"/>
      <c r="I21" s="54"/>
      <c r="J21" s="54" t="str">
        <f t="shared" si="2"/>
        <v>C.I.</v>
      </c>
      <c r="K21" s="171"/>
      <c r="L21" s="369" t="s">
        <v>838</v>
      </c>
      <c r="M21" s="54" t="s">
        <v>315</v>
      </c>
      <c r="N21" s="54"/>
      <c r="O21" s="177"/>
      <c r="P21" s="177" t="str">
        <f t="shared" si="3"/>
        <v xml:space="preserve"> </v>
      </c>
      <c r="Q21" s="54" t="str">
        <f t="shared" ca="1" si="4"/>
        <v xml:space="preserve"> </v>
      </c>
      <c r="R21" s="54"/>
      <c r="S21" s="54"/>
      <c r="T21" s="54" t="str">
        <f t="shared" si="5"/>
        <v>C.I.</v>
      </c>
      <c r="U21" s="171"/>
      <c r="V21" s="369"/>
      <c r="W21" s="366"/>
      <c r="X21" s="366"/>
      <c r="Y21" s="370"/>
      <c r="Z21" s="370" t="str">
        <f t="shared" si="6"/>
        <v xml:space="preserve"> </v>
      </c>
      <c r="AA21" s="54" t="str">
        <f t="shared" ca="1" si="7"/>
        <v xml:space="preserve"> </v>
      </c>
      <c r="AB21" s="366"/>
      <c r="AC21" s="366"/>
      <c r="AD21" s="54" t="str">
        <f t="shared" si="8"/>
        <v xml:space="preserve"> </v>
      </c>
      <c r="AE21" s="367"/>
      <c r="AF21" s="371"/>
      <c r="AG21" s="346"/>
      <c r="AH21" s="346"/>
      <c r="AI21" s="65"/>
      <c r="AJ21" s="65" t="str">
        <f t="shared" si="9"/>
        <v xml:space="preserve"> </v>
      </c>
      <c r="AK21" s="54" t="str">
        <f t="shared" ca="1" si="10"/>
        <v xml:space="preserve"> </v>
      </c>
      <c r="AL21" s="346"/>
      <c r="AM21" s="346"/>
      <c r="AN21" s="49" t="str">
        <f>IFERROR(VLOOKUP(AF21,TIPODET1,2,FALSE)," ")</f>
        <v xml:space="preserve"> </v>
      </c>
      <c r="AO21" s="368"/>
      <c r="AP21" s="369"/>
      <c r="AQ21" s="366"/>
      <c r="AR21" s="366"/>
      <c r="AS21" s="370"/>
      <c r="AT21" s="370" t="str">
        <f t="shared" si="12"/>
        <v xml:space="preserve"> </v>
      </c>
      <c r="AU21" s="54" t="str">
        <f t="shared" ca="1" si="13"/>
        <v xml:space="preserve"> </v>
      </c>
      <c r="AV21" s="366"/>
      <c r="AW21" s="366"/>
      <c r="AX21" s="54" t="str">
        <f t="shared" si="14"/>
        <v xml:space="preserve"> </v>
      </c>
      <c r="AY21" s="367"/>
      <c r="AZ21" s="371"/>
      <c r="BA21" s="346"/>
      <c r="BB21" s="346"/>
      <c r="BC21" s="372"/>
      <c r="BD21" s="372" t="str">
        <f t="shared" si="15"/>
        <v xml:space="preserve"> </v>
      </c>
      <c r="BE21" s="54" t="str">
        <f t="shared" ca="1" si="16"/>
        <v xml:space="preserve"> </v>
      </c>
      <c r="BF21" s="346"/>
      <c r="BG21" s="346"/>
      <c r="BH21" s="49" t="str">
        <f t="shared" si="17"/>
        <v xml:space="preserve"> </v>
      </c>
      <c r="BI21" s="368"/>
      <c r="BJ21" s="369"/>
      <c r="BK21" s="366"/>
      <c r="BL21" s="366"/>
      <c r="BM21" s="370"/>
      <c r="BN21" s="370" t="str">
        <f t="shared" si="18"/>
        <v xml:space="preserve"> </v>
      </c>
      <c r="BO21" s="54" t="str">
        <f t="shared" ca="1" si="19"/>
        <v xml:space="preserve"> </v>
      </c>
      <c r="BP21" s="366"/>
      <c r="BQ21" s="366"/>
      <c r="BR21" s="54" t="str">
        <f t="shared" si="20"/>
        <v xml:space="preserve"> </v>
      </c>
      <c r="BS21" s="367"/>
      <c r="BT21" s="371"/>
      <c r="BU21" s="346"/>
      <c r="BV21" s="346"/>
      <c r="BW21" s="372"/>
      <c r="BX21" s="372" t="str">
        <f t="shared" si="21"/>
        <v xml:space="preserve"> </v>
      </c>
      <c r="BY21" s="54" t="str">
        <f t="shared" ca="1" si="22"/>
        <v xml:space="preserve"> </v>
      </c>
      <c r="BZ21" s="346"/>
      <c r="CA21" s="346"/>
      <c r="CB21" s="49" t="str">
        <f t="shared" si="23"/>
        <v xml:space="preserve"> </v>
      </c>
      <c r="CC21" s="368"/>
      <c r="CD21" s="369"/>
      <c r="CE21" s="54"/>
      <c r="CF21" s="366"/>
      <c r="CG21" s="366"/>
      <c r="CH21" s="366" t="str">
        <f t="shared" si="24"/>
        <v xml:space="preserve"> </v>
      </c>
      <c r="CI21" s="54" t="str">
        <f t="shared" ca="1" si="25"/>
        <v xml:space="preserve"> </v>
      </c>
      <c r="CJ21" s="366"/>
      <c r="CK21" s="366"/>
      <c r="CL21" s="54" t="str">
        <f t="shared" si="26"/>
        <v xml:space="preserve"> </v>
      </c>
      <c r="CM21" s="367"/>
      <c r="CN21" s="371"/>
      <c r="CO21" s="49"/>
      <c r="CP21" s="346"/>
      <c r="CQ21" s="346"/>
      <c r="CR21" s="346" t="str">
        <f t="shared" si="27"/>
        <v xml:space="preserve"> </v>
      </c>
      <c r="CS21" s="54" t="str">
        <f t="shared" ca="1" si="28"/>
        <v xml:space="preserve"> </v>
      </c>
      <c r="CT21" s="346"/>
      <c r="CU21" s="346"/>
      <c r="CV21" s="49" t="str">
        <f t="shared" si="29"/>
        <v xml:space="preserve"> </v>
      </c>
      <c r="CW21" s="368"/>
      <c r="CX21" s="369"/>
      <c r="CY21" s="54"/>
      <c r="CZ21" s="366"/>
      <c r="DA21" s="366"/>
      <c r="DB21" s="366" t="str">
        <f t="shared" si="30"/>
        <v xml:space="preserve"> </v>
      </c>
      <c r="DC21" s="54" t="str">
        <f t="shared" ca="1" si="31"/>
        <v xml:space="preserve"> </v>
      </c>
      <c r="DD21" s="366"/>
      <c r="DE21" s="366"/>
      <c r="DF21" s="54" t="str">
        <f t="shared" si="32"/>
        <v xml:space="preserve"> </v>
      </c>
      <c r="DG21" s="367"/>
      <c r="DH21" s="371"/>
      <c r="DI21" s="49"/>
      <c r="DJ21" s="346"/>
      <c r="DK21" s="346"/>
      <c r="DL21" s="346" t="str">
        <f t="shared" si="33"/>
        <v xml:space="preserve"> </v>
      </c>
      <c r="DM21" s="54" t="str">
        <f t="shared" ca="1" si="34"/>
        <v xml:space="preserve"> </v>
      </c>
      <c r="DN21" s="346"/>
      <c r="DO21" s="346"/>
      <c r="DP21" s="49" t="str">
        <f t="shared" si="35"/>
        <v xml:space="preserve"> </v>
      </c>
      <c r="DQ21" s="368"/>
      <c r="DR21" s="369"/>
      <c r="DS21" s="54"/>
      <c r="DT21" s="366"/>
      <c r="DU21" s="366"/>
      <c r="DV21" s="177" t="str">
        <f t="shared" si="36"/>
        <v xml:space="preserve"> </v>
      </c>
      <c r="DW21" s="54" t="str">
        <f t="shared" ca="1" si="37"/>
        <v xml:space="preserve"> </v>
      </c>
      <c r="DX21" s="366"/>
      <c r="DY21" s="366"/>
      <c r="DZ21" s="54" t="str">
        <f t="shared" si="38"/>
        <v xml:space="preserve"> </v>
      </c>
      <c r="EA21" s="367"/>
      <c r="EB21" s="371"/>
      <c r="EC21" s="49"/>
      <c r="ED21" s="346"/>
      <c r="EE21" s="346"/>
      <c r="EF21" s="177" t="str">
        <f t="shared" si="39"/>
        <v xml:space="preserve"> </v>
      </c>
      <c r="EG21" s="54" t="str">
        <f t="shared" ca="1" si="40"/>
        <v xml:space="preserve"> </v>
      </c>
      <c r="EH21" s="346"/>
      <c r="EI21" s="346"/>
      <c r="EJ21" s="49" t="str">
        <f t="shared" si="41"/>
        <v xml:space="preserve"> </v>
      </c>
      <c r="EK21" s="368"/>
      <c r="EL21" s="369"/>
      <c r="EM21" s="54"/>
      <c r="EN21" s="366"/>
      <c r="EO21" s="366"/>
      <c r="EP21" s="177" t="str">
        <f t="shared" si="42"/>
        <v xml:space="preserve"> </v>
      </c>
      <c r="EQ21" s="54" t="str">
        <f t="shared" ca="1" si="43"/>
        <v xml:space="preserve"> </v>
      </c>
      <c r="ER21" s="366"/>
      <c r="ES21" s="366"/>
      <c r="ET21" s="54" t="str">
        <f t="shared" si="44"/>
        <v xml:space="preserve"> </v>
      </c>
      <c r="EU21" s="367"/>
      <c r="EV21" s="371"/>
      <c r="EW21" s="49"/>
      <c r="EX21" s="346"/>
      <c r="EY21" s="346"/>
      <c r="EZ21" s="177" t="str">
        <f t="shared" si="45"/>
        <v xml:space="preserve"> </v>
      </c>
      <c r="FA21" s="54" t="str">
        <f t="shared" ca="1" si="46"/>
        <v xml:space="preserve"> </v>
      </c>
      <c r="FB21" s="346"/>
      <c r="FC21" s="346"/>
      <c r="FD21" s="49" t="str">
        <f t="shared" si="47"/>
        <v xml:space="preserve"> </v>
      </c>
      <c r="FE21" s="368"/>
      <c r="FF21" s="369"/>
      <c r="FG21" s="54"/>
      <c r="FH21" s="366"/>
      <c r="FI21" s="366"/>
      <c r="FJ21" s="177" t="str">
        <f t="shared" si="48"/>
        <v xml:space="preserve"> </v>
      </c>
      <c r="FK21" s="54" t="str">
        <f t="shared" ca="1" si="49"/>
        <v xml:space="preserve"> </v>
      </c>
      <c r="FL21" s="366"/>
      <c r="FM21" s="366"/>
      <c r="FN21" s="54" t="str">
        <f t="shared" si="50"/>
        <v xml:space="preserve"> </v>
      </c>
      <c r="FO21" s="367"/>
      <c r="FP21" s="371"/>
      <c r="FQ21" s="49"/>
      <c r="FR21" s="346"/>
      <c r="FS21" s="346"/>
      <c r="FT21" s="177" t="str">
        <f t="shared" si="51"/>
        <v xml:space="preserve"> </v>
      </c>
      <c r="FU21" s="54" t="str">
        <f t="shared" ca="1" si="52"/>
        <v xml:space="preserve"> </v>
      </c>
      <c r="FV21" s="346"/>
      <c r="FW21" s="346"/>
      <c r="FX21" s="49" t="str">
        <f t="shared" si="53"/>
        <v xml:space="preserve"> </v>
      </c>
      <c r="FY21" s="368"/>
      <c r="FZ21" s="369"/>
      <c r="GA21" s="54"/>
      <c r="GB21" s="366"/>
      <c r="GC21" s="366"/>
      <c r="GD21" s="177" t="str">
        <f t="shared" si="54"/>
        <v xml:space="preserve"> </v>
      </c>
      <c r="GE21" s="54" t="str">
        <f t="shared" ca="1" si="55"/>
        <v xml:space="preserve"> </v>
      </c>
      <c r="GF21" s="366"/>
      <c r="GG21" s="366"/>
      <c r="GH21" s="54" t="str">
        <f t="shared" si="56"/>
        <v xml:space="preserve"> </v>
      </c>
      <c r="GI21" s="367"/>
      <c r="GJ21" s="373"/>
      <c r="GK21" s="49"/>
      <c r="GL21" s="346"/>
      <c r="GM21" s="346"/>
      <c r="GN21" s="177" t="str">
        <f t="shared" si="57"/>
        <v xml:space="preserve"> </v>
      </c>
      <c r="GO21" s="54" t="str">
        <f t="shared" ca="1" si="58"/>
        <v xml:space="preserve"> </v>
      </c>
      <c r="GP21" s="346"/>
      <c r="GQ21" s="346"/>
      <c r="GR21" s="49" t="str">
        <f t="shared" si="59"/>
        <v xml:space="preserve"> </v>
      </c>
      <c r="GS21" s="374"/>
      <c r="GT21" s="369"/>
      <c r="GU21" s="54"/>
      <c r="GV21" s="366"/>
      <c r="GW21" s="366"/>
      <c r="GX21" s="177" t="str">
        <f t="shared" si="60"/>
        <v xml:space="preserve"> </v>
      </c>
      <c r="GY21" s="54" t="str">
        <f t="shared" ca="1" si="61"/>
        <v xml:space="preserve"> </v>
      </c>
      <c r="GZ21" s="366"/>
      <c r="HA21" s="366"/>
      <c r="HB21" s="54" t="str">
        <f t="shared" si="62"/>
        <v xml:space="preserve"> </v>
      </c>
      <c r="HC21" s="367"/>
      <c r="HD21" s="373"/>
      <c r="HE21" s="49"/>
      <c r="HF21" s="346"/>
      <c r="HG21" s="346"/>
      <c r="HH21" s="177" t="str">
        <f t="shared" si="63"/>
        <v xml:space="preserve"> </v>
      </c>
      <c r="HI21" s="54" t="str">
        <f t="shared" ca="1" si="64"/>
        <v xml:space="preserve"> </v>
      </c>
      <c r="HJ21" s="346"/>
      <c r="HK21" s="346"/>
      <c r="HL21" s="49" t="str">
        <f t="shared" si="65"/>
        <v xml:space="preserve"> </v>
      </c>
      <c r="HM21" s="374"/>
      <c r="HN21" s="369"/>
      <c r="HO21" s="54"/>
      <c r="HP21" s="366"/>
      <c r="HQ21" s="366"/>
      <c r="HR21" s="177" t="str">
        <f t="shared" si="66"/>
        <v xml:space="preserve"> </v>
      </c>
      <c r="HS21" s="54" t="str">
        <f t="shared" ca="1" si="67"/>
        <v xml:space="preserve"> </v>
      </c>
      <c r="HT21" s="366"/>
      <c r="HU21" s="366"/>
      <c r="HV21" s="54" t="str">
        <f t="shared" si="68"/>
        <v xml:space="preserve"> </v>
      </c>
      <c r="HW21" s="367"/>
      <c r="HX21" s="373"/>
      <c r="HY21" s="49"/>
      <c r="HZ21" s="346"/>
      <c r="IA21" s="177"/>
      <c r="IB21" s="177" t="str">
        <f t="shared" si="69"/>
        <v xml:space="preserve"> </v>
      </c>
      <c r="IC21" s="54" t="str">
        <f t="shared" ca="1" si="70"/>
        <v xml:space="preserve"> </v>
      </c>
      <c r="ID21" s="346"/>
      <c r="IE21" s="346"/>
      <c r="IF21" s="49" t="str">
        <f t="shared" si="71"/>
        <v xml:space="preserve"> </v>
      </c>
      <c r="IG21" s="374"/>
      <c r="IH21" s="369"/>
      <c r="II21" s="366"/>
      <c r="IJ21" s="366"/>
      <c r="IK21" s="366"/>
      <c r="IL21" s="177" t="str">
        <f t="shared" si="72"/>
        <v xml:space="preserve"> </v>
      </c>
      <c r="IM21" s="54" t="str">
        <f t="shared" ca="1" si="73"/>
        <v xml:space="preserve"> </v>
      </c>
      <c r="IN21" s="366"/>
      <c r="IO21" s="366"/>
      <c r="IP21" s="54" t="str">
        <f t="shared" si="74"/>
        <v xml:space="preserve"> </v>
      </c>
      <c r="IQ21" s="367"/>
      <c r="IR21" s="373"/>
      <c r="IS21" s="346"/>
      <c r="IT21" s="346"/>
      <c r="IU21" s="346"/>
      <c r="IV21" s="177" t="str">
        <f t="shared" si="75"/>
        <v xml:space="preserve"> </v>
      </c>
      <c r="IW21" s="54" t="str">
        <f t="shared" ca="1" si="76"/>
        <v xml:space="preserve"> </v>
      </c>
      <c r="IX21" s="346"/>
      <c r="IY21" s="346"/>
      <c r="IZ21" s="54" t="str">
        <f t="shared" si="77"/>
        <v xml:space="preserve"> </v>
      </c>
      <c r="JA21" s="374"/>
      <c r="JB21" s="369"/>
      <c r="JC21" s="366"/>
      <c r="JD21" s="366"/>
      <c r="JE21" s="366"/>
      <c r="JF21" s="177" t="str">
        <f t="shared" si="78"/>
        <v xml:space="preserve"> </v>
      </c>
      <c r="JG21" s="54" t="str">
        <f t="shared" ca="1" si="79"/>
        <v xml:space="preserve"> </v>
      </c>
      <c r="JH21" s="366"/>
      <c r="JI21" s="366"/>
      <c r="JJ21" s="54" t="str">
        <f t="shared" si="80"/>
        <v xml:space="preserve"> </v>
      </c>
      <c r="JK21" s="367"/>
      <c r="JL21" s="373"/>
      <c r="JM21" s="346"/>
      <c r="JN21" s="346"/>
      <c r="JO21" s="346"/>
      <c r="JP21" s="346" t="str">
        <f t="shared" si="81"/>
        <v xml:space="preserve"> </v>
      </c>
      <c r="JQ21" s="54" t="str">
        <f t="shared" ca="1" si="82"/>
        <v xml:space="preserve"> </v>
      </c>
      <c r="JR21" s="346"/>
      <c r="JS21" s="346"/>
      <c r="JT21" s="54" t="str">
        <f t="shared" si="83"/>
        <v xml:space="preserve"> </v>
      </c>
      <c r="JU21" s="374"/>
      <c r="JV21" s="369"/>
      <c r="JW21" s="366"/>
      <c r="JX21" s="366"/>
      <c r="JY21" s="366"/>
      <c r="JZ21" s="366" t="str">
        <f t="shared" si="84"/>
        <v xml:space="preserve"> </v>
      </c>
      <c r="KA21" s="54" t="str">
        <f t="shared" ca="1" si="85"/>
        <v xml:space="preserve"> </v>
      </c>
      <c r="KB21" s="366"/>
      <c r="KC21" s="366"/>
      <c r="KD21" s="54" t="str">
        <f t="shared" si="86"/>
        <v xml:space="preserve"> </v>
      </c>
      <c r="KE21" s="367"/>
      <c r="KF21" s="373"/>
      <c r="KG21" s="346"/>
      <c r="KH21" s="346"/>
      <c r="KI21" s="346"/>
      <c r="KJ21" s="346" t="str">
        <f t="shared" si="87"/>
        <v xml:space="preserve"> </v>
      </c>
      <c r="KK21" s="54" t="str">
        <f t="shared" ca="1" si="88"/>
        <v xml:space="preserve"> </v>
      </c>
      <c r="KL21" s="346"/>
      <c r="KM21" s="346"/>
      <c r="KN21" s="54" t="str">
        <f t="shared" si="89"/>
        <v xml:space="preserve"> </v>
      </c>
      <c r="KO21" s="374"/>
      <c r="KP21" s="369"/>
      <c r="KQ21" s="366"/>
      <c r="KR21" s="366"/>
      <c r="KS21" s="366"/>
      <c r="KT21" s="366" t="str">
        <f t="shared" si="90"/>
        <v xml:space="preserve"> </v>
      </c>
      <c r="KU21" s="54" t="str">
        <f t="shared" ca="1" si="91"/>
        <v xml:space="preserve"> </v>
      </c>
      <c r="KV21" s="366"/>
      <c r="KW21" s="366"/>
      <c r="KX21" s="54" t="str">
        <f t="shared" si="92"/>
        <v xml:space="preserve"> </v>
      </c>
      <c r="KY21" s="367"/>
      <c r="KZ21" s="373"/>
      <c r="LA21" s="346"/>
      <c r="LB21" s="346"/>
      <c r="LC21" s="346"/>
      <c r="LD21" s="346" t="str">
        <f t="shared" si="93"/>
        <v xml:space="preserve"> </v>
      </c>
      <c r="LE21" s="54" t="str">
        <f t="shared" ca="1" si="94"/>
        <v xml:space="preserve"> </v>
      </c>
      <c r="LF21" s="346"/>
      <c r="LG21" s="346"/>
      <c r="LH21" s="54" t="str">
        <f t="shared" si="95"/>
        <v xml:space="preserve"> </v>
      </c>
      <c r="LI21" s="374"/>
      <c r="LJ21" s="369"/>
      <c r="LK21" s="366"/>
      <c r="LL21" s="366"/>
      <c r="LM21" s="366"/>
      <c r="LN21" s="366" t="str">
        <f t="shared" si="96"/>
        <v xml:space="preserve"> </v>
      </c>
      <c r="LO21" s="54" t="str">
        <f t="shared" ca="1" si="97"/>
        <v xml:space="preserve"> </v>
      </c>
      <c r="LP21" s="366"/>
      <c r="LQ21" s="366"/>
      <c r="LR21" s="54" t="str">
        <f t="shared" si="98"/>
        <v xml:space="preserve"> </v>
      </c>
      <c r="LS21" s="367"/>
      <c r="LT21" s="373"/>
      <c r="LU21" s="346"/>
      <c r="LV21" s="346"/>
      <c r="LW21" s="346"/>
      <c r="LX21" s="346"/>
      <c r="LY21" s="54" t="str">
        <f t="shared" ca="1" si="99"/>
        <v xml:space="preserve"> </v>
      </c>
      <c r="LZ21" s="346"/>
      <c r="MA21" s="346"/>
      <c r="MB21" s="54" t="str">
        <f t="shared" si="100"/>
        <v xml:space="preserve"> </v>
      </c>
      <c r="MC21" s="374"/>
      <c r="MD21" s="369"/>
      <c r="ME21" s="366"/>
      <c r="MF21" s="366"/>
      <c r="MG21" s="366"/>
      <c r="MH21" s="366"/>
      <c r="MI21" s="54" t="str">
        <f t="shared" ca="1" si="101"/>
        <v xml:space="preserve"> </v>
      </c>
      <c r="MJ21" s="366"/>
      <c r="MK21" s="366"/>
      <c r="ML21" s="54" t="str">
        <f t="shared" si="102"/>
        <v xml:space="preserve"> </v>
      </c>
      <c r="MM21" s="367"/>
      <c r="MN21" s="373"/>
      <c r="MO21" s="346"/>
      <c r="MP21" s="346"/>
      <c r="MQ21" s="346"/>
      <c r="MR21" s="346"/>
      <c r="MS21" s="54" t="str">
        <f t="shared" ca="1" si="103"/>
        <v xml:space="preserve"> </v>
      </c>
      <c r="MT21" s="346"/>
      <c r="MU21" s="346"/>
      <c r="MV21" s="54" t="str">
        <f t="shared" si="104"/>
        <v xml:space="preserve"> </v>
      </c>
      <c r="MW21" s="374"/>
      <c r="MX21" s="369"/>
      <c r="MY21" s="366"/>
      <c r="MZ21" s="366"/>
      <c r="NA21" s="366"/>
      <c r="NB21" s="366"/>
      <c r="NC21" s="54" t="str">
        <f t="shared" ca="1" si="105"/>
        <v xml:space="preserve"> </v>
      </c>
      <c r="ND21" s="366"/>
      <c r="NE21" s="366"/>
      <c r="NF21" s="54" t="str">
        <f t="shared" si="106"/>
        <v xml:space="preserve"> </v>
      </c>
      <c r="NG21" s="367"/>
      <c r="NH21" s="373"/>
      <c r="NI21" s="346"/>
      <c r="NJ21" s="346"/>
      <c r="NK21" s="346"/>
      <c r="NL21" s="346"/>
      <c r="NM21" s="54" t="str">
        <f t="shared" ca="1" si="107"/>
        <v xml:space="preserve"> </v>
      </c>
      <c r="NN21" s="346"/>
      <c r="NO21" s="346"/>
      <c r="NP21" s="54" t="str">
        <f t="shared" si="108"/>
        <v xml:space="preserve"> </v>
      </c>
      <c r="NQ21" s="374"/>
      <c r="NR21" s="369"/>
      <c r="NS21" s="366"/>
      <c r="NT21" s="366"/>
      <c r="NU21" s="366"/>
      <c r="NV21" s="366"/>
      <c r="NW21" s="54" t="str">
        <f t="shared" ca="1" si="109"/>
        <v xml:space="preserve"> </v>
      </c>
      <c r="NX21" s="366"/>
      <c r="NY21" s="366"/>
      <c r="NZ21" s="54" t="str">
        <f t="shared" si="110"/>
        <v xml:space="preserve"> </v>
      </c>
      <c r="OA21" s="367"/>
      <c r="OB21" s="373"/>
      <c r="OC21" s="346"/>
      <c r="OD21" s="346"/>
      <c r="OE21" s="346"/>
      <c r="OF21" s="346"/>
      <c r="OG21" s="54" t="str">
        <f t="shared" ca="1" si="111"/>
        <v xml:space="preserve"> </v>
      </c>
      <c r="OH21" s="346"/>
      <c r="OI21" s="346"/>
      <c r="OJ21" s="54" t="str">
        <f t="shared" si="112"/>
        <v xml:space="preserve"> </v>
      </c>
      <c r="OK21" s="374"/>
    </row>
    <row r="22" spans="1:401" s="44" customFormat="1" ht="22.2" customHeight="1" x14ac:dyDescent="0.3">
      <c r="A22" s="355" t="s">
        <v>167</v>
      </c>
      <c r="B22" s="356" t="s">
        <v>838</v>
      </c>
      <c r="C22" s="37">
        <v>3385</v>
      </c>
      <c r="D22" s="357" t="s">
        <v>949</v>
      </c>
      <c r="E22" s="91">
        <v>45758</v>
      </c>
      <c r="F22" s="91">
        <f t="shared" si="0"/>
        <v>46123</v>
      </c>
      <c r="G22" s="37" t="str">
        <f t="shared" ca="1" si="113"/>
        <v>VIGENTE</v>
      </c>
      <c r="H22" s="37"/>
      <c r="I22" s="37"/>
      <c r="J22" s="37" t="str">
        <f t="shared" si="2"/>
        <v>C.I.</v>
      </c>
      <c r="K22" s="170"/>
      <c r="L22" s="356" t="s">
        <v>838</v>
      </c>
      <c r="M22" s="37">
        <v>3390</v>
      </c>
      <c r="N22" s="357" t="s">
        <v>950</v>
      </c>
      <c r="O22" s="91">
        <v>45758</v>
      </c>
      <c r="P22" s="91">
        <f t="shared" si="3"/>
        <v>46123</v>
      </c>
      <c r="Q22" s="37" t="str">
        <f t="shared" ca="1" si="4"/>
        <v>VIGENTE</v>
      </c>
      <c r="R22" s="37"/>
      <c r="S22" s="37"/>
      <c r="T22" s="37" t="str">
        <f t="shared" si="5"/>
        <v>C.I.</v>
      </c>
      <c r="U22" s="170"/>
      <c r="V22" s="356" t="s">
        <v>838</v>
      </c>
      <c r="W22" s="425">
        <v>3385</v>
      </c>
      <c r="X22" s="357" t="s">
        <v>951</v>
      </c>
      <c r="Y22" s="91">
        <v>44614</v>
      </c>
      <c r="Z22" s="91">
        <f t="shared" si="6"/>
        <v>44979</v>
      </c>
      <c r="AA22" s="37" t="str">
        <f t="shared" ca="1" si="7"/>
        <v>VENCIDO</v>
      </c>
      <c r="AB22" s="357"/>
      <c r="AC22" s="357"/>
      <c r="AD22" s="37" t="str">
        <f t="shared" si="8"/>
        <v>C.I.</v>
      </c>
      <c r="AE22" s="359"/>
      <c r="AF22" s="356" t="s">
        <v>841</v>
      </c>
      <c r="AG22" s="37">
        <v>53910</v>
      </c>
      <c r="AH22" s="357" t="s">
        <v>115</v>
      </c>
      <c r="AI22" s="91"/>
      <c r="AJ22" s="91" t="str">
        <f t="shared" si="9"/>
        <v xml:space="preserve"> </v>
      </c>
      <c r="AK22" s="37" t="str">
        <f t="shared" ca="1" si="10"/>
        <v xml:space="preserve"> </v>
      </c>
      <c r="AL22" s="348"/>
      <c r="AM22" s="348"/>
      <c r="AN22" s="12" t="str">
        <f t="shared" si="11"/>
        <v>C.C.</v>
      </c>
      <c r="AO22" s="361"/>
      <c r="AP22" s="356" t="s">
        <v>838</v>
      </c>
      <c r="AQ22" s="37" t="s">
        <v>952</v>
      </c>
      <c r="AR22" s="357" t="s">
        <v>953</v>
      </c>
      <c r="AS22" s="91">
        <v>45758</v>
      </c>
      <c r="AT22" s="91">
        <f t="shared" si="12"/>
        <v>46123</v>
      </c>
      <c r="AU22" s="37" t="str">
        <f t="shared" ca="1" si="13"/>
        <v>VIGENTE</v>
      </c>
      <c r="AV22" s="357"/>
      <c r="AW22" s="357"/>
      <c r="AX22" s="37" t="str">
        <f t="shared" si="14"/>
        <v>C.I.</v>
      </c>
      <c r="AY22" s="359"/>
      <c r="AZ22" s="356" t="s">
        <v>838</v>
      </c>
      <c r="BA22" s="37" t="s">
        <v>954</v>
      </c>
      <c r="BB22" s="357" t="s">
        <v>955</v>
      </c>
      <c r="BC22" s="91">
        <v>45758</v>
      </c>
      <c r="BD22" s="91">
        <f t="shared" si="15"/>
        <v>46124</v>
      </c>
      <c r="BE22" s="37" t="str">
        <f t="shared" ca="1" si="16"/>
        <v>VIGENTE</v>
      </c>
      <c r="BF22" s="348"/>
      <c r="BG22" s="348"/>
      <c r="BH22" s="12" t="str">
        <f t="shared" si="17"/>
        <v>C.I.</v>
      </c>
      <c r="BI22" s="361"/>
      <c r="BJ22" s="356" t="s">
        <v>838</v>
      </c>
      <c r="BK22" s="357" t="s">
        <v>315</v>
      </c>
      <c r="BL22" s="357" t="s">
        <v>315</v>
      </c>
      <c r="BM22" s="358"/>
      <c r="BN22" s="358" t="str">
        <f t="shared" si="18"/>
        <v xml:space="preserve"> </v>
      </c>
      <c r="BO22" s="37" t="str">
        <f t="shared" ca="1" si="19"/>
        <v xml:space="preserve"> </v>
      </c>
      <c r="BP22" s="357"/>
      <c r="BQ22" s="357"/>
      <c r="BR22" s="37" t="str">
        <f t="shared" si="20"/>
        <v>C.I.</v>
      </c>
      <c r="BS22" s="359"/>
      <c r="BT22" s="356" t="s">
        <v>838</v>
      </c>
      <c r="BU22" s="357" t="s">
        <v>315</v>
      </c>
      <c r="BV22" s="357" t="s">
        <v>315</v>
      </c>
      <c r="BW22" s="358"/>
      <c r="BX22" s="358" t="str">
        <f t="shared" si="21"/>
        <v xml:space="preserve"> </v>
      </c>
      <c r="BY22" s="37" t="str">
        <f t="shared" ca="1" si="22"/>
        <v xml:space="preserve"> </v>
      </c>
      <c r="BZ22" s="348"/>
      <c r="CA22" s="348"/>
      <c r="CB22" s="12" t="str">
        <f t="shared" si="23"/>
        <v>C.I.</v>
      </c>
      <c r="CC22" s="361"/>
      <c r="CD22" s="356" t="s">
        <v>838</v>
      </c>
      <c r="CE22" s="37" t="s">
        <v>315</v>
      </c>
      <c r="CF22" s="357" t="s">
        <v>315</v>
      </c>
      <c r="CG22" s="358"/>
      <c r="CH22" s="358" t="str">
        <f t="shared" si="24"/>
        <v xml:space="preserve"> </v>
      </c>
      <c r="CI22" s="37" t="str">
        <f t="shared" ca="1" si="25"/>
        <v xml:space="preserve"> </v>
      </c>
      <c r="CJ22" s="357"/>
      <c r="CK22" s="357"/>
      <c r="CL22" s="37" t="str">
        <f t="shared" si="26"/>
        <v>C.I.</v>
      </c>
      <c r="CM22" s="359"/>
      <c r="CN22" s="356" t="s">
        <v>873</v>
      </c>
      <c r="CO22" s="37">
        <v>30389</v>
      </c>
      <c r="CP22" s="357" t="s">
        <v>956</v>
      </c>
      <c r="CQ22" s="91">
        <v>45772</v>
      </c>
      <c r="CR22" s="91">
        <f t="shared" si="27"/>
        <v>46137</v>
      </c>
      <c r="CS22" s="37" t="str">
        <f t="shared" ca="1" si="28"/>
        <v>VIGENTE</v>
      </c>
      <c r="CT22" s="348"/>
      <c r="CU22" s="348"/>
      <c r="CV22" s="12" t="str">
        <f t="shared" si="29"/>
        <v>G.M.</v>
      </c>
      <c r="CW22" s="361"/>
      <c r="CX22" s="356" t="s">
        <v>866</v>
      </c>
      <c r="CY22" s="37">
        <v>21358</v>
      </c>
      <c r="CZ22" s="357" t="s">
        <v>957</v>
      </c>
      <c r="DA22" s="91">
        <v>45761</v>
      </c>
      <c r="DB22" s="91">
        <f t="shared" si="30"/>
        <v>46126</v>
      </c>
      <c r="DC22" s="37" t="str">
        <f t="shared" ca="1" si="31"/>
        <v>VIGENTE</v>
      </c>
      <c r="DD22" s="357"/>
      <c r="DE22" s="357"/>
      <c r="DF22" s="37" t="str">
        <f t="shared" si="32"/>
        <v>D.P.</v>
      </c>
      <c r="DG22" s="359"/>
      <c r="DH22" s="356" t="s">
        <v>866</v>
      </c>
      <c r="DI22" s="37">
        <v>23324</v>
      </c>
      <c r="DJ22" s="357" t="s">
        <v>958</v>
      </c>
      <c r="DK22" s="91">
        <v>45762</v>
      </c>
      <c r="DL22" s="91">
        <f t="shared" si="33"/>
        <v>46127</v>
      </c>
      <c r="DM22" s="37" t="str">
        <f t="shared" ca="1" si="34"/>
        <v>VIGENTE</v>
      </c>
      <c r="DN22" s="348"/>
      <c r="DO22" s="348"/>
      <c r="DP22" s="12" t="str">
        <f t="shared" si="35"/>
        <v>D.P.</v>
      </c>
      <c r="DQ22" s="361"/>
      <c r="DR22" s="356" t="s">
        <v>866</v>
      </c>
      <c r="DS22" s="37">
        <v>24517</v>
      </c>
      <c r="DT22" s="357" t="s">
        <v>959</v>
      </c>
      <c r="DU22" s="91">
        <v>45762</v>
      </c>
      <c r="DV22" s="14">
        <f t="shared" si="36"/>
        <v>46127</v>
      </c>
      <c r="DW22" s="37" t="str">
        <f t="shared" ca="1" si="37"/>
        <v>VIGENTE</v>
      </c>
      <c r="DX22" s="357"/>
      <c r="DY22" s="357"/>
      <c r="DZ22" s="37" t="str">
        <f t="shared" si="38"/>
        <v>D.P.</v>
      </c>
      <c r="EA22" s="359"/>
      <c r="EB22" s="356" t="s">
        <v>960</v>
      </c>
      <c r="EC22" s="37">
        <v>24507</v>
      </c>
      <c r="ED22" s="357" t="s">
        <v>961</v>
      </c>
      <c r="EE22" s="91">
        <v>45761</v>
      </c>
      <c r="EF22" s="91">
        <f t="shared" si="39"/>
        <v>46126</v>
      </c>
      <c r="EG22" s="37" t="str">
        <f t="shared" ca="1" si="40"/>
        <v>VIGENTE</v>
      </c>
      <c r="EH22" s="348"/>
      <c r="EI22" s="348"/>
      <c r="EJ22" s="12" t="str">
        <f t="shared" si="41"/>
        <v xml:space="preserve"> </v>
      </c>
      <c r="EK22" s="361"/>
      <c r="EL22" s="356" t="s">
        <v>866</v>
      </c>
      <c r="EM22" s="37">
        <v>22354</v>
      </c>
      <c r="EN22" s="357" t="s">
        <v>962</v>
      </c>
      <c r="EO22" s="91">
        <v>45762</v>
      </c>
      <c r="EP22" s="91">
        <f t="shared" si="42"/>
        <v>46127</v>
      </c>
      <c r="EQ22" s="37" t="str">
        <f t="shared" ca="1" si="43"/>
        <v>VIGENTE</v>
      </c>
      <c r="ER22" s="357"/>
      <c r="ES22" s="357"/>
      <c r="ET22" s="37" t="str">
        <f t="shared" si="44"/>
        <v>D.P.</v>
      </c>
      <c r="EU22" s="359"/>
      <c r="EV22" s="356" t="s">
        <v>873</v>
      </c>
      <c r="EW22" s="37">
        <v>30518</v>
      </c>
      <c r="EX22" s="357" t="s">
        <v>963</v>
      </c>
      <c r="EY22" s="91">
        <v>45772</v>
      </c>
      <c r="EZ22" s="91">
        <f t="shared" si="45"/>
        <v>46137</v>
      </c>
      <c r="FA22" s="37" t="str">
        <f t="shared" ca="1" si="46"/>
        <v>VIGENTE</v>
      </c>
      <c r="FB22" s="348"/>
      <c r="FC22" s="348"/>
      <c r="FD22" s="12" t="str">
        <f t="shared" si="47"/>
        <v>G.M.</v>
      </c>
      <c r="FE22" s="361"/>
      <c r="FF22" s="356" t="s">
        <v>866</v>
      </c>
      <c r="FG22" s="37">
        <v>23549</v>
      </c>
      <c r="FH22" s="357" t="s">
        <v>964</v>
      </c>
      <c r="FI22" s="91">
        <v>45762</v>
      </c>
      <c r="FJ22" s="91">
        <f t="shared" si="48"/>
        <v>46127</v>
      </c>
      <c r="FK22" s="37" t="str">
        <f t="shared" ca="1" si="49"/>
        <v>VIGENTE</v>
      </c>
      <c r="FL22" s="357"/>
      <c r="FM22" s="357"/>
      <c r="FN22" s="37" t="str">
        <f t="shared" si="50"/>
        <v>D.P.</v>
      </c>
      <c r="FO22" s="359"/>
      <c r="FP22" s="356" t="s">
        <v>866</v>
      </c>
      <c r="FQ22" s="37">
        <v>20937</v>
      </c>
      <c r="FR22" s="357" t="s">
        <v>965</v>
      </c>
      <c r="FS22" s="91">
        <v>45761</v>
      </c>
      <c r="FT22" s="91">
        <f t="shared" si="51"/>
        <v>46126</v>
      </c>
      <c r="FU22" s="37" t="str">
        <f t="shared" ca="1" si="52"/>
        <v>VIGENTE</v>
      </c>
      <c r="FV22" s="348"/>
      <c r="FW22" s="348"/>
      <c r="FX22" s="12" t="str">
        <f t="shared" si="53"/>
        <v>D.P.</v>
      </c>
      <c r="FY22" s="361"/>
      <c r="FZ22" s="356" t="s">
        <v>966</v>
      </c>
      <c r="GA22" s="37">
        <v>16653</v>
      </c>
      <c r="GB22" s="357" t="s">
        <v>967</v>
      </c>
      <c r="GC22" s="91">
        <v>45762</v>
      </c>
      <c r="GD22" s="91">
        <f t="shared" si="54"/>
        <v>46127</v>
      </c>
      <c r="GE22" s="37" t="str">
        <f t="shared" ca="1" si="55"/>
        <v>VIGENTE</v>
      </c>
      <c r="GF22" s="357"/>
      <c r="GG22" s="357"/>
      <c r="GH22" s="37" t="str">
        <f t="shared" si="56"/>
        <v xml:space="preserve"> </v>
      </c>
      <c r="GI22" s="359"/>
      <c r="GJ22" s="356" t="s">
        <v>841</v>
      </c>
      <c r="GK22" s="37" t="s">
        <v>968</v>
      </c>
      <c r="GL22" s="357" t="s">
        <v>969</v>
      </c>
      <c r="GM22" s="91">
        <v>45770</v>
      </c>
      <c r="GN22" s="91">
        <f t="shared" si="57"/>
        <v>46135</v>
      </c>
      <c r="GO22" s="37" t="str">
        <f t="shared" ca="1" si="58"/>
        <v>VIGENTE</v>
      </c>
      <c r="GP22" s="348"/>
      <c r="GQ22" s="348"/>
      <c r="GR22" s="12" t="str">
        <f t="shared" si="59"/>
        <v>C.C.</v>
      </c>
      <c r="GS22" s="364"/>
      <c r="GT22" s="356"/>
      <c r="GU22" s="37"/>
      <c r="GV22" s="357"/>
      <c r="GW22" s="357"/>
      <c r="GX22" s="91" t="str">
        <f t="shared" si="60"/>
        <v xml:space="preserve"> </v>
      </c>
      <c r="GY22" s="37" t="str">
        <f t="shared" ca="1" si="61"/>
        <v xml:space="preserve"> </v>
      </c>
      <c r="GZ22" s="357"/>
      <c r="HA22" s="357"/>
      <c r="HB22" s="37" t="str">
        <f t="shared" si="62"/>
        <v xml:space="preserve"> </v>
      </c>
      <c r="HC22" s="359"/>
      <c r="HD22" s="363"/>
      <c r="HE22" s="12"/>
      <c r="HF22" s="348"/>
      <c r="HG22" s="348"/>
      <c r="HH22" s="91" t="str">
        <f t="shared" si="63"/>
        <v xml:space="preserve"> </v>
      </c>
      <c r="HI22" s="37" t="str">
        <f t="shared" ca="1" si="64"/>
        <v xml:space="preserve"> </v>
      </c>
      <c r="HJ22" s="348"/>
      <c r="HK22" s="348"/>
      <c r="HL22" s="12" t="str">
        <f t="shared" si="65"/>
        <v xml:space="preserve"> </v>
      </c>
      <c r="HM22" s="364"/>
      <c r="HN22" s="356"/>
      <c r="HO22" s="37"/>
      <c r="HP22" s="357"/>
      <c r="HQ22" s="357"/>
      <c r="HR22" s="91" t="str">
        <f t="shared" si="66"/>
        <v xml:space="preserve"> </v>
      </c>
      <c r="HS22" s="37" t="str">
        <f t="shared" ca="1" si="67"/>
        <v xml:space="preserve"> </v>
      </c>
      <c r="HT22" s="357"/>
      <c r="HU22" s="357"/>
      <c r="HV22" s="37" t="str">
        <f t="shared" si="68"/>
        <v xml:space="preserve"> </v>
      </c>
      <c r="HW22" s="359"/>
      <c r="HX22" s="363"/>
      <c r="HY22" s="12"/>
      <c r="HZ22" s="348"/>
      <c r="IA22" s="348"/>
      <c r="IB22" s="91" t="str">
        <f t="shared" si="69"/>
        <v xml:space="preserve"> </v>
      </c>
      <c r="IC22" s="37" t="str">
        <f t="shared" ca="1" si="70"/>
        <v xml:space="preserve"> </v>
      </c>
      <c r="ID22" s="348"/>
      <c r="IE22" s="348"/>
      <c r="IF22" s="12" t="str">
        <f t="shared" si="71"/>
        <v xml:space="preserve"> </v>
      </c>
      <c r="IG22" s="364"/>
      <c r="IH22" s="356"/>
      <c r="II22" s="357"/>
      <c r="IJ22" s="357"/>
      <c r="IK22" s="357"/>
      <c r="IL22" s="91" t="str">
        <f t="shared" si="72"/>
        <v xml:space="preserve"> </v>
      </c>
      <c r="IM22" s="37" t="str">
        <f t="shared" ca="1" si="73"/>
        <v xml:space="preserve"> </v>
      </c>
      <c r="IN22" s="357"/>
      <c r="IO22" s="357"/>
      <c r="IP22" s="37" t="str">
        <f t="shared" si="74"/>
        <v xml:space="preserve"> </v>
      </c>
      <c r="IQ22" s="359"/>
      <c r="IR22" s="363"/>
      <c r="IS22" s="348"/>
      <c r="IT22" s="348"/>
      <c r="IU22" s="348"/>
      <c r="IV22" s="91" t="str">
        <f t="shared" si="75"/>
        <v xml:space="preserve"> </v>
      </c>
      <c r="IW22" s="37" t="str">
        <f t="shared" ca="1" si="76"/>
        <v xml:space="preserve"> </v>
      </c>
      <c r="IX22" s="348"/>
      <c r="IY22" s="348"/>
      <c r="IZ22" s="37" t="str">
        <f t="shared" si="77"/>
        <v xml:space="preserve"> </v>
      </c>
      <c r="JA22" s="364"/>
      <c r="JB22" s="356"/>
      <c r="JC22" s="357"/>
      <c r="JD22" s="357"/>
      <c r="JE22" s="357"/>
      <c r="JF22" s="91" t="str">
        <f t="shared" si="78"/>
        <v xml:space="preserve"> </v>
      </c>
      <c r="JG22" s="37" t="str">
        <f t="shared" ca="1" si="79"/>
        <v xml:space="preserve"> </v>
      </c>
      <c r="JH22" s="357"/>
      <c r="JI22" s="357"/>
      <c r="JJ22" s="37" t="str">
        <f t="shared" si="80"/>
        <v xml:space="preserve"> </v>
      </c>
      <c r="JK22" s="359"/>
      <c r="JL22" s="363"/>
      <c r="JM22" s="348"/>
      <c r="JN22" s="348"/>
      <c r="JO22" s="348"/>
      <c r="JP22" s="348" t="str">
        <f t="shared" si="81"/>
        <v xml:space="preserve"> </v>
      </c>
      <c r="JQ22" s="37" t="str">
        <f t="shared" ca="1" si="82"/>
        <v xml:space="preserve"> </v>
      </c>
      <c r="JR22" s="348"/>
      <c r="JS22" s="348"/>
      <c r="JT22" s="37" t="str">
        <f t="shared" si="83"/>
        <v xml:space="preserve"> </v>
      </c>
      <c r="JU22" s="364"/>
      <c r="JV22" s="356"/>
      <c r="JW22" s="357"/>
      <c r="JX22" s="357"/>
      <c r="JY22" s="357"/>
      <c r="JZ22" s="357" t="str">
        <f t="shared" si="84"/>
        <v xml:space="preserve"> </v>
      </c>
      <c r="KA22" s="37" t="str">
        <f t="shared" ca="1" si="85"/>
        <v xml:space="preserve"> </v>
      </c>
      <c r="KB22" s="357"/>
      <c r="KC22" s="357"/>
      <c r="KD22" s="37" t="str">
        <f t="shared" si="86"/>
        <v xml:space="preserve"> </v>
      </c>
      <c r="KE22" s="359"/>
      <c r="KF22" s="363"/>
      <c r="KG22" s="348"/>
      <c r="KH22" s="348"/>
      <c r="KI22" s="348"/>
      <c r="KJ22" s="348" t="str">
        <f t="shared" si="87"/>
        <v xml:space="preserve"> </v>
      </c>
      <c r="KK22" s="37" t="str">
        <f t="shared" ca="1" si="88"/>
        <v xml:space="preserve"> </v>
      </c>
      <c r="KL22" s="348"/>
      <c r="KM22" s="348"/>
      <c r="KN22" s="37" t="str">
        <f t="shared" si="89"/>
        <v xml:space="preserve"> </v>
      </c>
      <c r="KO22" s="364"/>
      <c r="KP22" s="356"/>
      <c r="KQ22" s="357"/>
      <c r="KR22" s="357"/>
      <c r="KS22" s="357"/>
      <c r="KT22" s="357" t="str">
        <f t="shared" si="90"/>
        <v xml:space="preserve"> </v>
      </c>
      <c r="KU22" s="37" t="str">
        <f t="shared" ca="1" si="91"/>
        <v xml:space="preserve"> </v>
      </c>
      <c r="KV22" s="357"/>
      <c r="KW22" s="357"/>
      <c r="KX22" s="37" t="str">
        <f t="shared" si="92"/>
        <v xml:space="preserve"> </v>
      </c>
      <c r="KY22" s="359"/>
      <c r="KZ22" s="363"/>
      <c r="LA22" s="348"/>
      <c r="LB22" s="348"/>
      <c r="LC22" s="348"/>
      <c r="LD22" s="348" t="str">
        <f t="shared" si="93"/>
        <v xml:space="preserve"> </v>
      </c>
      <c r="LE22" s="37" t="str">
        <f t="shared" ca="1" si="94"/>
        <v xml:space="preserve"> </v>
      </c>
      <c r="LF22" s="348"/>
      <c r="LG22" s="348"/>
      <c r="LH22" s="37" t="str">
        <f t="shared" si="95"/>
        <v xml:space="preserve"> </v>
      </c>
      <c r="LI22" s="364"/>
      <c r="LJ22" s="356"/>
      <c r="LK22" s="357"/>
      <c r="LL22" s="357"/>
      <c r="LM22" s="357"/>
      <c r="LN22" s="357" t="str">
        <f t="shared" si="96"/>
        <v xml:space="preserve"> </v>
      </c>
      <c r="LO22" s="37" t="str">
        <f t="shared" ca="1" si="97"/>
        <v xml:space="preserve"> </v>
      </c>
      <c r="LP22" s="357"/>
      <c r="LQ22" s="357"/>
      <c r="LR22" s="37" t="str">
        <f t="shared" si="98"/>
        <v xml:space="preserve"> </v>
      </c>
      <c r="LS22" s="359"/>
      <c r="LT22" s="363"/>
      <c r="LU22" s="348"/>
      <c r="LV22" s="348"/>
      <c r="LW22" s="348"/>
      <c r="LX22" s="348"/>
      <c r="LY22" s="37" t="str">
        <f t="shared" ca="1" si="99"/>
        <v xml:space="preserve"> </v>
      </c>
      <c r="LZ22" s="348"/>
      <c r="MA22" s="348"/>
      <c r="MB22" s="37" t="str">
        <f t="shared" si="100"/>
        <v xml:space="preserve"> </v>
      </c>
      <c r="MC22" s="364"/>
      <c r="MD22" s="356"/>
      <c r="ME22" s="357"/>
      <c r="MF22" s="357"/>
      <c r="MG22" s="357"/>
      <c r="MH22" s="357"/>
      <c r="MI22" s="37" t="str">
        <f t="shared" ca="1" si="101"/>
        <v xml:space="preserve"> </v>
      </c>
      <c r="MJ22" s="357"/>
      <c r="MK22" s="357"/>
      <c r="ML22" s="37" t="str">
        <f t="shared" si="102"/>
        <v xml:space="preserve"> </v>
      </c>
      <c r="MM22" s="359"/>
      <c r="MN22" s="363"/>
      <c r="MO22" s="348"/>
      <c r="MP22" s="348"/>
      <c r="MQ22" s="348"/>
      <c r="MR22" s="348"/>
      <c r="MS22" s="37" t="str">
        <f t="shared" ca="1" si="103"/>
        <v xml:space="preserve"> </v>
      </c>
      <c r="MT22" s="348"/>
      <c r="MU22" s="348"/>
      <c r="MV22" s="37" t="str">
        <f t="shared" si="104"/>
        <v xml:space="preserve"> </v>
      </c>
      <c r="MW22" s="364"/>
      <c r="MX22" s="356"/>
      <c r="MY22" s="357"/>
      <c r="MZ22" s="357"/>
      <c r="NA22" s="357"/>
      <c r="NB22" s="357"/>
      <c r="NC22" s="37" t="str">
        <f t="shared" ca="1" si="105"/>
        <v xml:space="preserve"> </v>
      </c>
      <c r="ND22" s="357"/>
      <c r="NE22" s="357"/>
      <c r="NF22" s="37" t="str">
        <f t="shared" si="106"/>
        <v xml:space="preserve"> </v>
      </c>
      <c r="NG22" s="359"/>
      <c r="NH22" s="363"/>
      <c r="NI22" s="348"/>
      <c r="NJ22" s="348"/>
      <c r="NK22" s="348"/>
      <c r="NL22" s="348"/>
      <c r="NM22" s="37" t="str">
        <f t="shared" ca="1" si="107"/>
        <v xml:space="preserve"> </v>
      </c>
      <c r="NN22" s="348"/>
      <c r="NO22" s="348"/>
      <c r="NP22" s="37" t="str">
        <f t="shared" si="108"/>
        <v xml:space="preserve"> </v>
      </c>
      <c r="NQ22" s="364"/>
      <c r="NR22" s="356"/>
      <c r="NS22" s="357"/>
      <c r="NT22" s="357"/>
      <c r="NU22" s="357"/>
      <c r="NV22" s="357"/>
      <c r="NW22" s="37" t="str">
        <f t="shared" ca="1" si="109"/>
        <v xml:space="preserve"> </v>
      </c>
      <c r="NX22" s="357"/>
      <c r="NY22" s="357"/>
      <c r="NZ22" s="37" t="str">
        <f t="shared" si="110"/>
        <v xml:space="preserve"> </v>
      </c>
      <c r="OA22" s="359"/>
      <c r="OB22" s="363"/>
      <c r="OC22" s="348"/>
      <c r="OD22" s="348"/>
      <c r="OE22" s="348"/>
      <c r="OF22" s="348"/>
      <c r="OG22" s="37" t="str">
        <f t="shared" ca="1" si="111"/>
        <v xml:space="preserve"> </v>
      </c>
      <c r="OH22" s="348"/>
      <c r="OI22" s="348"/>
      <c r="OJ22" s="37" t="str">
        <f t="shared" si="112"/>
        <v xml:space="preserve"> </v>
      </c>
      <c r="OK22" s="364"/>
    </row>
    <row r="23" spans="1:401" s="44" customFormat="1" ht="22.2" customHeight="1" x14ac:dyDescent="0.3">
      <c r="A23" s="365" t="s">
        <v>138</v>
      </c>
      <c r="B23" s="369" t="s">
        <v>875</v>
      </c>
      <c r="C23" s="49">
        <v>17869</v>
      </c>
      <c r="D23" s="66" t="s">
        <v>970</v>
      </c>
      <c r="E23" s="65">
        <v>45667</v>
      </c>
      <c r="F23" s="65">
        <f t="shared" si="0"/>
        <v>46032</v>
      </c>
      <c r="G23" s="49" t="str">
        <f t="shared" ca="1" si="113"/>
        <v>VIGENTE</v>
      </c>
      <c r="H23" s="54"/>
      <c r="I23" s="54"/>
      <c r="J23" s="54" t="str">
        <f t="shared" si="2"/>
        <v>G.M.</v>
      </c>
      <c r="K23" s="171"/>
      <c r="L23" s="369" t="s">
        <v>838</v>
      </c>
      <c r="M23" s="49" t="s">
        <v>971</v>
      </c>
      <c r="N23" s="66" t="s">
        <v>972</v>
      </c>
      <c r="O23" s="65">
        <v>45674</v>
      </c>
      <c r="P23" s="65">
        <f t="shared" si="3"/>
        <v>46039</v>
      </c>
      <c r="Q23" s="49" t="str">
        <f t="shared" ca="1" si="4"/>
        <v>VIGENTE</v>
      </c>
      <c r="R23" s="54"/>
      <c r="S23" s="54"/>
      <c r="T23" s="54" t="str">
        <f t="shared" si="5"/>
        <v>C.I.</v>
      </c>
      <c r="U23" s="171"/>
      <c r="V23" s="369" t="s">
        <v>838</v>
      </c>
      <c r="W23" s="49" t="s">
        <v>973</v>
      </c>
      <c r="X23" s="66" t="s">
        <v>974</v>
      </c>
      <c r="Y23" s="65">
        <v>45677</v>
      </c>
      <c r="Z23" s="65">
        <f t="shared" si="6"/>
        <v>46042</v>
      </c>
      <c r="AA23" s="49" t="str">
        <f ca="1">IF(Y23=0," ",IF(Z23-TODAY()&gt;60,"VIGENTE",IF(Z23-TODAY()&lt;=0,"VENCIDO",IF(Z23-TODAY()&lt;=60,"POR VENCER"))))</f>
        <v>VIGENTE</v>
      </c>
      <c r="AB23" s="366"/>
      <c r="AC23" s="366"/>
      <c r="AD23" s="54" t="str">
        <f t="shared" si="8"/>
        <v>C.I.</v>
      </c>
      <c r="AE23" s="367"/>
      <c r="AF23" s="369" t="s">
        <v>838</v>
      </c>
      <c r="AG23" s="49" t="s">
        <v>975</v>
      </c>
      <c r="AH23" s="66" t="s">
        <v>976</v>
      </c>
      <c r="AI23" s="65">
        <v>45677</v>
      </c>
      <c r="AJ23" s="65">
        <f t="shared" si="9"/>
        <v>46042</v>
      </c>
      <c r="AK23" s="49" t="str">
        <f t="shared" ca="1" si="10"/>
        <v>VIGENTE</v>
      </c>
      <c r="AL23" s="346"/>
      <c r="AM23" s="346"/>
      <c r="AN23" s="49" t="str">
        <f t="shared" si="11"/>
        <v>C.I.</v>
      </c>
      <c r="AO23" s="368"/>
      <c r="AP23" s="369" t="s">
        <v>838</v>
      </c>
      <c r="AQ23" s="49" t="s">
        <v>977</v>
      </c>
      <c r="AR23" s="66" t="s">
        <v>978</v>
      </c>
      <c r="AS23" s="65">
        <v>45677</v>
      </c>
      <c r="AT23" s="65">
        <f t="shared" si="12"/>
        <v>46042</v>
      </c>
      <c r="AU23" s="49" t="str">
        <f t="shared" ca="1" si="13"/>
        <v>VIGENTE</v>
      </c>
      <c r="AV23" s="366"/>
      <c r="AW23" s="366"/>
      <c r="AX23" s="54" t="str">
        <f t="shared" si="14"/>
        <v>C.I.</v>
      </c>
      <c r="AY23" s="367"/>
      <c r="AZ23" s="371"/>
      <c r="BA23" s="346"/>
      <c r="BB23" s="346"/>
      <c r="BC23" s="372"/>
      <c r="BD23" s="372" t="str">
        <f t="shared" si="15"/>
        <v xml:space="preserve"> </v>
      </c>
      <c r="BE23" s="54" t="str">
        <f t="shared" ca="1" si="16"/>
        <v xml:space="preserve"> </v>
      </c>
      <c r="BF23" s="346"/>
      <c r="BG23" s="346"/>
      <c r="BH23" s="49" t="str">
        <f t="shared" si="17"/>
        <v xml:space="preserve"> </v>
      </c>
      <c r="BI23" s="368"/>
      <c r="BJ23" s="369"/>
      <c r="BK23" s="366"/>
      <c r="BL23" s="366"/>
      <c r="BM23" s="370"/>
      <c r="BN23" s="370" t="str">
        <f t="shared" si="18"/>
        <v xml:space="preserve"> </v>
      </c>
      <c r="BO23" s="54" t="str">
        <f t="shared" ca="1" si="19"/>
        <v xml:space="preserve"> </v>
      </c>
      <c r="BP23" s="366"/>
      <c r="BQ23" s="366"/>
      <c r="BR23" s="54" t="str">
        <f t="shared" si="20"/>
        <v xml:space="preserve"> </v>
      </c>
      <c r="BS23" s="367"/>
      <c r="BT23" s="371"/>
      <c r="BU23" s="346"/>
      <c r="BV23" s="346"/>
      <c r="BW23" s="372"/>
      <c r="BX23" s="372" t="str">
        <f t="shared" si="21"/>
        <v xml:space="preserve"> </v>
      </c>
      <c r="BY23" s="54" t="str">
        <f t="shared" ca="1" si="22"/>
        <v xml:space="preserve"> </v>
      </c>
      <c r="BZ23" s="346"/>
      <c r="CA23" s="346"/>
      <c r="CB23" s="49" t="str">
        <f t="shared" si="23"/>
        <v xml:space="preserve"> </v>
      </c>
      <c r="CC23" s="368"/>
      <c r="CD23" s="369"/>
      <c r="CE23" s="54"/>
      <c r="CF23" s="366"/>
      <c r="CG23" s="366"/>
      <c r="CH23" s="366" t="str">
        <f t="shared" si="24"/>
        <v xml:space="preserve"> </v>
      </c>
      <c r="CI23" s="54" t="str">
        <f t="shared" ca="1" si="25"/>
        <v xml:space="preserve"> </v>
      </c>
      <c r="CJ23" s="366"/>
      <c r="CK23" s="366"/>
      <c r="CL23" s="54" t="str">
        <f t="shared" si="26"/>
        <v xml:space="preserve"> </v>
      </c>
      <c r="CM23" s="367"/>
      <c r="CN23" s="371"/>
      <c r="CO23" s="49"/>
      <c r="CP23" s="346"/>
      <c r="CQ23" s="346"/>
      <c r="CR23" s="346" t="str">
        <f t="shared" si="27"/>
        <v xml:space="preserve"> </v>
      </c>
      <c r="CS23" s="54" t="str">
        <f t="shared" ca="1" si="28"/>
        <v xml:space="preserve"> </v>
      </c>
      <c r="CT23" s="346"/>
      <c r="CU23" s="346"/>
      <c r="CV23" s="49" t="str">
        <f t="shared" si="29"/>
        <v xml:space="preserve"> </v>
      </c>
      <c r="CW23" s="368"/>
      <c r="CX23" s="369"/>
      <c r="CY23" s="54"/>
      <c r="CZ23" s="366"/>
      <c r="DA23" s="366"/>
      <c r="DB23" s="366" t="str">
        <f t="shared" si="30"/>
        <v xml:space="preserve"> </v>
      </c>
      <c r="DC23" s="54" t="str">
        <f t="shared" ca="1" si="31"/>
        <v xml:space="preserve"> </v>
      </c>
      <c r="DD23" s="366"/>
      <c r="DE23" s="366"/>
      <c r="DF23" s="54" t="str">
        <f t="shared" si="32"/>
        <v xml:space="preserve"> </v>
      </c>
      <c r="DG23" s="367"/>
      <c r="DH23" s="371"/>
      <c r="DI23" s="49"/>
      <c r="DJ23" s="346"/>
      <c r="DK23" s="346"/>
      <c r="DL23" s="346" t="str">
        <f t="shared" si="33"/>
        <v xml:space="preserve"> </v>
      </c>
      <c r="DM23" s="54" t="str">
        <f t="shared" ca="1" si="34"/>
        <v xml:space="preserve"> </v>
      </c>
      <c r="DN23" s="346"/>
      <c r="DO23" s="346"/>
      <c r="DP23" s="49" t="str">
        <f t="shared" si="35"/>
        <v xml:space="preserve"> </v>
      </c>
      <c r="DQ23" s="368"/>
      <c r="DR23" s="369"/>
      <c r="DS23" s="54"/>
      <c r="DT23" s="366"/>
      <c r="DU23" s="366"/>
      <c r="DV23" s="177" t="str">
        <f t="shared" si="36"/>
        <v xml:space="preserve"> </v>
      </c>
      <c r="DW23" s="54" t="str">
        <f t="shared" ca="1" si="37"/>
        <v xml:space="preserve"> </v>
      </c>
      <c r="DX23" s="366"/>
      <c r="DY23" s="366"/>
      <c r="DZ23" s="54" t="str">
        <f t="shared" si="38"/>
        <v xml:space="preserve"> </v>
      </c>
      <c r="EA23" s="367"/>
      <c r="EB23" s="371"/>
      <c r="EC23" s="49"/>
      <c r="ED23" s="346"/>
      <c r="EE23" s="346"/>
      <c r="EF23" s="177" t="str">
        <f t="shared" si="39"/>
        <v xml:space="preserve"> </v>
      </c>
      <c r="EG23" s="54" t="str">
        <f t="shared" ca="1" si="40"/>
        <v xml:space="preserve"> </v>
      </c>
      <c r="EH23" s="346"/>
      <c r="EI23" s="346"/>
      <c r="EJ23" s="49" t="str">
        <f t="shared" si="41"/>
        <v xml:space="preserve"> </v>
      </c>
      <c r="EK23" s="368"/>
      <c r="EL23" s="369"/>
      <c r="EM23" s="54"/>
      <c r="EN23" s="366"/>
      <c r="EO23" s="366"/>
      <c r="EP23" s="177" t="str">
        <f t="shared" si="42"/>
        <v xml:space="preserve"> </v>
      </c>
      <c r="EQ23" s="54" t="str">
        <f t="shared" ca="1" si="43"/>
        <v xml:space="preserve"> </v>
      </c>
      <c r="ER23" s="366"/>
      <c r="ES23" s="366"/>
      <c r="ET23" s="54" t="str">
        <f t="shared" si="44"/>
        <v xml:space="preserve"> </v>
      </c>
      <c r="EU23" s="367"/>
      <c r="EV23" s="371"/>
      <c r="EW23" s="49"/>
      <c r="EX23" s="346"/>
      <c r="EY23" s="346"/>
      <c r="EZ23" s="177" t="str">
        <f t="shared" si="45"/>
        <v xml:space="preserve"> </v>
      </c>
      <c r="FA23" s="54" t="str">
        <f t="shared" ca="1" si="46"/>
        <v xml:space="preserve"> </v>
      </c>
      <c r="FB23" s="346"/>
      <c r="FC23" s="346"/>
      <c r="FD23" s="49" t="str">
        <f t="shared" si="47"/>
        <v xml:space="preserve"> </v>
      </c>
      <c r="FE23" s="368"/>
      <c r="FF23" s="369"/>
      <c r="FG23" s="54"/>
      <c r="FH23" s="366"/>
      <c r="FI23" s="366"/>
      <c r="FJ23" s="177" t="str">
        <f t="shared" si="48"/>
        <v xml:space="preserve"> </v>
      </c>
      <c r="FK23" s="54" t="str">
        <f t="shared" ca="1" si="49"/>
        <v xml:space="preserve"> </v>
      </c>
      <c r="FL23" s="366"/>
      <c r="FM23" s="366"/>
      <c r="FN23" s="54" t="str">
        <f t="shared" si="50"/>
        <v xml:space="preserve"> </v>
      </c>
      <c r="FO23" s="367"/>
      <c r="FP23" s="371"/>
      <c r="FQ23" s="49"/>
      <c r="FR23" s="346"/>
      <c r="FS23" s="346"/>
      <c r="FT23" s="177" t="str">
        <f t="shared" si="51"/>
        <v xml:space="preserve"> </v>
      </c>
      <c r="FU23" s="54" t="str">
        <f t="shared" ca="1" si="52"/>
        <v xml:space="preserve"> </v>
      </c>
      <c r="FV23" s="346"/>
      <c r="FW23" s="346"/>
      <c r="FX23" s="49" t="str">
        <f t="shared" si="53"/>
        <v xml:space="preserve"> </v>
      </c>
      <c r="FY23" s="368"/>
      <c r="FZ23" s="369"/>
      <c r="GA23" s="54"/>
      <c r="GB23" s="366"/>
      <c r="GC23" s="366"/>
      <c r="GD23" s="177" t="str">
        <f t="shared" si="54"/>
        <v xml:space="preserve"> </v>
      </c>
      <c r="GE23" s="54" t="str">
        <f t="shared" ca="1" si="55"/>
        <v xml:space="preserve"> </v>
      </c>
      <c r="GF23" s="366"/>
      <c r="GG23" s="366"/>
      <c r="GH23" s="54" t="str">
        <f t="shared" si="56"/>
        <v xml:space="preserve"> </v>
      </c>
      <c r="GI23" s="367"/>
      <c r="GJ23" s="373"/>
      <c r="GK23" s="49"/>
      <c r="GL23" s="346"/>
      <c r="GM23" s="346"/>
      <c r="GN23" s="177" t="str">
        <f t="shared" si="57"/>
        <v xml:space="preserve"> </v>
      </c>
      <c r="GO23" s="54" t="str">
        <f t="shared" ca="1" si="58"/>
        <v xml:space="preserve"> </v>
      </c>
      <c r="GP23" s="346"/>
      <c r="GQ23" s="346"/>
      <c r="GR23" s="49" t="str">
        <f t="shared" si="59"/>
        <v xml:space="preserve"> </v>
      </c>
      <c r="GS23" s="374"/>
      <c r="GT23" s="369"/>
      <c r="GU23" s="54"/>
      <c r="GV23" s="366"/>
      <c r="GW23" s="366"/>
      <c r="GX23" s="177" t="str">
        <f t="shared" si="60"/>
        <v xml:space="preserve"> </v>
      </c>
      <c r="GY23" s="54" t="str">
        <f t="shared" ca="1" si="61"/>
        <v xml:space="preserve"> </v>
      </c>
      <c r="GZ23" s="366"/>
      <c r="HA23" s="366"/>
      <c r="HB23" s="54" t="str">
        <f t="shared" si="62"/>
        <v xml:space="preserve"> </v>
      </c>
      <c r="HC23" s="367"/>
      <c r="HD23" s="373"/>
      <c r="HE23" s="49"/>
      <c r="HF23" s="346"/>
      <c r="HG23" s="346"/>
      <c r="HH23" s="177" t="str">
        <f t="shared" si="63"/>
        <v xml:space="preserve"> </v>
      </c>
      <c r="HI23" s="54" t="str">
        <f t="shared" ca="1" si="64"/>
        <v xml:space="preserve"> </v>
      </c>
      <c r="HJ23" s="346"/>
      <c r="HK23" s="346"/>
      <c r="HL23" s="49" t="str">
        <f t="shared" si="65"/>
        <v xml:space="preserve"> </v>
      </c>
      <c r="HM23" s="374"/>
      <c r="HN23" s="369"/>
      <c r="HO23" s="54"/>
      <c r="HP23" s="366"/>
      <c r="HQ23" s="366"/>
      <c r="HR23" s="177" t="str">
        <f t="shared" si="66"/>
        <v xml:space="preserve"> </v>
      </c>
      <c r="HS23" s="54" t="str">
        <f t="shared" ca="1" si="67"/>
        <v xml:space="preserve"> </v>
      </c>
      <c r="HT23" s="366"/>
      <c r="HU23" s="366"/>
      <c r="HV23" s="54" t="str">
        <f t="shared" si="68"/>
        <v xml:space="preserve"> </v>
      </c>
      <c r="HW23" s="367"/>
      <c r="HX23" s="373"/>
      <c r="HY23" s="49"/>
      <c r="HZ23" s="346"/>
      <c r="IA23" s="177"/>
      <c r="IB23" s="177" t="str">
        <f t="shared" si="69"/>
        <v xml:space="preserve"> </v>
      </c>
      <c r="IC23" s="54" t="str">
        <f t="shared" ca="1" si="70"/>
        <v xml:space="preserve"> </v>
      </c>
      <c r="ID23" s="346"/>
      <c r="IE23" s="346"/>
      <c r="IF23" s="49" t="str">
        <f t="shared" si="71"/>
        <v xml:space="preserve"> </v>
      </c>
      <c r="IG23" s="374"/>
      <c r="IH23" s="369"/>
      <c r="II23" s="366"/>
      <c r="IJ23" s="366"/>
      <c r="IK23" s="366"/>
      <c r="IL23" s="177" t="str">
        <f t="shared" si="72"/>
        <v xml:space="preserve"> </v>
      </c>
      <c r="IM23" s="54" t="str">
        <f t="shared" ca="1" si="73"/>
        <v xml:space="preserve"> </v>
      </c>
      <c r="IN23" s="366"/>
      <c r="IO23" s="366"/>
      <c r="IP23" s="54" t="str">
        <f t="shared" si="74"/>
        <v xml:space="preserve"> </v>
      </c>
      <c r="IQ23" s="367"/>
      <c r="IR23" s="373"/>
      <c r="IS23" s="346"/>
      <c r="IT23" s="346"/>
      <c r="IU23" s="346"/>
      <c r="IV23" s="177" t="str">
        <f t="shared" si="75"/>
        <v xml:space="preserve"> </v>
      </c>
      <c r="IW23" s="54" t="str">
        <f t="shared" ca="1" si="76"/>
        <v xml:space="preserve"> </v>
      </c>
      <c r="IX23" s="346"/>
      <c r="IY23" s="346"/>
      <c r="IZ23" s="54" t="str">
        <f t="shared" si="77"/>
        <v xml:space="preserve"> </v>
      </c>
      <c r="JA23" s="374"/>
      <c r="JB23" s="369"/>
      <c r="JC23" s="366"/>
      <c r="JD23" s="366"/>
      <c r="JE23" s="366"/>
      <c r="JF23" s="177" t="str">
        <f t="shared" si="78"/>
        <v xml:space="preserve"> </v>
      </c>
      <c r="JG23" s="54" t="str">
        <f t="shared" ca="1" si="79"/>
        <v xml:space="preserve"> </v>
      </c>
      <c r="JH23" s="366"/>
      <c r="JI23" s="366"/>
      <c r="JJ23" s="54" t="str">
        <f t="shared" si="80"/>
        <v xml:space="preserve"> </v>
      </c>
      <c r="JK23" s="367"/>
      <c r="JL23" s="373"/>
      <c r="JM23" s="346"/>
      <c r="JN23" s="346"/>
      <c r="JO23" s="346"/>
      <c r="JP23" s="346" t="str">
        <f t="shared" si="81"/>
        <v xml:space="preserve"> </v>
      </c>
      <c r="JQ23" s="54" t="str">
        <f t="shared" ca="1" si="82"/>
        <v xml:space="preserve"> </v>
      </c>
      <c r="JR23" s="346"/>
      <c r="JS23" s="346"/>
      <c r="JT23" s="54" t="str">
        <f t="shared" si="83"/>
        <v xml:space="preserve"> </v>
      </c>
      <c r="JU23" s="374"/>
      <c r="JV23" s="369"/>
      <c r="JW23" s="366"/>
      <c r="JX23" s="366"/>
      <c r="JY23" s="366"/>
      <c r="JZ23" s="366" t="str">
        <f t="shared" si="84"/>
        <v xml:space="preserve"> </v>
      </c>
      <c r="KA23" s="54" t="str">
        <f t="shared" ca="1" si="85"/>
        <v xml:space="preserve"> </v>
      </c>
      <c r="KB23" s="366"/>
      <c r="KC23" s="366"/>
      <c r="KD23" s="54" t="str">
        <f t="shared" si="86"/>
        <v xml:space="preserve"> </v>
      </c>
      <c r="KE23" s="367"/>
      <c r="KF23" s="373"/>
      <c r="KG23" s="346"/>
      <c r="KH23" s="346"/>
      <c r="KI23" s="346"/>
      <c r="KJ23" s="346" t="str">
        <f t="shared" si="87"/>
        <v xml:space="preserve"> </v>
      </c>
      <c r="KK23" s="54" t="str">
        <f t="shared" ca="1" si="88"/>
        <v xml:space="preserve"> </v>
      </c>
      <c r="KL23" s="346"/>
      <c r="KM23" s="346"/>
      <c r="KN23" s="54" t="str">
        <f t="shared" si="89"/>
        <v xml:space="preserve"> </v>
      </c>
      <c r="KO23" s="374"/>
      <c r="KP23" s="369"/>
      <c r="KQ23" s="366"/>
      <c r="KR23" s="366"/>
      <c r="KS23" s="366"/>
      <c r="KT23" s="366" t="str">
        <f t="shared" si="90"/>
        <v xml:space="preserve"> </v>
      </c>
      <c r="KU23" s="54" t="str">
        <f t="shared" ca="1" si="91"/>
        <v xml:space="preserve"> </v>
      </c>
      <c r="KV23" s="366"/>
      <c r="KW23" s="366"/>
      <c r="KX23" s="54" t="str">
        <f t="shared" si="92"/>
        <v xml:space="preserve"> </v>
      </c>
      <c r="KY23" s="367"/>
      <c r="KZ23" s="373"/>
      <c r="LA23" s="346"/>
      <c r="LB23" s="346"/>
      <c r="LC23" s="346"/>
      <c r="LD23" s="346" t="str">
        <f t="shared" si="93"/>
        <v xml:space="preserve"> </v>
      </c>
      <c r="LE23" s="54" t="str">
        <f t="shared" ca="1" si="94"/>
        <v xml:space="preserve"> </v>
      </c>
      <c r="LF23" s="346"/>
      <c r="LG23" s="346"/>
      <c r="LH23" s="54" t="str">
        <f t="shared" si="95"/>
        <v xml:space="preserve"> </v>
      </c>
      <c r="LI23" s="374"/>
      <c r="LJ23" s="369"/>
      <c r="LK23" s="366"/>
      <c r="LL23" s="366"/>
      <c r="LM23" s="366"/>
      <c r="LN23" s="366" t="str">
        <f t="shared" si="96"/>
        <v xml:space="preserve"> </v>
      </c>
      <c r="LO23" s="54" t="str">
        <f t="shared" ca="1" si="97"/>
        <v xml:space="preserve"> </v>
      </c>
      <c r="LP23" s="366"/>
      <c r="LQ23" s="366"/>
      <c r="LR23" s="54" t="str">
        <f t="shared" si="98"/>
        <v xml:space="preserve"> </v>
      </c>
      <c r="LS23" s="367"/>
      <c r="LT23" s="373"/>
      <c r="LU23" s="346"/>
      <c r="LV23" s="346"/>
      <c r="LW23" s="346"/>
      <c r="LX23" s="346"/>
      <c r="LY23" s="54" t="str">
        <f t="shared" ca="1" si="99"/>
        <v xml:space="preserve"> </v>
      </c>
      <c r="LZ23" s="346"/>
      <c r="MA23" s="346"/>
      <c r="MB23" s="54" t="str">
        <f t="shared" si="100"/>
        <v xml:space="preserve"> </v>
      </c>
      <c r="MC23" s="374"/>
      <c r="MD23" s="369"/>
      <c r="ME23" s="366"/>
      <c r="MF23" s="366"/>
      <c r="MG23" s="366"/>
      <c r="MH23" s="366"/>
      <c r="MI23" s="54" t="str">
        <f t="shared" ca="1" si="101"/>
        <v xml:space="preserve"> </v>
      </c>
      <c r="MJ23" s="366"/>
      <c r="MK23" s="366"/>
      <c r="ML23" s="54" t="str">
        <f t="shared" si="102"/>
        <v xml:space="preserve"> </v>
      </c>
      <c r="MM23" s="367"/>
      <c r="MN23" s="373"/>
      <c r="MO23" s="346"/>
      <c r="MP23" s="346"/>
      <c r="MQ23" s="346"/>
      <c r="MR23" s="346"/>
      <c r="MS23" s="54" t="str">
        <f t="shared" ca="1" si="103"/>
        <v xml:space="preserve"> </v>
      </c>
      <c r="MT23" s="346"/>
      <c r="MU23" s="346"/>
      <c r="MV23" s="54" t="str">
        <f t="shared" si="104"/>
        <v xml:space="preserve"> </v>
      </c>
      <c r="MW23" s="374"/>
      <c r="MX23" s="369"/>
      <c r="MY23" s="366"/>
      <c r="MZ23" s="366"/>
      <c r="NA23" s="366"/>
      <c r="NB23" s="366"/>
      <c r="NC23" s="54" t="str">
        <f t="shared" ca="1" si="105"/>
        <v xml:space="preserve"> </v>
      </c>
      <c r="ND23" s="366"/>
      <c r="NE23" s="366"/>
      <c r="NF23" s="54" t="str">
        <f t="shared" si="106"/>
        <v xml:space="preserve"> </v>
      </c>
      <c r="NG23" s="367"/>
      <c r="NH23" s="373"/>
      <c r="NI23" s="346"/>
      <c r="NJ23" s="346"/>
      <c r="NK23" s="346"/>
      <c r="NL23" s="346"/>
      <c r="NM23" s="54" t="str">
        <f t="shared" ca="1" si="107"/>
        <v xml:space="preserve"> </v>
      </c>
      <c r="NN23" s="346"/>
      <c r="NO23" s="346"/>
      <c r="NP23" s="54" t="str">
        <f t="shared" si="108"/>
        <v xml:space="preserve"> </v>
      </c>
      <c r="NQ23" s="374"/>
      <c r="NR23" s="369"/>
      <c r="NS23" s="366"/>
      <c r="NT23" s="366"/>
      <c r="NU23" s="366"/>
      <c r="NV23" s="366"/>
      <c r="NW23" s="54" t="str">
        <f t="shared" ca="1" si="109"/>
        <v xml:space="preserve"> </v>
      </c>
      <c r="NX23" s="366"/>
      <c r="NY23" s="366"/>
      <c r="NZ23" s="54" t="str">
        <f t="shared" si="110"/>
        <v xml:space="preserve"> </v>
      </c>
      <c r="OA23" s="367"/>
      <c r="OB23" s="373"/>
      <c r="OC23" s="346"/>
      <c r="OD23" s="346"/>
      <c r="OE23" s="346"/>
      <c r="OF23" s="346"/>
      <c r="OG23" s="54" t="str">
        <f t="shared" ca="1" si="111"/>
        <v xml:space="preserve"> </v>
      </c>
      <c r="OH23" s="346"/>
      <c r="OI23" s="346"/>
      <c r="OJ23" s="54" t="str">
        <f t="shared" si="112"/>
        <v xml:space="preserve"> </v>
      </c>
      <c r="OK23" s="374"/>
    </row>
    <row r="24" spans="1:401" s="44" customFormat="1" ht="22.2" customHeight="1" x14ac:dyDescent="0.3">
      <c r="A24" s="355" t="s">
        <v>171</v>
      </c>
      <c r="B24" s="356" t="s">
        <v>873</v>
      </c>
      <c r="C24" s="37">
        <v>30113</v>
      </c>
      <c r="D24" s="205" t="s">
        <v>979</v>
      </c>
      <c r="E24" s="91">
        <v>45539</v>
      </c>
      <c r="F24" s="14">
        <f t="shared" si="0"/>
        <v>45904</v>
      </c>
      <c r="G24" s="37" t="str">
        <f ca="1">IF(E24=0," ",IF(F24-TODAY()&gt;60,"VIGENTE",IF(F24-TODAY()&lt;=0,"VENCIDO",IF(F24-TODAY()&lt;=60,"POR VENCER"))))</f>
        <v>VIGENTE</v>
      </c>
      <c r="H24" s="205"/>
      <c r="I24" s="37"/>
      <c r="J24" s="37" t="str">
        <f>IFERROR(VLOOKUP(B24,TIPODET1,2,FALSE)," ")</f>
        <v>G.M.</v>
      </c>
      <c r="K24" s="170"/>
      <c r="L24" s="356" t="s">
        <v>866</v>
      </c>
      <c r="M24" s="37">
        <v>24558</v>
      </c>
      <c r="N24" s="37" t="s">
        <v>980</v>
      </c>
      <c r="O24" s="91">
        <v>45539</v>
      </c>
      <c r="P24" s="14">
        <f t="shared" si="3"/>
        <v>45904</v>
      </c>
      <c r="Q24" s="37" t="str">
        <f t="shared" ca="1" si="4"/>
        <v>VIGENTE</v>
      </c>
      <c r="R24" s="205"/>
      <c r="S24" s="37"/>
      <c r="T24" s="37" t="str">
        <f t="shared" si="5"/>
        <v>D.P.</v>
      </c>
      <c r="U24" s="170"/>
      <c r="V24" s="217" t="s">
        <v>873</v>
      </c>
      <c r="W24" s="37">
        <v>30525</v>
      </c>
      <c r="X24" s="357" t="s">
        <v>981</v>
      </c>
      <c r="Y24" s="91">
        <v>45540</v>
      </c>
      <c r="Z24" s="14">
        <f t="shared" si="6"/>
        <v>45905</v>
      </c>
      <c r="AA24" s="37" t="str">
        <f t="shared" ca="1" si="7"/>
        <v>VIGENTE</v>
      </c>
      <c r="AB24" s="357"/>
      <c r="AC24" s="357"/>
      <c r="AD24" s="37" t="str">
        <f>IFERROR(VLOOKUP(V24,TIPODET1,2,FALSE)," ")</f>
        <v>G.M.</v>
      </c>
      <c r="AE24" s="359"/>
      <c r="AF24" s="428" t="s">
        <v>866</v>
      </c>
      <c r="AG24" s="12">
        <v>23604</v>
      </c>
      <c r="AH24" s="348" t="s">
        <v>982</v>
      </c>
      <c r="AI24" s="14">
        <v>45540</v>
      </c>
      <c r="AJ24" s="14">
        <f t="shared" si="9"/>
        <v>45905</v>
      </c>
      <c r="AK24" s="37" t="str">
        <f t="shared" ca="1" si="10"/>
        <v>VIGENTE</v>
      </c>
      <c r="AL24" s="125"/>
      <c r="AM24" s="348"/>
      <c r="AN24" s="12" t="str">
        <f t="shared" si="11"/>
        <v>D.P.</v>
      </c>
      <c r="AO24" s="361"/>
      <c r="AP24" s="184" t="s">
        <v>983</v>
      </c>
      <c r="AQ24" s="12" t="s">
        <v>984</v>
      </c>
      <c r="AR24" s="348" t="s">
        <v>985</v>
      </c>
      <c r="AS24" s="14">
        <v>45540</v>
      </c>
      <c r="AT24" s="14">
        <f t="shared" si="12"/>
        <v>45905</v>
      </c>
      <c r="AU24" s="37" t="str">
        <f t="shared" ca="1" si="13"/>
        <v>VIGENTE</v>
      </c>
      <c r="AV24" s="357"/>
      <c r="AW24" s="357"/>
      <c r="AX24" s="37" t="str">
        <f t="shared" si="14"/>
        <v>G.M.</v>
      </c>
      <c r="AY24" s="359"/>
      <c r="AZ24" s="184" t="s">
        <v>838</v>
      </c>
      <c r="BA24" s="12">
        <v>3268</v>
      </c>
      <c r="BB24" s="348" t="s">
        <v>986</v>
      </c>
      <c r="BC24" s="14">
        <v>45552</v>
      </c>
      <c r="BD24" s="14">
        <f t="shared" si="15"/>
        <v>45918</v>
      </c>
      <c r="BE24" s="37" t="str">
        <f t="shared" ca="1" si="16"/>
        <v>VIGENTE</v>
      </c>
      <c r="BF24" s="125"/>
      <c r="BG24" s="348"/>
      <c r="BH24" s="12" t="str">
        <f t="shared" si="17"/>
        <v>C.I.</v>
      </c>
      <c r="BI24" s="361"/>
      <c r="BJ24" s="356" t="s">
        <v>838</v>
      </c>
      <c r="BK24" s="37" t="s">
        <v>987</v>
      </c>
      <c r="BL24" s="357" t="s">
        <v>988</v>
      </c>
      <c r="BM24" s="91">
        <v>45561</v>
      </c>
      <c r="BN24" s="91">
        <f t="shared" si="18"/>
        <v>45926</v>
      </c>
      <c r="BO24" s="37" t="str">
        <f t="shared" ca="1" si="19"/>
        <v>VIGENTE</v>
      </c>
      <c r="BP24" s="357"/>
      <c r="BQ24" s="357"/>
      <c r="BR24" s="37" t="str">
        <f t="shared" si="20"/>
        <v>C.I.</v>
      </c>
      <c r="BS24" s="359"/>
      <c r="BT24" s="125" t="s">
        <v>854</v>
      </c>
      <c r="BU24" s="348" t="s">
        <v>989</v>
      </c>
      <c r="BV24" s="348" t="s">
        <v>990</v>
      </c>
      <c r="BW24" s="362">
        <v>45573</v>
      </c>
      <c r="BX24" s="14">
        <f t="shared" si="21"/>
        <v>45938</v>
      </c>
      <c r="BY24" s="37" t="str">
        <f t="shared" ca="1" si="22"/>
        <v>VIGENTE</v>
      </c>
      <c r="BZ24" s="348"/>
      <c r="CA24" s="348"/>
      <c r="CB24" s="12" t="str">
        <f t="shared" si="23"/>
        <v>G.M.</v>
      </c>
      <c r="CC24" s="361"/>
      <c r="CD24" s="184" t="s">
        <v>897</v>
      </c>
      <c r="CE24" s="37">
        <v>25976</v>
      </c>
      <c r="CF24" s="357" t="s">
        <v>991</v>
      </c>
      <c r="CG24" s="358">
        <v>45602</v>
      </c>
      <c r="CH24" s="358">
        <f t="shared" si="24"/>
        <v>45967</v>
      </c>
      <c r="CI24" s="37" t="str">
        <f t="shared" ca="1" si="25"/>
        <v>VIGENTE</v>
      </c>
      <c r="CJ24" s="357"/>
      <c r="CK24" s="357"/>
      <c r="CL24" s="37" t="str">
        <f t="shared" si="26"/>
        <v>D.P.</v>
      </c>
      <c r="CM24" s="359"/>
      <c r="CN24" s="184" t="s">
        <v>897</v>
      </c>
      <c r="CO24" s="12">
        <v>25981</v>
      </c>
      <c r="CP24" s="12" t="s">
        <v>992</v>
      </c>
      <c r="CQ24" s="14">
        <v>45602</v>
      </c>
      <c r="CR24" s="14">
        <f t="shared" si="27"/>
        <v>45967</v>
      </c>
      <c r="CS24" s="37" t="str">
        <f t="shared" ca="1" si="28"/>
        <v>VIGENTE</v>
      </c>
      <c r="CT24" s="12"/>
      <c r="CU24" s="348"/>
      <c r="CV24" s="12" t="str">
        <f t="shared" si="29"/>
        <v>D.P.</v>
      </c>
      <c r="CW24" s="361"/>
      <c r="CX24" s="184" t="s">
        <v>897</v>
      </c>
      <c r="CY24" s="12">
        <v>25979</v>
      </c>
      <c r="CZ24" s="12" t="s">
        <v>993</v>
      </c>
      <c r="DA24" s="14">
        <v>45602</v>
      </c>
      <c r="DB24" s="14">
        <f t="shared" si="30"/>
        <v>45967</v>
      </c>
      <c r="DC24" s="37" t="str">
        <f t="shared" ca="1" si="31"/>
        <v>VIGENTE</v>
      </c>
      <c r="DD24" s="12"/>
      <c r="DE24" s="357"/>
      <c r="DF24" s="37" t="str">
        <f t="shared" si="32"/>
        <v>D.P.</v>
      </c>
      <c r="DG24" s="359"/>
      <c r="DH24" s="184" t="s">
        <v>897</v>
      </c>
      <c r="DI24" s="12">
        <v>20994</v>
      </c>
      <c r="DJ24" s="12" t="s">
        <v>994</v>
      </c>
      <c r="DK24" s="14">
        <v>45602</v>
      </c>
      <c r="DL24" s="14">
        <f t="shared" si="33"/>
        <v>45967</v>
      </c>
      <c r="DM24" s="37" t="str">
        <f t="shared" ca="1" si="34"/>
        <v>VIGENTE</v>
      </c>
      <c r="DN24" s="12"/>
      <c r="DO24" s="348"/>
      <c r="DP24" s="12" t="str">
        <f t="shared" si="35"/>
        <v>D.P.</v>
      </c>
      <c r="DQ24" s="361"/>
      <c r="DR24" s="184" t="s">
        <v>838</v>
      </c>
      <c r="DS24" s="12">
        <v>3289</v>
      </c>
      <c r="DT24" s="12" t="s">
        <v>995</v>
      </c>
      <c r="DU24" s="14">
        <v>45617</v>
      </c>
      <c r="DV24" s="14">
        <f t="shared" si="36"/>
        <v>45982</v>
      </c>
      <c r="DW24" s="37" t="str">
        <f t="shared" ca="1" si="37"/>
        <v>VIGENTE</v>
      </c>
      <c r="DX24" s="12"/>
      <c r="DY24" s="357"/>
      <c r="DZ24" s="37" t="str">
        <f t="shared" si="38"/>
        <v>C.I.</v>
      </c>
      <c r="EA24" s="359"/>
      <c r="EB24" s="184"/>
      <c r="EC24" s="12"/>
      <c r="ED24" s="12"/>
      <c r="EE24" s="12"/>
      <c r="EF24" s="91" t="str">
        <f t="shared" si="39"/>
        <v xml:space="preserve"> </v>
      </c>
      <c r="EG24" s="37" t="str">
        <f t="shared" ca="1" si="40"/>
        <v xml:space="preserve"> </v>
      </c>
      <c r="EH24" s="12"/>
      <c r="EI24" s="348"/>
      <c r="EJ24" s="12" t="str">
        <f t="shared" si="41"/>
        <v xml:space="preserve"> </v>
      </c>
      <c r="EK24" s="361"/>
      <c r="EL24" s="184"/>
      <c r="EM24" s="12"/>
      <c r="EN24" s="12"/>
      <c r="EO24" s="12"/>
      <c r="EP24" s="91" t="str">
        <f t="shared" si="42"/>
        <v xml:space="preserve"> </v>
      </c>
      <c r="EQ24" s="37" t="str">
        <f t="shared" ca="1" si="43"/>
        <v xml:space="preserve"> </v>
      </c>
      <c r="ER24" s="12"/>
      <c r="ES24" s="357"/>
      <c r="ET24" s="37" t="str">
        <f t="shared" si="44"/>
        <v xml:space="preserve"> </v>
      </c>
      <c r="EU24" s="359"/>
      <c r="EV24" s="184"/>
      <c r="EW24" s="12"/>
      <c r="EX24" s="12"/>
      <c r="EY24" s="12"/>
      <c r="EZ24" s="91" t="str">
        <f t="shared" si="45"/>
        <v xml:space="preserve"> </v>
      </c>
      <c r="FA24" s="37" t="str">
        <f t="shared" ca="1" si="46"/>
        <v xml:space="preserve"> </v>
      </c>
      <c r="FB24" s="12"/>
      <c r="FC24" s="348"/>
      <c r="FD24" s="12" t="str">
        <f t="shared" si="47"/>
        <v xml:space="preserve"> </v>
      </c>
      <c r="FE24" s="361"/>
      <c r="FF24" s="184"/>
      <c r="FG24" s="12"/>
      <c r="FH24" s="12"/>
      <c r="FI24" s="12"/>
      <c r="FJ24" s="91" t="str">
        <f t="shared" si="48"/>
        <v xml:space="preserve"> </v>
      </c>
      <c r="FK24" s="37" t="str">
        <f t="shared" ca="1" si="49"/>
        <v xml:space="preserve"> </v>
      </c>
      <c r="FL24" s="12"/>
      <c r="FM24" s="357"/>
      <c r="FN24" s="37" t="str">
        <f t="shared" si="50"/>
        <v xml:space="preserve"> </v>
      </c>
      <c r="FO24" s="359"/>
      <c r="FP24" s="184"/>
      <c r="FQ24" s="12"/>
      <c r="FR24" s="12"/>
      <c r="FS24" s="12"/>
      <c r="FT24" s="91" t="str">
        <f t="shared" si="51"/>
        <v xml:space="preserve"> </v>
      </c>
      <c r="FU24" s="37" t="str">
        <f t="shared" ca="1" si="52"/>
        <v xml:space="preserve"> </v>
      </c>
      <c r="FV24" s="12"/>
      <c r="FW24" s="348"/>
      <c r="FX24" s="12" t="str">
        <f t="shared" si="53"/>
        <v xml:space="preserve"> </v>
      </c>
      <c r="FY24" s="361"/>
      <c r="FZ24" s="184"/>
      <c r="GA24" s="12"/>
      <c r="GB24" s="12"/>
      <c r="GC24" s="12"/>
      <c r="GD24" s="91" t="str">
        <f t="shared" si="54"/>
        <v xml:space="preserve"> </v>
      </c>
      <c r="GE24" s="37" t="str">
        <f t="shared" ca="1" si="55"/>
        <v xml:space="preserve"> </v>
      </c>
      <c r="GF24" s="12"/>
      <c r="GG24" s="357"/>
      <c r="GH24" s="37" t="str">
        <f t="shared" si="56"/>
        <v xml:space="preserve"> </v>
      </c>
      <c r="GI24" s="359"/>
      <c r="GJ24" s="184"/>
      <c r="GK24" s="12"/>
      <c r="GL24" s="12"/>
      <c r="GM24" s="12"/>
      <c r="GN24" s="91" t="str">
        <f t="shared" si="57"/>
        <v xml:space="preserve"> </v>
      </c>
      <c r="GO24" s="37" t="str">
        <f t="shared" ca="1" si="58"/>
        <v xml:space="preserve"> </v>
      </c>
      <c r="GP24" s="12"/>
      <c r="GQ24" s="348"/>
      <c r="GR24" s="12" t="str">
        <f t="shared" si="59"/>
        <v xml:space="preserve"> </v>
      </c>
      <c r="GS24" s="364"/>
      <c r="GT24" s="184"/>
      <c r="GU24" s="12"/>
      <c r="GV24" s="12"/>
      <c r="GW24" s="12"/>
      <c r="GX24" s="91" t="str">
        <f t="shared" si="60"/>
        <v xml:space="preserve"> </v>
      </c>
      <c r="GY24" s="37" t="str">
        <f t="shared" ca="1" si="61"/>
        <v xml:space="preserve"> </v>
      </c>
      <c r="GZ24" s="12"/>
      <c r="HA24" s="357"/>
      <c r="HB24" s="37" t="str">
        <f t="shared" si="62"/>
        <v xml:space="preserve"> </v>
      </c>
      <c r="HC24" s="359"/>
      <c r="HD24" s="184"/>
      <c r="HE24" s="12"/>
      <c r="HF24" s="12"/>
      <c r="HG24" s="12"/>
      <c r="HH24" s="91" t="str">
        <f t="shared" si="63"/>
        <v xml:space="preserve"> </v>
      </c>
      <c r="HI24" s="37" t="str">
        <f t="shared" ca="1" si="64"/>
        <v xml:space="preserve"> </v>
      </c>
      <c r="HJ24" s="12"/>
      <c r="HK24" s="348"/>
      <c r="HL24" s="12" t="str">
        <f t="shared" si="65"/>
        <v xml:space="preserve"> </v>
      </c>
      <c r="HM24" s="364"/>
      <c r="HN24" s="184"/>
      <c r="HO24" s="12"/>
      <c r="HP24" s="12"/>
      <c r="HQ24" s="12"/>
      <c r="HR24" s="91" t="str">
        <f t="shared" si="66"/>
        <v xml:space="preserve"> </v>
      </c>
      <c r="HS24" s="37" t="str">
        <f t="shared" ca="1" si="67"/>
        <v xml:space="preserve"> </v>
      </c>
      <c r="HT24" s="12"/>
      <c r="HU24" s="357"/>
      <c r="HV24" s="37" t="str">
        <f t="shared" si="68"/>
        <v xml:space="preserve"> </v>
      </c>
      <c r="HW24" s="359"/>
      <c r="HX24" s="184"/>
      <c r="HY24" s="12"/>
      <c r="HZ24" s="12"/>
      <c r="IA24" s="348"/>
      <c r="IB24" s="91" t="str">
        <f t="shared" si="69"/>
        <v xml:space="preserve"> </v>
      </c>
      <c r="IC24" s="37" t="str">
        <f t="shared" ca="1" si="70"/>
        <v xml:space="preserve"> </v>
      </c>
      <c r="ID24" s="12"/>
      <c r="IE24" s="348"/>
      <c r="IF24" s="12" t="str">
        <f t="shared" si="71"/>
        <v xml:space="preserve"> </v>
      </c>
      <c r="IG24" s="364"/>
      <c r="IH24" s="184"/>
      <c r="II24" s="12"/>
      <c r="IJ24" s="12"/>
      <c r="IK24" s="12"/>
      <c r="IL24" s="91" t="str">
        <f t="shared" si="72"/>
        <v xml:space="preserve"> </v>
      </c>
      <c r="IM24" s="37" t="str">
        <f t="shared" ca="1" si="73"/>
        <v xml:space="preserve"> </v>
      </c>
      <c r="IN24" s="12"/>
      <c r="IO24" s="357"/>
      <c r="IP24" s="37" t="str">
        <f t="shared" si="74"/>
        <v xml:space="preserve"> </v>
      </c>
      <c r="IQ24" s="359"/>
      <c r="IR24" s="184"/>
      <c r="IS24" s="12"/>
      <c r="IT24" s="12"/>
      <c r="IU24" s="12"/>
      <c r="IV24" s="91" t="str">
        <f t="shared" si="75"/>
        <v xml:space="preserve"> </v>
      </c>
      <c r="IW24" s="37" t="str">
        <f t="shared" ca="1" si="76"/>
        <v xml:space="preserve"> </v>
      </c>
      <c r="IX24" s="12"/>
      <c r="IY24" s="348"/>
      <c r="IZ24" s="37" t="str">
        <f t="shared" si="77"/>
        <v xml:space="preserve"> </v>
      </c>
      <c r="JA24" s="364"/>
      <c r="JB24" s="184"/>
      <c r="JC24" s="12"/>
      <c r="JD24" s="12"/>
      <c r="JE24" s="12"/>
      <c r="JF24" s="91" t="str">
        <f t="shared" si="78"/>
        <v xml:space="preserve"> </v>
      </c>
      <c r="JG24" s="37" t="str">
        <f t="shared" ca="1" si="79"/>
        <v xml:space="preserve"> </v>
      </c>
      <c r="JH24" s="12"/>
      <c r="JI24" s="357"/>
      <c r="JJ24" s="37" t="str">
        <f t="shared" si="80"/>
        <v xml:space="preserve"> </v>
      </c>
      <c r="JK24" s="359"/>
      <c r="JL24" s="184"/>
      <c r="JM24" s="12"/>
      <c r="JN24" s="12"/>
      <c r="JO24" s="12"/>
      <c r="JP24" s="348" t="str">
        <f t="shared" si="81"/>
        <v xml:space="preserve"> </v>
      </c>
      <c r="JQ24" s="37" t="str">
        <f t="shared" ca="1" si="82"/>
        <v xml:space="preserve"> </v>
      </c>
      <c r="JR24" s="12"/>
      <c r="JS24" s="348"/>
      <c r="JT24" s="37" t="str">
        <f t="shared" si="83"/>
        <v xml:space="preserve"> </v>
      </c>
      <c r="JU24" s="364"/>
      <c r="JV24" s="184"/>
      <c r="JW24" s="12"/>
      <c r="JX24" s="12"/>
      <c r="JY24" s="12"/>
      <c r="JZ24" s="348" t="str">
        <f t="shared" si="84"/>
        <v xml:space="preserve"> </v>
      </c>
      <c r="KA24" s="37" t="str">
        <f t="shared" ca="1" si="85"/>
        <v xml:space="preserve"> </v>
      </c>
      <c r="KB24" s="12"/>
      <c r="KC24" s="357"/>
      <c r="KD24" s="37" t="str">
        <f t="shared" si="86"/>
        <v xml:space="preserve"> </v>
      </c>
      <c r="KE24" s="359"/>
      <c r="KF24" s="184"/>
      <c r="KG24" s="12"/>
      <c r="KH24" s="12"/>
      <c r="KI24" s="12"/>
      <c r="KJ24" s="348" t="str">
        <f t="shared" si="87"/>
        <v xml:space="preserve"> </v>
      </c>
      <c r="KK24" s="37" t="str">
        <f t="shared" ca="1" si="88"/>
        <v xml:space="preserve"> </v>
      </c>
      <c r="KL24" s="12"/>
      <c r="KM24" s="348"/>
      <c r="KN24" s="37" t="str">
        <f t="shared" si="89"/>
        <v xml:space="preserve"> </v>
      </c>
      <c r="KO24" s="364"/>
      <c r="KP24" s="356"/>
      <c r="KQ24" s="12"/>
      <c r="KR24" s="12"/>
      <c r="KS24" s="14"/>
      <c r="KT24" s="14" t="str">
        <f t="shared" si="90"/>
        <v xml:space="preserve"> </v>
      </c>
      <c r="KU24" s="37" t="str">
        <f t="shared" ca="1" si="91"/>
        <v xml:space="preserve"> </v>
      </c>
      <c r="KV24" s="12"/>
      <c r="KW24" s="357"/>
      <c r="KX24" s="37" t="str">
        <f t="shared" si="92"/>
        <v xml:space="preserve"> </v>
      </c>
      <c r="KY24" s="359"/>
      <c r="KZ24" s="356"/>
      <c r="LA24" s="12"/>
      <c r="LB24" s="12"/>
      <c r="LC24" s="14"/>
      <c r="LD24" s="14" t="str">
        <f t="shared" si="93"/>
        <v xml:space="preserve"> </v>
      </c>
      <c r="LE24" s="37" t="str">
        <f t="shared" ca="1" si="94"/>
        <v xml:space="preserve"> </v>
      </c>
      <c r="LF24" s="12"/>
      <c r="LG24" s="348"/>
      <c r="LH24" s="37" t="str">
        <f t="shared" si="95"/>
        <v xml:space="preserve"> </v>
      </c>
      <c r="LI24" s="364"/>
      <c r="LJ24" s="356"/>
      <c r="LK24" s="12"/>
      <c r="LL24" s="12"/>
      <c r="LM24" s="14"/>
      <c r="LN24" s="14" t="str">
        <f t="shared" si="96"/>
        <v xml:space="preserve"> </v>
      </c>
      <c r="LO24" s="37" t="str">
        <f t="shared" ca="1" si="97"/>
        <v xml:space="preserve"> </v>
      </c>
      <c r="LP24" s="12"/>
      <c r="LQ24" s="357"/>
      <c r="LR24" s="37" t="str">
        <f t="shared" si="98"/>
        <v xml:space="preserve"> </v>
      </c>
      <c r="LS24" s="359"/>
      <c r="LT24" s="356"/>
      <c r="LU24" s="12"/>
      <c r="LV24" s="12"/>
      <c r="LW24" s="14"/>
      <c r="LX24" s="14" t="str">
        <f t="shared" ref="LX24:LX47" si="114">IF(LW24=0," ",LW24+365)</f>
        <v xml:space="preserve"> </v>
      </c>
      <c r="LY24" s="37" t="str">
        <f t="shared" ca="1" si="99"/>
        <v xml:space="preserve"> </v>
      </c>
      <c r="LZ24" s="12"/>
      <c r="MA24" s="348"/>
      <c r="MB24" s="37" t="str">
        <f t="shared" si="100"/>
        <v xml:space="preserve"> </v>
      </c>
      <c r="MC24" s="364"/>
      <c r="MD24" s="356"/>
      <c r="ME24" s="12"/>
      <c r="MF24" s="12"/>
      <c r="MG24" s="14"/>
      <c r="MH24" s="14" t="str">
        <f>IF(MG24=0," ",MG24+365)</f>
        <v xml:space="preserve"> </v>
      </c>
      <c r="MI24" s="37" t="str">
        <f t="shared" ca="1" si="101"/>
        <v xml:space="preserve"> </v>
      </c>
      <c r="MJ24" s="12"/>
      <c r="MK24" s="357"/>
      <c r="ML24" s="37" t="str">
        <f t="shared" si="102"/>
        <v xml:space="preserve"> </v>
      </c>
      <c r="MM24" s="359"/>
      <c r="MN24" s="356"/>
      <c r="MO24" s="12"/>
      <c r="MP24" s="12"/>
      <c r="MQ24" s="14"/>
      <c r="MR24" s="14"/>
      <c r="MS24" s="37" t="str">
        <f t="shared" ca="1" si="103"/>
        <v xml:space="preserve"> </v>
      </c>
      <c r="MT24" s="12"/>
      <c r="MU24" s="348"/>
      <c r="MV24" s="37" t="str">
        <f t="shared" si="104"/>
        <v xml:space="preserve"> </v>
      </c>
      <c r="MW24" s="364"/>
      <c r="MX24" s="356"/>
      <c r="MY24" s="12"/>
      <c r="MZ24" s="12"/>
      <c r="NA24" s="14"/>
      <c r="NB24" s="14" t="str">
        <f>IF(NA24=0," ",NA24+365)</f>
        <v xml:space="preserve"> </v>
      </c>
      <c r="NC24" s="37" t="str">
        <f t="shared" ca="1" si="105"/>
        <v xml:space="preserve"> </v>
      </c>
      <c r="ND24" s="12"/>
      <c r="NE24" s="357"/>
      <c r="NF24" s="37" t="str">
        <f t="shared" si="106"/>
        <v xml:space="preserve"> </v>
      </c>
      <c r="NG24" s="359"/>
      <c r="NH24" s="356"/>
      <c r="NI24" s="12"/>
      <c r="NJ24" s="12"/>
      <c r="NK24" s="14"/>
      <c r="NL24" s="14" t="str">
        <f>IF(NK24=0," ",NK24+365)</f>
        <v xml:space="preserve"> </v>
      </c>
      <c r="NM24" s="37" t="str">
        <f t="shared" ca="1" si="107"/>
        <v xml:space="preserve"> </v>
      </c>
      <c r="NN24" s="12"/>
      <c r="NO24" s="348"/>
      <c r="NP24" s="37" t="str">
        <f t="shared" si="108"/>
        <v xml:space="preserve"> </v>
      </c>
      <c r="NQ24" s="364"/>
      <c r="NR24" s="184"/>
      <c r="NS24" s="12"/>
      <c r="NT24" s="12"/>
      <c r="NU24" s="14"/>
      <c r="NV24" s="14" t="str">
        <f>IF(NU24=0," ",NU24+365)</f>
        <v xml:space="preserve"> </v>
      </c>
      <c r="NW24" s="37" t="str">
        <f t="shared" ca="1" si="109"/>
        <v xml:space="preserve"> </v>
      </c>
      <c r="NX24" s="12"/>
      <c r="NY24" s="357"/>
      <c r="NZ24" s="37" t="str">
        <f t="shared" si="110"/>
        <v xml:space="preserve"> </v>
      </c>
      <c r="OA24" s="359"/>
      <c r="OB24" s="184"/>
      <c r="OC24" s="12"/>
      <c r="OD24" s="12"/>
      <c r="OE24" s="12"/>
      <c r="OF24" s="348"/>
      <c r="OG24" s="37" t="str">
        <f t="shared" ca="1" si="111"/>
        <v xml:space="preserve"> </v>
      </c>
      <c r="OH24" s="12"/>
      <c r="OI24" s="348"/>
      <c r="OJ24" s="37" t="str">
        <f t="shared" si="112"/>
        <v xml:space="preserve"> </v>
      </c>
      <c r="OK24" s="364"/>
    </row>
    <row r="25" spans="1:401" s="44" customFormat="1" ht="22.2" customHeight="1" x14ac:dyDescent="0.3">
      <c r="A25" s="365" t="s">
        <v>175</v>
      </c>
      <c r="B25" s="369" t="s">
        <v>841</v>
      </c>
      <c r="C25" s="54">
        <v>54007</v>
      </c>
      <c r="D25" s="66" t="s">
        <v>996</v>
      </c>
      <c r="E25" s="65">
        <v>45686</v>
      </c>
      <c r="F25" s="177">
        <f>IF(E25=0," ",E25+365)</f>
        <v>46051</v>
      </c>
      <c r="G25" s="54" t="str">
        <f t="shared" ca="1" si="113"/>
        <v>VIGENTE</v>
      </c>
      <c r="H25" s="54"/>
      <c r="I25" s="54"/>
      <c r="J25" s="54" t="str">
        <f t="shared" si="2"/>
        <v>C.C.</v>
      </c>
      <c r="K25" s="171"/>
      <c r="L25" s="176" t="s">
        <v>854</v>
      </c>
      <c r="M25" s="426" t="s">
        <v>997</v>
      </c>
      <c r="N25" s="183" t="s">
        <v>998</v>
      </c>
      <c r="O25" s="177">
        <v>44579</v>
      </c>
      <c r="P25" s="177">
        <f t="shared" si="3"/>
        <v>44944</v>
      </c>
      <c r="Q25" s="54" t="str">
        <f t="shared" ca="1" si="4"/>
        <v>VENCIDO</v>
      </c>
      <c r="R25" s="54"/>
      <c r="S25" s="54"/>
      <c r="T25" s="54" t="str">
        <f t="shared" si="5"/>
        <v>G.M.</v>
      </c>
      <c r="U25" s="171"/>
      <c r="V25" s="369" t="s">
        <v>875</v>
      </c>
      <c r="W25" s="54">
        <v>17423</v>
      </c>
      <c r="X25" s="66" t="s">
        <v>999</v>
      </c>
      <c r="Y25" s="65">
        <v>45540</v>
      </c>
      <c r="Z25" s="177">
        <f>IF(Y25=0," ",Y25+365)</f>
        <v>45905</v>
      </c>
      <c r="AA25" s="54" t="str">
        <f t="shared" ca="1" si="7"/>
        <v>VIGENTE</v>
      </c>
      <c r="AB25" s="366"/>
      <c r="AC25" s="366"/>
      <c r="AD25" s="54" t="str">
        <f t="shared" si="8"/>
        <v>G.M.</v>
      </c>
      <c r="AE25" s="367"/>
      <c r="AF25" s="369" t="s">
        <v>875</v>
      </c>
      <c r="AG25" s="427">
        <v>17515</v>
      </c>
      <c r="AH25" s="346" t="s">
        <v>1000</v>
      </c>
      <c r="AI25" s="65">
        <v>44411</v>
      </c>
      <c r="AJ25" s="177">
        <f>IF(AI25=0," ",AI25+365)</f>
        <v>44776</v>
      </c>
      <c r="AK25" s="54" t="str">
        <f t="shared" ca="1" si="10"/>
        <v>VENCIDO</v>
      </c>
      <c r="AL25" s="346"/>
      <c r="AM25" s="346"/>
      <c r="AN25" s="49" t="str">
        <f t="shared" si="11"/>
        <v>G.M.</v>
      </c>
      <c r="AO25" s="368"/>
      <c r="AP25" s="369" t="s">
        <v>983</v>
      </c>
      <c r="AQ25" s="366" t="s">
        <v>1001</v>
      </c>
      <c r="AR25" s="366" t="s">
        <v>1002</v>
      </c>
      <c r="AS25" s="177">
        <v>44495</v>
      </c>
      <c r="AT25" s="177">
        <f>IF(AS25=0," ",AS25+365)</f>
        <v>44860</v>
      </c>
      <c r="AU25" s="54" t="str">
        <f t="shared" ca="1" si="13"/>
        <v>VENCIDO</v>
      </c>
      <c r="AV25" s="366"/>
      <c r="AW25" s="366"/>
      <c r="AX25" s="54" t="str">
        <f t="shared" si="14"/>
        <v>G.M.</v>
      </c>
      <c r="AY25" s="367"/>
      <c r="AZ25" s="176" t="s">
        <v>838</v>
      </c>
      <c r="BA25" s="427">
        <v>6299</v>
      </c>
      <c r="BB25" s="346" t="s">
        <v>1003</v>
      </c>
      <c r="BC25" s="65">
        <v>43803</v>
      </c>
      <c r="BD25" s="177">
        <f>IF(BC25=0," ",BC25+366)</f>
        <v>44169</v>
      </c>
      <c r="BE25" s="54" t="str">
        <f t="shared" ca="1" si="16"/>
        <v>VENCIDO</v>
      </c>
      <c r="BF25" s="346"/>
      <c r="BG25" s="346"/>
      <c r="BH25" s="49" t="str">
        <f t="shared" si="17"/>
        <v>C.I.</v>
      </c>
      <c r="BI25" s="368"/>
      <c r="BJ25" s="369" t="s">
        <v>873</v>
      </c>
      <c r="BK25" s="54">
        <v>30515</v>
      </c>
      <c r="BL25" s="66" t="s">
        <v>1004</v>
      </c>
      <c r="BM25" s="65">
        <v>45548</v>
      </c>
      <c r="BN25" s="177">
        <f>IF(BM25=0," ",BM25+365)</f>
        <v>45913</v>
      </c>
      <c r="BO25" s="54" t="str">
        <f t="shared" ca="1" si="19"/>
        <v>VIGENTE</v>
      </c>
      <c r="BP25" s="366"/>
      <c r="BQ25" s="366"/>
      <c r="BR25" s="54" t="str">
        <f t="shared" si="20"/>
        <v>G.M.</v>
      </c>
      <c r="BS25" s="367"/>
      <c r="BT25" s="369" t="s">
        <v>838</v>
      </c>
      <c r="BU25" s="54" t="s">
        <v>1005</v>
      </c>
      <c r="BV25" s="66" t="s">
        <v>1006</v>
      </c>
      <c r="BW25" s="65">
        <v>45677</v>
      </c>
      <c r="BX25" s="177">
        <f>IF(BW25=0," ",BW25+365)</f>
        <v>46042</v>
      </c>
      <c r="BY25" s="54" t="str">
        <f t="shared" ca="1" si="22"/>
        <v>VIGENTE</v>
      </c>
      <c r="BZ25" s="346"/>
      <c r="CA25" s="346"/>
      <c r="CB25" s="49" t="str">
        <f t="shared" si="23"/>
        <v>C.I.</v>
      </c>
      <c r="CC25" s="368"/>
      <c r="CD25" s="369" t="s">
        <v>838</v>
      </c>
      <c r="CE25" s="54" t="s">
        <v>1007</v>
      </c>
      <c r="CF25" s="66" t="s">
        <v>1008</v>
      </c>
      <c r="CG25" s="65">
        <v>45749</v>
      </c>
      <c r="CH25" s="177">
        <f>IF(CG25=0," ",CG25+365)</f>
        <v>46114</v>
      </c>
      <c r="CI25" s="54" t="str">
        <f t="shared" ca="1" si="25"/>
        <v>VIGENTE</v>
      </c>
      <c r="CJ25" s="366"/>
      <c r="CK25" s="366"/>
      <c r="CL25" s="54" t="str">
        <f t="shared" si="26"/>
        <v>C.I.</v>
      </c>
      <c r="CM25" s="367"/>
      <c r="CN25" s="369" t="s">
        <v>838</v>
      </c>
      <c r="CO25" s="54" t="s">
        <v>1009</v>
      </c>
      <c r="CP25" s="66" t="s">
        <v>1010</v>
      </c>
      <c r="CQ25" s="65">
        <v>45749</v>
      </c>
      <c r="CR25" s="177">
        <f>IF(CQ25=0," ",CQ25+365)</f>
        <v>46114</v>
      </c>
      <c r="CS25" s="54" t="str">
        <f t="shared" ca="1" si="28"/>
        <v>VIGENTE</v>
      </c>
      <c r="CT25" s="346"/>
      <c r="CU25" s="346"/>
      <c r="CV25" s="49" t="str">
        <f t="shared" si="29"/>
        <v>C.I.</v>
      </c>
      <c r="CW25" s="368"/>
      <c r="CX25" s="369" t="s">
        <v>838</v>
      </c>
      <c r="CY25" s="54" t="s">
        <v>1011</v>
      </c>
      <c r="CZ25" s="66" t="s">
        <v>1012</v>
      </c>
      <c r="DA25" s="65">
        <v>45755</v>
      </c>
      <c r="DB25" s="177">
        <f>IF(DA25=0," ",DA25+365)</f>
        <v>46120</v>
      </c>
      <c r="DC25" s="54" t="str">
        <f t="shared" ca="1" si="31"/>
        <v>VIGENTE</v>
      </c>
      <c r="DD25" s="366"/>
      <c r="DE25" s="366"/>
      <c r="DF25" s="54" t="str">
        <f t="shared" si="32"/>
        <v>C.I.</v>
      </c>
      <c r="DG25" s="367"/>
      <c r="DH25" s="369" t="s">
        <v>838</v>
      </c>
      <c r="DI25" s="54" t="s">
        <v>1013</v>
      </c>
      <c r="DJ25" s="66" t="s">
        <v>1014</v>
      </c>
      <c r="DK25" s="65">
        <v>45755</v>
      </c>
      <c r="DL25" s="177">
        <f>IF(DK25=0," ",DK25+365)</f>
        <v>46120</v>
      </c>
      <c r="DM25" s="54" t="str">
        <f t="shared" ca="1" si="34"/>
        <v>VIGENTE</v>
      </c>
      <c r="DN25" s="346"/>
      <c r="DO25" s="346"/>
      <c r="DP25" s="49" t="str">
        <f t="shared" si="35"/>
        <v>C.I.</v>
      </c>
      <c r="DQ25" s="368"/>
      <c r="DR25" s="369" t="s">
        <v>838</v>
      </c>
      <c r="DS25" s="54" t="s">
        <v>1015</v>
      </c>
      <c r="DT25" s="66" t="s">
        <v>1016</v>
      </c>
      <c r="DU25" s="65">
        <v>45755</v>
      </c>
      <c r="DV25" s="177">
        <f>IF(DU25=0," ",DU25+365)</f>
        <v>46120</v>
      </c>
      <c r="DW25" s="54" t="str">
        <f t="shared" ca="1" si="37"/>
        <v>VIGENTE</v>
      </c>
      <c r="DX25" s="366"/>
      <c r="DY25" s="366"/>
      <c r="DZ25" s="54" t="str">
        <f t="shared" si="38"/>
        <v>C.I.</v>
      </c>
      <c r="EA25" s="367"/>
      <c r="EB25" s="369" t="s">
        <v>838</v>
      </c>
      <c r="EC25" s="54" t="s">
        <v>1017</v>
      </c>
      <c r="ED25" s="66" t="s">
        <v>1018</v>
      </c>
      <c r="EE25" s="65">
        <v>45755</v>
      </c>
      <c r="EF25" s="177">
        <f>IF(EE25=0," ",EE25+365)</f>
        <v>46120</v>
      </c>
      <c r="EG25" s="54" t="str">
        <f t="shared" ca="1" si="40"/>
        <v>VIGENTE</v>
      </c>
      <c r="EH25" s="346"/>
      <c r="EI25" s="346"/>
      <c r="EJ25" s="49" t="str">
        <f t="shared" si="41"/>
        <v>C.I.</v>
      </c>
      <c r="EK25" s="368"/>
      <c r="EL25" s="369" t="s">
        <v>838</v>
      </c>
      <c r="EM25" s="54" t="s">
        <v>1019</v>
      </c>
      <c r="EN25" s="66" t="s">
        <v>1020</v>
      </c>
      <c r="EO25" s="65">
        <v>45755</v>
      </c>
      <c r="EP25" s="177">
        <f>IF(EO25=0," ",EO25+365)</f>
        <v>46120</v>
      </c>
      <c r="EQ25" s="54" t="str">
        <f t="shared" ca="1" si="43"/>
        <v>VIGENTE</v>
      </c>
      <c r="ER25" s="366"/>
      <c r="ES25" s="366"/>
      <c r="ET25" s="54" t="str">
        <f t="shared" si="44"/>
        <v>C.I.</v>
      </c>
      <c r="EU25" s="367"/>
      <c r="EV25" s="369" t="s">
        <v>838</v>
      </c>
      <c r="EW25" s="54" t="s">
        <v>1021</v>
      </c>
      <c r="EX25" s="66" t="s">
        <v>1022</v>
      </c>
      <c r="EY25" s="65">
        <v>45756</v>
      </c>
      <c r="EZ25" s="177">
        <f>IF(EY25=0," ",EY25+365)</f>
        <v>46121</v>
      </c>
      <c r="FA25" s="54" t="str">
        <f t="shared" ca="1" si="46"/>
        <v>VIGENTE</v>
      </c>
      <c r="FB25" s="346"/>
      <c r="FC25" s="346"/>
      <c r="FD25" s="49" t="str">
        <f t="shared" si="47"/>
        <v>C.I.</v>
      </c>
      <c r="FE25" s="368"/>
      <c r="FF25" s="369" t="s">
        <v>838</v>
      </c>
      <c r="FG25" s="54" t="s">
        <v>1023</v>
      </c>
      <c r="FH25" s="66" t="s">
        <v>1024</v>
      </c>
      <c r="FI25" s="65">
        <v>45756</v>
      </c>
      <c r="FJ25" s="177">
        <f>IF(FI25=0," ",FI25+365)</f>
        <v>46121</v>
      </c>
      <c r="FK25" s="54" t="str">
        <f t="shared" ca="1" si="49"/>
        <v>VIGENTE</v>
      </c>
      <c r="FL25" s="366"/>
      <c r="FM25" s="366"/>
      <c r="FN25" s="54" t="str">
        <f t="shared" si="50"/>
        <v>C.I.</v>
      </c>
      <c r="FO25" s="367"/>
      <c r="FP25" s="369" t="s">
        <v>838</v>
      </c>
      <c r="FQ25" s="54" t="s">
        <v>1025</v>
      </c>
      <c r="FR25" s="66" t="s">
        <v>1026</v>
      </c>
      <c r="FS25" s="65">
        <v>45756</v>
      </c>
      <c r="FT25" s="177">
        <f>IF(FS25=0," ",FS25+365)</f>
        <v>46121</v>
      </c>
      <c r="FU25" s="54" t="str">
        <f t="shared" ca="1" si="52"/>
        <v>VIGENTE</v>
      </c>
      <c r="FV25" s="346"/>
      <c r="FW25" s="346"/>
      <c r="FX25" s="49" t="str">
        <f t="shared" si="53"/>
        <v>C.I.</v>
      </c>
      <c r="FY25" s="368"/>
      <c r="FZ25" s="369" t="s">
        <v>838</v>
      </c>
      <c r="GA25" s="54" t="s">
        <v>1027</v>
      </c>
      <c r="GB25" s="66" t="s">
        <v>1028</v>
      </c>
      <c r="GC25" s="65">
        <v>45757</v>
      </c>
      <c r="GD25" s="177">
        <f>IF(GC25=0," ",GC25+365)</f>
        <v>46122</v>
      </c>
      <c r="GE25" s="54" t="str">
        <f t="shared" ca="1" si="55"/>
        <v>VIGENTE</v>
      </c>
      <c r="GF25" s="366"/>
      <c r="GG25" s="366"/>
      <c r="GH25" s="54" t="str">
        <f t="shared" si="56"/>
        <v>C.I.</v>
      </c>
      <c r="GI25" s="367"/>
      <c r="GJ25" s="369" t="s">
        <v>838</v>
      </c>
      <c r="GK25" s="54" t="s">
        <v>1029</v>
      </c>
      <c r="GL25" s="66" t="s">
        <v>1030</v>
      </c>
      <c r="GM25" s="65">
        <v>45757</v>
      </c>
      <c r="GN25" s="177">
        <f>IF(GM25=0," ",GM25+365)</f>
        <v>46122</v>
      </c>
      <c r="GO25" s="54" t="str">
        <f t="shared" ca="1" si="58"/>
        <v>VIGENTE</v>
      </c>
      <c r="GP25" s="346"/>
      <c r="GQ25" s="346"/>
      <c r="GR25" s="49" t="str">
        <f t="shared" si="59"/>
        <v>C.I.</v>
      </c>
      <c r="GS25" s="374"/>
      <c r="GT25" s="369" t="s">
        <v>838</v>
      </c>
      <c r="GU25" s="54" t="s">
        <v>1031</v>
      </c>
      <c r="GV25" s="66" t="s">
        <v>1032</v>
      </c>
      <c r="GW25" s="65">
        <v>45757</v>
      </c>
      <c r="GX25" s="177">
        <f>IF(GW25=0," ",GW25+365)</f>
        <v>46122</v>
      </c>
      <c r="GY25" s="54" t="str">
        <f t="shared" ca="1" si="61"/>
        <v>VIGENTE</v>
      </c>
      <c r="GZ25" s="366"/>
      <c r="HA25" s="366"/>
      <c r="HB25" s="54" t="str">
        <f t="shared" si="62"/>
        <v>C.I.</v>
      </c>
      <c r="HC25" s="367"/>
      <c r="HD25" s="369" t="s">
        <v>838</v>
      </c>
      <c r="HE25" s="54" t="s">
        <v>1033</v>
      </c>
      <c r="HF25" s="66" t="s">
        <v>1034</v>
      </c>
      <c r="HG25" s="65">
        <v>45757</v>
      </c>
      <c r="HH25" s="177">
        <f>IF(HG25=0," ",HG25+365)</f>
        <v>46122</v>
      </c>
      <c r="HI25" s="54" t="str">
        <f t="shared" ca="1" si="64"/>
        <v>VIGENTE</v>
      </c>
      <c r="HJ25" s="346"/>
      <c r="HK25" s="346"/>
      <c r="HL25" s="49" t="str">
        <f t="shared" si="65"/>
        <v>C.I.</v>
      </c>
      <c r="HM25" s="374"/>
      <c r="HN25" s="369" t="s">
        <v>838</v>
      </c>
      <c r="HO25" s="54" t="s">
        <v>1035</v>
      </c>
      <c r="HP25" s="66" t="s">
        <v>1036</v>
      </c>
      <c r="HQ25" s="65">
        <v>45757</v>
      </c>
      <c r="HR25" s="177">
        <f>IF(HQ25=0," ",HQ25+365)</f>
        <v>46122</v>
      </c>
      <c r="HS25" s="54" t="str">
        <f t="shared" ca="1" si="67"/>
        <v>VIGENTE</v>
      </c>
      <c r="HT25" s="366"/>
      <c r="HU25" s="366"/>
      <c r="HV25" s="54" t="str">
        <f t="shared" si="68"/>
        <v>C.I.</v>
      </c>
      <c r="HW25" s="367"/>
      <c r="HX25" s="369" t="s">
        <v>838</v>
      </c>
      <c r="HY25" s="54" t="s">
        <v>1037</v>
      </c>
      <c r="HZ25" s="66" t="s">
        <v>1038</v>
      </c>
      <c r="IA25" s="177">
        <v>45757</v>
      </c>
      <c r="IB25" s="177">
        <f>IF(IA25=0," ",IA25+365)</f>
        <v>46122</v>
      </c>
      <c r="IC25" s="54" t="str">
        <f t="shared" ca="1" si="70"/>
        <v>VIGENTE</v>
      </c>
      <c r="ID25" s="346"/>
      <c r="IE25" s="346"/>
      <c r="IF25" s="49" t="str">
        <f t="shared" si="71"/>
        <v>C.I.</v>
      </c>
      <c r="IG25" s="374"/>
      <c r="IH25" s="369"/>
      <c r="II25" s="366"/>
      <c r="IJ25" s="366"/>
      <c r="IK25" s="366"/>
      <c r="IL25" s="177" t="str">
        <f t="shared" si="72"/>
        <v xml:space="preserve"> </v>
      </c>
      <c r="IM25" s="54" t="str">
        <f t="shared" ca="1" si="73"/>
        <v xml:space="preserve"> </v>
      </c>
      <c r="IN25" s="366"/>
      <c r="IO25" s="366"/>
      <c r="IP25" s="54" t="str">
        <f t="shared" si="74"/>
        <v xml:space="preserve"> </v>
      </c>
      <c r="IQ25" s="367"/>
      <c r="IR25" s="373"/>
      <c r="IS25" s="346"/>
      <c r="IT25" s="346"/>
      <c r="IU25" s="346"/>
      <c r="IV25" s="177" t="str">
        <f t="shared" si="75"/>
        <v xml:space="preserve"> </v>
      </c>
      <c r="IW25" s="54" t="str">
        <f t="shared" ca="1" si="76"/>
        <v xml:space="preserve"> </v>
      </c>
      <c r="IX25" s="346"/>
      <c r="IY25" s="346"/>
      <c r="IZ25" s="54" t="str">
        <f t="shared" si="77"/>
        <v xml:space="preserve"> </v>
      </c>
      <c r="JA25" s="374"/>
      <c r="JB25" s="369"/>
      <c r="JC25" s="366"/>
      <c r="JD25" s="366"/>
      <c r="JE25" s="366"/>
      <c r="JF25" s="177" t="str">
        <f t="shared" si="78"/>
        <v xml:space="preserve"> </v>
      </c>
      <c r="JG25" s="54" t="str">
        <f t="shared" ca="1" si="79"/>
        <v xml:space="preserve"> </v>
      </c>
      <c r="JH25" s="366"/>
      <c r="JI25" s="366"/>
      <c r="JJ25" s="54" t="str">
        <f t="shared" si="80"/>
        <v xml:space="preserve"> </v>
      </c>
      <c r="JK25" s="367"/>
      <c r="JL25" s="373"/>
      <c r="JM25" s="346"/>
      <c r="JN25" s="346"/>
      <c r="JO25" s="346"/>
      <c r="JP25" s="346" t="str">
        <f t="shared" si="81"/>
        <v xml:space="preserve"> </v>
      </c>
      <c r="JQ25" s="54" t="str">
        <f t="shared" ca="1" si="82"/>
        <v xml:space="preserve"> </v>
      </c>
      <c r="JR25" s="346"/>
      <c r="JS25" s="346"/>
      <c r="JT25" s="54" t="str">
        <f t="shared" si="83"/>
        <v xml:space="preserve"> </v>
      </c>
      <c r="JU25" s="374"/>
      <c r="JV25" s="369"/>
      <c r="JW25" s="366"/>
      <c r="JX25" s="366"/>
      <c r="JY25" s="366"/>
      <c r="JZ25" s="366" t="str">
        <f t="shared" si="84"/>
        <v xml:space="preserve"> </v>
      </c>
      <c r="KA25" s="54" t="str">
        <f t="shared" ca="1" si="85"/>
        <v xml:space="preserve"> </v>
      </c>
      <c r="KB25" s="366"/>
      <c r="KC25" s="366"/>
      <c r="KD25" s="54" t="str">
        <f t="shared" si="86"/>
        <v xml:space="preserve"> </v>
      </c>
      <c r="KE25" s="367"/>
      <c r="KF25" s="373"/>
      <c r="KG25" s="346"/>
      <c r="KH25" s="346"/>
      <c r="KI25" s="346"/>
      <c r="KJ25" s="346" t="str">
        <f t="shared" si="87"/>
        <v xml:space="preserve"> </v>
      </c>
      <c r="KK25" s="54" t="str">
        <f t="shared" ca="1" si="88"/>
        <v xml:space="preserve"> </v>
      </c>
      <c r="KL25" s="346"/>
      <c r="KM25" s="346"/>
      <c r="KN25" s="54" t="str">
        <f t="shared" si="89"/>
        <v xml:space="preserve"> </v>
      </c>
      <c r="KO25" s="374"/>
      <c r="KP25" s="369"/>
      <c r="KQ25" s="366"/>
      <c r="KR25" s="366"/>
      <c r="KS25" s="366"/>
      <c r="KT25" s="366" t="str">
        <f t="shared" si="90"/>
        <v xml:space="preserve"> </v>
      </c>
      <c r="KU25" s="54" t="str">
        <f t="shared" ca="1" si="91"/>
        <v xml:space="preserve"> </v>
      </c>
      <c r="KV25" s="366"/>
      <c r="KW25" s="366"/>
      <c r="KX25" s="54" t="str">
        <f t="shared" si="92"/>
        <v xml:space="preserve"> </v>
      </c>
      <c r="KY25" s="367"/>
      <c r="KZ25" s="373"/>
      <c r="LA25" s="346"/>
      <c r="LB25" s="346"/>
      <c r="LC25" s="346"/>
      <c r="LD25" s="346" t="str">
        <f t="shared" si="93"/>
        <v xml:space="preserve"> </v>
      </c>
      <c r="LE25" s="54" t="str">
        <f t="shared" ca="1" si="94"/>
        <v xml:space="preserve"> </v>
      </c>
      <c r="LF25" s="346"/>
      <c r="LG25" s="346"/>
      <c r="LH25" s="54" t="str">
        <f t="shared" si="95"/>
        <v xml:space="preserve"> </v>
      </c>
      <c r="LI25" s="374"/>
      <c r="LJ25" s="369"/>
      <c r="LK25" s="366"/>
      <c r="LL25" s="366"/>
      <c r="LM25" s="366"/>
      <c r="LN25" s="366" t="str">
        <f t="shared" si="96"/>
        <v xml:space="preserve"> </v>
      </c>
      <c r="LO25" s="54" t="str">
        <f t="shared" ca="1" si="97"/>
        <v xml:space="preserve"> </v>
      </c>
      <c r="LP25" s="366"/>
      <c r="LQ25" s="366"/>
      <c r="LR25" s="54" t="str">
        <f t="shared" si="98"/>
        <v xml:space="preserve"> </v>
      </c>
      <c r="LS25" s="367"/>
      <c r="LT25" s="373"/>
      <c r="LU25" s="346"/>
      <c r="LV25" s="346"/>
      <c r="LW25" s="346"/>
      <c r="LX25" s="346" t="str">
        <f t="shared" si="114"/>
        <v xml:space="preserve"> </v>
      </c>
      <c r="LY25" s="54" t="str">
        <f t="shared" ca="1" si="99"/>
        <v xml:space="preserve"> </v>
      </c>
      <c r="LZ25" s="346"/>
      <c r="MA25" s="346"/>
      <c r="MB25" s="54" t="str">
        <f t="shared" si="100"/>
        <v xml:space="preserve"> </v>
      </c>
      <c r="MC25" s="374"/>
      <c r="MD25" s="369"/>
      <c r="ME25" s="366"/>
      <c r="MF25" s="366"/>
      <c r="MG25" s="366"/>
      <c r="MH25" s="366"/>
      <c r="MI25" s="54" t="str">
        <f t="shared" ca="1" si="101"/>
        <v xml:space="preserve"> </v>
      </c>
      <c r="MJ25" s="366"/>
      <c r="MK25" s="366"/>
      <c r="ML25" s="54" t="str">
        <f t="shared" si="102"/>
        <v xml:space="preserve"> </v>
      </c>
      <c r="MM25" s="367"/>
      <c r="MN25" s="373"/>
      <c r="MO25" s="346"/>
      <c r="MP25" s="346"/>
      <c r="MQ25" s="346"/>
      <c r="MR25" s="346"/>
      <c r="MS25" s="54" t="str">
        <f t="shared" ca="1" si="103"/>
        <v xml:space="preserve"> </v>
      </c>
      <c r="MT25" s="346"/>
      <c r="MU25" s="346"/>
      <c r="MV25" s="54" t="str">
        <f t="shared" si="104"/>
        <v xml:space="preserve"> </v>
      </c>
      <c r="MW25" s="374"/>
      <c r="MX25" s="369"/>
      <c r="MY25" s="366"/>
      <c r="MZ25" s="366"/>
      <c r="NA25" s="366"/>
      <c r="NB25" s="366"/>
      <c r="NC25" s="54" t="str">
        <f t="shared" ca="1" si="105"/>
        <v xml:space="preserve"> </v>
      </c>
      <c r="ND25" s="366"/>
      <c r="NE25" s="366"/>
      <c r="NF25" s="54" t="str">
        <f t="shared" ref="NF25:NF48" si="115">IFERROR(VLOOKUP(MX25,TIPODET1,2,FALSE)," ")</f>
        <v xml:space="preserve"> </v>
      </c>
      <c r="NG25" s="367"/>
      <c r="NH25" s="373"/>
      <c r="NI25" s="346"/>
      <c r="NJ25" s="346"/>
      <c r="NK25" s="346"/>
      <c r="NL25" s="346"/>
      <c r="NM25" s="54" t="str">
        <f t="shared" ca="1" si="107"/>
        <v xml:space="preserve"> </v>
      </c>
      <c r="NN25" s="346"/>
      <c r="NO25" s="346"/>
      <c r="NP25" s="54" t="str">
        <f t="shared" ref="NP25:NP48" si="116">IFERROR(VLOOKUP(NH25,TIPODET1,2,FALSE)," ")</f>
        <v xml:space="preserve"> </v>
      </c>
      <c r="NQ25" s="374"/>
      <c r="NR25" s="369"/>
      <c r="NS25" s="366"/>
      <c r="NT25" s="366"/>
      <c r="NU25" s="366"/>
      <c r="NV25" s="366"/>
      <c r="NW25" s="54" t="str">
        <f t="shared" ca="1" si="109"/>
        <v xml:space="preserve"> </v>
      </c>
      <c r="NX25" s="366"/>
      <c r="NY25" s="366"/>
      <c r="NZ25" s="54" t="str">
        <f t="shared" ref="NZ25:NZ48" si="117">IFERROR(VLOOKUP(NR25,TIPODET1,2,FALSE)," ")</f>
        <v xml:space="preserve"> </v>
      </c>
      <c r="OA25" s="367"/>
      <c r="OB25" s="373"/>
      <c r="OC25" s="346"/>
      <c r="OD25" s="346"/>
      <c r="OE25" s="346"/>
      <c r="OF25" s="346"/>
      <c r="OG25" s="54" t="str">
        <f t="shared" ca="1" si="111"/>
        <v xml:space="preserve"> </v>
      </c>
      <c r="OH25" s="346"/>
      <c r="OI25" s="346"/>
      <c r="OJ25" s="54" t="str">
        <f t="shared" ref="OJ25:OJ48" si="118">IFERROR(VLOOKUP(OB25,TIPODET1,2,FALSE)," ")</f>
        <v xml:space="preserve"> </v>
      </c>
      <c r="OK25" s="374"/>
    </row>
    <row r="26" spans="1:401" s="44" customFormat="1" ht="22.2" customHeight="1" x14ac:dyDescent="0.3">
      <c r="A26" s="355" t="s">
        <v>179</v>
      </c>
      <c r="B26" s="356" t="s">
        <v>841</v>
      </c>
      <c r="C26" s="37">
        <v>53901</v>
      </c>
      <c r="D26" s="205" t="s">
        <v>1039</v>
      </c>
      <c r="E26" s="91">
        <v>45540</v>
      </c>
      <c r="F26" s="14">
        <f t="shared" ref="F26:F49" si="119">IF(E26=0," ",E26+365)</f>
        <v>45905</v>
      </c>
      <c r="G26" s="37" t="str">
        <f t="shared" ref="G26:G27" ca="1" si="120">IF(E26=0," ",IF(F26-TODAY()&gt;60,"VIGENTE",IF(F26-TODAY()&lt;=0,"VENCIDO",IF(F26-TODAY()&lt;=60,"POR VENCER"))))</f>
        <v>VIGENTE</v>
      </c>
      <c r="H26" s="37" t="s">
        <v>489</v>
      </c>
      <c r="I26" s="37"/>
      <c r="J26" s="37" t="str">
        <f t="shared" si="2"/>
        <v>C.C.</v>
      </c>
      <c r="K26" s="170"/>
      <c r="L26" s="356" t="s">
        <v>838</v>
      </c>
      <c r="M26" s="37">
        <v>3310</v>
      </c>
      <c r="N26" s="205" t="s">
        <v>1040</v>
      </c>
      <c r="O26" s="91">
        <v>45540</v>
      </c>
      <c r="P26" s="14">
        <f t="shared" si="3"/>
        <v>45905</v>
      </c>
      <c r="Q26" s="37" t="str">
        <f t="shared" ca="1" si="4"/>
        <v>VIGENTE</v>
      </c>
      <c r="R26" s="37" t="s">
        <v>491</v>
      </c>
      <c r="S26" s="37"/>
      <c r="T26" s="37" t="str">
        <f t="shared" si="5"/>
        <v>C.I.</v>
      </c>
      <c r="U26" s="170"/>
      <c r="V26" s="356" t="s">
        <v>838</v>
      </c>
      <c r="W26" s="37" t="s">
        <v>1041</v>
      </c>
      <c r="X26" s="205" t="s">
        <v>1042</v>
      </c>
      <c r="Y26" s="91">
        <v>45540</v>
      </c>
      <c r="Z26" s="14">
        <f t="shared" ref="Z26:Z49" si="121">IF(Y26=0," ",Y26+365)</f>
        <v>45905</v>
      </c>
      <c r="AA26" s="37" t="str">
        <f t="shared" ca="1" si="7"/>
        <v>VIGENTE</v>
      </c>
      <c r="AB26" s="357"/>
      <c r="AC26" s="357"/>
      <c r="AD26" s="37" t="str">
        <f t="shared" si="8"/>
        <v>C.I.</v>
      </c>
      <c r="AE26" s="359"/>
      <c r="AF26" s="356" t="s">
        <v>838</v>
      </c>
      <c r="AG26" s="37" t="s">
        <v>1043</v>
      </c>
      <c r="AH26" s="205" t="s">
        <v>1044</v>
      </c>
      <c r="AI26" s="91">
        <v>45540</v>
      </c>
      <c r="AJ26" s="14">
        <f t="shared" ref="AJ26:AJ49" si="122">IF(AI26=0," ",AI26+365)</f>
        <v>45905</v>
      </c>
      <c r="AK26" s="37" t="str">
        <f t="shared" ca="1" si="10"/>
        <v>VIGENTE</v>
      </c>
      <c r="AL26" s="348"/>
      <c r="AM26" s="348"/>
      <c r="AN26" s="12" t="str">
        <f t="shared" si="11"/>
        <v>C.I.</v>
      </c>
      <c r="AO26" s="361"/>
      <c r="AP26" s="356" t="s">
        <v>838</v>
      </c>
      <c r="AQ26" s="37">
        <v>5800</v>
      </c>
      <c r="AR26" s="205" t="s">
        <v>1045</v>
      </c>
      <c r="AS26" s="91">
        <v>45726</v>
      </c>
      <c r="AT26" s="14">
        <f t="shared" ref="AT26:AT49" si="123">IF(AS26=0," ",AS26+365)</f>
        <v>46091</v>
      </c>
      <c r="AU26" s="37" t="str">
        <f t="shared" ca="1" si="13"/>
        <v>VIGENTE</v>
      </c>
      <c r="AV26" s="357"/>
      <c r="AW26" s="357"/>
      <c r="AX26" s="37" t="str">
        <f t="shared" si="14"/>
        <v>C.I.</v>
      </c>
      <c r="AY26" s="359"/>
      <c r="AZ26" s="356" t="s">
        <v>838</v>
      </c>
      <c r="BA26" s="37" t="s">
        <v>315</v>
      </c>
      <c r="BB26" s="37" t="s">
        <v>315</v>
      </c>
      <c r="BC26" s="362"/>
      <c r="BD26" s="362" t="str">
        <f t="shared" ref="BD26:BD49" si="124">IF(BC26=0," ",BC26+366)</f>
        <v xml:space="preserve"> </v>
      </c>
      <c r="BE26" s="37" t="str">
        <f t="shared" ca="1" si="16"/>
        <v xml:space="preserve"> </v>
      </c>
      <c r="BF26" s="348"/>
      <c r="BG26" s="348"/>
      <c r="BH26" s="12" t="str">
        <f t="shared" si="17"/>
        <v>C.I.</v>
      </c>
      <c r="BI26" s="361"/>
      <c r="BJ26" s="356" t="s">
        <v>838</v>
      </c>
      <c r="BK26" s="37" t="s">
        <v>315</v>
      </c>
      <c r="BL26" s="205" t="s">
        <v>315</v>
      </c>
      <c r="BM26" s="358"/>
      <c r="BN26" s="358" t="str">
        <f t="shared" ref="BN26:BN49" si="125">IF(BM26=0," ",BM26+365)</f>
        <v xml:space="preserve"> </v>
      </c>
      <c r="BO26" s="37" t="str">
        <f t="shared" ca="1" si="19"/>
        <v xml:space="preserve"> </v>
      </c>
      <c r="BP26" s="357"/>
      <c r="BQ26" s="357"/>
      <c r="BR26" s="37" t="str">
        <f t="shared" si="20"/>
        <v>C.I.</v>
      </c>
      <c r="BS26" s="359"/>
      <c r="BT26" s="356" t="s">
        <v>838</v>
      </c>
      <c r="BU26" s="37" t="s">
        <v>315</v>
      </c>
      <c r="BV26" s="205" t="s">
        <v>315</v>
      </c>
      <c r="BW26" s="362"/>
      <c r="BX26" s="362" t="str">
        <f t="shared" ref="BX26:BX49" si="126">IF(BW26=0," ",BW26+365)</f>
        <v xml:space="preserve"> </v>
      </c>
      <c r="BY26" s="37" t="str">
        <f t="shared" ca="1" si="22"/>
        <v xml:space="preserve"> </v>
      </c>
      <c r="BZ26" s="348"/>
      <c r="CA26" s="348"/>
      <c r="CB26" s="12" t="str">
        <f t="shared" si="23"/>
        <v>C.I.</v>
      </c>
      <c r="CC26" s="361"/>
      <c r="CD26" s="356"/>
      <c r="CE26" s="37"/>
      <c r="CF26" s="357"/>
      <c r="CG26" s="357"/>
      <c r="CH26" s="357" t="str">
        <f t="shared" ref="CH26:CH49" si="127">IF(CG26=0," ",CG26+365)</f>
        <v xml:space="preserve"> </v>
      </c>
      <c r="CI26" s="37" t="str">
        <f t="shared" ca="1" si="25"/>
        <v xml:space="preserve"> </v>
      </c>
      <c r="CJ26" s="357"/>
      <c r="CK26" s="357"/>
      <c r="CL26" s="37" t="str">
        <f t="shared" si="26"/>
        <v xml:space="preserve"> </v>
      </c>
      <c r="CM26" s="359"/>
      <c r="CN26" s="360"/>
      <c r="CO26" s="12"/>
      <c r="CP26" s="348"/>
      <c r="CQ26" s="348"/>
      <c r="CR26" s="348" t="str">
        <f t="shared" ref="CR26:CR49" si="128">IF(CQ26=0," ",CQ26+365)</f>
        <v xml:space="preserve"> </v>
      </c>
      <c r="CS26" s="37" t="str">
        <f t="shared" ca="1" si="28"/>
        <v xml:space="preserve"> </v>
      </c>
      <c r="CT26" s="348"/>
      <c r="CU26" s="348"/>
      <c r="CV26" s="12" t="str">
        <f t="shared" si="29"/>
        <v xml:space="preserve"> </v>
      </c>
      <c r="CW26" s="361"/>
      <c r="CX26" s="356"/>
      <c r="CY26" s="37"/>
      <c r="CZ26" s="357"/>
      <c r="DA26" s="357"/>
      <c r="DB26" s="357" t="str">
        <f t="shared" ref="DB26:DB49" si="129">IF(DA26=0," ",DA26+365)</f>
        <v xml:space="preserve"> </v>
      </c>
      <c r="DC26" s="37" t="str">
        <f t="shared" ca="1" si="31"/>
        <v xml:space="preserve"> </v>
      </c>
      <c r="DD26" s="357"/>
      <c r="DE26" s="357"/>
      <c r="DF26" s="37" t="str">
        <f t="shared" si="32"/>
        <v xml:space="preserve"> </v>
      </c>
      <c r="DG26" s="359"/>
      <c r="DH26" s="360"/>
      <c r="DI26" s="12"/>
      <c r="DJ26" s="348"/>
      <c r="DK26" s="348"/>
      <c r="DL26" s="348" t="str">
        <f t="shared" ref="DL26:DL49" si="130">IF(DK26=0," ",DK26+365)</f>
        <v xml:space="preserve"> </v>
      </c>
      <c r="DM26" s="37" t="str">
        <f t="shared" ca="1" si="34"/>
        <v xml:space="preserve"> </v>
      </c>
      <c r="DN26" s="348"/>
      <c r="DO26" s="348"/>
      <c r="DP26" s="12" t="str">
        <f t="shared" si="35"/>
        <v xml:space="preserve"> </v>
      </c>
      <c r="DQ26" s="361"/>
      <c r="DR26" s="399"/>
      <c r="DS26" s="400"/>
      <c r="DT26" s="401"/>
      <c r="DU26" s="401"/>
      <c r="DV26" s="14" t="str">
        <f t="shared" ref="DV26:DV49" si="131">IF(DU26=0," ",DU26+365)</f>
        <v xml:space="preserve"> </v>
      </c>
      <c r="DW26" s="400" t="str">
        <f t="shared" ca="1" si="37"/>
        <v xml:space="preserve"> </v>
      </c>
      <c r="DX26" s="401"/>
      <c r="DY26" s="401"/>
      <c r="DZ26" s="400" t="str">
        <f t="shared" si="38"/>
        <v xml:space="preserve"> </v>
      </c>
      <c r="EA26" s="359"/>
      <c r="EB26" s="360"/>
      <c r="EC26" s="12"/>
      <c r="ED26" s="348"/>
      <c r="EE26" s="348"/>
      <c r="EF26" s="91" t="str">
        <f t="shared" ref="EF26:EF49" si="132">IF(EE26=0," ",EE26+365)</f>
        <v xml:space="preserve"> </v>
      </c>
      <c r="EG26" s="37" t="str">
        <f t="shared" ca="1" si="40"/>
        <v xml:space="preserve"> </v>
      </c>
      <c r="EH26" s="348"/>
      <c r="EI26" s="348"/>
      <c r="EJ26" s="12" t="str">
        <f t="shared" si="41"/>
        <v xml:space="preserve"> </v>
      </c>
      <c r="EK26" s="361"/>
      <c r="EL26" s="356"/>
      <c r="EM26" s="37"/>
      <c r="EN26" s="357"/>
      <c r="EO26" s="357"/>
      <c r="EP26" s="91" t="str">
        <f t="shared" ref="EP26:EP49" si="133">IF(EO26=0," ",EO26+365)</f>
        <v xml:space="preserve"> </v>
      </c>
      <c r="EQ26" s="37" t="str">
        <f t="shared" ca="1" si="43"/>
        <v xml:space="preserve"> </v>
      </c>
      <c r="ER26" s="357"/>
      <c r="ES26" s="357"/>
      <c r="ET26" s="37" t="str">
        <f t="shared" si="44"/>
        <v xml:space="preserve"> </v>
      </c>
      <c r="EU26" s="359"/>
      <c r="EV26" s="360"/>
      <c r="EW26" s="12"/>
      <c r="EX26" s="348"/>
      <c r="EY26" s="348"/>
      <c r="EZ26" s="91" t="str">
        <f t="shared" ref="EZ26:EZ49" si="134">IF(EY26=0," ",EY26+365)</f>
        <v xml:space="preserve"> </v>
      </c>
      <c r="FA26" s="37" t="str">
        <f t="shared" ca="1" si="46"/>
        <v xml:space="preserve"> </v>
      </c>
      <c r="FB26" s="348"/>
      <c r="FC26" s="348"/>
      <c r="FD26" s="12" t="str">
        <f t="shared" si="47"/>
        <v xml:space="preserve"> </v>
      </c>
      <c r="FE26" s="361"/>
      <c r="FF26" s="356"/>
      <c r="FG26" s="37"/>
      <c r="FH26" s="357"/>
      <c r="FI26" s="357"/>
      <c r="FJ26" s="91" t="str">
        <f t="shared" ref="FJ26:FJ49" si="135">IF(FI26=0," ",FI26+365)</f>
        <v xml:space="preserve"> </v>
      </c>
      <c r="FK26" s="37" t="str">
        <f t="shared" ca="1" si="49"/>
        <v xml:space="preserve"> </v>
      </c>
      <c r="FL26" s="357"/>
      <c r="FM26" s="357"/>
      <c r="FN26" s="37" t="str">
        <f t="shared" si="50"/>
        <v xml:space="preserve"> </v>
      </c>
      <c r="FO26" s="359"/>
      <c r="FP26" s="360"/>
      <c r="FQ26" s="12"/>
      <c r="FR26" s="348"/>
      <c r="FS26" s="348"/>
      <c r="FT26" s="91" t="str">
        <f t="shared" ref="FT26:FT49" si="136">IF(FS26=0," ",FS26+365)</f>
        <v xml:space="preserve"> </v>
      </c>
      <c r="FU26" s="37" t="str">
        <f t="shared" ca="1" si="52"/>
        <v xml:space="preserve"> </v>
      </c>
      <c r="FV26" s="348"/>
      <c r="FW26" s="348"/>
      <c r="FX26" s="12" t="str">
        <f t="shared" si="53"/>
        <v xml:space="preserve"> </v>
      </c>
      <c r="FY26" s="361"/>
      <c r="FZ26" s="356"/>
      <c r="GA26" s="37"/>
      <c r="GB26" s="357"/>
      <c r="GC26" s="357"/>
      <c r="GD26" s="91" t="str">
        <f t="shared" ref="GD26:GD49" si="137">IF(GC26=0," ",GC26+365)</f>
        <v xml:space="preserve"> </v>
      </c>
      <c r="GE26" s="37" t="str">
        <f t="shared" ca="1" si="55"/>
        <v xml:space="preserve"> </v>
      </c>
      <c r="GF26" s="357"/>
      <c r="GG26" s="357"/>
      <c r="GH26" s="37" t="str">
        <f t="shared" si="56"/>
        <v xml:space="preserve"> </v>
      </c>
      <c r="GI26" s="359"/>
      <c r="GJ26" s="363"/>
      <c r="GK26" s="12"/>
      <c r="GL26" s="348"/>
      <c r="GM26" s="348"/>
      <c r="GN26" s="91" t="str">
        <f t="shared" ref="GN26:GN49" si="138">IF(GM26=0," ",GM26+365)</f>
        <v xml:space="preserve"> </v>
      </c>
      <c r="GO26" s="37" t="str">
        <f t="shared" ca="1" si="58"/>
        <v xml:space="preserve"> </v>
      </c>
      <c r="GP26" s="348"/>
      <c r="GQ26" s="348"/>
      <c r="GR26" s="12" t="str">
        <f t="shared" si="59"/>
        <v xml:space="preserve"> </v>
      </c>
      <c r="GS26" s="364"/>
      <c r="GT26" s="356"/>
      <c r="GU26" s="37"/>
      <c r="GV26" s="357"/>
      <c r="GW26" s="357"/>
      <c r="GX26" s="91" t="str">
        <f t="shared" ref="GX26:GX49" si="139">IF(GW26=0," ",GW26+365)</f>
        <v xml:space="preserve"> </v>
      </c>
      <c r="GY26" s="37" t="str">
        <f t="shared" ca="1" si="61"/>
        <v xml:space="preserve"> </v>
      </c>
      <c r="GZ26" s="357"/>
      <c r="HA26" s="357"/>
      <c r="HB26" s="37" t="str">
        <f t="shared" si="62"/>
        <v xml:space="preserve"> </v>
      </c>
      <c r="HC26" s="359"/>
      <c r="HD26" s="363"/>
      <c r="HE26" s="12"/>
      <c r="HF26" s="348"/>
      <c r="HG26" s="348"/>
      <c r="HH26" s="91" t="str">
        <f t="shared" ref="HH26:HH49" si="140">IF(HG26=0," ",HG26+365)</f>
        <v xml:space="preserve"> </v>
      </c>
      <c r="HI26" s="37" t="str">
        <f t="shared" ca="1" si="64"/>
        <v xml:space="preserve"> </v>
      </c>
      <c r="HJ26" s="348"/>
      <c r="HK26" s="348"/>
      <c r="HL26" s="12" t="str">
        <f t="shared" si="65"/>
        <v xml:space="preserve"> </v>
      </c>
      <c r="HM26" s="364"/>
      <c r="HN26" s="356"/>
      <c r="HO26" s="37"/>
      <c r="HP26" s="357"/>
      <c r="HQ26" s="357"/>
      <c r="HR26" s="91" t="str">
        <f t="shared" ref="HR26:HR49" si="141">IF(HQ26=0," ",HQ26+365)</f>
        <v xml:space="preserve"> </v>
      </c>
      <c r="HS26" s="37" t="str">
        <f t="shared" ca="1" si="67"/>
        <v xml:space="preserve"> </v>
      </c>
      <c r="HT26" s="357"/>
      <c r="HU26" s="357"/>
      <c r="HV26" s="37" t="str">
        <f t="shared" si="68"/>
        <v xml:space="preserve"> </v>
      </c>
      <c r="HW26" s="359"/>
      <c r="HX26" s="363"/>
      <c r="HY26" s="12"/>
      <c r="HZ26" s="348"/>
      <c r="IA26" s="348"/>
      <c r="IB26" s="91" t="str">
        <f t="shared" ref="IB26:IB49" si="142">IF(IA26=0," ",IA26+365)</f>
        <v xml:space="preserve"> </v>
      </c>
      <c r="IC26" s="37" t="str">
        <f t="shared" ca="1" si="70"/>
        <v xml:space="preserve"> </v>
      </c>
      <c r="ID26" s="348"/>
      <c r="IE26" s="348"/>
      <c r="IF26" s="12" t="str">
        <f t="shared" si="71"/>
        <v xml:space="preserve"> </v>
      </c>
      <c r="IG26" s="364"/>
      <c r="IH26" s="356"/>
      <c r="II26" s="357"/>
      <c r="IJ26" s="357"/>
      <c r="IK26" s="357"/>
      <c r="IL26" s="91" t="str">
        <f t="shared" si="72"/>
        <v xml:space="preserve"> </v>
      </c>
      <c r="IM26" s="37" t="str">
        <f t="shared" ca="1" si="73"/>
        <v xml:space="preserve"> </v>
      </c>
      <c r="IN26" s="357"/>
      <c r="IO26" s="357"/>
      <c r="IP26" s="37" t="str">
        <f t="shared" si="74"/>
        <v xml:space="preserve"> </v>
      </c>
      <c r="IQ26" s="359"/>
      <c r="IR26" s="363"/>
      <c r="IS26" s="348"/>
      <c r="IT26" s="348"/>
      <c r="IU26" s="348"/>
      <c r="IV26" s="91" t="str">
        <f t="shared" si="75"/>
        <v xml:space="preserve"> </v>
      </c>
      <c r="IW26" s="37" t="str">
        <f t="shared" ca="1" si="76"/>
        <v xml:space="preserve"> </v>
      </c>
      <c r="IX26" s="348"/>
      <c r="IY26" s="348"/>
      <c r="IZ26" s="37" t="str">
        <f t="shared" si="77"/>
        <v xml:space="preserve"> </v>
      </c>
      <c r="JA26" s="364"/>
      <c r="JB26" s="356"/>
      <c r="JC26" s="357"/>
      <c r="JD26" s="357"/>
      <c r="JE26" s="357"/>
      <c r="JF26" s="91" t="str">
        <f t="shared" si="78"/>
        <v xml:space="preserve"> </v>
      </c>
      <c r="JG26" s="37" t="str">
        <f t="shared" ca="1" si="79"/>
        <v xml:space="preserve"> </v>
      </c>
      <c r="JH26" s="357"/>
      <c r="JI26" s="357"/>
      <c r="JJ26" s="37" t="str">
        <f t="shared" si="80"/>
        <v xml:space="preserve"> </v>
      </c>
      <c r="JK26" s="359"/>
      <c r="JL26" s="363"/>
      <c r="JM26" s="348"/>
      <c r="JN26" s="348"/>
      <c r="JO26" s="348"/>
      <c r="JP26" s="348" t="str">
        <f t="shared" si="81"/>
        <v xml:space="preserve"> </v>
      </c>
      <c r="JQ26" s="37" t="str">
        <f t="shared" ca="1" si="82"/>
        <v xml:space="preserve"> </v>
      </c>
      <c r="JR26" s="348"/>
      <c r="JS26" s="348"/>
      <c r="JT26" s="37" t="str">
        <f t="shared" si="83"/>
        <v xml:space="preserve"> </v>
      </c>
      <c r="JU26" s="364"/>
      <c r="JV26" s="356"/>
      <c r="JW26" s="357"/>
      <c r="JX26" s="357"/>
      <c r="JY26" s="357"/>
      <c r="JZ26" s="357" t="str">
        <f t="shared" si="84"/>
        <v xml:space="preserve"> </v>
      </c>
      <c r="KA26" s="37" t="str">
        <f t="shared" ca="1" si="85"/>
        <v xml:space="preserve"> </v>
      </c>
      <c r="KB26" s="357"/>
      <c r="KC26" s="357"/>
      <c r="KD26" s="37" t="str">
        <f t="shared" si="86"/>
        <v xml:space="preserve"> </v>
      </c>
      <c r="KE26" s="359"/>
      <c r="KF26" s="363"/>
      <c r="KG26" s="348"/>
      <c r="KH26" s="348"/>
      <c r="KI26" s="348"/>
      <c r="KJ26" s="348" t="str">
        <f t="shared" si="87"/>
        <v xml:space="preserve"> </v>
      </c>
      <c r="KK26" s="37" t="str">
        <f t="shared" ca="1" si="88"/>
        <v xml:space="preserve"> </v>
      </c>
      <c r="KL26" s="348"/>
      <c r="KM26" s="348"/>
      <c r="KN26" s="37" t="str">
        <f t="shared" si="89"/>
        <v xml:space="preserve"> </v>
      </c>
      <c r="KO26" s="364"/>
      <c r="KP26" s="356"/>
      <c r="KQ26" s="357"/>
      <c r="KR26" s="357"/>
      <c r="KS26" s="357"/>
      <c r="KT26" s="357" t="str">
        <f t="shared" si="90"/>
        <v xml:space="preserve"> </v>
      </c>
      <c r="KU26" s="37" t="str">
        <f t="shared" ca="1" si="91"/>
        <v xml:space="preserve"> </v>
      </c>
      <c r="KV26" s="357"/>
      <c r="KW26" s="357"/>
      <c r="KX26" s="37" t="str">
        <f t="shared" si="92"/>
        <v xml:space="preserve"> </v>
      </c>
      <c r="KY26" s="359"/>
      <c r="KZ26" s="363"/>
      <c r="LA26" s="348"/>
      <c r="LB26" s="348"/>
      <c r="LC26" s="348"/>
      <c r="LD26" s="348" t="str">
        <f t="shared" si="93"/>
        <v xml:space="preserve"> </v>
      </c>
      <c r="LE26" s="37" t="str">
        <f t="shared" ca="1" si="94"/>
        <v xml:space="preserve"> </v>
      </c>
      <c r="LF26" s="348"/>
      <c r="LG26" s="348"/>
      <c r="LH26" s="37" t="str">
        <f t="shared" si="95"/>
        <v xml:space="preserve"> </v>
      </c>
      <c r="LI26" s="364"/>
      <c r="LJ26" s="356"/>
      <c r="LK26" s="357"/>
      <c r="LL26" s="357"/>
      <c r="LM26" s="357"/>
      <c r="LN26" s="357" t="str">
        <f t="shared" si="96"/>
        <v xml:space="preserve"> </v>
      </c>
      <c r="LO26" s="37" t="str">
        <f t="shared" ca="1" si="97"/>
        <v xml:space="preserve"> </v>
      </c>
      <c r="LP26" s="357"/>
      <c r="LQ26" s="357"/>
      <c r="LR26" s="37" t="str">
        <f t="shared" si="98"/>
        <v xml:space="preserve"> </v>
      </c>
      <c r="LS26" s="359"/>
      <c r="LT26" s="363"/>
      <c r="LU26" s="348"/>
      <c r="LV26" s="348"/>
      <c r="LW26" s="348"/>
      <c r="LX26" s="348" t="str">
        <f t="shared" si="114"/>
        <v xml:space="preserve"> </v>
      </c>
      <c r="LY26" s="37" t="str">
        <f t="shared" ca="1" si="99"/>
        <v xml:space="preserve"> </v>
      </c>
      <c r="LZ26" s="348"/>
      <c r="MA26" s="348"/>
      <c r="MB26" s="37" t="str">
        <f t="shared" si="100"/>
        <v xml:space="preserve"> </v>
      </c>
      <c r="MC26" s="364"/>
      <c r="MD26" s="356"/>
      <c r="ME26" s="357"/>
      <c r="MF26" s="357"/>
      <c r="MG26" s="357"/>
      <c r="MH26" s="357"/>
      <c r="MI26" s="37" t="str">
        <f t="shared" ca="1" si="101"/>
        <v xml:space="preserve"> </v>
      </c>
      <c r="MJ26" s="357"/>
      <c r="MK26" s="357"/>
      <c r="ML26" s="37" t="str">
        <f t="shared" si="102"/>
        <v xml:space="preserve"> </v>
      </c>
      <c r="MM26" s="359"/>
      <c r="MN26" s="363"/>
      <c r="MO26" s="348"/>
      <c r="MP26" s="348"/>
      <c r="MQ26" s="348"/>
      <c r="MR26" s="348"/>
      <c r="MS26" s="37" t="str">
        <f t="shared" ca="1" si="103"/>
        <v xml:space="preserve"> </v>
      </c>
      <c r="MT26" s="348"/>
      <c r="MU26" s="348"/>
      <c r="MV26" s="37" t="str">
        <f t="shared" si="104"/>
        <v xml:space="preserve"> </v>
      </c>
      <c r="MW26" s="364"/>
      <c r="MX26" s="356"/>
      <c r="MY26" s="357"/>
      <c r="MZ26" s="357"/>
      <c r="NA26" s="357"/>
      <c r="NB26" s="357"/>
      <c r="NC26" s="37" t="str">
        <f t="shared" ca="1" si="105"/>
        <v xml:space="preserve"> </v>
      </c>
      <c r="ND26" s="357"/>
      <c r="NE26" s="357"/>
      <c r="NF26" s="37" t="str">
        <f t="shared" si="115"/>
        <v xml:space="preserve"> </v>
      </c>
      <c r="NG26" s="359"/>
      <c r="NH26" s="363"/>
      <c r="NI26" s="348"/>
      <c r="NJ26" s="348"/>
      <c r="NK26" s="348"/>
      <c r="NL26" s="348"/>
      <c r="NM26" s="37" t="str">
        <f t="shared" ca="1" si="107"/>
        <v xml:space="preserve"> </v>
      </c>
      <c r="NN26" s="348"/>
      <c r="NO26" s="348"/>
      <c r="NP26" s="37" t="str">
        <f t="shared" si="116"/>
        <v xml:space="preserve"> </v>
      </c>
      <c r="NQ26" s="364"/>
      <c r="NR26" s="356"/>
      <c r="NS26" s="357"/>
      <c r="NT26" s="357"/>
      <c r="NU26" s="357"/>
      <c r="NV26" s="357"/>
      <c r="NW26" s="37" t="str">
        <f t="shared" ca="1" si="109"/>
        <v xml:space="preserve"> </v>
      </c>
      <c r="NX26" s="357"/>
      <c r="NY26" s="357"/>
      <c r="NZ26" s="37" t="str">
        <f t="shared" si="117"/>
        <v xml:space="preserve"> </v>
      </c>
      <c r="OA26" s="359"/>
      <c r="OB26" s="363"/>
      <c r="OC26" s="348"/>
      <c r="OD26" s="348"/>
      <c r="OE26" s="348"/>
      <c r="OF26" s="348"/>
      <c r="OG26" s="37" t="str">
        <f t="shared" ca="1" si="111"/>
        <v xml:space="preserve"> </v>
      </c>
      <c r="OH26" s="348"/>
      <c r="OI26" s="348"/>
      <c r="OJ26" s="37" t="str">
        <f t="shared" si="118"/>
        <v xml:space="preserve"> </v>
      </c>
      <c r="OK26" s="364"/>
    </row>
    <row r="27" spans="1:401" s="44" customFormat="1" ht="22.2" customHeight="1" x14ac:dyDescent="0.3">
      <c r="A27" s="365" t="s">
        <v>183</v>
      </c>
      <c r="B27" s="369" t="s">
        <v>838</v>
      </c>
      <c r="C27" s="54" t="s">
        <v>1046</v>
      </c>
      <c r="D27" s="66" t="s">
        <v>1047</v>
      </c>
      <c r="E27" s="177">
        <v>45544</v>
      </c>
      <c r="F27" s="177">
        <f t="shared" si="119"/>
        <v>45909</v>
      </c>
      <c r="G27" s="54" t="str">
        <f t="shared" ca="1" si="120"/>
        <v>VIGENTE</v>
      </c>
      <c r="H27" s="54"/>
      <c r="I27" s="54"/>
      <c r="J27" s="54" t="str">
        <f>IFERROR(VLOOKUP(B22,TIPODET1,2,FALSE)," ")</f>
        <v>C.I.</v>
      </c>
      <c r="K27" s="171"/>
      <c r="L27" s="369" t="s">
        <v>838</v>
      </c>
      <c r="M27" s="54" t="s">
        <v>1048</v>
      </c>
      <c r="N27" s="66" t="s">
        <v>1049</v>
      </c>
      <c r="O27" s="177">
        <v>45544</v>
      </c>
      <c r="P27" s="177">
        <f t="shared" si="3"/>
        <v>45909</v>
      </c>
      <c r="Q27" s="54" t="str">
        <f ca="1">IF(O27=0," ",IF(P27-TODAY()&gt;60,"VIGENTE",IF(P26-TODAY()&lt;=0,"VENCIDO",IF(P26-TODAY()&lt;=60,"POR VENCER"))))</f>
        <v>VIGENTE</v>
      </c>
      <c r="R27" s="54"/>
      <c r="S27" s="54"/>
      <c r="T27" s="54" t="str">
        <f>IFERROR(VLOOKUP(L26,TIPODET1,2,FALSE)," ")</f>
        <v>C.I.</v>
      </c>
      <c r="U27" s="171"/>
      <c r="V27" s="369" t="s">
        <v>838</v>
      </c>
      <c r="W27" s="54" t="s">
        <v>1050</v>
      </c>
      <c r="X27" s="66" t="s">
        <v>1051</v>
      </c>
      <c r="Y27" s="177">
        <v>45545</v>
      </c>
      <c r="Z27" s="177">
        <f t="shared" si="121"/>
        <v>45910</v>
      </c>
      <c r="AA27" s="54" t="str">
        <f t="shared" ca="1" si="7"/>
        <v>VIGENTE</v>
      </c>
      <c r="AB27" s="366"/>
      <c r="AC27" s="366"/>
      <c r="AD27" s="54" t="str">
        <f t="shared" si="8"/>
        <v>C.I.</v>
      </c>
      <c r="AE27" s="367"/>
      <c r="AF27" s="369" t="s">
        <v>838</v>
      </c>
      <c r="AG27" s="54" t="s">
        <v>1052</v>
      </c>
      <c r="AH27" s="66" t="s">
        <v>1053</v>
      </c>
      <c r="AI27" s="177">
        <v>45545</v>
      </c>
      <c r="AJ27" s="177">
        <f t="shared" si="122"/>
        <v>45910</v>
      </c>
      <c r="AK27" s="54" t="str">
        <f t="shared" ca="1" si="10"/>
        <v>VIGENTE</v>
      </c>
      <c r="AL27" s="346"/>
      <c r="AM27" s="346"/>
      <c r="AN27" s="49" t="str">
        <f t="shared" si="11"/>
        <v>C.I.</v>
      </c>
      <c r="AO27" s="368"/>
      <c r="AP27" s="369" t="s">
        <v>838</v>
      </c>
      <c r="AQ27" s="54" t="s">
        <v>1054</v>
      </c>
      <c r="AR27" s="66" t="s">
        <v>1055</v>
      </c>
      <c r="AS27" s="177">
        <v>45545</v>
      </c>
      <c r="AT27" s="177">
        <f t="shared" si="123"/>
        <v>45910</v>
      </c>
      <c r="AU27" s="54" t="str">
        <f t="shared" ca="1" si="13"/>
        <v>VIGENTE</v>
      </c>
      <c r="AV27" s="366"/>
      <c r="AW27" s="366"/>
      <c r="AX27" s="54" t="str">
        <f t="shared" si="14"/>
        <v>C.I.</v>
      </c>
      <c r="AY27" s="367"/>
      <c r="AZ27" s="369" t="s">
        <v>838</v>
      </c>
      <c r="BA27" s="54" t="s">
        <v>1056</v>
      </c>
      <c r="BB27" s="66" t="s">
        <v>1057</v>
      </c>
      <c r="BC27" s="177">
        <v>45545</v>
      </c>
      <c r="BD27" s="177">
        <f t="shared" si="124"/>
        <v>45911</v>
      </c>
      <c r="BE27" s="54" t="str">
        <f ca="1">IF(BC27=0," ",IF(BD27-TODAY()&gt;60,"VIGENTE",IF(BD27-TODAY()&lt;=0,"VENCIDO",IF(BD27-TODAY()&lt;=60,"POR VENCER"))))</f>
        <v>VIGENTE</v>
      </c>
      <c r="BF27" s="366"/>
      <c r="BG27" s="366"/>
      <c r="BH27" s="54" t="str">
        <f>IFERROR(VLOOKUP(AZ27,TIPODET1,2,FALSE)," ")</f>
        <v>C.I.</v>
      </c>
      <c r="BI27" s="367"/>
      <c r="BJ27" s="369" t="s">
        <v>838</v>
      </c>
      <c r="BK27" s="54" t="s">
        <v>1058</v>
      </c>
      <c r="BL27" s="66" t="s">
        <v>1059</v>
      </c>
      <c r="BM27" s="177">
        <v>45545</v>
      </c>
      <c r="BN27" s="177">
        <f t="shared" si="125"/>
        <v>45910</v>
      </c>
      <c r="BO27" s="54" t="str">
        <f ca="1">IF(BM27=0," ",IF(BN27-TODAY()&gt;60,"VIGENTE",IF(BN27-TODAY()&lt;=0,"VENCIDO",IF(BN27-TODAY()&lt;=60,"POR VENCER"))))</f>
        <v>VIGENTE</v>
      </c>
      <c r="BP27" s="346"/>
      <c r="BQ27" s="346"/>
      <c r="BR27" s="49" t="str">
        <f>IFERROR(VLOOKUP(BJ27,TIPODET1,2,FALSE)," ")</f>
        <v>C.I.</v>
      </c>
      <c r="BS27" s="368"/>
      <c r="BT27" s="369" t="s">
        <v>838</v>
      </c>
      <c r="BU27" s="54" t="s">
        <v>1060</v>
      </c>
      <c r="BV27" s="66" t="s">
        <v>1061</v>
      </c>
      <c r="BW27" s="177">
        <v>45545</v>
      </c>
      <c r="BX27" s="177">
        <f t="shared" si="126"/>
        <v>45910</v>
      </c>
      <c r="BY27" s="54" t="str">
        <f ca="1">IF(BW27=0," ",IF(BX27-TODAY()&gt;60,"VIGENTE",IF(BX27-TODAY()&lt;=0,"VENCIDO",IF(BX27-TODAY()&lt;=60,"POR VENCER"))))</f>
        <v>VIGENTE</v>
      </c>
      <c r="BZ27" s="366"/>
      <c r="CA27" s="366"/>
      <c r="CB27" s="54" t="str">
        <f>IFERROR(VLOOKUP(BT27,TIPODET1,2,FALSE)," ")</f>
        <v>C.I.</v>
      </c>
      <c r="CC27" s="367"/>
      <c r="CD27" s="369" t="s">
        <v>838</v>
      </c>
      <c r="CE27" s="54" t="s">
        <v>1062</v>
      </c>
      <c r="CF27" s="66" t="s">
        <v>1063</v>
      </c>
      <c r="CG27" s="177">
        <v>45545</v>
      </c>
      <c r="CH27" s="177">
        <f t="shared" si="127"/>
        <v>45910</v>
      </c>
      <c r="CI27" s="54" t="str">
        <f ca="1">IF(CG27=0," ",IF(CH27-TODAY()&gt;60,"VIGENTE",IF(CH27-TODAY()&lt;=0,"VENCIDO",IF(CH27-TODAY()&lt;=60,"POR VENCER"))))</f>
        <v>VIGENTE</v>
      </c>
      <c r="CJ27" s="346"/>
      <c r="CK27" s="346"/>
      <c r="CL27" s="49" t="str">
        <f>IFERROR(VLOOKUP(CD27,TIPODET1,2,FALSE)," ")</f>
        <v>C.I.</v>
      </c>
      <c r="CM27" s="368"/>
      <c r="CN27" s="369" t="s">
        <v>838</v>
      </c>
      <c r="CO27" s="54" t="s">
        <v>1064</v>
      </c>
      <c r="CP27" s="66" t="s">
        <v>1065</v>
      </c>
      <c r="CQ27" s="177">
        <v>45545</v>
      </c>
      <c r="CR27" s="177">
        <f t="shared" si="128"/>
        <v>45910</v>
      </c>
      <c r="CS27" s="54" t="str">
        <f ca="1">IF(CQ27=0," ",IF(CR27-TODAY()&gt;60,"VIGENTE",IF(CR27-TODAY()&lt;=0,"VENCIDO",IF(CR27-TODAY()&lt;=60,"POR VENCER"))))</f>
        <v>VIGENTE</v>
      </c>
      <c r="CT27" s="366"/>
      <c r="CU27" s="366"/>
      <c r="CV27" s="54" t="str">
        <f>IFERROR(VLOOKUP(CN27,TIPODET1,2,FALSE)," ")</f>
        <v>C.I.</v>
      </c>
      <c r="CW27" s="367"/>
      <c r="CX27" s="369" t="s">
        <v>838</v>
      </c>
      <c r="CY27" s="54" t="s">
        <v>1066</v>
      </c>
      <c r="CZ27" s="66" t="s">
        <v>1067</v>
      </c>
      <c r="DA27" s="177">
        <v>45545</v>
      </c>
      <c r="DB27" s="177">
        <f t="shared" si="129"/>
        <v>45910</v>
      </c>
      <c r="DC27" s="54" t="str">
        <f ca="1">IF(DA27=0," ",IF(DB27-TODAY()&gt;60,"VIGENTE",IF(DB27-TODAY()&lt;=0,"VENCIDO",IF(DB27-TODAY()&lt;=60,"POR VENCER"))))</f>
        <v>VIGENTE</v>
      </c>
      <c r="DD27" s="346"/>
      <c r="DE27" s="346"/>
      <c r="DF27" s="49" t="str">
        <f>IFERROR(VLOOKUP(CX27,TIPODET1,2,FALSE)," ")</f>
        <v>C.I.</v>
      </c>
      <c r="DG27" s="368"/>
      <c r="DH27" s="369" t="s">
        <v>838</v>
      </c>
      <c r="DI27" s="54" t="s">
        <v>1068</v>
      </c>
      <c r="DJ27" s="66" t="s">
        <v>1069</v>
      </c>
      <c r="DK27" s="177">
        <v>45546</v>
      </c>
      <c r="DL27" s="177">
        <f t="shared" si="130"/>
        <v>45911</v>
      </c>
      <c r="DM27" s="54" t="str">
        <f ca="1">IF(DK27=0," ",IF(DL27-TODAY()&gt;60,"VIGENTE",IF(DL27-TODAY()&lt;=0,"VENCIDO",IF(DL27-TODAY()&lt;=60,"POR VENCER"))))</f>
        <v>VIGENTE</v>
      </c>
      <c r="DN27" s="366"/>
      <c r="DO27" s="366"/>
      <c r="DP27" s="54" t="str">
        <f>IFERROR(VLOOKUP(DH27,TIPODET1,2,FALSE)," ")</f>
        <v>C.I.</v>
      </c>
      <c r="DQ27" s="347"/>
      <c r="DR27" s="369" t="s">
        <v>838</v>
      </c>
      <c r="DS27" s="54" t="s">
        <v>1070</v>
      </c>
      <c r="DT27" s="66" t="s">
        <v>1071</v>
      </c>
      <c r="DU27" s="177">
        <v>45546</v>
      </c>
      <c r="DV27" s="177">
        <f>IF(DU27=0," ",DU27+365)</f>
        <v>45911</v>
      </c>
      <c r="DW27" s="54" t="str">
        <f t="shared" ca="1" si="37"/>
        <v>VIGENTE</v>
      </c>
      <c r="DX27" s="366"/>
      <c r="DY27" s="366"/>
      <c r="DZ27" s="54"/>
      <c r="EA27" s="398"/>
      <c r="EB27" s="369" t="s">
        <v>838</v>
      </c>
      <c r="EC27" s="54" t="s">
        <v>1072</v>
      </c>
      <c r="ED27" s="66" t="s">
        <v>1073</v>
      </c>
      <c r="EE27" s="177">
        <v>45546</v>
      </c>
      <c r="EF27" s="177">
        <f t="shared" si="132"/>
        <v>45911</v>
      </c>
      <c r="EG27" s="54" t="str">
        <f t="shared" ca="1" si="40"/>
        <v>VIGENTE</v>
      </c>
      <c r="EH27" s="346"/>
      <c r="EI27" s="346"/>
      <c r="EJ27" s="49" t="str">
        <f t="shared" si="41"/>
        <v>C.I.</v>
      </c>
      <c r="EK27" s="368"/>
      <c r="EL27" s="369" t="s">
        <v>838</v>
      </c>
      <c r="EM27" s="54" t="s">
        <v>1074</v>
      </c>
      <c r="EN27" s="66" t="s">
        <v>1075</v>
      </c>
      <c r="EO27" s="177">
        <v>45546</v>
      </c>
      <c r="EP27" s="177">
        <f t="shared" si="133"/>
        <v>45911</v>
      </c>
      <c r="EQ27" s="54" t="str">
        <f t="shared" ca="1" si="43"/>
        <v>VIGENTE</v>
      </c>
      <c r="ER27" s="366"/>
      <c r="ES27" s="366"/>
      <c r="ET27" s="54" t="str">
        <f t="shared" si="44"/>
        <v>C.I.</v>
      </c>
      <c r="EU27" s="367"/>
      <c r="EV27" s="369" t="s">
        <v>838</v>
      </c>
      <c r="EW27" s="54" t="s">
        <v>1076</v>
      </c>
      <c r="EX27" s="66" t="s">
        <v>1077</v>
      </c>
      <c r="EY27" s="177">
        <v>45546</v>
      </c>
      <c r="EZ27" s="177">
        <f t="shared" si="134"/>
        <v>45911</v>
      </c>
      <c r="FA27" s="54" t="str">
        <f t="shared" ca="1" si="46"/>
        <v>VIGENTE</v>
      </c>
      <c r="FB27" s="346"/>
      <c r="FC27" s="346"/>
      <c r="FD27" s="49" t="str">
        <f t="shared" si="47"/>
        <v>C.I.</v>
      </c>
      <c r="FE27" s="368"/>
      <c r="FF27" s="369" t="s">
        <v>838</v>
      </c>
      <c r="FG27" s="54" t="s">
        <v>1078</v>
      </c>
      <c r="FH27" s="66" t="s">
        <v>1079</v>
      </c>
      <c r="FI27" s="177">
        <v>45546</v>
      </c>
      <c r="FJ27" s="177">
        <f t="shared" si="135"/>
        <v>45911</v>
      </c>
      <c r="FK27" s="54" t="str">
        <f t="shared" ca="1" si="49"/>
        <v>VIGENTE</v>
      </c>
      <c r="FL27" s="366"/>
      <c r="FM27" s="366"/>
      <c r="FN27" s="54" t="str">
        <f t="shared" si="50"/>
        <v>C.I.</v>
      </c>
      <c r="FO27" s="367"/>
      <c r="FP27" s="369" t="s">
        <v>838</v>
      </c>
      <c r="FQ27" s="54" t="s">
        <v>1080</v>
      </c>
      <c r="FR27" s="66" t="s">
        <v>1081</v>
      </c>
      <c r="FS27" s="177">
        <v>45546</v>
      </c>
      <c r="FT27" s="177">
        <f t="shared" si="136"/>
        <v>45911</v>
      </c>
      <c r="FU27" s="54" t="str">
        <f t="shared" ca="1" si="52"/>
        <v>VIGENTE</v>
      </c>
      <c r="FV27" s="346"/>
      <c r="FW27" s="346"/>
      <c r="FX27" s="49" t="str">
        <f t="shared" si="53"/>
        <v>C.I.</v>
      </c>
      <c r="FY27" s="368"/>
      <c r="FZ27" s="369" t="s">
        <v>838</v>
      </c>
      <c r="GA27" s="54" t="s">
        <v>1082</v>
      </c>
      <c r="GB27" s="66" t="s">
        <v>1083</v>
      </c>
      <c r="GC27" s="177">
        <v>45546</v>
      </c>
      <c r="GD27" s="177">
        <f t="shared" si="137"/>
        <v>45911</v>
      </c>
      <c r="GE27" s="54" t="str">
        <f t="shared" ca="1" si="55"/>
        <v>VIGENTE</v>
      </c>
      <c r="GF27" s="366"/>
      <c r="GG27" s="366"/>
      <c r="GH27" s="54" t="str">
        <f t="shared" si="56"/>
        <v>C.I.</v>
      </c>
      <c r="GI27" s="367"/>
      <c r="GJ27" s="369" t="s">
        <v>838</v>
      </c>
      <c r="GK27" s="54" t="s">
        <v>1084</v>
      </c>
      <c r="GL27" s="66" t="s">
        <v>1085</v>
      </c>
      <c r="GM27" s="177">
        <v>45546</v>
      </c>
      <c r="GN27" s="177">
        <f t="shared" si="138"/>
        <v>45911</v>
      </c>
      <c r="GO27" s="54" t="str">
        <f t="shared" ca="1" si="58"/>
        <v>VIGENTE</v>
      </c>
      <c r="GP27" s="346"/>
      <c r="GQ27" s="346"/>
      <c r="GR27" s="49" t="str">
        <f t="shared" si="59"/>
        <v>C.I.</v>
      </c>
      <c r="GS27" s="374"/>
      <c r="GT27" s="369" t="s">
        <v>838</v>
      </c>
      <c r="GU27" s="54" t="s">
        <v>895</v>
      </c>
      <c r="GV27" s="66" t="s">
        <v>1086</v>
      </c>
      <c r="GW27" s="177">
        <v>45548</v>
      </c>
      <c r="GX27" s="177">
        <f t="shared" si="139"/>
        <v>45913</v>
      </c>
      <c r="GY27" s="54" t="str">
        <f t="shared" ca="1" si="61"/>
        <v>VIGENTE</v>
      </c>
      <c r="GZ27" s="366"/>
      <c r="HA27" s="366"/>
      <c r="HB27" s="54" t="str">
        <f t="shared" si="62"/>
        <v>C.I.</v>
      </c>
      <c r="HC27" s="367"/>
      <c r="HD27" s="369" t="s">
        <v>841</v>
      </c>
      <c r="HE27" s="54">
        <v>53980</v>
      </c>
      <c r="HF27" s="66" t="s">
        <v>1087</v>
      </c>
      <c r="HG27" s="177">
        <v>45552</v>
      </c>
      <c r="HH27" s="177">
        <f t="shared" si="140"/>
        <v>45917</v>
      </c>
      <c r="HI27" s="54" t="str">
        <f t="shared" ca="1" si="64"/>
        <v>VIGENTE</v>
      </c>
      <c r="HJ27" s="346"/>
      <c r="HK27" s="346"/>
      <c r="HL27" s="49" t="str">
        <f t="shared" si="65"/>
        <v>C.C.</v>
      </c>
      <c r="HM27" s="374"/>
      <c r="HN27" s="369" t="s">
        <v>841</v>
      </c>
      <c r="HO27" s="54">
        <v>51706</v>
      </c>
      <c r="HP27" s="66" t="s">
        <v>1088</v>
      </c>
      <c r="HQ27" s="177">
        <v>45553</v>
      </c>
      <c r="HR27" s="177">
        <f t="shared" si="141"/>
        <v>45918</v>
      </c>
      <c r="HS27" s="54" t="str">
        <f t="shared" ca="1" si="67"/>
        <v>VIGENTE</v>
      </c>
      <c r="HT27" s="366"/>
      <c r="HU27" s="366"/>
      <c r="HV27" s="54" t="str">
        <f t="shared" si="68"/>
        <v>C.C.</v>
      </c>
      <c r="HW27" s="367"/>
      <c r="HX27" s="369" t="s">
        <v>983</v>
      </c>
      <c r="HY27" s="54" t="s">
        <v>1089</v>
      </c>
      <c r="HZ27" s="66" t="s">
        <v>1090</v>
      </c>
      <c r="IA27" s="177">
        <v>45555</v>
      </c>
      <c r="IB27" s="177">
        <f t="shared" si="142"/>
        <v>45920</v>
      </c>
      <c r="IC27" s="54" t="str">
        <f t="shared" ca="1" si="70"/>
        <v>VIGENTE</v>
      </c>
      <c r="ID27" s="346"/>
      <c r="IE27" s="346"/>
      <c r="IF27" s="49" t="str">
        <f t="shared" si="71"/>
        <v>G.M.</v>
      </c>
      <c r="IG27" s="374"/>
      <c r="IH27" s="369" t="s">
        <v>838</v>
      </c>
      <c r="II27" s="54">
        <v>3510</v>
      </c>
      <c r="IJ27" s="66" t="s">
        <v>1091</v>
      </c>
      <c r="IK27" s="177">
        <v>45736</v>
      </c>
      <c r="IL27" s="177">
        <f t="shared" ref="IL27:IL49" si="143">IF(IK27=0," ",IK27+365)</f>
        <v>46101</v>
      </c>
      <c r="IM27" s="54" t="str">
        <f t="shared" ca="1" si="73"/>
        <v>VIGENTE</v>
      </c>
      <c r="IN27" s="366"/>
      <c r="IO27" s="366"/>
      <c r="IP27" s="54" t="str">
        <f t="shared" si="74"/>
        <v>C.I.</v>
      </c>
      <c r="IQ27" s="367"/>
      <c r="IR27" s="369" t="s">
        <v>873</v>
      </c>
      <c r="IS27" s="54">
        <v>30539</v>
      </c>
      <c r="IT27" s="66" t="s">
        <v>1092</v>
      </c>
      <c r="IU27" s="177">
        <v>45736</v>
      </c>
      <c r="IV27" s="177">
        <f t="shared" ref="IV27:IV49" si="144">IF(IU27=0," ",IU27+365)</f>
        <v>46101</v>
      </c>
      <c r="IW27" s="54" t="str">
        <f t="shared" ca="1" si="76"/>
        <v>VIGENTE</v>
      </c>
      <c r="IX27" s="346"/>
      <c r="IY27" s="346"/>
      <c r="IZ27" s="54" t="str">
        <f t="shared" si="77"/>
        <v>G.M.</v>
      </c>
      <c r="JA27" s="374"/>
      <c r="JB27" s="369" t="s">
        <v>868</v>
      </c>
      <c r="JC27" s="54">
        <v>307777</v>
      </c>
      <c r="JD27" s="66" t="s">
        <v>1093</v>
      </c>
      <c r="JE27" s="177">
        <v>45747</v>
      </c>
      <c r="JF27" s="177">
        <f t="shared" ref="JF27:JF49" si="145">IF(JE27=0," ",JE27+365)</f>
        <v>46112</v>
      </c>
      <c r="JG27" s="54" t="str">
        <f t="shared" ca="1" si="79"/>
        <v>VIGENTE</v>
      </c>
      <c r="JH27" s="366"/>
      <c r="JI27" s="366"/>
      <c r="JJ27" s="54" t="str">
        <f t="shared" si="80"/>
        <v>G.M.</v>
      </c>
      <c r="JK27" s="367"/>
      <c r="JL27" s="373"/>
      <c r="JM27" s="346"/>
      <c r="JN27" s="346"/>
      <c r="JO27" s="346"/>
      <c r="JP27" s="346" t="str">
        <f t="shared" si="81"/>
        <v xml:space="preserve"> </v>
      </c>
      <c r="JQ27" s="54" t="str">
        <f t="shared" ca="1" si="82"/>
        <v xml:space="preserve"> </v>
      </c>
      <c r="JR27" s="346"/>
      <c r="JS27" s="346"/>
      <c r="JT27" s="54" t="str">
        <f t="shared" si="83"/>
        <v xml:space="preserve"> </v>
      </c>
      <c r="JU27" s="374"/>
      <c r="JV27" s="369"/>
      <c r="JW27" s="366"/>
      <c r="JX27" s="366"/>
      <c r="JY27" s="366"/>
      <c r="JZ27" s="366" t="str">
        <f t="shared" si="84"/>
        <v xml:space="preserve"> </v>
      </c>
      <c r="KA27" s="54" t="str">
        <f t="shared" ca="1" si="85"/>
        <v xml:space="preserve"> </v>
      </c>
      <c r="KB27" s="366"/>
      <c r="KC27" s="366"/>
      <c r="KD27" s="54" t="str">
        <f t="shared" si="86"/>
        <v xml:space="preserve"> </v>
      </c>
      <c r="KE27" s="367"/>
      <c r="KF27" s="373"/>
      <c r="KG27" s="346"/>
      <c r="KH27" s="346"/>
      <c r="KI27" s="346"/>
      <c r="KJ27" s="346" t="str">
        <f t="shared" si="87"/>
        <v xml:space="preserve"> </v>
      </c>
      <c r="KK27" s="54" t="str">
        <f t="shared" ca="1" si="88"/>
        <v xml:space="preserve"> </v>
      </c>
      <c r="KL27" s="346"/>
      <c r="KM27" s="346"/>
      <c r="KN27" s="54" t="str">
        <f t="shared" si="89"/>
        <v xml:space="preserve"> </v>
      </c>
      <c r="KO27" s="374"/>
      <c r="KP27" s="369"/>
      <c r="KQ27" s="366"/>
      <c r="KR27" s="366"/>
      <c r="KS27" s="366"/>
      <c r="KT27" s="366" t="str">
        <f t="shared" si="90"/>
        <v xml:space="preserve"> </v>
      </c>
      <c r="KU27" s="54" t="str">
        <f t="shared" ca="1" si="91"/>
        <v xml:space="preserve"> </v>
      </c>
      <c r="KV27" s="366"/>
      <c r="KW27" s="366"/>
      <c r="KX27" s="54" t="str">
        <f t="shared" si="92"/>
        <v xml:space="preserve"> </v>
      </c>
      <c r="KY27" s="367"/>
      <c r="KZ27" s="373"/>
      <c r="LA27" s="346"/>
      <c r="LB27" s="346"/>
      <c r="LC27" s="346"/>
      <c r="LD27" s="346" t="str">
        <f t="shared" si="93"/>
        <v xml:space="preserve"> </v>
      </c>
      <c r="LE27" s="54" t="str">
        <f t="shared" ca="1" si="94"/>
        <v xml:space="preserve"> </v>
      </c>
      <c r="LF27" s="346"/>
      <c r="LG27" s="346"/>
      <c r="LH27" s="54" t="str">
        <f t="shared" si="95"/>
        <v xml:space="preserve"> </v>
      </c>
      <c r="LI27" s="374"/>
      <c r="LJ27" s="369"/>
      <c r="LK27" s="366"/>
      <c r="LL27" s="366"/>
      <c r="LM27" s="366"/>
      <c r="LN27" s="366" t="str">
        <f t="shared" si="96"/>
        <v xml:space="preserve"> </v>
      </c>
      <c r="LO27" s="54" t="str">
        <f t="shared" ca="1" si="97"/>
        <v xml:space="preserve"> </v>
      </c>
      <c r="LP27" s="366"/>
      <c r="LQ27" s="366"/>
      <c r="LR27" s="54" t="str">
        <f t="shared" si="98"/>
        <v xml:space="preserve"> </v>
      </c>
      <c r="LS27" s="367"/>
      <c r="LT27" s="373"/>
      <c r="LU27" s="346"/>
      <c r="LV27" s="346"/>
      <c r="LW27" s="346"/>
      <c r="LX27" s="346" t="str">
        <f t="shared" si="114"/>
        <v xml:space="preserve"> </v>
      </c>
      <c r="LY27" s="54" t="str">
        <f t="shared" ca="1" si="99"/>
        <v xml:space="preserve"> </v>
      </c>
      <c r="LZ27" s="346"/>
      <c r="MA27" s="346"/>
      <c r="MB27" s="54" t="str">
        <f t="shared" si="100"/>
        <v xml:space="preserve"> </v>
      </c>
      <c r="MC27" s="374"/>
      <c r="MD27" s="369"/>
      <c r="ME27" s="366"/>
      <c r="MF27" s="366"/>
      <c r="MG27" s="366"/>
      <c r="MH27" s="366"/>
      <c r="MI27" s="54" t="str">
        <f t="shared" ca="1" si="101"/>
        <v xml:space="preserve"> </v>
      </c>
      <c r="MJ27" s="366"/>
      <c r="MK27" s="366"/>
      <c r="ML27" s="54" t="str">
        <f t="shared" si="102"/>
        <v xml:space="preserve"> </v>
      </c>
      <c r="MM27" s="367"/>
      <c r="MN27" s="373"/>
      <c r="MO27" s="346"/>
      <c r="MP27" s="346"/>
      <c r="MQ27" s="346"/>
      <c r="MR27" s="346"/>
      <c r="MS27" s="54" t="str">
        <f t="shared" ca="1" si="103"/>
        <v xml:space="preserve"> </v>
      </c>
      <c r="MT27" s="346"/>
      <c r="MU27" s="346"/>
      <c r="MV27" s="54" t="str">
        <f t="shared" si="104"/>
        <v xml:space="preserve"> </v>
      </c>
      <c r="MW27" s="374"/>
      <c r="MX27" s="369"/>
      <c r="MY27" s="366"/>
      <c r="MZ27" s="366"/>
      <c r="NA27" s="366"/>
      <c r="NB27" s="366"/>
      <c r="NC27" s="54" t="str">
        <f t="shared" ca="1" si="105"/>
        <v xml:space="preserve"> </v>
      </c>
      <c r="ND27" s="366"/>
      <c r="NE27" s="366"/>
      <c r="NF27" s="54" t="str">
        <f t="shared" si="115"/>
        <v xml:space="preserve"> </v>
      </c>
      <c r="NG27" s="367"/>
      <c r="NH27" s="373"/>
      <c r="NI27" s="346"/>
      <c r="NJ27" s="346"/>
      <c r="NK27" s="346"/>
      <c r="NL27" s="346"/>
      <c r="NM27" s="54" t="str">
        <f t="shared" ca="1" si="107"/>
        <v xml:space="preserve"> </v>
      </c>
      <c r="NN27" s="346"/>
      <c r="NO27" s="346"/>
      <c r="NP27" s="54" t="str">
        <f t="shared" si="116"/>
        <v xml:space="preserve"> </v>
      </c>
      <c r="NQ27" s="374"/>
      <c r="NR27" s="369"/>
      <c r="NS27" s="366"/>
      <c r="NT27" s="366"/>
      <c r="NU27" s="366"/>
      <c r="NV27" s="366"/>
      <c r="NW27" s="54" t="str">
        <f t="shared" ca="1" si="109"/>
        <v xml:space="preserve"> </v>
      </c>
      <c r="NX27" s="366"/>
      <c r="NY27" s="366"/>
      <c r="NZ27" s="54" t="str">
        <f t="shared" si="117"/>
        <v xml:space="preserve"> </v>
      </c>
      <c r="OA27" s="367"/>
      <c r="OB27" s="373"/>
      <c r="OC27" s="346"/>
      <c r="OD27" s="346"/>
      <c r="OE27" s="346"/>
      <c r="OF27" s="346"/>
      <c r="OG27" s="54" t="str">
        <f t="shared" ca="1" si="111"/>
        <v xml:space="preserve"> </v>
      </c>
      <c r="OH27" s="346"/>
      <c r="OI27" s="346"/>
      <c r="OJ27" s="54" t="str">
        <f t="shared" si="118"/>
        <v xml:space="preserve"> </v>
      </c>
      <c r="OK27" s="374"/>
    </row>
    <row r="28" spans="1:401" s="44" customFormat="1" ht="22.2" customHeight="1" x14ac:dyDescent="0.3">
      <c r="A28" s="355" t="s">
        <v>187</v>
      </c>
      <c r="B28" s="356"/>
      <c r="C28" s="37"/>
      <c r="D28" s="357"/>
      <c r="E28" s="91"/>
      <c r="F28" s="91" t="str">
        <f t="shared" si="119"/>
        <v xml:space="preserve"> </v>
      </c>
      <c r="G28" s="357" t="str">
        <f t="shared" ca="1" si="113"/>
        <v xml:space="preserve"> </v>
      </c>
      <c r="H28" s="37"/>
      <c r="I28" s="37"/>
      <c r="J28" s="37" t="str">
        <f t="shared" si="2"/>
        <v xml:space="preserve"> </v>
      </c>
      <c r="K28" s="170"/>
      <c r="L28" s="181"/>
      <c r="M28" s="37"/>
      <c r="N28" s="37"/>
      <c r="O28" s="91"/>
      <c r="P28" s="91" t="str">
        <f t="shared" si="3"/>
        <v xml:space="preserve"> </v>
      </c>
      <c r="Q28" s="37" t="str">
        <f t="shared" ca="1" si="4"/>
        <v xml:space="preserve"> </v>
      </c>
      <c r="R28" s="37"/>
      <c r="S28" s="37"/>
      <c r="T28" s="37" t="str">
        <f t="shared" si="5"/>
        <v xml:space="preserve"> </v>
      </c>
      <c r="U28" s="170"/>
      <c r="V28" s="356"/>
      <c r="W28" s="357"/>
      <c r="X28" s="357"/>
      <c r="Y28" s="358"/>
      <c r="Z28" s="358" t="str">
        <f t="shared" si="121"/>
        <v xml:space="preserve"> </v>
      </c>
      <c r="AA28" s="37" t="str">
        <f t="shared" ca="1" si="7"/>
        <v xml:space="preserve"> </v>
      </c>
      <c r="AB28" s="357"/>
      <c r="AC28" s="357"/>
      <c r="AD28" s="37" t="str">
        <f t="shared" si="8"/>
        <v xml:space="preserve"> </v>
      </c>
      <c r="AE28" s="359"/>
      <c r="AF28" s="360"/>
      <c r="AG28" s="348"/>
      <c r="AH28" s="348"/>
      <c r="AI28" s="14"/>
      <c r="AJ28" s="14" t="str">
        <f t="shared" si="122"/>
        <v xml:space="preserve"> </v>
      </c>
      <c r="AK28" s="37" t="str">
        <f t="shared" ca="1" si="10"/>
        <v xml:space="preserve"> </v>
      </c>
      <c r="AL28" s="348"/>
      <c r="AM28" s="348"/>
      <c r="AN28" s="12" t="str">
        <f t="shared" si="11"/>
        <v xml:space="preserve"> </v>
      </c>
      <c r="AO28" s="361"/>
      <c r="AP28" s="356"/>
      <c r="AQ28" s="357"/>
      <c r="AR28" s="357"/>
      <c r="AS28" s="358"/>
      <c r="AT28" s="358" t="str">
        <f t="shared" si="123"/>
        <v xml:space="preserve"> </v>
      </c>
      <c r="AU28" s="37" t="str">
        <f t="shared" ca="1" si="13"/>
        <v xml:space="preserve"> </v>
      </c>
      <c r="AV28" s="357"/>
      <c r="AW28" s="357"/>
      <c r="AX28" s="37" t="str">
        <f t="shared" si="14"/>
        <v xml:space="preserve"> </v>
      </c>
      <c r="AY28" s="359"/>
      <c r="AZ28" s="360"/>
      <c r="BA28" s="348"/>
      <c r="BB28" s="348"/>
      <c r="BC28" s="362"/>
      <c r="BD28" s="362" t="str">
        <f t="shared" si="124"/>
        <v xml:space="preserve"> </v>
      </c>
      <c r="BE28" s="37" t="str">
        <f t="shared" ca="1" si="16"/>
        <v xml:space="preserve"> </v>
      </c>
      <c r="BF28" s="348"/>
      <c r="BG28" s="348"/>
      <c r="BH28" s="12" t="str">
        <f t="shared" si="17"/>
        <v xml:space="preserve"> </v>
      </c>
      <c r="BI28" s="361"/>
      <c r="BJ28" s="356"/>
      <c r="BK28" s="357"/>
      <c r="BL28" s="357"/>
      <c r="BM28" s="358"/>
      <c r="BN28" s="358" t="str">
        <f t="shared" si="125"/>
        <v xml:space="preserve"> </v>
      </c>
      <c r="BO28" s="37" t="str">
        <f t="shared" ca="1" si="19"/>
        <v xml:space="preserve"> </v>
      </c>
      <c r="BP28" s="357"/>
      <c r="BQ28" s="357"/>
      <c r="BR28" s="37" t="str">
        <f t="shared" si="20"/>
        <v xml:space="preserve"> </v>
      </c>
      <c r="BS28" s="359"/>
      <c r="BT28" s="360"/>
      <c r="BU28" s="348"/>
      <c r="BV28" s="348"/>
      <c r="BW28" s="362"/>
      <c r="BX28" s="362" t="str">
        <f t="shared" si="126"/>
        <v xml:space="preserve"> </v>
      </c>
      <c r="BY28" s="37" t="str">
        <f t="shared" ca="1" si="22"/>
        <v xml:space="preserve"> </v>
      </c>
      <c r="BZ28" s="348"/>
      <c r="CA28" s="348"/>
      <c r="CB28" s="12" t="str">
        <f t="shared" si="23"/>
        <v xml:space="preserve"> </v>
      </c>
      <c r="CC28" s="361"/>
      <c r="CD28" s="356"/>
      <c r="CE28" s="37"/>
      <c r="CF28" s="357"/>
      <c r="CG28" s="357"/>
      <c r="CH28" s="357" t="str">
        <f t="shared" si="127"/>
        <v xml:space="preserve"> </v>
      </c>
      <c r="CI28" s="37" t="str">
        <f t="shared" ca="1" si="25"/>
        <v xml:space="preserve"> </v>
      </c>
      <c r="CJ28" s="357"/>
      <c r="CK28" s="357"/>
      <c r="CL28" s="37" t="str">
        <f t="shared" si="26"/>
        <v xml:space="preserve"> </v>
      </c>
      <c r="CM28" s="359"/>
      <c r="CN28" s="360"/>
      <c r="CO28" s="12"/>
      <c r="CP28" s="348"/>
      <c r="CQ28" s="348"/>
      <c r="CR28" s="348" t="str">
        <f t="shared" si="128"/>
        <v xml:space="preserve"> </v>
      </c>
      <c r="CS28" s="37" t="str">
        <f t="shared" ca="1" si="28"/>
        <v xml:space="preserve"> </v>
      </c>
      <c r="CT28" s="348"/>
      <c r="CU28" s="348"/>
      <c r="CV28" s="12" t="str">
        <f t="shared" si="29"/>
        <v xml:space="preserve"> </v>
      </c>
      <c r="CW28" s="361"/>
      <c r="CX28" s="356"/>
      <c r="CY28" s="37"/>
      <c r="CZ28" s="357"/>
      <c r="DA28" s="357"/>
      <c r="DB28" s="357" t="str">
        <f t="shared" si="129"/>
        <v xml:space="preserve"> </v>
      </c>
      <c r="DC28" s="37" t="str">
        <f t="shared" ca="1" si="31"/>
        <v xml:space="preserve"> </v>
      </c>
      <c r="DD28" s="357"/>
      <c r="DE28" s="357"/>
      <c r="DF28" s="37" t="str">
        <f t="shared" si="32"/>
        <v xml:space="preserve"> </v>
      </c>
      <c r="DG28" s="359"/>
      <c r="DH28" s="360"/>
      <c r="DI28" s="12"/>
      <c r="DJ28" s="348"/>
      <c r="DK28" s="348"/>
      <c r="DL28" s="348" t="str">
        <f t="shared" si="130"/>
        <v xml:space="preserve"> </v>
      </c>
      <c r="DM28" s="37" t="str">
        <f t="shared" ca="1" si="34"/>
        <v xml:space="preserve"> </v>
      </c>
      <c r="DN28" s="348"/>
      <c r="DO28" s="348"/>
      <c r="DP28" s="12" t="str">
        <f t="shared" si="35"/>
        <v xml:space="preserve"> </v>
      </c>
      <c r="DQ28" s="361"/>
      <c r="DR28" s="402"/>
      <c r="DS28" s="403"/>
      <c r="DT28" s="404"/>
      <c r="DU28" s="404"/>
      <c r="DV28" s="14" t="str">
        <f t="shared" si="131"/>
        <v xml:space="preserve"> </v>
      </c>
      <c r="DW28" s="403" t="str">
        <f t="shared" ca="1" si="37"/>
        <v xml:space="preserve"> </v>
      </c>
      <c r="DX28" s="404"/>
      <c r="DY28" s="404"/>
      <c r="DZ28" s="403" t="str">
        <f t="shared" si="38"/>
        <v xml:space="preserve"> </v>
      </c>
      <c r="EA28" s="359"/>
      <c r="EB28" s="360"/>
      <c r="EC28" s="12"/>
      <c r="ED28" s="348"/>
      <c r="EE28" s="348"/>
      <c r="EF28" s="91" t="str">
        <f t="shared" si="132"/>
        <v xml:space="preserve"> </v>
      </c>
      <c r="EG28" s="37" t="str">
        <f t="shared" ca="1" si="40"/>
        <v xml:space="preserve"> </v>
      </c>
      <c r="EH28" s="348"/>
      <c r="EI28" s="348"/>
      <c r="EJ28" s="12" t="str">
        <f t="shared" si="41"/>
        <v xml:space="preserve"> </v>
      </c>
      <c r="EK28" s="361"/>
      <c r="EL28" s="356"/>
      <c r="EM28" s="37"/>
      <c r="EN28" s="357"/>
      <c r="EO28" s="357"/>
      <c r="EP28" s="91" t="str">
        <f t="shared" si="133"/>
        <v xml:space="preserve"> </v>
      </c>
      <c r="EQ28" s="37" t="str">
        <f t="shared" ca="1" si="43"/>
        <v xml:space="preserve"> </v>
      </c>
      <c r="ER28" s="357"/>
      <c r="ES28" s="357"/>
      <c r="ET28" s="37" t="str">
        <f t="shared" si="44"/>
        <v xml:space="preserve"> </v>
      </c>
      <c r="EU28" s="359"/>
      <c r="EV28" s="360"/>
      <c r="EW28" s="12"/>
      <c r="EX28" s="348"/>
      <c r="EY28" s="348"/>
      <c r="EZ28" s="91" t="str">
        <f t="shared" si="134"/>
        <v xml:space="preserve"> </v>
      </c>
      <c r="FA28" s="37" t="str">
        <f t="shared" ca="1" si="46"/>
        <v xml:space="preserve"> </v>
      </c>
      <c r="FB28" s="348"/>
      <c r="FC28" s="348"/>
      <c r="FD28" s="12" t="str">
        <f t="shared" si="47"/>
        <v xml:space="preserve"> </v>
      </c>
      <c r="FE28" s="361"/>
      <c r="FF28" s="356"/>
      <c r="FG28" s="37"/>
      <c r="FH28" s="357"/>
      <c r="FI28" s="357"/>
      <c r="FJ28" s="91" t="str">
        <f t="shared" si="135"/>
        <v xml:space="preserve"> </v>
      </c>
      <c r="FK28" s="37" t="str">
        <f t="shared" ca="1" si="49"/>
        <v xml:space="preserve"> </v>
      </c>
      <c r="FL28" s="357"/>
      <c r="FM28" s="357"/>
      <c r="FN28" s="37" t="str">
        <f t="shared" si="50"/>
        <v xml:space="preserve"> </v>
      </c>
      <c r="FO28" s="359"/>
      <c r="FP28" s="360"/>
      <c r="FQ28" s="12"/>
      <c r="FR28" s="348"/>
      <c r="FS28" s="348"/>
      <c r="FT28" s="91" t="str">
        <f t="shared" si="136"/>
        <v xml:space="preserve"> </v>
      </c>
      <c r="FU28" s="37" t="str">
        <f t="shared" ca="1" si="52"/>
        <v xml:space="preserve"> </v>
      </c>
      <c r="FV28" s="348"/>
      <c r="FW28" s="348"/>
      <c r="FX28" s="12" t="str">
        <f t="shared" si="53"/>
        <v xml:space="preserve"> </v>
      </c>
      <c r="FY28" s="361"/>
      <c r="FZ28" s="356"/>
      <c r="GA28" s="37"/>
      <c r="GB28" s="357"/>
      <c r="GC28" s="357"/>
      <c r="GD28" s="91" t="str">
        <f t="shared" si="137"/>
        <v xml:space="preserve"> </v>
      </c>
      <c r="GE28" s="37" t="str">
        <f t="shared" ca="1" si="55"/>
        <v xml:space="preserve"> </v>
      </c>
      <c r="GF28" s="357"/>
      <c r="GG28" s="357"/>
      <c r="GH28" s="37" t="str">
        <f t="shared" si="56"/>
        <v xml:space="preserve"> </v>
      </c>
      <c r="GI28" s="359"/>
      <c r="GJ28" s="363"/>
      <c r="GK28" s="12"/>
      <c r="GL28" s="348"/>
      <c r="GM28" s="348"/>
      <c r="GN28" s="91" t="str">
        <f t="shared" si="138"/>
        <v xml:space="preserve"> </v>
      </c>
      <c r="GO28" s="37" t="str">
        <f t="shared" ca="1" si="58"/>
        <v xml:space="preserve"> </v>
      </c>
      <c r="GP28" s="348"/>
      <c r="GQ28" s="348"/>
      <c r="GR28" s="12" t="str">
        <f t="shared" si="59"/>
        <v xml:space="preserve"> </v>
      </c>
      <c r="GS28" s="364"/>
      <c r="GT28" s="356"/>
      <c r="GU28" s="37"/>
      <c r="GV28" s="357"/>
      <c r="GW28" s="357"/>
      <c r="GX28" s="91" t="str">
        <f t="shared" si="139"/>
        <v xml:space="preserve"> </v>
      </c>
      <c r="GY28" s="37" t="str">
        <f t="shared" ca="1" si="61"/>
        <v xml:space="preserve"> </v>
      </c>
      <c r="GZ28" s="357"/>
      <c r="HA28" s="357"/>
      <c r="HB28" s="37" t="str">
        <f t="shared" si="62"/>
        <v xml:space="preserve"> </v>
      </c>
      <c r="HC28" s="359"/>
      <c r="HD28" s="363"/>
      <c r="HE28" s="12"/>
      <c r="HF28" s="348"/>
      <c r="HG28" s="348"/>
      <c r="HH28" s="91" t="str">
        <f t="shared" si="140"/>
        <v xml:space="preserve"> </v>
      </c>
      <c r="HI28" s="37" t="str">
        <f t="shared" ca="1" si="64"/>
        <v xml:space="preserve"> </v>
      </c>
      <c r="HJ28" s="348"/>
      <c r="HK28" s="348"/>
      <c r="HL28" s="12" t="str">
        <f t="shared" si="65"/>
        <v xml:space="preserve"> </v>
      </c>
      <c r="HM28" s="364"/>
      <c r="HN28" s="356"/>
      <c r="HO28" s="37"/>
      <c r="HP28" s="357"/>
      <c r="HQ28" s="422"/>
      <c r="HR28" s="91" t="str">
        <f t="shared" si="141"/>
        <v xml:space="preserve"> </v>
      </c>
      <c r="HS28" s="37" t="str">
        <f t="shared" ca="1" si="67"/>
        <v xml:space="preserve"> </v>
      </c>
      <c r="HT28" s="357"/>
      <c r="HU28" s="357"/>
      <c r="HV28" s="37" t="str">
        <f t="shared" si="68"/>
        <v xml:space="preserve"> </v>
      </c>
      <c r="HW28" s="359"/>
      <c r="HX28" s="363"/>
      <c r="HY28" s="12"/>
      <c r="HZ28" s="348"/>
      <c r="IA28" s="348"/>
      <c r="IB28" s="91" t="str">
        <f t="shared" si="142"/>
        <v xml:space="preserve"> </v>
      </c>
      <c r="IC28" s="37" t="str">
        <f t="shared" ca="1" si="70"/>
        <v xml:space="preserve"> </v>
      </c>
      <c r="ID28" s="348"/>
      <c r="IE28" s="348"/>
      <c r="IF28" s="12" t="str">
        <f t="shared" si="71"/>
        <v xml:space="preserve"> </v>
      </c>
      <c r="IG28" s="364"/>
      <c r="IH28" s="356"/>
      <c r="II28" s="357"/>
      <c r="IJ28" s="357"/>
      <c r="IK28" s="357"/>
      <c r="IL28" s="91" t="str">
        <f t="shared" si="143"/>
        <v xml:space="preserve"> </v>
      </c>
      <c r="IM28" s="37" t="str">
        <f t="shared" ca="1" si="73"/>
        <v xml:space="preserve"> </v>
      </c>
      <c r="IN28" s="357"/>
      <c r="IO28" s="357"/>
      <c r="IP28" s="37" t="str">
        <f t="shared" si="74"/>
        <v xml:space="preserve"> </v>
      </c>
      <c r="IQ28" s="359"/>
      <c r="IR28" s="363"/>
      <c r="IS28" s="348"/>
      <c r="IT28" s="348"/>
      <c r="IU28" s="348"/>
      <c r="IV28" s="91" t="str">
        <f t="shared" si="144"/>
        <v xml:space="preserve"> </v>
      </c>
      <c r="IW28" s="37" t="str">
        <f t="shared" ca="1" si="76"/>
        <v xml:space="preserve"> </v>
      </c>
      <c r="IX28" s="348"/>
      <c r="IY28" s="348"/>
      <c r="IZ28" s="37" t="str">
        <f t="shared" si="77"/>
        <v xml:space="preserve"> </v>
      </c>
      <c r="JA28" s="364"/>
      <c r="JB28" s="356"/>
      <c r="JC28" s="357"/>
      <c r="JD28" s="357"/>
      <c r="JE28" s="357"/>
      <c r="JF28" s="91" t="str">
        <f t="shared" si="145"/>
        <v xml:space="preserve"> </v>
      </c>
      <c r="JG28" s="37" t="str">
        <f t="shared" ca="1" si="79"/>
        <v xml:space="preserve"> </v>
      </c>
      <c r="JH28" s="357"/>
      <c r="JI28" s="357"/>
      <c r="JJ28" s="37" t="str">
        <f t="shared" si="80"/>
        <v xml:space="preserve"> </v>
      </c>
      <c r="JK28" s="359"/>
      <c r="JL28" s="363"/>
      <c r="JM28" s="348"/>
      <c r="JN28" s="348"/>
      <c r="JO28" s="348"/>
      <c r="JP28" s="348" t="str">
        <f t="shared" si="81"/>
        <v xml:space="preserve"> </v>
      </c>
      <c r="JQ28" s="37" t="str">
        <f t="shared" ca="1" si="82"/>
        <v xml:space="preserve"> </v>
      </c>
      <c r="JR28" s="348"/>
      <c r="JS28" s="348"/>
      <c r="JT28" s="37" t="str">
        <f t="shared" si="83"/>
        <v xml:space="preserve"> </v>
      </c>
      <c r="JU28" s="364"/>
      <c r="JV28" s="356"/>
      <c r="JW28" s="357"/>
      <c r="JX28" s="357"/>
      <c r="JY28" s="357"/>
      <c r="JZ28" s="357" t="str">
        <f t="shared" si="84"/>
        <v xml:space="preserve"> </v>
      </c>
      <c r="KA28" s="37" t="str">
        <f t="shared" ca="1" si="85"/>
        <v xml:space="preserve"> </v>
      </c>
      <c r="KB28" s="357"/>
      <c r="KC28" s="357"/>
      <c r="KD28" s="37" t="str">
        <f t="shared" si="86"/>
        <v xml:space="preserve"> </v>
      </c>
      <c r="KE28" s="359"/>
      <c r="KF28" s="363"/>
      <c r="KG28" s="348"/>
      <c r="KH28" s="348"/>
      <c r="KI28" s="348"/>
      <c r="KJ28" s="348" t="str">
        <f t="shared" si="87"/>
        <v xml:space="preserve"> </v>
      </c>
      <c r="KK28" s="37" t="str">
        <f t="shared" ca="1" si="88"/>
        <v xml:space="preserve"> </v>
      </c>
      <c r="KL28" s="348"/>
      <c r="KM28" s="348"/>
      <c r="KN28" s="37" t="str">
        <f t="shared" si="89"/>
        <v xml:space="preserve"> </v>
      </c>
      <c r="KO28" s="364"/>
      <c r="KP28" s="356"/>
      <c r="KQ28" s="357"/>
      <c r="KR28" s="357"/>
      <c r="KS28" s="357"/>
      <c r="KT28" s="357" t="str">
        <f t="shared" si="90"/>
        <v xml:space="preserve"> </v>
      </c>
      <c r="KU28" s="37" t="str">
        <f t="shared" ca="1" si="91"/>
        <v xml:space="preserve"> </v>
      </c>
      <c r="KV28" s="357"/>
      <c r="KW28" s="357"/>
      <c r="KX28" s="37" t="str">
        <f t="shared" si="92"/>
        <v xml:space="preserve"> </v>
      </c>
      <c r="KY28" s="359"/>
      <c r="KZ28" s="363"/>
      <c r="LA28" s="348"/>
      <c r="LB28" s="348"/>
      <c r="LC28" s="348"/>
      <c r="LD28" s="348" t="str">
        <f t="shared" si="93"/>
        <v xml:space="preserve"> </v>
      </c>
      <c r="LE28" s="37" t="str">
        <f t="shared" ca="1" si="94"/>
        <v xml:space="preserve"> </v>
      </c>
      <c r="LF28" s="348"/>
      <c r="LG28" s="348"/>
      <c r="LH28" s="37" t="str">
        <f t="shared" si="95"/>
        <v xml:space="preserve"> </v>
      </c>
      <c r="LI28" s="364"/>
      <c r="LJ28" s="356"/>
      <c r="LK28" s="357"/>
      <c r="LL28" s="357"/>
      <c r="LM28" s="357"/>
      <c r="LN28" s="357" t="str">
        <f t="shared" si="96"/>
        <v xml:space="preserve"> </v>
      </c>
      <c r="LO28" s="37" t="str">
        <f t="shared" ca="1" si="97"/>
        <v xml:space="preserve"> </v>
      </c>
      <c r="LP28" s="357"/>
      <c r="LQ28" s="357"/>
      <c r="LR28" s="37" t="str">
        <f t="shared" si="98"/>
        <v xml:space="preserve"> </v>
      </c>
      <c r="LS28" s="359"/>
      <c r="LT28" s="363"/>
      <c r="LU28" s="348"/>
      <c r="LV28" s="348"/>
      <c r="LW28" s="348"/>
      <c r="LX28" s="348" t="str">
        <f t="shared" si="114"/>
        <v xml:space="preserve"> </v>
      </c>
      <c r="LY28" s="37" t="str">
        <f t="shared" ca="1" si="99"/>
        <v xml:space="preserve"> </v>
      </c>
      <c r="LZ28" s="348"/>
      <c r="MA28" s="348"/>
      <c r="MB28" s="37" t="str">
        <f t="shared" si="100"/>
        <v xml:space="preserve"> </v>
      </c>
      <c r="MC28" s="364"/>
      <c r="MD28" s="356"/>
      <c r="ME28" s="357"/>
      <c r="MF28" s="357"/>
      <c r="MG28" s="357"/>
      <c r="MH28" s="357"/>
      <c r="MI28" s="37" t="str">
        <f t="shared" ca="1" si="101"/>
        <v xml:space="preserve"> </v>
      </c>
      <c r="MJ28" s="357"/>
      <c r="MK28" s="357"/>
      <c r="ML28" s="37" t="str">
        <f t="shared" si="102"/>
        <v xml:space="preserve"> </v>
      </c>
      <c r="MM28" s="359"/>
      <c r="MN28" s="363"/>
      <c r="MO28" s="348"/>
      <c r="MP28" s="348"/>
      <c r="MQ28" s="348"/>
      <c r="MR28" s="348"/>
      <c r="MS28" s="37" t="str">
        <f t="shared" ca="1" si="103"/>
        <v xml:space="preserve"> </v>
      </c>
      <c r="MT28" s="348"/>
      <c r="MU28" s="348"/>
      <c r="MV28" s="37" t="str">
        <f t="shared" si="104"/>
        <v xml:space="preserve"> </v>
      </c>
      <c r="MW28" s="364"/>
      <c r="MX28" s="356"/>
      <c r="MY28" s="357"/>
      <c r="MZ28" s="357"/>
      <c r="NA28" s="357"/>
      <c r="NB28" s="357"/>
      <c r="NC28" s="37" t="str">
        <f t="shared" ca="1" si="105"/>
        <v xml:space="preserve"> </v>
      </c>
      <c r="ND28" s="357"/>
      <c r="NE28" s="357"/>
      <c r="NF28" s="37" t="str">
        <f t="shared" si="115"/>
        <v xml:space="preserve"> </v>
      </c>
      <c r="NG28" s="359"/>
      <c r="NH28" s="363"/>
      <c r="NI28" s="348"/>
      <c r="NJ28" s="348"/>
      <c r="NK28" s="348"/>
      <c r="NL28" s="348"/>
      <c r="NM28" s="37" t="str">
        <f t="shared" ca="1" si="107"/>
        <v xml:space="preserve"> </v>
      </c>
      <c r="NN28" s="348"/>
      <c r="NO28" s="348"/>
      <c r="NP28" s="37" t="str">
        <f t="shared" si="116"/>
        <v xml:space="preserve"> </v>
      </c>
      <c r="NQ28" s="364"/>
      <c r="NR28" s="356"/>
      <c r="NS28" s="357"/>
      <c r="NT28" s="357"/>
      <c r="NU28" s="357"/>
      <c r="NV28" s="357"/>
      <c r="NW28" s="37" t="str">
        <f t="shared" ca="1" si="109"/>
        <v xml:space="preserve"> </v>
      </c>
      <c r="NX28" s="357"/>
      <c r="NY28" s="357"/>
      <c r="NZ28" s="37" t="str">
        <f t="shared" si="117"/>
        <v xml:space="preserve"> </v>
      </c>
      <c r="OA28" s="359"/>
      <c r="OB28" s="363"/>
      <c r="OC28" s="348"/>
      <c r="OD28" s="348"/>
      <c r="OE28" s="348"/>
      <c r="OF28" s="348"/>
      <c r="OG28" s="37" t="str">
        <f t="shared" ca="1" si="111"/>
        <v xml:space="preserve"> </v>
      </c>
      <c r="OH28" s="348"/>
      <c r="OI28" s="348"/>
      <c r="OJ28" s="37" t="str">
        <f t="shared" si="118"/>
        <v xml:space="preserve"> </v>
      </c>
      <c r="OK28" s="364"/>
    </row>
    <row r="29" spans="1:401" s="44" customFormat="1" ht="22.2" customHeight="1" x14ac:dyDescent="0.3">
      <c r="A29" s="365" t="s">
        <v>196</v>
      </c>
      <c r="B29" s="369" t="s">
        <v>841</v>
      </c>
      <c r="C29" s="54">
        <v>53988</v>
      </c>
      <c r="D29" s="366" t="s">
        <v>1094</v>
      </c>
      <c r="E29" s="177">
        <v>45540</v>
      </c>
      <c r="F29" s="177">
        <f t="shared" si="119"/>
        <v>45905</v>
      </c>
      <c r="G29" s="54" t="str">
        <f t="shared" ca="1" si="113"/>
        <v>VIGENTE</v>
      </c>
      <c r="H29" s="54"/>
      <c r="I29" s="54"/>
      <c r="J29" s="54" t="str">
        <f t="shared" si="2"/>
        <v>C.C.</v>
      </c>
      <c r="K29" s="171"/>
      <c r="L29" s="369" t="s">
        <v>838</v>
      </c>
      <c r="M29" s="54" t="s">
        <v>1095</v>
      </c>
      <c r="N29" s="366" t="s">
        <v>1096</v>
      </c>
      <c r="O29" s="177">
        <v>45710</v>
      </c>
      <c r="P29" s="177">
        <f t="shared" si="3"/>
        <v>46075</v>
      </c>
      <c r="Q29" s="54" t="str">
        <f t="shared" ca="1" si="4"/>
        <v>VIGENTE</v>
      </c>
      <c r="R29" s="54"/>
      <c r="S29" s="54"/>
      <c r="T29" s="54" t="str">
        <f t="shared" si="5"/>
        <v>C.I.</v>
      </c>
      <c r="U29" s="171"/>
      <c r="V29" s="369" t="s">
        <v>838</v>
      </c>
      <c r="W29" s="54" t="s">
        <v>1097</v>
      </c>
      <c r="X29" s="366" t="s">
        <v>1098</v>
      </c>
      <c r="Y29" s="177">
        <v>45710</v>
      </c>
      <c r="Z29" s="177">
        <f t="shared" si="121"/>
        <v>46075</v>
      </c>
      <c r="AA29" s="54" t="str">
        <f t="shared" ca="1" si="7"/>
        <v>VIGENTE</v>
      </c>
      <c r="AB29" s="366"/>
      <c r="AC29" s="366"/>
      <c r="AD29" s="54" t="str">
        <f t="shared" si="8"/>
        <v>C.I.</v>
      </c>
      <c r="AE29" s="367"/>
      <c r="AF29" s="369" t="s">
        <v>838</v>
      </c>
      <c r="AG29" s="54" t="s">
        <v>1099</v>
      </c>
      <c r="AH29" s="366" t="s">
        <v>1100</v>
      </c>
      <c r="AI29" s="177">
        <v>45710</v>
      </c>
      <c r="AJ29" s="177">
        <f t="shared" si="122"/>
        <v>46075</v>
      </c>
      <c r="AK29" s="54" t="str">
        <f t="shared" ca="1" si="10"/>
        <v>VIGENTE</v>
      </c>
      <c r="AL29" s="346"/>
      <c r="AM29" s="346"/>
      <c r="AN29" s="49" t="str">
        <f t="shared" si="11"/>
        <v>C.I.</v>
      </c>
      <c r="AO29" s="368"/>
      <c r="AP29" s="369" t="s">
        <v>838</v>
      </c>
      <c r="AQ29" s="54" t="s">
        <v>1101</v>
      </c>
      <c r="AR29" s="366" t="s">
        <v>1102</v>
      </c>
      <c r="AS29" s="177">
        <v>45710</v>
      </c>
      <c r="AT29" s="177">
        <f t="shared" si="123"/>
        <v>46075</v>
      </c>
      <c r="AU29" s="54" t="str">
        <f t="shared" ca="1" si="13"/>
        <v>VIGENTE</v>
      </c>
      <c r="AV29" s="366"/>
      <c r="AW29" s="366"/>
      <c r="AX29" s="54" t="str">
        <f t="shared" si="14"/>
        <v>C.I.</v>
      </c>
      <c r="AY29" s="367"/>
      <c r="AZ29" s="369" t="s">
        <v>838</v>
      </c>
      <c r="BA29" s="54" t="s">
        <v>1103</v>
      </c>
      <c r="BB29" s="366" t="s">
        <v>1104</v>
      </c>
      <c r="BC29" s="177">
        <v>45710</v>
      </c>
      <c r="BD29" s="177">
        <f t="shared" si="124"/>
        <v>46076</v>
      </c>
      <c r="BE29" s="54" t="str">
        <f t="shared" ca="1" si="16"/>
        <v>VIGENTE</v>
      </c>
      <c r="BF29" s="346"/>
      <c r="BG29" s="346"/>
      <c r="BH29" s="49" t="str">
        <f t="shared" si="17"/>
        <v>C.I.</v>
      </c>
      <c r="BI29" s="368"/>
      <c r="BJ29" s="369" t="s">
        <v>838</v>
      </c>
      <c r="BK29" s="54" t="s">
        <v>1105</v>
      </c>
      <c r="BL29" s="366" t="s">
        <v>1106</v>
      </c>
      <c r="BM29" s="177">
        <v>45710</v>
      </c>
      <c r="BN29" s="177">
        <f t="shared" si="125"/>
        <v>46075</v>
      </c>
      <c r="BO29" s="54" t="str">
        <f t="shared" ca="1" si="19"/>
        <v>VIGENTE</v>
      </c>
      <c r="BP29" s="366"/>
      <c r="BQ29" s="366"/>
      <c r="BR29" s="54" t="str">
        <f t="shared" si="20"/>
        <v>C.I.</v>
      </c>
      <c r="BS29" s="367"/>
      <c r="BT29" s="371"/>
      <c r="BU29" s="346"/>
      <c r="BV29" s="346"/>
      <c r="BW29" s="372"/>
      <c r="BX29" s="372" t="str">
        <f t="shared" si="126"/>
        <v xml:space="preserve"> </v>
      </c>
      <c r="BY29" s="54" t="str">
        <f t="shared" ca="1" si="22"/>
        <v xml:space="preserve"> </v>
      </c>
      <c r="BZ29" s="346"/>
      <c r="CA29" s="346"/>
      <c r="CB29" s="49" t="str">
        <f t="shared" si="23"/>
        <v xml:space="preserve"> </v>
      </c>
      <c r="CC29" s="368"/>
      <c r="CD29" s="369"/>
      <c r="CE29" s="54"/>
      <c r="CF29" s="366"/>
      <c r="CG29" s="366"/>
      <c r="CH29" s="366" t="str">
        <f t="shared" si="127"/>
        <v xml:space="preserve"> </v>
      </c>
      <c r="CI29" s="54" t="str">
        <f t="shared" ca="1" si="25"/>
        <v xml:space="preserve"> </v>
      </c>
      <c r="CJ29" s="366"/>
      <c r="CK29" s="366"/>
      <c r="CL29" s="54" t="str">
        <f t="shared" si="26"/>
        <v xml:space="preserve"> </v>
      </c>
      <c r="CM29" s="367"/>
      <c r="CN29" s="371"/>
      <c r="CO29" s="49"/>
      <c r="CP29" s="346"/>
      <c r="CQ29" s="346"/>
      <c r="CR29" s="346" t="str">
        <f t="shared" si="128"/>
        <v xml:space="preserve"> </v>
      </c>
      <c r="CS29" s="54" t="str">
        <f t="shared" ca="1" si="28"/>
        <v xml:space="preserve"> </v>
      </c>
      <c r="CT29" s="346"/>
      <c r="CU29" s="346"/>
      <c r="CV29" s="49" t="str">
        <f t="shared" si="29"/>
        <v xml:space="preserve"> </v>
      </c>
      <c r="CW29" s="368"/>
      <c r="CX29" s="369"/>
      <c r="CY29" s="54"/>
      <c r="CZ29" s="366"/>
      <c r="DA29" s="366"/>
      <c r="DB29" s="366" t="str">
        <f t="shared" si="129"/>
        <v xml:space="preserve"> </v>
      </c>
      <c r="DC29" s="54" t="str">
        <f t="shared" ca="1" si="31"/>
        <v xml:space="preserve"> </v>
      </c>
      <c r="DD29" s="366"/>
      <c r="DE29" s="366"/>
      <c r="DF29" s="54" t="str">
        <f t="shared" si="32"/>
        <v xml:space="preserve"> </v>
      </c>
      <c r="DG29" s="367"/>
      <c r="DH29" s="371"/>
      <c r="DI29" s="49"/>
      <c r="DJ29" s="346"/>
      <c r="DK29" s="346"/>
      <c r="DL29" s="346" t="str">
        <f t="shared" si="130"/>
        <v xml:space="preserve"> </v>
      </c>
      <c r="DM29" s="54" t="str">
        <f t="shared" ca="1" si="34"/>
        <v xml:space="preserve"> </v>
      </c>
      <c r="DN29" s="346"/>
      <c r="DO29" s="346"/>
      <c r="DP29" s="49" t="str">
        <f t="shared" si="35"/>
        <v xml:space="preserve"> </v>
      </c>
      <c r="DQ29" s="368"/>
      <c r="DR29" s="369"/>
      <c r="DS29" s="54"/>
      <c r="DT29" s="366"/>
      <c r="DU29" s="366"/>
      <c r="DV29" s="177" t="str">
        <f t="shared" si="131"/>
        <v xml:space="preserve"> </v>
      </c>
      <c r="DW29" s="54" t="str">
        <f t="shared" ca="1" si="37"/>
        <v xml:space="preserve"> </v>
      </c>
      <c r="DX29" s="366"/>
      <c r="DY29" s="366"/>
      <c r="DZ29" s="54" t="str">
        <f t="shared" si="38"/>
        <v xml:space="preserve"> </v>
      </c>
      <c r="EA29" s="367"/>
      <c r="EB29" s="371"/>
      <c r="EC29" s="49"/>
      <c r="ED29" s="346"/>
      <c r="EE29" s="346"/>
      <c r="EF29" s="177" t="str">
        <f t="shared" si="132"/>
        <v xml:space="preserve"> </v>
      </c>
      <c r="EG29" s="54" t="str">
        <f t="shared" ca="1" si="40"/>
        <v xml:space="preserve"> </v>
      </c>
      <c r="EH29" s="346"/>
      <c r="EI29" s="346"/>
      <c r="EJ29" s="49" t="str">
        <f t="shared" si="41"/>
        <v xml:space="preserve"> </v>
      </c>
      <c r="EK29" s="368"/>
      <c r="EL29" s="369"/>
      <c r="EM29" s="54"/>
      <c r="EN29" s="366"/>
      <c r="EO29" s="366"/>
      <c r="EP29" s="177" t="str">
        <f t="shared" si="133"/>
        <v xml:space="preserve"> </v>
      </c>
      <c r="EQ29" s="54" t="str">
        <f t="shared" ca="1" si="43"/>
        <v xml:space="preserve"> </v>
      </c>
      <c r="ER29" s="366"/>
      <c r="ES29" s="366"/>
      <c r="ET29" s="54" t="str">
        <f t="shared" si="44"/>
        <v xml:space="preserve"> </v>
      </c>
      <c r="EU29" s="367"/>
      <c r="EV29" s="371"/>
      <c r="EW29" s="49"/>
      <c r="EX29" s="346"/>
      <c r="EY29" s="346"/>
      <c r="EZ29" s="177" t="str">
        <f t="shared" si="134"/>
        <v xml:space="preserve"> </v>
      </c>
      <c r="FA29" s="54" t="str">
        <f t="shared" ca="1" si="46"/>
        <v xml:space="preserve"> </v>
      </c>
      <c r="FB29" s="346"/>
      <c r="FC29" s="346"/>
      <c r="FD29" s="49" t="str">
        <f t="shared" si="47"/>
        <v xml:space="preserve"> </v>
      </c>
      <c r="FE29" s="368"/>
      <c r="FF29" s="369"/>
      <c r="FG29" s="54"/>
      <c r="FH29" s="366"/>
      <c r="FI29" s="366"/>
      <c r="FJ29" s="177" t="str">
        <f t="shared" si="135"/>
        <v xml:space="preserve"> </v>
      </c>
      <c r="FK29" s="54" t="str">
        <f t="shared" ca="1" si="49"/>
        <v xml:space="preserve"> </v>
      </c>
      <c r="FL29" s="366"/>
      <c r="FM29" s="366"/>
      <c r="FN29" s="54" t="str">
        <f t="shared" si="50"/>
        <v xml:space="preserve"> </v>
      </c>
      <c r="FO29" s="367"/>
      <c r="FP29" s="371"/>
      <c r="FQ29" s="49"/>
      <c r="FR29" s="346"/>
      <c r="FS29" s="346"/>
      <c r="FT29" s="177" t="str">
        <f t="shared" si="136"/>
        <v xml:space="preserve"> </v>
      </c>
      <c r="FU29" s="54" t="str">
        <f t="shared" ca="1" si="52"/>
        <v xml:space="preserve"> </v>
      </c>
      <c r="FV29" s="346"/>
      <c r="FW29" s="346"/>
      <c r="FX29" s="49" t="str">
        <f t="shared" si="53"/>
        <v xml:space="preserve"> </v>
      </c>
      <c r="FY29" s="368"/>
      <c r="FZ29" s="369"/>
      <c r="GA29" s="54"/>
      <c r="GB29" s="366"/>
      <c r="GC29" s="366"/>
      <c r="GD29" s="177" t="str">
        <f t="shared" si="137"/>
        <v xml:space="preserve"> </v>
      </c>
      <c r="GE29" s="54" t="str">
        <f t="shared" ca="1" si="55"/>
        <v xml:space="preserve"> </v>
      </c>
      <c r="GF29" s="366"/>
      <c r="GG29" s="366"/>
      <c r="GH29" s="54" t="str">
        <f t="shared" si="56"/>
        <v xml:space="preserve"> </v>
      </c>
      <c r="GI29" s="367"/>
      <c r="GJ29" s="373"/>
      <c r="GK29" s="49"/>
      <c r="GL29" s="346"/>
      <c r="GM29" s="346"/>
      <c r="GN29" s="177" t="str">
        <f t="shared" si="138"/>
        <v xml:space="preserve"> </v>
      </c>
      <c r="GO29" s="54" t="str">
        <f t="shared" ca="1" si="58"/>
        <v xml:space="preserve"> </v>
      </c>
      <c r="GP29" s="346"/>
      <c r="GQ29" s="346"/>
      <c r="GR29" s="49" t="str">
        <f t="shared" si="59"/>
        <v xml:space="preserve"> </v>
      </c>
      <c r="GS29" s="374"/>
      <c r="GT29" s="369"/>
      <c r="GU29" s="54"/>
      <c r="GV29" s="366"/>
      <c r="GW29" s="366"/>
      <c r="GX29" s="177" t="str">
        <f t="shared" si="139"/>
        <v xml:space="preserve"> </v>
      </c>
      <c r="GY29" s="54" t="str">
        <f t="shared" ca="1" si="61"/>
        <v xml:space="preserve"> </v>
      </c>
      <c r="GZ29" s="366"/>
      <c r="HA29" s="366"/>
      <c r="HB29" s="54" t="str">
        <f t="shared" si="62"/>
        <v xml:space="preserve"> </v>
      </c>
      <c r="HC29" s="367"/>
      <c r="HD29" s="373"/>
      <c r="HE29" s="49"/>
      <c r="HF29" s="346"/>
      <c r="HG29" s="346"/>
      <c r="HH29" s="177" t="str">
        <f t="shared" si="140"/>
        <v xml:space="preserve"> </v>
      </c>
      <c r="HI29" s="54" t="str">
        <f t="shared" ca="1" si="64"/>
        <v xml:space="preserve"> </v>
      </c>
      <c r="HJ29" s="346"/>
      <c r="HK29" s="346"/>
      <c r="HL29" s="49" t="str">
        <f t="shared" si="65"/>
        <v xml:space="preserve"> </v>
      </c>
      <c r="HM29" s="374"/>
      <c r="HN29" s="369"/>
      <c r="HO29" s="54"/>
      <c r="HP29" s="366"/>
      <c r="HQ29" s="366"/>
      <c r="HR29" s="177" t="str">
        <f t="shared" si="141"/>
        <v xml:space="preserve"> </v>
      </c>
      <c r="HS29" s="54" t="str">
        <f t="shared" ca="1" si="67"/>
        <v xml:space="preserve"> </v>
      </c>
      <c r="HT29" s="366"/>
      <c r="HU29" s="366"/>
      <c r="HV29" s="54" t="str">
        <f t="shared" si="68"/>
        <v xml:space="preserve"> </v>
      </c>
      <c r="HW29" s="367"/>
      <c r="HX29" s="373"/>
      <c r="HY29" s="49"/>
      <c r="HZ29" s="346"/>
      <c r="IA29" s="177"/>
      <c r="IB29" s="177" t="str">
        <f t="shared" si="142"/>
        <v xml:space="preserve"> </v>
      </c>
      <c r="IC29" s="54" t="str">
        <f t="shared" ca="1" si="70"/>
        <v xml:space="preserve"> </v>
      </c>
      <c r="ID29" s="346"/>
      <c r="IE29" s="346"/>
      <c r="IF29" s="49" t="str">
        <f t="shared" si="71"/>
        <v xml:space="preserve"> </v>
      </c>
      <c r="IG29" s="374"/>
      <c r="IH29" s="369"/>
      <c r="II29" s="366"/>
      <c r="IJ29" s="366"/>
      <c r="IK29" s="366"/>
      <c r="IL29" s="177" t="str">
        <f t="shared" si="143"/>
        <v xml:space="preserve"> </v>
      </c>
      <c r="IM29" s="54" t="str">
        <f t="shared" ca="1" si="73"/>
        <v xml:space="preserve"> </v>
      </c>
      <c r="IN29" s="366"/>
      <c r="IO29" s="366"/>
      <c r="IP29" s="54" t="str">
        <f t="shared" si="74"/>
        <v xml:space="preserve"> </v>
      </c>
      <c r="IQ29" s="367"/>
      <c r="IR29" s="373"/>
      <c r="IS29" s="346"/>
      <c r="IT29" s="346"/>
      <c r="IU29" s="346"/>
      <c r="IV29" s="177" t="str">
        <f t="shared" si="144"/>
        <v xml:space="preserve"> </v>
      </c>
      <c r="IW29" s="54" t="str">
        <f t="shared" ca="1" si="76"/>
        <v xml:space="preserve"> </v>
      </c>
      <c r="IX29" s="346"/>
      <c r="IY29" s="346"/>
      <c r="IZ29" s="54" t="str">
        <f t="shared" si="77"/>
        <v xml:space="preserve"> </v>
      </c>
      <c r="JA29" s="374"/>
      <c r="JB29" s="369"/>
      <c r="JC29" s="366"/>
      <c r="JD29" s="366"/>
      <c r="JE29" s="366"/>
      <c r="JF29" s="177" t="str">
        <f t="shared" si="145"/>
        <v xml:space="preserve"> </v>
      </c>
      <c r="JG29" s="54" t="str">
        <f t="shared" ca="1" si="79"/>
        <v xml:space="preserve"> </v>
      </c>
      <c r="JH29" s="366"/>
      <c r="JI29" s="366"/>
      <c r="JJ29" s="54" t="str">
        <f t="shared" si="80"/>
        <v xml:space="preserve"> </v>
      </c>
      <c r="JK29" s="367"/>
      <c r="JL29" s="373"/>
      <c r="JM29" s="346"/>
      <c r="JN29" s="346"/>
      <c r="JO29" s="346"/>
      <c r="JP29" s="346" t="str">
        <f t="shared" si="81"/>
        <v xml:space="preserve"> </v>
      </c>
      <c r="JQ29" s="54" t="str">
        <f t="shared" ca="1" si="82"/>
        <v xml:space="preserve"> </v>
      </c>
      <c r="JR29" s="346"/>
      <c r="JS29" s="346"/>
      <c r="JT29" s="54" t="str">
        <f t="shared" si="83"/>
        <v xml:space="preserve"> </v>
      </c>
      <c r="JU29" s="374"/>
      <c r="JV29" s="369"/>
      <c r="JW29" s="366"/>
      <c r="JX29" s="366"/>
      <c r="JY29" s="366"/>
      <c r="JZ29" s="366" t="str">
        <f t="shared" si="84"/>
        <v xml:space="preserve"> </v>
      </c>
      <c r="KA29" s="54" t="str">
        <f t="shared" ca="1" si="85"/>
        <v xml:space="preserve"> </v>
      </c>
      <c r="KB29" s="366"/>
      <c r="KC29" s="366"/>
      <c r="KD29" s="54" t="str">
        <f t="shared" si="86"/>
        <v xml:space="preserve"> </v>
      </c>
      <c r="KE29" s="367"/>
      <c r="KF29" s="373"/>
      <c r="KG29" s="346"/>
      <c r="KH29" s="346"/>
      <c r="KI29" s="346"/>
      <c r="KJ29" s="346" t="str">
        <f t="shared" si="87"/>
        <v xml:space="preserve"> </v>
      </c>
      <c r="KK29" s="54" t="str">
        <f t="shared" ca="1" si="88"/>
        <v xml:space="preserve"> </v>
      </c>
      <c r="KL29" s="346"/>
      <c r="KM29" s="346"/>
      <c r="KN29" s="54" t="str">
        <f t="shared" si="89"/>
        <v xml:space="preserve"> </v>
      </c>
      <c r="KO29" s="374"/>
      <c r="KP29" s="369"/>
      <c r="KQ29" s="366"/>
      <c r="KR29" s="366"/>
      <c r="KS29" s="366"/>
      <c r="KT29" s="366" t="str">
        <f t="shared" si="90"/>
        <v xml:space="preserve"> </v>
      </c>
      <c r="KU29" s="54" t="str">
        <f t="shared" ca="1" si="91"/>
        <v xml:space="preserve"> </v>
      </c>
      <c r="KV29" s="366"/>
      <c r="KW29" s="366"/>
      <c r="KX29" s="54" t="str">
        <f t="shared" si="92"/>
        <v xml:space="preserve"> </v>
      </c>
      <c r="KY29" s="367"/>
      <c r="KZ29" s="373"/>
      <c r="LA29" s="346"/>
      <c r="LB29" s="346"/>
      <c r="LC29" s="346"/>
      <c r="LD29" s="346" t="str">
        <f t="shared" si="93"/>
        <v xml:space="preserve"> </v>
      </c>
      <c r="LE29" s="54" t="str">
        <f t="shared" ca="1" si="94"/>
        <v xml:space="preserve"> </v>
      </c>
      <c r="LF29" s="346"/>
      <c r="LG29" s="346"/>
      <c r="LH29" s="54" t="str">
        <f t="shared" si="95"/>
        <v xml:space="preserve"> </v>
      </c>
      <c r="LI29" s="374"/>
      <c r="LJ29" s="369"/>
      <c r="LK29" s="366"/>
      <c r="LL29" s="366"/>
      <c r="LM29" s="366"/>
      <c r="LN29" s="366" t="str">
        <f t="shared" si="96"/>
        <v xml:space="preserve"> </v>
      </c>
      <c r="LO29" s="54" t="str">
        <f t="shared" ca="1" si="97"/>
        <v xml:space="preserve"> </v>
      </c>
      <c r="LP29" s="366"/>
      <c r="LQ29" s="366"/>
      <c r="LR29" s="54" t="str">
        <f t="shared" si="98"/>
        <v xml:space="preserve"> </v>
      </c>
      <c r="LS29" s="367"/>
      <c r="LT29" s="373"/>
      <c r="LU29" s="346"/>
      <c r="LV29" s="346"/>
      <c r="LW29" s="346"/>
      <c r="LX29" s="346" t="str">
        <f t="shared" si="114"/>
        <v xml:space="preserve"> </v>
      </c>
      <c r="LY29" s="54" t="str">
        <f t="shared" ca="1" si="99"/>
        <v xml:space="preserve"> </v>
      </c>
      <c r="LZ29" s="346"/>
      <c r="MA29" s="346"/>
      <c r="MB29" s="54" t="str">
        <f t="shared" si="100"/>
        <v xml:space="preserve"> </v>
      </c>
      <c r="MC29" s="374"/>
      <c r="MD29" s="369"/>
      <c r="ME29" s="366"/>
      <c r="MF29" s="366"/>
      <c r="MG29" s="366"/>
      <c r="MH29" s="366"/>
      <c r="MI29" s="54" t="str">
        <f t="shared" ca="1" si="101"/>
        <v xml:space="preserve"> </v>
      </c>
      <c r="MJ29" s="366"/>
      <c r="MK29" s="366"/>
      <c r="ML29" s="54" t="str">
        <f t="shared" si="102"/>
        <v xml:space="preserve"> </v>
      </c>
      <c r="MM29" s="367"/>
      <c r="MN29" s="373"/>
      <c r="MO29" s="346"/>
      <c r="MP29" s="346"/>
      <c r="MQ29" s="346"/>
      <c r="MR29" s="346"/>
      <c r="MS29" s="54" t="str">
        <f t="shared" ca="1" si="103"/>
        <v xml:space="preserve"> </v>
      </c>
      <c r="MT29" s="346"/>
      <c r="MU29" s="346"/>
      <c r="MV29" s="54" t="str">
        <f t="shared" si="104"/>
        <v xml:space="preserve"> </v>
      </c>
      <c r="MW29" s="374"/>
      <c r="MX29" s="369"/>
      <c r="MY29" s="366"/>
      <c r="MZ29" s="366"/>
      <c r="NA29" s="366"/>
      <c r="NB29" s="366"/>
      <c r="NC29" s="54" t="str">
        <f t="shared" ca="1" si="105"/>
        <v xml:space="preserve"> </v>
      </c>
      <c r="ND29" s="366"/>
      <c r="NE29" s="366"/>
      <c r="NF29" s="54" t="str">
        <f t="shared" si="115"/>
        <v xml:space="preserve"> </v>
      </c>
      <c r="NG29" s="367"/>
      <c r="NH29" s="373"/>
      <c r="NI29" s="346"/>
      <c r="NJ29" s="346"/>
      <c r="NK29" s="346"/>
      <c r="NL29" s="346"/>
      <c r="NM29" s="54" t="str">
        <f t="shared" ca="1" si="107"/>
        <v xml:space="preserve"> </v>
      </c>
      <c r="NN29" s="346"/>
      <c r="NO29" s="346"/>
      <c r="NP29" s="54" t="str">
        <f t="shared" si="116"/>
        <v xml:space="preserve"> </v>
      </c>
      <c r="NQ29" s="374"/>
      <c r="NR29" s="369"/>
      <c r="NS29" s="366"/>
      <c r="NT29" s="366"/>
      <c r="NU29" s="366"/>
      <c r="NV29" s="366"/>
      <c r="NW29" s="54" t="str">
        <f t="shared" ca="1" si="109"/>
        <v xml:space="preserve"> </v>
      </c>
      <c r="NX29" s="366"/>
      <c r="NY29" s="366"/>
      <c r="NZ29" s="54" t="str">
        <f t="shared" si="117"/>
        <v xml:space="preserve"> </v>
      </c>
      <c r="OA29" s="367"/>
      <c r="OB29" s="373"/>
      <c r="OC29" s="346"/>
      <c r="OD29" s="346"/>
      <c r="OE29" s="346"/>
      <c r="OF29" s="346"/>
      <c r="OG29" s="54" t="str">
        <f t="shared" ca="1" si="111"/>
        <v xml:space="preserve"> </v>
      </c>
      <c r="OH29" s="346"/>
      <c r="OI29" s="346"/>
      <c r="OJ29" s="54" t="str">
        <f t="shared" si="118"/>
        <v xml:space="preserve"> </v>
      </c>
      <c r="OK29" s="374"/>
    </row>
    <row r="30" spans="1:401" s="44" customFormat="1" ht="22.2" customHeight="1" x14ac:dyDescent="0.3">
      <c r="A30" s="355" t="s">
        <v>200</v>
      </c>
      <c r="B30" s="356" t="s">
        <v>841</v>
      </c>
      <c r="C30" s="12">
        <v>53905</v>
      </c>
      <c r="D30" s="12" t="s">
        <v>1107</v>
      </c>
      <c r="E30" s="14">
        <v>45553</v>
      </c>
      <c r="F30" s="14">
        <f t="shared" si="119"/>
        <v>45918</v>
      </c>
      <c r="G30" s="37" t="str">
        <f t="shared" ca="1" si="113"/>
        <v>VIGENTE</v>
      </c>
      <c r="H30" s="37"/>
      <c r="I30" s="37"/>
      <c r="J30" s="37" t="str">
        <f t="shared" si="2"/>
        <v>C.C.</v>
      </c>
      <c r="K30" s="170"/>
      <c r="L30" s="356" t="s">
        <v>841</v>
      </c>
      <c r="M30" s="37">
        <v>53916</v>
      </c>
      <c r="N30" s="37" t="s">
        <v>1108</v>
      </c>
      <c r="O30" s="91">
        <v>45553</v>
      </c>
      <c r="P30" s="14">
        <f t="shared" si="3"/>
        <v>45918</v>
      </c>
      <c r="Q30" s="37" t="str">
        <f t="shared" ca="1" si="4"/>
        <v>VIGENTE</v>
      </c>
      <c r="R30" s="37"/>
      <c r="S30" s="37"/>
      <c r="T30" s="37" t="str">
        <f t="shared" si="5"/>
        <v>C.C.</v>
      </c>
      <c r="U30" s="170"/>
      <c r="V30" s="356"/>
      <c r="W30" s="357"/>
      <c r="X30" s="357"/>
      <c r="Y30" s="358"/>
      <c r="Z30" s="358" t="str">
        <f t="shared" si="121"/>
        <v xml:space="preserve"> </v>
      </c>
      <c r="AA30" s="37" t="str">
        <f t="shared" ca="1" si="7"/>
        <v xml:space="preserve"> </v>
      </c>
      <c r="AB30" s="357"/>
      <c r="AC30" s="357"/>
      <c r="AD30" s="37" t="str">
        <f t="shared" si="8"/>
        <v xml:space="preserve"> </v>
      </c>
      <c r="AE30" s="359"/>
      <c r="AF30" s="360"/>
      <c r="AG30" s="348"/>
      <c r="AH30" s="348"/>
      <c r="AI30" s="14"/>
      <c r="AJ30" s="14" t="str">
        <f t="shared" si="122"/>
        <v xml:space="preserve"> </v>
      </c>
      <c r="AK30" s="37" t="str">
        <f t="shared" ca="1" si="10"/>
        <v xml:space="preserve"> </v>
      </c>
      <c r="AL30" s="348"/>
      <c r="AM30" s="348"/>
      <c r="AN30" s="12" t="str">
        <f t="shared" si="11"/>
        <v xml:space="preserve"> </v>
      </c>
      <c r="AO30" s="361"/>
      <c r="AP30" s="356"/>
      <c r="AQ30" s="357"/>
      <c r="AR30" s="357"/>
      <c r="AS30" s="358"/>
      <c r="AT30" s="358" t="str">
        <f t="shared" si="123"/>
        <v xml:space="preserve"> </v>
      </c>
      <c r="AU30" s="37" t="str">
        <f t="shared" ca="1" si="13"/>
        <v xml:space="preserve"> </v>
      </c>
      <c r="AV30" s="357"/>
      <c r="AW30" s="357"/>
      <c r="AX30" s="37" t="str">
        <f t="shared" si="14"/>
        <v xml:space="preserve"> </v>
      </c>
      <c r="AY30" s="359"/>
      <c r="AZ30" s="360"/>
      <c r="BA30" s="348"/>
      <c r="BB30" s="348"/>
      <c r="BC30" s="362"/>
      <c r="BD30" s="362" t="str">
        <f t="shared" si="124"/>
        <v xml:space="preserve"> </v>
      </c>
      <c r="BE30" s="37" t="str">
        <f t="shared" ca="1" si="16"/>
        <v xml:space="preserve"> </v>
      </c>
      <c r="BF30" s="348"/>
      <c r="BG30" s="348"/>
      <c r="BH30" s="12" t="str">
        <f t="shared" si="17"/>
        <v xml:space="preserve"> </v>
      </c>
      <c r="BI30" s="361"/>
      <c r="BJ30" s="356"/>
      <c r="BK30" s="357"/>
      <c r="BL30" s="357"/>
      <c r="BM30" s="358"/>
      <c r="BN30" s="358" t="str">
        <f t="shared" si="125"/>
        <v xml:space="preserve"> </v>
      </c>
      <c r="BO30" s="37" t="str">
        <f t="shared" ca="1" si="19"/>
        <v xml:space="preserve"> </v>
      </c>
      <c r="BP30" s="357"/>
      <c r="BQ30" s="357"/>
      <c r="BR30" s="37" t="str">
        <f t="shared" si="20"/>
        <v xml:space="preserve"> </v>
      </c>
      <c r="BS30" s="359"/>
      <c r="BT30" s="360"/>
      <c r="BU30" s="348"/>
      <c r="BV30" s="348"/>
      <c r="BW30" s="362"/>
      <c r="BX30" s="362" t="str">
        <f t="shared" si="126"/>
        <v xml:space="preserve"> </v>
      </c>
      <c r="BY30" s="37" t="str">
        <f t="shared" ca="1" si="22"/>
        <v xml:space="preserve"> </v>
      </c>
      <c r="BZ30" s="348"/>
      <c r="CA30" s="348"/>
      <c r="CB30" s="12" t="str">
        <f t="shared" si="23"/>
        <v xml:space="preserve"> </v>
      </c>
      <c r="CC30" s="361"/>
      <c r="CD30" s="356"/>
      <c r="CE30" s="37"/>
      <c r="CF30" s="357"/>
      <c r="CG30" s="358"/>
      <c r="CH30" s="358" t="str">
        <f t="shared" si="127"/>
        <v xml:space="preserve"> </v>
      </c>
      <c r="CI30" s="37" t="str">
        <f t="shared" ca="1" si="25"/>
        <v xml:space="preserve"> </v>
      </c>
      <c r="CJ30" s="357"/>
      <c r="CK30" s="357"/>
      <c r="CL30" s="37" t="str">
        <f t="shared" si="26"/>
        <v xml:space="preserve"> </v>
      </c>
      <c r="CM30" s="359"/>
      <c r="CN30" s="360"/>
      <c r="CO30" s="12"/>
      <c r="CP30" s="348"/>
      <c r="CQ30" s="362"/>
      <c r="CR30" s="362" t="str">
        <f t="shared" si="128"/>
        <v xml:space="preserve"> </v>
      </c>
      <c r="CS30" s="37" t="str">
        <f t="shared" ca="1" si="28"/>
        <v xml:space="preserve"> </v>
      </c>
      <c r="CT30" s="348"/>
      <c r="CU30" s="348"/>
      <c r="CV30" s="12" t="str">
        <f t="shared" si="29"/>
        <v xml:space="preserve"> </v>
      </c>
      <c r="CW30" s="361"/>
      <c r="CX30" s="356"/>
      <c r="CY30" s="37"/>
      <c r="CZ30" s="357"/>
      <c r="DA30" s="358"/>
      <c r="DB30" s="358" t="str">
        <f t="shared" si="129"/>
        <v xml:space="preserve"> </v>
      </c>
      <c r="DC30" s="37" t="str">
        <f t="shared" ca="1" si="31"/>
        <v xml:space="preserve"> </v>
      </c>
      <c r="DD30" s="357"/>
      <c r="DE30" s="357"/>
      <c r="DF30" s="37" t="str">
        <f t="shared" si="32"/>
        <v xml:space="preserve"> </v>
      </c>
      <c r="DG30" s="359"/>
      <c r="DH30" s="360"/>
      <c r="DI30" s="12"/>
      <c r="DJ30" s="348"/>
      <c r="DK30" s="348"/>
      <c r="DL30" s="348" t="str">
        <f t="shared" si="130"/>
        <v xml:space="preserve"> </v>
      </c>
      <c r="DM30" s="37" t="str">
        <f t="shared" ca="1" si="34"/>
        <v xml:space="preserve"> </v>
      </c>
      <c r="DN30" s="348"/>
      <c r="DO30" s="348"/>
      <c r="DP30" s="12" t="str">
        <f t="shared" si="35"/>
        <v xml:space="preserve"> </v>
      </c>
      <c r="DQ30" s="361"/>
      <c r="DR30" s="356"/>
      <c r="DS30" s="37"/>
      <c r="DT30" s="357"/>
      <c r="DU30" s="357"/>
      <c r="DV30" s="14" t="str">
        <f t="shared" si="131"/>
        <v xml:space="preserve"> </v>
      </c>
      <c r="DW30" s="37" t="str">
        <f t="shared" ca="1" si="37"/>
        <v xml:space="preserve"> </v>
      </c>
      <c r="DX30" s="357"/>
      <c r="DY30" s="357"/>
      <c r="DZ30" s="37" t="str">
        <f t="shared" si="38"/>
        <v xml:space="preserve"> </v>
      </c>
      <c r="EA30" s="359"/>
      <c r="EB30" s="360"/>
      <c r="EC30" s="12"/>
      <c r="ED30" s="348"/>
      <c r="EE30" s="348"/>
      <c r="EF30" s="91" t="str">
        <f t="shared" si="132"/>
        <v xml:space="preserve"> </v>
      </c>
      <c r="EG30" s="37" t="str">
        <f t="shared" ca="1" si="40"/>
        <v xml:space="preserve"> </v>
      </c>
      <c r="EH30" s="348"/>
      <c r="EI30" s="348"/>
      <c r="EJ30" s="12" t="str">
        <f t="shared" si="41"/>
        <v xml:space="preserve"> </v>
      </c>
      <c r="EK30" s="361"/>
      <c r="EL30" s="356"/>
      <c r="EM30" s="37"/>
      <c r="EN30" s="357"/>
      <c r="EO30" s="357"/>
      <c r="EP30" s="91" t="str">
        <f t="shared" si="133"/>
        <v xml:space="preserve"> </v>
      </c>
      <c r="EQ30" s="37" t="str">
        <f t="shared" ca="1" si="43"/>
        <v xml:space="preserve"> </v>
      </c>
      <c r="ER30" s="357"/>
      <c r="ES30" s="357"/>
      <c r="ET30" s="37" t="str">
        <f t="shared" si="44"/>
        <v xml:space="preserve"> </v>
      </c>
      <c r="EU30" s="359"/>
      <c r="EV30" s="360"/>
      <c r="EW30" s="12"/>
      <c r="EX30" s="348"/>
      <c r="EY30" s="348"/>
      <c r="EZ30" s="91" t="str">
        <f t="shared" si="134"/>
        <v xml:space="preserve"> </v>
      </c>
      <c r="FA30" s="37" t="str">
        <f t="shared" ca="1" si="46"/>
        <v xml:space="preserve"> </v>
      </c>
      <c r="FB30" s="348"/>
      <c r="FC30" s="348"/>
      <c r="FD30" s="12" t="str">
        <f t="shared" si="47"/>
        <v xml:space="preserve"> </v>
      </c>
      <c r="FE30" s="361"/>
      <c r="FF30" s="356"/>
      <c r="FG30" s="37"/>
      <c r="FH30" s="357"/>
      <c r="FI30" s="357"/>
      <c r="FJ30" s="91" t="str">
        <f t="shared" si="135"/>
        <v xml:space="preserve"> </v>
      </c>
      <c r="FK30" s="37" t="str">
        <f t="shared" ca="1" si="49"/>
        <v xml:space="preserve"> </v>
      </c>
      <c r="FL30" s="357"/>
      <c r="FM30" s="357"/>
      <c r="FN30" s="37" t="str">
        <f t="shared" si="50"/>
        <v xml:space="preserve"> </v>
      </c>
      <c r="FO30" s="359"/>
      <c r="FP30" s="360"/>
      <c r="FQ30" s="12"/>
      <c r="FR30" s="348"/>
      <c r="FS30" s="348"/>
      <c r="FT30" s="91" t="str">
        <f t="shared" si="136"/>
        <v xml:space="preserve"> </v>
      </c>
      <c r="FU30" s="37" t="str">
        <f t="shared" ca="1" si="52"/>
        <v xml:space="preserve"> </v>
      </c>
      <c r="FV30" s="348"/>
      <c r="FW30" s="348"/>
      <c r="FX30" s="12" t="str">
        <f t="shared" si="53"/>
        <v xml:space="preserve"> </v>
      </c>
      <c r="FY30" s="361"/>
      <c r="FZ30" s="356"/>
      <c r="GA30" s="37"/>
      <c r="GB30" s="357"/>
      <c r="GC30" s="357"/>
      <c r="GD30" s="91" t="str">
        <f t="shared" si="137"/>
        <v xml:space="preserve"> </v>
      </c>
      <c r="GE30" s="37" t="str">
        <f t="shared" ca="1" si="55"/>
        <v xml:space="preserve"> </v>
      </c>
      <c r="GF30" s="357"/>
      <c r="GG30" s="357"/>
      <c r="GH30" s="37" t="str">
        <f t="shared" si="56"/>
        <v xml:space="preserve"> </v>
      </c>
      <c r="GI30" s="359"/>
      <c r="GJ30" s="363"/>
      <c r="GK30" s="12"/>
      <c r="GL30" s="348"/>
      <c r="GM30" s="348"/>
      <c r="GN30" s="91" t="str">
        <f t="shared" si="138"/>
        <v xml:space="preserve"> </v>
      </c>
      <c r="GO30" s="37" t="str">
        <f t="shared" ca="1" si="58"/>
        <v xml:space="preserve"> </v>
      </c>
      <c r="GP30" s="348"/>
      <c r="GQ30" s="348"/>
      <c r="GR30" s="12" t="str">
        <f t="shared" si="59"/>
        <v xml:space="preserve"> </v>
      </c>
      <c r="GS30" s="364"/>
      <c r="GT30" s="356"/>
      <c r="GU30" s="37"/>
      <c r="GV30" s="357"/>
      <c r="GW30" s="357"/>
      <c r="GX30" s="91" t="str">
        <f t="shared" si="139"/>
        <v xml:space="preserve"> </v>
      </c>
      <c r="GY30" s="37" t="str">
        <f t="shared" ca="1" si="61"/>
        <v xml:space="preserve"> </v>
      </c>
      <c r="GZ30" s="357"/>
      <c r="HA30" s="357"/>
      <c r="HB30" s="37" t="str">
        <f t="shared" si="62"/>
        <v xml:space="preserve"> </v>
      </c>
      <c r="HC30" s="359"/>
      <c r="HD30" s="363"/>
      <c r="HE30" s="12"/>
      <c r="HF30" s="348"/>
      <c r="HG30" s="348"/>
      <c r="HH30" s="91" t="str">
        <f t="shared" si="140"/>
        <v xml:space="preserve"> </v>
      </c>
      <c r="HI30" s="37" t="str">
        <f t="shared" ca="1" si="64"/>
        <v xml:space="preserve"> </v>
      </c>
      <c r="HJ30" s="348"/>
      <c r="HK30" s="348"/>
      <c r="HL30" s="12" t="str">
        <f t="shared" si="65"/>
        <v xml:space="preserve"> </v>
      </c>
      <c r="HM30" s="364"/>
      <c r="HN30" s="356"/>
      <c r="HO30" s="37"/>
      <c r="HP30" s="357"/>
      <c r="HQ30" s="357"/>
      <c r="HR30" s="91" t="str">
        <f t="shared" si="141"/>
        <v xml:space="preserve"> </v>
      </c>
      <c r="HS30" s="37" t="str">
        <f t="shared" ca="1" si="67"/>
        <v xml:space="preserve"> </v>
      </c>
      <c r="HT30" s="357"/>
      <c r="HU30" s="357"/>
      <c r="HV30" s="37" t="str">
        <f t="shared" si="68"/>
        <v xml:space="preserve"> </v>
      </c>
      <c r="HW30" s="359"/>
      <c r="HX30" s="363"/>
      <c r="HY30" s="12"/>
      <c r="HZ30" s="348"/>
      <c r="IA30" s="348"/>
      <c r="IB30" s="91" t="str">
        <f t="shared" si="142"/>
        <v xml:space="preserve"> </v>
      </c>
      <c r="IC30" s="37" t="str">
        <f t="shared" ca="1" si="70"/>
        <v xml:space="preserve"> </v>
      </c>
      <c r="ID30" s="348"/>
      <c r="IE30" s="348"/>
      <c r="IF30" s="12" t="str">
        <f t="shared" si="71"/>
        <v xml:space="preserve"> </v>
      </c>
      <c r="IG30" s="364"/>
      <c r="IH30" s="356"/>
      <c r="II30" s="357"/>
      <c r="IJ30" s="357"/>
      <c r="IK30" s="357"/>
      <c r="IL30" s="91" t="str">
        <f t="shared" si="143"/>
        <v xml:space="preserve"> </v>
      </c>
      <c r="IM30" s="37" t="str">
        <f t="shared" ca="1" si="73"/>
        <v xml:space="preserve"> </v>
      </c>
      <c r="IN30" s="357"/>
      <c r="IO30" s="357"/>
      <c r="IP30" s="37" t="str">
        <f t="shared" si="74"/>
        <v xml:space="preserve"> </v>
      </c>
      <c r="IQ30" s="359"/>
      <c r="IR30" s="363"/>
      <c r="IS30" s="348"/>
      <c r="IT30" s="348"/>
      <c r="IU30" s="348"/>
      <c r="IV30" s="91" t="str">
        <f t="shared" si="144"/>
        <v xml:space="preserve"> </v>
      </c>
      <c r="IW30" s="37" t="str">
        <f t="shared" ca="1" si="76"/>
        <v xml:space="preserve"> </v>
      </c>
      <c r="IX30" s="348"/>
      <c r="IY30" s="348"/>
      <c r="IZ30" s="37" t="str">
        <f t="shared" si="77"/>
        <v xml:space="preserve"> </v>
      </c>
      <c r="JA30" s="364"/>
      <c r="JB30" s="356"/>
      <c r="JC30" s="357"/>
      <c r="JD30" s="357"/>
      <c r="JE30" s="357"/>
      <c r="JF30" s="91" t="str">
        <f t="shared" si="145"/>
        <v xml:space="preserve"> </v>
      </c>
      <c r="JG30" s="37" t="str">
        <f t="shared" ca="1" si="79"/>
        <v xml:space="preserve"> </v>
      </c>
      <c r="JH30" s="357"/>
      <c r="JI30" s="357"/>
      <c r="JJ30" s="37" t="str">
        <f t="shared" si="80"/>
        <v xml:space="preserve"> </v>
      </c>
      <c r="JK30" s="359"/>
      <c r="JL30" s="363"/>
      <c r="JM30" s="348"/>
      <c r="JN30" s="348"/>
      <c r="JO30" s="348"/>
      <c r="JP30" s="348" t="str">
        <f t="shared" si="81"/>
        <v xml:space="preserve"> </v>
      </c>
      <c r="JQ30" s="37" t="str">
        <f t="shared" ca="1" si="82"/>
        <v xml:space="preserve"> </v>
      </c>
      <c r="JR30" s="348"/>
      <c r="JS30" s="348"/>
      <c r="JT30" s="37" t="str">
        <f t="shared" si="83"/>
        <v xml:space="preserve"> </v>
      </c>
      <c r="JU30" s="364"/>
      <c r="JV30" s="356"/>
      <c r="JW30" s="357"/>
      <c r="JX30" s="357"/>
      <c r="JY30" s="357"/>
      <c r="JZ30" s="357" t="str">
        <f t="shared" si="84"/>
        <v xml:space="preserve"> </v>
      </c>
      <c r="KA30" s="37" t="str">
        <f t="shared" ca="1" si="85"/>
        <v xml:space="preserve"> </v>
      </c>
      <c r="KB30" s="357"/>
      <c r="KC30" s="357"/>
      <c r="KD30" s="37" t="str">
        <f t="shared" si="86"/>
        <v xml:space="preserve"> </v>
      </c>
      <c r="KE30" s="359"/>
      <c r="KF30" s="363"/>
      <c r="KG30" s="348"/>
      <c r="KH30" s="348"/>
      <c r="KI30" s="348"/>
      <c r="KJ30" s="348" t="str">
        <f t="shared" si="87"/>
        <v xml:space="preserve"> </v>
      </c>
      <c r="KK30" s="37" t="str">
        <f t="shared" ca="1" si="88"/>
        <v xml:space="preserve"> </v>
      </c>
      <c r="KL30" s="348"/>
      <c r="KM30" s="348"/>
      <c r="KN30" s="37" t="str">
        <f t="shared" si="89"/>
        <v xml:space="preserve"> </v>
      </c>
      <c r="KO30" s="364"/>
      <c r="KP30" s="356"/>
      <c r="KQ30" s="357"/>
      <c r="KR30" s="357"/>
      <c r="KS30" s="357"/>
      <c r="KT30" s="357" t="str">
        <f t="shared" si="90"/>
        <v xml:space="preserve"> </v>
      </c>
      <c r="KU30" s="37" t="str">
        <f t="shared" ca="1" si="91"/>
        <v xml:space="preserve"> </v>
      </c>
      <c r="KV30" s="357"/>
      <c r="KW30" s="357"/>
      <c r="KX30" s="37" t="str">
        <f t="shared" si="92"/>
        <v xml:space="preserve"> </v>
      </c>
      <c r="KY30" s="359"/>
      <c r="KZ30" s="363"/>
      <c r="LA30" s="348"/>
      <c r="LB30" s="348"/>
      <c r="LC30" s="348"/>
      <c r="LD30" s="348" t="str">
        <f t="shared" si="93"/>
        <v xml:space="preserve"> </v>
      </c>
      <c r="LE30" s="37" t="str">
        <f t="shared" ca="1" si="94"/>
        <v xml:space="preserve"> </v>
      </c>
      <c r="LF30" s="348"/>
      <c r="LG30" s="348"/>
      <c r="LH30" s="37" t="str">
        <f t="shared" si="95"/>
        <v xml:space="preserve"> </v>
      </c>
      <c r="LI30" s="364"/>
      <c r="LJ30" s="356"/>
      <c r="LK30" s="357"/>
      <c r="LL30" s="357"/>
      <c r="LM30" s="357"/>
      <c r="LN30" s="357" t="str">
        <f t="shared" si="96"/>
        <v xml:space="preserve"> </v>
      </c>
      <c r="LO30" s="37" t="str">
        <f t="shared" ca="1" si="97"/>
        <v xml:space="preserve"> </v>
      </c>
      <c r="LP30" s="357"/>
      <c r="LQ30" s="357"/>
      <c r="LR30" s="37" t="str">
        <f t="shared" si="98"/>
        <v xml:space="preserve"> </v>
      </c>
      <c r="LS30" s="359"/>
      <c r="LT30" s="363"/>
      <c r="LU30" s="348"/>
      <c r="LV30" s="348"/>
      <c r="LW30" s="348"/>
      <c r="LX30" s="348" t="str">
        <f t="shared" si="114"/>
        <v xml:space="preserve"> </v>
      </c>
      <c r="LY30" s="37" t="str">
        <f t="shared" ca="1" si="99"/>
        <v xml:space="preserve"> </v>
      </c>
      <c r="LZ30" s="348"/>
      <c r="MA30" s="348"/>
      <c r="MB30" s="37" t="str">
        <f t="shared" si="100"/>
        <v xml:space="preserve"> </v>
      </c>
      <c r="MC30" s="364"/>
      <c r="MD30" s="356"/>
      <c r="ME30" s="357"/>
      <c r="MF30" s="357"/>
      <c r="MG30" s="357"/>
      <c r="MH30" s="357"/>
      <c r="MI30" s="37" t="str">
        <f t="shared" ca="1" si="101"/>
        <v xml:space="preserve"> </v>
      </c>
      <c r="MJ30" s="357"/>
      <c r="MK30" s="357"/>
      <c r="ML30" s="37" t="str">
        <f t="shared" si="102"/>
        <v xml:space="preserve"> </v>
      </c>
      <c r="MM30" s="359"/>
      <c r="MN30" s="363"/>
      <c r="MO30" s="348"/>
      <c r="MP30" s="348"/>
      <c r="MQ30" s="348"/>
      <c r="MR30" s="348"/>
      <c r="MS30" s="37" t="str">
        <f t="shared" ca="1" si="103"/>
        <v xml:space="preserve"> </v>
      </c>
      <c r="MT30" s="348"/>
      <c r="MU30" s="348"/>
      <c r="MV30" s="37" t="str">
        <f t="shared" si="104"/>
        <v xml:space="preserve"> </v>
      </c>
      <c r="MW30" s="364"/>
      <c r="MX30" s="356"/>
      <c r="MY30" s="357"/>
      <c r="MZ30" s="357"/>
      <c r="NA30" s="357"/>
      <c r="NB30" s="357"/>
      <c r="NC30" s="37" t="str">
        <f t="shared" ca="1" si="105"/>
        <v xml:space="preserve"> </v>
      </c>
      <c r="ND30" s="357"/>
      <c r="NE30" s="357"/>
      <c r="NF30" s="37" t="str">
        <f t="shared" si="115"/>
        <v xml:space="preserve"> </v>
      </c>
      <c r="NG30" s="359"/>
      <c r="NH30" s="363"/>
      <c r="NI30" s="348"/>
      <c r="NJ30" s="348"/>
      <c r="NK30" s="348"/>
      <c r="NL30" s="348"/>
      <c r="NM30" s="37" t="str">
        <f t="shared" ca="1" si="107"/>
        <v xml:space="preserve"> </v>
      </c>
      <c r="NN30" s="348"/>
      <c r="NO30" s="348"/>
      <c r="NP30" s="37" t="str">
        <f t="shared" si="116"/>
        <v xml:space="preserve"> </v>
      </c>
      <c r="NQ30" s="364"/>
      <c r="NR30" s="356"/>
      <c r="NS30" s="357"/>
      <c r="NT30" s="357"/>
      <c r="NU30" s="357"/>
      <c r="NV30" s="357"/>
      <c r="NW30" s="37" t="str">
        <f t="shared" ca="1" si="109"/>
        <v xml:space="preserve"> </v>
      </c>
      <c r="NX30" s="357"/>
      <c r="NY30" s="357"/>
      <c r="NZ30" s="37" t="str">
        <f t="shared" si="117"/>
        <v xml:space="preserve"> </v>
      </c>
      <c r="OA30" s="359"/>
      <c r="OB30" s="363"/>
      <c r="OC30" s="348"/>
      <c r="OD30" s="348"/>
      <c r="OE30" s="348"/>
      <c r="OF30" s="348"/>
      <c r="OG30" s="37" t="str">
        <f t="shared" ca="1" si="111"/>
        <v xml:space="preserve"> </v>
      </c>
      <c r="OH30" s="348"/>
      <c r="OI30" s="348"/>
      <c r="OJ30" s="37" t="str">
        <f t="shared" si="118"/>
        <v xml:space="preserve"> </v>
      </c>
      <c r="OK30" s="364"/>
    </row>
    <row r="31" spans="1:401" s="44" customFormat="1" ht="22.2" customHeight="1" x14ac:dyDescent="0.3">
      <c r="A31" s="365" t="s">
        <v>212</v>
      </c>
      <c r="B31" s="369" t="s">
        <v>866</v>
      </c>
      <c r="C31" s="54">
        <v>20131</v>
      </c>
      <c r="D31" s="366"/>
      <c r="E31" s="177">
        <v>43852</v>
      </c>
      <c r="F31" s="177">
        <f t="shared" si="119"/>
        <v>44217</v>
      </c>
      <c r="G31" s="54" t="str">
        <f t="shared" ca="1" si="113"/>
        <v>VENCIDO</v>
      </c>
      <c r="H31" s="54"/>
      <c r="I31" s="54"/>
      <c r="J31" s="54" t="str">
        <f t="shared" si="2"/>
        <v>D.P.</v>
      </c>
      <c r="K31" s="171"/>
      <c r="L31" s="176" t="s">
        <v>1109</v>
      </c>
      <c r="M31" s="54">
        <v>5175</v>
      </c>
      <c r="N31" s="54"/>
      <c r="O31" s="177">
        <v>43894</v>
      </c>
      <c r="P31" s="177">
        <f t="shared" si="3"/>
        <v>44259</v>
      </c>
      <c r="Q31" s="54" t="str">
        <f t="shared" ca="1" si="4"/>
        <v>VENCIDO</v>
      </c>
      <c r="R31" s="54"/>
      <c r="S31" s="54"/>
      <c r="T31" s="54" t="str">
        <f t="shared" si="5"/>
        <v>G.M.</v>
      </c>
      <c r="U31" s="171"/>
      <c r="V31" s="369" t="s">
        <v>841</v>
      </c>
      <c r="W31" s="54">
        <v>53985</v>
      </c>
      <c r="X31" s="366" t="s">
        <v>1110</v>
      </c>
      <c r="Y31" s="177">
        <v>44805</v>
      </c>
      <c r="Z31" s="177">
        <f t="shared" si="121"/>
        <v>45170</v>
      </c>
      <c r="AA31" s="54" t="str">
        <f t="shared" ca="1" si="7"/>
        <v>VENCIDO</v>
      </c>
      <c r="AB31" s="366"/>
      <c r="AC31" s="366"/>
      <c r="AD31" s="54" t="str">
        <f t="shared" si="8"/>
        <v>C.C.</v>
      </c>
      <c r="AE31" s="367"/>
      <c r="AF31" s="369" t="s">
        <v>841</v>
      </c>
      <c r="AG31" s="54">
        <v>53904</v>
      </c>
      <c r="AH31" s="366" t="s">
        <v>1111</v>
      </c>
      <c r="AI31" s="177">
        <v>44616</v>
      </c>
      <c r="AJ31" s="177">
        <f t="shared" si="122"/>
        <v>44981</v>
      </c>
      <c r="AK31" s="54" t="str">
        <f t="shared" ca="1" si="10"/>
        <v>VENCIDO</v>
      </c>
      <c r="AL31" s="346"/>
      <c r="AM31" s="346"/>
      <c r="AN31" s="49" t="str">
        <f t="shared" si="11"/>
        <v>C.C.</v>
      </c>
      <c r="AO31" s="368"/>
      <c r="AP31" s="176" t="s">
        <v>838</v>
      </c>
      <c r="AQ31" s="54" t="s">
        <v>1112</v>
      </c>
      <c r="AR31" s="366" t="s">
        <v>1113</v>
      </c>
      <c r="AS31" s="370">
        <v>45127</v>
      </c>
      <c r="AT31" s="177">
        <f t="shared" si="123"/>
        <v>45492</v>
      </c>
      <c r="AU31" s="54" t="str">
        <f t="shared" ref="AU31" ca="1" si="146">IF(AS31=0," ",IF(AT31-TODAY()&gt;60,"VIGENTE",IF(AT31-TODAY()&lt;=0,"VENCIDO",IF(AT31-TODAY()&lt;=60,"POR VENCER"))))</f>
        <v>VENCIDO</v>
      </c>
      <c r="AV31" s="366"/>
      <c r="AW31" s="366"/>
      <c r="AX31" s="54" t="str">
        <f t="shared" si="14"/>
        <v>C.I.</v>
      </c>
      <c r="AY31" s="367"/>
      <c r="AZ31" s="371"/>
      <c r="BA31" s="346"/>
      <c r="BB31" s="346"/>
      <c r="BC31" s="372"/>
      <c r="BD31" s="372" t="str">
        <f t="shared" si="124"/>
        <v xml:space="preserve"> </v>
      </c>
      <c r="BE31" s="54" t="str">
        <f t="shared" ca="1" si="16"/>
        <v xml:space="preserve"> </v>
      </c>
      <c r="BF31" s="346"/>
      <c r="BG31" s="346"/>
      <c r="BH31" s="49" t="str">
        <f t="shared" si="17"/>
        <v xml:space="preserve"> </v>
      </c>
      <c r="BI31" s="368"/>
      <c r="BJ31" s="369"/>
      <c r="BK31" s="366"/>
      <c r="BL31" s="366"/>
      <c r="BM31" s="370"/>
      <c r="BN31" s="370" t="str">
        <f t="shared" si="125"/>
        <v xml:space="preserve"> </v>
      </c>
      <c r="BO31" s="54" t="str">
        <f t="shared" ca="1" si="19"/>
        <v xml:space="preserve"> </v>
      </c>
      <c r="BP31" s="366"/>
      <c r="BQ31" s="366"/>
      <c r="BR31" s="54" t="str">
        <f t="shared" si="20"/>
        <v xml:space="preserve"> </v>
      </c>
      <c r="BS31" s="367"/>
      <c r="BT31" s="371"/>
      <c r="BU31" s="346"/>
      <c r="BV31" s="346"/>
      <c r="BW31" s="372"/>
      <c r="BX31" s="372" t="str">
        <f t="shared" si="126"/>
        <v xml:space="preserve"> </v>
      </c>
      <c r="BY31" s="54" t="str">
        <f t="shared" ca="1" si="22"/>
        <v xml:space="preserve"> </v>
      </c>
      <c r="BZ31" s="346"/>
      <c r="CA31" s="346"/>
      <c r="CB31" s="49" t="str">
        <f t="shared" si="23"/>
        <v xml:space="preserve"> </v>
      </c>
      <c r="CC31" s="368"/>
      <c r="CD31" s="369"/>
      <c r="CE31" s="54"/>
      <c r="CF31" s="366"/>
      <c r="CG31" s="370"/>
      <c r="CH31" s="370" t="str">
        <f t="shared" si="127"/>
        <v xml:space="preserve"> </v>
      </c>
      <c r="CI31" s="54" t="str">
        <f t="shared" ca="1" si="25"/>
        <v xml:space="preserve"> </v>
      </c>
      <c r="CJ31" s="366"/>
      <c r="CK31" s="366"/>
      <c r="CL31" s="54" t="str">
        <f t="shared" si="26"/>
        <v xml:space="preserve"> </v>
      </c>
      <c r="CM31" s="367"/>
      <c r="CN31" s="371"/>
      <c r="CO31" s="49"/>
      <c r="CP31" s="346"/>
      <c r="CQ31" s="372"/>
      <c r="CR31" s="372" t="str">
        <f t="shared" si="128"/>
        <v xml:space="preserve"> </v>
      </c>
      <c r="CS31" s="54" t="str">
        <f t="shared" ca="1" si="28"/>
        <v xml:space="preserve"> </v>
      </c>
      <c r="CT31" s="346"/>
      <c r="CU31" s="346"/>
      <c r="CV31" s="49" t="str">
        <f t="shared" si="29"/>
        <v xml:space="preserve"> </v>
      </c>
      <c r="CW31" s="368"/>
      <c r="CX31" s="369"/>
      <c r="CY31" s="54"/>
      <c r="CZ31" s="366"/>
      <c r="DA31" s="370"/>
      <c r="DB31" s="370" t="str">
        <f t="shared" si="129"/>
        <v xml:space="preserve"> </v>
      </c>
      <c r="DC31" s="54" t="str">
        <f t="shared" ca="1" si="31"/>
        <v xml:space="preserve"> </v>
      </c>
      <c r="DD31" s="366"/>
      <c r="DE31" s="366"/>
      <c r="DF31" s="54" t="str">
        <f t="shared" si="32"/>
        <v xml:space="preserve"> </v>
      </c>
      <c r="DG31" s="367"/>
      <c r="DH31" s="371"/>
      <c r="DI31" s="49"/>
      <c r="DJ31" s="346"/>
      <c r="DK31" s="346"/>
      <c r="DL31" s="346" t="str">
        <f t="shared" si="130"/>
        <v xml:space="preserve"> </v>
      </c>
      <c r="DM31" s="54" t="str">
        <f t="shared" ca="1" si="34"/>
        <v xml:space="preserve"> </v>
      </c>
      <c r="DN31" s="346"/>
      <c r="DO31" s="346"/>
      <c r="DP31" s="49" t="str">
        <f t="shared" si="35"/>
        <v xml:space="preserve"> </v>
      </c>
      <c r="DQ31" s="368"/>
      <c r="DR31" s="369"/>
      <c r="DS31" s="54"/>
      <c r="DT31" s="366"/>
      <c r="DU31" s="366"/>
      <c r="DV31" s="177" t="str">
        <f t="shared" si="131"/>
        <v xml:space="preserve"> </v>
      </c>
      <c r="DW31" s="54" t="str">
        <f t="shared" ca="1" si="37"/>
        <v xml:space="preserve"> </v>
      </c>
      <c r="DX31" s="366"/>
      <c r="DY31" s="366"/>
      <c r="DZ31" s="54" t="str">
        <f t="shared" si="38"/>
        <v xml:space="preserve"> </v>
      </c>
      <c r="EA31" s="367"/>
      <c r="EB31" s="371"/>
      <c r="EC31" s="49"/>
      <c r="ED31" s="346"/>
      <c r="EE31" s="346"/>
      <c r="EF31" s="177" t="str">
        <f t="shared" si="132"/>
        <v xml:space="preserve"> </v>
      </c>
      <c r="EG31" s="54" t="str">
        <f t="shared" ca="1" si="40"/>
        <v xml:space="preserve"> </v>
      </c>
      <c r="EH31" s="346"/>
      <c r="EI31" s="346"/>
      <c r="EJ31" s="49" t="str">
        <f t="shared" si="41"/>
        <v xml:space="preserve"> </v>
      </c>
      <c r="EK31" s="368"/>
      <c r="EL31" s="369"/>
      <c r="EM31" s="54"/>
      <c r="EN31" s="366"/>
      <c r="EO31" s="366"/>
      <c r="EP31" s="177" t="str">
        <f t="shared" si="133"/>
        <v xml:space="preserve"> </v>
      </c>
      <c r="EQ31" s="54" t="str">
        <f t="shared" ca="1" si="43"/>
        <v xml:space="preserve"> </v>
      </c>
      <c r="ER31" s="366"/>
      <c r="ES31" s="366"/>
      <c r="ET31" s="54" t="str">
        <f t="shared" si="44"/>
        <v xml:space="preserve"> </v>
      </c>
      <c r="EU31" s="367"/>
      <c r="EV31" s="371"/>
      <c r="EW31" s="49"/>
      <c r="EX31" s="346"/>
      <c r="EY31" s="346"/>
      <c r="EZ31" s="177" t="str">
        <f t="shared" si="134"/>
        <v xml:space="preserve"> </v>
      </c>
      <c r="FA31" s="54" t="str">
        <f t="shared" ca="1" si="46"/>
        <v xml:space="preserve"> </v>
      </c>
      <c r="FB31" s="346"/>
      <c r="FC31" s="346"/>
      <c r="FD31" s="49" t="str">
        <f t="shared" si="47"/>
        <v xml:space="preserve"> </v>
      </c>
      <c r="FE31" s="368"/>
      <c r="FF31" s="369"/>
      <c r="FG31" s="54"/>
      <c r="FH31" s="366"/>
      <c r="FI31" s="366"/>
      <c r="FJ31" s="177" t="str">
        <f t="shared" si="135"/>
        <v xml:space="preserve"> </v>
      </c>
      <c r="FK31" s="54" t="str">
        <f t="shared" ca="1" si="49"/>
        <v xml:space="preserve"> </v>
      </c>
      <c r="FL31" s="366"/>
      <c r="FM31" s="366"/>
      <c r="FN31" s="54" t="str">
        <f t="shared" si="50"/>
        <v xml:space="preserve"> </v>
      </c>
      <c r="FO31" s="367"/>
      <c r="FP31" s="371"/>
      <c r="FQ31" s="49"/>
      <c r="FR31" s="346"/>
      <c r="FS31" s="346"/>
      <c r="FT31" s="177" t="str">
        <f t="shared" si="136"/>
        <v xml:space="preserve"> </v>
      </c>
      <c r="FU31" s="54" t="str">
        <f t="shared" ca="1" si="52"/>
        <v xml:space="preserve"> </v>
      </c>
      <c r="FV31" s="346"/>
      <c r="FW31" s="346"/>
      <c r="FX31" s="49" t="str">
        <f t="shared" si="53"/>
        <v xml:space="preserve"> </v>
      </c>
      <c r="FY31" s="368"/>
      <c r="FZ31" s="369"/>
      <c r="GA31" s="54"/>
      <c r="GB31" s="366"/>
      <c r="GC31" s="366"/>
      <c r="GD31" s="177" t="str">
        <f t="shared" si="137"/>
        <v xml:space="preserve"> </v>
      </c>
      <c r="GE31" s="54" t="str">
        <f t="shared" ca="1" si="55"/>
        <v xml:space="preserve"> </v>
      </c>
      <c r="GF31" s="366"/>
      <c r="GG31" s="366"/>
      <c r="GH31" s="54" t="str">
        <f t="shared" si="56"/>
        <v xml:space="preserve"> </v>
      </c>
      <c r="GI31" s="367"/>
      <c r="GJ31" s="373"/>
      <c r="GK31" s="49"/>
      <c r="GL31" s="346"/>
      <c r="GM31" s="346"/>
      <c r="GN31" s="177" t="str">
        <f t="shared" si="138"/>
        <v xml:space="preserve"> </v>
      </c>
      <c r="GO31" s="54" t="str">
        <f t="shared" ca="1" si="58"/>
        <v xml:space="preserve"> </v>
      </c>
      <c r="GP31" s="346"/>
      <c r="GQ31" s="346"/>
      <c r="GR31" s="49" t="str">
        <f t="shared" si="59"/>
        <v xml:space="preserve"> </v>
      </c>
      <c r="GS31" s="374"/>
      <c r="GT31" s="369"/>
      <c r="GU31" s="54"/>
      <c r="GV31" s="366"/>
      <c r="GW31" s="366"/>
      <c r="GX31" s="177" t="str">
        <f t="shared" si="139"/>
        <v xml:space="preserve"> </v>
      </c>
      <c r="GY31" s="54" t="str">
        <f t="shared" ca="1" si="61"/>
        <v xml:space="preserve"> </v>
      </c>
      <c r="GZ31" s="366"/>
      <c r="HA31" s="366"/>
      <c r="HB31" s="54" t="str">
        <f t="shared" si="62"/>
        <v xml:space="preserve"> </v>
      </c>
      <c r="HC31" s="367"/>
      <c r="HD31" s="373"/>
      <c r="HE31" s="49"/>
      <c r="HF31" s="346"/>
      <c r="HG31" s="346"/>
      <c r="HH31" s="177" t="str">
        <f t="shared" si="140"/>
        <v xml:space="preserve"> </v>
      </c>
      <c r="HI31" s="54" t="str">
        <f t="shared" ca="1" si="64"/>
        <v xml:space="preserve"> </v>
      </c>
      <c r="HJ31" s="346"/>
      <c r="HK31" s="346"/>
      <c r="HL31" s="49" t="str">
        <f t="shared" si="65"/>
        <v xml:space="preserve"> </v>
      </c>
      <c r="HM31" s="374"/>
      <c r="HN31" s="369"/>
      <c r="HO31" s="54"/>
      <c r="HP31" s="366"/>
      <c r="HQ31" s="366"/>
      <c r="HR31" s="177" t="str">
        <f t="shared" si="141"/>
        <v xml:space="preserve"> </v>
      </c>
      <c r="HS31" s="54" t="str">
        <f t="shared" ca="1" si="67"/>
        <v xml:space="preserve"> </v>
      </c>
      <c r="HT31" s="366"/>
      <c r="HU31" s="366"/>
      <c r="HV31" s="54" t="str">
        <f t="shared" si="68"/>
        <v xml:space="preserve"> </v>
      </c>
      <c r="HW31" s="367"/>
      <c r="HX31" s="373"/>
      <c r="HY31" s="49"/>
      <c r="HZ31" s="346"/>
      <c r="IA31" s="177"/>
      <c r="IB31" s="177" t="str">
        <f t="shared" si="142"/>
        <v xml:space="preserve"> </v>
      </c>
      <c r="IC31" s="54" t="str">
        <f t="shared" ca="1" si="70"/>
        <v xml:space="preserve"> </v>
      </c>
      <c r="ID31" s="346"/>
      <c r="IE31" s="346"/>
      <c r="IF31" s="49" t="str">
        <f t="shared" si="71"/>
        <v xml:space="preserve"> </v>
      </c>
      <c r="IG31" s="374"/>
      <c r="IH31" s="369"/>
      <c r="II31" s="366"/>
      <c r="IJ31" s="366"/>
      <c r="IK31" s="366"/>
      <c r="IL31" s="177" t="str">
        <f t="shared" si="143"/>
        <v xml:space="preserve"> </v>
      </c>
      <c r="IM31" s="54" t="str">
        <f t="shared" ca="1" si="73"/>
        <v xml:space="preserve"> </v>
      </c>
      <c r="IN31" s="366"/>
      <c r="IO31" s="366"/>
      <c r="IP31" s="54" t="str">
        <f t="shared" si="74"/>
        <v xml:space="preserve"> </v>
      </c>
      <c r="IQ31" s="367"/>
      <c r="IR31" s="373"/>
      <c r="IS31" s="346"/>
      <c r="IT31" s="346"/>
      <c r="IU31" s="346"/>
      <c r="IV31" s="177" t="str">
        <f t="shared" si="144"/>
        <v xml:space="preserve"> </v>
      </c>
      <c r="IW31" s="54" t="str">
        <f t="shared" ca="1" si="76"/>
        <v xml:space="preserve"> </v>
      </c>
      <c r="IX31" s="346"/>
      <c r="IY31" s="346"/>
      <c r="IZ31" s="54" t="str">
        <f t="shared" si="77"/>
        <v xml:space="preserve"> </v>
      </c>
      <c r="JA31" s="374"/>
      <c r="JB31" s="369"/>
      <c r="JC31" s="366"/>
      <c r="JD31" s="366"/>
      <c r="JE31" s="366"/>
      <c r="JF31" s="177" t="str">
        <f t="shared" si="145"/>
        <v xml:space="preserve"> </v>
      </c>
      <c r="JG31" s="54" t="str">
        <f t="shared" ca="1" si="79"/>
        <v xml:space="preserve"> </v>
      </c>
      <c r="JH31" s="366"/>
      <c r="JI31" s="366"/>
      <c r="JJ31" s="54" t="str">
        <f t="shared" si="80"/>
        <v xml:space="preserve"> </v>
      </c>
      <c r="JK31" s="367"/>
      <c r="JL31" s="373"/>
      <c r="JM31" s="346"/>
      <c r="JN31" s="346"/>
      <c r="JO31" s="346"/>
      <c r="JP31" s="346" t="str">
        <f t="shared" si="81"/>
        <v xml:space="preserve"> </v>
      </c>
      <c r="JQ31" s="54" t="str">
        <f t="shared" ca="1" si="82"/>
        <v xml:space="preserve"> </v>
      </c>
      <c r="JR31" s="346"/>
      <c r="JS31" s="346"/>
      <c r="JT31" s="54" t="str">
        <f t="shared" si="83"/>
        <v xml:space="preserve"> </v>
      </c>
      <c r="JU31" s="374"/>
      <c r="JV31" s="369"/>
      <c r="JW31" s="366"/>
      <c r="JX31" s="366"/>
      <c r="JY31" s="366"/>
      <c r="JZ31" s="366" t="str">
        <f t="shared" si="84"/>
        <v xml:space="preserve"> </v>
      </c>
      <c r="KA31" s="54" t="str">
        <f t="shared" ca="1" si="85"/>
        <v xml:space="preserve"> </v>
      </c>
      <c r="KB31" s="366"/>
      <c r="KC31" s="366"/>
      <c r="KD31" s="54" t="str">
        <f t="shared" si="86"/>
        <v xml:space="preserve"> </v>
      </c>
      <c r="KE31" s="367"/>
      <c r="KF31" s="373"/>
      <c r="KG31" s="346"/>
      <c r="KH31" s="346"/>
      <c r="KI31" s="346"/>
      <c r="KJ31" s="346" t="str">
        <f t="shared" si="87"/>
        <v xml:space="preserve"> </v>
      </c>
      <c r="KK31" s="54" t="str">
        <f t="shared" ca="1" si="88"/>
        <v xml:space="preserve"> </v>
      </c>
      <c r="KL31" s="346"/>
      <c r="KM31" s="346"/>
      <c r="KN31" s="54" t="str">
        <f t="shared" si="89"/>
        <v xml:space="preserve"> </v>
      </c>
      <c r="KO31" s="374"/>
      <c r="KP31" s="369"/>
      <c r="KQ31" s="366"/>
      <c r="KR31" s="366"/>
      <c r="KS31" s="366"/>
      <c r="KT31" s="366" t="str">
        <f t="shared" si="90"/>
        <v xml:space="preserve"> </v>
      </c>
      <c r="KU31" s="54" t="str">
        <f t="shared" ca="1" si="91"/>
        <v xml:space="preserve"> </v>
      </c>
      <c r="KV31" s="366"/>
      <c r="KW31" s="366"/>
      <c r="KX31" s="54" t="str">
        <f t="shared" si="92"/>
        <v xml:space="preserve"> </v>
      </c>
      <c r="KY31" s="367"/>
      <c r="KZ31" s="373"/>
      <c r="LA31" s="346"/>
      <c r="LB31" s="346"/>
      <c r="LC31" s="346"/>
      <c r="LD31" s="346" t="str">
        <f t="shared" si="93"/>
        <v xml:space="preserve"> </v>
      </c>
      <c r="LE31" s="54" t="str">
        <f t="shared" ca="1" si="94"/>
        <v xml:space="preserve"> </v>
      </c>
      <c r="LF31" s="346"/>
      <c r="LG31" s="346"/>
      <c r="LH31" s="54" t="str">
        <f t="shared" si="95"/>
        <v xml:space="preserve"> </v>
      </c>
      <c r="LI31" s="374"/>
      <c r="LJ31" s="369"/>
      <c r="LK31" s="366"/>
      <c r="LL31" s="366"/>
      <c r="LM31" s="366"/>
      <c r="LN31" s="366" t="str">
        <f t="shared" si="96"/>
        <v xml:space="preserve"> </v>
      </c>
      <c r="LO31" s="54" t="str">
        <f t="shared" ca="1" si="97"/>
        <v xml:space="preserve"> </v>
      </c>
      <c r="LP31" s="366"/>
      <c r="LQ31" s="366"/>
      <c r="LR31" s="54" t="str">
        <f t="shared" si="98"/>
        <v xml:space="preserve"> </v>
      </c>
      <c r="LS31" s="367"/>
      <c r="LT31" s="373"/>
      <c r="LU31" s="346"/>
      <c r="LV31" s="346"/>
      <c r="LW31" s="346"/>
      <c r="LX31" s="346" t="str">
        <f t="shared" si="114"/>
        <v xml:space="preserve"> </v>
      </c>
      <c r="LY31" s="54" t="str">
        <f t="shared" ca="1" si="99"/>
        <v xml:space="preserve"> </v>
      </c>
      <c r="LZ31" s="346"/>
      <c r="MA31" s="346"/>
      <c r="MB31" s="54" t="str">
        <f t="shared" si="100"/>
        <v xml:space="preserve"> </v>
      </c>
      <c r="MC31" s="374"/>
      <c r="MD31" s="369"/>
      <c r="ME31" s="366"/>
      <c r="MF31" s="366"/>
      <c r="MG31" s="366"/>
      <c r="MH31" s="366"/>
      <c r="MI31" s="54" t="str">
        <f t="shared" ca="1" si="101"/>
        <v xml:space="preserve"> </v>
      </c>
      <c r="MJ31" s="366"/>
      <c r="MK31" s="366"/>
      <c r="ML31" s="54" t="str">
        <f t="shared" si="102"/>
        <v xml:space="preserve"> </v>
      </c>
      <c r="MM31" s="367"/>
      <c r="MN31" s="373"/>
      <c r="MO31" s="346"/>
      <c r="MP31" s="346"/>
      <c r="MQ31" s="346"/>
      <c r="MR31" s="346"/>
      <c r="MS31" s="54" t="str">
        <f t="shared" ca="1" si="103"/>
        <v xml:space="preserve"> </v>
      </c>
      <c r="MT31" s="346"/>
      <c r="MU31" s="346"/>
      <c r="MV31" s="54" t="str">
        <f t="shared" si="104"/>
        <v xml:space="preserve"> </v>
      </c>
      <c r="MW31" s="374"/>
      <c r="MX31" s="369"/>
      <c r="MY31" s="366"/>
      <c r="MZ31" s="366"/>
      <c r="NA31" s="366"/>
      <c r="NB31" s="366"/>
      <c r="NC31" s="54" t="str">
        <f t="shared" ca="1" si="105"/>
        <v xml:space="preserve"> </v>
      </c>
      <c r="ND31" s="366"/>
      <c r="NE31" s="366"/>
      <c r="NF31" s="54" t="str">
        <f t="shared" si="115"/>
        <v xml:space="preserve"> </v>
      </c>
      <c r="NG31" s="367"/>
      <c r="NH31" s="373"/>
      <c r="NI31" s="346"/>
      <c r="NJ31" s="346"/>
      <c r="NK31" s="346"/>
      <c r="NL31" s="346"/>
      <c r="NM31" s="54" t="str">
        <f t="shared" ca="1" si="107"/>
        <v xml:space="preserve"> </v>
      </c>
      <c r="NN31" s="346"/>
      <c r="NO31" s="346"/>
      <c r="NP31" s="54" t="str">
        <f t="shared" si="116"/>
        <v xml:space="preserve"> </v>
      </c>
      <c r="NQ31" s="374"/>
      <c r="NR31" s="369"/>
      <c r="NS31" s="366"/>
      <c r="NT31" s="366"/>
      <c r="NU31" s="366"/>
      <c r="NV31" s="366"/>
      <c r="NW31" s="54" t="str">
        <f t="shared" ca="1" si="109"/>
        <v xml:space="preserve"> </v>
      </c>
      <c r="NX31" s="366"/>
      <c r="NY31" s="366"/>
      <c r="NZ31" s="54" t="str">
        <f t="shared" si="117"/>
        <v xml:space="preserve"> </v>
      </c>
      <c r="OA31" s="367"/>
      <c r="OB31" s="373"/>
      <c r="OC31" s="346"/>
      <c r="OD31" s="346"/>
      <c r="OE31" s="346"/>
      <c r="OF31" s="346"/>
      <c r="OG31" s="54" t="str">
        <f t="shared" ca="1" si="111"/>
        <v xml:space="preserve"> </v>
      </c>
      <c r="OH31" s="346"/>
      <c r="OI31" s="346"/>
      <c r="OJ31" s="54" t="str">
        <f t="shared" si="118"/>
        <v xml:space="preserve"> </v>
      </c>
      <c r="OK31" s="374"/>
    </row>
    <row r="32" spans="1:401" s="44" customFormat="1" ht="22.2" customHeight="1" x14ac:dyDescent="0.3">
      <c r="A32" s="355" t="s">
        <v>192</v>
      </c>
      <c r="B32" s="356" t="s">
        <v>838</v>
      </c>
      <c r="C32" s="37" t="s">
        <v>1114</v>
      </c>
      <c r="D32" s="357" t="s">
        <v>1115</v>
      </c>
      <c r="E32" s="91">
        <v>45540</v>
      </c>
      <c r="F32" s="14">
        <f t="shared" si="119"/>
        <v>45905</v>
      </c>
      <c r="G32" s="37" t="str">
        <f t="shared" ca="1" si="113"/>
        <v>VIGENTE</v>
      </c>
      <c r="H32" s="37"/>
      <c r="I32" s="37"/>
      <c r="J32" s="37" t="str">
        <f t="shared" si="2"/>
        <v>C.I.</v>
      </c>
      <c r="K32" s="170"/>
      <c r="L32" s="356" t="s">
        <v>834</v>
      </c>
      <c r="M32" s="37">
        <v>5792</v>
      </c>
      <c r="N32" s="357" t="s">
        <v>1116</v>
      </c>
      <c r="O32" s="91">
        <v>45540</v>
      </c>
      <c r="P32" s="14">
        <f t="shared" si="3"/>
        <v>45905</v>
      </c>
      <c r="Q32" s="37" t="str">
        <f t="shared" ca="1" si="4"/>
        <v>VIGENTE</v>
      </c>
      <c r="R32" s="37"/>
      <c r="S32" s="37"/>
      <c r="T32" s="37" t="str">
        <f t="shared" si="5"/>
        <v>C.I.</v>
      </c>
      <c r="U32" s="170"/>
      <c r="V32" s="356" t="s">
        <v>875</v>
      </c>
      <c r="W32" s="37">
        <v>17887</v>
      </c>
      <c r="X32" s="357" t="s">
        <v>1117</v>
      </c>
      <c r="Y32" s="91">
        <v>45540</v>
      </c>
      <c r="Z32" s="14">
        <f t="shared" si="121"/>
        <v>45905</v>
      </c>
      <c r="AA32" s="37" t="str">
        <f t="shared" ca="1" si="7"/>
        <v>VIGENTE</v>
      </c>
      <c r="AB32" s="357"/>
      <c r="AC32" s="357"/>
      <c r="AD32" s="37" t="str">
        <f t="shared" si="8"/>
        <v>G.M.</v>
      </c>
      <c r="AE32" s="359"/>
      <c r="AF32" s="356" t="s">
        <v>841</v>
      </c>
      <c r="AG32" s="37">
        <v>54006</v>
      </c>
      <c r="AH32" s="357" t="s">
        <v>1118</v>
      </c>
      <c r="AI32" s="91">
        <v>45553</v>
      </c>
      <c r="AJ32" s="14">
        <f t="shared" si="122"/>
        <v>45918</v>
      </c>
      <c r="AK32" s="37" t="str">
        <f t="shared" ca="1" si="10"/>
        <v>VIGENTE</v>
      </c>
      <c r="AL32" s="348"/>
      <c r="AM32" s="348"/>
      <c r="AN32" s="37" t="str">
        <f t="shared" si="11"/>
        <v>C.C.</v>
      </c>
      <c r="AO32" s="361"/>
      <c r="AP32" s="356" t="s">
        <v>866</v>
      </c>
      <c r="AQ32" s="37">
        <v>17713</v>
      </c>
      <c r="AR32" s="357" t="s">
        <v>1119</v>
      </c>
      <c r="AS32" s="91">
        <v>45677</v>
      </c>
      <c r="AT32" s="14">
        <f t="shared" si="123"/>
        <v>46042</v>
      </c>
      <c r="AU32" s="37" t="str">
        <f t="shared" ca="1" si="13"/>
        <v>VIGENTE</v>
      </c>
      <c r="AV32" s="357"/>
      <c r="AW32" s="357"/>
      <c r="AX32" s="37"/>
      <c r="AY32" s="359"/>
      <c r="AZ32" s="356" t="s">
        <v>983</v>
      </c>
      <c r="BA32" s="37" t="s">
        <v>1120</v>
      </c>
      <c r="BB32" s="357" t="s">
        <v>1121</v>
      </c>
      <c r="BC32" s="91">
        <v>45685</v>
      </c>
      <c r="BD32" s="14">
        <f t="shared" si="124"/>
        <v>46051</v>
      </c>
      <c r="BE32" s="37" t="str">
        <f t="shared" ca="1" si="16"/>
        <v>VIGENTE</v>
      </c>
      <c r="BF32" s="348"/>
      <c r="BG32" s="348"/>
      <c r="BH32" s="12" t="str">
        <f t="shared" si="17"/>
        <v>G.M.</v>
      </c>
      <c r="BI32" s="361"/>
      <c r="BJ32" s="356" t="s">
        <v>873</v>
      </c>
      <c r="BK32" s="37">
        <v>30099</v>
      </c>
      <c r="BL32" s="357" t="s">
        <v>1122</v>
      </c>
      <c r="BM32" s="91">
        <v>45685</v>
      </c>
      <c r="BN32" s="14">
        <f t="shared" si="125"/>
        <v>46050</v>
      </c>
      <c r="BO32" s="37" t="str">
        <f t="shared" ca="1" si="19"/>
        <v>VIGENTE</v>
      </c>
      <c r="BP32" s="357"/>
      <c r="BQ32" s="357"/>
      <c r="BR32" s="37" t="str">
        <f t="shared" si="20"/>
        <v>G.M.</v>
      </c>
      <c r="BS32" s="359"/>
      <c r="BT32" s="356" t="s">
        <v>873</v>
      </c>
      <c r="BU32" s="37">
        <v>30520</v>
      </c>
      <c r="BV32" s="357" t="s">
        <v>1123</v>
      </c>
      <c r="BW32" s="91">
        <v>45685</v>
      </c>
      <c r="BX32" s="14">
        <f t="shared" si="126"/>
        <v>46050</v>
      </c>
      <c r="BY32" s="37" t="str">
        <f t="shared" ca="1" si="22"/>
        <v>VIGENTE</v>
      </c>
      <c r="BZ32" s="348"/>
      <c r="CA32" s="348"/>
      <c r="CB32" s="12" t="str">
        <f t="shared" si="23"/>
        <v>G.M.</v>
      </c>
      <c r="CC32" s="361"/>
      <c r="CD32" s="356" t="s">
        <v>838</v>
      </c>
      <c r="CE32" s="37">
        <v>3301</v>
      </c>
      <c r="CF32" s="357" t="s">
        <v>1124</v>
      </c>
      <c r="CG32" s="91">
        <v>45776</v>
      </c>
      <c r="CH32" s="14">
        <f t="shared" si="127"/>
        <v>46141</v>
      </c>
      <c r="CI32" s="37" t="str">
        <f t="shared" ca="1" si="25"/>
        <v>VIGENTE</v>
      </c>
      <c r="CJ32" s="357"/>
      <c r="CK32" s="357"/>
      <c r="CL32" s="37" t="str">
        <f t="shared" si="26"/>
        <v>C.I.</v>
      </c>
      <c r="CM32" s="359"/>
      <c r="CN32" s="360"/>
      <c r="CO32" s="12"/>
      <c r="CP32" s="348"/>
      <c r="CQ32" s="362"/>
      <c r="CR32" s="362" t="str">
        <f t="shared" si="128"/>
        <v xml:space="preserve"> </v>
      </c>
      <c r="CS32" s="37" t="str">
        <f t="shared" ca="1" si="28"/>
        <v xml:space="preserve"> </v>
      </c>
      <c r="CT32" s="348"/>
      <c r="CU32" s="348"/>
      <c r="CV32" s="12" t="str">
        <f t="shared" si="29"/>
        <v xml:space="preserve"> </v>
      </c>
      <c r="CW32" s="361"/>
      <c r="CX32" s="356"/>
      <c r="CY32" s="37"/>
      <c r="CZ32" s="357"/>
      <c r="DA32" s="358"/>
      <c r="DB32" s="358" t="str">
        <f t="shared" si="129"/>
        <v xml:space="preserve"> </v>
      </c>
      <c r="DC32" s="37" t="str">
        <f t="shared" ca="1" si="31"/>
        <v xml:space="preserve"> </v>
      </c>
      <c r="DD32" s="357"/>
      <c r="DE32" s="357"/>
      <c r="DF32" s="37" t="str">
        <f t="shared" si="32"/>
        <v xml:space="preserve"> </v>
      </c>
      <c r="DG32" s="359"/>
      <c r="DH32" s="360"/>
      <c r="DI32" s="12"/>
      <c r="DJ32" s="348"/>
      <c r="DK32" s="348"/>
      <c r="DL32" s="348" t="str">
        <f t="shared" si="130"/>
        <v xml:space="preserve"> </v>
      </c>
      <c r="DM32" s="37" t="str">
        <f t="shared" ca="1" si="34"/>
        <v xml:space="preserve"> </v>
      </c>
      <c r="DN32" s="348"/>
      <c r="DO32" s="348"/>
      <c r="DP32" s="12" t="str">
        <f t="shared" si="35"/>
        <v xml:space="preserve"> </v>
      </c>
      <c r="DQ32" s="361"/>
      <c r="DR32" s="356"/>
      <c r="DS32" s="37"/>
      <c r="DT32" s="357"/>
      <c r="DU32" s="357"/>
      <c r="DV32" s="14" t="str">
        <f t="shared" si="131"/>
        <v xml:space="preserve"> </v>
      </c>
      <c r="DW32" s="37" t="str">
        <f t="shared" ca="1" si="37"/>
        <v xml:space="preserve"> </v>
      </c>
      <c r="DX32" s="357"/>
      <c r="DY32" s="357"/>
      <c r="DZ32" s="37" t="str">
        <f t="shared" si="38"/>
        <v xml:space="preserve"> </v>
      </c>
      <c r="EA32" s="359"/>
      <c r="EB32" s="360"/>
      <c r="EC32" s="12"/>
      <c r="ED32" s="348"/>
      <c r="EE32" s="348"/>
      <c r="EF32" s="91" t="str">
        <f t="shared" si="132"/>
        <v xml:space="preserve"> </v>
      </c>
      <c r="EG32" s="37" t="str">
        <f t="shared" ca="1" si="40"/>
        <v xml:space="preserve"> </v>
      </c>
      <c r="EH32" s="348"/>
      <c r="EI32" s="348"/>
      <c r="EJ32" s="12" t="str">
        <f t="shared" si="41"/>
        <v xml:space="preserve"> </v>
      </c>
      <c r="EK32" s="361"/>
      <c r="EL32" s="356"/>
      <c r="EM32" s="37"/>
      <c r="EN32" s="357"/>
      <c r="EO32" s="357"/>
      <c r="EP32" s="91" t="str">
        <f t="shared" si="133"/>
        <v xml:space="preserve"> </v>
      </c>
      <c r="EQ32" s="37" t="str">
        <f t="shared" ca="1" si="43"/>
        <v xml:space="preserve"> </v>
      </c>
      <c r="ER32" s="357"/>
      <c r="ES32" s="357"/>
      <c r="ET32" s="37" t="str">
        <f t="shared" si="44"/>
        <v xml:space="preserve"> </v>
      </c>
      <c r="EU32" s="359"/>
      <c r="EV32" s="360"/>
      <c r="EW32" s="12"/>
      <c r="EX32" s="348"/>
      <c r="EY32" s="348"/>
      <c r="EZ32" s="91" t="str">
        <f t="shared" si="134"/>
        <v xml:space="preserve"> </v>
      </c>
      <c r="FA32" s="37" t="str">
        <f t="shared" ca="1" si="46"/>
        <v xml:space="preserve"> </v>
      </c>
      <c r="FB32" s="348"/>
      <c r="FC32" s="348"/>
      <c r="FD32" s="12" t="str">
        <f t="shared" si="47"/>
        <v xml:space="preserve"> </v>
      </c>
      <c r="FE32" s="361"/>
      <c r="FF32" s="356"/>
      <c r="FG32" s="37"/>
      <c r="FH32" s="357"/>
      <c r="FI32" s="357"/>
      <c r="FJ32" s="91" t="str">
        <f t="shared" si="135"/>
        <v xml:space="preserve"> </v>
      </c>
      <c r="FK32" s="37" t="str">
        <f t="shared" ca="1" si="49"/>
        <v xml:space="preserve"> </v>
      </c>
      <c r="FL32" s="357"/>
      <c r="FM32" s="357"/>
      <c r="FN32" s="37" t="str">
        <f t="shared" si="50"/>
        <v xml:space="preserve"> </v>
      </c>
      <c r="FO32" s="359"/>
      <c r="FP32" s="360"/>
      <c r="FQ32" s="12"/>
      <c r="FR32" s="348"/>
      <c r="FS32" s="348"/>
      <c r="FT32" s="91" t="str">
        <f t="shared" si="136"/>
        <v xml:space="preserve"> </v>
      </c>
      <c r="FU32" s="37" t="str">
        <f t="shared" ca="1" si="52"/>
        <v xml:space="preserve"> </v>
      </c>
      <c r="FV32" s="348"/>
      <c r="FW32" s="348"/>
      <c r="FX32" s="12" t="str">
        <f t="shared" si="53"/>
        <v xml:space="preserve"> </v>
      </c>
      <c r="FY32" s="361"/>
      <c r="FZ32" s="356"/>
      <c r="GA32" s="37"/>
      <c r="GB32" s="357"/>
      <c r="GC32" s="357"/>
      <c r="GD32" s="91" t="str">
        <f t="shared" si="137"/>
        <v xml:space="preserve"> </v>
      </c>
      <c r="GE32" s="37" t="str">
        <f t="shared" ca="1" si="55"/>
        <v xml:space="preserve"> </v>
      </c>
      <c r="GF32" s="357"/>
      <c r="GG32" s="357"/>
      <c r="GH32" s="37" t="str">
        <f t="shared" si="56"/>
        <v xml:space="preserve"> </v>
      </c>
      <c r="GI32" s="359"/>
      <c r="GJ32" s="363"/>
      <c r="GK32" s="12"/>
      <c r="GL32" s="348"/>
      <c r="GM32" s="348"/>
      <c r="GN32" s="91" t="str">
        <f t="shared" si="138"/>
        <v xml:space="preserve"> </v>
      </c>
      <c r="GO32" s="37" t="str">
        <f t="shared" ca="1" si="58"/>
        <v xml:space="preserve"> </v>
      </c>
      <c r="GP32" s="348"/>
      <c r="GQ32" s="348"/>
      <c r="GR32" s="12" t="str">
        <f t="shared" si="59"/>
        <v xml:space="preserve"> </v>
      </c>
      <c r="GS32" s="364"/>
      <c r="GT32" s="356"/>
      <c r="GU32" s="37"/>
      <c r="GV32" s="357"/>
      <c r="GW32" s="357"/>
      <c r="GX32" s="91" t="str">
        <f t="shared" si="139"/>
        <v xml:space="preserve"> </v>
      </c>
      <c r="GY32" s="37" t="str">
        <f t="shared" ca="1" si="61"/>
        <v xml:space="preserve"> </v>
      </c>
      <c r="GZ32" s="357"/>
      <c r="HA32" s="357"/>
      <c r="HB32" s="37" t="str">
        <f t="shared" si="62"/>
        <v xml:space="preserve"> </v>
      </c>
      <c r="HC32" s="359"/>
      <c r="HD32" s="363"/>
      <c r="HE32" s="12"/>
      <c r="HF32" s="348"/>
      <c r="HG32" s="348"/>
      <c r="HH32" s="91" t="str">
        <f t="shared" si="140"/>
        <v xml:space="preserve"> </v>
      </c>
      <c r="HI32" s="37" t="str">
        <f t="shared" ca="1" si="64"/>
        <v xml:space="preserve"> </v>
      </c>
      <c r="HJ32" s="348"/>
      <c r="HK32" s="348"/>
      <c r="HL32" s="12" t="str">
        <f t="shared" si="65"/>
        <v xml:space="preserve"> </v>
      </c>
      <c r="HM32" s="364"/>
      <c r="HN32" s="356"/>
      <c r="HO32" s="37"/>
      <c r="HP32" s="357"/>
      <c r="HQ32" s="357"/>
      <c r="HR32" s="91" t="str">
        <f t="shared" si="141"/>
        <v xml:space="preserve"> </v>
      </c>
      <c r="HS32" s="37" t="str">
        <f t="shared" ca="1" si="67"/>
        <v xml:space="preserve"> </v>
      </c>
      <c r="HT32" s="357"/>
      <c r="HU32" s="357"/>
      <c r="HV32" s="37" t="str">
        <f t="shared" si="68"/>
        <v xml:space="preserve"> </v>
      </c>
      <c r="HW32" s="359"/>
      <c r="HX32" s="363"/>
      <c r="HY32" s="12"/>
      <c r="HZ32" s="348"/>
      <c r="IA32" s="348"/>
      <c r="IB32" s="91" t="str">
        <f t="shared" si="142"/>
        <v xml:space="preserve"> </v>
      </c>
      <c r="IC32" s="37" t="str">
        <f t="shared" ca="1" si="70"/>
        <v xml:space="preserve"> </v>
      </c>
      <c r="ID32" s="348"/>
      <c r="IE32" s="348"/>
      <c r="IF32" s="12" t="str">
        <f t="shared" si="71"/>
        <v xml:space="preserve"> </v>
      </c>
      <c r="IG32" s="364"/>
      <c r="IH32" s="356"/>
      <c r="II32" s="357"/>
      <c r="IJ32" s="357"/>
      <c r="IK32" s="357"/>
      <c r="IL32" s="91" t="str">
        <f t="shared" si="143"/>
        <v xml:space="preserve"> </v>
      </c>
      <c r="IM32" s="37" t="str">
        <f t="shared" ca="1" si="73"/>
        <v xml:space="preserve"> </v>
      </c>
      <c r="IN32" s="357"/>
      <c r="IO32" s="357"/>
      <c r="IP32" s="37" t="str">
        <f t="shared" si="74"/>
        <v xml:space="preserve"> </v>
      </c>
      <c r="IQ32" s="359"/>
      <c r="IR32" s="363"/>
      <c r="IS32" s="348"/>
      <c r="IT32" s="348"/>
      <c r="IU32" s="348"/>
      <c r="IV32" s="91" t="str">
        <f t="shared" si="144"/>
        <v xml:space="preserve"> </v>
      </c>
      <c r="IW32" s="37" t="str">
        <f t="shared" ca="1" si="76"/>
        <v xml:space="preserve"> </v>
      </c>
      <c r="IX32" s="348"/>
      <c r="IY32" s="348"/>
      <c r="IZ32" s="37" t="str">
        <f t="shared" si="77"/>
        <v xml:space="preserve"> </v>
      </c>
      <c r="JA32" s="364"/>
      <c r="JB32" s="356"/>
      <c r="JC32" s="357"/>
      <c r="JD32" s="357"/>
      <c r="JE32" s="357"/>
      <c r="JF32" s="91" t="str">
        <f t="shared" si="145"/>
        <v xml:space="preserve"> </v>
      </c>
      <c r="JG32" s="37" t="str">
        <f t="shared" ca="1" si="79"/>
        <v xml:space="preserve"> </v>
      </c>
      <c r="JH32" s="357"/>
      <c r="JI32" s="357"/>
      <c r="JJ32" s="37" t="str">
        <f t="shared" si="80"/>
        <v xml:space="preserve"> </v>
      </c>
      <c r="JK32" s="359"/>
      <c r="JL32" s="363"/>
      <c r="JM32" s="348"/>
      <c r="JN32" s="348"/>
      <c r="JO32" s="348"/>
      <c r="JP32" s="348" t="str">
        <f t="shared" si="81"/>
        <v xml:space="preserve"> </v>
      </c>
      <c r="JQ32" s="37" t="str">
        <f t="shared" ca="1" si="82"/>
        <v xml:space="preserve"> </v>
      </c>
      <c r="JR32" s="348"/>
      <c r="JS32" s="348"/>
      <c r="JT32" s="37" t="str">
        <f t="shared" si="83"/>
        <v xml:space="preserve"> </v>
      </c>
      <c r="JU32" s="364"/>
      <c r="JV32" s="356"/>
      <c r="JW32" s="357"/>
      <c r="JX32" s="357"/>
      <c r="JY32" s="357"/>
      <c r="JZ32" s="357" t="str">
        <f t="shared" si="84"/>
        <v xml:space="preserve"> </v>
      </c>
      <c r="KA32" s="37" t="str">
        <f t="shared" ca="1" si="85"/>
        <v xml:space="preserve"> </v>
      </c>
      <c r="KB32" s="357"/>
      <c r="KC32" s="357"/>
      <c r="KD32" s="37" t="str">
        <f t="shared" si="86"/>
        <v xml:space="preserve"> </v>
      </c>
      <c r="KE32" s="359"/>
      <c r="KF32" s="363"/>
      <c r="KG32" s="348"/>
      <c r="KH32" s="348"/>
      <c r="KI32" s="348"/>
      <c r="KJ32" s="348" t="str">
        <f t="shared" si="87"/>
        <v xml:space="preserve"> </v>
      </c>
      <c r="KK32" s="37" t="str">
        <f t="shared" ca="1" si="88"/>
        <v xml:space="preserve"> </v>
      </c>
      <c r="KL32" s="348"/>
      <c r="KM32" s="348"/>
      <c r="KN32" s="37" t="str">
        <f t="shared" si="89"/>
        <v xml:space="preserve"> </v>
      </c>
      <c r="KO32" s="364"/>
      <c r="KP32" s="356"/>
      <c r="KQ32" s="357"/>
      <c r="KR32" s="357"/>
      <c r="KS32" s="357"/>
      <c r="KT32" s="357" t="str">
        <f t="shared" si="90"/>
        <v xml:space="preserve"> </v>
      </c>
      <c r="KU32" s="37" t="str">
        <f t="shared" ca="1" si="91"/>
        <v xml:space="preserve"> </v>
      </c>
      <c r="KV32" s="357"/>
      <c r="KW32" s="357"/>
      <c r="KX32" s="37" t="str">
        <f t="shared" si="92"/>
        <v xml:space="preserve"> </v>
      </c>
      <c r="KY32" s="359"/>
      <c r="KZ32" s="363"/>
      <c r="LA32" s="348"/>
      <c r="LB32" s="348"/>
      <c r="LC32" s="348"/>
      <c r="LD32" s="348" t="str">
        <f t="shared" si="93"/>
        <v xml:space="preserve"> </v>
      </c>
      <c r="LE32" s="37" t="str">
        <f t="shared" ca="1" si="94"/>
        <v xml:space="preserve"> </v>
      </c>
      <c r="LF32" s="348"/>
      <c r="LG32" s="348"/>
      <c r="LH32" s="37" t="str">
        <f t="shared" si="95"/>
        <v xml:space="preserve"> </v>
      </c>
      <c r="LI32" s="364"/>
      <c r="LJ32" s="356"/>
      <c r="LK32" s="357"/>
      <c r="LL32" s="357"/>
      <c r="LM32" s="357"/>
      <c r="LN32" s="357" t="str">
        <f t="shared" si="96"/>
        <v xml:space="preserve"> </v>
      </c>
      <c r="LO32" s="37" t="str">
        <f t="shared" ca="1" si="97"/>
        <v xml:space="preserve"> </v>
      </c>
      <c r="LP32" s="357"/>
      <c r="LQ32" s="357"/>
      <c r="LR32" s="37" t="str">
        <f t="shared" si="98"/>
        <v xml:space="preserve"> </v>
      </c>
      <c r="LS32" s="359"/>
      <c r="LT32" s="363"/>
      <c r="LU32" s="348"/>
      <c r="LV32" s="348"/>
      <c r="LW32" s="348"/>
      <c r="LX32" s="348" t="str">
        <f t="shared" si="114"/>
        <v xml:space="preserve"> </v>
      </c>
      <c r="LY32" s="37" t="str">
        <f t="shared" ca="1" si="99"/>
        <v xml:space="preserve"> </v>
      </c>
      <c r="LZ32" s="348"/>
      <c r="MA32" s="348"/>
      <c r="MB32" s="37" t="str">
        <f t="shared" si="100"/>
        <v xml:space="preserve"> </v>
      </c>
      <c r="MC32" s="364"/>
      <c r="MD32" s="356"/>
      <c r="ME32" s="357"/>
      <c r="MF32" s="357"/>
      <c r="MG32" s="357"/>
      <c r="MH32" s="357"/>
      <c r="MI32" s="37" t="str">
        <f t="shared" ca="1" si="101"/>
        <v xml:space="preserve"> </v>
      </c>
      <c r="MJ32" s="357"/>
      <c r="MK32" s="357"/>
      <c r="ML32" s="37" t="str">
        <f t="shared" si="102"/>
        <v xml:space="preserve"> </v>
      </c>
      <c r="MM32" s="359"/>
      <c r="MN32" s="363"/>
      <c r="MO32" s="348"/>
      <c r="MP32" s="348"/>
      <c r="MQ32" s="348"/>
      <c r="MR32" s="348"/>
      <c r="MS32" s="37" t="str">
        <f t="shared" ca="1" si="103"/>
        <v xml:space="preserve"> </v>
      </c>
      <c r="MT32" s="348"/>
      <c r="MU32" s="348"/>
      <c r="MV32" s="37" t="str">
        <f t="shared" si="104"/>
        <v xml:space="preserve"> </v>
      </c>
      <c r="MW32" s="364"/>
      <c r="MX32" s="356"/>
      <c r="MY32" s="357"/>
      <c r="MZ32" s="357"/>
      <c r="NA32" s="357"/>
      <c r="NB32" s="357"/>
      <c r="NC32" s="37" t="str">
        <f t="shared" ca="1" si="105"/>
        <v xml:space="preserve"> </v>
      </c>
      <c r="ND32" s="357"/>
      <c r="NE32" s="357"/>
      <c r="NF32" s="37" t="str">
        <f t="shared" si="115"/>
        <v xml:space="preserve"> </v>
      </c>
      <c r="NG32" s="359"/>
      <c r="NH32" s="363"/>
      <c r="NI32" s="348"/>
      <c r="NJ32" s="348"/>
      <c r="NK32" s="348"/>
      <c r="NL32" s="348"/>
      <c r="NM32" s="37" t="str">
        <f t="shared" ca="1" si="107"/>
        <v xml:space="preserve"> </v>
      </c>
      <c r="NN32" s="348"/>
      <c r="NO32" s="348"/>
      <c r="NP32" s="37" t="str">
        <f t="shared" si="116"/>
        <v xml:space="preserve"> </v>
      </c>
      <c r="NQ32" s="364"/>
      <c r="NR32" s="356"/>
      <c r="NS32" s="357"/>
      <c r="NT32" s="357"/>
      <c r="NU32" s="357"/>
      <c r="NV32" s="357"/>
      <c r="NW32" s="37" t="str">
        <f t="shared" ca="1" si="109"/>
        <v xml:space="preserve"> </v>
      </c>
      <c r="NX32" s="357"/>
      <c r="NY32" s="357"/>
      <c r="NZ32" s="37" t="str">
        <f t="shared" si="117"/>
        <v xml:space="preserve"> </v>
      </c>
      <c r="OA32" s="359"/>
      <c r="OB32" s="363"/>
      <c r="OC32" s="348"/>
      <c r="OD32" s="348"/>
      <c r="OE32" s="348"/>
      <c r="OF32" s="348"/>
      <c r="OG32" s="37" t="str">
        <f t="shared" ca="1" si="111"/>
        <v xml:space="preserve"> </v>
      </c>
      <c r="OH32" s="348"/>
      <c r="OI32" s="348"/>
      <c r="OJ32" s="37" t="str">
        <f t="shared" si="118"/>
        <v xml:space="preserve"> </v>
      </c>
      <c r="OK32" s="364"/>
    </row>
    <row r="33" spans="1:401" s="44" customFormat="1" ht="22.2" customHeight="1" x14ac:dyDescent="0.3">
      <c r="A33" s="365" t="s">
        <v>188</v>
      </c>
      <c r="B33" s="369" t="s">
        <v>838</v>
      </c>
      <c r="C33" s="54" t="s">
        <v>1125</v>
      </c>
      <c r="D33" s="366" t="s">
        <v>1126</v>
      </c>
      <c r="E33" s="177">
        <v>45615</v>
      </c>
      <c r="F33" s="177">
        <f t="shared" si="119"/>
        <v>45980</v>
      </c>
      <c r="G33" s="54" t="str">
        <f t="shared" ref="G33" ca="1" si="147">IF(E33=0," ",IF(F33-TODAY()&gt;60,"VIGENTE",IF(F33-TODAY()&lt;=0,"VENCIDO",IF(F33-TODAY()&lt;=60,"POR VENCER"))))</f>
        <v>VIGENTE</v>
      </c>
      <c r="H33" s="54"/>
      <c r="I33" s="54"/>
      <c r="J33" s="54" t="str">
        <f t="shared" si="2"/>
        <v>C.I.</v>
      </c>
      <c r="K33" s="171"/>
      <c r="L33" s="369" t="s">
        <v>838</v>
      </c>
      <c r="M33" s="54" t="s">
        <v>1127</v>
      </c>
      <c r="N33" s="366" t="s">
        <v>1128</v>
      </c>
      <c r="O33" s="177">
        <v>45615</v>
      </c>
      <c r="P33" s="177">
        <f t="shared" si="3"/>
        <v>45980</v>
      </c>
      <c r="Q33" s="54" t="str">
        <f t="shared" ca="1" si="4"/>
        <v>VIGENTE</v>
      </c>
      <c r="R33" s="54"/>
      <c r="S33" s="54"/>
      <c r="T33" s="54" t="str">
        <f t="shared" si="5"/>
        <v>C.I.</v>
      </c>
      <c r="U33" s="171"/>
      <c r="V33" s="369" t="s">
        <v>838</v>
      </c>
      <c r="W33" s="54" t="s">
        <v>1129</v>
      </c>
      <c r="X33" s="366" t="s">
        <v>1130</v>
      </c>
      <c r="Y33" s="177">
        <v>45615</v>
      </c>
      <c r="Z33" s="177">
        <f t="shared" si="121"/>
        <v>45980</v>
      </c>
      <c r="AA33" s="54" t="str">
        <f t="shared" ca="1" si="7"/>
        <v>VIGENTE</v>
      </c>
      <c r="AB33" s="366"/>
      <c r="AC33" s="366"/>
      <c r="AD33" s="54" t="str">
        <f t="shared" si="8"/>
        <v>C.I.</v>
      </c>
      <c r="AE33" s="367"/>
      <c r="AF33" s="369" t="s">
        <v>838</v>
      </c>
      <c r="AG33" s="54" t="s">
        <v>1131</v>
      </c>
      <c r="AH33" s="366" t="s">
        <v>1132</v>
      </c>
      <c r="AI33" s="177">
        <v>45615</v>
      </c>
      <c r="AJ33" s="177">
        <f t="shared" si="122"/>
        <v>45980</v>
      </c>
      <c r="AK33" s="54" t="str">
        <f t="shared" ca="1" si="10"/>
        <v>VIGENTE</v>
      </c>
      <c r="AL33" s="346"/>
      <c r="AM33" s="346"/>
      <c r="AN33" s="49" t="str">
        <f t="shared" si="11"/>
        <v>C.I.</v>
      </c>
      <c r="AO33" s="368"/>
      <c r="AP33" s="369" t="s">
        <v>838</v>
      </c>
      <c r="AQ33" s="54" t="s">
        <v>1133</v>
      </c>
      <c r="AR33" s="366" t="s">
        <v>1134</v>
      </c>
      <c r="AS33" s="177">
        <v>45615</v>
      </c>
      <c r="AT33" s="177">
        <f t="shared" si="123"/>
        <v>45980</v>
      </c>
      <c r="AU33" s="54" t="str">
        <f t="shared" ca="1" si="13"/>
        <v>VIGENTE</v>
      </c>
      <c r="AV33" s="366"/>
      <c r="AW33" s="366"/>
      <c r="AX33" s="54" t="str">
        <f t="shared" si="14"/>
        <v>C.I.</v>
      </c>
      <c r="AY33" s="367"/>
      <c r="AZ33" s="369" t="s">
        <v>838</v>
      </c>
      <c r="BA33" s="54" t="s">
        <v>1135</v>
      </c>
      <c r="BB33" s="366" t="s">
        <v>1136</v>
      </c>
      <c r="BC33" s="177">
        <v>45615</v>
      </c>
      <c r="BD33" s="177">
        <f t="shared" si="124"/>
        <v>45981</v>
      </c>
      <c r="BE33" s="54" t="str">
        <f t="shared" ca="1" si="16"/>
        <v>VIGENTE</v>
      </c>
      <c r="BF33" s="346"/>
      <c r="BG33" s="346"/>
      <c r="BH33" s="49" t="str">
        <f t="shared" si="17"/>
        <v>C.I.</v>
      </c>
      <c r="BI33" s="368"/>
      <c r="BJ33" s="369" t="s">
        <v>838</v>
      </c>
      <c r="BK33" s="54" t="s">
        <v>1137</v>
      </c>
      <c r="BL33" s="366" t="s">
        <v>1138</v>
      </c>
      <c r="BM33" s="177">
        <v>45615</v>
      </c>
      <c r="BN33" s="177">
        <f t="shared" si="125"/>
        <v>45980</v>
      </c>
      <c r="BO33" s="54" t="str">
        <f t="shared" ca="1" si="19"/>
        <v>VIGENTE</v>
      </c>
      <c r="BP33" s="366"/>
      <c r="BQ33" s="366"/>
      <c r="BR33" s="54" t="str">
        <f t="shared" si="20"/>
        <v>C.I.</v>
      </c>
      <c r="BS33" s="367"/>
      <c r="BT33" s="369" t="s">
        <v>838</v>
      </c>
      <c r="BU33" s="54" t="s">
        <v>1139</v>
      </c>
      <c r="BV33" s="366" t="s">
        <v>1140</v>
      </c>
      <c r="BW33" s="177">
        <v>45615</v>
      </c>
      <c r="BX33" s="177">
        <f t="shared" si="126"/>
        <v>45980</v>
      </c>
      <c r="BY33" s="54" t="str">
        <f t="shared" ca="1" si="22"/>
        <v>VIGENTE</v>
      </c>
      <c r="BZ33" s="346"/>
      <c r="CA33" s="346"/>
      <c r="CB33" s="49" t="str">
        <f t="shared" si="23"/>
        <v>C.I.</v>
      </c>
      <c r="CC33" s="368"/>
      <c r="CD33" s="369" t="s">
        <v>838</v>
      </c>
      <c r="CE33" s="54" t="s">
        <v>1141</v>
      </c>
      <c r="CF33" s="366" t="s">
        <v>1142</v>
      </c>
      <c r="CG33" s="177">
        <v>45615</v>
      </c>
      <c r="CH33" s="177">
        <f t="shared" si="127"/>
        <v>45980</v>
      </c>
      <c r="CI33" s="54" t="str">
        <f t="shared" ca="1" si="25"/>
        <v>VIGENTE</v>
      </c>
      <c r="CJ33" s="366"/>
      <c r="CK33" s="366"/>
      <c r="CL33" s="54" t="str">
        <f t="shared" si="26"/>
        <v>C.I.</v>
      </c>
      <c r="CM33" s="367"/>
      <c r="CN33" s="369" t="s">
        <v>838</v>
      </c>
      <c r="CO33" s="54" t="s">
        <v>1143</v>
      </c>
      <c r="CP33" s="366" t="s">
        <v>1144</v>
      </c>
      <c r="CQ33" s="177">
        <v>45615</v>
      </c>
      <c r="CR33" s="177">
        <f t="shared" si="128"/>
        <v>45980</v>
      </c>
      <c r="CS33" s="54" t="str">
        <f t="shared" ca="1" si="28"/>
        <v>VIGENTE</v>
      </c>
      <c r="CT33" s="346"/>
      <c r="CU33" s="346"/>
      <c r="CV33" s="49" t="str">
        <f t="shared" si="29"/>
        <v>C.I.</v>
      </c>
      <c r="CW33" s="368"/>
      <c r="CX33" s="369" t="s">
        <v>838</v>
      </c>
      <c r="CY33" s="54" t="s">
        <v>1145</v>
      </c>
      <c r="CZ33" s="366" t="s">
        <v>1146</v>
      </c>
      <c r="DA33" s="370">
        <v>45615</v>
      </c>
      <c r="DB33" s="370">
        <f t="shared" si="129"/>
        <v>45980</v>
      </c>
      <c r="DC33" s="49" t="str">
        <f t="shared" ca="1" si="31"/>
        <v>VIGENTE</v>
      </c>
      <c r="DD33" s="366"/>
      <c r="DE33" s="366"/>
      <c r="DF33" s="54" t="str">
        <f t="shared" si="32"/>
        <v>C.I.</v>
      </c>
      <c r="DG33" s="367"/>
      <c r="DH33" s="369" t="s">
        <v>838</v>
      </c>
      <c r="DI33" s="49" t="s">
        <v>1147</v>
      </c>
      <c r="DJ33" s="346" t="s">
        <v>1148</v>
      </c>
      <c r="DK33" s="65">
        <v>45615</v>
      </c>
      <c r="DL33" s="65">
        <f t="shared" si="130"/>
        <v>45980</v>
      </c>
      <c r="DM33" s="49" t="str">
        <f t="shared" ca="1" si="34"/>
        <v>VIGENTE</v>
      </c>
      <c r="DN33" s="346"/>
      <c r="DO33" s="346"/>
      <c r="DP33" s="49" t="str">
        <f t="shared" si="35"/>
        <v>C.I.</v>
      </c>
      <c r="DQ33" s="368"/>
      <c r="DR33" s="369" t="s">
        <v>838</v>
      </c>
      <c r="DS33" s="54" t="s">
        <v>1149</v>
      </c>
      <c r="DT33" s="366" t="s">
        <v>1150</v>
      </c>
      <c r="DU33" s="65">
        <v>45615</v>
      </c>
      <c r="DV33" s="177">
        <f t="shared" si="131"/>
        <v>45980</v>
      </c>
      <c r="DW33" s="49" t="str">
        <f t="shared" ca="1" si="37"/>
        <v>VIGENTE</v>
      </c>
      <c r="DX33" s="366"/>
      <c r="DY33" s="366"/>
      <c r="DZ33" s="54" t="str">
        <f t="shared" si="38"/>
        <v>C.I.</v>
      </c>
      <c r="EA33" s="367"/>
      <c r="EB33" s="369" t="s">
        <v>838</v>
      </c>
      <c r="EC33" s="49" t="s">
        <v>1151</v>
      </c>
      <c r="ED33" s="346" t="s">
        <v>1152</v>
      </c>
      <c r="EE33" s="65">
        <v>45615</v>
      </c>
      <c r="EF33" s="177">
        <f t="shared" si="132"/>
        <v>45980</v>
      </c>
      <c r="EG33" s="49" t="str">
        <f t="shared" ca="1" si="40"/>
        <v>VIGENTE</v>
      </c>
      <c r="EH33" s="346"/>
      <c r="EI33" s="346"/>
      <c r="EJ33" s="49" t="str">
        <f t="shared" si="41"/>
        <v>C.I.</v>
      </c>
      <c r="EK33" s="368"/>
      <c r="EL33" s="369" t="s">
        <v>875</v>
      </c>
      <c r="EM33" s="54">
        <v>17897</v>
      </c>
      <c r="EN33" s="366" t="s">
        <v>1153</v>
      </c>
      <c r="EO33" s="177">
        <v>45540</v>
      </c>
      <c r="EP33" s="177">
        <f t="shared" si="133"/>
        <v>45905</v>
      </c>
      <c r="EQ33" s="54" t="str">
        <f t="shared" ca="1" si="43"/>
        <v>VIGENTE</v>
      </c>
      <c r="ER33" s="366"/>
      <c r="ES33" s="366"/>
      <c r="ET33" s="54" t="str">
        <f t="shared" si="44"/>
        <v>G.M.</v>
      </c>
      <c r="EU33" s="367"/>
      <c r="EV33" s="369" t="s">
        <v>875</v>
      </c>
      <c r="EW33" s="54">
        <v>17889</v>
      </c>
      <c r="EX33" s="366" t="s">
        <v>1154</v>
      </c>
      <c r="EY33" s="177">
        <v>45540</v>
      </c>
      <c r="EZ33" s="177">
        <f t="shared" si="134"/>
        <v>45905</v>
      </c>
      <c r="FA33" s="54" t="str">
        <f t="shared" ca="1" si="46"/>
        <v>VIGENTE</v>
      </c>
      <c r="FB33" s="346"/>
      <c r="FC33" s="346"/>
      <c r="FD33" s="49" t="str">
        <f t="shared" si="47"/>
        <v>G.M.</v>
      </c>
      <c r="FE33" s="368"/>
      <c r="FF33" s="369" t="s">
        <v>875</v>
      </c>
      <c r="FG33" s="54">
        <v>16444</v>
      </c>
      <c r="FH33" s="366" t="s">
        <v>1155</v>
      </c>
      <c r="FI33" s="177">
        <v>45540</v>
      </c>
      <c r="FJ33" s="177">
        <f t="shared" si="135"/>
        <v>45905</v>
      </c>
      <c r="FK33" s="54" t="str">
        <f t="shared" ca="1" si="49"/>
        <v>VIGENTE</v>
      </c>
      <c r="FL33" s="366"/>
      <c r="FM33" s="366"/>
      <c r="FN33" s="54" t="str">
        <f t="shared" si="50"/>
        <v>G.M.</v>
      </c>
      <c r="FO33" s="367"/>
      <c r="FP33" s="369" t="s">
        <v>838</v>
      </c>
      <c r="FQ33" s="54">
        <v>3512</v>
      </c>
      <c r="FR33" s="366" t="s">
        <v>1156</v>
      </c>
      <c r="FS33" s="177">
        <v>45751</v>
      </c>
      <c r="FT33" s="177">
        <f t="shared" si="136"/>
        <v>46116</v>
      </c>
      <c r="FU33" s="54" t="str">
        <f t="shared" ca="1" si="52"/>
        <v>VIGENTE</v>
      </c>
      <c r="FV33" s="346"/>
      <c r="FW33" s="346"/>
      <c r="FX33" s="49" t="str">
        <f t="shared" si="53"/>
        <v>C.I.</v>
      </c>
      <c r="FY33" s="368"/>
      <c r="FZ33" s="369" t="s">
        <v>838</v>
      </c>
      <c r="GA33" s="54" t="s">
        <v>1157</v>
      </c>
      <c r="GB33" s="366" t="s">
        <v>1158</v>
      </c>
      <c r="GC33" s="177">
        <v>45751</v>
      </c>
      <c r="GD33" s="177">
        <f t="shared" si="137"/>
        <v>46116</v>
      </c>
      <c r="GE33" s="54" t="str">
        <f t="shared" ca="1" si="55"/>
        <v>VIGENTE</v>
      </c>
      <c r="GF33" s="366"/>
      <c r="GG33" s="366"/>
      <c r="GH33" s="54" t="str">
        <f t="shared" si="56"/>
        <v>C.I.</v>
      </c>
      <c r="GI33" s="367"/>
      <c r="GJ33" s="369" t="s">
        <v>838</v>
      </c>
      <c r="GK33" s="54">
        <v>4061</v>
      </c>
      <c r="GL33" s="366" t="s">
        <v>1159</v>
      </c>
      <c r="GM33" s="177">
        <v>45539</v>
      </c>
      <c r="GN33" s="177">
        <f t="shared" si="138"/>
        <v>45904</v>
      </c>
      <c r="GO33" s="54" t="str">
        <f t="shared" ca="1" si="58"/>
        <v>VIGENTE</v>
      </c>
      <c r="GP33" s="346"/>
      <c r="GQ33" s="346"/>
      <c r="GR33" s="49" t="str">
        <f t="shared" si="59"/>
        <v>C.I.</v>
      </c>
      <c r="GS33" s="374"/>
      <c r="GT33" s="369" t="s">
        <v>838</v>
      </c>
      <c r="GU33" s="54">
        <v>4246</v>
      </c>
      <c r="GV33" s="366" t="s">
        <v>1160</v>
      </c>
      <c r="GW33" s="177">
        <v>45596</v>
      </c>
      <c r="GX33" s="177">
        <f t="shared" si="139"/>
        <v>45961</v>
      </c>
      <c r="GY33" s="54" t="str">
        <f t="shared" ca="1" si="61"/>
        <v>VIGENTE</v>
      </c>
      <c r="GZ33" s="366"/>
      <c r="HA33" s="366"/>
      <c r="HB33" s="54" t="str">
        <f t="shared" si="62"/>
        <v>C.I.</v>
      </c>
      <c r="HC33" s="367"/>
      <c r="HD33" s="369" t="s">
        <v>838</v>
      </c>
      <c r="HE33" s="54">
        <v>4194</v>
      </c>
      <c r="HF33" s="366" t="s">
        <v>1161</v>
      </c>
      <c r="HG33" s="177">
        <v>45596</v>
      </c>
      <c r="HH33" s="177">
        <f t="shared" si="140"/>
        <v>45961</v>
      </c>
      <c r="HI33" s="54" t="str">
        <f t="shared" ca="1" si="64"/>
        <v>VIGENTE</v>
      </c>
      <c r="HJ33" s="346"/>
      <c r="HK33" s="346"/>
      <c r="HL33" s="49" t="str">
        <f t="shared" si="65"/>
        <v>C.I.</v>
      </c>
      <c r="HM33" s="374"/>
      <c r="HN33" s="369" t="s">
        <v>838</v>
      </c>
      <c r="HO33" s="54">
        <v>4839</v>
      </c>
      <c r="HP33" s="366" t="s">
        <v>1162</v>
      </c>
      <c r="HQ33" s="177">
        <v>45596</v>
      </c>
      <c r="HR33" s="177">
        <f t="shared" si="141"/>
        <v>45961</v>
      </c>
      <c r="HS33" s="54" t="str">
        <f t="shared" ca="1" si="67"/>
        <v>VIGENTE</v>
      </c>
      <c r="HT33" s="366"/>
      <c r="HU33" s="366"/>
      <c r="HV33" s="54" t="str">
        <f t="shared" si="68"/>
        <v>C.I.</v>
      </c>
      <c r="HW33" s="367"/>
      <c r="HX33" s="369" t="s">
        <v>838</v>
      </c>
      <c r="HY33" s="54">
        <v>4143</v>
      </c>
      <c r="HZ33" s="366" t="s">
        <v>1163</v>
      </c>
      <c r="IA33" s="177">
        <v>45596</v>
      </c>
      <c r="IB33" s="177">
        <f t="shared" si="142"/>
        <v>45961</v>
      </c>
      <c r="IC33" s="54" t="str">
        <f t="shared" ca="1" si="70"/>
        <v>VIGENTE</v>
      </c>
      <c r="ID33" s="346"/>
      <c r="IE33" s="346"/>
      <c r="IF33" s="49" t="str">
        <f t="shared" si="71"/>
        <v>C.I.</v>
      </c>
      <c r="IG33" s="374"/>
      <c r="IH33" s="369" t="s">
        <v>838</v>
      </c>
      <c r="II33" s="54">
        <v>4249</v>
      </c>
      <c r="IJ33" s="366" t="s">
        <v>1164</v>
      </c>
      <c r="IK33" s="177">
        <v>45596</v>
      </c>
      <c r="IL33" s="177">
        <f t="shared" si="143"/>
        <v>45961</v>
      </c>
      <c r="IM33" s="54" t="str">
        <f t="shared" ca="1" si="73"/>
        <v>VIGENTE</v>
      </c>
      <c r="IN33" s="366"/>
      <c r="IO33" s="366"/>
      <c r="IP33" s="54" t="str">
        <f t="shared" si="74"/>
        <v>C.I.</v>
      </c>
      <c r="IQ33" s="367"/>
      <c r="IR33" s="369" t="s">
        <v>838</v>
      </c>
      <c r="IS33" s="54">
        <v>4059</v>
      </c>
      <c r="IT33" s="366" t="s">
        <v>1165</v>
      </c>
      <c r="IU33" s="177">
        <v>45596</v>
      </c>
      <c r="IV33" s="177">
        <f t="shared" si="144"/>
        <v>45961</v>
      </c>
      <c r="IW33" s="54" t="str">
        <f t="shared" ca="1" si="76"/>
        <v>VIGENTE</v>
      </c>
      <c r="IX33" s="346"/>
      <c r="IY33" s="346"/>
      <c r="IZ33" s="54" t="str">
        <f t="shared" si="77"/>
        <v>C.I.</v>
      </c>
      <c r="JA33" s="374"/>
      <c r="JB33" s="369"/>
      <c r="JC33" s="366"/>
      <c r="JD33" s="366"/>
      <c r="JE33" s="366"/>
      <c r="JF33" s="177" t="str">
        <f t="shared" si="145"/>
        <v xml:space="preserve"> </v>
      </c>
      <c r="JG33" s="49" t="str">
        <f t="shared" ca="1" si="79"/>
        <v xml:space="preserve"> </v>
      </c>
      <c r="JH33" s="366"/>
      <c r="JI33" s="366"/>
      <c r="JJ33" s="54" t="str">
        <f t="shared" si="80"/>
        <v xml:space="preserve"> </v>
      </c>
      <c r="JK33" s="367"/>
      <c r="JL33" s="373"/>
      <c r="JM33" s="346"/>
      <c r="JN33" s="346"/>
      <c r="JO33" s="346"/>
      <c r="JP33" s="346" t="str">
        <f t="shared" si="81"/>
        <v xml:space="preserve"> </v>
      </c>
      <c r="JQ33" s="49" t="str">
        <f t="shared" ca="1" si="82"/>
        <v xml:space="preserve"> </v>
      </c>
      <c r="JR33" s="346"/>
      <c r="JS33" s="346"/>
      <c r="JT33" s="54" t="str">
        <f t="shared" si="83"/>
        <v xml:space="preserve"> </v>
      </c>
      <c r="JU33" s="374"/>
      <c r="JV33" s="369"/>
      <c r="JW33" s="366"/>
      <c r="JX33" s="366"/>
      <c r="JY33" s="366"/>
      <c r="JZ33" s="366" t="str">
        <f t="shared" si="84"/>
        <v xml:space="preserve"> </v>
      </c>
      <c r="KA33" s="49" t="str">
        <f t="shared" ca="1" si="85"/>
        <v xml:space="preserve"> </v>
      </c>
      <c r="KB33" s="366"/>
      <c r="KC33" s="366"/>
      <c r="KD33" s="54" t="str">
        <f t="shared" si="86"/>
        <v xml:space="preserve"> </v>
      </c>
      <c r="KE33" s="367"/>
      <c r="KF33" s="373"/>
      <c r="KG33" s="346"/>
      <c r="KH33" s="346"/>
      <c r="KI33" s="346"/>
      <c r="KJ33" s="346" t="str">
        <f t="shared" si="87"/>
        <v xml:space="preserve"> </v>
      </c>
      <c r="KK33" s="49" t="str">
        <f t="shared" ca="1" si="88"/>
        <v xml:space="preserve"> </v>
      </c>
      <c r="KL33" s="346"/>
      <c r="KM33" s="346"/>
      <c r="KN33" s="54" t="str">
        <f t="shared" si="89"/>
        <v xml:space="preserve"> </v>
      </c>
      <c r="KO33" s="374"/>
      <c r="KP33" s="369"/>
      <c r="KQ33" s="366"/>
      <c r="KR33" s="366"/>
      <c r="KS33" s="366"/>
      <c r="KT33" s="366" t="str">
        <f t="shared" si="90"/>
        <v xml:space="preserve"> </v>
      </c>
      <c r="KU33" s="49" t="str">
        <f t="shared" ca="1" si="91"/>
        <v xml:space="preserve"> </v>
      </c>
      <c r="KV33" s="366"/>
      <c r="KW33" s="366"/>
      <c r="KX33" s="54" t="str">
        <f t="shared" si="92"/>
        <v xml:space="preserve"> </v>
      </c>
      <c r="KY33" s="367"/>
      <c r="KZ33" s="373"/>
      <c r="LA33" s="346"/>
      <c r="LB33" s="346"/>
      <c r="LC33" s="346"/>
      <c r="LD33" s="346" t="str">
        <f t="shared" si="93"/>
        <v xml:space="preserve"> </v>
      </c>
      <c r="LE33" s="49" t="str">
        <f t="shared" ca="1" si="94"/>
        <v xml:space="preserve"> </v>
      </c>
      <c r="LF33" s="346"/>
      <c r="LG33" s="346"/>
      <c r="LH33" s="54" t="str">
        <f t="shared" si="95"/>
        <v xml:space="preserve"> </v>
      </c>
      <c r="LI33" s="374"/>
      <c r="LJ33" s="369"/>
      <c r="LK33" s="366"/>
      <c r="LL33" s="366"/>
      <c r="LM33" s="366"/>
      <c r="LN33" s="366" t="str">
        <f t="shared" si="96"/>
        <v xml:space="preserve"> </v>
      </c>
      <c r="LO33" s="49" t="str">
        <f t="shared" ca="1" si="97"/>
        <v xml:space="preserve"> </v>
      </c>
      <c r="LP33" s="366"/>
      <c r="LQ33" s="366"/>
      <c r="LR33" s="54" t="str">
        <f t="shared" si="98"/>
        <v xml:space="preserve"> </v>
      </c>
      <c r="LS33" s="367"/>
      <c r="LT33" s="373"/>
      <c r="LU33" s="346"/>
      <c r="LV33" s="346"/>
      <c r="LW33" s="346"/>
      <c r="LX33" s="346" t="str">
        <f t="shared" si="114"/>
        <v xml:space="preserve"> </v>
      </c>
      <c r="LY33" s="49" t="str">
        <f t="shared" ca="1" si="99"/>
        <v xml:space="preserve"> </v>
      </c>
      <c r="LZ33" s="346"/>
      <c r="MA33" s="346"/>
      <c r="MB33" s="54" t="str">
        <f t="shared" si="100"/>
        <v xml:space="preserve"> </v>
      </c>
      <c r="MC33" s="374"/>
      <c r="MD33" s="369"/>
      <c r="ME33" s="366"/>
      <c r="MF33" s="366"/>
      <c r="MG33" s="366"/>
      <c r="MH33" s="366"/>
      <c r="MI33" s="49" t="str">
        <f t="shared" ca="1" si="101"/>
        <v xml:space="preserve"> </v>
      </c>
      <c r="MJ33" s="366"/>
      <c r="MK33" s="366"/>
      <c r="ML33" s="54" t="str">
        <f t="shared" si="102"/>
        <v xml:space="preserve"> </v>
      </c>
      <c r="MM33" s="367"/>
      <c r="MN33" s="373"/>
      <c r="MO33" s="346"/>
      <c r="MP33" s="346"/>
      <c r="MQ33" s="346"/>
      <c r="MR33" s="346"/>
      <c r="MS33" s="49" t="str">
        <f t="shared" ca="1" si="103"/>
        <v xml:space="preserve"> </v>
      </c>
      <c r="MT33" s="346"/>
      <c r="MU33" s="346"/>
      <c r="MV33" s="54" t="str">
        <f t="shared" si="104"/>
        <v xml:space="preserve"> </v>
      </c>
      <c r="MW33" s="374"/>
      <c r="MX33" s="369"/>
      <c r="MY33" s="366"/>
      <c r="MZ33" s="366"/>
      <c r="NA33" s="366"/>
      <c r="NB33" s="366"/>
      <c r="NC33" s="49" t="str">
        <f t="shared" ca="1" si="105"/>
        <v xml:space="preserve"> </v>
      </c>
      <c r="ND33" s="366"/>
      <c r="NE33" s="366"/>
      <c r="NF33" s="54" t="str">
        <f t="shared" si="115"/>
        <v xml:space="preserve"> </v>
      </c>
      <c r="NG33" s="367"/>
      <c r="NH33" s="373"/>
      <c r="NI33" s="346"/>
      <c r="NJ33" s="346"/>
      <c r="NK33" s="346"/>
      <c r="NL33" s="346"/>
      <c r="NM33" s="49" t="str">
        <f t="shared" ca="1" si="107"/>
        <v xml:space="preserve"> </v>
      </c>
      <c r="NN33" s="346"/>
      <c r="NO33" s="346"/>
      <c r="NP33" s="54" t="str">
        <f t="shared" si="116"/>
        <v xml:space="preserve"> </v>
      </c>
      <c r="NQ33" s="374"/>
      <c r="NR33" s="369"/>
      <c r="NS33" s="366"/>
      <c r="NT33" s="366"/>
      <c r="NU33" s="366"/>
      <c r="NV33" s="366"/>
      <c r="NW33" s="49" t="str">
        <f t="shared" ca="1" si="109"/>
        <v xml:space="preserve"> </v>
      </c>
      <c r="NX33" s="366"/>
      <c r="NY33" s="366"/>
      <c r="NZ33" s="54" t="str">
        <f t="shared" si="117"/>
        <v xml:space="preserve"> </v>
      </c>
      <c r="OA33" s="367"/>
      <c r="OB33" s="373"/>
      <c r="OC33" s="346"/>
      <c r="OD33" s="346"/>
      <c r="OE33" s="346"/>
      <c r="OF33" s="346"/>
      <c r="OG33" s="49" t="str">
        <f t="shared" ca="1" si="111"/>
        <v xml:space="preserve"> </v>
      </c>
      <c r="OH33" s="346"/>
      <c r="OI33" s="346"/>
      <c r="OJ33" s="54" t="str">
        <f t="shared" si="118"/>
        <v xml:space="preserve"> </v>
      </c>
      <c r="OK33" s="374"/>
    </row>
    <row r="34" spans="1:401" s="44" customFormat="1" ht="22.2" customHeight="1" x14ac:dyDescent="0.3">
      <c r="A34" s="355" t="s">
        <v>211</v>
      </c>
      <c r="B34" s="356" t="s">
        <v>841</v>
      </c>
      <c r="C34" s="37">
        <v>54002</v>
      </c>
      <c r="D34" s="357" t="s">
        <v>1166</v>
      </c>
      <c r="E34" s="91">
        <v>45540</v>
      </c>
      <c r="F34" s="14">
        <f t="shared" si="119"/>
        <v>45905</v>
      </c>
      <c r="G34" s="37" t="str">
        <f t="shared" ca="1" si="113"/>
        <v>VIGENTE</v>
      </c>
      <c r="H34" s="37"/>
      <c r="I34" s="37"/>
      <c r="J34" s="37" t="str">
        <f t="shared" si="2"/>
        <v>C.C.</v>
      </c>
      <c r="K34" s="170"/>
      <c r="L34" s="181"/>
      <c r="M34" s="37"/>
      <c r="N34" s="37"/>
      <c r="O34" s="91"/>
      <c r="P34" s="91" t="str">
        <f t="shared" si="3"/>
        <v xml:space="preserve"> </v>
      </c>
      <c r="Q34" s="37" t="str">
        <f t="shared" ca="1" si="4"/>
        <v xml:space="preserve"> </v>
      </c>
      <c r="R34" s="37"/>
      <c r="S34" s="37"/>
      <c r="T34" s="37" t="str">
        <f t="shared" si="5"/>
        <v xml:space="preserve"> </v>
      </c>
      <c r="U34" s="170"/>
      <c r="V34" s="356"/>
      <c r="W34" s="357"/>
      <c r="X34" s="357"/>
      <c r="Y34" s="358"/>
      <c r="Z34" s="358" t="str">
        <f t="shared" si="121"/>
        <v xml:space="preserve"> </v>
      </c>
      <c r="AA34" s="37" t="str">
        <f t="shared" ca="1" si="7"/>
        <v xml:space="preserve"> </v>
      </c>
      <c r="AB34" s="357"/>
      <c r="AC34" s="357"/>
      <c r="AD34" s="37" t="str">
        <f t="shared" si="8"/>
        <v xml:space="preserve"> </v>
      </c>
      <c r="AE34" s="359"/>
      <c r="AF34" s="360"/>
      <c r="AG34" s="348"/>
      <c r="AH34" s="348"/>
      <c r="AI34" s="14"/>
      <c r="AJ34" s="14" t="str">
        <f t="shared" si="122"/>
        <v xml:space="preserve"> </v>
      </c>
      <c r="AK34" s="37" t="str">
        <f t="shared" ca="1" si="10"/>
        <v xml:space="preserve"> </v>
      </c>
      <c r="AL34" s="348"/>
      <c r="AM34" s="348"/>
      <c r="AN34" s="12" t="str">
        <f t="shared" si="11"/>
        <v xml:space="preserve"> </v>
      </c>
      <c r="AO34" s="361"/>
      <c r="AP34" s="356"/>
      <c r="AQ34" s="357"/>
      <c r="AR34" s="357"/>
      <c r="AS34" s="358"/>
      <c r="AT34" s="358" t="str">
        <f t="shared" si="123"/>
        <v xml:space="preserve"> </v>
      </c>
      <c r="AU34" s="37" t="str">
        <f t="shared" ca="1" si="13"/>
        <v xml:space="preserve"> </v>
      </c>
      <c r="AV34" s="357"/>
      <c r="AW34" s="357"/>
      <c r="AX34" s="37" t="str">
        <f t="shared" si="14"/>
        <v xml:space="preserve"> </v>
      </c>
      <c r="AY34" s="359"/>
      <c r="AZ34" s="360"/>
      <c r="BA34" s="348"/>
      <c r="BB34" s="348"/>
      <c r="BC34" s="362"/>
      <c r="BD34" s="362" t="str">
        <f t="shared" si="124"/>
        <v xml:space="preserve"> </v>
      </c>
      <c r="BE34" s="37" t="str">
        <f t="shared" ca="1" si="16"/>
        <v xml:space="preserve"> </v>
      </c>
      <c r="BF34" s="348"/>
      <c r="BG34" s="348"/>
      <c r="BH34" s="12" t="str">
        <f t="shared" si="17"/>
        <v xml:space="preserve"> </v>
      </c>
      <c r="BI34" s="361"/>
      <c r="BJ34" s="356"/>
      <c r="BK34" s="357"/>
      <c r="BL34" s="357"/>
      <c r="BM34" s="358"/>
      <c r="BN34" s="358" t="str">
        <f t="shared" si="125"/>
        <v xml:space="preserve"> </v>
      </c>
      <c r="BO34" s="37" t="str">
        <f t="shared" ca="1" si="19"/>
        <v xml:space="preserve"> </v>
      </c>
      <c r="BP34" s="357"/>
      <c r="BQ34" s="357"/>
      <c r="BR34" s="37" t="str">
        <f t="shared" si="20"/>
        <v xml:space="preserve"> </v>
      </c>
      <c r="BS34" s="359"/>
      <c r="BT34" s="360"/>
      <c r="BU34" s="348"/>
      <c r="BV34" s="348"/>
      <c r="BW34" s="362"/>
      <c r="BX34" s="362" t="str">
        <f t="shared" si="126"/>
        <v xml:space="preserve"> </v>
      </c>
      <c r="BY34" s="37" t="str">
        <f t="shared" ca="1" si="22"/>
        <v xml:space="preserve"> </v>
      </c>
      <c r="BZ34" s="348"/>
      <c r="CA34" s="348"/>
      <c r="CB34" s="12" t="str">
        <f t="shared" si="23"/>
        <v xml:space="preserve"> </v>
      </c>
      <c r="CC34" s="361"/>
      <c r="CD34" s="356"/>
      <c r="CE34" s="37"/>
      <c r="CF34" s="357"/>
      <c r="CG34" s="358"/>
      <c r="CH34" s="358" t="str">
        <f t="shared" si="127"/>
        <v xml:space="preserve"> </v>
      </c>
      <c r="CI34" s="37" t="str">
        <f t="shared" ca="1" si="25"/>
        <v xml:space="preserve"> </v>
      </c>
      <c r="CJ34" s="357"/>
      <c r="CK34" s="357"/>
      <c r="CL34" s="37" t="str">
        <f t="shared" si="26"/>
        <v xml:space="preserve"> </v>
      </c>
      <c r="CM34" s="359"/>
      <c r="CN34" s="360"/>
      <c r="CO34" s="12"/>
      <c r="CP34" s="348"/>
      <c r="CQ34" s="362"/>
      <c r="CR34" s="362" t="str">
        <f t="shared" si="128"/>
        <v xml:space="preserve"> </v>
      </c>
      <c r="CS34" s="37" t="str">
        <f t="shared" ca="1" si="28"/>
        <v xml:space="preserve"> </v>
      </c>
      <c r="CT34" s="348"/>
      <c r="CU34" s="348"/>
      <c r="CV34" s="12" t="str">
        <f t="shared" si="29"/>
        <v xml:space="preserve"> </v>
      </c>
      <c r="CW34" s="361"/>
      <c r="CX34" s="356"/>
      <c r="CY34" s="37"/>
      <c r="CZ34" s="357"/>
      <c r="DA34" s="358"/>
      <c r="DB34" s="358" t="str">
        <f t="shared" si="129"/>
        <v xml:space="preserve"> </v>
      </c>
      <c r="DC34" s="37" t="str">
        <f t="shared" ca="1" si="31"/>
        <v xml:space="preserve"> </v>
      </c>
      <c r="DD34" s="357"/>
      <c r="DE34" s="357"/>
      <c r="DF34" s="37" t="str">
        <f t="shared" si="32"/>
        <v xml:space="preserve"> </v>
      </c>
      <c r="DG34" s="359"/>
      <c r="DH34" s="360"/>
      <c r="DI34" s="12"/>
      <c r="DJ34" s="348"/>
      <c r="DK34" s="348"/>
      <c r="DL34" s="348" t="str">
        <f t="shared" si="130"/>
        <v xml:space="preserve"> </v>
      </c>
      <c r="DM34" s="37" t="str">
        <f t="shared" ca="1" si="34"/>
        <v xml:space="preserve"> </v>
      </c>
      <c r="DN34" s="348"/>
      <c r="DO34" s="348"/>
      <c r="DP34" s="12" t="str">
        <f t="shared" si="35"/>
        <v xml:space="preserve"> </v>
      </c>
      <c r="DQ34" s="361"/>
      <c r="DR34" s="356"/>
      <c r="DS34" s="37"/>
      <c r="DT34" s="357"/>
      <c r="DU34" s="357"/>
      <c r="DV34" s="14" t="str">
        <f t="shared" si="131"/>
        <v xml:space="preserve"> </v>
      </c>
      <c r="DW34" s="37" t="str">
        <f t="shared" ca="1" si="37"/>
        <v xml:space="preserve"> </v>
      </c>
      <c r="DX34" s="357"/>
      <c r="DY34" s="357"/>
      <c r="DZ34" s="37" t="str">
        <f t="shared" si="38"/>
        <v xml:space="preserve"> </v>
      </c>
      <c r="EA34" s="359"/>
      <c r="EB34" s="360"/>
      <c r="EC34" s="12"/>
      <c r="ED34" s="348"/>
      <c r="EE34" s="348"/>
      <c r="EF34" s="91" t="str">
        <f t="shared" si="132"/>
        <v xml:space="preserve"> </v>
      </c>
      <c r="EG34" s="37" t="str">
        <f t="shared" ca="1" si="40"/>
        <v xml:space="preserve"> </v>
      </c>
      <c r="EH34" s="348"/>
      <c r="EI34" s="348"/>
      <c r="EJ34" s="12" t="str">
        <f t="shared" si="41"/>
        <v xml:space="preserve"> </v>
      </c>
      <c r="EK34" s="361"/>
      <c r="EL34" s="356"/>
      <c r="EM34" s="37"/>
      <c r="EN34" s="357"/>
      <c r="EO34" s="357"/>
      <c r="EP34" s="91" t="str">
        <f t="shared" si="133"/>
        <v xml:space="preserve"> </v>
      </c>
      <c r="EQ34" s="37" t="str">
        <f t="shared" ca="1" si="43"/>
        <v xml:space="preserve"> </v>
      </c>
      <c r="ER34" s="357"/>
      <c r="ES34" s="357"/>
      <c r="ET34" s="37" t="str">
        <f t="shared" si="44"/>
        <v xml:space="preserve"> </v>
      </c>
      <c r="EU34" s="359"/>
      <c r="EV34" s="360"/>
      <c r="EW34" s="12"/>
      <c r="EX34" s="348"/>
      <c r="EY34" s="348"/>
      <c r="EZ34" s="91" t="str">
        <f t="shared" si="134"/>
        <v xml:space="preserve"> </v>
      </c>
      <c r="FA34" s="37" t="str">
        <f t="shared" ca="1" si="46"/>
        <v xml:space="preserve"> </v>
      </c>
      <c r="FB34" s="348"/>
      <c r="FC34" s="348"/>
      <c r="FD34" s="12" t="str">
        <f t="shared" si="47"/>
        <v xml:space="preserve"> </v>
      </c>
      <c r="FE34" s="361"/>
      <c r="FF34" s="356"/>
      <c r="FG34" s="37"/>
      <c r="FH34" s="357"/>
      <c r="FI34" s="357"/>
      <c r="FJ34" s="91" t="str">
        <f t="shared" si="135"/>
        <v xml:space="preserve"> </v>
      </c>
      <c r="FK34" s="37" t="str">
        <f t="shared" ca="1" si="49"/>
        <v xml:space="preserve"> </v>
      </c>
      <c r="FL34" s="357"/>
      <c r="FM34" s="357"/>
      <c r="FN34" s="37" t="str">
        <f t="shared" si="50"/>
        <v xml:space="preserve"> </v>
      </c>
      <c r="FO34" s="359"/>
      <c r="FP34" s="360"/>
      <c r="FQ34" s="12"/>
      <c r="FR34" s="348"/>
      <c r="FS34" s="348"/>
      <c r="FT34" s="91" t="str">
        <f t="shared" si="136"/>
        <v xml:space="preserve"> </v>
      </c>
      <c r="FU34" s="37" t="str">
        <f t="shared" ca="1" si="52"/>
        <v xml:space="preserve"> </v>
      </c>
      <c r="FV34" s="348"/>
      <c r="FW34" s="348"/>
      <c r="FX34" s="12" t="str">
        <f t="shared" si="53"/>
        <v xml:space="preserve"> </v>
      </c>
      <c r="FY34" s="361"/>
      <c r="FZ34" s="356"/>
      <c r="GA34" s="37"/>
      <c r="GB34" s="357"/>
      <c r="GC34" s="357"/>
      <c r="GD34" s="91" t="str">
        <f t="shared" si="137"/>
        <v xml:space="preserve"> </v>
      </c>
      <c r="GE34" s="37" t="str">
        <f t="shared" ca="1" si="55"/>
        <v xml:space="preserve"> </v>
      </c>
      <c r="GF34" s="357"/>
      <c r="GG34" s="357"/>
      <c r="GH34" s="37" t="str">
        <f t="shared" si="56"/>
        <v xml:space="preserve"> </v>
      </c>
      <c r="GI34" s="359"/>
      <c r="GJ34" s="363"/>
      <c r="GK34" s="12"/>
      <c r="GL34" s="348"/>
      <c r="GM34" s="348"/>
      <c r="GN34" s="91" t="str">
        <f t="shared" si="138"/>
        <v xml:space="preserve"> </v>
      </c>
      <c r="GO34" s="37" t="str">
        <f t="shared" ca="1" si="58"/>
        <v xml:space="preserve"> </v>
      </c>
      <c r="GP34" s="348"/>
      <c r="GQ34" s="348"/>
      <c r="GR34" s="12" t="str">
        <f t="shared" si="59"/>
        <v xml:space="preserve"> </v>
      </c>
      <c r="GS34" s="364"/>
      <c r="GT34" s="356"/>
      <c r="GU34" s="37"/>
      <c r="GV34" s="357"/>
      <c r="GW34" s="357"/>
      <c r="GX34" s="91" t="str">
        <f t="shared" si="139"/>
        <v xml:space="preserve"> </v>
      </c>
      <c r="GY34" s="37" t="str">
        <f t="shared" ca="1" si="61"/>
        <v xml:space="preserve"> </v>
      </c>
      <c r="GZ34" s="357"/>
      <c r="HA34" s="357"/>
      <c r="HB34" s="37" t="str">
        <f t="shared" si="62"/>
        <v xml:space="preserve"> </v>
      </c>
      <c r="HC34" s="359"/>
      <c r="HD34" s="363"/>
      <c r="HE34" s="12"/>
      <c r="HF34" s="348"/>
      <c r="HG34" s="348"/>
      <c r="HH34" s="91" t="str">
        <f t="shared" si="140"/>
        <v xml:space="preserve"> </v>
      </c>
      <c r="HI34" s="37" t="str">
        <f t="shared" ca="1" si="64"/>
        <v xml:space="preserve"> </v>
      </c>
      <c r="HJ34" s="348"/>
      <c r="HK34" s="348"/>
      <c r="HL34" s="12" t="str">
        <f t="shared" si="65"/>
        <v xml:space="preserve"> </v>
      </c>
      <c r="HM34" s="364"/>
      <c r="HN34" s="356"/>
      <c r="HO34" s="37"/>
      <c r="HP34" s="357"/>
      <c r="HQ34" s="357"/>
      <c r="HR34" s="91" t="str">
        <f t="shared" si="141"/>
        <v xml:space="preserve"> </v>
      </c>
      <c r="HS34" s="37" t="str">
        <f t="shared" ca="1" si="67"/>
        <v xml:space="preserve"> </v>
      </c>
      <c r="HT34" s="357"/>
      <c r="HU34" s="357"/>
      <c r="HV34" s="37" t="str">
        <f t="shared" si="68"/>
        <v xml:space="preserve"> </v>
      </c>
      <c r="HW34" s="359"/>
      <c r="HX34" s="363"/>
      <c r="HY34" s="12"/>
      <c r="HZ34" s="348"/>
      <c r="IA34" s="348"/>
      <c r="IB34" s="91" t="str">
        <f t="shared" si="142"/>
        <v xml:space="preserve"> </v>
      </c>
      <c r="IC34" s="37" t="str">
        <f t="shared" ca="1" si="70"/>
        <v xml:space="preserve"> </v>
      </c>
      <c r="ID34" s="348"/>
      <c r="IE34" s="348"/>
      <c r="IF34" s="12" t="str">
        <f t="shared" si="71"/>
        <v xml:space="preserve"> </v>
      </c>
      <c r="IG34" s="364"/>
      <c r="IH34" s="356"/>
      <c r="II34" s="357"/>
      <c r="IJ34" s="357"/>
      <c r="IK34" s="357"/>
      <c r="IL34" s="91" t="str">
        <f t="shared" si="143"/>
        <v xml:space="preserve"> </v>
      </c>
      <c r="IM34" s="37" t="str">
        <f t="shared" ca="1" si="73"/>
        <v xml:space="preserve"> </v>
      </c>
      <c r="IN34" s="357"/>
      <c r="IO34" s="357"/>
      <c r="IP34" s="37" t="str">
        <f t="shared" si="74"/>
        <v xml:space="preserve"> </v>
      </c>
      <c r="IQ34" s="359"/>
      <c r="IR34" s="363"/>
      <c r="IS34" s="348"/>
      <c r="IT34" s="348"/>
      <c r="IU34" s="348"/>
      <c r="IV34" s="91" t="str">
        <f t="shared" si="144"/>
        <v xml:space="preserve"> </v>
      </c>
      <c r="IW34" s="37" t="str">
        <f t="shared" ca="1" si="76"/>
        <v xml:space="preserve"> </v>
      </c>
      <c r="IX34" s="348"/>
      <c r="IY34" s="348"/>
      <c r="IZ34" s="37" t="str">
        <f t="shared" si="77"/>
        <v xml:space="preserve"> </v>
      </c>
      <c r="JA34" s="364"/>
      <c r="JB34" s="356"/>
      <c r="JC34" s="357"/>
      <c r="JD34" s="357"/>
      <c r="JE34" s="357"/>
      <c r="JF34" s="91" t="str">
        <f t="shared" si="145"/>
        <v xml:space="preserve"> </v>
      </c>
      <c r="JG34" s="37" t="str">
        <f t="shared" ca="1" si="79"/>
        <v xml:space="preserve"> </v>
      </c>
      <c r="JH34" s="357"/>
      <c r="JI34" s="357"/>
      <c r="JJ34" s="37" t="str">
        <f t="shared" si="80"/>
        <v xml:space="preserve"> </v>
      </c>
      <c r="JK34" s="359"/>
      <c r="JL34" s="363"/>
      <c r="JM34" s="348"/>
      <c r="JN34" s="348"/>
      <c r="JO34" s="348"/>
      <c r="JP34" s="348" t="str">
        <f t="shared" si="81"/>
        <v xml:space="preserve"> </v>
      </c>
      <c r="JQ34" s="37" t="str">
        <f t="shared" ca="1" si="82"/>
        <v xml:space="preserve"> </v>
      </c>
      <c r="JR34" s="348"/>
      <c r="JS34" s="348"/>
      <c r="JT34" s="37" t="str">
        <f t="shared" si="83"/>
        <v xml:space="preserve"> </v>
      </c>
      <c r="JU34" s="364"/>
      <c r="JV34" s="356"/>
      <c r="JW34" s="357"/>
      <c r="JX34" s="357"/>
      <c r="JY34" s="357"/>
      <c r="JZ34" s="357" t="str">
        <f t="shared" si="84"/>
        <v xml:space="preserve"> </v>
      </c>
      <c r="KA34" s="37" t="str">
        <f t="shared" ca="1" si="85"/>
        <v xml:space="preserve"> </v>
      </c>
      <c r="KB34" s="357"/>
      <c r="KC34" s="357"/>
      <c r="KD34" s="37" t="str">
        <f t="shared" si="86"/>
        <v xml:space="preserve"> </v>
      </c>
      <c r="KE34" s="359"/>
      <c r="KF34" s="363"/>
      <c r="KG34" s="348"/>
      <c r="KH34" s="348"/>
      <c r="KI34" s="348"/>
      <c r="KJ34" s="348" t="str">
        <f t="shared" si="87"/>
        <v xml:space="preserve"> </v>
      </c>
      <c r="KK34" s="37" t="str">
        <f t="shared" ca="1" si="88"/>
        <v xml:space="preserve"> </v>
      </c>
      <c r="KL34" s="348"/>
      <c r="KM34" s="348"/>
      <c r="KN34" s="37" t="str">
        <f t="shared" si="89"/>
        <v xml:space="preserve"> </v>
      </c>
      <c r="KO34" s="364"/>
      <c r="KP34" s="356"/>
      <c r="KQ34" s="357"/>
      <c r="KR34" s="357"/>
      <c r="KS34" s="357"/>
      <c r="KT34" s="357" t="str">
        <f t="shared" si="90"/>
        <v xml:space="preserve"> </v>
      </c>
      <c r="KU34" s="37" t="str">
        <f t="shared" ca="1" si="91"/>
        <v xml:space="preserve"> </v>
      </c>
      <c r="KV34" s="357"/>
      <c r="KW34" s="357"/>
      <c r="KX34" s="37" t="str">
        <f t="shared" si="92"/>
        <v xml:space="preserve"> </v>
      </c>
      <c r="KY34" s="359"/>
      <c r="KZ34" s="363"/>
      <c r="LA34" s="348"/>
      <c r="LB34" s="348"/>
      <c r="LC34" s="348"/>
      <c r="LD34" s="348" t="str">
        <f t="shared" si="93"/>
        <v xml:space="preserve"> </v>
      </c>
      <c r="LE34" s="37" t="str">
        <f t="shared" ca="1" si="94"/>
        <v xml:space="preserve"> </v>
      </c>
      <c r="LF34" s="348"/>
      <c r="LG34" s="348"/>
      <c r="LH34" s="37" t="str">
        <f t="shared" si="95"/>
        <v xml:space="preserve"> </v>
      </c>
      <c r="LI34" s="364"/>
      <c r="LJ34" s="356"/>
      <c r="LK34" s="357"/>
      <c r="LL34" s="357"/>
      <c r="LM34" s="357"/>
      <c r="LN34" s="357" t="str">
        <f t="shared" si="96"/>
        <v xml:space="preserve"> </v>
      </c>
      <c r="LO34" s="37" t="str">
        <f t="shared" ca="1" si="97"/>
        <v xml:space="preserve"> </v>
      </c>
      <c r="LP34" s="357"/>
      <c r="LQ34" s="357"/>
      <c r="LR34" s="37" t="str">
        <f t="shared" si="98"/>
        <v xml:space="preserve"> </v>
      </c>
      <c r="LS34" s="359"/>
      <c r="LT34" s="363"/>
      <c r="LU34" s="348"/>
      <c r="LV34" s="348"/>
      <c r="LW34" s="348"/>
      <c r="LX34" s="348" t="str">
        <f t="shared" si="114"/>
        <v xml:space="preserve"> </v>
      </c>
      <c r="LY34" s="37" t="str">
        <f t="shared" ca="1" si="99"/>
        <v xml:space="preserve"> </v>
      </c>
      <c r="LZ34" s="348"/>
      <c r="MA34" s="348"/>
      <c r="MB34" s="37" t="str">
        <f t="shared" si="100"/>
        <v xml:space="preserve"> </v>
      </c>
      <c r="MC34" s="364"/>
      <c r="MD34" s="356"/>
      <c r="ME34" s="357"/>
      <c r="MF34" s="357"/>
      <c r="MG34" s="357"/>
      <c r="MH34" s="357"/>
      <c r="MI34" s="37" t="str">
        <f t="shared" ca="1" si="101"/>
        <v xml:space="preserve"> </v>
      </c>
      <c r="MJ34" s="357"/>
      <c r="MK34" s="357"/>
      <c r="ML34" s="37" t="str">
        <f t="shared" si="102"/>
        <v xml:space="preserve"> </v>
      </c>
      <c r="MM34" s="359"/>
      <c r="MN34" s="363"/>
      <c r="MO34" s="348"/>
      <c r="MP34" s="348"/>
      <c r="MQ34" s="348"/>
      <c r="MR34" s="348"/>
      <c r="MS34" s="37" t="str">
        <f t="shared" ca="1" si="103"/>
        <v xml:space="preserve"> </v>
      </c>
      <c r="MT34" s="348"/>
      <c r="MU34" s="348"/>
      <c r="MV34" s="37" t="str">
        <f t="shared" si="104"/>
        <v xml:space="preserve"> </v>
      </c>
      <c r="MW34" s="364"/>
      <c r="MX34" s="356"/>
      <c r="MY34" s="357"/>
      <c r="MZ34" s="357"/>
      <c r="NA34" s="357"/>
      <c r="NB34" s="357"/>
      <c r="NC34" s="37" t="str">
        <f t="shared" ca="1" si="105"/>
        <v xml:space="preserve"> </v>
      </c>
      <c r="ND34" s="357"/>
      <c r="NE34" s="357"/>
      <c r="NF34" s="37" t="str">
        <f t="shared" si="115"/>
        <v xml:space="preserve"> </v>
      </c>
      <c r="NG34" s="359"/>
      <c r="NH34" s="363"/>
      <c r="NI34" s="348"/>
      <c r="NJ34" s="348"/>
      <c r="NK34" s="348"/>
      <c r="NL34" s="348"/>
      <c r="NM34" s="37" t="str">
        <f t="shared" ca="1" si="107"/>
        <v xml:space="preserve"> </v>
      </c>
      <c r="NN34" s="348"/>
      <c r="NO34" s="348"/>
      <c r="NP34" s="37" t="str">
        <f t="shared" si="116"/>
        <v xml:space="preserve"> </v>
      </c>
      <c r="NQ34" s="364"/>
      <c r="NR34" s="356"/>
      <c r="NS34" s="357"/>
      <c r="NT34" s="357"/>
      <c r="NU34" s="357"/>
      <c r="NV34" s="357"/>
      <c r="NW34" s="37" t="str">
        <f t="shared" ca="1" si="109"/>
        <v xml:space="preserve"> </v>
      </c>
      <c r="NX34" s="357"/>
      <c r="NY34" s="357"/>
      <c r="NZ34" s="37" t="str">
        <f t="shared" si="117"/>
        <v xml:space="preserve"> </v>
      </c>
      <c r="OA34" s="359"/>
      <c r="OB34" s="363"/>
      <c r="OC34" s="348"/>
      <c r="OD34" s="348"/>
      <c r="OE34" s="348"/>
      <c r="OF34" s="348"/>
      <c r="OG34" s="37" t="str">
        <f t="shared" ca="1" si="111"/>
        <v xml:space="preserve"> </v>
      </c>
      <c r="OH34" s="348"/>
      <c r="OI34" s="348"/>
      <c r="OJ34" s="37" t="str">
        <f t="shared" si="118"/>
        <v xml:space="preserve"> </v>
      </c>
      <c r="OK34" s="364"/>
    </row>
    <row r="35" spans="1:401" s="44" customFormat="1" ht="22.2" customHeight="1" x14ac:dyDescent="0.3">
      <c r="A35" s="365" t="s">
        <v>209</v>
      </c>
      <c r="B35" s="369"/>
      <c r="C35" s="54"/>
      <c r="D35" s="366"/>
      <c r="E35" s="177"/>
      <c r="F35" s="177" t="str">
        <f t="shared" si="119"/>
        <v xml:space="preserve"> </v>
      </c>
      <c r="G35" s="366" t="str">
        <f t="shared" ca="1" si="113"/>
        <v xml:space="preserve"> </v>
      </c>
      <c r="H35" s="54"/>
      <c r="I35" s="54"/>
      <c r="J35" s="54" t="str">
        <f t="shared" si="2"/>
        <v xml:space="preserve"> </v>
      </c>
      <c r="K35" s="171"/>
      <c r="L35" s="182"/>
      <c r="M35" s="54"/>
      <c r="N35" s="54"/>
      <c r="O35" s="177"/>
      <c r="P35" s="177" t="str">
        <f t="shared" si="3"/>
        <v xml:space="preserve"> </v>
      </c>
      <c r="Q35" s="54" t="str">
        <f t="shared" ca="1" si="4"/>
        <v xml:space="preserve"> </v>
      </c>
      <c r="R35" s="54"/>
      <c r="S35" s="54"/>
      <c r="T35" s="54" t="str">
        <f t="shared" si="5"/>
        <v xml:space="preserve"> </v>
      </c>
      <c r="U35" s="171"/>
      <c r="V35" s="369"/>
      <c r="W35" s="366"/>
      <c r="X35" s="366"/>
      <c r="Y35" s="370"/>
      <c r="Z35" s="370" t="str">
        <f t="shared" si="121"/>
        <v xml:space="preserve"> </v>
      </c>
      <c r="AA35" s="54" t="str">
        <f t="shared" ca="1" si="7"/>
        <v xml:space="preserve"> </v>
      </c>
      <c r="AB35" s="366"/>
      <c r="AC35" s="366"/>
      <c r="AD35" s="54" t="str">
        <f t="shared" si="8"/>
        <v xml:space="preserve"> </v>
      </c>
      <c r="AE35" s="367"/>
      <c r="AF35" s="371"/>
      <c r="AG35" s="346"/>
      <c r="AH35" s="346"/>
      <c r="AI35" s="65"/>
      <c r="AJ35" s="65" t="str">
        <f t="shared" si="122"/>
        <v xml:space="preserve"> </v>
      </c>
      <c r="AK35" s="54" t="str">
        <f t="shared" ca="1" si="10"/>
        <v xml:space="preserve"> </v>
      </c>
      <c r="AL35" s="346"/>
      <c r="AM35" s="346"/>
      <c r="AN35" s="49" t="str">
        <f t="shared" si="11"/>
        <v xml:space="preserve"> </v>
      </c>
      <c r="AO35" s="368"/>
      <c r="AP35" s="369"/>
      <c r="AQ35" s="366"/>
      <c r="AR35" s="366"/>
      <c r="AS35" s="370"/>
      <c r="AT35" s="370" t="str">
        <f t="shared" si="123"/>
        <v xml:space="preserve"> </v>
      </c>
      <c r="AU35" s="54" t="str">
        <f t="shared" ca="1" si="13"/>
        <v xml:space="preserve"> </v>
      </c>
      <c r="AV35" s="366"/>
      <c r="AW35" s="366"/>
      <c r="AX35" s="54" t="str">
        <f t="shared" si="14"/>
        <v xml:space="preserve"> </v>
      </c>
      <c r="AY35" s="367"/>
      <c r="AZ35" s="371"/>
      <c r="BA35" s="346"/>
      <c r="BB35" s="346"/>
      <c r="BC35" s="372"/>
      <c r="BD35" s="372" t="str">
        <f t="shared" si="124"/>
        <v xml:space="preserve"> </v>
      </c>
      <c r="BE35" s="54" t="str">
        <f t="shared" ca="1" si="16"/>
        <v xml:space="preserve"> </v>
      </c>
      <c r="BF35" s="346"/>
      <c r="BG35" s="346"/>
      <c r="BH35" s="49" t="str">
        <f t="shared" si="17"/>
        <v xml:space="preserve"> </v>
      </c>
      <c r="BI35" s="368"/>
      <c r="BJ35" s="369"/>
      <c r="BK35" s="366"/>
      <c r="BL35" s="366"/>
      <c r="BM35" s="370"/>
      <c r="BN35" s="370" t="str">
        <f t="shared" si="125"/>
        <v xml:space="preserve"> </v>
      </c>
      <c r="BO35" s="54" t="str">
        <f t="shared" ca="1" si="19"/>
        <v xml:space="preserve"> </v>
      </c>
      <c r="BP35" s="366"/>
      <c r="BQ35" s="366"/>
      <c r="BR35" s="54" t="str">
        <f t="shared" si="20"/>
        <v xml:space="preserve"> </v>
      </c>
      <c r="BS35" s="367"/>
      <c r="BT35" s="371"/>
      <c r="BU35" s="346"/>
      <c r="BV35" s="346"/>
      <c r="BW35" s="372"/>
      <c r="BX35" s="372" t="str">
        <f t="shared" si="126"/>
        <v xml:space="preserve"> </v>
      </c>
      <c r="BY35" s="54" t="str">
        <f t="shared" ca="1" si="22"/>
        <v xml:space="preserve"> </v>
      </c>
      <c r="BZ35" s="346"/>
      <c r="CA35" s="346"/>
      <c r="CB35" s="49" t="str">
        <f t="shared" si="23"/>
        <v xml:space="preserve"> </v>
      </c>
      <c r="CC35" s="368"/>
      <c r="CD35" s="369"/>
      <c r="CE35" s="54"/>
      <c r="CF35" s="366"/>
      <c r="CG35" s="370"/>
      <c r="CH35" s="370" t="str">
        <f t="shared" si="127"/>
        <v xml:space="preserve"> </v>
      </c>
      <c r="CI35" s="54" t="str">
        <f t="shared" ca="1" si="25"/>
        <v xml:space="preserve"> </v>
      </c>
      <c r="CJ35" s="366"/>
      <c r="CK35" s="366"/>
      <c r="CL35" s="54" t="str">
        <f t="shared" si="26"/>
        <v xml:space="preserve"> </v>
      </c>
      <c r="CM35" s="367"/>
      <c r="CN35" s="371"/>
      <c r="CO35" s="49"/>
      <c r="CP35" s="346"/>
      <c r="CQ35" s="372"/>
      <c r="CR35" s="372" t="str">
        <f t="shared" si="128"/>
        <v xml:space="preserve"> </v>
      </c>
      <c r="CS35" s="54" t="str">
        <f t="shared" ca="1" si="28"/>
        <v xml:space="preserve"> </v>
      </c>
      <c r="CT35" s="346"/>
      <c r="CU35" s="346"/>
      <c r="CV35" s="49" t="str">
        <f t="shared" si="29"/>
        <v xml:space="preserve"> </v>
      </c>
      <c r="CW35" s="368"/>
      <c r="CX35" s="369"/>
      <c r="CY35" s="54"/>
      <c r="CZ35" s="366"/>
      <c r="DA35" s="370"/>
      <c r="DB35" s="370" t="str">
        <f t="shared" si="129"/>
        <v xml:space="preserve"> </v>
      </c>
      <c r="DC35" s="54" t="str">
        <f t="shared" ca="1" si="31"/>
        <v xml:space="preserve"> </v>
      </c>
      <c r="DD35" s="366"/>
      <c r="DE35" s="366"/>
      <c r="DF35" s="54" t="str">
        <f t="shared" si="32"/>
        <v xml:space="preserve"> </v>
      </c>
      <c r="DG35" s="367"/>
      <c r="DH35" s="371"/>
      <c r="DI35" s="49"/>
      <c r="DJ35" s="346"/>
      <c r="DK35" s="346"/>
      <c r="DL35" s="346" t="str">
        <f t="shared" si="130"/>
        <v xml:space="preserve"> </v>
      </c>
      <c r="DM35" s="54" t="str">
        <f t="shared" ca="1" si="34"/>
        <v xml:space="preserve"> </v>
      </c>
      <c r="DN35" s="346"/>
      <c r="DO35" s="346"/>
      <c r="DP35" s="49" t="str">
        <f t="shared" si="35"/>
        <v xml:space="preserve"> </v>
      </c>
      <c r="DQ35" s="368"/>
      <c r="DR35" s="369"/>
      <c r="DS35" s="54"/>
      <c r="DT35" s="366"/>
      <c r="DU35" s="366"/>
      <c r="DV35" s="177" t="str">
        <f t="shared" si="131"/>
        <v xml:space="preserve"> </v>
      </c>
      <c r="DW35" s="54" t="str">
        <f t="shared" ca="1" si="37"/>
        <v xml:space="preserve"> </v>
      </c>
      <c r="DX35" s="366"/>
      <c r="DY35" s="366"/>
      <c r="DZ35" s="54" t="str">
        <f t="shared" si="38"/>
        <v xml:space="preserve"> </v>
      </c>
      <c r="EA35" s="367"/>
      <c r="EB35" s="371"/>
      <c r="EC35" s="49"/>
      <c r="ED35" s="346"/>
      <c r="EE35" s="346"/>
      <c r="EF35" s="177" t="str">
        <f t="shared" si="132"/>
        <v xml:space="preserve"> </v>
      </c>
      <c r="EG35" s="54" t="str">
        <f t="shared" ca="1" si="40"/>
        <v xml:space="preserve"> </v>
      </c>
      <c r="EH35" s="346"/>
      <c r="EI35" s="346"/>
      <c r="EJ35" s="49" t="str">
        <f t="shared" si="41"/>
        <v xml:space="preserve"> </v>
      </c>
      <c r="EK35" s="368"/>
      <c r="EL35" s="369"/>
      <c r="EM35" s="54"/>
      <c r="EN35" s="366"/>
      <c r="EO35" s="366"/>
      <c r="EP35" s="177" t="str">
        <f t="shared" si="133"/>
        <v xml:space="preserve"> </v>
      </c>
      <c r="EQ35" s="54" t="str">
        <f t="shared" ca="1" si="43"/>
        <v xml:space="preserve"> </v>
      </c>
      <c r="ER35" s="366"/>
      <c r="ES35" s="366"/>
      <c r="ET35" s="54" t="str">
        <f t="shared" si="44"/>
        <v xml:space="preserve"> </v>
      </c>
      <c r="EU35" s="367"/>
      <c r="EV35" s="371"/>
      <c r="EW35" s="49"/>
      <c r="EX35" s="346"/>
      <c r="EY35" s="346"/>
      <c r="EZ35" s="177" t="str">
        <f t="shared" si="134"/>
        <v xml:space="preserve"> </v>
      </c>
      <c r="FA35" s="54" t="str">
        <f t="shared" ca="1" si="46"/>
        <v xml:space="preserve"> </v>
      </c>
      <c r="FB35" s="346"/>
      <c r="FC35" s="346"/>
      <c r="FD35" s="49" t="str">
        <f t="shared" si="47"/>
        <v xml:space="preserve"> </v>
      </c>
      <c r="FE35" s="368"/>
      <c r="FF35" s="369"/>
      <c r="FG35" s="54"/>
      <c r="FH35" s="366"/>
      <c r="FI35" s="366"/>
      <c r="FJ35" s="177" t="str">
        <f t="shared" si="135"/>
        <v xml:space="preserve"> </v>
      </c>
      <c r="FK35" s="54" t="str">
        <f t="shared" ca="1" si="49"/>
        <v xml:space="preserve"> </v>
      </c>
      <c r="FL35" s="366"/>
      <c r="FM35" s="366"/>
      <c r="FN35" s="54" t="str">
        <f t="shared" si="50"/>
        <v xml:space="preserve"> </v>
      </c>
      <c r="FO35" s="367"/>
      <c r="FP35" s="371"/>
      <c r="FQ35" s="49"/>
      <c r="FR35" s="346"/>
      <c r="FS35" s="346"/>
      <c r="FT35" s="177" t="str">
        <f t="shared" si="136"/>
        <v xml:space="preserve"> </v>
      </c>
      <c r="FU35" s="54" t="str">
        <f t="shared" ca="1" si="52"/>
        <v xml:space="preserve"> </v>
      </c>
      <c r="FV35" s="346"/>
      <c r="FW35" s="346"/>
      <c r="FX35" s="49" t="str">
        <f t="shared" si="53"/>
        <v xml:space="preserve"> </v>
      </c>
      <c r="FY35" s="368"/>
      <c r="FZ35" s="369"/>
      <c r="GA35" s="54"/>
      <c r="GB35" s="366"/>
      <c r="GC35" s="366"/>
      <c r="GD35" s="177" t="str">
        <f t="shared" si="137"/>
        <v xml:space="preserve"> </v>
      </c>
      <c r="GE35" s="54" t="str">
        <f t="shared" ca="1" si="55"/>
        <v xml:space="preserve"> </v>
      </c>
      <c r="GF35" s="366"/>
      <c r="GG35" s="366"/>
      <c r="GH35" s="54" t="str">
        <f t="shared" si="56"/>
        <v xml:space="preserve"> </v>
      </c>
      <c r="GI35" s="367"/>
      <c r="GJ35" s="373"/>
      <c r="GK35" s="49"/>
      <c r="GL35" s="346"/>
      <c r="GM35" s="346"/>
      <c r="GN35" s="177" t="str">
        <f t="shared" si="138"/>
        <v xml:space="preserve"> </v>
      </c>
      <c r="GO35" s="54" t="str">
        <f t="shared" ca="1" si="58"/>
        <v xml:space="preserve"> </v>
      </c>
      <c r="GP35" s="346"/>
      <c r="GQ35" s="346"/>
      <c r="GR35" s="49" t="str">
        <f t="shared" si="59"/>
        <v xml:space="preserve"> </v>
      </c>
      <c r="GS35" s="374"/>
      <c r="GT35" s="369"/>
      <c r="GU35" s="54"/>
      <c r="GV35" s="366"/>
      <c r="GW35" s="366"/>
      <c r="GX35" s="177" t="str">
        <f t="shared" si="139"/>
        <v xml:space="preserve"> </v>
      </c>
      <c r="GY35" s="54" t="str">
        <f t="shared" ca="1" si="61"/>
        <v xml:space="preserve"> </v>
      </c>
      <c r="GZ35" s="366"/>
      <c r="HA35" s="366"/>
      <c r="HB35" s="54" t="str">
        <f t="shared" si="62"/>
        <v xml:space="preserve"> </v>
      </c>
      <c r="HC35" s="367"/>
      <c r="HD35" s="373"/>
      <c r="HE35" s="49"/>
      <c r="HF35" s="346"/>
      <c r="HG35" s="346"/>
      <c r="HH35" s="177" t="str">
        <f t="shared" si="140"/>
        <v xml:space="preserve"> </v>
      </c>
      <c r="HI35" s="54" t="str">
        <f t="shared" ca="1" si="64"/>
        <v xml:space="preserve"> </v>
      </c>
      <c r="HJ35" s="346"/>
      <c r="HK35" s="346"/>
      <c r="HL35" s="49" t="str">
        <f t="shared" si="65"/>
        <v xml:space="preserve"> </v>
      </c>
      <c r="HM35" s="374"/>
      <c r="HN35" s="369"/>
      <c r="HO35" s="54"/>
      <c r="HP35" s="366"/>
      <c r="HQ35" s="366"/>
      <c r="HR35" s="177" t="str">
        <f t="shared" si="141"/>
        <v xml:space="preserve"> </v>
      </c>
      <c r="HS35" s="54" t="str">
        <f t="shared" ca="1" si="67"/>
        <v xml:space="preserve"> </v>
      </c>
      <c r="HT35" s="366"/>
      <c r="HU35" s="366"/>
      <c r="HV35" s="54" t="str">
        <f t="shared" si="68"/>
        <v xml:space="preserve"> </v>
      </c>
      <c r="HW35" s="367"/>
      <c r="HX35" s="373"/>
      <c r="HY35" s="49"/>
      <c r="HZ35" s="346"/>
      <c r="IA35" s="346"/>
      <c r="IB35" s="177" t="str">
        <f t="shared" si="142"/>
        <v xml:space="preserve"> </v>
      </c>
      <c r="IC35" s="54" t="str">
        <f t="shared" ca="1" si="70"/>
        <v xml:space="preserve"> </v>
      </c>
      <c r="ID35" s="346"/>
      <c r="IE35" s="346"/>
      <c r="IF35" s="49" t="str">
        <f t="shared" si="71"/>
        <v xml:space="preserve"> </v>
      </c>
      <c r="IG35" s="374"/>
      <c r="IH35" s="369"/>
      <c r="II35" s="366"/>
      <c r="IJ35" s="366"/>
      <c r="IK35" s="366"/>
      <c r="IL35" s="177" t="str">
        <f t="shared" si="143"/>
        <v xml:space="preserve"> </v>
      </c>
      <c r="IM35" s="54" t="str">
        <f t="shared" ca="1" si="73"/>
        <v xml:space="preserve"> </v>
      </c>
      <c r="IN35" s="366"/>
      <c r="IO35" s="366"/>
      <c r="IP35" s="54" t="str">
        <f t="shared" si="74"/>
        <v xml:space="preserve"> </v>
      </c>
      <c r="IQ35" s="367"/>
      <c r="IR35" s="373"/>
      <c r="IS35" s="346"/>
      <c r="IT35" s="346"/>
      <c r="IU35" s="346"/>
      <c r="IV35" s="177" t="str">
        <f t="shared" si="144"/>
        <v xml:space="preserve"> </v>
      </c>
      <c r="IW35" s="54" t="str">
        <f t="shared" ca="1" si="76"/>
        <v xml:space="preserve"> </v>
      </c>
      <c r="IX35" s="346"/>
      <c r="IY35" s="346"/>
      <c r="IZ35" s="54" t="str">
        <f t="shared" si="77"/>
        <v xml:space="preserve"> </v>
      </c>
      <c r="JA35" s="374"/>
      <c r="JB35" s="369"/>
      <c r="JC35" s="366"/>
      <c r="JD35" s="366"/>
      <c r="JE35" s="366"/>
      <c r="JF35" s="177" t="str">
        <f t="shared" si="145"/>
        <v xml:space="preserve"> </v>
      </c>
      <c r="JG35" s="54" t="str">
        <f t="shared" ca="1" si="79"/>
        <v xml:space="preserve"> </v>
      </c>
      <c r="JH35" s="366"/>
      <c r="JI35" s="366"/>
      <c r="JJ35" s="54" t="str">
        <f t="shared" si="80"/>
        <v xml:space="preserve"> </v>
      </c>
      <c r="JK35" s="367"/>
      <c r="JL35" s="373"/>
      <c r="JM35" s="346"/>
      <c r="JN35" s="346"/>
      <c r="JO35" s="346"/>
      <c r="JP35" s="346" t="str">
        <f t="shared" si="81"/>
        <v xml:space="preserve"> </v>
      </c>
      <c r="JQ35" s="54" t="str">
        <f t="shared" ca="1" si="82"/>
        <v xml:space="preserve"> </v>
      </c>
      <c r="JR35" s="346"/>
      <c r="JS35" s="346"/>
      <c r="JT35" s="54" t="str">
        <f t="shared" si="83"/>
        <v xml:space="preserve"> </v>
      </c>
      <c r="JU35" s="374"/>
      <c r="JV35" s="369"/>
      <c r="JW35" s="366"/>
      <c r="JX35" s="366"/>
      <c r="JY35" s="366"/>
      <c r="JZ35" s="366" t="str">
        <f t="shared" si="84"/>
        <v xml:space="preserve"> </v>
      </c>
      <c r="KA35" s="54" t="str">
        <f t="shared" ca="1" si="85"/>
        <v xml:space="preserve"> </v>
      </c>
      <c r="KB35" s="366"/>
      <c r="KC35" s="366"/>
      <c r="KD35" s="54" t="str">
        <f t="shared" si="86"/>
        <v xml:space="preserve"> </v>
      </c>
      <c r="KE35" s="367"/>
      <c r="KF35" s="373"/>
      <c r="KG35" s="346"/>
      <c r="KH35" s="346"/>
      <c r="KI35" s="346"/>
      <c r="KJ35" s="346" t="str">
        <f t="shared" si="87"/>
        <v xml:space="preserve"> </v>
      </c>
      <c r="KK35" s="54" t="str">
        <f t="shared" ca="1" si="88"/>
        <v xml:space="preserve"> </v>
      </c>
      <c r="KL35" s="346"/>
      <c r="KM35" s="346"/>
      <c r="KN35" s="54" t="str">
        <f t="shared" si="89"/>
        <v xml:space="preserve"> </v>
      </c>
      <c r="KO35" s="374"/>
      <c r="KP35" s="369"/>
      <c r="KQ35" s="366"/>
      <c r="KR35" s="366"/>
      <c r="KS35" s="366"/>
      <c r="KT35" s="366" t="str">
        <f t="shared" si="90"/>
        <v xml:space="preserve"> </v>
      </c>
      <c r="KU35" s="54" t="str">
        <f t="shared" ca="1" si="91"/>
        <v xml:space="preserve"> </v>
      </c>
      <c r="KV35" s="366"/>
      <c r="KW35" s="366"/>
      <c r="KX35" s="54" t="str">
        <f t="shared" si="92"/>
        <v xml:space="preserve"> </v>
      </c>
      <c r="KY35" s="367"/>
      <c r="KZ35" s="373"/>
      <c r="LA35" s="346"/>
      <c r="LB35" s="346"/>
      <c r="LC35" s="346"/>
      <c r="LD35" s="346" t="str">
        <f t="shared" si="93"/>
        <v xml:space="preserve"> </v>
      </c>
      <c r="LE35" s="54" t="str">
        <f t="shared" ca="1" si="94"/>
        <v xml:space="preserve"> </v>
      </c>
      <c r="LF35" s="346"/>
      <c r="LG35" s="346"/>
      <c r="LH35" s="54" t="str">
        <f t="shared" si="95"/>
        <v xml:space="preserve"> </v>
      </c>
      <c r="LI35" s="374"/>
      <c r="LJ35" s="369"/>
      <c r="LK35" s="366"/>
      <c r="LL35" s="366"/>
      <c r="LM35" s="366"/>
      <c r="LN35" s="366" t="str">
        <f t="shared" si="96"/>
        <v xml:space="preserve"> </v>
      </c>
      <c r="LO35" s="54" t="str">
        <f t="shared" ca="1" si="97"/>
        <v xml:space="preserve"> </v>
      </c>
      <c r="LP35" s="366"/>
      <c r="LQ35" s="366"/>
      <c r="LR35" s="54" t="str">
        <f t="shared" si="98"/>
        <v xml:space="preserve"> </v>
      </c>
      <c r="LS35" s="367"/>
      <c r="LT35" s="373"/>
      <c r="LU35" s="346"/>
      <c r="LV35" s="346"/>
      <c r="LW35" s="346"/>
      <c r="LX35" s="346" t="str">
        <f t="shared" si="114"/>
        <v xml:space="preserve"> </v>
      </c>
      <c r="LY35" s="54" t="str">
        <f t="shared" ca="1" si="99"/>
        <v xml:space="preserve"> </v>
      </c>
      <c r="LZ35" s="346"/>
      <c r="MA35" s="346"/>
      <c r="MB35" s="54" t="str">
        <f t="shared" si="100"/>
        <v xml:space="preserve"> </v>
      </c>
      <c r="MC35" s="374"/>
      <c r="MD35" s="369"/>
      <c r="ME35" s="366"/>
      <c r="MF35" s="366"/>
      <c r="MG35" s="366"/>
      <c r="MH35" s="366"/>
      <c r="MI35" s="54" t="str">
        <f t="shared" ca="1" si="101"/>
        <v xml:space="preserve"> </v>
      </c>
      <c r="MJ35" s="366"/>
      <c r="MK35" s="366"/>
      <c r="ML35" s="54" t="str">
        <f t="shared" si="102"/>
        <v xml:space="preserve"> </v>
      </c>
      <c r="MM35" s="367"/>
      <c r="MN35" s="373"/>
      <c r="MO35" s="346"/>
      <c r="MP35" s="346"/>
      <c r="MQ35" s="346"/>
      <c r="MR35" s="346"/>
      <c r="MS35" s="54" t="str">
        <f t="shared" ca="1" si="103"/>
        <v xml:space="preserve"> </v>
      </c>
      <c r="MT35" s="346"/>
      <c r="MU35" s="346"/>
      <c r="MV35" s="54" t="str">
        <f t="shared" si="104"/>
        <v xml:space="preserve"> </v>
      </c>
      <c r="MW35" s="374"/>
      <c r="MX35" s="369"/>
      <c r="MY35" s="366"/>
      <c r="MZ35" s="366"/>
      <c r="NA35" s="366"/>
      <c r="NB35" s="366"/>
      <c r="NC35" s="54" t="str">
        <f t="shared" ca="1" si="105"/>
        <v xml:space="preserve"> </v>
      </c>
      <c r="ND35" s="366"/>
      <c r="NE35" s="366"/>
      <c r="NF35" s="54" t="str">
        <f t="shared" si="115"/>
        <v xml:space="preserve"> </v>
      </c>
      <c r="NG35" s="367"/>
      <c r="NH35" s="373"/>
      <c r="NI35" s="346"/>
      <c r="NJ35" s="346"/>
      <c r="NK35" s="346"/>
      <c r="NL35" s="346"/>
      <c r="NM35" s="54" t="str">
        <f t="shared" ca="1" si="107"/>
        <v xml:space="preserve"> </v>
      </c>
      <c r="NN35" s="346"/>
      <c r="NO35" s="346"/>
      <c r="NP35" s="54" t="str">
        <f t="shared" si="116"/>
        <v xml:space="preserve"> </v>
      </c>
      <c r="NQ35" s="374"/>
      <c r="NR35" s="369"/>
      <c r="NS35" s="366"/>
      <c r="NT35" s="366"/>
      <c r="NU35" s="366"/>
      <c r="NV35" s="366"/>
      <c r="NW35" s="54" t="str">
        <f t="shared" ca="1" si="109"/>
        <v xml:space="preserve"> </v>
      </c>
      <c r="NX35" s="366"/>
      <c r="NY35" s="366"/>
      <c r="NZ35" s="54" t="str">
        <f t="shared" si="117"/>
        <v xml:space="preserve"> </v>
      </c>
      <c r="OA35" s="367"/>
      <c r="OB35" s="373"/>
      <c r="OC35" s="346"/>
      <c r="OD35" s="346"/>
      <c r="OE35" s="346"/>
      <c r="OF35" s="346"/>
      <c r="OG35" s="54" t="str">
        <f t="shared" ca="1" si="111"/>
        <v xml:space="preserve"> </v>
      </c>
      <c r="OH35" s="346"/>
      <c r="OI35" s="346"/>
      <c r="OJ35" s="54" t="str">
        <f t="shared" si="118"/>
        <v xml:space="preserve"> </v>
      </c>
      <c r="OK35" s="374"/>
    </row>
    <row r="36" spans="1:401" s="44" customFormat="1" ht="22.2" customHeight="1" x14ac:dyDescent="0.3">
      <c r="A36" s="355" t="s">
        <v>204</v>
      </c>
      <c r="B36" s="356" t="s">
        <v>838</v>
      </c>
      <c r="C36" s="37">
        <v>3520</v>
      </c>
      <c r="D36" s="37" t="s">
        <v>1167</v>
      </c>
      <c r="E36" s="91">
        <v>45600</v>
      </c>
      <c r="F36" s="14">
        <f t="shared" si="119"/>
        <v>45965</v>
      </c>
      <c r="G36" s="37" t="str">
        <f t="shared" ca="1" si="113"/>
        <v>VIGENTE</v>
      </c>
      <c r="H36" s="37"/>
      <c r="I36" s="37"/>
      <c r="J36" s="37" t="str">
        <f t="shared" si="2"/>
        <v>C.I.</v>
      </c>
      <c r="K36" s="170"/>
      <c r="L36" s="356" t="s">
        <v>838</v>
      </c>
      <c r="M36" s="37">
        <v>3328</v>
      </c>
      <c r="N36" s="37" t="s">
        <v>1168</v>
      </c>
      <c r="O36" s="91">
        <v>45600</v>
      </c>
      <c r="P36" s="14">
        <f>IF(O36=0," ",O36+365)</f>
        <v>45965</v>
      </c>
      <c r="Q36" s="37" t="str">
        <f t="shared" ca="1" si="4"/>
        <v>VIGENTE</v>
      </c>
      <c r="R36" s="37"/>
      <c r="S36" s="37"/>
      <c r="T36" s="37" t="str">
        <f t="shared" si="5"/>
        <v>C.I.</v>
      </c>
      <c r="U36" s="170"/>
      <c r="V36" s="356" t="s">
        <v>1169</v>
      </c>
      <c r="W36" s="37" t="s">
        <v>1170</v>
      </c>
      <c r="X36" s="37" t="s">
        <v>1171</v>
      </c>
      <c r="Y36" s="358">
        <v>45602</v>
      </c>
      <c r="Z36" s="14">
        <f t="shared" si="121"/>
        <v>45967</v>
      </c>
      <c r="AA36" s="37" t="str">
        <f t="shared" ca="1" si="7"/>
        <v>VIGENTE</v>
      </c>
      <c r="AB36" s="357"/>
      <c r="AC36" s="357"/>
      <c r="AD36" s="37" t="str">
        <f t="shared" si="8"/>
        <v xml:space="preserve"> </v>
      </c>
      <c r="AE36" s="359"/>
      <c r="AF36" s="356" t="s">
        <v>838</v>
      </c>
      <c r="AG36" s="37">
        <v>4150</v>
      </c>
      <c r="AH36" s="37" t="s">
        <v>1172</v>
      </c>
      <c r="AI36" s="91">
        <v>45588</v>
      </c>
      <c r="AJ36" s="14">
        <f t="shared" si="122"/>
        <v>45953</v>
      </c>
      <c r="AK36" s="37" t="str">
        <f t="shared" ca="1" si="10"/>
        <v>VIGENTE</v>
      </c>
      <c r="AL36" s="348"/>
      <c r="AM36" s="348"/>
      <c r="AN36" s="12" t="str">
        <f t="shared" si="11"/>
        <v>C.I.</v>
      </c>
      <c r="AO36" s="361"/>
      <c r="AP36" s="356" t="s">
        <v>838</v>
      </c>
      <c r="AQ36" s="37">
        <v>4147</v>
      </c>
      <c r="AR36" s="37" t="s">
        <v>1173</v>
      </c>
      <c r="AS36" s="91">
        <v>45588</v>
      </c>
      <c r="AT36" s="14">
        <f t="shared" si="123"/>
        <v>45953</v>
      </c>
      <c r="AU36" s="37" t="str">
        <f t="shared" ca="1" si="13"/>
        <v>VIGENTE</v>
      </c>
      <c r="AV36" s="357"/>
      <c r="AW36" s="357"/>
      <c r="AX36" s="37" t="str">
        <f t="shared" si="14"/>
        <v>C.I.</v>
      </c>
      <c r="AY36" s="359"/>
      <c r="AZ36" s="356" t="s">
        <v>838</v>
      </c>
      <c r="BA36" s="37" t="s">
        <v>1174</v>
      </c>
      <c r="BB36" s="37" t="s">
        <v>1175</v>
      </c>
      <c r="BC36" s="91">
        <v>45694</v>
      </c>
      <c r="BD36" s="14">
        <f t="shared" si="124"/>
        <v>46060</v>
      </c>
      <c r="BE36" s="37" t="str">
        <f t="shared" ca="1" si="16"/>
        <v>VIGENTE</v>
      </c>
      <c r="BF36" s="348"/>
      <c r="BG36" s="348"/>
      <c r="BH36" s="12" t="str">
        <f t="shared" si="17"/>
        <v>C.I.</v>
      </c>
      <c r="BI36" s="361"/>
      <c r="BJ36" s="356" t="s">
        <v>838</v>
      </c>
      <c r="BK36" s="37" t="s">
        <v>1176</v>
      </c>
      <c r="BL36" s="37" t="s">
        <v>1177</v>
      </c>
      <c r="BM36" s="91">
        <v>45694</v>
      </c>
      <c r="BN36" s="14">
        <f t="shared" si="125"/>
        <v>46059</v>
      </c>
      <c r="BO36" s="37" t="str">
        <f t="shared" ca="1" si="19"/>
        <v>VIGENTE</v>
      </c>
      <c r="BP36" s="357"/>
      <c r="BQ36" s="357"/>
      <c r="BR36" s="37" t="str">
        <f t="shared" si="20"/>
        <v>C.I.</v>
      </c>
      <c r="BS36" s="359"/>
      <c r="BT36" s="356" t="s">
        <v>838</v>
      </c>
      <c r="BU36" s="37" t="s">
        <v>1178</v>
      </c>
      <c r="BV36" s="37" t="s">
        <v>1179</v>
      </c>
      <c r="BW36" s="91">
        <v>45694</v>
      </c>
      <c r="BX36" s="14">
        <f t="shared" si="126"/>
        <v>46059</v>
      </c>
      <c r="BY36" s="37" t="str">
        <f t="shared" ca="1" si="22"/>
        <v>VIGENTE</v>
      </c>
      <c r="BZ36" s="348"/>
      <c r="CA36" s="348"/>
      <c r="CB36" s="12" t="str">
        <f t="shared" si="23"/>
        <v>C.I.</v>
      </c>
      <c r="CC36" s="361"/>
      <c r="CD36" s="356" t="s">
        <v>838</v>
      </c>
      <c r="CE36" s="37" t="s">
        <v>1180</v>
      </c>
      <c r="CF36" s="37" t="s">
        <v>1181</v>
      </c>
      <c r="CG36" s="91">
        <v>45694</v>
      </c>
      <c r="CH36" s="14">
        <f t="shared" si="127"/>
        <v>46059</v>
      </c>
      <c r="CI36" s="37" t="str">
        <f t="shared" ca="1" si="25"/>
        <v>VIGENTE</v>
      </c>
      <c r="CJ36" s="357"/>
      <c r="CK36" s="357"/>
      <c r="CL36" s="37" t="str">
        <f t="shared" si="26"/>
        <v>C.I.</v>
      </c>
      <c r="CM36" s="359"/>
      <c r="CN36" s="356" t="s">
        <v>838</v>
      </c>
      <c r="CO36" s="37" t="s">
        <v>1182</v>
      </c>
      <c r="CP36" s="37" t="s">
        <v>1183</v>
      </c>
      <c r="CQ36" s="91">
        <v>45694</v>
      </c>
      <c r="CR36" s="14">
        <f t="shared" si="128"/>
        <v>46059</v>
      </c>
      <c r="CS36" s="37" t="str">
        <f t="shared" ca="1" si="28"/>
        <v>VIGENTE</v>
      </c>
      <c r="CT36" s="348"/>
      <c r="CU36" s="348"/>
      <c r="CV36" s="12" t="str">
        <f t="shared" si="29"/>
        <v>C.I.</v>
      </c>
      <c r="CW36" s="361"/>
      <c r="CX36" s="356" t="s">
        <v>838</v>
      </c>
      <c r="CY36" s="37" t="s">
        <v>1184</v>
      </c>
      <c r="CZ36" s="37" t="s">
        <v>1185</v>
      </c>
      <c r="DA36" s="91">
        <v>45695</v>
      </c>
      <c r="DB36" s="14">
        <f t="shared" si="129"/>
        <v>46060</v>
      </c>
      <c r="DC36" s="37" t="str">
        <f t="shared" ca="1" si="31"/>
        <v>VIGENTE</v>
      </c>
      <c r="DD36" s="357"/>
      <c r="DE36" s="357"/>
      <c r="DF36" s="37" t="str">
        <f t="shared" si="32"/>
        <v>C.I.</v>
      </c>
      <c r="DG36" s="359"/>
      <c r="DH36" s="356" t="s">
        <v>838</v>
      </c>
      <c r="DI36" s="37" t="s">
        <v>1186</v>
      </c>
      <c r="DJ36" s="37" t="s">
        <v>1187</v>
      </c>
      <c r="DK36" s="91">
        <v>45695</v>
      </c>
      <c r="DL36" s="14">
        <f t="shared" si="130"/>
        <v>46060</v>
      </c>
      <c r="DM36" s="37" t="str">
        <f t="shared" ca="1" si="34"/>
        <v>VIGENTE</v>
      </c>
      <c r="DN36" s="348"/>
      <c r="DO36" s="348"/>
      <c r="DP36" s="12" t="str">
        <f t="shared" si="35"/>
        <v>C.I.</v>
      </c>
      <c r="DQ36" s="361"/>
      <c r="DR36" s="356" t="s">
        <v>838</v>
      </c>
      <c r="DS36" s="37" t="s">
        <v>1188</v>
      </c>
      <c r="DT36" s="37" t="s">
        <v>1189</v>
      </c>
      <c r="DU36" s="91">
        <v>45695</v>
      </c>
      <c r="DV36" s="14">
        <f t="shared" si="131"/>
        <v>46060</v>
      </c>
      <c r="DW36" s="37" t="str">
        <f t="shared" ca="1" si="37"/>
        <v>VIGENTE</v>
      </c>
      <c r="DX36" s="357"/>
      <c r="DY36" s="357"/>
      <c r="DZ36" s="37" t="str">
        <f t="shared" si="38"/>
        <v>C.I.</v>
      </c>
      <c r="EA36" s="359"/>
      <c r="EB36" s="356" t="s">
        <v>838</v>
      </c>
      <c r="EC36" s="37" t="s">
        <v>1190</v>
      </c>
      <c r="ED36" s="37" t="s">
        <v>1191</v>
      </c>
      <c r="EE36" s="91">
        <v>45695</v>
      </c>
      <c r="EF36" s="14">
        <f t="shared" si="132"/>
        <v>46060</v>
      </c>
      <c r="EG36" s="37" t="str">
        <f t="shared" ca="1" si="40"/>
        <v>VIGENTE</v>
      </c>
      <c r="EH36" s="348"/>
      <c r="EI36" s="348"/>
      <c r="EJ36" s="12" t="str">
        <f t="shared" si="41"/>
        <v>C.I.</v>
      </c>
      <c r="EK36" s="361"/>
      <c r="EL36" s="356" t="s">
        <v>838</v>
      </c>
      <c r="EM36" s="37" t="s">
        <v>1192</v>
      </c>
      <c r="EN36" s="37" t="s">
        <v>1193</v>
      </c>
      <c r="EO36" s="91">
        <v>45695</v>
      </c>
      <c r="EP36" s="14">
        <f t="shared" si="133"/>
        <v>46060</v>
      </c>
      <c r="EQ36" s="37" t="str">
        <f t="shared" ca="1" si="43"/>
        <v>VIGENTE</v>
      </c>
      <c r="ER36" s="357"/>
      <c r="ES36" s="357"/>
      <c r="ET36" s="37" t="str">
        <f t="shared" si="44"/>
        <v>C.I.</v>
      </c>
      <c r="EU36" s="359"/>
      <c r="EV36" s="356" t="s">
        <v>838</v>
      </c>
      <c r="EW36" s="37" t="s">
        <v>1194</v>
      </c>
      <c r="EX36" s="37" t="s">
        <v>1195</v>
      </c>
      <c r="EY36" s="91">
        <v>45695</v>
      </c>
      <c r="EZ36" s="14">
        <f t="shared" si="134"/>
        <v>46060</v>
      </c>
      <c r="FA36" s="37" t="str">
        <f t="shared" ca="1" si="46"/>
        <v>VIGENTE</v>
      </c>
      <c r="FB36" s="348"/>
      <c r="FC36" s="348"/>
      <c r="FD36" s="12" t="str">
        <f t="shared" si="47"/>
        <v>C.I.</v>
      </c>
      <c r="FE36" s="361"/>
      <c r="FF36" s="356" t="s">
        <v>838</v>
      </c>
      <c r="FG36" s="37" t="s">
        <v>1196</v>
      </c>
      <c r="FH36" s="37" t="s">
        <v>1197</v>
      </c>
      <c r="FI36" s="91">
        <v>45695</v>
      </c>
      <c r="FJ36" s="14">
        <f t="shared" si="135"/>
        <v>46060</v>
      </c>
      <c r="FK36" s="37" t="str">
        <f t="shared" ca="1" si="49"/>
        <v>VIGENTE</v>
      </c>
      <c r="FL36" s="357"/>
      <c r="FM36" s="357"/>
      <c r="FN36" s="37" t="str">
        <f t="shared" si="50"/>
        <v>C.I.</v>
      </c>
      <c r="FO36" s="359"/>
      <c r="FP36" s="356" t="s">
        <v>838</v>
      </c>
      <c r="FQ36" s="37" t="s">
        <v>1198</v>
      </c>
      <c r="FR36" s="37" t="s">
        <v>1199</v>
      </c>
      <c r="FS36" s="91">
        <v>45699</v>
      </c>
      <c r="FT36" s="14">
        <f t="shared" si="136"/>
        <v>46064</v>
      </c>
      <c r="FU36" s="37" t="str">
        <f t="shared" ca="1" si="52"/>
        <v>VIGENTE</v>
      </c>
      <c r="FV36" s="348"/>
      <c r="FW36" s="348"/>
      <c r="FX36" s="12" t="str">
        <f t="shared" si="53"/>
        <v>C.I.</v>
      </c>
      <c r="FY36" s="361"/>
      <c r="FZ36" s="356" t="s">
        <v>838</v>
      </c>
      <c r="GA36" s="37" t="s">
        <v>1200</v>
      </c>
      <c r="GB36" s="37" t="s">
        <v>1201</v>
      </c>
      <c r="GC36" s="91">
        <v>45699</v>
      </c>
      <c r="GD36" s="14">
        <f t="shared" si="137"/>
        <v>46064</v>
      </c>
      <c r="GE36" s="37" t="str">
        <f t="shared" ca="1" si="55"/>
        <v>VIGENTE</v>
      </c>
      <c r="GF36" s="357"/>
      <c r="GG36" s="357"/>
      <c r="GH36" s="37" t="str">
        <f t="shared" si="56"/>
        <v>C.I.</v>
      </c>
      <c r="GI36" s="359"/>
      <c r="GJ36" s="363"/>
      <c r="GK36" s="12"/>
      <c r="GL36" s="348"/>
      <c r="GM36" s="348"/>
      <c r="GN36" s="91" t="str">
        <f t="shared" si="138"/>
        <v xml:space="preserve"> </v>
      </c>
      <c r="GO36" s="37" t="str">
        <f t="shared" ca="1" si="58"/>
        <v xml:space="preserve"> </v>
      </c>
      <c r="GP36" s="348"/>
      <c r="GQ36" s="348"/>
      <c r="GR36" s="12" t="str">
        <f t="shared" si="59"/>
        <v xml:space="preserve"> </v>
      </c>
      <c r="GS36" s="364"/>
      <c r="GT36" s="356"/>
      <c r="GU36" s="37"/>
      <c r="GV36" s="357"/>
      <c r="GW36" s="357"/>
      <c r="GX36" s="91" t="str">
        <f t="shared" si="139"/>
        <v xml:space="preserve"> </v>
      </c>
      <c r="GY36" s="37" t="str">
        <f t="shared" ca="1" si="61"/>
        <v xml:space="preserve"> </v>
      </c>
      <c r="GZ36" s="357"/>
      <c r="HA36" s="357"/>
      <c r="HB36" s="37" t="str">
        <f t="shared" si="62"/>
        <v xml:space="preserve"> </v>
      </c>
      <c r="HC36" s="359"/>
      <c r="HD36" s="363"/>
      <c r="HE36" s="12"/>
      <c r="HF36" s="348"/>
      <c r="HG36" s="348"/>
      <c r="HH36" s="91" t="str">
        <f t="shared" si="140"/>
        <v xml:space="preserve"> </v>
      </c>
      <c r="HI36" s="37" t="str">
        <f t="shared" ca="1" si="64"/>
        <v xml:space="preserve"> </v>
      </c>
      <c r="HJ36" s="348"/>
      <c r="HK36" s="348"/>
      <c r="HL36" s="12" t="str">
        <f t="shared" si="65"/>
        <v xml:space="preserve"> </v>
      </c>
      <c r="HM36" s="364"/>
      <c r="HN36" s="356"/>
      <c r="HO36" s="37"/>
      <c r="HP36" s="357"/>
      <c r="HQ36" s="357"/>
      <c r="HR36" s="91" t="str">
        <f t="shared" si="141"/>
        <v xml:space="preserve"> </v>
      </c>
      <c r="HS36" s="37" t="str">
        <f t="shared" ca="1" si="67"/>
        <v xml:space="preserve"> </v>
      </c>
      <c r="HT36" s="357"/>
      <c r="HU36" s="357"/>
      <c r="HV36" s="37" t="str">
        <f t="shared" si="68"/>
        <v xml:space="preserve"> </v>
      </c>
      <c r="HW36" s="359"/>
      <c r="HX36" s="363"/>
      <c r="HY36" s="12"/>
      <c r="HZ36" s="348"/>
      <c r="IA36" s="348"/>
      <c r="IB36" s="91" t="str">
        <f t="shared" si="142"/>
        <v xml:space="preserve"> </v>
      </c>
      <c r="IC36" s="37" t="str">
        <f t="shared" ca="1" si="70"/>
        <v xml:space="preserve"> </v>
      </c>
      <c r="ID36" s="348"/>
      <c r="IE36" s="348"/>
      <c r="IF36" s="12" t="str">
        <f t="shared" si="71"/>
        <v xml:space="preserve"> </v>
      </c>
      <c r="IG36" s="364"/>
      <c r="IH36" s="356"/>
      <c r="II36" s="357"/>
      <c r="IJ36" s="357"/>
      <c r="IK36" s="357"/>
      <c r="IL36" s="91" t="str">
        <f t="shared" si="143"/>
        <v xml:space="preserve"> </v>
      </c>
      <c r="IM36" s="37" t="str">
        <f t="shared" ca="1" si="73"/>
        <v xml:space="preserve"> </v>
      </c>
      <c r="IN36" s="357"/>
      <c r="IO36" s="357"/>
      <c r="IP36" s="37" t="str">
        <f t="shared" si="74"/>
        <v xml:space="preserve"> </v>
      </c>
      <c r="IQ36" s="359"/>
      <c r="IR36" s="363"/>
      <c r="IS36" s="348"/>
      <c r="IT36" s="348"/>
      <c r="IU36" s="348"/>
      <c r="IV36" s="91" t="str">
        <f t="shared" si="144"/>
        <v xml:space="preserve"> </v>
      </c>
      <c r="IW36" s="37" t="str">
        <f t="shared" ca="1" si="76"/>
        <v xml:space="preserve"> </v>
      </c>
      <c r="IX36" s="348"/>
      <c r="IY36" s="348"/>
      <c r="IZ36" s="37" t="str">
        <f t="shared" si="77"/>
        <v xml:space="preserve"> </v>
      </c>
      <c r="JA36" s="364"/>
      <c r="JB36" s="356"/>
      <c r="JC36" s="357"/>
      <c r="JD36" s="357"/>
      <c r="JE36" s="357"/>
      <c r="JF36" s="91" t="str">
        <f t="shared" si="145"/>
        <v xml:space="preserve"> </v>
      </c>
      <c r="JG36" s="37" t="str">
        <f t="shared" ca="1" si="79"/>
        <v xml:space="preserve"> </v>
      </c>
      <c r="JH36" s="357"/>
      <c r="JI36" s="357"/>
      <c r="JJ36" s="37" t="str">
        <f t="shared" si="80"/>
        <v xml:space="preserve"> </v>
      </c>
      <c r="JK36" s="359"/>
      <c r="JL36" s="363"/>
      <c r="JM36" s="348"/>
      <c r="JN36" s="348"/>
      <c r="JO36" s="348"/>
      <c r="JP36" s="348" t="str">
        <f t="shared" si="81"/>
        <v xml:space="preserve"> </v>
      </c>
      <c r="JQ36" s="37" t="str">
        <f t="shared" ca="1" si="82"/>
        <v xml:space="preserve"> </v>
      </c>
      <c r="JR36" s="348"/>
      <c r="JS36" s="348"/>
      <c r="JT36" s="37" t="str">
        <f t="shared" si="83"/>
        <v xml:space="preserve"> </v>
      </c>
      <c r="JU36" s="364"/>
      <c r="JV36" s="356"/>
      <c r="JW36" s="357"/>
      <c r="JX36" s="357"/>
      <c r="JY36" s="357"/>
      <c r="JZ36" s="357" t="str">
        <f t="shared" si="84"/>
        <v xml:space="preserve"> </v>
      </c>
      <c r="KA36" s="37" t="str">
        <f t="shared" ca="1" si="85"/>
        <v xml:space="preserve"> </v>
      </c>
      <c r="KB36" s="357"/>
      <c r="KC36" s="357"/>
      <c r="KD36" s="37" t="str">
        <f t="shared" si="86"/>
        <v xml:space="preserve"> </v>
      </c>
      <c r="KE36" s="359"/>
      <c r="KF36" s="363"/>
      <c r="KG36" s="348"/>
      <c r="KH36" s="348"/>
      <c r="KI36" s="348"/>
      <c r="KJ36" s="348" t="str">
        <f t="shared" si="87"/>
        <v xml:space="preserve"> </v>
      </c>
      <c r="KK36" s="37" t="str">
        <f t="shared" ca="1" si="88"/>
        <v xml:space="preserve"> </v>
      </c>
      <c r="KL36" s="348"/>
      <c r="KM36" s="348"/>
      <c r="KN36" s="37" t="str">
        <f t="shared" si="89"/>
        <v xml:space="preserve"> </v>
      </c>
      <c r="KO36" s="364"/>
      <c r="KP36" s="356"/>
      <c r="KQ36" s="357"/>
      <c r="KR36" s="357"/>
      <c r="KS36" s="357"/>
      <c r="KT36" s="357" t="str">
        <f t="shared" si="90"/>
        <v xml:space="preserve"> </v>
      </c>
      <c r="KU36" s="37" t="str">
        <f t="shared" ca="1" si="91"/>
        <v xml:space="preserve"> </v>
      </c>
      <c r="KV36" s="357"/>
      <c r="KW36" s="357"/>
      <c r="KX36" s="37" t="str">
        <f t="shared" si="92"/>
        <v xml:space="preserve"> </v>
      </c>
      <c r="KY36" s="359"/>
      <c r="KZ36" s="363"/>
      <c r="LA36" s="348"/>
      <c r="LB36" s="348"/>
      <c r="LC36" s="348"/>
      <c r="LD36" s="348" t="str">
        <f t="shared" si="93"/>
        <v xml:space="preserve"> </v>
      </c>
      <c r="LE36" s="37" t="str">
        <f t="shared" ca="1" si="94"/>
        <v xml:space="preserve"> </v>
      </c>
      <c r="LF36" s="348"/>
      <c r="LG36" s="348"/>
      <c r="LH36" s="37" t="str">
        <f t="shared" si="95"/>
        <v xml:space="preserve"> </v>
      </c>
      <c r="LI36" s="364"/>
      <c r="LJ36" s="356"/>
      <c r="LK36" s="357"/>
      <c r="LL36" s="357"/>
      <c r="LM36" s="357"/>
      <c r="LN36" s="357" t="str">
        <f t="shared" si="96"/>
        <v xml:space="preserve"> </v>
      </c>
      <c r="LO36" s="37" t="str">
        <f t="shared" ca="1" si="97"/>
        <v xml:space="preserve"> </v>
      </c>
      <c r="LP36" s="357"/>
      <c r="LQ36" s="357"/>
      <c r="LR36" s="37" t="str">
        <f t="shared" si="98"/>
        <v xml:space="preserve"> </v>
      </c>
      <c r="LS36" s="359"/>
      <c r="LT36" s="363"/>
      <c r="LU36" s="348"/>
      <c r="LV36" s="348"/>
      <c r="LW36" s="348"/>
      <c r="LX36" s="348" t="str">
        <f t="shared" si="114"/>
        <v xml:space="preserve"> </v>
      </c>
      <c r="LY36" s="37" t="str">
        <f t="shared" ca="1" si="99"/>
        <v xml:space="preserve"> </v>
      </c>
      <c r="LZ36" s="348"/>
      <c r="MA36" s="348"/>
      <c r="MB36" s="37" t="str">
        <f t="shared" si="100"/>
        <v xml:space="preserve"> </v>
      </c>
      <c r="MC36" s="364"/>
      <c r="MD36" s="356"/>
      <c r="ME36" s="357"/>
      <c r="MF36" s="357"/>
      <c r="MG36" s="357"/>
      <c r="MH36" s="357"/>
      <c r="MI36" s="37" t="str">
        <f t="shared" ca="1" si="101"/>
        <v xml:space="preserve"> </v>
      </c>
      <c r="MJ36" s="357"/>
      <c r="MK36" s="357"/>
      <c r="ML36" s="37" t="str">
        <f t="shared" si="102"/>
        <v xml:space="preserve"> </v>
      </c>
      <c r="MM36" s="359"/>
      <c r="MN36" s="363"/>
      <c r="MO36" s="348"/>
      <c r="MP36" s="348"/>
      <c r="MQ36" s="348"/>
      <c r="MR36" s="348"/>
      <c r="MS36" s="37" t="str">
        <f t="shared" ca="1" si="103"/>
        <v xml:space="preserve"> </v>
      </c>
      <c r="MT36" s="348"/>
      <c r="MU36" s="348"/>
      <c r="MV36" s="37" t="str">
        <f t="shared" si="104"/>
        <v xml:space="preserve"> </v>
      </c>
      <c r="MW36" s="364"/>
      <c r="MX36" s="356"/>
      <c r="MY36" s="357"/>
      <c r="MZ36" s="357"/>
      <c r="NA36" s="357"/>
      <c r="NB36" s="357"/>
      <c r="NC36" s="37" t="str">
        <f t="shared" ca="1" si="105"/>
        <v xml:space="preserve"> </v>
      </c>
      <c r="ND36" s="357"/>
      <c r="NE36" s="357"/>
      <c r="NF36" s="37" t="str">
        <f t="shared" si="115"/>
        <v xml:space="preserve"> </v>
      </c>
      <c r="NG36" s="359"/>
      <c r="NH36" s="363"/>
      <c r="NI36" s="348"/>
      <c r="NJ36" s="348"/>
      <c r="NK36" s="348"/>
      <c r="NL36" s="348"/>
      <c r="NM36" s="37" t="str">
        <f t="shared" ca="1" si="107"/>
        <v xml:space="preserve"> </v>
      </c>
      <c r="NN36" s="348"/>
      <c r="NO36" s="348"/>
      <c r="NP36" s="37" t="str">
        <f t="shared" si="116"/>
        <v xml:space="preserve"> </v>
      </c>
      <c r="NQ36" s="364"/>
      <c r="NR36" s="356"/>
      <c r="NS36" s="357"/>
      <c r="NT36" s="357"/>
      <c r="NU36" s="357"/>
      <c r="NV36" s="357"/>
      <c r="NW36" s="37" t="str">
        <f t="shared" ca="1" si="109"/>
        <v xml:space="preserve"> </v>
      </c>
      <c r="NX36" s="357"/>
      <c r="NY36" s="357"/>
      <c r="NZ36" s="37" t="str">
        <f t="shared" si="117"/>
        <v xml:space="preserve"> </v>
      </c>
      <c r="OA36" s="359"/>
      <c r="OB36" s="363"/>
      <c r="OC36" s="348"/>
      <c r="OD36" s="348"/>
      <c r="OE36" s="348"/>
      <c r="OF36" s="348"/>
      <c r="OG36" s="37" t="str">
        <f t="shared" ca="1" si="111"/>
        <v xml:space="preserve"> </v>
      </c>
      <c r="OH36" s="348"/>
      <c r="OI36" s="348"/>
      <c r="OJ36" s="37" t="str">
        <f t="shared" si="118"/>
        <v xml:space="preserve"> </v>
      </c>
      <c r="OK36" s="364"/>
    </row>
    <row r="37" spans="1:401" s="44" customFormat="1" ht="22.2" customHeight="1" x14ac:dyDescent="0.3">
      <c r="A37" s="365" t="s">
        <v>216</v>
      </c>
      <c r="B37" s="369" t="s">
        <v>841</v>
      </c>
      <c r="C37" s="54">
        <v>53864</v>
      </c>
      <c r="D37" s="366" t="s">
        <v>1202</v>
      </c>
      <c r="E37" s="177">
        <v>45710</v>
      </c>
      <c r="F37" s="177">
        <f t="shared" si="119"/>
        <v>46075</v>
      </c>
      <c r="G37" s="54" t="str">
        <f t="shared" ca="1" si="113"/>
        <v>VIGENTE</v>
      </c>
      <c r="H37" s="54"/>
      <c r="I37" s="54"/>
      <c r="J37" s="54" t="str">
        <f t="shared" si="2"/>
        <v>C.C.</v>
      </c>
      <c r="K37" s="171"/>
      <c r="L37" s="369" t="s">
        <v>841</v>
      </c>
      <c r="M37" s="54">
        <v>54013</v>
      </c>
      <c r="N37" s="366" t="s">
        <v>1203</v>
      </c>
      <c r="O37" s="177">
        <v>45710</v>
      </c>
      <c r="P37" s="177">
        <f t="shared" si="3"/>
        <v>46075</v>
      </c>
      <c r="Q37" s="54" t="str">
        <f t="shared" ca="1" si="4"/>
        <v>VIGENTE</v>
      </c>
      <c r="R37" s="54"/>
      <c r="S37" s="54"/>
      <c r="T37" s="54" t="str">
        <f t="shared" si="5"/>
        <v>C.C.</v>
      </c>
      <c r="U37" s="171"/>
      <c r="V37" s="369" t="s">
        <v>841</v>
      </c>
      <c r="W37" s="54">
        <v>53893</v>
      </c>
      <c r="X37" s="366" t="s">
        <v>1204</v>
      </c>
      <c r="Y37" s="177">
        <v>45710</v>
      </c>
      <c r="Z37" s="177">
        <f t="shared" si="121"/>
        <v>46075</v>
      </c>
      <c r="AA37" s="54" t="str">
        <f t="shared" ca="1" si="7"/>
        <v>VIGENTE</v>
      </c>
      <c r="AB37" s="366"/>
      <c r="AC37" s="366"/>
      <c r="AD37" s="54" t="str">
        <f t="shared" si="8"/>
        <v>C.C.</v>
      </c>
      <c r="AE37" s="367"/>
      <c r="AF37" s="369" t="s">
        <v>838</v>
      </c>
      <c r="AG37" s="54" t="s">
        <v>1205</v>
      </c>
      <c r="AH37" s="366" t="s">
        <v>1206</v>
      </c>
      <c r="AI37" s="177">
        <v>45723</v>
      </c>
      <c r="AJ37" s="177">
        <f t="shared" si="122"/>
        <v>46088</v>
      </c>
      <c r="AK37" s="54" t="str">
        <f t="shared" ca="1" si="10"/>
        <v>VIGENTE</v>
      </c>
      <c r="AL37" s="346"/>
      <c r="AM37" s="346"/>
      <c r="AN37" s="49" t="str">
        <f t="shared" si="11"/>
        <v>C.I.</v>
      </c>
      <c r="AO37" s="368"/>
      <c r="AP37" s="369" t="s">
        <v>838</v>
      </c>
      <c r="AQ37" s="54" t="s">
        <v>1207</v>
      </c>
      <c r="AR37" s="366" t="s">
        <v>1208</v>
      </c>
      <c r="AS37" s="177">
        <v>45723</v>
      </c>
      <c r="AT37" s="177">
        <f t="shared" si="123"/>
        <v>46088</v>
      </c>
      <c r="AU37" s="54" t="str">
        <f t="shared" ca="1" si="13"/>
        <v>VIGENTE</v>
      </c>
      <c r="AV37" s="366"/>
      <c r="AW37" s="366"/>
      <c r="AX37" s="54" t="str">
        <f t="shared" si="14"/>
        <v>C.I.</v>
      </c>
      <c r="AY37" s="367"/>
      <c r="AZ37" s="369" t="s">
        <v>838</v>
      </c>
      <c r="BA37" s="54" t="s">
        <v>1209</v>
      </c>
      <c r="BB37" s="366" t="s">
        <v>1210</v>
      </c>
      <c r="BC37" s="177">
        <v>45723</v>
      </c>
      <c r="BD37" s="177">
        <f t="shared" si="124"/>
        <v>46089</v>
      </c>
      <c r="BE37" s="54" t="str">
        <f t="shared" ca="1" si="16"/>
        <v>VIGENTE</v>
      </c>
      <c r="BF37" s="346"/>
      <c r="BG37" s="346"/>
      <c r="BH37" s="49" t="str">
        <f t="shared" si="17"/>
        <v>C.I.</v>
      </c>
      <c r="BI37" s="368"/>
      <c r="BJ37" s="369" t="s">
        <v>838</v>
      </c>
      <c r="BK37" s="54" t="s">
        <v>1211</v>
      </c>
      <c r="BL37" s="366" t="s">
        <v>1212</v>
      </c>
      <c r="BM37" s="177">
        <v>45723</v>
      </c>
      <c r="BN37" s="177">
        <f t="shared" si="125"/>
        <v>46088</v>
      </c>
      <c r="BO37" s="54" t="str">
        <f t="shared" ca="1" si="19"/>
        <v>VIGENTE</v>
      </c>
      <c r="BP37" s="366"/>
      <c r="BQ37" s="366"/>
      <c r="BR37" s="54" t="str">
        <f t="shared" si="20"/>
        <v>C.I.</v>
      </c>
      <c r="BS37" s="367"/>
      <c r="BT37" s="369" t="s">
        <v>838</v>
      </c>
      <c r="BU37" s="54" t="s">
        <v>1213</v>
      </c>
      <c r="BV37" s="366" t="s">
        <v>1214</v>
      </c>
      <c r="BW37" s="177">
        <v>45723</v>
      </c>
      <c r="BX37" s="177">
        <f t="shared" si="126"/>
        <v>46088</v>
      </c>
      <c r="BY37" s="54" t="str">
        <f t="shared" ca="1" si="22"/>
        <v>VIGENTE</v>
      </c>
      <c r="BZ37" s="346"/>
      <c r="CA37" s="346"/>
      <c r="CB37" s="49" t="str">
        <f t="shared" si="23"/>
        <v>C.I.</v>
      </c>
      <c r="CC37" s="368"/>
      <c r="CD37" s="369" t="s">
        <v>838</v>
      </c>
      <c r="CE37" s="54" t="s">
        <v>1215</v>
      </c>
      <c r="CF37" s="366" t="s">
        <v>1216</v>
      </c>
      <c r="CG37" s="177">
        <v>45723</v>
      </c>
      <c r="CH37" s="177">
        <f t="shared" si="127"/>
        <v>46088</v>
      </c>
      <c r="CI37" s="54" t="str">
        <f t="shared" ca="1" si="25"/>
        <v>VIGENTE</v>
      </c>
      <c r="CJ37" s="366"/>
      <c r="CK37" s="366"/>
      <c r="CL37" s="54" t="str">
        <f t="shared" si="26"/>
        <v>C.I.</v>
      </c>
      <c r="CM37" s="367"/>
      <c r="CN37" s="369" t="s">
        <v>838</v>
      </c>
      <c r="CO37" s="54" t="s">
        <v>1217</v>
      </c>
      <c r="CP37" s="366" t="s">
        <v>1218</v>
      </c>
      <c r="CQ37" s="177">
        <v>45723</v>
      </c>
      <c r="CR37" s="177">
        <f t="shared" si="128"/>
        <v>46088</v>
      </c>
      <c r="CS37" s="54" t="str">
        <f t="shared" ca="1" si="28"/>
        <v>VIGENTE</v>
      </c>
      <c r="CT37" s="346"/>
      <c r="CU37" s="346"/>
      <c r="CV37" s="49" t="str">
        <f t="shared" si="29"/>
        <v>C.I.</v>
      </c>
      <c r="CW37" s="368"/>
      <c r="CX37" s="369" t="s">
        <v>838</v>
      </c>
      <c r="CY37" s="54" t="s">
        <v>1219</v>
      </c>
      <c r="CZ37" s="366" t="s">
        <v>1220</v>
      </c>
      <c r="DA37" s="177">
        <v>45723</v>
      </c>
      <c r="DB37" s="177">
        <f t="shared" si="129"/>
        <v>46088</v>
      </c>
      <c r="DC37" s="54" t="str">
        <f t="shared" ca="1" si="31"/>
        <v>VIGENTE</v>
      </c>
      <c r="DD37" s="366"/>
      <c r="DE37" s="366"/>
      <c r="DF37" s="54" t="str">
        <f t="shared" si="32"/>
        <v>C.I.</v>
      </c>
      <c r="DG37" s="367"/>
      <c r="DH37" s="369" t="s">
        <v>838</v>
      </c>
      <c r="DI37" s="54" t="s">
        <v>1221</v>
      </c>
      <c r="DJ37" s="366" t="s">
        <v>1222</v>
      </c>
      <c r="DK37" s="177">
        <v>45723</v>
      </c>
      <c r="DL37" s="177">
        <f t="shared" si="130"/>
        <v>46088</v>
      </c>
      <c r="DM37" s="54" t="str">
        <f t="shared" ca="1" si="34"/>
        <v>VIGENTE</v>
      </c>
      <c r="DN37" s="346"/>
      <c r="DO37" s="346"/>
      <c r="DP37" s="49" t="str">
        <f t="shared" si="35"/>
        <v>C.I.</v>
      </c>
      <c r="DQ37" s="368"/>
      <c r="DR37" s="369" t="s">
        <v>838</v>
      </c>
      <c r="DS37" s="54" t="s">
        <v>1223</v>
      </c>
      <c r="DT37" s="366" t="s">
        <v>1224</v>
      </c>
      <c r="DU37" s="177">
        <v>45723</v>
      </c>
      <c r="DV37" s="177">
        <f t="shared" si="131"/>
        <v>46088</v>
      </c>
      <c r="DW37" s="54" t="str">
        <f t="shared" ca="1" si="37"/>
        <v>VIGENTE</v>
      </c>
      <c r="DX37" s="366"/>
      <c r="DY37" s="366"/>
      <c r="DZ37" s="54" t="str">
        <f t="shared" si="38"/>
        <v>C.I.</v>
      </c>
      <c r="EA37" s="367"/>
      <c r="EB37" s="369" t="s">
        <v>838</v>
      </c>
      <c r="EC37" s="54" t="s">
        <v>1225</v>
      </c>
      <c r="ED37" s="366" t="s">
        <v>1226</v>
      </c>
      <c r="EE37" s="177">
        <v>45723</v>
      </c>
      <c r="EF37" s="177">
        <f t="shared" si="132"/>
        <v>46088</v>
      </c>
      <c r="EG37" s="54" t="str">
        <f t="shared" ca="1" si="40"/>
        <v>VIGENTE</v>
      </c>
      <c r="EH37" s="346"/>
      <c r="EI37" s="346"/>
      <c r="EJ37" s="49" t="str">
        <f t="shared" si="41"/>
        <v>C.I.</v>
      </c>
      <c r="EK37" s="368"/>
      <c r="EL37" s="369" t="s">
        <v>838</v>
      </c>
      <c r="EM37" s="54" t="s">
        <v>1227</v>
      </c>
      <c r="EN37" s="366" t="s">
        <v>1228</v>
      </c>
      <c r="EO37" s="177">
        <v>45723</v>
      </c>
      <c r="EP37" s="177">
        <f t="shared" si="133"/>
        <v>46088</v>
      </c>
      <c r="EQ37" s="54" t="str">
        <f t="shared" ca="1" si="43"/>
        <v>VIGENTE</v>
      </c>
      <c r="ER37" s="366"/>
      <c r="ES37" s="366"/>
      <c r="ET37" s="54" t="str">
        <f t="shared" si="44"/>
        <v>C.I.</v>
      </c>
      <c r="EU37" s="367"/>
      <c r="EV37" s="369" t="s">
        <v>838</v>
      </c>
      <c r="EW37" s="54" t="s">
        <v>1229</v>
      </c>
      <c r="EX37" s="366" t="s">
        <v>1230</v>
      </c>
      <c r="EY37" s="177">
        <v>45723</v>
      </c>
      <c r="EZ37" s="177">
        <f t="shared" si="134"/>
        <v>46088</v>
      </c>
      <c r="FA37" s="54" t="str">
        <f t="shared" ca="1" si="46"/>
        <v>VIGENTE</v>
      </c>
      <c r="FB37" s="346"/>
      <c r="FC37" s="346"/>
      <c r="FD37" s="49" t="str">
        <f t="shared" si="47"/>
        <v>C.I.</v>
      </c>
      <c r="FE37" s="368"/>
      <c r="FF37" s="369" t="s">
        <v>838</v>
      </c>
      <c r="FG37" s="54" t="s">
        <v>1231</v>
      </c>
      <c r="FH37" s="366" t="s">
        <v>1232</v>
      </c>
      <c r="FI37" s="177">
        <v>45724</v>
      </c>
      <c r="FJ37" s="177">
        <f t="shared" si="135"/>
        <v>46089</v>
      </c>
      <c r="FK37" s="54" t="str">
        <f t="shared" ca="1" si="49"/>
        <v>VIGENTE</v>
      </c>
      <c r="FL37" s="366"/>
      <c r="FM37" s="366"/>
      <c r="FN37" s="54" t="str">
        <f t="shared" si="50"/>
        <v>C.I.</v>
      </c>
      <c r="FO37" s="367"/>
      <c r="FP37" s="369" t="s">
        <v>838</v>
      </c>
      <c r="FQ37" s="54" t="s">
        <v>1233</v>
      </c>
      <c r="FR37" s="366" t="s">
        <v>1234</v>
      </c>
      <c r="FS37" s="177">
        <v>45724</v>
      </c>
      <c r="FT37" s="177">
        <f t="shared" si="136"/>
        <v>46089</v>
      </c>
      <c r="FU37" s="54" t="str">
        <f t="shared" ca="1" si="52"/>
        <v>VIGENTE</v>
      </c>
      <c r="FV37" s="346"/>
      <c r="FW37" s="346"/>
      <c r="FX37" s="49" t="str">
        <f t="shared" si="53"/>
        <v>C.I.</v>
      </c>
      <c r="FY37" s="368"/>
      <c r="FZ37" s="369" t="s">
        <v>838</v>
      </c>
      <c r="GA37" s="54" t="s">
        <v>1235</v>
      </c>
      <c r="GB37" s="366" t="s">
        <v>1236</v>
      </c>
      <c r="GC37" s="177">
        <v>45724</v>
      </c>
      <c r="GD37" s="177">
        <f t="shared" si="137"/>
        <v>46089</v>
      </c>
      <c r="GE37" s="54" t="str">
        <f t="shared" ca="1" si="55"/>
        <v>VIGENTE</v>
      </c>
      <c r="GF37" s="366"/>
      <c r="GG37" s="366"/>
      <c r="GH37" s="54" t="str">
        <f t="shared" si="56"/>
        <v>C.I.</v>
      </c>
      <c r="GI37" s="367"/>
      <c r="GJ37" s="369" t="s">
        <v>838</v>
      </c>
      <c r="GK37" s="54" t="s">
        <v>1237</v>
      </c>
      <c r="GL37" s="366" t="s">
        <v>1238</v>
      </c>
      <c r="GM37" s="177">
        <v>45724</v>
      </c>
      <c r="GN37" s="177">
        <f t="shared" si="138"/>
        <v>46089</v>
      </c>
      <c r="GO37" s="54" t="str">
        <f t="shared" ca="1" si="58"/>
        <v>VIGENTE</v>
      </c>
      <c r="GP37" s="346"/>
      <c r="GQ37" s="346"/>
      <c r="GR37" s="49" t="str">
        <f t="shared" si="59"/>
        <v>C.I.</v>
      </c>
      <c r="GS37" s="374"/>
      <c r="GT37" s="369" t="s">
        <v>838</v>
      </c>
      <c r="GU37" s="54" t="s">
        <v>1239</v>
      </c>
      <c r="GV37" s="366" t="s">
        <v>1240</v>
      </c>
      <c r="GW37" s="177">
        <v>45724</v>
      </c>
      <c r="GX37" s="177">
        <f t="shared" si="139"/>
        <v>46089</v>
      </c>
      <c r="GY37" s="54" t="str">
        <f t="shared" ca="1" si="61"/>
        <v>VIGENTE</v>
      </c>
      <c r="GZ37" s="366"/>
      <c r="HA37" s="366"/>
      <c r="HB37" s="54" t="str">
        <f t="shared" si="62"/>
        <v>C.I.</v>
      </c>
      <c r="HC37" s="367"/>
      <c r="HD37" s="369" t="s">
        <v>838</v>
      </c>
      <c r="HE37" s="54" t="s">
        <v>1241</v>
      </c>
      <c r="HF37" s="366" t="s">
        <v>1242</v>
      </c>
      <c r="HG37" s="177">
        <v>45736</v>
      </c>
      <c r="HH37" s="177">
        <f t="shared" si="140"/>
        <v>46101</v>
      </c>
      <c r="HI37" s="54" t="str">
        <f t="shared" ca="1" si="64"/>
        <v>VIGENTE</v>
      </c>
      <c r="HJ37" s="346"/>
      <c r="HK37" s="346"/>
      <c r="HL37" s="49" t="str">
        <f t="shared" si="65"/>
        <v>C.I.</v>
      </c>
      <c r="HM37" s="374"/>
      <c r="HN37" s="369" t="s">
        <v>838</v>
      </c>
      <c r="HO37" s="54" t="s">
        <v>1243</v>
      </c>
      <c r="HP37" s="366" t="s">
        <v>1244</v>
      </c>
      <c r="HQ37" s="177">
        <v>45736</v>
      </c>
      <c r="HR37" s="177">
        <f t="shared" si="141"/>
        <v>46101</v>
      </c>
      <c r="HS37" s="54" t="str">
        <f t="shared" ca="1" si="67"/>
        <v>VIGENTE</v>
      </c>
      <c r="HT37" s="366"/>
      <c r="HU37" s="366"/>
      <c r="HV37" s="54" t="str">
        <f t="shared" si="68"/>
        <v>C.I.</v>
      </c>
      <c r="HW37" s="367"/>
      <c r="HX37" s="369" t="s">
        <v>838</v>
      </c>
      <c r="HY37" s="54" t="s">
        <v>1245</v>
      </c>
      <c r="HZ37" s="366" t="s">
        <v>1246</v>
      </c>
      <c r="IA37" s="177" t="s">
        <v>907</v>
      </c>
      <c r="IB37" s="177">
        <f t="shared" si="142"/>
        <v>46101</v>
      </c>
      <c r="IC37" s="54" t="str">
        <f t="shared" ca="1" si="70"/>
        <v>VIGENTE</v>
      </c>
      <c r="ID37" s="346"/>
      <c r="IE37" s="346"/>
      <c r="IF37" s="49" t="str">
        <f t="shared" si="71"/>
        <v>C.I.</v>
      </c>
      <c r="IG37" s="374"/>
      <c r="IH37" s="369" t="s">
        <v>838</v>
      </c>
      <c r="II37" s="54" t="s">
        <v>1247</v>
      </c>
      <c r="IJ37" s="366" t="s">
        <v>1248</v>
      </c>
      <c r="IK37" s="177" t="s">
        <v>907</v>
      </c>
      <c r="IL37" s="177">
        <f t="shared" si="143"/>
        <v>46101</v>
      </c>
      <c r="IM37" s="54" t="str">
        <f t="shared" ca="1" si="73"/>
        <v>VIGENTE</v>
      </c>
      <c r="IN37" s="366"/>
      <c r="IO37" s="366"/>
      <c r="IP37" s="54" t="str">
        <f t="shared" si="74"/>
        <v>C.I.</v>
      </c>
      <c r="IQ37" s="367"/>
      <c r="IR37" s="369" t="s">
        <v>838</v>
      </c>
      <c r="IS37" s="54" t="s">
        <v>1249</v>
      </c>
      <c r="IT37" s="366" t="s">
        <v>1250</v>
      </c>
      <c r="IU37" s="177" t="s">
        <v>907</v>
      </c>
      <c r="IV37" s="177">
        <f t="shared" si="144"/>
        <v>46101</v>
      </c>
      <c r="IW37" s="54" t="str">
        <f t="shared" ca="1" si="76"/>
        <v>VIGENTE</v>
      </c>
      <c r="IX37" s="346"/>
      <c r="IY37" s="346"/>
      <c r="IZ37" s="54" t="str">
        <f t="shared" si="77"/>
        <v>C.I.</v>
      </c>
      <c r="JA37" s="374"/>
      <c r="JB37" s="369" t="s">
        <v>838</v>
      </c>
      <c r="JC37" s="54" t="s">
        <v>1251</v>
      </c>
      <c r="JD37" s="366" t="s">
        <v>1252</v>
      </c>
      <c r="JE37" s="177" t="s">
        <v>907</v>
      </c>
      <c r="JF37" s="177">
        <f t="shared" si="145"/>
        <v>46101</v>
      </c>
      <c r="JG37" s="54" t="str">
        <f t="shared" ca="1" si="79"/>
        <v>VIGENTE</v>
      </c>
      <c r="JH37" s="366"/>
      <c r="JI37" s="366"/>
      <c r="JJ37" s="54" t="str">
        <f t="shared" si="80"/>
        <v>C.I.</v>
      </c>
      <c r="JK37" s="367"/>
      <c r="JL37" s="369" t="s">
        <v>838</v>
      </c>
      <c r="JM37" s="54" t="s">
        <v>1253</v>
      </c>
      <c r="JN37" s="366" t="s">
        <v>1254</v>
      </c>
      <c r="JO37" s="177" t="s">
        <v>907</v>
      </c>
      <c r="JP37" s="177">
        <f t="shared" ref="JP37:JP49" si="148">IF(JO37=0," ",JO37+365)</f>
        <v>46101</v>
      </c>
      <c r="JQ37" s="54" t="str">
        <f t="shared" ca="1" si="82"/>
        <v>VIGENTE</v>
      </c>
      <c r="JR37" s="346"/>
      <c r="JS37" s="346"/>
      <c r="JT37" s="54" t="str">
        <f t="shared" si="83"/>
        <v>C.I.</v>
      </c>
      <c r="JU37" s="374"/>
      <c r="JV37" s="369" t="s">
        <v>838</v>
      </c>
      <c r="JW37" s="54" t="s">
        <v>1255</v>
      </c>
      <c r="JX37" s="366" t="s">
        <v>1256</v>
      </c>
      <c r="JY37" s="177" t="s">
        <v>907</v>
      </c>
      <c r="JZ37" s="177">
        <f t="shared" ref="JZ37:JZ49" si="149">IF(JY37=0," ",JY37+365)</f>
        <v>46101</v>
      </c>
      <c r="KA37" s="54" t="str">
        <f t="shared" ca="1" si="85"/>
        <v>VIGENTE</v>
      </c>
      <c r="KB37" s="366"/>
      <c r="KC37" s="366"/>
      <c r="KD37" s="54" t="str">
        <f t="shared" si="86"/>
        <v>C.I.</v>
      </c>
      <c r="KE37" s="367"/>
      <c r="KF37" s="369" t="s">
        <v>838</v>
      </c>
      <c r="KG37" s="54" t="s">
        <v>1257</v>
      </c>
      <c r="KH37" s="366" t="s">
        <v>1258</v>
      </c>
      <c r="KI37" s="177" t="s">
        <v>907</v>
      </c>
      <c r="KJ37" s="177">
        <f t="shared" ref="KJ37:KJ49" si="150">IF(KI37=0," ",KI37+365)</f>
        <v>46101</v>
      </c>
      <c r="KK37" s="54" t="str">
        <f t="shared" ca="1" si="88"/>
        <v>VIGENTE</v>
      </c>
      <c r="KL37" s="346"/>
      <c r="KM37" s="346"/>
      <c r="KN37" s="54" t="str">
        <f t="shared" si="89"/>
        <v>C.I.</v>
      </c>
      <c r="KO37" s="374"/>
      <c r="KP37" s="369" t="s">
        <v>838</v>
      </c>
      <c r="KQ37" s="54" t="s">
        <v>1259</v>
      </c>
      <c r="KR37" s="366" t="s">
        <v>1260</v>
      </c>
      <c r="KS37" s="177" t="s">
        <v>907</v>
      </c>
      <c r="KT37" s="177">
        <f t="shared" ref="KT37:KT49" si="151">IF(KS37=0," ",KS37+365)</f>
        <v>46101</v>
      </c>
      <c r="KU37" s="54" t="str">
        <f t="shared" ca="1" si="91"/>
        <v>VIGENTE</v>
      </c>
      <c r="KV37" s="366"/>
      <c r="KW37" s="366"/>
      <c r="KX37" s="54" t="str">
        <f t="shared" si="92"/>
        <v>C.I.</v>
      </c>
      <c r="KY37" s="367"/>
      <c r="KZ37" s="369" t="s">
        <v>838</v>
      </c>
      <c r="LA37" s="54" t="s">
        <v>1261</v>
      </c>
      <c r="LB37" s="366" t="s">
        <v>1262</v>
      </c>
      <c r="LC37" s="177" t="s">
        <v>907</v>
      </c>
      <c r="LD37" s="177">
        <f t="shared" ref="LD37:LD49" si="152">IF(LC37=0," ",LC37+365)</f>
        <v>46101</v>
      </c>
      <c r="LE37" s="54" t="str">
        <f t="shared" ca="1" si="94"/>
        <v>VIGENTE</v>
      </c>
      <c r="LF37" s="346"/>
      <c r="LG37" s="346"/>
      <c r="LH37" s="54" t="str">
        <f t="shared" si="95"/>
        <v>C.I.</v>
      </c>
      <c r="LI37" s="374"/>
      <c r="LJ37" s="369" t="s">
        <v>838</v>
      </c>
      <c r="LK37" s="54" t="s">
        <v>1263</v>
      </c>
      <c r="LL37" s="366" t="s">
        <v>1264</v>
      </c>
      <c r="LM37" s="177" t="s">
        <v>907</v>
      </c>
      <c r="LN37" s="177">
        <f t="shared" ref="LN37:LN49" si="153">IF(LM37=0," ",LM37+365)</f>
        <v>46101</v>
      </c>
      <c r="LO37" s="54" t="str">
        <f t="shared" ca="1" si="97"/>
        <v>VIGENTE</v>
      </c>
      <c r="LP37" s="366"/>
      <c r="LQ37" s="366"/>
      <c r="LR37" s="54" t="str">
        <f t="shared" si="98"/>
        <v>C.I.</v>
      </c>
      <c r="LS37" s="367"/>
      <c r="LT37" s="373"/>
      <c r="LU37" s="346"/>
      <c r="LV37" s="346"/>
      <c r="LW37" s="346"/>
      <c r="LX37" s="346" t="str">
        <f t="shared" si="114"/>
        <v xml:space="preserve"> </v>
      </c>
      <c r="LY37" s="54" t="str">
        <f t="shared" ca="1" si="99"/>
        <v xml:space="preserve"> </v>
      </c>
      <c r="LZ37" s="346"/>
      <c r="MA37" s="346"/>
      <c r="MB37" s="54" t="str">
        <f t="shared" si="100"/>
        <v xml:space="preserve"> </v>
      </c>
      <c r="MC37" s="374"/>
      <c r="MD37" s="369"/>
      <c r="ME37" s="366"/>
      <c r="MF37" s="366"/>
      <c r="MG37" s="366"/>
      <c r="MH37" s="366"/>
      <c r="MI37" s="54" t="str">
        <f t="shared" ca="1" si="101"/>
        <v xml:space="preserve"> </v>
      </c>
      <c r="MJ37" s="366"/>
      <c r="MK37" s="366"/>
      <c r="ML37" s="54" t="str">
        <f t="shared" si="102"/>
        <v xml:space="preserve"> </v>
      </c>
      <c r="MM37" s="367"/>
      <c r="MN37" s="373"/>
      <c r="MO37" s="346"/>
      <c r="MP37" s="346"/>
      <c r="MQ37" s="346"/>
      <c r="MR37" s="346"/>
      <c r="MS37" s="54" t="str">
        <f t="shared" ca="1" si="103"/>
        <v xml:space="preserve"> </v>
      </c>
      <c r="MT37" s="346"/>
      <c r="MU37" s="346"/>
      <c r="MV37" s="54" t="str">
        <f t="shared" si="104"/>
        <v xml:space="preserve"> </v>
      </c>
      <c r="MW37" s="374"/>
      <c r="MX37" s="369"/>
      <c r="MY37" s="366"/>
      <c r="MZ37" s="366"/>
      <c r="NA37" s="366"/>
      <c r="NB37" s="366"/>
      <c r="NC37" s="54" t="str">
        <f t="shared" ca="1" si="105"/>
        <v xml:space="preserve"> </v>
      </c>
      <c r="ND37" s="366"/>
      <c r="NE37" s="366"/>
      <c r="NF37" s="54" t="str">
        <f t="shared" si="115"/>
        <v xml:space="preserve"> </v>
      </c>
      <c r="NG37" s="367"/>
      <c r="NH37" s="373"/>
      <c r="NI37" s="346"/>
      <c r="NJ37" s="346"/>
      <c r="NK37" s="346"/>
      <c r="NL37" s="346"/>
      <c r="NM37" s="54" t="str">
        <f t="shared" ca="1" si="107"/>
        <v xml:space="preserve"> </v>
      </c>
      <c r="NN37" s="346"/>
      <c r="NO37" s="346"/>
      <c r="NP37" s="54" t="str">
        <f t="shared" si="116"/>
        <v xml:space="preserve"> </v>
      </c>
      <c r="NQ37" s="374"/>
      <c r="NR37" s="369"/>
      <c r="NS37" s="366"/>
      <c r="NT37" s="366"/>
      <c r="NU37" s="366"/>
      <c r="NV37" s="366"/>
      <c r="NW37" s="54" t="str">
        <f t="shared" ca="1" si="109"/>
        <v xml:space="preserve"> </v>
      </c>
      <c r="NX37" s="366"/>
      <c r="NY37" s="366"/>
      <c r="NZ37" s="54" t="str">
        <f t="shared" si="117"/>
        <v xml:space="preserve"> </v>
      </c>
      <c r="OA37" s="367"/>
      <c r="OB37" s="373"/>
      <c r="OC37" s="346"/>
      <c r="OD37" s="346"/>
      <c r="OE37" s="346"/>
      <c r="OF37" s="346"/>
      <c r="OG37" s="54" t="str">
        <f t="shared" ca="1" si="111"/>
        <v xml:space="preserve"> </v>
      </c>
      <c r="OH37" s="346"/>
      <c r="OI37" s="346"/>
      <c r="OJ37" s="54" t="str">
        <f t="shared" si="118"/>
        <v xml:space="preserve"> </v>
      </c>
      <c r="OK37" s="374"/>
    </row>
    <row r="38" spans="1:401" s="44" customFormat="1" ht="22.2" customHeight="1" x14ac:dyDescent="0.3">
      <c r="A38" s="355" t="s">
        <v>221</v>
      </c>
      <c r="B38" s="356" t="s">
        <v>838</v>
      </c>
      <c r="C38" s="37">
        <v>3504</v>
      </c>
      <c r="D38" s="37" t="s">
        <v>1265</v>
      </c>
      <c r="E38" s="91">
        <v>45539</v>
      </c>
      <c r="F38" s="14">
        <f t="shared" si="119"/>
        <v>45904</v>
      </c>
      <c r="G38" s="37" t="str">
        <f t="shared" ca="1" si="113"/>
        <v>VIGENTE</v>
      </c>
      <c r="H38" s="37"/>
      <c r="I38" s="37"/>
      <c r="J38" s="37" t="str">
        <f t="shared" si="2"/>
        <v>C.I.</v>
      </c>
      <c r="K38" s="170"/>
      <c r="L38" s="356" t="s">
        <v>841</v>
      </c>
      <c r="M38" s="37">
        <v>54011</v>
      </c>
      <c r="N38" s="37" t="s">
        <v>1266</v>
      </c>
      <c r="O38" s="91">
        <v>45639</v>
      </c>
      <c r="P38" s="14">
        <f t="shared" si="3"/>
        <v>46004</v>
      </c>
      <c r="Q38" s="37" t="str">
        <f t="shared" ca="1" si="4"/>
        <v>VIGENTE</v>
      </c>
      <c r="R38" s="37"/>
      <c r="S38" s="37"/>
      <c r="T38" s="37" t="str">
        <f t="shared" si="5"/>
        <v>C.C.</v>
      </c>
      <c r="U38" s="170"/>
      <c r="V38" s="356" t="s">
        <v>838</v>
      </c>
      <c r="W38" s="37" t="s">
        <v>1267</v>
      </c>
      <c r="X38" s="37" t="s">
        <v>1268</v>
      </c>
      <c r="Y38" s="91">
        <v>45749</v>
      </c>
      <c r="Z38" s="14">
        <f t="shared" si="121"/>
        <v>46114</v>
      </c>
      <c r="AA38" s="37" t="str">
        <f t="shared" ca="1" si="7"/>
        <v>VIGENTE</v>
      </c>
      <c r="AB38" s="357"/>
      <c r="AC38" s="357"/>
      <c r="AD38" s="37" t="str">
        <f t="shared" si="8"/>
        <v>C.I.</v>
      </c>
      <c r="AE38" s="359"/>
      <c r="AF38" s="356" t="s">
        <v>838</v>
      </c>
      <c r="AG38" s="37" t="s">
        <v>1269</v>
      </c>
      <c r="AH38" s="37" t="s">
        <v>1270</v>
      </c>
      <c r="AI38" s="91">
        <v>45751</v>
      </c>
      <c r="AJ38" s="14">
        <f t="shared" si="122"/>
        <v>46116</v>
      </c>
      <c r="AK38" s="37" t="str">
        <f t="shared" ca="1" si="10"/>
        <v>VIGENTE</v>
      </c>
      <c r="AL38" s="348"/>
      <c r="AM38" s="348"/>
      <c r="AN38" s="12" t="str">
        <f t="shared" si="11"/>
        <v>C.I.</v>
      </c>
      <c r="AO38" s="361"/>
      <c r="AP38" s="356" t="s">
        <v>838</v>
      </c>
      <c r="AQ38" s="37" t="s">
        <v>1271</v>
      </c>
      <c r="AR38" s="37" t="s">
        <v>1272</v>
      </c>
      <c r="AS38" s="91">
        <v>45775</v>
      </c>
      <c r="AT38" s="14">
        <f t="shared" si="123"/>
        <v>46140</v>
      </c>
      <c r="AU38" s="37" t="str">
        <f t="shared" ca="1" si="13"/>
        <v>VIGENTE</v>
      </c>
      <c r="AV38" s="357"/>
      <c r="AW38" s="357"/>
      <c r="AX38" s="37" t="str">
        <f t="shared" si="14"/>
        <v>C.I.</v>
      </c>
      <c r="AY38" s="359"/>
      <c r="AZ38" s="356" t="s">
        <v>838</v>
      </c>
      <c r="BA38" s="37" t="s">
        <v>1273</v>
      </c>
      <c r="BB38" s="37" t="s">
        <v>1274</v>
      </c>
      <c r="BC38" s="91">
        <v>45775</v>
      </c>
      <c r="BD38" s="14">
        <f t="shared" si="124"/>
        <v>46141</v>
      </c>
      <c r="BE38" s="37" t="str">
        <f t="shared" ca="1" si="16"/>
        <v>VIGENTE</v>
      </c>
      <c r="BF38" s="348"/>
      <c r="BG38" s="348"/>
      <c r="BH38" s="12" t="str">
        <f t="shared" si="17"/>
        <v>C.I.</v>
      </c>
      <c r="BI38" s="361"/>
      <c r="BJ38" s="356"/>
      <c r="BK38" s="37"/>
      <c r="BL38" s="37"/>
      <c r="BM38" s="358"/>
      <c r="BN38" s="358" t="str">
        <f t="shared" si="125"/>
        <v xml:space="preserve"> </v>
      </c>
      <c r="BO38" s="37" t="str">
        <f t="shared" ca="1" si="19"/>
        <v xml:space="preserve"> </v>
      </c>
      <c r="BP38" s="357"/>
      <c r="BQ38" s="357"/>
      <c r="BR38" s="37" t="str">
        <f t="shared" si="20"/>
        <v xml:space="preserve"> </v>
      </c>
      <c r="BS38" s="359"/>
      <c r="BT38" s="356"/>
      <c r="BU38" s="37"/>
      <c r="BV38" s="37"/>
      <c r="BW38" s="362"/>
      <c r="BX38" s="362" t="str">
        <f t="shared" si="126"/>
        <v xml:space="preserve"> </v>
      </c>
      <c r="BY38" s="37" t="str">
        <f t="shared" ca="1" si="22"/>
        <v xml:space="preserve"> </v>
      </c>
      <c r="BZ38" s="348"/>
      <c r="CA38" s="348"/>
      <c r="CB38" s="12" t="str">
        <f t="shared" si="23"/>
        <v xml:space="preserve"> </v>
      </c>
      <c r="CC38" s="361"/>
      <c r="CD38" s="356"/>
      <c r="CE38" s="37"/>
      <c r="CF38" s="357"/>
      <c r="CG38" s="358"/>
      <c r="CH38" s="358" t="str">
        <f t="shared" si="127"/>
        <v xml:space="preserve"> </v>
      </c>
      <c r="CI38" s="37" t="str">
        <f t="shared" ca="1" si="25"/>
        <v xml:space="preserve"> </v>
      </c>
      <c r="CJ38" s="357"/>
      <c r="CK38" s="357"/>
      <c r="CL38" s="37" t="str">
        <f t="shared" si="26"/>
        <v xml:space="preserve"> </v>
      </c>
      <c r="CM38" s="359"/>
      <c r="CN38" s="360"/>
      <c r="CO38" s="12"/>
      <c r="CP38" s="348"/>
      <c r="CQ38" s="362"/>
      <c r="CR38" s="362" t="str">
        <f t="shared" si="128"/>
        <v xml:space="preserve"> </v>
      </c>
      <c r="CS38" s="37" t="str">
        <f t="shared" ca="1" si="28"/>
        <v xml:space="preserve"> </v>
      </c>
      <c r="CT38" s="348"/>
      <c r="CU38" s="348"/>
      <c r="CV38" s="12" t="str">
        <f t="shared" si="29"/>
        <v xml:space="preserve"> </v>
      </c>
      <c r="CW38" s="361"/>
      <c r="CX38" s="356"/>
      <c r="CY38" s="37"/>
      <c r="CZ38" s="357"/>
      <c r="DA38" s="358"/>
      <c r="DB38" s="358" t="str">
        <f t="shared" si="129"/>
        <v xml:space="preserve"> </v>
      </c>
      <c r="DC38" s="37" t="str">
        <f t="shared" ca="1" si="31"/>
        <v xml:space="preserve"> </v>
      </c>
      <c r="DD38" s="357"/>
      <c r="DE38" s="357"/>
      <c r="DF38" s="37" t="str">
        <f t="shared" si="32"/>
        <v xml:space="preserve"> </v>
      </c>
      <c r="DG38" s="359"/>
      <c r="DH38" s="360"/>
      <c r="DI38" s="12"/>
      <c r="DJ38" s="348"/>
      <c r="DK38" s="348"/>
      <c r="DL38" s="348" t="str">
        <f t="shared" si="130"/>
        <v xml:space="preserve"> </v>
      </c>
      <c r="DM38" s="37" t="str">
        <f t="shared" ca="1" si="34"/>
        <v xml:space="preserve"> </v>
      </c>
      <c r="DN38" s="348"/>
      <c r="DO38" s="348"/>
      <c r="DP38" s="12" t="str">
        <f t="shared" si="35"/>
        <v xml:space="preserve"> </v>
      </c>
      <c r="DQ38" s="361"/>
      <c r="DR38" s="356"/>
      <c r="DS38" s="37"/>
      <c r="DT38" s="357"/>
      <c r="DU38" s="357"/>
      <c r="DV38" s="14" t="str">
        <f t="shared" si="131"/>
        <v xml:space="preserve"> </v>
      </c>
      <c r="DW38" s="37" t="str">
        <f t="shared" ca="1" si="37"/>
        <v xml:space="preserve"> </v>
      </c>
      <c r="DX38" s="357"/>
      <c r="DY38" s="357"/>
      <c r="DZ38" s="37" t="str">
        <f t="shared" si="38"/>
        <v xml:space="preserve"> </v>
      </c>
      <c r="EA38" s="359"/>
      <c r="EB38" s="360"/>
      <c r="EC38" s="12"/>
      <c r="ED38" s="348"/>
      <c r="EE38" s="348"/>
      <c r="EF38" s="91" t="str">
        <f t="shared" si="132"/>
        <v xml:space="preserve"> </v>
      </c>
      <c r="EG38" s="37" t="str">
        <f t="shared" ca="1" si="40"/>
        <v xml:space="preserve"> </v>
      </c>
      <c r="EH38" s="348"/>
      <c r="EI38" s="348"/>
      <c r="EJ38" s="12" t="str">
        <f t="shared" si="41"/>
        <v xml:space="preserve"> </v>
      </c>
      <c r="EK38" s="361"/>
      <c r="EL38" s="356"/>
      <c r="EM38" s="37"/>
      <c r="EN38" s="357"/>
      <c r="EO38" s="357"/>
      <c r="EP38" s="91" t="str">
        <f t="shared" si="133"/>
        <v xml:space="preserve"> </v>
      </c>
      <c r="EQ38" s="37" t="str">
        <f t="shared" ca="1" si="43"/>
        <v xml:space="preserve"> </v>
      </c>
      <c r="ER38" s="357"/>
      <c r="ES38" s="357"/>
      <c r="ET38" s="37" t="str">
        <f t="shared" si="44"/>
        <v xml:space="preserve"> </v>
      </c>
      <c r="EU38" s="359"/>
      <c r="EV38" s="360"/>
      <c r="EW38" s="12"/>
      <c r="EX38" s="348"/>
      <c r="EY38" s="348"/>
      <c r="EZ38" s="91" t="str">
        <f t="shared" si="134"/>
        <v xml:space="preserve"> </v>
      </c>
      <c r="FA38" s="37" t="str">
        <f t="shared" ca="1" si="46"/>
        <v xml:space="preserve"> </v>
      </c>
      <c r="FB38" s="348"/>
      <c r="FC38" s="348"/>
      <c r="FD38" s="12" t="str">
        <f t="shared" si="47"/>
        <v xml:space="preserve"> </v>
      </c>
      <c r="FE38" s="361"/>
      <c r="FF38" s="356"/>
      <c r="FG38" s="37"/>
      <c r="FH38" s="357"/>
      <c r="FI38" s="357"/>
      <c r="FJ38" s="91" t="str">
        <f t="shared" si="135"/>
        <v xml:space="preserve"> </v>
      </c>
      <c r="FK38" s="37" t="str">
        <f t="shared" ca="1" si="49"/>
        <v xml:space="preserve"> </v>
      </c>
      <c r="FL38" s="357"/>
      <c r="FM38" s="357"/>
      <c r="FN38" s="37" t="str">
        <f t="shared" si="50"/>
        <v xml:space="preserve"> </v>
      </c>
      <c r="FO38" s="359"/>
      <c r="FP38" s="360"/>
      <c r="FQ38" s="12"/>
      <c r="FR38" s="348"/>
      <c r="FS38" s="348"/>
      <c r="FT38" s="91" t="str">
        <f t="shared" si="136"/>
        <v xml:space="preserve"> </v>
      </c>
      <c r="FU38" s="37" t="str">
        <f t="shared" ca="1" si="52"/>
        <v xml:space="preserve"> </v>
      </c>
      <c r="FV38" s="348"/>
      <c r="FW38" s="348"/>
      <c r="FX38" s="12" t="str">
        <f t="shared" si="53"/>
        <v xml:space="preserve"> </v>
      </c>
      <c r="FY38" s="361"/>
      <c r="FZ38" s="356"/>
      <c r="GA38" s="37"/>
      <c r="GB38" s="357"/>
      <c r="GC38" s="357"/>
      <c r="GD38" s="91" t="str">
        <f t="shared" si="137"/>
        <v xml:space="preserve"> </v>
      </c>
      <c r="GE38" s="37" t="str">
        <f t="shared" ca="1" si="55"/>
        <v xml:space="preserve"> </v>
      </c>
      <c r="GF38" s="357"/>
      <c r="GG38" s="357"/>
      <c r="GH38" s="37" t="str">
        <f t="shared" si="56"/>
        <v xml:space="preserve"> </v>
      </c>
      <c r="GI38" s="359"/>
      <c r="GJ38" s="363"/>
      <c r="GK38" s="12"/>
      <c r="GL38" s="348"/>
      <c r="GM38" s="348"/>
      <c r="GN38" s="91" t="str">
        <f t="shared" si="138"/>
        <v xml:space="preserve"> </v>
      </c>
      <c r="GO38" s="37" t="str">
        <f t="shared" ca="1" si="58"/>
        <v xml:space="preserve"> </v>
      </c>
      <c r="GP38" s="348"/>
      <c r="GQ38" s="348"/>
      <c r="GR38" s="12" t="str">
        <f t="shared" si="59"/>
        <v xml:space="preserve"> </v>
      </c>
      <c r="GS38" s="364"/>
      <c r="GT38" s="356"/>
      <c r="GU38" s="37"/>
      <c r="GV38" s="357"/>
      <c r="GW38" s="357"/>
      <c r="GX38" s="91" t="str">
        <f t="shared" si="139"/>
        <v xml:space="preserve"> </v>
      </c>
      <c r="GY38" s="37" t="str">
        <f t="shared" ca="1" si="61"/>
        <v xml:space="preserve"> </v>
      </c>
      <c r="GZ38" s="357"/>
      <c r="HA38" s="357"/>
      <c r="HB38" s="37" t="str">
        <f t="shared" si="62"/>
        <v xml:space="preserve"> </v>
      </c>
      <c r="HC38" s="359"/>
      <c r="HD38" s="363"/>
      <c r="HE38" s="12"/>
      <c r="HF38" s="348"/>
      <c r="HG38" s="348"/>
      <c r="HH38" s="91" t="str">
        <f t="shared" si="140"/>
        <v xml:space="preserve"> </v>
      </c>
      <c r="HI38" s="37" t="str">
        <f t="shared" ca="1" si="64"/>
        <v xml:space="preserve"> </v>
      </c>
      <c r="HJ38" s="348"/>
      <c r="HK38" s="348"/>
      <c r="HL38" s="12" t="str">
        <f t="shared" si="65"/>
        <v xml:space="preserve"> </v>
      </c>
      <c r="HM38" s="364"/>
      <c r="HN38" s="356"/>
      <c r="HO38" s="37"/>
      <c r="HP38" s="357"/>
      <c r="HQ38" s="357"/>
      <c r="HR38" s="91" t="str">
        <f t="shared" si="141"/>
        <v xml:space="preserve"> </v>
      </c>
      <c r="HS38" s="37" t="str">
        <f t="shared" ca="1" si="67"/>
        <v xml:space="preserve"> </v>
      </c>
      <c r="HT38" s="357"/>
      <c r="HU38" s="357"/>
      <c r="HV38" s="37" t="str">
        <f t="shared" si="68"/>
        <v xml:space="preserve"> </v>
      </c>
      <c r="HW38" s="359"/>
      <c r="HX38" s="363"/>
      <c r="HY38" s="12"/>
      <c r="HZ38" s="348"/>
      <c r="IA38" s="348"/>
      <c r="IB38" s="91" t="str">
        <f t="shared" si="142"/>
        <v xml:space="preserve"> </v>
      </c>
      <c r="IC38" s="37" t="str">
        <f t="shared" ca="1" si="70"/>
        <v xml:space="preserve"> </v>
      </c>
      <c r="ID38" s="348"/>
      <c r="IE38" s="348"/>
      <c r="IF38" s="12" t="str">
        <f t="shared" si="71"/>
        <v xml:space="preserve"> </v>
      </c>
      <c r="IG38" s="364"/>
      <c r="IH38" s="356"/>
      <c r="II38" s="357"/>
      <c r="IJ38" s="357"/>
      <c r="IK38" s="357"/>
      <c r="IL38" s="91" t="str">
        <f t="shared" si="143"/>
        <v xml:space="preserve"> </v>
      </c>
      <c r="IM38" s="37" t="str">
        <f t="shared" ca="1" si="73"/>
        <v xml:space="preserve"> </v>
      </c>
      <c r="IN38" s="357"/>
      <c r="IO38" s="357"/>
      <c r="IP38" s="37" t="str">
        <f t="shared" si="74"/>
        <v xml:space="preserve"> </v>
      </c>
      <c r="IQ38" s="359"/>
      <c r="IR38" s="363"/>
      <c r="IS38" s="348"/>
      <c r="IT38" s="348"/>
      <c r="IU38" s="348"/>
      <c r="IV38" s="91" t="str">
        <f t="shared" si="144"/>
        <v xml:space="preserve"> </v>
      </c>
      <c r="IW38" s="37" t="str">
        <f t="shared" ca="1" si="76"/>
        <v xml:space="preserve"> </v>
      </c>
      <c r="IX38" s="348"/>
      <c r="IY38" s="348"/>
      <c r="IZ38" s="37" t="str">
        <f t="shared" si="77"/>
        <v xml:space="preserve"> </v>
      </c>
      <c r="JA38" s="364"/>
      <c r="JB38" s="356"/>
      <c r="JC38" s="357"/>
      <c r="JD38" s="357"/>
      <c r="JE38" s="357"/>
      <c r="JF38" s="91" t="str">
        <f t="shared" si="145"/>
        <v xml:space="preserve"> </v>
      </c>
      <c r="JG38" s="37" t="str">
        <f t="shared" ca="1" si="79"/>
        <v xml:space="preserve"> </v>
      </c>
      <c r="JH38" s="357"/>
      <c r="JI38" s="357"/>
      <c r="JJ38" s="37" t="str">
        <f t="shared" si="80"/>
        <v xml:space="preserve"> </v>
      </c>
      <c r="JK38" s="359"/>
      <c r="JL38" s="363"/>
      <c r="JM38" s="348"/>
      <c r="JN38" s="348"/>
      <c r="JO38" s="348"/>
      <c r="JP38" s="348" t="str">
        <f t="shared" si="148"/>
        <v xml:space="preserve"> </v>
      </c>
      <c r="JQ38" s="37" t="str">
        <f t="shared" ca="1" si="82"/>
        <v xml:space="preserve"> </v>
      </c>
      <c r="JR38" s="348"/>
      <c r="JS38" s="348"/>
      <c r="JT38" s="37" t="str">
        <f t="shared" si="83"/>
        <v xml:space="preserve"> </v>
      </c>
      <c r="JU38" s="364"/>
      <c r="JV38" s="356"/>
      <c r="JW38" s="357"/>
      <c r="JX38" s="357"/>
      <c r="JY38" s="357"/>
      <c r="JZ38" s="357" t="str">
        <f t="shared" si="149"/>
        <v xml:space="preserve"> </v>
      </c>
      <c r="KA38" s="37" t="str">
        <f t="shared" ca="1" si="85"/>
        <v xml:space="preserve"> </v>
      </c>
      <c r="KB38" s="357"/>
      <c r="KC38" s="357"/>
      <c r="KD38" s="37" t="str">
        <f t="shared" si="86"/>
        <v xml:space="preserve"> </v>
      </c>
      <c r="KE38" s="359"/>
      <c r="KF38" s="363"/>
      <c r="KG38" s="348"/>
      <c r="KH38" s="348"/>
      <c r="KI38" s="348"/>
      <c r="KJ38" s="348" t="str">
        <f t="shared" si="150"/>
        <v xml:space="preserve"> </v>
      </c>
      <c r="KK38" s="37" t="str">
        <f t="shared" ca="1" si="88"/>
        <v xml:space="preserve"> </v>
      </c>
      <c r="KL38" s="348"/>
      <c r="KM38" s="348"/>
      <c r="KN38" s="37" t="str">
        <f t="shared" si="89"/>
        <v xml:space="preserve"> </v>
      </c>
      <c r="KO38" s="364"/>
      <c r="KP38" s="356"/>
      <c r="KQ38" s="357"/>
      <c r="KR38" s="357"/>
      <c r="KS38" s="357"/>
      <c r="KT38" s="357" t="str">
        <f t="shared" si="151"/>
        <v xml:space="preserve"> </v>
      </c>
      <c r="KU38" s="37" t="str">
        <f t="shared" ca="1" si="91"/>
        <v xml:space="preserve"> </v>
      </c>
      <c r="KV38" s="357"/>
      <c r="KW38" s="357"/>
      <c r="KX38" s="37" t="str">
        <f t="shared" si="92"/>
        <v xml:space="preserve"> </v>
      </c>
      <c r="KY38" s="359"/>
      <c r="KZ38" s="363"/>
      <c r="LA38" s="348"/>
      <c r="LB38" s="348"/>
      <c r="LC38" s="348"/>
      <c r="LD38" s="348" t="str">
        <f t="shared" si="152"/>
        <v xml:space="preserve"> </v>
      </c>
      <c r="LE38" s="37" t="str">
        <f t="shared" ca="1" si="94"/>
        <v xml:space="preserve"> </v>
      </c>
      <c r="LF38" s="348"/>
      <c r="LG38" s="348"/>
      <c r="LH38" s="37" t="str">
        <f t="shared" si="95"/>
        <v xml:space="preserve"> </v>
      </c>
      <c r="LI38" s="364"/>
      <c r="LJ38" s="356"/>
      <c r="LK38" s="357"/>
      <c r="LL38" s="357"/>
      <c r="LM38" s="357"/>
      <c r="LN38" s="357" t="str">
        <f t="shared" si="153"/>
        <v xml:space="preserve"> </v>
      </c>
      <c r="LO38" s="37" t="str">
        <f t="shared" ca="1" si="97"/>
        <v xml:space="preserve"> </v>
      </c>
      <c r="LP38" s="357"/>
      <c r="LQ38" s="357"/>
      <c r="LR38" s="37" t="str">
        <f t="shared" si="98"/>
        <v xml:space="preserve"> </v>
      </c>
      <c r="LS38" s="359"/>
      <c r="LT38" s="363"/>
      <c r="LU38" s="348"/>
      <c r="LV38" s="348"/>
      <c r="LW38" s="348"/>
      <c r="LX38" s="348" t="str">
        <f t="shared" si="114"/>
        <v xml:space="preserve"> </v>
      </c>
      <c r="LY38" s="37" t="str">
        <f t="shared" ca="1" si="99"/>
        <v xml:space="preserve"> </v>
      </c>
      <c r="LZ38" s="348"/>
      <c r="MA38" s="348"/>
      <c r="MB38" s="37" t="str">
        <f t="shared" si="100"/>
        <v xml:space="preserve"> </v>
      </c>
      <c r="MC38" s="364"/>
      <c r="MD38" s="356"/>
      <c r="ME38" s="357"/>
      <c r="MF38" s="357"/>
      <c r="MG38" s="357"/>
      <c r="MH38" s="357"/>
      <c r="MI38" s="37" t="str">
        <f t="shared" ca="1" si="101"/>
        <v xml:space="preserve"> </v>
      </c>
      <c r="MJ38" s="357"/>
      <c r="MK38" s="357"/>
      <c r="ML38" s="37" t="str">
        <f t="shared" si="102"/>
        <v xml:space="preserve"> </v>
      </c>
      <c r="MM38" s="359"/>
      <c r="MN38" s="363"/>
      <c r="MO38" s="348"/>
      <c r="MP38" s="348"/>
      <c r="MQ38" s="348"/>
      <c r="MR38" s="348"/>
      <c r="MS38" s="37" t="str">
        <f t="shared" ca="1" si="103"/>
        <v xml:space="preserve"> </v>
      </c>
      <c r="MT38" s="348"/>
      <c r="MU38" s="348"/>
      <c r="MV38" s="37" t="str">
        <f t="shared" si="104"/>
        <v xml:space="preserve"> </v>
      </c>
      <c r="MW38" s="364"/>
      <c r="MX38" s="356"/>
      <c r="MY38" s="357"/>
      <c r="MZ38" s="357"/>
      <c r="NA38" s="357"/>
      <c r="NB38" s="357"/>
      <c r="NC38" s="37" t="str">
        <f t="shared" ca="1" si="105"/>
        <v xml:space="preserve"> </v>
      </c>
      <c r="ND38" s="357"/>
      <c r="NE38" s="357"/>
      <c r="NF38" s="37" t="str">
        <f t="shared" si="115"/>
        <v xml:space="preserve"> </v>
      </c>
      <c r="NG38" s="359"/>
      <c r="NH38" s="363"/>
      <c r="NI38" s="348"/>
      <c r="NJ38" s="348"/>
      <c r="NK38" s="348"/>
      <c r="NL38" s="348"/>
      <c r="NM38" s="37" t="str">
        <f t="shared" ca="1" si="107"/>
        <v xml:space="preserve"> </v>
      </c>
      <c r="NN38" s="348"/>
      <c r="NO38" s="348"/>
      <c r="NP38" s="37" t="str">
        <f t="shared" si="116"/>
        <v xml:space="preserve"> </v>
      </c>
      <c r="NQ38" s="364"/>
      <c r="NR38" s="356"/>
      <c r="NS38" s="357"/>
      <c r="NT38" s="357"/>
      <c r="NU38" s="357"/>
      <c r="NV38" s="357"/>
      <c r="NW38" s="37" t="str">
        <f t="shared" ca="1" si="109"/>
        <v xml:space="preserve"> </v>
      </c>
      <c r="NX38" s="357"/>
      <c r="NY38" s="357"/>
      <c r="NZ38" s="37" t="str">
        <f t="shared" si="117"/>
        <v xml:space="preserve"> </v>
      </c>
      <c r="OA38" s="359"/>
      <c r="OB38" s="363"/>
      <c r="OC38" s="348"/>
      <c r="OD38" s="348"/>
      <c r="OE38" s="348"/>
      <c r="OF38" s="348"/>
      <c r="OG38" s="37" t="str">
        <f t="shared" ca="1" si="111"/>
        <v xml:space="preserve"> </v>
      </c>
      <c r="OH38" s="348"/>
      <c r="OI38" s="348"/>
      <c r="OJ38" s="37" t="str">
        <f t="shared" si="118"/>
        <v xml:space="preserve"> </v>
      </c>
      <c r="OK38" s="364"/>
    </row>
    <row r="39" spans="1:401" s="44" customFormat="1" ht="22.2" customHeight="1" x14ac:dyDescent="0.3">
      <c r="A39" s="365" t="s">
        <v>225</v>
      </c>
      <c r="B39" s="369" t="s">
        <v>838</v>
      </c>
      <c r="C39" s="54" t="s">
        <v>1275</v>
      </c>
      <c r="D39" s="366" t="s">
        <v>1276</v>
      </c>
      <c r="E39" s="177">
        <v>45630</v>
      </c>
      <c r="F39" s="177">
        <f t="shared" si="119"/>
        <v>45995</v>
      </c>
      <c r="G39" s="54" t="str">
        <f t="shared" ca="1" si="113"/>
        <v>VIGENTE</v>
      </c>
      <c r="H39" s="54"/>
      <c r="I39" s="54"/>
      <c r="J39" s="54" t="str">
        <f t="shared" si="2"/>
        <v>C.I.</v>
      </c>
      <c r="K39" s="171"/>
      <c r="L39" s="369" t="s">
        <v>838</v>
      </c>
      <c r="M39" s="54" t="s">
        <v>1277</v>
      </c>
      <c r="N39" s="54" t="s">
        <v>1278</v>
      </c>
      <c r="O39" s="177">
        <v>45630</v>
      </c>
      <c r="P39" s="177">
        <f t="shared" si="3"/>
        <v>45995</v>
      </c>
      <c r="Q39" s="54" t="str">
        <f t="shared" ca="1" si="4"/>
        <v>VIGENTE</v>
      </c>
      <c r="R39" s="54"/>
      <c r="S39" s="54"/>
      <c r="T39" s="54" t="str">
        <f t="shared" si="5"/>
        <v>C.I.</v>
      </c>
      <c r="U39" s="171"/>
      <c r="V39" s="369" t="s">
        <v>838</v>
      </c>
      <c r="W39" s="54" t="s">
        <v>1279</v>
      </c>
      <c r="X39" s="366" t="s">
        <v>1280</v>
      </c>
      <c r="Y39" s="177">
        <v>45630</v>
      </c>
      <c r="Z39" s="177">
        <f t="shared" si="121"/>
        <v>45995</v>
      </c>
      <c r="AA39" s="54" t="str">
        <f t="shared" ca="1" si="7"/>
        <v>VIGENTE</v>
      </c>
      <c r="AB39" s="366"/>
      <c r="AC39" s="366"/>
      <c r="AD39" s="54" t="str">
        <f t="shared" si="8"/>
        <v>C.I.</v>
      </c>
      <c r="AE39" s="367"/>
      <c r="AF39" s="369" t="s">
        <v>838</v>
      </c>
      <c r="AG39" s="49" t="s">
        <v>1281</v>
      </c>
      <c r="AH39" s="346" t="s">
        <v>1282</v>
      </c>
      <c r="AI39" s="65">
        <v>45630</v>
      </c>
      <c r="AJ39" s="65">
        <f t="shared" si="122"/>
        <v>45995</v>
      </c>
      <c r="AK39" s="54" t="str">
        <f t="shared" ca="1" si="10"/>
        <v>VIGENTE</v>
      </c>
      <c r="AL39" s="346"/>
      <c r="AM39" s="346"/>
      <c r="AN39" s="49" t="str">
        <f t="shared" si="11"/>
        <v>C.I.</v>
      </c>
      <c r="AO39" s="368"/>
      <c r="AP39" s="369" t="s">
        <v>841</v>
      </c>
      <c r="AQ39" s="49">
        <v>54001</v>
      </c>
      <c r="AR39" s="346" t="s">
        <v>1283</v>
      </c>
      <c r="AS39" s="65">
        <v>45639</v>
      </c>
      <c r="AT39" s="65">
        <f t="shared" si="123"/>
        <v>46004</v>
      </c>
      <c r="AU39" s="54" t="str">
        <f t="shared" ca="1" si="13"/>
        <v>VIGENTE</v>
      </c>
      <c r="AV39" s="366"/>
      <c r="AW39" s="366"/>
      <c r="AX39" s="54" t="str">
        <f t="shared" si="14"/>
        <v>C.C.</v>
      </c>
      <c r="AY39" s="367"/>
      <c r="AZ39" s="371"/>
      <c r="BA39" s="346"/>
      <c r="BB39" s="346"/>
      <c r="BC39" s="372"/>
      <c r="BD39" s="372" t="str">
        <f t="shared" si="124"/>
        <v xml:space="preserve"> </v>
      </c>
      <c r="BE39" s="54" t="str">
        <f t="shared" ca="1" si="16"/>
        <v xml:space="preserve"> </v>
      </c>
      <c r="BF39" s="346"/>
      <c r="BG39" s="346"/>
      <c r="BH39" s="49" t="str">
        <f t="shared" si="17"/>
        <v xml:space="preserve"> </v>
      </c>
      <c r="BI39" s="368"/>
      <c r="BJ39" s="369"/>
      <c r="BK39" s="366"/>
      <c r="BL39" s="366"/>
      <c r="BM39" s="370"/>
      <c r="BN39" s="370" t="str">
        <f t="shared" si="125"/>
        <v xml:space="preserve"> </v>
      </c>
      <c r="BO39" s="54" t="str">
        <f t="shared" ca="1" si="19"/>
        <v xml:space="preserve"> </v>
      </c>
      <c r="BP39" s="366"/>
      <c r="BQ39" s="366"/>
      <c r="BR39" s="54" t="str">
        <f t="shared" si="20"/>
        <v xml:space="preserve"> </v>
      </c>
      <c r="BS39" s="367"/>
      <c r="BT39" s="371"/>
      <c r="BU39" s="346"/>
      <c r="BV39" s="346"/>
      <c r="BW39" s="372"/>
      <c r="BX39" s="372" t="str">
        <f t="shared" si="126"/>
        <v xml:space="preserve"> </v>
      </c>
      <c r="BY39" s="54" t="str">
        <f t="shared" ca="1" si="22"/>
        <v xml:space="preserve"> </v>
      </c>
      <c r="BZ39" s="346"/>
      <c r="CA39" s="346"/>
      <c r="CB39" s="49" t="str">
        <f t="shared" si="23"/>
        <v xml:space="preserve"> </v>
      </c>
      <c r="CC39" s="368"/>
      <c r="CD39" s="369"/>
      <c r="CE39" s="54"/>
      <c r="CF39" s="366"/>
      <c r="CG39" s="370"/>
      <c r="CH39" s="370" t="str">
        <f t="shared" si="127"/>
        <v xml:space="preserve"> </v>
      </c>
      <c r="CI39" s="54" t="str">
        <f t="shared" ca="1" si="25"/>
        <v xml:space="preserve"> </v>
      </c>
      <c r="CJ39" s="366"/>
      <c r="CK39" s="366"/>
      <c r="CL39" s="54" t="str">
        <f t="shared" si="26"/>
        <v xml:space="preserve"> </v>
      </c>
      <c r="CM39" s="367"/>
      <c r="CN39" s="371"/>
      <c r="CO39" s="49"/>
      <c r="CP39" s="346"/>
      <c r="CQ39" s="372"/>
      <c r="CR39" s="372" t="str">
        <f t="shared" si="128"/>
        <v xml:space="preserve"> </v>
      </c>
      <c r="CS39" s="54" t="str">
        <f t="shared" ca="1" si="28"/>
        <v xml:space="preserve"> </v>
      </c>
      <c r="CT39" s="346"/>
      <c r="CU39" s="346"/>
      <c r="CV39" s="49" t="str">
        <f t="shared" si="29"/>
        <v xml:space="preserve"> </v>
      </c>
      <c r="CW39" s="368"/>
      <c r="CX39" s="369"/>
      <c r="CY39" s="54"/>
      <c r="CZ39" s="366"/>
      <c r="DA39" s="370"/>
      <c r="DB39" s="370" t="str">
        <f t="shared" si="129"/>
        <v xml:space="preserve"> </v>
      </c>
      <c r="DC39" s="54" t="str">
        <f t="shared" ca="1" si="31"/>
        <v xml:space="preserve"> </v>
      </c>
      <c r="DD39" s="366"/>
      <c r="DE39" s="366"/>
      <c r="DF39" s="54" t="str">
        <f t="shared" si="32"/>
        <v xml:space="preserve"> </v>
      </c>
      <c r="DG39" s="367"/>
      <c r="DH39" s="371"/>
      <c r="DI39" s="49"/>
      <c r="DJ39" s="346"/>
      <c r="DK39" s="346"/>
      <c r="DL39" s="346" t="str">
        <f t="shared" si="130"/>
        <v xml:space="preserve"> </v>
      </c>
      <c r="DM39" s="54" t="str">
        <f t="shared" ca="1" si="34"/>
        <v xml:space="preserve"> </v>
      </c>
      <c r="DN39" s="346"/>
      <c r="DO39" s="346"/>
      <c r="DP39" s="49" t="str">
        <f t="shared" si="35"/>
        <v xml:space="preserve"> </v>
      </c>
      <c r="DQ39" s="368"/>
      <c r="DR39" s="369"/>
      <c r="DS39" s="54"/>
      <c r="DT39" s="366"/>
      <c r="DU39" s="366"/>
      <c r="DV39" s="177" t="str">
        <f t="shared" si="131"/>
        <v xml:space="preserve"> </v>
      </c>
      <c r="DW39" s="54" t="str">
        <f t="shared" ca="1" si="37"/>
        <v xml:space="preserve"> </v>
      </c>
      <c r="DX39" s="366"/>
      <c r="DY39" s="366"/>
      <c r="DZ39" s="54" t="str">
        <f t="shared" si="38"/>
        <v xml:space="preserve"> </v>
      </c>
      <c r="EA39" s="367"/>
      <c r="EB39" s="371"/>
      <c r="EC39" s="49"/>
      <c r="ED39" s="346"/>
      <c r="EE39" s="346"/>
      <c r="EF39" s="177" t="str">
        <f t="shared" si="132"/>
        <v xml:space="preserve"> </v>
      </c>
      <c r="EG39" s="54" t="str">
        <f t="shared" ca="1" si="40"/>
        <v xml:space="preserve"> </v>
      </c>
      <c r="EH39" s="346"/>
      <c r="EI39" s="346"/>
      <c r="EJ39" s="49" t="str">
        <f t="shared" si="41"/>
        <v xml:space="preserve"> </v>
      </c>
      <c r="EK39" s="368"/>
      <c r="EL39" s="369"/>
      <c r="EM39" s="54"/>
      <c r="EN39" s="366"/>
      <c r="EO39" s="366"/>
      <c r="EP39" s="177" t="str">
        <f t="shared" si="133"/>
        <v xml:space="preserve"> </v>
      </c>
      <c r="EQ39" s="54" t="str">
        <f t="shared" ca="1" si="43"/>
        <v xml:space="preserve"> </v>
      </c>
      <c r="ER39" s="366"/>
      <c r="ES39" s="366"/>
      <c r="ET39" s="54" t="str">
        <f t="shared" si="44"/>
        <v xml:space="preserve"> </v>
      </c>
      <c r="EU39" s="367"/>
      <c r="EV39" s="371"/>
      <c r="EW39" s="49"/>
      <c r="EX39" s="346"/>
      <c r="EY39" s="346"/>
      <c r="EZ39" s="177" t="str">
        <f t="shared" si="134"/>
        <v xml:space="preserve"> </v>
      </c>
      <c r="FA39" s="54" t="str">
        <f t="shared" ca="1" si="46"/>
        <v xml:space="preserve"> </v>
      </c>
      <c r="FB39" s="346"/>
      <c r="FC39" s="346"/>
      <c r="FD39" s="49" t="str">
        <f t="shared" si="47"/>
        <v xml:space="preserve"> </v>
      </c>
      <c r="FE39" s="368"/>
      <c r="FF39" s="369"/>
      <c r="FG39" s="54"/>
      <c r="FH39" s="366"/>
      <c r="FI39" s="366"/>
      <c r="FJ39" s="177" t="str">
        <f t="shared" si="135"/>
        <v xml:space="preserve"> </v>
      </c>
      <c r="FK39" s="54" t="str">
        <f t="shared" ca="1" si="49"/>
        <v xml:space="preserve"> </v>
      </c>
      <c r="FL39" s="366"/>
      <c r="FM39" s="366"/>
      <c r="FN39" s="54" t="str">
        <f t="shared" si="50"/>
        <v xml:space="preserve"> </v>
      </c>
      <c r="FO39" s="367"/>
      <c r="FP39" s="371"/>
      <c r="FQ39" s="49"/>
      <c r="FR39" s="346"/>
      <c r="FS39" s="346"/>
      <c r="FT39" s="177" t="str">
        <f t="shared" si="136"/>
        <v xml:space="preserve"> </v>
      </c>
      <c r="FU39" s="54" t="str">
        <f t="shared" ca="1" si="52"/>
        <v xml:space="preserve"> </v>
      </c>
      <c r="FV39" s="346"/>
      <c r="FW39" s="346"/>
      <c r="FX39" s="49" t="str">
        <f t="shared" si="53"/>
        <v xml:space="preserve"> </v>
      </c>
      <c r="FY39" s="368"/>
      <c r="FZ39" s="369"/>
      <c r="GA39" s="54"/>
      <c r="GB39" s="366"/>
      <c r="GC39" s="366"/>
      <c r="GD39" s="177" t="str">
        <f t="shared" si="137"/>
        <v xml:space="preserve"> </v>
      </c>
      <c r="GE39" s="54" t="str">
        <f t="shared" ca="1" si="55"/>
        <v xml:space="preserve"> </v>
      </c>
      <c r="GF39" s="366"/>
      <c r="GG39" s="366"/>
      <c r="GH39" s="54" t="str">
        <f t="shared" si="56"/>
        <v xml:space="preserve"> </v>
      </c>
      <c r="GI39" s="367"/>
      <c r="GJ39" s="373"/>
      <c r="GK39" s="49"/>
      <c r="GL39" s="346"/>
      <c r="GM39" s="346"/>
      <c r="GN39" s="177" t="str">
        <f t="shared" si="138"/>
        <v xml:space="preserve"> </v>
      </c>
      <c r="GO39" s="54" t="str">
        <f t="shared" ca="1" si="58"/>
        <v xml:space="preserve"> </v>
      </c>
      <c r="GP39" s="346"/>
      <c r="GQ39" s="346"/>
      <c r="GR39" s="49" t="str">
        <f t="shared" si="59"/>
        <v xml:space="preserve"> </v>
      </c>
      <c r="GS39" s="374"/>
      <c r="GT39" s="369"/>
      <c r="GU39" s="54"/>
      <c r="GV39" s="366"/>
      <c r="GW39" s="366"/>
      <c r="GX39" s="177" t="str">
        <f t="shared" si="139"/>
        <v xml:space="preserve"> </v>
      </c>
      <c r="GY39" s="54" t="str">
        <f t="shared" ca="1" si="61"/>
        <v xml:space="preserve"> </v>
      </c>
      <c r="GZ39" s="366"/>
      <c r="HA39" s="366"/>
      <c r="HB39" s="54" t="str">
        <f t="shared" si="62"/>
        <v xml:space="preserve"> </v>
      </c>
      <c r="HC39" s="367"/>
      <c r="HD39" s="373"/>
      <c r="HE39" s="49"/>
      <c r="HF39" s="346"/>
      <c r="HG39" s="346"/>
      <c r="HH39" s="177" t="str">
        <f t="shared" si="140"/>
        <v xml:space="preserve"> </v>
      </c>
      <c r="HI39" s="54" t="str">
        <f t="shared" ca="1" si="64"/>
        <v xml:space="preserve"> </v>
      </c>
      <c r="HJ39" s="346"/>
      <c r="HK39" s="346"/>
      <c r="HL39" s="49" t="str">
        <f t="shared" si="65"/>
        <v xml:space="preserve"> </v>
      </c>
      <c r="HM39" s="374"/>
      <c r="HN39" s="369"/>
      <c r="HO39" s="54"/>
      <c r="HP39" s="366"/>
      <c r="HQ39" s="366"/>
      <c r="HR39" s="177" t="str">
        <f t="shared" si="141"/>
        <v xml:space="preserve"> </v>
      </c>
      <c r="HS39" s="54" t="str">
        <f t="shared" ca="1" si="67"/>
        <v xml:space="preserve"> </v>
      </c>
      <c r="HT39" s="366"/>
      <c r="HU39" s="366"/>
      <c r="HV39" s="54" t="str">
        <f t="shared" si="68"/>
        <v xml:space="preserve"> </v>
      </c>
      <c r="HW39" s="367"/>
      <c r="HX39" s="373"/>
      <c r="HY39" s="49"/>
      <c r="HZ39" s="346"/>
      <c r="IA39" s="346"/>
      <c r="IB39" s="177" t="str">
        <f t="shared" si="142"/>
        <v xml:space="preserve"> </v>
      </c>
      <c r="IC39" s="54" t="str">
        <f t="shared" ca="1" si="70"/>
        <v xml:space="preserve"> </v>
      </c>
      <c r="ID39" s="346"/>
      <c r="IE39" s="346"/>
      <c r="IF39" s="49" t="str">
        <f t="shared" si="71"/>
        <v xml:space="preserve"> </v>
      </c>
      <c r="IG39" s="374"/>
      <c r="IH39" s="369"/>
      <c r="II39" s="366"/>
      <c r="IJ39" s="366"/>
      <c r="IK39" s="366"/>
      <c r="IL39" s="177" t="str">
        <f t="shared" si="143"/>
        <v xml:space="preserve"> </v>
      </c>
      <c r="IM39" s="54" t="str">
        <f t="shared" ca="1" si="73"/>
        <v xml:space="preserve"> </v>
      </c>
      <c r="IN39" s="366"/>
      <c r="IO39" s="366"/>
      <c r="IP39" s="54" t="str">
        <f t="shared" si="74"/>
        <v xml:space="preserve"> </v>
      </c>
      <c r="IQ39" s="367"/>
      <c r="IR39" s="373"/>
      <c r="IS39" s="346"/>
      <c r="IT39" s="346"/>
      <c r="IU39" s="346"/>
      <c r="IV39" s="177" t="str">
        <f t="shared" si="144"/>
        <v xml:space="preserve"> </v>
      </c>
      <c r="IW39" s="54" t="str">
        <f t="shared" ca="1" si="76"/>
        <v xml:space="preserve"> </v>
      </c>
      <c r="IX39" s="346"/>
      <c r="IY39" s="346"/>
      <c r="IZ39" s="54" t="str">
        <f t="shared" si="77"/>
        <v xml:space="preserve"> </v>
      </c>
      <c r="JA39" s="374"/>
      <c r="JB39" s="369"/>
      <c r="JC39" s="366"/>
      <c r="JD39" s="366"/>
      <c r="JE39" s="366"/>
      <c r="JF39" s="177" t="str">
        <f t="shared" si="145"/>
        <v xml:space="preserve"> </v>
      </c>
      <c r="JG39" s="54" t="str">
        <f t="shared" ca="1" si="79"/>
        <v xml:space="preserve"> </v>
      </c>
      <c r="JH39" s="366"/>
      <c r="JI39" s="366"/>
      <c r="JJ39" s="54" t="str">
        <f t="shared" si="80"/>
        <v xml:space="preserve"> </v>
      </c>
      <c r="JK39" s="367"/>
      <c r="JL39" s="373"/>
      <c r="JM39" s="346"/>
      <c r="JN39" s="346"/>
      <c r="JO39" s="346"/>
      <c r="JP39" s="346" t="str">
        <f t="shared" si="148"/>
        <v xml:space="preserve"> </v>
      </c>
      <c r="JQ39" s="54" t="str">
        <f t="shared" ca="1" si="82"/>
        <v xml:space="preserve"> </v>
      </c>
      <c r="JR39" s="346"/>
      <c r="JS39" s="346"/>
      <c r="JT39" s="54" t="str">
        <f t="shared" si="83"/>
        <v xml:space="preserve"> </v>
      </c>
      <c r="JU39" s="374"/>
      <c r="JV39" s="369"/>
      <c r="JW39" s="366"/>
      <c r="JX39" s="366"/>
      <c r="JY39" s="366"/>
      <c r="JZ39" s="366" t="str">
        <f t="shared" si="149"/>
        <v xml:space="preserve"> </v>
      </c>
      <c r="KA39" s="54" t="str">
        <f t="shared" ca="1" si="85"/>
        <v xml:space="preserve"> </v>
      </c>
      <c r="KB39" s="366"/>
      <c r="KC39" s="366"/>
      <c r="KD39" s="54" t="str">
        <f t="shared" si="86"/>
        <v xml:space="preserve"> </v>
      </c>
      <c r="KE39" s="367"/>
      <c r="KF39" s="373"/>
      <c r="KG39" s="346"/>
      <c r="KH39" s="346"/>
      <c r="KI39" s="346"/>
      <c r="KJ39" s="346" t="str">
        <f t="shared" si="150"/>
        <v xml:space="preserve"> </v>
      </c>
      <c r="KK39" s="54" t="str">
        <f t="shared" ca="1" si="88"/>
        <v xml:space="preserve"> </v>
      </c>
      <c r="KL39" s="346"/>
      <c r="KM39" s="346"/>
      <c r="KN39" s="54" t="str">
        <f t="shared" si="89"/>
        <v xml:space="preserve"> </v>
      </c>
      <c r="KO39" s="374"/>
      <c r="KP39" s="369"/>
      <c r="KQ39" s="366"/>
      <c r="KR39" s="366"/>
      <c r="KS39" s="366"/>
      <c r="KT39" s="366" t="str">
        <f t="shared" si="151"/>
        <v xml:space="preserve"> </v>
      </c>
      <c r="KU39" s="54" t="str">
        <f t="shared" ca="1" si="91"/>
        <v xml:space="preserve"> </v>
      </c>
      <c r="KV39" s="366"/>
      <c r="KW39" s="366"/>
      <c r="KX39" s="54" t="str">
        <f t="shared" si="92"/>
        <v xml:space="preserve"> </v>
      </c>
      <c r="KY39" s="367"/>
      <c r="KZ39" s="373"/>
      <c r="LA39" s="346"/>
      <c r="LB39" s="346"/>
      <c r="LC39" s="346"/>
      <c r="LD39" s="346" t="str">
        <f t="shared" si="152"/>
        <v xml:space="preserve"> </v>
      </c>
      <c r="LE39" s="54" t="str">
        <f t="shared" ca="1" si="94"/>
        <v xml:space="preserve"> </v>
      </c>
      <c r="LF39" s="346"/>
      <c r="LG39" s="346"/>
      <c r="LH39" s="54" t="str">
        <f t="shared" si="95"/>
        <v xml:space="preserve"> </v>
      </c>
      <c r="LI39" s="374"/>
      <c r="LJ39" s="369"/>
      <c r="LK39" s="366"/>
      <c r="LL39" s="366"/>
      <c r="LM39" s="366"/>
      <c r="LN39" s="366" t="str">
        <f t="shared" si="153"/>
        <v xml:space="preserve"> </v>
      </c>
      <c r="LO39" s="54" t="str">
        <f t="shared" ca="1" si="97"/>
        <v xml:space="preserve"> </v>
      </c>
      <c r="LP39" s="366"/>
      <c r="LQ39" s="366"/>
      <c r="LR39" s="54" t="str">
        <f t="shared" si="98"/>
        <v xml:space="preserve"> </v>
      </c>
      <c r="LS39" s="367"/>
      <c r="LT39" s="373"/>
      <c r="LU39" s="346"/>
      <c r="LV39" s="346"/>
      <c r="LW39" s="346"/>
      <c r="LX39" s="346" t="str">
        <f t="shared" si="114"/>
        <v xml:space="preserve"> </v>
      </c>
      <c r="LY39" s="54" t="str">
        <f t="shared" ca="1" si="99"/>
        <v xml:space="preserve"> </v>
      </c>
      <c r="LZ39" s="346"/>
      <c r="MA39" s="346"/>
      <c r="MB39" s="54" t="str">
        <f t="shared" si="100"/>
        <v xml:space="preserve"> </v>
      </c>
      <c r="MC39" s="374"/>
      <c r="MD39" s="369"/>
      <c r="ME39" s="366"/>
      <c r="MF39" s="366"/>
      <c r="MG39" s="366"/>
      <c r="MH39" s="366"/>
      <c r="MI39" s="54" t="str">
        <f t="shared" ca="1" si="101"/>
        <v xml:space="preserve"> </v>
      </c>
      <c r="MJ39" s="366"/>
      <c r="MK39" s="366"/>
      <c r="ML39" s="54" t="str">
        <f t="shared" si="102"/>
        <v xml:space="preserve"> </v>
      </c>
      <c r="MM39" s="367"/>
      <c r="MN39" s="373"/>
      <c r="MO39" s="346"/>
      <c r="MP39" s="346"/>
      <c r="MQ39" s="346"/>
      <c r="MR39" s="346"/>
      <c r="MS39" s="54" t="str">
        <f t="shared" ca="1" si="103"/>
        <v xml:space="preserve"> </v>
      </c>
      <c r="MT39" s="346"/>
      <c r="MU39" s="346"/>
      <c r="MV39" s="54" t="str">
        <f t="shared" si="104"/>
        <v xml:space="preserve"> </v>
      </c>
      <c r="MW39" s="374"/>
      <c r="MX39" s="369"/>
      <c r="MY39" s="366"/>
      <c r="MZ39" s="366"/>
      <c r="NA39" s="366"/>
      <c r="NB39" s="366"/>
      <c r="NC39" s="54" t="str">
        <f t="shared" ca="1" si="105"/>
        <v xml:space="preserve"> </v>
      </c>
      <c r="ND39" s="366"/>
      <c r="NE39" s="366"/>
      <c r="NF39" s="54" t="str">
        <f t="shared" si="115"/>
        <v xml:space="preserve"> </v>
      </c>
      <c r="NG39" s="367"/>
      <c r="NH39" s="373"/>
      <c r="NI39" s="346"/>
      <c r="NJ39" s="346"/>
      <c r="NK39" s="346"/>
      <c r="NL39" s="346"/>
      <c r="NM39" s="54" t="str">
        <f t="shared" ca="1" si="107"/>
        <v xml:space="preserve"> </v>
      </c>
      <c r="NN39" s="346"/>
      <c r="NO39" s="346"/>
      <c r="NP39" s="54" t="str">
        <f t="shared" si="116"/>
        <v xml:space="preserve"> </v>
      </c>
      <c r="NQ39" s="374"/>
      <c r="NR39" s="369"/>
      <c r="NS39" s="366"/>
      <c r="NT39" s="366"/>
      <c r="NU39" s="366"/>
      <c r="NV39" s="366"/>
      <c r="NW39" s="54" t="str">
        <f t="shared" ca="1" si="109"/>
        <v xml:space="preserve"> </v>
      </c>
      <c r="NX39" s="366"/>
      <c r="NY39" s="366"/>
      <c r="NZ39" s="54" t="str">
        <f t="shared" si="117"/>
        <v xml:space="preserve"> </v>
      </c>
      <c r="OA39" s="367"/>
      <c r="OB39" s="373"/>
      <c r="OC39" s="346"/>
      <c r="OD39" s="346"/>
      <c r="OE39" s="346"/>
      <c r="OF39" s="346"/>
      <c r="OG39" s="54" t="str">
        <f t="shared" ca="1" si="111"/>
        <v xml:space="preserve"> </v>
      </c>
      <c r="OH39" s="346"/>
      <c r="OI39" s="346"/>
      <c r="OJ39" s="54" t="str">
        <f t="shared" si="118"/>
        <v xml:space="preserve"> </v>
      </c>
      <c r="OK39" s="374"/>
    </row>
    <row r="40" spans="1:401" s="44" customFormat="1" ht="22.2" customHeight="1" x14ac:dyDescent="0.3">
      <c r="A40" s="355" t="s">
        <v>229</v>
      </c>
      <c r="B40" s="356" t="s">
        <v>838</v>
      </c>
      <c r="C40" s="37" t="s">
        <v>1284</v>
      </c>
      <c r="D40" s="37" t="s">
        <v>1285</v>
      </c>
      <c r="E40" s="91">
        <v>45539</v>
      </c>
      <c r="F40" s="91">
        <f t="shared" si="119"/>
        <v>45904</v>
      </c>
      <c r="G40" s="37" t="str">
        <f t="shared" ca="1" si="113"/>
        <v>VIGENTE</v>
      </c>
      <c r="H40" s="37"/>
      <c r="I40" s="37"/>
      <c r="J40" s="37" t="str">
        <f t="shared" si="2"/>
        <v>C.I.</v>
      </c>
      <c r="K40" s="170"/>
      <c r="L40" s="356" t="s">
        <v>838</v>
      </c>
      <c r="M40" s="37" t="s">
        <v>1286</v>
      </c>
      <c r="N40" s="37" t="s">
        <v>1287</v>
      </c>
      <c r="O40" s="91">
        <v>45539</v>
      </c>
      <c r="P40" s="91">
        <f t="shared" si="3"/>
        <v>45904</v>
      </c>
      <c r="Q40" s="37" t="str">
        <f t="shared" ca="1" si="4"/>
        <v>VIGENTE</v>
      </c>
      <c r="R40" s="37"/>
      <c r="S40" s="37"/>
      <c r="T40" s="37" t="str">
        <f t="shared" si="5"/>
        <v>C.I.</v>
      </c>
      <c r="U40" s="170"/>
      <c r="V40" s="356" t="s">
        <v>838</v>
      </c>
      <c r="W40" s="37" t="s">
        <v>1288</v>
      </c>
      <c r="X40" s="37" t="s">
        <v>1289</v>
      </c>
      <c r="Y40" s="91">
        <v>45539</v>
      </c>
      <c r="Z40" s="358">
        <f t="shared" si="121"/>
        <v>45904</v>
      </c>
      <c r="AA40" s="37" t="str">
        <f t="shared" ca="1" si="7"/>
        <v>VIGENTE</v>
      </c>
      <c r="AB40" s="357"/>
      <c r="AC40" s="357"/>
      <c r="AD40" s="37" t="str">
        <f t="shared" si="8"/>
        <v>C.I.</v>
      </c>
      <c r="AE40" s="359"/>
      <c r="AF40" s="356" t="s">
        <v>838</v>
      </c>
      <c r="AG40" s="37" t="s">
        <v>1290</v>
      </c>
      <c r="AH40" s="37" t="s">
        <v>1291</v>
      </c>
      <c r="AI40" s="14">
        <v>45539</v>
      </c>
      <c r="AJ40" s="14">
        <f t="shared" si="122"/>
        <v>45904</v>
      </c>
      <c r="AK40" s="37" t="str">
        <f t="shared" ca="1" si="10"/>
        <v>VIGENTE</v>
      </c>
      <c r="AL40" s="348"/>
      <c r="AM40" s="348"/>
      <c r="AN40" s="12" t="str">
        <f t="shared" si="11"/>
        <v>C.I.</v>
      </c>
      <c r="AO40" s="361"/>
      <c r="AP40" s="356" t="s">
        <v>838</v>
      </c>
      <c r="AQ40" s="37" t="s">
        <v>1292</v>
      </c>
      <c r="AR40" s="37" t="s">
        <v>1293</v>
      </c>
      <c r="AS40" s="358">
        <v>45539</v>
      </c>
      <c r="AT40" s="358">
        <f t="shared" si="123"/>
        <v>45904</v>
      </c>
      <c r="AU40" s="37" t="str">
        <f t="shared" ca="1" si="13"/>
        <v>VIGENTE</v>
      </c>
      <c r="AV40" s="357"/>
      <c r="AW40" s="357"/>
      <c r="AX40" s="37" t="str">
        <f t="shared" si="14"/>
        <v>C.I.</v>
      </c>
      <c r="AY40" s="359"/>
      <c r="AZ40" s="356" t="s">
        <v>838</v>
      </c>
      <c r="BA40" s="37" t="s">
        <v>1294</v>
      </c>
      <c r="BB40" s="37" t="s">
        <v>1295</v>
      </c>
      <c r="BC40" s="362">
        <v>45539</v>
      </c>
      <c r="BD40" s="362">
        <f t="shared" si="124"/>
        <v>45905</v>
      </c>
      <c r="BE40" s="37" t="str">
        <f t="shared" ca="1" si="16"/>
        <v>VIGENTE</v>
      </c>
      <c r="BF40" s="348"/>
      <c r="BG40" s="348"/>
      <c r="BH40" s="12" t="str">
        <f t="shared" si="17"/>
        <v>C.I.</v>
      </c>
      <c r="BI40" s="361"/>
      <c r="BJ40" s="356" t="s">
        <v>838</v>
      </c>
      <c r="BK40" s="37" t="s">
        <v>1296</v>
      </c>
      <c r="BL40" s="37" t="s">
        <v>1297</v>
      </c>
      <c r="BM40" s="358">
        <v>45539</v>
      </c>
      <c r="BN40" s="358">
        <f t="shared" si="125"/>
        <v>45904</v>
      </c>
      <c r="BO40" s="37" t="str">
        <f t="shared" ca="1" si="19"/>
        <v>VIGENTE</v>
      </c>
      <c r="BP40" s="357"/>
      <c r="BQ40" s="357"/>
      <c r="BR40" s="37" t="str">
        <f t="shared" si="20"/>
        <v>C.I.</v>
      </c>
      <c r="BS40" s="359"/>
      <c r="BT40" s="356" t="s">
        <v>838</v>
      </c>
      <c r="BU40" s="37" t="s">
        <v>1298</v>
      </c>
      <c r="BV40" s="37" t="s">
        <v>1299</v>
      </c>
      <c r="BW40" s="362">
        <v>45539</v>
      </c>
      <c r="BX40" s="362">
        <f t="shared" si="126"/>
        <v>45904</v>
      </c>
      <c r="BY40" s="37" t="str">
        <f t="shared" ca="1" si="22"/>
        <v>VIGENTE</v>
      </c>
      <c r="BZ40" s="348"/>
      <c r="CA40" s="348"/>
      <c r="CB40" s="12" t="str">
        <f t="shared" si="23"/>
        <v>C.I.</v>
      </c>
      <c r="CC40" s="361"/>
      <c r="CD40" s="356" t="s">
        <v>838</v>
      </c>
      <c r="CE40" s="37" t="s">
        <v>1300</v>
      </c>
      <c r="CF40" s="357" t="s">
        <v>1301</v>
      </c>
      <c r="CG40" s="358">
        <v>45539</v>
      </c>
      <c r="CH40" s="358">
        <f t="shared" si="127"/>
        <v>45904</v>
      </c>
      <c r="CI40" s="37" t="str">
        <f t="shared" ca="1" si="25"/>
        <v>VIGENTE</v>
      </c>
      <c r="CJ40" s="357"/>
      <c r="CK40" s="357"/>
      <c r="CL40" s="37" t="str">
        <f t="shared" si="26"/>
        <v>C.I.</v>
      </c>
      <c r="CM40" s="359"/>
      <c r="CN40" s="356" t="s">
        <v>838</v>
      </c>
      <c r="CO40" s="12" t="s">
        <v>1302</v>
      </c>
      <c r="CP40" s="348" t="s">
        <v>1303</v>
      </c>
      <c r="CQ40" s="362">
        <v>45539</v>
      </c>
      <c r="CR40" s="362">
        <f t="shared" si="128"/>
        <v>45904</v>
      </c>
      <c r="CS40" s="37" t="str">
        <f t="shared" ca="1" si="28"/>
        <v>VIGENTE</v>
      </c>
      <c r="CT40" s="348"/>
      <c r="CU40" s="348"/>
      <c r="CV40" s="12" t="str">
        <f t="shared" si="29"/>
        <v>C.I.</v>
      </c>
      <c r="CW40" s="361"/>
      <c r="CX40" s="356"/>
      <c r="CY40" s="37"/>
      <c r="CZ40" s="357"/>
      <c r="DA40" s="358"/>
      <c r="DB40" s="358" t="str">
        <f t="shared" si="129"/>
        <v xml:space="preserve"> </v>
      </c>
      <c r="DC40" s="37" t="str">
        <f t="shared" ca="1" si="31"/>
        <v xml:space="preserve"> </v>
      </c>
      <c r="DD40" s="357"/>
      <c r="DE40" s="357"/>
      <c r="DF40" s="37" t="str">
        <f t="shared" si="32"/>
        <v xml:space="preserve"> </v>
      </c>
      <c r="DG40" s="359"/>
      <c r="DH40" s="360"/>
      <c r="DI40" s="12"/>
      <c r="DJ40" s="348"/>
      <c r="DK40" s="348"/>
      <c r="DL40" s="348" t="str">
        <f t="shared" si="130"/>
        <v xml:space="preserve"> </v>
      </c>
      <c r="DM40" s="37" t="str">
        <f t="shared" ca="1" si="34"/>
        <v xml:space="preserve"> </v>
      </c>
      <c r="DN40" s="348"/>
      <c r="DO40" s="348"/>
      <c r="DP40" s="12" t="str">
        <f t="shared" si="35"/>
        <v xml:space="preserve"> </v>
      </c>
      <c r="DQ40" s="361"/>
      <c r="DR40" s="356"/>
      <c r="DS40" s="37"/>
      <c r="DT40" s="357"/>
      <c r="DU40" s="357"/>
      <c r="DV40" s="14" t="str">
        <f t="shared" si="131"/>
        <v xml:space="preserve"> </v>
      </c>
      <c r="DW40" s="37" t="str">
        <f t="shared" ca="1" si="37"/>
        <v xml:space="preserve"> </v>
      </c>
      <c r="DX40" s="357"/>
      <c r="DY40" s="357"/>
      <c r="DZ40" s="37" t="str">
        <f t="shared" si="38"/>
        <v xml:space="preserve"> </v>
      </c>
      <c r="EA40" s="359"/>
      <c r="EB40" s="360"/>
      <c r="EC40" s="12"/>
      <c r="ED40" s="348"/>
      <c r="EE40" s="348"/>
      <c r="EF40" s="91" t="str">
        <f t="shared" si="132"/>
        <v xml:space="preserve"> </v>
      </c>
      <c r="EG40" s="37" t="str">
        <f t="shared" ca="1" si="40"/>
        <v xml:space="preserve"> </v>
      </c>
      <c r="EH40" s="348"/>
      <c r="EI40" s="348"/>
      <c r="EJ40" s="12" t="str">
        <f t="shared" si="41"/>
        <v xml:space="preserve"> </v>
      </c>
      <c r="EK40" s="361"/>
      <c r="EL40" s="356"/>
      <c r="EM40" s="37"/>
      <c r="EN40" s="357"/>
      <c r="EO40" s="357"/>
      <c r="EP40" s="91" t="str">
        <f t="shared" si="133"/>
        <v xml:space="preserve"> </v>
      </c>
      <c r="EQ40" s="37" t="str">
        <f t="shared" ca="1" si="43"/>
        <v xml:space="preserve"> </v>
      </c>
      <c r="ER40" s="357"/>
      <c r="ES40" s="357"/>
      <c r="ET40" s="37" t="str">
        <f t="shared" si="44"/>
        <v xml:space="preserve"> </v>
      </c>
      <c r="EU40" s="359"/>
      <c r="EV40" s="360"/>
      <c r="EW40" s="12"/>
      <c r="EX40" s="348"/>
      <c r="EY40" s="348"/>
      <c r="EZ40" s="91" t="str">
        <f t="shared" si="134"/>
        <v xml:space="preserve"> </v>
      </c>
      <c r="FA40" s="37" t="str">
        <f t="shared" ca="1" si="46"/>
        <v xml:space="preserve"> </v>
      </c>
      <c r="FB40" s="348"/>
      <c r="FC40" s="348"/>
      <c r="FD40" s="12" t="str">
        <f t="shared" si="47"/>
        <v xml:space="preserve"> </v>
      </c>
      <c r="FE40" s="361"/>
      <c r="FF40" s="356"/>
      <c r="FG40" s="37"/>
      <c r="FH40" s="357"/>
      <c r="FI40" s="357"/>
      <c r="FJ40" s="91" t="str">
        <f t="shared" si="135"/>
        <v xml:space="preserve"> </v>
      </c>
      <c r="FK40" s="37" t="str">
        <f t="shared" ca="1" si="49"/>
        <v xml:space="preserve"> </v>
      </c>
      <c r="FL40" s="357"/>
      <c r="FM40" s="357"/>
      <c r="FN40" s="37" t="str">
        <f t="shared" si="50"/>
        <v xml:space="preserve"> </v>
      </c>
      <c r="FO40" s="359"/>
      <c r="FP40" s="360"/>
      <c r="FQ40" s="12"/>
      <c r="FR40" s="348"/>
      <c r="FS40" s="348"/>
      <c r="FT40" s="91" t="str">
        <f t="shared" si="136"/>
        <v xml:space="preserve"> </v>
      </c>
      <c r="FU40" s="37" t="str">
        <f t="shared" ca="1" si="52"/>
        <v xml:space="preserve"> </v>
      </c>
      <c r="FV40" s="348"/>
      <c r="FW40" s="348"/>
      <c r="FX40" s="12" t="str">
        <f t="shared" si="53"/>
        <v xml:space="preserve"> </v>
      </c>
      <c r="FY40" s="361"/>
      <c r="FZ40" s="356"/>
      <c r="GA40" s="37"/>
      <c r="GB40" s="357"/>
      <c r="GC40" s="357"/>
      <c r="GD40" s="91" t="str">
        <f t="shared" si="137"/>
        <v xml:space="preserve"> </v>
      </c>
      <c r="GE40" s="37" t="str">
        <f t="shared" ca="1" si="55"/>
        <v xml:space="preserve"> </v>
      </c>
      <c r="GF40" s="357"/>
      <c r="GG40" s="357"/>
      <c r="GH40" s="37" t="str">
        <f t="shared" si="56"/>
        <v xml:space="preserve"> </v>
      </c>
      <c r="GI40" s="359"/>
      <c r="GJ40" s="363"/>
      <c r="GK40" s="12"/>
      <c r="GL40" s="348"/>
      <c r="GM40" s="348"/>
      <c r="GN40" s="91" t="str">
        <f t="shared" si="138"/>
        <v xml:space="preserve"> </v>
      </c>
      <c r="GO40" s="37" t="str">
        <f t="shared" ca="1" si="58"/>
        <v xml:space="preserve"> </v>
      </c>
      <c r="GP40" s="348"/>
      <c r="GQ40" s="348"/>
      <c r="GR40" s="12" t="str">
        <f t="shared" si="59"/>
        <v xml:space="preserve"> </v>
      </c>
      <c r="GS40" s="364"/>
      <c r="GT40" s="356"/>
      <c r="GU40" s="37"/>
      <c r="GV40" s="357"/>
      <c r="GW40" s="357"/>
      <c r="GX40" s="91" t="str">
        <f t="shared" si="139"/>
        <v xml:space="preserve"> </v>
      </c>
      <c r="GY40" s="37" t="str">
        <f t="shared" ca="1" si="61"/>
        <v xml:space="preserve"> </v>
      </c>
      <c r="GZ40" s="357"/>
      <c r="HA40" s="357"/>
      <c r="HB40" s="37" t="str">
        <f t="shared" si="62"/>
        <v xml:space="preserve"> </v>
      </c>
      <c r="HC40" s="359"/>
      <c r="HD40" s="363"/>
      <c r="HE40" s="12"/>
      <c r="HF40" s="348"/>
      <c r="HG40" s="348"/>
      <c r="HH40" s="91" t="str">
        <f t="shared" si="140"/>
        <v xml:space="preserve"> </v>
      </c>
      <c r="HI40" s="37" t="str">
        <f t="shared" ca="1" si="64"/>
        <v xml:space="preserve"> </v>
      </c>
      <c r="HJ40" s="348"/>
      <c r="HK40" s="348"/>
      <c r="HL40" s="12" t="str">
        <f t="shared" si="65"/>
        <v xml:space="preserve"> </v>
      </c>
      <c r="HM40" s="364"/>
      <c r="HN40" s="356"/>
      <c r="HO40" s="37"/>
      <c r="HP40" s="357"/>
      <c r="HQ40" s="357"/>
      <c r="HR40" s="91" t="str">
        <f t="shared" si="141"/>
        <v xml:space="preserve"> </v>
      </c>
      <c r="HS40" s="37" t="str">
        <f t="shared" ca="1" si="67"/>
        <v xml:space="preserve"> </v>
      </c>
      <c r="HT40" s="357"/>
      <c r="HU40" s="357"/>
      <c r="HV40" s="37" t="str">
        <f t="shared" si="68"/>
        <v xml:space="preserve"> </v>
      </c>
      <c r="HW40" s="359"/>
      <c r="HX40" s="363"/>
      <c r="HY40" s="12"/>
      <c r="HZ40" s="348"/>
      <c r="IA40" s="348"/>
      <c r="IB40" s="91" t="str">
        <f t="shared" si="142"/>
        <v xml:space="preserve"> </v>
      </c>
      <c r="IC40" s="37" t="str">
        <f t="shared" ca="1" si="70"/>
        <v xml:space="preserve"> </v>
      </c>
      <c r="ID40" s="348"/>
      <c r="IE40" s="348"/>
      <c r="IF40" s="12" t="str">
        <f t="shared" si="71"/>
        <v xml:space="preserve"> </v>
      </c>
      <c r="IG40" s="364"/>
      <c r="IH40" s="356"/>
      <c r="II40" s="357"/>
      <c r="IJ40" s="357"/>
      <c r="IK40" s="357"/>
      <c r="IL40" s="91" t="str">
        <f t="shared" si="143"/>
        <v xml:space="preserve"> </v>
      </c>
      <c r="IM40" s="37" t="str">
        <f t="shared" ca="1" si="73"/>
        <v xml:space="preserve"> </v>
      </c>
      <c r="IN40" s="357"/>
      <c r="IO40" s="357"/>
      <c r="IP40" s="37" t="str">
        <f t="shared" si="74"/>
        <v xml:space="preserve"> </v>
      </c>
      <c r="IQ40" s="359"/>
      <c r="IR40" s="363"/>
      <c r="IS40" s="348"/>
      <c r="IT40" s="348"/>
      <c r="IU40" s="348"/>
      <c r="IV40" s="91" t="str">
        <f t="shared" si="144"/>
        <v xml:space="preserve"> </v>
      </c>
      <c r="IW40" s="37" t="str">
        <f t="shared" ca="1" si="76"/>
        <v xml:space="preserve"> </v>
      </c>
      <c r="IX40" s="348"/>
      <c r="IY40" s="348"/>
      <c r="IZ40" s="37" t="str">
        <f t="shared" si="77"/>
        <v xml:space="preserve"> </v>
      </c>
      <c r="JA40" s="364"/>
      <c r="JB40" s="356"/>
      <c r="JC40" s="357"/>
      <c r="JD40" s="357"/>
      <c r="JE40" s="357"/>
      <c r="JF40" s="91" t="str">
        <f t="shared" si="145"/>
        <v xml:space="preserve"> </v>
      </c>
      <c r="JG40" s="37" t="str">
        <f t="shared" ca="1" si="79"/>
        <v xml:space="preserve"> </v>
      </c>
      <c r="JH40" s="357"/>
      <c r="JI40" s="357"/>
      <c r="JJ40" s="37" t="str">
        <f t="shared" si="80"/>
        <v xml:space="preserve"> </v>
      </c>
      <c r="JK40" s="359"/>
      <c r="JL40" s="363"/>
      <c r="JM40" s="348"/>
      <c r="JN40" s="348"/>
      <c r="JO40" s="348"/>
      <c r="JP40" s="348" t="str">
        <f t="shared" si="148"/>
        <v xml:space="preserve"> </v>
      </c>
      <c r="JQ40" s="37" t="str">
        <f t="shared" ca="1" si="82"/>
        <v xml:space="preserve"> </v>
      </c>
      <c r="JR40" s="348"/>
      <c r="JS40" s="348"/>
      <c r="JT40" s="37" t="str">
        <f t="shared" si="83"/>
        <v xml:space="preserve"> </v>
      </c>
      <c r="JU40" s="364"/>
      <c r="JV40" s="356"/>
      <c r="JW40" s="357"/>
      <c r="JX40" s="357"/>
      <c r="JY40" s="357"/>
      <c r="JZ40" s="357" t="str">
        <f t="shared" si="149"/>
        <v xml:space="preserve"> </v>
      </c>
      <c r="KA40" s="37" t="str">
        <f t="shared" ca="1" si="85"/>
        <v xml:space="preserve"> </v>
      </c>
      <c r="KB40" s="357"/>
      <c r="KC40" s="357"/>
      <c r="KD40" s="37" t="str">
        <f t="shared" si="86"/>
        <v xml:space="preserve"> </v>
      </c>
      <c r="KE40" s="359"/>
      <c r="KF40" s="363"/>
      <c r="KG40" s="348"/>
      <c r="KH40" s="348"/>
      <c r="KI40" s="348"/>
      <c r="KJ40" s="348" t="str">
        <f t="shared" si="150"/>
        <v xml:space="preserve"> </v>
      </c>
      <c r="KK40" s="37" t="str">
        <f t="shared" ca="1" si="88"/>
        <v xml:space="preserve"> </v>
      </c>
      <c r="KL40" s="348"/>
      <c r="KM40" s="348"/>
      <c r="KN40" s="37" t="str">
        <f t="shared" si="89"/>
        <v xml:space="preserve"> </v>
      </c>
      <c r="KO40" s="364"/>
      <c r="KP40" s="356"/>
      <c r="KQ40" s="357"/>
      <c r="KR40" s="357"/>
      <c r="KS40" s="357"/>
      <c r="KT40" s="357" t="str">
        <f t="shared" si="151"/>
        <v xml:space="preserve"> </v>
      </c>
      <c r="KU40" s="37" t="str">
        <f t="shared" ca="1" si="91"/>
        <v xml:space="preserve"> </v>
      </c>
      <c r="KV40" s="357"/>
      <c r="KW40" s="357"/>
      <c r="KX40" s="37" t="str">
        <f t="shared" si="92"/>
        <v xml:space="preserve"> </v>
      </c>
      <c r="KY40" s="359"/>
      <c r="KZ40" s="363"/>
      <c r="LA40" s="348"/>
      <c r="LB40" s="348"/>
      <c r="LC40" s="348"/>
      <c r="LD40" s="348" t="str">
        <f t="shared" si="152"/>
        <v xml:space="preserve"> </v>
      </c>
      <c r="LE40" s="37" t="str">
        <f t="shared" ca="1" si="94"/>
        <v xml:space="preserve"> </v>
      </c>
      <c r="LF40" s="348"/>
      <c r="LG40" s="348"/>
      <c r="LH40" s="37" t="str">
        <f t="shared" si="95"/>
        <v xml:space="preserve"> </v>
      </c>
      <c r="LI40" s="364"/>
      <c r="LJ40" s="356"/>
      <c r="LK40" s="357"/>
      <c r="LL40" s="357"/>
      <c r="LM40" s="357"/>
      <c r="LN40" s="357" t="str">
        <f t="shared" si="153"/>
        <v xml:space="preserve"> </v>
      </c>
      <c r="LO40" s="37" t="str">
        <f t="shared" ca="1" si="97"/>
        <v xml:space="preserve"> </v>
      </c>
      <c r="LP40" s="357"/>
      <c r="LQ40" s="357"/>
      <c r="LR40" s="37" t="str">
        <f t="shared" si="98"/>
        <v xml:space="preserve"> </v>
      </c>
      <c r="LS40" s="359"/>
      <c r="LT40" s="363"/>
      <c r="LU40" s="348"/>
      <c r="LV40" s="348"/>
      <c r="LW40" s="348"/>
      <c r="LX40" s="348" t="str">
        <f t="shared" si="114"/>
        <v xml:space="preserve"> </v>
      </c>
      <c r="LY40" s="37" t="str">
        <f t="shared" ca="1" si="99"/>
        <v xml:space="preserve"> </v>
      </c>
      <c r="LZ40" s="348"/>
      <c r="MA40" s="348"/>
      <c r="MB40" s="37" t="str">
        <f t="shared" si="100"/>
        <v xml:space="preserve"> </v>
      </c>
      <c r="MC40" s="364"/>
      <c r="MD40" s="356"/>
      <c r="ME40" s="357"/>
      <c r="MF40" s="357"/>
      <c r="MG40" s="357"/>
      <c r="MH40" s="357"/>
      <c r="MI40" s="37" t="str">
        <f t="shared" ca="1" si="101"/>
        <v xml:space="preserve"> </v>
      </c>
      <c r="MJ40" s="357"/>
      <c r="MK40" s="357"/>
      <c r="ML40" s="37" t="str">
        <f t="shared" si="102"/>
        <v xml:space="preserve"> </v>
      </c>
      <c r="MM40" s="359"/>
      <c r="MN40" s="363"/>
      <c r="MO40" s="348"/>
      <c r="MP40" s="348"/>
      <c r="MQ40" s="348"/>
      <c r="MR40" s="348"/>
      <c r="MS40" s="37" t="str">
        <f t="shared" ca="1" si="103"/>
        <v xml:space="preserve"> </v>
      </c>
      <c r="MT40" s="348"/>
      <c r="MU40" s="348"/>
      <c r="MV40" s="37" t="str">
        <f t="shared" si="104"/>
        <v xml:space="preserve"> </v>
      </c>
      <c r="MW40" s="364"/>
      <c r="MX40" s="356"/>
      <c r="MY40" s="357"/>
      <c r="MZ40" s="357"/>
      <c r="NA40" s="357"/>
      <c r="NB40" s="357"/>
      <c r="NC40" s="37" t="str">
        <f t="shared" ca="1" si="105"/>
        <v xml:space="preserve"> </v>
      </c>
      <c r="ND40" s="357"/>
      <c r="NE40" s="357"/>
      <c r="NF40" s="37" t="str">
        <f t="shared" si="115"/>
        <v xml:space="preserve"> </v>
      </c>
      <c r="NG40" s="359"/>
      <c r="NH40" s="363"/>
      <c r="NI40" s="348"/>
      <c r="NJ40" s="348"/>
      <c r="NK40" s="348"/>
      <c r="NL40" s="348"/>
      <c r="NM40" s="37" t="str">
        <f t="shared" ca="1" si="107"/>
        <v xml:space="preserve"> </v>
      </c>
      <c r="NN40" s="348"/>
      <c r="NO40" s="348"/>
      <c r="NP40" s="37" t="str">
        <f t="shared" si="116"/>
        <v xml:space="preserve"> </v>
      </c>
      <c r="NQ40" s="364"/>
      <c r="NR40" s="356"/>
      <c r="NS40" s="357"/>
      <c r="NT40" s="357"/>
      <c r="NU40" s="357"/>
      <c r="NV40" s="357"/>
      <c r="NW40" s="37" t="str">
        <f t="shared" ca="1" si="109"/>
        <v xml:space="preserve"> </v>
      </c>
      <c r="NX40" s="357"/>
      <c r="NY40" s="357"/>
      <c r="NZ40" s="37" t="str">
        <f t="shared" si="117"/>
        <v xml:space="preserve"> </v>
      </c>
      <c r="OA40" s="359"/>
      <c r="OB40" s="363"/>
      <c r="OC40" s="348"/>
      <c r="OD40" s="348"/>
      <c r="OE40" s="348"/>
      <c r="OF40" s="348"/>
      <c r="OG40" s="37" t="str">
        <f t="shared" ca="1" si="111"/>
        <v xml:space="preserve"> </v>
      </c>
      <c r="OH40" s="348"/>
      <c r="OI40" s="348"/>
      <c r="OJ40" s="37" t="str">
        <f t="shared" si="118"/>
        <v xml:space="preserve"> </v>
      </c>
      <c r="OK40" s="364"/>
    </row>
    <row r="41" spans="1:401" s="44" customFormat="1" ht="22.2" customHeight="1" x14ac:dyDescent="0.3">
      <c r="A41" s="365" t="s">
        <v>233</v>
      </c>
      <c r="B41" s="369" t="s">
        <v>841</v>
      </c>
      <c r="C41" s="54">
        <v>53983</v>
      </c>
      <c r="D41" s="366" t="s">
        <v>1304</v>
      </c>
      <c r="E41" s="177">
        <v>45629</v>
      </c>
      <c r="F41" s="177">
        <f t="shared" si="119"/>
        <v>45994</v>
      </c>
      <c r="G41" s="54" t="str">
        <f t="shared" ca="1" si="113"/>
        <v>VIGENTE</v>
      </c>
      <c r="H41" s="54"/>
      <c r="I41" s="54"/>
      <c r="J41" s="54" t="str">
        <f t="shared" si="2"/>
        <v>C.C.</v>
      </c>
      <c r="K41" s="171"/>
      <c r="L41" s="176" t="s">
        <v>875</v>
      </c>
      <c r="M41" s="54">
        <v>17693</v>
      </c>
      <c r="N41" s="54" t="s">
        <v>1305</v>
      </c>
      <c r="O41" s="177">
        <v>45629</v>
      </c>
      <c r="P41" s="177">
        <f t="shared" si="3"/>
        <v>45994</v>
      </c>
      <c r="Q41" s="54" t="str">
        <f t="shared" ca="1" si="4"/>
        <v>VIGENTE</v>
      </c>
      <c r="R41" s="54"/>
      <c r="S41" s="54"/>
      <c r="T41" s="54" t="str">
        <f t="shared" si="5"/>
        <v>G.M.</v>
      </c>
      <c r="U41" s="171"/>
      <c r="V41" s="369" t="s">
        <v>838</v>
      </c>
      <c r="W41" s="54" t="s">
        <v>1306</v>
      </c>
      <c r="X41" s="366" t="s">
        <v>1307</v>
      </c>
      <c r="Y41" s="177">
        <v>45629</v>
      </c>
      <c r="Z41" s="177">
        <f t="shared" si="121"/>
        <v>45994</v>
      </c>
      <c r="AA41" s="54" t="str">
        <f t="shared" ca="1" si="7"/>
        <v>VIGENTE</v>
      </c>
      <c r="AB41" s="366"/>
      <c r="AC41" s="366"/>
      <c r="AD41" s="54" t="str">
        <f t="shared" si="8"/>
        <v>C.I.</v>
      </c>
      <c r="AE41" s="367"/>
      <c r="AF41" s="371"/>
      <c r="AG41" s="346"/>
      <c r="AH41" s="346"/>
      <c r="AI41" s="65"/>
      <c r="AJ41" s="65" t="str">
        <f t="shared" si="122"/>
        <v xml:space="preserve"> </v>
      </c>
      <c r="AK41" s="54" t="str">
        <f t="shared" ca="1" si="10"/>
        <v xml:space="preserve"> </v>
      </c>
      <c r="AL41" s="346"/>
      <c r="AM41" s="346"/>
      <c r="AN41" s="49" t="str">
        <f t="shared" si="11"/>
        <v xml:space="preserve"> </v>
      </c>
      <c r="AO41" s="368"/>
      <c r="AP41" s="369"/>
      <c r="AQ41" s="366"/>
      <c r="AR41" s="366"/>
      <c r="AS41" s="370"/>
      <c r="AT41" s="370" t="str">
        <f t="shared" si="123"/>
        <v xml:space="preserve"> </v>
      </c>
      <c r="AU41" s="54" t="str">
        <f t="shared" ca="1" si="13"/>
        <v xml:space="preserve"> </v>
      </c>
      <c r="AV41" s="366"/>
      <c r="AW41" s="366"/>
      <c r="AX41" s="54" t="str">
        <f t="shared" si="14"/>
        <v xml:space="preserve"> </v>
      </c>
      <c r="AY41" s="367"/>
      <c r="AZ41" s="371"/>
      <c r="BA41" s="346"/>
      <c r="BB41" s="346"/>
      <c r="BC41" s="372"/>
      <c r="BD41" s="372" t="str">
        <f t="shared" si="124"/>
        <v xml:space="preserve"> </v>
      </c>
      <c r="BE41" s="54" t="str">
        <f t="shared" ca="1" si="16"/>
        <v xml:space="preserve"> </v>
      </c>
      <c r="BF41" s="346"/>
      <c r="BG41" s="346"/>
      <c r="BH41" s="49" t="str">
        <f t="shared" si="17"/>
        <v xml:space="preserve"> </v>
      </c>
      <c r="BI41" s="368"/>
      <c r="BJ41" s="369"/>
      <c r="BK41" s="366"/>
      <c r="BL41" s="366"/>
      <c r="BM41" s="370"/>
      <c r="BN41" s="370" t="str">
        <f t="shared" si="125"/>
        <v xml:space="preserve"> </v>
      </c>
      <c r="BO41" s="54" t="str">
        <f t="shared" ca="1" si="19"/>
        <v xml:space="preserve"> </v>
      </c>
      <c r="BP41" s="366"/>
      <c r="BQ41" s="366"/>
      <c r="BR41" s="54" t="str">
        <f t="shared" si="20"/>
        <v xml:space="preserve"> </v>
      </c>
      <c r="BS41" s="367"/>
      <c r="BT41" s="371"/>
      <c r="BU41" s="346"/>
      <c r="BV41" s="346"/>
      <c r="BW41" s="372"/>
      <c r="BX41" s="372" t="str">
        <f t="shared" si="126"/>
        <v xml:space="preserve"> </v>
      </c>
      <c r="BY41" s="54" t="str">
        <f t="shared" ca="1" si="22"/>
        <v xml:space="preserve"> </v>
      </c>
      <c r="BZ41" s="346"/>
      <c r="CA41" s="346"/>
      <c r="CB41" s="49" t="str">
        <f t="shared" si="23"/>
        <v xml:space="preserve"> </v>
      </c>
      <c r="CC41" s="368"/>
      <c r="CD41" s="369"/>
      <c r="CE41" s="54"/>
      <c r="CF41" s="366"/>
      <c r="CG41" s="370"/>
      <c r="CH41" s="370" t="str">
        <f t="shared" si="127"/>
        <v xml:space="preserve"> </v>
      </c>
      <c r="CI41" s="54" t="str">
        <f t="shared" ca="1" si="25"/>
        <v xml:space="preserve"> </v>
      </c>
      <c r="CJ41" s="366"/>
      <c r="CK41" s="366"/>
      <c r="CL41" s="54" t="str">
        <f t="shared" si="26"/>
        <v xml:space="preserve"> </v>
      </c>
      <c r="CM41" s="367"/>
      <c r="CN41" s="371"/>
      <c r="CO41" s="49"/>
      <c r="CP41" s="346"/>
      <c r="CQ41" s="372"/>
      <c r="CR41" s="372" t="str">
        <f t="shared" si="128"/>
        <v xml:space="preserve"> </v>
      </c>
      <c r="CS41" s="54" t="str">
        <f t="shared" ca="1" si="28"/>
        <v xml:space="preserve"> </v>
      </c>
      <c r="CT41" s="346"/>
      <c r="CU41" s="346"/>
      <c r="CV41" s="49" t="str">
        <f t="shared" si="29"/>
        <v xml:space="preserve"> </v>
      </c>
      <c r="CW41" s="368"/>
      <c r="CX41" s="369"/>
      <c r="CY41" s="54"/>
      <c r="CZ41" s="366"/>
      <c r="DA41" s="370"/>
      <c r="DB41" s="370" t="str">
        <f t="shared" si="129"/>
        <v xml:space="preserve"> </v>
      </c>
      <c r="DC41" s="54" t="str">
        <f t="shared" ca="1" si="31"/>
        <v xml:space="preserve"> </v>
      </c>
      <c r="DD41" s="366"/>
      <c r="DE41" s="366"/>
      <c r="DF41" s="54" t="str">
        <f t="shared" si="32"/>
        <v xml:space="preserve"> </v>
      </c>
      <c r="DG41" s="367"/>
      <c r="DH41" s="371"/>
      <c r="DI41" s="49"/>
      <c r="DJ41" s="346"/>
      <c r="DK41" s="346"/>
      <c r="DL41" s="346" t="str">
        <f t="shared" si="130"/>
        <v xml:space="preserve"> </v>
      </c>
      <c r="DM41" s="54" t="str">
        <f t="shared" ca="1" si="34"/>
        <v xml:space="preserve"> </v>
      </c>
      <c r="DN41" s="346"/>
      <c r="DO41" s="346"/>
      <c r="DP41" s="49" t="str">
        <f t="shared" si="35"/>
        <v xml:space="preserve"> </v>
      </c>
      <c r="DQ41" s="368"/>
      <c r="DR41" s="369"/>
      <c r="DS41" s="54"/>
      <c r="DT41" s="366"/>
      <c r="DU41" s="366"/>
      <c r="DV41" s="177" t="str">
        <f t="shared" si="131"/>
        <v xml:space="preserve"> </v>
      </c>
      <c r="DW41" s="54" t="str">
        <f t="shared" ca="1" si="37"/>
        <v xml:space="preserve"> </v>
      </c>
      <c r="DX41" s="366"/>
      <c r="DY41" s="366"/>
      <c r="DZ41" s="54" t="str">
        <f t="shared" si="38"/>
        <v xml:space="preserve"> </v>
      </c>
      <c r="EA41" s="367"/>
      <c r="EB41" s="371"/>
      <c r="EC41" s="49"/>
      <c r="ED41" s="346"/>
      <c r="EE41" s="346"/>
      <c r="EF41" s="177" t="str">
        <f t="shared" si="132"/>
        <v xml:space="preserve"> </v>
      </c>
      <c r="EG41" s="54" t="str">
        <f t="shared" ca="1" si="40"/>
        <v xml:space="preserve"> </v>
      </c>
      <c r="EH41" s="346"/>
      <c r="EI41" s="346"/>
      <c r="EJ41" s="49" t="str">
        <f t="shared" si="41"/>
        <v xml:space="preserve"> </v>
      </c>
      <c r="EK41" s="368"/>
      <c r="EL41" s="369"/>
      <c r="EM41" s="54"/>
      <c r="EN41" s="366"/>
      <c r="EO41" s="366"/>
      <c r="EP41" s="177" t="str">
        <f t="shared" si="133"/>
        <v xml:space="preserve"> </v>
      </c>
      <c r="EQ41" s="54" t="str">
        <f t="shared" ca="1" si="43"/>
        <v xml:space="preserve"> </v>
      </c>
      <c r="ER41" s="366"/>
      <c r="ES41" s="366"/>
      <c r="ET41" s="54" t="str">
        <f t="shared" si="44"/>
        <v xml:space="preserve"> </v>
      </c>
      <c r="EU41" s="367"/>
      <c r="EV41" s="371"/>
      <c r="EW41" s="49"/>
      <c r="EX41" s="346"/>
      <c r="EY41" s="346"/>
      <c r="EZ41" s="177" t="str">
        <f t="shared" si="134"/>
        <v xml:space="preserve"> </v>
      </c>
      <c r="FA41" s="54" t="str">
        <f t="shared" ca="1" si="46"/>
        <v xml:space="preserve"> </v>
      </c>
      <c r="FB41" s="346"/>
      <c r="FC41" s="346"/>
      <c r="FD41" s="49" t="str">
        <f t="shared" si="47"/>
        <v xml:space="preserve"> </v>
      </c>
      <c r="FE41" s="368"/>
      <c r="FF41" s="369"/>
      <c r="FG41" s="54"/>
      <c r="FH41" s="366"/>
      <c r="FI41" s="366"/>
      <c r="FJ41" s="177" t="str">
        <f t="shared" si="135"/>
        <v xml:space="preserve"> </v>
      </c>
      <c r="FK41" s="54" t="str">
        <f t="shared" ca="1" si="49"/>
        <v xml:space="preserve"> </v>
      </c>
      <c r="FL41" s="366"/>
      <c r="FM41" s="366"/>
      <c r="FN41" s="54" t="str">
        <f t="shared" si="50"/>
        <v xml:space="preserve"> </v>
      </c>
      <c r="FO41" s="367"/>
      <c r="FP41" s="371"/>
      <c r="FQ41" s="49"/>
      <c r="FR41" s="346"/>
      <c r="FS41" s="346"/>
      <c r="FT41" s="177" t="str">
        <f t="shared" si="136"/>
        <v xml:space="preserve"> </v>
      </c>
      <c r="FU41" s="54" t="str">
        <f t="shared" ca="1" si="52"/>
        <v xml:space="preserve"> </v>
      </c>
      <c r="FV41" s="346"/>
      <c r="FW41" s="346"/>
      <c r="FX41" s="49" t="str">
        <f t="shared" si="53"/>
        <v xml:space="preserve"> </v>
      </c>
      <c r="FY41" s="368"/>
      <c r="FZ41" s="369"/>
      <c r="GA41" s="54"/>
      <c r="GB41" s="366"/>
      <c r="GC41" s="366"/>
      <c r="GD41" s="177" t="str">
        <f t="shared" si="137"/>
        <v xml:space="preserve"> </v>
      </c>
      <c r="GE41" s="54" t="str">
        <f t="shared" ca="1" si="55"/>
        <v xml:space="preserve"> </v>
      </c>
      <c r="GF41" s="366"/>
      <c r="GG41" s="366"/>
      <c r="GH41" s="54" t="str">
        <f t="shared" si="56"/>
        <v xml:space="preserve"> </v>
      </c>
      <c r="GI41" s="367"/>
      <c r="GJ41" s="373"/>
      <c r="GK41" s="49"/>
      <c r="GL41" s="346"/>
      <c r="GM41" s="346"/>
      <c r="GN41" s="177" t="str">
        <f t="shared" si="138"/>
        <v xml:space="preserve"> </v>
      </c>
      <c r="GO41" s="54" t="str">
        <f t="shared" ca="1" si="58"/>
        <v xml:space="preserve"> </v>
      </c>
      <c r="GP41" s="346"/>
      <c r="GQ41" s="346"/>
      <c r="GR41" s="49" t="str">
        <f t="shared" si="59"/>
        <v xml:space="preserve"> </v>
      </c>
      <c r="GS41" s="374"/>
      <c r="GT41" s="369"/>
      <c r="GU41" s="54"/>
      <c r="GV41" s="366"/>
      <c r="GW41" s="366"/>
      <c r="GX41" s="177" t="str">
        <f t="shared" si="139"/>
        <v xml:space="preserve"> </v>
      </c>
      <c r="GY41" s="54" t="str">
        <f t="shared" ca="1" si="61"/>
        <v xml:space="preserve"> </v>
      </c>
      <c r="GZ41" s="366"/>
      <c r="HA41" s="366"/>
      <c r="HB41" s="54" t="str">
        <f t="shared" si="62"/>
        <v xml:space="preserve"> </v>
      </c>
      <c r="HC41" s="367"/>
      <c r="HD41" s="373"/>
      <c r="HE41" s="49"/>
      <c r="HF41" s="346"/>
      <c r="HG41" s="346"/>
      <c r="HH41" s="177" t="str">
        <f t="shared" si="140"/>
        <v xml:space="preserve"> </v>
      </c>
      <c r="HI41" s="54" t="str">
        <f t="shared" ca="1" si="64"/>
        <v xml:space="preserve"> </v>
      </c>
      <c r="HJ41" s="346"/>
      <c r="HK41" s="346"/>
      <c r="HL41" s="49" t="str">
        <f t="shared" si="65"/>
        <v xml:space="preserve"> </v>
      </c>
      <c r="HM41" s="374"/>
      <c r="HN41" s="369"/>
      <c r="HO41" s="54"/>
      <c r="HP41" s="366"/>
      <c r="HQ41" s="366"/>
      <c r="HR41" s="177" t="str">
        <f t="shared" si="141"/>
        <v xml:space="preserve"> </v>
      </c>
      <c r="HS41" s="54" t="str">
        <f t="shared" ca="1" si="67"/>
        <v xml:space="preserve"> </v>
      </c>
      <c r="HT41" s="366"/>
      <c r="HU41" s="366"/>
      <c r="HV41" s="54" t="str">
        <f t="shared" si="68"/>
        <v xml:space="preserve"> </v>
      </c>
      <c r="HW41" s="367"/>
      <c r="HX41" s="373"/>
      <c r="HY41" s="49"/>
      <c r="HZ41" s="346"/>
      <c r="IA41" s="346"/>
      <c r="IB41" s="177" t="str">
        <f t="shared" si="142"/>
        <v xml:space="preserve"> </v>
      </c>
      <c r="IC41" s="54" t="str">
        <f t="shared" ca="1" si="70"/>
        <v xml:space="preserve"> </v>
      </c>
      <c r="ID41" s="346"/>
      <c r="IE41" s="346"/>
      <c r="IF41" s="49" t="str">
        <f t="shared" si="71"/>
        <v xml:space="preserve"> </v>
      </c>
      <c r="IG41" s="374"/>
      <c r="IH41" s="369"/>
      <c r="II41" s="366"/>
      <c r="IJ41" s="366"/>
      <c r="IK41" s="366"/>
      <c r="IL41" s="177" t="str">
        <f t="shared" si="143"/>
        <v xml:space="preserve"> </v>
      </c>
      <c r="IM41" s="54" t="str">
        <f t="shared" ca="1" si="73"/>
        <v xml:space="preserve"> </v>
      </c>
      <c r="IN41" s="366"/>
      <c r="IO41" s="366"/>
      <c r="IP41" s="54" t="str">
        <f t="shared" si="74"/>
        <v xml:space="preserve"> </v>
      </c>
      <c r="IQ41" s="367"/>
      <c r="IR41" s="373"/>
      <c r="IS41" s="346"/>
      <c r="IT41" s="346"/>
      <c r="IU41" s="346"/>
      <c r="IV41" s="177" t="str">
        <f t="shared" si="144"/>
        <v xml:space="preserve"> </v>
      </c>
      <c r="IW41" s="54" t="str">
        <f t="shared" ca="1" si="76"/>
        <v xml:space="preserve"> </v>
      </c>
      <c r="IX41" s="346"/>
      <c r="IY41" s="346"/>
      <c r="IZ41" s="54" t="str">
        <f t="shared" si="77"/>
        <v xml:space="preserve"> </v>
      </c>
      <c r="JA41" s="374"/>
      <c r="JB41" s="369"/>
      <c r="JC41" s="366"/>
      <c r="JD41" s="366"/>
      <c r="JE41" s="366"/>
      <c r="JF41" s="177" t="str">
        <f t="shared" si="145"/>
        <v xml:space="preserve"> </v>
      </c>
      <c r="JG41" s="54" t="str">
        <f t="shared" ca="1" si="79"/>
        <v xml:space="preserve"> </v>
      </c>
      <c r="JH41" s="366"/>
      <c r="JI41" s="366"/>
      <c r="JJ41" s="54" t="str">
        <f t="shared" si="80"/>
        <v xml:space="preserve"> </v>
      </c>
      <c r="JK41" s="367"/>
      <c r="JL41" s="373"/>
      <c r="JM41" s="346"/>
      <c r="JN41" s="346"/>
      <c r="JO41" s="346"/>
      <c r="JP41" s="346" t="str">
        <f t="shared" si="148"/>
        <v xml:space="preserve"> </v>
      </c>
      <c r="JQ41" s="54" t="str">
        <f t="shared" ca="1" si="82"/>
        <v xml:space="preserve"> </v>
      </c>
      <c r="JR41" s="346"/>
      <c r="JS41" s="346"/>
      <c r="JT41" s="54" t="str">
        <f t="shared" si="83"/>
        <v xml:space="preserve"> </v>
      </c>
      <c r="JU41" s="374"/>
      <c r="JV41" s="369"/>
      <c r="JW41" s="366"/>
      <c r="JX41" s="366"/>
      <c r="JY41" s="366"/>
      <c r="JZ41" s="366" t="str">
        <f t="shared" si="149"/>
        <v xml:space="preserve"> </v>
      </c>
      <c r="KA41" s="54" t="str">
        <f t="shared" ca="1" si="85"/>
        <v xml:space="preserve"> </v>
      </c>
      <c r="KB41" s="366"/>
      <c r="KC41" s="366"/>
      <c r="KD41" s="54" t="str">
        <f t="shared" si="86"/>
        <v xml:space="preserve"> </v>
      </c>
      <c r="KE41" s="367"/>
      <c r="KF41" s="373"/>
      <c r="KG41" s="346"/>
      <c r="KH41" s="346"/>
      <c r="KI41" s="346"/>
      <c r="KJ41" s="346" t="str">
        <f t="shared" si="150"/>
        <v xml:space="preserve"> </v>
      </c>
      <c r="KK41" s="54" t="str">
        <f t="shared" ca="1" si="88"/>
        <v xml:space="preserve"> </v>
      </c>
      <c r="KL41" s="346"/>
      <c r="KM41" s="346"/>
      <c r="KN41" s="54" t="str">
        <f t="shared" si="89"/>
        <v xml:space="preserve"> </v>
      </c>
      <c r="KO41" s="374"/>
      <c r="KP41" s="369"/>
      <c r="KQ41" s="366"/>
      <c r="KR41" s="366"/>
      <c r="KS41" s="366"/>
      <c r="KT41" s="366" t="str">
        <f t="shared" si="151"/>
        <v xml:space="preserve"> </v>
      </c>
      <c r="KU41" s="54" t="str">
        <f t="shared" ca="1" si="91"/>
        <v xml:space="preserve"> </v>
      </c>
      <c r="KV41" s="366"/>
      <c r="KW41" s="366"/>
      <c r="KX41" s="54" t="str">
        <f t="shared" si="92"/>
        <v xml:space="preserve"> </v>
      </c>
      <c r="KY41" s="367"/>
      <c r="KZ41" s="373"/>
      <c r="LA41" s="346"/>
      <c r="LB41" s="346"/>
      <c r="LC41" s="346"/>
      <c r="LD41" s="346" t="str">
        <f t="shared" si="152"/>
        <v xml:space="preserve"> </v>
      </c>
      <c r="LE41" s="54" t="str">
        <f t="shared" ca="1" si="94"/>
        <v xml:space="preserve"> </v>
      </c>
      <c r="LF41" s="346"/>
      <c r="LG41" s="346"/>
      <c r="LH41" s="54" t="str">
        <f t="shared" si="95"/>
        <v xml:space="preserve"> </v>
      </c>
      <c r="LI41" s="374"/>
      <c r="LJ41" s="369"/>
      <c r="LK41" s="366"/>
      <c r="LL41" s="366"/>
      <c r="LM41" s="366"/>
      <c r="LN41" s="366" t="str">
        <f t="shared" si="153"/>
        <v xml:space="preserve"> </v>
      </c>
      <c r="LO41" s="54" t="str">
        <f t="shared" ca="1" si="97"/>
        <v xml:space="preserve"> </v>
      </c>
      <c r="LP41" s="366"/>
      <c r="LQ41" s="366"/>
      <c r="LR41" s="54" t="str">
        <f t="shared" si="98"/>
        <v xml:space="preserve"> </v>
      </c>
      <c r="LS41" s="367"/>
      <c r="LT41" s="373"/>
      <c r="LU41" s="346"/>
      <c r="LV41" s="346"/>
      <c r="LW41" s="346"/>
      <c r="LX41" s="346" t="str">
        <f t="shared" si="114"/>
        <v xml:space="preserve"> </v>
      </c>
      <c r="LY41" s="54" t="str">
        <f t="shared" ca="1" si="99"/>
        <v xml:space="preserve"> </v>
      </c>
      <c r="LZ41" s="346"/>
      <c r="MA41" s="346"/>
      <c r="MB41" s="54" t="str">
        <f t="shared" si="100"/>
        <v xml:space="preserve"> </v>
      </c>
      <c r="MC41" s="374"/>
      <c r="MD41" s="369"/>
      <c r="ME41" s="366"/>
      <c r="MF41" s="366"/>
      <c r="MG41" s="366"/>
      <c r="MH41" s="366"/>
      <c r="MI41" s="54" t="str">
        <f t="shared" ca="1" si="101"/>
        <v xml:space="preserve"> </v>
      </c>
      <c r="MJ41" s="366"/>
      <c r="MK41" s="366"/>
      <c r="ML41" s="54" t="str">
        <f t="shared" si="102"/>
        <v xml:space="preserve"> </v>
      </c>
      <c r="MM41" s="367"/>
      <c r="MN41" s="373"/>
      <c r="MO41" s="346"/>
      <c r="MP41" s="346"/>
      <c r="MQ41" s="346"/>
      <c r="MR41" s="346"/>
      <c r="MS41" s="54" t="str">
        <f t="shared" ca="1" si="103"/>
        <v xml:space="preserve"> </v>
      </c>
      <c r="MT41" s="346"/>
      <c r="MU41" s="346"/>
      <c r="MV41" s="54" t="str">
        <f t="shared" si="104"/>
        <v xml:space="preserve"> </v>
      </c>
      <c r="MW41" s="374"/>
      <c r="MX41" s="369"/>
      <c r="MY41" s="366"/>
      <c r="MZ41" s="366"/>
      <c r="NA41" s="366"/>
      <c r="NB41" s="366"/>
      <c r="NC41" s="54" t="str">
        <f t="shared" ca="1" si="105"/>
        <v xml:space="preserve"> </v>
      </c>
      <c r="ND41" s="366"/>
      <c r="NE41" s="366"/>
      <c r="NF41" s="54" t="str">
        <f t="shared" si="115"/>
        <v xml:space="preserve"> </v>
      </c>
      <c r="NG41" s="367"/>
      <c r="NH41" s="373"/>
      <c r="NI41" s="346"/>
      <c r="NJ41" s="346"/>
      <c r="NK41" s="346"/>
      <c r="NL41" s="346"/>
      <c r="NM41" s="54" t="str">
        <f t="shared" ca="1" si="107"/>
        <v xml:space="preserve"> </v>
      </c>
      <c r="NN41" s="346"/>
      <c r="NO41" s="346"/>
      <c r="NP41" s="54" t="str">
        <f t="shared" si="116"/>
        <v xml:space="preserve"> </v>
      </c>
      <c r="NQ41" s="374"/>
      <c r="NR41" s="369"/>
      <c r="NS41" s="366"/>
      <c r="NT41" s="366"/>
      <c r="NU41" s="366"/>
      <c r="NV41" s="366"/>
      <c r="NW41" s="54" t="str">
        <f t="shared" ca="1" si="109"/>
        <v xml:space="preserve"> </v>
      </c>
      <c r="NX41" s="366"/>
      <c r="NY41" s="366"/>
      <c r="NZ41" s="54" t="str">
        <f t="shared" si="117"/>
        <v xml:space="preserve"> </v>
      </c>
      <c r="OA41" s="367"/>
      <c r="OB41" s="373"/>
      <c r="OC41" s="346"/>
      <c r="OD41" s="346"/>
      <c r="OE41" s="346"/>
      <c r="OF41" s="346"/>
      <c r="OG41" s="54" t="str">
        <f t="shared" ca="1" si="111"/>
        <v xml:space="preserve"> </v>
      </c>
      <c r="OH41" s="346"/>
      <c r="OI41" s="346"/>
      <c r="OJ41" s="54" t="str">
        <f t="shared" si="118"/>
        <v xml:space="preserve"> </v>
      </c>
      <c r="OK41" s="374"/>
    </row>
    <row r="42" spans="1:401" s="44" customFormat="1" ht="22.2" customHeight="1" x14ac:dyDescent="0.3">
      <c r="A42" s="355" t="s">
        <v>237</v>
      </c>
      <c r="B42" s="356" t="s">
        <v>841</v>
      </c>
      <c r="C42" s="37">
        <v>53909</v>
      </c>
      <c r="D42" s="205" t="s">
        <v>1308</v>
      </c>
      <c r="E42" s="91">
        <v>45554</v>
      </c>
      <c r="F42" s="91">
        <f t="shared" si="119"/>
        <v>45919</v>
      </c>
      <c r="G42" s="37" t="str">
        <f t="shared" ca="1" si="113"/>
        <v>VIGENTE</v>
      </c>
      <c r="H42" s="37"/>
      <c r="I42" s="37"/>
      <c r="J42" s="37" t="str">
        <f t="shared" si="2"/>
        <v>C.C.</v>
      </c>
      <c r="K42" s="170"/>
      <c r="L42" s="356" t="s">
        <v>838</v>
      </c>
      <c r="M42" s="37" t="s">
        <v>1309</v>
      </c>
      <c r="N42" s="37" t="s">
        <v>1310</v>
      </c>
      <c r="O42" s="91">
        <v>45565</v>
      </c>
      <c r="P42" s="91">
        <f t="shared" si="3"/>
        <v>45930</v>
      </c>
      <c r="Q42" s="37" t="str">
        <f t="shared" ca="1" si="4"/>
        <v>VIGENTE</v>
      </c>
      <c r="R42" s="37"/>
      <c r="S42" s="37"/>
      <c r="T42" s="37" t="str">
        <f t="shared" si="5"/>
        <v>C.I.</v>
      </c>
      <c r="U42" s="170"/>
      <c r="V42" s="356"/>
      <c r="W42" s="37"/>
      <c r="X42" s="37"/>
      <c r="Y42" s="358"/>
      <c r="Z42" s="358" t="str">
        <f t="shared" si="121"/>
        <v xml:space="preserve"> </v>
      </c>
      <c r="AA42" s="37" t="str">
        <f t="shared" ca="1" si="7"/>
        <v xml:space="preserve"> </v>
      </c>
      <c r="AB42" s="357"/>
      <c r="AC42" s="357"/>
      <c r="AD42" s="37" t="str">
        <f t="shared" si="8"/>
        <v xml:space="preserve"> </v>
      </c>
      <c r="AE42" s="359"/>
      <c r="AF42" s="356"/>
      <c r="AG42" s="37"/>
      <c r="AH42" s="37"/>
      <c r="AI42" s="14"/>
      <c r="AJ42" s="14" t="str">
        <f t="shared" si="122"/>
        <v xml:space="preserve"> </v>
      </c>
      <c r="AK42" s="37" t="str">
        <f t="shared" ca="1" si="10"/>
        <v xml:space="preserve"> </v>
      </c>
      <c r="AL42" s="348"/>
      <c r="AM42" s="348"/>
      <c r="AN42" s="12" t="str">
        <f t="shared" si="11"/>
        <v xml:space="preserve"> </v>
      </c>
      <c r="AO42" s="361"/>
      <c r="AP42" s="356"/>
      <c r="AQ42" s="37"/>
      <c r="AR42" s="37"/>
      <c r="AS42" s="358"/>
      <c r="AT42" s="358" t="str">
        <f t="shared" si="123"/>
        <v xml:space="preserve"> </v>
      </c>
      <c r="AU42" s="37" t="str">
        <f t="shared" ca="1" si="13"/>
        <v xml:space="preserve"> </v>
      </c>
      <c r="AV42" s="357"/>
      <c r="AW42" s="357"/>
      <c r="AX42" s="37" t="str">
        <f t="shared" si="14"/>
        <v xml:space="preserve"> </v>
      </c>
      <c r="AY42" s="359"/>
      <c r="AZ42" s="356"/>
      <c r="BA42" s="37"/>
      <c r="BB42" s="37"/>
      <c r="BC42" s="362"/>
      <c r="BD42" s="362" t="str">
        <f t="shared" si="124"/>
        <v xml:space="preserve"> </v>
      </c>
      <c r="BE42" s="37" t="str">
        <f t="shared" ca="1" si="16"/>
        <v xml:space="preserve"> </v>
      </c>
      <c r="BF42" s="348"/>
      <c r="BG42" s="348"/>
      <c r="BH42" s="12" t="str">
        <f t="shared" si="17"/>
        <v xml:space="preserve"> </v>
      </c>
      <c r="BI42" s="361"/>
      <c r="BJ42" s="356"/>
      <c r="BK42" s="37"/>
      <c r="BL42" s="37"/>
      <c r="BM42" s="358"/>
      <c r="BN42" s="358" t="str">
        <f t="shared" si="125"/>
        <v xml:space="preserve"> </v>
      </c>
      <c r="BO42" s="37" t="str">
        <f t="shared" ca="1" si="19"/>
        <v xml:space="preserve"> </v>
      </c>
      <c r="BP42" s="357"/>
      <c r="BQ42" s="357"/>
      <c r="BR42" s="37" t="str">
        <f t="shared" si="20"/>
        <v xml:space="preserve"> </v>
      </c>
      <c r="BS42" s="359"/>
      <c r="BT42" s="356"/>
      <c r="BU42" s="37"/>
      <c r="BV42" s="37"/>
      <c r="BW42" s="362"/>
      <c r="BX42" s="362" t="str">
        <f t="shared" si="126"/>
        <v xml:space="preserve"> </v>
      </c>
      <c r="BY42" s="37" t="str">
        <f t="shared" ca="1" si="22"/>
        <v xml:space="preserve"> </v>
      </c>
      <c r="BZ42" s="348"/>
      <c r="CA42" s="348"/>
      <c r="CB42" s="12" t="str">
        <f t="shared" si="23"/>
        <v xml:space="preserve"> </v>
      </c>
      <c r="CC42" s="361"/>
      <c r="CD42" s="356"/>
      <c r="CE42" s="37"/>
      <c r="CF42" s="357"/>
      <c r="CG42" s="358"/>
      <c r="CH42" s="358" t="str">
        <f t="shared" si="127"/>
        <v xml:space="preserve"> </v>
      </c>
      <c r="CI42" s="37" t="str">
        <f t="shared" ca="1" si="25"/>
        <v xml:space="preserve"> </v>
      </c>
      <c r="CJ42" s="357"/>
      <c r="CK42" s="357"/>
      <c r="CL42" s="37" t="str">
        <f t="shared" si="26"/>
        <v xml:space="preserve"> </v>
      </c>
      <c r="CM42" s="359"/>
      <c r="CN42" s="360"/>
      <c r="CO42" s="12"/>
      <c r="CP42" s="348"/>
      <c r="CQ42" s="362"/>
      <c r="CR42" s="362" t="str">
        <f t="shared" si="128"/>
        <v xml:space="preserve"> </v>
      </c>
      <c r="CS42" s="37" t="str">
        <f t="shared" ca="1" si="28"/>
        <v xml:space="preserve"> </v>
      </c>
      <c r="CT42" s="348"/>
      <c r="CU42" s="348"/>
      <c r="CV42" s="12" t="str">
        <f t="shared" si="29"/>
        <v xml:space="preserve"> </v>
      </c>
      <c r="CW42" s="361"/>
      <c r="CX42" s="356"/>
      <c r="CY42" s="37"/>
      <c r="CZ42" s="357"/>
      <c r="DA42" s="358"/>
      <c r="DB42" s="358" t="str">
        <f t="shared" si="129"/>
        <v xml:space="preserve"> </v>
      </c>
      <c r="DC42" s="37" t="str">
        <f t="shared" ca="1" si="31"/>
        <v xml:space="preserve"> </v>
      </c>
      <c r="DD42" s="357"/>
      <c r="DE42" s="357"/>
      <c r="DF42" s="37" t="str">
        <f t="shared" si="32"/>
        <v xml:space="preserve"> </v>
      </c>
      <c r="DG42" s="359"/>
      <c r="DH42" s="360"/>
      <c r="DI42" s="12"/>
      <c r="DJ42" s="348"/>
      <c r="DK42" s="348"/>
      <c r="DL42" s="348" t="str">
        <f t="shared" si="130"/>
        <v xml:space="preserve"> </v>
      </c>
      <c r="DM42" s="37" t="str">
        <f t="shared" ca="1" si="34"/>
        <v xml:space="preserve"> </v>
      </c>
      <c r="DN42" s="348"/>
      <c r="DO42" s="348"/>
      <c r="DP42" s="12" t="str">
        <f t="shared" si="35"/>
        <v xml:space="preserve"> </v>
      </c>
      <c r="DQ42" s="361"/>
      <c r="DR42" s="356"/>
      <c r="DS42" s="37"/>
      <c r="DT42" s="357"/>
      <c r="DU42" s="357"/>
      <c r="DV42" s="14" t="str">
        <f t="shared" si="131"/>
        <v xml:space="preserve"> </v>
      </c>
      <c r="DW42" s="37" t="str">
        <f t="shared" ca="1" si="37"/>
        <v xml:space="preserve"> </v>
      </c>
      <c r="DX42" s="357"/>
      <c r="DY42" s="357"/>
      <c r="DZ42" s="37" t="str">
        <f t="shared" si="38"/>
        <v xml:space="preserve"> </v>
      </c>
      <c r="EA42" s="359"/>
      <c r="EB42" s="360"/>
      <c r="EC42" s="12"/>
      <c r="ED42" s="348"/>
      <c r="EE42" s="348"/>
      <c r="EF42" s="91" t="str">
        <f t="shared" si="132"/>
        <v xml:space="preserve"> </v>
      </c>
      <c r="EG42" s="37" t="str">
        <f t="shared" ca="1" si="40"/>
        <v xml:space="preserve"> </v>
      </c>
      <c r="EH42" s="348"/>
      <c r="EI42" s="348"/>
      <c r="EJ42" s="12" t="str">
        <f t="shared" si="41"/>
        <v xml:space="preserve"> </v>
      </c>
      <c r="EK42" s="361"/>
      <c r="EL42" s="356"/>
      <c r="EM42" s="37"/>
      <c r="EN42" s="357"/>
      <c r="EO42" s="357"/>
      <c r="EP42" s="91" t="str">
        <f t="shared" si="133"/>
        <v xml:space="preserve"> </v>
      </c>
      <c r="EQ42" s="37" t="str">
        <f t="shared" ca="1" si="43"/>
        <v xml:space="preserve"> </v>
      </c>
      <c r="ER42" s="357"/>
      <c r="ES42" s="357"/>
      <c r="ET42" s="37" t="str">
        <f t="shared" si="44"/>
        <v xml:space="preserve"> </v>
      </c>
      <c r="EU42" s="359"/>
      <c r="EV42" s="360"/>
      <c r="EW42" s="12"/>
      <c r="EX42" s="348"/>
      <c r="EY42" s="348"/>
      <c r="EZ42" s="91" t="str">
        <f t="shared" si="134"/>
        <v xml:space="preserve"> </v>
      </c>
      <c r="FA42" s="37" t="str">
        <f t="shared" ca="1" si="46"/>
        <v xml:space="preserve"> </v>
      </c>
      <c r="FB42" s="348"/>
      <c r="FC42" s="348"/>
      <c r="FD42" s="12" t="str">
        <f t="shared" si="47"/>
        <v xml:space="preserve"> </v>
      </c>
      <c r="FE42" s="361"/>
      <c r="FF42" s="356"/>
      <c r="FG42" s="37"/>
      <c r="FH42" s="357"/>
      <c r="FI42" s="357"/>
      <c r="FJ42" s="91" t="str">
        <f t="shared" si="135"/>
        <v xml:space="preserve"> </v>
      </c>
      <c r="FK42" s="37" t="str">
        <f t="shared" ca="1" si="49"/>
        <v xml:space="preserve"> </v>
      </c>
      <c r="FL42" s="357"/>
      <c r="FM42" s="357"/>
      <c r="FN42" s="37" t="str">
        <f t="shared" si="50"/>
        <v xml:space="preserve"> </v>
      </c>
      <c r="FO42" s="359"/>
      <c r="FP42" s="360"/>
      <c r="FQ42" s="12"/>
      <c r="FR42" s="348"/>
      <c r="FS42" s="348"/>
      <c r="FT42" s="91" t="str">
        <f t="shared" si="136"/>
        <v xml:space="preserve"> </v>
      </c>
      <c r="FU42" s="37" t="str">
        <f t="shared" ca="1" si="52"/>
        <v xml:space="preserve"> </v>
      </c>
      <c r="FV42" s="348"/>
      <c r="FW42" s="348"/>
      <c r="FX42" s="12" t="str">
        <f t="shared" si="53"/>
        <v xml:space="preserve"> </v>
      </c>
      <c r="FY42" s="361"/>
      <c r="FZ42" s="356"/>
      <c r="GA42" s="37"/>
      <c r="GB42" s="357"/>
      <c r="GC42" s="357"/>
      <c r="GD42" s="91" t="str">
        <f t="shared" si="137"/>
        <v xml:space="preserve"> </v>
      </c>
      <c r="GE42" s="37" t="str">
        <f t="shared" ca="1" si="55"/>
        <v xml:space="preserve"> </v>
      </c>
      <c r="GF42" s="357"/>
      <c r="GG42" s="357"/>
      <c r="GH42" s="37" t="str">
        <f t="shared" si="56"/>
        <v xml:space="preserve"> </v>
      </c>
      <c r="GI42" s="359"/>
      <c r="GJ42" s="363"/>
      <c r="GK42" s="12"/>
      <c r="GL42" s="348"/>
      <c r="GM42" s="348"/>
      <c r="GN42" s="91" t="str">
        <f t="shared" si="138"/>
        <v xml:space="preserve"> </v>
      </c>
      <c r="GO42" s="37" t="str">
        <f t="shared" ca="1" si="58"/>
        <v xml:space="preserve"> </v>
      </c>
      <c r="GP42" s="348"/>
      <c r="GQ42" s="348"/>
      <c r="GR42" s="12" t="str">
        <f t="shared" si="59"/>
        <v xml:space="preserve"> </v>
      </c>
      <c r="GS42" s="364"/>
      <c r="GT42" s="356"/>
      <c r="GU42" s="37"/>
      <c r="GV42" s="357"/>
      <c r="GW42" s="357"/>
      <c r="GX42" s="91" t="str">
        <f t="shared" si="139"/>
        <v xml:space="preserve"> </v>
      </c>
      <c r="GY42" s="37" t="str">
        <f t="shared" ca="1" si="61"/>
        <v xml:space="preserve"> </v>
      </c>
      <c r="GZ42" s="357"/>
      <c r="HA42" s="357"/>
      <c r="HB42" s="37" t="str">
        <f t="shared" si="62"/>
        <v xml:space="preserve"> </v>
      </c>
      <c r="HC42" s="359"/>
      <c r="HD42" s="363"/>
      <c r="HE42" s="12"/>
      <c r="HF42" s="348"/>
      <c r="HG42" s="348"/>
      <c r="HH42" s="91" t="str">
        <f t="shared" si="140"/>
        <v xml:space="preserve"> </v>
      </c>
      <c r="HI42" s="37" t="str">
        <f t="shared" ca="1" si="64"/>
        <v xml:space="preserve"> </v>
      </c>
      <c r="HJ42" s="348"/>
      <c r="HK42" s="348"/>
      <c r="HL42" s="12" t="str">
        <f t="shared" si="65"/>
        <v xml:space="preserve"> </v>
      </c>
      <c r="HM42" s="364"/>
      <c r="HN42" s="356"/>
      <c r="HO42" s="37"/>
      <c r="HP42" s="357"/>
      <c r="HQ42" s="357"/>
      <c r="HR42" s="91" t="str">
        <f t="shared" si="141"/>
        <v xml:space="preserve"> </v>
      </c>
      <c r="HS42" s="37" t="str">
        <f t="shared" ca="1" si="67"/>
        <v xml:space="preserve"> </v>
      </c>
      <c r="HT42" s="357"/>
      <c r="HU42" s="357"/>
      <c r="HV42" s="37" t="str">
        <f t="shared" si="68"/>
        <v xml:space="preserve"> </v>
      </c>
      <c r="HW42" s="359"/>
      <c r="HX42" s="363"/>
      <c r="HY42" s="12"/>
      <c r="HZ42" s="348"/>
      <c r="IA42" s="348"/>
      <c r="IB42" s="91" t="str">
        <f t="shared" si="142"/>
        <v xml:space="preserve"> </v>
      </c>
      <c r="IC42" s="37" t="str">
        <f t="shared" ca="1" si="70"/>
        <v xml:space="preserve"> </v>
      </c>
      <c r="ID42" s="348"/>
      <c r="IE42" s="348"/>
      <c r="IF42" s="12" t="str">
        <f t="shared" si="71"/>
        <v xml:space="preserve"> </v>
      </c>
      <c r="IG42" s="364"/>
      <c r="IH42" s="356"/>
      <c r="II42" s="357"/>
      <c r="IJ42" s="357"/>
      <c r="IK42" s="357"/>
      <c r="IL42" s="91" t="str">
        <f t="shared" si="143"/>
        <v xml:space="preserve"> </v>
      </c>
      <c r="IM42" s="37" t="str">
        <f t="shared" ca="1" si="73"/>
        <v xml:space="preserve"> </v>
      </c>
      <c r="IN42" s="357"/>
      <c r="IO42" s="357"/>
      <c r="IP42" s="37" t="str">
        <f t="shared" si="74"/>
        <v xml:space="preserve"> </v>
      </c>
      <c r="IQ42" s="359"/>
      <c r="IR42" s="363"/>
      <c r="IS42" s="348"/>
      <c r="IT42" s="348"/>
      <c r="IU42" s="348"/>
      <c r="IV42" s="91" t="str">
        <f t="shared" si="144"/>
        <v xml:space="preserve"> </v>
      </c>
      <c r="IW42" s="37" t="str">
        <f t="shared" ca="1" si="76"/>
        <v xml:space="preserve"> </v>
      </c>
      <c r="IX42" s="348"/>
      <c r="IY42" s="348"/>
      <c r="IZ42" s="37" t="str">
        <f t="shared" si="77"/>
        <v xml:space="preserve"> </v>
      </c>
      <c r="JA42" s="364"/>
      <c r="JB42" s="356"/>
      <c r="JC42" s="357"/>
      <c r="JD42" s="357"/>
      <c r="JE42" s="357"/>
      <c r="JF42" s="91" t="str">
        <f t="shared" si="145"/>
        <v xml:space="preserve"> </v>
      </c>
      <c r="JG42" s="37" t="str">
        <f t="shared" ca="1" si="79"/>
        <v xml:space="preserve"> </v>
      </c>
      <c r="JH42" s="357"/>
      <c r="JI42" s="357"/>
      <c r="JJ42" s="37" t="str">
        <f t="shared" si="80"/>
        <v xml:space="preserve"> </v>
      </c>
      <c r="JK42" s="359"/>
      <c r="JL42" s="363"/>
      <c r="JM42" s="348"/>
      <c r="JN42" s="348"/>
      <c r="JO42" s="348"/>
      <c r="JP42" s="348" t="str">
        <f t="shared" si="148"/>
        <v xml:space="preserve"> </v>
      </c>
      <c r="JQ42" s="37" t="str">
        <f t="shared" ca="1" si="82"/>
        <v xml:space="preserve"> </v>
      </c>
      <c r="JR42" s="348"/>
      <c r="JS42" s="348"/>
      <c r="JT42" s="37" t="str">
        <f t="shared" si="83"/>
        <v xml:space="preserve"> </v>
      </c>
      <c r="JU42" s="364"/>
      <c r="JV42" s="356"/>
      <c r="JW42" s="357"/>
      <c r="JX42" s="357"/>
      <c r="JY42" s="357"/>
      <c r="JZ42" s="357" t="str">
        <f t="shared" si="149"/>
        <v xml:space="preserve"> </v>
      </c>
      <c r="KA42" s="37" t="str">
        <f t="shared" ca="1" si="85"/>
        <v xml:space="preserve"> </v>
      </c>
      <c r="KB42" s="357"/>
      <c r="KC42" s="357"/>
      <c r="KD42" s="37" t="str">
        <f t="shared" si="86"/>
        <v xml:space="preserve"> </v>
      </c>
      <c r="KE42" s="359"/>
      <c r="KF42" s="363"/>
      <c r="KG42" s="348"/>
      <c r="KH42" s="348"/>
      <c r="KI42" s="348"/>
      <c r="KJ42" s="348" t="str">
        <f t="shared" si="150"/>
        <v xml:space="preserve"> </v>
      </c>
      <c r="KK42" s="37" t="str">
        <f t="shared" ca="1" si="88"/>
        <v xml:space="preserve"> </v>
      </c>
      <c r="KL42" s="348"/>
      <c r="KM42" s="348"/>
      <c r="KN42" s="37" t="str">
        <f t="shared" si="89"/>
        <v xml:space="preserve"> </v>
      </c>
      <c r="KO42" s="364"/>
      <c r="KP42" s="356"/>
      <c r="KQ42" s="357"/>
      <c r="KR42" s="357"/>
      <c r="KS42" s="357"/>
      <c r="KT42" s="357" t="str">
        <f t="shared" si="151"/>
        <v xml:space="preserve"> </v>
      </c>
      <c r="KU42" s="37" t="str">
        <f t="shared" ca="1" si="91"/>
        <v xml:space="preserve"> </v>
      </c>
      <c r="KV42" s="357"/>
      <c r="KW42" s="357"/>
      <c r="KX42" s="37" t="str">
        <f t="shared" si="92"/>
        <v xml:space="preserve"> </v>
      </c>
      <c r="KY42" s="359"/>
      <c r="KZ42" s="363"/>
      <c r="LA42" s="348"/>
      <c r="LB42" s="348"/>
      <c r="LC42" s="348"/>
      <c r="LD42" s="348" t="str">
        <f t="shared" si="152"/>
        <v xml:space="preserve"> </v>
      </c>
      <c r="LE42" s="37" t="str">
        <f t="shared" ca="1" si="94"/>
        <v xml:space="preserve"> </v>
      </c>
      <c r="LF42" s="348"/>
      <c r="LG42" s="348"/>
      <c r="LH42" s="37" t="str">
        <f t="shared" si="95"/>
        <v xml:space="preserve"> </v>
      </c>
      <c r="LI42" s="364"/>
      <c r="LJ42" s="356"/>
      <c r="LK42" s="357"/>
      <c r="LL42" s="357"/>
      <c r="LM42" s="357"/>
      <c r="LN42" s="357" t="str">
        <f t="shared" si="153"/>
        <v xml:space="preserve"> </v>
      </c>
      <c r="LO42" s="37" t="str">
        <f t="shared" ca="1" si="97"/>
        <v xml:space="preserve"> </v>
      </c>
      <c r="LP42" s="357"/>
      <c r="LQ42" s="357"/>
      <c r="LR42" s="37" t="str">
        <f t="shared" si="98"/>
        <v xml:space="preserve"> </v>
      </c>
      <c r="LS42" s="359"/>
      <c r="LT42" s="363"/>
      <c r="LU42" s="348"/>
      <c r="LV42" s="348"/>
      <c r="LW42" s="348"/>
      <c r="LX42" s="348" t="str">
        <f t="shared" si="114"/>
        <v xml:space="preserve"> </v>
      </c>
      <c r="LY42" s="37" t="str">
        <f t="shared" ca="1" si="99"/>
        <v xml:space="preserve"> </v>
      </c>
      <c r="LZ42" s="348"/>
      <c r="MA42" s="348"/>
      <c r="MB42" s="37" t="str">
        <f t="shared" si="100"/>
        <v xml:space="preserve"> </v>
      </c>
      <c r="MC42" s="364"/>
      <c r="MD42" s="356"/>
      <c r="ME42" s="357"/>
      <c r="MF42" s="357"/>
      <c r="MG42" s="357"/>
      <c r="MH42" s="357"/>
      <c r="MI42" s="37" t="str">
        <f t="shared" ca="1" si="101"/>
        <v xml:space="preserve"> </v>
      </c>
      <c r="MJ42" s="357"/>
      <c r="MK42" s="357"/>
      <c r="ML42" s="37" t="str">
        <f t="shared" si="102"/>
        <v xml:space="preserve"> </v>
      </c>
      <c r="MM42" s="359"/>
      <c r="MN42" s="363"/>
      <c r="MO42" s="348"/>
      <c r="MP42" s="348"/>
      <c r="MQ42" s="348"/>
      <c r="MR42" s="348"/>
      <c r="MS42" s="37" t="str">
        <f t="shared" ca="1" si="103"/>
        <v xml:space="preserve"> </v>
      </c>
      <c r="MT42" s="348"/>
      <c r="MU42" s="348"/>
      <c r="MV42" s="37" t="str">
        <f t="shared" si="104"/>
        <v xml:space="preserve"> </v>
      </c>
      <c r="MW42" s="364"/>
      <c r="MX42" s="356"/>
      <c r="MY42" s="357"/>
      <c r="MZ42" s="357"/>
      <c r="NA42" s="357"/>
      <c r="NB42" s="357"/>
      <c r="NC42" s="37" t="str">
        <f t="shared" ca="1" si="105"/>
        <v xml:space="preserve"> </v>
      </c>
      <c r="ND42" s="357"/>
      <c r="NE42" s="357"/>
      <c r="NF42" s="37" t="str">
        <f t="shared" si="115"/>
        <v xml:space="preserve"> </v>
      </c>
      <c r="NG42" s="359"/>
      <c r="NH42" s="363"/>
      <c r="NI42" s="348"/>
      <c r="NJ42" s="348"/>
      <c r="NK42" s="348"/>
      <c r="NL42" s="348"/>
      <c r="NM42" s="37" t="str">
        <f t="shared" ca="1" si="107"/>
        <v xml:space="preserve"> </v>
      </c>
      <c r="NN42" s="348"/>
      <c r="NO42" s="348"/>
      <c r="NP42" s="37" t="str">
        <f t="shared" si="116"/>
        <v xml:space="preserve"> </v>
      </c>
      <c r="NQ42" s="364"/>
      <c r="NR42" s="356"/>
      <c r="NS42" s="357"/>
      <c r="NT42" s="357"/>
      <c r="NU42" s="357"/>
      <c r="NV42" s="357"/>
      <c r="NW42" s="37" t="str">
        <f t="shared" ca="1" si="109"/>
        <v xml:space="preserve"> </v>
      </c>
      <c r="NX42" s="357"/>
      <c r="NY42" s="357"/>
      <c r="NZ42" s="37" t="str">
        <f t="shared" si="117"/>
        <v xml:space="preserve"> </v>
      </c>
      <c r="OA42" s="359"/>
      <c r="OB42" s="363"/>
      <c r="OC42" s="348"/>
      <c r="OD42" s="348"/>
      <c r="OE42" s="348"/>
      <c r="OF42" s="348"/>
      <c r="OG42" s="37" t="str">
        <f t="shared" ca="1" si="111"/>
        <v xml:space="preserve"> </v>
      </c>
      <c r="OH42" s="348"/>
      <c r="OI42" s="348"/>
      <c r="OJ42" s="37" t="str">
        <f t="shared" si="118"/>
        <v xml:space="preserve"> </v>
      </c>
      <c r="OK42" s="364"/>
    </row>
    <row r="43" spans="1:401" s="44" customFormat="1" ht="22.2" customHeight="1" x14ac:dyDescent="0.3">
      <c r="A43" s="365" t="s">
        <v>241</v>
      </c>
      <c r="B43" s="369"/>
      <c r="C43" s="54"/>
      <c r="D43" s="366"/>
      <c r="E43" s="177"/>
      <c r="F43" s="177" t="str">
        <f t="shared" si="119"/>
        <v xml:space="preserve"> </v>
      </c>
      <c r="G43" s="366" t="str">
        <f t="shared" ca="1" si="113"/>
        <v xml:space="preserve"> </v>
      </c>
      <c r="H43" s="54"/>
      <c r="I43" s="54"/>
      <c r="J43" s="54" t="str">
        <f t="shared" si="2"/>
        <v xml:space="preserve"> </v>
      </c>
      <c r="K43" s="171"/>
      <c r="L43" s="182"/>
      <c r="M43" s="54"/>
      <c r="N43" s="54"/>
      <c r="O43" s="177"/>
      <c r="P43" s="177" t="str">
        <f t="shared" si="3"/>
        <v xml:space="preserve"> </v>
      </c>
      <c r="Q43" s="54" t="str">
        <f t="shared" ca="1" si="4"/>
        <v xml:space="preserve"> </v>
      </c>
      <c r="R43" s="54"/>
      <c r="S43" s="54"/>
      <c r="T43" s="54" t="str">
        <f t="shared" si="5"/>
        <v xml:space="preserve"> </v>
      </c>
      <c r="U43" s="171"/>
      <c r="V43" s="369"/>
      <c r="W43" s="366"/>
      <c r="X43" s="366"/>
      <c r="Y43" s="370"/>
      <c r="Z43" s="370" t="str">
        <f t="shared" si="121"/>
        <v xml:space="preserve"> </v>
      </c>
      <c r="AA43" s="54" t="str">
        <f t="shared" ca="1" si="7"/>
        <v xml:space="preserve"> </v>
      </c>
      <c r="AB43" s="366"/>
      <c r="AC43" s="366"/>
      <c r="AD43" s="54" t="str">
        <f t="shared" si="8"/>
        <v xml:space="preserve"> </v>
      </c>
      <c r="AE43" s="367"/>
      <c r="AF43" s="371"/>
      <c r="AG43" s="346"/>
      <c r="AH43" s="346"/>
      <c r="AI43" s="65"/>
      <c r="AJ43" s="65" t="str">
        <f t="shared" si="122"/>
        <v xml:space="preserve"> </v>
      </c>
      <c r="AK43" s="54" t="str">
        <f t="shared" ca="1" si="10"/>
        <v xml:space="preserve"> </v>
      </c>
      <c r="AL43" s="346"/>
      <c r="AM43" s="346"/>
      <c r="AN43" s="49" t="str">
        <f t="shared" si="11"/>
        <v xml:space="preserve"> </v>
      </c>
      <c r="AO43" s="368"/>
      <c r="AP43" s="369"/>
      <c r="AQ43" s="366"/>
      <c r="AR43" s="366"/>
      <c r="AS43" s="370"/>
      <c r="AT43" s="370" t="str">
        <f t="shared" si="123"/>
        <v xml:space="preserve"> </v>
      </c>
      <c r="AU43" s="54" t="str">
        <f t="shared" ca="1" si="13"/>
        <v xml:space="preserve"> </v>
      </c>
      <c r="AV43" s="366"/>
      <c r="AW43" s="366"/>
      <c r="AX43" s="54" t="str">
        <f t="shared" si="14"/>
        <v xml:space="preserve"> </v>
      </c>
      <c r="AY43" s="367"/>
      <c r="AZ43" s="371"/>
      <c r="BA43" s="346"/>
      <c r="BB43" s="346"/>
      <c r="BC43" s="372"/>
      <c r="BD43" s="372" t="str">
        <f t="shared" si="124"/>
        <v xml:space="preserve"> </v>
      </c>
      <c r="BE43" s="54" t="str">
        <f t="shared" ca="1" si="16"/>
        <v xml:space="preserve"> </v>
      </c>
      <c r="BF43" s="346"/>
      <c r="BG43" s="346"/>
      <c r="BH43" s="49" t="str">
        <f t="shared" si="17"/>
        <v xml:space="preserve"> </v>
      </c>
      <c r="BI43" s="368"/>
      <c r="BJ43" s="369"/>
      <c r="BK43" s="366"/>
      <c r="BL43" s="366"/>
      <c r="BM43" s="370"/>
      <c r="BN43" s="370" t="str">
        <f t="shared" si="125"/>
        <v xml:space="preserve"> </v>
      </c>
      <c r="BO43" s="54" t="str">
        <f t="shared" ca="1" si="19"/>
        <v xml:space="preserve"> </v>
      </c>
      <c r="BP43" s="366"/>
      <c r="BQ43" s="366"/>
      <c r="BR43" s="54" t="str">
        <f t="shared" si="20"/>
        <v xml:space="preserve"> </v>
      </c>
      <c r="BS43" s="367"/>
      <c r="BT43" s="371"/>
      <c r="BU43" s="346"/>
      <c r="BV43" s="346"/>
      <c r="BW43" s="372"/>
      <c r="BX43" s="372" t="str">
        <f t="shared" si="126"/>
        <v xml:space="preserve"> </v>
      </c>
      <c r="BY43" s="54" t="str">
        <f t="shared" ca="1" si="22"/>
        <v xml:space="preserve"> </v>
      </c>
      <c r="BZ43" s="346"/>
      <c r="CA43" s="346"/>
      <c r="CB43" s="49" t="str">
        <f t="shared" si="23"/>
        <v xml:space="preserve"> </v>
      </c>
      <c r="CC43" s="368"/>
      <c r="CD43" s="369"/>
      <c r="CE43" s="54"/>
      <c r="CF43" s="366"/>
      <c r="CG43" s="370"/>
      <c r="CH43" s="370" t="str">
        <f t="shared" si="127"/>
        <v xml:space="preserve"> </v>
      </c>
      <c r="CI43" s="54" t="str">
        <f t="shared" ca="1" si="25"/>
        <v xml:space="preserve"> </v>
      </c>
      <c r="CJ43" s="366"/>
      <c r="CK43" s="366"/>
      <c r="CL43" s="54" t="str">
        <f t="shared" si="26"/>
        <v xml:space="preserve"> </v>
      </c>
      <c r="CM43" s="367"/>
      <c r="CN43" s="371"/>
      <c r="CO43" s="49"/>
      <c r="CP43" s="346"/>
      <c r="CQ43" s="372"/>
      <c r="CR43" s="372" t="str">
        <f t="shared" si="128"/>
        <v xml:space="preserve"> </v>
      </c>
      <c r="CS43" s="54" t="str">
        <f t="shared" ca="1" si="28"/>
        <v xml:space="preserve"> </v>
      </c>
      <c r="CT43" s="346"/>
      <c r="CU43" s="346"/>
      <c r="CV43" s="49" t="str">
        <f t="shared" si="29"/>
        <v xml:space="preserve"> </v>
      </c>
      <c r="CW43" s="368"/>
      <c r="CX43" s="369"/>
      <c r="CY43" s="54"/>
      <c r="CZ43" s="366"/>
      <c r="DA43" s="370"/>
      <c r="DB43" s="370" t="str">
        <f t="shared" si="129"/>
        <v xml:space="preserve"> </v>
      </c>
      <c r="DC43" s="54" t="str">
        <f t="shared" ca="1" si="31"/>
        <v xml:space="preserve"> </v>
      </c>
      <c r="DD43" s="366"/>
      <c r="DE43" s="366"/>
      <c r="DF43" s="54" t="str">
        <f t="shared" si="32"/>
        <v xml:space="preserve"> </v>
      </c>
      <c r="DG43" s="367"/>
      <c r="DH43" s="371"/>
      <c r="DI43" s="49"/>
      <c r="DJ43" s="346"/>
      <c r="DK43" s="346"/>
      <c r="DL43" s="346" t="str">
        <f t="shared" si="130"/>
        <v xml:space="preserve"> </v>
      </c>
      <c r="DM43" s="54" t="str">
        <f t="shared" ca="1" si="34"/>
        <v xml:space="preserve"> </v>
      </c>
      <c r="DN43" s="346"/>
      <c r="DO43" s="346"/>
      <c r="DP43" s="49" t="str">
        <f t="shared" si="35"/>
        <v xml:space="preserve"> </v>
      </c>
      <c r="DQ43" s="368"/>
      <c r="DR43" s="369"/>
      <c r="DS43" s="54"/>
      <c r="DT43" s="366"/>
      <c r="DU43" s="366"/>
      <c r="DV43" s="177" t="str">
        <f t="shared" si="131"/>
        <v xml:space="preserve"> </v>
      </c>
      <c r="DW43" s="54" t="str">
        <f t="shared" ca="1" si="37"/>
        <v xml:space="preserve"> </v>
      </c>
      <c r="DX43" s="366"/>
      <c r="DY43" s="366"/>
      <c r="DZ43" s="54" t="str">
        <f t="shared" si="38"/>
        <v xml:space="preserve"> </v>
      </c>
      <c r="EA43" s="367"/>
      <c r="EB43" s="371"/>
      <c r="EC43" s="49"/>
      <c r="ED43" s="346"/>
      <c r="EE43" s="346"/>
      <c r="EF43" s="177" t="str">
        <f t="shared" si="132"/>
        <v xml:space="preserve"> </v>
      </c>
      <c r="EG43" s="54" t="str">
        <f t="shared" ca="1" si="40"/>
        <v xml:space="preserve"> </v>
      </c>
      <c r="EH43" s="346"/>
      <c r="EI43" s="346"/>
      <c r="EJ43" s="49" t="str">
        <f t="shared" si="41"/>
        <v xml:space="preserve"> </v>
      </c>
      <c r="EK43" s="368"/>
      <c r="EL43" s="369"/>
      <c r="EM43" s="54"/>
      <c r="EN43" s="366"/>
      <c r="EO43" s="366"/>
      <c r="EP43" s="177" t="str">
        <f t="shared" si="133"/>
        <v xml:space="preserve"> </v>
      </c>
      <c r="EQ43" s="54" t="str">
        <f t="shared" ca="1" si="43"/>
        <v xml:space="preserve"> </v>
      </c>
      <c r="ER43" s="366"/>
      <c r="ES43" s="366"/>
      <c r="ET43" s="54" t="str">
        <f t="shared" si="44"/>
        <v xml:space="preserve"> </v>
      </c>
      <c r="EU43" s="367"/>
      <c r="EV43" s="371"/>
      <c r="EW43" s="49"/>
      <c r="EX43" s="346"/>
      <c r="EY43" s="346"/>
      <c r="EZ43" s="177" t="str">
        <f t="shared" si="134"/>
        <v xml:space="preserve"> </v>
      </c>
      <c r="FA43" s="54" t="str">
        <f t="shared" ca="1" si="46"/>
        <v xml:space="preserve"> </v>
      </c>
      <c r="FB43" s="346"/>
      <c r="FC43" s="346"/>
      <c r="FD43" s="49" t="str">
        <f t="shared" si="47"/>
        <v xml:space="preserve"> </v>
      </c>
      <c r="FE43" s="368"/>
      <c r="FF43" s="369"/>
      <c r="FG43" s="54"/>
      <c r="FH43" s="366"/>
      <c r="FI43" s="366"/>
      <c r="FJ43" s="177" t="str">
        <f t="shared" si="135"/>
        <v xml:space="preserve"> </v>
      </c>
      <c r="FK43" s="54" t="str">
        <f t="shared" ca="1" si="49"/>
        <v xml:space="preserve"> </v>
      </c>
      <c r="FL43" s="366"/>
      <c r="FM43" s="366"/>
      <c r="FN43" s="54" t="str">
        <f t="shared" si="50"/>
        <v xml:space="preserve"> </v>
      </c>
      <c r="FO43" s="367"/>
      <c r="FP43" s="371"/>
      <c r="FQ43" s="49"/>
      <c r="FR43" s="346"/>
      <c r="FS43" s="346"/>
      <c r="FT43" s="177" t="str">
        <f t="shared" si="136"/>
        <v xml:space="preserve"> </v>
      </c>
      <c r="FU43" s="54" t="str">
        <f t="shared" ca="1" si="52"/>
        <v xml:space="preserve"> </v>
      </c>
      <c r="FV43" s="346"/>
      <c r="FW43" s="346"/>
      <c r="FX43" s="49" t="str">
        <f t="shared" si="53"/>
        <v xml:space="preserve"> </v>
      </c>
      <c r="FY43" s="368"/>
      <c r="FZ43" s="369"/>
      <c r="GA43" s="54"/>
      <c r="GB43" s="366"/>
      <c r="GC43" s="366"/>
      <c r="GD43" s="177" t="str">
        <f t="shared" si="137"/>
        <v xml:space="preserve"> </v>
      </c>
      <c r="GE43" s="54" t="str">
        <f t="shared" ca="1" si="55"/>
        <v xml:space="preserve"> </v>
      </c>
      <c r="GF43" s="366"/>
      <c r="GG43" s="366"/>
      <c r="GH43" s="54" t="str">
        <f t="shared" si="56"/>
        <v xml:space="preserve"> </v>
      </c>
      <c r="GI43" s="367"/>
      <c r="GJ43" s="373"/>
      <c r="GK43" s="49"/>
      <c r="GL43" s="346"/>
      <c r="GM43" s="346"/>
      <c r="GN43" s="177" t="str">
        <f t="shared" si="138"/>
        <v xml:space="preserve"> </v>
      </c>
      <c r="GO43" s="54" t="str">
        <f t="shared" ca="1" si="58"/>
        <v xml:space="preserve"> </v>
      </c>
      <c r="GP43" s="346"/>
      <c r="GQ43" s="346"/>
      <c r="GR43" s="49" t="str">
        <f t="shared" si="59"/>
        <v xml:space="preserve"> </v>
      </c>
      <c r="GS43" s="374"/>
      <c r="GT43" s="369"/>
      <c r="GU43" s="54"/>
      <c r="GV43" s="366"/>
      <c r="GW43" s="366"/>
      <c r="GX43" s="177" t="str">
        <f t="shared" si="139"/>
        <v xml:space="preserve"> </v>
      </c>
      <c r="GY43" s="54" t="str">
        <f t="shared" ca="1" si="61"/>
        <v xml:space="preserve"> </v>
      </c>
      <c r="GZ43" s="366"/>
      <c r="HA43" s="366"/>
      <c r="HB43" s="54" t="str">
        <f t="shared" si="62"/>
        <v xml:space="preserve"> </v>
      </c>
      <c r="HC43" s="367"/>
      <c r="HD43" s="373"/>
      <c r="HE43" s="49"/>
      <c r="HF43" s="346"/>
      <c r="HG43" s="346"/>
      <c r="HH43" s="177" t="str">
        <f t="shared" si="140"/>
        <v xml:space="preserve"> </v>
      </c>
      <c r="HI43" s="54" t="str">
        <f t="shared" ca="1" si="64"/>
        <v xml:space="preserve"> </v>
      </c>
      <c r="HJ43" s="346"/>
      <c r="HK43" s="346"/>
      <c r="HL43" s="49" t="str">
        <f t="shared" si="65"/>
        <v xml:space="preserve"> </v>
      </c>
      <c r="HM43" s="374"/>
      <c r="HN43" s="369"/>
      <c r="HO43" s="54"/>
      <c r="HP43" s="366"/>
      <c r="HQ43" s="366"/>
      <c r="HR43" s="177" t="str">
        <f t="shared" si="141"/>
        <v xml:space="preserve"> </v>
      </c>
      <c r="HS43" s="54" t="str">
        <f t="shared" ca="1" si="67"/>
        <v xml:space="preserve"> </v>
      </c>
      <c r="HT43" s="366"/>
      <c r="HU43" s="366"/>
      <c r="HV43" s="54" t="str">
        <f t="shared" si="68"/>
        <v xml:space="preserve"> </v>
      </c>
      <c r="HW43" s="367"/>
      <c r="HX43" s="373"/>
      <c r="HY43" s="49"/>
      <c r="HZ43" s="346"/>
      <c r="IA43" s="346"/>
      <c r="IB43" s="177" t="str">
        <f t="shared" si="142"/>
        <v xml:space="preserve"> </v>
      </c>
      <c r="IC43" s="54" t="str">
        <f t="shared" ca="1" si="70"/>
        <v xml:space="preserve"> </v>
      </c>
      <c r="ID43" s="346"/>
      <c r="IE43" s="346"/>
      <c r="IF43" s="49" t="str">
        <f t="shared" si="71"/>
        <v xml:space="preserve"> </v>
      </c>
      <c r="IG43" s="374"/>
      <c r="IH43" s="369"/>
      <c r="II43" s="366"/>
      <c r="IJ43" s="366"/>
      <c r="IK43" s="366"/>
      <c r="IL43" s="177" t="str">
        <f t="shared" si="143"/>
        <v xml:space="preserve"> </v>
      </c>
      <c r="IM43" s="54" t="str">
        <f t="shared" ca="1" si="73"/>
        <v xml:space="preserve"> </v>
      </c>
      <c r="IN43" s="366"/>
      <c r="IO43" s="366"/>
      <c r="IP43" s="54" t="str">
        <f t="shared" si="74"/>
        <v xml:space="preserve"> </v>
      </c>
      <c r="IQ43" s="367"/>
      <c r="IR43" s="373"/>
      <c r="IS43" s="346"/>
      <c r="IT43" s="346"/>
      <c r="IU43" s="346"/>
      <c r="IV43" s="177" t="str">
        <f t="shared" si="144"/>
        <v xml:space="preserve"> </v>
      </c>
      <c r="IW43" s="54" t="str">
        <f t="shared" ca="1" si="76"/>
        <v xml:space="preserve"> </v>
      </c>
      <c r="IX43" s="346"/>
      <c r="IY43" s="346"/>
      <c r="IZ43" s="54" t="str">
        <f t="shared" si="77"/>
        <v xml:space="preserve"> </v>
      </c>
      <c r="JA43" s="374"/>
      <c r="JB43" s="369"/>
      <c r="JC43" s="366"/>
      <c r="JD43" s="366"/>
      <c r="JE43" s="366"/>
      <c r="JF43" s="177" t="str">
        <f t="shared" si="145"/>
        <v xml:space="preserve"> </v>
      </c>
      <c r="JG43" s="54" t="str">
        <f t="shared" ca="1" si="79"/>
        <v xml:space="preserve"> </v>
      </c>
      <c r="JH43" s="366"/>
      <c r="JI43" s="366"/>
      <c r="JJ43" s="54" t="str">
        <f t="shared" si="80"/>
        <v xml:space="preserve"> </v>
      </c>
      <c r="JK43" s="367"/>
      <c r="JL43" s="373"/>
      <c r="JM43" s="346"/>
      <c r="JN43" s="346"/>
      <c r="JO43" s="346"/>
      <c r="JP43" s="346" t="str">
        <f t="shared" si="148"/>
        <v xml:space="preserve"> </v>
      </c>
      <c r="JQ43" s="54" t="str">
        <f t="shared" ca="1" si="82"/>
        <v xml:space="preserve"> </v>
      </c>
      <c r="JR43" s="346"/>
      <c r="JS43" s="346"/>
      <c r="JT43" s="54" t="str">
        <f t="shared" si="83"/>
        <v xml:space="preserve"> </v>
      </c>
      <c r="JU43" s="374"/>
      <c r="JV43" s="369"/>
      <c r="JW43" s="366"/>
      <c r="JX43" s="366"/>
      <c r="JY43" s="366"/>
      <c r="JZ43" s="366" t="str">
        <f t="shared" si="149"/>
        <v xml:space="preserve"> </v>
      </c>
      <c r="KA43" s="54" t="str">
        <f t="shared" ca="1" si="85"/>
        <v xml:space="preserve"> </v>
      </c>
      <c r="KB43" s="366"/>
      <c r="KC43" s="366"/>
      <c r="KD43" s="54" t="str">
        <f t="shared" si="86"/>
        <v xml:space="preserve"> </v>
      </c>
      <c r="KE43" s="367"/>
      <c r="KF43" s="373"/>
      <c r="KG43" s="346"/>
      <c r="KH43" s="346"/>
      <c r="KI43" s="346"/>
      <c r="KJ43" s="346" t="str">
        <f t="shared" si="150"/>
        <v xml:space="preserve"> </v>
      </c>
      <c r="KK43" s="54" t="str">
        <f t="shared" ca="1" si="88"/>
        <v xml:space="preserve"> </v>
      </c>
      <c r="KL43" s="346"/>
      <c r="KM43" s="346"/>
      <c r="KN43" s="54" t="str">
        <f t="shared" si="89"/>
        <v xml:space="preserve"> </v>
      </c>
      <c r="KO43" s="374"/>
      <c r="KP43" s="369"/>
      <c r="KQ43" s="366"/>
      <c r="KR43" s="366"/>
      <c r="KS43" s="366"/>
      <c r="KT43" s="366" t="str">
        <f t="shared" si="151"/>
        <v xml:space="preserve"> </v>
      </c>
      <c r="KU43" s="54" t="str">
        <f t="shared" ca="1" si="91"/>
        <v xml:space="preserve"> </v>
      </c>
      <c r="KV43" s="366"/>
      <c r="KW43" s="366"/>
      <c r="KX43" s="54" t="str">
        <f t="shared" si="92"/>
        <v xml:space="preserve"> </v>
      </c>
      <c r="KY43" s="367"/>
      <c r="KZ43" s="373"/>
      <c r="LA43" s="346"/>
      <c r="LB43" s="346"/>
      <c r="LC43" s="346"/>
      <c r="LD43" s="346" t="str">
        <f t="shared" si="152"/>
        <v xml:space="preserve"> </v>
      </c>
      <c r="LE43" s="54" t="str">
        <f t="shared" ca="1" si="94"/>
        <v xml:space="preserve"> </v>
      </c>
      <c r="LF43" s="346"/>
      <c r="LG43" s="346"/>
      <c r="LH43" s="54" t="str">
        <f t="shared" si="95"/>
        <v xml:space="preserve"> </v>
      </c>
      <c r="LI43" s="374"/>
      <c r="LJ43" s="369"/>
      <c r="LK43" s="366"/>
      <c r="LL43" s="366"/>
      <c r="LM43" s="366"/>
      <c r="LN43" s="366" t="str">
        <f t="shared" si="153"/>
        <v xml:space="preserve"> </v>
      </c>
      <c r="LO43" s="54" t="str">
        <f t="shared" ca="1" si="97"/>
        <v xml:space="preserve"> </v>
      </c>
      <c r="LP43" s="366"/>
      <c r="LQ43" s="366"/>
      <c r="LR43" s="54" t="str">
        <f t="shared" si="98"/>
        <v xml:space="preserve"> </v>
      </c>
      <c r="LS43" s="367"/>
      <c r="LT43" s="373"/>
      <c r="LU43" s="346"/>
      <c r="LV43" s="346"/>
      <c r="LW43" s="346"/>
      <c r="LX43" s="346" t="str">
        <f t="shared" si="114"/>
        <v xml:space="preserve"> </v>
      </c>
      <c r="LY43" s="54" t="str">
        <f t="shared" ca="1" si="99"/>
        <v xml:space="preserve"> </v>
      </c>
      <c r="LZ43" s="346"/>
      <c r="MA43" s="346"/>
      <c r="MB43" s="54" t="str">
        <f t="shared" si="100"/>
        <v xml:space="preserve"> </v>
      </c>
      <c r="MC43" s="374"/>
      <c r="MD43" s="369"/>
      <c r="ME43" s="366"/>
      <c r="MF43" s="366"/>
      <c r="MG43" s="366"/>
      <c r="MH43" s="366"/>
      <c r="MI43" s="54" t="str">
        <f t="shared" ca="1" si="101"/>
        <v xml:space="preserve"> </v>
      </c>
      <c r="MJ43" s="366"/>
      <c r="MK43" s="366"/>
      <c r="ML43" s="54" t="str">
        <f t="shared" si="102"/>
        <v xml:space="preserve"> </v>
      </c>
      <c r="MM43" s="367"/>
      <c r="MN43" s="373"/>
      <c r="MO43" s="346"/>
      <c r="MP43" s="346"/>
      <c r="MQ43" s="346"/>
      <c r="MR43" s="346"/>
      <c r="MS43" s="54" t="str">
        <f t="shared" ca="1" si="103"/>
        <v xml:space="preserve"> </v>
      </c>
      <c r="MT43" s="346"/>
      <c r="MU43" s="346"/>
      <c r="MV43" s="54" t="str">
        <f t="shared" si="104"/>
        <v xml:space="preserve"> </v>
      </c>
      <c r="MW43" s="374"/>
      <c r="MX43" s="369"/>
      <c r="MY43" s="366"/>
      <c r="MZ43" s="366"/>
      <c r="NA43" s="366"/>
      <c r="NB43" s="366"/>
      <c r="NC43" s="54" t="str">
        <f t="shared" ca="1" si="105"/>
        <v xml:space="preserve"> </v>
      </c>
      <c r="ND43" s="366"/>
      <c r="NE43" s="366"/>
      <c r="NF43" s="54" t="str">
        <f t="shared" si="115"/>
        <v xml:space="preserve"> </v>
      </c>
      <c r="NG43" s="367"/>
      <c r="NH43" s="373"/>
      <c r="NI43" s="346"/>
      <c r="NJ43" s="346"/>
      <c r="NK43" s="346"/>
      <c r="NL43" s="346"/>
      <c r="NM43" s="54" t="str">
        <f t="shared" ca="1" si="107"/>
        <v xml:space="preserve"> </v>
      </c>
      <c r="NN43" s="346"/>
      <c r="NO43" s="346"/>
      <c r="NP43" s="54" t="str">
        <f t="shared" si="116"/>
        <v xml:space="preserve"> </v>
      </c>
      <c r="NQ43" s="374"/>
      <c r="NR43" s="369"/>
      <c r="NS43" s="366"/>
      <c r="NT43" s="366"/>
      <c r="NU43" s="366"/>
      <c r="NV43" s="366"/>
      <c r="NW43" s="54" t="str">
        <f t="shared" ca="1" si="109"/>
        <v xml:space="preserve"> </v>
      </c>
      <c r="NX43" s="366"/>
      <c r="NY43" s="366"/>
      <c r="NZ43" s="54" t="str">
        <f t="shared" si="117"/>
        <v xml:space="preserve"> </v>
      </c>
      <c r="OA43" s="367"/>
      <c r="OB43" s="373"/>
      <c r="OC43" s="346"/>
      <c r="OD43" s="346"/>
      <c r="OE43" s="346"/>
      <c r="OF43" s="346"/>
      <c r="OG43" s="54" t="str">
        <f t="shared" ca="1" si="111"/>
        <v xml:space="preserve"> </v>
      </c>
      <c r="OH43" s="346"/>
      <c r="OI43" s="346"/>
      <c r="OJ43" s="54" t="str">
        <f t="shared" si="118"/>
        <v xml:space="preserve"> </v>
      </c>
      <c r="OK43" s="374"/>
    </row>
    <row r="44" spans="1:401" s="44" customFormat="1" ht="22.2" customHeight="1" x14ac:dyDescent="0.3">
      <c r="A44" s="355" t="s">
        <v>245</v>
      </c>
      <c r="B44" s="356" t="s">
        <v>838</v>
      </c>
      <c r="C44" s="37" t="s">
        <v>5743</v>
      </c>
      <c r="D44" s="205" t="s">
        <v>5744</v>
      </c>
      <c r="E44" s="91">
        <v>45716</v>
      </c>
      <c r="F44" s="91">
        <f t="shared" si="119"/>
        <v>46081</v>
      </c>
      <c r="G44" s="37" t="str">
        <f t="shared" ca="1" si="113"/>
        <v>VIGENTE</v>
      </c>
      <c r="H44" s="37"/>
      <c r="I44" s="37"/>
      <c r="J44" s="37" t="str">
        <f t="shared" si="2"/>
        <v>C.I.</v>
      </c>
      <c r="K44" s="170"/>
      <c r="L44" s="356" t="s">
        <v>838</v>
      </c>
      <c r="M44" s="37" t="s">
        <v>5745</v>
      </c>
      <c r="N44" s="205" t="s">
        <v>5746</v>
      </c>
      <c r="O44" s="91">
        <v>45716</v>
      </c>
      <c r="P44" s="91">
        <f t="shared" si="3"/>
        <v>46081</v>
      </c>
      <c r="Q44" s="37" t="str">
        <f t="shared" ca="1" si="4"/>
        <v>VIGENTE</v>
      </c>
      <c r="R44" s="37"/>
      <c r="S44" s="37"/>
      <c r="T44" s="37" t="str">
        <f t="shared" si="5"/>
        <v>C.I.</v>
      </c>
      <c r="U44" s="170"/>
      <c r="V44" s="356" t="s">
        <v>838</v>
      </c>
      <c r="W44" s="37">
        <v>3364</v>
      </c>
      <c r="X44" s="205" t="s">
        <v>5747</v>
      </c>
      <c r="Y44" s="91">
        <v>45716</v>
      </c>
      <c r="Z44" s="91">
        <f t="shared" si="121"/>
        <v>46081</v>
      </c>
      <c r="AA44" s="37" t="str">
        <f t="shared" ca="1" si="7"/>
        <v>VIGENTE</v>
      </c>
      <c r="AB44" s="357"/>
      <c r="AC44" s="357"/>
      <c r="AD44" s="37" t="str">
        <f t="shared" si="8"/>
        <v>C.I.</v>
      </c>
      <c r="AE44" s="359"/>
      <c r="AF44" s="356" t="s">
        <v>838</v>
      </c>
      <c r="AG44" s="37" t="s">
        <v>5748</v>
      </c>
      <c r="AH44" s="205" t="s">
        <v>5749</v>
      </c>
      <c r="AI44" s="91">
        <v>45716</v>
      </c>
      <c r="AJ44" s="91">
        <f t="shared" si="122"/>
        <v>46081</v>
      </c>
      <c r="AK44" s="37" t="str">
        <f t="shared" ca="1" si="10"/>
        <v>VIGENTE</v>
      </c>
      <c r="AL44" s="348"/>
      <c r="AM44" s="348"/>
      <c r="AN44" s="12" t="str">
        <f t="shared" si="11"/>
        <v>C.I.</v>
      </c>
      <c r="AO44" s="361"/>
      <c r="AP44" s="356" t="s">
        <v>838</v>
      </c>
      <c r="AQ44" s="37" t="s">
        <v>5750</v>
      </c>
      <c r="AR44" s="205" t="s">
        <v>5751</v>
      </c>
      <c r="AS44" s="91">
        <v>45776</v>
      </c>
      <c r="AT44" s="91">
        <f t="shared" si="123"/>
        <v>46141</v>
      </c>
      <c r="AU44" s="37" t="str">
        <f t="shared" ca="1" si="13"/>
        <v>VIGENTE</v>
      </c>
      <c r="AV44" s="357"/>
      <c r="AW44" s="357"/>
      <c r="AX44" s="37" t="str">
        <f t="shared" si="14"/>
        <v>C.I.</v>
      </c>
      <c r="AY44" s="359"/>
      <c r="AZ44" s="356" t="s">
        <v>838</v>
      </c>
      <c r="BA44" s="37" t="s">
        <v>5752</v>
      </c>
      <c r="BB44" s="205" t="s">
        <v>5753</v>
      </c>
      <c r="BC44" s="91">
        <v>45776</v>
      </c>
      <c r="BD44" s="91">
        <f t="shared" si="124"/>
        <v>46142</v>
      </c>
      <c r="BE44" s="37" t="str">
        <f t="shared" ca="1" si="16"/>
        <v>VIGENTE</v>
      </c>
      <c r="BF44" s="348"/>
      <c r="BG44" s="348"/>
      <c r="BH44" s="12" t="str">
        <f t="shared" si="17"/>
        <v>C.I.</v>
      </c>
      <c r="BI44" s="361"/>
      <c r="BJ44" s="356" t="s">
        <v>838</v>
      </c>
      <c r="BK44" s="37" t="s">
        <v>5752</v>
      </c>
      <c r="BL44" s="205" t="s">
        <v>5753</v>
      </c>
      <c r="BM44" s="91">
        <v>45776</v>
      </c>
      <c r="BN44" s="91">
        <f t="shared" si="125"/>
        <v>46141</v>
      </c>
      <c r="BO44" s="37" t="str">
        <f t="shared" ca="1" si="19"/>
        <v>VIGENTE</v>
      </c>
      <c r="BP44" s="357"/>
      <c r="BQ44" s="357"/>
      <c r="BR44" s="37" t="str">
        <f t="shared" si="20"/>
        <v>C.I.</v>
      </c>
      <c r="BS44" s="359"/>
      <c r="BT44" s="356" t="s">
        <v>838</v>
      </c>
      <c r="BU44" s="37" t="s">
        <v>5754</v>
      </c>
      <c r="BV44" s="205" t="s">
        <v>5755</v>
      </c>
      <c r="BW44" s="91">
        <v>45776</v>
      </c>
      <c r="BX44" s="91">
        <f t="shared" si="126"/>
        <v>46141</v>
      </c>
      <c r="BY44" s="37" t="str">
        <f t="shared" ca="1" si="22"/>
        <v>VIGENTE</v>
      </c>
      <c r="BZ44" s="348"/>
      <c r="CA44" s="348"/>
      <c r="CB44" s="12" t="str">
        <f t="shared" si="23"/>
        <v>C.I.</v>
      </c>
      <c r="CC44" s="361"/>
      <c r="CD44" s="356" t="s">
        <v>838</v>
      </c>
      <c r="CE44" s="37" t="s">
        <v>5942</v>
      </c>
      <c r="CF44" s="357" t="s">
        <v>315</v>
      </c>
      <c r="CG44" s="358"/>
      <c r="CH44" s="358" t="str">
        <f t="shared" si="127"/>
        <v xml:space="preserve"> </v>
      </c>
      <c r="CI44" s="37" t="str">
        <f t="shared" ca="1" si="25"/>
        <v xml:space="preserve"> </v>
      </c>
      <c r="CJ44" s="357"/>
      <c r="CK44" s="357"/>
      <c r="CL44" s="37" t="str">
        <f t="shared" si="26"/>
        <v>C.I.</v>
      </c>
      <c r="CM44" s="359"/>
      <c r="CN44" s="356" t="s">
        <v>838</v>
      </c>
      <c r="CO44" s="12" t="s">
        <v>5943</v>
      </c>
      <c r="CP44" s="348" t="s">
        <v>315</v>
      </c>
      <c r="CQ44" s="362"/>
      <c r="CR44" s="362" t="str">
        <f t="shared" si="128"/>
        <v xml:space="preserve"> </v>
      </c>
      <c r="CS44" s="37" t="str">
        <f t="shared" ca="1" si="28"/>
        <v xml:space="preserve"> </v>
      </c>
      <c r="CT44" s="348"/>
      <c r="CU44" s="348"/>
      <c r="CV44" s="12" t="str">
        <f t="shared" si="29"/>
        <v>C.I.</v>
      </c>
      <c r="CW44" s="361"/>
      <c r="CX44" s="356"/>
      <c r="CY44" s="37"/>
      <c r="CZ44" s="357"/>
      <c r="DA44" s="358"/>
      <c r="DB44" s="358" t="str">
        <f t="shared" si="129"/>
        <v xml:space="preserve"> </v>
      </c>
      <c r="DC44" s="37" t="str">
        <f t="shared" ca="1" si="31"/>
        <v xml:space="preserve"> </v>
      </c>
      <c r="DD44" s="357"/>
      <c r="DE44" s="357"/>
      <c r="DF44" s="37" t="str">
        <f t="shared" si="32"/>
        <v xml:space="preserve"> </v>
      </c>
      <c r="DG44" s="359"/>
      <c r="DH44" s="360"/>
      <c r="DI44" s="12"/>
      <c r="DJ44" s="348"/>
      <c r="DK44" s="348"/>
      <c r="DL44" s="348" t="str">
        <f t="shared" si="130"/>
        <v xml:space="preserve"> </v>
      </c>
      <c r="DM44" s="37" t="str">
        <f t="shared" ca="1" si="34"/>
        <v xml:space="preserve"> </v>
      </c>
      <c r="DN44" s="348"/>
      <c r="DO44" s="348"/>
      <c r="DP44" s="12" t="str">
        <f t="shared" si="35"/>
        <v xml:space="preserve"> </v>
      </c>
      <c r="DQ44" s="361"/>
      <c r="DR44" s="356"/>
      <c r="DS44" s="37"/>
      <c r="DT44" s="357"/>
      <c r="DU44" s="357"/>
      <c r="DV44" s="14" t="str">
        <f t="shared" si="131"/>
        <v xml:space="preserve"> </v>
      </c>
      <c r="DW44" s="37" t="str">
        <f t="shared" ca="1" si="37"/>
        <v xml:space="preserve"> </v>
      </c>
      <c r="DX44" s="357"/>
      <c r="DY44" s="357"/>
      <c r="DZ44" s="37" t="str">
        <f t="shared" si="38"/>
        <v xml:space="preserve"> </v>
      </c>
      <c r="EA44" s="359"/>
      <c r="EB44" s="360"/>
      <c r="EC44" s="12"/>
      <c r="ED44" s="348"/>
      <c r="EE44" s="348"/>
      <c r="EF44" s="91" t="str">
        <f t="shared" si="132"/>
        <v xml:space="preserve"> </v>
      </c>
      <c r="EG44" s="37" t="str">
        <f t="shared" ca="1" si="40"/>
        <v xml:space="preserve"> </v>
      </c>
      <c r="EH44" s="348"/>
      <c r="EI44" s="348"/>
      <c r="EJ44" s="12" t="str">
        <f t="shared" si="41"/>
        <v xml:space="preserve"> </v>
      </c>
      <c r="EK44" s="361"/>
      <c r="EL44" s="356"/>
      <c r="EM44" s="37"/>
      <c r="EN44" s="357"/>
      <c r="EO44" s="357"/>
      <c r="EP44" s="91" t="str">
        <f t="shared" si="133"/>
        <v xml:space="preserve"> </v>
      </c>
      <c r="EQ44" s="37" t="str">
        <f t="shared" ca="1" si="43"/>
        <v xml:space="preserve"> </v>
      </c>
      <c r="ER44" s="357"/>
      <c r="ES44" s="357"/>
      <c r="ET44" s="37" t="str">
        <f t="shared" si="44"/>
        <v xml:space="preserve"> </v>
      </c>
      <c r="EU44" s="359"/>
      <c r="EV44" s="360"/>
      <c r="EW44" s="12"/>
      <c r="EX44" s="348"/>
      <c r="EY44" s="348"/>
      <c r="EZ44" s="91" t="str">
        <f t="shared" si="134"/>
        <v xml:space="preserve"> </v>
      </c>
      <c r="FA44" s="37" t="str">
        <f t="shared" ca="1" si="46"/>
        <v xml:space="preserve"> </v>
      </c>
      <c r="FB44" s="348"/>
      <c r="FC44" s="348"/>
      <c r="FD44" s="12" t="str">
        <f t="shared" si="47"/>
        <v xml:space="preserve"> </v>
      </c>
      <c r="FE44" s="361"/>
      <c r="FF44" s="356"/>
      <c r="FG44" s="37"/>
      <c r="FH44" s="357"/>
      <c r="FI44" s="357"/>
      <c r="FJ44" s="91" t="str">
        <f t="shared" si="135"/>
        <v xml:space="preserve"> </v>
      </c>
      <c r="FK44" s="37" t="str">
        <f t="shared" ca="1" si="49"/>
        <v xml:space="preserve"> </v>
      </c>
      <c r="FL44" s="357"/>
      <c r="FM44" s="357"/>
      <c r="FN44" s="37" t="str">
        <f t="shared" si="50"/>
        <v xml:space="preserve"> </v>
      </c>
      <c r="FO44" s="359"/>
      <c r="FP44" s="360"/>
      <c r="FQ44" s="12"/>
      <c r="FR44" s="348"/>
      <c r="FS44" s="348"/>
      <c r="FT44" s="91" t="str">
        <f t="shared" si="136"/>
        <v xml:space="preserve"> </v>
      </c>
      <c r="FU44" s="37" t="str">
        <f t="shared" ca="1" si="52"/>
        <v xml:space="preserve"> </v>
      </c>
      <c r="FV44" s="348"/>
      <c r="FW44" s="348"/>
      <c r="FX44" s="12" t="str">
        <f t="shared" si="53"/>
        <v xml:space="preserve"> </v>
      </c>
      <c r="FY44" s="361"/>
      <c r="FZ44" s="356"/>
      <c r="GA44" s="37"/>
      <c r="GB44" s="357"/>
      <c r="GC44" s="357"/>
      <c r="GD44" s="91" t="str">
        <f t="shared" si="137"/>
        <v xml:space="preserve"> </v>
      </c>
      <c r="GE44" s="37" t="str">
        <f t="shared" ca="1" si="55"/>
        <v xml:space="preserve"> </v>
      </c>
      <c r="GF44" s="357"/>
      <c r="GG44" s="357"/>
      <c r="GH44" s="37" t="str">
        <f t="shared" si="56"/>
        <v xml:space="preserve"> </v>
      </c>
      <c r="GI44" s="359"/>
      <c r="GJ44" s="363"/>
      <c r="GK44" s="12"/>
      <c r="GL44" s="348"/>
      <c r="GM44" s="348"/>
      <c r="GN44" s="91" t="str">
        <f t="shared" si="138"/>
        <v xml:space="preserve"> </v>
      </c>
      <c r="GO44" s="37" t="str">
        <f t="shared" ca="1" si="58"/>
        <v xml:space="preserve"> </v>
      </c>
      <c r="GP44" s="348"/>
      <c r="GQ44" s="348"/>
      <c r="GR44" s="12" t="str">
        <f t="shared" si="59"/>
        <v xml:space="preserve"> </v>
      </c>
      <c r="GS44" s="364"/>
      <c r="GT44" s="356"/>
      <c r="GU44" s="37"/>
      <c r="GV44" s="357"/>
      <c r="GW44" s="357"/>
      <c r="GX44" s="91" t="str">
        <f t="shared" si="139"/>
        <v xml:space="preserve"> </v>
      </c>
      <c r="GY44" s="37" t="str">
        <f t="shared" ca="1" si="61"/>
        <v xml:space="preserve"> </v>
      </c>
      <c r="GZ44" s="357"/>
      <c r="HA44" s="357"/>
      <c r="HB44" s="37" t="str">
        <f t="shared" si="62"/>
        <v xml:space="preserve"> </v>
      </c>
      <c r="HC44" s="359"/>
      <c r="HD44" s="363"/>
      <c r="HE44" s="12"/>
      <c r="HF44" s="348"/>
      <c r="HG44" s="348"/>
      <c r="HH44" s="91" t="str">
        <f t="shared" si="140"/>
        <v xml:space="preserve"> </v>
      </c>
      <c r="HI44" s="37" t="str">
        <f t="shared" ca="1" si="64"/>
        <v xml:space="preserve"> </v>
      </c>
      <c r="HJ44" s="348"/>
      <c r="HK44" s="348"/>
      <c r="HL44" s="12" t="str">
        <f t="shared" si="65"/>
        <v xml:space="preserve"> </v>
      </c>
      <c r="HM44" s="364"/>
      <c r="HN44" s="356"/>
      <c r="HO44" s="37"/>
      <c r="HP44" s="357"/>
      <c r="HQ44" s="357"/>
      <c r="HR44" s="91" t="str">
        <f t="shared" si="141"/>
        <v xml:space="preserve"> </v>
      </c>
      <c r="HS44" s="37" t="str">
        <f t="shared" ca="1" si="67"/>
        <v xml:space="preserve"> </v>
      </c>
      <c r="HT44" s="357"/>
      <c r="HU44" s="357"/>
      <c r="HV44" s="37" t="str">
        <f t="shared" si="68"/>
        <v xml:space="preserve"> </v>
      </c>
      <c r="HW44" s="359"/>
      <c r="HX44" s="363"/>
      <c r="HY44" s="12"/>
      <c r="HZ44" s="348"/>
      <c r="IA44" s="348"/>
      <c r="IB44" s="91" t="str">
        <f t="shared" si="142"/>
        <v xml:space="preserve"> </v>
      </c>
      <c r="IC44" s="37" t="str">
        <f t="shared" ca="1" si="70"/>
        <v xml:space="preserve"> </v>
      </c>
      <c r="ID44" s="348"/>
      <c r="IE44" s="348"/>
      <c r="IF44" s="12" t="str">
        <f t="shared" si="71"/>
        <v xml:space="preserve"> </v>
      </c>
      <c r="IG44" s="364"/>
      <c r="IH44" s="356"/>
      <c r="II44" s="357"/>
      <c r="IJ44" s="357"/>
      <c r="IK44" s="357"/>
      <c r="IL44" s="91" t="str">
        <f t="shared" si="143"/>
        <v xml:space="preserve"> </v>
      </c>
      <c r="IM44" s="37" t="str">
        <f t="shared" ca="1" si="73"/>
        <v xml:space="preserve"> </v>
      </c>
      <c r="IN44" s="357"/>
      <c r="IO44" s="357"/>
      <c r="IP44" s="37" t="str">
        <f t="shared" si="74"/>
        <v xml:space="preserve"> </v>
      </c>
      <c r="IQ44" s="359"/>
      <c r="IR44" s="363"/>
      <c r="IS44" s="348"/>
      <c r="IT44" s="348"/>
      <c r="IU44" s="348"/>
      <c r="IV44" s="91" t="str">
        <f t="shared" si="144"/>
        <v xml:space="preserve"> </v>
      </c>
      <c r="IW44" s="37" t="str">
        <f t="shared" ca="1" si="76"/>
        <v xml:space="preserve"> </v>
      </c>
      <c r="IX44" s="348"/>
      <c r="IY44" s="348"/>
      <c r="IZ44" s="37" t="str">
        <f t="shared" si="77"/>
        <v xml:space="preserve"> </v>
      </c>
      <c r="JA44" s="364"/>
      <c r="JB44" s="356"/>
      <c r="JC44" s="357"/>
      <c r="JD44" s="357"/>
      <c r="JE44" s="357"/>
      <c r="JF44" s="91" t="str">
        <f t="shared" si="145"/>
        <v xml:space="preserve"> </v>
      </c>
      <c r="JG44" s="37" t="str">
        <f t="shared" ca="1" si="79"/>
        <v xml:space="preserve"> </v>
      </c>
      <c r="JH44" s="357"/>
      <c r="JI44" s="357"/>
      <c r="JJ44" s="37" t="str">
        <f t="shared" si="80"/>
        <v xml:space="preserve"> </v>
      </c>
      <c r="JK44" s="359"/>
      <c r="JL44" s="363"/>
      <c r="JM44" s="348"/>
      <c r="JN44" s="348"/>
      <c r="JO44" s="348"/>
      <c r="JP44" s="348" t="str">
        <f t="shared" si="148"/>
        <v xml:space="preserve"> </v>
      </c>
      <c r="JQ44" s="37" t="str">
        <f t="shared" ca="1" si="82"/>
        <v xml:space="preserve"> </v>
      </c>
      <c r="JR44" s="348"/>
      <c r="JS44" s="348"/>
      <c r="JT44" s="37" t="str">
        <f t="shared" si="83"/>
        <v xml:space="preserve"> </v>
      </c>
      <c r="JU44" s="364"/>
      <c r="JV44" s="356"/>
      <c r="JW44" s="357"/>
      <c r="JX44" s="357"/>
      <c r="JY44" s="357"/>
      <c r="JZ44" s="357" t="str">
        <f t="shared" si="149"/>
        <v xml:space="preserve"> </v>
      </c>
      <c r="KA44" s="37" t="str">
        <f t="shared" ca="1" si="85"/>
        <v xml:space="preserve"> </v>
      </c>
      <c r="KB44" s="357"/>
      <c r="KC44" s="357"/>
      <c r="KD44" s="37" t="str">
        <f t="shared" si="86"/>
        <v xml:space="preserve"> </v>
      </c>
      <c r="KE44" s="359"/>
      <c r="KF44" s="363"/>
      <c r="KG44" s="348"/>
      <c r="KH44" s="348"/>
      <c r="KI44" s="348"/>
      <c r="KJ44" s="348" t="str">
        <f t="shared" si="150"/>
        <v xml:space="preserve"> </v>
      </c>
      <c r="KK44" s="37" t="str">
        <f t="shared" ca="1" si="88"/>
        <v xml:space="preserve"> </v>
      </c>
      <c r="KL44" s="348"/>
      <c r="KM44" s="348"/>
      <c r="KN44" s="37" t="str">
        <f t="shared" si="89"/>
        <v xml:space="preserve"> </v>
      </c>
      <c r="KO44" s="364"/>
      <c r="KP44" s="356"/>
      <c r="KQ44" s="357"/>
      <c r="KR44" s="357"/>
      <c r="KS44" s="357"/>
      <c r="KT44" s="357" t="str">
        <f t="shared" si="151"/>
        <v xml:space="preserve"> </v>
      </c>
      <c r="KU44" s="37" t="str">
        <f t="shared" ca="1" si="91"/>
        <v xml:space="preserve"> </v>
      </c>
      <c r="KV44" s="357"/>
      <c r="KW44" s="357"/>
      <c r="KX44" s="37" t="str">
        <f t="shared" si="92"/>
        <v xml:space="preserve"> </v>
      </c>
      <c r="KY44" s="359"/>
      <c r="KZ44" s="363"/>
      <c r="LA44" s="348"/>
      <c r="LB44" s="348"/>
      <c r="LC44" s="348"/>
      <c r="LD44" s="348" t="str">
        <f t="shared" si="152"/>
        <v xml:space="preserve"> </v>
      </c>
      <c r="LE44" s="37" t="str">
        <f t="shared" ca="1" si="94"/>
        <v xml:space="preserve"> </v>
      </c>
      <c r="LF44" s="348"/>
      <c r="LG44" s="348"/>
      <c r="LH44" s="37" t="str">
        <f t="shared" si="95"/>
        <v xml:space="preserve"> </v>
      </c>
      <c r="LI44" s="364"/>
      <c r="LJ44" s="356"/>
      <c r="LK44" s="357"/>
      <c r="LL44" s="357"/>
      <c r="LM44" s="357"/>
      <c r="LN44" s="357" t="str">
        <f t="shared" si="153"/>
        <v xml:space="preserve"> </v>
      </c>
      <c r="LO44" s="37" t="str">
        <f t="shared" ca="1" si="97"/>
        <v xml:space="preserve"> </v>
      </c>
      <c r="LP44" s="357"/>
      <c r="LQ44" s="357"/>
      <c r="LR44" s="37" t="str">
        <f t="shared" si="98"/>
        <v xml:space="preserve"> </v>
      </c>
      <c r="LS44" s="359"/>
      <c r="LT44" s="363"/>
      <c r="LU44" s="348"/>
      <c r="LV44" s="348"/>
      <c r="LW44" s="348"/>
      <c r="LX44" s="348" t="str">
        <f t="shared" si="114"/>
        <v xml:space="preserve"> </v>
      </c>
      <c r="LY44" s="37" t="str">
        <f t="shared" ca="1" si="99"/>
        <v xml:space="preserve"> </v>
      </c>
      <c r="LZ44" s="348"/>
      <c r="MA44" s="348"/>
      <c r="MB44" s="37" t="str">
        <f t="shared" si="100"/>
        <v xml:space="preserve"> </v>
      </c>
      <c r="MC44" s="364"/>
      <c r="MD44" s="356"/>
      <c r="ME44" s="357"/>
      <c r="MF44" s="357"/>
      <c r="MG44" s="357"/>
      <c r="MH44" s="357"/>
      <c r="MI44" s="37" t="str">
        <f t="shared" ca="1" si="101"/>
        <v xml:space="preserve"> </v>
      </c>
      <c r="MJ44" s="357"/>
      <c r="MK44" s="357"/>
      <c r="ML44" s="37" t="str">
        <f t="shared" si="102"/>
        <v xml:space="preserve"> </v>
      </c>
      <c r="MM44" s="359"/>
      <c r="MN44" s="363"/>
      <c r="MO44" s="348"/>
      <c r="MP44" s="348"/>
      <c r="MQ44" s="348"/>
      <c r="MR44" s="348"/>
      <c r="MS44" s="37" t="str">
        <f t="shared" ca="1" si="103"/>
        <v xml:space="preserve"> </v>
      </c>
      <c r="MT44" s="348"/>
      <c r="MU44" s="348"/>
      <c r="MV44" s="37" t="str">
        <f t="shared" si="104"/>
        <v xml:space="preserve"> </v>
      </c>
      <c r="MW44" s="364"/>
      <c r="MX44" s="356"/>
      <c r="MY44" s="357"/>
      <c r="MZ44" s="357"/>
      <c r="NA44" s="357"/>
      <c r="NB44" s="357"/>
      <c r="NC44" s="37" t="str">
        <f t="shared" ca="1" si="105"/>
        <v xml:space="preserve"> </v>
      </c>
      <c r="ND44" s="357"/>
      <c r="NE44" s="357"/>
      <c r="NF44" s="37" t="str">
        <f t="shared" si="115"/>
        <v xml:space="preserve"> </v>
      </c>
      <c r="NG44" s="359"/>
      <c r="NH44" s="363"/>
      <c r="NI44" s="348"/>
      <c r="NJ44" s="348"/>
      <c r="NK44" s="348"/>
      <c r="NL44" s="348"/>
      <c r="NM44" s="37" t="str">
        <f t="shared" ca="1" si="107"/>
        <v xml:space="preserve"> </v>
      </c>
      <c r="NN44" s="348"/>
      <c r="NO44" s="348"/>
      <c r="NP44" s="37" t="str">
        <f t="shared" si="116"/>
        <v xml:space="preserve"> </v>
      </c>
      <c r="NQ44" s="364"/>
      <c r="NR44" s="356"/>
      <c r="NS44" s="357"/>
      <c r="NT44" s="357"/>
      <c r="NU44" s="357"/>
      <c r="NV44" s="357"/>
      <c r="NW44" s="37" t="str">
        <f t="shared" ca="1" si="109"/>
        <v xml:space="preserve"> </v>
      </c>
      <c r="NX44" s="357"/>
      <c r="NY44" s="357"/>
      <c r="NZ44" s="37" t="str">
        <f t="shared" si="117"/>
        <v xml:space="preserve"> </v>
      </c>
      <c r="OA44" s="359"/>
      <c r="OB44" s="363"/>
      <c r="OC44" s="348"/>
      <c r="OD44" s="348"/>
      <c r="OE44" s="348"/>
      <c r="OF44" s="348"/>
      <c r="OG44" s="37" t="str">
        <f t="shared" ca="1" si="111"/>
        <v xml:space="preserve"> </v>
      </c>
      <c r="OH44" s="348"/>
      <c r="OI44" s="348"/>
      <c r="OJ44" s="37" t="str">
        <f t="shared" si="118"/>
        <v xml:space="preserve"> </v>
      </c>
      <c r="OK44" s="364"/>
    </row>
    <row r="45" spans="1:401" s="44" customFormat="1" ht="22.2" customHeight="1" x14ac:dyDescent="0.3">
      <c r="A45" s="365" t="s">
        <v>249</v>
      </c>
      <c r="B45" s="369" t="s">
        <v>854</v>
      </c>
      <c r="C45" s="54" t="s">
        <v>5756</v>
      </c>
      <c r="D45" s="366" t="s">
        <v>5757</v>
      </c>
      <c r="E45" s="177">
        <v>45741</v>
      </c>
      <c r="F45" s="177">
        <f t="shared" si="119"/>
        <v>46106</v>
      </c>
      <c r="G45" s="54" t="str">
        <f t="shared" ca="1" si="113"/>
        <v>VIGENTE</v>
      </c>
      <c r="H45" s="54"/>
      <c r="I45" s="54"/>
      <c r="J45" s="54" t="str">
        <f t="shared" si="2"/>
        <v>G.M.</v>
      </c>
      <c r="K45" s="171"/>
      <c r="L45" s="182"/>
      <c r="M45" s="54"/>
      <c r="N45" s="54"/>
      <c r="O45" s="177"/>
      <c r="P45" s="177" t="str">
        <f t="shared" si="3"/>
        <v xml:space="preserve"> </v>
      </c>
      <c r="Q45" s="54" t="str">
        <f t="shared" ca="1" si="4"/>
        <v xml:space="preserve"> </v>
      </c>
      <c r="R45" s="54"/>
      <c r="S45" s="54"/>
      <c r="T45" s="54" t="str">
        <f t="shared" si="5"/>
        <v xml:space="preserve"> </v>
      </c>
      <c r="U45" s="171"/>
      <c r="V45" s="369"/>
      <c r="W45" s="366"/>
      <c r="X45" s="366"/>
      <c r="Y45" s="370"/>
      <c r="Z45" s="370" t="str">
        <f t="shared" si="121"/>
        <v xml:space="preserve"> </v>
      </c>
      <c r="AA45" s="54" t="str">
        <f t="shared" ca="1" si="7"/>
        <v xml:space="preserve"> </v>
      </c>
      <c r="AB45" s="366"/>
      <c r="AC45" s="366"/>
      <c r="AD45" s="54" t="str">
        <f t="shared" si="8"/>
        <v xml:space="preserve"> </v>
      </c>
      <c r="AE45" s="367"/>
      <c r="AF45" s="371"/>
      <c r="AG45" s="346"/>
      <c r="AH45" s="346"/>
      <c r="AI45" s="65"/>
      <c r="AJ45" s="65" t="str">
        <f t="shared" si="122"/>
        <v xml:space="preserve"> </v>
      </c>
      <c r="AK45" s="54" t="str">
        <f t="shared" ca="1" si="10"/>
        <v xml:space="preserve"> </v>
      </c>
      <c r="AL45" s="346"/>
      <c r="AM45" s="346"/>
      <c r="AN45" s="49" t="str">
        <f t="shared" si="11"/>
        <v xml:space="preserve"> </v>
      </c>
      <c r="AO45" s="368"/>
      <c r="AP45" s="369"/>
      <c r="AQ45" s="366"/>
      <c r="AR45" s="366"/>
      <c r="AS45" s="370"/>
      <c r="AT45" s="370" t="str">
        <f t="shared" si="123"/>
        <v xml:space="preserve"> </v>
      </c>
      <c r="AU45" s="54" t="str">
        <f t="shared" ca="1" si="13"/>
        <v xml:space="preserve"> </v>
      </c>
      <c r="AV45" s="366"/>
      <c r="AW45" s="366"/>
      <c r="AX45" s="54" t="str">
        <f t="shared" si="14"/>
        <v xml:space="preserve"> </v>
      </c>
      <c r="AY45" s="367"/>
      <c r="AZ45" s="371"/>
      <c r="BA45" s="346"/>
      <c r="BB45" s="346"/>
      <c r="BC45" s="372"/>
      <c r="BD45" s="372" t="str">
        <f t="shared" si="124"/>
        <v xml:space="preserve"> </v>
      </c>
      <c r="BE45" s="54" t="str">
        <f t="shared" ca="1" si="16"/>
        <v xml:space="preserve"> </v>
      </c>
      <c r="BF45" s="346"/>
      <c r="BG45" s="346"/>
      <c r="BH45" s="49" t="str">
        <f t="shared" si="17"/>
        <v xml:space="preserve"> </v>
      </c>
      <c r="BI45" s="368"/>
      <c r="BJ45" s="369"/>
      <c r="BK45" s="366"/>
      <c r="BL45" s="366"/>
      <c r="BM45" s="370"/>
      <c r="BN45" s="370" t="str">
        <f t="shared" si="125"/>
        <v xml:space="preserve"> </v>
      </c>
      <c r="BO45" s="54" t="str">
        <f t="shared" ca="1" si="19"/>
        <v xml:space="preserve"> </v>
      </c>
      <c r="BP45" s="366"/>
      <c r="BQ45" s="366"/>
      <c r="BR45" s="54" t="str">
        <f t="shared" si="20"/>
        <v xml:space="preserve"> </v>
      </c>
      <c r="BS45" s="367"/>
      <c r="BT45" s="371"/>
      <c r="BU45" s="346"/>
      <c r="BV45" s="346"/>
      <c r="BW45" s="372"/>
      <c r="BX45" s="372" t="str">
        <f t="shared" si="126"/>
        <v xml:space="preserve"> </v>
      </c>
      <c r="BY45" s="54" t="str">
        <f t="shared" ca="1" si="22"/>
        <v xml:space="preserve"> </v>
      </c>
      <c r="BZ45" s="346"/>
      <c r="CA45" s="346"/>
      <c r="CB45" s="49" t="str">
        <f t="shared" si="23"/>
        <v xml:space="preserve"> </v>
      </c>
      <c r="CC45" s="368"/>
      <c r="CD45" s="369"/>
      <c r="CE45" s="54"/>
      <c r="CF45" s="366"/>
      <c r="CG45" s="370"/>
      <c r="CH45" s="370" t="str">
        <f t="shared" si="127"/>
        <v xml:space="preserve"> </v>
      </c>
      <c r="CI45" s="54" t="str">
        <f t="shared" ca="1" si="25"/>
        <v xml:space="preserve"> </v>
      </c>
      <c r="CJ45" s="366"/>
      <c r="CK45" s="366"/>
      <c r="CL45" s="54" t="str">
        <f t="shared" si="26"/>
        <v xml:space="preserve"> </v>
      </c>
      <c r="CM45" s="367"/>
      <c r="CN45" s="371"/>
      <c r="CO45" s="49"/>
      <c r="CP45" s="346"/>
      <c r="CQ45" s="372"/>
      <c r="CR45" s="372" t="str">
        <f t="shared" si="128"/>
        <v xml:space="preserve"> </v>
      </c>
      <c r="CS45" s="54" t="str">
        <f t="shared" ca="1" si="28"/>
        <v xml:space="preserve"> </v>
      </c>
      <c r="CT45" s="346"/>
      <c r="CU45" s="346"/>
      <c r="CV45" s="49" t="str">
        <f t="shared" si="29"/>
        <v xml:space="preserve"> </v>
      </c>
      <c r="CW45" s="368"/>
      <c r="CX45" s="369"/>
      <c r="CY45" s="54"/>
      <c r="CZ45" s="366"/>
      <c r="DA45" s="370"/>
      <c r="DB45" s="370" t="str">
        <f t="shared" si="129"/>
        <v xml:space="preserve"> </v>
      </c>
      <c r="DC45" s="54" t="str">
        <f t="shared" ca="1" si="31"/>
        <v xml:space="preserve"> </v>
      </c>
      <c r="DD45" s="366"/>
      <c r="DE45" s="366"/>
      <c r="DF45" s="54" t="str">
        <f t="shared" si="32"/>
        <v xml:space="preserve"> </v>
      </c>
      <c r="DG45" s="367"/>
      <c r="DH45" s="371"/>
      <c r="DI45" s="49"/>
      <c r="DJ45" s="346"/>
      <c r="DK45" s="346"/>
      <c r="DL45" s="346" t="str">
        <f t="shared" si="130"/>
        <v xml:space="preserve"> </v>
      </c>
      <c r="DM45" s="54" t="str">
        <f t="shared" ca="1" si="34"/>
        <v xml:space="preserve"> </v>
      </c>
      <c r="DN45" s="346"/>
      <c r="DO45" s="346"/>
      <c r="DP45" s="49" t="str">
        <f t="shared" si="35"/>
        <v xml:space="preserve"> </v>
      </c>
      <c r="DQ45" s="368"/>
      <c r="DR45" s="369"/>
      <c r="DS45" s="54"/>
      <c r="DT45" s="366"/>
      <c r="DU45" s="366"/>
      <c r="DV45" s="177" t="str">
        <f t="shared" si="131"/>
        <v xml:space="preserve"> </v>
      </c>
      <c r="DW45" s="54" t="str">
        <f t="shared" ca="1" si="37"/>
        <v xml:space="preserve"> </v>
      </c>
      <c r="DX45" s="366"/>
      <c r="DY45" s="366"/>
      <c r="DZ45" s="54" t="str">
        <f t="shared" si="38"/>
        <v xml:space="preserve"> </v>
      </c>
      <c r="EA45" s="367"/>
      <c r="EB45" s="371"/>
      <c r="EC45" s="49"/>
      <c r="ED45" s="346"/>
      <c r="EE45" s="346"/>
      <c r="EF45" s="177" t="str">
        <f t="shared" si="132"/>
        <v xml:space="preserve"> </v>
      </c>
      <c r="EG45" s="54" t="str">
        <f t="shared" ca="1" si="40"/>
        <v xml:space="preserve"> </v>
      </c>
      <c r="EH45" s="346"/>
      <c r="EI45" s="346"/>
      <c r="EJ45" s="49" t="str">
        <f t="shared" si="41"/>
        <v xml:space="preserve"> </v>
      </c>
      <c r="EK45" s="368"/>
      <c r="EL45" s="369"/>
      <c r="EM45" s="54"/>
      <c r="EN45" s="366"/>
      <c r="EO45" s="366"/>
      <c r="EP45" s="177" t="str">
        <f t="shared" si="133"/>
        <v xml:space="preserve"> </v>
      </c>
      <c r="EQ45" s="54" t="str">
        <f t="shared" ca="1" si="43"/>
        <v xml:space="preserve"> </v>
      </c>
      <c r="ER45" s="366"/>
      <c r="ES45" s="366"/>
      <c r="ET45" s="54" t="str">
        <f t="shared" si="44"/>
        <v xml:space="preserve"> </v>
      </c>
      <c r="EU45" s="367"/>
      <c r="EV45" s="371"/>
      <c r="EW45" s="49"/>
      <c r="EX45" s="346"/>
      <c r="EY45" s="346"/>
      <c r="EZ45" s="177" t="str">
        <f t="shared" si="134"/>
        <v xml:space="preserve"> </v>
      </c>
      <c r="FA45" s="54" t="str">
        <f t="shared" ca="1" si="46"/>
        <v xml:space="preserve"> </v>
      </c>
      <c r="FB45" s="346"/>
      <c r="FC45" s="346"/>
      <c r="FD45" s="49" t="str">
        <f t="shared" si="47"/>
        <v xml:space="preserve"> </v>
      </c>
      <c r="FE45" s="368"/>
      <c r="FF45" s="369"/>
      <c r="FG45" s="54"/>
      <c r="FH45" s="366"/>
      <c r="FI45" s="366"/>
      <c r="FJ45" s="177" t="str">
        <f t="shared" si="135"/>
        <v xml:space="preserve"> </v>
      </c>
      <c r="FK45" s="54" t="str">
        <f t="shared" ca="1" si="49"/>
        <v xml:space="preserve"> </v>
      </c>
      <c r="FL45" s="366"/>
      <c r="FM45" s="366"/>
      <c r="FN45" s="54" t="str">
        <f t="shared" si="50"/>
        <v xml:space="preserve"> </v>
      </c>
      <c r="FO45" s="367"/>
      <c r="FP45" s="371"/>
      <c r="FQ45" s="49"/>
      <c r="FR45" s="346"/>
      <c r="FS45" s="346"/>
      <c r="FT45" s="177" t="str">
        <f t="shared" si="136"/>
        <v xml:space="preserve"> </v>
      </c>
      <c r="FU45" s="54" t="str">
        <f t="shared" ca="1" si="52"/>
        <v xml:space="preserve"> </v>
      </c>
      <c r="FV45" s="346"/>
      <c r="FW45" s="346"/>
      <c r="FX45" s="49" t="str">
        <f t="shared" si="53"/>
        <v xml:space="preserve"> </v>
      </c>
      <c r="FY45" s="368"/>
      <c r="FZ45" s="369"/>
      <c r="GA45" s="54"/>
      <c r="GB45" s="366"/>
      <c r="GC45" s="366"/>
      <c r="GD45" s="177" t="str">
        <f t="shared" si="137"/>
        <v xml:space="preserve"> </v>
      </c>
      <c r="GE45" s="54" t="str">
        <f t="shared" ca="1" si="55"/>
        <v xml:space="preserve"> </v>
      </c>
      <c r="GF45" s="366"/>
      <c r="GG45" s="366"/>
      <c r="GH45" s="54" t="str">
        <f t="shared" si="56"/>
        <v xml:space="preserve"> </v>
      </c>
      <c r="GI45" s="367"/>
      <c r="GJ45" s="373"/>
      <c r="GK45" s="49"/>
      <c r="GL45" s="346"/>
      <c r="GM45" s="346"/>
      <c r="GN45" s="177" t="str">
        <f t="shared" si="138"/>
        <v xml:space="preserve"> </v>
      </c>
      <c r="GO45" s="54" t="str">
        <f t="shared" ca="1" si="58"/>
        <v xml:space="preserve"> </v>
      </c>
      <c r="GP45" s="346"/>
      <c r="GQ45" s="346"/>
      <c r="GR45" s="49" t="str">
        <f t="shared" si="59"/>
        <v xml:space="preserve"> </v>
      </c>
      <c r="GS45" s="374"/>
      <c r="GT45" s="369"/>
      <c r="GU45" s="54"/>
      <c r="GV45" s="366"/>
      <c r="GW45" s="366"/>
      <c r="GX45" s="177" t="str">
        <f t="shared" si="139"/>
        <v xml:space="preserve"> </v>
      </c>
      <c r="GY45" s="54" t="str">
        <f t="shared" ca="1" si="61"/>
        <v xml:space="preserve"> </v>
      </c>
      <c r="GZ45" s="366"/>
      <c r="HA45" s="366"/>
      <c r="HB45" s="54" t="str">
        <f t="shared" si="62"/>
        <v xml:space="preserve"> </v>
      </c>
      <c r="HC45" s="367"/>
      <c r="HD45" s="373"/>
      <c r="HE45" s="49"/>
      <c r="HF45" s="346"/>
      <c r="HG45" s="346"/>
      <c r="HH45" s="177" t="str">
        <f t="shared" si="140"/>
        <v xml:space="preserve"> </v>
      </c>
      <c r="HI45" s="54" t="str">
        <f t="shared" ca="1" si="64"/>
        <v xml:space="preserve"> </v>
      </c>
      <c r="HJ45" s="346"/>
      <c r="HK45" s="346"/>
      <c r="HL45" s="49" t="str">
        <f t="shared" si="65"/>
        <v xml:space="preserve"> </v>
      </c>
      <c r="HM45" s="374"/>
      <c r="HN45" s="369"/>
      <c r="HO45" s="54"/>
      <c r="HP45" s="366"/>
      <c r="HQ45" s="366"/>
      <c r="HR45" s="177" t="str">
        <f t="shared" si="141"/>
        <v xml:space="preserve"> </v>
      </c>
      <c r="HS45" s="54" t="str">
        <f t="shared" ca="1" si="67"/>
        <v xml:space="preserve"> </v>
      </c>
      <c r="HT45" s="366"/>
      <c r="HU45" s="366"/>
      <c r="HV45" s="54" t="str">
        <f t="shared" si="68"/>
        <v xml:space="preserve"> </v>
      </c>
      <c r="HW45" s="367"/>
      <c r="HX45" s="373"/>
      <c r="HY45" s="49"/>
      <c r="HZ45" s="346"/>
      <c r="IA45" s="346"/>
      <c r="IB45" s="177" t="str">
        <f t="shared" si="142"/>
        <v xml:space="preserve"> </v>
      </c>
      <c r="IC45" s="54" t="str">
        <f t="shared" ca="1" si="70"/>
        <v xml:space="preserve"> </v>
      </c>
      <c r="ID45" s="346"/>
      <c r="IE45" s="346"/>
      <c r="IF45" s="49" t="str">
        <f t="shared" si="71"/>
        <v xml:space="preserve"> </v>
      </c>
      <c r="IG45" s="374"/>
      <c r="IH45" s="369"/>
      <c r="II45" s="366"/>
      <c r="IJ45" s="366"/>
      <c r="IK45" s="366"/>
      <c r="IL45" s="177" t="str">
        <f t="shared" si="143"/>
        <v xml:space="preserve"> </v>
      </c>
      <c r="IM45" s="54" t="str">
        <f t="shared" ca="1" si="73"/>
        <v xml:space="preserve"> </v>
      </c>
      <c r="IN45" s="366"/>
      <c r="IO45" s="366"/>
      <c r="IP45" s="54" t="str">
        <f t="shared" si="74"/>
        <v xml:space="preserve"> </v>
      </c>
      <c r="IQ45" s="367"/>
      <c r="IR45" s="373"/>
      <c r="IS45" s="346"/>
      <c r="IT45" s="346"/>
      <c r="IU45" s="346"/>
      <c r="IV45" s="177" t="str">
        <f t="shared" si="144"/>
        <v xml:space="preserve"> </v>
      </c>
      <c r="IW45" s="54" t="str">
        <f t="shared" ca="1" si="76"/>
        <v xml:space="preserve"> </v>
      </c>
      <c r="IX45" s="346"/>
      <c r="IY45" s="346"/>
      <c r="IZ45" s="54" t="str">
        <f t="shared" si="77"/>
        <v xml:space="preserve"> </v>
      </c>
      <c r="JA45" s="374"/>
      <c r="JB45" s="369"/>
      <c r="JC45" s="366"/>
      <c r="JD45" s="366"/>
      <c r="JE45" s="366"/>
      <c r="JF45" s="177" t="str">
        <f t="shared" si="145"/>
        <v xml:space="preserve"> </v>
      </c>
      <c r="JG45" s="54" t="str">
        <f t="shared" ca="1" si="79"/>
        <v xml:space="preserve"> </v>
      </c>
      <c r="JH45" s="366"/>
      <c r="JI45" s="366"/>
      <c r="JJ45" s="54" t="str">
        <f t="shared" si="80"/>
        <v xml:space="preserve"> </v>
      </c>
      <c r="JK45" s="367"/>
      <c r="JL45" s="373"/>
      <c r="JM45" s="346"/>
      <c r="JN45" s="346"/>
      <c r="JO45" s="346"/>
      <c r="JP45" s="346" t="str">
        <f t="shared" si="148"/>
        <v xml:space="preserve"> </v>
      </c>
      <c r="JQ45" s="54" t="str">
        <f t="shared" ca="1" si="82"/>
        <v xml:space="preserve"> </v>
      </c>
      <c r="JR45" s="346"/>
      <c r="JS45" s="346"/>
      <c r="JT45" s="54" t="str">
        <f t="shared" si="83"/>
        <v xml:space="preserve"> </v>
      </c>
      <c r="JU45" s="374"/>
      <c r="JV45" s="369"/>
      <c r="JW45" s="366"/>
      <c r="JX45" s="366"/>
      <c r="JY45" s="366"/>
      <c r="JZ45" s="366" t="str">
        <f t="shared" si="149"/>
        <v xml:space="preserve"> </v>
      </c>
      <c r="KA45" s="54" t="str">
        <f t="shared" ca="1" si="85"/>
        <v xml:space="preserve"> </v>
      </c>
      <c r="KB45" s="366"/>
      <c r="KC45" s="366"/>
      <c r="KD45" s="54" t="str">
        <f t="shared" si="86"/>
        <v xml:space="preserve"> </v>
      </c>
      <c r="KE45" s="367"/>
      <c r="KF45" s="373"/>
      <c r="KG45" s="346"/>
      <c r="KH45" s="346"/>
      <c r="KI45" s="346"/>
      <c r="KJ45" s="346" t="str">
        <f t="shared" si="150"/>
        <v xml:space="preserve"> </v>
      </c>
      <c r="KK45" s="54" t="str">
        <f t="shared" ca="1" si="88"/>
        <v xml:space="preserve"> </v>
      </c>
      <c r="KL45" s="346"/>
      <c r="KM45" s="346"/>
      <c r="KN45" s="54" t="str">
        <f t="shared" si="89"/>
        <v xml:space="preserve"> </v>
      </c>
      <c r="KO45" s="374"/>
      <c r="KP45" s="369"/>
      <c r="KQ45" s="366"/>
      <c r="KR45" s="366"/>
      <c r="KS45" s="366"/>
      <c r="KT45" s="366" t="str">
        <f t="shared" si="151"/>
        <v xml:space="preserve"> </v>
      </c>
      <c r="KU45" s="54" t="str">
        <f t="shared" ca="1" si="91"/>
        <v xml:space="preserve"> </v>
      </c>
      <c r="KV45" s="366"/>
      <c r="KW45" s="366"/>
      <c r="KX45" s="54" t="str">
        <f t="shared" si="92"/>
        <v xml:space="preserve"> </v>
      </c>
      <c r="KY45" s="367"/>
      <c r="KZ45" s="373"/>
      <c r="LA45" s="346"/>
      <c r="LB45" s="346"/>
      <c r="LC45" s="346"/>
      <c r="LD45" s="346" t="str">
        <f t="shared" si="152"/>
        <v xml:space="preserve"> </v>
      </c>
      <c r="LE45" s="54" t="str">
        <f t="shared" ca="1" si="94"/>
        <v xml:space="preserve"> </v>
      </c>
      <c r="LF45" s="346"/>
      <c r="LG45" s="346"/>
      <c r="LH45" s="54" t="str">
        <f t="shared" si="95"/>
        <v xml:space="preserve"> </v>
      </c>
      <c r="LI45" s="374"/>
      <c r="LJ45" s="369"/>
      <c r="LK45" s="366"/>
      <c r="LL45" s="366"/>
      <c r="LM45" s="366"/>
      <c r="LN45" s="366" t="str">
        <f t="shared" si="153"/>
        <v xml:space="preserve"> </v>
      </c>
      <c r="LO45" s="54" t="str">
        <f t="shared" ca="1" si="97"/>
        <v xml:space="preserve"> </v>
      </c>
      <c r="LP45" s="366"/>
      <c r="LQ45" s="366"/>
      <c r="LR45" s="54" t="str">
        <f t="shared" si="98"/>
        <v xml:space="preserve"> </v>
      </c>
      <c r="LS45" s="367"/>
      <c r="LT45" s="373"/>
      <c r="LU45" s="346"/>
      <c r="LV45" s="346"/>
      <c r="LW45" s="346"/>
      <c r="LX45" s="346" t="str">
        <f t="shared" si="114"/>
        <v xml:space="preserve"> </v>
      </c>
      <c r="LY45" s="54" t="str">
        <f t="shared" ca="1" si="99"/>
        <v xml:space="preserve"> </v>
      </c>
      <c r="LZ45" s="346"/>
      <c r="MA45" s="346"/>
      <c r="MB45" s="54" t="str">
        <f t="shared" si="100"/>
        <v xml:space="preserve"> </v>
      </c>
      <c r="MC45" s="374"/>
      <c r="MD45" s="369"/>
      <c r="ME45" s="366"/>
      <c r="MF45" s="366"/>
      <c r="MG45" s="366"/>
      <c r="MH45" s="366"/>
      <c r="MI45" s="54" t="str">
        <f t="shared" ca="1" si="101"/>
        <v xml:space="preserve"> </v>
      </c>
      <c r="MJ45" s="366"/>
      <c r="MK45" s="366"/>
      <c r="ML45" s="54" t="str">
        <f t="shared" si="102"/>
        <v xml:space="preserve"> </v>
      </c>
      <c r="MM45" s="367"/>
      <c r="MN45" s="373"/>
      <c r="MO45" s="346"/>
      <c r="MP45" s="346"/>
      <c r="MQ45" s="346"/>
      <c r="MR45" s="346"/>
      <c r="MS45" s="54" t="str">
        <f t="shared" ca="1" si="103"/>
        <v xml:space="preserve"> </v>
      </c>
      <c r="MT45" s="346"/>
      <c r="MU45" s="346"/>
      <c r="MV45" s="54" t="str">
        <f t="shared" si="104"/>
        <v xml:space="preserve"> </v>
      </c>
      <c r="MW45" s="374"/>
      <c r="MX45" s="369"/>
      <c r="MY45" s="366"/>
      <c r="MZ45" s="366"/>
      <c r="NA45" s="366"/>
      <c r="NB45" s="366"/>
      <c r="NC45" s="54" t="str">
        <f t="shared" ca="1" si="105"/>
        <v xml:space="preserve"> </v>
      </c>
      <c r="ND45" s="366"/>
      <c r="NE45" s="366"/>
      <c r="NF45" s="54" t="str">
        <f t="shared" si="115"/>
        <v xml:space="preserve"> </v>
      </c>
      <c r="NG45" s="367"/>
      <c r="NH45" s="373"/>
      <c r="NI45" s="346"/>
      <c r="NJ45" s="346"/>
      <c r="NK45" s="346"/>
      <c r="NL45" s="346"/>
      <c r="NM45" s="54" t="str">
        <f t="shared" ca="1" si="107"/>
        <v xml:space="preserve"> </v>
      </c>
      <c r="NN45" s="346"/>
      <c r="NO45" s="346"/>
      <c r="NP45" s="54" t="str">
        <f t="shared" si="116"/>
        <v xml:space="preserve"> </v>
      </c>
      <c r="NQ45" s="374"/>
      <c r="NR45" s="369"/>
      <c r="NS45" s="366"/>
      <c r="NT45" s="366"/>
      <c r="NU45" s="366"/>
      <c r="NV45" s="366"/>
      <c r="NW45" s="54" t="str">
        <f t="shared" ca="1" si="109"/>
        <v xml:space="preserve"> </v>
      </c>
      <c r="NX45" s="366"/>
      <c r="NY45" s="366"/>
      <c r="NZ45" s="54" t="str">
        <f t="shared" si="117"/>
        <v xml:space="preserve"> </v>
      </c>
      <c r="OA45" s="367"/>
      <c r="OB45" s="373"/>
      <c r="OC45" s="346"/>
      <c r="OD45" s="346"/>
      <c r="OE45" s="346"/>
      <c r="OF45" s="346"/>
      <c r="OG45" s="54" t="str">
        <f t="shared" ca="1" si="111"/>
        <v xml:space="preserve"> </v>
      </c>
      <c r="OH45" s="346"/>
      <c r="OI45" s="346"/>
      <c r="OJ45" s="54" t="str">
        <f t="shared" si="118"/>
        <v xml:space="preserve"> </v>
      </c>
      <c r="OK45" s="374"/>
    </row>
    <row r="46" spans="1:401" s="44" customFormat="1" ht="22.2" customHeight="1" x14ac:dyDescent="0.3">
      <c r="A46" s="355" t="s">
        <v>253</v>
      </c>
      <c r="B46" s="356" t="s">
        <v>838</v>
      </c>
      <c r="C46" s="37" t="s">
        <v>1311</v>
      </c>
      <c r="D46" s="205" t="s">
        <v>1312</v>
      </c>
      <c r="E46" s="91">
        <v>45540</v>
      </c>
      <c r="F46" s="91">
        <f t="shared" si="119"/>
        <v>45905</v>
      </c>
      <c r="G46" s="37" t="str">
        <f t="shared" ca="1" si="113"/>
        <v>VIGENTE</v>
      </c>
      <c r="H46" s="37"/>
      <c r="I46" s="37"/>
      <c r="J46" s="37" t="str">
        <f t="shared" si="2"/>
        <v>C.I.</v>
      </c>
      <c r="K46" s="170"/>
      <c r="L46" s="356"/>
      <c r="M46" s="37"/>
      <c r="N46" s="37"/>
      <c r="O46" s="91"/>
      <c r="P46" s="91" t="str">
        <f t="shared" si="3"/>
        <v xml:space="preserve"> </v>
      </c>
      <c r="Q46" s="37" t="str">
        <f t="shared" ca="1" si="4"/>
        <v xml:space="preserve"> </v>
      </c>
      <c r="R46" s="37"/>
      <c r="S46" s="37"/>
      <c r="T46" s="37" t="str">
        <f t="shared" si="5"/>
        <v xml:space="preserve"> </v>
      </c>
      <c r="U46" s="170"/>
      <c r="V46" s="356"/>
      <c r="W46" s="37"/>
      <c r="X46" s="37"/>
      <c r="Y46" s="358"/>
      <c r="Z46" s="358" t="str">
        <f t="shared" si="121"/>
        <v xml:space="preserve"> </v>
      </c>
      <c r="AA46" s="37" t="str">
        <f t="shared" ca="1" si="7"/>
        <v xml:space="preserve"> </v>
      </c>
      <c r="AB46" s="357"/>
      <c r="AC46" s="357"/>
      <c r="AD46" s="37" t="str">
        <f t="shared" si="8"/>
        <v xml:space="preserve"> </v>
      </c>
      <c r="AE46" s="359"/>
      <c r="AF46" s="356"/>
      <c r="AG46" s="37"/>
      <c r="AH46" s="37"/>
      <c r="AI46" s="14"/>
      <c r="AJ46" s="14" t="str">
        <f t="shared" si="122"/>
        <v xml:space="preserve"> </v>
      </c>
      <c r="AK46" s="37" t="str">
        <f t="shared" ca="1" si="10"/>
        <v xml:space="preserve"> </v>
      </c>
      <c r="AL46" s="348"/>
      <c r="AM46" s="348"/>
      <c r="AN46" s="12" t="str">
        <f t="shared" si="11"/>
        <v xml:space="preserve"> </v>
      </c>
      <c r="AO46" s="361"/>
      <c r="AP46" s="356"/>
      <c r="AQ46" s="37"/>
      <c r="AR46" s="37"/>
      <c r="AS46" s="358"/>
      <c r="AT46" s="358" t="str">
        <f t="shared" si="123"/>
        <v xml:space="preserve"> </v>
      </c>
      <c r="AU46" s="37" t="str">
        <f t="shared" ca="1" si="13"/>
        <v xml:space="preserve"> </v>
      </c>
      <c r="AV46" s="357"/>
      <c r="AW46" s="357"/>
      <c r="AX46" s="37" t="str">
        <f t="shared" si="14"/>
        <v xml:space="preserve"> </v>
      </c>
      <c r="AY46" s="359"/>
      <c r="AZ46" s="356"/>
      <c r="BA46" s="37"/>
      <c r="BB46" s="37"/>
      <c r="BC46" s="362"/>
      <c r="BD46" s="362" t="str">
        <f t="shared" si="124"/>
        <v xml:space="preserve"> </v>
      </c>
      <c r="BE46" s="37" t="str">
        <f t="shared" ca="1" si="16"/>
        <v xml:space="preserve"> </v>
      </c>
      <c r="BF46" s="348"/>
      <c r="BG46" s="348"/>
      <c r="BH46" s="12" t="str">
        <f t="shared" si="17"/>
        <v xml:space="preserve"> </v>
      </c>
      <c r="BI46" s="361"/>
      <c r="BJ46" s="356"/>
      <c r="BK46" s="37"/>
      <c r="BL46" s="37"/>
      <c r="BM46" s="358"/>
      <c r="BN46" s="358" t="str">
        <f t="shared" si="125"/>
        <v xml:space="preserve"> </v>
      </c>
      <c r="BO46" s="37" t="str">
        <f t="shared" ca="1" si="19"/>
        <v xml:space="preserve"> </v>
      </c>
      <c r="BP46" s="357"/>
      <c r="BQ46" s="357"/>
      <c r="BR46" s="37" t="str">
        <f t="shared" si="20"/>
        <v xml:space="preserve"> </v>
      </c>
      <c r="BS46" s="359"/>
      <c r="BT46" s="356"/>
      <c r="BU46" s="37"/>
      <c r="BV46" s="37"/>
      <c r="BW46" s="362"/>
      <c r="BX46" s="362" t="str">
        <f t="shared" si="126"/>
        <v xml:space="preserve"> </v>
      </c>
      <c r="BY46" s="37" t="str">
        <f t="shared" ca="1" si="22"/>
        <v xml:space="preserve"> </v>
      </c>
      <c r="BZ46" s="348"/>
      <c r="CA46" s="348"/>
      <c r="CB46" s="12" t="str">
        <f t="shared" si="23"/>
        <v xml:space="preserve"> </v>
      </c>
      <c r="CC46" s="361"/>
      <c r="CD46" s="356"/>
      <c r="CE46" s="37"/>
      <c r="CF46" s="357"/>
      <c r="CG46" s="358"/>
      <c r="CH46" s="358" t="str">
        <f t="shared" si="127"/>
        <v xml:space="preserve"> </v>
      </c>
      <c r="CI46" s="37" t="str">
        <f t="shared" ca="1" si="25"/>
        <v xml:space="preserve"> </v>
      </c>
      <c r="CJ46" s="357"/>
      <c r="CK46" s="357"/>
      <c r="CL46" s="37" t="str">
        <f t="shared" si="26"/>
        <v xml:space="preserve"> </v>
      </c>
      <c r="CM46" s="359"/>
      <c r="CN46" s="360"/>
      <c r="CO46" s="12"/>
      <c r="CP46" s="348"/>
      <c r="CQ46" s="362"/>
      <c r="CR46" s="362" t="str">
        <f t="shared" si="128"/>
        <v xml:space="preserve"> </v>
      </c>
      <c r="CS46" s="37" t="str">
        <f t="shared" ca="1" si="28"/>
        <v xml:space="preserve"> </v>
      </c>
      <c r="CT46" s="348"/>
      <c r="CU46" s="348"/>
      <c r="CV46" s="12" t="str">
        <f t="shared" si="29"/>
        <v xml:space="preserve"> </v>
      </c>
      <c r="CW46" s="361"/>
      <c r="CX46" s="356"/>
      <c r="CY46" s="37"/>
      <c r="CZ46" s="357"/>
      <c r="DA46" s="358"/>
      <c r="DB46" s="358" t="str">
        <f t="shared" si="129"/>
        <v xml:space="preserve"> </v>
      </c>
      <c r="DC46" s="37" t="str">
        <f t="shared" ca="1" si="31"/>
        <v xml:space="preserve"> </v>
      </c>
      <c r="DD46" s="357"/>
      <c r="DE46" s="357"/>
      <c r="DF46" s="37" t="str">
        <f t="shared" si="32"/>
        <v xml:space="preserve"> </v>
      </c>
      <c r="DG46" s="359"/>
      <c r="DH46" s="360"/>
      <c r="DI46" s="12"/>
      <c r="DJ46" s="348"/>
      <c r="DK46" s="348"/>
      <c r="DL46" s="348" t="str">
        <f t="shared" si="130"/>
        <v xml:space="preserve"> </v>
      </c>
      <c r="DM46" s="37" t="str">
        <f t="shared" ca="1" si="34"/>
        <v xml:space="preserve"> </v>
      </c>
      <c r="DN46" s="348"/>
      <c r="DO46" s="348"/>
      <c r="DP46" s="12" t="str">
        <f t="shared" si="35"/>
        <v xml:space="preserve"> </v>
      </c>
      <c r="DQ46" s="361"/>
      <c r="DR46" s="356"/>
      <c r="DS46" s="37"/>
      <c r="DT46" s="357"/>
      <c r="DU46" s="357"/>
      <c r="DV46" s="14" t="str">
        <f t="shared" si="131"/>
        <v xml:space="preserve"> </v>
      </c>
      <c r="DW46" s="37" t="str">
        <f t="shared" ca="1" si="37"/>
        <v xml:space="preserve"> </v>
      </c>
      <c r="DX46" s="357"/>
      <c r="DY46" s="357"/>
      <c r="DZ46" s="37" t="str">
        <f t="shared" si="38"/>
        <v xml:space="preserve"> </v>
      </c>
      <c r="EA46" s="359"/>
      <c r="EB46" s="360"/>
      <c r="EC46" s="12"/>
      <c r="ED46" s="348"/>
      <c r="EE46" s="348"/>
      <c r="EF46" s="91" t="str">
        <f t="shared" si="132"/>
        <v xml:space="preserve"> </v>
      </c>
      <c r="EG46" s="37" t="str">
        <f t="shared" ca="1" si="40"/>
        <v xml:space="preserve"> </v>
      </c>
      <c r="EH46" s="348"/>
      <c r="EI46" s="348"/>
      <c r="EJ46" s="12" t="str">
        <f t="shared" si="41"/>
        <v xml:space="preserve"> </v>
      </c>
      <c r="EK46" s="361"/>
      <c r="EL46" s="356"/>
      <c r="EM46" s="37"/>
      <c r="EN46" s="357"/>
      <c r="EO46" s="357"/>
      <c r="EP46" s="91" t="str">
        <f t="shared" si="133"/>
        <v xml:space="preserve"> </v>
      </c>
      <c r="EQ46" s="37" t="str">
        <f t="shared" ca="1" si="43"/>
        <v xml:space="preserve"> </v>
      </c>
      <c r="ER46" s="357"/>
      <c r="ES46" s="357"/>
      <c r="ET46" s="37" t="str">
        <f t="shared" si="44"/>
        <v xml:space="preserve"> </v>
      </c>
      <c r="EU46" s="359"/>
      <c r="EV46" s="360"/>
      <c r="EW46" s="12"/>
      <c r="EX46" s="348"/>
      <c r="EY46" s="348"/>
      <c r="EZ46" s="91" t="str">
        <f t="shared" si="134"/>
        <v xml:space="preserve"> </v>
      </c>
      <c r="FA46" s="37" t="str">
        <f t="shared" ca="1" si="46"/>
        <v xml:space="preserve"> </v>
      </c>
      <c r="FB46" s="348"/>
      <c r="FC46" s="348"/>
      <c r="FD46" s="12" t="str">
        <f t="shared" si="47"/>
        <v xml:space="preserve"> </v>
      </c>
      <c r="FE46" s="361"/>
      <c r="FF46" s="356"/>
      <c r="FG46" s="37"/>
      <c r="FH46" s="357"/>
      <c r="FI46" s="357"/>
      <c r="FJ46" s="91" t="str">
        <f t="shared" si="135"/>
        <v xml:space="preserve"> </v>
      </c>
      <c r="FK46" s="37" t="str">
        <f t="shared" ca="1" si="49"/>
        <v xml:space="preserve"> </v>
      </c>
      <c r="FL46" s="357"/>
      <c r="FM46" s="357"/>
      <c r="FN46" s="37" t="str">
        <f t="shared" si="50"/>
        <v xml:space="preserve"> </v>
      </c>
      <c r="FO46" s="359"/>
      <c r="FP46" s="360"/>
      <c r="FQ46" s="12"/>
      <c r="FR46" s="348"/>
      <c r="FS46" s="348"/>
      <c r="FT46" s="91" t="str">
        <f t="shared" si="136"/>
        <v xml:space="preserve"> </v>
      </c>
      <c r="FU46" s="37" t="str">
        <f t="shared" ca="1" si="52"/>
        <v xml:space="preserve"> </v>
      </c>
      <c r="FV46" s="348"/>
      <c r="FW46" s="348"/>
      <c r="FX46" s="12" t="str">
        <f t="shared" si="53"/>
        <v xml:space="preserve"> </v>
      </c>
      <c r="FY46" s="361"/>
      <c r="FZ46" s="356"/>
      <c r="GA46" s="37"/>
      <c r="GB46" s="357"/>
      <c r="GC46" s="357"/>
      <c r="GD46" s="91" t="str">
        <f t="shared" si="137"/>
        <v xml:space="preserve"> </v>
      </c>
      <c r="GE46" s="37" t="str">
        <f t="shared" ca="1" si="55"/>
        <v xml:space="preserve"> </v>
      </c>
      <c r="GF46" s="357"/>
      <c r="GG46" s="357"/>
      <c r="GH46" s="37" t="str">
        <f t="shared" si="56"/>
        <v xml:space="preserve"> </v>
      </c>
      <c r="GI46" s="359"/>
      <c r="GJ46" s="363"/>
      <c r="GK46" s="12"/>
      <c r="GL46" s="348"/>
      <c r="GM46" s="348"/>
      <c r="GN46" s="91" t="str">
        <f t="shared" si="138"/>
        <v xml:space="preserve"> </v>
      </c>
      <c r="GO46" s="37" t="str">
        <f t="shared" ca="1" si="58"/>
        <v xml:space="preserve"> </v>
      </c>
      <c r="GP46" s="348"/>
      <c r="GQ46" s="348"/>
      <c r="GR46" s="12" t="str">
        <f t="shared" si="59"/>
        <v xml:space="preserve"> </v>
      </c>
      <c r="GS46" s="364"/>
      <c r="GT46" s="356"/>
      <c r="GU46" s="37"/>
      <c r="GV46" s="357"/>
      <c r="GW46" s="357"/>
      <c r="GX46" s="91" t="str">
        <f t="shared" si="139"/>
        <v xml:space="preserve"> </v>
      </c>
      <c r="GY46" s="37" t="str">
        <f t="shared" ca="1" si="61"/>
        <v xml:space="preserve"> </v>
      </c>
      <c r="GZ46" s="357"/>
      <c r="HA46" s="357"/>
      <c r="HB46" s="37" t="str">
        <f t="shared" si="62"/>
        <v xml:space="preserve"> </v>
      </c>
      <c r="HC46" s="359"/>
      <c r="HD46" s="363"/>
      <c r="HE46" s="12"/>
      <c r="HF46" s="348"/>
      <c r="HG46" s="348"/>
      <c r="HH46" s="91" t="str">
        <f t="shared" si="140"/>
        <v xml:space="preserve"> </v>
      </c>
      <c r="HI46" s="37" t="str">
        <f t="shared" ca="1" si="64"/>
        <v xml:space="preserve"> </v>
      </c>
      <c r="HJ46" s="348"/>
      <c r="HK46" s="348"/>
      <c r="HL46" s="12" t="str">
        <f t="shared" si="65"/>
        <v xml:space="preserve"> </v>
      </c>
      <c r="HM46" s="364"/>
      <c r="HN46" s="356"/>
      <c r="HO46" s="37"/>
      <c r="HP46" s="357"/>
      <c r="HQ46" s="357"/>
      <c r="HR46" s="91" t="str">
        <f t="shared" si="141"/>
        <v xml:space="preserve"> </v>
      </c>
      <c r="HS46" s="37" t="str">
        <f t="shared" ca="1" si="67"/>
        <v xml:space="preserve"> </v>
      </c>
      <c r="HT46" s="357"/>
      <c r="HU46" s="357"/>
      <c r="HV46" s="37" t="str">
        <f t="shared" si="68"/>
        <v xml:space="preserve"> </v>
      </c>
      <c r="HW46" s="359"/>
      <c r="HX46" s="363"/>
      <c r="HY46" s="12"/>
      <c r="HZ46" s="348"/>
      <c r="IA46" s="348"/>
      <c r="IB46" s="91" t="str">
        <f t="shared" si="142"/>
        <v xml:space="preserve"> </v>
      </c>
      <c r="IC46" s="37" t="str">
        <f t="shared" ca="1" si="70"/>
        <v xml:space="preserve"> </v>
      </c>
      <c r="ID46" s="348"/>
      <c r="IE46" s="348"/>
      <c r="IF46" s="12" t="str">
        <f t="shared" si="71"/>
        <v xml:space="preserve"> </v>
      </c>
      <c r="IG46" s="364"/>
      <c r="IH46" s="356"/>
      <c r="II46" s="357"/>
      <c r="IJ46" s="357"/>
      <c r="IK46" s="357"/>
      <c r="IL46" s="91" t="str">
        <f t="shared" si="143"/>
        <v xml:space="preserve"> </v>
      </c>
      <c r="IM46" s="37" t="str">
        <f t="shared" ca="1" si="73"/>
        <v xml:space="preserve"> </v>
      </c>
      <c r="IN46" s="357"/>
      <c r="IO46" s="357"/>
      <c r="IP46" s="37" t="str">
        <f t="shared" si="74"/>
        <v xml:space="preserve"> </v>
      </c>
      <c r="IQ46" s="359"/>
      <c r="IR46" s="363"/>
      <c r="IS46" s="348"/>
      <c r="IT46" s="348"/>
      <c r="IU46" s="348"/>
      <c r="IV46" s="91" t="str">
        <f t="shared" si="144"/>
        <v xml:space="preserve"> </v>
      </c>
      <c r="IW46" s="37" t="str">
        <f t="shared" ca="1" si="76"/>
        <v xml:space="preserve"> </v>
      </c>
      <c r="IX46" s="348"/>
      <c r="IY46" s="348"/>
      <c r="IZ46" s="37" t="str">
        <f t="shared" si="77"/>
        <v xml:space="preserve"> </v>
      </c>
      <c r="JA46" s="364"/>
      <c r="JB46" s="356"/>
      <c r="JC46" s="357"/>
      <c r="JD46" s="357"/>
      <c r="JE46" s="357"/>
      <c r="JF46" s="91" t="str">
        <f t="shared" si="145"/>
        <v xml:space="preserve"> </v>
      </c>
      <c r="JG46" s="37" t="str">
        <f t="shared" ca="1" si="79"/>
        <v xml:space="preserve"> </v>
      </c>
      <c r="JH46" s="357"/>
      <c r="JI46" s="357"/>
      <c r="JJ46" s="37" t="str">
        <f t="shared" si="80"/>
        <v xml:space="preserve"> </v>
      </c>
      <c r="JK46" s="359"/>
      <c r="JL46" s="363"/>
      <c r="JM46" s="348"/>
      <c r="JN46" s="348"/>
      <c r="JO46" s="348"/>
      <c r="JP46" s="348" t="str">
        <f t="shared" si="148"/>
        <v xml:space="preserve"> </v>
      </c>
      <c r="JQ46" s="37" t="str">
        <f t="shared" ca="1" si="82"/>
        <v xml:space="preserve"> </v>
      </c>
      <c r="JR46" s="348"/>
      <c r="JS46" s="348"/>
      <c r="JT46" s="37" t="str">
        <f t="shared" si="83"/>
        <v xml:space="preserve"> </v>
      </c>
      <c r="JU46" s="364"/>
      <c r="JV46" s="356"/>
      <c r="JW46" s="357"/>
      <c r="JX46" s="357"/>
      <c r="JY46" s="357"/>
      <c r="JZ46" s="357" t="str">
        <f t="shared" si="149"/>
        <v xml:space="preserve"> </v>
      </c>
      <c r="KA46" s="37" t="str">
        <f t="shared" ca="1" si="85"/>
        <v xml:space="preserve"> </v>
      </c>
      <c r="KB46" s="357"/>
      <c r="KC46" s="357"/>
      <c r="KD46" s="37" t="str">
        <f t="shared" si="86"/>
        <v xml:space="preserve"> </v>
      </c>
      <c r="KE46" s="359"/>
      <c r="KF46" s="363"/>
      <c r="KG46" s="348"/>
      <c r="KH46" s="348"/>
      <c r="KI46" s="348"/>
      <c r="KJ46" s="348" t="str">
        <f t="shared" si="150"/>
        <v xml:space="preserve"> </v>
      </c>
      <c r="KK46" s="37" t="str">
        <f t="shared" ca="1" si="88"/>
        <v xml:space="preserve"> </v>
      </c>
      <c r="KL46" s="348"/>
      <c r="KM46" s="348"/>
      <c r="KN46" s="37" t="str">
        <f t="shared" si="89"/>
        <v xml:space="preserve"> </v>
      </c>
      <c r="KO46" s="364"/>
      <c r="KP46" s="356"/>
      <c r="KQ46" s="357"/>
      <c r="KR46" s="357"/>
      <c r="KS46" s="357"/>
      <c r="KT46" s="357" t="str">
        <f t="shared" si="151"/>
        <v xml:space="preserve"> </v>
      </c>
      <c r="KU46" s="37" t="str">
        <f t="shared" ca="1" si="91"/>
        <v xml:space="preserve"> </v>
      </c>
      <c r="KV46" s="357"/>
      <c r="KW46" s="357"/>
      <c r="KX46" s="37" t="str">
        <f t="shared" si="92"/>
        <v xml:space="preserve"> </v>
      </c>
      <c r="KY46" s="359"/>
      <c r="KZ46" s="363"/>
      <c r="LA46" s="348"/>
      <c r="LB46" s="348"/>
      <c r="LC46" s="348"/>
      <c r="LD46" s="348" t="str">
        <f t="shared" si="152"/>
        <v xml:space="preserve"> </v>
      </c>
      <c r="LE46" s="37" t="str">
        <f t="shared" ca="1" si="94"/>
        <v xml:space="preserve"> </v>
      </c>
      <c r="LF46" s="348"/>
      <c r="LG46" s="348"/>
      <c r="LH46" s="37" t="str">
        <f t="shared" si="95"/>
        <v xml:space="preserve"> </v>
      </c>
      <c r="LI46" s="364"/>
      <c r="LJ46" s="356"/>
      <c r="LK46" s="357"/>
      <c r="LL46" s="357"/>
      <c r="LM46" s="357"/>
      <c r="LN46" s="357" t="str">
        <f t="shared" si="153"/>
        <v xml:space="preserve"> </v>
      </c>
      <c r="LO46" s="37" t="str">
        <f t="shared" ca="1" si="97"/>
        <v xml:space="preserve"> </v>
      </c>
      <c r="LP46" s="357"/>
      <c r="LQ46" s="357"/>
      <c r="LR46" s="37" t="str">
        <f t="shared" si="98"/>
        <v xml:space="preserve"> </v>
      </c>
      <c r="LS46" s="359"/>
      <c r="LT46" s="363"/>
      <c r="LU46" s="348"/>
      <c r="LV46" s="348"/>
      <c r="LW46" s="348"/>
      <c r="LX46" s="348" t="str">
        <f t="shared" si="114"/>
        <v xml:space="preserve"> </v>
      </c>
      <c r="LY46" s="37" t="str">
        <f t="shared" ca="1" si="99"/>
        <v xml:space="preserve"> </v>
      </c>
      <c r="LZ46" s="348"/>
      <c r="MA46" s="348"/>
      <c r="MB46" s="37" t="str">
        <f t="shared" si="100"/>
        <v xml:space="preserve"> </v>
      </c>
      <c r="MC46" s="364"/>
      <c r="MD46" s="356"/>
      <c r="ME46" s="357"/>
      <c r="MF46" s="357"/>
      <c r="MG46" s="357"/>
      <c r="MH46" s="357"/>
      <c r="MI46" s="37" t="str">
        <f t="shared" ca="1" si="101"/>
        <v xml:space="preserve"> </v>
      </c>
      <c r="MJ46" s="357"/>
      <c r="MK46" s="357"/>
      <c r="ML46" s="37" t="str">
        <f t="shared" si="102"/>
        <v xml:space="preserve"> </v>
      </c>
      <c r="MM46" s="359"/>
      <c r="MN46" s="363"/>
      <c r="MO46" s="348"/>
      <c r="MP46" s="348"/>
      <c r="MQ46" s="348"/>
      <c r="MR46" s="348"/>
      <c r="MS46" s="37" t="str">
        <f t="shared" ca="1" si="103"/>
        <v xml:space="preserve"> </v>
      </c>
      <c r="MT46" s="348"/>
      <c r="MU46" s="348"/>
      <c r="MV46" s="37" t="str">
        <f t="shared" si="104"/>
        <v xml:space="preserve"> </v>
      </c>
      <c r="MW46" s="364"/>
      <c r="MX46" s="356"/>
      <c r="MY46" s="357"/>
      <c r="MZ46" s="357"/>
      <c r="NA46" s="357"/>
      <c r="NB46" s="357"/>
      <c r="NC46" s="37" t="str">
        <f t="shared" ca="1" si="105"/>
        <v xml:space="preserve"> </v>
      </c>
      <c r="ND46" s="357"/>
      <c r="NE46" s="357"/>
      <c r="NF46" s="37" t="str">
        <f t="shared" si="115"/>
        <v xml:space="preserve"> </v>
      </c>
      <c r="NG46" s="359"/>
      <c r="NH46" s="363"/>
      <c r="NI46" s="348"/>
      <c r="NJ46" s="348"/>
      <c r="NK46" s="348"/>
      <c r="NL46" s="348"/>
      <c r="NM46" s="37" t="str">
        <f t="shared" ca="1" si="107"/>
        <v xml:space="preserve"> </v>
      </c>
      <c r="NN46" s="348"/>
      <c r="NO46" s="348"/>
      <c r="NP46" s="37" t="str">
        <f t="shared" si="116"/>
        <v xml:space="preserve"> </v>
      </c>
      <c r="NQ46" s="364"/>
      <c r="NR46" s="356"/>
      <c r="NS46" s="357"/>
      <c r="NT46" s="357"/>
      <c r="NU46" s="357"/>
      <c r="NV46" s="357"/>
      <c r="NW46" s="37" t="str">
        <f t="shared" ca="1" si="109"/>
        <v xml:space="preserve"> </v>
      </c>
      <c r="NX46" s="357"/>
      <c r="NY46" s="357"/>
      <c r="NZ46" s="37" t="str">
        <f t="shared" si="117"/>
        <v xml:space="preserve"> </v>
      </c>
      <c r="OA46" s="359"/>
      <c r="OB46" s="363"/>
      <c r="OC46" s="348"/>
      <c r="OD46" s="348"/>
      <c r="OE46" s="348"/>
      <c r="OF46" s="348"/>
      <c r="OG46" s="37" t="str">
        <f t="shared" ca="1" si="111"/>
        <v xml:space="preserve"> </v>
      </c>
      <c r="OH46" s="348"/>
      <c r="OI46" s="348"/>
      <c r="OJ46" s="37" t="str">
        <f t="shared" si="118"/>
        <v xml:space="preserve"> </v>
      </c>
      <c r="OK46" s="364"/>
    </row>
    <row r="47" spans="1:401" s="44" customFormat="1" ht="22.2" customHeight="1" x14ac:dyDescent="0.3">
      <c r="A47" s="365" t="s">
        <v>254</v>
      </c>
      <c r="B47" s="369" t="s">
        <v>841</v>
      </c>
      <c r="C47" s="54">
        <v>53900</v>
      </c>
      <c r="D47" s="366" t="s">
        <v>1313</v>
      </c>
      <c r="E47" s="177">
        <v>45554</v>
      </c>
      <c r="F47" s="177">
        <f t="shared" si="119"/>
        <v>45919</v>
      </c>
      <c r="G47" s="54" t="str">
        <f t="shared" ca="1" si="113"/>
        <v>VIGENTE</v>
      </c>
      <c r="H47" s="54"/>
      <c r="I47" s="54"/>
      <c r="J47" s="54" t="str">
        <f t="shared" si="2"/>
        <v>C.C.</v>
      </c>
      <c r="K47" s="171"/>
      <c r="L47" s="369" t="s">
        <v>838</v>
      </c>
      <c r="M47" s="54" t="s">
        <v>5758</v>
      </c>
      <c r="N47" s="366" t="s">
        <v>5759</v>
      </c>
      <c r="O47" s="177">
        <v>45751</v>
      </c>
      <c r="P47" s="177">
        <f t="shared" si="3"/>
        <v>46116</v>
      </c>
      <c r="Q47" s="54" t="str">
        <f t="shared" ca="1" si="4"/>
        <v>VIGENTE</v>
      </c>
      <c r="R47" s="54"/>
      <c r="S47" s="54"/>
      <c r="T47" s="54" t="str">
        <f t="shared" si="5"/>
        <v>C.I.</v>
      </c>
      <c r="U47" s="171"/>
      <c r="V47" s="369" t="s">
        <v>838</v>
      </c>
      <c r="W47" s="54" t="s">
        <v>5760</v>
      </c>
      <c r="X47" s="366" t="s">
        <v>5761</v>
      </c>
      <c r="Y47" s="177">
        <v>45751</v>
      </c>
      <c r="Z47" s="177">
        <f t="shared" si="121"/>
        <v>46116</v>
      </c>
      <c r="AA47" s="54" t="str">
        <f t="shared" ca="1" si="7"/>
        <v>VIGENTE</v>
      </c>
      <c r="AB47" s="366"/>
      <c r="AC47" s="366"/>
      <c r="AD47" s="54" t="str">
        <f t="shared" si="8"/>
        <v>C.I.</v>
      </c>
      <c r="AE47" s="367"/>
      <c r="AF47" s="369" t="s">
        <v>841</v>
      </c>
      <c r="AG47" s="54">
        <v>53987</v>
      </c>
      <c r="AH47" s="366" t="s">
        <v>5762</v>
      </c>
      <c r="AI47" s="177">
        <v>45770</v>
      </c>
      <c r="AJ47" s="177">
        <f t="shared" si="122"/>
        <v>46135</v>
      </c>
      <c r="AK47" s="54" t="str">
        <f t="shared" ca="1" si="10"/>
        <v>VIGENTE</v>
      </c>
      <c r="AL47" s="346"/>
      <c r="AM47" s="346"/>
      <c r="AN47" s="49" t="str">
        <f t="shared" si="11"/>
        <v>C.C.</v>
      </c>
      <c r="AO47" s="368"/>
      <c r="AP47" s="369" t="s">
        <v>873</v>
      </c>
      <c r="AQ47" s="54">
        <v>30383</v>
      </c>
      <c r="AR47" s="366" t="s">
        <v>5763</v>
      </c>
      <c r="AS47" s="177">
        <v>45771</v>
      </c>
      <c r="AT47" s="177">
        <f t="shared" si="123"/>
        <v>46136</v>
      </c>
      <c r="AU47" s="54" t="str">
        <f t="shared" ca="1" si="13"/>
        <v>VIGENTE</v>
      </c>
      <c r="AV47" s="366"/>
      <c r="AW47" s="366"/>
      <c r="AX47" s="54" t="str">
        <f t="shared" si="14"/>
        <v>G.M.</v>
      </c>
      <c r="AY47" s="367"/>
      <c r="AZ47" s="369" t="s">
        <v>873</v>
      </c>
      <c r="BA47" s="54">
        <v>30038</v>
      </c>
      <c r="BB47" s="366" t="s">
        <v>5764</v>
      </c>
      <c r="BC47" s="177">
        <v>45771</v>
      </c>
      <c r="BD47" s="177">
        <f t="shared" si="124"/>
        <v>46137</v>
      </c>
      <c r="BE47" s="54" t="str">
        <f t="shared" ca="1" si="16"/>
        <v>VIGENTE</v>
      </c>
      <c r="BF47" s="346"/>
      <c r="BG47" s="346"/>
      <c r="BH47" s="49" t="str">
        <f t="shared" si="17"/>
        <v>G.M.</v>
      </c>
      <c r="BI47" s="368"/>
      <c r="BJ47" s="369"/>
      <c r="BK47" s="366"/>
      <c r="BL47" s="366"/>
      <c r="BM47" s="370"/>
      <c r="BN47" s="370" t="str">
        <f t="shared" si="125"/>
        <v xml:space="preserve"> </v>
      </c>
      <c r="BO47" s="54" t="str">
        <f t="shared" ca="1" si="19"/>
        <v xml:space="preserve"> </v>
      </c>
      <c r="BP47" s="366"/>
      <c r="BQ47" s="366"/>
      <c r="BR47" s="54" t="str">
        <f t="shared" si="20"/>
        <v xml:space="preserve"> </v>
      </c>
      <c r="BS47" s="367"/>
      <c r="BT47" s="371"/>
      <c r="BU47" s="346"/>
      <c r="BV47" s="346"/>
      <c r="BW47" s="372"/>
      <c r="BX47" s="372" t="str">
        <f t="shared" si="126"/>
        <v xml:space="preserve"> </v>
      </c>
      <c r="BY47" s="54" t="str">
        <f t="shared" ca="1" si="22"/>
        <v xml:space="preserve"> </v>
      </c>
      <c r="BZ47" s="346"/>
      <c r="CA47" s="346"/>
      <c r="CB47" s="49" t="str">
        <f t="shared" si="23"/>
        <v xml:space="preserve"> </v>
      </c>
      <c r="CC47" s="368"/>
      <c r="CD47" s="369"/>
      <c r="CE47" s="54"/>
      <c r="CF47" s="366"/>
      <c r="CG47" s="370"/>
      <c r="CH47" s="370" t="str">
        <f t="shared" si="127"/>
        <v xml:space="preserve"> </v>
      </c>
      <c r="CI47" s="54" t="str">
        <f t="shared" ca="1" si="25"/>
        <v xml:space="preserve"> </v>
      </c>
      <c r="CJ47" s="366"/>
      <c r="CK47" s="366"/>
      <c r="CL47" s="54" t="str">
        <f t="shared" si="26"/>
        <v xml:space="preserve"> </v>
      </c>
      <c r="CM47" s="367"/>
      <c r="CN47" s="371"/>
      <c r="CO47" s="49"/>
      <c r="CP47" s="346"/>
      <c r="CQ47" s="372"/>
      <c r="CR47" s="372" t="str">
        <f t="shared" si="128"/>
        <v xml:space="preserve"> </v>
      </c>
      <c r="CS47" s="54" t="str">
        <f t="shared" ca="1" si="28"/>
        <v xml:space="preserve"> </v>
      </c>
      <c r="CT47" s="346"/>
      <c r="CU47" s="346"/>
      <c r="CV47" s="49" t="str">
        <f t="shared" si="29"/>
        <v xml:space="preserve"> </v>
      </c>
      <c r="CW47" s="368"/>
      <c r="CX47" s="369"/>
      <c r="CY47" s="54"/>
      <c r="CZ47" s="366"/>
      <c r="DA47" s="370"/>
      <c r="DB47" s="370" t="str">
        <f t="shared" si="129"/>
        <v xml:space="preserve"> </v>
      </c>
      <c r="DC47" s="54" t="str">
        <f t="shared" ca="1" si="31"/>
        <v xml:space="preserve"> </v>
      </c>
      <c r="DD47" s="366"/>
      <c r="DE47" s="366"/>
      <c r="DF47" s="54" t="str">
        <f t="shared" si="32"/>
        <v xml:space="preserve"> </v>
      </c>
      <c r="DG47" s="367"/>
      <c r="DH47" s="371"/>
      <c r="DI47" s="49"/>
      <c r="DJ47" s="346"/>
      <c r="DK47" s="346"/>
      <c r="DL47" s="346" t="str">
        <f t="shared" si="130"/>
        <v xml:space="preserve"> </v>
      </c>
      <c r="DM47" s="54" t="str">
        <f t="shared" ca="1" si="34"/>
        <v xml:space="preserve"> </v>
      </c>
      <c r="DN47" s="346"/>
      <c r="DO47" s="346"/>
      <c r="DP47" s="49" t="str">
        <f t="shared" si="35"/>
        <v xml:space="preserve"> </v>
      </c>
      <c r="DQ47" s="368"/>
      <c r="DR47" s="369"/>
      <c r="DS47" s="54"/>
      <c r="DT47" s="366"/>
      <c r="DU47" s="366"/>
      <c r="DV47" s="177" t="str">
        <f t="shared" si="131"/>
        <v xml:space="preserve"> </v>
      </c>
      <c r="DW47" s="54" t="str">
        <f t="shared" ca="1" si="37"/>
        <v xml:space="preserve"> </v>
      </c>
      <c r="DX47" s="366"/>
      <c r="DY47" s="366"/>
      <c r="DZ47" s="54" t="str">
        <f t="shared" si="38"/>
        <v xml:space="preserve"> </v>
      </c>
      <c r="EA47" s="367"/>
      <c r="EB47" s="371"/>
      <c r="EC47" s="49"/>
      <c r="ED47" s="346"/>
      <c r="EE47" s="346"/>
      <c r="EF47" s="177" t="str">
        <f t="shared" si="132"/>
        <v xml:space="preserve"> </v>
      </c>
      <c r="EG47" s="54" t="str">
        <f t="shared" ca="1" si="40"/>
        <v xml:space="preserve"> </v>
      </c>
      <c r="EH47" s="346"/>
      <c r="EI47" s="346"/>
      <c r="EJ47" s="49" t="str">
        <f t="shared" si="41"/>
        <v xml:space="preserve"> </v>
      </c>
      <c r="EK47" s="368"/>
      <c r="EL47" s="369"/>
      <c r="EM47" s="54"/>
      <c r="EN47" s="366"/>
      <c r="EO47" s="366"/>
      <c r="EP47" s="177" t="str">
        <f t="shared" si="133"/>
        <v xml:space="preserve"> </v>
      </c>
      <c r="EQ47" s="54" t="str">
        <f t="shared" ca="1" si="43"/>
        <v xml:space="preserve"> </v>
      </c>
      <c r="ER47" s="366"/>
      <c r="ES47" s="366"/>
      <c r="ET47" s="54" t="str">
        <f t="shared" si="44"/>
        <v xml:space="preserve"> </v>
      </c>
      <c r="EU47" s="367"/>
      <c r="EV47" s="371"/>
      <c r="EW47" s="49"/>
      <c r="EX47" s="346"/>
      <c r="EY47" s="346"/>
      <c r="EZ47" s="177" t="str">
        <f t="shared" si="134"/>
        <v xml:space="preserve"> </v>
      </c>
      <c r="FA47" s="54" t="str">
        <f t="shared" ca="1" si="46"/>
        <v xml:space="preserve"> </v>
      </c>
      <c r="FB47" s="346"/>
      <c r="FC47" s="346"/>
      <c r="FD47" s="49" t="str">
        <f t="shared" si="47"/>
        <v xml:space="preserve"> </v>
      </c>
      <c r="FE47" s="368"/>
      <c r="FF47" s="369"/>
      <c r="FG47" s="54"/>
      <c r="FH47" s="366"/>
      <c r="FI47" s="366"/>
      <c r="FJ47" s="177" t="str">
        <f t="shared" si="135"/>
        <v xml:space="preserve"> </v>
      </c>
      <c r="FK47" s="54" t="str">
        <f t="shared" ca="1" si="49"/>
        <v xml:space="preserve"> </v>
      </c>
      <c r="FL47" s="366"/>
      <c r="FM47" s="366"/>
      <c r="FN47" s="54" t="str">
        <f t="shared" si="50"/>
        <v xml:space="preserve"> </v>
      </c>
      <c r="FO47" s="367"/>
      <c r="FP47" s="371"/>
      <c r="FQ47" s="49"/>
      <c r="FR47" s="346"/>
      <c r="FS47" s="346"/>
      <c r="FT47" s="177" t="str">
        <f t="shared" si="136"/>
        <v xml:space="preserve"> </v>
      </c>
      <c r="FU47" s="54" t="str">
        <f t="shared" ca="1" si="52"/>
        <v xml:space="preserve"> </v>
      </c>
      <c r="FV47" s="346"/>
      <c r="FW47" s="346"/>
      <c r="FX47" s="49" t="str">
        <f t="shared" si="53"/>
        <v xml:space="preserve"> </v>
      </c>
      <c r="FY47" s="368"/>
      <c r="FZ47" s="369"/>
      <c r="GA47" s="54"/>
      <c r="GB47" s="366"/>
      <c r="GC47" s="366"/>
      <c r="GD47" s="177" t="str">
        <f t="shared" si="137"/>
        <v xml:space="preserve"> </v>
      </c>
      <c r="GE47" s="54" t="str">
        <f t="shared" ca="1" si="55"/>
        <v xml:space="preserve"> </v>
      </c>
      <c r="GF47" s="366"/>
      <c r="GG47" s="366"/>
      <c r="GH47" s="54" t="str">
        <f t="shared" si="56"/>
        <v xml:space="preserve"> </v>
      </c>
      <c r="GI47" s="367"/>
      <c r="GJ47" s="373"/>
      <c r="GK47" s="49"/>
      <c r="GL47" s="346"/>
      <c r="GM47" s="346"/>
      <c r="GN47" s="177" t="str">
        <f t="shared" si="138"/>
        <v xml:space="preserve"> </v>
      </c>
      <c r="GO47" s="54" t="str">
        <f t="shared" ca="1" si="58"/>
        <v xml:space="preserve"> </v>
      </c>
      <c r="GP47" s="346"/>
      <c r="GQ47" s="346"/>
      <c r="GR47" s="49" t="str">
        <f t="shared" si="59"/>
        <v xml:space="preserve"> </v>
      </c>
      <c r="GS47" s="374"/>
      <c r="GT47" s="369"/>
      <c r="GU47" s="54"/>
      <c r="GV47" s="366"/>
      <c r="GW47" s="366"/>
      <c r="GX47" s="177" t="str">
        <f t="shared" si="139"/>
        <v xml:space="preserve"> </v>
      </c>
      <c r="GY47" s="54" t="str">
        <f t="shared" ca="1" si="61"/>
        <v xml:space="preserve"> </v>
      </c>
      <c r="GZ47" s="366"/>
      <c r="HA47" s="366"/>
      <c r="HB47" s="54" t="str">
        <f t="shared" si="62"/>
        <v xml:space="preserve"> </v>
      </c>
      <c r="HC47" s="367"/>
      <c r="HD47" s="373"/>
      <c r="HE47" s="49"/>
      <c r="HF47" s="346"/>
      <c r="HG47" s="346"/>
      <c r="HH47" s="177" t="str">
        <f t="shared" si="140"/>
        <v xml:space="preserve"> </v>
      </c>
      <c r="HI47" s="54" t="str">
        <f t="shared" ca="1" si="64"/>
        <v xml:space="preserve"> </v>
      </c>
      <c r="HJ47" s="346"/>
      <c r="HK47" s="346"/>
      <c r="HL47" s="49" t="str">
        <f t="shared" si="65"/>
        <v xml:space="preserve"> </v>
      </c>
      <c r="HM47" s="374"/>
      <c r="HN47" s="369"/>
      <c r="HO47" s="54"/>
      <c r="HP47" s="366"/>
      <c r="HQ47" s="366"/>
      <c r="HR47" s="177" t="str">
        <f t="shared" si="141"/>
        <v xml:space="preserve"> </v>
      </c>
      <c r="HS47" s="54" t="str">
        <f t="shared" ca="1" si="67"/>
        <v xml:space="preserve"> </v>
      </c>
      <c r="HT47" s="366"/>
      <c r="HU47" s="366"/>
      <c r="HV47" s="54" t="str">
        <f t="shared" si="68"/>
        <v xml:space="preserve"> </v>
      </c>
      <c r="HW47" s="367"/>
      <c r="HX47" s="373"/>
      <c r="HY47" s="49"/>
      <c r="HZ47" s="346"/>
      <c r="IA47" s="346"/>
      <c r="IB47" s="177" t="str">
        <f t="shared" si="142"/>
        <v xml:space="preserve"> </v>
      </c>
      <c r="IC47" s="54" t="str">
        <f t="shared" ca="1" si="70"/>
        <v xml:space="preserve"> </v>
      </c>
      <c r="ID47" s="346"/>
      <c r="IE47" s="346"/>
      <c r="IF47" s="49" t="str">
        <f t="shared" si="71"/>
        <v xml:space="preserve"> </v>
      </c>
      <c r="IG47" s="374"/>
      <c r="IH47" s="369"/>
      <c r="II47" s="366"/>
      <c r="IJ47" s="366"/>
      <c r="IK47" s="366"/>
      <c r="IL47" s="177" t="str">
        <f t="shared" si="143"/>
        <v xml:space="preserve"> </v>
      </c>
      <c r="IM47" s="54" t="str">
        <f t="shared" ca="1" si="73"/>
        <v xml:space="preserve"> </v>
      </c>
      <c r="IN47" s="366"/>
      <c r="IO47" s="366"/>
      <c r="IP47" s="54" t="str">
        <f t="shared" si="74"/>
        <v xml:space="preserve"> </v>
      </c>
      <c r="IQ47" s="367"/>
      <c r="IR47" s="373"/>
      <c r="IS47" s="346"/>
      <c r="IT47" s="346"/>
      <c r="IU47" s="346"/>
      <c r="IV47" s="177" t="str">
        <f t="shared" si="144"/>
        <v xml:space="preserve"> </v>
      </c>
      <c r="IW47" s="54" t="str">
        <f t="shared" ca="1" si="76"/>
        <v xml:space="preserve"> </v>
      </c>
      <c r="IX47" s="346"/>
      <c r="IY47" s="346"/>
      <c r="IZ47" s="54" t="str">
        <f t="shared" si="77"/>
        <v xml:space="preserve"> </v>
      </c>
      <c r="JA47" s="374"/>
      <c r="JB47" s="369"/>
      <c r="JC47" s="366"/>
      <c r="JD47" s="366"/>
      <c r="JE47" s="366"/>
      <c r="JF47" s="177" t="str">
        <f t="shared" si="145"/>
        <v xml:space="preserve"> </v>
      </c>
      <c r="JG47" s="54" t="str">
        <f t="shared" ca="1" si="79"/>
        <v xml:space="preserve"> </v>
      </c>
      <c r="JH47" s="366"/>
      <c r="JI47" s="366"/>
      <c r="JJ47" s="54" t="str">
        <f t="shared" si="80"/>
        <v xml:space="preserve"> </v>
      </c>
      <c r="JK47" s="367"/>
      <c r="JL47" s="373"/>
      <c r="JM47" s="346"/>
      <c r="JN47" s="346"/>
      <c r="JO47" s="346"/>
      <c r="JP47" s="346" t="str">
        <f t="shared" si="148"/>
        <v xml:space="preserve"> </v>
      </c>
      <c r="JQ47" s="54" t="str">
        <f t="shared" ca="1" si="82"/>
        <v xml:space="preserve"> </v>
      </c>
      <c r="JR47" s="346"/>
      <c r="JS47" s="346"/>
      <c r="JT47" s="54" t="str">
        <f t="shared" si="83"/>
        <v xml:space="preserve"> </v>
      </c>
      <c r="JU47" s="374"/>
      <c r="JV47" s="369"/>
      <c r="JW47" s="366"/>
      <c r="JX47" s="366"/>
      <c r="JY47" s="366"/>
      <c r="JZ47" s="366" t="str">
        <f t="shared" si="149"/>
        <v xml:space="preserve"> </v>
      </c>
      <c r="KA47" s="54" t="str">
        <f t="shared" ca="1" si="85"/>
        <v xml:space="preserve"> </v>
      </c>
      <c r="KB47" s="366"/>
      <c r="KC47" s="366"/>
      <c r="KD47" s="54" t="str">
        <f t="shared" si="86"/>
        <v xml:space="preserve"> </v>
      </c>
      <c r="KE47" s="367"/>
      <c r="KF47" s="373"/>
      <c r="KG47" s="346"/>
      <c r="KH47" s="346"/>
      <c r="KI47" s="346"/>
      <c r="KJ47" s="346" t="str">
        <f t="shared" si="150"/>
        <v xml:space="preserve"> </v>
      </c>
      <c r="KK47" s="54" t="str">
        <f t="shared" ca="1" si="88"/>
        <v xml:space="preserve"> </v>
      </c>
      <c r="KL47" s="346"/>
      <c r="KM47" s="346"/>
      <c r="KN47" s="54" t="str">
        <f t="shared" si="89"/>
        <v xml:space="preserve"> </v>
      </c>
      <c r="KO47" s="374"/>
      <c r="KP47" s="369"/>
      <c r="KQ47" s="366"/>
      <c r="KR47" s="366"/>
      <c r="KS47" s="366"/>
      <c r="KT47" s="366" t="str">
        <f t="shared" si="151"/>
        <v xml:space="preserve"> </v>
      </c>
      <c r="KU47" s="54" t="str">
        <f t="shared" ca="1" si="91"/>
        <v xml:space="preserve"> </v>
      </c>
      <c r="KV47" s="366"/>
      <c r="KW47" s="366"/>
      <c r="KX47" s="54" t="str">
        <f t="shared" si="92"/>
        <v xml:space="preserve"> </v>
      </c>
      <c r="KY47" s="367"/>
      <c r="KZ47" s="373"/>
      <c r="LA47" s="346"/>
      <c r="LB47" s="346"/>
      <c r="LC47" s="346"/>
      <c r="LD47" s="346" t="str">
        <f t="shared" si="152"/>
        <v xml:space="preserve"> </v>
      </c>
      <c r="LE47" s="54" t="str">
        <f t="shared" ca="1" si="94"/>
        <v xml:space="preserve"> </v>
      </c>
      <c r="LF47" s="346"/>
      <c r="LG47" s="346"/>
      <c r="LH47" s="54" t="str">
        <f t="shared" si="95"/>
        <v xml:space="preserve"> </v>
      </c>
      <c r="LI47" s="374"/>
      <c r="LJ47" s="369"/>
      <c r="LK47" s="366"/>
      <c r="LL47" s="366"/>
      <c r="LM47" s="366"/>
      <c r="LN47" s="366" t="str">
        <f t="shared" si="153"/>
        <v xml:space="preserve"> </v>
      </c>
      <c r="LO47" s="54" t="str">
        <f t="shared" ca="1" si="97"/>
        <v xml:space="preserve"> </v>
      </c>
      <c r="LP47" s="366"/>
      <c r="LQ47" s="366"/>
      <c r="LR47" s="54" t="str">
        <f t="shared" si="98"/>
        <v xml:space="preserve"> </v>
      </c>
      <c r="LS47" s="367"/>
      <c r="LT47" s="373"/>
      <c r="LU47" s="346"/>
      <c r="LV47" s="346"/>
      <c r="LW47" s="346"/>
      <c r="LX47" s="346" t="str">
        <f t="shared" si="114"/>
        <v xml:space="preserve"> </v>
      </c>
      <c r="LY47" s="54" t="str">
        <f t="shared" ca="1" si="99"/>
        <v xml:space="preserve"> </v>
      </c>
      <c r="LZ47" s="346"/>
      <c r="MA47" s="346"/>
      <c r="MB47" s="54" t="str">
        <f t="shared" si="100"/>
        <v xml:space="preserve"> </v>
      </c>
      <c r="MC47" s="374"/>
      <c r="MD47" s="369"/>
      <c r="ME47" s="366"/>
      <c r="MF47" s="366"/>
      <c r="MG47" s="366"/>
      <c r="MH47" s="366"/>
      <c r="MI47" s="54" t="str">
        <f t="shared" ca="1" si="101"/>
        <v xml:space="preserve"> </v>
      </c>
      <c r="MJ47" s="366"/>
      <c r="MK47" s="366"/>
      <c r="ML47" s="54" t="str">
        <f t="shared" si="102"/>
        <v xml:space="preserve"> </v>
      </c>
      <c r="MM47" s="367"/>
      <c r="MN47" s="373"/>
      <c r="MO47" s="346"/>
      <c r="MP47" s="346"/>
      <c r="MQ47" s="346"/>
      <c r="MR47" s="346"/>
      <c r="MS47" s="54" t="str">
        <f t="shared" ca="1" si="103"/>
        <v xml:space="preserve"> </v>
      </c>
      <c r="MT47" s="346"/>
      <c r="MU47" s="346"/>
      <c r="MV47" s="54" t="str">
        <f t="shared" si="104"/>
        <v xml:space="preserve"> </v>
      </c>
      <c r="MW47" s="374"/>
      <c r="MX47" s="369"/>
      <c r="MY47" s="366"/>
      <c r="MZ47" s="366"/>
      <c r="NA47" s="366"/>
      <c r="NB47" s="366"/>
      <c r="NC47" s="54" t="str">
        <f t="shared" ca="1" si="105"/>
        <v xml:space="preserve"> </v>
      </c>
      <c r="ND47" s="366"/>
      <c r="NE47" s="366"/>
      <c r="NF47" s="54" t="str">
        <f t="shared" si="115"/>
        <v xml:space="preserve"> </v>
      </c>
      <c r="NG47" s="367"/>
      <c r="NH47" s="373"/>
      <c r="NI47" s="346"/>
      <c r="NJ47" s="346"/>
      <c r="NK47" s="346"/>
      <c r="NL47" s="346"/>
      <c r="NM47" s="54" t="str">
        <f t="shared" ca="1" si="107"/>
        <v xml:space="preserve"> </v>
      </c>
      <c r="NN47" s="346"/>
      <c r="NO47" s="346"/>
      <c r="NP47" s="54" t="str">
        <f t="shared" si="116"/>
        <v xml:space="preserve"> </v>
      </c>
      <c r="NQ47" s="374"/>
      <c r="NR47" s="369"/>
      <c r="NS47" s="366"/>
      <c r="NT47" s="366"/>
      <c r="NU47" s="366"/>
      <c r="NV47" s="366"/>
      <c r="NW47" s="54" t="str">
        <f t="shared" ca="1" si="109"/>
        <v xml:space="preserve"> </v>
      </c>
      <c r="NX47" s="366"/>
      <c r="NY47" s="366"/>
      <c r="NZ47" s="54" t="str">
        <f t="shared" si="117"/>
        <v xml:space="preserve"> </v>
      </c>
      <c r="OA47" s="367"/>
      <c r="OB47" s="373"/>
      <c r="OC47" s="346"/>
      <c r="OD47" s="346"/>
      <c r="OE47" s="346"/>
      <c r="OF47" s="346"/>
      <c r="OG47" s="54" t="str">
        <f t="shared" ca="1" si="111"/>
        <v xml:space="preserve"> </v>
      </c>
      <c r="OH47" s="346"/>
      <c r="OI47" s="346"/>
      <c r="OJ47" s="54" t="str">
        <f t="shared" si="118"/>
        <v xml:space="preserve"> </v>
      </c>
      <c r="OK47" s="374"/>
    </row>
    <row r="48" spans="1:401" s="44" customFormat="1" ht="22.2" customHeight="1" x14ac:dyDescent="0.3">
      <c r="A48" s="355" t="s">
        <v>3</v>
      </c>
      <c r="B48" s="356" t="s">
        <v>838</v>
      </c>
      <c r="C48" s="37" t="s">
        <v>1314</v>
      </c>
      <c r="D48" s="37" t="s">
        <v>1315</v>
      </c>
      <c r="E48" s="91">
        <v>45539</v>
      </c>
      <c r="F48" s="91">
        <f t="shared" si="119"/>
        <v>45904</v>
      </c>
      <c r="G48" s="37" t="str">
        <f ca="1">IF(E48=0," ",IF(F48-TODAY()&gt;60,"VIGENTE",IF(F48-TODAY()&lt;=0,"VENCIDO",IF(F48-TODAY()&lt;=60,"POR VENCER"))))</f>
        <v>VIGENTE</v>
      </c>
      <c r="H48" s="37"/>
      <c r="I48" s="37"/>
      <c r="J48" s="37" t="str">
        <f>IFERROR(VLOOKUP(B48,TIPODET1,2,FALSE)," ")</f>
        <v>C.I.</v>
      </c>
      <c r="K48" s="170"/>
      <c r="L48" s="356" t="s">
        <v>838</v>
      </c>
      <c r="M48" s="37" t="s">
        <v>1316</v>
      </c>
      <c r="N48" s="37" t="s">
        <v>1317</v>
      </c>
      <c r="O48" s="91">
        <v>45539</v>
      </c>
      <c r="P48" s="91">
        <f t="shared" si="3"/>
        <v>45904</v>
      </c>
      <c r="Q48" s="37" t="str">
        <f ca="1">IF(O48=0," ",IF(P48-TODAY()&gt;60,"VIGENTE",IF(P48-TODAY()&lt;=0,"VENCIDO",IF(P48-TODAY()&lt;=60,"POR VENCER"))))</f>
        <v>VIGENTE</v>
      </c>
      <c r="R48" s="37"/>
      <c r="S48" s="37"/>
      <c r="T48" s="37" t="str">
        <f>IFERROR(VLOOKUP(L48,TIPODET1,2,FALSE)," ")</f>
        <v>C.I.</v>
      </c>
      <c r="U48" s="170"/>
      <c r="V48" s="356" t="s">
        <v>838</v>
      </c>
      <c r="W48" s="37" t="s">
        <v>1318</v>
      </c>
      <c r="X48" s="37" t="s">
        <v>1319</v>
      </c>
      <c r="Y48" s="358">
        <v>45539</v>
      </c>
      <c r="Z48" s="358">
        <f t="shared" si="121"/>
        <v>45904</v>
      </c>
      <c r="AA48" s="37" t="str">
        <f ca="1">IF(Y48=0," ",IF(Z48-TODAY()&gt;60,"VIGENTE",IF(Z48-TODAY()&lt;=0,"VENCIDO",IF(Z48-TODAY()&lt;=60,"POR VENCER"))))</f>
        <v>VIGENTE</v>
      </c>
      <c r="AB48" s="357"/>
      <c r="AC48" s="357"/>
      <c r="AD48" s="37" t="str">
        <f>IFERROR(VLOOKUP(V48,TIPODET1,2,FALSE)," ")</f>
        <v>C.I.</v>
      </c>
      <c r="AE48" s="359"/>
      <c r="AF48" s="356" t="s">
        <v>838</v>
      </c>
      <c r="AG48" s="37" t="s">
        <v>1320</v>
      </c>
      <c r="AH48" s="37" t="s">
        <v>1321</v>
      </c>
      <c r="AI48" s="14">
        <v>45539</v>
      </c>
      <c r="AJ48" s="14">
        <f t="shared" si="122"/>
        <v>45904</v>
      </c>
      <c r="AK48" s="37" t="str">
        <f ca="1">IF(AI48=0," ",IF(AJ48-TODAY()&gt;60,"VIGENTE",IF(AJ48-TODAY()&lt;=0,"VENCIDO",IF(AJ48-TODAY()&lt;=60,"POR VENCER"))))</f>
        <v>VIGENTE</v>
      </c>
      <c r="AL48" s="348"/>
      <c r="AM48" s="348"/>
      <c r="AN48" s="37" t="str">
        <f>IFERROR(VLOOKUP(AF48,TIPODET1,2,FALSE)," ")</f>
        <v>C.I.</v>
      </c>
      <c r="AO48" s="361"/>
      <c r="AP48" s="356" t="s">
        <v>875</v>
      </c>
      <c r="AQ48" s="37">
        <v>17311</v>
      </c>
      <c r="AR48" s="37" t="s">
        <v>1322</v>
      </c>
      <c r="AS48" s="358">
        <v>45540</v>
      </c>
      <c r="AT48" s="358">
        <f t="shared" si="123"/>
        <v>45905</v>
      </c>
      <c r="AU48" s="37" t="str">
        <f ca="1">IF(AS48=0," ",IF(AT48-TODAY()&gt;60,"VIGENTE",IF(AT48-TODAY()&lt;=0,"VENCIDO",IF(AT48-TODAY()&lt;=60,"POR VENCER"))))</f>
        <v>VIGENTE</v>
      </c>
      <c r="AV48" s="357"/>
      <c r="AW48" s="357"/>
      <c r="AX48" s="37" t="str">
        <f>IFERROR(VLOOKUP(AP48,TIPODET1,2,FALSE)," ")</f>
        <v>G.M.</v>
      </c>
      <c r="AY48" s="359"/>
      <c r="AZ48" s="356" t="s">
        <v>873</v>
      </c>
      <c r="BA48" s="37">
        <v>30527</v>
      </c>
      <c r="BB48" s="37" t="s">
        <v>1323</v>
      </c>
      <c r="BC48" s="358">
        <v>45540</v>
      </c>
      <c r="BD48" s="358">
        <f t="shared" si="124"/>
        <v>45906</v>
      </c>
      <c r="BE48" s="37" t="str">
        <f ca="1">IF(BC48=0," ",IF(BD48-TODAY()&gt;60,"VIGENTE",IF(BD48-TODAY()&lt;=0,"VENCIDO",IF(BD48-TODAY()&lt;=60,"POR VENCER"))))</f>
        <v>VIGENTE</v>
      </c>
      <c r="BF48" s="357"/>
      <c r="BG48" s="357"/>
      <c r="BH48" s="37" t="str">
        <f>IFERROR(VLOOKUP(AZ48,TIPODET1,2,FALSE)," ")</f>
        <v>G.M.</v>
      </c>
      <c r="BI48" s="359"/>
      <c r="BJ48" s="356" t="s">
        <v>873</v>
      </c>
      <c r="BK48" s="37">
        <v>30398</v>
      </c>
      <c r="BL48" s="37" t="s">
        <v>1324</v>
      </c>
      <c r="BM48" s="362">
        <v>45540</v>
      </c>
      <c r="BN48" s="362">
        <f t="shared" si="125"/>
        <v>45905</v>
      </c>
      <c r="BO48" s="37" t="str">
        <f ca="1">IF(BM48=0," ",IF(BN48-TODAY()&gt;60,"VIGENTE",IF(BN48-TODAY()&lt;=0,"VENCIDO",IF(BN48-TODAY()&lt;=60,"POR VENCER"))))</f>
        <v>VIGENTE</v>
      </c>
      <c r="BP48" s="348"/>
      <c r="BQ48" s="348"/>
      <c r="BR48" s="37" t="str">
        <f>IFERROR(VLOOKUP(BJ48,TIPODET1,2,FALSE)," ")</f>
        <v>G.M.</v>
      </c>
      <c r="BS48" s="361"/>
      <c r="BT48" s="356" t="s">
        <v>905</v>
      </c>
      <c r="BU48" s="37">
        <v>506768</v>
      </c>
      <c r="BV48" s="357" t="s">
        <v>1325</v>
      </c>
      <c r="BW48" s="358">
        <v>45540</v>
      </c>
      <c r="BX48" s="358">
        <f t="shared" si="126"/>
        <v>45905</v>
      </c>
      <c r="BY48" s="37" t="str">
        <f ca="1">IF(BW48=0," ",IF(BX48-TODAY()&gt;60,"VIGENTE",IF(BX48-TODAY()&lt;=0,"VENCIDO",IF(BX48-TODAY()&lt;=60,"POR VENCER"))))</f>
        <v>VIGENTE</v>
      </c>
      <c r="BZ48" s="357"/>
      <c r="CA48" s="357"/>
      <c r="CB48" s="37" t="str">
        <f>IFERROR(VLOOKUP(BT48,TIPODET1,2,FALSE)," ")</f>
        <v>G.M.</v>
      </c>
      <c r="CC48" s="359"/>
      <c r="CD48" s="360" t="s">
        <v>841</v>
      </c>
      <c r="CE48" s="12">
        <v>51837</v>
      </c>
      <c r="CF48" s="348" t="s">
        <v>1326</v>
      </c>
      <c r="CG48" s="362">
        <v>45540</v>
      </c>
      <c r="CH48" s="362">
        <f t="shared" si="127"/>
        <v>45905</v>
      </c>
      <c r="CI48" s="37" t="str">
        <f ca="1">IF(CG48=0," ",IF(CH48-TODAY()&gt;60,"VIGENTE",IF(CH48-TODAY()&lt;=0,"VENCIDO",IF(CH48-TODAY()&lt;=60,"POR VENCER"))))</f>
        <v>VIGENTE</v>
      </c>
      <c r="CJ48" s="348"/>
      <c r="CK48" s="348"/>
      <c r="CL48" s="37" t="str">
        <f>IFERROR(VLOOKUP(CD48,TIPODET1,2,FALSE)," ")</f>
        <v>C.C.</v>
      </c>
      <c r="CM48" s="361"/>
      <c r="CN48" s="356" t="s">
        <v>838</v>
      </c>
      <c r="CO48" s="37" t="s">
        <v>1327</v>
      </c>
      <c r="CP48" s="357" t="s">
        <v>1328</v>
      </c>
      <c r="CQ48" s="358">
        <v>45540</v>
      </c>
      <c r="CR48" s="358">
        <f t="shared" si="128"/>
        <v>45905</v>
      </c>
      <c r="CS48" s="37" t="str">
        <f ca="1">IF(CQ48=0," ",IF(CR48-TODAY()&gt;60,"VIGENTE",IF(CR48-TODAY()&lt;=0,"VENCIDO",IF(CR48-TODAY()&lt;=60,"POR VENCER"))))</f>
        <v>VIGENTE</v>
      </c>
      <c r="CT48" s="357"/>
      <c r="CU48" s="357"/>
      <c r="CV48" s="37" t="str">
        <f>IFERROR(VLOOKUP(CN48,TIPODET1,2,FALSE)," ")</f>
        <v>C.I.</v>
      </c>
      <c r="CW48" s="359"/>
      <c r="CX48" s="356" t="s">
        <v>838</v>
      </c>
      <c r="CY48" s="12" t="s">
        <v>1329</v>
      </c>
      <c r="CZ48" s="348" t="s">
        <v>1330</v>
      </c>
      <c r="DA48" s="358">
        <v>45540</v>
      </c>
      <c r="DB48" s="358">
        <f t="shared" si="129"/>
        <v>45905</v>
      </c>
      <c r="DC48" s="37" t="str">
        <f ca="1">IF(DA48=0," ",IF(DB48-TODAY()&gt;60,"VIGENTE",IF(DB48-TODAY()&lt;=0,"VENCIDO",IF(DB48-TODAY()&lt;=60,"POR VENCER"))))</f>
        <v>VIGENTE</v>
      </c>
      <c r="DD48" s="348"/>
      <c r="DE48" s="348"/>
      <c r="DF48" s="37" t="str">
        <f>IFERROR(VLOOKUP(CX48,TIPODET1,2,FALSE)," ")</f>
        <v>C.I.</v>
      </c>
      <c r="DG48" s="361"/>
      <c r="DH48" s="356" t="s">
        <v>838</v>
      </c>
      <c r="DI48" s="37" t="s">
        <v>1331</v>
      </c>
      <c r="DJ48" s="357" t="s">
        <v>1332</v>
      </c>
      <c r="DK48" s="358">
        <v>45540</v>
      </c>
      <c r="DL48" s="358">
        <f t="shared" si="130"/>
        <v>45905</v>
      </c>
      <c r="DM48" s="37" t="str">
        <f ca="1">IF(DK48=0," ",IF(DL48-TODAY()&gt;60,"VIGENTE",IF(DL48-TODAY()&lt;=0,"VENCIDO",IF(DL48-TODAY()&lt;=60,"POR VENCER"))))</f>
        <v>VIGENTE</v>
      </c>
      <c r="DN48" s="357"/>
      <c r="DO48" s="357"/>
      <c r="DP48" s="37" t="str">
        <f>IFERROR(VLOOKUP(DH48,TIPODET1,2,FALSE)," ")</f>
        <v>C.I.</v>
      </c>
      <c r="DQ48" s="359"/>
      <c r="DR48" s="356" t="s">
        <v>838</v>
      </c>
      <c r="DS48" s="12" t="s">
        <v>1333</v>
      </c>
      <c r="DT48" s="348" t="s">
        <v>1334</v>
      </c>
      <c r="DU48" s="358">
        <v>45540</v>
      </c>
      <c r="DV48" s="14">
        <f t="shared" si="131"/>
        <v>45905</v>
      </c>
      <c r="DW48" s="37" t="str">
        <f ca="1">IF(DU48=0," ",IF(DV48-TODAY()&gt;60,"VIGENTE",IF(DV48-TODAY()&lt;=0,"VENCIDO",IF(DV48-TODAY()&lt;=60,"POR VENCER"))))</f>
        <v>VIGENTE</v>
      </c>
      <c r="DX48" s="348"/>
      <c r="DY48" s="348"/>
      <c r="DZ48" s="37" t="str">
        <f>IFERROR(VLOOKUP(DR48,TIPODET1,2,FALSE)," ")</f>
        <v>C.I.</v>
      </c>
      <c r="EA48" s="361"/>
      <c r="EB48" s="356" t="s">
        <v>838</v>
      </c>
      <c r="EC48" s="37" t="s">
        <v>1335</v>
      </c>
      <c r="ED48" s="357" t="s">
        <v>1336</v>
      </c>
      <c r="EE48" s="358">
        <v>45540</v>
      </c>
      <c r="EF48" s="91">
        <f t="shared" si="132"/>
        <v>45905</v>
      </c>
      <c r="EG48" s="37" t="str">
        <f ca="1">IF(EE48=0," ",IF(EF48-TODAY()&gt;60,"VIGENTE",IF(EF48-TODAY()&lt;=0,"VENCIDO",IF(EF48-TODAY()&lt;=60,"POR VENCER"))))</f>
        <v>VIGENTE</v>
      </c>
      <c r="EH48" s="357"/>
      <c r="EI48" s="357"/>
      <c r="EJ48" s="37" t="str">
        <f>IFERROR(VLOOKUP(EB48,TIPODET1,2,FALSE)," ")</f>
        <v>C.I.</v>
      </c>
      <c r="EK48" s="359"/>
      <c r="EL48" s="356" t="s">
        <v>838</v>
      </c>
      <c r="EM48" s="12">
        <v>3340</v>
      </c>
      <c r="EN48" s="348" t="s">
        <v>1337</v>
      </c>
      <c r="EO48" s="358">
        <v>45540</v>
      </c>
      <c r="EP48" s="91">
        <f t="shared" si="133"/>
        <v>45905</v>
      </c>
      <c r="EQ48" s="37" t="str">
        <f ca="1">IF(EO48=0," ",IF(EP48-TODAY()&gt;60,"VIGENTE",IF(EP48-TODAY()&lt;=0,"VENCIDO",IF(EP48-TODAY()&lt;=60,"POR VENCER"))))</f>
        <v>VIGENTE</v>
      </c>
      <c r="ER48" s="348"/>
      <c r="ES48" s="348"/>
      <c r="ET48" s="37" t="str">
        <f>IFERROR(VLOOKUP(EL48,TIPODET1,2,FALSE)," ")</f>
        <v>C.I.</v>
      </c>
      <c r="EU48" s="361"/>
      <c r="EV48" s="356" t="s">
        <v>838</v>
      </c>
      <c r="EW48" s="37">
        <v>3521</v>
      </c>
      <c r="EX48" s="357" t="s">
        <v>1338</v>
      </c>
      <c r="EY48" s="358">
        <v>45540</v>
      </c>
      <c r="EZ48" s="91">
        <f t="shared" si="134"/>
        <v>45905</v>
      </c>
      <c r="FA48" s="37" t="str">
        <f ca="1">IF(EY48=0," ",IF(EZ48-TODAY()&gt;60,"VIGENTE",IF(EZ48-TODAY()&lt;=0,"VENCIDO",IF(EZ48-TODAY()&lt;=60,"POR VENCER"))))</f>
        <v>VIGENTE</v>
      </c>
      <c r="FB48" s="357"/>
      <c r="FC48" s="357"/>
      <c r="FD48" s="37" t="str">
        <f>IFERROR(VLOOKUP(EV48,TIPODET1,2,FALSE)," ")</f>
        <v>C.I.</v>
      </c>
      <c r="FE48" s="359"/>
      <c r="FF48" s="356" t="s">
        <v>838</v>
      </c>
      <c r="FG48" s="12" t="s">
        <v>1339</v>
      </c>
      <c r="FH48" s="348" t="s">
        <v>1340</v>
      </c>
      <c r="FI48" s="358">
        <v>45582</v>
      </c>
      <c r="FJ48" s="91">
        <f t="shared" si="135"/>
        <v>45947</v>
      </c>
      <c r="FK48" s="37" t="str">
        <f ca="1">IF(FI48=0," ",IF(FJ48-TODAY()&gt;60,"VIGENTE",IF(FJ48-TODAY()&lt;=0,"VENCIDO",IF(FJ48-TODAY()&lt;=60,"POR VENCER"))))</f>
        <v>VIGENTE</v>
      </c>
      <c r="FL48" s="348"/>
      <c r="FM48" s="348"/>
      <c r="FN48" s="37" t="str">
        <f>IFERROR(VLOOKUP(FF48,TIPODET1,2,FALSE)," ")</f>
        <v>C.I.</v>
      </c>
      <c r="FO48" s="361"/>
      <c r="FP48" s="356" t="s">
        <v>838</v>
      </c>
      <c r="FQ48" s="37" t="s">
        <v>1341</v>
      </c>
      <c r="FR48" s="357" t="s">
        <v>1342</v>
      </c>
      <c r="FS48" s="358">
        <v>45582</v>
      </c>
      <c r="FT48" s="91">
        <f t="shared" si="136"/>
        <v>45947</v>
      </c>
      <c r="FU48" s="37" t="str">
        <f ca="1">IF(FS48=0," ",IF(FT48-TODAY()&gt;60,"VIGENTE",IF(FT48-TODAY()&lt;=0,"VENCIDO",IF(FT48-TODAY()&lt;=60,"POR VENCER"))))</f>
        <v>VIGENTE</v>
      </c>
      <c r="FV48" s="357"/>
      <c r="FW48" s="357"/>
      <c r="FX48" s="37" t="str">
        <f>IFERROR(VLOOKUP(FP48,TIPODET1,2,FALSE)," ")</f>
        <v>C.I.</v>
      </c>
      <c r="FY48" s="359"/>
      <c r="FZ48" s="356" t="s">
        <v>838</v>
      </c>
      <c r="GA48" s="12" t="s">
        <v>1076</v>
      </c>
      <c r="GB48" s="348" t="s">
        <v>1343</v>
      </c>
      <c r="GC48" s="358">
        <v>45582</v>
      </c>
      <c r="GD48" s="91">
        <f t="shared" si="137"/>
        <v>45947</v>
      </c>
      <c r="GE48" s="37" t="str">
        <f ca="1">IF(GC48=0," ",IF(GD48-TODAY()&gt;60,"VIGENTE",IF(GD48-TODAY()&lt;=0,"VENCIDO",IF(GD48-TODAY()&lt;=60,"POR VENCER"))))</f>
        <v>VIGENTE</v>
      </c>
      <c r="GF48" s="348"/>
      <c r="GG48" s="348"/>
      <c r="GH48" s="37" t="str">
        <f>IFERROR(VLOOKUP(FZ48,TIPODET1,2,FALSE)," ")</f>
        <v>C.I.</v>
      </c>
      <c r="GI48" s="364"/>
      <c r="GJ48" s="356" t="s">
        <v>838</v>
      </c>
      <c r="GK48" s="37" t="s">
        <v>1344</v>
      </c>
      <c r="GL48" s="357" t="s">
        <v>1345</v>
      </c>
      <c r="GM48" s="358">
        <v>45582</v>
      </c>
      <c r="GN48" s="91">
        <f t="shared" si="138"/>
        <v>45947</v>
      </c>
      <c r="GO48" s="37" t="str">
        <f ca="1">IF(GM48=0," ",IF(GN48-TODAY()&gt;60,"VIGENTE",IF(GN48-TODAY()&lt;=0,"VENCIDO",IF(GN48-TODAY()&lt;=60,"POR VENCER"))))</f>
        <v>VIGENTE</v>
      </c>
      <c r="GP48" s="357"/>
      <c r="GQ48" s="357"/>
      <c r="GR48" s="37" t="str">
        <f>IFERROR(VLOOKUP(GJ48,TIPODET1,2,FALSE)," ")</f>
        <v>C.I.</v>
      </c>
      <c r="GS48" s="359"/>
      <c r="GT48" s="356" t="s">
        <v>838</v>
      </c>
      <c r="GU48" s="12" t="s">
        <v>1346</v>
      </c>
      <c r="GV48" s="348" t="s">
        <v>1347</v>
      </c>
      <c r="GW48" s="358">
        <v>45582</v>
      </c>
      <c r="GX48" s="91">
        <f t="shared" si="139"/>
        <v>45947</v>
      </c>
      <c r="GY48" s="37" t="str">
        <f ca="1">IF(GW48=0," ",IF(GX48-TODAY()&gt;60,"VIGENTE",IF(GX48-TODAY()&lt;=0,"VENCIDO",IF(GX48-TODAY()&lt;=60,"POR VENCER"))))</f>
        <v>VIGENTE</v>
      </c>
      <c r="GZ48" s="348"/>
      <c r="HA48" s="348"/>
      <c r="HB48" s="37" t="str">
        <f>IFERROR(VLOOKUP(GT48,TIPODET1,2,FALSE)," ")</f>
        <v>C.I.</v>
      </c>
      <c r="HC48" s="364"/>
      <c r="HD48" s="356" t="s">
        <v>838</v>
      </c>
      <c r="HE48" s="37" t="s">
        <v>1348</v>
      </c>
      <c r="HF48" s="357" t="s">
        <v>1349</v>
      </c>
      <c r="HG48" s="358">
        <v>45582</v>
      </c>
      <c r="HH48" s="91">
        <f t="shared" si="140"/>
        <v>45947</v>
      </c>
      <c r="HI48" s="37" t="str">
        <f ca="1">IF(HG48=0," ",IF(HH48-TODAY()&gt;60,"VIGENTE",IF(HH48-TODAY()&lt;=0,"VENCIDO",IF(HH48-TODAY()&lt;=60,"POR VENCER"))))</f>
        <v>VIGENTE</v>
      </c>
      <c r="HJ48" s="357"/>
      <c r="HK48" s="357"/>
      <c r="HL48" s="37" t="str">
        <f>IFERROR(VLOOKUP(HD48,TIPODET1,2,FALSE)," ")</f>
        <v>C.I.</v>
      </c>
      <c r="HM48" s="359"/>
      <c r="HN48" s="356" t="s">
        <v>838</v>
      </c>
      <c r="HO48" s="12" t="s">
        <v>1350</v>
      </c>
      <c r="HP48" s="348" t="s">
        <v>1351</v>
      </c>
      <c r="HQ48" s="358">
        <v>45582</v>
      </c>
      <c r="HR48" s="91">
        <f t="shared" si="141"/>
        <v>45947</v>
      </c>
      <c r="HS48" s="37" t="str">
        <f ca="1">IF(HQ48=0," ",IF(HR48-TODAY()&gt;60,"VIGENTE",IF(HR48-TODAY()&lt;=0,"VENCIDO",IF(HR48-TODAY()&lt;=60,"POR VENCER"))))</f>
        <v>VIGENTE</v>
      </c>
      <c r="HT48" s="348"/>
      <c r="HU48" s="348"/>
      <c r="HV48" s="37" t="str">
        <f>IFERROR(VLOOKUP(HN48,TIPODET1,2,FALSE)," ")</f>
        <v>C.I.</v>
      </c>
      <c r="HW48" s="364"/>
      <c r="HX48" s="356" t="s">
        <v>841</v>
      </c>
      <c r="HY48" s="37">
        <v>54016</v>
      </c>
      <c r="HZ48" s="357" t="s">
        <v>1352</v>
      </c>
      <c r="IA48" s="358">
        <v>45635</v>
      </c>
      <c r="IB48" s="91">
        <f t="shared" si="142"/>
        <v>46000</v>
      </c>
      <c r="IC48" s="37" t="str">
        <f ca="1">IF(IA48=0," ",IF(IB48-TODAY()&gt;60,"VIGENTE",IF(IB48-TODAY()&lt;=0,"VENCIDO",IF(IB48-TODAY()&lt;=60,"POR VENCER"))))</f>
        <v>VIGENTE</v>
      </c>
      <c r="IF48" s="37" t="str">
        <f>IFERROR(VLOOKUP(HX48,TIPODET1,2,FALSE)," ")</f>
        <v>C.C.</v>
      </c>
      <c r="IH48" s="356" t="s">
        <v>841</v>
      </c>
      <c r="II48" s="37">
        <v>54020</v>
      </c>
      <c r="IJ48" s="357" t="s">
        <v>1353</v>
      </c>
      <c r="IK48" s="358">
        <v>45635</v>
      </c>
      <c r="IL48" s="91">
        <f t="shared" si="143"/>
        <v>46000</v>
      </c>
      <c r="IM48" s="37" t="str">
        <f ca="1">IF(IK48=0," ",IF(IL48-TODAY()&gt;60,"VIGENTE",IF(IL48-TODAY()&lt;=0,"VENCIDO",IF(IL48-TODAY()&lt;=60,"POR VENCER"))))</f>
        <v>VIGENTE</v>
      </c>
      <c r="IN48" s="357"/>
      <c r="IO48" s="357"/>
      <c r="IP48" s="37" t="str">
        <f>IFERROR(VLOOKUP(HX48,TIPODET1,2,FALSE)," ")</f>
        <v>C.C.</v>
      </c>
      <c r="IQ48" s="359"/>
      <c r="IR48" s="356" t="s">
        <v>875</v>
      </c>
      <c r="IS48" s="37">
        <v>20032</v>
      </c>
      <c r="IT48" s="357" t="s">
        <v>5765</v>
      </c>
      <c r="IU48" s="358">
        <v>45667</v>
      </c>
      <c r="IV48" s="91">
        <f t="shared" si="144"/>
        <v>46032</v>
      </c>
      <c r="IW48" s="37" t="str">
        <f t="shared" ca="1" si="76"/>
        <v>VIGENTE</v>
      </c>
      <c r="IX48" s="348"/>
      <c r="IY48" s="348"/>
      <c r="IZ48" s="37" t="str">
        <f t="shared" si="77"/>
        <v>G.M.</v>
      </c>
      <c r="JA48" s="364"/>
      <c r="JB48" s="356" t="s">
        <v>838</v>
      </c>
      <c r="JC48" s="37" t="s">
        <v>5766</v>
      </c>
      <c r="JD48" s="357" t="s">
        <v>5767</v>
      </c>
      <c r="JE48" s="358">
        <v>45735</v>
      </c>
      <c r="JF48" s="91">
        <f t="shared" si="145"/>
        <v>46100</v>
      </c>
      <c r="JG48" s="37" t="str">
        <f t="shared" ca="1" si="79"/>
        <v>VIGENTE</v>
      </c>
      <c r="JH48" s="357"/>
      <c r="JI48" s="357"/>
      <c r="JJ48" s="37" t="str">
        <f t="shared" si="80"/>
        <v>C.I.</v>
      </c>
      <c r="JK48" s="359"/>
      <c r="JL48" s="356" t="s">
        <v>838</v>
      </c>
      <c r="JM48" s="37" t="s">
        <v>5768</v>
      </c>
      <c r="JN48" s="357" t="s">
        <v>5769</v>
      </c>
      <c r="JO48" s="358">
        <v>45735</v>
      </c>
      <c r="JP48" s="91">
        <f t="shared" si="148"/>
        <v>46100</v>
      </c>
      <c r="JQ48" s="37" t="str">
        <f t="shared" ca="1" si="82"/>
        <v>VIGENTE</v>
      </c>
      <c r="JR48" s="348"/>
      <c r="JS48" s="348"/>
      <c r="JT48" s="37" t="str">
        <f t="shared" si="83"/>
        <v>C.I.</v>
      </c>
      <c r="JU48" s="364"/>
      <c r="JV48" s="356" t="s">
        <v>838</v>
      </c>
      <c r="JW48" s="37" t="s">
        <v>5770</v>
      </c>
      <c r="JX48" s="357" t="s">
        <v>5771</v>
      </c>
      <c r="JY48" s="358">
        <v>45735</v>
      </c>
      <c r="JZ48" s="91">
        <f t="shared" si="149"/>
        <v>46100</v>
      </c>
      <c r="KA48" s="37" t="str">
        <f t="shared" ca="1" si="85"/>
        <v>VIGENTE</v>
      </c>
      <c r="KB48" s="357"/>
      <c r="KC48" s="357"/>
      <c r="KD48" s="37" t="str">
        <f t="shared" si="86"/>
        <v>C.I.</v>
      </c>
      <c r="KE48" s="359"/>
      <c r="KF48" s="356" t="s">
        <v>838</v>
      </c>
      <c r="KG48" s="37" t="s">
        <v>5772</v>
      </c>
      <c r="KH48" s="357" t="s">
        <v>5773</v>
      </c>
      <c r="KI48" s="358">
        <v>45735</v>
      </c>
      <c r="KJ48" s="91">
        <f t="shared" si="150"/>
        <v>46100</v>
      </c>
      <c r="KK48" s="37" t="str">
        <f t="shared" ca="1" si="88"/>
        <v>VIGENTE</v>
      </c>
      <c r="KL48" s="348"/>
      <c r="KM48" s="348"/>
      <c r="KN48" s="37" t="str">
        <f t="shared" si="89"/>
        <v>C.I.</v>
      </c>
      <c r="KO48" s="364"/>
      <c r="KP48" s="356" t="s">
        <v>838</v>
      </c>
      <c r="KQ48" s="37" t="s">
        <v>5774</v>
      </c>
      <c r="KR48" s="357" t="s">
        <v>5775</v>
      </c>
      <c r="KS48" s="358">
        <v>45754</v>
      </c>
      <c r="KT48" s="91">
        <f t="shared" si="151"/>
        <v>46119</v>
      </c>
      <c r="KU48" s="37" t="str">
        <f t="shared" ca="1" si="91"/>
        <v>VIGENTE</v>
      </c>
      <c r="KV48" s="357"/>
      <c r="KW48" s="357"/>
      <c r="KX48" s="37" t="str">
        <f t="shared" si="92"/>
        <v>C.I.</v>
      </c>
      <c r="KY48" s="359"/>
      <c r="KZ48" s="356" t="s">
        <v>838</v>
      </c>
      <c r="LA48" s="37" t="s">
        <v>5776</v>
      </c>
      <c r="LB48" s="357" t="s">
        <v>5777</v>
      </c>
      <c r="LC48" s="358">
        <v>45754</v>
      </c>
      <c r="LD48" s="91">
        <f t="shared" si="152"/>
        <v>46119</v>
      </c>
      <c r="LE48" s="37" t="str">
        <f t="shared" ca="1" si="94"/>
        <v>VIGENTE</v>
      </c>
      <c r="LF48" s="348"/>
      <c r="LG48" s="348"/>
      <c r="LH48" s="37" t="str">
        <f t="shared" si="95"/>
        <v>C.I.</v>
      </c>
      <c r="LI48" s="364"/>
      <c r="LJ48" s="356" t="s">
        <v>838</v>
      </c>
      <c r="LK48" s="37" t="s">
        <v>5778</v>
      </c>
      <c r="LL48" s="357" t="s">
        <v>5779</v>
      </c>
      <c r="LM48" s="358">
        <v>45754</v>
      </c>
      <c r="LN48" s="91">
        <f t="shared" si="153"/>
        <v>46119</v>
      </c>
      <c r="LO48" s="37" t="str">
        <f t="shared" ca="1" si="97"/>
        <v>VIGENTE</v>
      </c>
      <c r="LP48" s="357"/>
      <c r="LQ48" s="357"/>
      <c r="LR48" s="37" t="str">
        <f t="shared" si="98"/>
        <v>C.I.</v>
      </c>
      <c r="LS48" s="359"/>
      <c r="LT48" s="356" t="s">
        <v>838</v>
      </c>
      <c r="LU48" s="37" t="s">
        <v>5780</v>
      </c>
      <c r="LV48" s="357" t="s">
        <v>5781</v>
      </c>
      <c r="LW48" s="358">
        <v>45754</v>
      </c>
      <c r="LX48" s="91">
        <f t="shared" ref="LX48:LX49" si="154">IF(LW48=0," ",LW48+365)</f>
        <v>46119</v>
      </c>
      <c r="LY48" s="37" t="str">
        <f t="shared" ca="1" si="99"/>
        <v>VIGENTE</v>
      </c>
      <c r="LZ48" s="348"/>
      <c r="MA48" s="348"/>
      <c r="MB48" s="37" t="str">
        <f t="shared" si="100"/>
        <v>C.I.</v>
      </c>
      <c r="MC48" s="364"/>
      <c r="MD48" s="356"/>
      <c r="ME48" s="357"/>
      <c r="MF48" s="357"/>
      <c r="MG48" s="357"/>
      <c r="MH48" s="357"/>
      <c r="MI48" s="37" t="str">
        <f t="shared" ca="1" si="101"/>
        <v xml:space="preserve"> </v>
      </c>
      <c r="MJ48" s="357"/>
      <c r="MK48" s="357"/>
      <c r="ML48" s="37" t="str">
        <f t="shared" si="102"/>
        <v xml:space="preserve"> </v>
      </c>
      <c r="MM48" s="359"/>
      <c r="MN48" s="363"/>
      <c r="MO48" s="348"/>
      <c r="MP48" s="348"/>
      <c r="MQ48" s="348"/>
      <c r="MR48" s="348"/>
      <c r="MS48" s="37" t="str">
        <f t="shared" ca="1" si="103"/>
        <v xml:space="preserve"> </v>
      </c>
      <c r="MT48" s="348"/>
      <c r="MU48" s="348"/>
      <c r="MV48" s="37" t="str">
        <f t="shared" si="104"/>
        <v xml:space="preserve"> </v>
      </c>
      <c r="MW48" s="364"/>
      <c r="MX48" s="356"/>
      <c r="MY48" s="357"/>
      <c r="MZ48" s="357"/>
      <c r="NA48" s="357"/>
      <c r="NB48" s="357"/>
      <c r="NC48" s="37" t="str">
        <f t="shared" ca="1" si="105"/>
        <v xml:space="preserve"> </v>
      </c>
      <c r="ND48" s="357"/>
      <c r="NE48" s="357"/>
      <c r="NF48" s="37" t="str">
        <f t="shared" si="115"/>
        <v xml:space="preserve"> </v>
      </c>
      <c r="NG48" s="359"/>
      <c r="NH48" s="363"/>
      <c r="NI48" s="348"/>
      <c r="NJ48" s="348"/>
      <c r="NK48" s="348"/>
      <c r="NL48" s="348"/>
      <c r="NM48" s="37" t="str">
        <f t="shared" ca="1" si="107"/>
        <v xml:space="preserve"> </v>
      </c>
      <c r="NN48" s="348"/>
      <c r="NO48" s="348"/>
      <c r="NP48" s="37" t="str">
        <f t="shared" si="116"/>
        <v xml:space="preserve"> </v>
      </c>
      <c r="NQ48" s="364"/>
      <c r="NR48" s="356"/>
      <c r="NS48" s="357"/>
      <c r="NT48" s="357"/>
      <c r="NU48" s="357"/>
      <c r="NV48" s="357"/>
      <c r="NW48" s="37" t="str">
        <f t="shared" ca="1" si="109"/>
        <v xml:space="preserve"> </v>
      </c>
      <c r="NX48" s="357"/>
      <c r="NY48" s="357"/>
      <c r="NZ48" s="37" t="str">
        <f t="shared" si="117"/>
        <v xml:space="preserve"> </v>
      </c>
      <c r="OA48" s="359"/>
      <c r="OB48" s="363"/>
      <c r="OC48" s="348"/>
      <c r="OD48" s="348"/>
      <c r="OE48" s="348"/>
      <c r="OF48" s="348"/>
      <c r="OG48" s="37" t="str">
        <f t="shared" ca="1" si="111"/>
        <v xml:space="preserve"> </v>
      </c>
      <c r="OH48" s="348"/>
      <c r="OI48" s="348"/>
      <c r="OJ48" s="37" t="str">
        <f t="shared" si="118"/>
        <v xml:space="preserve"> </v>
      </c>
      <c r="OK48" s="364"/>
    </row>
    <row r="49" spans="1:401" ht="24" customHeight="1" x14ac:dyDescent="0.3">
      <c r="A49" s="365" t="s">
        <v>208</v>
      </c>
      <c r="B49" s="369"/>
      <c r="C49" s="54"/>
      <c r="D49" s="366"/>
      <c r="E49" s="177"/>
      <c r="F49" s="177" t="str">
        <f t="shared" si="119"/>
        <v xml:space="preserve"> </v>
      </c>
      <c r="G49" s="366" t="str">
        <f ca="1">IF(E49=0," ",IF(F49-TODAY()&gt;60,"VIGENTE",IF(F49-TODAY()&lt;=0,"VENCIDO",IF(F49-TODAY()&lt;=60,"POR VENCER"))))</f>
        <v xml:space="preserve"> </v>
      </c>
      <c r="H49" s="54"/>
      <c r="I49" s="54"/>
      <c r="J49" s="54" t="str">
        <f>IFERROR(VLOOKUP(B49,TIPODET1,2,FALSE)," ")</f>
        <v xml:space="preserve"> </v>
      </c>
      <c r="K49" s="171"/>
      <c r="L49" s="182"/>
      <c r="M49" s="54"/>
      <c r="N49" s="54"/>
      <c r="O49" s="177"/>
      <c r="P49" s="177" t="str">
        <f t="shared" si="3"/>
        <v xml:space="preserve"> </v>
      </c>
      <c r="Q49" s="54" t="str">
        <f ca="1">IF(O49=0," ",IF(P49-TODAY()&gt;60,"VIGENTE",IF(P49-TODAY()&lt;=0,"VENCIDO",IF(P49-TODAY()&lt;=60,"POR VENCER"))))</f>
        <v xml:space="preserve"> </v>
      </c>
      <c r="R49" s="54"/>
      <c r="S49" s="54"/>
      <c r="T49" s="54" t="str">
        <f>IFERROR(VLOOKUP(L49,TIPODET1,2,FALSE)," ")</f>
        <v xml:space="preserve"> </v>
      </c>
      <c r="U49" s="171"/>
      <c r="V49" s="369"/>
      <c r="W49" s="366"/>
      <c r="X49" s="366"/>
      <c r="Y49" s="370"/>
      <c r="Z49" s="370" t="str">
        <f t="shared" si="121"/>
        <v xml:space="preserve"> </v>
      </c>
      <c r="AA49" s="54" t="str">
        <f ca="1">IF(Y49=0," ",IF(Z49-TODAY()&gt;60,"VIGENTE",IF(Z49-TODAY()&lt;=0,"VENCIDO",IF(Z49-TODAY()&lt;=60,"POR VENCER"))))</f>
        <v xml:space="preserve"> </v>
      </c>
      <c r="AB49" s="366"/>
      <c r="AC49" s="366"/>
      <c r="AD49" s="54" t="str">
        <f>IFERROR(VLOOKUP(V49,TIPODET1,2,FALSE)," ")</f>
        <v xml:space="preserve"> </v>
      </c>
      <c r="AE49" s="367"/>
      <c r="AF49" s="371"/>
      <c r="AG49" s="346"/>
      <c r="AH49" s="346"/>
      <c r="AI49" s="65"/>
      <c r="AJ49" s="65" t="str">
        <f t="shared" si="122"/>
        <v xml:space="preserve"> </v>
      </c>
      <c r="AK49" s="54" t="str">
        <f ca="1">IF(AI49=0," ",IF(AJ49-TODAY()&gt;60,"VIGENTE",IF(AJ49-TODAY()&lt;=0,"VENCIDO",IF(AJ49-TODAY()&lt;=60,"POR VENCER"))))</f>
        <v xml:space="preserve"> </v>
      </c>
      <c r="AL49" s="346"/>
      <c r="AM49" s="346"/>
      <c r="AN49" s="49" t="str">
        <f>IFERROR(VLOOKUP(AF49,TIPODET1,2,FALSE)," ")</f>
        <v xml:space="preserve"> </v>
      </c>
      <c r="AO49" s="368"/>
      <c r="AP49" s="369"/>
      <c r="AQ49" s="366"/>
      <c r="AR49" s="366"/>
      <c r="AS49" s="370"/>
      <c r="AT49" s="370" t="str">
        <f t="shared" si="123"/>
        <v xml:space="preserve"> </v>
      </c>
      <c r="AU49" s="54" t="str">
        <f ca="1">IF(AS49=0," ",IF(AT49-TODAY()&gt;60,"VIGENTE",IF(AT49-TODAY()&lt;=0,"VENCIDO",IF(AT49-TODAY()&lt;=60,"POR VENCER"))))</f>
        <v xml:space="preserve"> </v>
      </c>
      <c r="AV49" s="366"/>
      <c r="AW49" s="366"/>
      <c r="AX49" s="54" t="str">
        <f>IFERROR(VLOOKUP(AP49,TIPODET1,2,FALSE)," ")</f>
        <v xml:space="preserve"> </v>
      </c>
      <c r="AY49" s="367"/>
      <c r="AZ49" s="371"/>
      <c r="BA49" s="346"/>
      <c r="BB49" s="346"/>
      <c r="BC49" s="372"/>
      <c r="BD49" s="372" t="str">
        <f t="shared" si="124"/>
        <v xml:space="preserve"> </v>
      </c>
      <c r="BE49" s="54" t="str">
        <f ca="1">IF(BC49=0," ",IF(BD49-TODAY()&gt;60,"VIGENTE",IF(BD49-TODAY()&lt;=0,"VENCIDO",IF(BD49-TODAY()&lt;=60,"POR VENCER"))))</f>
        <v xml:space="preserve"> </v>
      </c>
      <c r="BF49" s="346"/>
      <c r="BG49" s="346"/>
      <c r="BH49" s="49" t="str">
        <f>IFERROR(VLOOKUP(AZ49,TIPODET1,2,FALSE)," ")</f>
        <v xml:space="preserve"> </v>
      </c>
      <c r="BI49" s="368"/>
      <c r="BJ49" s="369"/>
      <c r="BK49" s="366"/>
      <c r="BL49" s="366"/>
      <c r="BM49" s="370"/>
      <c r="BN49" s="370" t="str">
        <f t="shared" si="125"/>
        <v xml:space="preserve"> </v>
      </c>
      <c r="BO49" s="54" t="str">
        <f ca="1">IF(BM49=0," ",IF(BN49-TODAY()&gt;60,"VIGENTE",IF(BN49-TODAY()&lt;=0,"VENCIDO",IF(BN49-TODAY()&lt;=60,"POR VENCER"))))</f>
        <v xml:space="preserve"> </v>
      </c>
      <c r="BP49" s="366"/>
      <c r="BQ49" s="366"/>
      <c r="BR49" s="54" t="str">
        <f>IFERROR(VLOOKUP(BJ49,TIPODET1,2,FALSE)," ")</f>
        <v xml:space="preserve"> </v>
      </c>
      <c r="BS49" s="367"/>
      <c r="BT49" s="371"/>
      <c r="BU49" s="346"/>
      <c r="BV49" s="346"/>
      <c r="BW49" s="372"/>
      <c r="BX49" s="372" t="str">
        <f t="shared" si="126"/>
        <v xml:space="preserve"> </v>
      </c>
      <c r="BY49" s="54" t="str">
        <f ca="1">IF(BW49=0," ",IF(BX49-TODAY()&gt;60,"VIGENTE",IF(BX49-TODAY()&lt;=0,"VENCIDO",IF(BX49-TODAY()&lt;=60,"POR VENCER"))))</f>
        <v xml:space="preserve"> </v>
      </c>
      <c r="BZ49" s="346"/>
      <c r="CA49" s="346"/>
      <c r="CB49" s="49" t="str">
        <f>IFERROR(VLOOKUP(BT49,TIPODET1,2,FALSE)," ")</f>
        <v xml:space="preserve"> </v>
      </c>
      <c r="CC49" s="368"/>
      <c r="CD49" s="369"/>
      <c r="CE49" s="54"/>
      <c r="CF49" s="366"/>
      <c r="CG49" s="370"/>
      <c r="CH49" s="370" t="str">
        <f t="shared" si="127"/>
        <v xml:space="preserve"> </v>
      </c>
      <c r="CI49" s="54" t="str">
        <f ca="1">IF(CG49=0," ",IF(CH49-TODAY()&gt;60,"VIGENTE",IF(CH49-TODAY()&lt;=0,"VENCIDO",IF(CH49-TODAY()&lt;=60,"POR VENCER"))))</f>
        <v xml:space="preserve"> </v>
      </c>
      <c r="CJ49" s="366"/>
      <c r="CK49" s="366"/>
      <c r="CL49" s="54" t="str">
        <f>IFERROR(VLOOKUP(CD49,TIPODET1,2,FALSE)," ")</f>
        <v xml:space="preserve"> </v>
      </c>
      <c r="CM49" s="367"/>
      <c r="CN49" s="371"/>
      <c r="CO49" s="49"/>
      <c r="CP49" s="346"/>
      <c r="CQ49" s="372"/>
      <c r="CR49" s="372" t="str">
        <f t="shared" si="128"/>
        <v xml:space="preserve"> </v>
      </c>
      <c r="CS49" s="54" t="str">
        <f ca="1">IF(CQ49=0," ",IF(CR49-TODAY()&gt;60,"VIGENTE",IF(CR49-TODAY()&lt;=0,"VENCIDO",IF(CR49-TODAY()&lt;=60,"POR VENCER"))))</f>
        <v xml:space="preserve"> </v>
      </c>
      <c r="CT49" s="346"/>
      <c r="CU49" s="346"/>
      <c r="CV49" s="49" t="str">
        <f>IFERROR(VLOOKUP(CN49,TIPODET1,2,FALSE)," ")</f>
        <v xml:space="preserve"> </v>
      </c>
      <c r="CW49" s="368"/>
      <c r="CX49" s="369"/>
      <c r="CY49" s="54"/>
      <c r="CZ49" s="366"/>
      <c r="DA49" s="370"/>
      <c r="DB49" s="370" t="str">
        <f t="shared" si="129"/>
        <v xml:space="preserve"> </v>
      </c>
      <c r="DC49" s="54" t="str">
        <f ca="1">IF(DA49=0," ",IF(DB49-TODAY()&gt;60,"VIGENTE",IF(DB49-TODAY()&lt;=0,"VENCIDO",IF(DB49-TODAY()&lt;=60,"POR VENCER"))))</f>
        <v xml:space="preserve"> </v>
      </c>
      <c r="DD49" s="366"/>
      <c r="DE49" s="366"/>
      <c r="DF49" s="54" t="str">
        <f>IFERROR(VLOOKUP(CX49,TIPODET1,2,FALSE)," ")</f>
        <v xml:space="preserve"> </v>
      </c>
      <c r="DG49" s="367"/>
      <c r="DH49" s="371"/>
      <c r="DI49" s="49"/>
      <c r="DJ49" s="346"/>
      <c r="DK49" s="346"/>
      <c r="DL49" s="346" t="str">
        <f t="shared" si="130"/>
        <v xml:space="preserve"> </v>
      </c>
      <c r="DM49" s="54" t="str">
        <f ca="1">IF(DK49=0," ",IF(DL49-TODAY()&gt;60,"VIGENTE",IF(DL49-TODAY()&lt;=0,"VENCIDO",IF(DL49-TODAY()&lt;=60,"POR VENCER"))))</f>
        <v xml:space="preserve"> </v>
      </c>
      <c r="DN49" s="346"/>
      <c r="DO49" s="346"/>
      <c r="DP49" s="49" t="str">
        <f>IFERROR(VLOOKUP(DH49,TIPODET1,2,FALSE)," ")</f>
        <v xml:space="preserve"> </v>
      </c>
      <c r="DQ49" s="368"/>
      <c r="DR49" s="369"/>
      <c r="DS49" s="54"/>
      <c r="DT49" s="366"/>
      <c r="DU49" s="366"/>
      <c r="DV49" s="177" t="str">
        <f t="shared" si="131"/>
        <v xml:space="preserve"> </v>
      </c>
      <c r="DW49" s="54" t="str">
        <f ca="1">IF(DU49=0," ",IF(DV49-TODAY()&gt;60,"VIGENTE",IF(DV49-TODAY()&lt;=0,"VENCIDO",IF(DV49-TODAY()&lt;=60,"POR VENCER"))))</f>
        <v xml:space="preserve"> </v>
      </c>
      <c r="DX49" s="366"/>
      <c r="DY49" s="366"/>
      <c r="DZ49" s="54" t="str">
        <f>IFERROR(VLOOKUP(DR49,TIPODET1,2,FALSE)," ")</f>
        <v xml:space="preserve"> </v>
      </c>
      <c r="EA49" s="367"/>
      <c r="EB49" s="371"/>
      <c r="EC49" s="49"/>
      <c r="ED49" s="346"/>
      <c r="EE49" s="346"/>
      <c r="EF49" s="177" t="str">
        <f t="shared" si="132"/>
        <v xml:space="preserve"> </v>
      </c>
      <c r="EG49" s="54" t="str">
        <f ca="1">IF(EE49=0," ",IF(EF49-TODAY()&gt;60,"VIGENTE",IF(EF49-TODAY()&lt;=0,"VENCIDO",IF(EF49-TODAY()&lt;=60,"POR VENCER"))))</f>
        <v xml:space="preserve"> </v>
      </c>
      <c r="EH49" s="346"/>
      <c r="EI49" s="346"/>
      <c r="EJ49" s="49" t="str">
        <f>IFERROR(VLOOKUP(EB49,TIPODET1,2,FALSE)," ")</f>
        <v xml:space="preserve"> </v>
      </c>
      <c r="EK49" s="368"/>
      <c r="EL49" s="369"/>
      <c r="EM49" s="54"/>
      <c r="EN49" s="366"/>
      <c r="EO49" s="366"/>
      <c r="EP49" s="177" t="str">
        <f t="shared" si="133"/>
        <v xml:space="preserve"> </v>
      </c>
      <c r="EQ49" s="54" t="str">
        <f ca="1">IF(EO49=0," ",IF(EP49-TODAY()&gt;60,"VIGENTE",IF(EP49-TODAY()&lt;=0,"VENCIDO",IF(EP49-TODAY()&lt;=60,"POR VENCER"))))</f>
        <v xml:space="preserve"> </v>
      </c>
      <c r="ER49" s="366"/>
      <c r="ES49" s="366"/>
      <c r="ET49" s="54" t="str">
        <f>IFERROR(VLOOKUP(EL49,TIPODET1,2,FALSE)," ")</f>
        <v xml:space="preserve"> </v>
      </c>
      <c r="EU49" s="367"/>
      <c r="EV49" s="371"/>
      <c r="EW49" s="49"/>
      <c r="EX49" s="346"/>
      <c r="EY49" s="346"/>
      <c r="EZ49" s="177" t="str">
        <f t="shared" si="134"/>
        <v xml:space="preserve"> </v>
      </c>
      <c r="FA49" s="54" t="str">
        <f ca="1">IF(EY49=0," ",IF(EZ49-TODAY()&gt;60,"VIGENTE",IF(EZ49-TODAY()&lt;=0,"VENCIDO",IF(EZ49-TODAY()&lt;=60,"POR VENCER"))))</f>
        <v xml:space="preserve"> </v>
      </c>
      <c r="FB49" s="346"/>
      <c r="FC49" s="346"/>
      <c r="FD49" s="49" t="str">
        <f>IFERROR(VLOOKUP(EV49,TIPODET1,2,FALSE)," ")</f>
        <v xml:space="preserve"> </v>
      </c>
      <c r="FE49" s="368"/>
      <c r="FF49" s="369"/>
      <c r="FG49" s="54"/>
      <c r="FH49" s="366"/>
      <c r="FI49" s="366"/>
      <c r="FJ49" s="177" t="str">
        <f t="shared" si="135"/>
        <v xml:space="preserve"> </v>
      </c>
      <c r="FK49" s="54" t="str">
        <f ca="1">IF(FI49=0," ",IF(FJ49-TODAY()&gt;60,"VIGENTE",IF(FJ49-TODAY()&lt;=0,"VENCIDO",IF(FJ49-TODAY()&lt;=60,"POR VENCER"))))</f>
        <v xml:space="preserve"> </v>
      </c>
      <c r="FL49" s="366"/>
      <c r="FM49" s="366"/>
      <c r="FN49" s="54" t="str">
        <f>IFERROR(VLOOKUP(FF49,TIPODET1,2,FALSE)," ")</f>
        <v xml:space="preserve"> </v>
      </c>
      <c r="FO49" s="367"/>
      <c r="FP49" s="371"/>
      <c r="FQ49" s="49"/>
      <c r="FR49" s="346"/>
      <c r="FS49" s="346"/>
      <c r="FT49" s="177" t="str">
        <f t="shared" si="136"/>
        <v xml:space="preserve"> </v>
      </c>
      <c r="FU49" s="54" t="str">
        <f ca="1">IF(FS49=0," ",IF(FT49-TODAY()&gt;60,"VIGENTE",IF(FT49-TODAY()&lt;=0,"VENCIDO",IF(FT49-TODAY()&lt;=60,"POR VENCER"))))</f>
        <v xml:space="preserve"> </v>
      </c>
      <c r="FV49" s="346"/>
      <c r="FW49" s="346"/>
      <c r="FX49" s="49" t="str">
        <f>IFERROR(VLOOKUP(FP49,TIPODET1,2,FALSE)," ")</f>
        <v xml:space="preserve"> </v>
      </c>
      <c r="FY49" s="368"/>
      <c r="FZ49" s="369"/>
      <c r="GA49" s="54"/>
      <c r="GB49" s="366"/>
      <c r="GC49" s="366"/>
      <c r="GD49" s="177" t="str">
        <f t="shared" si="137"/>
        <v xml:space="preserve"> </v>
      </c>
      <c r="GE49" s="54" t="str">
        <f ca="1">IF(GC49=0," ",IF(GD49-TODAY()&gt;60,"VIGENTE",IF(GD49-TODAY()&lt;=0,"VENCIDO",IF(GD49-TODAY()&lt;=60,"POR VENCER"))))</f>
        <v xml:space="preserve"> </v>
      </c>
      <c r="GF49" s="366"/>
      <c r="GG49" s="366"/>
      <c r="GH49" s="54" t="str">
        <f>IFERROR(VLOOKUP(FZ49,TIPODET1,2,FALSE)," ")</f>
        <v xml:space="preserve"> </v>
      </c>
      <c r="GI49" s="367"/>
      <c r="GJ49" s="373"/>
      <c r="GK49" s="49"/>
      <c r="GL49" s="346"/>
      <c r="GM49" s="346"/>
      <c r="GN49" s="177" t="str">
        <f t="shared" si="138"/>
        <v xml:space="preserve"> </v>
      </c>
      <c r="GO49" s="54" t="str">
        <f ca="1">IF(GM49=0," ",IF(GN49-TODAY()&gt;60,"VIGENTE",IF(GN49-TODAY()&lt;=0,"VENCIDO",IF(GN49-TODAY()&lt;=60,"POR VENCER"))))</f>
        <v xml:space="preserve"> </v>
      </c>
      <c r="GP49" s="346"/>
      <c r="GQ49" s="346"/>
      <c r="GR49" s="49" t="str">
        <f>IFERROR(VLOOKUP(GJ49,TIPODET1,2,FALSE)," ")</f>
        <v xml:space="preserve"> </v>
      </c>
      <c r="GS49" s="374"/>
      <c r="GT49" s="369"/>
      <c r="GU49" s="54"/>
      <c r="GV49" s="366"/>
      <c r="GW49" s="366"/>
      <c r="GX49" s="177" t="str">
        <f t="shared" si="139"/>
        <v xml:space="preserve"> </v>
      </c>
      <c r="GY49" s="54" t="str">
        <f ca="1">IF(GW49=0," ",IF(GX49-TODAY()&gt;60,"VIGENTE",IF(GX49-TODAY()&lt;=0,"VENCIDO",IF(GX49-TODAY()&lt;=60,"POR VENCER"))))</f>
        <v xml:space="preserve"> </v>
      </c>
      <c r="GZ49" s="366"/>
      <c r="HA49" s="366"/>
      <c r="HB49" s="54" t="str">
        <f>IFERROR(VLOOKUP(GT49,TIPODET1,2,FALSE)," ")</f>
        <v xml:space="preserve"> </v>
      </c>
      <c r="HC49" s="367"/>
      <c r="HD49" s="373"/>
      <c r="HE49" s="49"/>
      <c r="HF49" s="346"/>
      <c r="HG49" s="346"/>
      <c r="HH49" s="177" t="str">
        <f t="shared" si="140"/>
        <v xml:space="preserve"> </v>
      </c>
      <c r="HI49" s="54" t="str">
        <f ca="1">IF(HG49=0," ",IF(HH49-TODAY()&gt;60,"VIGENTE",IF(HH49-TODAY()&lt;=0,"VENCIDO",IF(HH49-TODAY()&lt;=60,"POR VENCER"))))</f>
        <v xml:space="preserve"> </v>
      </c>
      <c r="HJ49" s="346"/>
      <c r="HK49" s="346"/>
      <c r="HL49" s="49" t="str">
        <f>IFERROR(VLOOKUP(HD49,TIPODET1,2,FALSE)," ")</f>
        <v xml:space="preserve"> </v>
      </c>
      <c r="HM49" s="374"/>
      <c r="HN49" s="369"/>
      <c r="HO49" s="54"/>
      <c r="HP49" s="366"/>
      <c r="HQ49" s="366"/>
      <c r="HR49" s="177" t="str">
        <f t="shared" si="141"/>
        <v xml:space="preserve"> </v>
      </c>
      <c r="HS49" s="54" t="str">
        <f ca="1">IF(HQ49=0," ",IF(HR49-TODAY()&gt;60,"VIGENTE",IF(HR49-TODAY()&lt;=0,"VENCIDO",IF(HR49-TODAY()&lt;=60,"POR VENCER"))))</f>
        <v xml:space="preserve"> </v>
      </c>
      <c r="HT49" s="366"/>
      <c r="HU49" s="366"/>
      <c r="HV49" s="54" t="str">
        <f>IFERROR(VLOOKUP(HN49,TIPODET1,2,FALSE)," ")</f>
        <v xml:space="preserve"> </v>
      </c>
      <c r="HW49" s="367"/>
      <c r="HX49" s="373"/>
      <c r="HY49" s="49"/>
      <c r="HZ49" s="346"/>
      <c r="IA49" s="346"/>
      <c r="IB49" s="177" t="str">
        <f t="shared" si="142"/>
        <v xml:space="preserve"> </v>
      </c>
      <c r="IC49" s="54" t="str">
        <f ca="1">IF(IA49=0," ",IF(IB49-TODAY()&gt;60,"VIGENTE",IF(IB49-TODAY()&lt;=0,"VENCIDO",IF(IB49-TODAY()&lt;=60,"POR VENCER"))))</f>
        <v xml:space="preserve"> </v>
      </c>
      <c r="ID49" s="346"/>
      <c r="IE49" s="346"/>
      <c r="IF49" s="49" t="str">
        <f>IFERROR(VLOOKUP(HX49,TIPODET1,2,FALSE)," ")</f>
        <v xml:space="preserve"> </v>
      </c>
      <c r="IG49" s="374"/>
      <c r="IH49" s="369"/>
      <c r="II49" s="366"/>
      <c r="IJ49" s="366"/>
      <c r="IK49" s="366"/>
      <c r="IL49" s="177" t="str">
        <f t="shared" si="143"/>
        <v xml:space="preserve"> </v>
      </c>
      <c r="IM49" s="54" t="str">
        <f ca="1">IF(IK49=0," ",IF(IL49-TODAY()&gt;60,"VIGENTE",IF(IL49-TODAY()&lt;=0,"VENCIDO",IF(IL49-TODAY()&lt;=60,"POR VENCER"))))</f>
        <v xml:space="preserve"> </v>
      </c>
      <c r="IN49" s="366"/>
      <c r="IO49" s="366"/>
      <c r="IP49" s="54" t="str">
        <f>IFERROR(VLOOKUP(IH49,TIPODET1,2,FALSE)," ")</f>
        <v xml:space="preserve"> </v>
      </c>
      <c r="IQ49" s="367"/>
      <c r="IR49" s="373"/>
      <c r="IS49" s="346"/>
      <c r="IT49" s="346"/>
      <c r="IU49" s="346"/>
      <c r="IV49" s="177" t="str">
        <f t="shared" si="144"/>
        <v xml:space="preserve"> </v>
      </c>
      <c r="IW49" s="54" t="str">
        <f ca="1">IF(IU49=0," ",IF(IV49-TODAY()&gt;60,"VIGENTE",IF(IV49-TODAY()&lt;=0,"VENCIDO",IF(IV49-TODAY()&lt;=60,"POR VENCER"))))</f>
        <v xml:space="preserve"> </v>
      </c>
      <c r="IX49" s="346"/>
      <c r="IY49" s="346"/>
      <c r="IZ49" s="54" t="str">
        <f>IFERROR(VLOOKUP(IR49,TIPODET1,2,FALSE)," ")</f>
        <v xml:space="preserve"> </v>
      </c>
      <c r="JA49" s="374"/>
      <c r="JB49" s="369"/>
      <c r="JC49" s="366"/>
      <c r="JD49" s="366"/>
      <c r="JE49" s="366"/>
      <c r="JF49" s="177" t="str">
        <f t="shared" si="145"/>
        <v xml:space="preserve"> </v>
      </c>
      <c r="JG49" s="54" t="str">
        <f ca="1">IF(JE49=0," ",IF(JF49-TODAY()&gt;60,"VIGENTE",IF(JF49-TODAY()&lt;=0,"VENCIDO",IF(JF49-TODAY()&lt;=60,"POR VENCER"))))</f>
        <v xml:space="preserve"> </v>
      </c>
      <c r="JH49" s="366"/>
      <c r="JI49" s="366"/>
      <c r="JJ49" s="54" t="str">
        <f>IFERROR(VLOOKUP(JB49,TIPODET1,2,FALSE)," ")</f>
        <v xml:space="preserve"> </v>
      </c>
      <c r="JK49" s="367"/>
      <c r="JL49" s="373"/>
      <c r="JM49" s="346"/>
      <c r="JN49" s="346"/>
      <c r="JO49" s="346"/>
      <c r="JP49" s="346" t="str">
        <f t="shared" si="148"/>
        <v xml:space="preserve"> </v>
      </c>
      <c r="JQ49" s="54" t="str">
        <f ca="1">IF(JO49=0," ",IF(JP49-TODAY()&gt;60,"VIGENTE",IF(JP49-TODAY()&lt;=0,"VENCIDO",IF(JP49-TODAY()&lt;=60,"POR VENCER"))))</f>
        <v xml:space="preserve"> </v>
      </c>
      <c r="JR49" s="346"/>
      <c r="JS49" s="346"/>
      <c r="JT49" s="54" t="str">
        <f>IFERROR(VLOOKUP(JL49,TIPODET1,2,FALSE)," ")</f>
        <v xml:space="preserve"> </v>
      </c>
      <c r="JU49" s="374"/>
      <c r="JV49" s="369"/>
      <c r="JW49" s="366"/>
      <c r="JX49" s="366"/>
      <c r="JY49" s="366"/>
      <c r="JZ49" s="366" t="str">
        <f t="shared" si="149"/>
        <v xml:space="preserve"> </v>
      </c>
      <c r="KA49" s="54" t="str">
        <f ca="1">IF(JY49=0," ",IF(JZ49-TODAY()&gt;60,"VIGENTE",IF(JZ49-TODAY()&lt;=0,"VENCIDO",IF(JZ49-TODAY()&lt;=60,"POR VENCER"))))</f>
        <v xml:space="preserve"> </v>
      </c>
      <c r="KB49" s="366"/>
      <c r="KC49" s="366"/>
      <c r="KD49" s="54" t="str">
        <f>IFERROR(VLOOKUP(JV49,TIPODET1,2,FALSE)," ")</f>
        <v xml:space="preserve"> </v>
      </c>
      <c r="KE49" s="367"/>
      <c r="KF49" s="373"/>
      <c r="KG49" s="346"/>
      <c r="KH49" s="346"/>
      <c r="KI49" s="346"/>
      <c r="KJ49" s="346" t="str">
        <f t="shared" si="150"/>
        <v xml:space="preserve"> </v>
      </c>
      <c r="KK49" s="54" t="str">
        <f ca="1">IF(KI49=0," ",IF(KJ49-TODAY()&gt;60,"VIGENTE",IF(KJ49-TODAY()&lt;=0,"VENCIDO",IF(KJ49-TODAY()&lt;=60,"POR VENCER"))))</f>
        <v xml:space="preserve"> </v>
      </c>
      <c r="KL49" s="346"/>
      <c r="KM49" s="346"/>
      <c r="KN49" s="54" t="str">
        <f>IFERROR(VLOOKUP(KF49,TIPODET1,2,FALSE)," ")</f>
        <v xml:space="preserve"> </v>
      </c>
      <c r="KO49" s="374"/>
      <c r="KP49" s="369"/>
      <c r="KQ49" s="366"/>
      <c r="KR49" s="366"/>
      <c r="KS49" s="366"/>
      <c r="KT49" s="366" t="str">
        <f t="shared" si="151"/>
        <v xml:space="preserve"> </v>
      </c>
      <c r="KU49" s="54" t="str">
        <f ca="1">IF(KS49=0," ",IF(KT49-TODAY()&gt;60,"VIGENTE",IF(KT49-TODAY()&lt;=0,"VENCIDO",IF(KT49-TODAY()&lt;=60,"POR VENCER"))))</f>
        <v xml:space="preserve"> </v>
      </c>
      <c r="KV49" s="366"/>
      <c r="KW49" s="366"/>
      <c r="KX49" s="54" t="str">
        <f>IFERROR(VLOOKUP(KP49,TIPODET1,2,FALSE)," ")</f>
        <v xml:space="preserve"> </v>
      </c>
      <c r="KY49" s="367"/>
      <c r="KZ49" s="373"/>
      <c r="LA49" s="346"/>
      <c r="LB49" s="346"/>
      <c r="LC49" s="346"/>
      <c r="LD49" s="346" t="str">
        <f t="shared" si="152"/>
        <v xml:space="preserve"> </v>
      </c>
      <c r="LE49" s="54" t="str">
        <f ca="1">IF(LC49=0," ",IF(LD49-TODAY()&gt;60,"VIGENTE",IF(LD49-TODAY()&lt;=0,"VENCIDO",IF(LD49-TODAY()&lt;=60,"POR VENCER"))))</f>
        <v xml:space="preserve"> </v>
      </c>
      <c r="LF49" s="346"/>
      <c r="LG49" s="346"/>
      <c r="LH49" s="54" t="str">
        <f>IFERROR(VLOOKUP(KZ49,TIPODET1,2,FALSE)," ")</f>
        <v xml:space="preserve"> </v>
      </c>
      <c r="LI49" s="374"/>
      <c r="LJ49" s="369"/>
      <c r="LK49" s="366"/>
      <c r="LL49" s="366"/>
      <c r="LM49" s="366"/>
      <c r="LN49" s="366" t="str">
        <f t="shared" si="153"/>
        <v xml:space="preserve"> </v>
      </c>
      <c r="LO49" s="54" t="str">
        <f ca="1">IF(LM49=0," ",IF(LN49-TODAY()&gt;60,"VIGENTE",IF(LN49-TODAY()&lt;=0,"VENCIDO",IF(LN49-TODAY()&lt;=60,"POR VENCER"))))</f>
        <v xml:space="preserve"> </v>
      </c>
      <c r="LP49" s="366"/>
      <c r="LQ49" s="366"/>
      <c r="LR49" s="54" t="str">
        <f>IFERROR(VLOOKUP(LJ49,TIPODET1,2,FALSE)," ")</f>
        <v xml:space="preserve"> </v>
      </c>
      <c r="LS49" s="367"/>
      <c r="LT49" s="373"/>
      <c r="LU49" s="346"/>
      <c r="LV49" s="346"/>
      <c r="LW49" s="346"/>
      <c r="LX49" s="346" t="str">
        <f t="shared" si="154"/>
        <v xml:space="preserve"> </v>
      </c>
      <c r="LY49" s="54" t="str">
        <f ca="1">IF(LW49=0," ",IF(LX49-TODAY()&gt;60,"VIGENTE",IF(LX49-TODAY()&lt;=0,"VENCIDO",IF(LX49-TODAY()&lt;=60,"POR VENCER"))))</f>
        <v xml:space="preserve"> </v>
      </c>
      <c r="LZ49" s="346"/>
      <c r="MA49" s="346"/>
      <c r="MB49" s="54" t="str">
        <f>IFERROR(VLOOKUP(LT49,TIPODET1,2,FALSE)," ")</f>
        <v xml:space="preserve"> </v>
      </c>
      <c r="MC49" s="374"/>
      <c r="MD49" s="369"/>
      <c r="ME49" s="366"/>
      <c r="MF49" s="366"/>
      <c r="MG49" s="366"/>
      <c r="MH49" s="366"/>
      <c r="MI49" s="54" t="str">
        <f ca="1">IF(MG49=0," ",IF(MH49-TODAY()&gt;60,"VIGENTE",IF(MH49-TODAY()&lt;=0,"VENCIDO",IF(MH49-TODAY()&lt;=60,"POR VENCER"))))</f>
        <v xml:space="preserve"> </v>
      </c>
      <c r="MJ49" s="366"/>
      <c r="MK49" s="366"/>
      <c r="ML49" s="54" t="str">
        <f>IFERROR(VLOOKUP(MD49,TIPODET1,2,FALSE)," ")</f>
        <v xml:space="preserve"> </v>
      </c>
      <c r="MM49" s="367"/>
      <c r="MN49" s="373"/>
      <c r="MO49" s="346"/>
      <c r="MP49" s="346"/>
      <c r="MQ49" s="346"/>
      <c r="MR49" s="346"/>
      <c r="MS49" s="54" t="str">
        <f ca="1">IF(MQ49=0," ",IF(MR49-TODAY()&gt;60,"VIGENTE",IF(MR49-TODAY()&lt;=0,"VENCIDO",IF(MR49-TODAY()&lt;=60,"POR VENCER"))))</f>
        <v xml:space="preserve"> </v>
      </c>
      <c r="MT49" s="346"/>
      <c r="MU49" s="346"/>
      <c r="MV49" s="54" t="str">
        <f>IFERROR(VLOOKUP(MN49,TIPODET1,2,FALSE)," ")</f>
        <v xml:space="preserve"> </v>
      </c>
      <c r="MW49" s="374"/>
      <c r="MX49" s="369"/>
      <c r="MY49" s="366"/>
      <c r="MZ49" s="366"/>
      <c r="NA49" s="366"/>
      <c r="NB49" s="366"/>
      <c r="NC49" s="54" t="str">
        <f ca="1">IF(NA49=0," ",IF(NB49-TODAY()&gt;60,"VIGENTE",IF(NB49-TODAY()&lt;=0,"VENCIDO",IF(NB49-TODAY()&lt;=60,"POR VENCER"))))</f>
        <v xml:space="preserve"> </v>
      </c>
      <c r="ND49" s="366"/>
      <c r="NE49" s="366"/>
      <c r="NF49" s="54" t="str">
        <f>IFERROR(VLOOKUP(MX49,TIPODET1,2,FALSE)," ")</f>
        <v xml:space="preserve"> </v>
      </c>
      <c r="NG49" s="367"/>
      <c r="NH49" s="373"/>
      <c r="NI49" s="346"/>
      <c r="NJ49" s="346"/>
      <c r="NK49" s="346"/>
      <c r="NL49" s="346"/>
      <c r="NM49" s="54" t="str">
        <f ca="1">IF(NK49=0," ",IF(NL49-TODAY()&gt;60,"VIGENTE",IF(NL49-TODAY()&lt;=0,"VENCIDO",IF(NL49-TODAY()&lt;=60,"POR VENCER"))))</f>
        <v xml:space="preserve"> </v>
      </c>
      <c r="NN49" s="346"/>
      <c r="NO49" s="346"/>
      <c r="NP49" s="54" t="str">
        <f>IFERROR(VLOOKUP(NH49,TIPODET1,2,FALSE)," ")</f>
        <v xml:space="preserve"> </v>
      </c>
      <c r="NQ49" s="374"/>
      <c r="NR49" s="369"/>
      <c r="NS49" s="366"/>
      <c r="NT49" s="366"/>
      <c r="NU49" s="366"/>
      <c r="NV49" s="366"/>
      <c r="NW49" s="54" t="str">
        <f ca="1">IF(NU49=0," ",IF(NV49-TODAY()&gt;60,"VIGENTE",IF(NV49-TODAY()&lt;=0,"VENCIDO",IF(NV49-TODAY()&lt;=60,"POR VENCER"))))</f>
        <v xml:space="preserve"> </v>
      </c>
      <c r="NX49" s="366"/>
      <c r="NY49" s="366"/>
      <c r="NZ49" s="54" t="str">
        <f>IFERROR(VLOOKUP(NR49,TIPODET1,2,FALSE)," ")</f>
        <v xml:space="preserve"> </v>
      </c>
      <c r="OA49" s="367"/>
      <c r="OB49" s="373"/>
      <c r="OC49" s="346"/>
      <c r="OD49" s="346"/>
      <c r="OE49" s="346"/>
      <c r="OF49" s="346"/>
      <c r="OG49" s="54" t="str">
        <f ca="1">IF(OE49=0," ",IF(OF49-TODAY()&gt;60,"VIGENTE",IF(OF49-TODAY()&lt;=0,"VENCIDO",IF(OF49-TODAY()&lt;=60,"POR VENCER"))))</f>
        <v xml:space="preserve"> </v>
      </c>
      <c r="OH49" s="346"/>
      <c r="OI49" s="346"/>
      <c r="OJ49" s="54" t="str">
        <f>IFERROR(VLOOKUP(OB49,TIPODET1,2,FALSE)," ")</f>
        <v xml:space="preserve"> </v>
      </c>
      <c r="OK49" s="374"/>
    </row>
    <row r="71" spans="1:2" ht="15" thickBot="1" x14ac:dyDescent="0.35"/>
    <row r="72" spans="1:2" ht="15" thickTop="1" x14ac:dyDescent="0.3">
      <c r="A72" s="215" t="s">
        <v>834</v>
      </c>
      <c r="B72" s="216" t="s">
        <v>894</v>
      </c>
    </row>
    <row r="73" spans="1:2" x14ac:dyDescent="0.3">
      <c r="A73" s="217" t="s">
        <v>838</v>
      </c>
      <c r="B73" s="218" t="s">
        <v>894</v>
      </c>
    </row>
    <row r="74" spans="1:2" x14ac:dyDescent="0.3">
      <c r="A74" s="217" t="s">
        <v>841</v>
      </c>
      <c r="B74" s="218" t="s">
        <v>1354</v>
      </c>
    </row>
    <row r="75" spans="1:2" x14ac:dyDescent="0.3">
      <c r="A75" s="217" t="s">
        <v>866</v>
      </c>
      <c r="B75" s="218" t="s">
        <v>1355</v>
      </c>
    </row>
    <row r="76" spans="1:2" x14ac:dyDescent="0.3">
      <c r="A76" s="217" t="s">
        <v>873</v>
      </c>
      <c r="B76" s="218" t="s">
        <v>1356</v>
      </c>
    </row>
    <row r="77" spans="1:2" x14ac:dyDescent="0.3">
      <c r="A77" s="217" t="s">
        <v>1357</v>
      </c>
      <c r="B77" s="218" t="s">
        <v>1358</v>
      </c>
    </row>
    <row r="78" spans="1:2" x14ac:dyDescent="0.3">
      <c r="A78" s="217" t="s">
        <v>983</v>
      </c>
      <c r="B78" s="218" t="s">
        <v>1356</v>
      </c>
    </row>
    <row r="79" spans="1:2" x14ac:dyDescent="0.3">
      <c r="A79" s="217" t="s">
        <v>854</v>
      </c>
      <c r="B79" s="218" t="s">
        <v>1356</v>
      </c>
    </row>
    <row r="80" spans="1:2" x14ac:dyDescent="0.3">
      <c r="A80" s="217" t="s">
        <v>862</v>
      </c>
      <c r="B80" s="218"/>
    </row>
    <row r="81" spans="1:2" x14ac:dyDescent="0.3">
      <c r="A81" s="217" t="s">
        <v>875</v>
      </c>
      <c r="B81" s="218" t="s">
        <v>1356</v>
      </c>
    </row>
    <row r="82" spans="1:2" x14ac:dyDescent="0.3">
      <c r="A82" s="217" t="s">
        <v>1359</v>
      </c>
      <c r="B82" s="218" t="s">
        <v>1356</v>
      </c>
    </row>
    <row r="83" spans="1:2" x14ac:dyDescent="0.3">
      <c r="A83" s="217" t="s">
        <v>905</v>
      </c>
      <c r="B83" s="218" t="s">
        <v>1356</v>
      </c>
    </row>
    <row r="84" spans="1:2" x14ac:dyDescent="0.3">
      <c r="A84" s="217" t="s">
        <v>1360</v>
      </c>
      <c r="B84" s="218"/>
    </row>
    <row r="85" spans="1:2" x14ac:dyDescent="0.3">
      <c r="A85" s="217" t="s">
        <v>1109</v>
      </c>
      <c r="B85" s="312" t="s">
        <v>1356</v>
      </c>
    </row>
    <row r="86" spans="1:2" x14ac:dyDescent="0.3">
      <c r="A86" s="217"/>
      <c r="B86" s="219"/>
    </row>
    <row r="87" spans="1:2" x14ac:dyDescent="0.3">
      <c r="A87" s="217"/>
      <c r="B87" s="219"/>
    </row>
    <row r="88" spans="1:2" x14ac:dyDescent="0.3">
      <c r="A88" s="217"/>
      <c r="B88" s="219"/>
    </row>
    <row r="89" spans="1:2" x14ac:dyDescent="0.3">
      <c r="A89" s="217"/>
      <c r="B89" s="219"/>
    </row>
    <row r="90" spans="1:2" x14ac:dyDescent="0.3">
      <c r="A90" s="217"/>
      <c r="B90" s="219"/>
    </row>
    <row r="91" spans="1:2" x14ac:dyDescent="0.3">
      <c r="A91" s="217"/>
      <c r="B91" s="219"/>
    </row>
    <row r="92" spans="1:2" x14ac:dyDescent="0.3">
      <c r="A92" s="217"/>
      <c r="B92" s="219"/>
    </row>
    <row r="93" spans="1:2" x14ac:dyDescent="0.3">
      <c r="A93" s="217"/>
      <c r="B93" s="219"/>
    </row>
    <row r="94" spans="1:2" x14ac:dyDescent="0.3">
      <c r="A94" s="217"/>
      <c r="B94" s="219"/>
    </row>
    <row r="95" spans="1:2" x14ac:dyDescent="0.3">
      <c r="A95" s="217"/>
      <c r="B95" s="219"/>
    </row>
    <row r="96" spans="1:2" x14ac:dyDescent="0.3">
      <c r="A96" s="217"/>
      <c r="B96" s="219"/>
    </row>
    <row r="97" spans="1:2" x14ac:dyDescent="0.3">
      <c r="A97" s="217"/>
      <c r="B97" s="219"/>
    </row>
    <row r="98" spans="1:2" x14ac:dyDescent="0.3">
      <c r="A98" s="217"/>
      <c r="B98" s="219"/>
    </row>
    <row r="99" spans="1:2" x14ac:dyDescent="0.3">
      <c r="A99" s="217"/>
      <c r="B99" s="219"/>
    </row>
    <row r="100" spans="1:2" x14ac:dyDescent="0.3">
      <c r="A100" s="217"/>
      <c r="B100" s="219"/>
    </row>
    <row r="101" spans="1:2" x14ac:dyDescent="0.3">
      <c r="A101" s="217"/>
      <c r="B101" s="219"/>
    </row>
    <row r="102" spans="1:2" ht="15" thickBot="1" x14ac:dyDescent="0.35">
      <c r="A102" s="220"/>
      <c r="B102" s="221"/>
    </row>
    <row r="103" spans="1:2" ht="15" thickTop="1" x14ac:dyDescent="0.3"/>
  </sheetData>
  <sheetProtection algorithmName="SHA-512" hashValue="JsrAvjDmGu/+JpDiVb1bPZ5+LapVe1iS5+msCRCM7d2Ge4I4GnejyIu2VT68J/9VZgagmUlErNlzpSy3MmZ6zg==" saltValue="+/3UwtymEGsssK4oeQ1A1A==" spinCount="100000" sheet="1" objects="1" scenarios="1"/>
  <dataConsolidate/>
  <mergeCells count="41">
    <mergeCell ref="MN2:MW2"/>
    <mergeCell ref="MX2:NG2"/>
    <mergeCell ref="NH2:NQ2"/>
    <mergeCell ref="NR2:OA2"/>
    <mergeCell ref="OB2:OK2"/>
    <mergeCell ref="KP2:KY2"/>
    <mergeCell ref="KZ2:LI2"/>
    <mergeCell ref="LJ2:LS2"/>
    <mergeCell ref="LT2:MC2"/>
    <mergeCell ref="MD2:MM2"/>
    <mergeCell ref="A2:A3"/>
    <mergeCell ref="KF2:KO2"/>
    <mergeCell ref="IH2:IQ2"/>
    <mergeCell ref="IR2:JA2"/>
    <mergeCell ref="JB2:JK2"/>
    <mergeCell ref="JL2:JU2"/>
    <mergeCell ref="JV2:KE2"/>
    <mergeCell ref="GJ2:GS2"/>
    <mergeCell ref="GT2:HC2"/>
    <mergeCell ref="HD2:HM2"/>
    <mergeCell ref="HN2:HW2"/>
    <mergeCell ref="HX2:IG2"/>
    <mergeCell ref="AZ2:BI2"/>
    <mergeCell ref="EV2:FE2"/>
    <mergeCell ref="FF2:FO2"/>
    <mergeCell ref="FP2:FY2"/>
    <mergeCell ref="FZ2:GI2"/>
    <mergeCell ref="DR2:EA2"/>
    <mergeCell ref="EB2:EK2"/>
    <mergeCell ref="EL2:EU2"/>
    <mergeCell ref="BJ2:BS2"/>
    <mergeCell ref="BT2:CC2"/>
    <mergeCell ref="CD2:CM2"/>
    <mergeCell ref="CN2:CW2"/>
    <mergeCell ref="CX2:DG2"/>
    <mergeCell ref="DH2:DQ2"/>
    <mergeCell ref="B2:K2"/>
    <mergeCell ref="L2:U2"/>
    <mergeCell ref="V2:AE2"/>
    <mergeCell ref="AF2:AO2"/>
    <mergeCell ref="AP2:AY2"/>
  </mergeCells>
  <phoneticPr fontId="2" type="noConversion"/>
  <pageMargins left="0.7" right="0.7" top="0.75" bottom="0.75" header="0.3" footer="0.3"/>
  <pageSetup orientation="portrait"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5148-0CEB-4B1A-A64F-8FE3E9FF2530}">
  <sheetPr codeName="Sheet6">
    <tabColor rgb="FF92D050"/>
  </sheetPr>
  <dimension ref="A1:EVI55"/>
  <sheetViews>
    <sheetView showGridLines="0" showZeros="0" zoomScale="80" zoomScaleNormal="80" workbookViewId="0">
      <pane xSplit="1" ySplit="2" topLeftCell="B3" activePane="bottomRight" state="frozen"/>
      <selection activeCell="A44" sqref="A44"/>
      <selection pane="topRight" activeCell="A44" sqref="A44"/>
      <selection pane="bottomLeft" activeCell="A44" sqref="A44"/>
      <selection pane="bottomRight" activeCell="A44" sqref="A44"/>
    </sheetView>
  </sheetViews>
  <sheetFormatPr defaultColWidth="9.33203125" defaultRowHeight="14.4" x14ac:dyDescent="0.3"/>
  <cols>
    <col min="1" max="1" width="21.44140625" bestFit="1" customWidth="1"/>
    <col min="2" max="2" width="32.109375" bestFit="1" customWidth="1"/>
    <col min="3" max="3" width="10.88671875" style="1" customWidth="1"/>
    <col min="4" max="4" width="10.88671875" style="2" customWidth="1"/>
    <col min="5" max="5" width="10.88671875" customWidth="1"/>
    <col min="6" max="8" width="10.88671875" style="2" customWidth="1"/>
    <col min="9" max="9" width="10.88671875" style="1" customWidth="1"/>
    <col min="10" max="11" width="10.88671875" style="2" customWidth="1"/>
    <col min="12" max="3281" width="10.88671875" customWidth="1"/>
  </cols>
  <sheetData>
    <row r="1" spans="1:3961" x14ac:dyDescent="0.3">
      <c r="A1" s="1">
        <v>1</v>
      </c>
      <c r="B1" s="42">
        <f>A1+1</f>
        <v>2</v>
      </c>
      <c r="C1" s="1">
        <f t="shared" ref="C1:BN1" si="0">B1+1</f>
        <v>3</v>
      </c>
      <c r="D1" s="1">
        <f t="shared" si="0"/>
        <v>4</v>
      </c>
      <c r="E1" s="1">
        <f t="shared" si="0"/>
        <v>5</v>
      </c>
      <c r="F1" s="1">
        <f t="shared" si="0"/>
        <v>6</v>
      </c>
      <c r="G1" s="1">
        <f t="shared" si="0"/>
        <v>7</v>
      </c>
      <c r="H1" s="1">
        <f t="shared" si="0"/>
        <v>8</v>
      </c>
      <c r="I1" s="1">
        <f t="shared" si="0"/>
        <v>9</v>
      </c>
      <c r="J1" s="1">
        <f t="shared" si="0"/>
        <v>10</v>
      </c>
      <c r="K1" s="1">
        <f t="shared" si="0"/>
        <v>11</v>
      </c>
      <c r="L1" s="1">
        <f t="shared" si="0"/>
        <v>12</v>
      </c>
      <c r="M1" s="1">
        <f t="shared" si="0"/>
        <v>13</v>
      </c>
      <c r="N1" s="1">
        <f t="shared" si="0"/>
        <v>14</v>
      </c>
      <c r="O1" s="1">
        <f t="shared" si="0"/>
        <v>15</v>
      </c>
      <c r="P1" s="1">
        <f t="shared" si="0"/>
        <v>16</v>
      </c>
      <c r="Q1" s="1">
        <f t="shared" si="0"/>
        <v>17</v>
      </c>
      <c r="R1" s="1">
        <f t="shared" si="0"/>
        <v>18</v>
      </c>
      <c r="S1" s="1">
        <f t="shared" si="0"/>
        <v>19</v>
      </c>
      <c r="T1" s="1">
        <f t="shared" si="0"/>
        <v>20</v>
      </c>
      <c r="U1" s="1">
        <f t="shared" si="0"/>
        <v>21</v>
      </c>
      <c r="V1" s="1">
        <f t="shared" si="0"/>
        <v>22</v>
      </c>
      <c r="W1" s="1">
        <f t="shared" si="0"/>
        <v>23</v>
      </c>
      <c r="X1" s="1">
        <f t="shared" si="0"/>
        <v>24</v>
      </c>
      <c r="Y1" s="1">
        <f t="shared" si="0"/>
        <v>25</v>
      </c>
      <c r="Z1" s="1">
        <f t="shared" si="0"/>
        <v>26</v>
      </c>
      <c r="AA1" s="1">
        <f t="shared" si="0"/>
        <v>27</v>
      </c>
      <c r="AB1" s="1">
        <f t="shared" si="0"/>
        <v>28</v>
      </c>
      <c r="AC1" s="1">
        <f t="shared" si="0"/>
        <v>29</v>
      </c>
      <c r="AD1" s="1">
        <f t="shared" si="0"/>
        <v>30</v>
      </c>
      <c r="AE1" s="1">
        <f t="shared" si="0"/>
        <v>31</v>
      </c>
      <c r="AF1" s="1">
        <f t="shared" si="0"/>
        <v>32</v>
      </c>
      <c r="AG1" s="1">
        <f t="shared" si="0"/>
        <v>33</v>
      </c>
      <c r="AH1" s="1">
        <f t="shared" si="0"/>
        <v>34</v>
      </c>
      <c r="AI1" s="1">
        <f t="shared" si="0"/>
        <v>35</v>
      </c>
      <c r="AJ1" s="1">
        <f t="shared" si="0"/>
        <v>36</v>
      </c>
      <c r="AK1" s="1">
        <f t="shared" si="0"/>
        <v>37</v>
      </c>
      <c r="AL1" s="1">
        <f t="shared" si="0"/>
        <v>38</v>
      </c>
      <c r="AM1" s="1">
        <f t="shared" si="0"/>
        <v>39</v>
      </c>
      <c r="AN1" s="1">
        <f t="shared" si="0"/>
        <v>40</v>
      </c>
      <c r="AO1" s="1">
        <f t="shared" si="0"/>
        <v>41</v>
      </c>
      <c r="AP1" s="1">
        <f t="shared" si="0"/>
        <v>42</v>
      </c>
      <c r="AQ1" s="1">
        <f t="shared" si="0"/>
        <v>43</v>
      </c>
      <c r="AR1" s="1">
        <f t="shared" si="0"/>
        <v>44</v>
      </c>
      <c r="AS1" s="1">
        <f t="shared" si="0"/>
        <v>45</v>
      </c>
      <c r="AT1" s="42">
        <f t="shared" si="0"/>
        <v>46</v>
      </c>
      <c r="AU1" s="1">
        <f t="shared" si="0"/>
        <v>47</v>
      </c>
      <c r="AV1" s="1">
        <f t="shared" si="0"/>
        <v>48</v>
      </c>
      <c r="AW1" s="1">
        <f t="shared" si="0"/>
        <v>49</v>
      </c>
      <c r="AX1" s="1">
        <f t="shared" si="0"/>
        <v>50</v>
      </c>
      <c r="AY1" s="1">
        <f t="shared" si="0"/>
        <v>51</v>
      </c>
      <c r="AZ1" s="1">
        <f t="shared" si="0"/>
        <v>52</v>
      </c>
      <c r="BA1" s="1">
        <f t="shared" si="0"/>
        <v>53</v>
      </c>
      <c r="BB1" s="1">
        <f t="shared" si="0"/>
        <v>54</v>
      </c>
      <c r="BC1" s="1">
        <f t="shared" si="0"/>
        <v>55</v>
      </c>
      <c r="BD1" s="1">
        <f t="shared" si="0"/>
        <v>56</v>
      </c>
      <c r="BE1" s="1">
        <f t="shared" si="0"/>
        <v>57</v>
      </c>
      <c r="BF1" s="1">
        <f t="shared" si="0"/>
        <v>58</v>
      </c>
      <c r="BG1" s="1">
        <f t="shared" si="0"/>
        <v>59</v>
      </c>
      <c r="BH1" s="1">
        <f t="shared" si="0"/>
        <v>60</v>
      </c>
      <c r="BI1" s="1">
        <f t="shared" si="0"/>
        <v>61</v>
      </c>
      <c r="BJ1" s="1">
        <f t="shared" si="0"/>
        <v>62</v>
      </c>
      <c r="BK1" s="1">
        <f t="shared" si="0"/>
        <v>63</v>
      </c>
      <c r="BL1" s="1">
        <f t="shared" si="0"/>
        <v>64</v>
      </c>
      <c r="BM1" s="1">
        <f t="shared" si="0"/>
        <v>65</v>
      </c>
      <c r="BN1" s="1">
        <f t="shared" si="0"/>
        <v>66</v>
      </c>
      <c r="BO1" s="1">
        <f t="shared" ref="BO1:DZ1" si="1">BN1+1</f>
        <v>67</v>
      </c>
      <c r="BP1" s="1">
        <f t="shared" si="1"/>
        <v>68</v>
      </c>
      <c r="BQ1" s="1">
        <f t="shared" si="1"/>
        <v>69</v>
      </c>
      <c r="BR1" s="1">
        <f t="shared" si="1"/>
        <v>70</v>
      </c>
      <c r="BS1" s="1">
        <f t="shared" si="1"/>
        <v>71</v>
      </c>
      <c r="BT1" s="1">
        <f t="shared" si="1"/>
        <v>72</v>
      </c>
      <c r="BU1" s="1">
        <f t="shared" si="1"/>
        <v>73</v>
      </c>
      <c r="BV1" s="1">
        <f t="shared" si="1"/>
        <v>74</v>
      </c>
      <c r="BW1" s="1">
        <f t="shared" si="1"/>
        <v>75</v>
      </c>
      <c r="BX1" s="1">
        <f t="shared" si="1"/>
        <v>76</v>
      </c>
      <c r="BY1" s="1">
        <f t="shared" si="1"/>
        <v>77</v>
      </c>
      <c r="BZ1" s="1">
        <f t="shared" si="1"/>
        <v>78</v>
      </c>
      <c r="CA1" s="1">
        <f t="shared" si="1"/>
        <v>79</v>
      </c>
      <c r="CB1" s="1">
        <f t="shared" si="1"/>
        <v>80</v>
      </c>
      <c r="CC1" s="1">
        <f t="shared" si="1"/>
        <v>81</v>
      </c>
      <c r="CD1" s="1">
        <f t="shared" si="1"/>
        <v>82</v>
      </c>
      <c r="CE1" s="1">
        <f t="shared" si="1"/>
        <v>83</v>
      </c>
      <c r="CF1" s="1">
        <f t="shared" si="1"/>
        <v>84</v>
      </c>
      <c r="CG1" s="1">
        <f t="shared" si="1"/>
        <v>85</v>
      </c>
      <c r="CH1" s="1">
        <f t="shared" si="1"/>
        <v>86</v>
      </c>
      <c r="CI1" s="1">
        <f t="shared" si="1"/>
        <v>87</v>
      </c>
      <c r="CJ1" s="1">
        <f t="shared" si="1"/>
        <v>88</v>
      </c>
      <c r="CK1" s="1">
        <f t="shared" si="1"/>
        <v>89</v>
      </c>
      <c r="CL1" s="42">
        <f t="shared" si="1"/>
        <v>90</v>
      </c>
      <c r="CM1" s="1">
        <f t="shared" si="1"/>
        <v>91</v>
      </c>
      <c r="CN1" s="1">
        <f t="shared" si="1"/>
        <v>92</v>
      </c>
      <c r="CO1" s="1">
        <f t="shared" si="1"/>
        <v>93</v>
      </c>
      <c r="CP1" s="1">
        <f t="shared" si="1"/>
        <v>94</v>
      </c>
      <c r="CQ1" s="1">
        <f t="shared" si="1"/>
        <v>95</v>
      </c>
      <c r="CR1" s="1">
        <f t="shared" si="1"/>
        <v>96</v>
      </c>
      <c r="CS1" s="1">
        <f t="shared" si="1"/>
        <v>97</v>
      </c>
      <c r="CT1" s="1">
        <f t="shared" si="1"/>
        <v>98</v>
      </c>
      <c r="CU1" s="1">
        <f t="shared" si="1"/>
        <v>99</v>
      </c>
      <c r="CV1" s="1">
        <f t="shared" si="1"/>
        <v>100</v>
      </c>
      <c r="CW1" s="1">
        <f t="shared" si="1"/>
        <v>101</v>
      </c>
      <c r="CX1" s="1">
        <f t="shared" si="1"/>
        <v>102</v>
      </c>
      <c r="CY1" s="1">
        <f t="shared" si="1"/>
        <v>103</v>
      </c>
      <c r="CZ1" s="1">
        <f t="shared" si="1"/>
        <v>104</v>
      </c>
      <c r="DA1" s="1">
        <f t="shared" si="1"/>
        <v>105</v>
      </c>
      <c r="DB1" s="1">
        <f t="shared" si="1"/>
        <v>106</v>
      </c>
      <c r="DC1" s="1">
        <f t="shared" si="1"/>
        <v>107</v>
      </c>
      <c r="DD1" s="1">
        <f t="shared" si="1"/>
        <v>108</v>
      </c>
      <c r="DE1" s="1">
        <f t="shared" si="1"/>
        <v>109</v>
      </c>
      <c r="DF1" s="1">
        <f t="shared" si="1"/>
        <v>110</v>
      </c>
      <c r="DG1" s="1">
        <f t="shared" si="1"/>
        <v>111</v>
      </c>
      <c r="DH1" s="1">
        <f t="shared" si="1"/>
        <v>112</v>
      </c>
      <c r="DI1" s="1">
        <f t="shared" si="1"/>
        <v>113</v>
      </c>
      <c r="DJ1" s="1">
        <f t="shared" si="1"/>
        <v>114</v>
      </c>
      <c r="DK1" s="1">
        <f t="shared" si="1"/>
        <v>115</v>
      </c>
      <c r="DL1" s="1">
        <f t="shared" si="1"/>
        <v>116</v>
      </c>
      <c r="DM1" s="1">
        <f t="shared" si="1"/>
        <v>117</v>
      </c>
      <c r="DN1" s="1">
        <f t="shared" si="1"/>
        <v>118</v>
      </c>
      <c r="DO1" s="1">
        <f t="shared" si="1"/>
        <v>119</v>
      </c>
      <c r="DP1" s="1">
        <f t="shared" si="1"/>
        <v>120</v>
      </c>
      <c r="DQ1" s="1">
        <f t="shared" si="1"/>
        <v>121</v>
      </c>
      <c r="DR1" s="1">
        <f t="shared" si="1"/>
        <v>122</v>
      </c>
      <c r="DS1" s="1">
        <f t="shared" si="1"/>
        <v>123</v>
      </c>
      <c r="DT1" s="1">
        <f t="shared" si="1"/>
        <v>124</v>
      </c>
      <c r="DU1" s="1">
        <f t="shared" si="1"/>
        <v>125</v>
      </c>
      <c r="DV1" s="1">
        <f t="shared" si="1"/>
        <v>126</v>
      </c>
      <c r="DW1" s="1">
        <f t="shared" si="1"/>
        <v>127</v>
      </c>
      <c r="DX1" s="1">
        <f t="shared" si="1"/>
        <v>128</v>
      </c>
      <c r="DY1" s="1">
        <f t="shared" si="1"/>
        <v>129</v>
      </c>
      <c r="DZ1" s="1">
        <f t="shared" si="1"/>
        <v>130</v>
      </c>
      <c r="EA1" s="1">
        <f t="shared" ref="EA1:GL1" si="2">DZ1+1</f>
        <v>131</v>
      </c>
      <c r="EB1" s="1">
        <f t="shared" si="2"/>
        <v>132</v>
      </c>
      <c r="EC1" s="1">
        <f t="shared" si="2"/>
        <v>133</v>
      </c>
      <c r="ED1" s="42">
        <f t="shared" si="2"/>
        <v>134</v>
      </c>
      <c r="EE1" s="1">
        <f t="shared" si="2"/>
        <v>135</v>
      </c>
      <c r="EF1" s="1">
        <f t="shared" si="2"/>
        <v>136</v>
      </c>
      <c r="EG1" s="1">
        <f t="shared" si="2"/>
        <v>137</v>
      </c>
      <c r="EH1" s="1">
        <f t="shared" si="2"/>
        <v>138</v>
      </c>
      <c r="EI1" s="1">
        <f t="shared" si="2"/>
        <v>139</v>
      </c>
      <c r="EJ1" s="1">
        <f t="shared" si="2"/>
        <v>140</v>
      </c>
      <c r="EK1" s="1">
        <f t="shared" si="2"/>
        <v>141</v>
      </c>
      <c r="EL1" s="1">
        <f t="shared" si="2"/>
        <v>142</v>
      </c>
      <c r="EM1" s="1">
        <f t="shared" si="2"/>
        <v>143</v>
      </c>
      <c r="EN1" s="1">
        <f t="shared" si="2"/>
        <v>144</v>
      </c>
      <c r="EO1" s="1">
        <f t="shared" si="2"/>
        <v>145</v>
      </c>
      <c r="EP1" s="1">
        <f t="shared" si="2"/>
        <v>146</v>
      </c>
      <c r="EQ1" s="1">
        <f t="shared" si="2"/>
        <v>147</v>
      </c>
      <c r="ER1" s="1">
        <f t="shared" si="2"/>
        <v>148</v>
      </c>
      <c r="ES1" s="1">
        <f t="shared" si="2"/>
        <v>149</v>
      </c>
      <c r="ET1" s="1">
        <f t="shared" si="2"/>
        <v>150</v>
      </c>
      <c r="EU1" s="1">
        <f t="shared" si="2"/>
        <v>151</v>
      </c>
      <c r="EV1" s="1">
        <f t="shared" si="2"/>
        <v>152</v>
      </c>
      <c r="EW1" s="1">
        <f t="shared" si="2"/>
        <v>153</v>
      </c>
      <c r="EX1" s="1">
        <f t="shared" si="2"/>
        <v>154</v>
      </c>
      <c r="EY1" s="1">
        <f t="shared" si="2"/>
        <v>155</v>
      </c>
      <c r="EZ1" s="1">
        <f t="shared" si="2"/>
        <v>156</v>
      </c>
      <c r="FA1" s="1">
        <f t="shared" si="2"/>
        <v>157</v>
      </c>
      <c r="FB1" s="1">
        <f t="shared" si="2"/>
        <v>158</v>
      </c>
      <c r="FC1" s="1">
        <f t="shared" si="2"/>
        <v>159</v>
      </c>
      <c r="FD1" s="1">
        <f t="shared" si="2"/>
        <v>160</v>
      </c>
      <c r="FE1" s="1">
        <f t="shared" si="2"/>
        <v>161</v>
      </c>
      <c r="FF1" s="1">
        <f t="shared" si="2"/>
        <v>162</v>
      </c>
      <c r="FG1" s="1">
        <f t="shared" si="2"/>
        <v>163</v>
      </c>
      <c r="FH1" s="1">
        <f t="shared" si="2"/>
        <v>164</v>
      </c>
      <c r="FI1" s="1">
        <f t="shared" si="2"/>
        <v>165</v>
      </c>
      <c r="FJ1" s="1">
        <f t="shared" si="2"/>
        <v>166</v>
      </c>
      <c r="FK1" s="1">
        <f t="shared" si="2"/>
        <v>167</v>
      </c>
      <c r="FL1" s="1">
        <f t="shared" si="2"/>
        <v>168</v>
      </c>
      <c r="FM1" s="1">
        <f t="shared" si="2"/>
        <v>169</v>
      </c>
      <c r="FN1" s="1">
        <f t="shared" si="2"/>
        <v>170</v>
      </c>
      <c r="FO1" s="1">
        <f t="shared" si="2"/>
        <v>171</v>
      </c>
      <c r="FP1" s="1">
        <f t="shared" si="2"/>
        <v>172</v>
      </c>
      <c r="FQ1" s="1">
        <f t="shared" si="2"/>
        <v>173</v>
      </c>
      <c r="FR1" s="1">
        <f t="shared" si="2"/>
        <v>174</v>
      </c>
      <c r="FS1" s="1">
        <f t="shared" si="2"/>
        <v>175</v>
      </c>
      <c r="FT1" s="1">
        <f t="shared" si="2"/>
        <v>176</v>
      </c>
      <c r="FU1" s="1">
        <f t="shared" si="2"/>
        <v>177</v>
      </c>
      <c r="FV1" s="42">
        <f t="shared" si="2"/>
        <v>178</v>
      </c>
      <c r="FW1" s="1">
        <f t="shared" si="2"/>
        <v>179</v>
      </c>
      <c r="FX1" s="1">
        <f t="shared" si="2"/>
        <v>180</v>
      </c>
      <c r="FY1" s="1">
        <f t="shared" si="2"/>
        <v>181</v>
      </c>
      <c r="FZ1" s="1">
        <f t="shared" si="2"/>
        <v>182</v>
      </c>
      <c r="GA1" s="1">
        <f t="shared" si="2"/>
        <v>183</v>
      </c>
      <c r="GB1" s="1">
        <f t="shared" si="2"/>
        <v>184</v>
      </c>
      <c r="GC1" s="1">
        <f t="shared" si="2"/>
        <v>185</v>
      </c>
      <c r="GD1" s="1">
        <f t="shared" si="2"/>
        <v>186</v>
      </c>
      <c r="GE1" s="1">
        <f t="shared" si="2"/>
        <v>187</v>
      </c>
      <c r="GF1" s="1">
        <f t="shared" si="2"/>
        <v>188</v>
      </c>
      <c r="GG1" s="1">
        <f t="shared" si="2"/>
        <v>189</v>
      </c>
      <c r="GH1" s="1">
        <f t="shared" si="2"/>
        <v>190</v>
      </c>
      <c r="GI1" s="1">
        <f t="shared" si="2"/>
        <v>191</v>
      </c>
      <c r="GJ1" s="1">
        <f t="shared" si="2"/>
        <v>192</v>
      </c>
      <c r="GK1" s="1">
        <f t="shared" si="2"/>
        <v>193</v>
      </c>
      <c r="GL1" s="1">
        <f t="shared" si="2"/>
        <v>194</v>
      </c>
      <c r="GM1" s="1">
        <f t="shared" ref="GM1:IX1" si="3">GL1+1</f>
        <v>195</v>
      </c>
      <c r="GN1" s="1">
        <f t="shared" si="3"/>
        <v>196</v>
      </c>
      <c r="GO1" s="1">
        <f t="shared" si="3"/>
        <v>197</v>
      </c>
      <c r="GP1" s="1">
        <f t="shared" si="3"/>
        <v>198</v>
      </c>
      <c r="GQ1" s="1">
        <f t="shared" si="3"/>
        <v>199</v>
      </c>
      <c r="GR1" s="1">
        <f t="shared" si="3"/>
        <v>200</v>
      </c>
      <c r="GS1" s="1">
        <f t="shared" si="3"/>
        <v>201</v>
      </c>
      <c r="GT1" s="1">
        <f t="shared" si="3"/>
        <v>202</v>
      </c>
      <c r="GU1" s="1">
        <f t="shared" si="3"/>
        <v>203</v>
      </c>
      <c r="GV1" s="1">
        <f t="shared" si="3"/>
        <v>204</v>
      </c>
      <c r="GW1" s="1">
        <f t="shared" si="3"/>
        <v>205</v>
      </c>
      <c r="GX1" s="1">
        <f t="shared" si="3"/>
        <v>206</v>
      </c>
      <c r="GY1" s="1">
        <f t="shared" si="3"/>
        <v>207</v>
      </c>
      <c r="GZ1" s="1">
        <f t="shared" si="3"/>
        <v>208</v>
      </c>
      <c r="HA1" s="1">
        <f t="shared" si="3"/>
        <v>209</v>
      </c>
      <c r="HB1" s="1">
        <f t="shared" si="3"/>
        <v>210</v>
      </c>
      <c r="HC1" s="1">
        <f t="shared" si="3"/>
        <v>211</v>
      </c>
      <c r="HD1" s="1">
        <f t="shared" si="3"/>
        <v>212</v>
      </c>
      <c r="HE1" s="1">
        <f t="shared" si="3"/>
        <v>213</v>
      </c>
      <c r="HF1" s="1">
        <f t="shared" si="3"/>
        <v>214</v>
      </c>
      <c r="HG1" s="1">
        <f t="shared" si="3"/>
        <v>215</v>
      </c>
      <c r="HH1" s="1">
        <f t="shared" si="3"/>
        <v>216</v>
      </c>
      <c r="HI1" s="1">
        <f t="shared" si="3"/>
        <v>217</v>
      </c>
      <c r="HJ1" s="1">
        <f t="shared" si="3"/>
        <v>218</v>
      </c>
      <c r="HK1" s="1">
        <f t="shared" si="3"/>
        <v>219</v>
      </c>
      <c r="HL1" s="1">
        <f t="shared" si="3"/>
        <v>220</v>
      </c>
      <c r="HM1" s="1">
        <f t="shared" si="3"/>
        <v>221</v>
      </c>
      <c r="HN1" s="42">
        <f t="shared" si="3"/>
        <v>222</v>
      </c>
      <c r="HO1" s="1">
        <f t="shared" si="3"/>
        <v>223</v>
      </c>
      <c r="HP1" s="1">
        <f t="shared" si="3"/>
        <v>224</v>
      </c>
      <c r="HQ1" s="1">
        <f t="shared" si="3"/>
        <v>225</v>
      </c>
      <c r="HR1" s="1">
        <f t="shared" si="3"/>
        <v>226</v>
      </c>
      <c r="HS1" s="1">
        <f t="shared" si="3"/>
        <v>227</v>
      </c>
      <c r="HT1" s="1">
        <f t="shared" si="3"/>
        <v>228</v>
      </c>
      <c r="HU1" s="1">
        <f t="shared" si="3"/>
        <v>229</v>
      </c>
      <c r="HV1" s="1">
        <f t="shared" si="3"/>
        <v>230</v>
      </c>
      <c r="HW1" s="1">
        <f t="shared" si="3"/>
        <v>231</v>
      </c>
      <c r="HX1" s="1">
        <f t="shared" si="3"/>
        <v>232</v>
      </c>
      <c r="HY1" s="1">
        <f t="shared" si="3"/>
        <v>233</v>
      </c>
      <c r="HZ1" s="1">
        <f t="shared" si="3"/>
        <v>234</v>
      </c>
      <c r="IA1" s="1">
        <f t="shared" si="3"/>
        <v>235</v>
      </c>
      <c r="IB1" s="1">
        <f t="shared" si="3"/>
        <v>236</v>
      </c>
      <c r="IC1" s="1">
        <f t="shared" si="3"/>
        <v>237</v>
      </c>
      <c r="ID1" s="1">
        <f t="shared" si="3"/>
        <v>238</v>
      </c>
      <c r="IE1" s="1">
        <f t="shared" si="3"/>
        <v>239</v>
      </c>
      <c r="IF1" s="1">
        <f t="shared" si="3"/>
        <v>240</v>
      </c>
      <c r="IG1" s="1">
        <f t="shared" si="3"/>
        <v>241</v>
      </c>
      <c r="IH1" s="1">
        <f t="shared" si="3"/>
        <v>242</v>
      </c>
      <c r="II1" s="1">
        <f t="shared" si="3"/>
        <v>243</v>
      </c>
      <c r="IJ1" s="1">
        <f t="shared" si="3"/>
        <v>244</v>
      </c>
      <c r="IK1" s="1">
        <f t="shared" si="3"/>
        <v>245</v>
      </c>
      <c r="IL1" s="1">
        <f t="shared" si="3"/>
        <v>246</v>
      </c>
      <c r="IM1" s="1">
        <f t="shared" si="3"/>
        <v>247</v>
      </c>
      <c r="IN1" s="1">
        <f t="shared" si="3"/>
        <v>248</v>
      </c>
      <c r="IO1" s="1">
        <f t="shared" si="3"/>
        <v>249</v>
      </c>
      <c r="IP1" s="1">
        <f t="shared" si="3"/>
        <v>250</v>
      </c>
      <c r="IQ1" s="1">
        <f t="shared" si="3"/>
        <v>251</v>
      </c>
      <c r="IR1" s="1">
        <f t="shared" si="3"/>
        <v>252</v>
      </c>
      <c r="IS1" s="1">
        <f t="shared" si="3"/>
        <v>253</v>
      </c>
      <c r="IT1" s="1">
        <f t="shared" si="3"/>
        <v>254</v>
      </c>
      <c r="IU1" s="1">
        <f t="shared" si="3"/>
        <v>255</v>
      </c>
      <c r="IV1" s="1">
        <f t="shared" si="3"/>
        <v>256</v>
      </c>
      <c r="IW1" s="1">
        <f t="shared" si="3"/>
        <v>257</v>
      </c>
      <c r="IX1" s="1">
        <f t="shared" si="3"/>
        <v>258</v>
      </c>
      <c r="IY1" s="1">
        <f t="shared" ref="IY1:LJ1" si="4">IX1+1</f>
        <v>259</v>
      </c>
      <c r="IZ1" s="1">
        <f t="shared" si="4"/>
        <v>260</v>
      </c>
      <c r="JA1" s="1">
        <f t="shared" si="4"/>
        <v>261</v>
      </c>
      <c r="JB1" s="1">
        <f t="shared" si="4"/>
        <v>262</v>
      </c>
      <c r="JC1" s="1">
        <f t="shared" si="4"/>
        <v>263</v>
      </c>
      <c r="JD1" s="1">
        <f t="shared" si="4"/>
        <v>264</v>
      </c>
      <c r="JE1" s="1">
        <f t="shared" si="4"/>
        <v>265</v>
      </c>
      <c r="JF1" s="42">
        <f t="shared" si="4"/>
        <v>266</v>
      </c>
      <c r="JG1" s="1">
        <f t="shared" si="4"/>
        <v>267</v>
      </c>
      <c r="JH1" s="1">
        <f t="shared" si="4"/>
        <v>268</v>
      </c>
      <c r="JI1" s="1">
        <f t="shared" si="4"/>
        <v>269</v>
      </c>
      <c r="JJ1" s="1">
        <f t="shared" si="4"/>
        <v>270</v>
      </c>
      <c r="JK1" s="1">
        <f t="shared" si="4"/>
        <v>271</v>
      </c>
      <c r="JL1" s="1">
        <f t="shared" si="4"/>
        <v>272</v>
      </c>
      <c r="JM1" s="1">
        <f t="shared" si="4"/>
        <v>273</v>
      </c>
      <c r="JN1" s="1">
        <f t="shared" si="4"/>
        <v>274</v>
      </c>
      <c r="JO1" s="1">
        <f t="shared" si="4"/>
        <v>275</v>
      </c>
      <c r="JP1" s="1">
        <f t="shared" si="4"/>
        <v>276</v>
      </c>
      <c r="JQ1" s="1">
        <f t="shared" si="4"/>
        <v>277</v>
      </c>
      <c r="JR1" s="1">
        <f t="shared" si="4"/>
        <v>278</v>
      </c>
      <c r="JS1" s="1">
        <f t="shared" si="4"/>
        <v>279</v>
      </c>
      <c r="JT1" s="1">
        <f t="shared" si="4"/>
        <v>280</v>
      </c>
      <c r="JU1" s="1">
        <f t="shared" si="4"/>
        <v>281</v>
      </c>
      <c r="JV1" s="1">
        <f t="shared" si="4"/>
        <v>282</v>
      </c>
      <c r="JW1" s="1">
        <f t="shared" si="4"/>
        <v>283</v>
      </c>
      <c r="JX1" s="1">
        <f t="shared" si="4"/>
        <v>284</v>
      </c>
      <c r="JY1" s="1">
        <f t="shared" si="4"/>
        <v>285</v>
      </c>
      <c r="JZ1" s="1">
        <f t="shared" si="4"/>
        <v>286</v>
      </c>
      <c r="KA1" s="1">
        <f t="shared" si="4"/>
        <v>287</v>
      </c>
      <c r="KB1" s="1">
        <f t="shared" si="4"/>
        <v>288</v>
      </c>
      <c r="KC1" s="1">
        <f t="shared" si="4"/>
        <v>289</v>
      </c>
      <c r="KD1" s="1">
        <f t="shared" si="4"/>
        <v>290</v>
      </c>
      <c r="KE1" s="1">
        <f t="shared" si="4"/>
        <v>291</v>
      </c>
      <c r="KF1" s="1">
        <f t="shared" si="4"/>
        <v>292</v>
      </c>
      <c r="KG1" s="1">
        <f t="shared" si="4"/>
        <v>293</v>
      </c>
      <c r="KH1" s="1">
        <f t="shared" si="4"/>
        <v>294</v>
      </c>
      <c r="KI1" s="1">
        <f t="shared" si="4"/>
        <v>295</v>
      </c>
      <c r="KJ1" s="1">
        <f t="shared" si="4"/>
        <v>296</v>
      </c>
      <c r="KK1" s="1">
        <f t="shared" si="4"/>
        <v>297</v>
      </c>
      <c r="KL1" s="1">
        <f t="shared" si="4"/>
        <v>298</v>
      </c>
      <c r="KM1" s="1">
        <f t="shared" si="4"/>
        <v>299</v>
      </c>
      <c r="KN1" s="1">
        <f t="shared" si="4"/>
        <v>300</v>
      </c>
      <c r="KO1" s="1">
        <f t="shared" si="4"/>
        <v>301</v>
      </c>
      <c r="KP1" s="1">
        <f t="shared" si="4"/>
        <v>302</v>
      </c>
      <c r="KQ1" s="1">
        <f t="shared" si="4"/>
        <v>303</v>
      </c>
      <c r="KR1" s="1">
        <f t="shared" si="4"/>
        <v>304</v>
      </c>
      <c r="KS1" s="1">
        <f t="shared" si="4"/>
        <v>305</v>
      </c>
      <c r="KT1" s="1">
        <f t="shared" si="4"/>
        <v>306</v>
      </c>
      <c r="KU1" s="1">
        <f t="shared" si="4"/>
        <v>307</v>
      </c>
      <c r="KV1" s="1">
        <f t="shared" si="4"/>
        <v>308</v>
      </c>
      <c r="KW1" s="1">
        <f t="shared" si="4"/>
        <v>309</v>
      </c>
      <c r="KX1" s="42">
        <f t="shared" si="4"/>
        <v>310</v>
      </c>
      <c r="KY1" s="1">
        <f t="shared" si="4"/>
        <v>311</v>
      </c>
      <c r="KZ1" s="1">
        <f t="shared" si="4"/>
        <v>312</v>
      </c>
      <c r="LA1" s="1">
        <f t="shared" si="4"/>
        <v>313</v>
      </c>
      <c r="LB1" s="1">
        <f t="shared" si="4"/>
        <v>314</v>
      </c>
      <c r="LC1" s="1">
        <f t="shared" si="4"/>
        <v>315</v>
      </c>
      <c r="LD1" s="1">
        <f t="shared" si="4"/>
        <v>316</v>
      </c>
      <c r="LE1" s="1">
        <f t="shared" si="4"/>
        <v>317</v>
      </c>
      <c r="LF1" s="1">
        <f t="shared" si="4"/>
        <v>318</v>
      </c>
      <c r="LG1" s="1">
        <f t="shared" si="4"/>
        <v>319</v>
      </c>
      <c r="LH1" s="1">
        <f t="shared" si="4"/>
        <v>320</v>
      </c>
      <c r="LI1" s="1">
        <f t="shared" si="4"/>
        <v>321</v>
      </c>
      <c r="LJ1" s="1">
        <f t="shared" si="4"/>
        <v>322</v>
      </c>
      <c r="LK1" s="1">
        <f t="shared" ref="LK1:NV1" si="5">LJ1+1</f>
        <v>323</v>
      </c>
      <c r="LL1" s="1">
        <f t="shared" si="5"/>
        <v>324</v>
      </c>
      <c r="LM1" s="1">
        <f t="shared" si="5"/>
        <v>325</v>
      </c>
      <c r="LN1" s="1">
        <f t="shared" si="5"/>
        <v>326</v>
      </c>
      <c r="LO1" s="1">
        <f t="shared" si="5"/>
        <v>327</v>
      </c>
      <c r="LP1" s="1">
        <f t="shared" si="5"/>
        <v>328</v>
      </c>
      <c r="LQ1" s="1">
        <f t="shared" si="5"/>
        <v>329</v>
      </c>
      <c r="LR1" s="1">
        <f t="shared" si="5"/>
        <v>330</v>
      </c>
      <c r="LS1" s="1">
        <f t="shared" si="5"/>
        <v>331</v>
      </c>
      <c r="LT1" s="1">
        <f t="shared" si="5"/>
        <v>332</v>
      </c>
      <c r="LU1" s="1">
        <f t="shared" si="5"/>
        <v>333</v>
      </c>
      <c r="LV1" s="1">
        <f t="shared" si="5"/>
        <v>334</v>
      </c>
      <c r="LW1" s="1">
        <f t="shared" si="5"/>
        <v>335</v>
      </c>
      <c r="LX1" s="1">
        <f t="shared" si="5"/>
        <v>336</v>
      </c>
      <c r="LY1" s="1">
        <f t="shared" si="5"/>
        <v>337</v>
      </c>
      <c r="LZ1" s="1">
        <f t="shared" si="5"/>
        <v>338</v>
      </c>
      <c r="MA1" s="1">
        <f t="shared" si="5"/>
        <v>339</v>
      </c>
      <c r="MB1" s="1">
        <f t="shared" si="5"/>
        <v>340</v>
      </c>
      <c r="MC1" s="1">
        <f t="shared" si="5"/>
        <v>341</v>
      </c>
      <c r="MD1" s="1">
        <f t="shared" si="5"/>
        <v>342</v>
      </c>
      <c r="ME1" s="1">
        <f t="shared" si="5"/>
        <v>343</v>
      </c>
      <c r="MF1" s="1">
        <f t="shared" si="5"/>
        <v>344</v>
      </c>
      <c r="MG1" s="1">
        <f t="shared" si="5"/>
        <v>345</v>
      </c>
      <c r="MH1" s="1">
        <f t="shared" si="5"/>
        <v>346</v>
      </c>
      <c r="MI1" s="1">
        <f t="shared" si="5"/>
        <v>347</v>
      </c>
      <c r="MJ1" s="1">
        <f t="shared" si="5"/>
        <v>348</v>
      </c>
      <c r="MK1" s="1">
        <f t="shared" si="5"/>
        <v>349</v>
      </c>
      <c r="ML1" s="1">
        <f t="shared" si="5"/>
        <v>350</v>
      </c>
      <c r="MM1" s="1">
        <f t="shared" si="5"/>
        <v>351</v>
      </c>
      <c r="MN1" s="1">
        <f t="shared" si="5"/>
        <v>352</v>
      </c>
      <c r="MO1" s="1">
        <f t="shared" si="5"/>
        <v>353</v>
      </c>
      <c r="MP1" s="42">
        <f t="shared" si="5"/>
        <v>354</v>
      </c>
      <c r="MQ1" s="1">
        <f t="shared" si="5"/>
        <v>355</v>
      </c>
      <c r="MR1" s="1">
        <f t="shared" si="5"/>
        <v>356</v>
      </c>
      <c r="MS1" s="1">
        <f t="shared" si="5"/>
        <v>357</v>
      </c>
      <c r="MT1" s="1">
        <f t="shared" si="5"/>
        <v>358</v>
      </c>
      <c r="MU1" s="1">
        <f t="shared" si="5"/>
        <v>359</v>
      </c>
      <c r="MV1" s="1">
        <f t="shared" si="5"/>
        <v>360</v>
      </c>
      <c r="MW1" s="1">
        <f t="shared" si="5"/>
        <v>361</v>
      </c>
      <c r="MX1" s="1">
        <f t="shared" si="5"/>
        <v>362</v>
      </c>
      <c r="MY1" s="1">
        <f t="shared" si="5"/>
        <v>363</v>
      </c>
      <c r="MZ1" s="1">
        <f t="shared" si="5"/>
        <v>364</v>
      </c>
      <c r="NA1" s="1">
        <f t="shared" si="5"/>
        <v>365</v>
      </c>
      <c r="NB1" s="1">
        <f t="shared" si="5"/>
        <v>366</v>
      </c>
      <c r="NC1" s="1">
        <f t="shared" si="5"/>
        <v>367</v>
      </c>
      <c r="ND1" s="1">
        <f t="shared" si="5"/>
        <v>368</v>
      </c>
      <c r="NE1" s="1">
        <f t="shared" si="5"/>
        <v>369</v>
      </c>
      <c r="NF1" s="1">
        <f t="shared" si="5"/>
        <v>370</v>
      </c>
      <c r="NG1" s="1">
        <f t="shared" si="5"/>
        <v>371</v>
      </c>
      <c r="NH1" s="1">
        <f t="shared" si="5"/>
        <v>372</v>
      </c>
      <c r="NI1" s="1">
        <f t="shared" si="5"/>
        <v>373</v>
      </c>
      <c r="NJ1" s="1">
        <f t="shared" si="5"/>
        <v>374</v>
      </c>
      <c r="NK1" s="1">
        <f t="shared" si="5"/>
        <v>375</v>
      </c>
      <c r="NL1" s="1">
        <f t="shared" si="5"/>
        <v>376</v>
      </c>
      <c r="NM1" s="1">
        <f t="shared" si="5"/>
        <v>377</v>
      </c>
      <c r="NN1" s="1">
        <f t="shared" si="5"/>
        <v>378</v>
      </c>
      <c r="NO1" s="1">
        <f t="shared" si="5"/>
        <v>379</v>
      </c>
      <c r="NP1" s="1">
        <f t="shared" si="5"/>
        <v>380</v>
      </c>
      <c r="NQ1" s="1">
        <f t="shared" si="5"/>
        <v>381</v>
      </c>
      <c r="NR1" s="1">
        <f t="shared" si="5"/>
        <v>382</v>
      </c>
      <c r="NS1" s="1">
        <f t="shared" si="5"/>
        <v>383</v>
      </c>
      <c r="NT1" s="1">
        <f t="shared" si="5"/>
        <v>384</v>
      </c>
      <c r="NU1" s="1">
        <f t="shared" si="5"/>
        <v>385</v>
      </c>
      <c r="NV1" s="1">
        <f t="shared" si="5"/>
        <v>386</v>
      </c>
      <c r="NW1" s="1">
        <f t="shared" ref="NW1:QH1" si="6">NV1+1</f>
        <v>387</v>
      </c>
      <c r="NX1" s="1">
        <f t="shared" si="6"/>
        <v>388</v>
      </c>
      <c r="NY1" s="1">
        <f t="shared" si="6"/>
        <v>389</v>
      </c>
      <c r="NZ1" s="1">
        <f t="shared" si="6"/>
        <v>390</v>
      </c>
      <c r="OA1" s="1">
        <f t="shared" si="6"/>
        <v>391</v>
      </c>
      <c r="OB1" s="1">
        <f t="shared" si="6"/>
        <v>392</v>
      </c>
      <c r="OC1" s="1">
        <f t="shared" si="6"/>
        <v>393</v>
      </c>
      <c r="OD1" s="1">
        <f t="shared" si="6"/>
        <v>394</v>
      </c>
      <c r="OE1" s="1">
        <f t="shared" si="6"/>
        <v>395</v>
      </c>
      <c r="OF1" s="1">
        <f t="shared" si="6"/>
        <v>396</v>
      </c>
      <c r="OG1" s="1">
        <f t="shared" si="6"/>
        <v>397</v>
      </c>
      <c r="OH1" s="42">
        <f t="shared" si="6"/>
        <v>398</v>
      </c>
      <c r="OI1" s="1">
        <f t="shared" si="6"/>
        <v>399</v>
      </c>
      <c r="OJ1" s="1">
        <f t="shared" si="6"/>
        <v>400</v>
      </c>
      <c r="OK1" s="1">
        <f t="shared" si="6"/>
        <v>401</v>
      </c>
      <c r="OL1" s="1">
        <f t="shared" si="6"/>
        <v>402</v>
      </c>
      <c r="OM1" s="1">
        <f t="shared" si="6"/>
        <v>403</v>
      </c>
      <c r="ON1" s="1">
        <f t="shared" si="6"/>
        <v>404</v>
      </c>
      <c r="OO1" s="1">
        <f t="shared" si="6"/>
        <v>405</v>
      </c>
      <c r="OP1" s="1">
        <f t="shared" si="6"/>
        <v>406</v>
      </c>
      <c r="OQ1" s="1">
        <f t="shared" si="6"/>
        <v>407</v>
      </c>
      <c r="OR1" s="1">
        <f t="shared" si="6"/>
        <v>408</v>
      </c>
      <c r="OS1" s="1">
        <f t="shared" si="6"/>
        <v>409</v>
      </c>
      <c r="OT1" s="1">
        <f t="shared" si="6"/>
        <v>410</v>
      </c>
      <c r="OU1" s="1">
        <f t="shared" si="6"/>
        <v>411</v>
      </c>
      <c r="OV1" s="1">
        <f t="shared" si="6"/>
        <v>412</v>
      </c>
      <c r="OW1" s="1">
        <f t="shared" si="6"/>
        <v>413</v>
      </c>
      <c r="OX1" s="1">
        <f t="shared" si="6"/>
        <v>414</v>
      </c>
      <c r="OY1" s="1">
        <f t="shared" si="6"/>
        <v>415</v>
      </c>
      <c r="OZ1" s="1">
        <f t="shared" si="6"/>
        <v>416</v>
      </c>
      <c r="PA1" s="1">
        <f t="shared" si="6"/>
        <v>417</v>
      </c>
      <c r="PB1" s="1">
        <f t="shared" si="6"/>
        <v>418</v>
      </c>
      <c r="PC1" s="1">
        <f t="shared" si="6"/>
        <v>419</v>
      </c>
      <c r="PD1" s="1">
        <f t="shared" si="6"/>
        <v>420</v>
      </c>
      <c r="PE1" s="1">
        <f t="shared" si="6"/>
        <v>421</v>
      </c>
      <c r="PF1" s="1">
        <f t="shared" si="6"/>
        <v>422</v>
      </c>
      <c r="PG1" s="1">
        <f t="shared" si="6"/>
        <v>423</v>
      </c>
      <c r="PH1" s="1">
        <f t="shared" si="6"/>
        <v>424</v>
      </c>
      <c r="PI1" s="1">
        <f t="shared" si="6"/>
        <v>425</v>
      </c>
      <c r="PJ1" s="1">
        <f t="shared" si="6"/>
        <v>426</v>
      </c>
      <c r="PK1" s="1">
        <f t="shared" si="6"/>
        <v>427</v>
      </c>
      <c r="PL1" s="1">
        <f t="shared" si="6"/>
        <v>428</v>
      </c>
      <c r="PM1" s="1">
        <f t="shared" si="6"/>
        <v>429</v>
      </c>
      <c r="PN1" s="1">
        <f t="shared" si="6"/>
        <v>430</v>
      </c>
      <c r="PO1" s="1">
        <f t="shared" si="6"/>
        <v>431</v>
      </c>
      <c r="PP1" s="1">
        <f t="shared" si="6"/>
        <v>432</v>
      </c>
      <c r="PQ1" s="1">
        <f t="shared" si="6"/>
        <v>433</v>
      </c>
      <c r="PR1" s="1">
        <f t="shared" si="6"/>
        <v>434</v>
      </c>
      <c r="PS1" s="1">
        <f t="shared" si="6"/>
        <v>435</v>
      </c>
      <c r="PT1" s="1">
        <f t="shared" si="6"/>
        <v>436</v>
      </c>
      <c r="PU1" s="1">
        <f t="shared" si="6"/>
        <v>437</v>
      </c>
      <c r="PV1" s="1">
        <f t="shared" si="6"/>
        <v>438</v>
      </c>
      <c r="PW1" s="1">
        <f t="shared" si="6"/>
        <v>439</v>
      </c>
      <c r="PX1" s="1">
        <f t="shared" si="6"/>
        <v>440</v>
      </c>
      <c r="PY1" s="1">
        <f t="shared" si="6"/>
        <v>441</v>
      </c>
      <c r="PZ1" s="42">
        <f t="shared" si="6"/>
        <v>442</v>
      </c>
      <c r="QA1" s="1">
        <f t="shared" si="6"/>
        <v>443</v>
      </c>
      <c r="QB1" s="1">
        <f t="shared" si="6"/>
        <v>444</v>
      </c>
      <c r="QC1" s="1">
        <f t="shared" si="6"/>
        <v>445</v>
      </c>
      <c r="QD1" s="1">
        <f t="shared" si="6"/>
        <v>446</v>
      </c>
      <c r="QE1" s="1">
        <f t="shared" si="6"/>
        <v>447</v>
      </c>
      <c r="QF1" s="1">
        <f t="shared" si="6"/>
        <v>448</v>
      </c>
      <c r="QG1" s="1">
        <f t="shared" si="6"/>
        <v>449</v>
      </c>
      <c r="QH1" s="1">
        <f t="shared" si="6"/>
        <v>450</v>
      </c>
      <c r="QI1" s="1">
        <f t="shared" ref="QI1:ST1" si="7">QH1+1</f>
        <v>451</v>
      </c>
      <c r="QJ1" s="1">
        <f t="shared" si="7"/>
        <v>452</v>
      </c>
      <c r="QK1" s="1">
        <f t="shared" si="7"/>
        <v>453</v>
      </c>
      <c r="QL1" s="1">
        <f t="shared" si="7"/>
        <v>454</v>
      </c>
      <c r="QM1" s="1">
        <f t="shared" si="7"/>
        <v>455</v>
      </c>
      <c r="QN1" s="1">
        <f t="shared" si="7"/>
        <v>456</v>
      </c>
      <c r="QO1" s="1">
        <f t="shared" si="7"/>
        <v>457</v>
      </c>
      <c r="QP1" s="1">
        <f t="shared" si="7"/>
        <v>458</v>
      </c>
      <c r="QQ1" s="1">
        <f t="shared" si="7"/>
        <v>459</v>
      </c>
      <c r="QR1" s="1">
        <f t="shared" si="7"/>
        <v>460</v>
      </c>
      <c r="QS1" s="1">
        <f t="shared" si="7"/>
        <v>461</v>
      </c>
      <c r="QT1" s="1">
        <f t="shared" si="7"/>
        <v>462</v>
      </c>
      <c r="QU1" s="1">
        <f t="shared" si="7"/>
        <v>463</v>
      </c>
      <c r="QV1" s="1">
        <f t="shared" si="7"/>
        <v>464</v>
      </c>
      <c r="QW1" s="1">
        <f t="shared" si="7"/>
        <v>465</v>
      </c>
      <c r="QX1" s="1">
        <f t="shared" si="7"/>
        <v>466</v>
      </c>
      <c r="QY1" s="1">
        <f t="shared" si="7"/>
        <v>467</v>
      </c>
      <c r="QZ1" s="1">
        <f t="shared" si="7"/>
        <v>468</v>
      </c>
      <c r="RA1" s="1">
        <f t="shared" si="7"/>
        <v>469</v>
      </c>
      <c r="RB1" s="1">
        <f t="shared" si="7"/>
        <v>470</v>
      </c>
      <c r="RC1" s="1">
        <f t="shared" si="7"/>
        <v>471</v>
      </c>
      <c r="RD1" s="1">
        <f t="shared" si="7"/>
        <v>472</v>
      </c>
      <c r="RE1" s="1">
        <f t="shared" si="7"/>
        <v>473</v>
      </c>
      <c r="RF1" s="1">
        <f t="shared" si="7"/>
        <v>474</v>
      </c>
      <c r="RG1" s="1">
        <f t="shared" si="7"/>
        <v>475</v>
      </c>
      <c r="RH1" s="1">
        <f t="shared" si="7"/>
        <v>476</v>
      </c>
      <c r="RI1" s="1">
        <f t="shared" si="7"/>
        <v>477</v>
      </c>
      <c r="RJ1" s="1">
        <f t="shared" si="7"/>
        <v>478</v>
      </c>
      <c r="RK1" s="1">
        <f t="shared" si="7"/>
        <v>479</v>
      </c>
      <c r="RL1" s="1">
        <f t="shared" si="7"/>
        <v>480</v>
      </c>
      <c r="RM1" s="1">
        <f t="shared" si="7"/>
        <v>481</v>
      </c>
      <c r="RN1" s="1">
        <f t="shared" si="7"/>
        <v>482</v>
      </c>
      <c r="RO1" s="1">
        <f t="shared" si="7"/>
        <v>483</v>
      </c>
      <c r="RP1" s="1">
        <f t="shared" si="7"/>
        <v>484</v>
      </c>
      <c r="RQ1" s="1">
        <f t="shared" si="7"/>
        <v>485</v>
      </c>
      <c r="RR1" s="42">
        <f t="shared" si="7"/>
        <v>486</v>
      </c>
      <c r="RS1" s="1">
        <f t="shared" si="7"/>
        <v>487</v>
      </c>
      <c r="RT1" s="1">
        <f t="shared" si="7"/>
        <v>488</v>
      </c>
      <c r="RU1" s="1">
        <f t="shared" si="7"/>
        <v>489</v>
      </c>
      <c r="RV1" s="1">
        <f t="shared" si="7"/>
        <v>490</v>
      </c>
      <c r="RW1" s="1">
        <f t="shared" si="7"/>
        <v>491</v>
      </c>
      <c r="RX1" s="1">
        <f t="shared" si="7"/>
        <v>492</v>
      </c>
      <c r="RY1" s="1">
        <f t="shared" si="7"/>
        <v>493</v>
      </c>
      <c r="RZ1" s="1">
        <f t="shared" si="7"/>
        <v>494</v>
      </c>
      <c r="SA1" s="1">
        <f t="shared" si="7"/>
        <v>495</v>
      </c>
      <c r="SB1" s="1">
        <f t="shared" si="7"/>
        <v>496</v>
      </c>
      <c r="SC1" s="1">
        <f t="shared" si="7"/>
        <v>497</v>
      </c>
      <c r="SD1" s="1">
        <f t="shared" si="7"/>
        <v>498</v>
      </c>
      <c r="SE1" s="1">
        <f t="shared" si="7"/>
        <v>499</v>
      </c>
      <c r="SF1" s="1">
        <f t="shared" si="7"/>
        <v>500</v>
      </c>
      <c r="SG1" s="1">
        <f t="shared" si="7"/>
        <v>501</v>
      </c>
      <c r="SH1" s="1">
        <f t="shared" si="7"/>
        <v>502</v>
      </c>
      <c r="SI1" s="1">
        <f t="shared" si="7"/>
        <v>503</v>
      </c>
      <c r="SJ1" s="1">
        <f t="shared" si="7"/>
        <v>504</v>
      </c>
      <c r="SK1" s="1">
        <f t="shared" si="7"/>
        <v>505</v>
      </c>
      <c r="SL1" s="1">
        <f t="shared" si="7"/>
        <v>506</v>
      </c>
      <c r="SM1" s="1">
        <f t="shared" si="7"/>
        <v>507</v>
      </c>
      <c r="SN1" s="1">
        <f t="shared" si="7"/>
        <v>508</v>
      </c>
      <c r="SO1" s="1">
        <f t="shared" si="7"/>
        <v>509</v>
      </c>
      <c r="SP1" s="1">
        <f t="shared" si="7"/>
        <v>510</v>
      </c>
      <c r="SQ1" s="1">
        <f t="shared" si="7"/>
        <v>511</v>
      </c>
      <c r="SR1" s="1">
        <f t="shared" si="7"/>
        <v>512</v>
      </c>
      <c r="SS1" s="1">
        <f t="shared" si="7"/>
        <v>513</v>
      </c>
      <c r="ST1" s="1">
        <f t="shared" si="7"/>
        <v>514</v>
      </c>
      <c r="SU1" s="1">
        <f t="shared" ref="SU1:VF1" si="8">ST1+1</f>
        <v>515</v>
      </c>
      <c r="SV1" s="1">
        <f t="shared" si="8"/>
        <v>516</v>
      </c>
      <c r="SW1" s="1">
        <f t="shared" si="8"/>
        <v>517</v>
      </c>
      <c r="SX1" s="1">
        <f t="shared" si="8"/>
        <v>518</v>
      </c>
      <c r="SY1" s="1">
        <f t="shared" si="8"/>
        <v>519</v>
      </c>
      <c r="SZ1" s="1">
        <f t="shared" si="8"/>
        <v>520</v>
      </c>
      <c r="TA1" s="1">
        <f t="shared" si="8"/>
        <v>521</v>
      </c>
      <c r="TB1" s="1">
        <f t="shared" si="8"/>
        <v>522</v>
      </c>
      <c r="TC1" s="1">
        <f t="shared" si="8"/>
        <v>523</v>
      </c>
      <c r="TD1" s="1">
        <f t="shared" si="8"/>
        <v>524</v>
      </c>
      <c r="TE1" s="1">
        <f t="shared" si="8"/>
        <v>525</v>
      </c>
      <c r="TF1" s="1">
        <f t="shared" si="8"/>
        <v>526</v>
      </c>
      <c r="TG1" s="1">
        <f t="shared" si="8"/>
        <v>527</v>
      </c>
      <c r="TH1" s="1">
        <f t="shared" si="8"/>
        <v>528</v>
      </c>
      <c r="TI1" s="1">
        <f t="shared" si="8"/>
        <v>529</v>
      </c>
      <c r="TJ1" s="42">
        <f t="shared" si="8"/>
        <v>530</v>
      </c>
      <c r="TK1" s="1">
        <f t="shared" si="8"/>
        <v>531</v>
      </c>
      <c r="TL1" s="1">
        <f t="shared" si="8"/>
        <v>532</v>
      </c>
      <c r="TM1" s="1">
        <f t="shared" si="8"/>
        <v>533</v>
      </c>
      <c r="TN1" s="1">
        <f t="shared" si="8"/>
        <v>534</v>
      </c>
      <c r="TO1" s="1">
        <f t="shared" si="8"/>
        <v>535</v>
      </c>
      <c r="TP1" s="1">
        <f t="shared" si="8"/>
        <v>536</v>
      </c>
      <c r="TQ1" s="1">
        <f t="shared" si="8"/>
        <v>537</v>
      </c>
      <c r="TR1" s="1">
        <f t="shared" si="8"/>
        <v>538</v>
      </c>
      <c r="TS1" s="1">
        <f t="shared" si="8"/>
        <v>539</v>
      </c>
      <c r="TT1" s="1">
        <f t="shared" si="8"/>
        <v>540</v>
      </c>
      <c r="TU1" s="1">
        <f t="shared" si="8"/>
        <v>541</v>
      </c>
      <c r="TV1" s="1">
        <f t="shared" si="8"/>
        <v>542</v>
      </c>
      <c r="TW1" s="1">
        <f t="shared" si="8"/>
        <v>543</v>
      </c>
      <c r="TX1" s="1">
        <f t="shared" si="8"/>
        <v>544</v>
      </c>
      <c r="TY1" s="1">
        <f t="shared" si="8"/>
        <v>545</v>
      </c>
      <c r="TZ1" s="1">
        <f t="shared" si="8"/>
        <v>546</v>
      </c>
      <c r="UA1" s="1">
        <f t="shared" si="8"/>
        <v>547</v>
      </c>
      <c r="UB1" s="1">
        <f t="shared" si="8"/>
        <v>548</v>
      </c>
      <c r="UC1" s="1">
        <f t="shared" si="8"/>
        <v>549</v>
      </c>
      <c r="UD1" s="1">
        <f t="shared" si="8"/>
        <v>550</v>
      </c>
      <c r="UE1" s="1">
        <f t="shared" si="8"/>
        <v>551</v>
      </c>
      <c r="UF1" s="1">
        <f t="shared" si="8"/>
        <v>552</v>
      </c>
      <c r="UG1" s="1">
        <f t="shared" si="8"/>
        <v>553</v>
      </c>
      <c r="UH1" s="1">
        <f t="shared" si="8"/>
        <v>554</v>
      </c>
      <c r="UI1" s="1">
        <f t="shared" si="8"/>
        <v>555</v>
      </c>
      <c r="UJ1" s="1">
        <f t="shared" si="8"/>
        <v>556</v>
      </c>
      <c r="UK1" s="1">
        <f t="shared" si="8"/>
        <v>557</v>
      </c>
      <c r="UL1" s="1">
        <f t="shared" si="8"/>
        <v>558</v>
      </c>
      <c r="UM1" s="1">
        <f t="shared" si="8"/>
        <v>559</v>
      </c>
      <c r="UN1" s="1">
        <f t="shared" si="8"/>
        <v>560</v>
      </c>
      <c r="UO1" s="1">
        <f t="shared" si="8"/>
        <v>561</v>
      </c>
      <c r="UP1" s="1">
        <f t="shared" si="8"/>
        <v>562</v>
      </c>
      <c r="UQ1" s="1">
        <f t="shared" si="8"/>
        <v>563</v>
      </c>
      <c r="UR1" s="1">
        <f t="shared" si="8"/>
        <v>564</v>
      </c>
      <c r="US1" s="1">
        <f t="shared" si="8"/>
        <v>565</v>
      </c>
      <c r="UT1" s="1">
        <f t="shared" si="8"/>
        <v>566</v>
      </c>
      <c r="UU1" s="1">
        <f t="shared" si="8"/>
        <v>567</v>
      </c>
      <c r="UV1" s="1">
        <f t="shared" si="8"/>
        <v>568</v>
      </c>
      <c r="UW1" s="1">
        <f t="shared" si="8"/>
        <v>569</v>
      </c>
      <c r="UX1" s="1">
        <f t="shared" si="8"/>
        <v>570</v>
      </c>
      <c r="UY1" s="1">
        <f t="shared" si="8"/>
        <v>571</v>
      </c>
      <c r="UZ1" s="1">
        <f t="shared" si="8"/>
        <v>572</v>
      </c>
      <c r="VA1" s="1">
        <f t="shared" si="8"/>
        <v>573</v>
      </c>
      <c r="VB1" s="42">
        <f t="shared" si="8"/>
        <v>574</v>
      </c>
      <c r="VC1" s="1">
        <f t="shared" si="8"/>
        <v>575</v>
      </c>
      <c r="VD1" s="1">
        <f t="shared" si="8"/>
        <v>576</v>
      </c>
      <c r="VE1" s="1">
        <f t="shared" si="8"/>
        <v>577</v>
      </c>
      <c r="VF1" s="1">
        <f t="shared" si="8"/>
        <v>578</v>
      </c>
      <c r="VG1" s="1">
        <f t="shared" ref="VG1:XR1" si="9">VF1+1</f>
        <v>579</v>
      </c>
      <c r="VH1" s="1">
        <f t="shared" si="9"/>
        <v>580</v>
      </c>
      <c r="VI1" s="1">
        <f t="shared" si="9"/>
        <v>581</v>
      </c>
      <c r="VJ1" s="1">
        <f t="shared" si="9"/>
        <v>582</v>
      </c>
      <c r="VK1" s="1">
        <f t="shared" si="9"/>
        <v>583</v>
      </c>
      <c r="VL1" s="1">
        <f t="shared" si="9"/>
        <v>584</v>
      </c>
      <c r="VM1" s="1">
        <f t="shared" si="9"/>
        <v>585</v>
      </c>
      <c r="VN1" s="1">
        <f t="shared" si="9"/>
        <v>586</v>
      </c>
      <c r="VO1" s="1">
        <f t="shared" si="9"/>
        <v>587</v>
      </c>
      <c r="VP1" s="1">
        <f t="shared" si="9"/>
        <v>588</v>
      </c>
      <c r="VQ1" s="1">
        <f t="shared" si="9"/>
        <v>589</v>
      </c>
      <c r="VR1" s="1">
        <f t="shared" si="9"/>
        <v>590</v>
      </c>
      <c r="VS1" s="1">
        <f t="shared" si="9"/>
        <v>591</v>
      </c>
      <c r="VT1" s="1">
        <f t="shared" si="9"/>
        <v>592</v>
      </c>
      <c r="VU1" s="1">
        <f t="shared" si="9"/>
        <v>593</v>
      </c>
      <c r="VV1" s="1">
        <f t="shared" si="9"/>
        <v>594</v>
      </c>
      <c r="VW1" s="1">
        <f t="shared" si="9"/>
        <v>595</v>
      </c>
      <c r="VX1" s="1">
        <f t="shared" si="9"/>
        <v>596</v>
      </c>
      <c r="VY1" s="1">
        <f t="shared" si="9"/>
        <v>597</v>
      </c>
      <c r="VZ1" s="1">
        <f t="shared" si="9"/>
        <v>598</v>
      </c>
      <c r="WA1" s="1">
        <f t="shared" si="9"/>
        <v>599</v>
      </c>
      <c r="WB1" s="1">
        <f t="shared" si="9"/>
        <v>600</v>
      </c>
      <c r="WC1" s="1">
        <f t="shared" si="9"/>
        <v>601</v>
      </c>
      <c r="WD1" s="1">
        <f t="shared" si="9"/>
        <v>602</v>
      </c>
      <c r="WE1" s="1">
        <f t="shared" si="9"/>
        <v>603</v>
      </c>
      <c r="WF1" s="1">
        <f t="shared" si="9"/>
        <v>604</v>
      </c>
      <c r="WG1" s="1">
        <f t="shared" si="9"/>
        <v>605</v>
      </c>
      <c r="WH1" s="1">
        <f t="shared" si="9"/>
        <v>606</v>
      </c>
      <c r="WI1" s="1">
        <f t="shared" si="9"/>
        <v>607</v>
      </c>
      <c r="WJ1" s="1">
        <f t="shared" si="9"/>
        <v>608</v>
      </c>
      <c r="WK1" s="1">
        <f t="shared" si="9"/>
        <v>609</v>
      </c>
      <c r="WL1" s="1">
        <f t="shared" si="9"/>
        <v>610</v>
      </c>
      <c r="WM1" s="1">
        <f t="shared" si="9"/>
        <v>611</v>
      </c>
      <c r="WN1" s="1">
        <f t="shared" si="9"/>
        <v>612</v>
      </c>
      <c r="WO1" s="1">
        <f t="shared" si="9"/>
        <v>613</v>
      </c>
      <c r="WP1" s="1">
        <f t="shared" si="9"/>
        <v>614</v>
      </c>
      <c r="WQ1" s="1">
        <f t="shared" si="9"/>
        <v>615</v>
      </c>
      <c r="WR1" s="1">
        <f t="shared" si="9"/>
        <v>616</v>
      </c>
      <c r="WS1" s="1">
        <f t="shared" si="9"/>
        <v>617</v>
      </c>
      <c r="WT1" s="42">
        <f t="shared" si="9"/>
        <v>618</v>
      </c>
      <c r="WU1" s="1">
        <f t="shared" si="9"/>
        <v>619</v>
      </c>
      <c r="WV1" s="1">
        <f t="shared" si="9"/>
        <v>620</v>
      </c>
      <c r="WW1" s="1">
        <f t="shared" si="9"/>
        <v>621</v>
      </c>
      <c r="WX1" s="1">
        <f t="shared" si="9"/>
        <v>622</v>
      </c>
      <c r="WY1" s="1">
        <f t="shared" si="9"/>
        <v>623</v>
      </c>
      <c r="WZ1" s="1">
        <f t="shared" si="9"/>
        <v>624</v>
      </c>
      <c r="XA1" s="1">
        <f t="shared" si="9"/>
        <v>625</v>
      </c>
      <c r="XB1" s="1">
        <f t="shared" si="9"/>
        <v>626</v>
      </c>
      <c r="XC1" s="1">
        <f t="shared" si="9"/>
        <v>627</v>
      </c>
      <c r="XD1" s="1">
        <f t="shared" si="9"/>
        <v>628</v>
      </c>
      <c r="XE1" s="1">
        <f t="shared" si="9"/>
        <v>629</v>
      </c>
      <c r="XF1" s="1">
        <f t="shared" si="9"/>
        <v>630</v>
      </c>
      <c r="XG1" s="1">
        <f t="shared" si="9"/>
        <v>631</v>
      </c>
      <c r="XH1" s="1">
        <f t="shared" si="9"/>
        <v>632</v>
      </c>
      <c r="XI1" s="1">
        <f t="shared" si="9"/>
        <v>633</v>
      </c>
      <c r="XJ1" s="1">
        <f t="shared" si="9"/>
        <v>634</v>
      </c>
      <c r="XK1" s="1">
        <f t="shared" si="9"/>
        <v>635</v>
      </c>
      <c r="XL1" s="1">
        <f t="shared" si="9"/>
        <v>636</v>
      </c>
      <c r="XM1" s="1">
        <f t="shared" si="9"/>
        <v>637</v>
      </c>
      <c r="XN1" s="1">
        <f t="shared" si="9"/>
        <v>638</v>
      </c>
      <c r="XO1" s="1">
        <f t="shared" si="9"/>
        <v>639</v>
      </c>
      <c r="XP1" s="1">
        <f t="shared" si="9"/>
        <v>640</v>
      </c>
      <c r="XQ1" s="1">
        <f t="shared" si="9"/>
        <v>641</v>
      </c>
      <c r="XR1" s="1">
        <f t="shared" si="9"/>
        <v>642</v>
      </c>
      <c r="XS1" s="1">
        <f t="shared" ref="XS1:AAD1" si="10">XR1+1</f>
        <v>643</v>
      </c>
      <c r="XT1" s="1">
        <f t="shared" si="10"/>
        <v>644</v>
      </c>
      <c r="XU1" s="1">
        <f t="shared" si="10"/>
        <v>645</v>
      </c>
      <c r="XV1" s="1">
        <f t="shared" si="10"/>
        <v>646</v>
      </c>
      <c r="XW1" s="1">
        <f t="shared" si="10"/>
        <v>647</v>
      </c>
      <c r="XX1" s="1">
        <f t="shared" si="10"/>
        <v>648</v>
      </c>
      <c r="XY1" s="1">
        <f t="shared" si="10"/>
        <v>649</v>
      </c>
      <c r="XZ1" s="1">
        <f t="shared" si="10"/>
        <v>650</v>
      </c>
      <c r="YA1" s="1">
        <f t="shared" si="10"/>
        <v>651</v>
      </c>
      <c r="YB1" s="1">
        <f t="shared" si="10"/>
        <v>652</v>
      </c>
      <c r="YC1" s="1">
        <f t="shared" si="10"/>
        <v>653</v>
      </c>
      <c r="YD1" s="1">
        <f t="shared" si="10"/>
        <v>654</v>
      </c>
      <c r="YE1" s="1">
        <f t="shared" si="10"/>
        <v>655</v>
      </c>
      <c r="YF1" s="1">
        <f t="shared" si="10"/>
        <v>656</v>
      </c>
      <c r="YG1" s="1">
        <f t="shared" si="10"/>
        <v>657</v>
      </c>
      <c r="YH1" s="1">
        <f t="shared" si="10"/>
        <v>658</v>
      </c>
      <c r="YI1" s="1">
        <f t="shared" si="10"/>
        <v>659</v>
      </c>
      <c r="YJ1" s="1">
        <f t="shared" si="10"/>
        <v>660</v>
      </c>
      <c r="YK1" s="1">
        <f t="shared" si="10"/>
        <v>661</v>
      </c>
      <c r="YL1" s="42">
        <f t="shared" si="10"/>
        <v>662</v>
      </c>
      <c r="YM1" s="1">
        <f t="shared" si="10"/>
        <v>663</v>
      </c>
      <c r="YN1" s="1">
        <f t="shared" si="10"/>
        <v>664</v>
      </c>
      <c r="YO1" s="1">
        <f t="shared" si="10"/>
        <v>665</v>
      </c>
      <c r="YP1" s="1">
        <f t="shared" si="10"/>
        <v>666</v>
      </c>
      <c r="YQ1" s="1">
        <f t="shared" si="10"/>
        <v>667</v>
      </c>
      <c r="YR1" s="1">
        <f t="shared" si="10"/>
        <v>668</v>
      </c>
      <c r="YS1" s="1">
        <f t="shared" si="10"/>
        <v>669</v>
      </c>
      <c r="YT1" s="1">
        <f t="shared" si="10"/>
        <v>670</v>
      </c>
      <c r="YU1" s="1">
        <f t="shared" si="10"/>
        <v>671</v>
      </c>
      <c r="YV1" s="1">
        <f t="shared" si="10"/>
        <v>672</v>
      </c>
      <c r="YW1" s="1">
        <f t="shared" si="10"/>
        <v>673</v>
      </c>
      <c r="YX1" s="1">
        <f t="shared" si="10"/>
        <v>674</v>
      </c>
      <c r="YY1" s="1">
        <f t="shared" si="10"/>
        <v>675</v>
      </c>
      <c r="YZ1" s="1">
        <f t="shared" si="10"/>
        <v>676</v>
      </c>
      <c r="ZA1" s="1">
        <f t="shared" si="10"/>
        <v>677</v>
      </c>
      <c r="ZB1" s="1">
        <f t="shared" si="10"/>
        <v>678</v>
      </c>
      <c r="ZC1" s="1">
        <f t="shared" si="10"/>
        <v>679</v>
      </c>
      <c r="ZD1" s="1">
        <f t="shared" si="10"/>
        <v>680</v>
      </c>
      <c r="ZE1" s="1">
        <f t="shared" si="10"/>
        <v>681</v>
      </c>
      <c r="ZF1" s="1">
        <f t="shared" si="10"/>
        <v>682</v>
      </c>
      <c r="ZG1" s="1">
        <f t="shared" si="10"/>
        <v>683</v>
      </c>
      <c r="ZH1" s="1">
        <f t="shared" si="10"/>
        <v>684</v>
      </c>
      <c r="ZI1" s="1">
        <f t="shared" si="10"/>
        <v>685</v>
      </c>
      <c r="ZJ1" s="1">
        <f t="shared" si="10"/>
        <v>686</v>
      </c>
      <c r="ZK1" s="1">
        <f t="shared" si="10"/>
        <v>687</v>
      </c>
      <c r="ZL1" s="1">
        <f t="shared" si="10"/>
        <v>688</v>
      </c>
      <c r="ZM1" s="1">
        <f t="shared" si="10"/>
        <v>689</v>
      </c>
      <c r="ZN1" s="1">
        <f t="shared" si="10"/>
        <v>690</v>
      </c>
      <c r="ZO1" s="1">
        <f t="shared" si="10"/>
        <v>691</v>
      </c>
      <c r="ZP1" s="1">
        <f t="shared" si="10"/>
        <v>692</v>
      </c>
      <c r="ZQ1" s="1">
        <f t="shared" si="10"/>
        <v>693</v>
      </c>
      <c r="ZR1" s="1">
        <f t="shared" si="10"/>
        <v>694</v>
      </c>
      <c r="ZS1" s="1">
        <f t="shared" si="10"/>
        <v>695</v>
      </c>
      <c r="ZT1" s="1">
        <f t="shared" si="10"/>
        <v>696</v>
      </c>
      <c r="ZU1" s="1">
        <f t="shared" si="10"/>
        <v>697</v>
      </c>
      <c r="ZV1" s="1">
        <f t="shared" si="10"/>
        <v>698</v>
      </c>
      <c r="ZW1" s="1">
        <f t="shared" si="10"/>
        <v>699</v>
      </c>
      <c r="ZX1" s="1">
        <f t="shared" si="10"/>
        <v>700</v>
      </c>
      <c r="ZY1" s="1">
        <f t="shared" si="10"/>
        <v>701</v>
      </c>
      <c r="ZZ1" s="1">
        <f t="shared" si="10"/>
        <v>702</v>
      </c>
      <c r="AAA1" s="1">
        <f t="shared" si="10"/>
        <v>703</v>
      </c>
      <c r="AAB1" s="1">
        <f t="shared" si="10"/>
        <v>704</v>
      </c>
      <c r="AAC1" s="1">
        <f t="shared" si="10"/>
        <v>705</v>
      </c>
      <c r="AAD1" s="42">
        <f t="shared" si="10"/>
        <v>706</v>
      </c>
      <c r="AAE1" s="1">
        <f t="shared" ref="AAE1:ACP1" si="11">AAD1+1</f>
        <v>707</v>
      </c>
      <c r="AAF1" s="1">
        <f t="shared" si="11"/>
        <v>708</v>
      </c>
      <c r="AAG1" s="1">
        <f t="shared" si="11"/>
        <v>709</v>
      </c>
      <c r="AAH1" s="1">
        <f t="shared" si="11"/>
        <v>710</v>
      </c>
      <c r="AAI1" s="1">
        <f t="shared" si="11"/>
        <v>711</v>
      </c>
      <c r="AAJ1" s="1">
        <f t="shared" si="11"/>
        <v>712</v>
      </c>
      <c r="AAK1" s="1">
        <f t="shared" si="11"/>
        <v>713</v>
      </c>
      <c r="AAL1" s="1">
        <f t="shared" si="11"/>
        <v>714</v>
      </c>
      <c r="AAM1" s="1">
        <f t="shared" si="11"/>
        <v>715</v>
      </c>
      <c r="AAN1" s="1">
        <f t="shared" si="11"/>
        <v>716</v>
      </c>
      <c r="AAO1" s="1">
        <f t="shared" si="11"/>
        <v>717</v>
      </c>
      <c r="AAP1" s="1">
        <f t="shared" si="11"/>
        <v>718</v>
      </c>
      <c r="AAQ1" s="1">
        <f t="shared" si="11"/>
        <v>719</v>
      </c>
      <c r="AAR1" s="1">
        <f t="shared" si="11"/>
        <v>720</v>
      </c>
      <c r="AAS1" s="1">
        <f t="shared" si="11"/>
        <v>721</v>
      </c>
      <c r="AAT1" s="1">
        <f t="shared" si="11"/>
        <v>722</v>
      </c>
      <c r="AAU1" s="1">
        <f t="shared" si="11"/>
        <v>723</v>
      </c>
      <c r="AAV1" s="1">
        <f t="shared" si="11"/>
        <v>724</v>
      </c>
      <c r="AAW1" s="1">
        <f t="shared" si="11"/>
        <v>725</v>
      </c>
      <c r="AAX1" s="1">
        <f t="shared" si="11"/>
        <v>726</v>
      </c>
      <c r="AAY1" s="1">
        <f t="shared" si="11"/>
        <v>727</v>
      </c>
      <c r="AAZ1" s="1">
        <f t="shared" si="11"/>
        <v>728</v>
      </c>
      <c r="ABA1" s="1">
        <f t="shared" si="11"/>
        <v>729</v>
      </c>
      <c r="ABB1" s="1">
        <f t="shared" si="11"/>
        <v>730</v>
      </c>
      <c r="ABC1" s="1">
        <f t="shared" si="11"/>
        <v>731</v>
      </c>
      <c r="ABD1" s="1">
        <f t="shared" si="11"/>
        <v>732</v>
      </c>
      <c r="ABE1" s="1">
        <f t="shared" si="11"/>
        <v>733</v>
      </c>
      <c r="ABF1" s="1">
        <f t="shared" si="11"/>
        <v>734</v>
      </c>
      <c r="ABG1" s="1">
        <f t="shared" si="11"/>
        <v>735</v>
      </c>
      <c r="ABH1" s="1">
        <f t="shared" si="11"/>
        <v>736</v>
      </c>
      <c r="ABI1" s="1">
        <f t="shared" si="11"/>
        <v>737</v>
      </c>
      <c r="ABJ1" s="1">
        <f t="shared" si="11"/>
        <v>738</v>
      </c>
      <c r="ABK1" s="1">
        <f t="shared" si="11"/>
        <v>739</v>
      </c>
      <c r="ABL1" s="1">
        <f t="shared" si="11"/>
        <v>740</v>
      </c>
      <c r="ABM1" s="1">
        <f t="shared" si="11"/>
        <v>741</v>
      </c>
      <c r="ABN1" s="1">
        <f t="shared" si="11"/>
        <v>742</v>
      </c>
      <c r="ABO1" s="1">
        <f t="shared" si="11"/>
        <v>743</v>
      </c>
      <c r="ABP1" s="1">
        <f t="shared" si="11"/>
        <v>744</v>
      </c>
      <c r="ABQ1" s="1">
        <f t="shared" si="11"/>
        <v>745</v>
      </c>
      <c r="ABR1" s="1">
        <f t="shared" si="11"/>
        <v>746</v>
      </c>
      <c r="ABS1" s="1">
        <f t="shared" si="11"/>
        <v>747</v>
      </c>
      <c r="ABT1" s="1">
        <f t="shared" si="11"/>
        <v>748</v>
      </c>
      <c r="ABU1" s="1">
        <f t="shared" si="11"/>
        <v>749</v>
      </c>
      <c r="ABV1" s="42">
        <f t="shared" si="11"/>
        <v>750</v>
      </c>
      <c r="ABW1" s="1">
        <f t="shared" si="11"/>
        <v>751</v>
      </c>
      <c r="ABX1" s="1">
        <f t="shared" si="11"/>
        <v>752</v>
      </c>
      <c r="ABY1" s="1">
        <f t="shared" si="11"/>
        <v>753</v>
      </c>
      <c r="ABZ1" s="1">
        <f t="shared" si="11"/>
        <v>754</v>
      </c>
      <c r="ACA1" s="1">
        <f t="shared" si="11"/>
        <v>755</v>
      </c>
      <c r="ACB1" s="1">
        <f t="shared" si="11"/>
        <v>756</v>
      </c>
      <c r="ACC1" s="1">
        <f t="shared" si="11"/>
        <v>757</v>
      </c>
      <c r="ACD1" s="1">
        <f t="shared" si="11"/>
        <v>758</v>
      </c>
      <c r="ACE1" s="1">
        <f t="shared" si="11"/>
        <v>759</v>
      </c>
      <c r="ACF1" s="1">
        <f t="shared" si="11"/>
        <v>760</v>
      </c>
      <c r="ACG1" s="1">
        <f t="shared" si="11"/>
        <v>761</v>
      </c>
      <c r="ACH1" s="1">
        <f t="shared" si="11"/>
        <v>762</v>
      </c>
      <c r="ACI1" s="1">
        <f t="shared" si="11"/>
        <v>763</v>
      </c>
      <c r="ACJ1" s="1">
        <f t="shared" si="11"/>
        <v>764</v>
      </c>
      <c r="ACK1" s="1">
        <f t="shared" si="11"/>
        <v>765</v>
      </c>
      <c r="ACL1" s="1">
        <f t="shared" si="11"/>
        <v>766</v>
      </c>
      <c r="ACM1" s="1">
        <f t="shared" si="11"/>
        <v>767</v>
      </c>
      <c r="ACN1" s="1">
        <f t="shared" si="11"/>
        <v>768</v>
      </c>
      <c r="ACO1" s="1">
        <f t="shared" si="11"/>
        <v>769</v>
      </c>
      <c r="ACP1" s="1">
        <f t="shared" si="11"/>
        <v>770</v>
      </c>
      <c r="ACQ1" s="1">
        <f t="shared" ref="ACQ1:AFB1" si="12">ACP1+1</f>
        <v>771</v>
      </c>
      <c r="ACR1" s="1">
        <f t="shared" si="12"/>
        <v>772</v>
      </c>
      <c r="ACS1" s="1">
        <f t="shared" si="12"/>
        <v>773</v>
      </c>
      <c r="ACT1" s="1">
        <f t="shared" si="12"/>
        <v>774</v>
      </c>
      <c r="ACU1" s="1">
        <f t="shared" si="12"/>
        <v>775</v>
      </c>
      <c r="ACV1" s="1">
        <f t="shared" si="12"/>
        <v>776</v>
      </c>
      <c r="ACW1" s="1">
        <f t="shared" si="12"/>
        <v>777</v>
      </c>
      <c r="ACX1" s="1">
        <f t="shared" si="12"/>
        <v>778</v>
      </c>
      <c r="ACY1" s="1">
        <f t="shared" si="12"/>
        <v>779</v>
      </c>
      <c r="ACZ1" s="1">
        <f t="shared" si="12"/>
        <v>780</v>
      </c>
      <c r="ADA1" s="1">
        <f t="shared" si="12"/>
        <v>781</v>
      </c>
      <c r="ADB1" s="1">
        <f t="shared" si="12"/>
        <v>782</v>
      </c>
      <c r="ADC1" s="1">
        <f t="shared" si="12"/>
        <v>783</v>
      </c>
      <c r="ADD1" s="1">
        <f t="shared" si="12"/>
        <v>784</v>
      </c>
      <c r="ADE1" s="1">
        <f t="shared" si="12"/>
        <v>785</v>
      </c>
      <c r="ADF1" s="1">
        <f t="shared" si="12"/>
        <v>786</v>
      </c>
      <c r="ADG1" s="1">
        <f t="shared" si="12"/>
        <v>787</v>
      </c>
      <c r="ADH1" s="1">
        <f t="shared" si="12"/>
        <v>788</v>
      </c>
      <c r="ADI1" s="1">
        <f t="shared" si="12"/>
        <v>789</v>
      </c>
      <c r="ADJ1" s="1">
        <f t="shared" si="12"/>
        <v>790</v>
      </c>
      <c r="ADK1" s="1">
        <f t="shared" si="12"/>
        <v>791</v>
      </c>
      <c r="ADL1" s="1">
        <f t="shared" si="12"/>
        <v>792</v>
      </c>
      <c r="ADM1" s="1">
        <f t="shared" si="12"/>
        <v>793</v>
      </c>
      <c r="ADN1" s="42">
        <f t="shared" si="12"/>
        <v>794</v>
      </c>
      <c r="ADO1" s="1">
        <f t="shared" si="12"/>
        <v>795</v>
      </c>
      <c r="ADP1" s="1">
        <f t="shared" si="12"/>
        <v>796</v>
      </c>
      <c r="ADQ1" s="1">
        <f t="shared" si="12"/>
        <v>797</v>
      </c>
      <c r="ADR1" s="1">
        <f t="shared" si="12"/>
        <v>798</v>
      </c>
      <c r="ADS1" s="1">
        <f t="shared" si="12"/>
        <v>799</v>
      </c>
      <c r="ADT1" s="1">
        <f t="shared" si="12"/>
        <v>800</v>
      </c>
      <c r="ADU1" s="1">
        <f t="shared" si="12"/>
        <v>801</v>
      </c>
      <c r="ADV1" s="1">
        <f t="shared" si="12"/>
        <v>802</v>
      </c>
      <c r="ADW1" s="1">
        <f t="shared" si="12"/>
        <v>803</v>
      </c>
      <c r="ADX1" s="1">
        <f t="shared" si="12"/>
        <v>804</v>
      </c>
      <c r="ADY1" s="1">
        <f t="shared" si="12"/>
        <v>805</v>
      </c>
      <c r="ADZ1" s="1">
        <f t="shared" si="12"/>
        <v>806</v>
      </c>
      <c r="AEA1" s="1">
        <f t="shared" si="12"/>
        <v>807</v>
      </c>
      <c r="AEB1" s="1">
        <f t="shared" si="12"/>
        <v>808</v>
      </c>
      <c r="AEC1" s="1">
        <f t="shared" si="12"/>
        <v>809</v>
      </c>
      <c r="AED1" s="1">
        <f t="shared" si="12"/>
        <v>810</v>
      </c>
      <c r="AEE1" s="1">
        <f t="shared" si="12"/>
        <v>811</v>
      </c>
      <c r="AEF1" s="1">
        <f t="shared" si="12"/>
        <v>812</v>
      </c>
      <c r="AEG1" s="1">
        <f t="shared" si="12"/>
        <v>813</v>
      </c>
      <c r="AEH1" s="1">
        <f t="shared" si="12"/>
        <v>814</v>
      </c>
      <c r="AEI1" s="1">
        <f t="shared" si="12"/>
        <v>815</v>
      </c>
      <c r="AEJ1" s="1">
        <f t="shared" si="12"/>
        <v>816</v>
      </c>
      <c r="AEK1" s="1">
        <f t="shared" si="12"/>
        <v>817</v>
      </c>
      <c r="AEL1" s="1">
        <f t="shared" si="12"/>
        <v>818</v>
      </c>
      <c r="AEM1" s="1">
        <f t="shared" si="12"/>
        <v>819</v>
      </c>
      <c r="AEN1" s="1">
        <f t="shared" si="12"/>
        <v>820</v>
      </c>
      <c r="AEO1" s="1">
        <f t="shared" si="12"/>
        <v>821</v>
      </c>
      <c r="AEP1" s="1">
        <f t="shared" si="12"/>
        <v>822</v>
      </c>
      <c r="AEQ1" s="1">
        <f t="shared" si="12"/>
        <v>823</v>
      </c>
      <c r="AER1" s="1">
        <f t="shared" si="12"/>
        <v>824</v>
      </c>
      <c r="AES1" s="1">
        <f t="shared" si="12"/>
        <v>825</v>
      </c>
      <c r="AET1" s="1">
        <f t="shared" si="12"/>
        <v>826</v>
      </c>
      <c r="AEU1" s="1">
        <f t="shared" si="12"/>
        <v>827</v>
      </c>
      <c r="AEV1" s="1">
        <f t="shared" si="12"/>
        <v>828</v>
      </c>
      <c r="AEW1" s="1">
        <f t="shared" si="12"/>
        <v>829</v>
      </c>
      <c r="AEX1" s="1">
        <f t="shared" si="12"/>
        <v>830</v>
      </c>
      <c r="AEY1" s="1">
        <f t="shared" si="12"/>
        <v>831</v>
      </c>
      <c r="AEZ1" s="1">
        <f t="shared" si="12"/>
        <v>832</v>
      </c>
      <c r="AFA1" s="1">
        <f t="shared" si="12"/>
        <v>833</v>
      </c>
      <c r="AFB1" s="1">
        <f t="shared" si="12"/>
        <v>834</v>
      </c>
      <c r="AFC1" s="1">
        <f t="shared" ref="AFC1:AHN1" si="13">AFB1+1</f>
        <v>835</v>
      </c>
      <c r="AFD1" s="1">
        <f t="shared" si="13"/>
        <v>836</v>
      </c>
      <c r="AFE1" s="1">
        <f t="shared" si="13"/>
        <v>837</v>
      </c>
      <c r="AFF1" s="42">
        <f t="shared" si="13"/>
        <v>838</v>
      </c>
      <c r="AFG1" s="1">
        <f t="shared" si="13"/>
        <v>839</v>
      </c>
      <c r="AFH1" s="1">
        <f t="shared" si="13"/>
        <v>840</v>
      </c>
      <c r="AFI1" s="1">
        <f t="shared" si="13"/>
        <v>841</v>
      </c>
      <c r="AFJ1" s="1">
        <f t="shared" si="13"/>
        <v>842</v>
      </c>
      <c r="AFK1" s="1">
        <f t="shared" si="13"/>
        <v>843</v>
      </c>
      <c r="AFL1" s="1">
        <f t="shared" si="13"/>
        <v>844</v>
      </c>
      <c r="AFM1" s="1">
        <f t="shared" si="13"/>
        <v>845</v>
      </c>
      <c r="AFN1" s="1">
        <f t="shared" si="13"/>
        <v>846</v>
      </c>
      <c r="AFO1" s="1">
        <f t="shared" si="13"/>
        <v>847</v>
      </c>
      <c r="AFP1" s="1">
        <f t="shared" si="13"/>
        <v>848</v>
      </c>
      <c r="AFQ1" s="1">
        <f t="shared" si="13"/>
        <v>849</v>
      </c>
      <c r="AFR1" s="1">
        <f t="shared" si="13"/>
        <v>850</v>
      </c>
      <c r="AFS1" s="1">
        <f t="shared" si="13"/>
        <v>851</v>
      </c>
      <c r="AFT1" s="1">
        <f t="shared" si="13"/>
        <v>852</v>
      </c>
      <c r="AFU1" s="1">
        <f t="shared" si="13"/>
        <v>853</v>
      </c>
      <c r="AFV1" s="1">
        <f t="shared" si="13"/>
        <v>854</v>
      </c>
      <c r="AFW1" s="1">
        <f t="shared" si="13"/>
        <v>855</v>
      </c>
      <c r="AFX1" s="1">
        <f t="shared" si="13"/>
        <v>856</v>
      </c>
      <c r="AFY1" s="1">
        <f t="shared" si="13"/>
        <v>857</v>
      </c>
      <c r="AFZ1" s="1">
        <f t="shared" si="13"/>
        <v>858</v>
      </c>
      <c r="AGA1" s="1">
        <f t="shared" si="13"/>
        <v>859</v>
      </c>
      <c r="AGB1" s="1">
        <f t="shared" si="13"/>
        <v>860</v>
      </c>
      <c r="AGC1" s="1">
        <f t="shared" si="13"/>
        <v>861</v>
      </c>
      <c r="AGD1" s="1">
        <f t="shared" si="13"/>
        <v>862</v>
      </c>
      <c r="AGE1" s="1">
        <f t="shared" si="13"/>
        <v>863</v>
      </c>
      <c r="AGF1" s="1">
        <f t="shared" si="13"/>
        <v>864</v>
      </c>
      <c r="AGG1" s="1">
        <f t="shared" si="13"/>
        <v>865</v>
      </c>
      <c r="AGH1" s="1">
        <f t="shared" si="13"/>
        <v>866</v>
      </c>
      <c r="AGI1" s="1">
        <f t="shared" si="13"/>
        <v>867</v>
      </c>
      <c r="AGJ1" s="1">
        <f t="shared" si="13"/>
        <v>868</v>
      </c>
      <c r="AGK1" s="1">
        <f t="shared" si="13"/>
        <v>869</v>
      </c>
      <c r="AGL1" s="1">
        <f t="shared" si="13"/>
        <v>870</v>
      </c>
      <c r="AGM1" s="1">
        <f t="shared" si="13"/>
        <v>871</v>
      </c>
      <c r="AGN1" s="1">
        <f t="shared" si="13"/>
        <v>872</v>
      </c>
      <c r="AGO1" s="1">
        <f t="shared" si="13"/>
        <v>873</v>
      </c>
      <c r="AGP1" s="1">
        <f t="shared" si="13"/>
        <v>874</v>
      </c>
      <c r="AGQ1" s="1">
        <f t="shared" si="13"/>
        <v>875</v>
      </c>
      <c r="AGR1" s="1">
        <f t="shared" si="13"/>
        <v>876</v>
      </c>
      <c r="AGS1" s="1">
        <f t="shared" si="13"/>
        <v>877</v>
      </c>
      <c r="AGT1" s="1">
        <f t="shared" si="13"/>
        <v>878</v>
      </c>
      <c r="AGU1" s="1">
        <f t="shared" si="13"/>
        <v>879</v>
      </c>
      <c r="AGV1" s="1">
        <f t="shared" si="13"/>
        <v>880</v>
      </c>
      <c r="AGW1" s="1">
        <f t="shared" si="13"/>
        <v>881</v>
      </c>
      <c r="AGX1" s="42">
        <f t="shared" si="13"/>
        <v>882</v>
      </c>
      <c r="AGY1" s="1">
        <f t="shared" si="13"/>
        <v>883</v>
      </c>
      <c r="AGZ1" s="1">
        <f t="shared" si="13"/>
        <v>884</v>
      </c>
      <c r="AHA1" s="1">
        <f t="shared" si="13"/>
        <v>885</v>
      </c>
      <c r="AHB1" s="1">
        <f t="shared" si="13"/>
        <v>886</v>
      </c>
      <c r="AHC1" s="1">
        <f t="shared" si="13"/>
        <v>887</v>
      </c>
      <c r="AHD1" s="1">
        <f t="shared" si="13"/>
        <v>888</v>
      </c>
      <c r="AHE1" s="1">
        <f t="shared" si="13"/>
        <v>889</v>
      </c>
      <c r="AHF1" s="1">
        <f t="shared" si="13"/>
        <v>890</v>
      </c>
      <c r="AHG1" s="1">
        <f t="shared" si="13"/>
        <v>891</v>
      </c>
      <c r="AHH1" s="1">
        <f t="shared" si="13"/>
        <v>892</v>
      </c>
      <c r="AHI1" s="1">
        <f t="shared" si="13"/>
        <v>893</v>
      </c>
      <c r="AHJ1" s="1">
        <f t="shared" si="13"/>
        <v>894</v>
      </c>
      <c r="AHK1" s="1">
        <f t="shared" si="13"/>
        <v>895</v>
      </c>
      <c r="AHL1" s="1">
        <f t="shared" si="13"/>
        <v>896</v>
      </c>
      <c r="AHM1" s="1">
        <f t="shared" si="13"/>
        <v>897</v>
      </c>
      <c r="AHN1" s="1">
        <f t="shared" si="13"/>
        <v>898</v>
      </c>
      <c r="AHO1" s="1">
        <f t="shared" ref="AHO1:AJZ1" si="14">AHN1+1</f>
        <v>899</v>
      </c>
      <c r="AHP1" s="1">
        <f t="shared" si="14"/>
        <v>900</v>
      </c>
      <c r="AHQ1" s="1">
        <f t="shared" si="14"/>
        <v>901</v>
      </c>
      <c r="AHR1" s="1">
        <f t="shared" si="14"/>
        <v>902</v>
      </c>
      <c r="AHS1" s="1">
        <f t="shared" si="14"/>
        <v>903</v>
      </c>
      <c r="AHT1" s="1">
        <f t="shared" si="14"/>
        <v>904</v>
      </c>
      <c r="AHU1" s="1">
        <f t="shared" si="14"/>
        <v>905</v>
      </c>
      <c r="AHV1" s="1">
        <f t="shared" si="14"/>
        <v>906</v>
      </c>
      <c r="AHW1" s="1">
        <f t="shared" si="14"/>
        <v>907</v>
      </c>
      <c r="AHX1" s="1">
        <f t="shared" si="14"/>
        <v>908</v>
      </c>
      <c r="AHY1" s="1">
        <f t="shared" si="14"/>
        <v>909</v>
      </c>
      <c r="AHZ1" s="1">
        <f t="shared" si="14"/>
        <v>910</v>
      </c>
      <c r="AIA1" s="1">
        <f t="shared" si="14"/>
        <v>911</v>
      </c>
      <c r="AIB1" s="1">
        <f t="shared" si="14"/>
        <v>912</v>
      </c>
      <c r="AIC1" s="1">
        <f t="shared" si="14"/>
        <v>913</v>
      </c>
      <c r="AID1" s="1">
        <f t="shared" si="14"/>
        <v>914</v>
      </c>
      <c r="AIE1" s="1">
        <f t="shared" si="14"/>
        <v>915</v>
      </c>
      <c r="AIF1" s="1">
        <f t="shared" si="14"/>
        <v>916</v>
      </c>
      <c r="AIG1" s="1">
        <f t="shared" si="14"/>
        <v>917</v>
      </c>
      <c r="AIH1" s="1">
        <f t="shared" si="14"/>
        <v>918</v>
      </c>
      <c r="AII1" s="1">
        <f t="shared" si="14"/>
        <v>919</v>
      </c>
      <c r="AIJ1" s="1">
        <f t="shared" si="14"/>
        <v>920</v>
      </c>
      <c r="AIK1" s="1">
        <f t="shared" si="14"/>
        <v>921</v>
      </c>
      <c r="AIL1" s="1">
        <f t="shared" si="14"/>
        <v>922</v>
      </c>
      <c r="AIM1" s="1">
        <f t="shared" si="14"/>
        <v>923</v>
      </c>
      <c r="AIN1" s="1">
        <f t="shared" si="14"/>
        <v>924</v>
      </c>
      <c r="AIO1" s="1">
        <f t="shared" si="14"/>
        <v>925</v>
      </c>
      <c r="AIP1" s="42">
        <f t="shared" si="14"/>
        <v>926</v>
      </c>
      <c r="AIQ1" s="1">
        <f t="shared" si="14"/>
        <v>927</v>
      </c>
      <c r="AIR1" s="1">
        <f t="shared" si="14"/>
        <v>928</v>
      </c>
      <c r="AIS1" s="1">
        <f t="shared" si="14"/>
        <v>929</v>
      </c>
      <c r="AIT1" s="1">
        <f t="shared" si="14"/>
        <v>930</v>
      </c>
      <c r="AIU1" s="1">
        <f t="shared" si="14"/>
        <v>931</v>
      </c>
      <c r="AIV1" s="1">
        <f t="shared" si="14"/>
        <v>932</v>
      </c>
      <c r="AIW1" s="1">
        <f t="shared" si="14"/>
        <v>933</v>
      </c>
      <c r="AIX1" s="1">
        <f t="shared" si="14"/>
        <v>934</v>
      </c>
      <c r="AIY1" s="1">
        <f t="shared" si="14"/>
        <v>935</v>
      </c>
      <c r="AIZ1" s="1">
        <f t="shared" si="14"/>
        <v>936</v>
      </c>
      <c r="AJA1" s="1">
        <f t="shared" si="14"/>
        <v>937</v>
      </c>
      <c r="AJB1" s="1">
        <f t="shared" si="14"/>
        <v>938</v>
      </c>
      <c r="AJC1" s="1">
        <f t="shared" si="14"/>
        <v>939</v>
      </c>
      <c r="AJD1" s="1">
        <f t="shared" si="14"/>
        <v>940</v>
      </c>
      <c r="AJE1" s="1">
        <f t="shared" si="14"/>
        <v>941</v>
      </c>
      <c r="AJF1" s="1">
        <f t="shared" si="14"/>
        <v>942</v>
      </c>
      <c r="AJG1" s="1">
        <f t="shared" si="14"/>
        <v>943</v>
      </c>
      <c r="AJH1" s="1">
        <f t="shared" si="14"/>
        <v>944</v>
      </c>
      <c r="AJI1" s="1">
        <f t="shared" si="14"/>
        <v>945</v>
      </c>
      <c r="AJJ1" s="1">
        <f t="shared" si="14"/>
        <v>946</v>
      </c>
      <c r="AJK1" s="1">
        <f t="shared" si="14"/>
        <v>947</v>
      </c>
      <c r="AJL1" s="1">
        <f t="shared" si="14"/>
        <v>948</v>
      </c>
      <c r="AJM1" s="1">
        <f t="shared" si="14"/>
        <v>949</v>
      </c>
      <c r="AJN1" s="1">
        <f t="shared" si="14"/>
        <v>950</v>
      </c>
      <c r="AJO1" s="1">
        <f t="shared" si="14"/>
        <v>951</v>
      </c>
      <c r="AJP1" s="1">
        <f t="shared" si="14"/>
        <v>952</v>
      </c>
      <c r="AJQ1" s="1">
        <f t="shared" si="14"/>
        <v>953</v>
      </c>
      <c r="AJR1" s="1">
        <f t="shared" si="14"/>
        <v>954</v>
      </c>
      <c r="AJS1" s="1">
        <f t="shared" si="14"/>
        <v>955</v>
      </c>
      <c r="AJT1" s="1">
        <f t="shared" si="14"/>
        <v>956</v>
      </c>
      <c r="AJU1" s="1">
        <f t="shared" si="14"/>
        <v>957</v>
      </c>
      <c r="AJV1" s="1">
        <f t="shared" si="14"/>
        <v>958</v>
      </c>
      <c r="AJW1" s="1">
        <f t="shared" si="14"/>
        <v>959</v>
      </c>
      <c r="AJX1" s="1">
        <f t="shared" si="14"/>
        <v>960</v>
      </c>
      <c r="AJY1" s="1">
        <f t="shared" si="14"/>
        <v>961</v>
      </c>
      <c r="AJZ1" s="1">
        <f t="shared" si="14"/>
        <v>962</v>
      </c>
      <c r="AKA1" s="1">
        <f t="shared" ref="AKA1:AML1" si="15">AJZ1+1</f>
        <v>963</v>
      </c>
      <c r="AKB1" s="1">
        <f t="shared" si="15"/>
        <v>964</v>
      </c>
      <c r="AKC1" s="1">
        <f t="shared" si="15"/>
        <v>965</v>
      </c>
      <c r="AKD1" s="1">
        <f t="shared" si="15"/>
        <v>966</v>
      </c>
      <c r="AKE1" s="1">
        <f t="shared" si="15"/>
        <v>967</v>
      </c>
      <c r="AKF1" s="1">
        <f t="shared" si="15"/>
        <v>968</v>
      </c>
      <c r="AKG1" s="1">
        <f t="shared" si="15"/>
        <v>969</v>
      </c>
      <c r="AKH1" s="42">
        <f t="shared" si="15"/>
        <v>970</v>
      </c>
      <c r="AKI1" s="1">
        <f t="shared" si="15"/>
        <v>971</v>
      </c>
      <c r="AKJ1" s="1">
        <f t="shared" si="15"/>
        <v>972</v>
      </c>
      <c r="AKK1" s="1">
        <f t="shared" si="15"/>
        <v>973</v>
      </c>
      <c r="AKL1" s="1">
        <f t="shared" si="15"/>
        <v>974</v>
      </c>
      <c r="AKM1" s="1">
        <f t="shared" si="15"/>
        <v>975</v>
      </c>
      <c r="AKN1" s="1">
        <f t="shared" si="15"/>
        <v>976</v>
      </c>
      <c r="AKO1" s="1">
        <f t="shared" si="15"/>
        <v>977</v>
      </c>
      <c r="AKP1" s="1">
        <f t="shared" si="15"/>
        <v>978</v>
      </c>
      <c r="AKQ1" s="1">
        <f t="shared" si="15"/>
        <v>979</v>
      </c>
      <c r="AKR1" s="1">
        <f t="shared" si="15"/>
        <v>980</v>
      </c>
      <c r="AKS1" s="1">
        <f t="shared" si="15"/>
        <v>981</v>
      </c>
      <c r="AKT1" s="1">
        <f t="shared" si="15"/>
        <v>982</v>
      </c>
      <c r="AKU1" s="1">
        <f t="shared" si="15"/>
        <v>983</v>
      </c>
      <c r="AKV1" s="1">
        <f t="shared" si="15"/>
        <v>984</v>
      </c>
      <c r="AKW1" s="1">
        <f t="shared" si="15"/>
        <v>985</v>
      </c>
      <c r="AKX1" s="1">
        <f t="shared" si="15"/>
        <v>986</v>
      </c>
      <c r="AKY1" s="1">
        <f t="shared" si="15"/>
        <v>987</v>
      </c>
      <c r="AKZ1" s="1">
        <f t="shared" si="15"/>
        <v>988</v>
      </c>
      <c r="ALA1" s="1">
        <f t="shared" si="15"/>
        <v>989</v>
      </c>
      <c r="ALB1" s="1">
        <f t="shared" si="15"/>
        <v>990</v>
      </c>
      <c r="ALC1" s="1">
        <f t="shared" si="15"/>
        <v>991</v>
      </c>
      <c r="ALD1" s="1">
        <f t="shared" si="15"/>
        <v>992</v>
      </c>
      <c r="ALE1" s="1">
        <f t="shared" si="15"/>
        <v>993</v>
      </c>
      <c r="ALF1" s="1">
        <f t="shared" si="15"/>
        <v>994</v>
      </c>
      <c r="ALG1" s="1">
        <f t="shared" si="15"/>
        <v>995</v>
      </c>
      <c r="ALH1" s="1">
        <f t="shared" si="15"/>
        <v>996</v>
      </c>
      <c r="ALI1" s="1">
        <f t="shared" si="15"/>
        <v>997</v>
      </c>
      <c r="ALJ1" s="1">
        <f t="shared" si="15"/>
        <v>998</v>
      </c>
      <c r="ALK1" s="1">
        <f t="shared" si="15"/>
        <v>999</v>
      </c>
      <c r="ALL1" s="1">
        <f t="shared" si="15"/>
        <v>1000</v>
      </c>
      <c r="ALM1" s="1">
        <f t="shared" si="15"/>
        <v>1001</v>
      </c>
      <c r="ALN1" s="1">
        <f t="shared" si="15"/>
        <v>1002</v>
      </c>
      <c r="ALO1" s="1">
        <f t="shared" si="15"/>
        <v>1003</v>
      </c>
      <c r="ALP1" s="1">
        <f t="shared" si="15"/>
        <v>1004</v>
      </c>
      <c r="ALQ1" s="1">
        <f t="shared" si="15"/>
        <v>1005</v>
      </c>
      <c r="ALR1" s="1">
        <f t="shared" si="15"/>
        <v>1006</v>
      </c>
      <c r="ALS1" s="1">
        <f t="shared" si="15"/>
        <v>1007</v>
      </c>
      <c r="ALT1" s="1">
        <f t="shared" si="15"/>
        <v>1008</v>
      </c>
      <c r="ALU1" s="1">
        <f t="shared" si="15"/>
        <v>1009</v>
      </c>
      <c r="ALV1" s="1">
        <f t="shared" si="15"/>
        <v>1010</v>
      </c>
      <c r="ALW1" s="1">
        <f t="shared" si="15"/>
        <v>1011</v>
      </c>
      <c r="ALX1" s="1">
        <f t="shared" si="15"/>
        <v>1012</v>
      </c>
      <c r="ALY1" s="1">
        <f t="shared" si="15"/>
        <v>1013</v>
      </c>
      <c r="ALZ1" s="42">
        <f t="shared" si="15"/>
        <v>1014</v>
      </c>
      <c r="AMA1" s="1">
        <f t="shared" si="15"/>
        <v>1015</v>
      </c>
      <c r="AMB1" s="1">
        <f t="shared" si="15"/>
        <v>1016</v>
      </c>
      <c r="AMC1" s="1">
        <f t="shared" si="15"/>
        <v>1017</v>
      </c>
      <c r="AMD1" s="1">
        <f t="shared" si="15"/>
        <v>1018</v>
      </c>
      <c r="AME1" s="1">
        <f t="shared" si="15"/>
        <v>1019</v>
      </c>
      <c r="AMF1" s="1">
        <f t="shared" si="15"/>
        <v>1020</v>
      </c>
      <c r="AMG1" s="1">
        <f t="shared" si="15"/>
        <v>1021</v>
      </c>
      <c r="AMH1" s="1">
        <f t="shared" si="15"/>
        <v>1022</v>
      </c>
      <c r="AMI1" s="1">
        <f t="shared" si="15"/>
        <v>1023</v>
      </c>
      <c r="AMJ1" s="1">
        <f t="shared" si="15"/>
        <v>1024</v>
      </c>
      <c r="AMK1" s="1">
        <f t="shared" si="15"/>
        <v>1025</v>
      </c>
      <c r="AML1" s="1">
        <f t="shared" si="15"/>
        <v>1026</v>
      </c>
      <c r="AMM1" s="1">
        <f t="shared" ref="AMM1:AOX1" si="16">AML1+1</f>
        <v>1027</v>
      </c>
      <c r="AMN1" s="1">
        <f t="shared" si="16"/>
        <v>1028</v>
      </c>
      <c r="AMO1" s="1">
        <f t="shared" si="16"/>
        <v>1029</v>
      </c>
      <c r="AMP1" s="1">
        <f t="shared" si="16"/>
        <v>1030</v>
      </c>
      <c r="AMQ1" s="1">
        <f t="shared" si="16"/>
        <v>1031</v>
      </c>
      <c r="AMR1" s="1">
        <f t="shared" si="16"/>
        <v>1032</v>
      </c>
      <c r="AMS1" s="1">
        <f t="shared" si="16"/>
        <v>1033</v>
      </c>
      <c r="AMT1" s="1">
        <f t="shared" si="16"/>
        <v>1034</v>
      </c>
      <c r="AMU1" s="1">
        <f t="shared" si="16"/>
        <v>1035</v>
      </c>
      <c r="AMV1" s="1">
        <f t="shared" si="16"/>
        <v>1036</v>
      </c>
      <c r="AMW1" s="1">
        <f t="shared" si="16"/>
        <v>1037</v>
      </c>
      <c r="AMX1" s="1">
        <f t="shared" si="16"/>
        <v>1038</v>
      </c>
      <c r="AMY1" s="1">
        <f t="shared" si="16"/>
        <v>1039</v>
      </c>
      <c r="AMZ1" s="1">
        <f t="shared" si="16"/>
        <v>1040</v>
      </c>
      <c r="ANA1" s="1">
        <f t="shared" si="16"/>
        <v>1041</v>
      </c>
      <c r="ANB1" s="1">
        <f t="shared" si="16"/>
        <v>1042</v>
      </c>
      <c r="ANC1" s="1">
        <f t="shared" si="16"/>
        <v>1043</v>
      </c>
      <c r="AND1" s="1">
        <f t="shared" si="16"/>
        <v>1044</v>
      </c>
      <c r="ANE1" s="1">
        <f t="shared" si="16"/>
        <v>1045</v>
      </c>
      <c r="ANF1" s="1">
        <f t="shared" si="16"/>
        <v>1046</v>
      </c>
      <c r="ANG1" s="1">
        <f t="shared" si="16"/>
        <v>1047</v>
      </c>
      <c r="ANH1" s="1">
        <f t="shared" si="16"/>
        <v>1048</v>
      </c>
      <c r="ANI1" s="1">
        <f t="shared" si="16"/>
        <v>1049</v>
      </c>
      <c r="ANJ1" s="1">
        <f t="shared" si="16"/>
        <v>1050</v>
      </c>
      <c r="ANK1" s="1">
        <f t="shared" si="16"/>
        <v>1051</v>
      </c>
      <c r="ANL1" s="1">
        <f t="shared" si="16"/>
        <v>1052</v>
      </c>
      <c r="ANM1" s="1">
        <f t="shared" si="16"/>
        <v>1053</v>
      </c>
      <c r="ANN1" s="1">
        <f t="shared" si="16"/>
        <v>1054</v>
      </c>
      <c r="ANO1" s="1">
        <f t="shared" si="16"/>
        <v>1055</v>
      </c>
      <c r="ANP1" s="1">
        <f t="shared" si="16"/>
        <v>1056</v>
      </c>
      <c r="ANQ1" s="1">
        <f t="shared" si="16"/>
        <v>1057</v>
      </c>
      <c r="ANR1" s="42">
        <f t="shared" si="16"/>
        <v>1058</v>
      </c>
      <c r="ANS1" s="1">
        <f t="shared" si="16"/>
        <v>1059</v>
      </c>
      <c r="ANT1" s="1">
        <f t="shared" si="16"/>
        <v>1060</v>
      </c>
      <c r="ANU1" s="1">
        <f t="shared" si="16"/>
        <v>1061</v>
      </c>
      <c r="ANV1" s="1">
        <f t="shared" si="16"/>
        <v>1062</v>
      </c>
      <c r="ANW1" s="1">
        <f t="shared" si="16"/>
        <v>1063</v>
      </c>
      <c r="ANX1" s="1">
        <f t="shared" si="16"/>
        <v>1064</v>
      </c>
      <c r="ANY1" s="1">
        <f t="shared" si="16"/>
        <v>1065</v>
      </c>
      <c r="ANZ1" s="1">
        <f t="shared" si="16"/>
        <v>1066</v>
      </c>
      <c r="AOA1" s="1">
        <f t="shared" si="16"/>
        <v>1067</v>
      </c>
      <c r="AOB1" s="1">
        <f t="shared" si="16"/>
        <v>1068</v>
      </c>
      <c r="AOC1" s="1">
        <f t="shared" si="16"/>
        <v>1069</v>
      </c>
      <c r="AOD1" s="1">
        <f t="shared" si="16"/>
        <v>1070</v>
      </c>
      <c r="AOE1" s="1">
        <f t="shared" si="16"/>
        <v>1071</v>
      </c>
      <c r="AOF1" s="1">
        <f t="shared" si="16"/>
        <v>1072</v>
      </c>
      <c r="AOG1" s="1">
        <f t="shared" si="16"/>
        <v>1073</v>
      </c>
      <c r="AOH1" s="1">
        <f t="shared" si="16"/>
        <v>1074</v>
      </c>
      <c r="AOI1" s="1">
        <f t="shared" si="16"/>
        <v>1075</v>
      </c>
      <c r="AOJ1" s="1">
        <f t="shared" si="16"/>
        <v>1076</v>
      </c>
      <c r="AOK1" s="1">
        <f t="shared" si="16"/>
        <v>1077</v>
      </c>
      <c r="AOL1" s="1">
        <f t="shared" si="16"/>
        <v>1078</v>
      </c>
      <c r="AOM1" s="1">
        <f t="shared" si="16"/>
        <v>1079</v>
      </c>
      <c r="AON1" s="1">
        <f t="shared" si="16"/>
        <v>1080</v>
      </c>
      <c r="AOO1" s="1">
        <f t="shared" si="16"/>
        <v>1081</v>
      </c>
      <c r="AOP1" s="1">
        <f t="shared" si="16"/>
        <v>1082</v>
      </c>
      <c r="AOQ1" s="1">
        <f t="shared" si="16"/>
        <v>1083</v>
      </c>
      <c r="AOR1" s="1">
        <f t="shared" si="16"/>
        <v>1084</v>
      </c>
      <c r="AOS1" s="1">
        <f t="shared" si="16"/>
        <v>1085</v>
      </c>
      <c r="AOT1" s="1">
        <f t="shared" si="16"/>
        <v>1086</v>
      </c>
      <c r="AOU1" s="1">
        <f t="shared" si="16"/>
        <v>1087</v>
      </c>
      <c r="AOV1" s="1">
        <f t="shared" si="16"/>
        <v>1088</v>
      </c>
      <c r="AOW1" s="1">
        <f t="shared" si="16"/>
        <v>1089</v>
      </c>
      <c r="AOX1" s="1">
        <f t="shared" si="16"/>
        <v>1090</v>
      </c>
      <c r="AOY1" s="1">
        <f t="shared" ref="AOY1:ARJ1" si="17">AOX1+1</f>
        <v>1091</v>
      </c>
      <c r="AOZ1" s="1">
        <f t="shared" si="17"/>
        <v>1092</v>
      </c>
      <c r="APA1" s="1">
        <f t="shared" si="17"/>
        <v>1093</v>
      </c>
      <c r="APB1" s="1">
        <f t="shared" si="17"/>
        <v>1094</v>
      </c>
      <c r="APC1" s="1">
        <f t="shared" si="17"/>
        <v>1095</v>
      </c>
      <c r="APD1" s="1">
        <f t="shared" si="17"/>
        <v>1096</v>
      </c>
      <c r="APE1" s="1">
        <f t="shared" si="17"/>
        <v>1097</v>
      </c>
      <c r="APF1" s="1">
        <f t="shared" si="17"/>
        <v>1098</v>
      </c>
      <c r="APG1" s="1">
        <f t="shared" si="17"/>
        <v>1099</v>
      </c>
      <c r="APH1" s="1">
        <f t="shared" si="17"/>
        <v>1100</v>
      </c>
      <c r="API1" s="1">
        <f t="shared" si="17"/>
        <v>1101</v>
      </c>
      <c r="APJ1" s="42">
        <f t="shared" si="17"/>
        <v>1102</v>
      </c>
      <c r="APK1" s="1">
        <f t="shared" si="17"/>
        <v>1103</v>
      </c>
      <c r="APL1" s="1">
        <f t="shared" si="17"/>
        <v>1104</v>
      </c>
      <c r="APM1" s="1">
        <f t="shared" si="17"/>
        <v>1105</v>
      </c>
      <c r="APN1" s="1">
        <f t="shared" si="17"/>
        <v>1106</v>
      </c>
      <c r="APO1" s="1">
        <f t="shared" si="17"/>
        <v>1107</v>
      </c>
      <c r="APP1" s="1">
        <f t="shared" si="17"/>
        <v>1108</v>
      </c>
      <c r="APQ1" s="1">
        <f t="shared" si="17"/>
        <v>1109</v>
      </c>
      <c r="APR1" s="1">
        <f t="shared" si="17"/>
        <v>1110</v>
      </c>
      <c r="APS1" s="1">
        <f t="shared" si="17"/>
        <v>1111</v>
      </c>
      <c r="APT1" s="1">
        <f t="shared" si="17"/>
        <v>1112</v>
      </c>
      <c r="APU1" s="1">
        <f t="shared" si="17"/>
        <v>1113</v>
      </c>
      <c r="APV1" s="1">
        <f t="shared" si="17"/>
        <v>1114</v>
      </c>
      <c r="APW1" s="1">
        <f t="shared" si="17"/>
        <v>1115</v>
      </c>
      <c r="APX1" s="1">
        <f t="shared" si="17"/>
        <v>1116</v>
      </c>
      <c r="APY1" s="1">
        <f t="shared" si="17"/>
        <v>1117</v>
      </c>
      <c r="APZ1" s="1">
        <f t="shared" si="17"/>
        <v>1118</v>
      </c>
      <c r="AQA1" s="1">
        <f t="shared" si="17"/>
        <v>1119</v>
      </c>
      <c r="AQB1" s="1">
        <f t="shared" si="17"/>
        <v>1120</v>
      </c>
      <c r="AQC1" s="1">
        <f t="shared" si="17"/>
        <v>1121</v>
      </c>
      <c r="AQD1" s="1">
        <f t="shared" si="17"/>
        <v>1122</v>
      </c>
      <c r="AQE1" s="1">
        <f t="shared" si="17"/>
        <v>1123</v>
      </c>
      <c r="AQF1" s="1">
        <f t="shared" si="17"/>
        <v>1124</v>
      </c>
      <c r="AQG1" s="1">
        <f t="shared" si="17"/>
        <v>1125</v>
      </c>
      <c r="AQH1" s="1">
        <f t="shared" si="17"/>
        <v>1126</v>
      </c>
      <c r="AQI1" s="1">
        <f t="shared" si="17"/>
        <v>1127</v>
      </c>
      <c r="AQJ1" s="1">
        <f t="shared" si="17"/>
        <v>1128</v>
      </c>
      <c r="AQK1" s="1">
        <f t="shared" si="17"/>
        <v>1129</v>
      </c>
      <c r="AQL1" s="1">
        <f t="shared" si="17"/>
        <v>1130</v>
      </c>
      <c r="AQM1" s="1">
        <f t="shared" si="17"/>
        <v>1131</v>
      </c>
      <c r="AQN1" s="1">
        <f t="shared" si="17"/>
        <v>1132</v>
      </c>
      <c r="AQO1" s="1">
        <f t="shared" si="17"/>
        <v>1133</v>
      </c>
      <c r="AQP1" s="1">
        <f t="shared" si="17"/>
        <v>1134</v>
      </c>
      <c r="AQQ1" s="1">
        <f t="shared" si="17"/>
        <v>1135</v>
      </c>
      <c r="AQR1" s="1">
        <f t="shared" si="17"/>
        <v>1136</v>
      </c>
      <c r="AQS1" s="1">
        <f t="shared" si="17"/>
        <v>1137</v>
      </c>
      <c r="AQT1" s="1">
        <f t="shared" si="17"/>
        <v>1138</v>
      </c>
      <c r="AQU1" s="1">
        <f t="shared" si="17"/>
        <v>1139</v>
      </c>
      <c r="AQV1" s="1">
        <f t="shared" si="17"/>
        <v>1140</v>
      </c>
      <c r="AQW1" s="1">
        <f t="shared" si="17"/>
        <v>1141</v>
      </c>
      <c r="AQX1" s="1">
        <f t="shared" si="17"/>
        <v>1142</v>
      </c>
      <c r="AQY1" s="1">
        <f t="shared" si="17"/>
        <v>1143</v>
      </c>
      <c r="AQZ1" s="1">
        <f t="shared" si="17"/>
        <v>1144</v>
      </c>
      <c r="ARA1" s="1">
        <f t="shared" si="17"/>
        <v>1145</v>
      </c>
      <c r="ARB1" s="42">
        <f t="shared" si="17"/>
        <v>1146</v>
      </c>
      <c r="ARC1" s="1">
        <f t="shared" si="17"/>
        <v>1147</v>
      </c>
      <c r="ARD1" s="1">
        <f t="shared" si="17"/>
        <v>1148</v>
      </c>
      <c r="ARE1" s="1">
        <f t="shared" si="17"/>
        <v>1149</v>
      </c>
      <c r="ARF1" s="1">
        <f t="shared" si="17"/>
        <v>1150</v>
      </c>
      <c r="ARG1" s="1">
        <f t="shared" si="17"/>
        <v>1151</v>
      </c>
      <c r="ARH1" s="1">
        <f t="shared" si="17"/>
        <v>1152</v>
      </c>
      <c r="ARI1" s="1">
        <f t="shared" si="17"/>
        <v>1153</v>
      </c>
      <c r="ARJ1" s="1">
        <f t="shared" si="17"/>
        <v>1154</v>
      </c>
      <c r="ARK1" s="1">
        <f t="shared" ref="ARK1:ATV1" si="18">ARJ1+1</f>
        <v>1155</v>
      </c>
      <c r="ARL1" s="1">
        <f t="shared" si="18"/>
        <v>1156</v>
      </c>
      <c r="ARM1" s="1">
        <f t="shared" si="18"/>
        <v>1157</v>
      </c>
      <c r="ARN1" s="1">
        <f t="shared" si="18"/>
        <v>1158</v>
      </c>
      <c r="ARO1" s="1">
        <f t="shared" si="18"/>
        <v>1159</v>
      </c>
      <c r="ARP1" s="1">
        <f t="shared" si="18"/>
        <v>1160</v>
      </c>
      <c r="ARQ1" s="1">
        <f t="shared" si="18"/>
        <v>1161</v>
      </c>
      <c r="ARR1" s="1">
        <f t="shared" si="18"/>
        <v>1162</v>
      </c>
      <c r="ARS1" s="1">
        <f t="shared" si="18"/>
        <v>1163</v>
      </c>
      <c r="ART1" s="1">
        <f t="shared" si="18"/>
        <v>1164</v>
      </c>
      <c r="ARU1" s="1">
        <f t="shared" si="18"/>
        <v>1165</v>
      </c>
      <c r="ARV1" s="1">
        <f t="shared" si="18"/>
        <v>1166</v>
      </c>
      <c r="ARW1" s="1">
        <f t="shared" si="18"/>
        <v>1167</v>
      </c>
      <c r="ARX1" s="1">
        <f t="shared" si="18"/>
        <v>1168</v>
      </c>
      <c r="ARY1" s="1">
        <f t="shared" si="18"/>
        <v>1169</v>
      </c>
      <c r="ARZ1" s="1">
        <f t="shared" si="18"/>
        <v>1170</v>
      </c>
      <c r="ASA1" s="1">
        <f t="shared" si="18"/>
        <v>1171</v>
      </c>
      <c r="ASB1" s="1">
        <f t="shared" si="18"/>
        <v>1172</v>
      </c>
      <c r="ASC1" s="1">
        <f t="shared" si="18"/>
        <v>1173</v>
      </c>
      <c r="ASD1" s="1">
        <f t="shared" si="18"/>
        <v>1174</v>
      </c>
      <c r="ASE1" s="1">
        <f t="shared" si="18"/>
        <v>1175</v>
      </c>
      <c r="ASF1" s="1">
        <f t="shared" si="18"/>
        <v>1176</v>
      </c>
      <c r="ASG1" s="1">
        <f t="shared" si="18"/>
        <v>1177</v>
      </c>
      <c r="ASH1" s="1">
        <f t="shared" si="18"/>
        <v>1178</v>
      </c>
      <c r="ASI1" s="1">
        <f t="shared" si="18"/>
        <v>1179</v>
      </c>
      <c r="ASJ1" s="1">
        <f t="shared" si="18"/>
        <v>1180</v>
      </c>
      <c r="ASK1" s="1">
        <f t="shared" si="18"/>
        <v>1181</v>
      </c>
      <c r="ASL1" s="1">
        <f t="shared" si="18"/>
        <v>1182</v>
      </c>
      <c r="ASM1" s="1">
        <f t="shared" si="18"/>
        <v>1183</v>
      </c>
      <c r="ASN1" s="1">
        <f t="shared" si="18"/>
        <v>1184</v>
      </c>
      <c r="ASO1" s="1">
        <f t="shared" si="18"/>
        <v>1185</v>
      </c>
      <c r="ASP1" s="1">
        <f t="shared" si="18"/>
        <v>1186</v>
      </c>
      <c r="ASQ1" s="1">
        <f t="shared" si="18"/>
        <v>1187</v>
      </c>
      <c r="ASR1" s="1">
        <f t="shared" si="18"/>
        <v>1188</v>
      </c>
      <c r="ASS1" s="1">
        <f t="shared" si="18"/>
        <v>1189</v>
      </c>
      <c r="AST1" s="42">
        <f t="shared" si="18"/>
        <v>1190</v>
      </c>
      <c r="ASU1" s="1">
        <f t="shared" si="18"/>
        <v>1191</v>
      </c>
      <c r="ASV1" s="1">
        <f t="shared" si="18"/>
        <v>1192</v>
      </c>
      <c r="ASW1" s="1">
        <f t="shared" si="18"/>
        <v>1193</v>
      </c>
      <c r="ASX1" s="1">
        <f t="shared" si="18"/>
        <v>1194</v>
      </c>
      <c r="ASY1" s="1">
        <f t="shared" si="18"/>
        <v>1195</v>
      </c>
      <c r="ASZ1" s="1">
        <f t="shared" si="18"/>
        <v>1196</v>
      </c>
      <c r="ATA1" s="1">
        <f t="shared" si="18"/>
        <v>1197</v>
      </c>
      <c r="ATB1" s="1">
        <f t="shared" si="18"/>
        <v>1198</v>
      </c>
      <c r="ATC1" s="1">
        <f t="shared" si="18"/>
        <v>1199</v>
      </c>
      <c r="ATD1" s="1">
        <f t="shared" si="18"/>
        <v>1200</v>
      </c>
      <c r="ATE1" s="1">
        <f t="shared" si="18"/>
        <v>1201</v>
      </c>
      <c r="ATF1" s="1">
        <f t="shared" si="18"/>
        <v>1202</v>
      </c>
      <c r="ATG1" s="1">
        <f t="shared" si="18"/>
        <v>1203</v>
      </c>
      <c r="ATH1" s="1">
        <f t="shared" si="18"/>
        <v>1204</v>
      </c>
      <c r="ATI1" s="1">
        <f t="shared" si="18"/>
        <v>1205</v>
      </c>
      <c r="ATJ1" s="1">
        <f t="shared" si="18"/>
        <v>1206</v>
      </c>
      <c r="ATK1" s="1">
        <f t="shared" si="18"/>
        <v>1207</v>
      </c>
      <c r="ATL1" s="1">
        <f t="shared" si="18"/>
        <v>1208</v>
      </c>
      <c r="ATM1" s="1">
        <f t="shared" si="18"/>
        <v>1209</v>
      </c>
      <c r="ATN1" s="1">
        <f t="shared" si="18"/>
        <v>1210</v>
      </c>
      <c r="ATO1" s="1">
        <f t="shared" si="18"/>
        <v>1211</v>
      </c>
      <c r="ATP1" s="1">
        <f t="shared" si="18"/>
        <v>1212</v>
      </c>
      <c r="ATQ1" s="1">
        <f t="shared" si="18"/>
        <v>1213</v>
      </c>
      <c r="ATR1" s="1">
        <f t="shared" si="18"/>
        <v>1214</v>
      </c>
      <c r="ATS1" s="1">
        <f t="shared" si="18"/>
        <v>1215</v>
      </c>
      <c r="ATT1" s="1">
        <f t="shared" si="18"/>
        <v>1216</v>
      </c>
      <c r="ATU1" s="1">
        <f t="shared" si="18"/>
        <v>1217</v>
      </c>
      <c r="ATV1" s="1">
        <f t="shared" si="18"/>
        <v>1218</v>
      </c>
      <c r="ATW1" s="1">
        <f t="shared" ref="ATW1:AWH1" si="19">ATV1+1</f>
        <v>1219</v>
      </c>
      <c r="ATX1" s="1">
        <f t="shared" si="19"/>
        <v>1220</v>
      </c>
      <c r="ATY1" s="1">
        <f t="shared" si="19"/>
        <v>1221</v>
      </c>
      <c r="ATZ1" s="1">
        <f t="shared" si="19"/>
        <v>1222</v>
      </c>
      <c r="AUA1" s="1">
        <f t="shared" si="19"/>
        <v>1223</v>
      </c>
      <c r="AUB1" s="1">
        <f t="shared" si="19"/>
        <v>1224</v>
      </c>
      <c r="AUC1" s="1">
        <f t="shared" si="19"/>
        <v>1225</v>
      </c>
      <c r="AUD1" s="1">
        <f t="shared" si="19"/>
        <v>1226</v>
      </c>
      <c r="AUE1" s="1">
        <f t="shared" si="19"/>
        <v>1227</v>
      </c>
      <c r="AUF1" s="1">
        <f t="shared" si="19"/>
        <v>1228</v>
      </c>
      <c r="AUG1" s="1">
        <f t="shared" si="19"/>
        <v>1229</v>
      </c>
      <c r="AUH1" s="1">
        <f t="shared" si="19"/>
        <v>1230</v>
      </c>
      <c r="AUI1" s="1">
        <f t="shared" si="19"/>
        <v>1231</v>
      </c>
      <c r="AUJ1" s="1">
        <f t="shared" si="19"/>
        <v>1232</v>
      </c>
      <c r="AUK1" s="1">
        <f t="shared" si="19"/>
        <v>1233</v>
      </c>
      <c r="AUL1" s="42">
        <f t="shared" si="19"/>
        <v>1234</v>
      </c>
      <c r="AUM1" s="1">
        <f t="shared" si="19"/>
        <v>1235</v>
      </c>
      <c r="AUN1" s="1">
        <f t="shared" si="19"/>
        <v>1236</v>
      </c>
      <c r="AUO1" s="1">
        <f t="shared" si="19"/>
        <v>1237</v>
      </c>
      <c r="AUP1" s="1">
        <f t="shared" si="19"/>
        <v>1238</v>
      </c>
      <c r="AUQ1" s="1">
        <f t="shared" si="19"/>
        <v>1239</v>
      </c>
      <c r="AUR1" s="1">
        <f t="shared" si="19"/>
        <v>1240</v>
      </c>
      <c r="AUS1" s="1">
        <f t="shared" si="19"/>
        <v>1241</v>
      </c>
      <c r="AUT1" s="1">
        <f t="shared" si="19"/>
        <v>1242</v>
      </c>
      <c r="AUU1" s="1">
        <f t="shared" si="19"/>
        <v>1243</v>
      </c>
      <c r="AUV1" s="1">
        <f t="shared" si="19"/>
        <v>1244</v>
      </c>
      <c r="AUW1" s="1">
        <f t="shared" si="19"/>
        <v>1245</v>
      </c>
      <c r="AUX1" s="1">
        <f t="shared" si="19"/>
        <v>1246</v>
      </c>
      <c r="AUY1" s="1">
        <f t="shared" si="19"/>
        <v>1247</v>
      </c>
      <c r="AUZ1" s="1">
        <f t="shared" si="19"/>
        <v>1248</v>
      </c>
      <c r="AVA1" s="1">
        <f t="shared" si="19"/>
        <v>1249</v>
      </c>
      <c r="AVB1" s="1">
        <f t="shared" si="19"/>
        <v>1250</v>
      </c>
      <c r="AVC1" s="1">
        <f t="shared" si="19"/>
        <v>1251</v>
      </c>
      <c r="AVD1" s="1">
        <f t="shared" si="19"/>
        <v>1252</v>
      </c>
      <c r="AVE1" s="1">
        <f t="shared" si="19"/>
        <v>1253</v>
      </c>
      <c r="AVF1" s="1">
        <f t="shared" si="19"/>
        <v>1254</v>
      </c>
      <c r="AVG1" s="1">
        <f t="shared" si="19"/>
        <v>1255</v>
      </c>
      <c r="AVH1" s="1">
        <f t="shared" si="19"/>
        <v>1256</v>
      </c>
      <c r="AVI1" s="1">
        <f t="shared" si="19"/>
        <v>1257</v>
      </c>
      <c r="AVJ1" s="1">
        <f t="shared" si="19"/>
        <v>1258</v>
      </c>
      <c r="AVK1" s="1">
        <f t="shared" si="19"/>
        <v>1259</v>
      </c>
      <c r="AVL1" s="1">
        <f t="shared" si="19"/>
        <v>1260</v>
      </c>
      <c r="AVM1" s="1">
        <f t="shared" si="19"/>
        <v>1261</v>
      </c>
      <c r="AVN1" s="1">
        <f t="shared" si="19"/>
        <v>1262</v>
      </c>
      <c r="AVO1" s="1">
        <f t="shared" si="19"/>
        <v>1263</v>
      </c>
      <c r="AVP1" s="1">
        <f t="shared" si="19"/>
        <v>1264</v>
      </c>
      <c r="AVQ1" s="1">
        <f t="shared" si="19"/>
        <v>1265</v>
      </c>
      <c r="AVR1" s="1">
        <f t="shared" si="19"/>
        <v>1266</v>
      </c>
      <c r="AVS1" s="1">
        <f t="shared" si="19"/>
        <v>1267</v>
      </c>
      <c r="AVT1" s="1">
        <f t="shared" si="19"/>
        <v>1268</v>
      </c>
      <c r="AVU1" s="1">
        <f t="shared" si="19"/>
        <v>1269</v>
      </c>
      <c r="AVV1" s="1">
        <f t="shared" si="19"/>
        <v>1270</v>
      </c>
      <c r="AVW1" s="1">
        <f t="shared" si="19"/>
        <v>1271</v>
      </c>
      <c r="AVX1" s="1">
        <f t="shared" si="19"/>
        <v>1272</v>
      </c>
      <c r="AVY1" s="1">
        <f t="shared" si="19"/>
        <v>1273</v>
      </c>
      <c r="AVZ1" s="1">
        <f t="shared" si="19"/>
        <v>1274</v>
      </c>
      <c r="AWA1" s="1">
        <f t="shared" si="19"/>
        <v>1275</v>
      </c>
      <c r="AWB1" s="1">
        <f t="shared" si="19"/>
        <v>1276</v>
      </c>
      <c r="AWC1" s="1">
        <f t="shared" si="19"/>
        <v>1277</v>
      </c>
      <c r="AWD1" s="42">
        <f t="shared" si="19"/>
        <v>1278</v>
      </c>
      <c r="AWE1" s="1">
        <f t="shared" si="19"/>
        <v>1279</v>
      </c>
      <c r="AWF1" s="1">
        <f t="shared" si="19"/>
        <v>1280</v>
      </c>
      <c r="AWG1" s="1">
        <f t="shared" si="19"/>
        <v>1281</v>
      </c>
      <c r="AWH1" s="1">
        <f t="shared" si="19"/>
        <v>1282</v>
      </c>
      <c r="AWI1" s="1">
        <f t="shared" ref="AWI1:AYT1" si="20">AWH1+1</f>
        <v>1283</v>
      </c>
      <c r="AWJ1" s="1">
        <f t="shared" si="20"/>
        <v>1284</v>
      </c>
      <c r="AWK1" s="1">
        <f t="shared" si="20"/>
        <v>1285</v>
      </c>
      <c r="AWL1" s="1">
        <f t="shared" si="20"/>
        <v>1286</v>
      </c>
      <c r="AWM1" s="1">
        <f t="shared" si="20"/>
        <v>1287</v>
      </c>
      <c r="AWN1" s="1">
        <f t="shared" si="20"/>
        <v>1288</v>
      </c>
      <c r="AWO1" s="1">
        <f t="shared" si="20"/>
        <v>1289</v>
      </c>
      <c r="AWP1" s="1">
        <f t="shared" si="20"/>
        <v>1290</v>
      </c>
      <c r="AWQ1" s="1">
        <f t="shared" si="20"/>
        <v>1291</v>
      </c>
      <c r="AWR1" s="1">
        <f t="shared" si="20"/>
        <v>1292</v>
      </c>
      <c r="AWS1" s="1">
        <f t="shared" si="20"/>
        <v>1293</v>
      </c>
      <c r="AWT1" s="1">
        <f t="shared" si="20"/>
        <v>1294</v>
      </c>
      <c r="AWU1" s="1">
        <f t="shared" si="20"/>
        <v>1295</v>
      </c>
      <c r="AWV1" s="1">
        <f t="shared" si="20"/>
        <v>1296</v>
      </c>
      <c r="AWW1" s="1">
        <f t="shared" si="20"/>
        <v>1297</v>
      </c>
      <c r="AWX1" s="1">
        <f t="shared" si="20"/>
        <v>1298</v>
      </c>
      <c r="AWY1" s="1">
        <f t="shared" si="20"/>
        <v>1299</v>
      </c>
      <c r="AWZ1" s="1">
        <f t="shared" si="20"/>
        <v>1300</v>
      </c>
      <c r="AXA1" s="1">
        <f t="shared" si="20"/>
        <v>1301</v>
      </c>
      <c r="AXB1" s="1">
        <f t="shared" si="20"/>
        <v>1302</v>
      </c>
      <c r="AXC1" s="1">
        <f t="shared" si="20"/>
        <v>1303</v>
      </c>
      <c r="AXD1" s="1">
        <f t="shared" si="20"/>
        <v>1304</v>
      </c>
      <c r="AXE1" s="1">
        <f t="shared" si="20"/>
        <v>1305</v>
      </c>
      <c r="AXF1" s="1">
        <f t="shared" si="20"/>
        <v>1306</v>
      </c>
      <c r="AXG1" s="1">
        <f t="shared" si="20"/>
        <v>1307</v>
      </c>
      <c r="AXH1" s="1">
        <f t="shared" si="20"/>
        <v>1308</v>
      </c>
      <c r="AXI1" s="1">
        <f t="shared" si="20"/>
        <v>1309</v>
      </c>
      <c r="AXJ1" s="1">
        <f t="shared" si="20"/>
        <v>1310</v>
      </c>
      <c r="AXK1" s="1">
        <f t="shared" si="20"/>
        <v>1311</v>
      </c>
      <c r="AXL1" s="1">
        <f t="shared" si="20"/>
        <v>1312</v>
      </c>
      <c r="AXM1" s="1">
        <f t="shared" si="20"/>
        <v>1313</v>
      </c>
      <c r="AXN1" s="1">
        <f t="shared" si="20"/>
        <v>1314</v>
      </c>
      <c r="AXO1" s="1">
        <f t="shared" si="20"/>
        <v>1315</v>
      </c>
      <c r="AXP1" s="1">
        <f t="shared" si="20"/>
        <v>1316</v>
      </c>
      <c r="AXQ1" s="1">
        <f t="shared" si="20"/>
        <v>1317</v>
      </c>
      <c r="AXR1" s="1">
        <f t="shared" si="20"/>
        <v>1318</v>
      </c>
      <c r="AXS1" s="1">
        <f t="shared" si="20"/>
        <v>1319</v>
      </c>
      <c r="AXT1" s="1">
        <f t="shared" si="20"/>
        <v>1320</v>
      </c>
      <c r="AXU1" s="1">
        <f t="shared" si="20"/>
        <v>1321</v>
      </c>
      <c r="AXV1" s="42">
        <f t="shared" si="20"/>
        <v>1322</v>
      </c>
      <c r="AXW1" s="1">
        <f t="shared" si="20"/>
        <v>1323</v>
      </c>
      <c r="AXX1" s="1">
        <f t="shared" si="20"/>
        <v>1324</v>
      </c>
      <c r="AXY1" s="1">
        <f t="shared" si="20"/>
        <v>1325</v>
      </c>
      <c r="AXZ1" s="1">
        <f t="shared" si="20"/>
        <v>1326</v>
      </c>
      <c r="AYA1" s="1">
        <f t="shared" si="20"/>
        <v>1327</v>
      </c>
      <c r="AYB1" s="1">
        <f t="shared" si="20"/>
        <v>1328</v>
      </c>
      <c r="AYC1" s="1">
        <f t="shared" si="20"/>
        <v>1329</v>
      </c>
      <c r="AYD1" s="1">
        <f t="shared" si="20"/>
        <v>1330</v>
      </c>
      <c r="AYE1" s="1">
        <f t="shared" si="20"/>
        <v>1331</v>
      </c>
      <c r="AYF1" s="1">
        <f t="shared" si="20"/>
        <v>1332</v>
      </c>
      <c r="AYG1" s="1">
        <f t="shared" si="20"/>
        <v>1333</v>
      </c>
      <c r="AYH1" s="1">
        <f t="shared" si="20"/>
        <v>1334</v>
      </c>
      <c r="AYI1" s="1">
        <f t="shared" si="20"/>
        <v>1335</v>
      </c>
      <c r="AYJ1" s="1">
        <f t="shared" si="20"/>
        <v>1336</v>
      </c>
      <c r="AYK1" s="1">
        <f t="shared" si="20"/>
        <v>1337</v>
      </c>
      <c r="AYL1" s="1">
        <f t="shared" si="20"/>
        <v>1338</v>
      </c>
      <c r="AYM1" s="1">
        <f t="shared" si="20"/>
        <v>1339</v>
      </c>
      <c r="AYN1" s="1">
        <f t="shared" si="20"/>
        <v>1340</v>
      </c>
      <c r="AYO1" s="1">
        <f t="shared" si="20"/>
        <v>1341</v>
      </c>
      <c r="AYP1" s="1">
        <f t="shared" si="20"/>
        <v>1342</v>
      </c>
      <c r="AYQ1" s="1">
        <f t="shared" si="20"/>
        <v>1343</v>
      </c>
      <c r="AYR1" s="1">
        <f t="shared" si="20"/>
        <v>1344</v>
      </c>
      <c r="AYS1" s="1">
        <f t="shared" si="20"/>
        <v>1345</v>
      </c>
      <c r="AYT1" s="1">
        <f t="shared" si="20"/>
        <v>1346</v>
      </c>
      <c r="AYU1" s="1">
        <f t="shared" ref="AYU1:BBF1" si="21">AYT1+1</f>
        <v>1347</v>
      </c>
      <c r="AYV1" s="1">
        <f t="shared" si="21"/>
        <v>1348</v>
      </c>
      <c r="AYW1" s="1">
        <f t="shared" si="21"/>
        <v>1349</v>
      </c>
      <c r="AYX1" s="1">
        <f t="shared" si="21"/>
        <v>1350</v>
      </c>
      <c r="AYY1" s="1">
        <f t="shared" si="21"/>
        <v>1351</v>
      </c>
      <c r="AYZ1" s="1">
        <f t="shared" si="21"/>
        <v>1352</v>
      </c>
      <c r="AZA1" s="1">
        <f t="shared" si="21"/>
        <v>1353</v>
      </c>
      <c r="AZB1" s="1">
        <f t="shared" si="21"/>
        <v>1354</v>
      </c>
      <c r="AZC1" s="1">
        <f t="shared" si="21"/>
        <v>1355</v>
      </c>
      <c r="AZD1" s="1">
        <f t="shared" si="21"/>
        <v>1356</v>
      </c>
      <c r="AZE1" s="1">
        <f t="shared" si="21"/>
        <v>1357</v>
      </c>
      <c r="AZF1" s="1">
        <f t="shared" si="21"/>
        <v>1358</v>
      </c>
      <c r="AZG1" s="1">
        <f t="shared" si="21"/>
        <v>1359</v>
      </c>
      <c r="AZH1" s="1">
        <f t="shared" si="21"/>
        <v>1360</v>
      </c>
      <c r="AZI1" s="1">
        <f t="shared" si="21"/>
        <v>1361</v>
      </c>
      <c r="AZJ1" s="1">
        <f t="shared" si="21"/>
        <v>1362</v>
      </c>
      <c r="AZK1" s="1">
        <f t="shared" si="21"/>
        <v>1363</v>
      </c>
      <c r="AZL1" s="1">
        <f t="shared" si="21"/>
        <v>1364</v>
      </c>
      <c r="AZM1" s="1">
        <f t="shared" si="21"/>
        <v>1365</v>
      </c>
      <c r="AZN1" s="42">
        <f t="shared" si="21"/>
        <v>1366</v>
      </c>
      <c r="AZO1" s="1">
        <f t="shared" si="21"/>
        <v>1367</v>
      </c>
      <c r="AZP1" s="1">
        <f t="shared" si="21"/>
        <v>1368</v>
      </c>
      <c r="AZQ1" s="1">
        <f t="shared" si="21"/>
        <v>1369</v>
      </c>
      <c r="AZR1" s="1">
        <f t="shared" si="21"/>
        <v>1370</v>
      </c>
      <c r="AZS1" s="1">
        <f t="shared" si="21"/>
        <v>1371</v>
      </c>
      <c r="AZT1" s="1">
        <f t="shared" si="21"/>
        <v>1372</v>
      </c>
      <c r="AZU1" s="1">
        <f t="shared" si="21"/>
        <v>1373</v>
      </c>
      <c r="AZV1" s="1">
        <f t="shared" si="21"/>
        <v>1374</v>
      </c>
      <c r="AZW1" s="1">
        <f t="shared" si="21"/>
        <v>1375</v>
      </c>
      <c r="AZX1" s="1">
        <f t="shared" si="21"/>
        <v>1376</v>
      </c>
      <c r="AZY1" s="1">
        <f t="shared" si="21"/>
        <v>1377</v>
      </c>
      <c r="AZZ1" s="1">
        <f t="shared" si="21"/>
        <v>1378</v>
      </c>
      <c r="BAA1" s="1">
        <f t="shared" si="21"/>
        <v>1379</v>
      </c>
      <c r="BAB1" s="1">
        <f t="shared" si="21"/>
        <v>1380</v>
      </c>
      <c r="BAC1" s="1">
        <f t="shared" si="21"/>
        <v>1381</v>
      </c>
      <c r="BAD1" s="1">
        <f t="shared" si="21"/>
        <v>1382</v>
      </c>
      <c r="BAE1" s="1">
        <f t="shared" si="21"/>
        <v>1383</v>
      </c>
      <c r="BAF1" s="1">
        <f t="shared" si="21"/>
        <v>1384</v>
      </c>
      <c r="BAG1" s="1">
        <f t="shared" si="21"/>
        <v>1385</v>
      </c>
      <c r="BAH1" s="1">
        <f t="shared" si="21"/>
        <v>1386</v>
      </c>
      <c r="BAI1" s="1">
        <f t="shared" si="21"/>
        <v>1387</v>
      </c>
      <c r="BAJ1" s="1">
        <f t="shared" si="21"/>
        <v>1388</v>
      </c>
      <c r="BAK1" s="1">
        <f t="shared" si="21"/>
        <v>1389</v>
      </c>
      <c r="BAL1" s="1">
        <f t="shared" si="21"/>
        <v>1390</v>
      </c>
      <c r="BAM1" s="1">
        <f t="shared" si="21"/>
        <v>1391</v>
      </c>
      <c r="BAN1" s="1">
        <f t="shared" si="21"/>
        <v>1392</v>
      </c>
      <c r="BAO1" s="1">
        <f t="shared" si="21"/>
        <v>1393</v>
      </c>
      <c r="BAP1" s="1">
        <f t="shared" si="21"/>
        <v>1394</v>
      </c>
      <c r="BAQ1" s="1">
        <f t="shared" si="21"/>
        <v>1395</v>
      </c>
      <c r="BAR1" s="1">
        <f t="shared" si="21"/>
        <v>1396</v>
      </c>
      <c r="BAS1" s="1">
        <f t="shared" si="21"/>
        <v>1397</v>
      </c>
      <c r="BAT1" s="1">
        <f t="shared" si="21"/>
        <v>1398</v>
      </c>
      <c r="BAU1" s="1">
        <f t="shared" si="21"/>
        <v>1399</v>
      </c>
      <c r="BAV1" s="1">
        <f t="shared" si="21"/>
        <v>1400</v>
      </c>
      <c r="BAW1" s="1">
        <f t="shared" si="21"/>
        <v>1401</v>
      </c>
      <c r="BAX1" s="1">
        <f t="shared" si="21"/>
        <v>1402</v>
      </c>
      <c r="BAY1" s="1">
        <f t="shared" si="21"/>
        <v>1403</v>
      </c>
      <c r="BAZ1" s="1">
        <f t="shared" si="21"/>
        <v>1404</v>
      </c>
      <c r="BBA1" s="1">
        <f t="shared" si="21"/>
        <v>1405</v>
      </c>
      <c r="BBB1" s="1">
        <f t="shared" si="21"/>
        <v>1406</v>
      </c>
      <c r="BBC1" s="1">
        <f t="shared" si="21"/>
        <v>1407</v>
      </c>
      <c r="BBD1" s="1">
        <f t="shared" si="21"/>
        <v>1408</v>
      </c>
      <c r="BBE1" s="1">
        <f t="shared" si="21"/>
        <v>1409</v>
      </c>
      <c r="BBF1" s="42">
        <f t="shared" si="21"/>
        <v>1410</v>
      </c>
      <c r="BBG1" s="1">
        <f t="shared" ref="BBG1:BDR1" si="22">BBF1+1</f>
        <v>1411</v>
      </c>
      <c r="BBH1" s="1">
        <f t="shared" si="22"/>
        <v>1412</v>
      </c>
      <c r="BBI1" s="1">
        <f t="shared" si="22"/>
        <v>1413</v>
      </c>
      <c r="BBJ1" s="1">
        <f t="shared" si="22"/>
        <v>1414</v>
      </c>
      <c r="BBK1" s="1">
        <f t="shared" si="22"/>
        <v>1415</v>
      </c>
      <c r="BBL1" s="1">
        <f t="shared" si="22"/>
        <v>1416</v>
      </c>
      <c r="BBM1" s="1">
        <f t="shared" si="22"/>
        <v>1417</v>
      </c>
      <c r="BBN1" s="1">
        <f t="shared" si="22"/>
        <v>1418</v>
      </c>
      <c r="BBO1" s="1">
        <f t="shared" si="22"/>
        <v>1419</v>
      </c>
      <c r="BBP1" s="1">
        <f t="shared" si="22"/>
        <v>1420</v>
      </c>
      <c r="BBQ1" s="1">
        <f t="shared" si="22"/>
        <v>1421</v>
      </c>
      <c r="BBR1" s="1">
        <f t="shared" si="22"/>
        <v>1422</v>
      </c>
      <c r="BBS1" s="1">
        <f t="shared" si="22"/>
        <v>1423</v>
      </c>
      <c r="BBT1" s="1">
        <f t="shared" si="22"/>
        <v>1424</v>
      </c>
      <c r="BBU1" s="1">
        <f t="shared" si="22"/>
        <v>1425</v>
      </c>
      <c r="BBV1" s="1">
        <f t="shared" si="22"/>
        <v>1426</v>
      </c>
      <c r="BBW1" s="1">
        <f t="shared" si="22"/>
        <v>1427</v>
      </c>
      <c r="BBX1" s="1">
        <f t="shared" si="22"/>
        <v>1428</v>
      </c>
      <c r="BBY1" s="1">
        <f t="shared" si="22"/>
        <v>1429</v>
      </c>
      <c r="BBZ1" s="1">
        <f t="shared" si="22"/>
        <v>1430</v>
      </c>
      <c r="BCA1" s="1">
        <f t="shared" si="22"/>
        <v>1431</v>
      </c>
      <c r="BCB1" s="1">
        <f t="shared" si="22"/>
        <v>1432</v>
      </c>
      <c r="BCC1" s="1">
        <f t="shared" si="22"/>
        <v>1433</v>
      </c>
      <c r="BCD1" s="1">
        <f t="shared" si="22"/>
        <v>1434</v>
      </c>
      <c r="BCE1" s="1">
        <f t="shared" si="22"/>
        <v>1435</v>
      </c>
      <c r="BCF1" s="1">
        <f t="shared" si="22"/>
        <v>1436</v>
      </c>
      <c r="BCG1" s="1">
        <f t="shared" si="22"/>
        <v>1437</v>
      </c>
      <c r="BCH1" s="1">
        <f t="shared" si="22"/>
        <v>1438</v>
      </c>
      <c r="BCI1" s="1">
        <f t="shared" si="22"/>
        <v>1439</v>
      </c>
      <c r="BCJ1" s="1">
        <f t="shared" si="22"/>
        <v>1440</v>
      </c>
      <c r="BCK1" s="1">
        <f t="shared" si="22"/>
        <v>1441</v>
      </c>
      <c r="BCL1" s="1">
        <f t="shared" si="22"/>
        <v>1442</v>
      </c>
      <c r="BCM1" s="1">
        <f t="shared" si="22"/>
        <v>1443</v>
      </c>
      <c r="BCN1" s="1">
        <f t="shared" si="22"/>
        <v>1444</v>
      </c>
      <c r="BCO1" s="1">
        <f t="shared" si="22"/>
        <v>1445</v>
      </c>
      <c r="BCP1" s="1">
        <f t="shared" si="22"/>
        <v>1446</v>
      </c>
      <c r="BCQ1" s="1">
        <f t="shared" si="22"/>
        <v>1447</v>
      </c>
      <c r="BCR1" s="1">
        <f t="shared" si="22"/>
        <v>1448</v>
      </c>
      <c r="BCS1" s="1">
        <f t="shared" si="22"/>
        <v>1449</v>
      </c>
      <c r="BCT1" s="1">
        <f t="shared" si="22"/>
        <v>1450</v>
      </c>
      <c r="BCU1" s="1">
        <f t="shared" si="22"/>
        <v>1451</v>
      </c>
      <c r="BCV1" s="1">
        <f t="shared" si="22"/>
        <v>1452</v>
      </c>
      <c r="BCW1" s="1">
        <f t="shared" si="22"/>
        <v>1453</v>
      </c>
      <c r="BCX1" s="42">
        <f t="shared" si="22"/>
        <v>1454</v>
      </c>
      <c r="BCY1" s="1">
        <f t="shared" si="22"/>
        <v>1455</v>
      </c>
      <c r="BCZ1" s="1">
        <f t="shared" si="22"/>
        <v>1456</v>
      </c>
      <c r="BDA1" s="1">
        <f t="shared" si="22"/>
        <v>1457</v>
      </c>
      <c r="BDB1" s="1">
        <f t="shared" si="22"/>
        <v>1458</v>
      </c>
      <c r="BDC1" s="1">
        <f t="shared" si="22"/>
        <v>1459</v>
      </c>
      <c r="BDD1" s="1">
        <f t="shared" si="22"/>
        <v>1460</v>
      </c>
      <c r="BDE1" s="1">
        <f t="shared" si="22"/>
        <v>1461</v>
      </c>
      <c r="BDF1" s="1">
        <f t="shared" si="22"/>
        <v>1462</v>
      </c>
      <c r="BDG1" s="1">
        <f t="shared" si="22"/>
        <v>1463</v>
      </c>
      <c r="BDH1" s="1">
        <f t="shared" si="22"/>
        <v>1464</v>
      </c>
      <c r="BDI1" s="1">
        <f t="shared" si="22"/>
        <v>1465</v>
      </c>
      <c r="BDJ1" s="1">
        <f t="shared" si="22"/>
        <v>1466</v>
      </c>
      <c r="BDK1" s="1">
        <f t="shared" si="22"/>
        <v>1467</v>
      </c>
      <c r="BDL1" s="1">
        <f t="shared" si="22"/>
        <v>1468</v>
      </c>
      <c r="BDM1" s="1">
        <f t="shared" si="22"/>
        <v>1469</v>
      </c>
      <c r="BDN1" s="1">
        <f t="shared" si="22"/>
        <v>1470</v>
      </c>
      <c r="BDO1" s="1">
        <f t="shared" si="22"/>
        <v>1471</v>
      </c>
      <c r="BDP1" s="1">
        <f t="shared" si="22"/>
        <v>1472</v>
      </c>
      <c r="BDQ1" s="1">
        <f t="shared" si="22"/>
        <v>1473</v>
      </c>
      <c r="BDR1" s="1">
        <f t="shared" si="22"/>
        <v>1474</v>
      </c>
      <c r="BDS1" s="1">
        <f t="shared" ref="BDS1:BGD1" si="23">BDR1+1</f>
        <v>1475</v>
      </c>
      <c r="BDT1" s="1">
        <f t="shared" si="23"/>
        <v>1476</v>
      </c>
      <c r="BDU1" s="1">
        <f t="shared" si="23"/>
        <v>1477</v>
      </c>
      <c r="BDV1" s="1">
        <f t="shared" si="23"/>
        <v>1478</v>
      </c>
      <c r="BDW1" s="1">
        <f t="shared" si="23"/>
        <v>1479</v>
      </c>
      <c r="BDX1" s="1">
        <f t="shared" si="23"/>
        <v>1480</v>
      </c>
      <c r="BDY1" s="1">
        <f t="shared" si="23"/>
        <v>1481</v>
      </c>
      <c r="BDZ1" s="1">
        <f t="shared" si="23"/>
        <v>1482</v>
      </c>
      <c r="BEA1" s="1">
        <f t="shared" si="23"/>
        <v>1483</v>
      </c>
      <c r="BEB1" s="1">
        <f t="shared" si="23"/>
        <v>1484</v>
      </c>
      <c r="BEC1" s="1">
        <f t="shared" si="23"/>
        <v>1485</v>
      </c>
      <c r="BED1" s="1">
        <f t="shared" si="23"/>
        <v>1486</v>
      </c>
      <c r="BEE1" s="1">
        <f t="shared" si="23"/>
        <v>1487</v>
      </c>
      <c r="BEF1" s="1">
        <f t="shared" si="23"/>
        <v>1488</v>
      </c>
      <c r="BEG1" s="1">
        <f t="shared" si="23"/>
        <v>1489</v>
      </c>
      <c r="BEH1" s="1">
        <f t="shared" si="23"/>
        <v>1490</v>
      </c>
      <c r="BEI1" s="1">
        <f t="shared" si="23"/>
        <v>1491</v>
      </c>
      <c r="BEJ1" s="1">
        <f t="shared" si="23"/>
        <v>1492</v>
      </c>
      <c r="BEK1" s="1">
        <f t="shared" si="23"/>
        <v>1493</v>
      </c>
      <c r="BEL1" s="1">
        <f t="shared" si="23"/>
        <v>1494</v>
      </c>
      <c r="BEM1" s="1">
        <f t="shared" si="23"/>
        <v>1495</v>
      </c>
      <c r="BEN1" s="1">
        <f t="shared" si="23"/>
        <v>1496</v>
      </c>
      <c r="BEO1" s="1">
        <f t="shared" si="23"/>
        <v>1497</v>
      </c>
      <c r="BEP1" s="42">
        <f t="shared" si="23"/>
        <v>1498</v>
      </c>
      <c r="BEQ1" s="1">
        <f t="shared" si="23"/>
        <v>1499</v>
      </c>
      <c r="BER1" s="1">
        <f t="shared" si="23"/>
        <v>1500</v>
      </c>
      <c r="BES1" s="1">
        <f t="shared" si="23"/>
        <v>1501</v>
      </c>
      <c r="BET1" s="1">
        <f t="shared" si="23"/>
        <v>1502</v>
      </c>
      <c r="BEU1" s="1">
        <f t="shared" si="23"/>
        <v>1503</v>
      </c>
      <c r="BEV1" s="1">
        <f t="shared" si="23"/>
        <v>1504</v>
      </c>
      <c r="BEW1" s="1">
        <f t="shared" si="23"/>
        <v>1505</v>
      </c>
      <c r="BEX1" s="1">
        <f t="shared" si="23"/>
        <v>1506</v>
      </c>
      <c r="BEY1" s="1">
        <f t="shared" si="23"/>
        <v>1507</v>
      </c>
      <c r="BEZ1" s="1">
        <f t="shared" si="23"/>
        <v>1508</v>
      </c>
      <c r="BFA1" s="1">
        <f t="shared" si="23"/>
        <v>1509</v>
      </c>
      <c r="BFB1" s="1">
        <f t="shared" si="23"/>
        <v>1510</v>
      </c>
      <c r="BFC1" s="1">
        <f t="shared" si="23"/>
        <v>1511</v>
      </c>
      <c r="BFD1" s="1">
        <f t="shared" si="23"/>
        <v>1512</v>
      </c>
      <c r="BFE1" s="1">
        <f t="shared" si="23"/>
        <v>1513</v>
      </c>
      <c r="BFF1" s="1">
        <f t="shared" si="23"/>
        <v>1514</v>
      </c>
      <c r="BFG1" s="1">
        <f t="shared" si="23"/>
        <v>1515</v>
      </c>
      <c r="BFH1" s="1">
        <f t="shared" si="23"/>
        <v>1516</v>
      </c>
      <c r="BFI1" s="1">
        <f t="shared" si="23"/>
        <v>1517</v>
      </c>
      <c r="BFJ1" s="1">
        <f t="shared" si="23"/>
        <v>1518</v>
      </c>
      <c r="BFK1" s="1">
        <f t="shared" si="23"/>
        <v>1519</v>
      </c>
      <c r="BFL1" s="1">
        <f t="shared" si="23"/>
        <v>1520</v>
      </c>
      <c r="BFM1" s="1">
        <f t="shared" si="23"/>
        <v>1521</v>
      </c>
      <c r="BFN1" s="1">
        <f t="shared" si="23"/>
        <v>1522</v>
      </c>
      <c r="BFO1" s="1">
        <f t="shared" si="23"/>
        <v>1523</v>
      </c>
      <c r="BFP1" s="1">
        <f t="shared" si="23"/>
        <v>1524</v>
      </c>
      <c r="BFQ1" s="1">
        <f t="shared" si="23"/>
        <v>1525</v>
      </c>
      <c r="BFR1" s="1">
        <f t="shared" si="23"/>
        <v>1526</v>
      </c>
      <c r="BFS1" s="1">
        <f t="shared" si="23"/>
        <v>1527</v>
      </c>
      <c r="BFT1" s="1">
        <f t="shared" si="23"/>
        <v>1528</v>
      </c>
      <c r="BFU1" s="1">
        <f t="shared" si="23"/>
        <v>1529</v>
      </c>
      <c r="BFV1" s="1">
        <f t="shared" si="23"/>
        <v>1530</v>
      </c>
      <c r="BFW1" s="1">
        <f t="shared" si="23"/>
        <v>1531</v>
      </c>
      <c r="BFX1" s="1">
        <f t="shared" si="23"/>
        <v>1532</v>
      </c>
      <c r="BFY1" s="1">
        <f t="shared" si="23"/>
        <v>1533</v>
      </c>
      <c r="BFZ1" s="1">
        <f t="shared" si="23"/>
        <v>1534</v>
      </c>
      <c r="BGA1" s="1">
        <f t="shared" si="23"/>
        <v>1535</v>
      </c>
      <c r="BGB1" s="1">
        <f t="shared" si="23"/>
        <v>1536</v>
      </c>
      <c r="BGC1" s="1">
        <f t="shared" si="23"/>
        <v>1537</v>
      </c>
      <c r="BGD1" s="1">
        <f t="shared" si="23"/>
        <v>1538</v>
      </c>
      <c r="BGE1" s="1">
        <f t="shared" ref="BGE1:BIP1" si="24">BGD1+1</f>
        <v>1539</v>
      </c>
      <c r="BGF1" s="1">
        <f t="shared" si="24"/>
        <v>1540</v>
      </c>
      <c r="BGG1" s="1">
        <f t="shared" si="24"/>
        <v>1541</v>
      </c>
      <c r="BGH1" s="42">
        <f t="shared" si="24"/>
        <v>1542</v>
      </c>
      <c r="BGI1" s="1">
        <f t="shared" si="24"/>
        <v>1543</v>
      </c>
      <c r="BGJ1" s="1">
        <f t="shared" si="24"/>
        <v>1544</v>
      </c>
      <c r="BGK1" s="1">
        <f t="shared" si="24"/>
        <v>1545</v>
      </c>
      <c r="BGL1" s="1">
        <f t="shared" si="24"/>
        <v>1546</v>
      </c>
      <c r="BGM1" s="1">
        <f t="shared" si="24"/>
        <v>1547</v>
      </c>
      <c r="BGN1" s="1">
        <f t="shared" si="24"/>
        <v>1548</v>
      </c>
      <c r="BGO1" s="1">
        <f t="shared" si="24"/>
        <v>1549</v>
      </c>
      <c r="BGP1" s="1">
        <f t="shared" si="24"/>
        <v>1550</v>
      </c>
      <c r="BGQ1" s="1">
        <f t="shared" si="24"/>
        <v>1551</v>
      </c>
      <c r="BGR1" s="1">
        <f t="shared" si="24"/>
        <v>1552</v>
      </c>
      <c r="BGS1" s="1">
        <f t="shared" si="24"/>
        <v>1553</v>
      </c>
      <c r="BGT1" s="1">
        <f t="shared" si="24"/>
        <v>1554</v>
      </c>
      <c r="BGU1" s="1">
        <f t="shared" si="24"/>
        <v>1555</v>
      </c>
      <c r="BGV1" s="1">
        <f t="shared" si="24"/>
        <v>1556</v>
      </c>
      <c r="BGW1" s="1">
        <f t="shared" si="24"/>
        <v>1557</v>
      </c>
      <c r="BGX1" s="1">
        <f t="shared" si="24"/>
        <v>1558</v>
      </c>
      <c r="BGY1" s="1">
        <f t="shared" si="24"/>
        <v>1559</v>
      </c>
      <c r="BGZ1" s="1">
        <f t="shared" si="24"/>
        <v>1560</v>
      </c>
      <c r="BHA1" s="1">
        <f t="shared" si="24"/>
        <v>1561</v>
      </c>
      <c r="BHB1" s="1">
        <f t="shared" si="24"/>
        <v>1562</v>
      </c>
      <c r="BHC1" s="1">
        <f t="shared" si="24"/>
        <v>1563</v>
      </c>
      <c r="BHD1" s="1">
        <f t="shared" si="24"/>
        <v>1564</v>
      </c>
      <c r="BHE1" s="1">
        <f t="shared" si="24"/>
        <v>1565</v>
      </c>
      <c r="BHF1" s="1">
        <f t="shared" si="24"/>
        <v>1566</v>
      </c>
      <c r="BHG1" s="1">
        <f t="shared" si="24"/>
        <v>1567</v>
      </c>
      <c r="BHH1" s="1">
        <f t="shared" si="24"/>
        <v>1568</v>
      </c>
      <c r="BHI1" s="1">
        <f t="shared" si="24"/>
        <v>1569</v>
      </c>
      <c r="BHJ1" s="1">
        <f t="shared" si="24"/>
        <v>1570</v>
      </c>
      <c r="BHK1" s="1">
        <f t="shared" si="24"/>
        <v>1571</v>
      </c>
      <c r="BHL1" s="1">
        <f t="shared" si="24"/>
        <v>1572</v>
      </c>
      <c r="BHM1" s="1">
        <f t="shared" si="24"/>
        <v>1573</v>
      </c>
      <c r="BHN1" s="1">
        <f t="shared" si="24"/>
        <v>1574</v>
      </c>
      <c r="BHO1" s="1">
        <f t="shared" si="24"/>
        <v>1575</v>
      </c>
      <c r="BHP1" s="1">
        <f t="shared" si="24"/>
        <v>1576</v>
      </c>
      <c r="BHQ1" s="1">
        <f t="shared" si="24"/>
        <v>1577</v>
      </c>
      <c r="BHR1" s="1">
        <f t="shared" si="24"/>
        <v>1578</v>
      </c>
      <c r="BHS1" s="1">
        <f t="shared" si="24"/>
        <v>1579</v>
      </c>
      <c r="BHT1" s="1">
        <f t="shared" si="24"/>
        <v>1580</v>
      </c>
      <c r="BHU1" s="1">
        <f t="shared" si="24"/>
        <v>1581</v>
      </c>
      <c r="BHV1" s="1">
        <f t="shared" si="24"/>
        <v>1582</v>
      </c>
      <c r="BHW1" s="1">
        <f t="shared" si="24"/>
        <v>1583</v>
      </c>
      <c r="BHX1" s="1">
        <f t="shared" si="24"/>
        <v>1584</v>
      </c>
      <c r="BHY1" s="1">
        <f t="shared" si="24"/>
        <v>1585</v>
      </c>
      <c r="BHZ1" s="42">
        <f t="shared" si="24"/>
        <v>1586</v>
      </c>
      <c r="BIA1" s="1">
        <f t="shared" si="24"/>
        <v>1587</v>
      </c>
      <c r="BIB1" s="1">
        <f t="shared" si="24"/>
        <v>1588</v>
      </c>
      <c r="BIC1" s="1">
        <f t="shared" si="24"/>
        <v>1589</v>
      </c>
      <c r="BID1" s="1">
        <f t="shared" si="24"/>
        <v>1590</v>
      </c>
      <c r="BIE1" s="1">
        <f t="shared" si="24"/>
        <v>1591</v>
      </c>
      <c r="BIF1" s="1">
        <f t="shared" si="24"/>
        <v>1592</v>
      </c>
      <c r="BIG1" s="1">
        <f t="shared" si="24"/>
        <v>1593</v>
      </c>
      <c r="BIH1" s="1">
        <f t="shared" si="24"/>
        <v>1594</v>
      </c>
      <c r="BII1" s="1">
        <f t="shared" si="24"/>
        <v>1595</v>
      </c>
      <c r="BIJ1" s="1">
        <f t="shared" si="24"/>
        <v>1596</v>
      </c>
      <c r="BIK1" s="1">
        <f t="shared" si="24"/>
        <v>1597</v>
      </c>
      <c r="BIL1" s="1">
        <f t="shared" si="24"/>
        <v>1598</v>
      </c>
      <c r="BIM1" s="1">
        <f t="shared" si="24"/>
        <v>1599</v>
      </c>
      <c r="BIN1" s="1">
        <f t="shared" si="24"/>
        <v>1600</v>
      </c>
      <c r="BIO1" s="1">
        <f t="shared" si="24"/>
        <v>1601</v>
      </c>
      <c r="BIP1" s="1">
        <f t="shared" si="24"/>
        <v>1602</v>
      </c>
      <c r="BIQ1" s="1">
        <f t="shared" ref="BIQ1:BLB1" si="25">BIP1+1</f>
        <v>1603</v>
      </c>
      <c r="BIR1" s="1">
        <f t="shared" si="25"/>
        <v>1604</v>
      </c>
      <c r="BIS1" s="1">
        <f t="shared" si="25"/>
        <v>1605</v>
      </c>
      <c r="BIT1" s="1">
        <f t="shared" si="25"/>
        <v>1606</v>
      </c>
      <c r="BIU1" s="1">
        <f t="shared" si="25"/>
        <v>1607</v>
      </c>
      <c r="BIV1" s="1">
        <f t="shared" si="25"/>
        <v>1608</v>
      </c>
      <c r="BIW1" s="1">
        <f t="shared" si="25"/>
        <v>1609</v>
      </c>
      <c r="BIX1" s="1">
        <f t="shared" si="25"/>
        <v>1610</v>
      </c>
      <c r="BIY1" s="1">
        <f t="shared" si="25"/>
        <v>1611</v>
      </c>
      <c r="BIZ1" s="1">
        <f t="shared" si="25"/>
        <v>1612</v>
      </c>
      <c r="BJA1" s="1">
        <f t="shared" si="25"/>
        <v>1613</v>
      </c>
      <c r="BJB1" s="1">
        <f t="shared" si="25"/>
        <v>1614</v>
      </c>
      <c r="BJC1" s="1">
        <f t="shared" si="25"/>
        <v>1615</v>
      </c>
      <c r="BJD1" s="1">
        <f t="shared" si="25"/>
        <v>1616</v>
      </c>
      <c r="BJE1" s="1">
        <f t="shared" si="25"/>
        <v>1617</v>
      </c>
      <c r="BJF1" s="1">
        <f t="shared" si="25"/>
        <v>1618</v>
      </c>
      <c r="BJG1" s="1">
        <f t="shared" si="25"/>
        <v>1619</v>
      </c>
      <c r="BJH1" s="1">
        <f t="shared" si="25"/>
        <v>1620</v>
      </c>
      <c r="BJI1" s="1">
        <f t="shared" si="25"/>
        <v>1621</v>
      </c>
      <c r="BJJ1" s="1">
        <f t="shared" si="25"/>
        <v>1622</v>
      </c>
      <c r="BJK1" s="1">
        <f t="shared" si="25"/>
        <v>1623</v>
      </c>
      <c r="BJL1" s="1">
        <f t="shared" si="25"/>
        <v>1624</v>
      </c>
      <c r="BJM1" s="1">
        <f t="shared" si="25"/>
        <v>1625</v>
      </c>
      <c r="BJN1" s="1">
        <f t="shared" si="25"/>
        <v>1626</v>
      </c>
      <c r="BJO1" s="1">
        <f t="shared" si="25"/>
        <v>1627</v>
      </c>
      <c r="BJP1" s="1">
        <f t="shared" si="25"/>
        <v>1628</v>
      </c>
      <c r="BJQ1" s="1">
        <f t="shared" si="25"/>
        <v>1629</v>
      </c>
      <c r="BJR1" s="42">
        <f t="shared" si="25"/>
        <v>1630</v>
      </c>
      <c r="BJS1" s="1">
        <f t="shared" si="25"/>
        <v>1631</v>
      </c>
      <c r="BJT1" s="1">
        <f t="shared" si="25"/>
        <v>1632</v>
      </c>
      <c r="BJU1" s="1">
        <f t="shared" si="25"/>
        <v>1633</v>
      </c>
      <c r="BJV1" s="1">
        <f t="shared" si="25"/>
        <v>1634</v>
      </c>
      <c r="BJW1" s="1">
        <f t="shared" si="25"/>
        <v>1635</v>
      </c>
      <c r="BJX1" s="1">
        <f t="shared" si="25"/>
        <v>1636</v>
      </c>
      <c r="BJY1" s="1">
        <f t="shared" si="25"/>
        <v>1637</v>
      </c>
      <c r="BJZ1" s="1">
        <f t="shared" si="25"/>
        <v>1638</v>
      </c>
      <c r="BKA1" s="1">
        <f t="shared" si="25"/>
        <v>1639</v>
      </c>
      <c r="BKB1" s="1">
        <f t="shared" si="25"/>
        <v>1640</v>
      </c>
      <c r="BKC1" s="1">
        <f t="shared" si="25"/>
        <v>1641</v>
      </c>
      <c r="BKD1" s="1">
        <f t="shared" si="25"/>
        <v>1642</v>
      </c>
      <c r="BKE1" s="1">
        <f t="shared" si="25"/>
        <v>1643</v>
      </c>
      <c r="BKF1" s="1">
        <f t="shared" si="25"/>
        <v>1644</v>
      </c>
      <c r="BKG1" s="1">
        <f t="shared" si="25"/>
        <v>1645</v>
      </c>
      <c r="BKH1" s="1">
        <f t="shared" si="25"/>
        <v>1646</v>
      </c>
      <c r="BKI1" s="1">
        <f t="shared" si="25"/>
        <v>1647</v>
      </c>
      <c r="BKJ1" s="1">
        <f t="shared" si="25"/>
        <v>1648</v>
      </c>
      <c r="BKK1" s="1">
        <f t="shared" si="25"/>
        <v>1649</v>
      </c>
      <c r="BKL1" s="1">
        <f t="shared" si="25"/>
        <v>1650</v>
      </c>
      <c r="BKM1" s="1">
        <f t="shared" si="25"/>
        <v>1651</v>
      </c>
      <c r="BKN1" s="1">
        <f t="shared" si="25"/>
        <v>1652</v>
      </c>
      <c r="BKO1" s="1">
        <f t="shared" si="25"/>
        <v>1653</v>
      </c>
      <c r="BKP1" s="1">
        <f t="shared" si="25"/>
        <v>1654</v>
      </c>
      <c r="BKQ1" s="1">
        <f t="shared" si="25"/>
        <v>1655</v>
      </c>
      <c r="BKR1" s="1">
        <f t="shared" si="25"/>
        <v>1656</v>
      </c>
      <c r="BKS1" s="1">
        <f t="shared" si="25"/>
        <v>1657</v>
      </c>
      <c r="BKT1" s="1">
        <f t="shared" si="25"/>
        <v>1658</v>
      </c>
      <c r="BKU1" s="1">
        <f t="shared" si="25"/>
        <v>1659</v>
      </c>
      <c r="BKV1" s="1">
        <f t="shared" si="25"/>
        <v>1660</v>
      </c>
      <c r="BKW1" s="1">
        <f t="shared" si="25"/>
        <v>1661</v>
      </c>
      <c r="BKX1" s="1">
        <f t="shared" si="25"/>
        <v>1662</v>
      </c>
      <c r="BKY1" s="1">
        <f t="shared" si="25"/>
        <v>1663</v>
      </c>
      <c r="BKZ1" s="1">
        <f t="shared" si="25"/>
        <v>1664</v>
      </c>
      <c r="BLA1" s="1">
        <f t="shared" si="25"/>
        <v>1665</v>
      </c>
      <c r="BLB1" s="1">
        <f t="shared" si="25"/>
        <v>1666</v>
      </c>
      <c r="BLC1" s="1">
        <f t="shared" ref="BLC1:BNN1" si="26">BLB1+1</f>
        <v>1667</v>
      </c>
      <c r="BLD1" s="1">
        <f t="shared" si="26"/>
        <v>1668</v>
      </c>
      <c r="BLE1" s="1">
        <f t="shared" si="26"/>
        <v>1669</v>
      </c>
      <c r="BLF1" s="1">
        <f t="shared" si="26"/>
        <v>1670</v>
      </c>
      <c r="BLG1" s="1">
        <f t="shared" si="26"/>
        <v>1671</v>
      </c>
      <c r="BLH1" s="1">
        <f t="shared" si="26"/>
        <v>1672</v>
      </c>
      <c r="BLI1" s="1">
        <f t="shared" si="26"/>
        <v>1673</v>
      </c>
      <c r="BLJ1" s="42">
        <f t="shared" si="26"/>
        <v>1674</v>
      </c>
      <c r="BLK1" s="1">
        <f t="shared" si="26"/>
        <v>1675</v>
      </c>
      <c r="BLL1" s="1">
        <f t="shared" si="26"/>
        <v>1676</v>
      </c>
      <c r="BLM1" s="1">
        <f t="shared" si="26"/>
        <v>1677</v>
      </c>
      <c r="BLN1" s="1">
        <f t="shared" si="26"/>
        <v>1678</v>
      </c>
      <c r="BLO1" s="1">
        <f t="shared" si="26"/>
        <v>1679</v>
      </c>
      <c r="BLP1" s="1">
        <f t="shared" si="26"/>
        <v>1680</v>
      </c>
      <c r="BLQ1" s="1">
        <f t="shared" si="26"/>
        <v>1681</v>
      </c>
      <c r="BLR1" s="1">
        <f t="shared" si="26"/>
        <v>1682</v>
      </c>
      <c r="BLS1" s="1">
        <f t="shared" si="26"/>
        <v>1683</v>
      </c>
      <c r="BLT1" s="1">
        <f t="shared" si="26"/>
        <v>1684</v>
      </c>
      <c r="BLU1" s="1">
        <f t="shared" si="26"/>
        <v>1685</v>
      </c>
      <c r="BLV1" s="1">
        <f t="shared" si="26"/>
        <v>1686</v>
      </c>
      <c r="BLW1" s="1">
        <f t="shared" si="26"/>
        <v>1687</v>
      </c>
      <c r="BLX1" s="1">
        <f t="shared" si="26"/>
        <v>1688</v>
      </c>
      <c r="BLY1" s="1">
        <f t="shared" si="26"/>
        <v>1689</v>
      </c>
      <c r="BLZ1" s="1">
        <f t="shared" si="26"/>
        <v>1690</v>
      </c>
      <c r="BMA1" s="1">
        <f t="shared" si="26"/>
        <v>1691</v>
      </c>
      <c r="BMB1" s="1">
        <f t="shared" si="26"/>
        <v>1692</v>
      </c>
      <c r="BMC1" s="1">
        <f t="shared" si="26"/>
        <v>1693</v>
      </c>
      <c r="BMD1" s="1">
        <f t="shared" si="26"/>
        <v>1694</v>
      </c>
      <c r="BME1" s="1">
        <f t="shared" si="26"/>
        <v>1695</v>
      </c>
      <c r="BMF1" s="1">
        <f t="shared" si="26"/>
        <v>1696</v>
      </c>
      <c r="BMG1" s="1">
        <f t="shared" si="26"/>
        <v>1697</v>
      </c>
      <c r="BMH1" s="1">
        <f t="shared" si="26"/>
        <v>1698</v>
      </c>
      <c r="BMI1" s="1">
        <f t="shared" si="26"/>
        <v>1699</v>
      </c>
      <c r="BMJ1" s="1">
        <f t="shared" si="26"/>
        <v>1700</v>
      </c>
      <c r="BMK1" s="1">
        <f t="shared" si="26"/>
        <v>1701</v>
      </c>
      <c r="BML1" s="1">
        <f t="shared" si="26"/>
        <v>1702</v>
      </c>
      <c r="BMM1" s="1">
        <f t="shared" si="26"/>
        <v>1703</v>
      </c>
      <c r="BMN1" s="1">
        <f t="shared" si="26"/>
        <v>1704</v>
      </c>
      <c r="BMO1" s="1">
        <f t="shared" si="26"/>
        <v>1705</v>
      </c>
      <c r="BMP1" s="1">
        <f t="shared" si="26"/>
        <v>1706</v>
      </c>
      <c r="BMQ1" s="1">
        <f t="shared" si="26"/>
        <v>1707</v>
      </c>
      <c r="BMR1" s="1">
        <f t="shared" si="26"/>
        <v>1708</v>
      </c>
      <c r="BMS1" s="1">
        <f t="shared" si="26"/>
        <v>1709</v>
      </c>
      <c r="BMT1" s="1">
        <f t="shared" si="26"/>
        <v>1710</v>
      </c>
      <c r="BMU1" s="1">
        <f t="shared" si="26"/>
        <v>1711</v>
      </c>
      <c r="BMV1" s="1">
        <f t="shared" si="26"/>
        <v>1712</v>
      </c>
      <c r="BMW1" s="1">
        <f t="shared" si="26"/>
        <v>1713</v>
      </c>
      <c r="BMX1" s="1">
        <f t="shared" si="26"/>
        <v>1714</v>
      </c>
      <c r="BMY1" s="1">
        <f t="shared" si="26"/>
        <v>1715</v>
      </c>
      <c r="BMZ1" s="1">
        <f t="shared" si="26"/>
        <v>1716</v>
      </c>
      <c r="BNA1" s="1">
        <f t="shared" si="26"/>
        <v>1717</v>
      </c>
      <c r="BNB1" s="42">
        <f t="shared" si="26"/>
        <v>1718</v>
      </c>
      <c r="BNC1" s="1">
        <f t="shared" si="26"/>
        <v>1719</v>
      </c>
      <c r="BND1" s="1">
        <f t="shared" si="26"/>
        <v>1720</v>
      </c>
      <c r="BNE1" s="1">
        <f t="shared" si="26"/>
        <v>1721</v>
      </c>
      <c r="BNF1" s="1">
        <f t="shared" si="26"/>
        <v>1722</v>
      </c>
      <c r="BNG1" s="1">
        <f t="shared" si="26"/>
        <v>1723</v>
      </c>
      <c r="BNH1" s="1">
        <f t="shared" si="26"/>
        <v>1724</v>
      </c>
      <c r="BNI1" s="1">
        <f t="shared" si="26"/>
        <v>1725</v>
      </c>
      <c r="BNJ1" s="1">
        <f t="shared" si="26"/>
        <v>1726</v>
      </c>
      <c r="BNK1" s="1">
        <f t="shared" si="26"/>
        <v>1727</v>
      </c>
      <c r="BNL1" s="1">
        <f t="shared" si="26"/>
        <v>1728</v>
      </c>
      <c r="BNM1" s="1">
        <f t="shared" si="26"/>
        <v>1729</v>
      </c>
      <c r="BNN1" s="1">
        <f t="shared" si="26"/>
        <v>1730</v>
      </c>
      <c r="BNO1" s="1">
        <f t="shared" ref="BNO1:BPZ1" si="27">BNN1+1</f>
        <v>1731</v>
      </c>
      <c r="BNP1" s="1">
        <f t="shared" si="27"/>
        <v>1732</v>
      </c>
      <c r="BNQ1" s="1">
        <f t="shared" si="27"/>
        <v>1733</v>
      </c>
      <c r="BNR1" s="1">
        <f t="shared" si="27"/>
        <v>1734</v>
      </c>
      <c r="BNS1" s="1">
        <f t="shared" si="27"/>
        <v>1735</v>
      </c>
      <c r="BNT1" s="1">
        <f t="shared" si="27"/>
        <v>1736</v>
      </c>
      <c r="BNU1" s="1">
        <f t="shared" si="27"/>
        <v>1737</v>
      </c>
      <c r="BNV1" s="1">
        <f t="shared" si="27"/>
        <v>1738</v>
      </c>
      <c r="BNW1" s="1">
        <f t="shared" si="27"/>
        <v>1739</v>
      </c>
      <c r="BNX1" s="1">
        <f t="shared" si="27"/>
        <v>1740</v>
      </c>
      <c r="BNY1" s="1">
        <f t="shared" si="27"/>
        <v>1741</v>
      </c>
      <c r="BNZ1" s="1">
        <f t="shared" si="27"/>
        <v>1742</v>
      </c>
      <c r="BOA1" s="1">
        <f t="shared" si="27"/>
        <v>1743</v>
      </c>
      <c r="BOB1" s="1">
        <f t="shared" si="27"/>
        <v>1744</v>
      </c>
      <c r="BOC1" s="1">
        <f t="shared" si="27"/>
        <v>1745</v>
      </c>
      <c r="BOD1" s="1">
        <f t="shared" si="27"/>
        <v>1746</v>
      </c>
      <c r="BOE1" s="1">
        <f t="shared" si="27"/>
        <v>1747</v>
      </c>
      <c r="BOF1" s="1">
        <f t="shared" si="27"/>
        <v>1748</v>
      </c>
      <c r="BOG1" s="1">
        <f t="shared" si="27"/>
        <v>1749</v>
      </c>
      <c r="BOH1" s="1">
        <f t="shared" si="27"/>
        <v>1750</v>
      </c>
      <c r="BOI1" s="1">
        <f t="shared" si="27"/>
        <v>1751</v>
      </c>
      <c r="BOJ1" s="1">
        <f t="shared" si="27"/>
        <v>1752</v>
      </c>
      <c r="BOK1" s="1">
        <f t="shared" si="27"/>
        <v>1753</v>
      </c>
      <c r="BOL1" s="1">
        <f t="shared" si="27"/>
        <v>1754</v>
      </c>
      <c r="BOM1" s="1">
        <f t="shared" si="27"/>
        <v>1755</v>
      </c>
      <c r="BON1" s="1">
        <f t="shared" si="27"/>
        <v>1756</v>
      </c>
      <c r="BOO1" s="1">
        <f t="shared" si="27"/>
        <v>1757</v>
      </c>
      <c r="BOP1" s="1">
        <f t="shared" si="27"/>
        <v>1758</v>
      </c>
      <c r="BOQ1" s="1">
        <f t="shared" si="27"/>
        <v>1759</v>
      </c>
      <c r="BOR1" s="1">
        <f t="shared" si="27"/>
        <v>1760</v>
      </c>
      <c r="BOS1" s="1">
        <f t="shared" si="27"/>
        <v>1761</v>
      </c>
      <c r="BOT1" s="42">
        <f t="shared" si="27"/>
        <v>1762</v>
      </c>
      <c r="BOU1" s="1">
        <f t="shared" si="27"/>
        <v>1763</v>
      </c>
      <c r="BOV1" s="1">
        <f t="shared" si="27"/>
        <v>1764</v>
      </c>
      <c r="BOW1" s="1">
        <f t="shared" si="27"/>
        <v>1765</v>
      </c>
      <c r="BOX1" s="1">
        <f t="shared" si="27"/>
        <v>1766</v>
      </c>
      <c r="BOY1" s="1">
        <f t="shared" si="27"/>
        <v>1767</v>
      </c>
      <c r="BOZ1" s="1">
        <f t="shared" si="27"/>
        <v>1768</v>
      </c>
      <c r="BPA1" s="1">
        <f t="shared" si="27"/>
        <v>1769</v>
      </c>
      <c r="BPB1" s="1">
        <f t="shared" si="27"/>
        <v>1770</v>
      </c>
      <c r="BPC1" s="1">
        <f t="shared" si="27"/>
        <v>1771</v>
      </c>
      <c r="BPD1" s="1">
        <f t="shared" si="27"/>
        <v>1772</v>
      </c>
      <c r="BPE1" s="1">
        <f t="shared" si="27"/>
        <v>1773</v>
      </c>
      <c r="BPF1" s="1">
        <f t="shared" si="27"/>
        <v>1774</v>
      </c>
      <c r="BPG1" s="1">
        <f t="shared" si="27"/>
        <v>1775</v>
      </c>
      <c r="BPH1" s="1">
        <f t="shared" si="27"/>
        <v>1776</v>
      </c>
      <c r="BPI1" s="1">
        <f t="shared" si="27"/>
        <v>1777</v>
      </c>
      <c r="BPJ1" s="1">
        <f t="shared" si="27"/>
        <v>1778</v>
      </c>
      <c r="BPK1" s="1">
        <f t="shared" si="27"/>
        <v>1779</v>
      </c>
      <c r="BPL1" s="1">
        <f t="shared" si="27"/>
        <v>1780</v>
      </c>
      <c r="BPM1" s="1">
        <f t="shared" si="27"/>
        <v>1781</v>
      </c>
      <c r="BPN1" s="1">
        <f t="shared" si="27"/>
        <v>1782</v>
      </c>
      <c r="BPO1" s="1">
        <f t="shared" si="27"/>
        <v>1783</v>
      </c>
      <c r="BPP1" s="1">
        <f t="shared" si="27"/>
        <v>1784</v>
      </c>
      <c r="BPQ1" s="1">
        <f t="shared" si="27"/>
        <v>1785</v>
      </c>
      <c r="BPR1" s="1">
        <f t="shared" si="27"/>
        <v>1786</v>
      </c>
      <c r="BPS1" s="1">
        <f t="shared" si="27"/>
        <v>1787</v>
      </c>
      <c r="BPT1" s="1">
        <f t="shared" si="27"/>
        <v>1788</v>
      </c>
      <c r="BPU1" s="1">
        <f t="shared" si="27"/>
        <v>1789</v>
      </c>
      <c r="BPV1" s="1">
        <f t="shared" si="27"/>
        <v>1790</v>
      </c>
      <c r="BPW1" s="1">
        <f t="shared" si="27"/>
        <v>1791</v>
      </c>
      <c r="BPX1" s="1">
        <f t="shared" si="27"/>
        <v>1792</v>
      </c>
      <c r="BPY1" s="1">
        <f t="shared" si="27"/>
        <v>1793</v>
      </c>
      <c r="BPZ1" s="1">
        <f t="shared" si="27"/>
        <v>1794</v>
      </c>
      <c r="BQA1" s="1">
        <f t="shared" ref="BQA1:BSL1" si="28">BPZ1+1</f>
        <v>1795</v>
      </c>
      <c r="BQB1" s="1">
        <f t="shared" si="28"/>
        <v>1796</v>
      </c>
      <c r="BQC1" s="1">
        <f t="shared" si="28"/>
        <v>1797</v>
      </c>
      <c r="BQD1" s="1">
        <f t="shared" si="28"/>
        <v>1798</v>
      </c>
      <c r="BQE1" s="1">
        <f t="shared" si="28"/>
        <v>1799</v>
      </c>
      <c r="BQF1" s="1">
        <f t="shared" si="28"/>
        <v>1800</v>
      </c>
      <c r="BQG1" s="1">
        <f t="shared" si="28"/>
        <v>1801</v>
      </c>
      <c r="BQH1" s="1">
        <f t="shared" si="28"/>
        <v>1802</v>
      </c>
      <c r="BQI1" s="1">
        <f t="shared" si="28"/>
        <v>1803</v>
      </c>
      <c r="BQJ1" s="1">
        <f t="shared" si="28"/>
        <v>1804</v>
      </c>
      <c r="BQK1" s="1">
        <f t="shared" si="28"/>
        <v>1805</v>
      </c>
      <c r="BQL1" s="42">
        <f t="shared" si="28"/>
        <v>1806</v>
      </c>
      <c r="BQM1" s="1">
        <f t="shared" si="28"/>
        <v>1807</v>
      </c>
      <c r="BQN1" s="1">
        <f t="shared" si="28"/>
        <v>1808</v>
      </c>
      <c r="BQO1" s="1">
        <f t="shared" si="28"/>
        <v>1809</v>
      </c>
      <c r="BQP1" s="1">
        <f t="shared" si="28"/>
        <v>1810</v>
      </c>
      <c r="BQQ1" s="1">
        <f t="shared" si="28"/>
        <v>1811</v>
      </c>
      <c r="BQR1" s="1">
        <f t="shared" si="28"/>
        <v>1812</v>
      </c>
      <c r="BQS1" s="1">
        <f t="shared" si="28"/>
        <v>1813</v>
      </c>
      <c r="BQT1" s="1">
        <f t="shared" si="28"/>
        <v>1814</v>
      </c>
      <c r="BQU1" s="1">
        <f t="shared" si="28"/>
        <v>1815</v>
      </c>
      <c r="BQV1" s="1">
        <f t="shared" si="28"/>
        <v>1816</v>
      </c>
      <c r="BQW1" s="1">
        <f t="shared" si="28"/>
        <v>1817</v>
      </c>
      <c r="BQX1" s="1">
        <f t="shared" si="28"/>
        <v>1818</v>
      </c>
      <c r="BQY1" s="1">
        <f t="shared" si="28"/>
        <v>1819</v>
      </c>
      <c r="BQZ1" s="1">
        <f t="shared" si="28"/>
        <v>1820</v>
      </c>
      <c r="BRA1" s="1">
        <f t="shared" si="28"/>
        <v>1821</v>
      </c>
      <c r="BRB1" s="1">
        <f t="shared" si="28"/>
        <v>1822</v>
      </c>
      <c r="BRC1" s="1">
        <f t="shared" si="28"/>
        <v>1823</v>
      </c>
      <c r="BRD1" s="1">
        <f t="shared" si="28"/>
        <v>1824</v>
      </c>
      <c r="BRE1" s="1">
        <f t="shared" si="28"/>
        <v>1825</v>
      </c>
      <c r="BRF1" s="1">
        <f t="shared" si="28"/>
        <v>1826</v>
      </c>
      <c r="BRG1" s="1">
        <f t="shared" si="28"/>
        <v>1827</v>
      </c>
      <c r="BRH1" s="1">
        <f t="shared" si="28"/>
        <v>1828</v>
      </c>
      <c r="BRI1" s="1">
        <f t="shared" si="28"/>
        <v>1829</v>
      </c>
      <c r="BRJ1" s="1">
        <f t="shared" si="28"/>
        <v>1830</v>
      </c>
      <c r="BRK1" s="1">
        <f t="shared" si="28"/>
        <v>1831</v>
      </c>
      <c r="BRL1" s="1">
        <f t="shared" si="28"/>
        <v>1832</v>
      </c>
      <c r="BRM1" s="1">
        <f t="shared" si="28"/>
        <v>1833</v>
      </c>
      <c r="BRN1" s="1">
        <f t="shared" si="28"/>
        <v>1834</v>
      </c>
      <c r="BRO1" s="1">
        <f t="shared" si="28"/>
        <v>1835</v>
      </c>
      <c r="BRP1" s="1">
        <f t="shared" si="28"/>
        <v>1836</v>
      </c>
      <c r="BRQ1" s="1">
        <f t="shared" si="28"/>
        <v>1837</v>
      </c>
      <c r="BRR1" s="1">
        <f t="shared" si="28"/>
        <v>1838</v>
      </c>
      <c r="BRS1" s="1">
        <f t="shared" si="28"/>
        <v>1839</v>
      </c>
      <c r="BRT1" s="1">
        <f t="shared" si="28"/>
        <v>1840</v>
      </c>
      <c r="BRU1" s="1">
        <f t="shared" si="28"/>
        <v>1841</v>
      </c>
      <c r="BRV1" s="1">
        <f t="shared" si="28"/>
        <v>1842</v>
      </c>
      <c r="BRW1" s="1">
        <f t="shared" si="28"/>
        <v>1843</v>
      </c>
      <c r="BRX1" s="1">
        <f t="shared" si="28"/>
        <v>1844</v>
      </c>
      <c r="BRY1" s="1">
        <f t="shared" si="28"/>
        <v>1845</v>
      </c>
      <c r="BRZ1" s="1">
        <f t="shared" si="28"/>
        <v>1846</v>
      </c>
      <c r="BSA1" s="1">
        <f t="shared" si="28"/>
        <v>1847</v>
      </c>
      <c r="BSB1" s="1">
        <f t="shared" si="28"/>
        <v>1848</v>
      </c>
      <c r="BSC1" s="1">
        <f t="shared" si="28"/>
        <v>1849</v>
      </c>
      <c r="BSD1" s="42">
        <f t="shared" si="28"/>
        <v>1850</v>
      </c>
      <c r="BSE1" s="1">
        <f t="shared" si="28"/>
        <v>1851</v>
      </c>
      <c r="BSF1" s="1">
        <f t="shared" si="28"/>
        <v>1852</v>
      </c>
      <c r="BSG1" s="1">
        <f t="shared" si="28"/>
        <v>1853</v>
      </c>
      <c r="BSH1" s="1">
        <f t="shared" si="28"/>
        <v>1854</v>
      </c>
      <c r="BSI1" s="1">
        <f t="shared" si="28"/>
        <v>1855</v>
      </c>
      <c r="BSJ1" s="1">
        <f t="shared" si="28"/>
        <v>1856</v>
      </c>
      <c r="BSK1" s="1">
        <f t="shared" si="28"/>
        <v>1857</v>
      </c>
      <c r="BSL1" s="1">
        <f t="shared" si="28"/>
        <v>1858</v>
      </c>
      <c r="BSM1" s="1">
        <f t="shared" ref="BSM1:BUX1" si="29">BSL1+1</f>
        <v>1859</v>
      </c>
      <c r="BSN1" s="1">
        <f t="shared" si="29"/>
        <v>1860</v>
      </c>
      <c r="BSO1" s="1">
        <f t="shared" si="29"/>
        <v>1861</v>
      </c>
      <c r="BSP1" s="1">
        <f t="shared" si="29"/>
        <v>1862</v>
      </c>
      <c r="BSQ1" s="1">
        <f t="shared" si="29"/>
        <v>1863</v>
      </c>
      <c r="BSR1" s="1">
        <f t="shared" si="29"/>
        <v>1864</v>
      </c>
      <c r="BSS1" s="1">
        <f t="shared" si="29"/>
        <v>1865</v>
      </c>
      <c r="BST1" s="1">
        <f t="shared" si="29"/>
        <v>1866</v>
      </c>
      <c r="BSU1" s="1">
        <f t="shared" si="29"/>
        <v>1867</v>
      </c>
      <c r="BSV1" s="1">
        <f t="shared" si="29"/>
        <v>1868</v>
      </c>
      <c r="BSW1" s="1">
        <f t="shared" si="29"/>
        <v>1869</v>
      </c>
      <c r="BSX1" s="1">
        <f t="shared" si="29"/>
        <v>1870</v>
      </c>
      <c r="BSY1" s="1">
        <f t="shared" si="29"/>
        <v>1871</v>
      </c>
      <c r="BSZ1" s="1">
        <f t="shared" si="29"/>
        <v>1872</v>
      </c>
      <c r="BTA1" s="1">
        <f t="shared" si="29"/>
        <v>1873</v>
      </c>
      <c r="BTB1" s="1">
        <f t="shared" si="29"/>
        <v>1874</v>
      </c>
      <c r="BTC1" s="1">
        <f t="shared" si="29"/>
        <v>1875</v>
      </c>
      <c r="BTD1" s="1">
        <f t="shared" si="29"/>
        <v>1876</v>
      </c>
      <c r="BTE1" s="1">
        <f t="shared" si="29"/>
        <v>1877</v>
      </c>
      <c r="BTF1" s="1">
        <f t="shared" si="29"/>
        <v>1878</v>
      </c>
      <c r="BTG1" s="1">
        <f t="shared" si="29"/>
        <v>1879</v>
      </c>
      <c r="BTH1" s="1">
        <f t="shared" si="29"/>
        <v>1880</v>
      </c>
      <c r="BTI1" s="1">
        <f t="shared" si="29"/>
        <v>1881</v>
      </c>
      <c r="BTJ1" s="1">
        <f t="shared" si="29"/>
        <v>1882</v>
      </c>
      <c r="BTK1" s="1">
        <f t="shared" si="29"/>
        <v>1883</v>
      </c>
      <c r="BTL1" s="1">
        <f t="shared" si="29"/>
        <v>1884</v>
      </c>
      <c r="BTM1" s="1">
        <f t="shared" si="29"/>
        <v>1885</v>
      </c>
      <c r="BTN1" s="1">
        <f t="shared" si="29"/>
        <v>1886</v>
      </c>
      <c r="BTO1" s="1">
        <f t="shared" si="29"/>
        <v>1887</v>
      </c>
      <c r="BTP1" s="1">
        <f t="shared" si="29"/>
        <v>1888</v>
      </c>
      <c r="BTQ1" s="1">
        <f t="shared" si="29"/>
        <v>1889</v>
      </c>
      <c r="BTR1" s="1">
        <f t="shared" si="29"/>
        <v>1890</v>
      </c>
      <c r="BTS1" s="1">
        <f t="shared" si="29"/>
        <v>1891</v>
      </c>
      <c r="BTT1" s="1">
        <f t="shared" si="29"/>
        <v>1892</v>
      </c>
      <c r="BTU1" s="1">
        <f t="shared" si="29"/>
        <v>1893</v>
      </c>
      <c r="BTV1" s="42">
        <f t="shared" si="29"/>
        <v>1894</v>
      </c>
      <c r="BTW1" s="1">
        <f t="shared" si="29"/>
        <v>1895</v>
      </c>
      <c r="BTX1" s="1">
        <f t="shared" si="29"/>
        <v>1896</v>
      </c>
      <c r="BTY1" s="1">
        <f t="shared" si="29"/>
        <v>1897</v>
      </c>
      <c r="BTZ1" s="1">
        <f t="shared" si="29"/>
        <v>1898</v>
      </c>
      <c r="BUA1" s="1">
        <f t="shared" si="29"/>
        <v>1899</v>
      </c>
      <c r="BUB1" s="1">
        <f t="shared" si="29"/>
        <v>1900</v>
      </c>
      <c r="BUC1" s="1">
        <f t="shared" si="29"/>
        <v>1901</v>
      </c>
      <c r="BUD1" s="1">
        <f t="shared" si="29"/>
        <v>1902</v>
      </c>
      <c r="BUE1" s="1">
        <f t="shared" si="29"/>
        <v>1903</v>
      </c>
      <c r="BUF1" s="1">
        <f t="shared" si="29"/>
        <v>1904</v>
      </c>
      <c r="BUG1" s="1">
        <f t="shared" si="29"/>
        <v>1905</v>
      </c>
      <c r="BUH1" s="1">
        <f t="shared" si="29"/>
        <v>1906</v>
      </c>
      <c r="BUI1" s="1">
        <f t="shared" si="29"/>
        <v>1907</v>
      </c>
      <c r="BUJ1" s="1">
        <f t="shared" si="29"/>
        <v>1908</v>
      </c>
      <c r="BUK1" s="1">
        <f t="shared" si="29"/>
        <v>1909</v>
      </c>
      <c r="BUL1" s="1">
        <f t="shared" si="29"/>
        <v>1910</v>
      </c>
      <c r="BUM1" s="1">
        <f t="shared" si="29"/>
        <v>1911</v>
      </c>
      <c r="BUN1" s="1">
        <f t="shared" si="29"/>
        <v>1912</v>
      </c>
      <c r="BUO1" s="1">
        <f t="shared" si="29"/>
        <v>1913</v>
      </c>
      <c r="BUP1" s="1">
        <f t="shared" si="29"/>
        <v>1914</v>
      </c>
      <c r="BUQ1" s="1">
        <f t="shared" si="29"/>
        <v>1915</v>
      </c>
      <c r="BUR1" s="1">
        <f t="shared" si="29"/>
        <v>1916</v>
      </c>
      <c r="BUS1" s="1">
        <f t="shared" si="29"/>
        <v>1917</v>
      </c>
      <c r="BUT1" s="1">
        <f t="shared" si="29"/>
        <v>1918</v>
      </c>
      <c r="BUU1" s="1">
        <f t="shared" si="29"/>
        <v>1919</v>
      </c>
      <c r="BUV1" s="1">
        <f t="shared" si="29"/>
        <v>1920</v>
      </c>
      <c r="BUW1" s="1">
        <f t="shared" si="29"/>
        <v>1921</v>
      </c>
      <c r="BUX1" s="1">
        <f t="shared" si="29"/>
        <v>1922</v>
      </c>
      <c r="BUY1" s="1">
        <f t="shared" ref="BUY1:BXJ1" si="30">BUX1+1</f>
        <v>1923</v>
      </c>
      <c r="BUZ1" s="1">
        <f t="shared" si="30"/>
        <v>1924</v>
      </c>
      <c r="BVA1" s="1">
        <f t="shared" si="30"/>
        <v>1925</v>
      </c>
      <c r="BVB1" s="1">
        <f t="shared" si="30"/>
        <v>1926</v>
      </c>
      <c r="BVC1" s="1">
        <f t="shared" si="30"/>
        <v>1927</v>
      </c>
      <c r="BVD1" s="1">
        <f t="shared" si="30"/>
        <v>1928</v>
      </c>
      <c r="BVE1" s="1">
        <f t="shared" si="30"/>
        <v>1929</v>
      </c>
      <c r="BVF1" s="1">
        <f t="shared" si="30"/>
        <v>1930</v>
      </c>
      <c r="BVG1" s="1">
        <f t="shared" si="30"/>
        <v>1931</v>
      </c>
      <c r="BVH1" s="1">
        <f t="shared" si="30"/>
        <v>1932</v>
      </c>
      <c r="BVI1" s="1">
        <f t="shared" si="30"/>
        <v>1933</v>
      </c>
      <c r="BVJ1" s="1">
        <f t="shared" si="30"/>
        <v>1934</v>
      </c>
      <c r="BVK1" s="1">
        <f t="shared" si="30"/>
        <v>1935</v>
      </c>
      <c r="BVL1" s="1">
        <f t="shared" si="30"/>
        <v>1936</v>
      </c>
      <c r="BVM1" s="1">
        <f t="shared" si="30"/>
        <v>1937</v>
      </c>
      <c r="BVN1" s="42">
        <f t="shared" si="30"/>
        <v>1938</v>
      </c>
      <c r="BVO1" s="1">
        <f t="shared" si="30"/>
        <v>1939</v>
      </c>
      <c r="BVP1" s="1">
        <f t="shared" si="30"/>
        <v>1940</v>
      </c>
      <c r="BVQ1" s="1">
        <f t="shared" si="30"/>
        <v>1941</v>
      </c>
      <c r="BVR1" s="1">
        <f t="shared" si="30"/>
        <v>1942</v>
      </c>
      <c r="BVS1" s="1">
        <f t="shared" si="30"/>
        <v>1943</v>
      </c>
      <c r="BVT1" s="1">
        <f t="shared" si="30"/>
        <v>1944</v>
      </c>
      <c r="BVU1" s="1">
        <f t="shared" si="30"/>
        <v>1945</v>
      </c>
      <c r="BVV1" s="1">
        <f t="shared" si="30"/>
        <v>1946</v>
      </c>
      <c r="BVW1" s="1">
        <f t="shared" si="30"/>
        <v>1947</v>
      </c>
      <c r="BVX1" s="1">
        <f t="shared" si="30"/>
        <v>1948</v>
      </c>
      <c r="BVY1" s="1">
        <f t="shared" si="30"/>
        <v>1949</v>
      </c>
      <c r="BVZ1" s="1">
        <f t="shared" si="30"/>
        <v>1950</v>
      </c>
      <c r="BWA1" s="1">
        <f t="shared" si="30"/>
        <v>1951</v>
      </c>
      <c r="BWB1" s="1">
        <f t="shared" si="30"/>
        <v>1952</v>
      </c>
      <c r="BWC1" s="1">
        <f t="shared" si="30"/>
        <v>1953</v>
      </c>
      <c r="BWD1" s="1">
        <f t="shared" si="30"/>
        <v>1954</v>
      </c>
      <c r="BWE1" s="1">
        <f t="shared" si="30"/>
        <v>1955</v>
      </c>
      <c r="BWF1" s="1">
        <f t="shared" si="30"/>
        <v>1956</v>
      </c>
      <c r="BWG1" s="1">
        <f t="shared" si="30"/>
        <v>1957</v>
      </c>
      <c r="BWH1" s="1">
        <f t="shared" si="30"/>
        <v>1958</v>
      </c>
      <c r="BWI1" s="1">
        <f t="shared" si="30"/>
        <v>1959</v>
      </c>
      <c r="BWJ1" s="1">
        <f t="shared" si="30"/>
        <v>1960</v>
      </c>
      <c r="BWK1" s="1">
        <f t="shared" si="30"/>
        <v>1961</v>
      </c>
      <c r="BWL1" s="1">
        <f t="shared" si="30"/>
        <v>1962</v>
      </c>
      <c r="BWM1" s="1">
        <f t="shared" si="30"/>
        <v>1963</v>
      </c>
      <c r="BWN1" s="1">
        <f t="shared" si="30"/>
        <v>1964</v>
      </c>
      <c r="BWO1" s="1">
        <f t="shared" si="30"/>
        <v>1965</v>
      </c>
      <c r="BWP1" s="1">
        <f t="shared" si="30"/>
        <v>1966</v>
      </c>
      <c r="BWQ1" s="1">
        <f t="shared" si="30"/>
        <v>1967</v>
      </c>
      <c r="BWR1" s="1">
        <f t="shared" si="30"/>
        <v>1968</v>
      </c>
      <c r="BWS1" s="1">
        <f t="shared" si="30"/>
        <v>1969</v>
      </c>
      <c r="BWT1" s="1">
        <f t="shared" si="30"/>
        <v>1970</v>
      </c>
      <c r="BWU1" s="1">
        <f t="shared" si="30"/>
        <v>1971</v>
      </c>
      <c r="BWV1" s="1">
        <f t="shared" si="30"/>
        <v>1972</v>
      </c>
      <c r="BWW1" s="1">
        <f t="shared" si="30"/>
        <v>1973</v>
      </c>
      <c r="BWX1" s="1">
        <f t="shared" si="30"/>
        <v>1974</v>
      </c>
      <c r="BWY1" s="1">
        <f t="shared" si="30"/>
        <v>1975</v>
      </c>
      <c r="BWZ1" s="1">
        <f t="shared" si="30"/>
        <v>1976</v>
      </c>
      <c r="BXA1" s="1">
        <f t="shared" si="30"/>
        <v>1977</v>
      </c>
      <c r="BXB1" s="1">
        <f t="shared" si="30"/>
        <v>1978</v>
      </c>
      <c r="BXC1" s="1">
        <f t="shared" si="30"/>
        <v>1979</v>
      </c>
      <c r="BXD1" s="1">
        <f t="shared" si="30"/>
        <v>1980</v>
      </c>
      <c r="BXE1" s="1">
        <f t="shared" si="30"/>
        <v>1981</v>
      </c>
      <c r="BXF1" s="42">
        <f t="shared" si="30"/>
        <v>1982</v>
      </c>
      <c r="BXG1" s="1">
        <f t="shared" si="30"/>
        <v>1983</v>
      </c>
      <c r="BXH1" s="1">
        <f t="shared" si="30"/>
        <v>1984</v>
      </c>
      <c r="BXI1" s="1">
        <f t="shared" si="30"/>
        <v>1985</v>
      </c>
      <c r="BXJ1" s="1">
        <f t="shared" si="30"/>
        <v>1986</v>
      </c>
      <c r="BXK1" s="1">
        <f t="shared" ref="BXK1:BZV1" si="31">BXJ1+1</f>
        <v>1987</v>
      </c>
      <c r="BXL1" s="1">
        <f t="shared" si="31"/>
        <v>1988</v>
      </c>
      <c r="BXM1" s="1">
        <f t="shared" si="31"/>
        <v>1989</v>
      </c>
      <c r="BXN1" s="1">
        <f t="shared" si="31"/>
        <v>1990</v>
      </c>
      <c r="BXO1" s="1">
        <f t="shared" si="31"/>
        <v>1991</v>
      </c>
      <c r="BXP1" s="1">
        <f t="shared" si="31"/>
        <v>1992</v>
      </c>
      <c r="BXQ1" s="1">
        <f t="shared" si="31"/>
        <v>1993</v>
      </c>
      <c r="BXR1" s="1">
        <f t="shared" si="31"/>
        <v>1994</v>
      </c>
      <c r="BXS1" s="1">
        <f t="shared" si="31"/>
        <v>1995</v>
      </c>
      <c r="BXT1" s="1">
        <f t="shared" si="31"/>
        <v>1996</v>
      </c>
      <c r="BXU1" s="1">
        <f t="shared" si="31"/>
        <v>1997</v>
      </c>
      <c r="BXV1" s="1">
        <f t="shared" si="31"/>
        <v>1998</v>
      </c>
      <c r="BXW1" s="1">
        <f t="shared" si="31"/>
        <v>1999</v>
      </c>
      <c r="BXX1" s="1">
        <f t="shared" si="31"/>
        <v>2000</v>
      </c>
      <c r="BXY1" s="1">
        <f t="shared" si="31"/>
        <v>2001</v>
      </c>
      <c r="BXZ1" s="1">
        <f t="shared" si="31"/>
        <v>2002</v>
      </c>
      <c r="BYA1" s="1">
        <f t="shared" si="31"/>
        <v>2003</v>
      </c>
      <c r="BYB1" s="1">
        <f t="shared" si="31"/>
        <v>2004</v>
      </c>
      <c r="BYC1" s="1">
        <f t="shared" si="31"/>
        <v>2005</v>
      </c>
      <c r="BYD1" s="1">
        <f t="shared" si="31"/>
        <v>2006</v>
      </c>
      <c r="BYE1" s="1">
        <f t="shared" si="31"/>
        <v>2007</v>
      </c>
      <c r="BYF1" s="1">
        <f t="shared" si="31"/>
        <v>2008</v>
      </c>
      <c r="BYG1" s="1">
        <f t="shared" si="31"/>
        <v>2009</v>
      </c>
      <c r="BYH1" s="1">
        <f t="shared" si="31"/>
        <v>2010</v>
      </c>
      <c r="BYI1" s="1">
        <f t="shared" si="31"/>
        <v>2011</v>
      </c>
      <c r="BYJ1" s="1">
        <f t="shared" si="31"/>
        <v>2012</v>
      </c>
      <c r="BYK1" s="1">
        <f t="shared" si="31"/>
        <v>2013</v>
      </c>
      <c r="BYL1" s="1">
        <f t="shared" si="31"/>
        <v>2014</v>
      </c>
      <c r="BYM1" s="1">
        <f t="shared" si="31"/>
        <v>2015</v>
      </c>
      <c r="BYN1" s="1">
        <f t="shared" si="31"/>
        <v>2016</v>
      </c>
      <c r="BYO1" s="1">
        <f t="shared" si="31"/>
        <v>2017</v>
      </c>
      <c r="BYP1" s="1">
        <f t="shared" si="31"/>
        <v>2018</v>
      </c>
      <c r="BYQ1" s="1">
        <f t="shared" si="31"/>
        <v>2019</v>
      </c>
      <c r="BYR1" s="1">
        <f t="shared" si="31"/>
        <v>2020</v>
      </c>
      <c r="BYS1" s="1">
        <f t="shared" si="31"/>
        <v>2021</v>
      </c>
      <c r="BYT1" s="1">
        <f t="shared" si="31"/>
        <v>2022</v>
      </c>
      <c r="BYU1" s="1">
        <f t="shared" si="31"/>
        <v>2023</v>
      </c>
      <c r="BYV1" s="1">
        <f t="shared" si="31"/>
        <v>2024</v>
      </c>
      <c r="BYW1" s="1">
        <f t="shared" si="31"/>
        <v>2025</v>
      </c>
      <c r="BYX1" s="42">
        <f t="shared" si="31"/>
        <v>2026</v>
      </c>
      <c r="BYY1" s="1">
        <f t="shared" si="31"/>
        <v>2027</v>
      </c>
      <c r="BYZ1" s="1">
        <f t="shared" si="31"/>
        <v>2028</v>
      </c>
      <c r="BZA1" s="1">
        <f t="shared" si="31"/>
        <v>2029</v>
      </c>
      <c r="BZB1" s="1">
        <f t="shared" si="31"/>
        <v>2030</v>
      </c>
      <c r="BZC1" s="1">
        <f t="shared" si="31"/>
        <v>2031</v>
      </c>
      <c r="BZD1" s="1">
        <f t="shared" si="31"/>
        <v>2032</v>
      </c>
      <c r="BZE1" s="1">
        <f t="shared" si="31"/>
        <v>2033</v>
      </c>
      <c r="BZF1" s="1">
        <f t="shared" si="31"/>
        <v>2034</v>
      </c>
      <c r="BZG1" s="1">
        <f t="shared" si="31"/>
        <v>2035</v>
      </c>
      <c r="BZH1" s="1">
        <f t="shared" si="31"/>
        <v>2036</v>
      </c>
      <c r="BZI1" s="1">
        <f t="shared" si="31"/>
        <v>2037</v>
      </c>
      <c r="BZJ1" s="1">
        <f t="shared" si="31"/>
        <v>2038</v>
      </c>
      <c r="BZK1" s="1">
        <f t="shared" si="31"/>
        <v>2039</v>
      </c>
      <c r="BZL1" s="1">
        <f t="shared" si="31"/>
        <v>2040</v>
      </c>
      <c r="BZM1" s="1">
        <f t="shared" si="31"/>
        <v>2041</v>
      </c>
      <c r="BZN1" s="1">
        <f t="shared" si="31"/>
        <v>2042</v>
      </c>
      <c r="BZO1" s="1">
        <f t="shared" si="31"/>
        <v>2043</v>
      </c>
      <c r="BZP1" s="1">
        <f t="shared" si="31"/>
        <v>2044</v>
      </c>
      <c r="BZQ1" s="1">
        <f t="shared" si="31"/>
        <v>2045</v>
      </c>
      <c r="BZR1" s="1">
        <f t="shared" si="31"/>
        <v>2046</v>
      </c>
      <c r="BZS1" s="1">
        <f t="shared" si="31"/>
        <v>2047</v>
      </c>
      <c r="BZT1" s="1">
        <f t="shared" si="31"/>
        <v>2048</v>
      </c>
      <c r="BZU1" s="1">
        <f t="shared" si="31"/>
        <v>2049</v>
      </c>
      <c r="BZV1" s="1">
        <f t="shared" si="31"/>
        <v>2050</v>
      </c>
      <c r="BZW1" s="1">
        <f t="shared" ref="BZW1:CCH1" si="32">BZV1+1</f>
        <v>2051</v>
      </c>
      <c r="BZX1" s="1">
        <f t="shared" si="32"/>
        <v>2052</v>
      </c>
      <c r="BZY1" s="1">
        <f t="shared" si="32"/>
        <v>2053</v>
      </c>
      <c r="BZZ1" s="1">
        <f t="shared" si="32"/>
        <v>2054</v>
      </c>
      <c r="CAA1" s="1">
        <f t="shared" si="32"/>
        <v>2055</v>
      </c>
      <c r="CAB1" s="1">
        <f t="shared" si="32"/>
        <v>2056</v>
      </c>
      <c r="CAC1" s="1">
        <f t="shared" si="32"/>
        <v>2057</v>
      </c>
      <c r="CAD1" s="1">
        <f t="shared" si="32"/>
        <v>2058</v>
      </c>
      <c r="CAE1" s="1">
        <f t="shared" si="32"/>
        <v>2059</v>
      </c>
      <c r="CAF1" s="1">
        <f t="shared" si="32"/>
        <v>2060</v>
      </c>
      <c r="CAG1" s="1">
        <f t="shared" si="32"/>
        <v>2061</v>
      </c>
      <c r="CAH1" s="1">
        <f t="shared" si="32"/>
        <v>2062</v>
      </c>
      <c r="CAI1" s="1">
        <f t="shared" si="32"/>
        <v>2063</v>
      </c>
      <c r="CAJ1" s="1">
        <f t="shared" si="32"/>
        <v>2064</v>
      </c>
      <c r="CAK1" s="1">
        <f t="shared" si="32"/>
        <v>2065</v>
      </c>
      <c r="CAL1" s="1">
        <f t="shared" si="32"/>
        <v>2066</v>
      </c>
      <c r="CAM1" s="1">
        <f t="shared" si="32"/>
        <v>2067</v>
      </c>
      <c r="CAN1" s="1">
        <f t="shared" si="32"/>
        <v>2068</v>
      </c>
      <c r="CAO1" s="1">
        <f t="shared" si="32"/>
        <v>2069</v>
      </c>
      <c r="CAP1" s="42">
        <f t="shared" si="32"/>
        <v>2070</v>
      </c>
      <c r="CAQ1" s="1">
        <f t="shared" si="32"/>
        <v>2071</v>
      </c>
      <c r="CAR1" s="1">
        <f t="shared" si="32"/>
        <v>2072</v>
      </c>
      <c r="CAS1" s="1">
        <f t="shared" si="32"/>
        <v>2073</v>
      </c>
      <c r="CAT1" s="1">
        <f t="shared" si="32"/>
        <v>2074</v>
      </c>
      <c r="CAU1" s="1">
        <f t="shared" si="32"/>
        <v>2075</v>
      </c>
      <c r="CAV1" s="1">
        <f t="shared" si="32"/>
        <v>2076</v>
      </c>
      <c r="CAW1" s="1">
        <f t="shared" si="32"/>
        <v>2077</v>
      </c>
      <c r="CAX1" s="1">
        <f t="shared" si="32"/>
        <v>2078</v>
      </c>
      <c r="CAY1" s="1">
        <f t="shared" si="32"/>
        <v>2079</v>
      </c>
      <c r="CAZ1" s="1">
        <f t="shared" si="32"/>
        <v>2080</v>
      </c>
      <c r="CBA1" s="1">
        <f t="shared" si="32"/>
        <v>2081</v>
      </c>
      <c r="CBB1" s="1">
        <f t="shared" si="32"/>
        <v>2082</v>
      </c>
      <c r="CBC1" s="1">
        <f t="shared" si="32"/>
        <v>2083</v>
      </c>
      <c r="CBD1" s="1">
        <f t="shared" si="32"/>
        <v>2084</v>
      </c>
      <c r="CBE1" s="1">
        <f t="shared" si="32"/>
        <v>2085</v>
      </c>
      <c r="CBF1" s="1">
        <f t="shared" si="32"/>
        <v>2086</v>
      </c>
      <c r="CBG1" s="1">
        <f t="shared" si="32"/>
        <v>2087</v>
      </c>
      <c r="CBH1" s="1">
        <f t="shared" si="32"/>
        <v>2088</v>
      </c>
      <c r="CBI1" s="1">
        <f t="shared" si="32"/>
        <v>2089</v>
      </c>
      <c r="CBJ1" s="1">
        <f t="shared" si="32"/>
        <v>2090</v>
      </c>
      <c r="CBK1" s="1">
        <f t="shared" si="32"/>
        <v>2091</v>
      </c>
      <c r="CBL1" s="1">
        <f t="shared" si="32"/>
        <v>2092</v>
      </c>
      <c r="CBM1" s="1">
        <f t="shared" si="32"/>
        <v>2093</v>
      </c>
      <c r="CBN1" s="1">
        <f t="shared" si="32"/>
        <v>2094</v>
      </c>
      <c r="CBO1" s="1">
        <f t="shared" si="32"/>
        <v>2095</v>
      </c>
      <c r="CBP1" s="1">
        <f t="shared" si="32"/>
        <v>2096</v>
      </c>
      <c r="CBQ1" s="1">
        <f t="shared" si="32"/>
        <v>2097</v>
      </c>
      <c r="CBR1" s="1">
        <f t="shared" si="32"/>
        <v>2098</v>
      </c>
      <c r="CBS1" s="1">
        <f t="shared" si="32"/>
        <v>2099</v>
      </c>
      <c r="CBT1" s="1">
        <f t="shared" si="32"/>
        <v>2100</v>
      </c>
      <c r="CBU1" s="1">
        <f t="shared" si="32"/>
        <v>2101</v>
      </c>
      <c r="CBV1" s="1">
        <f t="shared" si="32"/>
        <v>2102</v>
      </c>
      <c r="CBW1" s="1">
        <f t="shared" si="32"/>
        <v>2103</v>
      </c>
      <c r="CBX1" s="1">
        <f t="shared" si="32"/>
        <v>2104</v>
      </c>
      <c r="CBY1" s="1">
        <f t="shared" si="32"/>
        <v>2105</v>
      </c>
      <c r="CBZ1" s="1">
        <f t="shared" si="32"/>
        <v>2106</v>
      </c>
      <c r="CCA1" s="1">
        <f t="shared" si="32"/>
        <v>2107</v>
      </c>
      <c r="CCB1" s="1">
        <f t="shared" si="32"/>
        <v>2108</v>
      </c>
      <c r="CCC1" s="1">
        <f t="shared" si="32"/>
        <v>2109</v>
      </c>
      <c r="CCD1" s="1">
        <f t="shared" si="32"/>
        <v>2110</v>
      </c>
      <c r="CCE1" s="1">
        <f t="shared" si="32"/>
        <v>2111</v>
      </c>
      <c r="CCF1" s="1">
        <f t="shared" si="32"/>
        <v>2112</v>
      </c>
      <c r="CCG1" s="1">
        <f t="shared" si="32"/>
        <v>2113</v>
      </c>
      <c r="CCH1" s="42">
        <f t="shared" si="32"/>
        <v>2114</v>
      </c>
      <c r="CCI1" s="1">
        <f t="shared" ref="CCI1:CET1" si="33">CCH1+1</f>
        <v>2115</v>
      </c>
      <c r="CCJ1" s="1">
        <f t="shared" si="33"/>
        <v>2116</v>
      </c>
      <c r="CCK1" s="1">
        <f t="shared" si="33"/>
        <v>2117</v>
      </c>
      <c r="CCL1" s="1">
        <f t="shared" si="33"/>
        <v>2118</v>
      </c>
      <c r="CCM1" s="1">
        <f t="shared" si="33"/>
        <v>2119</v>
      </c>
      <c r="CCN1" s="1">
        <f t="shared" si="33"/>
        <v>2120</v>
      </c>
      <c r="CCO1" s="1">
        <f t="shared" si="33"/>
        <v>2121</v>
      </c>
      <c r="CCP1" s="1">
        <f t="shared" si="33"/>
        <v>2122</v>
      </c>
      <c r="CCQ1" s="1">
        <f t="shared" si="33"/>
        <v>2123</v>
      </c>
      <c r="CCR1" s="1">
        <f t="shared" si="33"/>
        <v>2124</v>
      </c>
      <c r="CCS1" s="1">
        <f t="shared" si="33"/>
        <v>2125</v>
      </c>
      <c r="CCT1" s="1">
        <f t="shared" si="33"/>
        <v>2126</v>
      </c>
      <c r="CCU1" s="1">
        <f t="shared" si="33"/>
        <v>2127</v>
      </c>
      <c r="CCV1" s="1">
        <f t="shared" si="33"/>
        <v>2128</v>
      </c>
      <c r="CCW1" s="1">
        <f t="shared" si="33"/>
        <v>2129</v>
      </c>
      <c r="CCX1" s="1">
        <f t="shared" si="33"/>
        <v>2130</v>
      </c>
      <c r="CCY1" s="1">
        <f t="shared" si="33"/>
        <v>2131</v>
      </c>
      <c r="CCZ1" s="1">
        <f t="shared" si="33"/>
        <v>2132</v>
      </c>
      <c r="CDA1" s="1">
        <f t="shared" si="33"/>
        <v>2133</v>
      </c>
      <c r="CDB1" s="1">
        <f t="shared" si="33"/>
        <v>2134</v>
      </c>
      <c r="CDC1" s="1">
        <f t="shared" si="33"/>
        <v>2135</v>
      </c>
      <c r="CDD1" s="1">
        <f t="shared" si="33"/>
        <v>2136</v>
      </c>
      <c r="CDE1" s="1">
        <f t="shared" si="33"/>
        <v>2137</v>
      </c>
      <c r="CDF1" s="1">
        <f t="shared" si="33"/>
        <v>2138</v>
      </c>
      <c r="CDG1" s="1">
        <f t="shared" si="33"/>
        <v>2139</v>
      </c>
      <c r="CDH1" s="1">
        <f t="shared" si="33"/>
        <v>2140</v>
      </c>
      <c r="CDI1" s="1">
        <f t="shared" si="33"/>
        <v>2141</v>
      </c>
      <c r="CDJ1" s="1">
        <f t="shared" si="33"/>
        <v>2142</v>
      </c>
      <c r="CDK1" s="1">
        <f t="shared" si="33"/>
        <v>2143</v>
      </c>
      <c r="CDL1" s="1">
        <f t="shared" si="33"/>
        <v>2144</v>
      </c>
      <c r="CDM1" s="1">
        <f t="shared" si="33"/>
        <v>2145</v>
      </c>
      <c r="CDN1" s="1">
        <f t="shared" si="33"/>
        <v>2146</v>
      </c>
      <c r="CDO1" s="1">
        <f t="shared" si="33"/>
        <v>2147</v>
      </c>
      <c r="CDP1" s="1">
        <f t="shared" si="33"/>
        <v>2148</v>
      </c>
      <c r="CDQ1" s="1">
        <f t="shared" si="33"/>
        <v>2149</v>
      </c>
      <c r="CDR1" s="1">
        <f t="shared" si="33"/>
        <v>2150</v>
      </c>
      <c r="CDS1" s="1">
        <f t="shared" si="33"/>
        <v>2151</v>
      </c>
      <c r="CDT1" s="1">
        <f t="shared" si="33"/>
        <v>2152</v>
      </c>
      <c r="CDU1" s="1">
        <f t="shared" si="33"/>
        <v>2153</v>
      </c>
      <c r="CDV1" s="1">
        <f t="shared" si="33"/>
        <v>2154</v>
      </c>
      <c r="CDW1" s="1">
        <f t="shared" si="33"/>
        <v>2155</v>
      </c>
      <c r="CDX1" s="1">
        <f t="shared" si="33"/>
        <v>2156</v>
      </c>
      <c r="CDY1" s="1">
        <f t="shared" si="33"/>
        <v>2157</v>
      </c>
      <c r="CDZ1" s="42">
        <f t="shared" si="33"/>
        <v>2158</v>
      </c>
      <c r="CEA1" s="1">
        <f t="shared" si="33"/>
        <v>2159</v>
      </c>
      <c r="CEB1" s="1">
        <f t="shared" si="33"/>
        <v>2160</v>
      </c>
      <c r="CEC1" s="1">
        <f t="shared" si="33"/>
        <v>2161</v>
      </c>
      <c r="CED1" s="1">
        <f t="shared" si="33"/>
        <v>2162</v>
      </c>
      <c r="CEE1" s="1">
        <f t="shared" si="33"/>
        <v>2163</v>
      </c>
      <c r="CEF1" s="1">
        <f t="shared" si="33"/>
        <v>2164</v>
      </c>
      <c r="CEG1" s="1">
        <f t="shared" si="33"/>
        <v>2165</v>
      </c>
      <c r="CEH1" s="1">
        <f t="shared" si="33"/>
        <v>2166</v>
      </c>
      <c r="CEI1" s="1">
        <f t="shared" si="33"/>
        <v>2167</v>
      </c>
      <c r="CEJ1" s="1">
        <f t="shared" si="33"/>
        <v>2168</v>
      </c>
      <c r="CEK1" s="1">
        <f t="shared" si="33"/>
        <v>2169</v>
      </c>
      <c r="CEL1" s="1">
        <f t="shared" si="33"/>
        <v>2170</v>
      </c>
      <c r="CEM1" s="1">
        <f t="shared" si="33"/>
        <v>2171</v>
      </c>
      <c r="CEN1" s="1">
        <f t="shared" si="33"/>
        <v>2172</v>
      </c>
      <c r="CEO1" s="1">
        <f t="shared" si="33"/>
        <v>2173</v>
      </c>
      <c r="CEP1" s="1">
        <f t="shared" si="33"/>
        <v>2174</v>
      </c>
      <c r="CEQ1" s="1">
        <f t="shared" si="33"/>
        <v>2175</v>
      </c>
      <c r="CER1" s="1">
        <f t="shared" si="33"/>
        <v>2176</v>
      </c>
      <c r="CES1" s="1">
        <f t="shared" si="33"/>
        <v>2177</v>
      </c>
      <c r="CET1" s="1">
        <f t="shared" si="33"/>
        <v>2178</v>
      </c>
      <c r="CEU1" s="1">
        <f t="shared" ref="CEU1:CHF1" si="34">CET1+1</f>
        <v>2179</v>
      </c>
      <c r="CEV1" s="1">
        <f t="shared" si="34"/>
        <v>2180</v>
      </c>
      <c r="CEW1" s="1">
        <f t="shared" si="34"/>
        <v>2181</v>
      </c>
      <c r="CEX1" s="1">
        <f t="shared" si="34"/>
        <v>2182</v>
      </c>
      <c r="CEY1" s="1">
        <f t="shared" si="34"/>
        <v>2183</v>
      </c>
      <c r="CEZ1" s="1">
        <f t="shared" si="34"/>
        <v>2184</v>
      </c>
      <c r="CFA1" s="1">
        <f t="shared" si="34"/>
        <v>2185</v>
      </c>
      <c r="CFB1" s="1">
        <f t="shared" si="34"/>
        <v>2186</v>
      </c>
      <c r="CFC1" s="1">
        <f t="shared" si="34"/>
        <v>2187</v>
      </c>
      <c r="CFD1" s="1">
        <f t="shared" si="34"/>
        <v>2188</v>
      </c>
      <c r="CFE1" s="1">
        <f t="shared" si="34"/>
        <v>2189</v>
      </c>
      <c r="CFF1" s="1">
        <f t="shared" si="34"/>
        <v>2190</v>
      </c>
      <c r="CFG1" s="1">
        <f t="shared" si="34"/>
        <v>2191</v>
      </c>
      <c r="CFH1" s="1">
        <f t="shared" si="34"/>
        <v>2192</v>
      </c>
      <c r="CFI1" s="1">
        <f t="shared" si="34"/>
        <v>2193</v>
      </c>
      <c r="CFJ1" s="1">
        <f t="shared" si="34"/>
        <v>2194</v>
      </c>
      <c r="CFK1" s="1">
        <f t="shared" si="34"/>
        <v>2195</v>
      </c>
      <c r="CFL1" s="1">
        <f t="shared" si="34"/>
        <v>2196</v>
      </c>
      <c r="CFM1" s="1">
        <f t="shared" si="34"/>
        <v>2197</v>
      </c>
      <c r="CFN1" s="1">
        <f t="shared" si="34"/>
        <v>2198</v>
      </c>
      <c r="CFO1" s="1">
        <f t="shared" si="34"/>
        <v>2199</v>
      </c>
      <c r="CFP1" s="1">
        <f t="shared" si="34"/>
        <v>2200</v>
      </c>
      <c r="CFQ1" s="1">
        <f t="shared" si="34"/>
        <v>2201</v>
      </c>
      <c r="CFR1" s="42">
        <f t="shared" si="34"/>
        <v>2202</v>
      </c>
      <c r="CFS1" s="1">
        <f t="shared" si="34"/>
        <v>2203</v>
      </c>
      <c r="CFT1" s="1">
        <f t="shared" si="34"/>
        <v>2204</v>
      </c>
      <c r="CFU1" s="1">
        <f t="shared" si="34"/>
        <v>2205</v>
      </c>
      <c r="CFV1" s="1">
        <f t="shared" si="34"/>
        <v>2206</v>
      </c>
      <c r="CFW1" s="1">
        <f t="shared" si="34"/>
        <v>2207</v>
      </c>
      <c r="CFX1" s="1">
        <f t="shared" si="34"/>
        <v>2208</v>
      </c>
      <c r="CFY1" s="1">
        <f t="shared" si="34"/>
        <v>2209</v>
      </c>
      <c r="CFZ1" s="1">
        <f t="shared" si="34"/>
        <v>2210</v>
      </c>
      <c r="CGA1" s="1">
        <f t="shared" si="34"/>
        <v>2211</v>
      </c>
      <c r="CGB1" s="1">
        <f t="shared" si="34"/>
        <v>2212</v>
      </c>
      <c r="CGC1" s="1">
        <f t="shared" si="34"/>
        <v>2213</v>
      </c>
      <c r="CGD1" s="1">
        <f t="shared" si="34"/>
        <v>2214</v>
      </c>
      <c r="CGE1" s="1">
        <f t="shared" si="34"/>
        <v>2215</v>
      </c>
      <c r="CGF1" s="1">
        <f t="shared" si="34"/>
        <v>2216</v>
      </c>
      <c r="CGG1" s="1">
        <f t="shared" si="34"/>
        <v>2217</v>
      </c>
      <c r="CGH1" s="1">
        <f t="shared" si="34"/>
        <v>2218</v>
      </c>
      <c r="CGI1" s="1">
        <f t="shared" si="34"/>
        <v>2219</v>
      </c>
      <c r="CGJ1" s="1">
        <f t="shared" si="34"/>
        <v>2220</v>
      </c>
      <c r="CGK1" s="1">
        <f t="shared" si="34"/>
        <v>2221</v>
      </c>
      <c r="CGL1" s="1">
        <f t="shared" si="34"/>
        <v>2222</v>
      </c>
      <c r="CGM1" s="1">
        <f t="shared" si="34"/>
        <v>2223</v>
      </c>
      <c r="CGN1" s="1">
        <f t="shared" si="34"/>
        <v>2224</v>
      </c>
      <c r="CGO1" s="1">
        <f t="shared" si="34"/>
        <v>2225</v>
      </c>
      <c r="CGP1" s="1">
        <f t="shared" si="34"/>
        <v>2226</v>
      </c>
      <c r="CGQ1" s="1">
        <f t="shared" si="34"/>
        <v>2227</v>
      </c>
      <c r="CGR1" s="1">
        <f t="shared" si="34"/>
        <v>2228</v>
      </c>
      <c r="CGS1" s="1">
        <f t="shared" si="34"/>
        <v>2229</v>
      </c>
      <c r="CGT1" s="1">
        <f t="shared" si="34"/>
        <v>2230</v>
      </c>
      <c r="CGU1" s="1">
        <f t="shared" si="34"/>
        <v>2231</v>
      </c>
      <c r="CGV1" s="1">
        <f t="shared" si="34"/>
        <v>2232</v>
      </c>
      <c r="CGW1" s="1">
        <f t="shared" si="34"/>
        <v>2233</v>
      </c>
      <c r="CGX1" s="1">
        <f t="shared" si="34"/>
        <v>2234</v>
      </c>
      <c r="CGY1" s="1">
        <f t="shared" si="34"/>
        <v>2235</v>
      </c>
      <c r="CGZ1" s="1">
        <f t="shared" si="34"/>
        <v>2236</v>
      </c>
      <c r="CHA1" s="1">
        <f t="shared" si="34"/>
        <v>2237</v>
      </c>
      <c r="CHB1" s="1">
        <f t="shared" si="34"/>
        <v>2238</v>
      </c>
      <c r="CHC1" s="1">
        <f t="shared" si="34"/>
        <v>2239</v>
      </c>
      <c r="CHD1" s="1">
        <f t="shared" si="34"/>
        <v>2240</v>
      </c>
      <c r="CHE1" s="1">
        <f t="shared" si="34"/>
        <v>2241</v>
      </c>
      <c r="CHF1" s="1">
        <f t="shared" si="34"/>
        <v>2242</v>
      </c>
      <c r="CHG1" s="1">
        <f t="shared" ref="CHG1:CJR1" si="35">CHF1+1</f>
        <v>2243</v>
      </c>
      <c r="CHH1" s="1">
        <f t="shared" si="35"/>
        <v>2244</v>
      </c>
      <c r="CHI1" s="1">
        <f t="shared" si="35"/>
        <v>2245</v>
      </c>
      <c r="CHJ1" s="42">
        <f t="shared" si="35"/>
        <v>2246</v>
      </c>
      <c r="CHK1" s="1">
        <f t="shared" si="35"/>
        <v>2247</v>
      </c>
      <c r="CHL1" s="1">
        <f t="shared" si="35"/>
        <v>2248</v>
      </c>
      <c r="CHM1" s="1">
        <f t="shared" si="35"/>
        <v>2249</v>
      </c>
      <c r="CHN1" s="1">
        <f t="shared" si="35"/>
        <v>2250</v>
      </c>
      <c r="CHO1" s="1">
        <f t="shared" si="35"/>
        <v>2251</v>
      </c>
      <c r="CHP1" s="1">
        <f t="shared" si="35"/>
        <v>2252</v>
      </c>
      <c r="CHQ1" s="1">
        <f t="shared" si="35"/>
        <v>2253</v>
      </c>
      <c r="CHR1" s="1">
        <f t="shared" si="35"/>
        <v>2254</v>
      </c>
      <c r="CHS1" s="1">
        <f t="shared" si="35"/>
        <v>2255</v>
      </c>
      <c r="CHT1" s="1">
        <f t="shared" si="35"/>
        <v>2256</v>
      </c>
      <c r="CHU1" s="1">
        <f t="shared" si="35"/>
        <v>2257</v>
      </c>
      <c r="CHV1" s="1">
        <f t="shared" si="35"/>
        <v>2258</v>
      </c>
      <c r="CHW1" s="1">
        <f t="shared" si="35"/>
        <v>2259</v>
      </c>
      <c r="CHX1" s="1">
        <f t="shared" si="35"/>
        <v>2260</v>
      </c>
      <c r="CHY1" s="1">
        <f t="shared" si="35"/>
        <v>2261</v>
      </c>
      <c r="CHZ1" s="1">
        <f t="shared" si="35"/>
        <v>2262</v>
      </c>
      <c r="CIA1" s="1">
        <f t="shared" si="35"/>
        <v>2263</v>
      </c>
      <c r="CIB1" s="1">
        <f t="shared" si="35"/>
        <v>2264</v>
      </c>
      <c r="CIC1" s="1">
        <f t="shared" si="35"/>
        <v>2265</v>
      </c>
      <c r="CID1" s="1">
        <f t="shared" si="35"/>
        <v>2266</v>
      </c>
      <c r="CIE1" s="1">
        <f t="shared" si="35"/>
        <v>2267</v>
      </c>
      <c r="CIF1" s="1">
        <f t="shared" si="35"/>
        <v>2268</v>
      </c>
      <c r="CIG1" s="1">
        <f t="shared" si="35"/>
        <v>2269</v>
      </c>
      <c r="CIH1" s="1">
        <f t="shared" si="35"/>
        <v>2270</v>
      </c>
      <c r="CII1" s="1">
        <f t="shared" si="35"/>
        <v>2271</v>
      </c>
      <c r="CIJ1" s="1">
        <f t="shared" si="35"/>
        <v>2272</v>
      </c>
      <c r="CIK1" s="1">
        <f t="shared" si="35"/>
        <v>2273</v>
      </c>
      <c r="CIL1" s="1">
        <f t="shared" si="35"/>
        <v>2274</v>
      </c>
      <c r="CIM1" s="1">
        <f t="shared" si="35"/>
        <v>2275</v>
      </c>
      <c r="CIN1" s="1">
        <f t="shared" si="35"/>
        <v>2276</v>
      </c>
      <c r="CIO1" s="1">
        <f t="shared" si="35"/>
        <v>2277</v>
      </c>
      <c r="CIP1" s="1">
        <f t="shared" si="35"/>
        <v>2278</v>
      </c>
      <c r="CIQ1" s="1">
        <f t="shared" si="35"/>
        <v>2279</v>
      </c>
      <c r="CIR1" s="1">
        <f t="shared" si="35"/>
        <v>2280</v>
      </c>
      <c r="CIS1" s="1">
        <f t="shared" si="35"/>
        <v>2281</v>
      </c>
      <c r="CIT1" s="1">
        <f t="shared" si="35"/>
        <v>2282</v>
      </c>
      <c r="CIU1" s="1">
        <f t="shared" si="35"/>
        <v>2283</v>
      </c>
      <c r="CIV1" s="1">
        <f t="shared" si="35"/>
        <v>2284</v>
      </c>
      <c r="CIW1" s="1">
        <f t="shared" si="35"/>
        <v>2285</v>
      </c>
      <c r="CIX1" s="1">
        <f t="shared" si="35"/>
        <v>2286</v>
      </c>
      <c r="CIY1" s="1">
        <f t="shared" si="35"/>
        <v>2287</v>
      </c>
      <c r="CIZ1" s="1">
        <f t="shared" si="35"/>
        <v>2288</v>
      </c>
      <c r="CJA1" s="1">
        <f t="shared" si="35"/>
        <v>2289</v>
      </c>
      <c r="CJB1" s="42">
        <f t="shared" si="35"/>
        <v>2290</v>
      </c>
      <c r="CJC1" s="1">
        <f t="shared" si="35"/>
        <v>2291</v>
      </c>
      <c r="CJD1" s="1">
        <f t="shared" si="35"/>
        <v>2292</v>
      </c>
      <c r="CJE1" s="1">
        <f t="shared" si="35"/>
        <v>2293</v>
      </c>
      <c r="CJF1" s="1">
        <f t="shared" si="35"/>
        <v>2294</v>
      </c>
      <c r="CJG1" s="1">
        <f t="shared" si="35"/>
        <v>2295</v>
      </c>
      <c r="CJH1" s="1">
        <f t="shared" si="35"/>
        <v>2296</v>
      </c>
      <c r="CJI1" s="1">
        <f t="shared" si="35"/>
        <v>2297</v>
      </c>
      <c r="CJJ1" s="1">
        <f t="shared" si="35"/>
        <v>2298</v>
      </c>
      <c r="CJK1" s="1">
        <f t="shared" si="35"/>
        <v>2299</v>
      </c>
      <c r="CJL1" s="1">
        <f t="shared" si="35"/>
        <v>2300</v>
      </c>
      <c r="CJM1" s="1">
        <f t="shared" si="35"/>
        <v>2301</v>
      </c>
      <c r="CJN1" s="1">
        <f t="shared" si="35"/>
        <v>2302</v>
      </c>
      <c r="CJO1" s="1">
        <f t="shared" si="35"/>
        <v>2303</v>
      </c>
      <c r="CJP1" s="1">
        <f t="shared" si="35"/>
        <v>2304</v>
      </c>
      <c r="CJQ1" s="1">
        <f t="shared" si="35"/>
        <v>2305</v>
      </c>
      <c r="CJR1" s="1">
        <f t="shared" si="35"/>
        <v>2306</v>
      </c>
      <c r="CJS1" s="1">
        <f t="shared" ref="CJS1:CMD1" si="36">CJR1+1</f>
        <v>2307</v>
      </c>
      <c r="CJT1" s="1">
        <f t="shared" si="36"/>
        <v>2308</v>
      </c>
      <c r="CJU1" s="1">
        <f t="shared" si="36"/>
        <v>2309</v>
      </c>
      <c r="CJV1" s="1">
        <f t="shared" si="36"/>
        <v>2310</v>
      </c>
      <c r="CJW1" s="1">
        <f t="shared" si="36"/>
        <v>2311</v>
      </c>
      <c r="CJX1" s="1">
        <f t="shared" si="36"/>
        <v>2312</v>
      </c>
      <c r="CJY1" s="1">
        <f t="shared" si="36"/>
        <v>2313</v>
      </c>
      <c r="CJZ1" s="1">
        <f t="shared" si="36"/>
        <v>2314</v>
      </c>
      <c r="CKA1" s="1">
        <f t="shared" si="36"/>
        <v>2315</v>
      </c>
      <c r="CKB1" s="1">
        <f t="shared" si="36"/>
        <v>2316</v>
      </c>
      <c r="CKC1" s="1">
        <f t="shared" si="36"/>
        <v>2317</v>
      </c>
      <c r="CKD1" s="1">
        <f t="shared" si="36"/>
        <v>2318</v>
      </c>
      <c r="CKE1" s="1">
        <f t="shared" si="36"/>
        <v>2319</v>
      </c>
      <c r="CKF1" s="1">
        <f t="shared" si="36"/>
        <v>2320</v>
      </c>
      <c r="CKG1" s="1">
        <f t="shared" si="36"/>
        <v>2321</v>
      </c>
      <c r="CKH1" s="1">
        <f t="shared" si="36"/>
        <v>2322</v>
      </c>
      <c r="CKI1" s="1">
        <f t="shared" si="36"/>
        <v>2323</v>
      </c>
      <c r="CKJ1" s="1">
        <f t="shared" si="36"/>
        <v>2324</v>
      </c>
      <c r="CKK1" s="1">
        <f t="shared" si="36"/>
        <v>2325</v>
      </c>
      <c r="CKL1" s="1">
        <f t="shared" si="36"/>
        <v>2326</v>
      </c>
      <c r="CKM1" s="1">
        <f t="shared" si="36"/>
        <v>2327</v>
      </c>
      <c r="CKN1" s="1">
        <f t="shared" si="36"/>
        <v>2328</v>
      </c>
      <c r="CKO1" s="1">
        <f t="shared" si="36"/>
        <v>2329</v>
      </c>
      <c r="CKP1" s="1">
        <f t="shared" si="36"/>
        <v>2330</v>
      </c>
      <c r="CKQ1" s="1">
        <f t="shared" si="36"/>
        <v>2331</v>
      </c>
      <c r="CKR1" s="1">
        <f t="shared" si="36"/>
        <v>2332</v>
      </c>
      <c r="CKS1" s="1">
        <f t="shared" si="36"/>
        <v>2333</v>
      </c>
      <c r="CKT1" s="42">
        <f t="shared" si="36"/>
        <v>2334</v>
      </c>
      <c r="CKU1" s="1">
        <f t="shared" si="36"/>
        <v>2335</v>
      </c>
      <c r="CKV1" s="1">
        <f t="shared" si="36"/>
        <v>2336</v>
      </c>
      <c r="CKW1" s="1">
        <f t="shared" si="36"/>
        <v>2337</v>
      </c>
      <c r="CKX1" s="1">
        <f t="shared" si="36"/>
        <v>2338</v>
      </c>
      <c r="CKY1" s="1">
        <f t="shared" si="36"/>
        <v>2339</v>
      </c>
      <c r="CKZ1" s="1">
        <f t="shared" si="36"/>
        <v>2340</v>
      </c>
      <c r="CLA1" s="1">
        <f t="shared" si="36"/>
        <v>2341</v>
      </c>
      <c r="CLB1" s="1">
        <f t="shared" si="36"/>
        <v>2342</v>
      </c>
      <c r="CLC1" s="1">
        <f t="shared" si="36"/>
        <v>2343</v>
      </c>
      <c r="CLD1" s="1">
        <f t="shared" si="36"/>
        <v>2344</v>
      </c>
      <c r="CLE1" s="1">
        <f t="shared" si="36"/>
        <v>2345</v>
      </c>
      <c r="CLF1" s="1">
        <f t="shared" si="36"/>
        <v>2346</v>
      </c>
      <c r="CLG1" s="1">
        <f t="shared" si="36"/>
        <v>2347</v>
      </c>
      <c r="CLH1" s="1">
        <f t="shared" si="36"/>
        <v>2348</v>
      </c>
      <c r="CLI1" s="1">
        <f t="shared" si="36"/>
        <v>2349</v>
      </c>
      <c r="CLJ1" s="1">
        <f t="shared" si="36"/>
        <v>2350</v>
      </c>
      <c r="CLK1" s="1">
        <f t="shared" si="36"/>
        <v>2351</v>
      </c>
      <c r="CLL1" s="1">
        <f t="shared" si="36"/>
        <v>2352</v>
      </c>
      <c r="CLM1" s="1">
        <f t="shared" si="36"/>
        <v>2353</v>
      </c>
      <c r="CLN1" s="1">
        <f t="shared" si="36"/>
        <v>2354</v>
      </c>
      <c r="CLO1" s="1">
        <f t="shared" si="36"/>
        <v>2355</v>
      </c>
      <c r="CLP1" s="1">
        <f t="shared" si="36"/>
        <v>2356</v>
      </c>
      <c r="CLQ1" s="1">
        <f t="shared" si="36"/>
        <v>2357</v>
      </c>
      <c r="CLR1" s="1">
        <f t="shared" si="36"/>
        <v>2358</v>
      </c>
      <c r="CLS1" s="1">
        <f t="shared" si="36"/>
        <v>2359</v>
      </c>
      <c r="CLT1" s="1">
        <f t="shared" si="36"/>
        <v>2360</v>
      </c>
      <c r="CLU1" s="1">
        <f t="shared" si="36"/>
        <v>2361</v>
      </c>
      <c r="CLV1" s="1">
        <f t="shared" si="36"/>
        <v>2362</v>
      </c>
      <c r="CLW1" s="1">
        <f t="shared" si="36"/>
        <v>2363</v>
      </c>
      <c r="CLX1" s="1">
        <f t="shared" si="36"/>
        <v>2364</v>
      </c>
      <c r="CLY1" s="1">
        <f t="shared" si="36"/>
        <v>2365</v>
      </c>
      <c r="CLZ1" s="1">
        <f t="shared" si="36"/>
        <v>2366</v>
      </c>
      <c r="CMA1" s="1">
        <f t="shared" si="36"/>
        <v>2367</v>
      </c>
      <c r="CMB1" s="1">
        <f t="shared" si="36"/>
        <v>2368</v>
      </c>
      <c r="CMC1" s="1">
        <f t="shared" si="36"/>
        <v>2369</v>
      </c>
      <c r="CMD1" s="1">
        <f t="shared" si="36"/>
        <v>2370</v>
      </c>
      <c r="CME1" s="1">
        <f t="shared" ref="CME1:COP1" si="37">CMD1+1</f>
        <v>2371</v>
      </c>
      <c r="CMF1" s="1">
        <f t="shared" si="37"/>
        <v>2372</v>
      </c>
      <c r="CMG1" s="1">
        <f t="shared" si="37"/>
        <v>2373</v>
      </c>
      <c r="CMH1" s="1">
        <f t="shared" si="37"/>
        <v>2374</v>
      </c>
      <c r="CMI1" s="1">
        <f t="shared" si="37"/>
        <v>2375</v>
      </c>
      <c r="CMJ1" s="1">
        <f t="shared" si="37"/>
        <v>2376</v>
      </c>
      <c r="CMK1" s="1">
        <f t="shared" si="37"/>
        <v>2377</v>
      </c>
      <c r="CML1" s="42">
        <f t="shared" si="37"/>
        <v>2378</v>
      </c>
      <c r="CMM1" s="1">
        <f t="shared" si="37"/>
        <v>2379</v>
      </c>
      <c r="CMN1" s="1">
        <f t="shared" si="37"/>
        <v>2380</v>
      </c>
      <c r="CMO1" s="1">
        <f t="shared" si="37"/>
        <v>2381</v>
      </c>
      <c r="CMP1" s="1">
        <f t="shared" si="37"/>
        <v>2382</v>
      </c>
      <c r="CMQ1" s="1">
        <f t="shared" si="37"/>
        <v>2383</v>
      </c>
      <c r="CMR1" s="1">
        <f t="shared" si="37"/>
        <v>2384</v>
      </c>
      <c r="CMS1" s="1">
        <f t="shared" si="37"/>
        <v>2385</v>
      </c>
      <c r="CMT1" s="1">
        <f t="shared" si="37"/>
        <v>2386</v>
      </c>
      <c r="CMU1" s="1">
        <f t="shared" si="37"/>
        <v>2387</v>
      </c>
      <c r="CMV1" s="1">
        <f t="shared" si="37"/>
        <v>2388</v>
      </c>
      <c r="CMW1" s="1">
        <f t="shared" si="37"/>
        <v>2389</v>
      </c>
      <c r="CMX1" s="1">
        <f t="shared" si="37"/>
        <v>2390</v>
      </c>
      <c r="CMY1" s="1">
        <f t="shared" si="37"/>
        <v>2391</v>
      </c>
      <c r="CMZ1" s="1">
        <f t="shared" si="37"/>
        <v>2392</v>
      </c>
      <c r="CNA1" s="1">
        <f t="shared" si="37"/>
        <v>2393</v>
      </c>
      <c r="CNB1" s="1">
        <f t="shared" si="37"/>
        <v>2394</v>
      </c>
      <c r="CNC1" s="1">
        <f t="shared" si="37"/>
        <v>2395</v>
      </c>
      <c r="CND1" s="1">
        <f t="shared" si="37"/>
        <v>2396</v>
      </c>
      <c r="CNE1" s="1">
        <f t="shared" si="37"/>
        <v>2397</v>
      </c>
      <c r="CNF1" s="1">
        <f t="shared" si="37"/>
        <v>2398</v>
      </c>
      <c r="CNG1" s="1">
        <f t="shared" si="37"/>
        <v>2399</v>
      </c>
      <c r="CNH1" s="1">
        <f t="shared" si="37"/>
        <v>2400</v>
      </c>
      <c r="CNI1" s="1">
        <f t="shared" si="37"/>
        <v>2401</v>
      </c>
      <c r="CNJ1" s="1">
        <f t="shared" si="37"/>
        <v>2402</v>
      </c>
      <c r="CNK1" s="1">
        <f t="shared" si="37"/>
        <v>2403</v>
      </c>
      <c r="CNL1" s="1">
        <f t="shared" si="37"/>
        <v>2404</v>
      </c>
      <c r="CNM1" s="1">
        <f t="shared" si="37"/>
        <v>2405</v>
      </c>
      <c r="CNN1" s="1">
        <f t="shared" si="37"/>
        <v>2406</v>
      </c>
      <c r="CNO1" s="1">
        <f t="shared" si="37"/>
        <v>2407</v>
      </c>
      <c r="CNP1" s="1">
        <f t="shared" si="37"/>
        <v>2408</v>
      </c>
      <c r="CNQ1" s="1">
        <f t="shared" si="37"/>
        <v>2409</v>
      </c>
      <c r="CNR1" s="1">
        <f t="shared" si="37"/>
        <v>2410</v>
      </c>
      <c r="CNS1" s="1">
        <f t="shared" si="37"/>
        <v>2411</v>
      </c>
      <c r="CNT1" s="1">
        <f t="shared" si="37"/>
        <v>2412</v>
      </c>
      <c r="CNU1" s="1">
        <f t="shared" si="37"/>
        <v>2413</v>
      </c>
      <c r="CNV1" s="1">
        <f t="shared" si="37"/>
        <v>2414</v>
      </c>
      <c r="CNW1" s="1">
        <f t="shared" si="37"/>
        <v>2415</v>
      </c>
      <c r="CNX1" s="1">
        <f t="shared" si="37"/>
        <v>2416</v>
      </c>
      <c r="CNY1" s="1">
        <f t="shared" si="37"/>
        <v>2417</v>
      </c>
      <c r="CNZ1" s="1">
        <f t="shared" si="37"/>
        <v>2418</v>
      </c>
      <c r="COA1" s="1">
        <f t="shared" si="37"/>
        <v>2419</v>
      </c>
      <c r="COB1" s="1">
        <f t="shared" si="37"/>
        <v>2420</v>
      </c>
      <c r="COC1" s="1">
        <f t="shared" si="37"/>
        <v>2421</v>
      </c>
      <c r="COD1" s="42">
        <f t="shared" si="37"/>
        <v>2422</v>
      </c>
      <c r="COE1" s="1">
        <f t="shared" si="37"/>
        <v>2423</v>
      </c>
      <c r="COF1" s="1">
        <f t="shared" si="37"/>
        <v>2424</v>
      </c>
      <c r="COG1" s="1">
        <f t="shared" si="37"/>
        <v>2425</v>
      </c>
      <c r="COH1" s="1">
        <f t="shared" si="37"/>
        <v>2426</v>
      </c>
      <c r="COI1" s="1">
        <f t="shared" si="37"/>
        <v>2427</v>
      </c>
      <c r="COJ1" s="1">
        <f t="shared" si="37"/>
        <v>2428</v>
      </c>
      <c r="COK1" s="1">
        <f t="shared" si="37"/>
        <v>2429</v>
      </c>
      <c r="COL1" s="1">
        <f t="shared" si="37"/>
        <v>2430</v>
      </c>
      <c r="COM1" s="1">
        <f t="shared" si="37"/>
        <v>2431</v>
      </c>
      <c r="CON1" s="1">
        <f t="shared" si="37"/>
        <v>2432</v>
      </c>
      <c r="COO1" s="1">
        <f t="shared" si="37"/>
        <v>2433</v>
      </c>
      <c r="COP1" s="1">
        <f t="shared" si="37"/>
        <v>2434</v>
      </c>
      <c r="COQ1" s="1">
        <f t="shared" ref="COQ1:CRB1" si="38">COP1+1</f>
        <v>2435</v>
      </c>
      <c r="COR1" s="1">
        <f t="shared" si="38"/>
        <v>2436</v>
      </c>
      <c r="COS1" s="1">
        <f t="shared" si="38"/>
        <v>2437</v>
      </c>
      <c r="COT1" s="1">
        <f t="shared" si="38"/>
        <v>2438</v>
      </c>
      <c r="COU1" s="1">
        <f t="shared" si="38"/>
        <v>2439</v>
      </c>
      <c r="COV1" s="1">
        <f t="shared" si="38"/>
        <v>2440</v>
      </c>
      <c r="COW1" s="1">
        <f t="shared" si="38"/>
        <v>2441</v>
      </c>
      <c r="COX1" s="1">
        <f t="shared" si="38"/>
        <v>2442</v>
      </c>
      <c r="COY1" s="1">
        <f t="shared" si="38"/>
        <v>2443</v>
      </c>
      <c r="COZ1" s="1">
        <f t="shared" si="38"/>
        <v>2444</v>
      </c>
      <c r="CPA1" s="1">
        <f t="shared" si="38"/>
        <v>2445</v>
      </c>
      <c r="CPB1" s="1">
        <f t="shared" si="38"/>
        <v>2446</v>
      </c>
      <c r="CPC1" s="1">
        <f t="shared" si="38"/>
        <v>2447</v>
      </c>
      <c r="CPD1" s="1">
        <f t="shared" si="38"/>
        <v>2448</v>
      </c>
      <c r="CPE1" s="1">
        <f t="shared" si="38"/>
        <v>2449</v>
      </c>
      <c r="CPF1" s="1">
        <f t="shared" si="38"/>
        <v>2450</v>
      </c>
      <c r="CPG1" s="1">
        <f t="shared" si="38"/>
        <v>2451</v>
      </c>
      <c r="CPH1" s="1">
        <f t="shared" si="38"/>
        <v>2452</v>
      </c>
      <c r="CPI1" s="1">
        <f t="shared" si="38"/>
        <v>2453</v>
      </c>
      <c r="CPJ1" s="1">
        <f t="shared" si="38"/>
        <v>2454</v>
      </c>
      <c r="CPK1" s="1">
        <f t="shared" si="38"/>
        <v>2455</v>
      </c>
      <c r="CPL1" s="1">
        <f t="shared" si="38"/>
        <v>2456</v>
      </c>
      <c r="CPM1" s="1">
        <f t="shared" si="38"/>
        <v>2457</v>
      </c>
      <c r="CPN1" s="1">
        <f t="shared" si="38"/>
        <v>2458</v>
      </c>
      <c r="CPO1" s="1">
        <f t="shared" si="38"/>
        <v>2459</v>
      </c>
      <c r="CPP1" s="1">
        <f t="shared" si="38"/>
        <v>2460</v>
      </c>
      <c r="CPQ1" s="1">
        <f t="shared" si="38"/>
        <v>2461</v>
      </c>
      <c r="CPR1" s="1">
        <f t="shared" si="38"/>
        <v>2462</v>
      </c>
      <c r="CPS1" s="1">
        <f t="shared" si="38"/>
        <v>2463</v>
      </c>
      <c r="CPT1" s="1">
        <f t="shared" si="38"/>
        <v>2464</v>
      </c>
      <c r="CPU1" s="1">
        <f t="shared" si="38"/>
        <v>2465</v>
      </c>
      <c r="CPV1" s="42">
        <f t="shared" si="38"/>
        <v>2466</v>
      </c>
      <c r="CPW1" s="1">
        <f t="shared" si="38"/>
        <v>2467</v>
      </c>
      <c r="CPX1" s="1">
        <f t="shared" si="38"/>
        <v>2468</v>
      </c>
      <c r="CPY1" s="1">
        <f t="shared" si="38"/>
        <v>2469</v>
      </c>
      <c r="CPZ1" s="1">
        <f t="shared" si="38"/>
        <v>2470</v>
      </c>
      <c r="CQA1" s="1">
        <f t="shared" si="38"/>
        <v>2471</v>
      </c>
      <c r="CQB1" s="1">
        <f t="shared" si="38"/>
        <v>2472</v>
      </c>
      <c r="CQC1" s="1">
        <f t="shared" si="38"/>
        <v>2473</v>
      </c>
      <c r="CQD1" s="1">
        <f t="shared" si="38"/>
        <v>2474</v>
      </c>
      <c r="CQE1" s="1">
        <f t="shared" si="38"/>
        <v>2475</v>
      </c>
      <c r="CQF1" s="1">
        <f t="shared" si="38"/>
        <v>2476</v>
      </c>
      <c r="CQG1" s="1">
        <f t="shared" si="38"/>
        <v>2477</v>
      </c>
      <c r="CQH1" s="1">
        <f t="shared" si="38"/>
        <v>2478</v>
      </c>
      <c r="CQI1" s="1">
        <f t="shared" si="38"/>
        <v>2479</v>
      </c>
      <c r="CQJ1" s="1">
        <f t="shared" si="38"/>
        <v>2480</v>
      </c>
      <c r="CQK1" s="1">
        <f t="shared" si="38"/>
        <v>2481</v>
      </c>
      <c r="CQL1" s="1">
        <f t="shared" si="38"/>
        <v>2482</v>
      </c>
      <c r="CQM1" s="1">
        <f t="shared" si="38"/>
        <v>2483</v>
      </c>
      <c r="CQN1" s="1">
        <f t="shared" si="38"/>
        <v>2484</v>
      </c>
      <c r="CQO1" s="1">
        <f t="shared" si="38"/>
        <v>2485</v>
      </c>
      <c r="CQP1" s="1">
        <f t="shared" si="38"/>
        <v>2486</v>
      </c>
      <c r="CQQ1" s="1">
        <f t="shared" si="38"/>
        <v>2487</v>
      </c>
      <c r="CQR1" s="1">
        <f t="shared" si="38"/>
        <v>2488</v>
      </c>
      <c r="CQS1" s="1">
        <f t="shared" si="38"/>
        <v>2489</v>
      </c>
      <c r="CQT1" s="1">
        <f t="shared" si="38"/>
        <v>2490</v>
      </c>
      <c r="CQU1" s="1">
        <f t="shared" si="38"/>
        <v>2491</v>
      </c>
      <c r="CQV1" s="1">
        <f t="shared" si="38"/>
        <v>2492</v>
      </c>
      <c r="CQW1" s="1">
        <f t="shared" si="38"/>
        <v>2493</v>
      </c>
      <c r="CQX1" s="1">
        <f t="shared" si="38"/>
        <v>2494</v>
      </c>
      <c r="CQY1" s="1">
        <f t="shared" si="38"/>
        <v>2495</v>
      </c>
      <c r="CQZ1" s="1">
        <f t="shared" si="38"/>
        <v>2496</v>
      </c>
      <c r="CRA1" s="1">
        <f t="shared" si="38"/>
        <v>2497</v>
      </c>
      <c r="CRB1" s="1">
        <f t="shared" si="38"/>
        <v>2498</v>
      </c>
      <c r="CRC1" s="1">
        <f t="shared" ref="CRC1:CTN1" si="39">CRB1+1</f>
        <v>2499</v>
      </c>
      <c r="CRD1" s="1">
        <f t="shared" si="39"/>
        <v>2500</v>
      </c>
      <c r="CRE1" s="1">
        <f t="shared" si="39"/>
        <v>2501</v>
      </c>
      <c r="CRF1" s="1">
        <f t="shared" si="39"/>
        <v>2502</v>
      </c>
      <c r="CRG1" s="1">
        <f t="shared" si="39"/>
        <v>2503</v>
      </c>
      <c r="CRH1" s="1">
        <f t="shared" si="39"/>
        <v>2504</v>
      </c>
      <c r="CRI1" s="1">
        <f t="shared" si="39"/>
        <v>2505</v>
      </c>
      <c r="CRJ1" s="1">
        <f t="shared" si="39"/>
        <v>2506</v>
      </c>
      <c r="CRK1" s="1">
        <f t="shared" si="39"/>
        <v>2507</v>
      </c>
      <c r="CRL1" s="1">
        <f t="shared" si="39"/>
        <v>2508</v>
      </c>
      <c r="CRM1" s="1">
        <f t="shared" si="39"/>
        <v>2509</v>
      </c>
      <c r="CRN1" s="42">
        <f t="shared" si="39"/>
        <v>2510</v>
      </c>
      <c r="CRO1" s="1">
        <f t="shared" si="39"/>
        <v>2511</v>
      </c>
      <c r="CRP1" s="1">
        <f t="shared" si="39"/>
        <v>2512</v>
      </c>
      <c r="CRQ1" s="1">
        <f t="shared" si="39"/>
        <v>2513</v>
      </c>
      <c r="CRR1" s="1">
        <f t="shared" si="39"/>
        <v>2514</v>
      </c>
      <c r="CRS1" s="1">
        <f t="shared" si="39"/>
        <v>2515</v>
      </c>
      <c r="CRT1" s="1">
        <f t="shared" si="39"/>
        <v>2516</v>
      </c>
      <c r="CRU1" s="1">
        <f t="shared" si="39"/>
        <v>2517</v>
      </c>
      <c r="CRV1" s="1">
        <f t="shared" si="39"/>
        <v>2518</v>
      </c>
      <c r="CRW1" s="1">
        <f t="shared" si="39"/>
        <v>2519</v>
      </c>
      <c r="CRX1" s="1">
        <f t="shared" si="39"/>
        <v>2520</v>
      </c>
      <c r="CRY1" s="1">
        <f t="shared" si="39"/>
        <v>2521</v>
      </c>
      <c r="CRZ1" s="1">
        <f t="shared" si="39"/>
        <v>2522</v>
      </c>
      <c r="CSA1" s="1">
        <f t="shared" si="39"/>
        <v>2523</v>
      </c>
      <c r="CSB1" s="1">
        <f t="shared" si="39"/>
        <v>2524</v>
      </c>
      <c r="CSC1" s="1">
        <f t="shared" si="39"/>
        <v>2525</v>
      </c>
      <c r="CSD1" s="1">
        <f t="shared" si="39"/>
        <v>2526</v>
      </c>
      <c r="CSE1" s="1">
        <f t="shared" si="39"/>
        <v>2527</v>
      </c>
      <c r="CSF1" s="1">
        <f t="shared" si="39"/>
        <v>2528</v>
      </c>
      <c r="CSG1" s="1">
        <f t="shared" si="39"/>
        <v>2529</v>
      </c>
      <c r="CSH1" s="1">
        <f t="shared" si="39"/>
        <v>2530</v>
      </c>
      <c r="CSI1" s="1">
        <f t="shared" si="39"/>
        <v>2531</v>
      </c>
      <c r="CSJ1" s="1">
        <f t="shared" si="39"/>
        <v>2532</v>
      </c>
      <c r="CSK1" s="1">
        <f t="shared" si="39"/>
        <v>2533</v>
      </c>
      <c r="CSL1" s="1">
        <f t="shared" si="39"/>
        <v>2534</v>
      </c>
      <c r="CSM1" s="1">
        <f t="shared" si="39"/>
        <v>2535</v>
      </c>
      <c r="CSN1" s="1">
        <f t="shared" si="39"/>
        <v>2536</v>
      </c>
      <c r="CSO1" s="1">
        <f t="shared" si="39"/>
        <v>2537</v>
      </c>
      <c r="CSP1" s="1">
        <f t="shared" si="39"/>
        <v>2538</v>
      </c>
      <c r="CSQ1" s="1">
        <f t="shared" si="39"/>
        <v>2539</v>
      </c>
      <c r="CSR1" s="1">
        <f t="shared" si="39"/>
        <v>2540</v>
      </c>
      <c r="CSS1" s="1">
        <f t="shared" si="39"/>
        <v>2541</v>
      </c>
      <c r="CST1" s="1">
        <f t="shared" si="39"/>
        <v>2542</v>
      </c>
      <c r="CSU1" s="1">
        <f t="shared" si="39"/>
        <v>2543</v>
      </c>
      <c r="CSV1" s="1">
        <f t="shared" si="39"/>
        <v>2544</v>
      </c>
      <c r="CSW1" s="1">
        <f t="shared" si="39"/>
        <v>2545</v>
      </c>
      <c r="CSX1" s="1">
        <f t="shared" si="39"/>
        <v>2546</v>
      </c>
      <c r="CSY1" s="1">
        <f t="shared" si="39"/>
        <v>2547</v>
      </c>
      <c r="CSZ1" s="1">
        <f t="shared" si="39"/>
        <v>2548</v>
      </c>
      <c r="CTA1" s="1">
        <f t="shared" si="39"/>
        <v>2549</v>
      </c>
      <c r="CTB1" s="1">
        <f t="shared" si="39"/>
        <v>2550</v>
      </c>
      <c r="CTC1" s="1">
        <f t="shared" si="39"/>
        <v>2551</v>
      </c>
      <c r="CTD1" s="1">
        <f t="shared" si="39"/>
        <v>2552</v>
      </c>
      <c r="CTE1" s="1">
        <f t="shared" si="39"/>
        <v>2553</v>
      </c>
      <c r="CTF1" s="42">
        <f t="shared" si="39"/>
        <v>2554</v>
      </c>
      <c r="CTG1" s="1">
        <f t="shared" si="39"/>
        <v>2555</v>
      </c>
      <c r="CTH1" s="1">
        <f t="shared" si="39"/>
        <v>2556</v>
      </c>
      <c r="CTI1" s="1">
        <f t="shared" si="39"/>
        <v>2557</v>
      </c>
      <c r="CTJ1" s="1">
        <f t="shared" si="39"/>
        <v>2558</v>
      </c>
      <c r="CTK1" s="1">
        <f t="shared" si="39"/>
        <v>2559</v>
      </c>
      <c r="CTL1" s="1">
        <f t="shared" si="39"/>
        <v>2560</v>
      </c>
      <c r="CTM1" s="1">
        <f t="shared" si="39"/>
        <v>2561</v>
      </c>
      <c r="CTN1" s="1">
        <f t="shared" si="39"/>
        <v>2562</v>
      </c>
      <c r="CTO1" s="1">
        <f t="shared" ref="CTO1:CVZ1" si="40">CTN1+1</f>
        <v>2563</v>
      </c>
      <c r="CTP1" s="1">
        <f t="shared" si="40"/>
        <v>2564</v>
      </c>
      <c r="CTQ1" s="1">
        <f t="shared" si="40"/>
        <v>2565</v>
      </c>
      <c r="CTR1" s="1">
        <f t="shared" si="40"/>
        <v>2566</v>
      </c>
      <c r="CTS1" s="1">
        <f t="shared" si="40"/>
        <v>2567</v>
      </c>
      <c r="CTT1" s="1">
        <f t="shared" si="40"/>
        <v>2568</v>
      </c>
      <c r="CTU1" s="1">
        <f t="shared" si="40"/>
        <v>2569</v>
      </c>
      <c r="CTV1" s="1">
        <f t="shared" si="40"/>
        <v>2570</v>
      </c>
      <c r="CTW1" s="1">
        <f t="shared" si="40"/>
        <v>2571</v>
      </c>
      <c r="CTX1" s="1">
        <f t="shared" si="40"/>
        <v>2572</v>
      </c>
      <c r="CTY1" s="1">
        <f t="shared" si="40"/>
        <v>2573</v>
      </c>
      <c r="CTZ1" s="1">
        <f t="shared" si="40"/>
        <v>2574</v>
      </c>
      <c r="CUA1" s="1">
        <f t="shared" si="40"/>
        <v>2575</v>
      </c>
      <c r="CUB1" s="1">
        <f t="shared" si="40"/>
        <v>2576</v>
      </c>
      <c r="CUC1" s="1">
        <f t="shared" si="40"/>
        <v>2577</v>
      </c>
      <c r="CUD1" s="1">
        <f t="shared" si="40"/>
        <v>2578</v>
      </c>
      <c r="CUE1" s="1">
        <f t="shared" si="40"/>
        <v>2579</v>
      </c>
      <c r="CUF1" s="1">
        <f t="shared" si="40"/>
        <v>2580</v>
      </c>
      <c r="CUG1" s="1">
        <f t="shared" si="40"/>
        <v>2581</v>
      </c>
      <c r="CUH1" s="1">
        <f t="shared" si="40"/>
        <v>2582</v>
      </c>
      <c r="CUI1" s="1">
        <f t="shared" si="40"/>
        <v>2583</v>
      </c>
      <c r="CUJ1" s="1">
        <f t="shared" si="40"/>
        <v>2584</v>
      </c>
      <c r="CUK1" s="1">
        <f t="shared" si="40"/>
        <v>2585</v>
      </c>
      <c r="CUL1" s="1">
        <f t="shared" si="40"/>
        <v>2586</v>
      </c>
      <c r="CUM1" s="1">
        <f t="shared" si="40"/>
        <v>2587</v>
      </c>
      <c r="CUN1" s="1">
        <f t="shared" si="40"/>
        <v>2588</v>
      </c>
      <c r="CUO1" s="1">
        <f t="shared" si="40"/>
        <v>2589</v>
      </c>
      <c r="CUP1" s="1">
        <f t="shared" si="40"/>
        <v>2590</v>
      </c>
      <c r="CUQ1" s="1">
        <f t="shared" si="40"/>
        <v>2591</v>
      </c>
      <c r="CUR1" s="1">
        <f t="shared" si="40"/>
        <v>2592</v>
      </c>
      <c r="CUS1" s="1">
        <f t="shared" si="40"/>
        <v>2593</v>
      </c>
      <c r="CUT1" s="1">
        <f t="shared" si="40"/>
        <v>2594</v>
      </c>
      <c r="CUU1" s="1">
        <f t="shared" si="40"/>
        <v>2595</v>
      </c>
      <c r="CUV1" s="1">
        <f t="shared" si="40"/>
        <v>2596</v>
      </c>
      <c r="CUW1" s="1">
        <f t="shared" si="40"/>
        <v>2597</v>
      </c>
      <c r="CUX1" s="42">
        <f t="shared" si="40"/>
        <v>2598</v>
      </c>
      <c r="CUY1" s="1">
        <f t="shared" si="40"/>
        <v>2599</v>
      </c>
      <c r="CUZ1" s="1">
        <f t="shared" si="40"/>
        <v>2600</v>
      </c>
      <c r="CVA1" s="1">
        <f t="shared" si="40"/>
        <v>2601</v>
      </c>
      <c r="CVB1" s="1">
        <f t="shared" si="40"/>
        <v>2602</v>
      </c>
      <c r="CVC1" s="1">
        <f t="shared" si="40"/>
        <v>2603</v>
      </c>
      <c r="CVD1" s="1">
        <f t="shared" si="40"/>
        <v>2604</v>
      </c>
      <c r="CVE1" s="1">
        <f t="shared" si="40"/>
        <v>2605</v>
      </c>
      <c r="CVF1" s="1">
        <f t="shared" si="40"/>
        <v>2606</v>
      </c>
      <c r="CVG1" s="1">
        <f t="shared" si="40"/>
        <v>2607</v>
      </c>
      <c r="CVH1" s="1">
        <f t="shared" si="40"/>
        <v>2608</v>
      </c>
      <c r="CVI1" s="1">
        <f t="shared" si="40"/>
        <v>2609</v>
      </c>
      <c r="CVJ1" s="1">
        <f t="shared" si="40"/>
        <v>2610</v>
      </c>
      <c r="CVK1" s="1">
        <f t="shared" si="40"/>
        <v>2611</v>
      </c>
      <c r="CVL1" s="1">
        <f t="shared" si="40"/>
        <v>2612</v>
      </c>
      <c r="CVM1" s="1">
        <f t="shared" si="40"/>
        <v>2613</v>
      </c>
      <c r="CVN1" s="1">
        <f t="shared" si="40"/>
        <v>2614</v>
      </c>
      <c r="CVO1" s="1">
        <f t="shared" si="40"/>
        <v>2615</v>
      </c>
      <c r="CVP1" s="1">
        <f t="shared" si="40"/>
        <v>2616</v>
      </c>
      <c r="CVQ1" s="1">
        <f t="shared" si="40"/>
        <v>2617</v>
      </c>
      <c r="CVR1" s="1">
        <f t="shared" si="40"/>
        <v>2618</v>
      </c>
      <c r="CVS1" s="1">
        <f t="shared" si="40"/>
        <v>2619</v>
      </c>
      <c r="CVT1" s="1">
        <f t="shared" si="40"/>
        <v>2620</v>
      </c>
      <c r="CVU1" s="1">
        <f t="shared" si="40"/>
        <v>2621</v>
      </c>
      <c r="CVV1" s="1">
        <f t="shared" si="40"/>
        <v>2622</v>
      </c>
      <c r="CVW1" s="1">
        <f t="shared" si="40"/>
        <v>2623</v>
      </c>
      <c r="CVX1" s="1">
        <f t="shared" si="40"/>
        <v>2624</v>
      </c>
      <c r="CVY1" s="1">
        <f t="shared" si="40"/>
        <v>2625</v>
      </c>
      <c r="CVZ1" s="1">
        <f t="shared" si="40"/>
        <v>2626</v>
      </c>
      <c r="CWA1" s="1">
        <f t="shared" ref="CWA1:CYL1" si="41">CVZ1+1</f>
        <v>2627</v>
      </c>
      <c r="CWB1" s="1">
        <f t="shared" si="41"/>
        <v>2628</v>
      </c>
      <c r="CWC1" s="1">
        <f t="shared" si="41"/>
        <v>2629</v>
      </c>
      <c r="CWD1" s="1">
        <f t="shared" si="41"/>
        <v>2630</v>
      </c>
      <c r="CWE1" s="1">
        <f t="shared" si="41"/>
        <v>2631</v>
      </c>
      <c r="CWF1" s="1">
        <f t="shared" si="41"/>
        <v>2632</v>
      </c>
      <c r="CWG1" s="1">
        <f t="shared" si="41"/>
        <v>2633</v>
      </c>
      <c r="CWH1" s="1">
        <f t="shared" si="41"/>
        <v>2634</v>
      </c>
      <c r="CWI1" s="1">
        <f t="shared" si="41"/>
        <v>2635</v>
      </c>
      <c r="CWJ1" s="1">
        <f t="shared" si="41"/>
        <v>2636</v>
      </c>
      <c r="CWK1" s="1">
        <f t="shared" si="41"/>
        <v>2637</v>
      </c>
      <c r="CWL1" s="1">
        <f t="shared" si="41"/>
        <v>2638</v>
      </c>
      <c r="CWM1" s="1">
        <f t="shared" si="41"/>
        <v>2639</v>
      </c>
      <c r="CWN1" s="1">
        <f t="shared" si="41"/>
        <v>2640</v>
      </c>
      <c r="CWO1" s="1">
        <f t="shared" si="41"/>
        <v>2641</v>
      </c>
      <c r="CWP1" s="42">
        <f t="shared" si="41"/>
        <v>2642</v>
      </c>
      <c r="CWQ1" s="1">
        <f t="shared" si="41"/>
        <v>2643</v>
      </c>
      <c r="CWR1" s="1">
        <f t="shared" si="41"/>
        <v>2644</v>
      </c>
      <c r="CWS1" s="1">
        <f t="shared" si="41"/>
        <v>2645</v>
      </c>
      <c r="CWT1" s="1">
        <f t="shared" si="41"/>
        <v>2646</v>
      </c>
      <c r="CWU1" s="1">
        <f t="shared" si="41"/>
        <v>2647</v>
      </c>
      <c r="CWV1" s="1">
        <f t="shared" si="41"/>
        <v>2648</v>
      </c>
      <c r="CWW1" s="1">
        <f t="shared" si="41"/>
        <v>2649</v>
      </c>
      <c r="CWX1" s="1">
        <f t="shared" si="41"/>
        <v>2650</v>
      </c>
      <c r="CWY1" s="1">
        <f t="shared" si="41"/>
        <v>2651</v>
      </c>
      <c r="CWZ1" s="1">
        <f t="shared" si="41"/>
        <v>2652</v>
      </c>
      <c r="CXA1" s="1">
        <f t="shared" si="41"/>
        <v>2653</v>
      </c>
      <c r="CXB1" s="1">
        <f t="shared" si="41"/>
        <v>2654</v>
      </c>
      <c r="CXC1" s="1">
        <f t="shared" si="41"/>
        <v>2655</v>
      </c>
      <c r="CXD1" s="1">
        <f t="shared" si="41"/>
        <v>2656</v>
      </c>
      <c r="CXE1" s="1">
        <f t="shared" si="41"/>
        <v>2657</v>
      </c>
      <c r="CXF1" s="1">
        <f t="shared" si="41"/>
        <v>2658</v>
      </c>
      <c r="CXG1" s="1">
        <f t="shared" si="41"/>
        <v>2659</v>
      </c>
      <c r="CXH1" s="1">
        <f t="shared" si="41"/>
        <v>2660</v>
      </c>
      <c r="CXI1" s="1">
        <f t="shared" si="41"/>
        <v>2661</v>
      </c>
      <c r="CXJ1" s="1">
        <f t="shared" si="41"/>
        <v>2662</v>
      </c>
      <c r="CXK1" s="1">
        <f t="shared" si="41"/>
        <v>2663</v>
      </c>
      <c r="CXL1" s="1">
        <f t="shared" si="41"/>
        <v>2664</v>
      </c>
      <c r="CXM1" s="1">
        <f t="shared" si="41"/>
        <v>2665</v>
      </c>
      <c r="CXN1" s="1">
        <f t="shared" si="41"/>
        <v>2666</v>
      </c>
      <c r="CXO1" s="1">
        <f t="shared" si="41"/>
        <v>2667</v>
      </c>
      <c r="CXP1" s="1">
        <f t="shared" si="41"/>
        <v>2668</v>
      </c>
      <c r="CXQ1" s="1">
        <f t="shared" si="41"/>
        <v>2669</v>
      </c>
      <c r="CXR1" s="1">
        <f t="shared" si="41"/>
        <v>2670</v>
      </c>
      <c r="CXS1" s="1">
        <f t="shared" si="41"/>
        <v>2671</v>
      </c>
      <c r="CXT1" s="1">
        <f t="shared" si="41"/>
        <v>2672</v>
      </c>
      <c r="CXU1" s="1">
        <f t="shared" si="41"/>
        <v>2673</v>
      </c>
      <c r="CXV1" s="1">
        <f t="shared" si="41"/>
        <v>2674</v>
      </c>
      <c r="CXW1" s="1">
        <f t="shared" si="41"/>
        <v>2675</v>
      </c>
      <c r="CXX1" s="1">
        <f t="shared" si="41"/>
        <v>2676</v>
      </c>
      <c r="CXY1" s="1">
        <f t="shared" si="41"/>
        <v>2677</v>
      </c>
      <c r="CXZ1" s="1">
        <f t="shared" si="41"/>
        <v>2678</v>
      </c>
      <c r="CYA1" s="1">
        <f t="shared" si="41"/>
        <v>2679</v>
      </c>
      <c r="CYB1" s="1">
        <f t="shared" si="41"/>
        <v>2680</v>
      </c>
      <c r="CYC1" s="1">
        <f t="shared" si="41"/>
        <v>2681</v>
      </c>
      <c r="CYD1" s="1">
        <f t="shared" si="41"/>
        <v>2682</v>
      </c>
      <c r="CYE1" s="1">
        <f t="shared" si="41"/>
        <v>2683</v>
      </c>
      <c r="CYF1" s="1">
        <f t="shared" si="41"/>
        <v>2684</v>
      </c>
      <c r="CYG1" s="1">
        <f t="shared" si="41"/>
        <v>2685</v>
      </c>
      <c r="CYH1" s="42">
        <f t="shared" si="41"/>
        <v>2686</v>
      </c>
      <c r="CYI1" s="1">
        <f t="shared" si="41"/>
        <v>2687</v>
      </c>
      <c r="CYJ1" s="1">
        <f t="shared" si="41"/>
        <v>2688</v>
      </c>
      <c r="CYK1" s="1">
        <f t="shared" si="41"/>
        <v>2689</v>
      </c>
      <c r="CYL1" s="1">
        <f t="shared" si="41"/>
        <v>2690</v>
      </c>
      <c r="CYM1" s="1">
        <f t="shared" ref="CYM1:DAX1" si="42">CYL1+1</f>
        <v>2691</v>
      </c>
      <c r="CYN1" s="1">
        <f t="shared" si="42"/>
        <v>2692</v>
      </c>
      <c r="CYO1" s="1">
        <f t="shared" si="42"/>
        <v>2693</v>
      </c>
      <c r="CYP1" s="1">
        <f t="shared" si="42"/>
        <v>2694</v>
      </c>
      <c r="CYQ1" s="1">
        <f t="shared" si="42"/>
        <v>2695</v>
      </c>
      <c r="CYR1" s="1">
        <f t="shared" si="42"/>
        <v>2696</v>
      </c>
      <c r="CYS1" s="1">
        <f t="shared" si="42"/>
        <v>2697</v>
      </c>
      <c r="CYT1" s="1">
        <f t="shared" si="42"/>
        <v>2698</v>
      </c>
      <c r="CYU1" s="1">
        <f t="shared" si="42"/>
        <v>2699</v>
      </c>
      <c r="CYV1" s="1">
        <f t="shared" si="42"/>
        <v>2700</v>
      </c>
      <c r="CYW1" s="1">
        <f t="shared" si="42"/>
        <v>2701</v>
      </c>
      <c r="CYX1" s="1">
        <f t="shared" si="42"/>
        <v>2702</v>
      </c>
      <c r="CYY1" s="1">
        <f t="shared" si="42"/>
        <v>2703</v>
      </c>
      <c r="CYZ1" s="1">
        <f t="shared" si="42"/>
        <v>2704</v>
      </c>
      <c r="CZA1" s="1">
        <f t="shared" si="42"/>
        <v>2705</v>
      </c>
      <c r="CZB1" s="1">
        <f t="shared" si="42"/>
        <v>2706</v>
      </c>
      <c r="CZC1" s="1">
        <f t="shared" si="42"/>
        <v>2707</v>
      </c>
      <c r="CZD1" s="1">
        <f t="shared" si="42"/>
        <v>2708</v>
      </c>
      <c r="CZE1" s="1">
        <f t="shared" si="42"/>
        <v>2709</v>
      </c>
      <c r="CZF1" s="1">
        <f t="shared" si="42"/>
        <v>2710</v>
      </c>
      <c r="CZG1" s="1">
        <f t="shared" si="42"/>
        <v>2711</v>
      </c>
      <c r="CZH1" s="1">
        <f t="shared" si="42"/>
        <v>2712</v>
      </c>
      <c r="CZI1" s="1">
        <f t="shared" si="42"/>
        <v>2713</v>
      </c>
      <c r="CZJ1" s="1">
        <f t="shared" si="42"/>
        <v>2714</v>
      </c>
      <c r="CZK1" s="1">
        <f t="shared" si="42"/>
        <v>2715</v>
      </c>
      <c r="CZL1" s="1">
        <f t="shared" si="42"/>
        <v>2716</v>
      </c>
      <c r="CZM1" s="1">
        <f t="shared" si="42"/>
        <v>2717</v>
      </c>
      <c r="CZN1" s="1">
        <f t="shared" si="42"/>
        <v>2718</v>
      </c>
      <c r="CZO1" s="1">
        <f t="shared" si="42"/>
        <v>2719</v>
      </c>
      <c r="CZP1" s="1">
        <f t="shared" si="42"/>
        <v>2720</v>
      </c>
      <c r="CZQ1" s="1">
        <f t="shared" si="42"/>
        <v>2721</v>
      </c>
      <c r="CZR1" s="1">
        <f t="shared" si="42"/>
        <v>2722</v>
      </c>
      <c r="CZS1" s="1">
        <f t="shared" si="42"/>
        <v>2723</v>
      </c>
      <c r="CZT1" s="1">
        <f t="shared" si="42"/>
        <v>2724</v>
      </c>
      <c r="CZU1" s="1">
        <f t="shared" si="42"/>
        <v>2725</v>
      </c>
      <c r="CZV1" s="1">
        <f t="shared" si="42"/>
        <v>2726</v>
      </c>
      <c r="CZW1" s="1">
        <f t="shared" si="42"/>
        <v>2727</v>
      </c>
      <c r="CZX1" s="1">
        <f t="shared" si="42"/>
        <v>2728</v>
      </c>
      <c r="CZY1" s="1">
        <f t="shared" si="42"/>
        <v>2729</v>
      </c>
      <c r="CZZ1" s="42">
        <f t="shared" si="42"/>
        <v>2730</v>
      </c>
      <c r="DAA1" s="1">
        <f t="shared" si="42"/>
        <v>2731</v>
      </c>
      <c r="DAB1" s="1">
        <f t="shared" si="42"/>
        <v>2732</v>
      </c>
      <c r="DAC1" s="1">
        <f t="shared" si="42"/>
        <v>2733</v>
      </c>
      <c r="DAD1" s="1">
        <f t="shared" si="42"/>
        <v>2734</v>
      </c>
      <c r="DAE1" s="1">
        <f t="shared" si="42"/>
        <v>2735</v>
      </c>
      <c r="DAF1" s="1">
        <f t="shared" si="42"/>
        <v>2736</v>
      </c>
      <c r="DAG1" s="1">
        <f t="shared" si="42"/>
        <v>2737</v>
      </c>
      <c r="DAH1" s="1">
        <f t="shared" si="42"/>
        <v>2738</v>
      </c>
      <c r="DAI1" s="1">
        <f t="shared" si="42"/>
        <v>2739</v>
      </c>
      <c r="DAJ1" s="1">
        <f t="shared" si="42"/>
        <v>2740</v>
      </c>
      <c r="DAK1" s="1">
        <f t="shared" si="42"/>
        <v>2741</v>
      </c>
      <c r="DAL1" s="1">
        <f t="shared" si="42"/>
        <v>2742</v>
      </c>
      <c r="DAM1" s="1">
        <f t="shared" si="42"/>
        <v>2743</v>
      </c>
      <c r="DAN1" s="1">
        <f t="shared" si="42"/>
        <v>2744</v>
      </c>
      <c r="DAO1" s="1">
        <f t="shared" si="42"/>
        <v>2745</v>
      </c>
      <c r="DAP1" s="1">
        <f t="shared" si="42"/>
        <v>2746</v>
      </c>
      <c r="DAQ1" s="1">
        <f t="shared" si="42"/>
        <v>2747</v>
      </c>
      <c r="DAR1" s="1">
        <f t="shared" si="42"/>
        <v>2748</v>
      </c>
      <c r="DAS1" s="1">
        <f t="shared" si="42"/>
        <v>2749</v>
      </c>
      <c r="DAT1" s="1">
        <f t="shared" si="42"/>
        <v>2750</v>
      </c>
      <c r="DAU1" s="1">
        <f t="shared" si="42"/>
        <v>2751</v>
      </c>
      <c r="DAV1" s="1">
        <f t="shared" si="42"/>
        <v>2752</v>
      </c>
      <c r="DAW1" s="1">
        <f t="shared" si="42"/>
        <v>2753</v>
      </c>
      <c r="DAX1" s="1">
        <f t="shared" si="42"/>
        <v>2754</v>
      </c>
      <c r="DAY1" s="1">
        <f t="shared" ref="DAY1:DDJ1" si="43">DAX1+1</f>
        <v>2755</v>
      </c>
      <c r="DAZ1" s="1">
        <f t="shared" si="43"/>
        <v>2756</v>
      </c>
      <c r="DBA1" s="1">
        <f t="shared" si="43"/>
        <v>2757</v>
      </c>
      <c r="DBB1" s="1">
        <f t="shared" si="43"/>
        <v>2758</v>
      </c>
      <c r="DBC1" s="1">
        <f t="shared" si="43"/>
        <v>2759</v>
      </c>
      <c r="DBD1" s="1">
        <f t="shared" si="43"/>
        <v>2760</v>
      </c>
      <c r="DBE1" s="1">
        <f t="shared" si="43"/>
        <v>2761</v>
      </c>
      <c r="DBF1" s="1">
        <f t="shared" si="43"/>
        <v>2762</v>
      </c>
      <c r="DBG1" s="1">
        <f t="shared" si="43"/>
        <v>2763</v>
      </c>
      <c r="DBH1" s="1">
        <f t="shared" si="43"/>
        <v>2764</v>
      </c>
      <c r="DBI1" s="1">
        <f t="shared" si="43"/>
        <v>2765</v>
      </c>
      <c r="DBJ1" s="1">
        <f t="shared" si="43"/>
        <v>2766</v>
      </c>
      <c r="DBK1" s="1">
        <f t="shared" si="43"/>
        <v>2767</v>
      </c>
      <c r="DBL1" s="1">
        <f t="shared" si="43"/>
        <v>2768</v>
      </c>
      <c r="DBM1" s="1">
        <f t="shared" si="43"/>
        <v>2769</v>
      </c>
      <c r="DBN1" s="1">
        <f t="shared" si="43"/>
        <v>2770</v>
      </c>
      <c r="DBO1" s="1">
        <f t="shared" si="43"/>
        <v>2771</v>
      </c>
      <c r="DBP1" s="1">
        <f t="shared" si="43"/>
        <v>2772</v>
      </c>
      <c r="DBQ1" s="1">
        <f t="shared" si="43"/>
        <v>2773</v>
      </c>
      <c r="DBR1" s="42">
        <f t="shared" si="43"/>
        <v>2774</v>
      </c>
      <c r="DBS1" s="1">
        <f t="shared" si="43"/>
        <v>2775</v>
      </c>
      <c r="DBT1" s="1">
        <f t="shared" si="43"/>
        <v>2776</v>
      </c>
      <c r="DBU1" s="1">
        <f t="shared" si="43"/>
        <v>2777</v>
      </c>
      <c r="DBV1" s="1">
        <f t="shared" si="43"/>
        <v>2778</v>
      </c>
      <c r="DBW1" s="1">
        <f t="shared" si="43"/>
        <v>2779</v>
      </c>
      <c r="DBX1" s="1">
        <f t="shared" si="43"/>
        <v>2780</v>
      </c>
      <c r="DBY1" s="1">
        <f t="shared" si="43"/>
        <v>2781</v>
      </c>
      <c r="DBZ1" s="1">
        <f t="shared" si="43"/>
        <v>2782</v>
      </c>
      <c r="DCA1" s="1">
        <f t="shared" si="43"/>
        <v>2783</v>
      </c>
      <c r="DCB1" s="1">
        <f t="shared" si="43"/>
        <v>2784</v>
      </c>
      <c r="DCC1" s="1">
        <f t="shared" si="43"/>
        <v>2785</v>
      </c>
      <c r="DCD1" s="1">
        <f t="shared" si="43"/>
        <v>2786</v>
      </c>
      <c r="DCE1" s="1">
        <f t="shared" si="43"/>
        <v>2787</v>
      </c>
      <c r="DCF1" s="1">
        <f t="shared" si="43"/>
        <v>2788</v>
      </c>
      <c r="DCG1" s="1">
        <f t="shared" si="43"/>
        <v>2789</v>
      </c>
      <c r="DCH1" s="1">
        <f t="shared" si="43"/>
        <v>2790</v>
      </c>
      <c r="DCI1" s="1">
        <f t="shared" si="43"/>
        <v>2791</v>
      </c>
      <c r="DCJ1" s="1">
        <f t="shared" si="43"/>
        <v>2792</v>
      </c>
      <c r="DCK1" s="1">
        <f t="shared" si="43"/>
        <v>2793</v>
      </c>
      <c r="DCL1" s="1">
        <f t="shared" si="43"/>
        <v>2794</v>
      </c>
      <c r="DCM1" s="1">
        <f t="shared" si="43"/>
        <v>2795</v>
      </c>
      <c r="DCN1" s="1">
        <f t="shared" si="43"/>
        <v>2796</v>
      </c>
      <c r="DCO1" s="1">
        <f t="shared" si="43"/>
        <v>2797</v>
      </c>
      <c r="DCP1" s="1">
        <f t="shared" si="43"/>
        <v>2798</v>
      </c>
      <c r="DCQ1" s="1">
        <f t="shared" si="43"/>
        <v>2799</v>
      </c>
      <c r="DCR1" s="1">
        <f t="shared" si="43"/>
        <v>2800</v>
      </c>
      <c r="DCS1" s="1">
        <f t="shared" si="43"/>
        <v>2801</v>
      </c>
      <c r="DCT1" s="1">
        <f t="shared" si="43"/>
        <v>2802</v>
      </c>
      <c r="DCU1" s="1">
        <f t="shared" si="43"/>
        <v>2803</v>
      </c>
      <c r="DCV1" s="1">
        <f t="shared" si="43"/>
        <v>2804</v>
      </c>
      <c r="DCW1" s="1">
        <f t="shared" si="43"/>
        <v>2805</v>
      </c>
      <c r="DCX1" s="1">
        <f t="shared" si="43"/>
        <v>2806</v>
      </c>
      <c r="DCY1" s="1">
        <f t="shared" si="43"/>
        <v>2807</v>
      </c>
      <c r="DCZ1" s="1">
        <f t="shared" si="43"/>
        <v>2808</v>
      </c>
      <c r="DDA1" s="1">
        <f t="shared" si="43"/>
        <v>2809</v>
      </c>
      <c r="DDB1" s="1">
        <f t="shared" si="43"/>
        <v>2810</v>
      </c>
      <c r="DDC1" s="1">
        <f t="shared" si="43"/>
        <v>2811</v>
      </c>
      <c r="DDD1" s="1">
        <f t="shared" si="43"/>
        <v>2812</v>
      </c>
      <c r="DDE1" s="1">
        <f t="shared" si="43"/>
        <v>2813</v>
      </c>
      <c r="DDF1" s="1">
        <f t="shared" si="43"/>
        <v>2814</v>
      </c>
      <c r="DDG1" s="1">
        <f t="shared" si="43"/>
        <v>2815</v>
      </c>
      <c r="DDH1" s="1">
        <f t="shared" si="43"/>
        <v>2816</v>
      </c>
      <c r="DDI1" s="1">
        <f t="shared" si="43"/>
        <v>2817</v>
      </c>
      <c r="DDJ1" s="42">
        <f t="shared" si="43"/>
        <v>2818</v>
      </c>
      <c r="DDK1" s="1">
        <f t="shared" ref="DDK1:DFV1" si="44">DDJ1+1</f>
        <v>2819</v>
      </c>
      <c r="DDL1" s="1">
        <f t="shared" si="44"/>
        <v>2820</v>
      </c>
      <c r="DDM1" s="1">
        <f t="shared" si="44"/>
        <v>2821</v>
      </c>
      <c r="DDN1" s="1">
        <f t="shared" si="44"/>
        <v>2822</v>
      </c>
      <c r="DDO1" s="1">
        <f t="shared" si="44"/>
        <v>2823</v>
      </c>
      <c r="DDP1" s="1">
        <f t="shared" si="44"/>
        <v>2824</v>
      </c>
      <c r="DDQ1" s="1">
        <f t="shared" si="44"/>
        <v>2825</v>
      </c>
      <c r="DDR1" s="1">
        <f t="shared" si="44"/>
        <v>2826</v>
      </c>
      <c r="DDS1" s="1">
        <f t="shared" si="44"/>
        <v>2827</v>
      </c>
      <c r="DDT1" s="1">
        <f t="shared" si="44"/>
        <v>2828</v>
      </c>
      <c r="DDU1" s="1">
        <f t="shared" si="44"/>
        <v>2829</v>
      </c>
      <c r="DDV1" s="1">
        <f t="shared" si="44"/>
        <v>2830</v>
      </c>
      <c r="DDW1" s="1">
        <f t="shared" si="44"/>
        <v>2831</v>
      </c>
      <c r="DDX1" s="1">
        <f t="shared" si="44"/>
        <v>2832</v>
      </c>
      <c r="DDY1" s="1">
        <f t="shared" si="44"/>
        <v>2833</v>
      </c>
      <c r="DDZ1" s="1">
        <f t="shared" si="44"/>
        <v>2834</v>
      </c>
      <c r="DEA1" s="1">
        <f t="shared" si="44"/>
        <v>2835</v>
      </c>
      <c r="DEB1" s="1">
        <f t="shared" si="44"/>
        <v>2836</v>
      </c>
      <c r="DEC1" s="1">
        <f t="shared" si="44"/>
        <v>2837</v>
      </c>
      <c r="DED1" s="1">
        <f t="shared" si="44"/>
        <v>2838</v>
      </c>
      <c r="DEE1" s="1">
        <f t="shared" si="44"/>
        <v>2839</v>
      </c>
      <c r="DEF1" s="1">
        <f t="shared" si="44"/>
        <v>2840</v>
      </c>
      <c r="DEG1" s="1">
        <f t="shared" si="44"/>
        <v>2841</v>
      </c>
      <c r="DEH1" s="1">
        <f t="shared" si="44"/>
        <v>2842</v>
      </c>
      <c r="DEI1" s="1">
        <f t="shared" si="44"/>
        <v>2843</v>
      </c>
      <c r="DEJ1" s="1">
        <f t="shared" si="44"/>
        <v>2844</v>
      </c>
      <c r="DEK1" s="1">
        <f t="shared" si="44"/>
        <v>2845</v>
      </c>
      <c r="DEL1" s="1">
        <f t="shared" si="44"/>
        <v>2846</v>
      </c>
      <c r="DEM1" s="1">
        <f t="shared" si="44"/>
        <v>2847</v>
      </c>
      <c r="DEN1" s="1">
        <f t="shared" si="44"/>
        <v>2848</v>
      </c>
      <c r="DEO1" s="1">
        <f t="shared" si="44"/>
        <v>2849</v>
      </c>
      <c r="DEP1" s="1">
        <f t="shared" si="44"/>
        <v>2850</v>
      </c>
      <c r="DEQ1" s="1">
        <f t="shared" si="44"/>
        <v>2851</v>
      </c>
      <c r="DER1" s="1">
        <f t="shared" si="44"/>
        <v>2852</v>
      </c>
      <c r="DES1" s="1">
        <f t="shared" si="44"/>
        <v>2853</v>
      </c>
      <c r="DET1" s="1">
        <f t="shared" si="44"/>
        <v>2854</v>
      </c>
      <c r="DEU1" s="1">
        <f t="shared" si="44"/>
        <v>2855</v>
      </c>
      <c r="DEV1" s="1">
        <f t="shared" si="44"/>
        <v>2856</v>
      </c>
      <c r="DEW1" s="1">
        <f t="shared" si="44"/>
        <v>2857</v>
      </c>
      <c r="DEX1" s="1">
        <f t="shared" si="44"/>
        <v>2858</v>
      </c>
      <c r="DEY1" s="1">
        <f t="shared" si="44"/>
        <v>2859</v>
      </c>
      <c r="DEZ1" s="1">
        <f t="shared" si="44"/>
        <v>2860</v>
      </c>
      <c r="DFA1" s="1">
        <f t="shared" si="44"/>
        <v>2861</v>
      </c>
      <c r="DFB1" s="42">
        <f t="shared" si="44"/>
        <v>2862</v>
      </c>
      <c r="DFC1" s="1">
        <f t="shared" si="44"/>
        <v>2863</v>
      </c>
      <c r="DFD1" s="1">
        <f t="shared" si="44"/>
        <v>2864</v>
      </c>
      <c r="DFE1" s="1">
        <f t="shared" si="44"/>
        <v>2865</v>
      </c>
      <c r="DFF1" s="1">
        <f t="shared" si="44"/>
        <v>2866</v>
      </c>
      <c r="DFG1" s="1">
        <f t="shared" si="44"/>
        <v>2867</v>
      </c>
      <c r="DFH1" s="1">
        <f t="shared" si="44"/>
        <v>2868</v>
      </c>
      <c r="DFI1" s="1">
        <f t="shared" si="44"/>
        <v>2869</v>
      </c>
      <c r="DFJ1" s="1">
        <f t="shared" si="44"/>
        <v>2870</v>
      </c>
      <c r="DFK1" s="1">
        <f t="shared" si="44"/>
        <v>2871</v>
      </c>
      <c r="DFL1" s="1">
        <f t="shared" si="44"/>
        <v>2872</v>
      </c>
      <c r="DFM1" s="1">
        <f t="shared" si="44"/>
        <v>2873</v>
      </c>
      <c r="DFN1" s="1">
        <f t="shared" si="44"/>
        <v>2874</v>
      </c>
      <c r="DFO1" s="1">
        <f t="shared" si="44"/>
        <v>2875</v>
      </c>
      <c r="DFP1" s="1">
        <f t="shared" si="44"/>
        <v>2876</v>
      </c>
      <c r="DFQ1" s="1">
        <f t="shared" si="44"/>
        <v>2877</v>
      </c>
      <c r="DFR1" s="1">
        <f t="shared" si="44"/>
        <v>2878</v>
      </c>
      <c r="DFS1" s="1">
        <f t="shared" si="44"/>
        <v>2879</v>
      </c>
      <c r="DFT1" s="1">
        <f t="shared" si="44"/>
        <v>2880</v>
      </c>
      <c r="DFU1" s="1">
        <f t="shared" si="44"/>
        <v>2881</v>
      </c>
      <c r="DFV1" s="1">
        <f t="shared" si="44"/>
        <v>2882</v>
      </c>
      <c r="DFW1" s="1">
        <f t="shared" ref="DFW1:DIH1" si="45">DFV1+1</f>
        <v>2883</v>
      </c>
      <c r="DFX1" s="1">
        <f t="shared" si="45"/>
        <v>2884</v>
      </c>
      <c r="DFY1" s="1">
        <f t="shared" si="45"/>
        <v>2885</v>
      </c>
      <c r="DFZ1" s="1">
        <f t="shared" si="45"/>
        <v>2886</v>
      </c>
      <c r="DGA1" s="1">
        <f t="shared" si="45"/>
        <v>2887</v>
      </c>
      <c r="DGB1" s="1">
        <f t="shared" si="45"/>
        <v>2888</v>
      </c>
      <c r="DGC1" s="1">
        <f t="shared" si="45"/>
        <v>2889</v>
      </c>
      <c r="DGD1" s="1">
        <f t="shared" si="45"/>
        <v>2890</v>
      </c>
      <c r="DGE1" s="1">
        <f t="shared" si="45"/>
        <v>2891</v>
      </c>
      <c r="DGF1" s="1">
        <f t="shared" si="45"/>
        <v>2892</v>
      </c>
      <c r="DGG1" s="1">
        <f t="shared" si="45"/>
        <v>2893</v>
      </c>
      <c r="DGH1" s="1">
        <f t="shared" si="45"/>
        <v>2894</v>
      </c>
      <c r="DGI1" s="1">
        <f t="shared" si="45"/>
        <v>2895</v>
      </c>
      <c r="DGJ1" s="1">
        <f t="shared" si="45"/>
        <v>2896</v>
      </c>
      <c r="DGK1" s="1">
        <f t="shared" si="45"/>
        <v>2897</v>
      </c>
      <c r="DGL1" s="1">
        <f t="shared" si="45"/>
        <v>2898</v>
      </c>
      <c r="DGM1" s="1">
        <f t="shared" si="45"/>
        <v>2899</v>
      </c>
      <c r="DGN1" s="1">
        <f t="shared" si="45"/>
        <v>2900</v>
      </c>
      <c r="DGO1" s="1">
        <f t="shared" si="45"/>
        <v>2901</v>
      </c>
      <c r="DGP1" s="1">
        <f t="shared" si="45"/>
        <v>2902</v>
      </c>
      <c r="DGQ1" s="1">
        <f t="shared" si="45"/>
        <v>2903</v>
      </c>
      <c r="DGR1" s="1">
        <f t="shared" si="45"/>
        <v>2904</v>
      </c>
      <c r="DGS1" s="1">
        <f t="shared" si="45"/>
        <v>2905</v>
      </c>
      <c r="DGT1" s="42">
        <f t="shared" si="45"/>
        <v>2906</v>
      </c>
      <c r="DGU1" s="1">
        <f t="shared" si="45"/>
        <v>2907</v>
      </c>
      <c r="DGV1" s="1">
        <f t="shared" si="45"/>
        <v>2908</v>
      </c>
      <c r="DGW1" s="1">
        <f t="shared" si="45"/>
        <v>2909</v>
      </c>
      <c r="DGX1" s="1">
        <f t="shared" si="45"/>
        <v>2910</v>
      </c>
      <c r="DGY1" s="1">
        <f t="shared" si="45"/>
        <v>2911</v>
      </c>
      <c r="DGZ1" s="1">
        <f t="shared" si="45"/>
        <v>2912</v>
      </c>
      <c r="DHA1" s="1">
        <f t="shared" si="45"/>
        <v>2913</v>
      </c>
      <c r="DHB1" s="1">
        <f t="shared" si="45"/>
        <v>2914</v>
      </c>
      <c r="DHC1" s="1">
        <f t="shared" si="45"/>
        <v>2915</v>
      </c>
      <c r="DHD1" s="1">
        <f t="shared" si="45"/>
        <v>2916</v>
      </c>
      <c r="DHE1" s="1">
        <f t="shared" si="45"/>
        <v>2917</v>
      </c>
      <c r="DHF1" s="1">
        <f t="shared" si="45"/>
        <v>2918</v>
      </c>
      <c r="DHG1" s="1">
        <f t="shared" si="45"/>
        <v>2919</v>
      </c>
      <c r="DHH1" s="1">
        <f t="shared" si="45"/>
        <v>2920</v>
      </c>
      <c r="DHI1" s="1">
        <f t="shared" si="45"/>
        <v>2921</v>
      </c>
      <c r="DHJ1" s="1">
        <f t="shared" si="45"/>
        <v>2922</v>
      </c>
      <c r="DHK1" s="1">
        <f t="shared" si="45"/>
        <v>2923</v>
      </c>
      <c r="DHL1" s="1">
        <f t="shared" si="45"/>
        <v>2924</v>
      </c>
      <c r="DHM1" s="1">
        <f t="shared" si="45"/>
        <v>2925</v>
      </c>
      <c r="DHN1" s="1">
        <f t="shared" si="45"/>
        <v>2926</v>
      </c>
      <c r="DHO1" s="1">
        <f t="shared" si="45"/>
        <v>2927</v>
      </c>
      <c r="DHP1" s="1">
        <f t="shared" si="45"/>
        <v>2928</v>
      </c>
      <c r="DHQ1" s="1">
        <f t="shared" si="45"/>
        <v>2929</v>
      </c>
      <c r="DHR1" s="1">
        <f t="shared" si="45"/>
        <v>2930</v>
      </c>
      <c r="DHS1" s="1">
        <f t="shared" si="45"/>
        <v>2931</v>
      </c>
      <c r="DHT1" s="1">
        <f t="shared" si="45"/>
        <v>2932</v>
      </c>
      <c r="DHU1" s="1">
        <f t="shared" si="45"/>
        <v>2933</v>
      </c>
      <c r="DHV1" s="1">
        <f t="shared" si="45"/>
        <v>2934</v>
      </c>
      <c r="DHW1" s="1">
        <f t="shared" si="45"/>
        <v>2935</v>
      </c>
      <c r="DHX1" s="1">
        <f t="shared" si="45"/>
        <v>2936</v>
      </c>
      <c r="DHY1" s="1">
        <f t="shared" si="45"/>
        <v>2937</v>
      </c>
      <c r="DHZ1" s="1">
        <f t="shared" si="45"/>
        <v>2938</v>
      </c>
      <c r="DIA1" s="1">
        <f t="shared" si="45"/>
        <v>2939</v>
      </c>
      <c r="DIB1" s="1">
        <f t="shared" si="45"/>
        <v>2940</v>
      </c>
      <c r="DIC1" s="1">
        <f t="shared" si="45"/>
        <v>2941</v>
      </c>
      <c r="DID1" s="1">
        <f t="shared" si="45"/>
        <v>2942</v>
      </c>
      <c r="DIE1" s="1">
        <f t="shared" si="45"/>
        <v>2943</v>
      </c>
      <c r="DIF1" s="1">
        <f t="shared" si="45"/>
        <v>2944</v>
      </c>
      <c r="DIG1" s="1">
        <f t="shared" si="45"/>
        <v>2945</v>
      </c>
      <c r="DIH1" s="1">
        <f t="shared" si="45"/>
        <v>2946</v>
      </c>
      <c r="DII1" s="1">
        <f t="shared" ref="DII1:DKT1" si="46">DIH1+1</f>
        <v>2947</v>
      </c>
      <c r="DIJ1" s="1">
        <f t="shared" si="46"/>
        <v>2948</v>
      </c>
      <c r="DIK1" s="1">
        <f t="shared" si="46"/>
        <v>2949</v>
      </c>
      <c r="DIL1" s="42">
        <f t="shared" si="46"/>
        <v>2950</v>
      </c>
      <c r="DIM1" s="1">
        <f t="shared" si="46"/>
        <v>2951</v>
      </c>
      <c r="DIN1" s="1">
        <f t="shared" si="46"/>
        <v>2952</v>
      </c>
      <c r="DIO1" s="1">
        <f t="shared" si="46"/>
        <v>2953</v>
      </c>
      <c r="DIP1" s="1">
        <f t="shared" si="46"/>
        <v>2954</v>
      </c>
      <c r="DIQ1" s="1">
        <f t="shared" si="46"/>
        <v>2955</v>
      </c>
      <c r="DIR1" s="1">
        <f t="shared" si="46"/>
        <v>2956</v>
      </c>
      <c r="DIS1" s="1">
        <f t="shared" si="46"/>
        <v>2957</v>
      </c>
      <c r="DIT1" s="1">
        <f t="shared" si="46"/>
        <v>2958</v>
      </c>
      <c r="DIU1" s="1">
        <f t="shared" si="46"/>
        <v>2959</v>
      </c>
      <c r="DIV1" s="1">
        <f t="shared" si="46"/>
        <v>2960</v>
      </c>
      <c r="DIW1" s="1">
        <f t="shared" si="46"/>
        <v>2961</v>
      </c>
      <c r="DIX1" s="1">
        <f t="shared" si="46"/>
        <v>2962</v>
      </c>
      <c r="DIY1" s="1">
        <f t="shared" si="46"/>
        <v>2963</v>
      </c>
      <c r="DIZ1" s="1">
        <f t="shared" si="46"/>
        <v>2964</v>
      </c>
      <c r="DJA1" s="1">
        <f t="shared" si="46"/>
        <v>2965</v>
      </c>
      <c r="DJB1" s="1">
        <f t="shared" si="46"/>
        <v>2966</v>
      </c>
      <c r="DJC1" s="1">
        <f t="shared" si="46"/>
        <v>2967</v>
      </c>
      <c r="DJD1" s="1">
        <f t="shared" si="46"/>
        <v>2968</v>
      </c>
      <c r="DJE1" s="1">
        <f t="shared" si="46"/>
        <v>2969</v>
      </c>
      <c r="DJF1" s="1">
        <f t="shared" si="46"/>
        <v>2970</v>
      </c>
      <c r="DJG1" s="1">
        <f t="shared" si="46"/>
        <v>2971</v>
      </c>
      <c r="DJH1" s="1">
        <f t="shared" si="46"/>
        <v>2972</v>
      </c>
      <c r="DJI1" s="1">
        <f t="shared" si="46"/>
        <v>2973</v>
      </c>
      <c r="DJJ1" s="1">
        <f t="shared" si="46"/>
        <v>2974</v>
      </c>
      <c r="DJK1" s="1">
        <f t="shared" si="46"/>
        <v>2975</v>
      </c>
      <c r="DJL1" s="1">
        <f t="shared" si="46"/>
        <v>2976</v>
      </c>
      <c r="DJM1" s="1">
        <f t="shared" si="46"/>
        <v>2977</v>
      </c>
      <c r="DJN1" s="1">
        <f t="shared" si="46"/>
        <v>2978</v>
      </c>
      <c r="DJO1" s="1">
        <f t="shared" si="46"/>
        <v>2979</v>
      </c>
      <c r="DJP1" s="1">
        <f t="shared" si="46"/>
        <v>2980</v>
      </c>
      <c r="DJQ1" s="1">
        <f t="shared" si="46"/>
        <v>2981</v>
      </c>
      <c r="DJR1" s="1">
        <f t="shared" si="46"/>
        <v>2982</v>
      </c>
      <c r="DJS1" s="1">
        <f t="shared" si="46"/>
        <v>2983</v>
      </c>
      <c r="DJT1" s="1">
        <f t="shared" si="46"/>
        <v>2984</v>
      </c>
      <c r="DJU1" s="1">
        <f t="shared" si="46"/>
        <v>2985</v>
      </c>
      <c r="DJV1" s="1">
        <f t="shared" si="46"/>
        <v>2986</v>
      </c>
      <c r="DJW1" s="1">
        <f t="shared" si="46"/>
        <v>2987</v>
      </c>
      <c r="DJX1" s="1">
        <f t="shared" si="46"/>
        <v>2988</v>
      </c>
      <c r="DJY1" s="1">
        <f t="shared" si="46"/>
        <v>2989</v>
      </c>
      <c r="DJZ1" s="1">
        <f t="shared" si="46"/>
        <v>2990</v>
      </c>
      <c r="DKA1" s="1">
        <f t="shared" si="46"/>
        <v>2991</v>
      </c>
      <c r="DKB1" s="1">
        <f t="shared" si="46"/>
        <v>2992</v>
      </c>
      <c r="DKC1" s="1">
        <f t="shared" si="46"/>
        <v>2993</v>
      </c>
      <c r="DKD1" s="42">
        <f t="shared" si="46"/>
        <v>2994</v>
      </c>
      <c r="DKE1" s="1">
        <f t="shared" si="46"/>
        <v>2995</v>
      </c>
      <c r="DKF1" s="1">
        <f t="shared" si="46"/>
        <v>2996</v>
      </c>
      <c r="DKG1" s="1">
        <f t="shared" si="46"/>
        <v>2997</v>
      </c>
      <c r="DKH1" s="1">
        <f t="shared" si="46"/>
        <v>2998</v>
      </c>
      <c r="DKI1" s="1">
        <f t="shared" si="46"/>
        <v>2999</v>
      </c>
      <c r="DKJ1" s="1">
        <f t="shared" si="46"/>
        <v>3000</v>
      </c>
      <c r="DKK1" s="1">
        <f t="shared" si="46"/>
        <v>3001</v>
      </c>
      <c r="DKL1" s="1">
        <f t="shared" si="46"/>
        <v>3002</v>
      </c>
      <c r="DKM1" s="1">
        <f t="shared" si="46"/>
        <v>3003</v>
      </c>
      <c r="DKN1" s="1">
        <f t="shared" si="46"/>
        <v>3004</v>
      </c>
      <c r="DKO1" s="1">
        <f t="shared" si="46"/>
        <v>3005</v>
      </c>
      <c r="DKP1" s="1">
        <f t="shared" si="46"/>
        <v>3006</v>
      </c>
      <c r="DKQ1" s="1">
        <f t="shared" si="46"/>
        <v>3007</v>
      </c>
      <c r="DKR1" s="1">
        <f t="shared" si="46"/>
        <v>3008</v>
      </c>
      <c r="DKS1" s="1">
        <f t="shared" si="46"/>
        <v>3009</v>
      </c>
      <c r="DKT1" s="1">
        <f t="shared" si="46"/>
        <v>3010</v>
      </c>
      <c r="DKU1" s="1">
        <f t="shared" ref="DKU1:DNF1" si="47">DKT1+1</f>
        <v>3011</v>
      </c>
      <c r="DKV1" s="1">
        <f t="shared" si="47"/>
        <v>3012</v>
      </c>
      <c r="DKW1" s="1">
        <f t="shared" si="47"/>
        <v>3013</v>
      </c>
      <c r="DKX1" s="1">
        <f t="shared" si="47"/>
        <v>3014</v>
      </c>
      <c r="DKY1" s="1">
        <f t="shared" si="47"/>
        <v>3015</v>
      </c>
      <c r="DKZ1" s="1">
        <f t="shared" si="47"/>
        <v>3016</v>
      </c>
      <c r="DLA1" s="1">
        <f t="shared" si="47"/>
        <v>3017</v>
      </c>
      <c r="DLB1" s="1">
        <f t="shared" si="47"/>
        <v>3018</v>
      </c>
      <c r="DLC1" s="1">
        <f t="shared" si="47"/>
        <v>3019</v>
      </c>
      <c r="DLD1" s="1">
        <f t="shared" si="47"/>
        <v>3020</v>
      </c>
      <c r="DLE1" s="1">
        <f t="shared" si="47"/>
        <v>3021</v>
      </c>
      <c r="DLF1" s="1">
        <f t="shared" si="47"/>
        <v>3022</v>
      </c>
      <c r="DLG1" s="1">
        <f t="shared" si="47"/>
        <v>3023</v>
      </c>
      <c r="DLH1" s="1">
        <f t="shared" si="47"/>
        <v>3024</v>
      </c>
      <c r="DLI1" s="1">
        <f t="shared" si="47"/>
        <v>3025</v>
      </c>
      <c r="DLJ1" s="1">
        <f t="shared" si="47"/>
        <v>3026</v>
      </c>
      <c r="DLK1" s="1">
        <f t="shared" si="47"/>
        <v>3027</v>
      </c>
      <c r="DLL1" s="1">
        <f t="shared" si="47"/>
        <v>3028</v>
      </c>
      <c r="DLM1" s="1">
        <f t="shared" si="47"/>
        <v>3029</v>
      </c>
      <c r="DLN1" s="1">
        <f t="shared" si="47"/>
        <v>3030</v>
      </c>
      <c r="DLO1" s="1">
        <f t="shared" si="47"/>
        <v>3031</v>
      </c>
      <c r="DLP1" s="1">
        <f t="shared" si="47"/>
        <v>3032</v>
      </c>
      <c r="DLQ1" s="1">
        <f t="shared" si="47"/>
        <v>3033</v>
      </c>
      <c r="DLR1" s="1">
        <f t="shared" si="47"/>
        <v>3034</v>
      </c>
      <c r="DLS1" s="1">
        <f t="shared" si="47"/>
        <v>3035</v>
      </c>
      <c r="DLT1" s="1">
        <f t="shared" si="47"/>
        <v>3036</v>
      </c>
      <c r="DLU1" s="1">
        <f t="shared" si="47"/>
        <v>3037</v>
      </c>
      <c r="DLV1" s="42">
        <f t="shared" si="47"/>
        <v>3038</v>
      </c>
      <c r="DLW1" s="1">
        <f t="shared" si="47"/>
        <v>3039</v>
      </c>
      <c r="DLX1" s="1">
        <f t="shared" si="47"/>
        <v>3040</v>
      </c>
      <c r="DLY1" s="1">
        <f t="shared" si="47"/>
        <v>3041</v>
      </c>
      <c r="DLZ1" s="1">
        <f t="shared" si="47"/>
        <v>3042</v>
      </c>
      <c r="DMA1" s="1">
        <f t="shared" si="47"/>
        <v>3043</v>
      </c>
      <c r="DMB1" s="1">
        <f t="shared" si="47"/>
        <v>3044</v>
      </c>
      <c r="DMC1" s="1">
        <f t="shared" si="47"/>
        <v>3045</v>
      </c>
      <c r="DMD1" s="1">
        <f t="shared" si="47"/>
        <v>3046</v>
      </c>
      <c r="DME1" s="1">
        <f t="shared" si="47"/>
        <v>3047</v>
      </c>
      <c r="DMF1" s="1">
        <f t="shared" si="47"/>
        <v>3048</v>
      </c>
      <c r="DMG1" s="1">
        <f t="shared" si="47"/>
        <v>3049</v>
      </c>
      <c r="DMH1" s="1">
        <f t="shared" si="47"/>
        <v>3050</v>
      </c>
      <c r="DMI1" s="1">
        <f t="shared" si="47"/>
        <v>3051</v>
      </c>
      <c r="DMJ1" s="1">
        <f t="shared" si="47"/>
        <v>3052</v>
      </c>
      <c r="DMK1" s="1">
        <f t="shared" si="47"/>
        <v>3053</v>
      </c>
      <c r="DML1" s="1">
        <f t="shared" si="47"/>
        <v>3054</v>
      </c>
      <c r="DMM1" s="1">
        <f t="shared" si="47"/>
        <v>3055</v>
      </c>
      <c r="DMN1" s="1">
        <f t="shared" si="47"/>
        <v>3056</v>
      </c>
      <c r="DMO1" s="1">
        <f t="shared" si="47"/>
        <v>3057</v>
      </c>
      <c r="DMP1" s="1">
        <f t="shared" si="47"/>
        <v>3058</v>
      </c>
      <c r="DMQ1" s="1">
        <f t="shared" si="47"/>
        <v>3059</v>
      </c>
      <c r="DMR1" s="1">
        <f t="shared" si="47"/>
        <v>3060</v>
      </c>
      <c r="DMS1" s="1">
        <f t="shared" si="47"/>
        <v>3061</v>
      </c>
      <c r="DMT1" s="1">
        <f t="shared" si="47"/>
        <v>3062</v>
      </c>
      <c r="DMU1" s="1">
        <f t="shared" si="47"/>
        <v>3063</v>
      </c>
      <c r="DMV1" s="1">
        <f t="shared" si="47"/>
        <v>3064</v>
      </c>
      <c r="DMW1" s="1">
        <f t="shared" si="47"/>
        <v>3065</v>
      </c>
      <c r="DMX1" s="1">
        <f t="shared" si="47"/>
        <v>3066</v>
      </c>
      <c r="DMY1" s="1">
        <f t="shared" si="47"/>
        <v>3067</v>
      </c>
      <c r="DMZ1" s="1">
        <f t="shared" si="47"/>
        <v>3068</v>
      </c>
      <c r="DNA1" s="1">
        <f t="shared" si="47"/>
        <v>3069</v>
      </c>
      <c r="DNB1" s="1">
        <f t="shared" si="47"/>
        <v>3070</v>
      </c>
      <c r="DNC1" s="1">
        <f t="shared" si="47"/>
        <v>3071</v>
      </c>
      <c r="DND1" s="1">
        <f t="shared" si="47"/>
        <v>3072</v>
      </c>
      <c r="DNE1" s="1">
        <f t="shared" si="47"/>
        <v>3073</v>
      </c>
      <c r="DNF1" s="1">
        <f t="shared" si="47"/>
        <v>3074</v>
      </c>
      <c r="DNG1" s="1">
        <f t="shared" ref="DNG1:DPR1" si="48">DNF1+1</f>
        <v>3075</v>
      </c>
      <c r="DNH1" s="1">
        <f t="shared" si="48"/>
        <v>3076</v>
      </c>
      <c r="DNI1" s="1">
        <f t="shared" si="48"/>
        <v>3077</v>
      </c>
      <c r="DNJ1" s="1">
        <f t="shared" si="48"/>
        <v>3078</v>
      </c>
      <c r="DNK1" s="1">
        <f t="shared" si="48"/>
        <v>3079</v>
      </c>
      <c r="DNL1" s="1">
        <f t="shared" si="48"/>
        <v>3080</v>
      </c>
      <c r="DNM1" s="1">
        <f t="shared" si="48"/>
        <v>3081</v>
      </c>
      <c r="DNN1" s="42">
        <f t="shared" si="48"/>
        <v>3082</v>
      </c>
      <c r="DNO1" s="1">
        <f t="shared" si="48"/>
        <v>3083</v>
      </c>
      <c r="DNP1" s="1">
        <f t="shared" si="48"/>
        <v>3084</v>
      </c>
      <c r="DNQ1" s="1">
        <f t="shared" si="48"/>
        <v>3085</v>
      </c>
      <c r="DNR1" s="1">
        <f t="shared" si="48"/>
        <v>3086</v>
      </c>
      <c r="DNS1" s="1">
        <f t="shared" si="48"/>
        <v>3087</v>
      </c>
      <c r="DNT1" s="1">
        <f t="shared" si="48"/>
        <v>3088</v>
      </c>
      <c r="DNU1" s="1">
        <f t="shared" si="48"/>
        <v>3089</v>
      </c>
      <c r="DNV1" s="1">
        <f t="shared" si="48"/>
        <v>3090</v>
      </c>
      <c r="DNW1" s="1">
        <f t="shared" si="48"/>
        <v>3091</v>
      </c>
      <c r="DNX1" s="1">
        <f t="shared" si="48"/>
        <v>3092</v>
      </c>
      <c r="DNY1" s="1">
        <f t="shared" si="48"/>
        <v>3093</v>
      </c>
      <c r="DNZ1" s="1">
        <f t="shared" si="48"/>
        <v>3094</v>
      </c>
      <c r="DOA1" s="1">
        <f t="shared" si="48"/>
        <v>3095</v>
      </c>
      <c r="DOB1" s="1">
        <f t="shared" si="48"/>
        <v>3096</v>
      </c>
      <c r="DOC1" s="1">
        <f t="shared" si="48"/>
        <v>3097</v>
      </c>
      <c r="DOD1" s="1">
        <f t="shared" si="48"/>
        <v>3098</v>
      </c>
      <c r="DOE1" s="1">
        <f t="shared" si="48"/>
        <v>3099</v>
      </c>
      <c r="DOF1" s="1">
        <f t="shared" si="48"/>
        <v>3100</v>
      </c>
      <c r="DOG1" s="1">
        <f t="shared" si="48"/>
        <v>3101</v>
      </c>
      <c r="DOH1" s="1">
        <f t="shared" si="48"/>
        <v>3102</v>
      </c>
      <c r="DOI1" s="1">
        <f t="shared" si="48"/>
        <v>3103</v>
      </c>
      <c r="DOJ1" s="1">
        <f t="shared" si="48"/>
        <v>3104</v>
      </c>
      <c r="DOK1" s="1">
        <f t="shared" si="48"/>
        <v>3105</v>
      </c>
      <c r="DOL1" s="1">
        <f t="shared" si="48"/>
        <v>3106</v>
      </c>
      <c r="DOM1" s="1">
        <f t="shared" si="48"/>
        <v>3107</v>
      </c>
      <c r="DON1" s="1">
        <f t="shared" si="48"/>
        <v>3108</v>
      </c>
      <c r="DOO1" s="1">
        <f t="shared" si="48"/>
        <v>3109</v>
      </c>
      <c r="DOP1" s="1">
        <f t="shared" si="48"/>
        <v>3110</v>
      </c>
      <c r="DOQ1" s="1">
        <f t="shared" si="48"/>
        <v>3111</v>
      </c>
      <c r="DOR1" s="1">
        <f t="shared" si="48"/>
        <v>3112</v>
      </c>
      <c r="DOS1" s="1">
        <f t="shared" si="48"/>
        <v>3113</v>
      </c>
      <c r="DOT1" s="1">
        <f t="shared" si="48"/>
        <v>3114</v>
      </c>
      <c r="DOU1" s="1">
        <f t="shared" si="48"/>
        <v>3115</v>
      </c>
      <c r="DOV1" s="1">
        <f t="shared" si="48"/>
        <v>3116</v>
      </c>
      <c r="DOW1" s="1">
        <f t="shared" si="48"/>
        <v>3117</v>
      </c>
      <c r="DOX1" s="1">
        <f t="shared" si="48"/>
        <v>3118</v>
      </c>
      <c r="DOY1" s="1">
        <f t="shared" si="48"/>
        <v>3119</v>
      </c>
      <c r="DOZ1" s="1">
        <f t="shared" si="48"/>
        <v>3120</v>
      </c>
      <c r="DPA1" s="1">
        <f t="shared" si="48"/>
        <v>3121</v>
      </c>
      <c r="DPB1" s="1">
        <f t="shared" si="48"/>
        <v>3122</v>
      </c>
      <c r="DPC1" s="1">
        <f t="shared" si="48"/>
        <v>3123</v>
      </c>
      <c r="DPD1" s="1">
        <f t="shared" si="48"/>
        <v>3124</v>
      </c>
      <c r="DPE1" s="1">
        <f t="shared" si="48"/>
        <v>3125</v>
      </c>
      <c r="DPF1" s="42">
        <f t="shared" si="48"/>
        <v>3126</v>
      </c>
      <c r="DPG1" s="1">
        <f t="shared" si="48"/>
        <v>3127</v>
      </c>
      <c r="DPH1" s="1">
        <f t="shared" si="48"/>
        <v>3128</v>
      </c>
      <c r="DPI1" s="1">
        <f t="shared" si="48"/>
        <v>3129</v>
      </c>
      <c r="DPJ1" s="1">
        <f t="shared" si="48"/>
        <v>3130</v>
      </c>
      <c r="DPK1" s="1">
        <f t="shared" si="48"/>
        <v>3131</v>
      </c>
      <c r="DPL1" s="1">
        <f t="shared" si="48"/>
        <v>3132</v>
      </c>
      <c r="DPM1" s="1">
        <f t="shared" si="48"/>
        <v>3133</v>
      </c>
      <c r="DPN1" s="1">
        <f t="shared" si="48"/>
        <v>3134</v>
      </c>
      <c r="DPO1" s="1">
        <f t="shared" si="48"/>
        <v>3135</v>
      </c>
      <c r="DPP1" s="1">
        <f t="shared" si="48"/>
        <v>3136</v>
      </c>
      <c r="DPQ1" s="1">
        <f t="shared" si="48"/>
        <v>3137</v>
      </c>
      <c r="DPR1" s="1">
        <f t="shared" si="48"/>
        <v>3138</v>
      </c>
      <c r="DPS1" s="1">
        <f t="shared" ref="DPS1:DSD1" si="49">DPR1+1</f>
        <v>3139</v>
      </c>
      <c r="DPT1" s="1">
        <f t="shared" si="49"/>
        <v>3140</v>
      </c>
      <c r="DPU1" s="1">
        <f t="shared" si="49"/>
        <v>3141</v>
      </c>
      <c r="DPV1" s="1">
        <f t="shared" si="49"/>
        <v>3142</v>
      </c>
      <c r="DPW1" s="1">
        <f t="shared" si="49"/>
        <v>3143</v>
      </c>
      <c r="DPX1" s="1">
        <f t="shared" si="49"/>
        <v>3144</v>
      </c>
      <c r="DPY1" s="1">
        <f t="shared" si="49"/>
        <v>3145</v>
      </c>
      <c r="DPZ1" s="1">
        <f t="shared" si="49"/>
        <v>3146</v>
      </c>
      <c r="DQA1" s="1">
        <f t="shared" si="49"/>
        <v>3147</v>
      </c>
      <c r="DQB1" s="1">
        <f t="shared" si="49"/>
        <v>3148</v>
      </c>
      <c r="DQC1" s="1">
        <f t="shared" si="49"/>
        <v>3149</v>
      </c>
      <c r="DQD1" s="1">
        <f t="shared" si="49"/>
        <v>3150</v>
      </c>
      <c r="DQE1" s="1">
        <f t="shared" si="49"/>
        <v>3151</v>
      </c>
      <c r="DQF1" s="1">
        <f t="shared" si="49"/>
        <v>3152</v>
      </c>
      <c r="DQG1" s="1">
        <f t="shared" si="49"/>
        <v>3153</v>
      </c>
      <c r="DQH1" s="1">
        <f t="shared" si="49"/>
        <v>3154</v>
      </c>
      <c r="DQI1" s="1">
        <f t="shared" si="49"/>
        <v>3155</v>
      </c>
      <c r="DQJ1" s="1">
        <f t="shared" si="49"/>
        <v>3156</v>
      </c>
      <c r="DQK1" s="1">
        <f t="shared" si="49"/>
        <v>3157</v>
      </c>
      <c r="DQL1" s="1">
        <f t="shared" si="49"/>
        <v>3158</v>
      </c>
      <c r="DQM1" s="1">
        <f t="shared" si="49"/>
        <v>3159</v>
      </c>
      <c r="DQN1" s="1">
        <f t="shared" si="49"/>
        <v>3160</v>
      </c>
      <c r="DQO1" s="1">
        <f t="shared" si="49"/>
        <v>3161</v>
      </c>
      <c r="DQP1" s="1">
        <f t="shared" si="49"/>
        <v>3162</v>
      </c>
      <c r="DQQ1" s="1">
        <f t="shared" si="49"/>
        <v>3163</v>
      </c>
      <c r="DQR1" s="1">
        <f t="shared" si="49"/>
        <v>3164</v>
      </c>
      <c r="DQS1" s="1">
        <f t="shared" si="49"/>
        <v>3165</v>
      </c>
      <c r="DQT1" s="1">
        <f t="shared" si="49"/>
        <v>3166</v>
      </c>
      <c r="DQU1" s="1">
        <f t="shared" si="49"/>
        <v>3167</v>
      </c>
      <c r="DQV1" s="1">
        <f t="shared" si="49"/>
        <v>3168</v>
      </c>
      <c r="DQW1" s="1">
        <f t="shared" si="49"/>
        <v>3169</v>
      </c>
      <c r="DQX1" s="42">
        <f t="shared" si="49"/>
        <v>3170</v>
      </c>
      <c r="DQY1" s="1">
        <f t="shared" si="49"/>
        <v>3171</v>
      </c>
      <c r="DQZ1" s="1">
        <f t="shared" si="49"/>
        <v>3172</v>
      </c>
      <c r="DRA1" s="1">
        <f t="shared" si="49"/>
        <v>3173</v>
      </c>
      <c r="DRB1" s="1">
        <f t="shared" si="49"/>
        <v>3174</v>
      </c>
      <c r="DRC1" s="1">
        <f t="shared" si="49"/>
        <v>3175</v>
      </c>
      <c r="DRD1" s="1">
        <f t="shared" si="49"/>
        <v>3176</v>
      </c>
      <c r="DRE1" s="1">
        <f t="shared" si="49"/>
        <v>3177</v>
      </c>
      <c r="DRF1" s="1">
        <f t="shared" si="49"/>
        <v>3178</v>
      </c>
      <c r="DRG1" s="1">
        <f t="shared" si="49"/>
        <v>3179</v>
      </c>
      <c r="DRH1" s="1">
        <f t="shared" si="49"/>
        <v>3180</v>
      </c>
      <c r="DRI1" s="1">
        <f t="shared" si="49"/>
        <v>3181</v>
      </c>
      <c r="DRJ1" s="1">
        <f t="shared" si="49"/>
        <v>3182</v>
      </c>
      <c r="DRK1" s="1">
        <f t="shared" si="49"/>
        <v>3183</v>
      </c>
      <c r="DRL1" s="1">
        <f t="shared" si="49"/>
        <v>3184</v>
      </c>
      <c r="DRM1" s="1">
        <f t="shared" si="49"/>
        <v>3185</v>
      </c>
      <c r="DRN1" s="1">
        <f t="shared" si="49"/>
        <v>3186</v>
      </c>
      <c r="DRO1" s="1">
        <f t="shared" si="49"/>
        <v>3187</v>
      </c>
      <c r="DRP1" s="1">
        <f t="shared" si="49"/>
        <v>3188</v>
      </c>
      <c r="DRQ1" s="1">
        <f t="shared" si="49"/>
        <v>3189</v>
      </c>
      <c r="DRR1" s="1">
        <f t="shared" si="49"/>
        <v>3190</v>
      </c>
      <c r="DRS1" s="1">
        <f t="shared" si="49"/>
        <v>3191</v>
      </c>
      <c r="DRT1" s="1">
        <f t="shared" si="49"/>
        <v>3192</v>
      </c>
      <c r="DRU1" s="1">
        <f t="shared" si="49"/>
        <v>3193</v>
      </c>
      <c r="DRV1" s="1">
        <f t="shared" si="49"/>
        <v>3194</v>
      </c>
      <c r="DRW1" s="1">
        <f t="shared" si="49"/>
        <v>3195</v>
      </c>
      <c r="DRX1" s="1">
        <f t="shared" si="49"/>
        <v>3196</v>
      </c>
      <c r="DRY1" s="1">
        <f t="shared" si="49"/>
        <v>3197</v>
      </c>
      <c r="DRZ1" s="1">
        <f t="shared" si="49"/>
        <v>3198</v>
      </c>
      <c r="DSA1" s="1">
        <f t="shared" si="49"/>
        <v>3199</v>
      </c>
      <c r="DSB1" s="1">
        <f t="shared" si="49"/>
        <v>3200</v>
      </c>
      <c r="DSC1" s="1">
        <f t="shared" si="49"/>
        <v>3201</v>
      </c>
      <c r="DSD1" s="1">
        <f t="shared" si="49"/>
        <v>3202</v>
      </c>
      <c r="DSE1" s="1">
        <f t="shared" ref="DSE1:DUP1" si="50">DSD1+1</f>
        <v>3203</v>
      </c>
      <c r="DSF1" s="1">
        <f t="shared" si="50"/>
        <v>3204</v>
      </c>
      <c r="DSG1" s="1">
        <f t="shared" si="50"/>
        <v>3205</v>
      </c>
      <c r="DSH1" s="1">
        <f t="shared" si="50"/>
        <v>3206</v>
      </c>
      <c r="DSI1" s="1">
        <f t="shared" si="50"/>
        <v>3207</v>
      </c>
      <c r="DSJ1" s="1">
        <f t="shared" si="50"/>
        <v>3208</v>
      </c>
      <c r="DSK1" s="1">
        <f t="shared" si="50"/>
        <v>3209</v>
      </c>
      <c r="DSL1" s="1">
        <f t="shared" si="50"/>
        <v>3210</v>
      </c>
      <c r="DSM1" s="1">
        <f t="shared" si="50"/>
        <v>3211</v>
      </c>
      <c r="DSN1" s="1">
        <f t="shared" si="50"/>
        <v>3212</v>
      </c>
      <c r="DSO1" s="1">
        <f t="shared" si="50"/>
        <v>3213</v>
      </c>
      <c r="DSP1" s="42">
        <f t="shared" si="50"/>
        <v>3214</v>
      </c>
      <c r="DSQ1" s="1">
        <f t="shared" si="50"/>
        <v>3215</v>
      </c>
      <c r="DSR1" s="1">
        <f t="shared" si="50"/>
        <v>3216</v>
      </c>
      <c r="DSS1" s="1">
        <f t="shared" si="50"/>
        <v>3217</v>
      </c>
      <c r="DST1" s="1">
        <f t="shared" si="50"/>
        <v>3218</v>
      </c>
      <c r="DSU1" s="1">
        <f t="shared" si="50"/>
        <v>3219</v>
      </c>
      <c r="DSV1" s="1">
        <f t="shared" si="50"/>
        <v>3220</v>
      </c>
      <c r="DSW1" s="1">
        <f t="shared" si="50"/>
        <v>3221</v>
      </c>
      <c r="DSX1" s="1">
        <f t="shared" si="50"/>
        <v>3222</v>
      </c>
      <c r="DSY1" s="1">
        <f t="shared" si="50"/>
        <v>3223</v>
      </c>
      <c r="DSZ1" s="1">
        <f t="shared" si="50"/>
        <v>3224</v>
      </c>
      <c r="DTA1" s="1">
        <f t="shared" si="50"/>
        <v>3225</v>
      </c>
      <c r="DTB1" s="1">
        <f t="shared" si="50"/>
        <v>3226</v>
      </c>
      <c r="DTC1" s="1">
        <f t="shared" si="50"/>
        <v>3227</v>
      </c>
      <c r="DTD1" s="1">
        <f t="shared" si="50"/>
        <v>3228</v>
      </c>
      <c r="DTE1" s="1">
        <f t="shared" si="50"/>
        <v>3229</v>
      </c>
      <c r="DTF1" s="1">
        <f t="shared" si="50"/>
        <v>3230</v>
      </c>
      <c r="DTG1" s="1">
        <f t="shared" si="50"/>
        <v>3231</v>
      </c>
      <c r="DTH1" s="1">
        <f t="shared" si="50"/>
        <v>3232</v>
      </c>
      <c r="DTI1" s="1">
        <f t="shared" si="50"/>
        <v>3233</v>
      </c>
      <c r="DTJ1" s="1">
        <f t="shared" si="50"/>
        <v>3234</v>
      </c>
      <c r="DTK1" s="1">
        <f t="shared" si="50"/>
        <v>3235</v>
      </c>
      <c r="DTL1" s="1">
        <f t="shared" si="50"/>
        <v>3236</v>
      </c>
      <c r="DTM1" s="1">
        <f t="shared" si="50"/>
        <v>3237</v>
      </c>
      <c r="DTN1" s="1">
        <f t="shared" si="50"/>
        <v>3238</v>
      </c>
      <c r="DTO1" s="1">
        <f t="shared" si="50"/>
        <v>3239</v>
      </c>
      <c r="DTP1" s="1">
        <f t="shared" si="50"/>
        <v>3240</v>
      </c>
      <c r="DTQ1" s="1">
        <f t="shared" si="50"/>
        <v>3241</v>
      </c>
      <c r="DTR1" s="1">
        <f t="shared" si="50"/>
        <v>3242</v>
      </c>
      <c r="DTS1" s="1">
        <f t="shared" si="50"/>
        <v>3243</v>
      </c>
      <c r="DTT1" s="1">
        <f t="shared" si="50"/>
        <v>3244</v>
      </c>
      <c r="DTU1" s="1">
        <f t="shared" si="50"/>
        <v>3245</v>
      </c>
      <c r="DTV1" s="1">
        <f t="shared" si="50"/>
        <v>3246</v>
      </c>
      <c r="DTW1" s="1">
        <f t="shared" si="50"/>
        <v>3247</v>
      </c>
      <c r="DTX1" s="1">
        <f t="shared" si="50"/>
        <v>3248</v>
      </c>
      <c r="DTY1" s="1">
        <f t="shared" si="50"/>
        <v>3249</v>
      </c>
      <c r="DTZ1" s="1">
        <f t="shared" si="50"/>
        <v>3250</v>
      </c>
      <c r="DUA1" s="1">
        <f t="shared" si="50"/>
        <v>3251</v>
      </c>
      <c r="DUB1" s="1">
        <f t="shared" si="50"/>
        <v>3252</v>
      </c>
      <c r="DUC1" s="1">
        <f t="shared" si="50"/>
        <v>3253</v>
      </c>
      <c r="DUD1" s="1">
        <f t="shared" si="50"/>
        <v>3254</v>
      </c>
      <c r="DUE1" s="1">
        <f t="shared" si="50"/>
        <v>3255</v>
      </c>
      <c r="DUF1" s="1">
        <f t="shared" si="50"/>
        <v>3256</v>
      </c>
      <c r="DUG1" s="1">
        <f t="shared" si="50"/>
        <v>3257</v>
      </c>
      <c r="DUH1" s="42">
        <f t="shared" si="50"/>
        <v>3258</v>
      </c>
      <c r="DUI1" s="1">
        <f t="shared" si="50"/>
        <v>3259</v>
      </c>
      <c r="DUJ1" s="1">
        <f t="shared" si="50"/>
        <v>3260</v>
      </c>
      <c r="DUK1" s="1">
        <f t="shared" si="50"/>
        <v>3261</v>
      </c>
      <c r="DUL1" s="1">
        <f t="shared" si="50"/>
        <v>3262</v>
      </c>
      <c r="DUM1" s="1">
        <f t="shared" si="50"/>
        <v>3263</v>
      </c>
      <c r="DUN1" s="1">
        <f t="shared" si="50"/>
        <v>3264</v>
      </c>
      <c r="DUO1" s="1">
        <f t="shared" si="50"/>
        <v>3265</v>
      </c>
      <c r="DUP1" s="1">
        <f t="shared" si="50"/>
        <v>3266</v>
      </c>
      <c r="DUQ1" s="1">
        <f t="shared" ref="DUQ1:DXB1" si="51">DUP1+1</f>
        <v>3267</v>
      </c>
      <c r="DUR1" s="1">
        <f t="shared" si="51"/>
        <v>3268</v>
      </c>
      <c r="DUS1" s="1">
        <f t="shared" si="51"/>
        <v>3269</v>
      </c>
      <c r="DUT1" s="1">
        <f t="shared" si="51"/>
        <v>3270</v>
      </c>
      <c r="DUU1" s="1">
        <f t="shared" si="51"/>
        <v>3271</v>
      </c>
      <c r="DUV1" s="1">
        <f t="shared" si="51"/>
        <v>3272</v>
      </c>
      <c r="DUW1" s="1">
        <f t="shared" si="51"/>
        <v>3273</v>
      </c>
      <c r="DUX1" s="1">
        <f t="shared" si="51"/>
        <v>3274</v>
      </c>
      <c r="DUY1" s="1">
        <f t="shared" si="51"/>
        <v>3275</v>
      </c>
      <c r="DUZ1" s="1">
        <f t="shared" si="51"/>
        <v>3276</v>
      </c>
      <c r="DVA1" s="1">
        <f t="shared" si="51"/>
        <v>3277</v>
      </c>
      <c r="DVB1" s="1">
        <f t="shared" si="51"/>
        <v>3278</v>
      </c>
      <c r="DVC1" s="1">
        <f t="shared" si="51"/>
        <v>3279</v>
      </c>
      <c r="DVD1" s="1">
        <f t="shared" si="51"/>
        <v>3280</v>
      </c>
      <c r="DVE1" s="1">
        <f t="shared" si="51"/>
        <v>3281</v>
      </c>
      <c r="DVF1" s="1">
        <f t="shared" si="51"/>
        <v>3282</v>
      </c>
      <c r="DVG1" s="1">
        <f t="shared" si="51"/>
        <v>3283</v>
      </c>
      <c r="DVH1" s="1">
        <f t="shared" si="51"/>
        <v>3284</v>
      </c>
      <c r="DVI1" s="1">
        <f t="shared" si="51"/>
        <v>3285</v>
      </c>
      <c r="DVJ1" s="1">
        <f t="shared" si="51"/>
        <v>3286</v>
      </c>
      <c r="DVK1" s="1">
        <f t="shared" si="51"/>
        <v>3287</v>
      </c>
      <c r="DVL1" s="1">
        <f t="shared" si="51"/>
        <v>3288</v>
      </c>
      <c r="DVM1" s="1">
        <f t="shared" si="51"/>
        <v>3289</v>
      </c>
      <c r="DVN1" s="1">
        <f t="shared" si="51"/>
        <v>3290</v>
      </c>
      <c r="DVO1" s="1">
        <f t="shared" si="51"/>
        <v>3291</v>
      </c>
      <c r="DVP1" s="1">
        <f t="shared" si="51"/>
        <v>3292</v>
      </c>
      <c r="DVQ1" s="1">
        <f t="shared" si="51"/>
        <v>3293</v>
      </c>
      <c r="DVR1" s="1">
        <f t="shared" si="51"/>
        <v>3294</v>
      </c>
      <c r="DVS1" s="1">
        <f t="shared" si="51"/>
        <v>3295</v>
      </c>
      <c r="DVT1" s="1">
        <f t="shared" si="51"/>
        <v>3296</v>
      </c>
      <c r="DVU1" s="1">
        <f t="shared" si="51"/>
        <v>3297</v>
      </c>
      <c r="DVV1" s="1">
        <f t="shared" si="51"/>
        <v>3298</v>
      </c>
      <c r="DVW1" s="1">
        <f t="shared" si="51"/>
        <v>3299</v>
      </c>
      <c r="DVX1" s="1">
        <f t="shared" si="51"/>
        <v>3300</v>
      </c>
      <c r="DVY1" s="1">
        <f t="shared" si="51"/>
        <v>3301</v>
      </c>
      <c r="DVZ1" s="42">
        <f t="shared" si="51"/>
        <v>3302</v>
      </c>
      <c r="DWA1" s="1">
        <f t="shared" si="51"/>
        <v>3303</v>
      </c>
      <c r="DWB1" s="1">
        <f t="shared" si="51"/>
        <v>3304</v>
      </c>
      <c r="DWC1" s="1">
        <f t="shared" si="51"/>
        <v>3305</v>
      </c>
      <c r="DWD1" s="1">
        <f t="shared" si="51"/>
        <v>3306</v>
      </c>
      <c r="DWE1" s="1">
        <f t="shared" si="51"/>
        <v>3307</v>
      </c>
      <c r="DWF1" s="1">
        <f t="shared" si="51"/>
        <v>3308</v>
      </c>
      <c r="DWG1" s="1">
        <f t="shared" si="51"/>
        <v>3309</v>
      </c>
      <c r="DWH1" s="1">
        <f t="shared" si="51"/>
        <v>3310</v>
      </c>
      <c r="DWI1" s="1">
        <f t="shared" si="51"/>
        <v>3311</v>
      </c>
      <c r="DWJ1" s="1">
        <f t="shared" si="51"/>
        <v>3312</v>
      </c>
      <c r="DWK1" s="1">
        <f t="shared" si="51"/>
        <v>3313</v>
      </c>
      <c r="DWL1" s="1">
        <f t="shared" si="51"/>
        <v>3314</v>
      </c>
      <c r="DWM1" s="1">
        <f t="shared" si="51"/>
        <v>3315</v>
      </c>
      <c r="DWN1" s="1">
        <f t="shared" si="51"/>
        <v>3316</v>
      </c>
      <c r="DWO1" s="1">
        <f t="shared" si="51"/>
        <v>3317</v>
      </c>
      <c r="DWP1" s="1">
        <f t="shared" si="51"/>
        <v>3318</v>
      </c>
      <c r="DWQ1" s="1">
        <f t="shared" si="51"/>
        <v>3319</v>
      </c>
      <c r="DWR1" s="1">
        <f t="shared" si="51"/>
        <v>3320</v>
      </c>
      <c r="DWS1" s="1">
        <f t="shared" si="51"/>
        <v>3321</v>
      </c>
      <c r="DWT1" s="1">
        <f t="shared" si="51"/>
        <v>3322</v>
      </c>
      <c r="DWU1" s="1">
        <f t="shared" si="51"/>
        <v>3323</v>
      </c>
      <c r="DWV1" s="1">
        <f t="shared" si="51"/>
        <v>3324</v>
      </c>
      <c r="DWW1" s="1">
        <f t="shared" si="51"/>
        <v>3325</v>
      </c>
      <c r="DWX1" s="1">
        <f t="shared" si="51"/>
        <v>3326</v>
      </c>
      <c r="DWY1" s="1">
        <f t="shared" si="51"/>
        <v>3327</v>
      </c>
      <c r="DWZ1" s="1">
        <f t="shared" si="51"/>
        <v>3328</v>
      </c>
      <c r="DXA1" s="1">
        <f t="shared" si="51"/>
        <v>3329</v>
      </c>
      <c r="DXB1" s="1">
        <f t="shared" si="51"/>
        <v>3330</v>
      </c>
      <c r="DXC1" s="1">
        <f t="shared" ref="DXC1:DZN1" si="52">DXB1+1</f>
        <v>3331</v>
      </c>
      <c r="DXD1" s="1">
        <f t="shared" si="52"/>
        <v>3332</v>
      </c>
      <c r="DXE1" s="1">
        <f t="shared" si="52"/>
        <v>3333</v>
      </c>
      <c r="DXF1" s="1">
        <f t="shared" si="52"/>
        <v>3334</v>
      </c>
      <c r="DXG1" s="1">
        <f t="shared" si="52"/>
        <v>3335</v>
      </c>
      <c r="DXH1" s="1">
        <f t="shared" si="52"/>
        <v>3336</v>
      </c>
      <c r="DXI1" s="1">
        <f t="shared" si="52"/>
        <v>3337</v>
      </c>
      <c r="DXJ1" s="1">
        <f t="shared" si="52"/>
        <v>3338</v>
      </c>
      <c r="DXK1" s="1">
        <f t="shared" si="52"/>
        <v>3339</v>
      </c>
      <c r="DXL1" s="1">
        <f t="shared" si="52"/>
        <v>3340</v>
      </c>
      <c r="DXM1" s="1">
        <f t="shared" si="52"/>
        <v>3341</v>
      </c>
      <c r="DXN1" s="1">
        <f t="shared" si="52"/>
        <v>3342</v>
      </c>
      <c r="DXO1" s="1">
        <f t="shared" si="52"/>
        <v>3343</v>
      </c>
      <c r="DXP1" s="1">
        <f t="shared" si="52"/>
        <v>3344</v>
      </c>
      <c r="DXQ1" s="1">
        <f t="shared" si="52"/>
        <v>3345</v>
      </c>
      <c r="DXR1" s="42">
        <f t="shared" si="52"/>
        <v>3346</v>
      </c>
      <c r="DXS1" s="1">
        <f t="shared" si="52"/>
        <v>3347</v>
      </c>
      <c r="DXT1" s="1">
        <f t="shared" si="52"/>
        <v>3348</v>
      </c>
      <c r="DXU1" s="1">
        <f t="shared" si="52"/>
        <v>3349</v>
      </c>
      <c r="DXV1" s="1">
        <f t="shared" si="52"/>
        <v>3350</v>
      </c>
      <c r="DXW1" s="1">
        <f t="shared" si="52"/>
        <v>3351</v>
      </c>
      <c r="DXX1" s="1">
        <f t="shared" si="52"/>
        <v>3352</v>
      </c>
      <c r="DXY1" s="1">
        <f t="shared" si="52"/>
        <v>3353</v>
      </c>
      <c r="DXZ1" s="1">
        <f t="shared" si="52"/>
        <v>3354</v>
      </c>
      <c r="DYA1" s="1">
        <f t="shared" si="52"/>
        <v>3355</v>
      </c>
      <c r="DYB1" s="1">
        <f t="shared" si="52"/>
        <v>3356</v>
      </c>
      <c r="DYC1" s="1">
        <f t="shared" si="52"/>
        <v>3357</v>
      </c>
      <c r="DYD1" s="1">
        <f t="shared" si="52"/>
        <v>3358</v>
      </c>
      <c r="DYE1" s="1">
        <f t="shared" si="52"/>
        <v>3359</v>
      </c>
      <c r="DYF1" s="1">
        <f t="shared" si="52"/>
        <v>3360</v>
      </c>
      <c r="DYG1" s="1">
        <f t="shared" si="52"/>
        <v>3361</v>
      </c>
      <c r="DYH1" s="1">
        <f t="shared" si="52"/>
        <v>3362</v>
      </c>
      <c r="DYI1" s="1">
        <f t="shared" si="52"/>
        <v>3363</v>
      </c>
      <c r="DYJ1" s="1">
        <f t="shared" si="52"/>
        <v>3364</v>
      </c>
      <c r="DYK1" s="1">
        <f t="shared" si="52"/>
        <v>3365</v>
      </c>
      <c r="DYL1" s="1">
        <f t="shared" si="52"/>
        <v>3366</v>
      </c>
      <c r="DYM1" s="1">
        <f t="shared" si="52"/>
        <v>3367</v>
      </c>
      <c r="DYN1" s="1">
        <f t="shared" si="52"/>
        <v>3368</v>
      </c>
      <c r="DYO1" s="1">
        <f t="shared" si="52"/>
        <v>3369</v>
      </c>
      <c r="DYP1" s="1">
        <f t="shared" si="52"/>
        <v>3370</v>
      </c>
      <c r="DYQ1" s="1">
        <f t="shared" si="52"/>
        <v>3371</v>
      </c>
      <c r="DYR1" s="1">
        <f t="shared" si="52"/>
        <v>3372</v>
      </c>
      <c r="DYS1" s="1">
        <f t="shared" si="52"/>
        <v>3373</v>
      </c>
      <c r="DYT1" s="1">
        <f t="shared" si="52"/>
        <v>3374</v>
      </c>
      <c r="DYU1" s="1">
        <f t="shared" si="52"/>
        <v>3375</v>
      </c>
      <c r="DYV1" s="1">
        <f t="shared" si="52"/>
        <v>3376</v>
      </c>
      <c r="DYW1" s="1">
        <f t="shared" si="52"/>
        <v>3377</v>
      </c>
      <c r="DYX1" s="1">
        <f t="shared" si="52"/>
        <v>3378</v>
      </c>
      <c r="DYY1" s="1">
        <f t="shared" si="52"/>
        <v>3379</v>
      </c>
      <c r="DYZ1" s="1">
        <f t="shared" si="52"/>
        <v>3380</v>
      </c>
      <c r="DZA1" s="1">
        <f t="shared" si="52"/>
        <v>3381</v>
      </c>
      <c r="DZB1" s="1">
        <f t="shared" si="52"/>
        <v>3382</v>
      </c>
      <c r="DZC1" s="1">
        <f t="shared" si="52"/>
        <v>3383</v>
      </c>
      <c r="DZD1" s="1">
        <f t="shared" si="52"/>
        <v>3384</v>
      </c>
      <c r="DZE1" s="1">
        <f t="shared" si="52"/>
        <v>3385</v>
      </c>
      <c r="DZF1" s="1">
        <f t="shared" si="52"/>
        <v>3386</v>
      </c>
      <c r="DZG1" s="1">
        <f t="shared" si="52"/>
        <v>3387</v>
      </c>
      <c r="DZH1" s="1">
        <f t="shared" si="52"/>
        <v>3388</v>
      </c>
      <c r="DZI1" s="1">
        <f t="shared" si="52"/>
        <v>3389</v>
      </c>
      <c r="DZJ1" s="42">
        <f t="shared" si="52"/>
        <v>3390</v>
      </c>
      <c r="DZK1" s="1">
        <f t="shared" si="52"/>
        <v>3391</v>
      </c>
      <c r="DZL1" s="1">
        <f t="shared" si="52"/>
        <v>3392</v>
      </c>
      <c r="DZM1" s="1">
        <f t="shared" si="52"/>
        <v>3393</v>
      </c>
      <c r="DZN1" s="1">
        <f t="shared" si="52"/>
        <v>3394</v>
      </c>
      <c r="DZO1" s="1">
        <f t="shared" ref="DZO1:EBZ1" si="53">DZN1+1</f>
        <v>3395</v>
      </c>
      <c r="DZP1" s="1">
        <f t="shared" si="53"/>
        <v>3396</v>
      </c>
      <c r="DZQ1" s="1">
        <f t="shared" si="53"/>
        <v>3397</v>
      </c>
      <c r="DZR1" s="1">
        <f t="shared" si="53"/>
        <v>3398</v>
      </c>
      <c r="DZS1" s="1">
        <f t="shared" si="53"/>
        <v>3399</v>
      </c>
      <c r="DZT1" s="1">
        <f t="shared" si="53"/>
        <v>3400</v>
      </c>
      <c r="DZU1" s="1">
        <f t="shared" si="53"/>
        <v>3401</v>
      </c>
      <c r="DZV1" s="1">
        <f t="shared" si="53"/>
        <v>3402</v>
      </c>
      <c r="DZW1" s="1">
        <f t="shared" si="53"/>
        <v>3403</v>
      </c>
      <c r="DZX1" s="1">
        <f t="shared" si="53"/>
        <v>3404</v>
      </c>
      <c r="DZY1" s="1">
        <f t="shared" si="53"/>
        <v>3405</v>
      </c>
      <c r="DZZ1" s="1">
        <f t="shared" si="53"/>
        <v>3406</v>
      </c>
      <c r="EAA1" s="1">
        <f t="shared" si="53"/>
        <v>3407</v>
      </c>
      <c r="EAB1" s="1">
        <f t="shared" si="53"/>
        <v>3408</v>
      </c>
      <c r="EAC1" s="1">
        <f t="shared" si="53"/>
        <v>3409</v>
      </c>
      <c r="EAD1" s="1">
        <f t="shared" si="53"/>
        <v>3410</v>
      </c>
      <c r="EAE1" s="1">
        <f t="shared" si="53"/>
        <v>3411</v>
      </c>
      <c r="EAF1" s="1">
        <f t="shared" si="53"/>
        <v>3412</v>
      </c>
      <c r="EAG1" s="1">
        <f t="shared" si="53"/>
        <v>3413</v>
      </c>
      <c r="EAH1" s="1">
        <f t="shared" si="53"/>
        <v>3414</v>
      </c>
      <c r="EAI1" s="1">
        <f t="shared" si="53"/>
        <v>3415</v>
      </c>
      <c r="EAJ1" s="1">
        <f t="shared" si="53"/>
        <v>3416</v>
      </c>
      <c r="EAK1" s="1">
        <f t="shared" si="53"/>
        <v>3417</v>
      </c>
      <c r="EAL1" s="1">
        <f t="shared" si="53"/>
        <v>3418</v>
      </c>
      <c r="EAM1" s="1">
        <f t="shared" si="53"/>
        <v>3419</v>
      </c>
      <c r="EAN1" s="1">
        <f t="shared" si="53"/>
        <v>3420</v>
      </c>
      <c r="EAO1" s="1">
        <f t="shared" si="53"/>
        <v>3421</v>
      </c>
      <c r="EAP1" s="1">
        <f t="shared" si="53"/>
        <v>3422</v>
      </c>
      <c r="EAQ1" s="1">
        <f t="shared" si="53"/>
        <v>3423</v>
      </c>
      <c r="EAR1" s="1">
        <f t="shared" si="53"/>
        <v>3424</v>
      </c>
      <c r="EAS1" s="1">
        <f t="shared" si="53"/>
        <v>3425</v>
      </c>
      <c r="EAT1" s="1">
        <f t="shared" si="53"/>
        <v>3426</v>
      </c>
      <c r="EAU1" s="1">
        <f t="shared" si="53"/>
        <v>3427</v>
      </c>
      <c r="EAV1" s="1">
        <f t="shared" si="53"/>
        <v>3428</v>
      </c>
      <c r="EAW1" s="1">
        <f t="shared" si="53"/>
        <v>3429</v>
      </c>
      <c r="EAX1" s="1">
        <f t="shared" si="53"/>
        <v>3430</v>
      </c>
      <c r="EAY1" s="1">
        <f t="shared" si="53"/>
        <v>3431</v>
      </c>
      <c r="EAZ1" s="1">
        <f t="shared" si="53"/>
        <v>3432</v>
      </c>
      <c r="EBA1" s="1">
        <f t="shared" si="53"/>
        <v>3433</v>
      </c>
      <c r="EBB1" s="42">
        <f t="shared" si="53"/>
        <v>3434</v>
      </c>
      <c r="EBC1" s="1">
        <f t="shared" si="53"/>
        <v>3435</v>
      </c>
      <c r="EBD1" s="1">
        <f t="shared" si="53"/>
        <v>3436</v>
      </c>
      <c r="EBE1" s="1">
        <f t="shared" si="53"/>
        <v>3437</v>
      </c>
      <c r="EBF1" s="1">
        <f t="shared" si="53"/>
        <v>3438</v>
      </c>
      <c r="EBG1" s="1">
        <f t="shared" si="53"/>
        <v>3439</v>
      </c>
      <c r="EBH1" s="1">
        <f t="shared" si="53"/>
        <v>3440</v>
      </c>
      <c r="EBI1" s="1">
        <f t="shared" si="53"/>
        <v>3441</v>
      </c>
      <c r="EBJ1" s="1">
        <f t="shared" si="53"/>
        <v>3442</v>
      </c>
      <c r="EBK1" s="1">
        <f t="shared" si="53"/>
        <v>3443</v>
      </c>
      <c r="EBL1" s="1">
        <f t="shared" si="53"/>
        <v>3444</v>
      </c>
      <c r="EBM1" s="1">
        <f t="shared" si="53"/>
        <v>3445</v>
      </c>
      <c r="EBN1" s="1">
        <f t="shared" si="53"/>
        <v>3446</v>
      </c>
      <c r="EBO1" s="1">
        <f t="shared" si="53"/>
        <v>3447</v>
      </c>
      <c r="EBP1" s="1">
        <f t="shared" si="53"/>
        <v>3448</v>
      </c>
      <c r="EBQ1" s="1">
        <f t="shared" si="53"/>
        <v>3449</v>
      </c>
      <c r="EBR1" s="1">
        <f t="shared" si="53"/>
        <v>3450</v>
      </c>
      <c r="EBS1" s="1">
        <f t="shared" si="53"/>
        <v>3451</v>
      </c>
      <c r="EBT1" s="1">
        <f t="shared" si="53"/>
        <v>3452</v>
      </c>
      <c r="EBU1" s="1">
        <f t="shared" si="53"/>
        <v>3453</v>
      </c>
      <c r="EBV1" s="1">
        <f t="shared" si="53"/>
        <v>3454</v>
      </c>
      <c r="EBW1" s="1">
        <f t="shared" si="53"/>
        <v>3455</v>
      </c>
      <c r="EBX1" s="1">
        <f t="shared" si="53"/>
        <v>3456</v>
      </c>
      <c r="EBY1" s="1">
        <f t="shared" si="53"/>
        <v>3457</v>
      </c>
      <c r="EBZ1" s="1">
        <f t="shared" si="53"/>
        <v>3458</v>
      </c>
      <c r="ECA1" s="1">
        <f t="shared" ref="ECA1:EEL1" si="54">EBZ1+1</f>
        <v>3459</v>
      </c>
      <c r="ECB1" s="1">
        <f t="shared" si="54"/>
        <v>3460</v>
      </c>
      <c r="ECC1" s="1">
        <f t="shared" si="54"/>
        <v>3461</v>
      </c>
      <c r="ECD1" s="1">
        <f t="shared" si="54"/>
        <v>3462</v>
      </c>
      <c r="ECE1" s="1">
        <f t="shared" si="54"/>
        <v>3463</v>
      </c>
      <c r="ECF1" s="1">
        <f t="shared" si="54"/>
        <v>3464</v>
      </c>
      <c r="ECG1" s="1">
        <f t="shared" si="54"/>
        <v>3465</v>
      </c>
      <c r="ECH1" s="1">
        <f t="shared" si="54"/>
        <v>3466</v>
      </c>
      <c r="ECI1" s="1">
        <f t="shared" si="54"/>
        <v>3467</v>
      </c>
      <c r="ECJ1" s="1">
        <f t="shared" si="54"/>
        <v>3468</v>
      </c>
      <c r="ECK1" s="1">
        <f t="shared" si="54"/>
        <v>3469</v>
      </c>
      <c r="ECL1" s="1">
        <f t="shared" si="54"/>
        <v>3470</v>
      </c>
      <c r="ECM1" s="1">
        <f t="shared" si="54"/>
        <v>3471</v>
      </c>
      <c r="ECN1" s="1">
        <f t="shared" si="54"/>
        <v>3472</v>
      </c>
      <c r="ECO1" s="1">
        <f t="shared" si="54"/>
        <v>3473</v>
      </c>
      <c r="ECP1" s="1">
        <f t="shared" si="54"/>
        <v>3474</v>
      </c>
      <c r="ECQ1" s="1">
        <f t="shared" si="54"/>
        <v>3475</v>
      </c>
      <c r="ECR1" s="1">
        <f t="shared" si="54"/>
        <v>3476</v>
      </c>
      <c r="ECS1" s="1">
        <f t="shared" si="54"/>
        <v>3477</v>
      </c>
      <c r="ECT1" s="42">
        <f t="shared" si="54"/>
        <v>3478</v>
      </c>
      <c r="ECU1" s="1">
        <f t="shared" si="54"/>
        <v>3479</v>
      </c>
      <c r="ECV1" s="1">
        <f t="shared" si="54"/>
        <v>3480</v>
      </c>
      <c r="ECW1" s="1">
        <f t="shared" si="54"/>
        <v>3481</v>
      </c>
      <c r="ECX1" s="1">
        <f t="shared" si="54"/>
        <v>3482</v>
      </c>
      <c r="ECY1" s="1">
        <f t="shared" si="54"/>
        <v>3483</v>
      </c>
      <c r="ECZ1" s="1">
        <f t="shared" si="54"/>
        <v>3484</v>
      </c>
      <c r="EDA1" s="1">
        <f t="shared" si="54"/>
        <v>3485</v>
      </c>
      <c r="EDB1" s="1">
        <f t="shared" si="54"/>
        <v>3486</v>
      </c>
      <c r="EDC1" s="1">
        <f t="shared" si="54"/>
        <v>3487</v>
      </c>
      <c r="EDD1" s="1">
        <f t="shared" si="54"/>
        <v>3488</v>
      </c>
      <c r="EDE1" s="1">
        <f t="shared" si="54"/>
        <v>3489</v>
      </c>
      <c r="EDF1" s="1">
        <f t="shared" si="54"/>
        <v>3490</v>
      </c>
      <c r="EDG1" s="1">
        <f t="shared" si="54"/>
        <v>3491</v>
      </c>
      <c r="EDH1" s="1">
        <f t="shared" si="54"/>
        <v>3492</v>
      </c>
      <c r="EDI1" s="1">
        <f t="shared" si="54"/>
        <v>3493</v>
      </c>
      <c r="EDJ1" s="1">
        <f t="shared" si="54"/>
        <v>3494</v>
      </c>
      <c r="EDK1" s="1">
        <f t="shared" si="54"/>
        <v>3495</v>
      </c>
      <c r="EDL1" s="1">
        <f t="shared" si="54"/>
        <v>3496</v>
      </c>
      <c r="EDM1" s="1">
        <f t="shared" si="54"/>
        <v>3497</v>
      </c>
      <c r="EDN1" s="1">
        <f t="shared" si="54"/>
        <v>3498</v>
      </c>
      <c r="EDO1" s="1">
        <f t="shared" si="54"/>
        <v>3499</v>
      </c>
      <c r="EDP1" s="1">
        <f t="shared" si="54"/>
        <v>3500</v>
      </c>
      <c r="EDQ1" s="1">
        <f t="shared" si="54"/>
        <v>3501</v>
      </c>
      <c r="EDR1" s="1">
        <f t="shared" si="54"/>
        <v>3502</v>
      </c>
      <c r="EDS1" s="1">
        <f t="shared" si="54"/>
        <v>3503</v>
      </c>
      <c r="EDT1" s="1">
        <f t="shared" si="54"/>
        <v>3504</v>
      </c>
      <c r="EDU1" s="1">
        <f t="shared" si="54"/>
        <v>3505</v>
      </c>
      <c r="EDV1" s="1">
        <f t="shared" si="54"/>
        <v>3506</v>
      </c>
      <c r="EDW1" s="1">
        <f t="shared" si="54"/>
        <v>3507</v>
      </c>
      <c r="EDX1" s="1">
        <f t="shared" si="54"/>
        <v>3508</v>
      </c>
      <c r="EDY1" s="1">
        <f t="shared" si="54"/>
        <v>3509</v>
      </c>
      <c r="EDZ1" s="1">
        <f t="shared" si="54"/>
        <v>3510</v>
      </c>
      <c r="EEA1" s="1">
        <f t="shared" si="54"/>
        <v>3511</v>
      </c>
      <c r="EEB1" s="1">
        <f t="shared" si="54"/>
        <v>3512</v>
      </c>
      <c r="EEC1" s="1">
        <f t="shared" si="54"/>
        <v>3513</v>
      </c>
      <c r="EED1" s="1">
        <f t="shared" si="54"/>
        <v>3514</v>
      </c>
      <c r="EEE1" s="1">
        <f t="shared" si="54"/>
        <v>3515</v>
      </c>
      <c r="EEF1" s="1">
        <f t="shared" si="54"/>
        <v>3516</v>
      </c>
      <c r="EEG1" s="1">
        <f t="shared" si="54"/>
        <v>3517</v>
      </c>
      <c r="EEH1" s="1">
        <f t="shared" si="54"/>
        <v>3518</v>
      </c>
      <c r="EEI1" s="1">
        <f t="shared" si="54"/>
        <v>3519</v>
      </c>
      <c r="EEJ1" s="1">
        <f t="shared" si="54"/>
        <v>3520</v>
      </c>
      <c r="EEK1" s="1">
        <f t="shared" si="54"/>
        <v>3521</v>
      </c>
      <c r="EEL1" s="42">
        <f t="shared" si="54"/>
        <v>3522</v>
      </c>
      <c r="EEM1" s="1">
        <f t="shared" ref="EEM1:EGX1" si="55">EEL1+1</f>
        <v>3523</v>
      </c>
      <c r="EEN1" s="1">
        <f t="shared" si="55"/>
        <v>3524</v>
      </c>
      <c r="EEO1" s="1">
        <f t="shared" si="55"/>
        <v>3525</v>
      </c>
      <c r="EEP1" s="1">
        <f t="shared" si="55"/>
        <v>3526</v>
      </c>
      <c r="EEQ1" s="1">
        <f t="shared" si="55"/>
        <v>3527</v>
      </c>
      <c r="EER1" s="1">
        <f t="shared" si="55"/>
        <v>3528</v>
      </c>
      <c r="EES1" s="1">
        <f t="shared" si="55"/>
        <v>3529</v>
      </c>
      <c r="EET1" s="1">
        <f t="shared" si="55"/>
        <v>3530</v>
      </c>
      <c r="EEU1" s="1">
        <f t="shared" si="55"/>
        <v>3531</v>
      </c>
      <c r="EEV1" s="1">
        <f t="shared" si="55"/>
        <v>3532</v>
      </c>
      <c r="EEW1" s="1">
        <f t="shared" si="55"/>
        <v>3533</v>
      </c>
      <c r="EEX1" s="1">
        <f t="shared" si="55"/>
        <v>3534</v>
      </c>
      <c r="EEY1" s="1">
        <f t="shared" si="55"/>
        <v>3535</v>
      </c>
      <c r="EEZ1" s="1">
        <f t="shared" si="55"/>
        <v>3536</v>
      </c>
      <c r="EFA1" s="1">
        <f t="shared" si="55"/>
        <v>3537</v>
      </c>
      <c r="EFB1" s="1">
        <f t="shared" si="55"/>
        <v>3538</v>
      </c>
      <c r="EFC1" s="1">
        <f t="shared" si="55"/>
        <v>3539</v>
      </c>
      <c r="EFD1" s="1">
        <f t="shared" si="55"/>
        <v>3540</v>
      </c>
      <c r="EFE1" s="1">
        <f t="shared" si="55"/>
        <v>3541</v>
      </c>
      <c r="EFF1" s="1">
        <f t="shared" si="55"/>
        <v>3542</v>
      </c>
      <c r="EFG1" s="1">
        <f t="shared" si="55"/>
        <v>3543</v>
      </c>
      <c r="EFH1" s="1">
        <f t="shared" si="55"/>
        <v>3544</v>
      </c>
      <c r="EFI1" s="1">
        <f t="shared" si="55"/>
        <v>3545</v>
      </c>
      <c r="EFJ1" s="1">
        <f t="shared" si="55"/>
        <v>3546</v>
      </c>
      <c r="EFK1" s="1">
        <f t="shared" si="55"/>
        <v>3547</v>
      </c>
      <c r="EFL1" s="1">
        <f t="shared" si="55"/>
        <v>3548</v>
      </c>
      <c r="EFM1" s="1">
        <f t="shared" si="55"/>
        <v>3549</v>
      </c>
      <c r="EFN1" s="1">
        <f t="shared" si="55"/>
        <v>3550</v>
      </c>
      <c r="EFO1" s="1">
        <f t="shared" si="55"/>
        <v>3551</v>
      </c>
      <c r="EFP1" s="1">
        <f t="shared" si="55"/>
        <v>3552</v>
      </c>
      <c r="EFQ1" s="1">
        <f t="shared" si="55"/>
        <v>3553</v>
      </c>
      <c r="EFR1" s="1">
        <f t="shared" si="55"/>
        <v>3554</v>
      </c>
      <c r="EFS1" s="1">
        <f t="shared" si="55"/>
        <v>3555</v>
      </c>
      <c r="EFT1" s="1">
        <f t="shared" si="55"/>
        <v>3556</v>
      </c>
      <c r="EFU1" s="1">
        <f t="shared" si="55"/>
        <v>3557</v>
      </c>
      <c r="EFV1" s="1">
        <f t="shared" si="55"/>
        <v>3558</v>
      </c>
      <c r="EFW1" s="1">
        <f t="shared" si="55"/>
        <v>3559</v>
      </c>
      <c r="EFX1" s="1">
        <f t="shared" si="55"/>
        <v>3560</v>
      </c>
      <c r="EFY1" s="1">
        <f t="shared" si="55"/>
        <v>3561</v>
      </c>
      <c r="EFZ1" s="1">
        <f t="shared" si="55"/>
        <v>3562</v>
      </c>
      <c r="EGA1" s="1">
        <f t="shared" si="55"/>
        <v>3563</v>
      </c>
      <c r="EGB1" s="1">
        <f t="shared" si="55"/>
        <v>3564</v>
      </c>
      <c r="EGC1" s="1">
        <f t="shared" si="55"/>
        <v>3565</v>
      </c>
      <c r="EGD1" s="42">
        <f t="shared" si="55"/>
        <v>3566</v>
      </c>
      <c r="EGE1" s="1">
        <f t="shared" si="55"/>
        <v>3567</v>
      </c>
      <c r="EGF1" s="1">
        <f t="shared" si="55"/>
        <v>3568</v>
      </c>
      <c r="EGG1" s="1">
        <f t="shared" si="55"/>
        <v>3569</v>
      </c>
      <c r="EGH1" s="1">
        <f t="shared" si="55"/>
        <v>3570</v>
      </c>
      <c r="EGI1" s="1">
        <f t="shared" si="55"/>
        <v>3571</v>
      </c>
      <c r="EGJ1" s="1">
        <f t="shared" si="55"/>
        <v>3572</v>
      </c>
      <c r="EGK1" s="1">
        <f t="shared" si="55"/>
        <v>3573</v>
      </c>
      <c r="EGL1" s="1">
        <f t="shared" si="55"/>
        <v>3574</v>
      </c>
      <c r="EGM1" s="1">
        <f t="shared" si="55"/>
        <v>3575</v>
      </c>
      <c r="EGN1" s="1">
        <f t="shared" si="55"/>
        <v>3576</v>
      </c>
      <c r="EGO1" s="1">
        <f t="shared" si="55"/>
        <v>3577</v>
      </c>
      <c r="EGP1" s="1">
        <f t="shared" si="55"/>
        <v>3578</v>
      </c>
      <c r="EGQ1" s="1">
        <f t="shared" si="55"/>
        <v>3579</v>
      </c>
      <c r="EGR1" s="1">
        <f t="shared" si="55"/>
        <v>3580</v>
      </c>
      <c r="EGS1" s="1">
        <f t="shared" si="55"/>
        <v>3581</v>
      </c>
      <c r="EGT1" s="1">
        <f t="shared" si="55"/>
        <v>3582</v>
      </c>
      <c r="EGU1" s="1">
        <f t="shared" si="55"/>
        <v>3583</v>
      </c>
      <c r="EGV1" s="1">
        <f t="shared" si="55"/>
        <v>3584</v>
      </c>
      <c r="EGW1" s="1">
        <f t="shared" si="55"/>
        <v>3585</v>
      </c>
      <c r="EGX1" s="1">
        <f t="shared" si="55"/>
        <v>3586</v>
      </c>
      <c r="EGY1" s="1">
        <f t="shared" ref="EGY1:EJJ1" si="56">EGX1+1</f>
        <v>3587</v>
      </c>
      <c r="EGZ1" s="1">
        <f t="shared" si="56"/>
        <v>3588</v>
      </c>
      <c r="EHA1" s="1">
        <f t="shared" si="56"/>
        <v>3589</v>
      </c>
      <c r="EHB1" s="1">
        <f t="shared" si="56"/>
        <v>3590</v>
      </c>
      <c r="EHC1" s="1">
        <f t="shared" si="56"/>
        <v>3591</v>
      </c>
      <c r="EHD1" s="1">
        <f t="shared" si="56"/>
        <v>3592</v>
      </c>
      <c r="EHE1" s="1">
        <f t="shared" si="56"/>
        <v>3593</v>
      </c>
      <c r="EHF1" s="1">
        <f t="shared" si="56"/>
        <v>3594</v>
      </c>
      <c r="EHG1" s="1">
        <f t="shared" si="56"/>
        <v>3595</v>
      </c>
      <c r="EHH1" s="1">
        <f t="shared" si="56"/>
        <v>3596</v>
      </c>
      <c r="EHI1" s="1">
        <f t="shared" si="56"/>
        <v>3597</v>
      </c>
      <c r="EHJ1" s="1">
        <f t="shared" si="56"/>
        <v>3598</v>
      </c>
      <c r="EHK1" s="1">
        <f t="shared" si="56"/>
        <v>3599</v>
      </c>
      <c r="EHL1" s="1">
        <f t="shared" si="56"/>
        <v>3600</v>
      </c>
      <c r="EHM1" s="1">
        <f t="shared" si="56"/>
        <v>3601</v>
      </c>
      <c r="EHN1" s="1">
        <f t="shared" si="56"/>
        <v>3602</v>
      </c>
      <c r="EHO1" s="1">
        <f t="shared" si="56"/>
        <v>3603</v>
      </c>
      <c r="EHP1" s="1">
        <f t="shared" si="56"/>
        <v>3604</v>
      </c>
      <c r="EHQ1" s="1">
        <f t="shared" si="56"/>
        <v>3605</v>
      </c>
      <c r="EHR1" s="1">
        <f t="shared" si="56"/>
        <v>3606</v>
      </c>
      <c r="EHS1" s="1">
        <f t="shared" si="56"/>
        <v>3607</v>
      </c>
      <c r="EHT1" s="1">
        <f t="shared" si="56"/>
        <v>3608</v>
      </c>
      <c r="EHU1" s="1">
        <f t="shared" si="56"/>
        <v>3609</v>
      </c>
      <c r="EHV1" s="42">
        <f t="shared" si="56"/>
        <v>3610</v>
      </c>
      <c r="EHW1" s="1">
        <f t="shared" si="56"/>
        <v>3611</v>
      </c>
      <c r="EHX1" s="1">
        <f t="shared" si="56"/>
        <v>3612</v>
      </c>
      <c r="EHY1" s="1">
        <f t="shared" si="56"/>
        <v>3613</v>
      </c>
      <c r="EHZ1" s="1">
        <f t="shared" si="56"/>
        <v>3614</v>
      </c>
      <c r="EIA1" s="1">
        <f t="shared" si="56"/>
        <v>3615</v>
      </c>
      <c r="EIB1" s="1">
        <f t="shared" si="56"/>
        <v>3616</v>
      </c>
      <c r="EIC1" s="1">
        <f t="shared" si="56"/>
        <v>3617</v>
      </c>
      <c r="EID1" s="1">
        <f t="shared" si="56"/>
        <v>3618</v>
      </c>
      <c r="EIE1" s="1">
        <f t="shared" si="56"/>
        <v>3619</v>
      </c>
      <c r="EIF1" s="1">
        <f t="shared" si="56"/>
        <v>3620</v>
      </c>
      <c r="EIG1" s="1">
        <f t="shared" si="56"/>
        <v>3621</v>
      </c>
      <c r="EIH1" s="1">
        <f t="shared" si="56"/>
        <v>3622</v>
      </c>
      <c r="EII1" s="1">
        <f t="shared" si="56"/>
        <v>3623</v>
      </c>
      <c r="EIJ1" s="1">
        <f t="shared" si="56"/>
        <v>3624</v>
      </c>
      <c r="EIK1" s="1">
        <f t="shared" si="56"/>
        <v>3625</v>
      </c>
      <c r="EIL1" s="1">
        <f t="shared" si="56"/>
        <v>3626</v>
      </c>
      <c r="EIM1" s="1">
        <f t="shared" si="56"/>
        <v>3627</v>
      </c>
      <c r="EIN1" s="1">
        <f t="shared" si="56"/>
        <v>3628</v>
      </c>
      <c r="EIO1" s="1">
        <f t="shared" si="56"/>
        <v>3629</v>
      </c>
      <c r="EIP1" s="1">
        <f t="shared" si="56"/>
        <v>3630</v>
      </c>
      <c r="EIQ1" s="1">
        <f t="shared" si="56"/>
        <v>3631</v>
      </c>
      <c r="EIR1" s="1">
        <f t="shared" si="56"/>
        <v>3632</v>
      </c>
      <c r="EIS1" s="1">
        <f t="shared" si="56"/>
        <v>3633</v>
      </c>
      <c r="EIT1" s="1">
        <f t="shared" si="56"/>
        <v>3634</v>
      </c>
      <c r="EIU1" s="1">
        <f t="shared" si="56"/>
        <v>3635</v>
      </c>
      <c r="EIV1" s="1">
        <f t="shared" si="56"/>
        <v>3636</v>
      </c>
      <c r="EIW1" s="1">
        <f t="shared" si="56"/>
        <v>3637</v>
      </c>
      <c r="EIX1" s="1">
        <f t="shared" si="56"/>
        <v>3638</v>
      </c>
      <c r="EIY1" s="1">
        <f t="shared" si="56"/>
        <v>3639</v>
      </c>
      <c r="EIZ1" s="1">
        <f t="shared" si="56"/>
        <v>3640</v>
      </c>
      <c r="EJA1" s="1">
        <f t="shared" si="56"/>
        <v>3641</v>
      </c>
      <c r="EJB1" s="1">
        <f t="shared" si="56"/>
        <v>3642</v>
      </c>
      <c r="EJC1" s="1">
        <f t="shared" si="56"/>
        <v>3643</v>
      </c>
      <c r="EJD1" s="1">
        <f t="shared" si="56"/>
        <v>3644</v>
      </c>
      <c r="EJE1" s="1">
        <f t="shared" si="56"/>
        <v>3645</v>
      </c>
      <c r="EJF1" s="1">
        <f t="shared" si="56"/>
        <v>3646</v>
      </c>
      <c r="EJG1" s="1">
        <f t="shared" si="56"/>
        <v>3647</v>
      </c>
      <c r="EJH1" s="1">
        <f t="shared" si="56"/>
        <v>3648</v>
      </c>
      <c r="EJI1" s="1">
        <f t="shared" si="56"/>
        <v>3649</v>
      </c>
      <c r="EJJ1" s="1">
        <f t="shared" si="56"/>
        <v>3650</v>
      </c>
      <c r="EJK1" s="1">
        <f t="shared" ref="EJK1:ELV1" si="57">EJJ1+1</f>
        <v>3651</v>
      </c>
      <c r="EJL1" s="1">
        <f t="shared" si="57"/>
        <v>3652</v>
      </c>
      <c r="EJM1" s="1">
        <f t="shared" si="57"/>
        <v>3653</v>
      </c>
      <c r="EJN1" s="42">
        <f t="shared" si="57"/>
        <v>3654</v>
      </c>
      <c r="EJO1" s="1">
        <f t="shared" si="57"/>
        <v>3655</v>
      </c>
      <c r="EJP1" s="1">
        <f t="shared" si="57"/>
        <v>3656</v>
      </c>
      <c r="EJQ1" s="1">
        <f t="shared" si="57"/>
        <v>3657</v>
      </c>
      <c r="EJR1" s="1">
        <f t="shared" si="57"/>
        <v>3658</v>
      </c>
      <c r="EJS1" s="1">
        <f t="shared" si="57"/>
        <v>3659</v>
      </c>
      <c r="EJT1" s="1">
        <f t="shared" si="57"/>
        <v>3660</v>
      </c>
      <c r="EJU1" s="1">
        <f t="shared" si="57"/>
        <v>3661</v>
      </c>
      <c r="EJV1" s="1">
        <f t="shared" si="57"/>
        <v>3662</v>
      </c>
      <c r="EJW1" s="1">
        <f t="shared" si="57"/>
        <v>3663</v>
      </c>
      <c r="EJX1" s="1">
        <f t="shared" si="57"/>
        <v>3664</v>
      </c>
      <c r="EJY1" s="1">
        <f t="shared" si="57"/>
        <v>3665</v>
      </c>
      <c r="EJZ1" s="1">
        <f t="shared" si="57"/>
        <v>3666</v>
      </c>
      <c r="EKA1" s="1">
        <f t="shared" si="57"/>
        <v>3667</v>
      </c>
      <c r="EKB1" s="1">
        <f t="shared" si="57"/>
        <v>3668</v>
      </c>
      <c r="EKC1" s="1">
        <f t="shared" si="57"/>
        <v>3669</v>
      </c>
      <c r="EKD1" s="1">
        <f t="shared" si="57"/>
        <v>3670</v>
      </c>
      <c r="EKE1" s="1">
        <f t="shared" si="57"/>
        <v>3671</v>
      </c>
      <c r="EKF1" s="1">
        <f t="shared" si="57"/>
        <v>3672</v>
      </c>
      <c r="EKG1" s="1">
        <f t="shared" si="57"/>
        <v>3673</v>
      </c>
      <c r="EKH1" s="1">
        <f t="shared" si="57"/>
        <v>3674</v>
      </c>
      <c r="EKI1" s="1">
        <f t="shared" si="57"/>
        <v>3675</v>
      </c>
      <c r="EKJ1" s="1">
        <f t="shared" si="57"/>
        <v>3676</v>
      </c>
      <c r="EKK1" s="1">
        <f t="shared" si="57"/>
        <v>3677</v>
      </c>
      <c r="EKL1" s="1">
        <f t="shared" si="57"/>
        <v>3678</v>
      </c>
      <c r="EKM1" s="1">
        <f t="shared" si="57"/>
        <v>3679</v>
      </c>
      <c r="EKN1" s="1">
        <f t="shared" si="57"/>
        <v>3680</v>
      </c>
      <c r="EKO1" s="1">
        <f t="shared" si="57"/>
        <v>3681</v>
      </c>
      <c r="EKP1" s="1">
        <f t="shared" si="57"/>
        <v>3682</v>
      </c>
      <c r="EKQ1" s="1">
        <f t="shared" si="57"/>
        <v>3683</v>
      </c>
      <c r="EKR1" s="1">
        <f t="shared" si="57"/>
        <v>3684</v>
      </c>
      <c r="EKS1" s="1">
        <f t="shared" si="57"/>
        <v>3685</v>
      </c>
      <c r="EKT1" s="1">
        <f t="shared" si="57"/>
        <v>3686</v>
      </c>
      <c r="EKU1" s="1">
        <f t="shared" si="57"/>
        <v>3687</v>
      </c>
      <c r="EKV1" s="1">
        <f t="shared" si="57"/>
        <v>3688</v>
      </c>
      <c r="EKW1" s="1">
        <f t="shared" si="57"/>
        <v>3689</v>
      </c>
      <c r="EKX1" s="1">
        <f t="shared" si="57"/>
        <v>3690</v>
      </c>
      <c r="EKY1" s="1">
        <f t="shared" si="57"/>
        <v>3691</v>
      </c>
      <c r="EKZ1" s="1">
        <f t="shared" si="57"/>
        <v>3692</v>
      </c>
      <c r="ELA1" s="1">
        <f t="shared" si="57"/>
        <v>3693</v>
      </c>
      <c r="ELB1" s="1">
        <f t="shared" si="57"/>
        <v>3694</v>
      </c>
      <c r="ELC1" s="1">
        <f t="shared" si="57"/>
        <v>3695</v>
      </c>
      <c r="ELD1" s="1">
        <f t="shared" si="57"/>
        <v>3696</v>
      </c>
      <c r="ELE1" s="1">
        <f t="shared" si="57"/>
        <v>3697</v>
      </c>
      <c r="ELF1" s="42">
        <f t="shared" si="57"/>
        <v>3698</v>
      </c>
      <c r="ELG1" s="1">
        <f t="shared" si="57"/>
        <v>3699</v>
      </c>
      <c r="ELH1" s="1">
        <f t="shared" si="57"/>
        <v>3700</v>
      </c>
      <c r="ELI1" s="1">
        <f t="shared" si="57"/>
        <v>3701</v>
      </c>
      <c r="ELJ1" s="1">
        <f t="shared" si="57"/>
        <v>3702</v>
      </c>
      <c r="ELK1" s="1">
        <f t="shared" si="57"/>
        <v>3703</v>
      </c>
      <c r="ELL1" s="1">
        <f t="shared" si="57"/>
        <v>3704</v>
      </c>
      <c r="ELM1" s="1">
        <f t="shared" si="57"/>
        <v>3705</v>
      </c>
      <c r="ELN1" s="1">
        <f t="shared" si="57"/>
        <v>3706</v>
      </c>
      <c r="ELO1" s="1">
        <f t="shared" si="57"/>
        <v>3707</v>
      </c>
      <c r="ELP1" s="1">
        <f t="shared" si="57"/>
        <v>3708</v>
      </c>
      <c r="ELQ1" s="1">
        <f t="shared" si="57"/>
        <v>3709</v>
      </c>
      <c r="ELR1" s="1">
        <f t="shared" si="57"/>
        <v>3710</v>
      </c>
      <c r="ELS1" s="1">
        <f t="shared" si="57"/>
        <v>3711</v>
      </c>
      <c r="ELT1" s="1">
        <f t="shared" si="57"/>
        <v>3712</v>
      </c>
      <c r="ELU1" s="1">
        <f t="shared" si="57"/>
        <v>3713</v>
      </c>
      <c r="ELV1" s="1">
        <f t="shared" si="57"/>
        <v>3714</v>
      </c>
      <c r="ELW1" s="1">
        <f t="shared" ref="ELW1:EOH1" si="58">ELV1+1</f>
        <v>3715</v>
      </c>
      <c r="ELX1" s="1">
        <f t="shared" si="58"/>
        <v>3716</v>
      </c>
      <c r="ELY1" s="1">
        <f t="shared" si="58"/>
        <v>3717</v>
      </c>
      <c r="ELZ1" s="1">
        <f t="shared" si="58"/>
        <v>3718</v>
      </c>
      <c r="EMA1" s="1">
        <f t="shared" si="58"/>
        <v>3719</v>
      </c>
      <c r="EMB1" s="1">
        <f t="shared" si="58"/>
        <v>3720</v>
      </c>
      <c r="EMC1" s="1">
        <f t="shared" si="58"/>
        <v>3721</v>
      </c>
      <c r="EMD1" s="1">
        <f t="shared" si="58"/>
        <v>3722</v>
      </c>
      <c r="EME1" s="1">
        <f t="shared" si="58"/>
        <v>3723</v>
      </c>
      <c r="EMF1" s="1">
        <f t="shared" si="58"/>
        <v>3724</v>
      </c>
      <c r="EMG1" s="1">
        <f t="shared" si="58"/>
        <v>3725</v>
      </c>
      <c r="EMH1" s="1">
        <f t="shared" si="58"/>
        <v>3726</v>
      </c>
      <c r="EMI1" s="1">
        <f t="shared" si="58"/>
        <v>3727</v>
      </c>
      <c r="EMJ1" s="1">
        <f t="shared" si="58"/>
        <v>3728</v>
      </c>
      <c r="EMK1" s="1">
        <f t="shared" si="58"/>
        <v>3729</v>
      </c>
      <c r="EML1" s="1">
        <f t="shared" si="58"/>
        <v>3730</v>
      </c>
      <c r="EMM1" s="1">
        <f t="shared" si="58"/>
        <v>3731</v>
      </c>
      <c r="EMN1" s="1">
        <f t="shared" si="58"/>
        <v>3732</v>
      </c>
      <c r="EMO1" s="1">
        <f t="shared" si="58"/>
        <v>3733</v>
      </c>
      <c r="EMP1" s="1">
        <f t="shared" si="58"/>
        <v>3734</v>
      </c>
      <c r="EMQ1" s="1">
        <f t="shared" si="58"/>
        <v>3735</v>
      </c>
      <c r="EMR1" s="1">
        <f t="shared" si="58"/>
        <v>3736</v>
      </c>
      <c r="EMS1" s="1">
        <f t="shared" si="58"/>
        <v>3737</v>
      </c>
      <c r="EMT1" s="1">
        <f t="shared" si="58"/>
        <v>3738</v>
      </c>
      <c r="EMU1" s="1">
        <f t="shared" si="58"/>
        <v>3739</v>
      </c>
      <c r="EMV1" s="1">
        <f t="shared" si="58"/>
        <v>3740</v>
      </c>
      <c r="EMW1" s="1">
        <f t="shared" si="58"/>
        <v>3741</v>
      </c>
      <c r="EMX1" s="42">
        <f t="shared" si="58"/>
        <v>3742</v>
      </c>
      <c r="EMY1" s="1">
        <f t="shared" si="58"/>
        <v>3743</v>
      </c>
      <c r="EMZ1" s="1">
        <f t="shared" si="58"/>
        <v>3744</v>
      </c>
      <c r="ENA1" s="1">
        <f t="shared" si="58"/>
        <v>3745</v>
      </c>
      <c r="ENB1" s="1">
        <f t="shared" si="58"/>
        <v>3746</v>
      </c>
      <c r="ENC1" s="1">
        <f t="shared" si="58"/>
        <v>3747</v>
      </c>
      <c r="END1" s="1">
        <f t="shared" si="58"/>
        <v>3748</v>
      </c>
      <c r="ENE1" s="1">
        <f t="shared" si="58"/>
        <v>3749</v>
      </c>
      <c r="ENF1" s="1">
        <f t="shared" si="58"/>
        <v>3750</v>
      </c>
      <c r="ENG1" s="1">
        <f t="shared" si="58"/>
        <v>3751</v>
      </c>
      <c r="ENH1" s="1">
        <f t="shared" si="58"/>
        <v>3752</v>
      </c>
      <c r="ENI1" s="1">
        <f t="shared" si="58"/>
        <v>3753</v>
      </c>
      <c r="ENJ1" s="1">
        <f t="shared" si="58"/>
        <v>3754</v>
      </c>
      <c r="ENK1" s="1">
        <f t="shared" si="58"/>
        <v>3755</v>
      </c>
      <c r="ENL1" s="1">
        <f t="shared" si="58"/>
        <v>3756</v>
      </c>
      <c r="ENM1" s="1">
        <f t="shared" si="58"/>
        <v>3757</v>
      </c>
      <c r="ENN1" s="1">
        <f t="shared" si="58"/>
        <v>3758</v>
      </c>
      <c r="ENO1" s="1">
        <f t="shared" si="58"/>
        <v>3759</v>
      </c>
      <c r="ENP1" s="1">
        <f t="shared" si="58"/>
        <v>3760</v>
      </c>
      <c r="ENQ1" s="1">
        <f t="shared" si="58"/>
        <v>3761</v>
      </c>
      <c r="ENR1" s="1">
        <f t="shared" si="58"/>
        <v>3762</v>
      </c>
      <c r="ENS1" s="1">
        <f t="shared" si="58"/>
        <v>3763</v>
      </c>
      <c r="ENT1" s="1">
        <f t="shared" si="58"/>
        <v>3764</v>
      </c>
      <c r="ENU1" s="1">
        <f t="shared" si="58"/>
        <v>3765</v>
      </c>
      <c r="ENV1" s="1">
        <f t="shared" si="58"/>
        <v>3766</v>
      </c>
      <c r="ENW1" s="1">
        <f t="shared" si="58"/>
        <v>3767</v>
      </c>
      <c r="ENX1" s="1">
        <f t="shared" si="58"/>
        <v>3768</v>
      </c>
      <c r="ENY1" s="1">
        <f t="shared" si="58"/>
        <v>3769</v>
      </c>
      <c r="ENZ1" s="1">
        <f t="shared" si="58"/>
        <v>3770</v>
      </c>
      <c r="EOA1" s="1">
        <f t="shared" si="58"/>
        <v>3771</v>
      </c>
      <c r="EOB1" s="1">
        <f t="shared" si="58"/>
        <v>3772</v>
      </c>
      <c r="EOC1" s="1">
        <f t="shared" si="58"/>
        <v>3773</v>
      </c>
      <c r="EOD1" s="1">
        <f t="shared" si="58"/>
        <v>3774</v>
      </c>
      <c r="EOE1" s="1">
        <f t="shared" si="58"/>
        <v>3775</v>
      </c>
      <c r="EOF1" s="1">
        <f t="shared" si="58"/>
        <v>3776</v>
      </c>
      <c r="EOG1" s="1">
        <f t="shared" si="58"/>
        <v>3777</v>
      </c>
      <c r="EOH1" s="1">
        <f t="shared" si="58"/>
        <v>3778</v>
      </c>
      <c r="EOI1" s="1">
        <f t="shared" ref="EOI1:EQT1" si="59">EOH1+1</f>
        <v>3779</v>
      </c>
      <c r="EOJ1" s="1">
        <f t="shared" si="59"/>
        <v>3780</v>
      </c>
      <c r="EOK1" s="1">
        <f t="shared" si="59"/>
        <v>3781</v>
      </c>
      <c r="EOL1" s="1">
        <f t="shared" si="59"/>
        <v>3782</v>
      </c>
      <c r="EOM1" s="1">
        <f t="shared" si="59"/>
        <v>3783</v>
      </c>
      <c r="EON1" s="1">
        <f t="shared" si="59"/>
        <v>3784</v>
      </c>
      <c r="EOO1" s="1">
        <f t="shared" si="59"/>
        <v>3785</v>
      </c>
      <c r="EOP1" s="42">
        <f t="shared" si="59"/>
        <v>3786</v>
      </c>
      <c r="EOQ1" s="1">
        <f t="shared" si="59"/>
        <v>3787</v>
      </c>
      <c r="EOR1" s="1">
        <f t="shared" si="59"/>
        <v>3788</v>
      </c>
      <c r="EOS1" s="1">
        <f t="shared" si="59"/>
        <v>3789</v>
      </c>
      <c r="EOT1" s="1">
        <f t="shared" si="59"/>
        <v>3790</v>
      </c>
      <c r="EOU1" s="1">
        <f t="shared" si="59"/>
        <v>3791</v>
      </c>
      <c r="EOV1" s="1">
        <f t="shared" si="59"/>
        <v>3792</v>
      </c>
      <c r="EOW1" s="1">
        <f t="shared" si="59"/>
        <v>3793</v>
      </c>
      <c r="EOX1" s="1">
        <f t="shared" si="59"/>
        <v>3794</v>
      </c>
      <c r="EOY1" s="1">
        <f t="shared" si="59"/>
        <v>3795</v>
      </c>
      <c r="EOZ1" s="1">
        <f t="shared" si="59"/>
        <v>3796</v>
      </c>
      <c r="EPA1" s="1">
        <f t="shared" si="59"/>
        <v>3797</v>
      </c>
      <c r="EPB1" s="1">
        <f t="shared" si="59"/>
        <v>3798</v>
      </c>
      <c r="EPC1" s="1">
        <f t="shared" si="59"/>
        <v>3799</v>
      </c>
      <c r="EPD1" s="1">
        <f t="shared" si="59"/>
        <v>3800</v>
      </c>
      <c r="EPE1" s="1">
        <f t="shared" si="59"/>
        <v>3801</v>
      </c>
      <c r="EPF1" s="1">
        <f t="shared" si="59"/>
        <v>3802</v>
      </c>
      <c r="EPG1" s="1">
        <f t="shared" si="59"/>
        <v>3803</v>
      </c>
      <c r="EPH1" s="1">
        <f t="shared" si="59"/>
        <v>3804</v>
      </c>
      <c r="EPI1" s="1">
        <f t="shared" si="59"/>
        <v>3805</v>
      </c>
      <c r="EPJ1" s="1">
        <f t="shared" si="59"/>
        <v>3806</v>
      </c>
      <c r="EPK1" s="1">
        <f t="shared" si="59"/>
        <v>3807</v>
      </c>
      <c r="EPL1" s="1">
        <f t="shared" si="59"/>
        <v>3808</v>
      </c>
      <c r="EPM1" s="1">
        <f t="shared" si="59"/>
        <v>3809</v>
      </c>
      <c r="EPN1" s="1">
        <f t="shared" si="59"/>
        <v>3810</v>
      </c>
      <c r="EPO1" s="1">
        <f t="shared" si="59"/>
        <v>3811</v>
      </c>
      <c r="EPP1" s="1">
        <f t="shared" si="59"/>
        <v>3812</v>
      </c>
      <c r="EPQ1" s="1">
        <f t="shared" si="59"/>
        <v>3813</v>
      </c>
      <c r="EPR1" s="1">
        <f t="shared" si="59"/>
        <v>3814</v>
      </c>
      <c r="EPS1" s="1">
        <f t="shared" si="59"/>
        <v>3815</v>
      </c>
      <c r="EPT1" s="1">
        <f t="shared" si="59"/>
        <v>3816</v>
      </c>
      <c r="EPU1" s="1">
        <f t="shared" si="59"/>
        <v>3817</v>
      </c>
      <c r="EPV1" s="1">
        <f t="shared" si="59"/>
        <v>3818</v>
      </c>
      <c r="EPW1" s="1">
        <f t="shared" si="59"/>
        <v>3819</v>
      </c>
      <c r="EPX1" s="1">
        <f t="shared" si="59"/>
        <v>3820</v>
      </c>
      <c r="EPY1" s="1">
        <f t="shared" si="59"/>
        <v>3821</v>
      </c>
      <c r="EPZ1" s="1">
        <f t="shared" si="59"/>
        <v>3822</v>
      </c>
      <c r="EQA1" s="1">
        <f t="shared" si="59"/>
        <v>3823</v>
      </c>
      <c r="EQB1" s="1">
        <f t="shared" si="59"/>
        <v>3824</v>
      </c>
      <c r="EQC1" s="1">
        <f t="shared" si="59"/>
        <v>3825</v>
      </c>
      <c r="EQD1" s="1">
        <f t="shared" si="59"/>
        <v>3826</v>
      </c>
      <c r="EQE1" s="1">
        <f t="shared" si="59"/>
        <v>3827</v>
      </c>
      <c r="EQF1" s="1">
        <f t="shared" si="59"/>
        <v>3828</v>
      </c>
      <c r="EQG1" s="1">
        <f t="shared" si="59"/>
        <v>3829</v>
      </c>
      <c r="EQH1" s="42">
        <f t="shared" si="59"/>
        <v>3830</v>
      </c>
      <c r="EQI1" s="1">
        <f t="shared" si="59"/>
        <v>3831</v>
      </c>
      <c r="EQJ1" s="1">
        <f t="shared" si="59"/>
        <v>3832</v>
      </c>
      <c r="EQK1" s="1">
        <f t="shared" si="59"/>
        <v>3833</v>
      </c>
      <c r="EQL1" s="1">
        <f t="shared" si="59"/>
        <v>3834</v>
      </c>
      <c r="EQM1" s="1">
        <f t="shared" si="59"/>
        <v>3835</v>
      </c>
      <c r="EQN1" s="1">
        <f t="shared" si="59"/>
        <v>3836</v>
      </c>
      <c r="EQO1" s="1">
        <f t="shared" si="59"/>
        <v>3837</v>
      </c>
      <c r="EQP1" s="1">
        <f t="shared" si="59"/>
        <v>3838</v>
      </c>
      <c r="EQQ1" s="1">
        <f t="shared" si="59"/>
        <v>3839</v>
      </c>
      <c r="EQR1" s="1">
        <f t="shared" si="59"/>
        <v>3840</v>
      </c>
      <c r="EQS1" s="1">
        <f t="shared" si="59"/>
        <v>3841</v>
      </c>
      <c r="EQT1" s="1">
        <f t="shared" si="59"/>
        <v>3842</v>
      </c>
      <c r="EQU1" s="1">
        <f t="shared" ref="EQU1:ERY1" si="60">EQT1+1</f>
        <v>3843</v>
      </c>
      <c r="EQV1" s="1">
        <f t="shared" si="60"/>
        <v>3844</v>
      </c>
      <c r="EQW1" s="1">
        <f t="shared" si="60"/>
        <v>3845</v>
      </c>
      <c r="EQX1" s="1">
        <f t="shared" si="60"/>
        <v>3846</v>
      </c>
      <c r="EQY1" s="1">
        <f t="shared" si="60"/>
        <v>3847</v>
      </c>
      <c r="EQZ1" s="1">
        <f t="shared" si="60"/>
        <v>3848</v>
      </c>
      <c r="ERA1" s="1">
        <f t="shared" si="60"/>
        <v>3849</v>
      </c>
      <c r="ERB1" s="1">
        <f t="shared" si="60"/>
        <v>3850</v>
      </c>
      <c r="ERC1" s="1">
        <f t="shared" si="60"/>
        <v>3851</v>
      </c>
      <c r="ERD1" s="1">
        <f t="shared" si="60"/>
        <v>3852</v>
      </c>
      <c r="ERE1" s="1">
        <f t="shared" si="60"/>
        <v>3853</v>
      </c>
      <c r="ERF1" s="1">
        <f t="shared" si="60"/>
        <v>3854</v>
      </c>
      <c r="ERG1" s="1">
        <f t="shared" si="60"/>
        <v>3855</v>
      </c>
      <c r="ERH1" s="1">
        <f t="shared" si="60"/>
        <v>3856</v>
      </c>
      <c r="ERI1" s="1">
        <f t="shared" si="60"/>
        <v>3857</v>
      </c>
      <c r="ERJ1" s="1">
        <f t="shared" si="60"/>
        <v>3858</v>
      </c>
      <c r="ERK1" s="1">
        <f t="shared" si="60"/>
        <v>3859</v>
      </c>
      <c r="ERL1" s="1">
        <f t="shared" si="60"/>
        <v>3860</v>
      </c>
      <c r="ERM1" s="1">
        <f t="shared" si="60"/>
        <v>3861</v>
      </c>
      <c r="ERN1" s="1">
        <f t="shared" si="60"/>
        <v>3862</v>
      </c>
      <c r="ERO1" s="1">
        <f t="shared" si="60"/>
        <v>3863</v>
      </c>
      <c r="ERP1" s="1">
        <f t="shared" si="60"/>
        <v>3864</v>
      </c>
      <c r="ERQ1" s="1">
        <f t="shared" si="60"/>
        <v>3865</v>
      </c>
      <c r="ERR1" s="1">
        <f t="shared" si="60"/>
        <v>3866</v>
      </c>
      <c r="ERS1" s="1">
        <f t="shared" si="60"/>
        <v>3867</v>
      </c>
      <c r="ERT1" s="1">
        <f t="shared" si="60"/>
        <v>3868</v>
      </c>
      <c r="ERU1" s="1">
        <f t="shared" si="60"/>
        <v>3869</v>
      </c>
      <c r="ERV1" s="1">
        <f t="shared" si="60"/>
        <v>3870</v>
      </c>
      <c r="ERW1" s="1">
        <f t="shared" si="60"/>
        <v>3871</v>
      </c>
      <c r="ERX1" s="1">
        <f t="shared" si="60"/>
        <v>3872</v>
      </c>
      <c r="ERY1" s="1">
        <f t="shared" si="60"/>
        <v>3873</v>
      </c>
      <c r="ERZ1" s="1">
        <f t="shared" ref="ERZ1" si="61">ERY1+1</f>
        <v>3874</v>
      </c>
      <c r="ESA1" s="1">
        <f t="shared" ref="ESA1" si="62">ERZ1+1</f>
        <v>3875</v>
      </c>
      <c r="ESB1" s="1">
        <f t="shared" ref="ESB1" si="63">ESA1+1</f>
        <v>3876</v>
      </c>
      <c r="ESC1" s="1">
        <f t="shared" ref="ESC1" si="64">ESB1+1</f>
        <v>3877</v>
      </c>
      <c r="ESD1" s="1">
        <f t="shared" ref="ESD1" si="65">ESC1+1</f>
        <v>3878</v>
      </c>
      <c r="ESE1" s="1">
        <f t="shared" ref="ESE1" si="66">ESD1+1</f>
        <v>3879</v>
      </c>
      <c r="ESF1" s="1">
        <f t="shared" ref="ESF1" si="67">ESE1+1</f>
        <v>3880</v>
      </c>
      <c r="ESG1" s="1">
        <f t="shared" ref="ESG1" si="68">ESF1+1</f>
        <v>3881</v>
      </c>
      <c r="ESH1" s="1">
        <f t="shared" ref="ESH1" si="69">ESG1+1</f>
        <v>3882</v>
      </c>
      <c r="ESI1" s="1">
        <f t="shared" ref="ESI1" si="70">ESH1+1</f>
        <v>3883</v>
      </c>
      <c r="ESJ1" s="1">
        <f t="shared" ref="ESJ1" si="71">ESI1+1</f>
        <v>3884</v>
      </c>
      <c r="ESK1" s="1">
        <f t="shared" ref="ESK1" si="72">ESJ1+1</f>
        <v>3885</v>
      </c>
      <c r="ESL1" s="1">
        <f t="shared" ref="ESL1" si="73">ESK1+1</f>
        <v>3886</v>
      </c>
      <c r="ESM1" s="1">
        <f t="shared" ref="ESM1" si="74">ESL1+1</f>
        <v>3887</v>
      </c>
      <c r="ESN1" s="1">
        <f t="shared" ref="ESN1" si="75">ESM1+1</f>
        <v>3888</v>
      </c>
      <c r="ESO1" s="1">
        <f t="shared" ref="ESO1" si="76">ESN1+1</f>
        <v>3889</v>
      </c>
      <c r="ESP1" s="1">
        <f t="shared" ref="ESP1" si="77">ESO1+1</f>
        <v>3890</v>
      </c>
      <c r="ESQ1" s="1">
        <f t="shared" ref="ESQ1" si="78">ESP1+1</f>
        <v>3891</v>
      </c>
      <c r="ESR1" s="1">
        <f t="shared" ref="ESR1" si="79">ESQ1+1</f>
        <v>3892</v>
      </c>
      <c r="ESS1" s="1">
        <f t="shared" ref="ESS1" si="80">ESR1+1</f>
        <v>3893</v>
      </c>
      <c r="EST1" s="1">
        <f t="shared" ref="EST1" si="81">ESS1+1</f>
        <v>3894</v>
      </c>
      <c r="ESU1" s="1">
        <f t="shared" ref="ESU1" si="82">EST1+1</f>
        <v>3895</v>
      </c>
      <c r="ESV1" s="1">
        <f t="shared" ref="ESV1" si="83">ESU1+1</f>
        <v>3896</v>
      </c>
      <c r="ESW1" s="1">
        <f t="shared" ref="ESW1" si="84">ESV1+1</f>
        <v>3897</v>
      </c>
      <c r="ESX1" s="1">
        <f t="shared" ref="ESX1" si="85">ESW1+1</f>
        <v>3898</v>
      </c>
      <c r="ESY1" s="1">
        <f t="shared" ref="ESY1" si="86">ESX1+1</f>
        <v>3899</v>
      </c>
      <c r="ESZ1" s="1">
        <f t="shared" ref="ESZ1" si="87">ESY1+1</f>
        <v>3900</v>
      </c>
      <c r="ETA1" s="1">
        <f t="shared" ref="ETA1" si="88">ESZ1+1</f>
        <v>3901</v>
      </c>
      <c r="ETB1" s="1">
        <f t="shared" ref="ETB1" si="89">ETA1+1</f>
        <v>3902</v>
      </c>
      <c r="ETC1" s="1">
        <f t="shared" ref="ETC1" si="90">ETB1+1</f>
        <v>3903</v>
      </c>
      <c r="ETD1" s="1">
        <f t="shared" ref="ETD1" si="91">ETC1+1</f>
        <v>3904</v>
      </c>
      <c r="ETE1" s="1">
        <f t="shared" ref="ETE1" si="92">ETD1+1</f>
        <v>3905</v>
      </c>
      <c r="ETF1" s="1">
        <f t="shared" ref="ETF1" si="93">ETE1+1</f>
        <v>3906</v>
      </c>
      <c r="ETG1" s="1">
        <f t="shared" ref="ETG1" si="94">ETF1+1</f>
        <v>3907</v>
      </c>
      <c r="ETH1" s="1">
        <f t="shared" ref="ETH1" si="95">ETG1+1</f>
        <v>3908</v>
      </c>
      <c r="ETI1" s="1">
        <f t="shared" ref="ETI1" si="96">ETH1+1</f>
        <v>3909</v>
      </c>
      <c r="ETJ1" s="1">
        <f t="shared" ref="ETJ1" si="97">ETI1+1</f>
        <v>3910</v>
      </c>
      <c r="ETK1" s="1">
        <f t="shared" ref="ETK1" si="98">ETJ1+1</f>
        <v>3911</v>
      </c>
      <c r="ETL1" s="1">
        <f t="shared" ref="ETL1" si="99">ETK1+1</f>
        <v>3912</v>
      </c>
      <c r="ETM1" s="1">
        <f t="shared" ref="ETM1" si="100">ETL1+1</f>
        <v>3913</v>
      </c>
      <c r="ETN1" s="1">
        <f t="shared" ref="ETN1" si="101">ETM1+1</f>
        <v>3914</v>
      </c>
      <c r="ETO1" s="1">
        <f t="shared" ref="ETO1" si="102">ETN1+1</f>
        <v>3915</v>
      </c>
      <c r="ETP1" s="1">
        <f t="shared" ref="ETP1" si="103">ETO1+1</f>
        <v>3916</v>
      </c>
      <c r="ETQ1" s="1">
        <f t="shared" ref="ETQ1" si="104">ETP1+1</f>
        <v>3917</v>
      </c>
      <c r="ETR1" s="1">
        <f t="shared" ref="ETR1" si="105">ETQ1+1</f>
        <v>3918</v>
      </c>
      <c r="ETS1" s="1">
        <f t="shared" ref="ETS1" si="106">ETR1+1</f>
        <v>3919</v>
      </c>
      <c r="ETT1" s="1">
        <f t="shared" ref="ETT1" si="107">ETS1+1</f>
        <v>3920</v>
      </c>
      <c r="ETU1" s="1">
        <f t="shared" ref="ETU1" si="108">ETT1+1</f>
        <v>3921</v>
      </c>
      <c r="ETV1" s="1">
        <f t="shared" ref="ETV1" si="109">ETU1+1</f>
        <v>3922</v>
      </c>
      <c r="ETW1" s="1">
        <f t="shared" ref="ETW1" si="110">ETV1+1</f>
        <v>3923</v>
      </c>
      <c r="ETX1" s="1">
        <f t="shared" ref="ETX1" si="111">ETW1+1</f>
        <v>3924</v>
      </c>
      <c r="ETY1" s="1">
        <f t="shared" ref="ETY1" si="112">ETX1+1</f>
        <v>3925</v>
      </c>
      <c r="ETZ1" s="1">
        <f t="shared" ref="ETZ1" si="113">ETY1+1</f>
        <v>3926</v>
      </c>
      <c r="EUA1" s="1">
        <f t="shared" ref="EUA1" si="114">ETZ1+1</f>
        <v>3927</v>
      </c>
      <c r="EUB1" s="1">
        <f t="shared" ref="EUB1" si="115">EUA1+1</f>
        <v>3928</v>
      </c>
      <c r="EUC1" s="1">
        <f t="shared" ref="EUC1" si="116">EUB1+1</f>
        <v>3929</v>
      </c>
      <c r="EUD1" s="1">
        <f t="shared" ref="EUD1" si="117">EUC1+1</f>
        <v>3930</v>
      </c>
      <c r="EUE1" s="1">
        <f t="shared" ref="EUE1" si="118">EUD1+1</f>
        <v>3931</v>
      </c>
      <c r="EUF1" s="1">
        <f t="shared" ref="EUF1" si="119">EUE1+1</f>
        <v>3932</v>
      </c>
      <c r="EUG1" s="1">
        <f t="shared" ref="EUG1" si="120">EUF1+1</f>
        <v>3933</v>
      </c>
      <c r="EUH1" s="1">
        <f t="shared" ref="EUH1" si="121">EUG1+1</f>
        <v>3934</v>
      </c>
      <c r="EUI1" s="1">
        <f t="shared" ref="EUI1" si="122">EUH1+1</f>
        <v>3935</v>
      </c>
      <c r="EUJ1" s="1">
        <f t="shared" ref="EUJ1" si="123">EUI1+1</f>
        <v>3936</v>
      </c>
      <c r="EUK1" s="1">
        <f t="shared" ref="EUK1" si="124">EUJ1+1</f>
        <v>3937</v>
      </c>
      <c r="EUL1" s="1">
        <f t="shared" ref="EUL1" si="125">EUK1+1</f>
        <v>3938</v>
      </c>
      <c r="EUM1" s="1">
        <f t="shared" ref="EUM1" si="126">EUL1+1</f>
        <v>3939</v>
      </c>
      <c r="EUN1" s="1">
        <f t="shared" ref="EUN1" si="127">EUM1+1</f>
        <v>3940</v>
      </c>
      <c r="EUO1" s="1">
        <f t="shared" ref="EUO1" si="128">EUN1+1</f>
        <v>3941</v>
      </c>
      <c r="EUP1" s="1">
        <f t="shared" ref="EUP1" si="129">EUO1+1</f>
        <v>3942</v>
      </c>
      <c r="EUQ1" s="1">
        <f t="shared" ref="EUQ1" si="130">EUP1+1</f>
        <v>3943</v>
      </c>
      <c r="EUR1" s="1">
        <f t="shared" ref="EUR1" si="131">EUQ1+1</f>
        <v>3944</v>
      </c>
      <c r="EUS1" s="1">
        <f t="shared" ref="EUS1" si="132">EUR1+1</f>
        <v>3945</v>
      </c>
      <c r="EUT1" s="1">
        <f t="shared" ref="EUT1" si="133">EUS1+1</f>
        <v>3946</v>
      </c>
      <c r="EUU1" s="1">
        <f t="shared" ref="EUU1" si="134">EUT1+1</f>
        <v>3947</v>
      </c>
      <c r="EUV1" s="1">
        <f t="shared" ref="EUV1" si="135">EUU1+1</f>
        <v>3948</v>
      </c>
      <c r="EUW1" s="1">
        <f t="shared" ref="EUW1" si="136">EUV1+1</f>
        <v>3949</v>
      </c>
      <c r="EUX1" s="1">
        <f t="shared" ref="EUX1" si="137">EUW1+1</f>
        <v>3950</v>
      </c>
      <c r="EUY1" s="1">
        <f t="shared" ref="EUY1" si="138">EUX1+1</f>
        <v>3951</v>
      </c>
      <c r="EUZ1" s="1">
        <f t="shared" ref="EUZ1" si="139">EUY1+1</f>
        <v>3952</v>
      </c>
      <c r="EVA1" s="1">
        <f t="shared" ref="EVA1" si="140">EUZ1+1</f>
        <v>3953</v>
      </c>
      <c r="EVB1" s="1">
        <f t="shared" ref="EVB1" si="141">EVA1+1</f>
        <v>3954</v>
      </c>
      <c r="EVC1" s="1">
        <f t="shared" ref="EVC1" si="142">EVB1+1</f>
        <v>3955</v>
      </c>
      <c r="EVD1" s="1">
        <f t="shared" ref="EVD1" si="143">EVC1+1</f>
        <v>3956</v>
      </c>
      <c r="EVE1" s="1">
        <f t="shared" ref="EVE1" si="144">EVD1+1</f>
        <v>3957</v>
      </c>
      <c r="EVF1" s="1">
        <f t="shared" ref="EVF1" si="145">EVE1+1</f>
        <v>3958</v>
      </c>
      <c r="EVG1" s="1">
        <f t="shared" ref="EVG1" si="146">EVF1+1</f>
        <v>3959</v>
      </c>
      <c r="EVH1" s="1">
        <f t="shared" ref="EVH1" si="147">EVG1+1</f>
        <v>3960</v>
      </c>
      <c r="EVI1" s="1">
        <f t="shared" ref="EVI1" si="148">EVH1+1</f>
        <v>3961</v>
      </c>
    </row>
    <row r="2" spans="1:3961" s="376" customFormat="1" ht="100.8" x14ac:dyDescent="0.3">
      <c r="A2" s="375" t="s">
        <v>84</v>
      </c>
      <c r="B2" s="377" t="s">
        <v>1361</v>
      </c>
      <c r="C2" s="377" t="s">
        <v>42</v>
      </c>
      <c r="D2" s="377" t="s">
        <v>1362</v>
      </c>
      <c r="E2" s="377" t="s">
        <v>1363</v>
      </c>
      <c r="F2" s="377" t="s">
        <v>45</v>
      </c>
      <c r="G2" s="377" t="s">
        <v>46</v>
      </c>
      <c r="H2" s="377" t="s">
        <v>47</v>
      </c>
      <c r="I2" s="377" t="s">
        <v>48</v>
      </c>
      <c r="J2" s="377" t="s">
        <v>49</v>
      </c>
      <c r="K2" s="377" t="s">
        <v>50</v>
      </c>
      <c r="L2" s="377" t="s">
        <v>51</v>
      </c>
      <c r="M2" s="377" t="s">
        <v>52</v>
      </c>
      <c r="N2" s="377" t="s">
        <v>53</v>
      </c>
      <c r="O2" s="377" t="s">
        <v>54</v>
      </c>
      <c r="P2" s="377" t="s">
        <v>55</v>
      </c>
      <c r="Q2" s="377" t="s">
        <v>56</v>
      </c>
      <c r="R2" s="377" t="s">
        <v>57</v>
      </c>
      <c r="S2" s="377" t="s">
        <v>58</v>
      </c>
      <c r="T2" s="377" t="s">
        <v>59</v>
      </c>
      <c r="U2" s="377" t="s">
        <v>60</v>
      </c>
      <c r="V2" s="377" t="s">
        <v>61</v>
      </c>
      <c r="W2" s="377" t="s">
        <v>62</v>
      </c>
      <c r="X2" s="377" t="s">
        <v>63</v>
      </c>
      <c r="Y2" s="377" t="s">
        <v>64</v>
      </c>
      <c r="Z2" s="377" t="s">
        <v>65</v>
      </c>
      <c r="AA2" s="377" t="s">
        <v>66</v>
      </c>
      <c r="AB2" s="377" t="s">
        <v>67</v>
      </c>
      <c r="AC2" s="377" t="s">
        <v>68</v>
      </c>
      <c r="AD2" s="377" t="s">
        <v>69</v>
      </c>
      <c r="AE2" s="377" t="s">
        <v>70</v>
      </c>
      <c r="AF2" s="377" t="s">
        <v>71</v>
      </c>
      <c r="AG2" s="377" t="s">
        <v>72</v>
      </c>
      <c r="AH2" s="377" t="s">
        <v>73</v>
      </c>
      <c r="AI2" s="377" t="s">
        <v>74</v>
      </c>
      <c r="AJ2" s="377" t="s">
        <v>75</v>
      </c>
      <c r="AK2" s="377" t="s">
        <v>76</v>
      </c>
      <c r="AL2" s="377" t="s">
        <v>77</v>
      </c>
      <c r="AM2" s="377" t="s">
        <v>78</v>
      </c>
      <c r="AN2" s="377" t="s">
        <v>79</v>
      </c>
      <c r="AO2" s="377" t="s">
        <v>80</v>
      </c>
      <c r="AP2" s="377" t="s">
        <v>81</v>
      </c>
      <c r="AQ2" s="377" t="s">
        <v>82</v>
      </c>
      <c r="AR2" s="377" t="s">
        <v>83</v>
      </c>
      <c r="AS2" s="377" t="s">
        <v>83</v>
      </c>
      <c r="AT2" s="375" t="s">
        <v>41</v>
      </c>
      <c r="AU2" s="375" t="s">
        <v>42</v>
      </c>
      <c r="AV2" s="375" t="s">
        <v>43</v>
      </c>
      <c r="AW2" s="375" t="s">
        <v>44</v>
      </c>
      <c r="AX2" s="375" t="s">
        <v>45</v>
      </c>
      <c r="AY2" s="375" t="s">
        <v>46</v>
      </c>
      <c r="AZ2" s="375" t="s">
        <v>47</v>
      </c>
      <c r="BA2" s="375" t="s">
        <v>48</v>
      </c>
      <c r="BB2" s="375" t="s">
        <v>49</v>
      </c>
      <c r="BC2" s="375" t="s">
        <v>50</v>
      </c>
      <c r="BD2" s="375" t="s">
        <v>51</v>
      </c>
      <c r="BE2" s="375" t="s">
        <v>52</v>
      </c>
      <c r="BF2" s="375" t="s">
        <v>53</v>
      </c>
      <c r="BG2" s="375" t="s">
        <v>54</v>
      </c>
      <c r="BH2" s="375" t="s">
        <v>55</v>
      </c>
      <c r="BI2" s="375" t="s">
        <v>56</v>
      </c>
      <c r="BJ2" s="375" t="s">
        <v>57</v>
      </c>
      <c r="BK2" s="375" t="s">
        <v>58</v>
      </c>
      <c r="BL2" s="375" t="s">
        <v>59</v>
      </c>
      <c r="BM2" s="375" t="s">
        <v>60</v>
      </c>
      <c r="BN2" s="375" t="s">
        <v>61</v>
      </c>
      <c r="BO2" s="375" t="s">
        <v>62</v>
      </c>
      <c r="BP2" s="375" t="s">
        <v>63</v>
      </c>
      <c r="BQ2" s="375" t="s">
        <v>64</v>
      </c>
      <c r="BR2" s="375" t="s">
        <v>65</v>
      </c>
      <c r="BS2" s="375" t="s">
        <v>66</v>
      </c>
      <c r="BT2" s="375" t="s">
        <v>67</v>
      </c>
      <c r="BU2" s="375" t="s">
        <v>68</v>
      </c>
      <c r="BV2" s="375" t="s">
        <v>69</v>
      </c>
      <c r="BW2" s="375" t="s">
        <v>70</v>
      </c>
      <c r="BX2" s="375" t="s">
        <v>71</v>
      </c>
      <c r="BY2" s="375" t="s">
        <v>72</v>
      </c>
      <c r="BZ2" s="375" t="s">
        <v>73</v>
      </c>
      <c r="CA2" s="375" t="s">
        <v>74</v>
      </c>
      <c r="CB2" s="375" t="s">
        <v>75</v>
      </c>
      <c r="CC2" s="375" t="s">
        <v>76</v>
      </c>
      <c r="CD2" s="375" t="s">
        <v>77</v>
      </c>
      <c r="CE2" s="375" t="s">
        <v>78</v>
      </c>
      <c r="CF2" s="375" t="s">
        <v>79</v>
      </c>
      <c r="CG2" s="375" t="s">
        <v>80</v>
      </c>
      <c r="CH2" s="375" t="s">
        <v>81</v>
      </c>
      <c r="CI2" s="375" t="s">
        <v>82</v>
      </c>
      <c r="CJ2" s="375" t="s">
        <v>83</v>
      </c>
      <c r="CK2" s="375" t="s">
        <v>83</v>
      </c>
      <c r="CL2" s="377" t="s">
        <v>1361</v>
      </c>
      <c r="CM2" s="377" t="s">
        <v>42</v>
      </c>
      <c r="CN2" s="377" t="s">
        <v>1362</v>
      </c>
      <c r="CO2" s="377" t="s">
        <v>1363</v>
      </c>
      <c r="CP2" s="377" t="s">
        <v>45</v>
      </c>
      <c r="CQ2" s="377" t="s">
        <v>46</v>
      </c>
      <c r="CR2" s="377" t="s">
        <v>47</v>
      </c>
      <c r="CS2" s="377" t="s">
        <v>48</v>
      </c>
      <c r="CT2" s="377" t="s">
        <v>49</v>
      </c>
      <c r="CU2" s="377" t="s">
        <v>50</v>
      </c>
      <c r="CV2" s="377" t="s">
        <v>51</v>
      </c>
      <c r="CW2" s="377" t="s">
        <v>52</v>
      </c>
      <c r="CX2" s="377" t="s">
        <v>53</v>
      </c>
      <c r="CY2" s="377" t="s">
        <v>54</v>
      </c>
      <c r="CZ2" s="377" t="s">
        <v>55</v>
      </c>
      <c r="DA2" s="377" t="s">
        <v>56</v>
      </c>
      <c r="DB2" s="377" t="s">
        <v>57</v>
      </c>
      <c r="DC2" s="377" t="s">
        <v>58</v>
      </c>
      <c r="DD2" s="377" t="s">
        <v>59</v>
      </c>
      <c r="DE2" s="377" t="s">
        <v>60</v>
      </c>
      <c r="DF2" s="377" t="s">
        <v>61</v>
      </c>
      <c r="DG2" s="377" t="s">
        <v>62</v>
      </c>
      <c r="DH2" s="377" t="s">
        <v>63</v>
      </c>
      <c r="DI2" s="377" t="s">
        <v>64</v>
      </c>
      <c r="DJ2" s="377" t="s">
        <v>65</v>
      </c>
      <c r="DK2" s="377" t="s">
        <v>66</v>
      </c>
      <c r="DL2" s="377" t="s">
        <v>67</v>
      </c>
      <c r="DM2" s="377" t="s">
        <v>68</v>
      </c>
      <c r="DN2" s="377" t="s">
        <v>69</v>
      </c>
      <c r="DO2" s="377" t="s">
        <v>70</v>
      </c>
      <c r="DP2" s="377" t="s">
        <v>71</v>
      </c>
      <c r="DQ2" s="377" t="s">
        <v>72</v>
      </c>
      <c r="DR2" s="377" t="s">
        <v>73</v>
      </c>
      <c r="DS2" s="377" t="s">
        <v>74</v>
      </c>
      <c r="DT2" s="377" t="s">
        <v>75</v>
      </c>
      <c r="DU2" s="377" t="s">
        <v>76</v>
      </c>
      <c r="DV2" s="377" t="s">
        <v>77</v>
      </c>
      <c r="DW2" s="377" t="s">
        <v>78</v>
      </c>
      <c r="DX2" s="377" t="s">
        <v>79</v>
      </c>
      <c r="DY2" s="377" t="s">
        <v>80</v>
      </c>
      <c r="DZ2" s="377" t="s">
        <v>81</v>
      </c>
      <c r="EA2" s="377" t="s">
        <v>82</v>
      </c>
      <c r="EB2" s="377" t="s">
        <v>83</v>
      </c>
      <c r="EC2" s="377" t="s">
        <v>83</v>
      </c>
      <c r="ED2" s="375" t="s">
        <v>41</v>
      </c>
      <c r="EE2" s="375" t="s">
        <v>42</v>
      </c>
      <c r="EF2" s="375" t="s">
        <v>43</v>
      </c>
      <c r="EG2" s="375" t="s">
        <v>44</v>
      </c>
      <c r="EH2" s="375" t="s">
        <v>45</v>
      </c>
      <c r="EI2" s="375" t="s">
        <v>46</v>
      </c>
      <c r="EJ2" s="375" t="s">
        <v>47</v>
      </c>
      <c r="EK2" s="375" t="s">
        <v>48</v>
      </c>
      <c r="EL2" s="375" t="s">
        <v>49</v>
      </c>
      <c r="EM2" s="375" t="s">
        <v>50</v>
      </c>
      <c r="EN2" s="375" t="s">
        <v>51</v>
      </c>
      <c r="EO2" s="375" t="s">
        <v>52</v>
      </c>
      <c r="EP2" s="375" t="s">
        <v>53</v>
      </c>
      <c r="EQ2" s="375" t="s">
        <v>54</v>
      </c>
      <c r="ER2" s="375" t="s">
        <v>55</v>
      </c>
      <c r="ES2" s="375" t="s">
        <v>56</v>
      </c>
      <c r="ET2" s="375" t="s">
        <v>57</v>
      </c>
      <c r="EU2" s="375" t="s">
        <v>58</v>
      </c>
      <c r="EV2" s="375" t="s">
        <v>59</v>
      </c>
      <c r="EW2" s="375" t="s">
        <v>60</v>
      </c>
      <c r="EX2" s="375" t="s">
        <v>61</v>
      </c>
      <c r="EY2" s="375" t="s">
        <v>62</v>
      </c>
      <c r="EZ2" s="375" t="s">
        <v>63</v>
      </c>
      <c r="FA2" s="375" t="s">
        <v>64</v>
      </c>
      <c r="FB2" s="375" t="s">
        <v>65</v>
      </c>
      <c r="FC2" s="375" t="s">
        <v>66</v>
      </c>
      <c r="FD2" s="375" t="s">
        <v>67</v>
      </c>
      <c r="FE2" s="375" t="s">
        <v>68</v>
      </c>
      <c r="FF2" s="375" t="s">
        <v>69</v>
      </c>
      <c r="FG2" s="375" t="s">
        <v>70</v>
      </c>
      <c r="FH2" s="375" t="s">
        <v>71</v>
      </c>
      <c r="FI2" s="375" t="s">
        <v>72</v>
      </c>
      <c r="FJ2" s="375" t="s">
        <v>73</v>
      </c>
      <c r="FK2" s="375" t="s">
        <v>74</v>
      </c>
      <c r="FL2" s="375" t="s">
        <v>75</v>
      </c>
      <c r="FM2" s="375" t="s">
        <v>76</v>
      </c>
      <c r="FN2" s="375" t="s">
        <v>77</v>
      </c>
      <c r="FO2" s="375" t="s">
        <v>78</v>
      </c>
      <c r="FP2" s="375" t="s">
        <v>79</v>
      </c>
      <c r="FQ2" s="375" t="s">
        <v>80</v>
      </c>
      <c r="FR2" s="375" t="s">
        <v>81</v>
      </c>
      <c r="FS2" s="375" t="s">
        <v>82</v>
      </c>
      <c r="FT2" s="375" t="s">
        <v>83</v>
      </c>
      <c r="FU2" s="375" t="s">
        <v>83</v>
      </c>
      <c r="FV2" s="377" t="s">
        <v>1361</v>
      </c>
      <c r="FW2" s="377" t="s">
        <v>42</v>
      </c>
      <c r="FX2" s="377" t="s">
        <v>1362</v>
      </c>
      <c r="FY2" s="377" t="s">
        <v>1363</v>
      </c>
      <c r="FZ2" s="377" t="s">
        <v>45</v>
      </c>
      <c r="GA2" s="377" t="s">
        <v>46</v>
      </c>
      <c r="GB2" s="377" t="s">
        <v>47</v>
      </c>
      <c r="GC2" s="377" t="s">
        <v>48</v>
      </c>
      <c r="GD2" s="377" t="s">
        <v>49</v>
      </c>
      <c r="GE2" s="377" t="s">
        <v>50</v>
      </c>
      <c r="GF2" s="377" t="s">
        <v>51</v>
      </c>
      <c r="GG2" s="377" t="s">
        <v>52</v>
      </c>
      <c r="GH2" s="377" t="s">
        <v>53</v>
      </c>
      <c r="GI2" s="377" t="s">
        <v>54</v>
      </c>
      <c r="GJ2" s="377" t="s">
        <v>55</v>
      </c>
      <c r="GK2" s="377" t="s">
        <v>56</v>
      </c>
      <c r="GL2" s="377" t="s">
        <v>57</v>
      </c>
      <c r="GM2" s="377" t="s">
        <v>58</v>
      </c>
      <c r="GN2" s="377" t="s">
        <v>59</v>
      </c>
      <c r="GO2" s="377" t="s">
        <v>60</v>
      </c>
      <c r="GP2" s="377" t="s">
        <v>61</v>
      </c>
      <c r="GQ2" s="377" t="s">
        <v>62</v>
      </c>
      <c r="GR2" s="377" t="s">
        <v>63</v>
      </c>
      <c r="GS2" s="377" t="s">
        <v>64</v>
      </c>
      <c r="GT2" s="377" t="s">
        <v>65</v>
      </c>
      <c r="GU2" s="377" t="s">
        <v>66</v>
      </c>
      <c r="GV2" s="377" t="s">
        <v>67</v>
      </c>
      <c r="GW2" s="377" t="s">
        <v>68</v>
      </c>
      <c r="GX2" s="377" t="s">
        <v>69</v>
      </c>
      <c r="GY2" s="377" t="s">
        <v>70</v>
      </c>
      <c r="GZ2" s="377" t="s">
        <v>71</v>
      </c>
      <c r="HA2" s="377" t="s">
        <v>72</v>
      </c>
      <c r="HB2" s="377" t="s">
        <v>73</v>
      </c>
      <c r="HC2" s="377" t="s">
        <v>74</v>
      </c>
      <c r="HD2" s="377" t="s">
        <v>75</v>
      </c>
      <c r="HE2" s="377" t="s">
        <v>76</v>
      </c>
      <c r="HF2" s="377" t="s">
        <v>77</v>
      </c>
      <c r="HG2" s="377" t="s">
        <v>78</v>
      </c>
      <c r="HH2" s="377" t="s">
        <v>79</v>
      </c>
      <c r="HI2" s="377" t="s">
        <v>80</v>
      </c>
      <c r="HJ2" s="377" t="s">
        <v>81</v>
      </c>
      <c r="HK2" s="377" t="s">
        <v>82</v>
      </c>
      <c r="HL2" s="377" t="s">
        <v>83</v>
      </c>
      <c r="HM2" s="377" t="s">
        <v>83</v>
      </c>
      <c r="HN2" s="375" t="s">
        <v>41</v>
      </c>
      <c r="HO2" s="375" t="s">
        <v>42</v>
      </c>
      <c r="HP2" s="375" t="s">
        <v>43</v>
      </c>
      <c r="HQ2" s="375" t="s">
        <v>44</v>
      </c>
      <c r="HR2" s="375" t="s">
        <v>45</v>
      </c>
      <c r="HS2" s="375" t="s">
        <v>46</v>
      </c>
      <c r="HT2" s="375" t="s">
        <v>47</v>
      </c>
      <c r="HU2" s="375" t="s">
        <v>48</v>
      </c>
      <c r="HV2" s="375" t="s">
        <v>49</v>
      </c>
      <c r="HW2" s="375" t="s">
        <v>50</v>
      </c>
      <c r="HX2" s="375" t="s">
        <v>51</v>
      </c>
      <c r="HY2" s="375" t="s">
        <v>52</v>
      </c>
      <c r="HZ2" s="375" t="s">
        <v>53</v>
      </c>
      <c r="IA2" s="375" t="s">
        <v>54</v>
      </c>
      <c r="IB2" s="375" t="s">
        <v>55</v>
      </c>
      <c r="IC2" s="375" t="s">
        <v>56</v>
      </c>
      <c r="ID2" s="375" t="s">
        <v>57</v>
      </c>
      <c r="IE2" s="375" t="s">
        <v>58</v>
      </c>
      <c r="IF2" s="375" t="s">
        <v>59</v>
      </c>
      <c r="IG2" s="375" t="s">
        <v>60</v>
      </c>
      <c r="IH2" s="375" t="s">
        <v>61</v>
      </c>
      <c r="II2" s="375" t="s">
        <v>62</v>
      </c>
      <c r="IJ2" s="375" t="s">
        <v>63</v>
      </c>
      <c r="IK2" s="375" t="s">
        <v>64</v>
      </c>
      <c r="IL2" s="375" t="s">
        <v>65</v>
      </c>
      <c r="IM2" s="375" t="s">
        <v>66</v>
      </c>
      <c r="IN2" s="375" t="s">
        <v>67</v>
      </c>
      <c r="IO2" s="375" t="s">
        <v>68</v>
      </c>
      <c r="IP2" s="375" t="s">
        <v>69</v>
      </c>
      <c r="IQ2" s="375" t="s">
        <v>70</v>
      </c>
      <c r="IR2" s="375" t="s">
        <v>71</v>
      </c>
      <c r="IS2" s="375" t="s">
        <v>72</v>
      </c>
      <c r="IT2" s="375" t="s">
        <v>73</v>
      </c>
      <c r="IU2" s="375" t="s">
        <v>74</v>
      </c>
      <c r="IV2" s="375" t="s">
        <v>75</v>
      </c>
      <c r="IW2" s="375" t="s">
        <v>76</v>
      </c>
      <c r="IX2" s="375" t="s">
        <v>77</v>
      </c>
      <c r="IY2" s="375" t="s">
        <v>78</v>
      </c>
      <c r="IZ2" s="375" t="s">
        <v>79</v>
      </c>
      <c r="JA2" s="375" t="s">
        <v>80</v>
      </c>
      <c r="JB2" s="375" t="s">
        <v>81</v>
      </c>
      <c r="JC2" s="375" t="s">
        <v>82</v>
      </c>
      <c r="JD2" s="375" t="s">
        <v>83</v>
      </c>
      <c r="JE2" s="375" t="s">
        <v>83</v>
      </c>
      <c r="JF2" s="377" t="s">
        <v>1361</v>
      </c>
      <c r="JG2" s="377" t="s">
        <v>42</v>
      </c>
      <c r="JH2" s="377" t="s">
        <v>1362</v>
      </c>
      <c r="JI2" s="377" t="s">
        <v>1363</v>
      </c>
      <c r="JJ2" s="377" t="s">
        <v>45</v>
      </c>
      <c r="JK2" s="377" t="s">
        <v>46</v>
      </c>
      <c r="JL2" s="377" t="s">
        <v>47</v>
      </c>
      <c r="JM2" s="377" t="s">
        <v>48</v>
      </c>
      <c r="JN2" s="377" t="s">
        <v>49</v>
      </c>
      <c r="JO2" s="377" t="s">
        <v>50</v>
      </c>
      <c r="JP2" s="377" t="s">
        <v>51</v>
      </c>
      <c r="JQ2" s="377" t="s">
        <v>52</v>
      </c>
      <c r="JR2" s="377" t="s">
        <v>53</v>
      </c>
      <c r="JS2" s="377" t="s">
        <v>54</v>
      </c>
      <c r="JT2" s="377" t="s">
        <v>55</v>
      </c>
      <c r="JU2" s="377" t="s">
        <v>56</v>
      </c>
      <c r="JV2" s="377" t="s">
        <v>57</v>
      </c>
      <c r="JW2" s="377" t="s">
        <v>58</v>
      </c>
      <c r="JX2" s="377" t="s">
        <v>59</v>
      </c>
      <c r="JY2" s="377" t="s">
        <v>60</v>
      </c>
      <c r="JZ2" s="377" t="s">
        <v>61</v>
      </c>
      <c r="KA2" s="377" t="s">
        <v>62</v>
      </c>
      <c r="KB2" s="377" t="s">
        <v>63</v>
      </c>
      <c r="KC2" s="377" t="s">
        <v>64</v>
      </c>
      <c r="KD2" s="377" t="s">
        <v>65</v>
      </c>
      <c r="KE2" s="377" t="s">
        <v>66</v>
      </c>
      <c r="KF2" s="377" t="s">
        <v>67</v>
      </c>
      <c r="KG2" s="377" t="s">
        <v>68</v>
      </c>
      <c r="KH2" s="377" t="s">
        <v>69</v>
      </c>
      <c r="KI2" s="377" t="s">
        <v>70</v>
      </c>
      <c r="KJ2" s="377" t="s">
        <v>71</v>
      </c>
      <c r="KK2" s="377" t="s">
        <v>72</v>
      </c>
      <c r="KL2" s="377" t="s">
        <v>73</v>
      </c>
      <c r="KM2" s="377" t="s">
        <v>74</v>
      </c>
      <c r="KN2" s="377" t="s">
        <v>75</v>
      </c>
      <c r="KO2" s="377" t="s">
        <v>76</v>
      </c>
      <c r="KP2" s="377" t="s">
        <v>77</v>
      </c>
      <c r="KQ2" s="377" t="s">
        <v>78</v>
      </c>
      <c r="KR2" s="377" t="s">
        <v>79</v>
      </c>
      <c r="KS2" s="377" t="s">
        <v>80</v>
      </c>
      <c r="KT2" s="377" t="s">
        <v>81</v>
      </c>
      <c r="KU2" s="377" t="s">
        <v>82</v>
      </c>
      <c r="KV2" s="377" t="s">
        <v>83</v>
      </c>
      <c r="KW2" s="377" t="s">
        <v>83</v>
      </c>
      <c r="KX2" s="375" t="s">
        <v>41</v>
      </c>
      <c r="KY2" s="375" t="s">
        <v>42</v>
      </c>
      <c r="KZ2" s="375" t="s">
        <v>43</v>
      </c>
      <c r="LA2" s="375" t="s">
        <v>44</v>
      </c>
      <c r="LB2" s="375" t="s">
        <v>45</v>
      </c>
      <c r="LC2" s="375" t="s">
        <v>46</v>
      </c>
      <c r="LD2" s="375" t="s">
        <v>47</v>
      </c>
      <c r="LE2" s="375" t="s">
        <v>48</v>
      </c>
      <c r="LF2" s="375" t="s">
        <v>49</v>
      </c>
      <c r="LG2" s="375" t="s">
        <v>50</v>
      </c>
      <c r="LH2" s="375" t="s">
        <v>51</v>
      </c>
      <c r="LI2" s="375" t="s">
        <v>52</v>
      </c>
      <c r="LJ2" s="375" t="s">
        <v>53</v>
      </c>
      <c r="LK2" s="375" t="s">
        <v>54</v>
      </c>
      <c r="LL2" s="375" t="s">
        <v>55</v>
      </c>
      <c r="LM2" s="375" t="s">
        <v>56</v>
      </c>
      <c r="LN2" s="375" t="s">
        <v>57</v>
      </c>
      <c r="LO2" s="375" t="s">
        <v>58</v>
      </c>
      <c r="LP2" s="375" t="s">
        <v>59</v>
      </c>
      <c r="LQ2" s="375" t="s">
        <v>60</v>
      </c>
      <c r="LR2" s="375" t="s">
        <v>61</v>
      </c>
      <c r="LS2" s="375" t="s">
        <v>62</v>
      </c>
      <c r="LT2" s="375" t="s">
        <v>63</v>
      </c>
      <c r="LU2" s="375" t="s">
        <v>64</v>
      </c>
      <c r="LV2" s="375" t="s">
        <v>65</v>
      </c>
      <c r="LW2" s="375" t="s">
        <v>66</v>
      </c>
      <c r="LX2" s="375" t="s">
        <v>67</v>
      </c>
      <c r="LY2" s="375" t="s">
        <v>68</v>
      </c>
      <c r="LZ2" s="375" t="s">
        <v>69</v>
      </c>
      <c r="MA2" s="375" t="s">
        <v>70</v>
      </c>
      <c r="MB2" s="375" t="s">
        <v>71</v>
      </c>
      <c r="MC2" s="375" t="s">
        <v>72</v>
      </c>
      <c r="MD2" s="375" t="s">
        <v>73</v>
      </c>
      <c r="ME2" s="375" t="s">
        <v>74</v>
      </c>
      <c r="MF2" s="375" t="s">
        <v>75</v>
      </c>
      <c r="MG2" s="375" t="s">
        <v>76</v>
      </c>
      <c r="MH2" s="375" t="s">
        <v>77</v>
      </c>
      <c r="MI2" s="375" t="s">
        <v>78</v>
      </c>
      <c r="MJ2" s="375" t="s">
        <v>79</v>
      </c>
      <c r="MK2" s="375" t="s">
        <v>80</v>
      </c>
      <c r="ML2" s="375" t="s">
        <v>81</v>
      </c>
      <c r="MM2" s="375" t="s">
        <v>82</v>
      </c>
      <c r="MN2" s="375" t="s">
        <v>83</v>
      </c>
      <c r="MO2" s="375" t="s">
        <v>83</v>
      </c>
      <c r="MP2" s="377" t="s">
        <v>1361</v>
      </c>
      <c r="MQ2" s="377" t="s">
        <v>42</v>
      </c>
      <c r="MR2" s="377" t="s">
        <v>1362</v>
      </c>
      <c r="MS2" s="377" t="s">
        <v>1363</v>
      </c>
      <c r="MT2" s="377" t="s">
        <v>45</v>
      </c>
      <c r="MU2" s="377" t="s">
        <v>46</v>
      </c>
      <c r="MV2" s="377" t="s">
        <v>47</v>
      </c>
      <c r="MW2" s="377" t="s">
        <v>48</v>
      </c>
      <c r="MX2" s="377" t="s">
        <v>49</v>
      </c>
      <c r="MY2" s="377" t="s">
        <v>50</v>
      </c>
      <c r="MZ2" s="377" t="s">
        <v>51</v>
      </c>
      <c r="NA2" s="377" t="s">
        <v>52</v>
      </c>
      <c r="NB2" s="377" t="s">
        <v>53</v>
      </c>
      <c r="NC2" s="377" t="s">
        <v>54</v>
      </c>
      <c r="ND2" s="377" t="s">
        <v>55</v>
      </c>
      <c r="NE2" s="377" t="s">
        <v>56</v>
      </c>
      <c r="NF2" s="377" t="s">
        <v>57</v>
      </c>
      <c r="NG2" s="377" t="s">
        <v>58</v>
      </c>
      <c r="NH2" s="377" t="s">
        <v>59</v>
      </c>
      <c r="NI2" s="377" t="s">
        <v>60</v>
      </c>
      <c r="NJ2" s="377" t="s">
        <v>61</v>
      </c>
      <c r="NK2" s="377" t="s">
        <v>62</v>
      </c>
      <c r="NL2" s="377" t="s">
        <v>63</v>
      </c>
      <c r="NM2" s="377" t="s">
        <v>64</v>
      </c>
      <c r="NN2" s="377" t="s">
        <v>65</v>
      </c>
      <c r="NO2" s="377" t="s">
        <v>66</v>
      </c>
      <c r="NP2" s="377" t="s">
        <v>67</v>
      </c>
      <c r="NQ2" s="377" t="s">
        <v>68</v>
      </c>
      <c r="NR2" s="377" t="s">
        <v>69</v>
      </c>
      <c r="NS2" s="377" t="s">
        <v>70</v>
      </c>
      <c r="NT2" s="377" t="s">
        <v>71</v>
      </c>
      <c r="NU2" s="377" t="s">
        <v>72</v>
      </c>
      <c r="NV2" s="377" t="s">
        <v>73</v>
      </c>
      <c r="NW2" s="377" t="s">
        <v>74</v>
      </c>
      <c r="NX2" s="377" t="s">
        <v>75</v>
      </c>
      <c r="NY2" s="377" t="s">
        <v>76</v>
      </c>
      <c r="NZ2" s="377" t="s">
        <v>77</v>
      </c>
      <c r="OA2" s="377" t="s">
        <v>78</v>
      </c>
      <c r="OB2" s="377" t="s">
        <v>79</v>
      </c>
      <c r="OC2" s="377" t="s">
        <v>80</v>
      </c>
      <c r="OD2" s="377" t="s">
        <v>81</v>
      </c>
      <c r="OE2" s="377" t="s">
        <v>82</v>
      </c>
      <c r="OF2" s="377" t="s">
        <v>83</v>
      </c>
      <c r="OG2" s="377" t="s">
        <v>83</v>
      </c>
      <c r="OH2" s="375" t="s">
        <v>41</v>
      </c>
      <c r="OI2" s="375" t="s">
        <v>42</v>
      </c>
      <c r="OJ2" s="375" t="s">
        <v>43</v>
      </c>
      <c r="OK2" s="375" t="s">
        <v>44</v>
      </c>
      <c r="OL2" s="375" t="s">
        <v>45</v>
      </c>
      <c r="OM2" s="375" t="s">
        <v>46</v>
      </c>
      <c r="ON2" s="375" t="s">
        <v>47</v>
      </c>
      <c r="OO2" s="375" t="s">
        <v>48</v>
      </c>
      <c r="OP2" s="375" t="s">
        <v>49</v>
      </c>
      <c r="OQ2" s="375" t="s">
        <v>50</v>
      </c>
      <c r="OR2" s="375" t="s">
        <v>51</v>
      </c>
      <c r="OS2" s="375" t="s">
        <v>52</v>
      </c>
      <c r="OT2" s="375" t="s">
        <v>53</v>
      </c>
      <c r="OU2" s="375" t="s">
        <v>54</v>
      </c>
      <c r="OV2" s="375" t="s">
        <v>55</v>
      </c>
      <c r="OW2" s="375" t="s">
        <v>56</v>
      </c>
      <c r="OX2" s="375" t="s">
        <v>57</v>
      </c>
      <c r="OY2" s="375" t="s">
        <v>58</v>
      </c>
      <c r="OZ2" s="375" t="s">
        <v>59</v>
      </c>
      <c r="PA2" s="375" t="s">
        <v>60</v>
      </c>
      <c r="PB2" s="375" t="s">
        <v>61</v>
      </c>
      <c r="PC2" s="375" t="s">
        <v>62</v>
      </c>
      <c r="PD2" s="375" t="s">
        <v>63</v>
      </c>
      <c r="PE2" s="375" t="s">
        <v>64</v>
      </c>
      <c r="PF2" s="375" t="s">
        <v>65</v>
      </c>
      <c r="PG2" s="375" t="s">
        <v>66</v>
      </c>
      <c r="PH2" s="375" t="s">
        <v>67</v>
      </c>
      <c r="PI2" s="375" t="s">
        <v>68</v>
      </c>
      <c r="PJ2" s="375" t="s">
        <v>69</v>
      </c>
      <c r="PK2" s="375" t="s">
        <v>70</v>
      </c>
      <c r="PL2" s="375" t="s">
        <v>71</v>
      </c>
      <c r="PM2" s="375" t="s">
        <v>72</v>
      </c>
      <c r="PN2" s="375" t="s">
        <v>73</v>
      </c>
      <c r="PO2" s="375" t="s">
        <v>74</v>
      </c>
      <c r="PP2" s="375" t="s">
        <v>75</v>
      </c>
      <c r="PQ2" s="375" t="s">
        <v>76</v>
      </c>
      <c r="PR2" s="375" t="s">
        <v>77</v>
      </c>
      <c r="PS2" s="375" t="s">
        <v>78</v>
      </c>
      <c r="PT2" s="375" t="s">
        <v>79</v>
      </c>
      <c r="PU2" s="375" t="s">
        <v>80</v>
      </c>
      <c r="PV2" s="375" t="s">
        <v>81</v>
      </c>
      <c r="PW2" s="375" t="s">
        <v>82</v>
      </c>
      <c r="PX2" s="375" t="s">
        <v>83</v>
      </c>
      <c r="PY2" s="375" t="s">
        <v>83</v>
      </c>
      <c r="PZ2" s="377" t="s">
        <v>1361</v>
      </c>
      <c r="QA2" s="377" t="s">
        <v>42</v>
      </c>
      <c r="QB2" s="377" t="s">
        <v>1362</v>
      </c>
      <c r="QC2" s="377" t="s">
        <v>1363</v>
      </c>
      <c r="QD2" s="377" t="s">
        <v>45</v>
      </c>
      <c r="QE2" s="377" t="s">
        <v>46</v>
      </c>
      <c r="QF2" s="377" t="s">
        <v>47</v>
      </c>
      <c r="QG2" s="377" t="s">
        <v>48</v>
      </c>
      <c r="QH2" s="377" t="s">
        <v>49</v>
      </c>
      <c r="QI2" s="377" t="s">
        <v>50</v>
      </c>
      <c r="QJ2" s="377" t="s">
        <v>51</v>
      </c>
      <c r="QK2" s="377" t="s">
        <v>52</v>
      </c>
      <c r="QL2" s="377" t="s">
        <v>53</v>
      </c>
      <c r="QM2" s="377" t="s">
        <v>54</v>
      </c>
      <c r="QN2" s="377" t="s">
        <v>55</v>
      </c>
      <c r="QO2" s="377" t="s">
        <v>56</v>
      </c>
      <c r="QP2" s="377" t="s">
        <v>57</v>
      </c>
      <c r="QQ2" s="377" t="s">
        <v>58</v>
      </c>
      <c r="QR2" s="377" t="s">
        <v>59</v>
      </c>
      <c r="QS2" s="377" t="s">
        <v>60</v>
      </c>
      <c r="QT2" s="377" t="s">
        <v>61</v>
      </c>
      <c r="QU2" s="377" t="s">
        <v>62</v>
      </c>
      <c r="QV2" s="377" t="s">
        <v>63</v>
      </c>
      <c r="QW2" s="377" t="s">
        <v>64</v>
      </c>
      <c r="QX2" s="377" t="s">
        <v>65</v>
      </c>
      <c r="QY2" s="377" t="s">
        <v>66</v>
      </c>
      <c r="QZ2" s="377" t="s">
        <v>67</v>
      </c>
      <c r="RA2" s="377" t="s">
        <v>68</v>
      </c>
      <c r="RB2" s="377" t="s">
        <v>69</v>
      </c>
      <c r="RC2" s="377" t="s">
        <v>70</v>
      </c>
      <c r="RD2" s="377" t="s">
        <v>71</v>
      </c>
      <c r="RE2" s="377" t="s">
        <v>72</v>
      </c>
      <c r="RF2" s="377" t="s">
        <v>73</v>
      </c>
      <c r="RG2" s="377" t="s">
        <v>74</v>
      </c>
      <c r="RH2" s="377" t="s">
        <v>75</v>
      </c>
      <c r="RI2" s="377" t="s">
        <v>76</v>
      </c>
      <c r="RJ2" s="377" t="s">
        <v>77</v>
      </c>
      <c r="RK2" s="377" t="s">
        <v>78</v>
      </c>
      <c r="RL2" s="377" t="s">
        <v>79</v>
      </c>
      <c r="RM2" s="377" t="s">
        <v>80</v>
      </c>
      <c r="RN2" s="377" t="s">
        <v>81</v>
      </c>
      <c r="RO2" s="377" t="s">
        <v>82</v>
      </c>
      <c r="RP2" s="377" t="s">
        <v>83</v>
      </c>
      <c r="RQ2" s="377" t="s">
        <v>83</v>
      </c>
      <c r="RR2" s="375" t="s">
        <v>41</v>
      </c>
      <c r="RS2" s="375" t="s">
        <v>42</v>
      </c>
      <c r="RT2" s="375" t="s">
        <v>43</v>
      </c>
      <c r="RU2" s="375" t="s">
        <v>44</v>
      </c>
      <c r="RV2" s="375" t="s">
        <v>45</v>
      </c>
      <c r="RW2" s="375" t="s">
        <v>46</v>
      </c>
      <c r="RX2" s="375" t="s">
        <v>47</v>
      </c>
      <c r="RY2" s="375" t="s">
        <v>48</v>
      </c>
      <c r="RZ2" s="375" t="s">
        <v>49</v>
      </c>
      <c r="SA2" s="375" t="s">
        <v>50</v>
      </c>
      <c r="SB2" s="375" t="s">
        <v>51</v>
      </c>
      <c r="SC2" s="375" t="s">
        <v>52</v>
      </c>
      <c r="SD2" s="375" t="s">
        <v>53</v>
      </c>
      <c r="SE2" s="375" t="s">
        <v>54</v>
      </c>
      <c r="SF2" s="375" t="s">
        <v>55</v>
      </c>
      <c r="SG2" s="375" t="s">
        <v>56</v>
      </c>
      <c r="SH2" s="375" t="s">
        <v>57</v>
      </c>
      <c r="SI2" s="375" t="s">
        <v>58</v>
      </c>
      <c r="SJ2" s="375" t="s">
        <v>59</v>
      </c>
      <c r="SK2" s="375" t="s">
        <v>60</v>
      </c>
      <c r="SL2" s="375" t="s">
        <v>61</v>
      </c>
      <c r="SM2" s="375" t="s">
        <v>62</v>
      </c>
      <c r="SN2" s="375" t="s">
        <v>63</v>
      </c>
      <c r="SO2" s="375" t="s">
        <v>64</v>
      </c>
      <c r="SP2" s="375" t="s">
        <v>65</v>
      </c>
      <c r="SQ2" s="375" t="s">
        <v>66</v>
      </c>
      <c r="SR2" s="375" t="s">
        <v>67</v>
      </c>
      <c r="SS2" s="375" t="s">
        <v>68</v>
      </c>
      <c r="ST2" s="375" t="s">
        <v>69</v>
      </c>
      <c r="SU2" s="375" t="s">
        <v>70</v>
      </c>
      <c r="SV2" s="375" t="s">
        <v>71</v>
      </c>
      <c r="SW2" s="375" t="s">
        <v>72</v>
      </c>
      <c r="SX2" s="375" t="s">
        <v>73</v>
      </c>
      <c r="SY2" s="375" t="s">
        <v>74</v>
      </c>
      <c r="SZ2" s="375" t="s">
        <v>75</v>
      </c>
      <c r="TA2" s="375" t="s">
        <v>76</v>
      </c>
      <c r="TB2" s="375" t="s">
        <v>77</v>
      </c>
      <c r="TC2" s="375" t="s">
        <v>78</v>
      </c>
      <c r="TD2" s="375" t="s">
        <v>79</v>
      </c>
      <c r="TE2" s="375" t="s">
        <v>80</v>
      </c>
      <c r="TF2" s="375" t="s">
        <v>81</v>
      </c>
      <c r="TG2" s="375" t="s">
        <v>82</v>
      </c>
      <c r="TH2" s="375" t="s">
        <v>83</v>
      </c>
      <c r="TI2" s="375" t="s">
        <v>83</v>
      </c>
      <c r="TJ2" s="377" t="s">
        <v>1361</v>
      </c>
      <c r="TK2" s="377" t="s">
        <v>42</v>
      </c>
      <c r="TL2" s="377" t="s">
        <v>1362</v>
      </c>
      <c r="TM2" s="377" t="s">
        <v>1363</v>
      </c>
      <c r="TN2" s="377" t="s">
        <v>45</v>
      </c>
      <c r="TO2" s="377" t="s">
        <v>46</v>
      </c>
      <c r="TP2" s="377" t="s">
        <v>47</v>
      </c>
      <c r="TQ2" s="377" t="s">
        <v>48</v>
      </c>
      <c r="TR2" s="377" t="s">
        <v>49</v>
      </c>
      <c r="TS2" s="377" t="s">
        <v>50</v>
      </c>
      <c r="TT2" s="377" t="s">
        <v>51</v>
      </c>
      <c r="TU2" s="377" t="s">
        <v>52</v>
      </c>
      <c r="TV2" s="377" t="s">
        <v>53</v>
      </c>
      <c r="TW2" s="377" t="s">
        <v>54</v>
      </c>
      <c r="TX2" s="377" t="s">
        <v>55</v>
      </c>
      <c r="TY2" s="377" t="s">
        <v>56</v>
      </c>
      <c r="TZ2" s="377" t="s">
        <v>57</v>
      </c>
      <c r="UA2" s="377" t="s">
        <v>58</v>
      </c>
      <c r="UB2" s="377" t="s">
        <v>59</v>
      </c>
      <c r="UC2" s="377" t="s">
        <v>60</v>
      </c>
      <c r="UD2" s="377" t="s">
        <v>61</v>
      </c>
      <c r="UE2" s="377" t="s">
        <v>62</v>
      </c>
      <c r="UF2" s="377" t="s">
        <v>63</v>
      </c>
      <c r="UG2" s="377" t="s">
        <v>64</v>
      </c>
      <c r="UH2" s="377" t="s">
        <v>65</v>
      </c>
      <c r="UI2" s="377" t="s">
        <v>66</v>
      </c>
      <c r="UJ2" s="377" t="s">
        <v>67</v>
      </c>
      <c r="UK2" s="377" t="s">
        <v>68</v>
      </c>
      <c r="UL2" s="377" t="s">
        <v>69</v>
      </c>
      <c r="UM2" s="377" t="s">
        <v>70</v>
      </c>
      <c r="UN2" s="377" t="s">
        <v>71</v>
      </c>
      <c r="UO2" s="377" t="s">
        <v>72</v>
      </c>
      <c r="UP2" s="377" t="s">
        <v>73</v>
      </c>
      <c r="UQ2" s="377" t="s">
        <v>74</v>
      </c>
      <c r="UR2" s="377" t="s">
        <v>75</v>
      </c>
      <c r="US2" s="377" t="s">
        <v>76</v>
      </c>
      <c r="UT2" s="377" t="s">
        <v>77</v>
      </c>
      <c r="UU2" s="377" t="s">
        <v>78</v>
      </c>
      <c r="UV2" s="377" t="s">
        <v>79</v>
      </c>
      <c r="UW2" s="377" t="s">
        <v>80</v>
      </c>
      <c r="UX2" s="377" t="s">
        <v>81</v>
      </c>
      <c r="UY2" s="377" t="s">
        <v>82</v>
      </c>
      <c r="UZ2" s="377" t="s">
        <v>83</v>
      </c>
      <c r="VA2" s="377" t="s">
        <v>83</v>
      </c>
      <c r="VB2" s="375" t="s">
        <v>41</v>
      </c>
      <c r="VC2" s="375" t="s">
        <v>42</v>
      </c>
      <c r="VD2" s="375" t="s">
        <v>43</v>
      </c>
      <c r="VE2" s="375" t="s">
        <v>44</v>
      </c>
      <c r="VF2" s="375" t="s">
        <v>45</v>
      </c>
      <c r="VG2" s="375" t="s">
        <v>46</v>
      </c>
      <c r="VH2" s="375" t="s">
        <v>47</v>
      </c>
      <c r="VI2" s="375" t="s">
        <v>48</v>
      </c>
      <c r="VJ2" s="375" t="s">
        <v>49</v>
      </c>
      <c r="VK2" s="375" t="s">
        <v>50</v>
      </c>
      <c r="VL2" s="375" t="s">
        <v>51</v>
      </c>
      <c r="VM2" s="375" t="s">
        <v>52</v>
      </c>
      <c r="VN2" s="375" t="s">
        <v>53</v>
      </c>
      <c r="VO2" s="375" t="s">
        <v>54</v>
      </c>
      <c r="VP2" s="375" t="s">
        <v>55</v>
      </c>
      <c r="VQ2" s="375" t="s">
        <v>56</v>
      </c>
      <c r="VR2" s="375" t="s">
        <v>57</v>
      </c>
      <c r="VS2" s="375" t="s">
        <v>58</v>
      </c>
      <c r="VT2" s="375" t="s">
        <v>59</v>
      </c>
      <c r="VU2" s="375" t="s">
        <v>60</v>
      </c>
      <c r="VV2" s="375" t="s">
        <v>61</v>
      </c>
      <c r="VW2" s="375" t="s">
        <v>62</v>
      </c>
      <c r="VX2" s="375" t="s">
        <v>63</v>
      </c>
      <c r="VY2" s="375" t="s">
        <v>64</v>
      </c>
      <c r="VZ2" s="375" t="s">
        <v>65</v>
      </c>
      <c r="WA2" s="375" t="s">
        <v>66</v>
      </c>
      <c r="WB2" s="375" t="s">
        <v>67</v>
      </c>
      <c r="WC2" s="375" t="s">
        <v>68</v>
      </c>
      <c r="WD2" s="375" t="s">
        <v>69</v>
      </c>
      <c r="WE2" s="375" t="s">
        <v>70</v>
      </c>
      <c r="WF2" s="375" t="s">
        <v>71</v>
      </c>
      <c r="WG2" s="375" t="s">
        <v>72</v>
      </c>
      <c r="WH2" s="375" t="s">
        <v>73</v>
      </c>
      <c r="WI2" s="375" t="s">
        <v>74</v>
      </c>
      <c r="WJ2" s="375" t="s">
        <v>75</v>
      </c>
      <c r="WK2" s="375" t="s">
        <v>76</v>
      </c>
      <c r="WL2" s="375" t="s">
        <v>77</v>
      </c>
      <c r="WM2" s="375" t="s">
        <v>78</v>
      </c>
      <c r="WN2" s="375" t="s">
        <v>79</v>
      </c>
      <c r="WO2" s="375" t="s">
        <v>80</v>
      </c>
      <c r="WP2" s="375" t="s">
        <v>81</v>
      </c>
      <c r="WQ2" s="375" t="s">
        <v>82</v>
      </c>
      <c r="WR2" s="375" t="s">
        <v>83</v>
      </c>
      <c r="WS2" s="375" t="s">
        <v>83</v>
      </c>
      <c r="WT2" s="377" t="s">
        <v>1361</v>
      </c>
      <c r="WU2" s="377" t="s">
        <v>42</v>
      </c>
      <c r="WV2" s="377" t="s">
        <v>1362</v>
      </c>
      <c r="WW2" s="377" t="s">
        <v>1363</v>
      </c>
      <c r="WX2" s="377" t="s">
        <v>45</v>
      </c>
      <c r="WY2" s="377" t="s">
        <v>46</v>
      </c>
      <c r="WZ2" s="377" t="s">
        <v>47</v>
      </c>
      <c r="XA2" s="377" t="s">
        <v>48</v>
      </c>
      <c r="XB2" s="377" t="s">
        <v>49</v>
      </c>
      <c r="XC2" s="377" t="s">
        <v>50</v>
      </c>
      <c r="XD2" s="377" t="s">
        <v>51</v>
      </c>
      <c r="XE2" s="377" t="s">
        <v>52</v>
      </c>
      <c r="XF2" s="377" t="s">
        <v>53</v>
      </c>
      <c r="XG2" s="377" t="s">
        <v>54</v>
      </c>
      <c r="XH2" s="377" t="s">
        <v>55</v>
      </c>
      <c r="XI2" s="377" t="s">
        <v>56</v>
      </c>
      <c r="XJ2" s="377" t="s">
        <v>57</v>
      </c>
      <c r="XK2" s="377" t="s">
        <v>58</v>
      </c>
      <c r="XL2" s="377" t="s">
        <v>59</v>
      </c>
      <c r="XM2" s="377" t="s">
        <v>60</v>
      </c>
      <c r="XN2" s="377" t="s">
        <v>61</v>
      </c>
      <c r="XO2" s="377" t="s">
        <v>62</v>
      </c>
      <c r="XP2" s="377" t="s">
        <v>63</v>
      </c>
      <c r="XQ2" s="377" t="s">
        <v>64</v>
      </c>
      <c r="XR2" s="377" t="s">
        <v>65</v>
      </c>
      <c r="XS2" s="377" t="s">
        <v>66</v>
      </c>
      <c r="XT2" s="377" t="s">
        <v>67</v>
      </c>
      <c r="XU2" s="377" t="s">
        <v>68</v>
      </c>
      <c r="XV2" s="377" t="s">
        <v>69</v>
      </c>
      <c r="XW2" s="377" t="s">
        <v>70</v>
      </c>
      <c r="XX2" s="377" t="s">
        <v>71</v>
      </c>
      <c r="XY2" s="377" t="s">
        <v>72</v>
      </c>
      <c r="XZ2" s="377" t="s">
        <v>73</v>
      </c>
      <c r="YA2" s="377" t="s">
        <v>74</v>
      </c>
      <c r="YB2" s="377" t="s">
        <v>75</v>
      </c>
      <c r="YC2" s="377" t="s">
        <v>76</v>
      </c>
      <c r="YD2" s="377" t="s">
        <v>77</v>
      </c>
      <c r="YE2" s="377" t="s">
        <v>78</v>
      </c>
      <c r="YF2" s="377" t="s">
        <v>79</v>
      </c>
      <c r="YG2" s="377" t="s">
        <v>80</v>
      </c>
      <c r="YH2" s="377" t="s">
        <v>81</v>
      </c>
      <c r="YI2" s="377" t="s">
        <v>82</v>
      </c>
      <c r="YJ2" s="377" t="s">
        <v>83</v>
      </c>
      <c r="YK2" s="377" t="s">
        <v>83</v>
      </c>
      <c r="YL2" s="375" t="s">
        <v>41</v>
      </c>
      <c r="YM2" s="375" t="s">
        <v>42</v>
      </c>
      <c r="YN2" s="375" t="s">
        <v>43</v>
      </c>
      <c r="YO2" s="375" t="s">
        <v>44</v>
      </c>
      <c r="YP2" s="375" t="s">
        <v>45</v>
      </c>
      <c r="YQ2" s="375" t="s">
        <v>46</v>
      </c>
      <c r="YR2" s="375" t="s">
        <v>47</v>
      </c>
      <c r="YS2" s="375" t="s">
        <v>48</v>
      </c>
      <c r="YT2" s="375" t="s">
        <v>49</v>
      </c>
      <c r="YU2" s="375" t="s">
        <v>50</v>
      </c>
      <c r="YV2" s="375" t="s">
        <v>51</v>
      </c>
      <c r="YW2" s="375" t="s">
        <v>52</v>
      </c>
      <c r="YX2" s="375" t="s">
        <v>53</v>
      </c>
      <c r="YY2" s="375" t="s">
        <v>54</v>
      </c>
      <c r="YZ2" s="375" t="s">
        <v>55</v>
      </c>
      <c r="ZA2" s="375" t="s">
        <v>56</v>
      </c>
      <c r="ZB2" s="375" t="s">
        <v>57</v>
      </c>
      <c r="ZC2" s="375" t="s">
        <v>58</v>
      </c>
      <c r="ZD2" s="375" t="s">
        <v>59</v>
      </c>
      <c r="ZE2" s="375" t="s">
        <v>60</v>
      </c>
      <c r="ZF2" s="375" t="s">
        <v>61</v>
      </c>
      <c r="ZG2" s="375" t="s">
        <v>62</v>
      </c>
      <c r="ZH2" s="375" t="s">
        <v>63</v>
      </c>
      <c r="ZI2" s="375" t="s">
        <v>64</v>
      </c>
      <c r="ZJ2" s="375" t="s">
        <v>65</v>
      </c>
      <c r="ZK2" s="375" t="s">
        <v>66</v>
      </c>
      <c r="ZL2" s="375" t="s">
        <v>67</v>
      </c>
      <c r="ZM2" s="375" t="s">
        <v>68</v>
      </c>
      <c r="ZN2" s="375" t="s">
        <v>69</v>
      </c>
      <c r="ZO2" s="375" t="s">
        <v>70</v>
      </c>
      <c r="ZP2" s="375" t="s">
        <v>71</v>
      </c>
      <c r="ZQ2" s="375" t="s">
        <v>72</v>
      </c>
      <c r="ZR2" s="375" t="s">
        <v>73</v>
      </c>
      <c r="ZS2" s="375" t="s">
        <v>74</v>
      </c>
      <c r="ZT2" s="375" t="s">
        <v>75</v>
      </c>
      <c r="ZU2" s="375" t="s">
        <v>76</v>
      </c>
      <c r="ZV2" s="375" t="s">
        <v>77</v>
      </c>
      <c r="ZW2" s="375" t="s">
        <v>78</v>
      </c>
      <c r="ZX2" s="375" t="s">
        <v>79</v>
      </c>
      <c r="ZY2" s="375" t="s">
        <v>80</v>
      </c>
      <c r="ZZ2" s="375" t="s">
        <v>81</v>
      </c>
      <c r="AAA2" s="375" t="s">
        <v>82</v>
      </c>
      <c r="AAB2" s="375" t="s">
        <v>83</v>
      </c>
      <c r="AAC2" s="375" t="s">
        <v>83</v>
      </c>
      <c r="AAD2" s="377" t="s">
        <v>1361</v>
      </c>
      <c r="AAE2" s="377" t="s">
        <v>42</v>
      </c>
      <c r="AAF2" s="377" t="s">
        <v>1362</v>
      </c>
      <c r="AAG2" s="377" t="s">
        <v>1363</v>
      </c>
      <c r="AAH2" s="377" t="s">
        <v>45</v>
      </c>
      <c r="AAI2" s="377" t="s">
        <v>46</v>
      </c>
      <c r="AAJ2" s="377" t="s">
        <v>47</v>
      </c>
      <c r="AAK2" s="377" t="s">
        <v>48</v>
      </c>
      <c r="AAL2" s="377" t="s">
        <v>49</v>
      </c>
      <c r="AAM2" s="377" t="s">
        <v>50</v>
      </c>
      <c r="AAN2" s="377" t="s">
        <v>51</v>
      </c>
      <c r="AAO2" s="377" t="s">
        <v>52</v>
      </c>
      <c r="AAP2" s="377" t="s">
        <v>53</v>
      </c>
      <c r="AAQ2" s="377" t="s">
        <v>54</v>
      </c>
      <c r="AAR2" s="377" t="s">
        <v>55</v>
      </c>
      <c r="AAS2" s="377" t="s">
        <v>56</v>
      </c>
      <c r="AAT2" s="377" t="s">
        <v>57</v>
      </c>
      <c r="AAU2" s="377" t="s">
        <v>58</v>
      </c>
      <c r="AAV2" s="377" t="s">
        <v>59</v>
      </c>
      <c r="AAW2" s="377" t="s">
        <v>60</v>
      </c>
      <c r="AAX2" s="377" t="s">
        <v>61</v>
      </c>
      <c r="AAY2" s="377" t="s">
        <v>62</v>
      </c>
      <c r="AAZ2" s="377" t="s">
        <v>63</v>
      </c>
      <c r="ABA2" s="377" t="s">
        <v>64</v>
      </c>
      <c r="ABB2" s="377" t="s">
        <v>65</v>
      </c>
      <c r="ABC2" s="377" t="s">
        <v>66</v>
      </c>
      <c r="ABD2" s="377" t="s">
        <v>67</v>
      </c>
      <c r="ABE2" s="377" t="s">
        <v>68</v>
      </c>
      <c r="ABF2" s="377" t="s">
        <v>69</v>
      </c>
      <c r="ABG2" s="377" t="s">
        <v>70</v>
      </c>
      <c r="ABH2" s="377" t="s">
        <v>71</v>
      </c>
      <c r="ABI2" s="377" t="s">
        <v>72</v>
      </c>
      <c r="ABJ2" s="377" t="s">
        <v>73</v>
      </c>
      <c r="ABK2" s="377" t="s">
        <v>74</v>
      </c>
      <c r="ABL2" s="377" t="s">
        <v>75</v>
      </c>
      <c r="ABM2" s="377" t="s">
        <v>76</v>
      </c>
      <c r="ABN2" s="377" t="s">
        <v>77</v>
      </c>
      <c r="ABO2" s="377" t="s">
        <v>78</v>
      </c>
      <c r="ABP2" s="377" t="s">
        <v>79</v>
      </c>
      <c r="ABQ2" s="377" t="s">
        <v>80</v>
      </c>
      <c r="ABR2" s="377" t="s">
        <v>81</v>
      </c>
      <c r="ABS2" s="377" t="s">
        <v>82</v>
      </c>
      <c r="ABT2" s="377" t="s">
        <v>83</v>
      </c>
      <c r="ABU2" s="377" t="s">
        <v>83</v>
      </c>
      <c r="ABV2" s="375" t="s">
        <v>41</v>
      </c>
      <c r="ABW2" s="375" t="s">
        <v>42</v>
      </c>
      <c r="ABX2" s="375" t="s">
        <v>43</v>
      </c>
      <c r="ABY2" s="375" t="s">
        <v>44</v>
      </c>
      <c r="ABZ2" s="375" t="s">
        <v>45</v>
      </c>
      <c r="ACA2" s="375" t="s">
        <v>46</v>
      </c>
      <c r="ACB2" s="375" t="s">
        <v>47</v>
      </c>
      <c r="ACC2" s="375" t="s">
        <v>48</v>
      </c>
      <c r="ACD2" s="375" t="s">
        <v>49</v>
      </c>
      <c r="ACE2" s="375" t="s">
        <v>50</v>
      </c>
      <c r="ACF2" s="375" t="s">
        <v>51</v>
      </c>
      <c r="ACG2" s="375" t="s">
        <v>52</v>
      </c>
      <c r="ACH2" s="375" t="s">
        <v>53</v>
      </c>
      <c r="ACI2" s="375" t="s">
        <v>54</v>
      </c>
      <c r="ACJ2" s="375" t="s">
        <v>55</v>
      </c>
      <c r="ACK2" s="375" t="s">
        <v>56</v>
      </c>
      <c r="ACL2" s="375" t="s">
        <v>57</v>
      </c>
      <c r="ACM2" s="375" t="s">
        <v>58</v>
      </c>
      <c r="ACN2" s="375" t="s">
        <v>59</v>
      </c>
      <c r="ACO2" s="375" t="s">
        <v>60</v>
      </c>
      <c r="ACP2" s="375" t="s">
        <v>61</v>
      </c>
      <c r="ACQ2" s="375" t="s">
        <v>62</v>
      </c>
      <c r="ACR2" s="375" t="s">
        <v>63</v>
      </c>
      <c r="ACS2" s="375" t="s">
        <v>64</v>
      </c>
      <c r="ACT2" s="375" t="s">
        <v>65</v>
      </c>
      <c r="ACU2" s="375" t="s">
        <v>66</v>
      </c>
      <c r="ACV2" s="375" t="s">
        <v>67</v>
      </c>
      <c r="ACW2" s="375" t="s">
        <v>68</v>
      </c>
      <c r="ACX2" s="375" t="s">
        <v>69</v>
      </c>
      <c r="ACY2" s="375" t="s">
        <v>70</v>
      </c>
      <c r="ACZ2" s="375" t="s">
        <v>71</v>
      </c>
      <c r="ADA2" s="375" t="s">
        <v>72</v>
      </c>
      <c r="ADB2" s="375" t="s">
        <v>73</v>
      </c>
      <c r="ADC2" s="375" t="s">
        <v>74</v>
      </c>
      <c r="ADD2" s="375" t="s">
        <v>75</v>
      </c>
      <c r="ADE2" s="375" t="s">
        <v>76</v>
      </c>
      <c r="ADF2" s="375" t="s">
        <v>77</v>
      </c>
      <c r="ADG2" s="375" t="s">
        <v>78</v>
      </c>
      <c r="ADH2" s="375" t="s">
        <v>79</v>
      </c>
      <c r="ADI2" s="375" t="s">
        <v>80</v>
      </c>
      <c r="ADJ2" s="375" t="s">
        <v>81</v>
      </c>
      <c r="ADK2" s="375" t="s">
        <v>82</v>
      </c>
      <c r="ADL2" s="375" t="s">
        <v>83</v>
      </c>
      <c r="ADM2" s="375" t="s">
        <v>83</v>
      </c>
      <c r="ADN2" s="377" t="s">
        <v>1361</v>
      </c>
      <c r="ADO2" s="377" t="s">
        <v>42</v>
      </c>
      <c r="ADP2" s="377" t="s">
        <v>1362</v>
      </c>
      <c r="ADQ2" s="377" t="s">
        <v>1363</v>
      </c>
      <c r="ADR2" s="377" t="s">
        <v>45</v>
      </c>
      <c r="ADS2" s="377" t="s">
        <v>46</v>
      </c>
      <c r="ADT2" s="377" t="s">
        <v>47</v>
      </c>
      <c r="ADU2" s="377" t="s">
        <v>48</v>
      </c>
      <c r="ADV2" s="377" t="s">
        <v>49</v>
      </c>
      <c r="ADW2" s="377" t="s">
        <v>50</v>
      </c>
      <c r="ADX2" s="377" t="s">
        <v>51</v>
      </c>
      <c r="ADY2" s="377" t="s">
        <v>52</v>
      </c>
      <c r="ADZ2" s="377" t="s">
        <v>53</v>
      </c>
      <c r="AEA2" s="377" t="s">
        <v>54</v>
      </c>
      <c r="AEB2" s="377" t="s">
        <v>55</v>
      </c>
      <c r="AEC2" s="377" t="s">
        <v>56</v>
      </c>
      <c r="AED2" s="377" t="s">
        <v>57</v>
      </c>
      <c r="AEE2" s="377" t="s">
        <v>58</v>
      </c>
      <c r="AEF2" s="377" t="s">
        <v>59</v>
      </c>
      <c r="AEG2" s="377" t="s">
        <v>60</v>
      </c>
      <c r="AEH2" s="377" t="s">
        <v>61</v>
      </c>
      <c r="AEI2" s="377" t="s">
        <v>62</v>
      </c>
      <c r="AEJ2" s="377" t="s">
        <v>63</v>
      </c>
      <c r="AEK2" s="377" t="s">
        <v>64</v>
      </c>
      <c r="AEL2" s="377" t="s">
        <v>65</v>
      </c>
      <c r="AEM2" s="377" t="s">
        <v>66</v>
      </c>
      <c r="AEN2" s="377" t="s">
        <v>67</v>
      </c>
      <c r="AEO2" s="377" t="s">
        <v>68</v>
      </c>
      <c r="AEP2" s="377" t="s">
        <v>69</v>
      </c>
      <c r="AEQ2" s="377" t="s">
        <v>70</v>
      </c>
      <c r="AER2" s="377" t="s">
        <v>71</v>
      </c>
      <c r="AES2" s="377" t="s">
        <v>72</v>
      </c>
      <c r="AET2" s="377" t="s">
        <v>73</v>
      </c>
      <c r="AEU2" s="377" t="s">
        <v>74</v>
      </c>
      <c r="AEV2" s="377" t="s">
        <v>75</v>
      </c>
      <c r="AEW2" s="377" t="s">
        <v>76</v>
      </c>
      <c r="AEX2" s="377" t="s">
        <v>77</v>
      </c>
      <c r="AEY2" s="377" t="s">
        <v>78</v>
      </c>
      <c r="AEZ2" s="377" t="s">
        <v>79</v>
      </c>
      <c r="AFA2" s="377" t="s">
        <v>80</v>
      </c>
      <c r="AFB2" s="377" t="s">
        <v>81</v>
      </c>
      <c r="AFC2" s="377" t="s">
        <v>82</v>
      </c>
      <c r="AFD2" s="377" t="s">
        <v>83</v>
      </c>
      <c r="AFE2" s="377" t="s">
        <v>83</v>
      </c>
      <c r="AFF2" s="375" t="s">
        <v>41</v>
      </c>
      <c r="AFG2" s="375" t="s">
        <v>42</v>
      </c>
      <c r="AFH2" s="375" t="s">
        <v>43</v>
      </c>
      <c r="AFI2" s="375" t="s">
        <v>44</v>
      </c>
      <c r="AFJ2" s="375" t="s">
        <v>45</v>
      </c>
      <c r="AFK2" s="375" t="s">
        <v>46</v>
      </c>
      <c r="AFL2" s="375" t="s">
        <v>47</v>
      </c>
      <c r="AFM2" s="375" t="s">
        <v>48</v>
      </c>
      <c r="AFN2" s="375" t="s">
        <v>49</v>
      </c>
      <c r="AFO2" s="375" t="s">
        <v>50</v>
      </c>
      <c r="AFP2" s="375" t="s">
        <v>51</v>
      </c>
      <c r="AFQ2" s="375" t="s">
        <v>52</v>
      </c>
      <c r="AFR2" s="375" t="s">
        <v>53</v>
      </c>
      <c r="AFS2" s="375" t="s">
        <v>54</v>
      </c>
      <c r="AFT2" s="375" t="s">
        <v>55</v>
      </c>
      <c r="AFU2" s="375" t="s">
        <v>56</v>
      </c>
      <c r="AFV2" s="375" t="s">
        <v>57</v>
      </c>
      <c r="AFW2" s="375" t="s">
        <v>58</v>
      </c>
      <c r="AFX2" s="375" t="s">
        <v>59</v>
      </c>
      <c r="AFY2" s="375" t="s">
        <v>60</v>
      </c>
      <c r="AFZ2" s="375" t="s">
        <v>61</v>
      </c>
      <c r="AGA2" s="375" t="s">
        <v>62</v>
      </c>
      <c r="AGB2" s="375" t="s">
        <v>63</v>
      </c>
      <c r="AGC2" s="375" t="s">
        <v>64</v>
      </c>
      <c r="AGD2" s="375" t="s">
        <v>65</v>
      </c>
      <c r="AGE2" s="375" t="s">
        <v>66</v>
      </c>
      <c r="AGF2" s="375" t="s">
        <v>67</v>
      </c>
      <c r="AGG2" s="375" t="s">
        <v>68</v>
      </c>
      <c r="AGH2" s="375" t="s">
        <v>69</v>
      </c>
      <c r="AGI2" s="375" t="s">
        <v>70</v>
      </c>
      <c r="AGJ2" s="375" t="s">
        <v>71</v>
      </c>
      <c r="AGK2" s="375" t="s">
        <v>72</v>
      </c>
      <c r="AGL2" s="375" t="s">
        <v>73</v>
      </c>
      <c r="AGM2" s="375" t="s">
        <v>74</v>
      </c>
      <c r="AGN2" s="375" t="s">
        <v>75</v>
      </c>
      <c r="AGO2" s="375" t="s">
        <v>76</v>
      </c>
      <c r="AGP2" s="375" t="s">
        <v>77</v>
      </c>
      <c r="AGQ2" s="375" t="s">
        <v>78</v>
      </c>
      <c r="AGR2" s="375" t="s">
        <v>79</v>
      </c>
      <c r="AGS2" s="375" t="s">
        <v>80</v>
      </c>
      <c r="AGT2" s="375" t="s">
        <v>81</v>
      </c>
      <c r="AGU2" s="375" t="s">
        <v>82</v>
      </c>
      <c r="AGV2" s="375" t="s">
        <v>83</v>
      </c>
      <c r="AGW2" s="375" t="s">
        <v>83</v>
      </c>
      <c r="AGX2" s="377" t="s">
        <v>1361</v>
      </c>
      <c r="AGY2" s="377" t="s">
        <v>42</v>
      </c>
      <c r="AGZ2" s="377" t="s">
        <v>1362</v>
      </c>
      <c r="AHA2" s="377" t="s">
        <v>1363</v>
      </c>
      <c r="AHB2" s="377" t="s">
        <v>45</v>
      </c>
      <c r="AHC2" s="377" t="s">
        <v>46</v>
      </c>
      <c r="AHD2" s="377" t="s">
        <v>47</v>
      </c>
      <c r="AHE2" s="377" t="s">
        <v>48</v>
      </c>
      <c r="AHF2" s="377" t="s">
        <v>49</v>
      </c>
      <c r="AHG2" s="377" t="s">
        <v>50</v>
      </c>
      <c r="AHH2" s="377" t="s">
        <v>51</v>
      </c>
      <c r="AHI2" s="377" t="s">
        <v>52</v>
      </c>
      <c r="AHJ2" s="377" t="s">
        <v>53</v>
      </c>
      <c r="AHK2" s="377" t="s">
        <v>54</v>
      </c>
      <c r="AHL2" s="377" t="s">
        <v>55</v>
      </c>
      <c r="AHM2" s="377" t="s">
        <v>56</v>
      </c>
      <c r="AHN2" s="377" t="s">
        <v>57</v>
      </c>
      <c r="AHO2" s="377" t="s">
        <v>58</v>
      </c>
      <c r="AHP2" s="377" t="s">
        <v>59</v>
      </c>
      <c r="AHQ2" s="377" t="s">
        <v>60</v>
      </c>
      <c r="AHR2" s="377" t="s">
        <v>61</v>
      </c>
      <c r="AHS2" s="377" t="s">
        <v>62</v>
      </c>
      <c r="AHT2" s="377" t="s">
        <v>63</v>
      </c>
      <c r="AHU2" s="377" t="s">
        <v>64</v>
      </c>
      <c r="AHV2" s="377" t="s">
        <v>65</v>
      </c>
      <c r="AHW2" s="377" t="s">
        <v>66</v>
      </c>
      <c r="AHX2" s="377" t="s">
        <v>67</v>
      </c>
      <c r="AHY2" s="377" t="s">
        <v>68</v>
      </c>
      <c r="AHZ2" s="377" t="s">
        <v>69</v>
      </c>
      <c r="AIA2" s="377" t="s">
        <v>70</v>
      </c>
      <c r="AIB2" s="377" t="s">
        <v>71</v>
      </c>
      <c r="AIC2" s="377" t="s">
        <v>72</v>
      </c>
      <c r="AID2" s="377" t="s">
        <v>73</v>
      </c>
      <c r="AIE2" s="377" t="s">
        <v>74</v>
      </c>
      <c r="AIF2" s="377" t="s">
        <v>75</v>
      </c>
      <c r="AIG2" s="377" t="s">
        <v>76</v>
      </c>
      <c r="AIH2" s="377" t="s">
        <v>77</v>
      </c>
      <c r="AII2" s="377" t="s">
        <v>78</v>
      </c>
      <c r="AIJ2" s="377" t="s">
        <v>79</v>
      </c>
      <c r="AIK2" s="377" t="s">
        <v>80</v>
      </c>
      <c r="AIL2" s="377" t="s">
        <v>81</v>
      </c>
      <c r="AIM2" s="377" t="s">
        <v>82</v>
      </c>
      <c r="AIN2" s="377" t="s">
        <v>83</v>
      </c>
      <c r="AIO2" s="377" t="s">
        <v>83</v>
      </c>
      <c r="AIP2" s="375" t="s">
        <v>41</v>
      </c>
      <c r="AIQ2" s="375" t="s">
        <v>42</v>
      </c>
      <c r="AIR2" s="375" t="s">
        <v>43</v>
      </c>
      <c r="AIS2" s="375" t="s">
        <v>44</v>
      </c>
      <c r="AIT2" s="375" t="s">
        <v>45</v>
      </c>
      <c r="AIU2" s="375" t="s">
        <v>46</v>
      </c>
      <c r="AIV2" s="375" t="s">
        <v>47</v>
      </c>
      <c r="AIW2" s="375" t="s">
        <v>48</v>
      </c>
      <c r="AIX2" s="375" t="s">
        <v>49</v>
      </c>
      <c r="AIY2" s="375" t="s">
        <v>50</v>
      </c>
      <c r="AIZ2" s="375" t="s">
        <v>51</v>
      </c>
      <c r="AJA2" s="375" t="s">
        <v>52</v>
      </c>
      <c r="AJB2" s="375" t="s">
        <v>53</v>
      </c>
      <c r="AJC2" s="375" t="s">
        <v>54</v>
      </c>
      <c r="AJD2" s="375" t="s">
        <v>55</v>
      </c>
      <c r="AJE2" s="375" t="s">
        <v>56</v>
      </c>
      <c r="AJF2" s="375" t="s">
        <v>57</v>
      </c>
      <c r="AJG2" s="375" t="s">
        <v>58</v>
      </c>
      <c r="AJH2" s="375" t="s">
        <v>59</v>
      </c>
      <c r="AJI2" s="375" t="s">
        <v>60</v>
      </c>
      <c r="AJJ2" s="375" t="s">
        <v>61</v>
      </c>
      <c r="AJK2" s="375" t="s">
        <v>62</v>
      </c>
      <c r="AJL2" s="375" t="s">
        <v>63</v>
      </c>
      <c r="AJM2" s="375" t="s">
        <v>64</v>
      </c>
      <c r="AJN2" s="375" t="s">
        <v>65</v>
      </c>
      <c r="AJO2" s="375" t="s">
        <v>66</v>
      </c>
      <c r="AJP2" s="375" t="s">
        <v>67</v>
      </c>
      <c r="AJQ2" s="375" t="s">
        <v>68</v>
      </c>
      <c r="AJR2" s="375" t="s">
        <v>69</v>
      </c>
      <c r="AJS2" s="375" t="s">
        <v>70</v>
      </c>
      <c r="AJT2" s="375" t="s">
        <v>71</v>
      </c>
      <c r="AJU2" s="375" t="s">
        <v>72</v>
      </c>
      <c r="AJV2" s="375" t="s">
        <v>73</v>
      </c>
      <c r="AJW2" s="375" t="s">
        <v>74</v>
      </c>
      <c r="AJX2" s="375" t="s">
        <v>75</v>
      </c>
      <c r="AJY2" s="375" t="s">
        <v>76</v>
      </c>
      <c r="AJZ2" s="375" t="s">
        <v>77</v>
      </c>
      <c r="AKA2" s="375" t="s">
        <v>78</v>
      </c>
      <c r="AKB2" s="375" t="s">
        <v>79</v>
      </c>
      <c r="AKC2" s="375" t="s">
        <v>80</v>
      </c>
      <c r="AKD2" s="375" t="s">
        <v>81</v>
      </c>
      <c r="AKE2" s="375" t="s">
        <v>82</v>
      </c>
      <c r="AKF2" s="375" t="s">
        <v>83</v>
      </c>
      <c r="AKG2" s="375" t="s">
        <v>83</v>
      </c>
      <c r="AKH2" s="377" t="s">
        <v>1361</v>
      </c>
      <c r="AKI2" s="377" t="s">
        <v>42</v>
      </c>
      <c r="AKJ2" s="377" t="s">
        <v>1362</v>
      </c>
      <c r="AKK2" s="377" t="s">
        <v>1363</v>
      </c>
      <c r="AKL2" s="377" t="s">
        <v>45</v>
      </c>
      <c r="AKM2" s="377" t="s">
        <v>46</v>
      </c>
      <c r="AKN2" s="377" t="s">
        <v>47</v>
      </c>
      <c r="AKO2" s="377" t="s">
        <v>48</v>
      </c>
      <c r="AKP2" s="377" t="s">
        <v>49</v>
      </c>
      <c r="AKQ2" s="377" t="s">
        <v>50</v>
      </c>
      <c r="AKR2" s="377" t="s">
        <v>51</v>
      </c>
      <c r="AKS2" s="377" t="s">
        <v>52</v>
      </c>
      <c r="AKT2" s="377" t="s">
        <v>53</v>
      </c>
      <c r="AKU2" s="377" t="s">
        <v>54</v>
      </c>
      <c r="AKV2" s="377" t="s">
        <v>55</v>
      </c>
      <c r="AKW2" s="377" t="s">
        <v>56</v>
      </c>
      <c r="AKX2" s="377" t="s">
        <v>57</v>
      </c>
      <c r="AKY2" s="377" t="s">
        <v>58</v>
      </c>
      <c r="AKZ2" s="377" t="s">
        <v>59</v>
      </c>
      <c r="ALA2" s="377" t="s">
        <v>60</v>
      </c>
      <c r="ALB2" s="377" t="s">
        <v>61</v>
      </c>
      <c r="ALC2" s="377" t="s">
        <v>62</v>
      </c>
      <c r="ALD2" s="377" t="s">
        <v>63</v>
      </c>
      <c r="ALE2" s="377" t="s">
        <v>64</v>
      </c>
      <c r="ALF2" s="377" t="s">
        <v>65</v>
      </c>
      <c r="ALG2" s="377" t="s">
        <v>66</v>
      </c>
      <c r="ALH2" s="377" t="s">
        <v>67</v>
      </c>
      <c r="ALI2" s="377" t="s">
        <v>68</v>
      </c>
      <c r="ALJ2" s="377" t="s">
        <v>69</v>
      </c>
      <c r="ALK2" s="377" t="s">
        <v>70</v>
      </c>
      <c r="ALL2" s="377" t="s">
        <v>71</v>
      </c>
      <c r="ALM2" s="377" t="s">
        <v>72</v>
      </c>
      <c r="ALN2" s="377" t="s">
        <v>73</v>
      </c>
      <c r="ALO2" s="377" t="s">
        <v>74</v>
      </c>
      <c r="ALP2" s="377" t="s">
        <v>75</v>
      </c>
      <c r="ALQ2" s="377" t="s">
        <v>76</v>
      </c>
      <c r="ALR2" s="377" t="s">
        <v>77</v>
      </c>
      <c r="ALS2" s="377" t="s">
        <v>78</v>
      </c>
      <c r="ALT2" s="377" t="s">
        <v>79</v>
      </c>
      <c r="ALU2" s="377" t="s">
        <v>80</v>
      </c>
      <c r="ALV2" s="377" t="s">
        <v>81</v>
      </c>
      <c r="ALW2" s="377" t="s">
        <v>82</v>
      </c>
      <c r="ALX2" s="377" t="s">
        <v>83</v>
      </c>
      <c r="ALY2" s="377" t="s">
        <v>83</v>
      </c>
      <c r="ALZ2" s="375" t="s">
        <v>41</v>
      </c>
      <c r="AMA2" s="375" t="s">
        <v>42</v>
      </c>
      <c r="AMB2" s="375" t="s">
        <v>43</v>
      </c>
      <c r="AMC2" s="375" t="s">
        <v>44</v>
      </c>
      <c r="AMD2" s="375" t="s">
        <v>45</v>
      </c>
      <c r="AME2" s="375" t="s">
        <v>46</v>
      </c>
      <c r="AMF2" s="375" t="s">
        <v>47</v>
      </c>
      <c r="AMG2" s="375" t="s">
        <v>48</v>
      </c>
      <c r="AMH2" s="375" t="s">
        <v>49</v>
      </c>
      <c r="AMI2" s="375" t="s">
        <v>50</v>
      </c>
      <c r="AMJ2" s="375" t="s">
        <v>51</v>
      </c>
      <c r="AMK2" s="375" t="s">
        <v>52</v>
      </c>
      <c r="AML2" s="375" t="s">
        <v>53</v>
      </c>
      <c r="AMM2" s="375" t="s">
        <v>54</v>
      </c>
      <c r="AMN2" s="375" t="s">
        <v>55</v>
      </c>
      <c r="AMO2" s="375" t="s">
        <v>56</v>
      </c>
      <c r="AMP2" s="375" t="s">
        <v>57</v>
      </c>
      <c r="AMQ2" s="375" t="s">
        <v>58</v>
      </c>
      <c r="AMR2" s="375" t="s">
        <v>59</v>
      </c>
      <c r="AMS2" s="375" t="s">
        <v>60</v>
      </c>
      <c r="AMT2" s="375" t="s">
        <v>61</v>
      </c>
      <c r="AMU2" s="375" t="s">
        <v>62</v>
      </c>
      <c r="AMV2" s="375" t="s">
        <v>63</v>
      </c>
      <c r="AMW2" s="375" t="s">
        <v>64</v>
      </c>
      <c r="AMX2" s="375" t="s">
        <v>65</v>
      </c>
      <c r="AMY2" s="375" t="s">
        <v>66</v>
      </c>
      <c r="AMZ2" s="375" t="s">
        <v>67</v>
      </c>
      <c r="ANA2" s="375" t="s">
        <v>68</v>
      </c>
      <c r="ANB2" s="375" t="s">
        <v>69</v>
      </c>
      <c r="ANC2" s="375" t="s">
        <v>70</v>
      </c>
      <c r="AND2" s="375" t="s">
        <v>71</v>
      </c>
      <c r="ANE2" s="375" t="s">
        <v>72</v>
      </c>
      <c r="ANF2" s="375" t="s">
        <v>73</v>
      </c>
      <c r="ANG2" s="375" t="s">
        <v>74</v>
      </c>
      <c r="ANH2" s="375" t="s">
        <v>75</v>
      </c>
      <c r="ANI2" s="375" t="s">
        <v>76</v>
      </c>
      <c r="ANJ2" s="375" t="s">
        <v>77</v>
      </c>
      <c r="ANK2" s="375" t="s">
        <v>78</v>
      </c>
      <c r="ANL2" s="375" t="s">
        <v>79</v>
      </c>
      <c r="ANM2" s="375" t="s">
        <v>80</v>
      </c>
      <c r="ANN2" s="375" t="s">
        <v>81</v>
      </c>
      <c r="ANO2" s="375" t="s">
        <v>82</v>
      </c>
      <c r="ANP2" s="375" t="s">
        <v>83</v>
      </c>
      <c r="ANQ2" s="375" t="s">
        <v>83</v>
      </c>
      <c r="ANR2" s="377" t="s">
        <v>1361</v>
      </c>
      <c r="ANS2" s="377" t="s">
        <v>42</v>
      </c>
      <c r="ANT2" s="377" t="s">
        <v>1362</v>
      </c>
      <c r="ANU2" s="377" t="s">
        <v>1363</v>
      </c>
      <c r="ANV2" s="377" t="s">
        <v>45</v>
      </c>
      <c r="ANW2" s="377" t="s">
        <v>46</v>
      </c>
      <c r="ANX2" s="377" t="s">
        <v>47</v>
      </c>
      <c r="ANY2" s="377" t="s">
        <v>48</v>
      </c>
      <c r="ANZ2" s="377" t="s">
        <v>49</v>
      </c>
      <c r="AOA2" s="377" t="s">
        <v>50</v>
      </c>
      <c r="AOB2" s="377" t="s">
        <v>51</v>
      </c>
      <c r="AOC2" s="377" t="s">
        <v>52</v>
      </c>
      <c r="AOD2" s="377" t="s">
        <v>53</v>
      </c>
      <c r="AOE2" s="377" t="s">
        <v>54</v>
      </c>
      <c r="AOF2" s="377" t="s">
        <v>55</v>
      </c>
      <c r="AOG2" s="377" t="s">
        <v>56</v>
      </c>
      <c r="AOH2" s="377" t="s">
        <v>57</v>
      </c>
      <c r="AOI2" s="377" t="s">
        <v>58</v>
      </c>
      <c r="AOJ2" s="377" t="s">
        <v>59</v>
      </c>
      <c r="AOK2" s="377" t="s">
        <v>60</v>
      </c>
      <c r="AOL2" s="377" t="s">
        <v>61</v>
      </c>
      <c r="AOM2" s="377" t="s">
        <v>62</v>
      </c>
      <c r="AON2" s="377" t="s">
        <v>63</v>
      </c>
      <c r="AOO2" s="377" t="s">
        <v>64</v>
      </c>
      <c r="AOP2" s="377" t="s">
        <v>65</v>
      </c>
      <c r="AOQ2" s="377" t="s">
        <v>66</v>
      </c>
      <c r="AOR2" s="377" t="s">
        <v>67</v>
      </c>
      <c r="AOS2" s="377" t="s">
        <v>68</v>
      </c>
      <c r="AOT2" s="377" t="s">
        <v>69</v>
      </c>
      <c r="AOU2" s="377" t="s">
        <v>70</v>
      </c>
      <c r="AOV2" s="377" t="s">
        <v>71</v>
      </c>
      <c r="AOW2" s="377" t="s">
        <v>72</v>
      </c>
      <c r="AOX2" s="377" t="s">
        <v>73</v>
      </c>
      <c r="AOY2" s="377" t="s">
        <v>74</v>
      </c>
      <c r="AOZ2" s="377" t="s">
        <v>75</v>
      </c>
      <c r="APA2" s="377" t="s">
        <v>76</v>
      </c>
      <c r="APB2" s="377" t="s">
        <v>77</v>
      </c>
      <c r="APC2" s="377" t="s">
        <v>78</v>
      </c>
      <c r="APD2" s="377" t="s">
        <v>79</v>
      </c>
      <c r="APE2" s="377" t="s">
        <v>80</v>
      </c>
      <c r="APF2" s="377" t="s">
        <v>81</v>
      </c>
      <c r="APG2" s="377" t="s">
        <v>82</v>
      </c>
      <c r="APH2" s="377" t="s">
        <v>83</v>
      </c>
      <c r="API2" s="377" t="s">
        <v>83</v>
      </c>
      <c r="APJ2" s="375" t="s">
        <v>41</v>
      </c>
      <c r="APK2" s="375" t="s">
        <v>42</v>
      </c>
      <c r="APL2" s="375" t="s">
        <v>43</v>
      </c>
      <c r="APM2" s="375" t="s">
        <v>44</v>
      </c>
      <c r="APN2" s="375" t="s">
        <v>45</v>
      </c>
      <c r="APO2" s="375" t="s">
        <v>46</v>
      </c>
      <c r="APP2" s="375" t="s">
        <v>47</v>
      </c>
      <c r="APQ2" s="375" t="s">
        <v>48</v>
      </c>
      <c r="APR2" s="375" t="s">
        <v>49</v>
      </c>
      <c r="APS2" s="375" t="s">
        <v>50</v>
      </c>
      <c r="APT2" s="375" t="s">
        <v>51</v>
      </c>
      <c r="APU2" s="375" t="s">
        <v>52</v>
      </c>
      <c r="APV2" s="375" t="s">
        <v>53</v>
      </c>
      <c r="APW2" s="375" t="s">
        <v>54</v>
      </c>
      <c r="APX2" s="375" t="s">
        <v>55</v>
      </c>
      <c r="APY2" s="375" t="s">
        <v>56</v>
      </c>
      <c r="APZ2" s="375" t="s">
        <v>57</v>
      </c>
      <c r="AQA2" s="375" t="s">
        <v>58</v>
      </c>
      <c r="AQB2" s="375" t="s">
        <v>59</v>
      </c>
      <c r="AQC2" s="375" t="s">
        <v>60</v>
      </c>
      <c r="AQD2" s="375" t="s">
        <v>61</v>
      </c>
      <c r="AQE2" s="375" t="s">
        <v>62</v>
      </c>
      <c r="AQF2" s="375" t="s">
        <v>63</v>
      </c>
      <c r="AQG2" s="375" t="s">
        <v>64</v>
      </c>
      <c r="AQH2" s="375" t="s">
        <v>65</v>
      </c>
      <c r="AQI2" s="375" t="s">
        <v>66</v>
      </c>
      <c r="AQJ2" s="375" t="s">
        <v>67</v>
      </c>
      <c r="AQK2" s="375" t="s">
        <v>68</v>
      </c>
      <c r="AQL2" s="375" t="s">
        <v>69</v>
      </c>
      <c r="AQM2" s="375" t="s">
        <v>70</v>
      </c>
      <c r="AQN2" s="375" t="s">
        <v>71</v>
      </c>
      <c r="AQO2" s="375" t="s">
        <v>72</v>
      </c>
      <c r="AQP2" s="375" t="s">
        <v>73</v>
      </c>
      <c r="AQQ2" s="375" t="s">
        <v>74</v>
      </c>
      <c r="AQR2" s="375" t="s">
        <v>75</v>
      </c>
      <c r="AQS2" s="375" t="s">
        <v>76</v>
      </c>
      <c r="AQT2" s="375" t="s">
        <v>77</v>
      </c>
      <c r="AQU2" s="375" t="s">
        <v>78</v>
      </c>
      <c r="AQV2" s="375" t="s">
        <v>79</v>
      </c>
      <c r="AQW2" s="375" t="s">
        <v>80</v>
      </c>
      <c r="AQX2" s="375" t="s">
        <v>81</v>
      </c>
      <c r="AQY2" s="375" t="s">
        <v>82</v>
      </c>
      <c r="AQZ2" s="375" t="s">
        <v>83</v>
      </c>
      <c r="ARA2" s="375" t="s">
        <v>83</v>
      </c>
      <c r="ARB2" s="377" t="s">
        <v>1361</v>
      </c>
      <c r="ARC2" s="377" t="s">
        <v>42</v>
      </c>
      <c r="ARD2" s="377" t="s">
        <v>1362</v>
      </c>
      <c r="ARE2" s="377" t="s">
        <v>1363</v>
      </c>
      <c r="ARF2" s="377" t="s">
        <v>45</v>
      </c>
      <c r="ARG2" s="377" t="s">
        <v>46</v>
      </c>
      <c r="ARH2" s="377" t="s">
        <v>47</v>
      </c>
      <c r="ARI2" s="377" t="s">
        <v>48</v>
      </c>
      <c r="ARJ2" s="377" t="s">
        <v>49</v>
      </c>
      <c r="ARK2" s="377" t="s">
        <v>50</v>
      </c>
      <c r="ARL2" s="377" t="s">
        <v>51</v>
      </c>
      <c r="ARM2" s="377" t="s">
        <v>52</v>
      </c>
      <c r="ARN2" s="377" t="s">
        <v>53</v>
      </c>
      <c r="ARO2" s="377" t="s">
        <v>54</v>
      </c>
      <c r="ARP2" s="377" t="s">
        <v>55</v>
      </c>
      <c r="ARQ2" s="377" t="s">
        <v>56</v>
      </c>
      <c r="ARR2" s="377" t="s">
        <v>57</v>
      </c>
      <c r="ARS2" s="377" t="s">
        <v>58</v>
      </c>
      <c r="ART2" s="377" t="s">
        <v>59</v>
      </c>
      <c r="ARU2" s="377" t="s">
        <v>60</v>
      </c>
      <c r="ARV2" s="377" t="s">
        <v>61</v>
      </c>
      <c r="ARW2" s="377" t="s">
        <v>62</v>
      </c>
      <c r="ARX2" s="377" t="s">
        <v>63</v>
      </c>
      <c r="ARY2" s="377" t="s">
        <v>64</v>
      </c>
      <c r="ARZ2" s="377" t="s">
        <v>65</v>
      </c>
      <c r="ASA2" s="377" t="s">
        <v>66</v>
      </c>
      <c r="ASB2" s="377" t="s">
        <v>67</v>
      </c>
      <c r="ASC2" s="377" t="s">
        <v>68</v>
      </c>
      <c r="ASD2" s="377" t="s">
        <v>69</v>
      </c>
      <c r="ASE2" s="377" t="s">
        <v>70</v>
      </c>
      <c r="ASF2" s="377" t="s">
        <v>71</v>
      </c>
      <c r="ASG2" s="377" t="s">
        <v>72</v>
      </c>
      <c r="ASH2" s="377" t="s">
        <v>73</v>
      </c>
      <c r="ASI2" s="377" t="s">
        <v>74</v>
      </c>
      <c r="ASJ2" s="377" t="s">
        <v>75</v>
      </c>
      <c r="ASK2" s="377" t="s">
        <v>76</v>
      </c>
      <c r="ASL2" s="377" t="s">
        <v>77</v>
      </c>
      <c r="ASM2" s="377" t="s">
        <v>78</v>
      </c>
      <c r="ASN2" s="377" t="s">
        <v>79</v>
      </c>
      <c r="ASO2" s="377" t="s">
        <v>80</v>
      </c>
      <c r="ASP2" s="377" t="s">
        <v>81</v>
      </c>
      <c r="ASQ2" s="377" t="s">
        <v>82</v>
      </c>
      <c r="ASR2" s="377" t="s">
        <v>83</v>
      </c>
      <c r="ASS2" s="377" t="s">
        <v>83</v>
      </c>
      <c r="AST2" s="375" t="s">
        <v>41</v>
      </c>
      <c r="ASU2" s="375" t="s">
        <v>42</v>
      </c>
      <c r="ASV2" s="375" t="s">
        <v>43</v>
      </c>
      <c r="ASW2" s="375" t="s">
        <v>44</v>
      </c>
      <c r="ASX2" s="375" t="s">
        <v>45</v>
      </c>
      <c r="ASY2" s="375" t="s">
        <v>46</v>
      </c>
      <c r="ASZ2" s="375" t="s">
        <v>47</v>
      </c>
      <c r="ATA2" s="375" t="s">
        <v>48</v>
      </c>
      <c r="ATB2" s="375" t="s">
        <v>49</v>
      </c>
      <c r="ATC2" s="375" t="s">
        <v>50</v>
      </c>
      <c r="ATD2" s="375" t="s">
        <v>51</v>
      </c>
      <c r="ATE2" s="375" t="s">
        <v>52</v>
      </c>
      <c r="ATF2" s="375" t="s">
        <v>53</v>
      </c>
      <c r="ATG2" s="375" t="s">
        <v>54</v>
      </c>
      <c r="ATH2" s="375" t="s">
        <v>55</v>
      </c>
      <c r="ATI2" s="375" t="s">
        <v>56</v>
      </c>
      <c r="ATJ2" s="375" t="s">
        <v>57</v>
      </c>
      <c r="ATK2" s="375" t="s">
        <v>58</v>
      </c>
      <c r="ATL2" s="375" t="s">
        <v>59</v>
      </c>
      <c r="ATM2" s="375" t="s">
        <v>60</v>
      </c>
      <c r="ATN2" s="375" t="s">
        <v>61</v>
      </c>
      <c r="ATO2" s="375" t="s">
        <v>62</v>
      </c>
      <c r="ATP2" s="375" t="s">
        <v>63</v>
      </c>
      <c r="ATQ2" s="375" t="s">
        <v>64</v>
      </c>
      <c r="ATR2" s="375" t="s">
        <v>65</v>
      </c>
      <c r="ATS2" s="375" t="s">
        <v>66</v>
      </c>
      <c r="ATT2" s="375" t="s">
        <v>67</v>
      </c>
      <c r="ATU2" s="375" t="s">
        <v>68</v>
      </c>
      <c r="ATV2" s="375" t="s">
        <v>69</v>
      </c>
      <c r="ATW2" s="375" t="s">
        <v>70</v>
      </c>
      <c r="ATX2" s="375" t="s">
        <v>71</v>
      </c>
      <c r="ATY2" s="375" t="s">
        <v>72</v>
      </c>
      <c r="ATZ2" s="375" t="s">
        <v>73</v>
      </c>
      <c r="AUA2" s="375" t="s">
        <v>74</v>
      </c>
      <c r="AUB2" s="375" t="s">
        <v>75</v>
      </c>
      <c r="AUC2" s="375" t="s">
        <v>76</v>
      </c>
      <c r="AUD2" s="375" t="s">
        <v>77</v>
      </c>
      <c r="AUE2" s="375" t="s">
        <v>78</v>
      </c>
      <c r="AUF2" s="375" t="s">
        <v>79</v>
      </c>
      <c r="AUG2" s="375" t="s">
        <v>80</v>
      </c>
      <c r="AUH2" s="375" t="s">
        <v>81</v>
      </c>
      <c r="AUI2" s="375" t="s">
        <v>82</v>
      </c>
      <c r="AUJ2" s="375" t="s">
        <v>83</v>
      </c>
      <c r="AUK2" s="375" t="s">
        <v>83</v>
      </c>
      <c r="AUL2" s="377" t="s">
        <v>1361</v>
      </c>
      <c r="AUM2" s="377" t="s">
        <v>42</v>
      </c>
      <c r="AUN2" s="377" t="s">
        <v>1362</v>
      </c>
      <c r="AUO2" s="377" t="s">
        <v>1363</v>
      </c>
      <c r="AUP2" s="377" t="s">
        <v>45</v>
      </c>
      <c r="AUQ2" s="377" t="s">
        <v>46</v>
      </c>
      <c r="AUR2" s="377" t="s">
        <v>47</v>
      </c>
      <c r="AUS2" s="377" t="s">
        <v>48</v>
      </c>
      <c r="AUT2" s="377" t="s">
        <v>49</v>
      </c>
      <c r="AUU2" s="377" t="s">
        <v>50</v>
      </c>
      <c r="AUV2" s="377" t="s">
        <v>51</v>
      </c>
      <c r="AUW2" s="377" t="s">
        <v>52</v>
      </c>
      <c r="AUX2" s="377" t="s">
        <v>53</v>
      </c>
      <c r="AUY2" s="377" t="s">
        <v>54</v>
      </c>
      <c r="AUZ2" s="377" t="s">
        <v>55</v>
      </c>
      <c r="AVA2" s="377" t="s">
        <v>56</v>
      </c>
      <c r="AVB2" s="377" t="s">
        <v>57</v>
      </c>
      <c r="AVC2" s="377" t="s">
        <v>58</v>
      </c>
      <c r="AVD2" s="377" t="s">
        <v>59</v>
      </c>
      <c r="AVE2" s="377" t="s">
        <v>60</v>
      </c>
      <c r="AVF2" s="377" t="s">
        <v>61</v>
      </c>
      <c r="AVG2" s="377" t="s">
        <v>62</v>
      </c>
      <c r="AVH2" s="377" t="s">
        <v>63</v>
      </c>
      <c r="AVI2" s="377" t="s">
        <v>64</v>
      </c>
      <c r="AVJ2" s="377" t="s">
        <v>65</v>
      </c>
      <c r="AVK2" s="377" t="s">
        <v>66</v>
      </c>
      <c r="AVL2" s="377" t="s">
        <v>67</v>
      </c>
      <c r="AVM2" s="377" t="s">
        <v>68</v>
      </c>
      <c r="AVN2" s="377" t="s">
        <v>69</v>
      </c>
      <c r="AVO2" s="377" t="s">
        <v>70</v>
      </c>
      <c r="AVP2" s="377" t="s">
        <v>71</v>
      </c>
      <c r="AVQ2" s="377" t="s">
        <v>72</v>
      </c>
      <c r="AVR2" s="377" t="s">
        <v>73</v>
      </c>
      <c r="AVS2" s="377" t="s">
        <v>74</v>
      </c>
      <c r="AVT2" s="377" t="s">
        <v>75</v>
      </c>
      <c r="AVU2" s="377" t="s">
        <v>76</v>
      </c>
      <c r="AVV2" s="377" t="s">
        <v>77</v>
      </c>
      <c r="AVW2" s="377" t="s">
        <v>78</v>
      </c>
      <c r="AVX2" s="377" t="s">
        <v>79</v>
      </c>
      <c r="AVY2" s="377" t="s">
        <v>80</v>
      </c>
      <c r="AVZ2" s="377" t="s">
        <v>81</v>
      </c>
      <c r="AWA2" s="377" t="s">
        <v>82</v>
      </c>
      <c r="AWB2" s="377" t="s">
        <v>83</v>
      </c>
      <c r="AWC2" s="377" t="s">
        <v>83</v>
      </c>
      <c r="AWD2" s="375" t="s">
        <v>41</v>
      </c>
      <c r="AWE2" s="375" t="s">
        <v>42</v>
      </c>
      <c r="AWF2" s="375" t="s">
        <v>43</v>
      </c>
      <c r="AWG2" s="375" t="s">
        <v>44</v>
      </c>
      <c r="AWH2" s="375" t="s">
        <v>45</v>
      </c>
      <c r="AWI2" s="375" t="s">
        <v>46</v>
      </c>
      <c r="AWJ2" s="375" t="s">
        <v>47</v>
      </c>
      <c r="AWK2" s="375" t="s">
        <v>48</v>
      </c>
      <c r="AWL2" s="375" t="s">
        <v>49</v>
      </c>
      <c r="AWM2" s="375" t="s">
        <v>50</v>
      </c>
      <c r="AWN2" s="375" t="s">
        <v>51</v>
      </c>
      <c r="AWO2" s="375" t="s">
        <v>52</v>
      </c>
      <c r="AWP2" s="375" t="s">
        <v>53</v>
      </c>
      <c r="AWQ2" s="375" t="s">
        <v>54</v>
      </c>
      <c r="AWR2" s="375" t="s">
        <v>55</v>
      </c>
      <c r="AWS2" s="375" t="s">
        <v>56</v>
      </c>
      <c r="AWT2" s="375" t="s">
        <v>57</v>
      </c>
      <c r="AWU2" s="375" t="s">
        <v>58</v>
      </c>
      <c r="AWV2" s="375" t="s">
        <v>59</v>
      </c>
      <c r="AWW2" s="375" t="s">
        <v>60</v>
      </c>
      <c r="AWX2" s="375" t="s">
        <v>61</v>
      </c>
      <c r="AWY2" s="375" t="s">
        <v>62</v>
      </c>
      <c r="AWZ2" s="375" t="s">
        <v>63</v>
      </c>
      <c r="AXA2" s="375" t="s">
        <v>64</v>
      </c>
      <c r="AXB2" s="375" t="s">
        <v>65</v>
      </c>
      <c r="AXC2" s="375" t="s">
        <v>66</v>
      </c>
      <c r="AXD2" s="375" t="s">
        <v>67</v>
      </c>
      <c r="AXE2" s="375" t="s">
        <v>68</v>
      </c>
      <c r="AXF2" s="375" t="s">
        <v>69</v>
      </c>
      <c r="AXG2" s="375" t="s">
        <v>70</v>
      </c>
      <c r="AXH2" s="375" t="s">
        <v>71</v>
      </c>
      <c r="AXI2" s="375" t="s">
        <v>72</v>
      </c>
      <c r="AXJ2" s="375" t="s">
        <v>73</v>
      </c>
      <c r="AXK2" s="375" t="s">
        <v>74</v>
      </c>
      <c r="AXL2" s="375" t="s">
        <v>75</v>
      </c>
      <c r="AXM2" s="375" t="s">
        <v>76</v>
      </c>
      <c r="AXN2" s="375" t="s">
        <v>77</v>
      </c>
      <c r="AXO2" s="375" t="s">
        <v>78</v>
      </c>
      <c r="AXP2" s="375" t="s">
        <v>79</v>
      </c>
      <c r="AXQ2" s="375" t="s">
        <v>80</v>
      </c>
      <c r="AXR2" s="375" t="s">
        <v>81</v>
      </c>
      <c r="AXS2" s="375" t="s">
        <v>82</v>
      </c>
      <c r="AXT2" s="375" t="s">
        <v>83</v>
      </c>
      <c r="AXU2" s="375" t="s">
        <v>83</v>
      </c>
      <c r="AXV2" s="377" t="s">
        <v>1361</v>
      </c>
      <c r="AXW2" s="377" t="s">
        <v>42</v>
      </c>
      <c r="AXX2" s="377" t="s">
        <v>1362</v>
      </c>
      <c r="AXY2" s="377" t="s">
        <v>1363</v>
      </c>
      <c r="AXZ2" s="377" t="s">
        <v>45</v>
      </c>
      <c r="AYA2" s="377" t="s">
        <v>46</v>
      </c>
      <c r="AYB2" s="377" t="s">
        <v>47</v>
      </c>
      <c r="AYC2" s="377" t="s">
        <v>48</v>
      </c>
      <c r="AYD2" s="377" t="s">
        <v>49</v>
      </c>
      <c r="AYE2" s="377" t="s">
        <v>50</v>
      </c>
      <c r="AYF2" s="377" t="s">
        <v>51</v>
      </c>
      <c r="AYG2" s="377" t="s">
        <v>52</v>
      </c>
      <c r="AYH2" s="377" t="s">
        <v>53</v>
      </c>
      <c r="AYI2" s="377" t="s">
        <v>54</v>
      </c>
      <c r="AYJ2" s="377" t="s">
        <v>55</v>
      </c>
      <c r="AYK2" s="377" t="s">
        <v>56</v>
      </c>
      <c r="AYL2" s="377" t="s">
        <v>57</v>
      </c>
      <c r="AYM2" s="377" t="s">
        <v>58</v>
      </c>
      <c r="AYN2" s="377" t="s">
        <v>59</v>
      </c>
      <c r="AYO2" s="377" t="s">
        <v>60</v>
      </c>
      <c r="AYP2" s="377" t="s">
        <v>61</v>
      </c>
      <c r="AYQ2" s="377" t="s">
        <v>62</v>
      </c>
      <c r="AYR2" s="377" t="s">
        <v>63</v>
      </c>
      <c r="AYS2" s="377" t="s">
        <v>64</v>
      </c>
      <c r="AYT2" s="377" t="s">
        <v>65</v>
      </c>
      <c r="AYU2" s="377" t="s">
        <v>66</v>
      </c>
      <c r="AYV2" s="377" t="s">
        <v>67</v>
      </c>
      <c r="AYW2" s="377" t="s">
        <v>68</v>
      </c>
      <c r="AYX2" s="377" t="s">
        <v>69</v>
      </c>
      <c r="AYY2" s="377" t="s">
        <v>70</v>
      </c>
      <c r="AYZ2" s="377" t="s">
        <v>71</v>
      </c>
      <c r="AZA2" s="377" t="s">
        <v>72</v>
      </c>
      <c r="AZB2" s="377" t="s">
        <v>73</v>
      </c>
      <c r="AZC2" s="377" t="s">
        <v>74</v>
      </c>
      <c r="AZD2" s="377" t="s">
        <v>75</v>
      </c>
      <c r="AZE2" s="377" t="s">
        <v>76</v>
      </c>
      <c r="AZF2" s="377" t="s">
        <v>77</v>
      </c>
      <c r="AZG2" s="377" t="s">
        <v>78</v>
      </c>
      <c r="AZH2" s="377" t="s">
        <v>79</v>
      </c>
      <c r="AZI2" s="377" t="s">
        <v>80</v>
      </c>
      <c r="AZJ2" s="377" t="s">
        <v>81</v>
      </c>
      <c r="AZK2" s="377" t="s">
        <v>82</v>
      </c>
      <c r="AZL2" s="377" t="s">
        <v>83</v>
      </c>
      <c r="AZM2" s="377" t="s">
        <v>83</v>
      </c>
      <c r="AZN2" s="375" t="s">
        <v>41</v>
      </c>
      <c r="AZO2" s="375" t="s">
        <v>42</v>
      </c>
      <c r="AZP2" s="375" t="s">
        <v>43</v>
      </c>
      <c r="AZQ2" s="375" t="s">
        <v>44</v>
      </c>
      <c r="AZR2" s="375" t="s">
        <v>45</v>
      </c>
      <c r="AZS2" s="375" t="s">
        <v>46</v>
      </c>
      <c r="AZT2" s="375" t="s">
        <v>47</v>
      </c>
      <c r="AZU2" s="375" t="s">
        <v>48</v>
      </c>
      <c r="AZV2" s="375" t="s">
        <v>49</v>
      </c>
      <c r="AZW2" s="375" t="s">
        <v>50</v>
      </c>
      <c r="AZX2" s="375" t="s">
        <v>51</v>
      </c>
      <c r="AZY2" s="375" t="s">
        <v>52</v>
      </c>
      <c r="AZZ2" s="375" t="s">
        <v>53</v>
      </c>
      <c r="BAA2" s="375" t="s">
        <v>54</v>
      </c>
      <c r="BAB2" s="375" t="s">
        <v>55</v>
      </c>
      <c r="BAC2" s="375" t="s">
        <v>56</v>
      </c>
      <c r="BAD2" s="375" t="s">
        <v>57</v>
      </c>
      <c r="BAE2" s="375" t="s">
        <v>58</v>
      </c>
      <c r="BAF2" s="375" t="s">
        <v>59</v>
      </c>
      <c r="BAG2" s="375" t="s">
        <v>60</v>
      </c>
      <c r="BAH2" s="375" t="s">
        <v>61</v>
      </c>
      <c r="BAI2" s="375" t="s">
        <v>62</v>
      </c>
      <c r="BAJ2" s="375" t="s">
        <v>63</v>
      </c>
      <c r="BAK2" s="375" t="s">
        <v>64</v>
      </c>
      <c r="BAL2" s="375" t="s">
        <v>65</v>
      </c>
      <c r="BAM2" s="375" t="s">
        <v>66</v>
      </c>
      <c r="BAN2" s="375" t="s">
        <v>67</v>
      </c>
      <c r="BAO2" s="375" t="s">
        <v>68</v>
      </c>
      <c r="BAP2" s="375" t="s">
        <v>69</v>
      </c>
      <c r="BAQ2" s="375" t="s">
        <v>70</v>
      </c>
      <c r="BAR2" s="375" t="s">
        <v>71</v>
      </c>
      <c r="BAS2" s="375" t="s">
        <v>72</v>
      </c>
      <c r="BAT2" s="375" t="s">
        <v>73</v>
      </c>
      <c r="BAU2" s="375" t="s">
        <v>74</v>
      </c>
      <c r="BAV2" s="375" t="s">
        <v>75</v>
      </c>
      <c r="BAW2" s="375" t="s">
        <v>76</v>
      </c>
      <c r="BAX2" s="375" t="s">
        <v>77</v>
      </c>
      <c r="BAY2" s="375" t="s">
        <v>78</v>
      </c>
      <c r="BAZ2" s="375" t="s">
        <v>79</v>
      </c>
      <c r="BBA2" s="375" t="s">
        <v>80</v>
      </c>
      <c r="BBB2" s="375" t="s">
        <v>81</v>
      </c>
      <c r="BBC2" s="375" t="s">
        <v>82</v>
      </c>
      <c r="BBD2" s="375" t="s">
        <v>83</v>
      </c>
      <c r="BBE2" s="375" t="s">
        <v>83</v>
      </c>
      <c r="BBF2" s="377" t="s">
        <v>1361</v>
      </c>
      <c r="BBG2" s="377" t="s">
        <v>42</v>
      </c>
      <c r="BBH2" s="377" t="s">
        <v>1362</v>
      </c>
      <c r="BBI2" s="377" t="s">
        <v>1363</v>
      </c>
      <c r="BBJ2" s="377" t="s">
        <v>45</v>
      </c>
      <c r="BBK2" s="377" t="s">
        <v>46</v>
      </c>
      <c r="BBL2" s="377" t="s">
        <v>47</v>
      </c>
      <c r="BBM2" s="377" t="s">
        <v>48</v>
      </c>
      <c r="BBN2" s="377" t="s">
        <v>49</v>
      </c>
      <c r="BBO2" s="377" t="s">
        <v>50</v>
      </c>
      <c r="BBP2" s="377" t="s">
        <v>51</v>
      </c>
      <c r="BBQ2" s="377" t="s">
        <v>52</v>
      </c>
      <c r="BBR2" s="377" t="s">
        <v>53</v>
      </c>
      <c r="BBS2" s="377" t="s">
        <v>54</v>
      </c>
      <c r="BBT2" s="377" t="s">
        <v>55</v>
      </c>
      <c r="BBU2" s="377" t="s">
        <v>56</v>
      </c>
      <c r="BBV2" s="377" t="s">
        <v>57</v>
      </c>
      <c r="BBW2" s="377" t="s">
        <v>58</v>
      </c>
      <c r="BBX2" s="377" t="s">
        <v>59</v>
      </c>
      <c r="BBY2" s="377" t="s">
        <v>60</v>
      </c>
      <c r="BBZ2" s="377" t="s">
        <v>61</v>
      </c>
      <c r="BCA2" s="377" t="s">
        <v>62</v>
      </c>
      <c r="BCB2" s="377" t="s">
        <v>63</v>
      </c>
      <c r="BCC2" s="377" t="s">
        <v>64</v>
      </c>
      <c r="BCD2" s="377" t="s">
        <v>65</v>
      </c>
      <c r="BCE2" s="377" t="s">
        <v>66</v>
      </c>
      <c r="BCF2" s="377" t="s">
        <v>67</v>
      </c>
      <c r="BCG2" s="377" t="s">
        <v>68</v>
      </c>
      <c r="BCH2" s="377" t="s">
        <v>69</v>
      </c>
      <c r="BCI2" s="377" t="s">
        <v>70</v>
      </c>
      <c r="BCJ2" s="377" t="s">
        <v>71</v>
      </c>
      <c r="BCK2" s="377" t="s">
        <v>72</v>
      </c>
      <c r="BCL2" s="377" t="s">
        <v>73</v>
      </c>
      <c r="BCM2" s="377" t="s">
        <v>74</v>
      </c>
      <c r="BCN2" s="377" t="s">
        <v>75</v>
      </c>
      <c r="BCO2" s="377" t="s">
        <v>76</v>
      </c>
      <c r="BCP2" s="377" t="s">
        <v>77</v>
      </c>
      <c r="BCQ2" s="377" t="s">
        <v>78</v>
      </c>
      <c r="BCR2" s="377" t="s">
        <v>79</v>
      </c>
      <c r="BCS2" s="377" t="s">
        <v>80</v>
      </c>
      <c r="BCT2" s="377" t="s">
        <v>81</v>
      </c>
      <c r="BCU2" s="377" t="s">
        <v>82</v>
      </c>
      <c r="BCV2" s="377" t="s">
        <v>83</v>
      </c>
      <c r="BCW2" s="377" t="s">
        <v>83</v>
      </c>
      <c r="BCX2" s="375" t="s">
        <v>41</v>
      </c>
      <c r="BCY2" s="375" t="s">
        <v>42</v>
      </c>
      <c r="BCZ2" s="375" t="s">
        <v>43</v>
      </c>
      <c r="BDA2" s="375" t="s">
        <v>44</v>
      </c>
      <c r="BDB2" s="375" t="s">
        <v>45</v>
      </c>
      <c r="BDC2" s="375" t="s">
        <v>46</v>
      </c>
      <c r="BDD2" s="375" t="s">
        <v>47</v>
      </c>
      <c r="BDE2" s="375" t="s">
        <v>48</v>
      </c>
      <c r="BDF2" s="375" t="s">
        <v>49</v>
      </c>
      <c r="BDG2" s="375" t="s">
        <v>50</v>
      </c>
      <c r="BDH2" s="375" t="s">
        <v>51</v>
      </c>
      <c r="BDI2" s="375" t="s">
        <v>52</v>
      </c>
      <c r="BDJ2" s="375" t="s">
        <v>53</v>
      </c>
      <c r="BDK2" s="375" t="s">
        <v>54</v>
      </c>
      <c r="BDL2" s="375" t="s">
        <v>55</v>
      </c>
      <c r="BDM2" s="375" t="s">
        <v>56</v>
      </c>
      <c r="BDN2" s="375" t="s">
        <v>57</v>
      </c>
      <c r="BDO2" s="375" t="s">
        <v>58</v>
      </c>
      <c r="BDP2" s="375" t="s">
        <v>59</v>
      </c>
      <c r="BDQ2" s="375" t="s">
        <v>60</v>
      </c>
      <c r="BDR2" s="375" t="s">
        <v>61</v>
      </c>
      <c r="BDS2" s="375" t="s">
        <v>62</v>
      </c>
      <c r="BDT2" s="375" t="s">
        <v>63</v>
      </c>
      <c r="BDU2" s="375" t="s">
        <v>64</v>
      </c>
      <c r="BDV2" s="375" t="s">
        <v>65</v>
      </c>
      <c r="BDW2" s="375" t="s">
        <v>66</v>
      </c>
      <c r="BDX2" s="375" t="s">
        <v>67</v>
      </c>
      <c r="BDY2" s="375" t="s">
        <v>68</v>
      </c>
      <c r="BDZ2" s="375" t="s">
        <v>69</v>
      </c>
      <c r="BEA2" s="375" t="s">
        <v>70</v>
      </c>
      <c r="BEB2" s="375" t="s">
        <v>71</v>
      </c>
      <c r="BEC2" s="375" t="s">
        <v>72</v>
      </c>
      <c r="BED2" s="375" t="s">
        <v>73</v>
      </c>
      <c r="BEE2" s="375" t="s">
        <v>74</v>
      </c>
      <c r="BEF2" s="375" t="s">
        <v>75</v>
      </c>
      <c r="BEG2" s="375" t="s">
        <v>76</v>
      </c>
      <c r="BEH2" s="375" t="s">
        <v>77</v>
      </c>
      <c r="BEI2" s="375" t="s">
        <v>78</v>
      </c>
      <c r="BEJ2" s="375" t="s">
        <v>79</v>
      </c>
      <c r="BEK2" s="375" t="s">
        <v>80</v>
      </c>
      <c r="BEL2" s="375" t="s">
        <v>81</v>
      </c>
      <c r="BEM2" s="375" t="s">
        <v>82</v>
      </c>
      <c r="BEN2" s="375" t="s">
        <v>83</v>
      </c>
      <c r="BEO2" s="375" t="s">
        <v>83</v>
      </c>
      <c r="BEP2" s="377" t="s">
        <v>1361</v>
      </c>
      <c r="BEQ2" s="377" t="s">
        <v>42</v>
      </c>
      <c r="BER2" s="377" t="s">
        <v>1362</v>
      </c>
      <c r="BES2" s="377" t="s">
        <v>1363</v>
      </c>
      <c r="BET2" s="377" t="s">
        <v>45</v>
      </c>
      <c r="BEU2" s="377" t="s">
        <v>46</v>
      </c>
      <c r="BEV2" s="377" t="s">
        <v>47</v>
      </c>
      <c r="BEW2" s="377" t="s">
        <v>48</v>
      </c>
      <c r="BEX2" s="377" t="s">
        <v>49</v>
      </c>
      <c r="BEY2" s="377" t="s">
        <v>50</v>
      </c>
      <c r="BEZ2" s="377" t="s">
        <v>51</v>
      </c>
      <c r="BFA2" s="377" t="s">
        <v>52</v>
      </c>
      <c r="BFB2" s="377" t="s">
        <v>53</v>
      </c>
      <c r="BFC2" s="377" t="s">
        <v>54</v>
      </c>
      <c r="BFD2" s="377" t="s">
        <v>55</v>
      </c>
      <c r="BFE2" s="377" t="s">
        <v>56</v>
      </c>
      <c r="BFF2" s="377" t="s">
        <v>57</v>
      </c>
      <c r="BFG2" s="377" t="s">
        <v>58</v>
      </c>
      <c r="BFH2" s="377" t="s">
        <v>59</v>
      </c>
      <c r="BFI2" s="377" t="s">
        <v>60</v>
      </c>
      <c r="BFJ2" s="377" t="s">
        <v>61</v>
      </c>
      <c r="BFK2" s="377" t="s">
        <v>62</v>
      </c>
      <c r="BFL2" s="377" t="s">
        <v>63</v>
      </c>
      <c r="BFM2" s="377" t="s">
        <v>64</v>
      </c>
      <c r="BFN2" s="377" t="s">
        <v>65</v>
      </c>
      <c r="BFO2" s="377" t="s">
        <v>66</v>
      </c>
      <c r="BFP2" s="377" t="s">
        <v>67</v>
      </c>
      <c r="BFQ2" s="377" t="s">
        <v>68</v>
      </c>
      <c r="BFR2" s="377" t="s">
        <v>69</v>
      </c>
      <c r="BFS2" s="377" t="s">
        <v>70</v>
      </c>
      <c r="BFT2" s="377" t="s">
        <v>71</v>
      </c>
      <c r="BFU2" s="377" t="s">
        <v>72</v>
      </c>
      <c r="BFV2" s="377" t="s">
        <v>73</v>
      </c>
      <c r="BFW2" s="377" t="s">
        <v>74</v>
      </c>
      <c r="BFX2" s="377" t="s">
        <v>75</v>
      </c>
      <c r="BFY2" s="377" t="s">
        <v>76</v>
      </c>
      <c r="BFZ2" s="377" t="s">
        <v>77</v>
      </c>
      <c r="BGA2" s="377" t="s">
        <v>78</v>
      </c>
      <c r="BGB2" s="377" t="s">
        <v>79</v>
      </c>
      <c r="BGC2" s="377" t="s">
        <v>80</v>
      </c>
      <c r="BGD2" s="377" t="s">
        <v>81</v>
      </c>
      <c r="BGE2" s="377" t="s">
        <v>82</v>
      </c>
      <c r="BGF2" s="377" t="s">
        <v>83</v>
      </c>
      <c r="BGG2" s="377" t="s">
        <v>83</v>
      </c>
      <c r="BGH2" s="375" t="s">
        <v>41</v>
      </c>
      <c r="BGI2" s="375" t="s">
        <v>42</v>
      </c>
      <c r="BGJ2" s="375" t="s">
        <v>43</v>
      </c>
      <c r="BGK2" s="375" t="s">
        <v>44</v>
      </c>
      <c r="BGL2" s="375" t="s">
        <v>45</v>
      </c>
      <c r="BGM2" s="375" t="s">
        <v>46</v>
      </c>
      <c r="BGN2" s="375" t="s">
        <v>47</v>
      </c>
      <c r="BGO2" s="375" t="s">
        <v>48</v>
      </c>
      <c r="BGP2" s="375" t="s">
        <v>49</v>
      </c>
      <c r="BGQ2" s="375" t="s">
        <v>50</v>
      </c>
      <c r="BGR2" s="375" t="s">
        <v>51</v>
      </c>
      <c r="BGS2" s="375" t="s">
        <v>52</v>
      </c>
      <c r="BGT2" s="375" t="s">
        <v>53</v>
      </c>
      <c r="BGU2" s="375" t="s">
        <v>54</v>
      </c>
      <c r="BGV2" s="375" t="s">
        <v>55</v>
      </c>
      <c r="BGW2" s="375" t="s">
        <v>56</v>
      </c>
      <c r="BGX2" s="375" t="s">
        <v>57</v>
      </c>
      <c r="BGY2" s="375" t="s">
        <v>58</v>
      </c>
      <c r="BGZ2" s="375" t="s">
        <v>59</v>
      </c>
      <c r="BHA2" s="375" t="s">
        <v>60</v>
      </c>
      <c r="BHB2" s="375" t="s">
        <v>61</v>
      </c>
      <c r="BHC2" s="375" t="s">
        <v>62</v>
      </c>
      <c r="BHD2" s="375" t="s">
        <v>63</v>
      </c>
      <c r="BHE2" s="375" t="s">
        <v>64</v>
      </c>
      <c r="BHF2" s="375" t="s">
        <v>65</v>
      </c>
      <c r="BHG2" s="375" t="s">
        <v>66</v>
      </c>
      <c r="BHH2" s="375" t="s">
        <v>67</v>
      </c>
      <c r="BHI2" s="375" t="s">
        <v>68</v>
      </c>
      <c r="BHJ2" s="375" t="s">
        <v>69</v>
      </c>
      <c r="BHK2" s="375" t="s">
        <v>70</v>
      </c>
      <c r="BHL2" s="375" t="s">
        <v>71</v>
      </c>
      <c r="BHM2" s="375" t="s">
        <v>72</v>
      </c>
      <c r="BHN2" s="375" t="s">
        <v>73</v>
      </c>
      <c r="BHO2" s="375" t="s">
        <v>74</v>
      </c>
      <c r="BHP2" s="375" t="s">
        <v>75</v>
      </c>
      <c r="BHQ2" s="375" t="s">
        <v>76</v>
      </c>
      <c r="BHR2" s="375" t="s">
        <v>77</v>
      </c>
      <c r="BHS2" s="375" t="s">
        <v>78</v>
      </c>
      <c r="BHT2" s="375" t="s">
        <v>79</v>
      </c>
      <c r="BHU2" s="375" t="s">
        <v>80</v>
      </c>
      <c r="BHV2" s="375" t="s">
        <v>81</v>
      </c>
      <c r="BHW2" s="375" t="s">
        <v>82</v>
      </c>
      <c r="BHX2" s="375" t="s">
        <v>83</v>
      </c>
      <c r="BHY2" s="375" t="s">
        <v>83</v>
      </c>
      <c r="BHZ2" s="377" t="s">
        <v>1361</v>
      </c>
      <c r="BIA2" s="377" t="s">
        <v>42</v>
      </c>
      <c r="BIB2" s="377" t="s">
        <v>1362</v>
      </c>
      <c r="BIC2" s="377" t="s">
        <v>1363</v>
      </c>
      <c r="BID2" s="377" t="s">
        <v>45</v>
      </c>
      <c r="BIE2" s="377" t="s">
        <v>46</v>
      </c>
      <c r="BIF2" s="377" t="s">
        <v>47</v>
      </c>
      <c r="BIG2" s="377" t="s">
        <v>48</v>
      </c>
      <c r="BIH2" s="377" t="s">
        <v>49</v>
      </c>
      <c r="BII2" s="377" t="s">
        <v>50</v>
      </c>
      <c r="BIJ2" s="377" t="s">
        <v>51</v>
      </c>
      <c r="BIK2" s="377" t="s">
        <v>52</v>
      </c>
      <c r="BIL2" s="377" t="s">
        <v>53</v>
      </c>
      <c r="BIM2" s="377" t="s">
        <v>54</v>
      </c>
      <c r="BIN2" s="377" t="s">
        <v>55</v>
      </c>
      <c r="BIO2" s="377" t="s">
        <v>56</v>
      </c>
      <c r="BIP2" s="377" t="s">
        <v>57</v>
      </c>
      <c r="BIQ2" s="377" t="s">
        <v>58</v>
      </c>
      <c r="BIR2" s="377" t="s">
        <v>59</v>
      </c>
      <c r="BIS2" s="377" t="s">
        <v>60</v>
      </c>
      <c r="BIT2" s="377" t="s">
        <v>61</v>
      </c>
      <c r="BIU2" s="377" t="s">
        <v>62</v>
      </c>
      <c r="BIV2" s="377" t="s">
        <v>63</v>
      </c>
      <c r="BIW2" s="377" t="s">
        <v>64</v>
      </c>
      <c r="BIX2" s="377" t="s">
        <v>65</v>
      </c>
      <c r="BIY2" s="377" t="s">
        <v>66</v>
      </c>
      <c r="BIZ2" s="377" t="s">
        <v>67</v>
      </c>
      <c r="BJA2" s="377" t="s">
        <v>68</v>
      </c>
      <c r="BJB2" s="377" t="s">
        <v>69</v>
      </c>
      <c r="BJC2" s="377" t="s">
        <v>70</v>
      </c>
      <c r="BJD2" s="377" t="s">
        <v>71</v>
      </c>
      <c r="BJE2" s="377" t="s">
        <v>72</v>
      </c>
      <c r="BJF2" s="377" t="s">
        <v>73</v>
      </c>
      <c r="BJG2" s="377" t="s">
        <v>74</v>
      </c>
      <c r="BJH2" s="377" t="s">
        <v>75</v>
      </c>
      <c r="BJI2" s="377" t="s">
        <v>76</v>
      </c>
      <c r="BJJ2" s="377" t="s">
        <v>77</v>
      </c>
      <c r="BJK2" s="377" t="s">
        <v>78</v>
      </c>
      <c r="BJL2" s="377" t="s">
        <v>79</v>
      </c>
      <c r="BJM2" s="377" t="s">
        <v>80</v>
      </c>
      <c r="BJN2" s="377" t="s">
        <v>81</v>
      </c>
      <c r="BJO2" s="377" t="s">
        <v>82</v>
      </c>
      <c r="BJP2" s="377" t="s">
        <v>83</v>
      </c>
      <c r="BJQ2" s="377" t="s">
        <v>83</v>
      </c>
      <c r="BJR2" s="375" t="s">
        <v>41</v>
      </c>
      <c r="BJS2" s="375" t="s">
        <v>42</v>
      </c>
      <c r="BJT2" s="375" t="s">
        <v>43</v>
      </c>
      <c r="BJU2" s="375" t="s">
        <v>44</v>
      </c>
      <c r="BJV2" s="375" t="s">
        <v>45</v>
      </c>
      <c r="BJW2" s="375" t="s">
        <v>46</v>
      </c>
      <c r="BJX2" s="375" t="s">
        <v>47</v>
      </c>
      <c r="BJY2" s="375" t="s">
        <v>48</v>
      </c>
      <c r="BJZ2" s="375" t="s">
        <v>49</v>
      </c>
      <c r="BKA2" s="375" t="s">
        <v>50</v>
      </c>
      <c r="BKB2" s="375" t="s">
        <v>51</v>
      </c>
      <c r="BKC2" s="375" t="s">
        <v>52</v>
      </c>
      <c r="BKD2" s="375" t="s">
        <v>53</v>
      </c>
      <c r="BKE2" s="375" t="s">
        <v>54</v>
      </c>
      <c r="BKF2" s="375" t="s">
        <v>55</v>
      </c>
      <c r="BKG2" s="375" t="s">
        <v>56</v>
      </c>
      <c r="BKH2" s="375" t="s">
        <v>57</v>
      </c>
      <c r="BKI2" s="375" t="s">
        <v>58</v>
      </c>
      <c r="BKJ2" s="375" t="s">
        <v>59</v>
      </c>
      <c r="BKK2" s="375" t="s">
        <v>60</v>
      </c>
      <c r="BKL2" s="375" t="s">
        <v>61</v>
      </c>
      <c r="BKM2" s="375" t="s">
        <v>62</v>
      </c>
      <c r="BKN2" s="375" t="s">
        <v>63</v>
      </c>
      <c r="BKO2" s="375" t="s">
        <v>64</v>
      </c>
      <c r="BKP2" s="375" t="s">
        <v>65</v>
      </c>
      <c r="BKQ2" s="375" t="s">
        <v>66</v>
      </c>
      <c r="BKR2" s="375" t="s">
        <v>67</v>
      </c>
      <c r="BKS2" s="375" t="s">
        <v>68</v>
      </c>
      <c r="BKT2" s="375" t="s">
        <v>69</v>
      </c>
      <c r="BKU2" s="375" t="s">
        <v>70</v>
      </c>
      <c r="BKV2" s="375" t="s">
        <v>71</v>
      </c>
      <c r="BKW2" s="375" t="s">
        <v>72</v>
      </c>
      <c r="BKX2" s="375" t="s">
        <v>73</v>
      </c>
      <c r="BKY2" s="375" t="s">
        <v>74</v>
      </c>
      <c r="BKZ2" s="375" t="s">
        <v>75</v>
      </c>
      <c r="BLA2" s="375" t="s">
        <v>76</v>
      </c>
      <c r="BLB2" s="375" t="s">
        <v>77</v>
      </c>
      <c r="BLC2" s="375" t="s">
        <v>78</v>
      </c>
      <c r="BLD2" s="375" t="s">
        <v>79</v>
      </c>
      <c r="BLE2" s="375" t="s">
        <v>80</v>
      </c>
      <c r="BLF2" s="375" t="s">
        <v>81</v>
      </c>
      <c r="BLG2" s="375" t="s">
        <v>82</v>
      </c>
      <c r="BLH2" s="375" t="s">
        <v>83</v>
      </c>
      <c r="BLI2" s="375" t="s">
        <v>83</v>
      </c>
      <c r="BLJ2" s="377" t="s">
        <v>1361</v>
      </c>
      <c r="BLK2" s="377" t="s">
        <v>42</v>
      </c>
      <c r="BLL2" s="377" t="s">
        <v>1362</v>
      </c>
      <c r="BLM2" s="377" t="s">
        <v>1363</v>
      </c>
      <c r="BLN2" s="377" t="s">
        <v>45</v>
      </c>
      <c r="BLO2" s="377" t="s">
        <v>46</v>
      </c>
      <c r="BLP2" s="377" t="s">
        <v>47</v>
      </c>
      <c r="BLQ2" s="377" t="s">
        <v>48</v>
      </c>
      <c r="BLR2" s="377" t="s">
        <v>49</v>
      </c>
      <c r="BLS2" s="377" t="s">
        <v>50</v>
      </c>
      <c r="BLT2" s="377" t="s">
        <v>51</v>
      </c>
      <c r="BLU2" s="377" t="s">
        <v>52</v>
      </c>
      <c r="BLV2" s="377" t="s">
        <v>53</v>
      </c>
      <c r="BLW2" s="377" t="s">
        <v>54</v>
      </c>
      <c r="BLX2" s="377" t="s">
        <v>55</v>
      </c>
      <c r="BLY2" s="377" t="s">
        <v>56</v>
      </c>
      <c r="BLZ2" s="377" t="s">
        <v>57</v>
      </c>
      <c r="BMA2" s="377" t="s">
        <v>58</v>
      </c>
      <c r="BMB2" s="377" t="s">
        <v>59</v>
      </c>
      <c r="BMC2" s="377" t="s">
        <v>60</v>
      </c>
      <c r="BMD2" s="377" t="s">
        <v>61</v>
      </c>
      <c r="BME2" s="377" t="s">
        <v>62</v>
      </c>
      <c r="BMF2" s="377" t="s">
        <v>63</v>
      </c>
      <c r="BMG2" s="377" t="s">
        <v>64</v>
      </c>
      <c r="BMH2" s="377" t="s">
        <v>65</v>
      </c>
      <c r="BMI2" s="377" t="s">
        <v>66</v>
      </c>
      <c r="BMJ2" s="377" t="s">
        <v>67</v>
      </c>
      <c r="BMK2" s="377" t="s">
        <v>68</v>
      </c>
      <c r="BML2" s="377" t="s">
        <v>69</v>
      </c>
      <c r="BMM2" s="377" t="s">
        <v>70</v>
      </c>
      <c r="BMN2" s="377" t="s">
        <v>71</v>
      </c>
      <c r="BMO2" s="377" t="s">
        <v>72</v>
      </c>
      <c r="BMP2" s="377" t="s">
        <v>73</v>
      </c>
      <c r="BMQ2" s="377" t="s">
        <v>74</v>
      </c>
      <c r="BMR2" s="377" t="s">
        <v>75</v>
      </c>
      <c r="BMS2" s="377" t="s">
        <v>76</v>
      </c>
      <c r="BMT2" s="377" t="s">
        <v>77</v>
      </c>
      <c r="BMU2" s="377" t="s">
        <v>78</v>
      </c>
      <c r="BMV2" s="377" t="s">
        <v>79</v>
      </c>
      <c r="BMW2" s="377" t="s">
        <v>80</v>
      </c>
      <c r="BMX2" s="377" t="s">
        <v>81</v>
      </c>
      <c r="BMY2" s="377" t="s">
        <v>82</v>
      </c>
      <c r="BMZ2" s="377" t="s">
        <v>83</v>
      </c>
      <c r="BNA2" s="377" t="s">
        <v>83</v>
      </c>
      <c r="BNB2" s="375" t="s">
        <v>41</v>
      </c>
      <c r="BNC2" s="375" t="s">
        <v>42</v>
      </c>
      <c r="BND2" s="375" t="s">
        <v>43</v>
      </c>
      <c r="BNE2" s="375" t="s">
        <v>44</v>
      </c>
      <c r="BNF2" s="375" t="s">
        <v>45</v>
      </c>
      <c r="BNG2" s="375" t="s">
        <v>46</v>
      </c>
      <c r="BNH2" s="375" t="s">
        <v>47</v>
      </c>
      <c r="BNI2" s="375" t="s">
        <v>48</v>
      </c>
      <c r="BNJ2" s="375" t="s">
        <v>49</v>
      </c>
      <c r="BNK2" s="375" t="s">
        <v>50</v>
      </c>
      <c r="BNL2" s="375" t="s">
        <v>51</v>
      </c>
      <c r="BNM2" s="375" t="s">
        <v>52</v>
      </c>
      <c r="BNN2" s="375" t="s">
        <v>53</v>
      </c>
      <c r="BNO2" s="375" t="s">
        <v>54</v>
      </c>
      <c r="BNP2" s="375" t="s">
        <v>55</v>
      </c>
      <c r="BNQ2" s="375" t="s">
        <v>56</v>
      </c>
      <c r="BNR2" s="375" t="s">
        <v>57</v>
      </c>
      <c r="BNS2" s="375" t="s">
        <v>58</v>
      </c>
      <c r="BNT2" s="375" t="s">
        <v>59</v>
      </c>
      <c r="BNU2" s="375" t="s">
        <v>60</v>
      </c>
      <c r="BNV2" s="375" t="s">
        <v>61</v>
      </c>
      <c r="BNW2" s="375" t="s">
        <v>62</v>
      </c>
      <c r="BNX2" s="375" t="s">
        <v>63</v>
      </c>
      <c r="BNY2" s="375" t="s">
        <v>64</v>
      </c>
      <c r="BNZ2" s="375" t="s">
        <v>65</v>
      </c>
      <c r="BOA2" s="375" t="s">
        <v>66</v>
      </c>
      <c r="BOB2" s="375" t="s">
        <v>67</v>
      </c>
      <c r="BOC2" s="375" t="s">
        <v>68</v>
      </c>
      <c r="BOD2" s="375" t="s">
        <v>69</v>
      </c>
      <c r="BOE2" s="375" t="s">
        <v>70</v>
      </c>
      <c r="BOF2" s="375" t="s">
        <v>71</v>
      </c>
      <c r="BOG2" s="375" t="s">
        <v>72</v>
      </c>
      <c r="BOH2" s="375" t="s">
        <v>73</v>
      </c>
      <c r="BOI2" s="375" t="s">
        <v>74</v>
      </c>
      <c r="BOJ2" s="375" t="s">
        <v>75</v>
      </c>
      <c r="BOK2" s="375" t="s">
        <v>76</v>
      </c>
      <c r="BOL2" s="375" t="s">
        <v>77</v>
      </c>
      <c r="BOM2" s="375" t="s">
        <v>78</v>
      </c>
      <c r="BON2" s="375" t="s">
        <v>79</v>
      </c>
      <c r="BOO2" s="375" t="s">
        <v>80</v>
      </c>
      <c r="BOP2" s="375" t="s">
        <v>81</v>
      </c>
      <c r="BOQ2" s="375" t="s">
        <v>82</v>
      </c>
      <c r="BOR2" s="375" t="s">
        <v>83</v>
      </c>
      <c r="BOS2" s="375" t="s">
        <v>83</v>
      </c>
      <c r="BOT2" s="377" t="s">
        <v>1361</v>
      </c>
      <c r="BOU2" s="377" t="s">
        <v>42</v>
      </c>
      <c r="BOV2" s="377" t="s">
        <v>1362</v>
      </c>
      <c r="BOW2" s="377" t="s">
        <v>1363</v>
      </c>
      <c r="BOX2" s="377" t="s">
        <v>45</v>
      </c>
      <c r="BOY2" s="377" t="s">
        <v>46</v>
      </c>
      <c r="BOZ2" s="377" t="s">
        <v>47</v>
      </c>
      <c r="BPA2" s="377" t="s">
        <v>48</v>
      </c>
      <c r="BPB2" s="377" t="s">
        <v>49</v>
      </c>
      <c r="BPC2" s="377" t="s">
        <v>50</v>
      </c>
      <c r="BPD2" s="377" t="s">
        <v>51</v>
      </c>
      <c r="BPE2" s="377" t="s">
        <v>52</v>
      </c>
      <c r="BPF2" s="377" t="s">
        <v>53</v>
      </c>
      <c r="BPG2" s="377" t="s">
        <v>54</v>
      </c>
      <c r="BPH2" s="377" t="s">
        <v>55</v>
      </c>
      <c r="BPI2" s="377" t="s">
        <v>56</v>
      </c>
      <c r="BPJ2" s="377" t="s">
        <v>57</v>
      </c>
      <c r="BPK2" s="377" t="s">
        <v>58</v>
      </c>
      <c r="BPL2" s="377" t="s">
        <v>59</v>
      </c>
      <c r="BPM2" s="377" t="s">
        <v>60</v>
      </c>
      <c r="BPN2" s="377" t="s">
        <v>61</v>
      </c>
      <c r="BPO2" s="377" t="s">
        <v>62</v>
      </c>
      <c r="BPP2" s="377" t="s">
        <v>63</v>
      </c>
      <c r="BPQ2" s="377" t="s">
        <v>64</v>
      </c>
      <c r="BPR2" s="377" t="s">
        <v>65</v>
      </c>
      <c r="BPS2" s="377" t="s">
        <v>66</v>
      </c>
      <c r="BPT2" s="377" t="s">
        <v>67</v>
      </c>
      <c r="BPU2" s="377" t="s">
        <v>68</v>
      </c>
      <c r="BPV2" s="377" t="s">
        <v>69</v>
      </c>
      <c r="BPW2" s="377" t="s">
        <v>70</v>
      </c>
      <c r="BPX2" s="377" t="s">
        <v>71</v>
      </c>
      <c r="BPY2" s="377" t="s">
        <v>72</v>
      </c>
      <c r="BPZ2" s="377" t="s">
        <v>73</v>
      </c>
      <c r="BQA2" s="377" t="s">
        <v>74</v>
      </c>
      <c r="BQB2" s="377" t="s">
        <v>75</v>
      </c>
      <c r="BQC2" s="377" t="s">
        <v>76</v>
      </c>
      <c r="BQD2" s="377" t="s">
        <v>77</v>
      </c>
      <c r="BQE2" s="377" t="s">
        <v>78</v>
      </c>
      <c r="BQF2" s="377" t="s">
        <v>79</v>
      </c>
      <c r="BQG2" s="377" t="s">
        <v>80</v>
      </c>
      <c r="BQH2" s="377" t="s">
        <v>81</v>
      </c>
      <c r="BQI2" s="377" t="s">
        <v>82</v>
      </c>
      <c r="BQJ2" s="377" t="s">
        <v>83</v>
      </c>
      <c r="BQK2" s="377" t="s">
        <v>83</v>
      </c>
      <c r="BQL2" s="375" t="s">
        <v>41</v>
      </c>
      <c r="BQM2" s="375" t="s">
        <v>42</v>
      </c>
      <c r="BQN2" s="375" t="s">
        <v>43</v>
      </c>
      <c r="BQO2" s="375" t="s">
        <v>44</v>
      </c>
      <c r="BQP2" s="375" t="s">
        <v>45</v>
      </c>
      <c r="BQQ2" s="375" t="s">
        <v>46</v>
      </c>
      <c r="BQR2" s="375" t="s">
        <v>47</v>
      </c>
      <c r="BQS2" s="375" t="s">
        <v>48</v>
      </c>
      <c r="BQT2" s="375" t="s">
        <v>49</v>
      </c>
      <c r="BQU2" s="375" t="s">
        <v>50</v>
      </c>
      <c r="BQV2" s="375" t="s">
        <v>51</v>
      </c>
      <c r="BQW2" s="375" t="s">
        <v>52</v>
      </c>
      <c r="BQX2" s="375" t="s">
        <v>53</v>
      </c>
      <c r="BQY2" s="375" t="s">
        <v>54</v>
      </c>
      <c r="BQZ2" s="375" t="s">
        <v>55</v>
      </c>
      <c r="BRA2" s="375" t="s">
        <v>56</v>
      </c>
      <c r="BRB2" s="375" t="s">
        <v>57</v>
      </c>
      <c r="BRC2" s="375" t="s">
        <v>58</v>
      </c>
      <c r="BRD2" s="375" t="s">
        <v>59</v>
      </c>
      <c r="BRE2" s="375" t="s">
        <v>60</v>
      </c>
      <c r="BRF2" s="375" t="s">
        <v>61</v>
      </c>
      <c r="BRG2" s="375" t="s">
        <v>62</v>
      </c>
      <c r="BRH2" s="375" t="s">
        <v>63</v>
      </c>
      <c r="BRI2" s="375" t="s">
        <v>64</v>
      </c>
      <c r="BRJ2" s="375" t="s">
        <v>65</v>
      </c>
      <c r="BRK2" s="375" t="s">
        <v>66</v>
      </c>
      <c r="BRL2" s="375" t="s">
        <v>67</v>
      </c>
      <c r="BRM2" s="375" t="s">
        <v>68</v>
      </c>
      <c r="BRN2" s="375" t="s">
        <v>69</v>
      </c>
      <c r="BRO2" s="375" t="s">
        <v>70</v>
      </c>
      <c r="BRP2" s="375" t="s">
        <v>71</v>
      </c>
      <c r="BRQ2" s="375" t="s">
        <v>72</v>
      </c>
      <c r="BRR2" s="375" t="s">
        <v>73</v>
      </c>
      <c r="BRS2" s="375" t="s">
        <v>74</v>
      </c>
      <c r="BRT2" s="375" t="s">
        <v>75</v>
      </c>
      <c r="BRU2" s="375" t="s">
        <v>76</v>
      </c>
      <c r="BRV2" s="375" t="s">
        <v>77</v>
      </c>
      <c r="BRW2" s="375" t="s">
        <v>78</v>
      </c>
      <c r="BRX2" s="375" t="s">
        <v>79</v>
      </c>
      <c r="BRY2" s="375" t="s">
        <v>80</v>
      </c>
      <c r="BRZ2" s="375" t="s">
        <v>81</v>
      </c>
      <c r="BSA2" s="375" t="s">
        <v>82</v>
      </c>
      <c r="BSB2" s="375" t="s">
        <v>83</v>
      </c>
      <c r="BSC2" s="375" t="s">
        <v>83</v>
      </c>
      <c r="BSD2" s="377" t="s">
        <v>1361</v>
      </c>
      <c r="BSE2" s="377" t="s">
        <v>42</v>
      </c>
      <c r="BSF2" s="377" t="s">
        <v>1362</v>
      </c>
      <c r="BSG2" s="377" t="s">
        <v>1363</v>
      </c>
      <c r="BSH2" s="377" t="s">
        <v>45</v>
      </c>
      <c r="BSI2" s="377" t="s">
        <v>46</v>
      </c>
      <c r="BSJ2" s="377" t="s">
        <v>47</v>
      </c>
      <c r="BSK2" s="377" t="s">
        <v>48</v>
      </c>
      <c r="BSL2" s="377" t="s">
        <v>49</v>
      </c>
      <c r="BSM2" s="377" t="s">
        <v>50</v>
      </c>
      <c r="BSN2" s="377" t="s">
        <v>51</v>
      </c>
      <c r="BSO2" s="377" t="s">
        <v>52</v>
      </c>
      <c r="BSP2" s="377" t="s">
        <v>53</v>
      </c>
      <c r="BSQ2" s="377" t="s">
        <v>54</v>
      </c>
      <c r="BSR2" s="377" t="s">
        <v>55</v>
      </c>
      <c r="BSS2" s="377" t="s">
        <v>56</v>
      </c>
      <c r="BST2" s="377" t="s">
        <v>57</v>
      </c>
      <c r="BSU2" s="377" t="s">
        <v>58</v>
      </c>
      <c r="BSV2" s="377" t="s">
        <v>59</v>
      </c>
      <c r="BSW2" s="377" t="s">
        <v>60</v>
      </c>
      <c r="BSX2" s="377" t="s">
        <v>61</v>
      </c>
      <c r="BSY2" s="377" t="s">
        <v>62</v>
      </c>
      <c r="BSZ2" s="377" t="s">
        <v>63</v>
      </c>
      <c r="BTA2" s="377" t="s">
        <v>64</v>
      </c>
      <c r="BTB2" s="377" t="s">
        <v>65</v>
      </c>
      <c r="BTC2" s="377" t="s">
        <v>66</v>
      </c>
      <c r="BTD2" s="377" t="s">
        <v>67</v>
      </c>
      <c r="BTE2" s="377" t="s">
        <v>68</v>
      </c>
      <c r="BTF2" s="377" t="s">
        <v>69</v>
      </c>
      <c r="BTG2" s="377" t="s">
        <v>70</v>
      </c>
      <c r="BTH2" s="377" t="s">
        <v>71</v>
      </c>
      <c r="BTI2" s="377" t="s">
        <v>72</v>
      </c>
      <c r="BTJ2" s="377" t="s">
        <v>73</v>
      </c>
      <c r="BTK2" s="377" t="s">
        <v>74</v>
      </c>
      <c r="BTL2" s="377" t="s">
        <v>75</v>
      </c>
      <c r="BTM2" s="377" t="s">
        <v>76</v>
      </c>
      <c r="BTN2" s="377" t="s">
        <v>77</v>
      </c>
      <c r="BTO2" s="377" t="s">
        <v>78</v>
      </c>
      <c r="BTP2" s="377" t="s">
        <v>79</v>
      </c>
      <c r="BTQ2" s="377" t="s">
        <v>80</v>
      </c>
      <c r="BTR2" s="377" t="s">
        <v>81</v>
      </c>
      <c r="BTS2" s="377" t="s">
        <v>82</v>
      </c>
      <c r="BTT2" s="377" t="s">
        <v>83</v>
      </c>
      <c r="BTU2" s="377" t="s">
        <v>83</v>
      </c>
      <c r="BTV2" s="375" t="s">
        <v>41</v>
      </c>
      <c r="BTW2" s="375" t="s">
        <v>42</v>
      </c>
      <c r="BTX2" s="375" t="s">
        <v>43</v>
      </c>
      <c r="BTY2" s="375" t="s">
        <v>44</v>
      </c>
      <c r="BTZ2" s="375" t="s">
        <v>45</v>
      </c>
      <c r="BUA2" s="375" t="s">
        <v>46</v>
      </c>
      <c r="BUB2" s="375" t="s">
        <v>47</v>
      </c>
      <c r="BUC2" s="375" t="s">
        <v>48</v>
      </c>
      <c r="BUD2" s="375" t="s">
        <v>49</v>
      </c>
      <c r="BUE2" s="375" t="s">
        <v>50</v>
      </c>
      <c r="BUF2" s="375" t="s">
        <v>51</v>
      </c>
      <c r="BUG2" s="375" t="s">
        <v>52</v>
      </c>
      <c r="BUH2" s="375" t="s">
        <v>53</v>
      </c>
      <c r="BUI2" s="375" t="s">
        <v>54</v>
      </c>
      <c r="BUJ2" s="375" t="s">
        <v>55</v>
      </c>
      <c r="BUK2" s="375" t="s">
        <v>56</v>
      </c>
      <c r="BUL2" s="375" t="s">
        <v>57</v>
      </c>
      <c r="BUM2" s="375" t="s">
        <v>58</v>
      </c>
      <c r="BUN2" s="375" t="s">
        <v>59</v>
      </c>
      <c r="BUO2" s="375" t="s">
        <v>60</v>
      </c>
      <c r="BUP2" s="375" t="s">
        <v>61</v>
      </c>
      <c r="BUQ2" s="375" t="s">
        <v>62</v>
      </c>
      <c r="BUR2" s="375" t="s">
        <v>63</v>
      </c>
      <c r="BUS2" s="375" t="s">
        <v>64</v>
      </c>
      <c r="BUT2" s="375" t="s">
        <v>65</v>
      </c>
      <c r="BUU2" s="375" t="s">
        <v>66</v>
      </c>
      <c r="BUV2" s="375" t="s">
        <v>67</v>
      </c>
      <c r="BUW2" s="375" t="s">
        <v>68</v>
      </c>
      <c r="BUX2" s="375" t="s">
        <v>69</v>
      </c>
      <c r="BUY2" s="375" t="s">
        <v>70</v>
      </c>
      <c r="BUZ2" s="375" t="s">
        <v>71</v>
      </c>
      <c r="BVA2" s="375" t="s">
        <v>72</v>
      </c>
      <c r="BVB2" s="375" t="s">
        <v>73</v>
      </c>
      <c r="BVC2" s="375" t="s">
        <v>74</v>
      </c>
      <c r="BVD2" s="375" t="s">
        <v>75</v>
      </c>
      <c r="BVE2" s="375" t="s">
        <v>76</v>
      </c>
      <c r="BVF2" s="375" t="s">
        <v>77</v>
      </c>
      <c r="BVG2" s="375" t="s">
        <v>78</v>
      </c>
      <c r="BVH2" s="375" t="s">
        <v>79</v>
      </c>
      <c r="BVI2" s="375" t="s">
        <v>80</v>
      </c>
      <c r="BVJ2" s="375" t="s">
        <v>81</v>
      </c>
      <c r="BVK2" s="375" t="s">
        <v>82</v>
      </c>
      <c r="BVL2" s="375" t="s">
        <v>83</v>
      </c>
      <c r="BVM2" s="375" t="s">
        <v>83</v>
      </c>
      <c r="BVN2" s="377" t="s">
        <v>1361</v>
      </c>
      <c r="BVO2" s="377" t="s">
        <v>42</v>
      </c>
      <c r="BVP2" s="377" t="s">
        <v>1362</v>
      </c>
      <c r="BVQ2" s="377" t="s">
        <v>1363</v>
      </c>
      <c r="BVR2" s="377" t="s">
        <v>45</v>
      </c>
      <c r="BVS2" s="377" t="s">
        <v>46</v>
      </c>
      <c r="BVT2" s="377" t="s">
        <v>47</v>
      </c>
      <c r="BVU2" s="377" t="s">
        <v>48</v>
      </c>
      <c r="BVV2" s="377" t="s">
        <v>49</v>
      </c>
      <c r="BVW2" s="377" t="s">
        <v>50</v>
      </c>
      <c r="BVX2" s="377" t="s">
        <v>51</v>
      </c>
      <c r="BVY2" s="377" t="s">
        <v>52</v>
      </c>
      <c r="BVZ2" s="377" t="s">
        <v>53</v>
      </c>
      <c r="BWA2" s="377" t="s">
        <v>54</v>
      </c>
      <c r="BWB2" s="377" t="s">
        <v>55</v>
      </c>
      <c r="BWC2" s="377" t="s">
        <v>56</v>
      </c>
      <c r="BWD2" s="377" t="s">
        <v>57</v>
      </c>
      <c r="BWE2" s="377" t="s">
        <v>58</v>
      </c>
      <c r="BWF2" s="377" t="s">
        <v>59</v>
      </c>
      <c r="BWG2" s="377" t="s">
        <v>60</v>
      </c>
      <c r="BWH2" s="377" t="s">
        <v>61</v>
      </c>
      <c r="BWI2" s="377" t="s">
        <v>62</v>
      </c>
      <c r="BWJ2" s="377" t="s">
        <v>63</v>
      </c>
      <c r="BWK2" s="377" t="s">
        <v>64</v>
      </c>
      <c r="BWL2" s="377" t="s">
        <v>65</v>
      </c>
      <c r="BWM2" s="377" t="s">
        <v>66</v>
      </c>
      <c r="BWN2" s="377" t="s">
        <v>67</v>
      </c>
      <c r="BWO2" s="377" t="s">
        <v>68</v>
      </c>
      <c r="BWP2" s="377" t="s">
        <v>69</v>
      </c>
      <c r="BWQ2" s="377" t="s">
        <v>70</v>
      </c>
      <c r="BWR2" s="377" t="s">
        <v>71</v>
      </c>
      <c r="BWS2" s="377" t="s">
        <v>72</v>
      </c>
      <c r="BWT2" s="377" t="s">
        <v>73</v>
      </c>
      <c r="BWU2" s="377" t="s">
        <v>74</v>
      </c>
      <c r="BWV2" s="377" t="s">
        <v>75</v>
      </c>
      <c r="BWW2" s="377" t="s">
        <v>76</v>
      </c>
      <c r="BWX2" s="377" t="s">
        <v>77</v>
      </c>
      <c r="BWY2" s="377" t="s">
        <v>78</v>
      </c>
      <c r="BWZ2" s="377" t="s">
        <v>79</v>
      </c>
      <c r="BXA2" s="377" t="s">
        <v>80</v>
      </c>
      <c r="BXB2" s="377" t="s">
        <v>81</v>
      </c>
      <c r="BXC2" s="377" t="s">
        <v>82</v>
      </c>
      <c r="BXD2" s="377" t="s">
        <v>83</v>
      </c>
      <c r="BXE2" s="377" t="s">
        <v>83</v>
      </c>
      <c r="BXF2" s="375" t="s">
        <v>41</v>
      </c>
      <c r="BXG2" s="375" t="s">
        <v>42</v>
      </c>
      <c r="BXH2" s="375" t="s">
        <v>43</v>
      </c>
      <c r="BXI2" s="375" t="s">
        <v>44</v>
      </c>
      <c r="BXJ2" s="375" t="s">
        <v>45</v>
      </c>
      <c r="BXK2" s="375" t="s">
        <v>46</v>
      </c>
      <c r="BXL2" s="375" t="s">
        <v>47</v>
      </c>
      <c r="BXM2" s="375" t="s">
        <v>48</v>
      </c>
      <c r="BXN2" s="375" t="s">
        <v>49</v>
      </c>
      <c r="BXO2" s="375" t="s">
        <v>50</v>
      </c>
      <c r="BXP2" s="375" t="s">
        <v>51</v>
      </c>
      <c r="BXQ2" s="375" t="s">
        <v>52</v>
      </c>
      <c r="BXR2" s="375" t="s">
        <v>53</v>
      </c>
      <c r="BXS2" s="375" t="s">
        <v>54</v>
      </c>
      <c r="BXT2" s="375" t="s">
        <v>55</v>
      </c>
      <c r="BXU2" s="375" t="s">
        <v>56</v>
      </c>
      <c r="BXV2" s="375" t="s">
        <v>57</v>
      </c>
      <c r="BXW2" s="375" t="s">
        <v>58</v>
      </c>
      <c r="BXX2" s="375" t="s">
        <v>59</v>
      </c>
      <c r="BXY2" s="375" t="s">
        <v>60</v>
      </c>
      <c r="BXZ2" s="375" t="s">
        <v>61</v>
      </c>
      <c r="BYA2" s="375" t="s">
        <v>62</v>
      </c>
      <c r="BYB2" s="375" t="s">
        <v>63</v>
      </c>
      <c r="BYC2" s="375" t="s">
        <v>64</v>
      </c>
      <c r="BYD2" s="375" t="s">
        <v>65</v>
      </c>
      <c r="BYE2" s="375" t="s">
        <v>66</v>
      </c>
      <c r="BYF2" s="375" t="s">
        <v>67</v>
      </c>
      <c r="BYG2" s="375" t="s">
        <v>68</v>
      </c>
      <c r="BYH2" s="375" t="s">
        <v>69</v>
      </c>
      <c r="BYI2" s="375" t="s">
        <v>70</v>
      </c>
      <c r="BYJ2" s="375" t="s">
        <v>71</v>
      </c>
      <c r="BYK2" s="375" t="s">
        <v>72</v>
      </c>
      <c r="BYL2" s="375" t="s">
        <v>73</v>
      </c>
      <c r="BYM2" s="375" t="s">
        <v>74</v>
      </c>
      <c r="BYN2" s="375" t="s">
        <v>75</v>
      </c>
      <c r="BYO2" s="375" t="s">
        <v>76</v>
      </c>
      <c r="BYP2" s="375" t="s">
        <v>77</v>
      </c>
      <c r="BYQ2" s="375" t="s">
        <v>78</v>
      </c>
      <c r="BYR2" s="375" t="s">
        <v>79</v>
      </c>
      <c r="BYS2" s="375" t="s">
        <v>80</v>
      </c>
      <c r="BYT2" s="375" t="s">
        <v>81</v>
      </c>
      <c r="BYU2" s="375" t="s">
        <v>82</v>
      </c>
      <c r="BYV2" s="375" t="s">
        <v>83</v>
      </c>
      <c r="BYW2" s="375" t="s">
        <v>83</v>
      </c>
      <c r="BYX2" s="377" t="s">
        <v>1361</v>
      </c>
      <c r="BYY2" s="377" t="s">
        <v>42</v>
      </c>
      <c r="BYZ2" s="377" t="s">
        <v>1362</v>
      </c>
      <c r="BZA2" s="377" t="s">
        <v>1363</v>
      </c>
      <c r="BZB2" s="377" t="s">
        <v>45</v>
      </c>
      <c r="BZC2" s="377" t="s">
        <v>46</v>
      </c>
      <c r="BZD2" s="377" t="s">
        <v>47</v>
      </c>
      <c r="BZE2" s="377" t="s">
        <v>48</v>
      </c>
      <c r="BZF2" s="377" t="s">
        <v>49</v>
      </c>
      <c r="BZG2" s="377" t="s">
        <v>50</v>
      </c>
      <c r="BZH2" s="377" t="s">
        <v>51</v>
      </c>
      <c r="BZI2" s="377" t="s">
        <v>52</v>
      </c>
      <c r="BZJ2" s="377" t="s">
        <v>53</v>
      </c>
      <c r="BZK2" s="377" t="s">
        <v>54</v>
      </c>
      <c r="BZL2" s="377" t="s">
        <v>55</v>
      </c>
      <c r="BZM2" s="377" t="s">
        <v>56</v>
      </c>
      <c r="BZN2" s="377" t="s">
        <v>57</v>
      </c>
      <c r="BZO2" s="377" t="s">
        <v>58</v>
      </c>
      <c r="BZP2" s="377" t="s">
        <v>59</v>
      </c>
      <c r="BZQ2" s="377" t="s">
        <v>60</v>
      </c>
      <c r="BZR2" s="377" t="s">
        <v>61</v>
      </c>
      <c r="BZS2" s="377" t="s">
        <v>62</v>
      </c>
      <c r="BZT2" s="377" t="s">
        <v>63</v>
      </c>
      <c r="BZU2" s="377" t="s">
        <v>64</v>
      </c>
      <c r="BZV2" s="377" t="s">
        <v>65</v>
      </c>
      <c r="BZW2" s="377" t="s">
        <v>66</v>
      </c>
      <c r="BZX2" s="377" t="s">
        <v>67</v>
      </c>
      <c r="BZY2" s="377" t="s">
        <v>68</v>
      </c>
      <c r="BZZ2" s="377" t="s">
        <v>69</v>
      </c>
      <c r="CAA2" s="377" t="s">
        <v>70</v>
      </c>
      <c r="CAB2" s="377" t="s">
        <v>71</v>
      </c>
      <c r="CAC2" s="377" t="s">
        <v>72</v>
      </c>
      <c r="CAD2" s="377" t="s">
        <v>73</v>
      </c>
      <c r="CAE2" s="377" t="s">
        <v>74</v>
      </c>
      <c r="CAF2" s="377" t="s">
        <v>75</v>
      </c>
      <c r="CAG2" s="377" t="s">
        <v>76</v>
      </c>
      <c r="CAH2" s="377" t="s">
        <v>77</v>
      </c>
      <c r="CAI2" s="377" t="s">
        <v>78</v>
      </c>
      <c r="CAJ2" s="377" t="s">
        <v>79</v>
      </c>
      <c r="CAK2" s="377" t="s">
        <v>80</v>
      </c>
      <c r="CAL2" s="377" t="s">
        <v>81</v>
      </c>
      <c r="CAM2" s="377" t="s">
        <v>82</v>
      </c>
      <c r="CAN2" s="377" t="s">
        <v>83</v>
      </c>
      <c r="CAO2" s="377" t="s">
        <v>83</v>
      </c>
      <c r="CAP2" s="375" t="s">
        <v>41</v>
      </c>
      <c r="CAQ2" s="375" t="s">
        <v>42</v>
      </c>
      <c r="CAR2" s="375" t="s">
        <v>43</v>
      </c>
      <c r="CAS2" s="375" t="s">
        <v>44</v>
      </c>
      <c r="CAT2" s="375" t="s">
        <v>45</v>
      </c>
      <c r="CAU2" s="375" t="s">
        <v>46</v>
      </c>
      <c r="CAV2" s="375" t="s">
        <v>47</v>
      </c>
      <c r="CAW2" s="375" t="s">
        <v>48</v>
      </c>
      <c r="CAX2" s="375" t="s">
        <v>49</v>
      </c>
      <c r="CAY2" s="375" t="s">
        <v>50</v>
      </c>
      <c r="CAZ2" s="375" t="s">
        <v>51</v>
      </c>
      <c r="CBA2" s="375" t="s">
        <v>52</v>
      </c>
      <c r="CBB2" s="375" t="s">
        <v>53</v>
      </c>
      <c r="CBC2" s="375" t="s">
        <v>54</v>
      </c>
      <c r="CBD2" s="375" t="s">
        <v>55</v>
      </c>
      <c r="CBE2" s="375" t="s">
        <v>56</v>
      </c>
      <c r="CBF2" s="375" t="s">
        <v>57</v>
      </c>
      <c r="CBG2" s="375" t="s">
        <v>58</v>
      </c>
      <c r="CBH2" s="375" t="s">
        <v>59</v>
      </c>
      <c r="CBI2" s="375" t="s">
        <v>60</v>
      </c>
      <c r="CBJ2" s="375" t="s">
        <v>61</v>
      </c>
      <c r="CBK2" s="375" t="s">
        <v>62</v>
      </c>
      <c r="CBL2" s="375" t="s">
        <v>63</v>
      </c>
      <c r="CBM2" s="375" t="s">
        <v>64</v>
      </c>
      <c r="CBN2" s="375" t="s">
        <v>65</v>
      </c>
      <c r="CBO2" s="375" t="s">
        <v>66</v>
      </c>
      <c r="CBP2" s="375" t="s">
        <v>67</v>
      </c>
      <c r="CBQ2" s="375" t="s">
        <v>68</v>
      </c>
      <c r="CBR2" s="375" t="s">
        <v>69</v>
      </c>
      <c r="CBS2" s="375" t="s">
        <v>70</v>
      </c>
      <c r="CBT2" s="375" t="s">
        <v>71</v>
      </c>
      <c r="CBU2" s="375" t="s">
        <v>72</v>
      </c>
      <c r="CBV2" s="375" t="s">
        <v>73</v>
      </c>
      <c r="CBW2" s="375" t="s">
        <v>74</v>
      </c>
      <c r="CBX2" s="375" t="s">
        <v>75</v>
      </c>
      <c r="CBY2" s="375" t="s">
        <v>76</v>
      </c>
      <c r="CBZ2" s="375" t="s">
        <v>77</v>
      </c>
      <c r="CCA2" s="375" t="s">
        <v>78</v>
      </c>
      <c r="CCB2" s="375" t="s">
        <v>79</v>
      </c>
      <c r="CCC2" s="375" t="s">
        <v>80</v>
      </c>
      <c r="CCD2" s="375" t="s">
        <v>81</v>
      </c>
      <c r="CCE2" s="375" t="s">
        <v>82</v>
      </c>
      <c r="CCF2" s="375" t="s">
        <v>83</v>
      </c>
      <c r="CCG2" s="375" t="s">
        <v>83</v>
      </c>
      <c r="CCH2" s="377" t="s">
        <v>1361</v>
      </c>
      <c r="CCI2" s="377" t="s">
        <v>42</v>
      </c>
      <c r="CCJ2" s="377" t="s">
        <v>1362</v>
      </c>
      <c r="CCK2" s="377" t="s">
        <v>1363</v>
      </c>
      <c r="CCL2" s="377" t="s">
        <v>45</v>
      </c>
      <c r="CCM2" s="377" t="s">
        <v>46</v>
      </c>
      <c r="CCN2" s="377" t="s">
        <v>47</v>
      </c>
      <c r="CCO2" s="377" t="s">
        <v>48</v>
      </c>
      <c r="CCP2" s="377" t="s">
        <v>49</v>
      </c>
      <c r="CCQ2" s="377" t="s">
        <v>50</v>
      </c>
      <c r="CCR2" s="377" t="s">
        <v>51</v>
      </c>
      <c r="CCS2" s="377" t="s">
        <v>52</v>
      </c>
      <c r="CCT2" s="377" t="s">
        <v>53</v>
      </c>
      <c r="CCU2" s="377" t="s">
        <v>54</v>
      </c>
      <c r="CCV2" s="377" t="s">
        <v>55</v>
      </c>
      <c r="CCW2" s="377" t="s">
        <v>56</v>
      </c>
      <c r="CCX2" s="377" t="s">
        <v>57</v>
      </c>
      <c r="CCY2" s="377" t="s">
        <v>58</v>
      </c>
      <c r="CCZ2" s="377" t="s">
        <v>59</v>
      </c>
      <c r="CDA2" s="377" t="s">
        <v>60</v>
      </c>
      <c r="CDB2" s="377" t="s">
        <v>61</v>
      </c>
      <c r="CDC2" s="377" t="s">
        <v>62</v>
      </c>
      <c r="CDD2" s="377" t="s">
        <v>63</v>
      </c>
      <c r="CDE2" s="377" t="s">
        <v>64</v>
      </c>
      <c r="CDF2" s="377" t="s">
        <v>65</v>
      </c>
      <c r="CDG2" s="377" t="s">
        <v>66</v>
      </c>
      <c r="CDH2" s="377" t="s">
        <v>67</v>
      </c>
      <c r="CDI2" s="377" t="s">
        <v>68</v>
      </c>
      <c r="CDJ2" s="377" t="s">
        <v>69</v>
      </c>
      <c r="CDK2" s="377" t="s">
        <v>70</v>
      </c>
      <c r="CDL2" s="377" t="s">
        <v>71</v>
      </c>
      <c r="CDM2" s="377" t="s">
        <v>72</v>
      </c>
      <c r="CDN2" s="377" t="s">
        <v>73</v>
      </c>
      <c r="CDO2" s="377" t="s">
        <v>74</v>
      </c>
      <c r="CDP2" s="377" t="s">
        <v>75</v>
      </c>
      <c r="CDQ2" s="377" t="s">
        <v>76</v>
      </c>
      <c r="CDR2" s="377" t="s">
        <v>77</v>
      </c>
      <c r="CDS2" s="377" t="s">
        <v>78</v>
      </c>
      <c r="CDT2" s="377" t="s">
        <v>79</v>
      </c>
      <c r="CDU2" s="377" t="s">
        <v>80</v>
      </c>
      <c r="CDV2" s="377" t="s">
        <v>81</v>
      </c>
      <c r="CDW2" s="377" t="s">
        <v>82</v>
      </c>
      <c r="CDX2" s="377" t="s">
        <v>83</v>
      </c>
      <c r="CDY2" s="377" t="s">
        <v>83</v>
      </c>
      <c r="CDZ2" s="375" t="s">
        <v>41</v>
      </c>
      <c r="CEA2" s="375" t="s">
        <v>42</v>
      </c>
      <c r="CEB2" s="375" t="s">
        <v>43</v>
      </c>
      <c r="CEC2" s="375" t="s">
        <v>44</v>
      </c>
      <c r="CED2" s="375" t="s">
        <v>45</v>
      </c>
      <c r="CEE2" s="375" t="s">
        <v>46</v>
      </c>
      <c r="CEF2" s="375" t="s">
        <v>47</v>
      </c>
      <c r="CEG2" s="375" t="s">
        <v>48</v>
      </c>
      <c r="CEH2" s="375" t="s">
        <v>49</v>
      </c>
      <c r="CEI2" s="375" t="s">
        <v>50</v>
      </c>
      <c r="CEJ2" s="375" t="s">
        <v>51</v>
      </c>
      <c r="CEK2" s="375" t="s">
        <v>52</v>
      </c>
      <c r="CEL2" s="375" t="s">
        <v>53</v>
      </c>
      <c r="CEM2" s="375" t="s">
        <v>54</v>
      </c>
      <c r="CEN2" s="375" t="s">
        <v>55</v>
      </c>
      <c r="CEO2" s="375" t="s">
        <v>56</v>
      </c>
      <c r="CEP2" s="375" t="s">
        <v>57</v>
      </c>
      <c r="CEQ2" s="375" t="s">
        <v>58</v>
      </c>
      <c r="CER2" s="375" t="s">
        <v>59</v>
      </c>
      <c r="CES2" s="375" t="s">
        <v>60</v>
      </c>
      <c r="CET2" s="375" t="s">
        <v>61</v>
      </c>
      <c r="CEU2" s="375" t="s">
        <v>62</v>
      </c>
      <c r="CEV2" s="375" t="s">
        <v>63</v>
      </c>
      <c r="CEW2" s="375" t="s">
        <v>64</v>
      </c>
      <c r="CEX2" s="375" t="s">
        <v>65</v>
      </c>
      <c r="CEY2" s="375" t="s">
        <v>66</v>
      </c>
      <c r="CEZ2" s="375" t="s">
        <v>67</v>
      </c>
      <c r="CFA2" s="375" t="s">
        <v>68</v>
      </c>
      <c r="CFB2" s="375" t="s">
        <v>69</v>
      </c>
      <c r="CFC2" s="375" t="s">
        <v>70</v>
      </c>
      <c r="CFD2" s="375" t="s">
        <v>71</v>
      </c>
      <c r="CFE2" s="375" t="s">
        <v>72</v>
      </c>
      <c r="CFF2" s="375" t="s">
        <v>73</v>
      </c>
      <c r="CFG2" s="375" t="s">
        <v>74</v>
      </c>
      <c r="CFH2" s="375" t="s">
        <v>75</v>
      </c>
      <c r="CFI2" s="375" t="s">
        <v>76</v>
      </c>
      <c r="CFJ2" s="375" t="s">
        <v>77</v>
      </c>
      <c r="CFK2" s="375" t="s">
        <v>78</v>
      </c>
      <c r="CFL2" s="375" t="s">
        <v>79</v>
      </c>
      <c r="CFM2" s="375" t="s">
        <v>80</v>
      </c>
      <c r="CFN2" s="375" t="s">
        <v>81</v>
      </c>
      <c r="CFO2" s="375" t="s">
        <v>82</v>
      </c>
      <c r="CFP2" s="375" t="s">
        <v>83</v>
      </c>
      <c r="CFQ2" s="375" t="s">
        <v>83</v>
      </c>
      <c r="CFR2" s="377" t="s">
        <v>1361</v>
      </c>
      <c r="CFS2" s="377" t="s">
        <v>42</v>
      </c>
      <c r="CFT2" s="377" t="s">
        <v>1362</v>
      </c>
      <c r="CFU2" s="377" t="s">
        <v>1363</v>
      </c>
      <c r="CFV2" s="377" t="s">
        <v>45</v>
      </c>
      <c r="CFW2" s="377" t="s">
        <v>46</v>
      </c>
      <c r="CFX2" s="377" t="s">
        <v>47</v>
      </c>
      <c r="CFY2" s="377" t="s">
        <v>48</v>
      </c>
      <c r="CFZ2" s="377" t="s">
        <v>49</v>
      </c>
      <c r="CGA2" s="377" t="s">
        <v>50</v>
      </c>
      <c r="CGB2" s="377" t="s">
        <v>51</v>
      </c>
      <c r="CGC2" s="377" t="s">
        <v>52</v>
      </c>
      <c r="CGD2" s="377" t="s">
        <v>53</v>
      </c>
      <c r="CGE2" s="377" t="s">
        <v>54</v>
      </c>
      <c r="CGF2" s="377" t="s">
        <v>55</v>
      </c>
      <c r="CGG2" s="377" t="s">
        <v>56</v>
      </c>
      <c r="CGH2" s="377" t="s">
        <v>57</v>
      </c>
      <c r="CGI2" s="377" t="s">
        <v>58</v>
      </c>
      <c r="CGJ2" s="377" t="s">
        <v>59</v>
      </c>
      <c r="CGK2" s="377" t="s">
        <v>60</v>
      </c>
      <c r="CGL2" s="377" t="s">
        <v>61</v>
      </c>
      <c r="CGM2" s="377" t="s">
        <v>62</v>
      </c>
      <c r="CGN2" s="377" t="s">
        <v>63</v>
      </c>
      <c r="CGO2" s="377" t="s">
        <v>64</v>
      </c>
      <c r="CGP2" s="377" t="s">
        <v>65</v>
      </c>
      <c r="CGQ2" s="377" t="s">
        <v>66</v>
      </c>
      <c r="CGR2" s="377" t="s">
        <v>67</v>
      </c>
      <c r="CGS2" s="377" t="s">
        <v>68</v>
      </c>
      <c r="CGT2" s="377" t="s">
        <v>69</v>
      </c>
      <c r="CGU2" s="377" t="s">
        <v>70</v>
      </c>
      <c r="CGV2" s="377" t="s">
        <v>71</v>
      </c>
      <c r="CGW2" s="377" t="s">
        <v>72</v>
      </c>
      <c r="CGX2" s="377" t="s">
        <v>73</v>
      </c>
      <c r="CGY2" s="377" t="s">
        <v>74</v>
      </c>
      <c r="CGZ2" s="377" t="s">
        <v>75</v>
      </c>
      <c r="CHA2" s="377" t="s">
        <v>76</v>
      </c>
      <c r="CHB2" s="377" t="s">
        <v>77</v>
      </c>
      <c r="CHC2" s="377" t="s">
        <v>78</v>
      </c>
      <c r="CHD2" s="377" t="s">
        <v>79</v>
      </c>
      <c r="CHE2" s="377" t="s">
        <v>80</v>
      </c>
      <c r="CHF2" s="377" t="s">
        <v>81</v>
      </c>
      <c r="CHG2" s="377" t="s">
        <v>82</v>
      </c>
      <c r="CHH2" s="377" t="s">
        <v>83</v>
      </c>
      <c r="CHI2" s="377" t="s">
        <v>83</v>
      </c>
      <c r="CHJ2" s="375" t="s">
        <v>41</v>
      </c>
      <c r="CHK2" s="375" t="s">
        <v>42</v>
      </c>
      <c r="CHL2" s="375" t="s">
        <v>43</v>
      </c>
      <c r="CHM2" s="375" t="s">
        <v>44</v>
      </c>
      <c r="CHN2" s="375" t="s">
        <v>45</v>
      </c>
      <c r="CHO2" s="375" t="s">
        <v>46</v>
      </c>
      <c r="CHP2" s="375" t="s">
        <v>47</v>
      </c>
      <c r="CHQ2" s="375" t="s">
        <v>48</v>
      </c>
      <c r="CHR2" s="375" t="s">
        <v>49</v>
      </c>
      <c r="CHS2" s="375" t="s">
        <v>50</v>
      </c>
      <c r="CHT2" s="375" t="s">
        <v>51</v>
      </c>
      <c r="CHU2" s="375" t="s">
        <v>52</v>
      </c>
      <c r="CHV2" s="375" t="s">
        <v>53</v>
      </c>
      <c r="CHW2" s="375" t="s">
        <v>54</v>
      </c>
      <c r="CHX2" s="375" t="s">
        <v>55</v>
      </c>
      <c r="CHY2" s="375" t="s">
        <v>56</v>
      </c>
      <c r="CHZ2" s="375" t="s">
        <v>57</v>
      </c>
      <c r="CIA2" s="375" t="s">
        <v>58</v>
      </c>
      <c r="CIB2" s="375" t="s">
        <v>59</v>
      </c>
      <c r="CIC2" s="375" t="s">
        <v>60</v>
      </c>
      <c r="CID2" s="375" t="s">
        <v>61</v>
      </c>
      <c r="CIE2" s="375" t="s">
        <v>62</v>
      </c>
      <c r="CIF2" s="375" t="s">
        <v>63</v>
      </c>
      <c r="CIG2" s="375" t="s">
        <v>64</v>
      </c>
      <c r="CIH2" s="375" t="s">
        <v>65</v>
      </c>
      <c r="CII2" s="375" t="s">
        <v>66</v>
      </c>
      <c r="CIJ2" s="375" t="s">
        <v>67</v>
      </c>
      <c r="CIK2" s="375" t="s">
        <v>68</v>
      </c>
      <c r="CIL2" s="375" t="s">
        <v>69</v>
      </c>
      <c r="CIM2" s="375" t="s">
        <v>70</v>
      </c>
      <c r="CIN2" s="375" t="s">
        <v>71</v>
      </c>
      <c r="CIO2" s="375" t="s">
        <v>72</v>
      </c>
      <c r="CIP2" s="375" t="s">
        <v>73</v>
      </c>
      <c r="CIQ2" s="375" t="s">
        <v>74</v>
      </c>
      <c r="CIR2" s="375" t="s">
        <v>75</v>
      </c>
      <c r="CIS2" s="375" t="s">
        <v>76</v>
      </c>
      <c r="CIT2" s="375" t="s">
        <v>77</v>
      </c>
      <c r="CIU2" s="375" t="s">
        <v>78</v>
      </c>
      <c r="CIV2" s="375" t="s">
        <v>79</v>
      </c>
      <c r="CIW2" s="375" t="s">
        <v>80</v>
      </c>
      <c r="CIX2" s="375" t="s">
        <v>81</v>
      </c>
      <c r="CIY2" s="375" t="s">
        <v>82</v>
      </c>
      <c r="CIZ2" s="375" t="s">
        <v>83</v>
      </c>
      <c r="CJA2" s="375" t="s">
        <v>83</v>
      </c>
      <c r="CJB2" s="377" t="s">
        <v>1361</v>
      </c>
      <c r="CJC2" s="377" t="s">
        <v>42</v>
      </c>
      <c r="CJD2" s="377" t="s">
        <v>1362</v>
      </c>
      <c r="CJE2" s="377" t="s">
        <v>1363</v>
      </c>
      <c r="CJF2" s="377" t="s">
        <v>45</v>
      </c>
      <c r="CJG2" s="377" t="s">
        <v>46</v>
      </c>
      <c r="CJH2" s="377" t="s">
        <v>47</v>
      </c>
      <c r="CJI2" s="377" t="s">
        <v>48</v>
      </c>
      <c r="CJJ2" s="377" t="s">
        <v>49</v>
      </c>
      <c r="CJK2" s="377" t="s">
        <v>50</v>
      </c>
      <c r="CJL2" s="377" t="s">
        <v>51</v>
      </c>
      <c r="CJM2" s="377" t="s">
        <v>52</v>
      </c>
      <c r="CJN2" s="377" t="s">
        <v>53</v>
      </c>
      <c r="CJO2" s="377" t="s">
        <v>54</v>
      </c>
      <c r="CJP2" s="377" t="s">
        <v>55</v>
      </c>
      <c r="CJQ2" s="377" t="s">
        <v>56</v>
      </c>
      <c r="CJR2" s="377" t="s">
        <v>57</v>
      </c>
      <c r="CJS2" s="377" t="s">
        <v>58</v>
      </c>
      <c r="CJT2" s="377" t="s">
        <v>59</v>
      </c>
      <c r="CJU2" s="377" t="s">
        <v>60</v>
      </c>
      <c r="CJV2" s="377" t="s">
        <v>61</v>
      </c>
      <c r="CJW2" s="377" t="s">
        <v>62</v>
      </c>
      <c r="CJX2" s="377" t="s">
        <v>63</v>
      </c>
      <c r="CJY2" s="377" t="s">
        <v>64</v>
      </c>
      <c r="CJZ2" s="377" t="s">
        <v>65</v>
      </c>
      <c r="CKA2" s="377" t="s">
        <v>66</v>
      </c>
      <c r="CKB2" s="377" t="s">
        <v>67</v>
      </c>
      <c r="CKC2" s="377" t="s">
        <v>68</v>
      </c>
      <c r="CKD2" s="377" t="s">
        <v>69</v>
      </c>
      <c r="CKE2" s="377" t="s">
        <v>70</v>
      </c>
      <c r="CKF2" s="377" t="s">
        <v>71</v>
      </c>
      <c r="CKG2" s="377" t="s">
        <v>72</v>
      </c>
      <c r="CKH2" s="377" t="s">
        <v>73</v>
      </c>
      <c r="CKI2" s="377" t="s">
        <v>74</v>
      </c>
      <c r="CKJ2" s="377" t="s">
        <v>75</v>
      </c>
      <c r="CKK2" s="377" t="s">
        <v>76</v>
      </c>
      <c r="CKL2" s="377" t="s">
        <v>77</v>
      </c>
      <c r="CKM2" s="377" t="s">
        <v>78</v>
      </c>
      <c r="CKN2" s="377" t="s">
        <v>79</v>
      </c>
      <c r="CKO2" s="377" t="s">
        <v>80</v>
      </c>
      <c r="CKP2" s="377" t="s">
        <v>81</v>
      </c>
      <c r="CKQ2" s="377" t="s">
        <v>82</v>
      </c>
      <c r="CKR2" s="377" t="s">
        <v>83</v>
      </c>
      <c r="CKS2" s="377" t="s">
        <v>83</v>
      </c>
      <c r="CKT2" s="375" t="s">
        <v>41</v>
      </c>
      <c r="CKU2" s="375" t="s">
        <v>42</v>
      </c>
      <c r="CKV2" s="375" t="s">
        <v>43</v>
      </c>
      <c r="CKW2" s="375" t="s">
        <v>44</v>
      </c>
      <c r="CKX2" s="375" t="s">
        <v>45</v>
      </c>
      <c r="CKY2" s="375" t="s">
        <v>46</v>
      </c>
      <c r="CKZ2" s="375" t="s">
        <v>47</v>
      </c>
      <c r="CLA2" s="375" t="s">
        <v>48</v>
      </c>
      <c r="CLB2" s="375" t="s">
        <v>49</v>
      </c>
      <c r="CLC2" s="375" t="s">
        <v>50</v>
      </c>
      <c r="CLD2" s="375" t="s">
        <v>51</v>
      </c>
      <c r="CLE2" s="375" t="s">
        <v>52</v>
      </c>
      <c r="CLF2" s="375" t="s">
        <v>53</v>
      </c>
      <c r="CLG2" s="375" t="s">
        <v>54</v>
      </c>
      <c r="CLH2" s="375" t="s">
        <v>55</v>
      </c>
      <c r="CLI2" s="375" t="s">
        <v>56</v>
      </c>
      <c r="CLJ2" s="375" t="s">
        <v>57</v>
      </c>
      <c r="CLK2" s="375" t="s">
        <v>58</v>
      </c>
      <c r="CLL2" s="375" t="s">
        <v>59</v>
      </c>
      <c r="CLM2" s="375" t="s">
        <v>60</v>
      </c>
      <c r="CLN2" s="375" t="s">
        <v>61</v>
      </c>
      <c r="CLO2" s="375" t="s">
        <v>62</v>
      </c>
      <c r="CLP2" s="375" t="s">
        <v>63</v>
      </c>
      <c r="CLQ2" s="375" t="s">
        <v>64</v>
      </c>
      <c r="CLR2" s="375" t="s">
        <v>65</v>
      </c>
      <c r="CLS2" s="375" t="s">
        <v>66</v>
      </c>
      <c r="CLT2" s="375" t="s">
        <v>67</v>
      </c>
      <c r="CLU2" s="375" t="s">
        <v>68</v>
      </c>
      <c r="CLV2" s="375" t="s">
        <v>69</v>
      </c>
      <c r="CLW2" s="375" t="s">
        <v>70</v>
      </c>
      <c r="CLX2" s="375" t="s">
        <v>71</v>
      </c>
      <c r="CLY2" s="375" t="s">
        <v>72</v>
      </c>
      <c r="CLZ2" s="375" t="s">
        <v>73</v>
      </c>
      <c r="CMA2" s="375" t="s">
        <v>74</v>
      </c>
      <c r="CMB2" s="375" t="s">
        <v>75</v>
      </c>
      <c r="CMC2" s="375" t="s">
        <v>76</v>
      </c>
      <c r="CMD2" s="375" t="s">
        <v>77</v>
      </c>
      <c r="CME2" s="375" t="s">
        <v>78</v>
      </c>
      <c r="CMF2" s="375" t="s">
        <v>79</v>
      </c>
      <c r="CMG2" s="375" t="s">
        <v>80</v>
      </c>
      <c r="CMH2" s="375" t="s">
        <v>81</v>
      </c>
      <c r="CMI2" s="375" t="s">
        <v>82</v>
      </c>
      <c r="CMJ2" s="375" t="s">
        <v>83</v>
      </c>
      <c r="CMK2" s="375" t="s">
        <v>83</v>
      </c>
      <c r="CML2" s="377" t="s">
        <v>1361</v>
      </c>
      <c r="CMM2" s="377" t="s">
        <v>42</v>
      </c>
      <c r="CMN2" s="377" t="s">
        <v>1362</v>
      </c>
      <c r="CMO2" s="377" t="s">
        <v>1363</v>
      </c>
      <c r="CMP2" s="377" t="s">
        <v>45</v>
      </c>
      <c r="CMQ2" s="377" t="s">
        <v>46</v>
      </c>
      <c r="CMR2" s="377" t="s">
        <v>47</v>
      </c>
      <c r="CMS2" s="377" t="s">
        <v>48</v>
      </c>
      <c r="CMT2" s="377" t="s">
        <v>49</v>
      </c>
      <c r="CMU2" s="377" t="s">
        <v>50</v>
      </c>
      <c r="CMV2" s="377" t="s">
        <v>51</v>
      </c>
      <c r="CMW2" s="377" t="s">
        <v>52</v>
      </c>
      <c r="CMX2" s="377" t="s">
        <v>53</v>
      </c>
      <c r="CMY2" s="377" t="s">
        <v>54</v>
      </c>
      <c r="CMZ2" s="377" t="s">
        <v>55</v>
      </c>
      <c r="CNA2" s="377" t="s">
        <v>56</v>
      </c>
      <c r="CNB2" s="377" t="s">
        <v>57</v>
      </c>
      <c r="CNC2" s="377" t="s">
        <v>58</v>
      </c>
      <c r="CND2" s="377" t="s">
        <v>59</v>
      </c>
      <c r="CNE2" s="377" t="s">
        <v>60</v>
      </c>
      <c r="CNF2" s="377" t="s">
        <v>61</v>
      </c>
      <c r="CNG2" s="377" t="s">
        <v>62</v>
      </c>
      <c r="CNH2" s="377" t="s">
        <v>63</v>
      </c>
      <c r="CNI2" s="377" t="s">
        <v>64</v>
      </c>
      <c r="CNJ2" s="377" t="s">
        <v>65</v>
      </c>
      <c r="CNK2" s="377" t="s">
        <v>66</v>
      </c>
      <c r="CNL2" s="377" t="s">
        <v>67</v>
      </c>
      <c r="CNM2" s="377" t="s">
        <v>68</v>
      </c>
      <c r="CNN2" s="377" t="s">
        <v>69</v>
      </c>
      <c r="CNO2" s="377" t="s">
        <v>70</v>
      </c>
      <c r="CNP2" s="377" t="s">
        <v>71</v>
      </c>
      <c r="CNQ2" s="377" t="s">
        <v>72</v>
      </c>
      <c r="CNR2" s="377" t="s">
        <v>73</v>
      </c>
      <c r="CNS2" s="377" t="s">
        <v>74</v>
      </c>
      <c r="CNT2" s="377" t="s">
        <v>75</v>
      </c>
      <c r="CNU2" s="377" t="s">
        <v>76</v>
      </c>
      <c r="CNV2" s="377" t="s">
        <v>77</v>
      </c>
      <c r="CNW2" s="377" t="s">
        <v>78</v>
      </c>
      <c r="CNX2" s="377" t="s">
        <v>79</v>
      </c>
      <c r="CNY2" s="377" t="s">
        <v>80</v>
      </c>
      <c r="CNZ2" s="377" t="s">
        <v>81</v>
      </c>
      <c r="COA2" s="377" t="s">
        <v>82</v>
      </c>
      <c r="COB2" s="377" t="s">
        <v>83</v>
      </c>
      <c r="COC2" s="377" t="s">
        <v>83</v>
      </c>
      <c r="COD2" s="375" t="s">
        <v>41</v>
      </c>
      <c r="COE2" s="375" t="s">
        <v>42</v>
      </c>
      <c r="COF2" s="375" t="s">
        <v>43</v>
      </c>
      <c r="COG2" s="375" t="s">
        <v>44</v>
      </c>
      <c r="COH2" s="375" t="s">
        <v>45</v>
      </c>
      <c r="COI2" s="375" t="s">
        <v>46</v>
      </c>
      <c r="COJ2" s="375" t="s">
        <v>47</v>
      </c>
      <c r="COK2" s="375" t="s">
        <v>48</v>
      </c>
      <c r="COL2" s="375" t="s">
        <v>49</v>
      </c>
      <c r="COM2" s="375" t="s">
        <v>50</v>
      </c>
      <c r="CON2" s="375" t="s">
        <v>51</v>
      </c>
      <c r="COO2" s="375" t="s">
        <v>52</v>
      </c>
      <c r="COP2" s="375" t="s">
        <v>53</v>
      </c>
      <c r="COQ2" s="375" t="s">
        <v>54</v>
      </c>
      <c r="COR2" s="375" t="s">
        <v>55</v>
      </c>
      <c r="COS2" s="375" t="s">
        <v>56</v>
      </c>
      <c r="COT2" s="375" t="s">
        <v>57</v>
      </c>
      <c r="COU2" s="375" t="s">
        <v>58</v>
      </c>
      <c r="COV2" s="375" t="s">
        <v>59</v>
      </c>
      <c r="COW2" s="375" t="s">
        <v>60</v>
      </c>
      <c r="COX2" s="375" t="s">
        <v>61</v>
      </c>
      <c r="COY2" s="375" t="s">
        <v>62</v>
      </c>
      <c r="COZ2" s="375" t="s">
        <v>63</v>
      </c>
      <c r="CPA2" s="375" t="s">
        <v>64</v>
      </c>
      <c r="CPB2" s="375" t="s">
        <v>65</v>
      </c>
      <c r="CPC2" s="375" t="s">
        <v>66</v>
      </c>
      <c r="CPD2" s="375" t="s">
        <v>67</v>
      </c>
      <c r="CPE2" s="375" t="s">
        <v>68</v>
      </c>
      <c r="CPF2" s="375" t="s">
        <v>69</v>
      </c>
      <c r="CPG2" s="375" t="s">
        <v>70</v>
      </c>
      <c r="CPH2" s="375" t="s">
        <v>71</v>
      </c>
      <c r="CPI2" s="375" t="s">
        <v>72</v>
      </c>
      <c r="CPJ2" s="375" t="s">
        <v>73</v>
      </c>
      <c r="CPK2" s="375" t="s">
        <v>74</v>
      </c>
      <c r="CPL2" s="375" t="s">
        <v>75</v>
      </c>
      <c r="CPM2" s="375" t="s">
        <v>76</v>
      </c>
      <c r="CPN2" s="375" t="s">
        <v>77</v>
      </c>
      <c r="CPO2" s="375" t="s">
        <v>78</v>
      </c>
      <c r="CPP2" s="375" t="s">
        <v>79</v>
      </c>
      <c r="CPQ2" s="375" t="s">
        <v>80</v>
      </c>
      <c r="CPR2" s="375" t="s">
        <v>81</v>
      </c>
      <c r="CPS2" s="375" t="s">
        <v>82</v>
      </c>
      <c r="CPT2" s="375" t="s">
        <v>83</v>
      </c>
      <c r="CPU2" s="375" t="s">
        <v>83</v>
      </c>
      <c r="CPV2" s="377" t="s">
        <v>1361</v>
      </c>
      <c r="CPW2" s="377" t="s">
        <v>42</v>
      </c>
      <c r="CPX2" s="377" t="s">
        <v>1362</v>
      </c>
      <c r="CPY2" s="377" t="s">
        <v>1363</v>
      </c>
      <c r="CPZ2" s="377" t="s">
        <v>45</v>
      </c>
      <c r="CQA2" s="377" t="s">
        <v>46</v>
      </c>
      <c r="CQB2" s="377" t="s">
        <v>47</v>
      </c>
      <c r="CQC2" s="377" t="s">
        <v>48</v>
      </c>
      <c r="CQD2" s="377" t="s">
        <v>49</v>
      </c>
      <c r="CQE2" s="377" t="s">
        <v>50</v>
      </c>
      <c r="CQF2" s="377" t="s">
        <v>51</v>
      </c>
      <c r="CQG2" s="377" t="s">
        <v>52</v>
      </c>
      <c r="CQH2" s="377" t="s">
        <v>53</v>
      </c>
      <c r="CQI2" s="377" t="s">
        <v>54</v>
      </c>
      <c r="CQJ2" s="377" t="s">
        <v>55</v>
      </c>
      <c r="CQK2" s="377" t="s">
        <v>56</v>
      </c>
      <c r="CQL2" s="377" t="s">
        <v>57</v>
      </c>
      <c r="CQM2" s="377" t="s">
        <v>58</v>
      </c>
      <c r="CQN2" s="377" t="s">
        <v>59</v>
      </c>
      <c r="CQO2" s="377" t="s">
        <v>60</v>
      </c>
      <c r="CQP2" s="377" t="s">
        <v>61</v>
      </c>
      <c r="CQQ2" s="377" t="s">
        <v>62</v>
      </c>
      <c r="CQR2" s="377" t="s">
        <v>63</v>
      </c>
      <c r="CQS2" s="377" t="s">
        <v>64</v>
      </c>
      <c r="CQT2" s="377" t="s">
        <v>65</v>
      </c>
      <c r="CQU2" s="377" t="s">
        <v>66</v>
      </c>
      <c r="CQV2" s="377" t="s">
        <v>67</v>
      </c>
      <c r="CQW2" s="377" t="s">
        <v>68</v>
      </c>
      <c r="CQX2" s="377" t="s">
        <v>69</v>
      </c>
      <c r="CQY2" s="377" t="s">
        <v>70</v>
      </c>
      <c r="CQZ2" s="377" t="s">
        <v>71</v>
      </c>
      <c r="CRA2" s="377" t="s">
        <v>72</v>
      </c>
      <c r="CRB2" s="377" t="s">
        <v>73</v>
      </c>
      <c r="CRC2" s="377" t="s">
        <v>74</v>
      </c>
      <c r="CRD2" s="377" t="s">
        <v>75</v>
      </c>
      <c r="CRE2" s="377" t="s">
        <v>76</v>
      </c>
      <c r="CRF2" s="377" t="s">
        <v>77</v>
      </c>
      <c r="CRG2" s="377" t="s">
        <v>78</v>
      </c>
      <c r="CRH2" s="377" t="s">
        <v>79</v>
      </c>
      <c r="CRI2" s="377" t="s">
        <v>80</v>
      </c>
      <c r="CRJ2" s="377" t="s">
        <v>81</v>
      </c>
      <c r="CRK2" s="377" t="s">
        <v>82</v>
      </c>
      <c r="CRL2" s="377" t="s">
        <v>83</v>
      </c>
      <c r="CRM2" s="377" t="s">
        <v>83</v>
      </c>
      <c r="CRN2" s="375" t="s">
        <v>41</v>
      </c>
      <c r="CRO2" s="375" t="s">
        <v>42</v>
      </c>
      <c r="CRP2" s="375" t="s">
        <v>43</v>
      </c>
      <c r="CRQ2" s="375" t="s">
        <v>44</v>
      </c>
      <c r="CRR2" s="375" t="s">
        <v>45</v>
      </c>
      <c r="CRS2" s="375" t="s">
        <v>46</v>
      </c>
      <c r="CRT2" s="375" t="s">
        <v>47</v>
      </c>
      <c r="CRU2" s="375" t="s">
        <v>48</v>
      </c>
      <c r="CRV2" s="375" t="s">
        <v>49</v>
      </c>
      <c r="CRW2" s="375" t="s">
        <v>50</v>
      </c>
      <c r="CRX2" s="375" t="s">
        <v>51</v>
      </c>
      <c r="CRY2" s="375" t="s">
        <v>52</v>
      </c>
      <c r="CRZ2" s="375" t="s">
        <v>53</v>
      </c>
      <c r="CSA2" s="375" t="s">
        <v>54</v>
      </c>
      <c r="CSB2" s="375" t="s">
        <v>55</v>
      </c>
      <c r="CSC2" s="375" t="s">
        <v>56</v>
      </c>
      <c r="CSD2" s="375" t="s">
        <v>57</v>
      </c>
      <c r="CSE2" s="375" t="s">
        <v>58</v>
      </c>
      <c r="CSF2" s="375" t="s">
        <v>59</v>
      </c>
      <c r="CSG2" s="375" t="s">
        <v>60</v>
      </c>
      <c r="CSH2" s="375" t="s">
        <v>61</v>
      </c>
      <c r="CSI2" s="375" t="s">
        <v>62</v>
      </c>
      <c r="CSJ2" s="375" t="s">
        <v>63</v>
      </c>
      <c r="CSK2" s="375" t="s">
        <v>64</v>
      </c>
      <c r="CSL2" s="375" t="s">
        <v>65</v>
      </c>
      <c r="CSM2" s="375" t="s">
        <v>66</v>
      </c>
      <c r="CSN2" s="375" t="s">
        <v>67</v>
      </c>
      <c r="CSO2" s="375" t="s">
        <v>68</v>
      </c>
      <c r="CSP2" s="375" t="s">
        <v>69</v>
      </c>
      <c r="CSQ2" s="375" t="s">
        <v>70</v>
      </c>
      <c r="CSR2" s="375" t="s">
        <v>71</v>
      </c>
      <c r="CSS2" s="375" t="s">
        <v>72</v>
      </c>
      <c r="CST2" s="375" t="s">
        <v>73</v>
      </c>
      <c r="CSU2" s="375" t="s">
        <v>74</v>
      </c>
      <c r="CSV2" s="375" t="s">
        <v>75</v>
      </c>
      <c r="CSW2" s="375" t="s">
        <v>76</v>
      </c>
      <c r="CSX2" s="375" t="s">
        <v>77</v>
      </c>
      <c r="CSY2" s="375" t="s">
        <v>78</v>
      </c>
      <c r="CSZ2" s="375" t="s">
        <v>79</v>
      </c>
      <c r="CTA2" s="375" t="s">
        <v>80</v>
      </c>
      <c r="CTB2" s="375" t="s">
        <v>81</v>
      </c>
      <c r="CTC2" s="375" t="s">
        <v>82</v>
      </c>
      <c r="CTD2" s="375" t="s">
        <v>83</v>
      </c>
      <c r="CTE2" s="375" t="s">
        <v>83</v>
      </c>
      <c r="CTF2" s="377" t="s">
        <v>1361</v>
      </c>
      <c r="CTG2" s="377" t="s">
        <v>42</v>
      </c>
      <c r="CTH2" s="377" t="s">
        <v>1362</v>
      </c>
      <c r="CTI2" s="377" t="s">
        <v>1363</v>
      </c>
      <c r="CTJ2" s="377" t="s">
        <v>45</v>
      </c>
      <c r="CTK2" s="377" t="s">
        <v>46</v>
      </c>
      <c r="CTL2" s="377" t="s">
        <v>47</v>
      </c>
      <c r="CTM2" s="377" t="s">
        <v>48</v>
      </c>
      <c r="CTN2" s="377" t="s">
        <v>49</v>
      </c>
      <c r="CTO2" s="377" t="s">
        <v>50</v>
      </c>
      <c r="CTP2" s="377" t="s">
        <v>51</v>
      </c>
      <c r="CTQ2" s="377" t="s">
        <v>52</v>
      </c>
      <c r="CTR2" s="377" t="s">
        <v>53</v>
      </c>
      <c r="CTS2" s="377" t="s">
        <v>54</v>
      </c>
      <c r="CTT2" s="377" t="s">
        <v>55</v>
      </c>
      <c r="CTU2" s="377" t="s">
        <v>56</v>
      </c>
      <c r="CTV2" s="377" t="s">
        <v>57</v>
      </c>
      <c r="CTW2" s="377" t="s">
        <v>58</v>
      </c>
      <c r="CTX2" s="377" t="s">
        <v>59</v>
      </c>
      <c r="CTY2" s="377" t="s">
        <v>60</v>
      </c>
      <c r="CTZ2" s="377" t="s">
        <v>61</v>
      </c>
      <c r="CUA2" s="377" t="s">
        <v>62</v>
      </c>
      <c r="CUB2" s="377" t="s">
        <v>63</v>
      </c>
      <c r="CUC2" s="377" t="s">
        <v>64</v>
      </c>
      <c r="CUD2" s="377" t="s">
        <v>65</v>
      </c>
      <c r="CUE2" s="377" t="s">
        <v>66</v>
      </c>
      <c r="CUF2" s="377" t="s">
        <v>67</v>
      </c>
      <c r="CUG2" s="377" t="s">
        <v>68</v>
      </c>
      <c r="CUH2" s="377" t="s">
        <v>69</v>
      </c>
      <c r="CUI2" s="377" t="s">
        <v>70</v>
      </c>
      <c r="CUJ2" s="377" t="s">
        <v>71</v>
      </c>
      <c r="CUK2" s="377" t="s">
        <v>72</v>
      </c>
      <c r="CUL2" s="377" t="s">
        <v>73</v>
      </c>
      <c r="CUM2" s="377" t="s">
        <v>74</v>
      </c>
      <c r="CUN2" s="377" t="s">
        <v>75</v>
      </c>
      <c r="CUO2" s="377" t="s">
        <v>76</v>
      </c>
      <c r="CUP2" s="377" t="s">
        <v>77</v>
      </c>
      <c r="CUQ2" s="377" t="s">
        <v>78</v>
      </c>
      <c r="CUR2" s="377" t="s">
        <v>79</v>
      </c>
      <c r="CUS2" s="377" t="s">
        <v>80</v>
      </c>
      <c r="CUT2" s="377" t="s">
        <v>81</v>
      </c>
      <c r="CUU2" s="377" t="s">
        <v>82</v>
      </c>
      <c r="CUV2" s="377" t="s">
        <v>83</v>
      </c>
      <c r="CUW2" s="377" t="s">
        <v>83</v>
      </c>
      <c r="CUX2" s="375" t="s">
        <v>41</v>
      </c>
      <c r="CUY2" s="375" t="s">
        <v>42</v>
      </c>
      <c r="CUZ2" s="375" t="s">
        <v>43</v>
      </c>
      <c r="CVA2" s="375" t="s">
        <v>44</v>
      </c>
      <c r="CVB2" s="375" t="s">
        <v>45</v>
      </c>
      <c r="CVC2" s="375" t="s">
        <v>46</v>
      </c>
      <c r="CVD2" s="375" t="s">
        <v>47</v>
      </c>
      <c r="CVE2" s="375" t="s">
        <v>48</v>
      </c>
      <c r="CVF2" s="375" t="s">
        <v>49</v>
      </c>
      <c r="CVG2" s="375" t="s">
        <v>50</v>
      </c>
      <c r="CVH2" s="375" t="s">
        <v>51</v>
      </c>
      <c r="CVI2" s="375" t="s">
        <v>52</v>
      </c>
      <c r="CVJ2" s="375" t="s">
        <v>53</v>
      </c>
      <c r="CVK2" s="375" t="s">
        <v>54</v>
      </c>
      <c r="CVL2" s="375" t="s">
        <v>55</v>
      </c>
      <c r="CVM2" s="375" t="s">
        <v>56</v>
      </c>
      <c r="CVN2" s="375" t="s">
        <v>57</v>
      </c>
      <c r="CVO2" s="375" t="s">
        <v>58</v>
      </c>
      <c r="CVP2" s="375" t="s">
        <v>59</v>
      </c>
      <c r="CVQ2" s="375" t="s">
        <v>60</v>
      </c>
      <c r="CVR2" s="375" t="s">
        <v>61</v>
      </c>
      <c r="CVS2" s="375" t="s">
        <v>62</v>
      </c>
      <c r="CVT2" s="375" t="s">
        <v>63</v>
      </c>
      <c r="CVU2" s="375" t="s">
        <v>64</v>
      </c>
      <c r="CVV2" s="375" t="s">
        <v>65</v>
      </c>
      <c r="CVW2" s="375" t="s">
        <v>66</v>
      </c>
      <c r="CVX2" s="375" t="s">
        <v>67</v>
      </c>
      <c r="CVY2" s="375" t="s">
        <v>68</v>
      </c>
      <c r="CVZ2" s="375" t="s">
        <v>69</v>
      </c>
      <c r="CWA2" s="375" t="s">
        <v>70</v>
      </c>
      <c r="CWB2" s="375" t="s">
        <v>71</v>
      </c>
      <c r="CWC2" s="375" t="s">
        <v>72</v>
      </c>
      <c r="CWD2" s="375" t="s">
        <v>73</v>
      </c>
      <c r="CWE2" s="375" t="s">
        <v>74</v>
      </c>
      <c r="CWF2" s="375" t="s">
        <v>75</v>
      </c>
      <c r="CWG2" s="375" t="s">
        <v>76</v>
      </c>
      <c r="CWH2" s="375" t="s">
        <v>77</v>
      </c>
      <c r="CWI2" s="375" t="s">
        <v>78</v>
      </c>
      <c r="CWJ2" s="375" t="s">
        <v>79</v>
      </c>
      <c r="CWK2" s="375" t="s">
        <v>80</v>
      </c>
      <c r="CWL2" s="375" t="s">
        <v>81</v>
      </c>
      <c r="CWM2" s="375" t="s">
        <v>82</v>
      </c>
      <c r="CWN2" s="375" t="s">
        <v>83</v>
      </c>
      <c r="CWO2" s="375" t="s">
        <v>83</v>
      </c>
      <c r="CWP2" s="377" t="s">
        <v>1361</v>
      </c>
      <c r="CWQ2" s="377" t="s">
        <v>42</v>
      </c>
      <c r="CWR2" s="377" t="s">
        <v>1362</v>
      </c>
      <c r="CWS2" s="377" t="s">
        <v>1363</v>
      </c>
      <c r="CWT2" s="377" t="s">
        <v>45</v>
      </c>
      <c r="CWU2" s="377" t="s">
        <v>46</v>
      </c>
      <c r="CWV2" s="377" t="s">
        <v>47</v>
      </c>
      <c r="CWW2" s="377" t="s">
        <v>48</v>
      </c>
      <c r="CWX2" s="377" t="s">
        <v>49</v>
      </c>
      <c r="CWY2" s="377" t="s">
        <v>50</v>
      </c>
      <c r="CWZ2" s="377" t="s">
        <v>51</v>
      </c>
      <c r="CXA2" s="377" t="s">
        <v>52</v>
      </c>
      <c r="CXB2" s="377" t="s">
        <v>53</v>
      </c>
      <c r="CXC2" s="377" t="s">
        <v>54</v>
      </c>
      <c r="CXD2" s="377" t="s">
        <v>55</v>
      </c>
      <c r="CXE2" s="377" t="s">
        <v>56</v>
      </c>
      <c r="CXF2" s="377" t="s">
        <v>57</v>
      </c>
      <c r="CXG2" s="377" t="s">
        <v>58</v>
      </c>
      <c r="CXH2" s="377" t="s">
        <v>59</v>
      </c>
      <c r="CXI2" s="377" t="s">
        <v>60</v>
      </c>
      <c r="CXJ2" s="377" t="s">
        <v>61</v>
      </c>
      <c r="CXK2" s="377" t="s">
        <v>62</v>
      </c>
      <c r="CXL2" s="377" t="s">
        <v>63</v>
      </c>
      <c r="CXM2" s="377" t="s">
        <v>64</v>
      </c>
      <c r="CXN2" s="377" t="s">
        <v>65</v>
      </c>
      <c r="CXO2" s="377" t="s">
        <v>66</v>
      </c>
      <c r="CXP2" s="377" t="s">
        <v>67</v>
      </c>
      <c r="CXQ2" s="377" t="s">
        <v>68</v>
      </c>
      <c r="CXR2" s="377" t="s">
        <v>69</v>
      </c>
      <c r="CXS2" s="377" t="s">
        <v>70</v>
      </c>
      <c r="CXT2" s="377" t="s">
        <v>71</v>
      </c>
      <c r="CXU2" s="377" t="s">
        <v>72</v>
      </c>
      <c r="CXV2" s="377" t="s">
        <v>73</v>
      </c>
      <c r="CXW2" s="377" t="s">
        <v>74</v>
      </c>
      <c r="CXX2" s="377" t="s">
        <v>75</v>
      </c>
      <c r="CXY2" s="377" t="s">
        <v>76</v>
      </c>
      <c r="CXZ2" s="377" t="s">
        <v>77</v>
      </c>
      <c r="CYA2" s="377" t="s">
        <v>78</v>
      </c>
      <c r="CYB2" s="377" t="s">
        <v>79</v>
      </c>
      <c r="CYC2" s="377" t="s">
        <v>80</v>
      </c>
      <c r="CYD2" s="377" t="s">
        <v>81</v>
      </c>
      <c r="CYE2" s="377" t="s">
        <v>82</v>
      </c>
      <c r="CYF2" s="377" t="s">
        <v>83</v>
      </c>
      <c r="CYG2" s="377" t="s">
        <v>83</v>
      </c>
      <c r="CYH2" s="375" t="s">
        <v>41</v>
      </c>
      <c r="CYI2" s="375" t="s">
        <v>42</v>
      </c>
      <c r="CYJ2" s="375" t="s">
        <v>43</v>
      </c>
      <c r="CYK2" s="375" t="s">
        <v>44</v>
      </c>
      <c r="CYL2" s="375" t="s">
        <v>45</v>
      </c>
      <c r="CYM2" s="375" t="s">
        <v>46</v>
      </c>
      <c r="CYN2" s="375" t="s">
        <v>47</v>
      </c>
      <c r="CYO2" s="375" t="s">
        <v>48</v>
      </c>
      <c r="CYP2" s="375" t="s">
        <v>49</v>
      </c>
      <c r="CYQ2" s="375" t="s">
        <v>50</v>
      </c>
      <c r="CYR2" s="375" t="s">
        <v>51</v>
      </c>
      <c r="CYS2" s="375" t="s">
        <v>52</v>
      </c>
      <c r="CYT2" s="375" t="s">
        <v>53</v>
      </c>
      <c r="CYU2" s="375" t="s">
        <v>54</v>
      </c>
      <c r="CYV2" s="375" t="s">
        <v>55</v>
      </c>
      <c r="CYW2" s="375" t="s">
        <v>56</v>
      </c>
      <c r="CYX2" s="375" t="s">
        <v>57</v>
      </c>
      <c r="CYY2" s="375" t="s">
        <v>58</v>
      </c>
      <c r="CYZ2" s="375" t="s">
        <v>59</v>
      </c>
      <c r="CZA2" s="375" t="s">
        <v>60</v>
      </c>
      <c r="CZB2" s="375" t="s">
        <v>61</v>
      </c>
      <c r="CZC2" s="375" t="s">
        <v>62</v>
      </c>
      <c r="CZD2" s="375" t="s">
        <v>63</v>
      </c>
      <c r="CZE2" s="375" t="s">
        <v>64</v>
      </c>
      <c r="CZF2" s="375" t="s">
        <v>65</v>
      </c>
      <c r="CZG2" s="375" t="s">
        <v>66</v>
      </c>
      <c r="CZH2" s="375" t="s">
        <v>67</v>
      </c>
      <c r="CZI2" s="375" t="s">
        <v>68</v>
      </c>
      <c r="CZJ2" s="375" t="s">
        <v>69</v>
      </c>
      <c r="CZK2" s="375" t="s">
        <v>70</v>
      </c>
      <c r="CZL2" s="375" t="s">
        <v>71</v>
      </c>
      <c r="CZM2" s="375" t="s">
        <v>72</v>
      </c>
      <c r="CZN2" s="375" t="s">
        <v>73</v>
      </c>
      <c r="CZO2" s="375" t="s">
        <v>74</v>
      </c>
      <c r="CZP2" s="375" t="s">
        <v>75</v>
      </c>
      <c r="CZQ2" s="375" t="s">
        <v>76</v>
      </c>
      <c r="CZR2" s="375" t="s">
        <v>77</v>
      </c>
      <c r="CZS2" s="375" t="s">
        <v>78</v>
      </c>
      <c r="CZT2" s="375" t="s">
        <v>79</v>
      </c>
      <c r="CZU2" s="375" t="s">
        <v>80</v>
      </c>
      <c r="CZV2" s="375" t="s">
        <v>81</v>
      </c>
      <c r="CZW2" s="375" t="s">
        <v>82</v>
      </c>
      <c r="CZX2" s="375" t="s">
        <v>83</v>
      </c>
      <c r="CZY2" s="375" t="s">
        <v>83</v>
      </c>
      <c r="CZZ2" s="377" t="s">
        <v>1361</v>
      </c>
      <c r="DAA2" s="377" t="s">
        <v>42</v>
      </c>
      <c r="DAB2" s="377" t="s">
        <v>1362</v>
      </c>
      <c r="DAC2" s="377" t="s">
        <v>1363</v>
      </c>
      <c r="DAD2" s="377" t="s">
        <v>45</v>
      </c>
      <c r="DAE2" s="377" t="s">
        <v>46</v>
      </c>
      <c r="DAF2" s="377" t="s">
        <v>47</v>
      </c>
      <c r="DAG2" s="377" t="s">
        <v>48</v>
      </c>
      <c r="DAH2" s="377" t="s">
        <v>49</v>
      </c>
      <c r="DAI2" s="377" t="s">
        <v>50</v>
      </c>
      <c r="DAJ2" s="377" t="s">
        <v>51</v>
      </c>
      <c r="DAK2" s="377" t="s">
        <v>52</v>
      </c>
      <c r="DAL2" s="377" t="s">
        <v>53</v>
      </c>
      <c r="DAM2" s="377" t="s">
        <v>54</v>
      </c>
      <c r="DAN2" s="377" t="s">
        <v>55</v>
      </c>
      <c r="DAO2" s="377" t="s">
        <v>56</v>
      </c>
      <c r="DAP2" s="377" t="s">
        <v>57</v>
      </c>
      <c r="DAQ2" s="377" t="s">
        <v>58</v>
      </c>
      <c r="DAR2" s="377" t="s">
        <v>59</v>
      </c>
      <c r="DAS2" s="377" t="s">
        <v>60</v>
      </c>
      <c r="DAT2" s="377" t="s">
        <v>61</v>
      </c>
      <c r="DAU2" s="377" t="s">
        <v>62</v>
      </c>
      <c r="DAV2" s="377" t="s">
        <v>63</v>
      </c>
      <c r="DAW2" s="377" t="s">
        <v>64</v>
      </c>
      <c r="DAX2" s="377" t="s">
        <v>65</v>
      </c>
      <c r="DAY2" s="377" t="s">
        <v>66</v>
      </c>
      <c r="DAZ2" s="377" t="s">
        <v>67</v>
      </c>
      <c r="DBA2" s="377" t="s">
        <v>68</v>
      </c>
      <c r="DBB2" s="377" t="s">
        <v>69</v>
      </c>
      <c r="DBC2" s="377" t="s">
        <v>70</v>
      </c>
      <c r="DBD2" s="377" t="s">
        <v>71</v>
      </c>
      <c r="DBE2" s="377" t="s">
        <v>72</v>
      </c>
      <c r="DBF2" s="377" t="s">
        <v>73</v>
      </c>
      <c r="DBG2" s="377" t="s">
        <v>74</v>
      </c>
      <c r="DBH2" s="377" t="s">
        <v>75</v>
      </c>
      <c r="DBI2" s="377" t="s">
        <v>76</v>
      </c>
      <c r="DBJ2" s="377" t="s">
        <v>77</v>
      </c>
      <c r="DBK2" s="377" t="s">
        <v>78</v>
      </c>
      <c r="DBL2" s="377" t="s">
        <v>79</v>
      </c>
      <c r="DBM2" s="377" t="s">
        <v>80</v>
      </c>
      <c r="DBN2" s="377" t="s">
        <v>81</v>
      </c>
      <c r="DBO2" s="377" t="s">
        <v>82</v>
      </c>
      <c r="DBP2" s="377" t="s">
        <v>83</v>
      </c>
      <c r="DBQ2" s="377" t="s">
        <v>83</v>
      </c>
      <c r="DBR2" s="375" t="s">
        <v>41</v>
      </c>
      <c r="DBS2" s="375" t="s">
        <v>42</v>
      </c>
      <c r="DBT2" s="375" t="s">
        <v>43</v>
      </c>
      <c r="DBU2" s="375" t="s">
        <v>44</v>
      </c>
      <c r="DBV2" s="375" t="s">
        <v>45</v>
      </c>
      <c r="DBW2" s="375" t="s">
        <v>46</v>
      </c>
      <c r="DBX2" s="375" t="s">
        <v>47</v>
      </c>
      <c r="DBY2" s="375" t="s">
        <v>48</v>
      </c>
      <c r="DBZ2" s="375" t="s">
        <v>49</v>
      </c>
      <c r="DCA2" s="375" t="s">
        <v>50</v>
      </c>
      <c r="DCB2" s="375" t="s">
        <v>51</v>
      </c>
      <c r="DCC2" s="375" t="s">
        <v>52</v>
      </c>
      <c r="DCD2" s="375" t="s">
        <v>53</v>
      </c>
      <c r="DCE2" s="375" t="s">
        <v>54</v>
      </c>
      <c r="DCF2" s="375" t="s">
        <v>55</v>
      </c>
      <c r="DCG2" s="375" t="s">
        <v>56</v>
      </c>
      <c r="DCH2" s="375" t="s">
        <v>57</v>
      </c>
      <c r="DCI2" s="375" t="s">
        <v>58</v>
      </c>
      <c r="DCJ2" s="375" t="s">
        <v>59</v>
      </c>
      <c r="DCK2" s="375" t="s">
        <v>60</v>
      </c>
      <c r="DCL2" s="375" t="s">
        <v>61</v>
      </c>
      <c r="DCM2" s="375" t="s">
        <v>62</v>
      </c>
      <c r="DCN2" s="375" t="s">
        <v>63</v>
      </c>
      <c r="DCO2" s="375" t="s">
        <v>64</v>
      </c>
      <c r="DCP2" s="375" t="s">
        <v>65</v>
      </c>
      <c r="DCQ2" s="375" t="s">
        <v>66</v>
      </c>
      <c r="DCR2" s="375" t="s">
        <v>67</v>
      </c>
      <c r="DCS2" s="375" t="s">
        <v>68</v>
      </c>
      <c r="DCT2" s="375" t="s">
        <v>69</v>
      </c>
      <c r="DCU2" s="375" t="s">
        <v>70</v>
      </c>
      <c r="DCV2" s="375" t="s">
        <v>71</v>
      </c>
      <c r="DCW2" s="375" t="s">
        <v>72</v>
      </c>
      <c r="DCX2" s="375" t="s">
        <v>73</v>
      </c>
      <c r="DCY2" s="375" t="s">
        <v>74</v>
      </c>
      <c r="DCZ2" s="375" t="s">
        <v>75</v>
      </c>
      <c r="DDA2" s="375" t="s">
        <v>76</v>
      </c>
      <c r="DDB2" s="375" t="s">
        <v>77</v>
      </c>
      <c r="DDC2" s="375" t="s">
        <v>78</v>
      </c>
      <c r="DDD2" s="375" t="s">
        <v>79</v>
      </c>
      <c r="DDE2" s="375" t="s">
        <v>80</v>
      </c>
      <c r="DDF2" s="375" t="s">
        <v>81</v>
      </c>
      <c r="DDG2" s="375" t="s">
        <v>82</v>
      </c>
      <c r="DDH2" s="375" t="s">
        <v>83</v>
      </c>
      <c r="DDI2" s="375" t="s">
        <v>83</v>
      </c>
      <c r="DDJ2" s="377" t="s">
        <v>1361</v>
      </c>
      <c r="DDK2" s="377" t="s">
        <v>42</v>
      </c>
      <c r="DDL2" s="377" t="s">
        <v>1362</v>
      </c>
      <c r="DDM2" s="377" t="s">
        <v>1363</v>
      </c>
      <c r="DDN2" s="377" t="s">
        <v>45</v>
      </c>
      <c r="DDO2" s="377" t="s">
        <v>46</v>
      </c>
      <c r="DDP2" s="377" t="s">
        <v>47</v>
      </c>
      <c r="DDQ2" s="377" t="s">
        <v>48</v>
      </c>
      <c r="DDR2" s="377" t="s">
        <v>49</v>
      </c>
      <c r="DDS2" s="377" t="s">
        <v>50</v>
      </c>
      <c r="DDT2" s="377" t="s">
        <v>51</v>
      </c>
      <c r="DDU2" s="377" t="s">
        <v>52</v>
      </c>
      <c r="DDV2" s="377" t="s">
        <v>53</v>
      </c>
      <c r="DDW2" s="377" t="s">
        <v>54</v>
      </c>
      <c r="DDX2" s="377" t="s">
        <v>55</v>
      </c>
      <c r="DDY2" s="377" t="s">
        <v>56</v>
      </c>
      <c r="DDZ2" s="377" t="s">
        <v>57</v>
      </c>
      <c r="DEA2" s="377" t="s">
        <v>58</v>
      </c>
      <c r="DEB2" s="377" t="s">
        <v>59</v>
      </c>
      <c r="DEC2" s="377" t="s">
        <v>60</v>
      </c>
      <c r="DED2" s="377" t="s">
        <v>61</v>
      </c>
      <c r="DEE2" s="377" t="s">
        <v>62</v>
      </c>
      <c r="DEF2" s="377" t="s">
        <v>63</v>
      </c>
      <c r="DEG2" s="377" t="s">
        <v>64</v>
      </c>
      <c r="DEH2" s="377" t="s">
        <v>65</v>
      </c>
      <c r="DEI2" s="377" t="s">
        <v>66</v>
      </c>
      <c r="DEJ2" s="377" t="s">
        <v>67</v>
      </c>
      <c r="DEK2" s="377" t="s">
        <v>68</v>
      </c>
      <c r="DEL2" s="377" t="s">
        <v>69</v>
      </c>
      <c r="DEM2" s="377" t="s">
        <v>70</v>
      </c>
      <c r="DEN2" s="377" t="s">
        <v>71</v>
      </c>
      <c r="DEO2" s="377" t="s">
        <v>72</v>
      </c>
      <c r="DEP2" s="377" t="s">
        <v>73</v>
      </c>
      <c r="DEQ2" s="377" t="s">
        <v>74</v>
      </c>
      <c r="DER2" s="377" t="s">
        <v>75</v>
      </c>
      <c r="DES2" s="377" t="s">
        <v>76</v>
      </c>
      <c r="DET2" s="377" t="s">
        <v>77</v>
      </c>
      <c r="DEU2" s="377" t="s">
        <v>78</v>
      </c>
      <c r="DEV2" s="377" t="s">
        <v>79</v>
      </c>
      <c r="DEW2" s="377" t="s">
        <v>80</v>
      </c>
      <c r="DEX2" s="377" t="s">
        <v>81</v>
      </c>
      <c r="DEY2" s="377" t="s">
        <v>82</v>
      </c>
      <c r="DEZ2" s="377" t="s">
        <v>83</v>
      </c>
      <c r="DFA2" s="377" t="s">
        <v>83</v>
      </c>
      <c r="DFB2" s="375" t="s">
        <v>41</v>
      </c>
      <c r="DFC2" s="375" t="s">
        <v>42</v>
      </c>
      <c r="DFD2" s="375" t="s">
        <v>43</v>
      </c>
      <c r="DFE2" s="375" t="s">
        <v>44</v>
      </c>
      <c r="DFF2" s="375" t="s">
        <v>45</v>
      </c>
      <c r="DFG2" s="375" t="s">
        <v>46</v>
      </c>
      <c r="DFH2" s="375" t="s">
        <v>47</v>
      </c>
      <c r="DFI2" s="375" t="s">
        <v>48</v>
      </c>
      <c r="DFJ2" s="375" t="s">
        <v>49</v>
      </c>
      <c r="DFK2" s="375" t="s">
        <v>50</v>
      </c>
      <c r="DFL2" s="375" t="s">
        <v>51</v>
      </c>
      <c r="DFM2" s="375" t="s">
        <v>52</v>
      </c>
      <c r="DFN2" s="375" t="s">
        <v>53</v>
      </c>
      <c r="DFO2" s="375" t="s">
        <v>54</v>
      </c>
      <c r="DFP2" s="375" t="s">
        <v>55</v>
      </c>
      <c r="DFQ2" s="375" t="s">
        <v>56</v>
      </c>
      <c r="DFR2" s="375" t="s">
        <v>57</v>
      </c>
      <c r="DFS2" s="375" t="s">
        <v>58</v>
      </c>
      <c r="DFT2" s="375" t="s">
        <v>59</v>
      </c>
      <c r="DFU2" s="375" t="s">
        <v>60</v>
      </c>
      <c r="DFV2" s="375" t="s">
        <v>61</v>
      </c>
      <c r="DFW2" s="375" t="s">
        <v>62</v>
      </c>
      <c r="DFX2" s="375" t="s">
        <v>63</v>
      </c>
      <c r="DFY2" s="375" t="s">
        <v>64</v>
      </c>
      <c r="DFZ2" s="375" t="s">
        <v>65</v>
      </c>
      <c r="DGA2" s="375" t="s">
        <v>66</v>
      </c>
      <c r="DGB2" s="375" t="s">
        <v>67</v>
      </c>
      <c r="DGC2" s="375" t="s">
        <v>68</v>
      </c>
      <c r="DGD2" s="375" t="s">
        <v>69</v>
      </c>
      <c r="DGE2" s="375" t="s">
        <v>70</v>
      </c>
      <c r="DGF2" s="375" t="s">
        <v>71</v>
      </c>
      <c r="DGG2" s="375" t="s">
        <v>72</v>
      </c>
      <c r="DGH2" s="375" t="s">
        <v>73</v>
      </c>
      <c r="DGI2" s="375" t="s">
        <v>74</v>
      </c>
      <c r="DGJ2" s="375" t="s">
        <v>75</v>
      </c>
      <c r="DGK2" s="375" t="s">
        <v>76</v>
      </c>
      <c r="DGL2" s="375" t="s">
        <v>77</v>
      </c>
      <c r="DGM2" s="375" t="s">
        <v>78</v>
      </c>
      <c r="DGN2" s="375" t="s">
        <v>79</v>
      </c>
      <c r="DGO2" s="375" t="s">
        <v>80</v>
      </c>
      <c r="DGP2" s="375" t="s">
        <v>81</v>
      </c>
      <c r="DGQ2" s="375" t="s">
        <v>82</v>
      </c>
      <c r="DGR2" s="375" t="s">
        <v>83</v>
      </c>
      <c r="DGS2" s="375" t="s">
        <v>83</v>
      </c>
      <c r="DGT2" s="377" t="s">
        <v>1361</v>
      </c>
      <c r="DGU2" s="377" t="s">
        <v>42</v>
      </c>
      <c r="DGV2" s="377" t="s">
        <v>1362</v>
      </c>
      <c r="DGW2" s="377" t="s">
        <v>1363</v>
      </c>
      <c r="DGX2" s="377" t="s">
        <v>45</v>
      </c>
      <c r="DGY2" s="377" t="s">
        <v>46</v>
      </c>
      <c r="DGZ2" s="377" t="s">
        <v>47</v>
      </c>
      <c r="DHA2" s="377" t="s">
        <v>48</v>
      </c>
      <c r="DHB2" s="377" t="s">
        <v>49</v>
      </c>
      <c r="DHC2" s="377" t="s">
        <v>50</v>
      </c>
      <c r="DHD2" s="377" t="s">
        <v>51</v>
      </c>
      <c r="DHE2" s="377" t="s">
        <v>52</v>
      </c>
      <c r="DHF2" s="377" t="s">
        <v>53</v>
      </c>
      <c r="DHG2" s="377" t="s">
        <v>54</v>
      </c>
      <c r="DHH2" s="377" t="s">
        <v>55</v>
      </c>
      <c r="DHI2" s="377" t="s">
        <v>56</v>
      </c>
      <c r="DHJ2" s="377" t="s">
        <v>57</v>
      </c>
      <c r="DHK2" s="377" t="s">
        <v>58</v>
      </c>
      <c r="DHL2" s="377" t="s">
        <v>59</v>
      </c>
      <c r="DHM2" s="377" t="s">
        <v>60</v>
      </c>
      <c r="DHN2" s="377" t="s">
        <v>61</v>
      </c>
      <c r="DHO2" s="377" t="s">
        <v>62</v>
      </c>
      <c r="DHP2" s="377" t="s">
        <v>63</v>
      </c>
      <c r="DHQ2" s="377" t="s">
        <v>64</v>
      </c>
      <c r="DHR2" s="377" t="s">
        <v>65</v>
      </c>
      <c r="DHS2" s="377" t="s">
        <v>66</v>
      </c>
      <c r="DHT2" s="377" t="s">
        <v>67</v>
      </c>
      <c r="DHU2" s="377" t="s">
        <v>68</v>
      </c>
      <c r="DHV2" s="377" t="s">
        <v>69</v>
      </c>
      <c r="DHW2" s="377" t="s">
        <v>70</v>
      </c>
      <c r="DHX2" s="377" t="s">
        <v>71</v>
      </c>
      <c r="DHY2" s="377" t="s">
        <v>72</v>
      </c>
      <c r="DHZ2" s="377" t="s">
        <v>73</v>
      </c>
      <c r="DIA2" s="377" t="s">
        <v>74</v>
      </c>
      <c r="DIB2" s="377" t="s">
        <v>75</v>
      </c>
      <c r="DIC2" s="377" t="s">
        <v>76</v>
      </c>
      <c r="DID2" s="377" t="s">
        <v>77</v>
      </c>
      <c r="DIE2" s="377" t="s">
        <v>78</v>
      </c>
      <c r="DIF2" s="377" t="s">
        <v>79</v>
      </c>
      <c r="DIG2" s="377" t="s">
        <v>80</v>
      </c>
      <c r="DIH2" s="377" t="s">
        <v>81</v>
      </c>
      <c r="DII2" s="377" t="s">
        <v>82</v>
      </c>
      <c r="DIJ2" s="377" t="s">
        <v>83</v>
      </c>
      <c r="DIK2" s="377" t="s">
        <v>83</v>
      </c>
      <c r="DIL2" s="375" t="s">
        <v>41</v>
      </c>
      <c r="DIM2" s="375" t="s">
        <v>42</v>
      </c>
      <c r="DIN2" s="375" t="s">
        <v>43</v>
      </c>
      <c r="DIO2" s="375" t="s">
        <v>44</v>
      </c>
      <c r="DIP2" s="375" t="s">
        <v>45</v>
      </c>
      <c r="DIQ2" s="375" t="s">
        <v>46</v>
      </c>
      <c r="DIR2" s="375" t="s">
        <v>47</v>
      </c>
      <c r="DIS2" s="375" t="s">
        <v>48</v>
      </c>
      <c r="DIT2" s="375" t="s">
        <v>49</v>
      </c>
      <c r="DIU2" s="375" t="s">
        <v>50</v>
      </c>
      <c r="DIV2" s="375" t="s">
        <v>51</v>
      </c>
      <c r="DIW2" s="375" t="s">
        <v>52</v>
      </c>
      <c r="DIX2" s="375" t="s">
        <v>53</v>
      </c>
      <c r="DIY2" s="375" t="s">
        <v>54</v>
      </c>
      <c r="DIZ2" s="375" t="s">
        <v>55</v>
      </c>
      <c r="DJA2" s="375" t="s">
        <v>56</v>
      </c>
      <c r="DJB2" s="375" t="s">
        <v>57</v>
      </c>
      <c r="DJC2" s="375" t="s">
        <v>58</v>
      </c>
      <c r="DJD2" s="375" t="s">
        <v>59</v>
      </c>
      <c r="DJE2" s="375" t="s">
        <v>60</v>
      </c>
      <c r="DJF2" s="375" t="s">
        <v>61</v>
      </c>
      <c r="DJG2" s="375" t="s">
        <v>62</v>
      </c>
      <c r="DJH2" s="375" t="s">
        <v>63</v>
      </c>
      <c r="DJI2" s="375" t="s">
        <v>64</v>
      </c>
      <c r="DJJ2" s="375" t="s">
        <v>65</v>
      </c>
      <c r="DJK2" s="375" t="s">
        <v>66</v>
      </c>
      <c r="DJL2" s="375" t="s">
        <v>67</v>
      </c>
      <c r="DJM2" s="375" t="s">
        <v>68</v>
      </c>
      <c r="DJN2" s="375" t="s">
        <v>69</v>
      </c>
      <c r="DJO2" s="375" t="s">
        <v>70</v>
      </c>
      <c r="DJP2" s="375" t="s">
        <v>71</v>
      </c>
      <c r="DJQ2" s="375" t="s">
        <v>72</v>
      </c>
      <c r="DJR2" s="375" t="s">
        <v>73</v>
      </c>
      <c r="DJS2" s="375" t="s">
        <v>74</v>
      </c>
      <c r="DJT2" s="375" t="s">
        <v>75</v>
      </c>
      <c r="DJU2" s="375" t="s">
        <v>76</v>
      </c>
      <c r="DJV2" s="375" t="s">
        <v>77</v>
      </c>
      <c r="DJW2" s="375" t="s">
        <v>78</v>
      </c>
      <c r="DJX2" s="375" t="s">
        <v>79</v>
      </c>
      <c r="DJY2" s="375" t="s">
        <v>80</v>
      </c>
      <c r="DJZ2" s="375" t="s">
        <v>81</v>
      </c>
      <c r="DKA2" s="375" t="s">
        <v>82</v>
      </c>
      <c r="DKB2" s="375" t="s">
        <v>83</v>
      </c>
      <c r="DKC2" s="375" t="s">
        <v>83</v>
      </c>
      <c r="DKD2" s="377" t="s">
        <v>1361</v>
      </c>
      <c r="DKE2" s="377" t="s">
        <v>42</v>
      </c>
      <c r="DKF2" s="377" t="s">
        <v>1362</v>
      </c>
      <c r="DKG2" s="377" t="s">
        <v>1363</v>
      </c>
      <c r="DKH2" s="377" t="s">
        <v>45</v>
      </c>
      <c r="DKI2" s="377" t="s">
        <v>46</v>
      </c>
      <c r="DKJ2" s="377" t="s">
        <v>47</v>
      </c>
      <c r="DKK2" s="377" t="s">
        <v>48</v>
      </c>
      <c r="DKL2" s="377" t="s">
        <v>49</v>
      </c>
      <c r="DKM2" s="377" t="s">
        <v>50</v>
      </c>
      <c r="DKN2" s="377" t="s">
        <v>51</v>
      </c>
      <c r="DKO2" s="377" t="s">
        <v>52</v>
      </c>
      <c r="DKP2" s="377" t="s">
        <v>53</v>
      </c>
      <c r="DKQ2" s="377" t="s">
        <v>54</v>
      </c>
      <c r="DKR2" s="377" t="s">
        <v>55</v>
      </c>
      <c r="DKS2" s="377" t="s">
        <v>56</v>
      </c>
      <c r="DKT2" s="377" t="s">
        <v>57</v>
      </c>
      <c r="DKU2" s="377" t="s">
        <v>58</v>
      </c>
      <c r="DKV2" s="377" t="s">
        <v>59</v>
      </c>
      <c r="DKW2" s="377" t="s">
        <v>60</v>
      </c>
      <c r="DKX2" s="377" t="s">
        <v>61</v>
      </c>
      <c r="DKY2" s="377" t="s">
        <v>62</v>
      </c>
      <c r="DKZ2" s="377" t="s">
        <v>63</v>
      </c>
      <c r="DLA2" s="377" t="s">
        <v>64</v>
      </c>
      <c r="DLB2" s="377" t="s">
        <v>65</v>
      </c>
      <c r="DLC2" s="377" t="s">
        <v>66</v>
      </c>
      <c r="DLD2" s="377" t="s">
        <v>67</v>
      </c>
      <c r="DLE2" s="377" t="s">
        <v>68</v>
      </c>
      <c r="DLF2" s="377" t="s">
        <v>69</v>
      </c>
      <c r="DLG2" s="377" t="s">
        <v>70</v>
      </c>
      <c r="DLH2" s="377" t="s">
        <v>71</v>
      </c>
      <c r="DLI2" s="377" t="s">
        <v>72</v>
      </c>
      <c r="DLJ2" s="377" t="s">
        <v>73</v>
      </c>
      <c r="DLK2" s="377" t="s">
        <v>74</v>
      </c>
      <c r="DLL2" s="377" t="s">
        <v>75</v>
      </c>
      <c r="DLM2" s="377" t="s">
        <v>76</v>
      </c>
      <c r="DLN2" s="377" t="s">
        <v>77</v>
      </c>
      <c r="DLO2" s="377" t="s">
        <v>78</v>
      </c>
      <c r="DLP2" s="377" t="s">
        <v>79</v>
      </c>
      <c r="DLQ2" s="377" t="s">
        <v>80</v>
      </c>
      <c r="DLR2" s="377" t="s">
        <v>81</v>
      </c>
      <c r="DLS2" s="377" t="s">
        <v>82</v>
      </c>
      <c r="DLT2" s="377" t="s">
        <v>83</v>
      </c>
      <c r="DLU2" s="377" t="s">
        <v>83</v>
      </c>
      <c r="DLV2" s="375" t="s">
        <v>41</v>
      </c>
      <c r="DLW2" s="375" t="s">
        <v>42</v>
      </c>
      <c r="DLX2" s="375" t="s">
        <v>43</v>
      </c>
      <c r="DLY2" s="375" t="s">
        <v>44</v>
      </c>
      <c r="DLZ2" s="375" t="s">
        <v>45</v>
      </c>
      <c r="DMA2" s="375" t="s">
        <v>46</v>
      </c>
      <c r="DMB2" s="375" t="s">
        <v>47</v>
      </c>
      <c r="DMC2" s="375" t="s">
        <v>48</v>
      </c>
      <c r="DMD2" s="375" t="s">
        <v>49</v>
      </c>
      <c r="DME2" s="375" t="s">
        <v>50</v>
      </c>
      <c r="DMF2" s="375" t="s">
        <v>51</v>
      </c>
      <c r="DMG2" s="375" t="s">
        <v>52</v>
      </c>
      <c r="DMH2" s="375" t="s">
        <v>53</v>
      </c>
      <c r="DMI2" s="375" t="s">
        <v>54</v>
      </c>
      <c r="DMJ2" s="375" t="s">
        <v>55</v>
      </c>
      <c r="DMK2" s="375" t="s">
        <v>56</v>
      </c>
      <c r="DML2" s="375" t="s">
        <v>57</v>
      </c>
      <c r="DMM2" s="375" t="s">
        <v>58</v>
      </c>
      <c r="DMN2" s="375" t="s">
        <v>59</v>
      </c>
      <c r="DMO2" s="375" t="s">
        <v>60</v>
      </c>
      <c r="DMP2" s="375" t="s">
        <v>61</v>
      </c>
      <c r="DMQ2" s="375" t="s">
        <v>62</v>
      </c>
      <c r="DMR2" s="375" t="s">
        <v>63</v>
      </c>
      <c r="DMS2" s="375" t="s">
        <v>64</v>
      </c>
      <c r="DMT2" s="375" t="s">
        <v>65</v>
      </c>
      <c r="DMU2" s="375" t="s">
        <v>66</v>
      </c>
      <c r="DMV2" s="375" t="s">
        <v>67</v>
      </c>
      <c r="DMW2" s="375" t="s">
        <v>68</v>
      </c>
      <c r="DMX2" s="375" t="s">
        <v>69</v>
      </c>
      <c r="DMY2" s="375" t="s">
        <v>70</v>
      </c>
      <c r="DMZ2" s="375" t="s">
        <v>71</v>
      </c>
      <c r="DNA2" s="375" t="s">
        <v>72</v>
      </c>
      <c r="DNB2" s="375" t="s">
        <v>73</v>
      </c>
      <c r="DNC2" s="375" t="s">
        <v>74</v>
      </c>
      <c r="DND2" s="375" t="s">
        <v>75</v>
      </c>
      <c r="DNE2" s="375" t="s">
        <v>76</v>
      </c>
      <c r="DNF2" s="375" t="s">
        <v>77</v>
      </c>
      <c r="DNG2" s="375" t="s">
        <v>78</v>
      </c>
      <c r="DNH2" s="375" t="s">
        <v>79</v>
      </c>
      <c r="DNI2" s="375" t="s">
        <v>80</v>
      </c>
      <c r="DNJ2" s="375" t="s">
        <v>81</v>
      </c>
      <c r="DNK2" s="375" t="s">
        <v>82</v>
      </c>
      <c r="DNL2" s="375" t="s">
        <v>83</v>
      </c>
      <c r="DNM2" s="375" t="s">
        <v>83</v>
      </c>
      <c r="DNN2" s="377" t="s">
        <v>1361</v>
      </c>
      <c r="DNO2" s="377" t="s">
        <v>42</v>
      </c>
      <c r="DNP2" s="377" t="s">
        <v>1362</v>
      </c>
      <c r="DNQ2" s="377" t="s">
        <v>1363</v>
      </c>
      <c r="DNR2" s="377" t="s">
        <v>45</v>
      </c>
      <c r="DNS2" s="377" t="s">
        <v>46</v>
      </c>
      <c r="DNT2" s="377" t="s">
        <v>47</v>
      </c>
      <c r="DNU2" s="377" t="s">
        <v>48</v>
      </c>
      <c r="DNV2" s="377" t="s">
        <v>49</v>
      </c>
      <c r="DNW2" s="377" t="s">
        <v>50</v>
      </c>
      <c r="DNX2" s="377" t="s">
        <v>51</v>
      </c>
      <c r="DNY2" s="377" t="s">
        <v>52</v>
      </c>
      <c r="DNZ2" s="377" t="s">
        <v>53</v>
      </c>
      <c r="DOA2" s="377" t="s">
        <v>54</v>
      </c>
      <c r="DOB2" s="377" t="s">
        <v>55</v>
      </c>
      <c r="DOC2" s="377" t="s">
        <v>56</v>
      </c>
      <c r="DOD2" s="377" t="s">
        <v>57</v>
      </c>
      <c r="DOE2" s="377" t="s">
        <v>58</v>
      </c>
      <c r="DOF2" s="377" t="s">
        <v>59</v>
      </c>
      <c r="DOG2" s="377" t="s">
        <v>60</v>
      </c>
      <c r="DOH2" s="377" t="s">
        <v>61</v>
      </c>
      <c r="DOI2" s="377" t="s">
        <v>62</v>
      </c>
      <c r="DOJ2" s="377" t="s">
        <v>63</v>
      </c>
      <c r="DOK2" s="377" t="s">
        <v>64</v>
      </c>
      <c r="DOL2" s="377" t="s">
        <v>65</v>
      </c>
      <c r="DOM2" s="377" t="s">
        <v>66</v>
      </c>
      <c r="DON2" s="377" t="s">
        <v>67</v>
      </c>
      <c r="DOO2" s="377" t="s">
        <v>68</v>
      </c>
      <c r="DOP2" s="377" t="s">
        <v>69</v>
      </c>
      <c r="DOQ2" s="377" t="s">
        <v>70</v>
      </c>
      <c r="DOR2" s="377" t="s">
        <v>71</v>
      </c>
      <c r="DOS2" s="377" t="s">
        <v>72</v>
      </c>
      <c r="DOT2" s="377" t="s">
        <v>73</v>
      </c>
      <c r="DOU2" s="377" t="s">
        <v>74</v>
      </c>
      <c r="DOV2" s="377" t="s">
        <v>75</v>
      </c>
      <c r="DOW2" s="377" t="s">
        <v>76</v>
      </c>
      <c r="DOX2" s="377" t="s">
        <v>77</v>
      </c>
      <c r="DOY2" s="377" t="s">
        <v>78</v>
      </c>
      <c r="DOZ2" s="377" t="s">
        <v>79</v>
      </c>
      <c r="DPA2" s="377" t="s">
        <v>80</v>
      </c>
      <c r="DPB2" s="377" t="s">
        <v>81</v>
      </c>
      <c r="DPC2" s="377" t="s">
        <v>82</v>
      </c>
      <c r="DPD2" s="377" t="s">
        <v>83</v>
      </c>
      <c r="DPE2" s="377" t="s">
        <v>83</v>
      </c>
      <c r="DPF2" s="375" t="s">
        <v>41</v>
      </c>
      <c r="DPG2" s="375" t="s">
        <v>42</v>
      </c>
      <c r="DPH2" s="375" t="s">
        <v>43</v>
      </c>
      <c r="DPI2" s="375" t="s">
        <v>44</v>
      </c>
      <c r="DPJ2" s="375" t="s">
        <v>45</v>
      </c>
      <c r="DPK2" s="375" t="s">
        <v>46</v>
      </c>
      <c r="DPL2" s="375" t="s">
        <v>47</v>
      </c>
      <c r="DPM2" s="375" t="s">
        <v>48</v>
      </c>
      <c r="DPN2" s="375" t="s">
        <v>49</v>
      </c>
      <c r="DPO2" s="375" t="s">
        <v>50</v>
      </c>
      <c r="DPP2" s="375" t="s">
        <v>51</v>
      </c>
      <c r="DPQ2" s="375" t="s">
        <v>52</v>
      </c>
      <c r="DPR2" s="375" t="s">
        <v>53</v>
      </c>
      <c r="DPS2" s="375" t="s">
        <v>54</v>
      </c>
      <c r="DPT2" s="375" t="s">
        <v>55</v>
      </c>
      <c r="DPU2" s="375" t="s">
        <v>56</v>
      </c>
      <c r="DPV2" s="375" t="s">
        <v>57</v>
      </c>
      <c r="DPW2" s="375" t="s">
        <v>58</v>
      </c>
      <c r="DPX2" s="375" t="s">
        <v>59</v>
      </c>
      <c r="DPY2" s="375" t="s">
        <v>60</v>
      </c>
      <c r="DPZ2" s="375" t="s">
        <v>61</v>
      </c>
      <c r="DQA2" s="375" t="s">
        <v>62</v>
      </c>
      <c r="DQB2" s="375" t="s">
        <v>63</v>
      </c>
      <c r="DQC2" s="375" t="s">
        <v>64</v>
      </c>
      <c r="DQD2" s="375" t="s">
        <v>65</v>
      </c>
      <c r="DQE2" s="375" t="s">
        <v>66</v>
      </c>
      <c r="DQF2" s="375" t="s">
        <v>67</v>
      </c>
      <c r="DQG2" s="375" t="s">
        <v>68</v>
      </c>
      <c r="DQH2" s="375" t="s">
        <v>69</v>
      </c>
      <c r="DQI2" s="375" t="s">
        <v>70</v>
      </c>
      <c r="DQJ2" s="375" t="s">
        <v>71</v>
      </c>
      <c r="DQK2" s="375" t="s">
        <v>72</v>
      </c>
      <c r="DQL2" s="375" t="s">
        <v>73</v>
      </c>
      <c r="DQM2" s="375" t="s">
        <v>74</v>
      </c>
      <c r="DQN2" s="375" t="s">
        <v>75</v>
      </c>
      <c r="DQO2" s="375" t="s">
        <v>76</v>
      </c>
      <c r="DQP2" s="375" t="s">
        <v>77</v>
      </c>
      <c r="DQQ2" s="375" t="s">
        <v>78</v>
      </c>
      <c r="DQR2" s="375" t="s">
        <v>79</v>
      </c>
      <c r="DQS2" s="375" t="s">
        <v>80</v>
      </c>
      <c r="DQT2" s="375" t="s">
        <v>81</v>
      </c>
      <c r="DQU2" s="375" t="s">
        <v>82</v>
      </c>
      <c r="DQV2" s="375" t="s">
        <v>83</v>
      </c>
      <c r="DQW2" s="375" t="s">
        <v>83</v>
      </c>
      <c r="DQX2" s="377" t="s">
        <v>1361</v>
      </c>
      <c r="DQY2" s="377" t="s">
        <v>42</v>
      </c>
      <c r="DQZ2" s="377" t="s">
        <v>1362</v>
      </c>
      <c r="DRA2" s="377" t="s">
        <v>1363</v>
      </c>
      <c r="DRB2" s="377" t="s">
        <v>45</v>
      </c>
      <c r="DRC2" s="377" t="s">
        <v>46</v>
      </c>
      <c r="DRD2" s="377" t="s">
        <v>47</v>
      </c>
      <c r="DRE2" s="377" t="s">
        <v>48</v>
      </c>
      <c r="DRF2" s="377" t="s">
        <v>49</v>
      </c>
      <c r="DRG2" s="377" t="s">
        <v>50</v>
      </c>
      <c r="DRH2" s="377" t="s">
        <v>51</v>
      </c>
      <c r="DRI2" s="377" t="s">
        <v>52</v>
      </c>
      <c r="DRJ2" s="377" t="s">
        <v>53</v>
      </c>
      <c r="DRK2" s="377" t="s">
        <v>54</v>
      </c>
      <c r="DRL2" s="377" t="s">
        <v>55</v>
      </c>
      <c r="DRM2" s="377" t="s">
        <v>56</v>
      </c>
      <c r="DRN2" s="377" t="s">
        <v>57</v>
      </c>
      <c r="DRO2" s="377" t="s">
        <v>58</v>
      </c>
      <c r="DRP2" s="377" t="s">
        <v>59</v>
      </c>
      <c r="DRQ2" s="377" t="s">
        <v>60</v>
      </c>
      <c r="DRR2" s="377" t="s">
        <v>61</v>
      </c>
      <c r="DRS2" s="377" t="s">
        <v>62</v>
      </c>
      <c r="DRT2" s="377" t="s">
        <v>63</v>
      </c>
      <c r="DRU2" s="377" t="s">
        <v>64</v>
      </c>
      <c r="DRV2" s="377" t="s">
        <v>65</v>
      </c>
      <c r="DRW2" s="377" t="s">
        <v>66</v>
      </c>
      <c r="DRX2" s="377" t="s">
        <v>67</v>
      </c>
      <c r="DRY2" s="377" t="s">
        <v>68</v>
      </c>
      <c r="DRZ2" s="377" t="s">
        <v>69</v>
      </c>
      <c r="DSA2" s="377" t="s">
        <v>70</v>
      </c>
      <c r="DSB2" s="377" t="s">
        <v>71</v>
      </c>
      <c r="DSC2" s="377" t="s">
        <v>72</v>
      </c>
      <c r="DSD2" s="377" t="s">
        <v>73</v>
      </c>
      <c r="DSE2" s="377" t="s">
        <v>74</v>
      </c>
      <c r="DSF2" s="377" t="s">
        <v>75</v>
      </c>
      <c r="DSG2" s="377" t="s">
        <v>76</v>
      </c>
      <c r="DSH2" s="377" t="s">
        <v>77</v>
      </c>
      <c r="DSI2" s="377" t="s">
        <v>78</v>
      </c>
      <c r="DSJ2" s="377" t="s">
        <v>79</v>
      </c>
      <c r="DSK2" s="377" t="s">
        <v>80</v>
      </c>
      <c r="DSL2" s="377" t="s">
        <v>81</v>
      </c>
      <c r="DSM2" s="377" t="s">
        <v>82</v>
      </c>
      <c r="DSN2" s="377" t="s">
        <v>83</v>
      </c>
      <c r="DSO2" s="377" t="s">
        <v>83</v>
      </c>
      <c r="DSP2" s="375" t="s">
        <v>41</v>
      </c>
      <c r="DSQ2" s="375" t="s">
        <v>42</v>
      </c>
      <c r="DSR2" s="375" t="s">
        <v>43</v>
      </c>
      <c r="DSS2" s="375" t="s">
        <v>44</v>
      </c>
      <c r="DST2" s="375" t="s">
        <v>45</v>
      </c>
      <c r="DSU2" s="375" t="s">
        <v>46</v>
      </c>
      <c r="DSV2" s="375" t="s">
        <v>47</v>
      </c>
      <c r="DSW2" s="375" t="s">
        <v>48</v>
      </c>
      <c r="DSX2" s="375" t="s">
        <v>49</v>
      </c>
      <c r="DSY2" s="375" t="s">
        <v>50</v>
      </c>
      <c r="DSZ2" s="375" t="s">
        <v>51</v>
      </c>
      <c r="DTA2" s="375" t="s">
        <v>52</v>
      </c>
      <c r="DTB2" s="375" t="s">
        <v>53</v>
      </c>
      <c r="DTC2" s="375" t="s">
        <v>54</v>
      </c>
      <c r="DTD2" s="375" t="s">
        <v>55</v>
      </c>
      <c r="DTE2" s="375" t="s">
        <v>56</v>
      </c>
      <c r="DTF2" s="375" t="s">
        <v>57</v>
      </c>
      <c r="DTG2" s="375" t="s">
        <v>58</v>
      </c>
      <c r="DTH2" s="375" t="s">
        <v>59</v>
      </c>
      <c r="DTI2" s="375" t="s">
        <v>60</v>
      </c>
      <c r="DTJ2" s="375" t="s">
        <v>61</v>
      </c>
      <c r="DTK2" s="375" t="s">
        <v>62</v>
      </c>
      <c r="DTL2" s="375" t="s">
        <v>63</v>
      </c>
      <c r="DTM2" s="375" t="s">
        <v>64</v>
      </c>
      <c r="DTN2" s="375" t="s">
        <v>65</v>
      </c>
      <c r="DTO2" s="375" t="s">
        <v>66</v>
      </c>
      <c r="DTP2" s="375" t="s">
        <v>67</v>
      </c>
      <c r="DTQ2" s="375" t="s">
        <v>68</v>
      </c>
      <c r="DTR2" s="375" t="s">
        <v>69</v>
      </c>
      <c r="DTS2" s="375" t="s">
        <v>70</v>
      </c>
      <c r="DTT2" s="375" t="s">
        <v>71</v>
      </c>
      <c r="DTU2" s="375" t="s">
        <v>72</v>
      </c>
      <c r="DTV2" s="375" t="s">
        <v>73</v>
      </c>
      <c r="DTW2" s="375" t="s">
        <v>74</v>
      </c>
      <c r="DTX2" s="375" t="s">
        <v>75</v>
      </c>
      <c r="DTY2" s="375" t="s">
        <v>76</v>
      </c>
      <c r="DTZ2" s="375" t="s">
        <v>77</v>
      </c>
      <c r="DUA2" s="375" t="s">
        <v>78</v>
      </c>
      <c r="DUB2" s="375" t="s">
        <v>79</v>
      </c>
      <c r="DUC2" s="375" t="s">
        <v>80</v>
      </c>
      <c r="DUD2" s="375" t="s">
        <v>81</v>
      </c>
      <c r="DUE2" s="375" t="s">
        <v>82</v>
      </c>
      <c r="DUF2" s="375" t="s">
        <v>83</v>
      </c>
      <c r="DUG2" s="375" t="s">
        <v>83</v>
      </c>
      <c r="DUH2" s="377" t="s">
        <v>1361</v>
      </c>
      <c r="DUI2" s="377" t="s">
        <v>42</v>
      </c>
      <c r="DUJ2" s="377" t="s">
        <v>1362</v>
      </c>
      <c r="DUK2" s="377" t="s">
        <v>1363</v>
      </c>
      <c r="DUL2" s="377" t="s">
        <v>45</v>
      </c>
      <c r="DUM2" s="377" t="s">
        <v>46</v>
      </c>
      <c r="DUN2" s="377" t="s">
        <v>47</v>
      </c>
      <c r="DUO2" s="377" t="s">
        <v>48</v>
      </c>
      <c r="DUP2" s="377" t="s">
        <v>49</v>
      </c>
      <c r="DUQ2" s="377" t="s">
        <v>50</v>
      </c>
      <c r="DUR2" s="377" t="s">
        <v>51</v>
      </c>
      <c r="DUS2" s="377" t="s">
        <v>52</v>
      </c>
      <c r="DUT2" s="377" t="s">
        <v>53</v>
      </c>
      <c r="DUU2" s="377" t="s">
        <v>54</v>
      </c>
      <c r="DUV2" s="377" t="s">
        <v>55</v>
      </c>
      <c r="DUW2" s="377" t="s">
        <v>56</v>
      </c>
      <c r="DUX2" s="377" t="s">
        <v>57</v>
      </c>
      <c r="DUY2" s="377" t="s">
        <v>58</v>
      </c>
      <c r="DUZ2" s="377" t="s">
        <v>59</v>
      </c>
      <c r="DVA2" s="377" t="s">
        <v>60</v>
      </c>
      <c r="DVB2" s="377" t="s">
        <v>61</v>
      </c>
      <c r="DVC2" s="377" t="s">
        <v>62</v>
      </c>
      <c r="DVD2" s="377" t="s">
        <v>63</v>
      </c>
      <c r="DVE2" s="377" t="s">
        <v>64</v>
      </c>
      <c r="DVF2" s="377" t="s">
        <v>65</v>
      </c>
      <c r="DVG2" s="377" t="s">
        <v>66</v>
      </c>
      <c r="DVH2" s="377" t="s">
        <v>67</v>
      </c>
      <c r="DVI2" s="377" t="s">
        <v>68</v>
      </c>
      <c r="DVJ2" s="377" t="s">
        <v>69</v>
      </c>
      <c r="DVK2" s="377" t="s">
        <v>70</v>
      </c>
      <c r="DVL2" s="377" t="s">
        <v>71</v>
      </c>
      <c r="DVM2" s="377" t="s">
        <v>72</v>
      </c>
      <c r="DVN2" s="377" t="s">
        <v>73</v>
      </c>
      <c r="DVO2" s="377" t="s">
        <v>74</v>
      </c>
      <c r="DVP2" s="377" t="s">
        <v>75</v>
      </c>
      <c r="DVQ2" s="377" t="s">
        <v>76</v>
      </c>
      <c r="DVR2" s="377" t="s">
        <v>77</v>
      </c>
      <c r="DVS2" s="377" t="s">
        <v>78</v>
      </c>
      <c r="DVT2" s="377" t="s">
        <v>79</v>
      </c>
      <c r="DVU2" s="377" t="s">
        <v>80</v>
      </c>
      <c r="DVV2" s="377" t="s">
        <v>81</v>
      </c>
      <c r="DVW2" s="377" t="s">
        <v>82</v>
      </c>
      <c r="DVX2" s="377" t="s">
        <v>83</v>
      </c>
      <c r="DVY2" s="377" t="s">
        <v>83</v>
      </c>
      <c r="DVZ2" s="375" t="s">
        <v>41</v>
      </c>
      <c r="DWA2" s="375" t="s">
        <v>42</v>
      </c>
      <c r="DWB2" s="375" t="s">
        <v>43</v>
      </c>
      <c r="DWC2" s="375" t="s">
        <v>44</v>
      </c>
      <c r="DWD2" s="375" t="s">
        <v>45</v>
      </c>
      <c r="DWE2" s="375" t="s">
        <v>46</v>
      </c>
      <c r="DWF2" s="375" t="s">
        <v>47</v>
      </c>
      <c r="DWG2" s="375" t="s">
        <v>48</v>
      </c>
      <c r="DWH2" s="375" t="s">
        <v>49</v>
      </c>
      <c r="DWI2" s="375" t="s">
        <v>50</v>
      </c>
      <c r="DWJ2" s="375" t="s">
        <v>51</v>
      </c>
      <c r="DWK2" s="375" t="s">
        <v>52</v>
      </c>
      <c r="DWL2" s="375" t="s">
        <v>53</v>
      </c>
      <c r="DWM2" s="375" t="s">
        <v>54</v>
      </c>
      <c r="DWN2" s="375" t="s">
        <v>55</v>
      </c>
      <c r="DWO2" s="375" t="s">
        <v>56</v>
      </c>
      <c r="DWP2" s="375" t="s">
        <v>57</v>
      </c>
      <c r="DWQ2" s="375" t="s">
        <v>58</v>
      </c>
      <c r="DWR2" s="375" t="s">
        <v>59</v>
      </c>
      <c r="DWS2" s="375" t="s">
        <v>60</v>
      </c>
      <c r="DWT2" s="375" t="s">
        <v>61</v>
      </c>
      <c r="DWU2" s="375" t="s">
        <v>62</v>
      </c>
      <c r="DWV2" s="375" t="s">
        <v>63</v>
      </c>
      <c r="DWW2" s="375" t="s">
        <v>64</v>
      </c>
      <c r="DWX2" s="375" t="s">
        <v>65</v>
      </c>
      <c r="DWY2" s="375" t="s">
        <v>66</v>
      </c>
      <c r="DWZ2" s="375" t="s">
        <v>67</v>
      </c>
      <c r="DXA2" s="375" t="s">
        <v>68</v>
      </c>
      <c r="DXB2" s="375" t="s">
        <v>69</v>
      </c>
      <c r="DXC2" s="375" t="s">
        <v>70</v>
      </c>
      <c r="DXD2" s="375" t="s">
        <v>71</v>
      </c>
      <c r="DXE2" s="375" t="s">
        <v>72</v>
      </c>
      <c r="DXF2" s="375" t="s">
        <v>73</v>
      </c>
      <c r="DXG2" s="375" t="s">
        <v>74</v>
      </c>
      <c r="DXH2" s="375" t="s">
        <v>75</v>
      </c>
      <c r="DXI2" s="375" t="s">
        <v>76</v>
      </c>
      <c r="DXJ2" s="375" t="s">
        <v>77</v>
      </c>
      <c r="DXK2" s="375" t="s">
        <v>78</v>
      </c>
      <c r="DXL2" s="375" t="s">
        <v>79</v>
      </c>
      <c r="DXM2" s="375" t="s">
        <v>80</v>
      </c>
      <c r="DXN2" s="375" t="s">
        <v>81</v>
      </c>
      <c r="DXO2" s="375" t="s">
        <v>82</v>
      </c>
      <c r="DXP2" s="375" t="s">
        <v>83</v>
      </c>
      <c r="DXQ2" s="375" t="s">
        <v>83</v>
      </c>
      <c r="DXR2" s="377" t="s">
        <v>1361</v>
      </c>
      <c r="DXS2" s="377" t="s">
        <v>42</v>
      </c>
      <c r="DXT2" s="377" t="s">
        <v>1362</v>
      </c>
      <c r="DXU2" s="377" t="s">
        <v>1363</v>
      </c>
      <c r="DXV2" s="377" t="s">
        <v>45</v>
      </c>
      <c r="DXW2" s="377" t="s">
        <v>46</v>
      </c>
      <c r="DXX2" s="377" t="s">
        <v>47</v>
      </c>
      <c r="DXY2" s="377" t="s">
        <v>48</v>
      </c>
      <c r="DXZ2" s="377" t="s">
        <v>49</v>
      </c>
      <c r="DYA2" s="377" t="s">
        <v>50</v>
      </c>
      <c r="DYB2" s="377" t="s">
        <v>51</v>
      </c>
      <c r="DYC2" s="377" t="s">
        <v>52</v>
      </c>
      <c r="DYD2" s="377" t="s">
        <v>53</v>
      </c>
      <c r="DYE2" s="377" t="s">
        <v>54</v>
      </c>
      <c r="DYF2" s="377" t="s">
        <v>55</v>
      </c>
      <c r="DYG2" s="377" t="s">
        <v>56</v>
      </c>
      <c r="DYH2" s="377" t="s">
        <v>57</v>
      </c>
      <c r="DYI2" s="377" t="s">
        <v>58</v>
      </c>
      <c r="DYJ2" s="377" t="s">
        <v>59</v>
      </c>
      <c r="DYK2" s="377" t="s">
        <v>60</v>
      </c>
      <c r="DYL2" s="377" t="s">
        <v>61</v>
      </c>
      <c r="DYM2" s="377" t="s">
        <v>62</v>
      </c>
      <c r="DYN2" s="377" t="s">
        <v>63</v>
      </c>
      <c r="DYO2" s="377" t="s">
        <v>64</v>
      </c>
      <c r="DYP2" s="377" t="s">
        <v>65</v>
      </c>
      <c r="DYQ2" s="377" t="s">
        <v>66</v>
      </c>
      <c r="DYR2" s="377" t="s">
        <v>67</v>
      </c>
      <c r="DYS2" s="377" t="s">
        <v>68</v>
      </c>
      <c r="DYT2" s="377" t="s">
        <v>69</v>
      </c>
      <c r="DYU2" s="377" t="s">
        <v>70</v>
      </c>
      <c r="DYV2" s="377" t="s">
        <v>71</v>
      </c>
      <c r="DYW2" s="377" t="s">
        <v>72</v>
      </c>
      <c r="DYX2" s="377" t="s">
        <v>73</v>
      </c>
      <c r="DYY2" s="377" t="s">
        <v>74</v>
      </c>
      <c r="DYZ2" s="377" t="s">
        <v>75</v>
      </c>
      <c r="DZA2" s="377" t="s">
        <v>76</v>
      </c>
      <c r="DZB2" s="377" t="s">
        <v>77</v>
      </c>
      <c r="DZC2" s="377" t="s">
        <v>78</v>
      </c>
      <c r="DZD2" s="377" t="s">
        <v>79</v>
      </c>
      <c r="DZE2" s="377" t="s">
        <v>80</v>
      </c>
      <c r="DZF2" s="377" t="s">
        <v>81</v>
      </c>
      <c r="DZG2" s="377" t="s">
        <v>82</v>
      </c>
      <c r="DZH2" s="377" t="s">
        <v>83</v>
      </c>
      <c r="DZI2" s="377" t="s">
        <v>83</v>
      </c>
      <c r="DZJ2" s="375" t="s">
        <v>41</v>
      </c>
      <c r="DZK2" s="375" t="s">
        <v>42</v>
      </c>
      <c r="DZL2" s="375" t="s">
        <v>43</v>
      </c>
      <c r="DZM2" s="375" t="s">
        <v>44</v>
      </c>
      <c r="DZN2" s="375" t="s">
        <v>45</v>
      </c>
      <c r="DZO2" s="375" t="s">
        <v>46</v>
      </c>
      <c r="DZP2" s="375" t="s">
        <v>47</v>
      </c>
      <c r="DZQ2" s="375" t="s">
        <v>48</v>
      </c>
      <c r="DZR2" s="375" t="s">
        <v>49</v>
      </c>
      <c r="DZS2" s="375" t="s">
        <v>50</v>
      </c>
      <c r="DZT2" s="375" t="s">
        <v>51</v>
      </c>
      <c r="DZU2" s="375" t="s">
        <v>52</v>
      </c>
      <c r="DZV2" s="375" t="s">
        <v>53</v>
      </c>
      <c r="DZW2" s="375" t="s">
        <v>54</v>
      </c>
      <c r="DZX2" s="375" t="s">
        <v>55</v>
      </c>
      <c r="DZY2" s="375" t="s">
        <v>56</v>
      </c>
      <c r="DZZ2" s="375" t="s">
        <v>57</v>
      </c>
      <c r="EAA2" s="375" t="s">
        <v>58</v>
      </c>
      <c r="EAB2" s="375" t="s">
        <v>59</v>
      </c>
      <c r="EAC2" s="375" t="s">
        <v>60</v>
      </c>
      <c r="EAD2" s="375" t="s">
        <v>61</v>
      </c>
      <c r="EAE2" s="375" t="s">
        <v>62</v>
      </c>
      <c r="EAF2" s="375" t="s">
        <v>63</v>
      </c>
      <c r="EAG2" s="375" t="s">
        <v>64</v>
      </c>
      <c r="EAH2" s="375" t="s">
        <v>65</v>
      </c>
      <c r="EAI2" s="375" t="s">
        <v>66</v>
      </c>
      <c r="EAJ2" s="375" t="s">
        <v>67</v>
      </c>
      <c r="EAK2" s="375" t="s">
        <v>68</v>
      </c>
      <c r="EAL2" s="375" t="s">
        <v>69</v>
      </c>
      <c r="EAM2" s="375" t="s">
        <v>70</v>
      </c>
      <c r="EAN2" s="375" t="s">
        <v>71</v>
      </c>
      <c r="EAO2" s="375" t="s">
        <v>72</v>
      </c>
      <c r="EAP2" s="375" t="s">
        <v>73</v>
      </c>
      <c r="EAQ2" s="375" t="s">
        <v>74</v>
      </c>
      <c r="EAR2" s="375" t="s">
        <v>75</v>
      </c>
      <c r="EAS2" s="375" t="s">
        <v>76</v>
      </c>
      <c r="EAT2" s="375" t="s">
        <v>77</v>
      </c>
      <c r="EAU2" s="375" t="s">
        <v>78</v>
      </c>
      <c r="EAV2" s="375" t="s">
        <v>79</v>
      </c>
      <c r="EAW2" s="375" t="s">
        <v>80</v>
      </c>
      <c r="EAX2" s="375" t="s">
        <v>81</v>
      </c>
      <c r="EAY2" s="375" t="s">
        <v>82</v>
      </c>
      <c r="EAZ2" s="375" t="s">
        <v>83</v>
      </c>
      <c r="EBA2" s="375" t="s">
        <v>83</v>
      </c>
      <c r="EBB2" s="377" t="s">
        <v>1361</v>
      </c>
      <c r="EBC2" s="377" t="s">
        <v>42</v>
      </c>
      <c r="EBD2" s="377" t="s">
        <v>1362</v>
      </c>
      <c r="EBE2" s="377" t="s">
        <v>1363</v>
      </c>
      <c r="EBF2" s="377" t="s">
        <v>45</v>
      </c>
      <c r="EBG2" s="377" t="s">
        <v>46</v>
      </c>
      <c r="EBH2" s="377" t="s">
        <v>47</v>
      </c>
      <c r="EBI2" s="377" t="s">
        <v>48</v>
      </c>
      <c r="EBJ2" s="377" t="s">
        <v>49</v>
      </c>
      <c r="EBK2" s="377" t="s">
        <v>50</v>
      </c>
      <c r="EBL2" s="377" t="s">
        <v>51</v>
      </c>
      <c r="EBM2" s="377" t="s">
        <v>52</v>
      </c>
      <c r="EBN2" s="377" t="s">
        <v>53</v>
      </c>
      <c r="EBO2" s="377" t="s">
        <v>54</v>
      </c>
      <c r="EBP2" s="377" t="s">
        <v>55</v>
      </c>
      <c r="EBQ2" s="377" t="s">
        <v>56</v>
      </c>
      <c r="EBR2" s="377" t="s">
        <v>57</v>
      </c>
      <c r="EBS2" s="377" t="s">
        <v>58</v>
      </c>
      <c r="EBT2" s="377" t="s">
        <v>59</v>
      </c>
      <c r="EBU2" s="377" t="s">
        <v>60</v>
      </c>
      <c r="EBV2" s="377" t="s">
        <v>61</v>
      </c>
      <c r="EBW2" s="377" t="s">
        <v>62</v>
      </c>
      <c r="EBX2" s="377" t="s">
        <v>63</v>
      </c>
      <c r="EBY2" s="377" t="s">
        <v>64</v>
      </c>
      <c r="EBZ2" s="377" t="s">
        <v>65</v>
      </c>
      <c r="ECA2" s="377" t="s">
        <v>66</v>
      </c>
      <c r="ECB2" s="377" t="s">
        <v>67</v>
      </c>
      <c r="ECC2" s="377" t="s">
        <v>68</v>
      </c>
      <c r="ECD2" s="377" t="s">
        <v>69</v>
      </c>
      <c r="ECE2" s="377" t="s">
        <v>70</v>
      </c>
      <c r="ECF2" s="377" t="s">
        <v>71</v>
      </c>
      <c r="ECG2" s="377" t="s">
        <v>72</v>
      </c>
      <c r="ECH2" s="377" t="s">
        <v>73</v>
      </c>
      <c r="ECI2" s="377" t="s">
        <v>74</v>
      </c>
      <c r="ECJ2" s="377" t="s">
        <v>75</v>
      </c>
      <c r="ECK2" s="377" t="s">
        <v>76</v>
      </c>
      <c r="ECL2" s="377" t="s">
        <v>77</v>
      </c>
      <c r="ECM2" s="377" t="s">
        <v>78</v>
      </c>
      <c r="ECN2" s="377" t="s">
        <v>79</v>
      </c>
      <c r="ECO2" s="377" t="s">
        <v>80</v>
      </c>
      <c r="ECP2" s="377" t="s">
        <v>81</v>
      </c>
      <c r="ECQ2" s="377" t="s">
        <v>82</v>
      </c>
      <c r="ECR2" s="377" t="s">
        <v>83</v>
      </c>
      <c r="ECS2" s="377" t="s">
        <v>83</v>
      </c>
      <c r="ECT2" s="375" t="s">
        <v>41</v>
      </c>
      <c r="ECU2" s="375" t="s">
        <v>42</v>
      </c>
      <c r="ECV2" s="375" t="s">
        <v>43</v>
      </c>
      <c r="ECW2" s="375" t="s">
        <v>44</v>
      </c>
      <c r="ECX2" s="375" t="s">
        <v>45</v>
      </c>
      <c r="ECY2" s="375" t="s">
        <v>46</v>
      </c>
      <c r="ECZ2" s="375" t="s">
        <v>47</v>
      </c>
      <c r="EDA2" s="375" t="s">
        <v>48</v>
      </c>
      <c r="EDB2" s="375" t="s">
        <v>49</v>
      </c>
      <c r="EDC2" s="375" t="s">
        <v>50</v>
      </c>
      <c r="EDD2" s="375" t="s">
        <v>51</v>
      </c>
      <c r="EDE2" s="375" t="s">
        <v>52</v>
      </c>
      <c r="EDF2" s="375" t="s">
        <v>53</v>
      </c>
      <c r="EDG2" s="375" t="s">
        <v>54</v>
      </c>
      <c r="EDH2" s="375" t="s">
        <v>55</v>
      </c>
      <c r="EDI2" s="375" t="s">
        <v>56</v>
      </c>
      <c r="EDJ2" s="375" t="s">
        <v>57</v>
      </c>
      <c r="EDK2" s="375" t="s">
        <v>58</v>
      </c>
      <c r="EDL2" s="375" t="s">
        <v>59</v>
      </c>
      <c r="EDM2" s="375" t="s">
        <v>60</v>
      </c>
      <c r="EDN2" s="375" t="s">
        <v>61</v>
      </c>
      <c r="EDO2" s="375" t="s">
        <v>62</v>
      </c>
      <c r="EDP2" s="375" t="s">
        <v>63</v>
      </c>
      <c r="EDQ2" s="375" t="s">
        <v>64</v>
      </c>
      <c r="EDR2" s="375" t="s">
        <v>65</v>
      </c>
      <c r="EDS2" s="375" t="s">
        <v>66</v>
      </c>
      <c r="EDT2" s="375" t="s">
        <v>67</v>
      </c>
      <c r="EDU2" s="375" t="s">
        <v>68</v>
      </c>
      <c r="EDV2" s="375" t="s">
        <v>69</v>
      </c>
      <c r="EDW2" s="375" t="s">
        <v>70</v>
      </c>
      <c r="EDX2" s="375" t="s">
        <v>71</v>
      </c>
      <c r="EDY2" s="375" t="s">
        <v>72</v>
      </c>
      <c r="EDZ2" s="375" t="s">
        <v>73</v>
      </c>
      <c r="EEA2" s="375" t="s">
        <v>74</v>
      </c>
      <c r="EEB2" s="375" t="s">
        <v>75</v>
      </c>
      <c r="EEC2" s="375" t="s">
        <v>76</v>
      </c>
      <c r="EED2" s="375" t="s">
        <v>77</v>
      </c>
      <c r="EEE2" s="375" t="s">
        <v>78</v>
      </c>
      <c r="EEF2" s="375" t="s">
        <v>79</v>
      </c>
      <c r="EEG2" s="375" t="s">
        <v>80</v>
      </c>
      <c r="EEH2" s="375" t="s">
        <v>81</v>
      </c>
      <c r="EEI2" s="375" t="s">
        <v>82</v>
      </c>
      <c r="EEJ2" s="375" t="s">
        <v>83</v>
      </c>
      <c r="EEK2" s="375" t="s">
        <v>83</v>
      </c>
      <c r="EEL2" s="377" t="s">
        <v>1361</v>
      </c>
      <c r="EEM2" s="377" t="s">
        <v>42</v>
      </c>
      <c r="EEN2" s="377" t="s">
        <v>1362</v>
      </c>
      <c r="EEO2" s="377" t="s">
        <v>1363</v>
      </c>
      <c r="EEP2" s="377" t="s">
        <v>45</v>
      </c>
      <c r="EEQ2" s="377" t="s">
        <v>46</v>
      </c>
      <c r="EER2" s="377" t="s">
        <v>47</v>
      </c>
      <c r="EES2" s="377" t="s">
        <v>48</v>
      </c>
      <c r="EET2" s="377" t="s">
        <v>49</v>
      </c>
      <c r="EEU2" s="377" t="s">
        <v>50</v>
      </c>
      <c r="EEV2" s="377" t="s">
        <v>51</v>
      </c>
      <c r="EEW2" s="377" t="s">
        <v>52</v>
      </c>
      <c r="EEX2" s="377" t="s">
        <v>53</v>
      </c>
      <c r="EEY2" s="377" t="s">
        <v>54</v>
      </c>
      <c r="EEZ2" s="377" t="s">
        <v>55</v>
      </c>
      <c r="EFA2" s="377" t="s">
        <v>56</v>
      </c>
      <c r="EFB2" s="377" t="s">
        <v>57</v>
      </c>
      <c r="EFC2" s="377" t="s">
        <v>58</v>
      </c>
      <c r="EFD2" s="377" t="s">
        <v>59</v>
      </c>
      <c r="EFE2" s="377" t="s">
        <v>60</v>
      </c>
      <c r="EFF2" s="377" t="s">
        <v>61</v>
      </c>
      <c r="EFG2" s="377" t="s">
        <v>62</v>
      </c>
      <c r="EFH2" s="377" t="s">
        <v>63</v>
      </c>
      <c r="EFI2" s="377" t="s">
        <v>64</v>
      </c>
      <c r="EFJ2" s="377" t="s">
        <v>65</v>
      </c>
      <c r="EFK2" s="377" t="s">
        <v>66</v>
      </c>
      <c r="EFL2" s="377" t="s">
        <v>67</v>
      </c>
      <c r="EFM2" s="377" t="s">
        <v>68</v>
      </c>
      <c r="EFN2" s="377" t="s">
        <v>69</v>
      </c>
      <c r="EFO2" s="377" t="s">
        <v>70</v>
      </c>
      <c r="EFP2" s="377" t="s">
        <v>71</v>
      </c>
      <c r="EFQ2" s="377" t="s">
        <v>72</v>
      </c>
      <c r="EFR2" s="377" t="s">
        <v>73</v>
      </c>
      <c r="EFS2" s="377" t="s">
        <v>74</v>
      </c>
      <c r="EFT2" s="377" t="s">
        <v>75</v>
      </c>
      <c r="EFU2" s="377" t="s">
        <v>76</v>
      </c>
      <c r="EFV2" s="377" t="s">
        <v>77</v>
      </c>
      <c r="EFW2" s="377" t="s">
        <v>78</v>
      </c>
      <c r="EFX2" s="377" t="s">
        <v>79</v>
      </c>
      <c r="EFY2" s="377" t="s">
        <v>80</v>
      </c>
      <c r="EFZ2" s="377" t="s">
        <v>81</v>
      </c>
      <c r="EGA2" s="377" t="s">
        <v>82</v>
      </c>
      <c r="EGB2" s="377" t="s">
        <v>83</v>
      </c>
      <c r="EGC2" s="377" t="s">
        <v>83</v>
      </c>
      <c r="EGD2" s="375" t="s">
        <v>41</v>
      </c>
      <c r="EGE2" s="375" t="s">
        <v>42</v>
      </c>
      <c r="EGF2" s="375" t="s">
        <v>43</v>
      </c>
      <c r="EGG2" s="375" t="s">
        <v>44</v>
      </c>
      <c r="EGH2" s="375" t="s">
        <v>45</v>
      </c>
      <c r="EGI2" s="375" t="s">
        <v>46</v>
      </c>
      <c r="EGJ2" s="375" t="s">
        <v>47</v>
      </c>
      <c r="EGK2" s="375" t="s">
        <v>48</v>
      </c>
      <c r="EGL2" s="375" t="s">
        <v>49</v>
      </c>
      <c r="EGM2" s="375" t="s">
        <v>50</v>
      </c>
      <c r="EGN2" s="375" t="s">
        <v>51</v>
      </c>
      <c r="EGO2" s="375" t="s">
        <v>52</v>
      </c>
      <c r="EGP2" s="375" t="s">
        <v>53</v>
      </c>
      <c r="EGQ2" s="375" t="s">
        <v>54</v>
      </c>
      <c r="EGR2" s="375" t="s">
        <v>55</v>
      </c>
      <c r="EGS2" s="375" t="s">
        <v>56</v>
      </c>
      <c r="EGT2" s="375" t="s">
        <v>57</v>
      </c>
      <c r="EGU2" s="375" t="s">
        <v>58</v>
      </c>
      <c r="EGV2" s="375" t="s">
        <v>59</v>
      </c>
      <c r="EGW2" s="375" t="s">
        <v>60</v>
      </c>
      <c r="EGX2" s="375" t="s">
        <v>61</v>
      </c>
      <c r="EGY2" s="375" t="s">
        <v>62</v>
      </c>
      <c r="EGZ2" s="375" t="s">
        <v>63</v>
      </c>
      <c r="EHA2" s="375" t="s">
        <v>64</v>
      </c>
      <c r="EHB2" s="375" t="s">
        <v>65</v>
      </c>
      <c r="EHC2" s="375" t="s">
        <v>66</v>
      </c>
      <c r="EHD2" s="375" t="s">
        <v>67</v>
      </c>
      <c r="EHE2" s="375" t="s">
        <v>68</v>
      </c>
      <c r="EHF2" s="375" t="s">
        <v>69</v>
      </c>
      <c r="EHG2" s="375" t="s">
        <v>70</v>
      </c>
      <c r="EHH2" s="375" t="s">
        <v>71</v>
      </c>
      <c r="EHI2" s="375" t="s">
        <v>72</v>
      </c>
      <c r="EHJ2" s="375" t="s">
        <v>73</v>
      </c>
      <c r="EHK2" s="375" t="s">
        <v>74</v>
      </c>
      <c r="EHL2" s="375" t="s">
        <v>75</v>
      </c>
      <c r="EHM2" s="375" t="s">
        <v>76</v>
      </c>
      <c r="EHN2" s="375" t="s">
        <v>77</v>
      </c>
      <c r="EHO2" s="375" t="s">
        <v>78</v>
      </c>
      <c r="EHP2" s="375" t="s">
        <v>79</v>
      </c>
      <c r="EHQ2" s="375" t="s">
        <v>80</v>
      </c>
      <c r="EHR2" s="375" t="s">
        <v>81</v>
      </c>
      <c r="EHS2" s="375" t="s">
        <v>82</v>
      </c>
      <c r="EHT2" s="375" t="s">
        <v>83</v>
      </c>
      <c r="EHU2" s="375" t="s">
        <v>83</v>
      </c>
      <c r="EHV2" s="377" t="s">
        <v>1361</v>
      </c>
      <c r="EHW2" s="377" t="s">
        <v>42</v>
      </c>
      <c r="EHX2" s="377" t="s">
        <v>1362</v>
      </c>
      <c r="EHY2" s="377" t="s">
        <v>1363</v>
      </c>
      <c r="EHZ2" s="377" t="s">
        <v>45</v>
      </c>
      <c r="EIA2" s="377" t="s">
        <v>46</v>
      </c>
      <c r="EIB2" s="377" t="s">
        <v>47</v>
      </c>
      <c r="EIC2" s="377" t="s">
        <v>48</v>
      </c>
      <c r="EID2" s="377" t="s">
        <v>49</v>
      </c>
      <c r="EIE2" s="377" t="s">
        <v>50</v>
      </c>
      <c r="EIF2" s="377" t="s">
        <v>51</v>
      </c>
      <c r="EIG2" s="377" t="s">
        <v>52</v>
      </c>
      <c r="EIH2" s="377" t="s">
        <v>53</v>
      </c>
      <c r="EII2" s="377" t="s">
        <v>54</v>
      </c>
      <c r="EIJ2" s="377" t="s">
        <v>55</v>
      </c>
      <c r="EIK2" s="377" t="s">
        <v>56</v>
      </c>
      <c r="EIL2" s="377" t="s">
        <v>57</v>
      </c>
      <c r="EIM2" s="377" t="s">
        <v>58</v>
      </c>
      <c r="EIN2" s="377" t="s">
        <v>59</v>
      </c>
      <c r="EIO2" s="377" t="s">
        <v>60</v>
      </c>
      <c r="EIP2" s="377" t="s">
        <v>61</v>
      </c>
      <c r="EIQ2" s="377" t="s">
        <v>62</v>
      </c>
      <c r="EIR2" s="377" t="s">
        <v>63</v>
      </c>
      <c r="EIS2" s="377" t="s">
        <v>64</v>
      </c>
      <c r="EIT2" s="377" t="s">
        <v>65</v>
      </c>
      <c r="EIU2" s="377" t="s">
        <v>66</v>
      </c>
      <c r="EIV2" s="377" t="s">
        <v>67</v>
      </c>
      <c r="EIW2" s="377" t="s">
        <v>68</v>
      </c>
      <c r="EIX2" s="377" t="s">
        <v>69</v>
      </c>
      <c r="EIY2" s="377" t="s">
        <v>70</v>
      </c>
      <c r="EIZ2" s="377" t="s">
        <v>71</v>
      </c>
      <c r="EJA2" s="377" t="s">
        <v>72</v>
      </c>
      <c r="EJB2" s="377" t="s">
        <v>73</v>
      </c>
      <c r="EJC2" s="377" t="s">
        <v>74</v>
      </c>
      <c r="EJD2" s="377" t="s">
        <v>75</v>
      </c>
      <c r="EJE2" s="377" t="s">
        <v>76</v>
      </c>
      <c r="EJF2" s="377" t="s">
        <v>77</v>
      </c>
      <c r="EJG2" s="377" t="s">
        <v>78</v>
      </c>
      <c r="EJH2" s="377" t="s">
        <v>79</v>
      </c>
      <c r="EJI2" s="377" t="s">
        <v>80</v>
      </c>
      <c r="EJJ2" s="377" t="s">
        <v>81</v>
      </c>
      <c r="EJK2" s="377" t="s">
        <v>82</v>
      </c>
      <c r="EJL2" s="377" t="s">
        <v>83</v>
      </c>
      <c r="EJM2" s="377" t="s">
        <v>83</v>
      </c>
      <c r="EJN2" s="375" t="s">
        <v>41</v>
      </c>
      <c r="EJO2" s="375" t="s">
        <v>42</v>
      </c>
      <c r="EJP2" s="375" t="s">
        <v>43</v>
      </c>
      <c r="EJQ2" s="375" t="s">
        <v>44</v>
      </c>
      <c r="EJR2" s="375" t="s">
        <v>45</v>
      </c>
      <c r="EJS2" s="375" t="s">
        <v>46</v>
      </c>
      <c r="EJT2" s="375" t="s">
        <v>47</v>
      </c>
      <c r="EJU2" s="375" t="s">
        <v>48</v>
      </c>
      <c r="EJV2" s="375" t="s">
        <v>49</v>
      </c>
      <c r="EJW2" s="375" t="s">
        <v>50</v>
      </c>
      <c r="EJX2" s="375" t="s">
        <v>51</v>
      </c>
      <c r="EJY2" s="375" t="s">
        <v>52</v>
      </c>
      <c r="EJZ2" s="375" t="s">
        <v>53</v>
      </c>
      <c r="EKA2" s="375" t="s">
        <v>54</v>
      </c>
      <c r="EKB2" s="375" t="s">
        <v>55</v>
      </c>
      <c r="EKC2" s="375" t="s">
        <v>56</v>
      </c>
      <c r="EKD2" s="375" t="s">
        <v>57</v>
      </c>
      <c r="EKE2" s="375" t="s">
        <v>58</v>
      </c>
      <c r="EKF2" s="375" t="s">
        <v>59</v>
      </c>
      <c r="EKG2" s="375" t="s">
        <v>60</v>
      </c>
      <c r="EKH2" s="375" t="s">
        <v>61</v>
      </c>
      <c r="EKI2" s="375" t="s">
        <v>62</v>
      </c>
      <c r="EKJ2" s="375" t="s">
        <v>63</v>
      </c>
      <c r="EKK2" s="375" t="s">
        <v>64</v>
      </c>
      <c r="EKL2" s="375" t="s">
        <v>65</v>
      </c>
      <c r="EKM2" s="375" t="s">
        <v>66</v>
      </c>
      <c r="EKN2" s="375" t="s">
        <v>67</v>
      </c>
      <c r="EKO2" s="375" t="s">
        <v>68</v>
      </c>
      <c r="EKP2" s="375" t="s">
        <v>69</v>
      </c>
      <c r="EKQ2" s="375" t="s">
        <v>70</v>
      </c>
      <c r="EKR2" s="375" t="s">
        <v>71</v>
      </c>
      <c r="EKS2" s="375" t="s">
        <v>72</v>
      </c>
      <c r="EKT2" s="375" t="s">
        <v>73</v>
      </c>
      <c r="EKU2" s="375" t="s">
        <v>74</v>
      </c>
      <c r="EKV2" s="375" t="s">
        <v>75</v>
      </c>
      <c r="EKW2" s="375" t="s">
        <v>76</v>
      </c>
      <c r="EKX2" s="375" t="s">
        <v>77</v>
      </c>
      <c r="EKY2" s="375" t="s">
        <v>78</v>
      </c>
      <c r="EKZ2" s="375" t="s">
        <v>79</v>
      </c>
      <c r="ELA2" s="375" t="s">
        <v>80</v>
      </c>
      <c r="ELB2" s="375" t="s">
        <v>81</v>
      </c>
      <c r="ELC2" s="375" t="s">
        <v>82</v>
      </c>
      <c r="ELD2" s="375" t="s">
        <v>83</v>
      </c>
      <c r="ELE2" s="375" t="s">
        <v>83</v>
      </c>
      <c r="ELF2" s="377" t="s">
        <v>1361</v>
      </c>
      <c r="ELG2" s="377" t="s">
        <v>42</v>
      </c>
      <c r="ELH2" s="377" t="s">
        <v>1362</v>
      </c>
      <c r="ELI2" s="377" t="s">
        <v>1363</v>
      </c>
      <c r="ELJ2" s="377" t="s">
        <v>45</v>
      </c>
      <c r="ELK2" s="377" t="s">
        <v>46</v>
      </c>
      <c r="ELL2" s="377" t="s">
        <v>47</v>
      </c>
      <c r="ELM2" s="377" t="s">
        <v>48</v>
      </c>
      <c r="ELN2" s="377" t="s">
        <v>49</v>
      </c>
      <c r="ELO2" s="377" t="s">
        <v>50</v>
      </c>
      <c r="ELP2" s="377" t="s">
        <v>51</v>
      </c>
      <c r="ELQ2" s="377" t="s">
        <v>52</v>
      </c>
      <c r="ELR2" s="377" t="s">
        <v>53</v>
      </c>
      <c r="ELS2" s="377" t="s">
        <v>54</v>
      </c>
      <c r="ELT2" s="377" t="s">
        <v>55</v>
      </c>
      <c r="ELU2" s="377" t="s">
        <v>56</v>
      </c>
      <c r="ELV2" s="377" t="s">
        <v>57</v>
      </c>
      <c r="ELW2" s="377" t="s">
        <v>58</v>
      </c>
      <c r="ELX2" s="377" t="s">
        <v>59</v>
      </c>
      <c r="ELY2" s="377" t="s">
        <v>60</v>
      </c>
      <c r="ELZ2" s="377" t="s">
        <v>61</v>
      </c>
      <c r="EMA2" s="377" t="s">
        <v>62</v>
      </c>
      <c r="EMB2" s="377" t="s">
        <v>63</v>
      </c>
      <c r="EMC2" s="377" t="s">
        <v>64</v>
      </c>
      <c r="EMD2" s="377" t="s">
        <v>65</v>
      </c>
      <c r="EME2" s="377" t="s">
        <v>66</v>
      </c>
      <c r="EMF2" s="377" t="s">
        <v>67</v>
      </c>
      <c r="EMG2" s="377" t="s">
        <v>68</v>
      </c>
      <c r="EMH2" s="377" t="s">
        <v>69</v>
      </c>
      <c r="EMI2" s="377" t="s">
        <v>70</v>
      </c>
      <c r="EMJ2" s="377" t="s">
        <v>71</v>
      </c>
      <c r="EMK2" s="377" t="s">
        <v>72</v>
      </c>
      <c r="EML2" s="377" t="s">
        <v>73</v>
      </c>
      <c r="EMM2" s="377" t="s">
        <v>74</v>
      </c>
      <c r="EMN2" s="377" t="s">
        <v>75</v>
      </c>
      <c r="EMO2" s="377" t="s">
        <v>76</v>
      </c>
      <c r="EMP2" s="377" t="s">
        <v>77</v>
      </c>
      <c r="EMQ2" s="377" t="s">
        <v>78</v>
      </c>
      <c r="EMR2" s="377" t="s">
        <v>79</v>
      </c>
      <c r="EMS2" s="377" t="s">
        <v>80</v>
      </c>
      <c r="EMT2" s="377" t="s">
        <v>81</v>
      </c>
      <c r="EMU2" s="377" t="s">
        <v>82</v>
      </c>
      <c r="EMV2" s="377" t="s">
        <v>83</v>
      </c>
      <c r="EMW2" s="377" t="s">
        <v>83</v>
      </c>
      <c r="EMX2" s="375" t="s">
        <v>41</v>
      </c>
      <c r="EMY2" s="375" t="s">
        <v>42</v>
      </c>
      <c r="EMZ2" s="375" t="s">
        <v>43</v>
      </c>
      <c r="ENA2" s="375" t="s">
        <v>44</v>
      </c>
      <c r="ENB2" s="375" t="s">
        <v>45</v>
      </c>
      <c r="ENC2" s="375" t="s">
        <v>46</v>
      </c>
      <c r="END2" s="375" t="s">
        <v>47</v>
      </c>
      <c r="ENE2" s="375" t="s">
        <v>48</v>
      </c>
      <c r="ENF2" s="375" t="s">
        <v>49</v>
      </c>
      <c r="ENG2" s="375" t="s">
        <v>50</v>
      </c>
      <c r="ENH2" s="375" t="s">
        <v>51</v>
      </c>
      <c r="ENI2" s="375" t="s">
        <v>52</v>
      </c>
      <c r="ENJ2" s="375" t="s">
        <v>53</v>
      </c>
      <c r="ENK2" s="375" t="s">
        <v>54</v>
      </c>
      <c r="ENL2" s="375" t="s">
        <v>55</v>
      </c>
      <c r="ENM2" s="375" t="s">
        <v>56</v>
      </c>
      <c r="ENN2" s="375" t="s">
        <v>57</v>
      </c>
      <c r="ENO2" s="375" t="s">
        <v>58</v>
      </c>
      <c r="ENP2" s="375" t="s">
        <v>59</v>
      </c>
      <c r="ENQ2" s="375" t="s">
        <v>60</v>
      </c>
      <c r="ENR2" s="375" t="s">
        <v>61</v>
      </c>
      <c r="ENS2" s="375" t="s">
        <v>62</v>
      </c>
      <c r="ENT2" s="375" t="s">
        <v>63</v>
      </c>
      <c r="ENU2" s="375" t="s">
        <v>64</v>
      </c>
      <c r="ENV2" s="375" t="s">
        <v>65</v>
      </c>
      <c r="ENW2" s="375" t="s">
        <v>66</v>
      </c>
      <c r="ENX2" s="375" t="s">
        <v>67</v>
      </c>
      <c r="ENY2" s="375" t="s">
        <v>68</v>
      </c>
      <c r="ENZ2" s="375" t="s">
        <v>69</v>
      </c>
      <c r="EOA2" s="375" t="s">
        <v>70</v>
      </c>
      <c r="EOB2" s="375" t="s">
        <v>71</v>
      </c>
      <c r="EOC2" s="375" t="s">
        <v>72</v>
      </c>
      <c r="EOD2" s="375" t="s">
        <v>73</v>
      </c>
      <c r="EOE2" s="375" t="s">
        <v>74</v>
      </c>
      <c r="EOF2" s="375" t="s">
        <v>75</v>
      </c>
      <c r="EOG2" s="375" t="s">
        <v>76</v>
      </c>
      <c r="EOH2" s="375" t="s">
        <v>77</v>
      </c>
      <c r="EOI2" s="375" t="s">
        <v>78</v>
      </c>
      <c r="EOJ2" s="375" t="s">
        <v>79</v>
      </c>
      <c r="EOK2" s="375" t="s">
        <v>80</v>
      </c>
      <c r="EOL2" s="375" t="s">
        <v>81</v>
      </c>
      <c r="EOM2" s="375" t="s">
        <v>82</v>
      </c>
      <c r="EON2" s="375" t="s">
        <v>83</v>
      </c>
      <c r="EOO2" s="375" t="s">
        <v>83</v>
      </c>
      <c r="EOP2" s="377" t="s">
        <v>1361</v>
      </c>
      <c r="EOQ2" s="377" t="s">
        <v>42</v>
      </c>
      <c r="EOR2" s="377" t="s">
        <v>1362</v>
      </c>
      <c r="EOS2" s="377" t="s">
        <v>1363</v>
      </c>
      <c r="EOT2" s="377" t="s">
        <v>45</v>
      </c>
      <c r="EOU2" s="377" t="s">
        <v>46</v>
      </c>
      <c r="EOV2" s="377" t="s">
        <v>47</v>
      </c>
      <c r="EOW2" s="377" t="s">
        <v>48</v>
      </c>
      <c r="EOX2" s="377" t="s">
        <v>49</v>
      </c>
      <c r="EOY2" s="377" t="s">
        <v>50</v>
      </c>
      <c r="EOZ2" s="377" t="s">
        <v>51</v>
      </c>
      <c r="EPA2" s="377" t="s">
        <v>52</v>
      </c>
      <c r="EPB2" s="377" t="s">
        <v>53</v>
      </c>
      <c r="EPC2" s="377" t="s">
        <v>54</v>
      </c>
      <c r="EPD2" s="377" t="s">
        <v>55</v>
      </c>
      <c r="EPE2" s="377" t="s">
        <v>56</v>
      </c>
      <c r="EPF2" s="377" t="s">
        <v>57</v>
      </c>
      <c r="EPG2" s="377" t="s">
        <v>58</v>
      </c>
      <c r="EPH2" s="377" t="s">
        <v>59</v>
      </c>
      <c r="EPI2" s="377" t="s">
        <v>60</v>
      </c>
      <c r="EPJ2" s="377" t="s">
        <v>61</v>
      </c>
      <c r="EPK2" s="377" t="s">
        <v>62</v>
      </c>
      <c r="EPL2" s="377" t="s">
        <v>63</v>
      </c>
      <c r="EPM2" s="377" t="s">
        <v>64</v>
      </c>
      <c r="EPN2" s="377" t="s">
        <v>65</v>
      </c>
      <c r="EPO2" s="377" t="s">
        <v>66</v>
      </c>
      <c r="EPP2" s="377" t="s">
        <v>67</v>
      </c>
      <c r="EPQ2" s="377" t="s">
        <v>68</v>
      </c>
      <c r="EPR2" s="377" t="s">
        <v>69</v>
      </c>
      <c r="EPS2" s="377" t="s">
        <v>70</v>
      </c>
      <c r="EPT2" s="377" t="s">
        <v>71</v>
      </c>
      <c r="EPU2" s="377" t="s">
        <v>72</v>
      </c>
      <c r="EPV2" s="377" t="s">
        <v>73</v>
      </c>
      <c r="EPW2" s="377" t="s">
        <v>74</v>
      </c>
      <c r="EPX2" s="377" t="s">
        <v>75</v>
      </c>
      <c r="EPY2" s="377" t="s">
        <v>76</v>
      </c>
      <c r="EPZ2" s="377" t="s">
        <v>77</v>
      </c>
      <c r="EQA2" s="377" t="s">
        <v>78</v>
      </c>
      <c r="EQB2" s="377" t="s">
        <v>79</v>
      </c>
      <c r="EQC2" s="377" t="s">
        <v>80</v>
      </c>
      <c r="EQD2" s="377" t="s">
        <v>81</v>
      </c>
      <c r="EQE2" s="377" t="s">
        <v>82</v>
      </c>
      <c r="EQF2" s="377" t="s">
        <v>83</v>
      </c>
      <c r="EQG2" s="377" t="s">
        <v>83</v>
      </c>
      <c r="EQH2" s="375" t="s">
        <v>41</v>
      </c>
      <c r="EQI2" s="375" t="s">
        <v>42</v>
      </c>
      <c r="EQJ2" s="375" t="s">
        <v>43</v>
      </c>
      <c r="EQK2" s="375" t="s">
        <v>44</v>
      </c>
      <c r="EQL2" s="375" t="s">
        <v>45</v>
      </c>
      <c r="EQM2" s="375" t="s">
        <v>46</v>
      </c>
      <c r="EQN2" s="375" t="s">
        <v>47</v>
      </c>
      <c r="EQO2" s="375" t="s">
        <v>48</v>
      </c>
      <c r="EQP2" s="375" t="s">
        <v>49</v>
      </c>
      <c r="EQQ2" s="375" t="s">
        <v>50</v>
      </c>
      <c r="EQR2" s="375" t="s">
        <v>51</v>
      </c>
      <c r="EQS2" s="375" t="s">
        <v>52</v>
      </c>
      <c r="EQT2" s="375" t="s">
        <v>53</v>
      </c>
      <c r="EQU2" s="375" t="s">
        <v>54</v>
      </c>
      <c r="EQV2" s="375" t="s">
        <v>55</v>
      </c>
      <c r="EQW2" s="375" t="s">
        <v>56</v>
      </c>
      <c r="EQX2" s="375" t="s">
        <v>57</v>
      </c>
      <c r="EQY2" s="375" t="s">
        <v>58</v>
      </c>
      <c r="EQZ2" s="375" t="s">
        <v>59</v>
      </c>
      <c r="ERA2" s="375" t="s">
        <v>60</v>
      </c>
      <c r="ERB2" s="375" t="s">
        <v>61</v>
      </c>
      <c r="ERC2" s="375" t="s">
        <v>62</v>
      </c>
      <c r="ERD2" s="375" t="s">
        <v>63</v>
      </c>
      <c r="ERE2" s="375" t="s">
        <v>64</v>
      </c>
      <c r="ERF2" s="375" t="s">
        <v>65</v>
      </c>
      <c r="ERG2" s="375" t="s">
        <v>66</v>
      </c>
      <c r="ERH2" s="375" t="s">
        <v>67</v>
      </c>
      <c r="ERI2" s="375" t="s">
        <v>68</v>
      </c>
      <c r="ERJ2" s="375" t="s">
        <v>69</v>
      </c>
      <c r="ERK2" s="375" t="s">
        <v>70</v>
      </c>
      <c r="ERL2" s="375" t="s">
        <v>71</v>
      </c>
      <c r="ERM2" s="375" t="s">
        <v>72</v>
      </c>
      <c r="ERN2" s="375" t="s">
        <v>73</v>
      </c>
      <c r="ERO2" s="375" t="s">
        <v>74</v>
      </c>
      <c r="ERP2" s="375" t="s">
        <v>75</v>
      </c>
      <c r="ERQ2" s="375" t="s">
        <v>76</v>
      </c>
      <c r="ERR2" s="375" t="s">
        <v>77</v>
      </c>
      <c r="ERS2" s="375" t="s">
        <v>78</v>
      </c>
      <c r="ERT2" s="375" t="s">
        <v>79</v>
      </c>
      <c r="ERU2" s="375" t="s">
        <v>80</v>
      </c>
      <c r="ERV2" s="375" t="s">
        <v>81</v>
      </c>
      <c r="ERW2" s="375" t="s">
        <v>82</v>
      </c>
      <c r="ERX2" s="375" t="s">
        <v>83</v>
      </c>
      <c r="ERY2" s="375" t="s">
        <v>83</v>
      </c>
      <c r="ERZ2" s="377" t="s">
        <v>1361</v>
      </c>
      <c r="ESA2" s="377" t="s">
        <v>42</v>
      </c>
      <c r="ESB2" s="377" t="s">
        <v>1362</v>
      </c>
      <c r="ESC2" s="377" t="s">
        <v>1363</v>
      </c>
      <c r="ESD2" s="377" t="s">
        <v>45</v>
      </c>
      <c r="ESE2" s="377" t="s">
        <v>46</v>
      </c>
      <c r="ESF2" s="377" t="s">
        <v>47</v>
      </c>
      <c r="ESG2" s="377" t="s">
        <v>48</v>
      </c>
      <c r="ESH2" s="377" t="s">
        <v>49</v>
      </c>
      <c r="ESI2" s="377" t="s">
        <v>50</v>
      </c>
      <c r="ESJ2" s="377" t="s">
        <v>51</v>
      </c>
      <c r="ESK2" s="377" t="s">
        <v>52</v>
      </c>
      <c r="ESL2" s="377" t="s">
        <v>53</v>
      </c>
      <c r="ESM2" s="377" t="s">
        <v>54</v>
      </c>
      <c r="ESN2" s="377" t="s">
        <v>55</v>
      </c>
      <c r="ESO2" s="377" t="s">
        <v>56</v>
      </c>
      <c r="ESP2" s="377" t="s">
        <v>57</v>
      </c>
      <c r="ESQ2" s="377" t="s">
        <v>58</v>
      </c>
      <c r="ESR2" s="377" t="s">
        <v>59</v>
      </c>
      <c r="ESS2" s="377" t="s">
        <v>60</v>
      </c>
      <c r="EST2" s="377" t="s">
        <v>61</v>
      </c>
      <c r="ESU2" s="377" t="s">
        <v>62</v>
      </c>
      <c r="ESV2" s="377" t="s">
        <v>63</v>
      </c>
      <c r="ESW2" s="377" t="s">
        <v>64</v>
      </c>
      <c r="ESX2" s="377" t="s">
        <v>65</v>
      </c>
      <c r="ESY2" s="377" t="s">
        <v>66</v>
      </c>
      <c r="ESZ2" s="377" t="s">
        <v>67</v>
      </c>
      <c r="ETA2" s="377" t="s">
        <v>68</v>
      </c>
      <c r="ETB2" s="377" t="s">
        <v>69</v>
      </c>
      <c r="ETC2" s="377" t="s">
        <v>70</v>
      </c>
      <c r="ETD2" s="377" t="s">
        <v>71</v>
      </c>
      <c r="ETE2" s="377" t="s">
        <v>72</v>
      </c>
      <c r="ETF2" s="377" t="s">
        <v>73</v>
      </c>
      <c r="ETG2" s="377" t="s">
        <v>74</v>
      </c>
      <c r="ETH2" s="377" t="s">
        <v>75</v>
      </c>
      <c r="ETI2" s="377" t="s">
        <v>76</v>
      </c>
      <c r="ETJ2" s="377" t="s">
        <v>77</v>
      </c>
      <c r="ETK2" s="377" t="s">
        <v>78</v>
      </c>
      <c r="ETL2" s="377" t="s">
        <v>79</v>
      </c>
      <c r="ETM2" s="377" t="s">
        <v>80</v>
      </c>
      <c r="ETN2" s="377" t="s">
        <v>81</v>
      </c>
      <c r="ETO2" s="377" t="s">
        <v>82</v>
      </c>
      <c r="ETP2" s="377" t="s">
        <v>83</v>
      </c>
      <c r="ETQ2" s="377" t="s">
        <v>83</v>
      </c>
      <c r="ETR2" s="375" t="s">
        <v>41</v>
      </c>
      <c r="ETS2" s="375" t="s">
        <v>42</v>
      </c>
      <c r="ETT2" s="375" t="s">
        <v>43</v>
      </c>
      <c r="ETU2" s="375" t="s">
        <v>44</v>
      </c>
      <c r="ETV2" s="375" t="s">
        <v>45</v>
      </c>
      <c r="ETW2" s="375" t="s">
        <v>46</v>
      </c>
      <c r="ETX2" s="375" t="s">
        <v>47</v>
      </c>
      <c r="ETY2" s="375" t="s">
        <v>48</v>
      </c>
      <c r="ETZ2" s="375" t="s">
        <v>49</v>
      </c>
      <c r="EUA2" s="375" t="s">
        <v>50</v>
      </c>
      <c r="EUB2" s="375" t="s">
        <v>51</v>
      </c>
      <c r="EUC2" s="375" t="s">
        <v>52</v>
      </c>
      <c r="EUD2" s="375" t="s">
        <v>53</v>
      </c>
      <c r="EUE2" s="375" t="s">
        <v>54</v>
      </c>
      <c r="EUF2" s="375" t="s">
        <v>55</v>
      </c>
      <c r="EUG2" s="375" t="s">
        <v>56</v>
      </c>
      <c r="EUH2" s="375" t="s">
        <v>57</v>
      </c>
      <c r="EUI2" s="375" t="s">
        <v>58</v>
      </c>
      <c r="EUJ2" s="375" t="s">
        <v>59</v>
      </c>
      <c r="EUK2" s="375" t="s">
        <v>60</v>
      </c>
      <c r="EUL2" s="375" t="s">
        <v>61</v>
      </c>
      <c r="EUM2" s="375" t="s">
        <v>62</v>
      </c>
      <c r="EUN2" s="375" t="s">
        <v>63</v>
      </c>
      <c r="EUO2" s="375" t="s">
        <v>64</v>
      </c>
      <c r="EUP2" s="375" t="s">
        <v>65</v>
      </c>
      <c r="EUQ2" s="375" t="s">
        <v>66</v>
      </c>
      <c r="EUR2" s="375" t="s">
        <v>67</v>
      </c>
      <c r="EUS2" s="375" t="s">
        <v>68</v>
      </c>
      <c r="EUT2" s="375" t="s">
        <v>69</v>
      </c>
      <c r="EUU2" s="375" t="s">
        <v>70</v>
      </c>
      <c r="EUV2" s="375" t="s">
        <v>71</v>
      </c>
      <c r="EUW2" s="375" t="s">
        <v>72</v>
      </c>
      <c r="EUX2" s="375" t="s">
        <v>73</v>
      </c>
      <c r="EUY2" s="375" t="s">
        <v>74</v>
      </c>
      <c r="EUZ2" s="375" t="s">
        <v>75</v>
      </c>
      <c r="EVA2" s="375" t="s">
        <v>76</v>
      </c>
      <c r="EVB2" s="375" t="s">
        <v>77</v>
      </c>
      <c r="EVC2" s="375" t="s">
        <v>78</v>
      </c>
      <c r="EVD2" s="375" t="s">
        <v>79</v>
      </c>
      <c r="EVE2" s="375" t="s">
        <v>80</v>
      </c>
      <c r="EVF2" s="375" t="s">
        <v>81</v>
      </c>
      <c r="EVG2" s="375" t="s">
        <v>82</v>
      </c>
      <c r="EVH2" s="375" t="s">
        <v>83</v>
      </c>
      <c r="EVI2" s="375" t="s">
        <v>83</v>
      </c>
    </row>
    <row r="3" spans="1:3961" x14ac:dyDescent="0.3">
      <c r="A3" s="423" t="s">
        <v>95</v>
      </c>
      <c r="B3" s="30" t="str">
        <f>'REG y VAL POE - AESR - ESR'!B83</f>
        <v>Ibanez Hernandez Dagoberto</v>
      </c>
      <c r="C3" s="29">
        <f>'REG y VAL POE - AESR - ESR'!C83</f>
        <v>0</v>
      </c>
      <c r="D3" s="28">
        <f>'REG y VAL POE - AESR - ESR'!D83</f>
        <v>23140454</v>
      </c>
      <c r="E3" s="29">
        <f>'REG y VAL POE - AESR - ESR'!E83</f>
        <v>0</v>
      </c>
      <c r="F3" s="28">
        <f>'REG y VAL POE - AESR - ESR'!F83</f>
        <v>0</v>
      </c>
      <c r="G3" s="31">
        <f>'REG y VAL POE - AESR - ESR'!G83</f>
        <v>0</v>
      </c>
      <c r="H3" s="31">
        <f>'REG y VAL POE - AESR - ESR'!H83</f>
        <v>365</v>
      </c>
      <c r="I3" s="29" t="str">
        <f>'REG y VAL POE - AESR - ESR'!I83</f>
        <v>SI</v>
      </c>
      <c r="J3" s="29" t="str">
        <f>'REG y VAL POE - AESR - ESR'!J83</f>
        <v>Vigente</v>
      </c>
      <c r="K3" s="29" t="str">
        <f>'REG y VAL POE - AESR - ESR'!K83</f>
        <v>SI</v>
      </c>
      <c r="L3" s="29" t="str">
        <f>'REG y VAL POE - AESR - ESR'!L83</f>
        <v>Vigente</v>
      </c>
      <c r="M3" s="29" t="str">
        <f>'REG y VAL POE - AESR - ESR'!M83</f>
        <v>NO</v>
      </c>
      <c r="N3" s="29" t="str">
        <f>'REG y VAL POE - AESR - ESR'!N83</f>
        <v>Apendice ByC no llenos-c/historial aparte-falta firma RL</v>
      </c>
      <c r="O3" s="29" t="str">
        <f>'REG y VAL POE - AESR - ESR'!O83</f>
        <v>SI</v>
      </c>
      <c r="P3" s="29" t="str">
        <f>'REG y VAL POE - AESR - ESR'!P83</f>
        <v>SI</v>
      </c>
      <c r="Q3" s="29" t="str">
        <f>'REG y VAL POE - AESR - ESR'!Q83</f>
        <v>SI</v>
      </c>
      <c r="R3" s="29" t="str">
        <f>'REG y VAL POE - AESR - ESR'!R83</f>
        <v>SI</v>
      </c>
      <c r="S3" s="29" t="str">
        <f>'REG y VAL POE - AESR - ESR'!S83</f>
        <v>SI</v>
      </c>
      <c r="T3" s="29" t="str">
        <f>'REG y VAL POE - AESR - ESR'!T83</f>
        <v>SI</v>
      </c>
      <c r="U3" s="29" t="str">
        <f>'REG y VAL POE - AESR - ESR'!U83</f>
        <v>SI</v>
      </c>
      <c r="V3" s="29" t="str">
        <f>'REG y VAL POE - AESR - ESR'!V83</f>
        <v>SI</v>
      </c>
      <c r="W3" s="29">
        <f>'REG y VAL POE - AESR - ESR'!W83</f>
        <v>0</v>
      </c>
      <c r="X3" s="29">
        <f>'REG y VAL POE - AESR - ESR'!X83</f>
        <v>0</v>
      </c>
      <c r="Y3" s="29">
        <f>'REG y VAL POE - AESR - ESR'!Y83</f>
        <v>0</v>
      </c>
      <c r="Z3" s="29">
        <f>'REG y VAL POE - AESR - ESR'!Z83</f>
        <v>0</v>
      </c>
      <c r="AA3" s="29">
        <f>'REG y VAL POE - AESR - ESR'!AA83</f>
        <v>0</v>
      </c>
      <c r="AB3" s="29">
        <f>'REG y VAL POE - AESR - ESR'!AB83</f>
        <v>0</v>
      </c>
      <c r="AC3" s="29">
        <f>'REG y VAL POE - AESR - ESR'!AC83</f>
        <v>0</v>
      </c>
      <c r="AD3" s="29">
        <f>'REG y VAL POE - AESR - ESR'!AD83</f>
        <v>0</v>
      </c>
      <c r="AE3" s="29">
        <f>'REG y VAL POE - AESR - ESR'!AE83</f>
        <v>0</v>
      </c>
      <c r="AF3" s="29" t="str">
        <f>'REG y VAL POE - AESR - ESR'!AF83</f>
        <v>SI</v>
      </c>
      <c r="AG3" s="29">
        <f>'REG y VAL POE - AESR - ESR'!AG83</f>
        <v>0</v>
      </c>
      <c r="AH3" s="29">
        <f>'REG y VAL POE - AESR - ESR'!AH83</f>
        <v>0</v>
      </c>
      <c r="AI3" s="29">
        <f>'REG y VAL POE - AESR - ESR'!AI83</f>
        <v>0</v>
      </c>
      <c r="AJ3" s="29">
        <f>'REG y VAL POE - AESR - ESR'!AJ83</f>
        <v>0</v>
      </c>
      <c r="AK3" s="29">
        <f>'REG y VAL POE - AESR - ESR'!AK83</f>
        <v>0</v>
      </c>
      <c r="AL3" s="29">
        <f>'REG y VAL POE - AESR - ESR'!AL83</f>
        <v>0</v>
      </c>
      <c r="AM3" s="29">
        <f>'REG y VAL POE - AESR - ESR'!AM83</f>
        <v>0</v>
      </c>
      <c r="AN3" s="29">
        <f>'REG y VAL POE - AESR - ESR'!AN83</f>
        <v>0</v>
      </c>
      <c r="AO3" s="29">
        <f>'REG y VAL POE - AESR - ESR'!AO83</f>
        <v>0</v>
      </c>
      <c r="AP3" s="29">
        <f>'REG y VAL POE - AESR - ESR'!AP83</f>
        <v>0</v>
      </c>
      <c r="AQ3" s="29">
        <f>'REG y VAL POE - AESR - ESR'!AQ83</f>
        <v>0</v>
      </c>
      <c r="AR3" s="29">
        <f>'REG y VAL POE - AESR - ESR'!AR83</f>
        <v>0</v>
      </c>
      <c r="AS3" s="29">
        <f>'REG y VAL POE - AESR - ESR'!AS83</f>
        <v>0</v>
      </c>
      <c r="AT3" s="30" t="str">
        <f>'REG y VAL POE - AESR - ESR'!B84</f>
        <v xml:space="preserve">Nava Morales Ivan </v>
      </c>
      <c r="AU3" s="29" t="str">
        <f>'REG y VAL POE - AESR - ESR'!C84</f>
        <v>Sin Registro</v>
      </c>
      <c r="AV3" s="28">
        <f>'REG y VAL POE - AESR - ESR'!D84</f>
        <v>23143948</v>
      </c>
      <c r="AW3" s="29">
        <f>'REG y VAL POE - AESR - ESR'!E84</f>
        <v>0</v>
      </c>
      <c r="AX3" s="28">
        <f>'REG y VAL POE - AESR - ESR'!F84</f>
        <v>0</v>
      </c>
      <c r="AY3" s="31">
        <f>'REG y VAL POE - AESR - ESR'!G84</f>
        <v>0</v>
      </c>
      <c r="AZ3" s="31">
        <f>'REG y VAL POE - AESR - ESR'!H84</f>
        <v>0</v>
      </c>
      <c r="BA3" s="29">
        <f>'REG y VAL POE - AESR - ESR'!I84</f>
        <v>0</v>
      </c>
      <c r="BB3" s="29">
        <f>'REG y VAL POE - AESR - ESR'!J84</f>
        <v>0</v>
      </c>
      <c r="BC3" s="29">
        <f>'REG y VAL POE - AESR - ESR'!K84</f>
        <v>0</v>
      </c>
      <c r="BD3" s="29">
        <f>'REG y VAL POE - AESR - ESR'!L84</f>
        <v>0</v>
      </c>
      <c r="BE3" s="29">
        <f>'REG y VAL POE - AESR - ESR'!M84</f>
        <v>0</v>
      </c>
      <c r="BF3" s="29">
        <f>'REG y VAL POE - AESR - ESR'!N84</f>
        <v>0</v>
      </c>
      <c r="BG3" s="29">
        <f>'REG y VAL POE - AESR - ESR'!O84</f>
        <v>0</v>
      </c>
      <c r="BH3" s="29">
        <f>'REG y VAL POE - AESR - ESR'!P84</f>
        <v>0</v>
      </c>
      <c r="BI3" s="29">
        <f>'REG y VAL POE - AESR - ESR'!Q84</f>
        <v>0</v>
      </c>
      <c r="BJ3" s="29">
        <f>'REG y VAL POE - AESR - ESR'!R84</f>
        <v>0</v>
      </c>
      <c r="BK3" s="29">
        <f>'REG y VAL POE - AESR - ESR'!S84</f>
        <v>0</v>
      </c>
      <c r="BL3" s="29">
        <f>'REG y VAL POE - AESR - ESR'!T84</f>
        <v>0</v>
      </c>
      <c r="BM3" s="29">
        <f>'REG y VAL POE - AESR - ESR'!U84</f>
        <v>0</v>
      </c>
      <c r="BN3" s="29">
        <f>'REG y VAL POE - AESR - ESR'!V84</f>
        <v>0</v>
      </c>
      <c r="BO3" s="29">
        <f>'REG y VAL POE - AESR - ESR'!W84</f>
        <v>0</v>
      </c>
      <c r="BP3" s="29">
        <f>'REG y VAL POE - AESR - ESR'!X84</f>
        <v>0</v>
      </c>
      <c r="BQ3" s="29">
        <f>'REG y VAL POE - AESR - ESR'!Y84</f>
        <v>0</v>
      </c>
      <c r="BR3" s="29">
        <f>'REG y VAL POE - AESR - ESR'!Z84</f>
        <v>0</v>
      </c>
      <c r="BS3" s="29">
        <f>'REG y VAL POE - AESR - ESR'!AA84</f>
        <v>0</v>
      </c>
      <c r="BT3" s="29">
        <f>'REG y VAL POE - AESR - ESR'!AB84</f>
        <v>0</v>
      </c>
      <c r="BU3" s="29">
        <f>'REG y VAL POE - AESR - ESR'!AC84</f>
        <v>0</v>
      </c>
      <c r="BV3" s="29">
        <f>'REG y VAL POE - AESR - ESR'!AD84</f>
        <v>0</v>
      </c>
      <c r="BW3" s="29">
        <f>'REG y VAL POE - AESR - ESR'!AE84</f>
        <v>0</v>
      </c>
      <c r="BX3" s="29">
        <f>'REG y VAL POE - AESR - ESR'!AF84</f>
        <v>0</v>
      </c>
      <c r="BY3" s="29">
        <f>'REG y VAL POE - AESR - ESR'!AG84</f>
        <v>0</v>
      </c>
      <c r="BZ3" s="29">
        <f>'REG y VAL POE - AESR - ESR'!AH84</f>
        <v>0</v>
      </c>
      <c r="CA3" s="29">
        <f>'REG y VAL POE - AESR - ESR'!AI84</f>
        <v>0</v>
      </c>
      <c r="CB3" s="29">
        <f>'REG y VAL POE - AESR - ESR'!AJ84</f>
        <v>0</v>
      </c>
      <c r="CC3" s="29">
        <f>'REG y VAL POE - AESR - ESR'!AK84</f>
        <v>0</v>
      </c>
      <c r="CD3" s="29">
        <f>'REG y VAL POE - AESR - ESR'!AL84</f>
        <v>0</v>
      </c>
      <c r="CE3" s="29">
        <f>'REG y VAL POE - AESR - ESR'!AM84</f>
        <v>0</v>
      </c>
      <c r="CF3" s="29">
        <f>'REG y VAL POE - AESR - ESR'!AN84</f>
        <v>0</v>
      </c>
      <c r="CG3" s="29">
        <f>'REG y VAL POE - AESR - ESR'!AO84</f>
        <v>0</v>
      </c>
      <c r="CH3" s="29">
        <f>'REG y VAL POE - AESR - ESR'!AP84</f>
        <v>0</v>
      </c>
      <c r="CI3" s="29">
        <f>'REG y VAL POE - AESR - ESR'!AQ84</f>
        <v>0</v>
      </c>
      <c r="CJ3" s="29">
        <f>'REG y VAL POE - AESR - ESR'!AR84</f>
        <v>0</v>
      </c>
      <c r="CK3" s="29">
        <f>'REG y VAL POE - AESR - ESR'!AS84</f>
        <v>0</v>
      </c>
      <c r="CL3" s="30" t="str">
        <f>'REG y VAL POE - AESR - ESR'!B85</f>
        <v>Parra Aguiar Irving Arland</v>
      </c>
      <c r="CM3" s="29" t="str">
        <f>'REG y VAL POE - AESR - ESR'!C85</f>
        <v>POE</v>
      </c>
      <c r="CN3" s="28">
        <f>'REG y VAL POE - AESR - ESR'!D85</f>
        <v>23139651</v>
      </c>
      <c r="CO3" s="29">
        <f>'REG y VAL POE - AESR - ESR'!E85</f>
        <v>0</v>
      </c>
      <c r="CP3" s="28">
        <f>'REG y VAL POE - AESR - ESR'!F85</f>
        <v>0</v>
      </c>
      <c r="CQ3" s="31">
        <f>'REG y VAL POE - AESR - ESR'!G85</f>
        <v>45344</v>
      </c>
      <c r="CR3" s="31">
        <f>'REG y VAL POE - AESR - ESR'!H85</f>
        <v>45709</v>
      </c>
      <c r="CS3" s="29" t="str">
        <f>'REG y VAL POE - AESR - ESR'!I85</f>
        <v>SI</v>
      </c>
      <c r="CT3" s="29" t="str">
        <f>'REG y VAL POE - AESR - ESR'!J85</f>
        <v>Vigente</v>
      </c>
      <c r="CU3" s="29" t="str">
        <f>'REG y VAL POE - AESR - ESR'!K85</f>
        <v>SI</v>
      </c>
      <c r="CV3" s="29" t="str">
        <f>'REG y VAL POE - AESR - ESR'!L85</f>
        <v>Vigente</v>
      </c>
      <c r="CW3" s="29" t="str">
        <f>'REG y VAL POE - AESR - ESR'!M85</f>
        <v>NO</v>
      </c>
      <c r="CX3" s="29">
        <f>'REG y VAL POE - AESR - ESR'!N85</f>
        <v>0</v>
      </c>
      <c r="CY3" s="29" t="str">
        <f>'REG y VAL POE - AESR - ESR'!O85</f>
        <v>SI</v>
      </c>
      <c r="CZ3" s="29">
        <f>'REG y VAL POE - AESR - ESR'!P85</f>
        <v>0</v>
      </c>
      <c r="DA3" s="29" t="str">
        <f>'REG y VAL POE - AESR - ESR'!Q85</f>
        <v>SI</v>
      </c>
      <c r="DB3" s="29" t="str">
        <f>'REG y VAL POE - AESR - ESR'!R85</f>
        <v>SI</v>
      </c>
      <c r="DC3" s="29" t="str">
        <f>'REG y VAL POE - AESR - ESR'!S85</f>
        <v>SI</v>
      </c>
      <c r="DD3" s="29" t="str">
        <f>'REG y VAL POE - AESR - ESR'!T85</f>
        <v>SI</v>
      </c>
      <c r="DE3" s="29" t="str">
        <f>'REG y VAL POE - AESR - ESR'!U85</f>
        <v>SI</v>
      </c>
      <c r="DF3" s="29" t="str">
        <f>'REG y VAL POE - AESR - ESR'!V85</f>
        <v>SI</v>
      </c>
      <c r="DG3" s="29">
        <f>'REG y VAL POE - AESR - ESR'!W85</f>
        <v>0</v>
      </c>
      <c r="DH3" s="29">
        <f>'REG y VAL POE - AESR - ESR'!X85</f>
        <v>0</v>
      </c>
      <c r="DI3" s="29">
        <f>'REG y VAL POE - AESR - ESR'!Y85</f>
        <v>0</v>
      </c>
      <c r="DJ3" s="29" t="str">
        <f>'REG y VAL POE - AESR - ESR'!Z85</f>
        <v>SI</v>
      </c>
      <c r="DK3" s="29">
        <f>'REG y VAL POE - AESR - ESR'!AA85</f>
        <v>0</v>
      </c>
      <c r="DL3" s="29">
        <f>'REG y VAL POE - AESR - ESR'!AB85</f>
        <v>0</v>
      </c>
      <c r="DM3" s="29">
        <f>'REG y VAL POE - AESR - ESR'!AC85</f>
        <v>0</v>
      </c>
      <c r="DN3" s="29">
        <f>'REG y VAL POE - AESR - ESR'!AD85</f>
        <v>0</v>
      </c>
      <c r="DO3" s="29">
        <f>'REG y VAL POE - AESR - ESR'!AE85</f>
        <v>0</v>
      </c>
      <c r="DP3" s="29">
        <f>'REG y VAL POE - AESR - ESR'!AF85</f>
        <v>0</v>
      </c>
      <c r="DQ3" s="29">
        <f>'REG y VAL POE - AESR - ESR'!AG85</f>
        <v>0</v>
      </c>
      <c r="DR3" s="29">
        <f>'REG y VAL POE - AESR - ESR'!AH85</f>
        <v>0</v>
      </c>
      <c r="DS3" s="29">
        <f>'REG y VAL POE - AESR - ESR'!AI85</f>
        <v>0</v>
      </c>
      <c r="DT3" s="29">
        <f>'REG y VAL POE - AESR - ESR'!AJ85</f>
        <v>0</v>
      </c>
      <c r="DU3" s="29">
        <f>'REG y VAL POE - AESR - ESR'!AK85</f>
        <v>0</v>
      </c>
      <c r="DV3" s="29">
        <f>'REG y VAL POE - AESR - ESR'!AL85</f>
        <v>0</v>
      </c>
      <c r="DW3" s="29">
        <f>'REG y VAL POE - AESR - ESR'!AM85</f>
        <v>0</v>
      </c>
      <c r="DX3" s="29">
        <f>'REG y VAL POE - AESR - ESR'!AN85</f>
        <v>0</v>
      </c>
      <c r="DY3" s="29">
        <f>'REG y VAL POE - AESR - ESR'!AO85</f>
        <v>0</v>
      </c>
      <c r="DZ3" s="29">
        <f>'REG y VAL POE - AESR - ESR'!AP85</f>
        <v>0</v>
      </c>
      <c r="EA3" s="29">
        <f>'REG y VAL POE - AESR - ESR'!AQ85</f>
        <v>0</v>
      </c>
      <c r="EB3" s="29">
        <f>'REG y VAL POE - AESR - ESR'!AR85</f>
        <v>0</v>
      </c>
      <c r="EC3" s="29">
        <f>'REG y VAL POE - AESR - ESR'!AS85</f>
        <v>0</v>
      </c>
      <c r="ED3" s="30">
        <f>'REG y VAL POE - AESR - ESR'!B86</f>
        <v>0</v>
      </c>
      <c r="EE3" s="29">
        <f>'REG y VAL POE - AESR - ESR'!C86</f>
        <v>0</v>
      </c>
      <c r="EF3" s="28" t="str">
        <f>'REG y VAL POE - AESR - ESR'!D86</f>
        <v xml:space="preserve"> </v>
      </c>
      <c r="EG3" s="29">
        <f>'REG y VAL POE - AESR - ESR'!E86</f>
        <v>0</v>
      </c>
      <c r="EH3" s="28">
        <f>'REG y VAL POE - AESR - ESR'!F86</f>
        <v>0</v>
      </c>
      <c r="EI3" s="31">
        <f>'REG y VAL POE - AESR - ESR'!G86</f>
        <v>45345</v>
      </c>
      <c r="EJ3" s="31">
        <f>'REG y VAL POE - AESR - ESR'!H86</f>
        <v>45710</v>
      </c>
      <c r="EK3" s="29" t="str">
        <f>'REG y VAL POE - AESR - ESR'!I86</f>
        <v>SI</v>
      </c>
      <c r="EL3" s="385" t="str">
        <f>'REG y VAL POE - AESR - ESR'!J86</f>
        <v>Vigente</v>
      </c>
      <c r="EM3" s="29" t="str">
        <f>'REG y VAL POE - AESR - ESR'!K86</f>
        <v>SI</v>
      </c>
      <c r="EN3" s="385" t="str">
        <f>'REG y VAL POE - AESR - ESR'!L86</f>
        <v>Vigente</v>
      </c>
      <c r="EO3" s="29" t="str">
        <f>'REG y VAL POE - AESR - ESR'!M86</f>
        <v>NO</v>
      </c>
      <c r="EP3" s="385" t="str">
        <f>'REG y VAL POE - AESR - ESR'!N86</f>
        <v>Apendice ByC no llenos-c/historial aparte-falta firma RL</v>
      </c>
      <c r="EQ3" s="29" t="str">
        <f>'REG y VAL POE - AESR - ESR'!O86</f>
        <v>SI</v>
      </c>
      <c r="ER3" s="29">
        <f>'REG y VAL POE - AESR - ESR'!P86</f>
        <v>0</v>
      </c>
      <c r="ES3" s="29" t="str">
        <f>'REG y VAL POE - AESR - ESR'!Q86</f>
        <v>SI</v>
      </c>
      <c r="ET3" s="29" t="str">
        <f>'REG y VAL POE - AESR - ESR'!R86</f>
        <v>SI</v>
      </c>
      <c r="EU3" s="29" t="str">
        <f>'REG y VAL POE - AESR - ESR'!S86</f>
        <v>SI</v>
      </c>
      <c r="EV3" s="29" t="str">
        <f>'REG y VAL POE - AESR - ESR'!T86</f>
        <v>SI</v>
      </c>
      <c r="EW3" s="29" t="str">
        <f>'REG y VAL POE - AESR - ESR'!U86</f>
        <v>NO</v>
      </c>
      <c r="EX3" s="29">
        <f>'REG y VAL POE - AESR - ESR'!V86</f>
        <v>0</v>
      </c>
      <c r="EY3" s="29">
        <f>'REG y VAL POE - AESR - ESR'!W86</f>
        <v>0</v>
      </c>
      <c r="EZ3" s="29">
        <f>'REG y VAL POE - AESR - ESR'!X86</f>
        <v>0</v>
      </c>
      <c r="FA3" s="29">
        <f>'REG y VAL POE - AESR - ESR'!Y86</f>
        <v>0</v>
      </c>
      <c r="FB3" s="29" t="str">
        <f>'REG y VAL POE - AESR - ESR'!Z86</f>
        <v>SI</v>
      </c>
      <c r="FC3" s="29">
        <f>'REG y VAL POE - AESR - ESR'!AA86</f>
        <v>0</v>
      </c>
      <c r="FD3" s="29">
        <f>'REG y VAL POE - AESR - ESR'!AB86</f>
        <v>0</v>
      </c>
      <c r="FE3" s="29">
        <f>'REG y VAL POE - AESR - ESR'!AC86</f>
        <v>0</v>
      </c>
      <c r="FF3" s="29">
        <f>'REG y VAL POE - AESR - ESR'!AD86</f>
        <v>0</v>
      </c>
      <c r="FG3" s="29">
        <f>'REG y VAL POE - AESR - ESR'!AE86</f>
        <v>0</v>
      </c>
      <c r="FH3" s="29" t="str">
        <f>'REG y VAL POE - AESR - ESR'!AF86</f>
        <v>SI</v>
      </c>
      <c r="FI3" s="29">
        <f>'REG y VAL POE - AESR - ESR'!AG86</f>
        <v>0</v>
      </c>
      <c r="FJ3" s="29">
        <f>'REG y VAL POE - AESR - ESR'!AH86</f>
        <v>0</v>
      </c>
      <c r="FK3" s="29">
        <f>'REG y VAL POE - AESR - ESR'!AI86</f>
        <v>0</v>
      </c>
      <c r="FL3" s="29">
        <f>'REG y VAL POE - AESR - ESR'!AJ86</f>
        <v>0</v>
      </c>
      <c r="FM3" s="29">
        <f>'REG y VAL POE - AESR - ESR'!AK86</f>
        <v>0</v>
      </c>
      <c r="FN3" s="29">
        <f>'REG y VAL POE - AESR - ESR'!AL86</f>
        <v>0</v>
      </c>
      <c r="FO3" s="29">
        <f>'REG y VAL POE - AESR - ESR'!AM86</f>
        <v>0</v>
      </c>
      <c r="FP3" s="29">
        <f>'REG y VAL POE - AESR - ESR'!AN86</f>
        <v>0</v>
      </c>
      <c r="FQ3" s="29">
        <f>'REG y VAL POE - AESR - ESR'!AO86</f>
        <v>0</v>
      </c>
      <c r="FR3" s="29">
        <f>'REG y VAL POE - AESR - ESR'!AP86</f>
        <v>0</v>
      </c>
      <c r="FS3" s="29">
        <f>'REG y VAL POE - AESR - ESR'!AQ86</f>
        <v>0</v>
      </c>
      <c r="FT3" s="29">
        <f>'REG y VAL POE - AESR - ESR'!AR86</f>
        <v>0</v>
      </c>
      <c r="FU3" s="29">
        <f>'REG y VAL POE - AESR - ESR'!AS86</f>
        <v>0</v>
      </c>
      <c r="FV3" s="27">
        <f>'REG y VAL POE - AESR - ESR'!B87</f>
        <v>0</v>
      </c>
      <c r="FW3" s="29">
        <f>'REG y VAL POE - AESR - ESR'!C87</f>
        <v>0</v>
      </c>
      <c r="FX3" s="28">
        <f>'REG y VAL POE - AESR - ESR'!D87</f>
        <v>0</v>
      </c>
      <c r="FY3" s="29">
        <f>'REG y VAL POE - AESR - ESR'!E87</f>
        <v>0</v>
      </c>
      <c r="FZ3" s="28">
        <f>'REG y VAL POE - AESR - ESR'!F87</f>
        <v>0</v>
      </c>
      <c r="GA3" s="31">
        <f>'REG y VAL POE - AESR - ESR'!G87</f>
        <v>0</v>
      </c>
      <c r="GB3" s="31">
        <f>'REG y VAL POE - AESR - ESR'!H87</f>
        <v>0</v>
      </c>
      <c r="GC3" s="29">
        <f>'REG y VAL POE - AESR - ESR'!I87</f>
        <v>0</v>
      </c>
      <c r="GD3" s="385">
        <f>'REG y VAL POE - AESR - ESR'!J87</f>
        <v>0</v>
      </c>
      <c r="GE3" s="29">
        <f>'REG y VAL POE - AESR - ESR'!K87</f>
        <v>0</v>
      </c>
      <c r="GF3" s="385">
        <f>'REG y VAL POE - AESR - ESR'!L87</f>
        <v>0</v>
      </c>
      <c r="GG3" s="29">
        <f>'REG y VAL POE - AESR - ESR'!M87</f>
        <v>0</v>
      </c>
      <c r="GH3" s="385">
        <f>'REG y VAL POE - AESR - ESR'!N87</f>
        <v>0</v>
      </c>
      <c r="GI3" s="29">
        <f>'REG y VAL POE - AESR - ESR'!O87</f>
        <v>0</v>
      </c>
      <c r="GJ3" s="29">
        <f>'REG y VAL POE - AESR - ESR'!P87</f>
        <v>0</v>
      </c>
      <c r="GK3" s="29">
        <f>'REG y VAL POE - AESR - ESR'!Q87</f>
        <v>0</v>
      </c>
      <c r="GL3" s="29">
        <f>'REG y VAL POE - AESR - ESR'!R87</f>
        <v>0</v>
      </c>
      <c r="GM3" s="29">
        <f>'REG y VAL POE - AESR - ESR'!S87</f>
        <v>0</v>
      </c>
      <c r="GN3" s="29">
        <f>'REG y VAL POE - AESR - ESR'!T87</f>
        <v>0</v>
      </c>
      <c r="GO3" s="29">
        <f>'REG y VAL POE - AESR - ESR'!U87</f>
        <v>0</v>
      </c>
      <c r="GP3" s="29">
        <f>'REG y VAL POE - AESR - ESR'!V87</f>
        <v>0</v>
      </c>
      <c r="GQ3" s="29">
        <f>'REG y VAL POE - AESR - ESR'!W87</f>
        <v>0</v>
      </c>
      <c r="GR3" s="29">
        <f>'REG y VAL POE - AESR - ESR'!X87</f>
        <v>0</v>
      </c>
      <c r="GS3" s="29">
        <f>'REG y VAL POE - AESR - ESR'!Y87</f>
        <v>0</v>
      </c>
      <c r="GT3" s="29">
        <f>'REG y VAL POE - AESR - ESR'!Z87</f>
        <v>0</v>
      </c>
      <c r="GU3" s="29">
        <f>'REG y VAL POE - AESR - ESR'!AA87</f>
        <v>0</v>
      </c>
      <c r="GV3" s="29">
        <f>'REG y VAL POE - AESR - ESR'!AB87</f>
        <v>0</v>
      </c>
      <c r="GW3" s="29">
        <f>'REG y VAL POE - AESR - ESR'!AC87</f>
        <v>0</v>
      </c>
      <c r="GX3" s="29">
        <f>'REG y VAL POE - AESR - ESR'!AD87</f>
        <v>0</v>
      </c>
      <c r="GY3" s="29">
        <f>'REG y VAL POE - AESR - ESR'!AE87</f>
        <v>0</v>
      </c>
      <c r="GZ3" s="29">
        <f>'REG y VAL POE - AESR - ESR'!AF87</f>
        <v>0</v>
      </c>
      <c r="HA3" s="29">
        <f>'REG y VAL POE - AESR - ESR'!AG87</f>
        <v>0</v>
      </c>
      <c r="HB3" s="29">
        <f>'REG y VAL POE - AESR - ESR'!AH87</f>
        <v>0</v>
      </c>
      <c r="HC3" s="29">
        <f>'REG y VAL POE - AESR - ESR'!AI87</f>
        <v>0</v>
      </c>
      <c r="HD3" s="29">
        <f>'REG y VAL POE - AESR - ESR'!AJ87</f>
        <v>0</v>
      </c>
      <c r="HE3" s="29">
        <f>'REG y VAL POE - AESR - ESR'!AK87</f>
        <v>0</v>
      </c>
      <c r="HF3" s="29">
        <f>'REG y VAL POE - AESR - ESR'!AL87</f>
        <v>0</v>
      </c>
      <c r="HG3" s="29">
        <f>'REG y VAL POE - AESR - ESR'!AM87</f>
        <v>0</v>
      </c>
      <c r="HH3" s="29">
        <f>'REG y VAL POE - AESR - ESR'!AN87</f>
        <v>0</v>
      </c>
      <c r="HI3" s="29">
        <f>'REG y VAL POE - AESR - ESR'!AO87</f>
        <v>0</v>
      </c>
      <c r="HJ3" s="29">
        <f>'REG y VAL POE - AESR - ESR'!AP87</f>
        <v>0</v>
      </c>
      <c r="HK3" s="29">
        <f>'REG y VAL POE - AESR - ESR'!AQ87</f>
        <v>0</v>
      </c>
      <c r="HL3" s="29">
        <f>'REG y VAL POE - AESR - ESR'!AR87</f>
        <v>0</v>
      </c>
      <c r="HM3" s="29">
        <f>'REG y VAL POE - AESR - ESR'!AS87</f>
        <v>0</v>
      </c>
      <c r="HN3" s="27">
        <f>'REG y VAL POE - AESR - ESR'!B88</f>
        <v>0</v>
      </c>
      <c r="HO3" s="29">
        <f>'REG y VAL POE - AESR - ESR'!C88</f>
        <v>0</v>
      </c>
      <c r="HP3" s="28">
        <f>'REG y VAL POE - AESR - ESR'!D88</f>
        <v>0</v>
      </c>
      <c r="HQ3" s="29">
        <f>'REG y VAL POE - AESR - ESR'!E88</f>
        <v>0</v>
      </c>
      <c r="HR3" s="28">
        <f>'REG y VAL POE - AESR - ESR'!F88</f>
        <v>0</v>
      </c>
      <c r="HS3" s="31">
        <f>'REG y VAL POE - AESR - ESR'!G88</f>
        <v>0</v>
      </c>
      <c r="HT3" s="31">
        <f>'REG y VAL POE - AESR - ESR'!H88</f>
        <v>0</v>
      </c>
      <c r="HU3" s="29">
        <f>'REG y VAL POE - AESR - ESR'!I88</f>
        <v>0</v>
      </c>
      <c r="HV3" s="385">
        <f>'REG y VAL POE - AESR - ESR'!J88</f>
        <v>0</v>
      </c>
      <c r="HW3" s="29">
        <f>'REG y VAL POE - AESR - ESR'!K88</f>
        <v>0</v>
      </c>
      <c r="HX3" s="385">
        <f>'REG y VAL POE - AESR - ESR'!L88</f>
        <v>0</v>
      </c>
      <c r="HY3" s="29">
        <f>'REG y VAL POE - AESR - ESR'!M88</f>
        <v>0</v>
      </c>
      <c r="HZ3" s="385">
        <f>'REG y VAL POE - AESR - ESR'!N88</f>
        <v>0</v>
      </c>
      <c r="IA3" s="29">
        <f>'REG y VAL POE - AESR - ESR'!O88</f>
        <v>0</v>
      </c>
      <c r="IB3" s="29">
        <f>'REG y VAL POE - AESR - ESR'!P88</f>
        <v>0</v>
      </c>
      <c r="IC3" s="29">
        <f>'REG y VAL POE - AESR - ESR'!Q88</f>
        <v>0</v>
      </c>
      <c r="ID3" s="29">
        <f>'REG y VAL POE - AESR - ESR'!R88</f>
        <v>0</v>
      </c>
      <c r="IE3" s="29">
        <f>'REG y VAL POE - AESR - ESR'!S88</f>
        <v>0</v>
      </c>
      <c r="IF3" s="29">
        <f>'REG y VAL POE - AESR - ESR'!T88</f>
        <v>0</v>
      </c>
      <c r="IG3" s="29">
        <f>'REG y VAL POE - AESR - ESR'!U88</f>
        <v>0</v>
      </c>
      <c r="IH3" s="29">
        <f>'REG y VAL POE - AESR - ESR'!V88</f>
        <v>0</v>
      </c>
      <c r="II3" s="29">
        <f>'REG y VAL POE - AESR - ESR'!W88</f>
        <v>0</v>
      </c>
      <c r="IJ3" s="29">
        <f>'REG y VAL POE - AESR - ESR'!X88</f>
        <v>0</v>
      </c>
      <c r="IK3" s="29">
        <f>'REG y VAL POE - AESR - ESR'!Y88</f>
        <v>0</v>
      </c>
      <c r="IL3" s="29">
        <f>'REG y VAL POE - AESR - ESR'!Z88</f>
        <v>0</v>
      </c>
      <c r="IM3" s="29">
        <f>'REG y VAL POE - AESR - ESR'!AA88</f>
        <v>0</v>
      </c>
      <c r="IN3" s="29">
        <f>'REG y VAL POE - AESR - ESR'!AB88</f>
        <v>0</v>
      </c>
      <c r="IO3" s="29">
        <f>'REG y VAL POE - AESR - ESR'!AC88</f>
        <v>0</v>
      </c>
      <c r="IP3" s="29">
        <f>'REG y VAL POE - AESR - ESR'!AD88</f>
        <v>0</v>
      </c>
      <c r="IQ3" s="29">
        <f>'REG y VAL POE - AESR - ESR'!AE88</f>
        <v>0</v>
      </c>
      <c r="IR3" s="29">
        <f>'REG y VAL POE - AESR - ESR'!AF88</f>
        <v>0</v>
      </c>
      <c r="IS3" s="29">
        <f>'REG y VAL POE - AESR - ESR'!AG88</f>
        <v>0</v>
      </c>
      <c r="IT3" s="29">
        <f>'REG y VAL POE - AESR - ESR'!AH88</f>
        <v>0</v>
      </c>
      <c r="IU3" s="29">
        <f>'REG y VAL POE - AESR - ESR'!AI88</f>
        <v>0</v>
      </c>
      <c r="IV3" s="29">
        <f>'REG y VAL POE - AESR - ESR'!AJ88</f>
        <v>0</v>
      </c>
      <c r="IW3" s="29">
        <f>'REG y VAL POE - AESR - ESR'!AK88</f>
        <v>0</v>
      </c>
      <c r="IX3" s="29">
        <f>'REG y VAL POE - AESR - ESR'!AL88</f>
        <v>0</v>
      </c>
      <c r="IY3" s="29">
        <f>'REG y VAL POE - AESR - ESR'!AM88</f>
        <v>0</v>
      </c>
      <c r="IZ3" s="29">
        <f>'REG y VAL POE - AESR - ESR'!AN88</f>
        <v>0</v>
      </c>
      <c r="JA3" s="29">
        <f>'REG y VAL POE - AESR - ESR'!AO88</f>
        <v>0</v>
      </c>
      <c r="JB3" s="29">
        <f>'REG y VAL POE - AESR - ESR'!AP88</f>
        <v>0</v>
      </c>
      <c r="JC3" s="29">
        <f>'REG y VAL POE - AESR - ESR'!AQ88</f>
        <v>0</v>
      </c>
      <c r="JD3" s="29">
        <f>'REG y VAL POE - AESR - ESR'!AR88</f>
        <v>0</v>
      </c>
      <c r="JE3" s="29">
        <f>'REG y VAL POE - AESR - ESR'!AS88</f>
        <v>0</v>
      </c>
      <c r="JF3" s="27">
        <f>'REG y VAL POE - AESR - ESR'!B89</f>
        <v>0</v>
      </c>
      <c r="JG3" s="29">
        <f>'REG y VAL POE - AESR - ESR'!C89</f>
        <v>0</v>
      </c>
      <c r="JH3" s="28">
        <f>'REG y VAL POE - AESR - ESR'!D89</f>
        <v>0</v>
      </c>
      <c r="JI3" s="29">
        <f>'REG y VAL POE - AESR - ESR'!E89</f>
        <v>0</v>
      </c>
      <c r="JJ3" s="28">
        <f>'REG y VAL POE - AESR - ESR'!F89</f>
        <v>0</v>
      </c>
      <c r="JK3" s="31">
        <f>'REG y VAL POE - AESR - ESR'!G89</f>
        <v>0</v>
      </c>
      <c r="JL3" s="31">
        <f>'REG y VAL POE - AESR - ESR'!H89</f>
        <v>0</v>
      </c>
      <c r="JM3" s="29">
        <f>'REG y VAL POE - AESR - ESR'!I89</f>
        <v>0</v>
      </c>
      <c r="JN3" s="385">
        <f>'REG y VAL POE - AESR - ESR'!J89</f>
        <v>0</v>
      </c>
      <c r="JO3" s="29">
        <f>'REG y VAL POE - AESR - ESR'!K89</f>
        <v>0</v>
      </c>
      <c r="JP3" s="385">
        <f>'REG y VAL POE - AESR - ESR'!L89</f>
        <v>0</v>
      </c>
      <c r="JQ3" s="29">
        <f>'REG y VAL POE - AESR - ESR'!M89</f>
        <v>0</v>
      </c>
      <c r="JR3" s="385">
        <f>'REG y VAL POE - AESR - ESR'!N89</f>
        <v>0</v>
      </c>
      <c r="JS3" s="29">
        <f>'REG y VAL POE - AESR - ESR'!O89</f>
        <v>0</v>
      </c>
      <c r="JT3" s="29">
        <f>'REG y VAL POE - AESR - ESR'!P89</f>
        <v>0</v>
      </c>
      <c r="JU3" s="29">
        <f>'REG y VAL POE - AESR - ESR'!Q89</f>
        <v>0</v>
      </c>
      <c r="JV3" s="29">
        <f>'REG y VAL POE - AESR - ESR'!R89</f>
        <v>0</v>
      </c>
      <c r="JW3" s="29">
        <f>'REG y VAL POE - AESR - ESR'!S89</f>
        <v>0</v>
      </c>
      <c r="JX3" s="29">
        <f>'REG y VAL POE - AESR - ESR'!T89</f>
        <v>0</v>
      </c>
      <c r="JY3" s="29">
        <f>'REG y VAL POE - AESR - ESR'!U89</f>
        <v>0</v>
      </c>
      <c r="JZ3" s="29">
        <f>'REG y VAL POE - AESR - ESR'!V89</f>
        <v>0</v>
      </c>
      <c r="KA3" s="29">
        <f>'REG y VAL POE - AESR - ESR'!W89</f>
        <v>0</v>
      </c>
      <c r="KB3" s="29">
        <f>'REG y VAL POE - AESR - ESR'!X89</f>
        <v>0</v>
      </c>
      <c r="KC3" s="29">
        <f>'REG y VAL POE - AESR - ESR'!Y89</f>
        <v>0</v>
      </c>
      <c r="KD3" s="29">
        <f>'REG y VAL POE - AESR - ESR'!Z89</f>
        <v>0</v>
      </c>
      <c r="KE3" s="29">
        <f>'REG y VAL POE - AESR - ESR'!AA89</f>
        <v>0</v>
      </c>
      <c r="KF3" s="29">
        <f>'REG y VAL POE - AESR - ESR'!AB89</f>
        <v>0</v>
      </c>
      <c r="KG3" s="29">
        <f>'REG y VAL POE - AESR - ESR'!AC89</f>
        <v>0</v>
      </c>
      <c r="KH3" s="29">
        <f>'REG y VAL POE - AESR - ESR'!AD89</f>
        <v>0</v>
      </c>
      <c r="KI3" s="29">
        <f>'REG y VAL POE - AESR - ESR'!AE89</f>
        <v>0</v>
      </c>
      <c r="KJ3" s="29">
        <f>'REG y VAL POE - AESR - ESR'!AF89</f>
        <v>0</v>
      </c>
      <c r="KK3" s="29">
        <f>'REG y VAL POE - AESR - ESR'!AG89</f>
        <v>0</v>
      </c>
      <c r="KL3" s="29">
        <f>'REG y VAL POE - AESR - ESR'!AH89</f>
        <v>0</v>
      </c>
      <c r="KM3" s="29">
        <f>'REG y VAL POE - AESR - ESR'!AI89</f>
        <v>0</v>
      </c>
      <c r="KN3" s="29">
        <f>'REG y VAL POE - AESR - ESR'!AJ89</f>
        <v>0</v>
      </c>
      <c r="KO3" s="29">
        <f>'REG y VAL POE - AESR - ESR'!AK89</f>
        <v>0</v>
      </c>
      <c r="KP3" s="29">
        <f>'REG y VAL POE - AESR - ESR'!AL89</f>
        <v>0</v>
      </c>
      <c r="KQ3" s="29">
        <f>'REG y VAL POE - AESR - ESR'!AM89</f>
        <v>0</v>
      </c>
      <c r="KR3" s="29">
        <f>'REG y VAL POE - AESR - ESR'!AN89</f>
        <v>0</v>
      </c>
      <c r="KS3" s="29">
        <f>'REG y VAL POE - AESR - ESR'!AO89</f>
        <v>0</v>
      </c>
      <c r="KT3" s="29">
        <f>'REG y VAL POE - AESR - ESR'!AP89</f>
        <v>0</v>
      </c>
      <c r="KU3" s="29">
        <f>'REG y VAL POE - AESR - ESR'!AQ89</f>
        <v>0</v>
      </c>
      <c r="KV3" s="29">
        <f>'REG y VAL POE - AESR - ESR'!AR89</f>
        <v>0</v>
      </c>
      <c r="KW3" s="29">
        <f>'REG y VAL POE - AESR - ESR'!AS89</f>
        <v>0</v>
      </c>
      <c r="KX3" s="27">
        <f>'REG y VAL POE - AESR - ESR'!B90</f>
        <v>0</v>
      </c>
      <c r="KY3" s="29">
        <f>'REG y VAL POE - AESR - ESR'!C90</f>
        <v>0</v>
      </c>
      <c r="KZ3" s="28">
        <f>'REG y VAL POE - AESR - ESR'!D90</f>
        <v>0</v>
      </c>
      <c r="LA3" s="29">
        <f>'REG y VAL POE - AESR - ESR'!E90</f>
        <v>0</v>
      </c>
      <c r="LB3" s="28">
        <f>'REG y VAL POE - AESR - ESR'!F90</f>
        <v>0</v>
      </c>
      <c r="LC3" s="31">
        <f>'REG y VAL POE - AESR - ESR'!G90</f>
        <v>0</v>
      </c>
      <c r="LD3" s="31">
        <f>'REG y VAL POE - AESR - ESR'!H90</f>
        <v>0</v>
      </c>
      <c r="LE3" s="29">
        <f>'REG y VAL POE - AESR - ESR'!I90</f>
        <v>0</v>
      </c>
      <c r="LF3" s="385">
        <f>'REG y VAL POE - AESR - ESR'!J90</f>
        <v>0</v>
      </c>
      <c r="LG3" s="29">
        <f>'REG y VAL POE - AESR - ESR'!K90</f>
        <v>0</v>
      </c>
      <c r="LH3" s="385">
        <f>'REG y VAL POE - AESR - ESR'!L90</f>
        <v>0</v>
      </c>
      <c r="LI3" s="29">
        <f>'REG y VAL POE - AESR - ESR'!M90</f>
        <v>0</v>
      </c>
      <c r="LJ3" s="385">
        <f>'REG y VAL POE - AESR - ESR'!N90</f>
        <v>0</v>
      </c>
      <c r="LK3" s="29">
        <f>'REG y VAL POE - AESR - ESR'!O90</f>
        <v>0</v>
      </c>
      <c r="LL3" s="29">
        <f>'REG y VAL POE - AESR - ESR'!P90</f>
        <v>0</v>
      </c>
      <c r="LM3" s="29">
        <f>'REG y VAL POE - AESR - ESR'!Q90</f>
        <v>0</v>
      </c>
      <c r="LN3" s="29">
        <f>'REG y VAL POE - AESR - ESR'!R90</f>
        <v>0</v>
      </c>
      <c r="LO3" s="29">
        <f>'REG y VAL POE - AESR - ESR'!S90</f>
        <v>0</v>
      </c>
      <c r="LP3" s="29">
        <f>'REG y VAL POE - AESR - ESR'!T90</f>
        <v>0</v>
      </c>
      <c r="LQ3" s="29">
        <f>'REG y VAL POE - AESR - ESR'!U90</f>
        <v>0</v>
      </c>
      <c r="LR3" s="29">
        <f>'REG y VAL POE - AESR - ESR'!V90</f>
        <v>0</v>
      </c>
      <c r="LS3" s="29">
        <f>'REG y VAL POE - AESR - ESR'!W90</f>
        <v>0</v>
      </c>
      <c r="LT3" s="29">
        <f>'REG y VAL POE - AESR - ESR'!X90</f>
        <v>0</v>
      </c>
      <c r="LU3" s="29">
        <f>'REG y VAL POE - AESR - ESR'!Y90</f>
        <v>0</v>
      </c>
      <c r="LV3" s="29">
        <f>'REG y VAL POE - AESR - ESR'!Z90</f>
        <v>0</v>
      </c>
      <c r="LW3" s="29">
        <f>'REG y VAL POE - AESR - ESR'!AA90</f>
        <v>0</v>
      </c>
      <c r="LX3" s="29">
        <f>'REG y VAL POE - AESR - ESR'!AB90</f>
        <v>0</v>
      </c>
      <c r="LY3" s="29">
        <f>'REG y VAL POE - AESR - ESR'!AC90</f>
        <v>0</v>
      </c>
      <c r="LZ3" s="29">
        <f>'REG y VAL POE - AESR - ESR'!AD90</f>
        <v>0</v>
      </c>
      <c r="MA3" s="29">
        <f>'REG y VAL POE - AESR - ESR'!AE90</f>
        <v>0</v>
      </c>
      <c r="MB3" s="29">
        <f>'REG y VAL POE - AESR - ESR'!AF90</f>
        <v>0</v>
      </c>
      <c r="MC3" s="29">
        <f>'REG y VAL POE - AESR - ESR'!AG90</f>
        <v>0</v>
      </c>
      <c r="MD3" s="29">
        <f>'REG y VAL POE - AESR - ESR'!AH90</f>
        <v>0</v>
      </c>
      <c r="ME3" s="29">
        <f>'REG y VAL POE - AESR - ESR'!AI90</f>
        <v>0</v>
      </c>
      <c r="MF3" s="29">
        <f>'REG y VAL POE - AESR - ESR'!AJ90</f>
        <v>0</v>
      </c>
      <c r="MG3" s="29">
        <f>'REG y VAL POE - AESR - ESR'!AK90</f>
        <v>0</v>
      </c>
      <c r="MH3" s="29">
        <f>'REG y VAL POE - AESR - ESR'!AL90</f>
        <v>0</v>
      </c>
      <c r="MI3" s="29">
        <f>'REG y VAL POE - AESR - ESR'!AM90</f>
        <v>0</v>
      </c>
      <c r="MJ3" s="29">
        <f>'REG y VAL POE - AESR - ESR'!AN90</f>
        <v>0</v>
      </c>
      <c r="MK3" s="29">
        <f>'REG y VAL POE - AESR - ESR'!AO90</f>
        <v>0</v>
      </c>
      <c r="ML3" s="29">
        <f>'REG y VAL POE - AESR - ESR'!AP90</f>
        <v>0</v>
      </c>
      <c r="MM3" s="29">
        <f>'REG y VAL POE - AESR - ESR'!AQ90</f>
        <v>0</v>
      </c>
      <c r="MN3" s="29">
        <f>'REG y VAL POE - AESR - ESR'!AR90</f>
        <v>0</v>
      </c>
      <c r="MO3" s="29">
        <f>'REG y VAL POE - AESR - ESR'!AS90</f>
        <v>0</v>
      </c>
      <c r="MP3" s="27">
        <f>'REG y VAL POE - AESR - ESR'!B91</f>
        <v>0</v>
      </c>
      <c r="MQ3" s="29">
        <f>'REG y VAL POE - AESR - ESR'!C91</f>
        <v>0</v>
      </c>
      <c r="MR3" s="28">
        <f>'REG y VAL POE - AESR - ESR'!D91</f>
        <v>0</v>
      </c>
      <c r="MS3" s="29">
        <f>'REG y VAL POE - AESR - ESR'!E91</f>
        <v>0</v>
      </c>
      <c r="MT3" s="28">
        <f>'REG y VAL POE - AESR - ESR'!F91</f>
        <v>0</v>
      </c>
      <c r="MU3" s="31">
        <f>'REG y VAL POE - AESR - ESR'!G91</f>
        <v>0</v>
      </c>
      <c r="MV3" s="31">
        <f>'REG y VAL POE - AESR - ESR'!H91</f>
        <v>0</v>
      </c>
      <c r="MW3" s="29">
        <f>'REG y VAL POE - AESR - ESR'!I91</f>
        <v>0</v>
      </c>
      <c r="MX3" s="385">
        <f>'REG y VAL POE - AESR - ESR'!J91</f>
        <v>0</v>
      </c>
      <c r="MY3" s="29">
        <f>'REG y VAL POE - AESR - ESR'!K91</f>
        <v>0</v>
      </c>
      <c r="MZ3" s="385">
        <f>'REG y VAL POE - AESR - ESR'!L91</f>
        <v>0</v>
      </c>
      <c r="NA3" s="29">
        <f>'REG y VAL POE - AESR - ESR'!M91</f>
        <v>0</v>
      </c>
      <c r="NB3" s="385">
        <f>'REG y VAL POE - AESR - ESR'!N91</f>
        <v>0</v>
      </c>
      <c r="NC3" s="29">
        <f>'REG y VAL POE - AESR - ESR'!O91</f>
        <v>0</v>
      </c>
      <c r="ND3" s="29">
        <f>'REG y VAL POE - AESR - ESR'!P91</f>
        <v>0</v>
      </c>
      <c r="NE3" s="29">
        <f>'REG y VAL POE - AESR - ESR'!Q91</f>
        <v>0</v>
      </c>
      <c r="NF3" s="29">
        <f>'REG y VAL POE - AESR - ESR'!R91</f>
        <v>0</v>
      </c>
      <c r="NG3" s="29">
        <f>'REG y VAL POE - AESR - ESR'!S91</f>
        <v>0</v>
      </c>
      <c r="NH3" s="29">
        <f>'REG y VAL POE - AESR - ESR'!T91</f>
        <v>0</v>
      </c>
      <c r="NI3" s="29">
        <f>'REG y VAL POE - AESR - ESR'!U91</f>
        <v>0</v>
      </c>
      <c r="NJ3" s="29">
        <f>'REG y VAL POE - AESR - ESR'!V91</f>
        <v>0</v>
      </c>
      <c r="NK3" s="29">
        <f>'REG y VAL POE - AESR - ESR'!W91</f>
        <v>0</v>
      </c>
      <c r="NL3" s="29">
        <f>'REG y VAL POE - AESR - ESR'!X91</f>
        <v>0</v>
      </c>
      <c r="NM3" s="29">
        <f>'REG y VAL POE - AESR - ESR'!Y91</f>
        <v>0</v>
      </c>
      <c r="NN3" s="29">
        <f>'REG y VAL POE - AESR - ESR'!Z91</f>
        <v>0</v>
      </c>
      <c r="NO3" s="29">
        <f>'REG y VAL POE - AESR - ESR'!AA91</f>
        <v>0</v>
      </c>
      <c r="NP3" s="29">
        <f>'REG y VAL POE - AESR - ESR'!AB91</f>
        <v>0</v>
      </c>
      <c r="NQ3" s="29">
        <f>'REG y VAL POE - AESR - ESR'!AC91</f>
        <v>0</v>
      </c>
      <c r="NR3" s="29">
        <f>'REG y VAL POE - AESR - ESR'!AD91</f>
        <v>0</v>
      </c>
      <c r="NS3" s="29">
        <f>'REG y VAL POE - AESR - ESR'!AE91</f>
        <v>0</v>
      </c>
      <c r="NT3" s="29">
        <f>'REG y VAL POE - AESR - ESR'!AF91</f>
        <v>0</v>
      </c>
      <c r="NU3" s="29">
        <f>'REG y VAL POE - AESR - ESR'!AG91</f>
        <v>0</v>
      </c>
      <c r="NV3" s="29">
        <f>'REG y VAL POE - AESR - ESR'!AH91</f>
        <v>0</v>
      </c>
      <c r="NW3" s="29">
        <f>'REG y VAL POE - AESR - ESR'!AI91</f>
        <v>0</v>
      </c>
      <c r="NX3" s="29">
        <f>'REG y VAL POE - AESR - ESR'!AJ91</f>
        <v>0</v>
      </c>
      <c r="NY3" s="29">
        <f>'REG y VAL POE - AESR - ESR'!AK91</f>
        <v>0</v>
      </c>
      <c r="NZ3" s="29">
        <f>'REG y VAL POE - AESR - ESR'!AL91</f>
        <v>0</v>
      </c>
      <c r="OA3" s="29">
        <f>'REG y VAL POE - AESR - ESR'!AM91</f>
        <v>0</v>
      </c>
      <c r="OB3" s="29">
        <f>'REG y VAL POE - AESR - ESR'!AN91</f>
        <v>0</v>
      </c>
      <c r="OC3" s="29">
        <f>'REG y VAL POE - AESR - ESR'!AO91</f>
        <v>0</v>
      </c>
      <c r="OD3" s="29">
        <f>'REG y VAL POE - AESR - ESR'!AP91</f>
        <v>0</v>
      </c>
      <c r="OE3" s="29">
        <f>'REG y VAL POE - AESR - ESR'!AQ91</f>
        <v>0</v>
      </c>
      <c r="OF3" s="29">
        <f>'REG y VAL POE - AESR - ESR'!AR91</f>
        <v>0</v>
      </c>
      <c r="OG3" s="29">
        <f>'REG y VAL POE - AESR - ESR'!AS91</f>
        <v>0</v>
      </c>
      <c r="OH3" s="27">
        <f>'REG y VAL POE - AESR - ESR'!B92</f>
        <v>0</v>
      </c>
      <c r="OI3" s="29">
        <f>'REG y VAL POE - AESR - ESR'!C92</f>
        <v>0</v>
      </c>
      <c r="OJ3" s="28">
        <f>'REG y VAL POE - AESR - ESR'!D92</f>
        <v>0</v>
      </c>
      <c r="OK3" s="29">
        <f>'REG y VAL POE - AESR - ESR'!E92</f>
        <v>0</v>
      </c>
      <c r="OL3" s="28">
        <f>'REG y VAL POE - AESR - ESR'!F92</f>
        <v>0</v>
      </c>
      <c r="OM3" s="31">
        <f>'REG y VAL POE - AESR - ESR'!G92</f>
        <v>0</v>
      </c>
      <c r="ON3" s="31">
        <f>'REG y VAL POE - AESR - ESR'!H92</f>
        <v>0</v>
      </c>
      <c r="OO3" s="29">
        <f>'REG y VAL POE - AESR - ESR'!I92</f>
        <v>0</v>
      </c>
      <c r="OP3" s="385">
        <f>'REG y VAL POE - AESR - ESR'!J92</f>
        <v>0</v>
      </c>
      <c r="OQ3" s="29">
        <f>'REG y VAL POE - AESR - ESR'!K92</f>
        <v>0</v>
      </c>
      <c r="OR3" s="385">
        <f>'REG y VAL POE - AESR - ESR'!L92</f>
        <v>0</v>
      </c>
      <c r="OS3" s="29">
        <f>'REG y VAL POE - AESR - ESR'!M92</f>
        <v>0</v>
      </c>
      <c r="OT3" s="385">
        <f>'REG y VAL POE - AESR - ESR'!N92</f>
        <v>0</v>
      </c>
      <c r="OU3" s="29">
        <f>'REG y VAL POE - AESR - ESR'!O92</f>
        <v>0</v>
      </c>
      <c r="OV3" s="29">
        <f>'REG y VAL POE - AESR - ESR'!P92</f>
        <v>0</v>
      </c>
      <c r="OW3" s="29">
        <f>'REG y VAL POE - AESR - ESR'!Q92</f>
        <v>0</v>
      </c>
      <c r="OX3" s="29">
        <f>'REG y VAL POE - AESR - ESR'!R92</f>
        <v>0</v>
      </c>
      <c r="OY3" s="29">
        <f>'REG y VAL POE - AESR - ESR'!S92</f>
        <v>0</v>
      </c>
      <c r="OZ3" s="29">
        <f>'REG y VAL POE - AESR - ESR'!T92</f>
        <v>0</v>
      </c>
      <c r="PA3" s="29">
        <f>'REG y VAL POE - AESR - ESR'!U92</f>
        <v>0</v>
      </c>
      <c r="PB3" s="29">
        <f>'REG y VAL POE - AESR - ESR'!V92</f>
        <v>0</v>
      </c>
      <c r="PC3" s="29">
        <f>'REG y VAL POE - AESR - ESR'!W92</f>
        <v>0</v>
      </c>
      <c r="PD3" s="29">
        <f>'REG y VAL POE - AESR - ESR'!X92</f>
        <v>0</v>
      </c>
      <c r="PE3" s="29">
        <f>'REG y VAL POE - AESR - ESR'!Y92</f>
        <v>0</v>
      </c>
      <c r="PF3" s="29">
        <f>'REG y VAL POE - AESR - ESR'!Z92</f>
        <v>0</v>
      </c>
      <c r="PG3" s="29">
        <f>'REG y VAL POE - AESR - ESR'!AA92</f>
        <v>0</v>
      </c>
      <c r="PH3" s="29">
        <f>'REG y VAL POE - AESR - ESR'!AB92</f>
        <v>0</v>
      </c>
      <c r="PI3" s="29">
        <f>'REG y VAL POE - AESR - ESR'!AC92</f>
        <v>0</v>
      </c>
      <c r="PJ3" s="29">
        <f>'REG y VAL POE - AESR - ESR'!AD92</f>
        <v>0</v>
      </c>
      <c r="PK3" s="29">
        <f>'REG y VAL POE - AESR - ESR'!AE92</f>
        <v>0</v>
      </c>
      <c r="PL3" s="29">
        <f>'REG y VAL POE - AESR - ESR'!AF92</f>
        <v>0</v>
      </c>
      <c r="PM3" s="29">
        <f>'REG y VAL POE - AESR - ESR'!AG92</f>
        <v>0</v>
      </c>
      <c r="PN3" s="29">
        <f>'REG y VAL POE - AESR - ESR'!AH92</f>
        <v>0</v>
      </c>
      <c r="PO3" s="29">
        <f>'REG y VAL POE - AESR - ESR'!AI92</f>
        <v>0</v>
      </c>
      <c r="PP3" s="29">
        <f>'REG y VAL POE - AESR - ESR'!AJ92</f>
        <v>0</v>
      </c>
      <c r="PQ3" s="29">
        <f>'REG y VAL POE - AESR - ESR'!AK92</f>
        <v>0</v>
      </c>
      <c r="PR3" s="29">
        <f>'REG y VAL POE - AESR - ESR'!AL92</f>
        <v>0</v>
      </c>
      <c r="PS3" s="29">
        <f>'REG y VAL POE - AESR - ESR'!AM92</f>
        <v>0</v>
      </c>
      <c r="PT3" s="29">
        <f>'REG y VAL POE - AESR - ESR'!AN92</f>
        <v>0</v>
      </c>
      <c r="PU3" s="29">
        <f>'REG y VAL POE - AESR - ESR'!AO92</f>
        <v>0</v>
      </c>
      <c r="PV3" s="29">
        <f>'REG y VAL POE - AESR - ESR'!AP92</f>
        <v>0</v>
      </c>
      <c r="PW3" s="29">
        <f>'REG y VAL POE - AESR - ESR'!AQ92</f>
        <v>0</v>
      </c>
      <c r="PX3" s="29">
        <f>'REG y VAL POE - AESR - ESR'!AR92</f>
        <v>0</v>
      </c>
      <c r="PY3" s="29">
        <f>'REG y VAL POE - AESR - ESR'!AS92</f>
        <v>0</v>
      </c>
      <c r="PZ3" s="27">
        <f>'REG y VAL POE - AESR - ESR'!B93</f>
        <v>0</v>
      </c>
      <c r="QA3" s="29">
        <f>'REG y VAL POE - AESR - ESR'!C93</f>
        <v>0</v>
      </c>
      <c r="QB3" s="28">
        <f>'REG y VAL POE - AESR - ESR'!D93</f>
        <v>0</v>
      </c>
      <c r="QC3" s="29">
        <f>'REG y VAL POE - AESR - ESR'!E93</f>
        <v>0</v>
      </c>
      <c r="QD3" s="28">
        <f>'REG y VAL POE - AESR - ESR'!F93</f>
        <v>0</v>
      </c>
      <c r="QE3" s="31">
        <f>'REG y VAL POE - AESR - ESR'!G93</f>
        <v>0</v>
      </c>
      <c r="QF3" s="31">
        <f>'REG y VAL POE - AESR - ESR'!H93</f>
        <v>0</v>
      </c>
      <c r="QG3" s="29">
        <f>'REG y VAL POE - AESR - ESR'!I93</f>
        <v>0</v>
      </c>
      <c r="QH3" s="385">
        <f>'REG y VAL POE - AESR - ESR'!J93</f>
        <v>0</v>
      </c>
      <c r="QI3" s="29">
        <f>'REG y VAL POE - AESR - ESR'!K93</f>
        <v>0</v>
      </c>
      <c r="QJ3" s="385">
        <f>'REG y VAL POE - AESR - ESR'!L93</f>
        <v>0</v>
      </c>
      <c r="QK3" s="29">
        <f>'REG y VAL POE - AESR - ESR'!M93</f>
        <v>0</v>
      </c>
      <c r="QL3" s="385">
        <f>'REG y VAL POE - AESR - ESR'!N93</f>
        <v>0</v>
      </c>
      <c r="QM3" s="29">
        <f>'REG y VAL POE - AESR - ESR'!O93</f>
        <v>0</v>
      </c>
      <c r="QN3" s="29">
        <f>'REG y VAL POE - AESR - ESR'!P93</f>
        <v>0</v>
      </c>
      <c r="QO3" s="29">
        <f>'REG y VAL POE - AESR - ESR'!Q93</f>
        <v>0</v>
      </c>
      <c r="QP3" s="29">
        <f>'REG y VAL POE - AESR - ESR'!R93</f>
        <v>0</v>
      </c>
      <c r="QQ3" s="29">
        <f>'REG y VAL POE - AESR - ESR'!S93</f>
        <v>0</v>
      </c>
      <c r="QR3" s="29">
        <f>'REG y VAL POE - AESR - ESR'!T93</f>
        <v>0</v>
      </c>
      <c r="QS3" s="29">
        <f>'REG y VAL POE - AESR - ESR'!U93</f>
        <v>0</v>
      </c>
      <c r="QT3" s="29">
        <f>'REG y VAL POE - AESR - ESR'!V93</f>
        <v>0</v>
      </c>
      <c r="QU3" s="29">
        <f>'REG y VAL POE - AESR - ESR'!W93</f>
        <v>0</v>
      </c>
      <c r="QV3" s="29">
        <f>'REG y VAL POE - AESR - ESR'!X93</f>
        <v>0</v>
      </c>
      <c r="QW3" s="29">
        <f>'REG y VAL POE - AESR - ESR'!Y93</f>
        <v>0</v>
      </c>
      <c r="QX3" s="29">
        <f>'REG y VAL POE - AESR - ESR'!Z93</f>
        <v>0</v>
      </c>
      <c r="QY3" s="29">
        <f>'REG y VAL POE - AESR - ESR'!AA93</f>
        <v>0</v>
      </c>
      <c r="QZ3" s="29">
        <f>'REG y VAL POE - AESR - ESR'!AB93</f>
        <v>0</v>
      </c>
      <c r="RA3" s="29">
        <f>'REG y VAL POE - AESR - ESR'!AC93</f>
        <v>0</v>
      </c>
      <c r="RB3" s="29">
        <f>'REG y VAL POE - AESR - ESR'!AD93</f>
        <v>0</v>
      </c>
      <c r="RC3" s="29">
        <f>'REG y VAL POE - AESR - ESR'!AE93</f>
        <v>0</v>
      </c>
      <c r="RD3" s="29">
        <f>'REG y VAL POE - AESR - ESR'!AF93</f>
        <v>0</v>
      </c>
      <c r="RE3" s="29">
        <f>'REG y VAL POE - AESR - ESR'!AG93</f>
        <v>0</v>
      </c>
      <c r="RF3" s="29">
        <f>'REG y VAL POE - AESR - ESR'!AH93</f>
        <v>0</v>
      </c>
      <c r="RG3" s="29">
        <f>'REG y VAL POE - AESR - ESR'!AI93</f>
        <v>0</v>
      </c>
      <c r="RH3" s="29">
        <f>'REG y VAL POE - AESR - ESR'!AJ93</f>
        <v>0</v>
      </c>
      <c r="RI3" s="29">
        <f>'REG y VAL POE - AESR - ESR'!AK93</f>
        <v>0</v>
      </c>
      <c r="RJ3" s="29">
        <f>'REG y VAL POE - AESR - ESR'!AL93</f>
        <v>0</v>
      </c>
      <c r="RK3" s="29">
        <f>'REG y VAL POE - AESR - ESR'!AM93</f>
        <v>0</v>
      </c>
      <c r="RL3" s="29">
        <f>'REG y VAL POE - AESR - ESR'!AN93</f>
        <v>0</v>
      </c>
      <c r="RM3" s="29">
        <f>'REG y VAL POE - AESR - ESR'!AO93</f>
        <v>0</v>
      </c>
      <c r="RN3" s="29">
        <f>'REG y VAL POE - AESR - ESR'!AP93</f>
        <v>0</v>
      </c>
      <c r="RO3" s="29">
        <f>'REG y VAL POE - AESR - ESR'!AQ93</f>
        <v>0</v>
      </c>
      <c r="RP3" s="29">
        <f>'REG y VAL POE - AESR - ESR'!AR93</f>
        <v>0</v>
      </c>
      <c r="RQ3" s="29">
        <f>'REG y VAL POE - AESR - ESR'!AS93</f>
        <v>0</v>
      </c>
      <c r="RR3" s="27">
        <f>'REG y VAL POE - AESR - ESR'!B94</f>
        <v>0</v>
      </c>
      <c r="RS3" s="29">
        <f>'REG y VAL POE - AESR - ESR'!C94</f>
        <v>0</v>
      </c>
      <c r="RT3" s="28">
        <f>'REG y VAL POE - AESR - ESR'!D94</f>
        <v>0</v>
      </c>
      <c r="RU3" s="29">
        <f>'REG y VAL POE - AESR - ESR'!E94</f>
        <v>0</v>
      </c>
      <c r="RV3" s="28">
        <f>'REG y VAL POE - AESR - ESR'!F94</f>
        <v>0</v>
      </c>
      <c r="RW3" s="31">
        <f>'REG y VAL POE - AESR - ESR'!G94</f>
        <v>0</v>
      </c>
      <c r="RX3" s="31">
        <f>'REG y VAL POE - AESR - ESR'!H94</f>
        <v>0</v>
      </c>
      <c r="RY3" s="29">
        <f>'REG y VAL POE - AESR - ESR'!I94</f>
        <v>0</v>
      </c>
      <c r="RZ3" s="385">
        <f>'REG y VAL POE - AESR - ESR'!J94</f>
        <v>0</v>
      </c>
      <c r="SA3" s="29">
        <f>'REG y VAL POE - AESR - ESR'!K94</f>
        <v>0</v>
      </c>
      <c r="SB3" s="385">
        <f>'REG y VAL POE - AESR - ESR'!L94</f>
        <v>0</v>
      </c>
      <c r="SC3" s="29">
        <f>'REG y VAL POE - AESR - ESR'!M94</f>
        <v>0</v>
      </c>
      <c r="SD3" s="385">
        <f>'REG y VAL POE - AESR - ESR'!N94</f>
        <v>0</v>
      </c>
      <c r="SE3" s="29">
        <f>'REG y VAL POE - AESR - ESR'!O94</f>
        <v>0</v>
      </c>
      <c r="SF3" s="29">
        <f>'REG y VAL POE - AESR - ESR'!P94</f>
        <v>0</v>
      </c>
      <c r="SG3" s="29">
        <f>'REG y VAL POE - AESR - ESR'!Q94</f>
        <v>0</v>
      </c>
      <c r="SH3" s="29">
        <f>'REG y VAL POE - AESR - ESR'!R94</f>
        <v>0</v>
      </c>
      <c r="SI3" s="29">
        <f>'REG y VAL POE - AESR - ESR'!S94</f>
        <v>0</v>
      </c>
      <c r="SJ3" s="29">
        <f>'REG y VAL POE - AESR - ESR'!T94</f>
        <v>0</v>
      </c>
      <c r="SK3" s="29">
        <f>'REG y VAL POE - AESR - ESR'!U94</f>
        <v>0</v>
      </c>
      <c r="SL3" s="29">
        <f>'REG y VAL POE - AESR - ESR'!V94</f>
        <v>0</v>
      </c>
      <c r="SM3" s="29">
        <f>'REG y VAL POE - AESR - ESR'!W94</f>
        <v>0</v>
      </c>
      <c r="SN3" s="29">
        <f>'REG y VAL POE - AESR - ESR'!X94</f>
        <v>0</v>
      </c>
      <c r="SO3" s="29">
        <f>'REG y VAL POE - AESR - ESR'!Y94</f>
        <v>0</v>
      </c>
      <c r="SP3" s="29">
        <f>'REG y VAL POE - AESR - ESR'!Z94</f>
        <v>0</v>
      </c>
      <c r="SQ3" s="29">
        <f>'REG y VAL POE - AESR - ESR'!AA94</f>
        <v>0</v>
      </c>
      <c r="SR3" s="29">
        <f>'REG y VAL POE - AESR - ESR'!AB94</f>
        <v>0</v>
      </c>
      <c r="SS3" s="29">
        <f>'REG y VAL POE - AESR - ESR'!AC94</f>
        <v>0</v>
      </c>
      <c r="ST3" s="29">
        <f>'REG y VAL POE - AESR - ESR'!AD94</f>
        <v>0</v>
      </c>
      <c r="SU3" s="29">
        <f>'REG y VAL POE - AESR - ESR'!AE94</f>
        <v>0</v>
      </c>
      <c r="SV3" s="29">
        <f>'REG y VAL POE - AESR - ESR'!AF94</f>
        <v>0</v>
      </c>
      <c r="SW3" s="29">
        <f>'REG y VAL POE - AESR - ESR'!AG94</f>
        <v>0</v>
      </c>
      <c r="SX3" s="29">
        <f>'REG y VAL POE - AESR - ESR'!AH94</f>
        <v>0</v>
      </c>
      <c r="SY3" s="29">
        <f>'REG y VAL POE - AESR - ESR'!AI94</f>
        <v>0</v>
      </c>
      <c r="SZ3" s="29">
        <f>'REG y VAL POE - AESR - ESR'!AJ94</f>
        <v>0</v>
      </c>
      <c r="TA3" s="29">
        <f>'REG y VAL POE - AESR - ESR'!AK94</f>
        <v>0</v>
      </c>
      <c r="TB3" s="29">
        <f>'REG y VAL POE - AESR - ESR'!AL94</f>
        <v>0</v>
      </c>
      <c r="TC3" s="29">
        <f>'REG y VAL POE - AESR - ESR'!AM94</f>
        <v>0</v>
      </c>
      <c r="TD3" s="29">
        <f>'REG y VAL POE - AESR - ESR'!AN94</f>
        <v>0</v>
      </c>
      <c r="TE3" s="29">
        <f>'REG y VAL POE - AESR - ESR'!AO94</f>
        <v>0</v>
      </c>
      <c r="TF3" s="29">
        <f>'REG y VAL POE - AESR - ESR'!AP94</f>
        <v>0</v>
      </c>
      <c r="TG3" s="29">
        <f>'REG y VAL POE - AESR - ESR'!AQ94</f>
        <v>0</v>
      </c>
      <c r="TH3" s="29">
        <f>'REG y VAL POE - AESR - ESR'!AR94</f>
        <v>0</v>
      </c>
      <c r="TI3" s="29">
        <f>'REG y VAL POE - AESR - ESR'!AS94</f>
        <v>0</v>
      </c>
      <c r="TJ3" s="27">
        <f>'REG y VAL POE - AESR - ESR'!B95</f>
        <v>0</v>
      </c>
      <c r="TK3" s="29">
        <f>'REG y VAL POE - AESR - ESR'!C95</f>
        <v>0</v>
      </c>
      <c r="TL3" s="28">
        <f>'REG y VAL POE - AESR - ESR'!D95</f>
        <v>0</v>
      </c>
      <c r="TM3" s="29">
        <f>'REG y VAL POE - AESR - ESR'!E95</f>
        <v>0</v>
      </c>
      <c r="TN3" s="28">
        <f>'REG y VAL POE - AESR - ESR'!F95</f>
        <v>0</v>
      </c>
      <c r="TO3" s="31">
        <f>'REG y VAL POE - AESR - ESR'!G95</f>
        <v>0</v>
      </c>
      <c r="TP3" s="31">
        <f>'REG y VAL POE - AESR - ESR'!H95</f>
        <v>0</v>
      </c>
      <c r="TQ3" s="29">
        <f>'REG y VAL POE - AESR - ESR'!I95</f>
        <v>0</v>
      </c>
      <c r="TR3" s="385">
        <f>'REG y VAL POE - AESR - ESR'!J95</f>
        <v>0</v>
      </c>
      <c r="TS3" s="29">
        <f>'REG y VAL POE - AESR - ESR'!K95</f>
        <v>0</v>
      </c>
      <c r="TT3" s="385">
        <f>'REG y VAL POE - AESR - ESR'!L95</f>
        <v>0</v>
      </c>
      <c r="TU3" s="29">
        <f>'REG y VAL POE - AESR - ESR'!M95</f>
        <v>0</v>
      </c>
      <c r="TV3" s="385">
        <f>'REG y VAL POE - AESR - ESR'!N95</f>
        <v>0</v>
      </c>
      <c r="TW3" s="29">
        <f>'REG y VAL POE - AESR - ESR'!O95</f>
        <v>0</v>
      </c>
      <c r="TX3" s="29">
        <f>'REG y VAL POE - AESR - ESR'!P95</f>
        <v>0</v>
      </c>
      <c r="TY3" s="29">
        <f>'REG y VAL POE - AESR - ESR'!Q95</f>
        <v>0</v>
      </c>
      <c r="TZ3" s="29">
        <f>'REG y VAL POE - AESR - ESR'!R95</f>
        <v>0</v>
      </c>
      <c r="UA3" s="29">
        <f>'REG y VAL POE - AESR - ESR'!S95</f>
        <v>0</v>
      </c>
      <c r="UB3" s="29">
        <f>'REG y VAL POE - AESR - ESR'!T95</f>
        <v>0</v>
      </c>
      <c r="UC3" s="29">
        <f>'REG y VAL POE - AESR - ESR'!U95</f>
        <v>0</v>
      </c>
      <c r="UD3" s="29">
        <f>'REG y VAL POE - AESR - ESR'!V95</f>
        <v>0</v>
      </c>
      <c r="UE3" s="29">
        <f>'REG y VAL POE - AESR - ESR'!W95</f>
        <v>0</v>
      </c>
      <c r="UF3" s="29">
        <f>'REG y VAL POE - AESR - ESR'!X95</f>
        <v>0</v>
      </c>
      <c r="UG3" s="29">
        <f>'REG y VAL POE - AESR - ESR'!Y95</f>
        <v>0</v>
      </c>
      <c r="UH3" s="29">
        <f>'REG y VAL POE - AESR - ESR'!Z95</f>
        <v>0</v>
      </c>
      <c r="UI3" s="29">
        <f>'REG y VAL POE - AESR - ESR'!AA95</f>
        <v>0</v>
      </c>
      <c r="UJ3" s="29">
        <f>'REG y VAL POE - AESR - ESR'!AB95</f>
        <v>0</v>
      </c>
      <c r="UK3" s="29">
        <f>'REG y VAL POE - AESR - ESR'!AC95</f>
        <v>0</v>
      </c>
      <c r="UL3" s="29">
        <f>'REG y VAL POE - AESR - ESR'!AD95</f>
        <v>0</v>
      </c>
      <c r="UM3" s="29">
        <f>'REG y VAL POE - AESR - ESR'!AE95</f>
        <v>0</v>
      </c>
      <c r="UN3" s="29">
        <f>'REG y VAL POE - AESR - ESR'!AF95</f>
        <v>0</v>
      </c>
      <c r="UO3" s="29">
        <f>'REG y VAL POE - AESR - ESR'!AG95</f>
        <v>0</v>
      </c>
      <c r="UP3" s="29">
        <f>'REG y VAL POE - AESR - ESR'!AH95</f>
        <v>0</v>
      </c>
      <c r="UQ3" s="29">
        <f>'REG y VAL POE - AESR - ESR'!AI95</f>
        <v>0</v>
      </c>
      <c r="UR3" s="29">
        <f>'REG y VAL POE - AESR - ESR'!AJ95</f>
        <v>0</v>
      </c>
      <c r="US3" s="29">
        <f>'REG y VAL POE - AESR - ESR'!AK95</f>
        <v>0</v>
      </c>
      <c r="UT3" s="29">
        <f>'REG y VAL POE - AESR - ESR'!AL95</f>
        <v>0</v>
      </c>
      <c r="UU3" s="29">
        <f>'REG y VAL POE - AESR - ESR'!AM95</f>
        <v>0</v>
      </c>
      <c r="UV3" s="29">
        <f>'REG y VAL POE - AESR - ESR'!AN95</f>
        <v>0</v>
      </c>
      <c r="UW3" s="29">
        <f>'REG y VAL POE - AESR - ESR'!AO95</f>
        <v>0</v>
      </c>
      <c r="UX3" s="29">
        <f>'REG y VAL POE - AESR - ESR'!AP95</f>
        <v>0</v>
      </c>
      <c r="UY3" s="29">
        <f>'REG y VAL POE - AESR - ESR'!AQ95</f>
        <v>0</v>
      </c>
      <c r="UZ3" s="29">
        <f>'REG y VAL POE - AESR - ESR'!AR95</f>
        <v>0</v>
      </c>
      <c r="VA3" s="29">
        <f>'REG y VAL POE - AESR - ESR'!AS95</f>
        <v>0</v>
      </c>
      <c r="VB3" s="27">
        <f>'REG y VAL POE - AESR - ESR'!B96</f>
        <v>0</v>
      </c>
      <c r="VC3" s="29">
        <f>'REG y VAL POE - AESR - ESR'!C96</f>
        <v>0</v>
      </c>
      <c r="VD3" s="28">
        <f>'REG y VAL POE - AESR - ESR'!D96</f>
        <v>0</v>
      </c>
      <c r="VE3" s="29">
        <f>'REG y VAL POE - AESR - ESR'!E96</f>
        <v>0</v>
      </c>
      <c r="VF3" s="28">
        <f>'REG y VAL POE - AESR - ESR'!F96</f>
        <v>0</v>
      </c>
      <c r="VG3" s="31">
        <f>'REG y VAL POE - AESR - ESR'!G96</f>
        <v>0</v>
      </c>
      <c r="VH3" s="31">
        <f>'REG y VAL POE - AESR - ESR'!H96</f>
        <v>0</v>
      </c>
      <c r="VI3" s="29">
        <f>'REG y VAL POE - AESR - ESR'!I96</f>
        <v>0</v>
      </c>
      <c r="VJ3" s="385">
        <f>'REG y VAL POE - AESR - ESR'!J96</f>
        <v>0</v>
      </c>
      <c r="VK3" s="29">
        <f>'REG y VAL POE - AESR - ESR'!K96</f>
        <v>0</v>
      </c>
      <c r="VL3" s="385">
        <f>'REG y VAL POE - AESR - ESR'!L96</f>
        <v>0</v>
      </c>
      <c r="VM3" s="29">
        <f>'REG y VAL POE - AESR - ESR'!M96</f>
        <v>0</v>
      </c>
      <c r="VN3" s="385">
        <f>'REG y VAL POE - AESR - ESR'!N96</f>
        <v>0</v>
      </c>
      <c r="VO3" s="29">
        <f>'REG y VAL POE - AESR - ESR'!O96</f>
        <v>0</v>
      </c>
      <c r="VP3" s="29">
        <f>'REG y VAL POE - AESR - ESR'!P96</f>
        <v>0</v>
      </c>
      <c r="VQ3" s="29">
        <f>'REG y VAL POE - AESR - ESR'!Q96</f>
        <v>0</v>
      </c>
      <c r="VR3" s="29">
        <f>'REG y VAL POE - AESR - ESR'!R96</f>
        <v>0</v>
      </c>
      <c r="VS3" s="29">
        <f>'REG y VAL POE - AESR - ESR'!S96</f>
        <v>0</v>
      </c>
      <c r="VT3" s="29">
        <f>'REG y VAL POE - AESR - ESR'!T96</f>
        <v>0</v>
      </c>
      <c r="VU3" s="29">
        <f>'REG y VAL POE - AESR - ESR'!U96</f>
        <v>0</v>
      </c>
      <c r="VV3" s="29">
        <f>'REG y VAL POE - AESR - ESR'!V96</f>
        <v>0</v>
      </c>
      <c r="VW3" s="29">
        <f>'REG y VAL POE - AESR - ESR'!W96</f>
        <v>0</v>
      </c>
      <c r="VX3" s="29">
        <f>'REG y VAL POE - AESR - ESR'!X96</f>
        <v>0</v>
      </c>
      <c r="VY3" s="29">
        <f>'REG y VAL POE - AESR - ESR'!Y96</f>
        <v>0</v>
      </c>
      <c r="VZ3" s="29">
        <f>'REG y VAL POE - AESR - ESR'!Z96</f>
        <v>0</v>
      </c>
      <c r="WA3" s="29">
        <f>'REG y VAL POE - AESR - ESR'!AA96</f>
        <v>0</v>
      </c>
      <c r="WB3" s="29">
        <f>'REG y VAL POE - AESR - ESR'!AB96</f>
        <v>0</v>
      </c>
      <c r="WC3" s="29">
        <f>'REG y VAL POE - AESR - ESR'!AC96</f>
        <v>0</v>
      </c>
      <c r="WD3" s="29">
        <f>'REG y VAL POE - AESR - ESR'!AD96</f>
        <v>0</v>
      </c>
      <c r="WE3" s="29">
        <f>'REG y VAL POE - AESR - ESR'!AE96</f>
        <v>0</v>
      </c>
      <c r="WF3" s="29">
        <f>'REG y VAL POE - AESR - ESR'!AF96</f>
        <v>0</v>
      </c>
      <c r="WG3" s="29">
        <f>'REG y VAL POE - AESR - ESR'!AG96</f>
        <v>0</v>
      </c>
      <c r="WH3" s="29">
        <f>'REG y VAL POE - AESR - ESR'!AH96</f>
        <v>0</v>
      </c>
      <c r="WI3" s="29">
        <f>'REG y VAL POE - AESR - ESR'!AI96</f>
        <v>0</v>
      </c>
      <c r="WJ3" s="29">
        <f>'REG y VAL POE - AESR - ESR'!AJ96</f>
        <v>0</v>
      </c>
      <c r="WK3" s="29">
        <f>'REG y VAL POE - AESR - ESR'!AK96</f>
        <v>0</v>
      </c>
      <c r="WL3" s="29">
        <f>'REG y VAL POE - AESR - ESR'!AL96</f>
        <v>0</v>
      </c>
      <c r="WM3" s="29">
        <f>'REG y VAL POE - AESR - ESR'!AM96</f>
        <v>0</v>
      </c>
      <c r="WN3" s="29">
        <f>'REG y VAL POE - AESR - ESR'!AN96</f>
        <v>0</v>
      </c>
      <c r="WO3" s="29">
        <f>'REG y VAL POE - AESR - ESR'!AO96</f>
        <v>0</v>
      </c>
      <c r="WP3" s="29">
        <f>'REG y VAL POE - AESR - ESR'!AP96</f>
        <v>0</v>
      </c>
      <c r="WQ3" s="29">
        <f>'REG y VAL POE - AESR - ESR'!AQ96</f>
        <v>0</v>
      </c>
      <c r="WR3" s="29">
        <f>'REG y VAL POE - AESR - ESR'!AR96</f>
        <v>0</v>
      </c>
      <c r="WS3" s="29">
        <f>'REG y VAL POE - AESR - ESR'!AS96</f>
        <v>0</v>
      </c>
      <c r="WT3" s="27">
        <f>'REG y VAL POE - AESR - ESR'!B97</f>
        <v>0</v>
      </c>
      <c r="WU3" s="28">
        <f>'REG y VAL POE - AESR - ESR'!C97</f>
        <v>0</v>
      </c>
      <c r="WV3" s="29">
        <f>'REG y VAL POE - AESR - ESR'!D97</f>
        <v>0</v>
      </c>
      <c r="WW3" s="29">
        <f>'REG y VAL POE - AESR - ESR'!E97</f>
        <v>0</v>
      </c>
      <c r="WX3" s="29">
        <f>'REG y VAL POE - AESR - ESR'!F97</f>
        <v>0</v>
      </c>
      <c r="WY3" s="28">
        <f>'REG y VAL POE - AESR - ESR'!G97</f>
        <v>0</v>
      </c>
      <c r="WZ3" s="29">
        <f>'REG y VAL POE - AESR - ESR'!H97</f>
        <v>0</v>
      </c>
      <c r="XA3" s="29">
        <f>'REG y VAL POE - AESR - ESR'!I97</f>
        <v>0</v>
      </c>
      <c r="XB3" s="28">
        <f>'REG y VAL POE - AESR - ESR'!J97</f>
        <v>0</v>
      </c>
      <c r="XC3" s="29">
        <f>'REG y VAL POE - AESR - ESR'!K97</f>
        <v>0</v>
      </c>
      <c r="XD3" s="30">
        <f>'REG y VAL POE - AESR - ESR'!L97</f>
        <v>0</v>
      </c>
      <c r="XE3" s="28">
        <f>'REG y VAL POE - AESR - ESR'!M97</f>
        <v>0</v>
      </c>
      <c r="XF3" s="29">
        <f>'REG y VAL POE - AESR - ESR'!N97</f>
        <v>0</v>
      </c>
      <c r="XG3" s="29">
        <f>'REG y VAL POE - AESR - ESR'!O97</f>
        <v>0</v>
      </c>
      <c r="XH3" s="29">
        <f>'REG y VAL POE - AESR - ESR'!P97</f>
        <v>0</v>
      </c>
      <c r="XI3" s="28">
        <f>'REG y VAL POE - AESR - ESR'!Q97</f>
        <v>0</v>
      </c>
      <c r="XJ3" s="29">
        <f>'REG y VAL POE - AESR - ESR'!R97</f>
        <v>0</v>
      </c>
      <c r="XK3" s="29">
        <f>'REG y VAL POE - AESR - ESR'!S97</f>
        <v>0</v>
      </c>
      <c r="XL3" s="28">
        <f>'REG y VAL POE - AESR - ESR'!T97</f>
        <v>0</v>
      </c>
      <c r="XM3" s="29">
        <f>'REG y VAL POE - AESR - ESR'!U97</f>
        <v>0</v>
      </c>
      <c r="XN3" s="28">
        <f>'REG y VAL POE - AESR - ESR'!V97</f>
        <v>0</v>
      </c>
      <c r="XO3" s="28">
        <f>'REG y VAL POE - AESR - ESR'!W97</f>
        <v>0</v>
      </c>
      <c r="XP3" s="29">
        <f>'REG y VAL POE - AESR - ESR'!X97</f>
        <v>0</v>
      </c>
      <c r="XQ3" s="29">
        <f>'REG y VAL POE - AESR - ESR'!Y97</f>
        <v>0</v>
      </c>
      <c r="XR3" s="29">
        <f>'REG y VAL POE - AESR - ESR'!Z97</f>
        <v>0</v>
      </c>
      <c r="XS3" s="28">
        <f>'REG y VAL POE - AESR - ESR'!AA97</f>
        <v>0</v>
      </c>
      <c r="XT3" s="29">
        <f>'REG y VAL POE - AESR - ESR'!AB97</f>
        <v>0</v>
      </c>
      <c r="XU3" s="29">
        <f>'REG y VAL POE - AESR - ESR'!AC97</f>
        <v>0</v>
      </c>
      <c r="XV3" s="28">
        <f>'REG y VAL POE - AESR - ESR'!AD97</f>
        <v>0</v>
      </c>
      <c r="XW3" s="29">
        <f>'REG y VAL POE - AESR - ESR'!AE97</f>
        <v>0</v>
      </c>
      <c r="XX3" s="28">
        <f>'REG y VAL POE - AESR - ESR'!AF97</f>
        <v>0</v>
      </c>
      <c r="XY3" s="28">
        <f>'REG y VAL POE - AESR - ESR'!AG97</f>
        <v>0</v>
      </c>
      <c r="XZ3" s="29">
        <f>'REG y VAL POE - AESR - ESR'!AH97</f>
        <v>0</v>
      </c>
      <c r="YA3" s="29">
        <f>'REG y VAL POE - AESR - ESR'!AI97</f>
        <v>0</v>
      </c>
      <c r="YB3" s="29">
        <f>'REG y VAL POE - AESR - ESR'!AJ97</f>
        <v>0</v>
      </c>
      <c r="YC3" s="28">
        <f>'REG y VAL POE - AESR - ESR'!AK97</f>
        <v>0</v>
      </c>
      <c r="YD3" s="29">
        <f>'REG y VAL POE - AESR - ESR'!AL97</f>
        <v>0</v>
      </c>
      <c r="YE3" s="29">
        <f>'REG y VAL POE - AESR - ESR'!AM97</f>
        <v>0</v>
      </c>
      <c r="YF3" s="28">
        <f>'REG y VAL POE - AESR - ESR'!AN97</f>
        <v>0</v>
      </c>
      <c r="YG3" s="29">
        <f>'REG y VAL POE - AESR - ESR'!AO97</f>
        <v>0</v>
      </c>
      <c r="YH3" s="28">
        <f>'REG y VAL POE - AESR - ESR'!AP97</f>
        <v>0</v>
      </c>
      <c r="YI3" s="28">
        <f>'REG y VAL POE - AESR - ESR'!AQ97</f>
        <v>0</v>
      </c>
      <c r="YJ3" s="29">
        <f>'REG y VAL POE - AESR - ESR'!AR97</f>
        <v>0</v>
      </c>
      <c r="YK3" s="29">
        <f>'REG y VAL POE - AESR - ESR'!AS97</f>
        <v>0</v>
      </c>
      <c r="YL3" s="385">
        <f>'REG y VAL POE - AESR - ESR'!B98</f>
        <v>0</v>
      </c>
      <c r="YM3" s="28">
        <f>'REG y VAL POE - AESR - ESR'!C98</f>
        <v>0</v>
      </c>
      <c r="YN3" s="29">
        <f>'REG y VAL POE - AESR - ESR'!D98</f>
        <v>0</v>
      </c>
      <c r="YO3" s="29">
        <f>'REG y VAL POE - AESR - ESR'!E98</f>
        <v>0</v>
      </c>
      <c r="YP3" s="28">
        <f>'REG y VAL POE - AESR - ESR'!F98</f>
        <v>0</v>
      </c>
      <c r="YQ3" s="29">
        <f>'REG y VAL POE - AESR - ESR'!G98</f>
        <v>0</v>
      </c>
      <c r="YR3" s="30">
        <f>'REG y VAL POE - AESR - ESR'!H98</f>
        <v>0</v>
      </c>
      <c r="YS3" s="28">
        <f>'REG y VAL POE - AESR - ESR'!I98</f>
        <v>0</v>
      </c>
      <c r="YT3" s="29">
        <f>'REG y VAL POE - AESR - ESR'!J98</f>
        <v>0</v>
      </c>
      <c r="YU3" s="29">
        <f>'REG y VAL POE - AESR - ESR'!K98</f>
        <v>0</v>
      </c>
      <c r="YV3" s="29">
        <f>'REG y VAL POE - AESR - ESR'!L98</f>
        <v>0</v>
      </c>
      <c r="YW3" s="28">
        <f>'REG y VAL POE - AESR - ESR'!M98</f>
        <v>0</v>
      </c>
      <c r="YX3" s="29">
        <f>'REG y VAL POE - AESR - ESR'!N98</f>
        <v>0</v>
      </c>
      <c r="YY3" s="29">
        <f>'REG y VAL POE - AESR - ESR'!O98</f>
        <v>0</v>
      </c>
      <c r="YZ3" s="28">
        <f>'REG y VAL POE - AESR - ESR'!P98</f>
        <v>0</v>
      </c>
      <c r="ZA3" s="29">
        <f>'REG y VAL POE - AESR - ESR'!Q98</f>
        <v>0</v>
      </c>
      <c r="ZB3" s="30">
        <f>'REG y VAL POE - AESR - ESR'!R98</f>
        <v>0</v>
      </c>
      <c r="ZC3" s="28">
        <f>'REG y VAL POE - AESR - ESR'!S98</f>
        <v>0</v>
      </c>
      <c r="ZD3" s="29">
        <f>'REG y VAL POE - AESR - ESR'!T98</f>
        <v>0</v>
      </c>
      <c r="ZE3" s="29">
        <f>'REG y VAL POE - AESR - ESR'!U98</f>
        <v>0</v>
      </c>
      <c r="ZF3" s="29">
        <f>'REG y VAL POE - AESR - ESR'!V98</f>
        <v>0</v>
      </c>
      <c r="ZG3" s="28">
        <f>'REG y VAL POE - AESR - ESR'!W98</f>
        <v>0</v>
      </c>
      <c r="ZH3" s="29">
        <f>'REG y VAL POE - AESR - ESR'!X98</f>
        <v>0</v>
      </c>
      <c r="ZI3" s="29">
        <f>'REG y VAL POE - AESR - ESR'!Y98</f>
        <v>0</v>
      </c>
      <c r="ZJ3" s="28">
        <f>'REG y VAL POE - AESR - ESR'!Z98</f>
        <v>0</v>
      </c>
      <c r="ZK3" s="29">
        <f>'REG y VAL POE - AESR - ESR'!AA98</f>
        <v>0</v>
      </c>
      <c r="ZL3" s="30">
        <f>'REG y VAL POE - AESR - ESR'!AB98</f>
        <v>0</v>
      </c>
      <c r="ZM3" s="28">
        <f>'REG y VAL POE - AESR - ESR'!AC98</f>
        <v>0</v>
      </c>
      <c r="ZN3" s="29">
        <f>'REG y VAL POE - AESR - ESR'!AD98</f>
        <v>0</v>
      </c>
      <c r="ZO3" s="29">
        <f>'REG y VAL POE - AESR - ESR'!AE98</f>
        <v>0</v>
      </c>
      <c r="ZP3" s="29">
        <f>'REG y VAL POE - AESR - ESR'!AF98</f>
        <v>0</v>
      </c>
      <c r="ZQ3" s="28">
        <f>'REG y VAL POE - AESR - ESR'!AG98</f>
        <v>0</v>
      </c>
      <c r="ZR3" s="29">
        <f>'REG y VAL POE - AESR - ESR'!AH98</f>
        <v>0</v>
      </c>
      <c r="ZS3" s="29">
        <f>'REG y VAL POE - AESR - ESR'!AI98</f>
        <v>0</v>
      </c>
      <c r="ZT3" s="28">
        <f>'REG y VAL POE - AESR - ESR'!AJ98</f>
        <v>0</v>
      </c>
      <c r="ZU3" s="29">
        <f>'REG y VAL POE - AESR - ESR'!AK98</f>
        <v>0</v>
      </c>
      <c r="ZV3" s="28">
        <f>'REG y VAL POE - AESR - ESR'!AL98</f>
        <v>0</v>
      </c>
      <c r="ZW3" s="28">
        <f>'REG y VAL POE - AESR - ESR'!AM98</f>
        <v>0</v>
      </c>
      <c r="ZX3" s="29">
        <f>'REG y VAL POE - AESR - ESR'!AN98</f>
        <v>0</v>
      </c>
      <c r="ZY3" s="29">
        <f>'REG y VAL POE - AESR - ESR'!AO98</f>
        <v>0</v>
      </c>
      <c r="ZZ3" s="29">
        <f>'REG y VAL POE - AESR - ESR'!AP98</f>
        <v>0</v>
      </c>
      <c r="AAA3" s="28">
        <f>'REG y VAL POE - AESR - ESR'!AQ98</f>
        <v>0</v>
      </c>
      <c r="AAB3" s="29">
        <f>'REG y VAL POE - AESR - ESR'!AR98</f>
        <v>0</v>
      </c>
      <c r="AAC3" s="29">
        <f>'REG y VAL POE - AESR - ESR'!AS98</f>
        <v>0</v>
      </c>
      <c r="AAD3" s="27">
        <f>'REG y VAL POE - AESR - ESR'!B99</f>
        <v>0</v>
      </c>
      <c r="AAE3" s="29">
        <f>'REG y VAL POE - AESR - ESR'!C99</f>
        <v>0</v>
      </c>
      <c r="AAF3" s="28">
        <f>'REG y VAL POE - AESR - ESR'!D99</f>
        <v>0</v>
      </c>
      <c r="AAG3" s="28">
        <f>'REG y VAL POE - AESR - ESR'!E99</f>
        <v>0</v>
      </c>
      <c r="AAH3" s="29">
        <f>'REG y VAL POE - AESR - ESR'!F99</f>
        <v>0</v>
      </c>
      <c r="AAI3" s="29">
        <f>'REG y VAL POE - AESR - ESR'!G99</f>
        <v>0</v>
      </c>
      <c r="AAJ3" s="29">
        <f>'REG y VAL POE - AESR - ESR'!H99</f>
        <v>0</v>
      </c>
      <c r="AAK3" s="28">
        <f>'REG y VAL POE - AESR - ESR'!I99</f>
        <v>0</v>
      </c>
      <c r="AAL3" s="29">
        <f>'REG y VAL POE - AESR - ESR'!J99</f>
        <v>0</v>
      </c>
      <c r="AAM3" s="29">
        <f>'REG y VAL POE - AESR - ESR'!K99</f>
        <v>0</v>
      </c>
      <c r="AAN3" s="28">
        <f>'REG y VAL POE - AESR - ESR'!L99</f>
        <v>0</v>
      </c>
      <c r="AAO3" s="29">
        <f>'REG y VAL POE - AESR - ESR'!M99</f>
        <v>0</v>
      </c>
      <c r="AAP3" s="28">
        <f>'REG y VAL POE - AESR - ESR'!N99</f>
        <v>0</v>
      </c>
      <c r="AAQ3" s="28">
        <f>'REG y VAL POE - AESR - ESR'!O99</f>
        <v>0</v>
      </c>
      <c r="AAR3" s="29">
        <f>'REG y VAL POE - AESR - ESR'!P99</f>
        <v>0</v>
      </c>
      <c r="AAS3" s="29">
        <f>'REG y VAL POE - AESR - ESR'!Q99</f>
        <v>0</v>
      </c>
      <c r="AAT3" s="29">
        <f>'REG y VAL POE - AESR - ESR'!R99</f>
        <v>0</v>
      </c>
      <c r="AAU3" s="28">
        <f>'REG y VAL POE - AESR - ESR'!S99</f>
        <v>0</v>
      </c>
      <c r="AAV3" s="29">
        <f>'REG y VAL POE - AESR - ESR'!T99</f>
        <v>0</v>
      </c>
      <c r="AAW3" s="29">
        <f>'REG y VAL POE - AESR - ESR'!U99</f>
        <v>0</v>
      </c>
      <c r="AAX3" s="28">
        <f>'REG y VAL POE - AESR - ESR'!V99</f>
        <v>0</v>
      </c>
      <c r="AAY3" s="29">
        <f>'REG y VAL POE - AESR - ESR'!W99</f>
        <v>0</v>
      </c>
      <c r="AAZ3" s="28">
        <f>'REG y VAL POE - AESR - ESR'!X99</f>
        <v>0</v>
      </c>
      <c r="ABA3" s="28">
        <f>'REG y VAL POE - AESR - ESR'!Y99</f>
        <v>0</v>
      </c>
      <c r="ABB3" s="29">
        <f>'REG y VAL POE - AESR - ESR'!Z99</f>
        <v>0</v>
      </c>
      <c r="ABC3" s="29">
        <f>'REG y VAL POE - AESR - ESR'!AA99</f>
        <v>0</v>
      </c>
      <c r="ABD3" s="29">
        <f>'REG y VAL POE - AESR - ESR'!AB99</f>
        <v>0</v>
      </c>
      <c r="ABE3" s="28">
        <f>'REG y VAL POE - AESR - ESR'!AC99</f>
        <v>0</v>
      </c>
      <c r="ABF3" s="29">
        <f>'REG y VAL POE - AESR - ESR'!AD99</f>
        <v>0</v>
      </c>
      <c r="ABG3" s="29">
        <f>'REG y VAL POE - AESR - ESR'!AE99</f>
        <v>0</v>
      </c>
      <c r="ABH3" s="28">
        <f>'REG y VAL POE - AESR - ESR'!AF99</f>
        <v>0</v>
      </c>
      <c r="ABI3" s="29">
        <f>'REG y VAL POE - AESR - ESR'!AG99</f>
        <v>0</v>
      </c>
      <c r="ABJ3" s="28">
        <f>'REG y VAL POE - AESR - ESR'!AH99</f>
        <v>0</v>
      </c>
      <c r="ABK3" s="28">
        <f>'REG y VAL POE - AESR - ESR'!AI99</f>
        <v>0</v>
      </c>
      <c r="ABL3" s="29">
        <f>'REG y VAL POE - AESR - ESR'!AJ99</f>
        <v>0</v>
      </c>
      <c r="ABM3" s="29">
        <f>'REG y VAL POE - AESR - ESR'!AK99</f>
        <v>0</v>
      </c>
      <c r="ABN3" s="29">
        <f>'REG y VAL POE - AESR - ESR'!AL99</f>
        <v>0</v>
      </c>
      <c r="ABO3" s="28">
        <f>'REG y VAL POE - AESR - ESR'!AM99</f>
        <v>0</v>
      </c>
      <c r="ABP3" s="29">
        <f>'REG y VAL POE - AESR - ESR'!AN99</f>
        <v>0</v>
      </c>
      <c r="ABQ3" s="29">
        <f>'REG y VAL POE - AESR - ESR'!AO99</f>
        <v>0</v>
      </c>
      <c r="ABR3" s="28">
        <f>'REG y VAL POE - AESR - ESR'!AP99</f>
        <v>0</v>
      </c>
      <c r="ABS3" s="29">
        <f>'REG y VAL POE - AESR - ESR'!AQ99</f>
        <v>0</v>
      </c>
      <c r="ABT3" s="28">
        <f>'REG y VAL POE - AESR - ESR'!AR99</f>
        <v>0</v>
      </c>
      <c r="ABU3" s="28">
        <f>'REG y VAL POE - AESR - ESR'!AS99</f>
        <v>0</v>
      </c>
      <c r="ABV3" s="385">
        <f>'REG y VAL POE - AESR - ESR'!B100</f>
        <v>0</v>
      </c>
      <c r="ABW3" s="29">
        <f>'REG y VAL POE - AESR - ESR'!C100</f>
        <v>0</v>
      </c>
      <c r="ABX3" s="29">
        <f>'REG y VAL POE - AESR - ESR'!D100</f>
        <v>0</v>
      </c>
      <c r="ABY3" s="28">
        <f>'REG y VAL POE - AESR - ESR'!E100</f>
        <v>0</v>
      </c>
      <c r="ABZ3" s="29">
        <f>'REG y VAL POE - AESR - ESR'!F100</f>
        <v>0</v>
      </c>
      <c r="ACA3" s="29">
        <f>'REG y VAL POE - AESR - ESR'!G100</f>
        <v>0</v>
      </c>
      <c r="ACB3" s="28">
        <f>'REG y VAL POE - AESR - ESR'!H100</f>
        <v>0</v>
      </c>
      <c r="ACC3" s="29">
        <f>'REG y VAL POE - AESR - ESR'!I100</f>
        <v>0</v>
      </c>
      <c r="ACD3" s="30">
        <f>'REG y VAL POE - AESR - ESR'!J100</f>
        <v>0</v>
      </c>
      <c r="ACE3" s="28">
        <f>'REG y VAL POE - AESR - ESR'!K100</f>
        <v>0</v>
      </c>
      <c r="ACF3" s="29">
        <f>'REG y VAL POE - AESR - ESR'!L100</f>
        <v>0</v>
      </c>
      <c r="ACG3" s="29">
        <f>'REG y VAL POE - AESR - ESR'!M100</f>
        <v>0</v>
      </c>
      <c r="ACH3" s="29">
        <f>'REG y VAL POE - AESR - ESR'!N100</f>
        <v>0</v>
      </c>
      <c r="ACI3" s="28">
        <f>'REG y VAL POE - AESR - ESR'!O100</f>
        <v>0</v>
      </c>
      <c r="ACJ3" s="29">
        <f>'REG y VAL POE - AESR - ESR'!P100</f>
        <v>0</v>
      </c>
      <c r="ACK3" s="29">
        <f>'REG y VAL POE - AESR - ESR'!Q100</f>
        <v>0</v>
      </c>
      <c r="ACL3" s="28">
        <f>'REG y VAL POE - AESR - ESR'!R100</f>
        <v>0</v>
      </c>
      <c r="ACM3" s="29">
        <f>'REG y VAL POE - AESR - ESR'!S100</f>
        <v>0</v>
      </c>
      <c r="ACN3" s="28">
        <f>'REG y VAL POE - AESR - ESR'!T100</f>
        <v>0</v>
      </c>
      <c r="ACO3" s="28">
        <f>'REG y VAL POE - AESR - ESR'!U100</f>
        <v>0</v>
      </c>
      <c r="ACP3" s="29">
        <f>'REG y VAL POE - AESR - ESR'!V100</f>
        <v>0</v>
      </c>
      <c r="ACQ3" s="29">
        <f>'REG y VAL POE - AESR - ESR'!W100</f>
        <v>0</v>
      </c>
      <c r="ACR3" s="29">
        <f>'REG y VAL POE - AESR - ESR'!X100</f>
        <v>0</v>
      </c>
      <c r="ACS3" s="28">
        <f>'REG y VAL POE - AESR - ESR'!Y100</f>
        <v>0</v>
      </c>
      <c r="ACT3" s="29">
        <f>'REG y VAL POE - AESR - ESR'!Z100</f>
        <v>0</v>
      </c>
      <c r="ACU3" s="29">
        <f>'REG y VAL POE - AESR - ESR'!AA100</f>
        <v>0</v>
      </c>
      <c r="ACV3" s="28">
        <f>'REG y VAL POE - AESR - ESR'!AB100</f>
        <v>0</v>
      </c>
      <c r="ACW3" s="29">
        <f>'REG y VAL POE - AESR - ESR'!AC100</f>
        <v>0</v>
      </c>
      <c r="ACX3" s="28">
        <f>'REG y VAL POE - AESR - ESR'!AD100</f>
        <v>0</v>
      </c>
      <c r="ACY3" s="28">
        <f>'REG y VAL POE - AESR - ESR'!AE100</f>
        <v>0</v>
      </c>
      <c r="ACZ3" s="29">
        <f>'REG y VAL POE - AESR - ESR'!AF100</f>
        <v>0</v>
      </c>
      <c r="ADA3" s="29">
        <f>'REG y VAL POE - AESR - ESR'!AG100</f>
        <v>0</v>
      </c>
      <c r="ADB3" s="29">
        <f>'REG y VAL POE - AESR - ESR'!AH100</f>
        <v>0</v>
      </c>
      <c r="ADC3" s="28">
        <f>'REG y VAL POE - AESR - ESR'!AI100</f>
        <v>0</v>
      </c>
      <c r="ADD3" s="29">
        <f>'REG y VAL POE - AESR - ESR'!AJ100</f>
        <v>0</v>
      </c>
      <c r="ADE3" s="29">
        <f>'REG y VAL POE - AESR - ESR'!AK100</f>
        <v>0</v>
      </c>
      <c r="ADF3" s="28">
        <f>'REG y VAL POE - AESR - ESR'!AL100</f>
        <v>0</v>
      </c>
      <c r="ADG3" s="29">
        <f>'REG y VAL POE - AESR - ESR'!AM100</f>
        <v>0</v>
      </c>
      <c r="ADH3" s="28">
        <f>'REG y VAL POE - AESR - ESR'!AN100</f>
        <v>0</v>
      </c>
      <c r="ADI3" s="28">
        <f>'REG y VAL POE - AESR - ESR'!AO100</f>
        <v>0</v>
      </c>
      <c r="ADJ3" s="29">
        <f>'REG y VAL POE - AESR - ESR'!AP100</f>
        <v>0</v>
      </c>
      <c r="ADK3" s="29">
        <f>'REG y VAL POE - AESR - ESR'!AQ100</f>
        <v>0</v>
      </c>
      <c r="ADL3" s="29">
        <f>'REG y VAL POE - AESR - ESR'!AR100</f>
        <v>0</v>
      </c>
      <c r="ADM3" s="28">
        <f>'REG y VAL POE - AESR - ESR'!AS100</f>
        <v>0</v>
      </c>
      <c r="ADN3" s="385">
        <f>'REG y VAL POE - AESR - ESR'!B101</f>
        <v>0</v>
      </c>
      <c r="ADO3" s="29">
        <f>'REG y VAL POE - AESR - ESR'!C101</f>
        <v>0</v>
      </c>
      <c r="ADP3" s="28">
        <f>'REG y VAL POE - AESR - ESR'!D101</f>
        <v>0</v>
      </c>
      <c r="ADQ3" s="29">
        <f>'REG y VAL POE - AESR - ESR'!E101</f>
        <v>0</v>
      </c>
      <c r="ADR3" s="28">
        <f>'REG y VAL POE - AESR - ESR'!F101</f>
        <v>0</v>
      </c>
      <c r="ADS3" s="28">
        <f>'REG y VAL POE - AESR - ESR'!G101</f>
        <v>0</v>
      </c>
      <c r="ADT3" s="29">
        <f>'REG y VAL POE - AESR - ESR'!H101</f>
        <v>0</v>
      </c>
      <c r="ADU3" s="29">
        <f>'REG y VAL POE - AESR - ESR'!I101</f>
        <v>0</v>
      </c>
      <c r="ADV3" s="29">
        <f>'REG y VAL POE - AESR - ESR'!J101</f>
        <v>0</v>
      </c>
      <c r="ADW3" s="28">
        <f>'REG y VAL POE - AESR - ESR'!K101</f>
        <v>0</v>
      </c>
      <c r="ADX3" s="29">
        <f>'REG y VAL POE - AESR - ESR'!L101</f>
        <v>0</v>
      </c>
      <c r="ADY3" s="29">
        <f>'REG y VAL POE - AESR - ESR'!M101</f>
        <v>0</v>
      </c>
      <c r="ADZ3" s="28">
        <f>'REG y VAL POE - AESR - ESR'!N101</f>
        <v>0</v>
      </c>
      <c r="AEA3" s="29">
        <f>'REG y VAL POE - AESR - ESR'!O101</f>
        <v>0</v>
      </c>
      <c r="AEB3" s="28">
        <f>'REG y VAL POE - AESR - ESR'!P101</f>
        <v>0</v>
      </c>
      <c r="AEC3" s="28">
        <f>'REG y VAL POE - AESR - ESR'!Q101</f>
        <v>0</v>
      </c>
      <c r="AED3" s="29">
        <f>'REG y VAL POE - AESR - ESR'!R101</f>
        <v>0</v>
      </c>
      <c r="AEE3" s="29">
        <f>'REG y VAL POE - AESR - ESR'!S101</f>
        <v>0</v>
      </c>
      <c r="AEF3" s="29">
        <f>'REG y VAL POE - AESR - ESR'!T101</f>
        <v>0</v>
      </c>
      <c r="AEG3" s="28">
        <f>'REG y VAL POE - AESR - ESR'!U101</f>
        <v>0</v>
      </c>
      <c r="AEH3" s="29">
        <f>'REG y VAL POE - AESR - ESR'!V101</f>
        <v>0</v>
      </c>
      <c r="AEI3" s="29">
        <f>'REG y VAL POE - AESR - ESR'!W101</f>
        <v>0</v>
      </c>
      <c r="AEJ3" s="28">
        <f>'REG y VAL POE - AESR - ESR'!X101</f>
        <v>0</v>
      </c>
      <c r="AEK3" s="29">
        <f>'REG y VAL POE - AESR - ESR'!Y101</f>
        <v>0</v>
      </c>
      <c r="AEL3" s="28">
        <f>'REG y VAL POE - AESR - ESR'!Z101</f>
        <v>0</v>
      </c>
      <c r="AEM3" s="28">
        <f>'REG y VAL POE - AESR - ESR'!AA101</f>
        <v>0</v>
      </c>
      <c r="AEN3" s="29">
        <f>'REG y VAL POE - AESR - ESR'!AB101</f>
        <v>0</v>
      </c>
      <c r="AEO3" s="29">
        <f>'REG y VAL POE - AESR - ESR'!AC101</f>
        <v>0</v>
      </c>
      <c r="AEP3" s="29">
        <f>'REG y VAL POE - AESR - ESR'!AD101</f>
        <v>0</v>
      </c>
      <c r="AEQ3" s="28">
        <f>'REG y VAL POE - AESR - ESR'!AE101</f>
        <v>0</v>
      </c>
      <c r="AER3" s="29">
        <f>'REG y VAL POE - AESR - ESR'!AF101</f>
        <v>0</v>
      </c>
      <c r="AES3" s="29">
        <f>'REG y VAL POE - AESR - ESR'!AG101</f>
        <v>0</v>
      </c>
      <c r="AET3" s="28">
        <f>'REG y VAL POE - AESR - ESR'!AH101</f>
        <v>0</v>
      </c>
      <c r="AEU3" s="29">
        <f>'REG y VAL POE - AESR - ESR'!AI101</f>
        <v>0</v>
      </c>
      <c r="AEV3" s="28">
        <f>'REG y VAL POE - AESR - ESR'!AJ101</f>
        <v>0</v>
      </c>
      <c r="AEW3" s="28">
        <f>'REG y VAL POE - AESR - ESR'!AK101</f>
        <v>0</v>
      </c>
      <c r="AEX3" s="29">
        <f>'REG y VAL POE - AESR - ESR'!AL101</f>
        <v>0</v>
      </c>
      <c r="AEY3" s="29">
        <f>'REG y VAL POE - AESR - ESR'!AM101</f>
        <v>0</v>
      </c>
      <c r="AEZ3" s="29">
        <f>'REG y VAL POE - AESR - ESR'!AN101</f>
        <v>0</v>
      </c>
      <c r="AFA3" s="28">
        <f>'REG y VAL POE - AESR - ESR'!AO101</f>
        <v>0</v>
      </c>
      <c r="AFB3" s="29">
        <f>'REG y VAL POE - AESR - ESR'!AP101</f>
        <v>0</v>
      </c>
      <c r="AFC3" s="29">
        <f>'REG y VAL POE - AESR - ESR'!AQ101</f>
        <v>0</v>
      </c>
      <c r="AFD3" s="28">
        <f>'REG y VAL POE - AESR - ESR'!AR101</f>
        <v>0</v>
      </c>
      <c r="AFE3" s="29">
        <f>'REG y VAL POE - AESR - ESR'!AS101</f>
        <v>0</v>
      </c>
      <c r="AFF3" s="27">
        <f>'REG y VAL POE - AESR - ESR'!B102</f>
        <v>0</v>
      </c>
      <c r="AFG3" s="28">
        <f>'REG y VAL POE - AESR - ESR'!C102</f>
        <v>0</v>
      </c>
      <c r="AFH3" s="29">
        <f>'REG y VAL POE - AESR - ESR'!D102</f>
        <v>0</v>
      </c>
      <c r="AFI3" s="29">
        <f>'REG y VAL POE - AESR - ESR'!E102</f>
        <v>0</v>
      </c>
      <c r="AFJ3" s="29">
        <f>'REG y VAL POE - AESR - ESR'!F102</f>
        <v>0</v>
      </c>
      <c r="AFK3" s="28">
        <f>'REG y VAL POE - AESR - ESR'!G102</f>
        <v>0</v>
      </c>
      <c r="AFL3" s="29">
        <f>'REG y VAL POE - AESR - ESR'!H102</f>
        <v>0</v>
      </c>
      <c r="AFM3" s="29">
        <f>'REG y VAL POE - AESR - ESR'!I102</f>
        <v>0</v>
      </c>
      <c r="AFN3" s="28">
        <f>'REG y VAL POE - AESR - ESR'!J102</f>
        <v>0</v>
      </c>
      <c r="AFO3" s="29">
        <f>'REG y VAL POE - AESR - ESR'!K102</f>
        <v>0</v>
      </c>
      <c r="AFP3" s="28">
        <f>'REG y VAL POE - AESR - ESR'!L102</f>
        <v>0</v>
      </c>
      <c r="AFQ3" s="28">
        <f>'REG y VAL POE - AESR - ESR'!M102</f>
        <v>0</v>
      </c>
      <c r="AFR3" s="29">
        <f>'REG y VAL POE - AESR - ESR'!N102</f>
        <v>0</v>
      </c>
      <c r="AFS3" s="29">
        <f>'REG y VAL POE - AESR - ESR'!O102</f>
        <v>0</v>
      </c>
      <c r="AFT3" s="29">
        <f>'REG y VAL POE - AESR - ESR'!P102</f>
        <v>0</v>
      </c>
      <c r="AFU3" s="28">
        <f>'REG y VAL POE - AESR - ESR'!Q102</f>
        <v>0</v>
      </c>
      <c r="AFV3" s="29">
        <f>'REG y VAL POE - AESR - ESR'!R102</f>
        <v>0</v>
      </c>
      <c r="AFW3" s="29">
        <f>'REG y VAL POE - AESR - ESR'!S102</f>
        <v>0</v>
      </c>
      <c r="AFX3" s="28">
        <f>'REG y VAL POE - AESR - ESR'!T102</f>
        <v>0</v>
      </c>
      <c r="AFY3" s="29">
        <f>'REG y VAL POE - AESR - ESR'!U102</f>
        <v>0</v>
      </c>
      <c r="AFZ3" s="28">
        <f>'REG y VAL POE - AESR - ESR'!V102</f>
        <v>0</v>
      </c>
      <c r="AGA3" s="28">
        <f>'REG y VAL POE - AESR - ESR'!W102</f>
        <v>0</v>
      </c>
      <c r="AGB3" s="29">
        <f>'REG y VAL POE - AESR - ESR'!X102</f>
        <v>0</v>
      </c>
      <c r="AGC3" s="29">
        <f>'REG y VAL POE - AESR - ESR'!Y102</f>
        <v>0</v>
      </c>
      <c r="AGD3" s="29">
        <f>'REG y VAL POE - AESR - ESR'!Z102</f>
        <v>0</v>
      </c>
      <c r="AGE3" s="28">
        <f>'REG y VAL POE - AESR - ESR'!AA102</f>
        <v>0</v>
      </c>
      <c r="AGF3" s="29">
        <f>'REG y VAL POE - AESR - ESR'!AB102</f>
        <v>0</v>
      </c>
      <c r="AGG3" s="29">
        <f>'REG y VAL POE - AESR - ESR'!AC102</f>
        <v>0</v>
      </c>
      <c r="AGH3" s="28">
        <f>'REG y VAL POE - AESR - ESR'!AD102</f>
        <v>0</v>
      </c>
      <c r="AGI3" s="29">
        <f>'REG y VAL POE - AESR - ESR'!AE102</f>
        <v>0</v>
      </c>
      <c r="AGJ3" s="28">
        <f>'REG y VAL POE - AESR - ESR'!AF102</f>
        <v>0</v>
      </c>
      <c r="AGK3" s="28">
        <f>'REG y VAL POE - AESR - ESR'!AG102</f>
        <v>0</v>
      </c>
      <c r="AGL3" s="29">
        <f>'REG y VAL POE - AESR - ESR'!AH102</f>
        <v>0</v>
      </c>
      <c r="AGM3" s="29">
        <f>'REG y VAL POE - AESR - ESR'!AI102</f>
        <v>0</v>
      </c>
      <c r="AGN3" s="29">
        <f>'REG y VAL POE - AESR - ESR'!AJ102</f>
        <v>0</v>
      </c>
      <c r="AGO3" s="28">
        <f>'REG y VAL POE - AESR - ESR'!AK102</f>
        <v>0</v>
      </c>
      <c r="AGP3" s="29">
        <f>'REG y VAL POE - AESR - ESR'!AL102</f>
        <v>0</v>
      </c>
      <c r="AGQ3" s="29">
        <f>'REG y VAL POE - AESR - ESR'!AM102</f>
        <v>0</v>
      </c>
      <c r="AGR3" s="28">
        <f>'REG y VAL POE - AESR - ESR'!AN102</f>
        <v>0</v>
      </c>
      <c r="AGS3" s="29">
        <f>'REG y VAL POE - AESR - ESR'!AO102</f>
        <v>0</v>
      </c>
      <c r="AGT3" s="28">
        <f>'REG y VAL POE - AESR - ESR'!AP102</f>
        <v>0</v>
      </c>
      <c r="AGU3" s="28">
        <f>'REG y VAL POE - AESR - ESR'!AQ102</f>
        <v>0</v>
      </c>
      <c r="AGV3" s="29">
        <f>'REG y VAL POE - AESR - ESR'!AR102</f>
        <v>0</v>
      </c>
      <c r="AGW3" s="29">
        <f>'REG y VAL POE - AESR - ESR'!AS102</f>
        <v>0</v>
      </c>
      <c r="AGX3" s="385">
        <f>'REG y VAL POE - AESR - ESR'!B103</f>
        <v>0</v>
      </c>
      <c r="AGY3" s="28">
        <f>'REG y VAL POE - AESR - ESR'!C103</f>
        <v>0</v>
      </c>
      <c r="AGZ3" s="29">
        <f>'REG y VAL POE - AESR - ESR'!D103</f>
        <v>0</v>
      </c>
      <c r="AHA3" s="29">
        <f>'REG y VAL POE - AESR - ESR'!E103</f>
        <v>0</v>
      </c>
      <c r="AHB3" s="28">
        <f>'REG y VAL POE - AESR - ESR'!F103</f>
        <v>0</v>
      </c>
      <c r="AHC3" s="29">
        <f>'REG y VAL POE - AESR - ESR'!G103</f>
        <v>0</v>
      </c>
      <c r="AHD3" s="28">
        <f>'REG y VAL POE - AESR - ESR'!H103</f>
        <v>0</v>
      </c>
      <c r="AHE3" s="28">
        <f>'REG y VAL POE - AESR - ESR'!I103</f>
        <v>0</v>
      </c>
      <c r="AHF3" s="29">
        <f>'REG y VAL POE - AESR - ESR'!J103</f>
        <v>0</v>
      </c>
      <c r="AHG3" s="29">
        <f>'REG y VAL POE - AESR - ESR'!K103</f>
        <v>0</v>
      </c>
      <c r="AHH3" s="29">
        <f>'REG y VAL POE - AESR - ESR'!L103</f>
        <v>0</v>
      </c>
      <c r="AHI3" s="28">
        <f>'REG y VAL POE - AESR - ESR'!M103</f>
        <v>0</v>
      </c>
      <c r="AHJ3" s="29">
        <f>'REG y VAL POE - AESR - ESR'!N103</f>
        <v>0</v>
      </c>
      <c r="AHK3" s="29">
        <f>'REG y VAL POE - AESR - ESR'!O103</f>
        <v>0</v>
      </c>
      <c r="AHL3" s="28">
        <f>'REG y VAL POE - AESR - ESR'!P103</f>
        <v>0</v>
      </c>
      <c r="AHM3" s="29">
        <f>'REG y VAL POE - AESR - ESR'!Q103</f>
        <v>0</v>
      </c>
      <c r="AHN3" s="28">
        <f>'REG y VAL POE - AESR - ESR'!R103</f>
        <v>0</v>
      </c>
      <c r="AHO3" s="28">
        <f>'REG y VAL POE - AESR - ESR'!S103</f>
        <v>0</v>
      </c>
      <c r="AHP3" s="29">
        <f>'REG y VAL POE - AESR - ESR'!T103</f>
        <v>0</v>
      </c>
      <c r="AHQ3" s="29">
        <f>'REG y VAL POE - AESR - ESR'!U103</f>
        <v>0</v>
      </c>
      <c r="AHR3" s="29">
        <f>'REG y VAL POE - AESR - ESR'!V103</f>
        <v>0</v>
      </c>
      <c r="AHS3" s="28">
        <f>'REG y VAL POE - AESR - ESR'!W103</f>
        <v>0</v>
      </c>
      <c r="AHT3" s="29">
        <f>'REG y VAL POE - AESR - ESR'!X103</f>
        <v>0</v>
      </c>
      <c r="AHU3" s="29">
        <f>'REG y VAL POE - AESR - ESR'!Y103</f>
        <v>0</v>
      </c>
      <c r="AHV3" s="28">
        <f>'REG y VAL POE - AESR - ESR'!Z103</f>
        <v>0</v>
      </c>
      <c r="AHW3" s="29">
        <f>'REG y VAL POE - AESR - ESR'!AA103</f>
        <v>0</v>
      </c>
      <c r="AHX3" s="28">
        <f>'REG y VAL POE - AESR - ESR'!AB103</f>
        <v>0</v>
      </c>
      <c r="AHY3" s="28">
        <f>'REG y VAL POE - AESR - ESR'!AC103</f>
        <v>0</v>
      </c>
      <c r="AHZ3" s="29">
        <f>'REG y VAL POE - AESR - ESR'!AD103</f>
        <v>0</v>
      </c>
      <c r="AIA3" s="29">
        <f>'REG y VAL POE - AESR - ESR'!AE103</f>
        <v>0</v>
      </c>
      <c r="AIB3" s="29">
        <f>'REG y VAL POE - AESR - ESR'!AF103</f>
        <v>0</v>
      </c>
      <c r="AIC3" s="28">
        <f>'REG y VAL POE - AESR - ESR'!AG103</f>
        <v>0</v>
      </c>
      <c r="AID3" s="29">
        <f>'REG y VAL POE - AESR - ESR'!AH103</f>
        <v>0</v>
      </c>
      <c r="AIE3" s="29">
        <f>'REG y VAL POE - AESR - ESR'!AI103</f>
        <v>0</v>
      </c>
      <c r="AIF3" s="28">
        <f>'REG y VAL POE - AESR - ESR'!AJ103</f>
        <v>0</v>
      </c>
      <c r="AIG3" s="29">
        <f>'REG y VAL POE - AESR - ESR'!AK103</f>
        <v>0</v>
      </c>
      <c r="AIH3" s="28">
        <f>'REG y VAL POE - AESR - ESR'!AL103</f>
        <v>0</v>
      </c>
      <c r="AII3" s="28">
        <f>'REG y VAL POE - AESR - ESR'!AM103</f>
        <v>0</v>
      </c>
      <c r="AIJ3" s="29">
        <f>'REG y VAL POE - AESR - ESR'!AN103</f>
        <v>0</v>
      </c>
      <c r="AIK3" s="29">
        <f>'REG y VAL POE - AESR - ESR'!AO103</f>
        <v>0</v>
      </c>
      <c r="AIL3" s="29">
        <f>'REG y VAL POE - AESR - ESR'!AP103</f>
        <v>0</v>
      </c>
      <c r="AIM3" s="28">
        <f>'REG y VAL POE - AESR - ESR'!AQ103</f>
        <v>0</v>
      </c>
      <c r="AIN3" s="29">
        <f>'REG y VAL POE - AESR - ESR'!AR103</f>
        <v>0</v>
      </c>
      <c r="AIO3" s="29">
        <f>'REG y VAL POE - AESR - ESR'!AS103</f>
        <v>0</v>
      </c>
      <c r="AIP3" s="27">
        <f>'REG y VAL POE - AESR - ESR'!B104</f>
        <v>0</v>
      </c>
      <c r="AIQ3" s="29">
        <f>'REG y VAL POE - AESR - ESR'!C104</f>
        <v>0</v>
      </c>
      <c r="AIR3" s="28">
        <f>'REG y VAL POE - AESR - ESR'!D104</f>
        <v>0</v>
      </c>
      <c r="AIS3" s="28">
        <f>'REG y VAL POE - AESR - ESR'!E104</f>
        <v>0</v>
      </c>
      <c r="AIT3" s="29">
        <f>'REG y VAL POE - AESR - ESR'!F104</f>
        <v>0</v>
      </c>
      <c r="AIU3" s="29">
        <f>'REG y VAL POE - AESR - ESR'!G104</f>
        <v>0</v>
      </c>
      <c r="AIV3" s="29">
        <f>'REG y VAL POE - AESR - ESR'!H104</f>
        <v>0</v>
      </c>
      <c r="AIW3" s="28">
        <f>'REG y VAL POE - AESR - ESR'!I104</f>
        <v>0</v>
      </c>
      <c r="AIX3" s="29">
        <f>'REG y VAL POE - AESR - ESR'!J104</f>
        <v>0</v>
      </c>
      <c r="AIY3" s="29">
        <f>'REG y VAL POE - AESR - ESR'!K104</f>
        <v>0</v>
      </c>
      <c r="AIZ3" s="28">
        <f>'REG y VAL POE - AESR - ESR'!L104</f>
        <v>0</v>
      </c>
      <c r="AJA3" s="29">
        <f>'REG y VAL POE - AESR - ESR'!M104</f>
        <v>0</v>
      </c>
      <c r="AJB3" s="28">
        <f>'REG y VAL POE - AESR - ESR'!N104</f>
        <v>0</v>
      </c>
      <c r="AJC3" s="28">
        <f>'REG y VAL POE - AESR - ESR'!O104</f>
        <v>0</v>
      </c>
      <c r="AJD3" s="29">
        <f>'REG y VAL POE - AESR - ESR'!P104</f>
        <v>0</v>
      </c>
      <c r="AJE3" s="29">
        <f>'REG y VAL POE - AESR - ESR'!Q104</f>
        <v>0</v>
      </c>
      <c r="AJF3" s="29">
        <f>'REG y VAL POE - AESR - ESR'!R104</f>
        <v>0</v>
      </c>
      <c r="AJG3" s="28">
        <f>'REG y VAL POE - AESR - ESR'!S104</f>
        <v>0</v>
      </c>
      <c r="AJH3" s="29">
        <f>'REG y VAL POE - AESR - ESR'!T104</f>
        <v>0</v>
      </c>
      <c r="AJI3" s="29">
        <f>'REG y VAL POE - AESR - ESR'!U104</f>
        <v>0</v>
      </c>
      <c r="AJJ3" s="28">
        <f>'REG y VAL POE - AESR - ESR'!V104</f>
        <v>0</v>
      </c>
      <c r="AJK3" s="29">
        <f>'REG y VAL POE - AESR - ESR'!W104</f>
        <v>0</v>
      </c>
      <c r="AJL3" s="28">
        <f>'REG y VAL POE - AESR - ESR'!X104</f>
        <v>0</v>
      </c>
      <c r="AJM3" s="28">
        <f>'REG y VAL POE - AESR - ESR'!Y104</f>
        <v>0</v>
      </c>
      <c r="AJN3" s="29">
        <f>'REG y VAL POE - AESR - ESR'!Z104</f>
        <v>0</v>
      </c>
      <c r="AJO3" s="29">
        <f>'REG y VAL POE - AESR - ESR'!AA104</f>
        <v>0</v>
      </c>
      <c r="AJP3" s="29">
        <f>'REG y VAL POE - AESR - ESR'!AB104</f>
        <v>0</v>
      </c>
      <c r="AJQ3" s="28">
        <f>'REG y VAL POE - AESR - ESR'!AC104</f>
        <v>0</v>
      </c>
      <c r="AJR3" s="29">
        <f>'REG y VAL POE - AESR - ESR'!AD104</f>
        <v>0</v>
      </c>
      <c r="AJS3" s="29">
        <f>'REG y VAL POE - AESR - ESR'!AE104</f>
        <v>0</v>
      </c>
      <c r="AJT3" s="28">
        <f>'REG y VAL POE - AESR - ESR'!AF104</f>
        <v>0</v>
      </c>
      <c r="AJU3" s="29">
        <f>'REG y VAL POE - AESR - ESR'!AG104</f>
        <v>0</v>
      </c>
      <c r="AJV3" s="28">
        <f>'REG y VAL POE - AESR - ESR'!AH104</f>
        <v>0</v>
      </c>
      <c r="AJW3" s="28">
        <f>'REG y VAL POE - AESR - ESR'!AI104</f>
        <v>0</v>
      </c>
      <c r="AJX3" s="29">
        <f>'REG y VAL POE - AESR - ESR'!AJ104</f>
        <v>0</v>
      </c>
      <c r="AJY3" s="29">
        <f>'REG y VAL POE - AESR - ESR'!AK104</f>
        <v>0</v>
      </c>
      <c r="AJZ3" s="29">
        <f>'REG y VAL POE - AESR - ESR'!AL104</f>
        <v>0</v>
      </c>
      <c r="AKA3" s="28">
        <f>'REG y VAL POE - AESR - ESR'!AM104</f>
        <v>0</v>
      </c>
      <c r="AKB3" s="29">
        <f>'REG y VAL POE - AESR - ESR'!AN104</f>
        <v>0</v>
      </c>
      <c r="AKC3" s="29">
        <f>'REG y VAL POE - AESR - ESR'!AO104</f>
        <v>0</v>
      </c>
      <c r="AKD3" s="28">
        <f>'REG y VAL POE - AESR - ESR'!AP104</f>
        <v>0</v>
      </c>
      <c r="AKE3" s="29">
        <f>'REG y VAL POE - AESR - ESR'!AQ104</f>
        <v>0</v>
      </c>
      <c r="AKF3" s="28">
        <f>'REG y VAL POE - AESR - ESR'!AR104</f>
        <v>0</v>
      </c>
      <c r="AKG3" s="28">
        <f>'REG y VAL POE - AESR - ESR'!AS104</f>
        <v>0</v>
      </c>
      <c r="AKH3" s="385">
        <f>'REG y VAL POE - AESR - ESR'!B105</f>
        <v>0</v>
      </c>
      <c r="AKI3" s="29">
        <f>'REG y VAL POE - AESR - ESR'!C105</f>
        <v>0</v>
      </c>
      <c r="AKJ3" s="29">
        <f>'REG y VAL POE - AESR - ESR'!D105</f>
        <v>0</v>
      </c>
      <c r="AKK3" s="28">
        <f>'REG y VAL POE - AESR - ESR'!E105</f>
        <v>0</v>
      </c>
      <c r="AKL3" s="29">
        <f>'REG y VAL POE - AESR - ESR'!F105</f>
        <v>0</v>
      </c>
      <c r="AKM3" s="29">
        <f>'REG y VAL POE - AESR - ESR'!G105</f>
        <v>0</v>
      </c>
      <c r="AKN3" s="28">
        <f>'REG y VAL POE - AESR - ESR'!H105</f>
        <v>0</v>
      </c>
      <c r="AKO3" s="29">
        <f>'REG y VAL POE - AESR - ESR'!I105</f>
        <v>0</v>
      </c>
      <c r="AKP3" s="28">
        <f>'REG y VAL POE - AESR - ESR'!J105</f>
        <v>0</v>
      </c>
      <c r="AKQ3" s="28">
        <f>'REG y VAL POE - AESR - ESR'!K105</f>
        <v>0</v>
      </c>
      <c r="AKR3" s="29">
        <f>'REG y VAL POE - AESR - ESR'!L105</f>
        <v>0</v>
      </c>
      <c r="AKS3" s="29">
        <f>'REG y VAL POE - AESR - ESR'!M105</f>
        <v>0</v>
      </c>
      <c r="AKT3" s="29">
        <f>'REG y VAL POE - AESR - ESR'!N105</f>
        <v>0</v>
      </c>
      <c r="AKU3" s="28">
        <f>'REG y VAL POE - AESR - ESR'!O105</f>
        <v>0</v>
      </c>
      <c r="AKV3" s="29">
        <f>'REG y VAL POE - AESR - ESR'!P105</f>
        <v>0</v>
      </c>
      <c r="AKW3" s="29">
        <f>'REG y VAL POE - AESR - ESR'!Q105</f>
        <v>0</v>
      </c>
      <c r="AKX3" s="28">
        <f>'REG y VAL POE - AESR - ESR'!R105</f>
        <v>0</v>
      </c>
      <c r="AKY3" s="29">
        <f>'REG y VAL POE - AESR - ESR'!S105</f>
        <v>0</v>
      </c>
      <c r="AKZ3" s="28">
        <f>'REG y VAL POE - AESR - ESR'!T105</f>
        <v>0</v>
      </c>
      <c r="ALA3" s="28">
        <f>'REG y VAL POE - AESR - ESR'!U105</f>
        <v>0</v>
      </c>
      <c r="ALB3" s="29">
        <f>'REG y VAL POE - AESR - ESR'!V105</f>
        <v>0</v>
      </c>
      <c r="ALC3" s="29">
        <f>'REG y VAL POE - AESR - ESR'!W105</f>
        <v>0</v>
      </c>
      <c r="ALD3" s="29">
        <f>'REG y VAL POE - AESR - ESR'!X105</f>
        <v>0</v>
      </c>
      <c r="ALE3" s="28">
        <f>'REG y VAL POE - AESR - ESR'!Y105</f>
        <v>0</v>
      </c>
      <c r="ALF3" s="29">
        <f>'REG y VAL POE - AESR - ESR'!Z105</f>
        <v>0</v>
      </c>
      <c r="ALG3" s="29">
        <f>'REG y VAL POE - AESR - ESR'!AA105</f>
        <v>0</v>
      </c>
      <c r="ALH3" s="29">
        <f>'REG y VAL POE - AESR - ESR'!AB105</f>
        <v>0</v>
      </c>
      <c r="ALI3" s="29">
        <f>'REG y VAL POE - AESR - ESR'!AC105</f>
        <v>0</v>
      </c>
      <c r="ALJ3" s="29">
        <f>'REG y VAL POE - AESR - ESR'!AD105</f>
        <v>0</v>
      </c>
      <c r="ALK3" s="28">
        <f>'REG y VAL POE - AESR - ESR'!AE105</f>
        <v>0</v>
      </c>
      <c r="ALL3" s="29">
        <f>'REG y VAL POE - AESR - ESR'!AF105</f>
        <v>0</v>
      </c>
      <c r="ALM3" s="29">
        <f>'REG y VAL POE - AESR - ESR'!AG105</f>
        <v>0</v>
      </c>
      <c r="ALN3" s="28">
        <f>'REG y VAL POE - AESR - ESR'!AH105</f>
        <v>0</v>
      </c>
      <c r="ALO3" s="29">
        <f>'REG y VAL POE - AESR - ESR'!AI105</f>
        <v>0</v>
      </c>
      <c r="ALP3" s="28">
        <f>'REG y VAL POE - AESR - ESR'!AJ105</f>
        <v>0</v>
      </c>
      <c r="ALQ3" s="28">
        <f>'REG y VAL POE - AESR - ESR'!AK105</f>
        <v>0</v>
      </c>
      <c r="ALR3" s="29">
        <f>'REG y VAL POE - AESR - ESR'!AL105</f>
        <v>0</v>
      </c>
      <c r="ALS3" s="29">
        <f>'REG y VAL POE - AESR - ESR'!AM105</f>
        <v>0</v>
      </c>
      <c r="ALT3" s="29">
        <f>'REG y VAL POE - AESR - ESR'!AN105</f>
        <v>0</v>
      </c>
      <c r="ALU3" s="28">
        <f>'REG y VAL POE - AESR - ESR'!AO105</f>
        <v>0</v>
      </c>
      <c r="ALV3" s="29">
        <f>'REG y VAL POE - AESR - ESR'!AP105</f>
        <v>0</v>
      </c>
      <c r="ALW3" s="29">
        <f>'REG y VAL POE - AESR - ESR'!AQ105</f>
        <v>0</v>
      </c>
      <c r="ALX3" s="28">
        <f>'REG y VAL POE - AESR - ESR'!AR105</f>
        <v>0</v>
      </c>
      <c r="ALY3" s="29">
        <f>'REG y VAL POE - AESR - ESR'!AS105</f>
        <v>0</v>
      </c>
      <c r="ALZ3" s="27">
        <f>'REG y VAL POE - AESR - ESR'!B106</f>
        <v>0</v>
      </c>
      <c r="AMA3" s="28">
        <f>'REG y VAL POE - AESR - ESR'!C106</f>
        <v>0</v>
      </c>
      <c r="AMB3" s="29">
        <f>'REG y VAL POE - AESR - ESR'!D106</f>
        <v>0</v>
      </c>
      <c r="AMC3" s="29">
        <f>'REG y VAL POE - AESR - ESR'!E106</f>
        <v>0</v>
      </c>
      <c r="AMD3" s="29">
        <f>'REG y VAL POE - AESR - ESR'!F106</f>
        <v>0</v>
      </c>
      <c r="AME3" s="28">
        <f>'REG y VAL POE - AESR - ESR'!G106</f>
        <v>0</v>
      </c>
      <c r="AMF3" s="29">
        <f>'REG y VAL POE - AESR - ESR'!H106</f>
        <v>0</v>
      </c>
      <c r="AMG3" s="29">
        <f>'REG y VAL POE - AESR - ESR'!I106</f>
        <v>0</v>
      </c>
      <c r="AMH3" s="29">
        <f>'REG y VAL POE - AESR - ESR'!J106</f>
        <v>0</v>
      </c>
      <c r="AMI3" s="29">
        <f>'REG y VAL POE - AESR - ESR'!K106</f>
        <v>0</v>
      </c>
      <c r="AMJ3" s="29">
        <f>'REG y VAL POE - AESR - ESR'!L106</f>
        <v>0</v>
      </c>
      <c r="AMK3" s="28">
        <f>'REG y VAL POE - AESR - ESR'!M106</f>
        <v>0</v>
      </c>
      <c r="AML3" s="29">
        <f>'REG y VAL POE - AESR - ESR'!N106</f>
        <v>0</v>
      </c>
      <c r="AMM3" s="29">
        <f>'REG y VAL POE - AESR - ESR'!O106</f>
        <v>0</v>
      </c>
      <c r="AMN3" s="28">
        <f>'REG y VAL POE - AESR - ESR'!P106</f>
        <v>0</v>
      </c>
      <c r="AMO3" s="29">
        <f>'REG y VAL POE - AESR - ESR'!Q106</f>
        <v>0</v>
      </c>
      <c r="AMP3" s="28">
        <f>'REG y VAL POE - AESR - ESR'!R106</f>
        <v>0</v>
      </c>
      <c r="AMQ3" s="28">
        <f>'REG y VAL POE - AESR - ESR'!S106</f>
        <v>0</v>
      </c>
      <c r="AMR3" s="29">
        <f>'REG y VAL POE - AESR - ESR'!T106</f>
        <v>0</v>
      </c>
      <c r="AMS3" s="29">
        <f>'REG y VAL POE - AESR - ESR'!U106</f>
        <v>0</v>
      </c>
      <c r="AMT3" s="29">
        <f>'REG y VAL POE - AESR - ESR'!V106</f>
        <v>0</v>
      </c>
      <c r="AMU3" s="28">
        <f>'REG y VAL POE - AESR - ESR'!W106</f>
        <v>0</v>
      </c>
      <c r="AMV3" s="29">
        <f>'REG y VAL POE - AESR - ESR'!X106</f>
        <v>0</v>
      </c>
      <c r="AMW3" s="29">
        <f>'REG y VAL POE - AESR - ESR'!Y106</f>
        <v>0</v>
      </c>
      <c r="AMX3" s="28">
        <f>'REG y VAL POE - AESR - ESR'!Z106</f>
        <v>0</v>
      </c>
      <c r="AMY3" s="29">
        <f>'REG y VAL POE - AESR - ESR'!AA106</f>
        <v>0</v>
      </c>
      <c r="AMZ3" s="28">
        <f>'REG y VAL POE - AESR - ESR'!AB106</f>
        <v>0</v>
      </c>
      <c r="ANA3" s="28">
        <f>'REG y VAL POE - AESR - ESR'!AC106</f>
        <v>0</v>
      </c>
      <c r="ANB3" s="29">
        <f>'REG y VAL POE - AESR - ESR'!AD106</f>
        <v>0</v>
      </c>
      <c r="ANC3" s="29">
        <f>'REG y VAL POE - AESR - ESR'!AE106</f>
        <v>0</v>
      </c>
      <c r="AND3" s="29">
        <f>'REG y VAL POE - AESR - ESR'!AF106</f>
        <v>0</v>
      </c>
      <c r="ANE3" s="28">
        <f>'REG y VAL POE - AESR - ESR'!AG106</f>
        <v>0</v>
      </c>
      <c r="ANF3" s="29">
        <f>'REG y VAL POE - AESR - ESR'!AH106</f>
        <v>0</v>
      </c>
      <c r="ANG3" s="29">
        <f>'REG y VAL POE - AESR - ESR'!AI106</f>
        <v>0</v>
      </c>
      <c r="ANH3" s="29">
        <f>'REG y VAL POE - AESR - ESR'!AJ106</f>
        <v>0</v>
      </c>
      <c r="ANI3" s="29">
        <f>'REG y VAL POE - AESR - ESR'!AK106</f>
        <v>0</v>
      </c>
      <c r="ANJ3" s="29">
        <f>'REG y VAL POE - AESR - ESR'!AL106</f>
        <v>0</v>
      </c>
      <c r="ANK3" s="28">
        <f>'REG y VAL POE - AESR - ESR'!AM106</f>
        <v>0</v>
      </c>
      <c r="ANL3" s="29">
        <f>'REG y VAL POE - AESR - ESR'!AN106</f>
        <v>0</v>
      </c>
      <c r="ANM3" s="29">
        <f>'REG y VAL POE - AESR - ESR'!AO106</f>
        <v>0</v>
      </c>
      <c r="ANN3" s="28">
        <f>'REG y VAL POE - AESR - ESR'!AP106</f>
        <v>0</v>
      </c>
      <c r="ANO3" s="29">
        <f>'REG y VAL POE - AESR - ESR'!AQ106</f>
        <v>0</v>
      </c>
      <c r="ANP3" s="28">
        <f>'REG y VAL POE - AESR - ESR'!AR106</f>
        <v>0</v>
      </c>
      <c r="ANQ3" s="28">
        <f>'REG y VAL POE - AESR - ESR'!AS106</f>
        <v>0</v>
      </c>
      <c r="ANR3" s="385">
        <f>'REG y VAL POE - AESR - ESR'!B107</f>
        <v>0</v>
      </c>
      <c r="ANS3" s="29">
        <f>'REG y VAL POE - AESR - ESR'!C107</f>
        <v>0</v>
      </c>
      <c r="ANT3" s="29">
        <f>'REG y VAL POE - AESR - ESR'!D107</f>
        <v>0</v>
      </c>
      <c r="ANU3" s="28">
        <f>'REG y VAL POE - AESR - ESR'!E107</f>
        <v>0</v>
      </c>
      <c r="ANV3" s="29">
        <f>'REG y VAL POE - AESR - ESR'!F107</f>
        <v>0</v>
      </c>
      <c r="ANW3" s="29">
        <f>'REG y VAL POE - AESR - ESR'!G107</f>
        <v>0</v>
      </c>
      <c r="ANX3" s="28">
        <f>'REG y VAL POE - AESR - ESR'!H107</f>
        <v>0</v>
      </c>
      <c r="ANY3" s="29">
        <f>'REG y VAL POE - AESR - ESR'!I107</f>
        <v>0</v>
      </c>
      <c r="ANZ3" s="28">
        <f>'REG y VAL POE - AESR - ESR'!J107</f>
        <v>0</v>
      </c>
      <c r="AOA3" s="28">
        <f>'REG y VAL POE - AESR - ESR'!K107</f>
        <v>0</v>
      </c>
      <c r="AOB3" s="29">
        <f>'REG y VAL POE - AESR - ESR'!L107</f>
        <v>0</v>
      </c>
      <c r="AOC3" s="29">
        <f>'REG y VAL POE - AESR - ESR'!M107</f>
        <v>0</v>
      </c>
      <c r="AOD3" s="29">
        <f>'REG y VAL POE - AESR - ESR'!N107</f>
        <v>0</v>
      </c>
      <c r="AOE3" s="28">
        <f>'REG y VAL POE - AESR - ESR'!O107</f>
        <v>0</v>
      </c>
      <c r="AOF3" s="29">
        <f>'REG y VAL POE - AESR - ESR'!P107</f>
        <v>0</v>
      </c>
      <c r="AOG3" s="29">
        <f>'REG y VAL POE - AESR - ESR'!Q107</f>
        <v>0</v>
      </c>
      <c r="AOH3" s="29">
        <f>'REG y VAL POE - AESR - ESR'!R107</f>
        <v>0</v>
      </c>
      <c r="AOI3" s="29">
        <f>'REG y VAL POE - AESR - ESR'!S107</f>
        <v>0</v>
      </c>
      <c r="AOJ3" s="29">
        <f>'REG y VAL POE - AESR - ESR'!T107</f>
        <v>0</v>
      </c>
      <c r="AOK3" s="28">
        <f>'REG y VAL POE - AESR - ESR'!U107</f>
        <v>0</v>
      </c>
      <c r="AOL3" s="29">
        <f>'REG y VAL POE - AESR - ESR'!V107</f>
        <v>0</v>
      </c>
      <c r="AOM3" s="29">
        <f>'REG y VAL POE - AESR - ESR'!W107</f>
        <v>0</v>
      </c>
      <c r="AON3" s="28">
        <f>'REG y VAL POE - AESR - ESR'!X107</f>
        <v>0</v>
      </c>
      <c r="AOO3" s="29">
        <f>'REG y VAL POE - AESR - ESR'!Y107</f>
        <v>0</v>
      </c>
      <c r="AOP3" s="28">
        <f>'REG y VAL POE - AESR - ESR'!Z107</f>
        <v>0</v>
      </c>
      <c r="AOQ3" s="28">
        <f>'REG y VAL POE - AESR - ESR'!AA107</f>
        <v>0</v>
      </c>
      <c r="AOR3" s="29">
        <f>'REG y VAL POE - AESR - ESR'!AB107</f>
        <v>0</v>
      </c>
      <c r="AOS3" s="29">
        <f>'REG y VAL POE - AESR - ESR'!AC107</f>
        <v>0</v>
      </c>
      <c r="AOT3" s="29">
        <f>'REG y VAL POE - AESR - ESR'!AD107</f>
        <v>0</v>
      </c>
      <c r="AOU3" s="28">
        <f>'REG y VAL POE - AESR - ESR'!AE107</f>
        <v>0</v>
      </c>
      <c r="AOV3" s="29">
        <f>'REG y VAL POE - AESR - ESR'!AF107</f>
        <v>0</v>
      </c>
      <c r="AOW3" s="29">
        <f>'REG y VAL POE - AESR - ESR'!AG107</f>
        <v>0</v>
      </c>
      <c r="AOX3" s="28">
        <f>'REG y VAL POE - AESR - ESR'!AH107</f>
        <v>0</v>
      </c>
      <c r="AOY3" s="29">
        <f>'REG y VAL POE - AESR - ESR'!AI107</f>
        <v>0</v>
      </c>
      <c r="AOZ3" s="28">
        <f>'REG y VAL POE - AESR - ESR'!AJ107</f>
        <v>0</v>
      </c>
      <c r="APA3" s="28">
        <f>'REG y VAL POE - AESR - ESR'!AK107</f>
        <v>0</v>
      </c>
      <c r="APB3" s="29">
        <f>'REG y VAL POE - AESR - ESR'!AL107</f>
        <v>0</v>
      </c>
      <c r="APC3" s="29">
        <f>'REG y VAL POE - AESR - ESR'!AM107</f>
        <v>0</v>
      </c>
      <c r="APD3" s="29">
        <f>'REG y VAL POE - AESR - ESR'!AN107</f>
        <v>0</v>
      </c>
      <c r="APE3" s="28">
        <f>'REG y VAL POE - AESR - ESR'!AO107</f>
        <v>0</v>
      </c>
      <c r="APF3" s="29">
        <f>'REG y VAL POE - AESR - ESR'!AP107</f>
        <v>0</v>
      </c>
      <c r="APG3" s="29">
        <f>'REG y VAL POE - AESR - ESR'!AQ107</f>
        <v>0</v>
      </c>
      <c r="APH3" s="29">
        <f>'REG y VAL POE - AESR - ESR'!AR107</f>
        <v>0</v>
      </c>
      <c r="API3" s="29">
        <f>'REG y VAL POE - AESR - ESR'!AS107</f>
        <v>0</v>
      </c>
      <c r="APJ3" s="385">
        <f>'REG y VAL POE - AESR - ESR'!B108</f>
        <v>0</v>
      </c>
      <c r="APK3" s="28">
        <f>'REG y VAL POE - AESR - ESR'!C108</f>
        <v>0</v>
      </c>
      <c r="APL3" s="29">
        <f>'REG y VAL POE - AESR - ESR'!D108</f>
        <v>0</v>
      </c>
      <c r="APM3" s="29">
        <f>'REG y VAL POE - AESR - ESR'!E108</f>
        <v>0</v>
      </c>
      <c r="APN3" s="28">
        <f>'REG y VAL POE - AESR - ESR'!F108</f>
        <v>0</v>
      </c>
      <c r="APO3" s="29">
        <f>'REG y VAL POE - AESR - ESR'!G108</f>
        <v>0</v>
      </c>
      <c r="APP3" s="28">
        <f>'REG y VAL POE - AESR - ESR'!H108</f>
        <v>0</v>
      </c>
      <c r="APQ3" s="28">
        <f>'REG y VAL POE - AESR - ESR'!I108</f>
        <v>0</v>
      </c>
      <c r="APR3" s="29">
        <f>'REG y VAL POE - AESR - ESR'!J108</f>
        <v>0</v>
      </c>
      <c r="APS3" s="29">
        <f>'REG y VAL POE - AESR - ESR'!K108</f>
        <v>0</v>
      </c>
      <c r="APT3" s="29">
        <f>'REG y VAL POE - AESR - ESR'!L108</f>
        <v>0</v>
      </c>
      <c r="APU3" s="28">
        <f>'REG y VAL POE - AESR - ESR'!M108</f>
        <v>0</v>
      </c>
      <c r="APV3" s="29">
        <f>'REG y VAL POE - AESR - ESR'!N108</f>
        <v>0</v>
      </c>
      <c r="APW3" s="29">
        <f>'REG y VAL POE - AESR - ESR'!O108</f>
        <v>0</v>
      </c>
      <c r="APX3" s="28">
        <f>'REG y VAL POE - AESR - ESR'!P108</f>
        <v>0</v>
      </c>
      <c r="APY3" s="29">
        <f>'REG y VAL POE - AESR - ESR'!Q108</f>
        <v>0</v>
      </c>
      <c r="APZ3" s="28">
        <f>'REG y VAL POE - AESR - ESR'!R108</f>
        <v>0</v>
      </c>
      <c r="AQA3" s="28">
        <f>'REG y VAL POE - AESR - ESR'!S108</f>
        <v>0</v>
      </c>
      <c r="AQB3" s="29">
        <f>'REG y VAL POE - AESR - ESR'!T108</f>
        <v>0</v>
      </c>
      <c r="AQC3" s="29">
        <f>'REG y VAL POE - AESR - ESR'!U108</f>
        <v>0</v>
      </c>
      <c r="AQD3" s="29">
        <f>'REG y VAL POE - AESR - ESR'!V108</f>
        <v>0</v>
      </c>
      <c r="AQE3" s="28">
        <f>'REG y VAL POE - AESR - ESR'!W108</f>
        <v>0</v>
      </c>
      <c r="AQF3" s="29">
        <f>'REG y VAL POE - AESR - ESR'!X108</f>
        <v>0</v>
      </c>
      <c r="AQG3" s="29">
        <f>'REG y VAL POE - AESR - ESR'!Y108</f>
        <v>0</v>
      </c>
      <c r="AQH3" s="29">
        <f>'REG y VAL POE - AESR - ESR'!Z108</f>
        <v>0</v>
      </c>
      <c r="AQI3" s="29">
        <f>'REG y VAL POE - AESR - ESR'!AA108</f>
        <v>0</v>
      </c>
      <c r="AQJ3" s="29">
        <f>'REG y VAL POE - AESR - ESR'!AB108</f>
        <v>0</v>
      </c>
      <c r="AQK3" s="28">
        <f>'REG y VAL POE - AESR - ESR'!AC108</f>
        <v>0</v>
      </c>
      <c r="AQL3" s="29">
        <f>'REG y VAL POE - AESR - ESR'!AD108</f>
        <v>0</v>
      </c>
      <c r="AQM3" s="29">
        <f>'REG y VAL POE - AESR - ESR'!AE108</f>
        <v>0</v>
      </c>
      <c r="AQN3" s="28">
        <f>'REG y VAL POE - AESR - ESR'!AF108</f>
        <v>0</v>
      </c>
      <c r="AQO3" s="29">
        <f>'REG y VAL POE - AESR - ESR'!AG108</f>
        <v>0</v>
      </c>
      <c r="AQP3" s="28">
        <f>'REG y VAL POE - AESR - ESR'!AH108</f>
        <v>0</v>
      </c>
      <c r="AQQ3" s="28">
        <f>'REG y VAL POE - AESR - ESR'!AI108</f>
        <v>0</v>
      </c>
      <c r="AQR3" s="29">
        <f>'REG y VAL POE - AESR - ESR'!AJ108</f>
        <v>0</v>
      </c>
      <c r="AQS3" s="29">
        <f>'REG y VAL POE - AESR - ESR'!AK108</f>
        <v>0</v>
      </c>
      <c r="AQT3" s="29">
        <f>'REG y VAL POE - AESR - ESR'!AL108</f>
        <v>0</v>
      </c>
      <c r="AQU3" s="28">
        <f>'REG y VAL POE - AESR - ESR'!AM108</f>
        <v>0</v>
      </c>
      <c r="AQV3" s="29">
        <f>'REG y VAL POE - AESR - ESR'!AN108</f>
        <v>0</v>
      </c>
      <c r="AQW3" s="29">
        <f>'REG y VAL POE - AESR - ESR'!AO108</f>
        <v>0</v>
      </c>
      <c r="AQX3" s="28">
        <f>'REG y VAL POE - AESR - ESR'!AP108</f>
        <v>0</v>
      </c>
      <c r="AQY3" s="29">
        <f>'REG y VAL POE - AESR - ESR'!AQ108</f>
        <v>0</v>
      </c>
      <c r="AQZ3" s="28">
        <f>'REG y VAL POE - AESR - ESR'!AR108</f>
        <v>0</v>
      </c>
      <c r="ARA3" s="28">
        <f>'REG y VAL POE - AESR - ESR'!AS108</f>
        <v>0</v>
      </c>
      <c r="ARB3" s="385">
        <f>'REG y VAL POE - AESR - ESR'!B109</f>
        <v>0</v>
      </c>
      <c r="ARC3" s="29">
        <f>'REG y VAL POE - AESR - ESR'!C109</f>
        <v>0</v>
      </c>
      <c r="ARD3" s="29">
        <f>'REG y VAL POE - AESR - ESR'!D109</f>
        <v>0</v>
      </c>
      <c r="ARE3" s="28">
        <f>'REG y VAL POE - AESR - ESR'!E109</f>
        <v>0</v>
      </c>
      <c r="ARF3" s="29">
        <f>'REG y VAL POE - AESR - ESR'!F109</f>
        <v>0</v>
      </c>
      <c r="ARG3" s="29">
        <f>'REG y VAL POE - AESR - ESR'!G109</f>
        <v>0</v>
      </c>
      <c r="ARH3" s="29">
        <f>'REG y VAL POE - AESR - ESR'!H109</f>
        <v>0</v>
      </c>
      <c r="ARI3" s="29">
        <f>'REG y VAL POE - AESR - ESR'!I109</f>
        <v>0</v>
      </c>
      <c r="ARJ3" s="29">
        <f>'REG y VAL POE - AESR - ESR'!J109</f>
        <v>0</v>
      </c>
      <c r="ARK3" s="28">
        <f>'REG y VAL POE - AESR - ESR'!K109</f>
        <v>0</v>
      </c>
      <c r="ARL3" s="29">
        <f>'REG y VAL POE - AESR - ESR'!L109</f>
        <v>0</v>
      </c>
      <c r="ARM3" s="29">
        <f>'REG y VAL POE - AESR - ESR'!M109</f>
        <v>0</v>
      </c>
      <c r="ARN3" s="28">
        <f>'REG y VAL POE - AESR - ESR'!N109</f>
        <v>0</v>
      </c>
      <c r="ARO3" s="29">
        <f>'REG y VAL POE - AESR - ESR'!O109</f>
        <v>0</v>
      </c>
      <c r="ARP3" s="28">
        <f>'REG y VAL POE - AESR - ESR'!P109</f>
        <v>0</v>
      </c>
      <c r="ARQ3" s="28">
        <f>'REG y VAL POE - AESR - ESR'!Q109</f>
        <v>0</v>
      </c>
      <c r="ARR3" s="29">
        <f>'REG y VAL POE - AESR - ESR'!R109</f>
        <v>0</v>
      </c>
      <c r="ARS3" s="29">
        <f>'REG y VAL POE - AESR - ESR'!S109</f>
        <v>0</v>
      </c>
      <c r="ART3" s="29">
        <f>'REG y VAL POE - AESR - ESR'!T109</f>
        <v>0</v>
      </c>
      <c r="ARU3" s="28">
        <f>'REG y VAL POE - AESR - ESR'!U109</f>
        <v>0</v>
      </c>
      <c r="ARV3" s="29">
        <f>'REG y VAL POE - AESR - ESR'!V109</f>
        <v>0</v>
      </c>
      <c r="ARW3" s="29">
        <f>'REG y VAL POE - AESR - ESR'!W109</f>
        <v>0</v>
      </c>
      <c r="ARX3" s="28">
        <f>'REG y VAL POE - AESR - ESR'!X109</f>
        <v>0</v>
      </c>
      <c r="ARY3" s="29">
        <f>'REG y VAL POE - AESR - ESR'!Y109</f>
        <v>0</v>
      </c>
      <c r="ARZ3" s="28">
        <f>'REG y VAL POE - AESR - ESR'!Z109</f>
        <v>0</v>
      </c>
      <c r="ASA3" s="28">
        <f>'REG y VAL POE - AESR - ESR'!AA109</f>
        <v>0</v>
      </c>
      <c r="ASB3" s="29">
        <f>'REG y VAL POE - AESR - ESR'!AB109</f>
        <v>0</v>
      </c>
      <c r="ASC3" s="29">
        <f>'REG y VAL POE - AESR - ESR'!AC109</f>
        <v>0</v>
      </c>
      <c r="ASD3" s="29">
        <f>'REG y VAL POE - AESR - ESR'!AD109</f>
        <v>0</v>
      </c>
      <c r="ASE3" s="28">
        <f>'REG y VAL POE - AESR - ESR'!AE109</f>
        <v>0</v>
      </c>
      <c r="ASF3" s="29">
        <f>'REG y VAL POE - AESR - ESR'!AF109</f>
        <v>0</v>
      </c>
      <c r="ASG3" s="29">
        <f>'REG y VAL POE - AESR - ESR'!AG109</f>
        <v>0</v>
      </c>
      <c r="ASH3" s="29">
        <f>'REG y VAL POE - AESR - ESR'!AH109</f>
        <v>0</v>
      </c>
      <c r="ASI3" s="29">
        <f>'REG y VAL POE - AESR - ESR'!AI109</f>
        <v>0</v>
      </c>
      <c r="ASJ3" s="29">
        <f>'REG y VAL POE - AESR - ESR'!AJ109</f>
        <v>0</v>
      </c>
      <c r="ASK3" s="28">
        <f>'REG y VAL POE - AESR - ESR'!AK109</f>
        <v>0</v>
      </c>
      <c r="ASL3" s="29">
        <f>'REG y VAL POE - AESR - ESR'!AL109</f>
        <v>0</v>
      </c>
      <c r="ASM3" s="29">
        <f>'REG y VAL POE - AESR - ESR'!AM109</f>
        <v>0</v>
      </c>
      <c r="ASN3" s="28">
        <f>'REG y VAL POE - AESR - ESR'!AN109</f>
        <v>0</v>
      </c>
      <c r="ASO3" s="29">
        <f>'REG y VAL POE - AESR - ESR'!AO109</f>
        <v>0</v>
      </c>
      <c r="ASP3" s="28">
        <f>'REG y VAL POE - AESR - ESR'!AP109</f>
        <v>0</v>
      </c>
      <c r="ASQ3" s="28">
        <f>'REG y VAL POE - AESR - ESR'!AQ109</f>
        <v>0</v>
      </c>
      <c r="ASR3" s="29">
        <f>'REG y VAL POE - AESR - ESR'!AR109</f>
        <v>0</v>
      </c>
      <c r="ASS3" s="29">
        <f>'REG y VAL POE - AESR - ESR'!AS109</f>
        <v>0</v>
      </c>
      <c r="AST3" s="385">
        <f>'REG y VAL POE - AESR - ESR'!B110</f>
        <v>0</v>
      </c>
      <c r="ASU3" s="28">
        <f>'REG y VAL POE - AESR - ESR'!C110</f>
        <v>0</v>
      </c>
      <c r="ASV3" s="29">
        <f>'REG y VAL POE - AESR - ESR'!D110</f>
        <v>0</v>
      </c>
      <c r="ASW3" s="29">
        <f>'REG y VAL POE - AESR - ESR'!E110</f>
        <v>0</v>
      </c>
      <c r="ASX3" s="28">
        <f>'REG y VAL POE - AESR - ESR'!F110</f>
        <v>0</v>
      </c>
      <c r="ASY3" s="29">
        <f>'REG y VAL POE - AESR - ESR'!G110</f>
        <v>0</v>
      </c>
      <c r="ASZ3" s="30">
        <f>'REG y VAL POE - AESR - ESR'!H110</f>
        <v>0</v>
      </c>
      <c r="ATA3" s="28">
        <f>'REG y VAL POE - AESR - ESR'!I110</f>
        <v>0</v>
      </c>
      <c r="ATB3" s="29">
        <f>'REG y VAL POE - AESR - ESR'!J110</f>
        <v>0</v>
      </c>
      <c r="ATC3" s="29">
        <f>'REG y VAL POE - AESR - ESR'!K110</f>
        <v>0</v>
      </c>
      <c r="ATD3" s="29">
        <f>'REG y VAL POE - AESR - ESR'!L110</f>
        <v>0</v>
      </c>
      <c r="ATE3" s="28">
        <f>'REG y VAL POE - AESR - ESR'!M110</f>
        <v>0</v>
      </c>
      <c r="ATF3" s="29">
        <f>'REG y VAL POE - AESR - ESR'!N110</f>
        <v>0</v>
      </c>
      <c r="ATG3" s="29">
        <f>'REG y VAL POE - AESR - ESR'!O110</f>
        <v>0</v>
      </c>
      <c r="ATH3" s="29">
        <f>'REG y VAL POE - AESR - ESR'!P110</f>
        <v>0</v>
      </c>
      <c r="ATI3" s="29">
        <f>'REG y VAL POE - AESR - ESR'!Q110</f>
        <v>0</v>
      </c>
      <c r="ATJ3" s="29">
        <f>'REG y VAL POE - AESR - ESR'!R110</f>
        <v>0</v>
      </c>
      <c r="ATK3" s="28">
        <f>'REG y VAL POE - AESR - ESR'!S110</f>
        <v>0</v>
      </c>
      <c r="ATL3" s="29">
        <f>'REG y VAL POE - AESR - ESR'!T110</f>
        <v>0</v>
      </c>
      <c r="ATM3" s="29">
        <f>'REG y VAL POE - AESR - ESR'!U110</f>
        <v>0</v>
      </c>
      <c r="ATN3" s="28">
        <f>'REG y VAL POE - AESR - ESR'!V110</f>
        <v>0</v>
      </c>
      <c r="ATO3" s="29">
        <f>'REG y VAL POE - AESR - ESR'!W110</f>
        <v>0</v>
      </c>
      <c r="ATP3" s="28">
        <f>'REG y VAL POE - AESR - ESR'!X110</f>
        <v>0</v>
      </c>
      <c r="ATQ3" s="28">
        <f>'REG y VAL POE - AESR - ESR'!Y110</f>
        <v>0</v>
      </c>
      <c r="ATR3" s="29">
        <f>'REG y VAL POE - AESR - ESR'!Z110</f>
        <v>0</v>
      </c>
      <c r="ATS3" s="29">
        <f>'REG y VAL POE - AESR - ESR'!AA110</f>
        <v>0</v>
      </c>
      <c r="ATT3" s="29">
        <f>'REG y VAL POE - AESR - ESR'!AB110</f>
        <v>0</v>
      </c>
      <c r="ATU3" s="28">
        <f>'REG y VAL POE - AESR - ESR'!AC110</f>
        <v>0</v>
      </c>
      <c r="ATV3" s="29">
        <f>'REG y VAL POE - AESR - ESR'!AD110</f>
        <v>0</v>
      </c>
      <c r="ATW3" s="29">
        <f>'REG y VAL POE - AESR - ESR'!AE110</f>
        <v>0</v>
      </c>
      <c r="ATX3" s="28">
        <f>'REG y VAL POE - AESR - ESR'!AF110</f>
        <v>0</v>
      </c>
      <c r="ATY3" s="29">
        <f>'REG y VAL POE - AESR - ESR'!AG110</f>
        <v>0</v>
      </c>
      <c r="ATZ3" s="28">
        <f>'REG y VAL POE - AESR - ESR'!AH110</f>
        <v>0</v>
      </c>
      <c r="AUA3" s="28">
        <f>'REG y VAL POE - AESR - ESR'!AI110</f>
        <v>0</v>
      </c>
      <c r="AUB3" s="29">
        <f>'REG y VAL POE - AESR - ESR'!AJ110</f>
        <v>0</v>
      </c>
      <c r="AUC3" s="29">
        <f>'REG y VAL POE - AESR - ESR'!AK110</f>
        <v>0</v>
      </c>
      <c r="AUD3" s="29">
        <f>'REG y VAL POE - AESR - ESR'!AL110</f>
        <v>0</v>
      </c>
      <c r="AUE3" s="28">
        <f>'REG y VAL POE - AESR - ESR'!AM110</f>
        <v>0</v>
      </c>
      <c r="AUF3" s="29">
        <f>'REG y VAL POE - AESR - ESR'!AN110</f>
        <v>0</v>
      </c>
      <c r="AUG3" s="29">
        <f>'REG y VAL POE - AESR - ESR'!AO110</f>
        <v>0</v>
      </c>
      <c r="AUH3" s="29">
        <f>'REG y VAL POE - AESR - ESR'!AP110</f>
        <v>0</v>
      </c>
      <c r="AUI3" s="29">
        <f>'REG y VAL POE - AESR - ESR'!AQ110</f>
        <v>0</v>
      </c>
      <c r="AUJ3" s="29">
        <f>'REG y VAL POE - AESR - ESR'!AR110</f>
        <v>0</v>
      </c>
      <c r="AUK3" s="28">
        <f>'REG y VAL POE - AESR - ESR'!AS110</f>
        <v>0</v>
      </c>
      <c r="AUL3" s="385">
        <f>'REG y VAL POE - AESR - ESR'!B111</f>
        <v>0</v>
      </c>
      <c r="AUM3" s="29">
        <f>'REG y VAL POE - AESR - ESR'!C111</f>
        <v>0</v>
      </c>
      <c r="AUN3" s="28">
        <f>'REG y VAL POE - AESR - ESR'!D111</f>
        <v>0</v>
      </c>
      <c r="AUO3" s="29">
        <f>'REG y VAL POE - AESR - ESR'!E111</f>
        <v>0</v>
      </c>
      <c r="AUP3" s="28">
        <f>'REG y VAL POE - AESR - ESR'!F111</f>
        <v>0</v>
      </c>
      <c r="AUQ3" s="28">
        <f>'REG y VAL POE - AESR - ESR'!G111</f>
        <v>0</v>
      </c>
      <c r="AUR3" s="29">
        <f>'REG y VAL POE - AESR - ESR'!H111</f>
        <v>0</v>
      </c>
      <c r="AUS3" s="29">
        <f>'REG y VAL POE - AESR - ESR'!I111</f>
        <v>0</v>
      </c>
      <c r="AUT3" s="29">
        <f>'REG y VAL POE - AESR - ESR'!J111</f>
        <v>0</v>
      </c>
      <c r="AUU3" s="28">
        <f>'REG y VAL POE - AESR - ESR'!K111</f>
        <v>0</v>
      </c>
      <c r="AUV3" s="29">
        <f>'REG y VAL POE - AESR - ESR'!L111</f>
        <v>0</v>
      </c>
      <c r="AUW3" s="29">
        <f>'REG y VAL POE - AESR - ESR'!M111</f>
        <v>0</v>
      </c>
      <c r="AUX3" s="28">
        <f>'REG y VAL POE - AESR - ESR'!N111</f>
        <v>0</v>
      </c>
      <c r="AUY3" s="29">
        <f>'REG y VAL POE - AESR - ESR'!O111</f>
        <v>0</v>
      </c>
      <c r="AUZ3" s="28">
        <f>'REG y VAL POE - AESR - ESR'!P111</f>
        <v>0</v>
      </c>
      <c r="AVA3" s="28">
        <f>'REG y VAL POE - AESR - ESR'!Q111</f>
        <v>0</v>
      </c>
      <c r="AVB3" s="29">
        <f>'REG y VAL POE - AESR - ESR'!R111</f>
        <v>0</v>
      </c>
      <c r="AVC3" s="29">
        <f>'REG y VAL POE - AESR - ESR'!S111</f>
        <v>0</v>
      </c>
      <c r="AVD3" s="29">
        <f>'REG y VAL POE - AESR - ESR'!T111</f>
        <v>0</v>
      </c>
      <c r="AVE3" s="28">
        <f>'REG y VAL POE - AESR - ESR'!U111</f>
        <v>0</v>
      </c>
      <c r="AVF3" s="29">
        <f>'REG y VAL POE - AESR - ESR'!V111</f>
        <v>0</v>
      </c>
      <c r="AVG3" s="29">
        <f>'REG y VAL POE - AESR - ESR'!W111</f>
        <v>0</v>
      </c>
      <c r="AVH3" s="29">
        <f>'REG y VAL POE - AESR - ESR'!X111</f>
        <v>0</v>
      </c>
      <c r="AVI3" s="29">
        <f>'REG y VAL POE - AESR - ESR'!Y111</f>
        <v>0</v>
      </c>
      <c r="AVJ3" s="29">
        <f>'REG y VAL POE - AESR - ESR'!Z111</f>
        <v>0</v>
      </c>
      <c r="AVK3" s="28">
        <f>'REG y VAL POE - AESR - ESR'!AA111</f>
        <v>0</v>
      </c>
      <c r="AVL3" s="29">
        <f>'REG y VAL POE - AESR - ESR'!AB111</f>
        <v>0</v>
      </c>
      <c r="AVM3" s="29">
        <f>'REG y VAL POE - AESR - ESR'!AC111</f>
        <v>0</v>
      </c>
      <c r="AVN3" s="28">
        <f>'REG y VAL POE - AESR - ESR'!AD111</f>
        <v>0</v>
      </c>
      <c r="AVO3" s="29">
        <f>'REG y VAL POE - AESR - ESR'!AE111</f>
        <v>0</v>
      </c>
      <c r="AVP3" s="28">
        <f>'REG y VAL POE - AESR - ESR'!AF111</f>
        <v>0</v>
      </c>
      <c r="AVQ3" s="28">
        <f>'REG y VAL POE - AESR - ESR'!AG111</f>
        <v>0</v>
      </c>
      <c r="AVR3" s="29">
        <f>'REG y VAL POE - AESR - ESR'!AH111</f>
        <v>0</v>
      </c>
      <c r="AVS3" s="29">
        <f>'REG y VAL POE - AESR - ESR'!AI111</f>
        <v>0</v>
      </c>
      <c r="AVT3" s="29">
        <f>'REG y VAL POE - AESR - ESR'!AJ111</f>
        <v>0</v>
      </c>
      <c r="AVU3" s="28">
        <f>'REG y VAL POE - AESR - ESR'!AK111</f>
        <v>0</v>
      </c>
      <c r="AVV3" s="29">
        <f>'REG y VAL POE - AESR - ESR'!AL111</f>
        <v>0</v>
      </c>
      <c r="AVW3" s="29">
        <f>'REG y VAL POE - AESR - ESR'!AM111</f>
        <v>0</v>
      </c>
      <c r="AVX3" s="28">
        <f>'REG y VAL POE - AESR - ESR'!AN111</f>
        <v>0</v>
      </c>
      <c r="AVY3" s="29">
        <f>'REG y VAL POE - AESR - ESR'!AO111</f>
        <v>0</v>
      </c>
      <c r="AVZ3" s="28">
        <f>'REG y VAL POE - AESR - ESR'!AP111</f>
        <v>0</v>
      </c>
      <c r="AWA3" s="28">
        <f>'REG y VAL POE - AESR - ESR'!AQ111</f>
        <v>0</v>
      </c>
      <c r="AWB3" s="29">
        <f>'REG y VAL POE - AESR - ESR'!AR111</f>
        <v>0</v>
      </c>
      <c r="AWC3" s="29">
        <f>'REG y VAL POE - AESR - ESR'!AS111</f>
        <v>0</v>
      </c>
      <c r="AWD3" s="385">
        <f>'REG y VAL POE - AESR - ESR'!B112</f>
        <v>0</v>
      </c>
      <c r="AWE3" s="28">
        <f>'REG y VAL POE - AESR - ESR'!C112</f>
        <v>0</v>
      </c>
      <c r="AWF3" s="29">
        <f>'REG y VAL POE - AESR - ESR'!D112</f>
        <v>0</v>
      </c>
      <c r="AWG3" s="29">
        <f>'REG y VAL POE - AESR - ESR'!E112</f>
        <v>0</v>
      </c>
      <c r="AWH3" s="29">
        <f>'REG y VAL POE - AESR - ESR'!F112</f>
        <v>0</v>
      </c>
      <c r="AWI3" s="29">
        <f>'REG y VAL POE - AESR - ESR'!G112</f>
        <v>0</v>
      </c>
      <c r="AWJ3" s="29">
        <f>'REG y VAL POE - AESR - ESR'!H112</f>
        <v>0</v>
      </c>
      <c r="AWK3" s="28">
        <f>'REG y VAL POE - AESR - ESR'!I112</f>
        <v>0</v>
      </c>
      <c r="AWL3" s="29">
        <f>'REG y VAL POE - AESR - ESR'!J112</f>
        <v>0</v>
      </c>
      <c r="AWM3" s="29">
        <f>'REG y VAL POE - AESR - ESR'!K112</f>
        <v>0</v>
      </c>
      <c r="AWN3" s="28">
        <f>'REG y VAL POE - AESR - ESR'!L112</f>
        <v>0</v>
      </c>
      <c r="AWO3" s="29">
        <f>'REG y VAL POE - AESR - ESR'!M112</f>
        <v>0</v>
      </c>
      <c r="AWP3" s="28">
        <f>'REG y VAL POE - AESR - ESR'!N112</f>
        <v>0</v>
      </c>
      <c r="AWQ3" s="28">
        <f>'REG y VAL POE - AESR - ESR'!O112</f>
        <v>0</v>
      </c>
      <c r="AWR3" s="29">
        <f>'REG y VAL POE - AESR - ESR'!P112</f>
        <v>0</v>
      </c>
      <c r="AWS3" s="29">
        <f>'REG y VAL POE - AESR - ESR'!Q112</f>
        <v>0</v>
      </c>
      <c r="AWT3" s="29">
        <f>'REG y VAL POE - AESR - ESR'!R112</f>
        <v>0</v>
      </c>
      <c r="AWU3" s="28">
        <f>'REG y VAL POE - AESR - ESR'!S112</f>
        <v>0</v>
      </c>
      <c r="AWV3" s="29">
        <f>'REG y VAL POE - AESR - ESR'!T112</f>
        <v>0</v>
      </c>
      <c r="AWW3" s="29">
        <f>'REG y VAL POE - AESR - ESR'!U112</f>
        <v>0</v>
      </c>
      <c r="AWX3" s="28">
        <f>'REG y VAL POE - AESR - ESR'!V112</f>
        <v>0</v>
      </c>
      <c r="AWY3" s="29">
        <f>'REG y VAL POE - AESR - ESR'!W112</f>
        <v>0</v>
      </c>
      <c r="AWZ3" s="28">
        <f>'REG y VAL POE - AESR - ESR'!X112</f>
        <v>0</v>
      </c>
      <c r="AXA3" s="28">
        <f>'REG y VAL POE - AESR - ESR'!Y112</f>
        <v>0</v>
      </c>
      <c r="AXB3" s="29">
        <f>'REG y VAL POE - AESR - ESR'!Z112</f>
        <v>0</v>
      </c>
      <c r="AXC3" s="29">
        <f>'REG y VAL POE - AESR - ESR'!AA112</f>
        <v>0</v>
      </c>
      <c r="AXD3" s="29">
        <f>'REG y VAL POE - AESR - ESR'!AB112</f>
        <v>0</v>
      </c>
      <c r="AXE3" s="28">
        <f>'REG y VAL POE - AESR - ESR'!AC112</f>
        <v>0</v>
      </c>
      <c r="AXF3" s="29">
        <f>'REG y VAL POE - AESR - ESR'!AD112</f>
        <v>0</v>
      </c>
      <c r="AXG3" s="29">
        <f>'REG y VAL POE - AESR - ESR'!AE112</f>
        <v>0</v>
      </c>
      <c r="AXH3" s="29">
        <f>'REG y VAL POE - AESR - ESR'!AF112</f>
        <v>0</v>
      </c>
      <c r="AXI3" s="29">
        <f>'REG y VAL POE - AESR - ESR'!AG112</f>
        <v>0</v>
      </c>
      <c r="AXJ3" s="29">
        <f>'REG y VAL POE - AESR - ESR'!AH112</f>
        <v>0</v>
      </c>
      <c r="AXK3" s="28">
        <f>'REG y VAL POE - AESR - ESR'!AI112</f>
        <v>0</v>
      </c>
      <c r="AXL3" s="29">
        <f>'REG y VAL POE - AESR - ESR'!AJ112</f>
        <v>0</v>
      </c>
      <c r="AXM3" s="29">
        <f>'REG y VAL POE - AESR - ESR'!AK112</f>
        <v>0</v>
      </c>
      <c r="AXN3" s="28">
        <f>'REG y VAL POE - AESR - ESR'!AL112</f>
        <v>0</v>
      </c>
      <c r="AXO3" s="29">
        <f>'REG y VAL POE - AESR - ESR'!AM112</f>
        <v>0</v>
      </c>
      <c r="AXP3" s="28">
        <f>'REG y VAL POE - AESR - ESR'!AN112</f>
        <v>0</v>
      </c>
      <c r="AXQ3" s="28">
        <f>'REG y VAL POE - AESR - ESR'!AO112</f>
        <v>0</v>
      </c>
      <c r="AXR3" s="29">
        <f>'REG y VAL POE - AESR - ESR'!AP112</f>
        <v>0</v>
      </c>
      <c r="AXS3" s="29">
        <f>'REG y VAL POE - AESR - ESR'!AQ112</f>
        <v>0</v>
      </c>
      <c r="AXT3" s="29">
        <f>'REG y VAL POE - AESR - ESR'!AR112</f>
        <v>0</v>
      </c>
      <c r="AXU3" s="28">
        <f>'REG y VAL POE - AESR - ESR'!AS112</f>
        <v>0</v>
      </c>
      <c r="AXV3" s="385">
        <f>'REG y VAL POE - AESR - ESR'!B113</f>
        <v>0</v>
      </c>
      <c r="AXW3" s="29">
        <f>'REG y VAL POE - AESR - ESR'!C113</f>
        <v>0</v>
      </c>
      <c r="AXX3" s="28">
        <f>'REG y VAL POE - AESR - ESR'!D113</f>
        <v>0</v>
      </c>
      <c r="AXY3" s="29">
        <f>'REG y VAL POE - AESR - ESR'!E113</f>
        <v>0</v>
      </c>
      <c r="AXZ3" s="28">
        <f>'REG y VAL POE - AESR - ESR'!F113</f>
        <v>0</v>
      </c>
      <c r="AYA3" s="28">
        <f>'REG y VAL POE - AESR - ESR'!G113</f>
        <v>0</v>
      </c>
      <c r="AYB3" s="29">
        <f>'REG y VAL POE - AESR - ESR'!H113</f>
        <v>0</v>
      </c>
      <c r="AYC3" s="29">
        <f>'REG y VAL POE - AESR - ESR'!I113</f>
        <v>0</v>
      </c>
      <c r="AYD3" s="29">
        <f>'REG y VAL POE - AESR - ESR'!J113</f>
        <v>0</v>
      </c>
      <c r="AYE3" s="28">
        <f>'REG y VAL POE - AESR - ESR'!K113</f>
        <v>0</v>
      </c>
      <c r="AYF3" s="29">
        <f>'REG y VAL POE - AESR - ESR'!L113</f>
        <v>0</v>
      </c>
      <c r="AYG3" s="29">
        <f>'REG y VAL POE - AESR - ESR'!M113</f>
        <v>0</v>
      </c>
      <c r="AYH3" s="29">
        <f>'REG y VAL POE - AESR - ESR'!N113</f>
        <v>0</v>
      </c>
      <c r="AYI3" s="29">
        <f>'REG y VAL POE - AESR - ESR'!O113</f>
        <v>0</v>
      </c>
      <c r="AYJ3" s="29">
        <f>'REG y VAL POE - AESR - ESR'!P113</f>
        <v>0</v>
      </c>
      <c r="AYK3" s="28">
        <f>'REG y VAL POE - AESR - ESR'!Q113</f>
        <v>0</v>
      </c>
      <c r="AYL3" s="29">
        <f>'REG y VAL POE - AESR - ESR'!R113</f>
        <v>0</v>
      </c>
      <c r="AYM3" s="29">
        <f>'REG y VAL POE - AESR - ESR'!S113</f>
        <v>0</v>
      </c>
      <c r="AYN3" s="28">
        <f>'REG y VAL POE - AESR - ESR'!T113</f>
        <v>0</v>
      </c>
      <c r="AYO3" s="29">
        <f>'REG y VAL POE - AESR - ESR'!U113</f>
        <v>0</v>
      </c>
      <c r="AYP3" s="28">
        <f>'REG y VAL POE - AESR - ESR'!V113</f>
        <v>0</v>
      </c>
      <c r="AYQ3" s="28">
        <f>'REG y VAL POE - AESR - ESR'!W113</f>
        <v>0</v>
      </c>
      <c r="AYR3" s="29">
        <f>'REG y VAL POE - AESR - ESR'!X113</f>
        <v>0</v>
      </c>
      <c r="AYS3" s="29">
        <f>'REG y VAL POE - AESR - ESR'!Y113</f>
        <v>0</v>
      </c>
      <c r="AYT3" s="29">
        <f>'REG y VAL POE - AESR - ESR'!Z113</f>
        <v>0</v>
      </c>
      <c r="AYU3" s="28">
        <f>'REG y VAL POE - AESR - ESR'!AA113</f>
        <v>0</v>
      </c>
      <c r="AYV3" s="29">
        <f>'REG y VAL POE - AESR - ESR'!AB113</f>
        <v>0</v>
      </c>
      <c r="AYW3" s="29">
        <f>'REG y VAL POE - AESR - ESR'!AC113</f>
        <v>0</v>
      </c>
      <c r="AYX3" s="28">
        <f>'REG y VAL POE - AESR - ESR'!AD113</f>
        <v>0</v>
      </c>
      <c r="AYY3" s="29">
        <f>'REG y VAL POE - AESR - ESR'!AE113</f>
        <v>0</v>
      </c>
      <c r="AYZ3" s="28">
        <f>'REG y VAL POE - AESR - ESR'!AF113</f>
        <v>0</v>
      </c>
      <c r="AZA3" s="28">
        <f>'REG y VAL POE - AESR - ESR'!AG113</f>
        <v>0</v>
      </c>
      <c r="AZB3" s="29">
        <f>'REG y VAL POE - AESR - ESR'!AH113</f>
        <v>0</v>
      </c>
      <c r="AZC3" s="29">
        <f>'REG y VAL POE - AESR - ESR'!AI113</f>
        <v>0</v>
      </c>
      <c r="AZD3" s="29">
        <f>'REG y VAL POE - AESR - ESR'!AJ113</f>
        <v>0</v>
      </c>
      <c r="AZE3" s="28">
        <f>'REG y VAL POE - AESR - ESR'!AK113</f>
        <v>0</v>
      </c>
      <c r="AZF3" s="29">
        <f>'REG y VAL POE - AESR - ESR'!AL113</f>
        <v>0</v>
      </c>
      <c r="AZG3" s="29">
        <f>'REG y VAL POE - AESR - ESR'!AM113</f>
        <v>0</v>
      </c>
      <c r="AZH3" s="29">
        <f>'REG y VAL POE - AESR - ESR'!AN113</f>
        <v>0</v>
      </c>
      <c r="AZI3" s="29">
        <f>'REG y VAL POE - AESR - ESR'!AO113</f>
        <v>0</v>
      </c>
      <c r="AZJ3" s="29">
        <f>'REG y VAL POE - AESR - ESR'!AP113</f>
        <v>0</v>
      </c>
      <c r="AZK3" s="28">
        <f>'REG y VAL POE - AESR - ESR'!AQ113</f>
        <v>0</v>
      </c>
      <c r="AZL3" s="29">
        <f>'REG y VAL POE - AESR - ESR'!AR113</f>
        <v>0</v>
      </c>
      <c r="AZM3" s="29">
        <f>'REG y VAL POE - AESR - ESR'!AS113</f>
        <v>0</v>
      </c>
      <c r="AZN3" s="27">
        <f>'REG y VAL POE - AESR - ESR'!B114</f>
        <v>0</v>
      </c>
      <c r="AZO3" s="29">
        <f>'REG y VAL POE - AESR - ESR'!C114</f>
        <v>0</v>
      </c>
      <c r="AZP3" s="28">
        <f>'REG y VAL POE - AESR - ESR'!D114</f>
        <v>0</v>
      </c>
      <c r="AZQ3" s="28">
        <f>'REG y VAL POE - AESR - ESR'!E114</f>
        <v>0</v>
      </c>
      <c r="AZR3" s="29">
        <f>'REG y VAL POE - AESR - ESR'!F114</f>
        <v>0</v>
      </c>
      <c r="AZS3" s="29">
        <f>'REG y VAL POE - AESR - ESR'!G114</f>
        <v>0</v>
      </c>
      <c r="AZT3" s="29">
        <f>'REG y VAL POE - AESR - ESR'!H114</f>
        <v>0</v>
      </c>
      <c r="AZU3" s="28">
        <f>'REG y VAL POE - AESR - ESR'!I114</f>
        <v>0</v>
      </c>
      <c r="AZV3" s="29">
        <f>'REG y VAL POE - AESR - ESR'!J114</f>
        <v>0</v>
      </c>
      <c r="AZW3" s="29">
        <f>'REG y VAL POE - AESR - ESR'!K114</f>
        <v>0</v>
      </c>
      <c r="AZX3" s="28">
        <f>'REG y VAL POE - AESR - ESR'!L114</f>
        <v>0</v>
      </c>
      <c r="AZY3" s="29">
        <f>'REG y VAL POE - AESR - ESR'!M114</f>
        <v>0</v>
      </c>
      <c r="AZZ3" s="28">
        <f>'REG y VAL POE - AESR - ESR'!N114</f>
        <v>0</v>
      </c>
      <c r="BAA3" s="28">
        <f>'REG y VAL POE - AESR - ESR'!O114</f>
        <v>0</v>
      </c>
      <c r="BAB3" s="29">
        <f>'REG y VAL POE - AESR - ESR'!P114</f>
        <v>0</v>
      </c>
      <c r="BAC3" s="29">
        <f>'REG y VAL POE - AESR - ESR'!Q114</f>
        <v>0</v>
      </c>
      <c r="BAD3" s="29">
        <f>'REG y VAL POE - AESR - ESR'!R114</f>
        <v>0</v>
      </c>
      <c r="BAE3" s="28">
        <f>'REG y VAL POE - AESR - ESR'!S114</f>
        <v>0</v>
      </c>
      <c r="BAF3" s="29">
        <f>'REG y VAL POE - AESR - ESR'!T114</f>
        <v>0</v>
      </c>
      <c r="BAG3" s="29">
        <f>'REG y VAL POE - AESR - ESR'!U114</f>
        <v>0</v>
      </c>
      <c r="BAH3" s="29">
        <f>'REG y VAL POE - AESR - ESR'!V114</f>
        <v>0</v>
      </c>
      <c r="BAI3" s="29">
        <f>'REG y VAL POE - AESR - ESR'!W114</f>
        <v>0</v>
      </c>
      <c r="BAJ3" s="29">
        <f>'REG y VAL POE - AESR - ESR'!X114</f>
        <v>0</v>
      </c>
      <c r="BAK3" s="28">
        <f>'REG y VAL POE - AESR - ESR'!Y114</f>
        <v>0</v>
      </c>
      <c r="BAL3" s="29">
        <f>'REG y VAL POE - AESR - ESR'!Z114</f>
        <v>0</v>
      </c>
      <c r="BAM3" s="29">
        <f>'REG y VAL POE - AESR - ESR'!AA114</f>
        <v>0</v>
      </c>
      <c r="BAN3" s="28">
        <f>'REG y VAL POE - AESR - ESR'!AB114</f>
        <v>0</v>
      </c>
      <c r="BAO3" s="29">
        <f>'REG y VAL POE - AESR - ESR'!AC114</f>
        <v>0</v>
      </c>
      <c r="BAP3" s="28">
        <f>'REG y VAL POE - AESR - ESR'!AD114</f>
        <v>0</v>
      </c>
      <c r="BAQ3" s="28">
        <f>'REG y VAL POE - AESR - ESR'!AE114</f>
        <v>0</v>
      </c>
      <c r="BAR3" s="29">
        <f>'REG y VAL POE - AESR - ESR'!AF114</f>
        <v>0</v>
      </c>
      <c r="BAS3" s="29">
        <f>'REG y VAL POE - AESR - ESR'!AG114</f>
        <v>0</v>
      </c>
      <c r="BAT3" s="29">
        <f>'REG y VAL POE - AESR - ESR'!AH114</f>
        <v>0</v>
      </c>
      <c r="BAU3" s="28">
        <f>'REG y VAL POE - AESR - ESR'!AI114</f>
        <v>0</v>
      </c>
      <c r="BAV3" s="29">
        <f>'REG y VAL POE - AESR - ESR'!AJ114</f>
        <v>0</v>
      </c>
      <c r="BAW3" s="29">
        <f>'REG y VAL POE - AESR - ESR'!AK114</f>
        <v>0</v>
      </c>
      <c r="BAX3" s="28">
        <f>'REG y VAL POE - AESR - ESR'!AL114</f>
        <v>0</v>
      </c>
      <c r="BAY3" s="29">
        <f>'REG y VAL POE - AESR - ESR'!AM114</f>
        <v>0</v>
      </c>
      <c r="BAZ3" s="28">
        <f>'REG y VAL POE - AESR - ESR'!AN114</f>
        <v>0</v>
      </c>
      <c r="BBA3" s="28">
        <f>'REG y VAL POE - AESR - ESR'!AO114</f>
        <v>0</v>
      </c>
      <c r="BBB3" s="29">
        <f>'REG y VAL POE - AESR - ESR'!AP114</f>
        <v>0</v>
      </c>
      <c r="BBC3" s="29">
        <f>'REG y VAL POE - AESR - ESR'!AQ114</f>
        <v>0</v>
      </c>
      <c r="BBD3" s="29">
        <f>'REG y VAL POE - AESR - ESR'!AR114</f>
        <v>0</v>
      </c>
      <c r="BBE3" s="28">
        <f>'REG y VAL POE - AESR - ESR'!AS114</f>
        <v>0</v>
      </c>
      <c r="BBF3" s="385">
        <f>'REG y VAL POE - AESR - ESR'!B115</f>
        <v>0</v>
      </c>
      <c r="BBG3" s="29">
        <f>'REG y VAL POE - AESR - ESR'!C115</f>
        <v>0</v>
      </c>
      <c r="BBH3" s="29">
        <f>'REG y VAL POE - AESR - ESR'!D115</f>
        <v>0</v>
      </c>
      <c r="BBI3" s="29">
        <f>'REG y VAL POE - AESR - ESR'!E115</f>
        <v>0</v>
      </c>
      <c r="BBJ3" s="29">
        <f>'REG y VAL POE - AESR - ESR'!F115</f>
        <v>0</v>
      </c>
      <c r="BBK3" s="28">
        <f>'REG y VAL POE - AESR - ESR'!G115</f>
        <v>0</v>
      </c>
      <c r="BBL3" s="29">
        <f>'REG y VAL POE - AESR - ESR'!H115</f>
        <v>0</v>
      </c>
      <c r="BBM3" s="29">
        <f>'REG y VAL POE - AESR - ESR'!I115</f>
        <v>0</v>
      </c>
      <c r="BBN3" s="28">
        <f>'REG y VAL POE - AESR - ESR'!J115</f>
        <v>0</v>
      </c>
      <c r="BBO3" s="29">
        <f>'REG y VAL POE - AESR - ESR'!K115</f>
        <v>0</v>
      </c>
      <c r="BBP3" s="28">
        <f>'REG y VAL POE - AESR - ESR'!L115</f>
        <v>0</v>
      </c>
      <c r="BBQ3" s="28">
        <f>'REG y VAL POE - AESR - ESR'!M115</f>
        <v>0</v>
      </c>
      <c r="BBR3" s="29">
        <f>'REG y VAL POE - AESR - ESR'!N115</f>
        <v>0</v>
      </c>
      <c r="BBS3" s="29">
        <f>'REG y VAL POE - AESR - ESR'!O115</f>
        <v>0</v>
      </c>
      <c r="BBT3" s="29">
        <f>'REG y VAL POE - AESR - ESR'!P115</f>
        <v>0</v>
      </c>
      <c r="BBU3" s="28">
        <f>'REG y VAL POE - AESR - ESR'!Q115</f>
        <v>0</v>
      </c>
      <c r="BBV3" s="29">
        <f>'REG y VAL POE - AESR - ESR'!R115</f>
        <v>0</v>
      </c>
      <c r="BBW3" s="29">
        <f>'REG y VAL POE - AESR - ESR'!S115</f>
        <v>0</v>
      </c>
      <c r="BBX3" s="28">
        <f>'REG y VAL POE - AESR - ESR'!T115</f>
        <v>0</v>
      </c>
      <c r="BBY3" s="29">
        <f>'REG y VAL POE - AESR - ESR'!U115</f>
        <v>0</v>
      </c>
      <c r="BBZ3" s="28">
        <f>'REG y VAL POE - AESR - ESR'!V115</f>
        <v>0</v>
      </c>
      <c r="BCA3" s="28">
        <f>'REG y VAL POE - AESR - ESR'!W115</f>
        <v>0</v>
      </c>
      <c r="BCB3" s="29">
        <f>'REG y VAL POE - AESR - ESR'!X115</f>
        <v>0</v>
      </c>
      <c r="BCC3" s="29">
        <f>'REG y VAL POE - AESR - ESR'!Y115</f>
        <v>0</v>
      </c>
      <c r="BCD3" s="29">
        <f>'REG y VAL POE - AESR - ESR'!Z115</f>
        <v>0</v>
      </c>
      <c r="BCE3" s="28">
        <f>'REG y VAL POE - AESR - ESR'!AA115</f>
        <v>0</v>
      </c>
      <c r="BCF3" s="29">
        <f>'REG y VAL POE - AESR - ESR'!AB115</f>
        <v>0</v>
      </c>
      <c r="BCG3" s="29">
        <f>'REG y VAL POE - AESR - ESR'!AC115</f>
        <v>0</v>
      </c>
      <c r="BCH3" s="29">
        <f>'REG y VAL POE - AESR - ESR'!AD115</f>
        <v>0</v>
      </c>
      <c r="BCI3" s="29">
        <f>'REG y VAL POE - AESR - ESR'!AE115</f>
        <v>0</v>
      </c>
      <c r="BCJ3" s="29">
        <f>'REG y VAL POE - AESR - ESR'!AF115</f>
        <v>0</v>
      </c>
      <c r="BCK3" s="28">
        <f>'REG y VAL POE - AESR - ESR'!AG115</f>
        <v>0</v>
      </c>
      <c r="BCL3" s="29">
        <f>'REG y VAL POE - AESR - ESR'!AH115</f>
        <v>0</v>
      </c>
      <c r="BCM3" s="29">
        <f>'REG y VAL POE - AESR - ESR'!AI115</f>
        <v>0</v>
      </c>
      <c r="BCN3" s="28">
        <f>'REG y VAL POE - AESR - ESR'!AJ115</f>
        <v>0</v>
      </c>
      <c r="BCO3" s="29">
        <f>'REG y VAL POE - AESR - ESR'!AK115</f>
        <v>0</v>
      </c>
      <c r="BCP3" s="28">
        <f>'REG y VAL POE - AESR - ESR'!AL115</f>
        <v>0</v>
      </c>
      <c r="BCQ3" s="28">
        <f>'REG y VAL POE - AESR - ESR'!AM115</f>
        <v>0</v>
      </c>
      <c r="BCR3" s="29">
        <f>'REG y VAL POE - AESR - ESR'!AN115</f>
        <v>0</v>
      </c>
      <c r="BCS3" s="29">
        <f>'REG y VAL POE - AESR - ESR'!AO115</f>
        <v>0</v>
      </c>
      <c r="BCT3" s="29">
        <f>'REG y VAL POE - AESR - ESR'!AP115</f>
        <v>0</v>
      </c>
      <c r="BCU3" s="28">
        <f>'REG y VAL POE - AESR - ESR'!AQ115</f>
        <v>0</v>
      </c>
      <c r="BCV3" s="29">
        <f>'REG y VAL POE - AESR - ESR'!AR115</f>
        <v>0</v>
      </c>
      <c r="BCW3" s="29">
        <f>'REG y VAL POE - AESR - ESR'!AS115</f>
        <v>0</v>
      </c>
      <c r="BCX3" s="27">
        <f>'REG y VAL POE - AESR - ESR'!B116</f>
        <v>0</v>
      </c>
      <c r="BCY3" s="29">
        <f>'REG y VAL POE - AESR - ESR'!C116</f>
        <v>0</v>
      </c>
      <c r="BCZ3" s="28">
        <f>'REG y VAL POE - AESR - ESR'!D116</f>
        <v>0</v>
      </c>
      <c r="BDA3" s="28">
        <f>'REG y VAL POE - AESR - ESR'!E116</f>
        <v>0</v>
      </c>
      <c r="BDB3" s="29">
        <f>'REG y VAL POE - AESR - ESR'!F116</f>
        <v>0</v>
      </c>
      <c r="BDC3" s="29">
        <f>'REG y VAL POE - AESR - ESR'!G116</f>
        <v>0</v>
      </c>
      <c r="BDD3" s="29">
        <f>'REG y VAL POE - AESR - ESR'!H116</f>
        <v>0</v>
      </c>
      <c r="BDE3" s="28">
        <f>'REG y VAL POE - AESR - ESR'!I116</f>
        <v>0</v>
      </c>
      <c r="BDF3" s="29">
        <f>'REG y VAL POE - AESR - ESR'!J116</f>
        <v>0</v>
      </c>
      <c r="BDG3" s="29">
        <f>'REG y VAL POE - AESR - ESR'!K116</f>
        <v>0</v>
      </c>
      <c r="BDH3" s="29">
        <f>'REG y VAL POE - AESR - ESR'!L116</f>
        <v>0</v>
      </c>
      <c r="BDI3" s="29">
        <f>'REG y VAL POE - AESR - ESR'!M116</f>
        <v>0</v>
      </c>
      <c r="BDJ3" s="29">
        <f>'REG y VAL POE - AESR - ESR'!N116</f>
        <v>0</v>
      </c>
      <c r="BDK3" s="28">
        <f>'REG y VAL POE - AESR - ESR'!O116</f>
        <v>0</v>
      </c>
      <c r="BDL3" s="29">
        <f>'REG y VAL POE - AESR - ESR'!P116</f>
        <v>0</v>
      </c>
      <c r="BDM3" s="29">
        <f>'REG y VAL POE - AESR - ESR'!Q116</f>
        <v>0</v>
      </c>
      <c r="BDN3" s="28">
        <f>'REG y VAL POE - AESR - ESR'!R116</f>
        <v>0</v>
      </c>
      <c r="BDO3" s="29">
        <f>'REG y VAL POE - AESR - ESR'!S116</f>
        <v>0</v>
      </c>
      <c r="BDP3" s="28">
        <f>'REG y VAL POE - AESR - ESR'!T116</f>
        <v>0</v>
      </c>
      <c r="BDQ3" s="28">
        <f>'REG y VAL POE - AESR - ESR'!U116</f>
        <v>0</v>
      </c>
      <c r="BDR3" s="29">
        <f>'REG y VAL POE - AESR - ESR'!V116</f>
        <v>0</v>
      </c>
      <c r="BDS3" s="29">
        <f>'REG y VAL POE - AESR - ESR'!W116</f>
        <v>0</v>
      </c>
      <c r="BDT3" s="29">
        <f>'REG y VAL POE - AESR - ESR'!X116</f>
        <v>0</v>
      </c>
      <c r="BDU3" s="28">
        <f>'REG y VAL POE - AESR - ESR'!Y116</f>
        <v>0</v>
      </c>
      <c r="BDV3" s="29">
        <f>'REG y VAL POE - AESR - ESR'!Z116</f>
        <v>0</v>
      </c>
      <c r="BDW3" s="29">
        <f>'REG y VAL POE - AESR - ESR'!AA116</f>
        <v>0</v>
      </c>
      <c r="BDX3" s="28">
        <f>'REG y VAL POE - AESR - ESR'!AB116</f>
        <v>0</v>
      </c>
      <c r="BDY3" s="29">
        <f>'REG y VAL POE - AESR - ESR'!AC116</f>
        <v>0</v>
      </c>
      <c r="BDZ3" s="28">
        <f>'REG y VAL POE - AESR - ESR'!AD116</f>
        <v>0</v>
      </c>
      <c r="BEA3" s="28">
        <f>'REG y VAL POE - AESR - ESR'!AE116</f>
        <v>0</v>
      </c>
      <c r="BEB3" s="29">
        <f>'REG y VAL POE - AESR - ESR'!AF116</f>
        <v>0</v>
      </c>
      <c r="BEC3" s="29">
        <f>'REG y VAL POE - AESR - ESR'!AG116</f>
        <v>0</v>
      </c>
      <c r="BED3" s="29">
        <f>'REG y VAL POE - AESR - ESR'!AH116</f>
        <v>0</v>
      </c>
      <c r="BEE3" s="28">
        <f>'REG y VAL POE - AESR - ESR'!AI116</f>
        <v>0</v>
      </c>
      <c r="BEF3" s="29">
        <f>'REG y VAL POE - AESR - ESR'!AJ116</f>
        <v>0</v>
      </c>
      <c r="BEG3" s="29">
        <f>'REG y VAL POE - AESR - ESR'!AK116</f>
        <v>0</v>
      </c>
      <c r="BEH3" s="29">
        <f>'REG y VAL POE - AESR - ESR'!AL116</f>
        <v>0</v>
      </c>
      <c r="BEI3" s="29">
        <f>'REG y VAL POE - AESR - ESR'!AM116</f>
        <v>0</v>
      </c>
      <c r="BEJ3" s="29">
        <f>'REG y VAL POE - AESR - ESR'!AN116</f>
        <v>0</v>
      </c>
      <c r="BEK3" s="28">
        <f>'REG y VAL POE - AESR - ESR'!AO116</f>
        <v>0</v>
      </c>
      <c r="BEL3" s="29">
        <f>'REG y VAL POE - AESR - ESR'!AP116</f>
        <v>0</v>
      </c>
      <c r="BEM3" s="29">
        <f>'REG y VAL POE - AESR - ESR'!AQ116</f>
        <v>0</v>
      </c>
      <c r="BEN3" s="28">
        <f>'REG y VAL POE - AESR - ESR'!AR116</f>
        <v>0</v>
      </c>
      <c r="BEO3" s="29">
        <f>'REG y VAL POE - AESR - ESR'!AS116</f>
        <v>0</v>
      </c>
      <c r="BEP3" s="27">
        <f>'REG y VAL POE - AESR - ESR'!B117</f>
        <v>0</v>
      </c>
      <c r="BEQ3" s="28">
        <f>'REG y VAL POE - AESR - ESR'!C117</f>
        <v>0</v>
      </c>
      <c r="BER3" s="29">
        <f>'REG y VAL POE - AESR - ESR'!D117</f>
        <v>0</v>
      </c>
      <c r="BES3" s="29">
        <f>'REG y VAL POE - AESR - ESR'!E117</f>
        <v>0</v>
      </c>
      <c r="BET3" s="29">
        <f>'REG y VAL POE - AESR - ESR'!F117</f>
        <v>0</v>
      </c>
      <c r="BEU3" s="28">
        <f>'REG y VAL POE - AESR - ESR'!G117</f>
        <v>0</v>
      </c>
      <c r="BEV3" s="29">
        <f>'REG y VAL POE - AESR - ESR'!H117</f>
        <v>0</v>
      </c>
      <c r="BEW3" s="29">
        <f>'REG y VAL POE - AESR - ESR'!I117</f>
        <v>0</v>
      </c>
      <c r="BEX3" s="28">
        <f>'REG y VAL POE - AESR - ESR'!J117</f>
        <v>0</v>
      </c>
      <c r="BEY3" s="29">
        <f>'REG y VAL POE - AESR - ESR'!K117</f>
        <v>0</v>
      </c>
      <c r="BEZ3" s="28">
        <f>'REG y VAL POE - AESR - ESR'!L117</f>
        <v>0</v>
      </c>
      <c r="BFA3" s="28">
        <f>'REG y VAL POE - AESR - ESR'!M117</f>
        <v>0</v>
      </c>
      <c r="BFB3" s="29">
        <f>'REG y VAL POE - AESR - ESR'!N117</f>
        <v>0</v>
      </c>
      <c r="BFC3" s="29">
        <f>'REG y VAL POE - AESR - ESR'!O117</f>
        <v>0</v>
      </c>
      <c r="BFD3" s="29">
        <f>'REG y VAL POE - AESR - ESR'!P117</f>
        <v>0</v>
      </c>
      <c r="BFE3" s="28">
        <f>'REG y VAL POE - AESR - ESR'!Q117</f>
        <v>0</v>
      </c>
      <c r="BFF3" s="29">
        <f>'REG y VAL POE - AESR - ESR'!R117</f>
        <v>0</v>
      </c>
      <c r="BFG3" s="29">
        <f>'REG y VAL POE - AESR - ESR'!S117</f>
        <v>0</v>
      </c>
      <c r="BFH3" s="29">
        <f>'REG y VAL POE - AESR - ESR'!T117</f>
        <v>0</v>
      </c>
      <c r="BFI3" s="29">
        <f>'REG y VAL POE - AESR - ESR'!U117</f>
        <v>0</v>
      </c>
      <c r="BFJ3" s="29">
        <f>'REG y VAL POE - AESR - ESR'!V117</f>
        <v>0</v>
      </c>
      <c r="BFK3" s="28">
        <f>'REG y VAL POE - AESR - ESR'!W117</f>
        <v>0</v>
      </c>
      <c r="BFL3" s="29">
        <f>'REG y VAL POE - AESR - ESR'!X117</f>
        <v>0</v>
      </c>
      <c r="BFM3" s="29">
        <f>'REG y VAL POE - AESR - ESR'!Y117</f>
        <v>0</v>
      </c>
      <c r="BFN3" s="28">
        <f>'REG y VAL POE - AESR - ESR'!Z117</f>
        <v>0</v>
      </c>
      <c r="BFO3" s="29">
        <f>'REG y VAL POE - AESR - ESR'!AA117</f>
        <v>0</v>
      </c>
      <c r="BFP3" s="28">
        <f>'REG y VAL POE - AESR - ESR'!AB117</f>
        <v>0</v>
      </c>
      <c r="BFQ3" s="28">
        <f>'REG y VAL POE - AESR - ESR'!AC117</f>
        <v>0</v>
      </c>
      <c r="BFR3" s="29">
        <f>'REG y VAL POE - AESR - ESR'!AD117</f>
        <v>0</v>
      </c>
      <c r="BFS3" s="29">
        <f>'REG y VAL POE - AESR - ESR'!AE117</f>
        <v>0</v>
      </c>
      <c r="BFT3" s="29">
        <f>'REG y VAL POE - AESR - ESR'!AF117</f>
        <v>0</v>
      </c>
      <c r="BFU3" s="28">
        <f>'REG y VAL POE - AESR - ESR'!AG117</f>
        <v>0</v>
      </c>
      <c r="BFV3" s="29">
        <f>'REG y VAL POE - AESR - ESR'!AH117</f>
        <v>0</v>
      </c>
      <c r="BFW3" s="29">
        <f>'REG y VAL POE - AESR - ESR'!AI117</f>
        <v>0</v>
      </c>
      <c r="BFX3" s="28">
        <f>'REG y VAL POE - AESR - ESR'!AJ117</f>
        <v>0</v>
      </c>
      <c r="BFY3" s="29">
        <f>'REG y VAL POE - AESR - ESR'!AK117</f>
        <v>0</v>
      </c>
      <c r="BFZ3" s="28">
        <f>'REG y VAL POE - AESR - ESR'!AL117</f>
        <v>0</v>
      </c>
      <c r="BGA3" s="28">
        <f>'REG y VAL POE - AESR - ESR'!AM117</f>
        <v>0</v>
      </c>
      <c r="BGB3" s="29">
        <f>'REG y VAL POE - AESR - ESR'!AN117</f>
        <v>0</v>
      </c>
      <c r="BGC3" s="29">
        <f>'REG y VAL POE - AESR - ESR'!AO117</f>
        <v>0</v>
      </c>
      <c r="BGD3" s="29">
        <f>'REG y VAL POE - AESR - ESR'!AP117</f>
        <v>0</v>
      </c>
      <c r="BGE3" s="28">
        <f>'REG y VAL POE - AESR - ESR'!AQ117</f>
        <v>0</v>
      </c>
      <c r="BGF3" s="29">
        <f>'REG y VAL POE - AESR - ESR'!AR117</f>
        <v>0</v>
      </c>
      <c r="BGG3" s="29">
        <f>'REG y VAL POE - AESR - ESR'!AS117</f>
        <v>0</v>
      </c>
      <c r="BGH3" s="385">
        <f>'REG y VAL POE - AESR - ESR'!B118</f>
        <v>0</v>
      </c>
      <c r="BGI3" s="29">
        <f>'REG y VAL POE - AESR - ESR'!C118</f>
        <v>0</v>
      </c>
      <c r="BGJ3" s="29">
        <f>'REG y VAL POE - AESR - ESR'!D118</f>
        <v>0</v>
      </c>
      <c r="BGK3" s="28">
        <f>'REG y VAL POE - AESR - ESR'!E118</f>
        <v>0</v>
      </c>
      <c r="BGL3" s="29">
        <f>'REG y VAL POE - AESR - ESR'!F118</f>
        <v>0</v>
      </c>
      <c r="BGM3" s="29">
        <f>'REG y VAL POE - AESR - ESR'!G118</f>
        <v>0</v>
      </c>
      <c r="BGN3" s="28">
        <f>'REG y VAL POE - AESR - ESR'!H118</f>
        <v>0</v>
      </c>
      <c r="BGO3" s="29">
        <f>'REG y VAL POE - AESR - ESR'!I118</f>
        <v>0</v>
      </c>
      <c r="BGP3" s="28">
        <f>'REG y VAL POE - AESR - ESR'!J118</f>
        <v>0</v>
      </c>
      <c r="BGQ3" s="28">
        <f>'REG y VAL POE - AESR - ESR'!K118</f>
        <v>0</v>
      </c>
      <c r="BGR3" s="29">
        <f>'REG y VAL POE - AESR - ESR'!L118</f>
        <v>0</v>
      </c>
      <c r="BGS3" s="29">
        <f>'REG y VAL POE - AESR - ESR'!M118</f>
        <v>0</v>
      </c>
      <c r="BGT3" s="29">
        <f>'REG y VAL POE - AESR - ESR'!N118</f>
        <v>0</v>
      </c>
      <c r="BGU3" s="28">
        <f>'REG y VAL POE - AESR - ESR'!O118</f>
        <v>0</v>
      </c>
      <c r="BGV3" s="29">
        <f>'REG y VAL POE - AESR - ESR'!P118</f>
        <v>0</v>
      </c>
      <c r="BGW3" s="29">
        <f>'REG y VAL POE - AESR - ESR'!Q118</f>
        <v>0</v>
      </c>
      <c r="BGX3" s="28">
        <f>'REG y VAL POE - AESR - ESR'!R118</f>
        <v>0</v>
      </c>
      <c r="BGY3" s="29">
        <f>'REG y VAL POE - AESR - ESR'!S118</f>
        <v>0</v>
      </c>
      <c r="BGZ3" s="28">
        <f>'REG y VAL POE - AESR - ESR'!T118</f>
        <v>0</v>
      </c>
      <c r="BHA3" s="28">
        <f>'REG y VAL POE - AESR - ESR'!U118</f>
        <v>0</v>
      </c>
      <c r="BHB3" s="29">
        <f>'REG y VAL POE - AESR - ESR'!V118</f>
        <v>0</v>
      </c>
      <c r="BHC3" s="29">
        <f>'REG y VAL POE - AESR - ESR'!W118</f>
        <v>0</v>
      </c>
      <c r="BHD3" s="29">
        <f>'REG y VAL POE - AESR - ESR'!X118</f>
        <v>0</v>
      </c>
      <c r="BHE3" s="28">
        <f>'REG y VAL POE - AESR - ESR'!Y118</f>
        <v>0</v>
      </c>
      <c r="BHF3" s="29">
        <f>'REG y VAL POE - AESR - ESR'!Z118</f>
        <v>0</v>
      </c>
      <c r="BHG3" s="29">
        <f>'REG y VAL POE - AESR - ESR'!AA118</f>
        <v>0</v>
      </c>
      <c r="BHH3" s="29">
        <f>'REG y VAL POE - AESR - ESR'!AB118</f>
        <v>0</v>
      </c>
      <c r="BHI3" s="29">
        <f>'REG y VAL POE - AESR - ESR'!AC118</f>
        <v>0</v>
      </c>
      <c r="BHJ3" s="29">
        <f>'REG y VAL POE - AESR - ESR'!AD118</f>
        <v>0</v>
      </c>
      <c r="BHK3" s="28">
        <f>'REG y VAL POE - AESR - ESR'!AE118</f>
        <v>0</v>
      </c>
      <c r="BHL3" s="29">
        <f>'REG y VAL POE - AESR - ESR'!AF118</f>
        <v>0</v>
      </c>
      <c r="BHM3" s="29">
        <f>'REG y VAL POE - AESR - ESR'!AG118</f>
        <v>0</v>
      </c>
      <c r="BHN3" s="28">
        <f>'REG y VAL POE - AESR - ESR'!AH118</f>
        <v>0</v>
      </c>
      <c r="BHO3" s="29">
        <f>'REG y VAL POE - AESR - ESR'!AI118</f>
        <v>0</v>
      </c>
      <c r="BHP3" s="28">
        <f>'REG y VAL POE - AESR - ESR'!AJ118</f>
        <v>0</v>
      </c>
      <c r="BHQ3" s="28">
        <f>'REG y VAL POE - AESR - ESR'!AK118</f>
        <v>0</v>
      </c>
      <c r="BHR3" s="29">
        <f>'REG y VAL POE - AESR - ESR'!AL118</f>
        <v>0</v>
      </c>
      <c r="BHS3" s="29">
        <f>'REG y VAL POE - AESR - ESR'!AM118</f>
        <v>0</v>
      </c>
      <c r="BHT3" s="29">
        <f>'REG y VAL POE - AESR - ESR'!AN118</f>
        <v>0</v>
      </c>
      <c r="BHU3" s="28">
        <f>'REG y VAL POE - AESR - ESR'!AO118</f>
        <v>0</v>
      </c>
      <c r="BHV3" s="29">
        <f>'REG y VAL POE - AESR - ESR'!AP118</f>
        <v>0</v>
      </c>
      <c r="BHW3" s="29">
        <f>'REG y VAL POE - AESR - ESR'!AQ118</f>
        <v>0</v>
      </c>
      <c r="BHX3" s="28">
        <f>'REG y VAL POE - AESR - ESR'!AR118</f>
        <v>0</v>
      </c>
      <c r="BHY3" s="29">
        <f>'REG y VAL POE - AESR - ESR'!AS118</f>
        <v>0</v>
      </c>
      <c r="BHZ3" s="27">
        <f>'REG y VAL POE - AESR - ESR'!B119</f>
        <v>0</v>
      </c>
      <c r="BIA3" s="28">
        <f>'REG y VAL POE - AESR - ESR'!C119</f>
        <v>0</v>
      </c>
      <c r="BIB3" s="29">
        <f>'REG y VAL POE - AESR - ESR'!D119</f>
        <v>0</v>
      </c>
      <c r="BIC3" s="29">
        <f>'REG y VAL POE - AESR - ESR'!E119</f>
        <v>0</v>
      </c>
      <c r="BID3" s="29">
        <f>'REG y VAL POE - AESR - ESR'!F119</f>
        <v>0</v>
      </c>
      <c r="BIE3" s="28">
        <f>'REG y VAL POE - AESR - ESR'!G119</f>
        <v>0</v>
      </c>
      <c r="BIF3" s="29">
        <f>'REG y VAL POE - AESR - ESR'!H119</f>
        <v>0</v>
      </c>
      <c r="BIG3" s="29">
        <f>'REG y VAL POE - AESR - ESR'!I119</f>
        <v>0</v>
      </c>
      <c r="BIH3" s="29">
        <f>'REG y VAL POE - AESR - ESR'!J119</f>
        <v>0</v>
      </c>
      <c r="BII3" s="29">
        <f>'REG y VAL POE - AESR - ESR'!K119</f>
        <v>0</v>
      </c>
      <c r="BIJ3" s="29">
        <f>'REG y VAL POE - AESR - ESR'!L119</f>
        <v>0</v>
      </c>
      <c r="BIK3" s="28">
        <f>'REG y VAL POE - AESR - ESR'!M119</f>
        <v>0</v>
      </c>
      <c r="BIL3" s="29">
        <f>'REG y VAL POE - AESR - ESR'!N119</f>
        <v>0</v>
      </c>
      <c r="BIM3" s="29">
        <f>'REG y VAL POE - AESR - ESR'!O119</f>
        <v>0</v>
      </c>
      <c r="BIN3" s="28">
        <f>'REG y VAL POE - AESR - ESR'!P119</f>
        <v>0</v>
      </c>
      <c r="BIO3" s="29">
        <f>'REG y VAL POE - AESR - ESR'!Q119</f>
        <v>0</v>
      </c>
      <c r="BIP3" s="28">
        <f>'REG y VAL POE - AESR - ESR'!R119</f>
        <v>0</v>
      </c>
      <c r="BIQ3" s="28">
        <f>'REG y VAL POE - AESR - ESR'!S119</f>
        <v>0</v>
      </c>
      <c r="BIR3" s="29">
        <f>'REG y VAL POE - AESR - ESR'!T119</f>
        <v>0</v>
      </c>
      <c r="BIS3" s="29">
        <f>'REG y VAL POE - AESR - ESR'!U119</f>
        <v>0</v>
      </c>
      <c r="BIT3" s="29">
        <f>'REG y VAL POE - AESR - ESR'!V119</f>
        <v>0</v>
      </c>
      <c r="BIU3" s="28">
        <f>'REG y VAL POE - AESR - ESR'!W119</f>
        <v>0</v>
      </c>
      <c r="BIV3" s="29">
        <f>'REG y VAL POE - AESR - ESR'!X119</f>
        <v>0</v>
      </c>
      <c r="BIW3" s="29">
        <f>'REG y VAL POE - AESR - ESR'!Y119</f>
        <v>0</v>
      </c>
      <c r="BIX3" s="28">
        <f>'REG y VAL POE - AESR - ESR'!Z119</f>
        <v>0</v>
      </c>
      <c r="BIY3" s="29">
        <f>'REG y VAL POE - AESR - ESR'!AA119</f>
        <v>0</v>
      </c>
      <c r="BIZ3" s="28">
        <f>'REG y VAL POE - AESR - ESR'!AB119</f>
        <v>0</v>
      </c>
      <c r="BJA3" s="28">
        <f>'REG y VAL POE - AESR - ESR'!AC119</f>
        <v>0</v>
      </c>
      <c r="BJB3" s="29">
        <f>'REG y VAL POE - AESR - ESR'!AD119</f>
        <v>0</v>
      </c>
      <c r="BJC3" s="29">
        <f>'REG y VAL POE - AESR - ESR'!AE119</f>
        <v>0</v>
      </c>
      <c r="BJD3" s="29">
        <f>'REG y VAL POE - AESR - ESR'!AF119</f>
        <v>0</v>
      </c>
      <c r="BJE3" s="28">
        <f>'REG y VAL POE - AESR - ESR'!AG119</f>
        <v>0</v>
      </c>
      <c r="BJF3" s="29">
        <f>'REG y VAL POE - AESR - ESR'!AH119</f>
        <v>0</v>
      </c>
      <c r="BJG3" s="29">
        <f>'REG y VAL POE - AESR - ESR'!AI119</f>
        <v>0</v>
      </c>
      <c r="BJH3" s="29">
        <f>'REG y VAL POE - AESR - ESR'!AJ119</f>
        <v>0</v>
      </c>
      <c r="BJI3" s="29">
        <f>'REG y VAL POE - AESR - ESR'!AK119</f>
        <v>0</v>
      </c>
      <c r="BJJ3" s="29">
        <f>'REG y VAL POE - AESR - ESR'!AL119</f>
        <v>0</v>
      </c>
      <c r="BJK3" s="28">
        <f>'REG y VAL POE - AESR - ESR'!AM119</f>
        <v>0</v>
      </c>
      <c r="BJL3" s="29">
        <f>'REG y VAL POE - AESR - ESR'!AN119</f>
        <v>0</v>
      </c>
      <c r="BJM3" s="29">
        <f>'REG y VAL POE - AESR - ESR'!AO119</f>
        <v>0</v>
      </c>
      <c r="BJN3" s="28">
        <f>'REG y VAL POE - AESR - ESR'!AP119</f>
        <v>0</v>
      </c>
      <c r="BJO3" s="29">
        <f>'REG y VAL POE - AESR - ESR'!AQ119</f>
        <v>0</v>
      </c>
      <c r="BJP3" s="28">
        <f>'REG y VAL POE - AESR - ESR'!AR119</f>
        <v>0</v>
      </c>
      <c r="BJQ3" s="28">
        <f>'REG y VAL POE - AESR - ESR'!AS119</f>
        <v>0</v>
      </c>
      <c r="BJR3" s="385">
        <f>'REG y VAL POE - AESR - ESR'!B120</f>
        <v>0</v>
      </c>
      <c r="BJS3" s="29">
        <f>'REG y VAL POE - AESR - ESR'!C120</f>
        <v>0</v>
      </c>
      <c r="BJT3" s="29">
        <f>'REG y VAL POE - AESR - ESR'!D120</f>
        <v>0</v>
      </c>
      <c r="BJU3" s="28">
        <f>'REG y VAL POE - AESR - ESR'!E120</f>
        <v>0</v>
      </c>
      <c r="BJV3" s="29">
        <f>'REG y VAL POE - AESR - ESR'!F120</f>
        <v>0</v>
      </c>
      <c r="BJW3" s="29">
        <f>'REG y VAL POE - AESR - ESR'!G120</f>
        <v>0</v>
      </c>
      <c r="BJX3" s="28">
        <f>'REG y VAL POE - AESR - ESR'!H120</f>
        <v>0</v>
      </c>
      <c r="BJY3" s="29">
        <f>'REG y VAL POE - AESR - ESR'!I120</f>
        <v>0</v>
      </c>
      <c r="BJZ3" s="28">
        <f>'REG y VAL POE - AESR - ESR'!J120</f>
        <v>0</v>
      </c>
      <c r="BKA3" s="28">
        <f>'REG y VAL POE - AESR - ESR'!K120</f>
        <v>0</v>
      </c>
      <c r="BKB3" s="29">
        <f>'REG y VAL POE - AESR - ESR'!L120</f>
        <v>0</v>
      </c>
      <c r="BKC3" s="29">
        <f>'REG y VAL POE - AESR - ESR'!M120</f>
        <v>0</v>
      </c>
      <c r="BKD3" s="29">
        <f>'REG y VAL POE - AESR - ESR'!N120</f>
        <v>0</v>
      </c>
      <c r="BKE3" s="28">
        <f>'REG y VAL POE - AESR - ESR'!O120</f>
        <v>0</v>
      </c>
      <c r="BKF3" s="29">
        <f>'REG y VAL POE - AESR - ESR'!P120</f>
        <v>0</v>
      </c>
      <c r="BKG3" s="29">
        <f>'REG y VAL POE - AESR - ESR'!Q120</f>
        <v>0</v>
      </c>
      <c r="BKH3" s="29">
        <f>'REG y VAL POE - AESR - ESR'!R120</f>
        <v>0</v>
      </c>
      <c r="BKI3" s="29">
        <f>'REG y VAL POE - AESR - ESR'!S120</f>
        <v>0</v>
      </c>
      <c r="BKJ3" s="29">
        <f>'REG y VAL POE - AESR - ESR'!T120</f>
        <v>0</v>
      </c>
      <c r="BKK3" s="28">
        <f>'REG y VAL POE - AESR - ESR'!U120</f>
        <v>0</v>
      </c>
      <c r="BKL3" s="29">
        <f>'REG y VAL POE - AESR - ESR'!V120</f>
        <v>0</v>
      </c>
      <c r="BKM3" s="29">
        <f>'REG y VAL POE - AESR - ESR'!W120</f>
        <v>0</v>
      </c>
      <c r="BKN3" s="28">
        <f>'REG y VAL POE - AESR - ESR'!X120</f>
        <v>0</v>
      </c>
      <c r="BKO3" s="29">
        <f>'REG y VAL POE - AESR - ESR'!Y120</f>
        <v>0</v>
      </c>
      <c r="BKP3" s="28">
        <f>'REG y VAL POE - AESR - ESR'!Z120</f>
        <v>0</v>
      </c>
      <c r="BKQ3" s="28">
        <f>'REG y VAL POE - AESR - ESR'!AA120</f>
        <v>0</v>
      </c>
      <c r="BKR3" s="29">
        <f>'REG y VAL POE - AESR - ESR'!AB120</f>
        <v>0</v>
      </c>
      <c r="BKS3" s="29">
        <f>'REG y VAL POE - AESR - ESR'!AC120</f>
        <v>0</v>
      </c>
      <c r="BKT3" s="29">
        <f>'REG y VAL POE - AESR - ESR'!AD120</f>
        <v>0</v>
      </c>
      <c r="BKU3" s="28">
        <f>'REG y VAL POE - AESR - ESR'!AE120</f>
        <v>0</v>
      </c>
      <c r="BKV3" s="29">
        <f>'REG y VAL POE - AESR - ESR'!AF120</f>
        <v>0</v>
      </c>
      <c r="BKW3" s="29">
        <f>'REG y VAL POE - AESR - ESR'!AG120</f>
        <v>0</v>
      </c>
      <c r="BKX3" s="28">
        <f>'REG y VAL POE - AESR - ESR'!AH120</f>
        <v>0</v>
      </c>
      <c r="BKY3" s="29">
        <f>'REG y VAL POE - AESR - ESR'!AI120</f>
        <v>0</v>
      </c>
      <c r="BKZ3" s="30">
        <f>'REG y VAL POE - AESR - ESR'!AJ120</f>
        <v>0</v>
      </c>
      <c r="BLA3" s="28">
        <f>'REG y VAL POE - AESR - ESR'!AK120</f>
        <v>0</v>
      </c>
      <c r="BLB3" s="29">
        <f>'REG y VAL POE - AESR - ESR'!AL120</f>
        <v>0</v>
      </c>
      <c r="BLC3" s="29">
        <f>'REG y VAL POE - AESR - ESR'!AM120</f>
        <v>0</v>
      </c>
      <c r="BLD3" s="29">
        <f>'REG y VAL POE - AESR - ESR'!AN120</f>
        <v>0</v>
      </c>
      <c r="BLE3" s="28">
        <f>'REG y VAL POE - AESR - ESR'!AO120</f>
        <v>0</v>
      </c>
      <c r="BLF3" s="29">
        <f>'REG y VAL POE - AESR - ESR'!AP120</f>
        <v>0</v>
      </c>
      <c r="BLG3" s="29">
        <f>'REG y VAL POE - AESR - ESR'!AQ120</f>
        <v>0</v>
      </c>
      <c r="BLH3" s="29">
        <f>'REG y VAL POE - AESR - ESR'!AR120</f>
        <v>0</v>
      </c>
      <c r="BLI3" s="29">
        <f>'REG y VAL POE - AESR - ESR'!AS120</f>
        <v>0</v>
      </c>
      <c r="BLJ3" s="385">
        <f>'REG y VAL POE - AESR - ESR'!B121</f>
        <v>0</v>
      </c>
      <c r="BLK3" s="28">
        <f>'REG y VAL POE - AESR - ESR'!C121</f>
        <v>0</v>
      </c>
      <c r="BLL3" s="29">
        <f>'REG y VAL POE - AESR - ESR'!D121</f>
        <v>0</v>
      </c>
      <c r="BLM3" s="29">
        <f>'REG y VAL POE - AESR - ESR'!E121</f>
        <v>0</v>
      </c>
      <c r="BLN3" s="28">
        <f>'REG y VAL POE - AESR - ESR'!F121</f>
        <v>0</v>
      </c>
      <c r="BLO3" s="29">
        <f>'REG y VAL POE - AESR - ESR'!G121</f>
        <v>0</v>
      </c>
      <c r="BLP3" s="28">
        <f>'REG y VAL POE - AESR - ESR'!H121</f>
        <v>0</v>
      </c>
      <c r="BLQ3" s="28">
        <f>'REG y VAL POE - AESR - ESR'!I121</f>
        <v>0</v>
      </c>
      <c r="BLR3" s="29">
        <f>'REG y VAL POE - AESR - ESR'!J121</f>
        <v>0</v>
      </c>
      <c r="BLS3" s="29">
        <f>'REG y VAL POE - AESR - ESR'!K121</f>
        <v>0</v>
      </c>
      <c r="BLT3" s="29">
        <f>'REG y VAL POE - AESR - ESR'!L121</f>
        <v>0</v>
      </c>
      <c r="BLU3" s="28">
        <f>'REG y VAL POE - AESR - ESR'!M121</f>
        <v>0</v>
      </c>
      <c r="BLV3" s="29">
        <f>'REG y VAL POE - AESR - ESR'!N121</f>
        <v>0</v>
      </c>
      <c r="BLW3" s="29">
        <f>'REG y VAL POE - AESR - ESR'!O121</f>
        <v>0</v>
      </c>
      <c r="BLX3" s="28">
        <f>'REG y VAL POE - AESR - ESR'!P121</f>
        <v>0</v>
      </c>
      <c r="BLY3" s="29">
        <f>'REG y VAL POE - AESR - ESR'!Q121</f>
        <v>0</v>
      </c>
      <c r="BLZ3" s="28">
        <f>'REG y VAL POE - AESR - ESR'!R121</f>
        <v>0</v>
      </c>
      <c r="BMA3" s="28">
        <f>'REG y VAL POE - AESR - ESR'!S121</f>
        <v>0</v>
      </c>
      <c r="BMB3" s="29">
        <f>'REG y VAL POE - AESR - ESR'!T121</f>
        <v>0</v>
      </c>
      <c r="BMC3" s="29">
        <f>'REG y VAL POE - AESR - ESR'!U121</f>
        <v>0</v>
      </c>
      <c r="BMD3" s="29">
        <f>'REG y VAL POE - AESR - ESR'!V121</f>
        <v>0</v>
      </c>
      <c r="BME3" s="28">
        <f>'REG y VAL POE - AESR - ESR'!W121</f>
        <v>0</v>
      </c>
      <c r="BMF3" s="29">
        <f>'REG y VAL POE - AESR - ESR'!X121</f>
        <v>0</v>
      </c>
      <c r="BMG3" s="29">
        <f>'REG y VAL POE - AESR - ESR'!Y121</f>
        <v>0</v>
      </c>
      <c r="BMH3" s="29">
        <f>'REG y VAL POE - AESR - ESR'!Z121</f>
        <v>0</v>
      </c>
      <c r="BMI3" s="29">
        <f>'REG y VAL POE - AESR - ESR'!AA121</f>
        <v>0</v>
      </c>
      <c r="BMJ3" s="29">
        <f>'REG y VAL POE - AESR - ESR'!AB121</f>
        <v>0</v>
      </c>
      <c r="BMK3" s="28">
        <f>'REG y VAL POE - AESR - ESR'!AC121</f>
        <v>0</v>
      </c>
      <c r="BML3" s="29">
        <f>'REG y VAL POE - AESR - ESR'!AD121</f>
        <v>0</v>
      </c>
      <c r="BMM3" s="29">
        <f>'REG y VAL POE - AESR - ESR'!AE121</f>
        <v>0</v>
      </c>
      <c r="BMN3" s="28">
        <f>'REG y VAL POE - AESR - ESR'!AF121</f>
        <v>0</v>
      </c>
      <c r="BMO3" s="29">
        <f>'REG y VAL POE - AESR - ESR'!AG121</f>
        <v>0</v>
      </c>
      <c r="BMP3" s="28">
        <f>'REG y VAL POE - AESR - ESR'!AH121</f>
        <v>0</v>
      </c>
      <c r="BMQ3" s="28">
        <f>'REG y VAL POE - AESR - ESR'!AI121</f>
        <v>0</v>
      </c>
      <c r="BMR3" s="29">
        <f>'REG y VAL POE - AESR - ESR'!AJ121</f>
        <v>0</v>
      </c>
      <c r="BMS3" s="29">
        <f>'REG y VAL POE - AESR - ESR'!AK121</f>
        <v>0</v>
      </c>
      <c r="BMT3" s="29">
        <f>'REG y VAL POE - AESR - ESR'!AL121</f>
        <v>0</v>
      </c>
      <c r="BMU3" s="28">
        <f>'REG y VAL POE - AESR - ESR'!AM121</f>
        <v>0</v>
      </c>
      <c r="BMV3" s="29">
        <f>'REG y VAL POE - AESR - ESR'!AN121</f>
        <v>0</v>
      </c>
      <c r="BMW3" s="29">
        <f>'REG y VAL POE - AESR - ESR'!AO121</f>
        <v>0</v>
      </c>
      <c r="BMX3" s="28">
        <f>'REG y VAL POE - AESR - ESR'!AP121</f>
        <v>0</v>
      </c>
      <c r="BMY3" s="29">
        <f>'REG y VAL POE - AESR - ESR'!AQ121</f>
        <v>0</v>
      </c>
      <c r="BMZ3" s="28">
        <f>'REG y VAL POE - AESR - ESR'!AR121</f>
        <v>0</v>
      </c>
      <c r="BNA3" s="28">
        <f>'REG y VAL POE - AESR - ESR'!AS121</f>
        <v>0</v>
      </c>
      <c r="BNB3" s="385">
        <f>'REG y VAL POE - AESR - ESR'!B122</f>
        <v>0</v>
      </c>
      <c r="BNC3" s="29">
        <f>'REG y VAL POE - AESR - ESR'!C122</f>
        <v>0</v>
      </c>
      <c r="BND3" s="29">
        <f>'REG y VAL POE - AESR - ESR'!D122</f>
        <v>0</v>
      </c>
      <c r="BNE3" s="28">
        <f>'REG y VAL POE - AESR - ESR'!E122</f>
        <v>0</v>
      </c>
      <c r="BNF3" s="29">
        <f>'REG y VAL POE - AESR - ESR'!F122</f>
        <v>0</v>
      </c>
      <c r="BNG3" s="29">
        <f>'REG y VAL POE - AESR - ESR'!G122</f>
        <v>0</v>
      </c>
      <c r="BNH3" s="29">
        <f>'REG y VAL POE - AESR - ESR'!H122</f>
        <v>0</v>
      </c>
      <c r="BNI3" s="29">
        <f>'REG y VAL POE - AESR - ESR'!I122</f>
        <v>0</v>
      </c>
      <c r="BNJ3" s="29">
        <f>'REG y VAL POE - AESR - ESR'!J122</f>
        <v>0</v>
      </c>
      <c r="BNK3" s="28">
        <f>'REG y VAL POE - AESR - ESR'!K122</f>
        <v>0</v>
      </c>
      <c r="BNL3" s="29">
        <f>'REG y VAL POE - AESR - ESR'!L122</f>
        <v>0</v>
      </c>
      <c r="BNM3" s="29">
        <f>'REG y VAL POE - AESR - ESR'!M122</f>
        <v>0</v>
      </c>
      <c r="BNN3" s="28">
        <f>'REG y VAL POE - AESR - ESR'!N122</f>
        <v>0</v>
      </c>
      <c r="BNO3" s="29">
        <f>'REG y VAL POE - AESR - ESR'!O122</f>
        <v>0</v>
      </c>
      <c r="BNP3" s="28">
        <f>'REG y VAL POE - AESR - ESR'!P122</f>
        <v>0</v>
      </c>
      <c r="BNQ3" s="28">
        <f>'REG y VAL POE - AESR - ESR'!Q122</f>
        <v>0</v>
      </c>
      <c r="BNR3" s="29">
        <f>'REG y VAL POE - AESR - ESR'!R122</f>
        <v>0</v>
      </c>
      <c r="BNS3" s="29">
        <f>'REG y VAL POE - AESR - ESR'!S122</f>
        <v>0</v>
      </c>
      <c r="BNT3" s="29">
        <f>'REG y VAL POE - AESR - ESR'!T122</f>
        <v>0</v>
      </c>
      <c r="BNU3" s="28">
        <f>'REG y VAL POE - AESR - ESR'!U122</f>
        <v>0</v>
      </c>
      <c r="BNV3" s="29">
        <f>'REG y VAL POE - AESR - ESR'!V122</f>
        <v>0</v>
      </c>
      <c r="BNW3" s="29">
        <f>'REG y VAL POE - AESR - ESR'!W122</f>
        <v>0</v>
      </c>
      <c r="BNX3" s="28">
        <f>'REG y VAL POE - AESR - ESR'!X122</f>
        <v>0</v>
      </c>
      <c r="BNY3" s="29">
        <f>'REG y VAL POE - AESR - ESR'!Y122</f>
        <v>0</v>
      </c>
      <c r="BNZ3" s="28">
        <f>'REG y VAL POE - AESR - ESR'!Z122</f>
        <v>0</v>
      </c>
      <c r="BOA3" s="28">
        <f>'REG y VAL POE - AESR - ESR'!AA122</f>
        <v>0</v>
      </c>
      <c r="BOB3" s="29">
        <f>'REG y VAL POE - AESR - ESR'!AB122</f>
        <v>0</v>
      </c>
      <c r="BOC3" s="29">
        <f>'REG y VAL POE - AESR - ESR'!AC122</f>
        <v>0</v>
      </c>
      <c r="BOD3" s="29">
        <f>'REG y VAL POE - AESR - ESR'!AD122</f>
        <v>0</v>
      </c>
      <c r="BOE3" s="28">
        <f>'REG y VAL POE - AESR - ESR'!AE122</f>
        <v>0</v>
      </c>
      <c r="BOF3" s="29">
        <f>'REG y VAL POE - AESR - ESR'!AF122</f>
        <v>0</v>
      </c>
      <c r="BOG3" s="29">
        <f>'REG y VAL POE - AESR - ESR'!AG122</f>
        <v>0</v>
      </c>
      <c r="BOH3" s="29">
        <f>'REG y VAL POE - AESR - ESR'!AH122</f>
        <v>0</v>
      </c>
      <c r="BOI3" s="29">
        <f>'REG y VAL POE - AESR - ESR'!AI122</f>
        <v>0</v>
      </c>
      <c r="BOJ3" s="29">
        <f>'REG y VAL POE - AESR - ESR'!AJ122</f>
        <v>0</v>
      </c>
      <c r="BOK3" s="28">
        <f>'REG y VAL POE - AESR - ESR'!AK122</f>
        <v>0</v>
      </c>
      <c r="BOL3" s="29">
        <f>'REG y VAL POE - AESR - ESR'!AL122</f>
        <v>0</v>
      </c>
      <c r="BOM3" s="29">
        <f>'REG y VAL POE - AESR - ESR'!AM122</f>
        <v>0</v>
      </c>
      <c r="BON3" s="28">
        <f>'REG y VAL POE - AESR - ESR'!AN122</f>
        <v>0</v>
      </c>
      <c r="BOO3" s="29">
        <f>'REG y VAL POE - AESR - ESR'!AO122</f>
        <v>0</v>
      </c>
      <c r="BOP3" s="28">
        <f>'REG y VAL POE - AESR - ESR'!AP122</f>
        <v>0</v>
      </c>
      <c r="BOQ3" s="28">
        <f>'REG y VAL POE - AESR - ESR'!AQ122</f>
        <v>0</v>
      </c>
      <c r="BOR3" s="29">
        <f>'REG y VAL POE - AESR - ESR'!AR122</f>
        <v>0</v>
      </c>
      <c r="BOS3" s="29">
        <f>'REG y VAL POE - AESR - ESR'!AS122</f>
        <v>0</v>
      </c>
      <c r="BOT3" s="385">
        <f>'REG y VAL POE - AESR - ESR'!B123</f>
        <v>0</v>
      </c>
      <c r="BOU3" s="28">
        <f>'REG y VAL POE - AESR - ESR'!C123</f>
        <v>0</v>
      </c>
      <c r="BOV3" s="29">
        <f>'REG y VAL POE - AESR - ESR'!D123</f>
        <v>0</v>
      </c>
      <c r="BOW3" s="29">
        <f>'REG y VAL POE - AESR - ESR'!E123</f>
        <v>0</v>
      </c>
      <c r="BOX3" s="28">
        <f>'REG y VAL POE - AESR - ESR'!F123</f>
        <v>0</v>
      </c>
      <c r="BOY3" s="29">
        <f>'REG y VAL POE - AESR - ESR'!G123</f>
        <v>0</v>
      </c>
      <c r="BOZ3" s="28">
        <f>'REG y VAL POE - AESR - ESR'!H123</f>
        <v>0</v>
      </c>
      <c r="BPA3" s="28">
        <f>'REG y VAL POE - AESR - ESR'!I123</f>
        <v>0</v>
      </c>
      <c r="BPB3" s="29">
        <f>'REG y VAL POE - AESR - ESR'!J123</f>
        <v>0</v>
      </c>
      <c r="BPC3" s="29">
        <f>'REG y VAL POE - AESR - ESR'!K123</f>
        <v>0</v>
      </c>
      <c r="BPD3" s="29">
        <f>'REG y VAL POE - AESR - ESR'!L123</f>
        <v>0</v>
      </c>
      <c r="BPE3" s="28">
        <f>'REG y VAL POE - AESR - ESR'!M123</f>
        <v>0</v>
      </c>
      <c r="BPF3" s="29">
        <f>'REG y VAL POE - AESR - ESR'!N123</f>
        <v>0</v>
      </c>
      <c r="BPG3" s="29">
        <f>'REG y VAL POE - AESR - ESR'!O123</f>
        <v>0</v>
      </c>
      <c r="BPH3" s="29">
        <f>'REG y VAL POE - AESR - ESR'!P123</f>
        <v>0</v>
      </c>
      <c r="BPI3" s="29">
        <f>'REG y VAL POE - AESR - ESR'!Q123</f>
        <v>0</v>
      </c>
      <c r="BPJ3" s="29">
        <f>'REG y VAL POE - AESR - ESR'!R123</f>
        <v>0</v>
      </c>
      <c r="BPK3" s="28">
        <f>'REG y VAL POE - AESR - ESR'!S123</f>
        <v>0</v>
      </c>
      <c r="BPL3" s="29">
        <f>'REG y VAL POE - AESR - ESR'!T123</f>
        <v>0</v>
      </c>
      <c r="BPM3" s="29">
        <f>'REG y VAL POE - AESR - ESR'!U123</f>
        <v>0</v>
      </c>
      <c r="BPN3" s="28">
        <f>'REG y VAL POE - AESR - ESR'!V123</f>
        <v>0</v>
      </c>
      <c r="BPO3" s="29">
        <f>'REG y VAL POE - AESR - ESR'!W123</f>
        <v>0</v>
      </c>
      <c r="BPP3" s="28">
        <f>'REG y VAL POE - AESR - ESR'!X123</f>
        <v>0</v>
      </c>
      <c r="BPQ3" s="28">
        <f>'REG y VAL POE - AESR - ESR'!Y123</f>
        <v>0</v>
      </c>
      <c r="BPR3" s="29">
        <f>'REG y VAL POE - AESR - ESR'!Z123</f>
        <v>0</v>
      </c>
      <c r="BPS3" s="29">
        <f>'REG y VAL POE - AESR - ESR'!AA123</f>
        <v>0</v>
      </c>
      <c r="BPT3" s="29">
        <f>'REG y VAL POE - AESR - ESR'!AB123</f>
        <v>0</v>
      </c>
      <c r="BPU3" s="28">
        <f>'REG y VAL POE - AESR - ESR'!AC123</f>
        <v>0</v>
      </c>
      <c r="BPV3" s="29">
        <f>'REG y VAL POE - AESR - ESR'!AD123</f>
        <v>0</v>
      </c>
      <c r="BPW3" s="29">
        <f>'REG y VAL POE - AESR - ESR'!AE123</f>
        <v>0</v>
      </c>
      <c r="BPX3" s="28">
        <f>'REG y VAL POE - AESR - ESR'!AF123</f>
        <v>0</v>
      </c>
      <c r="BPY3" s="29">
        <f>'REG y VAL POE - AESR - ESR'!AG123</f>
        <v>0</v>
      </c>
      <c r="BPZ3" s="28">
        <f>'REG y VAL POE - AESR - ESR'!AH123</f>
        <v>0</v>
      </c>
      <c r="BQA3" s="28">
        <f>'REG y VAL POE - AESR - ESR'!AI123</f>
        <v>0</v>
      </c>
      <c r="BQB3" s="29">
        <f>'REG y VAL POE - AESR - ESR'!AJ123</f>
        <v>0</v>
      </c>
      <c r="BQC3" s="29">
        <f>'REG y VAL POE - AESR - ESR'!AK123</f>
        <v>0</v>
      </c>
      <c r="BQD3" s="29">
        <f>'REG y VAL POE - AESR - ESR'!AL123</f>
        <v>0</v>
      </c>
      <c r="BQE3" s="28">
        <f>'REG y VAL POE - AESR - ESR'!AM123</f>
        <v>0</v>
      </c>
      <c r="BQF3" s="29">
        <f>'REG y VAL POE - AESR - ESR'!AN123</f>
        <v>0</v>
      </c>
      <c r="BQG3" s="29">
        <f>'REG y VAL POE - AESR - ESR'!AO123</f>
        <v>0</v>
      </c>
      <c r="BQH3" s="29">
        <f>'REG y VAL POE - AESR - ESR'!AP123</f>
        <v>0</v>
      </c>
      <c r="BQI3" s="29">
        <f>'REG y VAL POE - AESR - ESR'!AQ123</f>
        <v>0</v>
      </c>
      <c r="BQJ3" s="29">
        <f>'REG y VAL POE - AESR - ESR'!AR123</f>
        <v>0</v>
      </c>
      <c r="BQK3" s="28">
        <f>'REG y VAL POE - AESR - ESR'!AS123</f>
        <v>0</v>
      </c>
      <c r="BQL3" s="385">
        <f>'REG y VAL POE - AESR - ESR'!B124</f>
        <v>0</v>
      </c>
      <c r="BQM3" s="29">
        <f>'REG y VAL POE - AESR - ESR'!C124</f>
        <v>0</v>
      </c>
      <c r="BQN3" s="28">
        <f>'REG y VAL POE - AESR - ESR'!D124</f>
        <v>0</v>
      </c>
      <c r="BQO3" s="29">
        <f>'REG y VAL POE - AESR - ESR'!E124</f>
        <v>0</v>
      </c>
      <c r="BQP3" s="28">
        <f>'REG y VAL POE - AESR - ESR'!F124</f>
        <v>0</v>
      </c>
      <c r="BQQ3" s="28">
        <f>'REG y VAL POE - AESR - ESR'!G124</f>
        <v>0</v>
      </c>
      <c r="BQR3" s="29">
        <f>'REG y VAL POE - AESR - ESR'!H124</f>
        <v>0</v>
      </c>
      <c r="BQS3" s="29">
        <f>'REG y VAL POE - AESR - ESR'!I124</f>
        <v>0</v>
      </c>
      <c r="BQT3" s="29">
        <f>'REG y VAL POE - AESR - ESR'!J124</f>
        <v>0</v>
      </c>
      <c r="BQU3" s="28">
        <f>'REG y VAL POE - AESR - ESR'!K124</f>
        <v>0</v>
      </c>
      <c r="BQV3" s="29">
        <f>'REG y VAL POE - AESR - ESR'!L124</f>
        <v>0</v>
      </c>
      <c r="BQW3" s="29">
        <f>'REG y VAL POE - AESR - ESR'!M124</f>
        <v>0</v>
      </c>
      <c r="BQX3" s="28">
        <f>'REG y VAL POE - AESR - ESR'!N124</f>
        <v>0</v>
      </c>
      <c r="BQY3" s="29">
        <f>'REG y VAL POE - AESR - ESR'!O124</f>
        <v>0</v>
      </c>
      <c r="BQZ3" s="28">
        <f>'REG y VAL POE - AESR - ESR'!P124</f>
        <v>0</v>
      </c>
      <c r="BRA3" s="28">
        <f>'REG y VAL POE - AESR - ESR'!Q124</f>
        <v>0</v>
      </c>
      <c r="BRB3" s="29">
        <f>'REG y VAL POE - AESR - ESR'!R124</f>
        <v>0</v>
      </c>
      <c r="BRC3" s="29">
        <f>'REG y VAL POE - AESR - ESR'!S124</f>
        <v>0</v>
      </c>
      <c r="BRD3" s="29">
        <f>'REG y VAL POE - AESR - ESR'!T124</f>
        <v>0</v>
      </c>
      <c r="BRE3" s="28">
        <f>'REG y VAL POE - AESR - ESR'!U124</f>
        <v>0</v>
      </c>
      <c r="BRF3" s="29">
        <f>'REG y VAL POE - AESR - ESR'!V124</f>
        <v>0</v>
      </c>
      <c r="BRG3" s="29">
        <f>'REG y VAL POE - AESR - ESR'!W124</f>
        <v>0</v>
      </c>
      <c r="BRH3" s="29">
        <f>'REG y VAL POE - AESR - ESR'!X124</f>
        <v>0</v>
      </c>
      <c r="BRI3" s="29">
        <f>'REG y VAL POE - AESR - ESR'!Y124</f>
        <v>0</v>
      </c>
      <c r="BRJ3" s="29">
        <f>'REG y VAL POE - AESR - ESR'!Z124</f>
        <v>0</v>
      </c>
      <c r="BRK3" s="28">
        <f>'REG y VAL POE - AESR - ESR'!AA124</f>
        <v>0</v>
      </c>
      <c r="BRL3" s="29">
        <f>'REG y VAL POE - AESR - ESR'!AB124</f>
        <v>0</v>
      </c>
      <c r="BRM3" s="29">
        <f>'REG y VAL POE - AESR - ESR'!AC124</f>
        <v>0</v>
      </c>
      <c r="BRN3" s="28">
        <f>'REG y VAL POE - AESR - ESR'!AD124</f>
        <v>0</v>
      </c>
      <c r="BRO3" s="29">
        <f>'REG y VAL POE - AESR - ESR'!AE124</f>
        <v>0</v>
      </c>
      <c r="BRP3" s="28">
        <f>'REG y VAL POE - AESR - ESR'!AF124</f>
        <v>0</v>
      </c>
      <c r="BRQ3" s="28">
        <f>'REG y VAL POE - AESR - ESR'!AG124</f>
        <v>0</v>
      </c>
      <c r="BRR3" s="29">
        <f>'REG y VAL POE - AESR - ESR'!AH124</f>
        <v>0</v>
      </c>
      <c r="BRS3" s="29">
        <f>'REG y VAL POE - AESR - ESR'!AI124</f>
        <v>0</v>
      </c>
      <c r="BRT3" s="29">
        <f>'REG y VAL POE - AESR - ESR'!AJ124</f>
        <v>0</v>
      </c>
      <c r="BRU3" s="28">
        <f>'REG y VAL POE - AESR - ESR'!AK124</f>
        <v>0</v>
      </c>
      <c r="BRV3" s="29">
        <f>'REG y VAL POE - AESR - ESR'!AL124</f>
        <v>0</v>
      </c>
      <c r="BRW3" s="29">
        <f>'REG y VAL POE - AESR - ESR'!AM124</f>
        <v>0</v>
      </c>
      <c r="BRX3" s="28">
        <f>'REG y VAL POE - AESR - ESR'!AN124</f>
        <v>0</v>
      </c>
      <c r="BRY3" s="29">
        <f>'REG y VAL POE - AESR - ESR'!AO124</f>
        <v>0</v>
      </c>
      <c r="BRZ3" s="28">
        <f>'REG y VAL POE - AESR - ESR'!AP124</f>
        <v>0</v>
      </c>
      <c r="BSA3" s="28">
        <f>'REG y VAL POE - AESR - ESR'!AQ124</f>
        <v>0</v>
      </c>
      <c r="BSB3" s="29">
        <f>'REG y VAL POE - AESR - ESR'!AR124</f>
        <v>0</v>
      </c>
      <c r="BSC3" s="29">
        <f>'REG y VAL POE - AESR - ESR'!AS124</f>
        <v>0</v>
      </c>
      <c r="BSD3" s="385">
        <f>'REG y VAL POE - AESR - ESR'!B125</f>
        <v>0</v>
      </c>
      <c r="BSE3" s="28">
        <f>'REG y VAL POE - AESR - ESR'!C125</f>
        <v>0</v>
      </c>
      <c r="BSF3" s="29">
        <f>'REG y VAL POE - AESR - ESR'!D125</f>
        <v>0</v>
      </c>
      <c r="BSG3" s="29">
        <f>'REG y VAL POE - AESR - ESR'!E125</f>
        <v>0</v>
      </c>
      <c r="BSH3" s="29">
        <f>'REG y VAL POE - AESR - ESR'!F125</f>
        <v>0</v>
      </c>
      <c r="BSI3" s="29">
        <f>'REG y VAL POE - AESR - ESR'!G125</f>
        <v>0</v>
      </c>
      <c r="BSJ3" s="29">
        <f>'REG y VAL POE - AESR - ESR'!H125</f>
        <v>0</v>
      </c>
      <c r="BSK3" s="28">
        <f>'REG y VAL POE - AESR - ESR'!I125</f>
        <v>0</v>
      </c>
      <c r="BSL3" s="29">
        <f>'REG y VAL POE - AESR - ESR'!J125</f>
        <v>0</v>
      </c>
      <c r="BSM3" s="29">
        <f>'REG y VAL POE - AESR - ESR'!K125</f>
        <v>0</v>
      </c>
      <c r="BSN3" s="28">
        <f>'REG y VAL POE - AESR - ESR'!L125</f>
        <v>0</v>
      </c>
      <c r="BSO3" s="29">
        <f>'REG y VAL POE - AESR - ESR'!M125</f>
        <v>0</v>
      </c>
      <c r="BSP3" s="28">
        <f>'REG y VAL POE - AESR - ESR'!N125</f>
        <v>0</v>
      </c>
      <c r="BSQ3" s="28">
        <f>'REG y VAL POE - AESR - ESR'!O125</f>
        <v>0</v>
      </c>
      <c r="BSR3" s="29">
        <f>'REG y VAL POE - AESR - ESR'!P125</f>
        <v>0</v>
      </c>
      <c r="BSS3" s="29">
        <f>'REG y VAL POE - AESR - ESR'!Q125</f>
        <v>0</v>
      </c>
      <c r="BST3" s="29">
        <f>'REG y VAL POE - AESR - ESR'!R125</f>
        <v>0</v>
      </c>
      <c r="BSU3" s="28">
        <f>'REG y VAL POE - AESR - ESR'!S125</f>
        <v>0</v>
      </c>
      <c r="BSV3" s="29">
        <f>'REG y VAL POE - AESR - ESR'!T125</f>
        <v>0</v>
      </c>
      <c r="BSW3" s="29">
        <f>'REG y VAL POE - AESR - ESR'!U125</f>
        <v>0</v>
      </c>
      <c r="BSX3" s="28">
        <f>'REG y VAL POE - AESR - ESR'!V125</f>
        <v>0</v>
      </c>
      <c r="BSY3" s="29">
        <f>'REG y VAL POE - AESR - ESR'!W125</f>
        <v>0</v>
      </c>
      <c r="BSZ3" s="28">
        <f>'REG y VAL POE - AESR - ESR'!X125</f>
        <v>0</v>
      </c>
      <c r="BTA3" s="28">
        <f>'REG y VAL POE - AESR - ESR'!Y125</f>
        <v>0</v>
      </c>
      <c r="BTB3" s="29">
        <f>'REG y VAL POE - AESR - ESR'!Z125</f>
        <v>0</v>
      </c>
      <c r="BTC3" s="29">
        <f>'REG y VAL POE - AESR - ESR'!AA125</f>
        <v>0</v>
      </c>
      <c r="BTD3" s="29">
        <f>'REG y VAL POE - AESR - ESR'!AB125</f>
        <v>0</v>
      </c>
      <c r="BTE3" s="28">
        <f>'REG y VAL POE - AESR - ESR'!AC125</f>
        <v>0</v>
      </c>
      <c r="BTF3" s="29">
        <f>'REG y VAL POE - AESR - ESR'!AD125</f>
        <v>0</v>
      </c>
      <c r="BTG3" s="29">
        <f>'REG y VAL POE - AESR - ESR'!AE125</f>
        <v>0</v>
      </c>
      <c r="BTH3" s="29">
        <f>'REG y VAL POE - AESR - ESR'!AF125</f>
        <v>0</v>
      </c>
      <c r="BTI3" s="29">
        <f>'REG y VAL POE - AESR - ESR'!AG125</f>
        <v>0</v>
      </c>
      <c r="BTJ3" s="29">
        <f>'REG y VAL POE - AESR - ESR'!AH125</f>
        <v>0</v>
      </c>
      <c r="BTK3" s="28">
        <f>'REG y VAL POE - AESR - ESR'!AI125</f>
        <v>0</v>
      </c>
      <c r="BTL3" s="29">
        <f>'REG y VAL POE - AESR - ESR'!AJ125</f>
        <v>0</v>
      </c>
      <c r="BTM3" s="29">
        <f>'REG y VAL POE - AESR - ESR'!AK125</f>
        <v>0</v>
      </c>
      <c r="BTN3" s="28">
        <f>'REG y VAL POE - AESR - ESR'!AL125</f>
        <v>0</v>
      </c>
      <c r="BTO3" s="29">
        <f>'REG y VAL POE - AESR - ESR'!AM125</f>
        <v>0</v>
      </c>
      <c r="BTP3" s="28">
        <f>'REG y VAL POE - AESR - ESR'!AN125</f>
        <v>0</v>
      </c>
      <c r="BTQ3" s="28">
        <f>'REG y VAL POE - AESR - ESR'!AO125</f>
        <v>0</v>
      </c>
      <c r="BTR3" s="29">
        <f>'REG y VAL POE - AESR - ESR'!AP125</f>
        <v>0</v>
      </c>
      <c r="BTS3" s="29">
        <f>'REG y VAL POE - AESR - ESR'!AQ125</f>
        <v>0</v>
      </c>
      <c r="BTT3" s="29">
        <f>'REG y VAL POE - AESR - ESR'!AR125</f>
        <v>0</v>
      </c>
      <c r="BTU3" s="28">
        <f>'REG y VAL POE - AESR - ESR'!AS125</f>
        <v>0</v>
      </c>
      <c r="BTV3" s="385">
        <f>'REG y VAL POE - AESR - ESR'!B126</f>
        <v>0</v>
      </c>
      <c r="BTW3" s="29">
        <f>'REG y VAL POE - AESR - ESR'!C126</f>
        <v>0</v>
      </c>
      <c r="BTX3" s="28">
        <f>'REG y VAL POE - AESR - ESR'!D126</f>
        <v>0</v>
      </c>
      <c r="BTY3" s="29">
        <f>'REG y VAL POE - AESR - ESR'!E126</f>
        <v>0</v>
      </c>
      <c r="BTZ3" s="28">
        <f>'REG y VAL POE - AESR - ESR'!F126</f>
        <v>0</v>
      </c>
      <c r="BUA3" s="28">
        <f>'REG y VAL POE - AESR - ESR'!G126</f>
        <v>0</v>
      </c>
      <c r="BUB3" s="29">
        <f>'REG y VAL POE - AESR - ESR'!H126</f>
        <v>0</v>
      </c>
      <c r="BUC3" s="29">
        <f>'REG y VAL POE - AESR - ESR'!I126</f>
        <v>0</v>
      </c>
      <c r="BUD3" s="29">
        <f>'REG y VAL POE - AESR - ESR'!J126</f>
        <v>0</v>
      </c>
      <c r="BUE3" s="28">
        <f>'REG y VAL POE - AESR - ESR'!K126</f>
        <v>0</v>
      </c>
      <c r="BUF3" s="29">
        <f>'REG y VAL POE - AESR - ESR'!L126</f>
        <v>0</v>
      </c>
      <c r="BUG3" s="29">
        <f>'REG y VAL POE - AESR - ESR'!M126</f>
        <v>0</v>
      </c>
      <c r="BUH3" s="29">
        <f>'REG y VAL POE - AESR - ESR'!N126</f>
        <v>0</v>
      </c>
      <c r="BUI3" s="29">
        <f>'REG y VAL POE - AESR - ESR'!O126</f>
        <v>0</v>
      </c>
      <c r="BUJ3" s="29">
        <f>'REG y VAL POE - AESR - ESR'!P126</f>
        <v>0</v>
      </c>
      <c r="BUK3" s="28">
        <f>'REG y VAL POE - AESR - ESR'!Q126</f>
        <v>0</v>
      </c>
      <c r="BUL3" s="29">
        <f>'REG y VAL POE - AESR - ESR'!R126</f>
        <v>0</v>
      </c>
      <c r="BUM3" s="29">
        <f>'REG y VAL POE - AESR - ESR'!S126</f>
        <v>0</v>
      </c>
      <c r="BUN3" s="28">
        <f>'REG y VAL POE - AESR - ESR'!T126</f>
        <v>0</v>
      </c>
      <c r="BUO3" s="29">
        <f>'REG y VAL POE - AESR - ESR'!U126</f>
        <v>0</v>
      </c>
      <c r="BUP3" s="28">
        <f>'REG y VAL POE - AESR - ESR'!V126</f>
        <v>0</v>
      </c>
      <c r="BUQ3" s="28">
        <f>'REG y VAL POE - AESR - ESR'!W126</f>
        <v>0</v>
      </c>
      <c r="BUR3" s="29">
        <f>'REG y VAL POE - AESR - ESR'!X126</f>
        <v>0</v>
      </c>
      <c r="BUS3" s="29">
        <f>'REG y VAL POE - AESR - ESR'!Y126</f>
        <v>0</v>
      </c>
      <c r="BUT3" s="29">
        <f>'REG y VAL POE - AESR - ESR'!Z126</f>
        <v>0</v>
      </c>
      <c r="BUU3" s="28">
        <f>'REG y VAL POE - AESR - ESR'!AA126</f>
        <v>0</v>
      </c>
      <c r="BUV3" s="29">
        <f>'REG y VAL POE - AESR - ESR'!AB126</f>
        <v>0</v>
      </c>
      <c r="BUW3" s="29">
        <f>'REG y VAL POE - AESR - ESR'!AC126</f>
        <v>0</v>
      </c>
      <c r="BUX3" s="28">
        <f>'REG y VAL POE - AESR - ESR'!AD126</f>
        <v>0</v>
      </c>
      <c r="BUY3" s="29">
        <f>'REG y VAL POE - AESR - ESR'!AE126</f>
        <v>0</v>
      </c>
      <c r="BUZ3" s="28">
        <f>'REG y VAL POE - AESR - ESR'!AF126</f>
        <v>0</v>
      </c>
      <c r="BVA3" s="28">
        <f>'REG y VAL POE - AESR - ESR'!AG126</f>
        <v>0</v>
      </c>
      <c r="BVB3" s="29">
        <f>'REG y VAL POE - AESR - ESR'!AH126</f>
        <v>0</v>
      </c>
      <c r="BVC3" s="29">
        <f>'REG y VAL POE - AESR - ESR'!AI126</f>
        <v>0</v>
      </c>
      <c r="BVD3" s="29">
        <f>'REG y VAL POE - AESR - ESR'!AJ126</f>
        <v>0</v>
      </c>
      <c r="BVE3" s="28">
        <f>'REG y VAL POE - AESR - ESR'!AK126</f>
        <v>0</v>
      </c>
      <c r="BVF3" s="29">
        <f>'REG y VAL POE - AESR - ESR'!AL126</f>
        <v>0</v>
      </c>
      <c r="BVG3" s="29">
        <f>'REG y VAL POE - AESR - ESR'!AM126</f>
        <v>0</v>
      </c>
      <c r="BVH3" s="29">
        <f>'REG y VAL POE - AESR - ESR'!AN126</f>
        <v>0</v>
      </c>
      <c r="BVI3" s="29">
        <f>'REG y VAL POE - AESR - ESR'!AO126</f>
        <v>0</v>
      </c>
      <c r="BVJ3" s="29">
        <f>'REG y VAL POE - AESR - ESR'!AP126</f>
        <v>0</v>
      </c>
      <c r="BVK3" s="28">
        <f>'REG y VAL POE - AESR - ESR'!AQ126</f>
        <v>0</v>
      </c>
      <c r="BVL3" s="29">
        <f>'REG y VAL POE - AESR - ESR'!AR126</f>
        <v>0</v>
      </c>
      <c r="BVM3" s="29">
        <f>'REG y VAL POE - AESR - ESR'!AS126</f>
        <v>0</v>
      </c>
      <c r="BVN3" s="27">
        <f>'REG y VAL POE - AESR - ESR'!B127</f>
        <v>0</v>
      </c>
      <c r="BVO3" s="29">
        <f>'REG y VAL POE - AESR - ESR'!C127</f>
        <v>0</v>
      </c>
      <c r="BVP3" s="28">
        <f>'REG y VAL POE - AESR - ESR'!D127</f>
        <v>0</v>
      </c>
      <c r="BVQ3" s="28">
        <f>'REG y VAL POE - AESR - ESR'!E127</f>
        <v>0</v>
      </c>
      <c r="BVR3" s="29">
        <f>'REG y VAL POE - AESR - ESR'!F127</f>
        <v>0</v>
      </c>
      <c r="BVS3" s="29">
        <f>'REG y VAL POE - AESR - ESR'!G127</f>
        <v>0</v>
      </c>
      <c r="BVT3" s="29">
        <f>'REG y VAL POE - AESR - ESR'!H127</f>
        <v>0</v>
      </c>
      <c r="BVU3" s="28">
        <f>'REG y VAL POE - AESR - ESR'!I127</f>
        <v>0</v>
      </c>
      <c r="BVV3" s="29">
        <f>'REG y VAL POE - AESR - ESR'!J127</f>
        <v>0</v>
      </c>
      <c r="BVW3" s="29">
        <f>'REG y VAL POE - AESR - ESR'!K127</f>
        <v>0</v>
      </c>
      <c r="BVX3" s="28">
        <f>'REG y VAL POE - AESR - ESR'!L127</f>
        <v>0</v>
      </c>
      <c r="BVY3" s="29">
        <f>'REG y VAL POE - AESR - ESR'!M127</f>
        <v>0</v>
      </c>
      <c r="BVZ3" s="28">
        <f>'REG y VAL POE - AESR - ESR'!N127</f>
        <v>0</v>
      </c>
      <c r="BWA3" s="28">
        <f>'REG y VAL POE - AESR - ESR'!O127</f>
        <v>0</v>
      </c>
      <c r="BWB3" s="29">
        <f>'REG y VAL POE - AESR - ESR'!P127</f>
        <v>0</v>
      </c>
      <c r="BWC3" s="29">
        <f>'REG y VAL POE - AESR - ESR'!Q127</f>
        <v>0</v>
      </c>
      <c r="BWD3" s="29">
        <f>'REG y VAL POE - AESR - ESR'!R127</f>
        <v>0</v>
      </c>
      <c r="BWE3" s="28">
        <f>'REG y VAL POE - AESR - ESR'!S127</f>
        <v>0</v>
      </c>
      <c r="BWF3" s="29">
        <f>'REG y VAL POE - AESR - ESR'!T127</f>
        <v>0</v>
      </c>
      <c r="BWG3" s="29">
        <f>'REG y VAL POE - AESR - ESR'!U127</f>
        <v>0</v>
      </c>
      <c r="BWH3" s="29">
        <f>'REG y VAL POE - AESR - ESR'!V127</f>
        <v>0</v>
      </c>
      <c r="BWI3" s="29">
        <f>'REG y VAL POE - AESR - ESR'!W127</f>
        <v>0</v>
      </c>
      <c r="BWJ3" s="29">
        <f>'REG y VAL POE - AESR - ESR'!X127</f>
        <v>0</v>
      </c>
      <c r="BWK3" s="28">
        <f>'REG y VAL POE - AESR - ESR'!Y127</f>
        <v>0</v>
      </c>
      <c r="BWL3" s="29">
        <f>'REG y VAL POE - AESR - ESR'!Z127</f>
        <v>0</v>
      </c>
      <c r="BWM3" s="29">
        <f>'REG y VAL POE - AESR - ESR'!AA127</f>
        <v>0</v>
      </c>
      <c r="BWN3" s="28">
        <f>'REG y VAL POE - AESR - ESR'!AB127</f>
        <v>0</v>
      </c>
      <c r="BWO3" s="29">
        <f>'REG y VAL POE - AESR - ESR'!AC127</f>
        <v>0</v>
      </c>
      <c r="BWP3" s="28">
        <f>'REG y VAL POE - AESR - ESR'!AD127</f>
        <v>0</v>
      </c>
      <c r="BWQ3" s="28">
        <f>'REG y VAL POE - AESR - ESR'!AE127</f>
        <v>0</v>
      </c>
      <c r="BWR3" s="29">
        <f>'REG y VAL POE - AESR - ESR'!AF127</f>
        <v>0</v>
      </c>
      <c r="BWS3" s="29">
        <f>'REG y VAL POE - AESR - ESR'!AG127</f>
        <v>0</v>
      </c>
      <c r="BWT3" s="29">
        <f>'REG y VAL POE - AESR - ESR'!AH127</f>
        <v>0</v>
      </c>
      <c r="BWU3" s="28">
        <f>'REG y VAL POE - AESR - ESR'!AI127</f>
        <v>0</v>
      </c>
      <c r="BWV3" s="29">
        <f>'REG y VAL POE - AESR - ESR'!AJ127</f>
        <v>0</v>
      </c>
      <c r="BWW3" s="29">
        <f>'REG y VAL POE - AESR - ESR'!AK127</f>
        <v>0</v>
      </c>
      <c r="BWX3" s="28">
        <f>'REG y VAL POE - AESR - ESR'!AL127</f>
        <v>0</v>
      </c>
      <c r="BWY3" s="29">
        <f>'REG y VAL POE - AESR - ESR'!AM127</f>
        <v>0</v>
      </c>
      <c r="BWZ3" s="28">
        <f>'REG y VAL POE - AESR - ESR'!AN127</f>
        <v>0</v>
      </c>
      <c r="BXA3" s="28">
        <f>'REG y VAL POE - AESR - ESR'!AO127</f>
        <v>0</v>
      </c>
      <c r="BXB3" s="29">
        <f>'REG y VAL POE - AESR - ESR'!AP127</f>
        <v>0</v>
      </c>
      <c r="BXC3" s="29">
        <f>'REG y VAL POE - AESR - ESR'!AQ127</f>
        <v>0</v>
      </c>
      <c r="BXD3" s="29">
        <f>'REG y VAL POE - AESR - ESR'!AR127</f>
        <v>0</v>
      </c>
      <c r="BXE3" s="28">
        <f>'REG y VAL POE - AESR - ESR'!AS127</f>
        <v>0</v>
      </c>
      <c r="BXF3" s="385">
        <f>'REG y VAL POE - AESR - ESR'!B128</f>
        <v>0</v>
      </c>
      <c r="BXG3" s="29">
        <f>'REG y VAL POE - AESR - ESR'!C128</f>
        <v>0</v>
      </c>
      <c r="BXH3" s="29">
        <f>'REG y VAL POE - AESR - ESR'!D128</f>
        <v>0</v>
      </c>
      <c r="BXI3" s="29">
        <f>'REG y VAL POE - AESR - ESR'!E128</f>
        <v>0</v>
      </c>
      <c r="BXJ3" s="29">
        <f>'REG y VAL POE - AESR - ESR'!F128</f>
        <v>0</v>
      </c>
      <c r="BXK3" s="28">
        <f>'REG y VAL POE - AESR - ESR'!G128</f>
        <v>0</v>
      </c>
      <c r="BXL3" s="29">
        <f>'REG y VAL POE - AESR - ESR'!H128</f>
        <v>0</v>
      </c>
      <c r="BXM3" s="29">
        <f>'REG y VAL POE - AESR - ESR'!I128</f>
        <v>0</v>
      </c>
      <c r="BXN3" s="28">
        <f>'REG y VAL POE - AESR - ESR'!J128</f>
        <v>0</v>
      </c>
      <c r="BXO3" s="29">
        <f>'REG y VAL POE - AESR - ESR'!K128</f>
        <v>0</v>
      </c>
      <c r="BXP3" s="28">
        <f>'REG y VAL POE - AESR - ESR'!L128</f>
        <v>0</v>
      </c>
      <c r="BXQ3" s="28">
        <f>'REG y VAL POE - AESR - ESR'!M128</f>
        <v>0</v>
      </c>
      <c r="BXR3" s="29">
        <f>'REG y VAL POE - AESR - ESR'!N128</f>
        <v>0</v>
      </c>
      <c r="BXS3" s="29">
        <f>'REG y VAL POE - AESR - ESR'!O128</f>
        <v>0</v>
      </c>
      <c r="BXT3" s="29">
        <f>'REG y VAL POE - AESR - ESR'!P128</f>
        <v>0</v>
      </c>
      <c r="BXU3" s="28">
        <f>'REG y VAL POE - AESR - ESR'!Q128</f>
        <v>0</v>
      </c>
      <c r="BXV3" s="29">
        <f>'REG y VAL POE - AESR - ESR'!R128</f>
        <v>0</v>
      </c>
      <c r="BXW3" s="29">
        <f>'REG y VAL POE - AESR - ESR'!S128</f>
        <v>0</v>
      </c>
      <c r="BXX3" s="28">
        <f>'REG y VAL POE - AESR - ESR'!T128</f>
        <v>0</v>
      </c>
      <c r="BXY3" s="29">
        <f>'REG y VAL POE - AESR - ESR'!U128</f>
        <v>0</v>
      </c>
      <c r="BXZ3" s="28">
        <f>'REG y VAL POE - AESR - ESR'!V128</f>
        <v>0</v>
      </c>
      <c r="BYA3" s="28">
        <f>'REG y VAL POE - AESR - ESR'!W128</f>
        <v>0</v>
      </c>
      <c r="BYB3" s="29">
        <f>'REG y VAL POE - AESR - ESR'!X128</f>
        <v>0</v>
      </c>
      <c r="BYC3" s="29">
        <f>'REG y VAL POE - AESR - ESR'!Y128</f>
        <v>0</v>
      </c>
      <c r="BYD3" s="29">
        <f>'REG y VAL POE - AESR - ESR'!Z128</f>
        <v>0</v>
      </c>
      <c r="BYE3" s="28">
        <f>'REG y VAL POE - AESR - ESR'!AA128</f>
        <v>0</v>
      </c>
      <c r="BYF3" s="29">
        <f>'REG y VAL POE - AESR - ESR'!AB128</f>
        <v>0</v>
      </c>
      <c r="BYG3" s="29">
        <f>'REG y VAL POE - AESR - ESR'!AC128</f>
        <v>0</v>
      </c>
      <c r="BYH3" s="29">
        <f>'REG y VAL POE - AESR - ESR'!AD128</f>
        <v>0</v>
      </c>
      <c r="BYI3" s="29">
        <f>'REG y VAL POE - AESR - ESR'!AE128</f>
        <v>0</v>
      </c>
      <c r="BYJ3" s="29">
        <f>'REG y VAL POE - AESR - ESR'!AF128</f>
        <v>0</v>
      </c>
      <c r="BYK3" s="28">
        <f>'REG y VAL POE - AESR - ESR'!AG128</f>
        <v>0</v>
      </c>
      <c r="BYL3" s="29">
        <f>'REG y VAL POE - AESR - ESR'!AH128</f>
        <v>0</v>
      </c>
      <c r="BYM3" s="29">
        <f>'REG y VAL POE - AESR - ESR'!AI128</f>
        <v>0</v>
      </c>
      <c r="BYN3" s="28">
        <f>'REG y VAL POE - AESR - ESR'!AJ128</f>
        <v>0</v>
      </c>
      <c r="BYO3" s="29">
        <f>'REG y VAL POE - AESR - ESR'!AK128</f>
        <v>0</v>
      </c>
      <c r="BYP3" s="28">
        <f>'REG y VAL POE - AESR - ESR'!AL128</f>
        <v>0</v>
      </c>
      <c r="BYQ3" s="28">
        <f>'REG y VAL POE - AESR - ESR'!AM128</f>
        <v>0</v>
      </c>
      <c r="BYR3" s="29">
        <f>'REG y VAL POE - AESR - ESR'!AN128</f>
        <v>0</v>
      </c>
      <c r="BYS3" s="29">
        <f>'REG y VAL POE - AESR - ESR'!AO128</f>
        <v>0</v>
      </c>
      <c r="BYT3" s="29">
        <f>'REG y VAL POE - AESR - ESR'!AP128</f>
        <v>0</v>
      </c>
      <c r="BYU3" s="28">
        <f>'REG y VAL POE - AESR - ESR'!AQ128</f>
        <v>0</v>
      </c>
      <c r="BYV3" s="29">
        <f>'REG y VAL POE - AESR - ESR'!AR128</f>
        <v>0</v>
      </c>
      <c r="BYW3" s="29">
        <f>'REG y VAL POE - AESR - ESR'!AS128</f>
        <v>0</v>
      </c>
      <c r="BYX3" s="27">
        <f>'REG y VAL POE - AESR - ESR'!B129</f>
        <v>0</v>
      </c>
      <c r="BYY3" s="29">
        <f>'REG y VAL POE - AESR - ESR'!C129</f>
        <v>0</v>
      </c>
      <c r="BYZ3" s="28">
        <f>'REG y VAL POE - AESR - ESR'!D129</f>
        <v>0</v>
      </c>
      <c r="BZA3" s="29">
        <f>'REG y VAL POE - AESR - ESR'!E129</f>
        <v>0</v>
      </c>
      <c r="BZB3" s="28">
        <f>'REG y VAL POE - AESR - ESR'!F129</f>
        <v>0</v>
      </c>
      <c r="BZC3" s="31">
        <f>'REG y VAL POE - AESR - ESR'!G129</f>
        <v>0</v>
      </c>
      <c r="BZD3" s="31">
        <f>'REG y VAL POE - AESR - ESR'!H129</f>
        <v>0</v>
      </c>
      <c r="BZE3" s="29">
        <f>'REG y VAL POE - AESR - ESR'!I129</f>
        <v>0</v>
      </c>
      <c r="BZF3" s="29">
        <f>'REG y VAL POE - AESR - ESR'!J129</f>
        <v>0</v>
      </c>
      <c r="BZG3" s="29">
        <f>'REG y VAL POE - AESR - ESR'!K129</f>
        <v>0</v>
      </c>
      <c r="BZH3" s="29">
        <f>'REG y VAL POE - AESR - ESR'!L129</f>
        <v>0</v>
      </c>
      <c r="BZI3" s="29">
        <f>'REG y VAL POE - AESR - ESR'!M129</f>
        <v>0</v>
      </c>
      <c r="BZJ3" s="29">
        <f>'REG y VAL POE - AESR - ESR'!N129</f>
        <v>0</v>
      </c>
      <c r="BZK3" s="29">
        <f>'REG y VAL POE - AESR - ESR'!O129</f>
        <v>0</v>
      </c>
      <c r="BZL3" s="29">
        <f>'REG y VAL POE - AESR - ESR'!P129</f>
        <v>0</v>
      </c>
      <c r="BZM3" s="29">
        <f>'REG y VAL POE - AESR - ESR'!Q129</f>
        <v>0</v>
      </c>
      <c r="BZN3" s="29">
        <f>'REG y VAL POE - AESR - ESR'!R129</f>
        <v>0</v>
      </c>
      <c r="BZO3" s="29">
        <f>'REG y VAL POE - AESR - ESR'!S129</f>
        <v>0</v>
      </c>
      <c r="BZP3" s="29">
        <f>'REG y VAL POE - AESR - ESR'!T129</f>
        <v>0</v>
      </c>
      <c r="BZQ3" s="29">
        <f>'REG y VAL POE - AESR - ESR'!U129</f>
        <v>0</v>
      </c>
      <c r="BZR3" s="29">
        <f>'REG y VAL POE - AESR - ESR'!V129</f>
        <v>0</v>
      </c>
      <c r="BZS3" s="29">
        <f>'REG y VAL POE - AESR - ESR'!W129</f>
        <v>0</v>
      </c>
      <c r="BZT3" s="29">
        <f>'REG y VAL POE - AESR - ESR'!X129</f>
        <v>0</v>
      </c>
      <c r="BZU3" s="29">
        <f>'REG y VAL POE - AESR - ESR'!Y129</f>
        <v>0</v>
      </c>
      <c r="BZV3" s="29">
        <f>'REG y VAL POE - AESR - ESR'!Z129</f>
        <v>0</v>
      </c>
      <c r="BZW3" s="29">
        <f>'REG y VAL POE - AESR - ESR'!AA129</f>
        <v>0</v>
      </c>
      <c r="BZX3" s="29">
        <f>'REG y VAL POE - AESR - ESR'!AB129</f>
        <v>0</v>
      </c>
      <c r="BZY3" s="29">
        <f>'REG y VAL POE - AESR - ESR'!AC129</f>
        <v>0</v>
      </c>
      <c r="BZZ3" s="29">
        <f>'REG y VAL POE - AESR - ESR'!AD129</f>
        <v>0</v>
      </c>
      <c r="CAA3" s="29">
        <f>'REG y VAL POE - AESR - ESR'!AE129</f>
        <v>0</v>
      </c>
      <c r="CAB3" s="29">
        <f>'REG y VAL POE - AESR - ESR'!AF129</f>
        <v>0</v>
      </c>
      <c r="CAC3" s="29">
        <f>'REG y VAL POE - AESR - ESR'!AG129</f>
        <v>0</v>
      </c>
      <c r="CAD3" s="29">
        <f>'REG y VAL POE - AESR - ESR'!AH129</f>
        <v>0</v>
      </c>
      <c r="CAE3" s="29">
        <f>'REG y VAL POE - AESR - ESR'!AI129</f>
        <v>0</v>
      </c>
      <c r="CAF3" s="29">
        <f>'REG y VAL POE - AESR - ESR'!AJ129</f>
        <v>0</v>
      </c>
      <c r="CAG3" s="29">
        <f>'REG y VAL POE - AESR - ESR'!AK129</f>
        <v>0</v>
      </c>
      <c r="CAH3" s="29">
        <f>'REG y VAL POE - AESR - ESR'!AL129</f>
        <v>0</v>
      </c>
      <c r="CAI3" s="29">
        <f>'REG y VAL POE - AESR - ESR'!AM129</f>
        <v>0</v>
      </c>
      <c r="CAJ3" s="29">
        <f>'REG y VAL POE - AESR - ESR'!AN129</f>
        <v>0</v>
      </c>
      <c r="CAK3" s="29">
        <f>'REG y VAL POE - AESR - ESR'!AO129</f>
        <v>0</v>
      </c>
      <c r="CAL3" s="29">
        <f>'REG y VAL POE - AESR - ESR'!AP129</f>
        <v>0</v>
      </c>
      <c r="CAM3" s="29">
        <f>'REG y VAL POE - AESR - ESR'!AQ129</f>
        <v>0</v>
      </c>
      <c r="CAN3" s="29">
        <f>'REG y VAL POE - AESR - ESR'!AR129</f>
        <v>0</v>
      </c>
      <c r="CAO3" s="29">
        <f>'REG y VAL POE - AESR - ESR'!AS129</f>
        <v>0</v>
      </c>
      <c r="CAP3" s="27">
        <f>'REG y VAL POE - AESR - ESR'!B130</f>
        <v>0</v>
      </c>
      <c r="CAQ3" s="28">
        <f>'REG y VAL POE - AESR - ESR'!C130</f>
        <v>0</v>
      </c>
      <c r="CAR3" s="29">
        <f>'REG y VAL POE - AESR - ESR'!D130</f>
        <v>0</v>
      </c>
      <c r="CAS3" s="29">
        <f>'REG y VAL POE - AESR - ESR'!E130</f>
        <v>0</v>
      </c>
      <c r="CAT3" s="29">
        <f>'REG y VAL POE - AESR - ESR'!F130</f>
        <v>0</v>
      </c>
      <c r="CAU3" s="29">
        <f>'REG y VAL POE - AESR - ESR'!G130</f>
        <v>0</v>
      </c>
      <c r="CAV3" s="29">
        <f>'REG y VAL POE - AESR - ESR'!H130</f>
        <v>0</v>
      </c>
      <c r="CAW3" s="28">
        <f>'REG y VAL POE - AESR - ESR'!I130</f>
        <v>0</v>
      </c>
      <c r="CAX3" s="29">
        <f>'REG y VAL POE - AESR - ESR'!J130</f>
        <v>0</v>
      </c>
      <c r="CAY3" s="29">
        <f>'REG y VAL POE - AESR - ESR'!K130</f>
        <v>0</v>
      </c>
      <c r="CAZ3" s="28">
        <f>'REG y VAL POE - AESR - ESR'!L130</f>
        <v>0</v>
      </c>
      <c r="CBA3" s="29">
        <f>'REG y VAL POE - AESR - ESR'!M130</f>
        <v>0</v>
      </c>
      <c r="CBB3" s="28">
        <f>'REG y VAL POE - AESR - ESR'!N130</f>
        <v>0</v>
      </c>
      <c r="CBC3" s="28">
        <f>'REG y VAL POE - AESR - ESR'!O130</f>
        <v>0</v>
      </c>
      <c r="CBD3" s="29">
        <f>'REG y VAL POE - AESR - ESR'!P130</f>
        <v>0</v>
      </c>
      <c r="CBE3" s="29">
        <f>'REG y VAL POE - AESR - ESR'!Q130</f>
        <v>0</v>
      </c>
      <c r="CBF3" s="29">
        <f>'REG y VAL POE - AESR - ESR'!R130</f>
        <v>0</v>
      </c>
      <c r="CBG3" s="28">
        <f>'REG y VAL POE - AESR - ESR'!S130</f>
        <v>0</v>
      </c>
      <c r="CBH3" s="29">
        <f>'REG y VAL POE - AESR - ESR'!T130</f>
        <v>0</v>
      </c>
      <c r="CBI3" s="29">
        <f>'REG y VAL POE - AESR - ESR'!U130</f>
        <v>0</v>
      </c>
      <c r="CBJ3" s="28">
        <f>'REG y VAL POE - AESR - ESR'!V130</f>
        <v>0</v>
      </c>
      <c r="CBK3" s="29">
        <f>'REG y VAL POE - AESR - ESR'!W130</f>
        <v>0</v>
      </c>
      <c r="CBL3" s="28">
        <f>'REG y VAL POE - AESR - ESR'!X130</f>
        <v>0</v>
      </c>
      <c r="CBM3" s="28">
        <f>'REG y VAL POE - AESR - ESR'!Y130</f>
        <v>0</v>
      </c>
      <c r="CBN3" s="29">
        <f>'REG y VAL POE - AESR - ESR'!Z130</f>
        <v>0</v>
      </c>
      <c r="CBO3" s="29">
        <f>'REG y VAL POE - AESR - ESR'!AA130</f>
        <v>0</v>
      </c>
      <c r="CBP3" s="29">
        <f>'REG y VAL POE - AESR - ESR'!AB130</f>
        <v>0</v>
      </c>
      <c r="CBQ3" s="28">
        <f>'REG y VAL POE - AESR - ESR'!AC130</f>
        <v>0</v>
      </c>
      <c r="CBR3" s="29">
        <f>'REG y VAL POE - AESR - ESR'!AD130</f>
        <v>0</v>
      </c>
      <c r="CBS3" s="29">
        <f>'REG y VAL POE - AESR - ESR'!AE130</f>
        <v>0</v>
      </c>
      <c r="CBT3" s="28">
        <f>'REG y VAL POE - AESR - ESR'!AF130</f>
        <v>0</v>
      </c>
      <c r="CBU3" s="29">
        <f>'REG y VAL POE - AESR - ESR'!AG130</f>
        <v>0</v>
      </c>
      <c r="CBV3" s="28">
        <f>'REG y VAL POE - AESR - ESR'!AH130</f>
        <v>0</v>
      </c>
      <c r="CBW3" s="28">
        <f>'REG y VAL POE - AESR - ESR'!AI130</f>
        <v>0</v>
      </c>
      <c r="CBX3" s="29">
        <f>'REG y VAL POE - AESR - ESR'!AJ130</f>
        <v>0</v>
      </c>
      <c r="CBY3" s="29">
        <f>'REG y VAL POE - AESR - ESR'!AK130</f>
        <v>0</v>
      </c>
      <c r="CBZ3" s="29">
        <f>'REG y VAL POE - AESR - ESR'!AL130</f>
        <v>0</v>
      </c>
      <c r="CCA3" s="28">
        <f>'REG y VAL POE - AESR - ESR'!AM130</f>
        <v>0</v>
      </c>
      <c r="CCB3" s="29">
        <f>'REG y VAL POE - AESR - ESR'!AN130</f>
        <v>0</v>
      </c>
      <c r="CCC3" s="29">
        <f>'REG y VAL POE - AESR - ESR'!AO130</f>
        <v>0</v>
      </c>
      <c r="CCD3" s="28">
        <f>'REG y VAL POE - AESR - ESR'!AP130</f>
        <v>0</v>
      </c>
      <c r="CCE3" s="29">
        <f>'REG y VAL POE - AESR - ESR'!AQ130</f>
        <v>0</v>
      </c>
      <c r="CCF3" s="28">
        <f>'REG y VAL POE - AESR - ESR'!AR130</f>
        <v>0</v>
      </c>
      <c r="CCG3" s="28">
        <f>'REG y VAL POE - AESR - ESR'!AS130</f>
        <v>0</v>
      </c>
      <c r="CCH3" s="27">
        <f>'REG y VAL POE - AESR - ESR'!B131</f>
        <v>0</v>
      </c>
      <c r="CCI3" s="29">
        <f>'REG y VAL POE - AESR - ESR'!C131</f>
        <v>0</v>
      </c>
      <c r="CCJ3" s="28">
        <f>'REG y VAL POE - AESR - ESR'!D131</f>
        <v>0</v>
      </c>
      <c r="CCK3" s="29">
        <f>'REG y VAL POE - AESR - ESR'!E131</f>
        <v>0</v>
      </c>
      <c r="CCL3" s="28">
        <f>'REG y VAL POE - AESR - ESR'!F131</f>
        <v>0</v>
      </c>
      <c r="CCM3" s="31">
        <f>'REG y VAL POE - AESR - ESR'!G131</f>
        <v>0</v>
      </c>
      <c r="CCN3" s="31">
        <f>'REG y VAL POE - AESR - ESR'!H131</f>
        <v>0</v>
      </c>
      <c r="CCO3" s="29">
        <f>'REG y VAL POE - AESR - ESR'!I131</f>
        <v>0</v>
      </c>
      <c r="CCP3" s="29">
        <f>'REG y VAL POE - AESR - ESR'!J131</f>
        <v>0</v>
      </c>
      <c r="CCQ3" s="29">
        <f>'REG y VAL POE - AESR - ESR'!K131</f>
        <v>0</v>
      </c>
      <c r="CCR3" s="29">
        <f>'REG y VAL POE - AESR - ESR'!L131</f>
        <v>0</v>
      </c>
      <c r="CCS3" s="29">
        <f>'REG y VAL POE - AESR - ESR'!M131</f>
        <v>0</v>
      </c>
      <c r="CCT3" s="29">
        <f>'REG y VAL POE - AESR - ESR'!N131</f>
        <v>0</v>
      </c>
      <c r="CCU3" s="29">
        <f>'REG y VAL POE - AESR - ESR'!O131</f>
        <v>0</v>
      </c>
      <c r="CCV3" s="29">
        <f>'REG y VAL POE - AESR - ESR'!P131</f>
        <v>0</v>
      </c>
      <c r="CCW3" s="29">
        <f>'REG y VAL POE - AESR - ESR'!Q131</f>
        <v>0</v>
      </c>
      <c r="CCX3" s="29">
        <f>'REG y VAL POE - AESR - ESR'!R131</f>
        <v>0</v>
      </c>
      <c r="CCY3" s="29">
        <f>'REG y VAL POE - AESR - ESR'!S131</f>
        <v>0</v>
      </c>
      <c r="CCZ3" s="29">
        <f>'REG y VAL POE - AESR - ESR'!T131</f>
        <v>0</v>
      </c>
      <c r="CDA3" s="29">
        <f>'REG y VAL POE - AESR - ESR'!U131</f>
        <v>0</v>
      </c>
      <c r="CDB3" s="29">
        <f>'REG y VAL POE - AESR - ESR'!V131</f>
        <v>0</v>
      </c>
      <c r="CDC3" s="29">
        <f>'REG y VAL POE - AESR - ESR'!W131</f>
        <v>0</v>
      </c>
      <c r="CDD3" s="29">
        <f>'REG y VAL POE - AESR - ESR'!X131</f>
        <v>0</v>
      </c>
      <c r="CDE3" s="29">
        <f>'REG y VAL POE - AESR - ESR'!Y131</f>
        <v>0</v>
      </c>
      <c r="CDF3" s="29">
        <f>'REG y VAL POE - AESR - ESR'!Z131</f>
        <v>0</v>
      </c>
      <c r="CDG3" s="29">
        <f>'REG y VAL POE - AESR - ESR'!AA131</f>
        <v>0</v>
      </c>
      <c r="CDH3" s="29">
        <f>'REG y VAL POE - AESR - ESR'!AB131</f>
        <v>0</v>
      </c>
      <c r="CDI3" s="29">
        <f>'REG y VAL POE - AESR - ESR'!AC131</f>
        <v>0</v>
      </c>
      <c r="CDJ3" s="29">
        <f>'REG y VAL POE - AESR - ESR'!AD131</f>
        <v>0</v>
      </c>
      <c r="CDK3" s="29">
        <f>'REG y VAL POE - AESR - ESR'!AE131</f>
        <v>0</v>
      </c>
      <c r="CDL3" s="29">
        <f>'REG y VAL POE - AESR - ESR'!AF131</f>
        <v>0</v>
      </c>
      <c r="CDM3" s="29">
        <f>'REG y VAL POE - AESR - ESR'!AG131</f>
        <v>0</v>
      </c>
      <c r="CDN3" s="29">
        <f>'REG y VAL POE - AESR - ESR'!AH131</f>
        <v>0</v>
      </c>
      <c r="CDO3" s="29">
        <f>'REG y VAL POE - AESR - ESR'!AI131</f>
        <v>0</v>
      </c>
      <c r="CDP3" s="29">
        <f>'REG y VAL POE - AESR - ESR'!AJ131</f>
        <v>0</v>
      </c>
      <c r="CDQ3" s="29">
        <f>'REG y VAL POE - AESR - ESR'!AK131</f>
        <v>0</v>
      </c>
      <c r="CDR3" s="29">
        <f>'REG y VAL POE - AESR - ESR'!AL131</f>
        <v>0</v>
      </c>
      <c r="CDS3" s="29">
        <f>'REG y VAL POE - AESR - ESR'!AM131</f>
        <v>0</v>
      </c>
      <c r="CDT3" s="29">
        <f>'REG y VAL POE - AESR - ESR'!AN131</f>
        <v>0</v>
      </c>
      <c r="CDU3" s="29">
        <f>'REG y VAL POE - AESR - ESR'!AO131</f>
        <v>0</v>
      </c>
      <c r="CDV3" s="29">
        <f>'REG y VAL POE - AESR - ESR'!AP131</f>
        <v>0</v>
      </c>
      <c r="CDW3" s="29">
        <f>'REG y VAL POE - AESR - ESR'!AQ131</f>
        <v>0</v>
      </c>
      <c r="CDX3" s="29">
        <f>'REG y VAL POE - AESR - ESR'!AR131</f>
        <v>0</v>
      </c>
      <c r="CDY3" s="29">
        <f>'REG y VAL POE - AESR - ESR'!AS131</f>
        <v>0</v>
      </c>
      <c r="CDZ3" s="27">
        <f>'REG y VAL POE - AESR - ESR'!B132</f>
        <v>0</v>
      </c>
      <c r="CEA3" s="28">
        <f>'REG y VAL POE - AESR - ESR'!C132</f>
        <v>0</v>
      </c>
      <c r="CEB3" s="29">
        <f>'REG y VAL POE - AESR - ESR'!D132</f>
        <v>0</v>
      </c>
      <c r="CEC3" s="29">
        <f>'REG y VAL POE - AESR - ESR'!E132</f>
        <v>0</v>
      </c>
      <c r="CED3" s="29">
        <f>'REG y VAL POE - AESR - ESR'!F132</f>
        <v>0</v>
      </c>
      <c r="CEE3" s="29">
        <f>'REG y VAL POE - AESR - ESR'!G132</f>
        <v>0</v>
      </c>
      <c r="CEF3" s="29">
        <f>'REG y VAL POE - AESR - ESR'!H132</f>
        <v>0</v>
      </c>
      <c r="CEG3" s="28">
        <f>'REG y VAL POE - AESR - ESR'!I132</f>
        <v>0</v>
      </c>
      <c r="CEH3" s="29">
        <f>'REG y VAL POE - AESR - ESR'!J132</f>
        <v>0</v>
      </c>
      <c r="CEI3" s="29">
        <f>'REG y VAL POE - AESR - ESR'!K132</f>
        <v>0</v>
      </c>
      <c r="CEJ3" s="28">
        <f>'REG y VAL POE - AESR - ESR'!L132</f>
        <v>0</v>
      </c>
      <c r="CEK3" s="29">
        <f>'REG y VAL POE - AESR - ESR'!M132</f>
        <v>0</v>
      </c>
      <c r="CEL3" s="28">
        <f>'REG y VAL POE - AESR - ESR'!N132</f>
        <v>0</v>
      </c>
      <c r="CEM3" s="28">
        <f>'REG y VAL POE - AESR - ESR'!O132</f>
        <v>0</v>
      </c>
      <c r="CEN3" s="29">
        <f>'REG y VAL POE - AESR - ESR'!P132</f>
        <v>0</v>
      </c>
      <c r="CEO3" s="29">
        <f>'REG y VAL POE - AESR - ESR'!Q132</f>
        <v>0</v>
      </c>
      <c r="CEP3" s="29">
        <f>'REG y VAL POE - AESR - ESR'!R132</f>
        <v>0</v>
      </c>
      <c r="CEQ3" s="28">
        <f>'REG y VAL POE - AESR - ESR'!S132</f>
        <v>0</v>
      </c>
      <c r="CER3" s="29">
        <f>'REG y VAL POE - AESR - ESR'!T132</f>
        <v>0</v>
      </c>
      <c r="CES3" s="29">
        <f>'REG y VAL POE - AESR - ESR'!U132</f>
        <v>0</v>
      </c>
      <c r="CET3" s="28">
        <f>'REG y VAL POE - AESR - ESR'!V132</f>
        <v>0</v>
      </c>
      <c r="CEU3" s="29">
        <f>'REG y VAL POE - AESR - ESR'!W132</f>
        <v>0</v>
      </c>
      <c r="CEV3" s="28">
        <f>'REG y VAL POE - AESR - ESR'!X132</f>
        <v>0</v>
      </c>
      <c r="CEW3" s="28">
        <f>'REG y VAL POE - AESR - ESR'!Y132</f>
        <v>0</v>
      </c>
      <c r="CEX3" s="29">
        <f>'REG y VAL POE - AESR - ESR'!Z132</f>
        <v>0</v>
      </c>
      <c r="CEY3" s="29">
        <f>'REG y VAL POE - AESR - ESR'!AA132</f>
        <v>0</v>
      </c>
      <c r="CEZ3" s="29">
        <f>'REG y VAL POE - AESR - ESR'!AB132</f>
        <v>0</v>
      </c>
      <c r="CFA3" s="28">
        <f>'REG y VAL POE - AESR - ESR'!AC132</f>
        <v>0</v>
      </c>
      <c r="CFB3" s="29">
        <f>'REG y VAL POE - AESR - ESR'!AD132</f>
        <v>0</v>
      </c>
      <c r="CFC3" s="29">
        <f>'REG y VAL POE - AESR - ESR'!AE132</f>
        <v>0</v>
      </c>
      <c r="CFD3" s="28">
        <f>'REG y VAL POE - AESR - ESR'!AF132</f>
        <v>0</v>
      </c>
      <c r="CFE3" s="29">
        <f>'REG y VAL POE - AESR - ESR'!AG132</f>
        <v>0</v>
      </c>
      <c r="CFF3" s="28">
        <f>'REG y VAL POE - AESR - ESR'!AH132</f>
        <v>0</v>
      </c>
      <c r="CFG3" s="28">
        <f>'REG y VAL POE - AESR - ESR'!AI132</f>
        <v>0</v>
      </c>
      <c r="CFH3" s="29">
        <f>'REG y VAL POE - AESR - ESR'!AJ132</f>
        <v>0</v>
      </c>
      <c r="CFI3" s="29">
        <f>'REG y VAL POE - AESR - ESR'!AK132</f>
        <v>0</v>
      </c>
      <c r="CFJ3" s="29">
        <f>'REG y VAL POE - AESR - ESR'!AL132</f>
        <v>0</v>
      </c>
      <c r="CFK3" s="28">
        <f>'REG y VAL POE - AESR - ESR'!AM132</f>
        <v>0</v>
      </c>
      <c r="CFL3" s="29">
        <f>'REG y VAL POE - AESR - ESR'!AN132</f>
        <v>0</v>
      </c>
      <c r="CFM3" s="29">
        <f>'REG y VAL POE - AESR - ESR'!AO132</f>
        <v>0</v>
      </c>
      <c r="CFN3" s="28">
        <f>'REG y VAL POE - AESR - ESR'!AP132</f>
        <v>0</v>
      </c>
      <c r="CFO3" s="29">
        <f>'REG y VAL POE - AESR - ESR'!AQ132</f>
        <v>0</v>
      </c>
      <c r="CFP3" s="28">
        <f>'REG y VAL POE - AESR - ESR'!AR132</f>
        <v>0</v>
      </c>
      <c r="CFQ3" s="28">
        <f>'REG y VAL POE - AESR - ESR'!AS132</f>
        <v>0</v>
      </c>
      <c r="CFR3" s="27">
        <f>'REG y VAL POE - AESR - ESR'!B133</f>
        <v>0</v>
      </c>
      <c r="CFS3" s="29">
        <f>'REG y VAL POE - AESR - ESR'!C133</f>
        <v>0</v>
      </c>
      <c r="CFT3" s="28">
        <f>'REG y VAL POE - AESR - ESR'!D133</f>
        <v>0</v>
      </c>
      <c r="CFU3" s="29">
        <f>'REG y VAL POE - AESR - ESR'!E133</f>
        <v>0</v>
      </c>
      <c r="CFV3" s="28">
        <f>'REG y VAL POE - AESR - ESR'!F133</f>
        <v>0</v>
      </c>
      <c r="CFW3" s="31">
        <f>'REG y VAL POE - AESR - ESR'!G133</f>
        <v>0</v>
      </c>
      <c r="CFX3" s="31">
        <f>'REG y VAL POE - AESR - ESR'!H133</f>
        <v>0</v>
      </c>
      <c r="CFY3" s="29">
        <f>'REG y VAL POE - AESR - ESR'!I133</f>
        <v>0</v>
      </c>
      <c r="CFZ3" s="29">
        <f>'REG y VAL POE - AESR - ESR'!J133</f>
        <v>0</v>
      </c>
      <c r="CGA3" s="29">
        <f>'REG y VAL POE - AESR - ESR'!K133</f>
        <v>0</v>
      </c>
      <c r="CGB3" s="29">
        <f>'REG y VAL POE - AESR - ESR'!L133</f>
        <v>0</v>
      </c>
      <c r="CGC3" s="29">
        <f>'REG y VAL POE - AESR - ESR'!M133</f>
        <v>0</v>
      </c>
      <c r="CGD3" s="29">
        <f>'REG y VAL POE - AESR - ESR'!N133</f>
        <v>0</v>
      </c>
      <c r="CGE3" s="29">
        <f>'REG y VAL POE - AESR - ESR'!O133</f>
        <v>0</v>
      </c>
      <c r="CGF3" s="29">
        <f>'REG y VAL POE - AESR - ESR'!P133</f>
        <v>0</v>
      </c>
      <c r="CGG3" s="29">
        <f>'REG y VAL POE - AESR - ESR'!Q133</f>
        <v>0</v>
      </c>
      <c r="CGH3" s="29">
        <f>'REG y VAL POE - AESR - ESR'!R133</f>
        <v>0</v>
      </c>
      <c r="CGI3" s="29">
        <f>'REG y VAL POE - AESR - ESR'!S133</f>
        <v>0</v>
      </c>
      <c r="CGJ3" s="29">
        <f>'REG y VAL POE - AESR - ESR'!T133</f>
        <v>0</v>
      </c>
      <c r="CGK3" s="29">
        <f>'REG y VAL POE - AESR - ESR'!U133</f>
        <v>0</v>
      </c>
      <c r="CGL3" s="29">
        <f>'REG y VAL POE - AESR - ESR'!V133</f>
        <v>0</v>
      </c>
      <c r="CGM3" s="29">
        <f>'REG y VAL POE - AESR - ESR'!W133</f>
        <v>0</v>
      </c>
      <c r="CGN3" s="29">
        <f>'REG y VAL POE - AESR - ESR'!X133</f>
        <v>0</v>
      </c>
      <c r="CGO3" s="29">
        <f>'REG y VAL POE - AESR - ESR'!Y133</f>
        <v>0</v>
      </c>
      <c r="CGP3" s="29">
        <f>'REG y VAL POE - AESR - ESR'!Z133</f>
        <v>0</v>
      </c>
      <c r="CGQ3" s="29">
        <f>'REG y VAL POE - AESR - ESR'!AA133</f>
        <v>0</v>
      </c>
      <c r="CGR3" s="29">
        <f>'REG y VAL POE - AESR - ESR'!AB133</f>
        <v>0</v>
      </c>
      <c r="CGS3" s="29">
        <f>'REG y VAL POE - AESR - ESR'!AC133</f>
        <v>0</v>
      </c>
      <c r="CGT3" s="29">
        <f>'REG y VAL POE - AESR - ESR'!AD133</f>
        <v>0</v>
      </c>
      <c r="CGU3" s="29">
        <f>'REG y VAL POE - AESR - ESR'!AE133</f>
        <v>0</v>
      </c>
      <c r="CGV3" s="29">
        <f>'REG y VAL POE - AESR - ESR'!AF133</f>
        <v>0</v>
      </c>
      <c r="CGW3" s="29">
        <f>'REG y VAL POE - AESR - ESR'!AG133</f>
        <v>0</v>
      </c>
      <c r="CGX3" s="29">
        <f>'REG y VAL POE - AESR - ESR'!AH133</f>
        <v>0</v>
      </c>
      <c r="CGY3" s="29">
        <f>'REG y VAL POE - AESR - ESR'!AI133</f>
        <v>0</v>
      </c>
      <c r="CGZ3" s="29">
        <f>'REG y VAL POE - AESR - ESR'!AJ133</f>
        <v>0</v>
      </c>
      <c r="CHA3" s="29">
        <f>'REG y VAL POE - AESR - ESR'!AK133</f>
        <v>0</v>
      </c>
      <c r="CHB3" s="29">
        <f>'REG y VAL POE - AESR - ESR'!AL133</f>
        <v>0</v>
      </c>
      <c r="CHC3" s="29">
        <f>'REG y VAL POE - AESR - ESR'!AM133</f>
        <v>0</v>
      </c>
      <c r="CHD3" s="29">
        <f>'REG y VAL POE - AESR - ESR'!AN133</f>
        <v>0</v>
      </c>
      <c r="CHE3" s="29">
        <f>'REG y VAL POE - AESR - ESR'!AO133</f>
        <v>0</v>
      </c>
      <c r="CHF3" s="29">
        <f>'REG y VAL POE - AESR - ESR'!AP133</f>
        <v>0</v>
      </c>
      <c r="CHG3" s="29">
        <f>'REG y VAL POE - AESR - ESR'!AQ133</f>
        <v>0</v>
      </c>
      <c r="CHH3" s="29">
        <f>'REG y VAL POE - AESR - ESR'!AR133</f>
        <v>0</v>
      </c>
      <c r="CHI3" s="29">
        <f>'REG y VAL POE - AESR - ESR'!AS133</f>
        <v>0</v>
      </c>
      <c r="CHJ3" s="27">
        <f>'REG y VAL POE - AESR - ESR'!B134</f>
        <v>0</v>
      </c>
      <c r="CHK3" s="28">
        <f>'REG y VAL POE - AESR - ESR'!C134</f>
        <v>0</v>
      </c>
      <c r="CHL3" s="29">
        <f>'REG y VAL POE - AESR - ESR'!D134</f>
        <v>0</v>
      </c>
      <c r="CHM3" s="29">
        <f>'REG y VAL POE - AESR - ESR'!E134</f>
        <v>0</v>
      </c>
      <c r="CHN3" s="29">
        <f>'REG y VAL POE - AESR - ESR'!F134</f>
        <v>0</v>
      </c>
      <c r="CHO3" s="29">
        <f>'REG y VAL POE - AESR - ESR'!G134</f>
        <v>0</v>
      </c>
      <c r="CHP3" s="29">
        <f>'REG y VAL POE - AESR - ESR'!H134</f>
        <v>0</v>
      </c>
      <c r="CHQ3" s="28">
        <f>'REG y VAL POE - AESR - ESR'!I134</f>
        <v>0</v>
      </c>
      <c r="CHR3" s="29">
        <f>'REG y VAL POE - AESR - ESR'!J134</f>
        <v>0</v>
      </c>
      <c r="CHS3" s="29">
        <f>'REG y VAL POE - AESR - ESR'!K134</f>
        <v>0</v>
      </c>
      <c r="CHT3" s="28">
        <f>'REG y VAL POE - AESR - ESR'!L134</f>
        <v>0</v>
      </c>
      <c r="CHU3" s="29">
        <f>'REG y VAL POE - AESR - ESR'!M134</f>
        <v>0</v>
      </c>
      <c r="CHV3" s="28">
        <f>'REG y VAL POE - AESR - ESR'!N134</f>
        <v>0</v>
      </c>
      <c r="CHW3" s="28">
        <f>'REG y VAL POE - AESR - ESR'!O134</f>
        <v>0</v>
      </c>
      <c r="CHX3" s="29">
        <f>'REG y VAL POE - AESR - ESR'!P134</f>
        <v>0</v>
      </c>
      <c r="CHY3" s="29">
        <f>'REG y VAL POE - AESR - ESR'!Q134</f>
        <v>0</v>
      </c>
      <c r="CHZ3" s="29">
        <f>'REG y VAL POE - AESR - ESR'!R134</f>
        <v>0</v>
      </c>
      <c r="CIA3" s="28">
        <f>'REG y VAL POE - AESR - ESR'!S134</f>
        <v>0</v>
      </c>
      <c r="CIB3" s="29">
        <f>'REG y VAL POE - AESR - ESR'!T134</f>
        <v>0</v>
      </c>
      <c r="CIC3" s="29">
        <f>'REG y VAL POE - AESR - ESR'!U134</f>
        <v>0</v>
      </c>
      <c r="CID3" s="28">
        <f>'REG y VAL POE - AESR - ESR'!V134</f>
        <v>0</v>
      </c>
      <c r="CIE3" s="29">
        <f>'REG y VAL POE - AESR - ESR'!W134</f>
        <v>0</v>
      </c>
      <c r="CIF3" s="28">
        <f>'REG y VAL POE - AESR - ESR'!X134</f>
        <v>0</v>
      </c>
      <c r="CIG3" s="28">
        <f>'REG y VAL POE - AESR - ESR'!Y134</f>
        <v>0</v>
      </c>
      <c r="CIH3" s="29">
        <f>'REG y VAL POE - AESR - ESR'!Z134</f>
        <v>0</v>
      </c>
      <c r="CII3" s="29">
        <f>'REG y VAL POE - AESR - ESR'!AA134</f>
        <v>0</v>
      </c>
      <c r="CIJ3" s="29">
        <f>'REG y VAL POE - AESR - ESR'!AB134</f>
        <v>0</v>
      </c>
      <c r="CIK3" s="28">
        <f>'REG y VAL POE - AESR - ESR'!AC134</f>
        <v>0</v>
      </c>
      <c r="CIL3" s="29">
        <f>'REG y VAL POE - AESR - ESR'!AD134</f>
        <v>0</v>
      </c>
      <c r="CIM3" s="29">
        <f>'REG y VAL POE - AESR - ESR'!AE134</f>
        <v>0</v>
      </c>
      <c r="CIN3" s="28">
        <f>'REG y VAL POE - AESR - ESR'!AF134</f>
        <v>0</v>
      </c>
      <c r="CIO3" s="29">
        <f>'REG y VAL POE - AESR - ESR'!AG134</f>
        <v>0</v>
      </c>
      <c r="CIP3" s="28">
        <f>'REG y VAL POE - AESR - ESR'!AH134</f>
        <v>0</v>
      </c>
      <c r="CIQ3" s="28">
        <f>'REG y VAL POE - AESR - ESR'!AI134</f>
        <v>0</v>
      </c>
      <c r="CIR3" s="29">
        <f>'REG y VAL POE - AESR - ESR'!AJ134</f>
        <v>0</v>
      </c>
      <c r="CIS3" s="29">
        <f>'REG y VAL POE - AESR - ESR'!AK134</f>
        <v>0</v>
      </c>
      <c r="CIT3" s="29">
        <f>'REG y VAL POE - AESR - ESR'!AL134</f>
        <v>0</v>
      </c>
      <c r="CIU3" s="28">
        <f>'REG y VAL POE - AESR - ESR'!AM134</f>
        <v>0</v>
      </c>
      <c r="CIV3" s="29">
        <f>'REG y VAL POE - AESR - ESR'!AN134</f>
        <v>0</v>
      </c>
      <c r="CIW3" s="29">
        <f>'REG y VAL POE - AESR - ESR'!AO134</f>
        <v>0</v>
      </c>
      <c r="CIX3" s="28">
        <f>'REG y VAL POE - AESR - ESR'!AP134</f>
        <v>0</v>
      </c>
      <c r="CIY3" s="29">
        <f>'REG y VAL POE - AESR - ESR'!AQ134</f>
        <v>0</v>
      </c>
      <c r="CIZ3" s="28">
        <f>'REG y VAL POE - AESR - ESR'!AR134</f>
        <v>0</v>
      </c>
      <c r="CJA3" s="28">
        <f>'REG y VAL POE - AESR - ESR'!AS134</f>
        <v>0</v>
      </c>
      <c r="CJB3" s="27">
        <f>'REG y VAL POE - AESR - ESR'!B135</f>
        <v>0</v>
      </c>
      <c r="CJC3" s="29">
        <f>'REG y VAL POE - AESR - ESR'!C135</f>
        <v>0</v>
      </c>
      <c r="CJD3" s="28">
        <f>'REG y VAL POE - AESR - ESR'!D135</f>
        <v>0</v>
      </c>
      <c r="CJE3" s="29">
        <f>'REG y VAL POE - AESR - ESR'!E135</f>
        <v>0</v>
      </c>
      <c r="CJF3" s="28">
        <f>'REG y VAL POE - AESR - ESR'!F135</f>
        <v>0</v>
      </c>
      <c r="CJG3" s="31">
        <f>'REG y VAL POE - AESR - ESR'!G135</f>
        <v>0</v>
      </c>
      <c r="CJH3" s="31">
        <f>'REG y VAL POE - AESR - ESR'!H135</f>
        <v>0</v>
      </c>
      <c r="CJI3" s="29">
        <f>'REG y VAL POE - AESR - ESR'!I135</f>
        <v>0</v>
      </c>
      <c r="CJJ3" s="29">
        <f>'REG y VAL POE - AESR - ESR'!J135</f>
        <v>0</v>
      </c>
      <c r="CJK3" s="29">
        <f>'REG y VAL POE - AESR - ESR'!K135</f>
        <v>0</v>
      </c>
      <c r="CJL3" s="29">
        <f>'REG y VAL POE - AESR - ESR'!L135</f>
        <v>0</v>
      </c>
      <c r="CJM3" s="29">
        <f>'REG y VAL POE - AESR - ESR'!M135</f>
        <v>0</v>
      </c>
      <c r="CJN3" s="29">
        <f>'REG y VAL POE - AESR - ESR'!N135</f>
        <v>0</v>
      </c>
      <c r="CJO3" s="29">
        <f>'REG y VAL POE - AESR - ESR'!O135</f>
        <v>0</v>
      </c>
      <c r="CJP3" s="29">
        <f>'REG y VAL POE - AESR - ESR'!P135</f>
        <v>0</v>
      </c>
      <c r="CJQ3" s="29">
        <f>'REG y VAL POE - AESR - ESR'!Q135</f>
        <v>0</v>
      </c>
      <c r="CJR3" s="29">
        <f>'REG y VAL POE - AESR - ESR'!R135</f>
        <v>0</v>
      </c>
      <c r="CJS3" s="29">
        <f>'REG y VAL POE - AESR - ESR'!S135</f>
        <v>0</v>
      </c>
      <c r="CJT3" s="29">
        <f>'REG y VAL POE - AESR - ESR'!T135</f>
        <v>0</v>
      </c>
      <c r="CJU3" s="29">
        <f>'REG y VAL POE - AESR - ESR'!U135</f>
        <v>0</v>
      </c>
      <c r="CJV3" s="29">
        <f>'REG y VAL POE - AESR - ESR'!V135</f>
        <v>0</v>
      </c>
      <c r="CJW3" s="29">
        <f>'REG y VAL POE - AESR - ESR'!W135</f>
        <v>0</v>
      </c>
      <c r="CJX3" s="29">
        <f>'REG y VAL POE - AESR - ESR'!X135</f>
        <v>0</v>
      </c>
      <c r="CJY3" s="29">
        <f>'REG y VAL POE - AESR - ESR'!Y135</f>
        <v>0</v>
      </c>
      <c r="CJZ3" s="29">
        <f>'REG y VAL POE - AESR - ESR'!Z135</f>
        <v>0</v>
      </c>
      <c r="CKA3" s="29">
        <f>'REG y VAL POE - AESR - ESR'!AA135</f>
        <v>0</v>
      </c>
      <c r="CKB3" s="29">
        <f>'REG y VAL POE - AESR - ESR'!AB135</f>
        <v>0</v>
      </c>
      <c r="CKC3" s="29">
        <f>'REG y VAL POE - AESR - ESR'!AC135</f>
        <v>0</v>
      </c>
      <c r="CKD3" s="29">
        <f>'REG y VAL POE - AESR - ESR'!AD135</f>
        <v>0</v>
      </c>
      <c r="CKE3" s="29">
        <f>'REG y VAL POE - AESR - ESR'!AE135</f>
        <v>0</v>
      </c>
      <c r="CKF3" s="29">
        <f>'REG y VAL POE - AESR - ESR'!AF135</f>
        <v>0</v>
      </c>
      <c r="CKG3" s="29">
        <f>'REG y VAL POE - AESR - ESR'!AG135</f>
        <v>0</v>
      </c>
      <c r="CKH3" s="29">
        <f>'REG y VAL POE - AESR - ESR'!AH135</f>
        <v>0</v>
      </c>
      <c r="CKI3" s="29">
        <f>'REG y VAL POE - AESR - ESR'!AI135</f>
        <v>0</v>
      </c>
      <c r="CKJ3" s="29">
        <f>'REG y VAL POE - AESR - ESR'!AJ135</f>
        <v>0</v>
      </c>
      <c r="CKK3" s="29">
        <f>'REG y VAL POE - AESR - ESR'!AK135</f>
        <v>0</v>
      </c>
      <c r="CKL3" s="29">
        <f>'REG y VAL POE - AESR - ESR'!AL135</f>
        <v>0</v>
      </c>
      <c r="CKM3" s="29">
        <f>'REG y VAL POE - AESR - ESR'!AM135</f>
        <v>0</v>
      </c>
      <c r="CKN3" s="29">
        <f>'REG y VAL POE - AESR - ESR'!AN135</f>
        <v>0</v>
      </c>
      <c r="CKO3" s="29">
        <f>'REG y VAL POE - AESR - ESR'!AO135</f>
        <v>0</v>
      </c>
      <c r="CKP3" s="29">
        <f>'REG y VAL POE - AESR - ESR'!AP135</f>
        <v>0</v>
      </c>
      <c r="CKQ3" s="29">
        <f>'REG y VAL POE - AESR - ESR'!AQ135</f>
        <v>0</v>
      </c>
      <c r="CKR3" s="29">
        <f>'REG y VAL POE - AESR - ESR'!AR135</f>
        <v>0</v>
      </c>
      <c r="CKS3" s="29">
        <f>'REG y VAL POE - AESR - ESR'!AS135</f>
        <v>0</v>
      </c>
      <c r="CKT3" s="27">
        <f>'REG y VAL POE - AESR - ESR'!B136</f>
        <v>0</v>
      </c>
      <c r="CKU3" s="28">
        <f>'REG y VAL POE - AESR - ESR'!C136</f>
        <v>0</v>
      </c>
      <c r="CKV3" s="29">
        <f>'REG y VAL POE - AESR - ESR'!D136</f>
        <v>0</v>
      </c>
      <c r="CKW3" s="29">
        <f>'REG y VAL POE - AESR - ESR'!E136</f>
        <v>0</v>
      </c>
      <c r="CKX3" s="29">
        <f>'REG y VAL POE - AESR - ESR'!F136</f>
        <v>0</v>
      </c>
      <c r="CKY3" s="29">
        <f>'REG y VAL POE - AESR - ESR'!G136</f>
        <v>0</v>
      </c>
      <c r="CKZ3" s="29">
        <f>'REG y VAL POE - AESR - ESR'!H136</f>
        <v>0</v>
      </c>
      <c r="CLA3" s="28">
        <f>'REG y VAL POE - AESR - ESR'!I136</f>
        <v>0</v>
      </c>
      <c r="CLB3" s="29">
        <f>'REG y VAL POE - AESR - ESR'!J136</f>
        <v>0</v>
      </c>
      <c r="CLC3" s="29">
        <f>'REG y VAL POE - AESR - ESR'!K136</f>
        <v>0</v>
      </c>
      <c r="CLD3" s="28">
        <f>'REG y VAL POE - AESR - ESR'!L136</f>
        <v>0</v>
      </c>
      <c r="CLE3" s="29">
        <f>'REG y VAL POE - AESR - ESR'!M136</f>
        <v>0</v>
      </c>
      <c r="CLF3" s="28">
        <f>'REG y VAL POE - AESR - ESR'!N136</f>
        <v>0</v>
      </c>
      <c r="CLG3" s="28">
        <f>'REG y VAL POE - AESR - ESR'!O136</f>
        <v>0</v>
      </c>
      <c r="CLH3" s="29">
        <f>'REG y VAL POE - AESR - ESR'!P136</f>
        <v>0</v>
      </c>
      <c r="CLI3" s="29">
        <f>'REG y VAL POE - AESR - ESR'!Q136</f>
        <v>0</v>
      </c>
      <c r="CLJ3" s="29">
        <f>'REG y VAL POE - AESR - ESR'!R136</f>
        <v>0</v>
      </c>
      <c r="CLK3" s="28">
        <f>'REG y VAL POE - AESR - ESR'!S136</f>
        <v>0</v>
      </c>
      <c r="CLL3" s="29">
        <f>'REG y VAL POE - AESR - ESR'!T136</f>
        <v>0</v>
      </c>
      <c r="CLM3" s="29">
        <f>'REG y VAL POE - AESR - ESR'!U136</f>
        <v>0</v>
      </c>
      <c r="CLN3" s="28">
        <f>'REG y VAL POE - AESR - ESR'!V136</f>
        <v>0</v>
      </c>
      <c r="CLO3" s="29">
        <f>'REG y VAL POE - AESR - ESR'!W136</f>
        <v>0</v>
      </c>
      <c r="CLP3" s="28">
        <f>'REG y VAL POE - AESR - ESR'!X136</f>
        <v>0</v>
      </c>
      <c r="CLQ3" s="28">
        <f>'REG y VAL POE - AESR - ESR'!Y136</f>
        <v>0</v>
      </c>
      <c r="CLR3" s="29">
        <f>'REG y VAL POE - AESR - ESR'!Z136</f>
        <v>0</v>
      </c>
      <c r="CLS3" s="29">
        <f>'REG y VAL POE - AESR - ESR'!AA136</f>
        <v>0</v>
      </c>
      <c r="CLT3" s="29">
        <f>'REG y VAL POE - AESR - ESR'!AB136</f>
        <v>0</v>
      </c>
      <c r="CLU3" s="28">
        <f>'REG y VAL POE - AESR - ESR'!AC136</f>
        <v>0</v>
      </c>
      <c r="CLV3" s="29">
        <f>'REG y VAL POE - AESR - ESR'!AD136</f>
        <v>0</v>
      </c>
      <c r="CLW3" s="29">
        <f>'REG y VAL POE - AESR - ESR'!AE136</f>
        <v>0</v>
      </c>
      <c r="CLX3" s="28">
        <f>'REG y VAL POE - AESR - ESR'!AF136</f>
        <v>0</v>
      </c>
      <c r="CLY3" s="29">
        <f>'REG y VAL POE - AESR - ESR'!AG136</f>
        <v>0</v>
      </c>
      <c r="CLZ3" s="28">
        <f>'REG y VAL POE - AESR - ESR'!AH136</f>
        <v>0</v>
      </c>
      <c r="CMA3" s="28">
        <f>'REG y VAL POE - AESR - ESR'!AI136</f>
        <v>0</v>
      </c>
      <c r="CMB3" s="29">
        <f>'REG y VAL POE - AESR - ESR'!AJ136</f>
        <v>0</v>
      </c>
      <c r="CMC3" s="29">
        <f>'REG y VAL POE - AESR - ESR'!AK136</f>
        <v>0</v>
      </c>
      <c r="CMD3" s="29">
        <f>'REG y VAL POE - AESR - ESR'!AL136</f>
        <v>0</v>
      </c>
      <c r="CME3" s="28">
        <f>'REG y VAL POE - AESR - ESR'!AM136</f>
        <v>0</v>
      </c>
      <c r="CMF3" s="29">
        <f>'REG y VAL POE - AESR - ESR'!AN136</f>
        <v>0</v>
      </c>
      <c r="CMG3" s="29">
        <f>'REG y VAL POE - AESR - ESR'!AO136</f>
        <v>0</v>
      </c>
      <c r="CMH3" s="28">
        <f>'REG y VAL POE - AESR - ESR'!AP136</f>
        <v>0</v>
      </c>
      <c r="CMI3" s="29">
        <f>'REG y VAL POE - AESR - ESR'!AQ136</f>
        <v>0</v>
      </c>
      <c r="CMJ3" s="28">
        <f>'REG y VAL POE - AESR - ESR'!AR136</f>
        <v>0</v>
      </c>
      <c r="CMK3" s="28">
        <f>'REG y VAL POE - AESR - ESR'!AS136</f>
        <v>0</v>
      </c>
      <c r="CML3" s="27">
        <f>'REG y VAL POE - AESR - ESR'!B137</f>
        <v>0</v>
      </c>
      <c r="CMM3" s="29">
        <f>'REG y VAL POE - AESR - ESR'!C137</f>
        <v>0</v>
      </c>
      <c r="CMN3" s="28">
        <f>'REG y VAL POE - AESR - ESR'!D137</f>
        <v>0</v>
      </c>
      <c r="CMO3" s="29">
        <f>'REG y VAL POE - AESR - ESR'!E137</f>
        <v>0</v>
      </c>
      <c r="CMP3" s="28">
        <f>'REG y VAL POE - AESR - ESR'!F137</f>
        <v>0</v>
      </c>
      <c r="CMQ3" s="31">
        <f>'REG y VAL POE - AESR - ESR'!G137</f>
        <v>0</v>
      </c>
      <c r="CMR3" s="31">
        <f>'REG y VAL POE - AESR - ESR'!H137</f>
        <v>0</v>
      </c>
      <c r="CMS3" s="29">
        <f>'REG y VAL POE - AESR - ESR'!I137</f>
        <v>0</v>
      </c>
      <c r="CMT3" s="29">
        <f>'REG y VAL POE - AESR - ESR'!J137</f>
        <v>0</v>
      </c>
      <c r="CMU3" s="29">
        <f>'REG y VAL POE - AESR - ESR'!K137</f>
        <v>0</v>
      </c>
      <c r="CMV3" s="29">
        <f>'REG y VAL POE - AESR - ESR'!L137</f>
        <v>0</v>
      </c>
      <c r="CMW3" s="29">
        <f>'REG y VAL POE - AESR - ESR'!M137</f>
        <v>0</v>
      </c>
      <c r="CMX3" s="29">
        <f>'REG y VAL POE - AESR - ESR'!N137</f>
        <v>0</v>
      </c>
      <c r="CMY3" s="29">
        <f>'REG y VAL POE - AESR - ESR'!O137</f>
        <v>0</v>
      </c>
      <c r="CMZ3" s="29">
        <f>'REG y VAL POE - AESR - ESR'!P137</f>
        <v>0</v>
      </c>
      <c r="CNA3" s="29">
        <f>'REG y VAL POE - AESR - ESR'!Q137</f>
        <v>0</v>
      </c>
      <c r="CNB3" s="29">
        <f>'REG y VAL POE - AESR - ESR'!R137</f>
        <v>0</v>
      </c>
      <c r="CNC3" s="29">
        <f>'REG y VAL POE - AESR - ESR'!S137</f>
        <v>0</v>
      </c>
      <c r="CND3" s="29">
        <f>'REG y VAL POE - AESR - ESR'!T137</f>
        <v>0</v>
      </c>
      <c r="CNE3" s="29">
        <f>'REG y VAL POE - AESR - ESR'!U137</f>
        <v>0</v>
      </c>
      <c r="CNF3" s="29">
        <f>'REG y VAL POE - AESR - ESR'!V137</f>
        <v>0</v>
      </c>
      <c r="CNG3" s="29">
        <f>'REG y VAL POE - AESR - ESR'!W137</f>
        <v>0</v>
      </c>
      <c r="CNH3" s="29">
        <f>'REG y VAL POE - AESR - ESR'!X137</f>
        <v>0</v>
      </c>
      <c r="CNI3" s="29">
        <f>'REG y VAL POE - AESR - ESR'!Y137</f>
        <v>0</v>
      </c>
      <c r="CNJ3" s="29">
        <f>'REG y VAL POE - AESR - ESR'!Z137</f>
        <v>0</v>
      </c>
      <c r="CNK3" s="29">
        <f>'REG y VAL POE - AESR - ESR'!AA137</f>
        <v>0</v>
      </c>
      <c r="CNL3" s="29">
        <f>'REG y VAL POE - AESR - ESR'!AB137</f>
        <v>0</v>
      </c>
      <c r="CNM3" s="29">
        <f>'REG y VAL POE - AESR - ESR'!AC137</f>
        <v>0</v>
      </c>
      <c r="CNN3" s="29">
        <f>'REG y VAL POE - AESR - ESR'!AD137</f>
        <v>0</v>
      </c>
      <c r="CNO3" s="29">
        <f>'REG y VAL POE - AESR - ESR'!AE137</f>
        <v>0</v>
      </c>
      <c r="CNP3" s="29">
        <f>'REG y VAL POE - AESR - ESR'!AF137</f>
        <v>0</v>
      </c>
      <c r="CNQ3" s="29">
        <f>'REG y VAL POE - AESR - ESR'!AG137</f>
        <v>0</v>
      </c>
      <c r="CNR3" s="29">
        <f>'REG y VAL POE - AESR - ESR'!AH137</f>
        <v>0</v>
      </c>
      <c r="CNS3" s="29">
        <f>'REG y VAL POE - AESR - ESR'!AI137</f>
        <v>0</v>
      </c>
      <c r="CNT3" s="29">
        <f>'REG y VAL POE - AESR - ESR'!AJ137</f>
        <v>0</v>
      </c>
      <c r="CNU3" s="29">
        <f>'REG y VAL POE - AESR - ESR'!AK137</f>
        <v>0</v>
      </c>
      <c r="CNV3" s="29">
        <f>'REG y VAL POE - AESR - ESR'!AL137</f>
        <v>0</v>
      </c>
      <c r="CNW3" s="29">
        <f>'REG y VAL POE - AESR - ESR'!AM137</f>
        <v>0</v>
      </c>
      <c r="CNX3" s="29">
        <f>'REG y VAL POE - AESR - ESR'!AN137</f>
        <v>0</v>
      </c>
      <c r="CNY3" s="29">
        <f>'REG y VAL POE - AESR - ESR'!AO137</f>
        <v>0</v>
      </c>
      <c r="CNZ3" s="29">
        <f>'REG y VAL POE - AESR - ESR'!AP137</f>
        <v>0</v>
      </c>
      <c r="COA3" s="29">
        <f>'REG y VAL POE - AESR - ESR'!AQ137</f>
        <v>0</v>
      </c>
      <c r="COB3" s="29">
        <f>'REG y VAL POE - AESR - ESR'!AR137</f>
        <v>0</v>
      </c>
      <c r="COC3" s="29">
        <f>'REG y VAL POE - AESR - ESR'!AS137</f>
        <v>0</v>
      </c>
      <c r="COD3" s="27">
        <f>'REG y VAL POE - AESR - ESR'!B138</f>
        <v>0</v>
      </c>
      <c r="COE3" s="28">
        <f>'REG y VAL POE - AESR - ESR'!C138</f>
        <v>0</v>
      </c>
      <c r="COF3" s="29">
        <f>'REG y VAL POE - AESR - ESR'!D138</f>
        <v>0</v>
      </c>
      <c r="COG3" s="29">
        <f>'REG y VAL POE - AESR - ESR'!E138</f>
        <v>0</v>
      </c>
      <c r="COH3" s="29">
        <f>'REG y VAL POE - AESR - ESR'!F138</f>
        <v>0</v>
      </c>
      <c r="COI3" s="29">
        <f>'REG y VAL POE - AESR - ESR'!G138</f>
        <v>0</v>
      </c>
      <c r="COJ3" s="29">
        <f>'REG y VAL POE - AESR - ESR'!H138</f>
        <v>0</v>
      </c>
      <c r="COK3" s="28">
        <f>'REG y VAL POE - AESR - ESR'!I138</f>
        <v>0</v>
      </c>
      <c r="COL3" s="29">
        <f>'REG y VAL POE - AESR - ESR'!J138</f>
        <v>0</v>
      </c>
      <c r="COM3" s="29">
        <f>'REG y VAL POE - AESR - ESR'!K138</f>
        <v>0</v>
      </c>
      <c r="CON3" s="28">
        <f>'REG y VAL POE - AESR - ESR'!L138</f>
        <v>0</v>
      </c>
      <c r="COO3" s="29">
        <f>'REG y VAL POE - AESR - ESR'!M138</f>
        <v>0</v>
      </c>
      <c r="COP3" s="28">
        <f>'REG y VAL POE - AESR - ESR'!N138</f>
        <v>0</v>
      </c>
      <c r="COQ3" s="28">
        <f>'REG y VAL POE - AESR - ESR'!O138</f>
        <v>0</v>
      </c>
      <c r="COR3" s="29">
        <f>'REG y VAL POE - AESR - ESR'!P138</f>
        <v>0</v>
      </c>
      <c r="COS3" s="29">
        <f>'REG y VAL POE - AESR - ESR'!Q138</f>
        <v>0</v>
      </c>
      <c r="COT3" s="29">
        <f>'REG y VAL POE - AESR - ESR'!R138</f>
        <v>0</v>
      </c>
      <c r="COU3" s="28">
        <f>'REG y VAL POE - AESR - ESR'!S138</f>
        <v>0</v>
      </c>
      <c r="COV3" s="29">
        <f>'REG y VAL POE - AESR - ESR'!T138</f>
        <v>0</v>
      </c>
      <c r="COW3" s="29">
        <f>'REG y VAL POE - AESR - ESR'!U138</f>
        <v>0</v>
      </c>
      <c r="COX3" s="28">
        <f>'REG y VAL POE - AESR - ESR'!V138</f>
        <v>0</v>
      </c>
      <c r="COY3" s="29">
        <f>'REG y VAL POE - AESR - ESR'!W138</f>
        <v>0</v>
      </c>
      <c r="COZ3" s="28">
        <f>'REG y VAL POE - AESR - ESR'!X138</f>
        <v>0</v>
      </c>
      <c r="CPA3" s="28">
        <f>'REG y VAL POE - AESR - ESR'!Y138</f>
        <v>0</v>
      </c>
      <c r="CPB3" s="29">
        <f>'REG y VAL POE - AESR - ESR'!Z138</f>
        <v>0</v>
      </c>
      <c r="CPC3" s="29">
        <f>'REG y VAL POE - AESR - ESR'!AA138</f>
        <v>0</v>
      </c>
      <c r="CPD3" s="29">
        <f>'REG y VAL POE - AESR - ESR'!AB138</f>
        <v>0</v>
      </c>
      <c r="CPE3" s="28">
        <f>'REG y VAL POE - AESR - ESR'!AC138</f>
        <v>0</v>
      </c>
      <c r="CPF3" s="29">
        <f>'REG y VAL POE - AESR - ESR'!AD138</f>
        <v>0</v>
      </c>
      <c r="CPG3" s="29">
        <f>'REG y VAL POE - AESR - ESR'!AE138</f>
        <v>0</v>
      </c>
      <c r="CPH3" s="28">
        <f>'REG y VAL POE - AESR - ESR'!AF138</f>
        <v>0</v>
      </c>
      <c r="CPI3" s="29">
        <f>'REG y VAL POE - AESR - ESR'!AG138</f>
        <v>0</v>
      </c>
      <c r="CPJ3" s="28">
        <f>'REG y VAL POE - AESR - ESR'!AH138</f>
        <v>0</v>
      </c>
      <c r="CPK3" s="28">
        <f>'REG y VAL POE - AESR - ESR'!AI138</f>
        <v>0</v>
      </c>
      <c r="CPL3" s="29">
        <f>'REG y VAL POE - AESR - ESR'!AJ138</f>
        <v>0</v>
      </c>
      <c r="CPM3" s="29">
        <f>'REG y VAL POE - AESR - ESR'!AK138</f>
        <v>0</v>
      </c>
      <c r="CPN3" s="29">
        <f>'REG y VAL POE - AESR - ESR'!AL138</f>
        <v>0</v>
      </c>
      <c r="CPO3" s="28">
        <f>'REG y VAL POE - AESR - ESR'!AM138</f>
        <v>0</v>
      </c>
      <c r="CPP3" s="29">
        <f>'REG y VAL POE - AESR - ESR'!AN138</f>
        <v>0</v>
      </c>
      <c r="CPQ3" s="29">
        <f>'REG y VAL POE - AESR - ESR'!AO138</f>
        <v>0</v>
      </c>
      <c r="CPR3" s="28">
        <f>'REG y VAL POE - AESR - ESR'!AP138</f>
        <v>0</v>
      </c>
      <c r="CPS3" s="29">
        <f>'REG y VAL POE - AESR - ESR'!AQ138</f>
        <v>0</v>
      </c>
      <c r="CPT3" s="28">
        <f>'REG y VAL POE - AESR - ESR'!AR138</f>
        <v>0</v>
      </c>
      <c r="CPU3" s="28">
        <f>'REG y VAL POE - AESR - ESR'!AS138</f>
        <v>0</v>
      </c>
      <c r="CPV3" s="27">
        <f>'REG y VAL POE - AESR - ESR'!B139</f>
        <v>0</v>
      </c>
      <c r="CPW3" s="29">
        <f>'REG y VAL POE - AESR - ESR'!C139</f>
        <v>0</v>
      </c>
      <c r="CPX3" s="28">
        <f>'REG y VAL POE - AESR - ESR'!D139</f>
        <v>0</v>
      </c>
      <c r="CPY3" s="29">
        <f>'REG y VAL POE - AESR - ESR'!E139</f>
        <v>0</v>
      </c>
      <c r="CPZ3" s="28">
        <f>'REG y VAL POE - AESR - ESR'!F139</f>
        <v>0</v>
      </c>
      <c r="CQA3" s="31">
        <f>'REG y VAL POE - AESR - ESR'!G139</f>
        <v>0</v>
      </c>
      <c r="CQB3" s="31">
        <f>'REG y VAL POE - AESR - ESR'!H139</f>
        <v>0</v>
      </c>
      <c r="CQC3" s="29">
        <f>'REG y VAL POE - AESR - ESR'!I139</f>
        <v>0</v>
      </c>
      <c r="CQD3" s="29">
        <f>'REG y VAL POE - AESR - ESR'!J139</f>
        <v>0</v>
      </c>
      <c r="CQE3" s="29">
        <f>'REG y VAL POE - AESR - ESR'!K139</f>
        <v>0</v>
      </c>
      <c r="CQF3" s="29">
        <f>'REG y VAL POE - AESR - ESR'!L139</f>
        <v>0</v>
      </c>
      <c r="CQG3" s="29">
        <f>'REG y VAL POE - AESR - ESR'!M139</f>
        <v>0</v>
      </c>
      <c r="CQH3" s="29">
        <f>'REG y VAL POE - AESR - ESR'!N139</f>
        <v>0</v>
      </c>
      <c r="CQI3" s="29">
        <f>'REG y VAL POE - AESR - ESR'!O139</f>
        <v>0</v>
      </c>
      <c r="CQJ3" s="29">
        <f>'REG y VAL POE - AESR - ESR'!P139</f>
        <v>0</v>
      </c>
      <c r="CQK3" s="29">
        <f>'REG y VAL POE - AESR - ESR'!Q139</f>
        <v>0</v>
      </c>
      <c r="CQL3" s="29">
        <f>'REG y VAL POE - AESR - ESR'!R139</f>
        <v>0</v>
      </c>
      <c r="CQM3" s="29">
        <f>'REG y VAL POE - AESR - ESR'!S139</f>
        <v>0</v>
      </c>
      <c r="CQN3" s="29">
        <f>'REG y VAL POE - AESR - ESR'!T139</f>
        <v>0</v>
      </c>
      <c r="CQO3" s="29">
        <f>'REG y VAL POE - AESR - ESR'!U139</f>
        <v>0</v>
      </c>
      <c r="CQP3" s="29">
        <f>'REG y VAL POE - AESR - ESR'!V139</f>
        <v>0</v>
      </c>
      <c r="CQQ3" s="29">
        <f>'REG y VAL POE - AESR - ESR'!W139</f>
        <v>0</v>
      </c>
      <c r="CQR3" s="29">
        <f>'REG y VAL POE - AESR - ESR'!X139</f>
        <v>0</v>
      </c>
      <c r="CQS3" s="29">
        <f>'REG y VAL POE - AESR - ESR'!Y139</f>
        <v>0</v>
      </c>
      <c r="CQT3" s="29">
        <f>'REG y VAL POE - AESR - ESR'!Z139</f>
        <v>0</v>
      </c>
      <c r="CQU3" s="29">
        <f>'REG y VAL POE - AESR - ESR'!AA139</f>
        <v>0</v>
      </c>
      <c r="CQV3" s="29">
        <f>'REG y VAL POE - AESR - ESR'!AB139</f>
        <v>0</v>
      </c>
      <c r="CQW3" s="29">
        <f>'REG y VAL POE - AESR - ESR'!AC139</f>
        <v>0</v>
      </c>
      <c r="CQX3" s="29">
        <f>'REG y VAL POE - AESR - ESR'!AD139</f>
        <v>0</v>
      </c>
      <c r="CQY3" s="29">
        <f>'REG y VAL POE - AESR - ESR'!AE139</f>
        <v>0</v>
      </c>
      <c r="CQZ3" s="29">
        <f>'REG y VAL POE - AESR - ESR'!AF139</f>
        <v>0</v>
      </c>
      <c r="CRA3" s="29">
        <f>'REG y VAL POE - AESR - ESR'!AG139</f>
        <v>0</v>
      </c>
      <c r="CRB3" s="29">
        <f>'REG y VAL POE - AESR - ESR'!AH139</f>
        <v>0</v>
      </c>
      <c r="CRC3" s="29">
        <f>'REG y VAL POE - AESR - ESR'!AI139</f>
        <v>0</v>
      </c>
      <c r="CRD3" s="29">
        <f>'REG y VAL POE - AESR - ESR'!AJ139</f>
        <v>0</v>
      </c>
      <c r="CRE3" s="29">
        <f>'REG y VAL POE - AESR - ESR'!AK139</f>
        <v>0</v>
      </c>
      <c r="CRF3" s="29">
        <f>'REG y VAL POE - AESR - ESR'!AL139</f>
        <v>0</v>
      </c>
      <c r="CRG3" s="29">
        <f>'REG y VAL POE - AESR - ESR'!AM139</f>
        <v>0</v>
      </c>
      <c r="CRH3" s="29">
        <f>'REG y VAL POE - AESR - ESR'!AN139</f>
        <v>0</v>
      </c>
      <c r="CRI3" s="29">
        <f>'REG y VAL POE - AESR - ESR'!AO139</f>
        <v>0</v>
      </c>
      <c r="CRJ3" s="29">
        <f>'REG y VAL POE - AESR - ESR'!AP139</f>
        <v>0</v>
      </c>
      <c r="CRK3" s="29">
        <f>'REG y VAL POE - AESR - ESR'!AQ139</f>
        <v>0</v>
      </c>
      <c r="CRL3" s="29">
        <f>'REG y VAL POE - AESR - ESR'!AR139</f>
        <v>0</v>
      </c>
      <c r="CRM3" s="29">
        <f>'REG y VAL POE - AESR - ESR'!AS139</f>
        <v>0</v>
      </c>
      <c r="CRN3" s="27">
        <f>'REG y VAL POE - AESR - ESR'!B140</f>
        <v>0</v>
      </c>
      <c r="CRO3" s="28">
        <f>'REG y VAL POE - AESR - ESR'!C140</f>
        <v>0</v>
      </c>
      <c r="CRP3" s="29">
        <f>'REG y VAL POE - AESR - ESR'!D140</f>
        <v>0</v>
      </c>
      <c r="CRQ3" s="29">
        <f>'REG y VAL POE - AESR - ESR'!E140</f>
        <v>0</v>
      </c>
      <c r="CRR3" s="29">
        <f>'REG y VAL POE - AESR - ESR'!F140</f>
        <v>0</v>
      </c>
      <c r="CRS3" s="29">
        <f>'REG y VAL POE - AESR - ESR'!G140</f>
        <v>0</v>
      </c>
      <c r="CRT3" s="29">
        <f>'REG y VAL POE - AESR - ESR'!H140</f>
        <v>0</v>
      </c>
      <c r="CRU3" s="28">
        <f>'REG y VAL POE - AESR - ESR'!I140</f>
        <v>0</v>
      </c>
      <c r="CRV3" s="29">
        <f>'REG y VAL POE - AESR - ESR'!J140</f>
        <v>0</v>
      </c>
      <c r="CRW3" s="29">
        <f>'REG y VAL POE - AESR - ESR'!K140</f>
        <v>0</v>
      </c>
      <c r="CRX3" s="28">
        <f>'REG y VAL POE - AESR - ESR'!L140</f>
        <v>0</v>
      </c>
      <c r="CRY3" s="29">
        <f>'REG y VAL POE - AESR - ESR'!M140</f>
        <v>0</v>
      </c>
      <c r="CRZ3" s="28">
        <f>'REG y VAL POE - AESR - ESR'!N140</f>
        <v>0</v>
      </c>
      <c r="CSA3" s="28">
        <f>'REG y VAL POE - AESR - ESR'!O140</f>
        <v>0</v>
      </c>
      <c r="CSB3" s="29">
        <f>'REG y VAL POE - AESR - ESR'!P140</f>
        <v>0</v>
      </c>
      <c r="CSC3" s="29">
        <f>'REG y VAL POE - AESR - ESR'!Q140</f>
        <v>0</v>
      </c>
      <c r="CSD3" s="29">
        <f>'REG y VAL POE - AESR - ESR'!R140</f>
        <v>0</v>
      </c>
      <c r="CSE3" s="28">
        <f>'REG y VAL POE - AESR - ESR'!S140</f>
        <v>0</v>
      </c>
      <c r="CSF3" s="29">
        <f>'REG y VAL POE - AESR - ESR'!T140</f>
        <v>0</v>
      </c>
      <c r="CSG3" s="29">
        <f>'REG y VAL POE - AESR - ESR'!U140</f>
        <v>0</v>
      </c>
      <c r="CSH3" s="28">
        <f>'REG y VAL POE - AESR - ESR'!V140</f>
        <v>0</v>
      </c>
      <c r="CSI3" s="29">
        <f>'REG y VAL POE - AESR - ESR'!W140</f>
        <v>0</v>
      </c>
      <c r="CSJ3" s="28">
        <f>'REG y VAL POE - AESR - ESR'!X140</f>
        <v>0</v>
      </c>
      <c r="CSK3" s="28">
        <f>'REG y VAL POE - AESR - ESR'!Y140</f>
        <v>0</v>
      </c>
      <c r="CSL3" s="29">
        <f>'REG y VAL POE - AESR - ESR'!Z140</f>
        <v>0</v>
      </c>
      <c r="CSM3" s="29">
        <f>'REG y VAL POE - AESR - ESR'!AA140</f>
        <v>0</v>
      </c>
      <c r="CSN3" s="29">
        <f>'REG y VAL POE - AESR - ESR'!AB140</f>
        <v>0</v>
      </c>
      <c r="CSO3" s="28">
        <f>'REG y VAL POE - AESR - ESR'!AC140</f>
        <v>0</v>
      </c>
      <c r="CSP3" s="29">
        <f>'REG y VAL POE - AESR - ESR'!AD140</f>
        <v>0</v>
      </c>
      <c r="CSQ3" s="29">
        <f>'REG y VAL POE - AESR - ESR'!AE140</f>
        <v>0</v>
      </c>
      <c r="CSR3" s="28">
        <f>'REG y VAL POE - AESR - ESR'!AF140</f>
        <v>0</v>
      </c>
      <c r="CSS3" s="29">
        <f>'REG y VAL POE - AESR - ESR'!AG140</f>
        <v>0</v>
      </c>
      <c r="CST3" s="28">
        <f>'REG y VAL POE - AESR - ESR'!AH140</f>
        <v>0</v>
      </c>
      <c r="CSU3" s="28">
        <f>'REG y VAL POE - AESR - ESR'!AI140</f>
        <v>0</v>
      </c>
      <c r="CSV3" s="29">
        <f>'REG y VAL POE - AESR - ESR'!AJ140</f>
        <v>0</v>
      </c>
      <c r="CSW3" s="29">
        <f>'REG y VAL POE - AESR - ESR'!AK140</f>
        <v>0</v>
      </c>
      <c r="CSX3" s="29">
        <f>'REG y VAL POE - AESR - ESR'!AL140</f>
        <v>0</v>
      </c>
      <c r="CSY3" s="28">
        <f>'REG y VAL POE - AESR - ESR'!AM140</f>
        <v>0</v>
      </c>
      <c r="CSZ3" s="29">
        <f>'REG y VAL POE - AESR - ESR'!AN140</f>
        <v>0</v>
      </c>
      <c r="CTA3" s="29">
        <f>'REG y VAL POE - AESR - ESR'!AO140</f>
        <v>0</v>
      </c>
      <c r="CTB3" s="28">
        <f>'REG y VAL POE - AESR - ESR'!AP140</f>
        <v>0</v>
      </c>
      <c r="CTC3" s="29">
        <f>'REG y VAL POE - AESR - ESR'!AQ140</f>
        <v>0</v>
      </c>
      <c r="CTD3" s="28">
        <f>'REG y VAL POE - AESR - ESR'!AR140</f>
        <v>0</v>
      </c>
      <c r="CTE3" s="28">
        <f>'REG y VAL POE - AESR - ESR'!AS140</f>
        <v>0</v>
      </c>
      <c r="CTF3" s="27">
        <f>'REG y VAL POE - AESR - ESR'!B141</f>
        <v>0</v>
      </c>
      <c r="CTG3" s="29">
        <f>'REG y VAL POE - AESR - ESR'!C141</f>
        <v>0</v>
      </c>
      <c r="CTH3" s="28">
        <f>'REG y VAL POE - AESR - ESR'!D141</f>
        <v>0</v>
      </c>
      <c r="CTI3" s="29">
        <f>'REG y VAL POE - AESR - ESR'!E141</f>
        <v>0</v>
      </c>
      <c r="CTJ3" s="28">
        <f>'REG y VAL POE - AESR - ESR'!F141</f>
        <v>0</v>
      </c>
      <c r="CTK3" s="31">
        <f>'REG y VAL POE - AESR - ESR'!G141</f>
        <v>0</v>
      </c>
      <c r="CTL3" s="31">
        <f>'REG y VAL POE - AESR - ESR'!H141</f>
        <v>0</v>
      </c>
      <c r="CTM3" s="29">
        <f>'REG y VAL POE - AESR - ESR'!I141</f>
        <v>0</v>
      </c>
      <c r="CTN3" s="29">
        <f>'REG y VAL POE - AESR - ESR'!J141</f>
        <v>0</v>
      </c>
      <c r="CTO3" s="29">
        <f>'REG y VAL POE - AESR - ESR'!K141</f>
        <v>0</v>
      </c>
      <c r="CTP3" s="29">
        <f>'REG y VAL POE - AESR - ESR'!L141</f>
        <v>0</v>
      </c>
      <c r="CTQ3" s="29">
        <f>'REG y VAL POE - AESR - ESR'!M141</f>
        <v>0</v>
      </c>
      <c r="CTR3" s="29">
        <f>'REG y VAL POE - AESR - ESR'!N141</f>
        <v>0</v>
      </c>
      <c r="CTS3" s="29">
        <f>'REG y VAL POE - AESR - ESR'!O141</f>
        <v>0</v>
      </c>
      <c r="CTT3" s="29">
        <f>'REG y VAL POE - AESR - ESR'!P141</f>
        <v>0</v>
      </c>
      <c r="CTU3" s="29">
        <f>'REG y VAL POE - AESR - ESR'!Q141</f>
        <v>0</v>
      </c>
      <c r="CTV3" s="29">
        <f>'REG y VAL POE - AESR - ESR'!R141</f>
        <v>0</v>
      </c>
      <c r="CTW3" s="29">
        <f>'REG y VAL POE - AESR - ESR'!S141</f>
        <v>0</v>
      </c>
      <c r="CTX3" s="29">
        <f>'REG y VAL POE - AESR - ESR'!T141</f>
        <v>0</v>
      </c>
      <c r="CTY3" s="29">
        <f>'REG y VAL POE - AESR - ESR'!U141</f>
        <v>0</v>
      </c>
      <c r="CTZ3" s="29">
        <f>'REG y VAL POE - AESR - ESR'!V141</f>
        <v>0</v>
      </c>
      <c r="CUA3" s="29">
        <f>'REG y VAL POE - AESR - ESR'!W141</f>
        <v>0</v>
      </c>
      <c r="CUB3" s="29">
        <f>'REG y VAL POE - AESR - ESR'!X141</f>
        <v>0</v>
      </c>
      <c r="CUC3" s="29">
        <f>'REG y VAL POE - AESR - ESR'!Y141</f>
        <v>0</v>
      </c>
      <c r="CUD3" s="29">
        <f>'REG y VAL POE - AESR - ESR'!Z141</f>
        <v>0</v>
      </c>
      <c r="CUE3" s="29">
        <f>'REG y VAL POE - AESR - ESR'!AA141</f>
        <v>0</v>
      </c>
      <c r="CUF3" s="29">
        <f>'REG y VAL POE - AESR - ESR'!AB141</f>
        <v>0</v>
      </c>
      <c r="CUG3" s="29">
        <f>'REG y VAL POE - AESR - ESR'!AC141</f>
        <v>0</v>
      </c>
      <c r="CUH3" s="29">
        <f>'REG y VAL POE - AESR - ESR'!AD141</f>
        <v>0</v>
      </c>
      <c r="CUI3" s="29">
        <f>'REG y VAL POE - AESR - ESR'!AE141</f>
        <v>0</v>
      </c>
      <c r="CUJ3" s="29">
        <f>'REG y VAL POE - AESR - ESR'!AF141</f>
        <v>0</v>
      </c>
      <c r="CUK3" s="29">
        <f>'REG y VAL POE - AESR - ESR'!AG141</f>
        <v>0</v>
      </c>
      <c r="CUL3" s="29">
        <f>'REG y VAL POE - AESR - ESR'!AH141</f>
        <v>0</v>
      </c>
      <c r="CUM3" s="29">
        <f>'REG y VAL POE - AESR - ESR'!AI141</f>
        <v>0</v>
      </c>
      <c r="CUN3" s="29">
        <f>'REG y VAL POE - AESR - ESR'!AJ141</f>
        <v>0</v>
      </c>
      <c r="CUO3" s="29">
        <f>'REG y VAL POE - AESR - ESR'!AK141</f>
        <v>0</v>
      </c>
      <c r="CUP3" s="29">
        <f>'REG y VAL POE - AESR - ESR'!AL141</f>
        <v>0</v>
      </c>
      <c r="CUQ3" s="29">
        <f>'REG y VAL POE - AESR - ESR'!AM141</f>
        <v>0</v>
      </c>
      <c r="CUR3" s="29">
        <f>'REG y VAL POE - AESR - ESR'!AN141</f>
        <v>0</v>
      </c>
      <c r="CUS3" s="29">
        <f>'REG y VAL POE - AESR - ESR'!AO141</f>
        <v>0</v>
      </c>
      <c r="CUT3" s="29">
        <f>'REG y VAL POE - AESR - ESR'!AP141</f>
        <v>0</v>
      </c>
      <c r="CUU3" s="29">
        <f>'REG y VAL POE - AESR - ESR'!AQ141</f>
        <v>0</v>
      </c>
      <c r="CUV3" s="29">
        <f>'REG y VAL POE - AESR - ESR'!AR141</f>
        <v>0</v>
      </c>
      <c r="CUW3" s="29">
        <f>'REG y VAL POE - AESR - ESR'!AS141</f>
        <v>0</v>
      </c>
      <c r="CUX3" s="27">
        <f>'REG y VAL POE - AESR - ESR'!B142</f>
        <v>0</v>
      </c>
      <c r="CUY3" s="28">
        <f>'REG y VAL POE - AESR - ESR'!C142</f>
        <v>0</v>
      </c>
      <c r="CUZ3" s="29">
        <f>'REG y VAL POE - AESR - ESR'!D142</f>
        <v>0</v>
      </c>
      <c r="CVA3" s="29">
        <f>'REG y VAL POE - AESR - ESR'!E142</f>
        <v>0</v>
      </c>
      <c r="CVB3" s="29">
        <f>'REG y VAL POE - AESR - ESR'!F142</f>
        <v>0</v>
      </c>
      <c r="CVC3" s="29">
        <f>'REG y VAL POE - AESR - ESR'!G142</f>
        <v>0</v>
      </c>
      <c r="CVD3" s="29">
        <f>'REG y VAL POE - AESR - ESR'!H142</f>
        <v>0</v>
      </c>
      <c r="CVE3" s="28">
        <f>'REG y VAL POE - AESR - ESR'!I142</f>
        <v>0</v>
      </c>
      <c r="CVF3" s="29">
        <f>'REG y VAL POE - AESR - ESR'!J142</f>
        <v>0</v>
      </c>
      <c r="CVG3" s="29">
        <f>'REG y VAL POE - AESR - ESR'!K142</f>
        <v>0</v>
      </c>
      <c r="CVH3" s="28">
        <f>'REG y VAL POE - AESR - ESR'!L142</f>
        <v>0</v>
      </c>
      <c r="CVI3" s="29">
        <f>'REG y VAL POE - AESR - ESR'!M142</f>
        <v>0</v>
      </c>
      <c r="CVJ3" s="28">
        <f>'REG y VAL POE - AESR - ESR'!N142</f>
        <v>0</v>
      </c>
      <c r="CVK3" s="28">
        <f>'REG y VAL POE - AESR - ESR'!O142</f>
        <v>0</v>
      </c>
      <c r="CVL3" s="29">
        <f>'REG y VAL POE - AESR - ESR'!P142</f>
        <v>0</v>
      </c>
      <c r="CVM3" s="29">
        <f>'REG y VAL POE - AESR - ESR'!Q142</f>
        <v>0</v>
      </c>
      <c r="CVN3" s="29">
        <f>'REG y VAL POE - AESR - ESR'!R142</f>
        <v>0</v>
      </c>
      <c r="CVO3" s="28">
        <f>'REG y VAL POE - AESR - ESR'!S142</f>
        <v>0</v>
      </c>
      <c r="CVP3" s="29">
        <f>'REG y VAL POE - AESR - ESR'!T142</f>
        <v>0</v>
      </c>
      <c r="CVQ3" s="29">
        <f>'REG y VAL POE - AESR - ESR'!U142</f>
        <v>0</v>
      </c>
      <c r="CVR3" s="28">
        <f>'REG y VAL POE - AESR - ESR'!V142</f>
        <v>0</v>
      </c>
      <c r="CVS3" s="29">
        <f>'REG y VAL POE - AESR - ESR'!W142</f>
        <v>0</v>
      </c>
      <c r="CVT3" s="28">
        <f>'REG y VAL POE - AESR - ESR'!X142</f>
        <v>0</v>
      </c>
      <c r="CVU3" s="28">
        <f>'REG y VAL POE - AESR - ESR'!Y142</f>
        <v>0</v>
      </c>
      <c r="CVV3" s="29">
        <f>'REG y VAL POE - AESR - ESR'!Z142</f>
        <v>0</v>
      </c>
      <c r="CVW3" s="29">
        <f>'REG y VAL POE - AESR - ESR'!AA142</f>
        <v>0</v>
      </c>
      <c r="CVX3" s="29">
        <f>'REG y VAL POE - AESR - ESR'!AB142</f>
        <v>0</v>
      </c>
      <c r="CVY3" s="28">
        <f>'REG y VAL POE - AESR - ESR'!AC142</f>
        <v>0</v>
      </c>
      <c r="CVZ3" s="29">
        <f>'REG y VAL POE - AESR - ESR'!AD142</f>
        <v>0</v>
      </c>
      <c r="CWA3" s="29">
        <f>'REG y VAL POE - AESR - ESR'!AE142</f>
        <v>0</v>
      </c>
      <c r="CWB3" s="28">
        <f>'REG y VAL POE - AESR - ESR'!AF142</f>
        <v>0</v>
      </c>
      <c r="CWC3" s="29">
        <f>'REG y VAL POE - AESR - ESR'!AG142</f>
        <v>0</v>
      </c>
      <c r="CWD3" s="28">
        <f>'REG y VAL POE - AESR - ESR'!AH142</f>
        <v>0</v>
      </c>
      <c r="CWE3" s="28">
        <f>'REG y VAL POE - AESR - ESR'!AI142</f>
        <v>0</v>
      </c>
      <c r="CWF3" s="29">
        <f>'REG y VAL POE - AESR - ESR'!AJ142</f>
        <v>0</v>
      </c>
      <c r="CWG3" s="29">
        <f>'REG y VAL POE - AESR - ESR'!AK142</f>
        <v>0</v>
      </c>
      <c r="CWH3" s="29">
        <f>'REG y VAL POE - AESR - ESR'!AL142</f>
        <v>0</v>
      </c>
      <c r="CWI3" s="28">
        <f>'REG y VAL POE - AESR - ESR'!AM142</f>
        <v>0</v>
      </c>
      <c r="CWJ3" s="29">
        <f>'REG y VAL POE - AESR - ESR'!AN142</f>
        <v>0</v>
      </c>
      <c r="CWK3" s="29">
        <f>'REG y VAL POE - AESR - ESR'!AO142</f>
        <v>0</v>
      </c>
      <c r="CWL3" s="28">
        <f>'REG y VAL POE - AESR - ESR'!AP142</f>
        <v>0</v>
      </c>
      <c r="CWM3" s="29">
        <f>'REG y VAL POE - AESR - ESR'!AQ142</f>
        <v>0</v>
      </c>
      <c r="CWN3" s="28">
        <f>'REG y VAL POE - AESR - ESR'!AR142</f>
        <v>0</v>
      </c>
      <c r="CWO3" s="28">
        <f>'REG y VAL POE - AESR - ESR'!AS142</f>
        <v>0</v>
      </c>
      <c r="CWP3" s="27">
        <f>'REG y VAL POE - AESR - ESR'!B143</f>
        <v>0</v>
      </c>
      <c r="CWQ3" s="29">
        <f>'REG y VAL POE - AESR - ESR'!C143</f>
        <v>0</v>
      </c>
      <c r="CWR3" s="28">
        <f>'REG y VAL POE - AESR - ESR'!D143</f>
        <v>0</v>
      </c>
      <c r="CWS3" s="29">
        <f>'REG y VAL POE - AESR - ESR'!E143</f>
        <v>0</v>
      </c>
      <c r="CWT3" s="28">
        <f>'REG y VAL POE - AESR - ESR'!F143</f>
        <v>0</v>
      </c>
      <c r="CWU3" s="31">
        <f>'REG y VAL POE - AESR - ESR'!G143</f>
        <v>0</v>
      </c>
      <c r="CWV3" s="31">
        <f>'REG y VAL POE - AESR - ESR'!H143</f>
        <v>0</v>
      </c>
      <c r="CWW3" s="29">
        <f>'REG y VAL POE - AESR - ESR'!I143</f>
        <v>0</v>
      </c>
      <c r="CWX3" s="29">
        <f>'REG y VAL POE - AESR - ESR'!J143</f>
        <v>0</v>
      </c>
      <c r="CWY3" s="29">
        <f>'REG y VAL POE - AESR - ESR'!K143</f>
        <v>0</v>
      </c>
      <c r="CWZ3" s="29">
        <f>'REG y VAL POE - AESR - ESR'!L143</f>
        <v>0</v>
      </c>
      <c r="CXA3" s="29">
        <f>'REG y VAL POE - AESR - ESR'!M143</f>
        <v>0</v>
      </c>
      <c r="CXB3" s="29">
        <f>'REG y VAL POE - AESR - ESR'!N143</f>
        <v>0</v>
      </c>
      <c r="CXC3" s="29">
        <f>'REG y VAL POE - AESR - ESR'!O143</f>
        <v>0</v>
      </c>
      <c r="CXD3" s="29">
        <f>'REG y VAL POE - AESR - ESR'!P143</f>
        <v>0</v>
      </c>
      <c r="CXE3" s="29">
        <f>'REG y VAL POE - AESR - ESR'!Q143</f>
        <v>0</v>
      </c>
      <c r="CXF3" s="29">
        <f>'REG y VAL POE - AESR - ESR'!R143</f>
        <v>0</v>
      </c>
      <c r="CXG3" s="29">
        <f>'REG y VAL POE - AESR - ESR'!S143</f>
        <v>0</v>
      </c>
      <c r="CXH3" s="29">
        <f>'REG y VAL POE - AESR - ESR'!T143</f>
        <v>0</v>
      </c>
      <c r="CXI3" s="29">
        <f>'REG y VAL POE - AESR - ESR'!U143</f>
        <v>0</v>
      </c>
      <c r="CXJ3" s="29">
        <f>'REG y VAL POE - AESR - ESR'!V143</f>
        <v>0</v>
      </c>
      <c r="CXK3" s="29">
        <f>'REG y VAL POE - AESR - ESR'!W143</f>
        <v>0</v>
      </c>
      <c r="CXL3" s="29">
        <f>'REG y VAL POE - AESR - ESR'!X143</f>
        <v>0</v>
      </c>
      <c r="CXM3" s="29">
        <f>'REG y VAL POE - AESR - ESR'!Y143</f>
        <v>0</v>
      </c>
      <c r="CXN3" s="29">
        <f>'REG y VAL POE - AESR - ESR'!Z143</f>
        <v>0</v>
      </c>
      <c r="CXO3" s="29">
        <f>'REG y VAL POE - AESR - ESR'!AA143</f>
        <v>0</v>
      </c>
      <c r="CXP3" s="29">
        <f>'REG y VAL POE - AESR - ESR'!AB143</f>
        <v>0</v>
      </c>
      <c r="CXQ3" s="29">
        <f>'REG y VAL POE - AESR - ESR'!AC143</f>
        <v>0</v>
      </c>
      <c r="CXR3" s="29">
        <f>'REG y VAL POE - AESR - ESR'!AD143</f>
        <v>0</v>
      </c>
      <c r="CXS3" s="29">
        <f>'REG y VAL POE - AESR - ESR'!AE143</f>
        <v>0</v>
      </c>
      <c r="CXT3" s="29">
        <f>'REG y VAL POE - AESR - ESR'!AF143</f>
        <v>0</v>
      </c>
      <c r="CXU3" s="29">
        <f>'REG y VAL POE - AESR - ESR'!AG143</f>
        <v>0</v>
      </c>
      <c r="CXV3" s="29">
        <f>'REG y VAL POE - AESR - ESR'!AH143</f>
        <v>0</v>
      </c>
      <c r="CXW3" s="29">
        <f>'REG y VAL POE - AESR - ESR'!AI143</f>
        <v>0</v>
      </c>
      <c r="CXX3" s="29">
        <f>'REG y VAL POE - AESR - ESR'!AJ143</f>
        <v>0</v>
      </c>
      <c r="CXY3" s="29">
        <f>'REG y VAL POE - AESR - ESR'!AK143</f>
        <v>0</v>
      </c>
      <c r="CXZ3" s="29">
        <f>'REG y VAL POE - AESR - ESR'!AL143</f>
        <v>0</v>
      </c>
      <c r="CYA3" s="29">
        <f>'REG y VAL POE - AESR - ESR'!AM143</f>
        <v>0</v>
      </c>
      <c r="CYB3" s="29">
        <f>'REG y VAL POE - AESR - ESR'!AN143</f>
        <v>0</v>
      </c>
      <c r="CYC3" s="29">
        <f>'REG y VAL POE - AESR - ESR'!AO143</f>
        <v>0</v>
      </c>
      <c r="CYD3" s="29">
        <f>'REG y VAL POE - AESR - ESR'!AP143</f>
        <v>0</v>
      </c>
      <c r="CYE3" s="29">
        <f>'REG y VAL POE - AESR - ESR'!AQ143</f>
        <v>0</v>
      </c>
      <c r="CYF3" s="29">
        <f>'REG y VAL POE - AESR - ESR'!AR143</f>
        <v>0</v>
      </c>
      <c r="CYG3" s="29">
        <f>'REG y VAL POE - AESR - ESR'!AS143</f>
        <v>0</v>
      </c>
      <c r="CYH3" s="27">
        <f>'REG y VAL POE - AESR - ESR'!B144</f>
        <v>0</v>
      </c>
      <c r="CYI3" s="28">
        <f>'REG y VAL POE - AESR - ESR'!C144</f>
        <v>0</v>
      </c>
      <c r="CYJ3" s="29">
        <f>'REG y VAL POE - AESR - ESR'!D144</f>
        <v>0</v>
      </c>
      <c r="CYK3" s="29">
        <f>'REG y VAL POE - AESR - ESR'!E144</f>
        <v>0</v>
      </c>
      <c r="CYL3" s="29">
        <f>'REG y VAL POE - AESR - ESR'!F144</f>
        <v>0</v>
      </c>
      <c r="CYM3" s="29">
        <f>'REG y VAL POE - AESR - ESR'!G144</f>
        <v>0</v>
      </c>
      <c r="CYN3" s="29">
        <f>'REG y VAL POE - AESR - ESR'!H144</f>
        <v>0</v>
      </c>
      <c r="CYO3" s="28">
        <f>'REG y VAL POE - AESR - ESR'!I144</f>
        <v>0</v>
      </c>
      <c r="CYP3" s="29">
        <f>'REG y VAL POE - AESR - ESR'!J144</f>
        <v>0</v>
      </c>
      <c r="CYQ3" s="29">
        <f>'REG y VAL POE - AESR - ESR'!K144</f>
        <v>0</v>
      </c>
      <c r="CYR3" s="28">
        <f>'REG y VAL POE - AESR - ESR'!L144</f>
        <v>0</v>
      </c>
      <c r="CYS3" s="29">
        <f>'REG y VAL POE - AESR - ESR'!M144</f>
        <v>0</v>
      </c>
      <c r="CYT3" s="28">
        <f>'REG y VAL POE - AESR - ESR'!N144</f>
        <v>0</v>
      </c>
      <c r="CYU3" s="28">
        <f>'REG y VAL POE - AESR - ESR'!O144</f>
        <v>0</v>
      </c>
      <c r="CYV3" s="29">
        <f>'REG y VAL POE - AESR - ESR'!P144</f>
        <v>0</v>
      </c>
      <c r="CYW3" s="29">
        <f>'REG y VAL POE - AESR - ESR'!Q144</f>
        <v>0</v>
      </c>
      <c r="CYX3" s="29">
        <f>'REG y VAL POE - AESR - ESR'!R144</f>
        <v>0</v>
      </c>
      <c r="CYY3" s="28">
        <f>'REG y VAL POE - AESR - ESR'!S144</f>
        <v>0</v>
      </c>
      <c r="CYZ3" s="29">
        <f>'REG y VAL POE - AESR - ESR'!T144</f>
        <v>0</v>
      </c>
      <c r="CZA3" s="29">
        <f>'REG y VAL POE - AESR - ESR'!U144</f>
        <v>0</v>
      </c>
      <c r="CZB3" s="28">
        <f>'REG y VAL POE - AESR - ESR'!V144</f>
        <v>0</v>
      </c>
      <c r="CZC3" s="29">
        <f>'REG y VAL POE - AESR - ESR'!W144</f>
        <v>0</v>
      </c>
      <c r="CZD3" s="28">
        <f>'REG y VAL POE - AESR - ESR'!X144</f>
        <v>0</v>
      </c>
      <c r="CZE3" s="28">
        <f>'REG y VAL POE - AESR - ESR'!Y144</f>
        <v>0</v>
      </c>
      <c r="CZF3" s="29">
        <f>'REG y VAL POE - AESR - ESR'!Z144</f>
        <v>0</v>
      </c>
      <c r="CZG3" s="29">
        <f>'REG y VAL POE - AESR - ESR'!AA144</f>
        <v>0</v>
      </c>
      <c r="CZH3" s="29">
        <f>'REG y VAL POE - AESR - ESR'!AB144</f>
        <v>0</v>
      </c>
      <c r="CZI3" s="28">
        <f>'REG y VAL POE - AESR - ESR'!AC144</f>
        <v>0</v>
      </c>
      <c r="CZJ3" s="29">
        <f>'REG y VAL POE - AESR - ESR'!AD144</f>
        <v>0</v>
      </c>
      <c r="CZK3" s="29">
        <f>'REG y VAL POE - AESR - ESR'!AE144</f>
        <v>0</v>
      </c>
      <c r="CZL3" s="28">
        <f>'REG y VAL POE - AESR - ESR'!AF144</f>
        <v>0</v>
      </c>
      <c r="CZM3" s="29">
        <f>'REG y VAL POE - AESR - ESR'!AG144</f>
        <v>0</v>
      </c>
      <c r="CZN3" s="28">
        <f>'REG y VAL POE - AESR - ESR'!AH144</f>
        <v>0</v>
      </c>
      <c r="CZO3" s="28">
        <f>'REG y VAL POE - AESR - ESR'!AI144</f>
        <v>0</v>
      </c>
      <c r="CZP3" s="29">
        <f>'REG y VAL POE - AESR - ESR'!AJ144</f>
        <v>0</v>
      </c>
      <c r="CZQ3" s="29">
        <f>'REG y VAL POE - AESR - ESR'!AK144</f>
        <v>0</v>
      </c>
      <c r="CZR3" s="29">
        <f>'REG y VAL POE - AESR - ESR'!AL144</f>
        <v>0</v>
      </c>
      <c r="CZS3" s="28">
        <f>'REG y VAL POE - AESR - ESR'!AM144</f>
        <v>0</v>
      </c>
      <c r="CZT3" s="29">
        <f>'REG y VAL POE - AESR - ESR'!AN144</f>
        <v>0</v>
      </c>
      <c r="CZU3" s="29">
        <f>'REG y VAL POE - AESR - ESR'!AO144</f>
        <v>0</v>
      </c>
      <c r="CZV3" s="28">
        <f>'REG y VAL POE - AESR - ESR'!AP144</f>
        <v>0</v>
      </c>
      <c r="CZW3" s="29">
        <f>'REG y VAL POE - AESR - ESR'!AQ144</f>
        <v>0</v>
      </c>
      <c r="CZX3" s="28">
        <f>'REG y VAL POE - AESR - ESR'!AR144</f>
        <v>0</v>
      </c>
      <c r="CZY3" s="28">
        <f>'REG y VAL POE - AESR - ESR'!AS144</f>
        <v>0</v>
      </c>
      <c r="CZZ3" s="27">
        <f>'REG y VAL POE - AESR - ESR'!B145</f>
        <v>0</v>
      </c>
      <c r="DAA3" s="29">
        <f>'REG y VAL POE - AESR - ESR'!C145</f>
        <v>0</v>
      </c>
      <c r="DAB3" s="28">
        <f>'REG y VAL POE - AESR - ESR'!D145</f>
        <v>0</v>
      </c>
      <c r="DAC3" s="29">
        <f>'REG y VAL POE - AESR - ESR'!E145</f>
        <v>0</v>
      </c>
      <c r="DAD3" s="28">
        <f>'REG y VAL POE - AESR - ESR'!F145</f>
        <v>0</v>
      </c>
      <c r="DAE3" s="31">
        <f>'REG y VAL POE - AESR - ESR'!G145</f>
        <v>0</v>
      </c>
      <c r="DAF3" s="31">
        <f>'REG y VAL POE - AESR - ESR'!H145</f>
        <v>0</v>
      </c>
      <c r="DAG3" s="29">
        <f>'REG y VAL POE - AESR - ESR'!I145</f>
        <v>0</v>
      </c>
      <c r="DAH3" s="29">
        <f>'REG y VAL POE - AESR - ESR'!J145</f>
        <v>0</v>
      </c>
      <c r="DAI3" s="29">
        <f>'REG y VAL POE - AESR - ESR'!K145</f>
        <v>0</v>
      </c>
      <c r="DAJ3" s="29">
        <f>'REG y VAL POE - AESR - ESR'!L145</f>
        <v>0</v>
      </c>
      <c r="DAK3" s="29">
        <f>'REG y VAL POE - AESR - ESR'!M145</f>
        <v>0</v>
      </c>
      <c r="DAL3" s="29">
        <f>'REG y VAL POE - AESR - ESR'!N145</f>
        <v>0</v>
      </c>
      <c r="DAM3" s="29">
        <f>'REG y VAL POE - AESR - ESR'!O145</f>
        <v>0</v>
      </c>
      <c r="DAN3" s="29">
        <f>'REG y VAL POE - AESR - ESR'!P145</f>
        <v>0</v>
      </c>
      <c r="DAO3" s="29">
        <f>'REG y VAL POE - AESR - ESR'!Q145</f>
        <v>0</v>
      </c>
      <c r="DAP3" s="29">
        <f>'REG y VAL POE - AESR - ESR'!R145</f>
        <v>0</v>
      </c>
      <c r="DAQ3" s="29">
        <f>'REG y VAL POE - AESR - ESR'!S145</f>
        <v>0</v>
      </c>
      <c r="DAR3" s="29">
        <f>'REG y VAL POE - AESR - ESR'!T145</f>
        <v>0</v>
      </c>
      <c r="DAS3" s="29">
        <f>'REG y VAL POE - AESR - ESR'!U145</f>
        <v>0</v>
      </c>
      <c r="DAT3" s="29">
        <f>'REG y VAL POE - AESR - ESR'!V145</f>
        <v>0</v>
      </c>
      <c r="DAU3" s="29">
        <f>'REG y VAL POE - AESR - ESR'!W145</f>
        <v>0</v>
      </c>
      <c r="DAV3" s="29">
        <f>'REG y VAL POE - AESR - ESR'!X145</f>
        <v>0</v>
      </c>
      <c r="DAW3" s="29">
        <f>'REG y VAL POE - AESR - ESR'!Y145</f>
        <v>0</v>
      </c>
      <c r="DAX3" s="29">
        <f>'REG y VAL POE - AESR - ESR'!Z145</f>
        <v>0</v>
      </c>
      <c r="DAY3" s="29">
        <f>'REG y VAL POE - AESR - ESR'!AA145</f>
        <v>0</v>
      </c>
      <c r="DAZ3" s="29">
        <f>'REG y VAL POE - AESR - ESR'!AB145</f>
        <v>0</v>
      </c>
      <c r="DBA3" s="29">
        <f>'REG y VAL POE - AESR - ESR'!AC145</f>
        <v>0</v>
      </c>
      <c r="DBB3" s="29">
        <f>'REG y VAL POE - AESR - ESR'!AD145</f>
        <v>0</v>
      </c>
      <c r="DBC3" s="29">
        <f>'REG y VAL POE - AESR - ESR'!AE145</f>
        <v>0</v>
      </c>
      <c r="DBD3" s="29">
        <f>'REG y VAL POE - AESR - ESR'!AF145</f>
        <v>0</v>
      </c>
      <c r="DBE3" s="29">
        <f>'REG y VAL POE - AESR - ESR'!AG145</f>
        <v>0</v>
      </c>
      <c r="DBF3" s="29">
        <f>'REG y VAL POE - AESR - ESR'!AH145</f>
        <v>0</v>
      </c>
      <c r="DBG3" s="29">
        <f>'REG y VAL POE - AESR - ESR'!AI145</f>
        <v>0</v>
      </c>
      <c r="DBH3" s="29">
        <f>'REG y VAL POE - AESR - ESR'!AJ145</f>
        <v>0</v>
      </c>
      <c r="DBI3" s="29">
        <f>'REG y VAL POE - AESR - ESR'!AK145</f>
        <v>0</v>
      </c>
      <c r="DBJ3" s="29">
        <f>'REG y VAL POE - AESR - ESR'!AL145</f>
        <v>0</v>
      </c>
      <c r="DBK3" s="29">
        <f>'REG y VAL POE - AESR - ESR'!AM145</f>
        <v>0</v>
      </c>
      <c r="DBL3" s="29">
        <f>'REG y VAL POE - AESR - ESR'!AN145</f>
        <v>0</v>
      </c>
      <c r="DBM3" s="29">
        <f>'REG y VAL POE - AESR - ESR'!AO145</f>
        <v>0</v>
      </c>
      <c r="DBN3" s="29">
        <f>'REG y VAL POE - AESR - ESR'!AP145</f>
        <v>0</v>
      </c>
      <c r="DBO3" s="29">
        <f>'REG y VAL POE - AESR - ESR'!AQ145</f>
        <v>0</v>
      </c>
      <c r="DBP3" s="29">
        <f>'REG y VAL POE - AESR - ESR'!AR145</f>
        <v>0</v>
      </c>
      <c r="DBQ3" s="29">
        <f>'REG y VAL POE - AESR - ESR'!AS145</f>
        <v>0</v>
      </c>
      <c r="DBR3" s="27">
        <f>'REG y VAL POE - AESR - ESR'!B146</f>
        <v>0</v>
      </c>
      <c r="DBS3" s="28">
        <f>'REG y VAL POE - AESR - ESR'!C146</f>
        <v>0</v>
      </c>
      <c r="DBT3" s="29">
        <f>'REG y VAL POE - AESR - ESR'!D146</f>
        <v>0</v>
      </c>
      <c r="DBU3" s="29">
        <f>'REG y VAL POE - AESR - ESR'!E146</f>
        <v>0</v>
      </c>
      <c r="DBV3" s="29">
        <f>'REG y VAL POE - AESR - ESR'!F146</f>
        <v>0</v>
      </c>
      <c r="DBW3" s="29">
        <f>'REG y VAL POE - AESR - ESR'!G146</f>
        <v>0</v>
      </c>
      <c r="DBX3" s="29">
        <f>'REG y VAL POE - AESR - ESR'!H146</f>
        <v>0</v>
      </c>
      <c r="DBY3" s="28">
        <f>'REG y VAL POE - AESR - ESR'!I146</f>
        <v>0</v>
      </c>
      <c r="DBZ3" s="29">
        <f>'REG y VAL POE - AESR - ESR'!J146</f>
        <v>0</v>
      </c>
      <c r="DCA3" s="29">
        <f>'REG y VAL POE - AESR - ESR'!K146</f>
        <v>0</v>
      </c>
      <c r="DCB3" s="28">
        <f>'REG y VAL POE - AESR - ESR'!L146</f>
        <v>0</v>
      </c>
      <c r="DCC3" s="29">
        <f>'REG y VAL POE - AESR - ESR'!M146</f>
        <v>0</v>
      </c>
      <c r="DCD3" s="28">
        <f>'REG y VAL POE - AESR - ESR'!N146</f>
        <v>0</v>
      </c>
      <c r="DCE3" s="28">
        <f>'REG y VAL POE - AESR - ESR'!O146</f>
        <v>0</v>
      </c>
      <c r="DCF3" s="29">
        <f>'REG y VAL POE - AESR - ESR'!P146</f>
        <v>0</v>
      </c>
      <c r="DCG3" s="29">
        <f>'REG y VAL POE - AESR - ESR'!Q146</f>
        <v>0</v>
      </c>
      <c r="DCH3" s="29">
        <f>'REG y VAL POE - AESR - ESR'!R146</f>
        <v>0</v>
      </c>
      <c r="DCI3" s="28">
        <f>'REG y VAL POE - AESR - ESR'!S146</f>
        <v>0</v>
      </c>
      <c r="DCJ3" s="29">
        <f>'REG y VAL POE - AESR - ESR'!T146</f>
        <v>0</v>
      </c>
      <c r="DCK3" s="29">
        <f>'REG y VAL POE - AESR - ESR'!U146</f>
        <v>0</v>
      </c>
      <c r="DCL3" s="28">
        <f>'REG y VAL POE - AESR - ESR'!V146</f>
        <v>0</v>
      </c>
      <c r="DCM3" s="29">
        <f>'REG y VAL POE - AESR - ESR'!W146</f>
        <v>0</v>
      </c>
      <c r="DCN3" s="28">
        <f>'REG y VAL POE - AESR - ESR'!X146</f>
        <v>0</v>
      </c>
      <c r="DCO3" s="28">
        <f>'REG y VAL POE - AESR - ESR'!Y146</f>
        <v>0</v>
      </c>
      <c r="DCP3" s="29">
        <f>'REG y VAL POE - AESR - ESR'!Z146</f>
        <v>0</v>
      </c>
      <c r="DCQ3" s="29">
        <f>'REG y VAL POE - AESR - ESR'!AA146</f>
        <v>0</v>
      </c>
      <c r="DCR3" s="29">
        <f>'REG y VAL POE - AESR - ESR'!AB146</f>
        <v>0</v>
      </c>
      <c r="DCS3" s="28">
        <f>'REG y VAL POE - AESR - ESR'!AC146</f>
        <v>0</v>
      </c>
      <c r="DCT3" s="29">
        <f>'REG y VAL POE - AESR - ESR'!AD146</f>
        <v>0</v>
      </c>
      <c r="DCU3" s="29">
        <f>'REG y VAL POE - AESR - ESR'!AE146</f>
        <v>0</v>
      </c>
      <c r="DCV3" s="28">
        <f>'REG y VAL POE - AESR - ESR'!AF146</f>
        <v>0</v>
      </c>
      <c r="DCW3" s="29">
        <f>'REG y VAL POE - AESR - ESR'!AG146</f>
        <v>0</v>
      </c>
      <c r="DCX3" s="28">
        <f>'REG y VAL POE - AESR - ESR'!AH146</f>
        <v>0</v>
      </c>
      <c r="DCY3" s="28">
        <f>'REG y VAL POE - AESR - ESR'!AI146</f>
        <v>0</v>
      </c>
      <c r="DCZ3" s="29">
        <f>'REG y VAL POE - AESR - ESR'!AJ146</f>
        <v>0</v>
      </c>
      <c r="DDA3" s="29">
        <f>'REG y VAL POE - AESR - ESR'!AK146</f>
        <v>0</v>
      </c>
      <c r="DDB3" s="29">
        <f>'REG y VAL POE - AESR - ESR'!AL146</f>
        <v>0</v>
      </c>
      <c r="DDC3" s="28">
        <f>'REG y VAL POE - AESR - ESR'!AM146</f>
        <v>0</v>
      </c>
      <c r="DDD3" s="29">
        <f>'REG y VAL POE - AESR - ESR'!AN146</f>
        <v>0</v>
      </c>
      <c r="DDE3" s="29">
        <f>'REG y VAL POE - AESR - ESR'!AO146</f>
        <v>0</v>
      </c>
      <c r="DDF3" s="28">
        <f>'REG y VAL POE - AESR - ESR'!AP146</f>
        <v>0</v>
      </c>
      <c r="DDG3" s="29">
        <f>'REG y VAL POE - AESR - ESR'!AQ146</f>
        <v>0</v>
      </c>
      <c r="DDH3" s="28">
        <f>'REG y VAL POE - AESR - ESR'!AR146</f>
        <v>0</v>
      </c>
      <c r="DDI3" s="28">
        <f>'REG y VAL POE - AESR - ESR'!AS146</f>
        <v>0</v>
      </c>
      <c r="DDJ3" s="27">
        <f>'REG y VAL POE - AESR - ESR'!B147</f>
        <v>0</v>
      </c>
      <c r="DDK3" s="29">
        <f>'REG y VAL POE - AESR - ESR'!C147</f>
        <v>0</v>
      </c>
      <c r="DDL3" s="28">
        <f>'REG y VAL POE - AESR - ESR'!D147</f>
        <v>0</v>
      </c>
      <c r="DDM3" s="29">
        <f>'REG y VAL POE - AESR - ESR'!E147</f>
        <v>0</v>
      </c>
      <c r="DDN3" s="28">
        <f>'REG y VAL POE - AESR - ESR'!F147</f>
        <v>0</v>
      </c>
      <c r="DDO3" s="31">
        <f>'REG y VAL POE - AESR - ESR'!G147</f>
        <v>0</v>
      </c>
      <c r="DDP3" s="31">
        <f>'REG y VAL POE - AESR - ESR'!H147</f>
        <v>0</v>
      </c>
      <c r="DDQ3" s="29">
        <f>'REG y VAL POE - AESR - ESR'!I147</f>
        <v>0</v>
      </c>
      <c r="DDR3" s="29">
        <f>'REG y VAL POE - AESR - ESR'!J147</f>
        <v>0</v>
      </c>
      <c r="DDS3" s="29">
        <f>'REG y VAL POE - AESR - ESR'!K147</f>
        <v>0</v>
      </c>
      <c r="DDT3" s="29">
        <f>'REG y VAL POE - AESR - ESR'!L147</f>
        <v>0</v>
      </c>
      <c r="DDU3" s="29">
        <f>'REG y VAL POE - AESR - ESR'!M147</f>
        <v>0</v>
      </c>
      <c r="DDV3" s="29">
        <f>'REG y VAL POE - AESR - ESR'!N147</f>
        <v>0</v>
      </c>
      <c r="DDW3" s="29">
        <f>'REG y VAL POE - AESR - ESR'!O147</f>
        <v>0</v>
      </c>
      <c r="DDX3" s="29">
        <f>'REG y VAL POE - AESR - ESR'!P147</f>
        <v>0</v>
      </c>
      <c r="DDY3" s="29">
        <f>'REG y VAL POE - AESR - ESR'!Q147</f>
        <v>0</v>
      </c>
      <c r="DDZ3" s="29">
        <f>'REG y VAL POE - AESR - ESR'!R147</f>
        <v>0</v>
      </c>
      <c r="DEA3" s="29">
        <f>'REG y VAL POE - AESR - ESR'!S147</f>
        <v>0</v>
      </c>
      <c r="DEB3" s="29">
        <f>'REG y VAL POE - AESR - ESR'!T147</f>
        <v>0</v>
      </c>
      <c r="DEC3" s="29">
        <f>'REG y VAL POE - AESR - ESR'!U147</f>
        <v>0</v>
      </c>
      <c r="DED3" s="29">
        <f>'REG y VAL POE - AESR - ESR'!V147</f>
        <v>0</v>
      </c>
      <c r="DEE3" s="29">
        <f>'REG y VAL POE - AESR - ESR'!W147</f>
        <v>0</v>
      </c>
      <c r="DEF3" s="29">
        <f>'REG y VAL POE - AESR - ESR'!X147</f>
        <v>0</v>
      </c>
      <c r="DEG3" s="29">
        <f>'REG y VAL POE - AESR - ESR'!Y147</f>
        <v>0</v>
      </c>
      <c r="DEH3" s="29">
        <f>'REG y VAL POE - AESR - ESR'!Z147</f>
        <v>0</v>
      </c>
      <c r="DEI3" s="29">
        <f>'REG y VAL POE - AESR - ESR'!AA147</f>
        <v>0</v>
      </c>
      <c r="DEJ3" s="29">
        <f>'REG y VAL POE - AESR - ESR'!AB147</f>
        <v>0</v>
      </c>
      <c r="DEK3" s="29">
        <f>'REG y VAL POE - AESR - ESR'!AC147</f>
        <v>0</v>
      </c>
      <c r="DEL3" s="29">
        <f>'REG y VAL POE - AESR - ESR'!AD147</f>
        <v>0</v>
      </c>
      <c r="DEM3" s="29">
        <f>'REG y VAL POE - AESR - ESR'!AE147</f>
        <v>0</v>
      </c>
      <c r="DEN3" s="29">
        <f>'REG y VAL POE - AESR - ESR'!AF147</f>
        <v>0</v>
      </c>
      <c r="DEO3" s="29">
        <f>'REG y VAL POE - AESR - ESR'!AG147</f>
        <v>0</v>
      </c>
      <c r="DEP3" s="29">
        <f>'REG y VAL POE - AESR - ESR'!AH147</f>
        <v>0</v>
      </c>
      <c r="DEQ3" s="29">
        <f>'REG y VAL POE - AESR - ESR'!AI147</f>
        <v>0</v>
      </c>
      <c r="DER3" s="29">
        <f>'REG y VAL POE - AESR - ESR'!AJ147</f>
        <v>0</v>
      </c>
      <c r="DES3" s="29">
        <f>'REG y VAL POE - AESR - ESR'!AK147</f>
        <v>0</v>
      </c>
      <c r="DET3" s="29">
        <f>'REG y VAL POE - AESR - ESR'!AL147</f>
        <v>0</v>
      </c>
      <c r="DEU3" s="29">
        <f>'REG y VAL POE - AESR - ESR'!AM147</f>
        <v>0</v>
      </c>
      <c r="DEV3" s="29">
        <f>'REG y VAL POE - AESR - ESR'!AN147</f>
        <v>0</v>
      </c>
      <c r="DEW3" s="29">
        <f>'REG y VAL POE - AESR - ESR'!AO147</f>
        <v>0</v>
      </c>
      <c r="DEX3" s="29">
        <f>'REG y VAL POE - AESR - ESR'!AP147</f>
        <v>0</v>
      </c>
      <c r="DEY3" s="29">
        <f>'REG y VAL POE - AESR - ESR'!AQ147</f>
        <v>0</v>
      </c>
      <c r="DEZ3" s="29">
        <f>'REG y VAL POE - AESR - ESR'!AR147</f>
        <v>0</v>
      </c>
      <c r="DFA3" s="29">
        <f>'REG y VAL POE - AESR - ESR'!AS147</f>
        <v>0</v>
      </c>
      <c r="DFB3" s="27">
        <f>'REG y VAL POE - AESR - ESR'!B148</f>
        <v>0</v>
      </c>
      <c r="DFC3" s="28">
        <f>'REG y VAL POE - AESR - ESR'!C148</f>
        <v>0</v>
      </c>
      <c r="DFD3" s="29">
        <f>'REG y VAL POE - AESR - ESR'!D148</f>
        <v>0</v>
      </c>
      <c r="DFE3" s="29">
        <f>'REG y VAL POE - AESR - ESR'!E148</f>
        <v>0</v>
      </c>
      <c r="DFF3" s="29">
        <f>'REG y VAL POE - AESR - ESR'!F148</f>
        <v>0</v>
      </c>
      <c r="DFG3" s="29">
        <f>'REG y VAL POE - AESR - ESR'!G148</f>
        <v>0</v>
      </c>
      <c r="DFH3" s="29">
        <f>'REG y VAL POE - AESR - ESR'!H148</f>
        <v>0</v>
      </c>
      <c r="DFI3" s="28">
        <f>'REG y VAL POE - AESR - ESR'!I148</f>
        <v>0</v>
      </c>
      <c r="DFJ3" s="29">
        <f>'REG y VAL POE - AESR - ESR'!J148</f>
        <v>0</v>
      </c>
      <c r="DFK3" s="29">
        <f>'REG y VAL POE - AESR - ESR'!K148</f>
        <v>0</v>
      </c>
      <c r="DFL3" s="28">
        <f>'REG y VAL POE - AESR - ESR'!L148</f>
        <v>0</v>
      </c>
      <c r="DFM3" s="29">
        <f>'REG y VAL POE - AESR - ESR'!M148</f>
        <v>0</v>
      </c>
      <c r="DFN3" s="28">
        <f>'REG y VAL POE - AESR - ESR'!N148</f>
        <v>0</v>
      </c>
      <c r="DFO3" s="28">
        <f>'REG y VAL POE - AESR - ESR'!O148</f>
        <v>0</v>
      </c>
      <c r="DFP3" s="29">
        <f>'REG y VAL POE - AESR - ESR'!P148</f>
        <v>0</v>
      </c>
      <c r="DFQ3" s="29">
        <f>'REG y VAL POE - AESR - ESR'!Q148</f>
        <v>0</v>
      </c>
      <c r="DFR3" s="29">
        <f>'REG y VAL POE - AESR - ESR'!R148</f>
        <v>0</v>
      </c>
      <c r="DFS3" s="28">
        <f>'REG y VAL POE - AESR - ESR'!S148</f>
        <v>0</v>
      </c>
      <c r="DFT3" s="29">
        <f>'REG y VAL POE - AESR - ESR'!T148</f>
        <v>0</v>
      </c>
      <c r="DFU3" s="29">
        <f>'REG y VAL POE - AESR - ESR'!U148</f>
        <v>0</v>
      </c>
      <c r="DFV3" s="28">
        <f>'REG y VAL POE - AESR - ESR'!V148</f>
        <v>0</v>
      </c>
      <c r="DFW3" s="29">
        <f>'REG y VAL POE - AESR - ESR'!W148</f>
        <v>0</v>
      </c>
      <c r="DFX3" s="28">
        <f>'REG y VAL POE - AESR - ESR'!X148</f>
        <v>0</v>
      </c>
      <c r="DFY3" s="28">
        <f>'REG y VAL POE - AESR - ESR'!Y148</f>
        <v>0</v>
      </c>
      <c r="DFZ3" s="29">
        <f>'REG y VAL POE - AESR - ESR'!Z148</f>
        <v>0</v>
      </c>
      <c r="DGA3" s="29">
        <f>'REG y VAL POE - AESR - ESR'!AA148</f>
        <v>0</v>
      </c>
      <c r="DGB3" s="29">
        <f>'REG y VAL POE - AESR - ESR'!AB148</f>
        <v>0</v>
      </c>
      <c r="DGC3" s="28">
        <f>'REG y VAL POE - AESR - ESR'!AC148</f>
        <v>0</v>
      </c>
      <c r="DGD3" s="29">
        <f>'REG y VAL POE - AESR - ESR'!AD148</f>
        <v>0</v>
      </c>
      <c r="DGE3" s="29">
        <f>'REG y VAL POE - AESR - ESR'!AE148</f>
        <v>0</v>
      </c>
      <c r="DGF3" s="28">
        <f>'REG y VAL POE - AESR - ESR'!AF148</f>
        <v>0</v>
      </c>
      <c r="DGG3" s="29">
        <f>'REG y VAL POE - AESR - ESR'!AG148</f>
        <v>0</v>
      </c>
      <c r="DGH3" s="28">
        <f>'REG y VAL POE - AESR - ESR'!AH148</f>
        <v>0</v>
      </c>
      <c r="DGI3" s="28">
        <f>'REG y VAL POE - AESR - ESR'!AI148</f>
        <v>0</v>
      </c>
      <c r="DGJ3" s="29">
        <f>'REG y VAL POE - AESR - ESR'!AJ148</f>
        <v>0</v>
      </c>
      <c r="DGK3" s="29">
        <f>'REG y VAL POE - AESR - ESR'!AK148</f>
        <v>0</v>
      </c>
      <c r="DGL3" s="29">
        <f>'REG y VAL POE - AESR - ESR'!AL148</f>
        <v>0</v>
      </c>
      <c r="DGM3" s="28">
        <f>'REG y VAL POE - AESR - ESR'!AM148</f>
        <v>0</v>
      </c>
      <c r="DGN3" s="29">
        <f>'REG y VAL POE - AESR - ESR'!AN148</f>
        <v>0</v>
      </c>
      <c r="DGO3" s="29">
        <f>'REG y VAL POE - AESR - ESR'!AO148</f>
        <v>0</v>
      </c>
      <c r="DGP3" s="28">
        <f>'REG y VAL POE - AESR - ESR'!AP148</f>
        <v>0</v>
      </c>
      <c r="DGQ3" s="29">
        <f>'REG y VAL POE - AESR - ESR'!AQ148</f>
        <v>0</v>
      </c>
      <c r="DGR3" s="28">
        <f>'REG y VAL POE - AESR - ESR'!AR148</f>
        <v>0</v>
      </c>
      <c r="DGS3" s="28">
        <f>'REG y VAL POE - AESR - ESR'!AS148</f>
        <v>0</v>
      </c>
      <c r="DGT3" s="27">
        <f>'REG y VAL POE - AESR - ESR'!B149</f>
        <v>0</v>
      </c>
      <c r="DGU3" s="29">
        <f>'REG y VAL POE - AESR - ESR'!C149</f>
        <v>0</v>
      </c>
      <c r="DGV3" s="28">
        <f>'REG y VAL POE - AESR - ESR'!D149</f>
        <v>0</v>
      </c>
      <c r="DGW3" s="29">
        <f>'REG y VAL POE - AESR - ESR'!E149</f>
        <v>0</v>
      </c>
      <c r="DGX3" s="28">
        <f>'REG y VAL POE - AESR - ESR'!F149</f>
        <v>0</v>
      </c>
      <c r="DGY3" s="31">
        <f>'REG y VAL POE - AESR - ESR'!G149</f>
        <v>0</v>
      </c>
      <c r="DGZ3" s="31">
        <f>'REG y VAL POE - AESR - ESR'!H149</f>
        <v>0</v>
      </c>
      <c r="DHA3" s="29">
        <f>'REG y VAL POE - AESR - ESR'!I149</f>
        <v>0</v>
      </c>
      <c r="DHB3" s="385">
        <f>'REG y VAL POE - AESR - ESR'!J149</f>
        <v>0</v>
      </c>
      <c r="DHC3" s="29">
        <f>'REG y VAL POE - AESR - ESR'!K149</f>
        <v>0</v>
      </c>
      <c r="DHD3" s="385">
        <f>'REG y VAL POE - AESR - ESR'!L149</f>
        <v>0</v>
      </c>
      <c r="DHE3" s="29">
        <f>'REG y VAL POE - AESR - ESR'!M149</f>
        <v>0</v>
      </c>
      <c r="DHF3" s="385">
        <f>'REG y VAL POE - AESR - ESR'!N149</f>
        <v>0</v>
      </c>
      <c r="DHG3" s="29">
        <f>'REG y VAL POE - AESR - ESR'!O149</f>
        <v>0</v>
      </c>
      <c r="DHH3" s="29">
        <f>'REG y VAL POE - AESR - ESR'!P149</f>
        <v>0</v>
      </c>
      <c r="DHI3" s="29">
        <f>'REG y VAL POE - AESR - ESR'!Q149</f>
        <v>0</v>
      </c>
      <c r="DHJ3" s="29">
        <f>'REG y VAL POE - AESR - ESR'!R149</f>
        <v>0</v>
      </c>
      <c r="DHK3" s="29">
        <f>'REG y VAL POE - AESR - ESR'!S149</f>
        <v>0</v>
      </c>
      <c r="DHL3" s="29">
        <f>'REG y VAL POE - AESR - ESR'!T149</f>
        <v>0</v>
      </c>
      <c r="DHM3" s="29">
        <f>'REG y VAL POE - AESR - ESR'!U149</f>
        <v>0</v>
      </c>
      <c r="DHN3" s="29">
        <f>'REG y VAL POE - AESR - ESR'!V149</f>
        <v>0</v>
      </c>
      <c r="DHO3" s="29">
        <f>'REG y VAL POE - AESR - ESR'!W149</f>
        <v>0</v>
      </c>
      <c r="DHP3" s="29">
        <f>'REG y VAL POE - AESR - ESR'!X149</f>
        <v>0</v>
      </c>
      <c r="DHQ3" s="29">
        <f>'REG y VAL POE - AESR - ESR'!Y149</f>
        <v>0</v>
      </c>
      <c r="DHR3" s="29">
        <f>'REG y VAL POE - AESR - ESR'!Z149</f>
        <v>0</v>
      </c>
      <c r="DHS3" s="29">
        <f>'REG y VAL POE - AESR - ESR'!AA149</f>
        <v>0</v>
      </c>
      <c r="DHT3" s="29">
        <f>'REG y VAL POE - AESR - ESR'!AB149</f>
        <v>0</v>
      </c>
      <c r="DHU3" s="29">
        <f>'REG y VAL POE - AESR - ESR'!AC149</f>
        <v>0</v>
      </c>
      <c r="DHV3" s="29">
        <f>'REG y VAL POE - AESR - ESR'!AD149</f>
        <v>0</v>
      </c>
      <c r="DHW3" s="29">
        <f>'REG y VAL POE - AESR - ESR'!AE149</f>
        <v>0</v>
      </c>
      <c r="DHX3" s="29">
        <f>'REG y VAL POE - AESR - ESR'!AF149</f>
        <v>0</v>
      </c>
      <c r="DHY3" s="29">
        <f>'REG y VAL POE - AESR - ESR'!AG149</f>
        <v>0</v>
      </c>
      <c r="DHZ3" s="29">
        <f>'REG y VAL POE - AESR - ESR'!AH149</f>
        <v>0</v>
      </c>
      <c r="DIA3" s="29">
        <f>'REG y VAL POE - AESR - ESR'!AI149</f>
        <v>0</v>
      </c>
      <c r="DIB3" s="29">
        <f>'REG y VAL POE - AESR - ESR'!AJ149</f>
        <v>0</v>
      </c>
      <c r="DIC3" s="29">
        <f>'REG y VAL POE - AESR - ESR'!AK149</f>
        <v>0</v>
      </c>
      <c r="DID3" s="29">
        <f>'REG y VAL POE - AESR - ESR'!AL149</f>
        <v>0</v>
      </c>
      <c r="DIE3" s="29">
        <f>'REG y VAL POE - AESR - ESR'!AM149</f>
        <v>0</v>
      </c>
      <c r="DIF3" s="29">
        <f>'REG y VAL POE - AESR - ESR'!AN149</f>
        <v>0</v>
      </c>
      <c r="DIG3" s="29">
        <f>'REG y VAL POE - AESR - ESR'!AO149</f>
        <v>0</v>
      </c>
      <c r="DIH3" s="29">
        <f>'REG y VAL POE - AESR - ESR'!AP149</f>
        <v>0</v>
      </c>
      <c r="DII3" s="29">
        <f>'REG y VAL POE - AESR - ESR'!AQ149</f>
        <v>0</v>
      </c>
      <c r="DIJ3" s="29">
        <f>'REG y VAL POE - AESR - ESR'!AR149</f>
        <v>0</v>
      </c>
      <c r="DIK3" s="29">
        <f>'REG y VAL POE - AESR - ESR'!AS149</f>
        <v>0</v>
      </c>
      <c r="DIL3" s="27">
        <f>'REG y VAL POE - AESR - ESR'!B150</f>
        <v>0</v>
      </c>
      <c r="DIM3" s="28">
        <f>'REG y VAL POE - AESR - ESR'!C150</f>
        <v>0</v>
      </c>
      <c r="DIN3" s="29">
        <f>'REG y VAL POE - AESR - ESR'!D150</f>
        <v>0</v>
      </c>
      <c r="DIO3" s="29">
        <f>'REG y VAL POE - AESR - ESR'!E150</f>
        <v>0</v>
      </c>
      <c r="DIP3" s="29">
        <f>'REG y VAL POE - AESR - ESR'!F150</f>
        <v>0</v>
      </c>
      <c r="DIQ3" s="29">
        <f>'REG y VAL POE - AESR - ESR'!G150</f>
        <v>0</v>
      </c>
      <c r="DIR3" s="29">
        <f>'REG y VAL POE - AESR - ESR'!H150</f>
        <v>0</v>
      </c>
      <c r="DIS3" s="28">
        <f>'REG y VAL POE - AESR - ESR'!I150</f>
        <v>0</v>
      </c>
      <c r="DIT3" s="29">
        <f>'REG y VAL POE - AESR - ESR'!J150</f>
        <v>0</v>
      </c>
      <c r="DIU3" s="29">
        <f>'REG y VAL POE - AESR - ESR'!K150</f>
        <v>0</v>
      </c>
      <c r="DIV3" s="28">
        <f>'REG y VAL POE - AESR - ESR'!L150</f>
        <v>0</v>
      </c>
      <c r="DIW3" s="29">
        <f>'REG y VAL POE - AESR - ESR'!M150</f>
        <v>0</v>
      </c>
      <c r="DIX3" s="28">
        <f>'REG y VAL POE - AESR - ESR'!N150</f>
        <v>0</v>
      </c>
      <c r="DIY3" s="28">
        <f>'REG y VAL POE - AESR - ESR'!O150</f>
        <v>0</v>
      </c>
      <c r="DIZ3" s="29">
        <f>'REG y VAL POE - AESR - ESR'!P150</f>
        <v>0</v>
      </c>
      <c r="DJA3" s="29">
        <f>'REG y VAL POE - AESR - ESR'!Q150</f>
        <v>0</v>
      </c>
      <c r="DJB3" s="29">
        <f>'REG y VAL POE - AESR - ESR'!R150</f>
        <v>0</v>
      </c>
      <c r="DJC3" s="28">
        <f>'REG y VAL POE - AESR - ESR'!S150</f>
        <v>0</v>
      </c>
      <c r="DJD3" s="29">
        <f>'REG y VAL POE - AESR - ESR'!T150</f>
        <v>0</v>
      </c>
      <c r="DJE3" s="29">
        <f>'REG y VAL POE - AESR - ESR'!U150</f>
        <v>0</v>
      </c>
      <c r="DJF3" s="28">
        <f>'REG y VAL POE - AESR - ESR'!V150</f>
        <v>0</v>
      </c>
      <c r="DJG3" s="29">
        <f>'REG y VAL POE - AESR - ESR'!W150</f>
        <v>0</v>
      </c>
      <c r="DJH3" s="28">
        <f>'REG y VAL POE - AESR - ESR'!X150</f>
        <v>0</v>
      </c>
      <c r="DJI3" s="28">
        <f>'REG y VAL POE - AESR - ESR'!Y150</f>
        <v>0</v>
      </c>
      <c r="DJJ3" s="29">
        <f>'REG y VAL POE - AESR - ESR'!Z150</f>
        <v>0</v>
      </c>
      <c r="DJK3" s="29">
        <f>'REG y VAL POE - AESR - ESR'!AA150</f>
        <v>0</v>
      </c>
      <c r="DJL3" s="29">
        <f>'REG y VAL POE - AESR - ESR'!AB150</f>
        <v>0</v>
      </c>
      <c r="DJM3" s="28">
        <f>'REG y VAL POE - AESR - ESR'!AC150</f>
        <v>0</v>
      </c>
      <c r="DJN3" s="29">
        <f>'REG y VAL POE - AESR - ESR'!AD150</f>
        <v>0</v>
      </c>
      <c r="DJO3" s="29">
        <f>'REG y VAL POE - AESR - ESR'!AE150</f>
        <v>0</v>
      </c>
      <c r="DJP3" s="28">
        <f>'REG y VAL POE - AESR - ESR'!AF150</f>
        <v>0</v>
      </c>
      <c r="DJQ3" s="29">
        <f>'REG y VAL POE - AESR - ESR'!AG150</f>
        <v>0</v>
      </c>
      <c r="DJR3" s="28">
        <f>'REG y VAL POE - AESR - ESR'!AH150</f>
        <v>0</v>
      </c>
      <c r="DJS3" s="28">
        <f>'REG y VAL POE - AESR - ESR'!AI150</f>
        <v>0</v>
      </c>
      <c r="DJT3" s="29">
        <f>'REG y VAL POE - AESR - ESR'!AJ150</f>
        <v>0</v>
      </c>
      <c r="DJU3" s="29">
        <f>'REG y VAL POE - AESR - ESR'!AK150</f>
        <v>0</v>
      </c>
      <c r="DJV3" s="29">
        <f>'REG y VAL POE - AESR - ESR'!AL150</f>
        <v>0</v>
      </c>
      <c r="DJW3" s="28">
        <f>'REG y VAL POE - AESR - ESR'!AM150</f>
        <v>0</v>
      </c>
      <c r="DJX3" s="29">
        <f>'REG y VAL POE - AESR - ESR'!AN150</f>
        <v>0</v>
      </c>
      <c r="DJY3" s="29">
        <f>'REG y VAL POE - AESR - ESR'!AO150</f>
        <v>0</v>
      </c>
      <c r="DJZ3" s="28">
        <f>'REG y VAL POE - AESR - ESR'!AP150</f>
        <v>0</v>
      </c>
      <c r="DKA3" s="29">
        <f>'REG y VAL POE - AESR - ESR'!AQ150</f>
        <v>0</v>
      </c>
      <c r="DKB3" s="28">
        <f>'REG y VAL POE - AESR - ESR'!AR150</f>
        <v>0</v>
      </c>
      <c r="DKC3" s="28">
        <f>'REG y VAL POE - AESR - ESR'!AS150</f>
        <v>0</v>
      </c>
      <c r="DKD3" s="27">
        <f>'REG y VAL POE - AESR - ESR'!B151</f>
        <v>0</v>
      </c>
      <c r="DKE3" s="29">
        <f>'REG y VAL POE - AESR - ESR'!C151</f>
        <v>0</v>
      </c>
      <c r="DKF3" s="28">
        <f>'REG y VAL POE - AESR - ESR'!D151</f>
        <v>0</v>
      </c>
      <c r="DKG3" s="29">
        <f>'REG y VAL POE - AESR - ESR'!E151</f>
        <v>0</v>
      </c>
      <c r="DKH3" s="28">
        <f>'REG y VAL POE - AESR - ESR'!F151</f>
        <v>0</v>
      </c>
      <c r="DKI3" s="31">
        <f>'REG y VAL POE - AESR - ESR'!G151</f>
        <v>0</v>
      </c>
      <c r="DKJ3" s="31">
        <f>'REG y VAL POE - AESR - ESR'!H151</f>
        <v>0</v>
      </c>
      <c r="DKK3" s="29">
        <f>'REG y VAL POE - AESR - ESR'!I151</f>
        <v>0</v>
      </c>
      <c r="DKL3" s="29">
        <f>'REG y VAL POE - AESR - ESR'!J151</f>
        <v>0</v>
      </c>
      <c r="DKM3" s="29">
        <f>'REG y VAL POE - AESR - ESR'!K151</f>
        <v>0</v>
      </c>
      <c r="DKN3" s="29">
        <f>'REG y VAL POE - AESR - ESR'!L151</f>
        <v>0</v>
      </c>
      <c r="DKO3" s="29">
        <f>'REG y VAL POE - AESR - ESR'!M151</f>
        <v>0</v>
      </c>
      <c r="DKP3" s="29">
        <f>'REG y VAL POE - AESR - ESR'!N151</f>
        <v>0</v>
      </c>
      <c r="DKQ3" s="29">
        <f>'REG y VAL POE - AESR - ESR'!O151</f>
        <v>0</v>
      </c>
      <c r="DKR3" s="29">
        <f>'REG y VAL POE - AESR - ESR'!P151</f>
        <v>0</v>
      </c>
      <c r="DKS3" s="29">
        <f>'REG y VAL POE - AESR - ESR'!Q151</f>
        <v>0</v>
      </c>
      <c r="DKT3" s="29">
        <f>'REG y VAL POE - AESR - ESR'!R151</f>
        <v>0</v>
      </c>
      <c r="DKU3" s="29">
        <f>'REG y VAL POE - AESR - ESR'!S151</f>
        <v>0</v>
      </c>
      <c r="DKV3" s="29">
        <f>'REG y VAL POE - AESR - ESR'!T151</f>
        <v>0</v>
      </c>
      <c r="DKW3" s="29">
        <f>'REG y VAL POE - AESR - ESR'!U151</f>
        <v>0</v>
      </c>
      <c r="DKX3" s="29">
        <f>'REG y VAL POE - AESR - ESR'!V151</f>
        <v>0</v>
      </c>
      <c r="DKY3" s="29">
        <f>'REG y VAL POE - AESR - ESR'!W151</f>
        <v>0</v>
      </c>
      <c r="DKZ3" s="29">
        <f>'REG y VAL POE - AESR - ESR'!X151</f>
        <v>0</v>
      </c>
      <c r="DLA3" s="29">
        <f>'REG y VAL POE - AESR - ESR'!Y151</f>
        <v>0</v>
      </c>
      <c r="DLB3" s="29">
        <f>'REG y VAL POE - AESR - ESR'!Z151</f>
        <v>0</v>
      </c>
      <c r="DLC3" s="29">
        <f>'REG y VAL POE - AESR - ESR'!AA151</f>
        <v>0</v>
      </c>
      <c r="DLD3" s="29">
        <f>'REG y VAL POE - AESR - ESR'!AB151</f>
        <v>0</v>
      </c>
      <c r="DLE3" s="29">
        <f>'REG y VAL POE - AESR - ESR'!AC151</f>
        <v>0</v>
      </c>
      <c r="DLF3" s="29">
        <f>'REG y VAL POE - AESR - ESR'!AD151</f>
        <v>0</v>
      </c>
      <c r="DLG3" s="29">
        <f>'REG y VAL POE - AESR - ESR'!AE151</f>
        <v>0</v>
      </c>
      <c r="DLH3" s="29">
        <f>'REG y VAL POE - AESR - ESR'!AF151</f>
        <v>0</v>
      </c>
      <c r="DLI3" s="29">
        <f>'REG y VAL POE - AESR - ESR'!AG151</f>
        <v>0</v>
      </c>
      <c r="DLJ3" s="29">
        <f>'REG y VAL POE - AESR - ESR'!AH151</f>
        <v>0</v>
      </c>
      <c r="DLK3" s="29">
        <f>'REG y VAL POE - AESR - ESR'!AI151</f>
        <v>0</v>
      </c>
      <c r="DLL3" s="29">
        <f>'REG y VAL POE - AESR - ESR'!AJ151</f>
        <v>0</v>
      </c>
      <c r="DLM3" s="29">
        <f>'REG y VAL POE - AESR - ESR'!AK151</f>
        <v>0</v>
      </c>
      <c r="DLN3" s="29">
        <f>'REG y VAL POE - AESR - ESR'!AL151</f>
        <v>0</v>
      </c>
      <c r="DLO3" s="29">
        <f>'REG y VAL POE - AESR - ESR'!AM151</f>
        <v>0</v>
      </c>
      <c r="DLP3" s="29">
        <f>'REG y VAL POE - AESR - ESR'!AN151</f>
        <v>0</v>
      </c>
      <c r="DLQ3" s="29">
        <f>'REG y VAL POE - AESR - ESR'!AO151</f>
        <v>0</v>
      </c>
      <c r="DLR3" s="29">
        <f>'REG y VAL POE - AESR - ESR'!AP151</f>
        <v>0</v>
      </c>
      <c r="DLS3" s="29">
        <f>'REG y VAL POE - AESR - ESR'!AQ151</f>
        <v>0</v>
      </c>
      <c r="DLT3" s="29">
        <f>'REG y VAL POE - AESR - ESR'!AR151</f>
        <v>0</v>
      </c>
      <c r="DLU3" s="29">
        <f>'REG y VAL POE - AESR - ESR'!AS151</f>
        <v>0</v>
      </c>
      <c r="DLV3" s="27">
        <f>'REG y VAL POE - AESR - ESR'!B152</f>
        <v>0</v>
      </c>
      <c r="DLW3" s="28">
        <f>'REG y VAL POE - AESR - ESR'!C152</f>
        <v>0</v>
      </c>
      <c r="DLX3" s="29">
        <f>'REG y VAL POE - AESR - ESR'!D152</f>
        <v>0</v>
      </c>
      <c r="DLY3" s="29">
        <f>'REG y VAL POE - AESR - ESR'!E152</f>
        <v>0</v>
      </c>
      <c r="DLZ3" s="29">
        <f>'REG y VAL POE - AESR - ESR'!F152</f>
        <v>0</v>
      </c>
      <c r="DMA3" s="29">
        <f>'REG y VAL POE - AESR - ESR'!G152</f>
        <v>0</v>
      </c>
      <c r="DMB3" s="29">
        <f>'REG y VAL POE - AESR - ESR'!H152</f>
        <v>0</v>
      </c>
      <c r="DMC3" s="28">
        <f>'REG y VAL POE - AESR - ESR'!I152</f>
        <v>0</v>
      </c>
      <c r="DMD3" s="29">
        <f>'REG y VAL POE - AESR - ESR'!J152</f>
        <v>0</v>
      </c>
      <c r="DME3" s="29">
        <f>'REG y VAL POE - AESR - ESR'!K152</f>
        <v>0</v>
      </c>
      <c r="DMF3" s="28">
        <f>'REG y VAL POE - AESR - ESR'!L152</f>
        <v>0</v>
      </c>
      <c r="DMG3" s="29">
        <f>'REG y VAL POE - AESR - ESR'!M152</f>
        <v>0</v>
      </c>
      <c r="DMH3" s="28">
        <f>'REG y VAL POE - AESR - ESR'!N152</f>
        <v>0</v>
      </c>
      <c r="DMI3" s="28">
        <f>'REG y VAL POE - AESR - ESR'!O152</f>
        <v>0</v>
      </c>
      <c r="DMJ3" s="29">
        <f>'REG y VAL POE - AESR - ESR'!P152</f>
        <v>0</v>
      </c>
      <c r="DMK3" s="29">
        <f>'REG y VAL POE - AESR - ESR'!Q152</f>
        <v>0</v>
      </c>
      <c r="DML3" s="29">
        <f>'REG y VAL POE - AESR - ESR'!R152</f>
        <v>0</v>
      </c>
      <c r="DMM3" s="28">
        <f>'REG y VAL POE - AESR - ESR'!S152</f>
        <v>0</v>
      </c>
      <c r="DMN3" s="29">
        <f>'REG y VAL POE - AESR - ESR'!T152</f>
        <v>0</v>
      </c>
      <c r="DMO3" s="29">
        <f>'REG y VAL POE - AESR - ESR'!U152</f>
        <v>0</v>
      </c>
      <c r="DMP3" s="28">
        <f>'REG y VAL POE - AESR - ESR'!V152</f>
        <v>0</v>
      </c>
      <c r="DMQ3" s="29">
        <f>'REG y VAL POE - AESR - ESR'!W152</f>
        <v>0</v>
      </c>
      <c r="DMR3" s="28">
        <f>'REG y VAL POE - AESR - ESR'!X152</f>
        <v>0</v>
      </c>
      <c r="DMS3" s="28">
        <f>'REG y VAL POE - AESR - ESR'!Y152</f>
        <v>0</v>
      </c>
      <c r="DMT3" s="29">
        <f>'REG y VAL POE - AESR - ESR'!Z152</f>
        <v>0</v>
      </c>
      <c r="DMU3" s="29">
        <f>'REG y VAL POE - AESR - ESR'!AA152</f>
        <v>0</v>
      </c>
      <c r="DMV3" s="29">
        <f>'REG y VAL POE - AESR - ESR'!AB152</f>
        <v>0</v>
      </c>
      <c r="DMW3" s="28">
        <f>'REG y VAL POE - AESR - ESR'!AC152</f>
        <v>0</v>
      </c>
      <c r="DMX3" s="29">
        <f>'REG y VAL POE - AESR - ESR'!AD152</f>
        <v>0</v>
      </c>
      <c r="DMY3" s="29">
        <f>'REG y VAL POE - AESR - ESR'!AE152</f>
        <v>0</v>
      </c>
      <c r="DMZ3" s="28">
        <f>'REG y VAL POE - AESR - ESR'!AF152</f>
        <v>0</v>
      </c>
      <c r="DNA3" s="29">
        <f>'REG y VAL POE - AESR - ESR'!AG152</f>
        <v>0</v>
      </c>
      <c r="DNB3" s="28">
        <f>'REG y VAL POE - AESR - ESR'!AH152</f>
        <v>0</v>
      </c>
      <c r="DNC3" s="28">
        <f>'REG y VAL POE - AESR - ESR'!AI152</f>
        <v>0</v>
      </c>
      <c r="DND3" s="29">
        <f>'REG y VAL POE - AESR - ESR'!AJ152</f>
        <v>0</v>
      </c>
      <c r="DNE3" s="29">
        <f>'REG y VAL POE - AESR - ESR'!AK152</f>
        <v>0</v>
      </c>
      <c r="DNF3" s="29">
        <f>'REG y VAL POE - AESR - ESR'!AL152</f>
        <v>0</v>
      </c>
      <c r="DNG3" s="28">
        <f>'REG y VAL POE - AESR - ESR'!AM152</f>
        <v>0</v>
      </c>
      <c r="DNH3" s="29">
        <f>'REG y VAL POE - AESR - ESR'!AN152</f>
        <v>0</v>
      </c>
      <c r="DNI3" s="29">
        <f>'REG y VAL POE - AESR - ESR'!AO152</f>
        <v>0</v>
      </c>
      <c r="DNJ3" s="28">
        <f>'REG y VAL POE - AESR - ESR'!AP152</f>
        <v>0</v>
      </c>
      <c r="DNK3" s="29">
        <f>'REG y VAL POE - AESR - ESR'!AQ152</f>
        <v>0</v>
      </c>
      <c r="DNL3" s="28">
        <f>'REG y VAL POE - AESR - ESR'!AR152</f>
        <v>0</v>
      </c>
      <c r="DNM3" s="28">
        <f>'REG y VAL POE - AESR - ESR'!AS152</f>
        <v>0</v>
      </c>
      <c r="DNN3" s="27">
        <f>'REG y VAL POE - AESR - ESR'!B153</f>
        <v>0</v>
      </c>
      <c r="DNO3" s="29">
        <f>'REG y VAL POE - AESR - ESR'!C153</f>
        <v>0</v>
      </c>
      <c r="DNP3" s="28">
        <f>'REG y VAL POE - AESR - ESR'!D153</f>
        <v>0</v>
      </c>
      <c r="DNQ3" s="29">
        <f>'REG y VAL POE - AESR - ESR'!E153</f>
        <v>0</v>
      </c>
      <c r="DNR3" s="28">
        <f>'REG y VAL POE - AESR - ESR'!F153</f>
        <v>0</v>
      </c>
      <c r="DNS3" s="31">
        <f>'REG y VAL POE - AESR - ESR'!G153</f>
        <v>0</v>
      </c>
      <c r="DNT3" s="31">
        <f>'REG y VAL POE - AESR - ESR'!H153</f>
        <v>0</v>
      </c>
      <c r="DNU3" s="29">
        <f>'REG y VAL POE - AESR - ESR'!I153</f>
        <v>0</v>
      </c>
      <c r="DNV3" s="29">
        <f>'REG y VAL POE - AESR - ESR'!J153</f>
        <v>0</v>
      </c>
      <c r="DNW3" s="29">
        <f>'REG y VAL POE - AESR - ESR'!K153</f>
        <v>0</v>
      </c>
      <c r="DNX3" s="29">
        <f>'REG y VAL POE - AESR - ESR'!L153</f>
        <v>0</v>
      </c>
      <c r="DNY3" s="29">
        <f>'REG y VAL POE - AESR - ESR'!M153</f>
        <v>0</v>
      </c>
      <c r="DNZ3" s="29">
        <f>'REG y VAL POE - AESR - ESR'!N153</f>
        <v>0</v>
      </c>
      <c r="DOA3" s="29">
        <f>'REG y VAL POE - AESR - ESR'!O153</f>
        <v>0</v>
      </c>
      <c r="DOB3" s="29">
        <f>'REG y VAL POE - AESR - ESR'!P153</f>
        <v>0</v>
      </c>
      <c r="DOC3" s="29">
        <f>'REG y VAL POE - AESR - ESR'!Q153</f>
        <v>0</v>
      </c>
      <c r="DOD3" s="29">
        <f>'REG y VAL POE - AESR - ESR'!R153</f>
        <v>0</v>
      </c>
      <c r="DOE3" s="29">
        <f>'REG y VAL POE - AESR - ESR'!S153</f>
        <v>0</v>
      </c>
      <c r="DOF3" s="29">
        <f>'REG y VAL POE - AESR - ESR'!T153</f>
        <v>0</v>
      </c>
      <c r="DOG3" s="29">
        <f>'REG y VAL POE - AESR - ESR'!U153</f>
        <v>0</v>
      </c>
      <c r="DOH3" s="29">
        <f>'REG y VAL POE - AESR - ESR'!V153</f>
        <v>0</v>
      </c>
      <c r="DOI3" s="29">
        <f>'REG y VAL POE - AESR - ESR'!W153</f>
        <v>0</v>
      </c>
      <c r="DOJ3" s="29">
        <f>'REG y VAL POE - AESR - ESR'!X153</f>
        <v>0</v>
      </c>
      <c r="DOK3" s="29">
        <f>'REG y VAL POE - AESR - ESR'!Y153</f>
        <v>0</v>
      </c>
      <c r="DOL3" s="29">
        <f>'REG y VAL POE - AESR - ESR'!Z153</f>
        <v>0</v>
      </c>
      <c r="DOM3" s="29">
        <f>'REG y VAL POE - AESR - ESR'!AA153</f>
        <v>0</v>
      </c>
      <c r="DON3" s="29">
        <f>'REG y VAL POE - AESR - ESR'!AB153</f>
        <v>0</v>
      </c>
      <c r="DOO3" s="29">
        <f>'REG y VAL POE - AESR - ESR'!AC153</f>
        <v>0</v>
      </c>
      <c r="DOP3" s="29">
        <f>'REG y VAL POE - AESR - ESR'!AD153</f>
        <v>0</v>
      </c>
      <c r="DOQ3" s="29">
        <f>'REG y VAL POE - AESR - ESR'!AE153</f>
        <v>0</v>
      </c>
      <c r="DOR3" s="29">
        <f>'REG y VAL POE - AESR - ESR'!AF153</f>
        <v>0</v>
      </c>
      <c r="DOS3" s="29">
        <f>'REG y VAL POE - AESR - ESR'!AG153</f>
        <v>0</v>
      </c>
      <c r="DOT3" s="29">
        <f>'REG y VAL POE - AESR - ESR'!AH153</f>
        <v>0</v>
      </c>
      <c r="DOU3" s="29">
        <f>'REG y VAL POE - AESR - ESR'!AI153</f>
        <v>0</v>
      </c>
      <c r="DOV3" s="29">
        <f>'REG y VAL POE - AESR - ESR'!AJ153</f>
        <v>0</v>
      </c>
      <c r="DOW3" s="29">
        <f>'REG y VAL POE - AESR - ESR'!AK153</f>
        <v>0</v>
      </c>
      <c r="DOX3" s="29">
        <f>'REG y VAL POE - AESR - ESR'!AL153</f>
        <v>0</v>
      </c>
      <c r="DOY3" s="29">
        <f>'REG y VAL POE - AESR - ESR'!AM153</f>
        <v>0</v>
      </c>
      <c r="DOZ3" s="29">
        <f>'REG y VAL POE - AESR - ESR'!AN153</f>
        <v>0</v>
      </c>
      <c r="DPA3" s="29">
        <f>'REG y VAL POE - AESR - ESR'!AO153</f>
        <v>0</v>
      </c>
      <c r="DPB3" s="29">
        <f>'REG y VAL POE - AESR - ESR'!AP153</f>
        <v>0</v>
      </c>
      <c r="DPC3" s="29">
        <f>'REG y VAL POE - AESR - ESR'!AQ153</f>
        <v>0</v>
      </c>
      <c r="DPD3" s="29">
        <f>'REG y VAL POE - AESR - ESR'!AR153</f>
        <v>0</v>
      </c>
      <c r="DPE3" s="29">
        <f>'REG y VAL POE - AESR - ESR'!AS153</f>
        <v>0</v>
      </c>
      <c r="DPF3" s="27">
        <f>'REG y VAL POE - AESR - ESR'!B154</f>
        <v>0</v>
      </c>
      <c r="DPG3" s="28">
        <f>'REG y VAL POE - AESR - ESR'!C154</f>
        <v>0</v>
      </c>
      <c r="DPH3" s="29">
        <f>'REG y VAL POE - AESR - ESR'!D154</f>
        <v>0</v>
      </c>
      <c r="DPI3" s="29">
        <f>'REG y VAL POE - AESR - ESR'!E154</f>
        <v>0</v>
      </c>
      <c r="DPJ3" s="29">
        <f>'REG y VAL POE - AESR - ESR'!F154</f>
        <v>0</v>
      </c>
      <c r="DPK3" s="29">
        <f>'REG y VAL POE - AESR - ESR'!G154</f>
        <v>0</v>
      </c>
      <c r="DPL3" s="29">
        <f>'REG y VAL POE - AESR - ESR'!H154</f>
        <v>0</v>
      </c>
      <c r="DPM3" s="28">
        <f>'REG y VAL POE - AESR - ESR'!I154</f>
        <v>0</v>
      </c>
      <c r="DPN3" s="29">
        <f>'REG y VAL POE - AESR - ESR'!J154</f>
        <v>0</v>
      </c>
      <c r="DPO3" s="29">
        <f>'REG y VAL POE - AESR - ESR'!K154</f>
        <v>0</v>
      </c>
      <c r="DPP3" s="28">
        <f>'REG y VAL POE - AESR - ESR'!L154</f>
        <v>0</v>
      </c>
      <c r="DPQ3" s="29">
        <f>'REG y VAL POE - AESR - ESR'!M154</f>
        <v>0</v>
      </c>
      <c r="DPR3" s="28">
        <f>'REG y VAL POE - AESR - ESR'!N154</f>
        <v>0</v>
      </c>
      <c r="DPS3" s="28">
        <f>'REG y VAL POE - AESR - ESR'!O154</f>
        <v>0</v>
      </c>
      <c r="DPT3" s="29">
        <f>'REG y VAL POE - AESR - ESR'!P154</f>
        <v>0</v>
      </c>
      <c r="DPU3" s="29">
        <f>'REG y VAL POE - AESR - ESR'!Q154</f>
        <v>0</v>
      </c>
      <c r="DPV3" s="29">
        <f>'REG y VAL POE - AESR - ESR'!R154</f>
        <v>0</v>
      </c>
      <c r="DPW3" s="28">
        <f>'REG y VAL POE - AESR - ESR'!S154</f>
        <v>0</v>
      </c>
      <c r="DPX3" s="29">
        <f>'REG y VAL POE - AESR - ESR'!T154</f>
        <v>0</v>
      </c>
      <c r="DPY3" s="29">
        <f>'REG y VAL POE - AESR - ESR'!U154</f>
        <v>0</v>
      </c>
      <c r="DPZ3" s="28">
        <f>'REG y VAL POE - AESR - ESR'!V154</f>
        <v>0</v>
      </c>
      <c r="DQA3" s="29">
        <f>'REG y VAL POE - AESR - ESR'!W154</f>
        <v>0</v>
      </c>
      <c r="DQB3" s="28">
        <f>'REG y VAL POE - AESR - ESR'!X154</f>
        <v>0</v>
      </c>
      <c r="DQC3" s="28">
        <f>'REG y VAL POE - AESR - ESR'!Y154</f>
        <v>0</v>
      </c>
      <c r="DQD3" s="29">
        <f>'REG y VAL POE - AESR - ESR'!Z154</f>
        <v>0</v>
      </c>
      <c r="DQE3" s="29">
        <f>'REG y VAL POE - AESR - ESR'!AA154</f>
        <v>0</v>
      </c>
      <c r="DQF3" s="29">
        <f>'REG y VAL POE - AESR - ESR'!AB154</f>
        <v>0</v>
      </c>
      <c r="DQG3" s="28">
        <f>'REG y VAL POE - AESR - ESR'!AC154</f>
        <v>0</v>
      </c>
      <c r="DQH3" s="29">
        <f>'REG y VAL POE - AESR - ESR'!AD154</f>
        <v>0</v>
      </c>
      <c r="DQI3" s="29">
        <f>'REG y VAL POE - AESR - ESR'!AE154</f>
        <v>0</v>
      </c>
      <c r="DQJ3" s="28">
        <f>'REG y VAL POE - AESR - ESR'!AF154</f>
        <v>0</v>
      </c>
      <c r="DQK3" s="29">
        <f>'REG y VAL POE - AESR - ESR'!AG154</f>
        <v>0</v>
      </c>
      <c r="DQL3" s="28">
        <f>'REG y VAL POE - AESR - ESR'!AH154</f>
        <v>0</v>
      </c>
      <c r="DQM3" s="28">
        <f>'REG y VAL POE - AESR - ESR'!AI154</f>
        <v>0</v>
      </c>
      <c r="DQN3" s="29">
        <f>'REG y VAL POE - AESR - ESR'!AJ154</f>
        <v>0</v>
      </c>
      <c r="DQO3" s="29">
        <f>'REG y VAL POE - AESR - ESR'!AK154</f>
        <v>0</v>
      </c>
      <c r="DQP3" s="29">
        <f>'REG y VAL POE - AESR - ESR'!AL154</f>
        <v>0</v>
      </c>
      <c r="DQQ3" s="28">
        <f>'REG y VAL POE - AESR - ESR'!AM154</f>
        <v>0</v>
      </c>
      <c r="DQR3" s="29">
        <f>'REG y VAL POE - AESR - ESR'!AN154</f>
        <v>0</v>
      </c>
      <c r="DQS3" s="29">
        <f>'REG y VAL POE - AESR - ESR'!AO154</f>
        <v>0</v>
      </c>
      <c r="DQT3" s="28">
        <f>'REG y VAL POE - AESR - ESR'!AP154</f>
        <v>0</v>
      </c>
      <c r="DQU3" s="29">
        <f>'REG y VAL POE - AESR - ESR'!AQ154</f>
        <v>0</v>
      </c>
      <c r="DQV3" s="28">
        <f>'REG y VAL POE - AESR - ESR'!AR154</f>
        <v>0</v>
      </c>
      <c r="DQW3" s="28">
        <f>'REG y VAL POE - AESR - ESR'!AS154</f>
        <v>0</v>
      </c>
      <c r="DQX3" s="27">
        <f>'REG y VAL POE - AESR - ESR'!B155</f>
        <v>0</v>
      </c>
      <c r="DQY3" s="29">
        <f>'REG y VAL POE - AESR - ESR'!C155</f>
        <v>0</v>
      </c>
      <c r="DQZ3" s="28">
        <f>'REG y VAL POE - AESR - ESR'!D155</f>
        <v>0</v>
      </c>
      <c r="DRA3" s="29">
        <f>'REG y VAL POE - AESR - ESR'!E155</f>
        <v>0</v>
      </c>
      <c r="DRB3" s="28">
        <f>'REG y VAL POE - AESR - ESR'!F155</f>
        <v>0</v>
      </c>
      <c r="DRC3" s="31">
        <f>'REG y VAL POE - AESR - ESR'!G155</f>
        <v>0</v>
      </c>
      <c r="DRD3" s="31">
        <f>'REG y VAL POE - AESR - ESR'!H155</f>
        <v>0</v>
      </c>
      <c r="DRE3" s="29">
        <f>'REG y VAL POE - AESR - ESR'!I155</f>
        <v>0</v>
      </c>
      <c r="DRF3" s="29">
        <f>'REG y VAL POE - AESR - ESR'!J155</f>
        <v>0</v>
      </c>
      <c r="DRG3" s="29">
        <f>'REG y VAL POE - AESR - ESR'!K155</f>
        <v>0</v>
      </c>
      <c r="DRH3" s="29">
        <f>'REG y VAL POE - AESR - ESR'!L155</f>
        <v>0</v>
      </c>
      <c r="DRI3" s="29">
        <f>'REG y VAL POE - AESR - ESR'!M155</f>
        <v>0</v>
      </c>
      <c r="DRJ3" s="29">
        <f>'REG y VAL POE - AESR - ESR'!N155</f>
        <v>0</v>
      </c>
      <c r="DRK3" s="29">
        <f>'REG y VAL POE - AESR - ESR'!O155</f>
        <v>0</v>
      </c>
      <c r="DRL3" s="29">
        <f>'REG y VAL POE - AESR - ESR'!P155</f>
        <v>0</v>
      </c>
      <c r="DRM3" s="29">
        <f>'REG y VAL POE - AESR - ESR'!Q155</f>
        <v>0</v>
      </c>
      <c r="DRN3" s="29">
        <f>'REG y VAL POE - AESR - ESR'!R155</f>
        <v>0</v>
      </c>
      <c r="DRO3" s="29">
        <f>'REG y VAL POE - AESR - ESR'!S155</f>
        <v>0</v>
      </c>
      <c r="DRP3" s="29">
        <f>'REG y VAL POE - AESR - ESR'!T155</f>
        <v>0</v>
      </c>
      <c r="DRQ3" s="29">
        <f>'REG y VAL POE - AESR - ESR'!U155</f>
        <v>0</v>
      </c>
      <c r="DRR3" s="29">
        <f>'REG y VAL POE - AESR - ESR'!V155</f>
        <v>0</v>
      </c>
      <c r="DRS3" s="29">
        <f>'REG y VAL POE - AESR - ESR'!W155</f>
        <v>0</v>
      </c>
      <c r="DRT3" s="29">
        <f>'REG y VAL POE - AESR - ESR'!X155</f>
        <v>0</v>
      </c>
      <c r="DRU3" s="29">
        <f>'REG y VAL POE - AESR - ESR'!Y155</f>
        <v>0</v>
      </c>
      <c r="DRV3" s="29">
        <f>'REG y VAL POE - AESR - ESR'!Z155</f>
        <v>0</v>
      </c>
      <c r="DRW3" s="29">
        <f>'REG y VAL POE - AESR - ESR'!AA155</f>
        <v>0</v>
      </c>
      <c r="DRX3" s="29">
        <f>'REG y VAL POE - AESR - ESR'!AB155</f>
        <v>0</v>
      </c>
      <c r="DRY3" s="29">
        <f>'REG y VAL POE - AESR - ESR'!AC155</f>
        <v>0</v>
      </c>
      <c r="DRZ3" s="29">
        <f>'REG y VAL POE - AESR - ESR'!AD155</f>
        <v>0</v>
      </c>
      <c r="DSA3" s="29">
        <f>'REG y VAL POE - AESR - ESR'!AE155</f>
        <v>0</v>
      </c>
      <c r="DSB3" s="29">
        <f>'REG y VAL POE - AESR - ESR'!AF155</f>
        <v>0</v>
      </c>
      <c r="DSC3" s="29">
        <f>'REG y VAL POE - AESR - ESR'!AG155</f>
        <v>0</v>
      </c>
      <c r="DSD3" s="29">
        <f>'REG y VAL POE - AESR - ESR'!AH155</f>
        <v>0</v>
      </c>
      <c r="DSE3" s="29">
        <f>'REG y VAL POE - AESR - ESR'!AI155</f>
        <v>0</v>
      </c>
      <c r="DSF3" s="29">
        <f>'REG y VAL POE - AESR - ESR'!AJ155</f>
        <v>0</v>
      </c>
      <c r="DSG3" s="29">
        <f>'REG y VAL POE - AESR - ESR'!AK155</f>
        <v>0</v>
      </c>
      <c r="DSH3" s="29">
        <f>'REG y VAL POE - AESR - ESR'!AL155</f>
        <v>0</v>
      </c>
      <c r="DSI3" s="29">
        <f>'REG y VAL POE - AESR - ESR'!AM155</f>
        <v>0</v>
      </c>
      <c r="DSJ3" s="29">
        <f>'REG y VAL POE - AESR - ESR'!AN155</f>
        <v>0</v>
      </c>
      <c r="DSK3" s="29">
        <f>'REG y VAL POE - AESR - ESR'!AO155</f>
        <v>0</v>
      </c>
      <c r="DSL3" s="29">
        <f>'REG y VAL POE - AESR - ESR'!AP155</f>
        <v>0</v>
      </c>
      <c r="DSM3" s="29">
        <f>'REG y VAL POE - AESR - ESR'!AQ155</f>
        <v>0</v>
      </c>
      <c r="DSN3" s="29">
        <f>'REG y VAL POE - AESR - ESR'!AR155</f>
        <v>0</v>
      </c>
      <c r="DSO3" s="29">
        <f>'REG y VAL POE - AESR - ESR'!AS155</f>
        <v>0</v>
      </c>
      <c r="DSP3" s="27">
        <f>'REG y VAL POE - AESR - ESR'!B156</f>
        <v>0</v>
      </c>
      <c r="DSQ3" s="28">
        <f>'REG y VAL POE - AESR - ESR'!C156</f>
        <v>0</v>
      </c>
      <c r="DSR3" s="29">
        <f>'REG y VAL POE - AESR - ESR'!D156</f>
        <v>0</v>
      </c>
      <c r="DSS3" s="29">
        <f>'REG y VAL POE - AESR - ESR'!E156</f>
        <v>0</v>
      </c>
      <c r="DST3" s="29">
        <f>'REG y VAL POE - AESR - ESR'!F156</f>
        <v>0</v>
      </c>
      <c r="DSU3" s="29">
        <f>'REG y VAL POE - AESR - ESR'!G156</f>
        <v>0</v>
      </c>
      <c r="DSV3" s="29">
        <f>'REG y VAL POE - AESR - ESR'!H156</f>
        <v>0</v>
      </c>
      <c r="DSW3" s="28">
        <f>'REG y VAL POE - AESR - ESR'!I156</f>
        <v>0</v>
      </c>
      <c r="DSX3" s="29">
        <f>'REG y VAL POE - AESR - ESR'!J156</f>
        <v>0</v>
      </c>
      <c r="DSY3" s="29">
        <f>'REG y VAL POE - AESR - ESR'!K156</f>
        <v>0</v>
      </c>
      <c r="DSZ3" s="28">
        <f>'REG y VAL POE - AESR - ESR'!L156</f>
        <v>0</v>
      </c>
      <c r="DTA3" s="29">
        <f>'REG y VAL POE - AESR - ESR'!M156</f>
        <v>0</v>
      </c>
      <c r="DTB3" s="28">
        <f>'REG y VAL POE - AESR - ESR'!N156</f>
        <v>0</v>
      </c>
      <c r="DTC3" s="28">
        <f>'REG y VAL POE - AESR - ESR'!O156</f>
        <v>0</v>
      </c>
      <c r="DTD3" s="29">
        <f>'REG y VAL POE - AESR - ESR'!P156</f>
        <v>0</v>
      </c>
      <c r="DTE3" s="29">
        <f>'REG y VAL POE - AESR - ESR'!Q156</f>
        <v>0</v>
      </c>
      <c r="DTF3" s="29">
        <f>'REG y VAL POE - AESR - ESR'!R156</f>
        <v>0</v>
      </c>
      <c r="DTG3" s="28">
        <f>'REG y VAL POE - AESR - ESR'!S156</f>
        <v>0</v>
      </c>
      <c r="DTH3" s="29">
        <f>'REG y VAL POE - AESR - ESR'!T156</f>
        <v>0</v>
      </c>
      <c r="DTI3" s="29">
        <f>'REG y VAL POE - AESR - ESR'!U156</f>
        <v>0</v>
      </c>
      <c r="DTJ3" s="28">
        <f>'REG y VAL POE - AESR - ESR'!V156</f>
        <v>0</v>
      </c>
      <c r="DTK3" s="29">
        <f>'REG y VAL POE - AESR - ESR'!W156</f>
        <v>0</v>
      </c>
      <c r="DTL3" s="28">
        <f>'REG y VAL POE - AESR - ESR'!X156</f>
        <v>0</v>
      </c>
      <c r="DTM3" s="28">
        <f>'REG y VAL POE - AESR - ESR'!Y156</f>
        <v>0</v>
      </c>
      <c r="DTN3" s="29">
        <f>'REG y VAL POE - AESR - ESR'!Z156</f>
        <v>0</v>
      </c>
      <c r="DTO3" s="29">
        <f>'REG y VAL POE - AESR - ESR'!AA156</f>
        <v>0</v>
      </c>
      <c r="DTP3" s="29">
        <f>'REG y VAL POE - AESR - ESR'!AB156</f>
        <v>0</v>
      </c>
      <c r="DTQ3" s="28">
        <f>'REG y VAL POE - AESR - ESR'!AC156</f>
        <v>0</v>
      </c>
      <c r="DTR3" s="29">
        <f>'REG y VAL POE - AESR - ESR'!AD156</f>
        <v>0</v>
      </c>
      <c r="DTS3" s="29">
        <f>'REG y VAL POE - AESR - ESR'!AE156</f>
        <v>0</v>
      </c>
      <c r="DTT3" s="28">
        <f>'REG y VAL POE - AESR - ESR'!AF156</f>
        <v>0</v>
      </c>
      <c r="DTU3" s="29">
        <f>'REG y VAL POE - AESR - ESR'!AG156</f>
        <v>0</v>
      </c>
      <c r="DTV3" s="28">
        <f>'REG y VAL POE - AESR - ESR'!AH156</f>
        <v>0</v>
      </c>
      <c r="DTW3" s="28">
        <f>'REG y VAL POE - AESR - ESR'!AI156</f>
        <v>0</v>
      </c>
      <c r="DTX3" s="29">
        <f>'REG y VAL POE - AESR - ESR'!AJ156</f>
        <v>0</v>
      </c>
      <c r="DTY3" s="29">
        <f>'REG y VAL POE - AESR - ESR'!AK156</f>
        <v>0</v>
      </c>
      <c r="DTZ3" s="29">
        <f>'REG y VAL POE - AESR - ESR'!AL156</f>
        <v>0</v>
      </c>
      <c r="DUA3" s="28">
        <f>'REG y VAL POE - AESR - ESR'!AM156</f>
        <v>0</v>
      </c>
      <c r="DUB3" s="29">
        <f>'REG y VAL POE - AESR - ESR'!AN156</f>
        <v>0</v>
      </c>
      <c r="DUC3" s="29">
        <f>'REG y VAL POE - AESR - ESR'!AO156</f>
        <v>0</v>
      </c>
      <c r="DUD3" s="28">
        <f>'REG y VAL POE - AESR - ESR'!AP156</f>
        <v>0</v>
      </c>
      <c r="DUE3" s="29">
        <f>'REG y VAL POE - AESR - ESR'!AQ156</f>
        <v>0</v>
      </c>
      <c r="DUF3" s="28">
        <f>'REG y VAL POE - AESR - ESR'!AR156</f>
        <v>0</v>
      </c>
      <c r="DUG3" s="28">
        <f>'REG y VAL POE - AESR - ESR'!AS156</f>
        <v>0</v>
      </c>
      <c r="DUH3" s="27">
        <f>'REG y VAL POE - AESR - ESR'!B157</f>
        <v>0</v>
      </c>
      <c r="DUI3" s="29">
        <f>'REG y VAL POE - AESR - ESR'!C157</f>
        <v>0</v>
      </c>
      <c r="DUJ3" s="28">
        <f>'REG y VAL POE - AESR - ESR'!D157</f>
        <v>0</v>
      </c>
      <c r="DUK3" s="29">
        <f>'REG y VAL POE - AESR - ESR'!E157</f>
        <v>0</v>
      </c>
      <c r="DUL3" s="28">
        <f>'REG y VAL POE - AESR - ESR'!F157</f>
        <v>0</v>
      </c>
      <c r="DUM3" s="31">
        <f>'REG y VAL POE - AESR - ESR'!G157</f>
        <v>0</v>
      </c>
      <c r="DUN3" s="31">
        <f>'REG y VAL POE - AESR - ESR'!H157</f>
        <v>0</v>
      </c>
      <c r="DUO3" s="29">
        <f>'REG y VAL POE - AESR - ESR'!I157</f>
        <v>0</v>
      </c>
      <c r="DUP3" s="29">
        <f>'REG y VAL POE - AESR - ESR'!J157</f>
        <v>0</v>
      </c>
      <c r="DUQ3" s="29">
        <f>'REG y VAL POE - AESR - ESR'!K157</f>
        <v>0</v>
      </c>
      <c r="DUR3" s="29">
        <f>'REG y VAL POE - AESR - ESR'!L157</f>
        <v>0</v>
      </c>
      <c r="DUS3" s="29">
        <f>'REG y VAL POE - AESR - ESR'!M157</f>
        <v>0</v>
      </c>
      <c r="DUT3" s="29">
        <f>'REG y VAL POE - AESR - ESR'!N157</f>
        <v>0</v>
      </c>
      <c r="DUU3" s="29">
        <f>'REG y VAL POE - AESR - ESR'!O157</f>
        <v>0</v>
      </c>
      <c r="DUV3" s="29">
        <f>'REG y VAL POE - AESR - ESR'!P157</f>
        <v>0</v>
      </c>
      <c r="DUW3" s="29">
        <f>'REG y VAL POE - AESR - ESR'!Q157</f>
        <v>0</v>
      </c>
      <c r="DUX3" s="29">
        <f>'REG y VAL POE - AESR - ESR'!R157</f>
        <v>0</v>
      </c>
      <c r="DUY3" s="29">
        <f>'REG y VAL POE - AESR - ESR'!S157</f>
        <v>0</v>
      </c>
      <c r="DUZ3" s="29">
        <f>'REG y VAL POE - AESR - ESR'!T157</f>
        <v>0</v>
      </c>
      <c r="DVA3" s="29">
        <f>'REG y VAL POE - AESR - ESR'!U157</f>
        <v>0</v>
      </c>
      <c r="DVB3" s="29">
        <f>'REG y VAL POE - AESR - ESR'!V157</f>
        <v>0</v>
      </c>
      <c r="DVC3" s="29">
        <f>'REG y VAL POE - AESR - ESR'!W157</f>
        <v>0</v>
      </c>
      <c r="DVD3" s="29">
        <f>'REG y VAL POE - AESR - ESR'!X157</f>
        <v>0</v>
      </c>
      <c r="DVE3" s="29">
        <f>'REG y VAL POE - AESR - ESR'!Y157</f>
        <v>0</v>
      </c>
      <c r="DVF3" s="29">
        <f>'REG y VAL POE - AESR - ESR'!Z157</f>
        <v>0</v>
      </c>
      <c r="DVG3" s="29">
        <f>'REG y VAL POE - AESR - ESR'!AA157</f>
        <v>0</v>
      </c>
      <c r="DVH3" s="29">
        <f>'REG y VAL POE - AESR - ESR'!AB157</f>
        <v>0</v>
      </c>
      <c r="DVI3" s="29">
        <f>'REG y VAL POE - AESR - ESR'!AC157</f>
        <v>0</v>
      </c>
      <c r="DVJ3" s="29">
        <f>'REG y VAL POE - AESR - ESR'!AD157</f>
        <v>0</v>
      </c>
      <c r="DVK3" s="29">
        <f>'REG y VAL POE - AESR - ESR'!AE157</f>
        <v>0</v>
      </c>
      <c r="DVL3" s="29">
        <f>'REG y VAL POE - AESR - ESR'!AF157</f>
        <v>0</v>
      </c>
      <c r="DVM3" s="29">
        <f>'REG y VAL POE - AESR - ESR'!AG157</f>
        <v>0</v>
      </c>
      <c r="DVN3" s="29">
        <f>'REG y VAL POE - AESR - ESR'!AH157</f>
        <v>0</v>
      </c>
      <c r="DVO3" s="29">
        <f>'REG y VAL POE - AESR - ESR'!AI157</f>
        <v>0</v>
      </c>
      <c r="DVP3" s="29">
        <f>'REG y VAL POE - AESR - ESR'!AJ157</f>
        <v>0</v>
      </c>
      <c r="DVQ3" s="29">
        <f>'REG y VAL POE - AESR - ESR'!AK157</f>
        <v>0</v>
      </c>
      <c r="DVR3" s="29">
        <f>'REG y VAL POE - AESR - ESR'!AL157</f>
        <v>0</v>
      </c>
      <c r="DVS3" s="29">
        <f>'REG y VAL POE - AESR - ESR'!AM157</f>
        <v>0</v>
      </c>
      <c r="DVT3" s="29">
        <f>'REG y VAL POE - AESR - ESR'!AN157</f>
        <v>0</v>
      </c>
      <c r="DVU3" s="29">
        <f>'REG y VAL POE - AESR - ESR'!AO157</f>
        <v>0</v>
      </c>
      <c r="DVV3" s="29">
        <f>'REG y VAL POE - AESR - ESR'!AP157</f>
        <v>0</v>
      </c>
      <c r="DVW3" s="29">
        <f>'REG y VAL POE - AESR - ESR'!AQ157</f>
        <v>0</v>
      </c>
      <c r="DVX3" s="29">
        <f>'REG y VAL POE - AESR - ESR'!AR157</f>
        <v>0</v>
      </c>
      <c r="DVY3" s="29">
        <f>'REG y VAL POE - AESR - ESR'!AS157</f>
        <v>0</v>
      </c>
      <c r="DVZ3" s="27">
        <f>'REG y VAL POE - AESR - ESR'!B158</f>
        <v>0</v>
      </c>
      <c r="DWA3" s="28">
        <f>'REG y VAL POE - AESR - ESR'!C158</f>
        <v>0</v>
      </c>
      <c r="DWB3" s="29">
        <f>'REG y VAL POE - AESR - ESR'!D158</f>
        <v>0</v>
      </c>
      <c r="DWC3" s="29">
        <f>'REG y VAL POE - AESR - ESR'!E158</f>
        <v>0</v>
      </c>
      <c r="DWD3" s="29">
        <f>'REG y VAL POE - AESR - ESR'!F158</f>
        <v>0</v>
      </c>
      <c r="DWE3" s="29">
        <f>'REG y VAL POE - AESR - ESR'!G158</f>
        <v>0</v>
      </c>
      <c r="DWF3" s="29">
        <f>'REG y VAL POE - AESR - ESR'!H158</f>
        <v>0</v>
      </c>
      <c r="DWG3" s="28">
        <f>'REG y VAL POE - AESR - ESR'!I158</f>
        <v>0</v>
      </c>
      <c r="DWH3" s="29">
        <f>'REG y VAL POE - AESR - ESR'!J158</f>
        <v>0</v>
      </c>
      <c r="DWI3" s="29">
        <f>'REG y VAL POE - AESR - ESR'!K158</f>
        <v>0</v>
      </c>
      <c r="DWJ3" s="28">
        <f>'REG y VAL POE - AESR - ESR'!L158</f>
        <v>0</v>
      </c>
      <c r="DWK3" s="29">
        <f>'REG y VAL POE - AESR - ESR'!M158</f>
        <v>0</v>
      </c>
      <c r="DWL3" s="28">
        <f>'REG y VAL POE - AESR - ESR'!N158</f>
        <v>0</v>
      </c>
      <c r="DWM3" s="28">
        <f>'REG y VAL POE - AESR - ESR'!O158</f>
        <v>0</v>
      </c>
      <c r="DWN3" s="29">
        <f>'REG y VAL POE - AESR - ESR'!P158</f>
        <v>0</v>
      </c>
      <c r="DWO3" s="29">
        <f>'REG y VAL POE - AESR - ESR'!Q158</f>
        <v>0</v>
      </c>
      <c r="DWP3" s="29">
        <f>'REG y VAL POE - AESR - ESR'!R158</f>
        <v>0</v>
      </c>
      <c r="DWQ3" s="28">
        <f>'REG y VAL POE - AESR - ESR'!S158</f>
        <v>0</v>
      </c>
      <c r="DWR3" s="29">
        <f>'REG y VAL POE - AESR - ESR'!T158</f>
        <v>0</v>
      </c>
      <c r="DWS3" s="29">
        <f>'REG y VAL POE - AESR - ESR'!U158</f>
        <v>0</v>
      </c>
      <c r="DWT3" s="28">
        <f>'REG y VAL POE - AESR - ESR'!V158</f>
        <v>0</v>
      </c>
      <c r="DWU3" s="29">
        <f>'REG y VAL POE - AESR - ESR'!W158</f>
        <v>0</v>
      </c>
      <c r="DWV3" s="28">
        <f>'REG y VAL POE - AESR - ESR'!X158</f>
        <v>0</v>
      </c>
      <c r="DWW3" s="28">
        <f>'REG y VAL POE - AESR - ESR'!Y158</f>
        <v>0</v>
      </c>
      <c r="DWX3" s="29">
        <f>'REG y VAL POE - AESR - ESR'!Z158</f>
        <v>0</v>
      </c>
      <c r="DWY3" s="29">
        <f>'REG y VAL POE - AESR - ESR'!AA158</f>
        <v>0</v>
      </c>
      <c r="DWZ3" s="29">
        <f>'REG y VAL POE - AESR - ESR'!AB158</f>
        <v>0</v>
      </c>
      <c r="DXA3" s="28">
        <f>'REG y VAL POE - AESR - ESR'!AC158</f>
        <v>0</v>
      </c>
      <c r="DXB3" s="29">
        <f>'REG y VAL POE - AESR - ESR'!AD158</f>
        <v>0</v>
      </c>
      <c r="DXC3" s="29">
        <f>'REG y VAL POE - AESR - ESR'!AE158</f>
        <v>0</v>
      </c>
      <c r="DXD3" s="28">
        <f>'REG y VAL POE - AESR - ESR'!AF158</f>
        <v>0</v>
      </c>
      <c r="DXE3" s="29">
        <f>'REG y VAL POE - AESR - ESR'!AG158</f>
        <v>0</v>
      </c>
      <c r="DXF3" s="28">
        <f>'REG y VAL POE - AESR - ESR'!AH158</f>
        <v>0</v>
      </c>
      <c r="DXG3" s="28">
        <f>'REG y VAL POE - AESR - ESR'!AI158</f>
        <v>0</v>
      </c>
      <c r="DXH3" s="29">
        <f>'REG y VAL POE - AESR - ESR'!AJ158</f>
        <v>0</v>
      </c>
      <c r="DXI3" s="29">
        <f>'REG y VAL POE - AESR - ESR'!AK158</f>
        <v>0</v>
      </c>
      <c r="DXJ3" s="29">
        <f>'REG y VAL POE - AESR - ESR'!AL158</f>
        <v>0</v>
      </c>
      <c r="DXK3" s="28">
        <f>'REG y VAL POE - AESR - ESR'!AM158</f>
        <v>0</v>
      </c>
      <c r="DXL3" s="29">
        <f>'REG y VAL POE - AESR - ESR'!AN158</f>
        <v>0</v>
      </c>
      <c r="DXM3" s="29">
        <f>'REG y VAL POE - AESR - ESR'!AO158</f>
        <v>0</v>
      </c>
      <c r="DXN3" s="28">
        <f>'REG y VAL POE - AESR - ESR'!AP158</f>
        <v>0</v>
      </c>
      <c r="DXO3" s="29">
        <f>'REG y VAL POE - AESR - ESR'!AQ158</f>
        <v>0</v>
      </c>
      <c r="DXP3" s="28">
        <f>'REG y VAL POE - AESR - ESR'!AR158</f>
        <v>0</v>
      </c>
      <c r="DXQ3" s="28">
        <f>'REG y VAL POE - AESR - ESR'!AS158</f>
        <v>0</v>
      </c>
      <c r="DXR3" s="27">
        <f>'REG y VAL POE - AESR - ESR'!B159</f>
        <v>0</v>
      </c>
      <c r="DXS3" s="29">
        <f>'REG y VAL POE - AESR - ESR'!C159</f>
        <v>0</v>
      </c>
      <c r="DXT3" s="28">
        <f>'REG y VAL POE - AESR - ESR'!D159</f>
        <v>0</v>
      </c>
      <c r="DXU3" s="29">
        <f>'REG y VAL POE - AESR - ESR'!E159</f>
        <v>0</v>
      </c>
      <c r="DXV3" s="28">
        <f>'REG y VAL POE - AESR - ESR'!F159</f>
        <v>0</v>
      </c>
      <c r="DXW3" s="31">
        <f>'REG y VAL POE - AESR - ESR'!G159</f>
        <v>0</v>
      </c>
      <c r="DXX3" s="31">
        <f>'REG y VAL POE - AESR - ESR'!H159</f>
        <v>0</v>
      </c>
      <c r="DXY3" s="29">
        <f>'REG y VAL POE - AESR - ESR'!I159</f>
        <v>0</v>
      </c>
      <c r="DXZ3" s="29">
        <f>'REG y VAL POE - AESR - ESR'!J159</f>
        <v>0</v>
      </c>
      <c r="DYA3" s="29">
        <f>'REG y VAL POE - AESR - ESR'!K159</f>
        <v>0</v>
      </c>
      <c r="DYB3" s="29">
        <f>'REG y VAL POE - AESR - ESR'!L159</f>
        <v>0</v>
      </c>
      <c r="DYC3" s="29">
        <f>'REG y VAL POE - AESR - ESR'!M159</f>
        <v>0</v>
      </c>
      <c r="DYD3" s="29">
        <f>'REG y VAL POE - AESR - ESR'!N159</f>
        <v>0</v>
      </c>
      <c r="DYE3" s="29">
        <f>'REG y VAL POE - AESR - ESR'!O159</f>
        <v>0</v>
      </c>
      <c r="DYF3" s="29">
        <f>'REG y VAL POE - AESR - ESR'!P159</f>
        <v>0</v>
      </c>
      <c r="DYG3" s="29">
        <f>'REG y VAL POE - AESR - ESR'!Q159</f>
        <v>0</v>
      </c>
      <c r="DYH3" s="29">
        <f>'REG y VAL POE - AESR - ESR'!R159</f>
        <v>0</v>
      </c>
      <c r="DYI3" s="29">
        <f>'REG y VAL POE - AESR - ESR'!S159</f>
        <v>0</v>
      </c>
      <c r="DYJ3" s="29">
        <f>'REG y VAL POE - AESR - ESR'!T159</f>
        <v>0</v>
      </c>
      <c r="DYK3" s="29">
        <f>'REG y VAL POE - AESR - ESR'!U159</f>
        <v>0</v>
      </c>
      <c r="DYL3" s="29">
        <f>'REG y VAL POE - AESR - ESR'!V159</f>
        <v>0</v>
      </c>
      <c r="DYM3" s="29">
        <f>'REG y VAL POE - AESR - ESR'!W159</f>
        <v>0</v>
      </c>
      <c r="DYN3" s="29">
        <f>'REG y VAL POE - AESR - ESR'!X159</f>
        <v>0</v>
      </c>
      <c r="DYO3" s="29">
        <f>'REG y VAL POE - AESR - ESR'!Y159</f>
        <v>0</v>
      </c>
      <c r="DYP3" s="29">
        <f>'REG y VAL POE - AESR - ESR'!Z159</f>
        <v>0</v>
      </c>
      <c r="DYQ3" s="29">
        <f>'REG y VAL POE - AESR - ESR'!AA159</f>
        <v>0</v>
      </c>
      <c r="DYR3" s="29">
        <f>'REG y VAL POE - AESR - ESR'!AB159</f>
        <v>0</v>
      </c>
      <c r="DYS3" s="29">
        <f>'REG y VAL POE - AESR - ESR'!AC159</f>
        <v>0</v>
      </c>
      <c r="DYT3" s="29">
        <f>'REG y VAL POE - AESR - ESR'!AD159</f>
        <v>0</v>
      </c>
      <c r="DYU3" s="29">
        <f>'REG y VAL POE - AESR - ESR'!AE159</f>
        <v>0</v>
      </c>
      <c r="DYV3" s="29">
        <f>'REG y VAL POE - AESR - ESR'!AF159</f>
        <v>0</v>
      </c>
      <c r="DYW3" s="29">
        <f>'REG y VAL POE - AESR - ESR'!AG159</f>
        <v>0</v>
      </c>
      <c r="DYX3" s="29">
        <f>'REG y VAL POE - AESR - ESR'!AH159</f>
        <v>0</v>
      </c>
      <c r="DYY3" s="29">
        <f>'REG y VAL POE - AESR - ESR'!AI159</f>
        <v>0</v>
      </c>
      <c r="DYZ3" s="29">
        <f>'REG y VAL POE - AESR - ESR'!AJ159</f>
        <v>0</v>
      </c>
      <c r="DZA3" s="29">
        <f>'REG y VAL POE - AESR - ESR'!AK159</f>
        <v>0</v>
      </c>
      <c r="DZB3" s="29">
        <f>'REG y VAL POE - AESR - ESR'!AL159</f>
        <v>0</v>
      </c>
      <c r="DZC3" s="29">
        <f>'REG y VAL POE - AESR - ESR'!AM159</f>
        <v>0</v>
      </c>
      <c r="DZD3" s="29">
        <f>'REG y VAL POE - AESR - ESR'!AN159</f>
        <v>0</v>
      </c>
      <c r="DZE3" s="29">
        <f>'REG y VAL POE - AESR - ESR'!AO159</f>
        <v>0</v>
      </c>
      <c r="DZF3" s="29">
        <f>'REG y VAL POE - AESR - ESR'!AP159</f>
        <v>0</v>
      </c>
      <c r="DZG3" s="29">
        <f>'REG y VAL POE - AESR - ESR'!AQ159</f>
        <v>0</v>
      </c>
      <c r="DZH3" s="29">
        <f>'REG y VAL POE - AESR - ESR'!AR159</f>
        <v>0</v>
      </c>
      <c r="DZI3" s="29">
        <f>'REG y VAL POE - AESR - ESR'!AS159</f>
        <v>0</v>
      </c>
      <c r="DZJ3" s="27">
        <f>'REG y VAL POE - AESR - ESR'!B160</f>
        <v>0</v>
      </c>
      <c r="DZK3" s="28">
        <f>'REG y VAL POE - AESR - ESR'!C160</f>
        <v>0</v>
      </c>
      <c r="DZL3" s="29">
        <f>'REG y VAL POE - AESR - ESR'!D160</f>
        <v>0</v>
      </c>
      <c r="DZM3" s="29">
        <f>'REG y VAL POE - AESR - ESR'!E160</f>
        <v>0</v>
      </c>
      <c r="DZN3" s="29">
        <f>'REG y VAL POE - AESR - ESR'!F160</f>
        <v>0</v>
      </c>
      <c r="DZO3" s="29">
        <f>'REG y VAL POE - AESR - ESR'!G160</f>
        <v>0</v>
      </c>
      <c r="DZP3" s="29">
        <f>'REG y VAL POE - AESR - ESR'!H160</f>
        <v>0</v>
      </c>
      <c r="DZQ3" s="28">
        <f>'REG y VAL POE - AESR - ESR'!I160</f>
        <v>0</v>
      </c>
      <c r="DZR3" s="29">
        <f>'REG y VAL POE - AESR - ESR'!J160</f>
        <v>0</v>
      </c>
      <c r="DZS3" s="29">
        <f>'REG y VAL POE - AESR - ESR'!K160</f>
        <v>0</v>
      </c>
      <c r="DZT3" s="28">
        <f>'REG y VAL POE - AESR - ESR'!L160</f>
        <v>0</v>
      </c>
      <c r="DZU3" s="29">
        <f>'REG y VAL POE - AESR - ESR'!M160</f>
        <v>0</v>
      </c>
      <c r="DZV3" s="28">
        <f>'REG y VAL POE - AESR - ESR'!N160</f>
        <v>0</v>
      </c>
      <c r="DZW3" s="28">
        <f>'REG y VAL POE - AESR - ESR'!O160</f>
        <v>0</v>
      </c>
      <c r="DZX3" s="29">
        <f>'REG y VAL POE - AESR - ESR'!P160</f>
        <v>0</v>
      </c>
      <c r="DZY3" s="29">
        <f>'REG y VAL POE - AESR - ESR'!Q160</f>
        <v>0</v>
      </c>
      <c r="DZZ3" s="29">
        <f>'REG y VAL POE - AESR - ESR'!R160</f>
        <v>0</v>
      </c>
      <c r="EAA3" s="28">
        <f>'REG y VAL POE - AESR - ESR'!S160</f>
        <v>0</v>
      </c>
      <c r="EAB3" s="29">
        <f>'REG y VAL POE - AESR - ESR'!T160</f>
        <v>0</v>
      </c>
      <c r="EAC3" s="29">
        <f>'REG y VAL POE - AESR - ESR'!U160</f>
        <v>0</v>
      </c>
      <c r="EAD3" s="28">
        <f>'REG y VAL POE - AESR - ESR'!V160</f>
        <v>0</v>
      </c>
      <c r="EAE3" s="29">
        <f>'REG y VAL POE - AESR - ESR'!W160</f>
        <v>0</v>
      </c>
      <c r="EAF3" s="28">
        <f>'REG y VAL POE - AESR - ESR'!X160</f>
        <v>0</v>
      </c>
      <c r="EAG3" s="28">
        <f>'REG y VAL POE - AESR - ESR'!Y160</f>
        <v>0</v>
      </c>
      <c r="EAH3" s="29">
        <f>'REG y VAL POE - AESR - ESR'!Z160</f>
        <v>0</v>
      </c>
      <c r="EAI3" s="29">
        <f>'REG y VAL POE - AESR - ESR'!AA160</f>
        <v>0</v>
      </c>
      <c r="EAJ3" s="29">
        <f>'REG y VAL POE - AESR - ESR'!AB160</f>
        <v>0</v>
      </c>
      <c r="EAK3" s="28">
        <f>'REG y VAL POE - AESR - ESR'!AC160</f>
        <v>0</v>
      </c>
      <c r="EAL3" s="29">
        <f>'REG y VAL POE - AESR - ESR'!AD160</f>
        <v>0</v>
      </c>
      <c r="EAM3" s="29">
        <f>'REG y VAL POE - AESR - ESR'!AE160</f>
        <v>0</v>
      </c>
      <c r="EAN3" s="28">
        <f>'REG y VAL POE - AESR - ESR'!AF160</f>
        <v>0</v>
      </c>
      <c r="EAO3" s="29">
        <f>'REG y VAL POE - AESR - ESR'!AG160</f>
        <v>0</v>
      </c>
      <c r="EAP3" s="28">
        <f>'REG y VAL POE - AESR - ESR'!AH160</f>
        <v>0</v>
      </c>
      <c r="EAQ3" s="28">
        <f>'REG y VAL POE - AESR - ESR'!AI160</f>
        <v>0</v>
      </c>
      <c r="EAR3" s="29">
        <f>'REG y VAL POE - AESR - ESR'!AJ160</f>
        <v>0</v>
      </c>
      <c r="EAS3" s="29">
        <f>'REG y VAL POE - AESR - ESR'!AK160</f>
        <v>0</v>
      </c>
      <c r="EAT3" s="29">
        <f>'REG y VAL POE - AESR - ESR'!AL160</f>
        <v>0</v>
      </c>
      <c r="EAU3" s="28">
        <f>'REG y VAL POE - AESR - ESR'!AM160</f>
        <v>0</v>
      </c>
      <c r="EAV3" s="29">
        <f>'REG y VAL POE - AESR - ESR'!AN160</f>
        <v>0</v>
      </c>
      <c r="EAW3" s="29">
        <f>'REG y VAL POE - AESR - ESR'!AO160</f>
        <v>0</v>
      </c>
      <c r="EAX3" s="28">
        <f>'REG y VAL POE - AESR - ESR'!AP160</f>
        <v>0</v>
      </c>
      <c r="EAY3" s="29">
        <f>'REG y VAL POE - AESR - ESR'!AQ160</f>
        <v>0</v>
      </c>
      <c r="EAZ3" s="28">
        <f>'REG y VAL POE - AESR - ESR'!AR160</f>
        <v>0</v>
      </c>
      <c r="EBA3" s="28">
        <f>'REG y VAL POE - AESR - ESR'!AS160</f>
        <v>0</v>
      </c>
      <c r="EBB3" s="27">
        <f>'REG y VAL POE - AESR - ESR'!B161</f>
        <v>0</v>
      </c>
      <c r="EBC3" s="29">
        <f>'REG y VAL POE - AESR - ESR'!C161</f>
        <v>0</v>
      </c>
      <c r="EBD3" s="28">
        <f>'REG y VAL POE - AESR - ESR'!D161</f>
        <v>0</v>
      </c>
      <c r="EBE3" s="29">
        <f>'REG y VAL POE - AESR - ESR'!E161</f>
        <v>0</v>
      </c>
      <c r="EBF3" s="28">
        <f>'REG y VAL POE - AESR - ESR'!F161</f>
        <v>0</v>
      </c>
      <c r="EBG3" s="31">
        <f>'REG y VAL POE - AESR - ESR'!G161</f>
        <v>0</v>
      </c>
      <c r="EBH3" s="31">
        <f>'REG y VAL POE - AESR - ESR'!H161</f>
        <v>0</v>
      </c>
      <c r="EBI3" s="29">
        <f>'REG y VAL POE - AESR - ESR'!I161</f>
        <v>0</v>
      </c>
      <c r="EBJ3" s="29">
        <f>'REG y VAL POE - AESR - ESR'!J161</f>
        <v>0</v>
      </c>
      <c r="EBK3" s="29">
        <f>'REG y VAL POE - AESR - ESR'!K161</f>
        <v>0</v>
      </c>
      <c r="EBL3" s="29">
        <f>'REG y VAL POE - AESR - ESR'!L161</f>
        <v>0</v>
      </c>
      <c r="EBM3" s="29">
        <f>'REG y VAL POE - AESR - ESR'!M161</f>
        <v>0</v>
      </c>
      <c r="EBN3" s="29">
        <f>'REG y VAL POE - AESR - ESR'!N161</f>
        <v>0</v>
      </c>
      <c r="EBO3" s="29">
        <f>'REG y VAL POE - AESR - ESR'!O161</f>
        <v>0</v>
      </c>
      <c r="EBP3" s="29">
        <f>'REG y VAL POE - AESR - ESR'!P161</f>
        <v>0</v>
      </c>
      <c r="EBQ3" s="29">
        <f>'REG y VAL POE - AESR - ESR'!Q161</f>
        <v>0</v>
      </c>
      <c r="EBR3" s="29">
        <f>'REG y VAL POE - AESR - ESR'!R161</f>
        <v>0</v>
      </c>
      <c r="EBS3" s="29">
        <f>'REG y VAL POE - AESR - ESR'!S161</f>
        <v>0</v>
      </c>
      <c r="EBT3" s="29">
        <f>'REG y VAL POE - AESR - ESR'!T161</f>
        <v>0</v>
      </c>
      <c r="EBU3" s="29">
        <f>'REG y VAL POE - AESR - ESR'!U161</f>
        <v>0</v>
      </c>
      <c r="EBV3" s="29">
        <f>'REG y VAL POE - AESR - ESR'!V161</f>
        <v>0</v>
      </c>
      <c r="EBW3" s="29">
        <f>'REG y VAL POE - AESR - ESR'!W161</f>
        <v>0</v>
      </c>
      <c r="EBX3" s="29">
        <f>'REG y VAL POE - AESR - ESR'!X161</f>
        <v>0</v>
      </c>
      <c r="EBY3" s="29">
        <f>'REG y VAL POE - AESR - ESR'!Y161</f>
        <v>0</v>
      </c>
      <c r="EBZ3" s="29">
        <f>'REG y VAL POE - AESR - ESR'!Z161</f>
        <v>0</v>
      </c>
      <c r="ECA3" s="29">
        <f>'REG y VAL POE - AESR - ESR'!AA161</f>
        <v>0</v>
      </c>
      <c r="ECB3" s="29">
        <f>'REG y VAL POE - AESR - ESR'!AB161</f>
        <v>0</v>
      </c>
      <c r="ECC3" s="29">
        <f>'REG y VAL POE - AESR - ESR'!AC161</f>
        <v>0</v>
      </c>
      <c r="ECD3" s="29">
        <f>'REG y VAL POE - AESR - ESR'!AD161</f>
        <v>0</v>
      </c>
      <c r="ECE3" s="29">
        <f>'REG y VAL POE - AESR - ESR'!AE161</f>
        <v>0</v>
      </c>
      <c r="ECF3" s="29">
        <f>'REG y VAL POE - AESR - ESR'!AF161</f>
        <v>0</v>
      </c>
      <c r="ECG3" s="29">
        <f>'REG y VAL POE - AESR - ESR'!AG161</f>
        <v>0</v>
      </c>
      <c r="ECH3" s="29">
        <f>'REG y VAL POE - AESR - ESR'!AH161</f>
        <v>0</v>
      </c>
      <c r="ECI3" s="29">
        <f>'REG y VAL POE - AESR - ESR'!AI161</f>
        <v>0</v>
      </c>
      <c r="ECJ3" s="29">
        <f>'REG y VAL POE - AESR - ESR'!AJ161</f>
        <v>0</v>
      </c>
      <c r="ECK3" s="29">
        <f>'REG y VAL POE - AESR - ESR'!AK161</f>
        <v>0</v>
      </c>
      <c r="ECL3" s="29">
        <f>'REG y VAL POE - AESR - ESR'!AL161</f>
        <v>0</v>
      </c>
      <c r="ECM3" s="29">
        <f>'REG y VAL POE - AESR - ESR'!AM161</f>
        <v>0</v>
      </c>
      <c r="ECN3" s="29">
        <f>'REG y VAL POE - AESR - ESR'!AN161</f>
        <v>0</v>
      </c>
      <c r="ECO3" s="29">
        <f>'REG y VAL POE - AESR - ESR'!AO161</f>
        <v>0</v>
      </c>
      <c r="ECP3" s="29">
        <f>'REG y VAL POE - AESR - ESR'!AP161</f>
        <v>0</v>
      </c>
      <c r="ECQ3" s="29">
        <f>'REG y VAL POE - AESR - ESR'!AQ161</f>
        <v>0</v>
      </c>
      <c r="ECR3" s="29">
        <f>'REG y VAL POE - AESR - ESR'!AR161</f>
        <v>0</v>
      </c>
      <c r="ECS3" s="29">
        <f>'REG y VAL POE - AESR - ESR'!AS161</f>
        <v>0</v>
      </c>
      <c r="ECT3" s="27">
        <f>'REG y VAL POE - AESR - ESR'!B162</f>
        <v>0</v>
      </c>
      <c r="ECU3" s="28">
        <f>'REG y VAL POE - AESR - ESR'!C162</f>
        <v>0</v>
      </c>
      <c r="ECV3" s="29">
        <f>'REG y VAL POE - AESR - ESR'!D162</f>
        <v>0</v>
      </c>
      <c r="ECW3" s="29">
        <f>'REG y VAL POE - AESR - ESR'!E162</f>
        <v>0</v>
      </c>
      <c r="ECX3" s="29">
        <f>'REG y VAL POE - AESR - ESR'!F162</f>
        <v>0</v>
      </c>
      <c r="ECY3" s="29">
        <f>'REG y VAL POE - AESR - ESR'!G162</f>
        <v>0</v>
      </c>
      <c r="ECZ3" s="29">
        <f>'REG y VAL POE - AESR - ESR'!H162</f>
        <v>0</v>
      </c>
      <c r="EDA3" s="28">
        <f>'REG y VAL POE - AESR - ESR'!I162</f>
        <v>0</v>
      </c>
      <c r="EDB3" s="29">
        <f>'REG y VAL POE - AESR - ESR'!J162</f>
        <v>0</v>
      </c>
      <c r="EDC3" s="29">
        <f>'REG y VAL POE - AESR - ESR'!K162</f>
        <v>0</v>
      </c>
      <c r="EDD3" s="28">
        <f>'REG y VAL POE - AESR - ESR'!L162</f>
        <v>0</v>
      </c>
      <c r="EDE3" s="29">
        <f>'REG y VAL POE - AESR - ESR'!M162</f>
        <v>0</v>
      </c>
      <c r="EDF3" s="28">
        <f>'REG y VAL POE - AESR - ESR'!N162</f>
        <v>0</v>
      </c>
      <c r="EDG3" s="28">
        <f>'REG y VAL POE - AESR - ESR'!O162</f>
        <v>0</v>
      </c>
      <c r="EDH3" s="29">
        <f>'REG y VAL POE - AESR - ESR'!P162</f>
        <v>0</v>
      </c>
      <c r="EDI3" s="29">
        <f>'REG y VAL POE - AESR - ESR'!Q162</f>
        <v>0</v>
      </c>
      <c r="EDJ3" s="29">
        <f>'REG y VAL POE - AESR - ESR'!R162</f>
        <v>0</v>
      </c>
      <c r="EDK3" s="28">
        <f>'REG y VAL POE - AESR - ESR'!S162</f>
        <v>0</v>
      </c>
      <c r="EDL3" s="29">
        <f>'REG y VAL POE - AESR - ESR'!T162</f>
        <v>0</v>
      </c>
      <c r="EDM3" s="29">
        <f>'REG y VAL POE - AESR - ESR'!U162</f>
        <v>0</v>
      </c>
      <c r="EDN3" s="28">
        <f>'REG y VAL POE - AESR - ESR'!V162</f>
        <v>0</v>
      </c>
      <c r="EDO3" s="29">
        <f>'REG y VAL POE - AESR - ESR'!W162</f>
        <v>0</v>
      </c>
      <c r="EDP3" s="28">
        <f>'REG y VAL POE - AESR - ESR'!X162</f>
        <v>0</v>
      </c>
      <c r="EDQ3" s="28">
        <f>'REG y VAL POE - AESR - ESR'!Y162</f>
        <v>0</v>
      </c>
      <c r="EDR3" s="29">
        <f>'REG y VAL POE - AESR - ESR'!Z162</f>
        <v>0</v>
      </c>
      <c r="EDS3" s="29">
        <f>'REG y VAL POE - AESR - ESR'!AA162</f>
        <v>0</v>
      </c>
      <c r="EDT3" s="29">
        <f>'REG y VAL POE - AESR - ESR'!AB162</f>
        <v>0</v>
      </c>
      <c r="EDU3" s="28">
        <f>'REG y VAL POE - AESR - ESR'!AC162</f>
        <v>0</v>
      </c>
      <c r="EDV3" s="29">
        <f>'REG y VAL POE - AESR - ESR'!AD162</f>
        <v>0</v>
      </c>
      <c r="EDW3" s="29">
        <f>'REG y VAL POE - AESR - ESR'!AE162</f>
        <v>0</v>
      </c>
      <c r="EDX3" s="28">
        <f>'REG y VAL POE - AESR - ESR'!AF162</f>
        <v>0</v>
      </c>
      <c r="EDY3" s="29">
        <f>'REG y VAL POE - AESR - ESR'!AG162</f>
        <v>0</v>
      </c>
      <c r="EDZ3" s="28">
        <f>'REG y VAL POE - AESR - ESR'!AH162</f>
        <v>0</v>
      </c>
      <c r="EEA3" s="28">
        <f>'REG y VAL POE - AESR - ESR'!AI162</f>
        <v>0</v>
      </c>
      <c r="EEB3" s="29">
        <f>'REG y VAL POE - AESR - ESR'!AJ162</f>
        <v>0</v>
      </c>
      <c r="EEC3" s="29">
        <f>'REG y VAL POE - AESR - ESR'!AK162</f>
        <v>0</v>
      </c>
      <c r="EED3" s="29">
        <f>'REG y VAL POE - AESR - ESR'!AL162</f>
        <v>0</v>
      </c>
      <c r="EEE3" s="28">
        <f>'REG y VAL POE - AESR - ESR'!AM162</f>
        <v>0</v>
      </c>
      <c r="EEF3" s="29">
        <f>'REG y VAL POE - AESR - ESR'!AN162</f>
        <v>0</v>
      </c>
      <c r="EEG3" s="29">
        <f>'REG y VAL POE - AESR - ESR'!AO162</f>
        <v>0</v>
      </c>
      <c r="EEH3" s="28">
        <f>'REG y VAL POE - AESR - ESR'!AP162</f>
        <v>0</v>
      </c>
      <c r="EEI3" s="29">
        <f>'REG y VAL POE - AESR - ESR'!AQ162</f>
        <v>0</v>
      </c>
      <c r="EEJ3" s="28">
        <f>'REG y VAL POE - AESR - ESR'!AR162</f>
        <v>0</v>
      </c>
      <c r="EEK3" s="28">
        <f>'REG y VAL POE - AESR - ESR'!AS162</f>
        <v>0</v>
      </c>
      <c r="EEL3" s="30"/>
      <c r="EEM3" s="29"/>
      <c r="EEN3" s="28"/>
      <c r="EEO3" s="29"/>
      <c r="EEP3" s="28"/>
      <c r="EEQ3" s="31"/>
      <c r="EER3" s="31"/>
      <c r="EES3" s="29"/>
      <c r="EET3" s="385"/>
      <c r="EEU3" s="29"/>
      <c r="EEV3" s="385"/>
      <c r="EEW3" s="29"/>
      <c r="EEX3" s="385"/>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30"/>
      <c r="EGE3" s="28"/>
      <c r="EGF3" s="29"/>
      <c r="EGG3" s="29"/>
      <c r="EGH3" s="29"/>
      <c r="EGI3" s="29"/>
      <c r="EGJ3" s="29"/>
      <c r="EGK3" s="28"/>
      <c r="EGL3" s="29"/>
      <c r="EGM3" s="29"/>
      <c r="EGN3" s="28"/>
      <c r="EGO3" s="29"/>
      <c r="EGP3" s="30"/>
      <c r="EGQ3" s="28"/>
      <c r="EGR3" s="29"/>
      <c r="EGS3" s="29"/>
      <c r="EGT3" s="29"/>
      <c r="EGU3" s="28"/>
      <c r="EGV3" s="29"/>
      <c r="EGW3" s="29"/>
      <c r="EGX3" s="28"/>
      <c r="EGY3" s="29"/>
      <c r="EGZ3" s="30"/>
      <c r="EHA3" s="28"/>
      <c r="EHB3" s="29"/>
      <c r="EHC3" s="29"/>
      <c r="EHD3" s="29"/>
      <c r="EHE3" s="28"/>
      <c r="EHF3" s="29"/>
      <c r="EHG3" s="29"/>
      <c r="EHH3" s="28"/>
      <c r="EHI3" s="29"/>
      <c r="EHJ3" s="30"/>
      <c r="EHK3" s="28"/>
      <c r="EHL3" s="29"/>
      <c r="EHM3" s="29"/>
      <c r="EHN3" s="29"/>
      <c r="EHO3" s="28"/>
      <c r="EHP3" s="29"/>
      <c r="EHQ3" s="29"/>
      <c r="EHR3" s="28"/>
      <c r="EHS3" s="29"/>
      <c r="EHT3" s="30"/>
      <c r="EHU3" s="28"/>
      <c r="EHV3" s="30"/>
      <c r="EHW3" s="29"/>
      <c r="EHX3" s="28"/>
      <c r="EHY3" s="29"/>
      <c r="EHZ3" s="28"/>
      <c r="EIA3" s="31"/>
      <c r="EIB3" s="31"/>
      <c r="EIC3" s="29"/>
      <c r="EID3" s="385"/>
      <c r="EIE3" s="29"/>
      <c r="EIF3" s="385"/>
      <c r="EIG3" s="29"/>
      <c r="EIH3" s="385"/>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30"/>
      <c r="EJO3" s="28"/>
      <c r="EJP3" s="29"/>
      <c r="EJQ3" s="29"/>
      <c r="EJR3" s="29"/>
      <c r="EJS3" s="29"/>
      <c r="EJT3" s="29"/>
      <c r="EJU3" s="28"/>
      <c r="EJV3" s="29"/>
      <c r="EJW3" s="29"/>
      <c r="EJX3" s="28"/>
      <c r="EJY3" s="29"/>
      <c r="EJZ3" s="30"/>
      <c r="EKA3" s="28"/>
      <c r="EKB3" s="29"/>
      <c r="EKC3" s="29"/>
      <c r="EKD3" s="29"/>
      <c r="EKE3" s="28"/>
      <c r="EKF3" s="29"/>
      <c r="EKG3" s="29"/>
      <c r="EKH3" s="28"/>
      <c r="EKI3" s="29"/>
      <c r="EKJ3" s="30"/>
      <c r="EKK3" s="28"/>
      <c r="EKL3" s="29"/>
      <c r="EKM3" s="29"/>
      <c r="EKN3" s="29"/>
      <c r="EKO3" s="28"/>
      <c r="EKP3" s="29"/>
      <c r="EKQ3" s="29"/>
      <c r="EKR3" s="28"/>
      <c r="EKS3" s="29"/>
      <c r="EKT3" s="30"/>
      <c r="EKU3" s="28"/>
      <c r="EKV3" s="29"/>
      <c r="EKW3" s="29"/>
      <c r="EKX3" s="29"/>
      <c r="EKY3" s="28"/>
      <c r="EKZ3" s="29"/>
      <c r="ELA3" s="29"/>
      <c r="ELB3" s="28"/>
      <c r="ELC3" s="29"/>
      <c r="ELD3" s="30"/>
      <c r="ELE3" s="28"/>
      <c r="ELF3" s="30"/>
      <c r="ELG3" s="29"/>
      <c r="ELH3" s="28"/>
      <c r="ELI3" s="29"/>
      <c r="ELJ3" s="28"/>
      <c r="ELK3" s="31"/>
      <c r="ELL3" s="31"/>
      <c r="ELM3" s="29"/>
      <c r="ELN3" s="385"/>
      <c r="ELO3" s="29"/>
      <c r="ELP3" s="385"/>
      <c r="ELQ3" s="29"/>
      <c r="ELR3" s="385"/>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30"/>
      <c r="EMY3" s="28"/>
      <c r="EMZ3" s="29"/>
      <c r="ENA3" s="29"/>
      <c r="ENB3" s="29"/>
      <c r="ENC3" s="29"/>
      <c r="END3" s="29"/>
      <c r="ENE3" s="28"/>
      <c r="ENF3" s="29"/>
      <c r="ENG3" s="29"/>
      <c r="ENH3" s="28"/>
      <c r="ENI3" s="29"/>
      <c r="ENJ3" s="30"/>
      <c r="ENK3" s="28"/>
      <c r="ENL3" s="29"/>
      <c r="ENM3" s="29"/>
      <c r="ENN3" s="29"/>
      <c r="ENO3" s="28"/>
      <c r="ENP3" s="29"/>
      <c r="ENQ3" s="29"/>
      <c r="ENR3" s="28"/>
      <c r="ENS3" s="29"/>
      <c r="ENT3" s="30"/>
      <c r="ENU3" s="28"/>
      <c r="ENV3" s="29"/>
      <c r="ENW3" s="29"/>
      <c r="ENX3" s="29"/>
      <c r="ENY3" s="28"/>
      <c r="ENZ3" s="29"/>
      <c r="EOA3" s="29"/>
      <c r="EOB3" s="28"/>
      <c r="EOC3" s="29"/>
      <c r="EOD3" s="30"/>
      <c r="EOE3" s="28"/>
      <c r="EOF3" s="29"/>
      <c r="EOG3" s="29"/>
      <c r="EOH3" s="29"/>
      <c r="EOI3" s="28"/>
      <c r="EOJ3" s="29"/>
      <c r="EOK3" s="29"/>
      <c r="EOL3" s="28"/>
      <c r="EOM3" s="29"/>
      <c r="EON3" s="30"/>
      <c r="EOO3" s="28" t="str">
        <f t="shared" ref="EOO3:EOO47" si="149">IFERROR(VLOOKUP(EON3,BASEPOE1,2,FALSE)," ")</f>
        <v xml:space="preserve"> </v>
      </c>
      <c r="EOP3" s="30"/>
      <c r="EOQ3" s="29"/>
      <c r="EOR3" s="28"/>
      <c r="EOS3" s="29"/>
      <c r="EOT3" s="28"/>
      <c r="EOU3" s="31"/>
      <c r="EOV3" s="31"/>
      <c r="EOW3" s="29"/>
      <c r="EOX3" s="385"/>
      <c r="EOY3" s="29"/>
      <c r="EOZ3" s="385"/>
      <c r="EPA3" s="29"/>
      <c r="EPB3" s="385"/>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30"/>
      <c r="EQI3" s="28"/>
      <c r="EQJ3" s="29"/>
      <c r="EQK3" s="29"/>
      <c r="EQL3" s="29"/>
      <c r="EQM3" s="29"/>
      <c r="EQN3" s="29"/>
      <c r="EQO3" s="28"/>
      <c r="EQP3" s="29"/>
      <c r="EQQ3" s="29"/>
      <c r="EQR3" s="28"/>
      <c r="EQS3" s="29"/>
      <c r="EQT3" s="30"/>
      <c r="EQU3" s="28"/>
      <c r="EQV3" s="29"/>
      <c r="EQW3" s="29"/>
      <c r="EQX3" s="29"/>
      <c r="EQY3" s="28"/>
      <c r="EQZ3" s="29"/>
      <c r="ERA3" s="29"/>
      <c r="ERB3" s="28"/>
      <c r="ERC3" s="29"/>
      <c r="ERD3" s="30"/>
      <c r="ERE3" s="28"/>
      <c r="ERF3" s="29"/>
      <c r="ERG3" s="29"/>
      <c r="ERH3" s="29"/>
      <c r="ERI3" s="28"/>
      <c r="ERJ3" s="29"/>
      <c r="ERK3" s="29"/>
      <c r="ERL3" s="28"/>
      <c r="ERM3" s="29"/>
      <c r="ERN3" s="30"/>
      <c r="ERO3" s="28"/>
      <c r="ERP3" s="29"/>
      <c r="ERQ3" s="29"/>
      <c r="ERR3" s="29"/>
      <c r="ERS3" s="28"/>
      <c r="ERT3" s="29"/>
      <c r="ERU3" s="29"/>
      <c r="ERV3" s="28"/>
      <c r="ERW3" s="29"/>
      <c r="ERX3" s="30"/>
      <c r="ERY3" s="28" t="str">
        <f t="shared" ref="ERY3:ERY22" si="150">IFERROR(VLOOKUP(ERX3,BASEPOE1,2,FALSE)," ")</f>
        <v xml:space="preserve"> </v>
      </c>
      <c r="ERZ3" s="30"/>
      <c r="ESA3" s="29"/>
      <c r="ESB3" s="28"/>
      <c r="ESC3" s="29"/>
      <c r="ESD3" s="28"/>
      <c r="ESE3" s="31"/>
      <c r="ESF3" s="31"/>
      <c r="ESG3" s="29"/>
      <c r="ESH3" s="385"/>
      <c r="ESI3" s="29"/>
      <c r="ESJ3" s="385"/>
      <c r="ESK3" s="29"/>
      <c r="ESL3" s="385"/>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30"/>
      <c r="ETS3" s="28"/>
      <c r="ETT3" s="29"/>
      <c r="ETU3" s="29"/>
      <c r="ETV3" s="29"/>
      <c r="ETW3" s="29"/>
      <c r="ETX3" s="29"/>
      <c r="ETY3" s="28"/>
      <c r="ETZ3" s="29"/>
      <c r="EUA3" s="29"/>
      <c r="EUB3" s="28"/>
      <c r="EUC3" s="29"/>
      <c r="EUD3" s="30"/>
      <c r="EUE3" s="28"/>
      <c r="EUF3" s="29"/>
      <c r="EUG3" s="29"/>
      <c r="EUH3" s="29"/>
      <c r="EUI3" s="28"/>
      <c r="EUJ3" s="29"/>
      <c r="EUK3" s="29"/>
      <c r="EUL3" s="28"/>
      <c r="EUM3" s="29"/>
      <c r="EUN3" s="30"/>
      <c r="EUO3" s="28"/>
      <c r="EUP3" s="29"/>
      <c r="EUQ3" s="29"/>
      <c r="EUR3" s="29"/>
      <c r="EUS3" s="28"/>
      <c r="EUT3" s="29"/>
      <c r="EUU3" s="29"/>
      <c r="EUV3" s="28"/>
      <c r="EUW3" s="29"/>
      <c r="EUX3" s="30"/>
      <c r="EUY3" s="28"/>
      <c r="EUZ3" s="29"/>
      <c r="EVA3" s="29"/>
      <c r="EVB3" s="29"/>
      <c r="EVC3" s="28"/>
      <c r="EVD3" s="29"/>
      <c r="EVE3" s="29"/>
      <c r="EVF3" s="28"/>
      <c r="EVG3" s="29"/>
      <c r="EVH3" s="30"/>
      <c r="EVI3" s="28" t="str">
        <f t="shared" ref="EVI3:EVI22" si="151">IFERROR(VLOOKUP(EVH3,BASEPOE1,2,FALSE)," ")</f>
        <v xml:space="preserve"> </v>
      </c>
    </row>
    <row r="4" spans="1:3961" x14ac:dyDescent="0.3">
      <c r="A4" s="424" t="s">
        <v>118</v>
      </c>
      <c r="B4" s="58" t="str">
        <f>'REG y VAL POE - AESR - ESR'!B2</f>
        <v xml:space="preserve">Avena Lima Miguel Angel </v>
      </c>
      <c r="C4" s="57" t="str">
        <f>'REG y VAL POE - AESR - ESR'!C2</f>
        <v>Sin Registro</v>
      </c>
      <c r="D4" s="56">
        <f>'REG y VAL POE - AESR - ESR'!D2</f>
        <v>23058853</v>
      </c>
      <c r="E4" s="57">
        <f>'REG y VAL POE - AESR - ESR'!E2</f>
        <v>0</v>
      </c>
      <c r="F4" s="56">
        <f>'REG y VAL POE - AESR - ESR'!F2</f>
        <v>0</v>
      </c>
      <c r="G4" s="59">
        <f>'REG y VAL POE - AESR - ESR'!G2</f>
        <v>0</v>
      </c>
      <c r="H4" s="59">
        <f>'REG y VAL POE - AESR - ESR'!H2</f>
        <v>365</v>
      </c>
      <c r="I4" s="57">
        <f>'REG y VAL POE - AESR - ESR'!I2</f>
        <v>0</v>
      </c>
      <c r="J4" s="57">
        <f>'REG y VAL POE - AESR - ESR'!J2</f>
        <v>0</v>
      </c>
      <c r="K4" s="57">
        <f>'REG y VAL POE - AESR - ESR'!K2</f>
        <v>0</v>
      </c>
      <c r="L4" s="57">
        <f>'REG y VAL POE - AESR - ESR'!L2</f>
        <v>0</v>
      </c>
      <c r="M4" s="57">
        <f>'REG y VAL POE - AESR - ESR'!M2</f>
        <v>0</v>
      </c>
      <c r="N4" s="57">
        <f>'REG y VAL POE - AESR - ESR'!N2</f>
        <v>0</v>
      </c>
      <c r="O4" s="57">
        <f>'REG y VAL POE - AESR - ESR'!O2</f>
        <v>0</v>
      </c>
      <c r="P4" s="57">
        <f>'REG y VAL POE - AESR - ESR'!P2</f>
        <v>0</v>
      </c>
      <c r="Q4" s="57">
        <f>'REG y VAL POE - AESR - ESR'!Q2</f>
        <v>0</v>
      </c>
      <c r="R4" s="57">
        <f>'REG y VAL POE - AESR - ESR'!R2</f>
        <v>0</v>
      </c>
      <c r="S4" s="57">
        <f>'REG y VAL POE - AESR - ESR'!S2</f>
        <v>0</v>
      </c>
      <c r="T4" s="57">
        <f>'REG y VAL POE - AESR - ESR'!T2</f>
        <v>0</v>
      </c>
      <c r="U4" s="57">
        <f>'REG y VAL POE - AESR - ESR'!U2</f>
        <v>0</v>
      </c>
      <c r="V4" s="57">
        <f>'REG y VAL POE - AESR - ESR'!V2</f>
        <v>0</v>
      </c>
      <c r="W4" s="57">
        <f>'REG y VAL POE - AESR - ESR'!W2</f>
        <v>0</v>
      </c>
      <c r="X4" s="57">
        <f>'REG y VAL POE - AESR - ESR'!X2</f>
        <v>0</v>
      </c>
      <c r="Y4" s="57">
        <f>'REG y VAL POE - AESR - ESR'!Y2</f>
        <v>0</v>
      </c>
      <c r="Z4" s="57">
        <f>'REG y VAL POE - AESR - ESR'!Z2</f>
        <v>0</v>
      </c>
      <c r="AA4" s="57">
        <f>'REG y VAL POE - AESR - ESR'!AA2</f>
        <v>0</v>
      </c>
      <c r="AB4" s="57">
        <f>'REG y VAL POE - AESR - ESR'!AB2</f>
        <v>0</v>
      </c>
      <c r="AC4" s="57">
        <f>'REG y VAL POE - AESR - ESR'!AC2</f>
        <v>0</v>
      </c>
      <c r="AD4" s="57">
        <f>'REG y VAL POE - AESR - ESR'!AD2</f>
        <v>0</v>
      </c>
      <c r="AE4" s="57">
        <f>'REG y VAL POE - AESR - ESR'!AE2</f>
        <v>0</v>
      </c>
      <c r="AF4" s="57">
        <f>'REG y VAL POE - AESR - ESR'!AF2</f>
        <v>0</v>
      </c>
      <c r="AG4" s="57">
        <f>'REG y VAL POE - AESR - ESR'!AG2</f>
        <v>0</v>
      </c>
      <c r="AH4" s="57">
        <f>'REG y VAL POE - AESR - ESR'!AH2</f>
        <v>0</v>
      </c>
      <c r="AI4" s="57">
        <f>'REG y VAL POE - AESR - ESR'!AI2</f>
        <v>0</v>
      </c>
      <c r="AJ4" s="57">
        <f>'REG y VAL POE - AESR - ESR'!AJ2</f>
        <v>0</v>
      </c>
      <c r="AK4" s="57">
        <f>'REG y VAL POE - AESR - ESR'!AK2</f>
        <v>0</v>
      </c>
      <c r="AL4" s="57">
        <f>'REG y VAL POE - AESR - ESR'!AL2</f>
        <v>0</v>
      </c>
      <c r="AM4" s="57">
        <f>'REG y VAL POE - AESR - ESR'!AM2</f>
        <v>0</v>
      </c>
      <c r="AN4" s="57">
        <f>'REG y VAL POE - AESR - ESR'!AN2</f>
        <v>0</v>
      </c>
      <c r="AO4" s="57">
        <f>'REG y VAL POE - AESR - ESR'!AO2</f>
        <v>0</v>
      </c>
      <c r="AP4" s="57">
        <f>'REG y VAL POE - AESR - ESR'!AP2</f>
        <v>0</v>
      </c>
      <c r="AQ4" s="57">
        <f>'REG y VAL POE - AESR - ESR'!AQ2</f>
        <v>0</v>
      </c>
      <c r="AR4" s="57">
        <f>'REG y VAL POE - AESR - ESR'!AR2</f>
        <v>0</v>
      </c>
      <c r="AS4" s="57">
        <f>'REG y VAL POE - AESR - ESR'!AS2</f>
        <v>0</v>
      </c>
      <c r="AT4" s="58" t="str">
        <f>'REG y VAL POE - AESR - ESR'!B3</f>
        <v xml:space="preserve">Bautista Franco Miguel Angel </v>
      </c>
      <c r="AU4" s="57" t="str">
        <f>'REG y VAL POE - AESR - ESR'!C3</f>
        <v>POE</v>
      </c>
      <c r="AV4" s="56">
        <f>'REG y VAL POE - AESR - ESR'!D3</f>
        <v>23112920</v>
      </c>
      <c r="AW4" s="57">
        <f>'REG y VAL POE - AESR - ESR'!E3</f>
        <v>0</v>
      </c>
      <c r="AX4" s="56">
        <f>'REG y VAL POE - AESR - ESR'!F3</f>
        <v>0</v>
      </c>
      <c r="AY4" s="59">
        <f>'REG y VAL POE - AESR - ESR'!G3</f>
        <v>45343</v>
      </c>
      <c r="AZ4" s="59">
        <f>'REG y VAL POE - AESR - ESR'!H3</f>
        <v>45708</v>
      </c>
      <c r="BA4" s="57" t="str">
        <f>'REG y VAL POE - AESR - ESR'!I3</f>
        <v>SI</v>
      </c>
      <c r="BB4" s="57" t="str">
        <f>'REG y VAL POE - AESR - ESR'!J3</f>
        <v>Vigente</v>
      </c>
      <c r="BC4" s="57" t="str">
        <f>'REG y VAL POE - AESR - ESR'!K3</f>
        <v>SI</v>
      </c>
      <c r="BD4" s="57" t="str">
        <f>'REG y VAL POE - AESR - ESR'!L3</f>
        <v>Vigente</v>
      </c>
      <c r="BE4" s="57" t="str">
        <f>'REG y VAL POE - AESR - ESR'!M3</f>
        <v>SI</v>
      </c>
      <c r="BF4" s="387" t="str">
        <f>'REG y VAL POE - AESR - ESR'!N3</f>
        <v>Completo</v>
      </c>
      <c r="BG4" s="57" t="str">
        <f>'REG y VAL POE - AESR - ESR'!O3</f>
        <v>SI</v>
      </c>
      <c r="BH4" s="57">
        <f>'REG y VAL POE - AESR - ESR'!P3</f>
        <v>0</v>
      </c>
      <c r="BI4" s="57" t="str">
        <f>'REG y VAL POE - AESR - ESR'!Q3</f>
        <v>SI</v>
      </c>
      <c r="BJ4" s="57" t="str">
        <f>'REG y VAL POE - AESR - ESR'!R3</f>
        <v>SI</v>
      </c>
      <c r="BK4" s="57" t="str">
        <f>'REG y VAL POE - AESR - ESR'!S3</f>
        <v>SI</v>
      </c>
      <c r="BL4" s="57" t="str">
        <f>'REG y VAL POE - AESR - ESR'!T3</f>
        <v>SI</v>
      </c>
      <c r="BM4" s="57" t="str">
        <f>'REG y VAL POE - AESR - ESR'!U3</f>
        <v>SI</v>
      </c>
      <c r="BN4" s="57" t="str">
        <f>'REG y VAL POE - AESR - ESR'!V3</f>
        <v>SI</v>
      </c>
      <c r="BO4" s="57">
        <f>'REG y VAL POE - AESR - ESR'!W3</f>
        <v>0</v>
      </c>
      <c r="BP4" s="57">
        <f>'REG y VAL POE - AESR - ESR'!X3</f>
        <v>0</v>
      </c>
      <c r="BQ4" s="57">
        <f>'REG y VAL POE - AESR - ESR'!Y3</f>
        <v>0</v>
      </c>
      <c r="BR4" s="57" t="str">
        <f>'REG y VAL POE - AESR - ESR'!Z3</f>
        <v>SI</v>
      </c>
      <c r="BS4" s="57">
        <f>'REG y VAL POE - AESR - ESR'!AA3</f>
        <v>0</v>
      </c>
      <c r="BT4" s="57">
        <f>'REG y VAL POE - AESR - ESR'!AB3</f>
        <v>0</v>
      </c>
      <c r="BU4" s="57">
        <f>'REG y VAL POE - AESR - ESR'!AC3</f>
        <v>0</v>
      </c>
      <c r="BV4" s="57">
        <f>'REG y VAL POE - AESR - ESR'!AD3</f>
        <v>0</v>
      </c>
      <c r="BW4" s="57">
        <f>'REG y VAL POE - AESR - ESR'!AE3</f>
        <v>0</v>
      </c>
      <c r="BX4" s="57">
        <f>'REG y VAL POE - AESR - ESR'!AF3</f>
        <v>0</v>
      </c>
      <c r="BY4" s="57">
        <f>'REG y VAL POE - AESR - ESR'!AG3</f>
        <v>0</v>
      </c>
      <c r="BZ4" s="57">
        <f>'REG y VAL POE - AESR - ESR'!AH3</f>
        <v>0</v>
      </c>
      <c r="CA4" s="57">
        <f>'REG y VAL POE - AESR - ESR'!AI3</f>
        <v>0</v>
      </c>
      <c r="CB4" s="57">
        <f>'REG y VAL POE - AESR - ESR'!AJ3</f>
        <v>0</v>
      </c>
      <c r="CC4" s="57">
        <f>'REG y VAL POE - AESR - ESR'!AK3</f>
        <v>0</v>
      </c>
      <c r="CD4" s="57">
        <f>'REG y VAL POE - AESR - ESR'!AL3</f>
        <v>0</v>
      </c>
      <c r="CE4" s="57">
        <f>'REG y VAL POE - AESR - ESR'!AM3</f>
        <v>0</v>
      </c>
      <c r="CF4" s="57">
        <f>'REG y VAL POE - AESR - ESR'!AN3</f>
        <v>0</v>
      </c>
      <c r="CG4" s="57">
        <f>'REG y VAL POE - AESR - ESR'!AO3</f>
        <v>0</v>
      </c>
      <c r="CH4" s="57" t="str">
        <f>'REG y VAL POE - AESR - ESR'!AP3</f>
        <v>SI</v>
      </c>
      <c r="CI4" s="57">
        <f>'REG y VAL POE - AESR - ESR'!AQ3</f>
        <v>0</v>
      </c>
      <c r="CJ4" s="57" t="str">
        <f>'REG y VAL POE - AESR - ESR'!AR3</f>
        <v>ASTROPHISICS</v>
      </c>
      <c r="CK4" s="57">
        <f>'REG y VAL POE - AESR - ESR'!AS3</f>
        <v>0</v>
      </c>
      <c r="CL4" s="58" t="str">
        <f>'REG y VAL POE - AESR - ESR'!B4</f>
        <v>Bravo Martinez Saul Antonio</v>
      </c>
      <c r="CM4" s="57" t="str">
        <f>'REG y VAL POE - AESR - ESR'!C4</f>
        <v>POE</v>
      </c>
      <c r="CN4" s="56">
        <f>'REG y VAL POE - AESR - ESR'!D4</f>
        <v>23108943</v>
      </c>
      <c r="CO4" s="57">
        <f>'REG y VAL POE - AESR - ESR'!E4</f>
        <v>0</v>
      </c>
      <c r="CP4" s="56">
        <f>'REG y VAL POE - AESR - ESR'!F4</f>
        <v>0</v>
      </c>
      <c r="CQ4" s="59">
        <f>'REG y VAL POE - AESR - ESR'!G4</f>
        <v>45344</v>
      </c>
      <c r="CR4" s="59">
        <f>'REG y VAL POE - AESR - ESR'!H4</f>
        <v>45709</v>
      </c>
      <c r="CS4" s="57" t="str">
        <f>'REG y VAL POE - AESR - ESR'!I4</f>
        <v>SI</v>
      </c>
      <c r="CT4" s="57" t="str">
        <f>'REG y VAL POE - AESR - ESR'!J4</f>
        <v>Vigente</v>
      </c>
      <c r="CU4" s="57" t="str">
        <f>'REG y VAL POE - AESR - ESR'!K4</f>
        <v>SI</v>
      </c>
      <c r="CV4" s="57" t="str">
        <f>'REG y VAL POE - AESR - ESR'!L4</f>
        <v>Vigente</v>
      </c>
      <c r="CW4" s="57" t="str">
        <f>'REG y VAL POE - AESR - ESR'!M4</f>
        <v>SI</v>
      </c>
      <c r="CX4" s="387" t="str">
        <f>'REG y VAL POE - AESR - ESR'!N4</f>
        <v>Completo</v>
      </c>
      <c r="CY4" s="57" t="str">
        <f>'REG y VAL POE - AESR - ESR'!O4</f>
        <v>CONSTANCIA DE CREDITOS</v>
      </c>
      <c r="CZ4" s="57">
        <f>'REG y VAL POE - AESR - ESR'!P4</f>
        <v>0</v>
      </c>
      <c r="DA4" s="57" t="str">
        <f>'REG y VAL POE - AESR - ESR'!Q4</f>
        <v>SI</v>
      </c>
      <c r="DB4" s="57" t="str">
        <f>'REG y VAL POE - AESR - ESR'!R4</f>
        <v>SI</v>
      </c>
      <c r="DC4" s="57" t="str">
        <f>'REG y VAL POE - AESR - ESR'!S4</f>
        <v>SI</v>
      </c>
      <c r="DD4" s="57" t="str">
        <f>'REG y VAL POE - AESR - ESR'!T4</f>
        <v>SI</v>
      </c>
      <c r="DE4" s="57" t="str">
        <f>'REG y VAL POE - AESR - ESR'!U4</f>
        <v>SI</v>
      </c>
      <c r="DF4" s="57" t="str">
        <f>'REG y VAL POE - AESR - ESR'!V4</f>
        <v>SI</v>
      </c>
      <c r="DG4" s="57">
        <f>'REG y VAL POE - AESR - ESR'!W4</f>
        <v>0</v>
      </c>
      <c r="DH4" s="57">
        <f>'REG y VAL POE - AESR - ESR'!X4</f>
        <v>0</v>
      </c>
      <c r="DI4" s="57">
        <f>'REG y VAL POE - AESR - ESR'!Y4</f>
        <v>0</v>
      </c>
      <c r="DJ4" s="57" t="str">
        <f>'REG y VAL POE - AESR - ESR'!Z4</f>
        <v>SI</v>
      </c>
      <c r="DK4" s="57">
        <f>'REG y VAL POE - AESR - ESR'!AA4</f>
        <v>0</v>
      </c>
      <c r="DL4" s="57">
        <f>'REG y VAL POE - AESR - ESR'!AB4</f>
        <v>0</v>
      </c>
      <c r="DM4" s="57">
        <f>'REG y VAL POE - AESR - ESR'!AC4</f>
        <v>0</v>
      </c>
      <c r="DN4" s="57">
        <f>'REG y VAL POE - AESR - ESR'!AD4</f>
        <v>0</v>
      </c>
      <c r="DO4" s="57">
        <f>'REG y VAL POE - AESR - ESR'!AE4</f>
        <v>0</v>
      </c>
      <c r="DP4" s="57">
        <f>'REG y VAL POE - AESR - ESR'!AF4</f>
        <v>0</v>
      </c>
      <c r="DQ4" s="57">
        <f>'REG y VAL POE - AESR - ESR'!AG4</f>
        <v>0</v>
      </c>
      <c r="DR4" s="57">
        <f>'REG y VAL POE - AESR - ESR'!AH4</f>
        <v>0</v>
      </c>
      <c r="DS4" s="57">
        <f>'REG y VAL POE - AESR - ESR'!AI4</f>
        <v>0</v>
      </c>
      <c r="DT4" s="57">
        <f>'REG y VAL POE - AESR - ESR'!AJ4</f>
        <v>0</v>
      </c>
      <c r="DU4" s="57">
        <f>'REG y VAL POE - AESR - ESR'!AK4</f>
        <v>0</v>
      </c>
      <c r="DV4" s="57">
        <f>'REG y VAL POE - AESR - ESR'!AL4</f>
        <v>0</v>
      </c>
      <c r="DW4" s="57">
        <f>'REG y VAL POE - AESR - ESR'!AM4</f>
        <v>0</v>
      </c>
      <c r="DX4" s="57">
        <f>'REG y VAL POE - AESR - ESR'!AN4</f>
        <v>0</v>
      </c>
      <c r="DY4" s="57">
        <f>'REG y VAL POE - AESR - ESR'!AO4</f>
        <v>0</v>
      </c>
      <c r="DZ4" s="57" t="str">
        <f>'REG y VAL POE - AESR - ESR'!AP4</f>
        <v>SI</v>
      </c>
      <c r="EA4" s="57">
        <f>'REG y VAL POE - AESR - ESR'!AQ4</f>
        <v>0</v>
      </c>
      <c r="EB4" s="57">
        <f>'REG y VAL POE - AESR - ESR'!AR4</f>
        <v>0</v>
      </c>
      <c r="EC4" s="57">
        <f>'REG y VAL POE - AESR - ESR'!AS4</f>
        <v>0</v>
      </c>
      <c r="ED4" s="58" t="str">
        <f>'REG y VAL POE - AESR - ESR'!B5</f>
        <v>Ramirez Martinez Yuilma Gisel</v>
      </c>
      <c r="EE4" s="57" t="str">
        <f>'REG y VAL POE - AESR - ESR'!C5</f>
        <v>ESR</v>
      </c>
      <c r="EF4" s="56">
        <f>'REG y VAL POE - AESR - ESR'!D5</f>
        <v>23069029</v>
      </c>
      <c r="EG4" s="57">
        <f>'REG y VAL POE - AESR - ESR'!E5</f>
        <v>0</v>
      </c>
      <c r="EH4" s="56">
        <f>'REG y VAL POE - AESR - ESR'!F5</f>
        <v>0</v>
      </c>
      <c r="EI4" s="59">
        <f>'REG y VAL POE - AESR - ESR'!G5</f>
        <v>45345</v>
      </c>
      <c r="EJ4" s="59">
        <f>'REG y VAL POE - AESR - ESR'!H5</f>
        <v>45710</v>
      </c>
      <c r="EK4" s="57" t="str">
        <f>'REG y VAL POE - AESR - ESR'!I5</f>
        <v>SI</v>
      </c>
      <c r="EL4" s="57" t="str">
        <f>'REG y VAL POE - AESR - ESR'!J5</f>
        <v>Vigente</v>
      </c>
      <c r="EM4" s="57" t="str">
        <f>'REG y VAL POE - AESR - ESR'!K5</f>
        <v>SI</v>
      </c>
      <c r="EN4" s="57" t="str">
        <f>'REG y VAL POE - AESR - ESR'!L5</f>
        <v>Vigente</v>
      </c>
      <c r="EO4" s="57" t="str">
        <f>'REG y VAL POE - AESR - ESR'!M5</f>
        <v>SI</v>
      </c>
      <c r="EP4" s="387" t="str">
        <f>'REG y VAL POE - AESR - ESR'!N5</f>
        <v>Completo</v>
      </c>
      <c r="EQ4" s="57">
        <f>'REG y VAL POE - AESR - ESR'!O5</f>
        <v>0</v>
      </c>
      <c r="ER4" s="57" t="str">
        <f>'REG y VAL POE - AESR - ESR'!P5</f>
        <v>SI</v>
      </c>
      <c r="ES4" s="57" t="str">
        <f>'REG y VAL POE - AESR - ESR'!Q5</f>
        <v>SI</v>
      </c>
      <c r="ET4" s="57" t="str">
        <f>'REG y VAL POE - AESR - ESR'!R5</f>
        <v>SI</v>
      </c>
      <c r="EU4" s="57" t="str">
        <f>'REG y VAL POE - AESR - ESR'!S5</f>
        <v>SI</v>
      </c>
      <c r="EV4" s="57" t="str">
        <f>'REG y VAL POE - AESR - ESR'!T5</f>
        <v>SI</v>
      </c>
      <c r="EW4" s="57" t="str">
        <f>'REG y VAL POE - AESR - ESR'!U5</f>
        <v>SI</v>
      </c>
      <c r="EX4" s="57">
        <f>'REG y VAL POE - AESR - ESR'!V5</f>
        <v>0</v>
      </c>
      <c r="EY4" s="57" t="str">
        <f>'REG y VAL POE - AESR - ESR'!W5</f>
        <v>Si</v>
      </c>
      <c r="EZ4" s="57">
        <f>'REG y VAL POE - AESR - ESR'!X5</f>
        <v>0</v>
      </c>
      <c r="FA4" s="57">
        <f>'REG y VAL POE - AESR - ESR'!Y5</f>
        <v>0</v>
      </c>
      <c r="FB4" s="57" t="str">
        <f>'REG y VAL POE - AESR - ESR'!Z5</f>
        <v>SI</v>
      </c>
      <c r="FC4" s="57">
        <f>'REG y VAL POE - AESR - ESR'!AA5</f>
        <v>0</v>
      </c>
      <c r="FD4" s="57">
        <f>'REG y VAL POE - AESR - ESR'!AB5</f>
        <v>0</v>
      </c>
      <c r="FE4" s="57">
        <f>'REG y VAL POE - AESR - ESR'!AC5</f>
        <v>0</v>
      </c>
      <c r="FF4" s="57">
        <f>'REG y VAL POE - AESR - ESR'!AD5</f>
        <v>0</v>
      </c>
      <c r="FG4" s="57">
        <f>'REG y VAL POE - AESR - ESR'!AE5</f>
        <v>0</v>
      </c>
      <c r="FH4" s="57">
        <f>'REG y VAL POE - AESR - ESR'!AF5</f>
        <v>0</v>
      </c>
      <c r="FI4" s="57">
        <f>'REG y VAL POE - AESR - ESR'!AG5</f>
        <v>0</v>
      </c>
      <c r="FJ4" s="57">
        <f>'REG y VAL POE - AESR - ESR'!AH5</f>
        <v>0</v>
      </c>
      <c r="FK4" s="57">
        <f>'REG y VAL POE - AESR - ESR'!AI5</f>
        <v>0</v>
      </c>
      <c r="FL4" s="57">
        <f>'REG y VAL POE - AESR - ESR'!AJ5</f>
        <v>0</v>
      </c>
      <c r="FM4" s="57">
        <f>'REG y VAL POE - AESR - ESR'!AK5</f>
        <v>0</v>
      </c>
      <c r="FN4" s="57">
        <f>'REG y VAL POE - AESR - ESR'!AL5</f>
        <v>0</v>
      </c>
      <c r="FO4" s="57">
        <f>'REG y VAL POE - AESR - ESR'!AM5</f>
        <v>0</v>
      </c>
      <c r="FP4" s="57">
        <f>'REG y VAL POE - AESR - ESR'!AN5</f>
        <v>0</v>
      </c>
      <c r="FQ4" s="57">
        <f>'REG y VAL POE - AESR - ESR'!AO5</f>
        <v>0</v>
      </c>
      <c r="FR4" s="57">
        <f>'REG y VAL POE - AESR - ESR'!AP5</f>
        <v>0</v>
      </c>
      <c r="FS4" s="57">
        <f>'REG y VAL POE - AESR - ESR'!AQ5</f>
        <v>0</v>
      </c>
      <c r="FT4" s="57">
        <f>'REG y VAL POE - AESR - ESR'!AR5</f>
        <v>0</v>
      </c>
      <c r="FU4" s="57">
        <f>'REG y VAL POE - AESR - ESR'!AS5</f>
        <v>0</v>
      </c>
      <c r="FV4" s="55">
        <f>'REG y VAL POE - AESR - ESR'!B6</f>
        <v>0</v>
      </c>
      <c r="FW4" s="57">
        <f>'REG y VAL POE - AESR - ESR'!C6</f>
        <v>0</v>
      </c>
      <c r="FX4" s="56">
        <f>'REG y VAL POE - AESR - ESR'!D6</f>
        <v>0</v>
      </c>
      <c r="FY4" s="57">
        <f>'REG y VAL POE - AESR - ESR'!E6</f>
        <v>0</v>
      </c>
      <c r="FZ4" s="56">
        <f>'REG y VAL POE - AESR - ESR'!F6</f>
        <v>0</v>
      </c>
      <c r="GA4" s="59">
        <f>'REG y VAL POE - AESR - ESR'!G6</f>
        <v>0</v>
      </c>
      <c r="GB4" s="59">
        <f>'REG y VAL POE - AESR - ESR'!H6</f>
        <v>0</v>
      </c>
      <c r="GC4" s="57">
        <f>'REG y VAL POE - AESR - ESR'!I6</f>
        <v>0</v>
      </c>
      <c r="GD4" s="57">
        <f>'REG y VAL POE - AESR - ESR'!J6</f>
        <v>0</v>
      </c>
      <c r="GE4" s="57">
        <f>'REG y VAL POE - AESR - ESR'!K6</f>
        <v>0</v>
      </c>
      <c r="GF4" s="57">
        <f>'REG y VAL POE - AESR - ESR'!L6</f>
        <v>0</v>
      </c>
      <c r="GG4" s="57">
        <f>'REG y VAL POE - AESR - ESR'!M6</f>
        <v>0</v>
      </c>
      <c r="GH4" s="387">
        <f>'REG y VAL POE - AESR - ESR'!N6</f>
        <v>0</v>
      </c>
      <c r="GI4" s="57">
        <f>'REG y VAL POE - AESR - ESR'!O6</f>
        <v>0</v>
      </c>
      <c r="GJ4" s="57">
        <f>'REG y VAL POE - AESR - ESR'!P6</f>
        <v>0</v>
      </c>
      <c r="GK4" s="57">
        <f>'REG y VAL POE - AESR - ESR'!Q6</f>
        <v>0</v>
      </c>
      <c r="GL4" s="57">
        <f>'REG y VAL POE - AESR - ESR'!R6</f>
        <v>0</v>
      </c>
      <c r="GM4" s="57">
        <f>'REG y VAL POE - AESR - ESR'!S6</f>
        <v>0</v>
      </c>
      <c r="GN4" s="57">
        <f>'REG y VAL POE - AESR - ESR'!T6</f>
        <v>0</v>
      </c>
      <c r="GO4" s="57">
        <f>'REG y VAL POE - AESR - ESR'!U6</f>
        <v>0</v>
      </c>
      <c r="GP4" s="57">
        <f>'REG y VAL POE - AESR - ESR'!V6</f>
        <v>0</v>
      </c>
      <c r="GQ4" s="57">
        <f>'REG y VAL POE - AESR - ESR'!W6</f>
        <v>0</v>
      </c>
      <c r="GR4" s="57">
        <f>'REG y VAL POE - AESR - ESR'!X6</f>
        <v>0</v>
      </c>
      <c r="GS4" s="57">
        <f>'REG y VAL POE - AESR - ESR'!Y6</f>
        <v>0</v>
      </c>
      <c r="GT4" s="57">
        <f>'REG y VAL POE - AESR - ESR'!Z6</f>
        <v>0</v>
      </c>
      <c r="GU4" s="57">
        <f>'REG y VAL POE - AESR - ESR'!AA6</f>
        <v>0</v>
      </c>
      <c r="GV4" s="57">
        <f>'REG y VAL POE - AESR - ESR'!AB6</f>
        <v>0</v>
      </c>
      <c r="GW4" s="57">
        <f>'REG y VAL POE - AESR - ESR'!AC6</f>
        <v>0</v>
      </c>
      <c r="GX4" s="57">
        <f>'REG y VAL POE - AESR - ESR'!AD6</f>
        <v>0</v>
      </c>
      <c r="GY4" s="57">
        <f>'REG y VAL POE - AESR - ESR'!AE6</f>
        <v>0</v>
      </c>
      <c r="GZ4" s="57">
        <f>'REG y VAL POE - AESR - ESR'!AF6</f>
        <v>0</v>
      </c>
      <c r="HA4" s="57">
        <f>'REG y VAL POE - AESR - ESR'!AG6</f>
        <v>0</v>
      </c>
      <c r="HB4" s="57">
        <f>'REG y VAL POE - AESR - ESR'!AH6</f>
        <v>0</v>
      </c>
      <c r="HC4" s="57">
        <f>'REG y VAL POE - AESR - ESR'!AI6</f>
        <v>0</v>
      </c>
      <c r="HD4" s="57">
        <f>'REG y VAL POE - AESR - ESR'!AJ6</f>
        <v>0</v>
      </c>
      <c r="HE4" s="57">
        <f>'REG y VAL POE - AESR - ESR'!AK6</f>
        <v>0</v>
      </c>
      <c r="HF4" s="57">
        <f>'REG y VAL POE - AESR - ESR'!AL6</f>
        <v>0</v>
      </c>
      <c r="HG4" s="57">
        <f>'REG y VAL POE - AESR - ESR'!AM6</f>
        <v>0</v>
      </c>
      <c r="HH4" s="57">
        <f>'REG y VAL POE - AESR - ESR'!AN6</f>
        <v>0</v>
      </c>
      <c r="HI4" s="57">
        <f>'REG y VAL POE - AESR - ESR'!AO6</f>
        <v>0</v>
      </c>
      <c r="HJ4" s="57">
        <f>'REG y VAL POE - AESR - ESR'!AP6</f>
        <v>0</v>
      </c>
      <c r="HK4" s="57">
        <f>'REG y VAL POE - AESR - ESR'!AQ6</f>
        <v>0</v>
      </c>
      <c r="HL4" s="57">
        <f>'REG y VAL POE - AESR - ESR'!AR6</f>
        <v>0</v>
      </c>
      <c r="HM4" s="57">
        <f>'REG y VAL POE - AESR - ESR'!AS6</f>
        <v>0</v>
      </c>
      <c r="HN4" s="55">
        <f>'REG y VAL POE - AESR - ESR'!B7</f>
        <v>0</v>
      </c>
      <c r="HO4" s="57">
        <f>'REG y VAL POE - AESR - ESR'!C7</f>
        <v>0</v>
      </c>
      <c r="HP4" s="56">
        <f>'REG y VAL POE - AESR - ESR'!D7</f>
        <v>0</v>
      </c>
      <c r="HQ4" s="57">
        <f>'REG y VAL POE - AESR - ESR'!E7</f>
        <v>0</v>
      </c>
      <c r="HR4" s="56">
        <f>'REG y VAL POE - AESR - ESR'!F7</f>
        <v>0</v>
      </c>
      <c r="HS4" s="59">
        <f>'REG y VAL POE - AESR - ESR'!G7</f>
        <v>0</v>
      </c>
      <c r="HT4" s="59">
        <f>'REG y VAL POE - AESR - ESR'!H7</f>
        <v>0</v>
      </c>
      <c r="HU4" s="57">
        <f>'REG y VAL POE - AESR - ESR'!I7</f>
        <v>0</v>
      </c>
      <c r="HV4" s="57">
        <f>'REG y VAL POE - AESR - ESR'!J7</f>
        <v>0</v>
      </c>
      <c r="HW4" s="57">
        <f>'REG y VAL POE - AESR - ESR'!K7</f>
        <v>0</v>
      </c>
      <c r="HX4" s="57">
        <f>'REG y VAL POE - AESR - ESR'!L7</f>
        <v>0</v>
      </c>
      <c r="HY4" s="57">
        <f>'REG y VAL POE - AESR - ESR'!M7</f>
        <v>0</v>
      </c>
      <c r="HZ4" s="387">
        <f>'REG y VAL POE - AESR - ESR'!N7</f>
        <v>0</v>
      </c>
      <c r="IA4" s="57">
        <f>'REG y VAL POE - AESR - ESR'!O7</f>
        <v>0</v>
      </c>
      <c r="IB4" s="57">
        <f>'REG y VAL POE - AESR - ESR'!P7</f>
        <v>0</v>
      </c>
      <c r="IC4" s="57">
        <f>'REG y VAL POE - AESR - ESR'!Q7</f>
        <v>0</v>
      </c>
      <c r="ID4" s="57">
        <f>'REG y VAL POE - AESR - ESR'!R7</f>
        <v>0</v>
      </c>
      <c r="IE4" s="57">
        <f>'REG y VAL POE - AESR - ESR'!S7</f>
        <v>0</v>
      </c>
      <c r="IF4" s="57">
        <f>'REG y VAL POE - AESR - ESR'!T7</f>
        <v>0</v>
      </c>
      <c r="IG4" s="57">
        <f>'REG y VAL POE - AESR - ESR'!U7</f>
        <v>0</v>
      </c>
      <c r="IH4" s="57">
        <f>'REG y VAL POE - AESR - ESR'!V7</f>
        <v>0</v>
      </c>
      <c r="II4" s="57">
        <f>'REG y VAL POE - AESR - ESR'!W7</f>
        <v>0</v>
      </c>
      <c r="IJ4" s="57">
        <f>'REG y VAL POE - AESR - ESR'!X7</f>
        <v>0</v>
      </c>
      <c r="IK4" s="57">
        <f>'REG y VAL POE - AESR - ESR'!Y7</f>
        <v>0</v>
      </c>
      <c r="IL4" s="57">
        <f>'REG y VAL POE - AESR - ESR'!Z7</f>
        <v>0</v>
      </c>
      <c r="IM4" s="57">
        <f>'REG y VAL POE - AESR - ESR'!AA7</f>
        <v>0</v>
      </c>
      <c r="IN4" s="57">
        <f>'REG y VAL POE - AESR - ESR'!AB7</f>
        <v>0</v>
      </c>
      <c r="IO4" s="57">
        <f>'REG y VAL POE - AESR - ESR'!AC7</f>
        <v>0</v>
      </c>
      <c r="IP4" s="57">
        <f>'REG y VAL POE - AESR - ESR'!AD7</f>
        <v>0</v>
      </c>
      <c r="IQ4" s="57">
        <f>'REG y VAL POE - AESR - ESR'!AE7</f>
        <v>0</v>
      </c>
      <c r="IR4" s="57">
        <f>'REG y VAL POE - AESR - ESR'!AF7</f>
        <v>0</v>
      </c>
      <c r="IS4" s="57">
        <f>'REG y VAL POE - AESR - ESR'!AG7</f>
        <v>0</v>
      </c>
      <c r="IT4" s="57">
        <f>'REG y VAL POE - AESR - ESR'!AH7</f>
        <v>0</v>
      </c>
      <c r="IU4" s="57">
        <f>'REG y VAL POE - AESR - ESR'!AI7</f>
        <v>0</v>
      </c>
      <c r="IV4" s="57">
        <f>'REG y VAL POE - AESR - ESR'!AJ7</f>
        <v>0</v>
      </c>
      <c r="IW4" s="57">
        <f>'REG y VAL POE - AESR - ESR'!AK7</f>
        <v>0</v>
      </c>
      <c r="IX4" s="57">
        <f>'REG y VAL POE - AESR - ESR'!AL7</f>
        <v>0</v>
      </c>
      <c r="IY4" s="57">
        <f>'REG y VAL POE - AESR - ESR'!AM7</f>
        <v>0</v>
      </c>
      <c r="IZ4" s="57">
        <f>'REG y VAL POE - AESR - ESR'!AN7</f>
        <v>0</v>
      </c>
      <c r="JA4" s="57">
        <f>'REG y VAL POE - AESR - ESR'!AO7</f>
        <v>0</v>
      </c>
      <c r="JB4" s="57">
        <f>'REG y VAL POE - AESR - ESR'!AP7</f>
        <v>0</v>
      </c>
      <c r="JC4" s="57">
        <f>'REG y VAL POE - AESR - ESR'!AQ7</f>
        <v>0</v>
      </c>
      <c r="JD4" s="57">
        <f>'REG y VAL POE - AESR - ESR'!AR7</f>
        <v>0</v>
      </c>
      <c r="JE4" s="57">
        <f>'REG y VAL POE - AESR - ESR'!AS7</f>
        <v>0</v>
      </c>
      <c r="JF4" s="55">
        <f>'REG y VAL POE - AESR - ESR'!B8</f>
        <v>0</v>
      </c>
      <c r="JG4" s="57">
        <f>'REG y VAL POE - AESR - ESR'!C8</f>
        <v>0</v>
      </c>
      <c r="JH4" s="56">
        <f>'REG y VAL POE - AESR - ESR'!D8</f>
        <v>0</v>
      </c>
      <c r="JI4" s="57">
        <f>'REG y VAL POE - AESR - ESR'!E8</f>
        <v>0</v>
      </c>
      <c r="JJ4" s="56">
        <f>'REG y VAL POE - AESR - ESR'!F8</f>
        <v>0</v>
      </c>
      <c r="JK4" s="59">
        <f>'REG y VAL POE - AESR - ESR'!G8</f>
        <v>0</v>
      </c>
      <c r="JL4" s="59">
        <f>'REG y VAL POE - AESR - ESR'!H8</f>
        <v>0</v>
      </c>
      <c r="JM4" s="57">
        <f>'REG y VAL POE - AESR - ESR'!I8</f>
        <v>0</v>
      </c>
      <c r="JN4" s="57">
        <f>'REG y VAL POE - AESR - ESR'!J8</f>
        <v>0</v>
      </c>
      <c r="JO4" s="57">
        <f>'REG y VAL POE - AESR - ESR'!K8</f>
        <v>0</v>
      </c>
      <c r="JP4" s="57">
        <f>'REG y VAL POE - AESR - ESR'!L8</f>
        <v>0</v>
      </c>
      <c r="JQ4" s="57">
        <f>'REG y VAL POE - AESR - ESR'!M8</f>
        <v>0</v>
      </c>
      <c r="JR4" s="387">
        <f>'REG y VAL POE - AESR - ESR'!N8</f>
        <v>0</v>
      </c>
      <c r="JS4" s="57">
        <f>'REG y VAL POE - AESR - ESR'!O8</f>
        <v>0</v>
      </c>
      <c r="JT4" s="57">
        <f>'REG y VAL POE - AESR - ESR'!P8</f>
        <v>0</v>
      </c>
      <c r="JU4" s="57">
        <f>'REG y VAL POE - AESR - ESR'!Q8</f>
        <v>0</v>
      </c>
      <c r="JV4" s="57">
        <f>'REG y VAL POE - AESR - ESR'!R8</f>
        <v>0</v>
      </c>
      <c r="JW4" s="57">
        <f>'REG y VAL POE - AESR - ESR'!S8</f>
        <v>0</v>
      </c>
      <c r="JX4" s="57">
        <f>'REG y VAL POE - AESR - ESR'!T8</f>
        <v>0</v>
      </c>
      <c r="JY4" s="57">
        <f>'REG y VAL POE - AESR - ESR'!U8</f>
        <v>0</v>
      </c>
      <c r="JZ4" s="57">
        <f>'REG y VAL POE - AESR - ESR'!V8</f>
        <v>0</v>
      </c>
      <c r="KA4" s="57">
        <f>'REG y VAL POE - AESR - ESR'!W8</f>
        <v>0</v>
      </c>
      <c r="KB4" s="57">
        <f>'REG y VAL POE - AESR - ESR'!X8</f>
        <v>0</v>
      </c>
      <c r="KC4" s="57">
        <f>'REG y VAL POE - AESR - ESR'!Y8</f>
        <v>0</v>
      </c>
      <c r="KD4" s="57">
        <f>'REG y VAL POE - AESR - ESR'!Z8</f>
        <v>0</v>
      </c>
      <c r="KE4" s="57">
        <f>'REG y VAL POE - AESR - ESR'!AA8</f>
        <v>0</v>
      </c>
      <c r="KF4" s="57">
        <f>'REG y VAL POE - AESR - ESR'!AB8</f>
        <v>0</v>
      </c>
      <c r="KG4" s="57">
        <f>'REG y VAL POE - AESR - ESR'!AC8</f>
        <v>0</v>
      </c>
      <c r="KH4" s="57">
        <f>'REG y VAL POE - AESR - ESR'!AD8</f>
        <v>0</v>
      </c>
      <c r="KI4" s="57">
        <f>'REG y VAL POE - AESR - ESR'!AE8</f>
        <v>0</v>
      </c>
      <c r="KJ4" s="57">
        <f>'REG y VAL POE - AESR - ESR'!AF8</f>
        <v>0</v>
      </c>
      <c r="KK4" s="57">
        <f>'REG y VAL POE - AESR - ESR'!AG8</f>
        <v>0</v>
      </c>
      <c r="KL4" s="57">
        <f>'REG y VAL POE - AESR - ESR'!AH8</f>
        <v>0</v>
      </c>
      <c r="KM4" s="57">
        <f>'REG y VAL POE - AESR - ESR'!AI8</f>
        <v>0</v>
      </c>
      <c r="KN4" s="57">
        <f>'REG y VAL POE - AESR - ESR'!AJ8</f>
        <v>0</v>
      </c>
      <c r="KO4" s="57">
        <f>'REG y VAL POE - AESR - ESR'!AK8</f>
        <v>0</v>
      </c>
      <c r="KP4" s="57">
        <f>'REG y VAL POE - AESR - ESR'!AL8</f>
        <v>0</v>
      </c>
      <c r="KQ4" s="57">
        <f>'REG y VAL POE - AESR - ESR'!AM8</f>
        <v>0</v>
      </c>
      <c r="KR4" s="57">
        <f>'REG y VAL POE - AESR - ESR'!AN8</f>
        <v>0</v>
      </c>
      <c r="KS4" s="57">
        <f>'REG y VAL POE - AESR - ESR'!AO8</f>
        <v>0</v>
      </c>
      <c r="KT4" s="57">
        <f>'REG y VAL POE - AESR - ESR'!AP8</f>
        <v>0</v>
      </c>
      <c r="KU4" s="57">
        <f>'REG y VAL POE - AESR - ESR'!AQ8</f>
        <v>0</v>
      </c>
      <c r="KV4" s="57">
        <f>'REG y VAL POE - AESR - ESR'!AR8</f>
        <v>0</v>
      </c>
      <c r="KW4" s="57">
        <f>'REG y VAL POE - AESR - ESR'!AS8</f>
        <v>0</v>
      </c>
      <c r="KX4" s="55">
        <f>'REG y VAL POE - AESR - ESR'!B9</f>
        <v>0</v>
      </c>
      <c r="KY4" s="57">
        <f>'REG y VAL POE - AESR - ESR'!C9</f>
        <v>0</v>
      </c>
      <c r="KZ4" s="56">
        <f>'REG y VAL POE - AESR - ESR'!D9</f>
        <v>0</v>
      </c>
      <c r="LA4" s="57">
        <f>'REG y VAL POE - AESR - ESR'!E9</f>
        <v>0</v>
      </c>
      <c r="LB4" s="56">
        <f>'REG y VAL POE - AESR - ESR'!F9</f>
        <v>0</v>
      </c>
      <c r="LC4" s="59">
        <f>'REG y VAL POE - AESR - ESR'!G9</f>
        <v>0</v>
      </c>
      <c r="LD4" s="59">
        <f>'REG y VAL POE - AESR - ESR'!H9</f>
        <v>0</v>
      </c>
      <c r="LE4" s="57">
        <f>'REG y VAL POE - AESR - ESR'!I9</f>
        <v>0</v>
      </c>
      <c r="LF4" s="57">
        <f>'REG y VAL POE - AESR - ESR'!J9</f>
        <v>0</v>
      </c>
      <c r="LG4" s="57">
        <f>'REG y VAL POE - AESR - ESR'!K9</f>
        <v>0</v>
      </c>
      <c r="LH4" s="57">
        <f>'REG y VAL POE - AESR - ESR'!L9</f>
        <v>0</v>
      </c>
      <c r="LI4" s="57">
        <f>'REG y VAL POE - AESR - ESR'!M9</f>
        <v>0</v>
      </c>
      <c r="LJ4" s="387">
        <f>'REG y VAL POE - AESR - ESR'!N9</f>
        <v>0</v>
      </c>
      <c r="LK4" s="57">
        <f>'REG y VAL POE - AESR - ESR'!O9</f>
        <v>0</v>
      </c>
      <c r="LL4" s="57">
        <f>'REG y VAL POE - AESR - ESR'!P9</f>
        <v>0</v>
      </c>
      <c r="LM4" s="57">
        <f>'REG y VAL POE - AESR - ESR'!Q9</f>
        <v>0</v>
      </c>
      <c r="LN4" s="57">
        <f>'REG y VAL POE - AESR - ESR'!R9</f>
        <v>0</v>
      </c>
      <c r="LO4" s="57">
        <f>'REG y VAL POE - AESR - ESR'!S9</f>
        <v>0</v>
      </c>
      <c r="LP4" s="57">
        <f>'REG y VAL POE - AESR - ESR'!T9</f>
        <v>0</v>
      </c>
      <c r="LQ4" s="57">
        <f>'REG y VAL POE - AESR - ESR'!U9</f>
        <v>0</v>
      </c>
      <c r="LR4" s="57">
        <f>'REG y VAL POE - AESR - ESR'!V9</f>
        <v>0</v>
      </c>
      <c r="LS4" s="57">
        <f>'REG y VAL POE - AESR - ESR'!W9</f>
        <v>0</v>
      </c>
      <c r="LT4" s="57">
        <f>'REG y VAL POE - AESR - ESR'!X9</f>
        <v>0</v>
      </c>
      <c r="LU4" s="57">
        <f>'REG y VAL POE - AESR - ESR'!Y9</f>
        <v>0</v>
      </c>
      <c r="LV4" s="57">
        <f>'REG y VAL POE - AESR - ESR'!Z9</f>
        <v>0</v>
      </c>
      <c r="LW4" s="57">
        <f>'REG y VAL POE - AESR - ESR'!AA9</f>
        <v>0</v>
      </c>
      <c r="LX4" s="57">
        <f>'REG y VAL POE - AESR - ESR'!AB9</f>
        <v>0</v>
      </c>
      <c r="LY4" s="57">
        <f>'REG y VAL POE - AESR - ESR'!AC9</f>
        <v>0</v>
      </c>
      <c r="LZ4" s="57">
        <f>'REG y VAL POE - AESR - ESR'!AD9</f>
        <v>0</v>
      </c>
      <c r="MA4" s="57">
        <f>'REG y VAL POE - AESR - ESR'!AE9</f>
        <v>0</v>
      </c>
      <c r="MB4" s="57">
        <f>'REG y VAL POE - AESR - ESR'!AF9</f>
        <v>0</v>
      </c>
      <c r="MC4" s="57">
        <f>'REG y VAL POE - AESR - ESR'!AG9</f>
        <v>0</v>
      </c>
      <c r="MD4" s="57">
        <f>'REG y VAL POE - AESR - ESR'!AH9</f>
        <v>0</v>
      </c>
      <c r="ME4" s="57">
        <f>'REG y VAL POE - AESR - ESR'!AI9</f>
        <v>0</v>
      </c>
      <c r="MF4" s="57">
        <f>'REG y VAL POE - AESR - ESR'!AJ9</f>
        <v>0</v>
      </c>
      <c r="MG4" s="57">
        <f>'REG y VAL POE - AESR - ESR'!AK9</f>
        <v>0</v>
      </c>
      <c r="MH4" s="57">
        <f>'REG y VAL POE - AESR - ESR'!AL9</f>
        <v>0</v>
      </c>
      <c r="MI4" s="57">
        <f>'REG y VAL POE - AESR - ESR'!AM9</f>
        <v>0</v>
      </c>
      <c r="MJ4" s="57">
        <f>'REG y VAL POE - AESR - ESR'!AN9</f>
        <v>0</v>
      </c>
      <c r="MK4" s="57">
        <f>'REG y VAL POE - AESR - ESR'!AO9</f>
        <v>0</v>
      </c>
      <c r="ML4" s="57">
        <f>'REG y VAL POE - AESR - ESR'!AP9</f>
        <v>0</v>
      </c>
      <c r="MM4" s="57">
        <f>'REG y VAL POE - AESR - ESR'!AQ9</f>
        <v>0</v>
      </c>
      <c r="MN4" s="57">
        <f>'REG y VAL POE - AESR - ESR'!AR9</f>
        <v>0</v>
      </c>
      <c r="MO4" s="57">
        <f>'REG y VAL POE - AESR - ESR'!AS9</f>
        <v>0</v>
      </c>
      <c r="MP4" s="55">
        <f>'REG y VAL POE - AESR - ESR'!B10</f>
        <v>0</v>
      </c>
      <c r="MQ4" s="57">
        <f>'REG y VAL POE - AESR - ESR'!C10</f>
        <v>0</v>
      </c>
      <c r="MR4" s="56">
        <f>'REG y VAL POE - AESR - ESR'!D10</f>
        <v>0</v>
      </c>
      <c r="MS4" s="57">
        <f>'REG y VAL POE - AESR - ESR'!E10</f>
        <v>0</v>
      </c>
      <c r="MT4" s="56">
        <f>'REG y VAL POE - AESR - ESR'!F10</f>
        <v>0</v>
      </c>
      <c r="MU4" s="59">
        <f>'REG y VAL POE - AESR - ESR'!G10</f>
        <v>0</v>
      </c>
      <c r="MV4" s="59">
        <f>'REG y VAL POE - AESR - ESR'!H10</f>
        <v>0</v>
      </c>
      <c r="MW4" s="57">
        <f>'REG y VAL POE - AESR - ESR'!I10</f>
        <v>0</v>
      </c>
      <c r="MX4" s="57">
        <f>'REG y VAL POE - AESR - ESR'!J10</f>
        <v>0</v>
      </c>
      <c r="MY4" s="57">
        <f>'REG y VAL POE - AESR - ESR'!K10</f>
        <v>0</v>
      </c>
      <c r="MZ4" s="57">
        <f>'REG y VAL POE - AESR - ESR'!L10</f>
        <v>0</v>
      </c>
      <c r="NA4" s="57">
        <f>'REG y VAL POE - AESR - ESR'!M10</f>
        <v>0</v>
      </c>
      <c r="NB4" s="57">
        <f>'REG y VAL POE - AESR - ESR'!N10</f>
        <v>0</v>
      </c>
      <c r="NC4" s="57">
        <f>'REG y VAL POE - AESR - ESR'!O10</f>
        <v>0</v>
      </c>
      <c r="ND4" s="57">
        <f>'REG y VAL POE - AESR - ESR'!P10</f>
        <v>0</v>
      </c>
      <c r="NE4" s="57">
        <f>'REG y VAL POE - AESR - ESR'!Q10</f>
        <v>0</v>
      </c>
      <c r="NF4" s="57">
        <f>'REG y VAL POE - AESR - ESR'!R10</f>
        <v>0</v>
      </c>
      <c r="NG4" s="57">
        <f>'REG y VAL POE - AESR - ESR'!S10</f>
        <v>0</v>
      </c>
      <c r="NH4" s="57">
        <f>'REG y VAL POE - AESR - ESR'!T10</f>
        <v>0</v>
      </c>
      <c r="NI4" s="57">
        <f>'REG y VAL POE - AESR - ESR'!U10</f>
        <v>0</v>
      </c>
      <c r="NJ4" s="57">
        <f>'REG y VAL POE - AESR - ESR'!V10</f>
        <v>0</v>
      </c>
      <c r="NK4" s="57">
        <f>'REG y VAL POE - AESR - ESR'!W10</f>
        <v>0</v>
      </c>
      <c r="NL4" s="57">
        <f>'REG y VAL POE - AESR - ESR'!X10</f>
        <v>0</v>
      </c>
      <c r="NM4" s="57">
        <f>'REG y VAL POE - AESR - ESR'!Y10</f>
        <v>0</v>
      </c>
      <c r="NN4" s="57">
        <f>'REG y VAL POE - AESR - ESR'!Z10</f>
        <v>0</v>
      </c>
      <c r="NO4" s="57">
        <f>'REG y VAL POE - AESR - ESR'!AA10</f>
        <v>0</v>
      </c>
      <c r="NP4" s="57">
        <f>'REG y VAL POE - AESR - ESR'!AB10</f>
        <v>0</v>
      </c>
      <c r="NQ4" s="57">
        <f>'REG y VAL POE - AESR - ESR'!AC10</f>
        <v>0</v>
      </c>
      <c r="NR4" s="57">
        <f>'REG y VAL POE - AESR - ESR'!AD10</f>
        <v>0</v>
      </c>
      <c r="NS4" s="57">
        <f>'REG y VAL POE - AESR - ESR'!AE10</f>
        <v>0</v>
      </c>
      <c r="NT4" s="57">
        <f>'REG y VAL POE - AESR - ESR'!AF10</f>
        <v>0</v>
      </c>
      <c r="NU4" s="57">
        <f>'REG y VAL POE - AESR - ESR'!AG10</f>
        <v>0</v>
      </c>
      <c r="NV4" s="57">
        <f>'REG y VAL POE - AESR - ESR'!AH10</f>
        <v>0</v>
      </c>
      <c r="NW4" s="57">
        <f>'REG y VAL POE - AESR - ESR'!AI10</f>
        <v>0</v>
      </c>
      <c r="NX4" s="57">
        <f>'REG y VAL POE - AESR - ESR'!AJ10</f>
        <v>0</v>
      </c>
      <c r="NY4" s="57">
        <f>'REG y VAL POE - AESR - ESR'!AK10</f>
        <v>0</v>
      </c>
      <c r="NZ4" s="57">
        <f>'REG y VAL POE - AESR - ESR'!AL10</f>
        <v>0</v>
      </c>
      <c r="OA4" s="57">
        <f>'REG y VAL POE - AESR - ESR'!AM10</f>
        <v>0</v>
      </c>
      <c r="OB4" s="57">
        <f>'REG y VAL POE - AESR - ESR'!AN10</f>
        <v>0</v>
      </c>
      <c r="OC4" s="57">
        <f>'REG y VAL POE - AESR - ESR'!AO10</f>
        <v>0</v>
      </c>
      <c r="OD4" s="57">
        <f>'REG y VAL POE - AESR - ESR'!AP10</f>
        <v>0</v>
      </c>
      <c r="OE4" s="57">
        <f>'REG y VAL POE - AESR - ESR'!AQ10</f>
        <v>0</v>
      </c>
      <c r="OF4" s="57">
        <f>'REG y VAL POE - AESR - ESR'!AR10</f>
        <v>0</v>
      </c>
      <c r="OG4" s="57">
        <f>'REG y VAL POE - AESR - ESR'!AS10</f>
        <v>0</v>
      </c>
      <c r="OH4" s="55">
        <f>'REG y VAL POE - AESR - ESR'!B11</f>
        <v>0</v>
      </c>
      <c r="OI4" s="57">
        <f>'REG y VAL POE - AESR - ESR'!C11</f>
        <v>0</v>
      </c>
      <c r="OJ4" s="56">
        <f>'REG y VAL POE - AESR - ESR'!D11</f>
        <v>0</v>
      </c>
      <c r="OK4" s="57">
        <f>'REG y VAL POE - AESR - ESR'!E11</f>
        <v>0</v>
      </c>
      <c r="OL4" s="56">
        <f>'REG y VAL POE - AESR - ESR'!F11</f>
        <v>0</v>
      </c>
      <c r="OM4" s="59">
        <f>'REG y VAL POE - AESR - ESR'!G11</f>
        <v>0</v>
      </c>
      <c r="ON4" s="59">
        <f>'REG y VAL POE - AESR - ESR'!H11</f>
        <v>0</v>
      </c>
      <c r="OO4" s="57">
        <f>'REG y VAL POE - AESR - ESR'!I11</f>
        <v>0</v>
      </c>
      <c r="OP4" s="57">
        <f>'REG y VAL POE - AESR - ESR'!J11</f>
        <v>0</v>
      </c>
      <c r="OQ4" s="57">
        <f>'REG y VAL POE - AESR - ESR'!K11</f>
        <v>0</v>
      </c>
      <c r="OR4" s="57">
        <f>'REG y VAL POE - AESR - ESR'!L11</f>
        <v>0</v>
      </c>
      <c r="OS4" s="57">
        <f>'REG y VAL POE - AESR - ESR'!M11</f>
        <v>0</v>
      </c>
      <c r="OT4" s="57">
        <f>'REG y VAL POE - AESR - ESR'!N11</f>
        <v>0</v>
      </c>
      <c r="OU4" s="57">
        <f>'REG y VAL POE - AESR - ESR'!O11</f>
        <v>0</v>
      </c>
      <c r="OV4" s="57">
        <f>'REG y VAL POE - AESR - ESR'!P11</f>
        <v>0</v>
      </c>
      <c r="OW4" s="57">
        <f>'REG y VAL POE - AESR - ESR'!Q11</f>
        <v>0</v>
      </c>
      <c r="OX4" s="57">
        <f>'REG y VAL POE - AESR - ESR'!R11</f>
        <v>0</v>
      </c>
      <c r="OY4" s="57">
        <f>'REG y VAL POE - AESR - ESR'!S11</f>
        <v>0</v>
      </c>
      <c r="OZ4" s="57">
        <f>'REG y VAL POE - AESR - ESR'!T11</f>
        <v>0</v>
      </c>
      <c r="PA4" s="57">
        <f>'REG y VAL POE - AESR - ESR'!U11</f>
        <v>0</v>
      </c>
      <c r="PB4" s="57">
        <f>'REG y VAL POE - AESR - ESR'!V11</f>
        <v>0</v>
      </c>
      <c r="PC4" s="57">
        <f>'REG y VAL POE - AESR - ESR'!W11</f>
        <v>0</v>
      </c>
      <c r="PD4" s="57">
        <f>'REG y VAL POE - AESR - ESR'!X11</f>
        <v>0</v>
      </c>
      <c r="PE4" s="57">
        <f>'REG y VAL POE - AESR - ESR'!Y11</f>
        <v>0</v>
      </c>
      <c r="PF4" s="57">
        <f>'REG y VAL POE - AESR - ESR'!Z11</f>
        <v>0</v>
      </c>
      <c r="PG4" s="57">
        <f>'REG y VAL POE - AESR - ESR'!AA11</f>
        <v>0</v>
      </c>
      <c r="PH4" s="57">
        <f>'REG y VAL POE - AESR - ESR'!AB11</f>
        <v>0</v>
      </c>
      <c r="PI4" s="57">
        <f>'REG y VAL POE - AESR - ESR'!AC11</f>
        <v>0</v>
      </c>
      <c r="PJ4" s="57">
        <f>'REG y VAL POE - AESR - ESR'!AD11</f>
        <v>0</v>
      </c>
      <c r="PK4" s="57">
        <f>'REG y VAL POE - AESR - ESR'!AE11</f>
        <v>0</v>
      </c>
      <c r="PL4" s="57">
        <f>'REG y VAL POE - AESR - ESR'!AF11</f>
        <v>0</v>
      </c>
      <c r="PM4" s="57">
        <f>'REG y VAL POE - AESR - ESR'!AG11</f>
        <v>0</v>
      </c>
      <c r="PN4" s="57">
        <f>'REG y VAL POE - AESR - ESR'!AH11</f>
        <v>0</v>
      </c>
      <c r="PO4" s="57">
        <f>'REG y VAL POE - AESR - ESR'!AI11</f>
        <v>0</v>
      </c>
      <c r="PP4" s="57">
        <f>'REG y VAL POE - AESR - ESR'!AJ11</f>
        <v>0</v>
      </c>
      <c r="PQ4" s="57">
        <f>'REG y VAL POE - AESR - ESR'!AK11</f>
        <v>0</v>
      </c>
      <c r="PR4" s="57">
        <f>'REG y VAL POE - AESR - ESR'!AL11</f>
        <v>0</v>
      </c>
      <c r="PS4" s="57">
        <f>'REG y VAL POE - AESR - ESR'!AM11</f>
        <v>0</v>
      </c>
      <c r="PT4" s="57">
        <f>'REG y VAL POE - AESR - ESR'!AN11</f>
        <v>0</v>
      </c>
      <c r="PU4" s="57">
        <f>'REG y VAL POE - AESR - ESR'!AO11</f>
        <v>0</v>
      </c>
      <c r="PV4" s="57">
        <f>'REG y VAL POE - AESR - ESR'!AP11</f>
        <v>0</v>
      </c>
      <c r="PW4" s="57">
        <f>'REG y VAL POE - AESR - ESR'!AQ11</f>
        <v>0</v>
      </c>
      <c r="PX4" s="57">
        <f>'REG y VAL POE - AESR - ESR'!AR11</f>
        <v>0</v>
      </c>
      <c r="PY4" s="57">
        <f>'REG y VAL POE - AESR - ESR'!AS11</f>
        <v>0</v>
      </c>
      <c r="PZ4" s="55">
        <f>'REG y VAL POE - AESR - ESR'!B12</f>
        <v>0</v>
      </c>
      <c r="QA4" s="57">
        <f>'REG y VAL POE - AESR - ESR'!C12</f>
        <v>0</v>
      </c>
      <c r="QB4" s="56">
        <f>'REG y VAL POE - AESR - ESR'!D12</f>
        <v>0</v>
      </c>
      <c r="QC4" s="57">
        <f>'REG y VAL POE - AESR - ESR'!E12</f>
        <v>0</v>
      </c>
      <c r="QD4" s="56">
        <f>'REG y VAL POE - AESR - ESR'!F12</f>
        <v>0</v>
      </c>
      <c r="QE4" s="59">
        <f>'REG y VAL POE - AESR - ESR'!G12</f>
        <v>0</v>
      </c>
      <c r="QF4" s="59">
        <f>'REG y VAL POE - AESR - ESR'!H12</f>
        <v>0</v>
      </c>
      <c r="QG4" s="57">
        <f>'REG y VAL POE - AESR - ESR'!I12</f>
        <v>0</v>
      </c>
      <c r="QH4" s="57">
        <f>'REG y VAL POE - AESR - ESR'!J12</f>
        <v>0</v>
      </c>
      <c r="QI4" s="57">
        <f>'REG y VAL POE - AESR - ESR'!K12</f>
        <v>0</v>
      </c>
      <c r="QJ4" s="57">
        <f>'REG y VAL POE - AESR - ESR'!L12</f>
        <v>0</v>
      </c>
      <c r="QK4" s="57">
        <f>'REG y VAL POE - AESR - ESR'!M12</f>
        <v>0</v>
      </c>
      <c r="QL4" s="57">
        <f>'REG y VAL POE - AESR - ESR'!N12</f>
        <v>0</v>
      </c>
      <c r="QM4" s="57">
        <f>'REG y VAL POE - AESR - ESR'!O12</f>
        <v>0</v>
      </c>
      <c r="QN4" s="57">
        <f>'REG y VAL POE - AESR - ESR'!P12</f>
        <v>0</v>
      </c>
      <c r="QO4" s="57">
        <f>'REG y VAL POE - AESR - ESR'!Q12</f>
        <v>0</v>
      </c>
      <c r="QP4" s="57">
        <f>'REG y VAL POE - AESR - ESR'!R12</f>
        <v>0</v>
      </c>
      <c r="QQ4" s="57">
        <f>'REG y VAL POE - AESR - ESR'!S12</f>
        <v>0</v>
      </c>
      <c r="QR4" s="57">
        <f>'REG y VAL POE - AESR - ESR'!T12</f>
        <v>0</v>
      </c>
      <c r="QS4" s="57">
        <f>'REG y VAL POE - AESR - ESR'!U12</f>
        <v>0</v>
      </c>
      <c r="QT4" s="57">
        <f>'REG y VAL POE - AESR - ESR'!V12</f>
        <v>0</v>
      </c>
      <c r="QU4" s="57">
        <f>'REG y VAL POE - AESR - ESR'!W12</f>
        <v>0</v>
      </c>
      <c r="QV4" s="57">
        <f>'REG y VAL POE - AESR - ESR'!X12</f>
        <v>0</v>
      </c>
      <c r="QW4" s="57">
        <f>'REG y VAL POE - AESR - ESR'!Y12</f>
        <v>0</v>
      </c>
      <c r="QX4" s="57">
        <f>'REG y VAL POE - AESR - ESR'!Z12</f>
        <v>0</v>
      </c>
      <c r="QY4" s="57">
        <f>'REG y VAL POE - AESR - ESR'!AA12</f>
        <v>0</v>
      </c>
      <c r="QZ4" s="57">
        <f>'REG y VAL POE - AESR - ESR'!AB12</f>
        <v>0</v>
      </c>
      <c r="RA4" s="57">
        <f>'REG y VAL POE - AESR - ESR'!AC12</f>
        <v>0</v>
      </c>
      <c r="RB4" s="57">
        <f>'REG y VAL POE - AESR - ESR'!AD12</f>
        <v>0</v>
      </c>
      <c r="RC4" s="57">
        <f>'REG y VAL POE - AESR - ESR'!AE12</f>
        <v>0</v>
      </c>
      <c r="RD4" s="57">
        <f>'REG y VAL POE - AESR - ESR'!AF12</f>
        <v>0</v>
      </c>
      <c r="RE4" s="57">
        <f>'REG y VAL POE - AESR - ESR'!AG12</f>
        <v>0</v>
      </c>
      <c r="RF4" s="57">
        <f>'REG y VAL POE - AESR - ESR'!AH12</f>
        <v>0</v>
      </c>
      <c r="RG4" s="57">
        <f>'REG y VAL POE - AESR - ESR'!AI12</f>
        <v>0</v>
      </c>
      <c r="RH4" s="57">
        <f>'REG y VAL POE - AESR - ESR'!AJ12</f>
        <v>0</v>
      </c>
      <c r="RI4" s="57">
        <f>'REG y VAL POE - AESR - ESR'!AK12</f>
        <v>0</v>
      </c>
      <c r="RJ4" s="57">
        <f>'REG y VAL POE - AESR - ESR'!AL12</f>
        <v>0</v>
      </c>
      <c r="RK4" s="57">
        <f>'REG y VAL POE - AESR - ESR'!AM12</f>
        <v>0</v>
      </c>
      <c r="RL4" s="57">
        <f>'REG y VAL POE - AESR - ESR'!AN12</f>
        <v>0</v>
      </c>
      <c r="RM4" s="57">
        <f>'REG y VAL POE - AESR - ESR'!AO12</f>
        <v>0</v>
      </c>
      <c r="RN4" s="57">
        <f>'REG y VAL POE - AESR - ESR'!AP12</f>
        <v>0</v>
      </c>
      <c r="RO4" s="57">
        <f>'REG y VAL POE - AESR - ESR'!AQ12</f>
        <v>0</v>
      </c>
      <c r="RP4" s="57">
        <f>'REG y VAL POE - AESR - ESR'!AR12</f>
        <v>0</v>
      </c>
      <c r="RQ4" s="57">
        <f>'REG y VAL POE - AESR - ESR'!AS12</f>
        <v>0</v>
      </c>
      <c r="RR4" s="55">
        <f>'REG y VAL POE - AESR - ESR'!B13</f>
        <v>0</v>
      </c>
      <c r="RS4" s="57">
        <f>'REG y VAL POE - AESR - ESR'!C13</f>
        <v>0</v>
      </c>
      <c r="RT4" s="56">
        <f>'REG y VAL POE - AESR - ESR'!D13</f>
        <v>0</v>
      </c>
      <c r="RU4" s="57">
        <f>'REG y VAL POE - AESR - ESR'!E13</f>
        <v>0</v>
      </c>
      <c r="RV4" s="56">
        <f>'REG y VAL POE - AESR - ESR'!F13</f>
        <v>0</v>
      </c>
      <c r="RW4" s="59">
        <f>'REG y VAL POE - AESR - ESR'!G13</f>
        <v>0</v>
      </c>
      <c r="RX4" s="59">
        <f>'REG y VAL POE - AESR - ESR'!H13</f>
        <v>0</v>
      </c>
      <c r="RY4" s="57">
        <f>'REG y VAL POE - AESR - ESR'!I13</f>
        <v>0</v>
      </c>
      <c r="RZ4" s="57">
        <f>'REG y VAL POE - AESR - ESR'!J13</f>
        <v>0</v>
      </c>
      <c r="SA4" s="57">
        <f>'REG y VAL POE - AESR - ESR'!K13</f>
        <v>0</v>
      </c>
      <c r="SB4" s="57">
        <f>'REG y VAL POE - AESR - ESR'!L13</f>
        <v>0</v>
      </c>
      <c r="SC4" s="57">
        <f>'REG y VAL POE - AESR - ESR'!M13</f>
        <v>0</v>
      </c>
      <c r="SD4" s="57">
        <f>'REG y VAL POE - AESR - ESR'!N13</f>
        <v>0</v>
      </c>
      <c r="SE4" s="57">
        <f>'REG y VAL POE - AESR - ESR'!O13</f>
        <v>0</v>
      </c>
      <c r="SF4" s="57">
        <f>'REG y VAL POE - AESR - ESR'!P13</f>
        <v>0</v>
      </c>
      <c r="SG4" s="57">
        <f>'REG y VAL POE - AESR - ESR'!Q13</f>
        <v>0</v>
      </c>
      <c r="SH4" s="57">
        <f>'REG y VAL POE - AESR - ESR'!R13</f>
        <v>0</v>
      </c>
      <c r="SI4" s="57">
        <f>'REG y VAL POE - AESR - ESR'!S13</f>
        <v>0</v>
      </c>
      <c r="SJ4" s="57">
        <f>'REG y VAL POE - AESR - ESR'!T13</f>
        <v>0</v>
      </c>
      <c r="SK4" s="57">
        <f>'REG y VAL POE - AESR - ESR'!U13</f>
        <v>0</v>
      </c>
      <c r="SL4" s="57">
        <f>'REG y VAL POE - AESR - ESR'!V13</f>
        <v>0</v>
      </c>
      <c r="SM4" s="57">
        <f>'REG y VAL POE - AESR - ESR'!W13</f>
        <v>0</v>
      </c>
      <c r="SN4" s="57">
        <f>'REG y VAL POE - AESR - ESR'!X13</f>
        <v>0</v>
      </c>
      <c r="SO4" s="57">
        <f>'REG y VAL POE - AESR - ESR'!Y13</f>
        <v>0</v>
      </c>
      <c r="SP4" s="57">
        <f>'REG y VAL POE - AESR - ESR'!Z13</f>
        <v>0</v>
      </c>
      <c r="SQ4" s="57">
        <f>'REG y VAL POE - AESR - ESR'!AA13</f>
        <v>0</v>
      </c>
      <c r="SR4" s="57">
        <f>'REG y VAL POE - AESR - ESR'!AB13</f>
        <v>0</v>
      </c>
      <c r="SS4" s="57">
        <f>'REG y VAL POE - AESR - ESR'!AC13</f>
        <v>0</v>
      </c>
      <c r="ST4" s="57">
        <f>'REG y VAL POE - AESR - ESR'!AD13</f>
        <v>0</v>
      </c>
      <c r="SU4" s="57">
        <f>'REG y VAL POE - AESR - ESR'!AE13</f>
        <v>0</v>
      </c>
      <c r="SV4" s="57">
        <f>'REG y VAL POE - AESR - ESR'!AF13</f>
        <v>0</v>
      </c>
      <c r="SW4" s="57">
        <f>'REG y VAL POE - AESR - ESR'!AG13</f>
        <v>0</v>
      </c>
      <c r="SX4" s="57">
        <f>'REG y VAL POE - AESR - ESR'!AH13</f>
        <v>0</v>
      </c>
      <c r="SY4" s="57">
        <f>'REG y VAL POE - AESR - ESR'!AI13</f>
        <v>0</v>
      </c>
      <c r="SZ4" s="57">
        <f>'REG y VAL POE - AESR - ESR'!AJ13</f>
        <v>0</v>
      </c>
      <c r="TA4" s="57">
        <f>'REG y VAL POE - AESR - ESR'!AK13</f>
        <v>0</v>
      </c>
      <c r="TB4" s="57">
        <f>'REG y VAL POE - AESR - ESR'!AL13</f>
        <v>0</v>
      </c>
      <c r="TC4" s="57">
        <f>'REG y VAL POE - AESR - ESR'!AM13</f>
        <v>0</v>
      </c>
      <c r="TD4" s="57">
        <f>'REG y VAL POE - AESR - ESR'!AN13</f>
        <v>0</v>
      </c>
      <c r="TE4" s="57">
        <f>'REG y VAL POE - AESR - ESR'!AO13</f>
        <v>0</v>
      </c>
      <c r="TF4" s="57">
        <f>'REG y VAL POE - AESR - ESR'!AP13</f>
        <v>0</v>
      </c>
      <c r="TG4" s="57">
        <f>'REG y VAL POE - AESR - ESR'!AQ13</f>
        <v>0</v>
      </c>
      <c r="TH4" s="57">
        <f>'REG y VAL POE - AESR - ESR'!AR13</f>
        <v>0</v>
      </c>
      <c r="TI4" s="57">
        <f>'REG y VAL POE - AESR - ESR'!AS13</f>
        <v>0</v>
      </c>
      <c r="TJ4" s="55">
        <f>'REG y VAL POE - AESR - ESR'!B14</f>
        <v>0</v>
      </c>
      <c r="TK4" s="57">
        <f>'REG y VAL POE - AESR - ESR'!C14</f>
        <v>0</v>
      </c>
      <c r="TL4" s="56">
        <f>'REG y VAL POE - AESR - ESR'!D14</f>
        <v>0</v>
      </c>
      <c r="TM4" s="57">
        <f>'REG y VAL POE - AESR - ESR'!E14</f>
        <v>0</v>
      </c>
      <c r="TN4" s="56">
        <f>'REG y VAL POE - AESR - ESR'!F14</f>
        <v>0</v>
      </c>
      <c r="TO4" s="59">
        <f>'REG y VAL POE - AESR - ESR'!G14</f>
        <v>0</v>
      </c>
      <c r="TP4" s="59">
        <f>'REG y VAL POE - AESR - ESR'!H14</f>
        <v>0</v>
      </c>
      <c r="TQ4" s="57">
        <f>'REG y VAL POE - AESR - ESR'!I14</f>
        <v>0</v>
      </c>
      <c r="TR4" s="57">
        <f>'REG y VAL POE - AESR - ESR'!J14</f>
        <v>0</v>
      </c>
      <c r="TS4" s="57">
        <f>'REG y VAL POE - AESR - ESR'!K14</f>
        <v>0</v>
      </c>
      <c r="TT4" s="57">
        <f>'REG y VAL POE - AESR - ESR'!L14</f>
        <v>0</v>
      </c>
      <c r="TU4" s="57">
        <f>'REG y VAL POE - AESR - ESR'!M14</f>
        <v>0</v>
      </c>
      <c r="TV4" s="57">
        <f>'REG y VAL POE - AESR - ESR'!N14</f>
        <v>0</v>
      </c>
      <c r="TW4" s="57">
        <f>'REG y VAL POE - AESR - ESR'!O14</f>
        <v>0</v>
      </c>
      <c r="TX4" s="57">
        <f>'REG y VAL POE - AESR - ESR'!P14</f>
        <v>0</v>
      </c>
      <c r="TY4" s="57">
        <f>'REG y VAL POE - AESR - ESR'!Q14</f>
        <v>0</v>
      </c>
      <c r="TZ4" s="57">
        <f>'REG y VAL POE - AESR - ESR'!R14</f>
        <v>0</v>
      </c>
      <c r="UA4" s="57">
        <f>'REG y VAL POE - AESR - ESR'!S14</f>
        <v>0</v>
      </c>
      <c r="UB4" s="57">
        <f>'REG y VAL POE - AESR - ESR'!T14</f>
        <v>0</v>
      </c>
      <c r="UC4" s="57">
        <f>'REG y VAL POE - AESR - ESR'!U14</f>
        <v>0</v>
      </c>
      <c r="UD4" s="57">
        <f>'REG y VAL POE - AESR - ESR'!V14</f>
        <v>0</v>
      </c>
      <c r="UE4" s="57">
        <f>'REG y VAL POE - AESR - ESR'!W14</f>
        <v>0</v>
      </c>
      <c r="UF4" s="57">
        <f>'REG y VAL POE - AESR - ESR'!X14</f>
        <v>0</v>
      </c>
      <c r="UG4" s="57">
        <f>'REG y VAL POE - AESR - ESR'!Y14</f>
        <v>0</v>
      </c>
      <c r="UH4" s="57">
        <f>'REG y VAL POE - AESR - ESR'!Z14</f>
        <v>0</v>
      </c>
      <c r="UI4" s="57">
        <f>'REG y VAL POE - AESR - ESR'!AA14</f>
        <v>0</v>
      </c>
      <c r="UJ4" s="57">
        <f>'REG y VAL POE - AESR - ESR'!AB14</f>
        <v>0</v>
      </c>
      <c r="UK4" s="57">
        <f>'REG y VAL POE - AESR - ESR'!AC14</f>
        <v>0</v>
      </c>
      <c r="UL4" s="57">
        <f>'REG y VAL POE - AESR - ESR'!AD14</f>
        <v>0</v>
      </c>
      <c r="UM4" s="57">
        <f>'REG y VAL POE - AESR - ESR'!AE14</f>
        <v>0</v>
      </c>
      <c r="UN4" s="57">
        <f>'REG y VAL POE - AESR - ESR'!AF14</f>
        <v>0</v>
      </c>
      <c r="UO4" s="57">
        <f>'REG y VAL POE - AESR - ESR'!AG14</f>
        <v>0</v>
      </c>
      <c r="UP4" s="57">
        <f>'REG y VAL POE - AESR - ESR'!AH14</f>
        <v>0</v>
      </c>
      <c r="UQ4" s="57">
        <f>'REG y VAL POE - AESR - ESR'!AI14</f>
        <v>0</v>
      </c>
      <c r="UR4" s="57">
        <f>'REG y VAL POE - AESR - ESR'!AJ14</f>
        <v>0</v>
      </c>
      <c r="US4" s="57">
        <f>'REG y VAL POE - AESR - ESR'!AK14</f>
        <v>0</v>
      </c>
      <c r="UT4" s="57">
        <f>'REG y VAL POE - AESR - ESR'!AL14</f>
        <v>0</v>
      </c>
      <c r="UU4" s="57">
        <f>'REG y VAL POE - AESR - ESR'!AM14</f>
        <v>0</v>
      </c>
      <c r="UV4" s="57">
        <f>'REG y VAL POE - AESR - ESR'!AN14</f>
        <v>0</v>
      </c>
      <c r="UW4" s="57">
        <f>'REG y VAL POE - AESR - ESR'!AO14</f>
        <v>0</v>
      </c>
      <c r="UX4" s="57">
        <f>'REG y VAL POE - AESR - ESR'!AP14</f>
        <v>0</v>
      </c>
      <c r="UY4" s="57">
        <f>'REG y VAL POE - AESR - ESR'!AQ14</f>
        <v>0</v>
      </c>
      <c r="UZ4" s="57">
        <f>'REG y VAL POE - AESR - ESR'!AR14</f>
        <v>0</v>
      </c>
      <c r="VA4" s="57">
        <f>'REG y VAL POE - AESR - ESR'!AS14</f>
        <v>0</v>
      </c>
      <c r="VB4" s="387">
        <f>'REG y VAL POE - AESR - ESR'!B15</f>
        <v>0</v>
      </c>
      <c r="VC4" s="57">
        <f>'REG y VAL POE - AESR - ESR'!C15</f>
        <v>0</v>
      </c>
      <c r="VD4" s="56">
        <f>'REG y VAL POE - AESR - ESR'!D15</f>
        <v>0</v>
      </c>
      <c r="VE4" s="57">
        <f>'REG y VAL POE - AESR - ESR'!E15</f>
        <v>0</v>
      </c>
      <c r="VF4" s="56">
        <f>'REG y VAL POE - AESR - ESR'!F15</f>
        <v>0</v>
      </c>
      <c r="VG4" s="56">
        <f>'REG y VAL POE - AESR - ESR'!G15</f>
        <v>0</v>
      </c>
      <c r="VH4" s="57">
        <f>'REG y VAL POE - AESR - ESR'!H15</f>
        <v>0</v>
      </c>
      <c r="VI4" s="57">
        <f>'REG y VAL POE - AESR - ESR'!I15</f>
        <v>0</v>
      </c>
      <c r="VJ4" s="57">
        <f>'REG y VAL POE - AESR - ESR'!J15</f>
        <v>0</v>
      </c>
      <c r="VK4" s="56">
        <f>'REG y VAL POE - AESR - ESR'!K15</f>
        <v>0</v>
      </c>
      <c r="VL4" s="57">
        <f>'REG y VAL POE - AESR - ESR'!L15</f>
        <v>0</v>
      </c>
      <c r="VM4" s="57">
        <f>'REG y VAL POE - AESR - ESR'!M15</f>
        <v>0</v>
      </c>
      <c r="VN4" s="56">
        <f>'REG y VAL POE - AESR - ESR'!N15</f>
        <v>0</v>
      </c>
      <c r="VO4" s="57">
        <f>'REG y VAL POE - AESR - ESR'!O15</f>
        <v>0</v>
      </c>
      <c r="VP4" s="56">
        <f>'REG y VAL POE - AESR - ESR'!P15</f>
        <v>0</v>
      </c>
      <c r="VQ4" s="56">
        <f>'REG y VAL POE - AESR - ESR'!Q15</f>
        <v>0</v>
      </c>
      <c r="VR4" s="57">
        <f>'REG y VAL POE - AESR - ESR'!R15</f>
        <v>0</v>
      </c>
      <c r="VS4" s="57">
        <f>'REG y VAL POE - AESR - ESR'!S15</f>
        <v>0</v>
      </c>
      <c r="VT4" s="57">
        <f>'REG y VAL POE - AESR - ESR'!T15</f>
        <v>0</v>
      </c>
      <c r="VU4" s="56">
        <f>'REG y VAL POE - AESR - ESR'!U15</f>
        <v>0</v>
      </c>
      <c r="VV4" s="57">
        <f>'REG y VAL POE - AESR - ESR'!V15</f>
        <v>0</v>
      </c>
      <c r="VW4" s="57">
        <f>'REG y VAL POE - AESR - ESR'!W15</f>
        <v>0</v>
      </c>
      <c r="VX4" s="56">
        <f>'REG y VAL POE - AESR - ESR'!X15</f>
        <v>0</v>
      </c>
      <c r="VY4" s="57">
        <f>'REG y VAL POE - AESR - ESR'!Y15</f>
        <v>0</v>
      </c>
      <c r="VZ4" s="56">
        <f>'REG y VAL POE - AESR - ESR'!Z15</f>
        <v>0</v>
      </c>
      <c r="WA4" s="56">
        <f>'REG y VAL POE - AESR - ESR'!AA15</f>
        <v>0</v>
      </c>
      <c r="WB4" s="57">
        <f>'REG y VAL POE - AESR - ESR'!AB15</f>
        <v>0</v>
      </c>
      <c r="WC4" s="57">
        <f>'REG y VAL POE - AESR - ESR'!AC15</f>
        <v>0</v>
      </c>
      <c r="WD4" s="57">
        <f>'REG y VAL POE - AESR - ESR'!AD15</f>
        <v>0</v>
      </c>
      <c r="WE4" s="56">
        <f>'REG y VAL POE - AESR - ESR'!AE15</f>
        <v>0</v>
      </c>
      <c r="WF4" s="57">
        <f>'REG y VAL POE - AESR - ESR'!AF15</f>
        <v>0</v>
      </c>
      <c r="WG4" s="57">
        <f>'REG y VAL POE - AESR - ESR'!AG15</f>
        <v>0</v>
      </c>
      <c r="WH4" s="56">
        <f>'REG y VAL POE - AESR - ESR'!AH15</f>
        <v>0</v>
      </c>
      <c r="WI4" s="57">
        <f>'REG y VAL POE - AESR - ESR'!AI15</f>
        <v>0</v>
      </c>
      <c r="WJ4" s="56">
        <f>'REG y VAL POE - AESR - ESR'!AJ15</f>
        <v>0</v>
      </c>
      <c r="WK4" s="56">
        <f>'REG y VAL POE - AESR - ESR'!AK15</f>
        <v>0</v>
      </c>
      <c r="WL4" s="57">
        <f>'REG y VAL POE - AESR - ESR'!AL15</f>
        <v>0</v>
      </c>
      <c r="WM4" s="57">
        <f>'REG y VAL POE - AESR - ESR'!AM15</f>
        <v>0</v>
      </c>
      <c r="WN4" s="57">
        <f>'REG y VAL POE - AESR - ESR'!AN15</f>
        <v>0</v>
      </c>
      <c r="WO4" s="56">
        <f>'REG y VAL POE - AESR - ESR'!AO15</f>
        <v>0</v>
      </c>
      <c r="WP4" s="57">
        <f>'REG y VAL POE - AESR - ESR'!AP15</f>
        <v>0</v>
      </c>
      <c r="WQ4" s="57">
        <f>'REG y VAL POE - AESR - ESR'!AQ15</f>
        <v>0</v>
      </c>
      <c r="WR4" s="56">
        <f>'REG y VAL POE - AESR - ESR'!AR15</f>
        <v>0</v>
      </c>
      <c r="WS4" s="57">
        <f>'REG y VAL POE - AESR - ESR'!AS15</f>
        <v>0</v>
      </c>
      <c r="WT4" s="55">
        <f>'REG y VAL POE - AESR - ESR'!B16</f>
        <v>0</v>
      </c>
      <c r="WU4" s="56">
        <f>'REG y VAL POE - AESR - ESR'!C16</f>
        <v>0</v>
      </c>
      <c r="WV4" s="57">
        <f>'REG y VAL POE - AESR - ESR'!D16</f>
        <v>0</v>
      </c>
      <c r="WW4" s="57">
        <f>'REG y VAL POE - AESR - ESR'!E16</f>
        <v>0</v>
      </c>
      <c r="WX4" s="57">
        <f>'REG y VAL POE - AESR - ESR'!F16</f>
        <v>0</v>
      </c>
      <c r="WY4" s="56">
        <f>'REG y VAL POE - AESR - ESR'!G16</f>
        <v>0</v>
      </c>
      <c r="WZ4" s="57">
        <f>'REG y VAL POE - AESR - ESR'!H16</f>
        <v>0</v>
      </c>
      <c r="XA4" s="57">
        <f>'REG y VAL POE - AESR - ESR'!I16</f>
        <v>0</v>
      </c>
      <c r="XB4" s="56">
        <f>'REG y VAL POE - AESR - ESR'!J16</f>
        <v>0</v>
      </c>
      <c r="XC4" s="57">
        <f>'REG y VAL POE - AESR - ESR'!K16</f>
        <v>0</v>
      </c>
      <c r="XD4" s="56">
        <f>'REG y VAL POE - AESR - ESR'!L16</f>
        <v>0</v>
      </c>
      <c r="XE4" s="56">
        <f>'REG y VAL POE - AESR - ESR'!M16</f>
        <v>0</v>
      </c>
      <c r="XF4" s="57">
        <f>'REG y VAL POE - AESR - ESR'!N16</f>
        <v>0</v>
      </c>
      <c r="XG4" s="57">
        <f>'REG y VAL POE - AESR - ESR'!O16</f>
        <v>0</v>
      </c>
      <c r="XH4" s="57">
        <f>'REG y VAL POE - AESR - ESR'!P16</f>
        <v>0</v>
      </c>
      <c r="XI4" s="56">
        <f>'REG y VAL POE - AESR - ESR'!Q16</f>
        <v>0</v>
      </c>
      <c r="XJ4" s="57">
        <f>'REG y VAL POE - AESR - ESR'!R16</f>
        <v>0</v>
      </c>
      <c r="XK4" s="57">
        <f>'REG y VAL POE - AESR - ESR'!S16</f>
        <v>0</v>
      </c>
      <c r="XL4" s="56">
        <f>'REG y VAL POE - AESR - ESR'!T16</f>
        <v>0</v>
      </c>
      <c r="XM4" s="57">
        <f>'REG y VAL POE - AESR - ESR'!U16</f>
        <v>0</v>
      </c>
      <c r="XN4" s="56">
        <f>'REG y VAL POE - AESR - ESR'!V16</f>
        <v>0</v>
      </c>
      <c r="XO4" s="56">
        <f>'REG y VAL POE - AESR - ESR'!W16</f>
        <v>0</v>
      </c>
      <c r="XP4" s="57">
        <f>'REG y VAL POE - AESR - ESR'!X16</f>
        <v>0</v>
      </c>
      <c r="XQ4" s="57">
        <f>'REG y VAL POE - AESR - ESR'!Y16</f>
        <v>0</v>
      </c>
      <c r="XR4" s="57">
        <f>'REG y VAL POE - AESR - ESR'!Z16</f>
        <v>0</v>
      </c>
      <c r="XS4" s="56">
        <f>'REG y VAL POE - AESR - ESR'!AA16</f>
        <v>0</v>
      </c>
      <c r="XT4" s="57">
        <f>'REG y VAL POE - AESR - ESR'!AB16</f>
        <v>0</v>
      </c>
      <c r="XU4" s="57">
        <f>'REG y VAL POE - AESR - ESR'!AC16</f>
        <v>0</v>
      </c>
      <c r="XV4" s="56">
        <f>'REG y VAL POE - AESR - ESR'!AD16</f>
        <v>0</v>
      </c>
      <c r="XW4" s="57">
        <f>'REG y VAL POE - AESR - ESR'!AE16</f>
        <v>0</v>
      </c>
      <c r="XX4" s="56">
        <f>'REG y VAL POE - AESR - ESR'!AF16</f>
        <v>0</v>
      </c>
      <c r="XY4" s="56">
        <f>'REG y VAL POE - AESR - ESR'!AG16</f>
        <v>0</v>
      </c>
      <c r="XZ4" s="57">
        <f>'REG y VAL POE - AESR - ESR'!AH16</f>
        <v>0</v>
      </c>
      <c r="YA4" s="57">
        <f>'REG y VAL POE - AESR - ESR'!AI16</f>
        <v>0</v>
      </c>
      <c r="YB4" s="57">
        <f>'REG y VAL POE - AESR - ESR'!AJ16</f>
        <v>0</v>
      </c>
      <c r="YC4" s="56">
        <f>'REG y VAL POE - AESR - ESR'!AK16</f>
        <v>0</v>
      </c>
      <c r="YD4" s="57">
        <f>'REG y VAL POE - AESR - ESR'!AL16</f>
        <v>0</v>
      </c>
      <c r="YE4" s="57">
        <f>'REG y VAL POE - AESR - ESR'!AM16</f>
        <v>0</v>
      </c>
      <c r="YF4" s="56">
        <f>'REG y VAL POE - AESR - ESR'!AN16</f>
        <v>0</v>
      </c>
      <c r="YG4" s="57">
        <f>'REG y VAL POE - AESR - ESR'!AO16</f>
        <v>0</v>
      </c>
      <c r="YH4" s="56">
        <f>'REG y VAL POE - AESR - ESR'!AP16</f>
        <v>0</v>
      </c>
      <c r="YI4" s="56">
        <f>'REG y VAL POE - AESR - ESR'!AQ16</f>
        <v>0</v>
      </c>
      <c r="YJ4" s="57">
        <f>'REG y VAL POE - AESR - ESR'!AR16</f>
        <v>0</v>
      </c>
      <c r="YK4" s="57">
        <f>'REG y VAL POE - AESR - ESR'!AS16</f>
        <v>0</v>
      </c>
      <c r="YL4" s="387">
        <f>'REG y VAL POE - AESR - ESR'!B17</f>
        <v>0</v>
      </c>
      <c r="YM4" s="56">
        <f>'REG y VAL POE - AESR - ESR'!C17</f>
        <v>0</v>
      </c>
      <c r="YN4" s="57">
        <f>'REG y VAL POE - AESR - ESR'!D17</f>
        <v>0</v>
      </c>
      <c r="YO4" s="57">
        <f>'REG y VAL POE - AESR - ESR'!E17</f>
        <v>0</v>
      </c>
      <c r="YP4" s="56">
        <f>'REG y VAL POE - AESR - ESR'!F17</f>
        <v>0</v>
      </c>
      <c r="YQ4" s="57">
        <f>'REG y VAL POE - AESR - ESR'!G17</f>
        <v>0</v>
      </c>
      <c r="YR4" s="56">
        <f>'REG y VAL POE - AESR - ESR'!H17</f>
        <v>0</v>
      </c>
      <c r="YS4" s="56">
        <f>'REG y VAL POE - AESR - ESR'!I17</f>
        <v>0</v>
      </c>
      <c r="YT4" s="57">
        <f>'REG y VAL POE - AESR - ESR'!J17</f>
        <v>0</v>
      </c>
      <c r="YU4" s="57">
        <f>'REG y VAL POE - AESR - ESR'!K17</f>
        <v>0</v>
      </c>
      <c r="YV4" s="57">
        <f>'REG y VAL POE - AESR - ESR'!L17</f>
        <v>0</v>
      </c>
      <c r="YW4" s="56">
        <f>'REG y VAL POE - AESR - ESR'!M17</f>
        <v>0</v>
      </c>
      <c r="YX4" s="57">
        <f>'REG y VAL POE - AESR - ESR'!N17</f>
        <v>0</v>
      </c>
      <c r="YY4" s="57">
        <f>'REG y VAL POE - AESR - ESR'!O17</f>
        <v>0</v>
      </c>
      <c r="YZ4" s="56">
        <f>'REG y VAL POE - AESR - ESR'!P17</f>
        <v>0</v>
      </c>
      <c r="ZA4" s="57">
        <f>'REG y VAL POE - AESR - ESR'!Q17</f>
        <v>0</v>
      </c>
      <c r="ZB4" s="56">
        <f>'REG y VAL POE - AESR - ESR'!R17</f>
        <v>0</v>
      </c>
      <c r="ZC4" s="56">
        <f>'REG y VAL POE - AESR - ESR'!S17</f>
        <v>0</v>
      </c>
      <c r="ZD4" s="57">
        <f>'REG y VAL POE - AESR - ESR'!T17</f>
        <v>0</v>
      </c>
      <c r="ZE4" s="57">
        <f>'REG y VAL POE - AESR - ESR'!U17</f>
        <v>0</v>
      </c>
      <c r="ZF4" s="57">
        <f>'REG y VAL POE - AESR - ESR'!V17</f>
        <v>0</v>
      </c>
      <c r="ZG4" s="56">
        <f>'REG y VAL POE - AESR - ESR'!W17</f>
        <v>0</v>
      </c>
      <c r="ZH4" s="57">
        <f>'REG y VAL POE - AESR - ESR'!X17</f>
        <v>0</v>
      </c>
      <c r="ZI4" s="57">
        <f>'REG y VAL POE - AESR - ESR'!Y17</f>
        <v>0</v>
      </c>
      <c r="ZJ4" s="56">
        <f>'REG y VAL POE - AESR - ESR'!Z17</f>
        <v>0</v>
      </c>
      <c r="ZK4" s="57">
        <f>'REG y VAL POE - AESR - ESR'!AA17</f>
        <v>0</v>
      </c>
      <c r="ZL4" s="56">
        <f>'REG y VAL POE - AESR - ESR'!AB17</f>
        <v>0</v>
      </c>
      <c r="ZM4" s="56">
        <f>'REG y VAL POE - AESR - ESR'!AC17</f>
        <v>0</v>
      </c>
      <c r="ZN4" s="57">
        <f>'REG y VAL POE - AESR - ESR'!AD17</f>
        <v>0</v>
      </c>
      <c r="ZO4" s="57">
        <f>'REG y VAL POE - AESR - ESR'!AE17</f>
        <v>0</v>
      </c>
      <c r="ZP4" s="57">
        <f>'REG y VAL POE - AESR - ESR'!AF17</f>
        <v>0</v>
      </c>
      <c r="ZQ4" s="56">
        <f>'REG y VAL POE - AESR - ESR'!AG17</f>
        <v>0</v>
      </c>
      <c r="ZR4" s="57">
        <f>'REG y VAL POE - AESR - ESR'!AH17</f>
        <v>0</v>
      </c>
      <c r="ZS4" s="57">
        <f>'REG y VAL POE - AESR - ESR'!AI17</f>
        <v>0</v>
      </c>
      <c r="ZT4" s="56">
        <f>'REG y VAL POE - AESR - ESR'!AJ17</f>
        <v>0</v>
      </c>
      <c r="ZU4" s="57">
        <f>'REG y VAL POE - AESR - ESR'!AK17</f>
        <v>0</v>
      </c>
      <c r="ZV4" s="56">
        <f>'REG y VAL POE - AESR - ESR'!AL17</f>
        <v>0</v>
      </c>
      <c r="ZW4" s="56">
        <f>'REG y VAL POE - AESR - ESR'!AM17</f>
        <v>0</v>
      </c>
      <c r="ZX4" s="57">
        <f>'REG y VAL POE - AESR - ESR'!AN17</f>
        <v>0</v>
      </c>
      <c r="ZY4" s="57">
        <f>'REG y VAL POE - AESR - ESR'!AO17</f>
        <v>0</v>
      </c>
      <c r="ZZ4" s="57">
        <f>'REG y VAL POE - AESR - ESR'!AP17</f>
        <v>0</v>
      </c>
      <c r="AAA4" s="56">
        <f>'REG y VAL POE - AESR - ESR'!AQ17</f>
        <v>0</v>
      </c>
      <c r="AAB4" s="57">
        <f>'REG y VAL POE - AESR - ESR'!AR17</f>
        <v>0</v>
      </c>
      <c r="AAC4" s="57">
        <f>'REG y VAL POE - AESR - ESR'!AS17</f>
        <v>0</v>
      </c>
      <c r="AAD4" s="55">
        <f>'REG y VAL POE - AESR - ESR'!B18</f>
        <v>0</v>
      </c>
      <c r="AAE4" s="57">
        <f>'REG y VAL POE - AESR - ESR'!C18</f>
        <v>0</v>
      </c>
      <c r="AAF4" s="56">
        <f>'REG y VAL POE - AESR - ESR'!D18</f>
        <v>0</v>
      </c>
      <c r="AAG4" s="56">
        <f>'REG y VAL POE - AESR - ESR'!E18</f>
        <v>0</v>
      </c>
      <c r="AAH4" s="57">
        <f>'REG y VAL POE - AESR - ESR'!F18</f>
        <v>0</v>
      </c>
      <c r="AAI4" s="57">
        <f>'REG y VAL POE - AESR - ESR'!G18</f>
        <v>0</v>
      </c>
      <c r="AAJ4" s="57">
        <f>'REG y VAL POE - AESR - ESR'!H18</f>
        <v>0</v>
      </c>
      <c r="AAK4" s="56">
        <f>'REG y VAL POE - AESR - ESR'!I18</f>
        <v>0</v>
      </c>
      <c r="AAL4" s="57">
        <f>'REG y VAL POE - AESR - ESR'!J18</f>
        <v>0</v>
      </c>
      <c r="AAM4" s="57">
        <f>'REG y VAL POE - AESR - ESR'!K18</f>
        <v>0</v>
      </c>
      <c r="AAN4" s="56">
        <f>'REG y VAL POE - AESR - ESR'!L18</f>
        <v>0</v>
      </c>
      <c r="AAO4" s="57">
        <f>'REG y VAL POE - AESR - ESR'!M18</f>
        <v>0</v>
      </c>
      <c r="AAP4" s="56">
        <f>'REG y VAL POE - AESR - ESR'!N18</f>
        <v>0</v>
      </c>
      <c r="AAQ4" s="56">
        <f>'REG y VAL POE - AESR - ESR'!O18</f>
        <v>0</v>
      </c>
      <c r="AAR4" s="57">
        <f>'REG y VAL POE - AESR - ESR'!P18</f>
        <v>0</v>
      </c>
      <c r="AAS4" s="57">
        <f>'REG y VAL POE - AESR - ESR'!Q18</f>
        <v>0</v>
      </c>
      <c r="AAT4" s="57">
        <f>'REG y VAL POE - AESR - ESR'!R18</f>
        <v>0</v>
      </c>
      <c r="AAU4" s="56">
        <f>'REG y VAL POE - AESR - ESR'!S18</f>
        <v>0</v>
      </c>
      <c r="AAV4" s="57">
        <f>'REG y VAL POE - AESR - ESR'!T18</f>
        <v>0</v>
      </c>
      <c r="AAW4" s="57">
        <f>'REG y VAL POE - AESR - ESR'!U18</f>
        <v>0</v>
      </c>
      <c r="AAX4" s="56">
        <f>'REG y VAL POE - AESR - ESR'!V18</f>
        <v>0</v>
      </c>
      <c r="AAY4" s="56">
        <f>'REG y VAL POE - AESR - ESR'!W18</f>
        <v>0</v>
      </c>
      <c r="AAZ4" s="56">
        <f>'REG y VAL POE - AESR - ESR'!X18</f>
        <v>0</v>
      </c>
      <c r="ABA4" s="56">
        <f>'REG y VAL POE - AESR - ESR'!Y18</f>
        <v>0</v>
      </c>
      <c r="ABB4" s="56">
        <f>'REG y VAL POE - AESR - ESR'!Z18</f>
        <v>0</v>
      </c>
      <c r="ABC4" s="56">
        <f>'REG y VAL POE - AESR - ESR'!AA18</f>
        <v>0</v>
      </c>
      <c r="ABD4" s="56">
        <f>'REG y VAL POE - AESR - ESR'!AB18</f>
        <v>0</v>
      </c>
      <c r="ABE4" s="56">
        <f>'REG y VAL POE - AESR - ESR'!AC18</f>
        <v>0</v>
      </c>
      <c r="ABF4" s="56">
        <f>'REG y VAL POE - AESR - ESR'!AD18</f>
        <v>0</v>
      </c>
      <c r="ABG4" s="57">
        <f>'REG y VAL POE - AESR - ESR'!AE18</f>
        <v>0</v>
      </c>
      <c r="ABH4" s="56">
        <f>'REG y VAL POE - AESR - ESR'!AF18</f>
        <v>0</v>
      </c>
      <c r="ABI4" s="57">
        <f>'REG y VAL POE - AESR - ESR'!AG18</f>
        <v>0</v>
      </c>
      <c r="ABJ4" s="56">
        <f>'REG y VAL POE - AESR - ESR'!AH18</f>
        <v>0</v>
      </c>
      <c r="ABK4" s="56">
        <f>'REG y VAL POE - AESR - ESR'!AI18</f>
        <v>0</v>
      </c>
      <c r="ABL4" s="57">
        <f>'REG y VAL POE - AESR - ESR'!AJ18</f>
        <v>0</v>
      </c>
      <c r="ABM4" s="57">
        <f>'REG y VAL POE - AESR - ESR'!AK18</f>
        <v>0</v>
      </c>
      <c r="ABN4" s="57">
        <f>'REG y VAL POE - AESR - ESR'!AL18</f>
        <v>0</v>
      </c>
      <c r="ABO4" s="56">
        <f>'REG y VAL POE - AESR - ESR'!AM18</f>
        <v>0</v>
      </c>
      <c r="ABP4" s="57">
        <f>'REG y VAL POE - AESR - ESR'!AN18</f>
        <v>0</v>
      </c>
      <c r="ABQ4" s="57">
        <f>'REG y VAL POE - AESR - ESR'!AO18</f>
        <v>0</v>
      </c>
      <c r="ABR4" s="56">
        <f>'REG y VAL POE - AESR - ESR'!AP18</f>
        <v>0</v>
      </c>
      <c r="ABS4" s="57">
        <f>'REG y VAL POE - AESR - ESR'!AQ18</f>
        <v>0</v>
      </c>
      <c r="ABT4" s="56">
        <f>'REG y VAL POE - AESR - ESR'!AR18</f>
        <v>0</v>
      </c>
      <c r="ABU4" s="56">
        <f>'REG y VAL POE - AESR - ESR'!AS18</f>
        <v>0</v>
      </c>
      <c r="ABV4" s="387">
        <f>'REG y VAL POE - AESR - ESR'!B19</f>
        <v>0</v>
      </c>
      <c r="ABW4" s="57">
        <f>'REG y VAL POE - AESR - ESR'!C19</f>
        <v>0</v>
      </c>
      <c r="ABX4" s="57">
        <f>'REG y VAL POE - AESR - ESR'!D19</f>
        <v>0</v>
      </c>
      <c r="ABY4" s="56">
        <f>'REG y VAL POE - AESR - ESR'!E19</f>
        <v>0</v>
      </c>
      <c r="ABZ4" s="57">
        <f>'REG y VAL POE - AESR - ESR'!F19</f>
        <v>0</v>
      </c>
      <c r="ACA4" s="57">
        <f>'REG y VAL POE - AESR - ESR'!G19</f>
        <v>0</v>
      </c>
      <c r="ACB4" s="56">
        <f>'REG y VAL POE - AESR - ESR'!H19</f>
        <v>0</v>
      </c>
      <c r="ACC4" s="57">
        <f>'REG y VAL POE - AESR - ESR'!I19</f>
        <v>0</v>
      </c>
      <c r="ACD4" s="56">
        <f>'REG y VAL POE - AESR - ESR'!J19</f>
        <v>0</v>
      </c>
      <c r="ACE4" s="56">
        <f>'REG y VAL POE - AESR - ESR'!K19</f>
        <v>0</v>
      </c>
      <c r="ACF4" s="57">
        <f>'REG y VAL POE - AESR - ESR'!L19</f>
        <v>0</v>
      </c>
      <c r="ACG4" s="57">
        <f>'REG y VAL POE - AESR - ESR'!M19</f>
        <v>0</v>
      </c>
      <c r="ACH4" s="57">
        <f>'REG y VAL POE - AESR - ESR'!N19</f>
        <v>0</v>
      </c>
      <c r="ACI4" s="56">
        <f>'REG y VAL POE - AESR - ESR'!O19</f>
        <v>0</v>
      </c>
      <c r="ACJ4" s="57">
        <f>'REG y VAL POE - AESR - ESR'!P19</f>
        <v>0</v>
      </c>
      <c r="ACK4" s="57">
        <f>'REG y VAL POE - AESR - ESR'!Q19</f>
        <v>0</v>
      </c>
      <c r="ACL4" s="56">
        <f>'REG y VAL POE - AESR - ESR'!R19</f>
        <v>0</v>
      </c>
      <c r="ACM4" s="57">
        <f>'REG y VAL POE - AESR - ESR'!S19</f>
        <v>0</v>
      </c>
      <c r="ACN4" s="56">
        <f>'REG y VAL POE - AESR - ESR'!T19</f>
        <v>0</v>
      </c>
      <c r="ACO4" s="56">
        <f>'REG y VAL POE - AESR - ESR'!U19</f>
        <v>0</v>
      </c>
      <c r="ACP4" s="57">
        <f>'REG y VAL POE - AESR - ESR'!V19</f>
        <v>0</v>
      </c>
      <c r="ACQ4" s="57">
        <f>'REG y VAL POE - AESR - ESR'!W19</f>
        <v>0</v>
      </c>
      <c r="ACR4" s="57">
        <f>'REG y VAL POE - AESR - ESR'!X19</f>
        <v>0</v>
      </c>
      <c r="ACS4" s="56">
        <f>'REG y VAL POE - AESR - ESR'!Y19</f>
        <v>0</v>
      </c>
      <c r="ACT4" s="57">
        <f>'REG y VAL POE - AESR - ESR'!Z19</f>
        <v>0</v>
      </c>
      <c r="ACU4" s="57">
        <f>'REG y VAL POE - AESR - ESR'!AA19</f>
        <v>0</v>
      </c>
      <c r="ACV4" s="56">
        <f>'REG y VAL POE - AESR - ESR'!AB19</f>
        <v>0</v>
      </c>
      <c r="ACW4" s="57">
        <f>'REG y VAL POE - AESR - ESR'!AC19</f>
        <v>0</v>
      </c>
      <c r="ACX4" s="56">
        <f>'REG y VAL POE - AESR - ESR'!AD19</f>
        <v>0</v>
      </c>
      <c r="ACY4" s="56">
        <f>'REG y VAL POE - AESR - ESR'!AE19</f>
        <v>0</v>
      </c>
      <c r="ACZ4" s="57">
        <f>'REG y VAL POE - AESR - ESR'!AF19</f>
        <v>0</v>
      </c>
      <c r="ADA4" s="57">
        <f>'REG y VAL POE - AESR - ESR'!AG19</f>
        <v>0</v>
      </c>
      <c r="ADB4" s="57">
        <f>'REG y VAL POE - AESR - ESR'!AH19</f>
        <v>0</v>
      </c>
      <c r="ADC4" s="56">
        <f>'REG y VAL POE - AESR - ESR'!AI19</f>
        <v>0</v>
      </c>
      <c r="ADD4" s="57">
        <f>'REG y VAL POE - AESR - ESR'!AJ19</f>
        <v>0</v>
      </c>
      <c r="ADE4" s="57">
        <f>'REG y VAL POE - AESR - ESR'!AK19</f>
        <v>0</v>
      </c>
      <c r="ADF4" s="56">
        <f>'REG y VAL POE - AESR - ESR'!AL19</f>
        <v>0</v>
      </c>
      <c r="ADG4" s="57">
        <f>'REG y VAL POE - AESR - ESR'!AM19</f>
        <v>0</v>
      </c>
      <c r="ADH4" s="56">
        <f>'REG y VAL POE - AESR - ESR'!AN19</f>
        <v>0</v>
      </c>
      <c r="ADI4" s="56">
        <f>'REG y VAL POE - AESR - ESR'!AO19</f>
        <v>0</v>
      </c>
      <c r="ADJ4" s="57">
        <f>'REG y VAL POE - AESR - ESR'!AP19</f>
        <v>0</v>
      </c>
      <c r="ADK4" s="57">
        <f>'REG y VAL POE - AESR - ESR'!AQ19</f>
        <v>0</v>
      </c>
      <c r="ADL4" s="57">
        <f>'REG y VAL POE - AESR - ESR'!AR19</f>
        <v>0</v>
      </c>
      <c r="ADM4" s="56">
        <f>'REG y VAL POE - AESR - ESR'!AS19</f>
        <v>0</v>
      </c>
      <c r="ADN4" s="387">
        <f>'REG y VAL POE - AESR - ESR'!B20</f>
        <v>0</v>
      </c>
      <c r="ADO4" s="57">
        <f>'REG y VAL POE - AESR - ESR'!C20</f>
        <v>0</v>
      </c>
      <c r="ADP4" s="56">
        <f>'REG y VAL POE - AESR - ESR'!D20</f>
        <v>0</v>
      </c>
      <c r="ADQ4" s="57">
        <f>'REG y VAL POE - AESR - ESR'!E20</f>
        <v>0</v>
      </c>
      <c r="ADR4" s="56">
        <f>'REG y VAL POE - AESR - ESR'!F20</f>
        <v>0</v>
      </c>
      <c r="ADS4" s="56">
        <f>'REG y VAL POE - AESR - ESR'!G20</f>
        <v>0</v>
      </c>
      <c r="ADT4" s="57">
        <f>'REG y VAL POE - AESR - ESR'!H20</f>
        <v>0</v>
      </c>
      <c r="ADU4" s="57">
        <f>'REG y VAL POE - AESR - ESR'!I20</f>
        <v>0</v>
      </c>
      <c r="ADV4" s="57">
        <f>'REG y VAL POE - AESR - ESR'!J20</f>
        <v>0</v>
      </c>
      <c r="ADW4" s="56">
        <f>'REG y VAL POE - AESR - ESR'!K20</f>
        <v>0</v>
      </c>
      <c r="ADX4" s="57">
        <f>'REG y VAL POE - AESR - ESR'!L20</f>
        <v>0</v>
      </c>
      <c r="ADY4" s="57">
        <f>'REG y VAL POE - AESR - ESR'!M20</f>
        <v>0</v>
      </c>
      <c r="ADZ4" s="56">
        <f>'REG y VAL POE - AESR - ESR'!N20</f>
        <v>0</v>
      </c>
      <c r="AEA4" s="57">
        <f>'REG y VAL POE - AESR - ESR'!O20</f>
        <v>0</v>
      </c>
      <c r="AEB4" s="56">
        <f>'REG y VAL POE - AESR - ESR'!P20</f>
        <v>0</v>
      </c>
      <c r="AEC4" s="56">
        <f>'REG y VAL POE - AESR - ESR'!Q20</f>
        <v>0</v>
      </c>
      <c r="AED4" s="57">
        <f>'REG y VAL POE - AESR - ESR'!R20</f>
        <v>0</v>
      </c>
      <c r="AEE4" s="57">
        <f>'REG y VAL POE - AESR - ESR'!S20</f>
        <v>0</v>
      </c>
      <c r="AEF4" s="57">
        <f>'REG y VAL POE - AESR - ESR'!T20</f>
        <v>0</v>
      </c>
      <c r="AEG4" s="56">
        <f>'REG y VAL POE - AESR - ESR'!U20</f>
        <v>0</v>
      </c>
      <c r="AEH4" s="57">
        <f>'REG y VAL POE - AESR - ESR'!V20</f>
        <v>0</v>
      </c>
      <c r="AEI4" s="57">
        <f>'REG y VAL POE - AESR - ESR'!W20</f>
        <v>0</v>
      </c>
      <c r="AEJ4" s="56">
        <f>'REG y VAL POE - AESR - ESR'!X20</f>
        <v>0</v>
      </c>
      <c r="AEK4" s="57">
        <f>'REG y VAL POE - AESR - ESR'!Y20</f>
        <v>0</v>
      </c>
      <c r="AEL4" s="56">
        <f>'REG y VAL POE - AESR - ESR'!Z20</f>
        <v>0</v>
      </c>
      <c r="AEM4" s="56">
        <f>'REG y VAL POE - AESR - ESR'!AA20</f>
        <v>0</v>
      </c>
      <c r="AEN4" s="57">
        <f>'REG y VAL POE - AESR - ESR'!AB20</f>
        <v>0</v>
      </c>
      <c r="AEO4" s="57">
        <f>'REG y VAL POE - AESR - ESR'!AC20</f>
        <v>0</v>
      </c>
      <c r="AEP4" s="57">
        <f>'REG y VAL POE - AESR - ESR'!AD20</f>
        <v>0</v>
      </c>
      <c r="AEQ4" s="56">
        <f>'REG y VAL POE - AESR - ESR'!AE20</f>
        <v>0</v>
      </c>
      <c r="AER4" s="57">
        <f>'REG y VAL POE - AESR - ESR'!AF20</f>
        <v>0</v>
      </c>
      <c r="AES4" s="57">
        <f>'REG y VAL POE - AESR - ESR'!AG20</f>
        <v>0</v>
      </c>
      <c r="AET4" s="56">
        <f>'REG y VAL POE - AESR - ESR'!AH20</f>
        <v>0</v>
      </c>
      <c r="AEU4" s="57">
        <f>'REG y VAL POE - AESR - ESR'!AI20</f>
        <v>0</v>
      </c>
      <c r="AEV4" s="56">
        <f>'REG y VAL POE - AESR - ESR'!AJ20</f>
        <v>0</v>
      </c>
      <c r="AEW4" s="56">
        <f>'REG y VAL POE - AESR - ESR'!AK20</f>
        <v>0</v>
      </c>
      <c r="AEX4" s="57">
        <f>'REG y VAL POE - AESR - ESR'!AL20</f>
        <v>0</v>
      </c>
      <c r="AEY4" s="57">
        <f>'REG y VAL POE - AESR - ESR'!AM20</f>
        <v>0</v>
      </c>
      <c r="AEZ4" s="57">
        <f>'REG y VAL POE - AESR - ESR'!AN20</f>
        <v>0</v>
      </c>
      <c r="AFA4" s="56">
        <f>'REG y VAL POE - AESR - ESR'!AO20</f>
        <v>0</v>
      </c>
      <c r="AFB4" s="57">
        <f>'REG y VAL POE - AESR - ESR'!AP20</f>
        <v>0</v>
      </c>
      <c r="AFC4" s="57">
        <f>'REG y VAL POE - AESR - ESR'!AQ20</f>
        <v>0</v>
      </c>
      <c r="AFD4" s="56">
        <f>'REG y VAL POE - AESR - ESR'!AR20</f>
        <v>0</v>
      </c>
      <c r="AFE4" s="57">
        <f>'REG y VAL POE - AESR - ESR'!AS20</f>
        <v>0</v>
      </c>
      <c r="AFF4" s="55">
        <f>'REG y VAL POE - AESR - ESR'!B21</f>
        <v>0</v>
      </c>
      <c r="AFG4" s="56">
        <f>'REG y VAL POE - AESR - ESR'!C21</f>
        <v>0</v>
      </c>
      <c r="AFH4" s="57">
        <f>'REG y VAL POE - AESR - ESR'!D21</f>
        <v>0</v>
      </c>
      <c r="AFI4" s="57">
        <f>'REG y VAL POE - AESR - ESR'!E21</f>
        <v>0</v>
      </c>
      <c r="AFJ4" s="57">
        <f>'REG y VAL POE - AESR - ESR'!F21</f>
        <v>0</v>
      </c>
      <c r="AFK4" s="56">
        <f>'REG y VAL POE - AESR - ESR'!G21</f>
        <v>0</v>
      </c>
      <c r="AFL4" s="57">
        <f>'REG y VAL POE - AESR - ESR'!H21</f>
        <v>0</v>
      </c>
      <c r="AFM4" s="57">
        <f>'REG y VAL POE - AESR - ESR'!I21</f>
        <v>0</v>
      </c>
      <c r="AFN4" s="56">
        <f>'REG y VAL POE - AESR - ESR'!J21</f>
        <v>0</v>
      </c>
      <c r="AFO4" s="57">
        <f>'REG y VAL POE - AESR - ESR'!K21</f>
        <v>0</v>
      </c>
      <c r="AFP4" s="56">
        <f>'REG y VAL POE - AESR - ESR'!L21</f>
        <v>0</v>
      </c>
      <c r="AFQ4" s="56">
        <f>'REG y VAL POE - AESR - ESR'!M21</f>
        <v>0</v>
      </c>
      <c r="AFR4" s="57">
        <f>'REG y VAL POE - AESR - ESR'!N21</f>
        <v>0</v>
      </c>
      <c r="AFS4" s="57">
        <f>'REG y VAL POE - AESR - ESR'!O21</f>
        <v>0</v>
      </c>
      <c r="AFT4" s="57">
        <f>'REG y VAL POE - AESR - ESR'!P21</f>
        <v>0</v>
      </c>
      <c r="AFU4" s="56">
        <f>'REG y VAL POE - AESR - ESR'!Q21</f>
        <v>0</v>
      </c>
      <c r="AFV4" s="57">
        <f>'REG y VAL POE - AESR - ESR'!R21</f>
        <v>0</v>
      </c>
      <c r="AFW4" s="57">
        <f>'REG y VAL POE - AESR - ESR'!S21</f>
        <v>0</v>
      </c>
      <c r="AFX4" s="56">
        <f>'REG y VAL POE - AESR - ESR'!T21</f>
        <v>0</v>
      </c>
      <c r="AFY4" s="57">
        <f>'REG y VAL POE - AESR - ESR'!U21</f>
        <v>0</v>
      </c>
      <c r="AFZ4" s="56">
        <f>'REG y VAL POE - AESR - ESR'!V21</f>
        <v>0</v>
      </c>
      <c r="AGA4" s="56">
        <f>'REG y VAL POE - AESR - ESR'!W21</f>
        <v>0</v>
      </c>
      <c r="AGB4" s="57">
        <f>'REG y VAL POE - AESR - ESR'!X21</f>
        <v>0</v>
      </c>
      <c r="AGC4" s="57">
        <f>'REG y VAL POE - AESR - ESR'!Y21</f>
        <v>0</v>
      </c>
      <c r="AGD4" s="57">
        <f>'REG y VAL POE - AESR - ESR'!Z21</f>
        <v>0</v>
      </c>
      <c r="AGE4" s="56">
        <f>'REG y VAL POE - AESR - ESR'!AA21</f>
        <v>0</v>
      </c>
      <c r="AGF4" s="57">
        <f>'REG y VAL POE - AESR - ESR'!AB21</f>
        <v>0</v>
      </c>
      <c r="AGG4" s="57">
        <f>'REG y VAL POE - AESR - ESR'!AC21</f>
        <v>0</v>
      </c>
      <c r="AGH4" s="56">
        <f>'REG y VAL POE - AESR - ESR'!AD21</f>
        <v>0</v>
      </c>
      <c r="AGI4" s="57">
        <f>'REG y VAL POE - AESR - ESR'!AE21</f>
        <v>0</v>
      </c>
      <c r="AGJ4" s="56">
        <f>'REG y VAL POE - AESR - ESR'!AF21</f>
        <v>0</v>
      </c>
      <c r="AGK4" s="56">
        <f>'REG y VAL POE - AESR - ESR'!AG21</f>
        <v>0</v>
      </c>
      <c r="AGL4" s="57">
        <f>'REG y VAL POE - AESR - ESR'!AH21</f>
        <v>0</v>
      </c>
      <c r="AGM4" s="57">
        <f>'REG y VAL POE - AESR - ESR'!AI21</f>
        <v>0</v>
      </c>
      <c r="AGN4" s="57">
        <f>'REG y VAL POE - AESR - ESR'!AJ21</f>
        <v>0</v>
      </c>
      <c r="AGO4" s="56">
        <f>'REG y VAL POE - AESR - ESR'!AK21</f>
        <v>0</v>
      </c>
      <c r="AGP4" s="57">
        <f>'REG y VAL POE - AESR - ESR'!AL21</f>
        <v>0</v>
      </c>
      <c r="AGQ4" s="57">
        <f>'REG y VAL POE - AESR - ESR'!AM21</f>
        <v>0</v>
      </c>
      <c r="AGR4" s="56">
        <f>'REG y VAL POE - AESR - ESR'!AN21</f>
        <v>0</v>
      </c>
      <c r="AGS4" s="57">
        <f>'REG y VAL POE - AESR - ESR'!AO21</f>
        <v>0</v>
      </c>
      <c r="AGT4" s="56">
        <f>'REG y VAL POE - AESR - ESR'!AP21</f>
        <v>0</v>
      </c>
      <c r="AGU4" s="56">
        <f>'REG y VAL POE - AESR - ESR'!AQ21</f>
        <v>0</v>
      </c>
      <c r="AGV4" s="57">
        <f>'REG y VAL POE - AESR - ESR'!AR21</f>
        <v>0</v>
      </c>
      <c r="AGW4" s="57">
        <f>'REG y VAL POE - AESR - ESR'!AS21</f>
        <v>0</v>
      </c>
      <c r="AGX4" s="387">
        <f>'REG y VAL POE - AESR - ESR'!B22</f>
        <v>0</v>
      </c>
      <c r="AGY4" s="56">
        <f>'REG y VAL POE - AESR - ESR'!C22</f>
        <v>0</v>
      </c>
      <c r="AGZ4" s="57">
        <f>'REG y VAL POE - AESR - ESR'!D22</f>
        <v>0</v>
      </c>
      <c r="AHA4" s="57">
        <f>'REG y VAL POE - AESR - ESR'!E22</f>
        <v>0</v>
      </c>
      <c r="AHB4" s="56">
        <f>'REG y VAL POE - AESR - ESR'!F22</f>
        <v>0</v>
      </c>
      <c r="AHC4" s="57">
        <f>'REG y VAL POE - AESR - ESR'!G22</f>
        <v>0</v>
      </c>
      <c r="AHD4" s="56">
        <f>'REG y VAL POE - AESR - ESR'!H22</f>
        <v>0</v>
      </c>
      <c r="AHE4" s="56">
        <f>'REG y VAL POE - AESR - ESR'!I22</f>
        <v>0</v>
      </c>
      <c r="AHF4" s="57">
        <f>'REG y VAL POE - AESR - ESR'!J22</f>
        <v>0</v>
      </c>
      <c r="AHG4" s="57">
        <f>'REG y VAL POE - AESR - ESR'!K22</f>
        <v>0</v>
      </c>
      <c r="AHH4" s="57">
        <f>'REG y VAL POE - AESR - ESR'!L22</f>
        <v>0</v>
      </c>
      <c r="AHI4" s="56">
        <f>'REG y VAL POE - AESR - ESR'!M22</f>
        <v>0</v>
      </c>
      <c r="AHJ4" s="57">
        <f>'REG y VAL POE - AESR - ESR'!N22</f>
        <v>0</v>
      </c>
      <c r="AHK4" s="57">
        <f>'REG y VAL POE - AESR - ESR'!O22</f>
        <v>0</v>
      </c>
      <c r="AHL4" s="56">
        <f>'REG y VAL POE - AESR - ESR'!P22</f>
        <v>0</v>
      </c>
      <c r="AHM4" s="57">
        <f>'REG y VAL POE - AESR - ESR'!Q22</f>
        <v>0</v>
      </c>
      <c r="AHN4" s="56">
        <f>'REG y VAL POE - AESR - ESR'!R22</f>
        <v>0</v>
      </c>
      <c r="AHO4" s="56">
        <f>'REG y VAL POE - AESR - ESR'!S22</f>
        <v>0</v>
      </c>
      <c r="AHP4" s="57">
        <f>'REG y VAL POE - AESR - ESR'!T22</f>
        <v>0</v>
      </c>
      <c r="AHQ4" s="57">
        <f>'REG y VAL POE - AESR - ESR'!U22</f>
        <v>0</v>
      </c>
      <c r="AHR4" s="57">
        <f>'REG y VAL POE - AESR - ESR'!V22</f>
        <v>0</v>
      </c>
      <c r="AHS4" s="56">
        <f>'REG y VAL POE - AESR - ESR'!W22</f>
        <v>0</v>
      </c>
      <c r="AHT4" s="57">
        <f>'REG y VAL POE - AESR - ESR'!X22</f>
        <v>0</v>
      </c>
      <c r="AHU4" s="57">
        <f>'REG y VAL POE - AESR - ESR'!Y22</f>
        <v>0</v>
      </c>
      <c r="AHV4" s="56">
        <f>'REG y VAL POE - AESR - ESR'!Z22</f>
        <v>0</v>
      </c>
      <c r="AHW4" s="57">
        <f>'REG y VAL POE - AESR - ESR'!AA22</f>
        <v>0</v>
      </c>
      <c r="AHX4" s="56">
        <f>'REG y VAL POE - AESR - ESR'!AB22</f>
        <v>0</v>
      </c>
      <c r="AHY4" s="56">
        <f>'REG y VAL POE - AESR - ESR'!AC22</f>
        <v>0</v>
      </c>
      <c r="AHZ4" s="57">
        <f>'REG y VAL POE - AESR - ESR'!AD22</f>
        <v>0</v>
      </c>
      <c r="AIA4" s="57">
        <f>'REG y VAL POE - AESR - ESR'!AE22</f>
        <v>0</v>
      </c>
      <c r="AIB4" s="57">
        <f>'REG y VAL POE - AESR - ESR'!AF22</f>
        <v>0</v>
      </c>
      <c r="AIC4" s="56">
        <f>'REG y VAL POE - AESR - ESR'!AG22</f>
        <v>0</v>
      </c>
      <c r="AID4" s="57">
        <f>'REG y VAL POE - AESR - ESR'!AH22</f>
        <v>0</v>
      </c>
      <c r="AIE4" s="57">
        <f>'REG y VAL POE - AESR - ESR'!AI22</f>
        <v>0</v>
      </c>
      <c r="AIF4" s="56">
        <f>'REG y VAL POE - AESR - ESR'!AJ22</f>
        <v>0</v>
      </c>
      <c r="AIG4" s="57">
        <f>'REG y VAL POE - AESR - ESR'!AK22</f>
        <v>0</v>
      </c>
      <c r="AIH4" s="56">
        <f>'REG y VAL POE - AESR - ESR'!AL22</f>
        <v>0</v>
      </c>
      <c r="AII4" s="56">
        <f>'REG y VAL POE - AESR - ESR'!AM22</f>
        <v>0</v>
      </c>
      <c r="AIJ4" s="57">
        <f>'REG y VAL POE - AESR - ESR'!AN22</f>
        <v>0</v>
      </c>
      <c r="AIK4" s="57">
        <f>'REG y VAL POE - AESR - ESR'!AO22</f>
        <v>0</v>
      </c>
      <c r="AIL4" s="57">
        <f>'REG y VAL POE - AESR - ESR'!AP22</f>
        <v>0</v>
      </c>
      <c r="AIM4" s="56">
        <f>'REG y VAL POE - AESR - ESR'!AQ22</f>
        <v>0</v>
      </c>
      <c r="AIN4" s="57">
        <f>'REG y VAL POE - AESR - ESR'!AR22</f>
        <v>0</v>
      </c>
      <c r="AIO4" s="57">
        <f>'REG y VAL POE - AESR - ESR'!AS22</f>
        <v>0</v>
      </c>
      <c r="AIP4" s="55">
        <f>'REG y VAL POE - AESR - ESR'!B23</f>
        <v>0</v>
      </c>
      <c r="AIQ4" s="57">
        <f>'REG y VAL POE - AESR - ESR'!C23</f>
        <v>0</v>
      </c>
      <c r="AIR4" s="56">
        <f>'REG y VAL POE - AESR - ESR'!D23</f>
        <v>0</v>
      </c>
      <c r="AIS4" s="56">
        <f>'REG y VAL POE - AESR - ESR'!E23</f>
        <v>0</v>
      </c>
      <c r="AIT4" s="57">
        <f>'REG y VAL POE - AESR - ESR'!F23</f>
        <v>0</v>
      </c>
      <c r="AIU4" s="57">
        <f>'REG y VAL POE - AESR - ESR'!G23</f>
        <v>0</v>
      </c>
      <c r="AIV4" s="57">
        <f>'REG y VAL POE - AESR - ESR'!H23</f>
        <v>0</v>
      </c>
      <c r="AIW4" s="56">
        <f>'REG y VAL POE - AESR - ESR'!I23</f>
        <v>0</v>
      </c>
      <c r="AIX4" s="57">
        <f>'REG y VAL POE - AESR - ESR'!J23</f>
        <v>0</v>
      </c>
      <c r="AIY4" s="57">
        <f>'REG y VAL POE - AESR - ESR'!K23</f>
        <v>0</v>
      </c>
      <c r="AIZ4" s="56">
        <f>'REG y VAL POE - AESR - ESR'!L23</f>
        <v>0</v>
      </c>
      <c r="AJA4" s="57">
        <f>'REG y VAL POE - AESR - ESR'!M23</f>
        <v>0</v>
      </c>
      <c r="AJB4" s="56">
        <f>'REG y VAL POE - AESR - ESR'!N23</f>
        <v>0</v>
      </c>
      <c r="AJC4" s="56">
        <f>'REG y VAL POE - AESR - ESR'!O23</f>
        <v>0</v>
      </c>
      <c r="AJD4" s="57">
        <f>'REG y VAL POE - AESR - ESR'!P23</f>
        <v>0</v>
      </c>
      <c r="AJE4" s="57">
        <f>'REG y VAL POE - AESR - ESR'!Q23</f>
        <v>0</v>
      </c>
      <c r="AJF4" s="57">
        <f>'REG y VAL POE - AESR - ESR'!R23</f>
        <v>0</v>
      </c>
      <c r="AJG4" s="56">
        <f>'REG y VAL POE - AESR - ESR'!S23</f>
        <v>0</v>
      </c>
      <c r="AJH4" s="57">
        <f>'REG y VAL POE - AESR - ESR'!T23</f>
        <v>0</v>
      </c>
      <c r="AJI4" s="57">
        <f>'REG y VAL POE - AESR - ESR'!U23</f>
        <v>0</v>
      </c>
      <c r="AJJ4" s="56">
        <f>'REG y VAL POE - AESR - ESR'!V23</f>
        <v>0</v>
      </c>
      <c r="AJK4" s="57">
        <f>'REG y VAL POE - AESR - ESR'!W23</f>
        <v>0</v>
      </c>
      <c r="AJL4" s="56">
        <f>'REG y VAL POE - AESR - ESR'!X23</f>
        <v>0</v>
      </c>
      <c r="AJM4" s="56">
        <f>'REG y VAL POE - AESR - ESR'!Y23</f>
        <v>0</v>
      </c>
      <c r="AJN4" s="57">
        <f>'REG y VAL POE - AESR - ESR'!Z23</f>
        <v>0</v>
      </c>
      <c r="AJO4" s="57">
        <f>'REG y VAL POE - AESR - ESR'!AA23</f>
        <v>0</v>
      </c>
      <c r="AJP4" s="57">
        <f>'REG y VAL POE - AESR - ESR'!AB23</f>
        <v>0</v>
      </c>
      <c r="AJQ4" s="56">
        <f>'REG y VAL POE - AESR - ESR'!AC23</f>
        <v>0</v>
      </c>
      <c r="AJR4" s="57">
        <f>'REG y VAL POE - AESR - ESR'!AD23</f>
        <v>0</v>
      </c>
      <c r="AJS4" s="57">
        <f>'REG y VAL POE - AESR - ESR'!AE23</f>
        <v>0</v>
      </c>
      <c r="AJT4" s="56">
        <f>'REG y VAL POE - AESR - ESR'!AF23</f>
        <v>0</v>
      </c>
      <c r="AJU4" s="57">
        <f>'REG y VAL POE - AESR - ESR'!AG23</f>
        <v>0</v>
      </c>
      <c r="AJV4" s="56">
        <f>'REG y VAL POE - AESR - ESR'!AH23</f>
        <v>0</v>
      </c>
      <c r="AJW4" s="56">
        <f>'REG y VAL POE - AESR - ESR'!AI23</f>
        <v>0</v>
      </c>
      <c r="AJX4" s="57">
        <f>'REG y VAL POE - AESR - ESR'!AJ23</f>
        <v>0</v>
      </c>
      <c r="AJY4" s="57">
        <f>'REG y VAL POE - AESR - ESR'!AK23</f>
        <v>0</v>
      </c>
      <c r="AJZ4" s="57">
        <f>'REG y VAL POE - AESR - ESR'!AL23</f>
        <v>0</v>
      </c>
      <c r="AKA4" s="56">
        <f>'REG y VAL POE - AESR - ESR'!AM23</f>
        <v>0</v>
      </c>
      <c r="AKB4" s="57">
        <f>'REG y VAL POE - AESR - ESR'!AN23</f>
        <v>0</v>
      </c>
      <c r="AKC4" s="57">
        <f>'REG y VAL POE - AESR - ESR'!AO23</f>
        <v>0</v>
      </c>
      <c r="AKD4" s="56">
        <f>'REG y VAL POE - AESR - ESR'!AP23</f>
        <v>0</v>
      </c>
      <c r="AKE4" s="57">
        <f>'REG y VAL POE - AESR - ESR'!AQ23</f>
        <v>0</v>
      </c>
      <c r="AKF4" s="56">
        <f>'REG y VAL POE - AESR - ESR'!AR23</f>
        <v>0</v>
      </c>
      <c r="AKG4" s="56">
        <f>'REG y VAL POE - AESR - ESR'!AS23</f>
        <v>0</v>
      </c>
      <c r="AKH4" s="387">
        <f>'REG y VAL POE - AESR - ESR'!B24</f>
        <v>0</v>
      </c>
      <c r="AKI4" s="57">
        <f>'REG y VAL POE - AESR - ESR'!C24</f>
        <v>0</v>
      </c>
      <c r="AKJ4" s="57">
        <f>'REG y VAL POE - AESR - ESR'!D24</f>
        <v>0</v>
      </c>
      <c r="AKK4" s="56">
        <f>'REG y VAL POE - AESR - ESR'!E24</f>
        <v>0</v>
      </c>
      <c r="AKL4" s="57">
        <f>'REG y VAL POE - AESR - ESR'!F24</f>
        <v>0</v>
      </c>
      <c r="AKM4" s="57">
        <f>'REG y VAL POE - AESR - ESR'!G24</f>
        <v>0</v>
      </c>
      <c r="AKN4" s="56">
        <f>'REG y VAL POE - AESR - ESR'!H24</f>
        <v>0</v>
      </c>
      <c r="AKO4" s="57">
        <f>'REG y VAL POE - AESR - ESR'!I24</f>
        <v>0</v>
      </c>
      <c r="AKP4" s="56">
        <f>'REG y VAL POE - AESR - ESR'!J24</f>
        <v>0</v>
      </c>
      <c r="AKQ4" s="56">
        <f>'REG y VAL POE - AESR - ESR'!K24</f>
        <v>0</v>
      </c>
      <c r="AKR4" s="57">
        <f>'REG y VAL POE - AESR - ESR'!L24</f>
        <v>0</v>
      </c>
      <c r="AKS4" s="57">
        <f>'REG y VAL POE - AESR - ESR'!M24</f>
        <v>0</v>
      </c>
      <c r="AKT4" s="57">
        <f>'REG y VAL POE - AESR - ESR'!N24</f>
        <v>0</v>
      </c>
      <c r="AKU4" s="56">
        <f>'REG y VAL POE - AESR - ESR'!O24</f>
        <v>0</v>
      </c>
      <c r="AKV4" s="57">
        <f>'REG y VAL POE - AESR - ESR'!P24</f>
        <v>0</v>
      </c>
      <c r="AKW4" s="57">
        <f>'REG y VAL POE - AESR - ESR'!Q24</f>
        <v>0</v>
      </c>
      <c r="AKX4" s="56">
        <f>'REG y VAL POE - AESR - ESR'!R24</f>
        <v>0</v>
      </c>
      <c r="AKY4" s="57">
        <f>'REG y VAL POE - AESR - ESR'!S24</f>
        <v>0</v>
      </c>
      <c r="AKZ4" s="56">
        <f>'REG y VAL POE - AESR - ESR'!T24</f>
        <v>0</v>
      </c>
      <c r="ALA4" s="56">
        <f>'REG y VAL POE - AESR - ESR'!U24</f>
        <v>0</v>
      </c>
      <c r="ALB4" s="57">
        <f>'REG y VAL POE - AESR - ESR'!V24</f>
        <v>0</v>
      </c>
      <c r="ALC4" s="57">
        <f>'REG y VAL POE - AESR - ESR'!W24</f>
        <v>0</v>
      </c>
      <c r="ALD4" s="57">
        <f>'REG y VAL POE - AESR - ESR'!X24</f>
        <v>0</v>
      </c>
      <c r="ALE4" s="56">
        <f>'REG y VAL POE - AESR - ESR'!Y24</f>
        <v>0</v>
      </c>
      <c r="ALF4" s="57">
        <f>'REG y VAL POE - AESR - ESR'!Z24</f>
        <v>0</v>
      </c>
      <c r="ALG4" s="57">
        <f>'REG y VAL POE - AESR - ESR'!AA24</f>
        <v>0</v>
      </c>
      <c r="ALH4" s="57">
        <f>'REG y VAL POE - AESR - ESR'!AB24</f>
        <v>0</v>
      </c>
      <c r="ALI4" s="57">
        <f>'REG y VAL POE - AESR - ESR'!AC24</f>
        <v>0</v>
      </c>
      <c r="ALJ4" s="57">
        <f>'REG y VAL POE - AESR - ESR'!AD24</f>
        <v>0</v>
      </c>
      <c r="ALK4" s="56">
        <f>'REG y VAL POE - AESR - ESR'!AE24</f>
        <v>0</v>
      </c>
      <c r="ALL4" s="57">
        <f>'REG y VAL POE - AESR - ESR'!AF24</f>
        <v>0</v>
      </c>
      <c r="ALM4" s="57">
        <f>'REG y VAL POE - AESR - ESR'!AG24</f>
        <v>0</v>
      </c>
      <c r="ALN4" s="56">
        <f>'REG y VAL POE - AESR - ESR'!AH24</f>
        <v>0</v>
      </c>
      <c r="ALO4" s="57">
        <f>'REG y VAL POE - AESR - ESR'!AI24</f>
        <v>0</v>
      </c>
      <c r="ALP4" s="56">
        <f>'REG y VAL POE - AESR - ESR'!AJ24</f>
        <v>0</v>
      </c>
      <c r="ALQ4" s="56">
        <f>'REG y VAL POE - AESR - ESR'!AK24</f>
        <v>0</v>
      </c>
      <c r="ALR4" s="57">
        <f>'REG y VAL POE - AESR - ESR'!AL24</f>
        <v>0</v>
      </c>
      <c r="ALS4" s="57">
        <f>'REG y VAL POE - AESR - ESR'!AM24</f>
        <v>0</v>
      </c>
      <c r="ALT4" s="57">
        <f>'REG y VAL POE - AESR - ESR'!AN24</f>
        <v>0</v>
      </c>
      <c r="ALU4" s="56">
        <f>'REG y VAL POE - AESR - ESR'!AO24</f>
        <v>0</v>
      </c>
      <c r="ALV4" s="57">
        <f>'REG y VAL POE - AESR - ESR'!AP24</f>
        <v>0</v>
      </c>
      <c r="ALW4" s="57">
        <f>'REG y VAL POE - AESR - ESR'!AQ24</f>
        <v>0</v>
      </c>
      <c r="ALX4" s="56">
        <f>'REG y VAL POE - AESR - ESR'!AR24</f>
        <v>0</v>
      </c>
      <c r="ALY4" s="57">
        <f>'REG y VAL POE - AESR - ESR'!AS24</f>
        <v>0</v>
      </c>
      <c r="ALZ4" s="55">
        <f>'REG y VAL POE - AESR - ESR'!B25</f>
        <v>0</v>
      </c>
      <c r="AMA4" s="56">
        <f>'REG y VAL POE - AESR - ESR'!C25</f>
        <v>0</v>
      </c>
      <c r="AMB4" s="57">
        <f>'REG y VAL POE - AESR - ESR'!D25</f>
        <v>0</v>
      </c>
      <c r="AMC4" s="57">
        <f>'REG y VAL POE - AESR - ESR'!E25</f>
        <v>0</v>
      </c>
      <c r="AMD4" s="57">
        <f>'REG y VAL POE - AESR - ESR'!F25</f>
        <v>0</v>
      </c>
      <c r="AME4" s="56">
        <f>'REG y VAL POE - AESR - ESR'!G25</f>
        <v>0</v>
      </c>
      <c r="AMF4" s="57">
        <f>'REG y VAL POE - AESR - ESR'!H25</f>
        <v>0</v>
      </c>
      <c r="AMG4" s="57">
        <f>'REG y VAL POE - AESR - ESR'!I25</f>
        <v>0</v>
      </c>
      <c r="AMH4" s="57">
        <f>'REG y VAL POE - AESR - ESR'!J25</f>
        <v>0</v>
      </c>
      <c r="AMI4" s="57">
        <f>'REG y VAL POE - AESR - ESR'!K25</f>
        <v>0</v>
      </c>
      <c r="AMJ4" s="57">
        <f>'REG y VAL POE - AESR - ESR'!L25</f>
        <v>0</v>
      </c>
      <c r="AMK4" s="56">
        <f>'REG y VAL POE - AESR - ESR'!M25</f>
        <v>0</v>
      </c>
      <c r="AML4" s="57">
        <f>'REG y VAL POE - AESR - ESR'!N25</f>
        <v>0</v>
      </c>
      <c r="AMM4" s="57">
        <f>'REG y VAL POE - AESR - ESR'!O25</f>
        <v>0</v>
      </c>
      <c r="AMN4" s="56">
        <f>'REG y VAL POE - AESR - ESR'!P25</f>
        <v>0</v>
      </c>
      <c r="AMO4" s="57">
        <f>'REG y VAL POE - AESR - ESR'!Q25</f>
        <v>0</v>
      </c>
      <c r="AMP4" s="56">
        <f>'REG y VAL POE - AESR - ESR'!R25</f>
        <v>0</v>
      </c>
      <c r="AMQ4" s="56">
        <f>'REG y VAL POE - AESR - ESR'!S25</f>
        <v>0</v>
      </c>
      <c r="AMR4" s="57">
        <f>'REG y VAL POE - AESR - ESR'!T25</f>
        <v>0</v>
      </c>
      <c r="AMS4" s="57">
        <f>'REG y VAL POE - AESR - ESR'!U25</f>
        <v>0</v>
      </c>
      <c r="AMT4" s="57">
        <f>'REG y VAL POE - AESR - ESR'!V25</f>
        <v>0</v>
      </c>
      <c r="AMU4" s="56">
        <f>'REG y VAL POE - AESR - ESR'!W25</f>
        <v>0</v>
      </c>
      <c r="AMV4" s="57">
        <f>'REG y VAL POE - AESR - ESR'!X25</f>
        <v>0</v>
      </c>
      <c r="AMW4" s="57">
        <f>'REG y VAL POE - AESR - ESR'!Y25</f>
        <v>0</v>
      </c>
      <c r="AMX4" s="56">
        <f>'REG y VAL POE - AESR - ESR'!Z25</f>
        <v>0</v>
      </c>
      <c r="AMY4" s="57">
        <f>'REG y VAL POE - AESR - ESR'!AA25</f>
        <v>0</v>
      </c>
      <c r="AMZ4" s="56">
        <f>'REG y VAL POE - AESR - ESR'!AB25</f>
        <v>0</v>
      </c>
      <c r="ANA4" s="56">
        <f>'REG y VAL POE - AESR - ESR'!AC25</f>
        <v>0</v>
      </c>
      <c r="ANB4" s="57">
        <f>'REG y VAL POE - AESR - ESR'!AD25</f>
        <v>0</v>
      </c>
      <c r="ANC4" s="57">
        <f>'REG y VAL POE - AESR - ESR'!AE25</f>
        <v>0</v>
      </c>
      <c r="AND4" s="57">
        <f>'REG y VAL POE - AESR - ESR'!AF25</f>
        <v>0</v>
      </c>
      <c r="ANE4" s="56">
        <f>'REG y VAL POE - AESR - ESR'!AG25</f>
        <v>0</v>
      </c>
      <c r="ANF4" s="57">
        <f>'REG y VAL POE - AESR - ESR'!AH25</f>
        <v>0</v>
      </c>
      <c r="ANG4" s="57">
        <f>'REG y VAL POE - AESR - ESR'!AI25</f>
        <v>0</v>
      </c>
      <c r="ANH4" s="57">
        <f>'REG y VAL POE - AESR - ESR'!AJ25</f>
        <v>0</v>
      </c>
      <c r="ANI4" s="57">
        <f>'REG y VAL POE - AESR - ESR'!AK25</f>
        <v>0</v>
      </c>
      <c r="ANJ4" s="57">
        <f>'REG y VAL POE - AESR - ESR'!AL25</f>
        <v>0</v>
      </c>
      <c r="ANK4" s="56">
        <f>'REG y VAL POE - AESR - ESR'!AM25</f>
        <v>0</v>
      </c>
      <c r="ANL4" s="57">
        <f>'REG y VAL POE - AESR - ESR'!AN25</f>
        <v>0</v>
      </c>
      <c r="ANM4" s="57">
        <f>'REG y VAL POE - AESR - ESR'!AO25</f>
        <v>0</v>
      </c>
      <c r="ANN4" s="56">
        <f>'REG y VAL POE - AESR - ESR'!AP25</f>
        <v>0</v>
      </c>
      <c r="ANO4" s="57">
        <f>'REG y VAL POE - AESR - ESR'!AQ25</f>
        <v>0</v>
      </c>
      <c r="ANP4" s="56">
        <f>'REG y VAL POE - AESR - ESR'!AR25</f>
        <v>0</v>
      </c>
      <c r="ANQ4" s="56">
        <f>'REG y VAL POE - AESR - ESR'!AS25</f>
        <v>0</v>
      </c>
      <c r="ANR4" s="387">
        <f>'REG y VAL POE - AESR - ESR'!B26</f>
        <v>0</v>
      </c>
      <c r="ANS4" s="57">
        <f>'REG y VAL POE - AESR - ESR'!C26</f>
        <v>0</v>
      </c>
      <c r="ANT4" s="57">
        <f>'REG y VAL POE - AESR - ESR'!D26</f>
        <v>0</v>
      </c>
      <c r="ANU4" s="56">
        <f>'REG y VAL POE - AESR - ESR'!E26</f>
        <v>0</v>
      </c>
      <c r="ANV4" s="57">
        <f>'REG y VAL POE - AESR - ESR'!F26</f>
        <v>0</v>
      </c>
      <c r="ANW4" s="57">
        <f>'REG y VAL POE - AESR - ESR'!G26</f>
        <v>0</v>
      </c>
      <c r="ANX4" s="56">
        <f>'REG y VAL POE - AESR - ESR'!H26</f>
        <v>0</v>
      </c>
      <c r="ANY4" s="57">
        <f>'REG y VAL POE - AESR - ESR'!I26</f>
        <v>0</v>
      </c>
      <c r="ANZ4" s="56">
        <f>'REG y VAL POE - AESR - ESR'!J26</f>
        <v>0</v>
      </c>
      <c r="AOA4" s="56">
        <f>'REG y VAL POE - AESR - ESR'!K26</f>
        <v>0</v>
      </c>
      <c r="AOB4" s="57">
        <f>'REG y VAL POE - AESR - ESR'!L26</f>
        <v>0</v>
      </c>
      <c r="AOC4" s="57">
        <f>'REG y VAL POE - AESR - ESR'!M26</f>
        <v>0</v>
      </c>
      <c r="AOD4" s="57">
        <f>'REG y VAL POE - AESR - ESR'!N26</f>
        <v>0</v>
      </c>
      <c r="AOE4" s="56">
        <f>'REG y VAL POE - AESR - ESR'!O26</f>
        <v>0</v>
      </c>
      <c r="AOF4" s="57">
        <f>'REG y VAL POE - AESR - ESR'!P26</f>
        <v>0</v>
      </c>
      <c r="AOG4" s="57">
        <f>'REG y VAL POE - AESR - ESR'!Q26</f>
        <v>0</v>
      </c>
      <c r="AOH4" s="57">
        <f>'REG y VAL POE - AESR - ESR'!R26</f>
        <v>0</v>
      </c>
      <c r="AOI4" s="57">
        <f>'REG y VAL POE - AESR - ESR'!S26</f>
        <v>0</v>
      </c>
      <c r="AOJ4" s="57">
        <f>'REG y VAL POE - AESR - ESR'!T26</f>
        <v>0</v>
      </c>
      <c r="AOK4" s="56">
        <f>'REG y VAL POE - AESR - ESR'!U26</f>
        <v>0</v>
      </c>
      <c r="AOL4" s="57">
        <f>'REG y VAL POE - AESR - ESR'!V26</f>
        <v>0</v>
      </c>
      <c r="AOM4" s="57">
        <f>'REG y VAL POE - AESR - ESR'!W26</f>
        <v>0</v>
      </c>
      <c r="AON4" s="56">
        <f>'REG y VAL POE - AESR - ESR'!X26</f>
        <v>0</v>
      </c>
      <c r="AOO4" s="57">
        <f>'REG y VAL POE - AESR - ESR'!Y26</f>
        <v>0</v>
      </c>
      <c r="AOP4" s="56">
        <f>'REG y VAL POE - AESR - ESR'!Z26</f>
        <v>0</v>
      </c>
      <c r="AOQ4" s="56">
        <f>'REG y VAL POE - AESR - ESR'!AA26</f>
        <v>0</v>
      </c>
      <c r="AOR4" s="57">
        <f>'REG y VAL POE - AESR - ESR'!AB26</f>
        <v>0</v>
      </c>
      <c r="AOS4" s="57">
        <f>'REG y VAL POE - AESR - ESR'!AC26</f>
        <v>0</v>
      </c>
      <c r="AOT4" s="57">
        <f>'REG y VAL POE - AESR - ESR'!AD26</f>
        <v>0</v>
      </c>
      <c r="AOU4" s="56">
        <f>'REG y VAL POE - AESR - ESR'!AE26</f>
        <v>0</v>
      </c>
      <c r="AOV4" s="57">
        <f>'REG y VAL POE - AESR - ESR'!AF26</f>
        <v>0</v>
      </c>
      <c r="AOW4" s="57">
        <f>'REG y VAL POE - AESR - ESR'!AG26</f>
        <v>0</v>
      </c>
      <c r="AOX4" s="56">
        <f>'REG y VAL POE - AESR - ESR'!AH26</f>
        <v>0</v>
      </c>
      <c r="AOY4" s="57">
        <f>'REG y VAL POE - AESR - ESR'!AI26</f>
        <v>0</v>
      </c>
      <c r="AOZ4" s="56">
        <f>'REG y VAL POE - AESR - ESR'!AJ26</f>
        <v>0</v>
      </c>
      <c r="APA4" s="56">
        <f>'REG y VAL POE - AESR - ESR'!AK26</f>
        <v>0</v>
      </c>
      <c r="APB4" s="57">
        <f>'REG y VAL POE - AESR - ESR'!AL26</f>
        <v>0</v>
      </c>
      <c r="APC4" s="57">
        <f>'REG y VAL POE - AESR - ESR'!AM26</f>
        <v>0</v>
      </c>
      <c r="APD4" s="57">
        <f>'REG y VAL POE - AESR - ESR'!AN26</f>
        <v>0</v>
      </c>
      <c r="APE4" s="56">
        <f>'REG y VAL POE - AESR - ESR'!AO26</f>
        <v>0</v>
      </c>
      <c r="APF4" s="57">
        <f>'REG y VAL POE - AESR - ESR'!AP26</f>
        <v>0</v>
      </c>
      <c r="APG4" s="57">
        <f>'REG y VAL POE - AESR - ESR'!AQ26</f>
        <v>0</v>
      </c>
      <c r="APH4" s="57">
        <f>'REG y VAL POE - AESR - ESR'!AR26</f>
        <v>0</v>
      </c>
      <c r="API4" s="57">
        <f>'REG y VAL POE - AESR - ESR'!AS26</f>
        <v>0</v>
      </c>
      <c r="APJ4" s="387">
        <f>'REG y VAL POE - AESR - ESR'!B27</f>
        <v>0</v>
      </c>
      <c r="APK4" s="56">
        <f>'REG y VAL POE - AESR - ESR'!C27</f>
        <v>0</v>
      </c>
      <c r="APL4" s="57">
        <f>'REG y VAL POE - AESR - ESR'!D27</f>
        <v>0</v>
      </c>
      <c r="APM4" s="57">
        <f>'REG y VAL POE - AESR - ESR'!E27</f>
        <v>0</v>
      </c>
      <c r="APN4" s="56">
        <f>'REG y VAL POE - AESR - ESR'!F27</f>
        <v>0</v>
      </c>
      <c r="APO4" s="57">
        <f>'REG y VAL POE - AESR - ESR'!G27</f>
        <v>0</v>
      </c>
      <c r="APP4" s="56">
        <f>'REG y VAL POE - AESR - ESR'!H27</f>
        <v>0</v>
      </c>
      <c r="APQ4" s="56">
        <f>'REG y VAL POE - AESR - ESR'!I27</f>
        <v>0</v>
      </c>
      <c r="APR4" s="57">
        <f>'REG y VAL POE - AESR - ESR'!J27</f>
        <v>0</v>
      </c>
      <c r="APS4" s="57">
        <f>'REG y VAL POE - AESR - ESR'!K27</f>
        <v>0</v>
      </c>
      <c r="APT4" s="57">
        <f>'REG y VAL POE - AESR - ESR'!L27</f>
        <v>0</v>
      </c>
      <c r="APU4" s="56">
        <f>'REG y VAL POE - AESR - ESR'!M27</f>
        <v>0</v>
      </c>
      <c r="APV4" s="57">
        <f>'REG y VAL POE - AESR - ESR'!N27</f>
        <v>0</v>
      </c>
      <c r="APW4" s="57">
        <f>'REG y VAL POE - AESR - ESR'!O27</f>
        <v>0</v>
      </c>
      <c r="APX4" s="56">
        <f>'REG y VAL POE - AESR - ESR'!P27</f>
        <v>0</v>
      </c>
      <c r="APY4" s="57">
        <f>'REG y VAL POE - AESR - ESR'!Q27</f>
        <v>0</v>
      </c>
      <c r="APZ4" s="56">
        <f>'REG y VAL POE - AESR - ESR'!R27</f>
        <v>0</v>
      </c>
      <c r="AQA4" s="56">
        <f>'REG y VAL POE - AESR - ESR'!S27</f>
        <v>0</v>
      </c>
      <c r="AQB4" s="57">
        <f>'REG y VAL POE - AESR - ESR'!T27</f>
        <v>0</v>
      </c>
      <c r="AQC4" s="57">
        <f>'REG y VAL POE - AESR - ESR'!U27</f>
        <v>0</v>
      </c>
      <c r="AQD4" s="57">
        <f>'REG y VAL POE - AESR - ESR'!V27</f>
        <v>0</v>
      </c>
      <c r="AQE4" s="56">
        <f>'REG y VAL POE - AESR - ESR'!W27</f>
        <v>0</v>
      </c>
      <c r="AQF4" s="57">
        <f>'REG y VAL POE - AESR - ESR'!X27</f>
        <v>0</v>
      </c>
      <c r="AQG4" s="57">
        <f>'REG y VAL POE - AESR - ESR'!Y27</f>
        <v>0</v>
      </c>
      <c r="AQH4" s="57">
        <f>'REG y VAL POE - AESR - ESR'!Z27</f>
        <v>0</v>
      </c>
      <c r="AQI4" s="57">
        <f>'REG y VAL POE - AESR - ESR'!AA27</f>
        <v>0</v>
      </c>
      <c r="AQJ4" s="57">
        <f>'REG y VAL POE - AESR - ESR'!AB27</f>
        <v>0</v>
      </c>
      <c r="AQK4" s="56">
        <f>'REG y VAL POE - AESR - ESR'!AC27</f>
        <v>0</v>
      </c>
      <c r="AQL4" s="57">
        <f>'REG y VAL POE - AESR - ESR'!AD27</f>
        <v>0</v>
      </c>
      <c r="AQM4" s="57">
        <f>'REG y VAL POE - AESR - ESR'!AE27</f>
        <v>0</v>
      </c>
      <c r="AQN4" s="56">
        <f>'REG y VAL POE - AESR - ESR'!AF27</f>
        <v>0</v>
      </c>
      <c r="AQO4" s="57">
        <f>'REG y VAL POE - AESR - ESR'!AG27</f>
        <v>0</v>
      </c>
      <c r="AQP4" s="56">
        <f>'REG y VAL POE - AESR - ESR'!AH27</f>
        <v>0</v>
      </c>
      <c r="AQQ4" s="56">
        <f>'REG y VAL POE - AESR - ESR'!AI27</f>
        <v>0</v>
      </c>
      <c r="AQR4" s="57">
        <f>'REG y VAL POE - AESR - ESR'!AJ27</f>
        <v>0</v>
      </c>
      <c r="AQS4" s="57">
        <f>'REG y VAL POE - AESR - ESR'!AK27</f>
        <v>0</v>
      </c>
      <c r="AQT4" s="57">
        <f>'REG y VAL POE - AESR - ESR'!AL27</f>
        <v>0</v>
      </c>
      <c r="AQU4" s="56">
        <f>'REG y VAL POE - AESR - ESR'!AM27</f>
        <v>0</v>
      </c>
      <c r="AQV4" s="57">
        <f>'REG y VAL POE - AESR - ESR'!AN27</f>
        <v>0</v>
      </c>
      <c r="AQW4" s="57">
        <f>'REG y VAL POE - AESR - ESR'!AO27</f>
        <v>0</v>
      </c>
      <c r="AQX4" s="56">
        <f>'REG y VAL POE - AESR - ESR'!AP27</f>
        <v>0</v>
      </c>
      <c r="AQY4" s="57">
        <f>'REG y VAL POE - AESR - ESR'!AQ27</f>
        <v>0</v>
      </c>
      <c r="AQZ4" s="56">
        <f>'REG y VAL POE - AESR - ESR'!AR27</f>
        <v>0</v>
      </c>
      <c r="ARA4" s="56">
        <f>'REG y VAL POE - AESR - ESR'!AS27</f>
        <v>0</v>
      </c>
      <c r="ARB4" s="387">
        <f>'REG y VAL POE - AESR - ESR'!B28</f>
        <v>0</v>
      </c>
      <c r="ARC4" s="57">
        <f>'REG y VAL POE - AESR - ESR'!C28</f>
        <v>0</v>
      </c>
      <c r="ARD4" s="57">
        <f>'REG y VAL POE - AESR - ESR'!D28</f>
        <v>0</v>
      </c>
      <c r="ARE4" s="56">
        <f>'REG y VAL POE - AESR - ESR'!E28</f>
        <v>0</v>
      </c>
      <c r="ARF4" s="57">
        <f>'REG y VAL POE - AESR - ESR'!F28</f>
        <v>0</v>
      </c>
      <c r="ARG4" s="57">
        <f>'REG y VAL POE - AESR - ESR'!G28</f>
        <v>0</v>
      </c>
      <c r="ARH4" s="57">
        <f>'REG y VAL POE - AESR - ESR'!H28</f>
        <v>0</v>
      </c>
      <c r="ARI4" s="57">
        <f>'REG y VAL POE - AESR - ESR'!I28</f>
        <v>0</v>
      </c>
      <c r="ARJ4" s="57">
        <f>'REG y VAL POE - AESR - ESR'!J28</f>
        <v>0</v>
      </c>
      <c r="ARK4" s="56">
        <f>'REG y VAL POE - AESR - ESR'!K28</f>
        <v>0</v>
      </c>
      <c r="ARL4" s="57">
        <f>'REG y VAL POE - AESR - ESR'!L28</f>
        <v>0</v>
      </c>
      <c r="ARM4" s="57">
        <f>'REG y VAL POE - AESR - ESR'!M28</f>
        <v>0</v>
      </c>
      <c r="ARN4" s="56">
        <f>'REG y VAL POE - AESR - ESR'!N28</f>
        <v>0</v>
      </c>
      <c r="ARO4" s="57">
        <f>'REG y VAL POE - AESR - ESR'!O28</f>
        <v>0</v>
      </c>
      <c r="ARP4" s="56">
        <f>'REG y VAL POE - AESR - ESR'!P28</f>
        <v>0</v>
      </c>
      <c r="ARQ4" s="56">
        <f>'REG y VAL POE - AESR - ESR'!Q28</f>
        <v>0</v>
      </c>
      <c r="ARR4" s="57">
        <f>'REG y VAL POE - AESR - ESR'!R28</f>
        <v>0</v>
      </c>
      <c r="ARS4" s="57">
        <f>'REG y VAL POE - AESR - ESR'!S28</f>
        <v>0</v>
      </c>
      <c r="ART4" s="57">
        <f>'REG y VAL POE - AESR - ESR'!T28</f>
        <v>0</v>
      </c>
      <c r="ARU4" s="56">
        <f>'REG y VAL POE - AESR - ESR'!U28</f>
        <v>0</v>
      </c>
      <c r="ARV4" s="57">
        <f>'REG y VAL POE - AESR - ESR'!V28</f>
        <v>0</v>
      </c>
      <c r="ARW4" s="57">
        <f>'REG y VAL POE - AESR - ESR'!W28</f>
        <v>0</v>
      </c>
      <c r="ARX4" s="56">
        <f>'REG y VAL POE - AESR - ESR'!X28</f>
        <v>0</v>
      </c>
      <c r="ARY4" s="57">
        <f>'REG y VAL POE - AESR - ESR'!Y28</f>
        <v>0</v>
      </c>
      <c r="ARZ4" s="56">
        <f>'REG y VAL POE - AESR - ESR'!Z28</f>
        <v>0</v>
      </c>
      <c r="ASA4" s="56">
        <f>'REG y VAL POE - AESR - ESR'!AA28</f>
        <v>0</v>
      </c>
      <c r="ASB4" s="57">
        <f>'REG y VAL POE - AESR - ESR'!AB28</f>
        <v>0</v>
      </c>
      <c r="ASC4" s="57">
        <f>'REG y VAL POE - AESR - ESR'!AC28</f>
        <v>0</v>
      </c>
      <c r="ASD4" s="57">
        <f>'REG y VAL POE - AESR - ESR'!AD28</f>
        <v>0</v>
      </c>
      <c r="ASE4" s="56">
        <f>'REG y VAL POE - AESR - ESR'!AE28</f>
        <v>0</v>
      </c>
      <c r="ASF4" s="57">
        <f>'REG y VAL POE - AESR - ESR'!AF28</f>
        <v>0</v>
      </c>
      <c r="ASG4" s="57">
        <f>'REG y VAL POE - AESR - ESR'!AG28</f>
        <v>0</v>
      </c>
      <c r="ASH4" s="57">
        <f>'REG y VAL POE - AESR - ESR'!AH28</f>
        <v>0</v>
      </c>
      <c r="ASI4" s="57">
        <f>'REG y VAL POE - AESR - ESR'!AI28</f>
        <v>0</v>
      </c>
      <c r="ASJ4" s="57">
        <f>'REG y VAL POE - AESR - ESR'!AJ28</f>
        <v>0</v>
      </c>
      <c r="ASK4" s="56">
        <f>'REG y VAL POE - AESR - ESR'!AK28</f>
        <v>0</v>
      </c>
      <c r="ASL4" s="57">
        <f>'REG y VAL POE - AESR - ESR'!AL28</f>
        <v>0</v>
      </c>
      <c r="ASM4" s="57">
        <f>'REG y VAL POE - AESR - ESR'!AM28</f>
        <v>0</v>
      </c>
      <c r="ASN4" s="56">
        <f>'REG y VAL POE - AESR - ESR'!AN28</f>
        <v>0</v>
      </c>
      <c r="ASO4" s="57">
        <f>'REG y VAL POE - AESR - ESR'!AO28</f>
        <v>0</v>
      </c>
      <c r="ASP4" s="56">
        <f>'REG y VAL POE - AESR - ESR'!AP28</f>
        <v>0</v>
      </c>
      <c r="ASQ4" s="56">
        <f>'REG y VAL POE - AESR - ESR'!AQ28</f>
        <v>0</v>
      </c>
      <c r="ASR4" s="57">
        <f>'REG y VAL POE - AESR - ESR'!AR28</f>
        <v>0</v>
      </c>
      <c r="ASS4" s="57">
        <f>'REG y VAL POE - AESR - ESR'!AS28</f>
        <v>0</v>
      </c>
      <c r="AST4" s="387">
        <f>'REG y VAL POE - AESR - ESR'!B29</f>
        <v>0</v>
      </c>
      <c r="ASU4" s="56">
        <f>'REG y VAL POE - AESR - ESR'!C29</f>
        <v>0</v>
      </c>
      <c r="ASV4" s="57">
        <f>'REG y VAL POE - AESR - ESR'!D29</f>
        <v>0</v>
      </c>
      <c r="ASW4" s="57">
        <f>'REG y VAL POE - AESR - ESR'!E29</f>
        <v>0</v>
      </c>
      <c r="ASX4" s="56">
        <f>'REG y VAL POE - AESR - ESR'!F29</f>
        <v>0</v>
      </c>
      <c r="ASY4" s="57">
        <f>'REG y VAL POE - AESR - ESR'!G29</f>
        <v>0</v>
      </c>
      <c r="ASZ4" s="56">
        <f>'REG y VAL POE - AESR - ESR'!H29</f>
        <v>0</v>
      </c>
      <c r="ATA4" s="56">
        <f>'REG y VAL POE - AESR - ESR'!I29</f>
        <v>0</v>
      </c>
      <c r="ATB4" s="57">
        <f>'REG y VAL POE - AESR - ESR'!J29</f>
        <v>0</v>
      </c>
      <c r="ATC4" s="57">
        <f>'REG y VAL POE - AESR - ESR'!K29</f>
        <v>0</v>
      </c>
      <c r="ATD4" s="57">
        <f>'REG y VAL POE - AESR - ESR'!L29</f>
        <v>0</v>
      </c>
      <c r="ATE4" s="56">
        <f>'REG y VAL POE - AESR - ESR'!M29</f>
        <v>0</v>
      </c>
      <c r="ATF4" s="57">
        <f>'REG y VAL POE - AESR - ESR'!N29</f>
        <v>0</v>
      </c>
      <c r="ATG4" s="57">
        <f>'REG y VAL POE - AESR - ESR'!O29</f>
        <v>0</v>
      </c>
      <c r="ATH4" s="57">
        <f>'REG y VAL POE - AESR - ESR'!P29</f>
        <v>0</v>
      </c>
      <c r="ATI4" s="57">
        <f>'REG y VAL POE - AESR - ESR'!Q29</f>
        <v>0</v>
      </c>
      <c r="ATJ4" s="57">
        <f>'REG y VAL POE - AESR - ESR'!R29</f>
        <v>0</v>
      </c>
      <c r="ATK4" s="56">
        <f>'REG y VAL POE - AESR - ESR'!S29</f>
        <v>0</v>
      </c>
      <c r="ATL4" s="57">
        <f>'REG y VAL POE - AESR - ESR'!T29</f>
        <v>0</v>
      </c>
      <c r="ATM4" s="57">
        <f>'REG y VAL POE - AESR - ESR'!U29</f>
        <v>0</v>
      </c>
      <c r="ATN4" s="56">
        <f>'REG y VAL POE - AESR - ESR'!V29</f>
        <v>0</v>
      </c>
      <c r="ATO4" s="57">
        <f>'REG y VAL POE - AESR - ESR'!W29</f>
        <v>0</v>
      </c>
      <c r="ATP4" s="56">
        <f>'REG y VAL POE - AESR - ESR'!X29</f>
        <v>0</v>
      </c>
      <c r="ATQ4" s="56">
        <f>'REG y VAL POE - AESR - ESR'!Y29</f>
        <v>0</v>
      </c>
      <c r="ATR4" s="57">
        <f>'REG y VAL POE - AESR - ESR'!Z29</f>
        <v>0</v>
      </c>
      <c r="ATS4" s="57">
        <f>'REG y VAL POE - AESR - ESR'!AA29</f>
        <v>0</v>
      </c>
      <c r="ATT4" s="57">
        <f>'REG y VAL POE - AESR - ESR'!AB29</f>
        <v>0</v>
      </c>
      <c r="ATU4" s="56">
        <f>'REG y VAL POE - AESR - ESR'!AC29</f>
        <v>0</v>
      </c>
      <c r="ATV4" s="57">
        <f>'REG y VAL POE - AESR - ESR'!AD29</f>
        <v>0</v>
      </c>
      <c r="ATW4" s="57">
        <f>'REG y VAL POE - AESR - ESR'!AE29</f>
        <v>0</v>
      </c>
      <c r="ATX4" s="56">
        <f>'REG y VAL POE - AESR - ESR'!AF29</f>
        <v>0</v>
      </c>
      <c r="ATY4" s="57">
        <f>'REG y VAL POE - AESR - ESR'!AG29</f>
        <v>0</v>
      </c>
      <c r="ATZ4" s="56">
        <f>'REG y VAL POE - AESR - ESR'!AH29</f>
        <v>0</v>
      </c>
      <c r="AUA4" s="56">
        <f>'REG y VAL POE - AESR - ESR'!AI29</f>
        <v>0</v>
      </c>
      <c r="AUB4" s="57">
        <f>'REG y VAL POE - AESR - ESR'!AJ29</f>
        <v>0</v>
      </c>
      <c r="AUC4" s="57">
        <f>'REG y VAL POE - AESR - ESR'!AK29</f>
        <v>0</v>
      </c>
      <c r="AUD4" s="57">
        <f>'REG y VAL POE - AESR - ESR'!AL29</f>
        <v>0</v>
      </c>
      <c r="AUE4" s="56">
        <f>'REG y VAL POE - AESR - ESR'!AM29</f>
        <v>0</v>
      </c>
      <c r="AUF4" s="57">
        <f>'REG y VAL POE - AESR - ESR'!AN29</f>
        <v>0</v>
      </c>
      <c r="AUG4" s="57">
        <f>'REG y VAL POE - AESR - ESR'!AO29</f>
        <v>0</v>
      </c>
      <c r="AUH4" s="57">
        <f>'REG y VAL POE - AESR - ESR'!AP29</f>
        <v>0</v>
      </c>
      <c r="AUI4" s="57">
        <f>'REG y VAL POE - AESR - ESR'!AQ29</f>
        <v>0</v>
      </c>
      <c r="AUJ4" s="57">
        <f>'REG y VAL POE - AESR - ESR'!AR29</f>
        <v>0</v>
      </c>
      <c r="AUK4" s="56">
        <f>'REG y VAL POE - AESR - ESR'!AS29</f>
        <v>0</v>
      </c>
      <c r="AUL4" s="387">
        <f>'REG y VAL POE - AESR - ESR'!B30</f>
        <v>0</v>
      </c>
      <c r="AUM4" s="57">
        <f>'REG y VAL POE - AESR - ESR'!C30</f>
        <v>0</v>
      </c>
      <c r="AUN4" s="56">
        <f>'REG y VAL POE - AESR - ESR'!D30</f>
        <v>0</v>
      </c>
      <c r="AUO4" s="57">
        <f>'REG y VAL POE - AESR - ESR'!E30</f>
        <v>0</v>
      </c>
      <c r="AUP4" s="56">
        <f>'REG y VAL POE - AESR - ESR'!F30</f>
        <v>0</v>
      </c>
      <c r="AUQ4" s="56">
        <f>'REG y VAL POE - AESR - ESR'!G30</f>
        <v>0</v>
      </c>
      <c r="AUR4" s="57">
        <f>'REG y VAL POE - AESR - ESR'!H30</f>
        <v>0</v>
      </c>
      <c r="AUS4" s="57">
        <f>'REG y VAL POE - AESR - ESR'!I30</f>
        <v>0</v>
      </c>
      <c r="AUT4" s="57">
        <f>'REG y VAL POE - AESR - ESR'!J30</f>
        <v>0</v>
      </c>
      <c r="AUU4" s="56">
        <f>'REG y VAL POE - AESR - ESR'!K30</f>
        <v>0</v>
      </c>
      <c r="AUV4" s="57">
        <f>'REG y VAL POE - AESR - ESR'!L30</f>
        <v>0</v>
      </c>
      <c r="AUW4" s="57">
        <f>'REG y VAL POE - AESR - ESR'!M30</f>
        <v>0</v>
      </c>
      <c r="AUX4" s="56">
        <f>'REG y VAL POE - AESR - ESR'!N30</f>
        <v>0</v>
      </c>
      <c r="AUY4" s="57">
        <f>'REG y VAL POE - AESR - ESR'!O30</f>
        <v>0</v>
      </c>
      <c r="AUZ4" s="56">
        <f>'REG y VAL POE - AESR - ESR'!P30</f>
        <v>0</v>
      </c>
      <c r="AVA4" s="56">
        <f>'REG y VAL POE - AESR - ESR'!Q30</f>
        <v>0</v>
      </c>
      <c r="AVB4" s="57">
        <f>'REG y VAL POE - AESR - ESR'!R30</f>
        <v>0</v>
      </c>
      <c r="AVC4" s="57">
        <f>'REG y VAL POE - AESR - ESR'!S30</f>
        <v>0</v>
      </c>
      <c r="AVD4" s="57">
        <f>'REG y VAL POE - AESR - ESR'!T30</f>
        <v>0</v>
      </c>
      <c r="AVE4" s="56">
        <f>'REG y VAL POE - AESR - ESR'!U30</f>
        <v>0</v>
      </c>
      <c r="AVF4" s="57">
        <f>'REG y VAL POE - AESR - ESR'!V30</f>
        <v>0</v>
      </c>
      <c r="AVG4" s="57">
        <f>'REG y VAL POE - AESR - ESR'!W30</f>
        <v>0</v>
      </c>
      <c r="AVH4" s="57">
        <f>'REG y VAL POE - AESR - ESR'!X30</f>
        <v>0</v>
      </c>
      <c r="AVI4" s="57">
        <f>'REG y VAL POE - AESR - ESR'!Y30</f>
        <v>0</v>
      </c>
      <c r="AVJ4" s="57">
        <f>'REG y VAL POE - AESR - ESR'!Z30</f>
        <v>0</v>
      </c>
      <c r="AVK4" s="56">
        <f>'REG y VAL POE - AESR - ESR'!AA30</f>
        <v>0</v>
      </c>
      <c r="AVL4" s="57">
        <f>'REG y VAL POE - AESR - ESR'!AB30</f>
        <v>0</v>
      </c>
      <c r="AVM4" s="57">
        <f>'REG y VAL POE - AESR - ESR'!AC30</f>
        <v>0</v>
      </c>
      <c r="AVN4" s="56">
        <f>'REG y VAL POE - AESR - ESR'!AD30</f>
        <v>0</v>
      </c>
      <c r="AVO4" s="57">
        <f>'REG y VAL POE - AESR - ESR'!AE30</f>
        <v>0</v>
      </c>
      <c r="AVP4" s="56">
        <f>'REG y VAL POE - AESR - ESR'!AF30</f>
        <v>0</v>
      </c>
      <c r="AVQ4" s="56">
        <f>'REG y VAL POE - AESR - ESR'!AG30</f>
        <v>0</v>
      </c>
      <c r="AVR4" s="57">
        <f>'REG y VAL POE - AESR - ESR'!AH30</f>
        <v>0</v>
      </c>
      <c r="AVS4" s="57">
        <f>'REG y VAL POE - AESR - ESR'!AI30</f>
        <v>0</v>
      </c>
      <c r="AVT4" s="57">
        <f>'REG y VAL POE - AESR - ESR'!AJ30</f>
        <v>0</v>
      </c>
      <c r="AVU4" s="56">
        <f>'REG y VAL POE - AESR - ESR'!AK30</f>
        <v>0</v>
      </c>
      <c r="AVV4" s="57">
        <f>'REG y VAL POE - AESR - ESR'!AL30</f>
        <v>0</v>
      </c>
      <c r="AVW4" s="57">
        <f>'REG y VAL POE - AESR - ESR'!AM30</f>
        <v>0</v>
      </c>
      <c r="AVX4" s="56">
        <f>'REG y VAL POE - AESR - ESR'!AN30</f>
        <v>0</v>
      </c>
      <c r="AVY4" s="57">
        <f>'REG y VAL POE - AESR - ESR'!AO30</f>
        <v>0</v>
      </c>
      <c r="AVZ4" s="56">
        <f>'REG y VAL POE - AESR - ESR'!AP30</f>
        <v>0</v>
      </c>
      <c r="AWA4" s="56">
        <f>'REG y VAL POE - AESR - ESR'!AQ30</f>
        <v>0</v>
      </c>
      <c r="AWB4" s="57">
        <f>'REG y VAL POE - AESR - ESR'!AR30</f>
        <v>0</v>
      </c>
      <c r="AWC4" s="57">
        <f>'REG y VAL POE - AESR - ESR'!AS30</f>
        <v>0</v>
      </c>
      <c r="AWD4" s="387">
        <f>'REG y VAL POE - AESR - ESR'!B31</f>
        <v>0</v>
      </c>
      <c r="AWE4" s="56">
        <f>'REG y VAL POE - AESR - ESR'!C31</f>
        <v>0</v>
      </c>
      <c r="AWF4" s="57">
        <f>'REG y VAL POE - AESR - ESR'!D31</f>
        <v>0</v>
      </c>
      <c r="AWG4" s="57">
        <f>'REG y VAL POE - AESR - ESR'!E31</f>
        <v>0</v>
      </c>
      <c r="AWH4" s="57">
        <f>'REG y VAL POE - AESR - ESR'!F31</f>
        <v>0</v>
      </c>
      <c r="AWI4" s="57">
        <f>'REG y VAL POE - AESR - ESR'!G31</f>
        <v>0</v>
      </c>
      <c r="AWJ4" s="57">
        <f>'REG y VAL POE - AESR - ESR'!H31</f>
        <v>0</v>
      </c>
      <c r="AWK4" s="56">
        <f>'REG y VAL POE - AESR - ESR'!I31</f>
        <v>0</v>
      </c>
      <c r="AWL4" s="57">
        <f>'REG y VAL POE - AESR - ESR'!J31</f>
        <v>0</v>
      </c>
      <c r="AWM4" s="57">
        <f>'REG y VAL POE - AESR - ESR'!K31</f>
        <v>0</v>
      </c>
      <c r="AWN4" s="56">
        <f>'REG y VAL POE - AESR - ESR'!L31</f>
        <v>0</v>
      </c>
      <c r="AWO4" s="57">
        <f>'REG y VAL POE - AESR - ESR'!M31</f>
        <v>0</v>
      </c>
      <c r="AWP4" s="56">
        <f>'REG y VAL POE - AESR - ESR'!N31</f>
        <v>0</v>
      </c>
      <c r="AWQ4" s="56">
        <f>'REG y VAL POE - AESR - ESR'!O31</f>
        <v>0</v>
      </c>
      <c r="AWR4" s="57">
        <f>'REG y VAL POE - AESR - ESR'!P31</f>
        <v>0</v>
      </c>
      <c r="AWS4" s="57">
        <f>'REG y VAL POE - AESR - ESR'!Q31</f>
        <v>0</v>
      </c>
      <c r="AWT4" s="57">
        <f>'REG y VAL POE - AESR - ESR'!R31</f>
        <v>0</v>
      </c>
      <c r="AWU4" s="56">
        <f>'REG y VAL POE - AESR - ESR'!S31</f>
        <v>0</v>
      </c>
      <c r="AWV4" s="57">
        <f>'REG y VAL POE - AESR - ESR'!T31</f>
        <v>0</v>
      </c>
      <c r="AWW4" s="57">
        <f>'REG y VAL POE - AESR - ESR'!U31</f>
        <v>0</v>
      </c>
      <c r="AWX4" s="56">
        <f>'REG y VAL POE - AESR - ESR'!V31</f>
        <v>0</v>
      </c>
      <c r="AWY4" s="57">
        <f>'REG y VAL POE - AESR - ESR'!W31</f>
        <v>0</v>
      </c>
      <c r="AWZ4" s="56">
        <f>'REG y VAL POE - AESR - ESR'!X31</f>
        <v>0</v>
      </c>
      <c r="AXA4" s="56">
        <f>'REG y VAL POE - AESR - ESR'!Y31</f>
        <v>0</v>
      </c>
      <c r="AXB4" s="57">
        <f>'REG y VAL POE - AESR - ESR'!Z31</f>
        <v>0</v>
      </c>
      <c r="AXC4" s="57">
        <f>'REG y VAL POE - AESR - ESR'!AA31</f>
        <v>0</v>
      </c>
      <c r="AXD4" s="57">
        <f>'REG y VAL POE - AESR - ESR'!AB31</f>
        <v>0</v>
      </c>
      <c r="AXE4" s="56">
        <f>'REG y VAL POE - AESR - ESR'!AC31</f>
        <v>0</v>
      </c>
      <c r="AXF4" s="57">
        <f>'REG y VAL POE - AESR - ESR'!AD31</f>
        <v>0</v>
      </c>
      <c r="AXG4" s="57">
        <f>'REG y VAL POE - AESR - ESR'!AE31</f>
        <v>0</v>
      </c>
      <c r="AXH4" s="57">
        <f>'REG y VAL POE - AESR - ESR'!AF31</f>
        <v>0</v>
      </c>
      <c r="AXI4" s="57">
        <f>'REG y VAL POE - AESR - ESR'!AG31</f>
        <v>0</v>
      </c>
      <c r="AXJ4" s="57">
        <f>'REG y VAL POE - AESR - ESR'!AH31</f>
        <v>0</v>
      </c>
      <c r="AXK4" s="56">
        <f>'REG y VAL POE - AESR - ESR'!AI31</f>
        <v>0</v>
      </c>
      <c r="AXL4" s="57">
        <f>'REG y VAL POE - AESR - ESR'!AJ31</f>
        <v>0</v>
      </c>
      <c r="AXM4" s="57">
        <f>'REG y VAL POE - AESR - ESR'!AK31</f>
        <v>0</v>
      </c>
      <c r="AXN4" s="56">
        <f>'REG y VAL POE - AESR - ESR'!AL31</f>
        <v>0</v>
      </c>
      <c r="AXO4" s="57">
        <f>'REG y VAL POE - AESR - ESR'!AM31</f>
        <v>0</v>
      </c>
      <c r="AXP4" s="56">
        <f>'REG y VAL POE - AESR - ESR'!AN31</f>
        <v>0</v>
      </c>
      <c r="AXQ4" s="56">
        <f>'REG y VAL POE - AESR - ESR'!AO31</f>
        <v>0</v>
      </c>
      <c r="AXR4" s="57">
        <f>'REG y VAL POE - AESR - ESR'!AP31</f>
        <v>0</v>
      </c>
      <c r="AXS4" s="57">
        <f>'REG y VAL POE - AESR - ESR'!AQ31</f>
        <v>0</v>
      </c>
      <c r="AXT4" s="57">
        <f>'REG y VAL POE - AESR - ESR'!AR31</f>
        <v>0</v>
      </c>
      <c r="AXU4" s="56">
        <f>'REG y VAL POE - AESR - ESR'!AS31</f>
        <v>0</v>
      </c>
      <c r="AXV4" s="387">
        <f>'REG y VAL POE - AESR - ESR'!B32</f>
        <v>0</v>
      </c>
      <c r="AXW4" s="57">
        <f>'REG y VAL POE - AESR - ESR'!C32</f>
        <v>0</v>
      </c>
      <c r="AXX4" s="56">
        <f>'REG y VAL POE - AESR - ESR'!D32</f>
        <v>0</v>
      </c>
      <c r="AXY4" s="57">
        <f>'REG y VAL POE - AESR - ESR'!E32</f>
        <v>0</v>
      </c>
      <c r="AXZ4" s="56">
        <f>'REG y VAL POE - AESR - ESR'!F32</f>
        <v>0</v>
      </c>
      <c r="AYA4" s="56">
        <f>'REG y VAL POE - AESR - ESR'!G32</f>
        <v>0</v>
      </c>
      <c r="AYB4" s="57">
        <f>'REG y VAL POE - AESR - ESR'!H32</f>
        <v>0</v>
      </c>
      <c r="AYC4" s="57">
        <f>'REG y VAL POE - AESR - ESR'!I32</f>
        <v>0</v>
      </c>
      <c r="AYD4" s="57">
        <f>'REG y VAL POE - AESR - ESR'!J32</f>
        <v>0</v>
      </c>
      <c r="AYE4" s="56">
        <f>'REG y VAL POE - AESR - ESR'!K32</f>
        <v>0</v>
      </c>
      <c r="AYF4" s="57">
        <f>'REG y VAL POE - AESR - ESR'!L32</f>
        <v>0</v>
      </c>
      <c r="AYG4" s="57">
        <f>'REG y VAL POE - AESR - ESR'!M32</f>
        <v>0</v>
      </c>
      <c r="AYH4" s="57">
        <f>'REG y VAL POE - AESR - ESR'!N32</f>
        <v>0</v>
      </c>
      <c r="AYI4" s="57">
        <f>'REG y VAL POE - AESR - ESR'!O32</f>
        <v>0</v>
      </c>
      <c r="AYJ4" s="57">
        <f>'REG y VAL POE - AESR - ESR'!P32</f>
        <v>0</v>
      </c>
      <c r="AYK4" s="56">
        <f>'REG y VAL POE - AESR - ESR'!Q32</f>
        <v>0</v>
      </c>
      <c r="AYL4" s="57">
        <f>'REG y VAL POE - AESR - ESR'!R32</f>
        <v>0</v>
      </c>
      <c r="AYM4" s="57">
        <f>'REG y VAL POE - AESR - ESR'!S32</f>
        <v>0</v>
      </c>
      <c r="AYN4" s="56">
        <f>'REG y VAL POE - AESR - ESR'!T32</f>
        <v>0</v>
      </c>
      <c r="AYO4" s="57">
        <f>'REG y VAL POE - AESR - ESR'!U32</f>
        <v>0</v>
      </c>
      <c r="AYP4" s="56">
        <f>'REG y VAL POE - AESR - ESR'!V32</f>
        <v>0</v>
      </c>
      <c r="AYQ4" s="56">
        <f>'REG y VAL POE - AESR - ESR'!W32</f>
        <v>0</v>
      </c>
      <c r="AYR4" s="57">
        <f>'REG y VAL POE - AESR - ESR'!X32</f>
        <v>0</v>
      </c>
      <c r="AYS4" s="57">
        <f>'REG y VAL POE - AESR - ESR'!Y32</f>
        <v>0</v>
      </c>
      <c r="AYT4" s="57">
        <f>'REG y VAL POE - AESR - ESR'!Z32</f>
        <v>0</v>
      </c>
      <c r="AYU4" s="56">
        <f>'REG y VAL POE - AESR - ESR'!AA32</f>
        <v>0</v>
      </c>
      <c r="AYV4" s="57">
        <f>'REG y VAL POE - AESR - ESR'!AB32</f>
        <v>0</v>
      </c>
      <c r="AYW4" s="57">
        <f>'REG y VAL POE - AESR - ESR'!AC32</f>
        <v>0</v>
      </c>
      <c r="AYX4" s="56">
        <f>'REG y VAL POE - AESR - ESR'!AD32</f>
        <v>0</v>
      </c>
      <c r="AYY4" s="57">
        <f>'REG y VAL POE - AESR - ESR'!AE32</f>
        <v>0</v>
      </c>
      <c r="AYZ4" s="56">
        <f>'REG y VAL POE - AESR - ESR'!AF32</f>
        <v>0</v>
      </c>
      <c r="AZA4" s="56">
        <f>'REG y VAL POE - AESR - ESR'!AG32</f>
        <v>0</v>
      </c>
      <c r="AZB4" s="57">
        <f>'REG y VAL POE - AESR - ESR'!AH32</f>
        <v>0</v>
      </c>
      <c r="AZC4" s="57">
        <f>'REG y VAL POE - AESR - ESR'!AI32</f>
        <v>0</v>
      </c>
      <c r="AZD4" s="57">
        <f>'REG y VAL POE - AESR - ESR'!AJ32</f>
        <v>0</v>
      </c>
      <c r="AZE4" s="56">
        <f>'REG y VAL POE - AESR - ESR'!AK32</f>
        <v>0</v>
      </c>
      <c r="AZF4" s="57">
        <f>'REG y VAL POE - AESR - ESR'!AL32</f>
        <v>0</v>
      </c>
      <c r="AZG4" s="57">
        <f>'REG y VAL POE - AESR - ESR'!AM32</f>
        <v>0</v>
      </c>
      <c r="AZH4" s="57">
        <f>'REG y VAL POE - AESR - ESR'!AN32</f>
        <v>0</v>
      </c>
      <c r="AZI4" s="57">
        <f>'REG y VAL POE - AESR - ESR'!AO32</f>
        <v>0</v>
      </c>
      <c r="AZJ4" s="57">
        <f>'REG y VAL POE - AESR - ESR'!AP32</f>
        <v>0</v>
      </c>
      <c r="AZK4" s="56">
        <f>'REG y VAL POE - AESR - ESR'!AQ32</f>
        <v>0</v>
      </c>
      <c r="AZL4" s="57">
        <f>'REG y VAL POE - AESR - ESR'!AR32</f>
        <v>0</v>
      </c>
      <c r="AZM4" s="57">
        <f>'REG y VAL POE - AESR - ESR'!AS32</f>
        <v>0</v>
      </c>
      <c r="AZN4" s="55">
        <f>'REG y VAL POE - AESR - ESR'!B33</f>
        <v>0</v>
      </c>
      <c r="AZO4" s="57">
        <f>'REG y VAL POE - AESR - ESR'!C33</f>
        <v>0</v>
      </c>
      <c r="AZP4" s="56">
        <f>'REG y VAL POE - AESR - ESR'!D33</f>
        <v>0</v>
      </c>
      <c r="AZQ4" s="56">
        <f>'REG y VAL POE - AESR - ESR'!E33</f>
        <v>0</v>
      </c>
      <c r="AZR4" s="57">
        <f>'REG y VAL POE - AESR - ESR'!F33</f>
        <v>0</v>
      </c>
      <c r="AZS4" s="57">
        <f>'REG y VAL POE - AESR - ESR'!G33</f>
        <v>0</v>
      </c>
      <c r="AZT4" s="57">
        <f>'REG y VAL POE - AESR - ESR'!H33</f>
        <v>0</v>
      </c>
      <c r="AZU4" s="56">
        <f>'REG y VAL POE - AESR - ESR'!I33</f>
        <v>0</v>
      </c>
      <c r="AZV4" s="57">
        <f>'REG y VAL POE - AESR - ESR'!J33</f>
        <v>0</v>
      </c>
      <c r="AZW4" s="57">
        <f>'REG y VAL POE - AESR - ESR'!K33</f>
        <v>0</v>
      </c>
      <c r="AZX4" s="56">
        <f>'REG y VAL POE - AESR - ESR'!L33</f>
        <v>0</v>
      </c>
      <c r="AZY4" s="57">
        <f>'REG y VAL POE - AESR - ESR'!M33</f>
        <v>0</v>
      </c>
      <c r="AZZ4" s="56">
        <f>'REG y VAL POE - AESR - ESR'!N33</f>
        <v>0</v>
      </c>
      <c r="BAA4" s="56">
        <f>'REG y VAL POE - AESR - ESR'!O33</f>
        <v>0</v>
      </c>
      <c r="BAB4" s="57">
        <f>'REG y VAL POE - AESR - ESR'!P33</f>
        <v>0</v>
      </c>
      <c r="BAC4" s="57">
        <f>'REG y VAL POE - AESR - ESR'!Q33</f>
        <v>0</v>
      </c>
      <c r="BAD4" s="57">
        <f>'REG y VAL POE - AESR - ESR'!R33</f>
        <v>0</v>
      </c>
      <c r="BAE4" s="56">
        <f>'REG y VAL POE - AESR - ESR'!S33</f>
        <v>0</v>
      </c>
      <c r="BAF4" s="57">
        <f>'REG y VAL POE - AESR - ESR'!T33</f>
        <v>0</v>
      </c>
      <c r="BAG4" s="57">
        <f>'REG y VAL POE - AESR - ESR'!U33</f>
        <v>0</v>
      </c>
      <c r="BAH4" s="57">
        <f>'REG y VAL POE - AESR - ESR'!V33</f>
        <v>0</v>
      </c>
      <c r="BAI4" s="57">
        <f>'REG y VAL POE - AESR - ESR'!W33</f>
        <v>0</v>
      </c>
      <c r="BAJ4" s="57">
        <f>'REG y VAL POE - AESR - ESR'!X33</f>
        <v>0</v>
      </c>
      <c r="BAK4" s="56">
        <f>'REG y VAL POE - AESR - ESR'!Y33</f>
        <v>0</v>
      </c>
      <c r="BAL4" s="57">
        <f>'REG y VAL POE - AESR - ESR'!Z33</f>
        <v>0</v>
      </c>
      <c r="BAM4" s="57">
        <f>'REG y VAL POE - AESR - ESR'!AA33</f>
        <v>0</v>
      </c>
      <c r="BAN4" s="56">
        <f>'REG y VAL POE - AESR - ESR'!AB33</f>
        <v>0</v>
      </c>
      <c r="BAO4" s="57">
        <f>'REG y VAL POE - AESR - ESR'!AC33</f>
        <v>0</v>
      </c>
      <c r="BAP4" s="56">
        <f>'REG y VAL POE - AESR - ESR'!AD33</f>
        <v>0</v>
      </c>
      <c r="BAQ4" s="56">
        <f>'REG y VAL POE - AESR - ESR'!AE33</f>
        <v>0</v>
      </c>
      <c r="BAR4" s="57">
        <f>'REG y VAL POE - AESR - ESR'!AF33</f>
        <v>0</v>
      </c>
      <c r="BAS4" s="57">
        <f>'REG y VAL POE - AESR - ESR'!AG33</f>
        <v>0</v>
      </c>
      <c r="BAT4" s="57">
        <f>'REG y VAL POE - AESR - ESR'!AH33</f>
        <v>0</v>
      </c>
      <c r="BAU4" s="56">
        <f>'REG y VAL POE - AESR - ESR'!AI33</f>
        <v>0</v>
      </c>
      <c r="BAV4" s="57">
        <f>'REG y VAL POE - AESR - ESR'!AJ33</f>
        <v>0</v>
      </c>
      <c r="BAW4" s="57">
        <f>'REG y VAL POE - AESR - ESR'!AK33</f>
        <v>0</v>
      </c>
      <c r="BAX4" s="56">
        <f>'REG y VAL POE - AESR - ESR'!AL33</f>
        <v>0</v>
      </c>
      <c r="BAY4" s="57">
        <f>'REG y VAL POE - AESR - ESR'!AM33</f>
        <v>0</v>
      </c>
      <c r="BAZ4" s="56">
        <f>'REG y VAL POE - AESR - ESR'!AN33</f>
        <v>0</v>
      </c>
      <c r="BBA4" s="56">
        <f>'REG y VAL POE - AESR - ESR'!AO33</f>
        <v>0</v>
      </c>
      <c r="BBB4" s="57">
        <f>'REG y VAL POE - AESR - ESR'!AP33</f>
        <v>0</v>
      </c>
      <c r="BBC4" s="57">
        <f>'REG y VAL POE - AESR - ESR'!AQ33</f>
        <v>0</v>
      </c>
      <c r="BBD4" s="57">
        <f>'REG y VAL POE - AESR - ESR'!AR33</f>
        <v>0</v>
      </c>
      <c r="BBE4" s="56">
        <f>'REG y VAL POE - AESR - ESR'!AS33</f>
        <v>0</v>
      </c>
      <c r="BBF4" s="387">
        <f>'REG y VAL POE - AESR - ESR'!B34</f>
        <v>0</v>
      </c>
      <c r="BBG4" s="57">
        <f>'REG y VAL POE - AESR - ESR'!C34</f>
        <v>0</v>
      </c>
      <c r="BBH4" s="57">
        <f>'REG y VAL POE - AESR - ESR'!D34</f>
        <v>0</v>
      </c>
      <c r="BBI4" s="57">
        <f>'REG y VAL POE - AESR - ESR'!E34</f>
        <v>0</v>
      </c>
      <c r="BBJ4" s="57">
        <f>'REG y VAL POE - AESR - ESR'!F34</f>
        <v>0</v>
      </c>
      <c r="BBK4" s="56">
        <f>'REG y VAL POE - AESR - ESR'!G34</f>
        <v>0</v>
      </c>
      <c r="BBL4" s="57">
        <f>'REG y VAL POE - AESR - ESR'!H34</f>
        <v>0</v>
      </c>
      <c r="BBM4" s="57">
        <f>'REG y VAL POE - AESR - ESR'!I34</f>
        <v>0</v>
      </c>
      <c r="BBN4" s="56">
        <f>'REG y VAL POE - AESR - ESR'!J34</f>
        <v>0</v>
      </c>
      <c r="BBO4" s="57">
        <f>'REG y VAL POE - AESR - ESR'!K34</f>
        <v>0</v>
      </c>
      <c r="BBP4" s="56">
        <f>'REG y VAL POE - AESR - ESR'!L34</f>
        <v>0</v>
      </c>
      <c r="BBQ4" s="56">
        <f>'REG y VAL POE - AESR - ESR'!M34</f>
        <v>0</v>
      </c>
      <c r="BBR4" s="57">
        <f>'REG y VAL POE - AESR - ESR'!N34</f>
        <v>0</v>
      </c>
      <c r="BBS4" s="57">
        <f>'REG y VAL POE - AESR - ESR'!O34</f>
        <v>0</v>
      </c>
      <c r="BBT4" s="57">
        <f>'REG y VAL POE - AESR - ESR'!P34</f>
        <v>0</v>
      </c>
      <c r="BBU4" s="56">
        <f>'REG y VAL POE - AESR - ESR'!Q34</f>
        <v>0</v>
      </c>
      <c r="BBV4" s="57">
        <f>'REG y VAL POE - AESR - ESR'!R34</f>
        <v>0</v>
      </c>
      <c r="BBW4" s="57">
        <f>'REG y VAL POE - AESR - ESR'!S34</f>
        <v>0</v>
      </c>
      <c r="BBX4" s="56">
        <f>'REG y VAL POE - AESR - ESR'!T34</f>
        <v>0</v>
      </c>
      <c r="BBY4" s="57">
        <f>'REG y VAL POE - AESR - ESR'!U34</f>
        <v>0</v>
      </c>
      <c r="BBZ4" s="56">
        <f>'REG y VAL POE - AESR - ESR'!V34</f>
        <v>0</v>
      </c>
      <c r="BCA4" s="56">
        <f>'REG y VAL POE - AESR - ESR'!W34</f>
        <v>0</v>
      </c>
      <c r="BCB4" s="57">
        <f>'REG y VAL POE - AESR - ESR'!X34</f>
        <v>0</v>
      </c>
      <c r="BCC4" s="57">
        <f>'REG y VAL POE - AESR - ESR'!Y34</f>
        <v>0</v>
      </c>
      <c r="BCD4" s="57">
        <f>'REG y VAL POE - AESR - ESR'!Z34</f>
        <v>0</v>
      </c>
      <c r="BCE4" s="56">
        <f>'REG y VAL POE - AESR - ESR'!AA34</f>
        <v>0</v>
      </c>
      <c r="BCF4" s="57">
        <f>'REG y VAL POE - AESR - ESR'!AB34</f>
        <v>0</v>
      </c>
      <c r="BCG4" s="57">
        <f>'REG y VAL POE - AESR - ESR'!AC34</f>
        <v>0</v>
      </c>
      <c r="BCH4" s="57">
        <f>'REG y VAL POE - AESR - ESR'!AD34</f>
        <v>0</v>
      </c>
      <c r="BCI4" s="57">
        <f>'REG y VAL POE - AESR - ESR'!AE34</f>
        <v>0</v>
      </c>
      <c r="BCJ4" s="57">
        <f>'REG y VAL POE - AESR - ESR'!AF34</f>
        <v>0</v>
      </c>
      <c r="BCK4" s="56">
        <f>'REG y VAL POE - AESR - ESR'!AG34</f>
        <v>0</v>
      </c>
      <c r="BCL4" s="57">
        <f>'REG y VAL POE - AESR - ESR'!AH34</f>
        <v>0</v>
      </c>
      <c r="BCM4" s="57">
        <f>'REG y VAL POE - AESR - ESR'!AI34</f>
        <v>0</v>
      </c>
      <c r="BCN4" s="56">
        <f>'REG y VAL POE - AESR - ESR'!AJ34</f>
        <v>0</v>
      </c>
      <c r="BCO4" s="57">
        <f>'REG y VAL POE - AESR - ESR'!AK34</f>
        <v>0</v>
      </c>
      <c r="BCP4" s="56">
        <f>'REG y VAL POE - AESR - ESR'!AL34</f>
        <v>0</v>
      </c>
      <c r="BCQ4" s="56">
        <f>'REG y VAL POE - AESR - ESR'!AM34</f>
        <v>0</v>
      </c>
      <c r="BCR4" s="57">
        <f>'REG y VAL POE - AESR - ESR'!AN34</f>
        <v>0</v>
      </c>
      <c r="BCS4" s="57">
        <f>'REG y VAL POE - AESR - ESR'!AO34</f>
        <v>0</v>
      </c>
      <c r="BCT4" s="57">
        <f>'REG y VAL POE - AESR - ESR'!AP34</f>
        <v>0</v>
      </c>
      <c r="BCU4" s="56">
        <f>'REG y VAL POE - AESR - ESR'!AQ34</f>
        <v>0</v>
      </c>
      <c r="BCV4" s="57">
        <f>'REG y VAL POE - AESR - ESR'!AR34</f>
        <v>0</v>
      </c>
      <c r="BCW4" s="57">
        <f>'REG y VAL POE - AESR - ESR'!AS34</f>
        <v>0</v>
      </c>
      <c r="BCX4" s="55">
        <f>'REG y VAL POE - AESR - ESR'!B35</f>
        <v>0</v>
      </c>
      <c r="BCY4" s="57">
        <f>'REG y VAL POE - AESR - ESR'!C35</f>
        <v>0</v>
      </c>
      <c r="BCZ4" s="56">
        <f>'REG y VAL POE - AESR - ESR'!D35</f>
        <v>0</v>
      </c>
      <c r="BDA4" s="56">
        <f>'REG y VAL POE - AESR - ESR'!E35</f>
        <v>0</v>
      </c>
      <c r="BDB4" s="57">
        <f>'REG y VAL POE - AESR - ESR'!F35</f>
        <v>0</v>
      </c>
      <c r="BDC4" s="57">
        <f>'REG y VAL POE - AESR - ESR'!G35</f>
        <v>0</v>
      </c>
      <c r="BDD4" s="57">
        <f>'REG y VAL POE - AESR - ESR'!H35</f>
        <v>0</v>
      </c>
      <c r="BDE4" s="56">
        <f>'REG y VAL POE - AESR - ESR'!I35</f>
        <v>0</v>
      </c>
      <c r="BDF4" s="57">
        <f>'REG y VAL POE - AESR - ESR'!J35</f>
        <v>0</v>
      </c>
      <c r="BDG4" s="57">
        <f>'REG y VAL POE - AESR - ESR'!K35</f>
        <v>0</v>
      </c>
      <c r="BDH4" s="57">
        <f>'REG y VAL POE - AESR - ESR'!L35</f>
        <v>0</v>
      </c>
      <c r="BDI4" s="57">
        <f>'REG y VAL POE - AESR - ESR'!M35</f>
        <v>0</v>
      </c>
      <c r="BDJ4" s="57">
        <f>'REG y VAL POE - AESR - ESR'!N35</f>
        <v>0</v>
      </c>
      <c r="BDK4" s="56">
        <f>'REG y VAL POE - AESR - ESR'!O35</f>
        <v>0</v>
      </c>
      <c r="BDL4" s="57">
        <f>'REG y VAL POE - AESR - ESR'!P35</f>
        <v>0</v>
      </c>
      <c r="BDM4" s="57">
        <f>'REG y VAL POE - AESR - ESR'!Q35</f>
        <v>0</v>
      </c>
      <c r="BDN4" s="56">
        <f>'REG y VAL POE - AESR - ESR'!R35</f>
        <v>0</v>
      </c>
      <c r="BDO4" s="57">
        <f>'REG y VAL POE - AESR - ESR'!S35</f>
        <v>0</v>
      </c>
      <c r="BDP4" s="56">
        <f>'REG y VAL POE - AESR - ESR'!T35</f>
        <v>0</v>
      </c>
      <c r="BDQ4" s="56">
        <f>'REG y VAL POE - AESR - ESR'!U35</f>
        <v>0</v>
      </c>
      <c r="BDR4" s="57">
        <f>'REG y VAL POE - AESR - ESR'!V35</f>
        <v>0</v>
      </c>
      <c r="BDS4" s="57">
        <f>'REG y VAL POE - AESR - ESR'!W35</f>
        <v>0</v>
      </c>
      <c r="BDT4" s="57">
        <f>'REG y VAL POE - AESR - ESR'!X35</f>
        <v>0</v>
      </c>
      <c r="BDU4" s="56">
        <f>'REG y VAL POE - AESR - ESR'!Y35</f>
        <v>0</v>
      </c>
      <c r="BDV4" s="57">
        <f>'REG y VAL POE - AESR - ESR'!Z35</f>
        <v>0</v>
      </c>
      <c r="BDW4" s="57">
        <f>'REG y VAL POE - AESR - ESR'!AA35</f>
        <v>0</v>
      </c>
      <c r="BDX4" s="56">
        <f>'REG y VAL POE - AESR - ESR'!AB35</f>
        <v>0</v>
      </c>
      <c r="BDY4" s="57">
        <f>'REG y VAL POE - AESR - ESR'!AC35</f>
        <v>0</v>
      </c>
      <c r="BDZ4" s="56">
        <f>'REG y VAL POE - AESR - ESR'!AD35</f>
        <v>0</v>
      </c>
      <c r="BEA4" s="56">
        <f>'REG y VAL POE - AESR - ESR'!AE35</f>
        <v>0</v>
      </c>
      <c r="BEB4" s="57">
        <f>'REG y VAL POE - AESR - ESR'!AF35</f>
        <v>0</v>
      </c>
      <c r="BEC4" s="57">
        <f>'REG y VAL POE - AESR - ESR'!AG35</f>
        <v>0</v>
      </c>
      <c r="BED4" s="57">
        <f>'REG y VAL POE - AESR - ESR'!AH35</f>
        <v>0</v>
      </c>
      <c r="BEE4" s="56">
        <f>'REG y VAL POE - AESR - ESR'!AI35</f>
        <v>0</v>
      </c>
      <c r="BEF4" s="57">
        <f>'REG y VAL POE - AESR - ESR'!AJ35</f>
        <v>0</v>
      </c>
      <c r="BEG4" s="57">
        <f>'REG y VAL POE - AESR - ESR'!AK35</f>
        <v>0</v>
      </c>
      <c r="BEH4" s="57">
        <f>'REG y VAL POE - AESR - ESR'!AL35</f>
        <v>0</v>
      </c>
      <c r="BEI4" s="57">
        <f>'REG y VAL POE - AESR - ESR'!AM35</f>
        <v>0</v>
      </c>
      <c r="BEJ4" s="57">
        <f>'REG y VAL POE - AESR - ESR'!AN35</f>
        <v>0</v>
      </c>
      <c r="BEK4" s="56">
        <f>'REG y VAL POE - AESR - ESR'!AO35</f>
        <v>0</v>
      </c>
      <c r="BEL4" s="57">
        <f>'REG y VAL POE - AESR - ESR'!AP35</f>
        <v>0</v>
      </c>
      <c r="BEM4" s="57">
        <f>'REG y VAL POE - AESR - ESR'!AQ35</f>
        <v>0</v>
      </c>
      <c r="BEN4" s="56">
        <f>'REG y VAL POE - AESR - ESR'!AR35</f>
        <v>0</v>
      </c>
      <c r="BEO4" s="57">
        <f>'REG y VAL POE - AESR - ESR'!AS35</f>
        <v>0</v>
      </c>
      <c r="BEP4" s="55">
        <f>'REG y VAL POE - AESR - ESR'!B36</f>
        <v>0</v>
      </c>
      <c r="BEQ4" s="56">
        <f>'REG y VAL POE - AESR - ESR'!C36</f>
        <v>0</v>
      </c>
      <c r="BER4" s="57">
        <f>'REG y VAL POE - AESR - ESR'!D36</f>
        <v>0</v>
      </c>
      <c r="BES4" s="57">
        <f>'REG y VAL POE - AESR - ESR'!E36</f>
        <v>0</v>
      </c>
      <c r="BET4" s="57">
        <f>'REG y VAL POE - AESR - ESR'!F36</f>
        <v>0</v>
      </c>
      <c r="BEU4" s="56">
        <f>'REG y VAL POE - AESR - ESR'!G36</f>
        <v>0</v>
      </c>
      <c r="BEV4" s="57">
        <f>'REG y VAL POE - AESR - ESR'!H36</f>
        <v>0</v>
      </c>
      <c r="BEW4" s="57">
        <f>'REG y VAL POE - AESR - ESR'!I36</f>
        <v>0</v>
      </c>
      <c r="BEX4" s="56">
        <f>'REG y VAL POE - AESR - ESR'!J36</f>
        <v>0</v>
      </c>
      <c r="BEY4" s="57">
        <f>'REG y VAL POE - AESR - ESR'!K36</f>
        <v>0</v>
      </c>
      <c r="BEZ4" s="56">
        <f>'REG y VAL POE - AESR - ESR'!L36</f>
        <v>0</v>
      </c>
      <c r="BFA4" s="56">
        <f>'REG y VAL POE - AESR - ESR'!M36</f>
        <v>0</v>
      </c>
      <c r="BFB4" s="57">
        <f>'REG y VAL POE - AESR - ESR'!N36</f>
        <v>0</v>
      </c>
      <c r="BFC4" s="57">
        <f>'REG y VAL POE - AESR - ESR'!O36</f>
        <v>0</v>
      </c>
      <c r="BFD4" s="57">
        <f>'REG y VAL POE - AESR - ESR'!P36</f>
        <v>0</v>
      </c>
      <c r="BFE4" s="56">
        <f>'REG y VAL POE - AESR - ESR'!Q36</f>
        <v>0</v>
      </c>
      <c r="BFF4" s="57">
        <f>'REG y VAL POE - AESR - ESR'!R36</f>
        <v>0</v>
      </c>
      <c r="BFG4" s="57">
        <f>'REG y VAL POE - AESR - ESR'!S36</f>
        <v>0</v>
      </c>
      <c r="BFH4" s="57">
        <f>'REG y VAL POE - AESR - ESR'!T36</f>
        <v>0</v>
      </c>
      <c r="BFI4" s="57">
        <f>'REG y VAL POE - AESR - ESR'!U36</f>
        <v>0</v>
      </c>
      <c r="BFJ4" s="57">
        <f>'REG y VAL POE - AESR - ESR'!V36</f>
        <v>0</v>
      </c>
      <c r="BFK4" s="56">
        <f>'REG y VAL POE - AESR - ESR'!W36</f>
        <v>0</v>
      </c>
      <c r="BFL4" s="57">
        <f>'REG y VAL POE - AESR - ESR'!X36</f>
        <v>0</v>
      </c>
      <c r="BFM4" s="57">
        <f>'REG y VAL POE - AESR - ESR'!Y36</f>
        <v>0</v>
      </c>
      <c r="BFN4" s="56">
        <f>'REG y VAL POE - AESR - ESR'!Z36</f>
        <v>0</v>
      </c>
      <c r="BFO4" s="57">
        <f>'REG y VAL POE - AESR - ESR'!AA36</f>
        <v>0</v>
      </c>
      <c r="BFP4" s="56">
        <f>'REG y VAL POE - AESR - ESR'!AB36</f>
        <v>0</v>
      </c>
      <c r="BFQ4" s="56">
        <f>'REG y VAL POE - AESR - ESR'!AC36</f>
        <v>0</v>
      </c>
      <c r="BFR4" s="57">
        <f>'REG y VAL POE - AESR - ESR'!AD36</f>
        <v>0</v>
      </c>
      <c r="BFS4" s="57">
        <f>'REG y VAL POE - AESR - ESR'!AE36</f>
        <v>0</v>
      </c>
      <c r="BFT4" s="57">
        <f>'REG y VAL POE - AESR - ESR'!AF36</f>
        <v>0</v>
      </c>
      <c r="BFU4" s="56">
        <f>'REG y VAL POE - AESR - ESR'!AG36</f>
        <v>0</v>
      </c>
      <c r="BFV4" s="57">
        <f>'REG y VAL POE - AESR - ESR'!AH36</f>
        <v>0</v>
      </c>
      <c r="BFW4" s="57">
        <f>'REG y VAL POE - AESR - ESR'!AI36</f>
        <v>0</v>
      </c>
      <c r="BFX4" s="56">
        <f>'REG y VAL POE - AESR - ESR'!AJ36</f>
        <v>0</v>
      </c>
      <c r="BFY4" s="57">
        <f>'REG y VAL POE - AESR - ESR'!AK36</f>
        <v>0</v>
      </c>
      <c r="BFZ4" s="56">
        <f>'REG y VAL POE - AESR - ESR'!AL36</f>
        <v>0</v>
      </c>
      <c r="BGA4" s="56">
        <f>'REG y VAL POE - AESR - ESR'!AM36</f>
        <v>0</v>
      </c>
      <c r="BGB4" s="57">
        <f>'REG y VAL POE - AESR - ESR'!AN36</f>
        <v>0</v>
      </c>
      <c r="BGC4" s="57">
        <f>'REG y VAL POE - AESR - ESR'!AO36</f>
        <v>0</v>
      </c>
      <c r="BGD4" s="57">
        <f>'REG y VAL POE - AESR - ESR'!AP36</f>
        <v>0</v>
      </c>
      <c r="BGE4" s="56">
        <f>'REG y VAL POE - AESR - ESR'!AQ36</f>
        <v>0</v>
      </c>
      <c r="BGF4" s="57">
        <f>'REG y VAL POE - AESR - ESR'!AR36</f>
        <v>0</v>
      </c>
      <c r="BGG4" s="57">
        <f>'REG y VAL POE - AESR - ESR'!AS36</f>
        <v>0</v>
      </c>
      <c r="BGH4" s="387">
        <f>'REG y VAL POE - AESR - ESR'!B37</f>
        <v>0</v>
      </c>
      <c r="BGI4" s="57">
        <f>'REG y VAL POE - AESR - ESR'!C37</f>
        <v>0</v>
      </c>
      <c r="BGJ4" s="57">
        <f>'REG y VAL POE - AESR - ESR'!D37</f>
        <v>0</v>
      </c>
      <c r="BGK4" s="56">
        <f>'REG y VAL POE - AESR - ESR'!E37</f>
        <v>0</v>
      </c>
      <c r="BGL4" s="57">
        <f>'REG y VAL POE - AESR - ESR'!F37</f>
        <v>0</v>
      </c>
      <c r="BGM4" s="57">
        <f>'REG y VAL POE - AESR - ESR'!G37</f>
        <v>0</v>
      </c>
      <c r="BGN4" s="56">
        <f>'REG y VAL POE - AESR - ESR'!H37</f>
        <v>0</v>
      </c>
      <c r="BGO4" s="57">
        <f>'REG y VAL POE - AESR - ESR'!I37</f>
        <v>0</v>
      </c>
      <c r="BGP4" s="56">
        <f>'REG y VAL POE - AESR - ESR'!J37</f>
        <v>0</v>
      </c>
      <c r="BGQ4" s="56">
        <f>'REG y VAL POE - AESR - ESR'!K37</f>
        <v>0</v>
      </c>
      <c r="BGR4" s="57">
        <f>'REG y VAL POE - AESR - ESR'!L37</f>
        <v>0</v>
      </c>
      <c r="BGS4" s="57">
        <f>'REG y VAL POE - AESR - ESR'!M37</f>
        <v>0</v>
      </c>
      <c r="BGT4" s="57">
        <f>'REG y VAL POE - AESR - ESR'!N37</f>
        <v>0</v>
      </c>
      <c r="BGU4" s="56">
        <f>'REG y VAL POE - AESR - ESR'!O37</f>
        <v>0</v>
      </c>
      <c r="BGV4" s="57">
        <f>'REG y VAL POE - AESR - ESR'!P37</f>
        <v>0</v>
      </c>
      <c r="BGW4" s="57">
        <f>'REG y VAL POE - AESR - ESR'!Q37</f>
        <v>0</v>
      </c>
      <c r="BGX4" s="56">
        <f>'REG y VAL POE - AESR - ESR'!R37</f>
        <v>0</v>
      </c>
      <c r="BGY4" s="57">
        <f>'REG y VAL POE - AESR - ESR'!S37</f>
        <v>0</v>
      </c>
      <c r="BGZ4" s="56">
        <f>'REG y VAL POE - AESR - ESR'!T37</f>
        <v>0</v>
      </c>
      <c r="BHA4" s="56">
        <f>'REG y VAL POE - AESR - ESR'!U37</f>
        <v>0</v>
      </c>
      <c r="BHB4" s="57">
        <f>'REG y VAL POE - AESR - ESR'!V37</f>
        <v>0</v>
      </c>
      <c r="BHC4" s="57">
        <f>'REG y VAL POE - AESR - ESR'!W37</f>
        <v>0</v>
      </c>
      <c r="BHD4" s="57">
        <f>'REG y VAL POE - AESR - ESR'!X37</f>
        <v>0</v>
      </c>
      <c r="BHE4" s="56">
        <f>'REG y VAL POE - AESR - ESR'!Y37</f>
        <v>0</v>
      </c>
      <c r="BHF4" s="57">
        <f>'REG y VAL POE - AESR - ESR'!Z37</f>
        <v>0</v>
      </c>
      <c r="BHG4" s="57">
        <f>'REG y VAL POE - AESR - ESR'!AA37</f>
        <v>0</v>
      </c>
      <c r="BHH4" s="57">
        <f>'REG y VAL POE - AESR - ESR'!AB37</f>
        <v>0</v>
      </c>
      <c r="BHI4" s="57">
        <f>'REG y VAL POE - AESR - ESR'!AC37</f>
        <v>0</v>
      </c>
      <c r="BHJ4" s="57">
        <f>'REG y VAL POE - AESR - ESR'!AD37</f>
        <v>0</v>
      </c>
      <c r="BHK4" s="56">
        <f>'REG y VAL POE - AESR - ESR'!AE37</f>
        <v>0</v>
      </c>
      <c r="BHL4" s="57">
        <f>'REG y VAL POE - AESR - ESR'!AF37</f>
        <v>0</v>
      </c>
      <c r="BHM4" s="57">
        <f>'REG y VAL POE - AESR - ESR'!AG37</f>
        <v>0</v>
      </c>
      <c r="BHN4" s="56">
        <f>'REG y VAL POE - AESR - ESR'!AH37</f>
        <v>0</v>
      </c>
      <c r="BHO4" s="57">
        <f>'REG y VAL POE - AESR - ESR'!AI37</f>
        <v>0</v>
      </c>
      <c r="BHP4" s="56">
        <f>'REG y VAL POE - AESR - ESR'!AJ37</f>
        <v>0</v>
      </c>
      <c r="BHQ4" s="56">
        <f>'REG y VAL POE - AESR - ESR'!AK37</f>
        <v>0</v>
      </c>
      <c r="BHR4" s="57">
        <f>'REG y VAL POE - AESR - ESR'!AL37</f>
        <v>0</v>
      </c>
      <c r="BHS4" s="57">
        <f>'REG y VAL POE - AESR - ESR'!AM37</f>
        <v>0</v>
      </c>
      <c r="BHT4" s="57">
        <f>'REG y VAL POE - AESR - ESR'!AN37</f>
        <v>0</v>
      </c>
      <c r="BHU4" s="56">
        <f>'REG y VAL POE - AESR - ESR'!AO37</f>
        <v>0</v>
      </c>
      <c r="BHV4" s="57">
        <f>'REG y VAL POE - AESR - ESR'!AP37</f>
        <v>0</v>
      </c>
      <c r="BHW4" s="57">
        <f>'REG y VAL POE - AESR - ESR'!AQ37</f>
        <v>0</v>
      </c>
      <c r="BHX4" s="56">
        <f>'REG y VAL POE - AESR - ESR'!AR37</f>
        <v>0</v>
      </c>
      <c r="BHY4" s="57">
        <f>'REG y VAL POE - AESR - ESR'!AS37</f>
        <v>0</v>
      </c>
      <c r="BHZ4" s="55">
        <f>'REG y VAL POE - AESR - ESR'!B38</f>
        <v>0</v>
      </c>
      <c r="BIA4" s="56">
        <f>'REG y VAL POE - AESR - ESR'!C38</f>
        <v>0</v>
      </c>
      <c r="BIB4" s="57">
        <f>'REG y VAL POE - AESR - ESR'!D38</f>
        <v>0</v>
      </c>
      <c r="BIC4" s="57">
        <f>'REG y VAL POE - AESR - ESR'!E38</f>
        <v>0</v>
      </c>
      <c r="BID4" s="57">
        <f>'REG y VAL POE - AESR - ESR'!F38</f>
        <v>0</v>
      </c>
      <c r="BIE4" s="56">
        <f>'REG y VAL POE - AESR - ESR'!G38</f>
        <v>0</v>
      </c>
      <c r="BIF4" s="57">
        <f>'REG y VAL POE - AESR - ESR'!H38</f>
        <v>0</v>
      </c>
      <c r="BIG4" s="57">
        <f>'REG y VAL POE - AESR - ESR'!I38</f>
        <v>0</v>
      </c>
      <c r="BIH4" s="57">
        <f>'REG y VAL POE - AESR - ESR'!J38</f>
        <v>0</v>
      </c>
      <c r="BII4" s="57">
        <f>'REG y VAL POE - AESR - ESR'!K38</f>
        <v>0</v>
      </c>
      <c r="BIJ4" s="57">
        <f>'REG y VAL POE - AESR - ESR'!L38</f>
        <v>0</v>
      </c>
      <c r="BIK4" s="56">
        <f>'REG y VAL POE - AESR - ESR'!M38</f>
        <v>0</v>
      </c>
      <c r="BIL4" s="57">
        <f>'REG y VAL POE - AESR - ESR'!N38</f>
        <v>0</v>
      </c>
      <c r="BIM4" s="57">
        <f>'REG y VAL POE - AESR - ESR'!O38</f>
        <v>0</v>
      </c>
      <c r="BIN4" s="56">
        <f>'REG y VAL POE - AESR - ESR'!P38</f>
        <v>0</v>
      </c>
      <c r="BIO4" s="57">
        <f>'REG y VAL POE - AESR - ESR'!Q38</f>
        <v>0</v>
      </c>
      <c r="BIP4" s="56">
        <f>'REG y VAL POE - AESR - ESR'!R38</f>
        <v>0</v>
      </c>
      <c r="BIQ4" s="56">
        <f>'REG y VAL POE - AESR - ESR'!S38</f>
        <v>0</v>
      </c>
      <c r="BIR4" s="57">
        <f>'REG y VAL POE - AESR - ESR'!T38</f>
        <v>0</v>
      </c>
      <c r="BIS4" s="57">
        <f>'REG y VAL POE - AESR - ESR'!U38</f>
        <v>0</v>
      </c>
      <c r="BIT4" s="57">
        <f>'REG y VAL POE - AESR - ESR'!V38</f>
        <v>0</v>
      </c>
      <c r="BIU4" s="56">
        <f>'REG y VAL POE - AESR - ESR'!W38</f>
        <v>0</v>
      </c>
      <c r="BIV4" s="57">
        <f>'REG y VAL POE - AESR - ESR'!X38</f>
        <v>0</v>
      </c>
      <c r="BIW4" s="57">
        <f>'REG y VAL POE - AESR - ESR'!Y38</f>
        <v>0</v>
      </c>
      <c r="BIX4" s="56">
        <f>'REG y VAL POE - AESR - ESR'!Z38</f>
        <v>0</v>
      </c>
      <c r="BIY4" s="57">
        <f>'REG y VAL POE - AESR - ESR'!AA38</f>
        <v>0</v>
      </c>
      <c r="BIZ4" s="56">
        <f>'REG y VAL POE - AESR - ESR'!AB38</f>
        <v>0</v>
      </c>
      <c r="BJA4" s="56">
        <f>'REG y VAL POE - AESR - ESR'!AC38</f>
        <v>0</v>
      </c>
      <c r="BJB4" s="57">
        <f>'REG y VAL POE - AESR - ESR'!AD38</f>
        <v>0</v>
      </c>
      <c r="BJC4" s="57">
        <f>'REG y VAL POE - AESR - ESR'!AE38</f>
        <v>0</v>
      </c>
      <c r="BJD4" s="57">
        <f>'REG y VAL POE - AESR - ESR'!AF38</f>
        <v>0</v>
      </c>
      <c r="BJE4" s="56">
        <f>'REG y VAL POE - AESR - ESR'!AG38</f>
        <v>0</v>
      </c>
      <c r="BJF4" s="57">
        <f>'REG y VAL POE - AESR - ESR'!AH38</f>
        <v>0</v>
      </c>
      <c r="BJG4" s="57">
        <f>'REG y VAL POE - AESR - ESR'!AI38</f>
        <v>0</v>
      </c>
      <c r="BJH4" s="57">
        <f>'REG y VAL POE - AESR - ESR'!AJ38</f>
        <v>0</v>
      </c>
      <c r="BJI4" s="57">
        <f>'REG y VAL POE - AESR - ESR'!AK38</f>
        <v>0</v>
      </c>
      <c r="BJJ4" s="57">
        <f>'REG y VAL POE - AESR - ESR'!AL38</f>
        <v>0</v>
      </c>
      <c r="BJK4" s="56">
        <f>'REG y VAL POE - AESR - ESR'!AM38</f>
        <v>0</v>
      </c>
      <c r="BJL4" s="57">
        <f>'REG y VAL POE - AESR - ESR'!AN38</f>
        <v>0</v>
      </c>
      <c r="BJM4" s="57">
        <f>'REG y VAL POE - AESR - ESR'!AO38</f>
        <v>0</v>
      </c>
      <c r="BJN4" s="56">
        <f>'REG y VAL POE - AESR - ESR'!AP38</f>
        <v>0</v>
      </c>
      <c r="BJO4" s="57">
        <f>'REG y VAL POE - AESR - ESR'!AQ38</f>
        <v>0</v>
      </c>
      <c r="BJP4" s="56">
        <f>'REG y VAL POE - AESR - ESR'!AR38</f>
        <v>0</v>
      </c>
      <c r="BJQ4" s="56">
        <f>'REG y VAL POE - AESR - ESR'!AS38</f>
        <v>0</v>
      </c>
      <c r="BJR4" s="387">
        <f>'REG y VAL POE - AESR - ESR'!B39</f>
        <v>0</v>
      </c>
      <c r="BJS4" s="57">
        <f>'REG y VAL POE - AESR - ESR'!C39</f>
        <v>0</v>
      </c>
      <c r="BJT4" s="57">
        <f>'REG y VAL POE - AESR - ESR'!D39</f>
        <v>0</v>
      </c>
      <c r="BJU4" s="56">
        <f>'REG y VAL POE - AESR - ESR'!E39</f>
        <v>0</v>
      </c>
      <c r="BJV4" s="57">
        <f>'REG y VAL POE - AESR - ESR'!F39</f>
        <v>0</v>
      </c>
      <c r="BJW4" s="57">
        <f>'REG y VAL POE - AESR - ESR'!G39</f>
        <v>0</v>
      </c>
      <c r="BJX4" s="56">
        <f>'REG y VAL POE - AESR - ESR'!H39</f>
        <v>0</v>
      </c>
      <c r="BJY4" s="57">
        <f>'REG y VAL POE - AESR - ESR'!I39</f>
        <v>0</v>
      </c>
      <c r="BJZ4" s="56">
        <f>'REG y VAL POE - AESR - ESR'!J39</f>
        <v>0</v>
      </c>
      <c r="BKA4" s="56">
        <f>'REG y VAL POE - AESR - ESR'!K39</f>
        <v>0</v>
      </c>
      <c r="BKB4" s="57">
        <f>'REG y VAL POE - AESR - ESR'!L39</f>
        <v>0</v>
      </c>
      <c r="BKC4" s="57">
        <f>'REG y VAL POE - AESR - ESR'!M39</f>
        <v>0</v>
      </c>
      <c r="BKD4" s="57">
        <f>'REG y VAL POE - AESR - ESR'!N39</f>
        <v>0</v>
      </c>
      <c r="BKE4" s="56">
        <f>'REG y VAL POE - AESR - ESR'!O39</f>
        <v>0</v>
      </c>
      <c r="BKF4" s="57">
        <f>'REG y VAL POE - AESR - ESR'!P39</f>
        <v>0</v>
      </c>
      <c r="BKG4" s="57">
        <f>'REG y VAL POE - AESR - ESR'!Q39</f>
        <v>0</v>
      </c>
      <c r="BKH4" s="57">
        <f>'REG y VAL POE - AESR - ESR'!R39</f>
        <v>0</v>
      </c>
      <c r="BKI4" s="57">
        <f>'REG y VAL POE - AESR - ESR'!S39</f>
        <v>0</v>
      </c>
      <c r="BKJ4" s="57">
        <f>'REG y VAL POE - AESR - ESR'!T39</f>
        <v>0</v>
      </c>
      <c r="BKK4" s="56">
        <f>'REG y VAL POE - AESR - ESR'!U39</f>
        <v>0</v>
      </c>
      <c r="BKL4" s="57">
        <f>'REG y VAL POE - AESR - ESR'!V39</f>
        <v>0</v>
      </c>
      <c r="BKM4" s="57">
        <f>'REG y VAL POE - AESR - ESR'!W39</f>
        <v>0</v>
      </c>
      <c r="BKN4" s="56">
        <f>'REG y VAL POE - AESR - ESR'!X39</f>
        <v>0</v>
      </c>
      <c r="BKO4" s="57">
        <f>'REG y VAL POE - AESR - ESR'!Y39</f>
        <v>0</v>
      </c>
      <c r="BKP4" s="56">
        <f>'REG y VAL POE - AESR - ESR'!Z39</f>
        <v>0</v>
      </c>
      <c r="BKQ4" s="56">
        <f>'REG y VAL POE - AESR - ESR'!AA39</f>
        <v>0</v>
      </c>
      <c r="BKR4" s="57">
        <f>'REG y VAL POE - AESR - ESR'!AB39</f>
        <v>0</v>
      </c>
      <c r="BKS4" s="57">
        <f>'REG y VAL POE - AESR - ESR'!AC39</f>
        <v>0</v>
      </c>
      <c r="BKT4" s="57">
        <f>'REG y VAL POE - AESR - ESR'!AD39</f>
        <v>0</v>
      </c>
      <c r="BKU4" s="56">
        <f>'REG y VAL POE - AESR - ESR'!AE39</f>
        <v>0</v>
      </c>
      <c r="BKV4" s="57">
        <f>'REG y VAL POE - AESR - ESR'!AF39</f>
        <v>0</v>
      </c>
      <c r="BKW4" s="57">
        <f>'REG y VAL POE - AESR - ESR'!AG39</f>
        <v>0</v>
      </c>
      <c r="BKX4" s="56">
        <f>'REG y VAL POE - AESR - ESR'!AH39</f>
        <v>0</v>
      </c>
      <c r="BKY4" s="57">
        <f>'REG y VAL POE - AESR - ESR'!AI39</f>
        <v>0</v>
      </c>
      <c r="BKZ4" s="56">
        <f>'REG y VAL POE - AESR - ESR'!AJ39</f>
        <v>0</v>
      </c>
      <c r="BLA4" s="56">
        <f>'REG y VAL POE - AESR - ESR'!AK39</f>
        <v>0</v>
      </c>
      <c r="BLB4" s="57">
        <f>'REG y VAL POE - AESR - ESR'!AL39</f>
        <v>0</v>
      </c>
      <c r="BLC4" s="57">
        <f>'REG y VAL POE - AESR - ESR'!AM39</f>
        <v>0</v>
      </c>
      <c r="BLD4" s="57">
        <f>'REG y VAL POE - AESR - ESR'!AN39</f>
        <v>0</v>
      </c>
      <c r="BLE4" s="56">
        <f>'REG y VAL POE - AESR - ESR'!AO39</f>
        <v>0</v>
      </c>
      <c r="BLF4" s="57">
        <f>'REG y VAL POE - AESR - ESR'!AP39</f>
        <v>0</v>
      </c>
      <c r="BLG4" s="57">
        <f>'REG y VAL POE - AESR - ESR'!AQ39</f>
        <v>0</v>
      </c>
      <c r="BLH4" s="57">
        <f>'REG y VAL POE - AESR - ESR'!AR39</f>
        <v>0</v>
      </c>
      <c r="BLI4" s="57">
        <f>'REG y VAL POE - AESR - ESR'!AS39</f>
        <v>0</v>
      </c>
      <c r="BLJ4" s="387">
        <f>'REG y VAL POE - AESR - ESR'!B40</f>
        <v>0</v>
      </c>
      <c r="BLK4" s="56">
        <f>'REG y VAL POE - AESR - ESR'!C40</f>
        <v>0</v>
      </c>
      <c r="BLL4" s="57">
        <f>'REG y VAL POE - AESR - ESR'!D40</f>
        <v>0</v>
      </c>
      <c r="BLM4" s="57">
        <f>'REG y VAL POE - AESR - ESR'!E40</f>
        <v>0</v>
      </c>
      <c r="BLN4" s="56">
        <f>'REG y VAL POE - AESR - ESR'!F40</f>
        <v>0</v>
      </c>
      <c r="BLO4" s="57">
        <f>'REG y VAL POE - AESR - ESR'!G40</f>
        <v>0</v>
      </c>
      <c r="BLP4" s="56">
        <f>'REG y VAL POE - AESR - ESR'!H40</f>
        <v>0</v>
      </c>
      <c r="BLQ4" s="56">
        <f>'REG y VAL POE - AESR - ESR'!I40</f>
        <v>0</v>
      </c>
      <c r="BLR4" s="57">
        <f>'REG y VAL POE - AESR - ESR'!J40</f>
        <v>0</v>
      </c>
      <c r="BLS4" s="57">
        <f>'REG y VAL POE - AESR - ESR'!K40</f>
        <v>0</v>
      </c>
      <c r="BLT4" s="57">
        <f>'REG y VAL POE - AESR - ESR'!L40</f>
        <v>0</v>
      </c>
      <c r="BLU4" s="56">
        <f>'REG y VAL POE - AESR - ESR'!M40</f>
        <v>0</v>
      </c>
      <c r="BLV4" s="57">
        <f>'REG y VAL POE - AESR - ESR'!N40</f>
        <v>0</v>
      </c>
      <c r="BLW4" s="57">
        <f>'REG y VAL POE - AESR - ESR'!O40</f>
        <v>0</v>
      </c>
      <c r="BLX4" s="56">
        <f>'REG y VAL POE - AESR - ESR'!P40</f>
        <v>0</v>
      </c>
      <c r="BLY4" s="57">
        <f>'REG y VAL POE - AESR - ESR'!Q40</f>
        <v>0</v>
      </c>
      <c r="BLZ4" s="56">
        <f>'REG y VAL POE - AESR - ESR'!R40</f>
        <v>0</v>
      </c>
      <c r="BMA4" s="56">
        <f>'REG y VAL POE - AESR - ESR'!S40</f>
        <v>0</v>
      </c>
      <c r="BMB4" s="57">
        <f>'REG y VAL POE - AESR - ESR'!T40</f>
        <v>0</v>
      </c>
      <c r="BMC4" s="57">
        <f>'REG y VAL POE - AESR - ESR'!U40</f>
        <v>0</v>
      </c>
      <c r="BMD4" s="57">
        <f>'REG y VAL POE - AESR - ESR'!V40</f>
        <v>0</v>
      </c>
      <c r="BME4" s="56">
        <f>'REG y VAL POE - AESR - ESR'!W40</f>
        <v>0</v>
      </c>
      <c r="BMF4" s="57">
        <f>'REG y VAL POE - AESR - ESR'!X40</f>
        <v>0</v>
      </c>
      <c r="BMG4" s="57">
        <f>'REG y VAL POE - AESR - ESR'!Y40</f>
        <v>0</v>
      </c>
      <c r="BMH4" s="57">
        <f>'REG y VAL POE - AESR - ESR'!Z40</f>
        <v>0</v>
      </c>
      <c r="BMI4" s="57">
        <f>'REG y VAL POE - AESR - ESR'!AA40</f>
        <v>0</v>
      </c>
      <c r="BMJ4" s="57">
        <f>'REG y VAL POE - AESR - ESR'!AB40</f>
        <v>0</v>
      </c>
      <c r="BMK4" s="56">
        <f>'REG y VAL POE - AESR - ESR'!AC40</f>
        <v>0</v>
      </c>
      <c r="BML4" s="57">
        <f>'REG y VAL POE - AESR - ESR'!AD40</f>
        <v>0</v>
      </c>
      <c r="BMM4" s="57">
        <f>'REG y VAL POE - AESR - ESR'!AE40</f>
        <v>0</v>
      </c>
      <c r="BMN4" s="56">
        <f>'REG y VAL POE - AESR - ESR'!AF40</f>
        <v>0</v>
      </c>
      <c r="BMO4" s="57">
        <f>'REG y VAL POE - AESR - ESR'!AG40</f>
        <v>0</v>
      </c>
      <c r="BMP4" s="56">
        <f>'REG y VAL POE - AESR - ESR'!AH40</f>
        <v>0</v>
      </c>
      <c r="BMQ4" s="56">
        <f>'REG y VAL POE - AESR - ESR'!AI40</f>
        <v>0</v>
      </c>
      <c r="BMR4" s="57">
        <f>'REG y VAL POE - AESR - ESR'!AJ40</f>
        <v>0</v>
      </c>
      <c r="BMS4" s="57">
        <f>'REG y VAL POE - AESR - ESR'!AK40</f>
        <v>0</v>
      </c>
      <c r="BMT4" s="57">
        <f>'REG y VAL POE - AESR - ESR'!AL40</f>
        <v>0</v>
      </c>
      <c r="BMU4" s="56">
        <f>'REG y VAL POE - AESR - ESR'!AM40</f>
        <v>0</v>
      </c>
      <c r="BMV4" s="57">
        <f>'REG y VAL POE - AESR - ESR'!AN40</f>
        <v>0</v>
      </c>
      <c r="BMW4" s="57">
        <f>'REG y VAL POE - AESR - ESR'!AO40</f>
        <v>0</v>
      </c>
      <c r="BMX4" s="56">
        <f>'REG y VAL POE - AESR - ESR'!AP40</f>
        <v>0</v>
      </c>
      <c r="BMY4" s="57">
        <f>'REG y VAL POE - AESR - ESR'!AQ40</f>
        <v>0</v>
      </c>
      <c r="BMZ4" s="56">
        <f>'REG y VAL POE - AESR - ESR'!AR40</f>
        <v>0</v>
      </c>
      <c r="BNA4" s="56">
        <f>'REG y VAL POE - AESR - ESR'!AS40</f>
        <v>0</v>
      </c>
      <c r="BNB4" s="387">
        <f>'REG y VAL POE - AESR - ESR'!B41</f>
        <v>0</v>
      </c>
      <c r="BNC4" s="57">
        <f>'REG y VAL POE - AESR - ESR'!C41</f>
        <v>0</v>
      </c>
      <c r="BND4" s="57">
        <f>'REG y VAL POE - AESR - ESR'!D41</f>
        <v>0</v>
      </c>
      <c r="BNE4" s="56">
        <f>'REG y VAL POE - AESR - ESR'!E41</f>
        <v>0</v>
      </c>
      <c r="BNF4" s="57">
        <f>'REG y VAL POE - AESR - ESR'!F41</f>
        <v>0</v>
      </c>
      <c r="BNG4" s="57">
        <f>'REG y VAL POE - AESR - ESR'!G41</f>
        <v>0</v>
      </c>
      <c r="BNH4" s="57">
        <f>'REG y VAL POE - AESR - ESR'!H41</f>
        <v>0</v>
      </c>
      <c r="BNI4" s="57">
        <f>'REG y VAL POE - AESR - ESR'!I41</f>
        <v>0</v>
      </c>
      <c r="BNJ4" s="57">
        <f>'REG y VAL POE - AESR - ESR'!J41</f>
        <v>0</v>
      </c>
      <c r="BNK4" s="56">
        <f>'REG y VAL POE - AESR - ESR'!K41</f>
        <v>0</v>
      </c>
      <c r="BNL4" s="57">
        <f>'REG y VAL POE - AESR - ESR'!L41</f>
        <v>0</v>
      </c>
      <c r="BNM4" s="57">
        <f>'REG y VAL POE - AESR - ESR'!M41</f>
        <v>0</v>
      </c>
      <c r="BNN4" s="56">
        <f>'REG y VAL POE - AESR - ESR'!N41</f>
        <v>0</v>
      </c>
      <c r="BNO4" s="57">
        <f>'REG y VAL POE - AESR - ESR'!O41</f>
        <v>0</v>
      </c>
      <c r="BNP4" s="56">
        <f>'REG y VAL POE - AESR - ESR'!P41</f>
        <v>0</v>
      </c>
      <c r="BNQ4" s="56">
        <f>'REG y VAL POE - AESR - ESR'!Q41</f>
        <v>0</v>
      </c>
      <c r="BNR4" s="57">
        <f>'REG y VAL POE - AESR - ESR'!R41</f>
        <v>0</v>
      </c>
      <c r="BNS4" s="57">
        <f>'REG y VAL POE - AESR - ESR'!S41</f>
        <v>0</v>
      </c>
      <c r="BNT4" s="57">
        <f>'REG y VAL POE - AESR - ESR'!T41</f>
        <v>0</v>
      </c>
      <c r="BNU4" s="56">
        <f>'REG y VAL POE - AESR - ESR'!U41</f>
        <v>0</v>
      </c>
      <c r="BNV4" s="57">
        <f>'REG y VAL POE - AESR - ESR'!V41</f>
        <v>0</v>
      </c>
      <c r="BNW4" s="57">
        <f>'REG y VAL POE - AESR - ESR'!W41</f>
        <v>0</v>
      </c>
      <c r="BNX4" s="56">
        <f>'REG y VAL POE - AESR - ESR'!X41</f>
        <v>0</v>
      </c>
      <c r="BNY4" s="57">
        <f>'REG y VAL POE - AESR - ESR'!Y41</f>
        <v>0</v>
      </c>
      <c r="BNZ4" s="56">
        <f>'REG y VAL POE - AESR - ESR'!Z41</f>
        <v>0</v>
      </c>
      <c r="BOA4" s="56">
        <f>'REG y VAL POE - AESR - ESR'!AA41</f>
        <v>0</v>
      </c>
      <c r="BOB4" s="57">
        <f>'REG y VAL POE - AESR - ESR'!AB41</f>
        <v>0</v>
      </c>
      <c r="BOC4" s="57">
        <f>'REG y VAL POE - AESR - ESR'!AC41</f>
        <v>0</v>
      </c>
      <c r="BOD4" s="57">
        <f>'REG y VAL POE - AESR - ESR'!AD41</f>
        <v>0</v>
      </c>
      <c r="BOE4" s="56">
        <f>'REG y VAL POE - AESR - ESR'!AE41</f>
        <v>0</v>
      </c>
      <c r="BOF4" s="57">
        <f>'REG y VAL POE - AESR - ESR'!AF41</f>
        <v>0</v>
      </c>
      <c r="BOG4" s="57">
        <f>'REG y VAL POE - AESR - ESR'!AG41</f>
        <v>0</v>
      </c>
      <c r="BOH4" s="57">
        <f>'REG y VAL POE - AESR - ESR'!AH41</f>
        <v>0</v>
      </c>
      <c r="BOI4" s="57">
        <f>'REG y VAL POE - AESR - ESR'!AI41</f>
        <v>0</v>
      </c>
      <c r="BOJ4" s="57">
        <f>'REG y VAL POE - AESR - ESR'!AJ41</f>
        <v>0</v>
      </c>
      <c r="BOK4" s="56">
        <f>'REG y VAL POE - AESR - ESR'!AK41</f>
        <v>0</v>
      </c>
      <c r="BOL4" s="57">
        <f>'REG y VAL POE - AESR - ESR'!AL41</f>
        <v>0</v>
      </c>
      <c r="BOM4" s="57">
        <f>'REG y VAL POE - AESR - ESR'!AM41</f>
        <v>0</v>
      </c>
      <c r="BON4" s="56">
        <f>'REG y VAL POE - AESR - ESR'!AN41</f>
        <v>0</v>
      </c>
      <c r="BOO4" s="57">
        <f>'REG y VAL POE - AESR - ESR'!AO41</f>
        <v>0</v>
      </c>
      <c r="BOP4" s="56">
        <f>'REG y VAL POE - AESR - ESR'!AP41</f>
        <v>0</v>
      </c>
      <c r="BOQ4" s="56">
        <f>'REG y VAL POE - AESR - ESR'!AQ41</f>
        <v>0</v>
      </c>
      <c r="BOR4" s="57">
        <f>'REG y VAL POE - AESR - ESR'!AR41</f>
        <v>0</v>
      </c>
      <c r="BOS4" s="57">
        <f>'REG y VAL POE - AESR - ESR'!AS41</f>
        <v>0</v>
      </c>
      <c r="BOT4" s="387">
        <f>'REG y VAL POE - AESR - ESR'!B42</f>
        <v>0</v>
      </c>
      <c r="BOU4" s="56">
        <f>'REG y VAL POE - AESR - ESR'!C42</f>
        <v>0</v>
      </c>
      <c r="BOV4" s="57">
        <f>'REG y VAL POE - AESR - ESR'!D42</f>
        <v>0</v>
      </c>
      <c r="BOW4" s="57">
        <f>'REG y VAL POE - AESR - ESR'!E42</f>
        <v>0</v>
      </c>
      <c r="BOX4" s="56">
        <f>'REG y VAL POE - AESR - ESR'!F42</f>
        <v>0</v>
      </c>
      <c r="BOY4" s="57">
        <f>'REG y VAL POE - AESR - ESR'!G42</f>
        <v>0</v>
      </c>
      <c r="BOZ4" s="56">
        <f>'REG y VAL POE - AESR - ESR'!H42</f>
        <v>0</v>
      </c>
      <c r="BPA4" s="56">
        <f>'REG y VAL POE - AESR - ESR'!I42</f>
        <v>0</v>
      </c>
      <c r="BPB4" s="57">
        <f>'REG y VAL POE - AESR - ESR'!J42</f>
        <v>0</v>
      </c>
      <c r="BPC4" s="57">
        <f>'REG y VAL POE - AESR - ESR'!K42</f>
        <v>0</v>
      </c>
      <c r="BPD4" s="57">
        <f>'REG y VAL POE - AESR - ESR'!L42</f>
        <v>0</v>
      </c>
      <c r="BPE4" s="56">
        <f>'REG y VAL POE - AESR - ESR'!M42</f>
        <v>0</v>
      </c>
      <c r="BPF4" s="57">
        <f>'REG y VAL POE - AESR - ESR'!N42</f>
        <v>0</v>
      </c>
      <c r="BPG4" s="57">
        <f>'REG y VAL POE - AESR - ESR'!O42</f>
        <v>0</v>
      </c>
      <c r="BPH4" s="57">
        <f>'REG y VAL POE - AESR - ESR'!P42</f>
        <v>0</v>
      </c>
      <c r="BPI4" s="57">
        <f>'REG y VAL POE - AESR - ESR'!Q42</f>
        <v>0</v>
      </c>
      <c r="BPJ4" s="57">
        <f>'REG y VAL POE - AESR - ESR'!R42</f>
        <v>0</v>
      </c>
      <c r="BPK4" s="56">
        <f>'REG y VAL POE - AESR - ESR'!S42</f>
        <v>0</v>
      </c>
      <c r="BPL4" s="57">
        <f>'REG y VAL POE - AESR - ESR'!T42</f>
        <v>0</v>
      </c>
      <c r="BPM4" s="57">
        <f>'REG y VAL POE - AESR - ESR'!U42</f>
        <v>0</v>
      </c>
      <c r="BPN4" s="56">
        <f>'REG y VAL POE - AESR - ESR'!V42</f>
        <v>0</v>
      </c>
      <c r="BPO4" s="57">
        <f>'REG y VAL POE - AESR - ESR'!W42</f>
        <v>0</v>
      </c>
      <c r="BPP4" s="56">
        <f>'REG y VAL POE - AESR - ESR'!X42</f>
        <v>0</v>
      </c>
      <c r="BPQ4" s="56">
        <f>'REG y VAL POE - AESR - ESR'!Y42</f>
        <v>0</v>
      </c>
      <c r="BPR4" s="57">
        <f>'REG y VAL POE - AESR - ESR'!Z42</f>
        <v>0</v>
      </c>
      <c r="BPS4" s="57">
        <f>'REG y VAL POE - AESR - ESR'!AA42</f>
        <v>0</v>
      </c>
      <c r="BPT4" s="57">
        <f>'REG y VAL POE - AESR - ESR'!AB42</f>
        <v>0</v>
      </c>
      <c r="BPU4" s="56">
        <f>'REG y VAL POE - AESR - ESR'!AC42</f>
        <v>0</v>
      </c>
      <c r="BPV4" s="57">
        <f>'REG y VAL POE - AESR - ESR'!AD42</f>
        <v>0</v>
      </c>
      <c r="BPW4" s="57">
        <f>'REG y VAL POE - AESR - ESR'!AE42</f>
        <v>0</v>
      </c>
      <c r="BPX4" s="56">
        <f>'REG y VAL POE - AESR - ESR'!AF42</f>
        <v>0</v>
      </c>
      <c r="BPY4" s="57">
        <f>'REG y VAL POE - AESR - ESR'!AG42</f>
        <v>0</v>
      </c>
      <c r="BPZ4" s="56">
        <f>'REG y VAL POE - AESR - ESR'!AH42</f>
        <v>0</v>
      </c>
      <c r="BQA4" s="56">
        <f>'REG y VAL POE - AESR - ESR'!AI42</f>
        <v>0</v>
      </c>
      <c r="BQB4" s="57">
        <f>'REG y VAL POE - AESR - ESR'!AJ42</f>
        <v>0</v>
      </c>
      <c r="BQC4" s="57">
        <f>'REG y VAL POE - AESR - ESR'!AK42</f>
        <v>0</v>
      </c>
      <c r="BQD4" s="57">
        <f>'REG y VAL POE - AESR - ESR'!AL42</f>
        <v>0</v>
      </c>
      <c r="BQE4" s="56">
        <f>'REG y VAL POE - AESR - ESR'!AM42</f>
        <v>0</v>
      </c>
      <c r="BQF4" s="57">
        <f>'REG y VAL POE - AESR - ESR'!AN42</f>
        <v>0</v>
      </c>
      <c r="BQG4" s="57">
        <f>'REG y VAL POE - AESR - ESR'!AO42</f>
        <v>0</v>
      </c>
      <c r="BQH4" s="57">
        <f>'REG y VAL POE - AESR - ESR'!AP42</f>
        <v>0</v>
      </c>
      <c r="BQI4" s="57">
        <f>'REG y VAL POE - AESR - ESR'!AQ42</f>
        <v>0</v>
      </c>
      <c r="BQJ4" s="57">
        <f>'REG y VAL POE - AESR - ESR'!AR42</f>
        <v>0</v>
      </c>
      <c r="BQK4" s="56">
        <f>'REG y VAL POE - AESR - ESR'!AS42</f>
        <v>0</v>
      </c>
      <c r="BQL4" s="387">
        <f>'REG y VAL POE - AESR - ESR'!B43</f>
        <v>0</v>
      </c>
      <c r="BQM4" s="57">
        <f>'REG y VAL POE - AESR - ESR'!C43</f>
        <v>0</v>
      </c>
      <c r="BQN4" s="56">
        <f>'REG y VAL POE - AESR - ESR'!D43</f>
        <v>0</v>
      </c>
      <c r="BQO4" s="57">
        <f>'REG y VAL POE - AESR - ESR'!E43</f>
        <v>0</v>
      </c>
      <c r="BQP4" s="56">
        <f>'REG y VAL POE - AESR - ESR'!F43</f>
        <v>0</v>
      </c>
      <c r="BQQ4" s="56">
        <f>'REG y VAL POE - AESR - ESR'!G43</f>
        <v>0</v>
      </c>
      <c r="BQR4" s="57">
        <f>'REG y VAL POE - AESR - ESR'!H43</f>
        <v>0</v>
      </c>
      <c r="BQS4" s="57">
        <f>'REG y VAL POE - AESR - ESR'!I43</f>
        <v>0</v>
      </c>
      <c r="BQT4" s="57">
        <f>'REG y VAL POE - AESR - ESR'!J43</f>
        <v>0</v>
      </c>
      <c r="BQU4" s="56">
        <f>'REG y VAL POE - AESR - ESR'!K43</f>
        <v>0</v>
      </c>
      <c r="BQV4" s="57">
        <f>'REG y VAL POE - AESR - ESR'!L43</f>
        <v>0</v>
      </c>
      <c r="BQW4" s="57">
        <f>'REG y VAL POE - AESR - ESR'!M43</f>
        <v>0</v>
      </c>
      <c r="BQX4" s="56">
        <f>'REG y VAL POE - AESR - ESR'!N43</f>
        <v>0</v>
      </c>
      <c r="BQY4" s="57">
        <f>'REG y VAL POE - AESR - ESR'!O43</f>
        <v>0</v>
      </c>
      <c r="BQZ4" s="56">
        <f>'REG y VAL POE - AESR - ESR'!P43</f>
        <v>0</v>
      </c>
      <c r="BRA4" s="56">
        <f>'REG y VAL POE - AESR - ESR'!Q43</f>
        <v>0</v>
      </c>
      <c r="BRB4" s="57">
        <f>'REG y VAL POE - AESR - ESR'!R43</f>
        <v>0</v>
      </c>
      <c r="BRC4" s="57">
        <f>'REG y VAL POE - AESR - ESR'!S43</f>
        <v>0</v>
      </c>
      <c r="BRD4" s="57">
        <f>'REG y VAL POE - AESR - ESR'!T43</f>
        <v>0</v>
      </c>
      <c r="BRE4" s="56">
        <f>'REG y VAL POE - AESR - ESR'!U43</f>
        <v>0</v>
      </c>
      <c r="BRF4" s="57">
        <f>'REG y VAL POE - AESR - ESR'!V43</f>
        <v>0</v>
      </c>
      <c r="BRG4" s="57">
        <f>'REG y VAL POE - AESR - ESR'!W43</f>
        <v>0</v>
      </c>
      <c r="BRH4" s="57">
        <f>'REG y VAL POE - AESR - ESR'!X43</f>
        <v>0</v>
      </c>
      <c r="BRI4" s="57">
        <f>'REG y VAL POE - AESR - ESR'!Y43</f>
        <v>0</v>
      </c>
      <c r="BRJ4" s="57">
        <f>'REG y VAL POE - AESR - ESR'!Z43</f>
        <v>0</v>
      </c>
      <c r="BRK4" s="56">
        <f>'REG y VAL POE - AESR - ESR'!AA43</f>
        <v>0</v>
      </c>
      <c r="BRL4" s="57">
        <f>'REG y VAL POE - AESR - ESR'!AB43</f>
        <v>0</v>
      </c>
      <c r="BRM4" s="57">
        <f>'REG y VAL POE - AESR - ESR'!AC43</f>
        <v>0</v>
      </c>
      <c r="BRN4" s="56">
        <f>'REG y VAL POE - AESR - ESR'!AD43</f>
        <v>0</v>
      </c>
      <c r="BRO4" s="57">
        <f>'REG y VAL POE - AESR - ESR'!AE43</f>
        <v>0</v>
      </c>
      <c r="BRP4" s="56">
        <f>'REG y VAL POE - AESR - ESR'!AF43</f>
        <v>0</v>
      </c>
      <c r="BRQ4" s="56">
        <f>'REG y VAL POE - AESR - ESR'!AG43</f>
        <v>0</v>
      </c>
      <c r="BRR4" s="57">
        <f>'REG y VAL POE - AESR - ESR'!AH43</f>
        <v>0</v>
      </c>
      <c r="BRS4" s="57">
        <f>'REG y VAL POE - AESR - ESR'!AI43</f>
        <v>0</v>
      </c>
      <c r="BRT4" s="57">
        <f>'REG y VAL POE - AESR - ESR'!AJ43</f>
        <v>0</v>
      </c>
      <c r="BRU4" s="56">
        <f>'REG y VAL POE - AESR - ESR'!AK43</f>
        <v>0</v>
      </c>
      <c r="BRV4" s="57">
        <f>'REG y VAL POE - AESR - ESR'!AL43</f>
        <v>0</v>
      </c>
      <c r="BRW4" s="57">
        <f>'REG y VAL POE - AESR - ESR'!AM43</f>
        <v>0</v>
      </c>
      <c r="BRX4" s="56">
        <f>'REG y VAL POE - AESR - ESR'!AN43</f>
        <v>0</v>
      </c>
      <c r="BRY4" s="57">
        <f>'REG y VAL POE - AESR - ESR'!AO43</f>
        <v>0</v>
      </c>
      <c r="BRZ4" s="56">
        <f>'REG y VAL POE - AESR - ESR'!AP43</f>
        <v>0</v>
      </c>
      <c r="BSA4" s="56">
        <f>'REG y VAL POE - AESR - ESR'!AQ43</f>
        <v>0</v>
      </c>
      <c r="BSB4" s="57">
        <f>'REG y VAL POE - AESR - ESR'!AR43</f>
        <v>0</v>
      </c>
      <c r="BSC4" s="57">
        <f>'REG y VAL POE - AESR - ESR'!AS43</f>
        <v>0</v>
      </c>
      <c r="BSD4" s="387">
        <f>'REG y VAL POE - AESR - ESR'!B44</f>
        <v>0</v>
      </c>
      <c r="BSE4" s="56">
        <f>'REG y VAL POE - AESR - ESR'!C44</f>
        <v>0</v>
      </c>
      <c r="BSF4" s="57">
        <f>'REG y VAL POE - AESR - ESR'!D44</f>
        <v>0</v>
      </c>
      <c r="BSG4" s="57">
        <f>'REG y VAL POE - AESR - ESR'!E44</f>
        <v>0</v>
      </c>
      <c r="BSH4" s="57">
        <f>'REG y VAL POE - AESR - ESR'!F44</f>
        <v>0</v>
      </c>
      <c r="BSI4" s="57">
        <f>'REG y VAL POE - AESR - ESR'!G44</f>
        <v>0</v>
      </c>
      <c r="BSJ4" s="57">
        <f>'REG y VAL POE - AESR - ESR'!H44</f>
        <v>0</v>
      </c>
      <c r="BSK4" s="56">
        <f>'REG y VAL POE - AESR - ESR'!I44</f>
        <v>0</v>
      </c>
      <c r="BSL4" s="57">
        <f>'REG y VAL POE - AESR - ESR'!J44</f>
        <v>0</v>
      </c>
      <c r="BSM4" s="57">
        <f>'REG y VAL POE - AESR - ESR'!K44</f>
        <v>0</v>
      </c>
      <c r="BSN4" s="56">
        <f>'REG y VAL POE - AESR - ESR'!L44</f>
        <v>0</v>
      </c>
      <c r="BSO4" s="57">
        <f>'REG y VAL POE - AESR - ESR'!M44</f>
        <v>0</v>
      </c>
      <c r="BSP4" s="56">
        <f>'REG y VAL POE - AESR - ESR'!N44</f>
        <v>0</v>
      </c>
      <c r="BSQ4" s="56">
        <f>'REG y VAL POE - AESR - ESR'!O44</f>
        <v>0</v>
      </c>
      <c r="BSR4" s="57">
        <f>'REG y VAL POE - AESR - ESR'!P44</f>
        <v>0</v>
      </c>
      <c r="BSS4" s="57">
        <f>'REG y VAL POE - AESR - ESR'!Q44</f>
        <v>0</v>
      </c>
      <c r="BST4" s="57">
        <f>'REG y VAL POE - AESR - ESR'!R44</f>
        <v>0</v>
      </c>
      <c r="BSU4" s="56">
        <f>'REG y VAL POE - AESR - ESR'!S44</f>
        <v>0</v>
      </c>
      <c r="BSV4" s="57">
        <f>'REG y VAL POE - AESR - ESR'!T44</f>
        <v>0</v>
      </c>
      <c r="BSW4" s="57">
        <f>'REG y VAL POE - AESR - ESR'!U44</f>
        <v>0</v>
      </c>
      <c r="BSX4" s="56">
        <f>'REG y VAL POE - AESR - ESR'!V44</f>
        <v>0</v>
      </c>
      <c r="BSY4" s="57">
        <f>'REG y VAL POE - AESR - ESR'!W44</f>
        <v>0</v>
      </c>
      <c r="BSZ4" s="56">
        <f>'REG y VAL POE - AESR - ESR'!X44</f>
        <v>0</v>
      </c>
      <c r="BTA4" s="56">
        <f>'REG y VAL POE - AESR - ESR'!Y44</f>
        <v>0</v>
      </c>
      <c r="BTB4" s="57">
        <f>'REG y VAL POE - AESR - ESR'!Z44</f>
        <v>0</v>
      </c>
      <c r="BTC4" s="57">
        <f>'REG y VAL POE - AESR - ESR'!AA44</f>
        <v>0</v>
      </c>
      <c r="BTD4" s="57">
        <f>'REG y VAL POE - AESR - ESR'!AB44</f>
        <v>0</v>
      </c>
      <c r="BTE4" s="56">
        <f>'REG y VAL POE - AESR - ESR'!AC44</f>
        <v>0</v>
      </c>
      <c r="BTF4" s="57">
        <f>'REG y VAL POE - AESR - ESR'!AD44</f>
        <v>0</v>
      </c>
      <c r="BTG4" s="57">
        <f>'REG y VAL POE - AESR - ESR'!AE44</f>
        <v>0</v>
      </c>
      <c r="BTH4" s="57">
        <f>'REG y VAL POE - AESR - ESR'!AF44</f>
        <v>0</v>
      </c>
      <c r="BTI4" s="57">
        <f>'REG y VAL POE - AESR - ESR'!AG44</f>
        <v>0</v>
      </c>
      <c r="BTJ4" s="57">
        <f>'REG y VAL POE - AESR - ESR'!AH44</f>
        <v>0</v>
      </c>
      <c r="BTK4" s="56">
        <f>'REG y VAL POE - AESR - ESR'!AI44</f>
        <v>0</v>
      </c>
      <c r="BTL4" s="57">
        <f>'REG y VAL POE - AESR - ESR'!AJ44</f>
        <v>0</v>
      </c>
      <c r="BTM4" s="57">
        <f>'REG y VAL POE - AESR - ESR'!AK44</f>
        <v>0</v>
      </c>
      <c r="BTN4" s="56">
        <f>'REG y VAL POE - AESR - ESR'!AL44</f>
        <v>0</v>
      </c>
      <c r="BTO4" s="57">
        <f>'REG y VAL POE - AESR - ESR'!AM44</f>
        <v>0</v>
      </c>
      <c r="BTP4" s="56">
        <f>'REG y VAL POE - AESR - ESR'!AN44</f>
        <v>0</v>
      </c>
      <c r="BTQ4" s="56">
        <f>'REG y VAL POE - AESR - ESR'!AO44</f>
        <v>0</v>
      </c>
      <c r="BTR4" s="57">
        <f>'REG y VAL POE - AESR - ESR'!AP44</f>
        <v>0</v>
      </c>
      <c r="BTS4" s="57">
        <f>'REG y VAL POE - AESR - ESR'!AQ44</f>
        <v>0</v>
      </c>
      <c r="BTT4" s="57">
        <f>'REG y VAL POE - AESR - ESR'!AR44</f>
        <v>0</v>
      </c>
      <c r="BTU4" s="56">
        <f>'REG y VAL POE - AESR - ESR'!AS44</f>
        <v>0</v>
      </c>
      <c r="BTV4" s="387">
        <f>'REG y VAL POE - AESR - ESR'!B45</f>
        <v>0</v>
      </c>
      <c r="BTW4" s="57">
        <f>'REG y VAL POE - AESR - ESR'!C45</f>
        <v>0</v>
      </c>
      <c r="BTX4" s="56">
        <f>'REG y VAL POE - AESR - ESR'!D45</f>
        <v>0</v>
      </c>
      <c r="BTY4" s="57">
        <f>'REG y VAL POE - AESR - ESR'!E45</f>
        <v>0</v>
      </c>
      <c r="BTZ4" s="56">
        <f>'REG y VAL POE - AESR - ESR'!F45</f>
        <v>0</v>
      </c>
      <c r="BUA4" s="56">
        <f>'REG y VAL POE - AESR - ESR'!G45</f>
        <v>0</v>
      </c>
      <c r="BUB4" s="57">
        <f>'REG y VAL POE - AESR - ESR'!H45</f>
        <v>0</v>
      </c>
      <c r="BUC4" s="57">
        <f>'REG y VAL POE - AESR - ESR'!I45</f>
        <v>0</v>
      </c>
      <c r="BUD4" s="57">
        <f>'REG y VAL POE - AESR - ESR'!J45</f>
        <v>0</v>
      </c>
      <c r="BUE4" s="56">
        <f>'REG y VAL POE - AESR - ESR'!K45</f>
        <v>0</v>
      </c>
      <c r="BUF4" s="57">
        <f>'REG y VAL POE - AESR - ESR'!L45</f>
        <v>0</v>
      </c>
      <c r="BUG4" s="57">
        <f>'REG y VAL POE - AESR - ESR'!M45</f>
        <v>0</v>
      </c>
      <c r="BUH4" s="57">
        <f>'REG y VAL POE - AESR - ESR'!N45</f>
        <v>0</v>
      </c>
      <c r="BUI4" s="57">
        <f>'REG y VAL POE - AESR - ESR'!O45</f>
        <v>0</v>
      </c>
      <c r="BUJ4" s="57">
        <f>'REG y VAL POE - AESR - ESR'!P45</f>
        <v>0</v>
      </c>
      <c r="BUK4" s="56">
        <f>'REG y VAL POE - AESR - ESR'!Q45</f>
        <v>0</v>
      </c>
      <c r="BUL4" s="57">
        <f>'REG y VAL POE - AESR - ESR'!R45</f>
        <v>0</v>
      </c>
      <c r="BUM4" s="57">
        <f>'REG y VAL POE - AESR - ESR'!S45</f>
        <v>0</v>
      </c>
      <c r="BUN4" s="56">
        <f>'REG y VAL POE - AESR - ESR'!T45</f>
        <v>0</v>
      </c>
      <c r="BUO4" s="57">
        <f>'REG y VAL POE - AESR - ESR'!U45</f>
        <v>0</v>
      </c>
      <c r="BUP4" s="56">
        <f>'REG y VAL POE - AESR - ESR'!V45</f>
        <v>0</v>
      </c>
      <c r="BUQ4" s="56">
        <f>'REG y VAL POE - AESR - ESR'!W45</f>
        <v>0</v>
      </c>
      <c r="BUR4" s="57">
        <f>'REG y VAL POE - AESR - ESR'!X45</f>
        <v>0</v>
      </c>
      <c r="BUS4" s="57">
        <f>'REG y VAL POE - AESR - ESR'!Y45</f>
        <v>0</v>
      </c>
      <c r="BUT4" s="57">
        <f>'REG y VAL POE - AESR - ESR'!Z45</f>
        <v>0</v>
      </c>
      <c r="BUU4" s="56">
        <f>'REG y VAL POE - AESR - ESR'!AA45</f>
        <v>0</v>
      </c>
      <c r="BUV4" s="57">
        <f>'REG y VAL POE - AESR - ESR'!AB45</f>
        <v>0</v>
      </c>
      <c r="BUW4" s="57">
        <f>'REG y VAL POE - AESR - ESR'!AC45</f>
        <v>0</v>
      </c>
      <c r="BUX4" s="56">
        <f>'REG y VAL POE - AESR - ESR'!AD45</f>
        <v>0</v>
      </c>
      <c r="BUY4" s="57">
        <f>'REG y VAL POE - AESR - ESR'!AE45</f>
        <v>0</v>
      </c>
      <c r="BUZ4" s="56">
        <f>'REG y VAL POE - AESR - ESR'!AF45</f>
        <v>0</v>
      </c>
      <c r="BVA4" s="56">
        <f>'REG y VAL POE - AESR - ESR'!AG45</f>
        <v>0</v>
      </c>
      <c r="BVB4" s="57">
        <f>'REG y VAL POE - AESR - ESR'!AH45</f>
        <v>0</v>
      </c>
      <c r="BVC4" s="57">
        <f>'REG y VAL POE - AESR - ESR'!AI45</f>
        <v>0</v>
      </c>
      <c r="BVD4" s="57">
        <f>'REG y VAL POE - AESR - ESR'!AJ45</f>
        <v>0</v>
      </c>
      <c r="BVE4" s="56">
        <f>'REG y VAL POE - AESR - ESR'!AK45</f>
        <v>0</v>
      </c>
      <c r="BVF4" s="57">
        <f>'REG y VAL POE - AESR - ESR'!AL45</f>
        <v>0</v>
      </c>
      <c r="BVG4" s="57">
        <f>'REG y VAL POE - AESR - ESR'!AM45</f>
        <v>0</v>
      </c>
      <c r="BVH4" s="57">
        <f>'REG y VAL POE - AESR - ESR'!AN45</f>
        <v>0</v>
      </c>
      <c r="BVI4" s="57">
        <f>'REG y VAL POE - AESR - ESR'!AO45</f>
        <v>0</v>
      </c>
      <c r="BVJ4" s="57">
        <f>'REG y VAL POE - AESR - ESR'!AP45</f>
        <v>0</v>
      </c>
      <c r="BVK4" s="56">
        <f>'REG y VAL POE - AESR - ESR'!AQ45</f>
        <v>0</v>
      </c>
      <c r="BVL4" s="57">
        <f>'REG y VAL POE - AESR - ESR'!AR45</f>
        <v>0</v>
      </c>
      <c r="BVM4" s="57">
        <f>'REG y VAL POE - AESR - ESR'!AS45</f>
        <v>0</v>
      </c>
      <c r="BVN4" s="55">
        <f>'REG y VAL POE - AESR - ESR'!B46</f>
        <v>0</v>
      </c>
      <c r="BVO4" s="57">
        <f>'REG y VAL POE - AESR - ESR'!C46</f>
        <v>0</v>
      </c>
      <c r="BVP4" s="56">
        <f>'REG y VAL POE - AESR - ESR'!D46</f>
        <v>0</v>
      </c>
      <c r="BVQ4" s="56">
        <f>'REG y VAL POE - AESR - ESR'!E46</f>
        <v>0</v>
      </c>
      <c r="BVR4" s="57">
        <f>'REG y VAL POE - AESR - ESR'!F46</f>
        <v>0</v>
      </c>
      <c r="BVS4" s="57">
        <f>'REG y VAL POE - AESR - ESR'!G46</f>
        <v>0</v>
      </c>
      <c r="BVT4" s="57">
        <f>'REG y VAL POE - AESR - ESR'!H46</f>
        <v>0</v>
      </c>
      <c r="BVU4" s="56">
        <f>'REG y VAL POE - AESR - ESR'!I46</f>
        <v>0</v>
      </c>
      <c r="BVV4" s="57">
        <f>'REG y VAL POE - AESR - ESR'!J46</f>
        <v>0</v>
      </c>
      <c r="BVW4" s="57">
        <f>'REG y VAL POE - AESR - ESR'!K46</f>
        <v>0</v>
      </c>
      <c r="BVX4" s="56">
        <f>'REG y VAL POE - AESR - ESR'!L46</f>
        <v>0</v>
      </c>
      <c r="BVY4" s="57">
        <f>'REG y VAL POE - AESR - ESR'!M46</f>
        <v>0</v>
      </c>
      <c r="BVZ4" s="56">
        <f>'REG y VAL POE - AESR - ESR'!N46</f>
        <v>0</v>
      </c>
      <c r="BWA4" s="56">
        <f>'REG y VAL POE - AESR - ESR'!O46</f>
        <v>0</v>
      </c>
      <c r="BWB4" s="57">
        <f>'REG y VAL POE - AESR - ESR'!P46</f>
        <v>0</v>
      </c>
      <c r="BWC4" s="57">
        <f>'REG y VAL POE - AESR - ESR'!Q46</f>
        <v>0</v>
      </c>
      <c r="BWD4" s="57">
        <f>'REG y VAL POE - AESR - ESR'!R46</f>
        <v>0</v>
      </c>
      <c r="BWE4" s="56">
        <f>'REG y VAL POE - AESR - ESR'!S46</f>
        <v>0</v>
      </c>
      <c r="BWF4" s="57">
        <f>'REG y VAL POE - AESR - ESR'!T46</f>
        <v>0</v>
      </c>
      <c r="BWG4" s="57">
        <f>'REG y VAL POE - AESR - ESR'!U46</f>
        <v>0</v>
      </c>
      <c r="BWH4" s="57">
        <f>'REG y VAL POE - AESR - ESR'!V46</f>
        <v>0</v>
      </c>
      <c r="BWI4" s="57">
        <f>'REG y VAL POE - AESR - ESR'!W46</f>
        <v>0</v>
      </c>
      <c r="BWJ4" s="57">
        <f>'REG y VAL POE - AESR - ESR'!X46</f>
        <v>0</v>
      </c>
      <c r="BWK4" s="56">
        <f>'REG y VAL POE - AESR - ESR'!Y46</f>
        <v>0</v>
      </c>
      <c r="BWL4" s="57">
        <f>'REG y VAL POE - AESR - ESR'!Z46</f>
        <v>0</v>
      </c>
      <c r="BWM4" s="57">
        <f>'REG y VAL POE - AESR - ESR'!AA46</f>
        <v>0</v>
      </c>
      <c r="BWN4" s="56">
        <f>'REG y VAL POE - AESR - ESR'!AB46</f>
        <v>0</v>
      </c>
      <c r="BWO4" s="57">
        <f>'REG y VAL POE - AESR - ESR'!AC46</f>
        <v>0</v>
      </c>
      <c r="BWP4" s="56">
        <f>'REG y VAL POE - AESR - ESR'!AD46</f>
        <v>0</v>
      </c>
      <c r="BWQ4" s="56">
        <f>'REG y VAL POE - AESR - ESR'!AE46</f>
        <v>0</v>
      </c>
      <c r="BWR4" s="57">
        <f>'REG y VAL POE - AESR - ESR'!AF46</f>
        <v>0</v>
      </c>
      <c r="BWS4" s="57">
        <f>'REG y VAL POE - AESR - ESR'!AG46</f>
        <v>0</v>
      </c>
      <c r="BWT4" s="57">
        <f>'REG y VAL POE - AESR - ESR'!AH46</f>
        <v>0</v>
      </c>
      <c r="BWU4" s="56">
        <f>'REG y VAL POE - AESR - ESR'!AI46</f>
        <v>0</v>
      </c>
      <c r="BWV4" s="57">
        <f>'REG y VAL POE - AESR - ESR'!AJ46</f>
        <v>0</v>
      </c>
      <c r="BWW4" s="57">
        <f>'REG y VAL POE - AESR - ESR'!AK46</f>
        <v>0</v>
      </c>
      <c r="BWX4" s="56">
        <f>'REG y VAL POE - AESR - ESR'!AL46</f>
        <v>0</v>
      </c>
      <c r="BWY4" s="57">
        <f>'REG y VAL POE - AESR - ESR'!AM46</f>
        <v>0</v>
      </c>
      <c r="BWZ4" s="56">
        <f>'REG y VAL POE - AESR - ESR'!AN46</f>
        <v>0</v>
      </c>
      <c r="BXA4" s="56">
        <f>'REG y VAL POE - AESR - ESR'!AO46</f>
        <v>0</v>
      </c>
      <c r="BXB4" s="57">
        <f>'REG y VAL POE - AESR - ESR'!AP46</f>
        <v>0</v>
      </c>
      <c r="BXC4" s="57">
        <f>'REG y VAL POE - AESR - ESR'!AQ46</f>
        <v>0</v>
      </c>
      <c r="BXD4" s="57">
        <f>'REG y VAL POE - AESR - ESR'!AR46</f>
        <v>0</v>
      </c>
      <c r="BXE4" s="56">
        <f>'REG y VAL POE - AESR - ESR'!AS46</f>
        <v>0</v>
      </c>
      <c r="BXF4" s="387">
        <f>'REG y VAL POE - AESR - ESR'!B47</f>
        <v>0</v>
      </c>
      <c r="BXG4" s="57">
        <f>'REG y VAL POE - AESR - ESR'!C47</f>
        <v>0</v>
      </c>
      <c r="BXH4" s="57">
        <f>'REG y VAL POE - AESR - ESR'!D47</f>
        <v>0</v>
      </c>
      <c r="BXI4" s="57">
        <f>'REG y VAL POE - AESR - ESR'!E47</f>
        <v>0</v>
      </c>
      <c r="BXJ4" s="57">
        <f>'REG y VAL POE - AESR - ESR'!F47</f>
        <v>0</v>
      </c>
      <c r="BXK4" s="56">
        <f>'REG y VAL POE - AESR - ESR'!G47</f>
        <v>0</v>
      </c>
      <c r="BXL4" s="57">
        <f>'REG y VAL POE - AESR - ESR'!H47</f>
        <v>0</v>
      </c>
      <c r="BXM4" s="57">
        <f>'REG y VAL POE - AESR - ESR'!I47</f>
        <v>0</v>
      </c>
      <c r="BXN4" s="56">
        <f>'REG y VAL POE - AESR - ESR'!J47</f>
        <v>0</v>
      </c>
      <c r="BXO4" s="57">
        <f>'REG y VAL POE - AESR - ESR'!K47</f>
        <v>0</v>
      </c>
      <c r="BXP4" s="56">
        <f>'REG y VAL POE - AESR - ESR'!L47</f>
        <v>0</v>
      </c>
      <c r="BXQ4" s="56">
        <f>'REG y VAL POE - AESR - ESR'!M47</f>
        <v>0</v>
      </c>
      <c r="BXR4" s="57">
        <f>'REG y VAL POE - AESR - ESR'!N47</f>
        <v>0</v>
      </c>
      <c r="BXS4" s="57">
        <f>'REG y VAL POE - AESR - ESR'!O47</f>
        <v>0</v>
      </c>
      <c r="BXT4" s="57">
        <f>'REG y VAL POE - AESR - ESR'!P47</f>
        <v>0</v>
      </c>
      <c r="BXU4" s="56">
        <f>'REG y VAL POE - AESR - ESR'!Q47</f>
        <v>0</v>
      </c>
      <c r="BXV4" s="57">
        <f>'REG y VAL POE - AESR - ESR'!R47</f>
        <v>0</v>
      </c>
      <c r="BXW4" s="57">
        <f>'REG y VAL POE - AESR - ESR'!S47</f>
        <v>0</v>
      </c>
      <c r="BXX4" s="56">
        <f>'REG y VAL POE - AESR - ESR'!T47</f>
        <v>0</v>
      </c>
      <c r="BXY4" s="57">
        <f>'REG y VAL POE - AESR - ESR'!U47</f>
        <v>0</v>
      </c>
      <c r="BXZ4" s="56">
        <f>'REG y VAL POE - AESR - ESR'!V47</f>
        <v>0</v>
      </c>
      <c r="BYA4" s="56">
        <f>'REG y VAL POE - AESR - ESR'!W47</f>
        <v>0</v>
      </c>
      <c r="BYB4" s="57">
        <f>'REG y VAL POE - AESR - ESR'!X47</f>
        <v>0</v>
      </c>
      <c r="BYC4" s="57">
        <f>'REG y VAL POE - AESR - ESR'!Y47</f>
        <v>0</v>
      </c>
      <c r="BYD4" s="57">
        <f>'REG y VAL POE - AESR - ESR'!Z47</f>
        <v>0</v>
      </c>
      <c r="BYE4" s="56">
        <f>'REG y VAL POE - AESR - ESR'!AA47</f>
        <v>0</v>
      </c>
      <c r="BYF4" s="57">
        <f>'REG y VAL POE - AESR - ESR'!AB47</f>
        <v>0</v>
      </c>
      <c r="BYG4" s="57">
        <f>'REG y VAL POE - AESR - ESR'!AC47</f>
        <v>0</v>
      </c>
      <c r="BYH4" s="57">
        <f>'REG y VAL POE - AESR - ESR'!AD47</f>
        <v>0</v>
      </c>
      <c r="BYI4" s="57">
        <f>'REG y VAL POE - AESR - ESR'!AE47</f>
        <v>0</v>
      </c>
      <c r="BYJ4" s="57">
        <f>'REG y VAL POE - AESR - ESR'!AF47</f>
        <v>0</v>
      </c>
      <c r="BYK4" s="56">
        <f>'REG y VAL POE - AESR - ESR'!AG47</f>
        <v>0</v>
      </c>
      <c r="BYL4" s="57">
        <f>'REG y VAL POE - AESR - ESR'!AH47</f>
        <v>0</v>
      </c>
      <c r="BYM4" s="57">
        <f>'REG y VAL POE - AESR - ESR'!AI47</f>
        <v>0</v>
      </c>
      <c r="BYN4" s="56">
        <f>'REG y VAL POE - AESR - ESR'!AJ47</f>
        <v>0</v>
      </c>
      <c r="BYO4" s="57">
        <f>'REG y VAL POE - AESR - ESR'!AK47</f>
        <v>0</v>
      </c>
      <c r="BYP4" s="56">
        <f>'REG y VAL POE - AESR - ESR'!AL47</f>
        <v>0</v>
      </c>
      <c r="BYQ4" s="56">
        <f>'REG y VAL POE - AESR - ESR'!AM47</f>
        <v>0</v>
      </c>
      <c r="BYR4" s="57">
        <f>'REG y VAL POE - AESR - ESR'!AN47</f>
        <v>0</v>
      </c>
      <c r="BYS4" s="57">
        <f>'REG y VAL POE - AESR - ESR'!AO47</f>
        <v>0</v>
      </c>
      <c r="BYT4" s="57">
        <f>'REG y VAL POE - AESR - ESR'!AP47</f>
        <v>0</v>
      </c>
      <c r="BYU4" s="56">
        <f>'REG y VAL POE - AESR - ESR'!AQ47</f>
        <v>0</v>
      </c>
      <c r="BYV4" s="57">
        <f>'REG y VAL POE - AESR - ESR'!AR47</f>
        <v>0</v>
      </c>
      <c r="BYW4" s="57">
        <f>'REG y VAL POE - AESR - ESR'!AS47</f>
        <v>0</v>
      </c>
      <c r="BYX4" s="55">
        <f>'REG y VAL POE - AESR - ESR'!B48</f>
        <v>0</v>
      </c>
      <c r="BYY4" s="57">
        <f>'REG y VAL POE - AESR - ESR'!C48</f>
        <v>0</v>
      </c>
      <c r="BYZ4" s="56">
        <f>'REG y VAL POE - AESR - ESR'!D48</f>
        <v>0</v>
      </c>
      <c r="BZA4" s="57">
        <f>'REG y VAL POE - AESR - ESR'!E48</f>
        <v>0</v>
      </c>
      <c r="BZB4" s="56">
        <f>'REG y VAL POE - AESR - ESR'!F48</f>
        <v>0</v>
      </c>
      <c r="BZC4" s="56">
        <f>'REG y VAL POE - AESR - ESR'!G48</f>
        <v>0</v>
      </c>
      <c r="BZD4" s="56">
        <f>'REG y VAL POE - AESR - ESR'!H48</f>
        <v>0</v>
      </c>
      <c r="BZE4" s="57">
        <f>'REG y VAL POE - AESR - ESR'!I48</f>
        <v>0</v>
      </c>
      <c r="BZF4" s="57">
        <f>'REG y VAL POE - AESR - ESR'!J48</f>
        <v>0</v>
      </c>
      <c r="BZG4" s="57">
        <f>'REG y VAL POE - AESR - ESR'!K48</f>
        <v>0</v>
      </c>
      <c r="BZH4" s="57">
        <f>'REG y VAL POE - AESR - ESR'!L48</f>
        <v>0</v>
      </c>
      <c r="BZI4" s="57">
        <f>'REG y VAL POE - AESR - ESR'!M48</f>
        <v>0</v>
      </c>
      <c r="BZJ4" s="57">
        <f>'REG y VAL POE - AESR - ESR'!N48</f>
        <v>0</v>
      </c>
      <c r="BZK4" s="57">
        <f>'REG y VAL POE - AESR - ESR'!O48</f>
        <v>0</v>
      </c>
      <c r="BZL4" s="57">
        <f>'REG y VAL POE - AESR - ESR'!P48</f>
        <v>0</v>
      </c>
      <c r="BZM4" s="57">
        <f>'REG y VAL POE - AESR - ESR'!Q48</f>
        <v>0</v>
      </c>
      <c r="BZN4" s="57">
        <f>'REG y VAL POE - AESR - ESR'!R48</f>
        <v>0</v>
      </c>
      <c r="BZO4" s="57">
        <f>'REG y VAL POE - AESR - ESR'!S48</f>
        <v>0</v>
      </c>
      <c r="BZP4" s="57">
        <f>'REG y VAL POE - AESR - ESR'!T48</f>
        <v>0</v>
      </c>
      <c r="BZQ4" s="57">
        <f>'REG y VAL POE - AESR - ESR'!U48</f>
        <v>0</v>
      </c>
      <c r="BZR4" s="57">
        <f>'REG y VAL POE - AESR - ESR'!V48</f>
        <v>0</v>
      </c>
      <c r="BZS4" s="57">
        <f>'REG y VAL POE - AESR - ESR'!W48</f>
        <v>0</v>
      </c>
      <c r="BZT4" s="57">
        <f>'REG y VAL POE - AESR - ESR'!X48</f>
        <v>0</v>
      </c>
      <c r="BZU4" s="57">
        <f>'REG y VAL POE - AESR - ESR'!Y48</f>
        <v>0</v>
      </c>
      <c r="BZV4" s="57">
        <f>'REG y VAL POE - AESR - ESR'!Z48</f>
        <v>0</v>
      </c>
      <c r="BZW4" s="57">
        <f>'REG y VAL POE - AESR - ESR'!AA48</f>
        <v>0</v>
      </c>
      <c r="BZX4" s="57">
        <f>'REG y VAL POE - AESR - ESR'!AB48</f>
        <v>0</v>
      </c>
      <c r="BZY4" s="57">
        <f>'REG y VAL POE - AESR - ESR'!AC48</f>
        <v>0</v>
      </c>
      <c r="BZZ4" s="57">
        <f>'REG y VAL POE - AESR - ESR'!AD48</f>
        <v>0</v>
      </c>
      <c r="CAA4" s="57">
        <f>'REG y VAL POE - AESR - ESR'!AE48</f>
        <v>0</v>
      </c>
      <c r="CAB4" s="57">
        <f>'REG y VAL POE - AESR - ESR'!AF48</f>
        <v>0</v>
      </c>
      <c r="CAC4" s="57">
        <f>'REG y VAL POE - AESR - ESR'!AG48</f>
        <v>0</v>
      </c>
      <c r="CAD4" s="57">
        <f>'REG y VAL POE - AESR - ESR'!AH48</f>
        <v>0</v>
      </c>
      <c r="CAE4" s="57">
        <f>'REG y VAL POE - AESR - ESR'!AI48</f>
        <v>0</v>
      </c>
      <c r="CAF4" s="57">
        <f>'REG y VAL POE - AESR - ESR'!AJ48</f>
        <v>0</v>
      </c>
      <c r="CAG4" s="57">
        <f>'REG y VAL POE - AESR - ESR'!AK48</f>
        <v>0</v>
      </c>
      <c r="CAH4" s="57">
        <f>'REG y VAL POE - AESR - ESR'!AL48</f>
        <v>0</v>
      </c>
      <c r="CAI4" s="57">
        <f>'REG y VAL POE - AESR - ESR'!AM48</f>
        <v>0</v>
      </c>
      <c r="CAJ4" s="57">
        <f>'REG y VAL POE - AESR - ESR'!AN48</f>
        <v>0</v>
      </c>
      <c r="CAK4" s="57">
        <f>'REG y VAL POE - AESR - ESR'!AO48</f>
        <v>0</v>
      </c>
      <c r="CAL4" s="57">
        <f>'REG y VAL POE - AESR - ESR'!AP48</f>
        <v>0</v>
      </c>
      <c r="CAM4" s="57">
        <f>'REG y VAL POE - AESR - ESR'!AQ48</f>
        <v>0</v>
      </c>
      <c r="CAN4" s="57">
        <f>'REG y VAL POE - AESR - ESR'!AR48</f>
        <v>0</v>
      </c>
      <c r="CAO4" s="57">
        <f>'REG y VAL POE - AESR - ESR'!AS48</f>
        <v>0</v>
      </c>
      <c r="CAP4" s="55">
        <f>'REG y VAL POE - AESR - ESR'!B49</f>
        <v>0</v>
      </c>
      <c r="CAQ4" s="56">
        <f>'REG y VAL POE - AESR - ESR'!C49</f>
        <v>0</v>
      </c>
      <c r="CAR4" s="57">
        <f>'REG y VAL POE - AESR - ESR'!D49</f>
        <v>0</v>
      </c>
      <c r="CAS4" s="57">
        <f>'REG y VAL POE - AESR - ESR'!E49</f>
        <v>0</v>
      </c>
      <c r="CAT4" s="57">
        <f>'REG y VAL POE - AESR - ESR'!F49</f>
        <v>0</v>
      </c>
      <c r="CAU4" s="57">
        <f>'REG y VAL POE - AESR - ESR'!G49</f>
        <v>0</v>
      </c>
      <c r="CAV4" s="57">
        <f>'REG y VAL POE - AESR - ESR'!H49</f>
        <v>0</v>
      </c>
      <c r="CAW4" s="56">
        <f>'REG y VAL POE - AESR - ESR'!I49</f>
        <v>0</v>
      </c>
      <c r="CAX4" s="57">
        <f>'REG y VAL POE - AESR - ESR'!J49</f>
        <v>0</v>
      </c>
      <c r="CAY4" s="57">
        <f>'REG y VAL POE - AESR - ESR'!K49</f>
        <v>0</v>
      </c>
      <c r="CAZ4" s="56">
        <f>'REG y VAL POE - AESR - ESR'!L49</f>
        <v>0</v>
      </c>
      <c r="CBA4" s="57">
        <f>'REG y VAL POE - AESR - ESR'!M49</f>
        <v>0</v>
      </c>
      <c r="CBB4" s="56">
        <f>'REG y VAL POE - AESR - ESR'!N49</f>
        <v>0</v>
      </c>
      <c r="CBC4" s="56">
        <f>'REG y VAL POE - AESR - ESR'!O49</f>
        <v>0</v>
      </c>
      <c r="CBD4" s="57">
        <f>'REG y VAL POE - AESR - ESR'!P49</f>
        <v>0</v>
      </c>
      <c r="CBE4" s="57">
        <f>'REG y VAL POE - AESR - ESR'!Q49</f>
        <v>0</v>
      </c>
      <c r="CBF4" s="57">
        <f>'REG y VAL POE - AESR - ESR'!R49</f>
        <v>0</v>
      </c>
      <c r="CBG4" s="56">
        <f>'REG y VAL POE - AESR - ESR'!S49</f>
        <v>0</v>
      </c>
      <c r="CBH4" s="57">
        <f>'REG y VAL POE - AESR - ESR'!T49</f>
        <v>0</v>
      </c>
      <c r="CBI4" s="57">
        <f>'REG y VAL POE - AESR - ESR'!U49</f>
        <v>0</v>
      </c>
      <c r="CBJ4" s="56">
        <f>'REG y VAL POE - AESR - ESR'!V49</f>
        <v>0</v>
      </c>
      <c r="CBK4" s="57">
        <f>'REG y VAL POE - AESR - ESR'!W49</f>
        <v>0</v>
      </c>
      <c r="CBL4" s="56">
        <f>'REG y VAL POE - AESR - ESR'!X49</f>
        <v>0</v>
      </c>
      <c r="CBM4" s="56">
        <f>'REG y VAL POE - AESR - ESR'!Y49</f>
        <v>0</v>
      </c>
      <c r="CBN4" s="57">
        <f>'REG y VAL POE - AESR - ESR'!Z49</f>
        <v>0</v>
      </c>
      <c r="CBO4" s="57">
        <f>'REG y VAL POE - AESR - ESR'!AA49</f>
        <v>0</v>
      </c>
      <c r="CBP4" s="57">
        <f>'REG y VAL POE - AESR - ESR'!AB49</f>
        <v>0</v>
      </c>
      <c r="CBQ4" s="56">
        <f>'REG y VAL POE - AESR - ESR'!AC49</f>
        <v>0</v>
      </c>
      <c r="CBR4" s="57">
        <f>'REG y VAL POE - AESR - ESR'!AD49</f>
        <v>0</v>
      </c>
      <c r="CBS4" s="57">
        <f>'REG y VAL POE - AESR - ESR'!AE49</f>
        <v>0</v>
      </c>
      <c r="CBT4" s="56">
        <f>'REG y VAL POE - AESR - ESR'!AF49</f>
        <v>0</v>
      </c>
      <c r="CBU4" s="57">
        <f>'REG y VAL POE - AESR - ESR'!AG49</f>
        <v>0</v>
      </c>
      <c r="CBV4" s="56">
        <f>'REG y VAL POE - AESR - ESR'!AH49</f>
        <v>0</v>
      </c>
      <c r="CBW4" s="56">
        <f>'REG y VAL POE - AESR - ESR'!AI49</f>
        <v>0</v>
      </c>
      <c r="CBX4" s="57">
        <f>'REG y VAL POE - AESR - ESR'!AJ49</f>
        <v>0</v>
      </c>
      <c r="CBY4" s="57">
        <f>'REG y VAL POE - AESR - ESR'!AK49</f>
        <v>0</v>
      </c>
      <c r="CBZ4" s="57">
        <f>'REG y VAL POE - AESR - ESR'!AL49</f>
        <v>0</v>
      </c>
      <c r="CCA4" s="56">
        <f>'REG y VAL POE - AESR - ESR'!AM49</f>
        <v>0</v>
      </c>
      <c r="CCB4" s="57">
        <f>'REG y VAL POE - AESR - ESR'!AN49</f>
        <v>0</v>
      </c>
      <c r="CCC4" s="57">
        <f>'REG y VAL POE - AESR - ESR'!AO49</f>
        <v>0</v>
      </c>
      <c r="CCD4" s="56">
        <f>'REG y VAL POE - AESR - ESR'!AP49</f>
        <v>0</v>
      </c>
      <c r="CCE4" s="57">
        <f>'REG y VAL POE - AESR - ESR'!AQ49</f>
        <v>0</v>
      </c>
      <c r="CCF4" s="56">
        <f>'REG y VAL POE - AESR - ESR'!AR49</f>
        <v>0</v>
      </c>
      <c r="CCG4" s="56">
        <f>'REG y VAL POE - AESR - ESR'!AS49</f>
        <v>0</v>
      </c>
      <c r="CCH4" s="55">
        <f>'REG y VAL POE - AESR - ESR'!B50</f>
        <v>0</v>
      </c>
      <c r="CCI4" s="57">
        <f>'REG y VAL POE - AESR - ESR'!C50</f>
        <v>0</v>
      </c>
      <c r="CCJ4" s="56">
        <f>'REG y VAL POE - AESR - ESR'!D50</f>
        <v>0</v>
      </c>
      <c r="CCK4" s="57">
        <f>'REG y VAL POE - AESR - ESR'!E50</f>
        <v>0</v>
      </c>
      <c r="CCL4" s="56">
        <f>'REG y VAL POE - AESR - ESR'!F50</f>
        <v>0</v>
      </c>
      <c r="CCM4" s="56">
        <f>'REG y VAL POE - AESR - ESR'!G50</f>
        <v>0</v>
      </c>
      <c r="CCN4" s="56">
        <f>'REG y VAL POE - AESR - ESR'!H50</f>
        <v>0</v>
      </c>
      <c r="CCO4" s="57">
        <f>'REG y VAL POE - AESR - ESR'!I50</f>
        <v>0</v>
      </c>
      <c r="CCP4" s="57">
        <f>'REG y VAL POE - AESR - ESR'!J50</f>
        <v>0</v>
      </c>
      <c r="CCQ4" s="57">
        <f>'REG y VAL POE - AESR - ESR'!K50</f>
        <v>0</v>
      </c>
      <c r="CCR4" s="57">
        <f>'REG y VAL POE - AESR - ESR'!L50</f>
        <v>0</v>
      </c>
      <c r="CCS4" s="57">
        <f>'REG y VAL POE - AESR - ESR'!M50</f>
        <v>0</v>
      </c>
      <c r="CCT4" s="57">
        <f>'REG y VAL POE - AESR - ESR'!N50</f>
        <v>0</v>
      </c>
      <c r="CCU4" s="57">
        <f>'REG y VAL POE - AESR - ESR'!O50</f>
        <v>0</v>
      </c>
      <c r="CCV4" s="57">
        <f>'REG y VAL POE - AESR - ESR'!P50</f>
        <v>0</v>
      </c>
      <c r="CCW4" s="57">
        <f>'REG y VAL POE - AESR - ESR'!Q50</f>
        <v>0</v>
      </c>
      <c r="CCX4" s="57">
        <f>'REG y VAL POE - AESR - ESR'!R50</f>
        <v>0</v>
      </c>
      <c r="CCY4" s="57">
        <f>'REG y VAL POE - AESR - ESR'!S50</f>
        <v>0</v>
      </c>
      <c r="CCZ4" s="57">
        <f>'REG y VAL POE - AESR - ESR'!T50</f>
        <v>0</v>
      </c>
      <c r="CDA4" s="57">
        <f>'REG y VAL POE - AESR - ESR'!U50</f>
        <v>0</v>
      </c>
      <c r="CDB4" s="57">
        <f>'REG y VAL POE - AESR - ESR'!V50</f>
        <v>0</v>
      </c>
      <c r="CDC4" s="57">
        <f>'REG y VAL POE - AESR - ESR'!W50</f>
        <v>0</v>
      </c>
      <c r="CDD4" s="57">
        <f>'REG y VAL POE - AESR - ESR'!X50</f>
        <v>0</v>
      </c>
      <c r="CDE4" s="57">
        <f>'REG y VAL POE - AESR - ESR'!Y50</f>
        <v>0</v>
      </c>
      <c r="CDF4" s="57">
        <f>'REG y VAL POE - AESR - ESR'!Z50</f>
        <v>0</v>
      </c>
      <c r="CDG4" s="57">
        <f>'REG y VAL POE - AESR - ESR'!AA50</f>
        <v>0</v>
      </c>
      <c r="CDH4" s="57">
        <f>'REG y VAL POE - AESR - ESR'!AB50</f>
        <v>0</v>
      </c>
      <c r="CDI4" s="57">
        <f>'REG y VAL POE - AESR - ESR'!AC50</f>
        <v>0</v>
      </c>
      <c r="CDJ4" s="57">
        <f>'REG y VAL POE - AESR - ESR'!AD50</f>
        <v>0</v>
      </c>
      <c r="CDK4" s="57">
        <f>'REG y VAL POE - AESR - ESR'!AE50</f>
        <v>0</v>
      </c>
      <c r="CDL4" s="57">
        <f>'REG y VAL POE - AESR - ESR'!AF50</f>
        <v>0</v>
      </c>
      <c r="CDM4" s="57">
        <f>'REG y VAL POE - AESR - ESR'!AG50</f>
        <v>0</v>
      </c>
      <c r="CDN4" s="57">
        <f>'REG y VAL POE - AESR - ESR'!AH50</f>
        <v>0</v>
      </c>
      <c r="CDO4" s="57">
        <f>'REG y VAL POE - AESR - ESR'!AI50</f>
        <v>0</v>
      </c>
      <c r="CDP4" s="57">
        <f>'REG y VAL POE - AESR - ESR'!AJ50</f>
        <v>0</v>
      </c>
      <c r="CDQ4" s="57">
        <f>'REG y VAL POE - AESR - ESR'!AK50</f>
        <v>0</v>
      </c>
      <c r="CDR4" s="57">
        <f>'REG y VAL POE - AESR - ESR'!AL50</f>
        <v>0</v>
      </c>
      <c r="CDS4" s="57">
        <f>'REG y VAL POE - AESR - ESR'!AM50</f>
        <v>0</v>
      </c>
      <c r="CDT4" s="57">
        <f>'REG y VAL POE - AESR - ESR'!AN50</f>
        <v>0</v>
      </c>
      <c r="CDU4" s="57">
        <f>'REG y VAL POE - AESR - ESR'!AO50</f>
        <v>0</v>
      </c>
      <c r="CDV4" s="57">
        <f>'REG y VAL POE - AESR - ESR'!AP50</f>
        <v>0</v>
      </c>
      <c r="CDW4" s="57">
        <f>'REG y VAL POE - AESR - ESR'!AQ50</f>
        <v>0</v>
      </c>
      <c r="CDX4" s="57">
        <f>'REG y VAL POE - AESR - ESR'!AR50</f>
        <v>0</v>
      </c>
      <c r="CDY4" s="57">
        <f>'REG y VAL POE - AESR - ESR'!AS50</f>
        <v>0</v>
      </c>
      <c r="CDZ4" s="55">
        <f>'REG y VAL POE - AESR - ESR'!B51</f>
        <v>0</v>
      </c>
      <c r="CEA4" s="56">
        <f>'REG y VAL POE - AESR - ESR'!C51</f>
        <v>0</v>
      </c>
      <c r="CEB4" s="57">
        <f>'REG y VAL POE - AESR - ESR'!D51</f>
        <v>0</v>
      </c>
      <c r="CEC4" s="57">
        <f>'REG y VAL POE - AESR - ESR'!E51</f>
        <v>0</v>
      </c>
      <c r="CED4" s="57">
        <f>'REG y VAL POE - AESR - ESR'!F51</f>
        <v>0</v>
      </c>
      <c r="CEE4" s="57">
        <f>'REG y VAL POE - AESR - ESR'!G51</f>
        <v>0</v>
      </c>
      <c r="CEF4" s="57">
        <f>'REG y VAL POE - AESR - ESR'!H51</f>
        <v>0</v>
      </c>
      <c r="CEG4" s="56">
        <f>'REG y VAL POE - AESR - ESR'!I51</f>
        <v>0</v>
      </c>
      <c r="CEH4" s="57">
        <f>'REG y VAL POE - AESR - ESR'!J51</f>
        <v>0</v>
      </c>
      <c r="CEI4" s="57">
        <f>'REG y VAL POE - AESR - ESR'!K51</f>
        <v>0</v>
      </c>
      <c r="CEJ4" s="56">
        <f>'REG y VAL POE - AESR - ESR'!L51</f>
        <v>0</v>
      </c>
      <c r="CEK4" s="57">
        <f>'REG y VAL POE - AESR - ESR'!M51</f>
        <v>0</v>
      </c>
      <c r="CEL4" s="56">
        <f>'REG y VAL POE - AESR - ESR'!N51</f>
        <v>0</v>
      </c>
      <c r="CEM4" s="56">
        <f>'REG y VAL POE - AESR - ESR'!O51</f>
        <v>0</v>
      </c>
      <c r="CEN4" s="57">
        <f>'REG y VAL POE - AESR - ESR'!P51</f>
        <v>0</v>
      </c>
      <c r="CEO4" s="57">
        <f>'REG y VAL POE - AESR - ESR'!Q51</f>
        <v>0</v>
      </c>
      <c r="CEP4" s="57">
        <f>'REG y VAL POE - AESR - ESR'!R51</f>
        <v>0</v>
      </c>
      <c r="CEQ4" s="56">
        <f>'REG y VAL POE - AESR - ESR'!S51</f>
        <v>0</v>
      </c>
      <c r="CER4" s="57">
        <f>'REG y VAL POE - AESR - ESR'!T51</f>
        <v>0</v>
      </c>
      <c r="CES4" s="57">
        <f>'REG y VAL POE - AESR - ESR'!U51</f>
        <v>0</v>
      </c>
      <c r="CET4" s="56">
        <f>'REG y VAL POE - AESR - ESR'!V51</f>
        <v>0</v>
      </c>
      <c r="CEU4" s="57">
        <f>'REG y VAL POE - AESR - ESR'!W51</f>
        <v>0</v>
      </c>
      <c r="CEV4" s="56">
        <f>'REG y VAL POE - AESR - ESR'!X51</f>
        <v>0</v>
      </c>
      <c r="CEW4" s="56">
        <f>'REG y VAL POE - AESR - ESR'!Y51</f>
        <v>0</v>
      </c>
      <c r="CEX4" s="57">
        <f>'REG y VAL POE - AESR - ESR'!Z51</f>
        <v>0</v>
      </c>
      <c r="CEY4" s="57">
        <f>'REG y VAL POE - AESR - ESR'!AA51</f>
        <v>0</v>
      </c>
      <c r="CEZ4" s="57">
        <f>'REG y VAL POE - AESR - ESR'!AB51</f>
        <v>0</v>
      </c>
      <c r="CFA4" s="56">
        <f>'REG y VAL POE - AESR - ESR'!AC51</f>
        <v>0</v>
      </c>
      <c r="CFB4" s="57">
        <f>'REG y VAL POE - AESR - ESR'!AD51</f>
        <v>0</v>
      </c>
      <c r="CFC4" s="57">
        <f>'REG y VAL POE - AESR - ESR'!AE51</f>
        <v>0</v>
      </c>
      <c r="CFD4" s="56">
        <f>'REG y VAL POE - AESR - ESR'!AF51</f>
        <v>0</v>
      </c>
      <c r="CFE4" s="57">
        <f>'REG y VAL POE - AESR - ESR'!AG51</f>
        <v>0</v>
      </c>
      <c r="CFF4" s="56">
        <f>'REG y VAL POE - AESR - ESR'!AH51</f>
        <v>0</v>
      </c>
      <c r="CFG4" s="56">
        <f>'REG y VAL POE - AESR - ESR'!AI51</f>
        <v>0</v>
      </c>
      <c r="CFH4" s="57">
        <f>'REG y VAL POE - AESR - ESR'!AJ51</f>
        <v>0</v>
      </c>
      <c r="CFI4" s="57">
        <f>'REG y VAL POE - AESR - ESR'!AK51</f>
        <v>0</v>
      </c>
      <c r="CFJ4" s="57">
        <f>'REG y VAL POE - AESR - ESR'!AL51</f>
        <v>0</v>
      </c>
      <c r="CFK4" s="56">
        <f>'REG y VAL POE - AESR - ESR'!AM51</f>
        <v>0</v>
      </c>
      <c r="CFL4" s="57">
        <f>'REG y VAL POE - AESR - ESR'!AN51</f>
        <v>0</v>
      </c>
      <c r="CFM4" s="57">
        <f>'REG y VAL POE - AESR - ESR'!AO51</f>
        <v>0</v>
      </c>
      <c r="CFN4" s="56">
        <f>'REG y VAL POE - AESR - ESR'!AP51</f>
        <v>0</v>
      </c>
      <c r="CFO4" s="57">
        <f>'REG y VAL POE - AESR - ESR'!AQ51</f>
        <v>0</v>
      </c>
      <c r="CFP4" s="56">
        <f>'REG y VAL POE - AESR - ESR'!AR51</f>
        <v>0</v>
      </c>
      <c r="CFQ4" s="56">
        <f>'REG y VAL POE - AESR - ESR'!AS51</f>
        <v>0</v>
      </c>
      <c r="CFR4" s="55">
        <f>'REG y VAL POE - AESR - ESR'!B52</f>
        <v>0</v>
      </c>
      <c r="CFS4" s="57">
        <f>'REG y VAL POE - AESR - ESR'!C52</f>
        <v>0</v>
      </c>
      <c r="CFT4" s="56">
        <f>'REG y VAL POE - AESR - ESR'!D52</f>
        <v>0</v>
      </c>
      <c r="CFU4" s="57">
        <f>'REG y VAL POE - AESR - ESR'!E52</f>
        <v>0</v>
      </c>
      <c r="CFV4" s="56">
        <f>'REG y VAL POE - AESR - ESR'!F52</f>
        <v>0</v>
      </c>
      <c r="CFW4" s="56">
        <f>'REG y VAL POE - AESR - ESR'!G52</f>
        <v>0</v>
      </c>
      <c r="CFX4" s="56">
        <f>'REG y VAL POE - AESR - ESR'!H52</f>
        <v>0</v>
      </c>
      <c r="CFY4" s="57">
        <f>'REG y VAL POE - AESR - ESR'!I52</f>
        <v>0</v>
      </c>
      <c r="CFZ4" s="57">
        <f>'REG y VAL POE - AESR - ESR'!J52</f>
        <v>0</v>
      </c>
      <c r="CGA4" s="57">
        <f>'REG y VAL POE - AESR - ESR'!K52</f>
        <v>0</v>
      </c>
      <c r="CGB4" s="57">
        <f>'REG y VAL POE - AESR - ESR'!L52</f>
        <v>0</v>
      </c>
      <c r="CGC4" s="57">
        <f>'REG y VAL POE - AESR - ESR'!M52</f>
        <v>0</v>
      </c>
      <c r="CGD4" s="57">
        <f>'REG y VAL POE - AESR - ESR'!N52</f>
        <v>0</v>
      </c>
      <c r="CGE4" s="57">
        <f>'REG y VAL POE - AESR - ESR'!O52</f>
        <v>0</v>
      </c>
      <c r="CGF4" s="57">
        <f>'REG y VAL POE - AESR - ESR'!P52</f>
        <v>0</v>
      </c>
      <c r="CGG4" s="57">
        <f>'REG y VAL POE - AESR - ESR'!Q52</f>
        <v>0</v>
      </c>
      <c r="CGH4" s="57">
        <f>'REG y VAL POE - AESR - ESR'!R52</f>
        <v>0</v>
      </c>
      <c r="CGI4" s="57">
        <f>'REG y VAL POE - AESR - ESR'!S52</f>
        <v>0</v>
      </c>
      <c r="CGJ4" s="57">
        <f>'REG y VAL POE - AESR - ESR'!T52</f>
        <v>0</v>
      </c>
      <c r="CGK4" s="57">
        <f>'REG y VAL POE - AESR - ESR'!U52</f>
        <v>0</v>
      </c>
      <c r="CGL4" s="57">
        <f>'REG y VAL POE - AESR - ESR'!V52</f>
        <v>0</v>
      </c>
      <c r="CGM4" s="57">
        <f>'REG y VAL POE - AESR - ESR'!W52</f>
        <v>0</v>
      </c>
      <c r="CGN4" s="57">
        <f>'REG y VAL POE - AESR - ESR'!X52</f>
        <v>0</v>
      </c>
      <c r="CGO4" s="57">
        <f>'REG y VAL POE - AESR - ESR'!Y52</f>
        <v>0</v>
      </c>
      <c r="CGP4" s="57">
        <f>'REG y VAL POE - AESR - ESR'!Z52</f>
        <v>0</v>
      </c>
      <c r="CGQ4" s="57">
        <f>'REG y VAL POE - AESR - ESR'!AA52</f>
        <v>0</v>
      </c>
      <c r="CGR4" s="57">
        <f>'REG y VAL POE - AESR - ESR'!AB52</f>
        <v>0</v>
      </c>
      <c r="CGS4" s="57">
        <f>'REG y VAL POE - AESR - ESR'!AC52</f>
        <v>0</v>
      </c>
      <c r="CGT4" s="57">
        <f>'REG y VAL POE - AESR - ESR'!AD52</f>
        <v>0</v>
      </c>
      <c r="CGU4" s="57">
        <f>'REG y VAL POE - AESR - ESR'!AE52</f>
        <v>0</v>
      </c>
      <c r="CGV4" s="57">
        <f>'REG y VAL POE - AESR - ESR'!AF52</f>
        <v>0</v>
      </c>
      <c r="CGW4" s="57">
        <f>'REG y VAL POE - AESR - ESR'!AG52</f>
        <v>0</v>
      </c>
      <c r="CGX4" s="57">
        <f>'REG y VAL POE - AESR - ESR'!AH52</f>
        <v>0</v>
      </c>
      <c r="CGY4" s="57">
        <f>'REG y VAL POE - AESR - ESR'!AI52</f>
        <v>0</v>
      </c>
      <c r="CGZ4" s="57">
        <f>'REG y VAL POE - AESR - ESR'!AJ52</f>
        <v>0</v>
      </c>
      <c r="CHA4" s="57">
        <f>'REG y VAL POE - AESR - ESR'!AK52</f>
        <v>0</v>
      </c>
      <c r="CHB4" s="57">
        <f>'REG y VAL POE - AESR - ESR'!AL52</f>
        <v>0</v>
      </c>
      <c r="CHC4" s="57">
        <f>'REG y VAL POE - AESR - ESR'!AM52</f>
        <v>0</v>
      </c>
      <c r="CHD4" s="57">
        <f>'REG y VAL POE - AESR - ESR'!AN52</f>
        <v>0</v>
      </c>
      <c r="CHE4" s="57">
        <f>'REG y VAL POE - AESR - ESR'!AO52</f>
        <v>0</v>
      </c>
      <c r="CHF4" s="57">
        <f>'REG y VAL POE - AESR - ESR'!AP52</f>
        <v>0</v>
      </c>
      <c r="CHG4" s="57">
        <f>'REG y VAL POE - AESR - ESR'!AQ52</f>
        <v>0</v>
      </c>
      <c r="CHH4" s="57">
        <f>'REG y VAL POE - AESR - ESR'!AR52</f>
        <v>0</v>
      </c>
      <c r="CHI4" s="57">
        <f>'REG y VAL POE - AESR - ESR'!AS52</f>
        <v>0</v>
      </c>
      <c r="CHJ4" s="55">
        <f>'REG y VAL POE - AESR - ESR'!B53</f>
        <v>0</v>
      </c>
      <c r="CHK4" s="56">
        <f>'REG y VAL POE - AESR - ESR'!C53</f>
        <v>0</v>
      </c>
      <c r="CHL4" s="57">
        <f>'REG y VAL POE - AESR - ESR'!D53</f>
        <v>0</v>
      </c>
      <c r="CHM4" s="57">
        <f>'REG y VAL POE - AESR - ESR'!E53</f>
        <v>0</v>
      </c>
      <c r="CHN4" s="57">
        <f>'REG y VAL POE - AESR - ESR'!F53</f>
        <v>0</v>
      </c>
      <c r="CHO4" s="57">
        <f>'REG y VAL POE - AESR - ESR'!G53</f>
        <v>0</v>
      </c>
      <c r="CHP4" s="57">
        <f>'REG y VAL POE - AESR - ESR'!H53</f>
        <v>0</v>
      </c>
      <c r="CHQ4" s="56">
        <f>'REG y VAL POE - AESR - ESR'!I53</f>
        <v>0</v>
      </c>
      <c r="CHR4" s="57">
        <f>'REG y VAL POE - AESR - ESR'!J53</f>
        <v>0</v>
      </c>
      <c r="CHS4" s="57">
        <f>'REG y VAL POE - AESR - ESR'!K53</f>
        <v>0</v>
      </c>
      <c r="CHT4" s="56">
        <f>'REG y VAL POE - AESR - ESR'!L53</f>
        <v>0</v>
      </c>
      <c r="CHU4" s="57">
        <f>'REG y VAL POE - AESR - ESR'!M53</f>
        <v>0</v>
      </c>
      <c r="CHV4" s="56">
        <f>'REG y VAL POE - AESR - ESR'!N53</f>
        <v>0</v>
      </c>
      <c r="CHW4" s="56">
        <f>'REG y VAL POE - AESR - ESR'!O53</f>
        <v>0</v>
      </c>
      <c r="CHX4" s="57">
        <f>'REG y VAL POE - AESR - ESR'!P53</f>
        <v>0</v>
      </c>
      <c r="CHY4" s="57">
        <f>'REG y VAL POE - AESR - ESR'!Q53</f>
        <v>0</v>
      </c>
      <c r="CHZ4" s="57">
        <f>'REG y VAL POE - AESR - ESR'!R53</f>
        <v>0</v>
      </c>
      <c r="CIA4" s="56">
        <f>'REG y VAL POE - AESR - ESR'!S53</f>
        <v>0</v>
      </c>
      <c r="CIB4" s="57">
        <f>'REG y VAL POE - AESR - ESR'!T53</f>
        <v>0</v>
      </c>
      <c r="CIC4" s="57">
        <f>'REG y VAL POE - AESR - ESR'!U53</f>
        <v>0</v>
      </c>
      <c r="CID4" s="56">
        <f>'REG y VAL POE - AESR - ESR'!V53</f>
        <v>0</v>
      </c>
      <c r="CIE4" s="57">
        <f>'REG y VAL POE - AESR - ESR'!W53</f>
        <v>0</v>
      </c>
      <c r="CIF4" s="56">
        <f>'REG y VAL POE - AESR - ESR'!X53</f>
        <v>0</v>
      </c>
      <c r="CIG4" s="56">
        <f>'REG y VAL POE - AESR - ESR'!Y53</f>
        <v>0</v>
      </c>
      <c r="CIH4" s="57">
        <f>'REG y VAL POE - AESR - ESR'!Z53</f>
        <v>0</v>
      </c>
      <c r="CII4" s="57">
        <f>'REG y VAL POE - AESR - ESR'!AA53</f>
        <v>0</v>
      </c>
      <c r="CIJ4" s="57">
        <f>'REG y VAL POE - AESR - ESR'!AB53</f>
        <v>0</v>
      </c>
      <c r="CIK4" s="56">
        <f>'REG y VAL POE - AESR - ESR'!AC53</f>
        <v>0</v>
      </c>
      <c r="CIL4" s="57">
        <f>'REG y VAL POE - AESR - ESR'!AD53</f>
        <v>0</v>
      </c>
      <c r="CIM4" s="57">
        <f>'REG y VAL POE - AESR - ESR'!AE53</f>
        <v>0</v>
      </c>
      <c r="CIN4" s="56">
        <f>'REG y VAL POE - AESR - ESR'!AF53</f>
        <v>0</v>
      </c>
      <c r="CIO4" s="57">
        <f>'REG y VAL POE - AESR - ESR'!AG53</f>
        <v>0</v>
      </c>
      <c r="CIP4" s="56">
        <f>'REG y VAL POE - AESR - ESR'!AH53</f>
        <v>0</v>
      </c>
      <c r="CIQ4" s="56">
        <f>'REG y VAL POE - AESR - ESR'!AI53</f>
        <v>0</v>
      </c>
      <c r="CIR4" s="57">
        <f>'REG y VAL POE - AESR - ESR'!AJ53</f>
        <v>0</v>
      </c>
      <c r="CIS4" s="57">
        <f>'REG y VAL POE - AESR - ESR'!AK53</f>
        <v>0</v>
      </c>
      <c r="CIT4" s="57">
        <f>'REG y VAL POE - AESR - ESR'!AL53</f>
        <v>0</v>
      </c>
      <c r="CIU4" s="56">
        <f>'REG y VAL POE - AESR - ESR'!AM53</f>
        <v>0</v>
      </c>
      <c r="CIV4" s="57">
        <f>'REG y VAL POE - AESR - ESR'!AN53</f>
        <v>0</v>
      </c>
      <c r="CIW4" s="57">
        <f>'REG y VAL POE - AESR - ESR'!AO53</f>
        <v>0</v>
      </c>
      <c r="CIX4" s="56">
        <f>'REG y VAL POE - AESR - ESR'!AP53</f>
        <v>0</v>
      </c>
      <c r="CIY4" s="57">
        <f>'REG y VAL POE - AESR - ESR'!AQ53</f>
        <v>0</v>
      </c>
      <c r="CIZ4" s="56">
        <f>'REG y VAL POE - AESR - ESR'!AR53</f>
        <v>0</v>
      </c>
      <c r="CJA4" s="56">
        <f>'REG y VAL POE - AESR - ESR'!AS53</f>
        <v>0</v>
      </c>
      <c r="CJB4" s="55">
        <f>'REG y VAL POE - AESR - ESR'!B54</f>
        <v>0</v>
      </c>
      <c r="CJC4" s="57">
        <f>'REG y VAL POE - AESR - ESR'!C54</f>
        <v>0</v>
      </c>
      <c r="CJD4" s="56">
        <f>'REG y VAL POE - AESR - ESR'!D54</f>
        <v>0</v>
      </c>
      <c r="CJE4" s="57">
        <f>'REG y VAL POE - AESR - ESR'!E54</f>
        <v>0</v>
      </c>
      <c r="CJF4" s="56">
        <f>'REG y VAL POE - AESR - ESR'!F54</f>
        <v>0</v>
      </c>
      <c r="CJG4" s="56">
        <f>'REG y VAL POE - AESR - ESR'!G54</f>
        <v>0</v>
      </c>
      <c r="CJH4" s="56">
        <f>'REG y VAL POE - AESR - ESR'!H54</f>
        <v>0</v>
      </c>
      <c r="CJI4" s="57">
        <f>'REG y VAL POE - AESR - ESR'!I54</f>
        <v>0</v>
      </c>
      <c r="CJJ4" s="57">
        <f>'REG y VAL POE - AESR - ESR'!J54</f>
        <v>0</v>
      </c>
      <c r="CJK4" s="57">
        <f>'REG y VAL POE - AESR - ESR'!K54</f>
        <v>0</v>
      </c>
      <c r="CJL4" s="57">
        <f>'REG y VAL POE - AESR - ESR'!L54</f>
        <v>0</v>
      </c>
      <c r="CJM4" s="57">
        <f>'REG y VAL POE - AESR - ESR'!M54</f>
        <v>0</v>
      </c>
      <c r="CJN4" s="57">
        <f>'REG y VAL POE - AESR - ESR'!N54</f>
        <v>0</v>
      </c>
      <c r="CJO4" s="57">
        <f>'REG y VAL POE - AESR - ESR'!O54</f>
        <v>0</v>
      </c>
      <c r="CJP4" s="57">
        <f>'REG y VAL POE - AESR - ESR'!P54</f>
        <v>0</v>
      </c>
      <c r="CJQ4" s="57">
        <f>'REG y VAL POE - AESR - ESR'!Q54</f>
        <v>0</v>
      </c>
      <c r="CJR4" s="57">
        <f>'REG y VAL POE - AESR - ESR'!R54</f>
        <v>0</v>
      </c>
      <c r="CJS4" s="57">
        <f>'REG y VAL POE - AESR - ESR'!S54</f>
        <v>0</v>
      </c>
      <c r="CJT4" s="57">
        <f>'REG y VAL POE - AESR - ESR'!T54</f>
        <v>0</v>
      </c>
      <c r="CJU4" s="57">
        <f>'REG y VAL POE - AESR - ESR'!U54</f>
        <v>0</v>
      </c>
      <c r="CJV4" s="57">
        <f>'REG y VAL POE - AESR - ESR'!V54</f>
        <v>0</v>
      </c>
      <c r="CJW4" s="57">
        <f>'REG y VAL POE - AESR - ESR'!W54</f>
        <v>0</v>
      </c>
      <c r="CJX4" s="57">
        <f>'REG y VAL POE - AESR - ESR'!X54</f>
        <v>0</v>
      </c>
      <c r="CJY4" s="57">
        <f>'REG y VAL POE - AESR - ESR'!Y54</f>
        <v>0</v>
      </c>
      <c r="CJZ4" s="57">
        <f>'REG y VAL POE - AESR - ESR'!Z54</f>
        <v>0</v>
      </c>
      <c r="CKA4" s="57">
        <f>'REG y VAL POE - AESR - ESR'!AA54</f>
        <v>0</v>
      </c>
      <c r="CKB4" s="57">
        <f>'REG y VAL POE - AESR - ESR'!AB54</f>
        <v>0</v>
      </c>
      <c r="CKC4" s="57">
        <f>'REG y VAL POE - AESR - ESR'!AC54</f>
        <v>0</v>
      </c>
      <c r="CKD4" s="57">
        <f>'REG y VAL POE - AESR - ESR'!AD54</f>
        <v>0</v>
      </c>
      <c r="CKE4" s="57">
        <f>'REG y VAL POE - AESR - ESR'!AE54</f>
        <v>0</v>
      </c>
      <c r="CKF4" s="57">
        <f>'REG y VAL POE - AESR - ESR'!AF54</f>
        <v>0</v>
      </c>
      <c r="CKG4" s="57">
        <f>'REG y VAL POE - AESR - ESR'!AG54</f>
        <v>0</v>
      </c>
      <c r="CKH4" s="57">
        <f>'REG y VAL POE - AESR - ESR'!AH54</f>
        <v>0</v>
      </c>
      <c r="CKI4" s="57">
        <f>'REG y VAL POE - AESR - ESR'!AI54</f>
        <v>0</v>
      </c>
      <c r="CKJ4" s="57">
        <f>'REG y VAL POE - AESR - ESR'!AJ54</f>
        <v>0</v>
      </c>
      <c r="CKK4" s="57">
        <f>'REG y VAL POE - AESR - ESR'!AK54</f>
        <v>0</v>
      </c>
      <c r="CKL4" s="57">
        <f>'REG y VAL POE - AESR - ESR'!AL54</f>
        <v>0</v>
      </c>
      <c r="CKM4" s="57">
        <f>'REG y VAL POE - AESR - ESR'!AM54</f>
        <v>0</v>
      </c>
      <c r="CKN4" s="57">
        <f>'REG y VAL POE - AESR - ESR'!AN54</f>
        <v>0</v>
      </c>
      <c r="CKO4" s="57">
        <f>'REG y VAL POE - AESR - ESR'!AO54</f>
        <v>0</v>
      </c>
      <c r="CKP4" s="57">
        <f>'REG y VAL POE - AESR - ESR'!AP54</f>
        <v>0</v>
      </c>
      <c r="CKQ4" s="57">
        <f>'REG y VAL POE - AESR - ESR'!AQ54</f>
        <v>0</v>
      </c>
      <c r="CKR4" s="57">
        <f>'REG y VAL POE - AESR - ESR'!AR54</f>
        <v>0</v>
      </c>
      <c r="CKS4" s="57">
        <f>'REG y VAL POE - AESR - ESR'!AS54</f>
        <v>0</v>
      </c>
      <c r="CKT4" s="55">
        <f>'REG y VAL POE - AESR - ESR'!B55</f>
        <v>0</v>
      </c>
      <c r="CKU4" s="56">
        <f>'REG y VAL POE - AESR - ESR'!C55</f>
        <v>0</v>
      </c>
      <c r="CKV4" s="57">
        <f>'REG y VAL POE - AESR - ESR'!D55</f>
        <v>0</v>
      </c>
      <c r="CKW4" s="57">
        <f>'REG y VAL POE - AESR - ESR'!E55</f>
        <v>0</v>
      </c>
      <c r="CKX4" s="57">
        <f>'REG y VAL POE - AESR - ESR'!F55</f>
        <v>0</v>
      </c>
      <c r="CKY4" s="57">
        <f>'REG y VAL POE - AESR - ESR'!G55</f>
        <v>0</v>
      </c>
      <c r="CKZ4" s="57">
        <f>'REG y VAL POE - AESR - ESR'!H55</f>
        <v>0</v>
      </c>
      <c r="CLA4" s="56">
        <f>'REG y VAL POE - AESR - ESR'!I55</f>
        <v>0</v>
      </c>
      <c r="CLB4" s="57">
        <f>'REG y VAL POE - AESR - ESR'!J55</f>
        <v>0</v>
      </c>
      <c r="CLC4" s="57">
        <f>'REG y VAL POE - AESR - ESR'!K55</f>
        <v>0</v>
      </c>
      <c r="CLD4" s="56">
        <f>'REG y VAL POE - AESR - ESR'!L55</f>
        <v>0</v>
      </c>
      <c r="CLE4" s="57">
        <f>'REG y VAL POE - AESR - ESR'!M55</f>
        <v>0</v>
      </c>
      <c r="CLF4" s="56">
        <f>'REG y VAL POE - AESR - ESR'!N55</f>
        <v>0</v>
      </c>
      <c r="CLG4" s="56">
        <f>'REG y VAL POE - AESR - ESR'!O55</f>
        <v>0</v>
      </c>
      <c r="CLH4" s="57">
        <f>'REG y VAL POE - AESR - ESR'!P55</f>
        <v>0</v>
      </c>
      <c r="CLI4" s="57">
        <f>'REG y VAL POE - AESR - ESR'!Q55</f>
        <v>0</v>
      </c>
      <c r="CLJ4" s="57">
        <f>'REG y VAL POE - AESR - ESR'!R55</f>
        <v>0</v>
      </c>
      <c r="CLK4" s="56">
        <f>'REG y VAL POE - AESR - ESR'!S55</f>
        <v>0</v>
      </c>
      <c r="CLL4" s="57">
        <f>'REG y VAL POE - AESR - ESR'!T55</f>
        <v>0</v>
      </c>
      <c r="CLM4" s="57">
        <f>'REG y VAL POE - AESR - ESR'!U55</f>
        <v>0</v>
      </c>
      <c r="CLN4" s="56">
        <f>'REG y VAL POE - AESR - ESR'!V55</f>
        <v>0</v>
      </c>
      <c r="CLO4" s="57">
        <f>'REG y VAL POE - AESR - ESR'!W55</f>
        <v>0</v>
      </c>
      <c r="CLP4" s="56">
        <f>'REG y VAL POE - AESR - ESR'!X55</f>
        <v>0</v>
      </c>
      <c r="CLQ4" s="56">
        <f>'REG y VAL POE - AESR - ESR'!Y55</f>
        <v>0</v>
      </c>
      <c r="CLR4" s="57">
        <f>'REG y VAL POE - AESR - ESR'!Z55</f>
        <v>0</v>
      </c>
      <c r="CLS4" s="57">
        <f>'REG y VAL POE - AESR - ESR'!AA55</f>
        <v>0</v>
      </c>
      <c r="CLT4" s="57">
        <f>'REG y VAL POE - AESR - ESR'!AB55</f>
        <v>0</v>
      </c>
      <c r="CLU4" s="56">
        <f>'REG y VAL POE - AESR - ESR'!AC55</f>
        <v>0</v>
      </c>
      <c r="CLV4" s="57">
        <f>'REG y VAL POE - AESR - ESR'!AD55</f>
        <v>0</v>
      </c>
      <c r="CLW4" s="57">
        <f>'REG y VAL POE - AESR - ESR'!AE55</f>
        <v>0</v>
      </c>
      <c r="CLX4" s="56">
        <f>'REG y VAL POE - AESR - ESR'!AF55</f>
        <v>0</v>
      </c>
      <c r="CLY4" s="57">
        <f>'REG y VAL POE - AESR - ESR'!AG55</f>
        <v>0</v>
      </c>
      <c r="CLZ4" s="56">
        <f>'REG y VAL POE - AESR - ESR'!AH55</f>
        <v>0</v>
      </c>
      <c r="CMA4" s="56">
        <f>'REG y VAL POE - AESR - ESR'!AI55</f>
        <v>0</v>
      </c>
      <c r="CMB4" s="57">
        <f>'REG y VAL POE - AESR - ESR'!AJ55</f>
        <v>0</v>
      </c>
      <c r="CMC4" s="57">
        <f>'REG y VAL POE - AESR - ESR'!AK55</f>
        <v>0</v>
      </c>
      <c r="CMD4" s="57">
        <f>'REG y VAL POE - AESR - ESR'!AL55</f>
        <v>0</v>
      </c>
      <c r="CME4" s="56">
        <f>'REG y VAL POE - AESR - ESR'!AM55</f>
        <v>0</v>
      </c>
      <c r="CMF4" s="57">
        <f>'REG y VAL POE - AESR - ESR'!AN55</f>
        <v>0</v>
      </c>
      <c r="CMG4" s="57">
        <f>'REG y VAL POE - AESR - ESR'!AO55</f>
        <v>0</v>
      </c>
      <c r="CMH4" s="56">
        <f>'REG y VAL POE - AESR - ESR'!AP55</f>
        <v>0</v>
      </c>
      <c r="CMI4" s="57">
        <f>'REG y VAL POE - AESR - ESR'!AQ55</f>
        <v>0</v>
      </c>
      <c r="CMJ4" s="56">
        <f>'REG y VAL POE - AESR - ESR'!AR55</f>
        <v>0</v>
      </c>
      <c r="CMK4" s="56">
        <f>'REG y VAL POE - AESR - ESR'!AS55</f>
        <v>0</v>
      </c>
      <c r="CML4" s="55">
        <f>'REG y VAL POE - AESR - ESR'!B56</f>
        <v>0</v>
      </c>
      <c r="CMM4" s="57">
        <f>'REG y VAL POE - AESR - ESR'!C56</f>
        <v>0</v>
      </c>
      <c r="CMN4" s="56">
        <f>'REG y VAL POE - AESR - ESR'!D56</f>
        <v>0</v>
      </c>
      <c r="CMO4" s="57">
        <f>'REG y VAL POE - AESR - ESR'!E56</f>
        <v>0</v>
      </c>
      <c r="CMP4" s="56">
        <f>'REG y VAL POE - AESR - ESR'!F56</f>
        <v>0</v>
      </c>
      <c r="CMQ4" s="56">
        <f>'REG y VAL POE - AESR - ESR'!G56</f>
        <v>0</v>
      </c>
      <c r="CMR4" s="56">
        <f>'REG y VAL POE - AESR - ESR'!H56</f>
        <v>0</v>
      </c>
      <c r="CMS4" s="57">
        <f>'REG y VAL POE - AESR - ESR'!I56</f>
        <v>0</v>
      </c>
      <c r="CMT4" s="57">
        <f>'REG y VAL POE - AESR - ESR'!J56</f>
        <v>0</v>
      </c>
      <c r="CMU4" s="57">
        <f>'REG y VAL POE - AESR - ESR'!K56</f>
        <v>0</v>
      </c>
      <c r="CMV4" s="57">
        <f>'REG y VAL POE - AESR - ESR'!L56</f>
        <v>0</v>
      </c>
      <c r="CMW4" s="57">
        <f>'REG y VAL POE - AESR - ESR'!M56</f>
        <v>0</v>
      </c>
      <c r="CMX4" s="57">
        <f>'REG y VAL POE - AESR - ESR'!N56</f>
        <v>0</v>
      </c>
      <c r="CMY4" s="57">
        <f>'REG y VAL POE - AESR - ESR'!O56</f>
        <v>0</v>
      </c>
      <c r="CMZ4" s="57">
        <f>'REG y VAL POE - AESR - ESR'!P56</f>
        <v>0</v>
      </c>
      <c r="CNA4" s="57">
        <f>'REG y VAL POE - AESR - ESR'!Q56</f>
        <v>0</v>
      </c>
      <c r="CNB4" s="57">
        <f>'REG y VAL POE - AESR - ESR'!R56</f>
        <v>0</v>
      </c>
      <c r="CNC4" s="57">
        <f>'REG y VAL POE - AESR - ESR'!S56</f>
        <v>0</v>
      </c>
      <c r="CND4" s="57">
        <f>'REG y VAL POE - AESR - ESR'!T56</f>
        <v>0</v>
      </c>
      <c r="CNE4" s="57">
        <f>'REG y VAL POE - AESR - ESR'!U56</f>
        <v>0</v>
      </c>
      <c r="CNF4" s="57">
        <f>'REG y VAL POE - AESR - ESR'!V56</f>
        <v>0</v>
      </c>
      <c r="CNG4" s="57">
        <f>'REG y VAL POE - AESR - ESR'!W56</f>
        <v>0</v>
      </c>
      <c r="CNH4" s="57">
        <f>'REG y VAL POE - AESR - ESR'!X56</f>
        <v>0</v>
      </c>
      <c r="CNI4" s="57">
        <f>'REG y VAL POE - AESR - ESR'!Y56</f>
        <v>0</v>
      </c>
      <c r="CNJ4" s="57">
        <f>'REG y VAL POE - AESR - ESR'!Z56</f>
        <v>0</v>
      </c>
      <c r="CNK4" s="57">
        <f>'REG y VAL POE - AESR - ESR'!AA56</f>
        <v>0</v>
      </c>
      <c r="CNL4" s="57">
        <f>'REG y VAL POE - AESR - ESR'!AB56</f>
        <v>0</v>
      </c>
      <c r="CNM4" s="57">
        <f>'REG y VAL POE - AESR - ESR'!AC56</f>
        <v>0</v>
      </c>
      <c r="CNN4" s="57">
        <f>'REG y VAL POE - AESR - ESR'!AD56</f>
        <v>0</v>
      </c>
      <c r="CNO4" s="57">
        <f>'REG y VAL POE - AESR - ESR'!AE56</f>
        <v>0</v>
      </c>
      <c r="CNP4" s="57">
        <f>'REG y VAL POE - AESR - ESR'!AF56</f>
        <v>0</v>
      </c>
      <c r="CNQ4" s="57">
        <f>'REG y VAL POE - AESR - ESR'!AG56</f>
        <v>0</v>
      </c>
      <c r="CNR4" s="57">
        <f>'REG y VAL POE - AESR - ESR'!AH56</f>
        <v>0</v>
      </c>
      <c r="CNS4" s="57">
        <f>'REG y VAL POE - AESR - ESR'!AI56</f>
        <v>0</v>
      </c>
      <c r="CNT4" s="57">
        <f>'REG y VAL POE - AESR - ESR'!AJ56</f>
        <v>0</v>
      </c>
      <c r="CNU4" s="57">
        <f>'REG y VAL POE - AESR - ESR'!AK56</f>
        <v>0</v>
      </c>
      <c r="CNV4" s="57">
        <f>'REG y VAL POE - AESR - ESR'!AL56</f>
        <v>0</v>
      </c>
      <c r="CNW4" s="57">
        <f>'REG y VAL POE - AESR - ESR'!AM56</f>
        <v>0</v>
      </c>
      <c r="CNX4" s="57">
        <f>'REG y VAL POE - AESR - ESR'!AN56</f>
        <v>0</v>
      </c>
      <c r="CNY4" s="57">
        <f>'REG y VAL POE - AESR - ESR'!AO56</f>
        <v>0</v>
      </c>
      <c r="CNZ4" s="57">
        <f>'REG y VAL POE - AESR - ESR'!AP56</f>
        <v>0</v>
      </c>
      <c r="COA4" s="57">
        <f>'REG y VAL POE - AESR - ESR'!AQ56</f>
        <v>0</v>
      </c>
      <c r="COB4" s="57">
        <f>'REG y VAL POE - AESR - ESR'!AR56</f>
        <v>0</v>
      </c>
      <c r="COC4" s="57">
        <f>'REG y VAL POE - AESR - ESR'!AS56</f>
        <v>0</v>
      </c>
      <c r="COD4" s="55">
        <f>'REG y VAL POE - AESR - ESR'!B57</f>
        <v>0</v>
      </c>
      <c r="COE4" s="56">
        <f>'REG y VAL POE - AESR - ESR'!C57</f>
        <v>0</v>
      </c>
      <c r="COF4" s="57">
        <f>'REG y VAL POE - AESR - ESR'!D57</f>
        <v>0</v>
      </c>
      <c r="COG4" s="57">
        <f>'REG y VAL POE - AESR - ESR'!E57</f>
        <v>0</v>
      </c>
      <c r="COH4" s="57">
        <f>'REG y VAL POE - AESR - ESR'!F57</f>
        <v>0</v>
      </c>
      <c r="COI4" s="57">
        <f>'REG y VAL POE - AESR - ESR'!G57</f>
        <v>0</v>
      </c>
      <c r="COJ4" s="57">
        <f>'REG y VAL POE - AESR - ESR'!H57</f>
        <v>0</v>
      </c>
      <c r="COK4" s="56">
        <f>'REG y VAL POE - AESR - ESR'!I57</f>
        <v>0</v>
      </c>
      <c r="COL4" s="57">
        <f>'REG y VAL POE - AESR - ESR'!J57</f>
        <v>0</v>
      </c>
      <c r="COM4" s="57">
        <f>'REG y VAL POE - AESR - ESR'!K57</f>
        <v>0</v>
      </c>
      <c r="CON4" s="56">
        <f>'REG y VAL POE - AESR - ESR'!L57</f>
        <v>0</v>
      </c>
      <c r="COO4" s="57">
        <f>'REG y VAL POE - AESR - ESR'!M57</f>
        <v>0</v>
      </c>
      <c r="COP4" s="56">
        <f>'REG y VAL POE - AESR - ESR'!N57</f>
        <v>0</v>
      </c>
      <c r="COQ4" s="56">
        <f>'REG y VAL POE - AESR - ESR'!O57</f>
        <v>0</v>
      </c>
      <c r="COR4" s="57">
        <f>'REG y VAL POE - AESR - ESR'!P57</f>
        <v>0</v>
      </c>
      <c r="COS4" s="57">
        <f>'REG y VAL POE - AESR - ESR'!Q57</f>
        <v>0</v>
      </c>
      <c r="COT4" s="57">
        <f>'REG y VAL POE - AESR - ESR'!R57</f>
        <v>0</v>
      </c>
      <c r="COU4" s="56">
        <f>'REG y VAL POE - AESR - ESR'!S57</f>
        <v>0</v>
      </c>
      <c r="COV4" s="57">
        <f>'REG y VAL POE - AESR - ESR'!T57</f>
        <v>0</v>
      </c>
      <c r="COW4" s="57">
        <f>'REG y VAL POE - AESR - ESR'!U57</f>
        <v>0</v>
      </c>
      <c r="COX4" s="56">
        <f>'REG y VAL POE - AESR - ESR'!V57</f>
        <v>0</v>
      </c>
      <c r="COY4" s="57">
        <f>'REG y VAL POE - AESR - ESR'!W57</f>
        <v>0</v>
      </c>
      <c r="COZ4" s="56">
        <f>'REG y VAL POE - AESR - ESR'!X57</f>
        <v>0</v>
      </c>
      <c r="CPA4" s="56">
        <f>'REG y VAL POE - AESR - ESR'!Y57</f>
        <v>0</v>
      </c>
      <c r="CPB4" s="57">
        <f>'REG y VAL POE - AESR - ESR'!Z57</f>
        <v>0</v>
      </c>
      <c r="CPC4" s="57">
        <f>'REG y VAL POE - AESR - ESR'!AA57</f>
        <v>0</v>
      </c>
      <c r="CPD4" s="57">
        <f>'REG y VAL POE - AESR - ESR'!AB57</f>
        <v>0</v>
      </c>
      <c r="CPE4" s="56">
        <f>'REG y VAL POE - AESR - ESR'!AC57</f>
        <v>0</v>
      </c>
      <c r="CPF4" s="57">
        <f>'REG y VAL POE - AESR - ESR'!AD57</f>
        <v>0</v>
      </c>
      <c r="CPG4" s="57">
        <f>'REG y VAL POE - AESR - ESR'!AE57</f>
        <v>0</v>
      </c>
      <c r="CPH4" s="56">
        <f>'REG y VAL POE - AESR - ESR'!AF57</f>
        <v>0</v>
      </c>
      <c r="CPI4" s="57">
        <f>'REG y VAL POE - AESR - ESR'!AG57</f>
        <v>0</v>
      </c>
      <c r="CPJ4" s="56">
        <f>'REG y VAL POE - AESR - ESR'!AH57</f>
        <v>0</v>
      </c>
      <c r="CPK4" s="56">
        <f>'REG y VAL POE - AESR - ESR'!AI57</f>
        <v>0</v>
      </c>
      <c r="CPL4" s="57">
        <f>'REG y VAL POE - AESR - ESR'!AJ57</f>
        <v>0</v>
      </c>
      <c r="CPM4" s="57">
        <f>'REG y VAL POE - AESR - ESR'!AK57</f>
        <v>0</v>
      </c>
      <c r="CPN4" s="57">
        <f>'REG y VAL POE - AESR - ESR'!AL57</f>
        <v>0</v>
      </c>
      <c r="CPO4" s="56">
        <f>'REG y VAL POE - AESR - ESR'!AM57</f>
        <v>0</v>
      </c>
      <c r="CPP4" s="57">
        <f>'REG y VAL POE - AESR - ESR'!AN57</f>
        <v>0</v>
      </c>
      <c r="CPQ4" s="57">
        <f>'REG y VAL POE - AESR - ESR'!AO57</f>
        <v>0</v>
      </c>
      <c r="CPR4" s="56">
        <f>'REG y VAL POE - AESR - ESR'!AP57</f>
        <v>0</v>
      </c>
      <c r="CPS4" s="57">
        <f>'REG y VAL POE - AESR - ESR'!AQ57</f>
        <v>0</v>
      </c>
      <c r="CPT4" s="56">
        <f>'REG y VAL POE - AESR - ESR'!AR57</f>
        <v>0</v>
      </c>
      <c r="CPU4" s="56">
        <f>'REG y VAL POE - AESR - ESR'!AS57</f>
        <v>0</v>
      </c>
      <c r="CPV4" s="55">
        <f>'REG y VAL POE - AESR - ESR'!B58</f>
        <v>0</v>
      </c>
      <c r="CPW4" s="57">
        <f>'REG y VAL POE - AESR - ESR'!C58</f>
        <v>0</v>
      </c>
      <c r="CPX4" s="56">
        <f>'REG y VAL POE - AESR - ESR'!D58</f>
        <v>0</v>
      </c>
      <c r="CPY4" s="57">
        <f>'REG y VAL POE - AESR - ESR'!E58</f>
        <v>0</v>
      </c>
      <c r="CPZ4" s="56">
        <f>'REG y VAL POE - AESR - ESR'!F58</f>
        <v>0</v>
      </c>
      <c r="CQA4" s="56">
        <f>'REG y VAL POE - AESR - ESR'!G58</f>
        <v>0</v>
      </c>
      <c r="CQB4" s="56">
        <f>'REG y VAL POE - AESR - ESR'!H58</f>
        <v>0</v>
      </c>
      <c r="CQC4" s="57">
        <f>'REG y VAL POE - AESR - ESR'!I58</f>
        <v>0</v>
      </c>
      <c r="CQD4" s="57">
        <f>'REG y VAL POE - AESR - ESR'!J58</f>
        <v>0</v>
      </c>
      <c r="CQE4" s="57">
        <f>'REG y VAL POE - AESR - ESR'!K58</f>
        <v>0</v>
      </c>
      <c r="CQF4" s="57">
        <f>'REG y VAL POE - AESR - ESR'!L58</f>
        <v>0</v>
      </c>
      <c r="CQG4" s="57">
        <f>'REG y VAL POE - AESR - ESR'!M58</f>
        <v>0</v>
      </c>
      <c r="CQH4" s="57">
        <f>'REG y VAL POE - AESR - ESR'!N58</f>
        <v>0</v>
      </c>
      <c r="CQI4" s="57">
        <f>'REG y VAL POE - AESR - ESR'!O58</f>
        <v>0</v>
      </c>
      <c r="CQJ4" s="57">
        <f>'REG y VAL POE - AESR - ESR'!P58</f>
        <v>0</v>
      </c>
      <c r="CQK4" s="57">
        <f>'REG y VAL POE - AESR - ESR'!Q58</f>
        <v>0</v>
      </c>
      <c r="CQL4" s="57">
        <f>'REG y VAL POE - AESR - ESR'!R58</f>
        <v>0</v>
      </c>
      <c r="CQM4" s="57">
        <f>'REG y VAL POE - AESR - ESR'!S58</f>
        <v>0</v>
      </c>
      <c r="CQN4" s="57">
        <f>'REG y VAL POE - AESR - ESR'!T58</f>
        <v>0</v>
      </c>
      <c r="CQO4" s="57">
        <f>'REG y VAL POE - AESR - ESR'!U58</f>
        <v>0</v>
      </c>
      <c r="CQP4" s="57">
        <f>'REG y VAL POE - AESR - ESR'!V58</f>
        <v>0</v>
      </c>
      <c r="CQQ4" s="57">
        <f>'REG y VAL POE - AESR - ESR'!W58</f>
        <v>0</v>
      </c>
      <c r="CQR4" s="57">
        <f>'REG y VAL POE - AESR - ESR'!X58</f>
        <v>0</v>
      </c>
      <c r="CQS4" s="57">
        <f>'REG y VAL POE - AESR - ESR'!Y58</f>
        <v>0</v>
      </c>
      <c r="CQT4" s="57">
        <f>'REG y VAL POE - AESR - ESR'!Z58</f>
        <v>0</v>
      </c>
      <c r="CQU4" s="57">
        <f>'REG y VAL POE - AESR - ESR'!AA58</f>
        <v>0</v>
      </c>
      <c r="CQV4" s="57">
        <f>'REG y VAL POE - AESR - ESR'!AB58</f>
        <v>0</v>
      </c>
      <c r="CQW4" s="57">
        <f>'REG y VAL POE - AESR - ESR'!AC58</f>
        <v>0</v>
      </c>
      <c r="CQX4" s="57">
        <f>'REG y VAL POE - AESR - ESR'!AD58</f>
        <v>0</v>
      </c>
      <c r="CQY4" s="57">
        <f>'REG y VAL POE - AESR - ESR'!AE58</f>
        <v>0</v>
      </c>
      <c r="CQZ4" s="57">
        <f>'REG y VAL POE - AESR - ESR'!AF58</f>
        <v>0</v>
      </c>
      <c r="CRA4" s="57">
        <f>'REG y VAL POE - AESR - ESR'!AG58</f>
        <v>0</v>
      </c>
      <c r="CRB4" s="57">
        <f>'REG y VAL POE - AESR - ESR'!AH58</f>
        <v>0</v>
      </c>
      <c r="CRC4" s="57">
        <f>'REG y VAL POE - AESR - ESR'!AI58</f>
        <v>0</v>
      </c>
      <c r="CRD4" s="57">
        <f>'REG y VAL POE - AESR - ESR'!AJ58</f>
        <v>0</v>
      </c>
      <c r="CRE4" s="57">
        <f>'REG y VAL POE - AESR - ESR'!AK58</f>
        <v>0</v>
      </c>
      <c r="CRF4" s="57">
        <f>'REG y VAL POE - AESR - ESR'!AL58</f>
        <v>0</v>
      </c>
      <c r="CRG4" s="57">
        <f>'REG y VAL POE - AESR - ESR'!AM58</f>
        <v>0</v>
      </c>
      <c r="CRH4" s="57">
        <f>'REG y VAL POE - AESR - ESR'!AN58</f>
        <v>0</v>
      </c>
      <c r="CRI4" s="57">
        <f>'REG y VAL POE - AESR - ESR'!AO58</f>
        <v>0</v>
      </c>
      <c r="CRJ4" s="57">
        <f>'REG y VAL POE - AESR - ESR'!AP58</f>
        <v>0</v>
      </c>
      <c r="CRK4" s="57">
        <f>'REG y VAL POE - AESR - ESR'!AQ58</f>
        <v>0</v>
      </c>
      <c r="CRL4" s="57">
        <f>'REG y VAL POE - AESR - ESR'!AR58</f>
        <v>0</v>
      </c>
      <c r="CRM4" s="57">
        <f>'REG y VAL POE - AESR - ESR'!AS58</f>
        <v>0</v>
      </c>
      <c r="CRN4" s="55">
        <f>'REG y VAL POE - AESR - ESR'!B59</f>
        <v>0</v>
      </c>
      <c r="CRO4" s="56">
        <f>'REG y VAL POE - AESR - ESR'!C59</f>
        <v>0</v>
      </c>
      <c r="CRP4" s="57">
        <f>'REG y VAL POE - AESR - ESR'!D59</f>
        <v>0</v>
      </c>
      <c r="CRQ4" s="57">
        <f>'REG y VAL POE - AESR - ESR'!E59</f>
        <v>0</v>
      </c>
      <c r="CRR4" s="57">
        <f>'REG y VAL POE - AESR - ESR'!F59</f>
        <v>0</v>
      </c>
      <c r="CRS4" s="57">
        <f>'REG y VAL POE - AESR - ESR'!G59</f>
        <v>0</v>
      </c>
      <c r="CRT4" s="57">
        <f>'REG y VAL POE - AESR - ESR'!H59</f>
        <v>0</v>
      </c>
      <c r="CRU4" s="56">
        <f>'REG y VAL POE - AESR - ESR'!I59</f>
        <v>0</v>
      </c>
      <c r="CRV4" s="57">
        <f>'REG y VAL POE - AESR - ESR'!J59</f>
        <v>0</v>
      </c>
      <c r="CRW4" s="57">
        <f>'REG y VAL POE - AESR - ESR'!K59</f>
        <v>0</v>
      </c>
      <c r="CRX4" s="56">
        <f>'REG y VAL POE - AESR - ESR'!L59</f>
        <v>0</v>
      </c>
      <c r="CRY4" s="57">
        <f>'REG y VAL POE - AESR - ESR'!M59</f>
        <v>0</v>
      </c>
      <c r="CRZ4" s="56">
        <f>'REG y VAL POE - AESR - ESR'!N59</f>
        <v>0</v>
      </c>
      <c r="CSA4" s="56">
        <f>'REG y VAL POE - AESR - ESR'!O59</f>
        <v>0</v>
      </c>
      <c r="CSB4" s="57">
        <f>'REG y VAL POE - AESR - ESR'!P59</f>
        <v>0</v>
      </c>
      <c r="CSC4" s="57">
        <f>'REG y VAL POE - AESR - ESR'!Q59</f>
        <v>0</v>
      </c>
      <c r="CSD4" s="57">
        <f>'REG y VAL POE - AESR - ESR'!R59</f>
        <v>0</v>
      </c>
      <c r="CSE4" s="56">
        <f>'REG y VAL POE - AESR - ESR'!S59</f>
        <v>0</v>
      </c>
      <c r="CSF4" s="57">
        <f>'REG y VAL POE - AESR - ESR'!T59</f>
        <v>0</v>
      </c>
      <c r="CSG4" s="57">
        <f>'REG y VAL POE - AESR - ESR'!U59</f>
        <v>0</v>
      </c>
      <c r="CSH4" s="56">
        <f>'REG y VAL POE - AESR - ESR'!V59</f>
        <v>0</v>
      </c>
      <c r="CSI4" s="57">
        <f>'REG y VAL POE - AESR - ESR'!W59</f>
        <v>0</v>
      </c>
      <c r="CSJ4" s="56">
        <f>'REG y VAL POE - AESR - ESR'!X59</f>
        <v>0</v>
      </c>
      <c r="CSK4" s="56">
        <f>'REG y VAL POE - AESR - ESR'!Y59</f>
        <v>0</v>
      </c>
      <c r="CSL4" s="57">
        <f>'REG y VAL POE - AESR - ESR'!Z59</f>
        <v>0</v>
      </c>
      <c r="CSM4" s="57">
        <f>'REG y VAL POE - AESR - ESR'!AA59</f>
        <v>0</v>
      </c>
      <c r="CSN4" s="57">
        <f>'REG y VAL POE - AESR - ESR'!AB59</f>
        <v>0</v>
      </c>
      <c r="CSO4" s="56">
        <f>'REG y VAL POE - AESR - ESR'!AC59</f>
        <v>0</v>
      </c>
      <c r="CSP4" s="57">
        <f>'REG y VAL POE - AESR - ESR'!AD59</f>
        <v>0</v>
      </c>
      <c r="CSQ4" s="57">
        <f>'REG y VAL POE - AESR - ESR'!AE59</f>
        <v>0</v>
      </c>
      <c r="CSR4" s="56">
        <f>'REG y VAL POE - AESR - ESR'!AF59</f>
        <v>0</v>
      </c>
      <c r="CSS4" s="57">
        <f>'REG y VAL POE - AESR - ESR'!AG59</f>
        <v>0</v>
      </c>
      <c r="CST4" s="56">
        <f>'REG y VAL POE - AESR - ESR'!AH59</f>
        <v>0</v>
      </c>
      <c r="CSU4" s="56">
        <f>'REG y VAL POE - AESR - ESR'!AI59</f>
        <v>0</v>
      </c>
      <c r="CSV4" s="57">
        <f>'REG y VAL POE - AESR - ESR'!AJ59</f>
        <v>0</v>
      </c>
      <c r="CSW4" s="57">
        <f>'REG y VAL POE - AESR - ESR'!AK59</f>
        <v>0</v>
      </c>
      <c r="CSX4" s="57">
        <f>'REG y VAL POE - AESR - ESR'!AL59</f>
        <v>0</v>
      </c>
      <c r="CSY4" s="56">
        <f>'REG y VAL POE - AESR - ESR'!AM59</f>
        <v>0</v>
      </c>
      <c r="CSZ4" s="57">
        <f>'REG y VAL POE - AESR - ESR'!AN59</f>
        <v>0</v>
      </c>
      <c r="CTA4" s="57">
        <f>'REG y VAL POE - AESR - ESR'!AO59</f>
        <v>0</v>
      </c>
      <c r="CTB4" s="56">
        <f>'REG y VAL POE - AESR - ESR'!AP59</f>
        <v>0</v>
      </c>
      <c r="CTC4" s="57">
        <f>'REG y VAL POE - AESR - ESR'!AQ59</f>
        <v>0</v>
      </c>
      <c r="CTD4" s="56">
        <f>'REG y VAL POE - AESR - ESR'!AR59</f>
        <v>0</v>
      </c>
      <c r="CTE4" s="56">
        <f>'REG y VAL POE - AESR - ESR'!AS59</f>
        <v>0</v>
      </c>
      <c r="CTF4" s="55">
        <f>'REG y VAL POE - AESR - ESR'!B60</f>
        <v>0</v>
      </c>
      <c r="CTG4" s="57">
        <f>'REG y VAL POE - AESR - ESR'!C60</f>
        <v>0</v>
      </c>
      <c r="CTH4" s="56">
        <f>'REG y VAL POE - AESR - ESR'!D60</f>
        <v>0</v>
      </c>
      <c r="CTI4" s="57">
        <f>'REG y VAL POE - AESR - ESR'!E60</f>
        <v>0</v>
      </c>
      <c r="CTJ4" s="56">
        <f>'REG y VAL POE - AESR - ESR'!F60</f>
        <v>0</v>
      </c>
      <c r="CTK4" s="56">
        <f>'REG y VAL POE - AESR - ESR'!G60</f>
        <v>0</v>
      </c>
      <c r="CTL4" s="56">
        <f>'REG y VAL POE - AESR - ESR'!H60</f>
        <v>0</v>
      </c>
      <c r="CTM4" s="57">
        <f>'REG y VAL POE - AESR - ESR'!I60</f>
        <v>0</v>
      </c>
      <c r="CTN4" s="57">
        <f>'REG y VAL POE - AESR - ESR'!J60</f>
        <v>0</v>
      </c>
      <c r="CTO4" s="57">
        <f>'REG y VAL POE - AESR - ESR'!K60</f>
        <v>0</v>
      </c>
      <c r="CTP4" s="57">
        <f>'REG y VAL POE - AESR - ESR'!L60</f>
        <v>0</v>
      </c>
      <c r="CTQ4" s="57">
        <f>'REG y VAL POE - AESR - ESR'!M60</f>
        <v>0</v>
      </c>
      <c r="CTR4" s="57">
        <f>'REG y VAL POE - AESR - ESR'!N60</f>
        <v>0</v>
      </c>
      <c r="CTS4" s="57">
        <f>'REG y VAL POE - AESR - ESR'!O60</f>
        <v>0</v>
      </c>
      <c r="CTT4" s="57">
        <f>'REG y VAL POE - AESR - ESR'!P60</f>
        <v>0</v>
      </c>
      <c r="CTU4" s="57">
        <f>'REG y VAL POE - AESR - ESR'!Q60</f>
        <v>0</v>
      </c>
      <c r="CTV4" s="57">
        <f>'REG y VAL POE - AESR - ESR'!R60</f>
        <v>0</v>
      </c>
      <c r="CTW4" s="57">
        <f>'REG y VAL POE - AESR - ESR'!S60</f>
        <v>0</v>
      </c>
      <c r="CTX4" s="57">
        <f>'REG y VAL POE - AESR - ESR'!T60</f>
        <v>0</v>
      </c>
      <c r="CTY4" s="57">
        <f>'REG y VAL POE - AESR - ESR'!U60</f>
        <v>0</v>
      </c>
      <c r="CTZ4" s="57">
        <f>'REG y VAL POE - AESR - ESR'!V60</f>
        <v>0</v>
      </c>
      <c r="CUA4" s="57">
        <f>'REG y VAL POE - AESR - ESR'!W60</f>
        <v>0</v>
      </c>
      <c r="CUB4" s="57">
        <f>'REG y VAL POE - AESR - ESR'!X60</f>
        <v>0</v>
      </c>
      <c r="CUC4" s="57">
        <f>'REG y VAL POE - AESR - ESR'!Y60</f>
        <v>0</v>
      </c>
      <c r="CUD4" s="57">
        <f>'REG y VAL POE - AESR - ESR'!Z60</f>
        <v>0</v>
      </c>
      <c r="CUE4" s="57">
        <f>'REG y VAL POE - AESR - ESR'!AA60</f>
        <v>0</v>
      </c>
      <c r="CUF4" s="57">
        <f>'REG y VAL POE - AESR - ESR'!AB60</f>
        <v>0</v>
      </c>
      <c r="CUG4" s="57">
        <f>'REG y VAL POE - AESR - ESR'!AC60</f>
        <v>0</v>
      </c>
      <c r="CUH4" s="57">
        <f>'REG y VAL POE - AESR - ESR'!AD60</f>
        <v>0</v>
      </c>
      <c r="CUI4" s="57">
        <f>'REG y VAL POE - AESR - ESR'!AE60</f>
        <v>0</v>
      </c>
      <c r="CUJ4" s="57">
        <f>'REG y VAL POE - AESR - ESR'!AF60</f>
        <v>0</v>
      </c>
      <c r="CUK4" s="57">
        <f>'REG y VAL POE - AESR - ESR'!AG60</f>
        <v>0</v>
      </c>
      <c r="CUL4" s="57">
        <f>'REG y VAL POE - AESR - ESR'!AH60</f>
        <v>0</v>
      </c>
      <c r="CUM4" s="57">
        <f>'REG y VAL POE - AESR - ESR'!AI60</f>
        <v>0</v>
      </c>
      <c r="CUN4" s="57">
        <f>'REG y VAL POE - AESR - ESR'!AJ60</f>
        <v>0</v>
      </c>
      <c r="CUO4" s="57">
        <f>'REG y VAL POE - AESR - ESR'!AK60</f>
        <v>0</v>
      </c>
      <c r="CUP4" s="57">
        <f>'REG y VAL POE - AESR - ESR'!AL60</f>
        <v>0</v>
      </c>
      <c r="CUQ4" s="57">
        <f>'REG y VAL POE - AESR - ESR'!AM60</f>
        <v>0</v>
      </c>
      <c r="CUR4" s="57">
        <f>'REG y VAL POE - AESR - ESR'!AN60</f>
        <v>0</v>
      </c>
      <c r="CUS4" s="57">
        <f>'REG y VAL POE - AESR - ESR'!AO60</f>
        <v>0</v>
      </c>
      <c r="CUT4" s="57">
        <f>'REG y VAL POE - AESR - ESR'!AP60</f>
        <v>0</v>
      </c>
      <c r="CUU4" s="57">
        <f>'REG y VAL POE - AESR - ESR'!AQ60</f>
        <v>0</v>
      </c>
      <c r="CUV4" s="57">
        <f>'REG y VAL POE - AESR - ESR'!AR60</f>
        <v>0</v>
      </c>
      <c r="CUW4" s="57">
        <f>'REG y VAL POE - AESR - ESR'!AS60</f>
        <v>0</v>
      </c>
      <c r="CUX4" s="55">
        <f>'REG y VAL POE - AESR - ESR'!B61</f>
        <v>0</v>
      </c>
      <c r="CUY4" s="56">
        <f>'REG y VAL POE - AESR - ESR'!C61</f>
        <v>0</v>
      </c>
      <c r="CUZ4" s="57">
        <f>'REG y VAL POE - AESR - ESR'!D61</f>
        <v>0</v>
      </c>
      <c r="CVA4" s="57">
        <f>'REG y VAL POE - AESR - ESR'!E61</f>
        <v>0</v>
      </c>
      <c r="CVB4" s="57">
        <f>'REG y VAL POE - AESR - ESR'!F61</f>
        <v>0</v>
      </c>
      <c r="CVC4" s="57">
        <f>'REG y VAL POE - AESR - ESR'!G61</f>
        <v>0</v>
      </c>
      <c r="CVD4" s="57">
        <f>'REG y VAL POE - AESR - ESR'!H61</f>
        <v>0</v>
      </c>
      <c r="CVE4" s="56">
        <f>'REG y VAL POE - AESR - ESR'!I61</f>
        <v>0</v>
      </c>
      <c r="CVF4" s="57">
        <f>'REG y VAL POE - AESR - ESR'!J61</f>
        <v>0</v>
      </c>
      <c r="CVG4" s="57">
        <f>'REG y VAL POE - AESR - ESR'!K61</f>
        <v>0</v>
      </c>
      <c r="CVH4" s="56">
        <f>'REG y VAL POE - AESR - ESR'!L61</f>
        <v>0</v>
      </c>
      <c r="CVI4" s="57">
        <f>'REG y VAL POE - AESR - ESR'!M61</f>
        <v>0</v>
      </c>
      <c r="CVJ4" s="56">
        <f>'REG y VAL POE - AESR - ESR'!N61</f>
        <v>0</v>
      </c>
      <c r="CVK4" s="56">
        <f>'REG y VAL POE - AESR - ESR'!O61</f>
        <v>0</v>
      </c>
      <c r="CVL4" s="57">
        <f>'REG y VAL POE - AESR - ESR'!P61</f>
        <v>0</v>
      </c>
      <c r="CVM4" s="57">
        <f>'REG y VAL POE - AESR - ESR'!Q61</f>
        <v>0</v>
      </c>
      <c r="CVN4" s="57">
        <f>'REG y VAL POE - AESR - ESR'!R61</f>
        <v>0</v>
      </c>
      <c r="CVO4" s="56">
        <f>'REG y VAL POE - AESR - ESR'!S61</f>
        <v>0</v>
      </c>
      <c r="CVP4" s="57">
        <f>'REG y VAL POE - AESR - ESR'!T61</f>
        <v>0</v>
      </c>
      <c r="CVQ4" s="57">
        <f>'REG y VAL POE - AESR - ESR'!U61</f>
        <v>0</v>
      </c>
      <c r="CVR4" s="56">
        <f>'REG y VAL POE - AESR - ESR'!V61</f>
        <v>0</v>
      </c>
      <c r="CVS4" s="57">
        <f>'REG y VAL POE - AESR - ESR'!W61</f>
        <v>0</v>
      </c>
      <c r="CVT4" s="56">
        <f>'REG y VAL POE - AESR - ESR'!X61</f>
        <v>0</v>
      </c>
      <c r="CVU4" s="56">
        <f>'REG y VAL POE - AESR - ESR'!Y61</f>
        <v>0</v>
      </c>
      <c r="CVV4" s="57">
        <f>'REG y VAL POE - AESR - ESR'!Z61</f>
        <v>0</v>
      </c>
      <c r="CVW4" s="57">
        <f>'REG y VAL POE - AESR - ESR'!AA61</f>
        <v>0</v>
      </c>
      <c r="CVX4" s="57">
        <f>'REG y VAL POE - AESR - ESR'!AB61</f>
        <v>0</v>
      </c>
      <c r="CVY4" s="56">
        <f>'REG y VAL POE - AESR - ESR'!AC61</f>
        <v>0</v>
      </c>
      <c r="CVZ4" s="57">
        <f>'REG y VAL POE - AESR - ESR'!AD61</f>
        <v>0</v>
      </c>
      <c r="CWA4" s="57">
        <f>'REG y VAL POE - AESR - ESR'!AE61</f>
        <v>0</v>
      </c>
      <c r="CWB4" s="56">
        <f>'REG y VAL POE - AESR - ESR'!AF61</f>
        <v>0</v>
      </c>
      <c r="CWC4" s="57">
        <f>'REG y VAL POE - AESR - ESR'!AG61</f>
        <v>0</v>
      </c>
      <c r="CWD4" s="56">
        <f>'REG y VAL POE - AESR - ESR'!AH61</f>
        <v>0</v>
      </c>
      <c r="CWE4" s="56">
        <f>'REG y VAL POE - AESR - ESR'!AI61</f>
        <v>0</v>
      </c>
      <c r="CWF4" s="57">
        <f>'REG y VAL POE - AESR - ESR'!AJ61</f>
        <v>0</v>
      </c>
      <c r="CWG4" s="57">
        <f>'REG y VAL POE - AESR - ESR'!AK61</f>
        <v>0</v>
      </c>
      <c r="CWH4" s="57">
        <f>'REG y VAL POE - AESR - ESR'!AL61</f>
        <v>0</v>
      </c>
      <c r="CWI4" s="56">
        <f>'REG y VAL POE - AESR - ESR'!AM61</f>
        <v>0</v>
      </c>
      <c r="CWJ4" s="57">
        <f>'REG y VAL POE - AESR - ESR'!AN61</f>
        <v>0</v>
      </c>
      <c r="CWK4" s="57">
        <f>'REG y VAL POE - AESR - ESR'!AO61</f>
        <v>0</v>
      </c>
      <c r="CWL4" s="56">
        <f>'REG y VAL POE - AESR - ESR'!AP61</f>
        <v>0</v>
      </c>
      <c r="CWM4" s="57">
        <f>'REG y VAL POE - AESR - ESR'!AQ61</f>
        <v>0</v>
      </c>
      <c r="CWN4" s="56">
        <f>'REG y VAL POE - AESR - ESR'!AR61</f>
        <v>0</v>
      </c>
      <c r="CWO4" s="56">
        <f>'REG y VAL POE - AESR - ESR'!AS61</f>
        <v>0</v>
      </c>
      <c r="CWP4" s="55">
        <f>'REG y VAL POE - AESR - ESR'!B62</f>
        <v>0</v>
      </c>
      <c r="CWQ4" s="57">
        <f>'REG y VAL POE - AESR - ESR'!C62</f>
        <v>0</v>
      </c>
      <c r="CWR4" s="56">
        <f>'REG y VAL POE - AESR - ESR'!D62</f>
        <v>0</v>
      </c>
      <c r="CWS4" s="57">
        <f>'REG y VAL POE - AESR - ESR'!E62</f>
        <v>0</v>
      </c>
      <c r="CWT4" s="56">
        <f>'REG y VAL POE - AESR - ESR'!F62</f>
        <v>0</v>
      </c>
      <c r="CWU4" s="56">
        <f>'REG y VAL POE - AESR - ESR'!G62</f>
        <v>0</v>
      </c>
      <c r="CWV4" s="56">
        <f>'REG y VAL POE - AESR - ESR'!H62</f>
        <v>0</v>
      </c>
      <c r="CWW4" s="57">
        <f>'REG y VAL POE - AESR - ESR'!I62</f>
        <v>0</v>
      </c>
      <c r="CWX4" s="57">
        <f>'REG y VAL POE - AESR - ESR'!J62</f>
        <v>0</v>
      </c>
      <c r="CWY4" s="57">
        <f>'REG y VAL POE - AESR - ESR'!K62</f>
        <v>0</v>
      </c>
      <c r="CWZ4" s="57">
        <f>'REG y VAL POE - AESR - ESR'!L62</f>
        <v>0</v>
      </c>
      <c r="CXA4" s="57">
        <f>'REG y VAL POE - AESR - ESR'!M62</f>
        <v>0</v>
      </c>
      <c r="CXB4" s="57">
        <f>'REG y VAL POE - AESR - ESR'!N62</f>
        <v>0</v>
      </c>
      <c r="CXC4" s="57">
        <f>'REG y VAL POE - AESR - ESR'!O62</f>
        <v>0</v>
      </c>
      <c r="CXD4" s="57">
        <f>'REG y VAL POE - AESR - ESR'!P62</f>
        <v>0</v>
      </c>
      <c r="CXE4" s="57">
        <f>'REG y VAL POE - AESR - ESR'!Q62</f>
        <v>0</v>
      </c>
      <c r="CXF4" s="57">
        <f>'REG y VAL POE - AESR - ESR'!R62</f>
        <v>0</v>
      </c>
      <c r="CXG4" s="57">
        <f>'REG y VAL POE - AESR - ESR'!S62</f>
        <v>0</v>
      </c>
      <c r="CXH4" s="57">
        <f>'REG y VAL POE - AESR - ESR'!T62</f>
        <v>0</v>
      </c>
      <c r="CXI4" s="57">
        <f>'REG y VAL POE - AESR - ESR'!U62</f>
        <v>0</v>
      </c>
      <c r="CXJ4" s="57">
        <f>'REG y VAL POE - AESR - ESR'!V62</f>
        <v>0</v>
      </c>
      <c r="CXK4" s="57">
        <f>'REG y VAL POE - AESR - ESR'!W62</f>
        <v>0</v>
      </c>
      <c r="CXL4" s="57">
        <f>'REG y VAL POE - AESR - ESR'!X62</f>
        <v>0</v>
      </c>
      <c r="CXM4" s="57">
        <f>'REG y VAL POE - AESR - ESR'!Y62</f>
        <v>0</v>
      </c>
      <c r="CXN4" s="57">
        <f>'REG y VAL POE - AESR - ESR'!Z62</f>
        <v>0</v>
      </c>
      <c r="CXO4" s="57">
        <f>'REG y VAL POE - AESR - ESR'!AA62</f>
        <v>0</v>
      </c>
      <c r="CXP4" s="57">
        <f>'REG y VAL POE - AESR - ESR'!AB62</f>
        <v>0</v>
      </c>
      <c r="CXQ4" s="57">
        <f>'REG y VAL POE - AESR - ESR'!AC62</f>
        <v>0</v>
      </c>
      <c r="CXR4" s="57">
        <f>'REG y VAL POE - AESR - ESR'!AD62</f>
        <v>0</v>
      </c>
      <c r="CXS4" s="57">
        <f>'REG y VAL POE - AESR - ESR'!AE62</f>
        <v>0</v>
      </c>
      <c r="CXT4" s="57">
        <f>'REG y VAL POE - AESR - ESR'!AF62</f>
        <v>0</v>
      </c>
      <c r="CXU4" s="57">
        <f>'REG y VAL POE - AESR - ESR'!AG62</f>
        <v>0</v>
      </c>
      <c r="CXV4" s="57">
        <f>'REG y VAL POE - AESR - ESR'!AH62</f>
        <v>0</v>
      </c>
      <c r="CXW4" s="57">
        <f>'REG y VAL POE - AESR - ESR'!AI62</f>
        <v>0</v>
      </c>
      <c r="CXX4" s="57">
        <f>'REG y VAL POE - AESR - ESR'!AJ62</f>
        <v>0</v>
      </c>
      <c r="CXY4" s="57">
        <f>'REG y VAL POE - AESR - ESR'!AK62</f>
        <v>0</v>
      </c>
      <c r="CXZ4" s="57">
        <f>'REG y VAL POE - AESR - ESR'!AL62</f>
        <v>0</v>
      </c>
      <c r="CYA4" s="57">
        <f>'REG y VAL POE - AESR - ESR'!AM62</f>
        <v>0</v>
      </c>
      <c r="CYB4" s="57">
        <f>'REG y VAL POE - AESR - ESR'!AN62</f>
        <v>0</v>
      </c>
      <c r="CYC4" s="57">
        <f>'REG y VAL POE - AESR - ESR'!AO62</f>
        <v>0</v>
      </c>
      <c r="CYD4" s="57">
        <f>'REG y VAL POE - AESR - ESR'!AP62</f>
        <v>0</v>
      </c>
      <c r="CYE4" s="57">
        <f>'REG y VAL POE - AESR - ESR'!AQ62</f>
        <v>0</v>
      </c>
      <c r="CYF4" s="57">
        <f>'REG y VAL POE - AESR - ESR'!AR62</f>
        <v>0</v>
      </c>
      <c r="CYG4" s="57">
        <f>'REG y VAL POE - AESR - ESR'!AS62</f>
        <v>0</v>
      </c>
      <c r="CYH4" s="55">
        <f>'REG y VAL POE - AESR - ESR'!B63</f>
        <v>0</v>
      </c>
      <c r="CYI4" s="56">
        <f>'REG y VAL POE - AESR - ESR'!C63</f>
        <v>0</v>
      </c>
      <c r="CYJ4" s="57">
        <f>'REG y VAL POE - AESR - ESR'!D63</f>
        <v>0</v>
      </c>
      <c r="CYK4" s="57">
        <f>'REG y VAL POE - AESR - ESR'!E63</f>
        <v>0</v>
      </c>
      <c r="CYL4" s="57">
        <f>'REG y VAL POE - AESR - ESR'!F63</f>
        <v>0</v>
      </c>
      <c r="CYM4" s="57">
        <f>'REG y VAL POE - AESR - ESR'!G63</f>
        <v>0</v>
      </c>
      <c r="CYN4" s="57">
        <f>'REG y VAL POE - AESR - ESR'!H63</f>
        <v>0</v>
      </c>
      <c r="CYO4" s="56">
        <f>'REG y VAL POE - AESR - ESR'!I63</f>
        <v>0</v>
      </c>
      <c r="CYP4" s="57">
        <f>'REG y VAL POE - AESR - ESR'!J63</f>
        <v>0</v>
      </c>
      <c r="CYQ4" s="57">
        <f>'REG y VAL POE - AESR - ESR'!K63</f>
        <v>0</v>
      </c>
      <c r="CYR4" s="56">
        <f>'REG y VAL POE - AESR - ESR'!L63</f>
        <v>0</v>
      </c>
      <c r="CYS4" s="57">
        <f>'REG y VAL POE - AESR - ESR'!M63</f>
        <v>0</v>
      </c>
      <c r="CYT4" s="56">
        <f>'REG y VAL POE - AESR - ESR'!N63</f>
        <v>0</v>
      </c>
      <c r="CYU4" s="56">
        <f>'REG y VAL POE - AESR - ESR'!O63</f>
        <v>0</v>
      </c>
      <c r="CYV4" s="57">
        <f>'REG y VAL POE - AESR - ESR'!P63</f>
        <v>0</v>
      </c>
      <c r="CYW4" s="57">
        <f>'REG y VAL POE - AESR - ESR'!Q63</f>
        <v>0</v>
      </c>
      <c r="CYX4" s="57">
        <f>'REG y VAL POE - AESR - ESR'!R63</f>
        <v>0</v>
      </c>
      <c r="CYY4" s="56">
        <f>'REG y VAL POE - AESR - ESR'!S63</f>
        <v>0</v>
      </c>
      <c r="CYZ4" s="57">
        <f>'REG y VAL POE - AESR - ESR'!T63</f>
        <v>0</v>
      </c>
      <c r="CZA4" s="57">
        <f>'REG y VAL POE - AESR - ESR'!U63</f>
        <v>0</v>
      </c>
      <c r="CZB4" s="56">
        <f>'REG y VAL POE - AESR - ESR'!V63</f>
        <v>0</v>
      </c>
      <c r="CZC4" s="57">
        <f>'REG y VAL POE - AESR - ESR'!W63</f>
        <v>0</v>
      </c>
      <c r="CZD4" s="56">
        <f>'REG y VAL POE - AESR - ESR'!X63</f>
        <v>0</v>
      </c>
      <c r="CZE4" s="56">
        <f>'REG y VAL POE - AESR - ESR'!Y63</f>
        <v>0</v>
      </c>
      <c r="CZF4" s="57">
        <f>'REG y VAL POE - AESR - ESR'!Z63</f>
        <v>0</v>
      </c>
      <c r="CZG4" s="57">
        <f>'REG y VAL POE - AESR - ESR'!AA63</f>
        <v>0</v>
      </c>
      <c r="CZH4" s="57">
        <f>'REG y VAL POE - AESR - ESR'!AB63</f>
        <v>0</v>
      </c>
      <c r="CZI4" s="56">
        <f>'REG y VAL POE - AESR - ESR'!AC63</f>
        <v>0</v>
      </c>
      <c r="CZJ4" s="57">
        <f>'REG y VAL POE - AESR - ESR'!AD63</f>
        <v>0</v>
      </c>
      <c r="CZK4" s="57">
        <f>'REG y VAL POE - AESR - ESR'!AE63</f>
        <v>0</v>
      </c>
      <c r="CZL4" s="56">
        <f>'REG y VAL POE - AESR - ESR'!AF63</f>
        <v>0</v>
      </c>
      <c r="CZM4" s="57">
        <f>'REG y VAL POE - AESR - ESR'!AG63</f>
        <v>0</v>
      </c>
      <c r="CZN4" s="56">
        <f>'REG y VAL POE - AESR - ESR'!AH63</f>
        <v>0</v>
      </c>
      <c r="CZO4" s="56">
        <f>'REG y VAL POE - AESR - ESR'!AI63</f>
        <v>0</v>
      </c>
      <c r="CZP4" s="57">
        <f>'REG y VAL POE - AESR - ESR'!AJ63</f>
        <v>0</v>
      </c>
      <c r="CZQ4" s="57">
        <f>'REG y VAL POE - AESR - ESR'!AK63</f>
        <v>0</v>
      </c>
      <c r="CZR4" s="57">
        <f>'REG y VAL POE - AESR - ESR'!AL63</f>
        <v>0</v>
      </c>
      <c r="CZS4" s="56">
        <f>'REG y VAL POE - AESR - ESR'!AM63</f>
        <v>0</v>
      </c>
      <c r="CZT4" s="57">
        <f>'REG y VAL POE - AESR - ESR'!AN63</f>
        <v>0</v>
      </c>
      <c r="CZU4" s="57">
        <f>'REG y VAL POE - AESR - ESR'!AO63</f>
        <v>0</v>
      </c>
      <c r="CZV4" s="56">
        <f>'REG y VAL POE - AESR - ESR'!AP63</f>
        <v>0</v>
      </c>
      <c r="CZW4" s="57">
        <f>'REG y VAL POE - AESR - ESR'!AQ63</f>
        <v>0</v>
      </c>
      <c r="CZX4" s="56">
        <f>'REG y VAL POE - AESR - ESR'!AR63</f>
        <v>0</v>
      </c>
      <c r="CZY4" s="56">
        <f>'REG y VAL POE - AESR - ESR'!AS63</f>
        <v>0</v>
      </c>
      <c r="CZZ4" s="55">
        <f>'REG y VAL POE - AESR - ESR'!B64</f>
        <v>0</v>
      </c>
      <c r="DAA4" s="57">
        <f>'REG y VAL POE - AESR - ESR'!C64</f>
        <v>0</v>
      </c>
      <c r="DAB4" s="56">
        <f>'REG y VAL POE - AESR - ESR'!D64</f>
        <v>0</v>
      </c>
      <c r="DAC4" s="57">
        <f>'REG y VAL POE - AESR - ESR'!E64</f>
        <v>0</v>
      </c>
      <c r="DAD4" s="56">
        <f>'REG y VAL POE - AESR - ESR'!F64</f>
        <v>0</v>
      </c>
      <c r="DAE4" s="56">
        <f>'REG y VAL POE - AESR - ESR'!G64</f>
        <v>0</v>
      </c>
      <c r="DAF4" s="56">
        <f>'REG y VAL POE - AESR - ESR'!H64</f>
        <v>0</v>
      </c>
      <c r="DAG4" s="57">
        <f>'REG y VAL POE - AESR - ESR'!I64</f>
        <v>0</v>
      </c>
      <c r="DAH4" s="57">
        <f>'REG y VAL POE - AESR - ESR'!J64</f>
        <v>0</v>
      </c>
      <c r="DAI4" s="57">
        <f>'REG y VAL POE - AESR - ESR'!K64</f>
        <v>0</v>
      </c>
      <c r="DAJ4" s="57">
        <f>'REG y VAL POE - AESR - ESR'!L64</f>
        <v>0</v>
      </c>
      <c r="DAK4" s="57">
        <f>'REG y VAL POE - AESR - ESR'!M64</f>
        <v>0</v>
      </c>
      <c r="DAL4" s="57">
        <f>'REG y VAL POE - AESR - ESR'!N64</f>
        <v>0</v>
      </c>
      <c r="DAM4" s="57">
        <f>'REG y VAL POE - AESR - ESR'!O64</f>
        <v>0</v>
      </c>
      <c r="DAN4" s="57">
        <f>'REG y VAL POE - AESR - ESR'!P64</f>
        <v>0</v>
      </c>
      <c r="DAO4" s="57">
        <f>'REG y VAL POE - AESR - ESR'!Q64</f>
        <v>0</v>
      </c>
      <c r="DAP4" s="57">
        <f>'REG y VAL POE - AESR - ESR'!R64</f>
        <v>0</v>
      </c>
      <c r="DAQ4" s="57">
        <f>'REG y VAL POE - AESR - ESR'!S64</f>
        <v>0</v>
      </c>
      <c r="DAR4" s="57">
        <f>'REG y VAL POE - AESR - ESR'!T64</f>
        <v>0</v>
      </c>
      <c r="DAS4" s="57">
        <f>'REG y VAL POE - AESR - ESR'!U64</f>
        <v>0</v>
      </c>
      <c r="DAT4" s="57">
        <f>'REG y VAL POE - AESR - ESR'!V64</f>
        <v>0</v>
      </c>
      <c r="DAU4" s="57">
        <f>'REG y VAL POE - AESR - ESR'!W64</f>
        <v>0</v>
      </c>
      <c r="DAV4" s="57">
        <f>'REG y VAL POE - AESR - ESR'!X64</f>
        <v>0</v>
      </c>
      <c r="DAW4" s="57">
        <f>'REG y VAL POE - AESR - ESR'!Y64</f>
        <v>0</v>
      </c>
      <c r="DAX4" s="57">
        <f>'REG y VAL POE - AESR - ESR'!Z64</f>
        <v>0</v>
      </c>
      <c r="DAY4" s="57">
        <f>'REG y VAL POE - AESR - ESR'!AA64</f>
        <v>0</v>
      </c>
      <c r="DAZ4" s="57">
        <f>'REG y VAL POE - AESR - ESR'!AB64</f>
        <v>0</v>
      </c>
      <c r="DBA4" s="57">
        <f>'REG y VAL POE - AESR - ESR'!AC64</f>
        <v>0</v>
      </c>
      <c r="DBB4" s="57">
        <f>'REG y VAL POE - AESR - ESR'!AD64</f>
        <v>0</v>
      </c>
      <c r="DBC4" s="57">
        <f>'REG y VAL POE - AESR - ESR'!AE64</f>
        <v>0</v>
      </c>
      <c r="DBD4" s="57">
        <f>'REG y VAL POE - AESR - ESR'!AF64</f>
        <v>0</v>
      </c>
      <c r="DBE4" s="57">
        <f>'REG y VAL POE - AESR - ESR'!AG64</f>
        <v>0</v>
      </c>
      <c r="DBF4" s="57">
        <f>'REG y VAL POE - AESR - ESR'!AH64</f>
        <v>0</v>
      </c>
      <c r="DBG4" s="57">
        <f>'REG y VAL POE - AESR - ESR'!AI64</f>
        <v>0</v>
      </c>
      <c r="DBH4" s="57">
        <f>'REG y VAL POE - AESR - ESR'!AJ64</f>
        <v>0</v>
      </c>
      <c r="DBI4" s="57">
        <f>'REG y VAL POE - AESR - ESR'!AK64</f>
        <v>0</v>
      </c>
      <c r="DBJ4" s="57">
        <f>'REG y VAL POE - AESR - ESR'!AL64</f>
        <v>0</v>
      </c>
      <c r="DBK4" s="57">
        <f>'REG y VAL POE - AESR - ESR'!AM64</f>
        <v>0</v>
      </c>
      <c r="DBL4" s="57">
        <f>'REG y VAL POE - AESR - ESR'!AN64</f>
        <v>0</v>
      </c>
      <c r="DBM4" s="57">
        <f>'REG y VAL POE - AESR - ESR'!AO64</f>
        <v>0</v>
      </c>
      <c r="DBN4" s="57">
        <f>'REG y VAL POE - AESR - ESR'!AP64</f>
        <v>0</v>
      </c>
      <c r="DBO4" s="57">
        <f>'REG y VAL POE - AESR - ESR'!AQ64</f>
        <v>0</v>
      </c>
      <c r="DBP4" s="57">
        <f>'REG y VAL POE - AESR - ESR'!AR64</f>
        <v>0</v>
      </c>
      <c r="DBQ4" s="57">
        <f>'REG y VAL POE - AESR - ESR'!AS64</f>
        <v>0</v>
      </c>
      <c r="DBR4" s="55">
        <f>'REG y VAL POE - AESR - ESR'!B65</f>
        <v>0</v>
      </c>
      <c r="DBS4" s="56">
        <f>'REG y VAL POE - AESR - ESR'!C65</f>
        <v>0</v>
      </c>
      <c r="DBT4" s="57">
        <f>'REG y VAL POE - AESR - ESR'!D65</f>
        <v>0</v>
      </c>
      <c r="DBU4" s="57">
        <f>'REG y VAL POE - AESR - ESR'!E65</f>
        <v>0</v>
      </c>
      <c r="DBV4" s="57">
        <f>'REG y VAL POE - AESR - ESR'!F65</f>
        <v>0</v>
      </c>
      <c r="DBW4" s="57">
        <f>'REG y VAL POE - AESR - ESR'!G65</f>
        <v>0</v>
      </c>
      <c r="DBX4" s="57">
        <f>'REG y VAL POE - AESR - ESR'!H65</f>
        <v>0</v>
      </c>
      <c r="DBY4" s="56">
        <f>'REG y VAL POE - AESR - ESR'!I65</f>
        <v>0</v>
      </c>
      <c r="DBZ4" s="57">
        <f>'REG y VAL POE - AESR - ESR'!J65</f>
        <v>0</v>
      </c>
      <c r="DCA4" s="57">
        <f>'REG y VAL POE - AESR - ESR'!K65</f>
        <v>0</v>
      </c>
      <c r="DCB4" s="56">
        <f>'REG y VAL POE - AESR - ESR'!L65</f>
        <v>0</v>
      </c>
      <c r="DCC4" s="57">
        <f>'REG y VAL POE - AESR - ESR'!M65</f>
        <v>0</v>
      </c>
      <c r="DCD4" s="56">
        <f>'REG y VAL POE - AESR - ESR'!N65</f>
        <v>0</v>
      </c>
      <c r="DCE4" s="56">
        <f>'REG y VAL POE - AESR - ESR'!O65</f>
        <v>0</v>
      </c>
      <c r="DCF4" s="57">
        <f>'REG y VAL POE - AESR - ESR'!P65</f>
        <v>0</v>
      </c>
      <c r="DCG4" s="57">
        <f>'REG y VAL POE - AESR - ESR'!Q65</f>
        <v>0</v>
      </c>
      <c r="DCH4" s="57">
        <f>'REG y VAL POE - AESR - ESR'!R65</f>
        <v>0</v>
      </c>
      <c r="DCI4" s="56">
        <f>'REG y VAL POE - AESR - ESR'!S65</f>
        <v>0</v>
      </c>
      <c r="DCJ4" s="57">
        <f>'REG y VAL POE - AESR - ESR'!T65</f>
        <v>0</v>
      </c>
      <c r="DCK4" s="57">
        <f>'REG y VAL POE - AESR - ESR'!U65</f>
        <v>0</v>
      </c>
      <c r="DCL4" s="56">
        <f>'REG y VAL POE - AESR - ESR'!V65</f>
        <v>0</v>
      </c>
      <c r="DCM4" s="57">
        <f>'REG y VAL POE - AESR - ESR'!W65</f>
        <v>0</v>
      </c>
      <c r="DCN4" s="56">
        <f>'REG y VAL POE - AESR - ESR'!X65</f>
        <v>0</v>
      </c>
      <c r="DCO4" s="56">
        <f>'REG y VAL POE - AESR - ESR'!Y65</f>
        <v>0</v>
      </c>
      <c r="DCP4" s="57">
        <f>'REG y VAL POE - AESR - ESR'!Z65</f>
        <v>0</v>
      </c>
      <c r="DCQ4" s="57">
        <f>'REG y VAL POE - AESR - ESR'!AA65</f>
        <v>0</v>
      </c>
      <c r="DCR4" s="57">
        <f>'REG y VAL POE - AESR - ESR'!AB65</f>
        <v>0</v>
      </c>
      <c r="DCS4" s="56">
        <f>'REG y VAL POE - AESR - ESR'!AC65</f>
        <v>0</v>
      </c>
      <c r="DCT4" s="57">
        <f>'REG y VAL POE - AESR - ESR'!AD65</f>
        <v>0</v>
      </c>
      <c r="DCU4" s="57">
        <f>'REG y VAL POE - AESR - ESR'!AE65</f>
        <v>0</v>
      </c>
      <c r="DCV4" s="56">
        <f>'REG y VAL POE - AESR - ESR'!AF65</f>
        <v>0</v>
      </c>
      <c r="DCW4" s="57">
        <f>'REG y VAL POE - AESR - ESR'!AG65</f>
        <v>0</v>
      </c>
      <c r="DCX4" s="56">
        <f>'REG y VAL POE - AESR - ESR'!AH65</f>
        <v>0</v>
      </c>
      <c r="DCY4" s="56">
        <f>'REG y VAL POE - AESR - ESR'!AI65</f>
        <v>0</v>
      </c>
      <c r="DCZ4" s="57">
        <f>'REG y VAL POE - AESR - ESR'!AJ65</f>
        <v>0</v>
      </c>
      <c r="DDA4" s="57">
        <f>'REG y VAL POE - AESR - ESR'!AK65</f>
        <v>0</v>
      </c>
      <c r="DDB4" s="57">
        <f>'REG y VAL POE - AESR - ESR'!AL65</f>
        <v>0</v>
      </c>
      <c r="DDC4" s="56">
        <f>'REG y VAL POE - AESR - ESR'!AM65</f>
        <v>0</v>
      </c>
      <c r="DDD4" s="57">
        <f>'REG y VAL POE - AESR - ESR'!AN65</f>
        <v>0</v>
      </c>
      <c r="DDE4" s="57">
        <f>'REG y VAL POE - AESR - ESR'!AO65</f>
        <v>0</v>
      </c>
      <c r="DDF4" s="56">
        <f>'REG y VAL POE - AESR - ESR'!AP65</f>
        <v>0</v>
      </c>
      <c r="DDG4" s="57">
        <f>'REG y VAL POE - AESR - ESR'!AQ65</f>
        <v>0</v>
      </c>
      <c r="DDH4" s="56">
        <f>'REG y VAL POE - AESR - ESR'!AR65</f>
        <v>0</v>
      </c>
      <c r="DDI4" s="56">
        <f>'REG y VAL POE - AESR - ESR'!AS65</f>
        <v>0</v>
      </c>
      <c r="DDJ4" s="55">
        <f>'REG y VAL POE - AESR - ESR'!B66</f>
        <v>0</v>
      </c>
      <c r="DDK4" s="57">
        <f>'REG y VAL POE - AESR - ESR'!C66</f>
        <v>0</v>
      </c>
      <c r="DDL4" s="56">
        <f>'REG y VAL POE - AESR - ESR'!D66</f>
        <v>0</v>
      </c>
      <c r="DDM4" s="57">
        <f>'REG y VAL POE - AESR - ESR'!E66</f>
        <v>0</v>
      </c>
      <c r="DDN4" s="56">
        <f>'REG y VAL POE - AESR - ESR'!F66</f>
        <v>0</v>
      </c>
      <c r="DDO4" s="56">
        <f>'REG y VAL POE - AESR - ESR'!G66</f>
        <v>0</v>
      </c>
      <c r="DDP4" s="56">
        <f>'REG y VAL POE - AESR - ESR'!H66</f>
        <v>0</v>
      </c>
      <c r="DDQ4" s="57">
        <f>'REG y VAL POE - AESR - ESR'!I66</f>
        <v>0</v>
      </c>
      <c r="DDR4" s="387">
        <f>'REG y VAL POE - AESR - ESR'!J66</f>
        <v>0</v>
      </c>
      <c r="DDS4" s="57">
        <f>'REG y VAL POE - AESR - ESR'!K66</f>
        <v>0</v>
      </c>
      <c r="DDT4" s="387">
        <f>'REG y VAL POE - AESR - ESR'!L66</f>
        <v>0</v>
      </c>
      <c r="DDU4" s="57">
        <f>'REG y VAL POE - AESR - ESR'!M66</f>
        <v>0</v>
      </c>
      <c r="DDV4" s="387">
        <f>'REG y VAL POE - AESR - ESR'!N66</f>
        <v>0</v>
      </c>
      <c r="DDW4" s="57">
        <f>'REG y VAL POE - AESR - ESR'!O66</f>
        <v>0</v>
      </c>
      <c r="DDX4" s="57">
        <f>'REG y VAL POE - AESR - ESR'!P66</f>
        <v>0</v>
      </c>
      <c r="DDY4" s="57">
        <f>'REG y VAL POE - AESR - ESR'!Q66</f>
        <v>0</v>
      </c>
      <c r="DDZ4" s="57">
        <f>'REG y VAL POE - AESR - ESR'!R66</f>
        <v>0</v>
      </c>
      <c r="DEA4" s="57">
        <f>'REG y VAL POE - AESR - ESR'!S66</f>
        <v>0</v>
      </c>
      <c r="DEB4" s="57">
        <f>'REG y VAL POE - AESR - ESR'!T66</f>
        <v>0</v>
      </c>
      <c r="DEC4" s="57">
        <f>'REG y VAL POE - AESR - ESR'!U66</f>
        <v>0</v>
      </c>
      <c r="DED4" s="57">
        <f>'REG y VAL POE - AESR - ESR'!V66</f>
        <v>0</v>
      </c>
      <c r="DEE4" s="57">
        <f>'REG y VAL POE - AESR - ESR'!W66</f>
        <v>0</v>
      </c>
      <c r="DEF4" s="57">
        <f>'REG y VAL POE - AESR - ESR'!X66</f>
        <v>0</v>
      </c>
      <c r="DEG4" s="57">
        <f>'REG y VAL POE - AESR - ESR'!Y66</f>
        <v>0</v>
      </c>
      <c r="DEH4" s="57">
        <f>'REG y VAL POE - AESR - ESR'!Z66</f>
        <v>0</v>
      </c>
      <c r="DEI4" s="57">
        <f>'REG y VAL POE - AESR - ESR'!AA66</f>
        <v>0</v>
      </c>
      <c r="DEJ4" s="57">
        <f>'REG y VAL POE - AESR - ESR'!AB66</f>
        <v>0</v>
      </c>
      <c r="DEK4" s="57">
        <f>'REG y VAL POE - AESR - ESR'!AC66</f>
        <v>0</v>
      </c>
      <c r="DEL4" s="57">
        <f>'REG y VAL POE - AESR - ESR'!AD66</f>
        <v>0</v>
      </c>
      <c r="DEM4" s="57">
        <f>'REG y VAL POE - AESR - ESR'!AE66</f>
        <v>0</v>
      </c>
      <c r="DEN4" s="57">
        <f>'REG y VAL POE - AESR - ESR'!AF66</f>
        <v>0</v>
      </c>
      <c r="DEO4" s="57">
        <f>'REG y VAL POE - AESR - ESR'!AG66</f>
        <v>0</v>
      </c>
      <c r="DEP4" s="57">
        <f>'REG y VAL POE - AESR - ESR'!AH66</f>
        <v>0</v>
      </c>
      <c r="DEQ4" s="57">
        <f>'REG y VAL POE - AESR - ESR'!AI66</f>
        <v>0</v>
      </c>
      <c r="DER4" s="57">
        <f>'REG y VAL POE - AESR - ESR'!AJ66</f>
        <v>0</v>
      </c>
      <c r="DES4" s="57">
        <f>'REG y VAL POE - AESR - ESR'!AK66</f>
        <v>0</v>
      </c>
      <c r="DET4" s="57">
        <f>'REG y VAL POE - AESR - ESR'!AL66</f>
        <v>0</v>
      </c>
      <c r="DEU4" s="57">
        <f>'REG y VAL POE - AESR - ESR'!AM66</f>
        <v>0</v>
      </c>
      <c r="DEV4" s="57">
        <f>'REG y VAL POE - AESR - ESR'!AN66</f>
        <v>0</v>
      </c>
      <c r="DEW4" s="57">
        <f>'REG y VAL POE - AESR - ESR'!AO66</f>
        <v>0</v>
      </c>
      <c r="DEX4" s="57">
        <f>'REG y VAL POE - AESR - ESR'!AP66</f>
        <v>0</v>
      </c>
      <c r="DEY4" s="57">
        <f>'REG y VAL POE - AESR - ESR'!AQ66</f>
        <v>0</v>
      </c>
      <c r="DEZ4" s="57">
        <f>'REG y VAL POE - AESR - ESR'!AR66</f>
        <v>0</v>
      </c>
      <c r="DFA4" s="57">
        <f>'REG y VAL POE - AESR - ESR'!AS66</f>
        <v>0</v>
      </c>
      <c r="DFB4" s="55">
        <f>'REG y VAL POE - AESR - ESR'!B67</f>
        <v>0</v>
      </c>
      <c r="DFC4" s="56">
        <f>'REG y VAL POE - AESR - ESR'!C67</f>
        <v>0</v>
      </c>
      <c r="DFD4" s="57">
        <f>'REG y VAL POE - AESR - ESR'!D67</f>
        <v>0</v>
      </c>
      <c r="DFE4" s="57">
        <f>'REG y VAL POE - AESR - ESR'!E67</f>
        <v>0</v>
      </c>
      <c r="DFF4" s="57">
        <f>'REG y VAL POE - AESR - ESR'!F67</f>
        <v>0</v>
      </c>
      <c r="DFG4" s="57">
        <f>'REG y VAL POE - AESR - ESR'!G67</f>
        <v>0</v>
      </c>
      <c r="DFH4" s="57">
        <f>'REG y VAL POE - AESR - ESR'!H67</f>
        <v>0</v>
      </c>
      <c r="DFI4" s="56">
        <f>'REG y VAL POE - AESR - ESR'!I67</f>
        <v>0</v>
      </c>
      <c r="DFJ4" s="57">
        <f>'REG y VAL POE - AESR - ESR'!J67</f>
        <v>0</v>
      </c>
      <c r="DFK4" s="57">
        <f>'REG y VAL POE - AESR - ESR'!K67</f>
        <v>0</v>
      </c>
      <c r="DFL4" s="56">
        <f>'REG y VAL POE - AESR - ESR'!L67</f>
        <v>0</v>
      </c>
      <c r="DFM4" s="57">
        <f>'REG y VAL POE - AESR - ESR'!M67</f>
        <v>0</v>
      </c>
      <c r="DFN4" s="56">
        <f>'REG y VAL POE - AESR - ESR'!N67</f>
        <v>0</v>
      </c>
      <c r="DFO4" s="56">
        <f>'REG y VAL POE - AESR - ESR'!O67</f>
        <v>0</v>
      </c>
      <c r="DFP4" s="57">
        <f>'REG y VAL POE - AESR - ESR'!P67</f>
        <v>0</v>
      </c>
      <c r="DFQ4" s="57">
        <f>'REG y VAL POE - AESR - ESR'!Q67</f>
        <v>0</v>
      </c>
      <c r="DFR4" s="57">
        <f>'REG y VAL POE - AESR - ESR'!R67</f>
        <v>0</v>
      </c>
      <c r="DFS4" s="56">
        <f>'REG y VAL POE - AESR - ESR'!S67</f>
        <v>0</v>
      </c>
      <c r="DFT4" s="57">
        <f>'REG y VAL POE - AESR - ESR'!T67</f>
        <v>0</v>
      </c>
      <c r="DFU4" s="57">
        <f>'REG y VAL POE - AESR - ESR'!U67</f>
        <v>0</v>
      </c>
      <c r="DFV4" s="56">
        <f>'REG y VAL POE - AESR - ESR'!V67</f>
        <v>0</v>
      </c>
      <c r="DFW4" s="57">
        <f>'REG y VAL POE - AESR - ESR'!W67</f>
        <v>0</v>
      </c>
      <c r="DFX4" s="56">
        <f>'REG y VAL POE - AESR - ESR'!X67</f>
        <v>0</v>
      </c>
      <c r="DFY4" s="56">
        <f>'REG y VAL POE - AESR - ESR'!Y67</f>
        <v>0</v>
      </c>
      <c r="DFZ4" s="57">
        <f>'REG y VAL POE - AESR - ESR'!Z67</f>
        <v>0</v>
      </c>
      <c r="DGA4" s="57">
        <f>'REG y VAL POE - AESR - ESR'!AA67</f>
        <v>0</v>
      </c>
      <c r="DGB4" s="57">
        <f>'REG y VAL POE - AESR - ESR'!AB67</f>
        <v>0</v>
      </c>
      <c r="DGC4" s="56">
        <f>'REG y VAL POE - AESR - ESR'!AC67</f>
        <v>0</v>
      </c>
      <c r="DGD4" s="57">
        <f>'REG y VAL POE - AESR - ESR'!AD67</f>
        <v>0</v>
      </c>
      <c r="DGE4" s="57">
        <f>'REG y VAL POE - AESR - ESR'!AE67</f>
        <v>0</v>
      </c>
      <c r="DGF4" s="56">
        <f>'REG y VAL POE - AESR - ESR'!AF67</f>
        <v>0</v>
      </c>
      <c r="DGG4" s="57">
        <f>'REG y VAL POE - AESR - ESR'!AG67</f>
        <v>0</v>
      </c>
      <c r="DGH4" s="56">
        <f>'REG y VAL POE - AESR - ESR'!AH67</f>
        <v>0</v>
      </c>
      <c r="DGI4" s="56">
        <f>'REG y VAL POE - AESR - ESR'!AI67</f>
        <v>0</v>
      </c>
      <c r="DGJ4" s="57">
        <f>'REG y VAL POE - AESR - ESR'!AJ67</f>
        <v>0</v>
      </c>
      <c r="DGK4" s="57">
        <f>'REG y VAL POE - AESR - ESR'!AK67</f>
        <v>0</v>
      </c>
      <c r="DGL4" s="57">
        <f>'REG y VAL POE - AESR - ESR'!AL67</f>
        <v>0</v>
      </c>
      <c r="DGM4" s="56">
        <f>'REG y VAL POE - AESR - ESR'!AM67</f>
        <v>0</v>
      </c>
      <c r="DGN4" s="57">
        <f>'REG y VAL POE - AESR - ESR'!AN67</f>
        <v>0</v>
      </c>
      <c r="DGO4" s="57">
        <f>'REG y VAL POE - AESR - ESR'!AO67</f>
        <v>0</v>
      </c>
      <c r="DGP4" s="56">
        <f>'REG y VAL POE - AESR - ESR'!AP67</f>
        <v>0</v>
      </c>
      <c r="DGQ4" s="57">
        <f>'REG y VAL POE - AESR - ESR'!AQ67</f>
        <v>0</v>
      </c>
      <c r="DGR4" s="56">
        <f>'REG y VAL POE - AESR - ESR'!AR67</f>
        <v>0</v>
      </c>
      <c r="DGS4" s="56">
        <f>'REG y VAL POE - AESR - ESR'!AS67</f>
        <v>0</v>
      </c>
      <c r="DGT4" s="55">
        <f>'REG y VAL POE - AESR - ESR'!B68</f>
        <v>0</v>
      </c>
      <c r="DGU4" s="57">
        <f>'REG y VAL POE - AESR - ESR'!C68</f>
        <v>0</v>
      </c>
      <c r="DGV4" s="56">
        <f>'REG y VAL POE - AESR - ESR'!D68</f>
        <v>0</v>
      </c>
      <c r="DGW4" s="57">
        <f>'REG y VAL POE - AESR - ESR'!E68</f>
        <v>0</v>
      </c>
      <c r="DGX4" s="56">
        <f>'REG y VAL POE - AESR - ESR'!F68</f>
        <v>0</v>
      </c>
      <c r="DGY4" s="56">
        <f>'REG y VAL POE - AESR - ESR'!G68</f>
        <v>0</v>
      </c>
      <c r="DGZ4" s="56">
        <f>'REG y VAL POE - AESR - ESR'!H68</f>
        <v>0</v>
      </c>
      <c r="DHA4" s="57">
        <f>'REG y VAL POE - AESR - ESR'!I68</f>
        <v>0</v>
      </c>
      <c r="DHB4" s="57">
        <f>'REG y VAL POE - AESR - ESR'!J68</f>
        <v>0</v>
      </c>
      <c r="DHC4" s="57">
        <f>'REG y VAL POE - AESR - ESR'!K68</f>
        <v>0</v>
      </c>
      <c r="DHD4" s="57">
        <f>'REG y VAL POE - AESR - ESR'!L68</f>
        <v>0</v>
      </c>
      <c r="DHE4" s="57">
        <f>'REG y VAL POE - AESR - ESR'!M68</f>
        <v>0</v>
      </c>
      <c r="DHF4" s="57">
        <f>'REG y VAL POE - AESR - ESR'!N68</f>
        <v>0</v>
      </c>
      <c r="DHG4" s="57">
        <f>'REG y VAL POE - AESR - ESR'!O68</f>
        <v>0</v>
      </c>
      <c r="DHH4" s="57">
        <f>'REG y VAL POE - AESR - ESR'!P68</f>
        <v>0</v>
      </c>
      <c r="DHI4" s="57">
        <f>'REG y VAL POE - AESR - ESR'!Q68</f>
        <v>0</v>
      </c>
      <c r="DHJ4" s="57">
        <f>'REG y VAL POE - AESR - ESR'!R68</f>
        <v>0</v>
      </c>
      <c r="DHK4" s="57">
        <f>'REG y VAL POE - AESR - ESR'!S68</f>
        <v>0</v>
      </c>
      <c r="DHL4" s="57">
        <f>'REG y VAL POE - AESR - ESR'!T68</f>
        <v>0</v>
      </c>
      <c r="DHM4" s="57">
        <f>'REG y VAL POE - AESR - ESR'!U68</f>
        <v>0</v>
      </c>
      <c r="DHN4" s="57">
        <f>'REG y VAL POE - AESR - ESR'!V68</f>
        <v>0</v>
      </c>
      <c r="DHO4" s="57">
        <f>'REG y VAL POE - AESR - ESR'!W68</f>
        <v>0</v>
      </c>
      <c r="DHP4" s="57">
        <f>'REG y VAL POE - AESR - ESR'!X68</f>
        <v>0</v>
      </c>
      <c r="DHQ4" s="57">
        <f>'REG y VAL POE - AESR - ESR'!Y68</f>
        <v>0</v>
      </c>
      <c r="DHR4" s="57">
        <f>'REG y VAL POE - AESR - ESR'!Z68</f>
        <v>0</v>
      </c>
      <c r="DHS4" s="57">
        <f>'REG y VAL POE - AESR - ESR'!AA68</f>
        <v>0</v>
      </c>
      <c r="DHT4" s="57">
        <f>'REG y VAL POE - AESR - ESR'!AB68</f>
        <v>0</v>
      </c>
      <c r="DHU4" s="57">
        <f>'REG y VAL POE - AESR - ESR'!AC68</f>
        <v>0</v>
      </c>
      <c r="DHV4" s="57">
        <f>'REG y VAL POE - AESR - ESR'!AD68</f>
        <v>0</v>
      </c>
      <c r="DHW4" s="57">
        <f>'REG y VAL POE - AESR - ESR'!AE68</f>
        <v>0</v>
      </c>
      <c r="DHX4" s="57">
        <f>'REG y VAL POE - AESR - ESR'!AF68</f>
        <v>0</v>
      </c>
      <c r="DHY4" s="57">
        <f>'REG y VAL POE - AESR - ESR'!AG68</f>
        <v>0</v>
      </c>
      <c r="DHZ4" s="57">
        <f>'REG y VAL POE - AESR - ESR'!AH68</f>
        <v>0</v>
      </c>
      <c r="DIA4" s="57">
        <f>'REG y VAL POE - AESR - ESR'!AI68</f>
        <v>0</v>
      </c>
      <c r="DIB4" s="57">
        <f>'REG y VAL POE - AESR - ESR'!AJ68</f>
        <v>0</v>
      </c>
      <c r="DIC4" s="57">
        <f>'REG y VAL POE - AESR - ESR'!AK68</f>
        <v>0</v>
      </c>
      <c r="DID4" s="57">
        <f>'REG y VAL POE - AESR - ESR'!AL68</f>
        <v>0</v>
      </c>
      <c r="DIE4" s="57">
        <f>'REG y VAL POE - AESR - ESR'!AM68</f>
        <v>0</v>
      </c>
      <c r="DIF4" s="57">
        <f>'REG y VAL POE - AESR - ESR'!AN68</f>
        <v>0</v>
      </c>
      <c r="DIG4" s="57">
        <f>'REG y VAL POE - AESR - ESR'!AO68</f>
        <v>0</v>
      </c>
      <c r="DIH4" s="57">
        <f>'REG y VAL POE - AESR - ESR'!AP68</f>
        <v>0</v>
      </c>
      <c r="DII4" s="57">
        <f>'REG y VAL POE - AESR - ESR'!AQ68</f>
        <v>0</v>
      </c>
      <c r="DIJ4" s="57">
        <f>'REG y VAL POE - AESR - ESR'!AR68</f>
        <v>0</v>
      </c>
      <c r="DIK4" s="57">
        <f>'REG y VAL POE - AESR - ESR'!AS68</f>
        <v>0</v>
      </c>
      <c r="DIL4" s="55">
        <f>'REG y VAL POE - AESR - ESR'!B69</f>
        <v>0</v>
      </c>
      <c r="DIM4" s="56">
        <f>'REG y VAL POE - AESR - ESR'!C69</f>
        <v>0</v>
      </c>
      <c r="DIN4" s="57">
        <f>'REG y VAL POE - AESR - ESR'!D69</f>
        <v>0</v>
      </c>
      <c r="DIO4" s="57">
        <f>'REG y VAL POE - AESR - ESR'!E69</f>
        <v>0</v>
      </c>
      <c r="DIP4" s="57">
        <f>'REG y VAL POE - AESR - ESR'!F69</f>
        <v>0</v>
      </c>
      <c r="DIQ4" s="57">
        <f>'REG y VAL POE - AESR - ESR'!G69</f>
        <v>0</v>
      </c>
      <c r="DIR4" s="57">
        <f>'REG y VAL POE - AESR - ESR'!H69</f>
        <v>0</v>
      </c>
      <c r="DIS4" s="56">
        <f>'REG y VAL POE - AESR - ESR'!I69</f>
        <v>0</v>
      </c>
      <c r="DIT4" s="57">
        <f>'REG y VAL POE - AESR - ESR'!J69</f>
        <v>0</v>
      </c>
      <c r="DIU4" s="57">
        <f>'REG y VAL POE - AESR - ESR'!K69</f>
        <v>0</v>
      </c>
      <c r="DIV4" s="56">
        <f>'REG y VAL POE - AESR - ESR'!L69</f>
        <v>0</v>
      </c>
      <c r="DIW4" s="57">
        <f>'REG y VAL POE - AESR - ESR'!M69</f>
        <v>0</v>
      </c>
      <c r="DIX4" s="56">
        <f>'REG y VAL POE - AESR - ESR'!N69</f>
        <v>0</v>
      </c>
      <c r="DIY4" s="56">
        <f>'REG y VAL POE - AESR - ESR'!O69</f>
        <v>0</v>
      </c>
      <c r="DIZ4" s="57">
        <f>'REG y VAL POE - AESR - ESR'!P69</f>
        <v>0</v>
      </c>
      <c r="DJA4" s="57">
        <f>'REG y VAL POE - AESR - ESR'!Q69</f>
        <v>0</v>
      </c>
      <c r="DJB4" s="57">
        <f>'REG y VAL POE - AESR - ESR'!R69</f>
        <v>0</v>
      </c>
      <c r="DJC4" s="56">
        <f>'REG y VAL POE - AESR - ESR'!S69</f>
        <v>0</v>
      </c>
      <c r="DJD4" s="57">
        <f>'REG y VAL POE - AESR - ESR'!T69</f>
        <v>0</v>
      </c>
      <c r="DJE4" s="57">
        <f>'REG y VAL POE - AESR - ESR'!U69</f>
        <v>0</v>
      </c>
      <c r="DJF4" s="56">
        <f>'REG y VAL POE - AESR - ESR'!V69</f>
        <v>0</v>
      </c>
      <c r="DJG4" s="57">
        <f>'REG y VAL POE - AESR - ESR'!W69</f>
        <v>0</v>
      </c>
      <c r="DJH4" s="56">
        <f>'REG y VAL POE - AESR - ESR'!X69</f>
        <v>0</v>
      </c>
      <c r="DJI4" s="56">
        <f>'REG y VAL POE - AESR - ESR'!Y69</f>
        <v>0</v>
      </c>
      <c r="DJJ4" s="57">
        <f>'REG y VAL POE - AESR - ESR'!Z69</f>
        <v>0</v>
      </c>
      <c r="DJK4" s="57">
        <f>'REG y VAL POE - AESR - ESR'!AA69</f>
        <v>0</v>
      </c>
      <c r="DJL4" s="57">
        <f>'REG y VAL POE - AESR - ESR'!AB69</f>
        <v>0</v>
      </c>
      <c r="DJM4" s="56">
        <f>'REG y VAL POE - AESR - ESR'!AC69</f>
        <v>0</v>
      </c>
      <c r="DJN4" s="57">
        <f>'REG y VAL POE - AESR - ESR'!AD69</f>
        <v>0</v>
      </c>
      <c r="DJO4" s="57">
        <f>'REG y VAL POE - AESR - ESR'!AE69</f>
        <v>0</v>
      </c>
      <c r="DJP4" s="56">
        <f>'REG y VAL POE - AESR - ESR'!AF69</f>
        <v>0</v>
      </c>
      <c r="DJQ4" s="57">
        <f>'REG y VAL POE - AESR - ESR'!AG69</f>
        <v>0</v>
      </c>
      <c r="DJR4" s="56">
        <f>'REG y VAL POE - AESR - ESR'!AH69</f>
        <v>0</v>
      </c>
      <c r="DJS4" s="56">
        <f>'REG y VAL POE - AESR - ESR'!AI69</f>
        <v>0</v>
      </c>
      <c r="DJT4" s="57">
        <f>'REG y VAL POE - AESR - ESR'!AJ69</f>
        <v>0</v>
      </c>
      <c r="DJU4" s="57">
        <f>'REG y VAL POE - AESR - ESR'!AK69</f>
        <v>0</v>
      </c>
      <c r="DJV4" s="57">
        <f>'REG y VAL POE - AESR - ESR'!AL69</f>
        <v>0</v>
      </c>
      <c r="DJW4" s="56">
        <f>'REG y VAL POE - AESR - ESR'!AM69</f>
        <v>0</v>
      </c>
      <c r="DJX4" s="57">
        <f>'REG y VAL POE - AESR - ESR'!AN69</f>
        <v>0</v>
      </c>
      <c r="DJY4" s="57">
        <f>'REG y VAL POE - AESR - ESR'!AO69</f>
        <v>0</v>
      </c>
      <c r="DJZ4" s="56">
        <f>'REG y VAL POE - AESR - ESR'!AP69</f>
        <v>0</v>
      </c>
      <c r="DKA4" s="57">
        <f>'REG y VAL POE - AESR - ESR'!AQ69</f>
        <v>0</v>
      </c>
      <c r="DKB4" s="56">
        <f>'REG y VAL POE - AESR - ESR'!AR69</f>
        <v>0</v>
      </c>
      <c r="DKC4" s="56">
        <f>'REG y VAL POE - AESR - ESR'!AS69</f>
        <v>0</v>
      </c>
      <c r="DKD4" s="55">
        <f>'REG y VAL POE - AESR - ESR'!B70</f>
        <v>0</v>
      </c>
      <c r="DKE4" s="57">
        <f>'REG y VAL POE - AESR - ESR'!C70</f>
        <v>0</v>
      </c>
      <c r="DKF4" s="56">
        <f>'REG y VAL POE - AESR - ESR'!D70</f>
        <v>0</v>
      </c>
      <c r="DKG4" s="57">
        <f>'REG y VAL POE - AESR - ESR'!E70</f>
        <v>0</v>
      </c>
      <c r="DKH4" s="56">
        <f>'REG y VAL POE - AESR - ESR'!F70</f>
        <v>0</v>
      </c>
      <c r="DKI4" s="56">
        <f>'REG y VAL POE - AESR - ESR'!G70</f>
        <v>0</v>
      </c>
      <c r="DKJ4" s="56">
        <f>'REG y VAL POE - AESR - ESR'!H70</f>
        <v>0</v>
      </c>
      <c r="DKK4" s="57">
        <f>'REG y VAL POE - AESR - ESR'!I70</f>
        <v>0</v>
      </c>
      <c r="DKL4" s="387">
        <f>'REG y VAL POE - AESR - ESR'!J70</f>
        <v>0</v>
      </c>
      <c r="DKM4" s="57">
        <f>'REG y VAL POE - AESR - ESR'!K70</f>
        <v>0</v>
      </c>
      <c r="DKN4" s="387">
        <f>'REG y VAL POE - AESR - ESR'!L70</f>
        <v>0</v>
      </c>
      <c r="DKO4" s="57">
        <f>'REG y VAL POE - AESR - ESR'!M70</f>
        <v>0</v>
      </c>
      <c r="DKP4" s="387">
        <f>'REG y VAL POE - AESR - ESR'!N70</f>
        <v>0</v>
      </c>
      <c r="DKQ4" s="57">
        <f>'REG y VAL POE - AESR - ESR'!O70</f>
        <v>0</v>
      </c>
      <c r="DKR4" s="57">
        <f>'REG y VAL POE - AESR - ESR'!P70</f>
        <v>0</v>
      </c>
      <c r="DKS4" s="57">
        <f>'REG y VAL POE - AESR - ESR'!Q70</f>
        <v>0</v>
      </c>
      <c r="DKT4" s="57">
        <f>'REG y VAL POE - AESR - ESR'!R70</f>
        <v>0</v>
      </c>
      <c r="DKU4" s="57">
        <f>'REG y VAL POE - AESR - ESR'!S70</f>
        <v>0</v>
      </c>
      <c r="DKV4" s="57">
        <f>'REG y VAL POE - AESR - ESR'!T70</f>
        <v>0</v>
      </c>
      <c r="DKW4" s="57">
        <f>'REG y VAL POE - AESR - ESR'!U70</f>
        <v>0</v>
      </c>
      <c r="DKX4" s="57">
        <f>'REG y VAL POE - AESR - ESR'!V70</f>
        <v>0</v>
      </c>
      <c r="DKY4" s="57">
        <f>'REG y VAL POE - AESR - ESR'!W70</f>
        <v>0</v>
      </c>
      <c r="DKZ4" s="57">
        <f>'REG y VAL POE - AESR - ESR'!X70</f>
        <v>0</v>
      </c>
      <c r="DLA4" s="57">
        <f>'REG y VAL POE - AESR - ESR'!Y70</f>
        <v>0</v>
      </c>
      <c r="DLB4" s="57">
        <f>'REG y VAL POE - AESR - ESR'!Z70</f>
        <v>0</v>
      </c>
      <c r="DLC4" s="57">
        <f>'REG y VAL POE - AESR - ESR'!AA70</f>
        <v>0</v>
      </c>
      <c r="DLD4" s="57">
        <f>'REG y VAL POE - AESR - ESR'!AB70</f>
        <v>0</v>
      </c>
      <c r="DLE4" s="57">
        <f>'REG y VAL POE - AESR - ESR'!AC70</f>
        <v>0</v>
      </c>
      <c r="DLF4" s="57">
        <f>'REG y VAL POE - AESR - ESR'!AD70</f>
        <v>0</v>
      </c>
      <c r="DLG4" s="57">
        <f>'REG y VAL POE - AESR - ESR'!AE70</f>
        <v>0</v>
      </c>
      <c r="DLH4" s="57">
        <f>'REG y VAL POE - AESR - ESR'!AF70</f>
        <v>0</v>
      </c>
      <c r="DLI4" s="57">
        <f>'REG y VAL POE - AESR - ESR'!AG70</f>
        <v>0</v>
      </c>
      <c r="DLJ4" s="57">
        <f>'REG y VAL POE - AESR - ESR'!AH70</f>
        <v>0</v>
      </c>
      <c r="DLK4" s="57">
        <f>'REG y VAL POE - AESR - ESR'!AI70</f>
        <v>0</v>
      </c>
      <c r="DLL4" s="57">
        <f>'REG y VAL POE - AESR - ESR'!AJ70</f>
        <v>0</v>
      </c>
      <c r="DLM4" s="57">
        <f>'REG y VAL POE - AESR - ESR'!AK70</f>
        <v>0</v>
      </c>
      <c r="DLN4" s="57">
        <f>'REG y VAL POE - AESR - ESR'!AL70</f>
        <v>0</v>
      </c>
      <c r="DLO4" s="57">
        <f>'REG y VAL POE - AESR - ESR'!AM70</f>
        <v>0</v>
      </c>
      <c r="DLP4" s="57">
        <f>'REG y VAL POE - AESR - ESR'!AN70</f>
        <v>0</v>
      </c>
      <c r="DLQ4" s="57">
        <f>'REG y VAL POE - AESR - ESR'!AO70</f>
        <v>0</v>
      </c>
      <c r="DLR4" s="57">
        <f>'REG y VAL POE - AESR - ESR'!AP70</f>
        <v>0</v>
      </c>
      <c r="DLS4" s="57">
        <f>'REG y VAL POE - AESR - ESR'!AQ70</f>
        <v>0</v>
      </c>
      <c r="DLT4" s="57">
        <f>'REG y VAL POE - AESR - ESR'!AR70</f>
        <v>0</v>
      </c>
      <c r="DLU4" s="57">
        <f>'REG y VAL POE - AESR - ESR'!AS70</f>
        <v>0</v>
      </c>
      <c r="DLV4" s="55">
        <f>'REG y VAL POE - AESR - ESR'!B71</f>
        <v>0</v>
      </c>
      <c r="DLW4" s="56">
        <f>'REG y VAL POE - AESR - ESR'!C71</f>
        <v>0</v>
      </c>
      <c r="DLX4" s="57">
        <f>'REG y VAL POE - AESR - ESR'!D71</f>
        <v>0</v>
      </c>
      <c r="DLY4" s="57">
        <f>'REG y VAL POE - AESR - ESR'!E71</f>
        <v>0</v>
      </c>
      <c r="DLZ4" s="57">
        <f>'REG y VAL POE - AESR - ESR'!F71</f>
        <v>0</v>
      </c>
      <c r="DMA4" s="57">
        <f>'REG y VAL POE - AESR - ESR'!G71</f>
        <v>0</v>
      </c>
      <c r="DMB4" s="57">
        <f>'REG y VAL POE - AESR - ESR'!H71</f>
        <v>0</v>
      </c>
      <c r="DMC4" s="56">
        <f>'REG y VAL POE - AESR - ESR'!I71</f>
        <v>0</v>
      </c>
      <c r="DMD4" s="57">
        <f>'REG y VAL POE - AESR - ESR'!J71</f>
        <v>0</v>
      </c>
      <c r="DME4" s="57">
        <f>'REG y VAL POE - AESR - ESR'!K71</f>
        <v>0</v>
      </c>
      <c r="DMF4" s="56">
        <f>'REG y VAL POE - AESR - ESR'!L71</f>
        <v>0</v>
      </c>
      <c r="DMG4" s="57">
        <f>'REG y VAL POE - AESR - ESR'!M71</f>
        <v>0</v>
      </c>
      <c r="DMH4" s="56">
        <f>'REG y VAL POE - AESR - ESR'!N71</f>
        <v>0</v>
      </c>
      <c r="DMI4" s="56">
        <f>'REG y VAL POE - AESR - ESR'!O71</f>
        <v>0</v>
      </c>
      <c r="DMJ4" s="57">
        <f>'REG y VAL POE - AESR - ESR'!P71</f>
        <v>0</v>
      </c>
      <c r="DMK4" s="57">
        <f>'REG y VAL POE - AESR - ESR'!Q71</f>
        <v>0</v>
      </c>
      <c r="DML4" s="57">
        <f>'REG y VAL POE - AESR - ESR'!R71</f>
        <v>0</v>
      </c>
      <c r="DMM4" s="56">
        <f>'REG y VAL POE - AESR - ESR'!S71</f>
        <v>0</v>
      </c>
      <c r="DMN4" s="57">
        <f>'REG y VAL POE - AESR - ESR'!T71</f>
        <v>0</v>
      </c>
      <c r="DMO4" s="57">
        <f>'REG y VAL POE - AESR - ESR'!U71</f>
        <v>0</v>
      </c>
      <c r="DMP4" s="56">
        <f>'REG y VAL POE - AESR - ESR'!V71</f>
        <v>0</v>
      </c>
      <c r="DMQ4" s="57">
        <f>'REG y VAL POE - AESR - ESR'!W71</f>
        <v>0</v>
      </c>
      <c r="DMR4" s="56">
        <f>'REG y VAL POE - AESR - ESR'!X71</f>
        <v>0</v>
      </c>
      <c r="DMS4" s="56">
        <f>'REG y VAL POE - AESR - ESR'!Y71</f>
        <v>0</v>
      </c>
      <c r="DMT4" s="57">
        <f>'REG y VAL POE - AESR - ESR'!Z71</f>
        <v>0</v>
      </c>
      <c r="DMU4" s="57">
        <f>'REG y VAL POE - AESR - ESR'!AA71</f>
        <v>0</v>
      </c>
      <c r="DMV4" s="57">
        <f>'REG y VAL POE - AESR - ESR'!AB71</f>
        <v>0</v>
      </c>
      <c r="DMW4" s="56">
        <f>'REG y VAL POE - AESR - ESR'!AC71</f>
        <v>0</v>
      </c>
      <c r="DMX4" s="57">
        <f>'REG y VAL POE - AESR - ESR'!AD71</f>
        <v>0</v>
      </c>
      <c r="DMY4" s="57">
        <f>'REG y VAL POE - AESR - ESR'!AE71</f>
        <v>0</v>
      </c>
      <c r="DMZ4" s="56">
        <f>'REG y VAL POE - AESR - ESR'!AF71</f>
        <v>0</v>
      </c>
      <c r="DNA4" s="57">
        <f>'REG y VAL POE - AESR - ESR'!AG71</f>
        <v>0</v>
      </c>
      <c r="DNB4" s="56">
        <f>'REG y VAL POE - AESR - ESR'!AH71</f>
        <v>0</v>
      </c>
      <c r="DNC4" s="56">
        <f>'REG y VAL POE - AESR - ESR'!AI71</f>
        <v>0</v>
      </c>
      <c r="DND4" s="57">
        <f>'REG y VAL POE - AESR - ESR'!AJ71</f>
        <v>0</v>
      </c>
      <c r="DNE4" s="57">
        <f>'REG y VAL POE - AESR - ESR'!AK71</f>
        <v>0</v>
      </c>
      <c r="DNF4" s="57">
        <f>'REG y VAL POE - AESR - ESR'!AL71</f>
        <v>0</v>
      </c>
      <c r="DNG4" s="56">
        <f>'REG y VAL POE - AESR - ESR'!AM71</f>
        <v>0</v>
      </c>
      <c r="DNH4" s="57">
        <f>'REG y VAL POE - AESR - ESR'!AN71</f>
        <v>0</v>
      </c>
      <c r="DNI4" s="57">
        <f>'REG y VAL POE - AESR - ESR'!AO71</f>
        <v>0</v>
      </c>
      <c r="DNJ4" s="56">
        <f>'REG y VAL POE - AESR - ESR'!AP71</f>
        <v>0</v>
      </c>
      <c r="DNK4" s="57">
        <f>'REG y VAL POE - AESR - ESR'!AQ71</f>
        <v>0</v>
      </c>
      <c r="DNL4" s="56">
        <f>'REG y VAL POE - AESR - ESR'!AR71</f>
        <v>0</v>
      </c>
      <c r="DNM4" s="56">
        <f>'REG y VAL POE - AESR - ESR'!AS71</f>
        <v>0</v>
      </c>
      <c r="DNN4" s="55">
        <f>'REG y VAL POE - AESR - ESR'!B72</f>
        <v>0</v>
      </c>
      <c r="DNO4" s="57">
        <f>'REG y VAL POE - AESR - ESR'!C72</f>
        <v>0</v>
      </c>
      <c r="DNP4" s="56">
        <f>'REG y VAL POE - AESR - ESR'!D72</f>
        <v>0</v>
      </c>
      <c r="DNQ4" s="57">
        <f>'REG y VAL POE - AESR - ESR'!E72</f>
        <v>0</v>
      </c>
      <c r="DNR4" s="56">
        <f>'REG y VAL POE - AESR - ESR'!F72</f>
        <v>0</v>
      </c>
      <c r="DNS4" s="56">
        <f>'REG y VAL POE - AESR - ESR'!G72</f>
        <v>0</v>
      </c>
      <c r="DNT4" s="56">
        <f>'REG y VAL POE - AESR - ESR'!H72</f>
        <v>0</v>
      </c>
      <c r="DNU4" s="57">
        <f>'REG y VAL POE - AESR - ESR'!I72</f>
        <v>0</v>
      </c>
      <c r="DNV4" s="57">
        <f>'REG y VAL POE - AESR - ESR'!J72</f>
        <v>0</v>
      </c>
      <c r="DNW4" s="57">
        <f>'REG y VAL POE - AESR - ESR'!K72</f>
        <v>0</v>
      </c>
      <c r="DNX4" s="57">
        <f>'REG y VAL POE - AESR - ESR'!L72</f>
        <v>0</v>
      </c>
      <c r="DNY4" s="57">
        <f>'REG y VAL POE - AESR - ESR'!M72</f>
        <v>0</v>
      </c>
      <c r="DNZ4" s="57">
        <f>'REG y VAL POE - AESR - ESR'!N72</f>
        <v>0</v>
      </c>
      <c r="DOA4" s="57">
        <f>'REG y VAL POE - AESR - ESR'!O72</f>
        <v>0</v>
      </c>
      <c r="DOB4" s="57">
        <f>'REG y VAL POE - AESR - ESR'!P72</f>
        <v>0</v>
      </c>
      <c r="DOC4" s="57">
        <f>'REG y VAL POE - AESR - ESR'!Q72</f>
        <v>0</v>
      </c>
      <c r="DOD4" s="57">
        <f>'REG y VAL POE - AESR - ESR'!R72</f>
        <v>0</v>
      </c>
      <c r="DOE4" s="57">
        <f>'REG y VAL POE - AESR - ESR'!S72</f>
        <v>0</v>
      </c>
      <c r="DOF4" s="57">
        <f>'REG y VAL POE - AESR - ESR'!T72</f>
        <v>0</v>
      </c>
      <c r="DOG4" s="57">
        <f>'REG y VAL POE - AESR - ESR'!U72</f>
        <v>0</v>
      </c>
      <c r="DOH4" s="57">
        <f>'REG y VAL POE - AESR - ESR'!V72</f>
        <v>0</v>
      </c>
      <c r="DOI4" s="57">
        <f>'REG y VAL POE - AESR - ESR'!W72</f>
        <v>0</v>
      </c>
      <c r="DOJ4" s="57">
        <f>'REG y VAL POE - AESR - ESR'!X72</f>
        <v>0</v>
      </c>
      <c r="DOK4" s="57">
        <f>'REG y VAL POE - AESR - ESR'!Y72</f>
        <v>0</v>
      </c>
      <c r="DOL4" s="57">
        <f>'REG y VAL POE - AESR - ESR'!Z72</f>
        <v>0</v>
      </c>
      <c r="DOM4" s="57">
        <f>'REG y VAL POE - AESR - ESR'!AA72</f>
        <v>0</v>
      </c>
      <c r="DON4" s="57">
        <f>'REG y VAL POE - AESR - ESR'!AB72</f>
        <v>0</v>
      </c>
      <c r="DOO4" s="57">
        <f>'REG y VAL POE - AESR - ESR'!AC72</f>
        <v>0</v>
      </c>
      <c r="DOP4" s="57">
        <f>'REG y VAL POE - AESR - ESR'!AD72</f>
        <v>0</v>
      </c>
      <c r="DOQ4" s="57">
        <f>'REG y VAL POE - AESR - ESR'!AE72</f>
        <v>0</v>
      </c>
      <c r="DOR4" s="57">
        <f>'REG y VAL POE - AESR - ESR'!AF72</f>
        <v>0</v>
      </c>
      <c r="DOS4" s="57">
        <f>'REG y VAL POE - AESR - ESR'!AG72</f>
        <v>0</v>
      </c>
      <c r="DOT4" s="57">
        <f>'REG y VAL POE - AESR - ESR'!AH72</f>
        <v>0</v>
      </c>
      <c r="DOU4" s="57">
        <f>'REG y VAL POE - AESR - ESR'!AI72</f>
        <v>0</v>
      </c>
      <c r="DOV4" s="57">
        <f>'REG y VAL POE - AESR - ESR'!AJ72</f>
        <v>0</v>
      </c>
      <c r="DOW4" s="57">
        <f>'REG y VAL POE - AESR - ESR'!AK72</f>
        <v>0</v>
      </c>
      <c r="DOX4" s="57">
        <f>'REG y VAL POE - AESR - ESR'!AL72</f>
        <v>0</v>
      </c>
      <c r="DOY4" s="57">
        <f>'REG y VAL POE - AESR - ESR'!AM72</f>
        <v>0</v>
      </c>
      <c r="DOZ4" s="57">
        <f>'REG y VAL POE - AESR - ESR'!AN72</f>
        <v>0</v>
      </c>
      <c r="DPA4" s="57">
        <f>'REG y VAL POE - AESR - ESR'!AO72</f>
        <v>0</v>
      </c>
      <c r="DPB4" s="57">
        <f>'REG y VAL POE - AESR - ESR'!AP72</f>
        <v>0</v>
      </c>
      <c r="DPC4" s="57">
        <f>'REG y VAL POE - AESR - ESR'!AQ72</f>
        <v>0</v>
      </c>
      <c r="DPD4" s="57">
        <f>'REG y VAL POE - AESR - ESR'!AR72</f>
        <v>0</v>
      </c>
      <c r="DPE4" s="57">
        <f>'REG y VAL POE - AESR - ESR'!AS72</f>
        <v>0</v>
      </c>
      <c r="DPF4" s="55">
        <f>'REG y VAL POE - AESR - ESR'!B73</f>
        <v>0</v>
      </c>
      <c r="DPG4" s="56">
        <f>'REG y VAL POE - AESR - ESR'!C73</f>
        <v>0</v>
      </c>
      <c r="DPH4" s="57">
        <f>'REG y VAL POE - AESR - ESR'!D73</f>
        <v>0</v>
      </c>
      <c r="DPI4" s="57">
        <f>'REG y VAL POE - AESR - ESR'!E73</f>
        <v>0</v>
      </c>
      <c r="DPJ4" s="57">
        <f>'REG y VAL POE - AESR - ESR'!F73</f>
        <v>0</v>
      </c>
      <c r="DPK4" s="57">
        <f>'REG y VAL POE - AESR - ESR'!G73</f>
        <v>0</v>
      </c>
      <c r="DPL4" s="57">
        <f>'REG y VAL POE - AESR - ESR'!H73</f>
        <v>0</v>
      </c>
      <c r="DPM4" s="56">
        <f>'REG y VAL POE - AESR - ESR'!I73</f>
        <v>0</v>
      </c>
      <c r="DPN4" s="57">
        <f>'REG y VAL POE - AESR - ESR'!J73</f>
        <v>0</v>
      </c>
      <c r="DPO4" s="57">
        <f>'REG y VAL POE - AESR - ESR'!K73</f>
        <v>0</v>
      </c>
      <c r="DPP4" s="56">
        <f>'REG y VAL POE - AESR - ESR'!L73</f>
        <v>0</v>
      </c>
      <c r="DPQ4" s="57">
        <f>'REG y VAL POE - AESR - ESR'!M73</f>
        <v>0</v>
      </c>
      <c r="DPR4" s="56">
        <f>'REG y VAL POE - AESR - ESR'!N73</f>
        <v>0</v>
      </c>
      <c r="DPS4" s="56">
        <f>'REG y VAL POE - AESR - ESR'!O73</f>
        <v>0</v>
      </c>
      <c r="DPT4" s="57">
        <f>'REG y VAL POE - AESR - ESR'!P73</f>
        <v>0</v>
      </c>
      <c r="DPU4" s="57">
        <f>'REG y VAL POE - AESR - ESR'!Q73</f>
        <v>0</v>
      </c>
      <c r="DPV4" s="57">
        <f>'REG y VAL POE - AESR - ESR'!R73</f>
        <v>0</v>
      </c>
      <c r="DPW4" s="56">
        <f>'REG y VAL POE - AESR - ESR'!S73</f>
        <v>0</v>
      </c>
      <c r="DPX4" s="57">
        <f>'REG y VAL POE - AESR - ESR'!T73</f>
        <v>0</v>
      </c>
      <c r="DPY4" s="57">
        <f>'REG y VAL POE - AESR - ESR'!U73</f>
        <v>0</v>
      </c>
      <c r="DPZ4" s="56">
        <f>'REG y VAL POE - AESR - ESR'!V73</f>
        <v>0</v>
      </c>
      <c r="DQA4" s="57">
        <f>'REG y VAL POE - AESR - ESR'!W73</f>
        <v>0</v>
      </c>
      <c r="DQB4" s="56">
        <f>'REG y VAL POE - AESR - ESR'!X73</f>
        <v>0</v>
      </c>
      <c r="DQC4" s="56">
        <f>'REG y VAL POE - AESR - ESR'!Y73</f>
        <v>0</v>
      </c>
      <c r="DQD4" s="57">
        <f>'REG y VAL POE - AESR - ESR'!Z73</f>
        <v>0</v>
      </c>
      <c r="DQE4" s="57">
        <f>'REG y VAL POE - AESR - ESR'!AA73</f>
        <v>0</v>
      </c>
      <c r="DQF4" s="57">
        <f>'REG y VAL POE - AESR - ESR'!AB73</f>
        <v>0</v>
      </c>
      <c r="DQG4" s="56">
        <f>'REG y VAL POE - AESR - ESR'!AC73</f>
        <v>0</v>
      </c>
      <c r="DQH4" s="57">
        <f>'REG y VAL POE - AESR - ESR'!AD73</f>
        <v>0</v>
      </c>
      <c r="DQI4" s="57">
        <f>'REG y VAL POE - AESR - ESR'!AE73</f>
        <v>0</v>
      </c>
      <c r="DQJ4" s="56">
        <f>'REG y VAL POE - AESR - ESR'!AF73</f>
        <v>0</v>
      </c>
      <c r="DQK4" s="57">
        <f>'REG y VAL POE - AESR - ESR'!AG73</f>
        <v>0</v>
      </c>
      <c r="DQL4" s="56">
        <f>'REG y VAL POE - AESR - ESR'!AH73</f>
        <v>0</v>
      </c>
      <c r="DQM4" s="56">
        <f>'REG y VAL POE - AESR - ESR'!AI73</f>
        <v>0</v>
      </c>
      <c r="DQN4" s="57">
        <f>'REG y VAL POE - AESR - ESR'!AJ73</f>
        <v>0</v>
      </c>
      <c r="DQO4" s="57">
        <f>'REG y VAL POE - AESR - ESR'!AK73</f>
        <v>0</v>
      </c>
      <c r="DQP4" s="57">
        <f>'REG y VAL POE - AESR - ESR'!AL73</f>
        <v>0</v>
      </c>
      <c r="DQQ4" s="56">
        <f>'REG y VAL POE - AESR - ESR'!AM73</f>
        <v>0</v>
      </c>
      <c r="DQR4" s="57">
        <f>'REG y VAL POE - AESR - ESR'!AN73</f>
        <v>0</v>
      </c>
      <c r="DQS4" s="57">
        <f>'REG y VAL POE - AESR - ESR'!AO73</f>
        <v>0</v>
      </c>
      <c r="DQT4" s="56">
        <f>'REG y VAL POE - AESR - ESR'!AP73</f>
        <v>0</v>
      </c>
      <c r="DQU4" s="57">
        <f>'REG y VAL POE - AESR - ESR'!AQ73</f>
        <v>0</v>
      </c>
      <c r="DQV4" s="56">
        <f>'REG y VAL POE - AESR - ESR'!AR73</f>
        <v>0</v>
      </c>
      <c r="DQW4" s="56">
        <f>'REG y VAL POE - AESR - ESR'!AS73</f>
        <v>0</v>
      </c>
      <c r="DQX4" s="55">
        <f>'REG y VAL POE - AESR - ESR'!B74</f>
        <v>0</v>
      </c>
      <c r="DQY4" s="57">
        <f>'REG y VAL POE - AESR - ESR'!C74</f>
        <v>0</v>
      </c>
      <c r="DQZ4" s="56">
        <f>'REG y VAL POE - AESR - ESR'!D74</f>
        <v>0</v>
      </c>
      <c r="DRA4" s="57">
        <f>'REG y VAL POE - AESR - ESR'!E74</f>
        <v>0</v>
      </c>
      <c r="DRB4" s="56">
        <f>'REG y VAL POE - AESR - ESR'!F74</f>
        <v>0</v>
      </c>
      <c r="DRC4" s="56">
        <f>'REG y VAL POE - AESR - ESR'!G74</f>
        <v>0</v>
      </c>
      <c r="DRD4" s="56">
        <f>'REG y VAL POE - AESR - ESR'!H74</f>
        <v>0</v>
      </c>
      <c r="DRE4" s="57">
        <f>'REG y VAL POE - AESR - ESR'!I74</f>
        <v>0</v>
      </c>
      <c r="DRF4" s="387">
        <f>'REG y VAL POE - AESR - ESR'!J74</f>
        <v>0</v>
      </c>
      <c r="DRG4" s="57">
        <f>'REG y VAL POE - AESR - ESR'!K74</f>
        <v>0</v>
      </c>
      <c r="DRH4" s="387">
        <f>'REG y VAL POE - AESR - ESR'!L74</f>
        <v>0</v>
      </c>
      <c r="DRI4" s="57">
        <f>'REG y VAL POE - AESR - ESR'!M74</f>
        <v>0</v>
      </c>
      <c r="DRJ4" s="387">
        <f>'REG y VAL POE - AESR - ESR'!N74</f>
        <v>0</v>
      </c>
      <c r="DRK4" s="57">
        <f>'REG y VAL POE - AESR - ESR'!O74</f>
        <v>0</v>
      </c>
      <c r="DRL4" s="57">
        <f>'REG y VAL POE - AESR - ESR'!P74</f>
        <v>0</v>
      </c>
      <c r="DRM4" s="57">
        <f>'REG y VAL POE - AESR - ESR'!Q74</f>
        <v>0</v>
      </c>
      <c r="DRN4" s="57">
        <f>'REG y VAL POE - AESR - ESR'!R74</f>
        <v>0</v>
      </c>
      <c r="DRO4" s="57">
        <f>'REG y VAL POE - AESR - ESR'!S74</f>
        <v>0</v>
      </c>
      <c r="DRP4" s="57">
        <f>'REG y VAL POE - AESR - ESR'!T74</f>
        <v>0</v>
      </c>
      <c r="DRQ4" s="57">
        <f>'REG y VAL POE - AESR - ESR'!U74</f>
        <v>0</v>
      </c>
      <c r="DRR4" s="57">
        <f>'REG y VAL POE - AESR - ESR'!V74</f>
        <v>0</v>
      </c>
      <c r="DRS4" s="57">
        <f>'REG y VAL POE - AESR - ESR'!W74</f>
        <v>0</v>
      </c>
      <c r="DRT4" s="57">
        <f>'REG y VAL POE - AESR - ESR'!X74</f>
        <v>0</v>
      </c>
      <c r="DRU4" s="57">
        <f>'REG y VAL POE - AESR - ESR'!Y74</f>
        <v>0</v>
      </c>
      <c r="DRV4" s="57">
        <f>'REG y VAL POE - AESR - ESR'!Z74</f>
        <v>0</v>
      </c>
      <c r="DRW4" s="57">
        <f>'REG y VAL POE - AESR - ESR'!AA74</f>
        <v>0</v>
      </c>
      <c r="DRX4" s="57">
        <f>'REG y VAL POE - AESR - ESR'!AB74</f>
        <v>0</v>
      </c>
      <c r="DRY4" s="57">
        <f>'REG y VAL POE - AESR - ESR'!AC74</f>
        <v>0</v>
      </c>
      <c r="DRZ4" s="57">
        <f>'REG y VAL POE - AESR - ESR'!AD74</f>
        <v>0</v>
      </c>
      <c r="DSA4" s="57">
        <f>'REG y VAL POE - AESR - ESR'!AE74</f>
        <v>0</v>
      </c>
      <c r="DSB4" s="57">
        <f>'REG y VAL POE - AESR - ESR'!AF74</f>
        <v>0</v>
      </c>
      <c r="DSC4" s="57">
        <f>'REG y VAL POE - AESR - ESR'!AG74</f>
        <v>0</v>
      </c>
      <c r="DSD4" s="57">
        <f>'REG y VAL POE - AESR - ESR'!AH74</f>
        <v>0</v>
      </c>
      <c r="DSE4" s="57">
        <f>'REG y VAL POE - AESR - ESR'!AI74</f>
        <v>0</v>
      </c>
      <c r="DSF4" s="57">
        <f>'REG y VAL POE - AESR - ESR'!AJ74</f>
        <v>0</v>
      </c>
      <c r="DSG4" s="57">
        <f>'REG y VAL POE - AESR - ESR'!AK74</f>
        <v>0</v>
      </c>
      <c r="DSH4" s="57">
        <f>'REG y VAL POE - AESR - ESR'!AL74</f>
        <v>0</v>
      </c>
      <c r="DSI4" s="57">
        <f>'REG y VAL POE - AESR - ESR'!AM74</f>
        <v>0</v>
      </c>
      <c r="DSJ4" s="57">
        <f>'REG y VAL POE - AESR - ESR'!AN74</f>
        <v>0</v>
      </c>
      <c r="DSK4" s="57">
        <f>'REG y VAL POE - AESR - ESR'!AO74</f>
        <v>0</v>
      </c>
      <c r="DSL4" s="57">
        <f>'REG y VAL POE - AESR - ESR'!AP74</f>
        <v>0</v>
      </c>
      <c r="DSM4" s="57">
        <f>'REG y VAL POE - AESR - ESR'!AQ74</f>
        <v>0</v>
      </c>
      <c r="DSN4" s="57">
        <f>'REG y VAL POE - AESR - ESR'!AR74</f>
        <v>0</v>
      </c>
      <c r="DSO4" s="57">
        <f>'REG y VAL POE - AESR - ESR'!AS74</f>
        <v>0</v>
      </c>
      <c r="DSP4" s="55">
        <f>'REG y VAL POE - AESR - ESR'!B75</f>
        <v>0</v>
      </c>
      <c r="DSQ4" s="56">
        <f>'REG y VAL POE - AESR - ESR'!C75</f>
        <v>0</v>
      </c>
      <c r="DSR4" s="57">
        <f>'REG y VAL POE - AESR - ESR'!D75</f>
        <v>0</v>
      </c>
      <c r="DSS4" s="57">
        <f>'REG y VAL POE - AESR - ESR'!E75</f>
        <v>0</v>
      </c>
      <c r="DST4" s="57">
        <f>'REG y VAL POE - AESR - ESR'!F75</f>
        <v>0</v>
      </c>
      <c r="DSU4" s="57">
        <f>'REG y VAL POE - AESR - ESR'!G75</f>
        <v>0</v>
      </c>
      <c r="DSV4" s="57">
        <f>'REG y VAL POE - AESR - ESR'!H75</f>
        <v>0</v>
      </c>
      <c r="DSW4" s="56">
        <f>'REG y VAL POE - AESR - ESR'!I75</f>
        <v>0</v>
      </c>
      <c r="DSX4" s="57">
        <f>'REG y VAL POE - AESR - ESR'!J75</f>
        <v>0</v>
      </c>
      <c r="DSY4" s="57">
        <f>'REG y VAL POE - AESR - ESR'!K75</f>
        <v>0</v>
      </c>
      <c r="DSZ4" s="56">
        <f>'REG y VAL POE - AESR - ESR'!L75</f>
        <v>0</v>
      </c>
      <c r="DTA4" s="57">
        <f>'REG y VAL POE - AESR - ESR'!M75</f>
        <v>0</v>
      </c>
      <c r="DTB4" s="56">
        <f>'REG y VAL POE - AESR - ESR'!N75</f>
        <v>0</v>
      </c>
      <c r="DTC4" s="56">
        <f>'REG y VAL POE - AESR - ESR'!O75</f>
        <v>0</v>
      </c>
      <c r="DTD4" s="57">
        <f>'REG y VAL POE - AESR - ESR'!P75</f>
        <v>0</v>
      </c>
      <c r="DTE4" s="57">
        <f>'REG y VAL POE - AESR - ESR'!Q75</f>
        <v>0</v>
      </c>
      <c r="DTF4" s="57">
        <f>'REG y VAL POE - AESR - ESR'!R75</f>
        <v>0</v>
      </c>
      <c r="DTG4" s="56">
        <f>'REG y VAL POE - AESR - ESR'!S75</f>
        <v>0</v>
      </c>
      <c r="DTH4" s="57">
        <f>'REG y VAL POE - AESR - ESR'!T75</f>
        <v>0</v>
      </c>
      <c r="DTI4" s="57">
        <f>'REG y VAL POE - AESR - ESR'!U75</f>
        <v>0</v>
      </c>
      <c r="DTJ4" s="56">
        <f>'REG y VAL POE - AESR - ESR'!V75</f>
        <v>0</v>
      </c>
      <c r="DTK4" s="57">
        <f>'REG y VAL POE - AESR - ESR'!W75</f>
        <v>0</v>
      </c>
      <c r="DTL4" s="56">
        <f>'REG y VAL POE - AESR - ESR'!X75</f>
        <v>0</v>
      </c>
      <c r="DTM4" s="56">
        <f>'REG y VAL POE - AESR - ESR'!Y75</f>
        <v>0</v>
      </c>
      <c r="DTN4" s="57">
        <f>'REG y VAL POE - AESR - ESR'!Z75</f>
        <v>0</v>
      </c>
      <c r="DTO4" s="57">
        <f>'REG y VAL POE - AESR - ESR'!AA75</f>
        <v>0</v>
      </c>
      <c r="DTP4" s="57">
        <f>'REG y VAL POE - AESR - ESR'!AB75</f>
        <v>0</v>
      </c>
      <c r="DTQ4" s="56">
        <f>'REG y VAL POE - AESR - ESR'!AC75</f>
        <v>0</v>
      </c>
      <c r="DTR4" s="57">
        <f>'REG y VAL POE - AESR - ESR'!AD75</f>
        <v>0</v>
      </c>
      <c r="DTS4" s="57">
        <f>'REG y VAL POE - AESR - ESR'!AE75</f>
        <v>0</v>
      </c>
      <c r="DTT4" s="56">
        <f>'REG y VAL POE - AESR - ESR'!AF75</f>
        <v>0</v>
      </c>
      <c r="DTU4" s="57">
        <f>'REG y VAL POE - AESR - ESR'!AG75</f>
        <v>0</v>
      </c>
      <c r="DTV4" s="56">
        <f>'REG y VAL POE - AESR - ESR'!AH75</f>
        <v>0</v>
      </c>
      <c r="DTW4" s="56">
        <f>'REG y VAL POE - AESR - ESR'!AI75</f>
        <v>0</v>
      </c>
      <c r="DTX4" s="57">
        <f>'REG y VAL POE - AESR - ESR'!AJ75</f>
        <v>0</v>
      </c>
      <c r="DTY4" s="57">
        <f>'REG y VAL POE - AESR - ESR'!AK75</f>
        <v>0</v>
      </c>
      <c r="DTZ4" s="57">
        <f>'REG y VAL POE - AESR - ESR'!AL75</f>
        <v>0</v>
      </c>
      <c r="DUA4" s="56">
        <f>'REG y VAL POE - AESR - ESR'!AM75</f>
        <v>0</v>
      </c>
      <c r="DUB4" s="57">
        <f>'REG y VAL POE - AESR - ESR'!AN75</f>
        <v>0</v>
      </c>
      <c r="DUC4" s="57">
        <f>'REG y VAL POE - AESR - ESR'!AO75</f>
        <v>0</v>
      </c>
      <c r="DUD4" s="56">
        <f>'REG y VAL POE - AESR - ESR'!AP75</f>
        <v>0</v>
      </c>
      <c r="DUE4" s="57">
        <f>'REG y VAL POE - AESR - ESR'!AQ75</f>
        <v>0</v>
      </c>
      <c r="DUF4" s="56">
        <f>'REG y VAL POE - AESR - ESR'!AR75</f>
        <v>0</v>
      </c>
      <c r="DUG4" s="56">
        <f>'REG y VAL POE - AESR - ESR'!AS75</f>
        <v>0</v>
      </c>
      <c r="DUH4" s="55">
        <f>'REG y VAL POE - AESR - ESR'!B76</f>
        <v>0</v>
      </c>
      <c r="DUI4" s="57">
        <f>'REG y VAL POE - AESR - ESR'!C76</f>
        <v>0</v>
      </c>
      <c r="DUJ4" s="56">
        <f>'REG y VAL POE - AESR - ESR'!D76</f>
        <v>0</v>
      </c>
      <c r="DUK4" s="57">
        <f>'REG y VAL POE - AESR - ESR'!E76</f>
        <v>0</v>
      </c>
      <c r="DUL4" s="56">
        <f>'REG y VAL POE - AESR - ESR'!F76</f>
        <v>0</v>
      </c>
      <c r="DUM4" s="56">
        <f>'REG y VAL POE - AESR - ESR'!G76</f>
        <v>0</v>
      </c>
      <c r="DUN4" s="56">
        <f>'REG y VAL POE - AESR - ESR'!H76</f>
        <v>0</v>
      </c>
      <c r="DUO4" s="57">
        <f>'REG y VAL POE - AESR - ESR'!I76</f>
        <v>0</v>
      </c>
      <c r="DUP4" s="57">
        <f>'REG y VAL POE - AESR - ESR'!J76</f>
        <v>0</v>
      </c>
      <c r="DUQ4" s="57">
        <f>'REG y VAL POE - AESR - ESR'!K76</f>
        <v>0</v>
      </c>
      <c r="DUR4" s="57">
        <f>'REG y VAL POE - AESR - ESR'!L76</f>
        <v>0</v>
      </c>
      <c r="DUS4" s="57">
        <f>'REG y VAL POE - AESR - ESR'!M76</f>
        <v>0</v>
      </c>
      <c r="DUT4" s="57">
        <f>'REG y VAL POE - AESR - ESR'!N76</f>
        <v>0</v>
      </c>
      <c r="DUU4" s="57">
        <f>'REG y VAL POE - AESR - ESR'!O76</f>
        <v>0</v>
      </c>
      <c r="DUV4" s="57">
        <f>'REG y VAL POE - AESR - ESR'!P76</f>
        <v>0</v>
      </c>
      <c r="DUW4" s="57">
        <f>'REG y VAL POE - AESR - ESR'!Q76</f>
        <v>0</v>
      </c>
      <c r="DUX4" s="57">
        <f>'REG y VAL POE - AESR - ESR'!R76</f>
        <v>0</v>
      </c>
      <c r="DUY4" s="57">
        <f>'REG y VAL POE - AESR - ESR'!S76</f>
        <v>0</v>
      </c>
      <c r="DUZ4" s="57">
        <f>'REG y VAL POE - AESR - ESR'!T76</f>
        <v>0</v>
      </c>
      <c r="DVA4" s="57">
        <f>'REG y VAL POE - AESR - ESR'!U76</f>
        <v>0</v>
      </c>
      <c r="DVB4" s="57">
        <f>'REG y VAL POE - AESR - ESR'!V76</f>
        <v>0</v>
      </c>
      <c r="DVC4" s="57">
        <f>'REG y VAL POE - AESR - ESR'!W76</f>
        <v>0</v>
      </c>
      <c r="DVD4" s="57">
        <f>'REG y VAL POE - AESR - ESR'!X76</f>
        <v>0</v>
      </c>
      <c r="DVE4" s="57">
        <f>'REG y VAL POE - AESR - ESR'!Y76</f>
        <v>0</v>
      </c>
      <c r="DVF4" s="57">
        <f>'REG y VAL POE - AESR - ESR'!Z76</f>
        <v>0</v>
      </c>
      <c r="DVG4" s="57">
        <f>'REG y VAL POE - AESR - ESR'!AA76</f>
        <v>0</v>
      </c>
      <c r="DVH4" s="57">
        <f>'REG y VAL POE - AESR - ESR'!AB76</f>
        <v>0</v>
      </c>
      <c r="DVI4" s="57">
        <f>'REG y VAL POE - AESR - ESR'!AC76</f>
        <v>0</v>
      </c>
      <c r="DVJ4" s="57">
        <f>'REG y VAL POE - AESR - ESR'!AD76</f>
        <v>0</v>
      </c>
      <c r="DVK4" s="57">
        <f>'REG y VAL POE - AESR - ESR'!AE76</f>
        <v>0</v>
      </c>
      <c r="DVL4" s="57">
        <f>'REG y VAL POE - AESR - ESR'!AF76</f>
        <v>0</v>
      </c>
      <c r="DVM4" s="57">
        <f>'REG y VAL POE - AESR - ESR'!AG76</f>
        <v>0</v>
      </c>
      <c r="DVN4" s="57">
        <f>'REG y VAL POE - AESR - ESR'!AH76</f>
        <v>0</v>
      </c>
      <c r="DVO4" s="57">
        <f>'REG y VAL POE - AESR - ESR'!AI76</f>
        <v>0</v>
      </c>
      <c r="DVP4" s="57">
        <f>'REG y VAL POE - AESR - ESR'!AJ76</f>
        <v>0</v>
      </c>
      <c r="DVQ4" s="57">
        <f>'REG y VAL POE - AESR - ESR'!AK76</f>
        <v>0</v>
      </c>
      <c r="DVR4" s="57">
        <f>'REG y VAL POE - AESR - ESR'!AL76</f>
        <v>0</v>
      </c>
      <c r="DVS4" s="57">
        <f>'REG y VAL POE - AESR - ESR'!AM76</f>
        <v>0</v>
      </c>
      <c r="DVT4" s="57">
        <f>'REG y VAL POE - AESR - ESR'!AN76</f>
        <v>0</v>
      </c>
      <c r="DVU4" s="57">
        <f>'REG y VAL POE - AESR - ESR'!AO76</f>
        <v>0</v>
      </c>
      <c r="DVV4" s="57">
        <f>'REG y VAL POE - AESR - ESR'!AP76</f>
        <v>0</v>
      </c>
      <c r="DVW4" s="57">
        <f>'REG y VAL POE - AESR - ESR'!AQ76</f>
        <v>0</v>
      </c>
      <c r="DVX4" s="57">
        <f>'REG y VAL POE - AESR - ESR'!AR76</f>
        <v>0</v>
      </c>
      <c r="DVY4" s="57">
        <f>'REG y VAL POE - AESR - ESR'!AS76</f>
        <v>0</v>
      </c>
      <c r="DVZ4" s="55">
        <f>'REG y VAL POE - AESR - ESR'!B77</f>
        <v>0</v>
      </c>
      <c r="DWA4" s="56">
        <f>'REG y VAL POE - AESR - ESR'!C77</f>
        <v>0</v>
      </c>
      <c r="DWB4" s="57">
        <f>'REG y VAL POE - AESR - ESR'!D77</f>
        <v>0</v>
      </c>
      <c r="DWC4" s="57">
        <f>'REG y VAL POE - AESR - ESR'!E77</f>
        <v>0</v>
      </c>
      <c r="DWD4" s="57">
        <f>'REG y VAL POE - AESR - ESR'!F77</f>
        <v>0</v>
      </c>
      <c r="DWE4" s="57">
        <f>'REG y VAL POE - AESR - ESR'!G77</f>
        <v>0</v>
      </c>
      <c r="DWF4" s="57">
        <f>'REG y VAL POE - AESR - ESR'!H77</f>
        <v>0</v>
      </c>
      <c r="DWG4" s="56">
        <f>'REG y VAL POE - AESR - ESR'!I77</f>
        <v>0</v>
      </c>
      <c r="DWH4" s="57">
        <f>'REG y VAL POE - AESR - ESR'!J77</f>
        <v>0</v>
      </c>
      <c r="DWI4" s="57">
        <f>'REG y VAL POE - AESR - ESR'!K77</f>
        <v>0</v>
      </c>
      <c r="DWJ4" s="56">
        <f>'REG y VAL POE - AESR - ESR'!L77</f>
        <v>0</v>
      </c>
      <c r="DWK4" s="57">
        <f>'REG y VAL POE - AESR - ESR'!M77</f>
        <v>0</v>
      </c>
      <c r="DWL4" s="56">
        <f>'REG y VAL POE - AESR - ESR'!N77</f>
        <v>0</v>
      </c>
      <c r="DWM4" s="56">
        <f>'REG y VAL POE - AESR - ESR'!O77</f>
        <v>0</v>
      </c>
      <c r="DWN4" s="57">
        <f>'REG y VAL POE - AESR - ESR'!P77</f>
        <v>0</v>
      </c>
      <c r="DWO4" s="57">
        <f>'REG y VAL POE - AESR - ESR'!Q77</f>
        <v>0</v>
      </c>
      <c r="DWP4" s="57">
        <f>'REG y VAL POE - AESR - ESR'!R77</f>
        <v>0</v>
      </c>
      <c r="DWQ4" s="56">
        <f>'REG y VAL POE - AESR - ESR'!S77</f>
        <v>0</v>
      </c>
      <c r="DWR4" s="57">
        <f>'REG y VAL POE - AESR - ESR'!T77</f>
        <v>0</v>
      </c>
      <c r="DWS4" s="57">
        <f>'REG y VAL POE - AESR - ESR'!U77</f>
        <v>0</v>
      </c>
      <c r="DWT4" s="56">
        <f>'REG y VAL POE - AESR - ESR'!V77</f>
        <v>0</v>
      </c>
      <c r="DWU4" s="57">
        <f>'REG y VAL POE - AESR - ESR'!W77</f>
        <v>0</v>
      </c>
      <c r="DWV4" s="56">
        <f>'REG y VAL POE - AESR - ESR'!X77</f>
        <v>0</v>
      </c>
      <c r="DWW4" s="56">
        <f>'REG y VAL POE - AESR - ESR'!Y77</f>
        <v>0</v>
      </c>
      <c r="DWX4" s="57">
        <f>'REG y VAL POE - AESR - ESR'!Z77</f>
        <v>0</v>
      </c>
      <c r="DWY4" s="57">
        <f>'REG y VAL POE - AESR - ESR'!AA77</f>
        <v>0</v>
      </c>
      <c r="DWZ4" s="57">
        <f>'REG y VAL POE - AESR - ESR'!AB77</f>
        <v>0</v>
      </c>
      <c r="DXA4" s="56">
        <f>'REG y VAL POE - AESR - ESR'!AC77</f>
        <v>0</v>
      </c>
      <c r="DXB4" s="57">
        <f>'REG y VAL POE - AESR - ESR'!AD77</f>
        <v>0</v>
      </c>
      <c r="DXC4" s="57">
        <f>'REG y VAL POE - AESR - ESR'!AE77</f>
        <v>0</v>
      </c>
      <c r="DXD4" s="56">
        <f>'REG y VAL POE - AESR - ESR'!AF77</f>
        <v>0</v>
      </c>
      <c r="DXE4" s="57">
        <f>'REG y VAL POE - AESR - ESR'!AG77</f>
        <v>0</v>
      </c>
      <c r="DXF4" s="56">
        <f>'REG y VAL POE - AESR - ESR'!AH77</f>
        <v>0</v>
      </c>
      <c r="DXG4" s="56">
        <f>'REG y VAL POE - AESR - ESR'!AI77</f>
        <v>0</v>
      </c>
      <c r="DXH4" s="57">
        <f>'REG y VAL POE - AESR - ESR'!AJ77</f>
        <v>0</v>
      </c>
      <c r="DXI4" s="57">
        <f>'REG y VAL POE - AESR - ESR'!AK77</f>
        <v>0</v>
      </c>
      <c r="DXJ4" s="57">
        <f>'REG y VAL POE - AESR - ESR'!AL77</f>
        <v>0</v>
      </c>
      <c r="DXK4" s="56">
        <f>'REG y VAL POE - AESR - ESR'!AM77</f>
        <v>0</v>
      </c>
      <c r="DXL4" s="57">
        <f>'REG y VAL POE - AESR - ESR'!AN77</f>
        <v>0</v>
      </c>
      <c r="DXM4" s="57">
        <f>'REG y VAL POE - AESR - ESR'!AO77</f>
        <v>0</v>
      </c>
      <c r="DXN4" s="56">
        <f>'REG y VAL POE - AESR - ESR'!AP77</f>
        <v>0</v>
      </c>
      <c r="DXO4" s="57">
        <f>'REG y VAL POE - AESR - ESR'!AQ77</f>
        <v>0</v>
      </c>
      <c r="DXP4" s="56">
        <f>'REG y VAL POE - AESR - ESR'!AR77</f>
        <v>0</v>
      </c>
      <c r="DXQ4" s="56">
        <f>'REG y VAL POE - AESR - ESR'!AS77</f>
        <v>0</v>
      </c>
      <c r="DXR4" s="55">
        <f>'REG y VAL POE - AESR - ESR'!B78</f>
        <v>0</v>
      </c>
      <c r="DXS4" s="57">
        <f>'REG y VAL POE - AESR - ESR'!C78</f>
        <v>0</v>
      </c>
      <c r="DXT4" s="56">
        <f>'REG y VAL POE - AESR - ESR'!D78</f>
        <v>0</v>
      </c>
      <c r="DXU4" s="57">
        <f>'REG y VAL POE - AESR - ESR'!E78</f>
        <v>0</v>
      </c>
      <c r="DXV4" s="56">
        <f>'REG y VAL POE - AESR - ESR'!F78</f>
        <v>0</v>
      </c>
      <c r="DXW4" s="56">
        <f>'REG y VAL POE - AESR - ESR'!G78</f>
        <v>0</v>
      </c>
      <c r="DXX4" s="56">
        <f>'REG y VAL POE - AESR - ESR'!H78</f>
        <v>0</v>
      </c>
      <c r="DXY4" s="57">
        <f>'REG y VAL POE - AESR - ESR'!I78</f>
        <v>0</v>
      </c>
      <c r="DXZ4" s="57">
        <f>'REG y VAL POE - AESR - ESR'!J78</f>
        <v>0</v>
      </c>
      <c r="DYA4" s="57">
        <f>'REG y VAL POE - AESR - ESR'!K78</f>
        <v>0</v>
      </c>
      <c r="DYB4" s="57">
        <f>'REG y VAL POE - AESR - ESR'!L78</f>
        <v>0</v>
      </c>
      <c r="DYC4" s="57">
        <f>'REG y VAL POE - AESR - ESR'!M78</f>
        <v>0</v>
      </c>
      <c r="DYD4" s="57">
        <f>'REG y VAL POE - AESR - ESR'!N78</f>
        <v>0</v>
      </c>
      <c r="DYE4" s="57">
        <f>'REG y VAL POE - AESR - ESR'!O78</f>
        <v>0</v>
      </c>
      <c r="DYF4" s="57">
        <f>'REG y VAL POE - AESR - ESR'!P78</f>
        <v>0</v>
      </c>
      <c r="DYG4" s="57">
        <f>'REG y VAL POE - AESR - ESR'!Q78</f>
        <v>0</v>
      </c>
      <c r="DYH4" s="57">
        <f>'REG y VAL POE - AESR - ESR'!R78</f>
        <v>0</v>
      </c>
      <c r="DYI4" s="57">
        <f>'REG y VAL POE - AESR - ESR'!S78</f>
        <v>0</v>
      </c>
      <c r="DYJ4" s="57">
        <f>'REG y VAL POE - AESR - ESR'!T78</f>
        <v>0</v>
      </c>
      <c r="DYK4" s="57">
        <f>'REG y VAL POE - AESR - ESR'!U78</f>
        <v>0</v>
      </c>
      <c r="DYL4" s="57">
        <f>'REG y VAL POE - AESR - ESR'!V78</f>
        <v>0</v>
      </c>
      <c r="DYM4" s="57">
        <f>'REG y VAL POE - AESR - ESR'!W78</f>
        <v>0</v>
      </c>
      <c r="DYN4" s="57">
        <f>'REG y VAL POE - AESR - ESR'!X78</f>
        <v>0</v>
      </c>
      <c r="DYO4" s="57">
        <f>'REG y VAL POE - AESR - ESR'!Y78</f>
        <v>0</v>
      </c>
      <c r="DYP4" s="57">
        <f>'REG y VAL POE - AESR - ESR'!Z78</f>
        <v>0</v>
      </c>
      <c r="DYQ4" s="57">
        <f>'REG y VAL POE - AESR - ESR'!AA78</f>
        <v>0</v>
      </c>
      <c r="DYR4" s="57">
        <f>'REG y VAL POE - AESR - ESR'!AB78</f>
        <v>0</v>
      </c>
      <c r="DYS4" s="57">
        <f>'REG y VAL POE - AESR - ESR'!AC78</f>
        <v>0</v>
      </c>
      <c r="DYT4" s="57">
        <f>'REG y VAL POE - AESR - ESR'!AD78</f>
        <v>0</v>
      </c>
      <c r="DYU4" s="57">
        <f>'REG y VAL POE - AESR - ESR'!AE78</f>
        <v>0</v>
      </c>
      <c r="DYV4" s="57">
        <f>'REG y VAL POE - AESR - ESR'!AF78</f>
        <v>0</v>
      </c>
      <c r="DYW4" s="57">
        <f>'REG y VAL POE - AESR - ESR'!AG78</f>
        <v>0</v>
      </c>
      <c r="DYX4" s="57">
        <f>'REG y VAL POE - AESR - ESR'!AH78</f>
        <v>0</v>
      </c>
      <c r="DYY4" s="57">
        <f>'REG y VAL POE - AESR - ESR'!AI78</f>
        <v>0</v>
      </c>
      <c r="DYZ4" s="57">
        <f>'REG y VAL POE - AESR - ESR'!AJ78</f>
        <v>0</v>
      </c>
      <c r="DZA4" s="57">
        <f>'REG y VAL POE - AESR - ESR'!AK78</f>
        <v>0</v>
      </c>
      <c r="DZB4" s="57">
        <f>'REG y VAL POE - AESR - ESR'!AL78</f>
        <v>0</v>
      </c>
      <c r="DZC4" s="57">
        <f>'REG y VAL POE - AESR - ESR'!AM78</f>
        <v>0</v>
      </c>
      <c r="DZD4" s="57">
        <f>'REG y VAL POE - AESR - ESR'!AN78</f>
        <v>0</v>
      </c>
      <c r="DZE4" s="57">
        <f>'REG y VAL POE - AESR - ESR'!AO78</f>
        <v>0</v>
      </c>
      <c r="DZF4" s="57">
        <f>'REG y VAL POE - AESR - ESR'!AP78</f>
        <v>0</v>
      </c>
      <c r="DZG4" s="57">
        <f>'REG y VAL POE - AESR - ESR'!AQ78</f>
        <v>0</v>
      </c>
      <c r="DZH4" s="57">
        <f>'REG y VAL POE - AESR - ESR'!AR78</f>
        <v>0</v>
      </c>
      <c r="DZI4" s="57">
        <f>'REG y VAL POE - AESR - ESR'!AS78</f>
        <v>0</v>
      </c>
      <c r="DZJ4" s="55">
        <f>'REG y VAL POE - AESR - ESR'!B79</f>
        <v>0</v>
      </c>
      <c r="DZK4" s="56">
        <f>'REG y VAL POE - AESR - ESR'!C79</f>
        <v>0</v>
      </c>
      <c r="DZL4" s="57">
        <f>'REG y VAL POE - AESR - ESR'!D79</f>
        <v>0</v>
      </c>
      <c r="DZM4" s="57">
        <f>'REG y VAL POE - AESR - ESR'!E79</f>
        <v>0</v>
      </c>
      <c r="DZN4" s="57">
        <f>'REG y VAL POE - AESR - ESR'!F79</f>
        <v>0</v>
      </c>
      <c r="DZO4" s="57">
        <f>'REG y VAL POE - AESR - ESR'!G79</f>
        <v>0</v>
      </c>
      <c r="DZP4" s="57">
        <f>'REG y VAL POE - AESR - ESR'!H79</f>
        <v>0</v>
      </c>
      <c r="DZQ4" s="56">
        <f>'REG y VAL POE - AESR - ESR'!I79</f>
        <v>0</v>
      </c>
      <c r="DZR4" s="57">
        <f>'REG y VAL POE - AESR - ESR'!J79</f>
        <v>0</v>
      </c>
      <c r="DZS4" s="57">
        <f>'REG y VAL POE - AESR - ESR'!K79</f>
        <v>0</v>
      </c>
      <c r="DZT4" s="56">
        <f>'REG y VAL POE - AESR - ESR'!L79</f>
        <v>0</v>
      </c>
      <c r="DZU4" s="57">
        <f>'REG y VAL POE - AESR - ESR'!M79</f>
        <v>0</v>
      </c>
      <c r="DZV4" s="56">
        <f>'REG y VAL POE - AESR - ESR'!N79</f>
        <v>0</v>
      </c>
      <c r="DZW4" s="56">
        <f>'REG y VAL POE - AESR - ESR'!O79</f>
        <v>0</v>
      </c>
      <c r="DZX4" s="57">
        <f>'REG y VAL POE - AESR - ESR'!P79</f>
        <v>0</v>
      </c>
      <c r="DZY4" s="57">
        <f>'REG y VAL POE - AESR - ESR'!Q79</f>
        <v>0</v>
      </c>
      <c r="DZZ4" s="57">
        <f>'REG y VAL POE - AESR - ESR'!R79</f>
        <v>0</v>
      </c>
      <c r="EAA4" s="56">
        <f>'REG y VAL POE - AESR - ESR'!S79</f>
        <v>0</v>
      </c>
      <c r="EAB4" s="57">
        <f>'REG y VAL POE - AESR - ESR'!T79</f>
        <v>0</v>
      </c>
      <c r="EAC4" s="57">
        <f>'REG y VAL POE - AESR - ESR'!U79</f>
        <v>0</v>
      </c>
      <c r="EAD4" s="56">
        <f>'REG y VAL POE - AESR - ESR'!V79</f>
        <v>0</v>
      </c>
      <c r="EAE4" s="57">
        <f>'REG y VAL POE - AESR - ESR'!W79</f>
        <v>0</v>
      </c>
      <c r="EAF4" s="56">
        <f>'REG y VAL POE - AESR - ESR'!X79</f>
        <v>0</v>
      </c>
      <c r="EAG4" s="56">
        <f>'REG y VAL POE - AESR - ESR'!Y79</f>
        <v>0</v>
      </c>
      <c r="EAH4" s="57">
        <f>'REG y VAL POE - AESR - ESR'!Z79</f>
        <v>0</v>
      </c>
      <c r="EAI4" s="57">
        <f>'REG y VAL POE - AESR - ESR'!AA79</f>
        <v>0</v>
      </c>
      <c r="EAJ4" s="57">
        <f>'REG y VAL POE - AESR - ESR'!AB79</f>
        <v>0</v>
      </c>
      <c r="EAK4" s="56">
        <f>'REG y VAL POE - AESR - ESR'!AC79</f>
        <v>0</v>
      </c>
      <c r="EAL4" s="57">
        <f>'REG y VAL POE - AESR - ESR'!AD79</f>
        <v>0</v>
      </c>
      <c r="EAM4" s="57">
        <f>'REG y VAL POE - AESR - ESR'!AE79</f>
        <v>0</v>
      </c>
      <c r="EAN4" s="56">
        <f>'REG y VAL POE - AESR - ESR'!AF79</f>
        <v>0</v>
      </c>
      <c r="EAO4" s="57">
        <f>'REG y VAL POE - AESR - ESR'!AG79</f>
        <v>0</v>
      </c>
      <c r="EAP4" s="56">
        <f>'REG y VAL POE - AESR - ESR'!AH79</f>
        <v>0</v>
      </c>
      <c r="EAQ4" s="56">
        <f>'REG y VAL POE - AESR - ESR'!AI79</f>
        <v>0</v>
      </c>
      <c r="EAR4" s="57">
        <f>'REG y VAL POE - AESR - ESR'!AJ79</f>
        <v>0</v>
      </c>
      <c r="EAS4" s="57">
        <f>'REG y VAL POE - AESR - ESR'!AK79</f>
        <v>0</v>
      </c>
      <c r="EAT4" s="57">
        <f>'REG y VAL POE - AESR - ESR'!AL79</f>
        <v>0</v>
      </c>
      <c r="EAU4" s="56">
        <f>'REG y VAL POE - AESR - ESR'!AM79</f>
        <v>0</v>
      </c>
      <c r="EAV4" s="57">
        <f>'REG y VAL POE - AESR - ESR'!AN79</f>
        <v>0</v>
      </c>
      <c r="EAW4" s="57">
        <f>'REG y VAL POE - AESR - ESR'!AO79</f>
        <v>0</v>
      </c>
      <c r="EAX4" s="56">
        <f>'REG y VAL POE - AESR - ESR'!AP79</f>
        <v>0</v>
      </c>
      <c r="EAY4" s="57">
        <f>'REG y VAL POE - AESR - ESR'!AQ79</f>
        <v>0</v>
      </c>
      <c r="EAZ4" s="56">
        <f>'REG y VAL POE - AESR - ESR'!AR79</f>
        <v>0</v>
      </c>
      <c r="EBA4" s="56">
        <f>'REG y VAL POE - AESR - ESR'!AS79</f>
        <v>0</v>
      </c>
      <c r="EBB4" s="55">
        <f>'REG y VAL POE - AESR - ESR'!B80</f>
        <v>0</v>
      </c>
      <c r="EBC4" s="57">
        <f>'REG y VAL POE - AESR - ESR'!C80</f>
        <v>0</v>
      </c>
      <c r="EBD4" s="56">
        <f>'REG y VAL POE - AESR - ESR'!D80</f>
        <v>0</v>
      </c>
      <c r="EBE4" s="57">
        <f>'REG y VAL POE - AESR - ESR'!E80</f>
        <v>0</v>
      </c>
      <c r="EBF4" s="56">
        <f>'REG y VAL POE - AESR - ESR'!F80</f>
        <v>0</v>
      </c>
      <c r="EBG4" s="56">
        <f>'REG y VAL POE - AESR - ESR'!G80</f>
        <v>0</v>
      </c>
      <c r="EBH4" s="56">
        <f>'REG y VAL POE - AESR - ESR'!H80</f>
        <v>0</v>
      </c>
      <c r="EBI4" s="57">
        <f>'REG y VAL POE - AESR - ESR'!I80</f>
        <v>0</v>
      </c>
      <c r="EBJ4" s="57">
        <f>'REG y VAL POE - AESR - ESR'!J80</f>
        <v>0</v>
      </c>
      <c r="EBK4" s="57">
        <f>'REG y VAL POE - AESR - ESR'!K80</f>
        <v>0</v>
      </c>
      <c r="EBL4" s="57">
        <f>'REG y VAL POE - AESR - ESR'!L80</f>
        <v>0</v>
      </c>
      <c r="EBM4" s="57">
        <f>'REG y VAL POE - AESR - ESR'!M80</f>
        <v>0</v>
      </c>
      <c r="EBN4" s="57">
        <f>'REG y VAL POE - AESR - ESR'!N80</f>
        <v>0</v>
      </c>
      <c r="EBO4" s="57">
        <f>'REG y VAL POE - AESR - ESR'!O80</f>
        <v>0</v>
      </c>
      <c r="EBP4" s="57">
        <f>'REG y VAL POE - AESR - ESR'!P80</f>
        <v>0</v>
      </c>
      <c r="EBQ4" s="57">
        <f>'REG y VAL POE - AESR - ESR'!Q80</f>
        <v>0</v>
      </c>
      <c r="EBR4" s="57">
        <f>'REG y VAL POE - AESR - ESR'!R80</f>
        <v>0</v>
      </c>
      <c r="EBS4" s="57">
        <f>'REG y VAL POE - AESR - ESR'!S80</f>
        <v>0</v>
      </c>
      <c r="EBT4" s="57">
        <f>'REG y VAL POE - AESR - ESR'!T80</f>
        <v>0</v>
      </c>
      <c r="EBU4" s="57">
        <f>'REG y VAL POE - AESR - ESR'!U80</f>
        <v>0</v>
      </c>
      <c r="EBV4" s="57">
        <f>'REG y VAL POE - AESR - ESR'!V80</f>
        <v>0</v>
      </c>
      <c r="EBW4" s="57">
        <f>'REG y VAL POE - AESR - ESR'!W80</f>
        <v>0</v>
      </c>
      <c r="EBX4" s="57">
        <f>'REG y VAL POE - AESR - ESR'!X80</f>
        <v>0</v>
      </c>
      <c r="EBY4" s="57">
        <f>'REG y VAL POE - AESR - ESR'!Y80</f>
        <v>0</v>
      </c>
      <c r="EBZ4" s="57">
        <f>'REG y VAL POE - AESR - ESR'!Z80</f>
        <v>0</v>
      </c>
      <c r="ECA4" s="57">
        <f>'REG y VAL POE - AESR - ESR'!AA80</f>
        <v>0</v>
      </c>
      <c r="ECB4" s="57">
        <f>'REG y VAL POE - AESR - ESR'!AB80</f>
        <v>0</v>
      </c>
      <c r="ECC4" s="57">
        <f>'REG y VAL POE - AESR - ESR'!AC80</f>
        <v>0</v>
      </c>
      <c r="ECD4" s="57">
        <f>'REG y VAL POE - AESR - ESR'!AD80</f>
        <v>0</v>
      </c>
      <c r="ECE4" s="57">
        <f>'REG y VAL POE - AESR - ESR'!AE80</f>
        <v>0</v>
      </c>
      <c r="ECF4" s="57">
        <f>'REG y VAL POE - AESR - ESR'!AF80</f>
        <v>0</v>
      </c>
      <c r="ECG4" s="57">
        <f>'REG y VAL POE - AESR - ESR'!AG80</f>
        <v>0</v>
      </c>
      <c r="ECH4" s="57">
        <f>'REG y VAL POE - AESR - ESR'!AH80</f>
        <v>0</v>
      </c>
      <c r="ECI4" s="57">
        <f>'REG y VAL POE - AESR - ESR'!AI80</f>
        <v>0</v>
      </c>
      <c r="ECJ4" s="57">
        <f>'REG y VAL POE - AESR - ESR'!AJ80</f>
        <v>0</v>
      </c>
      <c r="ECK4" s="57">
        <f>'REG y VAL POE - AESR - ESR'!AK80</f>
        <v>0</v>
      </c>
      <c r="ECL4" s="57">
        <f>'REG y VAL POE - AESR - ESR'!AL80</f>
        <v>0</v>
      </c>
      <c r="ECM4" s="57">
        <f>'REG y VAL POE - AESR - ESR'!AM80</f>
        <v>0</v>
      </c>
      <c r="ECN4" s="57">
        <f>'REG y VAL POE - AESR - ESR'!AN80</f>
        <v>0</v>
      </c>
      <c r="ECO4" s="57">
        <f>'REG y VAL POE - AESR - ESR'!AO80</f>
        <v>0</v>
      </c>
      <c r="ECP4" s="57">
        <f>'REG y VAL POE - AESR - ESR'!AP80</f>
        <v>0</v>
      </c>
      <c r="ECQ4" s="57">
        <f>'REG y VAL POE - AESR - ESR'!AQ80</f>
        <v>0</v>
      </c>
      <c r="ECR4" s="57">
        <f>'REG y VAL POE - AESR - ESR'!AR80</f>
        <v>0</v>
      </c>
      <c r="ECS4" s="57">
        <f>'REG y VAL POE - AESR - ESR'!AS80</f>
        <v>0</v>
      </c>
      <c r="ECT4" s="55">
        <f>'REG y VAL POE - AESR - ESR'!B81</f>
        <v>0</v>
      </c>
      <c r="ECU4" s="56">
        <f>'REG y VAL POE - AESR - ESR'!C81</f>
        <v>0</v>
      </c>
      <c r="ECV4" s="57">
        <f>'REG y VAL POE - AESR - ESR'!D81</f>
        <v>0</v>
      </c>
      <c r="ECW4" s="57">
        <f>'REG y VAL POE - AESR - ESR'!E81</f>
        <v>0</v>
      </c>
      <c r="ECX4" s="57">
        <f>'REG y VAL POE - AESR - ESR'!F81</f>
        <v>0</v>
      </c>
      <c r="ECY4" s="57">
        <f>'REG y VAL POE - AESR - ESR'!G81</f>
        <v>0</v>
      </c>
      <c r="ECZ4" s="57">
        <f>'REG y VAL POE - AESR - ESR'!H81</f>
        <v>0</v>
      </c>
      <c r="EDA4" s="56">
        <f>'REG y VAL POE - AESR - ESR'!I81</f>
        <v>0</v>
      </c>
      <c r="EDB4" s="57">
        <f>'REG y VAL POE - AESR - ESR'!J81</f>
        <v>0</v>
      </c>
      <c r="EDC4" s="57">
        <f>'REG y VAL POE - AESR - ESR'!K81</f>
        <v>0</v>
      </c>
      <c r="EDD4" s="56">
        <f>'REG y VAL POE - AESR - ESR'!L81</f>
        <v>0</v>
      </c>
      <c r="EDE4" s="57">
        <f>'REG y VAL POE - AESR - ESR'!M81</f>
        <v>0</v>
      </c>
      <c r="EDF4" s="56">
        <f>'REG y VAL POE - AESR - ESR'!N81</f>
        <v>0</v>
      </c>
      <c r="EDG4" s="56">
        <f>'REG y VAL POE - AESR - ESR'!O81</f>
        <v>0</v>
      </c>
      <c r="EDH4" s="57">
        <f>'REG y VAL POE - AESR - ESR'!P81</f>
        <v>0</v>
      </c>
      <c r="EDI4" s="57">
        <f>'REG y VAL POE - AESR - ESR'!Q81</f>
        <v>0</v>
      </c>
      <c r="EDJ4" s="57">
        <f>'REG y VAL POE - AESR - ESR'!R81</f>
        <v>0</v>
      </c>
      <c r="EDK4" s="56">
        <f>'REG y VAL POE - AESR - ESR'!S81</f>
        <v>0</v>
      </c>
      <c r="EDL4" s="57">
        <f>'REG y VAL POE - AESR - ESR'!T81</f>
        <v>0</v>
      </c>
      <c r="EDM4" s="57">
        <f>'REG y VAL POE - AESR - ESR'!U81</f>
        <v>0</v>
      </c>
      <c r="EDN4" s="56">
        <f>'REG y VAL POE - AESR - ESR'!V81</f>
        <v>0</v>
      </c>
      <c r="EDO4" s="57">
        <f>'REG y VAL POE - AESR - ESR'!W81</f>
        <v>0</v>
      </c>
      <c r="EDP4" s="56">
        <f>'REG y VAL POE - AESR - ESR'!X81</f>
        <v>0</v>
      </c>
      <c r="EDQ4" s="56">
        <f>'REG y VAL POE - AESR - ESR'!Y81</f>
        <v>0</v>
      </c>
      <c r="EDR4" s="57">
        <f>'REG y VAL POE - AESR - ESR'!Z81</f>
        <v>0</v>
      </c>
      <c r="EDS4" s="57">
        <f>'REG y VAL POE - AESR - ESR'!AA81</f>
        <v>0</v>
      </c>
      <c r="EDT4" s="57">
        <f>'REG y VAL POE - AESR - ESR'!AB81</f>
        <v>0</v>
      </c>
      <c r="EDU4" s="56">
        <f>'REG y VAL POE - AESR - ESR'!AC81</f>
        <v>0</v>
      </c>
      <c r="EDV4" s="57">
        <f>'REG y VAL POE - AESR - ESR'!AD81</f>
        <v>0</v>
      </c>
      <c r="EDW4" s="57">
        <f>'REG y VAL POE - AESR - ESR'!AE81</f>
        <v>0</v>
      </c>
      <c r="EDX4" s="56">
        <f>'REG y VAL POE - AESR - ESR'!AF81</f>
        <v>0</v>
      </c>
      <c r="EDY4" s="57">
        <f>'REG y VAL POE - AESR - ESR'!AG81</f>
        <v>0</v>
      </c>
      <c r="EDZ4" s="56">
        <f>'REG y VAL POE - AESR - ESR'!AH81</f>
        <v>0</v>
      </c>
      <c r="EEA4" s="56">
        <f>'REG y VAL POE - AESR - ESR'!AI81</f>
        <v>0</v>
      </c>
      <c r="EEB4" s="57">
        <f>'REG y VAL POE - AESR - ESR'!AJ81</f>
        <v>0</v>
      </c>
      <c r="EEC4" s="57">
        <f>'REG y VAL POE - AESR - ESR'!AK81</f>
        <v>0</v>
      </c>
      <c r="EED4" s="57">
        <f>'REG y VAL POE - AESR - ESR'!AL81</f>
        <v>0</v>
      </c>
      <c r="EEE4" s="56">
        <f>'REG y VAL POE - AESR - ESR'!AM81</f>
        <v>0</v>
      </c>
      <c r="EEF4" s="57">
        <f>'REG y VAL POE - AESR - ESR'!AN81</f>
        <v>0</v>
      </c>
      <c r="EEG4" s="57">
        <f>'REG y VAL POE - AESR - ESR'!AO81</f>
        <v>0</v>
      </c>
      <c r="EEH4" s="56">
        <f>'REG y VAL POE - AESR - ESR'!AP81</f>
        <v>0</v>
      </c>
      <c r="EEI4" s="57">
        <f>'REG y VAL POE - AESR - ESR'!AQ81</f>
        <v>0</v>
      </c>
      <c r="EEJ4" s="56">
        <f>'REG y VAL POE - AESR - ESR'!AR81</f>
        <v>0</v>
      </c>
      <c r="EEK4" s="56">
        <f>'REG y VAL POE - AESR - ESR'!AS81</f>
        <v>0</v>
      </c>
      <c r="EEL4" s="58"/>
      <c r="EEM4" s="57"/>
      <c r="EEN4" s="56"/>
      <c r="EEO4" s="57"/>
      <c r="EEP4" s="56"/>
      <c r="EEQ4" s="56"/>
      <c r="EER4" s="56"/>
      <c r="EES4" s="57"/>
      <c r="EET4" s="387"/>
      <c r="EEU4" s="57"/>
      <c r="EEV4" s="387"/>
      <c r="EEW4" s="57"/>
      <c r="EEX4" s="387"/>
      <c r="EEY4" s="57"/>
      <c r="EEZ4" s="57"/>
      <c r="EFA4" s="57"/>
      <c r="EFB4" s="57"/>
      <c r="EFC4" s="57"/>
      <c r="EFD4" s="57"/>
      <c r="EFE4" s="57"/>
      <c r="EFF4" s="57"/>
      <c r="EFG4" s="57"/>
      <c r="EFH4" s="57"/>
      <c r="EFI4" s="57"/>
      <c r="EFJ4" s="57"/>
      <c r="EFK4" s="57"/>
      <c r="EFL4" s="57"/>
      <c r="EFM4" s="57"/>
      <c r="EFN4" s="57"/>
      <c r="EFO4" s="57"/>
      <c r="EFP4" s="57"/>
      <c r="EFQ4" s="57"/>
      <c r="EFR4" s="57"/>
      <c r="EFS4" s="57"/>
      <c r="EFT4" s="57"/>
      <c r="EFU4" s="57"/>
      <c r="EFV4" s="57"/>
      <c r="EFW4" s="57"/>
      <c r="EFX4" s="57"/>
      <c r="EFY4" s="57"/>
      <c r="EFZ4" s="57"/>
      <c r="EGA4" s="57"/>
      <c r="EGB4" s="57"/>
      <c r="EGC4" s="57"/>
      <c r="EGD4" s="58"/>
      <c r="EGE4" s="56"/>
      <c r="EGF4" s="57"/>
      <c r="EGG4" s="57"/>
      <c r="EGH4" s="57"/>
      <c r="EGI4" s="57"/>
      <c r="EGJ4" s="57"/>
      <c r="EGK4" s="56"/>
      <c r="EGL4" s="57"/>
      <c r="EGM4" s="57"/>
      <c r="EGN4" s="56"/>
      <c r="EGO4" s="57"/>
      <c r="EGP4" s="58"/>
      <c r="EGQ4" s="56"/>
      <c r="EGR4" s="57"/>
      <c r="EGS4" s="57"/>
      <c r="EGT4" s="57"/>
      <c r="EGU4" s="56"/>
      <c r="EGV4" s="57"/>
      <c r="EGW4" s="57"/>
      <c r="EGX4" s="56"/>
      <c r="EGY4" s="57"/>
      <c r="EGZ4" s="58"/>
      <c r="EHA4" s="56"/>
      <c r="EHB4" s="57"/>
      <c r="EHC4" s="57"/>
      <c r="EHD4" s="57"/>
      <c r="EHE4" s="56"/>
      <c r="EHF4" s="57"/>
      <c r="EHG4" s="57"/>
      <c r="EHH4" s="56"/>
      <c r="EHI4" s="57"/>
      <c r="EHJ4" s="58"/>
      <c r="EHK4" s="56"/>
      <c r="EHL4" s="57"/>
      <c r="EHM4" s="57"/>
      <c r="EHN4" s="57"/>
      <c r="EHO4" s="56"/>
      <c r="EHP4" s="57"/>
      <c r="EHQ4" s="57"/>
      <c r="EHR4" s="56"/>
      <c r="EHS4" s="57"/>
      <c r="EHT4" s="58"/>
      <c r="EHU4" s="56"/>
      <c r="EHV4" s="58"/>
      <c r="EHW4" s="57"/>
      <c r="EHX4" s="56"/>
      <c r="EHY4" s="57"/>
      <c r="EHZ4" s="56"/>
      <c r="EIA4" s="56"/>
      <c r="EIB4" s="56"/>
      <c r="EIC4" s="57"/>
      <c r="EID4" s="387"/>
      <c r="EIE4" s="57"/>
      <c r="EIF4" s="387"/>
      <c r="EIG4" s="57"/>
      <c r="EIH4" s="387"/>
      <c r="EII4" s="57"/>
      <c r="EIJ4" s="57"/>
      <c r="EIK4" s="57"/>
      <c r="EIL4" s="57"/>
      <c r="EIM4" s="57"/>
      <c r="EIN4" s="57"/>
      <c r="EIO4" s="57"/>
      <c r="EIP4" s="57"/>
      <c r="EIQ4" s="57"/>
      <c r="EIR4" s="57"/>
      <c r="EIS4" s="57"/>
      <c r="EIT4" s="57"/>
      <c r="EIU4" s="57"/>
      <c r="EIV4" s="57"/>
      <c r="EIW4" s="57"/>
      <c r="EIX4" s="57"/>
      <c r="EIY4" s="57"/>
      <c r="EIZ4" s="57"/>
      <c r="EJA4" s="57"/>
      <c r="EJB4" s="57"/>
      <c r="EJC4" s="57"/>
      <c r="EJD4" s="57"/>
      <c r="EJE4" s="57"/>
      <c r="EJF4" s="57"/>
      <c r="EJG4" s="57"/>
      <c r="EJH4" s="57"/>
      <c r="EJI4" s="57"/>
      <c r="EJJ4" s="57"/>
      <c r="EJK4" s="57"/>
      <c r="EJL4" s="57"/>
      <c r="EJM4" s="57"/>
      <c r="EJN4" s="58"/>
      <c r="EJO4" s="56"/>
      <c r="EJP4" s="57"/>
      <c r="EJQ4" s="57"/>
      <c r="EJR4" s="57"/>
      <c r="EJS4" s="57"/>
      <c r="EJT4" s="57"/>
      <c r="EJU4" s="56"/>
      <c r="EJV4" s="57"/>
      <c r="EJW4" s="57"/>
      <c r="EJX4" s="56"/>
      <c r="EJY4" s="57"/>
      <c r="EJZ4" s="58"/>
      <c r="EKA4" s="56"/>
      <c r="EKB4" s="57"/>
      <c r="EKC4" s="57"/>
      <c r="EKD4" s="57"/>
      <c r="EKE4" s="56"/>
      <c r="EKF4" s="57"/>
      <c r="EKG4" s="57"/>
      <c r="EKH4" s="56"/>
      <c r="EKI4" s="57"/>
      <c r="EKJ4" s="58"/>
      <c r="EKK4" s="56"/>
      <c r="EKL4" s="57"/>
      <c r="EKM4" s="57"/>
      <c r="EKN4" s="57"/>
      <c r="EKO4" s="56"/>
      <c r="EKP4" s="57"/>
      <c r="EKQ4" s="57"/>
      <c r="EKR4" s="56"/>
      <c r="EKS4" s="57"/>
      <c r="EKT4" s="58"/>
      <c r="EKU4" s="56"/>
      <c r="EKV4" s="57"/>
      <c r="EKW4" s="57"/>
      <c r="EKX4" s="57"/>
      <c r="EKY4" s="56"/>
      <c r="EKZ4" s="57"/>
      <c r="ELA4" s="57"/>
      <c r="ELB4" s="56"/>
      <c r="ELC4" s="57"/>
      <c r="ELD4" s="58"/>
      <c r="ELE4" s="56"/>
      <c r="ELF4" s="58"/>
      <c r="ELG4" s="57"/>
      <c r="ELH4" s="56"/>
      <c r="ELI4" s="57"/>
      <c r="ELJ4" s="56"/>
      <c r="ELK4" s="56"/>
      <c r="ELL4" s="56"/>
      <c r="ELM4" s="57"/>
      <c r="ELN4" s="387"/>
      <c r="ELO4" s="57"/>
      <c r="ELP4" s="387"/>
      <c r="ELQ4" s="57"/>
      <c r="ELR4" s="387"/>
      <c r="ELS4" s="57"/>
      <c r="ELT4" s="57"/>
      <c r="ELU4" s="57"/>
      <c r="ELV4" s="57"/>
      <c r="ELW4" s="57"/>
      <c r="ELX4" s="57"/>
      <c r="ELY4" s="57"/>
      <c r="ELZ4" s="57"/>
      <c r="EMA4" s="57"/>
      <c r="EMB4" s="57"/>
      <c r="EMC4" s="57"/>
      <c r="EMD4" s="57"/>
      <c r="EME4" s="57"/>
      <c r="EMF4" s="57"/>
      <c r="EMG4" s="57"/>
      <c r="EMH4" s="57"/>
      <c r="EMI4" s="57"/>
      <c r="EMJ4" s="57"/>
      <c r="EMK4" s="57"/>
      <c r="EML4" s="57"/>
      <c r="EMM4" s="57"/>
      <c r="EMN4" s="57"/>
      <c r="EMO4" s="57"/>
      <c r="EMP4" s="57"/>
      <c r="EMQ4" s="57"/>
      <c r="EMR4" s="57"/>
      <c r="EMS4" s="57"/>
      <c r="EMT4" s="57"/>
      <c r="EMU4" s="57"/>
      <c r="EMV4" s="57"/>
      <c r="EMW4" s="57"/>
      <c r="EMX4" s="58"/>
      <c r="EMY4" s="56"/>
      <c r="EMZ4" s="57"/>
      <c r="ENA4" s="57"/>
      <c r="ENB4" s="57"/>
      <c r="ENC4" s="57"/>
      <c r="END4" s="57"/>
      <c r="ENE4" s="56"/>
      <c r="ENF4" s="57"/>
      <c r="ENG4" s="57"/>
      <c r="ENH4" s="56"/>
      <c r="ENI4" s="57"/>
      <c r="ENJ4" s="58"/>
      <c r="ENK4" s="56"/>
      <c r="ENL4" s="57"/>
      <c r="ENM4" s="57"/>
      <c r="ENN4" s="57"/>
      <c r="ENO4" s="56"/>
      <c r="ENP4" s="57"/>
      <c r="ENQ4" s="57"/>
      <c r="ENR4" s="56"/>
      <c r="ENS4" s="57"/>
      <c r="ENT4" s="58"/>
      <c r="ENU4" s="56"/>
      <c r="ENV4" s="57"/>
      <c r="ENW4" s="57"/>
      <c r="ENX4" s="57"/>
      <c r="ENY4" s="56"/>
      <c r="ENZ4" s="57"/>
      <c r="EOA4" s="57"/>
      <c r="EOB4" s="56"/>
      <c r="EOC4" s="57"/>
      <c r="EOD4" s="58"/>
      <c r="EOE4" s="56"/>
      <c r="EOF4" s="57"/>
      <c r="EOG4" s="57"/>
      <c r="EOH4" s="57"/>
      <c r="EOI4" s="56"/>
      <c r="EOJ4" s="57"/>
      <c r="EOK4" s="57"/>
      <c r="EOL4" s="56"/>
      <c r="EOM4" s="57"/>
      <c r="EON4" s="58"/>
      <c r="EOO4" s="56" t="str">
        <f t="shared" si="149"/>
        <v xml:space="preserve"> </v>
      </c>
      <c r="EOP4" s="58"/>
      <c r="EOQ4" s="57"/>
      <c r="EOR4" s="56"/>
      <c r="EOS4" s="57"/>
      <c r="EOT4" s="56"/>
      <c r="EOU4" s="56"/>
      <c r="EOV4" s="56"/>
      <c r="EOW4" s="57"/>
      <c r="EOX4" s="387"/>
      <c r="EOY4" s="57"/>
      <c r="EOZ4" s="387"/>
      <c r="EPA4" s="57"/>
      <c r="EPB4" s="387"/>
      <c r="EPC4" s="57"/>
      <c r="EPD4" s="57"/>
      <c r="EPE4" s="57"/>
      <c r="EPF4" s="57"/>
      <c r="EPG4" s="57"/>
      <c r="EPH4" s="57"/>
      <c r="EPI4" s="57"/>
      <c r="EPJ4" s="57"/>
      <c r="EPK4" s="57"/>
      <c r="EPL4" s="57"/>
      <c r="EPM4" s="57"/>
      <c r="EPN4" s="57"/>
      <c r="EPO4" s="57"/>
      <c r="EPP4" s="57"/>
      <c r="EPQ4" s="57"/>
      <c r="EPR4" s="57"/>
      <c r="EPS4" s="57"/>
      <c r="EPT4" s="57"/>
      <c r="EPU4" s="57"/>
      <c r="EPV4" s="57"/>
      <c r="EPW4" s="57"/>
      <c r="EPX4" s="57"/>
      <c r="EPY4" s="57"/>
      <c r="EPZ4" s="57"/>
      <c r="EQA4" s="57"/>
      <c r="EQB4" s="57"/>
      <c r="EQC4" s="57"/>
      <c r="EQD4" s="57"/>
      <c r="EQE4" s="57"/>
      <c r="EQF4" s="57"/>
      <c r="EQG4" s="57"/>
      <c r="EQH4" s="58"/>
      <c r="EQI4" s="56"/>
      <c r="EQJ4" s="57"/>
      <c r="EQK4" s="57"/>
      <c r="EQL4" s="57"/>
      <c r="EQM4" s="57"/>
      <c r="EQN4" s="57"/>
      <c r="EQO4" s="56"/>
      <c r="EQP4" s="57"/>
      <c r="EQQ4" s="57"/>
      <c r="EQR4" s="56"/>
      <c r="EQS4" s="57"/>
      <c r="EQT4" s="58"/>
      <c r="EQU4" s="56"/>
      <c r="EQV4" s="57"/>
      <c r="EQW4" s="57"/>
      <c r="EQX4" s="57"/>
      <c r="EQY4" s="56"/>
      <c r="EQZ4" s="57"/>
      <c r="ERA4" s="57"/>
      <c r="ERB4" s="56"/>
      <c r="ERC4" s="57"/>
      <c r="ERD4" s="58"/>
      <c r="ERE4" s="56"/>
      <c r="ERF4" s="57"/>
      <c r="ERG4" s="57"/>
      <c r="ERH4" s="57"/>
      <c r="ERI4" s="56"/>
      <c r="ERJ4" s="57"/>
      <c r="ERK4" s="57"/>
      <c r="ERL4" s="56"/>
      <c r="ERM4" s="57"/>
      <c r="ERN4" s="58"/>
      <c r="ERO4" s="56"/>
      <c r="ERP4" s="57"/>
      <c r="ERQ4" s="57"/>
      <c r="ERR4" s="57"/>
      <c r="ERS4" s="56"/>
      <c r="ERT4" s="57"/>
      <c r="ERU4" s="57"/>
      <c r="ERV4" s="56"/>
      <c r="ERW4" s="57"/>
      <c r="ERX4" s="58"/>
      <c r="ERY4" s="56" t="str">
        <f t="shared" si="150"/>
        <v xml:space="preserve"> </v>
      </c>
      <c r="ERZ4" s="58"/>
      <c r="ESA4" s="57"/>
      <c r="ESB4" s="56"/>
      <c r="ESC4" s="57"/>
      <c r="ESD4" s="56"/>
      <c r="ESE4" s="56"/>
      <c r="ESF4" s="56"/>
      <c r="ESG4" s="57"/>
      <c r="ESH4" s="387"/>
      <c r="ESI4" s="57"/>
      <c r="ESJ4" s="387"/>
      <c r="ESK4" s="57"/>
      <c r="ESL4" s="387"/>
      <c r="ESM4" s="57"/>
      <c r="ESN4" s="57"/>
      <c r="ESO4" s="57"/>
      <c r="ESP4" s="57"/>
      <c r="ESQ4" s="57"/>
      <c r="ESR4" s="57"/>
      <c r="ESS4" s="57"/>
      <c r="EST4" s="57"/>
      <c r="ESU4" s="57"/>
      <c r="ESV4" s="57"/>
      <c r="ESW4" s="57"/>
      <c r="ESX4" s="57"/>
      <c r="ESY4" s="57"/>
      <c r="ESZ4" s="57"/>
      <c r="ETA4" s="57"/>
      <c r="ETB4" s="57"/>
      <c r="ETC4" s="57"/>
      <c r="ETD4" s="57"/>
      <c r="ETE4" s="57"/>
      <c r="ETF4" s="57"/>
      <c r="ETG4" s="57"/>
      <c r="ETH4" s="57"/>
      <c r="ETI4" s="57"/>
      <c r="ETJ4" s="57"/>
      <c r="ETK4" s="57"/>
      <c r="ETL4" s="57"/>
      <c r="ETM4" s="57"/>
      <c r="ETN4" s="57"/>
      <c r="ETO4" s="57"/>
      <c r="ETP4" s="57"/>
      <c r="ETQ4" s="57"/>
      <c r="ETR4" s="58"/>
      <c r="ETS4" s="56"/>
      <c r="ETT4" s="57"/>
      <c r="ETU4" s="57"/>
      <c r="ETV4" s="57"/>
      <c r="ETW4" s="57"/>
      <c r="ETX4" s="57"/>
      <c r="ETY4" s="56"/>
      <c r="ETZ4" s="57"/>
      <c r="EUA4" s="57"/>
      <c r="EUB4" s="56"/>
      <c r="EUC4" s="57"/>
      <c r="EUD4" s="58"/>
      <c r="EUE4" s="56"/>
      <c r="EUF4" s="57"/>
      <c r="EUG4" s="57"/>
      <c r="EUH4" s="57"/>
      <c r="EUI4" s="56"/>
      <c r="EUJ4" s="57"/>
      <c r="EUK4" s="57"/>
      <c r="EUL4" s="56"/>
      <c r="EUM4" s="57"/>
      <c r="EUN4" s="58"/>
      <c r="EUO4" s="56"/>
      <c r="EUP4" s="57"/>
      <c r="EUQ4" s="57"/>
      <c r="EUR4" s="57"/>
      <c r="EUS4" s="56"/>
      <c r="EUT4" s="57"/>
      <c r="EUU4" s="57"/>
      <c r="EUV4" s="56"/>
      <c r="EUW4" s="57"/>
      <c r="EUX4" s="58"/>
      <c r="EUY4" s="56"/>
      <c r="EUZ4" s="57"/>
      <c r="EVA4" s="57"/>
      <c r="EVB4" s="57"/>
      <c r="EVC4" s="56"/>
      <c r="EVD4" s="57"/>
      <c r="EVE4" s="57"/>
      <c r="EVF4" s="56"/>
      <c r="EVG4" s="57"/>
      <c r="EVH4" s="58"/>
      <c r="EVI4" s="56" t="str">
        <f t="shared" si="151"/>
        <v xml:space="preserve"> </v>
      </c>
    </row>
    <row r="5" spans="1:3961" x14ac:dyDescent="0.3">
      <c r="A5" s="423" t="s">
        <v>101</v>
      </c>
      <c r="B5" s="30" t="str">
        <f>'REG y VAL POE - AESR - ESR'!B164</f>
        <v xml:space="preserve">Aguilar Valdez Manuel </v>
      </c>
      <c r="C5" s="29" t="str">
        <f>'REG y VAL POE - AESR - ESR'!C164</f>
        <v>Sin Registro</v>
      </c>
      <c r="D5" s="28">
        <f>'REG y VAL POE - AESR - ESR'!D164</f>
        <v>23148117</v>
      </c>
      <c r="E5" s="29">
        <f>'REG y VAL POE - AESR - ESR'!E164</f>
        <v>0</v>
      </c>
      <c r="F5" s="28">
        <f>'REG y VAL POE - AESR - ESR'!F164</f>
        <v>0</v>
      </c>
      <c r="G5" s="31">
        <f>'REG y VAL POE - AESR - ESR'!G164</f>
        <v>0</v>
      </c>
      <c r="H5" s="31">
        <f>'REG y VAL POE - AESR - ESR'!H164</f>
        <v>0</v>
      </c>
      <c r="I5" s="29">
        <f>'REG y VAL POE - AESR - ESR'!I164</f>
        <v>0</v>
      </c>
      <c r="J5" s="32">
        <f>'REG y VAL POE - AESR - ESR'!J164</f>
        <v>0</v>
      </c>
      <c r="K5" s="29">
        <f>'REG y VAL POE - AESR - ESR'!K164</f>
        <v>0</v>
      </c>
      <c r="L5" s="32">
        <f>'REG y VAL POE - AESR - ESR'!L164</f>
        <v>0</v>
      </c>
      <c r="M5" s="29">
        <f>'REG y VAL POE - AESR - ESR'!M164</f>
        <v>0</v>
      </c>
      <c r="N5" s="32">
        <f>'REG y VAL POE - AESR - ESR'!N164</f>
        <v>0</v>
      </c>
      <c r="O5" s="29">
        <f>'REG y VAL POE - AESR - ESR'!O164</f>
        <v>0</v>
      </c>
      <c r="P5" s="29">
        <f>'REG y VAL POE - AESR - ESR'!P164</f>
        <v>0</v>
      </c>
      <c r="Q5" s="29">
        <f>'REG y VAL POE - AESR - ESR'!Q164</f>
        <v>0</v>
      </c>
      <c r="R5" s="29">
        <f>'REG y VAL POE - AESR - ESR'!R164</f>
        <v>0</v>
      </c>
      <c r="S5" s="29">
        <f>'REG y VAL POE - AESR - ESR'!S164</f>
        <v>0</v>
      </c>
      <c r="T5" s="29">
        <f>'REG y VAL POE - AESR - ESR'!T164</f>
        <v>0</v>
      </c>
      <c r="U5" s="29">
        <f>'REG y VAL POE - AESR - ESR'!U164</f>
        <v>0</v>
      </c>
      <c r="V5" s="29">
        <f>'REG y VAL POE - AESR - ESR'!V164</f>
        <v>0</v>
      </c>
      <c r="W5" s="29">
        <f>'REG y VAL POE - AESR - ESR'!W164</f>
        <v>0</v>
      </c>
      <c r="X5" s="29">
        <f>'REG y VAL POE - AESR - ESR'!X164</f>
        <v>0</v>
      </c>
      <c r="Y5" s="29">
        <f>'REG y VAL POE - AESR - ESR'!Y164</f>
        <v>0</v>
      </c>
      <c r="Z5" s="29">
        <f>'REG y VAL POE - AESR - ESR'!Z164</f>
        <v>0</v>
      </c>
      <c r="AA5" s="29">
        <f>'REG y VAL POE - AESR - ESR'!AA164</f>
        <v>0</v>
      </c>
      <c r="AB5" s="29">
        <f>'REG y VAL POE - AESR - ESR'!AB164</f>
        <v>0</v>
      </c>
      <c r="AC5" s="29">
        <f>'REG y VAL POE - AESR - ESR'!AC164</f>
        <v>0</v>
      </c>
      <c r="AD5" s="29">
        <f>'REG y VAL POE - AESR - ESR'!AD164</f>
        <v>0</v>
      </c>
      <c r="AE5" s="29">
        <f>'REG y VAL POE - AESR - ESR'!AE164</f>
        <v>0</v>
      </c>
      <c r="AF5" s="29">
        <f>'REG y VAL POE - AESR - ESR'!AF164</f>
        <v>0</v>
      </c>
      <c r="AG5" s="29">
        <f>'REG y VAL POE - AESR - ESR'!AG164</f>
        <v>0</v>
      </c>
      <c r="AH5" s="29">
        <f>'REG y VAL POE - AESR - ESR'!AH164</f>
        <v>0</v>
      </c>
      <c r="AI5" s="29">
        <f>'REG y VAL POE - AESR - ESR'!AI164</f>
        <v>0</v>
      </c>
      <c r="AJ5" s="29">
        <f>'REG y VAL POE - AESR - ESR'!AJ164</f>
        <v>0</v>
      </c>
      <c r="AK5" s="29">
        <f>'REG y VAL POE - AESR - ESR'!AK164</f>
        <v>0</v>
      </c>
      <c r="AL5" s="29">
        <f>'REG y VAL POE - AESR - ESR'!AL164</f>
        <v>0</v>
      </c>
      <c r="AM5" s="29">
        <f>'REG y VAL POE - AESR - ESR'!AM164</f>
        <v>0</v>
      </c>
      <c r="AN5" s="29">
        <f>'REG y VAL POE - AESR - ESR'!AN164</f>
        <v>0</v>
      </c>
      <c r="AO5" s="29">
        <f>'REG y VAL POE - AESR - ESR'!AO164</f>
        <v>0</v>
      </c>
      <c r="AP5" s="29">
        <f>'REG y VAL POE - AESR - ESR'!AP164</f>
        <v>0</v>
      </c>
      <c r="AQ5" s="29">
        <f>'REG y VAL POE - AESR - ESR'!AQ164</f>
        <v>0</v>
      </c>
      <c r="AR5" s="29">
        <f>'REG y VAL POE - AESR - ESR'!AR164</f>
        <v>0</v>
      </c>
      <c r="AS5" s="29">
        <f>'REG y VAL POE - AESR - ESR'!AS164</f>
        <v>0</v>
      </c>
      <c r="AT5" s="30" t="str">
        <f>'REG y VAL POE - AESR - ESR'!B165</f>
        <v xml:space="preserve">Cruz Ayala Elvia </v>
      </c>
      <c r="AU5" s="29" t="str">
        <f>'REG y VAL POE - AESR - ESR'!C165</f>
        <v>Sin Registro</v>
      </c>
      <c r="AV5" s="28">
        <f>'REG y VAL POE - AESR - ESR'!D165</f>
        <v>23145825</v>
      </c>
      <c r="AW5" s="29">
        <f>'REG y VAL POE - AESR - ESR'!E165</f>
        <v>0</v>
      </c>
      <c r="AX5" s="28">
        <f>'REG y VAL POE - AESR - ESR'!F165</f>
        <v>0</v>
      </c>
      <c r="AY5" s="28">
        <f>'REG y VAL POE - AESR - ESR'!G165</f>
        <v>0</v>
      </c>
      <c r="AZ5" s="28">
        <f>'REG y VAL POE - AESR - ESR'!H165</f>
        <v>0</v>
      </c>
      <c r="BA5" s="29">
        <f>'REG y VAL POE - AESR - ESR'!I165</f>
        <v>0</v>
      </c>
      <c r="BB5" s="388">
        <f>'REG y VAL POE - AESR - ESR'!J165</f>
        <v>0</v>
      </c>
      <c r="BC5" s="29">
        <f>'REG y VAL POE - AESR - ESR'!K165</f>
        <v>0</v>
      </c>
      <c r="BD5" s="388">
        <f>'REG y VAL POE - AESR - ESR'!L165</f>
        <v>0</v>
      </c>
      <c r="BE5" s="29">
        <f>'REG y VAL POE - AESR - ESR'!M165</f>
        <v>0</v>
      </c>
      <c r="BF5" s="388">
        <f>'REG y VAL POE - AESR - ESR'!N165</f>
        <v>0</v>
      </c>
      <c r="BG5" s="29">
        <f>'REG y VAL POE - AESR - ESR'!O165</f>
        <v>0</v>
      </c>
      <c r="BH5" s="29">
        <f>'REG y VAL POE - AESR - ESR'!P165</f>
        <v>0</v>
      </c>
      <c r="BI5" s="29">
        <f>'REG y VAL POE - AESR - ESR'!Q165</f>
        <v>0</v>
      </c>
      <c r="BJ5" s="29">
        <f>'REG y VAL POE - AESR - ESR'!R165</f>
        <v>0</v>
      </c>
      <c r="BK5" s="29">
        <f>'REG y VAL POE - AESR - ESR'!S165</f>
        <v>0</v>
      </c>
      <c r="BL5" s="29">
        <f>'REG y VAL POE - AESR - ESR'!T165</f>
        <v>0</v>
      </c>
      <c r="BM5" s="29">
        <f>'REG y VAL POE - AESR - ESR'!U165</f>
        <v>0</v>
      </c>
      <c r="BN5" s="29">
        <f>'REG y VAL POE - AESR - ESR'!V165</f>
        <v>0</v>
      </c>
      <c r="BO5" s="29">
        <f>'REG y VAL POE - AESR - ESR'!W165</f>
        <v>0</v>
      </c>
      <c r="BP5" s="29">
        <f>'REG y VAL POE - AESR - ESR'!X165</f>
        <v>0</v>
      </c>
      <c r="BQ5" s="29">
        <f>'REG y VAL POE - AESR - ESR'!Y165</f>
        <v>0</v>
      </c>
      <c r="BR5" s="29">
        <f>'REG y VAL POE - AESR - ESR'!Z165</f>
        <v>0</v>
      </c>
      <c r="BS5" s="29">
        <f>'REG y VAL POE - AESR - ESR'!AA165</f>
        <v>0</v>
      </c>
      <c r="BT5" s="29">
        <f>'REG y VAL POE - AESR - ESR'!AB165</f>
        <v>0</v>
      </c>
      <c r="BU5" s="29">
        <f>'REG y VAL POE - AESR - ESR'!AC165</f>
        <v>0</v>
      </c>
      <c r="BV5" s="29">
        <f>'REG y VAL POE - AESR - ESR'!AD165</f>
        <v>0</v>
      </c>
      <c r="BW5" s="29">
        <f>'REG y VAL POE - AESR - ESR'!AE165</f>
        <v>0</v>
      </c>
      <c r="BX5" s="29">
        <f>'REG y VAL POE - AESR - ESR'!AF165</f>
        <v>0</v>
      </c>
      <c r="BY5" s="29">
        <f>'REG y VAL POE - AESR - ESR'!AG165</f>
        <v>0</v>
      </c>
      <c r="BZ5" s="29">
        <f>'REG y VAL POE - AESR - ESR'!AH165</f>
        <v>0</v>
      </c>
      <c r="CA5" s="29">
        <f>'REG y VAL POE - AESR - ESR'!AI165</f>
        <v>0</v>
      </c>
      <c r="CB5" s="29">
        <f>'REG y VAL POE - AESR - ESR'!AJ165</f>
        <v>0</v>
      </c>
      <c r="CC5" s="29">
        <f>'REG y VAL POE - AESR - ESR'!AK165</f>
        <v>0</v>
      </c>
      <c r="CD5" s="29">
        <f>'REG y VAL POE - AESR - ESR'!AL165</f>
        <v>0</v>
      </c>
      <c r="CE5" s="29">
        <f>'REG y VAL POE - AESR - ESR'!AM165</f>
        <v>0</v>
      </c>
      <c r="CF5" s="29">
        <f>'REG y VAL POE - AESR - ESR'!AN165</f>
        <v>0</v>
      </c>
      <c r="CG5" s="29">
        <f>'REG y VAL POE - AESR - ESR'!AO165</f>
        <v>0</v>
      </c>
      <c r="CH5" s="29">
        <f>'REG y VAL POE - AESR - ESR'!AP165</f>
        <v>0</v>
      </c>
      <c r="CI5" s="29">
        <f>'REG y VAL POE - AESR - ESR'!AQ165</f>
        <v>0</v>
      </c>
      <c r="CJ5" s="29">
        <f>'REG y VAL POE - AESR - ESR'!AR165</f>
        <v>0</v>
      </c>
      <c r="CK5" s="29">
        <f>'REG y VAL POE - AESR - ESR'!AS165</f>
        <v>0</v>
      </c>
      <c r="CL5" s="30" t="str">
        <f>'REG y VAL POE - AESR - ESR'!B166</f>
        <v xml:space="preserve">Gutierrez Arias Irving Daniel </v>
      </c>
      <c r="CM5" s="29" t="str">
        <f>'REG y VAL POE - AESR - ESR'!C166</f>
        <v>Sin Registro</v>
      </c>
      <c r="CN5" s="28">
        <f>'REG y VAL POE - AESR - ESR'!D166</f>
        <v>23194168</v>
      </c>
      <c r="CO5" s="29">
        <f>'REG y VAL POE - AESR - ESR'!E166</f>
        <v>0</v>
      </c>
      <c r="CP5" s="28">
        <f>'REG y VAL POE - AESR - ESR'!F166</f>
        <v>0</v>
      </c>
      <c r="CQ5" s="28">
        <f>'REG y VAL POE - AESR - ESR'!G166</f>
        <v>0</v>
      </c>
      <c r="CR5" s="28">
        <f>'REG y VAL POE - AESR - ESR'!H166</f>
        <v>0</v>
      </c>
      <c r="CS5" s="29">
        <f>'REG y VAL POE - AESR - ESR'!I166</f>
        <v>0</v>
      </c>
      <c r="CT5" s="388">
        <f>'REG y VAL POE - AESR - ESR'!J166</f>
        <v>0</v>
      </c>
      <c r="CU5" s="29">
        <f>'REG y VAL POE - AESR - ESR'!K166</f>
        <v>0</v>
      </c>
      <c r="CV5" s="388">
        <f>'REG y VAL POE - AESR - ESR'!L166</f>
        <v>0</v>
      </c>
      <c r="CW5" s="29">
        <f>'REG y VAL POE - AESR - ESR'!M166</f>
        <v>0</v>
      </c>
      <c r="CX5" s="388">
        <f>'REG y VAL POE - AESR - ESR'!N166</f>
        <v>0</v>
      </c>
      <c r="CY5" s="29">
        <f>'REG y VAL POE - AESR - ESR'!O166</f>
        <v>0</v>
      </c>
      <c r="CZ5" s="29">
        <f>'REG y VAL POE - AESR - ESR'!P166</f>
        <v>0</v>
      </c>
      <c r="DA5" s="29">
        <f>'REG y VAL POE - AESR - ESR'!Q166</f>
        <v>0</v>
      </c>
      <c r="DB5" s="29">
        <f>'REG y VAL POE - AESR - ESR'!R166</f>
        <v>0</v>
      </c>
      <c r="DC5" s="29">
        <f>'REG y VAL POE - AESR - ESR'!S166</f>
        <v>0</v>
      </c>
      <c r="DD5" s="29">
        <f>'REG y VAL POE - AESR - ESR'!T166</f>
        <v>0</v>
      </c>
      <c r="DE5" s="29">
        <f>'REG y VAL POE - AESR - ESR'!U166</f>
        <v>0</v>
      </c>
      <c r="DF5" s="29">
        <f>'REG y VAL POE - AESR - ESR'!V166</f>
        <v>0</v>
      </c>
      <c r="DG5" s="29">
        <f>'REG y VAL POE - AESR - ESR'!W166</f>
        <v>0</v>
      </c>
      <c r="DH5" s="29">
        <f>'REG y VAL POE - AESR - ESR'!X166</f>
        <v>0</v>
      </c>
      <c r="DI5" s="29">
        <f>'REG y VAL POE - AESR - ESR'!Y166</f>
        <v>0</v>
      </c>
      <c r="DJ5" s="29">
        <f>'REG y VAL POE - AESR - ESR'!Z166</f>
        <v>0</v>
      </c>
      <c r="DK5" s="29">
        <f>'REG y VAL POE - AESR - ESR'!AA166</f>
        <v>0</v>
      </c>
      <c r="DL5" s="29">
        <f>'REG y VAL POE - AESR - ESR'!AB166</f>
        <v>0</v>
      </c>
      <c r="DM5" s="29">
        <f>'REG y VAL POE - AESR - ESR'!AC166</f>
        <v>0</v>
      </c>
      <c r="DN5" s="29">
        <f>'REG y VAL POE - AESR - ESR'!AD166</f>
        <v>0</v>
      </c>
      <c r="DO5" s="29">
        <f>'REG y VAL POE - AESR - ESR'!AE166</f>
        <v>0</v>
      </c>
      <c r="DP5" s="29">
        <f>'REG y VAL POE - AESR - ESR'!AF166</f>
        <v>0</v>
      </c>
      <c r="DQ5" s="29">
        <f>'REG y VAL POE - AESR - ESR'!AG166</f>
        <v>0</v>
      </c>
      <c r="DR5" s="29">
        <f>'REG y VAL POE - AESR - ESR'!AH166</f>
        <v>0</v>
      </c>
      <c r="DS5" s="29">
        <f>'REG y VAL POE - AESR - ESR'!AI166</f>
        <v>0</v>
      </c>
      <c r="DT5" s="29">
        <f>'REG y VAL POE - AESR - ESR'!AJ166</f>
        <v>0</v>
      </c>
      <c r="DU5" s="29">
        <f>'REG y VAL POE - AESR - ESR'!AK166</f>
        <v>0</v>
      </c>
      <c r="DV5" s="29">
        <f>'REG y VAL POE - AESR - ESR'!AL166</f>
        <v>0</v>
      </c>
      <c r="DW5" s="29">
        <f>'REG y VAL POE - AESR - ESR'!AM166</f>
        <v>0</v>
      </c>
      <c r="DX5" s="29">
        <f>'REG y VAL POE - AESR - ESR'!AN166</f>
        <v>0</v>
      </c>
      <c r="DY5" s="29">
        <f>'REG y VAL POE - AESR - ESR'!AO166</f>
        <v>0</v>
      </c>
      <c r="DZ5" s="29">
        <f>'REG y VAL POE - AESR - ESR'!AP166</f>
        <v>0</v>
      </c>
      <c r="EA5" s="29">
        <f>'REG y VAL POE - AESR - ESR'!AQ166</f>
        <v>0</v>
      </c>
      <c r="EB5" s="29">
        <f>'REG y VAL POE - AESR - ESR'!AR166</f>
        <v>0</v>
      </c>
      <c r="EC5" s="29">
        <f>'REG y VAL POE - AESR - ESR'!AS166</f>
        <v>0</v>
      </c>
      <c r="ED5" s="30" t="str">
        <f>'REG y VAL POE - AESR - ESR'!B167</f>
        <v xml:space="preserve">Hernandez Marin Francisca </v>
      </c>
      <c r="EE5" s="29" t="str">
        <f>'REG y VAL POE - AESR - ESR'!C167</f>
        <v>Sin Registro</v>
      </c>
      <c r="EF5" s="28">
        <f>'REG y VAL POE - AESR - ESR'!D167</f>
        <v>23138486</v>
      </c>
      <c r="EG5" s="29">
        <f>'REG y VAL POE - AESR - ESR'!E167</f>
        <v>0</v>
      </c>
      <c r="EH5" s="28">
        <f>'REG y VAL POE - AESR - ESR'!F167</f>
        <v>0</v>
      </c>
      <c r="EI5" s="28">
        <f>'REG y VAL POE - AESR - ESR'!G167</f>
        <v>0</v>
      </c>
      <c r="EJ5" s="28">
        <f>'REG y VAL POE - AESR - ESR'!H167</f>
        <v>0</v>
      </c>
      <c r="EK5" s="29">
        <f>'REG y VAL POE - AESR - ESR'!I167</f>
        <v>0</v>
      </c>
      <c r="EL5" s="388">
        <f>'REG y VAL POE - AESR - ESR'!J167</f>
        <v>0</v>
      </c>
      <c r="EM5" s="29">
        <f>'REG y VAL POE - AESR - ESR'!K167</f>
        <v>0</v>
      </c>
      <c r="EN5" s="388">
        <f>'REG y VAL POE - AESR - ESR'!L167</f>
        <v>0</v>
      </c>
      <c r="EO5" s="29">
        <f>'REG y VAL POE - AESR - ESR'!M167</f>
        <v>0</v>
      </c>
      <c r="EP5" s="388">
        <f>'REG y VAL POE - AESR - ESR'!N167</f>
        <v>0</v>
      </c>
      <c r="EQ5" s="29">
        <f>'REG y VAL POE - AESR - ESR'!O167</f>
        <v>0</v>
      </c>
      <c r="ER5" s="29">
        <f>'REG y VAL POE - AESR - ESR'!P167</f>
        <v>0</v>
      </c>
      <c r="ES5" s="29">
        <f>'REG y VAL POE - AESR - ESR'!Q167</f>
        <v>0</v>
      </c>
      <c r="ET5" s="29">
        <f>'REG y VAL POE - AESR - ESR'!R167</f>
        <v>0</v>
      </c>
      <c r="EU5" s="29">
        <f>'REG y VAL POE - AESR - ESR'!S167</f>
        <v>0</v>
      </c>
      <c r="EV5" s="29">
        <f>'REG y VAL POE - AESR - ESR'!T167</f>
        <v>0</v>
      </c>
      <c r="EW5" s="29">
        <f>'REG y VAL POE - AESR - ESR'!U167</f>
        <v>0</v>
      </c>
      <c r="EX5" s="29">
        <f>'REG y VAL POE - AESR - ESR'!V167</f>
        <v>0</v>
      </c>
      <c r="EY5" s="29">
        <f>'REG y VAL POE - AESR - ESR'!W167</f>
        <v>0</v>
      </c>
      <c r="EZ5" s="29">
        <f>'REG y VAL POE - AESR - ESR'!X167</f>
        <v>0</v>
      </c>
      <c r="FA5" s="29">
        <f>'REG y VAL POE - AESR - ESR'!Y167</f>
        <v>0</v>
      </c>
      <c r="FB5" s="29">
        <f>'REG y VAL POE - AESR - ESR'!Z167</f>
        <v>0</v>
      </c>
      <c r="FC5" s="29">
        <f>'REG y VAL POE - AESR - ESR'!AA167</f>
        <v>0</v>
      </c>
      <c r="FD5" s="29">
        <f>'REG y VAL POE - AESR - ESR'!AB167</f>
        <v>0</v>
      </c>
      <c r="FE5" s="29">
        <f>'REG y VAL POE - AESR - ESR'!AC167</f>
        <v>0</v>
      </c>
      <c r="FF5" s="29">
        <f>'REG y VAL POE - AESR - ESR'!AD167</f>
        <v>0</v>
      </c>
      <c r="FG5" s="29">
        <f>'REG y VAL POE - AESR - ESR'!AE167</f>
        <v>0</v>
      </c>
      <c r="FH5" s="29">
        <f>'REG y VAL POE - AESR - ESR'!AF167</f>
        <v>0</v>
      </c>
      <c r="FI5" s="29">
        <f>'REG y VAL POE - AESR - ESR'!AG167</f>
        <v>0</v>
      </c>
      <c r="FJ5" s="29">
        <f>'REG y VAL POE - AESR - ESR'!AH167</f>
        <v>0</v>
      </c>
      <c r="FK5" s="29">
        <f>'REG y VAL POE - AESR - ESR'!AI167</f>
        <v>0</v>
      </c>
      <c r="FL5" s="29">
        <f>'REG y VAL POE - AESR - ESR'!AJ167</f>
        <v>0</v>
      </c>
      <c r="FM5" s="29">
        <f>'REG y VAL POE - AESR - ESR'!AK167</f>
        <v>0</v>
      </c>
      <c r="FN5" s="29">
        <f>'REG y VAL POE - AESR - ESR'!AL167</f>
        <v>0</v>
      </c>
      <c r="FO5" s="29">
        <f>'REG y VAL POE - AESR - ESR'!AM167</f>
        <v>0</v>
      </c>
      <c r="FP5" s="29">
        <f>'REG y VAL POE - AESR - ESR'!AN167</f>
        <v>0</v>
      </c>
      <c r="FQ5" s="29">
        <f>'REG y VAL POE - AESR - ESR'!AO167</f>
        <v>0</v>
      </c>
      <c r="FR5" s="29">
        <f>'REG y VAL POE - AESR - ESR'!AP167</f>
        <v>0</v>
      </c>
      <c r="FS5" s="29">
        <f>'REG y VAL POE - AESR - ESR'!AQ167</f>
        <v>0</v>
      </c>
      <c r="FT5" s="29">
        <f>'REG y VAL POE - AESR - ESR'!AR167</f>
        <v>0</v>
      </c>
      <c r="FU5" s="29">
        <f>'REG y VAL POE - AESR - ESR'!AS167</f>
        <v>0</v>
      </c>
      <c r="FV5" s="30" t="str">
        <f>'REG y VAL POE - AESR - ESR'!B168</f>
        <v xml:space="preserve">Lopez Lopez Tania Guadalupe </v>
      </c>
      <c r="FW5" s="29" t="str">
        <f>'REG y VAL POE - AESR - ESR'!C168</f>
        <v>Sin Registro</v>
      </c>
      <c r="FX5" s="28">
        <f>'REG y VAL POE - AESR - ESR'!D168</f>
        <v>23163290</v>
      </c>
      <c r="FY5" s="29">
        <f>'REG y VAL POE - AESR - ESR'!E168</f>
        <v>0</v>
      </c>
      <c r="FZ5" s="28">
        <f>'REG y VAL POE - AESR - ESR'!F168</f>
        <v>0</v>
      </c>
      <c r="GA5" s="28">
        <f>'REG y VAL POE - AESR - ESR'!G168</f>
        <v>0</v>
      </c>
      <c r="GB5" s="28">
        <f>'REG y VAL POE - AESR - ESR'!H168</f>
        <v>0</v>
      </c>
      <c r="GC5" s="29">
        <f>'REG y VAL POE - AESR - ESR'!I168</f>
        <v>0</v>
      </c>
      <c r="GD5" s="388">
        <f>'REG y VAL POE - AESR - ESR'!J168</f>
        <v>0</v>
      </c>
      <c r="GE5" s="29">
        <f>'REG y VAL POE - AESR - ESR'!K168</f>
        <v>0</v>
      </c>
      <c r="GF5" s="388">
        <f>'REG y VAL POE - AESR - ESR'!L168</f>
        <v>0</v>
      </c>
      <c r="GG5" s="29">
        <f>'REG y VAL POE - AESR - ESR'!M168</f>
        <v>0</v>
      </c>
      <c r="GH5" s="388">
        <f>'REG y VAL POE - AESR - ESR'!N168</f>
        <v>0</v>
      </c>
      <c r="GI5" s="29">
        <f>'REG y VAL POE - AESR - ESR'!O168</f>
        <v>0</v>
      </c>
      <c r="GJ5" s="29">
        <f>'REG y VAL POE - AESR - ESR'!P168</f>
        <v>0</v>
      </c>
      <c r="GK5" s="29">
        <f>'REG y VAL POE - AESR - ESR'!Q168</f>
        <v>0</v>
      </c>
      <c r="GL5" s="29">
        <f>'REG y VAL POE - AESR - ESR'!R168</f>
        <v>0</v>
      </c>
      <c r="GM5" s="29">
        <f>'REG y VAL POE - AESR - ESR'!S168</f>
        <v>0</v>
      </c>
      <c r="GN5" s="29">
        <f>'REG y VAL POE - AESR - ESR'!T168</f>
        <v>0</v>
      </c>
      <c r="GO5" s="29">
        <f>'REG y VAL POE - AESR - ESR'!U168</f>
        <v>0</v>
      </c>
      <c r="GP5" s="29">
        <f>'REG y VAL POE - AESR - ESR'!V168</f>
        <v>0</v>
      </c>
      <c r="GQ5" s="29">
        <f>'REG y VAL POE - AESR - ESR'!W168</f>
        <v>0</v>
      </c>
      <c r="GR5" s="29">
        <f>'REG y VAL POE - AESR - ESR'!X168</f>
        <v>0</v>
      </c>
      <c r="GS5" s="29">
        <f>'REG y VAL POE - AESR - ESR'!Y168</f>
        <v>0</v>
      </c>
      <c r="GT5" s="29">
        <f>'REG y VAL POE - AESR - ESR'!Z168</f>
        <v>0</v>
      </c>
      <c r="GU5" s="29">
        <f>'REG y VAL POE - AESR - ESR'!AA168</f>
        <v>0</v>
      </c>
      <c r="GV5" s="29">
        <f>'REG y VAL POE - AESR - ESR'!AB168</f>
        <v>0</v>
      </c>
      <c r="GW5" s="29">
        <f>'REG y VAL POE - AESR - ESR'!AC168</f>
        <v>0</v>
      </c>
      <c r="GX5" s="29">
        <f>'REG y VAL POE - AESR - ESR'!AD168</f>
        <v>0</v>
      </c>
      <c r="GY5" s="29">
        <f>'REG y VAL POE - AESR - ESR'!AE168</f>
        <v>0</v>
      </c>
      <c r="GZ5" s="29">
        <f>'REG y VAL POE - AESR - ESR'!AF168</f>
        <v>0</v>
      </c>
      <c r="HA5" s="29">
        <f>'REG y VAL POE - AESR - ESR'!AG168</f>
        <v>0</v>
      </c>
      <c r="HB5" s="29">
        <f>'REG y VAL POE - AESR - ESR'!AH168</f>
        <v>0</v>
      </c>
      <c r="HC5" s="29">
        <f>'REG y VAL POE - AESR - ESR'!AI168</f>
        <v>0</v>
      </c>
      <c r="HD5" s="29">
        <f>'REG y VAL POE - AESR - ESR'!AJ168</f>
        <v>0</v>
      </c>
      <c r="HE5" s="29">
        <f>'REG y VAL POE - AESR - ESR'!AK168</f>
        <v>0</v>
      </c>
      <c r="HF5" s="29">
        <f>'REG y VAL POE - AESR - ESR'!AL168</f>
        <v>0</v>
      </c>
      <c r="HG5" s="29">
        <f>'REG y VAL POE - AESR - ESR'!AM168</f>
        <v>0</v>
      </c>
      <c r="HH5" s="29">
        <f>'REG y VAL POE - AESR - ESR'!AN168</f>
        <v>0</v>
      </c>
      <c r="HI5" s="29">
        <f>'REG y VAL POE - AESR - ESR'!AO168</f>
        <v>0</v>
      </c>
      <c r="HJ5" s="29">
        <f>'REG y VAL POE - AESR - ESR'!AP168</f>
        <v>0</v>
      </c>
      <c r="HK5" s="29">
        <f>'REG y VAL POE - AESR - ESR'!AQ168</f>
        <v>0</v>
      </c>
      <c r="HL5" s="29">
        <f>'REG y VAL POE - AESR - ESR'!AR168</f>
        <v>0</v>
      </c>
      <c r="HM5" s="29">
        <f>'REG y VAL POE - AESR - ESR'!AS168</f>
        <v>0</v>
      </c>
      <c r="HN5" s="30" t="str">
        <f>'REG y VAL POE - AESR - ESR'!B169</f>
        <v xml:space="preserve">Maldonado Sanchez Heber </v>
      </c>
      <c r="HO5" s="29" t="str">
        <f>'REG y VAL POE - AESR - ESR'!C169</f>
        <v>Sin Registro</v>
      </c>
      <c r="HP5" s="28">
        <f>'REG y VAL POE - AESR - ESR'!D169</f>
        <v>23148958</v>
      </c>
      <c r="HQ5" s="29">
        <f>'REG y VAL POE - AESR - ESR'!E169</f>
        <v>0</v>
      </c>
      <c r="HR5" s="28">
        <f>'REG y VAL POE - AESR - ESR'!F169</f>
        <v>0</v>
      </c>
      <c r="HS5" s="28">
        <f>'REG y VAL POE - AESR - ESR'!G169</f>
        <v>0</v>
      </c>
      <c r="HT5" s="28">
        <f>'REG y VAL POE - AESR - ESR'!H169</f>
        <v>0</v>
      </c>
      <c r="HU5" s="29">
        <f>'REG y VAL POE - AESR - ESR'!I169</f>
        <v>0</v>
      </c>
      <c r="HV5" s="388">
        <f>'REG y VAL POE - AESR - ESR'!J169</f>
        <v>0</v>
      </c>
      <c r="HW5" s="29">
        <f>'REG y VAL POE - AESR - ESR'!K169</f>
        <v>0</v>
      </c>
      <c r="HX5" s="388">
        <f>'REG y VAL POE - AESR - ESR'!L169</f>
        <v>0</v>
      </c>
      <c r="HY5" s="29">
        <f>'REG y VAL POE - AESR - ESR'!M169</f>
        <v>0</v>
      </c>
      <c r="HZ5" s="388">
        <f>'REG y VAL POE - AESR - ESR'!N169</f>
        <v>0</v>
      </c>
      <c r="IA5" s="29">
        <f>'REG y VAL POE - AESR - ESR'!O169</f>
        <v>0</v>
      </c>
      <c r="IB5" s="29">
        <f>'REG y VAL POE - AESR - ESR'!P169</f>
        <v>0</v>
      </c>
      <c r="IC5" s="29">
        <f>'REG y VAL POE - AESR - ESR'!Q169</f>
        <v>0</v>
      </c>
      <c r="ID5" s="29">
        <f>'REG y VAL POE - AESR - ESR'!R169</f>
        <v>0</v>
      </c>
      <c r="IE5" s="29">
        <f>'REG y VAL POE - AESR - ESR'!S169</f>
        <v>0</v>
      </c>
      <c r="IF5" s="29">
        <f>'REG y VAL POE - AESR - ESR'!T169</f>
        <v>0</v>
      </c>
      <c r="IG5" s="29">
        <f>'REG y VAL POE - AESR - ESR'!U169</f>
        <v>0</v>
      </c>
      <c r="IH5" s="29">
        <f>'REG y VAL POE - AESR - ESR'!V169</f>
        <v>0</v>
      </c>
      <c r="II5" s="29">
        <f>'REG y VAL POE - AESR - ESR'!W169</f>
        <v>0</v>
      </c>
      <c r="IJ5" s="29">
        <f>'REG y VAL POE - AESR - ESR'!X169</f>
        <v>0</v>
      </c>
      <c r="IK5" s="29">
        <f>'REG y VAL POE - AESR - ESR'!Y169</f>
        <v>0</v>
      </c>
      <c r="IL5" s="29">
        <f>'REG y VAL POE - AESR - ESR'!Z169</f>
        <v>0</v>
      </c>
      <c r="IM5" s="29">
        <f>'REG y VAL POE - AESR - ESR'!AA169</f>
        <v>0</v>
      </c>
      <c r="IN5" s="29">
        <f>'REG y VAL POE - AESR - ESR'!AB169</f>
        <v>0</v>
      </c>
      <c r="IO5" s="29">
        <f>'REG y VAL POE - AESR - ESR'!AC169</f>
        <v>0</v>
      </c>
      <c r="IP5" s="29">
        <f>'REG y VAL POE - AESR - ESR'!AD169</f>
        <v>0</v>
      </c>
      <c r="IQ5" s="29">
        <f>'REG y VAL POE - AESR - ESR'!AE169</f>
        <v>0</v>
      </c>
      <c r="IR5" s="29">
        <f>'REG y VAL POE - AESR - ESR'!AF169</f>
        <v>0</v>
      </c>
      <c r="IS5" s="29">
        <f>'REG y VAL POE - AESR - ESR'!AG169</f>
        <v>0</v>
      </c>
      <c r="IT5" s="29">
        <f>'REG y VAL POE - AESR - ESR'!AH169</f>
        <v>0</v>
      </c>
      <c r="IU5" s="29">
        <f>'REG y VAL POE - AESR - ESR'!AI169</f>
        <v>0</v>
      </c>
      <c r="IV5" s="29">
        <f>'REG y VAL POE - AESR - ESR'!AJ169</f>
        <v>0</v>
      </c>
      <c r="IW5" s="29">
        <f>'REG y VAL POE - AESR - ESR'!AK169</f>
        <v>0</v>
      </c>
      <c r="IX5" s="29">
        <f>'REG y VAL POE - AESR - ESR'!AL169</f>
        <v>0</v>
      </c>
      <c r="IY5" s="29">
        <f>'REG y VAL POE - AESR - ESR'!AM169</f>
        <v>0</v>
      </c>
      <c r="IZ5" s="29">
        <f>'REG y VAL POE - AESR - ESR'!AN169</f>
        <v>0</v>
      </c>
      <c r="JA5" s="29">
        <f>'REG y VAL POE - AESR - ESR'!AO169</f>
        <v>0</v>
      </c>
      <c r="JB5" s="29">
        <f>'REG y VAL POE - AESR - ESR'!AP169</f>
        <v>0</v>
      </c>
      <c r="JC5" s="29">
        <f>'REG y VAL POE - AESR - ESR'!AQ169</f>
        <v>0</v>
      </c>
      <c r="JD5" s="29">
        <f>'REG y VAL POE - AESR - ESR'!AR169</f>
        <v>0</v>
      </c>
      <c r="JE5" s="29">
        <f>'REG y VAL POE - AESR - ESR'!AS169</f>
        <v>0</v>
      </c>
      <c r="JF5" s="27" t="str">
        <f>'REG y VAL POE - AESR - ESR'!B170</f>
        <v xml:space="preserve">Martinez Fernandez Raul Eduardo </v>
      </c>
      <c r="JG5" s="29" t="str">
        <f>'REG y VAL POE - AESR - ESR'!C170</f>
        <v>Sin Registro</v>
      </c>
      <c r="JH5" s="30">
        <f>'REG y VAL POE - AESR - ESR'!D170</f>
        <v>23149844</v>
      </c>
      <c r="JI5" s="28">
        <f>'REG y VAL POE - AESR - ESR'!E170</f>
        <v>0</v>
      </c>
      <c r="JJ5" s="29">
        <f>'REG y VAL POE - AESR - ESR'!F170</f>
        <v>0</v>
      </c>
      <c r="JK5" s="29">
        <f>'REG y VAL POE - AESR - ESR'!G170</f>
        <v>0</v>
      </c>
      <c r="JL5" s="29">
        <f>'REG y VAL POE - AESR - ESR'!H170</f>
        <v>0</v>
      </c>
      <c r="JM5" s="28">
        <f>'REG y VAL POE - AESR - ESR'!I170</f>
        <v>0</v>
      </c>
      <c r="JN5" s="29">
        <f>'REG y VAL POE - AESR - ESR'!J170</f>
        <v>0</v>
      </c>
      <c r="JO5" s="29">
        <f>'REG y VAL POE - AESR - ESR'!K170</f>
        <v>0</v>
      </c>
      <c r="JP5" s="28">
        <f>'REG y VAL POE - AESR - ESR'!L170</f>
        <v>0</v>
      </c>
      <c r="JQ5" s="29">
        <f>'REG y VAL POE - AESR - ESR'!M170</f>
        <v>0</v>
      </c>
      <c r="JR5" s="30">
        <f>'REG y VAL POE - AESR - ESR'!N170</f>
        <v>0</v>
      </c>
      <c r="JS5" s="28">
        <f>'REG y VAL POE - AESR - ESR'!O170</f>
        <v>0</v>
      </c>
      <c r="JT5" s="29">
        <f>'REG y VAL POE - AESR - ESR'!P170</f>
        <v>0</v>
      </c>
      <c r="JU5" s="29">
        <f>'REG y VAL POE - AESR - ESR'!Q170</f>
        <v>0</v>
      </c>
      <c r="JV5" s="29">
        <f>'REG y VAL POE - AESR - ESR'!R170</f>
        <v>0</v>
      </c>
      <c r="JW5" s="28">
        <f>'REG y VAL POE - AESR - ESR'!S170</f>
        <v>0</v>
      </c>
      <c r="JX5" s="29">
        <f>'REG y VAL POE - AESR - ESR'!T170</f>
        <v>0</v>
      </c>
      <c r="JY5" s="29">
        <f>'REG y VAL POE - AESR - ESR'!U170</f>
        <v>0</v>
      </c>
      <c r="JZ5" s="28">
        <f>'REG y VAL POE - AESR - ESR'!V170</f>
        <v>0</v>
      </c>
      <c r="KA5" s="29">
        <f>'REG y VAL POE - AESR - ESR'!W170</f>
        <v>0</v>
      </c>
      <c r="KB5" s="28">
        <f>'REG y VAL POE - AESR - ESR'!X170</f>
        <v>0</v>
      </c>
      <c r="KC5" s="28">
        <f>'REG y VAL POE - AESR - ESR'!Y170</f>
        <v>0</v>
      </c>
      <c r="KD5" s="29">
        <f>'REG y VAL POE - AESR - ESR'!Z170</f>
        <v>0</v>
      </c>
      <c r="KE5" s="29">
        <f>'REG y VAL POE - AESR - ESR'!AA170</f>
        <v>0</v>
      </c>
      <c r="KF5" s="29">
        <f>'REG y VAL POE - AESR - ESR'!AB170</f>
        <v>0</v>
      </c>
      <c r="KG5" s="28">
        <f>'REG y VAL POE - AESR - ESR'!AC170</f>
        <v>0</v>
      </c>
      <c r="KH5" s="29">
        <f>'REG y VAL POE - AESR - ESR'!AD170</f>
        <v>0</v>
      </c>
      <c r="KI5" s="29">
        <f>'REG y VAL POE - AESR - ESR'!AE170</f>
        <v>0</v>
      </c>
      <c r="KJ5" s="28">
        <f>'REG y VAL POE - AESR - ESR'!AF170</f>
        <v>0</v>
      </c>
      <c r="KK5" s="29">
        <f>'REG y VAL POE - AESR - ESR'!AG170</f>
        <v>0</v>
      </c>
      <c r="KL5" s="28">
        <f>'REG y VAL POE - AESR - ESR'!AH170</f>
        <v>0</v>
      </c>
      <c r="KM5" s="28">
        <f>'REG y VAL POE - AESR - ESR'!AI170</f>
        <v>0</v>
      </c>
      <c r="KN5" s="29">
        <f>'REG y VAL POE - AESR - ESR'!AJ170</f>
        <v>0</v>
      </c>
      <c r="KO5" s="29">
        <f>'REG y VAL POE - AESR - ESR'!AK170</f>
        <v>0</v>
      </c>
      <c r="KP5" s="29">
        <f>'REG y VAL POE - AESR - ESR'!AL170</f>
        <v>0</v>
      </c>
      <c r="KQ5" s="28">
        <f>'REG y VAL POE - AESR - ESR'!AM170</f>
        <v>0</v>
      </c>
      <c r="KR5" s="29">
        <f>'REG y VAL POE - AESR - ESR'!AN170</f>
        <v>0</v>
      </c>
      <c r="KS5" s="29">
        <f>'REG y VAL POE - AESR - ESR'!AO170</f>
        <v>0</v>
      </c>
      <c r="KT5" s="28">
        <f>'REG y VAL POE - AESR - ESR'!AP170</f>
        <v>0</v>
      </c>
      <c r="KU5" s="29">
        <f>'REG y VAL POE - AESR - ESR'!AQ170</f>
        <v>0</v>
      </c>
      <c r="KV5" s="28">
        <f>'REG y VAL POE - AESR - ESR'!AR170</f>
        <v>0</v>
      </c>
      <c r="KW5" s="28">
        <f>'REG y VAL POE - AESR - ESR'!AS170</f>
        <v>0</v>
      </c>
      <c r="KX5" s="385" t="str">
        <f>'REG y VAL POE - AESR - ESR'!B171</f>
        <v xml:space="preserve">Martinez Mondragon Carlos Isaias </v>
      </c>
      <c r="KY5" s="29" t="str">
        <f>'REG y VAL POE - AESR - ESR'!C171</f>
        <v>Sin Registro</v>
      </c>
      <c r="KZ5" s="29">
        <f>'REG y VAL POE - AESR - ESR'!D171</f>
        <v>23146092</v>
      </c>
      <c r="LA5" s="28">
        <f>'REG y VAL POE - AESR - ESR'!E171</f>
        <v>0</v>
      </c>
      <c r="LB5" s="29">
        <f>'REG y VAL POE - AESR - ESR'!F171</f>
        <v>0</v>
      </c>
      <c r="LC5" s="29">
        <f>'REG y VAL POE - AESR - ESR'!G171</f>
        <v>0</v>
      </c>
      <c r="LD5" s="28">
        <f>'REG y VAL POE - AESR - ESR'!H171</f>
        <v>0</v>
      </c>
      <c r="LE5" s="29">
        <f>'REG y VAL POE - AESR - ESR'!I171</f>
        <v>0</v>
      </c>
      <c r="LF5" s="28">
        <f>'REG y VAL POE - AESR - ESR'!J171</f>
        <v>0</v>
      </c>
      <c r="LG5" s="28">
        <f>'REG y VAL POE - AESR - ESR'!K171</f>
        <v>0</v>
      </c>
      <c r="LH5" s="29">
        <f>'REG y VAL POE - AESR - ESR'!L171</f>
        <v>0</v>
      </c>
      <c r="LI5" s="29">
        <f>'REG y VAL POE - AESR - ESR'!M171</f>
        <v>0</v>
      </c>
      <c r="LJ5" s="29">
        <f>'REG y VAL POE - AESR - ESR'!N171</f>
        <v>0</v>
      </c>
      <c r="LK5" s="28">
        <f>'REG y VAL POE - AESR - ESR'!O171</f>
        <v>0</v>
      </c>
      <c r="LL5" s="29">
        <f>'REG y VAL POE - AESR - ESR'!P171</f>
        <v>0</v>
      </c>
      <c r="LM5" s="29">
        <f>'REG y VAL POE - AESR - ESR'!Q171</f>
        <v>0</v>
      </c>
      <c r="LN5" s="28">
        <f>'REG y VAL POE - AESR - ESR'!R171</f>
        <v>0</v>
      </c>
      <c r="LO5" s="29">
        <f>'REG y VAL POE - AESR - ESR'!S171</f>
        <v>0</v>
      </c>
      <c r="LP5" s="28">
        <f>'REG y VAL POE - AESR - ESR'!T171</f>
        <v>0</v>
      </c>
      <c r="LQ5" s="28">
        <f>'REG y VAL POE - AESR - ESR'!U171</f>
        <v>0</v>
      </c>
      <c r="LR5" s="29">
        <f>'REG y VAL POE - AESR - ESR'!V171</f>
        <v>0</v>
      </c>
      <c r="LS5" s="29">
        <f>'REG y VAL POE - AESR - ESR'!W171</f>
        <v>0</v>
      </c>
      <c r="LT5" s="29">
        <f>'REG y VAL POE - AESR - ESR'!X171</f>
        <v>0</v>
      </c>
      <c r="LU5" s="28">
        <f>'REG y VAL POE - AESR - ESR'!Y171</f>
        <v>0</v>
      </c>
      <c r="LV5" s="29">
        <f>'REG y VAL POE - AESR - ESR'!Z171</f>
        <v>0</v>
      </c>
      <c r="LW5" s="29">
        <f>'REG y VAL POE - AESR - ESR'!AA171</f>
        <v>0</v>
      </c>
      <c r="LX5" s="28">
        <f>'REG y VAL POE - AESR - ESR'!AB171</f>
        <v>0</v>
      </c>
      <c r="LY5" s="29">
        <f>'REG y VAL POE - AESR - ESR'!AC171</f>
        <v>0</v>
      </c>
      <c r="LZ5" s="28">
        <f>'REG y VAL POE - AESR - ESR'!AD171</f>
        <v>0</v>
      </c>
      <c r="MA5" s="28">
        <f>'REG y VAL POE - AESR - ESR'!AE171</f>
        <v>0</v>
      </c>
      <c r="MB5" s="29">
        <f>'REG y VAL POE - AESR - ESR'!AF171</f>
        <v>0</v>
      </c>
      <c r="MC5" s="29">
        <f>'REG y VAL POE - AESR - ESR'!AG171</f>
        <v>0</v>
      </c>
      <c r="MD5" s="29">
        <f>'REG y VAL POE - AESR - ESR'!AH171</f>
        <v>0</v>
      </c>
      <c r="ME5" s="28">
        <f>'REG y VAL POE - AESR - ESR'!AI171</f>
        <v>0</v>
      </c>
      <c r="MF5" s="29">
        <f>'REG y VAL POE - AESR - ESR'!AJ171</f>
        <v>0</v>
      </c>
      <c r="MG5" s="29">
        <f>'REG y VAL POE - AESR - ESR'!AK171</f>
        <v>0</v>
      </c>
      <c r="MH5" s="28">
        <f>'REG y VAL POE - AESR - ESR'!AL171</f>
        <v>0</v>
      </c>
      <c r="MI5" s="29">
        <f>'REG y VAL POE - AESR - ESR'!AM171</f>
        <v>0</v>
      </c>
      <c r="MJ5" s="28">
        <f>'REG y VAL POE - AESR - ESR'!AN171</f>
        <v>0</v>
      </c>
      <c r="MK5" s="28">
        <f>'REG y VAL POE - AESR - ESR'!AO171</f>
        <v>0</v>
      </c>
      <c r="ML5" s="29">
        <f>'REG y VAL POE - AESR - ESR'!AP171</f>
        <v>0</v>
      </c>
      <c r="MM5" s="29">
        <f>'REG y VAL POE - AESR - ESR'!AQ171</f>
        <v>0</v>
      </c>
      <c r="MN5" s="29">
        <f>'REG y VAL POE - AESR - ESR'!AR171</f>
        <v>0</v>
      </c>
      <c r="MO5" s="28">
        <f>'REG y VAL POE - AESR - ESR'!AS171</f>
        <v>0</v>
      </c>
      <c r="MP5" s="385" t="str">
        <f>'REG y VAL POE - AESR - ESR'!B172</f>
        <v xml:space="preserve">Moreno Maldonado Victor Hugo </v>
      </c>
      <c r="MQ5" s="29" t="str">
        <f>'REG y VAL POE - AESR - ESR'!C172</f>
        <v>Sin Registro</v>
      </c>
      <c r="MR5" s="28">
        <f>'REG y VAL POE - AESR - ESR'!D172</f>
        <v>23162961</v>
      </c>
      <c r="MS5" s="29">
        <f>'REG y VAL POE - AESR - ESR'!E172</f>
        <v>0</v>
      </c>
      <c r="MT5" s="28">
        <f>'REG y VAL POE - AESR - ESR'!F172</f>
        <v>0</v>
      </c>
      <c r="MU5" s="28">
        <f>'REG y VAL POE - AESR - ESR'!G172</f>
        <v>0</v>
      </c>
      <c r="MV5" s="29">
        <f>'REG y VAL POE - AESR - ESR'!H172</f>
        <v>0</v>
      </c>
      <c r="MW5" s="29">
        <f>'REG y VAL POE - AESR - ESR'!I172</f>
        <v>0</v>
      </c>
      <c r="MX5" s="29">
        <f>'REG y VAL POE - AESR - ESR'!J172</f>
        <v>0</v>
      </c>
      <c r="MY5" s="28">
        <f>'REG y VAL POE - AESR - ESR'!K172</f>
        <v>0</v>
      </c>
      <c r="MZ5" s="29">
        <f>'REG y VAL POE - AESR - ESR'!L172</f>
        <v>0</v>
      </c>
      <c r="NA5" s="29">
        <f>'REG y VAL POE - AESR - ESR'!M172</f>
        <v>0</v>
      </c>
      <c r="NB5" s="28">
        <f>'REG y VAL POE - AESR - ESR'!N172</f>
        <v>0</v>
      </c>
      <c r="NC5" s="29">
        <f>'REG y VAL POE - AESR - ESR'!O172</f>
        <v>0</v>
      </c>
      <c r="ND5" s="28">
        <f>'REG y VAL POE - AESR - ESR'!P172</f>
        <v>0</v>
      </c>
      <c r="NE5" s="28">
        <f>'REG y VAL POE - AESR - ESR'!Q172</f>
        <v>0</v>
      </c>
      <c r="NF5" s="29">
        <f>'REG y VAL POE - AESR - ESR'!R172</f>
        <v>0</v>
      </c>
      <c r="NG5" s="29">
        <f>'REG y VAL POE - AESR - ESR'!S172</f>
        <v>0</v>
      </c>
      <c r="NH5" s="29">
        <f>'REG y VAL POE - AESR - ESR'!T172</f>
        <v>0</v>
      </c>
      <c r="NI5" s="28">
        <f>'REG y VAL POE - AESR - ESR'!U172</f>
        <v>0</v>
      </c>
      <c r="NJ5" s="29">
        <f>'REG y VAL POE - AESR - ESR'!V172</f>
        <v>0</v>
      </c>
      <c r="NK5" s="29">
        <f>'REG y VAL POE - AESR - ESR'!W172</f>
        <v>0</v>
      </c>
      <c r="NL5" s="28">
        <f>'REG y VAL POE - AESR - ESR'!X172</f>
        <v>0</v>
      </c>
      <c r="NM5" s="29">
        <f>'REG y VAL POE - AESR - ESR'!Y172</f>
        <v>0</v>
      </c>
      <c r="NN5" s="28">
        <f>'REG y VAL POE - AESR - ESR'!Z172</f>
        <v>0</v>
      </c>
      <c r="NO5" s="28">
        <f>'REG y VAL POE - AESR - ESR'!AA172</f>
        <v>0</v>
      </c>
      <c r="NP5" s="29">
        <f>'REG y VAL POE - AESR - ESR'!AB172</f>
        <v>0</v>
      </c>
      <c r="NQ5" s="29">
        <f>'REG y VAL POE - AESR - ESR'!AC172</f>
        <v>0</v>
      </c>
      <c r="NR5" s="29">
        <f>'REG y VAL POE - AESR - ESR'!AD172</f>
        <v>0</v>
      </c>
      <c r="NS5" s="28">
        <f>'REG y VAL POE - AESR - ESR'!AE172</f>
        <v>0</v>
      </c>
      <c r="NT5" s="29">
        <f>'REG y VAL POE - AESR - ESR'!AF172</f>
        <v>0</v>
      </c>
      <c r="NU5" s="29">
        <f>'REG y VAL POE - AESR - ESR'!AG172</f>
        <v>0</v>
      </c>
      <c r="NV5" s="28">
        <f>'REG y VAL POE - AESR - ESR'!AH172</f>
        <v>0</v>
      </c>
      <c r="NW5" s="29">
        <f>'REG y VAL POE - AESR - ESR'!AI172</f>
        <v>0</v>
      </c>
      <c r="NX5" s="28">
        <f>'REG y VAL POE - AESR - ESR'!AJ172</f>
        <v>0</v>
      </c>
      <c r="NY5" s="28">
        <f>'REG y VAL POE - AESR - ESR'!AK172</f>
        <v>0</v>
      </c>
      <c r="NZ5" s="29">
        <f>'REG y VAL POE - AESR - ESR'!AL172</f>
        <v>0</v>
      </c>
      <c r="OA5" s="29">
        <f>'REG y VAL POE - AESR - ESR'!AM172</f>
        <v>0</v>
      </c>
      <c r="OB5" s="29">
        <f>'REG y VAL POE - AESR - ESR'!AN172</f>
        <v>0</v>
      </c>
      <c r="OC5" s="28">
        <f>'REG y VAL POE - AESR - ESR'!AO172</f>
        <v>0</v>
      </c>
      <c r="OD5" s="29">
        <f>'REG y VAL POE - AESR - ESR'!AP172</f>
        <v>0</v>
      </c>
      <c r="OE5" s="29">
        <f>'REG y VAL POE - AESR - ESR'!AQ172</f>
        <v>0</v>
      </c>
      <c r="OF5" s="28">
        <f>'REG y VAL POE - AESR - ESR'!AR172</f>
        <v>0</v>
      </c>
      <c r="OG5" s="28">
        <f>'REG y VAL POE - AESR - ESR'!AS172</f>
        <v>0</v>
      </c>
      <c r="OH5" s="27" t="str">
        <f>'REG y VAL POE - AESR - ESR'!B173</f>
        <v xml:space="preserve">Olan De La Rosa Franklin </v>
      </c>
      <c r="OI5" s="28" t="str">
        <f>'REG y VAL POE - AESR - ESR'!C173</f>
        <v>Sin Registro</v>
      </c>
      <c r="OJ5" s="28">
        <f>'REG y VAL POE - AESR - ESR'!D173</f>
        <v>23149451</v>
      </c>
      <c r="OK5" s="28">
        <f>'REG y VAL POE - AESR - ESR'!E173</f>
        <v>0</v>
      </c>
      <c r="OL5" s="28">
        <f>'REG y VAL POE - AESR - ESR'!F173</f>
        <v>0</v>
      </c>
      <c r="OM5" s="28">
        <f>'REG y VAL POE - AESR - ESR'!G173</f>
        <v>0</v>
      </c>
      <c r="ON5" s="28">
        <f>'REG y VAL POE - AESR - ESR'!H173</f>
        <v>0</v>
      </c>
      <c r="OO5" s="28">
        <f>'REG y VAL POE - AESR - ESR'!I173</f>
        <v>0</v>
      </c>
      <c r="OP5" s="28">
        <f>'REG y VAL POE - AESR - ESR'!J173</f>
        <v>0</v>
      </c>
      <c r="OQ5" s="29">
        <f>'REG y VAL POE - AESR - ESR'!K173</f>
        <v>0</v>
      </c>
      <c r="OR5" s="28">
        <f>'REG y VAL POE - AESR - ESR'!L173</f>
        <v>0</v>
      </c>
      <c r="OS5" s="28">
        <f>'REG y VAL POE - AESR - ESR'!M173</f>
        <v>0</v>
      </c>
      <c r="OT5" s="29">
        <f>'REG y VAL POE - AESR - ESR'!N173</f>
        <v>0</v>
      </c>
      <c r="OU5" s="29">
        <f>'REG y VAL POE - AESR - ESR'!O173</f>
        <v>0</v>
      </c>
      <c r="OV5" s="29">
        <f>'REG y VAL POE - AESR - ESR'!P173</f>
        <v>0</v>
      </c>
      <c r="OW5" s="28">
        <f>'REG y VAL POE - AESR - ESR'!Q173</f>
        <v>0</v>
      </c>
      <c r="OX5" s="29">
        <f>'REG y VAL POE - AESR - ESR'!R173</f>
        <v>0</v>
      </c>
      <c r="OY5" s="29">
        <f>'REG y VAL POE - AESR - ESR'!S173</f>
        <v>0</v>
      </c>
      <c r="OZ5" s="28">
        <f>'REG y VAL POE - AESR - ESR'!T173</f>
        <v>0</v>
      </c>
      <c r="PA5" s="29">
        <f>'REG y VAL POE - AESR - ESR'!U173</f>
        <v>0</v>
      </c>
      <c r="PB5" s="28">
        <f>'REG y VAL POE - AESR - ESR'!V173</f>
        <v>0</v>
      </c>
      <c r="PC5" s="28">
        <f>'REG y VAL POE - AESR - ESR'!W173</f>
        <v>0</v>
      </c>
      <c r="PD5" s="29">
        <f>'REG y VAL POE - AESR - ESR'!X173</f>
        <v>0</v>
      </c>
      <c r="PE5" s="29">
        <f>'REG y VAL POE - AESR - ESR'!Y173</f>
        <v>0</v>
      </c>
      <c r="PF5" s="29">
        <f>'REG y VAL POE - AESR - ESR'!Z173</f>
        <v>0</v>
      </c>
      <c r="PG5" s="28">
        <f>'REG y VAL POE - AESR - ESR'!AA173</f>
        <v>0</v>
      </c>
      <c r="PH5" s="29">
        <f>'REG y VAL POE - AESR - ESR'!AB173</f>
        <v>0</v>
      </c>
      <c r="PI5" s="29">
        <f>'REG y VAL POE - AESR - ESR'!AC173</f>
        <v>0</v>
      </c>
      <c r="PJ5" s="28">
        <f>'REG y VAL POE - AESR - ESR'!AD173</f>
        <v>0</v>
      </c>
      <c r="PK5" s="29">
        <f>'REG y VAL POE - AESR - ESR'!AE173</f>
        <v>0</v>
      </c>
      <c r="PL5" s="28">
        <f>'REG y VAL POE - AESR - ESR'!AF173</f>
        <v>0</v>
      </c>
      <c r="PM5" s="28">
        <f>'REG y VAL POE - AESR - ESR'!AG173</f>
        <v>0</v>
      </c>
      <c r="PN5" s="29">
        <f>'REG y VAL POE - AESR - ESR'!AH173</f>
        <v>0</v>
      </c>
      <c r="PO5" s="29">
        <f>'REG y VAL POE - AESR - ESR'!AI173</f>
        <v>0</v>
      </c>
      <c r="PP5" s="29">
        <f>'REG y VAL POE - AESR - ESR'!AJ173</f>
        <v>0</v>
      </c>
      <c r="PQ5" s="28">
        <f>'REG y VAL POE - AESR - ESR'!AK173</f>
        <v>0</v>
      </c>
      <c r="PR5" s="29">
        <f>'REG y VAL POE - AESR - ESR'!AL173</f>
        <v>0</v>
      </c>
      <c r="PS5" s="29">
        <f>'REG y VAL POE - AESR - ESR'!AM173</f>
        <v>0</v>
      </c>
      <c r="PT5" s="28">
        <f>'REG y VAL POE - AESR - ESR'!AN173</f>
        <v>0</v>
      </c>
      <c r="PU5" s="29">
        <f>'REG y VAL POE - AESR - ESR'!AO173</f>
        <v>0</v>
      </c>
      <c r="PV5" s="28">
        <f>'REG y VAL POE - AESR - ESR'!AP173</f>
        <v>0</v>
      </c>
      <c r="PW5" s="28">
        <f>'REG y VAL POE - AESR - ESR'!AQ173</f>
        <v>0</v>
      </c>
      <c r="PX5" s="29">
        <f>'REG y VAL POE - AESR - ESR'!AR173</f>
        <v>0</v>
      </c>
      <c r="PY5" s="29">
        <f>'REG y VAL POE - AESR - ESR'!AS173</f>
        <v>0</v>
      </c>
      <c r="PZ5" s="385" t="str">
        <f>'REG y VAL POE - AESR - ESR'!B174</f>
        <v xml:space="preserve">Palomino Mendez Maria De Jesus </v>
      </c>
      <c r="QA5" s="28" t="str">
        <f>'REG y VAL POE - AESR - ESR'!C174</f>
        <v>Sin Registro</v>
      </c>
      <c r="QB5" s="29">
        <f>'REG y VAL POE - AESR - ESR'!D174</f>
        <v>23147564</v>
      </c>
      <c r="QC5" s="29">
        <f>'REG y VAL POE - AESR - ESR'!E174</f>
        <v>0</v>
      </c>
      <c r="QD5" s="28">
        <f>'REG y VAL POE - AESR - ESR'!F174</f>
        <v>0</v>
      </c>
      <c r="QE5" s="29">
        <f>'REG y VAL POE - AESR - ESR'!G174</f>
        <v>0</v>
      </c>
      <c r="QF5" s="28">
        <f>'REG y VAL POE - AESR - ESR'!H174</f>
        <v>0</v>
      </c>
      <c r="QG5" s="28">
        <f>'REG y VAL POE - AESR - ESR'!I174</f>
        <v>0</v>
      </c>
      <c r="QH5" s="29">
        <f>'REG y VAL POE - AESR - ESR'!J174</f>
        <v>0</v>
      </c>
      <c r="QI5" s="29">
        <f>'REG y VAL POE - AESR - ESR'!K174</f>
        <v>0</v>
      </c>
      <c r="QJ5" s="29">
        <f>'REG y VAL POE - AESR - ESR'!L174</f>
        <v>0</v>
      </c>
      <c r="QK5" s="28">
        <f>'REG y VAL POE - AESR - ESR'!M174</f>
        <v>0</v>
      </c>
      <c r="QL5" s="29">
        <f>'REG y VAL POE - AESR - ESR'!N174</f>
        <v>0</v>
      </c>
      <c r="QM5" s="29">
        <f>'REG y VAL POE - AESR - ESR'!O174</f>
        <v>0</v>
      </c>
      <c r="QN5" s="28">
        <f>'REG y VAL POE - AESR - ESR'!P174</f>
        <v>0</v>
      </c>
      <c r="QO5" s="29">
        <f>'REG y VAL POE - AESR - ESR'!Q174</f>
        <v>0</v>
      </c>
      <c r="QP5" s="28">
        <f>'REG y VAL POE - AESR - ESR'!R174</f>
        <v>0</v>
      </c>
      <c r="QQ5" s="28">
        <f>'REG y VAL POE - AESR - ESR'!S174</f>
        <v>0</v>
      </c>
      <c r="QR5" s="29">
        <f>'REG y VAL POE - AESR - ESR'!T174</f>
        <v>0</v>
      </c>
      <c r="QS5" s="29">
        <f>'REG y VAL POE - AESR - ESR'!U174</f>
        <v>0</v>
      </c>
      <c r="QT5" s="29">
        <f>'REG y VAL POE - AESR - ESR'!V174</f>
        <v>0</v>
      </c>
      <c r="QU5" s="28">
        <f>'REG y VAL POE - AESR - ESR'!W174</f>
        <v>0</v>
      </c>
      <c r="QV5" s="29">
        <f>'REG y VAL POE - AESR - ESR'!X174</f>
        <v>0</v>
      </c>
      <c r="QW5" s="29">
        <f>'REG y VAL POE - AESR - ESR'!Y174</f>
        <v>0</v>
      </c>
      <c r="QX5" s="28">
        <f>'REG y VAL POE - AESR - ESR'!Z174</f>
        <v>0</v>
      </c>
      <c r="QY5" s="29">
        <f>'REG y VAL POE - AESR - ESR'!AA174</f>
        <v>0</v>
      </c>
      <c r="QZ5" s="28">
        <f>'REG y VAL POE - AESR - ESR'!AB174</f>
        <v>0</v>
      </c>
      <c r="RA5" s="28">
        <f>'REG y VAL POE - AESR - ESR'!AC174</f>
        <v>0</v>
      </c>
      <c r="RB5" s="29">
        <f>'REG y VAL POE - AESR - ESR'!AD174</f>
        <v>0</v>
      </c>
      <c r="RC5" s="29">
        <f>'REG y VAL POE - AESR - ESR'!AE174</f>
        <v>0</v>
      </c>
      <c r="RD5" s="29">
        <f>'REG y VAL POE - AESR - ESR'!AF174</f>
        <v>0</v>
      </c>
      <c r="RE5" s="28">
        <f>'REG y VAL POE - AESR - ESR'!AG174</f>
        <v>0</v>
      </c>
      <c r="RF5" s="29">
        <f>'REG y VAL POE - AESR - ESR'!AH174</f>
        <v>0</v>
      </c>
      <c r="RG5" s="29">
        <f>'REG y VAL POE - AESR - ESR'!AI174</f>
        <v>0</v>
      </c>
      <c r="RH5" s="28">
        <f>'REG y VAL POE - AESR - ESR'!AJ174</f>
        <v>0</v>
      </c>
      <c r="RI5" s="29">
        <f>'REG y VAL POE - AESR - ESR'!AK174</f>
        <v>0</v>
      </c>
      <c r="RJ5" s="28">
        <f>'REG y VAL POE - AESR - ESR'!AL174</f>
        <v>0</v>
      </c>
      <c r="RK5" s="28">
        <f>'REG y VAL POE - AESR - ESR'!AM174</f>
        <v>0</v>
      </c>
      <c r="RL5" s="29">
        <f>'REG y VAL POE - AESR - ESR'!AN174</f>
        <v>0</v>
      </c>
      <c r="RM5" s="29">
        <f>'REG y VAL POE - AESR - ESR'!AO174</f>
        <v>0</v>
      </c>
      <c r="RN5" s="29">
        <f>'REG y VAL POE - AESR - ESR'!AP174</f>
        <v>0</v>
      </c>
      <c r="RO5" s="28">
        <f>'REG y VAL POE - AESR - ESR'!AQ174</f>
        <v>0</v>
      </c>
      <c r="RP5" s="29">
        <f>'REG y VAL POE - AESR - ESR'!AR174</f>
        <v>0</v>
      </c>
      <c r="RQ5" s="29">
        <f>'REG y VAL POE - AESR - ESR'!AS174</f>
        <v>0</v>
      </c>
      <c r="RR5" s="27" t="str">
        <f>'REG y VAL POE - AESR - ESR'!B175</f>
        <v xml:space="preserve">Rivera Perez Pedro </v>
      </c>
      <c r="RS5" s="29" t="str">
        <f>'REG y VAL POE - AESR - ESR'!C175</f>
        <v>Sin Registro</v>
      </c>
      <c r="RT5" s="28">
        <f>'REG y VAL POE - AESR - ESR'!D175</f>
        <v>23150313</v>
      </c>
      <c r="RU5" s="28">
        <f>'REG y VAL POE - AESR - ESR'!E175</f>
        <v>0</v>
      </c>
      <c r="RV5" s="29">
        <f>'REG y VAL POE - AESR - ESR'!F175</f>
        <v>0</v>
      </c>
      <c r="RW5" s="29">
        <f>'REG y VAL POE - AESR - ESR'!G175</f>
        <v>0</v>
      </c>
      <c r="RX5" s="29">
        <f>'REG y VAL POE - AESR - ESR'!H175</f>
        <v>0</v>
      </c>
      <c r="RY5" s="28">
        <f>'REG y VAL POE - AESR - ESR'!I175</f>
        <v>0</v>
      </c>
      <c r="RZ5" s="29">
        <f>'REG y VAL POE - AESR - ESR'!J175</f>
        <v>0</v>
      </c>
      <c r="SA5" s="29">
        <f>'REG y VAL POE - AESR - ESR'!K175</f>
        <v>0</v>
      </c>
      <c r="SB5" s="28">
        <f>'REG y VAL POE - AESR - ESR'!L175</f>
        <v>0</v>
      </c>
      <c r="SC5" s="29">
        <f>'REG y VAL POE - AESR - ESR'!M175</f>
        <v>0</v>
      </c>
      <c r="SD5" s="28">
        <f>'REG y VAL POE - AESR - ESR'!N175</f>
        <v>0</v>
      </c>
      <c r="SE5" s="28">
        <f>'REG y VAL POE - AESR - ESR'!O175</f>
        <v>0</v>
      </c>
      <c r="SF5" s="29">
        <f>'REG y VAL POE - AESR - ESR'!P175</f>
        <v>0</v>
      </c>
      <c r="SG5" s="29">
        <f>'REG y VAL POE - AESR - ESR'!Q175</f>
        <v>0</v>
      </c>
      <c r="SH5" s="29">
        <f>'REG y VAL POE - AESR - ESR'!R175</f>
        <v>0</v>
      </c>
      <c r="SI5" s="28">
        <f>'REG y VAL POE - AESR - ESR'!S175</f>
        <v>0</v>
      </c>
      <c r="SJ5" s="29">
        <f>'REG y VAL POE - AESR - ESR'!T175</f>
        <v>0</v>
      </c>
      <c r="SK5" s="29">
        <f>'REG y VAL POE - AESR - ESR'!U175</f>
        <v>0</v>
      </c>
      <c r="SL5" s="28">
        <f>'REG y VAL POE - AESR - ESR'!V175</f>
        <v>0</v>
      </c>
      <c r="SM5" s="29">
        <f>'REG y VAL POE - AESR - ESR'!W175</f>
        <v>0</v>
      </c>
      <c r="SN5" s="28">
        <f>'REG y VAL POE - AESR - ESR'!X175</f>
        <v>0</v>
      </c>
      <c r="SO5" s="28">
        <f>'REG y VAL POE - AESR - ESR'!Y175</f>
        <v>0</v>
      </c>
      <c r="SP5" s="29">
        <f>'REG y VAL POE - AESR - ESR'!Z175</f>
        <v>0</v>
      </c>
      <c r="SQ5" s="29">
        <f>'REG y VAL POE - AESR - ESR'!AA175</f>
        <v>0</v>
      </c>
      <c r="SR5" s="29">
        <f>'REG y VAL POE - AESR - ESR'!AB175</f>
        <v>0</v>
      </c>
      <c r="SS5" s="28">
        <f>'REG y VAL POE - AESR - ESR'!AC175</f>
        <v>0</v>
      </c>
      <c r="ST5" s="29">
        <f>'REG y VAL POE - AESR - ESR'!AD175</f>
        <v>0</v>
      </c>
      <c r="SU5" s="29">
        <f>'REG y VAL POE - AESR - ESR'!AE175</f>
        <v>0</v>
      </c>
      <c r="SV5" s="28">
        <f>'REG y VAL POE - AESR - ESR'!AF175</f>
        <v>0</v>
      </c>
      <c r="SW5" s="29">
        <f>'REG y VAL POE - AESR - ESR'!AG175</f>
        <v>0</v>
      </c>
      <c r="SX5" s="28">
        <f>'REG y VAL POE - AESR - ESR'!AH175</f>
        <v>0</v>
      </c>
      <c r="SY5" s="28">
        <f>'REG y VAL POE - AESR - ESR'!AI175</f>
        <v>0</v>
      </c>
      <c r="SZ5" s="29">
        <f>'REG y VAL POE - AESR - ESR'!AJ175</f>
        <v>0</v>
      </c>
      <c r="TA5" s="29">
        <f>'REG y VAL POE - AESR - ESR'!AK175</f>
        <v>0</v>
      </c>
      <c r="TB5" s="29">
        <f>'REG y VAL POE - AESR - ESR'!AL175</f>
        <v>0</v>
      </c>
      <c r="TC5" s="28">
        <f>'REG y VAL POE - AESR - ESR'!AM175</f>
        <v>0</v>
      </c>
      <c r="TD5" s="29">
        <f>'REG y VAL POE - AESR - ESR'!AN175</f>
        <v>0</v>
      </c>
      <c r="TE5" s="29">
        <f>'REG y VAL POE - AESR - ESR'!AO175</f>
        <v>0</v>
      </c>
      <c r="TF5" s="28">
        <f>'REG y VAL POE - AESR - ESR'!AP175</f>
        <v>0</v>
      </c>
      <c r="TG5" s="29">
        <f>'REG y VAL POE - AESR - ESR'!AQ175</f>
        <v>0</v>
      </c>
      <c r="TH5" s="28">
        <f>'REG y VAL POE - AESR - ESR'!AR175</f>
        <v>0</v>
      </c>
      <c r="TI5" s="28">
        <f>'REG y VAL POE - AESR - ESR'!AS175</f>
        <v>0</v>
      </c>
      <c r="TJ5" s="385" t="str">
        <f>'REG y VAL POE - AESR - ESR'!B176</f>
        <v>Samano Miranda Ulises</v>
      </c>
      <c r="TK5" s="29" t="str">
        <f>'REG y VAL POE - AESR - ESR'!C176</f>
        <v>Sin Registro</v>
      </c>
      <c r="TL5" s="29">
        <f>'REG y VAL POE - AESR - ESR'!D176</f>
        <v>23166072</v>
      </c>
      <c r="TM5" s="28">
        <f>'REG y VAL POE - AESR - ESR'!E176</f>
        <v>0</v>
      </c>
      <c r="TN5" s="29">
        <f>'REG y VAL POE - AESR - ESR'!F176</f>
        <v>0</v>
      </c>
      <c r="TO5" s="29">
        <f>'REG y VAL POE - AESR - ESR'!G176</f>
        <v>0</v>
      </c>
      <c r="TP5" s="28">
        <f>'REG y VAL POE - AESR - ESR'!H176</f>
        <v>45742</v>
      </c>
      <c r="TQ5" s="29">
        <f>'REG y VAL POE - AESR - ESR'!I176</f>
        <v>0</v>
      </c>
      <c r="TR5" s="28">
        <f>'REG y VAL POE - AESR - ESR'!J176</f>
        <v>0</v>
      </c>
      <c r="TS5" s="28">
        <f>'REG y VAL POE - AESR - ESR'!K176</f>
        <v>0</v>
      </c>
      <c r="TT5" s="29">
        <f>'REG y VAL POE - AESR - ESR'!L176</f>
        <v>0</v>
      </c>
      <c r="TU5" s="29">
        <f>'REG y VAL POE - AESR - ESR'!M176</f>
        <v>0</v>
      </c>
      <c r="TV5" s="29">
        <f>'REG y VAL POE - AESR - ESR'!N176</f>
        <v>0</v>
      </c>
      <c r="TW5" s="28">
        <f>'REG y VAL POE - AESR - ESR'!O176</f>
        <v>0</v>
      </c>
      <c r="TX5" s="29">
        <f>'REG y VAL POE - AESR - ESR'!P176</f>
        <v>0</v>
      </c>
      <c r="TY5" s="29">
        <f>'REG y VAL POE - AESR - ESR'!Q176</f>
        <v>0</v>
      </c>
      <c r="TZ5" s="28" t="str">
        <f>'REG y VAL POE - AESR - ESR'!R176</f>
        <v>SI</v>
      </c>
      <c r="UA5" s="29">
        <f>'REG y VAL POE - AESR - ESR'!S176</f>
        <v>0</v>
      </c>
      <c r="UB5" s="28">
        <f>'REG y VAL POE - AESR - ESR'!T176</f>
        <v>0</v>
      </c>
      <c r="UC5" s="28">
        <f>'REG y VAL POE - AESR - ESR'!U176</f>
        <v>0</v>
      </c>
      <c r="UD5" s="29">
        <f>'REG y VAL POE - AESR - ESR'!V176</f>
        <v>0</v>
      </c>
      <c r="UE5" s="29">
        <f>'REG y VAL POE - AESR - ESR'!W176</f>
        <v>0</v>
      </c>
      <c r="UF5" s="29">
        <f>'REG y VAL POE - AESR - ESR'!X176</f>
        <v>0</v>
      </c>
      <c r="UG5" s="28">
        <f>'REG y VAL POE - AESR - ESR'!Y176</f>
        <v>0</v>
      </c>
      <c r="UH5" s="29">
        <f>'REG y VAL POE - AESR - ESR'!Z176</f>
        <v>0</v>
      </c>
      <c r="UI5" s="29">
        <f>'REG y VAL POE - AESR - ESR'!AA176</f>
        <v>0</v>
      </c>
      <c r="UJ5" s="28">
        <f>'REG y VAL POE - AESR - ESR'!AB176</f>
        <v>0</v>
      </c>
      <c r="UK5" s="29">
        <f>'REG y VAL POE - AESR - ESR'!AC176</f>
        <v>0</v>
      </c>
      <c r="UL5" s="28">
        <f>'REG y VAL POE - AESR - ESR'!AD176</f>
        <v>0</v>
      </c>
      <c r="UM5" s="28">
        <f>'REG y VAL POE - AESR - ESR'!AE176</f>
        <v>0</v>
      </c>
      <c r="UN5" s="29">
        <f>'REG y VAL POE - AESR - ESR'!AF176</f>
        <v>0</v>
      </c>
      <c r="UO5" s="29">
        <f>'REG y VAL POE - AESR - ESR'!AG176</f>
        <v>0</v>
      </c>
      <c r="UP5" s="29">
        <f>'REG y VAL POE - AESR - ESR'!AH176</f>
        <v>0</v>
      </c>
      <c r="UQ5" s="28">
        <f>'REG y VAL POE - AESR - ESR'!AI176</f>
        <v>0</v>
      </c>
      <c r="UR5" s="29">
        <f>'REG y VAL POE - AESR - ESR'!AJ176</f>
        <v>0</v>
      </c>
      <c r="US5" s="29">
        <f>'REG y VAL POE - AESR - ESR'!AK176</f>
        <v>0</v>
      </c>
      <c r="UT5" s="28">
        <f>'REG y VAL POE - AESR - ESR'!AL176</f>
        <v>0</v>
      </c>
      <c r="UU5" s="29">
        <f>'REG y VAL POE - AESR - ESR'!AM176</f>
        <v>0</v>
      </c>
      <c r="UV5" s="28">
        <f>'REG y VAL POE - AESR - ESR'!AN176</f>
        <v>0</v>
      </c>
      <c r="UW5" s="28">
        <f>'REG y VAL POE - AESR - ESR'!AO176</f>
        <v>0</v>
      </c>
      <c r="UX5" s="29">
        <f>'REG y VAL POE - AESR - ESR'!AP176</f>
        <v>0</v>
      </c>
      <c r="UY5" s="29">
        <f>'REG y VAL POE - AESR - ESR'!AQ176</f>
        <v>0</v>
      </c>
      <c r="UZ5" s="29">
        <f>'REG y VAL POE - AESR - ESR'!AR176</f>
        <v>0</v>
      </c>
      <c r="VA5" s="28">
        <f>'REG y VAL POE - AESR - ESR'!AS176</f>
        <v>0</v>
      </c>
      <c r="VB5" s="385" t="str">
        <f>'REG y VAL POE - AESR - ESR'!B177</f>
        <v xml:space="preserve">Toscano Romero Juan Antonio </v>
      </c>
      <c r="VC5" s="29" t="str">
        <f>'REG y VAL POE - AESR - ESR'!C177</f>
        <v>Sin Registro</v>
      </c>
      <c r="VD5" s="28">
        <f>'REG y VAL POE - AESR - ESR'!D177</f>
        <v>23139147</v>
      </c>
      <c r="VE5" s="29">
        <f>'REG y VAL POE - AESR - ESR'!E177</f>
        <v>0</v>
      </c>
      <c r="VF5" s="28">
        <f>'REG y VAL POE - AESR - ESR'!F177</f>
        <v>0</v>
      </c>
      <c r="VG5" s="28">
        <f>'REG y VAL POE - AESR - ESR'!G177</f>
        <v>0</v>
      </c>
      <c r="VH5" s="29">
        <f>'REG y VAL POE - AESR - ESR'!H177</f>
        <v>0</v>
      </c>
      <c r="VI5" s="29">
        <f>'REG y VAL POE - AESR - ESR'!I177</f>
        <v>0</v>
      </c>
      <c r="VJ5" s="29">
        <f>'REG y VAL POE - AESR - ESR'!J177</f>
        <v>0</v>
      </c>
      <c r="VK5" s="28">
        <f>'REG y VAL POE - AESR - ESR'!K177</f>
        <v>0</v>
      </c>
      <c r="VL5" s="29">
        <f>'REG y VAL POE - AESR - ESR'!L177</f>
        <v>0</v>
      </c>
      <c r="VM5" s="29">
        <f>'REG y VAL POE - AESR - ESR'!M177</f>
        <v>0</v>
      </c>
      <c r="VN5" s="28">
        <f>'REG y VAL POE - AESR - ESR'!N177</f>
        <v>0</v>
      </c>
      <c r="VO5" s="29">
        <f>'REG y VAL POE - AESR - ESR'!O177</f>
        <v>0</v>
      </c>
      <c r="VP5" s="28">
        <f>'REG y VAL POE - AESR - ESR'!P177</f>
        <v>0</v>
      </c>
      <c r="VQ5" s="28">
        <f>'REG y VAL POE - AESR - ESR'!Q177</f>
        <v>0</v>
      </c>
      <c r="VR5" s="29">
        <f>'REG y VAL POE - AESR - ESR'!R177</f>
        <v>0</v>
      </c>
      <c r="VS5" s="29">
        <f>'REG y VAL POE - AESR - ESR'!S177</f>
        <v>0</v>
      </c>
      <c r="VT5" s="29">
        <f>'REG y VAL POE - AESR - ESR'!T177</f>
        <v>0</v>
      </c>
      <c r="VU5" s="28">
        <f>'REG y VAL POE - AESR - ESR'!U177</f>
        <v>0</v>
      </c>
      <c r="VV5" s="29">
        <f>'REG y VAL POE - AESR - ESR'!V177</f>
        <v>0</v>
      </c>
      <c r="VW5" s="29">
        <f>'REG y VAL POE - AESR - ESR'!W177</f>
        <v>0</v>
      </c>
      <c r="VX5" s="28">
        <f>'REG y VAL POE - AESR - ESR'!X177</f>
        <v>0</v>
      </c>
      <c r="VY5" s="29">
        <f>'REG y VAL POE - AESR - ESR'!Y177</f>
        <v>0</v>
      </c>
      <c r="VZ5" s="28">
        <f>'REG y VAL POE - AESR - ESR'!Z177</f>
        <v>0</v>
      </c>
      <c r="WA5" s="28">
        <f>'REG y VAL POE - AESR - ESR'!AA177</f>
        <v>0</v>
      </c>
      <c r="WB5" s="29">
        <f>'REG y VAL POE - AESR - ESR'!AB177</f>
        <v>0</v>
      </c>
      <c r="WC5" s="29">
        <f>'REG y VAL POE - AESR - ESR'!AC177</f>
        <v>0</v>
      </c>
      <c r="WD5" s="29">
        <f>'REG y VAL POE - AESR - ESR'!AD177</f>
        <v>0</v>
      </c>
      <c r="WE5" s="28">
        <f>'REG y VAL POE - AESR - ESR'!AE177</f>
        <v>0</v>
      </c>
      <c r="WF5" s="29">
        <f>'REG y VAL POE - AESR - ESR'!AF177</f>
        <v>0</v>
      </c>
      <c r="WG5" s="29">
        <f>'REG y VAL POE - AESR - ESR'!AG177</f>
        <v>0</v>
      </c>
      <c r="WH5" s="28">
        <f>'REG y VAL POE - AESR - ESR'!AH177</f>
        <v>0</v>
      </c>
      <c r="WI5" s="29">
        <f>'REG y VAL POE - AESR - ESR'!AI177</f>
        <v>0</v>
      </c>
      <c r="WJ5" s="28">
        <f>'REG y VAL POE - AESR - ESR'!AJ177</f>
        <v>0</v>
      </c>
      <c r="WK5" s="28">
        <f>'REG y VAL POE - AESR - ESR'!AK177</f>
        <v>0</v>
      </c>
      <c r="WL5" s="29">
        <f>'REG y VAL POE - AESR - ESR'!AL177</f>
        <v>0</v>
      </c>
      <c r="WM5" s="29">
        <f>'REG y VAL POE - AESR - ESR'!AM177</f>
        <v>0</v>
      </c>
      <c r="WN5" s="29">
        <f>'REG y VAL POE - AESR - ESR'!AN177</f>
        <v>0</v>
      </c>
      <c r="WO5" s="28">
        <f>'REG y VAL POE - AESR - ESR'!AO177</f>
        <v>0</v>
      </c>
      <c r="WP5" s="29">
        <f>'REG y VAL POE - AESR - ESR'!AP177</f>
        <v>0</v>
      </c>
      <c r="WQ5" s="29">
        <f>'REG y VAL POE - AESR - ESR'!AQ177</f>
        <v>0</v>
      </c>
      <c r="WR5" s="28">
        <f>'REG y VAL POE - AESR - ESR'!AR177</f>
        <v>0</v>
      </c>
      <c r="WS5" s="29">
        <f>'REG y VAL POE - AESR - ESR'!AS177</f>
        <v>0</v>
      </c>
      <c r="WT5" s="27" t="str">
        <f>'REG y VAL POE - AESR - ESR'!B178</f>
        <v xml:space="preserve">Vargas Cruz Emmanuel </v>
      </c>
      <c r="WU5" s="28" t="str">
        <f>'REG y VAL POE - AESR - ESR'!C178</f>
        <v>Sin Registro</v>
      </c>
      <c r="WV5" s="29">
        <f>'REG y VAL POE - AESR - ESR'!D178</f>
        <v>23149328</v>
      </c>
      <c r="WW5" s="29">
        <f>'REG y VAL POE - AESR - ESR'!E178</f>
        <v>0</v>
      </c>
      <c r="WX5" s="29">
        <f>'REG y VAL POE - AESR - ESR'!F178</f>
        <v>0</v>
      </c>
      <c r="WY5" s="28">
        <f>'REG y VAL POE - AESR - ESR'!G178</f>
        <v>0</v>
      </c>
      <c r="WZ5" s="29">
        <f>'REG y VAL POE - AESR - ESR'!H178</f>
        <v>0</v>
      </c>
      <c r="XA5" s="29">
        <f>'REG y VAL POE - AESR - ESR'!I178</f>
        <v>0</v>
      </c>
      <c r="XB5" s="28">
        <f>'REG y VAL POE - AESR - ESR'!J178</f>
        <v>0</v>
      </c>
      <c r="XC5" s="29">
        <f>'REG y VAL POE - AESR - ESR'!K178</f>
        <v>0</v>
      </c>
      <c r="XD5" s="28">
        <f>'REG y VAL POE - AESR - ESR'!L178</f>
        <v>0</v>
      </c>
      <c r="XE5" s="28">
        <f>'REG y VAL POE - AESR - ESR'!M178</f>
        <v>0</v>
      </c>
      <c r="XF5" s="29">
        <f>'REG y VAL POE - AESR - ESR'!N178</f>
        <v>0</v>
      </c>
      <c r="XG5" s="29">
        <f>'REG y VAL POE - AESR - ESR'!O178</f>
        <v>0</v>
      </c>
      <c r="XH5" s="29">
        <f>'REG y VAL POE - AESR - ESR'!P178</f>
        <v>0</v>
      </c>
      <c r="XI5" s="28">
        <f>'REG y VAL POE - AESR - ESR'!Q178</f>
        <v>0</v>
      </c>
      <c r="XJ5" s="29">
        <f>'REG y VAL POE - AESR - ESR'!R178</f>
        <v>0</v>
      </c>
      <c r="XK5" s="29">
        <f>'REG y VAL POE - AESR - ESR'!S178</f>
        <v>0</v>
      </c>
      <c r="XL5" s="28">
        <f>'REG y VAL POE - AESR - ESR'!T178</f>
        <v>0</v>
      </c>
      <c r="XM5" s="29">
        <f>'REG y VAL POE - AESR - ESR'!U178</f>
        <v>0</v>
      </c>
      <c r="XN5" s="28">
        <f>'REG y VAL POE - AESR - ESR'!V178</f>
        <v>0</v>
      </c>
      <c r="XO5" s="28">
        <f>'REG y VAL POE - AESR - ESR'!W178</f>
        <v>0</v>
      </c>
      <c r="XP5" s="29">
        <f>'REG y VAL POE - AESR - ESR'!X178</f>
        <v>0</v>
      </c>
      <c r="XQ5" s="29">
        <f>'REG y VAL POE - AESR - ESR'!Y178</f>
        <v>0</v>
      </c>
      <c r="XR5" s="29">
        <f>'REG y VAL POE - AESR - ESR'!Z178</f>
        <v>0</v>
      </c>
      <c r="XS5" s="28">
        <f>'REG y VAL POE - AESR - ESR'!AA178</f>
        <v>0</v>
      </c>
      <c r="XT5" s="29">
        <f>'REG y VAL POE - AESR - ESR'!AB178</f>
        <v>0</v>
      </c>
      <c r="XU5" s="29">
        <f>'REG y VAL POE - AESR - ESR'!AC178</f>
        <v>0</v>
      </c>
      <c r="XV5" s="28">
        <f>'REG y VAL POE - AESR - ESR'!AD178</f>
        <v>0</v>
      </c>
      <c r="XW5" s="29">
        <f>'REG y VAL POE - AESR - ESR'!AE178</f>
        <v>0</v>
      </c>
      <c r="XX5" s="28">
        <f>'REG y VAL POE - AESR - ESR'!AF178</f>
        <v>0</v>
      </c>
      <c r="XY5" s="28">
        <f>'REG y VAL POE - AESR - ESR'!AG178</f>
        <v>0</v>
      </c>
      <c r="XZ5" s="29">
        <f>'REG y VAL POE - AESR - ESR'!AH178</f>
        <v>0</v>
      </c>
      <c r="YA5" s="29">
        <f>'REG y VAL POE - AESR - ESR'!AI178</f>
        <v>0</v>
      </c>
      <c r="YB5" s="29">
        <f>'REG y VAL POE - AESR - ESR'!AJ178</f>
        <v>0</v>
      </c>
      <c r="YC5" s="28">
        <f>'REG y VAL POE - AESR - ESR'!AK178</f>
        <v>0</v>
      </c>
      <c r="YD5" s="29">
        <f>'REG y VAL POE - AESR - ESR'!AL178</f>
        <v>0</v>
      </c>
      <c r="YE5" s="29">
        <f>'REG y VAL POE - AESR - ESR'!AM178</f>
        <v>0</v>
      </c>
      <c r="YF5" s="28">
        <f>'REG y VAL POE - AESR - ESR'!AN178</f>
        <v>0</v>
      </c>
      <c r="YG5" s="29">
        <f>'REG y VAL POE - AESR - ESR'!AO178</f>
        <v>0</v>
      </c>
      <c r="YH5" s="28">
        <f>'REG y VAL POE - AESR - ESR'!AP178</f>
        <v>0</v>
      </c>
      <c r="YI5" s="28">
        <f>'REG y VAL POE - AESR - ESR'!AQ178</f>
        <v>0</v>
      </c>
      <c r="YJ5" s="29">
        <f>'REG y VAL POE - AESR - ESR'!AR178</f>
        <v>0</v>
      </c>
      <c r="YK5" s="29">
        <f>'REG y VAL POE - AESR - ESR'!AS178</f>
        <v>0</v>
      </c>
      <c r="YL5" s="385">
        <f>'REG y VAL POE - AESR - ESR'!B179</f>
        <v>0</v>
      </c>
      <c r="YM5" s="28">
        <f>'REG y VAL POE - AESR - ESR'!C179</f>
        <v>0</v>
      </c>
      <c r="YN5" s="29">
        <f>'REG y VAL POE - AESR - ESR'!D179</f>
        <v>0</v>
      </c>
      <c r="YO5" s="29">
        <f>'REG y VAL POE - AESR - ESR'!E179</f>
        <v>0</v>
      </c>
      <c r="YP5" s="28">
        <f>'REG y VAL POE - AESR - ESR'!F179</f>
        <v>0</v>
      </c>
      <c r="YQ5" s="29">
        <f>'REG y VAL POE - AESR - ESR'!G179</f>
        <v>0</v>
      </c>
      <c r="YR5" s="28">
        <f>'REG y VAL POE - AESR - ESR'!H179</f>
        <v>0</v>
      </c>
      <c r="YS5" s="28">
        <f>'REG y VAL POE - AESR - ESR'!I179</f>
        <v>0</v>
      </c>
      <c r="YT5" s="29">
        <f>'REG y VAL POE - AESR - ESR'!J179</f>
        <v>0</v>
      </c>
      <c r="YU5" s="29">
        <f>'REG y VAL POE - AESR - ESR'!K179</f>
        <v>0</v>
      </c>
      <c r="YV5" s="29">
        <f>'REG y VAL POE - AESR - ESR'!L179</f>
        <v>0</v>
      </c>
      <c r="YW5" s="28">
        <f>'REG y VAL POE - AESR - ESR'!M179</f>
        <v>0</v>
      </c>
      <c r="YX5" s="29">
        <f>'REG y VAL POE - AESR - ESR'!N179</f>
        <v>0</v>
      </c>
      <c r="YY5" s="29">
        <f>'REG y VAL POE - AESR - ESR'!O179</f>
        <v>0</v>
      </c>
      <c r="YZ5" s="28">
        <f>'REG y VAL POE - AESR - ESR'!P179</f>
        <v>0</v>
      </c>
      <c r="ZA5" s="29">
        <f>'REG y VAL POE - AESR - ESR'!Q179</f>
        <v>0</v>
      </c>
      <c r="ZB5" s="28">
        <f>'REG y VAL POE - AESR - ESR'!R179</f>
        <v>0</v>
      </c>
      <c r="ZC5" s="28">
        <f>'REG y VAL POE - AESR - ESR'!S179</f>
        <v>0</v>
      </c>
      <c r="ZD5" s="29">
        <f>'REG y VAL POE - AESR - ESR'!T179</f>
        <v>0</v>
      </c>
      <c r="ZE5" s="29">
        <f>'REG y VAL POE - AESR - ESR'!U179</f>
        <v>0</v>
      </c>
      <c r="ZF5" s="29">
        <f>'REG y VAL POE - AESR - ESR'!V179</f>
        <v>0</v>
      </c>
      <c r="ZG5" s="28">
        <f>'REG y VAL POE - AESR - ESR'!W179</f>
        <v>0</v>
      </c>
      <c r="ZH5" s="29">
        <f>'REG y VAL POE - AESR - ESR'!X179</f>
        <v>0</v>
      </c>
      <c r="ZI5" s="29">
        <f>'REG y VAL POE - AESR - ESR'!Y179</f>
        <v>0</v>
      </c>
      <c r="ZJ5" s="28">
        <f>'REG y VAL POE - AESR - ESR'!Z179</f>
        <v>0</v>
      </c>
      <c r="ZK5" s="29">
        <f>'REG y VAL POE - AESR - ESR'!AA179</f>
        <v>0</v>
      </c>
      <c r="ZL5" s="28">
        <f>'REG y VAL POE - AESR - ESR'!AB179</f>
        <v>0</v>
      </c>
      <c r="ZM5" s="28">
        <f>'REG y VAL POE - AESR - ESR'!AC179</f>
        <v>0</v>
      </c>
      <c r="ZN5" s="29">
        <f>'REG y VAL POE - AESR - ESR'!AD179</f>
        <v>0</v>
      </c>
      <c r="ZO5" s="29">
        <f>'REG y VAL POE - AESR - ESR'!AE179</f>
        <v>0</v>
      </c>
      <c r="ZP5" s="29">
        <f>'REG y VAL POE - AESR - ESR'!AF179</f>
        <v>0</v>
      </c>
      <c r="ZQ5" s="28">
        <f>'REG y VAL POE - AESR - ESR'!AG179</f>
        <v>0</v>
      </c>
      <c r="ZR5" s="29">
        <f>'REG y VAL POE - AESR - ESR'!AH179</f>
        <v>0</v>
      </c>
      <c r="ZS5" s="29">
        <f>'REG y VAL POE - AESR - ESR'!AI179</f>
        <v>0</v>
      </c>
      <c r="ZT5" s="28">
        <f>'REG y VAL POE - AESR - ESR'!AJ179</f>
        <v>0</v>
      </c>
      <c r="ZU5" s="29">
        <f>'REG y VAL POE - AESR - ESR'!AK179</f>
        <v>0</v>
      </c>
      <c r="ZV5" s="28">
        <f>'REG y VAL POE - AESR - ESR'!AL179</f>
        <v>0</v>
      </c>
      <c r="ZW5" s="28">
        <f>'REG y VAL POE - AESR - ESR'!AM179</f>
        <v>0</v>
      </c>
      <c r="ZX5" s="29">
        <f>'REG y VAL POE - AESR - ESR'!AN179</f>
        <v>0</v>
      </c>
      <c r="ZY5" s="29">
        <f>'REG y VAL POE - AESR - ESR'!AO179</f>
        <v>0</v>
      </c>
      <c r="ZZ5" s="29">
        <f>'REG y VAL POE - AESR - ESR'!AP179</f>
        <v>0</v>
      </c>
      <c r="AAA5" s="28">
        <f>'REG y VAL POE - AESR - ESR'!AQ179</f>
        <v>0</v>
      </c>
      <c r="AAB5" s="29">
        <f>'REG y VAL POE - AESR - ESR'!AR179</f>
        <v>0</v>
      </c>
      <c r="AAC5" s="29">
        <f>'REG y VAL POE - AESR - ESR'!AS179</f>
        <v>0</v>
      </c>
      <c r="AAD5" s="27">
        <f>'REG y VAL POE - AESR - ESR'!B180</f>
        <v>0</v>
      </c>
      <c r="AAE5" s="29">
        <f>'REG y VAL POE - AESR - ESR'!C180</f>
        <v>0</v>
      </c>
      <c r="AAF5" s="28">
        <f>'REG y VAL POE - AESR - ESR'!D180</f>
        <v>0</v>
      </c>
      <c r="AAG5" s="28">
        <f>'REG y VAL POE - AESR - ESR'!E180</f>
        <v>0</v>
      </c>
      <c r="AAH5" s="29">
        <f>'REG y VAL POE - AESR - ESR'!F180</f>
        <v>0</v>
      </c>
      <c r="AAI5" s="29">
        <f>'REG y VAL POE - AESR - ESR'!G180</f>
        <v>0</v>
      </c>
      <c r="AAJ5" s="29">
        <f>'REG y VAL POE - AESR - ESR'!H180</f>
        <v>0</v>
      </c>
      <c r="AAK5" s="28">
        <f>'REG y VAL POE - AESR - ESR'!I180</f>
        <v>0</v>
      </c>
      <c r="AAL5" s="29">
        <f>'REG y VAL POE - AESR - ESR'!J180</f>
        <v>0</v>
      </c>
      <c r="AAM5" s="29">
        <f>'REG y VAL POE - AESR - ESR'!K180</f>
        <v>0</v>
      </c>
      <c r="AAN5" s="28">
        <f>'REG y VAL POE - AESR - ESR'!L180</f>
        <v>0</v>
      </c>
      <c r="AAO5" s="29">
        <f>'REG y VAL POE - AESR - ESR'!M180</f>
        <v>0</v>
      </c>
      <c r="AAP5" s="28">
        <f>'REG y VAL POE - AESR - ESR'!N180</f>
        <v>0</v>
      </c>
      <c r="AAQ5" s="28">
        <f>'REG y VAL POE - AESR - ESR'!O180</f>
        <v>0</v>
      </c>
      <c r="AAR5" s="29">
        <f>'REG y VAL POE - AESR - ESR'!P180</f>
        <v>0</v>
      </c>
      <c r="AAS5" s="29">
        <f>'REG y VAL POE - AESR - ESR'!Q180</f>
        <v>0</v>
      </c>
      <c r="AAT5" s="29">
        <f>'REG y VAL POE - AESR - ESR'!R180</f>
        <v>0</v>
      </c>
      <c r="AAU5" s="28">
        <f>'REG y VAL POE - AESR - ESR'!S180</f>
        <v>0</v>
      </c>
      <c r="AAV5" s="29">
        <f>'REG y VAL POE - AESR - ESR'!T180</f>
        <v>0</v>
      </c>
      <c r="AAW5" s="29">
        <f>'REG y VAL POE - AESR - ESR'!U180</f>
        <v>0</v>
      </c>
      <c r="AAX5" s="28">
        <f>'REG y VAL POE - AESR - ESR'!V180</f>
        <v>0</v>
      </c>
      <c r="AAY5" s="28">
        <f>'REG y VAL POE - AESR - ESR'!W180</f>
        <v>0</v>
      </c>
      <c r="AAZ5" s="28">
        <f>'REG y VAL POE - AESR - ESR'!X180</f>
        <v>0</v>
      </c>
      <c r="ABA5" s="28">
        <f>'REG y VAL POE - AESR - ESR'!Y180</f>
        <v>0</v>
      </c>
      <c r="ABB5" s="28">
        <f>'REG y VAL POE - AESR - ESR'!Z180</f>
        <v>0</v>
      </c>
      <c r="ABC5" s="28">
        <f>'REG y VAL POE - AESR - ESR'!AA180</f>
        <v>0</v>
      </c>
      <c r="ABD5" s="28">
        <f>'REG y VAL POE - AESR - ESR'!AB180</f>
        <v>0</v>
      </c>
      <c r="ABE5" s="28">
        <f>'REG y VAL POE - AESR - ESR'!AC180</f>
        <v>0</v>
      </c>
      <c r="ABF5" s="28">
        <f>'REG y VAL POE - AESR - ESR'!AD180</f>
        <v>0</v>
      </c>
      <c r="ABG5" s="29">
        <f>'REG y VAL POE - AESR - ESR'!AE180</f>
        <v>0</v>
      </c>
      <c r="ABH5" s="28">
        <f>'REG y VAL POE - AESR - ESR'!AF180</f>
        <v>0</v>
      </c>
      <c r="ABI5" s="29">
        <f>'REG y VAL POE - AESR - ESR'!AG180</f>
        <v>0</v>
      </c>
      <c r="ABJ5" s="28">
        <f>'REG y VAL POE - AESR - ESR'!AH180</f>
        <v>0</v>
      </c>
      <c r="ABK5" s="28">
        <f>'REG y VAL POE - AESR - ESR'!AI180</f>
        <v>0</v>
      </c>
      <c r="ABL5" s="29">
        <f>'REG y VAL POE - AESR - ESR'!AJ180</f>
        <v>0</v>
      </c>
      <c r="ABM5" s="29">
        <f>'REG y VAL POE - AESR - ESR'!AK180</f>
        <v>0</v>
      </c>
      <c r="ABN5" s="29">
        <f>'REG y VAL POE - AESR - ESR'!AL180</f>
        <v>0</v>
      </c>
      <c r="ABO5" s="28">
        <f>'REG y VAL POE - AESR - ESR'!AM180</f>
        <v>0</v>
      </c>
      <c r="ABP5" s="29">
        <f>'REG y VAL POE - AESR - ESR'!AN180</f>
        <v>0</v>
      </c>
      <c r="ABQ5" s="29">
        <f>'REG y VAL POE - AESR - ESR'!AO180</f>
        <v>0</v>
      </c>
      <c r="ABR5" s="28">
        <f>'REG y VAL POE - AESR - ESR'!AP180</f>
        <v>0</v>
      </c>
      <c r="ABS5" s="29">
        <f>'REG y VAL POE - AESR - ESR'!AQ180</f>
        <v>0</v>
      </c>
      <c r="ABT5" s="28">
        <f>'REG y VAL POE - AESR - ESR'!AR180</f>
        <v>0</v>
      </c>
      <c r="ABU5" s="28">
        <f>'REG y VAL POE - AESR - ESR'!AS180</f>
        <v>0</v>
      </c>
      <c r="ABV5" s="385">
        <f>'REG y VAL POE - AESR - ESR'!B181</f>
        <v>0</v>
      </c>
      <c r="ABW5" s="29">
        <f>'REG y VAL POE - AESR - ESR'!C181</f>
        <v>0</v>
      </c>
      <c r="ABX5" s="29">
        <f>'REG y VAL POE - AESR - ESR'!D181</f>
        <v>0</v>
      </c>
      <c r="ABY5" s="28">
        <f>'REG y VAL POE - AESR - ESR'!E181</f>
        <v>0</v>
      </c>
      <c r="ABZ5" s="29">
        <f>'REG y VAL POE - AESR - ESR'!F181</f>
        <v>0</v>
      </c>
      <c r="ACA5" s="29">
        <f>'REG y VAL POE - AESR - ESR'!G181</f>
        <v>0</v>
      </c>
      <c r="ACB5" s="28">
        <f>'REG y VAL POE - AESR - ESR'!H181</f>
        <v>0</v>
      </c>
      <c r="ACC5" s="29">
        <f>'REG y VAL POE - AESR - ESR'!I181</f>
        <v>0</v>
      </c>
      <c r="ACD5" s="28">
        <f>'REG y VAL POE - AESR - ESR'!J181</f>
        <v>0</v>
      </c>
      <c r="ACE5" s="28">
        <f>'REG y VAL POE - AESR - ESR'!K181</f>
        <v>0</v>
      </c>
      <c r="ACF5" s="29">
        <f>'REG y VAL POE - AESR - ESR'!L181</f>
        <v>0</v>
      </c>
      <c r="ACG5" s="29">
        <f>'REG y VAL POE - AESR - ESR'!M181</f>
        <v>0</v>
      </c>
      <c r="ACH5" s="29">
        <f>'REG y VAL POE - AESR - ESR'!N181</f>
        <v>0</v>
      </c>
      <c r="ACI5" s="28">
        <f>'REG y VAL POE - AESR - ESR'!O181</f>
        <v>0</v>
      </c>
      <c r="ACJ5" s="29">
        <f>'REG y VAL POE - AESR - ESR'!P181</f>
        <v>0</v>
      </c>
      <c r="ACK5" s="29">
        <f>'REG y VAL POE - AESR - ESR'!Q181</f>
        <v>0</v>
      </c>
      <c r="ACL5" s="28">
        <f>'REG y VAL POE - AESR - ESR'!R181</f>
        <v>0</v>
      </c>
      <c r="ACM5" s="29">
        <f>'REG y VAL POE - AESR - ESR'!S181</f>
        <v>0</v>
      </c>
      <c r="ACN5" s="28">
        <f>'REG y VAL POE - AESR - ESR'!T181</f>
        <v>0</v>
      </c>
      <c r="ACO5" s="28">
        <f>'REG y VAL POE - AESR - ESR'!U181</f>
        <v>0</v>
      </c>
      <c r="ACP5" s="29">
        <f>'REG y VAL POE - AESR - ESR'!V181</f>
        <v>0</v>
      </c>
      <c r="ACQ5" s="29">
        <f>'REG y VAL POE - AESR - ESR'!W181</f>
        <v>0</v>
      </c>
      <c r="ACR5" s="29">
        <f>'REG y VAL POE - AESR - ESR'!X181</f>
        <v>0</v>
      </c>
      <c r="ACS5" s="28">
        <f>'REG y VAL POE - AESR - ESR'!Y181</f>
        <v>0</v>
      </c>
      <c r="ACT5" s="29">
        <f>'REG y VAL POE - AESR - ESR'!Z181</f>
        <v>0</v>
      </c>
      <c r="ACU5" s="29">
        <f>'REG y VAL POE - AESR - ESR'!AA181</f>
        <v>0</v>
      </c>
      <c r="ACV5" s="28">
        <f>'REG y VAL POE - AESR - ESR'!AB181</f>
        <v>0</v>
      </c>
      <c r="ACW5" s="29">
        <f>'REG y VAL POE - AESR - ESR'!AC181</f>
        <v>0</v>
      </c>
      <c r="ACX5" s="28">
        <f>'REG y VAL POE - AESR - ESR'!AD181</f>
        <v>0</v>
      </c>
      <c r="ACY5" s="28">
        <f>'REG y VAL POE - AESR - ESR'!AE181</f>
        <v>0</v>
      </c>
      <c r="ACZ5" s="29">
        <f>'REG y VAL POE - AESR - ESR'!AF181</f>
        <v>0</v>
      </c>
      <c r="ADA5" s="29">
        <f>'REG y VAL POE - AESR - ESR'!AG181</f>
        <v>0</v>
      </c>
      <c r="ADB5" s="29">
        <f>'REG y VAL POE - AESR - ESR'!AH181</f>
        <v>0</v>
      </c>
      <c r="ADC5" s="28">
        <f>'REG y VAL POE - AESR - ESR'!AI181</f>
        <v>0</v>
      </c>
      <c r="ADD5" s="29">
        <f>'REG y VAL POE - AESR - ESR'!AJ181</f>
        <v>0</v>
      </c>
      <c r="ADE5" s="29">
        <f>'REG y VAL POE - AESR - ESR'!AK181</f>
        <v>0</v>
      </c>
      <c r="ADF5" s="28">
        <f>'REG y VAL POE - AESR - ESR'!AL181</f>
        <v>0</v>
      </c>
      <c r="ADG5" s="29">
        <f>'REG y VAL POE - AESR - ESR'!AM181</f>
        <v>0</v>
      </c>
      <c r="ADH5" s="28">
        <f>'REG y VAL POE - AESR - ESR'!AN181</f>
        <v>0</v>
      </c>
      <c r="ADI5" s="28">
        <f>'REG y VAL POE - AESR - ESR'!AO181</f>
        <v>0</v>
      </c>
      <c r="ADJ5" s="29">
        <f>'REG y VAL POE - AESR - ESR'!AP181</f>
        <v>0</v>
      </c>
      <c r="ADK5" s="29">
        <f>'REG y VAL POE - AESR - ESR'!AQ181</f>
        <v>0</v>
      </c>
      <c r="ADL5" s="29">
        <f>'REG y VAL POE - AESR - ESR'!AR181</f>
        <v>0</v>
      </c>
      <c r="ADM5" s="28">
        <f>'REG y VAL POE - AESR - ESR'!AS181</f>
        <v>0</v>
      </c>
      <c r="ADN5" s="385">
        <f>'REG y VAL POE - AESR - ESR'!B182</f>
        <v>0</v>
      </c>
      <c r="ADO5" s="29">
        <f>'REG y VAL POE - AESR - ESR'!C182</f>
        <v>0</v>
      </c>
      <c r="ADP5" s="28">
        <f>'REG y VAL POE - AESR - ESR'!D182</f>
        <v>0</v>
      </c>
      <c r="ADQ5" s="29">
        <f>'REG y VAL POE - AESR - ESR'!E182</f>
        <v>0</v>
      </c>
      <c r="ADR5" s="28">
        <f>'REG y VAL POE - AESR - ESR'!F182</f>
        <v>0</v>
      </c>
      <c r="ADS5" s="28">
        <f>'REG y VAL POE - AESR - ESR'!G182</f>
        <v>0</v>
      </c>
      <c r="ADT5" s="29">
        <f>'REG y VAL POE - AESR - ESR'!H182</f>
        <v>0</v>
      </c>
      <c r="ADU5" s="29">
        <f>'REG y VAL POE - AESR - ESR'!I182</f>
        <v>0</v>
      </c>
      <c r="ADV5" s="29">
        <f>'REG y VAL POE - AESR - ESR'!J182</f>
        <v>0</v>
      </c>
      <c r="ADW5" s="28">
        <f>'REG y VAL POE - AESR - ESR'!K182</f>
        <v>0</v>
      </c>
      <c r="ADX5" s="29">
        <f>'REG y VAL POE - AESR - ESR'!L182</f>
        <v>0</v>
      </c>
      <c r="ADY5" s="29">
        <f>'REG y VAL POE - AESR - ESR'!M182</f>
        <v>0</v>
      </c>
      <c r="ADZ5" s="28">
        <f>'REG y VAL POE - AESR - ESR'!N182</f>
        <v>0</v>
      </c>
      <c r="AEA5" s="29">
        <f>'REG y VAL POE - AESR - ESR'!O182</f>
        <v>0</v>
      </c>
      <c r="AEB5" s="28">
        <f>'REG y VAL POE - AESR - ESR'!P182</f>
        <v>0</v>
      </c>
      <c r="AEC5" s="28">
        <f>'REG y VAL POE - AESR - ESR'!Q182</f>
        <v>0</v>
      </c>
      <c r="AED5" s="29">
        <f>'REG y VAL POE - AESR - ESR'!R182</f>
        <v>0</v>
      </c>
      <c r="AEE5" s="29">
        <f>'REG y VAL POE - AESR - ESR'!S182</f>
        <v>0</v>
      </c>
      <c r="AEF5" s="29">
        <f>'REG y VAL POE - AESR - ESR'!T182</f>
        <v>0</v>
      </c>
      <c r="AEG5" s="28">
        <f>'REG y VAL POE - AESR - ESR'!U182</f>
        <v>0</v>
      </c>
      <c r="AEH5" s="29">
        <f>'REG y VAL POE - AESR - ESR'!V182</f>
        <v>0</v>
      </c>
      <c r="AEI5" s="29">
        <f>'REG y VAL POE - AESR - ESR'!W182</f>
        <v>0</v>
      </c>
      <c r="AEJ5" s="28">
        <f>'REG y VAL POE - AESR - ESR'!X182</f>
        <v>0</v>
      </c>
      <c r="AEK5" s="29">
        <f>'REG y VAL POE - AESR - ESR'!Y182</f>
        <v>0</v>
      </c>
      <c r="AEL5" s="28">
        <f>'REG y VAL POE - AESR - ESR'!Z182</f>
        <v>0</v>
      </c>
      <c r="AEM5" s="28">
        <f>'REG y VAL POE - AESR - ESR'!AA182</f>
        <v>0</v>
      </c>
      <c r="AEN5" s="29">
        <f>'REG y VAL POE - AESR - ESR'!AB182</f>
        <v>0</v>
      </c>
      <c r="AEO5" s="29">
        <f>'REG y VAL POE - AESR - ESR'!AC182</f>
        <v>0</v>
      </c>
      <c r="AEP5" s="29">
        <f>'REG y VAL POE - AESR - ESR'!AD182</f>
        <v>0</v>
      </c>
      <c r="AEQ5" s="28">
        <f>'REG y VAL POE - AESR - ESR'!AE182</f>
        <v>0</v>
      </c>
      <c r="AER5" s="29">
        <f>'REG y VAL POE - AESR - ESR'!AF182</f>
        <v>0</v>
      </c>
      <c r="AES5" s="29">
        <f>'REG y VAL POE - AESR - ESR'!AG182</f>
        <v>0</v>
      </c>
      <c r="AET5" s="28">
        <f>'REG y VAL POE - AESR - ESR'!AH182</f>
        <v>0</v>
      </c>
      <c r="AEU5" s="29">
        <f>'REG y VAL POE - AESR - ESR'!AI182</f>
        <v>0</v>
      </c>
      <c r="AEV5" s="28">
        <f>'REG y VAL POE - AESR - ESR'!AJ182</f>
        <v>0</v>
      </c>
      <c r="AEW5" s="28">
        <f>'REG y VAL POE - AESR - ESR'!AK182</f>
        <v>0</v>
      </c>
      <c r="AEX5" s="29">
        <f>'REG y VAL POE - AESR - ESR'!AL182</f>
        <v>0</v>
      </c>
      <c r="AEY5" s="29">
        <f>'REG y VAL POE - AESR - ESR'!AM182</f>
        <v>0</v>
      </c>
      <c r="AEZ5" s="29">
        <f>'REG y VAL POE - AESR - ESR'!AN182</f>
        <v>0</v>
      </c>
      <c r="AFA5" s="28">
        <f>'REG y VAL POE - AESR - ESR'!AO182</f>
        <v>0</v>
      </c>
      <c r="AFB5" s="29">
        <f>'REG y VAL POE - AESR - ESR'!AP182</f>
        <v>0</v>
      </c>
      <c r="AFC5" s="29">
        <f>'REG y VAL POE - AESR - ESR'!AQ182</f>
        <v>0</v>
      </c>
      <c r="AFD5" s="28">
        <f>'REG y VAL POE - AESR - ESR'!AR182</f>
        <v>0</v>
      </c>
      <c r="AFE5" s="29">
        <f>'REG y VAL POE - AESR - ESR'!AS182</f>
        <v>0</v>
      </c>
      <c r="AFF5" s="27">
        <f>'REG y VAL POE - AESR - ESR'!B183</f>
        <v>0</v>
      </c>
      <c r="AFG5" s="28">
        <f>'REG y VAL POE - AESR - ESR'!C183</f>
        <v>0</v>
      </c>
      <c r="AFH5" s="29">
        <f>'REG y VAL POE - AESR - ESR'!D183</f>
        <v>0</v>
      </c>
      <c r="AFI5" s="29">
        <f>'REG y VAL POE - AESR - ESR'!E183</f>
        <v>0</v>
      </c>
      <c r="AFJ5" s="29">
        <f>'REG y VAL POE - AESR - ESR'!F183</f>
        <v>0</v>
      </c>
      <c r="AFK5" s="28">
        <f>'REG y VAL POE - AESR - ESR'!G183</f>
        <v>0</v>
      </c>
      <c r="AFL5" s="29">
        <f>'REG y VAL POE - AESR - ESR'!H183</f>
        <v>0</v>
      </c>
      <c r="AFM5" s="29">
        <f>'REG y VAL POE - AESR - ESR'!I183</f>
        <v>0</v>
      </c>
      <c r="AFN5" s="28">
        <f>'REG y VAL POE - AESR - ESR'!J183</f>
        <v>0</v>
      </c>
      <c r="AFO5" s="29">
        <f>'REG y VAL POE - AESR - ESR'!K183</f>
        <v>0</v>
      </c>
      <c r="AFP5" s="28">
        <f>'REG y VAL POE - AESR - ESR'!L183</f>
        <v>0</v>
      </c>
      <c r="AFQ5" s="28">
        <f>'REG y VAL POE - AESR - ESR'!M183</f>
        <v>0</v>
      </c>
      <c r="AFR5" s="29">
        <f>'REG y VAL POE - AESR - ESR'!N183</f>
        <v>0</v>
      </c>
      <c r="AFS5" s="29">
        <f>'REG y VAL POE - AESR - ESR'!O183</f>
        <v>0</v>
      </c>
      <c r="AFT5" s="29">
        <f>'REG y VAL POE - AESR - ESR'!P183</f>
        <v>0</v>
      </c>
      <c r="AFU5" s="28">
        <f>'REG y VAL POE - AESR - ESR'!Q183</f>
        <v>0</v>
      </c>
      <c r="AFV5" s="29">
        <f>'REG y VAL POE - AESR - ESR'!R183</f>
        <v>0</v>
      </c>
      <c r="AFW5" s="29">
        <f>'REG y VAL POE - AESR - ESR'!S183</f>
        <v>0</v>
      </c>
      <c r="AFX5" s="28">
        <f>'REG y VAL POE - AESR - ESR'!T183</f>
        <v>0</v>
      </c>
      <c r="AFY5" s="29">
        <f>'REG y VAL POE - AESR - ESR'!U183</f>
        <v>0</v>
      </c>
      <c r="AFZ5" s="28">
        <f>'REG y VAL POE - AESR - ESR'!V183</f>
        <v>0</v>
      </c>
      <c r="AGA5" s="28">
        <f>'REG y VAL POE - AESR - ESR'!W183</f>
        <v>0</v>
      </c>
      <c r="AGB5" s="29">
        <f>'REG y VAL POE - AESR - ESR'!X183</f>
        <v>0</v>
      </c>
      <c r="AGC5" s="29">
        <f>'REG y VAL POE - AESR - ESR'!Y183</f>
        <v>0</v>
      </c>
      <c r="AGD5" s="29">
        <f>'REG y VAL POE - AESR - ESR'!Z183</f>
        <v>0</v>
      </c>
      <c r="AGE5" s="28">
        <f>'REG y VAL POE - AESR - ESR'!AA183</f>
        <v>0</v>
      </c>
      <c r="AGF5" s="29">
        <f>'REG y VAL POE - AESR - ESR'!AB183</f>
        <v>0</v>
      </c>
      <c r="AGG5" s="29">
        <f>'REG y VAL POE - AESR - ESR'!AC183</f>
        <v>0</v>
      </c>
      <c r="AGH5" s="28">
        <f>'REG y VAL POE - AESR - ESR'!AD183</f>
        <v>0</v>
      </c>
      <c r="AGI5" s="29">
        <f>'REG y VAL POE - AESR - ESR'!AE183</f>
        <v>0</v>
      </c>
      <c r="AGJ5" s="28">
        <f>'REG y VAL POE - AESR - ESR'!AF183</f>
        <v>0</v>
      </c>
      <c r="AGK5" s="28">
        <f>'REG y VAL POE - AESR - ESR'!AG183</f>
        <v>0</v>
      </c>
      <c r="AGL5" s="29">
        <f>'REG y VAL POE - AESR - ESR'!AH183</f>
        <v>0</v>
      </c>
      <c r="AGM5" s="29">
        <f>'REG y VAL POE - AESR - ESR'!AI183</f>
        <v>0</v>
      </c>
      <c r="AGN5" s="29">
        <f>'REG y VAL POE - AESR - ESR'!AJ183</f>
        <v>0</v>
      </c>
      <c r="AGO5" s="28">
        <f>'REG y VAL POE - AESR - ESR'!AK183</f>
        <v>0</v>
      </c>
      <c r="AGP5" s="29">
        <f>'REG y VAL POE - AESR - ESR'!AL183</f>
        <v>0</v>
      </c>
      <c r="AGQ5" s="29">
        <f>'REG y VAL POE - AESR - ESR'!AM183</f>
        <v>0</v>
      </c>
      <c r="AGR5" s="28">
        <f>'REG y VAL POE - AESR - ESR'!AN183</f>
        <v>0</v>
      </c>
      <c r="AGS5" s="29">
        <f>'REG y VAL POE - AESR - ESR'!AO183</f>
        <v>0</v>
      </c>
      <c r="AGT5" s="28">
        <f>'REG y VAL POE - AESR - ESR'!AP183</f>
        <v>0</v>
      </c>
      <c r="AGU5" s="28">
        <f>'REG y VAL POE - AESR - ESR'!AQ183</f>
        <v>0</v>
      </c>
      <c r="AGV5" s="29">
        <f>'REG y VAL POE - AESR - ESR'!AR183</f>
        <v>0</v>
      </c>
      <c r="AGW5" s="29">
        <f>'REG y VAL POE - AESR - ESR'!AS183</f>
        <v>0</v>
      </c>
      <c r="AGX5" s="385">
        <f>'REG y VAL POE - AESR - ESR'!B184</f>
        <v>0</v>
      </c>
      <c r="AGY5" s="28">
        <f>'REG y VAL POE - AESR - ESR'!C184</f>
        <v>0</v>
      </c>
      <c r="AGZ5" s="29">
        <f>'REG y VAL POE - AESR - ESR'!D184</f>
        <v>0</v>
      </c>
      <c r="AHA5" s="29">
        <f>'REG y VAL POE - AESR - ESR'!E184</f>
        <v>0</v>
      </c>
      <c r="AHB5" s="28">
        <f>'REG y VAL POE - AESR - ESR'!F184</f>
        <v>0</v>
      </c>
      <c r="AHC5" s="29">
        <f>'REG y VAL POE - AESR - ESR'!G184</f>
        <v>0</v>
      </c>
      <c r="AHD5" s="28">
        <f>'REG y VAL POE - AESR - ESR'!H184</f>
        <v>0</v>
      </c>
      <c r="AHE5" s="28">
        <f>'REG y VAL POE - AESR - ESR'!I184</f>
        <v>0</v>
      </c>
      <c r="AHF5" s="29">
        <f>'REG y VAL POE - AESR - ESR'!J184</f>
        <v>0</v>
      </c>
      <c r="AHG5" s="29">
        <f>'REG y VAL POE - AESR - ESR'!K184</f>
        <v>0</v>
      </c>
      <c r="AHH5" s="29">
        <f>'REG y VAL POE - AESR - ESR'!L184</f>
        <v>0</v>
      </c>
      <c r="AHI5" s="28">
        <f>'REG y VAL POE - AESR - ESR'!M184</f>
        <v>0</v>
      </c>
      <c r="AHJ5" s="29">
        <f>'REG y VAL POE - AESR - ESR'!N184</f>
        <v>0</v>
      </c>
      <c r="AHK5" s="29">
        <f>'REG y VAL POE - AESR - ESR'!O184</f>
        <v>0</v>
      </c>
      <c r="AHL5" s="28">
        <f>'REG y VAL POE - AESR - ESR'!P184</f>
        <v>0</v>
      </c>
      <c r="AHM5" s="29">
        <f>'REG y VAL POE - AESR - ESR'!Q184</f>
        <v>0</v>
      </c>
      <c r="AHN5" s="28">
        <f>'REG y VAL POE - AESR - ESR'!R184</f>
        <v>0</v>
      </c>
      <c r="AHO5" s="28">
        <f>'REG y VAL POE - AESR - ESR'!S184</f>
        <v>0</v>
      </c>
      <c r="AHP5" s="29">
        <f>'REG y VAL POE - AESR - ESR'!T184</f>
        <v>0</v>
      </c>
      <c r="AHQ5" s="29">
        <f>'REG y VAL POE - AESR - ESR'!U184</f>
        <v>0</v>
      </c>
      <c r="AHR5" s="29">
        <f>'REG y VAL POE - AESR - ESR'!V184</f>
        <v>0</v>
      </c>
      <c r="AHS5" s="28">
        <f>'REG y VAL POE - AESR - ESR'!W184</f>
        <v>0</v>
      </c>
      <c r="AHT5" s="29">
        <f>'REG y VAL POE - AESR - ESR'!X184</f>
        <v>0</v>
      </c>
      <c r="AHU5" s="29">
        <f>'REG y VAL POE - AESR - ESR'!Y184</f>
        <v>0</v>
      </c>
      <c r="AHV5" s="28">
        <f>'REG y VAL POE - AESR - ESR'!Z184</f>
        <v>0</v>
      </c>
      <c r="AHW5" s="29">
        <f>'REG y VAL POE - AESR - ESR'!AA184</f>
        <v>0</v>
      </c>
      <c r="AHX5" s="28">
        <f>'REG y VAL POE - AESR - ESR'!AB184</f>
        <v>0</v>
      </c>
      <c r="AHY5" s="28">
        <f>'REG y VAL POE - AESR - ESR'!AC184</f>
        <v>0</v>
      </c>
      <c r="AHZ5" s="29">
        <f>'REG y VAL POE - AESR - ESR'!AD184</f>
        <v>0</v>
      </c>
      <c r="AIA5" s="29">
        <f>'REG y VAL POE - AESR - ESR'!AE184</f>
        <v>0</v>
      </c>
      <c r="AIB5" s="29">
        <f>'REG y VAL POE - AESR - ESR'!AF184</f>
        <v>0</v>
      </c>
      <c r="AIC5" s="28">
        <f>'REG y VAL POE - AESR - ESR'!AG184</f>
        <v>0</v>
      </c>
      <c r="AID5" s="29">
        <f>'REG y VAL POE - AESR - ESR'!AH184</f>
        <v>0</v>
      </c>
      <c r="AIE5" s="29">
        <f>'REG y VAL POE - AESR - ESR'!AI184</f>
        <v>0</v>
      </c>
      <c r="AIF5" s="28">
        <f>'REG y VAL POE - AESR - ESR'!AJ184</f>
        <v>0</v>
      </c>
      <c r="AIG5" s="29">
        <f>'REG y VAL POE - AESR - ESR'!AK184</f>
        <v>0</v>
      </c>
      <c r="AIH5" s="28">
        <f>'REG y VAL POE - AESR - ESR'!AL184</f>
        <v>0</v>
      </c>
      <c r="AII5" s="28">
        <f>'REG y VAL POE - AESR - ESR'!AM184</f>
        <v>0</v>
      </c>
      <c r="AIJ5" s="29">
        <f>'REG y VAL POE - AESR - ESR'!AN184</f>
        <v>0</v>
      </c>
      <c r="AIK5" s="29">
        <f>'REG y VAL POE - AESR - ESR'!AO184</f>
        <v>0</v>
      </c>
      <c r="AIL5" s="29">
        <f>'REG y VAL POE - AESR - ESR'!AP184</f>
        <v>0</v>
      </c>
      <c r="AIM5" s="28">
        <f>'REG y VAL POE - AESR - ESR'!AQ184</f>
        <v>0</v>
      </c>
      <c r="AIN5" s="29">
        <f>'REG y VAL POE - AESR - ESR'!AR184</f>
        <v>0</v>
      </c>
      <c r="AIO5" s="29">
        <f>'REG y VAL POE - AESR - ESR'!AS184</f>
        <v>0</v>
      </c>
      <c r="AIP5" s="27">
        <f>'REG y VAL POE - AESR - ESR'!B185</f>
        <v>0</v>
      </c>
      <c r="AIQ5" s="29">
        <f>'REG y VAL POE - AESR - ESR'!C185</f>
        <v>0</v>
      </c>
      <c r="AIR5" s="28">
        <f>'REG y VAL POE - AESR - ESR'!D185</f>
        <v>0</v>
      </c>
      <c r="AIS5" s="28">
        <f>'REG y VAL POE - AESR - ESR'!E185</f>
        <v>0</v>
      </c>
      <c r="AIT5" s="29">
        <f>'REG y VAL POE - AESR - ESR'!F185</f>
        <v>0</v>
      </c>
      <c r="AIU5" s="29">
        <f>'REG y VAL POE - AESR - ESR'!G185</f>
        <v>0</v>
      </c>
      <c r="AIV5" s="29">
        <f>'REG y VAL POE - AESR - ESR'!H185</f>
        <v>0</v>
      </c>
      <c r="AIW5" s="28">
        <f>'REG y VAL POE - AESR - ESR'!I185</f>
        <v>0</v>
      </c>
      <c r="AIX5" s="29">
        <f>'REG y VAL POE - AESR - ESR'!J185</f>
        <v>0</v>
      </c>
      <c r="AIY5" s="29">
        <f>'REG y VAL POE - AESR - ESR'!K185</f>
        <v>0</v>
      </c>
      <c r="AIZ5" s="28">
        <f>'REG y VAL POE - AESR - ESR'!L185</f>
        <v>0</v>
      </c>
      <c r="AJA5" s="29">
        <f>'REG y VAL POE - AESR - ESR'!M185</f>
        <v>0</v>
      </c>
      <c r="AJB5" s="28">
        <f>'REG y VAL POE - AESR - ESR'!N185</f>
        <v>0</v>
      </c>
      <c r="AJC5" s="28">
        <f>'REG y VAL POE - AESR - ESR'!O185</f>
        <v>0</v>
      </c>
      <c r="AJD5" s="29">
        <f>'REG y VAL POE - AESR - ESR'!P185</f>
        <v>0</v>
      </c>
      <c r="AJE5" s="29">
        <f>'REG y VAL POE - AESR - ESR'!Q185</f>
        <v>0</v>
      </c>
      <c r="AJF5" s="29">
        <f>'REG y VAL POE - AESR - ESR'!R185</f>
        <v>0</v>
      </c>
      <c r="AJG5" s="28">
        <f>'REG y VAL POE - AESR - ESR'!S185</f>
        <v>0</v>
      </c>
      <c r="AJH5" s="29">
        <f>'REG y VAL POE - AESR - ESR'!T185</f>
        <v>0</v>
      </c>
      <c r="AJI5" s="29">
        <f>'REG y VAL POE - AESR - ESR'!U185</f>
        <v>0</v>
      </c>
      <c r="AJJ5" s="28">
        <f>'REG y VAL POE - AESR - ESR'!V185</f>
        <v>0</v>
      </c>
      <c r="AJK5" s="29">
        <f>'REG y VAL POE - AESR - ESR'!W185</f>
        <v>0</v>
      </c>
      <c r="AJL5" s="28">
        <f>'REG y VAL POE - AESR - ESR'!X185</f>
        <v>0</v>
      </c>
      <c r="AJM5" s="28">
        <f>'REG y VAL POE - AESR - ESR'!Y185</f>
        <v>0</v>
      </c>
      <c r="AJN5" s="29">
        <f>'REG y VAL POE - AESR - ESR'!Z185</f>
        <v>0</v>
      </c>
      <c r="AJO5" s="29">
        <f>'REG y VAL POE - AESR - ESR'!AA185</f>
        <v>0</v>
      </c>
      <c r="AJP5" s="29">
        <f>'REG y VAL POE - AESR - ESR'!AB185</f>
        <v>0</v>
      </c>
      <c r="AJQ5" s="28">
        <f>'REG y VAL POE - AESR - ESR'!AC185</f>
        <v>0</v>
      </c>
      <c r="AJR5" s="29">
        <f>'REG y VAL POE - AESR - ESR'!AD185</f>
        <v>0</v>
      </c>
      <c r="AJS5" s="29">
        <f>'REG y VAL POE - AESR - ESR'!AE185</f>
        <v>0</v>
      </c>
      <c r="AJT5" s="28">
        <f>'REG y VAL POE - AESR - ESR'!AF185</f>
        <v>0</v>
      </c>
      <c r="AJU5" s="29">
        <f>'REG y VAL POE - AESR - ESR'!AG185</f>
        <v>0</v>
      </c>
      <c r="AJV5" s="28">
        <f>'REG y VAL POE - AESR - ESR'!AH185</f>
        <v>0</v>
      </c>
      <c r="AJW5" s="28">
        <f>'REG y VAL POE - AESR - ESR'!AI185</f>
        <v>0</v>
      </c>
      <c r="AJX5" s="29">
        <f>'REG y VAL POE - AESR - ESR'!AJ185</f>
        <v>0</v>
      </c>
      <c r="AJY5" s="29">
        <f>'REG y VAL POE - AESR - ESR'!AK185</f>
        <v>0</v>
      </c>
      <c r="AJZ5" s="29">
        <f>'REG y VAL POE - AESR - ESR'!AL185</f>
        <v>0</v>
      </c>
      <c r="AKA5" s="28">
        <f>'REG y VAL POE - AESR - ESR'!AM185</f>
        <v>0</v>
      </c>
      <c r="AKB5" s="29">
        <f>'REG y VAL POE - AESR - ESR'!AN185</f>
        <v>0</v>
      </c>
      <c r="AKC5" s="29">
        <f>'REG y VAL POE - AESR - ESR'!AO185</f>
        <v>0</v>
      </c>
      <c r="AKD5" s="28">
        <f>'REG y VAL POE - AESR - ESR'!AP185</f>
        <v>0</v>
      </c>
      <c r="AKE5" s="29">
        <f>'REG y VAL POE - AESR - ESR'!AQ185</f>
        <v>0</v>
      </c>
      <c r="AKF5" s="28">
        <f>'REG y VAL POE - AESR - ESR'!AR185</f>
        <v>0</v>
      </c>
      <c r="AKG5" s="28">
        <f>'REG y VAL POE - AESR - ESR'!AS185</f>
        <v>0</v>
      </c>
      <c r="AKH5" s="385">
        <f>'REG y VAL POE - AESR - ESR'!B186</f>
        <v>0</v>
      </c>
      <c r="AKI5" s="29">
        <f>'REG y VAL POE - AESR - ESR'!C186</f>
        <v>0</v>
      </c>
      <c r="AKJ5" s="29">
        <f>'REG y VAL POE - AESR - ESR'!D186</f>
        <v>0</v>
      </c>
      <c r="AKK5" s="28">
        <f>'REG y VAL POE - AESR - ESR'!E186</f>
        <v>0</v>
      </c>
      <c r="AKL5" s="29">
        <f>'REG y VAL POE - AESR - ESR'!F186</f>
        <v>0</v>
      </c>
      <c r="AKM5" s="29">
        <f>'REG y VAL POE - AESR - ESR'!G186</f>
        <v>0</v>
      </c>
      <c r="AKN5" s="28">
        <f>'REG y VAL POE - AESR - ESR'!H186</f>
        <v>0</v>
      </c>
      <c r="AKO5" s="29">
        <f>'REG y VAL POE - AESR - ESR'!I186</f>
        <v>0</v>
      </c>
      <c r="AKP5" s="28">
        <f>'REG y VAL POE - AESR - ESR'!J186</f>
        <v>0</v>
      </c>
      <c r="AKQ5" s="28">
        <f>'REG y VAL POE - AESR - ESR'!K186</f>
        <v>0</v>
      </c>
      <c r="AKR5" s="29">
        <f>'REG y VAL POE - AESR - ESR'!L186</f>
        <v>0</v>
      </c>
      <c r="AKS5" s="29">
        <f>'REG y VAL POE - AESR - ESR'!M186</f>
        <v>0</v>
      </c>
      <c r="AKT5" s="29">
        <f>'REG y VAL POE - AESR - ESR'!N186</f>
        <v>0</v>
      </c>
      <c r="AKU5" s="28">
        <f>'REG y VAL POE - AESR - ESR'!O186</f>
        <v>0</v>
      </c>
      <c r="AKV5" s="29">
        <f>'REG y VAL POE - AESR - ESR'!P186</f>
        <v>0</v>
      </c>
      <c r="AKW5" s="29">
        <f>'REG y VAL POE - AESR - ESR'!Q186</f>
        <v>0</v>
      </c>
      <c r="AKX5" s="28">
        <f>'REG y VAL POE - AESR - ESR'!R186</f>
        <v>0</v>
      </c>
      <c r="AKY5" s="29">
        <f>'REG y VAL POE - AESR - ESR'!S186</f>
        <v>0</v>
      </c>
      <c r="AKZ5" s="28">
        <f>'REG y VAL POE - AESR - ESR'!T186</f>
        <v>0</v>
      </c>
      <c r="ALA5" s="28">
        <f>'REG y VAL POE - AESR - ESR'!U186</f>
        <v>0</v>
      </c>
      <c r="ALB5" s="29">
        <f>'REG y VAL POE - AESR - ESR'!V186</f>
        <v>0</v>
      </c>
      <c r="ALC5" s="29">
        <f>'REG y VAL POE - AESR - ESR'!W186</f>
        <v>0</v>
      </c>
      <c r="ALD5" s="29">
        <f>'REG y VAL POE - AESR - ESR'!X186</f>
        <v>0</v>
      </c>
      <c r="ALE5" s="28">
        <f>'REG y VAL POE - AESR - ESR'!Y186</f>
        <v>0</v>
      </c>
      <c r="ALF5" s="29">
        <f>'REG y VAL POE - AESR - ESR'!Z186</f>
        <v>0</v>
      </c>
      <c r="ALG5" s="29">
        <f>'REG y VAL POE - AESR - ESR'!AA186</f>
        <v>0</v>
      </c>
      <c r="ALH5" s="29">
        <f>'REG y VAL POE - AESR - ESR'!AB186</f>
        <v>0</v>
      </c>
      <c r="ALI5" s="29">
        <f>'REG y VAL POE - AESR - ESR'!AC186</f>
        <v>0</v>
      </c>
      <c r="ALJ5" s="29">
        <f>'REG y VAL POE - AESR - ESR'!AD186</f>
        <v>0</v>
      </c>
      <c r="ALK5" s="28">
        <f>'REG y VAL POE - AESR - ESR'!AE186</f>
        <v>0</v>
      </c>
      <c r="ALL5" s="29">
        <f>'REG y VAL POE - AESR - ESR'!AF186</f>
        <v>0</v>
      </c>
      <c r="ALM5" s="29">
        <f>'REG y VAL POE - AESR - ESR'!AG186</f>
        <v>0</v>
      </c>
      <c r="ALN5" s="28">
        <f>'REG y VAL POE - AESR - ESR'!AH186</f>
        <v>0</v>
      </c>
      <c r="ALO5" s="29">
        <f>'REG y VAL POE - AESR - ESR'!AI186</f>
        <v>0</v>
      </c>
      <c r="ALP5" s="28">
        <f>'REG y VAL POE - AESR - ESR'!AJ186</f>
        <v>0</v>
      </c>
      <c r="ALQ5" s="28">
        <f>'REG y VAL POE - AESR - ESR'!AK186</f>
        <v>0</v>
      </c>
      <c r="ALR5" s="29">
        <f>'REG y VAL POE - AESR - ESR'!AL186</f>
        <v>0</v>
      </c>
      <c r="ALS5" s="29">
        <f>'REG y VAL POE - AESR - ESR'!AM186</f>
        <v>0</v>
      </c>
      <c r="ALT5" s="29">
        <f>'REG y VAL POE - AESR - ESR'!AN186</f>
        <v>0</v>
      </c>
      <c r="ALU5" s="28">
        <f>'REG y VAL POE - AESR - ESR'!AO186</f>
        <v>0</v>
      </c>
      <c r="ALV5" s="29">
        <f>'REG y VAL POE - AESR - ESR'!AP186</f>
        <v>0</v>
      </c>
      <c r="ALW5" s="29">
        <f>'REG y VAL POE - AESR - ESR'!AQ186</f>
        <v>0</v>
      </c>
      <c r="ALX5" s="28">
        <f>'REG y VAL POE - AESR - ESR'!AR186</f>
        <v>0</v>
      </c>
      <c r="ALY5" s="29">
        <f>'REG y VAL POE - AESR - ESR'!AS186</f>
        <v>0</v>
      </c>
      <c r="ALZ5" s="27">
        <f>'REG y VAL POE - AESR - ESR'!B187</f>
        <v>0</v>
      </c>
      <c r="AMA5" s="28">
        <f>'REG y VAL POE - AESR - ESR'!C187</f>
        <v>0</v>
      </c>
      <c r="AMB5" s="29">
        <f>'REG y VAL POE - AESR - ESR'!D187</f>
        <v>0</v>
      </c>
      <c r="AMC5" s="29">
        <f>'REG y VAL POE - AESR - ESR'!E187</f>
        <v>0</v>
      </c>
      <c r="AMD5" s="29">
        <f>'REG y VAL POE - AESR - ESR'!F187</f>
        <v>0</v>
      </c>
      <c r="AME5" s="28">
        <f>'REG y VAL POE - AESR - ESR'!G187</f>
        <v>0</v>
      </c>
      <c r="AMF5" s="29">
        <f>'REG y VAL POE - AESR - ESR'!H187</f>
        <v>0</v>
      </c>
      <c r="AMG5" s="29">
        <f>'REG y VAL POE - AESR - ESR'!I187</f>
        <v>0</v>
      </c>
      <c r="AMH5" s="29">
        <f>'REG y VAL POE - AESR - ESR'!J187</f>
        <v>0</v>
      </c>
      <c r="AMI5" s="29">
        <f>'REG y VAL POE - AESR - ESR'!K187</f>
        <v>0</v>
      </c>
      <c r="AMJ5" s="29">
        <f>'REG y VAL POE - AESR - ESR'!L187</f>
        <v>0</v>
      </c>
      <c r="AMK5" s="28">
        <f>'REG y VAL POE - AESR - ESR'!M187</f>
        <v>0</v>
      </c>
      <c r="AML5" s="29">
        <f>'REG y VAL POE - AESR - ESR'!N187</f>
        <v>0</v>
      </c>
      <c r="AMM5" s="29">
        <f>'REG y VAL POE - AESR - ESR'!O187</f>
        <v>0</v>
      </c>
      <c r="AMN5" s="28">
        <f>'REG y VAL POE - AESR - ESR'!P187</f>
        <v>0</v>
      </c>
      <c r="AMO5" s="29">
        <f>'REG y VAL POE - AESR - ESR'!Q187</f>
        <v>0</v>
      </c>
      <c r="AMP5" s="28">
        <f>'REG y VAL POE - AESR - ESR'!R187</f>
        <v>0</v>
      </c>
      <c r="AMQ5" s="28">
        <f>'REG y VAL POE - AESR - ESR'!S187</f>
        <v>0</v>
      </c>
      <c r="AMR5" s="29">
        <f>'REG y VAL POE - AESR - ESR'!T187</f>
        <v>0</v>
      </c>
      <c r="AMS5" s="29">
        <f>'REG y VAL POE - AESR - ESR'!U187</f>
        <v>0</v>
      </c>
      <c r="AMT5" s="29">
        <f>'REG y VAL POE - AESR - ESR'!V187</f>
        <v>0</v>
      </c>
      <c r="AMU5" s="28">
        <f>'REG y VAL POE - AESR - ESR'!W187</f>
        <v>0</v>
      </c>
      <c r="AMV5" s="29">
        <f>'REG y VAL POE - AESR - ESR'!X187</f>
        <v>0</v>
      </c>
      <c r="AMW5" s="29">
        <f>'REG y VAL POE - AESR - ESR'!Y187</f>
        <v>0</v>
      </c>
      <c r="AMX5" s="28">
        <f>'REG y VAL POE - AESR - ESR'!Z187</f>
        <v>0</v>
      </c>
      <c r="AMY5" s="29">
        <f>'REG y VAL POE - AESR - ESR'!AA187</f>
        <v>0</v>
      </c>
      <c r="AMZ5" s="28">
        <f>'REG y VAL POE - AESR - ESR'!AB187</f>
        <v>0</v>
      </c>
      <c r="ANA5" s="28">
        <f>'REG y VAL POE - AESR - ESR'!AC187</f>
        <v>0</v>
      </c>
      <c r="ANB5" s="29">
        <f>'REG y VAL POE - AESR - ESR'!AD187</f>
        <v>0</v>
      </c>
      <c r="ANC5" s="29">
        <f>'REG y VAL POE - AESR - ESR'!AE187</f>
        <v>0</v>
      </c>
      <c r="AND5" s="29">
        <f>'REG y VAL POE - AESR - ESR'!AF187</f>
        <v>0</v>
      </c>
      <c r="ANE5" s="28">
        <f>'REG y VAL POE - AESR - ESR'!AG187</f>
        <v>0</v>
      </c>
      <c r="ANF5" s="29">
        <f>'REG y VAL POE - AESR - ESR'!AH187</f>
        <v>0</v>
      </c>
      <c r="ANG5" s="29">
        <f>'REG y VAL POE - AESR - ESR'!AI187</f>
        <v>0</v>
      </c>
      <c r="ANH5" s="29">
        <f>'REG y VAL POE - AESR - ESR'!AJ187</f>
        <v>0</v>
      </c>
      <c r="ANI5" s="29">
        <f>'REG y VAL POE - AESR - ESR'!AK187</f>
        <v>0</v>
      </c>
      <c r="ANJ5" s="29">
        <f>'REG y VAL POE - AESR - ESR'!AL187</f>
        <v>0</v>
      </c>
      <c r="ANK5" s="28">
        <f>'REG y VAL POE - AESR - ESR'!AM187</f>
        <v>0</v>
      </c>
      <c r="ANL5" s="29">
        <f>'REG y VAL POE - AESR - ESR'!AN187</f>
        <v>0</v>
      </c>
      <c r="ANM5" s="29">
        <f>'REG y VAL POE - AESR - ESR'!AO187</f>
        <v>0</v>
      </c>
      <c r="ANN5" s="28">
        <f>'REG y VAL POE - AESR - ESR'!AP187</f>
        <v>0</v>
      </c>
      <c r="ANO5" s="29">
        <f>'REG y VAL POE - AESR - ESR'!AQ187</f>
        <v>0</v>
      </c>
      <c r="ANP5" s="28">
        <f>'REG y VAL POE - AESR - ESR'!AR187</f>
        <v>0</v>
      </c>
      <c r="ANQ5" s="28">
        <f>'REG y VAL POE - AESR - ESR'!AS187</f>
        <v>0</v>
      </c>
      <c r="ANR5" s="385">
        <f>'REG y VAL POE - AESR - ESR'!B188</f>
        <v>0</v>
      </c>
      <c r="ANS5" s="29">
        <f>'REG y VAL POE - AESR - ESR'!C188</f>
        <v>0</v>
      </c>
      <c r="ANT5" s="29">
        <f>'REG y VAL POE - AESR - ESR'!D188</f>
        <v>0</v>
      </c>
      <c r="ANU5" s="28">
        <f>'REG y VAL POE - AESR - ESR'!E188</f>
        <v>0</v>
      </c>
      <c r="ANV5" s="29">
        <f>'REG y VAL POE - AESR - ESR'!F188</f>
        <v>0</v>
      </c>
      <c r="ANW5" s="29">
        <f>'REG y VAL POE - AESR - ESR'!G188</f>
        <v>0</v>
      </c>
      <c r="ANX5" s="28">
        <f>'REG y VAL POE - AESR - ESR'!H188</f>
        <v>0</v>
      </c>
      <c r="ANY5" s="29">
        <f>'REG y VAL POE - AESR - ESR'!I188</f>
        <v>0</v>
      </c>
      <c r="ANZ5" s="28">
        <f>'REG y VAL POE - AESR - ESR'!J188</f>
        <v>0</v>
      </c>
      <c r="AOA5" s="28">
        <f>'REG y VAL POE - AESR - ESR'!K188</f>
        <v>0</v>
      </c>
      <c r="AOB5" s="29">
        <f>'REG y VAL POE - AESR - ESR'!L188</f>
        <v>0</v>
      </c>
      <c r="AOC5" s="29">
        <f>'REG y VAL POE - AESR - ESR'!M188</f>
        <v>0</v>
      </c>
      <c r="AOD5" s="29">
        <f>'REG y VAL POE - AESR - ESR'!N188</f>
        <v>0</v>
      </c>
      <c r="AOE5" s="28">
        <f>'REG y VAL POE - AESR - ESR'!O188</f>
        <v>0</v>
      </c>
      <c r="AOF5" s="29">
        <f>'REG y VAL POE - AESR - ESR'!P188</f>
        <v>0</v>
      </c>
      <c r="AOG5" s="29">
        <f>'REG y VAL POE - AESR - ESR'!Q188</f>
        <v>0</v>
      </c>
      <c r="AOH5" s="29">
        <f>'REG y VAL POE - AESR - ESR'!R188</f>
        <v>0</v>
      </c>
      <c r="AOI5" s="29">
        <f>'REG y VAL POE - AESR - ESR'!S188</f>
        <v>0</v>
      </c>
      <c r="AOJ5" s="29">
        <f>'REG y VAL POE - AESR - ESR'!T188</f>
        <v>0</v>
      </c>
      <c r="AOK5" s="28">
        <f>'REG y VAL POE - AESR - ESR'!U188</f>
        <v>0</v>
      </c>
      <c r="AOL5" s="29">
        <f>'REG y VAL POE - AESR - ESR'!V188</f>
        <v>0</v>
      </c>
      <c r="AOM5" s="29">
        <f>'REG y VAL POE - AESR - ESR'!W188</f>
        <v>0</v>
      </c>
      <c r="AON5" s="28">
        <f>'REG y VAL POE - AESR - ESR'!X188</f>
        <v>0</v>
      </c>
      <c r="AOO5" s="29">
        <f>'REG y VAL POE - AESR - ESR'!Y188</f>
        <v>0</v>
      </c>
      <c r="AOP5" s="28">
        <f>'REG y VAL POE - AESR - ESR'!Z188</f>
        <v>0</v>
      </c>
      <c r="AOQ5" s="28">
        <f>'REG y VAL POE - AESR - ESR'!AA188</f>
        <v>0</v>
      </c>
      <c r="AOR5" s="29">
        <f>'REG y VAL POE - AESR - ESR'!AB188</f>
        <v>0</v>
      </c>
      <c r="AOS5" s="29">
        <f>'REG y VAL POE - AESR - ESR'!AC188</f>
        <v>0</v>
      </c>
      <c r="AOT5" s="29">
        <f>'REG y VAL POE - AESR - ESR'!AD188</f>
        <v>0</v>
      </c>
      <c r="AOU5" s="28">
        <f>'REG y VAL POE - AESR - ESR'!AE188</f>
        <v>0</v>
      </c>
      <c r="AOV5" s="29">
        <f>'REG y VAL POE - AESR - ESR'!AF188</f>
        <v>0</v>
      </c>
      <c r="AOW5" s="29">
        <f>'REG y VAL POE - AESR - ESR'!AG188</f>
        <v>0</v>
      </c>
      <c r="AOX5" s="28">
        <f>'REG y VAL POE - AESR - ESR'!AH188</f>
        <v>0</v>
      </c>
      <c r="AOY5" s="29">
        <f>'REG y VAL POE - AESR - ESR'!AI188</f>
        <v>0</v>
      </c>
      <c r="AOZ5" s="28">
        <f>'REG y VAL POE - AESR - ESR'!AJ188</f>
        <v>0</v>
      </c>
      <c r="APA5" s="28">
        <f>'REG y VAL POE - AESR - ESR'!AK188</f>
        <v>0</v>
      </c>
      <c r="APB5" s="29">
        <f>'REG y VAL POE - AESR - ESR'!AL188</f>
        <v>0</v>
      </c>
      <c r="APC5" s="29">
        <f>'REG y VAL POE - AESR - ESR'!AM188</f>
        <v>0</v>
      </c>
      <c r="APD5" s="29">
        <f>'REG y VAL POE - AESR - ESR'!AN188</f>
        <v>0</v>
      </c>
      <c r="APE5" s="28">
        <f>'REG y VAL POE - AESR - ESR'!AO188</f>
        <v>0</v>
      </c>
      <c r="APF5" s="29">
        <f>'REG y VAL POE - AESR - ESR'!AP188</f>
        <v>0</v>
      </c>
      <c r="APG5" s="29">
        <f>'REG y VAL POE - AESR - ESR'!AQ188</f>
        <v>0</v>
      </c>
      <c r="APH5" s="29">
        <f>'REG y VAL POE - AESR - ESR'!AR188</f>
        <v>0</v>
      </c>
      <c r="API5" s="29">
        <f>'REG y VAL POE - AESR - ESR'!AS188</f>
        <v>0</v>
      </c>
      <c r="APJ5" s="385">
        <f>'REG y VAL POE - AESR - ESR'!B189</f>
        <v>0</v>
      </c>
      <c r="APK5" s="28">
        <f>'REG y VAL POE - AESR - ESR'!C189</f>
        <v>0</v>
      </c>
      <c r="APL5" s="29">
        <f>'REG y VAL POE - AESR - ESR'!D189</f>
        <v>0</v>
      </c>
      <c r="APM5" s="29">
        <f>'REG y VAL POE - AESR - ESR'!E189</f>
        <v>0</v>
      </c>
      <c r="APN5" s="28">
        <f>'REG y VAL POE - AESR - ESR'!F189</f>
        <v>0</v>
      </c>
      <c r="APO5" s="29">
        <f>'REG y VAL POE - AESR - ESR'!G189</f>
        <v>0</v>
      </c>
      <c r="APP5" s="28">
        <f>'REG y VAL POE - AESR - ESR'!H189</f>
        <v>0</v>
      </c>
      <c r="APQ5" s="28">
        <f>'REG y VAL POE - AESR - ESR'!I189</f>
        <v>0</v>
      </c>
      <c r="APR5" s="29">
        <f>'REG y VAL POE - AESR - ESR'!J189</f>
        <v>0</v>
      </c>
      <c r="APS5" s="29">
        <f>'REG y VAL POE - AESR - ESR'!K189</f>
        <v>0</v>
      </c>
      <c r="APT5" s="29">
        <f>'REG y VAL POE - AESR - ESR'!L189</f>
        <v>0</v>
      </c>
      <c r="APU5" s="28">
        <f>'REG y VAL POE - AESR - ESR'!M189</f>
        <v>0</v>
      </c>
      <c r="APV5" s="29">
        <f>'REG y VAL POE - AESR - ESR'!N189</f>
        <v>0</v>
      </c>
      <c r="APW5" s="29">
        <f>'REG y VAL POE - AESR - ESR'!O189</f>
        <v>0</v>
      </c>
      <c r="APX5" s="28">
        <f>'REG y VAL POE - AESR - ESR'!P189</f>
        <v>0</v>
      </c>
      <c r="APY5" s="29">
        <f>'REG y VAL POE - AESR - ESR'!Q189</f>
        <v>0</v>
      </c>
      <c r="APZ5" s="28">
        <f>'REG y VAL POE - AESR - ESR'!R189</f>
        <v>0</v>
      </c>
      <c r="AQA5" s="28">
        <f>'REG y VAL POE - AESR - ESR'!S189</f>
        <v>0</v>
      </c>
      <c r="AQB5" s="29">
        <f>'REG y VAL POE - AESR - ESR'!T189</f>
        <v>0</v>
      </c>
      <c r="AQC5" s="29">
        <f>'REG y VAL POE - AESR - ESR'!U189</f>
        <v>0</v>
      </c>
      <c r="AQD5" s="29">
        <f>'REG y VAL POE - AESR - ESR'!V189</f>
        <v>0</v>
      </c>
      <c r="AQE5" s="28">
        <f>'REG y VAL POE - AESR - ESR'!W189</f>
        <v>0</v>
      </c>
      <c r="AQF5" s="29">
        <f>'REG y VAL POE - AESR - ESR'!X189</f>
        <v>0</v>
      </c>
      <c r="AQG5" s="29">
        <f>'REG y VAL POE - AESR - ESR'!Y189</f>
        <v>0</v>
      </c>
      <c r="AQH5" s="29">
        <f>'REG y VAL POE - AESR - ESR'!Z189</f>
        <v>0</v>
      </c>
      <c r="AQI5" s="29">
        <f>'REG y VAL POE - AESR - ESR'!AA189</f>
        <v>0</v>
      </c>
      <c r="AQJ5" s="29">
        <f>'REG y VAL POE - AESR - ESR'!AB189</f>
        <v>0</v>
      </c>
      <c r="AQK5" s="28">
        <f>'REG y VAL POE - AESR - ESR'!AC189</f>
        <v>0</v>
      </c>
      <c r="AQL5" s="29">
        <f>'REG y VAL POE - AESR - ESR'!AD189</f>
        <v>0</v>
      </c>
      <c r="AQM5" s="29">
        <f>'REG y VAL POE - AESR - ESR'!AE189</f>
        <v>0</v>
      </c>
      <c r="AQN5" s="28">
        <f>'REG y VAL POE - AESR - ESR'!AF189</f>
        <v>0</v>
      </c>
      <c r="AQO5" s="29">
        <f>'REG y VAL POE - AESR - ESR'!AG189</f>
        <v>0</v>
      </c>
      <c r="AQP5" s="28">
        <f>'REG y VAL POE - AESR - ESR'!AH189</f>
        <v>0</v>
      </c>
      <c r="AQQ5" s="28">
        <f>'REG y VAL POE - AESR - ESR'!AI189</f>
        <v>0</v>
      </c>
      <c r="AQR5" s="29">
        <f>'REG y VAL POE - AESR - ESR'!AJ189</f>
        <v>0</v>
      </c>
      <c r="AQS5" s="29">
        <f>'REG y VAL POE - AESR - ESR'!AK189</f>
        <v>0</v>
      </c>
      <c r="AQT5" s="29">
        <f>'REG y VAL POE - AESR - ESR'!AL189</f>
        <v>0</v>
      </c>
      <c r="AQU5" s="28">
        <f>'REG y VAL POE - AESR - ESR'!AM189</f>
        <v>0</v>
      </c>
      <c r="AQV5" s="29">
        <f>'REG y VAL POE - AESR - ESR'!AN189</f>
        <v>0</v>
      </c>
      <c r="AQW5" s="29">
        <f>'REG y VAL POE - AESR - ESR'!AO189</f>
        <v>0</v>
      </c>
      <c r="AQX5" s="28">
        <f>'REG y VAL POE - AESR - ESR'!AP189</f>
        <v>0</v>
      </c>
      <c r="AQY5" s="29">
        <f>'REG y VAL POE - AESR - ESR'!AQ189</f>
        <v>0</v>
      </c>
      <c r="AQZ5" s="28">
        <f>'REG y VAL POE - AESR - ESR'!AR189</f>
        <v>0</v>
      </c>
      <c r="ARA5" s="28">
        <f>'REG y VAL POE - AESR - ESR'!AS189</f>
        <v>0</v>
      </c>
      <c r="ARB5" s="385">
        <f>'REG y VAL POE - AESR - ESR'!B190</f>
        <v>0</v>
      </c>
      <c r="ARC5" s="29">
        <f>'REG y VAL POE - AESR - ESR'!C190</f>
        <v>0</v>
      </c>
      <c r="ARD5" s="29">
        <f>'REG y VAL POE - AESR - ESR'!D190</f>
        <v>0</v>
      </c>
      <c r="ARE5" s="28">
        <f>'REG y VAL POE - AESR - ESR'!E190</f>
        <v>0</v>
      </c>
      <c r="ARF5" s="29">
        <f>'REG y VAL POE - AESR - ESR'!F190</f>
        <v>0</v>
      </c>
      <c r="ARG5" s="29">
        <f>'REG y VAL POE - AESR - ESR'!G190</f>
        <v>0</v>
      </c>
      <c r="ARH5" s="29">
        <f>'REG y VAL POE - AESR - ESR'!H190</f>
        <v>0</v>
      </c>
      <c r="ARI5" s="29">
        <f>'REG y VAL POE - AESR - ESR'!I190</f>
        <v>0</v>
      </c>
      <c r="ARJ5" s="29">
        <f>'REG y VAL POE - AESR - ESR'!J190</f>
        <v>0</v>
      </c>
      <c r="ARK5" s="28">
        <f>'REG y VAL POE - AESR - ESR'!K190</f>
        <v>0</v>
      </c>
      <c r="ARL5" s="29">
        <f>'REG y VAL POE - AESR - ESR'!L190</f>
        <v>0</v>
      </c>
      <c r="ARM5" s="29">
        <f>'REG y VAL POE - AESR - ESR'!M190</f>
        <v>0</v>
      </c>
      <c r="ARN5" s="28">
        <f>'REG y VAL POE - AESR - ESR'!N190</f>
        <v>0</v>
      </c>
      <c r="ARO5" s="29">
        <f>'REG y VAL POE - AESR - ESR'!O190</f>
        <v>0</v>
      </c>
      <c r="ARP5" s="28">
        <f>'REG y VAL POE - AESR - ESR'!P190</f>
        <v>0</v>
      </c>
      <c r="ARQ5" s="28">
        <f>'REG y VAL POE - AESR - ESR'!Q190</f>
        <v>0</v>
      </c>
      <c r="ARR5" s="29">
        <f>'REG y VAL POE - AESR - ESR'!R190</f>
        <v>0</v>
      </c>
      <c r="ARS5" s="29">
        <f>'REG y VAL POE - AESR - ESR'!S190</f>
        <v>0</v>
      </c>
      <c r="ART5" s="29">
        <f>'REG y VAL POE - AESR - ESR'!T190</f>
        <v>0</v>
      </c>
      <c r="ARU5" s="28">
        <f>'REG y VAL POE - AESR - ESR'!U190</f>
        <v>0</v>
      </c>
      <c r="ARV5" s="29">
        <f>'REG y VAL POE - AESR - ESR'!V190</f>
        <v>0</v>
      </c>
      <c r="ARW5" s="29">
        <f>'REG y VAL POE - AESR - ESR'!W190</f>
        <v>0</v>
      </c>
      <c r="ARX5" s="28">
        <f>'REG y VAL POE - AESR - ESR'!X190</f>
        <v>0</v>
      </c>
      <c r="ARY5" s="29">
        <f>'REG y VAL POE - AESR - ESR'!Y190</f>
        <v>0</v>
      </c>
      <c r="ARZ5" s="28">
        <f>'REG y VAL POE - AESR - ESR'!Z190</f>
        <v>0</v>
      </c>
      <c r="ASA5" s="28">
        <f>'REG y VAL POE - AESR - ESR'!AA190</f>
        <v>0</v>
      </c>
      <c r="ASB5" s="29">
        <f>'REG y VAL POE - AESR - ESR'!AB190</f>
        <v>0</v>
      </c>
      <c r="ASC5" s="29">
        <f>'REG y VAL POE - AESR - ESR'!AC190</f>
        <v>0</v>
      </c>
      <c r="ASD5" s="29">
        <f>'REG y VAL POE - AESR - ESR'!AD190</f>
        <v>0</v>
      </c>
      <c r="ASE5" s="28">
        <f>'REG y VAL POE - AESR - ESR'!AE190</f>
        <v>0</v>
      </c>
      <c r="ASF5" s="29">
        <f>'REG y VAL POE - AESR - ESR'!AF190</f>
        <v>0</v>
      </c>
      <c r="ASG5" s="29">
        <f>'REG y VAL POE - AESR - ESR'!AG190</f>
        <v>0</v>
      </c>
      <c r="ASH5" s="29">
        <f>'REG y VAL POE - AESR - ESR'!AH190</f>
        <v>0</v>
      </c>
      <c r="ASI5" s="29">
        <f>'REG y VAL POE - AESR - ESR'!AI190</f>
        <v>0</v>
      </c>
      <c r="ASJ5" s="29">
        <f>'REG y VAL POE - AESR - ESR'!AJ190</f>
        <v>0</v>
      </c>
      <c r="ASK5" s="28">
        <f>'REG y VAL POE - AESR - ESR'!AK190</f>
        <v>0</v>
      </c>
      <c r="ASL5" s="29">
        <f>'REG y VAL POE - AESR - ESR'!AL190</f>
        <v>0</v>
      </c>
      <c r="ASM5" s="29">
        <f>'REG y VAL POE - AESR - ESR'!AM190</f>
        <v>0</v>
      </c>
      <c r="ASN5" s="28">
        <f>'REG y VAL POE - AESR - ESR'!AN190</f>
        <v>0</v>
      </c>
      <c r="ASO5" s="29">
        <f>'REG y VAL POE - AESR - ESR'!AO190</f>
        <v>0</v>
      </c>
      <c r="ASP5" s="28">
        <f>'REG y VAL POE - AESR - ESR'!AP190</f>
        <v>0</v>
      </c>
      <c r="ASQ5" s="28">
        <f>'REG y VAL POE - AESR - ESR'!AQ190</f>
        <v>0</v>
      </c>
      <c r="ASR5" s="29">
        <f>'REG y VAL POE - AESR - ESR'!AR190</f>
        <v>0</v>
      </c>
      <c r="ASS5" s="29">
        <f>'REG y VAL POE - AESR - ESR'!AS190</f>
        <v>0</v>
      </c>
      <c r="AST5" s="385">
        <f>'REG y VAL POE - AESR - ESR'!B191</f>
        <v>0</v>
      </c>
      <c r="ASU5" s="28">
        <f>'REG y VAL POE - AESR - ESR'!C191</f>
        <v>0</v>
      </c>
      <c r="ASV5" s="29">
        <f>'REG y VAL POE - AESR - ESR'!D191</f>
        <v>0</v>
      </c>
      <c r="ASW5" s="29">
        <f>'REG y VAL POE - AESR - ESR'!E191</f>
        <v>0</v>
      </c>
      <c r="ASX5" s="28">
        <f>'REG y VAL POE - AESR - ESR'!F191</f>
        <v>0</v>
      </c>
      <c r="ASY5" s="29">
        <f>'REG y VAL POE - AESR - ESR'!G191</f>
        <v>0</v>
      </c>
      <c r="ASZ5" s="28">
        <f>'REG y VAL POE - AESR - ESR'!H191</f>
        <v>0</v>
      </c>
      <c r="ATA5" s="28">
        <f>'REG y VAL POE - AESR - ESR'!I191</f>
        <v>0</v>
      </c>
      <c r="ATB5" s="29">
        <f>'REG y VAL POE - AESR - ESR'!J191</f>
        <v>0</v>
      </c>
      <c r="ATC5" s="29">
        <f>'REG y VAL POE - AESR - ESR'!K191</f>
        <v>0</v>
      </c>
      <c r="ATD5" s="29">
        <f>'REG y VAL POE - AESR - ESR'!L191</f>
        <v>0</v>
      </c>
      <c r="ATE5" s="28">
        <f>'REG y VAL POE - AESR - ESR'!M191</f>
        <v>0</v>
      </c>
      <c r="ATF5" s="29">
        <f>'REG y VAL POE - AESR - ESR'!N191</f>
        <v>0</v>
      </c>
      <c r="ATG5" s="29">
        <f>'REG y VAL POE - AESR - ESR'!O191</f>
        <v>0</v>
      </c>
      <c r="ATH5" s="29">
        <f>'REG y VAL POE - AESR - ESR'!P191</f>
        <v>0</v>
      </c>
      <c r="ATI5" s="29">
        <f>'REG y VAL POE - AESR - ESR'!Q191</f>
        <v>0</v>
      </c>
      <c r="ATJ5" s="29">
        <f>'REG y VAL POE - AESR - ESR'!R191</f>
        <v>0</v>
      </c>
      <c r="ATK5" s="28">
        <f>'REG y VAL POE - AESR - ESR'!S191</f>
        <v>0</v>
      </c>
      <c r="ATL5" s="29">
        <f>'REG y VAL POE - AESR - ESR'!T191</f>
        <v>0</v>
      </c>
      <c r="ATM5" s="29">
        <f>'REG y VAL POE - AESR - ESR'!U191</f>
        <v>0</v>
      </c>
      <c r="ATN5" s="28">
        <f>'REG y VAL POE - AESR - ESR'!V191</f>
        <v>0</v>
      </c>
      <c r="ATO5" s="29">
        <f>'REG y VAL POE - AESR - ESR'!W191</f>
        <v>0</v>
      </c>
      <c r="ATP5" s="28">
        <f>'REG y VAL POE - AESR - ESR'!X191</f>
        <v>0</v>
      </c>
      <c r="ATQ5" s="28">
        <f>'REG y VAL POE - AESR - ESR'!Y191</f>
        <v>0</v>
      </c>
      <c r="ATR5" s="29">
        <f>'REG y VAL POE - AESR - ESR'!Z191</f>
        <v>0</v>
      </c>
      <c r="ATS5" s="29">
        <f>'REG y VAL POE - AESR - ESR'!AA191</f>
        <v>0</v>
      </c>
      <c r="ATT5" s="29">
        <f>'REG y VAL POE - AESR - ESR'!AB191</f>
        <v>0</v>
      </c>
      <c r="ATU5" s="28">
        <f>'REG y VAL POE - AESR - ESR'!AC191</f>
        <v>0</v>
      </c>
      <c r="ATV5" s="29">
        <f>'REG y VAL POE - AESR - ESR'!AD191</f>
        <v>0</v>
      </c>
      <c r="ATW5" s="29">
        <f>'REG y VAL POE - AESR - ESR'!AE191</f>
        <v>0</v>
      </c>
      <c r="ATX5" s="28">
        <f>'REG y VAL POE - AESR - ESR'!AF191</f>
        <v>0</v>
      </c>
      <c r="ATY5" s="29">
        <f>'REG y VAL POE - AESR - ESR'!AG191</f>
        <v>0</v>
      </c>
      <c r="ATZ5" s="28">
        <f>'REG y VAL POE - AESR - ESR'!AH191</f>
        <v>0</v>
      </c>
      <c r="AUA5" s="28">
        <f>'REG y VAL POE - AESR - ESR'!AI191</f>
        <v>0</v>
      </c>
      <c r="AUB5" s="29">
        <f>'REG y VAL POE - AESR - ESR'!AJ191</f>
        <v>0</v>
      </c>
      <c r="AUC5" s="29">
        <f>'REG y VAL POE - AESR - ESR'!AK191</f>
        <v>0</v>
      </c>
      <c r="AUD5" s="29">
        <f>'REG y VAL POE - AESR - ESR'!AL191</f>
        <v>0</v>
      </c>
      <c r="AUE5" s="28">
        <f>'REG y VAL POE - AESR - ESR'!AM191</f>
        <v>0</v>
      </c>
      <c r="AUF5" s="29">
        <f>'REG y VAL POE - AESR - ESR'!AN191</f>
        <v>0</v>
      </c>
      <c r="AUG5" s="29">
        <f>'REG y VAL POE - AESR - ESR'!AO191</f>
        <v>0</v>
      </c>
      <c r="AUH5" s="29">
        <f>'REG y VAL POE - AESR - ESR'!AP191</f>
        <v>0</v>
      </c>
      <c r="AUI5" s="29">
        <f>'REG y VAL POE - AESR - ESR'!AQ191</f>
        <v>0</v>
      </c>
      <c r="AUJ5" s="29">
        <f>'REG y VAL POE - AESR - ESR'!AR191</f>
        <v>0</v>
      </c>
      <c r="AUK5" s="28">
        <f>'REG y VAL POE - AESR - ESR'!AS191</f>
        <v>0</v>
      </c>
      <c r="AUL5" s="385">
        <f>'REG y VAL POE - AESR - ESR'!B192</f>
        <v>0</v>
      </c>
      <c r="AUM5" s="29">
        <f>'REG y VAL POE - AESR - ESR'!C192</f>
        <v>0</v>
      </c>
      <c r="AUN5" s="28">
        <f>'REG y VAL POE - AESR - ESR'!D192</f>
        <v>0</v>
      </c>
      <c r="AUO5" s="29">
        <f>'REG y VAL POE - AESR - ESR'!E192</f>
        <v>0</v>
      </c>
      <c r="AUP5" s="28">
        <f>'REG y VAL POE - AESR - ESR'!F192</f>
        <v>0</v>
      </c>
      <c r="AUQ5" s="28">
        <f>'REG y VAL POE - AESR - ESR'!G192</f>
        <v>0</v>
      </c>
      <c r="AUR5" s="29">
        <f>'REG y VAL POE - AESR - ESR'!H192</f>
        <v>0</v>
      </c>
      <c r="AUS5" s="29">
        <f>'REG y VAL POE - AESR - ESR'!I192</f>
        <v>0</v>
      </c>
      <c r="AUT5" s="29">
        <f>'REG y VAL POE - AESR - ESR'!J192</f>
        <v>0</v>
      </c>
      <c r="AUU5" s="28">
        <f>'REG y VAL POE - AESR - ESR'!K192</f>
        <v>0</v>
      </c>
      <c r="AUV5" s="29">
        <f>'REG y VAL POE - AESR - ESR'!L192</f>
        <v>0</v>
      </c>
      <c r="AUW5" s="29">
        <f>'REG y VAL POE - AESR - ESR'!M192</f>
        <v>0</v>
      </c>
      <c r="AUX5" s="28">
        <f>'REG y VAL POE - AESR - ESR'!N192</f>
        <v>0</v>
      </c>
      <c r="AUY5" s="29">
        <f>'REG y VAL POE - AESR - ESR'!O192</f>
        <v>0</v>
      </c>
      <c r="AUZ5" s="28">
        <f>'REG y VAL POE - AESR - ESR'!P192</f>
        <v>0</v>
      </c>
      <c r="AVA5" s="28">
        <f>'REG y VAL POE - AESR - ESR'!Q192</f>
        <v>0</v>
      </c>
      <c r="AVB5" s="29">
        <f>'REG y VAL POE - AESR - ESR'!R192</f>
        <v>0</v>
      </c>
      <c r="AVC5" s="29">
        <f>'REG y VAL POE - AESR - ESR'!S192</f>
        <v>0</v>
      </c>
      <c r="AVD5" s="29">
        <f>'REG y VAL POE - AESR - ESR'!T192</f>
        <v>0</v>
      </c>
      <c r="AVE5" s="28">
        <f>'REG y VAL POE - AESR - ESR'!U192</f>
        <v>0</v>
      </c>
      <c r="AVF5" s="29">
        <f>'REG y VAL POE - AESR - ESR'!V192</f>
        <v>0</v>
      </c>
      <c r="AVG5" s="29">
        <f>'REG y VAL POE - AESR - ESR'!W192</f>
        <v>0</v>
      </c>
      <c r="AVH5" s="29">
        <f>'REG y VAL POE - AESR - ESR'!X192</f>
        <v>0</v>
      </c>
      <c r="AVI5" s="29">
        <f>'REG y VAL POE - AESR - ESR'!Y192</f>
        <v>0</v>
      </c>
      <c r="AVJ5" s="29">
        <f>'REG y VAL POE - AESR - ESR'!Z192</f>
        <v>0</v>
      </c>
      <c r="AVK5" s="28">
        <f>'REG y VAL POE - AESR - ESR'!AA192</f>
        <v>0</v>
      </c>
      <c r="AVL5" s="29">
        <f>'REG y VAL POE - AESR - ESR'!AB192</f>
        <v>0</v>
      </c>
      <c r="AVM5" s="29">
        <f>'REG y VAL POE - AESR - ESR'!AC192</f>
        <v>0</v>
      </c>
      <c r="AVN5" s="28">
        <f>'REG y VAL POE - AESR - ESR'!AD192</f>
        <v>0</v>
      </c>
      <c r="AVO5" s="29">
        <f>'REG y VAL POE - AESR - ESR'!AE192</f>
        <v>0</v>
      </c>
      <c r="AVP5" s="28">
        <f>'REG y VAL POE - AESR - ESR'!AF192</f>
        <v>0</v>
      </c>
      <c r="AVQ5" s="28">
        <f>'REG y VAL POE - AESR - ESR'!AG192</f>
        <v>0</v>
      </c>
      <c r="AVR5" s="29">
        <f>'REG y VAL POE - AESR - ESR'!AH192</f>
        <v>0</v>
      </c>
      <c r="AVS5" s="29">
        <f>'REG y VAL POE - AESR - ESR'!AI192</f>
        <v>0</v>
      </c>
      <c r="AVT5" s="29">
        <f>'REG y VAL POE - AESR - ESR'!AJ192</f>
        <v>0</v>
      </c>
      <c r="AVU5" s="28">
        <f>'REG y VAL POE - AESR - ESR'!AK192</f>
        <v>0</v>
      </c>
      <c r="AVV5" s="29">
        <f>'REG y VAL POE - AESR - ESR'!AL192</f>
        <v>0</v>
      </c>
      <c r="AVW5" s="29">
        <f>'REG y VAL POE - AESR - ESR'!AM192</f>
        <v>0</v>
      </c>
      <c r="AVX5" s="28">
        <f>'REG y VAL POE - AESR - ESR'!AN192</f>
        <v>0</v>
      </c>
      <c r="AVY5" s="29">
        <f>'REG y VAL POE - AESR - ESR'!AO192</f>
        <v>0</v>
      </c>
      <c r="AVZ5" s="28">
        <f>'REG y VAL POE - AESR - ESR'!AP192</f>
        <v>0</v>
      </c>
      <c r="AWA5" s="28">
        <f>'REG y VAL POE - AESR - ESR'!AQ192</f>
        <v>0</v>
      </c>
      <c r="AWB5" s="29">
        <f>'REG y VAL POE - AESR - ESR'!AR192</f>
        <v>0</v>
      </c>
      <c r="AWC5" s="29">
        <f>'REG y VAL POE - AESR - ESR'!AS192</f>
        <v>0</v>
      </c>
      <c r="AWD5" s="385">
        <f>'REG y VAL POE - AESR - ESR'!B193</f>
        <v>0</v>
      </c>
      <c r="AWE5" s="28">
        <f>'REG y VAL POE - AESR - ESR'!C193</f>
        <v>0</v>
      </c>
      <c r="AWF5" s="29">
        <f>'REG y VAL POE - AESR - ESR'!D193</f>
        <v>0</v>
      </c>
      <c r="AWG5" s="29">
        <f>'REG y VAL POE - AESR - ESR'!E193</f>
        <v>0</v>
      </c>
      <c r="AWH5" s="29">
        <f>'REG y VAL POE - AESR - ESR'!F193</f>
        <v>0</v>
      </c>
      <c r="AWI5" s="29">
        <f>'REG y VAL POE - AESR - ESR'!G193</f>
        <v>0</v>
      </c>
      <c r="AWJ5" s="29">
        <f>'REG y VAL POE - AESR - ESR'!H193</f>
        <v>0</v>
      </c>
      <c r="AWK5" s="28">
        <f>'REG y VAL POE - AESR - ESR'!I193</f>
        <v>0</v>
      </c>
      <c r="AWL5" s="29">
        <f>'REG y VAL POE - AESR - ESR'!J193</f>
        <v>0</v>
      </c>
      <c r="AWM5" s="29">
        <f>'REG y VAL POE - AESR - ESR'!K193</f>
        <v>0</v>
      </c>
      <c r="AWN5" s="28">
        <f>'REG y VAL POE - AESR - ESR'!L193</f>
        <v>0</v>
      </c>
      <c r="AWO5" s="29">
        <f>'REG y VAL POE - AESR - ESR'!M193</f>
        <v>0</v>
      </c>
      <c r="AWP5" s="28">
        <f>'REG y VAL POE - AESR - ESR'!N193</f>
        <v>0</v>
      </c>
      <c r="AWQ5" s="28">
        <f>'REG y VAL POE - AESR - ESR'!O193</f>
        <v>0</v>
      </c>
      <c r="AWR5" s="29">
        <f>'REG y VAL POE - AESR - ESR'!P193</f>
        <v>0</v>
      </c>
      <c r="AWS5" s="29">
        <f>'REG y VAL POE - AESR - ESR'!Q193</f>
        <v>0</v>
      </c>
      <c r="AWT5" s="29">
        <f>'REG y VAL POE - AESR - ESR'!R193</f>
        <v>0</v>
      </c>
      <c r="AWU5" s="28">
        <f>'REG y VAL POE - AESR - ESR'!S193</f>
        <v>0</v>
      </c>
      <c r="AWV5" s="29">
        <f>'REG y VAL POE - AESR - ESR'!T193</f>
        <v>0</v>
      </c>
      <c r="AWW5" s="29">
        <f>'REG y VAL POE - AESR - ESR'!U193</f>
        <v>0</v>
      </c>
      <c r="AWX5" s="28">
        <f>'REG y VAL POE - AESR - ESR'!V193</f>
        <v>0</v>
      </c>
      <c r="AWY5" s="29">
        <f>'REG y VAL POE - AESR - ESR'!W193</f>
        <v>0</v>
      </c>
      <c r="AWZ5" s="28">
        <f>'REG y VAL POE - AESR - ESR'!X193</f>
        <v>0</v>
      </c>
      <c r="AXA5" s="28">
        <f>'REG y VAL POE - AESR - ESR'!Y193</f>
        <v>0</v>
      </c>
      <c r="AXB5" s="29">
        <f>'REG y VAL POE - AESR - ESR'!Z193</f>
        <v>0</v>
      </c>
      <c r="AXC5" s="29">
        <f>'REG y VAL POE - AESR - ESR'!AA193</f>
        <v>0</v>
      </c>
      <c r="AXD5" s="29">
        <f>'REG y VAL POE - AESR - ESR'!AB193</f>
        <v>0</v>
      </c>
      <c r="AXE5" s="28">
        <f>'REG y VAL POE - AESR - ESR'!AC193</f>
        <v>0</v>
      </c>
      <c r="AXF5" s="29">
        <f>'REG y VAL POE - AESR - ESR'!AD193</f>
        <v>0</v>
      </c>
      <c r="AXG5" s="29">
        <f>'REG y VAL POE - AESR - ESR'!AE193</f>
        <v>0</v>
      </c>
      <c r="AXH5" s="29">
        <f>'REG y VAL POE - AESR - ESR'!AF193</f>
        <v>0</v>
      </c>
      <c r="AXI5" s="29">
        <f>'REG y VAL POE - AESR - ESR'!AG193</f>
        <v>0</v>
      </c>
      <c r="AXJ5" s="29">
        <f>'REG y VAL POE - AESR - ESR'!AH193</f>
        <v>0</v>
      </c>
      <c r="AXK5" s="28">
        <f>'REG y VAL POE - AESR - ESR'!AI193</f>
        <v>0</v>
      </c>
      <c r="AXL5" s="29">
        <f>'REG y VAL POE - AESR - ESR'!AJ193</f>
        <v>0</v>
      </c>
      <c r="AXM5" s="29">
        <f>'REG y VAL POE - AESR - ESR'!AK193</f>
        <v>0</v>
      </c>
      <c r="AXN5" s="28">
        <f>'REG y VAL POE - AESR - ESR'!AL193</f>
        <v>0</v>
      </c>
      <c r="AXO5" s="29">
        <f>'REG y VAL POE - AESR - ESR'!AM193</f>
        <v>0</v>
      </c>
      <c r="AXP5" s="28">
        <f>'REG y VAL POE - AESR - ESR'!AN193</f>
        <v>0</v>
      </c>
      <c r="AXQ5" s="28">
        <f>'REG y VAL POE - AESR - ESR'!AO193</f>
        <v>0</v>
      </c>
      <c r="AXR5" s="29">
        <f>'REG y VAL POE - AESR - ESR'!AP193</f>
        <v>0</v>
      </c>
      <c r="AXS5" s="29">
        <f>'REG y VAL POE - AESR - ESR'!AQ193</f>
        <v>0</v>
      </c>
      <c r="AXT5" s="29">
        <f>'REG y VAL POE - AESR - ESR'!AR193</f>
        <v>0</v>
      </c>
      <c r="AXU5" s="28">
        <f>'REG y VAL POE - AESR - ESR'!AS193</f>
        <v>0</v>
      </c>
      <c r="AXV5" s="385">
        <f>'REG y VAL POE - AESR - ESR'!B194</f>
        <v>0</v>
      </c>
      <c r="AXW5" s="29">
        <f>'REG y VAL POE - AESR - ESR'!C194</f>
        <v>0</v>
      </c>
      <c r="AXX5" s="28">
        <f>'REG y VAL POE - AESR - ESR'!D194</f>
        <v>0</v>
      </c>
      <c r="AXY5" s="29">
        <f>'REG y VAL POE - AESR - ESR'!E194</f>
        <v>0</v>
      </c>
      <c r="AXZ5" s="28">
        <f>'REG y VAL POE - AESR - ESR'!F194</f>
        <v>0</v>
      </c>
      <c r="AYA5" s="28">
        <f>'REG y VAL POE - AESR - ESR'!G194</f>
        <v>0</v>
      </c>
      <c r="AYB5" s="29">
        <f>'REG y VAL POE - AESR - ESR'!H194</f>
        <v>0</v>
      </c>
      <c r="AYC5" s="29">
        <f>'REG y VAL POE - AESR - ESR'!I194</f>
        <v>0</v>
      </c>
      <c r="AYD5" s="29">
        <f>'REG y VAL POE - AESR - ESR'!J194</f>
        <v>0</v>
      </c>
      <c r="AYE5" s="28">
        <f>'REG y VAL POE - AESR - ESR'!K194</f>
        <v>0</v>
      </c>
      <c r="AYF5" s="29">
        <f>'REG y VAL POE - AESR - ESR'!L194</f>
        <v>0</v>
      </c>
      <c r="AYG5" s="29">
        <f>'REG y VAL POE - AESR - ESR'!M194</f>
        <v>0</v>
      </c>
      <c r="AYH5" s="29">
        <f>'REG y VAL POE - AESR - ESR'!N194</f>
        <v>0</v>
      </c>
      <c r="AYI5" s="29">
        <f>'REG y VAL POE - AESR - ESR'!O194</f>
        <v>0</v>
      </c>
      <c r="AYJ5" s="29">
        <f>'REG y VAL POE - AESR - ESR'!P194</f>
        <v>0</v>
      </c>
      <c r="AYK5" s="28">
        <f>'REG y VAL POE - AESR - ESR'!Q194</f>
        <v>0</v>
      </c>
      <c r="AYL5" s="29">
        <f>'REG y VAL POE - AESR - ESR'!R194</f>
        <v>0</v>
      </c>
      <c r="AYM5" s="29">
        <f>'REG y VAL POE - AESR - ESR'!S194</f>
        <v>0</v>
      </c>
      <c r="AYN5" s="28">
        <f>'REG y VAL POE - AESR - ESR'!T194</f>
        <v>0</v>
      </c>
      <c r="AYO5" s="29">
        <f>'REG y VAL POE - AESR - ESR'!U194</f>
        <v>0</v>
      </c>
      <c r="AYP5" s="28">
        <f>'REG y VAL POE - AESR - ESR'!V194</f>
        <v>0</v>
      </c>
      <c r="AYQ5" s="28">
        <f>'REG y VAL POE - AESR - ESR'!W194</f>
        <v>0</v>
      </c>
      <c r="AYR5" s="29">
        <f>'REG y VAL POE - AESR - ESR'!X194</f>
        <v>0</v>
      </c>
      <c r="AYS5" s="29">
        <f>'REG y VAL POE - AESR - ESR'!Y194</f>
        <v>0</v>
      </c>
      <c r="AYT5" s="29">
        <f>'REG y VAL POE - AESR - ESR'!Z194</f>
        <v>0</v>
      </c>
      <c r="AYU5" s="28">
        <f>'REG y VAL POE - AESR - ESR'!AA194</f>
        <v>0</v>
      </c>
      <c r="AYV5" s="29">
        <f>'REG y VAL POE - AESR - ESR'!AB194</f>
        <v>0</v>
      </c>
      <c r="AYW5" s="29">
        <f>'REG y VAL POE - AESR - ESR'!AC194</f>
        <v>0</v>
      </c>
      <c r="AYX5" s="28">
        <f>'REG y VAL POE - AESR - ESR'!AD194</f>
        <v>0</v>
      </c>
      <c r="AYY5" s="29">
        <f>'REG y VAL POE - AESR - ESR'!AE194</f>
        <v>0</v>
      </c>
      <c r="AYZ5" s="28">
        <f>'REG y VAL POE - AESR - ESR'!AF194</f>
        <v>0</v>
      </c>
      <c r="AZA5" s="28">
        <f>'REG y VAL POE - AESR - ESR'!AG194</f>
        <v>0</v>
      </c>
      <c r="AZB5" s="29">
        <f>'REG y VAL POE - AESR - ESR'!AH194</f>
        <v>0</v>
      </c>
      <c r="AZC5" s="29">
        <f>'REG y VAL POE - AESR - ESR'!AI194</f>
        <v>0</v>
      </c>
      <c r="AZD5" s="29">
        <f>'REG y VAL POE - AESR - ESR'!AJ194</f>
        <v>0</v>
      </c>
      <c r="AZE5" s="28">
        <f>'REG y VAL POE - AESR - ESR'!AK194</f>
        <v>0</v>
      </c>
      <c r="AZF5" s="29">
        <f>'REG y VAL POE - AESR - ESR'!AL194</f>
        <v>0</v>
      </c>
      <c r="AZG5" s="29">
        <f>'REG y VAL POE - AESR - ESR'!AM194</f>
        <v>0</v>
      </c>
      <c r="AZH5" s="29">
        <f>'REG y VAL POE - AESR - ESR'!AN194</f>
        <v>0</v>
      </c>
      <c r="AZI5" s="29">
        <f>'REG y VAL POE - AESR - ESR'!AO194</f>
        <v>0</v>
      </c>
      <c r="AZJ5" s="29">
        <f>'REG y VAL POE - AESR - ESR'!AP194</f>
        <v>0</v>
      </c>
      <c r="AZK5" s="28">
        <f>'REG y VAL POE - AESR - ESR'!AQ194</f>
        <v>0</v>
      </c>
      <c r="AZL5" s="29">
        <f>'REG y VAL POE - AESR - ESR'!AR194</f>
        <v>0</v>
      </c>
      <c r="AZM5" s="29">
        <f>'REG y VAL POE - AESR - ESR'!AS194</f>
        <v>0</v>
      </c>
      <c r="AZN5" s="27">
        <f>'REG y VAL POE - AESR - ESR'!B195</f>
        <v>0</v>
      </c>
      <c r="AZO5" s="29">
        <f>'REG y VAL POE - AESR - ESR'!C195</f>
        <v>0</v>
      </c>
      <c r="AZP5" s="28">
        <f>'REG y VAL POE - AESR - ESR'!D195</f>
        <v>0</v>
      </c>
      <c r="AZQ5" s="28">
        <f>'REG y VAL POE - AESR - ESR'!E195</f>
        <v>0</v>
      </c>
      <c r="AZR5" s="29">
        <f>'REG y VAL POE - AESR - ESR'!F195</f>
        <v>0</v>
      </c>
      <c r="AZS5" s="29">
        <f>'REG y VAL POE - AESR - ESR'!G195</f>
        <v>0</v>
      </c>
      <c r="AZT5" s="29">
        <f>'REG y VAL POE - AESR - ESR'!H195</f>
        <v>0</v>
      </c>
      <c r="AZU5" s="28">
        <f>'REG y VAL POE - AESR - ESR'!I195</f>
        <v>0</v>
      </c>
      <c r="AZV5" s="29">
        <f>'REG y VAL POE - AESR - ESR'!J195</f>
        <v>0</v>
      </c>
      <c r="AZW5" s="29">
        <f>'REG y VAL POE - AESR - ESR'!K195</f>
        <v>0</v>
      </c>
      <c r="AZX5" s="28">
        <f>'REG y VAL POE - AESR - ESR'!L195</f>
        <v>0</v>
      </c>
      <c r="AZY5" s="29">
        <f>'REG y VAL POE - AESR - ESR'!M195</f>
        <v>0</v>
      </c>
      <c r="AZZ5" s="28">
        <f>'REG y VAL POE - AESR - ESR'!N195</f>
        <v>0</v>
      </c>
      <c r="BAA5" s="28">
        <f>'REG y VAL POE - AESR - ESR'!O195</f>
        <v>0</v>
      </c>
      <c r="BAB5" s="29">
        <f>'REG y VAL POE - AESR - ESR'!P195</f>
        <v>0</v>
      </c>
      <c r="BAC5" s="29">
        <f>'REG y VAL POE - AESR - ESR'!Q195</f>
        <v>0</v>
      </c>
      <c r="BAD5" s="29">
        <f>'REG y VAL POE - AESR - ESR'!R195</f>
        <v>0</v>
      </c>
      <c r="BAE5" s="28">
        <f>'REG y VAL POE - AESR - ESR'!S195</f>
        <v>0</v>
      </c>
      <c r="BAF5" s="29">
        <f>'REG y VAL POE - AESR - ESR'!T195</f>
        <v>0</v>
      </c>
      <c r="BAG5" s="29">
        <f>'REG y VAL POE - AESR - ESR'!U195</f>
        <v>0</v>
      </c>
      <c r="BAH5" s="29">
        <f>'REG y VAL POE - AESR - ESR'!V195</f>
        <v>0</v>
      </c>
      <c r="BAI5" s="29">
        <f>'REG y VAL POE - AESR - ESR'!W195</f>
        <v>0</v>
      </c>
      <c r="BAJ5" s="29">
        <f>'REG y VAL POE - AESR - ESR'!X195</f>
        <v>0</v>
      </c>
      <c r="BAK5" s="28">
        <f>'REG y VAL POE - AESR - ESR'!Y195</f>
        <v>0</v>
      </c>
      <c r="BAL5" s="29">
        <f>'REG y VAL POE - AESR - ESR'!Z195</f>
        <v>0</v>
      </c>
      <c r="BAM5" s="29">
        <f>'REG y VAL POE - AESR - ESR'!AA195</f>
        <v>0</v>
      </c>
      <c r="BAN5" s="28">
        <f>'REG y VAL POE - AESR - ESR'!AB195</f>
        <v>0</v>
      </c>
      <c r="BAO5" s="29">
        <f>'REG y VAL POE - AESR - ESR'!AC195</f>
        <v>0</v>
      </c>
      <c r="BAP5" s="28">
        <f>'REG y VAL POE - AESR - ESR'!AD195</f>
        <v>0</v>
      </c>
      <c r="BAQ5" s="28">
        <f>'REG y VAL POE - AESR - ESR'!AE195</f>
        <v>0</v>
      </c>
      <c r="BAR5" s="29">
        <f>'REG y VAL POE - AESR - ESR'!AF195</f>
        <v>0</v>
      </c>
      <c r="BAS5" s="29">
        <f>'REG y VAL POE - AESR - ESR'!AG195</f>
        <v>0</v>
      </c>
      <c r="BAT5" s="29">
        <f>'REG y VAL POE - AESR - ESR'!AH195</f>
        <v>0</v>
      </c>
      <c r="BAU5" s="28">
        <f>'REG y VAL POE - AESR - ESR'!AI195</f>
        <v>0</v>
      </c>
      <c r="BAV5" s="29">
        <f>'REG y VAL POE - AESR - ESR'!AJ195</f>
        <v>0</v>
      </c>
      <c r="BAW5" s="29">
        <f>'REG y VAL POE - AESR - ESR'!AK195</f>
        <v>0</v>
      </c>
      <c r="BAX5" s="28">
        <f>'REG y VAL POE - AESR - ESR'!AL195</f>
        <v>0</v>
      </c>
      <c r="BAY5" s="29">
        <f>'REG y VAL POE - AESR - ESR'!AM195</f>
        <v>0</v>
      </c>
      <c r="BAZ5" s="28">
        <f>'REG y VAL POE - AESR - ESR'!AN195</f>
        <v>0</v>
      </c>
      <c r="BBA5" s="28">
        <f>'REG y VAL POE - AESR - ESR'!AO195</f>
        <v>0</v>
      </c>
      <c r="BBB5" s="29">
        <f>'REG y VAL POE - AESR - ESR'!AP195</f>
        <v>0</v>
      </c>
      <c r="BBC5" s="29">
        <f>'REG y VAL POE - AESR - ESR'!AQ195</f>
        <v>0</v>
      </c>
      <c r="BBD5" s="29">
        <f>'REG y VAL POE - AESR - ESR'!AR195</f>
        <v>0</v>
      </c>
      <c r="BBE5" s="28">
        <f>'REG y VAL POE - AESR - ESR'!AS195</f>
        <v>0</v>
      </c>
      <c r="BBF5" s="385">
        <f>'REG y VAL POE - AESR - ESR'!B196</f>
        <v>0</v>
      </c>
      <c r="BBG5" s="29">
        <f>'REG y VAL POE - AESR - ESR'!C196</f>
        <v>0</v>
      </c>
      <c r="BBH5" s="29">
        <f>'REG y VAL POE - AESR - ESR'!D196</f>
        <v>0</v>
      </c>
      <c r="BBI5" s="29">
        <f>'REG y VAL POE - AESR - ESR'!E196</f>
        <v>0</v>
      </c>
      <c r="BBJ5" s="29">
        <f>'REG y VAL POE - AESR - ESR'!F196</f>
        <v>0</v>
      </c>
      <c r="BBK5" s="28">
        <f>'REG y VAL POE - AESR - ESR'!G196</f>
        <v>0</v>
      </c>
      <c r="BBL5" s="29">
        <f>'REG y VAL POE - AESR - ESR'!H196</f>
        <v>0</v>
      </c>
      <c r="BBM5" s="29">
        <f>'REG y VAL POE - AESR - ESR'!I196</f>
        <v>0</v>
      </c>
      <c r="BBN5" s="28">
        <f>'REG y VAL POE - AESR - ESR'!J196</f>
        <v>0</v>
      </c>
      <c r="BBO5" s="29">
        <f>'REG y VAL POE - AESR - ESR'!K196</f>
        <v>0</v>
      </c>
      <c r="BBP5" s="28">
        <f>'REG y VAL POE - AESR - ESR'!L196</f>
        <v>0</v>
      </c>
      <c r="BBQ5" s="28">
        <f>'REG y VAL POE - AESR - ESR'!M196</f>
        <v>0</v>
      </c>
      <c r="BBR5" s="29">
        <f>'REG y VAL POE - AESR - ESR'!N196</f>
        <v>0</v>
      </c>
      <c r="BBS5" s="29">
        <f>'REG y VAL POE - AESR - ESR'!O196</f>
        <v>0</v>
      </c>
      <c r="BBT5" s="29">
        <f>'REG y VAL POE - AESR - ESR'!P196</f>
        <v>0</v>
      </c>
      <c r="BBU5" s="28">
        <f>'REG y VAL POE - AESR - ESR'!Q196</f>
        <v>0</v>
      </c>
      <c r="BBV5" s="29">
        <f>'REG y VAL POE - AESR - ESR'!R196</f>
        <v>0</v>
      </c>
      <c r="BBW5" s="29">
        <f>'REG y VAL POE - AESR - ESR'!S196</f>
        <v>0</v>
      </c>
      <c r="BBX5" s="28">
        <f>'REG y VAL POE - AESR - ESR'!T196</f>
        <v>0</v>
      </c>
      <c r="BBY5" s="29">
        <f>'REG y VAL POE - AESR - ESR'!U196</f>
        <v>0</v>
      </c>
      <c r="BBZ5" s="28">
        <f>'REG y VAL POE - AESR - ESR'!V196</f>
        <v>0</v>
      </c>
      <c r="BCA5" s="28">
        <f>'REG y VAL POE - AESR - ESR'!W196</f>
        <v>0</v>
      </c>
      <c r="BCB5" s="29">
        <f>'REG y VAL POE - AESR - ESR'!X196</f>
        <v>0</v>
      </c>
      <c r="BCC5" s="29">
        <f>'REG y VAL POE - AESR - ESR'!Y196</f>
        <v>0</v>
      </c>
      <c r="BCD5" s="29">
        <f>'REG y VAL POE - AESR - ESR'!Z196</f>
        <v>0</v>
      </c>
      <c r="BCE5" s="28">
        <f>'REG y VAL POE - AESR - ESR'!AA196</f>
        <v>0</v>
      </c>
      <c r="BCF5" s="29">
        <f>'REG y VAL POE - AESR - ESR'!AB196</f>
        <v>0</v>
      </c>
      <c r="BCG5" s="29">
        <f>'REG y VAL POE - AESR - ESR'!AC196</f>
        <v>0</v>
      </c>
      <c r="BCH5" s="29">
        <f>'REG y VAL POE - AESR - ESR'!AD196</f>
        <v>0</v>
      </c>
      <c r="BCI5" s="29">
        <f>'REG y VAL POE - AESR - ESR'!AE196</f>
        <v>0</v>
      </c>
      <c r="BCJ5" s="29">
        <f>'REG y VAL POE - AESR - ESR'!AF196</f>
        <v>0</v>
      </c>
      <c r="BCK5" s="28">
        <f>'REG y VAL POE - AESR - ESR'!AG196</f>
        <v>0</v>
      </c>
      <c r="BCL5" s="29">
        <f>'REG y VAL POE - AESR - ESR'!AH196</f>
        <v>0</v>
      </c>
      <c r="BCM5" s="29">
        <f>'REG y VAL POE - AESR - ESR'!AI196</f>
        <v>0</v>
      </c>
      <c r="BCN5" s="28">
        <f>'REG y VAL POE - AESR - ESR'!AJ196</f>
        <v>0</v>
      </c>
      <c r="BCO5" s="29">
        <f>'REG y VAL POE - AESR - ESR'!AK196</f>
        <v>0</v>
      </c>
      <c r="BCP5" s="28">
        <f>'REG y VAL POE - AESR - ESR'!AL196</f>
        <v>0</v>
      </c>
      <c r="BCQ5" s="28">
        <f>'REG y VAL POE - AESR - ESR'!AM196</f>
        <v>0</v>
      </c>
      <c r="BCR5" s="29">
        <f>'REG y VAL POE - AESR - ESR'!AN196</f>
        <v>0</v>
      </c>
      <c r="BCS5" s="29">
        <f>'REG y VAL POE - AESR - ESR'!AO196</f>
        <v>0</v>
      </c>
      <c r="BCT5" s="29">
        <f>'REG y VAL POE - AESR - ESR'!AP196</f>
        <v>0</v>
      </c>
      <c r="BCU5" s="28">
        <f>'REG y VAL POE - AESR - ESR'!AQ196</f>
        <v>0</v>
      </c>
      <c r="BCV5" s="29">
        <f>'REG y VAL POE - AESR - ESR'!AR196</f>
        <v>0</v>
      </c>
      <c r="BCW5" s="29">
        <f>'REG y VAL POE - AESR - ESR'!AS196</f>
        <v>0</v>
      </c>
      <c r="BCX5" s="27">
        <f>'REG y VAL POE - AESR - ESR'!B197</f>
        <v>0</v>
      </c>
      <c r="BCY5" s="29">
        <f>'REG y VAL POE - AESR - ESR'!C197</f>
        <v>0</v>
      </c>
      <c r="BCZ5" s="28">
        <f>'REG y VAL POE - AESR - ESR'!D197</f>
        <v>0</v>
      </c>
      <c r="BDA5" s="28">
        <f>'REG y VAL POE - AESR - ESR'!E197</f>
        <v>0</v>
      </c>
      <c r="BDB5" s="29">
        <f>'REG y VAL POE - AESR - ESR'!F197</f>
        <v>0</v>
      </c>
      <c r="BDC5" s="29">
        <f>'REG y VAL POE - AESR - ESR'!G197</f>
        <v>0</v>
      </c>
      <c r="BDD5" s="29">
        <f>'REG y VAL POE - AESR - ESR'!H197</f>
        <v>0</v>
      </c>
      <c r="BDE5" s="28">
        <f>'REG y VAL POE - AESR - ESR'!I197</f>
        <v>0</v>
      </c>
      <c r="BDF5" s="29">
        <f>'REG y VAL POE - AESR - ESR'!J197</f>
        <v>0</v>
      </c>
      <c r="BDG5" s="29">
        <f>'REG y VAL POE - AESR - ESR'!K197</f>
        <v>0</v>
      </c>
      <c r="BDH5" s="29">
        <f>'REG y VAL POE - AESR - ESR'!L197</f>
        <v>0</v>
      </c>
      <c r="BDI5" s="29">
        <f>'REG y VAL POE - AESR - ESR'!M197</f>
        <v>0</v>
      </c>
      <c r="BDJ5" s="29">
        <f>'REG y VAL POE - AESR - ESR'!N197</f>
        <v>0</v>
      </c>
      <c r="BDK5" s="28">
        <f>'REG y VAL POE - AESR - ESR'!O197</f>
        <v>0</v>
      </c>
      <c r="BDL5" s="29">
        <f>'REG y VAL POE - AESR - ESR'!P197</f>
        <v>0</v>
      </c>
      <c r="BDM5" s="29">
        <f>'REG y VAL POE - AESR - ESR'!Q197</f>
        <v>0</v>
      </c>
      <c r="BDN5" s="28">
        <f>'REG y VAL POE - AESR - ESR'!R197</f>
        <v>0</v>
      </c>
      <c r="BDO5" s="29">
        <f>'REG y VAL POE - AESR - ESR'!S197</f>
        <v>0</v>
      </c>
      <c r="BDP5" s="28">
        <f>'REG y VAL POE - AESR - ESR'!T197</f>
        <v>0</v>
      </c>
      <c r="BDQ5" s="28">
        <f>'REG y VAL POE - AESR - ESR'!U197</f>
        <v>0</v>
      </c>
      <c r="BDR5" s="29">
        <f>'REG y VAL POE - AESR - ESR'!V197</f>
        <v>0</v>
      </c>
      <c r="BDS5" s="29">
        <f>'REG y VAL POE - AESR - ESR'!W197</f>
        <v>0</v>
      </c>
      <c r="BDT5" s="29">
        <f>'REG y VAL POE - AESR - ESR'!X197</f>
        <v>0</v>
      </c>
      <c r="BDU5" s="28">
        <f>'REG y VAL POE - AESR - ESR'!Y197</f>
        <v>0</v>
      </c>
      <c r="BDV5" s="29">
        <f>'REG y VAL POE - AESR - ESR'!Z197</f>
        <v>0</v>
      </c>
      <c r="BDW5" s="29">
        <f>'REG y VAL POE - AESR - ESR'!AA197</f>
        <v>0</v>
      </c>
      <c r="BDX5" s="28">
        <f>'REG y VAL POE - AESR - ESR'!AB197</f>
        <v>0</v>
      </c>
      <c r="BDY5" s="29">
        <f>'REG y VAL POE - AESR - ESR'!AC197</f>
        <v>0</v>
      </c>
      <c r="BDZ5" s="28">
        <f>'REG y VAL POE - AESR - ESR'!AD197</f>
        <v>0</v>
      </c>
      <c r="BEA5" s="28">
        <f>'REG y VAL POE - AESR - ESR'!AE197</f>
        <v>0</v>
      </c>
      <c r="BEB5" s="29">
        <f>'REG y VAL POE - AESR - ESR'!AF197</f>
        <v>0</v>
      </c>
      <c r="BEC5" s="29">
        <f>'REG y VAL POE - AESR - ESR'!AG197</f>
        <v>0</v>
      </c>
      <c r="BED5" s="29">
        <f>'REG y VAL POE - AESR - ESR'!AH197</f>
        <v>0</v>
      </c>
      <c r="BEE5" s="28">
        <f>'REG y VAL POE - AESR - ESR'!AI197</f>
        <v>0</v>
      </c>
      <c r="BEF5" s="29">
        <f>'REG y VAL POE - AESR - ESR'!AJ197</f>
        <v>0</v>
      </c>
      <c r="BEG5" s="29">
        <f>'REG y VAL POE - AESR - ESR'!AK197</f>
        <v>0</v>
      </c>
      <c r="BEH5" s="29">
        <f>'REG y VAL POE - AESR - ESR'!AL197</f>
        <v>0</v>
      </c>
      <c r="BEI5" s="29">
        <f>'REG y VAL POE - AESR - ESR'!AM197</f>
        <v>0</v>
      </c>
      <c r="BEJ5" s="29">
        <f>'REG y VAL POE - AESR - ESR'!AN197</f>
        <v>0</v>
      </c>
      <c r="BEK5" s="28">
        <f>'REG y VAL POE - AESR - ESR'!AO197</f>
        <v>0</v>
      </c>
      <c r="BEL5" s="29">
        <f>'REG y VAL POE - AESR - ESR'!AP197</f>
        <v>0</v>
      </c>
      <c r="BEM5" s="29">
        <f>'REG y VAL POE - AESR - ESR'!AQ197</f>
        <v>0</v>
      </c>
      <c r="BEN5" s="28">
        <f>'REG y VAL POE - AESR - ESR'!AR197</f>
        <v>0</v>
      </c>
      <c r="BEO5" s="29">
        <f>'REG y VAL POE - AESR - ESR'!AS197</f>
        <v>0</v>
      </c>
      <c r="BEP5" s="27">
        <f>'REG y VAL POE - AESR - ESR'!B198</f>
        <v>0</v>
      </c>
      <c r="BEQ5" s="28">
        <f>'REG y VAL POE - AESR - ESR'!C198</f>
        <v>0</v>
      </c>
      <c r="BER5" s="29">
        <f>'REG y VAL POE - AESR - ESR'!D198</f>
        <v>0</v>
      </c>
      <c r="BES5" s="29">
        <f>'REG y VAL POE - AESR - ESR'!E198</f>
        <v>0</v>
      </c>
      <c r="BET5" s="29">
        <f>'REG y VAL POE - AESR - ESR'!F198</f>
        <v>0</v>
      </c>
      <c r="BEU5" s="28">
        <f>'REG y VAL POE - AESR - ESR'!G198</f>
        <v>0</v>
      </c>
      <c r="BEV5" s="29">
        <f>'REG y VAL POE - AESR - ESR'!H198</f>
        <v>0</v>
      </c>
      <c r="BEW5" s="29">
        <f>'REG y VAL POE - AESR - ESR'!I198</f>
        <v>0</v>
      </c>
      <c r="BEX5" s="28">
        <f>'REG y VAL POE - AESR - ESR'!J198</f>
        <v>0</v>
      </c>
      <c r="BEY5" s="29">
        <f>'REG y VAL POE - AESR - ESR'!K198</f>
        <v>0</v>
      </c>
      <c r="BEZ5" s="28">
        <f>'REG y VAL POE - AESR - ESR'!L198</f>
        <v>0</v>
      </c>
      <c r="BFA5" s="28">
        <f>'REG y VAL POE - AESR - ESR'!M198</f>
        <v>0</v>
      </c>
      <c r="BFB5" s="29">
        <f>'REG y VAL POE - AESR - ESR'!N198</f>
        <v>0</v>
      </c>
      <c r="BFC5" s="29">
        <f>'REG y VAL POE - AESR - ESR'!O198</f>
        <v>0</v>
      </c>
      <c r="BFD5" s="29">
        <f>'REG y VAL POE - AESR - ESR'!P198</f>
        <v>0</v>
      </c>
      <c r="BFE5" s="28">
        <f>'REG y VAL POE - AESR - ESR'!Q198</f>
        <v>0</v>
      </c>
      <c r="BFF5" s="29">
        <f>'REG y VAL POE - AESR - ESR'!R198</f>
        <v>0</v>
      </c>
      <c r="BFG5" s="29">
        <f>'REG y VAL POE - AESR - ESR'!S198</f>
        <v>0</v>
      </c>
      <c r="BFH5" s="29">
        <f>'REG y VAL POE - AESR - ESR'!T198</f>
        <v>0</v>
      </c>
      <c r="BFI5" s="29">
        <f>'REG y VAL POE - AESR - ESR'!U198</f>
        <v>0</v>
      </c>
      <c r="BFJ5" s="29">
        <f>'REG y VAL POE - AESR - ESR'!V198</f>
        <v>0</v>
      </c>
      <c r="BFK5" s="28">
        <f>'REG y VAL POE - AESR - ESR'!W198</f>
        <v>0</v>
      </c>
      <c r="BFL5" s="29">
        <f>'REG y VAL POE - AESR - ESR'!X198</f>
        <v>0</v>
      </c>
      <c r="BFM5" s="29">
        <f>'REG y VAL POE - AESR - ESR'!Y198</f>
        <v>0</v>
      </c>
      <c r="BFN5" s="28">
        <f>'REG y VAL POE - AESR - ESR'!Z198</f>
        <v>0</v>
      </c>
      <c r="BFO5" s="29">
        <f>'REG y VAL POE - AESR - ESR'!AA198</f>
        <v>0</v>
      </c>
      <c r="BFP5" s="28">
        <f>'REG y VAL POE - AESR - ESR'!AB198</f>
        <v>0</v>
      </c>
      <c r="BFQ5" s="28">
        <f>'REG y VAL POE - AESR - ESR'!AC198</f>
        <v>0</v>
      </c>
      <c r="BFR5" s="29">
        <f>'REG y VAL POE - AESR - ESR'!AD198</f>
        <v>0</v>
      </c>
      <c r="BFS5" s="29">
        <f>'REG y VAL POE - AESR - ESR'!AE198</f>
        <v>0</v>
      </c>
      <c r="BFT5" s="29">
        <f>'REG y VAL POE - AESR - ESR'!AF198</f>
        <v>0</v>
      </c>
      <c r="BFU5" s="28">
        <f>'REG y VAL POE - AESR - ESR'!AG198</f>
        <v>0</v>
      </c>
      <c r="BFV5" s="29">
        <f>'REG y VAL POE - AESR - ESR'!AH198</f>
        <v>0</v>
      </c>
      <c r="BFW5" s="29">
        <f>'REG y VAL POE - AESR - ESR'!AI198</f>
        <v>0</v>
      </c>
      <c r="BFX5" s="28">
        <f>'REG y VAL POE - AESR - ESR'!AJ198</f>
        <v>0</v>
      </c>
      <c r="BFY5" s="29">
        <f>'REG y VAL POE - AESR - ESR'!AK198</f>
        <v>0</v>
      </c>
      <c r="BFZ5" s="28">
        <f>'REG y VAL POE - AESR - ESR'!AL198</f>
        <v>0</v>
      </c>
      <c r="BGA5" s="28">
        <f>'REG y VAL POE - AESR - ESR'!AM198</f>
        <v>0</v>
      </c>
      <c r="BGB5" s="29">
        <f>'REG y VAL POE - AESR - ESR'!AN198</f>
        <v>0</v>
      </c>
      <c r="BGC5" s="29">
        <f>'REG y VAL POE - AESR - ESR'!AO198</f>
        <v>0</v>
      </c>
      <c r="BGD5" s="29">
        <f>'REG y VAL POE - AESR - ESR'!AP198</f>
        <v>0</v>
      </c>
      <c r="BGE5" s="28">
        <f>'REG y VAL POE - AESR - ESR'!AQ198</f>
        <v>0</v>
      </c>
      <c r="BGF5" s="29">
        <f>'REG y VAL POE - AESR - ESR'!AR198</f>
        <v>0</v>
      </c>
      <c r="BGG5" s="29">
        <f>'REG y VAL POE - AESR - ESR'!AS198</f>
        <v>0</v>
      </c>
      <c r="BGH5" s="385">
        <f>'REG y VAL POE - AESR - ESR'!B199</f>
        <v>0</v>
      </c>
      <c r="BGI5" s="29">
        <f>'REG y VAL POE - AESR - ESR'!C199</f>
        <v>0</v>
      </c>
      <c r="BGJ5" s="29">
        <f>'REG y VAL POE - AESR - ESR'!D199</f>
        <v>0</v>
      </c>
      <c r="BGK5" s="28">
        <f>'REG y VAL POE - AESR - ESR'!E199</f>
        <v>0</v>
      </c>
      <c r="BGL5" s="29">
        <f>'REG y VAL POE - AESR - ESR'!F199</f>
        <v>0</v>
      </c>
      <c r="BGM5" s="29">
        <f>'REG y VAL POE - AESR - ESR'!G199</f>
        <v>0</v>
      </c>
      <c r="BGN5" s="28">
        <f>'REG y VAL POE - AESR - ESR'!H199</f>
        <v>0</v>
      </c>
      <c r="BGO5" s="29">
        <f>'REG y VAL POE - AESR - ESR'!I199</f>
        <v>0</v>
      </c>
      <c r="BGP5" s="28">
        <f>'REG y VAL POE - AESR - ESR'!J199</f>
        <v>0</v>
      </c>
      <c r="BGQ5" s="28">
        <f>'REG y VAL POE - AESR - ESR'!K199</f>
        <v>0</v>
      </c>
      <c r="BGR5" s="29">
        <f>'REG y VAL POE - AESR - ESR'!L199</f>
        <v>0</v>
      </c>
      <c r="BGS5" s="29">
        <f>'REG y VAL POE - AESR - ESR'!M199</f>
        <v>0</v>
      </c>
      <c r="BGT5" s="29">
        <f>'REG y VAL POE - AESR - ESR'!N199</f>
        <v>0</v>
      </c>
      <c r="BGU5" s="28">
        <f>'REG y VAL POE - AESR - ESR'!O199</f>
        <v>0</v>
      </c>
      <c r="BGV5" s="29">
        <f>'REG y VAL POE - AESR - ESR'!P199</f>
        <v>0</v>
      </c>
      <c r="BGW5" s="29">
        <f>'REG y VAL POE - AESR - ESR'!Q199</f>
        <v>0</v>
      </c>
      <c r="BGX5" s="28">
        <f>'REG y VAL POE - AESR - ESR'!R199</f>
        <v>0</v>
      </c>
      <c r="BGY5" s="29">
        <f>'REG y VAL POE - AESR - ESR'!S199</f>
        <v>0</v>
      </c>
      <c r="BGZ5" s="28">
        <f>'REG y VAL POE - AESR - ESR'!T199</f>
        <v>0</v>
      </c>
      <c r="BHA5" s="28">
        <f>'REG y VAL POE - AESR - ESR'!U199</f>
        <v>0</v>
      </c>
      <c r="BHB5" s="29">
        <f>'REG y VAL POE - AESR - ESR'!V199</f>
        <v>0</v>
      </c>
      <c r="BHC5" s="29">
        <f>'REG y VAL POE - AESR - ESR'!W199</f>
        <v>0</v>
      </c>
      <c r="BHD5" s="29">
        <f>'REG y VAL POE - AESR - ESR'!X199</f>
        <v>0</v>
      </c>
      <c r="BHE5" s="28">
        <f>'REG y VAL POE - AESR - ESR'!Y199</f>
        <v>0</v>
      </c>
      <c r="BHF5" s="29">
        <f>'REG y VAL POE - AESR - ESR'!Z199</f>
        <v>0</v>
      </c>
      <c r="BHG5" s="29">
        <f>'REG y VAL POE - AESR - ESR'!AA199</f>
        <v>0</v>
      </c>
      <c r="BHH5" s="29">
        <f>'REG y VAL POE - AESR - ESR'!AB199</f>
        <v>0</v>
      </c>
      <c r="BHI5" s="29">
        <f>'REG y VAL POE - AESR - ESR'!AC199</f>
        <v>0</v>
      </c>
      <c r="BHJ5" s="29">
        <f>'REG y VAL POE - AESR - ESR'!AD199</f>
        <v>0</v>
      </c>
      <c r="BHK5" s="28">
        <f>'REG y VAL POE - AESR - ESR'!AE199</f>
        <v>0</v>
      </c>
      <c r="BHL5" s="29">
        <f>'REG y VAL POE - AESR - ESR'!AF199</f>
        <v>0</v>
      </c>
      <c r="BHM5" s="29">
        <f>'REG y VAL POE - AESR - ESR'!AG199</f>
        <v>0</v>
      </c>
      <c r="BHN5" s="28">
        <f>'REG y VAL POE - AESR - ESR'!AH199</f>
        <v>0</v>
      </c>
      <c r="BHO5" s="29">
        <f>'REG y VAL POE - AESR - ESR'!AI199</f>
        <v>0</v>
      </c>
      <c r="BHP5" s="28">
        <f>'REG y VAL POE - AESR - ESR'!AJ199</f>
        <v>0</v>
      </c>
      <c r="BHQ5" s="28">
        <f>'REG y VAL POE - AESR - ESR'!AK199</f>
        <v>0</v>
      </c>
      <c r="BHR5" s="29">
        <f>'REG y VAL POE - AESR - ESR'!AL199</f>
        <v>0</v>
      </c>
      <c r="BHS5" s="29">
        <f>'REG y VAL POE - AESR - ESR'!AM199</f>
        <v>0</v>
      </c>
      <c r="BHT5" s="29">
        <f>'REG y VAL POE - AESR - ESR'!AN199</f>
        <v>0</v>
      </c>
      <c r="BHU5" s="28">
        <f>'REG y VAL POE - AESR - ESR'!AO199</f>
        <v>0</v>
      </c>
      <c r="BHV5" s="29">
        <f>'REG y VAL POE - AESR - ESR'!AP199</f>
        <v>0</v>
      </c>
      <c r="BHW5" s="29">
        <f>'REG y VAL POE - AESR - ESR'!AQ199</f>
        <v>0</v>
      </c>
      <c r="BHX5" s="28">
        <f>'REG y VAL POE - AESR - ESR'!AR199</f>
        <v>0</v>
      </c>
      <c r="BHY5" s="29">
        <f>'REG y VAL POE - AESR - ESR'!AS199</f>
        <v>0</v>
      </c>
      <c r="BHZ5" s="27">
        <f>'REG y VAL POE - AESR - ESR'!B200</f>
        <v>0</v>
      </c>
      <c r="BIA5" s="28">
        <f>'REG y VAL POE - AESR - ESR'!C200</f>
        <v>0</v>
      </c>
      <c r="BIB5" s="29">
        <f>'REG y VAL POE - AESR - ESR'!D200</f>
        <v>0</v>
      </c>
      <c r="BIC5" s="29">
        <f>'REG y VAL POE - AESR - ESR'!E200</f>
        <v>0</v>
      </c>
      <c r="BID5" s="29">
        <f>'REG y VAL POE - AESR - ESR'!F200</f>
        <v>0</v>
      </c>
      <c r="BIE5" s="28">
        <f>'REG y VAL POE - AESR - ESR'!G200</f>
        <v>0</v>
      </c>
      <c r="BIF5" s="29">
        <f>'REG y VAL POE - AESR - ESR'!H200</f>
        <v>0</v>
      </c>
      <c r="BIG5" s="29">
        <f>'REG y VAL POE - AESR - ESR'!I200</f>
        <v>0</v>
      </c>
      <c r="BIH5" s="29">
        <f>'REG y VAL POE - AESR - ESR'!J200</f>
        <v>0</v>
      </c>
      <c r="BII5" s="29">
        <f>'REG y VAL POE - AESR - ESR'!K200</f>
        <v>0</v>
      </c>
      <c r="BIJ5" s="29">
        <f>'REG y VAL POE - AESR - ESR'!L200</f>
        <v>0</v>
      </c>
      <c r="BIK5" s="28">
        <f>'REG y VAL POE - AESR - ESR'!M200</f>
        <v>0</v>
      </c>
      <c r="BIL5" s="29">
        <f>'REG y VAL POE - AESR - ESR'!N200</f>
        <v>0</v>
      </c>
      <c r="BIM5" s="29">
        <f>'REG y VAL POE - AESR - ESR'!O200</f>
        <v>0</v>
      </c>
      <c r="BIN5" s="28">
        <f>'REG y VAL POE - AESR - ESR'!P200</f>
        <v>0</v>
      </c>
      <c r="BIO5" s="29">
        <f>'REG y VAL POE - AESR - ESR'!Q200</f>
        <v>0</v>
      </c>
      <c r="BIP5" s="28">
        <f>'REG y VAL POE - AESR - ESR'!R200</f>
        <v>0</v>
      </c>
      <c r="BIQ5" s="28">
        <f>'REG y VAL POE - AESR - ESR'!S200</f>
        <v>0</v>
      </c>
      <c r="BIR5" s="29">
        <f>'REG y VAL POE - AESR - ESR'!T200</f>
        <v>0</v>
      </c>
      <c r="BIS5" s="29">
        <f>'REG y VAL POE - AESR - ESR'!U200</f>
        <v>0</v>
      </c>
      <c r="BIT5" s="29">
        <f>'REG y VAL POE - AESR - ESR'!V200</f>
        <v>0</v>
      </c>
      <c r="BIU5" s="28">
        <f>'REG y VAL POE - AESR - ESR'!W200</f>
        <v>0</v>
      </c>
      <c r="BIV5" s="29">
        <f>'REG y VAL POE - AESR - ESR'!X200</f>
        <v>0</v>
      </c>
      <c r="BIW5" s="29">
        <f>'REG y VAL POE - AESR - ESR'!Y200</f>
        <v>0</v>
      </c>
      <c r="BIX5" s="28">
        <f>'REG y VAL POE - AESR - ESR'!Z200</f>
        <v>0</v>
      </c>
      <c r="BIY5" s="29">
        <f>'REG y VAL POE - AESR - ESR'!AA200</f>
        <v>0</v>
      </c>
      <c r="BIZ5" s="28">
        <f>'REG y VAL POE - AESR - ESR'!AB200</f>
        <v>0</v>
      </c>
      <c r="BJA5" s="28">
        <f>'REG y VAL POE - AESR - ESR'!AC200</f>
        <v>0</v>
      </c>
      <c r="BJB5" s="29">
        <f>'REG y VAL POE - AESR - ESR'!AD200</f>
        <v>0</v>
      </c>
      <c r="BJC5" s="29">
        <f>'REG y VAL POE - AESR - ESR'!AE200</f>
        <v>0</v>
      </c>
      <c r="BJD5" s="29">
        <f>'REG y VAL POE - AESR - ESR'!AF200</f>
        <v>0</v>
      </c>
      <c r="BJE5" s="28">
        <f>'REG y VAL POE - AESR - ESR'!AG200</f>
        <v>0</v>
      </c>
      <c r="BJF5" s="29">
        <f>'REG y VAL POE - AESR - ESR'!AH200</f>
        <v>0</v>
      </c>
      <c r="BJG5" s="29">
        <f>'REG y VAL POE - AESR - ESR'!AI200</f>
        <v>0</v>
      </c>
      <c r="BJH5" s="29">
        <f>'REG y VAL POE - AESR - ESR'!AJ200</f>
        <v>0</v>
      </c>
      <c r="BJI5" s="29">
        <f>'REG y VAL POE - AESR - ESR'!AK200</f>
        <v>0</v>
      </c>
      <c r="BJJ5" s="29">
        <f>'REG y VAL POE - AESR - ESR'!AL200</f>
        <v>0</v>
      </c>
      <c r="BJK5" s="28">
        <f>'REG y VAL POE - AESR - ESR'!AM200</f>
        <v>0</v>
      </c>
      <c r="BJL5" s="29">
        <f>'REG y VAL POE - AESR - ESR'!AN200</f>
        <v>0</v>
      </c>
      <c r="BJM5" s="29">
        <f>'REG y VAL POE - AESR - ESR'!AO200</f>
        <v>0</v>
      </c>
      <c r="BJN5" s="28">
        <f>'REG y VAL POE - AESR - ESR'!AP200</f>
        <v>0</v>
      </c>
      <c r="BJO5" s="29">
        <f>'REG y VAL POE - AESR - ESR'!AQ200</f>
        <v>0</v>
      </c>
      <c r="BJP5" s="28">
        <f>'REG y VAL POE - AESR - ESR'!AR200</f>
        <v>0</v>
      </c>
      <c r="BJQ5" s="28">
        <f>'REG y VAL POE - AESR - ESR'!AS200</f>
        <v>0</v>
      </c>
      <c r="BJR5" s="385">
        <f>'REG y VAL POE - AESR - ESR'!B201</f>
        <v>0</v>
      </c>
      <c r="BJS5" s="29">
        <f>'REG y VAL POE - AESR - ESR'!C201</f>
        <v>0</v>
      </c>
      <c r="BJT5" s="29">
        <f>'REG y VAL POE - AESR - ESR'!D201</f>
        <v>0</v>
      </c>
      <c r="BJU5" s="28">
        <f>'REG y VAL POE - AESR - ESR'!E201</f>
        <v>0</v>
      </c>
      <c r="BJV5" s="29">
        <f>'REG y VAL POE - AESR - ESR'!F201</f>
        <v>0</v>
      </c>
      <c r="BJW5" s="29">
        <f>'REG y VAL POE - AESR - ESR'!G201</f>
        <v>0</v>
      </c>
      <c r="BJX5" s="28">
        <f>'REG y VAL POE - AESR - ESR'!H201</f>
        <v>0</v>
      </c>
      <c r="BJY5" s="29">
        <f>'REG y VAL POE - AESR - ESR'!I201</f>
        <v>0</v>
      </c>
      <c r="BJZ5" s="28">
        <f>'REG y VAL POE - AESR - ESR'!J201</f>
        <v>0</v>
      </c>
      <c r="BKA5" s="28">
        <f>'REG y VAL POE - AESR - ESR'!K201</f>
        <v>0</v>
      </c>
      <c r="BKB5" s="29">
        <f>'REG y VAL POE - AESR - ESR'!L201</f>
        <v>0</v>
      </c>
      <c r="BKC5" s="29">
        <f>'REG y VAL POE - AESR - ESR'!M201</f>
        <v>0</v>
      </c>
      <c r="BKD5" s="29">
        <f>'REG y VAL POE - AESR - ESR'!N201</f>
        <v>0</v>
      </c>
      <c r="BKE5" s="28">
        <f>'REG y VAL POE - AESR - ESR'!O201</f>
        <v>0</v>
      </c>
      <c r="BKF5" s="29">
        <f>'REG y VAL POE - AESR - ESR'!P201</f>
        <v>0</v>
      </c>
      <c r="BKG5" s="29">
        <f>'REG y VAL POE - AESR - ESR'!Q201</f>
        <v>0</v>
      </c>
      <c r="BKH5" s="29">
        <f>'REG y VAL POE - AESR - ESR'!R201</f>
        <v>0</v>
      </c>
      <c r="BKI5" s="29">
        <f>'REG y VAL POE - AESR - ESR'!S201</f>
        <v>0</v>
      </c>
      <c r="BKJ5" s="29">
        <f>'REG y VAL POE - AESR - ESR'!T201</f>
        <v>0</v>
      </c>
      <c r="BKK5" s="28">
        <f>'REG y VAL POE - AESR - ESR'!U201</f>
        <v>0</v>
      </c>
      <c r="BKL5" s="29">
        <f>'REG y VAL POE - AESR - ESR'!V201</f>
        <v>0</v>
      </c>
      <c r="BKM5" s="29">
        <f>'REG y VAL POE - AESR - ESR'!W201</f>
        <v>0</v>
      </c>
      <c r="BKN5" s="28">
        <f>'REG y VAL POE - AESR - ESR'!X201</f>
        <v>0</v>
      </c>
      <c r="BKO5" s="29">
        <f>'REG y VAL POE - AESR - ESR'!Y201</f>
        <v>0</v>
      </c>
      <c r="BKP5" s="28">
        <f>'REG y VAL POE - AESR - ESR'!Z201</f>
        <v>0</v>
      </c>
      <c r="BKQ5" s="28">
        <f>'REG y VAL POE - AESR - ESR'!AA201</f>
        <v>0</v>
      </c>
      <c r="BKR5" s="29">
        <f>'REG y VAL POE - AESR - ESR'!AB201</f>
        <v>0</v>
      </c>
      <c r="BKS5" s="29">
        <f>'REG y VAL POE - AESR - ESR'!AC201</f>
        <v>0</v>
      </c>
      <c r="BKT5" s="29">
        <f>'REG y VAL POE - AESR - ESR'!AD201</f>
        <v>0</v>
      </c>
      <c r="BKU5" s="28">
        <f>'REG y VAL POE - AESR - ESR'!AE201</f>
        <v>0</v>
      </c>
      <c r="BKV5" s="29">
        <f>'REG y VAL POE - AESR - ESR'!AF201</f>
        <v>0</v>
      </c>
      <c r="BKW5" s="29">
        <f>'REG y VAL POE - AESR - ESR'!AG201</f>
        <v>0</v>
      </c>
      <c r="BKX5" s="28">
        <f>'REG y VAL POE - AESR - ESR'!AH201</f>
        <v>0</v>
      </c>
      <c r="BKY5" s="29">
        <f>'REG y VAL POE - AESR - ESR'!AI201</f>
        <v>0</v>
      </c>
      <c r="BKZ5" s="28">
        <f>'REG y VAL POE - AESR - ESR'!AJ201</f>
        <v>0</v>
      </c>
      <c r="BLA5" s="28">
        <f>'REG y VAL POE - AESR - ESR'!AK201</f>
        <v>0</v>
      </c>
      <c r="BLB5" s="29">
        <f>'REG y VAL POE - AESR - ESR'!AL201</f>
        <v>0</v>
      </c>
      <c r="BLC5" s="29">
        <f>'REG y VAL POE - AESR - ESR'!AM201</f>
        <v>0</v>
      </c>
      <c r="BLD5" s="29">
        <f>'REG y VAL POE - AESR - ESR'!AN201</f>
        <v>0</v>
      </c>
      <c r="BLE5" s="28">
        <f>'REG y VAL POE - AESR - ESR'!AO201</f>
        <v>0</v>
      </c>
      <c r="BLF5" s="29">
        <f>'REG y VAL POE - AESR - ESR'!AP201</f>
        <v>0</v>
      </c>
      <c r="BLG5" s="29">
        <f>'REG y VAL POE - AESR - ESR'!AQ201</f>
        <v>0</v>
      </c>
      <c r="BLH5" s="29">
        <f>'REG y VAL POE - AESR - ESR'!AR201</f>
        <v>0</v>
      </c>
      <c r="BLI5" s="29">
        <f>'REG y VAL POE - AESR - ESR'!AS201</f>
        <v>0</v>
      </c>
      <c r="BLJ5" s="385">
        <f>'REG y VAL POE - AESR - ESR'!B202</f>
        <v>0</v>
      </c>
      <c r="BLK5" s="28">
        <f>'REG y VAL POE - AESR - ESR'!C202</f>
        <v>0</v>
      </c>
      <c r="BLL5" s="29">
        <f>'REG y VAL POE - AESR - ESR'!D202</f>
        <v>0</v>
      </c>
      <c r="BLM5" s="29">
        <f>'REG y VAL POE - AESR - ESR'!E202</f>
        <v>0</v>
      </c>
      <c r="BLN5" s="28">
        <f>'REG y VAL POE - AESR - ESR'!F202</f>
        <v>0</v>
      </c>
      <c r="BLO5" s="29">
        <f>'REG y VAL POE - AESR - ESR'!G202</f>
        <v>0</v>
      </c>
      <c r="BLP5" s="28">
        <f>'REG y VAL POE - AESR - ESR'!H202</f>
        <v>0</v>
      </c>
      <c r="BLQ5" s="28">
        <f>'REG y VAL POE - AESR - ESR'!I202</f>
        <v>0</v>
      </c>
      <c r="BLR5" s="29">
        <f>'REG y VAL POE - AESR - ESR'!J202</f>
        <v>0</v>
      </c>
      <c r="BLS5" s="29">
        <f>'REG y VAL POE - AESR - ESR'!K202</f>
        <v>0</v>
      </c>
      <c r="BLT5" s="29">
        <f>'REG y VAL POE - AESR - ESR'!L202</f>
        <v>0</v>
      </c>
      <c r="BLU5" s="28">
        <f>'REG y VAL POE - AESR - ESR'!M202</f>
        <v>0</v>
      </c>
      <c r="BLV5" s="29">
        <f>'REG y VAL POE - AESR - ESR'!N202</f>
        <v>0</v>
      </c>
      <c r="BLW5" s="29">
        <f>'REG y VAL POE - AESR - ESR'!O202</f>
        <v>0</v>
      </c>
      <c r="BLX5" s="28">
        <f>'REG y VAL POE - AESR - ESR'!P202</f>
        <v>0</v>
      </c>
      <c r="BLY5" s="29">
        <f>'REG y VAL POE - AESR - ESR'!Q202</f>
        <v>0</v>
      </c>
      <c r="BLZ5" s="28">
        <f>'REG y VAL POE - AESR - ESR'!R202</f>
        <v>0</v>
      </c>
      <c r="BMA5" s="28">
        <f>'REG y VAL POE - AESR - ESR'!S202</f>
        <v>0</v>
      </c>
      <c r="BMB5" s="29">
        <f>'REG y VAL POE - AESR - ESR'!T202</f>
        <v>0</v>
      </c>
      <c r="BMC5" s="29">
        <f>'REG y VAL POE - AESR - ESR'!U202</f>
        <v>0</v>
      </c>
      <c r="BMD5" s="29">
        <f>'REG y VAL POE - AESR - ESR'!V202</f>
        <v>0</v>
      </c>
      <c r="BME5" s="28">
        <f>'REG y VAL POE - AESR - ESR'!W202</f>
        <v>0</v>
      </c>
      <c r="BMF5" s="29">
        <f>'REG y VAL POE - AESR - ESR'!X202</f>
        <v>0</v>
      </c>
      <c r="BMG5" s="29">
        <f>'REG y VAL POE - AESR - ESR'!Y202</f>
        <v>0</v>
      </c>
      <c r="BMH5" s="29">
        <f>'REG y VAL POE - AESR - ESR'!Z202</f>
        <v>0</v>
      </c>
      <c r="BMI5" s="29">
        <f>'REG y VAL POE - AESR - ESR'!AA202</f>
        <v>0</v>
      </c>
      <c r="BMJ5" s="29">
        <f>'REG y VAL POE - AESR - ESR'!AB202</f>
        <v>0</v>
      </c>
      <c r="BMK5" s="28">
        <f>'REG y VAL POE - AESR - ESR'!AC202</f>
        <v>0</v>
      </c>
      <c r="BML5" s="29">
        <f>'REG y VAL POE - AESR - ESR'!AD202</f>
        <v>0</v>
      </c>
      <c r="BMM5" s="29">
        <f>'REG y VAL POE - AESR - ESR'!AE202</f>
        <v>0</v>
      </c>
      <c r="BMN5" s="28">
        <f>'REG y VAL POE - AESR - ESR'!AF202</f>
        <v>0</v>
      </c>
      <c r="BMO5" s="29">
        <f>'REG y VAL POE - AESR - ESR'!AG202</f>
        <v>0</v>
      </c>
      <c r="BMP5" s="28">
        <f>'REG y VAL POE - AESR - ESR'!AH202</f>
        <v>0</v>
      </c>
      <c r="BMQ5" s="28">
        <f>'REG y VAL POE - AESR - ESR'!AI202</f>
        <v>0</v>
      </c>
      <c r="BMR5" s="29">
        <f>'REG y VAL POE - AESR - ESR'!AJ202</f>
        <v>0</v>
      </c>
      <c r="BMS5" s="29">
        <f>'REG y VAL POE - AESR - ESR'!AK202</f>
        <v>0</v>
      </c>
      <c r="BMT5" s="29">
        <f>'REG y VAL POE - AESR - ESR'!AL202</f>
        <v>0</v>
      </c>
      <c r="BMU5" s="28">
        <f>'REG y VAL POE - AESR - ESR'!AM202</f>
        <v>0</v>
      </c>
      <c r="BMV5" s="29">
        <f>'REG y VAL POE - AESR - ESR'!AN202</f>
        <v>0</v>
      </c>
      <c r="BMW5" s="29">
        <f>'REG y VAL POE - AESR - ESR'!AO202</f>
        <v>0</v>
      </c>
      <c r="BMX5" s="28">
        <f>'REG y VAL POE - AESR - ESR'!AP202</f>
        <v>0</v>
      </c>
      <c r="BMY5" s="29">
        <f>'REG y VAL POE - AESR - ESR'!AQ202</f>
        <v>0</v>
      </c>
      <c r="BMZ5" s="28">
        <f>'REG y VAL POE - AESR - ESR'!AR202</f>
        <v>0</v>
      </c>
      <c r="BNA5" s="28">
        <f>'REG y VAL POE - AESR - ESR'!AS202</f>
        <v>0</v>
      </c>
      <c r="BNB5" s="385">
        <f>'REG y VAL POE - AESR - ESR'!B203</f>
        <v>0</v>
      </c>
      <c r="BNC5" s="29">
        <f>'REG y VAL POE - AESR - ESR'!C203</f>
        <v>0</v>
      </c>
      <c r="BND5" s="29">
        <f>'REG y VAL POE - AESR - ESR'!D203</f>
        <v>0</v>
      </c>
      <c r="BNE5" s="28">
        <f>'REG y VAL POE - AESR - ESR'!E203</f>
        <v>0</v>
      </c>
      <c r="BNF5" s="29">
        <f>'REG y VAL POE - AESR - ESR'!F203</f>
        <v>0</v>
      </c>
      <c r="BNG5" s="29">
        <f>'REG y VAL POE - AESR - ESR'!G203</f>
        <v>0</v>
      </c>
      <c r="BNH5" s="29">
        <f>'REG y VAL POE - AESR - ESR'!H203</f>
        <v>0</v>
      </c>
      <c r="BNI5" s="29">
        <f>'REG y VAL POE - AESR - ESR'!I203</f>
        <v>0</v>
      </c>
      <c r="BNJ5" s="29">
        <f>'REG y VAL POE - AESR - ESR'!J203</f>
        <v>0</v>
      </c>
      <c r="BNK5" s="28">
        <f>'REG y VAL POE - AESR - ESR'!K203</f>
        <v>0</v>
      </c>
      <c r="BNL5" s="29">
        <f>'REG y VAL POE - AESR - ESR'!L203</f>
        <v>0</v>
      </c>
      <c r="BNM5" s="29">
        <f>'REG y VAL POE - AESR - ESR'!M203</f>
        <v>0</v>
      </c>
      <c r="BNN5" s="28">
        <f>'REG y VAL POE - AESR - ESR'!N203</f>
        <v>0</v>
      </c>
      <c r="BNO5" s="29">
        <f>'REG y VAL POE - AESR - ESR'!O203</f>
        <v>0</v>
      </c>
      <c r="BNP5" s="28">
        <f>'REG y VAL POE - AESR - ESR'!P203</f>
        <v>0</v>
      </c>
      <c r="BNQ5" s="28">
        <f>'REG y VAL POE - AESR - ESR'!Q203</f>
        <v>0</v>
      </c>
      <c r="BNR5" s="29">
        <f>'REG y VAL POE - AESR - ESR'!R203</f>
        <v>0</v>
      </c>
      <c r="BNS5" s="29">
        <f>'REG y VAL POE - AESR - ESR'!S203</f>
        <v>0</v>
      </c>
      <c r="BNT5" s="29">
        <f>'REG y VAL POE - AESR - ESR'!T203</f>
        <v>0</v>
      </c>
      <c r="BNU5" s="28">
        <f>'REG y VAL POE - AESR - ESR'!U203</f>
        <v>0</v>
      </c>
      <c r="BNV5" s="29">
        <f>'REG y VAL POE - AESR - ESR'!V203</f>
        <v>0</v>
      </c>
      <c r="BNW5" s="29">
        <f>'REG y VAL POE - AESR - ESR'!W203</f>
        <v>0</v>
      </c>
      <c r="BNX5" s="28">
        <f>'REG y VAL POE - AESR - ESR'!X203</f>
        <v>0</v>
      </c>
      <c r="BNY5" s="29">
        <f>'REG y VAL POE - AESR - ESR'!Y203</f>
        <v>0</v>
      </c>
      <c r="BNZ5" s="28">
        <f>'REG y VAL POE - AESR - ESR'!Z203</f>
        <v>0</v>
      </c>
      <c r="BOA5" s="28">
        <f>'REG y VAL POE - AESR - ESR'!AA203</f>
        <v>0</v>
      </c>
      <c r="BOB5" s="29">
        <f>'REG y VAL POE - AESR - ESR'!AB203</f>
        <v>0</v>
      </c>
      <c r="BOC5" s="29">
        <f>'REG y VAL POE - AESR - ESR'!AC203</f>
        <v>0</v>
      </c>
      <c r="BOD5" s="29">
        <f>'REG y VAL POE - AESR - ESR'!AD203</f>
        <v>0</v>
      </c>
      <c r="BOE5" s="28">
        <f>'REG y VAL POE - AESR - ESR'!AE203</f>
        <v>0</v>
      </c>
      <c r="BOF5" s="29">
        <f>'REG y VAL POE - AESR - ESR'!AF203</f>
        <v>0</v>
      </c>
      <c r="BOG5" s="29">
        <f>'REG y VAL POE - AESR - ESR'!AG203</f>
        <v>0</v>
      </c>
      <c r="BOH5" s="29">
        <f>'REG y VAL POE - AESR - ESR'!AH203</f>
        <v>0</v>
      </c>
      <c r="BOI5" s="29">
        <f>'REG y VAL POE - AESR - ESR'!AI203</f>
        <v>0</v>
      </c>
      <c r="BOJ5" s="29">
        <f>'REG y VAL POE - AESR - ESR'!AJ203</f>
        <v>0</v>
      </c>
      <c r="BOK5" s="28">
        <f>'REG y VAL POE - AESR - ESR'!AK203</f>
        <v>0</v>
      </c>
      <c r="BOL5" s="29">
        <f>'REG y VAL POE - AESR - ESR'!AL203</f>
        <v>0</v>
      </c>
      <c r="BOM5" s="29">
        <f>'REG y VAL POE - AESR - ESR'!AM203</f>
        <v>0</v>
      </c>
      <c r="BON5" s="28">
        <f>'REG y VAL POE - AESR - ESR'!AN203</f>
        <v>0</v>
      </c>
      <c r="BOO5" s="29">
        <f>'REG y VAL POE - AESR - ESR'!AO203</f>
        <v>0</v>
      </c>
      <c r="BOP5" s="28">
        <f>'REG y VAL POE - AESR - ESR'!AP203</f>
        <v>0</v>
      </c>
      <c r="BOQ5" s="28">
        <f>'REG y VAL POE - AESR - ESR'!AQ203</f>
        <v>0</v>
      </c>
      <c r="BOR5" s="29">
        <f>'REG y VAL POE - AESR - ESR'!AR203</f>
        <v>0</v>
      </c>
      <c r="BOS5" s="29">
        <f>'REG y VAL POE - AESR - ESR'!AS203</f>
        <v>0</v>
      </c>
      <c r="BOT5" s="385">
        <f>'REG y VAL POE - AESR - ESR'!B204</f>
        <v>0</v>
      </c>
      <c r="BOU5" s="28">
        <f>'REG y VAL POE - AESR - ESR'!C204</f>
        <v>0</v>
      </c>
      <c r="BOV5" s="29">
        <f>'REG y VAL POE - AESR - ESR'!D204</f>
        <v>0</v>
      </c>
      <c r="BOW5" s="29">
        <f>'REG y VAL POE - AESR - ESR'!E204</f>
        <v>0</v>
      </c>
      <c r="BOX5" s="28">
        <f>'REG y VAL POE - AESR - ESR'!F204</f>
        <v>0</v>
      </c>
      <c r="BOY5" s="29">
        <f>'REG y VAL POE - AESR - ESR'!G204</f>
        <v>0</v>
      </c>
      <c r="BOZ5" s="28">
        <f>'REG y VAL POE - AESR - ESR'!H204</f>
        <v>0</v>
      </c>
      <c r="BPA5" s="28">
        <f>'REG y VAL POE - AESR - ESR'!I204</f>
        <v>0</v>
      </c>
      <c r="BPB5" s="29">
        <f>'REG y VAL POE - AESR - ESR'!J204</f>
        <v>0</v>
      </c>
      <c r="BPC5" s="29">
        <f>'REG y VAL POE - AESR - ESR'!K204</f>
        <v>0</v>
      </c>
      <c r="BPD5" s="29">
        <f>'REG y VAL POE - AESR - ESR'!L204</f>
        <v>0</v>
      </c>
      <c r="BPE5" s="28">
        <f>'REG y VAL POE - AESR - ESR'!M204</f>
        <v>0</v>
      </c>
      <c r="BPF5" s="29">
        <f>'REG y VAL POE - AESR - ESR'!N204</f>
        <v>0</v>
      </c>
      <c r="BPG5" s="29">
        <f>'REG y VAL POE - AESR - ESR'!O204</f>
        <v>0</v>
      </c>
      <c r="BPH5" s="29">
        <f>'REG y VAL POE - AESR - ESR'!P204</f>
        <v>0</v>
      </c>
      <c r="BPI5" s="29">
        <f>'REG y VAL POE - AESR - ESR'!Q204</f>
        <v>0</v>
      </c>
      <c r="BPJ5" s="29">
        <f>'REG y VAL POE - AESR - ESR'!R204</f>
        <v>0</v>
      </c>
      <c r="BPK5" s="28">
        <f>'REG y VAL POE - AESR - ESR'!S204</f>
        <v>0</v>
      </c>
      <c r="BPL5" s="29">
        <f>'REG y VAL POE - AESR - ESR'!T204</f>
        <v>0</v>
      </c>
      <c r="BPM5" s="29">
        <f>'REG y VAL POE - AESR - ESR'!U204</f>
        <v>0</v>
      </c>
      <c r="BPN5" s="28">
        <f>'REG y VAL POE - AESR - ESR'!V204</f>
        <v>0</v>
      </c>
      <c r="BPO5" s="29">
        <f>'REG y VAL POE - AESR - ESR'!W204</f>
        <v>0</v>
      </c>
      <c r="BPP5" s="28">
        <f>'REG y VAL POE - AESR - ESR'!X204</f>
        <v>0</v>
      </c>
      <c r="BPQ5" s="28">
        <f>'REG y VAL POE - AESR - ESR'!Y204</f>
        <v>0</v>
      </c>
      <c r="BPR5" s="29">
        <f>'REG y VAL POE - AESR - ESR'!Z204</f>
        <v>0</v>
      </c>
      <c r="BPS5" s="29">
        <f>'REG y VAL POE - AESR - ESR'!AA204</f>
        <v>0</v>
      </c>
      <c r="BPT5" s="29">
        <f>'REG y VAL POE - AESR - ESR'!AB204</f>
        <v>0</v>
      </c>
      <c r="BPU5" s="28">
        <f>'REG y VAL POE - AESR - ESR'!AC204</f>
        <v>0</v>
      </c>
      <c r="BPV5" s="29">
        <f>'REG y VAL POE - AESR - ESR'!AD204</f>
        <v>0</v>
      </c>
      <c r="BPW5" s="29">
        <f>'REG y VAL POE - AESR - ESR'!AE204</f>
        <v>0</v>
      </c>
      <c r="BPX5" s="28">
        <f>'REG y VAL POE - AESR - ESR'!AF204</f>
        <v>0</v>
      </c>
      <c r="BPY5" s="29">
        <f>'REG y VAL POE - AESR - ESR'!AG204</f>
        <v>0</v>
      </c>
      <c r="BPZ5" s="28">
        <f>'REG y VAL POE - AESR - ESR'!AH204</f>
        <v>0</v>
      </c>
      <c r="BQA5" s="28">
        <f>'REG y VAL POE - AESR - ESR'!AI204</f>
        <v>0</v>
      </c>
      <c r="BQB5" s="29">
        <f>'REG y VAL POE - AESR - ESR'!AJ204</f>
        <v>0</v>
      </c>
      <c r="BQC5" s="29">
        <f>'REG y VAL POE - AESR - ESR'!AK204</f>
        <v>0</v>
      </c>
      <c r="BQD5" s="29">
        <f>'REG y VAL POE - AESR - ESR'!AL204</f>
        <v>0</v>
      </c>
      <c r="BQE5" s="28">
        <f>'REG y VAL POE - AESR - ESR'!AM204</f>
        <v>0</v>
      </c>
      <c r="BQF5" s="29">
        <f>'REG y VAL POE - AESR - ESR'!AN204</f>
        <v>0</v>
      </c>
      <c r="BQG5" s="29">
        <f>'REG y VAL POE - AESR - ESR'!AO204</f>
        <v>0</v>
      </c>
      <c r="BQH5" s="29">
        <f>'REG y VAL POE - AESR - ESR'!AP204</f>
        <v>0</v>
      </c>
      <c r="BQI5" s="29">
        <f>'REG y VAL POE - AESR - ESR'!AQ204</f>
        <v>0</v>
      </c>
      <c r="BQJ5" s="29">
        <f>'REG y VAL POE - AESR - ESR'!AR204</f>
        <v>0</v>
      </c>
      <c r="BQK5" s="28">
        <f>'REG y VAL POE - AESR - ESR'!AS204</f>
        <v>0</v>
      </c>
      <c r="BQL5" s="385">
        <f>'REG y VAL POE - AESR - ESR'!B205</f>
        <v>0</v>
      </c>
      <c r="BQM5" s="29">
        <f>'REG y VAL POE - AESR - ESR'!C205</f>
        <v>0</v>
      </c>
      <c r="BQN5" s="28">
        <f>'REG y VAL POE - AESR - ESR'!D205</f>
        <v>0</v>
      </c>
      <c r="BQO5" s="29">
        <f>'REG y VAL POE - AESR - ESR'!E205</f>
        <v>0</v>
      </c>
      <c r="BQP5" s="30">
        <f>'REG y VAL POE - AESR - ESR'!F205</f>
        <v>0</v>
      </c>
      <c r="BQQ5" s="28">
        <f>'REG y VAL POE - AESR - ESR'!G205</f>
        <v>0</v>
      </c>
      <c r="BQR5" s="29">
        <f>'REG y VAL POE - AESR - ESR'!H205</f>
        <v>0</v>
      </c>
      <c r="BQS5" s="29">
        <f>'REG y VAL POE - AESR - ESR'!I205</f>
        <v>0</v>
      </c>
      <c r="BQT5" s="29">
        <f>'REG y VAL POE - AESR - ESR'!J205</f>
        <v>0</v>
      </c>
      <c r="BQU5" s="28">
        <f>'REG y VAL POE - AESR - ESR'!K205</f>
        <v>0</v>
      </c>
      <c r="BQV5" s="29">
        <f>'REG y VAL POE - AESR - ESR'!L205</f>
        <v>0</v>
      </c>
      <c r="BQW5" s="29">
        <f>'REG y VAL POE - AESR - ESR'!M205</f>
        <v>0</v>
      </c>
      <c r="BQX5" s="28">
        <f>'REG y VAL POE - AESR - ESR'!N205</f>
        <v>0</v>
      </c>
      <c r="BQY5" s="29">
        <f>'REG y VAL POE - AESR - ESR'!O205</f>
        <v>0</v>
      </c>
      <c r="BQZ5" s="30">
        <f>'REG y VAL POE - AESR - ESR'!P205</f>
        <v>0</v>
      </c>
      <c r="BRA5" s="28">
        <f>'REG y VAL POE - AESR - ESR'!Q205</f>
        <v>0</v>
      </c>
      <c r="BRB5" s="29">
        <f>'REG y VAL POE - AESR - ESR'!R205</f>
        <v>0</v>
      </c>
      <c r="BRC5" s="29">
        <f>'REG y VAL POE - AESR - ESR'!S205</f>
        <v>0</v>
      </c>
      <c r="BRD5" s="29">
        <f>'REG y VAL POE - AESR - ESR'!T205</f>
        <v>0</v>
      </c>
      <c r="BRE5" s="28">
        <f>'REG y VAL POE - AESR - ESR'!U205</f>
        <v>0</v>
      </c>
      <c r="BRF5" s="29">
        <f>'REG y VAL POE - AESR - ESR'!V205</f>
        <v>0</v>
      </c>
      <c r="BRG5" s="29">
        <f>'REG y VAL POE - AESR - ESR'!W205</f>
        <v>0</v>
      </c>
      <c r="BRH5" s="29">
        <f>'REG y VAL POE - AESR - ESR'!X205</f>
        <v>0</v>
      </c>
      <c r="BRI5" s="29">
        <f>'REG y VAL POE - AESR - ESR'!Y205</f>
        <v>0</v>
      </c>
      <c r="BRJ5" s="29">
        <f>'REG y VAL POE - AESR - ESR'!Z205</f>
        <v>0</v>
      </c>
      <c r="BRK5" s="28">
        <f>'REG y VAL POE - AESR - ESR'!AA205</f>
        <v>0</v>
      </c>
      <c r="BRL5" s="29">
        <f>'REG y VAL POE - AESR - ESR'!AB205</f>
        <v>0</v>
      </c>
      <c r="BRM5" s="29">
        <f>'REG y VAL POE - AESR - ESR'!AC205</f>
        <v>0</v>
      </c>
      <c r="BRN5" s="28">
        <f>'REG y VAL POE - AESR - ESR'!AD205</f>
        <v>0</v>
      </c>
      <c r="BRO5" s="29">
        <f>'REG y VAL POE - AESR - ESR'!AE205</f>
        <v>0</v>
      </c>
      <c r="BRP5" s="30">
        <f>'REG y VAL POE - AESR - ESR'!AF205</f>
        <v>0</v>
      </c>
      <c r="BRQ5" s="28">
        <f>'REG y VAL POE - AESR - ESR'!AG205</f>
        <v>0</v>
      </c>
      <c r="BRR5" s="29">
        <f>'REG y VAL POE - AESR - ESR'!AH205</f>
        <v>0</v>
      </c>
      <c r="BRS5" s="29">
        <f>'REG y VAL POE - AESR - ESR'!AI205</f>
        <v>0</v>
      </c>
      <c r="BRT5" s="29">
        <f>'REG y VAL POE - AESR - ESR'!AJ205</f>
        <v>0</v>
      </c>
      <c r="BRU5" s="28">
        <f>'REG y VAL POE - AESR - ESR'!AK205</f>
        <v>0</v>
      </c>
      <c r="BRV5" s="29">
        <f>'REG y VAL POE - AESR - ESR'!AL205</f>
        <v>0</v>
      </c>
      <c r="BRW5" s="29">
        <f>'REG y VAL POE - AESR - ESR'!AM205</f>
        <v>0</v>
      </c>
      <c r="BRX5" s="28">
        <f>'REG y VAL POE - AESR - ESR'!AN205</f>
        <v>0</v>
      </c>
      <c r="BRY5" s="29">
        <f>'REG y VAL POE - AESR - ESR'!AO205</f>
        <v>0</v>
      </c>
      <c r="BRZ5" s="30">
        <f>'REG y VAL POE - AESR - ESR'!AP205</f>
        <v>0</v>
      </c>
      <c r="BSA5" s="28">
        <f>'REG y VAL POE - AESR - ESR'!AQ205</f>
        <v>0</v>
      </c>
      <c r="BSB5" s="29">
        <f>'REG y VAL POE - AESR - ESR'!AR205</f>
        <v>0</v>
      </c>
      <c r="BSC5" s="29">
        <f>'REG y VAL POE - AESR - ESR'!AS205</f>
        <v>0</v>
      </c>
      <c r="BSD5" s="29">
        <f>'REG y VAL POE - AESR - ESR'!B206</f>
        <v>0</v>
      </c>
      <c r="BSE5" s="28">
        <f>'REG y VAL POE - AESR - ESR'!C206</f>
        <v>0</v>
      </c>
      <c r="BSF5" s="29">
        <f>'REG y VAL POE - AESR - ESR'!D206</f>
        <v>0</v>
      </c>
      <c r="BSG5" s="29">
        <f>'REG y VAL POE - AESR - ESR'!E206</f>
        <v>0</v>
      </c>
      <c r="BSH5" s="29">
        <f>'REG y VAL POE - AESR - ESR'!F206</f>
        <v>0</v>
      </c>
      <c r="BSI5" s="29">
        <f>'REG y VAL POE - AESR - ESR'!G206</f>
        <v>0</v>
      </c>
      <c r="BSJ5" s="29">
        <f>'REG y VAL POE - AESR - ESR'!H206</f>
        <v>0</v>
      </c>
      <c r="BSK5" s="28">
        <f>'REG y VAL POE - AESR - ESR'!I206</f>
        <v>0</v>
      </c>
      <c r="BSL5" s="29">
        <f>'REG y VAL POE - AESR - ESR'!J206</f>
        <v>0</v>
      </c>
      <c r="BSM5" s="29">
        <f>'REG y VAL POE - AESR - ESR'!K206</f>
        <v>0</v>
      </c>
      <c r="BSN5" s="28">
        <f>'REG y VAL POE - AESR - ESR'!L206</f>
        <v>0</v>
      </c>
      <c r="BSO5" s="29">
        <f>'REG y VAL POE - AESR - ESR'!M206</f>
        <v>0</v>
      </c>
      <c r="BSP5" s="30">
        <f>'REG y VAL POE - AESR - ESR'!N206</f>
        <v>0</v>
      </c>
      <c r="BSQ5" s="28">
        <f>'REG y VAL POE - AESR - ESR'!O206</f>
        <v>0</v>
      </c>
      <c r="BSR5" s="29">
        <f>'REG y VAL POE - AESR - ESR'!P206</f>
        <v>0</v>
      </c>
      <c r="BSS5" s="29">
        <f>'REG y VAL POE - AESR - ESR'!Q206</f>
        <v>0</v>
      </c>
      <c r="BST5" s="29">
        <f>'REG y VAL POE - AESR - ESR'!R206</f>
        <v>0</v>
      </c>
      <c r="BSU5" s="28">
        <f>'REG y VAL POE - AESR - ESR'!S206</f>
        <v>0</v>
      </c>
      <c r="BSV5" s="29">
        <f>'REG y VAL POE - AESR - ESR'!T206</f>
        <v>0</v>
      </c>
      <c r="BSW5" s="29">
        <f>'REG y VAL POE - AESR - ESR'!U206</f>
        <v>0</v>
      </c>
      <c r="BSX5" s="28">
        <f>'REG y VAL POE - AESR - ESR'!V206</f>
        <v>0</v>
      </c>
      <c r="BSY5" s="29">
        <f>'REG y VAL POE - AESR - ESR'!W206</f>
        <v>0</v>
      </c>
      <c r="BSZ5" s="30">
        <f>'REG y VAL POE - AESR - ESR'!X206</f>
        <v>0</v>
      </c>
      <c r="BTA5" s="28">
        <f>'REG y VAL POE - AESR - ESR'!Y206</f>
        <v>0</v>
      </c>
      <c r="BTB5" s="29">
        <f>'REG y VAL POE - AESR - ESR'!Z206</f>
        <v>0</v>
      </c>
      <c r="BTC5" s="29">
        <f>'REG y VAL POE - AESR - ESR'!AA206</f>
        <v>0</v>
      </c>
      <c r="BTD5" s="29">
        <f>'REG y VAL POE - AESR - ESR'!AB206</f>
        <v>0</v>
      </c>
      <c r="BTE5" s="28">
        <f>'REG y VAL POE - AESR - ESR'!AC206</f>
        <v>0</v>
      </c>
      <c r="BTF5" s="29">
        <f>'REG y VAL POE - AESR - ESR'!AD206</f>
        <v>0</v>
      </c>
      <c r="BTG5" s="29">
        <f>'REG y VAL POE - AESR - ESR'!AE206</f>
        <v>0</v>
      </c>
      <c r="BTH5" s="29">
        <f>'REG y VAL POE - AESR - ESR'!AF206</f>
        <v>0</v>
      </c>
      <c r="BTI5" s="29">
        <f>'REG y VAL POE - AESR - ESR'!AG206</f>
        <v>0</v>
      </c>
      <c r="BTJ5" s="29">
        <f>'REG y VAL POE - AESR - ESR'!AH206</f>
        <v>0</v>
      </c>
      <c r="BTK5" s="28">
        <f>'REG y VAL POE - AESR - ESR'!AI206</f>
        <v>0</v>
      </c>
      <c r="BTL5" s="29">
        <f>'REG y VAL POE - AESR - ESR'!AJ206</f>
        <v>0</v>
      </c>
      <c r="BTM5" s="29">
        <f>'REG y VAL POE - AESR - ESR'!AK206</f>
        <v>0</v>
      </c>
      <c r="BTN5" s="28">
        <f>'REG y VAL POE - AESR - ESR'!AL206</f>
        <v>0</v>
      </c>
      <c r="BTO5" s="29">
        <f>'REG y VAL POE - AESR - ESR'!AM206</f>
        <v>0</v>
      </c>
      <c r="BTP5" s="30">
        <f>'REG y VAL POE - AESR - ESR'!AN206</f>
        <v>0</v>
      </c>
      <c r="BTQ5" s="28">
        <f>'REG y VAL POE - AESR - ESR'!AO206</f>
        <v>0</v>
      </c>
      <c r="BTR5" s="29">
        <f>'REG y VAL POE - AESR - ESR'!AP206</f>
        <v>0</v>
      </c>
      <c r="BTS5" s="29">
        <f>'REG y VAL POE - AESR - ESR'!AQ206</f>
        <v>0</v>
      </c>
      <c r="BTT5" s="29">
        <f>'REG y VAL POE - AESR - ESR'!AR206</f>
        <v>0</v>
      </c>
      <c r="BTU5" s="28">
        <f>'REG y VAL POE - AESR - ESR'!AS206</f>
        <v>0</v>
      </c>
      <c r="BTV5" s="29">
        <f>'REG y VAL POE - AESR - ESR'!B207</f>
        <v>0</v>
      </c>
      <c r="BTW5" s="29">
        <f>'REG y VAL POE - AESR - ESR'!C207</f>
        <v>0</v>
      </c>
      <c r="BTX5" s="28">
        <f>'REG y VAL POE - AESR - ESR'!D207</f>
        <v>0</v>
      </c>
      <c r="BTY5" s="29">
        <f>'REG y VAL POE - AESR - ESR'!E207</f>
        <v>0</v>
      </c>
      <c r="BTZ5" s="30">
        <f>'REG y VAL POE - AESR - ESR'!F207</f>
        <v>0</v>
      </c>
      <c r="BUA5" s="28">
        <f>'REG y VAL POE - AESR - ESR'!G207</f>
        <v>0</v>
      </c>
      <c r="BUB5" s="29">
        <f>'REG y VAL POE - AESR - ESR'!H207</f>
        <v>0</v>
      </c>
      <c r="BUC5" s="29">
        <f>'REG y VAL POE - AESR - ESR'!I207</f>
        <v>0</v>
      </c>
      <c r="BUD5" s="29">
        <f>'REG y VAL POE - AESR - ESR'!J207</f>
        <v>0</v>
      </c>
      <c r="BUE5" s="28">
        <f>'REG y VAL POE - AESR - ESR'!K207</f>
        <v>0</v>
      </c>
      <c r="BUF5" s="29">
        <f>'REG y VAL POE - AESR - ESR'!L207</f>
        <v>0</v>
      </c>
      <c r="BUG5" s="29">
        <f>'REG y VAL POE - AESR - ESR'!M207</f>
        <v>0</v>
      </c>
      <c r="BUH5" s="29">
        <f>'REG y VAL POE - AESR - ESR'!N207</f>
        <v>0</v>
      </c>
      <c r="BUI5" s="29">
        <f>'REG y VAL POE - AESR - ESR'!O207</f>
        <v>0</v>
      </c>
      <c r="BUJ5" s="29">
        <f>'REG y VAL POE - AESR - ESR'!P207</f>
        <v>0</v>
      </c>
      <c r="BUK5" s="28">
        <f>'REG y VAL POE - AESR - ESR'!Q207</f>
        <v>0</v>
      </c>
      <c r="BUL5" s="29">
        <f>'REG y VAL POE - AESR - ESR'!R207</f>
        <v>0</v>
      </c>
      <c r="BUM5" s="29">
        <f>'REG y VAL POE - AESR - ESR'!S207</f>
        <v>0</v>
      </c>
      <c r="BUN5" s="28">
        <f>'REG y VAL POE - AESR - ESR'!T207</f>
        <v>0</v>
      </c>
      <c r="BUO5" s="29">
        <f>'REG y VAL POE - AESR - ESR'!U207</f>
        <v>0</v>
      </c>
      <c r="BUP5" s="30">
        <f>'REG y VAL POE - AESR - ESR'!V207</f>
        <v>0</v>
      </c>
      <c r="BUQ5" s="28">
        <f>'REG y VAL POE - AESR - ESR'!W207</f>
        <v>0</v>
      </c>
      <c r="BUR5" s="29">
        <f>'REG y VAL POE - AESR - ESR'!X207</f>
        <v>0</v>
      </c>
      <c r="BUS5" s="29">
        <f>'REG y VAL POE - AESR - ESR'!Y207</f>
        <v>0</v>
      </c>
      <c r="BUT5" s="29">
        <f>'REG y VAL POE - AESR - ESR'!Z207</f>
        <v>0</v>
      </c>
      <c r="BUU5" s="28">
        <f>'REG y VAL POE - AESR - ESR'!AA207</f>
        <v>0</v>
      </c>
      <c r="BUV5" s="29">
        <f>'REG y VAL POE - AESR - ESR'!AB207</f>
        <v>0</v>
      </c>
      <c r="BUW5" s="29">
        <f>'REG y VAL POE - AESR - ESR'!AC207</f>
        <v>0</v>
      </c>
      <c r="BUX5" s="28">
        <f>'REG y VAL POE - AESR - ESR'!AD207</f>
        <v>0</v>
      </c>
      <c r="BUY5" s="29">
        <f>'REG y VAL POE - AESR - ESR'!AE207</f>
        <v>0</v>
      </c>
      <c r="BUZ5" s="30">
        <f>'REG y VAL POE - AESR - ESR'!AF207</f>
        <v>0</v>
      </c>
      <c r="BVA5" s="28">
        <f>'REG y VAL POE - AESR - ESR'!AG207</f>
        <v>0</v>
      </c>
      <c r="BVB5" s="29">
        <f>'REG y VAL POE - AESR - ESR'!AH207</f>
        <v>0</v>
      </c>
      <c r="BVC5" s="29">
        <f>'REG y VAL POE - AESR - ESR'!AI207</f>
        <v>0</v>
      </c>
      <c r="BVD5" s="29">
        <f>'REG y VAL POE - AESR - ESR'!AJ207</f>
        <v>0</v>
      </c>
      <c r="BVE5" s="28">
        <f>'REG y VAL POE - AESR - ESR'!AK207</f>
        <v>0</v>
      </c>
      <c r="BVF5" s="29">
        <f>'REG y VAL POE - AESR - ESR'!AL207</f>
        <v>0</v>
      </c>
      <c r="BVG5" s="29">
        <f>'REG y VAL POE - AESR - ESR'!AM207</f>
        <v>0</v>
      </c>
      <c r="BVH5" s="29">
        <f>'REG y VAL POE - AESR - ESR'!AN207</f>
        <v>0</v>
      </c>
      <c r="BVI5" s="29">
        <f>'REG y VAL POE - AESR - ESR'!AO207</f>
        <v>0</v>
      </c>
      <c r="BVJ5" s="29">
        <f>'REG y VAL POE - AESR - ESR'!AP207</f>
        <v>0</v>
      </c>
      <c r="BVK5" s="28">
        <f>'REG y VAL POE - AESR - ESR'!AQ207</f>
        <v>0</v>
      </c>
      <c r="BVL5" s="29">
        <f>'REG y VAL POE - AESR - ESR'!AR207</f>
        <v>0</v>
      </c>
      <c r="BVM5" s="29">
        <f>'REG y VAL POE - AESR - ESR'!AS207</f>
        <v>0</v>
      </c>
      <c r="BVN5" s="28">
        <f>'REG y VAL POE - AESR - ESR'!B208</f>
        <v>0</v>
      </c>
      <c r="BVO5" s="29">
        <f>'REG y VAL POE - AESR - ESR'!C208</f>
        <v>0</v>
      </c>
      <c r="BVP5" s="30">
        <f>'REG y VAL POE - AESR - ESR'!D208</f>
        <v>0</v>
      </c>
      <c r="BVQ5" s="28">
        <f>'REG y VAL POE - AESR - ESR'!E208</f>
        <v>0</v>
      </c>
      <c r="BVR5" s="29">
        <f>'REG y VAL POE - AESR - ESR'!F208</f>
        <v>0</v>
      </c>
      <c r="BVS5" s="29">
        <f>'REG y VAL POE - AESR - ESR'!G208</f>
        <v>0</v>
      </c>
      <c r="BVT5" s="29">
        <f>'REG y VAL POE - AESR - ESR'!H208</f>
        <v>0</v>
      </c>
      <c r="BVU5" s="28">
        <f>'REG y VAL POE - AESR - ESR'!I208</f>
        <v>0</v>
      </c>
      <c r="BVV5" s="29">
        <f>'REG y VAL POE - AESR - ESR'!J208</f>
        <v>0</v>
      </c>
      <c r="BVW5" s="29">
        <f>'REG y VAL POE - AESR - ESR'!K208</f>
        <v>0</v>
      </c>
      <c r="BVX5" s="28">
        <f>'REG y VAL POE - AESR - ESR'!L208</f>
        <v>0</v>
      </c>
      <c r="BVY5" s="29">
        <f>'REG y VAL POE - AESR - ESR'!M208</f>
        <v>0</v>
      </c>
      <c r="BVZ5" s="30">
        <f>'REG y VAL POE - AESR - ESR'!N208</f>
        <v>0</v>
      </c>
      <c r="BWA5" s="28">
        <f>'REG y VAL POE - AESR - ESR'!O208</f>
        <v>0</v>
      </c>
      <c r="BWB5" s="29">
        <f>'REG y VAL POE - AESR - ESR'!P208</f>
        <v>0</v>
      </c>
      <c r="BWC5" s="29">
        <f>'REG y VAL POE - AESR - ESR'!Q208</f>
        <v>0</v>
      </c>
      <c r="BWD5" s="29">
        <f>'REG y VAL POE - AESR - ESR'!R208</f>
        <v>0</v>
      </c>
      <c r="BWE5" s="28">
        <f>'REG y VAL POE - AESR - ESR'!S208</f>
        <v>0</v>
      </c>
      <c r="BWF5" s="29">
        <f>'REG y VAL POE - AESR - ESR'!T208</f>
        <v>0</v>
      </c>
      <c r="BWG5" s="29">
        <f>'REG y VAL POE - AESR - ESR'!U208</f>
        <v>0</v>
      </c>
      <c r="BWH5" s="29">
        <f>'REG y VAL POE - AESR - ESR'!V208</f>
        <v>0</v>
      </c>
      <c r="BWI5" s="29">
        <f>'REG y VAL POE - AESR - ESR'!W208</f>
        <v>0</v>
      </c>
      <c r="BWJ5" s="29">
        <f>'REG y VAL POE - AESR - ESR'!X208</f>
        <v>0</v>
      </c>
      <c r="BWK5" s="28">
        <f>'REG y VAL POE - AESR - ESR'!Y208</f>
        <v>0</v>
      </c>
      <c r="BWL5" s="29">
        <f>'REG y VAL POE - AESR - ESR'!Z208</f>
        <v>0</v>
      </c>
      <c r="BWM5" s="29">
        <f>'REG y VAL POE - AESR - ESR'!AA208</f>
        <v>0</v>
      </c>
      <c r="BWN5" s="28">
        <f>'REG y VAL POE - AESR - ESR'!AB208</f>
        <v>0</v>
      </c>
      <c r="BWO5" s="29">
        <f>'REG y VAL POE - AESR - ESR'!AC208</f>
        <v>0</v>
      </c>
      <c r="BWP5" s="30">
        <f>'REG y VAL POE - AESR - ESR'!AD208</f>
        <v>0</v>
      </c>
      <c r="BWQ5" s="28">
        <f>'REG y VAL POE - AESR - ESR'!AE208</f>
        <v>0</v>
      </c>
      <c r="BWR5" s="29">
        <f>'REG y VAL POE - AESR - ESR'!AF208</f>
        <v>0</v>
      </c>
      <c r="BWS5" s="29">
        <f>'REG y VAL POE - AESR - ESR'!AG208</f>
        <v>0</v>
      </c>
      <c r="BWT5" s="29">
        <f>'REG y VAL POE - AESR - ESR'!AH208</f>
        <v>0</v>
      </c>
      <c r="BWU5" s="28">
        <f>'REG y VAL POE - AESR - ESR'!AI208</f>
        <v>0</v>
      </c>
      <c r="BWV5" s="29">
        <f>'REG y VAL POE - AESR - ESR'!AJ208</f>
        <v>0</v>
      </c>
      <c r="BWW5" s="29">
        <f>'REG y VAL POE - AESR - ESR'!AK208</f>
        <v>0</v>
      </c>
      <c r="BWX5" s="28">
        <f>'REG y VAL POE - AESR - ESR'!AL208</f>
        <v>0</v>
      </c>
      <c r="BWY5" s="29">
        <f>'REG y VAL POE - AESR - ESR'!AM208</f>
        <v>0</v>
      </c>
      <c r="BWZ5" s="30">
        <f>'REG y VAL POE - AESR - ESR'!AN208</f>
        <v>0</v>
      </c>
      <c r="BXA5" s="28">
        <f>'REG y VAL POE - AESR - ESR'!AO208</f>
        <v>0</v>
      </c>
      <c r="BXB5" s="29">
        <f>'REG y VAL POE - AESR - ESR'!AP208</f>
        <v>0</v>
      </c>
      <c r="BXC5" s="29">
        <f>'REG y VAL POE - AESR - ESR'!AQ208</f>
        <v>0</v>
      </c>
      <c r="BXD5" s="29">
        <f>'REG y VAL POE - AESR - ESR'!AR208</f>
        <v>0</v>
      </c>
      <c r="BXE5" s="28">
        <f>'REG y VAL POE - AESR - ESR'!AS208</f>
        <v>0</v>
      </c>
      <c r="BXF5" s="29">
        <f>'REG y VAL POE - AESR - ESR'!B209</f>
        <v>0</v>
      </c>
      <c r="BXG5" s="29">
        <f>'REG y VAL POE - AESR - ESR'!C209</f>
        <v>0</v>
      </c>
      <c r="BXH5" s="29">
        <f>'REG y VAL POE - AESR - ESR'!D209</f>
        <v>0</v>
      </c>
      <c r="BXI5" s="29">
        <f>'REG y VAL POE - AESR - ESR'!E209</f>
        <v>0</v>
      </c>
      <c r="BXJ5" s="29">
        <f>'REG y VAL POE - AESR - ESR'!F209</f>
        <v>0</v>
      </c>
      <c r="BXK5" s="28">
        <f>'REG y VAL POE - AESR - ESR'!G209</f>
        <v>0</v>
      </c>
      <c r="BXL5" s="29">
        <f>'REG y VAL POE - AESR - ESR'!H209</f>
        <v>0</v>
      </c>
      <c r="BXM5" s="29">
        <f>'REG y VAL POE - AESR - ESR'!I209</f>
        <v>0</v>
      </c>
      <c r="BXN5" s="28">
        <f>'REG y VAL POE - AESR - ESR'!J209</f>
        <v>0</v>
      </c>
      <c r="BXO5" s="29">
        <f>'REG y VAL POE - AESR - ESR'!K209</f>
        <v>0</v>
      </c>
      <c r="BXP5" s="30">
        <f>'REG y VAL POE - AESR - ESR'!L209</f>
        <v>0</v>
      </c>
      <c r="BXQ5" s="28">
        <f>'REG y VAL POE - AESR - ESR'!M209</f>
        <v>0</v>
      </c>
      <c r="BXR5" s="29">
        <f>'REG y VAL POE - AESR - ESR'!N209</f>
        <v>0</v>
      </c>
      <c r="BXS5" s="29">
        <f>'REG y VAL POE - AESR - ESR'!O209</f>
        <v>0</v>
      </c>
      <c r="BXT5" s="29">
        <f>'REG y VAL POE - AESR - ESR'!P209</f>
        <v>0</v>
      </c>
      <c r="BXU5" s="28">
        <f>'REG y VAL POE - AESR - ESR'!Q209</f>
        <v>0</v>
      </c>
      <c r="BXV5" s="29">
        <f>'REG y VAL POE - AESR - ESR'!R209</f>
        <v>0</v>
      </c>
      <c r="BXW5" s="29">
        <f>'REG y VAL POE - AESR - ESR'!S209</f>
        <v>0</v>
      </c>
      <c r="BXX5" s="28">
        <f>'REG y VAL POE - AESR - ESR'!T209</f>
        <v>0</v>
      </c>
      <c r="BXY5" s="29">
        <f>'REG y VAL POE - AESR - ESR'!U209</f>
        <v>0</v>
      </c>
      <c r="BXZ5" s="30">
        <f>'REG y VAL POE - AESR - ESR'!V209</f>
        <v>0</v>
      </c>
      <c r="BYA5" s="28">
        <f>'REG y VAL POE - AESR - ESR'!W209</f>
        <v>0</v>
      </c>
      <c r="BYB5" s="29">
        <f>'REG y VAL POE - AESR - ESR'!X209</f>
        <v>0</v>
      </c>
      <c r="BYC5" s="29">
        <f>'REG y VAL POE - AESR - ESR'!Y209</f>
        <v>0</v>
      </c>
      <c r="BYD5" s="29">
        <f>'REG y VAL POE - AESR - ESR'!Z209</f>
        <v>0</v>
      </c>
      <c r="BYE5" s="28">
        <f>'REG y VAL POE - AESR - ESR'!AA209</f>
        <v>0</v>
      </c>
      <c r="BYF5" s="29">
        <f>'REG y VAL POE - AESR - ESR'!AB209</f>
        <v>0</v>
      </c>
      <c r="BYG5" s="29">
        <f>'REG y VAL POE - AESR - ESR'!AC209</f>
        <v>0</v>
      </c>
      <c r="BYH5" s="29">
        <f>'REG y VAL POE - AESR - ESR'!AD209</f>
        <v>0</v>
      </c>
      <c r="BYI5" s="29">
        <f>'REG y VAL POE - AESR - ESR'!AE209</f>
        <v>0</v>
      </c>
      <c r="BYJ5" s="29">
        <f>'REG y VAL POE - AESR - ESR'!AF209</f>
        <v>0</v>
      </c>
      <c r="BYK5" s="28">
        <f>'REG y VAL POE - AESR - ESR'!AG209</f>
        <v>0</v>
      </c>
      <c r="BYL5" s="29">
        <f>'REG y VAL POE - AESR - ESR'!AH209</f>
        <v>0</v>
      </c>
      <c r="BYM5" s="29">
        <f>'REG y VAL POE - AESR - ESR'!AI209</f>
        <v>0</v>
      </c>
      <c r="BYN5" s="28">
        <f>'REG y VAL POE - AESR - ESR'!AJ209</f>
        <v>0</v>
      </c>
      <c r="BYO5" s="29">
        <f>'REG y VAL POE - AESR - ESR'!AK209</f>
        <v>0</v>
      </c>
      <c r="BYP5" s="30">
        <f>'REG y VAL POE - AESR - ESR'!AL209</f>
        <v>0</v>
      </c>
      <c r="BYQ5" s="28">
        <f>'REG y VAL POE - AESR - ESR'!AM209</f>
        <v>0</v>
      </c>
      <c r="BYR5" s="29">
        <f>'REG y VAL POE - AESR - ESR'!AN209</f>
        <v>0</v>
      </c>
      <c r="BYS5" s="29">
        <f>'REG y VAL POE - AESR - ESR'!AO209</f>
        <v>0</v>
      </c>
      <c r="BYT5" s="29">
        <f>'REG y VAL POE - AESR - ESR'!AP209</f>
        <v>0</v>
      </c>
      <c r="BYU5" s="28">
        <f>'REG y VAL POE - AESR - ESR'!AQ209</f>
        <v>0</v>
      </c>
      <c r="BYV5" s="29">
        <f>'REG y VAL POE - AESR - ESR'!AR209</f>
        <v>0</v>
      </c>
      <c r="BYW5" s="29">
        <f>'REG y VAL POE - AESR - ESR'!AS209</f>
        <v>0</v>
      </c>
      <c r="BYX5" s="30">
        <f>'REG y VAL POE - AESR - ESR'!B210</f>
        <v>0</v>
      </c>
      <c r="BYY5" s="29">
        <f>'REG y VAL POE - AESR - ESR'!C210</f>
        <v>0</v>
      </c>
      <c r="BYZ5" s="28">
        <f>'REG y VAL POE - AESR - ESR'!D210</f>
        <v>0</v>
      </c>
      <c r="BZA5" s="29">
        <f>'REG y VAL POE - AESR - ESR'!E210</f>
        <v>0</v>
      </c>
      <c r="BZB5" s="28">
        <f>'REG y VAL POE - AESR - ESR'!F210</f>
        <v>0</v>
      </c>
      <c r="BZC5" s="28">
        <f>'REG y VAL POE - AESR - ESR'!G210</f>
        <v>0</v>
      </c>
      <c r="BZD5" s="28">
        <f>'REG y VAL POE - AESR - ESR'!H210</f>
        <v>0</v>
      </c>
      <c r="BZE5" s="29">
        <f>'REG y VAL POE - AESR - ESR'!I210</f>
        <v>0</v>
      </c>
      <c r="BZF5" s="388">
        <f>'REG y VAL POE - AESR - ESR'!J210</f>
        <v>0</v>
      </c>
      <c r="BZG5" s="29">
        <f>'REG y VAL POE - AESR - ESR'!K210</f>
        <v>0</v>
      </c>
      <c r="BZH5" s="388">
        <f>'REG y VAL POE - AESR - ESR'!L210</f>
        <v>0</v>
      </c>
      <c r="BZI5" s="29">
        <f>'REG y VAL POE - AESR - ESR'!M210</f>
        <v>0</v>
      </c>
      <c r="BZJ5" s="388">
        <f>'REG y VAL POE - AESR - ESR'!N210</f>
        <v>0</v>
      </c>
      <c r="BZK5" s="29">
        <f>'REG y VAL POE - AESR - ESR'!O210</f>
        <v>0</v>
      </c>
      <c r="BZL5" s="29">
        <f>'REG y VAL POE - AESR - ESR'!P210</f>
        <v>0</v>
      </c>
      <c r="BZM5" s="29">
        <f>'REG y VAL POE - AESR - ESR'!Q210</f>
        <v>0</v>
      </c>
      <c r="BZN5" s="29">
        <f>'REG y VAL POE - AESR - ESR'!R210</f>
        <v>0</v>
      </c>
      <c r="BZO5" s="29">
        <f>'REG y VAL POE - AESR - ESR'!S210</f>
        <v>0</v>
      </c>
      <c r="BZP5" s="29">
        <f>'REG y VAL POE - AESR - ESR'!T210</f>
        <v>0</v>
      </c>
      <c r="BZQ5" s="29">
        <f>'REG y VAL POE - AESR - ESR'!U210</f>
        <v>0</v>
      </c>
      <c r="BZR5" s="29">
        <f>'REG y VAL POE - AESR - ESR'!V210</f>
        <v>0</v>
      </c>
      <c r="BZS5" s="29">
        <f>'REG y VAL POE - AESR - ESR'!W210</f>
        <v>0</v>
      </c>
      <c r="BZT5" s="29">
        <f>'REG y VAL POE - AESR - ESR'!X210</f>
        <v>0</v>
      </c>
      <c r="BZU5" s="29">
        <f>'REG y VAL POE - AESR - ESR'!Y210</f>
        <v>0</v>
      </c>
      <c r="BZV5" s="29">
        <f>'REG y VAL POE - AESR - ESR'!Z210</f>
        <v>0</v>
      </c>
      <c r="BZW5" s="29">
        <f>'REG y VAL POE - AESR - ESR'!AA210</f>
        <v>0</v>
      </c>
      <c r="BZX5" s="29">
        <f>'REG y VAL POE - AESR - ESR'!AB210</f>
        <v>0</v>
      </c>
      <c r="BZY5" s="29">
        <f>'REG y VAL POE - AESR - ESR'!AC210</f>
        <v>0</v>
      </c>
      <c r="BZZ5" s="29">
        <f>'REG y VAL POE - AESR - ESR'!AD210</f>
        <v>0</v>
      </c>
      <c r="CAA5" s="29">
        <f>'REG y VAL POE - AESR - ESR'!AE210</f>
        <v>0</v>
      </c>
      <c r="CAB5" s="29">
        <f>'REG y VAL POE - AESR - ESR'!AF210</f>
        <v>0</v>
      </c>
      <c r="CAC5" s="29">
        <f>'REG y VAL POE - AESR - ESR'!AG210</f>
        <v>0</v>
      </c>
      <c r="CAD5" s="29">
        <f>'REG y VAL POE - AESR - ESR'!AH210</f>
        <v>0</v>
      </c>
      <c r="CAE5" s="29">
        <f>'REG y VAL POE - AESR - ESR'!AI210</f>
        <v>0</v>
      </c>
      <c r="CAF5" s="29">
        <f>'REG y VAL POE - AESR - ESR'!AJ210</f>
        <v>0</v>
      </c>
      <c r="CAG5" s="29">
        <f>'REG y VAL POE - AESR - ESR'!AK210</f>
        <v>0</v>
      </c>
      <c r="CAH5" s="29">
        <f>'REG y VAL POE - AESR - ESR'!AL210</f>
        <v>0</v>
      </c>
      <c r="CAI5" s="29">
        <f>'REG y VAL POE - AESR - ESR'!AM210</f>
        <v>0</v>
      </c>
      <c r="CAJ5" s="29">
        <f>'REG y VAL POE - AESR - ESR'!AN210</f>
        <v>0</v>
      </c>
      <c r="CAK5" s="29">
        <f>'REG y VAL POE - AESR - ESR'!AO210</f>
        <v>0</v>
      </c>
      <c r="CAL5" s="29">
        <f>'REG y VAL POE - AESR - ESR'!AP210</f>
        <v>0</v>
      </c>
      <c r="CAM5" s="29">
        <f>'REG y VAL POE - AESR - ESR'!AQ210</f>
        <v>0</v>
      </c>
      <c r="CAN5" s="29">
        <f>'REG y VAL POE - AESR - ESR'!AR210</f>
        <v>0</v>
      </c>
      <c r="CAO5" s="29">
        <f>'REG y VAL POE - AESR - ESR'!AS210</f>
        <v>0</v>
      </c>
      <c r="CAP5" s="30">
        <f>'REG y VAL POE - AESR - ESR'!B211</f>
        <v>0</v>
      </c>
      <c r="CAQ5" s="28">
        <f>'REG y VAL POE - AESR - ESR'!C211</f>
        <v>0</v>
      </c>
      <c r="CAR5" s="29">
        <f>'REG y VAL POE - AESR - ESR'!D211</f>
        <v>0</v>
      </c>
      <c r="CAS5" s="29">
        <f>'REG y VAL POE - AESR - ESR'!E211</f>
        <v>0</v>
      </c>
      <c r="CAT5" s="32">
        <f>'REG y VAL POE - AESR - ESR'!F211</f>
        <v>0</v>
      </c>
      <c r="CAU5" s="32">
        <f>'REG y VAL POE - AESR - ESR'!G211</f>
        <v>0</v>
      </c>
      <c r="CAV5" s="32">
        <f>'REG y VAL POE - AESR - ESR'!H211</f>
        <v>0</v>
      </c>
      <c r="CAW5" s="28">
        <f>'REG y VAL POE - AESR - ESR'!I211</f>
        <v>0</v>
      </c>
      <c r="CAX5" s="29">
        <f>'REG y VAL POE - AESR - ESR'!J211</f>
        <v>0</v>
      </c>
      <c r="CAY5" s="29">
        <f>'REG y VAL POE - AESR - ESR'!K211</f>
        <v>0</v>
      </c>
      <c r="CAZ5" s="28">
        <f>'REG y VAL POE - AESR - ESR'!L211</f>
        <v>0</v>
      </c>
      <c r="CBA5" s="29">
        <f>'REG y VAL POE - AESR - ESR'!M211</f>
        <v>0</v>
      </c>
      <c r="CBB5" s="30">
        <f>'REG y VAL POE - AESR - ESR'!N211</f>
        <v>0</v>
      </c>
      <c r="CBC5" s="28">
        <f>'REG y VAL POE - AESR - ESR'!O211</f>
        <v>0</v>
      </c>
      <c r="CBD5" s="29">
        <f>'REG y VAL POE - AESR - ESR'!P211</f>
        <v>0</v>
      </c>
      <c r="CBE5" s="29">
        <f>'REG y VAL POE - AESR - ESR'!Q211</f>
        <v>0</v>
      </c>
      <c r="CBF5" s="32">
        <f>'REG y VAL POE - AESR - ESR'!R211</f>
        <v>0</v>
      </c>
      <c r="CBG5" s="28">
        <f>'REG y VAL POE - AESR - ESR'!S211</f>
        <v>0</v>
      </c>
      <c r="CBH5" s="29">
        <f>'REG y VAL POE - AESR - ESR'!T211</f>
        <v>0</v>
      </c>
      <c r="CBI5" s="29">
        <f>'REG y VAL POE - AESR - ESR'!U211</f>
        <v>0</v>
      </c>
      <c r="CBJ5" s="28">
        <f>'REG y VAL POE - AESR - ESR'!V211</f>
        <v>0</v>
      </c>
      <c r="CBK5" s="29">
        <f>'REG y VAL POE - AESR - ESR'!W211</f>
        <v>0</v>
      </c>
      <c r="CBL5" s="30">
        <f>'REG y VAL POE - AESR - ESR'!X211</f>
        <v>0</v>
      </c>
      <c r="CBM5" s="28">
        <f>'REG y VAL POE - AESR - ESR'!Y211</f>
        <v>0</v>
      </c>
      <c r="CBN5" s="29">
        <f>'REG y VAL POE - AESR - ESR'!Z211</f>
        <v>0</v>
      </c>
      <c r="CBO5" s="29">
        <f>'REG y VAL POE - AESR - ESR'!AA211</f>
        <v>0</v>
      </c>
      <c r="CBP5" s="32">
        <f>'REG y VAL POE - AESR - ESR'!AB211</f>
        <v>0</v>
      </c>
      <c r="CBQ5" s="28">
        <f>'REG y VAL POE - AESR - ESR'!AC211</f>
        <v>0</v>
      </c>
      <c r="CBR5" s="29">
        <f>'REG y VAL POE - AESR - ESR'!AD211</f>
        <v>0</v>
      </c>
      <c r="CBS5" s="29">
        <f>'REG y VAL POE - AESR - ESR'!AE211</f>
        <v>0</v>
      </c>
      <c r="CBT5" s="28">
        <f>'REG y VAL POE - AESR - ESR'!AF211</f>
        <v>0</v>
      </c>
      <c r="CBU5" s="29">
        <f>'REG y VAL POE - AESR - ESR'!AG211</f>
        <v>0</v>
      </c>
      <c r="CBV5" s="30">
        <f>'REG y VAL POE - AESR - ESR'!AH211</f>
        <v>0</v>
      </c>
      <c r="CBW5" s="28">
        <f>'REG y VAL POE - AESR - ESR'!AI211</f>
        <v>0</v>
      </c>
      <c r="CBX5" s="29">
        <f>'REG y VAL POE - AESR - ESR'!AJ211</f>
        <v>0</v>
      </c>
      <c r="CBY5" s="29">
        <f>'REG y VAL POE - AESR - ESR'!AK211</f>
        <v>0</v>
      </c>
      <c r="CBZ5" s="32">
        <f>'REG y VAL POE - AESR - ESR'!AL211</f>
        <v>0</v>
      </c>
      <c r="CCA5" s="28">
        <f>'REG y VAL POE - AESR - ESR'!AM211</f>
        <v>0</v>
      </c>
      <c r="CCB5" s="29">
        <f>'REG y VAL POE - AESR - ESR'!AN211</f>
        <v>0</v>
      </c>
      <c r="CCC5" s="29">
        <f>'REG y VAL POE - AESR - ESR'!AO211</f>
        <v>0</v>
      </c>
      <c r="CCD5" s="28">
        <f>'REG y VAL POE - AESR - ESR'!AP211</f>
        <v>0</v>
      </c>
      <c r="CCE5" s="29">
        <f>'REG y VAL POE - AESR - ESR'!AQ211</f>
        <v>0</v>
      </c>
      <c r="CCF5" s="30">
        <f>'REG y VAL POE - AESR - ESR'!AR211</f>
        <v>0</v>
      </c>
      <c r="CCG5" s="28">
        <f>'REG y VAL POE - AESR - ESR'!AS211</f>
        <v>0</v>
      </c>
      <c r="CCH5" s="30">
        <f>'REG y VAL POE - AESR - ESR'!B212</f>
        <v>0</v>
      </c>
      <c r="CCI5" s="29">
        <f>'REG y VAL POE - AESR - ESR'!C212</f>
        <v>0</v>
      </c>
      <c r="CCJ5" s="28">
        <f>'REG y VAL POE - AESR - ESR'!D212</f>
        <v>0</v>
      </c>
      <c r="CCK5" s="29">
        <f>'REG y VAL POE - AESR - ESR'!E212</f>
        <v>0</v>
      </c>
      <c r="CCL5" s="28">
        <f>'REG y VAL POE - AESR - ESR'!F212</f>
        <v>0</v>
      </c>
      <c r="CCM5" s="28">
        <f>'REG y VAL POE - AESR - ESR'!G212</f>
        <v>0</v>
      </c>
      <c r="CCN5" s="28">
        <f>'REG y VAL POE - AESR - ESR'!H212</f>
        <v>0</v>
      </c>
      <c r="CCO5" s="29">
        <f>'REG y VAL POE - AESR - ESR'!I212</f>
        <v>0</v>
      </c>
      <c r="CCP5" s="388">
        <f>'REG y VAL POE - AESR - ESR'!J212</f>
        <v>0</v>
      </c>
      <c r="CCQ5" s="29">
        <f>'REG y VAL POE - AESR - ESR'!K212</f>
        <v>0</v>
      </c>
      <c r="CCR5" s="388">
        <f>'REG y VAL POE - AESR - ESR'!L212</f>
        <v>0</v>
      </c>
      <c r="CCS5" s="29">
        <f>'REG y VAL POE - AESR - ESR'!M212</f>
        <v>0</v>
      </c>
      <c r="CCT5" s="388">
        <f>'REG y VAL POE - AESR - ESR'!N212</f>
        <v>0</v>
      </c>
      <c r="CCU5" s="29">
        <f>'REG y VAL POE - AESR - ESR'!O212</f>
        <v>0</v>
      </c>
      <c r="CCV5" s="29">
        <f>'REG y VAL POE - AESR - ESR'!P212</f>
        <v>0</v>
      </c>
      <c r="CCW5" s="29">
        <f>'REG y VAL POE - AESR - ESR'!Q212</f>
        <v>0</v>
      </c>
      <c r="CCX5" s="29">
        <f>'REG y VAL POE - AESR - ESR'!R212</f>
        <v>0</v>
      </c>
      <c r="CCY5" s="29">
        <f>'REG y VAL POE - AESR - ESR'!S212</f>
        <v>0</v>
      </c>
      <c r="CCZ5" s="29">
        <f>'REG y VAL POE - AESR - ESR'!T212</f>
        <v>0</v>
      </c>
      <c r="CDA5" s="29">
        <f>'REG y VAL POE - AESR - ESR'!U212</f>
        <v>0</v>
      </c>
      <c r="CDB5" s="29">
        <f>'REG y VAL POE - AESR - ESR'!V212</f>
        <v>0</v>
      </c>
      <c r="CDC5" s="29">
        <f>'REG y VAL POE - AESR - ESR'!W212</f>
        <v>0</v>
      </c>
      <c r="CDD5" s="29">
        <f>'REG y VAL POE - AESR - ESR'!X212</f>
        <v>0</v>
      </c>
      <c r="CDE5" s="29">
        <f>'REG y VAL POE - AESR - ESR'!Y212</f>
        <v>0</v>
      </c>
      <c r="CDF5" s="29">
        <f>'REG y VAL POE - AESR - ESR'!Z212</f>
        <v>0</v>
      </c>
      <c r="CDG5" s="29">
        <f>'REG y VAL POE - AESR - ESR'!AA212</f>
        <v>0</v>
      </c>
      <c r="CDH5" s="29">
        <f>'REG y VAL POE - AESR - ESR'!AB212</f>
        <v>0</v>
      </c>
      <c r="CDI5" s="29">
        <f>'REG y VAL POE - AESR - ESR'!AC212</f>
        <v>0</v>
      </c>
      <c r="CDJ5" s="29">
        <f>'REG y VAL POE - AESR - ESR'!AD212</f>
        <v>0</v>
      </c>
      <c r="CDK5" s="29">
        <f>'REG y VAL POE - AESR - ESR'!AE212</f>
        <v>0</v>
      </c>
      <c r="CDL5" s="29">
        <f>'REG y VAL POE - AESR - ESR'!AF212</f>
        <v>0</v>
      </c>
      <c r="CDM5" s="29">
        <f>'REG y VAL POE - AESR - ESR'!AG212</f>
        <v>0</v>
      </c>
      <c r="CDN5" s="29">
        <f>'REG y VAL POE - AESR - ESR'!AH212</f>
        <v>0</v>
      </c>
      <c r="CDO5" s="29">
        <f>'REG y VAL POE - AESR - ESR'!AI212</f>
        <v>0</v>
      </c>
      <c r="CDP5" s="29">
        <f>'REG y VAL POE - AESR - ESR'!AJ212</f>
        <v>0</v>
      </c>
      <c r="CDQ5" s="29">
        <f>'REG y VAL POE - AESR - ESR'!AK212</f>
        <v>0</v>
      </c>
      <c r="CDR5" s="29">
        <f>'REG y VAL POE - AESR - ESR'!AL212</f>
        <v>0</v>
      </c>
      <c r="CDS5" s="29">
        <f>'REG y VAL POE - AESR - ESR'!AM212</f>
        <v>0</v>
      </c>
      <c r="CDT5" s="29">
        <f>'REG y VAL POE - AESR - ESR'!AN212</f>
        <v>0</v>
      </c>
      <c r="CDU5" s="29">
        <f>'REG y VAL POE - AESR - ESR'!AO212</f>
        <v>0</v>
      </c>
      <c r="CDV5" s="29">
        <f>'REG y VAL POE - AESR - ESR'!AP212</f>
        <v>0</v>
      </c>
      <c r="CDW5" s="29">
        <f>'REG y VAL POE - AESR - ESR'!AQ212</f>
        <v>0</v>
      </c>
      <c r="CDX5" s="29">
        <f>'REG y VAL POE - AESR - ESR'!AR212</f>
        <v>0</v>
      </c>
      <c r="CDY5" s="29">
        <f>'REG y VAL POE - AESR - ESR'!AS212</f>
        <v>0</v>
      </c>
      <c r="CDZ5" s="30">
        <f>'REG y VAL POE - AESR - ESR'!B213</f>
        <v>0</v>
      </c>
      <c r="CEA5" s="28">
        <f>'REG y VAL POE - AESR - ESR'!C213</f>
        <v>0</v>
      </c>
      <c r="CEB5" s="29">
        <f>'REG y VAL POE - AESR - ESR'!D213</f>
        <v>0</v>
      </c>
      <c r="CEC5" s="29">
        <f>'REG y VAL POE - AESR - ESR'!E213</f>
        <v>0</v>
      </c>
      <c r="CED5" s="32">
        <f>'REG y VAL POE - AESR - ESR'!F213</f>
        <v>0</v>
      </c>
      <c r="CEE5" s="32">
        <f>'REG y VAL POE - AESR - ESR'!G213</f>
        <v>0</v>
      </c>
      <c r="CEF5" s="32">
        <f>'REG y VAL POE - AESR - ESR'!H213</f>
        <v>0</v>
      </c>
      <c r="CEG5" s="28">
        <f>'REG y VAL POE - AESR - ESR'!I213</f>
        <v>0</v>
      </c>
      <c r="CEH5" s="29">
        <f>'REG y VAL POE - AESR - ESR'!J213</f>
        <v>0</v>
      </c>
      <c r="CEI5" s="29">
        <f>'REG y VAL POE - AESR - ESR'!K213</f>
        <v>0</v>
      </c>
      <c r="CEJ5" s="28">
        <f>'REG y VAL POE - AESR - ESR'!L213</f>
        <v>0</v>
      </c>
      <c r="CEK5" s="29">
        <f>'REG y VAL POE - AESR - ESR'!M213</f>
        <v>0</v>
      </c>
      <c r="CEL5" s="30">
        <f>'REG y VAL POE - AESR - ESR'!N213</f>
        <v>0</v>
      </c>
      <c r="CEM5" s="28">
        <f>'REG y VAL POE - AESR - ESR'!O213</f>
        <v>0</v>
      </c>
      <c r="CEN5" s="29">
        <f>'REG y VAL POE - AESR - ESR'!P213</f>
        <v>0</v>
      </c>
      <c r="CEO5" s="29">
        <f>'REG y VAL POE - AESR - ESR'!Q213</f>
        <v>0</v>
      </c>
      <c r="CEP5" s="32">
        <f>'REG y VAL POE - AESR - ESR'!R213</f>
        <v>0</v>
      </c>
      <c r="CEQ5" s="28">
        <f>'REG y VAL POE - AESR - ESR'!S213</f>
        <v>0</v>
      </c>
      <c r="CER5" s="29">
        <f>'REG y VAL POE - AESR - ESR'!T213</f>
        <v>0</v>
      </c>
      <c r="CES5" s="29">
        <f>'REG y VAL POE - AESR - ESR'!U213</f>
        <v>0</v>
      </c>
      <c r="CET5" s="28">
        <f>'REG y VAL POE - AESR - ESR'!V213</f>
        <v>0</v>
      </c>
      <c r="CEU5" s="29">
        <f>'REG y VAL POE - AESR - ESR'!W213</f>
        <v>0</v>
      </c>
      <c r="CEV5" s="30">
        <f>'REG y VAL POE - AESR - ESR'!X213</f>
        <v>0</v>
      </c>
      <c r="CEW5" s="28">
        <f>'REG y VAL POE - AESR - ESR'!Y213</f>
        <v>0</v>
      </c>
      <c r="CEX5" s="29">
        <f>'REG y VAL POE - AESR - ESR'!Z213</f>
        <v>0</v>
      </c>
      <c r="CEY5" s="29">
        <f>'REG y VAL POE - AESR - ESR'!AA213</f>
        <v>0</v>
      </c>
      <c r="CEZ5" s="32">
        <f>'REG y VAL POE - AESR - ESR'!AB213</f>
        <v>0</v>
      </c>
      <c r="CFA5" s="28">
        <f>'REG y VAL POE - AESR - ESR'!AC213</f>
        <v>0</v>
      </c>
      <c r="CFB5" s="29">
        <f>'REG y VAL POE - AESR - ESR'!AD213</f>
        <v>0</v>
      </c>
      <c r="CFC5" s="29">
        <f>'REG y VAL POE - AESR - ESR'!AE213</f>
        <v>0</v>
      </c>
      <c r="CFD5" s="28">
        <f>'REG y VAL POE - AESR - ESR'!AF213</f>
        <v>0</v>
      </c>
      <c r="CFE5" s="29">
        <f>'REG y VAL POE - AESR - ESR'!AG213</f>
        <v>0</v>
      </c>
      <c r="CFF5" s="30">
        <f>'REG y VAL POE - AESR - ESR'!AH213</f>
        <v>0</v>
      </c>
      <c r="CFG5" s="28">
        <f>'REG y VAL POE - AESR - ESR'!AI213</f>
        <v>0</v>
      </c>
      <c r="CFH5" s="29">
        <f>'REG y VAL POE - AESR - ESR'!AJ213</f>
        <v>0</v>
      </c>
      <c r="CFI5" s="29">
        <f>'REG y VAL POE - AESR - ESR'!AK213</f>
        <v>0</v>
      </c>
      <c r="CFJ5" s="32">
        <f>'REG y VAL POE - AESR - ESR'!AL213</f>
        <v>0</v>
      </c>
      <c r="CFK5" s="28">
        <f>'REG y VAL POE - AESR - ESR'!AM213</f>
        <v>0</v>
      </c>
      <c r="CFL5" s="29">
        <f>'REG y VAL POE - AESR - ESR'!AN213</f>
        <v>0</v>
      </c>
      <c r="CFM5" s="29">
        <f>'REG y VAL POE - AESR - ESR'!AO213</f>
        <v>0</v>
      </c>
      <c r="CFN5" s="28">
        <f>'REG y VAL POE - AESR - ESR'!AP213</f>
        <v>0</v>
      </c>
      <c r="CFO5" s="29">
        <f>'REG y VAL POE - AESR - ESR'!AQ213</f>
        <v>0</v>
      </c>
      <c r="CFP5" s="30">
        <f>'REG y VAL POE - AESR - ESR'!AR213</f>
        <v>0</v>
      </c>
      <c r="CFQ5" s="28">
        <f>'REG y VAL POE - AESR - ESR'!AS213</f>
        <v>0</v>
      </c>
      <c r="CFR5" s="30">
        <f>'REG y VAL POE - AESR - ESR'!B214</f>
        <v>0</v>
      </c>
      <c r="CFS5" s="29">
        <f>'REG y VAL POE - AESR - ESR'!C214</f>
        <v>0</v>
      </c>
      <c r="CFT5" s="28">
        <f>'REG y VAL POE - AESR - ESR'!D214</f>
        <v>0</v>
      </c>
      <c r="CFU5" s="29">
        <f>'REG y VAL POE - AESR - ESR'!E214</f>
        <v>0</v>
      </c>
      <c r="CFV5" s="28">
        <f>'REG y VAL POE - AESR - ESR'!F214</f>
        <v>0</v>
      </c>
      <c r="CFW5" s="28">
        <f>'REG y VAL POE - AESR - ESR'!G214</f>
        <v>0</v>
      </c>
      <c r="CFX5" s="28">
        <f>'REG y VAL POE - AESR - ESR'!H214</f>
        <v>0</v>
      </c>
      <c r="CFY5" s="29">
        <f>'REG y VAL POE - AESR - ESR'!I214</f>
        <v>0</v>
      </c>
      <c r="CFZ5" s="388">
        <f>'REG y VAL POE - AESR - ESR'!J214</f>
        <v>0</v>
      </c>
      <c r="CGA5" s="29">
        <f>'REG y VAL POE - AESR - ESR'!K214</f>
        <v>0</v>
      </c>
      <c r="CGB5" s="388">
        <f>'REG y VAL POE - AESR - ESR'!L214</f>
        <v>0</v>
      </c>
      <c r="CGC5" s="29">
        <f>'REG y VAL POE - AESR - ESR'!M214</f>
        <v>0</v>
      </c>
      <c r="CGD5" s="388">
        <f>'REG y VAL POE - AESR - ESR'!N214</f>
        <v>0</v>
      </c>
      <c r="CGE5" s="29">
        <f>'REG y VAL POE - AESR - ESR'!O214</f>
        <v>0</v>
      </c>
      <c r="CGF5" s="29">
        <f>'REG y VAL POE - AESR - ESR'!P214</f>
        <v>0</v>
      </c>
      <c r="CGG5" s="29">
        <f>'REG y VAL POE - AESR - ESR'!Q214</f>
        <v>0</v>
      </c>
      <c r="CGH5" s="29">
        <f>'REG y VAL POE - AESR - ESR'!R214</f>
        <v>0</v>
      </c>
      <c r="CGI5" s="29">
        <f>'REG y VAL POE - AESR - ESR'!S214</f>
        <v>0</v>
      </c>
      <c r="CGJ5" s="29">
        <f>'REG y VAL POE - AESR - ESR'!T214</f>
        <v>0</v>
      </c>
      <c r="CGK5" s="29">
        <f>'REG y VAL POE - AESR - ESR'!U214</f>
        <v>0</v>
      </c>
      <c r="CGL5" s="29">
        <f>'REG y VAL POE - AESR - ESR'!V214</f>
        <v>0</v>
      </c>
      <c r="CGM5" s="29">
        <f>'REG y VAL POE - AESR - ESR'!W214</f>
        <v>0</v>
      </c>
      <c r="CGN5" s="29">
        <f>'REG y VAL POE - AESR - ESR'!X214</f>
        <v>0</v>
      </c>
      <c r="CGO5" s="29">
        <f>'REG y VAL POE - AESR - ESR'!Y214</f>
        <v>0</v>
      </c>
      <c r="CGP5" s="29">
        <f>'REG y VAL POE - AESR - ESR'!Z214</f>
        <v>0</v>
      </c>
      <c r="CGQ5" s="29">
        <f>'REG y VAL POE - AESR - ESR'!AA214</f>
        <v>0</v>
      </c>
      <c r="CGR5" s="29">
        <f>'REG y VAL POE - AESR - ESR'!AB214</f>
        <v>0</v>
      </c>
      <c r="CGS5" s="29">
        <f>'REG y VAL POE - AESR - ESR'!AC214</f>
        <v>0</v>
      </c>
      <c r="CGT5" s="29">
        <f>'REG y VAL POE - AESR - ESR'!AD214</f>
        <v>0</v>
      </c>
      <c r="CGU5" s="29">
        <f>'REG y VAL POE - AESR - ESR'!AE214</f>
        <v>0</v>
      </c>
      <c r="CGV5" s="29">
        <f>'REG y VAL POE - AESR - ESR'!AF214</f>
        <v>0</v>
      </c>
      <c r="CGW5" s="29">
        <f>'REG y VAL POE - AESR - ESR'!AG214</f>
        <v>0</v>
      </c>
      <c r="CGX5" s="29">
        <f>'REG y VAL POE - AESR - ESR'!AH214</f>
        <v>0</v>
      </c>
      <c r="CGY5" s="29">
        <f>'REG y VAL POE - AESR - ESR'!AI214</f>
        <v>0</v>
      </c>
      <c r="CGZ5" s="29">
        <f>'REG y VAL POE - AESR - ESR'!AJ214</f>
        <v>0</v>
      </c>
      <c r="CHA5" s="29">
        <f>'REG y VAL POE - AESR - ESR'!AK214</f>
        <v>0</v>
      </c>
      <c r="CHB5" s="29">
        <f>'REG y VAL POE - AESR - ESR'!AL214</f>
        <v>0</v>
      </c>
      <c r="CHC5" s="29">
        <f>'REG y VAL POE - AESR - ESR'!AM214</f>
        <v>0</v>
      </c>
      <c r="CHD5" s="29">
        <f>'REG y VAL POE - AESR - ESR'!AN214</f>
        <v>0</v>
      </c>
      <c r="CHE5" s="29">
        <f>'REG y VAL POE - AESR - ESR'!AO214</f>
        <v>0</v>
      </c>
      <c r="CHF5" s="29">
        <f>'REG y VAL POE - AESR - ESR'!AP214</f>
        <v>0</v>
      </c>
      <c r="CHG5" s="29">
        <f>'REG y VAL POE - AESR - ESR'!AQ214</f>
        <v>0</v>
      </c>
      <c r="CHH5" s="29">
        <f>'REG y VAL POE - AESR - ESR'!AR214</f>
        <v>0</v>
      </c>
      <c r="CHI5" s="29">
        <f>'REG y VAL POE - AESR - ESR'!AS214</f>
        <v>0</v>
      </c>
      <c r="CHJ5" s="30">
        <f>'REG y VAL POE - AESR - ESR'!B215</f>
        <v>0</v>
      </c>
      <c r="CHK5" s="28">
        <f>'REG y VAL POE - AESR - ESR'!C215</f>
        <v>0</v>
      </c>
      <c r="CHL5" s="29">
        <f>'REG y VAL POE - AESR - ESR'!D215</f>
        <v>0</v>
      </c>
      <c r="CHM5" s="29">
        <f>'REG y VAL POE - AESR - ESR'!E215</f>
        <v>0</v>
      </c>
      <c r="CHN5" s="32">
        <f>'REG y VAL POE - AESR - ESR'!F215</f>
        <v>0</v>
      </c>
      <c r="CHO5" s="32">
        <f>'REG y VAL POE - AESR - ESR'!G215</f>
        <v>0</v>
      </c>
      <c r="CHP5" s="32">
        <f>'REG y VAL POE - AESR - ESR'!H215</f>
        <v>0</v>
      </c>
      <c r="CHQ5" s="28">
        <f>'REG y VAL POE - AESR - ESR'!I215</f>
        <v>0</v>
      </c>
      <c r="CHR5" s="29">
        <f>'REG y VAL POE - AESR - ESR'!J215</f>
        <v>0</v>
      </c>
      <c r="CHS5" s="29">
        <f>'REG y VAL POE - AESR - ESR'!K215</f>
        <v>0</v>
      </c>
      <c r="CHT5" s="28">
        <f>'REG y VAL POE - AESR - ESR'!L215</f>
        <v>0</v>
      </c>
      <c r="CHU5" s="29">
        <f>'REG y VAL POE - AESR - ESR'!M215</f>
        <v>0</v>
      </c>
      <c r="CHV5" s="30">
        <f>'REG y VAL POE - AESR - ESR'!N215</f>
        <v>0</v>
      </c>
      <c r="CHW5" s="28">
        <f>'REG y VAL POE - AESR - ESR'!O215</f>
        <v>0</v>
      </c>
      <c r="CHX5" s="29">
        <f>'REG y VAL POE - AESR - ESR'!P215</f>
        <v>0</v>
      </c>
      <c r="CHY5" s="29">
        <f>'REG y VAL POE - AESR - ESR'!Q215</f>
        <v>0</v>
      </c>
      <c r="CHZ5" s="32">
        <f>'REG y VAL POE - AESR - ESR'!R215</f>
        <v>0</v>
      </c>
      <c r="CIA5" s="28">
        <f>'REG y VAL POE - AESR - ESR'!S215</f>
        <v>0</v>
      </c>
      <c r="CIB5" s="29">
        <f>'REG y VAL POE - AESR - ESR'!T215</f>
        <v>0</v>
      </c>
      <c r="CIC5" s="29">
        <f>'REG y VAL POE - AESR - ESR'!U215</f>
        <v>0</v>
      </c>
      <c r="CID5" s="28">
        <f>'REG y VAL POE - AESR - ESR'!V215</f>
        <v>0</v>
      </c>
      <c r="CIE5" s="29">
        <f>'REG y VAL POE - AESR - ESR'!W215</f>
        <v>0</v>
      </c>
      <c r="CIF5" s="30">
        <f>'REG y VAL POE - AESR - ESR'!X215</f>
        <v>0</v>
      </c>
      <c r="CIG5" s="28">
        <f>'REG y VAL POE - AESR - ESR'!Y215</f>
        <v>0</v>
      </c>
      <c r="CIH5" s="29">
        <f>'REG y VAL POE - AESR - ESR'!Z215</f>
        <v>0</v>
      </c>
      <c r="CII5" s="29">
        <f>'REG y VAL POE - AESR - ESR'!AA215</f>
        <v>0</v>
      </c>
      <c r="CIJ5" s="32">
        <f>'REG y VAL POE - AESR - ESR'!AB215</f>
        <v>0</v>
      </c>
      <c r="CIK5" s="28">
        <f>'REG y VAL POE - AESR - ESR'!AC215</f>
        <v>0</v>
      </c>
      <c r="CIL5" s="29">
        <f>'REG y VAL POE - AESR - ESR'!AD215</f>
        <v>0</v>
      </c>
      <c r="CIM5" s="29">
        <f>'REG y VAL POE - AESR - ESR'!AE215</f>
        <v>0</v>
      </c>
      <c r="CIN5" s="28">
        <f>'REG y VAL POE - AESR - ESR'!AF215</f>
        <v>0</v>
      </c>
      <c r="CIO5" s="29">
        <f>'REG y VAL POE - AESR - ESR'!AG215</f>
        <v>0</v>
      </c>
      <c r="CIP5" s="30">
        <f>'REG y VAL POE - AESR - ESR'!AH215</f>
        <v>0</v>
      </c>
      <c r="CIQ5" s="28">
        <f>'REG y VAL POE - AESR - ESR'!AI215</f>
        <v>0</v>
      </c>
      <c r="CIR5" s="29">
        <f>'REG y VAL POE - AESR - ESR'!AJ215</f>
        <v>0</v>
      </c>
      <c r="CIS5" s="29">
        <f>'REG y VAL POE - AESR - ESR'!AK215</f>
        <v>0</v>
      </c>
      <c r="CIT5" s="32">
        <f>'REG y VAL POE - AESR - ESR'!AL215</f>
        <v>0</v>
      </c>
      <c r="CIU5" s="28">
        <f>'REG y VAL POE - AESR - ESR'!AM215</f>
        <v>0</v>
      </c>
      <c r="CIV5" s="29">
        <f>'REG y VAL POE - AESR - ESR'!AN215</f>
        <v>0</v>
      </c>
      <c r="CIW5" s="29">
        <f>'REG y VAL POE - AESR - ESR'!AO215</f>
        <v>0</v>
      </c>
      <c r="CIX5" s="28">
        <f>'REG y VAL POE - AESR - ESR'!AP215</f>
        <v>0</v>
      </c>
      <c r="CIY5" s="29">
        <f>'REG y VAL POE - AESR - ESR'!AQ215</f>
        <v>0</v>
      </c>
      <c r="CIZ5" s="30">
        <f>'REG y VAL POE - AESR - ESR'!AR215</f>
        <v>0</v>
      </c>
      <c r="CJA5" s="28">
        <f>'REG y VAL POE - AESR - ESR'!AS215</f>
        <v>0</v>
      </c>
      <c r="CJB5" s="30">
        <f>'REG y VAL POE - AESR - ESR'!B216</f>
        <v>0</v>
      </c>
      <c r="CJC5" s="29">
        <f>'REG y VAL POE - AESR - ESR'!C216</f>
        <v>0</v>
      </c>
      <c r="CJD5" s="28">
        <f>'REG y VAL POE - AESR - ESR'!D216</f>
        <v>0</v>
      </c>
      <c r="CJE5" s="29">
        <f>'REG y VAL POE - AESR - ESR'!E216</f>
        <v>0</v>
      </c>
      <c r="CJF5" s="28">
        <f>'REG y VAL POE - AESR - ESR'!F216</f>
        <v>0</v>
      </c>
      <c r="CJG5" s="28">
        <f>'REG y VAL POE - AESR - ESR'!G216</f>
        <v>0</v>
      </c>
      <c r="CJH5" s="28">
        <f>'REG y VAL POE - AESR - ESR'!H216</f>
        <v>0</v>
      </c>
      <c r="CJI5" s="29">
        <f>'REG y VAL POE - AESR - ESR'!I216</f>
        <v>0</v>
      </c>
      <c r="CJJ5" s="388">
        <f>'REG y VAL POE - AESR - ESR'!J216</f>
        <v>0</v>
      </c>
      <c r="CJK5" s="29">
        <f>'REG y VAL POE - AESR - ESR'!K216</f>
        <v>0</v>
      </c>
      <c r="CJL5" s="388">
        <f>'REG y VAL POE - AESR - ESR'!L216</f>
        <v>0</v>
      </c>
      <c r="CJM5" s="29">
        <f>'REG y VAL POE - AESR - ESR'!M216</f>
        <v>0</v>
      </c>
      <c r="CJN5" s="388">
        <f>'REG y VAL POE - AESR - ESR'!N216</f>
        <v>0</v>
      </c>
      <c r="CJO5" s="29">
        <f>'REG y VAL POE - AESR - ESR'!O216</f>
        <v>0</v>
      </c>
      <c r="CJP5" s="29">
        <f>'REG y VAL POE - AESR - ESR'!P216</f>
        <v>0</v>
      </c>
      <c r="CJQ5" s="29">
        <f>'REG y VAL POE - AESR - ESR'!Q216</f>
        <v>0</v>
      </c>
      <c r="CJR5" s="29">
        <f>'REG y VAL POE - AESR - ESR'!R216</f>
        <v>0</v>
      </c>
      <c r="CJS5" s="29">
        <f>'REG y VAL POE - AESR - ESR'!S216</f>
        <v>0</v>
      </c>
      <c r="CJT5" s="29">
        <f>'REG y VAL POE - AESR - ESR'!T216</f>
        <v>0</v>
      </c>
      <c r="CJU5" s="29">
        <f>'REG y VAL POE - AESR - ESR'!U216</f>
        <v>0</v>
      </c>
      <c r="CJV5" s="29">
        <f>'REG y VAL POE - AESR - ESR'!V216</f>
        <v>0</v>
      </c>
      <c r="CJW5" s="29">
        <f>'REG y VAL POE - AESR - ESR'!W216</f>
        <v>0</v>
      </c>
      <c r="CJX5" s="29">
        <f>'REG y VAL POE - AESR - ESR'!X216</f>
        <v>0</v>
      </c>
      <c r="CJY5" s="29">
        <f>'REG y VAL POE - AESR - ESR'!Y216</f>
        <v>0</v>
      </c>
      <c r="CJZ5" s="29">
        <f>'REG y VAL POE - AESR - ESR'!Z216</f>
        <v>0</v>
      </c>
      <c r="CKA5" s="29">
        <f>'REG y VAL POE - AESR - ESR'!AA216</f>
        <v>0</v>
      </c>
      <c r="CKB5" s="29">
        <f>'REG y VAL POE - AESR - ESR'!AB216</f>
        <v>0</v>
      </c>
      <c r="CKC5" s="29">
        <f>'REG y VAL POE - AESR - ESR'!AC216</f>
        <v>0</v>
      </c>
      <c r="CKD5" s="29">
        <f>'REG y VAL POE - AESR - ESR'!AD216</f>
        <v>0</v>
      </c>
      <c r="CKE5" s="29">
        <f>'REG y VAL POE - AESR - ESR'!AE216</f>
        <v>0</v>
      </c>
      <c r="CKF5" s="29">
        <f>'REG y VAL POE - AESR - ESR'!AF216</f>
        <v>0</v>
      </c>
      <c r="CKG5" s="29">
        <f>'REG y VAL POE - AESR - ESR'!AG216</f>
        <v>0</v>
      </c>
      <c r="CKH5" s="29">
        <f>'REG y VAL POE - AESR - ESR'!AH216</f>
        <v>0</v>
      </c>
      <c r="CKI5" s="29">
        <f>'REG y VAL POE - AESR - ESR'!AI216</f>
        <v>0</v>
      </c>
      <c r="CKJ5" s="29">
        <f>'REG y VAL POE - AESR - ESR'!AJ216</f>
        <v>0</v>
      </c>
      <c r="CKK5" s="29">
        <f>'REG y VAL POE - AESR - ESR'!AK216</f>
        <v>0</v>
      </c>
      <c r="CKL5" s="29">
        <f>'REG y VAL POE - AESR - ESR'!AL216</f>
        <v>0</v>
      </c>
      <c r="CKM5" s="29">
        <f>'REG y VAL POE - AESR - ESR'!AM216</f>
        <v>0</v>
      </c>
      <c r="CKN5" s="29">
        <f>'REG y VAL POE - AESR - ESR'!AN216</f>
        <v>0</v>
      </c>
      <c r="CKO5" s="29">
        <f>'REG y VAL POE - AESR - ESR'!AO216</f>
        <v>0</v>
      </c>
      <c r="CKP5" s="29">
        <f>'REG y VAL POE - AESR - ESR'!AP216</f>
        <v>0</v>
      </c>
      <c r="CKQ5" s="29">
        <f>'REG y VAL POE - AESR - ESR'!AQ216</f>
        <v>0</v>
      </c>
      <c r="CKR5" s="29">
        <f>'REG y VAL POE - AESR - ESR'!AR216</f>
        <v>0</v>
      </c>
      <c r="CKS5" s="29">
        <f>'REG y VAL POE - AESR - ESR'!AS216</f>
        <v>0</v>
      </c>
      <c r="CKT5" s="30">
        <f>'REG y VAL POE - AESR - ESR'!B217</f>
        <v>0</v>
      </c>
      <c r="CKU5" s="28">
        <f>'REG y VAL POE - AESR - ESR'!C217</f>
        <v>0</v>
      </c>
      <c r="CKV5" s="29">
        <f>'REG y VAL POE - AESR - ESR'!D217</f>
        <v>0</v>
      </c>
      <c r="CKW5" s="29">
        <f>'REG y VAL POE - AESR - ESR'!E217</f>
        <v>0</v>
      </c>
      <c r="CKX5" s="32">
        <f>'REG y VAL POE - AESR - ESR'!F217</f>
        <v>0</v>
      </c>
      <c r="CKY5" s="32">
        <f>'REG y VAL POE - AESR - ESR'!G217</f>
        <v>0</v>
      </c>
      <c r="CKZ5" s="32">
        <f>'REG y VAL POE - AESR - ESR'!H217</f>
        <v>0</v>
      </c>
      <c r="CLA5" s="28">
        <f>'REG y VAL POE - AESR - ESR'!I217</f>
        <v>0</v>
      </c>
      <c r="CLB5" s="29">
        <f>'REG y VAL POE - AESR - ESR'!J217</f>
        <v>0</v>
      </c>
      <c r="CLC5" s="29">
        <f>'REG y VAL POE - AESR - ESR'!K217</f>
        <v>0</v>
      </c>
      <c r="CLD5" s="28">
        <f>'REG y VAL POE - AESR - ESR'!L217</f>
        <v>0</v>
      </c>
      <c r="CLE5" s="29">
        <f>'REG y VAL POE - AESR - ESR'!M217</f>
        <v>0</v>
      </c>
      <c r="CLF5" s="30">
        <f>'REG y VAL POE - AESR - ESR'!N217</f>
        <v>0</v>
      </c>
      <c r="CLG5" s="28">
        <f>'REG y VAL POE - AESR - ESR'!O217</f>
        <v>0</v>
      </c>
      <c r="CLH5" s="29">
        <f>'REG y VAL POE - AESR - ESR'!P217</f>
        <v>0</v>
      </c>
      <c r="CLI5" s="29">
        <f>'REG y VAL POE - AESR - ESR'!Q217</f>
        <v>0</v>
      </c>
      <c r="CLJ5" s="32">
        <f>'REG y VAL POE - AESR - ESR'!R217</f>
        <v>0</v>
      </c>
      <c r="CLK5" s="28">
        <f>'REG y VAL POE - AESR - ESR'!S217</f>
        <v>0</v>
      </c>
      <c r="CLL5" s="29">
        <f>'REG y VAL POE - AESR - ESR'!T217</f>
        <v>0</v>
      </c>
      <c r="CLM5" s="29">
        <f>'REG y VAL POE - AESR - ESR'!U217</f>
        <v>0</v>
      </c>
      <c r="CLN5" s="28">
        <f>'REG y VAL POE - AESR - ESR'!V217</f>
        <v>0</v>
      </c>
      <c r="CLO5" s="29">
        <f>'REG y VAL POE - AESR - ESR'!W217</f>
        <v>0</v>
      </c>
      <c r="CLP5" s="30">
        <f>'REG y VAL POE - AESR - ESR'!X217</f>
        <v>0</v>
      </c>
      <c r="CLQ5" s="28">
        <f>'REG y VAL POE - AESR - ESR'!Y217</f>
        <v>0</v>
      </c>
      <c r="CLR5" s="29">
        <f>'REG y VAL POE - AESR - ESR'!Z217</f>
        <v>0</v>
      </c>
      <c r="CLS5" s="29">
        <f>'REG y VAL POE - AESR - ESR'!AA217</f>
        <v>0</v>
      </c>
      <c r="CLT5" s="32">
        <f>'REG y VAL POE - AESR - ESR'!AB217</f>
        <v>0</v>
      </c>
      <c r="CLU5" s="28">
        <f>'REG y VAL POE - AESR - ESR'!AC217</f>
        <v>0</v>
      </c>
      <c r="CLV5" s="29">
        <f>'REG y VAL POE - AESR - ESR'!AD217</f>
        <v>0</v>
      </c>
      <c r="CLW5" s="29">
        <f>'REG y VAL POE - AESR - ESR'!AE217</f>
        <v>0</v>
      </c>
      <c r="CLX5" s="28">
        <f>'REG y VAL POE - AESR - ESR'!AF217</f>
        <v>0</v>
      </c>
      <c r="CLY5" s="29">
        <f>'REG y VAL POE - AESR - ESR'!AG217</f>
        <v>0</v>
      </c>
      <c r="CLZ5" s="30">
        <f>'REG y VAL POE - AESR - ESR'!AH217</f>
        <v>0</v>
      </c>
      <c r="CMA5" s="28">
        <f>'REG y VAL POE - AESR - ESR'!AI217</f>
        <v>0</v>
      </c>
      <c r="CMB5" s="29">
        <f>'REG y VAL POE - AESR - ESR'!AJ217</f>
        <v>0</v>
      </c>
      <c r="CMC5" s="29">
        <f>'REG y VAL POE - AESR - ESR'!AK217</f>
        <v>0</v>
      </c>
      <c r="CMD5" s="32">
        <f>'REG y VAL POE - AESR - ESR'!AL217</f>
        <v>0</v>
      </c>
      <c r="CME5" s="28">
        <f>'REG y VAL POE - AESR - ESR'!AM217</f>
        <v>0</v>
      </c>
      <c r="CMF5" s="29">
        <f>'REG y VAL POE - AESR - ESR'!AN217</f>
        <v>0</v>
      </c>
      <c r="CMG5" s="29">
        <f>'REG y VAL POE - AESR - ESR'!AO217</f>
        <v>0</v>
      </c>
      <c r="CMH5" s="28">
        <f>'REG y VAL POE - AESR - ESR'!AP217</f>
        <v>0</v>
      </c>
      <c r="CMI5" s="29">
        <f>'REG y VAL POE - AESR - ESR'!AQ217</f>
        <v>0</v>
      </c>
      <c r="CMJ5" s="30">
        <f>'REG y VAL POE - AESR - ESR'!AR217</f>
        <v>0</v>
      </c>
      <c r="CMK5" s="28">
        <f>'REG y VAL POE - AESR - ESR'!AS217</f>
        <v>0</v>
      </c>
      <c r="CML5" s="30">
        <f>'REG y VAL POE - AESR - ESR'!B218</f>
        <v>0</v>
      </c>
      <c r="CMM5" s="29">
        <f>'REG y VAL POE - AESR - ESR'!C218</f>
        <v>0</v>
      </c>
      <c r="CMN5" s="28">
        <f>'REG y VAL POE - AESR - ESR'!D218</f>
        <v>0</v>
      </c>
      <c r="CMO5" s="29">
        <f>'REG y VAL POE - AESR - ESR'!E218</f>
        <v>0</v>
      </c>
      <c r="CMP5" s="28">
        <f>'REG y VAL POE - AESR - ESR'!F218</f>
        <v>0</v>
      </c>
      <c r="CMQ5" s="28">
        <f>'REG y VAL POE - AESR - ESR'!G218</f>
        <v>0</v>
      </c>
      <c r="CMR5" s="28">
        <f>'REG y VAL POE - AESR - ESR'!H218</f>
        <v>0</v>
      </c>
      <c r="CMS5" s="29">
        <f>'REG y VAL POE - AESR - ESR'!I218</f>
        <v>0</v>
      </c>
      <c r="CMT5" s="388">
        <f>'REG y VAL POE - AESR - ESR'!J218</f>
        <v>0</v>
      </c>
      <c r="CMU5" s="29">
        <f>'REG y VAL POE - AESR - ESR'!K218</f>
        <v>0</v>
      </c>
      <c r="CMV5" s="388">
        <f>'REG y VAL POE - AESR - ESR'!L218</f>
        <v>0</v>
      </c>
      <c r="CMW5" s="29">
        <f>'REG y VAL POE - AESR - ESR'!M218</f>
        <v>0</v>
      </c>
      <c r="CMX5" s="388">
        <f>'REG y VAL POE - AESR - ESR'!N218</f>
        <v>0</v>
      </c>
      <c r="CMY5" s="29">
        <f>'REG y VAL POE - AESR - ESR'!O218</f>
        <v>0</v>
      </c>
      <c r="CMZ5" s="29">
        <f>'REG y VAL POE - AESR - ESR'!P218</f>
        <v>0</v>
      </c>
      <c r="CNA5" s="29">
        <f>'REG y VAL POE - AESR - ESR'!Q218</f>
        <v>0</v>
      </c>
      <c r="CNB5" s="29">
        <f>'REG y VAL POE - AESR - ESR'!R218</f>
        <v>0</v>
      </c>
      <c r="CNC5" s="29">
        <f>'REG y VAL POE - AESR - ESR'!S218</f>
        <v>0</v>
      </c>
      <c r="CND5" s="29">
        <f>'REG y VAL POE - AESR - ESR'!T218</f>
        <v>0</v>
      </c>
      <c r="CNE5" s="29">
        <f>'REG y VAL POE - AESR - ESR'!U218</f>
        <v>0</v>
      </c>
      <c r="CNF5" s="29">
        <f>'REG y VAL POE - AESR - ESR'!V218</f>
        <v>0</v>
      </c>
      <c r="CNG5" s="29">
        <f>'REG y VAL POE - AESR - ESR'!W218</f>
        <v>0</v>
      </c>
      <c r="CNH5" s="29">
        <f>'REG y VAL POE - AESR - ESR'!X218</f>
        <v>0</v>
      </c>
      <c r="CNI5" s="29">
        <f>'REG y VAL POE - AESR - ESR'!Y218</f>
        <v>0</v>
      </c>
      <c r="CNJ5" s="29">
        <f>'REG y VAL POE - AESR - ESR'!Z218</f>
        <v>0</v>
      </c>
      <c r="CNK5" s="29">
        <f>'REG y VAL POE - AESR - ESR'!AA218</f>
        <v>0</v>
      </c>
      <c r="CNL5" s="29">
        <f>'REG y VAL POE - AESR - ESR'!AB218</f>
        <v>0</v>
      </c>
      <c r="CNM5" s="29">
        <f>'REG y VAL POE - AESR - ESR'!AC218</f>
        <v>0</v>
      </c>
      <c r="CNN5" s="29">
        <f>'REG y VAL POE - AESR - ESR'!AD218</f>
        <v>0</v>
      </c>
      <c r="CNO5" s="29">
        <f>'REG y VAL POE - AESR - ESR'!AE218</f>
        <v>0</v>
      </c>
      <c r="CNP5" s="29">
        <f>'REG y VAL POE - AESR - ESR'!AF218</f>
        <v>0</v>
      </c>
      <c r="CNQ5" s="29">
        <f>'REG y VAL POE - AESR - ESR'!AG218</f>
        <v>0</v>
      </c>
      <c r="CNR5" s="29">
        <f>'REG y VAL POE - AESR - ESR'!AH218</f>
        <v>0</v>
      </c>
      <c r="CNS5" s="29">
        <f>'REG y VAL POE - AESR - ESR'!AI218</f>
        <v>0</v>
      </c>
      <c r="CNT5" s="29">
        <f>'REG y VAL POE - AESR - ESR'!AJ218</f>
        <v>0</v>
      </c>
      <c r="CNU5" s="29">
        <f>'REG y VAL POE - AESR - ESR'!AK218</f>
        <v>0</v>
      </c>
      <c r="CNV5" s="29">
        <f>'REG y VAL POE - AESR - ESR'!AL218</f>
        <v>0</v>
      </c>
      <c r="CNW5" s="29">
        <f>'REG y VAL POE - AESR - ESR'!AM218</f>
        <v>0</v>
      </c>
      <c r="CNX5" s="29">
        <f>'REG y VAL POE - AESR - ESR'!AN218</f>
        <v>0</v>
      </c>
      <c r="CNY5" s="29">
        <f>'REG y VAL POE - AESR - ESR'!AO218</f>
        <v>0</v>
      </c>
      <c r="CNZ5" s="29">
        <f>'REG y VAL POE - AESR - ESR'!AP218</f>
        <v>0</v>
      </c>
      <c r="COA5" s="29">
        <f>'REG y VAL POE - AESR - ESR'!AQ218</f>
        <v>0</v>
      </c>
      <c r="COB5" s="29">
        <f>'REG y VAL POE - AESR - ESR'!AR218</f>
        <v>0</v>
      </c>
      <c r="COC5" s="29">
        <f>'REG y VAL POE - AESR - ESR'!AS218</f>
        <v>0</v>
      </c>
      <c r="COD5" s="30">
        <f>'REG y VAL POE - AESR - ESR'!B219</f>
        <v>0</v>
      </c>
      <c r="COE5" s="28">
        <f>'REG y VAL POE - AESR - ESR'!C219</f>
        <v>0</v>
      </c>
      <c r="COF5" s="29">
        <f>'REG y VAL POE - AESR - ESR'!D219</f>
        <v>0</v>
      </c>
      <c r="COG5" s="29">
        <f>'REG y VAL POE - AESR - ESR'!E219</f>
        <v>0</v>
      </c>
      <c r="COH5" s="32">
        <f>'REG y VAL POE - AESR - ESR'!F219</f>
        <v>0</v>
      </c>
      <c r="COI5" s="32">
        <f>'REG y VAL POE - AESR - ESR'!G219</f>
        <v>0</v>
      </c>
      <c r="COJ5" s="32">
        <f>'REG y VAL POE - AESR - ESR'!H219</f>
        <v>0</v>
      </c>
      <c r="COK5" s="28">
        <f>'REG y VAL POE - AESR - ESR'!I219</f>
        <v>0</v>
      </c>
      <c r="COL5" s="29">
        <f>'REG y VAL POE - AESR - ESR'!J219</f>
        <v>0</v>
      </c>
      <c r="COM5" s="29">
        <f>'REG y VAL POE - AESR - ESR'!K219</f>
        <v>0</v>
      </c>
      <c r="CON5" s="28">
        <f>'REG y VAL POE - AESR - ESR'!L219</f>
        <v>0</v>
      </c>
      <c r="COO5" s="29">
        <f>'REG y VAL POE - AESR - ESR'!M219</f>
        <v>0</v>
      </c>
      <c r="COP5" s="30">
        <f>'REG y VAL POE - AESR - ESR'!N219</f>
        <v>0</v>
      </c>
      <c r="COQ5" s="28">
        <f>'REG y VAL POE - AESR - ESR'!O219</f>
        <v>0</v>
      </c>
      <c r="COR5" s="29">
        <f>'REG y VAL POE - AESR - ESR'!P219</f>
        <v>0</v>
      </c>
      <c r="COS5" s="29">
        <f>'REG y VAL POE - AESR - ESR'!Q219</f>
        <v>0</v>
      </c>
      <c r="COT5" s="32">
        <f>'REG y VAL POE - AESR - ESR'!R219</f>
        <v>0</v>
      </c>
      <c r="COU5" s="28">
        <f>'REG y VAL POE - AESR - ESR'!S219</f>
        <v>0</v>
      </c>
      <c r="COV5" s="29">
        <f>'REG y VAL POE - AESR - ESR'!T219</f>
        <v>0</v>
      </c>
      <c r="COW5" s="29">
        <f>'REG y VAL POE - AESR - ESR'!U219</f>
        <v>0</v>
      </c>
      <c r="COX5" s="28">
        <f>'REG y VAL POE - AESR - ESR'!V219</f>
        <v>0</v>
      </c>
      <c r="COY5" s="29">
        <f>'REG y VAL POE - AESR - ESR'!W219</f>
        <v>0</v>
      </c>
      <c r="COZ5" s="30">
        <f>'REG y VAL POE - AESR - ESR'!X219</f>
        <v>0</v>
      </c>
      <c r="CPA5" s="28">
        <f>'REG y VAL POE - AESR - ESR'!Y219</f>
        <v>0</v>
      </c>
      <c r="CPB5" s="29">
        <f>'REG y VAL POE - AESR - ESR'!Z219</f>
        <v>0</v>
      </c>
      <c r="CPC5" s="29">
        <f>'REG y VAL POE - AESR - ESR'!AA219</f>
        <v>0</v>
      </c>
      <c r="CPD5" s="32">
        <f>'REG y VAL POE - AESR - ESR'!AB219</f>
        <v>0</v>
      </c>
      <c r="CPE5" s="28">
        <f>'REG y VAL POE - AESR - ESR'!AC219</f>
        <v>0</v>
      </c>
      <c r="CPF5" s="29">
        <f>'REG y VAL POE - AESR - ESR'!AD219</f>
        <v>0</v>
      </c>
      <c r="CPG5" s="29">
        <f>'REG y VAL POE - AESR - ESR'!AE219</f>
        <v>0</v>
      </c>
      <c r="CPH5" s="28">
        <f>'REG y VAL POE - AESR - ESR'!AF219</f>
        <v>0</v>
      </c>
      <c r="CPI5" s="29">
        <f>'REG y VAL POE - AESR - ESR'!AG219</f>
        <v>0</v>
      </c>
      <c r="CPJ5" s="30">
        <f>'REG y VAL POE - AESR - ESR'!AH219</f>
        <v>0</v>
      </c>
      <c r="CPK5" s="28">
        <f>'REG y VAL POE - AESR - ESR'!AI219</f>
        <v>0</v>
      </c>
      <c r="CPL5" s="29">
        <f>'REG y VAL POE - AESR - ESR'!AJ219</f>
        <v>0</v>
      </c>
      <c r="CPM5" s="29">
        <f>'REG y VAL POE - AESR - ESR'!AK219</f>
        <v>0</v>
      </c>
      <c r="CPN5" s="32">
        <f>'REG y VAL POE - AESR - ESR'!AL219</f>
        <v>0</v>
      </c>
      <c r="CPO5" s="28">
        <f>'REG y VAL POE - AESR - ESR'!AM219</f>
        <v>0</v>
      </c>
      <c r="CPP5" s="29">
        <f>'REG y VAL POE - AESR - ESR'!AN219</f>
        <v>0</v>
      </c>
      <c r="CPQ5" s="29">
        <f>'REG y VAL POE - AESR - ESR'!AO219</f>
        <v>0</v>
      </c>
      <c r="CPR5" s="28">
        <f>'REG y VAL POE - AESR - ESR'!AP219</f>
        <v>0</v>
      </c>
      <c r="CPS5" s="29">
        <f>'REG y VAL POE - AESR - ESR'!AQ219</f>
        <v>0</v>
      </c>
      <c r="CPT5" s="30">
        <f>'REG y VAL POE - AESR - ESR'!AR219</f>
        <v>0</v>
      </c>
      <c r="CPU5" s="28">
        <f>'REG y VAL POE - AESR - ESR'!AS219</f>
        <v>0</v>
      </c>
      <c r="CPV5" s="30">
        <f>'REG y VAL POE - AESR - ESR'!B220</f>
        <v>0</v>
      </c>
      <c r="CPW5" s="29">
        <f>'REG y VAL POE - AESR - ESR'!C220</f>
        <v>0</v>
      </c>
      <c r="CPX5" s="28">
        <f>'REG y VAL POE - AESR - ESR'!D220</f>
        <v>0</v>
      </c>
      <c r="CPY5" s="29">
        <f>'REG y VAL POE - AESR - ESR'!E220</f>
        <v>0</v>
      </c>
      <c r="CPZ5" s="28">
        <f>'REG y VAL POE - AESR - ESR'!F220</f>
        <v>0</v>
      </c>
      <c r="CQA5" s="28">
        <f>'REG y VAL POE - AESR - ESR'!G220</f>
        <v>0</v>
      </c>
      <c r="CQB5" s="28">
        <f>'REG y VAL POE - AESR - ESR'!H220</f>
        <v>0</v>
      </c>
      <c r="CQC5" s="29">
        <f>'REG y VAL POE - AESR - ESR'!I220</f>
        <v>0</v>
      </c>
      <c r="CQD5" s="388">
        <f>'REG y VAL POE - AESR - ESR'!J220</f>
        <v>0</v>
      </c>
      <c r="CQE5" s="29">
        <f>'REG y VAL POE - AESR - ESR'!K220</f>
        <v>0</v>
      </c>
      <c r="CQF5" s="388">
        <f>'REG y VAL POE - AESR - ESR'!L220</f>
        <v>0</v>
      </c>
      <c r="CQG5" s="29">
        <f>'REG y VAL POE - AESR - ESR'!M220</f>
        <v>0</v>
      </c>
      <c r="CQH5" s="388">
        <f>'REG y VAL POE - AESR - ESR'!N220</f>
        <v>0</v>
      </c>
      <c r="CQI5" s="29">
        <f>'REG y VAL POE - AESR - ESR'!O220</f>
        <v>0</v>
      </c>
      <c r="CQJ5" s="29">
        <f>'REG y VAL POE - AESR - ESR'!P220</f>
        <v>0</v>
      </c>
      <c r="CQK5" s="29">
        <f>'REG y VAL POE - AESR - ESR'!Q220</f>
        <v>0</v>
      </c>
      <c r="CQL5" s="29">
        <f>'REG y VAL POE - AESR - ESR'!R220</f>
        <v>0</v>
      </c>
      <c r="CQM5" s="29">
        <f>'REG y VAL POE - AESR - ESR'!S220</f>
        <v>0</v>
      </c>
      <c r="CQN5" s="29">
        <f>'REG y VAL POE - AESR - ESR'!T220</f>
        <v>0</v>
      </c>
      <c r="CQO5" s="29">
        <f>'REG y VAL POE - AESR - ESR'!U220</f>
        <v>0</v>
      </c>
      <c r="CQP5" s="29">
        <f>'REG y VAL POE - AESR - ESR'!V220</f>
        <v>0</v>
      </c>
      <c r="CQQ5" s="29">
        <f>'REG y VAL POE - AESR - ESR'!W220</f>
        <v>0</v>
      </c>
      <c r="CQR5" s="29">
        <f>'REG y VAL POE - AESR - ESR'!X220</f>
        <v>0</v>
      </c>
      <c r="CQS5" s="29">
        <f>'REG y VAL POE - AESR - ESR'!Y220</f>
        <v>0</v>
      </c>
      <c r="CQT5" s="29">
        <f>'REG y VAL POE - AESR - ESR'!Z220</f>
        <v>0</v>
      </c>
      <c r="CQU5" s="29">
        <f>'REG y VAL POE - AESR - ESR'!AA220</f>
        <v>0</v>
      </c>
      <c r="CQV5" s="29">
        <f>'REG y VAL POE - AESR - ESR'!AB220</f>
        <v>0</v>
      </c>
      <c r="CQW5" s="29">
        <f>'REG y VAL POE - AESR - ESR'!AC220</f>
        <v>0</v>
      </c>
      <c r="CQX5" s="29">
        <f>'REG y VAL POE - AESR - ESR'!AD220</f>
        <v>0</v>
      </c>
      <c r="CQY5" s="29">
        <f>'REG y VAL POE - AESR - ESR'!AE220</f>
        <v>0</v>
      </c>
      <c r="CQZ5" s="29">
        <f>'REG y VAL POE - AESR - ESR'!AF220</f>
        <v>0</v>
      </c>
      <c r="CRA5" s="29">
        <f>'REG y VAL POE - AESR - ESR'!AG220</f>
        <v>0</v>
      </c>
      <c r="CRB5" s="29">
        <f>'REG y VAL POE - AESR - ESR'!AH220</f>
        <v>0</v>
      </c>
      <c r="CRC5" s="29">
        <f>'REG y VAL POE - AESR - ESR'!AI220</f>
        <v>0</v>
      </c>
      <c r="CRD5" s="29">
        <f>'REG y VAL POE - AESR - ESR'!AJ220</f>
        <v>0</v>
      </c>
      <c r="CRE5" s="29">
        <f>'REG y VAL POE - AESR - ESR'!AK220</f>
        <v>0</v>
      </c>
      <c r="CRF5" s="29">
        <f>'REG y VAL POE - AESR - ESR'!AL220</f>
        <v>0</v>
      </c>
      <c r="CRG5" s="29">
        <f>'REG y VAL POE - AESR - ESR'!AM220</f>
        <v>0</v>
      </c>
      <c r="CRH5" s="29">
        <f>'REG y VAL POE - AESR - ESR'!AN220</f>
        <v>0</v>
      </c>
      <c r="CRI5" s="29">
        <f>'REG y VAL POE - AESR - ESR'!AO220</f>
        <v>0</v>
      </c>
      <c r="CRJ5" s="29">
        <f>'REG y VAL POE - AESR - ESR'!AP220</f>
        <v>0</v>
      </c>
      <c r="CRK5" s="29">
        <f>'REG y VAL POE - AESR - ESR'!AQ220</f>
        <v>0</v>
      </c>
      <c r="CRL5" s="29">
        <f>'REG y VAL POE - AESR - ESR'!AR220</f>
        <v>0</v>
      </c>
      <c r="CRM5" s="29">
        <f>'REG y VAL POE - AESR - ESR'!AS220</f>
        <v>0</v>
      </c>
      <c r="CRN5" s="30">
        <f>'REG y VAL POE - AESR - ESR'!B221</f>
        <v>0</v>
      </c>
      <c r="CRO5" s="28">
        <f>'REG y VAL POE - AESR - ESR'!C221</f>
        <v>0</v>
      </c>
      <c r="CRP5" s="29">
        <f>'REG y VAL POE - AESR - ESR'!D221</f>
        <v>0</v>
      </c>
      <c r="CRQ5" s="29">
        <f>'REG y VAL POE - AESR - ESR'!E221</f>
        <v>0</v>
      </c>
      <c r="CRR5" s="32">
        <f>'REG y VAL POE - AESR - ESR'!F221</f>
        <v>0</v>
      </c>
      <c r="CRS5" s="32">
        <f>'REG y VAL POE - AESR - ESR'!G221</f>
        <v>0</v>
      </c>
      <c r="CRT5" s="32">
        <f>'REG y VAL POE - AESR - ESR'!H221</f>
        <v>0</v>
      </c>
      <c r="CRU5" s="28">
        <f>'REG y VAL POE - AESR - ESR'!I221</f>
        <v>0</v>
      </c>
      <c r="CRV5" s="29">
        <f>'REG y VAL POE - AESR - ESR'!J221</f>
        <v>0</v>
      </c>
      <c r="CRW5" s="29">
        <f>'REG y VAL POE - AESR - ESR'!K221</f>
        <v>0</v>
      </c>
      <c r="CRX5" s="28">
        <f>'REG y VAL POE - AESR - ESR'!L221</f>
        <v>0</v>
      </c>
      <c r="CRY5" s="29">
        <f>'REG y VAL POE - AESR - ESR'!M221</f>
        <v>0</v>
      </c>
      <c r="CRZ5" s="30">
        <f>'REG y VAL POE - AESR - ESR'!N221</f>
        <v>0</v>
      </c>
      <c r="CSA5" s="28">
        <f>'REG y VAL POE - AESR - ESR'!O221</f>
        <v>0</v>
      </c>
      <c r="CSB5" s="29">
        <f>'REG y VAL POE - AESR - ESR'!P221</f>
        <v>0</v>
      </c>
      <c r="CSC5" s="29">
        <f>'REG y VAL POE - AESR - ESR'!Q221</f>
        <v>0</v>
      </c>
      <c r="CSD5" s="32">
        <f>'REG y VAL POE - AESR - ESR'!R221</f>
        <v>0</v>
      </c>
      <c r="CSE5" s="28">
        <f>'REG y VAL POE - AESR - ESR'!S221</f>
        <v>0</v>
      </c>
      <c r="CSF5" s="29">
        <f>'REG y VAL POE - AESR - ESR'!T221</f>
        <v>0</v>
      </c>
      <c r="CSG5" s="29">
        <f>'REG y VAL POE - AESR - ESR'!U221</f>
        <v>0</v>
      </c>
      <c r="CSH5" s="28">
        <f>'REG y VAL POE - AESR - ESR'!V221</f>
        <v>0</v>
      </c>
      <c r="CSI5" s="29">
        <f>'REG y VAL POE - AESR - ESR'!W221</f>
        <v>0</v>
      </c>
      <c r="CSJ5" s="30">
        <f>'REG y VAL POE - AESR - ESR'!X221</f>
        <v>0</v>
      </c>
      <c r="CSK5" s="28">
        <f>'REG y VAL POE - AESR - ESR'!Y221</f>
        <v>0</v>
      </c>
      <c r="CSL5" s="29">
        <f>'REG y VAL POE - AESR - ESR'!Z221</f>
        <v>0</v>
      </c>
      <c r="CSM5" s="29">
        <f>'REG y VAL POE - AESR - ESR'!AA221</f>
        <v>0</v>
      </c>
      <c r="CSN5" s="32">
        <f>'REG y VAL POE - AESR - ESR'!AB221</f>
        <v>0</v>
      </c>
      <c r="CSO5" s="28">
        <f>'REG y VAL POE - AESR - ESR'!AC221</f>
        <v>0</v>
      </c>
      <c r="CSP5" s="29">
        <f>'REG y VAL POE - AESR - ESR'!AD221</f>
        <v>0</v>
      </c>
      <c r="CSQ5" s="29">
        <f>'REG y VAL POE - AESR - ESR'!AE221</f>
        <v>0</v>
      </c>
      <c r="CSR5" s="28">
        <f>'REG y VAL POE - AESR - ESR'!AF221</f>
        <v>0</v>
      </c>
      <c r="CSS5" s="29">
        <f>'REG y VAL POE - AESR - ESR'!AG221</f>
        <v>0</v>
      </c>
      <c r="CST5" s="30">
        <f>'REG y VAL POE - AESR - ESR'!AH221</f>
        <v>0</v>
      </c>
      <c r="CSU5" s="28">
        <f>'REG y VAL POE - AESR - ESR'!AI221</f>
        <v>0</v>
      </c>
      <c r="CSV5" s="29">
        <f>'REG y VAL POE - AESR - ESR'!AJ221</f>
        <v>0</v>
      </c>
      <c r="CSW5" s="29">
        <f>'REG y VAL POE - AESR - ESR'!AK221</f>
        <v>0</v>
      </c>
      <c r="CSX5" s="32">
        <f>'REG y VAL POE - AESR - ESR'!AL221</f>
        <v>0</v>
      </c>
      <c r="CSY5" s="28">
        <f>'REG y VAL POE - AESR - ESR'!AM221</f>
        <v>0</v>
      </c>
      <c r="CSZ5" s="29">
        <f>'REG y VAL POE - AESR - ESR'!AN221</f>
        <v>0</v>
      </c>
      <c r="CTA5" s="29">
        <f>'REG y VAL POE - AESR - ESR'!AO221</f>
        <v>0</v>
      </c>
      <c r="CTB5" s="28">
        <f>'REG y VAL POE - AESR - ESR'!AP221</f>
        <v>0</v>
      </c>
      <c r="CTC5" s="29">
        <f>'REG y VAL POE - AESR - ESR'!AQ221</f>
        <v>0</v>
      </c>
      <c r="CTD5" s="30">
        <f>'REG y VAL POE - AESR - ESR'!AR221</f>
        <v>0</v>
      </c>
      <c r="CTE5" s="28">
        <f>'REG y VAL POE - AESR - ESR'!AS221</f>
        <v>0</v>
      </c>
      <c r="CTF5" s="30">
        <f>'REG y VAL POE - AESR - ESR'!B222</f>
        <v>0</v>
      </c>
      <c r="CTG5" s="29">
        <f>'REG y VAL POE - AESR - ESR'!C222</f>
        <v>0</v>
      </c>
      <c r="CTH5" s="28">
        <f>'REG y VAL POE - AESR - ESR'!D222</f>
        <v>0</v>
      </c>
      <c r="CTI5" s="29">
        <f>'REG y VAL POE - AESR - ESR'!E222</f>
        <v>0</v>
      </c>
      <c r="CTJ5" s="28">
        <f>'REG y VAL POE - AESR - ESR'!F222</f>
        <v>0</v>
      </c>
      <c r="CTK5" s="28">
        <f>'REG y VAL POE - AESR - ESR'!G222</f>
        <v>0</v>
      </c>
      <c r="CTL5" s="28">
        <f>'REG y VAL POE - AESR - ESR'!H222</f>
        <v>0</v>
      </c>
      <c r="CTM5" s="29">
        <f>'REG y VAL POE - AESR - ESR'!I222</f>
        <v>0</v>
      </c>
      <c r="CTN5" s="388">
        <f>'REG y VAL POE - AESR - ESR'!J222</f>
        <v>0</v>
      </c>
      <c r="CTO5" s="29">
        <f>'REG y VAL POE - AESR - ESR'!K222</f>
        <v>0</v>
      </c>
      <c r="CTP5" s="388">
        <f>'REG y VAL POE - AESR - ESR'!L222</f>
        <v>0</v>
      </c>
      <c r="CTQ5" s="29">
        <f>'REG y VAL POE - AESR - ESR'!M222</f>
        <v>0</v>
      </c>
      <c r="CTR5" s="388">
        <f>'REG y VAL POE - AESR - ESR'!N222</f>
        <v>0</v>
      </c>
      <c r="CTS5" s="29">
        <f>'REG y VAL POE - AESR - ESR'!O222</f>
        <v>0</v>
      </c>
      <c r="CTT5" s="29">
        <f>'REG y VAL POE - AESR - ESR'!P222</f>
        <v>0</v>
      </c>
      <c r="CTU5" s="29">
        <f>'REG y VAL POE - AESR - ESR'!Q222</f>
        <v>0</v>
      </c>
      <c r="CTV5" s="29">
        <f>'REG y VAL POE - AESR - ESR'!R222</f>
        <v>0</v>
      </c>
      <c r="CTW5" s="29">
        <f>'REG y VAL POE - AESR - ESR'!S222</f>
        <v>0</v>
      </c>
      <c r="CTX5" s="29">
        <f>'REG y VAL POE - AESR - ESR'!T222</f>
        <v>0</v>
      </c>
      <c r="CTY5" s="29">
        <f>'REG y VAL POE - AESR - ESR'!U222</f>
        <v>0</v>
      </c>
      <c r="CTZ5" s="29">
        <f>'REG y VAL POE - AESR - ESR'!V222</f>
        <v>0</v>
      </c>
      <c r="CUA5" s="29">
        <f>'REG y VAL POE - AESR - ESR'!W222</f>
        <v>0</v>
      </c>
      <c r="CUB5" s="29">
        <f>'REG y VAL POE - AESR - ESR'!X222</f>
        <v>0</v>
      </c>
      <c r="CUC5" s="29">
        <f>'REG y VAL POE - AESR - ESR'!Y222</f>
        <v>0</v>
      </c>
      <c r="CUD5" s="29">
        <f>'REG y VAL POE - AESR - ESR'!Z222</f>
        <v>0</v>
      </c>
      <c r="CUE5" s="29">
        <f>'REG y VAL POE - AESR - ESR'!AA222</f>
        <v>0</v>
      </c>
      <c r="CUF5" s="29">
        <f>'REG y VAL POE - AESR - ESR'!AB222</f>
        <v>0</v>
      </c>
      <c r="CUG5" s="29">
        <f>'REG y VAL POE - AESR - ESR'!AC222</f>
        <v>0</v>
      </c>
      <c r="CUH5" s="29">
        <f>'REG y VAL POE - AESR - ESR'!AD222</f>
        <v>0</v>
      </c>
      <c r="CUI5" s="29">
        <f>'REG y VAL POE - AESR - ESR'!AE222</f>
        <v>0</v>
      </c>
      <c r="CUJ5" s="29">
        <f>'REG y VAL POE - AESR - ESR'!AF222</f>
        <v>0</v>
      </c>
      <c r="CUK5" s="29">
        <f>'REG y VAL POE - AESR - ESR'!AG222</f>
        <v>0</v>
      </c>
      <c r="CUL5" s="29">
        <f>'REG y VAL POE - AESR - ESR'!AH222</f>
        <v>0</v>
      </c>
      <c r="CUM5" s="29">
        <f>'REG y VAL POE - AESR - ESR'!AI222</f>
        <v>0</v>
      </c>
      <c r="CUN5" s="29">
        <f>'REG y VAL POE - AESR - ESR'!AJ222</f>
        <v>0</v>
      </c>
      <c r="CUO5" s="29">
        <f>'REG y VAL POE - AESR - ESR'!AK222</f>
        <v>0</v>
      </c>
      <c r="CUP5" s="29">
        <f>'REG y VAL POE - AESR - ESR'!AL222</f>
        <v>0</v>
      </c>
      <c r="CUQ5" s="29">
        <f>'REG y VAL POE - AESR - ESR'!AM222</f>
        <v>0</v>
      </c>
      <c r="CUR5" s="29">
        <f>'REG y VAL POE - AESR - ESR'!AN222</f>
        <v>0</v>
      </c>
      <c r="CUS5" s="29">
        <f>'REG y VAL POE - AESR - ESR'!AO222</f>
        <v>0</v>
      </c>
      <c r="CUT5" s="29">
        <f>'REG y VAL POE - AESR - ESR'!AP222</f>
        <v>0</v>
      </c>
      <c r="CUU5" s="29">
        <f>'REG y VAL POE - AESR - ESR'!AQ222</f>
        <v>0</v>
      </c>
      <c r="CUV5" s="29">
        <f>'REG y VAL POE - AESR - ESR'!AR222</f>
        <v>0</v>
      </c>
      <c r="CUW5" s="29">
        <f>'REG y VAL POE - AESR - ESR'!AS222</f>
        <v>0</v>
      </c>
      <c r="CUX5" s="30">
        <f>'REG y VAL POE - AESR - ESR'!B223</f>
        <v>0</v>
      </c>
      <c r="CUY5" s="28">
        <f>'REG y VAL POE - AESR - ESR'!C223</f>
        <v>0</v>
      </c>
      <c r="CUZ5" s="29">
        <f>'REG y VAL POE - AESR - ESR'!D223</f>
        <v>0</v>
      </c>
      <c r="CVA5" s="29">
        <f>'REG y VAL POE - AESR - ESR'!E223</f>
        <v>0</v>
      </c>
      <c r="CVB5" s="32">
        <f>'REG y VAL POE - AESR - ESR'!F223</f>
        <v>0</v>
      </c>
      <c r="CVC5" s="32">
        <f>'REG y VAL POE - AESR - ESR'!G223</f>
        <v>0</v>
      </c>
      <c r="CVD5" s="32">
        <f>'REG y VAL POE - AESR - ESR'!H223</f>
        <v>0</v>
      </c>
      <c r="CVE5" s="28">
        <f>'REG y VAL POE - AESR - ESR'!I223</f>
        <v>0</v>
      </c>
      <c r="CVF5" s="29">
        <f>'REG y VAL POE - AESR - ESR'!J223</f>
        <v>0</v>
      </c>
      <c r="CVG5" s="29">
        <f>'REG y VAL POE - AESR - ESR'!K223</f>
        <v>0</v>
      </c>
      <c r="CVH5" s="28">
        <f>'REG y VAL POE - AESR - ESR'!L223</f>
        <v>0</v>
      </c>
      <c r="CVI5" s="29">
        <f>'REG y VAL POE - AESR - ESR'!M223</f>
        <v>0</v>
      </c>
      <c r="CVJ5" s="30">
        <f>'REG y VAL POE - AESR - ESR'!N223</f>
        <v>0</v>
      </c>
      <c r="CVK5" s="28">
        <f>'REG y VAL POE - AESR - ESR'!O223</f>
        <v>0</v>
      </c>
      <c r="CVL5" s="29">
        <f>'REG y VAL POE - AESR - ESR'!P223</f>
        <v>0</v>
      </c>
      <c r="CVM5" s="29">
        <f>'REG y VAL POE - AESR - ESR'!Q223</f>
        <v>0</v>
      </c>
      <c r="CVN5" s="32">
        <f>'REG y VAL POE - AESR - ESR'!R223</f>
        <v>0</v>
      </c>
      <c r="CVO5" s="28">
        <f>'REG y VAL POE - AESR - ESR'!S223</f>
        <v>0</v>
      </c>
      <c r="CVP5" s="29">
        <f>'REG y VAL POE - AESR - ESR'!T223</f>
        <v>0</v>
      </c>
      <c r="CVQ5" s="29">
        <f>'REG y VAL POE - AESR - ESR'!U223</f>
        <v>0</v>
      </c>
      <c r="CVR5" s="28">
        <f>'REG y VAL POE - AESR - ESR'!V223</f>
        <v>0</v>
      </c>
      <c r="CVS5" s="29">
        <f>'REG y VAL POE - AESR - ESR'!W223</f>
        <v>0</v>
      </c>
      <c r="CVT5" s="30">
        <f>'REG y VAL POE - AESR - ESR'!X223</f>
        <v>0</v>
      </c>
      <c r="CVU5" s="28">
        <f>'REG y VAL POE - AESR - ESR'!Y223</f>
        <v>0</v>
      </c>
      <c r="CVV5" s="29">
        <f>'REG y VAL POE - AESR - ESR'!Z223</f>
        <v>0</v>
      </c>
      <c r="CVW5" s="29">
        <f>'REG y VAL POE - AESR - ESR'!AA223</f>
        <v>0</v>
      </c>
      <c r="CVX5" s="32">
        <f>'REG y VAL POE - AESR - ESR'!AB223</f>
        <v>0</v>
      </c>
      <c r="CVY5" s="28">
        <f>'REG y VAL POE - AESR - ESR'!AC223</f>
        <v>0</v>
      </c>
      <c r="CVZ5" s="29">
        <f>'REG y VAL POE - AESR - ESR'!AD223</f>
        <v>0</v>
      </c>
      <c r="CWA5" s="29">
        <f>'REG y VAL POE - AESR - ESR'!AE223</f>
        <v>0</v>
      </c>
      <c r="CWB5" s="28">
        <f>'REG y VAL POE - AESR - ESR'!AF223</f>
        <v>0</v>
      </c>
      <c r="CWC5" s="29">
        <f>'REG y VAL POE - AESR - ESR'!AG223</f>
        <v>0</v>
      </c>
      <c r="CWD5" s="30">
        <f>'REG y VAL POE - AESR - ESR'!AH223</f>
        <v>0</v>
      </c>
      <c r="CWE5" s="28">
        <f>'REG y VAL POE - AESR - ESR'!AI223</f>
        <v>0</v>
      </c>
      <c r="CWF5" s="29">
        <f>'REG y VAL POE - AESR - ESR'!AJ223</f>
        <v>0</v>
      </c>
      <c r="CWG5" s="29">
        <f>'REG y VAL POE - AESR - ESR'!AK223</f>
        <v>0</v>
      </c>
      <c r="CWH5" s="32">
        <f>'REG y VAL POE - AESR - ESR'!AL223</f>
        <v>0</v>
      </c>
      <c r="CWI5" s="28">
        <f>'REG y VAL POE - AESR - ESR'!AM223</f>
        <v>0</v>
      </c>
      <c r="CWJ5" s="29">
        <f>'REG y VAL POE - AESR - ESR'!AN223</f>
        <v>0</v>
      </c>
      <c r="CWK5" s="29">
        <f>'REG y VAL POE - AESR - ESR'!AO223</f>
        <v>0</v>
      </c>
      <c r="CWL5" s="28">
        <f>'REG y VAL POE - AESR - ESR'!AP223</f>
        <v>0</v>
      </c>
      <c r="CWM5" s="29">
        <f>'REG y VAL POE - AESR - ESR'!AQ223</f>
        <v>0</v>
      </c>
      <c r="CWN5" s="30">
        <f>'REG y VAL POE - AESR - ESR'!AR223</f>
        <v>0</v>
      </c>
      <c r="CWO5" s="28">
        <f>'REG y VAL POE - AESR - ESR'!AS223</f>
        <v>0</v>
      </c>
      <c r="CWP5" s="30">
        <f>'REG y VAL POE - AESR - ESR'!B224</f>
        <v>0</v>
      </c>
      <c r="CWQ5" s="29">
        <f>'REG y VAL POE - AESR - ESR'!C224</f>
        <v>0</v>
      </c>
      <c r="CWR5" s="28">
        <f>'REG y VAL POE - AESR - ESR'!D224</f>
        <v>0</v>
      </c>
      <c r="CWS5" s="29">
        <f>'REG y VAL POE - AESR - ESR'!E224</f>
        <v>0</v>
      </c>
      <c r="CWT5" s="28">
        <f>'REG y VAL POE - AESR - ESR'!F224</f>
        <v>0</v>
      </c>
      <c r="CWU5" s="28">
        <f>'REG y VAL POE - AESR - ESR'!G224</f>
        <v>0</v>
      </c>
      <c r="CWV5" s="28">
        <f>'REG y VAL POE - AESR - ESR'!H224</f>
        <v>0</v>
      </c>
      <c r="CWW5" s="29">
        <f>'REG y VAL POE - AESR - ESR'!I224</f>
        <v>0</v>
      </c>
      <c r="CWX5" s="388">
        <f>'REG y VAL POE - AESR - ESR'!J224</f>
        <v>0</v>
      </c>
      <c r="CWY5" s="29">
        <f>'REG y VAL POE - AESR - ESR'!K224</f>
        <v>0</v>
      </c>
      <c r="CWZ5" s="388">
        <f>'REG y VAL POE - AESR - ESR'!L224</f>
        <v>0</v>
      </c>
      <c r="CXA5" s="29">
        <f>'REG y VAL POE - AESR - ESR'!M224</f>
        <v>0</v>
      </c>
      <c r="CXB5" s="388">
        <f>'REG y VAL POE - AESR - ESR'!N224</f>
        <v>0</v>
      </c>
      <c r="CXC5" s="29">
        <f>'REG y VAL POE - AESR - ESR'!O224</f>
        <v>0</v>
      </c>
      <c r="CXD5" s="29">
        <f>'REG y VAL POE - AESR - ESR'!P224</f>
        <v>0</v>
      </c>
      <c r="CXE5" s="29">
        <f>'REG y VAL POE - AESR - ESR'!Q224</f>
        <v>0</v>
      </c>
      <c r="CXF5" s="29">
        <f>'REG y VAL POE - AESR - ESR'!R224</f>
        <v>0</v>
      </c>
      <c r="CXG5" s="29">
        <f>'REG y VAL POE - AESR - ESR'!S224</f>
        <v>0</v>
      </c>
      <c r="CXH5" s="29">
        <f>'REG y VAL POE - AESR - ESR'!T224</f>
        <v>0</v>
      </c>
      <c r="CXI5" s="29">
        <f>'REG y VAL POE - AESR - ESR'!U224</f>
        <v>0</v>
      </c>
      <c r="CXJ5" s="29">
        <f>'REG y VAL POE - AESR - ESR'!V224</f>
        <v>0</v>
      </c>
      <c r="CXK5" s="29">
        <f>'REG y VAL POE - AESR - ESR'!W224</f>
        <v>0</v>
      </c>
      <c r="CXL5" s="29">
        <f>'REG y VAL POE - AESR - ESR'!X224</f>
        <v>0</v>
      </c>
      <c r="CXM5" s="29">
        <f>'REG y VAL POE - AESR - ESR'!Y224</f>
        <v>0</v>
      </c>
      <c r="CXN5" s="29">
        <f>'REG y VAL POE - AESR - ESR'!Z224</f>
        <v>0</v>
      </c>
      <c r="CXO5" s="29">
        <f>'REG y VAL POE - AESR - ESR'!AA224</f>
        <v>0</v>
      </c>
      <c r="CXP5" s="29">
        <f>'REG y VAL POE - AESR - ESR'!AB224</f>
        <v>0</v>
      </c>
      <c r="CXQ5" s="29">
        <f>'REG y VAL POE - AESR - ESR'!AC224</f>
        <v>0</v>
      </c>
      <c r="CXR5" s="29">
        <f>'REG y VAL POE - AESR - ESR'!AD224</f>
        <v>0</v>
      </c>
      <c r="CXS5" s="29">
        <f>'REG y VAL POE - AESR - ESR'!AE224</f>
        <v>0</v>
      </c>
      <c r="CXT5" s="29">
        <f>'REG y VAL POE - AESR - ESR'!AF224</f>
        <v>0</v>
      </c>
      <c r="CXU5" s="29">
        <f>'REG y VAL POE - AESR - ESR'!AG224</f>
        <v>0</v>
      </c>
      <c r="CXV5" s="29">
        <f>'REG y VAL POE - AESR - ESR'!AH224</f>
        <v>0</v>
      </c>
      <c r="CXW5" s="29">
        <f>'REG y VAL POE - AESR - ESR'!AI224</f>
        <v>0</v>
      </c>
      <c r="CXX5" s="29">
        <f>'REG y VAL POE - AESR - ESR'!AJ224</f>
        <v>0</v>
      </c>
      <c r="CXY5" s="29">
        <f>'REG y VAL POE - AESR - ESR'!AK224</f>
        <v>0</v>
      </c>
      <c r="CXZ5" s="29">
        <f>'REG y VAL POE - AESR - ESR'!AL224</f>
        <v>0</v>
      </c>
      <c r="CYA5" s="29">
        <f>'REG y VAL POE - AESR - ESR'!AM224</f>
        <v>0</v>
      </c>
      <c r="CYB5" s="29">
        <f>'REG y VAL POE - AESR - ESR'!AN224</f>
        <v>0</v>
      </c>
      <c r="CYC5" s="29">
        <f>'REG y VAL POE - AESR - ESR'!AO224</f>
        <v>0</v>
      </c>
      <c r="CYD5" s="29">
        <f>'REG y VAL POE - AESR - ESR'!AP224</f>
        <v>0</v>
      </c>
      <c r="CYE5" s="29">
        <f>'REG y VAL POE - AESR - ESR'!AQ224</f>
        <v>0</v>
      </c>
      <c r="CYF5" s="29">
        <f>'REG y VAL POE - AESR - ESR'!AR224</f>
        <v>0</v>
      </c>
      <c r="CYG5" s="29">
        <f>'REG y VAL POE - AESR - ESR'!AS224</f>
        <v>0</v>
      </c>
      <c r="CYH5" s="30">
        <f>'REG y VAL POE - AESR - ESR'!B225</f>
        <v>0</v>
      </c>
      <c r="CYI5" s="28">
        <f>'REG y VAL POE - AESR - ESR'!C225</f>
        <v>0</v>
      </c>
      <c r="CYJ5" s="29">
        <f>'REG y VAL POE - AESR - ESR'!D225</f>
        <v>0</v>
      </c>
      <c r="CYK5" s="29">
        <f>'REG y VAL POE - AESR - ESR'!E225</f>
        <v>0</v>
      </c>
      <c r="CYL5" s="32">
        <f>'REG y VAL POE - AESR - ESR'!F225</f>
        <v>0</v>
      </c>
      <c r="CYM5" s="32">
        <f>'REG y VAL POE - AESR - ESR'!G225</f>
        <v>0</v>
      </c>
      <c r="CYN5" s="32">
        <f>'REG y VAL POE - AESR - ESR'!H225</f>
        <v>0</v>
      </c>
      <c r="CYO5" s="28">
        <f>'REG y VAL POE - AESR - ESR'!I225</f>
        <v>0</v>
      </c>
      <c r="CYP5" s="29">
        <f>'REG y VAL POE - AESR - ESR'!J225</f>
        <v>0</v>
      </c>
      <c r="CYQ5" s="29">
        <f>'REG y VAL POE - AESR - ESR'!K225</f>
        <v>0</v>
      </c>
      <c r="CYR5" s="28">
        <f>'REG y VAL POE - AESR - ESR'!L225</f>
        <v>0</v>
      </c>
      <c r="CYS5" s="29">
        <f>'REG y VAL POE - AESR - ESR'!M225</f>
        <v>0</v>
      </c>
      <c r="CYT5" s="30">
        <f>'REG y VAL POE - AESR - ESR'!N225</f>
        <v>0</v>
      </c>
      <c r="CYU5" s="28">
        <f>'REG y VAL POE - AESR - ESR'!O225</f>
        <v>0</v>
      </c>
      <c r="CYV5" s="29">
        <f>'REG y VAL POE - AESR - ESR'!P225</f>
        <v>0</v>
      </c>
      <c r="CYW5" s="29">
        <f>'REG y VAL POE - AESR - ESR'!Q225</f>
        <v>0</v>
      </c>
      <c r="CYX5" s="32">
        <f>'REG y VAL POE - AESR - ESR'!R225</f>
        <v>0</v>
      </c>
      <c r="CYY5" s="28">
        <f>'REG y VAL POE - AESR - ESR'!S225</f>
        <v>0</v>
      </c>
      <c r="CYZ5" s="29">
        <f>'REG y VAL POE - AESR - ESR'!T225</f>
        <v>0</v>
      </c>
      <c r="CZA5" s="29">
        <f>'REG y VAL POE - AESR - ESR'!U225</f>
        <v>0</v>
      </c>
      <c r="CZB5" s="28">
        <f>'REG y VAL POE - AESR - ESR'!V225</f>
        <v>0</v>
      </c>
      <c r="CZC5" s="29">
        <f>'REG y VAL POE - AESR - ESR'!W225</f>
        <v>0</v>
      </c>
      <c r="CZD5" s="30">
        <f>'REG y VAL POE - AESR - ESR'!X225</f>
        <v>0</v>
      </c>
      <c r="CZE5" s="28">
        <f>'REG y VAL POE - AESR - ESR'!Y225</f>
        <v>0</v>
      </c>
      <c r="CZF5" s="29">
        <f>'REG y VAL POE - AESR - ESR'!Z225</f>
        <v>0</v>
      </c>
      <c r="CZG5" s="29">
        <f>'REG y VAL POE - AESR - ESR'!AA225</f>
        <v>0</v>
      </c>
      <c r="CZH5" s="32">
        <f>'REG y VAL POE - AESR - ESR'!AB225</f>
        <v>0</v>
      </c>
      <c r="CZI5" s="28">
        <f>'REG y VAL POE - AESR - ESR'!AC225</f>
        <v>0</v>
      </c>
      <c r="CZJ5" s="29">
        <f>'REG y VAL POE - AESR - ESR'!AD225</f>
        <v>0</v>
      </c>
      <c r="CZK5" s="29">
        <f>'REG y VAL POE - AESR - ESR'!AE225</f>
        <v>0</v>
      </c>
      <c r="CZL5" s="28">
        <f>'REG y VAL POE - AESR - ESR'!AF225</f>
        <v>0</v>
      </c>
      <c r="CZM5" s="29">
        <f>'REG y VAL POE - AESR - ESR'!AG225</f>
        <v>0</v>
      </c>
      <c r="CZN5" s="30">
        <f>'REG y VAL POE - AESR - ESR'!AH225</f>
        <v>0</v>
      </c>
      <c r="CZO5" s="28">
        <f>'REG y VAL POE - AESR - ESR'!AI225</f>
        <v>0</v>
      </c>
      <c r="CZP5" s="29">
        <f>'REG y VAL POE - AESR - ESR'!AJ225</f>
        <v>0</v>
      </c>
      <c r="CZQ5" s="29">
        <f>'REG y VAL POE - AESR - ESR'!AK225</f>
        <v>0</v>
      </c>
      <c r="CZR5" s="32">
        <f>'REG y VAL POE - AESR - ESR'!AL225</f>
        <v>0</v>
      </c>
      <c r="CZS5" s="28">
        <f>'REG y VAL POE - AESR - ESR'!AM225</f>
        <v>0</v>
      </c>
      <c r="CZT5" s="29">
        <f>'REG y VAL POE - AESR - ESR'!AN225</f>
        <v>0</v>
      </c>
      <c r="CZU5" s="29">
        <f>'REG y VAL POE - AESR - ESR'!AO225</f>
        <v>0</v>
      </c>
      <c r="CZV5" s="28">
        <f>'REG y VAL POE - AESR - ESR'!AP225</f>
        <v>0</v>
      </c>
      <c r="CZW5" s="29">
        <f>'REG y VAL POE - AESR - ESR'!AQ225</f>
        <v>0</v>
      </c>
      <c r="CZX5" s="30">
        <f>'REG y VAL POE - AESR - ESR'!AR225</f>
        <v>0</v>
      </c>
      <c r="CZY5" s="28">
        <f>'REG y VAL POE - AESR - ESR'!AS225</f>
        <v>0</v>
      </c>
      <c r="CZZ5" s="30">
        <f>'REG y VAL POE - AESR - ESR'!B226</f>
        <v>0</v>
      </c>
      <c r="DAA5" s="29">
        <f>'REG y VAL POE - AESR - ESR'!C226</f>
        <v>0</v>
      </c>
      <c r="DAB5" s="28">
        <f>'REG y VAL POE - AESR - ESR'!D226</f>
        <v>0</v>
      </c>
      <c r="DAC5" s="29">
        <f>'REG y VAL POE - AESR - ESR'!E226</f>
        <v>0</v>
      </c>
      <c r="DAD5" s="28">
        <f>'REG y VAL POE - AESR - ESR'!F226</f>
        <v>0</v>
      </c>
      <c r="DAE5" s="28">
        <f>'REG y VAL POE - AESR - ESR'!G226</f>
        <v>0</v>
      </c>
      <c r="DAF5" s="28">
        <f>'REG y VAL POE - AESR - ESR'!H226</f>
        <v>0</v>
      </c>
      <c r="DAG5" s="29">
        <f>'REG y VAL POE - AESR - ESR'!I226</f>
        <v>0</v>
      </c>
      <c r="DAH5" s="388">
        <f>'REG y VAL POE - AESR - ESR'!J226</f>
        <v>0</v>
      </c>
      <c r="DAI5" s="29">
        <f>'REG y VAL POE - AESR - ESR'!K226</f>
        <v>0</v>
      </c>
      <c r="DAJ5" s="388">
        <f>'REG y VAL POE - AESR - ESR'!L226</f>
        <v>0</v>
      </c>
      <c r="DAK5" s="29">
        <f>'REG y VAL POE - AESR - ESR'!M226</f>
        <v>0</v>
      </c>
      <c r="DAL5" s="388">
        <f>'REG y VAL POE - AESR - ESR'!N226</f>
        <v>0</v>
      </c>
      <c r="DAM5" s="29">
        <f>'REG y VAL POE - AESR - ESR'!O226</f>
        <v>0</v>
      </c>
      <c r="DAN5" s="29">
        <f>'REG y VAL POE - AESR - ESR'!P226</f>
        <v>0</v>
      </c>
      <c r="DAO5" s="29">
        <f>'REG y VAL POE - AESR - ESR'!Q226</f>
        <v>0</v>
      </c>
      <c r="DAP5" s="29">
        <f>'REG y VAL POE - AESR - ESR'!R226</f>
        <v>0</v>
      </c>
      <c r="DAQ5" s="29">
        <f>'REG y VAL POE - AESR - ESR'!S226</f>
        <v>0</v>
      </c>
      <c r="DAR5" s="29">
        <f>'REG y VAL POE - AESR - ESR'!T226</f>
        <v>0</v>
      </c>
      <c r="DAS5" s="29">
        <f>'REG y VAL POE - AESR - ESR'!U226</f>
        <v>0</v>
      </c>
      <c r="DAT5" s="29">
        <f>'REG y VAL POE - AESR - ESR'!V226</f>
        <v>0</v>
      </c>
      <c r="DAU5" s="29">
        <f>'REG y VAL POE - AESR - ESR'!W226</f>
        <v>0</v>
      </c>
      <c r="DAV5" s="29">
        <f>'REG y VAL POE - AESR - ESR'!X226</f>
        <v>0</v>
      </c>
      <c r="DAW5" s="29">
        <f>'REG y VAL POE - AESR - ESR'!Y226</f>
        <v>0</v>
      </c>
      <c r="DAX5" s="29">
        <f>'REG y VAL POE - AESR - ESR'!Z226</f>
        <v>0</v>
      </c>
      <c r="DAY5" s="29">
        <f>'REG y VAL POE - AESR - ESR'!AA226</f>
        <v>0</v>
      </c>
      <c r="DAZ5" s="29">
        <f>'REG y VAL POE - AESR - ESR'!AB226</f>
        <v>0</v>
      </c>
      <c r="DBA5" s="29">
        <f>'REG y VAL POE - AESR - ESR'!AC226</f>
        <v>0</v>
      </c>
      <c r="DBB5" s="29">
        <f>'REG y VAL POE - AESR - ESR'!AD226</f>
        <v>0</v>
      </c>
      <c r="DBC5" s="29">
        <f>'REG y VAL POE - AESR - ESR'!AE226</f>
        <v>0</v>
      </c>
      <c r="DBD5" s="29">
        <f>'REG y VAL POE - AESR - ESR'!AF226</f>
        <v>0</v>
      </c>
      <c r="DBE5" s="29">
        <f>'REG y VAL POE - AESR - ESR'!AG226</f>
        <v>0</v>
      </c>
      <c r="DBF5" s="29">
        <f>'REG y VAL POE - AESR - ESR'!AH226</f>
        <v>0</v>
      </c>
      <c r="DBG5" s="29">
        <f>'REG y VAL POE - AESR - ESR'!AI226</f>
        <v>0</v>
      </c>
      <c r="DBH5" s="29">
        <f>'REG y VAL POE - AESR - ESR'!AJ226</f>
        <v>0</v>
      </c>
      <c r="DBI5" s="29">
        <f>'REG y VAL POE - AESR - ESR'!AK226</f>
        <v>0</v>
      </c>
      <c r="DBJ5" s="29">
        <f>'REG y VAL POE - AESR - ESR'!AL226</f>
        <v>0</v>
      </c>
      <c r="DBK5" s="29">
        <f>'REG y VAL POE - AESR - ESR'!AM226</f>
        <v>0</v>
      </c>
      <c r="DBL5" s="29">
        <f>'REG y VAL POE - AESR - ESR'!AN226</f>
        <v>0</v>
      </c>
      <c r="DBM5" s="29">
        <f>'REG y VAL POE - AESR - ESR'!AO226</f>
        <v>0</v>
      </c>
      <c r="DBN5" s="29">
        <f>'REG y VAL POE - AESR - ESR'!AP226</f>
        <v>0</v>
      </c>
      <c r="DBO5" s="29">
        <f>'REG y VAL POE - AESR - ESR'!AQ226</f>
        <v>0</v>
      </c>
      <c r="DBP5" s="29">
        <f>'REG y VAL POE - AESR - ESR'!AR226</f>
        <v>0</v>
      </c>
      <c r="DBQ5" s="29">
        <f>'REG y VAL POE - AESR - ESR'!AS226</f>
        <v>0</v>
      </c>
      <c r="DBR5" s="30">
        <f>'REG y VAL POE - AESR - ESR'!B227</f>
        <v>0</v>
      </c>
      <c r="DBS5" s="28">
        <f>'REG y VAL POE - AESR - ESR'!C227</f>
        <v>0</v>
      </c>
      <c r="DBT5" s="29">
        <f>'REG y VAL POE - AESR - ESR'!D227</f>
        <v>0</v>
      </c>
      <c r="DBU5" s="29">
        <f>'REG y VAL POE - AESR - ESR'!E227</f>
        <v>0</v>
      </c>
      <c r="DBV5" s="32">
        <f>'REG y VAL POE - AESR - ESR'!F227</f>
        <v>0</v>
      </c>
      <c r="DBW5" s="32">
        <f>'REG y VAL POE - AESR - ESR'!G227</f>
        <v>0</v>
      </c>
      <c r="DBX5" s="32">
        <f>'REG y VAL POE - AESR - ESR'!H227</f>
        <v>0</v>
      </c>
      <c r="DBY5" s="28">
        <f>'REG y VAL POE - AESR - ESR'!I227</f>
        <v>0</v>
      </c>
      <c r="DBZ5" s="29">
        <f>'REG y VAL POE - AESR - ESR'!J227</f>
        <v>0</v>
      </c>
      <c r="DCA5" s="29">
        <f>'REG y VAL POE - AESR - ESR'!K227</f>
        <v>0</v>
      </c>
      <c r="DCB5" s="28">
        <f>'REG y VAL POE - AESR - ESR'!L227</f>
        <v>0</v>
      </c>
      <c r="DCC5" s="29">
        <f>'REG y VAL POE - AESR - ESR'!M227</f>
        <v>0</v>
      </c>
      <c r="DCD5" s="30">
        <f>'REG y VAL POE - AESR - ESR'!N227</f>
        <v>0</v>
      </c>
      <c r="DCE5" s="28">
        <f>'REG y VAL POE - AESR - ESR'!O227</f>
        <v>0</v>
      </c>
      <c r="DCF5" s="29">
        <f>'REG y VAL POE - AESR - ESR'!P227</f>
        <v>0</v>
      </c>
      <c r="DCG5" s="29">
        <f>'REG y VAL POE - AESR - ESR'!Q227</f>
        <v>0</v>
      </c>
      <c r="DCH5" s="32">
        <f>'REG y VAL POE - AESR - ESR'!R227</f>
        <v>0</v>
      </c>
      <c r="DCI5" s="28">
        <f>'REG y VAL POE - AESR - ESR'!S227</f>
        <v>0</v>
      </c>
      <c r="DCJ5" s="29">
        <f>'REG y VAL POE - AESR - ESR'!T227</f>
        <v>0</v>
      </c>
      <c r="DCK5" s="29">
        <f>'REG y VAL POE - AESR - ESR'!U227</f>
        <v>0</v>
      </c>
      <c r="DCL5" s="28">
        <f>'REG y VAL POE - AESR - ESR'!V227</f>
        <v>0</v>
      </c>
      <c r="DCM5" s="29">
        <f>'REG y VAL POE - AESR - ESR'!W227</f>
        <v>0</v>
      </c>
      <c r="DCN5" s="30">
        <f>'REG y VAL POE - AESR - ESR'!X227</f>
        <v>0</v>
      </c>
      <c r="DCO5" s="28">
        <f>'REG y VAL POE - AESR - ESR'!Y227</f>
        <v>0</v>
      </c>
      <c r="DCP5" s="29">
        <f>'REG y VAL POE - AESR - ESR'!Z227</f>
        <v>0</v>
      </c>
      <c r="DCQ5" s="29">
        <f>'REG y VAL POE - AESR - ESR'!AA227</f>
        <v>0</v>
      </c>
      <c r="DCR5" s="32">
        <f>'REG y VAL POE - AESR - ESR'!AB227</f>
        <v>0</v>
      </c>
      <c r="DCS5" s="28">
        <f>'REG y VAL POE - AESR - ESR'!AC227</f>
        <v>0</v>
      </c>
      <c r="DCT5" s="29">
        <f>'REG y VAL POE - AESR - ESR'!AD227</f>
        <v>0</v>
      </c>
      <c r="DCU5" s="29">
        <f>'REG y VAL POE - AESR - ESR'!AE227</f>
        <v>0</v>
      </c>
      <c r="DCV5" s="28">
        <f>'REG y VAL POE - AESR - ESR'!AF227</f>
        <v>0</v>
      </c>
      <c r="DCW5" s="29">
        <f>'REG y VAL POE - AESR - ESR'!AG227</f>
        <v>0</v>
      </c>
      <c r="DCX5" s="30">
        <f>'REG y VAL POE - AESR - ESR'!AH227</f>
        <v>0</v>
      </c>
      <c r="DCY5" s="28">
        <f>'REG y VAL POE - AESR - ESR'!AI227</f>
        <v>0</v>
      </c>
      <c r="DCZ5" s="29">
        <f>'REG y VAL POE - AESR - ESR'!AJ227</f>
        <v>0</v>
      </c>
      <c r="DDA5" s="29">
        <f>'REG y VAL POE - AESR - ESR'!AK227</f>
        <v>0</v>
      </c>
      <c r="DDB5" s="32">
        <f>'REG y VAL POE - AESR - ESR'!AL227</f>
        <v>0</v>
      </c>
      <c r="DDC5" s="28">
        <f>'REG y VAL POE - AESR - ESR'!AM227</f>
        <v>0</v>
      </c>
      <c r="DDD5" s="29">
        <f>'REG y VAL POE - AESR - ESR'!AN227</f>
        <v>0</v>
      </c>
      <c r="DDE5" s="29">
        <f>'REG y VAL POE - AESR - ESR'!AO227</f>
        <v>0</v>
      </c>
      <c r="DDF5" s="28">
        <f>'REG y VAL POE - AESR - ESR'!AP227</f>
        <v>0</v>
      </c>
      <c r="DDG5" s="29">
        <f>'REG y VAL POE - AESR - ESR'!AQ227</f>
        <v>0</v>
      </c>
      <c r="DDH5" s="30">
        <f>'REG y VAL POE - AESR - ESR'!AR227</f>
        <v>0</v>
      </c>
      <c r="DDI5" s="28">
        <f>'REG y VAL POE - AESR - ESR'!AS227</f>
        <v>0</v>
      </c>
      <c r="DDJ5" s="30">
        <f>'REG y VAL POE - AESR - ESR'!B228</f>
        <v>0</v>
      </c>
      <c r="DDK5" s="29">
        <f>'REG y VAL POE - AESR - ESR'!C228</f>
        <v>0</v>
      </c>
      <c r="DDL5" s="28">
        <f>'REG y VAL POE - AESR - ESR'!D228</f>
        <v>0</v>
      </c>
      <c r="DDM5" s="29">
        <f>'REG y VAL POE - AESR - ESR'!E228</f>
        <v>0</v>
      </c>
      <c r="DDN5" s="28">
        <f>'REG y VAL POE - AESR - ESR'!F228</f>
        <v>0</v>
      </c>
      <c r="DDO5" s="28">
        <f>'REG y VAL POE - AESR - ESR'!G228</f>
        <v>0</v>
      </c>
      <c r="DDP5" s="28">
        <f>'REG y VAL POE - AESR - ESR'!H228</f>
        <v>0</v>
      </c>
      <c r="DDQ5" s="29">
        <f>'REG y VAL POE - AESR - ESR'!I228</f>
        <v>0</v>
      </c>
      <c r="DDR5" s="388">
        <f>'REG y VAL POE - AESR - ESR'!J228</f>
        <v>0</v>
      </c>
      <c r="DDS5" s="29">
        <f>'REG y VAL POE - AESR - ESR'!K228</f>
        <v>0</v>
      </c>
      <c r="DDT5" s="388">
        <f>'REG y VAL POE - AESR - ESR'!L228</f>
        <v>0</v>
      </c>
      <c r="DDU5" s="29">
        <f>'REG y VAL POE - AESR - ESR'!M228</f>
        <v>0</v>
      </c>
      <c r="DDV5" s="388">
        <f>'REG y VAL POE - AESR - ESR'!N228</f>
        <v>0</v>
      </c>
      <c r="DDW5" s="29">
        <f>'REG y VAL POE - AESR - ESR'!O228</f>
        <v>0</v>
      </c>
      <c r="DDX5" s="29">
        <f>'REG y VAL POE - AESR - ESR'!P228</f>
        <v>0</v>
      </c>
      <c r="DDY5" s="29">
        <f>'REG y VAL POE - AESR - ESR'!Q228</f>
        <v>0</v>
      </c>
      <c r="DDZ5" s="29">
        <f>'REG y VAL POE - AESR - ESR'!R228</f>
        <v>0</v>
      </c>
      <c r="DEA5" s="29">
        <f>'REG y VAL POE - AESR - ESR'!S228</f>
        <v>0</v>
      </c>
      <c r="DEB5" s="29">
        <f>'REG y VAL POE - AESR - ESR'!T228</f>
        <v>0</v>
      </c>
      <c r="DEC5" s="29">
        <f>'REG y VAL POE - AESR - ESR'!U228</f>
        <v>0</v>
      </c>
      <c r="DED5" s="29">
        <f>'REG y VAL POE - AESR - ESR'!V228</f>
        <v>0</v>
      </c>
      <c r="DEE5" s="29">
        <f>'REG y VAL POE - AESR - ESR'!W228</f>
        <v>0</v>
      </c>
      <c r="DEF5" s="29">
        <f>'REG y VAL POE - AESR - ESR'!X228</f>
        <v>0</v>
      </c>
      <c r="DEG5" s="29">
        <f>'REG y VAL POE - AESR - ESR'!Y228</f>
        <v>0</v>
      </c>
      <c r="DEH5" s="29">
        <f>'REG y VAL POE - AESR - ESR'!Z228</f>
        <v>0</v>
      </c>
      <c r="DEI5" s="29">
        <f>'REG y VAL POE - AESR - ESR'!AA228</f>
        <v>0</v>
      </c>
      <c r="DEJ5" s="29">
        <f>'REG y VAL POE - AESR - ESR'!AB228</f>
        <v>0</v>
      </c>
      <c r="DEK5" s="29">
        <f>'REG y VAL POE - AESR - ESR'!AC228</f>
        <v>0</v>
      </c>
      <c r="DEL5" s="29">
        <f>'REG y VAL POE - AESR - ESR'!AD228</f>
        <v>0</v>
      </c>
      <c r="DEM5" s="29">
        <f>'REG y VAL POE - AESR - ESR'!AE228</f>
        <v>0</v>
      </c>
      <c r="DEN5" s="29">
        <f>'REG y VAL POE - AESR - ESR'!AF228</f>
        <v>0</v>
      </c>
      <c r="DEO5" s="29">
        <f>'REG y VAL POE - AESR - ESR'!AG228</f>
        <v>0</v>
      </c>
      <c r="DEP5" s="29">
        <f>'REG y VAL POE - AESR - ESR'!AH228</f>
        <v>0</v>
      </c>
      <c r="DEQ5" s="29">
        <f>'REG y VAL POE - AESR - ESR'!AI228</f>
        <v>0</v>
      </c>
      <c r="DER5" s="29">
        <f>'REG y VAL POE - AESR - ESR'!AJ228</f>
        <v>0</v>
      </c>
      <c r="DES5" s="29">
        <f>'REG y VAL POE - AESR - ESR'!AK228</f>
        <v>0</v>
      </c>
      <c r="DET5" s="29">
        <f>'REG y VAL POE - AESR - ESR'!AL228</f>
        <v>0</v>
      </c>
      <c r="DEU5" s="29">
        <f>'REG y VAL POE - AESR - ESR'!AM228</f>
        <v>0</v>
      </c>
      <c r="DEV5" s="29">
        <f>'REG y VAL POE - AESR - ESR'!AN228</f>
        <v>0</v>
      </c>
      <c r="DEW5" s="29">
        <f>'REG y VAL POE - AESR - ESR'!AO228</f>
        <v>0</v>
      </c>
      <c r="DEX5" s="29">
        <f>'REG y VAL POE - AESR - ESR'!AP228</f>
        <v>0</v>
      </c>
      <c r="DEY5" s="29">
        <f>'REG y VAL POE - AESR - ESR'!AQ228</f>
        <v>0</v>
      </c>
      <c r="DEZ5" s="29">
        <f>'REG y VAL POE - AESR - ESR'!AR228</f>
        <v>0</v>
      </c>
      <c r="DFA5" s="29">
        <f>'REG y VAL POE - AESR - ESR'!AS228</f>
        <v>0</v>
      </c>
      <c r="DFB5" s="30">
        <f>'REG y VAL POE - AESR - ESR'!B229</f>
        <v>0</v>
      </c>
      <c r="DFC5" s="28">
        <f>'REG y VAL POE - AESR - ESR'!C229</f>
        <v>0</v>
      </c>
      <c r="DFD5" s="29">
        <f>'REG y VAL POE - AESR - ESR'!D229</f>
        <v>0</v>
      </c>
      <c r="DFE5" s="29">
        <f>'REG y VAL POE - AESR - ESR'!E229</f>
        <v>0</v>
      </c>
      <c r="DFF5" s="32">
        <f>'REG y VAL POE - AESR - ESR'!F229</f>
        <v>0</v>
      </c>
      <c r="DFG5" s="32">
        <f>'REG y VAL POE - AESR - ESR'!G229</f>
        <v>0</v>
      </c>
      <c r="DFH5" s="32">
        <f>'REG y VAL POE - AESR - ESR'!H229</f>
        <v>0</v>
      </c>
      <c r="DFI5" s="28">
        <f>'REG y VAL POE - AESR - ESR'!I229</f>
        <v>0</v>
      </c>
      <c r="DFJ5" s="29">
        <f>'REG y VAL POE - AESR - ESR'!J229</f>
        <v>0</v>
      </c>
      <c r="DFK5" s="29">
        <f>'REG y VAL POE - AESR - ESR'!K229</f>
        <v>0</v>
      </c>
      <c r="DFL5" s="28">
        <f>'REG y VAL POE - AESR - ESR'!L229</f>
        <v>0</v>
      </c>
      <c r="DFM5" s="29">
        <f>'REG y VAL POE - AESR - ESR'!M229</f>
        <v>0</v>
      </c>
      <c r="DFN5" s="30">
        <f>'REG y VAL POE - AESR - ESR'!N229</f>
        <v>0</v>
      </c>
      <c r="DFO5" s="28">
        <f>'REG y VAL POE - AESR - ESR'!O229</f>
        <v>0</v>
      </c>
      <c r="DFP5" s="29">
        <f>'REG y VAL POE - AESR - ESR'!P229</f>
        <v>0</v>
      </c>
      <c r="DFQ5" s="29">
        <f>'REG y VAL POE - AESR - ESR'!Q229</f>
        <v>0</v>
      </c>
      <c r="DFR5" s="32">
        <f>'REG y VAL POE - AESR - ESR'!R229</f>
        <v>0</v>
      </c>
      <c r="DFS5" s="28">
        <f>'REG y VAL POE - AESR - ESR'!S229</f>
        <v>0</v>
      </c>
      <c r="DFT5" s="29">
        <f>'REG y VAL POE - AESR - ESR'!T229</f>
        <v>0</v>
      </c>
      <c r="DFU5" s="29">
        <f>'REG y VAL POE - AESR - ESR'!U229</f>
        <v>0</v>
      </c>
      <c r="DFV5" s="28">
        <f>'REG y VAL POE - AESR - ESR'!V229</f>
        <v>0</v>
      </c>
      <c r="DFW5" s="29">
        <f>'REG y VAL POE - AESR - ESR'!W229</f>
        <v>0</v>
      </c>
      <c r="DFX5" s="30">
        <f>'REG y VAL POE - AESR - ESR'!X229</f>
        <v>0</v>
      </c>
      <c r="DFY5" s="28">
        <f>'REG y VAL POE - AESR - ESR'!Y229</f>
        <v>0</v>
      </c>
      <c r="DFZ5" s="29">
        <f>'REG y VAL POE - AESR - ESR'!Z229</f>
        <v>0</v>
      </c>
      <c r="DGA5" s="29">
        <f>'REG y VAL POE - AESR - ESR'!AA229</f>
        <v>0</v>
      </c>
      <c r="DGB5" s="32">
        <f>'REG y VAL POE - AESR - ESR'!AB229</f>
        <v>0</v>
      </c>
      <c r="DGC5" s="28">
        <f>'REG y VAL POE - AESR - ESR'!AC229</f>
        <v>0</v>
      </c>
      <c r="DGD5" s="29">
        <f>'REG y VAL POE - AESR - ESR'!AD229</f>
        <v>0</v>
      </c>
      <c r="DGE5" s="29">
        <f>'REG y VAL POE - AESR - ESR'!AE229</f>
        <v>0</v>
      </c>
      <c r="DGF5" s="28">
        <f>'REG y VAL POE - AESR - ESR'!AF229</f>
        <v>0</v>
      </c>
      <c r="DGG5" s="29">
        <f>'REG y VAL POE - AESR - ESR'!AG229</f>
        <v>0</v>
      </c>
      <c r="DGH5" s="30">
        <f>'REG y VAL POE - AESR - ESR'!AH229</f>
        <v>0</v>
      </c>
      <c r="DGI5" s="28">
        <f>'REG y VAL POE - AESR - ESR'!AI229</f>
        <v>0</v>
      </c>
      <c r="DGJ5" s="29">
        <f>'REG y VAL POE - AESR - ESR'!AJ229</f>
        <v>0</v>
      </c>
      <c r="DGK5" s="29">
        <f>'REG y VAL POE - AESR - ESR'!AK229</f>
        <v>0</v>
      </c>
      <c r="DGL5" s="32">
        <f>'REG y VAL POE - AESR - ESR'!AL229</f>
        <v>0</v>
      </c>
      <c r="DGM5" s="28">
        <f>'REG y VAL POE - AESR - ESR'!AM229</f>
        <v>0</v>
      </c>
      <c r="DGN5" s="29">
        <f>'REG y VAL POE - AESR - ESR'!AN229</f>
        <v>0</v>
      </c>
      <c r="DGO5" s="29">
        <f>'REG y VAL POE - AESR - ESR'!AO229</f>
        <v>0</v>
      </c>
      <c r="DGP5" s="28">
        <f>'REG y VAL POE - AESR - ESR'!AP229</f>
        <v>0</v>
      </c>
      <c r="DGQ5" s="29">
        <f>'REG y VAL POE - AESR - ESR'!AQ229</f>
        <v>0</v>
      </c>
      <c r="DGR5" s="30">
        <f>'REG y VAL POE - AESR - ESR'!AR229</f>
        <v>0</v>
      </c>
      <c r="DGS5" s="28">
        <f>'REG y VAL POE - AESR - ESR'!AS229</f>
        <v>0</v>
      </c>
      <c r="DGT5" s="30">
        <f>'REG y VAL POE - AESR - ESR'!B230</f>
        <v>0</v>
      </c>
      <c r="DGU5" s="29">
        <f>'REG y VAL POE - AESR - ESR'!C230</f>
        <v>0</v>
      </c>
      <c r="DGV5" s="28">
        <f>'REG y VAL POE - AESR - ESR'!D230</f>
        <v>0</v>
      </c>
      <c r="DGW5" s="29">
        <f>'REG y VAL POE - AESR - ESR'!E230</f>
        <v>0</v>
      </c>
      <c r="DGX5" s="28">
        <f>'REG y VAL POE - AESR - ESR'!F230</f>
        <v>0</v>
      </c>
      <c r="DGY5" s="28">
        <f>'REG y VAL POE - AESR - ESR'!G230</f>
        <v>0</v>
      </c>
      <c r="DGZ5" s="28">
        <f>'REG y VAL POE - AESR - ESR'!H230</f>
        <v>0</v>
      </c>
      <c r="DHA5" s="29">
        <f>'REG y VAL POE - AESR - ESR'!I230</f>
        <v>0</v>
      </c>
      <c r="DHB5" s="388">
        <f>'REG y VAL POE - AESR - ESR'!J230</f>
        <v>0</v>
      </c>
      <c r="DHC5" s="29">
        <f>'REG y VAL POE - AESR - ESR'!K230</f>
        <v>0</v>
      </c>
      <c r="DHD5" s="388">
        <f>'REG y VAL POE - AESR - ESR'!L230</f>
        <v>0</v>
      </c>
      <c r="DHE5" s="29">
        <f>'REG y VAL POE - AESR - ESR'!M230</f>
        <v>0</v>
      </c>
      <c r="DHF5" s="388">
        <f>'REG y VAL POE - AESR - ESR'!N230</f>
        <v>0</v>
      </c>
      <c r="DHG5" s="29">
        <f>'REG y VAL POE - AESR - ESR'!O230</f>
        <v>0</v>
      </c>
      <c r="DHH5" s="29">
        <f>'REG y VAL POE - AESR - ESR'!P230</f>
        <v>0</v>
      </c>
      <c r="DHI5" s="29">
        <f>'REG y VAL POE - AESR - ESR'!Q230</f>
        <v>0</v>
      </c>
      <c r="DHJ5" s="29">
        <f>'REG y VAL POE - AESR - ESR'!R230</f>
        <v>0</v>
      </c>
      <c r="DHK5" s="29">
        <f>'REG y VAL POE - AESR - ESR'!S230</f>
        <v>0</v>
      </c>
      <c r="DHL5" s="29">
        <f>'REG y VAL POE - AESR - ESR'!T230</f>
        <v>0</v>
      </c>
      <c r="DHM5" s="29">
        <f>'REG y VAL POE - AESR - ESR'!U230</f>
        <v>0</v>
      </c>
      <c r="DHN5" s="29">
        <f>'REG y VAL POE - AESR - ESR'!V230</f>
        <v>0</v>
      </c>
      <c r="DHO5" s="29">
        <f>'REG y VAL POE - AESR - ESR'!W230</f>
        <v>0</v>
      </c>
      <c r="DHP5" s="29">
        <f>'REG y VAL POE - AESR - ESR'!X230</f>
        <v>0</v>
      </c>
      <c r="DHQ5" s="29">
        <f>'REG y VAL POE - AESR - ESR'!Y230</f>
        <v>0</v>
      </c>
      <c r="DHR5" s="29">
        <f>'REG y VAL POE - AESR - ESR'!Z230</f>
        <v>0</v>
      </c>
      <c r="DHS5" s="29">
        <f>'REG y VAL POE - AESR - ESR'!AA230</f>
        <v>0</v>
      </c>
      <c r="DHT5" s="29">
        <f>'REG y VAL POE - AESR - ESR'!AB230</f>
        <v>0</v>
      </c>
      <c r="DHU5" s="29">
        <f>'REG y VAL POE - AESR - ESR'!AC230</f>
        <v>0</v>
      </c>
      <c r="DHV5" s="29">
        <f>'REG y VAL POE - AESR - ESR'!AD230</f>
        <v>0</v>
      </c>
      <c r="DHW5" s="29">
        <f>'REG y VAL POE - AESR - ESR'!AE230</f>
        <v>0</v>
      </c>
      <c r="DHX5" s="29">
        <f>'REG y VAL POE - AESR - ESR'!AF230</f>
        <v>0</v>
      </c>
      <c r="DHY5" s="29">
        <f>'REG y VAL POE - AESR - ESR'!AG230</f>
        <v>0</v>
      </c>
      <c r="DHZ5" s="29">
        <f>'REG y VAL POE - AESR - ESR'!AH230</f>
        <v>0</v>
      </c>
      <c r="DIA5" s="29">
        <f>'REG y VAL POE - AESR - ESR'!AI230</f>
        <v>0</v>
      </c>
      <c r="DIB5" s="29">
        <f>'REG y VAL POE - AESR - ESR'!AJ230</f>
        <v>0</v>
      </c>
      <c r="DIC5" s="29">
        <f>'REG y VAL POE - AESR - ESR'!AK230</f>
        <v>0</v>
      </c>
      <c r="DID5" s="29">
        <f>'REG y VAL POE - AESR - ESR'!AL230</f>
        <v>0</v>
      </c>
      <c r="DIE5" s="29">
        <f>'REG y VAL POE - AESR - ESR'!AM230</f>
        <v>0</v>
      </c>
      <c r="DIF5" s="29">
        <f>'REG y VAL POE - AESR - ESR'!AN230</f>
        <v>0</v>
      </c>
      <c r="DIG5" s="29">
        <f>'REG y VAL POE - AESR - ESR'!AO230</f>
        <v>0</v>
      </c>
      <c r="DIH5" s="29">
        <f>'REG y VAL POE - AESR - ESR'!AP230</f>
        <v>0</v>
      </c>
      <c r="DII5" s="29">
        <f>'REG y VAL POE - AESR - ESR'!AQ230</f>
        <v>0</v>
      </c>
      <c r="DIJ5" s="29">
        <f>'REG y VAL POE - AESR - ESR'!AR230</f>
        <v>0</v>
      </c>
      <c r="DIK5" s="29">
        <f>'REG y VAL POE - AESR - ESR'!AS230</f>
        <v>0</v>
      </c>
      <c r="DIL5" s="30">
        <f>'REG y VAL POE - AESR - ESR'!B231</f>
        <v>0</v>
      </c>
      <c r="DIM5" s="28">
        <f>'REG y VAL POE - AESR - ESR'!C231</f>
        <v>0</v>
      </c>
      <c r="DIN5" s="29">
        <f>'REG y VAL POE - AESR - ESR'!D231</f>
        <v>0</v>
      </c>
      <c r="DIO5" s="29">
        <f>'REG y VAL POE - AESR - ESR'!E231</f>
        <v>0</v>
      </c>
      <c r="DIP5" s="32">
        <f>'REG y VAL POE - AESR - ESR'!F231</f>
        <v>0</v>
      </c>
      <c r="DIQ5" s="32">
        <f>'REG y VAL POE - AESR - ESR'!G231</f>
        <v>0</v>
      </c>
      <c r="DIR5" s="32">
        <f>'REG y VAL POE - AESR - ESR'!H231</f>
        <v>0</v>
      </c>
      <c r="DIS5" s="28">
        <f>'REG y VAL POE - AESR - ESR'!I231</f>
        <v>0</v>
      </c>
      <c r="DIT5" s="29">
        <f>'REG y VAL POE - AESR - ESR'!J231</f>
        <v>0</v>
      </c>
      <c r="DIU5" s="29">
        <f>'REG y VAL POE - AESR - ESR'!K231</f>
        <v>0</v>
      </c>
      <c r="DIV5" s="28">
        <f>'REG y VAL POE - AESR - ESR'!L231</f>
        <v>0</v>
      </c>
      <c r="DIW5" s="29">
        <f>'REG y VAL POE - AESR - ESR'!M231</f>
        <v>0</v>
      </c>
      <c r="DIX5" s="30">
        <f>'REG y VAL POE - AESR - ESR'!N231</f>
        <v>0</v>
      </c>
      <c r="DIY5" s="28">
        <f>'REG y VAL POE - AESR - ESR'!O231</f>
        <v>0</v>
      </c>
      <c r="DIZ5" s="29">
        <f>'REG y VAL POE - AESR - ESR'!P231</f>
        <v>0</v>
      </c>
      <c r="DJA5" s="29">
        <f>'REG y VAL POE - AESR - ESR'!Q231</f>
        <v>0</v>
      </c>
      <c r="DJB5" s="32">
        <f>'REG y VAL POE - AESR - ESR'!R231</f>
        <v>0</v>
      </c>
      <c r="DJC5" s="28">
        <f>'REG y VAL POE - AESR - ESR'!S231</f>
        <v>0</v>
      </c>
      <c r="DJD5" s="29">
        <f>'REG y VAL POE - AESR - ESR'!T231</f>
        <v>0</v>
      </c>
      <c r="DJE5" s="29">
        <f>'REG y VAL POE - AESR - ESR'!U231</f>
        <v>0</v>
      </c>
      <c r="DJF5" s="28">
        <f>'REG y VAL POE - AESR - ESR'!V231</f>
        <v>0</v>
      </c>
      <c r="DJG5" s="29">
        <f>'REG y VAL POE - AESR - ESR'!W231</f>
        <v>0</v>
      </c>
      <c r="DJH5" s="30">
        <f>'REG y VAL POE - AESR - ESR'!X231</f>
        <v>0</v>
      </c>
      <c r="DJI5" s="28">
        <f>'REG y VAL POE - AESR - ESR'!Y231</f>
        <v>0</v>
      </c>
      <c r="DJJ5" s="29">
        <f>'REG y VAL POE - AESR - ESR'!Z231</f>
        <v>0</v>
      </c>
      <c r="DJK5" s="29">
        <f>'REG y VAL POE - AESR - ESR'!AA231</f>
        <v>0</v>
      </c>
      <c r="DJL5" s="32">
        <f>'REG y VAL POE - AESR - ESR'!AB231</f>
        <v>0</v>
      </c>
      <c r="DJM5" s="28">
        <f>'REG y VAL POE - AESR - ESR'!AC231</f>
        <v>0</v>
      </c>
      <c r="DJN5" s="29">
        <f>'REG y VAL POE - AESR - ESR'!AD231</f>
        <v>0</v>
      </c>
      <c r="DJO5" s="29">
        <f>'REG y VAL POE - AESR - ESR'!AE231</f>
        <v>0</v>
      </c>
      <c r="DJP5" s="28">
        <f>'REG y VAL POE - AESR - ESR'!AF231</f>
        <v>0</v>
      </c>
      <c r="DJQ5" s="29">
        <f>'REG y VAL POE - AESR - ESR'!AG231</f>
        <v>0</v>
      </c>
      <c r="DJR5" s="30">
        <f>'REG y VAL POE - AESR - ESR'!AH231</f>
        <v>0</v>
      </c>
      <c r="DJS5" s="28">
        <f>'REG y VAL POE - AESR - ESR'!AI231</f>
        <v>0</v>
      </c>
      <c r="DJT5" s="29">
        <f>'REG y VAL POE - AESR - ESR'!AJ231</f>
        <v>0</v>
      </c>
      <c r="DJU5" s="29">
        <f>'REG y VAL POE - AESR - ESR'!AK231</f>
        <v>0</v>
      </c>
      <c r="DJV5" s="32">
        <f>'REG y VAL POE - AESR - ESR'!AL231</f>
        <v>0</v>
      </c>
      <c r="DJW5" s="28">
        <f>'REG y VAL POE - AESR - ESR'!AM231</f>
        <v>0</v>
      </c>
      <c r="DJX5" s="29">
        <f>'REG y VAL POE - AESR - ESR'!AN231</f>
        <v>0</v>
      </c>
      <c r="DJY5" s="29">
        <f>'REG y VAL POE - AESR - ESR'!AO231</f>
        <v>0</v>
      </c>
      <c r="DJZ5" s="28">
        <f>'REG y VAL POE - AESR - ESR'!AP231</f>
        <v>0</v>
      </c>
      <c r="DKA5" s="29">
        <f>'REG y VAL POE - AESR - ESR'!AQ231</f>
        <v>0</v>
      </c>
      <c r="DKB5" s="30">
        <f>'REG y VAL POE - AESR - ESR'!AR231</f>
        <v>0</v>
      </c>
      <c r="DKC5" s="28">
        <f>'REG y VAL POE - AESR - ESR'!AS231</f>
        <v>0</v>
      </c>
      <c r="DKD5" s="30">
        <f>'REG y VAL POE - AESR - ESR'!B232</f>
        <v>0</v>
      </c>
      <c r="DKE5" s="29">
        <f>'REG y VAL POE - AESR - ESR'!C232</f>
        <v>0</v>
      </c>
      <c r="DKF5" s="28">
        <f>'REG y VAL POE - AESR - ESR'!D232</f>
        <v>0</v>
      </c>
      <c r="DKG5" s="29">
        <f>'REG y VAL POE - AESR - ESR'!E232</f>
        <v>0</v>
      </c>
      <c r="DKH5" s="28">
        <f>'REG y VAL POE - AESR - ESR'!F232</f>
        <v>0</v>
      </c>
      <c r="DKI5" s="28">
        <f>'REG y VAL POE - AESR - ESR'!G232</f>
        <v>0</v>
      </c>
      <c r="DKJ5" s="28">
        <f>'REG y VAL POE - AESR - ESR'!H232</f>
        <v>0</v>
      </c>
      <c r="DKK5" s="29">
        <f>'REG y VAL POE - AESR - ESR'!I232</f>
        <v>0</v>
      </c>
      <c r="DKL5" s="388">
        <f>'REG y VAL POE - AESR - ESR'!J232</f>
        <v>0</v>
      </c>
      <c r="DKM5" s="29">
        <f>'REG y VAL POE - AESR - ESR'!K232</f>
        <v>0</v>
      </c>
      <c r="DKN5" s="388">
        <f>'REG y VAL POE - AESR - ESR'!L232</f>
        <v>0</v>
      </c>
      <c r="DKO5" s="29">
        <f>'REG y VAL POE - AESR - ESR'!M232</f>
        <v>0</v>
      </c>
      <c r="DKP5" s="388">
        <f>'REG y VAL POE - AESR - ESR'!N232</f>
        <v>0</v>
      </c>
      <c r="DKQ5" s="29">
        <f>'REG y VAL POE - AESR - ESR'!O232</f>
        <v>0</v>
      </c>
      <c r="DKR5" s="29">
        <f>'REG y VAL POE - AESR - ESR'!P232</f>
        <v>0</v>
      </c>
      <c r="DKS5" s="29">
        <f>'REG y VAL POE - AESR - ESR'!Q232</f>
        <v>0</v>
      </c>
      <c r="DKT5" s="29">
        <f>'REG y VAL POE - AESR - ESR'!R232</f>
        <v>0</v>
      </c>
      <c r="DKU5" s="29">
        <f>'REG y VAL POE - AESR - ESR'!S232</f>
        <v>0</v>
      </c>
      <c r="DKV5" s="29">
        <f>'REG y VAL POE - AESR - ESR'!T232</f>
        <v>0</v>
      </c>
      <c r="DKW5" s="29">
        <f>'REG y VAL POE - AESR - ESR'!U232</f>
        <v>0</v>
      </c>
      <c r="DKX5" s="29">
        <f>'REG y VAL POE - AESR - ESR'!V232</f>
        <v>0</v>
      </c>
      <c r="DKY5" s="29">
        <f>'REG y VAL POE - AESR - ESR'!W232</f>
        <v>0</v>
      </c>
      <c r="DKZ5" s="29">
        <f>'REG y VAL POE - AESR - ESR'!X232</f>
        <v>0</v>
      </c>
      <c r="DLA5" s="29">
        <f>'REG y VAL POE - AESR - ESR'!Y232</f>
        <v>0</v>
      </c>
      <c r="DLB5" s="29">
        <f>'REG y VAL POE - AESR - ESR'!Z232</f>
        <v>0</v>
      </c>
      <c r="DLC5" s="29">
        <f>'REG y VAL POE - AESR - ESR'!AA232</f>
        <v>0</v>
      </c>
      <c r="DLD5" s="29">
        <f>'REG y VAL POE - AESR - ESR'!AB232</f>
        <v>0</v>
      </c>
      <c r="DLE5" s="29">
        <f>'REG y VAL POE - AESR - ESR'!AC232</f>
        <v>0</v>
      </c>
      <c r="DLF5" s="29">
        <f>'REG y VAL POE - AESR - ESR'!AD232</f>
        <v>0</v>
      </c>
      <c r="DLG5" s="29">
        <f>'REG y VAL POE - AESR - ESR'!AE232</f>
        <v>0</v>
      </c>
      <c r="DLH5" s="29">
        <f>'REG y VAL POE - AESR - ESR'!AF232</f>
        <v>0</v>
      </c>
      <c r="DLI5" s="29">
        <f>'REG y VAL POE - AESR - ESR'!AG232</f>
        <v>0</v>
      </c>
      <c r="DLJ5" s="29">
        <f>'REG y VAL POE - AESR - ESR'!AH232</f>
        <v>0</v>
      </c>
      <c r="DLK5" s="29">
        <f>'REG y VAL POE - AESR - ESR'!AI232</f>
        <v>0</v>
      </c>
      <c r="DLL5" s="29">
        <f>'REG y VAL POE - AESR - ESR'!AJ232</f>
        <v>0</v>
      </c>
      <c r="DLM5" s="29">
        <f>'REG y VAL POE - AESR - ESR'!AK232</f>
        <v>0</v>
      </c>
      <c r="DLN5" s="29">
        <f>'REG y VAL POE - AESR - ESR'!AL232</f>
        <v>0</v>
      </c>
      <c r="DLO5" s="29">
        <f>'REG y VAL POE - AESR - ESR'!AM232</f>
        <v>0</v>
      </c>
      <c r="DLP5" s="29">
        <f>'REG y VAL POE - AESR - ESR'!AN232</f>
        <v>0</v>
      </c>
      <c r="DLQ5" s="29">
        <f>'REG y VAL POE - AESR - ESR'!AO232</f>
        <v>0</v>
      </c>
      <c r="DLR5" s="29">
        <f>'REG y VAL POE - AESR - ESR'!AP232</f>
        <v>0</v>
      </c>
      <c r="DLS5" s="29">
        <f>'REG y VAL POE - AESR - ESR'!AQ232</f>
        <v>0</v>
      </c>
      <c r="DLT5" s="29">
        <f>'REG y VAL POE - AESR - ESR'!AR232</f>
        <v>0</v>
      </c>
      <c r="DLU5" s="29">
        <f>'REG y VAL POE - AESR - ESR'!AS232</f>
        <v>0</v>
      </c>
      <c r="DLV5" s="30">
        <f>'REG y VAL POE - AESR - ESR'!B233</f>
        <v>0</v>
      </c>
      <c r="DLW5" s="28">
        <f>'REG y VAL POE - AESR - ESR'!C233</f>
        <v>0</v>
      </c>
      <c r="DLX5" s="29">
        <f>'REG y VAL POE - AESR - ESR'!D233</f>
        <v>0</v>
      </c>
      <c r="DLY5" s="29">
        <f>'REG y VAL POE - AESR - ESR'!E233</f>
        <v>0</v>
      </c>
      <c r="DLZ5" s="32">
        <f>'REG y VAL POE - AESR - ESR'!F233</f>
        <v>0</v>
      </c>
      <c r="DMA5" s="32">
        <f>'REG y VAL POE - AESR - ESR'!G233</f>
        <v>0</v>
      </c>
      <c r="DMB5" s="32">
        <f>'REG y VAL POE - AESR - ESR'!H233</f>
        <v>0</v>
      </c>
      <c r="DMC5" s="28">
        <f>'REG y VAL POE - AESR - ESR'!I233</f>
        <v>0</v>
      </c>
      <c r="DMD5" s="29">
        <f>'REG y VAL POE - AESR - ESR'!J233</f>
        <v>0</v>
      </c>
      <c r="DME5" s="29">
        <f>'REG y VAL POE - AESR - ESR'!K233</f>
        <v>0</v>
      </c>
      <c r="DMF5" s="28">
        <f>'REG y VAL POE - AESR - ESR'!L233</f>
        <v>0</v>
      </c>
      <c r="DMG5" s="29">
        <f>'REG y VAL POE - AESR - ESR'!M233</f>
        <v>0</v>
      </c>
      <c r="DMH5" s="30">
        <f>'REG y VAL POE - AESR - ESR'!N233</f>
        <v>0</v>
      </c>
      <c r="DMI5" s="28">
        <f>'REG y VAL POE - AESR - ESR'!O233</f>
        <v>0</v>
      </c>
      <c r="DMJ5" s="29">
        <f>'REG y VAL POE - AESR - ESR'!P233</f>
        <v>0</v>
      </c>
      <c r="DMK5" s="29">
        <f>'REG y VAL POE - AESR - ESR'!Q233</f>
        <v>0</v>
      </c>
      <c r="DML5" s="32">
        <f>'REG y VAL POE - AESR - ESR'!R233</f>
        <v>0</v>
      </c>
      <c r="DMM5" s="28">
        <f>'REG y VAL POE - AESR - ESR'!S233</f>
        <v>0</v>
      </c>
      <c r="DMN5" s="29">
        <f>'REG y VAL POE - AESR - ESR'!T233</f>
        <v>0</v>
      </c>
      <c r="DMO5" s="29">
        <f>'REG y VAL POE - AESR - ESR'!U233</f>
        <v>0</v>
      </c>
      <c r="DMP5" s="28">
        <f>'REG y VAL POE - AESR - ESR'!V233</f>
        <v>0</v>
      </c>
      <c r="DMQ5" s="29">
        <f>'REG y VAL POE - AESR - ESR'!W233</f>
        <v>0</v>
      </c>
      <c r="DMR5" s="30">
        <f>'REG y VAL POE - AESR - ESR'!X233</f>
        <v>0</v>
      </c>
      <c r="DMS5" s="28">
        <f>'REG y VAL POE - AESR - ESR'!Y233</f>
        <v>0</v>
      </c>
      <c r="DMT5" s="29">
        <f>'REG y VAL POE - AESR - ESR'!Z233</f>
        <v>0</v>
      </c>
      <c r="DMU5" s="29">
        <f>'REG y VAL POE - AESR - ESR'!AA233</f>
        <v>0</v>
      </c>
      <c r="DMV5" s="32">
        <f>'REG y VAL POE - AESR - ESR'!AB233</f>
        <v>0</v>
      </c>
      <c r="DMW5" s="28">
        <f>'REG y VAL POE - AESR - ESR'!AC233</f>
        <v>0</v>
      </c>
      <c r="DMX5" s="29">
        <f>'REG y VAL POE - AESR - ESR'!AD233</f>
        <v>0</v>
      </c>
      <c r="DMY5" s="29">
        <f>'REG y VAL POE - AESR - ESR'!AE233</f>
        <v>0</v>
      </c>
      <c r="DMZ5" s="28">
        <f>'REG y VAL POE - AESR - ESR'!AF233</f>
        <v>0</v>
      </c>
      <c r="DNA5" s="29">
        <f>'REG y VAL POE - AESR - ESR'!AG233</f>
        <v>0</v>
      </c>
      <c r="DNB5" s="30">
        <f>'REG y VAL POE - AESR - ESR'!AH233</f>
        <v>0</v>
      </c>
      <c r="DNC5" s="28">
        <f>'REG y VAL POE - AESR - ESR'!AI233</f>
        <v>0</v>
      </c>
      <c r="DND5" s="29">
        <f>'REG y VAL POE - AESR - ESR'!AJ233</f>
        <v>0</v>
      </c>
      <c r="DNE5" s="29">
        <f>'REG y VAL POE - AESR - ESR'!AK233</f>
        <v>0</v>
      </c>
      <c r="DNF5" s="32">
        <f>'REG y VAL POE - AESR - ESR'!AL233</f>
        <v>0</v>
      </c>
      <c r="DNG5" s="28">
        <f>'REG y VAL POE - AESR - ESR'!AM233</f>
        <v>0</v>
      </c>
      <c r="DNH5" s="29">
        <f>'REG y VAL POE - AESR - ESR'!AN233</f>
        <v>0</v>
      </c>
      <c r="DNI5" s="29">
        <f>'REG y VAL POE - AESR - ESR'!AO233</f>
        <v>0</v>
      </c>
      <c r="DNJ5" s="28">
        <f>'REG y VAL POE - AESR - ESR'!AP233</f>
        <v>0</v>
      </c>
      <c r="DNK5" s="29">
        <f>'REG y VAL POE - AESR - ESR'!AQ233</f>
        <v>0</v>
      </c>
      <c r="DNL5" s="30">
        <f>'REG y VAL POE - AESR - ESR'!AR233</f>
        <v>0</v>
      </c>
      <c r="DNM5" s="28">
        <f>'REG y VAL POE - AESR - ESR'!AS233</f>
        <v>0</v>
      </c>
      <c r="DNN5" s="30">
        <f>'REG y VAL POE - AESR - ESR'!B234</f>
        <v>0</v>
      </c>
      <c r="DNO5" s="29">
        <f>'REG y VAL POE - AESR - ESR'!C234</f>
        <v>0</v>
      </c>
      <c r="DNP5" s="28">
        <f>'REG y VAL POE - AESR - ESR'!D234</f>
        <v>0</v>
      </c>
      <c r="DNQ5" s="29">
        <f>'REG y VAL POE - AESR - ESR'!E234</f>
        <v>0</v>
      </c>
      <c r="DNR5" s="28">
        <f>'REG y VAL POE - AESR - ESR'!F234</f>
        <v>0</v>
      </c>
      <c r="DNS5" s="28">
        <f>'REG y VAL POE - AESR - ESR'!G234</f>
        <v>0</v>
      </c>
      <c r="DNT5" s="28">
        <f>'REG y VAL POE - AESR - ESR'!H234</f>
        <v>0</v>
      </c>
      <c r="DNU5" s="29">
        <f>'REG y VAL POE - AESR - ESR'!I234</f>
        <v>0</v>
      </c>
      <c r="DNV5" s="388">
        <f>'REG y VAL POE - AESR - ESR'!J234</f>
        <v>0</v>
      </c>
      <c r="DNW5" s="29">
        <f>'REG y VAL POE - AESR - ESR'!K234</f>
        <v>0</v>
      </c>
      <c r="DNX5" s="388">
        <f>'REG y VAL POE - AESR - ESR'!L234</f>
        <v>0</v>
      </c>
      <c r="DNY5" s="29">
        <f>'REG y VAL POE - AESR - ESR'!M234</f>
        <v>0</v>
      </c>
      <c r="DNZ5" s="388">
        <f>'REG y VAL POE - AESR - ESR'!N234</f>
        <v>0</v>
      </c>
      <c r="DOA5" s="29">
        <f>'REG y VAL POE - AESR - ESR'!O234</f>
        <v>0</v>
      </c>
      <c r="DOB5" s="29">
        <f>'REG y VAL POE - AESR - ESR'!P234</f>
        <v>0</v>
      </c>
      <c r="DOC5" s="29">
        <f>'REG y VAL POE - AESR - ESR'!Q234</f>
        <v>0</v>
      </c>
      <c r="DOD5" s="29">
        <f>'REG y VAL POE - AESR - ESR'!R234</f>
        <v>0</v>
      </c>
      <c r="DOE5" s="29">
        <f>'REG y VAL POE - AESR - ESR'!S234</f>
        <v>0</v>
      </c>
      <c r="DOF5" s="29">
        <f>'REG y VAL POE - AESR - ESR'!T234</f>
        <v>0</v>
      </c>
      <c r="DOG5" s="29">
        <f>'REG y VAL POE - AESR - ESR'!U234</f>
        <v>0</v>
      </c>
      <c r="DOH5" s="29">
        <f>'REG y VAL POE - AESR - ESR'!V234</f>
        <v>0</v>
      </c>
      <c r="DOI5" s="29">
        <f>'REG y VAL POE - AESR - ESR'!W234</f>
        <v>0</v>
      </c>
      <c r="DOJ5" s="29">
        <f>'REG y VAL POE - AESR - ESR'!X234</f>
        <v>0</v>
      </c>
      <c r="DOK5" s="29">
        <f>'REG y VAL POE - AESR - ESR'!Y234</f>
        <v>0</v>
      </c>
      <c r="DOL5" s="29">
        <f>'REG y VAL POE - AESR - ESR'!Z234</f>
        <v>0</v>
      </c>
      <c r="DOM5" s="29">
        <f>'REG y VAL POE - AESR - ESR'!AA234</f>
        <v>0</v>
      </c>
      <c r="DON5" s="29">
        <f>'REG y VAL POE - AESR - ESR'!AB234</f>
        <v>0</v>
      </c>
      <c r="DOO5" s="29">
        <f>'REG y VAL POE - AESR - ESR'!AC234</f>
        <v>0</v>
      </c>
      <c r="DOP5" s="29">
        <f>'REG y VAL POE - AESR - ESR'!AD234</f>
        <v>0</v>
      </c>
      <c r="DOQ5" s="29">
        <f>'REG y VAL POE - AESR - ESR'!AE234</f>
        <v>0</v>
      </c>
      <c r="DOR5" s="29">
        <f>'REG y VAL POE - AESR - ESR'!AF234</f>
        <v>0</v>
      </c>
      <c r="DOS5" s="29">
        <f>'REG y VAL POE - AESR - ESR'!AG234</f>
        <v>0</v>
      </c>
      <c r="DOT5" s="29">
        <f>'REG y VAL POE - AESR - ESR'!AH234</f>
        <v>0</v>
      </c>
      <c r="DOU5" s="29">
        <f>'REG y VAL POE - AESR - ESR'!AI234</f>
        <v>0</v>
      </c>
      <c r="DOV5" s="29">
        <f>'REG y VAL POE - AESR - ESR'!AJ234</f>
        <v>0</v>
      </c>
      <c r="DOW5" s="29">
        <f>'REG y VAL POE - AESR - ESR'!AK234</f>
        <v>0</v>
      </c>
      <c r="DOX5" s="29">
        <f>'REG y VAL POE - AESR - ESR'!AL234</f>
        <v>0</v>
      </c>
      <c r="DOY5" s="29">
        <f>'REG y VAL POE - AESR - ESR'!AM234</f>
        <v>0</v>
      </c>
      <c r="DOZ5" s="29">
        <f>'REG y VAL POE - AESR - ESR'!AN234</f>
        <v>0</v>
      </c>
      <c r="DPA5" s="29">
        <f>'REG y VAL POE - AESR - ESR'!AO234</f>
        <v>0</v>
      </c>
      <c r="DPB5" s="29">
        <f>'REG y VAL POE - AESR - ESR'!AP234</f>
        <v>0</v>
      </c>
      <c r="DPC5" s="29">
        <f>'REG y VAL POE - AESR - ESR'!AQ234</f>
        <v>0</v>
      </c>
      <c r="DPD5" s="29">
        <f>'REG y VAL POE - AESR - ESR'!AR234</f>
        <v>0</v>
      </c>
      <c r="DPE5" s="29">
        <f>'REG y VAL POE - AESR - ESR'!AS234</f>
        <v>0</v>
      </c>
      <c r="DPF5" s="30">
        <f>'REG y VAL POE - AESR - ESR'!B235</f>
        <v>0</v>
      </c>
      <c r="DPG5" s="28">
        <f>'REG y VAL POE - AESR - ESR'!C235</f>
        <v>0</v>
      </c>
      <c r="DPH5" s="29">
        <f>'REG y VAL POE - AESR - ESR'!D235</f>
        <v>0</v>
      </c>
      <c r="DPI5" s="29">
        <f>'REG y VAL POE - AESR - ESR'!E235</f>
        <v>0</v>
      </c>
      <c r="DPJ5" s="32">
        <f>'REG y VAL POE - AESR - ESR'!F235</f>
        <v>0</v>
      </c>
      <c r="DPK5" s="32">
        <f>'REG y VAL POE - AESR - ESR'!G235</f>
        <v>0</v>
      </c>
      <c r="DPL5" s="32">
        <f>'REG y VAL POE - AESR - ESR'!H235</f>
        <v>0</v>
      </c>
      <c r="DPM5" s="28">
        <f>'REG y VAL POE - AESR - ESR'!I235</f>
        <v>0</v>
      </c>
      <c r="DPN5" s="29">
        <f>'REG y VAL POE - AESR - ESR'!J235</f>
        <v>0</v>
      </c>
      <c r="DPO5" s="29">
        <f>'REG y VAL POE - AESR - ESR'!K235</f>
        <v>0</v>
      </c>
      <c r="DPP5" s="28">
        <f>'REG y VAL POE - AESR - ESR'!L235</f>
        <v>0</v>
      </c>
      <c r="DPQ5" s="29">
        <f>'REG y VAL POE - AESR - ESR'!M235</f>
        <v>0</v>
      </c>
      <c r="DPR5" s="30">
        <f>'REG y VAL POE - AESR - ESR'!N235</f>
        <v>0</v>
      </c>
      <c r="DPS5" s="28">
        <f>'REG y VAL POE - AESR - ESR'!O235</f>
        <v>0</v>
      </c>
      <c r="DPT5" s="29">
        <f>'REG y VAL POE - AESR - ESR'!P235</f>
        <v>0</v>
      </c>
      <c r="DPU5" s="29">
        <f>'REG y VAL POE - AESR - ESR'!Q235</f>
        <v>0</v>
      </c>
      <c r="DPV5" s="32">
        <f>'REG y VAL POE - AESR - ESR'!R235</f>
        <v>0</v>
      </c>
      <c r="DPW5" s="28">
        <f>'REG y VAL POE - AESR - ESR'!S235</f>
        <v>0</v>
      </c>
      <c r="DPX5" s="29">
        <f>'REG y VAL POE - AESR - ESR'!T235</f>
        <v>0</v>
      </c>
      <c r="DPY5" s="29">
        <f>'REG y VAL POE - AESR - ESR'!U235</f>
        <v>0</v>
      </c>
      <c r="DPZ5" s="28">
        <f>'REG y VAL POE - AESR - ESR'!V235</f>
        <v>0</v>
      </c>
      <c r="DQA5" s="29">
        <f>'REG y VAL POE - AESR - ESR'!W235</f>
        <v>0</v>
      </c>
      <c r="DQB5" s="30">
        <f>'REG y VAL POE - AESR - ESR'!X235</f>
        <v>0</v>
      </c>
      <c r="DQC5" s="28">
        <f>'REG y VAL POE - AESR - ESR'!Y235</f>
        <v>0</v>
      </c>
      <c r="DQD5" s="29">
        <f>'REG y VAL POE - AESR - ESR'!Z235</f>
        <v>0</v>
      </c>
      <c r="DQE5" s="29">
        <f>'REG y VAL POE - AESR - ESR'!AA235</f>
        <v>0</v>
      </c>
      <c r="DQF5" s="32">
        <f>'REG y VAL POE - AESR - ESR'!AB235</f>
        <v>0</v>
      </c>
      <c r="DQG5" s="28">
        <f>'REG y VAL POE - AESR - ESR'!AC235</f>
        <v>0</v>
      </c>
      <c r="DQH5" s="29">
        <f>'REG y VAL POE - AESR - ESR'!AD235</f>
        <v>0</v>
      </c>
      <c r="DQI5" s="29">
        <f>'REG y VAL POE - AESR - ESR'!AE235</f>
        <v>0</v>
      </c>
      <c r="DQJ5" s="28">
        <f>'REG y VAL POE - AESR - ESR'!AF235</f>
        <v>0</v>
      </c>
      <c r="DQK5" s="29">
        <f>'REG y VAL POE - AESR - ESR'!AG235</f>
        <v>0</v>
      </c>
      <c r="DQL5" s="30">
        <f>'REG y VAL POE - AESR - ESR'!AH235</f>
        <v>0</v>
      </c>
      <c r="DQM5" s="28">
        <f>'REG y VAL POE - AESR - ESR'!AI235</f>
        <v>0</v>
      </c>
      <c r="DQN5" s="29">
        <f>'REG y VAL POE - AESR - ESR'!AJ235</f>
        <v>0</v>
      </c>
      <c r="DQO5" s="29">
        <f>'REG y VAL POE - AESR - ESR'!AK235</f>
        <v>0</v>
      </c>
      <c r="DQP5" s="32">
        <f>'REG y VAL POE - AESR - ESR'!AL235</f>
        <v>0</v>
      </c>
      <c r="DQQ5" s="28">
        <f>'REG y VAL POE - AESR - ESR'!AM235</f>
        <v>0</v>
      </c>
      <c r="DQR5" s="29">
        <f>'REG y VAL POE - AESR - ESR'!AN235</f>
        <v>0</v>
      </c>
      <c r="DQS5" s="29">
        <f>'REG y VAL POE - AESR - ESR'!AO235</f>
        <v>0</v>
      </c>
      <c r="DQT5" s="28">
        <f>'REG y VAL POE - AESR - ESR'!AP235</f>
        <v>0</v>
      </c>
      <c r="DQU5" s="29">
        <f>'REG y VAL POE - AESR - ESR'!AQ235</f>
        <v>0</v>
      </c>
      <c r="DQV5" s="30">
        <f>'REG y VAL POE - AESR - ESR'!AR235</f>
        <v>0</v>
      </c>
      <c r="DQW5" s="28">
        <f>'REG y VAL POE - AESR - ESR'!AS235</f>
        <v>0</v>
      </c>
      <c r="DQX5" s="30">
        <f>'REG y VAL POE - AESR - ESR'!B236</f>
        <v>0</v>
      </c>
      <c r="DQY5" s="29">
        <f>'REG y VAL POE - AESR - ESR'!C236</f>
        <v>0</v>
      </c>
      <c r="DQZ5" s="28">
        <f>'REG y VAL POE - AESR - ESR'!D236</f>
        <v>0</v>
      </c>
      <c r="DRA5" s="29">
        <f>'REG y VAL POE - AESR - ESR'!E236</f>
        <v>0</v>
      </c>
      <c r="DRB5" s="28">
        <f>'REG y VAL POE - AESR - ESR'!F236</f>
        <v>0</v>
      </c>
      <c r="DRC5" s="28">
        <f>'REG y VAL POE - AESR - ESR'!G236</f>
        <v>0</v>
      </c>
      <c r="DRD5" s="28">
        <f>'REG y VAL POE - AESR - ESR'!H236</f>
        <v>0</v>
      </c>
      <c r="DRE5" s="29">
        <f>'REG y VAL POE - AESR - ESR'!I236</f>
        <v>0</v>
      </c>
      <c r="DRF5" s="388">
        <f>'REG y VAL POE - AESR - ESR'!J236</f>
        <v>0</v>
      </c>
      <c r="DRG5" s="29">
        <f>'REG y VAL POE - AESR - ESR'!K236</f>
        <v>0</v>
      </c>
      <c r="DRH5" s="388">
        <f>'REG y VAL POE - AESR - ESR'!L236</f>
        <v>0</v>
      </c>
      <c r="DRI5" s="29">
        <f>'REG y VAL POE - AESR - ESR'!M236</f>
        <v>0</v>
      </c>
      <c r="DRJ5" s="388">
        <f>'REG y VAL POE - AESR - ESR'!N236</f>
        <v>0</v>
      </c>
      <c r="DRK5" s="29">
        <f>'REG y VAL POE - AESR - ESR'!O236</f>
        <v>0</v>
      </c>
      <c r="DRL5" s="29">
        <f>'REG y VAL POE - AESR - ESR'!P236</f>
        <v>0</v>
      </c>
      <c r="DRM5" s="29">
        <f>'REG y VAL POE - AESR - ESR'!Q236</f>
        <v>0</v>
      </c>
      <c r="DRN5" s="29">
        <f>'REG y VAL POE - AESR - ESR'!R236</f>
        <v>0</v>
      </c>
      <c r="DRO5" s="29">
        <f>'REG y VAL POE - AESR - ESR'!S236</f>
        <v>0</v>
      </c>
      <c r="DRP5" s="29">
        <f>'REG y VAL POE - AESR - ESR'!T236</f>
        <v>0</v>
      </c>
      <c r="DRQ5" s="29">
        <f>'REG y VAL POE - AESR - ESR'!U236</f>
        <v>0</v>
      </c>
      <c r="DRR5" s="29">
        <f>'REG y VAL POE - AESR - ESR'!V236</f>
        <v>0</v>
      </c>
      <c r="DRS5" s="29">
        <f>'REG y VAL POE - AESR - ESR'!W236</f>
        <v>0</v>
      </c>
      <c r="DRT5" s="29">
        <f>'REG y VAL POE - AESR - ESR'!X236</f>
        <v>0</v>
      </c>
      <c r="DRU5" s="29">
        <f>'REG y VAL POE - AESR - ESR'!Y236</f>
        <v>0</v>
      </c>
      <c r="DRV5" s="29">
        <f>'REG y VAL POE - AESR - ESR'!Z236</f>
        <v>0</v>
      </c>
      <c r="DRW5" s="29">
        <f>'REG y VAL POE - AESR - ESR'!AA236</f>
        <v>0</v>
      </c>
      <c r="DRX5" s="29">
        <f>'REG y VAL POE - AESR - ESR'!AB236</f>
        <v>0</v>
      </c>
      <c r="DRY5" s="29">
        <f>'REG y VAL POE - AESR - ESR'!AC236</f>
        <v>0</v>
      </c>
      <c r="DRZ5" s="29">
        <f>'REG y VAL POE - AESR - ESR'!AD236</f>
        <v>0</v>
      </c>
      <c r="DSA5" s="29">
        <f>'REG y VAL POE - AESR - ESR'!AE236</f>
        <v>0</v>
      </c>
      <c r="DSB5" s="29">
        <f>'REG y VAL POE - AESR - ESR'!AF236</f>
        <v>0</v>
      </c>
      <c r="DSC5" s="29">
        <f>'REG y VAL POE - AESR - ESR'!AG236</f>
        <v>0</v>
      </c>
      <c r="DSD5" s="29">
        <f>'REG y VAL POE - AESR - ESR'!AH236</f>
        <v>0</v>
      </c>
      <c r="DSE5" s="29">
        <f>'REG y VAL POE - AESR - ESR'!AI236</f>
        <v>0</v>
      </c>
      <c r="DSF5" s="29">
        <f>'REG y VAL POE - AESR - ESR'!AJ236</f>
        <v>0</v>
      </c>
      <c r="DSG5" s="29">
        <f>'REG y VAL POE - AESR - ESR'!AK236</f>
        <v>0</v>
      </c>
      <c r="DSH5" s="29">
        <f>'REG y VAL POE - AESR - ESR'!AL236</f>
        <v>0</v>
      </c>
      <c r="DSI5" s="29">
        <f>'REG y VAL POE - AESR - ESR'!AM236</f>
        <v>0</v>
      </c>
      <c r="DSJ5" s="29">
        <f>'REG y VAL POE - AESR - ESR'!AN236</f>
        <v>0</v>
      </c>
      <c r="DSK5" s="29">
        <f>'REG y VAL POE - AESR - ESR'!AO236</f>
        <v>0</v>
      </c>
      <c r="DSL5" s="29">
        <f>'REG y VAL POE - AESR - ESR'!AP236</f>
        <v>0</v>
      </c>
      <c r="DSM5" s="29">
        <f>'REG y VAL POE - AESR - ESR'!AQ236</f>
        <v>0</v>
      </c>
      <c r="DSN5" s="29">
        <f>'REG y VAL POE - AESR - ESR'!AR236</f>
        <v>0</v>
      </c>
      <c r="DSO5" s="29">
        <f>'REG y VAL POE - AESR - ESR'!AS236</f>
        <v>0</v>
      </c>
      <c r="DSP5" s="30">
        <f>'REG y VAL POE - AESR - ESR'!B237</f>
        <v>0</v>
      </c>
      <c r="DSQ5" s="28">
        <f>'REG y VAL POE - AESR - ESR'!C237</f>
        <v>0</v>
      </c>
      <c r="DSR5" s="29">
        <f>'REG y VAL POE - AESR - ESR'!D237</f>
        <v>0</v>
      </c>
      <c r="DSS5" s="29">
        <f>'REG y VAL POE - AESR - ESR'!E237</f>
        <v>0</v>
      </c>
      <c r="DST5" s="32">
        <f>'REG y VAL POE - AESR - ESR'!F237</f>
        <v>0</v>
      </c>
      <c r="DSU5" s="32">
        <f>'REG y VAL POE - AESR - ESR'!G237</f>
        <v>0</v>
      </c>
      <c r="DSV5" s="32">
        <f>'REG y VAL POE - AESR - ESR'!H237</f>
        <v>0</v>
      </c>
      <c r="DSW5" s="28">
        <f>'REG y VAL POE - AESR - ESR'!I237</f>
        <v>0</v>
      </c>
      <c r="DSX5" s="29">
        <f>'REG y VAL POE - AESR - ESR'!J237</f>
        <v>0</v>
      </c>
      <c r="DSY5" s="29">
        <f>'REG y VAL POE - AESR - ESR'!K237</f>
        <v>0</v>
      </c>
      <c r="DSZ5" s="28">
        <f>'REG y VAL POE - AESR - ESR'!L237</f>
        <v>0</v>
      </c>
      <c r="DTA5" s="29">
        <f>'REG y VAL POE - AESR - ESR'!M237</f>
        <v>0</v>
      </c>
      <c r="DTB5" s="30">
        <f>'REG y VAL POE - AESR - ESR'!N237</f>
        <v>0</v>
      </c>
      <c r="DTC5" s="28">
        <f>'REG y VAL POE - AESR - ESR'!O237</f>
        <v>0</v>
      </c>
      <c r="DTD5" s="29">
        <f>'REG y VAL POE - AESR - ESR'!P237</f>
        <v>0</v>
      </c>
      <c r="DTE5" s="29">
        <f>'REG y VAL POE - AESR - ESR'!Q237</f>
        <v>0</v>
      </c>
      <c r="DTF5" s="32">
        <f>'REG y VAL POE - AESR - ESR'!R237</f>
        <v>0</v>
      </c>
      <c r="DTG5" s="28">
        <f>'REG y VAL POE - AESR - ESR'!S237</f>
        <v>0</v>
      </c>
      <c r="DTH5" s="29">
        <f>'REG y VAL POE - AESR - ESR'!T237</f>
        <v>0</v>
      </c>
      <c r="DTI5" s="29">
        <f>'REG y VAL POE - AESR - ESR'!U237</f>
        <v>0</v>
      </c>
      <c r="DTJ5" s="28">
        <f>'REG y VAL POE - AESR - ESR'!V237</f>
        <v>0</v>
      </c>
      <c r="DTK5" s="29">
        <f>'REG y VAL POE - AESR - ESR'!W237</f>
        <v>0</v>
      </c>
      <c r="DTL5" s="30">
        <f>'REG y VAL POE - AESR - ESR'!X237</f>
        <v>0</v>
      </c>
      <c r="DTM5" s="28">
        <f>'REG y VAL POE - AESR - ESR'!Y237</f>
        <v>0</v>
      </c>
      <c r="DTN5" s="29">
        <f>'REG y VAL POE - AESR - ESR'!Z237</f>
        <v>0</v>
      </c>
      <c r="DTO5" s="29">
        <f>'REG y VAL POE - AESR - ESR'!AA237</f>
        <v>0</v>
      </c>
      <c r="DTP5" s="32">
        <f>'REG y VAL POE - AESR - ESR'!AB237</f>
        <v>0</v>
      </c>
      <c r="DTQ5" s="28">
        <f>'REG y VAL POE - AESR - ESR'!AC237</f>
        <v>0</v>
      </c>
      <c r="DTR5" s="29">
        <f>'REG y VAL POE - AESR - ESR'!AD237</f>
        <v>0</v>
      </c>
      <c r="DTS5" s="29">
        <f>'REG y VAL POE - AESR - ESR'!AE237</f>
        <v>0</v>
      </c>
      <c r="DTT5" s="28">
        <f>'REG y VAL POE - AESR - ESR'!AF237</f>
        <v>0</v>
      </c>
      <c r="DTU5" s="29">
        <f>'REG y VAL POE - AESR - ESR'!AG237</f>
        <v>0</v>
      </c>
      <c r="DTV5" s="30">
        <f>'REG y VAL POE - AESR - ESR'!AH237</f>
        <v>0</v>
      </c>
      <c r="DTW5" s="28">
        <f>'REG y VAL POE - AESR - ESR'!AI237</f>
        <v>0</v>
      </c>
      <c r="DTX5" s="29">
        <f>'REG y VAL POE - AESR - ESR'!AJ237</f>
        <v>0</v>
      </c>
      <c r="DTY5" s="29">
        <f>'REG y VAL POE - AESR - ESR'!AK237</f>
        <v>0</v>
      </c>
      <c r="DTZ5" s="32">
        <f>'REG y VAL POE - AESR - ESR'!AL237</f>
        <v>0</v>
      </c>
      <c r="DUA5" s="28">
        <f>'REG y VAL POE - AESR - ESR'!AM237</f>
        <v>0</v>
      </c>
      <c r="DUB5" s="29">
        <f>'REG y VAL POE - AESR - ESR'!AN237</f>
        <v>0</v>
      </c>
      <c r="DUC5" s="29">
        <f>'REG y VAL POE - AESR - ESR'!AO237</f>
        <v>0</v>
      </c>
      <c r="DUD5" s="28">
        <f>'REG y VAL POE - AESR - ESR'!AP237</f>
        <v>0</v>
      </c>
      <c r="DUE5" s="29">
        <f>'REG y VAL POE - AESR - ESR'!AQ237</f>
        <v>0</v>
      </c>
      <c r="DUF5" s="30">
        <f>'REG y VAL POE - AESR - ESR'!AR237</f>
        <v>0</v>
      </c>
      <c r="DUG5" s="28">
        <f>'REG y VAL POE - AESR - ESR'!AS237</f>
        <v>0</v>
      </c>
      <c r="DUH5" s="30">
        <f>'REG y VAL POE - AESR - ESR'!B238</f>
        <v>0</v>
      </c>
      <c r="DUI5" s="29">
        <f>'REG y VAL POE - AESR - ESR'!C238</f>
        <v>0</v>
      </c>
      <c r="DUJ5" s="28">
        <f>'REG y VAL POE - AESR - ESR'!D238</f>
        <v>0</v>
      </c>
      <c r="DUK5" s="29">
        <f>'REG y VAL POE - AESR - ESR'!E238</f>
        <v>0</v>
      </c>
      <c r="DUL5" s="28">
        <f>'REG y VAL POE - AESR - ESR'!F238</f>
        <v>0</v>
      </c>
      <c r="DUM5" s="28">
        <f>'REG y VAL POE - AESR - ESR'!G238</f>
        <v>0</v>
      </c>
      <c r="DUN5" s="28">
        <f>'REG y VAL POE - AESR - ESR'!H238</f>
        <v>0</v>
      </c>
      <c r="DUO5" s="29">
        <f>'REG y VAL POE - AESR - ESR'!I238</f>
        <v>0</v>
      </c>
      <c r="DUP5" s="388">
        <f>'REG y VAL POE - AESR - ESR'!J238</f>
        <v>0</v>
      </c>
      <c r="DUQ5" s="29">
        <f>'REG y VAL POE - AESR - ESR'!K238</f>
        <v>0</v>
      </c>
      <c r="DUR5" s="388">
        <f>'REG y VAL POE - AESR - ESR'!L238</f>
        <v>0</v>
      </c>
      <c r="DUS5" s="29">
        <f>'REG y VAL POE - AESR - ESR'!M238</f>
        <v>0</v>
      </c>
      <c r="DUT5" s="388">
        <f>'REG y VAL POE - AESR - ESR'!N238</f>
        <v>0</v>
      </c>
      <c r="DUU5" s="29">
        <f>'REG y VAL POE - AESR - ESR'!O238</f>
        <v>0</v>
      </c>
      <c r="DUV5" s="29">
        <f>'REG y VAL POE - AESR - ESR'!P238</f>
        <v>0</v>
      </c>
      <c r="DUW5" s="29">
        <f>'REG y VAL POE - AESR - ESR'!Q238</f>
        <v>0</v>
      </c>
      <c r="DUX5" s="29">
        <f>'REG y VAL POE - AESR - ESR'!R238</f>
        <v>0</v>
      </c>
      <c r="DUY5" s="29">
        <f>'REG y VAL POE - AESR - ESR'!S238</f>
        <v>0</v>
      </c>
      <c r="DUZ5" s="29">
        <f>'REG y VAL POE - AESR - ESR'!T238</f>
        <v>0</v>
      </c>
      <c r="DVA5" s="29">
        <f>'REG y VAL POE - AESR - ESR'!U238</f>
        <v>0</v>
      </c>
      <c r="DVB5" s="29">
        <f>'REG y VAL POE - AESR - ESR'!V238</f>
        <v>0</v>
      </c>
      <c r="DVC5" s="29">
        <f>'REG y VAL POE - AESR - ESR'!W238</f>
        <v>0</v>
      </c>
      <c r="DVD5" s="29">
        <f>'REG y VAL POE - AESR - ESR'!X238</f>
        <v>0</v>
      </c>
      <c r="DVE5" s="29">
        <f>'REG y VAL POE - AESR - ESR'!Y238</f>
        <v>0</v>
      </c>
      <c r="DVF5" s="29">
        <f>'REG y VAL POE - AESR - ESR'!Z238</f>
        <v>0</v>
      </c>
      <c r="DVG5" s="29">
        <f>'REG y VAL POE - AESR - ESR'!AA238</f>
        <v>0</v>
      </c>
      <c r="DVH5" s="29">
        <f>'REG y VAL POE - AESR - ESR'!AB238</f>
        <v>0</v>
      </c>
      <c r="DVI5" s="29">
        <f>'REG y VAL POE - AESR - ESR'!AC238</f>
        <v>0</v>
      </c>
      <c r="DVJ5" s="29">
        <f>'REG y VAL POE - AESR - ESR'!AD238</f>
        <v>0</v>
      </c>
      <c r="DVK5" s="29">
        <f>'REG y VAL POE - AESR - ESR'!AE238</f>
        <v>0</v>
      </c>
      <c r="DVL5" s="29">
        <f>'REG y VAL POE - AESR - ESR'!AF238</f>
        <v>0</v>
      </c>
      <c r="DVM5" s="29">
        <f>'REG y VAL POE - AESR - ESR'!AG238</f>
        <v>0</v>
      </c>
      <c r="DVN5" s="29">
        <f>'REG y VAL POE - AESR - ESR'!AH238</f>
        <v>0</v>
      </c>
      <c r="DVO5" s="29">
        <f>'REG y VAL POE - AESR - ESR'!AI238</f>
        <v>0</v>
      </c>
      <c r="DVP5" s="29">
        <f>'REG y VAL POE - AESR - ESR'!AJ238</f>
        <v>0</v>
      </c>
      <c r="DVQ5" s="29">
        <f>'REG y VAL POE - AESR - ESR'!AK238</f>
        <v>0</v>
      </c>
      <c r="DVR5" s="29">
        <f>'REG y VAL POE - AESR - ESR'!AL238</f>
        <v>0</v>
      </c>
      <c r="DVS5" s="29">
        <f>'REG y VAL POE - AESR - ESR'!AM238</f>
        <v>0</v>
      </c>
      <c r="DVT5" s="29">
        <f>'REG y VAL POE - AESR - ESR'!AN238</f>
        <v>0</v>
      </c>
      <c r="DVU5" s="29">
        <f>'REG y VAL POE - AESR - ESR'!AO238</f>
        <v>0</v>
      </c>
      <c r="DVV5" s="29">
        <f>'REG y VAL POE - AESR - ESR'!AP238</f>
        <v>0</v>
      </c>
      <c r="DVW5" s="29">
        <f>'REG y VAL POE - AESR - ESR'!AQ238</f>
        <v>0</v>
      </c>
      <c r="DVX5" s="29">
        <f>'REG y VAL POE - AESR - ESR'!AR238</f>
        <v>0</v>
      </c>
      <c r="DVY5" s="29">
        <f>'REG y VAL POE - AESR - ESR'!AS238</f>
        <v>0</v>
      </c>
      <c r="DVZ5" s="30">
        <f>'REG y VAL POE - AESR - ESR'!B239</f>
        <v>0</v>
      </c>
      <c r="DWA5" s="28">
        <f>'REG y VAL POE - AESR - ESR'!C239</f>
        <v>0</v>
      </c>
      <c r="DWB5" s="29">
        <f>'REG y VAL POE - AESR - ESR'!D239</f>
        <v>0</v>
      </c>
      <c r="DWC5" s="29">
        <f>'REG y VAL POE - AESR - ESR'!E239</f>
        <v>0</v>
      </c>
      <c r="DWD5" s="32">
        <f>'REG y VAL POE - AESR - ESR'!F239</f>
        <v>0</v>
      </c>
      <c r="DWE5" s="32">
        <f>'REG y VAL POE - AESR - ESR'!G239</f>
        <v>0</v>
      </c>
      <c r="DWF5" s="32">
        <f>'REG y VAL POE - AESR - ESR'!H239</f>
        <v>0</v>
      </c>
      <c r="DWG5" s="28">
        <f>'REG y VAL POE - AESR - ESR'!I239</f>
        <v>0</v>
      </c>
      <c r="DWH5" s="29">
        <f>'REG y VAL POE - AESR - ESR'!J239</f>
        <v>0</v>
      </c>
      <c r="DWI5" s="29">
        <f>'REG y VAL POE - AESR - ESR'!K239</f>
        <v>0</v>
      </c>
      <c r="DWJ5" s="28">
        <f>'REG y VAL POE - AESR - ESR'!L239</f>
        <v>0</v>
      </c>
      <c r="DWK5" s="29">
        <f>'REG y VAL POE - AESR - ESR'!M239</f>
        <v>0</v>
      </c>
      <c r="DWL5" s="30">
        <f>'REG y VAL POE - AESR - ESR'!N239</f>
        <v>0</v>
      </c>
      <c r="DWM5" s="28">
        <f>'REG y VAL POE - AESR - ESR'!O239</f>
        <v>0</v>
      </c>
      <c r="DWN5" s="29">
        <f>'REG y VAL POE - AESR - ESR'!P239</f>
        <v>0</v>
      </c>
      <c r="DWO5" s="29">
        <f>'REG y VAL POE - AESR - ESR'!Q239</f>
        <v>0</v>
      </c>
      <c r="DWP5" s="32">
        <f>'REG y VAL POE - AESR - ESR'!R239</f>
        <v>0</v>
      </c>
      <c r="DWQ5" s="28">
        <f>'REG y VAL POE - AESR - ESR'!S239</f>
        <v>0</v>
      </c>
      <c r="DWR5" s="29">
        <f>'REG y VAL POE - AESR - ESR'!T239</f>
        <v>0</v>
      </c>
      <c r="DWS5" s="29">
        <f>'REG y VAL POE - AESR - ESR'!U239</f>
        <v>0</v>
      </c>
      <c r="DWT5" s="28">
        <f>'REG y VAL POE - AESR - ESR'!V239</f>
        <v>0</v>
      </c>
      <c r="DWU5" s="29">
        <f>'REG y VAL POE - AESR - ESR'!W239</f>
        <v>0</v>
      </c>
      <c r="DWV5" s="30">
        <f>'REG y VAL POE - AESR - ESR'!X239</f>
        <v>0</v>
      </c>
      <c r="DWW5" s="28">
        <f>'REG y VAL POE - AESR - ESR'!Y239</f>
        <v>0</v>
      </c>
      <c r="DWX5" s="29">
        <f>'REG y VAL POE - AESR - ESR'!Z239</f>
        <v>0</v>
      </c>
      <c r="DWY5" s="29">
        <f>'REG y VAL POE - AESR - ESR'!AA239</f>
        <v>0</v>
      </c>
      <c r="DWZ5" s="32">
        <f>'REG y VAL POE - AESR - ESR'!AB239</f>
        <v>0</v>
      </c>
      <c r="DXA5" s="28">
        <f>'REG y VAL POE - AESR - ESR'!AC239</f>
        <v>0</v>
      </c>
      <c r="DXB5" s="29">
        <f>'REG y VAL POE - AESR - ESR'!AD239</f>
        <v>0</v>
      </c>
      <c r="DXC5" s="29">
        <f>'REG y VAL POE - AESR - ESR'!AE239</f>
        <v>0</v>
      </c>
      <c r="DXD5" s="28">
        <f>'REG y VAL POE - AESR - ESR'!AF239</f>
        <v>0</v>
      </c>
      <c r="DXE5" s="29">
        <f>'REG y VAL POE - AESR - ESR'!AG239</f>
        <v>0</v>
      </c>
      <c r="DXF5" s="30">
        <f>'REG y VAL POE - AESR - ESR'!AH239</f>
        <v>0</v>
      </c>
      <c r="DXG5" s="28">
        <f>'REG y VAL POE - AESR - ESR'!AI239</f>
        <v>0</v>
      </c>
      <c r="DXH5" s="29">
        <f>'REG y VAL POE - AESR - ESR'!AJ239</f>
        <v>0</v>
      </c>
      <c r="DXI5" s="29">
        <f>'REG y VAL POE - AESR - ESR'!AK239</f>
        <v>0</v>
      </c>
      <c r="DXJ5" s="32">
        <f>'REG y VAL POE - AESR - ESR'!AL239</f>
        <v>0</v>
      </c>
      <c r="DXK5" s="28">
        <f>'REG y VAL POE - AESR - ESR'!AM239</f>
        <v>0</v>
      </c>
      <c r="DXL5" s="29">
        <f>'REG y VAL POE - AESR - ESR'!AN239</f>
        <v>0</v>
      </c>
      <c r="DXM5" s="29">
        <f>'REG y VAL POE - AESR - ESR'!AO239</f>
        <v>0</v>
      </c>
      <c r="DXN5" s="28">
        <f>'REG y VAL POE - AESR - ESR'!AP239</f>
        <v>0</v>
      </c>
      <c r="DXO5" s="29">
        <f>'REG y VAL POE - AESR - ESR'!AQ239</f>
        <v>0</v>
      </c>
      <c r="DXP5" s="30">
        <f>'REG y VAL POE - AESR - ESR'!AR239</f>
        <v>0</v>
      </c>
      <c r="DXQ5" s="28">
        <f>'REG y VAL POE - AESR - ESR'!AS239</f>
        <v>0</v>
      </c>
      <c r="DXR5" s="30">
        <f>'REG y VAL POE - AESR - ESR'!B240</f>
        <v>0</v>
      </c>
      <c r="DXS5" s="29">
        <f>'REG y VAL POE - AESR - ESR'!C240</f>
        <v>0</v>
      </c>
      <c r="DXT5" s="28">
        <f>'REG y VAL POE - AESR - ESR'!D240</f>
        <v>0</v>
      </c>
      <c r="DXU5" s="29">
        <f>'REG y VAL POE - AESR - ESR'!E240</f>
        <v>0</v>
      </c>
      <c r="DXV5" s="28">
        <f>'REG y VAL POE - AESR - ESR'!F240</f>
        <v>0</v>
      </c>
      <c r="DXW5" s="28">
        <f>'REG y VAL POE - AESR - ESR'!G240</f>
        <v>0</v>
      </c>
      <c r="DXX5" s="28">
        <f>'REG y VAL POE - AESR - ESR'!H240</f>
        <v>0</v>
      </c>
      <c r="DXY5" s="29">
        <f>'REG y VAL POE - AESR - ESR'!I240</f>
        <v>0</v>
      </c>
      <c r="DXZ5" s="388">
        <f>'REG y VAL POE - AESR - ESR'!J240</f>
        <v>0</v>
      </c>
      <c r="DYA5" s="29">
        <f>'REG y VAL POE - AESR - ESR'!K240</f>
        <v>0</v>
      </c>
      <c r="DYB5" s="388">
        <f>'REG y VAL POE - AESR - ESR'!L240</f>
        <v>0</v>
      </c>
      <c r="DYC5" s="29">
        <f>'REG y VAL POE - AESR - ESR'!M240</f>
        <v>0</v>
      </c>
      <c r="DYD5" s="388">
        <f>'REG y VAL POE - AESR - ESR'!N240</f>
        <v>0</v>
      </c>
      <c r="DYE5" s="29">
        <f>'REG y VAL POE - AESR - ESR'!O240</f>
        <v>0</v>
      </c>
      <c r="DYF5" s="29">
        <f>'REG y VAL POE - AESR - ESR'!P240</f>
        <v>0</v>
      </c>
      <c r="DYG5" s="29">
        <f>'REG y VAL POE - AESR - ESR'!Q240</f>
        <v>0</v>
      </c>
      <c r="DYH5" s="29">
        <f>'REG y VAL POE - AESR - ESR'!R240</f>
        <v>0</v>
      </c>
      <c r="DYI5" s="29">
        <f>'REG y VAL POE - AESR - ESR'!S240</f>
        <v>0</v>
      </c>
      <c r="DYJ5" s="29">
        <f>'REG y VAL POE - AESR - ESR'!T240</f>
        <v>0</v>
      </c>
      <c r="DYK5" s="29">
        <f>'REG y VAL POE - AESR - ESR'!U240</f>
        <v>0</v>
      </c>
      <c r="DYL5" s="29">
        <f>'REG y VAL POE - AESR - ESR'!V240</f>
        <v>0</v>
      </c>
      <c r="DYM5" s="29">
        <f>'REG y VAL POE - AESR - ESR'!W240</f>
        <v>0</v>
      </c>
      <c r="DYN5" s="29">
        <f>'REG y VAL POE - AESR - ESR'!X240</f>
        <v>0</v>
      </c>
      <c r="DYO5" s="29">
        <f>'REG y VAL POE - AESR - ESR'!Y240</f>
        <v>0</v>
      </c>
      <c r="DYP5" s="29">
        <f>'REG y VAL POE - AESR - ESR'!Z240</f>
        <v>0</v>
      </c>
      <c r="DYQ5" s="29">
        <f>'REG y VAL POE - AESR - ESR'!AA240</f>
        <v>0</v>
      </c>
      <c r="DYR5" s="29">
        <f>'REG y VAL POE - AESR - ESR'!AB240</f>
        <v>0</v>
      </c>
      <c r="DYS5" s="29">
        <f>'REG y VAL POE - AESR - ESR'!AC240</f>
        <v>0</v>
      </c>
      <c r="DYT5" s="29">
        <f>'REG y VAL POE - AESR - ESR'!AD240</f>
        <v>0</v>
      </c>
      <c r="DYU5" s="29">
        <f>'REG y VAL POE - AESR - ESR'!AE240</f>
        <v>0</v>
      </c>
      <c r="DYV5" s="29">
        <f>'REG y VAL POE - AESR - ESR'!AF240</f>
        <v>0</v>
      </c>
      <c r="DYW5" s="29">
        <f>'REG y VAL POE - AESR - ESR'!AG240</f>
        <v>0</v>
      </c>
      <c r="DYX5" s="29">
        <f>'REG y VAL POE - AESR - ESR'!AH240</f>
        <v>0</v>
      </c>
      <c r="DYY5" s="29">
        <f>'REG y VAL POE - AESR - ESR'!AI240</f>
        <v>0</v>
      </c>
      <c r="DYZ5" s="29">
        <f>'REG y VAL POE - AESR - ESR'!AJ240</f>
        <v>0</v>
      </c>
      <c r="DZA5" s="29">
        <f>'REG y VAL POE - AESR - ESR'!AK240</f>
        <v>0</v>
      </c>
      <c r="DZB5" s="29">
        <f>'REG y VAL POE - AESR - ESR'!AL240</f>
        <v>0</v>
      </c>
      <c r="DZC5" s="29">
        <f>'REG y VAL POE - AESR - ESR'!AM240</f>
        <v>0</v>
      </c>
      <c r="DZD5" s="29">
        <f>'REG y VAL POE - AESR - ESR'!AN240</f>
        <v>0</v>
      </c>
      <c r="DZE5" s="29">
        <f>'REG y VAL POE - AESR - ESR'!AO240</f>
        <v>0</v>
      </c>
      <c r="DZF5" s="29">
        <f>'REG y VAL POE - AESR - ESR'!AP240</f>
        <v>0</v>
      </c>
      <c r="DZG5" s="29">
        <f>'REG y VAL POE - AESR - ESR'!AQ240</f>
        <v>0</v>
      </c>
      <c r="DZH5" s="29">
        <f>'REG y VAL POE - AESR - ESR'!AR240</f>
        <v>0</v>
      </c>
      <c r="DZI5" s="29">
        <f>'REG y VAL POE - AESR - ESR'!AS240</f>
        <v>0</v>
      </c>
      <c r="DZJ5" s="30">
        <f>'REG y VAL POE - AESR - ESR'!B241</f>
        <v>0</v>
      </c>
      <c r="DZK5" s="28">
        <f>'REG y VAL POE - AESR - ESR'!C241</f>
        <v>0</v>
      </c>
      <c r="DZL5" s="29">
        <f>'REG y VAL POE - AESR - ESR'!D241</f>
        <v>0</v>
      </c>
      <c r="DZM5" s="29">
        <f>'REG y VAL POE - AESR - ESR'!E241</f>
        <v>0</v>
      </c>
      <c r="DZN5" s="32">
        <f>'REG y VAL POE - AESR - ESR'!F241</f>
        <v>0</v>
      </c>
      <c r="DZO5" s="32">
        <f>'REG y VAL POE - AESR - ESR'!G241</f>
        <v>0</v>
      </c>
      <c r="DZP5" s="32">
        <f>'REG y VAL POE - AESR - ESR'!H241</f>
        <v>0</v>
      </c>
      <c r="DZQ5" s="28">
        <f>'REG y VAL POE - AESR - ESR'!I241</f>
        <v>0</v>
      </c>
      <c r="DZR5" s="29">
        <f>'REG y VAL POE - AESR - ESR'!J241</f>
        <v>0</v>
      </c>
      <c r="DZS5" s="29">
        <f>'REG y VAL POE - AESR - ESR'!K241</f>
        <v>0</v>
      </c>
      <c r="DZT5" s="28">
        <f>'REG y VAL POE - AESR - ESR'!L241</f>
        <v>0</v>
      </c>
      <c r="DZU5" s="29">
        <f>'REG y VAL POE - AESR - ESR'!M241</f>
        <v>0</v>
      </c>
      <c r="DZV5" s="30">
        <f>'REG y VAL POE - AESR - ESR'!N241</f>
        <v>0</v>
      </c>
      <c r="DZW5" s="28">
        <f>'REG y VAL POE - AESR - ESR'!O241</f>
        <v>0</v>
      </c>
      <c r="DZX5" s="29">
        <f>'REG y VAL POE - AESR - ESR'!P241</f>
        <v>0</v>
      </c>
      <c r="DZY5" s="29">
        <f>'REG y VAL POE - AESR - ESR'!Q241</f>
        <v>0</v>
      </c>
      <c r="DZZ5" s="32">
        <f>'REG y VAL POE - AESR - ESR'!R241</f>
        <v>0</v>
      </c>
      <c r="EAA5" s="28">
        <f>'REG y VAL POE - AESR - ESR'!S241</f>
        <v>0</v>
      </c>
      <c r="EAB5" s="29">
        <f>'REG y VAL POE - AESR - ESR'!T241</f>
        <v>0</v>
      </c>
      <c r="EAC5" s="29">
        <f>'REG y VAL POE - AESR - ESR'!U241</f>
        <v>0</v>
      </c>
      <c r="EAD5" s="28">
        <f>'REG y VAL POE - AESR - ESR'!V241</f>
        <v>0</v>
      </c>
      <c r="EAE5" s="29">
        <f>'REG y VAL POE - AESR - ESR'!W241</f>
        <v>0</v>
      </c>
      <c r="EAF5" s="30">
        <f>'REG y VAL POE - AESR - ESR'!X241</f>
        <v>0</v>
      </c>
      <c r="EAG5" s="28">
        <f>'REG y VAL POE - AESR - ESR'!Y241</f>
        <v>0</v>
      </c>
      <c r="EAH5" s="29">
        <f>'REG y VAL POE - AESR - ESR'!Z241</f>
        <v>0</v>
      </c>
      <c r="EAI5" s="29">
        <f>'REG y VAL POE - AESR - ESR'!AA241</f>
        <v>0</v>
      </c>
      <c r="EAJ5" s="32">
        <f>'REG y VAL POE - AESR - ESR'!AB241</f>
        <v>0</v>
      </c>
      <c r="EAK5" s="28">
        <f>'REG y VAL POE - AESR - ESR'!AC241</f>
        <v>0</v>
      </c>
      <c r="EAL5" s="29">
        <f>'REG y VAL POE - AESR - ESR'!AD241</f>
        <v>0</v>
      </c>
      <c r="EAM5" s="29">
        <f>'REG y VAL POE - AESR - ESR'!AE241</f>
        <v>0</v>
      </c>
      <c r="EAN5" s="28">
        <f>'REG y VAL POE - AESR - ESR'!AF241</f>
        <v>0</v>
      </c>
      <c r="EAO5" s="29">
        <f>'REG y VAL POE - AESR - ESR'!AG241</f>
        <v>0</v>
      </c>
      <c r="EAP5" s="30">
        <f>'REG y VAL POE - AESR - ESR'!AH241</f>
        <v>0</v>
      </c>
      <c r="EAQ5" s="28">
        <f>'REG y VAL POE - AESR - ESR'!AI241</f>
        <v>0</v>
      </c>
      <c r="EAR5" s="29">
        <f>'REG y VAL POE - AESR - ESR'!AJ241</f>
        <v>0</v>
      </c>
      <c r="EAS5" s="29">
        <f>'REG y VAL POE - AESR - ESR'!AK241</f>
        <v>0</v>
      </c>
      <c r="EAT5" s="32">
        <f>'REG y VAL POE - AESR - ESR'!AL241</f>
        <v>0</v>
      </c>
      <c r="EAU5" s="28">
        <f>'REG y VAL POE - AESR - ESR'!AM241</f>
        <v>0</v>
      </c>
      <c r="EAV5" s="29">
        <f>'REG y VAL POE - AESR - ESR'!AN241</f>
        <v>0</v>
      </c>
      <c r="EAW5" s="29">
        <f>'REG y VAL POE - AESR - ESR'!AO241</f>
        <v>0</v>
      </c>
      <c r="EAX5" s="28">
        <f>'REG y VAL POE - AESR - ESR'!AP241</f>
        <v>0</v>
      </c>
      <c r="EAY5" s="29">
        <f>'REG y VAL POE - AESR - ESR'!AQ241</f>
        <v>0</v>
      </c>
      <c r="EAZ5" s="30">
        <f>'REG y VAL POE - AESR - ESR'!AR241</f>
        <v>0</v>
      </c>
      <c r="EBA5" s="28">
        <f>'REG y VAL POE - AESR - ESR'!AS241</f>
        <v>0</v>
      </c>
      <c r="EBB5" s="30">
        <f>'REG y VAL POE - AESR - ESR'!B242</f>
        <v>0</v>
      </c>
      <c r="EBC5" s="29">
        <f>'REG y VAL POE - AESR - ESR'!C242</f>
        <v>0</v>
      </c>
      <c r="EBD5" s="28">
        <f>'REG y VAL POE - AESR - ESR'!D242</f>
        <v>0</v>
      </c>
      <c r="EBE5" s="29">
        <f>'REG y VAL POE - AESR - ESR'!E242</f>
        <v>0</v>
      </c>
      <c r="EBF5" s="28">
        <f>'REG y VAL POE - AESR - ESR'!F242</f>
        <v>0</v>
      </c>
      <c r="EBG5" s="28">
        <f>'REG y VAL POE - AESR - ESR'!G242</f>
        <v>0</v>
      </c>
      <c r="EBH5" s="28">
        <f>'REG y VAL POE - AESR - ESR'!H242</f>
        <v>0</v>
      </c>
      <c r="EBI5" s="29">
        <f>'REG y VAL POE - AESR - ESR'!I242</f>
        <v>0</v>
      </c>
      <c r="EBJ5" s="388">
        <f>'REG y VAL POE - AESR - ESR'!J242</f>
        <v>0</v>
      </c>
      <c r="EBK5" s="29">
        <f>'REG y VAL POE - AESR - ESR'!K242</f>
        <v>0</v>
      </c>
      <c r="EBL5" s="388">
        <f>'REG y VAL POE - AESR - ESR'!L242</f>
        <v>0</v>
      </c>
      <c r="EBM5" s="29">
        <f>'REG y VAL POE - AESR - ESR'!M242</f>
        <v>0</v>
      </c>
      <c r="EBN5" s="388">
        <f>'REG y VAL POE - AESR - ESR'!N242</f>
        <v>0</v>
      </c>
      <c r="EBO5" s="29">
        <f>'REG y VAL POE - AESR - ESR'!O242</f>
        <v>0</v>
      </c>
      <c r="EBP5" s="29">
        <f>'REG y VAL POE - AESR - ESR'!P242</f>
        <v>0</v>
      </c>
      <c r="EBQ5" s="29">
        <f>'REG y VAL POE - AESR - ESR'!Q242</f>
        <v>0</v>
      </c>
      <c r="EBR5" s="29">
        <f>'REG y VAL POE - AESR - ESR'!R242</f>
        <v>0</v>
      </c>
      <c r="EBS5" s="29">
        <f>'REG y VAL POE - AESR - ESR'!S242</f>
        <v>0</v>
      </c>
      <c r="EBT5" s="29">
        <f>'REG y VAL POE - AESR - ESR'!T242</f>
        <v>0</v>
      </c>
      <c r="EBU5" s="29">
        <f>'REG y VAL POE - AESR - ESR'!U242</f>
        <v>0</v>
      </c>
      <c r="EBV5" s="29">
        <f>'REG y VAL POE - AESR - ESR'!V242</f>
        <v>0</v>
      </c>
      <c r="EBW5" s="29">
        <f>'REG y VAL POE - AESR - ESR'!W242</f>
        <v>0</v>
      </c>
      <c r="EBX5" s="29">
        <f>'REG y VAL POE - AESR - ESR'!X242</f>
        <v>0</v>
      </c>
      <c r="EBY5" s="29">
        <f>'REG y VAL POE - AESR - ESR'!Y242</f>
        <v>0</v>
      </c>
      <c r="EBZ5" s="29">
        <f>'REG y VAL POE - AESR - ESR'!Z242</f>
        <v>0</v>
      </c>
      <c r="ECA5" s="29">
        <f>'REG y VAL POE - AESR - ESR'!AA242</f>
        <v>0</v>
      </c>
      <c r="ECB5" s="29">
        <f>'REG y VAL POE - AESR - ESR'!AB242</f>
        <v>0</v>
      </c>
      <c r="ECC5" s="29">
        <f>'REG y VAL POE - AESR - ESR'!AC242</f>
        <v>0</v>
      </c>
      <c r="ECD5" s="29">
        <f>'REG y VAL POE - AESR - ESR'!AD242</f>
        <v>0</v>
      </c>
      <c r="ECE5" s="29">
        <f>'REG y VAL POE - AESR - ESR'!AE242</f>
        <v>0</v>
      </c>
      <c r="ECF5" s="29">
        <f>'REG y VAL POE - AESR - ESR'!AF242</f>
        <v>0</v>
      </c>
      <c r="ECG5" s="29">
        <f>'REG y VAL POE - AESR - ESR'!AG242</f>
        <v>0</v>
      </c>
      <c r="ECH5" s="29">
        <f>'REG y VAL POE - AESR - ESR'!AH242</f>
        <v>0</v>
      </c>
      <c r="ECI5" s="29">
        <f>'REG y VAL POE - AESR - ESR'!AI242</f>
        <v>0</v>
      </c>
      <c r="ECJ5" s="29">
        <f>'REG y VAL POE - AESR - ESR'!AJ242</f>
        <v>0</v>
      </c>
      <c r="ECK5" s="29">
        <f>'REG y VAL POE - AESR - ESR'!AK242</f>
        <v>0</v>
      </c>
      <c r="ECL5" s="29">
        <f>'REG y VAL POE - AESR - ESR'!AL242</f>
        <v>0</v>
      </c>
      <c r="ECM5" s="29">
        <f>'REG y VAL POE - AESR - ESR'!AM242</f>
        <v>0</v>
      </c>
      <c r="ECN5" s="29">
        <f>'REG y VAL POE - AESR - ESR'!AN242</f>
        <v>0</v>
      </c>
      <c r="ECO5" s="29">
        <f>'REG y VAL POE - AESR - ESR'!AO242</f>
        <v>0</v>
      </c>
      <c r="ECP5" s="29">
        <f>'REG y VAL POE - AESR - ESR'!AP242</f>
        <v>0</v>
      </c>
      <c r="ECQ5" s="29">
        <f>'REG y VAL POE - AESR - ESR'!AQ242</f>
        <v>0</v>
      </c>
      <c r="ECR5" s="29">
        <f>'REG y VAL POE - AESR - ESR'!AR242</f>
        <v>0</v>
      </c>
      <c r="ECS5" s="29">
        <f>'REG y VAL POE - AESR - ESR'!AS242</f>
        <v>0</v>
      </c>
      <c r="ECT5" s="30">
        <f>'REG y VAL POE - AESR - ESR'!B243</f>
        <v>0</v>
      </c>
      <c r="ECU5" s="28">
        <f>'REG y VAL POE - AESR - ESR'!C243</f>
        <v>0</v>
      </c>
      <c r="ECV5" s="29">
        <f>'REG y VAL POE - AESR - ESR'!D243</f>
        <v>0</v>
      </c>
      <c r="ECW5" s="29">
        <f>'REG y VAL POE - AESR - ESR'!E243</f>
        <v>0</v>
      </c>
      <c r="ECX5" s="32">
        <f>'REG y VAL POE - AESR - ESR'!F243</f>
        <v>0</v>
      </c>
      <c r="ECY5" s="32">
        <f>'REG y VAL POE - AESR - ESR'!G243</f>
        <v>0</v>
      </c>
      <c r="ECZ5" s="32">
        <f>'REG y VAL POE - AESR - ESR'!H243</f>
        <v>0</v>
      </c>
      <c r="EDA5" s="28">
        <f>'REG y VAL POE - AESR - ESR'!I243</f>
        <v>0</v>
      </c>
      <c r="EDB5" s="29">
        <f>'REG y VAL POE - AESR - ESR'!J243</f>
        <v>0</v>
      </c>
      <c r="EDC5" s="29">
        <f>'REG y VAL POE - AESR - ESR'!K243</f>
        <v>0</v>
      </c>
      <c r="EDD5" s="28">
        <f>'REG y VAL POE - AESR - ESR'!L243</f>
        <v>0</v>
      </c>
      <c r="EDE5" s="29">
        <f>'REG y VAL POE - AESR - ESR'!M243</f>
        <v>0</v>
      </c>
      <c r="EDF5" s="30">
        <f>'REG y VAL POE - AESR - ESR'!N243</f>
        <v>0</v>
      </c>
      <c r="EDG5" s="28">
        <f>'REG y VAL POE - AESR - ESR'!O243</f>
        <v>0</v>
      </c>
      <c r="EDH5" s="29">
        <f>'REG y VAL POE - AESR - ESR'!P243</f>
        <v>0</v>
      </c>
      <c r="EDI5" s="29">
        <f>'REG y VAL POE - AESR - ESR'!Q243</f>
        <v>0</v>
      </c>
      <c r="EDJ5" s="32">
        <f>'REG y VAL POE - AESR - ESR'!R243</f>
        <v>0</v>
      </c>
      <c r="EDK5" s="28">
        <f>'REG y VAL POE - AESR - ESR'!S243</f>
        <v>0</v>
      </c>
      <c r="EDL5" s="29">
        <f>'REG y VAL POE - AESR - ESR'!T243</f>
        <v>0</v>
      </c>
      <c r="EDM5" s="29">
        <f>'REG y VAL POE - AESR - ESR'!U243</f>
        <v>0</v>
      </c>
      <c r="EDN5" s="28">
        <f>'REG y VAL POE - AESR - ESR'!V243</f>
        <v>0</v>
      </c>
      <c r="EDO5" s="29">
        <f>'REG y VAL POE - AESR - ESR'!W243</f>
        <v>0</v>
      </c>
      <c r="EDP5" s="30">
        <f>'REG y VAL POE - AESR - ESR'!X243</f>
        <v>0</v>
      </c>
      <c r="EDQ5" s="28">
        <f>'REG y VAL POE - AESR - ESR'!Y243</f>
        <v>0</v>
      </c>
      <c r="EDR5" s="29">
        <f>'REG y VAL POE - AESR - ESR'!Z243</f>
        <v>0</v>
      </c>
      <c r="EDS5" s="29">
        <f>'REG y VAL POE - AESR - ESR'!AA243</f>
        <v>0</v>
      </c>
      <c r="EDT5" s="32">
        <f>'REG y VAL POE - AESR - ESR'!AB243</f>
        <v>0</v>
      </c>
      <c r="EDU5" s="28">
        <f>'REG y VAL POE - AESR - ESR'!AC243</f>
        <v>0</v>
      </c>
      <c r="EDV5" s="29">
        <f>'REG y VAL POE - AESR - ESR'!AD243</f>
        <v>0</v>
      </c>
      <c r="EDW5" s="29">
        <f>'REG y VAL POE - AESR - ESR'!AE243</f>
        <v>0</v>
      </c>
      <c r="EDX5" s="28">
        <f>'REG y VAL POE - AESR - ESR'!AF243</f>
        <v>0</v>
      </c>
      <c r="EDY5" s="29">
        <f>'REG y VAL POE - AESR - ESR'!AG243</f>
        <v>0</v>
      </c>
      <c r="EDZ5" s="30">
        <f>'REG y VAL POE - AESR - ESR'!AH243</f>
        <v>0</v>
      </c>
      <c r="EEA5" s="28">
        <f>'REG y VAL POE - AESR - ESR'!AI243</f>
        <v>0</v>
      </c>
      <c r="EEB5" s="29">
        <f>'REG y VAL POE - AESR - ESR'!AJ243</f>
        <v>0</v>
      </c>
      <c r="EEC5" s="29">
        <f>'REG y VAL POE - AESR - ESR'!AK243</f>
        <v>0</v>
      </c>
      <c r="EED5" s="32">
        <f>'REG y VAL POE - AESR - ESR'!AL243</f>
        <v>0</v>
      </c>
      <c r="EEE5" s="28">
        <f>'REG y VAL POE - AESR - ESR'!AM243</f>
        <v>0</v>
      </c>
      <c r="EEF5" s="29">
        <f>'REG y VAL POE - AESR - ESR'!AN243</f>
        <v>0</v>
      </c>
      <c r="EEG5" s="29">
        <f>'REG y VAL POE - AESR - ESR'!AO243</f>
        <v>0</v>
      </c>
      <c r="EEH5" s="28">
        <f>'REG y VAL POE - AESR - ESR'!AP243</f>
        <v>0</v>
      </c>
      <c r="EEI5" s="29">
        <f>'REG y VAL POE - AESR - ESR'!AQ243</f>
        <v>0</v>
      </c>
      <c r="EEJ5" s="30">
        <f>'REG y VAL POE - AESR - ESR'!AR243</f>
        <v>0</v>
      </c>
      <c r="EEK5" s="28">
        <f>'REG y VAL POE - AESR - ESR'!AS243</f>
        <v>0</v>
      </c>
      <c r="EEL5" s="30"/>
      <c r="EEM5" s="29"/>
      <c r="EEN5" s="28"/>
      <c r="EEO5" s="29"/>
      <c r="EEP5" s="28"/>
      <c r="EEQ5" s="28"/>
      <c r="EER5" s="28"/>
      <c r="EES5" s="29"/>
      <c r="EET5" s="388"/>
      <c r="EEU5" s="29"/>
      <c r="EEV5" s="388"/>
      <c r="EEW5" s="29"/>
      <c r="EEX5" s="388"/>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30"/>
      <c r="EGE5" s="28"/>
      <c r="EGF5" s="29"/>
      <c r="EGG5" s="29"/>
      <c r="EGH5" s="32"/>
      <c r="EGI5" s="32"/>
      <c r="EGJ5" s="32"/>
      <c r="EGK5" s="28"/>
      <c r="EGL5" s="29"/>
      <c r="EGM5" s="29"/>
      <c r="EGN5" s="28"/>
      <c r="EGO5" s="29"/>
      <c r="EGP5" s="30"/>
      <c r="EGQ5" s="28"/>
      <c r="EGR5" s="29"/>
      <c r="EGS5" s="29"/>
      <c r="EGT5" s="32"/>
      <c r="EGU5" s="28"/>
      <c r="EGV5" s="29"/>
      <c r="EGW5" s="29"/>
      <c r="EGX5" s="28"/>
      <c r="EGY5" s="29"/>
      <c r="EGZ5" s="30"/>
      <c r="EHA5" s="28"/>
      <c r="EHB5" s="29"/>
      <c r="EHC5" s="29"/>
      <c r="EHD5" s="32"/>
      <c r="EHE5" s="28"/>
      <c r="EHF5" s="29"/>
      <c r="EHG5" s="29"/>
      <c r="EHH5" s="28"/>
      <c r="EHI5" s="29"/>
      <c r="EHJ5" s="30"/>
      <c r="EHK5" s="28"/>
      <c r="EHL5" s="29"/>
      <c r="EHM5" s="29"/>
      <c r="EHN5" s="32"/>
      <c r="EHO5" s="28"/>
      <c r="EHP5" s="29"/>
      <c r="EHQ5" s="29"/>
      <c r="EHR5" s="28"/>
      <c r="EHS5" s="29"/>
      <c r="EHT5" s="30"/>
      <c r="EHU5" s="28"/>
      <c r="EHV5" s="30"/>
      <c r="EHW5" s="29"/>
      <c r="EHX5" s="28"/>
      <c r="EHY5" s="29"/>
      <c r="EHZ5" s="28"/>
      <c r="EIA5" s="28"/>
      <c r="EIB5" s="28"/>
      <c r="EIC5" s="29"/>
      <c r="EID5" s="388"/>
      <c r="EIE5" s="29"/>
      <c r="EIF5" s="388"/>
      <c r="EIG5" s="29"/>
      <c r="EIH5" s="388"/>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30"/>
      <c r="EJO5" s="28"/>
      <c r="EJP5" s="29"/>
      <c r="EJQ5" s="29"/>
      <c r="EJR5" s="32"/>
      <c r="EJS5" s="32"/>
      <c r="EJT5" s="32"/>
      <c r="EJU5" s="28"/>
      <c r="EJV5" s="29"/>
      <c r="EJW5" s="29"/>
      <c r="EJX5" s="28"/>
      <c r="EJY5" s="29"/>
      <c r="EJZ5" s="30"/>
      <c r="EKA5" s="28"/>
      <c r="EKB5" s="29"/>
      <c r="EKC5" s="29"/>
      <c r="EKD5" s="32"/>
      <c r="EKE5" s="28"/>
      <c r="EKF5" s="29"/>
      <c r="EKG5" s="29"/>
      <c r="EKH5" s="28"/>
      <c r="EKI5" s="29"/>
      <c r="EKJ5" s="30"/>
      <c r="EKK5" s="28"/>
      <c r="EKL5" s="29"/>
      <c r="EKM5" s="29"/>
      <c r="EKN5" s="32"/>
      <c r="EKO5" s="28"/>
      <c r="EKP5" s="29"/>
      <c r="EKQ5" s="29"/>
      <c r="EKR5" s="28"/>
      <c r="EKS5" s="29"/>
      <c r="EKT5" s="30"/>
      <c r="EKU5" s="28"/>
      <c r="EKV5" s="29"/>
      <c r="EKW5" s="29"/>
      <c r="EKX5" s="32"/>
      <c r="EKY5" s="28"/>
      <c r="EKZ5" s="29"/>
      <c r="ELA5" s="29"/>
      <c r="ELB5" s="28"/>
      <c r="ELC5" s="29"/>
      <c r="ELD5" s="30"/>
      <c r="ELE5" s="28"/>
      <c r="ELF5" s="30"/>
      <c r="ELG5" s="29"/>
      <c r="ELH5" s="28"/>
      <c r="ELI5" s="29"/>
      <c r="ELJ5" s="28"/>
      <c r="ELK5" s="28"/>
      <c r="ELL5" s="28"/>
      <c r="ELM5" s="29"/>
      <c r="ELN5" s="388"/>
      <c r="ELO5" s="29"/>
      <c r="ELP5" s="388"/>
      <c r="ELQ5" s="29"/>
      <c r="ELR5" s="388"/>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30"/>
      <c r="EMY5" s="28"/>
      <c r="EMZ5" s="29"/>
      <c r="ENA5" s="29"/>
      <c r="ENB5" s="32"/>
      <c r="ENC5" s="32"/>
      <c r="END5" s="32"/>
      <c r="ENE5" s="28"/>
      <c r="ENF5" s="29"/>
      <c r="ENG5" s="29"/>
      <c r="ENH5" s="28"/>
      <c r="ENI5" s="29"/>
      <c r="ENJ5" s="30"/>
      <c r="ENK5" s="28"/>
      <c r="ENL5" s="29"/>
      <c r="ENM5" s="29"/>
      <c r="ENN5" s="32"/>
      <c r="ENO5" s="28"/>
      <c r="ENP5" s="29"/>
      <c r="ENQ5" s="29"/>
      <c r="ENR5" s="28"/>
      <c r="ENS5" s="29"/>
      <c r="ENT5" s="30"/>
      <c r="ENU5" s="28"/>
      <c r="ENV5" s="29"/>
      <c r="ENW5" s="29"/>
      <c r="ENX5" s="32"/>
      <c r="ENY5" s="28"/>
      <c r="ENZ5" s="29"/>
      <c r="EOA5" s="29"/>
      <c r="EOB5" s="28"/>
      <c r="EOC5" s="29"/>
      <c r="EOD5" s="30"/>
      <c r="EOE5" s="28"/>
      <c r="EOF5" s="29"/>
      <c r="EOG5" s="29"/>
      <c r="EOH5" s="32"/>
      <c r="EOI5" s="28"/>
      <c r="EOJ5" s="29"/>
      <c r="EOK5" s="29"/>
      <c r="EOL5" s="28"/>
      <c r="EOM5" s="29"/>
      <c r="EON5" s="30"/>
      <c r="EOO5" s="28" t="str">
        <f t="shared" si="149"/>
        <v xml:space="preserve"> </v>
      </c>
      <c r="EOP5" s="30"/>
      <c r="EOQ5" s="29"/>
      <c r="EOR5" s="28"/>
      <c r="EOS5" s="29"/>
      <c r="EOT5" s="28"/>
      <c r="EOU5" s="28"/>
      <c r="EOV5" s="28"/>
      <c r="EOW5" s="29"/>
      <c r="EOX5" s="388"/>
      <c r="EOY5" s="29"/>
      <c r="EOZ5" s="388"/>
      <c r="EPA5" s="29"/>
      <c r="EPB5" s="388"/>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30"/>
      <c r="EQI5" s="28"/>
      <c r="EQJ5" s="29"/>
      <c r="EQK5" s="29"/>
      <c r="EQL5" s="32"/>
      <c r="EQM5" s="32"/>
      <c r="EQN5" s="32"/>
      <c r="EQO5" s="28"/>
      <c r="EQP5" s="29"/>
      <c r="EQQ5" s="29"/>
      <c r="EQR5" s="28"/>
      <c r="EQS5" s="29"/>
      <c r="EQT5" s="30"/>
      <c r="EQU5" s="28"/>
      <c r="EQV5" s="29"/>
      <c r="EQW5" s="29"/>
      <c r="EQX5" s="32"/>
      <c r="EQY5" s="28"/>
      <c r="EQZ5" s="29"/>
      <c r="ERA5" s="29"/>
      <c r="ERB5" s="28"/>
      <c r="ERC5" s="29"/>
      <c r="ERD5" s="30"/>
      <c r="ERE5" s="28"/>
      <c r="ERF5" s="29"/>
      <c r="ERG5" s="29"/>
      <c r="ERH5" s="32"/>
      <c r="ERI5" s="28"/>
      <c r="ERJ5" s="29"/>
      <c r="ERK5" s="29"/>
      <c r="ERL5" s="28"/>
      <c r="ERM5" s="29"/>
      <c r="ERN5" s="30"/>
      <c r="ERO5" s="28"/>
      <c r="ERP5" s="29"/>
      <c r="ERQ5" s="29"/>
      <c r="ERR5" s="32"/>
      <c r="ERS5" s="28"/>
      <c r="ERT5" s="29"/>
      <c r="ERU5" s="29"/>
      <c r="ERV5" s="28"/>
      <c r="ERW5" s="29"/>
      <c r="ERX5" s="30"/>
      <c r="ERY5" s="28" t="str">
        <f t="shared" si="150"/>
        <v xml:space="preserve"> </v>
      </c>
      <c r="ERZ5" s="30"/>
      <c r="ESA5" s="29"/>
      <c r="ESB5" s="28"/>
      <c r="ESC5" s="29"/>
      <c r="ESD5" s="28"/>
      <c r="ESE5" s="28"/>
      <c r="ESF5" s="28"/>
      <c r="ESG5" s="29"/>
      <c r="ESH5" s="388"/>
      <c r="ESI5" s="29"/>
      <c r="ESJ5" s="388"/>
      <c r="ESK5" s="29"/>
      <c r="ESL5" s="388"/>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30"/>
      <c r="ETS5" s="28"/>
      <c r="ETT5" s="29"/>
      <c r="ETU5" s="29"/>
      <c r="ETV5" s="32"/>
      <c r="ETW5" s="32"/>
      <c r="ETX5" s="32"/>
      <c r="ETY5" s="28"/>
      <c r="ETZ5" s="29"/>
      <c r="EUA5" s="29"/>
      <c r="EUB5" s="28"/>
      <c r="EUC5" s="29"/>
      <c r="EUD5" s="30"/>
      <c r="EUE5" s="28"/>
      <c r="EUF5" s="29"/>
      <c r="EUG5" s="29"/>
      <c r="EUH5" s="32"/>
      <c r="EUI5" s="28"/>
      <c r="EUJ5" s="29"/>
      <c r="EUK5" s="29"/>
      <c r="EUL5" s="28"/>
      <c r="EUM5" s="29"/>
      <c r="EUN5" s="30"/>
      <c r="EUO5" s="28"/>
      <c r="EUP5" s="29"/>
      <c r="EUQ5" s="29"/>
      <c r="EUR5" s="32"/>
      <c r="EUS5" s="28"/>
      <c r="EUT5" s="29"/>
      <c r="EUU5" s="29"/>
      <c r="EUV5" s="28"/>
      <c r="EUW5" s="29"/>
      <c r="EUX5" s="30"/>
      <c r="EUY5" s="28"/>
      <c r="EUZ5" s="29"/>
      <c r="EVA5" s="29"/>
      <c r="EVB5" s="32"/>
      <c r="EVC5" s="28"/>
      <c r="EVD5" s="29"/>
      <c r="EVE5" s="29"/>
      <c r="EVF5" s="28"/>
      <c r="EVG5" s="29"/>
      <c r="EVH5" s="30"/>
      <c r="EVI5" s="28" t="str">
        <f t="shared" si="151"/>
        <v xml:space="preserve"> </v>
      </c>
    </row>
    <row r="6" spans="1:3961" x14ac:dyDescent="0.3">
      <c r="A6" s="424" t="s">
        <v>106</v>
      </c>
      <c r="B6" s="58" t="str">
        <f>'REG y VAL POE - AESR - ESR'!B245</f>
        <v xml:space="preserve">Abidan Martinez Eliacib </v>
      </c>
      <c r="C6" s="57">
        <f>'REG y VAL POE - AESR - ESR'!C245</f>
        <v>0</v>
      </c>
      <c r="D6" s="56">
        <f>'REG y VAL POE - AESR - ESR'!D245</f>
        <v>23202845</v>
      </c>
      <c r="E6" s="57">
        <f>'REG y VAL POE - AESR - ESR'!E245</f>
        <v>0</v>
      </c>
      <c r="F6" s="56">
        <f>'REG y VAL POE - AESR - ESR'!F245</f>
        <v>0</v>
      </c>
      <c r="G6" s="56">
        <f>'REG y VAL POE - AESR - ESR'!G245</f>
        <v>0</v>
      </c>
      <c r="H6" s="56">
        <f>'REG y VAL POE - AESR - ESR'!H245</f>
        <v>0</v>
      </c>
      <c r="I6" s="57">
        <f>'REG y VAL POE - AESR - ESR'!I245</f>
        <v>0</v>
      </c>
      <c r="J6" s="415">
        <f>'REG y VAL POE - AESR - ESR'!J245</f>
        <v>0</v>
      </c>
      <c r="K6" s="57">
        <f>'REG y VAL POE - AESR - ESR'!K245</f>
        <v>0</v>
      </c>
      <c r="L6" s="415">
        <f>'REG y VAL POE - AESR - ESR'!L245</f>
        <v>0</v>
      </c>
      <c r="M6" s="57">
        <f>'REG y VAL POE - AESR - ESR'!M245</f>
        <v>0</v>
      </c>
      <c r="N6" s="415">
        <f>'REG y VAL POE - AESR - ESR'!N245</f>
        <v>0</v>
      </c>
      <c r="O6" s="57">
        <f>'REG y VAL POE - AESR - ESR'!O245</f>
        <v>0</v>
      </c>
      <c r="P6" s="57">
        <f>'REG y VAL POE - AESR - ESR'!P245</f>
        <v>0</v>
      </c>
      <c r="Q6" s="57">
        <f>'REG y VAL POE - AESR - ESR'!Q245</f>
        <v>0</v>
      </c>
      <c r="R6" s="57">
        <f>'REG y VAL POE - AESR - ESR'!R245</f>
        <v>0</v>
      </c>
      <c r="S6" s="57">
        <f>'REG y VAL POE - AESR - ESR'!S245</f>
        <v>0</v>
      </c>
      <c r="T6" s="57">
        <f>'REG y VAL POE - AESR - ESR'!T245</f>
        <v>0</v>
      </c>
      <c r="U6" s="57">
        <f>'REG y VAL POE - AESR - ESR'!U245</f>
        <v>0</v>
      </c>
      <c r="V6" s="57">
        <f>'REG y VAL POE - AESR - ESR'!V245</f>
        <v>0</v>
      </c>
      <c r="W6" s="57">
        <f>'REG y VAL POE - AESR - ESR'!W245</f>
        <v>0</v>
      </c>
      <c r="X6" s="57">
        <f>'REG y VAL POE - AESR - ESR'!X245</f>
        <v>0</v>
      </c>
      <c r="Y6" s="57">
        <f>'REG y VAL POE - AESR - ESR'!Y245</f>
        <v>0</v>
      </c>
      <c r="Z6" s="57">
        <f>'REG y VAL POE - AESR - ESR'!Z245</f>
        <v>0</v>
      </c>
      <c r="AA6" s="57">
        <f>'REG y VAL POE - AESR - ESR'!AA245</f>
        <v>0</v>
      </c>
      <c r="AB6" s="57">
        <f>'REG y VAL POE - AESR - ESR'!AB245</f>
        <v>0</v>
      </c>
      <c r="AC6" s="57">
        <f>'REG y VAL POE - AESR - ESR'!AC245</f>
        <v>0</v>
      </c>
      <c r="AD6" s="57">
        <f>'REG y VAL POE - AESR - ESR'!AD245</f>
        <v>0</v>
      </c>
      <c r="AE6" s="57">
        <f>'REG y VAL POE - AESR - ESR'!AE245</f>
        <v>0</v>
      </c>
      <c r="AF6" s="57">
        <f>'REG y VAL POE - AESR - ESR'!AF245</f>
        <v>0</v>
      </c>
      <c r="AG6" s="57">
        <f>'REG y VAL POE - AESR - ESR'!AG245</f>
        <v>0</v>
      </c>
      <c r="AH6" s="57">
        <f>'REG y VAL POE - AESR - ESR'!AH245</f>
        <v>0</v>
      </c>
      <c r="AI6" s="57">
        <f>'REG y VAL POE - AESR - ESR'!AI245</f>
        <v>0</v>
      </c>
      <c r="AJ6" s="57">
        <f>'REG y VAL POE - AESR - ESR'!AJ245</f>
        <v>0</v>
      </c>
      <c r="AK6" s="57">
        <f>'REG y VAL POE - AESR - ESR'!AK245</f>
        <v>0</v>
      </c>
      <c r="AL6" s="57">
        <f>'REG y VAL POE - AESR - ESR'!AL245</f>
        <v>0</v>
      </c>
      <c r="AM6" s="57">
        <f>'REG y VAL POE - AESR - ESR'!AM245</f>
        <v>0</v>
      </c>
      <c r="AN6" s="57">
        <f>'REG y VAL POE - AESR - ESR'!AN245</f>
        <v>0</v>
      </c>
      <c r="AO6" s="57">
        <f>'REG y VAL POE - AESR - ESR'!AO245</f>
        <v>0</v>
      </c>
      <c r="AP6" s="57">
        <f>'REG y VAL POE - AESR - ESR'!AP245</f>
        <v>0</v>
      </c>
      <c r="AQ6" s="57">
        <f>'REG y VAL POE - AESR - ESR'!AQ245</f>
        <v>0</v>
      </c>
      <c r="AR6" s="57">
        <f>'REG y VAL POE - AESR - ESR'!AR245</f>
        <v>0</v>
      </c>
      <c r="AS6" s="57">
        <f>'REG y VAL POE - AESR - ESR'!AS245</f>
        <v>0</v>
      </c>
      <c r="AT6" s="58" t="str">
        <f>'REG y VAL POE - AESR - ESR'!B246</f>
        <v xml:space="preserve">Acosta Rivas Alejandra </v>
      </c>
      <c r="AU6" s="56">
        <f>'REG y VAL POE - AESR - ESR'!C246</f>
        <v>0</v>
      </c>
      <c r="AV6" s="57">
        <f>'REG y VAL POE - AESR - ESR'!D246</f>
        <v>23007341</v>
      </c>
      <c r="AW6" s="57">
        <f>'REG y VAL POE - AESR - ESR'!E246</f>
        <v>0</v>
      </c>
      <c r="AX6" s="57">
        <f>'REG y VAL POE - AESR - ESR'!F246</f>
        <v>0</v>
      </c>
      <c r="AY6" s="57">
        <f>'REG y VAL POE - AESR - ESR'!G246</f>
        <v>0</v>
      </c>
      <c r="AZ6" s="57">
        <f>'REG y VAL POE - AESR - ESR'!H246</f>
        <v>0</v>
      </c>
      <c r="BA6" s="56">
        <f>'REG y VAL POE - AESR - ESR'!I246</f>
        <v>0</v>
      </c>
      <c r="BB6" s="57">
        <f>'REG y VAL POE - AESR - ESR'!J246</f>
        <v>0</v>
      </c>
      <c r="BC6" s="57">
        <f>'REG y VAL POE - AESR - ESR'!K246</f>
        <v>0</v>
      </c>
      <c r="BD6" s="56">
        <f>'REG y VAL POE - AESR - ESR'!L246</f>
        <v>0</v>
      </c>
      <c r="BE6" s="57">
        <f>'REG y VAL POE - AESR - ESR'!M246</f>
        <v>0</v>
      </c>
      <c r="BF6" s="58">
        <f>'REG y VAL POE - AESR - ESR'!N246</f>
        <v>0</v>
      </c>
      <c r="BG6" s="56">
        <f>'REG y VAL POE - AESR - ESR'!O246</f>
        <v>0</v>
      </c>
      <c r="BH6" s="57">
        <f>'REG y VAL POE - AESR - ESR'!P246</f>
        <v>0</v>
      </c>
      <c r="BI6" s="57">
        <f>'REG y VAL POE - AESR - ESR'!Q246</f>
        <v>0</v>
      </c>
      <c r="BJ6" s="57">
        <f>'REG y VAL POE - AESR - ESR'!R246</f>
        <v>0</v>
      </c>
      <c r="BK6" s="56">
        <f>'REG y VAL POE - AESR - ESR'!S246</f>
        <v>0</v>
      </c>
      <c r="BL6" s="57">
        <f>'REG y VAL POE - AESR - ESR'!T246</f>
        <v>0</v>
      </c>
      <c r="BM6" s="57">
        <f>'REG y VAL POE - AESR - ESR'!U246</f>
        <v>0</v>
      </c>
      <c r="BN6" s="56">
        <f>'REG y VAL POE - AESR - ESR'!V246</f>
        <v>0</v>
      </c>
      <c r="BO6" s="57">
        <f>'REG y VAL POE - AESR - ESR'!W246</f>
        <v>0</v>
      </c>
      <c r="BP6" s="58">
        <f>'REG y VAL POE - AESR - ESR'!X246</f>
        <v>0</v>
      </c>
      <c r="BQ6" s="56">
        <f>'REG y VAL POE - AESR - ESR'!Y246</f>
        <v>0</v>
      </c>
      <c r="BR6" s="57">
        <f>'REG y VAL POE - AESR - ESR'!Z246</f>
        <v>0</v>
      </c>
      <c r="BS6" s="57">
        <f>'REG y VAL POE - AESR - ESR'!AA246</f>
        <v>0</v>
      </c>
      <c r="BT6" s="57">
        <f>'REG y VAL POE - AESR - ESR'!AB246</f>
        <v>0</v>
      </c>
      <c r="BU6" s="56">
        <f>'REG y VAL POE - AESR - ESR'!AC246</f>
        <v>0</v>
      </c>
      <c r="BV6" s="57">
        <f>'REG y VAL POE - AESR - ESR'!AD246</f>
        <v>0</v>
      </c>
      <c r="BW6" s="57">
        <f>'REG y VAL POE - AESR - ESR'!AE246</f>
        <v>0</v>
      </c>
      <c r="BX6" s="56">
        <f>'REG y VAL POE - AESR - ESR'!AF246</f>
        <v>0</v>
      </c>
      <c r="BY6" s="57">
        <f>'REG y VAL POE - AESR - ESR'!AG246</f>
        <v>0</v>
      </c>
      <c r="BZ6" s="58">
        <f>'REG y VAL POE - AESR - ESR'!AH246</f>
        <v>0</v>
      </c>
      <c r="CA6" s="56">
        <f>'REG y VAL POE - AESR - ESR'!AI246</f>
        <v>0</v>
      </c>
      <c r="CB6" s="57">
        <f>'REG y VAL POE - AESR - ESR'!AJ246</f>
        <v>0</v>
      </c>
      <c r="CC6" s="57">
        <f>'REG y VAL POE - AESR - ESR'!AK246</f>
        <v>0</v>
      </c>
      <c r="CD6" s="57">
        <f>'REG y VAL POE - AESR - ESR'!AL246</f>
        <v>0</v>
      </c>
      <c r="CE6" s="56">
        <f>'REG y VAL POE - AESR - ESR'!AM246</f>
        <v>0</v>
      </c>
      <c r="CF6" s="57">
        <f>'REG y VAL POE - AESR - ESR'!AN246</f>
        <v>0</v>
      </c>
      <c r="CG6" s="57">
        <f>'REG y VAL POE - AESR - ESR'!AO246</f>
        <v>0</v>
      </c>
      <c r="CH6" s="56">
        <f>'REG y VAL POE - AESR - ESR'!AP246</f>
        <v>0</v>
      </c>
      <c r="CI6" s="57">
        <f>'REG y VAL POE - AESR - ESR'!AQ246</f>
        <v>0</v>
      </c>
      <c r="CJ6" s="58">
        <f>'REG y VAL POE - AESR - ESR'!AR246</f>
        <v>0</v>
      </c>
      <c r="CK6" s="56">
        <f>'REG y VAL POE - AESR - ESR'!AS246</f>
        <v>0</v>
      </c>
      <c r="CL6" s="57" t="str">
        <f>'REG y VAL POE - AESR - ESR'!B247</f>
        <v xml:space="preserve">Ambros Toto Hector </v>
      </c>
      <c r="CM6" s="57">
        <f>'REG y VAL POE - AESR - ESR'!C247</f>
        <v>0</v>
      </c>
      <c r="CN6" s="57">
        <f>'REG y VAL POE - AESR - ESR'!D247</f>
        <v>23204420</v>
      </c>
      <c r="CO6" s="56">
        <f>'REG y VAL POE - AESR - ESR'!E247</f>
        <v>0</v>
      </c>
      <c r="CP6" s="57">
        <f>'REG y VAL POE - AESR - ESR'!F247</f>
        <v>0</v>
      </c>
      <c r="CQ6" s="57">
        <f>'REG y VAL POE - AESR - ESR'!G247</f>
        <v>0</v>
      </c>
      <c r="CR6" s="56">
        <f>'REG y VAL POE - AESR - ESR'!H247</f>
        <v>0</v>
      </c>
      <c r="CS6" s="57">
        <f>'REG y VAL POE - AESR - ESR'!I247</f>
        <v>0</v>
      </c>
      <c r="CT6" s="58">
        <f>'REG y VAL POE - AESR - ESR'!J247</f>
        <v>0</v>
      </c>
      <c r="CU6" s="56">
        <f>'REG y VAL POE - AESR - ESR'!K247</f>
        <v>0</v>
      </c>
      <c r="CV6" s="57">
        <f>'REG y VAL POE - AESR - ESR'!L247</f>
        <v>0</v>
      </c>
      <c r="CW6" s="57">
        <f>'REG y VAL POE - AESR - ESR'!M247</f>
        <v>0</v>
      </c>
      <c r="CX6" s="57">
        <f>'REG y VAL POE - AESR - ESR'!N247</f>
        <v>0</v>
      </c>
      <c r="CY6" s="56">
        <f>'REG y VAL POE - AESR - ESR'!O247</f>
        <v>0</v>
      </c>
      <c r="CZ6" s="57">
        <f>'REG y VAL POE - AESR - ESR'!P247</f>
        <v>0</v>
      </c>
      <c r="DA6" s="57">
        <f>'REG y VAL POE - AESR - ESR'!Q247</f>
        <v>0</v>
      </c>
      <c r="DB6" s="56">
        <f>'REG y VAL POE - AESR - ESR'!R247</f>
        <v>0</v>
      </c>
      <c r="DC6" s="57">
        <f>'REG y VAL POE - AESR - ESR'!S247</f>
        <v>0</v>
      </c>
      <c r="DD6" s="58">
        <f>'REG y VAL POE - AESR - ESR'!T247</f>
        <v>0</v>
      </c>
      <c r="DE6" s="56">
        <f>'REG y VAL POE - AESR - ESR'!U247</f>
        <v>0</v>
      </c>
      <c r="DF6" s="57">
        <f>'REG y VAL POE - AESR - ESR'!V247</f>
        <v>0</v>
      </c>
      <c r="DG6" s="57">
        <f>'REG y VAL POE - AESR - ESR'!W247</f>
        <v>0</v>
      </c>
      <c r="DH6" s="57">
        <f>'REG y VAL POE - AESR - ESR'!X247</f>
        <v>0</v>
      </c>
      <c r="DI6" s="56">
        <f>'REG y VAL POE - AESR - ESR'!Y247</f>
        <v>0</v>
      </c>
      <c r="DJ6" s="57">
        <f>'REG y VAL POE - AESR - ESR'!Z247</f>
        <v>0</v>
      </c>
      <c r="DK6" s="57">
        <f>'REG y VAL POE - AESR - ESR'!AA247</f>
        <v>0</v>
      </c>
      <c r="DL6" s="56">
        <f>'REG y VAL POE - AESR - ESR'!AB247</f>
        <v>0</v>
      </c>
      <c r="DM6" s="57">
        <f>'REG y VAL POE - AESR - ESR'!AC247</f>
        <v>0</v>
      </c>
      <c r="DN6" s="58">
        <f>'REG y VAL POE - AESR - ESR'!AD247</f>
        <v>0</v>
      </c>
      <c r="DO6" s="56">
        <f>'REG y VAL POE - AESR - ESR'!AE247</f>
        <v>0</v>
      </c>
      <c r="DP6" s="57">
        <f>'REG y VAL POE - AESR - ESR'!AF247</f>
        <v>0</v>
      </c>
      <c r="DQ6" s="57">
        <f>'REG y VAL POE - AESR - ESR'!AG247</f>
        <v>0</v>
      </c>
      <c r="DR6" s="57">
        <f>'REG y VAL POE - AESR - ESR'!AH247</f>
        <v>0</v>
      </c>
      <c r="DS6" s="56">
        <f>'REG y VAL POE - AESR - ESR'!AI247</f>
        <v>0</v>
      </c>
      <c r="DT6" s="57">
        <f>'REG y VAL POE - AESR - ESR'!AJ247</f>
        <v>0</v>
      </c>
      <c r="DU6" s="57">
        <f>'REG y VAL POE - AESR - ESR'!AK247</f>
        <v>0</v>
      </c>
      <c r="DV6" s="56">
        <f>'REG y VAL POE - AESR - ESR'!AL247</f>
        <v>0</v>
      </c>
      <c r="DW6" s="57">
        <f>'REG y VAL POE - AESR - ESR'!AM247</f>
        <v>0</v>
      </c>
      <c r="DX6" s="58">
        <f>'REG y VAL POE - AESR - ESR'!AN247</f>
        <v>0</v>
      </c>
      <c r="DY6" s="56">
        <f>'REG y VAL POE - AESR - ESR'!AO247</f>
        <v>0</v>
      </c>
      <c r="DZ6" s="57">
        <f>'REG y VAL POE - AESR - ESR'!AP247</f>
        <v>0</v>
      </c>
      <c r="EA6" s="57">
        <f>'REG y VAL POE - AESR - ESR'!AQ247</f>
        <v>0</v>
      </c>
      <c r="EB6" s="57">
        <f>'REG y VAL POE - AESR - ESR'!AR247</f>
        <v>0</v>
      </c>
      <c r="EC6" s="56">
        <f>'REG y VAL POE - AESR - ESR'!AS247</f>
        <v>0</v>
      </c>
      <c r="ED6" s="57" t="str">
        <f>'REG y VAL POE - AESR - ESR'!B248</f>
        <v xml:space="preserve">Apolonio Cisneros Brandon </v>
      </c>
      <c r="EE6" s="56">
        <f>'REG y VAL POE - AESR - ESR'!C248</f>
        <v>0</v>
      </c>
      <c r="EF6" s="56">
        <f>'REG y VAL POE - AESR - ESR'!D248</f>
        <v>23187991</v>
      </c>
      <c r="EG6" s="57">
        <f>'REG y VAL POE - AESR - ESR'!E248</f>
        <v>0</v>
      </c>
      <c r="EH6" s="58">
        <f>'REG y VAL POE - AESR - ESR'!F248</f>
        <v>0</v>
      </c>
      <c r="EI6" s="56">
        <f>'REG y VAL POE - AESR - ESR'!G248</f>
        <v>0</v>
      </c>
      <c r="EJ6" s="57">
        <f>'REG y VAL POE - AESR - ESR'!H248</f>
        <v>0</v>
      </c>
      <c r="EK6" s="57">
        <f>'REG y VAL POE - AESR - ESR'!I248</f>
        <v>0</v>
      </c>
      <c r="EL6" s="57">
        <f>'REG y VAL POE - AESR - ESR'!J248</f>
        <v>0</v>
      </c>
      <c r="EM6" s="56">
        <f>'REG y VAL POE - AESR - ESR'!K248</f>
        <v>0</v>
      </c>
      <c r="EN6" s="57">
        <f>'REG y VAL POE - AESR - ESR'!L248</f>
        <v>0</v>
      </c>
      <c r="EO6" s="57">
        <f>'REG y VAL POE - AESR - ESR'!M248</f>
        <v>0</v>
      </c>
      <c r="EP6" s="56">
        <f>'REG y VAL POE - AESR - ESR'!N248</f>
        <v>0</v>
      </c>
      <c r="EQ6" s="57">
        <f>'REG y VAL POE - AESR - ESR'!O248</f>
        <v>0</v>
      </c>
      <c r="ER6" s="58">
        <f>'REG y VAL POE - AESR - ESR'!P248</f>
        <v>0</v>
      </c>
      <c r="ES6" s="56">
        <f>'REG y VAL POE - AESR - ESR'!Q248</f>
        <v>0</v>
      </c>
      <c r="ET6" s="57">
        <f>'REG y VAL POE - AESR - ESR'!R248</f>
        <v>0</v>
      </c>
      <c r="EU6" s="57">
        <f>'REG y VAL POE - AESR - ESR'!S248</f>
        <v>0</v>
      </c>
      <c r="EV6" s="57">
        <f>'REG y VAL POE - AESR - ESR'!T248</f>
        <v>0</v>
      </c>
      <c r="EW6" s="56">
        <f>'REG y VAL POE - AESR - ESR'!U248</f>
        <v>0</v>
      </c>
      <c r="EX6" s="57">
        <f>'REG y VAL POE - AESR - ESR'!V248</f>
        <v>0</v>
      </c>
      <c r="EY6" s="57">
        <f>'REG y VAL POE - AESR - ESR'!W248</f>
        <v>0</v>
      </c>
      <c r="EZ6" s="56">
        <f>'REG y VAL POE - AESR - ESR'!X248</f>
        <v>0</v>
      </c>
      <c r="FA6" s="57">
        <f>'REG y VAL POE - AESR - ESR'!Y248</f>
        <v>0</v>
      </c>
      <c r="FB6" s="58">
        <f>'REG y VAL POE - AESR - ESR'!Z248</f>
        <v>0</v>
      </c>
      <c r="FC6" s="56">
        <f>'REG y VAL POE - AESR - ESR'!AA248</f>
        <v>0</v>
      </c>
      <c r="FD6" s="57">
        <f>'REG y VAL POE - AESR - ESR'!AB248</f>
        <v>0</v>
      </c>
      <c r="FE6" s="57">
        <f>'REG y VAL POE - AESR - ESR'!AC248</f>
        <v>0</v>
      </c>
      <c r="FF6" s="57">
        <f>'REG y VAL POE - AESR - ESR'!AD248</f>
        <v>0</v>
      </c>
      <c r="FG6" s="56">
        <f>'REG y VAL POE - AESR - ESR'!AE248</f>
        <v>0</v>
      </c>
      <c r="FH6" s="57">
        <f>'REG y VAL POE - AESR - ESR'!AF248</f>
        <v>0</v>
      </c>
      <c r="FI6" s="57">
        <f>'REG y VAL POE - AESR - ESR'!AG248</f>
        <v>0</v>
      </c>
      <c r="FJ6" s="56">
        <f>'REG y VAL POE - AESR - ESR'!AH248</f>
        <v>0</v>
      </c>
      <c r="FK6" s="57">
        <f>'REG y VAL POE - AESR - ESR'!AI248</f>
        <v>0</v>
      </c>
      <c r="FL6" s="58">
        <f>'REG y VAL POE - AESR - ESR'!AJ248</f>
        <v>0</v>
      </c>
      <c r="FM6" s="56">
        <f>'REG y VAL POE - AESR - ESR'!AK248</f>
        <v>0</v>
      </c>
      <c r="FN6" s="57">
        <f>'REG y VAL POE - AESR - ESR'!AL248</f>
        <v>0</v>
      </c>
      <c r="FO6" s="57">
        <f>'REG y VAL POE - AESR - ESR'!AM248</f>
        <v>0</v>
      </c>
      <c r="FP6" s="57">
        <f>'REG y VAL POE - AESR - ESR'!AN248</f>
        <v>0</v>
      </c>
      <c r="FQ6" s="56">
        <f>'REG y VAL POE - AESR - ESR'!AO248</f>
        <v>0</v>
      </c>
      <c r="FR6" s="57">
        <f>'REG y VAL POE - AESR - ESR'!AP248</f>
        <v>0</v>
      </c>
      <c r="FS6" s="57">
        <f>'REG y VAL POE - AESR - ESR'!AQ248</f>
        <v>0</v>
      </c>
      <c r="FT6" s="56">
        <f>'REG y VAL POE - AESR - ESR'!AR248</f>
        <v>0</v>
      </c>
      <c r="FU6" s="57">
        <f>'REG y VAL POE - AESR - ESR'!AS248</f>
        <v>0</v>
      </c>
      <c r="FV6" s="58" t="str">
        <f>'REG y VAL POE - AESR - ESR'!B249</f>
        <v xml:space="preserve">Arambula Briseo Jaime </v>
      </c>
      <c r="FW6" s="56">
        <f>'REG y VAL POE - AESR - ESR'!C249</f>
        <v>0</v>
      </c>
      <c r="FX6" s="57">
        <f>'REG y VAL POE - AESR - ESR'!D249</f>
        <v>23153057</v>
      </c>
      <c r="FY6" s="57">
        <f>'REG y VAL POE - AESR - ESR'!E249</f>
        <v>0</v>
      </c>
      <c r="FZ6" s="57">
        <f>'REG y VAL POE - AESR - ESR'!F249</f>
        <v>0</v>
      </c>
      <c r="GA6" s="56">
        <f>'REG y VAL POE - AESR - ESR'!G249</f>
        <v>0</v>
      </c>
      <c r="GB6" s="57">
        <f>'REG y VAL POE - AESR - ESR'!H249</f>
        <v>0</v>
      </c>
      <c r="GC6" s="57">
        <f>'REG y VAL POE - AESR - ESR'!I249</f>
        <v>0</v>
      </c>
      <c r="GD6" s="56">
        <f>'REG y VAL POE - AESR - ESR'!J249</f>
        <v>0</v>
      </c>
      <c r="GE6" s="57">
        <f>'REG y VAL POE - AESR - ESR'!K249</f>
        <v>0</v>
      </c>
      <c r="GF6" s="58">
        <f>'REG y VAL POE - AESR - ESR'!L249</f>
        <v>0</v>
      </c>
      <c r="GG6" s="56">
        <f>'REG y VAL POE - AESR - ESR'!M249</f>
        <v>0</v>
      </c>
      <c r="GH6" s="57">
        <f>'REG y VAL POE - AESR - ESR'!N249</f>
        <v>0</v>
      </c>
      <c r="GI6" s="57">
        <f>'REG y VAL POE - AESR - ESR'!O249</f>
        <v>0</v>
      </c>
      <c r="GJ6" s="57">
        <f>'REG y VAL POE - AESR - ESR'!P249</f>
        <v>0</v>
      </c>
      <c r="GK6" s="56">
        <f>'REG y VAL POE - AESR - ESR'!Q249</f>
        <v>0</v>
      </c>
      <c r="GL6" s="57">
        <f>'REG y VAL POE - AESR - ESR'!R249</f>
        <v>0</v>
      </c>
      <c r="GM6" s="57">
        <f>'REG y VAL POE - AESR - ESR'!S249</f>
        <v>0</v>
      </c>
      <c r="GN6" s="56">
        <f>'REG y VAL POE - AESR - ESR'!T249</f>
        <v>0</v>
      </c>
      <c r="GO6" s="57">
        <f>'REG y VAL POE - AESR - ESR'!U249</f>
        <v>0</v>
      </c>
      <c r="GP6" s="58">
        <f>'REG y VAL POE - AESR - ESR'!V249</f>
        <v>0</v>
      </c>
      <c r="GQ6" s="56">
        <f>'REG y VAL POE - AESR - ESR'!W249</f>
        <v>0</v>
      </c>
      <c r="GR6" s="57">
        <f>'REG y VAL POE - AESR - ESR'!X249</f>
        <v>0</v>
      </c>
      <c r="GS6" s="57">
        <f>'REG y VAL POE - AESR - ESR'!Y249</f>
        <v>0</v>
      </c>
      <c r="GT6" s="57">
        <f>'REG y VAL POE - AESR - ESR'!Z249</f>
        <v>0</v>
      </c>
      <c r="GU6" s="56">
        <f>'REG y VAL POE - AESR - ESR'!AA249</f>
        <v>0</v>
      </c>
      <c r="GV6" s="57">
        <f>'REG y VAL POE - AESR - ESR'!AB249</f>
        <v>0</v>
      </c>
      <c r="GW6" s="57">
        <f>'REG y VAL POE - AESR - ESR'!AC249</f>
        <v>0</v>
      </c>
      <c r="GX6" s="56">
        <f>'REG y VAL POE - AESR - ESR'!AD249</f>
        <v>0</v>
      </c>
      <c r="GY6" s="57">
        <f>'REG y VAL POE - AESR - ESR'!AE249</f>
        <v>0</v>
      </c>
      <c r="GZ6" s="58">
        <f>'REG y VAL POE - AESR - ESR'!AF249</f>
        <v>0</v>
      </c>
      <c r="HA6" s="56">
        <f>'REG y VAL POE - AESR - ESR'!AG249</f>
        <v>0</v>
      </c>
      <c r="HB6" s="57">
        <f>'REG y VAL POE - AESR - ESR'!AH249</f>
        <v>0</v>
      </c>
      <c r="HC6" s="57">
        <f>'REG y VAL POE - AESR - ESR'!AI249</f>
        <v>0</v>
      </c>
      <c r="HD6" s="57">
        <f>'REG y VAL POE - AESR - ESR'!AJ249</f>
        <v>0</v>
      </c>
      <c r="HE6" s="56">
        <f>'REG y VAL POE - AESR - ESR'!AK249</f>
        <v>0</v>
      </c>
      <c r="HF6" s="57">
        <f>'REG y VAL POE - AESR - ESR'!AL249</f>
        <v>0</v>
      </c>
      <c r="HG6" s="57">
        <f>'REG y VAL POE - AESR - ESR'!AM249</f>
        <v>0</v>
      </c>
      <c r="HH6" s="56">
        <f>'REG y VAL POE - AESR - ESR'!AN249</f>
        <v>0</v>
      </c>
      <c r="HI6" s="57">
        <f>'REG y VAL POE - AESR - ESR'!AO249</f>
        <v>0</v>
      </c>
      <c r="HJ6" s="58">
        <f>'REG y VAL POE - AESR - ESR'!AP249</f>
        <v>0</v>
      </c>
      <c r="HK6" s="56">
        <f>'REG y VAL POE - AESR - ESR'!AQ249</f>
        <v>0</v>
      </c>
      <c r="HL6" s="57">
        <f>'REG y VAL POE - AESR - ESR'!AR249</f>
        <v>0</v>
      </c>
      <c r="HM6" s="57">
        <f>'REG y VAL POE - AESR - ESR'!AS249</f>
        <v>0</v>
      </c>
      <c r="HN6" s="57" t="str">
        <f>'REG y VAL POE - AESR - ESR'!B250</f>
        <v xml:space="preserve">Aranza Rivera Carlos Miguel </v>
      </c>
      <c r="HO6" s="56">
        <f>'REG y VAL POE - AESR - ESR'!C250</f>
        <v>0</v>
      </c>
      <c r="HP6" s="57">
        <f>'REG y VAL POE - AESR - ESR'!D250</f>
        <v>23161339</v>
      </c>
      <c r="HQ6" s="57">
        <f>'REG y VAL POE - AESR - ESR'!E250</f>
        <v>0</v>
      </c>
      <c r="HR6" s="56">
        <f>'REG y VAL POE - AESR - ESR'!F250</f>
        <v>0</v>
      </c>
      <c r="HS6" s="57">
        <f>'REG y VAL POE - AESR - ESR'!G250</f>
        <v>0</v>
      </c>
      <c r="HT6" s="58">
        <f>'REG y VAL POE - AESR - ESR'!H250</f>
        <v>0</v>
      </c>
      <c r="HU6" s="56">
        <f>'REG y VAL POE - AESR - ESR'!I250</f>
        <v>0</v>
      </c>
      <c r="HV6" s="57">
        <f>'REG y VAL POE - AESR - ESR'!J250</f>
        <v>0</v>
      </c>
      <c r="HW6" s="57">
        <f>'REG y VAL POE - AESR - ESR'!K250</f>
        <v>0</v>
      </c>
      <c r="HX6" s="57">
        <f>'REG y VAL POE - AESR - ESR'!L250</f>
        <v>0</v>
      </c>
      <c r="HY6" s="56">
        <f>'REG y VAL POE - AESR - ESR'!M250</f>
        <v>0</v>
      </c>
      <c r="HZ6" s="57">
        <f>'REG y VAL POE - AESR - ESR'!N250</f>
        <v>0</v>
      </c>
      <c r="IA6" s="57">
        <f>'REG y VAL POE - AESR - ESR'!O250</f>
        <v>0</v>
      </c>
      <c r="IB6" s="56">
        <f>'REG y VAL POE - AESR - ESR'!P250</f>
        <v>0</v>
      </c>
      <c r="IC6" s="57">
        <f>'REG y VAL POE - AESR - ESR'!Q250</f>
        <v>0</v>
      </c>
      <c r="ID6" s="58">
        <f>'REG y VAL POE - AESR - ESR'!R250</f>
        <v>0</v>
      </c>
      <c r="IE6" s="56">
        <f>'REG y VAL POE - AESR - ESR'!S250</f>
        <v>0</v>
      </c>
      <c r="IF6" s="57">
        <f>'REG y VAL POE - AESR - ESR'!T250</f>
        <v>0</v>
      </c>
      <c r="IG6" s="57">
        <f>'REG y VAL POE - AESR - ESR'!U250</f>
        <v>0</v>
      </c>
      <c r="IH6" s="57">
        <f>'REG y VAL POE - AESR - ESR'!V250</f>
        <v>0</v>
      </c>
      <c r="II6" s="56">
        <f>'REG y VAL POE - AESR - ESR'!W250</f>
        <v>0</v>
      </c>
      <c r="IJ6" s="57">
        <f>'REG y VAL POE - AESR - ESR'!X250</f>
        <v>0</v>
      </c>
      <c r="IK6" s="57">
        <f>'REG y VAL POE - AESR - ESR'!Y250</f>
        <v>0</v>
      </c>
      <c r="IL6" s="56">
        <f>'REG y VAL POE - AESR - ESR'!Z250</f>
        <v>0</v>
      </c>
      <c r="IM6" s="57">
        <f>'REG y VAL POE - AESR - ESR'!AA250</f>
        <v>0</v>
      </c>
      <c r="IN6" s="58">
        <f>'REG y VAL POE - AESR - ESR'!AB250</f>
        <v>0</v>
      </c>
      <c r="IO6" s="56">
        <f>'REG y VAL POE - AESR - ESR'!AC250</f>
        <v>0</v>
      </c>
      <c r="IP6" s="57">
        <f>'REG y VAL POE - AESR - ESR'!AD250</f>
        <v>0</v>
      </c>
      <c r="IQ6" s="57">
        <f>'REG y VAL POE - AESR - ESR'!AE250</f>
        <v>0</v>
      </c>
      <c r="IR6" s="57">
        <f>'REG y VAL POE - AESR - ESR'!AF250</f>
        <v>0</v>
      </c>
      <c r="IS6" s="56">
        <f>'REG y VAL POE - AESR - ESR'!AG250</f>
        <v>0</v>
      </c>
      <c r="IT6" s="57">
        <f>'REG y VAL POE - AESR - ESR'!AH250</f>
        <v>0</v>
      </c>
      <c r="IU6" s="57">
        <f>'REG y VAL POE - AESR - ESR'!AI250</f>
        <v>0</v>
      </c>
      <c r="IV6" s="56">
        <f>'REG y VAL POE - AESR - ESR'!AJ250</f>
        <v>0</v>
      </c>
      <c r="IW6" s="57">
        <f>'REG y VAL POE - AESR - ESR'!AK250</f>
        <v>0</v>
      </c>
      <c r="IX6" s="58">
        <f>'REG y VAL POE - AESR - ESR'!AL250</f>
        <v>0</v>
      </c>
      <c r="IY6" s="56">
        <f>'REG y VAL POE - AESR - ESR'!AM250</f>
        <v>0</v>
      </c>
      <c r="IZ6" s="57">
        <f>'REG y VAL POE - AESR - ESR'!AN250</f>
        <v>0</v>
      </c>
      <c r="JA6" s="57">
        <f>'REG y VAL POE - AESR - ESR'!AO250</f>
        <v>0</v>
      </c>
      <c r="JB6" s="57">
        <f>'REG y VAL POE - AESR - ESR'!AP250</f>
        <v>0</v>
      </c>
      <c r="JC6" s="56">
        <f>'REG y VAL POE - AESR - ESR'!AQ250</f>
        <v>0</v>
      </c>
      <c r="JD6" s="57">
        <f>'REG y VAL POE - AESR - ESR'!AR250</f>
        <v>0</v>
      </c>
      <c r="JE6" s="57">
        <f>'REG y VAL POE - AESR - ESR'!AS250</f>
        <v>0</v>
      </c>
      <c r="JF6" s="56" t="str">
        <f>'REG y VAL POE - AESR - ESR'!B251</f>
        <v xml:space="preserve">Arroyo Maya Eli </v>
      </c>
      <c r="JG6" s="57">
        <f>'REG y VAL POE - AESR - ESR'!C251</f>
        <v>0</v>
      </c>
      <c r="JH6" s="58">
        <f>'REG y VAL POE - AESR - ESR'!D251</f>
        <v>23138030</v>
      </c>
      <c r="JI6" s="56">
        <f>'REG y VAL POE - AESR - ESR'!E251</f>
        <v>0</v>
      </c>
      <c r="JJ6" s="57">
        <f>'REG y VAL POE - AESR - ESR'!F251</f>
        <v>0</v>
      </c>
      <c r="JK6" s="57">
        <f>'REG y VAL POE - AESR - ESR'!G251</f>
        <v>0</v>
      </c>
      <c r="JL6" s="57">
        <f>'REG y VAL POE - AESR - ESR'!H251</f>
        <v>0</v>
      </c>
      <c r="JM6" s="56">
        <f>'REG y VAL POE - AESR - ESR'!I251</f>
        <v>0</v>
      </c>
      <c r="JN6" s="57">
        <f>'REG y VAL POE - AESR - ESR'!J251</f>
        <v>0</v>
      </c>
      <c r="JO6" s="57">
        <f>'REG y VAL POE - AESR - ESR'!K251</f>
        <v>0</v>
      </c>
      <c r="JP6" s="56">
        <f>'REG y VAL POE - AESR - ESR'!L251</f>
        <v>0</v>
      </c>
      <c r="JQ6" s="57">
        <f>'REG y VAL POE - AESR - ESR'!M251</f>
        <v>0</v>
      </c>
      <c r="JR6" s="58">
        <f>'REG y VAL POE - AESR - ESR'!N251</f>
        <v>0</v>
      </c>
      <c r="JS6" s="56">
        <f>'REG y VAL POE - AESR - ESR'!O251</f>
        <v>0</v>
      </c>
      <c r="JT6" s="57">
        <f>'REG y VAL POE - AESR - ESR'!P251</f>
        <v>0</v>
      </c>
      <c r="JU6" s="57">
        <f>'REG y VAL POE - AESR - ESR'!Q251</f>
        <v>0</v>
      </c>
      <c r="JV6" s="57">
        <f>'REG y VAL POE - AESR - ESR'!R251</f>
        <v>0</v>
      </c>
      <c r="JW6" s="56">
        <f>'REG y VAL POE - AESR - ESR'!S251</f>
        <v>0</v>
      </c>
      <c r="JX6" s="57">
        <f>'REG y VAL POE - AESR - ESR'!T251</f>
        <v>0</v>
      </c>
      <c r="JY6" s="57">
        <f>'REG y VAL POE - AESR - ESR'!U251</f>
        <v>0</v>
      </c>
      <c r="JZ6" s="56">
        <f>'REG y VAL POE - AESR - ESR'!V251</f>
        <v>0</v>
      </c>
      <c r="KA6" s="57">
        <f>'REG y VAL POE - AESR - ESR'!W251</f>
        <v>0</v>
      </c>
      <c r="KB6" s="58">
        <f>'REG y VAL POE - AESR - ESR'!X251</f>
        <v>0</v>
      </c>
      <c r="KC6" s="56">
        <f>'REG y VAL POE - AESR - ESR'!Y251</f>
        <v>0</v>
      </c>
      <c r="KD6" s="57">
        <f>'REG y VAL POE - AESR - ESR'!Z251</f>
        <v>0</v>
      </c>
      <c r="KE6" s="57">
        <f>'REG y VAL POE - AESR - ESR'!AA251</f>
        <v>0</v>
      </c>
      <c r="KF6" s="57">
        <f>'REG y VAL POE - AESR - ESR'!AB251</f>
        <v>0</v>
      </c>
      <c r="KG6" s="56">
        <f>'REG y VAL POE - AESR - ESR'!AC251</f>
        <v>0</v>
      </c>
      <c r="KH6" s="57">
        <f>'REG y VAL POE - AESR - ESR'!AD251</f>
        <v>0</v>
      </c>
      <c r="KI6" s="57">
        <f>'REG y VAL POE - AESR - ESR'!AE251</f>
        <v>0</v>
      </c>
      <c r="KJ6" s="56">
        <f>'REG y VAL POE - AESR - ESR'!AF251</f>
        <v>0</v>
      </c>
      <c r="KK6" s="57">
        <f>'REG y VAL POE - AESR - ESR'!AG251</f>
        <v>0</v>
      </c>
      <c r="KL6" s="58">
        <f>'REG y VAL POE - AESR - ESR'!AH251</f>
        <v>0</v>
      </c>
      <c r="KM6" s="56">
        <f>'REG y VAL POE - AESR - ESR'!AI251</f>
        <v>0</v>
      </c>
      <c r="KN6" s="57">
        <f>'REG y VAL POE - AESR - ESR'!AJ251</f>
        <v>0</v>
      </c>
      <c r="KO6" s="57">
        <f>'REG y VAL POE - AESR - ESR'!AK251</f>
        <v>0</v>
      </c>
      <c r="KP6" s="57">
        <f>'REG y VAL POE - AESR - ESR'!AL251</f>
        <v>0</v>
      </c>
      <c r="KQ6" s="56">
        <f>'REG y VAL POE - AESR - ESR'!AM251</f>
        <v>0</v>
      </c>
      <c r="KR6" s="57">
        <f>'REG y VAL POE - AESR - ESR'!AN251</f>
        <v>0</v>
      </c>
      <c r="KS6" s="57">
        <f>'REG y VAL POE - AESR - ESR'!AO251</f>
        <v>0</v>
      </c>
      <c r="KT6" s="56">
        <f>'REG y VAL POE - AESR - ESR'!AP251</f>
        <v>0</v>
      </c>
      <c r="KU6" s="57">
        <f>'REG y VAL POE - AESR - ESR'!AQ251</f>
        <v>0</v>
      </c>
      <c r="KV6" s="58">
        <f>'REG y VAL POE - AESR - ESR'!AR251</f>
        <v>0</v>
      </c>
      <c r="KW6" s="56">
        <f>'REG y VAL POE - AESR - ESR'!AS251</f>
        <v>0</v>
      </c>
      <c r="KX6" s="57" t="str">
        <f>'REG y VAL POE - AESR - ESR'!B252</f>
        <v xml:space="preserve">Barrera Garrido Elizabeth </v>
      </c>
      <c r="KY6" s="57">
        <f>'REG y VAL POE - AESR - ESR'!C252</f>
        <v>0</v>
      </c>
      <c r="KZ6" s="57">
        <f>'REG y VAL POE - AESR - ESR'!D252</f>
        <v>23027318</v>
      </c>
      <c r="LA6" s="56">
        <f>'REG y VAL POE - AESR - ESR'!E252</f>
        <v>0</v>
      </c>
      <c r="LB6" s="57">
        <f>'REG y VAL POE - AESR - ESR'!F252</f>
        <v>0</v>
      </c>
      <c r="LC6" s="57">
        <f>'REG y VAL POE - AESR - ESR'!G252</f>
        <v>0</v>
      </c>
      <c r="LD6" s="56">
        <f>'REG y VAL POE - AESR - ESR'!H252</f>
        <v>0</v>
      </c>
      <c r="LE6" s="57">
        <f>'REG y VAL POE - AESR - ESR'!I252</f>
        <v>0</v>
      </c>
      <c r="LF6" s="58">
        <f>'REG y VAL POE - AESR - ESR'!J252</f>
        <v>0</v>
      </c>
      <c r="LG6" s="56">
        <f>'REG y VAL POE - AESR - ESR'!K252</f>
        <v>0</v>
      </c>
      <c r="LH6" s="57">
        <f>'REG y VAL POE - AESR - ESR'!L252</f>
        <v>0</v>
      </c>
      <c r="LI6" s="57">
        <f>'REG y VAL POE - AESR - ESR'!M252</f>
        <v>0</v>
      </c>
      <c r="LJ6" s="57">
        <f>'REG y VAL POE - AESR - ESR'!N252</f>
        <v>0</v>
      </c>
      <c r="LK6" s="56">
        <f>'REG y VAL POE - AESR - ESR'!O252</f>
        <v>0</v>
      </c>
      <c r="LL6" s="57">
        <f>'REG y VAL POE - AESR - ESR'!P252</f>
        <v>0</v>
      </c>
      <c r="LM6" s="57">
        <f>'REG y VAL POE - AESR - ESR'!Q252</f>
        <v>0</v>
      </c>
      <c r="LN6" s="56">
        <f>'REG y VAL POE - AESR - ESR'!R252</f>
        <v>0</v>
      </c>
      <c r="LO6" s="57">
        <f>'REG y VAL POE - AESR - ESR'!S252</f>
        <v>0</v>
      </c>
      <c r="LP6" s="58">
        <f>'REG y VAL POE - AESR - ESR'!T252</f>
        <v>0</v>
      </c>
      <c r="LQ6" s="56">
        <f>'REG y VAL POE - AESR - ESR'!U252</f>
        <v>0</v>
      </c>
      <c r="LR6" s="57">
        <f>'REG y VAL POE - AESR - ESR'!V252</f>
        <v>0</v>
      </c>
      <c r="LS6" s="57">
        <f>'REG y VAL POE - AESR - ESR'!W252</f>
        <v>0</v>
      </c>
      <c r="LT6" s="57">
        <f>'REG y VAL POE - AESR - ESR'!X252</f>
        <v>0</v>
      </c>
      <c r="LU6" s="56">
        <f>'REG y VAL POE - AESR - ESR'!Y252</f>
        <v>0</v>
      </c>
      <c r="LV6" s="57">
        <f>'REG y VAL POE - AESR - ESR'!Z252</f>
        <v>0</v>
      </c>
      <c r="LW6" s="57">
        <f>'REG y VAL POE - AESR - ESR'!AA252</f>
        <v>0</v>
      </c>
      <c r="LX6" s="56">
        <f>'REG y VAL POE - AESR - ESR'!AB252</f>
        <v>0</v>
      </c>
      <c r="LY6" s="57">
        <f>'REG y VAL POE - AESR - ESR'!AC252</f>
        <v>0</v>
      </c>
      <c r="LZ6" s="58">
        <f>'REG y VAL POE - AESR - ESR'!AD252</f>
        <v>0</v>
      </c>
      <c r="MA6" s="56">
        <f>'REG y VAL POE - AESR - ESR'!AE252</f>
        <v>0</v>
      </c>
      <c r="MB6" s="57">
        <f>'REG y VAL POE - AESR - ESR'!AF252</f>
        <v>0</v>
      </c>
      <c r="MC6" s="57">
        <f>'REG y VAL POE - AESR - ESR'!AG252</f>
        <v>0</v>
      </c>
      <c r="MD6" s="57">
        <f>'REG y VAL POE - AESR - ESR'!AH252</f>
        <v>0</v>
      </c>
      <c r="ME6" s="56">
        <f>'REG y VAL POE - AESR - ESR'!AI252</f>
        <v>0</v>
      </c>
      <c r="MF6" s="57">
        <f>'REG y VAL POE - AESR - ESR'!AJ252</f>
        <v>0</v>
      </c>
      <c r="MG6" s="57">
        <f>'REG y VAL POE - AESR - ESR'!AK252</f>
        <v>0</v>
      </c>
      <c r="MH6" s="56">
        <f>'REG y VAL POE - AESR - ESR'!AL252</f>
        <v>0</v>
      </c>
      <c r="MI6" s="57">
        <f>'REG y VAL POE - AESR - ESR'!AM252</f>
        <v>0</v>
      </c>
      <c r="MJ6" s="58">
        <f>'REG y VAL POE - AESR - ESR'!AN252</f>
        <v>0</v>
      </c>
      <c r="MK6" s="56">
        <f>'REG y VAL POE - AESR - ESR'!AO252</f>
        <v>0</v>
      </c>
      <c r="ML6" s="57">
        <f>'REG y VAL POE - AESR - ESR'!AP252</f>
        <v>0</v>
      </c>
      <c r="MM6" s="57">
        <f>'REG y VAL POE - AESR - ESR'!AQ252</f>
        <v>0</v>
      </c>
      <c r="MN6" s="57">
        <f>'REG y VAL POE - AESR - ESR'!AR252</f>
        <v>0</v>
      </c>
      <c r="MO6" s="56">
        <f>'REG y VAL POE - AESR - ESR'!AS252</f>
        <v>0</v>
      </c>
      <c r="MP6" s="57" t="str">
        <f>'REG y VAL POE - AESR - ESR'!B253</f>
        <v xml:space="preserve">Barrera Mendez Kateryne Dayanara </v>
      </c>
      <c r="MQ6" s="57">
        <f>'REG y VAL POE - AESR - ESR'!C253</f>
        <v>0</v>
      </c>
      <c r="MR6" s="56">
        <f>'REG y VAL POE - AESR - ESR'!D253</f>
        <v>23158040</v>
      </c>
      <c r="MS6" s="57">
        <f>'REG y VAL POE - AESR - ESR'!E253</f>
        <v>0</v>
      </c>
      <c r="MT6" s="58">
        <f>'REG y VAL POE - AESR - ESR'!F253</f>
        <v>0</v>
      </c>
      <c r="MU6" s="56">
        <f>'REG y VAL POE - AESR - ESR'!G253</f>
        <v>0</v>
      </c>
      <c r="MV6" s="57">
        <f>'REG y VAL POE - AESR - ESR'!H253</f>
        <v>0</v>
      </c>
      <c r="MW6" s="57">
        <f>'REG y VAL POE - AESR - ESR'!I253</f>
        <v>0</v>
      </c>
      <c r="MX6" s="57">
        <f>'REG y VAL POE - AESR - ESR'!J253</f>
        <v>0</v>
      </c>
      <c r="MY6" s="56">
        <f>'REG y VAL POE - AESR - ESR'!K253</f>
        <v>0</v>
      </c>
      <c r="MZ6" s="57">
        <f>'REG y VAL POE - AESR - ESR'!L253</f>
        <v>0</v>
      </c>
      <c r="NA6" s="57">
        <f>'REG y VAL POE - AESR - ESR'!M253</f>
        <v>0</v>
      </c>
      <c r="NB6" s="56">
        <f>'REG y VAL POE - AESR - ESR'!N253</f>
        <v>0</v>
      </c>
      <c r="NC6" s="57">
        <f>'REG y VAL POE - AESR - ESR'!O253</f>
        <v>0</v>
      </c>
      <c r="ND6" s="58">
        <f>'REG y VAL POE - AESR - ESR'!P253</f>
        <v>0</v>
      </c>
      <c r="NE6" s="56">
        <f>'REG y VAL POE - AESR - ESR'!Q253</f>
        <v>0</v>
      </c>
      <c r="NF6" s="57">
        <f>'REG y VAL POE - AESR - ESR'!R253</f>
        <v>0</v>
      </c>
      <c r="NG6" s="57">
        <f>'REG y VAL POE - AESR - ESR'!S253</f>
        <v>0</v>
      </c>
      <c r="NH6" s="57">
        <f>'REG y VAL POE - AESR - ESR'!T253</f>
        <v>0</v>
      </c>
      <c r="NI6" s="56">
        <f>'REG y VAL POE - AESR - ESR'!U253</f>
        <v>0</v>
      </c>
      <c r="NJ6" s="57">
        <f>'REG y VAL POE - AESR - ESR'!V253</f>
        <v>0</v>
      </c>
      <c r="NK6" s="57">
        <f>'REG y VAL POE - AESR - ESR'!W253</f>
        <v>0</v>
      </c>
      <c r="NL6" s="56">
        <f>'REG y VAL POE - AESR - ESR'!X253</f>
        <v>0</v>
      </c>
      <c r="NM6" s="57">
        <f>'REG y VAL POE - AESR - ESR'!Y253</f>
        <v>0</v>
      </c>
      <c r="NN6" s="58">
        <f>'REG y VAL POE - AESR - ESR'!Z253</f>
        <v>0</v>
      </c>
      <c r="NO6" s="56">
        <f>'REG y VAL POE - AESR - ESR'!AA253</f>
        <v>0</v>
      </c>
      <c r="NP6" s="57">
        <f>'REG y VAL POE - AESR - ESR'!AB253</f>
        <v>0</v>
      </c>
      <c r="NQ6" s="57">
        <f>'REG y VAL POE - AESR - ESR'!AC253</f>
        <v>0</v>
      </c>
      <c r="NR6" s="57">
        <f>'REG y VAL POE - AESR - ESR'!AD253</f>
        <v>0</v>
      </c>
      <c r="NS6" s="56">
        <f>'REG y VAL POE - AESR - ESR'!AE253</f>
        <v>0</v>
      </c>
      <c r="NT6" s="57">
        <f>'REG y VAL POE - AESR - ESR'!AF253</f>
        <v>0</v>
      </c>
      <c r="NU6" s="57">
        <f>'REG y VAL POE - AESR - ESR'!AG253</f>
        <v>0</v>
      </c>
      <c r="NV6" s="56">
        <f>'REG y VAL POE - AESR - ESR'!AH253</f>
        <v>0</v>
      </c>
      <c r="NW6" s="57">
        <f>'REG y VAL POE - AESR - ESR'!AI253</f>
        <v>0</v>
      </c>
      <c r="NX6" s="58">
        <f>'REG y VAL POE - AESR - ESR'!AJ253</f>
        <v>0</v>
      </c>
      <c r="NY6" s="56">
        <f>'REG y VAL POE - AESR - ESR'!AK253</f>
        <v>0</v>
      </c>
      <c r="NZ6" s="57">
        <f>'REG y VAL POE - AESR - ESR'!AL253</f>
        <v>0</v>
      </c>
      <c r="OA6" s="57">
        <f>'REG y VAL POE - AESR - ESR'!AM253</f>
        <v>0</v>
      </c>
      <c r="OB6" s="57">
        <f>'REG y VAL POE - AESR - ESR'!AN253</f>
        <v>0</v>
      </c>
      <c r="OC6" s="56">
        <f>'REG y VAL POE - AESR - ESR'!AO253</f>
        <v>0</v>
      </c>
      <c r="OD6" s="57">
        <f>'REG y VAL POE - AESR - ESR'!AP253</f>
        <v>0</v>
      </c>
      <c r="OE6" s="57">
        <f>'REG y VAL POE - AESR - ESR'!AQ253</f>
        <v>0</v>
      </c>
      <c r="OF6" s="58">
        <f>'REG y VAL POE - AESR - ESR'!AR253</f>
        <v>0</v>
      </c>
      <c r="OG6" s="58">
        <f>'REG y VAL POE - AESR - ESR'!AS253</f>
        <v>0</v>
      </c>
      <c r="OH6" s="58" t="str">
        <f>'REG y VAL POE - AESR - ESR'!B254</f>
        <v xml:space="preserve">Beltran Teran Hugo Jaciel </v>
      </c>
      <c r="OI6" s="56">
        <f>'REG y VAL POE - AESR - ESR'!C254</f>
        <v>0</v>
      </c>
      <c r="OJ6" s="58">
        <f>'REG y VAL POE - AESR - ESR'!D254</f>
        <v>23138595</v>
      </c>
      <c r="OK6" s="58">
        <f>'REG y VAL POE - AESR - ESR'!E254</f>
        <v>0</v>
      </c>
      <c r="OL6" s="58">
        <f>'REG y VAL POE - AESR - ESR'!F254</f>
        <v>0</v>
      </c>
      <c r="OM6" s="58">
        <f>'REG y VAL POE - AESR - ESR'!G254</f>
        <v>0</v>
      </c>
      <c r="ON6" s="58">
        <f>'REG y VAL POE - AESR - ESR'!H254</f>
        <v>0</v>
      </c>
      <c r="OO6" s="58">
        <f>'REG y VAL POE - AESR - ESR'!I254</f>
        <v>0</v>
      </c>
      <c r="OP6" s="56">
        <f>'REG y VAL POE - AESR - ESR'!J254</f>
        <v>0</v>
      </c>
      <c r="OQ6" s="57">
        <f>'REG y VAL POE - AESR - ESR'!K254</f>
        <v>0</v>
      </c>
      <c r="OR6" s="58">
        <f>'REG y VAL POE - AESR - ESR'!L254</f>
        <v>0</v>
      </c>
      <c r="OS6" s="56">
        <f>'REG y VAL POE - AESR - ESR'!M254</f>
        <v>0</v>
      </c>
      <c r="OT6" s="57">
        <f>'REG y VAL POE - AESR - ESR'!N254</f>
        <v>0</v>
      </c>
      <c r="OU6" s="57">
        <f>'REG y VAL POE - AESR - ESR'!O254</f>
        <v>0</v>
      </c>
      <c r="OV6" s="57">
        <f>'REG y VAL POE - AESR - ESR'!P254</f>
        <v>0</v>
      </c>
      <c r="OW6" s="56">
        <f>'REG y VAL POE - AESR - ESR'!Q254</f>
        <v>0</v>
      </c>
      <c r="OX6" s="57">
        <f>'REG y VAL POE - AESR - ESR'!R254</f>
        <v>0</v>
      </c>
      <c r="OY6" s="57">
        <f>'REG y VAL POE - AESR - ESR'!S254</f>
        <v>0</v>
      </c>
      <c r="OZ6" s="56">
        <f>'REG y VAL POE - AESR - ESR'!T254</f>
        <v>0</v>
      </c>
      <c r="PA6" s="57">
        <f>'REG y VAL POE - AESR - ESR'!U254</f>
        <v>0</v>
      </c>
      <c r="PB6" s="58">
        <f>'REG y VAL POE - AESR - ESR'!V254</f>
        <v>0</v>
      </c>
      <c r="PC6" s="56">
        <f>'REG y VAL POE - AESR - ESR'!W254</f>
        <v>0</v>
      </c>
      <c r="PD6" s="57">
        <f>'REG y VAL POE - AESR - ESR'!X254</f>
        <v>0</v>
      </c>
      <c r="PE6" s="57">
        <f>'REG y VAL POE - AESR - ESR'!Y254</f>
        <v>0</v>
      </c>
      <c r="PF6" s="57">
        <f>'REG y VAL POE - AESR - ESR'!Z254</f>
        <v>0</v>
      </c>
      <c r="PG6" s="56">
        <f>'REG y VAL POE - AESR - ESR'!AA254</f>
        <v>0</v>
      </c>
      <c r="PH6" s="57">
        <f>'REG y VAL POE - AESR - ESR'!AB254</f>
        <v>0</v>
      </c>
      <c r="PI6" s="57">
        <f>'REG y VAL POE - AESR - ESR'!AC254</f>
        <v>0</v>
      </c>
      <c r="PJ6" s="56">
        <f>'REG y VAL POE - AESR - ESR'!AD254</f>
        <v>0</v>
      </c>
      <c r="PK6" s="57">
        <f>'REG y VAL POE - AESR - ESR'!AE254</f>
        <v>0</v>
      </c>
      <c r="PL6" s="58">
        <f>'REG y VAL POE - AESR - ESR'!AF254</f>
        <v>0</v>
      </c>
      <c r="PM6" s="56">
        <f>'REG y VAL POE - AESR - ESR'!AG254</f>
        <v>0</v>
      </c>
      <c r="PN6" s="57">
        <f>'REG y VAL POE - AESR - ESR'!AH254</f>
        <v>0</v>
      </c>
      <c r="PO6" s="57">
        <f>'REG y VAL POE - AESR - ESR'!AI254</f>
        <v>0</v>
      </c>
      <c r="PP6" s="57">
        <f>'REG y VAL POE - AESR - ESR'!AJ254</f>
        <v>0</v>
      </c>
      <c r="PQ6" s="56">
        <f>'REG y VAL POE - AESR - ESR'!AK254</f>
        <v>0</v>
      </c>
      <c r="PR6" s="57">
        <f>'REG y VAL POE - AESR - ESR'!AL254</f>
        <v>0</v>
      </c>
      <c r="PS6" s="57">
        <f>'REG y VAL POE - AESR - ESR'!AM254</f>
        <v>0</v>
      </c>
      <c r="PT6" s="56">
        <f>'REG y VAL POE - AESR - ESR'!AN254</f>
        <v>0</v>
      </c>
      <c r="PU6" s="57">
        <f>'REG y VAL POE - AESR - ESR'!AO254</f>
        <v>0</v>
      </c>
      <c r="PV6" s="58">
        <f>'REG y VAL POE - AESR - ESR'!AP254</f>
        <v>0</v>
      </c>
      <c r="PW6" s="56">
        <f>'REG y VAL POE - AESR - ESR'!AQ254</f>
        <v>0</v>
      </c>
      <c r="PX6" s="57">
        <f>'REG y VAL POE - AESR - ESR'!AR254</f>
        <v>0</v>
      </c>
      <c r="PY6" s="57">
        <f>'REG y VAL POE - AESR - ESR'!AS254</f>
        <v>0</v>
      </c>
      <c r="PZ6" s="57"/>
      <c r="QA6" s="56"/>
      <c r="QB6" s="57"/>
      <c r="QC6" s="57"/>
      <c r="QD6" s="56"/>
      <c r="QE6" s="57"/>
      <c r="QF6" s="58"/>
      <c r="QG6" s="56"/>
      <c r="QH6" s="57"/>
      <c r="QI6" s="57"/>
      <c r="QJ6" s="57"/>
      <c r="QK6" s="56"/>
      <c r="QL6" s="57"/>
      <c r="QM6" s="57"/>
      <c r="QN6" s="56"/>
      <c r="QO6" s="57"/>
      <c r="QP6" s="58"/>
      <c r="QQ6" s="56"/>
      <c r="QR6" s="57"/>
      <c r="QS6" s="57"/>
      <c r="QT6" s="57"/>
      <c r="QU6" s="56"/>
      <c r="QV6" s="57"/>
      <c r="QW6" s="57"/>
      <c r="QX6" s="56"/>
      <c r="QY6" s="57"/>
      <c r="QZ6" s="58"/>
      <c r="RA6" s="56"/>
      <c r="RB6" s="57"/>
      <c r="RC6" s="57"/>
      <c r="RD6" s="57"/>
      <c r="RE6" s="56"/>
      <c r="RF6" s="57"/>
      <c r="RG6" s="57"/>
      <c r="RH6" s="56"/>
      <c r="RI6" s="57"/>
      <c r="RJ6" s="58"/>
      <c r="RK6" s="56"/>
      <c r="RL6" s="57"/>
      <c r="RM6" s="57"/>
      <c r="RN6" s="57"/>
      <c r="RO6" s="56"/>
      <c r="RP6" s="57"/>
      <c r="RQ6" s="57"/>
      <c r="RR6" s="56"/>
      <c r="RS6" s="57"/>
      <c r="RT6" s="58"/>
      <c r="RU6" s="56"/>
      <c r="RV6" s="57"/>
      <c r="RW6" s="57"/>
      <c r="RX6" s="57"/>
      <c r="RY6" s="56"/>
      <c r="RZ6" s="57"/>
      <c r="SA6" s="57"/>
      <c r="SB6" s="56"/>
      <c r="SC6" s="57"/>
      <c r="SD6" s="58"/>
      <c r="SE6" s="56"/>
      <c r="SF6" s="57"/>
      <c r="SG6" s="57"/>
      <c r="SH6" s="57"/>
      <c r="SI6" s="56"/>
      <c r="SJ6" s="57"/>
      <c r="SK6" s="57"/>
      <c r="SL6" s="56"/>
      <c r="SM6" s="57"/>
      <c r="SN6" s="58"/>
      <c r="SO6" s="56"/>
      <c r="SP6" s="57"/>
      <c r="SQ6" s="57"/>
      <c r="SR6" s="57"/>
      <c r="SS6" s="56"/>
      <c r="ST6" s="57"/>
      <c r="SU6" s="57"/>
      <c r="SV6" s="56"/>
      <c r="SW6" s="57"/>
      <c r="SX6" s="58"/>
      <c r="SY6" s="56"/>
      <c r="SZ6" s="57"/>
      <c r="TA6" s="57"/>
      <c r="TB6" s="57"/>
      <c r="TC6" s="56"/>
      <c r="TD6" s="57"/>
      <c r="TE6" s="57"/>
      <c r="TF6" s="56"/>
      <c r="TG6" s="57"/>
      <c r="TH6" s="58"/>
      <c r="TI6" s="56"/>
      <c r="TJ6" s="57"/>
      <c r="TK6" s="57"/>
      <c r="TL6" s="57"/>
      <c r="TM6" s="56"/>
      <c r="TN6" s="57"/>
      <c r="TO6" s="57"/>
      <c r="TP6" s="56"/>
      <c r="TQ6" s="57"/>
      <c r="TR6" s="58"/>
      <c r="TS6" s="56"/>
      <c r="TT6" s="57"/>
      <c r="TU6" s="57"/>
      <c r="TV6" s="57"/>
      <c r="TW6" s="56"/>
      <c r="TX6" s="57"/>
      <c r="TY6" s="57"/>
      <c r="TZ6" s="56"/>
      <c r="UA6" s="57"/>
      <c r="UB6" s="58"/>
      <c r="UC6" s="56"/>
      <c r="UD6" s="57"/>
      <c r="UE6" s="57"/>
      <c r="UF6" s="57"/>
      <c r="UG6" s="56"/>
      <c r="UH6" s="57"/>
      <c r="UI6" s="57"/>
      <c r="UJ6" s="56"/>
      <c r="UK6" s="57"/>
      <c r="UL6" s="58"/>
      <c r="UM6" s="56"/>
      <c r="UN6" s="57"/>
      <c r="UO6" s="57"/>
      <c r="UP6" s="57"/>
      <c r="UQ6" s="56"/>
      <c r="UR6" s="57"/>
      <c r="US6" s="57"/>
      <c r="UT6" s="56"/>
      <c r="UU6" s="57"/>
      <c r="UV6" s="58"/>
      <c r="UW6" s="56"/>
      <c r="UX6" s="57"/>
      <c r="UY6" s="57"/>
      <c r="UZ6" s="57"/>
      <c r="VA6" s="56"/>
      <c r="VB6" s="57"/>
      <c r="VC6" s="57"/>
      <c r="VD6" s="56"/>
      <c r="VE6" s="57"/>
      <c r="VF6" s="58"/>
      <c r="VG6" s="56"/>
      <c r="VH6" s="57"/>
      <c r="VI6" s="57"/>
      <c r="VJ6" s="57"/>
      <c r="VK6" s="56"/>
      <c r="VL6" s="57"/>
      <c r="VM6" s="57"/>
      <c r="VN6" s="56"/>
      <c r="VO6" s="57"/>
      <c r="VP6" s="58"/>
      <c r="VQ6" s="56"/>
      <c r="VR6" s="57"/>
      <c r="VS6" s="57"/>
      <c r="VT6" s="57"/>
      <c r="VU6" s="56"/>
      <c r="VV6" s="57"/>
      <c r="VW6" s="57"/>
      <c r="VX6" s="56"/>
      <c r="VY6" s="57"/>
      <c r="VZ6" s="58"/>
      <c r="WA6" s="56"/>
      <c r="WB6" s="57"/>
      <c r="WC6" s="57"/>
      <c r="WD6" s="57"/>
      <c r="WE6" s="56"/>
      <c r="WF6" s="57"/>
      <c r="WG6" s="57"/>
      <c r="WH6" s="56"/>
      <c r="WI6" s="57"/>
      <c r="WJ6" s="58"/>
      <c r="WK6" s="56"/>
      <c r="WL6" s="57"/>
      <c r="WM6" s="57"/>
      <c r="WN6" s="57"/>
      <c r="WO6" s="56"/>
      <c r="WP6" s="57"/>
      <c r="WQ6" s="57"/>
      <c r="WR6" s="56"/>
      <c r="WS6" s="57"/>
      <c r="WT6" s="58"/>
      <c r="WU6" s="56"/>
      <c r="WV6" s="57"/>
      <c r="WW6" s="57"/>
      <c r="WX6" s="57"/>
      <c r="WY6" s="56"/>
      <c r="WZ6" s="57"/>
      <c r="XA6" s="57"/>
      <c r="XB6" s="56"/>
      <c r="XC6" s="57"/>
      <c r="XD6" s="58"/>
      <c r="XE6" s="56"/>
      <c r="XF6" s="57"/>
      <c r="XG6" s="57"/>
      <c r="XH6" s="57"/>
      <c r="XI6" s="56"/>
      <c r="XJ6" s="57"/>
      <c r="XK6" s="57"/>
      <c r="XL6" s="56"/>
      <c r="XM6" s="57"/>
      <c r="XN6" s="58"/>
      <c r="XO6" s="56"/>
      <c r="XP6" s="57"/>
      <c r="XQ6" s="57"/>
      <c r="XR6" s="57"/>
      <c r="XS6" s="56"/>
      <c r="XT6" s="57"/>
      <c r="XU6" s="57"/>
      <c r="XV6" s="56"/>
      <c r="XW6" s="57"/>
      <c r="XX6" s="58"/>
      <c r="XY6" s="56"/>
      <c r="XZ6" s="57"/>
      <c r="YA6" s="57"/>
      <c r="YB6" s="57"/>
      <c r="YC6" s="56"/>
      <c r="YD6" s="57"/>
      <c r="YE6" s="57"/>
      <c r="YF6" s="56"/>
      <c r="YG6" s="57"/>
      <c r="YH6" s="58"/>
      <c r="YI6" s="56"/>
      <c r="YJ6" s="57"/>
      <c r="YK6" s="57"/>
      <c r="YL6" s="57"/>
      <c r="YM6" s="56"/>
      <c r="YN6" s="57"/>
      <c r="YO6" s="57"/>
      <c r="YP6" s="56"/>
      <c r="YQ6" s="57"/>
      <c r="YR6" s="58"/>
      <c r="YS6" s="56"/>
      <c r="YT6" s="57"/>
      <c r="YU6" s="57"/>
      <c r="YV6" s="57"/>
      <c r="YW6" s="56"/>
      <c r="YX6" s="57"/>
      <c r="YY6" s="57"/>
      <c r="YZ6" s="56"/>
      <c r="ZA6" s="57"/>
      <c r="ZB6" s="58"/>
      <c r="ZC6" s="56"/>
      <c r="ZD6" s="57"/>
      <c r="ZE6" s="57"/>
      <c r="ZF6" s="57"/>
      <c r="ZG6" s="56"/>
      <c r="ZH6" s="57"/>
      <c r="ZI6" s="57"/>
      <c r="ZJ6" s="56"/>
      <c r="ZK6" s="57"/>
      <c r="ZL6" s="58"/>
      <c r="ZM6" s="56"/>
      <c r="ZN6" s="57"/>
      <c r="ZO6" s="57"/>
      <c r="ZP6" s="57"/>
      <c r="ZQ6" s="56"/>
      <c r="ZR6" s="57"/>
      <c r="ZS6" s="57"/>
      <c r="ZT6" s="56"/>
      <c r="ZU6" s="57"/>
      <c r="ZV6" s="58"/>
      <c r="ZW6" s="56"/>
      <c r="ZX6" s="57"/>
      <c r="ZY6" s="57"/>
      <c r="ZZ6" s="57"/>
      <c r="AAA6" s="56"/>
      <c r="AAB6" s="57"/>
      <c r="AAC6" s="57"/>
      <c r="AAD6" s="56"/>
      <c r="AAE6" s="57"/>
      <c r="AAF6" s="58"/>
      <c r="AAG6" s="56"/>
      <c r="AAH6" s="57"/>
      <c r="AAI6" s="57"/>
      <c r="AAJ6" s="57"/>
      <c r="AAK6" s="56"/>
      <c r="AAL6" s="57"/>
      <c r="AAM6" s="57"/>
      <c r="AAN6" s="56"/>
      <c r="AAO6" s="57"/>
      <c r="AAP6" s="58"/>
      <c r="AAQ6" s="56"/>
      <c r="AAR6" s="57"/>
      <c r="AAS6" s="57"/>
      <c r="AAT6" s="57"/>
      <c r="AAU6" s="56"/>
      <c r="AAV6" s="57"/>
      <c r="AAW6" s="57"/>
      <c r="AAX6" s="58"/>
      <c r="AAY6" s="58"/>
      <c r="AAZ6" s="58"/>
      <c r="ABA6" s="56"/>
      <c r="ABB6" s="58"/>
      <c r="ABC6" s="58"/>
      <c r="ABD6" s="58"/>
      <c r="ABE6" s="58"/>
      <c r="ABF6" s="58"/>
      <c r="ABG6" s="57"/>
      <c r="ABH6" s="56"/>
      <c r="ABI6" s="57"/>
      <c r="ABJ6" s="58"/>
      <c r="ABK6" s="56"/>
      <c r="ABL6" s="57"/>
      <c r="ABM6" s="57"/>
      <c r="ABN6" s="57"/>
      <c r="ABO6" s="56"/>
      <c r="ABP6" s="57"/>
      <c r="ABQ6" s="57"/>
      <c r="ABR6" s="56"/>
      <c r="ABS6" s="57"/>
      <c r="ABT6" s="58"/>
      <c r="ABU6" s="56"/>
      <c r="ABV6" s="57"/>
      <c r="ABW6" s="57"/>
      <c r="ABX6" s="57"/>
      <c r="ABY6" s="56"/>
      <c r="ABZ6" s="57"/>
      <c r="ACA6" s="57"/>
      <c r="ACB6" s="56"/>
      <c r="ACC6" s="57"/>
      <c r="ACD6" s="58"/>
      <c r="ACE6" s="56"/>
      <c r="ACF6" s="57"/>
      <c r="ACG6" s="57"/>
      <c r="ACH6" s="57"/>
      <c r="ACI6" s="56"/>
      <c r="ACJ6" s="57"/>
      <c r="ACK6" s="57"/>
      <c r="ACL6" s="56"/>
      <c r="ACM6" s="57"/>
      <c r="ACN6" s="58"/>
      <c r="ACO6" s="56"/>
      <c r="ACP6" s="57"/>
      <c r="ACQ6" s="57"/>
      <c r="ACR6" s="57"/>
      <c r="ACS6" s="56"/>
      <c r="ACT6" s="57"/>
      <c r="ACU6" s="57"/>
      <c r="ACV6" s="56"/>
      <c r="ACW6" s="57"/>
      <c r="ACX6" s="58"/>
      <c r="ACY6" s="56"/>
      <c r="ACZ6" s="57"/>
      <c r="ADA6" s="57"/>
      <c r="ADB6" s="57"/>
      <c r="ADC6" s="56"/>
      <c r="ADD6" s="57"/>
      <c r="ADE6" s="57"/>
      <c r="ADF6" s="56"/>
      <c r="ADG6" s="57"/>
      <c r="ADH6" s="58"/>
      <c r="ADI6" s="56"/>
      <c r="ADJ6" s="57"/>
      <c r="ADK6" s="57"/>
      <c r="ADL6" s="57"/>
      <c r="ADM6" s="56"/>
      <c r="ADN6" s="57"/>
      <c r="ADO6" s="57"/>
      <c r="ADP6" s="56"/>
      <c r="ADQ6" s="57"/>
      <c r="ADR6" s="58"/>
      <c r="ADS6" s="56"/>
      <c r="ADT6" s="57"/>
      <c r="ADU6" s="57"/>
      <c r="ADV6" s="57"/>
      <c r="ADW6" s="56"/>
      <c r="ADX6" s="57"/>
      <c r="ADY6" s="57"/>
      <c r="ADZ6" s="56"/>
      <c r="AEA6" s="57"/>
      <c r="AEB6" s="58"/>
      <c r="AEC6" s="56"/>
      <c r="AED6" s="57"/>
      <c r="AEE6" s="57"/>
      <c r="AEF6" s="57"/>
      <c r="AEG6" s="56"/>
      <c r="AEH6" s="57"/>
      <c r="AEI6" s="57"/>
      <c r="AEJ6" s="56"/>
      <c r="AEK6" s="57"/>
      <c r="AEL6" s="58"/>
      <c r="AEM6" s="56"/>
      <c r="AEN6" s="57"/>
      <c r="AEO6" s="57"/>
      <c r="AEP6" s="57"/>
      <c r="AEQ6" s="56"/>
      <c r="AER6" s="57"/>
      <c r="AES6" s="57"/>
      <c r="AET6" s="56"/>
      <c r="AEU6" s="57"/>
      <c r="AEV6" s="58"/>
      <c r="AEW6" s="56"/>
      <c r="AEX6" s="57"/>
      <c r="AEY6" s="57"/>
      <c r="AEZ6" s="57"/>
      <c r="AFA6" s="56"/>
      <c r="AFB6" s="57"/>
      <c r="AFC6" s="57"/>
      <c r="AFD6" s="56"/>
      <c r="AFE6" s="57"/>
      <c r="AFF6" s="58"/>
      <c r="AFG6" s="56"/>
      <c r="AFH6" s="57"/>
      <c r="AFI6" s="57"/>
      <c r="AFJ6" s="57"/>
      <c r="AFK6" s="56"/>
      <c r="AFL6" s="57"/>
      <c r="AFM6" s="57"/>
      <c r="AFN6" s="56"/>
      <c r="AFO6" s="57"/>
      <c r="AFP6" s="58"/>
      <c r="AFQ6" s="56"/>
      <c r="AFR6" s="57"/>
      <c r="AFS6" s="57"/>
      <c r="AFT6" s="57"/>
      <c r="AFU6" s="56"/>
      <c r="AFV6" s="57"/>
      <c r="AFW6" s="57"/>
      <c r="AFX6" s="56"/>
      <c r="AFY6" s="57"/>
      <c r="AFZ6" s="58"/>
      <c r="AGA6" s="56"/>
      <c r="AGB6" s="57"/>
      <c r="AGC6" s="57"/>
      <c r="AGD6" s="57"/>
      <c r="AGE6" s="56"/>
      <c r="AGF6" s="57"/>
      <c r="AGG6" s="57"/>
      <c r="AGH6" s="56"/>
      <c r="AGI6" s="57"/>
      <c r="AGJ6" s="58"/>
      <c r="AGK6" s="56"/>
      <c r="AGL6" s="57"/>
      <c r="AGM6" s="57"/>
      <c r="AGN6" s="57"/>
      <c r="AGO6" s="56"/>
      <c r="AGP6" s="57"/>
      <c r="AGQ6" s="57"/>
      <c r="AGR6" s="56"/>
      <c r="AGS6" s="57"/>
      <c r="AGT6" s="58"/>
      <c r="AGU6" s="56"/>
      <c r="AGV6" s="57"/>
      <c r="AGW6" s="57"/>
      <c r="AGX6" s="57"/>
      <c r="AGY6" s="56"/>
      <c r="AGZ6" s="57"/>
      <c r="AHA6" s="57"/>
      <c r="AHB6" s="56"/>
      <c r="AHC6" s="57"/>
      <c r="AHD6" s="58"/>
      <c r="AHE6" s="56"/>
      <c r="AHF6" s="57"/>
      <c r="AHG6" s="57"/>
      <c r="AHH6" s="57"/>
      <c r="AHI6" s="56"/>
      <c r="AHJ6" s="57"/>
      <c r="AHK6" s="57"/>
      <c r="AHL6" s="56"/>
      <c r="AHM6" s="57"/>
      <c r="AHN6" s="58"/>
      <c r="AHO6" s="56"/>
      <c r="AHP6" s="57"/>
      <c r="AHQ6" s="57"/>
      <c r="AHR6" s="57"/>
      <c r="AHS6" s="56"/>
      <c r="AHT6" s="57"/>
      <c r="AHU6" s="57"/>
      <c r="AHV6" s="56"/>
      <c r="AHW6" s="57"/>
      <c r="AHX6" s="58"/>
      <c r="AHY6" s="56"/>
      <c r="AHZ6" s="57"/>
      <c r="AIA6" s="57"/>
      <c r="AIB6" s="57"/>
      <c r="AIC6" s="56"/>
      <c r="AID6" s="57"/>
      <c r="AIE6" s="57"/>
      <c r="AIF6" s="56"/>
      <c r="AIG6" s="57"/>
      <c r="AIH6" s="58"/>
      <c r="AII6" s="56"/>
      <c r="AIJ6" s="57"/>
      <c r="AIK6" s="57"/>
      <c r="AIL6" s="57"/>
      <c r="AIM6" s="56"/>
      <c r="AIN6" s="57"/>
      <c r="AIO6" s="57"/>
      <c r="AIP6" s="56"/>
      <c r="AIQ6" s="57"/>
      <c r="AIR6" s="58"/>
      <c r="AIS6" s="56"/>
      <c r="AIT6" s="57"/>
      <c r="AIU6" s="57"/>
      <c r="AIV6" s="57"/>
      <c r="AIW6" s="56"/>
      <c r="AIX6" s="57"/>
      <c r="AIY6" s="57"/>
      <c r="AIZ6" s="56"/>
      <c r="AJA6" s="57"/>
      <c r="AJB6" s="58"/>
      <c r="AJC6" s="56"/>
      <c r="AJD6" s="57"/>
      <c r="AJE6" s="57"/>
      <c r="AJF6" s="57"/>
      <c r="AJG6" s="56"/>
      <c r="AJH6" s="57"/>
      <c r="AJI6" s="57"/>
      <c r="AJJ6" s="56"/>
      <c r="AJK6" s="57"/>
      <c r="AJL6" s="58"/>
      <c r="AJM6" s="56"/>
      <c r="AJN6" s="57"/>
      <c r="AJO6" s="57"/>
      <c r="AJP6" s="57"/>
      <c r="AJQ6" s="56"/>
      <c r="AJR6" s="57"/>
      <c r="AJS6" s="57"/>
      <c r="AJT6" s="56"/>
      <c r="AJU6" s="57"/>
      <c r="AJV6" s="58"/>
      <c r="AJW6" s="56"/>
      <c r="AJX6" s="57"/>
      <c r="AJY6" s="57"/>
      <c r="AJZ6" s="57"/>
      <c r="AKA6" s="56"/>
      <c r="AKB6" s="57"/>
      <c r="AKC6" s="57"/>
      <c r="AKD6" s="56"/>
      <c r="AKE6" s="57"/>
      <c r="AKF6" s="58"/>
      <c r="AKG6" s="56"/>
      <c r="AKH6" s="57"/>
      <c r="AKI6" s="57"/>
      <c r="AKJ6" s="57"/>
      <c r="AKK6" s="56"/>
      <c r="AKL6" s="57"/>
      <c r="AKM6" s="57"/>
      <c r="AKN6" s="56"/>
      <c r="AKO6" s="57"/>
      <c r="AKP6" s="58"/>
      <c r="AKQ6" s="56"/>
      <c r="AKR6" s="57"/>
      <c r="AKS6" s="57"/>
      <c r="AKT6" s="57"/>
      <c r="AKU6" s="56"/>
      <c r="AKV6" s="57"/>
      <c r="AKW6" s="57"/>
      <c r="AKX6" s="56"/>
      <c r="AKY6" s="57"/>
      <c r="AKZ6" s="58"/>
      <c r="ALA6" s="56"/>
      <c r="ALB6" s="57"/>
      <c r="ALC6" s="57"/>
      <c r="ALD6" s="57"/>
      <c r="ALE6" s="56"/>
      <c r="ALF6" s="57"/>
      <c r="ALG6" s="57"/>
      <c r="ALH6" s="57"/>
      <c r="ALI6" s="57"/>
      <c r="ALJ6" s="57"/>
      <c r="ALK6" s="56"/>
      <c r="ALL6" s="57"/>
      <c r="ALM6" s="57"/>
      <c r="ALN6" s="56"/>
      <c r="ALO6" s="57"/>
      <c r="ALP6" s="58"/>
      <c r="ALQ6" s="56"/>
      <c r="ALR6" s="57"/>
      <c r="ALS6" s="57"/>
      <c r="ALT6" s="57"/>
      <c r="ALU6" s="56"/>
      <c r="ALV6" s="57"/>
      <c r="ALW6" s="57"/>
      <c r="ALX6" s="56"/>
      <c r="ALY6" s="57"/>
      <c r="ALZ6" s="58"/>
      <c r="AMA6" s="56"/>
      <c r="AMB6" s="57"/>
      <c r="AMC6" s="57"/>
      <c r="AMD6" s="57"/>
      <c r="AME6" s="56"/>
      <c r="AMF6" s="57"/>
      <c r="AMG6" s="57"/>
      <c r="AMH6" s="57"/>
      <c r="AMI6" s="57"/>
      <c r="AMJ6" s="57"/>
      <c r="AMK6" s="56"/>
      <c r="AML6" s="57"/>
      <c r="AMM6" s="57"/>
      <c r="AMN6" s="56"/>
      <c r="AMO6" s="57"/>
      <c r="AMP6" s="58"/>
      <c r="AMQ6" s="56"/>
      <c r="AMR6" s="57"/>
      <c r="AMS6" s="57"/>
      <c r="AMT6" s="57"/>
      <c r="AMU6" s="56"/>
      <c r="AMV6" s="57"/>
      <c r="AMW6" s="57"/>
      <c r="AMX6" s="56"/>
      <c r="AMY6" s="57"/>
      <c r="AMZ6" s="58"/>
      <c r="ANA6" s="56"/>
      <c r="ANB6" s="57"/>
      <c r="ANC6" s="57"/>
      <c r="AND6" s="57"/>
      <c r="ANE6" s="56"/>
      <c r="ANF6" s="57"/>
      <c r="ANG6" s="57"/>
      <c r="ANH6" s="57"/>
      <c r="ANI6" s="57"/>
      <c r="ANJ6" s="57"/>
      <c r="ANK6" s="56"/>
      <c r="ANL6" s="57"/>
      <c r="ANM6" s="57"/>
      <c r="ANN6" s="56"/>
      <c r="ANO6" s="57"/>
      <c r="ANP6" s="58"/>
      <c r="ANQ6" s="56"/>
      <c r="ANR6" s="57"/>
      <c r="ANS6" s="57"/>
      <c r="ANT6" s="57"/>
      <c r="ANU6" s="56"/>
      <c r="ANV6" s="57"/>
      <c r="ANW6" s="57"/>
      <c r="ANX6" s="56"/>
      <c r="ANY6" s="57"/>
      <c r="ANZ6" s="58"/>
      <c r="AOA6" s="56"/>
      <c r="AOB6" s="57"/>
      <c r="AOC6" s="57"/>
      <c r="AOD6" s="57"/>
      <c r="AOE6" s="56"/>
      <c r="AOF6" s="57"/>
      <c r="AOG6" s="57"/>
      <c r="AOH6" s="57"/>
      <c r="AOI6" s="57"/>
      <c r="AOJ6" s="57"/>
      <c r="AOK6" s="56"/>
      <c r="AOL6" s="57"/>
      <c r="AOM6" s="57"/>
      <c r="AON6" s="56"/>
      <c r="AOO6" s="57"/>
      <c r="AOP6" s="58"/>
      <c r="AOQ6" s="56"/>
      <c r="AOR6" s="57"/>
      <c r="AOS6" s="57"/>
      <c r="AOT6" s="57"/>
      <c r="AOU6" s="56"/>
      <c r="AOV6" s="57"/>
      <c r="AOW6" s="57"/>
      <c r="AOX6" s="56"/>
      <c r="AOY6" s="57"/>
      <c r="AOZ6" s="58"/>
      <c r="APA6" s="56"/>
      <c r="APB6" s="57"/>
      <c r="APC6" s="57"/>
      <c r="APD6" s="57"/>
      <c r="APE6" s="56"/>
      <c r="APF6" s="57"/>
      <c r="APG6" s="57"/>
      <c r="APH6" s="57"/>
      <c r="API6" s="57"/>
      <c r="APJ6" s="57"/>
      <c r="APK6" s="56"/>
      <c r="APL6" s="57"/>
      <c r="APM6" s="57"/>
      <c r="APN6" s="56"/>
      <c r="APO6" s="57"/>
      <c r="APP6" s="58"/>
      <c r="APQ6" s="56"/>
      <c r="APR6" s="57"/>
      <c r="APS6" s="57"/>
      <c r="APT6" s="57"/>
      <c r="APU6" s="56"/>
      <c r="APV6" s="57"/>
      <c r="APW6" s="57"/>
      <c r="APX6" s="56"/>
      <c r="APY6" s="57"/>
      <c r="APZ6" s="58"/>
      <c r="AQA6" s="56"/>
      <c r="AQB6" s="57"/>
      <c r="AQC6" s="57"/>
      <c r="AQD6" s="57"/>
      <c r="AQE6" s="56"/>
      <c r="AQF6" s="57"/>
      <c r="AQG6" s="57"/>
      <c r="AQH6" s="57"/>
      <c r="AQI6" s="57"/>
      <c r="AQJ6" s="57"/>
      <c r="AQK6" s="56"/>
      <c r="AQL6" s="57"/>
      <c r="AQM6" s="57"/>
      <c r="AQN6" s="56"/>
      <c r="AQO6" s="57"/>
      <c r="AQP6" s="58"/>
      <c r="AQQ6" s="56"/>
      <c r="AQR6" s="57"/>
      <c r="AQS6" s="57"/>
      <c r="AQT6" s="57"/>
      <c r="AQU6" s="56"/>
      <c r="AQV6" s="57"/>
      <c r="AQW6" s="57"/>
      <c r="AQX6" s="56"/>
      <c r="AQY6" s="57"/>
      <c r="AQZ6" s="58"/>
      <c r="ARA6" s="56"/>
      <c r="ARB6" s="57"/>
      <c r="ARC6" s="57"/>
      <c r="ARD6" s="57"/>
      <c r="ARE6" s="56"/>
      <c r="ARF6" s="57"/>
      <c r="ARG6" s="57"/>
      <c r="ARH6" s="57"/>
      <c r="ARI6" s="57"/>
      <c r="ARJ6" s="57"/>
      <c r="ARK6" s="56"/>
      <c r="ARL6" s="57"/>
      <c r="ARM6" s="57"/>
      <c r="ARN6" s="56"/>
      <c r="ARO6" s="57"/>
      <c r="ARP6" s="58"/>
      <c r="ARQ6" s="56"/>
      <c r="ARR6" s="57"/>
      <c r="ARS6" s="57"/>
      <c r="ART6" s="57"/>
      <c r="ARU6" s="56"/>
      <c r="ARV6" s="57"/>
      <c r="ARW6" s="57"/>
      <c r="ARX6" s="56"/>
      <c r="ARY6" s="57"/>
      <c r="ARZ6" s="58"/>
      <c r="ASA6" s="56"/>
      <c r="ASB6" s="57"/>
      <c r="ASC6" s="57"/>
      <c r="ASD6" s="57"/>
      <c r="ASE6" s="56"/>
      <c r="ASF6" s="57"/>
      <c r="ASG6" s="57"/>
      <c r="ASH6" s="57"/>
      <c r="ASI6" s="57"/>
      <c r="ASJ6" s="57"/>
      <c r="ASK6" s="56"/>
      <c r="ASL6" s="57"/>
      <c r="ASM6" s="57"/>
      <c r="ASN6" s="56"/>
      <c r="ASO6" s="57"/>
      <c r="ASP6" s="58"/>
      <c r="ASQ6" s="56"/>
      <c r="ASR6" s="57"/>
      <c r="ASS6" s="57"/>
      <c r="AST6" s="57"/>
      <c r="ASU6" s="56"/>
      <c r="ASV6" s="57"/>
      <c r="ASW6" s="57"/>
      <c r="ASX6" s="56"/>
      <c r="ASY6" s="57"/>
      <c r="ASZ6" s="58"/>
      <c r="ATA6" s="56"/>
      <c r="ATB6" s="57"/>
      <c r="ATC6" s="57"/>
      <c r="ATD6" s="57"/>
      <c r="ATE6" s="56"/>
      <c r="ATF6" s="57"/>
      <c r="ATG6" s="57"/>
      <c r="ATH6" s="57"/>
      <c r="ATI6" s="57"/>
      <c r="ATJ6" s="57"/>
      <c r="ATK6" s="56"/>
      <c r="ATL6" s="57"/>
      <c r="ATM6" s="57"/>
      <c r="ATN6" s="56"/>
      <c r="ATO6" s="57"/>
      <c r="ATP6" s="58"/>
      <c r="ATQ6" s="56"/>
      <c r="ATR6" s="57"/>
      <c r="ATS6" s="57"/>
      <c r="ATT6" s="57"/>
      <c r="ATU6" s="56"/>
      <c r="ATV6" s="57"/>
      <c r="ATW6" s="57"/>
      <c r="ATX6" s="56"/>
      <c r="ATY6" s="57"/>
      <c r="ATZ6" s="58"/>
      <c r="AUA6" s="56"/>
      <c r="AUB6" s="57"/>
      <c r="AUC6" s="57"/>
      <c r="AUD6" s="57"/>
      <c r="AUE6" s="56"/>
      <c r="AUF6" s="57"/>
      <c r="AUG6" s="57"/>
      <c r="AUH6" s="57"/>
      <c r="AUI6" s="57"/>
      <c r="AUJ6" s="57"/>
      <c r="AUK6" s="56"/>
      <c r="AUL6" s="57"/>
      <c r="AUM6" s="57"/>
      <c r="AUN6" s="56"/>
      <c r="AUO6" s="57"/>
      <c r="AUP6" s="58"/>
      <c r="AUQ6" s="56"/>
      <c r="AUR6" s="57"/>
      <c r="AUS6" s="57"/>
      <c r="AUT6" s="57"/>
      <c r="AUU6" s="56"/>
      <c r="AUV6" s="57"/>
      <c r="AUW6" s="57"/>
      <c r="AUX6" s="56"/>
      <c r="AUY6" s="57"/>
      <c r="AUZ6" s="58"/>
      <c r="AVA6" s="56"/>
      <c r="AVB6" s="57"/>
      <c r="AVC6" s="57"/>
      <c r="AVD6" s="57"/>
      <c r="AVE6" s="56"/>
      <c r="AVF6" s="57"/>
      <c r="AVG6" s="57"/>
      <c r="AVH6" s="57"/>
      <c r="AVI6" s="57"/>
      <c r="AVJ6" s="57"/>
      <c r="AVK6" s="56"/>
      <c r="AVL6" s="57"/>
      <c r="AVM6" s="57"/>
      <c r="AVN6" s="56"/>
      <c r="AVO6" s="57"/>
      <c r="AVP6" s="58"/>
      <c r="AVQ6" s="56"/>
      <c r="AVR6" s="57"/>
      <c r="AVS6" s="57"/>
      <c r="AVT6" s="57"/>
      <c r="AVU6" s="56"/>
      <c r="AVV6" s="57"/>
      <c r="AVW6" s="57"/>
      <c r="AVX6" s="56"/>
      <c r="AVY6" s="57"/>
      <c r="AVZ6" s="58"/>
      <c r="AWA6" s="56"/>
      <c r="AWB6" s="57"/>
      <c r="AWC6" s="57"/>
      <c r="AWD6" s="57"/>
      <c r="AWE6" s="56"/>
      <c r="AWF6" s="57"/>
      <c r="AWG6" s="57"/>
      <c r="AWH6" s="57"/>
      <c r="AWI6" s="57"/>
      <c r="AWJ6" s="57"/>
      <c r="AWK6" s="56"/>
      <c r="AWL6" s="57"/>
      <c r="AWM6" s="57"/>
      <c r="AWN6" s="56"/>
      <c r="AWO6" s="57"/>
      <c r="AWP6" s="58"/>
      <c r="AWQ6" s="56"/>
      <c r="AWR6" s="57"/>
      <c r="AWS6" s="57"/>
      <c r="AWT6" s="57"/>
      <c r="AWU6" s="56"/>
      <c r="AWV6" s="57"/>
      <c r="AWW6" s="57"/>
      <c r="AWX6" s="56"/>
      <c r="AWY6" s="57"/>
      <c r="AWZ6" s="58"/>
      <c r="AXA6" s="56"/>
      <c r="AXB6" s="57"/>
      <c r="AXC6" s="57"/>
      <c r="AXD6" s="57"/>
      <c r="AXE6" s="56"/>
      <c r="AXF6" s="57"/>
      <c r="AXG6" s="57"/>
      <c r="AXH6" s="57"/>
      <c r="AXI6" s="57"/>
      <c r="AXJ6" s="57"/>
      <c r="AXK6" s="56"/>
      <c r="AXL6" s="57"/>
      <c r="AXM6" s="57"/>
      <c r="AXN6" s="56"/>
      <c r="AXO6" s="57"/>
      <c r="AXP6" s="58"/>
      <c r="AXQ6" s="56"/>
      <c r="AXR6" s="57"/>
      <c r="AXS6" s="57"/>
      <c r="AXT6" s="57"/>
      <c r="AXU6" s="56"/>
      <c r="AXV6" s="57"/>
      <c r="AXW6" s="57"/>
      <c r="AXX6" s="56"/>
      <c r="AXY6" s="57"/>
      <c r="AXZ6" s="58"/>
      <c r="AYA6" s="56"/>
      <c r="AYB6" s="57"/>
      <c r="AYC6" s="57"/>
      <c r="AYD6" s="57"/>
      <c r="AYE6" s="56"/>
      <c r="AYF6" s="57"/>
      <c r="AYG6" s="57"/>
      <c r="AYH6" s="57"/>
      <c r="AYI6" s="57"/>
      <c r="AYJ6" s="57"/>
      <c r="AYK6" s="56"/>
      <c r="AYL6" s="57"/>
      <c r="AYM6" s="57"/>
      <c r="AYN6" s="56"/>
      <c r="AYO6" s="57"/>
      <c r="AYP6" s="58"/>
      <c r="AYQ6" s="56"/>
      <c r="AYR6" s="57"/>
      <c r="AYS6" s="57"/>
      <c r="AYT6" s="57"/>
      <c r="AYU6" s="56"/>
      <c r="AYV6" s="57"/>
      <c r="AYW6" s="57"/>
      <c r="AYX6" s="56"/>
      <c r="AYY6" s="57"/>
      <c r="AYZ6" s="58"/>
      <c r="AZA6" s="56"/>
      <c r="AZB6" s="57"/>
      <c r="AZC6" s="57"/>
      <c r="AZD6" s="57"/>
      <c r="AZE6" s="56"/>
      <c r="AZF6" s="57"/>
      <c r="AZG6" s="57"/>
      <c r="AZH6" s="57"/>
      <c r="AZI6" s="57"/>
      <c r="AZJ6" s="57"/>
      <c r="AZK6" s="56"/>
      <c r="AZL6" s="57"/>
      <c r="AZM6" s="57"/>
      <c r="AZN6" s="56"/>
      <c r="AZO6" s="57"/>
      <c r="AZP6" s="58"/>
      <c r="AZQ6" s="56"/>
      <c r="AZR6" s="57"/>
      <c r="AZS6" s="57"/>
      <c r="AZT6" s="57"/>
      <c r="AZU6" s="56"/>
      <c r="AZV6" s="57"/>
      <c r="AZW6" s="57"/>
      <c r="AZX6" s="56"/>
      <c r="AZY6" s="57"/>
      <c r="AZZ6" s="58"/>
      <c r="BAA6" s="56"/>
      <c r="BAB6" s="57"/>
      <c r="BAC6" s="57"/>
      <c r="BAD6" s="57"/>
      <c r="BAE6" s="56"/>
      <c r="BAF6" s="57"/>
      <c r="BAG6" s="57"/>
      <c r="BAH6" s="57"/>
      <c r="BAI6" s="57"/>
      <c r="BAJ6" s="57"/>
      <c r="BAK6" s="56"/>
      <c r="BAL6" s="57"/>
      <c r="BAM6" s="57"/>
      <c r="BAN6" s="56"/>
      <c r="BAO6" s="57"/>
      <c r="BAP6" s="58"/>
      <c r="BAQ6" s="56"/>
      <c r="BAR6" s="57"/>
      <c r="BAS6" s="57"/>
      <c r="BAT6" s="57"/>
      <c r="BAU6" s="56"/>
      <c r="BAV6" s="57"/>
      <c r="BAW6" s="57"/>
      <c r="BAX6" s="56"/>
      <c r="BAY6" s="57"/>
      <c r="BAZ6" s="58"/>
      <c r="BBA6" s="56"/>
      <c r="BBB6" s="57"/>
      <c r="BBC6" s="57"/>
      <c r="BBD6" s="57"/>
      <c r="BBE6" s="56"/>
      <c r="BBF6" s="57"/>
      <c r="BBG6" s="57"/>
      <c r="BBH6" s="57"/>
      <c r="BBI6" s="57"/>
      <c r="BBJ6" s="57"/>
      <c r="BBK6" s="56"/>
      <c r="BBL6" s="57"/>
      <c r="BBM6" s="57"/>
      <c r="BBN6" s="56"/>
      <c r="BBO6" s="57"/>
      <c r="BBP6" s="58"/>
      <c r="BBQ6" s="56"/>
      <c r="BBR6" s="57"/>
      <c r="BBS6" s="57"/>
      <c r="BBT6" s="57"/>
      <c r="BBU6" s="56"/>
      <c r="BBV6" s="57"/>
      <c r="BBW6" s="57"/>
      <c r="BBX6" s="56"/>
      <c r="BBY6" s="57"/>
      <c r="BBZ6" s="58"/>
      <c r="BCA6" s="56"/>
      <c r="BCB6" s="57"/>
      <c r="BCC6" s="57"/>
      <c r="BCD6" s="57"/>
      <c r="BCE6" s="56"/>
      <c r="BCF6" s="57"/>
      <c r="BCG6" s="57"/>
      <c r="BCH6" s="57"/>
      <c r="BCI6" s="57"/>
      <c r="BCJ6" s="57"/>
      <c r="BCK6" s="56"/>
      <c r="BCL6" s="57"/>
      <c r="BCM6" s="57"/>
      <c r="BCN6" s="56"/>
      <c r="BCO6" s="57"/>
      <c r="BCP6" s="58"/>
      <c r="BCQ6" s="56"/>
      <c r="BCR6" s="57"/>
      <c r="BCS6" s="57"/>
      <c r="BCT6" s="57"/>
      <c r="BCU6" s="56"/>
      <c r="BCV6" s="57"/>
      <c r="BCW6" s="57"/>
      <c r="BCX6" s="56"/>
      <c r="BCY6" s="57"/>
      <c r="BCZ6" s="58"/>
      <c r="BDA6" s="56"/>
      <c r="BDB6" s="57"/>
      <c r="BDC6" s="57"/>
      <c r="BDD6" s="57"/>
      <c r="BDE6" s="56"/>
      <c r="BDF6" s="57"/>
      <c r="BDG6" s="57"/>
      <c r="BDH6" s="57"/>
      <c r="BDI6" s="57"/>
      <c r="BDJ6" s="57"/>
      <c r="BDK6" s="56"/>
      <c r="BDL6" s="57"/>
      <c r="BDM6" s="57"/>
      <c r="BDN6" s="56"/>
      <c r="BDO6" s="57"/>
      <c r="BDP6" s="58"/>
      <c r="BDQ6" s="56"/>
      <c r="BDR6" s="57"/>
      <c r="BDS6" s="57"/>
      <c r="BDT6" s="57"/>
      <c r="BDU6" s="56"/>
      <c r="BDV6" s="57"/>
      <c r="BDW6" s="57"/>
      <c r="BDX6" s="56"/>
      <c r="BDY6" s="57"/>
      <c r="BDZ6" s="58"/>
      <c r="BEA6" s="56"/>
      <c r="BEB6" s="57"/>
      <c r="BEC6" s="57"/>
      <c r="BED6" s="57"/>
      <c r="BEE6" s="56"/>
      <c r="BEF6" s="57"/>
      <c r="BEG6" s="57"/>
      <c r="BEH6" s="57"/>
      <c r="BEI6" s="57"/>
      <c r="BEJ6" s="57"/>
      <c r="BEK6" s="56"/>
      <c r="BEL6" s="57"/>
      <c r="BEM6" s="57"/>
      <c r="BEN6" s="56"/>
      <c r="BEO6" s="57"/>
      <c r="BEP6" s="58"/>
      <c r="BEQ6" s="56"/>
      <c r="BER6" s="57"/>
      <c r="BES6" s="57"/>
      <c r="BET6" s="57"/>
      <c r="BEU6" s="56"/>
      <c r="BEV6" s="57"/>
      <c r="BEW6" s="57"/>
      <c r="BEX6" s="56"/>
      <c r="BEY6" s="57"/>
      <c r="BEZ6" s="58"/>
      <c r="BFA6" s="56"/>
      <c r="BFB6" s="57"/>
      <c r="BFC6" s="57"/>
      <c r="BFD6" s="57"/>
      <c r="BFE6" s="56"/>
      <c r="BFF6" s="57"/>
      <c r="BFG6" s="57"/>
      <c r="BFH6" s="57"/>
      <c r="BFI6" s="57"/>
      <c r="BFJ6" s="57"/>
      <c r="BFK6" s="56"/>
      <c r="BFL6" s="57"/>
      <c r="BFM6" s="57"/>
      <c r="BFN6" s="56"/>
      <c r="BFO6" s="57"/>
      <c r="BFP6" s="58"/>
      <c r="BFQ6" s="56"/>
      <c r="BFR6" s="57"/>
      <c r="BFS6" s="57"/>
      <c r="BFT6" s="57"/>
      <c r="BFU6" s="56"/>
      <c r="BFV6" s="57"/>
      <c r="BFW6" s="57"/>
      <c r="BFX6" s="56"/>
      <c r="BFY6" s="57"/>
      <c r="BFZ6" s="58"/>
      <c r="BGA6" s="56"/>
      <c r="BGB6" s="57"/>
      <c r="BGC6" s="57"/>
      <c r="BGD6" s="57"/>
      <c r="BGE6" s="56"/>
      <c r="BGF6" s="57"/>
      <c r="BGG6" s="57"/>
      <c r="BGH6" s="57"/>
      <c r="BGI6" s="57"/>
      <c r="BGJ6" s="57"/>
      <c r="BGK6" s="56"/>
      <c r="BGL6" s="57"/>
      <c r="BGM6" s="57"/>
      <c r="BGN6" s="56"/>
      <c r="BGO6" s="57"/>
      <c r="BGP6" s="58"/>
      <c r="BGQ6" s="56"/>
      <c r="BGR6" s="57"/>
      <c r="BGS6" s="57"/>
      <c r="BGT6" s="57"/>
      <c r="BGU6" s="56"/>
      <c r="BGV6" s="57"/>
      <c r="BGW6" s="57"/>
      <c r="BGX6" s="56"/>
      <c r="BGY6" s="57"/>
      <c r="BGZ6" s="58"/>
      <c r="BHA6" s="56"/>
      <c r="BHB6" s="57"/>
      <c r="BHC6" s="57"/>
      <c r="BHD6" s="57"/>
      <c r="BHE6" s="56"/>
      <c r="BHF6" s="57"/>
      <c r="BHG6" s="57"/>
      <c r="BHH6" s="57"/>
      <c r="BHI6" s="57"/>
      <c r="BHJ6" s="57"/>
      <c r="BHK6" s="56"/>
      <c r="BHL6" s="57"/>
      <c r="BHM6" s="57"/>
      <c r="BHN6" s="56"/>
      <c r="BHO6" s="57"/>
      <c r="BHP6" s="58"/>
      <c r="BHQ6" s="56"/>
      <c r="BHR6" s="57"/>
      <c r="BHS6" s="57"/>
      <c r="BHT6" s="57"/>
      <c r="BHU6" s="56"/>
      <c r="BHV6" s="57"/>
      <c r="BHW6" s="57"/>
      <c r="BHX6" s="56"/>
      <c r="BHY6" s="57"/>
      <c r="BHZ6" s="58"/>
      <c r="BIA6" s="56"/>
      <c r="BIB6" s="57"/>
      <c r="BIC6" s="57"/>
      <c r="BID6" s="57"/>
      <c r="BIE6" s="56"/>
      <c r="BIF6" s="57"/>
      <c r="BIG6" s="57"/>
      <c r="BIH6" s="57"/>
      <c r="BII6" s="57"/>
      <c r="BIJ6" s="57"/>
      <c r="BIK6" s="56"/>
      <c r="BIL6" s="57"/>
      <c r="BIM6" s="57"/>
      <c r="BIN6" s="56"/>
      <c r="BIO6" s="57"/>
      <c r="BIP6" s="58"/>
      <c r="BIQ6" s="56"/>
      <c r="BIR6" s="57"/>
      <c r="BIS6" s="57"/>
      <c r="BIT6" s="57"/>
      <c r="BIU6" s="56"/>
      <c r="BIV6" s="57"/>
      <c r="BIW6" s="57"/>
      <c r="BIX6" s="56"/>
      <c r="BIY6" s="57"/>
      <c r="BIZ6" s="58"/>
      <c r="BJA6" s="56"/>
      <c r="BJB6" s="57"/>
      <c r="BJC6" s="57"/>
      <c r="BJD6" s="57"/>
      <c r="BJE6" s="56"/>
      <c r="BJF6" s="57"/>
      <c r="BJG6" s="57"/>
      <c r="BJH6" s="57"/>
      <c r="BJI6" s="57"/>
      <c r="BJJ6" s="57"/>
      <c r="BJK6" s="56"/>
      <c r="BJL6" s="57"/>
      <c r="BJM6" s="57"/>
      <c r="BJN6" s="56"/>
      <c r="BJO6" s="57"/>
      <c r="BJP6" s="58"/>
      <c r="BJQ6" s="56"/>
      <c r="BJR6" s="57"/>
      <c r="BJS6" s="57"/>
      <c r="BJT6" s="57"/>
      <c r="BJU6" s="56"/>
      <c r="BJV6" s="57"/>
      <c r="BJW6" s="57"/>
      <c r="BJX6" s="56"/>
      <c r="BJY6" s="57"/>
      <c r="BJZ6" s="58"/>
      <c r="BKA6" s="56"/>
      <c r="BKB6" s="57"/>
      <c r="BKC6" s="57"/>
      <c r="BKD6" s="57"/>
      <c r="BKE6" s="56"/>
      <c r="BKF6" s="57"/>
      <c r="BKG6" s="57"/>
      <c r="BKH6" s="57"/>
      <c r="BKI6" s="57"/>
      <c r="BKJ6" s="57"/>
      <c r="BKK6" s="56"/>
      <c r="BKL6" s="57"/>
      <c r="BKM6" s="57"/>
      <c r="BKN6" s="56"/>
      <c r="BKO6" s="57"/>
      <c r="BKP6" s="58"/>
      <c r="BKQ6" s="56"/>
      <c r="BKR6" s="57"/>
      <c r="BKS6" s="57"/>
      <c r="BKT6" s="57"/>
      <c r="BKU6" s="56"/>
      <c r="BKV6" s="57"/>
      <c r="BKW6" s="57"/>
      <c r="BKX6" s="56"/>
      <c r="BKY6" s="57"/>
      <c r="BKZ6" s="58"/>
      <c r="BLA6" s="56"/>
      <c r="BLB6" s="57"/>
      <c r="BLC6" s="57"/>
      <c r="BLD6" s="57"/>
      <c r="BLE6" s="56"/>
      <c r="BLF6" s="57"/>
      <c r="BLG6" s="57"/>
      <c r="BLH6" s="57"/>
      <c r="BLI6" s="57"/>
      <c r="BLJ6" s="57"/>
      <c r="BLK6" s="56"/>
      <c r="BLL6" s="57"/>
      <c r="BLM6" s="57"/>
      <c r="BLN6" s="56"/>
      <c r="BLO6" s="57"/>
      <c r="BLP6" s="58"/>
      <c r="BLQ6" s="56"/>
      <c r="BLR6" s="57"/>
      <c r="BLS6" s="57"/>
      <c r="BLT6" s="57"/>
      <c r="BLU6" s="56"/>
      <c r="BLV6" s="57"/>
      <c r="BLW6" s="57"/>
      <c r="BLX6" s="56"/>
      <c r="BLY6" s="57"/>
      <c r="BLZ6" s="58"/>
      <c r="BMA6" s="56"/>
      <c r="BMB6" s="57"/>
      <c r="BMC6" s="57"/>
      <c r="BMD6" s="57"/>
      <c r="BME6" s="56"/>
      <c r="BMF6" s="57"/>
      <c r="BMG6" s="57"/>
      <c r="BMH6" s="57"/>
      <c r="BMI6" s="57"/>
      <c r="BMJ6" s="57"/>
      <c r="BMK6" s="56"/>
      <c r="BML6" s="57"/>
      <c r="BMM6" s="57"/>
      <c r="BMN6" s="56"/>
      <c r="BMO6" s="57"/>
      <c r="BMP6" s="58"/>
      <c r="BMQ6" s="56"/>
      <c r="BMR6" s="57"/>
      <c r="BMS6" s="57"/>
      <c r="BMT6" s="57"/>
      <c r="BMU6" s="56"/>
      <c r="BMV6" s="57"/>
      <c r="BMW6" s="57"/>
      <c r="BMX6" s="56"/>
      <c r="BMY6" s="57"/>
      <c r="BMZ6" s="58"/>
      <c r="BNA6" s="56"/>
      <c r="BNB6" s="57"/>
      <c r="BNC6" s="57"/>
      <c r="BND6" s="57"/>
      <c r="BNE6" s="56"/>
      <c r="BNF6" s="57"/>
      <c r="BNG6" s="57"/>
      <c r="BNH6" s="57"/>
      <c r="BNI6" s="57"/>
      <c r="BNJ6" s="57"/>
      <c r="BNK6" s="56"/>
      <c r="BNL6" s="57"/>
      <c r="BNM6" s="57"/>
      <c r="BNN6" s="56"/>
      <c r="BNO6" s="57"/>
      <c r="BNP6" s="58"/>
      <c r="BNQ6" s="56"/>
      <c r="BNR6" s="57"/>
      <c r="BNS6" s="57"/>
      <c r="BNT6" s="57"/>
      <c r="BNU6" s="56"/>
      <c r="BNV6" s="57"/>
      <c r="BNW6" s="57"/>
      <c r="BNX6" s="56"/>
      <c r="BNY6" s="57"/>
      <c r="BNZ6" s="58"/>
      <c r="BOA6" s="56"/>
      <c r="BOB6" s="57"/>
      <c r="BOC6" s="57"/>
      <c r="BOD6" s="57"/>
      <c r="BOE6" s="56"/>
      <c r="BOF6" s="57"/>
      <c r="BOG6" s="57"/>
      <c r="BOH6" s="57"/>
      <c r="BOI6" s="57"/>
      <c r="BOJ6" s="57"/>
      <c r="BOK6" s="56"/>
      <c r="BOL6" s="57"/>
      <c r="BOM6" s="57"/>
      <c r="BON6" s="56"/>
      <c r="BOO6" s="57"/>
      <c r="BOP6" s="58"/>
      <c r="BOQ6" s="56"/>
      <c r="BOR6" s="57"/>
      <c r="BOS6" s="57"/>
      <c r="BOT6" s="57"/>
      <c r="BOU6" s="56"/>
      <c r="BOV6" s="57"/>
      <c r="BOW6" s="57"/>
      <c r="BOX6" s="56"/>
      <c r="BOY6" s="57"/>
      <c r="BOZ6" s="58"/>
      <c r="BPA6" s="56"/>
      <c r="BPB6" s="57"/>
      <c r="BPC6" s="57"/>
      <c r="BPD6" s="57"/>
      <c r="BPE6" s="56"/>
      <c r="BPF6" s="57"/>
      <c r="BPG6" s="57"/>
      <c r="BPH6" s="57"/>
      <c r="BPI6" s="57"/>
      <c r="BPJ6" s="57"/>
      <c r="BPK6" s="56"/>
      <c r="BPL6" s="57"/>
      <c r="BPM6" s="57"/>
      <c r="BPN6" s="56"/>
      <c r="BPO6" s="57"/>
      <c r="BPP6" s="58"/>
      <c r="BPQ6" s="56"/>
      <c r="BPR6" s="57"/>
      <c r="BPS6" s="57"/>
      <c r="BPT6" s="57"/>
      <c r="BPU6" s="56"/>
      <c r="BPV6" s="57"/>
      <c r="BPW6" s="57"/>
      <c r="BPX6" s="56"/>
      <c r="BPY6" s="57"/>
      <c r="BPZ6" s="58"/>
      <c r="BQA6" s="56"/>
      <c r="BQB6" s="57"/>
      <c r="BQC6" s="57"/>
      <c r="BQD6" s="57"/>
      <c r="BQE6" s="56"/>
      <c r="BQF6" s="57"/>
      <c r="BQG6" s="57"/>
      <c r="BQH6" s="57"/>
      <c r="BQI6" s="57"/>
      <c r="BQJ6" s="57"/>
      <c r="BQK6" s="56"/>
      <c r="BQL6" s="57"/>
      <c r="BQM6" s="57"/>
      <c r="BQN6" s="56"/>
      <c r="BQO6" s="57"/>
      <c r="BQP6" s="58"/>
      <c r="BQQ6" s="56"/>
      <c r="BQR6" s="57"/>
      <c r="BQS6" s="57"/>
      <c r="BQT6" s="57"/>
      <c r="BQU6" s="56"/>
      <c r="BQV6" s="57"/>
      <c r="BQW6" s="57"/>
      <c r="BQX6" s="56"/>
      <c r="BQY6" s="57"/>
      <c r="BQZ6" s="58"/>
      <c r="BRA6" s="56"/>
      <c r="BRB6" s="57"/>
      <c r="BRC6" s="57"/>
      <c r="BRD6" s="57"/>
      <c r="BRE6" s="56"/>
      <c r="BRF6" s="57"/>
      <c r="BRG6" s="57"/>
      <c r="BRH6" s="57"/>
      <c r="BRI6" s="57"/>
      <c r="BRJ6" s="57"/>
      <c r="BRK6" s="56"/>
      <c r="BRL6" s="57"/>
      <c r="BRM6" s="57"/>
      <c r="BRN6" s="56"/>
      <c r="BRO6" s="57"/>
      <c r="BRP6" s="58"/>
      <c r="BRQ6" s="56"/>
      <c r="BRR6" s="57"/>
      <c r="BRS6" s="57"/>
      <c r="BRT6" s="57"/>
      <c r="BRU6" s="56"/>
      <c r="BRV6" s="57"/>
      <c r="BRW6" s="57"/>
      <c r="BRX6" s="56"/>
      <c r="BRY6" s="57"/>
      <c r="BRZ6" s="58"/>
      <c r="BSA6" s="56"/>
      <c r="BSB6" s="57"/>
      <c r="BSC6" s="57"/>
      <c r="BSD6" s="57"/>
      <c r="BSE6" s="56"/>
      <c r="BSF6" s="57"/>
      <c r="BSG6" s="57"/>
      <c r="BSH6" s="57"/>
      <c r="BSI6" s="57"/>
      <c r="BSJ6" s="57"/>
      <c r="BSK6" s="56"/>
      <c r="BSL6" s="57"/>
      <c r="BSM6" s="57"/>
      <c r="BSN6" s="56"/>
      <c r="BSO6" s="57"/>
      <c r="BSP6" s="58"/>
      <c r="BSQ6" s="56"/>
      <c r="BSR6" s="57"/>
      <c r="BSS6" s="57"/>
      <c r="BST6" s="57"/>
      <c r="BSU6" s="56"/>
      <c r="BSV6" s="57"/>
      <c r="BSW6" s="57"/>
      <c r="BSX6" s="56"/>
      <c r="BSY6" s="57"/>
      <c r="BSZ6" s="58"/>
      <c r="BTA6" s="56"/>
      <c r="BTB6" s="57"/>
      <c r="BTC6" s="57"/>
      <c r="BTD6" s="57"/>
      <c r="BTE6" s="56"/>
      <c r="BTF6" s="57"/>
      <c r="BTG6" s="57"/>
      <c r="BTH6" s="57"/>
      <c r="BTI6" s="57"/>
      <c r="BTJ6" s="57"/>
      <c r="BTK6" s="56"/>
      <c r="BTL6" s="57"/>
      <c r="BTM6" s="57"/>
      <c r="BTN6" s="56"/>
      <c r="BTO6" s="57"/>
      <c r="BTP6" s="58"/>
      <c r="BTQ6" s="56"/>
      <c r="BTR6" s="57"/>
      <c r="BTS6" s="57"/>
      <c r="BTT6" s="57"/>
      <c r="BTU6" s="56"/>
      <c r="BTV6" s="57"/>
      <c r="BTW6" s="57"/>
      <c r="BTX6" s="56"/>
      <c r="BTY6" s="57"/>
      <c r="BTZ6" s="58"/>
      <c r="BUA6" s="56"/>
      <c r="BUB6" s="57"/>
      <c r="BUC6" s="57"/>
      <c r="BUD6" s="57"/>
      <c r="BUE6" s="56"/>
      <c r="BUF6" s="57"/>
      <c r="BUG6" s="57"/>
      <c r="BUH6" s="57"/>
      <c r="BUI6" s="57"/>
      <c r="BUJ6" s="57"/>
      <c r="BUK6" s="56"/>
      <c r="BUL6" s="57"/>
      <c r="BUM6" s="57"/>
      <c r="BUN6" s="56"/>
      <c r="BUO6" s="57"/>
      <c r="BUP6" s="58"/>
      <c r="BUQ6" s="56"/>
      <c r="BUR6" s="57"/>
      <c r="BUS6" s="57"/>
      <c r="BUT6" s="57"/>
      <c r="BUU6" s="56"/>
      <c r="BUV6" s="57"/>
      <c r="BUW6" s="57"/>
      <c r="BUX6" s="56"/>
      <c r="BUY6" s="57"/>
      <c r="BUZ6" s="58"/>
      <c r="BVA6" s="56"/>
      <c r="BVB6" s="57"/>
      <c r="BVC6" s="57"/>
      <c r="BVD6" s="57"/>
      <c r="BVE6" s="56"/>
      <c r="BVF6" s="57"/>
      <c r="BVG6" s="57"/>
      <c r="BVH6" s="57"/>
      <c r="BVI6" s="57"/>
      <c r="BVJ6" s="57"/>
      <c r="BVK6" s="56"/>
      <c r="BVL6" s="57"/>
      <c r="BVM6" s="57"/>
      <c r="BVN6" s="56"/>
      <c r="BVO6" s="57"/>
      <c r="BVP6" s="58"/>
      <c r="BVQ6" s="56"/>
      <c r="BVR6" s="57"/>
      <c r="BVS6" s="57"/>
      <c r="BVT6" s="57"/>
      <c r="BVU6" s="56"/>
      <c r="BVV6" s="57"/>
      <c r="BVW6" s="57"/>
      <c r="BVX6" s="56"/>
      <c r="BVY6" s="57"/>
      <c r="BVZ6" s="58"/>
      <c r="BWA6" s="56"/>
      <c r="BWB6" s="57"/>
      <c r="BWC6" s="57"/>
      <c r="BWD6" s="57"/>
      <c r="BWE6" s="56"/>
      <c r="BWF6" s="57"/>
      <c r="BWG6" s="57"/>
      <c r="BWH6" s="57"/>
      <c r="BWI6" s="57"/>
      <c r="BWJ6" s="57"/>
      <c r="BWK6" s="56"/>
      <c r="BWL6" s="57"/>
      <c r="BWM6" s="57"/>
      <c r="BWN6" s="56"/>
      <c r="BWO6" s="57"/>
      <c r="BWP6" s="58"/>
      <c r="BWQ6" s="56"/>
      <c r="BWR6" s="57"/>
      <c r="BWS6" s="57"/>
      <c r="BWT6" s="57"/>
      <c r="BWU6" s="56"/>
      <c r="BWV6" s="57"/>
      <c r="BWW6" s="57"/>
      <c r="BWX6" s="56"/>
      <c r="BWY6" s="57"/>
      <c r="BWZ6" s="58"/>
      <c r="BXA6" s="56"/>
      <c r="BXB6" s="57"/>
      <c r="BXC6" s="57"/>
      <c r="BXD6" s="57"/>
      <c r="BXE6" s="56"/>
      <c r="BXF6" s="57"/>
      <c r="BXG6" s="57"/>
      <c r="BXH6" s="57"/>
      <c r="BXI6" s="57"/>
      <c r="BXJ6" s="57"/>
      <c r="BXK6" s="56"/>
      <c r="BXL6" s="57"/>
      <c r="BXM6" s="57"/>
      <c r="BXN6" s="56"/>
      <c r="BXO6" s="57"/>
      <c r="BXP6" s="58"/>
      <c r="BXQ6" s="56"/>
      <c r="BXR6" s="57"/>
      <c r="BXS6" s="57"/>
      <c r="BXT6" s="57"/>
      <c r="BXU6" s="56"/>
      <c r="BXV6" s="57"/>
      <c r="BXW6" s="57"/>
      <c r="BXX6" s="56"/>
      <c r="BXY6" s="57"/>
      <c r="BXZ6" s="58"/>
      <c r="BYA6" s="56"/>
      <c r="BYB6" s="57"/>
      <c r="BYC6" s="57"/>
      <c r="BYD6" s="57"/>
      <c r="BYE6" s="56"/>
      <c r="BYF6" s="57"/>
      <c r="BYG6" s="57"/>
      <c r="BYH6" s="57"/>
      <c r="BYI6" s="57"/>
      <c r="BYJ6" s="57"/>
      <c r="BYK6" s="56"/>
      <c r="BYL6" s="57"/>
      <c r="BYM6" s="57"/>
      <c r="BYN6" s="56"/>
      <c r="BYO6" s="57"/>
      <c r="BYP6" s="58"/>
      <c r="BYQ6" s="56"/>
      <c r="BYR6" s="57"/>
      <c r="BYS6" s="57"/>
      <c r="BYT6" s="57"/>
      <c r="BYU6" s="56"/>
      <c r="BYV6" s="57"/>
      <c r="BYW6" s="57"/>
      <c r="BYX6" s="58"/>
      <c r="BYY6" s="57"/>
      <c r="BYZ6" s="56"/>
      <c r="BZA6" s="57"/>
      <c r="BZB6" s="56"/>
      <c r="BZC6" s="56"/>
      <c r="BZD6" s="56"/>
      <c r="BZE6" s="57"/>
      <c r="BZF6" s="386"/>
      <c r="BZG6" s="57"/>
      <c r="BZH6" s="386"/>
      <c r="BZI6" s="57"/>
      <c r="BZJ6" s="386"/>
      <c r="BZK6" s="57"/>
      <c r="BZL6" s="57"/>
      <c r="BZM6" s="57"/>
      <c r="BZN6" s="57"/>
      <c r="BZO6" s="57"/>
      <c r="BZP6" s="57"/>
      <c r="BZQ6" s="57"/>
      <c r="BZR6" s="57"/>
      <c r="BZS6" s="57"/>
      <c r="BZT6" s="57"/>
      <c r="BZU6" s="57"/>
      <c r="BZV6" s="57"/>
      <c r="BZW6" s="57"/>
      <c r="BZX6" s="57"/>
      <c r="BZY6" s="57"/>
      <c r="BZZ6" s="57"/>
      <c r="CAA6" s="57"/>
      <c r="CAB6" s="57"/>
      <c r="CAC6" s="57"/>
      <c r="CAD6" s="57"/>
      <c r="CAE6" s="57"/>
      <c r="CAF6" s="57"/>
      <c r="CAG6" s="57"/>
      <c r="CAH6" s="57"/>
      <c r="CAI6" s="57"/>
      <c r="CAJ6" s="57"/>
      <c r="CAK6" s="57"/>
      <c r="CAL6" s="57"/>
      <c r="CAM6" s="57"/>
      <c r="CAN6" s="57"/>
      <c r="CAO6" s="57"/>
      <c r="CAP6" s="58"/>
      <c r="CAQ6" s="56"/>
      <c r="CAR6" s="57"/>
      <c r="CAS6" s="57"/>
      <c r="CAT6" s="57"/>
      <c r="CAU6" s="57"/>
      <c r="CAV6" s="57"/>
      <c r="CAW6" s="56"/>
      <c r="CAX6" s="57"/>
      <c r="CAY6" s="57"/>
      <c r="CAZ6" s="56"/>
      <c r="CBA6" s="57"/>
      <c r="CBB6" s="58"/>
      <c r="CBC6" s="56"/>
      <c r="CBD6" s="57"/>
      <c r="CBE6" s="57"/>
      <c r="CBF6" s="57"/>
      <c r="CBG6" s="56"/>
      <c r="CBH6" s="57"/>
      <c r="CBI6" s="57"/>
      <c r="CBJ6" s="56"/>
      <c r="CBK6" s="57"/>
      <c r="CBL6" s="58"/>
      <c r="CBM6" s="56"/>
      <c r="CBN6" s="57"/>
      <c r="CBO6" s="57"/>
      <c r="CBP6" s="57"/>
      <c r="CBQ6" s="56"/>
      <c r="CBR6" s="57"/>
      <c r="CBS6" s="57"/>
      <c r="CBT6" s="56"/>
      <c r="CBU6" s="57"/>
      <c r="CBV6" s="58"/>
      <c r="CBW6" s="56"/>
      <c r="CBX6" s="57"/>
      <c r="CBY6" s="57"/>
      <c r="CBZ6" s="57"/>
      <c r="CCA6" s="56"/>
      <c r="CCB6" s="57"/>
      <c r="CCC6" s="57"/>
      <c r="CCD6" s="56"/>
      <c r="CCE6" s="57"/>
      <c r="CCF6" s="58"/>
      <c r="CCG6" s="56"/>
      <c r="CCH6" s="58"/>
      <c r="CCI6" s="57"/>
      <c r="CCJ6" s="56"/>
      <c r="CCK6" s="57"/>
      <c r="CCL6" s="56"/>
      <c r="CCM6" s="56"/>
      <c r="CCN6" s="56"/>
      <c r="CCO6" s="57"/>
      <c r="CCP6" s="386"/>
      <c r="CCQ6" s="57"/>
      <c r="CCR6" s="386"/>
      <c r="CCS6" s="57"/>
      <c r="CCT6" s="386"/>
      <c r="CCU6" s="57"/>
      <c r="CCV6" s="57"/>
      <c r="CCW6" s="57"/>
      <c r="CCX6" s="57"/>
      <c r="CCY6" s="57"/>
      <c r="CCZ6" s="57"/>
      <c r="CDA6" s="57"/>
      <c r="CDB6" s="57"/>
      <c r="CDC6" s="57"/>
      <c r="CDD6" s="57"/>
      <c r="CDE6" s="57"/>
      <c r="CDF6" s="57"/>
      <c r="CDG6" s="57"/>
      <c r="CDH6" s="57"/>
      <c r="CDI6" s="57"/>
      <c r="CDJ6" s="57"/>
      <c r="CDK6" s="57"/>
      <c r="CDL6" s="57"/>
      <c r="CDM6" s="57"/>
      <c r="CDN6" s="57"/>
      <c r="CDO6" s="57"/>
      <c r="CDP6" s="57"/>
      <c r="CDQ6" s="57"/>
      <c r="CDR6" s="57"/>
      <c r="CDS6" s="57"/>
      <c r="CDT6" s="57"/>
      <c r="CDU6" s="57"/>
      <c r="CDV6" s="57"/>
      <c r="CDW6" s="57"/>
      <c r="CDX6" s="57"/>
      <c r="CDY6" s="57"/>
      <c r="CDZ6" s="58"/>
      <c r="CEA6" s="56"/>
      <c r="CEB6" s="57"/>
      <c r="CEC6" s="57"/>
      <c r="CED6" s="57"/>
      <c r="CEE6" s="57"/>
      <c r="CEF6" s="57"/>
      <c r="CEG6" s="56"/>
      <c r="CEH6" s="57"/>
      <c r="CEI6" s="57"/>
      <c r="CEJ6" s="56"/>
      <c r="CEK6" s="57"/>
      <c r="CEL6" s="58"/>
      <c r="CEM6" s="56"/>
      <c r="CEN6" s="57"/>
      <c r="CEO6" s="57"/>
      <c r="CEP6" s="57"/>
      <c r="CEQ6" s="56"/>
      <c r="CER6" s="57"/>
      <c r="CES6" s="57"/>
      <c r="CET6" s="56"/>
      <c r="CEU6" s="57"/>
      <c r="CEV6" s="58"/>
      <c r="CEW6" s="56"/>
      <c r="CEX6" s="57"/>
      <c r="CEY6" s="57"/>
      <c r="CEZ6" s="57"/>
      <c r="CFA6" s="56"/>
      <c r="CFB6" s="57"/>
      <c r="CFC6" s="57"/>
      <c r="CFD6" s="56"/>
      <c r="CFE6" s="57"/>
      <c r="CFF6" s="58"/>
      <c r="CFG6" s="56"/>
      <c r="CFH6" s="57"/>
      <c r="CFI6" s="57"/>
      <c r="CFJ6" s="57"/>
      <c r="CFK6" s="56"/>
      <c r="CFL6" s="57"/>
      <c r="CFM6" s="57"/>
      <c r="CFN6" s="56"/>
      <c r="CFO6" s="57"/>
      <c r="CFP6" s="58"/>
      <c r="CFQ6" s="56"/>
      <c r="CFR6" s="58"/>
      <c r="CFS6" s="57"/>
      <c r="CFT6" s="56"/>
      <c r="CFU6" s="57"/>
      <c r="CFV6" s="56"/>
      <c r="CFW6" s="56"/>
      <c r="CFX6" s="56"/>
      <c r="CFY6" s="57"/>
      <c r="CFZ6" s="386"/>
      <c r="CGA6" s="57"/>
      <c r="CGB6" s="386"/>
      <c r="CGC6" s="57"/>
      <c r="CGD6" s="386"/>
      <c r="CGE6" s="57"/>
      <c r="CGF6" s="57"/>
      <c r="CGG6" s="57"/>
      <c r="CGH6" s="57"/>
      <c r="CGI6" s="57"/>
      <c r="CGJ6" s="57"/>
      <c r="CGK6" s="57"/>
      <c r="CGL6" s="57"/>
      <c r="CGM6" s="57"/>
      <c r="CGN6" s="57"/>
      <c r="CGO6" s="57"/>
      <c r="CGP6" s="57"/>
      <c r="CGQ6" s="57"/>
      <c r="CGR6" s="57"/>
      <c r="CGS6" s="57"/>
      <c r="CGT6" s="57"/>
      <c r="CGU6" s="57"/>
      <c r="CGV6" s="57"/>
      <c r="CGW6" s="57"/>
      <c r="CGX6" s="57"/>
      <c r="CGY6" s="57"/>
      <c r="CGZ6" s="57"/>
      <c r="CHA6" s="57"/>
      <c r="CHB6" s="57"/>
      <c r="CHC6" s="57"/>
      <c r="CHD6" s="57"/>
      <c r="CHE6" s="57"/>
      <c r="CHF6" s="57"/>
      <c r="CHG6" s="57"/>
      <c r="CHH6" s="57"/>
      <c r="CHI6" s="57"/>
      <c r="CHJ6" s="58"/>
      <c r="CHK6" s="56"/>
      <c r="CHL6" s="57"/>
      <c r="CHM6" s="57"/>
      <c r="CHN6" s="57"/>
      <c r="CHO6" s="57"/>
      <c r="CHP6" s="57"/>
      <c r="CHQ6" s="56"/>
      <c r="CHR6" s="57"/>
      <c r="CHS6" s="57"/>
      <c r="CHT6" s="56"/>
      <c r="CHU6" s="57"/>
      <c r="CHV6" s="58"/>
      <c r="CHW6" s="56"/>
      <c r="CHX6" s="57"/>
      <c r="CHY6" s="57"/>
      <c r="CHZ6" s="57"/>
      <c r="CIA6" s="56"/>
      <c r="CIB6" s="57"/>
      <c r="CIC6" s="57"/>
      <c r="CID6" s="56"/>
      <c r="CIE6" s="57"/>
      <c r="CIF6" s="58"/>
      <c r="CIG6" s="56"/>
      <c r="CIH6" s="57"/>
      <c r="CII6" s="57"/>
      <c r="CIJ6" s="57"/>
      <c r="CIK6" s="56"/>
      <c r="CIL6" s="57"/>
      <c r="CIM6" s="57"/>
      <c r="CIN6" s="56"/>
      <c r="CIO6" s="57"/>
      <c r="CIP6" s="58"/>
      <c r="CIQ6" s="56"/>
      <c r="CIR6" s="57"/>
      <c r="CIS6" s="57"/>
      <c r="CIT6" s="57"/>
      <c r="CIU6" s="56"/>
      <c r="CIV6" s="57"/>
      <c r="CIW6" s="57"/>
      <c r="CIX6" s="56"/>
      <c r="CIY6" s="57"/>
      <c r="CIZ6" s="58"/>
      <c r="CJA6" s="56"/>
      <c r="CJB6" s="58"/>
      <c r="CJC6" s="57"/>
      <c r="CJD6" s="56"/>
      <c r="CJE6" s="57"/>
      <c r="CJF6" s="56"/>
      <c r="CJG6" s="56"/>
      <c r="CJH6" s="56"/>
      <c r="CJI6" s="57"/>
      <c r="CJJ6" s="386"/>
      <c r="CJK6" s="57"/>
      <c r="CJL6" s="386"/>
      <c r="CJM6" s="57"/>
      <c r="CJN6" s="386"/>
      <c r="CJO6" s="57"/>
      <c r="CJP6" s="57"/>
      <c r="CJQ6" s="57"/>
      <c r="CJR6" s="57"/>
      <c r="CJS6" s="57"/>
      <c r="CJT6" s="57"/>
      <c r="CJU6" s="57"/>
      <c r="CJV6" s="57"/>
      <c r="CJW6" s="57"/>
      <c r="CJX6" s="57"/>
      <c r="CJY6" s="57"/>
      <c r="CJZ6" s="57"/>
      <c r="CKA6" s="57"/>
      <c r="CKB6" s="57"/>
      <c r="CKC6" s="57"/>
      <c r="CKD6" s="57"/>
      <c r="CKE6" s="57"/>
      <c r="CKF6" s="57"/>
      <c r="CKG6" s="57"/>
      <c r="CKH6" s="57"/>
      <c r="CKI6" s="57"/>
      <c r="CKJ6" s="57"/>
      <c r="CKK6" s="57"/>
      <c r="CKL6" s="57"/>
      <c r="CKM6" s="57"/>
      <c r="CKN6" s="57"/>
      <c r="CKO6" s="57"/>
      <c r="CKP6" s="57"/>
      <c r="CKQ6" s="57"/>
      <c r="CKR6" s="57"/>
      <c r="CKS6" s="57"/>
      <c r="CKT6" s="58"/>
      <c r="CKU6" s="56"/>
      <c r="CKV6" s="57"/>
      <c r="CKW6" s="57"/>
      <c r="CKX6" s="57"/>
      <c r="CKY6" s="57"/>
      <c r="CKZ6" s="57"/>
      <c r="CLA6" s="56"/>
      <c r="CLB6" s="57"/>
      <c r="CLC6" s="57"/>
      <c r="CLD6" s="56"/>
      <c r="CLE6" s="57"/>
      <c r="CLF6" s="58"/>
      <c r="CLG6" s="56"/>
      <c r="CLH6" s="57"/>
      <c r="CLI6" s="57"/>
      <c r="CLJ6" s="57"/>
      <c r="CLK6" s="56"/>
      <c r="CLL6" s="57"/>
      <c r="CLM6" s="57"/>
      <c r="CLN6" s="56"/>
      <c r="CLO6" s="57"/>
      <c r="CLP6" s="58"/>
      <c r="CLQ6" s="56"/>
      <c r="CLR6" s="57"/>
      <c r="CLS6" s="57"/>
      <c r="CLT6" s="57"/>
      <c r="CLU6" s="56"/>
      <c r="CLV6" s="57"/>
      <c r="CLW6" s="57"/>
      <c r="CLX6" s="56"/>
      <c r="CLY6" s="57"/>
      <c r="CLZ6" s="58"/>
      <c r="CMA6" s="56"/>
      <c r="CMB6" s="57"/>
      <c r="CMC6" s="57"/>
      <c r="CMD6" s="57"/>
      <c r="CME6" s="56"/>
      <c r="CMF6" s="57"/>
      <c r="CMG6" s="57"/>
      <c r="CMH6" s="56"/>
      <c r="CMI6" s="57"/>
      <c r="CMJ6" s="58"/>
      <c r="CMK6" s="56"/>
      <c r="CML6" s="58"/>
      <c r="CMM6" s="57"/>
      <c r="CMN6" s="56"/>
      <c r="CMO6" s="57"/>
      <c r="CMP6" s="56"/>
      <c r="CMQ6" s="56"/>
      <c r="CMR6" s="56"/>
      <c r="CMS6" s="57"/>
      <c r="CMT6" s="386"/>
      <c r="CMU6" s="57"/>
      <c r="CMV6" s="386"/>
      <c r="CMW6" s="57"/>
      <c r="CMX6" s="386"/>
      <c r="CMY6" s="57"/>
      <c r="CMZ6" s="57"/>
      <c r="CNA6" s="57"/>
      <c r="CNB6" s="57"/>
      <c r="CNC6" s="57"/>
      <c r="CND6" s="57"/>
      <c r="CNE6" s="57"/>
      <c r="CNF6" s="57"/>
      <c r="CNG6" s="57"/>
      <c r="CNH6" s="57"/>
      <c r="CNI6" s="57"/>
      <c r="CNJ6" s="57"/>
      <c r="CNK6" s="57"/>
      <c r="CNL6" s="57"/>
      <c r="CNM6" s="57"/>
      <c r="CNN6" s="57"/>
      <c r="CNO6" s="57"/>
      <c r="CNP6" s="57"/>
      <c r="CNQ6" s="57"/>
      <c r="CNR6" s="57"/>
      <c r="CNS6" s="57"/>
      <c r="CNT6" s="57"/>
      <c r="CNU6" s="57"/>
      <c r="CNV6" s="57"/>
      <c r="CNW6" s="57"/>
      <c r="CNX6" s="57"/>
      <c r="CNY6" s="57"/>
      <c r="CNZ6" s="57"/>
      <c r="COA6" s="57"/>
      <c r="COB6" s="57"/>
      <c r="COC6" s="57"/>
      <c r="COD6" s="58"/>
      <c r="COE6" s="56"/>
      <c r="COF6" s="57"/>
      <c r="COG6" s="57"/>
      <c r="COH6" s="57"/>
      <c r="COI6" s="57"/>
      <c r="COJ6" s="57"/>
      <c r="COK6" s="56"/>
      <c r="COL6" s="57"/>
      <c r="COM6" s="57"/>
      <c r="CON6" s="56"/>
      <c r="COO6" s="57"/>
      <c r="COP6" s="58"/>
      <c r="COQ6" s="56"/>
      <c r="COR6" s="57"/>
      <c r="COS6" s="57"/>
      <c r="COT6" s="57"/>
      <c r="COU6" s="56"/>
      <c r="COV6" s="57"/>
      <c r="COW6" s="57"/>
      <c r="COX6" s="56"/>
      <c r="COY6" s="57"/>
      <c r="COZ6" s="58"/>
      <c r="CPA6" s="56"/>
      <c r="CPB6" s="57"/>
      <c r="CPC6" s="57"/>
      <c r="CPD6" s="57"/>
      <c r="CPE6" s="56"/>
      <c r="CPF6" s="57"/>
      <c r="CPG6" s="57"/>
      <c r="CPH6" s="56"/>
      <c r="CPI6" s="57"/>
      <c r="CPJ6" s="58"/>
      <c r="CPK6" s="56"/>
      <c r="CPL6" s="57"/>
      <c r="CPM6" s="57"/>
      <c r="CPN6" s="57"/>
      <c r="CPO6" s="56"/>
      <c r="CPP6" s="57"/>
      <c r="CPQ6" s="57"/>
      <c r="CPR6" s="56"/>
      <c r="CPS6" s="57"/>
      <c r="CPT6" s="58"/>
      <c r="CPU6" s="56"/>
      <c r="CPV6" s="58"/>
      <c r="CPW6" s="57"/>
      <c r="CPX6" s="56"/>
      <c r="CPY6" s="57"/>
      <c r="CPZ6" s="56"/>
      <c r="CQA6" s="56"/>
      <c r="CQB6" s="56"/>
      <c r="CQC6" s="57"/>
      <c r="CQD6" s="386"/>
      <c r="CQE6" s="57"/>
      <c r="CQF6" s="386"/>
      <c r="CQG6" s="57"/>
      <c r="CQH6" s="386"/>
      <c r="CQI6" s="57"/>
      <c r="CQJ6" s="57"/>
      <c r="CQK6" s="57"/>
      <c r="CQL6" s="57"/>
      <c r="CQM6" s="57"/>
      <c r="CQN6" s="57"/>
      <c r="CQO6" s="57"/>
      <c r="CQP6" s="57"/>
      <c r="CQQ6" s="57"/>
      <c r="CQR6" s="57"/>
      <c r="CQS6" s="57"/>
      <c r="CQT6" s="57"/>
      <c r="CQU6" s="57"/>
      <c r="CQV6" s="57"/>
      <c r="CQW6" s="57"/>
      <c r="CQX6" s="57"/>
      <c r="CQY6" s="57"/>
      <c r="CQZ6" s="57"/>
      <c r="CRA6" s="57"/>
      <c r="CRB6" s="57"/>
      <c r="CRC6" s="57"/>
      <c r="CRD6" s="57"/>
      <c r="CRE6" s="57"/>
      <c r="CRF6" s="57"/>
      <c r="CRG6" s="57"/>
      <c r="CRH6" s="57"/>
      <c r="CRI6" s="57"/>
      <c r="CRJ6" s="57"/>
      <c r="CRK6" s="57"/>
      <c r="CRL6" s="57"/>
      <c r="CRM6" s="57"/>
      <c r="CRN6" s="58"/>
      <c r="CRO6" s="56"/>
      <c r="CRP6" s="57"/>
      <c r="CRQ6" s="57"/>
      <c r="CRR6" s="57"/>
      <c r="CRS6" s="57"/>
      <c r="CRT6" s="57"/>
      <c r="CRU6" s="56"/>
      <c r="CRV6" s="57"/>
      <c r="CRW6" s="57"/>
      <c r="CRX6" s="56"/>
      <c r="CRY6" s="57"/>
      <c r="CRZ6" s="58"/>
      <c r="CSA6" s="56"/>
      <c r="CSB6" s="57"/>
      <c r="CSC6" s="57"/>
      <c r="CSD6" s="57"/>
      <c r="CSE6" s="56"/>
      <c r="CSF6" s="57"/>
      <c r="CSG6" s="57"/>
      <c r="CSH6" s="56"/>
      <c r="CSI6" s="57"/>
      <c r="CSJ6" s="58"/>
      <c r="CSK6" s="56"/>
      <c r="CSL6" s="57"/>
      <c r="CSM6" s="57"/>
      <c r="CSN6" s="57"/>
      <c r="CSO6" s="56"/>
      <c r="CSP6" s="57"/>
      <c r="CSQ6" s="57"/>
      <c r="CSR6" s="56"/>
      <c r="CSS6" s="57"/>
      <c r="CST6" s="58"/>
      <c r="CSU6" s="56"/>
      <c r="CSV6" s="57"/>
      <c r="CSW6" s="57"/>
      <c r="CSX6" s="57"/>
      <c r="CSY6" s="56"/>
      <c r="CSZ6" s="57"/>
      <c r="CTA6" s="57"/>
      <c r="CTB6" s="56"/>
      <c r="CTC6" s="57"/>
      <c r="CTD6" s="58"/>
      <c r="CTE6" s="56"/>
      <c r="CTF6" s="58"/>
      <c r="CTG6" s="57"/>
      <c r="CTH6" s="56"/>
      <c r="CTI6" s="57"/>
      <c r="CTJ6" s="56"/>
      <c r="CTK6" s="56"/>
      <c r="CTL6" s="56"/>
      <c r="CTM6" s="57"/>
      <c r="CTN6" s="386"/>
      <c r="CTO6" s="57"/>
      <c r="CTP6" s="386"/>
      <c r="CTQ6" s="57"/>
      <c r="CTR6" s="386"/>
      <c r="CTS6" s="57"/>
      <c r="CTT6" s="57"/>
      <c r="CTU6" s="57"/>
      <c r="CTV6" s="57"/>
      <c r="CTW6" s="57"/>
      <c r="CTX6" s="57"/>
      <c r="CTY6" s="57"/>
      <c r="CTZ6" s="57"/>
      <c r="CUA6" s="57"/>
      <c r="CUB6" s="57"/>
      <c r="CUC6" s="57"/>
      <c r="CUD6" s="57"/>
      <c r="CUE6" s="57"/>
      <c r="CUF6" s="57"/>
      <c r="CUG6" s="57"/>
      <c r="CUH6" s="57"/>
      <c r="CUI6" s="57"/>
      <c r="CUJ6" s="57"/>
      <c r="CUK6" s="57"/>
      <c r="CUL6" s="57"/>
      <c r="CUM6" s="57"/>
      <c r="CUN6" s="57"/>
      <c r="CUO6" s="57"/>
      <c r="CUP6" s="57"/>
      <c r="CUQ6" s="57"/>
      <c r="CUR6" s="57"/>
      <c r="CUS6" s="57"/>
      <c r="CUT6" s="57"/>
      <c r="CUU6" s="57"/>
      <c r="CUV6" s="57"/>
      <c r="CUW6" s="57"/>
      <c r="CUX6" s="58"/>
      <c r="CUY6" s="56"/>
      <c r="CUZ6" s="57"/>
      <c r="CVA6" s="57"/>
      <c r="CVB6" s="57"/>
      <c r="CVC6" s="57"/>
      <c r="CVD6" s="57"/>
      <c r="CVE6" s="56"/>
      <c r="CVF6" s="57"/>
      <c r="CVG6" s="57"/>
      <c r="CVH6" s="56"/>
      <c r="CVI6" s="57"/>
      <c r="CVJ6" s="58"/>
      <c r="CVK6" s="56"/>
      <c r="CVL6" s="57"/>
      <c r="CVM6" s="57"/>
      <c r="CVN6" s="57"/>
      <c r="CVO6" s="56"/>
      <c r="CVP6" s="57"/>
      <c r="CVQ6" s="57"/>
      <c r="CVR6" s="56"/>
      <c r="CVS6" s="57"/>
      <c r="CVT6" s="58"/>
      <c r="CVU6" s="56"/>
      <c r="CVV6" s="57"/>
      <c r="CVW6" s="57"/>
      <c r="CVX6" s="57"/>
      <c r="CVY6" s="56"/>
      <c r="CVZ6" s="57"/>
      <c r="CWA6" s="57"/>
      <c r="CWB6" s="56"/>
      <c r="CWC6" s="57"/>
      <c r="CWD6" s="58"/>
      <c r="CWE6" s="56"/>
      <c r="CWF6" s="57"/>
      <c r="CWG6" s="57"/>
      <c r="CWH6" s="57"/>
      <c r="CWI6" s="56"/>
      <c r="CWJ6" s="57"/>
      <c r="CWK6" s="57"/>
      <c r="CWL6" s="56"/>
      <c r="CWM6" s="57"/>
      <c r="CWN6" s="58"/>
      <c r="CWO6" s="56"/>
      <c r="CWP6" s="58"/>
      <c r="CWQ6" s="57"/>
      <c r="CWR6" s="56"/>
      <c r="CWS6" s="57"/>
      <c r="CWT6" s="56"/>
      <c r="CWU6" s="56"/>
      <c r="CWV6" s="56"/>
      <c r="CWW6" s="57"/>
      <c r="CWX6" s="386"/>
      <c r="CWY6" s="57"/>
      <c r="CWZ6" s="386"/>
      <c r="CXA6" s="57"/>
      <c r="CXB6" s="386"/>
      <c r="CXC6" s="57"/>
      <c r="CXD6" s="57"/>
      <c r="CXE6" s="57"/>
      <c r="CXF6" s="57"/>
      <c r="CXG6" s="57"/>
      <c r="CXH6" s="57"/>
      <c r="CXI6" s="57"/>
      <c r="CXJ6" s="57"/>
      <c r="CXK6" s="57"/>
      <c r="CXL6" s="57"/>
      <c r="CXM6" s="57"/>
      <c r="CXN6" s="57"/>
      <c r="CXO6" s="57"/>
      <c r="CXP6" s="57"/>
      <c r="CXQ6" s="57"/>
      <c r="CXR6" s="57"/>
      <c r="CXS6" s="57"/>
      <c r="CXT6" s="57"/>
      <c r="CXU6" s="57"/>
      <c r="CXV6" s="57"/>
      <c r="CXW6" s="57"/>
      <c r="CXX6" s="57"/>
      <c r="CXY6" s="57"/>
      <c r="CXZ6" s="57"/>
      <c r="CYA6" s="57"/>
      <c r="CYB6" s="57"/>
      <c r="CYC6" s="57"/>
      <c r="CYD6" s="57"/>
      <c r="CYE6" s="57"/>
      <c r="CYF6" s="57"/>
      <c r="CYG6" s="57"/>
      <c r="CYH6" s="58"/>
      <c r="CYI6" s="56"/>
      <c r="CYJ6" s="57"/>
      <c r="CYK6" s="57"/>
      <c r="CYL6" s="57"/>
      <c r="CYM6" s="57"/>
      <c r="CYN6" s="57"/>
      <c r="CYO6" s="56"/>
      <c r="CYP6" s="57"/>
      <c r="CYQ6" s="57"/>
      <c r="CYR6" s="56"/>
      <c r="CYS6" s="57"/>
      <c r="CYT6" s="58"/>
      <c r="CYU6" s="56"/>
      <c r="CYV6" s="57"/>
      <c r="CYW6" s="57"/>
      <c r="CYX6" s="57"/>
      <c r="CYY6" s="56"/>
      <c r="CYZ6" s="57"/>
      <c r="CZA6" s="57"/>
      <c r="CZB6" s="56"/>
      <c r="CZC6" s="57"/>
      <c r="CZD6" s="58"/>
      <c r="CZE6" s="56"/>
      <c r="CZF6" s="57"/>
      <c r="CZG6" s="57"/>
      <c r="CZH6" s="57"/>
      <c r="CZI6" s="56"/>
      <c r="CZJ6" s="57"/>
      <c r="CZK6" s="57"/>
      <c r="CZL6" s="56"/>
      <c r="CZM6" s="57"/>
      <c r="CZN6" s="58"/>
      <c r="CZO6" s="56"/>
      <c r="CZP6" s="57"/>
      <c r="CZQ6" s="57"/>
      <c r="CZR6" s="57"/>
      <c r="CZS6" s="56"/>
      <c r="CZT6" s="57"/>
      <c r="CZU6" s="57"/>
      <c r="CZV6" s="56"/>
      <c r="CZW6" s="57"/>
      <c r="CZX6" s="58"/>
      <c r="CZY6" s="56"/>
      <c r="CZZ6" s="58"/>
      <c r="DAA6" s="57"/>
      <c r="DAB6" s="56"/>
      <c r="DAC6" s="57"/>
      <c r="DAD6" s="56"/>
      <c r="DAE6" s="56"/>
      <c r="DAF6" s="56"/>
      <c r="DAG6" s="57"/>
      <c r="DAH6" s="386"/>
      <c r="DAI6" s="57"/>
      <c r="DAJ6" s="386"/>
      <c r="DAK6" s="57"/>
      <c r="DAL6" s="386"/>
      <c r="DAM6" s="57"/>
      <c r="DAN6" s="57"/>
      <c r="DAO6" s="57"/>
      <c r="DAP6" s="57"/>
      <c r="DAQ6" s="57"/>
      <c r="DAR6" s="57"/>
      <c r="DAS6" s="57"/>
      <c r="DAT6" s="57"/>
      <c r="DAU6" s="57"/>
      <c r="DAV6" s="57"/>
      <c r="DAW6" s="57"/>
      <c r="DAX6" s="57"/>
      <c r="DAY6" s="57"/>
      <c r="DAZ6" s="57"/>
      <c r="DBA6" s="57"/>
      <c r="DBB6" s="57"/>
      <c r="DBC6" s="57"/>
      <c r="DBD6" s="57"/>
      <c r="DBE6" s="57"/>
      <c r="DBF6" s="57"/>
      <c r="DBG6" s="57"/>
      <c r="DBH6" s="57"/>
      <c r="DBI6" s="57"/>
      <c r="DBJ6" s="57"/>
      <c r="DBK6" s="57"/>
      <c r="DBL6" s="57"/>
      <c r="DBM6" s="57"/>
      <c r="DBN6" s="57"/>
      <c r="DBO6" s="57"/>
      <c r="DBP6" s="57"/>
      <c r="DBQ6" s="57"/>
      <c r="DBR6" s="58"/>
      <c r="DBS6" s="56"/>
      <c r="DBT6" s="57"/>
      <c r="DBU6" s="57"/>
      <c r="DBV6" s="57"/>
      <c r="DBW6" s="57"/>
      <c r="DBX6" s="57"/>
      <c r="DBY6" s="56"/>
      <c r="DBZ6" s="57"/>
      <c r="DCA6" s="57"/>
      <c r="DCB6" s="56"/>
      <c r="DCC6" s="57"/>
      <c r="DCD6" s="58"/>
      <c r="DCE6" s="56"/>
      <c r="DCF6" s="57"/>
      <c r="DCG6" s="57"/>
      <c r="DCH6" s="57"/>
      <c r="DCI6" s="56"/>
      <c r="DCJ6" s="57"/>
      <c r="DCK6" s="57"/>
      <c r="DCL6" s="56"/>
      <c r="DCM6" s="57"/>
      <c r="DCN6" s="58"/>
      <c r="DCO6" s="56"/>
      <c r="DCP6" s="57"/>
      <c r="DCQ6" s="57"/>
      <c r="DCR6" s="57"/>
      <c r="DCS6" s="56"/>
      <c r="DCT6" s="57"/>
      <c r="DCU6" s="57"/>
      <c r="DCV6" s="56"/>
      <c r="DCW6" s="57"/>
      <c r="DCX6" s="58"/>
      <c r="DCY6" s="56"/>
      <c r="DCZ6" s="57"/>
      <c r="DDA6" s="57"/>
      <c r="DDB6" s="57"/>
      <c r="DDC6" s="56"/>
      <c r="DDD6" s="57"/>
      <c r="DDE6" s="57"/>
      <c r="DDF6" s="56"/>
      <c r="DDG6" s="57"/>
      <c r="DDH6" s="58"/>
      <c r="DDI6" s="56"/>
      <c r="DDJ6" s="58"/>
      <c r="DDK6" s="57"/>
      <c r="DDL6" s="56"/>
      <c r="DDM6" s="57"/>
      <c r="DDN6" s="56"/>
      <c r="DDO6" s="56"/>
      <c r="DDP6" s="56"/>
      <c r="DDQ6" s="57"/>
      <c r="DDR6" s="386"/>
      <c r="DDS6" s="57"/>
      <c r="DDT6" s="386"/>
      <c r="DDU6" s="57"/>
      <c r="DDV6" s="386"/>
      <c r="DDW6" s="57"/>
      <c r="DDX6" s="57"/>
      <c r="DDY6" s="57"/>
      <c r="DDZ6" s="57"/>
      <c r="DEA6" s="57"/>
      <c r="DEB6" s="57"/>
      <c r="DEC6" s="57"/>
      <c r="DED6" s="57"/>
      <c r="DEE6" s="57"/>
      <c r="DEF6" s="57"/>
      <c r="DEG6" s="57"/>
      <c r="DEH6" s="57"/>
      <c r="DEI6" s="57"/>
      <c r="DEJ6" s="57"/>
      <c r="DEK6" s="57"/>
      <c r="DEL6" s="57"/>
      <c r="DEM6" s="57"/>
      <c r="DEN6" s="57"/>
      <c r="DEO6" s="57"/>
      <c r="DEP6" s="57"/>
      <c r="DEQ6" s="57"/>
      <c r="DER6" s="57"/>
      <c r="DES6" s="57"/>
      <c r="DET6" s="57"/>
      <c r="DEU6" s="57"/>
      <c r="DEV6" s="57"/>
      <c r="DEW6" s="57"/>
      <c r="DEX6" s="57"/>
      <c r="DEY6" s="57"/>
      <c r="DEZ6" s="57"/>
      <c r="DFA6" s="57"/>
      <c r="DFB6" s="58"/>
      <c r="DFC6" s="56"/>
      <c r="DFD6" s="57"/>
      <c r="DFE6" s="57"/>
      <c r="DFF6" s="57"/>
      <c r="DFG6" s="57"/>
      <c r="DFH6" s="57"/>
      <c r="DFI6" s="56"/>
      <c r="DFJ6" s="57"/>
      <c r="DFK6" s="57"/>
      <c r="DFL6" s="56"/>
      <c r="DFM6" s="57"/>
      <c r="DFN6" s="58"/>
      <c r="DFO6" s="56"/>
      <c r="DFP6" s="57"/>
      <c r="DFQ6" s="57"/>
      <c r="DFR6" s="57"/>
      <c r="DFS6" s="56"/>
      <c r="DFT6" s="57"/>
      <c r="DFU6" s="57"/>
      <c r="DFV6" s="56"/>
      <c r="DFW6" s="57"/>
      <c r="DFX6" s="58"/>
      <c r="DFY6" s="56"/>
      <c r="DFZ6" s="57"/>
      <c r="DGA6" s="57"/>
      <c r="DGB6" s="57"/>
      <c r="DGC6" s="56"/>
      <c r="DGD6" s="57"/>
      <c r="DGE6" s="57"/>
      <c r="DGF6" s="56"/>
      <c r="DGG6" s="57"/>
      <c r="DGH6" s="58"/>
      <c r="DGI6" s="56"/>
      <c r="DGJ6" s="57"/>
      <c r="DGK6" s="57"/>
      <c r="DGL6" s="57"/>
      <c r="DGM6" s="56"/>
      <c r="DGN6" s="57"/>
      <c r="DGO6" s="57"/>
      <c r="DGP6" s="56"/>
      <c r="DGQ6" s="57"/>
      <c r="DGR6" s="58"/>
      <c r="DGS6" s="56"/>
      <c r="DGT6" s="58"/>
      <c r="DGU6" s="57"/>
      <c r="DGV6" s="56"/>
      <c r="DGW6" s="57"/>
      <c r="DGX6" s="56"/>
      <c r="DGY6" s="56"/>
      <c r="DGZ6" s="56"/>
      <c r="DHA6" s="57"/>
      <c r="DHB6" s="386"/>
      <c r="DHC6" s="57"/>
      <c r="DHD6" s="386"/>
      <c r="DHE6" s="57"/>
      <c r="DHF6" s="386"/>
      <c r="DHG6" s="57"/>
      <c r="DHH6" s="57"/>
      <c r="DHI6" s="57"/>
      <c r="DHJ6" s="57"/>
      <c r="DHK6" s="57"/>
      <c r="DHL6" s="57"/>
      <c r="DHM6" s="57"/>
      <c r="DHN6" s="57"/>
      <c r="DHO6" s="57"/>
      <c r="DHP6" s="57"/>
      <c r="DHQ6" s="57"/>
      <c r="DHR6" s="57"/>
      <c r="DHS6" s="57"/>
      <c r="DHT6" s="57"/>
      <c r="DHU6" s="57"/>
      <c r="DHV6" s="57"/>
      <c r="DHW6" s="57"/>
      <c r="DHX6" s="57"/>
      <c r="DHY6" s="57"/>
      <c r="DHZ6" s="57"/>
      <c r="DIA6" s="57"/>
      <c r="DIB6" s="57"/>
      <c r="DIC6" s="57"/>
      <c r="DID6" s="57"/>
      <c r="DIE6" s="57"/>
      <c r="DIF6" s="57"/>
      <c r="DIG6" s="57"/>
      <c r="DIH6" s="57"/>
      <c r="DII6" s="57"/>
      <c r="DIJ6" s="57"/>
      <c r="DIK6" s="57"/>
      <c r="DIL6" s="58"/>
      <c r="DIM6" s="56"/>
      <c r="DIN6" s="57"/>
      <c r="DIO6" s="57"/>
      <c r="DIP6" s="57"/>
      <c r="DIQ6" s="57"/>
      <c r="DIR6" s="57"/>
      <c r="DIS6" s="56"/>
      <c r="DIT6" s="57"/>
      <c r="DIU6" s="57"/>
      <c r="DIV6" s="56"/>
      <c r="DIW6" s="57"/>
      <c r="DIX6" s="58"/>
      <c r="DIY6" s="56"/>
      <c r="DIZ6" s="57"/>
      <c r="DJA6" s="57"/>
      <c r="DJB6" s="57"/>
      <c r="DJC6" s="56"/>
      <c r="DJD6" s="57"/>
      <c r="DJE6" s="57"/>
      <c r="DJF6" s="56"/>
      <c r="DJG6" s="57"/>
      <c r="DJH6" s="58"/>
      <c r="DJI6" s="56"/>
      <c r="DJJ6" s="57"/>
      <c r="DJK6" s="57"/>
      <c r="DJL6" s="57"/>
      <c r="DJM6" s="56"/>
      <c r="DJN6" s="57"/>
      <c r="DJO6" s="57"/>
      <c r="DJP6" s="56"/>
      <c r="DJQ6" s="57"/>
      <c r="DJR6" s="58"/>
      <c r="DJS6" s="56"/>
      <c r="DJT6" s="57"/>
      <c r="DJU6" s="57"/>
      <c r="DJV6" s="57"/>
      <c r="DJW6" s="56"/>
      <c r="DJX6" s="57"/>
      <c r="DJY6" s="57"/>
      <c r="DJZ6" s="56"/>
      <c r="DKA6" s="57"/>
      <c r="DKB6" s="58"/>
      <c r="DKC6" s="56"/>
      <c r="DKD6" s="58"/>
      <c r="DKE6" s="57"/>
      <c r="DKF6" s="56"/>
      <c r="DKG6" s="57"/>
      <c r="DKH6" s="56"/>
      <c r="DKI6" s="56"/>
      <c r="DKJ6" s="56"/>
      <c r="DKK6" s="57"/>
      <c r="DKL6" s="386"/>
      <c r="DKM6" s="57"/>
      <c r="DKN6" s="386"/>
      <c r="DKO6" s="57"/>
      <c r="DKP6" s="386"/>
      <c r="DKQ6" s="57"/>
      <c r="DKR6" s="57"/>
      <c r="DKS6" s="57"/>
      <c r="DKT6" s="57"/>
      <c r="DKU6" s="57"/>
      <c r="DKV6" s="57"/>
      <c r="DKW6" s="57"/>
      <c r="DKX6" s="57"/>
      <c r="DKY6" s="57"/>
      <c r="DKZ6" s="57"/>
      <c r="DLA6" s="57"/>
      <c r="DLB6" s="57"/>
      <c r="DLC6" s="57"/>
      <c r="DLD6" s="57"/>
      <c r="DLE6" s="57"/>
      <c r="DLF6" s="57"/>
      <c r="DLG6" s="57"/>
      <c r="DLH6" s="57"/>
      <c r="DLI6" s="57"/>
      <c r="DLJ6" s="57"/>
      <c r="DLK6" s="57"/>
      <c r="DLL6" s="57"/>
      <c r="DLM6" s="57"/>
      <c r="DLN6" s="57"/>
      <c r="DLO6" s="57"/>
      <c r="DLP6" s="57"/>
      <c r="DLQ6" s="57"/>
      <c r="DLR6" s="57"/>
      <c r="DLS6" s="57"/>
      <c r="DLT6" s="57"/>
      <c r="DLU6" s="57"/>
      <c r="DLV6" s="58"/>
      <c r="DLW6" s="56"/>
      <c r="DLX6" s="57"/>
      <c r="DLY6" s="57"/>
      <c r="DLZ6" s="57"/>
      <c r="DMA6" s="57"/>
      <c r="DMB6" s="57"/>
      <c r="DMC6" s="56"/>
      <c r="DMD6" s="57"/>
      <c r="DME6" s="57"/>
      <c r="DMF6" s="56"/>
      <c r="DMG6" s="57"/>
      <c r="DMH6" s="58"/>
      <c r="DMI6" s="56"/>
      <c r="DMJ6" s="57"/>
      <c r="DMK6" s="57"/>
      <c r="DML6" s="57"/>
      <c r="DMM6" s="56"/>
      <c r="DMN6" s="57"/>
      <c r="DMO6" s="57"/>
      <c r="DMP6" s="56"/>
      <c r="DMQ6" s="57"/>
      <c r="DMR6" s="58"/>
      <c r="DMS6" s="56"/>
      <c r="DMT6" s="57"/>
      <c r="DMU6" s="57"/>
      <c r="DMV6" s="57"/>
      <c r="DMW6" s="56"/>
      <c r="DMX6" s="57"/>
      <c r="DMY6" s="57"/>
      <c r="DMZ6" s="56"/>
      <c r="DNA6" s="57"/>
      <c r="DNB6" s="58"/>
      <c r="DNC6" s="56"/>
      <c r="DND6" s="57"/>
      <c r="DNE6" s="57"/>
      <c r="DNF6" s="57"/>
      <c r="DNG6" s="56"/>
      <c r="DNH6" s="57"/>
      <c r="DNI6" s="57"/>
      <c r="DNJ6" s="56"/>
      <c r="DNK6" s="57"/>
      <c r="DNL6" s="58"/>
      <c r="DNM6" s="56"/>
      <c r="DNN6" s="58"/>
      <c r="DNO6" s="57"/>
      <c r="DNP6" s="56"/>
      <c r="DNQ6" s="57"/>
      <c r="DNR6" s="56"/>
      <c r="DNS6" s="56"/>
      <c r="DNT6" s="56"/>
      <c r="DNU6" s="57"/>
      <c r="DNV6" s="386"/>
      <c r="DNW6" s="57"/>
      <c r="DNX6" s="386"/>
      <c r="DNY6" s="57"/>
      <c r="DNZ6" s="386"/>
      <c r="DOA6" s="57"/>
      <c r="DOB6" s="57"/>
      <c r="DOC6" s="57"/>
      <c r="DOD6" s="57"/>
      <c r="DOE6" s="57"/>
      <c r="DOF6" s="57"/>
      <c r="DOG6" s="57"/>
      <c r="DOH6" s="57"/>
      <c r="DOI6" s="57"/>
      <c r="DOJ6" s="57"/>
      <c r="DOK6" s="57"/>
      <c r="DOL6" s="57"/>
      <c r="DOM6" s="57"/>
      <c r="DON6" s="57"/>
      <c r="DOO6" s="57"/>
      <c r="DOP6" s="57"/>
      <c r="DOQ6" s="57"/>
      <c r="DOR6" s="57"/>
      <c r="DOS6" s="57"/>
      <c r="DOT6" s="57"/>
      <c r="DOU6" s="57"/>
      <c r="DOV6" s="57"/>
      <c r="DOW6" s="57"/>
      <c r="DOX6" s="57"/>
      <c r="DOY6" s="57"/>
      <c r="DOZ6" s="57"/>
      <c r="DPA6" s="57"/>
      <c r="DPB6" s="57"/>
      <c r="DPC6" s="57"/>
      <c r="DPD6" s="57"/>
      <c r="DPE6" s="57"/>
      <c r="DPF6" s="58"/>
      <c r="DPG6" s="56"/>
      <c r="DPH6" s="57"/>
      <c r="DPI6" s="57"/>
      <c r="DPJ6" s="57"/>
      <c r="DPK6" s="57"/>
      <c r="DPL6" s="57"/>
      <c r="DPM6" s="56"/>
      <c r="DPN6" s="57"/>
      <c r="DPO6" s="57"/>
      <c r="DPP6" s="56"/>
      <c r="DPQ6" s="57"/>
      <c r="DPR6" s="58"/>
      <c r="DPS6" s="56"/>
      <c r="DPT6" s="57"/>
      <c r="DPU6" s="57"/>
      <c r="DPV6" s="57"/>
      <c r="DPW6" s="56"/>
      <c r="DPX6" s="57"/>
      <c r="DPY6" s="57"/>
      <c r="DPZ6" s="56"/>
      <c r="DQA6" s="57"/>
      <c r="DQB6" s="58"/>
      <c r="DQC6" s="56"/>
      <c r="DQD6" s="57"/>
      <c r="DQE6" s="57"/>
      <c r="DQF6" s="57"/>
      <c r="DQG6" s="56"/>
      <c r="DQH6" s="57"/>
      <c r="DQI6" s="57"/>
      <c r="DQJ6" s="56"/>
      <c r="DQK6" s="57"/>
      <c r="DQL6" s="58"/>
      <c r="DQM6" s="56"/>
      <c r="DQN6" s="57"/>
      <c r="DQO6" s="57"/>
      <c r="DQP6" s="57"/>
      <c r="DQQ6" s="56"/>
      <c r="DQR6" s="57"/>
      <c r="DQS6" s="57"/>
      <c r="DQT6" s="56"/>
      <c r="DQU6" s="57"/>
      <c r="DQV6" s="58"/>
      <c r="DQW6" s="56"/>
      <c r="DQX6" s="58"/>
      <c r="DQY6" s="57"/>
      <c r="DQZ6" s="56"/>
      <c r="DRA6" s="57"/>
      <c r="DRB6" s="56"/>
      <c r="DRC6" s="56"/>
      <c r="DRD6" s="56"/>
      <c r="DRE6" s="57"/>
      <c r="DRF6" s="386"/>
      <c r="DRG6" s="57"/>
      <c r="DRH6" s="386"/>
      <c r="DRI6" s="57"/>
      <c r="DRJ6" s="386"/>
      <c r="DRK6" s="57"/>
      <c r="DRL6" s="57"/>
      <c r="DRM6" s="57"/>
      <c r="DRN6" s="57"/>
      <c r="DRO6" s="57"/>
      <c r="DRP6" s="57"/>
      <c r="DRQ6" s="57"/>
      <c r="DRR6" s="57"/>
      <c r="DRS6" s="57"/>
      <c r="DRT6" s="57"/>
      <c r="DRU6" s="57"/>
      <c r="DRV6" s="57"/>
      <c r="DRW6" s="57"/>
      <c r="DRX6" s="57"/>
      <c r="DRY6" s="57"/>
      <c r="DRZ6" s="57"/>
      <c r="DSA6" s="57"/>
      <c r="DSB6" s="57"/>
      <c r="DSC6" s="57"/>
      <c r="DSD6" s="57"/>
      <c r="DSE6" s="57"/>
      <c r="DSF6" s="57"/>
      <c r="DSG6" s="57"/>
      <c r="DSH6" s="57"/>
      <c r="DSI6" s="57"/>
      <c r="DSJ6" s="57"/>
      <c r="DSK6" s="57"/>
      <c r="DSL6" s="57"/>
      <c r="DSM6" s="57"/>
      <c r="DSN6" s="57"/>
      <c r="DSO6" s="57"/>
      <c r="DSP6" s="58"/>
      <c r="DSQ6" s="56"/>
      <c r="DSR6" s="57"/>
      <c r="DSS6" s="57"/>
      <c r="DST6" s="57"/>
      <c r="DSU6" s="57"/>
      <c r="DSV6" s="57"/>
      <c r="DSW6" s="56"/>
      <c r="DSX6" s="57"/>
      <c r="DSY6" s="57"/>
      <c r="DSZ6" s="56"/>
      <c r="DTA6" s="57"/>
      <c r="DTB6" s="58"/>
      <c r="DTC6" s="56"/>
      <c r="DTD6" s="57"/>
      <c r="DTE6" s="57"/>
      <c r="DTF6" s="57"/>
      <c r="DTG6" s="56"/>
      <c r="DTH6" s="57"/>
      <c r="DTI6" s="57"/>
      <c r="DTJ6" s="56"/>
      <c r="DTK6" s="57"/>
      <c r="DTL6" s="58"/>
      <c r="DTM6" s="56"/>
      <c r="DTN6" s="57"/>
      <c r="DTO6" s="57"/>
      <c r="DTP6" s="57"/>
      <c r="DTQ6" s="56"/>
      <c r="DTR6" s="57"/>
      <c r="DTS6" s="57"/>
      <c r="DTT6" s="56"/>
      <c r="DTU6" s="57"/>
      <c r="DTV6" s="58"/>
      <c r="DTW6" s="56"/>
      <c r="DTX6" s="57"/>
      <c r="DTY6" s="57"/>
      <c r="DTZ6" s="57"/>
      <c r="DUA6" s="56"/>
      <c r="DUB6" s="57"/>
      <c r="DUC6" s="57"/>
      <c r="DUD6" s="56"/>
      <c r="DUE6" s="57"/>
      <c r="DUF6" s="58"/>
      <c r="DUG6" s="56"/>
      <c r="DUH6" s="58"/>
      <c r="DUI6" s="57"/>
      <c r="DUJ6" s="56"/>
      <c r="DUK6" s="57"/>
      <c r="DUL6" s="56"/>
      <c r="DUM6" s="56"/>
      <c r="DUN6" s="56"/>
      <c r="DUO6" s="57"/>
      <c r="DUP6" s="386"/>
      <c r="DUQ6" s="57"/>
      <c r="DUR6" s="386"/>
      <c r="DUS6" s="57"/>
      <c r="DUT6" s="386"/>
      <c r="DUU6" s="57"/>
      <c r="DUV6" s="57"/>
      <c r="DUW6" s="57"/>
      <c r="DUX6" s="57"/>
      <c r="DUY6" s="57"/>
      <c r="DUZ6" s="57"/>
      <c r="DVA6" s="57"/>
      <c r="DVB6" s="57"/>
      <c r="DVC6" s="57"/>
      <c r="DVD6" s="57"/>
      <c r="DVE6" s="57"/>
      <c r="DVF6" s="57"/>
      <c r="DVG6" s="57"/>
      <c r="DVH6" s="57"/>
      <c r="DVI6" s="57"/>
      <c r="DVJ6" s="57"/>
      <c r="DVK6" s="57"/>
      <c r="DVL6" s="57"/>
      <c r="DVM6" s="57"/>
      <c r="DVN6" s="57"/>
      <c r="DVO6" s="57"/>
      <c r="DVP6" s="57"/>
      <c r="DVQ6" s="57"/>
      <c r="DVR6" s="57"/>
      <c r="DVS6" s="57"/>
      <c r="DVT6" s="57"/>
      <c r="DVU6" s="57"/>
      <c r="DVV6" s="57"/>
      <c r="DVW6" s="57"/>
      <c r="DVX6" s="57"/>
      <c r="DVY6" s="57"/>
      <c r="DVZ6" s="58"/>
      <c r="DWA6" s="56"/>
      <c r="DWB6" s="57"/>
      <c r="DWC6" s="57"/>
      <c r="DWD6" s="57"/>
      <c r="DWE6" s="57"/>
      <c r="DWF6" s="57"/>
      <c r="DWG6" s="56"/>
      <c r="DWH6" s="57"/>
      <c r="DWI6" s="57"/>
      <c r="DWJ6" s="56"/>
      <c r="DWK6" s="57"/>
      <c r="DWL6" s="58"/>
      <c r="DWM6" s="56"/>
      <c r="DWN6" s="57"/>
      <c r="DWO6" s="57"/>
      <c r="DWP6" s="57"/>
      <c r="DWQ6" s="56"/>
      <c r="DWR6" s="57"/>
      <c r="DWS6" s="57"/>
      <c r="DWT6" s="56"/>
      <c r="DWU6" s="57"/>
      <c r="DWV6" s="58"/>
      <c r="DWW6" s="56"/>
      <c r="DWX6" s="57"/>
      <c r="DWY6" s="57"/>
      <c r="DWZ6" s="57"/>
      <c r="DXA6" s="56"/>
      <c r="DXB6" s="57"/>
      <c r="DXC6" s="57"/>
      <c r="DXD6" s="56"/>
      <c r="DXE6" s="57"/>
      <c r="DXF6" s="58"/>
      <c r="DXG6" s="56"/>
      <c r="DXH6" s="57"/>
      <c r="DXI6" s="57"/>
      <c r="DXJ6" s="57"/>
      <c r="DXK6" s="56"/>
      <c r="DXL6" s="57"/>
      <c r="DXM6" s="57"/>
      <c r="DXN6" s="56"/>
      <c r="DXO6" s="57"/>
      <c r="DXP6" s="58"/>
      <c r="DXQ6" s="56"/>
      <c r="DXR6" s="58"/>
      <c r="DXS6" s="57"/>
      <c r="DXT6" s="56"/>
      <c r="DXU6" s="57"/>
      <c r="DXV6" s="56"/>
      <c r="DXW6" s="56"/>
      <c r="DXX6" s="56"/>
      <c r="DXY6" s="57"/>
      <c r="DXZ6" s="386"/>
      <c r="DYA6" s="57"/>
      <c r="DYB6" s="386"/>
      <c r="DYC6" s="57"/>
      <c r="DYD6" s="386"/>
      <c r="DYE6" s="57"/>
      <c r="DYF6" s="57"/>
      <c r="DYG6" s="57"/>
      <c r="DYH6" s="57"/>
      <c r="DYI6" s="57"/>
      <c r="DYJ6" s="57"/>
      <c r="DYK6" s="57"/>
      <c r="DYL6" s="57"/>
      <c r="DYM6" s="57"/>
      <c r="DYN6" s="57"/>
      <c r="DYO6" s="57"/>
      <c r="DYP6" s="57"/>
      <c r="DYQ6" s="57"/>
      <c r="DYR6" s="57"/>
      <c r="DYS6" s="57"/>
      <c r="DYT6" s="57"/>
      <c r="DYU6" s="57"/>
      <c r="DYV6" s="57"/>
      <c r="DYW6" s="57"/>
      <c r="DYX6" s="57"/>
      <c r="DYY6" s="57"/>
      <c r="DYZ6" s="57"/>
      <c r="DZA6" s="57"/>
      <c r="DZB6" s="57"/>
      <c r="DZC6" s="57"/>
      <c r="DZD6" s="57"/>
      <c r="DZE6" s="57"/>
      <c r="DZF6" s="57"/>
      <c r="DZG6" s="57"/>
      <c r="DZH6" s="57"/>
      <c r="DZI6" s="57"/>
      <c r="DZJ6" s="58"/>
      <c r="DZK6" s="56"/>
      <c r="DZL6" s="57"/>
      <c r="DZM6" s="57"/>
      <c r="DZN6" s="57"/>
      <c r="DZO6" s="57"/>
      <c r="DZP6" s="57"/>
      <c r="DZQ6" s="56"/>
      <c r="DZR6" s="57"/>
      <c r="DZS6" s="57"/>
      <c r="DZT6" s="56"/>
      <c r="DZU6" s="57"/>
      <c r="DZV6" s="58"/>
      <c r="DZW6" s="56"/>
      <c r="DZX6" s="57"/>
      <c r="DZY6" s="57"/>
      <c r="DZZ6" s="57"/>
      <c r="EAA6" s="56"/>
      <c r="EAB6" s="57"/>
      <c r="EAC6" s="57"/>
      <c r="EAD6" s="56"/>
      <c r="EAE6" s="57"/>
      <c r="EAF6" s="58"/>
      <c r="EAG6" s="56"/>
      <c r="EAH6" s="57"/>
      <c r="EAI6" s="57"/>
      <c r="EAJ6" s="57"/>
      <c r="EAK6" s="56"/>
      <c r="EAL6" s="57"/>
      <c r="EAM6" s="57"/>
      <c r="EAN6" s="56"/>
      <c r="EAO6" s="57"/>
      <c r="EAP6" s="58"/>
      <c r="EAQ6" s="56"/>
      <c r="EAR6" s="57"/>
      <c r="EAS6" s="57"/>
      <c r="EAT6" s="57"/>
      <c r="EAU6" s="56"/>
      <c r="EAV6" s="57"/>
      <c r="EAW6" s="57"/>
      <c r="EAX6" s="56"/>
      <c r="EAY6" s="57"/>
      <c r="EAZ6" s="58"/>
      <c r="EBA6" s="56"/>
      <c r="EBB6" s="58"/>
      <c r="EBC6" s="57"/>
      <c r="EBD6" s="56"/>
      <c r="EBE6" s="57"/>
      <c r="EBF6" s="56"/>
      <c r="EBG6" s="56"/>
      <c r="EBH6" s="56"/>
      <c r="EBI6" s="57"/>
      <c r="EBJ6" s="386"/>
      <c r="EBK6" s="57"/>
      <c r="EBL6" s="386"/>
      <c r="EBM6" s="57"/>
      <c r="EBN6" s="386"/>
      <c r="EBO6" s="57"/>
      <c r="EBP6" s="57"/>
      <c r="EBQ6" s="57"/>
      <c r="EBR6" s="57"/>
      <c r="EBS6" s="57"/>
      <c r="EBT6" s="57"/>
      <c r="EBU6" s="57"/>
      <c r="EBV6" s="57"/>
      <c r="EBW6" s="57"/>
      <c r="EBX6" s="57"/>
      <c r="EBY6" s="57"/>
      <c r="EBZ6" s="57"/>
      <c r="ECA6" s="57"/>
      <c r="ECB6" s="57"/>
      <c r="ECC6" s="57"/>
      <c r="ECD6" s="57"/>
      <c r="ECE6" s="57"/>
      <c r="ECF6" s="57"/>
      <c r="ECG6" s="57"/>
      <c r="ECH6" s="57"/>
      <c r="ECI6" s="57"/>
      <c r="ECJ6" s="57"/>
      <c r="ECK6" s="57"/>
      <c r="ECL6" s="57"/>
      <c r="ECM6" s="57"/>
      <c r="ECN6" s="57"/>
      <c r="ECO6" s="57"/>
      <c r="ECP6" s="57"/>
      <c r="ECQ6" s="57"/>
      <c r="ECR6" s="57"/>
      <c r="ECS6" s="57"/>
      <c r="ECT6" s="58"/>
      <c r="ECU6" s="56"/>
      <c r="ECV6" s="57"/>
      <c r="ECW6" s="57"/>
      <c r="ECX6" s="57"/>
      <c r="ECY6" s="57"/>
      <c r="ECZ6" s="57"/>
      <c r="EDA6" s="56"/>
      <c r="EDB6" s="57"/>
      <c r="EDC6" s="57"/>
      <c r="EDD6" s="56"/>
      <c r="EDE6" s="57"/>
      <c r="EDF6" s="58"/>
      <c r="EDG6" s="56"/>
      <c r="EDH6" s="57"/>
      <c r="EDI6" s="57"/>
      <c r="EDJ6" s="57"/>
      <c r="EDK6" s="56"/>
      <c r="EDL6" s="57"/>
      <c r="EDM6" s="57"/>
      <c r="EDN6" s="56"/>
      <c r="EDO6" s="57"/>
      <c r="EDP6" s="58"/>
      <c r="EDQ6" s="56"/>
      <c r="EDR6" s="57"/>
      <c r="EDS6" s="57"/>
      <c r="EDT6" s="57"/>
      <c r="EDU6" s="56"/>
      <c r="EDV6" s="57"/>
      <c r="EDW6" s="57"/>
      <c r="EDX6" s="56"/>
      <c r="EDY6" s="57"/>
      <c r="EDZ6" s="58"/>
      <c r="EEA6" s="56"/>
      <c r="EEB6" s="57"/>
      <c r="EEC6" s="57"/>
      <c r="EED6" s="57"/>
      <c r="EEE6" s="56"/>
      <c r="EEF6" s="57"/>
      <c r="EEG6" s="57"/>
      <c r="EEH6" s="56"/>
      <c r="EEI6" s="57"/>
      <c r="EEJ6" s="58"/>
      <c r="EEK6" s="56"/>
      <c r="EEL6" s="58"/>
      <c r="EEM6" s="57"/>
      <c r="EEN6" s="56"/>
      <c r="EEO6" s="57"/>
      <c r="EEP6" s="56"/>
      <c r="EEQ6" s="56"/>
      <c r="EER6" s="56"/>
      <c r="EES6" s="57"/>
      <c r="EET6" s="386"/>
      <c r="EEU6" s="57"/>
      <c r="EEV6" s="386"/>
      <c r="EEW6" s="57"/>
      <c r="EEX6" s="386"/>
      <c r="EEY6" s="57"/>
      <c r="EEZ6" s="57"/>
      <c r="EFA6" s="57"/>
      <c r="EFB6" s="57"/>
      <c r="EFC6" s="57"/>
      <c r="EFD6" s="57"/>
      <c r="EFE6" s="57"/>
      <c r="EFF6" s="57"/>
      <c r="EFG6" s="57"/>
      <c r="EFH6" s="57"/>
      <c r="EFI6" s="57"/>
      <c r="EFJ6" s="57"/>
      <c r="EFK6" s="57"/>
      <c r="EFL6" s="57"/>
      <c r="EFM6" s="57"/>
      <c r="EFN6" s="57"/>
      <c r="EFO6" s="57"/>
      <c r="EFP6" s="57"/>
      <c r="EFQ6" s="57"/>
      <c r="EFR6" s="57"/>
      <c r="EFS6" s="57"/>
      <c r="EFT6" s="57"/>
      <c r="EFU6" s="57"/>
      <c r="EFV6" s="57"/>
      <c r="EFW6" s="57"/>
      <c r="EFX6" s="57"/>
      <c r="EFY6" s="57"/>
      <c r="EFZ6" s="57"/>
      <c r="EGA6" s="57"/>
      <c r="EGB6" s="57"/>
      <c r="EGC6" s="57"/>
      <c r="EGD6" s="58"/>
      <c r="EGE6" s="56"/>
      <c r="EGF6" s="57"/>
      <c r="EGG6" s="57"/>
      <c r="EGH6" s="57"/>
      <c r="EGI6" s="57"/>
      <c r="EGJ6" s="57"/>
      <c r="EGK6" s="56"/>
      <c r="EGL6" s="57"/>
      <c r="EGM6" s="57"/>
      <c r="EGN6" s="56"/>
      <c r="EGO6" s="57"/>
      <c r="EGP6" s="58"/>
      <c r="EGQ6" s="56"/>
      <c r="EGR6" s="57"/>
      <c r="EGS6" s="57"/>
      <c r="EGT6" s="57"/>
      <c r="EGU6" s="56"/>
      <c r="EGV6" s="57"/>
      <c r="EGW6" s="57"/>
      <c r="EGX6" s="56"/>
      <c r="EGY6" s="57"/>
      <c r="EGZ6" s="58"/>
      <c r="EHA6" s="56"/>
      <c r="EHB6" s="57"/>
      <c r="EHC6" s="57"/>
      <c r="EHD6" s="57"/>
      <c r="EHE6" s="56"/>
      <c r="EHF6" s="57"/>
      <c r="EHG6" s="57"/>
      <c r="EHH6" s="56"/>
      <c r="EHI6" s="57"/>
      <c r="EHJ6" s="58"/>
      <c r="EHK6" s="56"/>
      <c r="EHL6" s="57"/>
      <c r="EHM6" s="57"/>
      <c r="EHN6" s="57"/>
      <c r="EHO6" s="56"/>
      <c r="EHP6" s="57"/>
      <c r="EHQ6" s="57"/>
      <c r="EHR6" s="56"/>
      <c r="EHS6" s="57"/>
      <c r="EHT6" s="58"/>
      <c r="EHU6" s="56"/>
      <c r="EHV6" s="58"/>
      <c r="EHW6" s="57"/>
      <c r="EHX6" s="56"/>
      <c r="EHY6" s="57"/>
      <c r="EHZ6" s="56"/>
      <c r="EIA6" s="56"/>
      <c r="EIB6" s="56"/>
      <c r="EIC6" s="57"/>
      <c r="EID6" s="386"/>
      <c r="EIE6" s="57"/>
      <c r="EIF6" s="386"/>
      <c r="EIG6" s="57"/>
      <c r="EIH6" s="386"/>
      <c r="EII6" s="57"/>
      <c r="EIJ6" s="57"/>
      <c r="EIK6" s="57"/>
      <c r="EIL6" s="57"/>
      <c r="EIM6" s="57"/>
      <c r="EIN6" s="57"/>
      <c r="EIO6" s="57"/>
      <c r="EIP6" s="57"/>
      <c r="EIQ6" s="57"/>
      <c r="EIR6" s="57"/>
      <c r="EIS6" s="57"/>
      <c r="EIT6" s="57"/>
      <c r="EIU6" s="57"/>
      <c r="EIV6" s="57"/>
      <c r="EIW6" s="57"/>
      <c r="EIX6" s="57"/>
      <c r="EIY6" s="57"/>
      <c r="EIZ6" s="57"/>
      <c r="EJA6" s="57"/>
      <c r="EJB6" s="57"/>
      <c r="EJC6" s="57"/>
      <c r="EJD6" s="57"/>
      <c r="EJE6" s="57"/>
      <c r="EJF6" s="57"/>
      <c r="EJG6" s="57"/>
      <c r="EJH6" s="57"/>
      <c r="EJI6" s="57"/>
      <c r="EJJ6" s="57"/>
      <c r="EJK6" s="57"/>
      <c r="EJL6" s="57"/>
      <c r="EJM6" s="57"/>
      <c r="EJN6" s="58"/>
      <c r="EJO6" s="56"/>
      <c r="EJP6" s="57"/>
      <c r="EJQ6" s="57"/>
      <c r="EJR6" s="57"/>
      <c r="EJS6" s="57"/>
      <c r="EJT6" s="57"/>
      <c r="EJU6" s="56"/>
      <c r="EJV6" s="57"/>
      <c r="EJW6" s="57"/>
      <c r="EJX6" s="56"/>
      <c r="EJY6" s="57"/>
      <c r="EJZ6" s="58"/>
      <c r="EKA6" s="56"/>
      <c r="EKB6" s="57"/>
      <c r="EKC6" s="57"/>
      <c r="EKD6" s="57"/>
      <c r="EKE6" s="56"/>
      <c r="EKF6" s="57"/>
      <c r="EKG6" s="57"/>
      <c r="EKH6" s="56"/>
      <c r="EKI6" s="57"/>
      <c r="EKJ6" s="58"/>
      <c r="EKK6" s="56"/>
      <c r="EKL6" s="57"/>
      <c r="EKM6" s="57"/>
      <c r="EKN6" s="57"/>
      <c r="EKO6" s="56"/>
      <c r="EKP6" s="57"/>
      <c r="EKQ6" s="57"/>
      <c r="EKR6" s="56"/>
      <c r="EKS6" s="57"/>
      <c r="EKT6" s="58"/>
      <c r="EKU6" s="56"/>
      <c r="EKV6" s="57"/>
      <c r="EKW6" s="57"/>
      <c r="EKX6" s="57"/>
      <c r="EKY6" s="56"/>
      <c r="EKZ6" s="57"/>
      <c r="ELA6" s="57"/>
      <c r="ELB6" s="56"/>
      <c r="ELC6" s="57"/>
      <c r="ELD6" s="58"/>
      <c r="ELE6" s="56"/>
      <c r="ELF6" s="58"/>
      <c r="ELG6" s="57"/>
      <c r="ELH6" s="56"/>
      <c r="ELI6" s="57"/>
      <c r="ELJ6" s="56"/>
      <c r="ELK6" s="56"/>
      <c r="ELL6" s="56"/>
      <c r="ELM6" s="57"/>
      <c r="ELN6" s="386"/>
      <c r="ELO6" s="57"/>
      <c r="ELP6" s="386"/>
      <c r="ELQ6" s="57"/>
      <c r="ELR6" s="386"/>
      <c r="ELS6" s="57"/>
      <c r="ELT6" s="57"/>
      <c r="ELU6" s="57"/>
      <c r="ELV6" s="57"/>
      <c r="ELW6" s="57"/>
      <c r="ELX6" s="57"/>
      <c r="ELY6" s="57"/>
      <c r="ELZ6" s="57"/>
      <c r="EMA6" s="57"/>
      <c r="EMB6" s="57"/>
      <c r="EMC6" s="57"/>
      <c r="EMD6" s="57"/>
      <c r="EME6" s="57"/>
      <c r="EMF6" s="57"/>
      <c r="EMG6" s="57"/>
      <c r="EMH6" s="57"/>
      <c r="EMI6" s="57"/>
      <c r="EMJ6" s="57"/>
      <c r="EMK6" s="57"/>
      <c r="EML6" s="57"/>
      <c r="EMM6" s="57"/>
      <c r="EMN6" s="57"/>
      <c r="EMO6" s="57"/>
      <c r="EMP6" s="57"/>
      <c r="EMQ6" s="57"/>
      <c r="EMR6" s="57"/>
      <c r="EMS6" s="57"/>
      <c r="EMT6" s="57"/>
      <c r="EMU6" s="57"/>
      <c r="EMV6" s="57"/>
      <c r="EMW6" s="57"/>
      <c r="EMX6" s="58"/>
      <c r="EMY6" s="56"/>
      <c r="EMZ6" s="57"/>
      <c r="ENA6" s="57"/>
      <c r="ENB6" s="57"/>
      <c r="ENC6" s="57"/>
      <c r="END6" s="57"/>
      <c r="ENE6" s="56"/>
      <c r="ENF6" s="57"/>
      <c r="ENG6" s="57"/>
      <c r="ENH6" s="56"/>
      <c r="ENI6" s="57"/>
      <c r="ENJ6" s="58"/>
      <c r="ENK6" s="56"/>
      <c r="ENL6" s="57"/>
      <c r="ENM6" s="57"/>
      <c r="ENN6" s="57"/>
      <c r="ENO6" s="56"/>
      <c r="ENP6" s="57"/>
      <c r="ENQ6" s="57"/>
      <c r="ENR6" s="56"/>
      <c r="ENS6" s="57"/>
      <c r="ENT6" s="58"/>
      <c r="ENU6" s="56"/>
      <c r="ENV6" s="57"/>
      <c r="ENW6" s="57"/>
      <c r="ENX6" s="57"/>
      <c r="ENY6" s="56"/>
      <c r="ENZ6" s="57"/>
      <c r="EOA6" s="57"/>
      <c r="EOB6" s="56"/>
      <c r="EOC6" s="57"/>
      <c r="EOD6" s="58"/>
      <c r="EOE6" s="56"/>
      <c r="EOF6" s="57"/>
      <c r="EOG6" s="57"/>
      <c r="EOH6" s="57"/>
      <c r="EOI6" s="56"/>
      <c r="EOJ6" s="57"/>
      <c r="EOK6" s="57"/>
      <c r="EOL6" s="56"/>
      <c r="EOM6" s="57"/>
      <c r="EON6" s="58"/>
      <c r="EOO6" s="56" t="str">
        <f t="shared" si="149"/>
        <v xml:space="preserve"> </v>
      </c>
      <c r="EOP6" s="58"/>
      <c r="EOQ6" s="57"/>
      <c r="EOR6" s="56"/>
      <c r="EOS6" s="57"/>
      <c r="EOT6" s="56"/>
      <c r="EOU6" s="56"/>
      <c r="EOV6" s="56"/>
      <c r="EOW6" s="57"/>
      <c r="EOX6" s="386"/>
      <c r="EOY6" s="57"/>
      <c r="EOZ6" s="386"/>
      <c r="EPA6" s="57"/>
      <c r="EPB6" s="386"/>
      <c r="EPC6" s="57"/>
      <c r="EPD6" s="57"/>
      <c r="EPE6" s="57"/>
      <c r="EPF6" s="57"/>
      <c r="EPG6" s="57"/>
      <c r="EPH6" s="57"/>
      <c r="EPI6" s="57"/>
      <c r="EPJ6" s="57"/>
      <c r="EPK6" s="57"/>
      <c r="EPL6" s="57"/>
      <c r="EPM6" s="57"/>
      <c r="EPN6" s="57"/>
      <c r="EPO6" s="57"/>
      <c r="EPP6" s="57"/>
      <c r="EPQ6" s="57"/>
      <c r="EPR6" s="57"/>
      <c r="EPS6" s="57"/>
      <c r="EPT6" s="57"/>
      <c r="EPU6" s="57"/>
      <c r="EPV6" s="57"/>
      <c r="EPW6" s="57"/>
      <c r="EPX6" s="57"/>
      <c r="EPY6" s="57"/>
      <c r="EPZ6" s="57"/>
      <c r="EQA6" s="57"/>
      <c r="EQB6" s="57"/>
      <c r="EQC6" s="57"/>
      <c r="EQD6" s="57"/>
      <c r="EQE6" s="57"/>
      <c r="EQF6" s="57"/>
      <c r="EQG6" s="57"/>
      <c r="EQH6" s="58"/>
      <c r="EQI6" s="56"/>
      <c r="EQJ6" s="57"/>
      <c r="EQK6" s="57"/>
      <c r="EQL6" s="57"/>
      <c r="EQM6" s="57"/>
      <c r="EQN6" s="57"/>
      <c r="EQO6" s="56"/>
      <c r="EQP6" s="57"/>
      <c r="EQQ6" s="57"/>
      <c r="EQR6" s="56"/>
      <c r="EQS6" s="57"/>
      <c r="EQT6" s="58"/>
      <c r="EQU6" s="56"/>
      <c r="EQV6" s="57"/>
      <c r="EQW6" s="57"/>
      <c r="EQX6" s="57"/>
      <c r="EQY6" s="56"/>
      <c r="EQZ6" s="57"/>
      <c r="ERA6" s="57"/>
      <c r="ERB6" s="56"/>
      <c r="ERC6" s="57"/>
      <c r="ERD6" s="58"/>
      <c r="ERE6" s="56"/>
      <c r="ERF6" s="57"/>
      <c r="ERG6" s="57"/>
      <c r="ERH6" s="57"/>
      <c r="ERI6" s="56"/>
      <c r="ERJ6" s="57"/>
      <c r="ERK6" s="57"/>
      <c r="ERL6" s="56"/>
      <c r="ERM6" s="57"/>
      <c r="ERN6" s="58"/>
      <c r="ERO6" s="56"/>
      <c r="ERP6" s="57"/>
      <c r="ERQ6" s="57"/>
      <c r="ERR6" s="57"/>
      <c r="ERS6" s="56"/>
      <c r="ERT6" s="57"/>
      <c r="ERU6" s="57"/>
      <c r="ERV6" s="56"/>
      <c r="ERW6" s="57"/>
      <c r="ERX6" s="58"/>
      <c r="ERY6" s="56" t="str">
        <f t="shared" si="150"/>
        <v xml:space="preserve"> </v>
      </c>
      <c r="ERZ6" s="58"/>
      <c r="ESA6" s="57"/>
      <c r="ESB6" s="56"/>
      <c r="ESC6" s="57"/>
      <c r="ESD6" s="56"/>
      <c r="ESE6" s="56"/>
      <c r="ESF6" s="56"/>
      <c r="ESG6" s="57"/>
      <c r="ESH6" s="386"/>
      <c r="ESI6" s="57"/>
      <c r="ESJ6" s="386"/>
      <c r="ESK6" s="57"/>
      <c r="ESL6" s="386"/>
      <c r="ESM6" s="57"/>
      <c r="ESN6" s="57"/>
      <c r="ESO6" s="57"/>
      <c r="ESP6" s="57"/>
      <c r="ESQ6" s="57"/>
      <c r="ESR6" s="57"/>
      <c r="ESS6" s="57"/>
      <c r="EST6" s="57"/>
      <c r="ESU6" s="57"/>
      <c r="ESV6" s="57"/>
      <c r="ESW6" s="57"/>
      <c r="ESX6" s="57"/>
      <c r="ESY6" s="57"/>
      <c r="ESZ6" s="57"/>
      <c r="ETA6" s="57"/>
      <c r="ETB6" s="57"/>
      <c r="ETC6" s="57"/>
      <c r="ETD6" s="57"/>
      <c r="ETE6" s="57"/>
      <c r="ETF6" s="57"/>
      <c r="ETG6" s="57"/>
      <c r="ETH6" s="57"/>
      <c r="ETI6" s="57"/>
      <c r="ETJ6" s="57"/>
      <c r="ETK6" s="57"/>
      <c r="ETL6" s="57"/>
      <c r="ETM6" s="57"/>
      <c r="ETN6" s="57"/>
      <c r="ETO6" s="57"/>
      <c r="ETP6" s="57"/>
      <c r="ETQ6" s="57"/>
      <c r="ETR6" s="58"/>
      <c r="ETS6" s="56"/>
      <c r="ETT6" s="57"/>
      <c r="ETU6" s="57"/>
      <c r="ETV6" s="57"/>
      <c r="ETW6" s="57"/>
      <c r="ETX6" s="57"/>
      <c r="ETY6" s="56"/>
      <c r="ETZ6" s="57"/>
      <c r="EUA6" s="57"/>
      <c r="EUB6" s="56"/>
      <c r="EUC6" s="57"/>
      <c r="EUD6" s="58"/>
      <c r="EUE6" s="56"/>
      <c r="EUF6" s="57"/>
      <c r="EUG6" s="57"/>
      <c r="EUH6" s="57"/>
      <c r="EUI6" s="56"/>
      <c r="EUJ6" s="57"/>
      <c r="EUK6" s="57"/>
      <c r="EUL6" s="56"/>
      <c r="EUM6" s="57"/>
      <c r="EUN6" s="58"/>
      <c r="EUO6" s="56"/>
      <c r="EUP6" s="57"/>
      <c r="EUQ6" s="57"/>
      <c r="EUR6" s="57"/>
      <c r="EUS6" s="56"/>
      <c r="EUT6" s="57"/>
      <c r="EUU6" s="57"/>
      <c r="EUV6" s="56"/>
      <c r="EUW6" s="57"/>
      <c r="EUX6" s="58"/>
      <c r="EUY6" s="56"/>
      <c r="EUZ6" s="57"/>
      <c r="EVA6" s="57"/>
      <c r="EVB6" s="57"/>
      <c r="EVC6" s="56"/>
      <c r="EVD6" s="57"/>
      <c r="EVE6" s="57"/>
      <c r="EVF6" s="56"/>
      <c r="EVG6" s="57"/>
      <c r="EVH6" s="58"/>
      <c r="EVI6" s="56" t="str">
        <f t="shared" si="151"/>
        <v xml:space="preserve"> </v>
      </c>
    </row>
    <row r="7" spans="1:3961" x14ac:dyDescent="0.3">
      <c r="A7" s="423" t="s">
        <v>110</v>
      </c>
      <c r="B7" s="30" t="str">
        <f>'REG y VAL POE - AESR - ESR'!B326</f>
        <v xml:space="preserve">Avalos Mendez Claudia Alexandra </v>
      </c>
      <c r="C7" s="29" t="str">
        <f>'REG y VAL POE - AESR - ESR'!C326</f>
        <v>Sin Registro</v>
      </c>
      <c r="D7" s="28">
        <f>'REG y VAL POE - AESR - ESR'!D326</f>
        <v>23207761</v>
      </c>
      <c r="E7" s="29">
        <f>'REG y VAL POE - AESR - ESR'!E326</f>
        <v>0</v>
      </c>
      <c r="F7" s="28">
        <f>'REG y VAL POE - AESR - ESR'!F326</f>
        <v>0</v>
      </c>
      <c r="G7" s="31">
        <f>'REG y VAL POE - AESR - ESR'!G326</f>
        <v>0</v>
      </c>
      <c r="H7" s="31">
        <f>'REG y VAL POE - AESR - ESR'!H326</f>
        <v>0</v>
      </c>
      <c r="I7" s="29">
        <f>'REG y VAL POE - AESR - ESR'!I326</f>
        <v>0</v>
      </c>
      <c r="J7" s="32">
        <f>'REG y VAL POE - AESR - ESR'!J326</f>
        <v>0</v>
      </c>
      <c r="K7" s="29">
        <f>'REG y VAL POE - AESR - ESR'!K326</f>
        <v>0</v>
      </c>
      <c r="L7" s="32">
        <f>'REG y VAL POE - AESR - ESR'!L326</f>
        <v>0</v>
      </c>
      <c r="M7" s="29">
        <f>'REG y VAL POE - AESR - ESR'!M326</f>
        <v>0</v>
      </c>
      <c r="N7" s="29">
        <f>'REG y VAL POE - AESR - ESR'!N326</f>
        <v>0</v>
      </c>
      <c r="O7" s="29">
        <f>'REG y VAL POE - AESR - ESR'!O326</f>
        <v>0</v>
      </c>
      <c r="P7" s="29">
        <f>'REG y VAL POE - AESR - ESR'!P326</f>
        <v>0</v>
      </c>
      <c r="Q7" s="29">
        <f>'REG y VAL POE - AESR - ESR'!Q326</f>
        <v>0</v>
      </c>
      <c r="R7" s="29">
        <f>'REG y VAL POE - AESR - ESR'!R326</f>
        <v>0</v>
      </c>
      <c r="S7" s="29">
        <f>'REG y VAL POE - AESR - ESR'!S326</f>
        <v>0</v>
      </c>
      <c r="T7" s="29">
        <f>'REG y VAL POE - AESR - ESR'!T326</f>
        <v>0</v>
      </c>
      <c r="U7" s="29">
        <f>'REG y VAL POE - AESR - ESR'!U326</f>
        <v>0</v>
      </c>
      <c r="V7" s="29">
        <f>'REG y VAL POE - AESR - ESR'!V326</f>
        <v>0</v>
      </c>
      <c r="W7" s="29">
        <f>'REG y VAL POE - AESR - ESR'!W326</f>
        <v>0</v>
      </c>
      <c r="X7" s="29">
        <f>'REG y VAL POE - AESR - ESR'!X326</f>
        <v>0</v>
      </c>
      <c r="Y7" s="29">
        <f>'REG y VAL POE - AESR - ESR'!Y326</f>
        <v>0</v>
      </c>
      <c r="Z7" s="29">
        <f>'REG y VAL POE - AESR - ESR'!Z326</f>
        <v>0</v>
      </c>
      <c r="AA7" s="29">
        <f>'REG y VAL POE - AESR - ESR'!AA326</f>
        <v>0</v>
      </c>
      <c r="AB7" s="29">
        <f>'REG y VAL POE - AESR - ESR'!AB326</f>
        <v>0</v>
      </c>
      <c r="AC7" s="29">
        <f>'REG y VAL POE - AESR - ESR'!AC326</f>
        <v>0</v>
      </c>
      <c r="AD7" s="29">
        <f>'REG y VAL POE - AESR - ESR'!AD326</f>
        <v>0</v>
      </c>
      <c r="AE7" s="29">
        <f>'REG y VAL POE - AESR - ESR'!AE326</f>
        <v>0</v>
      </c>
      <c r="AF7" s="29">
        <f>'REG y VAL POE - AESR - ESR'!AF326</f>
        <v>0</v>
      </c>
      <c r="AG7" s="29">
        <f>'REG y VAL POE - AESR - ESR'!AG326</f>
        <v>0</v>
      </c>
      <c r="AH7" s="29">
        <f>'REG y VAL POE - AESR - ESR'!AH326</f>
        <v>0</v>
      </c>
      <c r="AI7" s="29">
        <f>'REG y VAL POE - AESR - ESR'!AI326</f>
        <v>0</v>
      </c>
      <c r="AJ7" s="29">
        <f>'REG y VAL POE - AESR - ESR'!AJ326</f>
        <v>0</v>
      </c>
      <c r="AK7" s="29">
        <f>'REG y VAL POE - AESR - ESR'!AK326</f>
        <v>0</v>
      </c>
      <c r="AL7" s="29">
        <f>'REG y VAL POE - AESR - ESR'!AL326</f>
        <v>0</v>
      </c>
      <c r="AM7" s="29">
        <f>'REG y VAL POE - AESR - ESR'!AM326</f>
        <v>0</v>
      </c>
      <c r="AN7" s="29">
        <f>'REG y VAL POE - AESR - ESR'!AN326</f>
        <v>0</v>
      </c>
      <c r="AO7" s="29">
        <f>'REG y VAL POE - AESR - ESR'!AO326</f>
        <v>0</v>
      </c>
      <c r="AP7" s="29">
        <f>'REG y VAL POE - AESR - ESR'!AP326</f>
        <v>0</v>
      </c>
      <c r="AQ7" s="29">
        <f>'REG y VAL POE - AESR - ESR'!AQ326</f>
        <v>0</v>
      </c>
      <c r="AR7" s="29">
        <f>'REG y VAL POE - AESR - ESR'!AR326</f>
        <v>0</v>
      </c>
      <c r="AS7" s="29">
        <f>'REG y VAL POE - AESR - ESR'!AS326</f>
        <v>0</v>
      </c>
      <c r="AT7" s="30" t="str">
        <f>'REG y VAL POE - AESR - ESR'!B327</f>
        <v xml:space="preserve">Becerra Poot Monica </v>
      </c>
      <c r="AU7" s="29" t="str">
        <f>'REG y VAL POE - AESR - ESR'!C327</f>
        <v>Sin Registro</v>
      </c>
      <c r="AV7" s="28">
        <f>'REG y VAL POE - AESR - ESR'!D327</f>
        <v>23141267</v>
      </c>
      <c r="AW7" s="29">
        <f>'REG y VAL POE - AESR - ESR'!E327</f>
        <v>0</v>
      </c>
      <c r="AX7" s="28">
        <f>'REG y VAL POE - AESR - ESR'!F327</f>
        <v>0</v>
      </c>
      <c r="AY7" s="31">
        <f>'REG y VAL POE - AESR - ESR'!G327</f>
        <v>0</v>
      </c>
      <c r="AZ7" s="31">
        <f>'REG y VAL POE - AESR - ESR'!H327</f>
        <v>0</v>
      </c>
      <c r="BA7" s="29">
        <f>'REG y VAL POE - AESR - ESR'!I327</f>
        <v>0</v>
      </c>
      <c r="BB7" s="388">
        <f>'REG y VAL POE - AESR - ESR'!J327</f>
        <v>0</v>
      </c>
      <c r="BC7" s="29">
        <f>'REG y VAL POE - AESR - ESR'!K327</f>
        <v>0</v>
      </c>
      <c r="BD7" s="388">
        <f>'REG y VAL POE - AESR - ESR'!L327</f>
        <v>0</v>
      </c>
      <c r="BE7" s="29">
        <f>'REG y VAL POE - AESR - ESR'!M327</f>
        <v>0</v>
      </c>
      <c r="BF7" s="29">
        <f>'REG y VAL POE - AESR - ESR'!N327</f>
        <v>0</v>
      </c>
      <c r="BG7" s="29">
        <f>'REG y VAL POE - AESR - ESR'!O327</f>
        <v>0</v>
      </c>
      <c r="BH7" s="29">
        <f>'REG y VAL POE - AESR - ESR'!P327</f>
        <v>0</v>
      </c>
      <c r="BI7" s="29">
        <f>'REG y VAL POE - AESR - ESR'!Q327</f>
        <v>0</v>
      </c>
      <c r="BJ7" s="29">
        <f>'REG y VAL POE - AESR - ESR'!R327</f>
        <v>0</v>
      </c>
      <c r="BK7" s="29">
        <f>'REG y VAL POE - AESR - ESR'!S327</f>
        <v>0</v>
      </c>
      <c r="BL7" s="29">
        <f>'REG y VAL POE - AESR - ESR'!T327</f>
        <v>0</v>
      </c>
      <c r="BM7" s="29">
        <f>'REG y VAL POE - AESR - ESR'!U327</f>
        <v>0</v>
      </c>
      <c r="BN7" s="29">
        <f>'REG y VAL POE - AESR - ESR'!V327</f>
        <v>0</v>
      </c>
      <c r="BO7" s="29">
        <f>'REG y VAL POE - AESR - ESR'!W327</f>
        <v>0</v>
      </c>
      <c r="BP7" s="29">
        <f>'REG y VAL POE - AESR - ESR'!X327</f>
        <v>0</v>
      </c>
      <c r="BQ7" s="29">
        <f>'REG y VAL POE - AESR - ESR'!Y327</f>
        <v>0</v>
      </c>
      <c r="BR7" s="29">
        <f>'REG y VAL POE - AESR - ESR'!Z327</f>
        <v>0</v>
      </c>
      <c r="BS7" s="29">
        <f>'REG y VAL POE - AESR - ESR'!AA327</f>
        <v>0</v>
      </c>
      <c r="BT7" s="29">
        <f>'REG y VAL POE - AESR - ESR'!AB327</f>
        <v>0</v>
      </c>
      <c r="BU7" s="29">
        <f>'REG y VAL POE - AESR - ESR'!AC327</f>
        <v>0</v>
      </c>
      <c r="BV7" s="29">
        <f>'REG y VAL POE - AESR - ESR'!AD327</f>
        <v>0</v>
      </c>
      <c r="BW7" s="29">
        <f>'REG y VAL POE - AESR - ESR'!AE327</f>
        <v>0</v>
      </c>
      <c r="BX7" s="29">
        <f>'REG y VAL POE - AESR - ESR'!AF327</f>
        <v>0</v>
      </c>
      <c r="BY7" s="29">
        <f>'REG y VAL POE - AESR - ESR'!AG327</f>
        <v>0</v>
      </c>
      <c r="BZ7" s="29">
        <f>'REG y VAL POE - AESR - ESR'!AH327</f>
        <v>0</v>
      </c>
      <c r="CA7" s="29">
        <f>'REG y VAL POE - AESR - ESR'!AI327</f>
        <v>0</v>
      </c>
      <c r="CB7" s="29">
        <f>'REG y VAL POE - AESR - ESR'!AJ327</f>
        <v>0</v>
      </c>
      <c r="CC7" s="29">
        <f>'REG y VAL POE - AESR - ESR'!AK327</f>
        <v>0</v>
      </c>
      <c r="CD7" s="29">
        <f>'REG y VAL POE - AESR - ESR'!AL327</f>
        <v>0</v>
      </c>
      <c r="CE7" s="29">
        <f>'REG y VAL POE - AESR - ESR'!AM327</f>
        <v>0</v>
      </c>
      <c r="CF7" s="29">
        <f>'REG y VAL POE - AESR - ESR'!AN327</f>
        <v>0</v>
      </c>
      <c r="CG7" s="29">
        <f>'REG y VAL POE - AESR - ESR'!AO327</f>
        <v>0</v>
      </c>
      <c r="CH7" s="29">
        <f>'REG y VAL POE - AESR - ESR'!AP327</f>
        <v>0</v>
      </c>
      <c r="CI7" s="29">
        <f>'REG y VAL POE - AESR - ESR'!AQ327</f>
        <v>0</v>
      </c>
      <c r="CJ7" s="29">
        <f>'REG y VAL POE - AESR - ESR'!AR327</f>
        <v>0</v>
      </c>
      <c r="CK7" s="29">
        <f>'REG y VAL POE - AESR - ESR'!AS327</f>
        <v>0</v>
      </c>
      <c r="CL7" s="30" t="str">
        <f>'REG y VAL POE - AESR - ESR'!B328</f>
        <v xml:space="preserve">Castillo Zarate Pedro Alberto </v>
      </c>
      <c r="CM7" s="29" t="str">
        <f>'REG y VAL POE - AESR - ESR'!C328</f>
        <v>Sin Registro</v>
      </c>
      <c r="CN7" s="28">
        <f>'REG y VAL POE - AESR - ESR'!D328</f>
        <v>23054926</v>
      </c>
      <c r="CO7" s="29">
        <f>'REG y VAL POE - AESR - ESR'!E328</f>
        <v>0</v>
      </c>
      <c r="CP7" s="28">
        <f>'REG y VAL POE - AESR - ESR'!F328</f>
        <v>0</v>
      </c>
      <c r="CQ7" s="31">
        <f>'REG y VAL POE - AESR - ESR'!G328</f>
        <v>0</v>
      </c>
      <c r="CR7" s="31">
        <f>'REG y VAL POE - AESR - ESR'!H328</f>
        <v>0</v>
      </c>
      <c r="CS7" s="29">
        <f>'REG y VAL POE - AESR - ESR'!I328</f>
        <v>0</v>
      </c>
      <c r="CT7" s="32">
        <f>'REG y VAL POE - AESR - ESR'!J328</f>
        <v>0</v>
      </c>
      <c r="CU7" s="29">
        <f>'REG y VAL POE - AESR - ESR'!K328</f>
        <v>0</v>
      </c>
      <c r="CV7" s="32">
        <f>'REG y VAL POE - AESR - ESR'!L328</f>
        <v>0</v>
      </c>
      <c r="CW7" s="29">
        <f>'REG y VAL POE - AESR - ESR'!M328</f>
        <v>0</v>
      </c>
      <c r="CX7" s="29">
        <f>'REG y VAL POE - AESR - ESR'!N328</f>
        <v>0</v>
      </c>
      <c r="CY7" s="29">
        <f>'REG y VAL POE - AESR - ESR'!O328</f>
        <v>0</v>
      </c>
      <c r="CZ7" s="29">
        <f>'REG y VAL POE - AESR - ESR'!P328</f>
        <v>0</v>
      </c>
      <c r="DA7" s="29">
        <f>'REG y VAL POE - AESR - ESR'!Q328</f>
        <v>0</v>
      </c>
      <c r="DB7" s="29">
        <f>'REG y VAL POE - AESR - ESR'!R328</f>
        <v>0</v>
      </c>
      <c r="DC7" s="29">
        <f>'REG y VAL POE - AESR - ESR'!S328</f>
        <v>0</v>
      </c>
      <c r="DD7" s="29">
        <f>'REG y VAL POE - AESR - ESR'!T328</f>
        <v>0</v>
      </c>
      <c r="DE7" s="29">
        <f>'REG y VAL POE - AESR - ESR'!U328</f>
        <v>0</v>
      </c>
      <c r="DF7" s="29">
        <f>'REG y VAL POE - AESR - ESR'!V328</f>
        <v>0</v>
      </c>
      <c r="DG7" s="29">
        <f>'REG y VAL POE - AESR - ESR'!W328</f>
        <v>0</v>
      </c>
      <c r="DH7" s="29">
        <f>'REG y VAL POE - AESR - ESR'!X328</f>
        <v>0</v>
      </c>
      <c r="DI7" s="29">
        <f>'REG y VAL POE - AESR - ESR'!Y328</f>
        <v>0</v>
      </c>
      <c r="DJ7" s="29">
        <f>'REG y VAL POE - AESR - ESR'!Z328</f>
        <v>0</v>
      </c>
      <c r="DK7" s="29">
        <f>'REG y VAL POE - AESR - ESR'!AA328</f>
        <v>0</v>
      </c>
      <c r="DL7" s="29">
        <f>'REG y VAL POE - AESR - ESR'!AB328</f>
        <v>0</v>
      </c>
      <c r="DM7" s="29">
        <f>'REG y VAL POE - AESR - ESR'!AC328</f>
        <v>0</v>
      </c>
      <c r="DN7" s="29">
        <f>'REG y VAL POE - AESR - ESR'!AD328</f>
        <v>0</v>
      </c>
      <c r="DO7" s="29">
        <f>'REG y VAL POE - AESR - ESR'!AE328</f>
        <v>0</v>
      </c>
      <c r="DP7" s="29">
        <f>'REG y VAL POE - AESR - ESR'!AF328</f>
        <v>0</v>
      </c>
      <c r="DQ7" s="29">
        <f>'REG y VAL POE - AESR - ESR'!AG328</f>
        <v>0</v>
      </c>
      <c r="DR7" s="29">
        <f>'REG y VAL POE - AESR - ESR'!AH328</f>
        <v>0</v>
      </c>
      <c r="DS7" s="29">
        <f>'REG y VAL POE - AESR - ESR'!AI328</f>
        <v>0</v>
      </c>
      <c r="DT7" s="29">
        <f>'REG y VAL POE - AESR - ESR'!AJ328</f>
        <v>0</v>
      </c>
      <c r="DU7" s="29">
        <f>'REG y VAL POE - AESR - ESR'!AK328</f>
        <v>0</v>
      </c>
      <c r="DV7" s="29">
        <f>'REG y VAL POE - AESR - ESR'!AL328</f>
        <v>0</v>
      </c>
      <c r="DW7" s="29">
        <f>'REG y VAL POE - AESR - ESR'!AM328</f>
        <v>0</v>
      </c>
      <c r="DX7" s="29">
        <f>'REG y VAL POE - AESR - ESR'!AN328</f>
        <v>0</v>
      </c>
      <c r="DY7" s="29">
        <f>'REG y VAL POE - AESR - ESR'!AO328</f>
        <v>0</v>
      </c>
      <c r="DZ7" s="29">
        <f>'REG y VAL POE - AESR - ESR'!AP328</f>
        <v>0</v>
      </c>
      <c r="EA7" s="29">
        <f>'REG y VAL POE - AESR - ESR'!AQ328</f>
        <v>0</v>
      </c>
      <c r="EB7" s="29">
        <f>'REG y VAL POE - AESR - ESR'!AR328</f>
        <v>0</v>
      </c>
      <c r="EC7" s="29">
        <f>'REG y VAL POE - AESR - ESR'!AS328</f>
        <v>0</v>
      </c>
      <c r="ED7" s="30" t="str">
        <f>'REG y VAL POE - AESR - ESR'!B329</f>
        <v>Cervantes Morgado Manuel</v>
      </c>
      <c r="EE7" s="29" t="str">
        <f>'REG y VAL POE - AESR - ESR'!C329</f>
        <v>POE</v>
      </c>
      <c r="EF7" s="28">
        <f>'REG y VAL POE - AESR - ESR'!D329</f>
        <v>23163029</v>
      </c>
      <c r="EG7" s="29">
        <f>'REG y VAL POE - AESR - ESR'!E329</f>
        <v>0</v>
      </c>
      <c r="EH7" s="28">
        <f>'REG y VAL POE - AESR - ESR'!F329</f>
        <v>0</v>
      </c>
      <c r="EI7" s="31">
        <f>'REG y VAL POE - AESR - ESR'!G329</f>
        <v>45474</v>
      </c>
      <c r="EJ7" s="31">
        <f>'REG y VAL POE - AESR - ESR'!H329</f>
        <v>45839</v>
      </c>
      <c r="EK7" s="29" t="str">
        <f>'REG y VAL POE - AESR - ESR'!I329</f>
        <v>SI</v>
      </c>
      <c r="EL7" s="388" t="str">
        <f>'REG y VAL POE - AESR - ESR'!J329</f>
        <v>Vigente</v>
      </c>
      <c r="EM7" s="29" t="str">
        <f>'REG y VAL POE - AESR - ESR'!K329</f>
        <v>SI</v>
      </c>
      <c r="EN7" s="388" t="str">
        <f>'REG y VAL POE - AESR - ESR'!L329</f>
        <v>Vigente</v>
      </c>
      <c r="EO7" s="29" t="str">
        <f>'REG y VAL POE - AESR - ESR'!M329</f>
        <v>NO</v>
      </c>
      <c r="EP7" s="29" t="str">
        <f>'REG y VAL POE - AESR - ESR'!N329</f>
        <v>Apendice ByC no llenos-c/historial aparte-falta firma RL</v>
      </c>
      <c r="EQ7" s="29">
        <f>'REG y VAL POE - AESR - ESR'!O329</f>
        <v>0</v>
      </c>
      <c r="ER7" s="29" t="str">
        <f>'REG y VAL POE - AESR - ESR'!P329</f>
        <v>SI</v>
      </c>
      <c r="ES7" s="29" t="str">
        <f>'REG y VAL POE - AESR - ESR'!Q329</f>
        <v>SI</v>
      </c>
      <c r="ET7" s="29" t="str">
        <f>'REG y VAL POE - AESR - ESR'!R329</f>
        <v>INE NO LEGIBLE</v>
      </c>
      <c r="EU7" s="29" t="str">
        <f>'REG y VAL POE - AESR - ESR'!S329</f>
        <v>SI</v>
      </c>
      <c r="EV7" s="29" t="str">
        <f>'REG y VAL POE - AESR - ESR'!T329</f>
        <v>SI</v>
      </c>
      <c r="EW7" s="29" t="str">
        <f>'REG y VAL POE - AESR - ESR'!U329</f>
        <v>SI</v>
      </c>
      <c r="EX7" s="29" t="str">
        <f>'REG y VAL POE - AESR - ESR'!V329</f>
        <v>SI</v>
      </c>
      <c r="EY7" s="29">
        <f>'REG y VAL POE - AESR - ESR'!W329</f>
        <v>0</v>
      </c>
      <c r="EZ7" s="29">
        <f>'REG y VAL POE - AESR - ESR'!X329</f>
        <v>0</v>
      </c>
      <c r="FA7" s="29">
        <f>'REG y VAL POE - AESR - ESR'!Y329</f>
        <v>0</v>
      </c>
      <c r="FB7" s="29" t="str">
        <f>'REG y VAL POE - AESR - ESR'!Z329</f>
        <v>SI</v>
      </c>
      <c r="FC7" s="29">
        <f>'REG y VAL POE - AESR - ESR'!AA329</f>
        <v>0</v>
      </c>
      <c r="FD7" s="29">
        <f>'REG y VAL POE - AESR - ESR'!AB329</f>
        <v>0</v>
      </c>
      <c r="FE7" s="29">
        <f>'REG y VAL POE - AESR - ESR'!AC329</f>
        <v>0</v>
      </c>
      <c r="FF7" s="29">
        <f>'REG y VAL POE - AESR - ESR'!AD329</f>
        <v>0</v>
      </c>
      <c r="FG7" s="29">
        <f>'REG y VAL POE - AESR - ESR'!AE329</f>
        <v>0</v>
      </c>
      <c r="FH7" s="29" t="str">
        <f>'REG y VAL POE - AESR - ESR'!AF329</f>
        <v>SI</v>
      </c>
      <c r="FI7" s="29">
        <f>'REG y VAL POE - AESR - ESR'!AG329</f>
        <v>0</v>
      </c>
      <c r="FJ7" s="29">
        <f>'REG y VAL POE - AESR - ESR'!AH329</f>
        <v>0</v>
      </c>
      <c r="FK7" s="29">
        <f>'REG y VAL POE - AESR - ESR'!AI329</f>
        <v>0</v>
      </c>
      <c r="FL7" s="29">
        <f>'REG y VAL POE - AESR - ESR'!AJ329</f>
        <v>0</v>
      </c>
      <c r="FM7" s="29">
        <f>'REG y VAL POE - AESR - ESR'!AK329</f>
        <v>0</v>
      </c>
      <c r="FN7" s="29" t="str">
        <f>'REG y VAL POE - AESR - ESR'!AL329</f>
        <v>SI</v>
      </c>
      <c r="FO7" s="29" t="str">
        <f>'REG y VAL POE - AESR - ESR'!AM329</f>
        <v>SI</v>
      </c>
      <c r="FP7" s="29">
        <f>'REG y VAL POE - AESR - ESR'!AN329</f>
        <v>0</v>
      </c>
      <c r="FQ7" s="29">
        <f>'REG y VAL POE - AESR - ESR'!AO329</f>
        <v>0</v>
      </c>
      <c r="FR7" s="29" t="str">
        <f>'REG y VAL POE - AESR - ESR'!AP329</f>
        <v>SI</v>
      </c>
      <c r="FS7" s="29">
        <f>'REG y VAL POE - AESR - ESR'!AQ329</f>
        <v>0</v>
      </c>
      <c r="FT7" s="29" t="str">
        <f>'REG y VAL POE - AESR - ESR'!AR329</f>
        <v>VACIS PORTAL</v>
      </c>
      <c r="FU7" s="29">
        <f>'REG y VAL POE - AESR - ESR'!AS329</f>
        <v>0</v>
      </c>
      <c r="FV7" s="30" t="str">
        <f>'REG y VAL POE - AESR - ESR'!B330</f>
        <v xml:space="preserve">Chao Pedraza Carlos Alberto </v>
      </c>
      <c r="FW7" s="29" t="str">
        <f>'REG y VAL POE - AESR - ESR'!C330</f>
        <v>Sin Registro</v>
      </c>
      <c r="FX7" s="28">
        <f>'REG y VAL POE - AESR - ESR'!D330</f>
        <v>23129480</v>
      </c>
      <c r="FY7" s="29">
        <f>'REG y VAL POE - AESR - ESR'!E330</f>
        <v>0</v>
      </c>
      <c r="FZ7" s="28">
        <f>'REG y VAL POE - AESR - ESR'!F330</f>
        <v>0</v>
      </c>
      <c r="GA7" s="31">
        <f>'REG y VAL POE - AESR - ESR'!G330</f>
        <v>0</v>
      </c>
      <c r="GB7" s="31">
        <f>'REG y VAL POE - AESR - ESR'!H330</f>
        <v>0</v>
      </c>
      <c r="GC7" s="29">
        <f>'REG y VAL POE - AESR - ESR'!I330</f>
        <v>0</v>
      </c>
      <c r="GD7" s="388">
        <f>'REG y VAL POE - AESR - ESR'!J330</f>
        <v>0</v>
      </c>
      <c r="GE7" s="29">
        <f>'REG y VAL POE - AESR - ESR'!K330</f>
        <v>0</v>
      </c>
      <c r="GF7" s="388">
        <f>'REG y VAL POE - AESR - ESR'!L330</f>
        <v>0</v>
      </c>
      <c r="GG7" s="29">
        <f>'REG y VAL POE - AESR - ESR'!M330</f>
        <v>0</v>
      </c>
      <c r="GH7" s="29">
        <f>'REG y VAL POE - AESR - ESR'!N330</f>
        <v>0</v>
      </c>
      <c r="GI7" s="29">
        <f>'REG y VAL POE - AESR - ESR'!O330</f>
        <v>0</v>
      </c>
      <c r="GJ7" s="29">
        <f>'REG y VAL POE - AESR - ESR'!P330</f>
        <v>0</v>
      </c>
      <c r="GK7" s="29">
        <f>'REG y VAL POE - AESR - ESR'!Q330</f>
        <v>0</v>
      </c>
      <c r="GL7" s="29">
        <f>'REG y VAL POE - AESR - ESR'!R330</f>
        <v>0</v>
      </c>
      <c r="GM7" s="29">
        <f>'REG y VAL POE - AESR - ESR'!S330</f>
        <v>0</v>
      </c>
      <c r="GN7" s="29">
        <f>'REG y VAL POE - AESR - ESR'!T330</f>
        <v>0</v>
      </c>
      <c r="GO7" s="29">
        <f>'REG y VAL POE - AESR - ESR'!U330</f>
        <v>0</v>
      </c>
      <c r="GP7" s="29">
        <f>'REG y VAL POE - AESR - ESR'!V330</f>
        <v>0</v>
      </c>
      <c r="GQ7" s="29">
        <f>'REG y VAL POE - AESR - ESR'!W330</f>
        <v>0</v>
      </c>
      <c r="GR7" s="29">
        <f>'REG y VAL POE - AESR - ESR'!X330</f>
        <v>0</v>
      </c>
      <c r="GS7" s="29">
        <f>'REG y VAL POE - AESR - ESR'!Y330</f>
        <v>0</v>
      </c>
      <c r="GT7" s="29">
        <f>'REG y VAL POE - AESR - ESR'!Z330</f>
        <v>0</v>
      </c>
      <c r="GU7" s="29">
        <f>'REG y VAL POE - AESR - ESR'!AA330</f>
        <v>0</v>
      </c>
      <c r="GV7" s="29">
        <f>'REG y VAL POE - AESR - ESR'!AB330</f>
        <v>0</v>
      </c>
      <c r="GW7" s="29">
        <f>'REG y VAL POE - AESR - ESR'!AC330</f>
        <v>0</v>
      </c>
      <c r="GX7" s="29">
        <f>'REG y VAL POE - AESR - ESR'!AD330</f>
        <v>0</v>
      </c>
      <c r="GY7" s="29">
        <f>'REG y VAL POE - AESR - ESR'!AE330</f>
        <v>0</v>
      </c>
      <c r="GZ7" s="29">
        <f>'REG y VAL POE - AESR - ESR'!AF330</f>
        <v>0</v>
      </c>
      <c r="HA7" s="29">
        <f>'REG y VAL POE - AESR - ESR'!AG330</f>
        <v>0</v>
      </c>
      <c r="HB7" s="29">
        <f>'REG y VAL POE - AESR - ESR'!AH330</f>
        <v>0</v>
      </c>
      <c r="HC7" s="29">
        <f>'REG y VAL POE - AESR - ESR'!AI330</f>
        <v>0</v>
      </c>
      <c r="HD7" s="29">
        <f>'REG y VAL POE - AESR - ESR'!AJ330</f>
        <v>0</v>
      </c>
      <c r="HE7" s="29">
        <f>'REG y VAL POE - AESR - ESR'!AK330</f>
        <v>0</v>
      </c>
      <c r="HF7" s="29">
        <f>'REG y VAL POE - AESR - ESR'!AL330</f>
        <v>0</v>
      </c>
      <c r="HG7" s="29">
        <f>'REG y VAL POE - AESR - ESR'!AM330</f>
        <v>0</v>
      </c>
      <c r="HH7" s="29">
        <f>'REG y VAL POE - AESR - ESR'!AN330</f>
        <v>0</v>
      </c>
      <c r="HI7" s="29">
        <f>'REG y VAL POE - AESR - ESR'!AO330</f>
        <v>0</v>
      </c>
      <c r="HJ7" s="29">
        <f>'REG y VAL POE - AESR - ESR'!AP330</f>
        <v>0</v>
      </c>
      <c r="HK7" s="29">
        <f>'REG y VAL POE - AESR - ESR'!AQ330</f>
        <v>0</v>
      </c>
      <c r="HL7" s="29">
        <f>'REG y VAL POE - AESR - ESR'!AR330</f>
        <v>0</v>
      </c>
      <c r="HM7" s="29">
        <f>'REG y VAL POE - AESR - ESR'!AS330</f>
        <v>0</v>
      </c>
      <c r="HN7" s="30" t="str">
        <f>'REG y VAL POE - AESR - ESR'!B331</f>
        <v>Cruz Hernandez Griselda</v>
      </c>
      <c r="HO7" s="29" t="str">
        <f>'REG y VAL POE - AESR - ESR'!C331</f>
        <v>POE</v>
      </c>
      <c r="HP7" s="28">
        <f>'REG y VAL POE - AESR - ESR'!D331</f>
        <v>23140083</v>
      </c>
      <c r="HQ7" s="29">
        <f>'REG y VAL POE - AESR - ESR'!E331</f>
        <v>0</v>
      </c>
      <c r="HR7" s="28">
        <f>'REG y VAL POE - AESR - ESR'!F331</f>
        <v>0</v>
      </c>
      <c r="HS7" s="31" t="str">
        <f>'REG y VAL POE - AESR - ESR'!G331</f>
        <v>26-ABR-23</v>
      </c>
      <c r="HT7" s="31" t="str">
        <f>'REG y VAL POE - AESR - ESR'!H331</f>
        <v>VENCIDA</v>
      </c>
      <c r="HU7" s="29" t="str">
        <f>'REG y VAL POE - AESR - ESR'!I331</f>
        <v>SI</v>
      </c>
      <c r="HV7" s="388" t="str">
        <f>'REG y VAL POE - AESR - ESR'!J331</f>
        <v>VENCIDA</v>
      </c>
      <c r="HW7" s="29" t="str">
        <f>'REG y VAL POE - AESR - ESR'!K331</f>
        <v>SI</v>
      </c>
      <c r="HX7" s="388" t="str">
        <f>'REG y VAL POE - AESR - ESR'!L331</f>
        <v>VENCIDA</v>
      </c>
      <c r="HY7" s="29" t="str">
        <f>'REG y VAL POE - AESR - ESR'!M331</f>
        <v>NO</v>
      </c>
      <c r="HZ7" s="29" t="str">
        <f>'REG y VAL POE - AESR - ESR'!N331</f>
        <v>Apendice ByC no llenos-c/historial aparte-falta firma RL</v>
      </c>
      <c r="IA7" s="29" t="str">
        <f>'REG y VAL POE - AESR - ESR'!O331</f>
        <v>SI</v>
      </c>
      <c r="IB7" s="29">
        <f>'REG y VAL POE - AESR - ESR'!P331</f>
        <v>0</v>
      </c>
      <c r="IC7" s="29" t="str">
        <f>'REG y VAL POE - AESR - ESR'!Q331</f>
        <v>SI</v>
      </c>
      <c r="ID7" s="29" t="str">
        <f>'REG y VAL POE - AESR - ESR'!R331</f>
        <v>SI</v>
      </c>
      <c r="IE7" s="29" t="str">
        <f>'REG y VAL POE - AESR - ESR'!S331</f>
        <v>SI</v>
      </c>
      <c r="IF7" s="29" t="str">
        <f>'REG y VAL POE - AESR - ESR'!T331</f>
        <v>SI</v>
      </c>
      <c r="IG7" s="29" t="str">
        <f>'REG y VAL POE - AESR - ESR'!U331</f>
        <v>NO</v>
      </c>
      <c r="IH7" s="29" t="str">
        <f>'REG y VAL POE - AESR - ESR'!V331</f>
        <v>SI</v>
      </c>
      <c r="II7" s="29">
        <f>'REG y VAL POE - AESR - ESR'!W331</f>
        <v>0</v>
      </c>
      <c r="IJ7" s="29">
        <f>'REG y VAL POE - AESR - ESR'!X331</f>
        <v>0</v>
      </c>
      <c r="IK7" s="29">
        <f>'REG y VAL POE - AESR - ESR'!Y331</f>
        <v>0</v>
      </c>
      <c r="IL7" s="29" t="str">
        <f>'REG y VAL POE - AESR - ESR'!Z331</f>
        <v>SI</v>
      </c>
      <c r="IM7" s="29">
        <f>'REG y VAL POE - AESR - ESR'!AA331</f>
        <v>0</v>
      </c>
      <c r="IN7" s="29">
        <f>'REG y VAL POE - AESR - ESR'!AB331</f>
        <v>0</v>
      </c>
      <c r="IO7" s="29">
        <f>'REG y VAL POE - AESR - ESR'!AC331</f>
        <v>0</v>
      </c>
      <c r="IP7" s="29">
        <f>'REG y VAL POE - AESR - ESR'!AD331</f>
        <v>0</v>
      </c>
      <c r="IQ7" s="29">
        <f>'REG y VAL POE - AESR - ESR'!AE331</f>
        <v>0</v>
      </c>
      <c r="IR7" s="29">
        <f>'REG y VAL POE - AESR - ESR'!AF331</f>
        <v>0</v>
      </c>
      <c r="IS7" s="29">
        <f>'REG y VAL POE - AESR - ESR'!AG331</f>
        <v>0</v>
      </c>
      <c r="IT7" s="29">
        <f>'REG y VAL POE - AESR - ESR'!AH331</f>
        <v>0</v>
      </c>
      <c r="IU7" s="29">
        <f>'REG y VAL POE - AESR - ESR'!AI331</f>
        <v>0</v>
      </c>
      <c r="IV7" s="29">
        <f>'REG y VAL POE - AESR - ESR'!AJ331</f>
        <v>0</v>
      </c>
      <c r="IW7" s="29">
        <f>'REG y VAL POE - AESR - ESR'!AK331</f>
        <v>0</v>
      </c>
      <c r="IX7" s="29" t="str">
        <f>'REG y VAL POE - AESR - ESR'!AL331</f>
        <v>SI</v>
      </c>
      <c r="IY7" s="29" t="str">
        <f>'REG y VAL POE - AESR - ESR'!AM331</f>
        <v>SI</v>
      </c>
      <c r="IZ7" s="29">
        <f>'REG y VAL POE - AESR - ESR'!AN331</f>
        <v>0</v>
      </c>
      <c r="JA7" s="29">
        <f>'REG y VAL POE - AESR - ESR'!AO331</f>
        <v>0</v>
      </c>
      <c r="JB7" s="29">
        <f>'REG y VAL POE - AESR - ESR'!AP331</f>
        <v>0</v>
      </c>
      <c r="JC7" s="29">
        <f>'REG y VAL POE - AESR - ESR'!AQ331</f>
        <v>0</v>
      </c>
      <c r="JD7" s="29" t="str">
        <f>'REG y VAL POE - AESR - ESR'!AR331</f>
        <v>VACIS PORTAL</v>
      </c>
      <c r="JE7" s="29">
        <f>'REG y VAL POE - AESR - ESR'!AS331</f>
        <v>0</v>
      </c>
      <c r="JF7" s="30" t="str">
        <f>'REG y VAL POE - AESR - ESR'!B332</f>
        <v>Diaz Rodriguez Sergio</v>
      </c>
      <c r="JG7" s="29" t="str">
        <f>'REG y VAL POE - AESR - ESR'!C332</f>
        <v>POE</v>
      </c>
      <c r="JH7" s="28">
        <f>'REG y VAL POE - AESR - ESR'!D332</f>
        <v>23133842</v>
      </c>
      <c r="JI7" s="29">
        <f>'REG y VAL POE - AESR - ESR'!E332</f>
        <v>0</v>
      </c>
      <c r="JJ7" s="28">
        <f>'REG y VAL POE - AESR - ESR'!F332</f>
        <v>0</v>
      </c>
      <c r="JK7" s="31" t="str">
        <f>'REG y VAL POE - AESR - ESR'!G332</f>
        <v>25-ABR-23</v>
      </c>
      <c r="JL7" s="31" t="str">
        <f>'REG y VAL POE - AESR - ESR'!H332</f>
        <v>VENCIDA</v>
      </c>
      <c r="JM7" s="29" t="str">
        <f>'REG y VAL POE - AESR - ESR'!I332</f>
        <v>SI</v>
      </c>
      <c r="JN7" s="388" t="str">
        <f>'REG y VAL POE - AESR - ESR'!J332</f>
        <v>VENCIDA</v>
      </c>
      <c r="JO7" s="29" t="str">
        <f>'REG y VAL POE - AESR - ESR'!K332</f>
        <v>SI</v>
      </c>
      <c r="JP7" s="388" t="str">
        <f>'REG y VAL POE - AESR - ESR'!L332</f>
        <v>VENCIDA</v>
      </c>
      <c r="JQ7" s="29" t="str">
        <f>'REG y VAL POE - AESR - ESR'!M332</f>
        <v>NO</v>
      </c>
      <c r="JR7" s="29" t="str">
        <f>'REG y VAL POE - AESR - ESR'!N332</f>
        <v>Apendice ByC no llenos-c/historial aparte-falta firma RL</v>
      </c>
      <c r="JS7" s="29">
        <f>'REG y VAL POE - AESR - ESR'!O332</f>
        <v>0</v>
      </c>
      <c r="JT7" s="29" t="str">
        <f>'REG y VAL POE - AESR - ESR'!P332</f>
        <v>SI</v>
      </c>
      <c r="JU7" s="29" t="str">
        <f>'REG y VAL POE - AESR - ESR'!Q332</f>
        <v>SI</v>
      </c>
      <c r="JV7" s="29" t="str">
        <f>'REG y VAL POE - AESR - ESR'!R332</f>
        <v>SI</v>
      </c>
      <c r="JW7" s="29" t="str">
        <f>'REG y VAL POE - AESR - ESR'!S332</f>
        <v>SI</v>
      </c>
      <c r="JX7" s="29" t="str">
        <f>'REG y VAL POE - AESR - ESR'!T332</f>
        <v>SI</v>
      </c>
      <c r="JY7" s="29" t="str">
        <f>'REG y VAL POE - AESR - ESR'!U332</f>
        <v>NO</v>
      </c>
      <c r="JZ7" s="29" t="str">
        <f>'REG y VAL POE - AESR - ESR'!V332</f>
        <v>SI</v>
      </c>
      <c r="KA7" s="29">
        <f>'REG y VAL POE - AESR - ESR'!W332</f>
        <v>0</v>
      </c>
      <c r="KB7" s="29">
        <f>'REG y VAL POE - AESR - ESR'!X332</f>
        <v>0</v>
      </c>
      <c r="KC7" s="29">
        <f>'REG y VAL POE - AESR - ESR'!Y332</f>
        <v>0</v>
      </c>
      <c r="KD7" s="29">
        <f>'REG y VAL POE - AESR - ESR'!Z332</f>
        <v>0</v>
      </c>
      <c r="KE7" s="29">
        <f>'REG y VAL POE - AESR - ESR'!AA332</f>
        <v>0</v>
      </c>
      <c r="KF7" s="29">
        <f>'REG y VAL POE - AESR - ESR'!AB332</f>
        <v>0</v>
      </c>
      <c r="KG7" s="29">
        <f>'REG y VAL POE - AESR - ESR'!AC332</f>
        <v>0</v>
      </c>
      <c r="KH7" s="29">
        <f>'REG y VAL POE - AESR - ESR'!AD332</f>
        <v>0</v>
      </c>
      <c r="KI7" s="29">
        <f>'REG y VAL POE - AESR - ESR'!AE332</f>
        <v>0</v>
      </c>
      <c r="KJ7" s="29">
        <f>'REG y VAL POE - AESR - ESR'!AF332</f>
        <v>0</v>
      </c>
      <c r="KK7" s="29">
        <f>'REG y VAL POE - AESR - ESR'!AG332</f>
        <v>0</v>
      </c>
      <c r="KL7" s="29">
        <f>'REG y VAL POE - AESR - ESR'!AH332</f>
        <v>0</v>
      </c>
      <c r="KM7" s="29">
        <f>'REG y VAL POE - AESR - ESR'!AI332</f>
        <v>0</v>
      </c>
      <c r="KN7" s="29">
        <f>'REG y VAL POE - AESR - ESR'!AJ332</f>
        <v>0</v>
      </c>
      <c r="KO7" s="29">
        <f>'REG y VAL POE - AESR - ESR'!AK332</f>
        <v>0</v>
      </c>
      <c r="KP7" s="29">
        <f>'REG y VAL POE - AESR - ESR'!AL332</f>
        <v>0</v>
      </c>
      <c r="KQ7" s="29">
        <f>'REG y VAL POE - AESR - ESR'!AM332</f>
        <v>0</v>
      </c>
      <c r="KR7" s="29">
        <f>'REG y VAL POE - AESR - ESR'!AN332</f>
        <v>0</v>
      </c>
      <c r="KS7" s="29">
        <f>'REG y VAL POE - AESR - ESR'!AO332</f>
        <v>0</v>
      </c>
      <c r="KT7" s="29" t="str">
        <f>'REG y VAL POE - AESR - ESR'!AP332</f>
        <v>SI</v>
      </c>
      <c r="KU7" s="29">
        <f>'REG y VAL POE - AESR - ESR'!AQ332</f>
        <v>0</v>
      </c>
      <c r="KV7" s="29">
        <f>'REG y VAL POE - AESR - ESR'!AR332</f>
        <v>0</v>
      </c>
      <c r="KW7" s="29">
        <f>'REG y VAL POE - AESR - ESR'!AS332</f>
        <v>0</v>
      </c>
      <c r="KX7" s="30" t="str">
        <f>'REG y VAL POE - AESR - ESR'!B333</f>
        <v xml:space="preserve">Fernando Nino David </v>
      </c>
      <c r="KY7" s="29" t="str">
        <f>'REG y VAL POE - AESR - ESR'!C333</f>
        <v>Sin Registro</v>
      </c>
      <c r="KZ7" s="28">
        <f>'REG y VAL POE - AESR - ESR'!D333</f>
        <v>23145221</v>
      </c>
      <c r="LA7" s="29">
        <f>'REG y VAL POE - AESR - ESR'!E333</f>
        <v>0</v>
      </c>
      <c r="LB7" s="28">
        <f>'REG y VAL POE - AESR - ESR'!F333</f>
        <v>0</v>
      </c>
      <c r="LC7" s="31">
        <f>'REG y VAL POE - AESR - ESR'!G333</f>
        <v>0</v>
      </c>
      <c r="LD7" s="31">
        <f>'REG y VAL POE - AESR - ESR'!H333</f>
        <v>0</v>
      </c>
      <c r="LE7" s="29">
        <f>'REG y VAL POE - AESR - ESR'!I333</f>
        <v>0</v>
      </c>
      <c r="LF7" s="388">
        <f>'REG y VAL POE - AESR - ESR'!J333</f>
        <v>0</v>
      </c>
      <c r="LG7" s="29">
        <f>'REG y VAL POE - AESR - ESR'!K333</f>
        <v>0</v>
      </c>
      <c r="LH7" s="388">
        <f>'REG y VAL POE - AESR - ESR'!L333</f>
        <v>0</v>
      </c>
      <c r="LI7" s="29">
        <f>'REG y VAL POE - AESR - ESR'!M333</f>
        <v>0</v>
      </c>
      <c r="LJ7" s="29">
        <f>'REG y VAL POE - AESR - ESR'!N333</f>
        <v>0</v>
      </c>
      <c r="LK7" s="29">
        <f>'REG y VAL POE - AESR - ESR'!O333</f>
        <v>0</v>
      </c>
      <c r="LL7" s="29">
        <f>'REG y VAL POE - AESR - ESR'!P333</f>
        <v>0</v>
      </c>
      <c r="LM7" s="29">
        <f>'REG y VAL POE - AESR - ESR'!Q333</f>
        <v>0</v>
      </c>
      <c r="LN7" s="29">
        <f>'REG y VAL POE - AESR - ESR'!R333</f>
        <v>0</v>
      </c>
      <c r="LO7" s="29">
        <f>'REG y VAL POE - AESR - ESR'!S333</f>
        <v>0</v>
      </c>
      <c r="LP7" s="29">
        <f>'REG y VAL POE - AESR - ESR'!T333</f>
        <v>0</v>
      </c>
      <c r="LQ7" s="29">
        <f>'REG y VAL POE - AESR - ESR'!U333</f>
        <v>0</v>
      </c>
      <c r="LR7" s="29">
        <f>'REG y VAL POE - AESR - ESR'!V333</f>
        <v>0</v>
      </c>
      <c r="LS7" s="29">
        <f>'REG y VAL POE - AESR - ESR'!W333</f>
        <v>0</v>
      </c>
      <c r="LT7" s="29">
        <f>'REG y VAL POE - AESR - ESR'!X333</f>
        <v>0</v>
      </c>
      <c r="LU7" s="29">
        <f>'REG y VAL POE - AESR - ESR'!Y333</f>
        <v>0</v>
      </c>
      <c r="LV7" s="29">
        <f>'REG y VAL POE - AESR - ESR'!Z333</f>
        <v>0</v>
      </c>
      <c r="LW7" s="29">
        <f>'REG y VAL POE - AESR - ESR'!AA333</f>
        <v>0</v>
      </c>
      <c r="LX7" s="29">
        <f>'REG y VAL POE - AESR - ESR'!AB333</f>
        <v>0</v>
      </c>
      <c r="LY7" s="29">
        <f>'REG y VAL POE - AESR - ESR'!AC333</f>
        <v>0</v>
      </c>
      <c r="LZ7" s="29">
        <f>'REG y VAL POE - AESR - ESR'!AD333</f>
        <v>0</v>
      </c>
      <c r="MA7" s="29">
        <f>'REG y VAL POE - AESR - ESR'!AE333</f>
        <v>0</v>
      </c>
      <c r="MB7" s="29">
        <f>'REG y VAL POE - AESR - ESR'!AF333</f>
        <v>0</v>
      </c>
      <c r="MC7" s="29">
        <f>'REG y VAL POE - AESR - ESR'!AG333</f>
        <v>0</v>
      </c>
      <c r="MD7" s="29">
        <f>'REG y VAL POE - AESR - ESR'!AH333</f>
        <v>0</v>
      </c>
      <c r="ME7" s="29">
        <f>'REG y VAL POE - AESR - ESR'!AI333</f>
        <v>0</v>
      </c>
      <c r="MF7" s="29">
        <f>'REG y VAL POE - AESR - ESR'!AJ333</f>
        <v>0</v>
      </c>
      <c r="MG7" s="29">
        <f>'REG y VAL POE - AESR - ESR'!AK333</f>
        <v>0</v>
      </c>
      <c r="MH7" s="29">
        <f>'REG y VAL POE - AESR - ESR'!AL333</f>
        <v>0</v>
      </c>
      <c r="MI7" s="29">
        <f>'REG y VAL POE - AESR - ESR'!AM333</f>
        <v>0</v>
      </c>
      <c r="MJ7" s="29">
        <f>'REG y VAL POE - AESR - ESR'!AN333</f>
        <v>0</v>
      </c>
      <c r="MK7" s="29">
        <f>'REG y VAL POE - AESR - ESR'!AO333</f>
        <v>0</v>
      </c>
      <c r="ML7" s="29">
        <f>'REG y VAL POE - AESR - ESR'!AP333</f>
        <v>0</v>
      </c>
      <c r="MM7" s="29">
        <f>'REG y VAL POE - AESR - ESR'!AQ333</f>
        <v>0</v>
      </c>
      <c r="MN7" s="29">
        <f>'REG y VAL POE - AESR - ESR'!AR333</f>
        <v>0</v>
      </c>
      <c r="MO7" s="29">
        <f>'REG y VAL POE - AESR - ESR'!AS333</f>
        <v>0</v>
      </c>
      <c r="MP7" s="30" t="str">
        <f>'REG y VAL POE - AESR - ESR'!B334</f>
        <v>Flores Rodriguez Mayra</v>
      </c>
      <c r="MQ7" s="29" t="str">
        <f>'REG y VAL POE - AESR - ESR'!C334</f>
        <v>POE</v>
      </c>
      <c r="MR7" s="28">
        <f>'REG y VAL POE - AESR - ESR'!D334</f>
        <v>23137029</v>
      </c>
      <c r="MS7" s="29">
        <f>'REG y VAL POE - AESR - ESR'!E334</f>
        <v>0</v>
      </c>
      <c r="MT7" s="28">
        <f>'REG y VAL POE - AESR - ESR'!F334</f>
        <v>0</v>
      </c>
      <c r="MU7" s="31">
        <f>'REG y VAL POE - AESR - ESR'!G334</f>
        <v>45474</v>
      </c>
      <c r="MV7" s="31">
        <f>'REG y VAL POE - AESR - ESR'!H334</f>
        <v>45839</v>
      </c>
      <c r="MW7" s="29" t="str">
        <f>'REG y VAL POE - AESR - ESR'!I334</f>
        <v>SI</v>
      </c>
      <c r="MX7" s="388" t="str">
        <f>'REG y VAL POE - AESR - ESR'!J334</f>
        <v>Vigente</v>
      </c>
      <c r="MY7" s="29" t="str">
        <f>'REG y VAL POE - AESR - ESR'!K334</f>
        <v>SI</v>
      </c>
      <c r="MZ7" s="388" t="str">
        <f>'REG y VAL POE - AESR - ESR'!L334</f>
        <v>Vigente</v>
      </c>
      <c r="NA7" s="29" t="str">
        <f>'REG y VAL POE - AESR - ESR'!M334</f>
        <v>NO</v>
      </c>
      <c r="NB7" s="29" t="str">
        <f>'REG y VAL POE - AESR - ESR'!N334</f>
        <v>Apendice ByC no llenos-c/historial aparte-falta firma RL</v>
      </c>
      <c r="NC7" s="29" t="str">
        <f>'REG y VAL POE - AESR - ESR'!O334</f>
        <v>CARTA PASANTE</v>
      </c>
      <c r="ND7" s="29">
        <f>'REG y VAL POE - AESR - ESR'!P334</f>
        <v>0</v>
      </c>
      <c r="NE7" s="29" t="str">
        <f>'REG y VAL POE - AESR - ESR'!Q334</f>
        <v>SI</v>
      </c>
      <c r="NF7" s="29" t="str">
        <f>'REG y VAL POE - AESR - ESR'!R334</f>
        <v>SI</v>
      </c>
      <c r="NG7" s="29" t="str">
        <f>'REG y VAL POE - AESR - ESR'!S334</f>
        <v>SI</v>
      </c>
      <c r="NH7" s="29" t="str">
        <f>'REG y VAL POE - AESR - ESR'!T334</f>
        <v>SI</v>
      </c>
      <c r="NI7" s="29" t="str">
        <f>'REG y VAL POE - AESR - ESR'!U334</f>
        <v>SI</v>
      </c>
      <c r="NJ7" s="29" t="str">
        <f>'REG y VAL POE - AESR - ESR'!V334</f>
        <v>SI</v>
      </c>
      <c r="NK7" s="29">
        <f>'REG y VAL POE - AESR - ESR'!W334</f>
        <v>0</v>
      </c>
      <c r="NL7" s="29">
        <f>'REG y VAL POE - AESR - ESR'!X334</f>
        <v>0</v>
      </c>
      <c r="NM7" s="29">
        <f>'REG y VAL POE - AESR - ESR'!Y334</f>
        <v>0</v>
      </c>
      <c r="NN7" s="29">
        <f>'REG y VAL POE - AESR - ESR'!Z334</f>
        <v>0</v>
      </c>
      <c r="NO7" s="29">
        <f>'REG y VAL POE - AESR - ESR'!AA334</f>
        <v>0</v>
      </c>
      <c r="NP7" s="29">
        <f>'REG y VAL POE - AESR - ESR'!AB334</f>
        <v>0</v>
      </c>
      <c r="NQ7" s="29">
        <f>'REG y VAL POE - AESR - ESR'!AC334</f>
        <v>0</v>
      </c>
      <c r="NR7" s="29">
        <f>'REG y VAL POE - AESR - ESR'!AD334</f>
        <v>0</v>
      </c>
      <c r="NS7" s="29">
        <f>'REG y VAL POE - AESR - ESR'!AE334</f>
        <v>0</v>
      </c>
      <c r="NT7" s="29">
        <f>'REG y VAL POE - AESR - ESR'!AF334</f>
        <v>0</v>
      </c>
      <c r="NU7" s="29">
        <f>'REG y VAL POE - AESR - ESR'!AG334</f>
        <v>0</v>
      </c>
      <c r="NV7" s="29">
        <f>'REG y VAL POE - AESR - ESR'!AH334</f>
        <v>0</v>
      </c>
      <c r="NW7" s="29">
        <f>'REG y VAL POE - AESR - ESR'!AI334</f>
        <v>0</v>
      </c>
      <c r="NX7" s="29">
        <f>'REG y VAL POE - AESR - ESR'!AJ334</f>
        <v>0</v>
      </c>
      <c r="NY7" s="29">
        <f>'REG y VAL POE - AESR - ESR'!AK334</f>
        <v>0</v>
      </c>
      <c r="NZ7" s="29" t="str">
        <f>'REG y VAL POE - AESR - ESR'!AL334</f>
        <v>SI</v>
      </c>
      <c r="OA7" s="29" t="str">
        <f>'REG y VAL POE - AESR - ESR'!AM334</f>
        <v>SI</v>
      </c>
      <c r="OB7" s="29">
        <f>'REG y VAL POE - AESR - ESR'!AN334</f>
        <v>0</v>
      </c>
      <c r="OC7" s="29">
        <f>'REG y VAL POE - AESR - ESR'!AO334</f>
        <v>0</v>
      </c>
      <c r="OD7" s="29">
        <f>'REG y VAL POE - AESR - ESR'!AP334</f>
        <v>0</v>
      </c>
      <c r="OE7" s="29">
        <f>'REG y VAL POE - AESR - ESR'!AQ334</f>
        <v>0</v>
      </c>
      <c r="OF7" s="29" t="str">
        <f>'REG y VAL POE - AESR - ESR'!AR334</f>
        <v>THSCAN</v>
      </c>
      <c r="OG7" s="29">
        <f>'REG y VAL POE - AESR - ESR'!AS334</f>
        <v>0</v>
      </c>
      <c r="OH7" s="30" t="str">
        <f>'REG y VAL POE - AESR - ESR'!B335</f>
        <v>Gallegos Lazaro Estephania Yulieth</v>
      </c>
      <c r="OI7" s="29" t="str">
        <f>'REG y VAL POE - AESR - ESR'!C335</f>
        <v>POE</v>
      </c>
      <c r="OJ7" s="28">
        <f>'REG y VAL POE - AESR - ESR'!D335</f>
        <v>23169335</v>
      </c>
      <c r="OK7" s="29">
        <f>'REG y VAL POE - AESR - ESR'!E335</f>
        <v>0</v>
      </c>
      <c r="OL7" s="28">
        <f>'REG y VAL POE - AESR - ESR'!F335</f>
        <v>0</v>
      </c>
      <c r="OM7" s="31">
        <f>'REG y VAL POE - AESR - ESR'!G335</f>
        <v>45474</v>
      </c>
      <c r="ON7" s="31">
        <f>'REG y VAL POE - AESR - ESR'!H335</f>
        <v>45839</v>
      </c>
      <c r="OO7" s="29" t="str">
        <f>'REG y VAL POE - AESR - ESR'!I335</f>
        <v>SI</v>
      </c>
      <c r="OP7" s="388" t="str">
        <f>'REG y VAL POE - AESR - ESR'!J335</f>
        <v>Vigente</v>
      </c>
      <c r="OQ7" s="29" t="str">
        <f>'REG y VAL POE - AESR - ESR'!K335</f>
        <v>SI</v>
      </c>
      <c r="OR7" s="388" t="str">
        <f>'REG y VAL POE - AESR - ESR'!L335</f>
        <v>Vigente</v>
      </c>
      <c r="OS7" s="29" t="str">
        <f>'REG y VAL POE - AESR - ESR'!M335</f>
        <v>NO</v>
      </c>
      <c r="OT7" s="29" t="str">
        <f>'REG y VAL POE - AESR - ESR'!N335</f>
        <v>Apendice ByC no llenos-c/historial aparte-falta firma RL</v>
      </c>
      <c r="OU7" s="29" t="str">
        <f>'REG y VAL POE - AESR - ESR'!O335</f>
        <v>CONSTANCIA</v>
      </c>
      <c r="OV7" s="29">
        <f>'REG y VAL POE - AESR - ESR'!P335</f>
        <v>0</v>
      </c>
      <c r="OW7" s="29" t="str">
        <f>'REG y VAL POE - AESR - ESR'!Q335</f>
        <v>SI</v>
      </c>
      <c r="OX7" s="29" t="str">
        <f>'REG y VAL POE - AESR - ESR'!R335</f>
        <v>SI</v>
      </c>
      <c r="OY7" s="29" t="str">
        <f>'REG y VAL POE - AESR - ESR'!S335</f>
        <v>SI</v>
      </c>
      <c r="OZ7" s="29" t="str">
        <f>'REG y VAL POE - AESR - ESR'!T335</f>
        <v>SI</v>
      </c>
      <c r="PA7" s="29" t="str">
        <f>'REG y VAL POE - AESR - ESR'!U335</f>
        <v>SI</v>
      </c>
      <c r="PB7" s="29" t="str">
        <f>'REG y VAL POE - AESR - ESR'!V335</f>
        <v>SI</v>
      </c>
      <c r="PC7" s="29">
        <f>'REG y VAL POE - AESR - ESR'!W335</f>
        <v>0</v>
      </c>
      <c r="PD7" s="29">
        <f>'REG y VAL POE - AESR - ESR'!X335</f>
        <v>0</v>
      </c>
      <c r="PE7" s="29">
        <f>'REG y VAL POE - AESR - ESR'!Y335</f>
        <v>0</v>
      </c>
      <c r="PF7" s="29" t="str">
        <f>'REG y VAL POE - AESR - ESR'!Z335</f>
        <v>SI</v>
      </c>
      <c r="PG7" s="29">
        <f>'REG y VAL POE - AESR - ESR'!AA335</f>
        <v>0</v>
      </c>
      <c r="PH7" s="29">
        <f>'REG y VAL POE - AESR - ESR'!AB335</f>
        <v>0</v>
      </c>
      <c r="PI7" s="29">
        <f>'REG y VAL POE - AESR - ESR'!AC335</f>
        <v>0</v>
      </c>
      <c r="PJ7" s="29">
        <f>'REG y VAL POE - AESR - ESR'!AD335</f>
        <v>0</v>
      </c>
      <c r="PK7" s="29">
        <f>'REG y VAL POE - AESR - ESR'!AE335</f>
        <v>0</v>
      </c>
      <c r="PL7" s="29">
        <f>'REG y VAL POE - AESR - ESR'!AF335</f>
        <v>0</v>
      </c>
      <c r="PM7" s="29">
        <f>'REG y VAL POE - AESR - ESR'!AG335</f>
        <v>0</v>
      </c>
      <c r="PN7" s="29">
        <f>'REG y VAL POE - AESR - ESR'!AH335</f>
        <v>0</v>
      </c>
      <c r="PO7" s="29">
        <f>'REG y VAL POE - AESR - ESR'!AI335</f>
        <v>0</v>
      </c>
      <c r="PP7" s="29">
        <f>'REG y VAL POE - AESR - ESR'!AJ335</f>
        <v>0</v>
      </c>
      <c r="PQ7" s="29">
        <f>'REG y VAL POE - AESR - ESR'!AK335</f>
        <v>0</v>
      </c>
      <c r="PR7" s="29">
        <f>'REG y VAL POE - AESR - ESR'!AL335</f>
        <v>0</v>
      </c>
      <c r="PS7" s="29">
        <f>'REG y VAL POE - AESR - ESR'!AM335</f>
        <v>0</v>
      </c>
      <c r="PT7" s="29">
        <f>'REG y VAL POE - AESR - ESR'!AN335</f>
        <v>0</v>
      </c>
      <c r="PU7" s="29">
        <f>'REG y VAL POE - AESR - ESR'!AO335</f>
        <v>0</v>
      </c>
      <c r="PV7" s="29" t="str">
        <f>'REG y VAL POE - AESR - ESR'!AP335</f>
        <v>SI</v>
      </c>
      <c r="PW7" s="29">
        <f>'REG y VAL POE - AESR - ESR'!AQ335</f>
        <v>0</v>
      </c>
      <c r="PX7" s="29">
        <f>'REG y VAL POE - AESR - ESR'!AR335</f>
        <v>0</v>
      </c>
      <c r="PY7" s="29">
        <f>'REG y VAL POE - AESR - ESR'!AS335</f>
        <v>0</v>
      </c>
      <c r="PZ7" s="30" t="str">
        <f>'REG y VAL POE - AESR - ESR'!B336</f>
        <v>Gomez Trejo David Abraham</v>
      </c>
      <c r="QA7" s="29" t="str">
        <f>'REG y VAL POE - AESR - ESR'!C336</f>
        <v>ESR</v>
      </c>
      <c r="QB7" s="28">
        <f>'REG y VAL POE - AESR - ESR'!D336</f>
        <v>23165489</v>
      </c>
      <c r="QC7" s="29">
        <f>'REG y VAL POE - AESR - ESR'!E336</f>
        <v>0</v>
      </c>
      <c r="QD7" s="28">
        <f>'REG y VAL POE - AESR - ESR'!F336</f>
        <v>0</v>
      </c>
      <c r="QE7" s="31">
        <f>'REG y VAL POE - AESR - ESR'!G336</f>
        <v>45408</v>
      </c>
      <c r="QF7" s="31" t="str">
        <f>'REG y VAL POE - AESR - ESR'!H336</f>
        <v>VENCIDA</v>
      </c>
      <c r="QG7" s="29" t="str">
        <f>'REG y VAL POE - AESR - ESR'!I336</f>
        <v>SI</v>
      </c>
      <c r="QH7" s="388" t="str">
        <f>'REG y VAL POE - AESR - ESR'!J336</f>
        <v>Vencida</v>
      </c>
      <c r="QI7" s="29" t="str">
        <f>'REG y VAL POE - AESR - ESR'!K336</f>
        <v>SI</v>
      </c>
      <c r="QJ7" s="388" t="str">
        <f>'REG y VAL POE - AESR - ESR'!L336</f>
        <v>Vencida</v>
      </c>
      <c r="QK7" s="29" t="str">
        <f>'REG y VAL POE - AESR - ESR'!M336</f>
        <v>NO</v>
      </c>
      <c r="QL7" s="29" t="str">
        <f>'REG y VAL POE - AESR - ESR'!N336</f>
        <v>Apendice ByC no llenos-c/historial aparte-falta firma RL</v>
      </c>
      <c r="QM7" s="29">
        <f>'REG y VAL POE - AESR - ESR'!O336</f>
        <v>0</v>
      </c>
      <c r="QN7" s="29" t="str">
        <f>'REG y VAL POE - AESR - ESR'!P336</f>
        <v>SI</v>
      </c>
      <c r="QO7" s="29" t="str">
        <f>'REG y VAL POE - AESR - ESR'!Q336</f>
        <v>SI</v>
      </c>
      <c r="QP7" s="29" t="str">
        <f>'REG y VAL POE - AESR - ESR'!R336</f>
        <v>SI</v>
      </c>
      <c r="QQ7" s="29" t="str">
        <f>'REG y VAL POE - AESR - ESR'!S336</f>
        <v>SI</v>
      </c>
      <c r="QR7" s="29" t="str">
        <f>'REG y VAL POE - AESR - ESR'!T336</f>
        <v>SI</v>
      </c>
      <c r="QS7" s="29" t="str">
        <f>'REG y VAL POE - AESR - ESR'!U336</f>
        <v>SI</v>
      </c>
      <c r="QT7" s="29">
        <f>'REG y VAL POE - AESR - ESR'!V336</f>
        <v>0</v>
      </c>
      <c r="QU7" s="29" t="str">
        <f>'REG y VAL POE - AESR - ESR'!W336</f>
        <v>Si</v>
      </c>
      <c r="QV7" s="29">
        <f>'REG y VAL POE - AESR - ESR'!X336</f>
        <v>0</v>
      </c>
      <c r="QW7" s="29">
        <f>'REG y VAL POE - AESR - ESR'!Y336</f>
        <v>0</v>
      </c>
      <c r="QX7" s="29" t="str">
        <f>'REG y VAL POE - AESR - ESR'!Z336</f>
        <v>SI</v>
      </c>
      <c r="QY7" s="29">
        <f>'REG y VAL POE - AESR - ESR'!AA336</f>
        <v>0</v>
      </c>
      <c r="QZ7" s="29">
        <f>'REG y VAL POE - AESR - ESR'!AB336</f>
        <v>0</v>
      </c>
      <c r="RA7" s="29">
        <f>'REG y VAL POE - AESR - ESR'!AC336</f>
        <v>0</v>
      </c>
      <c r="RB7" s="29">
        <f>'REG y VAL POE - AESR - ESR'!AD336</f>
        <v>0</v>
      </c>
      <c r="RC7" s="29">
        <f>'REG y VAL POE - AESR - ESR'!AE336</f>
        <v>0</v>
      </c>
      <c r="RD7" s="29">
        <f>'REG y VAL POE - AESR - ESR'!AF336</f>
        <v>0</v>
      </c>
      <c r="RE7" s="29">
        <f>'REG y VAL POE - AESR - ESR'!AG336</f>
        <v>0</v>
      </c>
      <c r="RF7" s="29">
        <f>'REG y VAL POE - AESR - ESR'!AH336</f>
        <v>0</v>
      </c>
      <c r="RG7" s="29">
        <f>'REG y VAL POE - AESR - ESR'!AI336</f>
        <v>0</v>
      </c>
      <c r="RH7" s="29">
        <f>'REG y VAL POE - AESR - ESR'!AJ336</f>
        <v>0</v>
      </c>
      <c r="RI7" s="29">
        <f>'REG y VAL POE - AESR - ESR'!AK336</f>
        <v>0</v>
      </c>
      <c r="RJ7" s="29">
        <f>'REG y VAL POE - AESR - ESR'!AL336</f>
        <v>0</v>
      </c>
      <c r="RK7" s="29" t="str">
        <f>'REG y VAL POE - AESR - ESR'!AM336</f>
        <v>SI</v>
      </c>
      <c r="RL7" s="29">
        <f>'REG y VAL POE - AESR - ESR'!AN336</f>
        <v>0</v>
      </c>
      <c r="RM7" s="29">
        <f>'REG y VAL POE - AESR - ESR'!AO336</f>
        <v>0</v>
      </c>
      <c r="RN7" s="29">
        <f>'REG y VAL POE - AESR - ESR'!AP336</f>
        <v>0</v>
      </c>
      <c r="RO7" s="29">
        <f>'REG y VAL POE - AESR - ESR'!AQ336</f>
        <v>0</v>
      </c>
      <c r="RP7" s="29">
        <f>'REG y VAL POE - AESR - ESR'!AR336</f>
        <v>0</v>
      </c>
      <c r="RQ7" s="29">
        <f>'REG y VAL POE - AESR - ESR'!AS336</f>
        <v>0</v>
      </c>
      <c r="RR7" s="30" t="str">
        <f>'REG y VAL POE - AESR - ESR'!B337</f>
        <v>Gonzalez Garcia Jose Antonio</v>
      </c>
      <c r="RS7" s="29" t="str">
        <f>'REG y VAL POE - AESR - ESR'!C337</f>
        <v>POE</v>
      </c>
      <c r="RT7" s="28">
        <f>'REG y VAL POE - AESR - ESR'!D337</f>
        <v>23202532</v>
      </c>
      <c r="RU7" s="29">
        <f>'REG y VAL POE - AESR - ESR'!E337</f>
        <v>0</v>
      </c>
      <c r="RV7" s="28">
        <f>'REG y VAL POE - AESR - ESR'!F337</f>
        <v>0</v>
      </c>
      <c r="RW7" s="31">
        <f>'REG y VAL POE - AESR - ESR'!G337</f>
        <v>45475</v>
      </c>
      <c r="RX7" s="31">
        <f>'REG y VAL POE - AESR - ESR'!H337</f>
        <v>45840</v>
      </c>
      <c r="RY7" s="29" t="str">
        <f>'REG y VAL POE - AESR - ESR'!I337</f>
        <v>SI</v>
      </c>
      <c r="RZ7" s="388" t="str">
        <f>'REG y VAL POE - AESR - ESR'!J337</f>
        <v>Vigente</v>
      </c>
      <c r="SA7" s="29" t="str">
        <f>'REG y VAL POE - AESR - ESR'!K337</f>
        <v>SI</v>
      </c>
      <c r="SB7" s="388" t="str">
        <f>'REG y VAL POE - AESR - ESR'!L337</f>
        <v>Vigente</v>
      </c>
      <c r="SC7" s="29" t="str">
        <f>'REG y VAL POE - AESR - ESR'!M337</f>
        <v>NO</v>
      </c>
      <c r="SD7" s="29" t="str">
        <f>'REG y VAL POE - AESR - ESR'!N337</f>
        <v>Apendice ByC no llenos-c/historial aparte-falta firma RL</v>
      </c>
      <c r="SE7" s="29" t="str">
        <f>'REG y VAL POE - AESR - ESR'!O337</f>
        <v>CONSTANCIA CALIF DE CIENCIAS SOC Y HUM</v>
      </c>
      <c r="SF7" s="29">
        <f>'REG y VAL POE - AESR - ESR'!P337</f>
        <v>0</v>
      </c>
      <c r="SG7" s="29" t="str">
        <f>'REG y VAL POE - AESR - ESR'!Q337</f>
        <v>SI</v>
      </c>
      <c r="SH7" s="29" t="str">
        <f>'REG y VAL POE - AESR - ESR'!R337</f>
        <v>SI</v>
      </c>
      <c r="SI7" s="29" t="str">
        <f>'REG y VAL POE - AESR - ESR'!S337</f>
        <v>SI</v>
      </c>
      <c r="SJ7" s="29" t="str">
        <f>'REG y VAL POE - AESR - ESR'!T337</f>
        <v>SI</v>
      </c>
      <c r="SK7" s="29" t="str">
        <f>'REG y VAL POE - AESR - ESR'!U337</f>
        <v>SI</v>
      </c>
      <c r="SL7" s="29" t="str">
        <f>'REG y VAL POE - AESR - ESR'!V337</f>
        <v>SI</v>
      </c>
      <c r="SM7" s="29">
        <f>'REG y VAL POE - AESR - ESR'!W337</f>
        <v>0</v>
      </c>
      <c r="SN7" s="29">
        <f>'REG y VAL POE - AESR - ESR'!X337</f>
        <v>0</v>
      </c>
      <c r="SO7" s="29">
        <f>'REG y VAL POE - AESR - ESR'!Y337</f>
        <v>0</v>
      </c>
      <c r="SP7" s="29" t="str">
        <f>'REG y VAL POE - AESR - ESR'!Z337</f>
        <v>SI</v>
      </c>
      <c r="SQ7" s="29">
        <f>'REG y VAL POE - AESR - ESR'!AA337</f>
        <v>0</v>
      </c>
      <c r="SR7" s="29">
        <f>'REG y VAL POE - AESR - ESR'!AB337</f>
        <v>0</v>
      </c>
      <c r="SS7" s="29">
        <f>'REG y VAL POE - AESR - ESR'!AC337</f>
        <v>0</v>
      </c>
      <c r="ST7" s="29">
        <f>'REG y VAL POE - AESR - ESR'!AD337</f>
        <v>0</v>
      </c>
      <c r="SU7" s="29">
        <f>'REG y VAL POE - AESR - ESR'!AE337</f>
        <v>0</v>
      </c>
      <c r="SV7" s="29">
        <f>'REG y VAL POE - AESR - ESR'!AF337</f>
        <v>0</v>
      </c>
      <c r="SW7" s="29" t="str">
        <f>'REG y VAL POE - AESR - ESR'!AG337</f>
        <v>SI</v>
      </c>
      <c r="SX7" s="29">
        <f>'REG y VAL POE - AESR - ESR'!AH337</f>
        <v>0</v>
      </c>
      <c r="SY7" s="29">
        <f>'REG y VAL POE - AESR - ESR'!AI337</f>
        <v>0</v>
      </c>
      <c r="SZ7" s="29">
        <f>'REG y VAL POE - AESR - ESR'!AJ337</f>
        <v>0</v>
      </c>
      <c r="TA7" s="29">
        <f>'REG y VAL POE - AESR - ESR'!AK337</f>
        <v>0</v>
      </c>
      <c r="TB7" s="29">
        <f>'REG y VAL POE - AESR - ESR'!AL337</f>
        <v>0</v>
      </c>
      <c r="TC7" s="29">
        <f>'REG y VAL POE - AESR - ESR'!AM337</f>
        <v>0</v>
      </c>
      <c r="TD7" s="29">
        <f>'REG y VAL POE - AESR - ESR'!AN337</f>
        <v>0</v>
      </c>
      <c r="TE7" s="29">
        <f>'REG y VAL POE - AESR - ESR'!AO337</f>
        <v>0</v>
      </c>
      <c r="TF7" s="29">
        <f>'REG y VAL POE - AESR - ESR'!AP337</f>
        <v>0</v>
      </c>
      <c r="TG7" s="29">
        <f>'REG y VAL POE - AESR - ESR'!AQ337</f>
        <v>0</v>
      </c>
      <c r="TH7" s="29">
        <f>'REG y VAL POE - AESR - ESR'!AR337</f>
        <v>0</v>
      </c>
      <c r="TI7" s="29">
        <f>'REG y VAL POE - AESR - ESR'!AS337</f>
        <v>0</v>
      </c>
      <c r="TJ7" s="30" t="str">
        <f>'REG y VAL POE - AESR - ESR'!B338</f>
        <v>Gonzalez Perez Federico</v>
      </c>
      <c r="TK7" s="29" t="str">
        <f>'REG y VAL POE - AESR - ESR'!C338</f>
        <v>POE</v>
      </c>
      <c r="TL7" s="28">
        <f>'REG y VAL POE - AESR - ESR'!D338</f>
        <v>23129905</v>
      </c>
      <c r="TM7" s="29">
        <f>'REG y VAL POE - AESR - ESR'!E338</f>
        <v>0</v>
      </c>
      <c r="TN7" s="28">
        <f>'REG y VAL POE - AESR - ESR'!F338</f>
        <v>0</v>
      </c>
      <c r="TO7" s="28">
        <f>'REG y VAL POE - AESR - ESR'!G338</f>
        <v>45476</v>
      </c>
      <c r="TP7" s="28">
        <f>'REG y VAL POE - AESR - ESR'!H338</f>
        <v>45841</v>
      </c>
      <c r="TQ7" s="29" t="str">
        <f>'REG y VAL POE - AESR - ESR'!I338</f>
        <v>SI</v>
      </c>
      <c r="TR7" s="388" t="str">
        <f>'REG y VAL POE - AESR - ESR'!J338</f>
        <v>Vigente</v>
      </c>
      <c r="TS7" s="29" t="str">
        <f>'REG y VAL POE - AESR - ESR'!K338</f>
        <v>SI</v>
      </c>
      <c r="TT7" s="388" t="str">
        <f>'REG y VAL POE - AESR - ESR'!L338</f>
        <v>Vigente</v>
      </c>
      <c r="TU7" s="29" t="str">
        <f>'REG y VAL POE - AESR - ESR'!M338</f>
        <v>NO</v>
      </c>
      <c r="TV7" s="29" t="str">
        <f>'REG y VAL POE - AESR - ESR'!N338</f>
        <v>Apendice ByC no llenos-c/historial aparte-falta firma RL</v>
      </c>
      <c r="TW7" s="29" t="str">
        <f>'REG y VAL POE - AESR - ESR'!O338</f>
        <v>SI</v>
      </c>
      <c r="TX7" s="29">
        <f>'REG y VAL POE - AESR - ESR'!P338</f>
        <v>0</v>
      </c>
      <c r="TY7" s="29" t="str">
        <f>'REG y VAL POE - AESR - ESR'!Q338</f>
        <v>SI</v>
      </c>
      <c r="TZ7" s="29" t="str">
        <f>'REG y VAL POE - AESR - ESR'!R338</f>
        <v>SI</v>
      </c>
      <c r="UA7" s="29" t="str">
        <f>'REG y VAL POE - AESR - ESR'!S338</f>
        <v>SI</v>
      </c>
      <c r="UB7" s="29" t="str">
        <f>'REG y VAL POE - AESR - ESR'!T338</f>
        <v>SI</v>
      </c>
      <c r="UC7" s="29" t="str">
        <f>'REG y VAL POE - AESR - ESR'!U338</f>
        <v>SI</v>
      </c>
      <c r="UD7" s="29" t="str">
        <f>'REG y VAL POE - AESR - ESR'!V338</f>
        <v>SI</v>
      </c>
      <c r="UE7" s="29">
        <f>'REG y VAL POE - AESR - ESR'!W338</f>
        <v>0</v>
      </c>
      <c r="UF7" s="29">
        <f>'REG y VAL POE - AESR - ESR'!X338</f>
        <v>0</v>
      </c>
      <c r="UG7" s="29">
        <f>'REG y VAL POE - AESR - ESR'!Y338</f>
        <v>0</v>
      </c>
      <c r="UH7" s="29" t="str">
        <f>'REG y VAL POE - AESR - ESR'!Z338</f>
        <v>SI</v>
      </c>
      <c r="UI7" s="29">
        <f>'REG y VAL POE - AESR - ESR'!AA338</f>
        <v>0</v>
      </c>
      <c r="UJ7" s="29">
        <f>'REG y VAL POE - AESR - ESR'!AB338</f>
        <v>0</v>
      </c>
      <c r="UK7" s="29">
        <f>'REG y VAL POE - AESR - ESR'!AC338</f>
        <v>0</v>
      </c>
      <c r="UL7" s="29">
        <f>'REG y VAL POE - AESR - ESR'!AD338</f>
        <v>0</v>
      </c>
      <c r="UM7" s="29">
        <f>'REG y VAL POE - AESR - ESR'!AE338</f>
        <v>0</v>
      </c>
      <c r="UN7" s="29">
        <f>'REG y VAL POE - AESR - ESR'!AF338</f>
        <v>0</v>
      </c>
      <c r="UO7" s="29">
        <f>'REG y VAL POE - AESR - ESR'!AG338</f>
        <v>0</v>
      </c>
      <c r="UP7" s="29">
        <f>'REG y VAL POE - AESR - ESR'!AH338</f>
        <v>0</v>
      </c>
      <c r="UQ7" s="29">
        <f>'REG y VAL POE - AESR - ESR'!AI338</f>
        <v>0</v>
      </c>
      <c r="UR7" s="29">
        <f>'REG y VAL POE - AESR - ESR'!AJ338</f>
        <v>0</v>
      </c>
      <c r="US7" s="29">
        <f>'REG y VAL POE - AESR - ESR'!AK338</f>
        <v>0</v>
      </c>
      <c r="UT7" s="29">
        <f>'REG y VAL POE - AESR - ESR'!AL338</f>
        <v>0</v>
      </c>
      <c r="UU7" s="29">
        <f>'REG y VAL POE - AESR - ESR'!AM338</f>
        <v>0</v>
      </c>
      <c r="UV7" s="29">
        <f>'REG y VAL POE - AESR - ESR'!AN338</f>
        <v>0</v>
      </c>
      <c r="UW7" s="29">
        <f>'REG y VAL POE - AESR - ESR'!AO338</f>
        <v>0</v>
      </c>
      <c r="UX7" s="29">
        <f>'REG y VAL POE - AESR - ESR'!AP338</f>
        <v>0</v>
      </c>
      <c r="UY7" s="29">
        <f>'REG y VAL POE - AESR - ESR'!AQ338</f>
        <v>0</v>
      </c>
      <c r="UZ7" s="29">
        <f>'REG y VAL POE - AESR - ESR'!AR338</f>
        <v>0</v>
      </c>
      <c r="VA7" s="29">
        <f>'REG y VAL POE - AESR - ESR'!AS338</f>
        <v>0</v>
      </c>
      <c r="VB7" s="30" t="str">
        <f>'REG y VAL POE - AESR - ESR'!B339</f>
        <v xml:space="preserve">Gonzalez Silva Maria De Los Angele </v>
      </c>
      <c r="VC7" s="29" t="str">
        <f>'REG y VAL POE - AESR - ESR'!C339</f>
        <v>Sin Registro</v>
      </c>
      <c r="VD7" s="28">
        <f>'REG y VAL POE - AESR - ESR'!D339</f>
        <v>23140082</v>
      </c>
      <c r="VE7" s="29">
        <f>'REG y VAL POE - AESR - ESR'!E339</f>
        <v>0</v>
      </c>
      <c r="VF7" s="28">
        <f>'REG y VAL POE - AESR - ESR'!F339</f>
        <v>0</v>
      </c>
      <c r="VG7" s="31">
        <f>'REG y VAL POE - AESR - ESR'!G339</f>
        <v>0</v>
      </c>
      <c r="VH7" s="28">
        <f>'REG y VAL POE - AESR - ESR'!H339</f>
        <v>0</v>
      </c>
      <c r="VI7" s="29">
        <f>'REG y VAL POE - AESR - ESR'!I339</f>
        <v>0</v>
      </c>
      <c r="VJ7" s="388">
        <f>'REG y VAL POE - AESR - ESR'!J339</f>
        <v>0</v>
      </c>
      <c r="VK7" s="29">
        <f>'REG y VAL POE - AESR - ESR'!K339</f>
        <v>0</v>
      </c>
      <c r="VL7" s="388">
        <f>'REG y VAL POE - AESR - ESR'!L339</f>
        <v>0</v>
      </c>
      <c r="VM7" s="29">
        <f>'REG y VAL POE - AESR - ESR'!M339</f>
        <v>0</v>
      </c>
      <c r="VN7" s="29">
        <f>'REG y VAL POE - AESR - ESR'!N339</f>
        <v>0</v>
      </c>
      <c r="VO7" s="29">
        <f>'REG y VAL POE - AESR - ESR'!O339</f>
        <v>0</v>
      </c>
      <c r="VP7" s="29">
        <f>'REG y VAL POE - AESR - ESR'!P339</f>
        <v>0</v>
      </c>
      <c r="VQ7" s="29">
        <f>'REG y VAL POE - AESR - ESR'!Q339</f>
        <v>0</v>
      </c>
      <c r="VR7" s="29">
        <f>'REG y VAL POE - AESR - ESR'!R339</f>
        <v>0</v>
      </c>
      <c r="VS7" s="29">
        <f>'REG y VAL POE - AESR - ESR'!S339</f>
        <v>0</v>
      </c>
      <c r="VT7" s="29">
        <f>'REG y VAL POE - AESR - ESR'!T339</f>
        <v>0</v>
      </c>
      <c r="VU7" s="29">
        <f>'REG y VAL POE - AESR - ESR'!U339</f>
        <v>0</v>
      </c>
      <c r="VV7" s="29">
        <f>'REG y VAL POE - AESR - ESR'!V339</f>
        <v>0</v>
      </c>
      <c r="VW7" s="29">
        <f>'REG y VAL POE - AESR - ESR'!W339</f>
        <v>0</v>
      </c>
      <c r="VX7" s="29">
        <f>'REG y VAL POE - AESR - ESR'!X339</f>
        <v>0</v>
      </c>
      <c r="VY7" s="29">
        <f>'REG y VAL POE - AESR - ESR'!Y339</f>
        <v>0</v>
      </c>
      <c r="VZ7" s="29">
        <f>'REG y VAL POE - AESR - ESR'!Z339</f>
        <v>0</v>
      </c>
      <c r="WA7" s="29">
        <f>'REG y VAL POE - AESR - ESR'!AA339</f>
        <v>0</v>
      </c>
      <c r="WB7" s="29">
        <f>'REG y VAL POE - AESR - ESR'!AB339</f>
        <v>0</v>
      </c>
      <c r="WC7" s="29">
        <f>'REG y VAL POE - AESR - ESR'!AC339</f>
        <v>0</v>
      </c>
      <c r="WD7" s="29">
        <f>'REG y VAL POE - AESR - ESR'!AD339</f>
        <v>0</v>
      </c>
      <c r="WE7" s="29">
        <f>'REG y VAL POE - AESR - ESR'!AE339</f>
        <v>0</v>
      </c>
      <c r="WF7" s="29">
        <f>'REG y VAL POE - AESR - ESR'!AF339</f>
        <v>0</v>
      </c>
      <c r="WG7" s="29">
        <f>'REG y VAL POE - AESR - ESR'!AG339</f>
        <v>0</v>
      </c>
      <c r="WH7" s="29">
        <f>'REG y VAL POE - AESR - ESR'!AH339</f>
        <v>0</v>
      </c>
      <c r="WI7" s="29">
        <f>'REG y VAL POE - AESR - ESR'!AI339</f>
        <v>0</v>
      </c>
      <c r="WJ7" s="29">
        <f>'REG y VAL POE - AESR - ESR'!AJ339</f>
        <v>0</v>
      </c>
      <c r="WK7" s="29">
        <f>'REG y VAL POE - AESR - ESR'!AK339</f>
        <v>0</v>
      </c>
      <c r="WL7" s="29">
        <f>'REG y VAL POE - AESR - ESR'!AL339</f>
        <v>0</v>
      </c>
      <c r="WM7" s="29">
        <f>'REG y VAL POE - AESR - ESR'!AM339</f>
        <v>0</v>
      </c>
      <c r="WN7" s="29">
        <f>'REG y VAL POE - AESR - ESR'!AN339</f>
        <v>0</v>
      </c>
      <c r="WO7" s="29">
        <f>'REG y VAL POE - AESR - ESR'!AO339</f>
        <v>0</v>
      </c>
      <c r="WP7" s="29">
        <f>'REG y VAL POE - AESR - ESR'!AP339</f>
        <v>0</v>
      </c>
      <c r="WQ7" s="29">
        <f>'REG y VAL POE - AESR - ESR'!AQ339</f>
        <v>0</v>
      </c>
      <c r="WR7" s="29">
        <f>'REG y VAL POE - AESR - ESR'!AR339</f>
        <v>0</v>
      </c>
      <c r="WS7" s="29">
        <f>'REG y VAL POE - AESR - ESR'!AS339</f>
        <v>0</v>
      </c>
      <c r="WT7" s="30" t="str">
        <f>'REG y VAL POE - AESR - ESR'!B340</f>
        <v>Gonzalez Trejo Maria Guadalupe</v>
      </c>
      <c r="WU7" s="29" t="str">
        <f>'REG y VAL POE - AESR - ESR'!C340</f>
        <v>POE</v>
      </c>
      <c r="WV7" s="28">
        <f>'REG y VAL POE - AESR - ESR'!D340</f>
        <v>23143941</v>
      </c>
      <c r="WW7" s="29">
        <f>'REG y VAL POE - AESR - ESR'!E340</f>
        <v>0</v>
      </c>
      <c r="WX7" s="28">
        <f>'REG y VAL POE - AESR - ESR'!F340</f>
        <v>0</v>
      </c>
      <c r="WY7" s="28">
        <f>'REG y VAL POE - AESR - ESR'!G340</f>
        <v>45041</v>
      </c>
      <c r="WZ7" s="28" t="str">
        <f>'REG y VAL POE - AESR - ESR'!H340</f>
        <v>VENCIDA</v>
      </c>
      <c r="XA7" s="29" t="str">
        <f>'REG y VAL POE - AESR - ESR'!I340</f>
        <v>SI</v>
      </c>
      <c r="XB7" s="388" t="str">
        <f>'REG y VAL POE - AESR - ESR'!J340</f>
        <v>VENCIDA</v>
      </c>
      <c r="XC7" s="29" t="str">
        <f>'REG y VAL POE - AESR - ESR'!K340</f>
        <v>SI</v>
      </c>
      <c r="XD7" s="388" t="str">
        <f>'REG y VAL POE - AESR - ESR'!L340</f>
        <v>VENCIDA</v>
      </c>
      <c r="XE7" s="29" t="str">
        <f>'REG y VAL POE - AESR - ESR'!M340</f>
        <v>NO</v>
      </c>
      <c r="XF7" s="29" t="str">
        <f>'REG y VAL POE - AESR - ESR'!N340</f>
        <v>Apendice ByC no llenos-c/historial aparte-falta firma RL</v>
      </c>
      <c r="XG7" s="29" t="str">
        <f>'REG y VAL POE - AESR - ESR'!O340</f>
        <v>SI</v>
      </c>
      <c r="XH7" s="29" t="str">
        <f>'REG y VAL POE - AESR - ESR'!P340</f>
        <v>SI</v>
      </c>
      <c r="XI7" s="29" t="str">
        <f>'REG y VAL POE - AESR - ESR'!Q340</f>
        <v>SI</v>
      </c>
      <c r="XJ7" s="29" t="str">
        <f>'REG y VAL POE - AESR - ESR'!R340</f>
        <v>SI</v>
      </c>
      <c r="XK7" s="29" t="str">
        <f>'REG y VAL POE - AESR - ESR'!S340</f>
        <v>SI</v>
      </c>
      <c r="XL7" s="29" t="str">
        <f>'REG y VAL POE - AESR - ESR'!T340</f>
        <v>SI</v>
      </c>
      <c r="XM7" s="29" t="str">
        <f>'REG y VAL POE - AESR - ESR'!U340</f>
        <v>NO</v>
      </c>
      <c r="XN7" s="29" t="str">
        <f>'REG y VAL POE - AESR - ESR'!V340</f>
        <v>SI</v>
      </c>
      <c r="XO7" s="29">
        <f>'REG y VAL POE - AESR - ESR'!W340</f>
        <v>0</v>
      </c>
      <c r="XP7" s="29">
        <f>'REG y VAL POE - AESR - ESR'!X340</f>
        <v>0</v>
      </c>
      <c r="XQ7" s="29">
        <f>'REG y VAL POE - AESR - ESR'!Y340</f>
        <v>0</v>
      </c>
      <c r="XR7" s="29" t="str">
        <f>'REG y VAL POE - AESR - ESR'!Z340</f>
        <v>SI</v>
      </c>
      <c r="XS7" s="29">
        <f>'REG y VAL POE - AESR - ESR'!AA340</f>
        <v>0</v>
      </c>
      <c r="XT7" s="29">
        <f>'REG y VAL POE - AESR - ESR'!AB340</f>
        <v>0</v>
      </c>
      <c r="XU7" s="29">
        <f>'REG y VAL POE - AESR - ESR'!AC340</f>
        <v>0</v>
      </c>
      <c r="XV7" s="29">
        <f>'REG y VAL POE - AESR - ESR'!AD340</f>
        <v>0</v>
      </c>
      <c r="XW7" s="29">
        <f>'REG y VAL POE - AESR - ESR'!AE340</f>
        <v>0</v>
      </c>
      <c r="XX7" s="29">
        <f>'REG y VAL POE - AESR - ESR'!AF340</f>
        <v>0</v>
      </c>
      <c r="XY7" s="29">
        <f>'REG y VAL POE - AESR - ESR'!AG340</f>
        <v>0</v>
      </c>
      <c r="XZ7" s="29">
        <f>'REG y VAL POE - AESR - ESR'!AH340</f>
        <v>0</v>
      </c>
      <c r="YA7" s="29">
        <f>'REG y VAL POE - AESR - ESR'!AI340</f>
        <v>0</v>
      </c>
      <c r="YB7" s="29">
        <f>'REG y VAL POE - AESR - ESR'!AJ340</f>
        <v>0</v>
      </c>
      <c r="YC7" s="29">
        <f>'REG y VAL POE - AESR - ESR'!AK340</f>
        <v>0</v>
      </c>
      <c r="YD7" s="29">
        <f>'REG y VAL POE - AESR - ESR'!AL340</f>
        <v>0</v>
      </c>
      <c r="YE7" s="29" t="str">
        <f>'REG y VAL POE - AESR - ESR'!AM340</f>
        <v>SI</v>
      </c>
      <c r="YF7" s="29">
        <f>'REG y VAL POE - AESR - ESR'!AN340</f>
        <v>0</v>
      </c>
      <c r="YG7" s="29">
        <f>'REG y VAL POE - AESR - ESR'!AO340</f>
        <v>0</v>
      </c>
      <c r="YH7" s="29" t="str">
        <f>'REG y VAL POE - AESR - ESR'!AP340</f>
        <v>SI</v>
      </c>
      <c r="YI7" s="29">
        <f>'REG y VAL POE - AESR - ESR'!AQ340</f>
        <v>0</v>
      </c>
      <c r="YJ7" s="29">
        <f>'REG y VAL POE - AESR - ESR'!AR340</f>
        <v>0</v>
      </c>
      <c r="YK7" s="29">
        <f>'REG y VAL POE - AESR - ESR'!AS340</f>
        <v>0</v>
      </c>
      <c r="YL7" s="30" t="str">
        <f>'REG y VAL POE - AESR - ESR'!B341</f>
        <v>Guzman Perez Jose Alfredo</v>
      </c>
      <c r="YM7" s="29" t="str">
        <f>'REG y VAL POE - AESR - ESR'!C341</f>
        <v>POE</v>
      </c>
      <c r="YN7" s="28">
        <f>'REG y VAL POE - AESR - ESR'!D341</f>
        <v>23159509</v>
      </c>
      <c r="YO7" s="29">
        <f>'REG y VAL POE - AESR - ESR'!E341</f>
        <v>0</v>
      </c>
      <c r="YP7" s="28">
        <f>'REG y VAL POE - AESR - ESR'!F341</f>
        <v>0</v>
      </c>
      <c r="YQ7" s="28">
        <f>'REG y VAL POE - AESR - ESR'!G341</f>
        <v>45478</v>
      </c>
      <c r="YR7" s="28">
        <f>'REG y VAL POE - AESR - ESR'!H341</f>
        <v>45843</v>
      </c>
      <c r="YS7" s="29" t="str">
        <f>'REG y VAL POE - AESR - ESR'!I341</f>
        <v>SI</v>
      </c>
      <c r="YT7" s="388" t="str">
        <f>'REG y VAL POE - AESR - ESR'!J341</f>
        <v>Vigente</v>
      </c>
      <c r="YU7" s="29" t="str">
        <f>'REG y VAL POE - AESR - ESR'!K341</f>
        <v>SI</v>
      </c>
      <c r="YV7" s="388" t="str">
        <f>'REG y VAL POE - AESR - ESR'!L341</f>
        <v>Vigente</v>
      </c>
      <c r="YW7" s="29" t="str">
        <f>'REG y VAL POE - AESR - ESR'!M341</f>
        <v>NO</v>
      </c>
      <c r="YX7" s="29" t="str">
        <f>'REG y VAL POE - AESR - ESR'!N341</f>
        <v>Apendice ByC no llenos-c/historial aparte-falta firma RL</v>
      </c>
      <c r="YY7" s="29" t="str">
        <f>'REG y VAL POE - AESR - ESR'!O341</f>
        <v>SI</v>
      </c>
      <c r="YZ7" s="29">
        <f>'REG y VAL POE - AESR - ESR'!P341</f>
        <v>0</v>
      </c>
      <c r="ZA7" s="29" t="str">
        <f>'REG y VAL POE - AESR - ESR'!Q341</f>
        <v>SI</v>
      </c>
      <c r="ZB7" s="29" t="str">
        <f>'REG y VAL POE - AESR - ESR'!R341</f>
        <v>SI</v>
      </c>
      <c r="ZC7" s="29" t="str">
        <f>'REG y VAL POE - AESR - ESR'!S341</f>
        <v>SI</v>
      </c>
      <c r="ZD7" s="29" t="str">
        <f>'REG y VAL POE - AESR - ESR'!T341</f>
        <v>SI</v>
      </c>
      <c r="ZE7" s="29" t="str">
        <f>'REG y VAL POE - AESR - ESR'!U341</f>
        <v>SI</v>
      </c>
      <c r="ZF7" s="29" t="str">
        <f>'REG y VAL POE - AESR - ESR'!V341</f>
        <v>SI</v>
      </c>
      <c r="ZG7" s="29">
        <f>'REG y VAL POE - AESR - ESR'!W341</f>
        <v>0</v>
      </c>
      <c r="ZH7" s="29">
        <f>'REG y VAL POE - AESR - ESR'!X341</f>
        <v>0</v>
      </c>
      <c r="ZI7" s="29">
        <f>'REG y VAL POE - AESR - ESR'!Y341</f>
        <v>0</v>
      </c>
      <c r="ZJ7" s="29" t="str">
        <f>'REG y VAL POE - AESR - ESR'!Z341</f>
        <v>SI</v>
      </c>
      <c r="ZK7" s="29">
        <f>'REG y VAL POE - AESR - ESR'!AA341</f>
        <v>0</v>
      </c>
      <c r="ZL7" s="29">
        <f>'REG y VAL POE - AESR - ESR'!AB341</f>
        <v>0</v>
      </c>
      <c r="ZM7" s="29">
        <f>'REG y VAL POE - AESR - ESR'!AC341</f>
        <v>0</v>
      </c>
      <c r="ZN7" s="29">
        <f>'REG y VAL POE - AESR - ESR'!AD341</f>
        <v>0</v>
      </c>
      <c r="ZO7" s="29">
        <f>'REG y VAL POE - AESR - ESR'!AE341</f>
        <v>0</v>
      </c>
      <c r="ZP7" s="29">
        <f>'REG y VAL POE - AESR - ESR'!AF341</f>
        <v>0</v>
      </c>
      <c r="ZQ7" s="29">
        <f>'REG y VAL POE - AESR - ESR'!AG341</f>
        <v>0</v>
      </c>
      <c r="ZR7" s="29">
        <f>'REG y VAL POE - AESR - ESR'!AH341</f>
        <v>0</v>
      </c>
      <c r="ZS7" s="29">
        <f>'REG y VAL POE - AESR - ESR'!AI341</f>
        <v>0</v>
      </c>
      <c r="ZT7" s="29">
        <f>'REG y VAL POE - AESR - ESR'!AJ341</f>
        <v>0</v>
      </c>
      <c r="ZU7" s="29">
        <f>'REG y VAL POE - AESR - ESR'!AK341</f>
        <v>0</v>
      </c>
      <c r="ZV7" s="29" t="str">
        <f>'REG y VAL POE - AESR - ESR'!AL341</f>
        <v>SI</v>
      </c>
      <c r="ZW7" s="29" t="str">
        <f>'REG y VAL POE - AESR - ESR'!AM341</f>
        <v>SI</v>
      </c>
      <c r="ZX7" s="29">
        <f>'REG y VAL POE - AESR - ESR'!AN341</f>
        <v>0</v>
      </c>
      <c r="ZY7" s="29">
        <f>'REG y VAL POE - AESR - ESR'!AO341</f>
        <v>0</v>
      </c>
      <c r="ZZ7" s="29" t="str">
        <f>'REG y VAL POE - AESR - ESR'!AP341</f>
        <v>SI</v>
      </c>
      <c r="AAA7" s="29">
        <f>'REG y VAL POE - AESR - ESR'!AQ341</f>
        <v>0</v>
      </c>
      <c r="AAB7" s="29" t="str">
        <f>'REG y VAL POE - AESR - ESR'!AR341</f>
        <v>VACIS PORTAL</v>
      </c>
      <c r="AAC7" s="29">
        <f>'REG y VAL POE - AESR - ESR'!AS341</f>
        <v>0</v>
      </c>
      <c r="AAD7" s="30" t="str">
        <f>'REG y VAL POE - AESR - ESR'!B342</f>
        <v xml:space="preserve">Lopez Tzab Leydi </v>
      </c>
      <c r="AAE7" s="29">
        <f>'REG y VAL POE - AESR - ESR'!C342</f>
        <v>0</v>
      </c>
      <c r="AAF7" s="28">
        <f>'REG y VAL POE - AESR - ESR'!D342</f>
        <v>23158474</v>
      </c>
      <c r="AAG7" s="29">
        <f>'REG y VAL POE - AESR - ESR'!E342</f>
        <v>0</v>
      </c>
      <c r="AAH7" s="28">
        <f>'REG y VAL POE - AESR - ESR'!F342</f>
        <v>0</v>
      </c>
      <c r="AAI7" s="31">
        <f>'REG y VAL POE - AESR - ESR'!G342</f>
        <v>0</v>
      </c>
      <c r="AAJ7" s="28">
        <f>'REG y VAL POE - AESR - ESR'!H342</f>
        <v>0</v>
      </c>
      <c r="AAK7" s="29">
        <f>'REG y VAL POE - AESR - ESR'!I342</f>
        <v>0</v>
      </c>
      <c r="AAL7" s="388">
        <f>'REG y VAL POE - AESR - ESR'!J342</f>
        <v>0</v>
      </c>
      <c r="AAM7" s="29">
        <f>'REG y VAL POE - AESR - ESR'!K342</f>
        <v>0</v>
      </c>
      <c r="AAN7" s="388">
        <f>'REG y VAL POE - AESR - ESR'!L342</f>
        <v>0</v>
      </c>
      <c r="AAO7" s="29">
        <f>'REG y VAL POE - AESR - ESR'!M342</f>
        <v>0</v>
      </c>
      <c r="AAP7" s="29">
        <f>'REG y VAL POE - AESR - ESR'!N342</f>
        <v>0</v>
      </c>
      <c r="AAQ7" s="29">
        <f>'REG y VAL POE - AESR - ESR'!O342</f>
        <v>0</v>
      </c>
      <c r="AAR7" s="29">
        <f>'REG y VAL POE - AESR - ESR'!P342</f>
        <v>0</v>
      </c>
      <c r="AAS7" s="29">
        <f>'REG y VAL POE - AESR - ESR'!Q342</f>
        <v>0</v>
      </c>
      <c r="AAT7" s="29">
        <f>'REG y VAL POE - AESR - ESR'!R342</f>
        <v>0</v>
      </c>
      <c r="AAU7" s="29">
        <f>'REG y VAL POE - AESR - ESR'!S342</f>
        <v>0</v>
      </c>
      <c r="AAV7" s="29">
        <f>'REG y VAL POE - AESR - ESR'!T342</f>
        <v>0</v>
      </c>
      <c r="AAW7" s="29">
        <f>'REG y VAL POE - AESR - ESR'!U342</f>
        <v>0</v>
      </c>
      <c r="AAX7" s="29">
        <f>'REG y VAL POE - AESR - ESR'!V342</f>
        <v>0</v>
      </c>
      <c r="AAY7" s="29">
        <f>'REG y VAL POE - AESR - ESR'!W342</f>
        <v>0</v>
      </c>
      <c r="AAZ7" s="29">
        <f>'REG y VAL POE - AESR - ESR'!X342</f>
        <v>0</v>
      </c>
      <c r="ABA7" s="29">
        <f>'REG y VAL POE - AESR - ESR'!Y342</f>
        <v>0</v>
      </c>
      <c r="ABB7" s="29">
        <f>'REG y VAL POE - AESR - ESR'!Z342</f>
        <v>0</v>
      </c>
      <c r="ABC7" s="29">
        <f>'REG y VAL POE - AESR - ESR'!AA342</f>
        <v>0</v>
      </c>
      <c r="ABD7" s="29">
        <f>'REG y VAL POE - AESR - ESR'!AB342</f>
        <v>0</v>
      </c>
      <c r="ABE7" s="29">
        <f>'REG y VAL POE - AESR - ESR'!AC342</f>
        <v>0</v>
      </c>
      <c r="ABF7" s="29">
        <f>'REG y VAL POE - AESR - ESR'!AD342</f>
        <v>0</v>
      </c>
      <c r="ABG7" s="29">
        <f>'REG y VAL POE - AESR - ESR'!AE342</f>
        <v>0</v>
      </c>
      <c r="ABH7" s="29">
        <f>'REG y VAL POE - AESR - ESR'!AF342</f>
        <v>0</v>
      </c>
      <c r="ABI7" s="29">
        <f>'REG y VAL POE - AESR - ESR'!AG342</f>
        <v>0</v>
      </c>
      <c r="ABJ7" s="29">
        <f>'REG y VAL POE - AESR - ESR'!AH342</f>
        <v>0</v>
      </c>
      <c r="ABK7" s="29">
        <f>'REG y VAL POE - AESR - ESR'!AI342</f>
        <v>0</v>
      </c>
      <c r="ABL7" s="29">
        <f>'REG y VAL POE - AESR - ESR'!AJ342</f>
        <v>0</v>
      </c>
      <c r="ABM7" s="29">
        <f>'REG y VAL POE - AESR - ESR'!AK342</f>
        <v>0</v>
      </c>
      <c r="ABN7" s="29">
        <f>'REG y VAL POE - AESR - ESR'!AL342</f>
        <v>0</v>
      </c>
      <c r="ABO7" s="29">
        <f>'REG y VAL POE - AESR - ESR'!AM342</f>
        <v>0</v>
      </c>
      <c r="ABP7" s="29">
        <f>'REG y VAL POE - AESR - ESR'!AN342</f>
        <v>0</v>
      </c>
      <c r="ABQ7" s="29">
        <f>'REG y VAL POE - AESR - ESR'!AO342</f>
        <v>0</v>
      </c>
      <c r="ABR7" s="29">
        <f>'REG y VAL POE - AESR - ESR'!AP342</f>
        <v>0</v>
      </c>
      <c r="ABS7" s="29">
        <f>'REG y VAL POE - AESR - ESR'!AQ342</f>
        <v>0</v>
      </c>
      <c r="ABT7" s="29">
        <f>'REG y VAL POE - AESR - ESR'!AR342</f>
        <v>0</v>
      </c>
      <c r="ABU7" s="29">
        <f>'REG y VAL POE - AESR - ESR'!AS342</f>
        <v>0</v>
      </c>
      <c r="ABV7" s="30" t="str">
        <f>'REG y VAL POE - AESR - ESR'!B343</f>
        <v xml:space="preserve">Lopez Velarde Maria Juana </v>
      </c>
      <c r="ABW7" s="29">
        <f>'REG y VAL POE - AESR - ESR'!C343</f>
        <v>0</v>
      </c>
      <c r="ABX7" s="28">
        <f>'REG y VAL POE - AESR - ESR'!D343</f>
        <v>23207378</v>
      </c>
      <c r="ABY7" s="29">
        <f>'REG y VAL POE - AESR - ESR'!E343</f>
        <v>0</v>
      </c>
      <c r="ABZ7" s="28">
        <f>'REG y VAL POE - AESR - ESR'!F343</f>
        <v>0</v>
      </c>
      <c r="ACA7" s="31">
        <f>'REG y VAL POE - AESR - ESR'!G343</f>
        <v>0</v>
      </c>
      <c r="ACB7" s="28">
        <f>'REG y VAL POE - AESR - ESR'!H343</f>
        <v>0</v>
      </c>
      <c r="ACC7" s="29">
        <f>'REG y VAL POE - AESR - ESR'!I343</f>
        <v>0</v>
      </c>
      <c r="ACD7" s="388">
        <f>'REG y VAL POE - AESR - ESR'!J343</f>
        <v>0</v>
      </c>
      <c r="ACE7" s="29">
        <f>'REG y VAL POE - AESR - ESR'!K343</f>
        <v>0</v>
      </c>
      <c r="ACF7" s="388">
        <f>'REG y VAL POE - AESR - ESR'!L343</f>
        <v>0</v>
      </c>
      <c r="ACG7" s="29">
        <f>'REG y VAL POE - AESR - ESR'!M343</f>
        <v>0</v>
      </c>
      <c r="ACH7" s="29">
        <f>'REG y VAL POE - AESR - ESR'!N343</f>
        <v>0</v>
      </c>
      <c r="ACI7" s="29">
        <f>'REG y VAL POE - AESR - ESR'!O343</f>
        <v>0</v>
      </c>
      <c r="ACJ7" s="29">
        <f>'REG y VAL POE - AESR - ESR'!P343</f>
        <v>0</v>
      </c>
      <c r="ACK7" s="29">
        <f>'REG y VAL POE - AESR - ESR'!Q343</f>
        <v>0</v>
      </c>
      <c r="ACL7" s="29">
        <f>'REG y VAL POE - AESR - ESR'!R343</f>
        <v>0</v>
      </c>
      <c r="ACM7" s="29">
        <f>'REG y VAL POE - AESR - ESR'!S343</f>
        <v>0</v>
      </c>
      <c r="ACN7" s="29">
        <f>'REG y VAL POE - AESR - ESR'!T343</f>
        <v>0</v>
      </c>
      <c r="ACO7" s="29">
        <f>'REG y VAL POE - AESR - ESR'!U343</f>
        <v>0</v>
      </c>
      <c r="ACP7" s="29">
        <f>'REG y VAL POE - AESR - ESR'!V343</f>
        <v>0</v>
      </c>
      <c r="ACQ7" s="29">
        <f>'REG y VAL POE - AESR - ESR'!W343</f>
        <v>0</v>
      </c>
      <c r="ACR7" s="29">
        <f>'REG y VAL POE - AESR - ESR'!X343</f>
        <v>0</v>
      </c>
      <c r="ACS7" s="29">
        <f>'REG y VAL POE - AESR - ESR'!Y343</f>
        <v>0</v>
      </c>
      <c r="ACT7" s="29">
        <f>'REG y VAL POE - AESR - ESR'!Z343</f>
        <v>0</v>
      </c>
      <c r="ACU7" s="29">
        <f>'REG y VAL POE - AESR - ESR'!AA343</f>
        <v>0</v>
      </c>
      <c r="ACV7" s="29">
        <f>'REG y VAL POE - AESR - ESR'!AB343</f>
        <v>0</v>
      </c>
      <c r="ACW7" s="29">
        <f>'REG y VAL POE - AESR - ESR'!AC343</f>
        <v>0</v>
      </c>
      <c r="ACX7" s="29">
        <f>'REG y VAL POE - AESR - ESR'!AD343</f>
        <v>0</v>
      </c>
      <c r="ACY7" s="29">
        <f>'REG y VAL POE - AESR - ESR'!AE343</f>
        <v>0</v>
      </c>
      <c r="ACZ7" s="29">
        <f>'REG y VAL POE - AESR - ESR'!AF343</f>
        <v>0</v>
      </c>
      <c r="ADA7" s="29">
        <f>'REG y VAL POE - AESR - ESR'!AG343</f>
        <v>0</v>
      </c>
      <c r="ADB7" s="29">
        <f>'REG y VAL POE - AESR - ESR'!AH343</f>
        <v>0</v>
      </c>
      <c r="ADC7" s="29">
        <f>'REG y VAL POE - AESR - ESR'!AI343</f>
        <v>0</v>
      </c>
      <c r="ADD7" s="29">
        <f>'REG y VAL POE - AESR - ESR'!AJ343</f>
        <v>0</v>
      </c>
      <c r="ADE7" s="29">
        <f>'REG y VAL POE - AESR - ESR'!AK343</f>
        <v>0</v>
      </c>
      <c r="ADF7" s="29">
        <f>'REG y VAL POE - AESR - ESR'!AL343</f>
        <v>0</v>
      </c>
      <c r="ADG7" s="29">
        <f>'REG y VAL POE - AESR - ESR'!AM343</f>
        <v>0</v>
      </c>
      <c r="ADH7" s="29">
        <f>'REG y VAL POE - AESR - ESR'!AN343</f>
        <v>0</v>
      </c>
      <c r="ADI7" s="29">
        <f>'REG y VAL POE - AESR - ESR'!AO343</f>
        <v>0</v>
      </c>
      <c r="ADJ7" s="29">
        <f>'REG y VAL POE - AESR - ESR'!AP343</f>
        <v>0</v>
      </c>
      <c r="ADK7" s="29">
        <f>'REG y VAL POE - AESR - ESR'!AQ343</f>
        <v>0</v>
      </c>
      <c r="ADL7" s="29">
        <f>'REG y VAL POE - AESR - ESR'!AR343</f>
        <v>0</v>
      </c>
      <c r="ADM7" s="29">
        <f>'REG y VAL POE - AESR - ESR'!AS343</f>
        <v>0</v>
      </c>
      <c r="ADN7" s="30" t="str">
        <f>'REG y VAL POE - AESR - ESR'!B344</f>
        <v xml:space="preserve">Mac Butchart Avalos Maria Guadalupe </v>
      </c>
      <c r="ADO7" s="29">
        <f>'REG y VAL POE - AESR - ESR'!C344</f>
        <v>0</v>
      </c>
      <c r="ADP7" s="28">
        <f>'REG y VAL POE - AESR - ESR'!D344</f>
        <v>23209538</v>
      </c>
      <c r="ADQ7" s="29">
        <f>'REG y VAL POE - AESR - ESR'!E344</f>
        <v>0</v>
      </c>
      <c r="ADR7" s="28">
        <f>'REG y VAL POE - AESR - ESR'!F344</f>
        <v>0</v>
      </c>
      <c r="ADS7" s="28">
        <f>'REG y VAL POE - AESR - ESR'!G344</f>
        <v>0</v>
      </c>
      <c r="ADT7" s="28">
        <f>'REG y VAL POE - AESR - ESR'!H344</f>
        <v>0</v>
      </c>
      <c r="ADU7" s="29">
        <f>'REG y VAL POE - AESR - ESR'!I344</f>
        <v>0</v>
      </c>
      <c r="ADV7" s="388">
        <f>'REG y VAL POE - AESR - ESR'!J344</f>
        <v>0</v>
      </c>
      <c r="ADW7" s="29">
        <f>'REG y VAL POE - AESR - ESR'!K344</f>
        <v>0</v>
      </c>
      <c r="ADX7" s="388">
        <f>'REG y VAL POE - AESR - ESR'!L344</f>
        <v>0</v>
      </c>
      <c r="ADY7" s="29">
        <f>'REG y VAL POE - AESR - ESR'!M344</f>
        <v>0</v>
      </c>
      <c r="ADZ7" s="29">
        <f>'REG y VAL POE - AESR - ESR'!N344</f>
        <v>0</v>
      </c>
      <c r="AEA7" s="29">
        <f>'REG y VAL POE - AESR - ESR'!O344</f>
        <v>0</v>
      </c>
      <c r="AEB7" s="29">
        <f>'REG y VAL POE - AESR - ESR'!P344</f>
        <v>0</v>
      </c>
      <c r="AEC7" s="29">
        <f>'REG y VAL POE - AESR - ESR'!Q344</f>
        <v>0</v>
      </c>
      <c r="AED7" s="29">
        <f>'REG y VAL POE - AESR - ESR'!R344</f>
        <v>0</v>
      </c>
      <c r="AEE7" s="29">
        <f>'REG y VAL POE - AESR - ESR'!S344</f>
        <v>0</v>
      </c>
      <c r="AEF7" s="29">
        <f>'REG y VAL POE - AESR - ESR'!T344</f>
        <v>0</v>
      </c>
      <c r="AEG7" s="29">
        <f>'REG y VAL POE - AESR - ESR'!U344</f>
        <v>0</v>
      </c>
      <c r="AEH7" s="29">
        <f>'REG y VAL POE - AESR - ESR'!V344</f>
        <v>0</v>
      </c>
      <c r="AEI7" s="29">
        <f>'REG y VAL POE - AESR - ESR'!W344</f>
        <v>0</v>
      </c>
      <c r="AEJ7" s="29">
        <f>'REG y VAL POE - AESR - ESR'!X344</f>
        <v>0</v>
      </c>
      <c r="AEK7" s="29">
        <f>'REG y VAL POE - AESR - ESR'!Y344</f>
        <v>0</v>
      </c>
      <c r="AEL7" s="29">
        <f>'REG y VAL POE - AESR - ESR'!Z344</f>
        <v>0</v>
      </c>
      <c r="AEM7" s="29">
        <f>'REG y VAL POE - AESR - ESR'!AA344</f>
        <v>0</v>
      </c>
      <c r="AEN7" s="29">
        <f>'REG y VAL POE - AESR - ESR'!AB344</f>
        <v>0</v>
      </c>
      <c r="AEO7" s="29">
        <f>'REG y VAL POE - AESR - ESR'!AC344</f>
        <v>0</v>
      </c>
      <c r="AEP7" s="29">
        <f>'REG y VAL POE - AESR - ESR'!AD344</f>
        <v>0</v>
      </c>
      <c r="AEQ7" s="29">
        <f>'REG y VAL POE - AESR - ESR'!AE344</f>
        <v>0</v>
      </c>
      <c r="AER7" s="29">
        <f>'REG y VAL POE - AESR - ESR'!AF344</f>
        <v>0</v>
      </c>
      <c r="AES7" s="29">
        <f>'REG y VAL POE - AESR - ESR'!AG344</f>
        <v>0</v>
      </c>
      <c r="AET7" s="29">
        <f>'REG y VAL POE - AESR - ESR'!AH344</f>
        <v>0</v>
      </c>
      <c r="AEU7" s="29">
        <f>'REG y VAL POE - AESR - ESR'!AI344</f>
        <v>0</v>
      </c>
      <c r="AEV7" s="29">
        <f>'REG y VAL POE - AESR - ESR'!AJ344</f>
        <v>0</v>
      </c>
      <c r="AEW7" s="29">
        <f>'REG y VAL POE - AESR - ESR'!AK344</f>
        <v>0</v>
      </c>
      <c r="AEX7" s="29">
        <f>'REG y VAL POE - AESR - ESR'!AL344</f>
        <v>0</v>
      </c>
      <c r="AEY7" s="29">
        <f>'REG y VAL POE - AESR - ESR'!AM344</f>
        <v>0</v>
      </c>
      <c r="AEZ7" s="29">
        <f>'REG y VAL POE - AESR - ESR'!AN344</f>
        <v>0</v>
      </c>
      <c r="AFA7" s="29">
        <f>'REG y VAL POE - AESR - ESR'!AO344</f>
        <v>0</v>
      </c>
      <c r="AFB7" s="29">
        <f>'REG y VAL POE - AESR - ESR'!AP344</f>
        <v>0</v>
      </c>
      <c r="AFC7" s="29">
        <f>'REG y VAL POE - AESR - ESR'!AQ344</f>
        <v>0</v>
      </c>
      <c r="AFD7" s="29">
        <f>'REG y VAL POE - AESR - ESR'!AR344</f>
        <v>0</v>
      </c>
      <c r="AFE7" s="29">
        <f>'REG y VAL POE - AESR - ESR'!AS344</f>
        <v>0</v>
      </c>
      <c r="AFF7" s="30" t="str">
        <f>'REG y VAL POE - AESR - ESR'!B345</f>
        <v>Medina Reyes Cristina Alma</v>
      </c>
      <c r="AFG7" s="29" t="str">
        <f>'REG y VAL POE - AESR - ESR'!C345</f>
        <v>POE</v>
      </c>
      <c r="AFH7" s="28">
        <f>'REG y VAL POE - AESR - ESR'!D345</f>
        <v>23130843</v>
      </c>
      <c r="AFI7" s="29">
        <f>'REG y VAL POE - AESR - ESR'!E345</f>
        <v>0</v>
      </c>
      <c r="AFJ7" s="28">
        <f>'REG y VAL POE - AESR - ESR'!F345</f>
        <v>0</v>
      </c>
      <c r="AFK7" s="28">
        <f>'REG y VAL POE - AESR - ESR'!G345</f>
        <v>45474</v>
      </c>
      <c r="AFL7" s="28">
        <f>'REG y VAL POE - AESR - ESR'!H345</f>
        <v>45839</v>
      </c>
      <c r="AFM7" s="29" t="str">
        <f>'REG y VAL POE - AESR - ESR'!I345</f>
        <v>SI</v>
      </c>
      <c r="AFN7" s="388" t="str">
        <f>'REG y VAL POE - AESR - ESR'!J345</f>
        <v>Vigente</v>
      </c>
      <c r="AFO7" s="29" t="str">
        <f>'REG y VAL POE - AESR - ESR'!K345</f>
        <v>SI</v>
      </c>
      <c r="AFP7" s="388" t="str">
        <f>'REG y VAL POE - AESR - ESR'!L345</f>
        <v>Vigente</v>
      </c>
      <c r="AFQ7" s="29" t="str">
        <f>'REG y VAL POE - AESR - ESR'!M345</f>
        <v>NO</v>
      </c>
      <c r="AFR7" s="388" t="str">
        <f>'REG y VAL POE - AESR - ESR'!N345</f>
        <v>Apendice ByC no llenos-c/historial aparte-falta firma RL</v>
      </c>
      <c r="AFS7" s="29">
        <f>'REG y VAL POE - AESR - ESR'!O345</f>
        <v>0</v>
      </c>
      <c r="AFT7" s="29" t="str">
        <f>'REG y VAL POE - AESR - ESR'!P345</f>
        <v>SI</v>
      </c>
      <c r="AFU7" s="29" t="str">
        <f>'REG y VAL POE - AESR - ESR'!Q345</f>
        <v>SI</v>
      </c>
      <c r="AFV7" s="29" t="str">
        <f>'REG y VAL POE - AESR - ESR'!R345</f>
        <v>SI</v>
      </c>
      <c r="AFW7" s="29" t="str">
        <f>'REG y VAL POE - AESR - ESR'!S345</f>
        <v>SI</v>
      </c>
      <c r="AFX7" s="29" t="str">
        <f>'REG y VAL POE - AESR - ESR'!T345</f>
        <v>SI</v>
      </c>
      <c r="AFY7" s="29" t="str">
        <f>'REG y VAL POE - AESR - ESR'!U345</f>
        <v>NO</v>
      </c>
      <c r="AFZ7" s="29" t="str">
        <f>'REG y VAL POE - AESR - ESR'!V345</f>
        <v>SI</v>
      </c>
      <c r="AGA7" s="29">
        <f>'REG y VAL POE - AESR - ESR'!W345</f>
        <v>0</v>
      </c>
      <c r="AGB7" s="29">
        <f>'REG y VAL POE - AESR - ESR'!X345</f>
        <v>0</v>
      </c>
      <c r="AGC7" s="29">
        <f>'REG y VAL POE - AESR - ESR'!Y345</f>
        <v>0</v>
      </c>
      <c r="AGD7" s="29" t="str">
        <f>'REG y VAL POE - AESR - ESR'!Z345</f>
        <v>SI</v>
      </c>
      <c r="AGE7" s="29">
        <f>'REG y VAL POE - AESR - ESR'!AA345</f>
        <v>0</v>
      </c>
      <c r="AGF7" s="29">
        <f>'REG y VAL POE - AESR - ESR'!AB345</f>
        <v>0</v>
      </c>
      <c r="AGG7" s="29">
        <f>'REG y VAL POE - AESR - ESR'!AC345</f>
        <v>0</v>
      </c>
      <c r="AGH7" s="29">
        <f>'REG y VAL POE - AESR - ESR'!AD345</f>
        <v>0</v>
      </c>
      <c r="AGI7" s="29">
        <f>'REG y VAL POE - AESR - ESR'!AE345</f>
        <v>0</v>
      </c>
      <c r="AGJ7" s="29">
        <f>'REG y VAL POE - AESR - ESR'!AF345</f>
        <v>0</v>
      </c>
      <c r="AGK7" s="29">
        <f>'REG y VAL POE - AESR - ESR'!AG345</f>
        <v>0</v>
      </c>
      <c r="AGL7" s="29">
        <f>'REG y VAL POE - AESR - ESR'!AH345</f>
        <v>0</v>
      </c>
      <c r="AGM7" s="29">
        <f>'REG y VAL POE - AESR - ESR'!AI345</f>
        <v>0</v>
      </c>
      <c r="AGN7" s="29">
        <f>'REG y VAL POE - AESR - ESR'!AJ345</f>
        <v>0</v>
      </c>
      <c r="AGO7" s="29">
        <f>'REG y VAL POE - AESR - ESR'!AK345</f>
        <v>0</v>
      </c>
      <c r="AGP7" s="29" t="str">
        <f>'REG y VAL POE - AESR - ESR'!AL345</f>
        <v>SI</v>
      </c>
      <c r="AGQ7" s="29" t="str">
        <f>'REG y VAL POE - AESR - ESR'!AM345</f>
        <v>SI</v>
      </c>
      <c r="AGR7" s="29">
        <f>'REG y VAL POE - AESR - ESR'!AN345</f>
        <v>0</v>
      </c>
      <c r="AGS7" s="29">
        <f>'REG y VAL POE - AESR - ESR'!AO345</f>
        <v>0</v>
      </c>
      <c r="AGT7" s="29" t="str">
        <f>'REG y VAL POE - AESR - ESR'!AP345</f>
        <v>SI</v>
      </c>
      <c r="AGU7" s="29">
        <f>'REG y VAL POE - AESR - ESR'!AQ345</f>
        <v>0</v>
      </c>
      <c r="AGV7" s="29" t="str">
        <f>'REG y VAL POE - AESR - ESR'!AR345</f>
        <v>VACIS PORTAL</v>
      </c>
      <c r="AGW7" s="29">
        <f>'REG y VAL POE - AESR - ESR'!AS345</f>
        <v>0</v>
      </c>
      <c r="AGX7" s="30" t="str">
        <f>'REG y VAL POE - AESR - ESR'!B346</f>
        <v>Narro Prieto Oscar Ronaldo</v>
      </c>
      <c r="AGY7" s="29">
        <f>'REG y VAL POE - AESR - ESR'!C346</f>
        <v>0</v>
      </c>
      <c r="AGZ7" s="28">
        <f>'REG y VAL POE - AESR - ESR'!D346</f>
        <v>23215973</v>
      </c>
      <c r="AHA7" s="29">
        <f>'REG y VAL POE - AESR - ESR'!E346</f>
        <v>0</v>
      </c>
      <c r="AHB7" s="28">
        <f>'REG y VAL POE - AESR - ESR'!F346</f>
        <v>0</v>
      </c>
      <c r="AHC7" s="28">
        <f>'REG y VAL POE - AESR - ESR'!G346</f>
        <v>44673</v>
      </c>
      <c r="AHD7" s="28" t="str">
        <f>'REG y VAL POE - AESR - ESR'!H346</f>
        <v>VENCIDA</v>
      </c>
      <c r="AHE7" s="29" t="str">
        <f>'REG y VAL POE - AESR - ESR'!I346</f>
        <v>SI</v>
      </c>
      <c r="AHF7" s="388" t="str">
        <f>'REG y VAL POE - AESR - ESR'!J346</f>
        <v>VENCIDA</v>
      </c>
      <c r="AHG7" s="29" t="str">
        <f>'REG y VAL POE - AESR - ESR'!K346</f>
        <v>SI</v>
      </c>
      <c r="AHH7" s="388" t="str">
        <f>'REG y VAL POE - AESR - ESR'!L346</f>
        <v>VENCIDA</v>
      </c>
      <c r="AHI7" s="29" t="str">
        <f>'REG y VAL POE - AESR - ESR'!M346</f>
        <v>NO</v>
      </c>
      <c r="AHJ7" s="388" t="str">
        <f>'REG y VAL POE - AESR - ESR'!N346</f>
        <v>Apendice ByC no llenos-c/historial aparte-falta firma RL</v>
      </c>
      <c r="AHK7" s="29">
        <f>'REG y VAL POE - AESR - ESR'!O346</f>
        <v>0</v>
      </c>
      <c r="AHL7" s="29" t="str">
        <f>'REG y VAL POE - AESR - ESR'!P346</f>
        <v>SI</v>
      </c>
      <c r="AHM7" s="29" t="str">
        <f>'REG y VAL POE - AESR - ESR'!Q346</f>
        <v>SI</v>
      </c>
      <c r="AHN7" s="29" t="str">
        <f>'REG y VAL POE - AESR - ESR'!R346</f>
        <v>SI</v>
      </c>
      <c r="AHO7" s="29" t="str">
        <f>'REG y VAL POE - AESR - ESR'!S346</f>
        <v>SI</v>
      </c>
      <c r="AHP7" s="29" t="str">
        <f>'REG y VAL POE - AESR - ESR'!T346</f>
        <v>SI</v>
      </c>
      <c r="AHQ7" s="29" t="str">
        <f>'REG y VAL POE - AESR - ESR'!U346</f>
        <v>SI</v>
      </c>
      <c r="AHR7" s="29" t="str">
        <f>'REG y VAL POE - AESR - ESR'!V346</f>
        <v>SI</v>
      </c>
      <c r="AHS7" s="29">
        <f>'REG y VAL POE - AESR - ESR'!W346</f>
        <v>0</v>
      </c>
      <c r="AHT7" s="29">
        <f>'REG y VAL POE - AESR - ESR'!X346</f>
        <v>0</v>
      </c>
      <c r="AHU7" s="29">
        <f>'REG y VAL POE - AESR - ESR'!Y346</f>
        <v>0</v>
      </c>
      <c r="AHV7" s="29">
        <f>'REG y VAL POE - AESR - ESR'!Z346</f>
        <v>0</v>
      </c>
      <c r="AHW7" s="29">
        <f>'REG y VAL POE - AESR - ESR'!AA346</f>
        <v>0</v>
      </c>
      <c r="AHX7" s="29">
        <f>'REG y VAL POE - AESR - ESR'!AB346</f>
        <v>0</v>
      </c>
      <c r="AHY7" s="29">
        <f>'REG y VAL POE - AESR - ESR'!AC346</f>
        <v>0</v>
      </c>
      <c r="AHZ7" s="29">
        <f>'REG y VAL POE - AESR - ESR'!AD346</f>
        <v>0</v>
      </c>
      <c r="AIA7" s="29">
        <f>'REG y VAL POE - AESR - ESR'!AE346</f>
        <v>0</v>
      </c>
      <c r="AIB7" s="29" t="str">
        <f>'REG y VAL POE - AESR - ESR'!AF346</f>
        <v>SI</v>
      </c>
      <c r="AIC7" s="29">
        <f>'REG y VAL POE - AESR - ESR'!AG346</f>
        <v>0</v>
      </c>
      <c r="AID7" s="29">
        <f>'REG y VAL POE - AESR - ESR'!AH346</f>
        <v>0</v>
      </c>
      <c r="AIE7" s="29">
        <f>'REG y VAL POE - AESR - ESR'!AI346</f>
        <v>0</v>
      </c>
      <c r="AIF7" s="29">
        <f>'REG y VAL POE - AESR - ESR'!AJ346</f>
        <v>0</v>
      </c>
      <c r="AIG7" s="29">
        <f>'REG y VAL POE - AESR - ESR'!AK346</f>
        <v>0</v>
      </c>
      <c r="AIH7" s="29" t="str">
        <f>'REG y VAL POE - AESR - ESR'!AL346</f>
        <v>SI</v>
      </c>
      <c r="AII7" s="29">
        <f>'REG y VAL POE - AESR - ESR'!AM346</f>
        <v>0</v>
      </c>
      <c r="AIJ7" s="29">
        <f>'REG y VAL POE - AESR - ESR'!AN346</f>
        <v>0</v>
      </c>
      <c r="AIK7" s="29">
        <f>'REG y VAL POE - AESR - ESR'!AO346</f>
        <v>0</v>
      </c>
      <c r="AIL7" s="29" t="str">
        <f>'REG y VAL POE - AESR - ESR'!AP346</f>
        <v>SI</v>
      </c>
      <c r="AIM7" s="29">
        <f>'REG y VAL POE - AESR - ESR'!AQ346</f>
        <v>0</v>
      </c>
      <c r="AIN7" s="29" t="str">
        <f>'REG y VAL POE - AESR - ESR'!AR346</f>
        <v>VACIS PORTAL</v>
      </c>
      <c r="AIO7" s="29">
        <f>'REG y VAL POE - AESR - ESR'!AS346</f>
        <v>0</v>
      </c>
      <c r="AIP7" s="30" t="str">
        <f>'REG y VAL POE - AESR - ESR'!B347</f>
        <v>Poot Lopez Pedro Jose</v>
      </c>
      <c r="AIQ7" s="29" t="str">
        <f>'REG y VAL POE - AESR - ESR'!C347</f>
        <v>POE</v>
      </c>
      <c r="AIR7" s="28">
        <f>'REG y VAL POE - AESR - ESR'!D347</f>
        <v>23209190</v>
      </c>
      <c r="AIS7" s="29">
        <f>'REG y VAL POE - AESR - ESR'!E347</f>
        <v>0</v>
      </c>
      <c r="AIT7" s="28">
        <f>'REG y VAL POE - AESR - ESR'!F347</f>
        <v>0</v>
      </c>
      <c r="AIU7" s="28">
        <f>'REG y VAL POE - AESR - ESR'!G347</f>
        <v>45475</v>
      </c>
      <c r="AIV7" s="28">
        <f>'REG y VAL POE - AESR - ESR'!H347</f>
        <v>45840</v>
      </c>
      <c r="AIW7" s="29" t="str">
        <f>'REG y VAL POE - AESR - ESR'!I347</f>
        <v>SI</v>
      </c>
      <c r="AIX7" s="388" t="str">
        <f>'REG y VAL POE - AESR - ESR'!J347</f>
        <v>Vigente</v>
      </c>
      <c r="AIY7" s="29" t="str">
        <f>'REG y VAL POE - AESR - ESR'!K347</f>
        <v>SI</v>
      </c>
      <c r="AIZ7" s="388" t="str">
        <f>'REG y VAL POE - AESR - ESR'!L347</f>
        <v>Vigente</v>
      </c>
      <c r="AJA7" s="29" t="str">
        <f>'REG y VAL POE - AESR - ESR'!M347</f>
        <v>NO</v>
      </c>
      <c r="AJB7" s="388" t="str">
        <f>'REG y VAL POE - AESR - ESR'!N347</f>
        <v>Apendice ByC no llenos-c/historial aparte-falta firma RL</v>
      </c>
      <c r="AJC7" s="29" t="str">
        <f>'REG y VAL POE - AESR - ESR'!O347</f>
        <v>TITULO EN DERECHO</v>
      </c>
      <c r="AJD7" s="29">
        <f>'REG y VAL POE - AESR - ESR'!P347</f>
        <v>0</v>
      </c>
      <c r="AJE7" s="29" t="str">
        <f>'REG y VAL POE - AESR - ESR'!Q347</f>
        <v>SI</v>
      </c>
      <c r="AJF7" s="29" t="str">
        <f>'REG y VAL POE - AESR - ESR'!R347</f>
        <v>SI</v>
      </c>
      <c r="AJG7" s="29" t="str">
        <f>'REG y VAL POE - AESR - ESR'!S347</f>
        <v>SI</v>
      </c>
      <c r="AJH7" s="29" t="str">
        <f>'REG y VAL POE - AESR - ESR'!T347</f>
        <v>SI</v>
      </c>
      <c r="AJI7" s="29" t="str">
        <f>'REG y VAL POE - AESR - ESR'!U347</f>
        <v>NO</v>
      </c>
      <c r="AJJ7" s="29" t="str">
        <f>'REG y VAL POE - AESR - ESR'!V347</f>
        <v>SI</v>
      </c>
      <c r="AJK7" s="29">
        <f>'REG y VAL POE - AESR - ESR'!W347</f>
        <v>0</v>
      </c>
      <c r="AJL7" s="29">
        <f>'REG y VAL POE - AESR - ESR'!X347</f>
        <v>0</v>
      </c>
      <c r="AJM7" s="29">
        <f>'REG y VAL POE - AESR - ESR'!Y347</f>
        <v>0</v>
      </c>
      <c r="AJN7" s="29" t="str">
        <f>'REG y VAL POE - AESR - ESR'!Z347</f>
        <v>SI</v>
      </c>
      <c r="AJO7" s="29">
        <f>'REG y VAL POE - AESR - ESR'!AA347</f>
        <v>0</v>
      </c>
      <c r="AJP7" s="29">
        <f>'REG y VAL POE - AESR - ESR'!AB347</f>
        <v>0</v>
      </c>
      <c r="AJQ7" s="29">
        <f>'REG y VAL POE - AESR - ESR'!AC347</f>
        <v>0</v>
      </c>
      <c r="AJR7" s="29">
        <f>'REG y VAL POE - AESR - ESR'!AD347</f>
        <v>0</v>
      </c>
      <c r="AJS7" s="29">
        <f>'REG y VAL POE - AESR - ESR'!AE347</f>
        <v>0</v>
      </c>
      <c r="AJT7" s="29">
        <f>'REG y VAL POE - AESR - ESR'!AF347</f>
        <v>0</v>
      </c>
      <c r="AJU7" s="29">
        <f>'REG y VAL POE - AESR - ESR'!AG347</f>
        <v>0</v>
      </c>
      <c r="AJV7" s="29">
        <f>'REG y VAL POE - AESR - ESR'!AH347</f>
        <v>0</v>
      </c>
      <c r="AJW7" s="29">
        <f>'REG y VAL POE - AESR - ESR'!AI347</f>
        <v>0</v>
      </c>
      <c r="AJX7" s="29">
        <f>'REG y VAL POE - AESR - ESR'!AJ347</f>
        <v>0</v>
      </c>
      <c r="AJY7" s="29">
        <f>'REG y VAL POE - AESR - ESR'!AK347</f>
        <v>0</v>
      </c>
      <c r="AJZ7" s="29" t="str">
        <f>'REG y VAL POE - AESR - ESR'!AL347</f>
        <v>SI</v>
      </c>
      <c r="AKA7" s="29" t="str">
        <f>'REG y VAL POE - AESR - ESR'!AM347</f>
        <v>SI</v>
      </c>
      <c r="AKB7" s="29">
        <f>'REG y VAL POE - AESR - ESR'!AN347</f>
        <v>0</v>
      </c>
      <c r="AKC7" s="29">
        <f>'REG y VAL POE - AESR - ESR'!AO347</f>
        <v>0</v>
      </c>
      <c r="AKD7" s="29" t="str">
        <f>'REG y VAL POE - AESR - ESR'!AP347</f>
        <v>SI</v>
      </c>
      <c r="AKE7" s="29">
        <f>'REG y VAL POE - AESR - ESR'!AQ347</f>
        <v>0</v>
      </c>
      <c r="AKF7" s="29" t="str">
        <f>'REG y VAL POE - AESR - ESR'!AR347</f>
        <v>VACIS PORTAL</v>
      </c>
      <c r="AKG7" s="29">
        <f>'REG y VAL POE - AESR - ESR'!AS347</f>
        <v>0</v>
      </c>
      <c r="AKH7" s="30" t="str">
        <f>'REG y VAL POE - AESR - ESR'!B348</f>
        <v>Reyna Perez Leticia</v>
      </c>
      <c r="AKI7" s="29" t="str">
        <f>'REG y VAL POE - AESR - ESR'!C348</f>
        <v>POE</v>
      </c>
      <c r="AKJ7" s="28">
        <f>'REG y VAL POE - AESR - ESR'!D348</f>
        <v>23202622</v>
      </c>
      <c r="AKK7" s="29">
        <f>'REG y VAL POE - AESR - ESR'!E348</f>
        <v>0</v>
      </c>
      <c r="AKL7" s="28">
        <f>'REG y VAL POE - AESR - ESR'!F348</f>
        <v>0</v>
      </c>
      <c r="AKM7" s="28" t="str">
        <f>'REG y VAL POE - AESR - ESR'!G348</f>
        <v>25-ABR-23</v>
      </c>
      <c r="AKN7" s="28" t="str">
        <f>'REG y VAL POE - AESR - ESR'!H348</f>
        <v>VENCIDA</v>
      </c>
      <c r="AKO7" s="29" t="str">
        <f>'REG y VAL POE - AESR - ESR'!I348</f>
        <v>SI</v>
      </c>
      <c r="AKP7" s="388" t="str">
        <f>'REG y VAL POE - AESR - ESR'!J348</f>
        <v>VENCIDA</v>
      </c>
      <c r="AKQ7" s="29" t="str">
        <f>'REG y VAL POE - AESR - ESR'!K348</f>
        <v>SI</v>
      </c>
      <c r="AKR7" s="388" t="str">
        <f>'REG y VAL POE - AESR - ESR'!L348</f>
        <v>VENCIDA</v>
      </c>
      <c r="AKS7" s="29" t="str">
        <f>'REG y VAL POE - AESR - ESR'!M348</f>
        <v>NO</v>
      </c>
      <c r="AKT7" s="388" t="str">
        <f>'REG y VAL POE - AESR - ESR'!N348</f>
        <v>Apendice ByC no llenos-c/historial aparte-falta firma RL</v>
      </c>
      <c r="AKU7" s="29" t="str">
        <f>'REG y VAL POE - AESR - ESR'!O348</f>
        <v>SI</v>
      </c>
      <c r="AKV7" s="29">
        <f>'REG y VAL POE - AESR - ESR'!P348</f>
        <v>0</v>
      </c>
      <c r="AKW7" s="29" t="str">
        <f>'REG y VAL POE - AESR - ESR'!Q348</f>
        <v>SI</v>
      </c>
      <c r="AKX7" s="29" t="str">
        <f>'REG y VAL POE - AESR - ESR'!R348</f>
        <v>SI</v>
      </c>
      <c r="AKY7" s="29" t="str">
        <f>'REG y VAL POE - AESR - ESR'!S348</f>
        <v>SI</v>
      </c>
      <c r="AKZ7" s="29" t="str">
        <f>'REG y VAL POE - AESR - ESR'!T348</f>
        <v>SI</v>
      </c>
      <c r="ALA7" s="29" t="str">
        <f>'REG y VAL POE - AESR - ESR'!U348</f>
        <v>SI</v>
      </c>
      <c r="ALB7" s="29" t="str">
        <f>'REG y VAL POE - AESR - ESR'!V348</f>
        <v>SI</v>
      </c>
      <c r="ALC7" s="29">
        <f>'REG y VAL POE - AESR - ESR'!W348</f>
        <v>0</v>
      </c>
      <c r="ALD7" s="29">
        <f>'REG y VAL POE - AESR - ESR'!X348</f>
        <v>0</v>
      </c>
      <c r="ALE7" s="29">
        <f>'REG y VAL POE - AESR - ESR'!Y348</f>
        <v>0</v>
      </c>
      <c r="ALF7" s="29" t="str">
        <f>'REG y VAL POE - AESR - ESR'!Z348</f>
        <v>SI</v>
      </c>
      <c r="ALG7" s="29">
        <f>'REG y VAL POE - AESR - ESR'!AA348</f>
        <v>0</v>
      </c>
      <c r="ALH7" s="29">
        <f>'REG y VAL POE - AESR - ESR'!AB348</f>
        <v>0</v>
      </c>
      <c r="ALI7" s="29">
        <f>'REG y VAL POE - AESR - ESR'!AC348</f>
        <v>0</v>
      </c>
      <c r="ALJ7" s="29">
        <f>'REG y VAL POE - AESR - ESR'!AD348</f>
        <v>0</v>
      </c>
      <c r="ALK7" s="29">
        <f>'REG y VAL POE - AESR - ESR'!AE348</f>
        <v>0</v>
      </c>
      <c r="ALL7" s="29">
        <f>'REG y VAL POE - AESR - ESR'!AF348</f>
        <v>0</v>
      </c>
      <c r="ALM7" s="29">
        <f>'REG y VAL POE - AESR - ESR'!AG348</f>
        <v>0</v>
      </c>
      <c r="ALN7" s="29">
        <f>'REG y VAL POE - AESR - ESR'!AH348</f>
        <v>0</v>
      </c>
      <c r="ALO7" s="29">
        <f>'REG y VAL POE - AESR - ESR'!AI348</f>
        <v>0</v>
      </c>
      <c r="ALP7" s="29">
        <f>'REG y VAL POE - AESR - ESR'!AJ348</f>
        <v>0</v>
      </c>
      <c r="ALQ7" s="29">
        <f>'REG y VAL POE - AESR - ESR'!AK348</f>
        <v>0</v>
      </c>
      <c r="ALR7" s="29" t="str">
        <f>'REG y VAL POE - AESR - ESR'!AL348</f>
        <v>SI</v>
      </c>
      <c r="ALS7" s="29" t="str">
        <f>'REG y VAL POE - AESR - ESR'!AM348</f>
        <v>SI</v>
      </c>
      <c r="ALT7" s="29">
        <f>'REG y VAL POE - AESR - ESR'!AN348</f>
        <v>0</v>
      </c>
      <c r="ALU7" s="29">
        <f>'REG y VAL POE - AESR - ESR'!AO348</f>
        <v>0</v>
      </c>
      <c r="ALV7" s="29" t="str">
        <f>'REG y VAL POE - AESR - ESR'!AP348</f>
        <v>SI</v>
      </c>
      <c r="ALW7" s="29">
        <f>'REG y VAL POE - AESR - ESR'!AQ348</f>
        <v>0</v>
      </c>
      <c r="ALX7" s="29">
        <f>'REG y VAL POE - AESR - ESR'!AR348</f>
        <v>0</v>
      </c>
      <c r="ALY7" s="29">
        <f>'REG y VAL POE - AESR - ESR'!AS348</f>
        <v>0</v>
      </c>
      <c r="ALZ7" s="30" t="str">
        <f>'REG y VAL POE - AESR - ESR'!B349</f>
        <v>Ruiseor Martinez Omara</v>
      </c>
      <c r="AMA7" s="29" t="str">
        <f>'REG y VAL POE - AESR - ESR'!C349</f>
        <v>POE</v>
      </c>
      <c r="AMB7" s="28">
        <f>'REG y VAL POE - AESR - ESR'!D349</f>
        <v>23202261</v>
      </c>
      <c r="AMC7" s="29">
        <f>'REG y VAL POE - AESR - ESR'!E349</f>
        <v>0</v>
      </c>
      <c r="AMD7" s="28">
        <f>'REG y VAL POE - AESR - ESR'!F349</f>
        <v>0</v>
      </c>
      <c r="AME7" s="28">
        <f>'REG y VAL POE - AESR - ESR'!G349</f>
        <v>45041</v>
      </c>
      <c r="AMF7" s="28" t="str">
        <f>'REG y VAL POE - AESR - ESR'!H349</f>
        <v>VENCIDA</v>
      </c>
      <c r="AMG7" s="29" t="str">
        <f>'REG y VAL POE - AESR - ESR'!I349</f>
        <v>SI</v>
      </c>
      <c r="AMH7" s="388" t="str">
        <f>'REG y VAL POE - AESR - ESR'!J349</f>
        <v>VENCIDA</v>
      </c>
      <c r="AMI7" s="29" t="str">
        <f>'REG y VAL POE - AESR - ESR'!K349</f>
        <v>SI</v>
      </c>
      <c r="AMJ7" s="388" t="str">
        <f>'REG y VAL POE - AESR - ESR'!L349</f>
        <v>VENCIDA</v>
      </c>
      <c r="AMK7" s="29" t="str">
        <f>'REG y VAL POE - AESR - ESR'!M349</f>
        <v>NO</v>
      </c>
      <c r="AML7" s="388" t="str">
        <f>'REG y VAL POE - AESR - ESR'!N349</f>
        <v>Apendice ByC no llenos-c/historial aparte-falta firma RL</v>
      </c>
      <c r="AMM7" s="29" t="str">
        <f>'REG y VAL POE - AESR - ESR'!O349</f>
        <v>SI</v>
      </c>
      <c r="AMN7" s="29">
        <f>'REG y VAL POE - AESR - ESR'!P349</f>
        <v>0</v>
      </c>
      <c r="AMO7" s="29" t="str">
        <f>'REG y VAL POE - AESR - ESR'!Q349</f>
        <v>SI</v>
      </c>
      <c r="AMP7" s="29" t="str">
        <f>'REG y VAL POE - AESR - ESR'!R349</f>
        <v>SI</v>
      </c>
      <c r="AMQ7" s="29" t="str">
        <f>'REG y VAL POE - AESR - ESR'!S349</f>
        <v>SI</v>
      </c>
      <c r="AMR7" s="29" t="str">
        <f>'REG y VAL POE - AESR - ESR'!T349</f>
        <v>SI</v>
      </c>
      <c r="AMS7" s="29" t="str">
        <f>'REG y VAL POE - AESR - ESR'!U349</f>
        <v>SI</v>
      </c>
      <c r="AMT7" s="29" t="str">
        <f>'REG y VAL POE - AESR - ESR'!V349</f>
        <v>SI</v>
      </c>
      <c r="AMU7" s="29">
        <f>'REG y VAL POE - AESR - ESR'!W349</f>
        <v>0</v>
      </c>
      <c r="AMV7" s="29">
        <f>'REG y VAL POE - AESR - ESR'!X349</f>
        <v>0</v>
      </c>
      <c r="AMW7" s="29">
        <f>'REG y VAL POE - AESR - ESR'!Y349</f>
        <v>0</v>
      </c>
      <c r="AMX7" s="29" t="str">
        <f>'REG y VAL POE - AESR - ESR'!Z349</f>
        <v>SI</v>
      </c>
      <c r="AMY7" s="29">
        <f>'REG y VAL POE - AESR - ESR'!AA349</f>
        <v>0</v>
      </c>
      <c r="AMZ7" s="29">
        <f>'REG y VAL POE - AESR - ESR'!AB349</f>
        <v>0</v>
      </c>
      <c r="ANA7" s="29">
        <f>'REG y VAL POE - AESR - ESR'!AC349</f>
        <v>0</v>
      </c>
      <c r="ANB7" s="29">
        <f>'REG y VAL POE - AESR - ESR'!AD349</f>
        <v>0</v>
      </c>
      <c r="ANC7" s="29">
        <f>'REG y VAL POE - AESR - ESR'!AE349</f>
        <v>0</v>
      </c>
      <c r="AND7" s="29" t="str">
        <f>'REG y VAL POE - AESR - ESR'!AF349</f>
        <v>SI</v>
      </c>
      <c r="ANE7" s="29">
        <f>'REG y VAL POE - AESR - ESR'!AG349</f>
        <v>0</v>
      </c>
      <c r="ANF7" s="29">
        <f>'REG y VAL POE - AESR - ESR'!AH349</f>
        <v>0</v>
      </c>
      <c r="ANG7" s="29">
        <f>'REG y VAL POE - AESR - ESR'!AI349</f>
        <v>0</v>
      </c>
      <c r="ANH7" s="29">
        <f>'REG y VAL POE - AESR - ESR'!AJ349</f>
        <v>0</v>
      </c>
      <c r="ANI7" s="29">
        <f>'REG y VAL POE - AESR - ESR'!AK349</f>
        <v>0</v>
      </c>
      <c r="ANJ7" s="29">
        <f>'REG y VAL POE - AESR - ESR'!AL349</f>
        <v>0</v>
      </c>
      <c r="ANK7" s="29" t="str">
        <f>'REG y VAL POE - AESR - ESR'!AM349</f>
        <v>SI</v>
      </c>
      <c r="ANL7" s="29">
        <f>'REG y VAL POE - AESR - ESR'!AN349</f>
        <v>0</v>
      </c>
      <c r="ANM7" s="29">
        <f>'REG y VAL POE - AESR - ESR'!AO349</f>
        <v>0</v>
      </c>
      <c r="ANN7" s="29">
        <f>'REG y VAL POE - AESR - ESR'!AP349</f>
        <v>0</v>
      </c>
      <c r="ANO7" s="29">
        <f>'REG y VAL POE - AESR - ESR'!AQ349</f>
        <v>0</v>
      </c>
      <c r="ANP7" s="29" t="str">
        <f>'REG y VAL POE - AESR - ESR'!AR349</f>
        <v>THSCAN</v>
      </c>
      <c r="ANQ7" s="29">
        <f>'REG y VAL POE - AESR - ESR'!AS349</f>
        <v>0</v>
      </c>
      <c r="ANR7" s="30" t="str">
        <f>'REG y VAL POE - AESR - ESR'!B350</f>
        <v>Sanchez Casango Ignacio</v>
      </c>
      <c r="ANS7" s="29" t="str">
        <f>'REG y VAL POE - AESR - ESR'!C350</f>
        <v>POE</v>
      </c>
      <c r="ANT7" s="28">
        <f>'REG y VAL POE - AESR - ESR'!D350</f>
        <v>23202751</v>
      </c>
      <c r="ANU7" s="29">
        <f>'REG y VAL POE - AESR - ESR'!E350</f>
        <v>0</v>
      </c>
      <c r="ANV7" s="28">
        <f>'REG y VAL POE - AESR - ESR'!F350</f>
        <v>0</v>
      </c>
      <c r="ANW7" s="28">
        <f>'REG y VAL POE - AESR - ESR'!G350</f>
        <v>45477</v>
      </c>
      <c r="ANX7" s="28">
        <f>'REG y VAL POE - AESR - ESR'!H350</f>
        <v>45842</v>
      </c>
      <c r="ANY7" s="29" t="str">
        <f>'REG y VAL POE - AESR - ESR'!I350</f>
        <v>SI</v>
      </c>
      <c r="ANZ7" s="388" t="str">
        <f>'REG y VAL POE - AESR - ESR'!J350</f>
        <v>Vigente</v>
      </c>
      <c r="AOA7" s="29" t="str">
        <f>'REG y VAL POE - AESR - ESR'!K350</f>
        <v>SI</v>
      </c>
      <c r="AOB7" s="388" t="str">
        <f>'REG y VAL POE - AESR - ESR'!L350</f>
        <v>Vigente</v>
      </c>
      <c r="AOC7" s="29" t="str">
        <f>'REG y VAL POE - AESR - ESR'!M350</f>
        <v>NO</v>
      </c>
      <c r="AOD7" s="388" t="str">
        <f>'REG y VAL POE - AESR - ESR'!N350</f>
        <v>Apendice ByC no llenos-c/historial aparte-falta firma RL</v>
      </c>
      <c r="AOE7" s="29" t="str">
        <f>'REG y VAL POE - AESR - ESR'!O350</f>
        <v>BACHILLERATO</v>
      </c>
      <c r="AOF7" s="29">
        <f>'REG y VAL POE - AESR - ESR'!P350</f>
        <v>0</v>
      </c>
      <c r="AOG7" s="29" t="str">
        <f>'REG y VAL POE - AESR - ESR'!Q350</f>
        <v>SI</v>
      </c>
      <c r="AOH7" s="29" t="str">
        <f>'REG y VAL POE - AESR - ESR'!R350</f>
        <v>INE CON FOTO NO LEGIBLE</v>
      </c>
      <c r="AOI7" s="29">
        <f>'REG y VAL POE - AESR - ESR'!S350</f>
        <v>0</v>
      </c>
      <c r="AOJ7" s="29">
        <f>'REG y VAL POE - AESR - ESR'!T350</f>
        <v>0</v>
      </c>
      <c r="AOK7" s="29">
        <f>'REG y VAL POE - AESR - ESR'!U350</f>
        <v>0</v>
      </c>
      <c r="AOL7" s="29" t="str">
        <f>'REG y VAL POE - AESR - ESR'!V350</f>
        <v>SI</v>
      </c>
      <c r="AOM7" s="29">
        <f>'REG y VAL POE - AESR - ESR'!W350</f>
        <v>0</v>
      </c>
      <c r="AON7" s="29">
        <f>'REG y VAL POE - AESR - ESR'!X350</f>
        <v>0</v>
      </c>
      <c r="AOO7" s="29">
        <f>'REG y VAL POE - AESR - ESR'!Y350</f>
        <v>0</v>
      </c>
      <c r="AOP7" s="29">
        <f>'REG y VAL POE - AESR - ESR'!Z350</f>
        <v>0</v>
      </c>
      <c r="AOQ7" s="29">
        <f>'REG y VAL POE - AESR - ESR'!AA350</f>
        <v>0</v>
      </c>
      <c r="AOR7" s="29">
        <f>'REG y VAL POE - AESR - ESR'!AB350</f>
        <v>0</v>
      </c>
      <c r="AOS7" s="29">
        <f>'REG y VAL POE - AESR - ESR'!AC350</f>
        <v>0</v>
      </c>
      <c r="AOT7" s="29">
        <f>'REG y VAL POE - AESR - ESR'!AD350</f>
        <v>0</v>
      </c>
      <c r="AOU7" s="29">
        <f>'REG y VAL POE - AESR - ESR'!AE350</f>
        <v>0</v>
      </c>
      <c r="AOV7" s="29">
        <f>'REG y VAL POE - AESR - ESR'!AF350</f>
        <v>0</v>
      </c>
      <c r="AOW7" s="29">
        <f>'REG y VAL POE - AESR - ESR'!AG350</f>
        <v>0</v>
      </c>
      <c r="AOX7" s="29">
        <f>'REG y VAL POE - AESR - ESR'!AH350</f>
        <v>0</v>
      </c>
      <c r="AOY7" s="29">
        <f>'REG y VAL POE - AESR - ESR'!AI350</f>
        <v>0</v>
      </c>
      <c r="AOZ7" s="29">
        <f>'REG y VAL POE - AESR - ESR'!AJ350</f>
        <v>0</v>
      </c>
      <c r="APA7" s="29">
        <f>'REG y VAL POE - AESR - ESR'!AK350</f>
        <v>0</v>
      </c>
      <c r="APB7" s="29">
        <f>'REG y VAL POE - AESR - ESR'!AL350</f>
        <v>0</v>
      </c>
      <c r="APC7" s="29" t="str">
        <f>'REG y VAL POE - AESR - ESR'!AM350</f>
        <v>SI</v>
      </c>
      <c r="APD7" s="29">
        <f>'REG y VAL POE - AESR - ESR'!AN350</f>
        <v>0</v>
      </c>
      <c r="APE7" s="29">
        <f>'REG y VAL POE - AESR - ESR'!AO350</f>
        <v>0</v>
      </c>
      <c r="APF7" s="29" t="str">
        <f>'REG y VAL POE - AESR - ESR'!AP350</f>
        <v>SI</v>
      </c>
      <c r="APG7" s="29">
        <f>'REG y VAL POE - AESR - ESR'!AQ350</f>
        <v>0</v>
      </c>
      <c r="APH7" s="29" t="str">
        <f>'REG y VAL POE - AESR - ESR'!AR350</f>
        <v>THSCAN</v>
      </c>
      <c r="API7" s="29">
        <f>'REG y VAL POE - AESR - ESR'!AS350</f>
        <v>0</v>
      </c>
      <c r="APJ7" s="30" t="str">
        <f>'REG y VAL POE - AESR - ESR'!B351</f>
        <v>Santos Hernandez Daniel De Jesus</v>
      </c>
      <c r="APK7" s="29" t="str">
        <f>'REG y VAL POE - AESR - ESR'!C351</f>
        <v>POE</v>
      </c>
      <c r="APL7" s="28">
        <f>'REG y VAL POE - AESR - ESR'!D351</f>
        <v>23139790</v>
      </c>
      <c r="APM7" s="29">
        <f>'REG y VAL POE - AESR - ESR'!E351</f>
        <v>0</v>
      </c>
      <c r="APN7" s="28">
        <f>'REG y VAL POE - AESR - ESR'!F351</f>
        <v>0</v>
      </c>
      <c r="APO7" s="28">
        <f>'REG y VAL POE - AESR - ESR'!G351</f>
        <v>45476</v>
      </c>
      <c r="APP7" s="28">
        <f>'REG y VAL POE - AESR - ESR'!H351</f>
        <v>45841</v>
      </c>
      <c r="APQ7" s="29" t="str">
        <f>'REG y VAL POE - AESR - ESR'!I351</f>
        <v>SI</v>
      </c>
      <c r="APR7" s="388" t="str">
        <f>'REG y VAL POE - AESR - ESR'!J351</f>
        <v>Vigente</v>
      </c>
      <c r="APS7" s="29" t="str">
        <f>'REG y VAL POE - AESR - ESR'!K351</f>
        <v>SI</v>
      </c>
      <c r="APT7" s="388" t="str">
        <f>'REG y VAL POE - AESR - ESR'!L351</f>
        <v>Vigente</v>
      </c>
      <c r="APU7" s="29" t="str">
        <f>'REG y VAL POE - AESR - ESR'!M351</f>
        <v>NO</v>
      </c>
      <c r="APV7" s="388" t="str">
        <f>'REG y VAL POE - AESR - ESR'!N351</f>
        <v>Apendice ByC no llenos-c/historial aparte-falta firma RL</v>
      </c>
      <c r="APW7" s="29" t="str">
        <f>'REG y VAL POE - AESR - ESR'!O351</f>
        <v>CARTA PASANTE</v>
      </c>
      <c r="APX7" s="29">
        <f>'REG y VAL POE - AESR - ESR'!P351</f>
        <v>0</v>
      </c>
      <c r="APY7" s="29" t="str">
        <f>'REG y VAL POE - AESR - ESR'!Q351</f>
        <v>SI</v>
      </c>
      <c r="APZ7" s="29" t="str">
        <f>'REG y VAL POE - AESR - ESR'!R351</f>
        <v>SI</v>
      </c>
      <c r="AQA7" s="29" t="str">
        <f>'REG y VAL POE - AESR - ESR'!S351</f>
        <v>SI</v>
      </c>
      <c r="AQB7" s="29" t="str">
        <f>'REG y VAL POE - AESR - ESR'!T351</f>
        <v>SI</v>
      </c>
      <c r="AQC7" s="29" t="str">
        <f>'REG y VAL POE - AESR - ESR'!U351</f>
        <v>NO</v>
      </c>
      <c r="AQD7" s="29" t="str">
        <f>'REG y VAL POE - AESR - ESR'!V351</f>
        <v>SI</v>
      </c>
      <c r="AQE7" s="29">
        <f>'REG y VAL POE - AESR - ESR'!W351</f>
        <v>0</v>
      </c>
      <c r="AQF7" s="29">
        <f>'REG y VAL POE - AESR - ESR'!X351</f>
        <v>0</v>
      </c>
      <c r="AQG7" s="29">
        <f>'REG y VAL POE - AESR - ESR'!Y351</f>
        <v>0</v>
      </c>
      <c r="AQH7" s="29" t="str">
        <f>'REG y VAL POE - AESR - ESR'!Z351</f>
        <v>SI</v>
      </c>
      <c r="AQI7" s="29">
        <f>'REG y VAL POE - AESR - ESR'!AA351</f>
        <v>0</v>
      </c>
      <c r="AQJ7" s="29">
        <f>'REG y VAL POE - AESR - ESR'!AB351</f>
        <v>0</v>
      </c>
      <c r="AQK7" s="29">
        <f>'REG y VAL POE - AESR - ESR'!AC351</f>
        <v>0</v>
      </c>
      <c r="AQL7" s="29">
        <f>'REG y VAL POE - AESR - ESR'!AD351</f>
        <v>0</v>
      </c>
      <c r="AQM7" s="29">
        <f>'REG y VAL POE - AESR - ESR'!AE351</f>
        <v>0</v>
      </c>
      <c r="AQN7" s="29">
        <f>'REG y VAL POE - AESR - ESR'!AF351</f>
        <v>0</v>
      </c>
      <c r="AQO7" s="29">
        <f>'REG y VAL POE - AESR - ESR'!AG351</f>
        <v>0</v>
      </c>
      <c r="AQP7" s="29">
        <f>'REG y VAL POE - AESR - ESR'!AH351</f>
        <v>0</v>
      </c>
      <c r="AQQ7" s="29">
        <f>'REG y VAL POE - AESR - ESR'!AI351</f>
        <v>0</v>
      </c>
      <c r="AQR7" s="29">
        <f>'REG y VAL POE - AESR - ESR'!AJ351</f>
        <v>0</v>
      </c>
      <c r="AQS7" s="29">
        <f>'REG y VAL POE - AESR - ESR'!AK351</f>
        <v>0</v>
      </c>
      <c r="AQT7" s="29" t="str">
        <f>'REG y VAL POE - AESR - ESR'!AL351</f>
        <v>SI</v>
      </c>
      <c r="AQU7" s="29" t="str">
        <f>'REG y VAL POE - AESR - ESR'!AM351</f>
        <v>SI</v>
      </c>
      <c r="AQV7" s="29">
        <f>'REG y VAL POE - AESR - ESR'!AN351</f>
        <v>0</v>
      </c>
      <c r="AQW7" s="29">
        <f>'REG y VAL POE - AESR - ESR'!AO351</f>
        <v>0</v>
      </c>
      <c r="AQX7" s="29" t="str">
        <f>'REG y VAL POE - AESR - ESR'!AP351</f>
        <v>SI</v>
      </c>
      <c r="AQY7" s="29">
        <f>'REG y VAL POE - AESR - ESR'!AQ351</f>
        <v>0</v>
      </c>
      <c r="AQZ7" s="29" t="str">
        <f>'REG y VAL POE - AESR - ESR'!AR351</f>
        <v>VACIS PORTAL</v>
      </c>
      <c r="ARA7" s="29">
        <f>'REG y VAL POE - AESR - ESR'!AS351</f>
        <v>0</v>
      </c>
      <c r="ARB7" s="30" t="str">
        <f>'REG y VAL POE - AESR - ESR'!B352</f>
        <v>Varela Gonzalez Karla Cristina</v>
      </c>
      <c r="ARC7" s="29" t="str">
        <f>'REG y VAL POE - AESR - ESR'!C352</f>
        <v>AUX ESR</v>
      </c>
      <c r="ARD7" s="28">
        <f>'REG y VAL POE - AESR - ESR'!D352</f>
        <v>23140582</v>
      </c>
      <c r="ARE7" s="29">
        <f>'REG y VAL POE - AESR - ESR'!E352</f>
        <v>0</v>
      </c>
      <c r="ARF7" s="28">
        <f>'REG y VAL POE - AESR - ESR'!F352</f>
        <v>0</v>
      </c>
      <c r="ARG7" s="28" t="str">
        <f>'REG y VAL POE - AESR - ESR'!G352</f>
        <v>24-ABR-23</v>
      </c>
      <c r="ARH7" s="28" t="str">
        <f>'REG y VAL POE - AESR - ESR'!H352</f>
        <v>VENCIDA</v>
      </c>
      <c r="ARI7" s="29" t="str">
        <f>'REG y VAL POE - AESR - ESR'!I352</f>
        <v>SI</v>
      </c>
      <c r="ARJ7" s="388" t="str">
        <f>'REG y VAL POE - AESR - ESR'!J352</f>
        <v>VENCIDA</v>
      </c>
      <c r="ARK7" s="29" t="str">
        <f>'REG y VAL POE - AESR - ESR'!K352</f>
        <v>SI</v>
      </c>
      <c r="ARL7" s="388" t="str">
        <f>'REG y VAL POE - AESR - ESR'!L352</f>
        <v>VENCIDA</v>
      </c>
      <c r="ARM7" s="29" t="str">
        <f>'REG y VAL POE - AESR - ESR'!M352</f>
        <v>NO</v>
      </c>
      <c r="ARN7" s="388" t="str">
        <f>'REG y VAL POE - AESR - ESR'!N352</f>
        <v>Apendice ByC no llenos-c/historial aparte-falta firma RL</v>
      </c>
      <c r="ARO7" s="29" t="str">
        <f>'REG y VAL POE - AESR - ESR'!O352</f>
        <v>SI</v>
      </c>
      <c r="ARP7" s="29">
        <f>'REG y VAL POE - AESR - ESR'!P352</f>
        <v>0</v>
      </c>
      <c r="ARQ7" s="29" t="str">
        <f>'REG y VAL POE - AESR - ESR'!Q352</f>
        <v>SI</v>
      </c>
      <c r="ARR7" s="29" t="str">
        <f>'REG y VAL POE - AESR - ESR'!R352</f>
        <v>FOTO DE INE</v>
      </c>
      <c r="ARS7" s="29" t="str">
        <f>'REG y VAL POE - AESR - ESR'!S352</f>
        <v>SI</v>
      </c>
      <c r="ART7" s="29" t="str">
        <f>'REG y VAL POE - AESR - ESR'!T352</f>
        <v>SI</v>
      </c>
      <c r="ARU7" s="29" t="str">
        <f>'REG y VAL POE - AESR - ESR'!U352</f>
        <v>SI</v>
      </c>
      <c r="ARV7" s="29" t="str">
        <f>'REG y VAL POE - AESR - ESR'!V352</f>
        <v>SI</v>
      </c>
      <c r="ARW7" s="29">
        <f>'REG y VAL POE - AESR - ESR'!W352</f>
        <v>0</v>
      </c>
      <c r="ARX7" s="29">
        <f>'REG y VAL POE - AESR - ESR'!X352</f>
        <v>0</v>
      </c>
      <c r="ARY7" s="29">
        <f>'REG y VAL POE - AESR - ESR'!Y352</f>
        <v>0</v>
      </c>
      <c r="ARZ7" s="29" t="str">
        <f>'REG y VAL POE - AESR - ESR'!Z352</f>
        <v>SI</v>
      </c>
      <c r="ASA7" s="29">
        <f>'REG y VAL POE - AESR - ESR'!AA352</f>
        <v>0</v>
      </c>
      <c r="ASB7" s="29">
        <f>'REG y VAL POE - AESR - ESR'!AB352</f>
        <v>0</v>
      </c>
      <c r="ASC7" s="29">
        <f>'REG y VAL POE - AESR - ESR'!AC352</f>
        <v>0</v>
      </c>
      <c r="ASD7" s="29">
        <f>'REG y VAL POE - AESR - ESR'!AD352</f>
        <v>0</v>
      </c>
      <c r="ASE7" s="29">
        <f>'REG y VAL POE - AESR - ESR'!AE352</f>
        <v>0</v>
      </c>
      <c r="ASF7" s="29">
        <f>'REG y VAL POE - AESR - ESR'!AF352</f>
        <v>0</v>
      </c>
      <c r="ASG7" s="29">
        <f>'REG y VAL POE - AESR - ESR'!AG352</f>
        <v>0</v>
      </c>
      <c r="ASH7" s="29">
        <f>'REG y VAL POE - AESR - ESR'!AH352</f>
        <v>0</v>
      </c>
      <c r="ASI7" s="29">
        <f>'REG y VAL POE - AESR - ESR'!AI352</f>
        <v>0</v>
      </c>
      <c r="ASJ7" s="29">
        <f>'REG y VAL POE - AESR - ESR'!AJ352</f>
        <v>0</v>
      </c>
      <c r="ASK7" s="29">
        <f>'REG y VAL POE - AESR - ESR'!AK352</f>
        <v>0</v>
      </c>
      <c r="ASL7" s="29">
        <f>'REG y VAL POE - AESR - ESR'!AL352</f>
        <v>0</v>
      </c>
      <c r="ASM7" s="29" t="str">
        <f>'REG y VAL POE - AESR - ESR'!AM352</f>
        <v>SI</v>
      </c>
      <c r="ASN7" s="29">
        <f>'REG y VAL POE - AESR - ESR'!AN352</f>
        <v>0</v>
      </c>
      <c r="ASO7" s="29">
        <f>'REG y VAL POE - AESR - ESR'!AO352</f>
        <v>0</v>
      </c>
      <c r="ASP7" s="29">
        <f>'REG y VAL POE - AESR - ESR'!AP352</f>
        <v>0</v>
      </c>
      <c r="ASQ7" s="29">
        <f>'REG y VAL POE - AESR - ESR'!AQ352</f>
        <v>0</v>
      </c>
      <c r="ASR7" s="29">
        <f>'REG y VAL POE - AESR - ESR'!AR352</f>
        <v>0</v>
      </c>
      <c r="ASS7" s="29">
        <f>'REG y VAL POE - AESR - ESR'!AS352</f>
        <v>0</v>
      </c>
      <c r="AST7" s="30" t="str">
        <f>'REG y VAL POE - AESR - ESR'!B353</f>
        <v xml:space="preserve">Vazquez Alvarez Luis Miguel </v>
      </c>
      <c r="ASU7" s="29" t="str">
        <f>'REG y VAL POE - AESR - ESR'!C353</f>
        <v>Sin Registro</v>
      </c>
      <c r="ASV7" s="28">
        <f>'REG y VAL POE - AESR - ESR'!D353</f>
        <v>23207550</v>
      </c>
      <c r="ASW7" s="29">
        <f>'REG y VAL POE - AESR - ESR'!E353</f>
        <v>0</v>
      </c>
      <c r="ASX7" s="28">
        <f>'REG y VAL POE - AESR - ESR'!F353</f>
        <v>0</v>
      </c>
      <c r="ASY7" s="28">
        <f>'REG y VAL POE - AESR - ESR'!G353</f>
        <v>0</v>
      </c>
      <c r="ASZ7" s="28">
        <f>'REG y VAL POE - AESR - ESR'!H353</f>
        <v>0</v>
      </c>
      <c r="ATA7" s="29">
        <f>'REG y VAL POE - AESR - ESR'!I353</f>
        <v>0</v>
      </c>
      <c r="ATB7" s="388">
        <f>'REG y VAL POE - AESR - ESR'!J353</f>
        <v>0</v>
      </c>
      <c r="ATC7" s="29">
        <f>'REG y VAL POE - AESR - ESR'!K353</f>
        <v>0</v>
      </c>
      <c r="ATD7" s="388">
        <f>'REG y VAL POE - AESR - ESR'!L353</f>
        <v>0</v>
      </c>
      <c r="ATE7" s="29">
        <f>'REG y VAL POE - AESR - ESR'!M353</f>
        <v>0</v>
      </c>
      <c r="ATF7" s="388">
        <f>'REG y VAL POE - AESR - ESR'!N353</f>
        <v>0</v>
      </c>
      <c r="ATG7" s="29">
        <f>'REG y VAL POE - AESR - ESR'!O353</f>
        <v>0</v>
      </c>
      <c r="ATH7" s="29">
        <f>'REG y VAL POE - AESR - ESR'!P353</f>
        <v>0</v>
      </c>
      <c r="ATI7" s="29">
        <f>'REG y VAL POE - AESR - ESR'!Q353</f>
        <v>0</v>
      </c>
      <c r="ATJ7" s="29">
        <f>'REG y VAL POE - AESR - ESR'!R353</f>
        <v>0</v>
      </c>
      <c r="ATK7" s="29">
        <f>'REG y VAL POE - AESR - ESR'!S353</f>
        <v>0</v>
      </c>
      <c r="ATL7" s="29">
        <f>'REG y VAL POE - AESR - ESR'!T353</f>
        <v>0</v>
      </c>
      <c r="ATM7" s="29">
        <f>'REG y VAL POE - AESR - ESR'!U353</f>
        <v>0</v>
      </c>
      <c r="ATN7" s="29">
        <f>'REG y VAL POE - AESR - ESR'!V353</f>
        <v>0</v>
      </c>
      <c r="ATO7" s="29">
        <f>'REG y VAL POE - AESR - ESR'!W353</f>
        <v>0</v>
      </c>
      <c r="ATP7" s="29">
        <f>'REG y VAL POE - AESR - ESR'!X353</f>
        <v>0</v>
      </c>
      <c r="ATQ7" s="29">
        <f>'REG y VAL POE - AESR - ESR'!Y353</f>
        <v>0</v>
      </c>
      <c r="ATR7" s="29">
        <f>'REG y VAL POE - AESR - ESR'!Z353</f>
        <v>0</v>
      </c>
      <c r="ATS7" s="29">
        <f>'REG y VAL POE - AESR - ESR'!AA353</f>
        <v>0</v>
      </c>
      <c r="ATT7" s="29">
        <f>'REG y VAL POE - AESR - ESR'!AB353</f>
        <v>0</v>
      </c>
      <c r="ATU7" s="29">
        <f>'REG y VAL POE - AESR - ESR'!AC353</f>
        <v>0</v>
      </c>
      <c r="ATV7" s="29">
        <f>'REG y VAL POE - AESR - ESR'!AD353</f>
        <v>0</v>
      </c>
      <c r="ATW7" s="29">
        <f>'REG y VAL POE - AESR - ESR'!AE353</f>
        <v>0</v>
      </c>
      <c r="ATX7" s="29">
        <f>'REG y VAL POE - AESR - ESR'!AF353</f>
        <v>0</v>
      </c>
      <c r="ATY7" s="29">
        <f>'REG y VAL POE - AESR - ESR'!AG353</f>
        <v>0</v>
      </c>
      <c r="ATZ7" s="29">
        <f>'REG y VAL POE - AESR - ESR'!AH353</f>
        <v>0</v>
      </c>
      <c r="AUA7" s="29">
        <f>'REG y VAL POE - AESR - ESR'!AI353</f>
        <v>0</v>
      </c>
      <c r="AUB7" s="29">
        <f>'REG y VAL POE - AESR - ESR'!AJ353</f>
        <v>0</v>
      </c>
      <c r="AUC7" s="29">
        <f>'REG y VAL POE - AESR - ESR'!AK353</f>
        <v>0</v>
      </c>
      <c r="AUD7" s="29">
        <f>'REG y VAL POE - AESR - ESR'!AL353</f>
        <v>0</v>
      </c>
      <c r="AUE7" s="29">
        <f>'REG y VAL POE - AESR - ESR'!AM353</f>
        <v>0</v>
      </c>
      <c r="AUF7" s="29">
        <f>'REG y VAL POE - AESR - ESR'!AN353</f>
        <v>0</v>
      </c>
      <c r="AUG7" s="29">
        <f>'REG y VAL POE - AESR - ESR'!AO353</f>
        <v>0</v>
      </c>
      <c r="AUH7" s="29">
        <f>'REG y VAL POE - AESR - ESR'!AP353</f>
        <v>0</v>
      </c>
      <c r="AUI7" s="29">
        <f>'REG y VAL POE - AESR - ESR'!AQ353</f>
        <v>0</v>
      </c>
      <c r="AUJ7" s="29">
        <f>'REG y VAL POE - AESR - ESR'!AR353</f>
        <v>0</v>
      </c>
      <c r="AUK7" s="29">
        <f>'REG y VAL POE - AESR - ESR'!AS353</f>
        <v>0</v>
      </c>
      <c r="AUL7" s="30" t="str">
        <f>'REG y VAL POE - AESR - ESR'!B354</f>
        <v>Villalba Garcia Jose Alberto</v>
      </c>
      <c r="AUM7" s="29" t="str">
        <f>'REG y VAL POE - AESR - ESR'!C354</f>
        <v>POE</v>
      </c>
      <c r="AUN7" s="28">
        <f>'REG y VAL POE - AESR - ESR'!D354</f>
        <v>23129901</v>
      </c>
      <c r="AUO7" s="29">
        <f>'REG y VAL POE - AESR - ESR'!E354</f>
        <v>0</v>
      </c>
      <c r="AUP7" s="28">
        <f>'REG y VAL POE - AESR - ESR'!F354</f>
        <v>0</v>
      </c>
      <c r="AUQ7" s="28">
        <f>'REG y VAL POE - AESR - ESR'!G354</f>
        <v>45475</v>
      </c>
      <c r="AUR7" s="28">
        <f>'REG y VAL POE - AESR - ESR'!H354</f>
        <v>45840</v>
      </c>
      <c r="AUS7" s="29" t="str">
        <f>'REG y VAL POE - AESR - ESR'!I354</f>
        <v>SI</v>
      </c>
      <c r="AUT7" s="388" t="str">
        <f>'REG y VAL POE - AESR - ESR'!J354</f>
        <v>Vigente</v>
      </c>
      <c r="AUU7" s="29" t="str">
        <f>'REG y VAL POE - AESR - ESR'!K354</f>
        <v>SI</v>
      </c>
      <c r="AUV7" s="388" t="str">
        <f>'REG y VAL POE - AESR - ESR'!L354</f>
        <v>Vigente</v>
      </c>
      <c r="AUW7" s="29" t="str">
        <f>'REG y VAL POE - AESR - ESR'!M354</f>
        <v>NO</v>
      </c>
      <c r="AUX7" s="388" t="str">
        <f>'REG y VAL POE - AESR - ESR'!N354</f>
        <v>Apendice ByC no llenos-c/historial aparte-falta firma RL</v>
      </c>
      <c r="AUY7" s="29">
        <f>'REG y VAL POE - AESR - ESR'!O354</f>
        <v>0</v>
      </c>
      <c r="AUZ7" s="29" t="str">
        <f>'REG y VAL POE - AESR - ESR'!P354</f>
        <v>SI</v>
      </c>
      <c r="AVA7" s="29" t="str">
        <f>'REG y VAL POE - AESR - ESR'!Q354</f>
        <v>SI</v>
      </c>
      <c r="AVB7" s="29" t="str">
        <f>'REG y VAL POE - AESR - ESR'!R354</f>
        <v>SI</v>
      </c>
      <c r="AVC7" s="29" t="str">
        <f>'REG y VAL POE - AESR - ESR'!S354</f>
        <v>SI</v>
      </c>
      <c r="AVD7" s="29" t="str">
        <f>'REG y VAL POE - AESR - ESR'!T354</f>
        <v>SI</v>
      </c>
      <c r="AVE7" s="29" t="str">
        <f>'REG y VAL POE - AESR - ESR'!U354</f>
        <v>NO</v>
      </c>
      <c r="AVF7" s="29" t="str">
        <f>'REG y VAL POE - AESR - ESR'!V354</f>
        <v>SI</v>
      </c>
      <c r="AVG7" s="29">
        <f>'REG y VAL POE - AESR - ESR'!W354</f>
        <v>0</v>
      </c>
      <c r="AVH7" s="29">
        <f>'REG y VAL POE - AESR - ESR'!X354</f>
        <v>0</v>
      </c>
      <c r="AVI7" s="29">
        <f>'REG y VAL POE - AESR - ESR'!Y354</f>
        <v>0</v>
      </c>
      <c r="AVJ7" s="29" t="str">
        <f>'REG y VAL POE - AESR - ESR'!Z354</f>
        <v>SI</v>
      </c>
      <c r="AVK7" s="29">
        <f>'REG y VAL POE - AESR - ESR'!AA354</f>
        <v>0</v>
      </c>
      <c r="AVL7" s="29">
        <f>'REG y VAL POE - AESR - ESR'!AB354</f>
        <v>0</v>
      </c>
      <c r="AVM7" s="29">
        <f>'REG y VAL POE - AESR - ESR'!AC354</f>
        <v>0</v>
      </c>
      <c r="AVN7" s="29">
        <f>'REG y VAL POE - AESR - ESR'!AD354</f>
        <v>0</v>
      </c>
      <c r="AVO7" s="29">
        <f>'REG y VAL POE - AESR - ESR'!AE354</f>
        <v>0</v>
      </c>
      <c r="AVP7" s="29">
        <f>'REG y VAL POE - AESR - ESR'!AF354</f>
        <v>0</v>
      </c>
      <c r="AVQ7" s="29">
        <f>'REG y VAL POE - AESR - ESR'!AG354</f>
        <v>0</v>
      </c>
      <c r="AVR7" s="29">
        <f>'REG y VAL POE - AESR - ESR'!AH354</f>
        <v>0</v>
      </c>
      <c r="AVS7" s="29">
        <f>'REG y VAL POE - AESR - ESR'!AI354</f>
        <v>0</v>
      </c>
      <c r="AVT7" s="29">
        <f>'REG y VAL POE - AESR - ESR'!AJ354</f>
        <v>0</v>
      </c>
      <c r="AVU7" s="29">
        <f>'REG y VAL POE - AESR - ESR'!AK354</f>
        <v>0</v>
      </c>
      <c r="AVV7" s="29">
        <f>'REG y VAL POE - AESR - ESR'!AL354</f>
        <v>0</v>
      </c>
      <c r="AVW7" s="29">
        <f>'REG y VAL POE - AESR - ESR'!AM354</f>
        <v>0</v>
      </c>
      <c r="AVX7" s="29">
        <f>'REG y VAL POE - AESR - ESR'!AN354</f>
        <v>0</v>
      </c>
      <c r="AVY7" s="29">
        <f>'REG y VAL POE - AESR - ESR'!AO354</f>
        <v>0</v>
      </c>
      <c r="AVZ7" s="29" t="str">
        <f>'REG y VAL POE - AESR - ESR'!AP354</f>
        <v>SI</v>
      </c>
      <c r="AWA7" s="29">
        <f>'REG y VAL POE - AESR - ESR'!AQ354</f>
        <v>0</v>
      </c>
      <c r="AWB7" s="29">
        <f>'REG y VAL POE - AESR - ESR'!AR354</f>
        <v>0</v>
      </c>
      <c r="AWC7" s="29">
        <f>'REG y VAL POE - AESR - ESR'!AS354</f>
        <v>0</v>
      </c>
      <c r="AWD7" s="29">
        <f>'REG y VAL POE - AESR - ESR'!B355</f>
        <v>0</v>
      </c>
      <c r="AWE7" s="28">
        <f>'REG y VAL POE - AESR - ESR'!C355</f>
        <v>0</v>
      </c>
      <c r="AWF7" s="29">
        <f>'REG y VAL POE - AESR - ESR'!D355</f>
        <v>0</v>
      </c>
      <c r="AWG7" s="29">
        <f>'REG y VAL POE - AESR - ESR'!E355</f>
        <v>0</v>
      </c>
      <c r="AWH7" s="29">
        <f>'REG y VAL POE - AESR - ESR'!F355</f>
        <v>0</v>
      </c>
      <c r="AWI7" s="29">
        <f>'REG y VAL POE - AESR - ESR'!G355</f>
        <v>0</v>
      </c>
      <c r="AWJ7" s="29">
        <f>'REG y VAL POE - AESR - ESR'!H355</f>
        <v>0</v>
      </c>
      <c r="AWK7" s="28">
        <f>'REG y VAL POE - AESR - ESR'!I355</f>
        <v>0</v>
      </c>
      <c r="AWL7" s="29">
        <f>'REG y VAL POE - AESR - ESR'!J355</f>
        <v>0</v>
      </c>
      <c r="AWM7" s="29">
        <f>'REG y VAL POE - AESR - ESR'!K355</f>
        <v>0</v>
      </c>
      <c r="AWN7" s="28">
        <f>'REG y VAL POE - AESR - ESR'!L355</f>
        <v>0</v>
      </c>
      <c r="AWO7" s="29">
        <f>'REG y VAL POE - AESR - ESR'!M355</f>
        <v>0</v>
      </c>
      <c r="AWP7" s="30">
        <f>'REG y VAL POE - AESR - ESR'!N355</f>
        <v>0</v>
      </c>
      <c r="AWQ7" s="28">
        <f>'REG y VAL POE - AESR - ESR'!O355</f>
        <v>0</v>
      </c>
      <c r="AWR7" s="29">
        <f>'REG y VAL POE - AESR - ESR'!P355</f>
        <v>0</v>
      </c>
      <c r="AWS7" s="29">
        <f>'REG y VAL POE - AESR - ESR'!Q355</f>
        <v>0</v>
      </c>
      <c r="AWT7" s="29">
        <f>'REG y VAL POE - AESR - ESR'!R355</f>
        <v>0</v>
      </c>
      <c r="AWU7" s="28">
        <f>'REG y VAL POE - AESR - ESR'!S355</f>
        <v>0</v>
      </c>
      <c r="AWV7" s="29">
        <f>'REG y VAL POE - AESR - ESR'!T355</f>
        <v>0</v>
      </c>
      <c r="AWW7" s="29">
        <f>'REG y VAL POE - AESR - ESR'!U355</f>
        <v>0</v>
      </c>
      <c r="AWX7" s="28">
        <f>'REG y VAL POE - AESR - ESR'!V355</f>
        <v>0</v>
      </c>
      <c r="AWY7" s="29">
        <f>'REG y VAL POE - AESR - ESR'!W355</f>
        <v>0</v>
      </c>
      <c r="AWZ7" s="30">
        <f>'REG y VAL POE - AESR - ESR'!X355</f>
        <v>0</v>
      </c>
      <c r="AXA7" s="28">
        <f>'REG y VAL POE - AESR - ESR'!Y355</f>
        <v>0</v>
      </c>
      <c r="AXB7" s="29">
        <f>'REG y VAL POE - AESR - ESR'!Z355</f>
        <v>0</v>
      </c>
      <c r="AXC7" s="29">
        <f>'REG y VAL POE - AESR - ESR'!AA355</f>
        <v>0</v>
      </c>
      <c r="AXD7" s="29">
        <f>'REG y VAL POE - AESR - ESR'!AB355</f>
        <v>0</v>
      </c>
      <c r="AXE7" s="28">
        <f>'REG y VAL POE - AESR - ESR'!AC355</f>
        <v>0</v>
      </c>
      <c r="AXF7" s="29">
        <f>'REG y VAL POE - AESR - ESR'!AD355</f>
        <v>0</v>
      </c>
      <c r="AXG7" s="29">
        <f>'REG y VAL POE - AESR - ESR'!AE355</f>
        <v>0</v>
      </c>
      <c r="AXH7" s="29">
        <f>'REG y VAL POE - AESR - ESR'!AF355</f>
        <v>0</v>
      </c>
      <c r="AXI7" s="29">
        <f>'REG y VAL POE - AESR - ESR'!AG355</f>
        <v>0</v>
      </c>
      <c r="AXJ7" s="29">
        <f>'REG y VAL POE - AESR - ESR'!AH355</f>
        <v>0</v>
      </c>
      <c r="AXK7" s="28">
        <f>'REG y VAL POE - AESR - ESR'!AI355</f>
        <v>0</v>
      </c>
      <c r="AXL7" s="29">
        <f>'REG y VAL POE - AESR - ESR'!AJ355</f>
        <v>0</v>
      </c>
      <c r="AXM7" s="29">
        <f>'REG y VAL POE - AESR - ESR'!AK355</f>
        <v>0</v>
      </c>
      <c r="AXN7" s="28">
        <f>'REG y VAL POE - AESR - ESR'!AL355</f>
        <v>0</v>
      </c>
      <c r="AXO7" s="29">
        <f>'REG y VAL POE - AESR - ESR'!AM355</f>
        <v>0</v>
      </c>
      <c r="AXP7" s="30">
        <f>'REG y VAL POE - AESR - ESR'!AN355</f>
        <v>0</v>
      </c>
      <c r="AXQ7" s="28">
        <f>'REG y VAL POE - AESR - ESR'!AO355</f>
        <v>0</v>
      </c>
      <c r="AXR7" s="29">
        <f>'REG y VAL POE - AESR - ESR'!AP355</f>
        <v>0</v>
      </c>
      <c r="AXS7" s="29">
        <f>'REG y VAL POE - AESR - ESR'!AQ355</f>
        <v>0</v>
      </c>
      <c r="AXT7" s="29">
        <f>'REG y VAL POE - AESR - ESR'!AR355</f>
        <v>0</v>
      </c>
      <c r="AXU7" s="28">
        <f>'REG y VAL POE - AESR - ESR'!AS355</f>
        <v>0</v>
      </c>
      <c r="AXV7" s="29">
        <f>'REG y VAL POE - AESR - ESR'!B356</f>
        <v>0</v>
      </c>
      <c r="AXW7" s="29">
        <f>'REG y VAL POE - AESR - ESR'!C356</f>
        <v>0</v>
      </c>
      <c r="AXX7" s="28">
        <f>'REG y VAL POE - AESR - ESR'!D356</f>
        <v>0</v>
      </c>
      <c r="AXY7" s="29">
        <f>'REG y VAL POE - AESR - ESR'!E356</f>
        <v>0</v>
      </c>
      <c r="AXZ7" s="30">
        <f>'REG y VAL POE - AESR - ESR'!F356</f>
        <v>0</v>
      </c>
      <c r="AYA7" s="28">
        <f>'REG y VAL POE - AESR - ESR'!G356</f>
        <v>0</v>
      </c>
      <c r="AYB7" s="29">
        <f>'REG y VAL POE - AESR - ESR'!H356</f>
        <v>0</v>
      </c>
      <c r="AYC7" s="29">
        <f>'REG y VAL POE - AESR - ESR'!I356</f>
        <v>0</v>
      </c>
      <c r="AYD7" s="29">
        <f>'REG y VAL POE - AESR - ESR'!J356</f>
        <v>0</v>
      </c>
      <c r="AYE7" s="28">
        <f>'REG y VAL POE - AESR - ESR'!K356</f>
        <v>0</v>
      </c>
      <c r="AYF7" s="29">
        <f>'REG y VAL POE - AESR - ESR'!L356</f>
        <v>0</v>
      </c>
      <c r="AYG7" s="29">
        <f>'REG y VAL POE - AESR - ESR'!M356</f>
        <v>0</v>
      </c>
      <c r="AYH7" s="29">
        <f>'REG y VAL POE - AESR - ESR'!N356</f>
        <v>0</v>
      </c>
      <c r="AYI7" s="29">
        <f>'REG y VAL POE - AESR - ESR'!O356</f>
        <v>0</v>
      </c>
      <c r="AYJ7" s="29">
        <f>'REG y VAL POE - AESR - ESR'!P356</f>
        <v>0</v>
      </c>
      <c r="AYK7" s="28">
        <f>'REG y VAL POE - AESR - ESR'!Q356</f>
        <v>0</v>
      </c>
      <c r="AYL7" s="29">
        <f>'REG y VAL POE - AESR - ESR'!R356</f>
        <v>0</v>
      </c>
      <c r="AYM7" s="29">
        <f>'REG y VAL POE - AESR - ESR'!S356</f>
        <v>0</v>
      </c>
      <c r="AYN7" s="28">
        <f>'REG y VAL POE - AESR - ESR'!T356</f>
        <v>0</v>
      </c>
      <c r="AYO7" s="29">
        <f>'REG y VAL POE - AESR - ESR'!U356</f>
        <v>0</v>
      </c>
      <c r="AYP7" s="30">
        <f>'REG y VAL POE - AESR - ESR'!V356</f>
        <v>0</v>
      </c>
      <c r="AYQ7" s="28">
        <f>'REG y VAL POE - AESR - ESR'!W356</f>
        <v>0</v>
      </c>
      <c r="AYR7" s="29">
        <f>'REG y VAL POE - AESR - ESR'!X356</f>
        <v>0</v>
      </c>
      <c r="AYS7" s="29">
        <f>'REG y VAL POE - AESR - ESR'!Y356</f>
        <v>0</v>
      </c>
      <c r="AYT7" s="29">
        <f>'REG y VAL POE - AESR - ESR'!Z356</f>
        <v>0</v>
      </c>
      <c r="AYU7" s="28">
        <f>'REG y VAL POE - AESR - ESR'!AA356</f>
        <v>0</v>
      </c>
      <c r="AYV7" s="29">
        <f>'REG y VAL POE - AESR - ESR'!AB356</f>
        <v>0</v>
      </c>
      <c r="AYW7" s="29">
        <f>'REG y VAL POE - AESR - ESR'!AC356</f>
        <v>0</v>
      </c>
      <c r="AYX7" s="28">
        <f>'REG y VAL POE - AESR - ESR'!AD356</f>
        <v>0</v>
      </c>
      <c r="AYY7" s="29">
        <f>'REG y VAL POE - AESR - ESR'!AE356</f>
        <v>0</v>
      </c>
      <c r="AYZ7" s="30">
        <f>'REG y VAL POE - AESR - ESR'!AF356</f>
        <v>0</v>
      </c>
      <c r="AZA7" s="28">
        <f>'REG y VAL POE - AESR - ESR'!AG356</f>
        <v>0</v>
      </c>
      <c r="AZB7" s="29">
        <f>'REG y VAL POE - AESR - ESR'!AH356</f>
        <v>0</v>
      </c>
      <c r="AZC7" s="29">
        <f>'REG y VAL POE - AESR - ESR'!AI356</f>
        <v>0</v>
      </c>
      <c r="AZD7" s="29">
        <f>'REG y VAL POE - AESR - ESR'!AJ356</f>
        <v>0</v>
      </c>
      <c r="AZE7" s="28">
        <f>'REG y VAL POE - AESR - ESR'!AK356</f>
        <v>0</v>
      </c>
      <c r="AZF7" s="29">
        <f>'REG y VAL POE - AESR - ESR'!AL356</f>
        <v>0</v>
      </c>
      <c r="AZG7" s="29">
        <f>'REG y VAL POE - AESR - ESR'!AM356</f>
        <v>0</v>
      </c>
      <c r="AZH7" s="29">
        <f>'REG y VAL POE - AESR - ESR'!AN356</f>
        <v>0</v>
      </c>
      <c r="AZI7" s="29">
        <f>'REG y VAL POE - AESR - ESR'!AO356</f>
        <v>0</v>
      </c>
      <c r="AZJ7" s="29">
        <f>'REG y VAL POE - AESR - ESR'!AP356</f>
        <v>0</v>
      </c>
      <c r="AZK7" s="28">
        <f>'REG y VAL POE - AESR - ESR'!AQ356</f>
        <v>0</v>
      </c>
      <c r="AZL7" s="29">
        <f>'REG y VAL POE - AESR - ESR'!AR356</f>
        <v>0</v>
      </c>
      <c r="AZM7" s="29">
        <f>'REG y VAL POE - AESR - ESR'!AS356</f>
        <v>0</v>
      </c>
      <c r="AZN7" s="28">
        <f>'REG y VAL POE - AESR - ESR'!B357</f>
        <v>0</v>
      </c>
      <c r="AZO7" s="29">
        <f>'REG y VAL POE - AESR - ESR'!C357</f>
        <v>0</v>
      </c>
      <c r="AZP7" s="30">
        <f>'REG y VAL POE - AESR - ESR'!D357</f>
        <v>0</v>
      </c>
      <c r="AZQ7" s="28">
        <f>'REG y VAL POE - AESR - ESR'!E357</f>
        <v>0</v>
      </c>
      <c r="AZR7" s="29">
        <f>'REG y VAL POE - AESR - ESR'!F357</f>
        <v>0</v>
      </c>
      <c r="AZS7" s="29">
        <f>'REG y VAL POE - AESR - ESR'!G357</f>
        <v>0</v>
      </c>
      <c r="AZT7" s="29">
        <f>'REG y VAL POE - AESR - ESR'!H357</f>
        <v>0</v>
      </c>
      <c r="AZU7" s="28">
        <f>'REG y VAL POE - AESR - ESR'!I357</f>
        <v>0</v>
      </c>
      <c r="AZV7" s="29">
        <f>'REG y VAL POE - AESR - ESR'!J357</f>
        <v>0</v>
      </c>
      <c r="AZW7" s="29">
        <f>'REG y VAL POE - AESR - ESR'!K357</f>
        <v>0</v>
      </c>
      <c r="AZX7" s="28">
        <f>'REG y VAL POE - AESR - ESR'!L357</f>
        <v>0</v>
      </c>
      <c r="AZY7" s="29">
        <f>'REG y VAL POE - AESR - ESR'!M357</f>
        <v>0</v>
      </c>
      <c r="AZZ7" s="30">
        <f>'REG y VAL POE - AESR - ESR'!N357</f>
        <v>0</v>
      </c>
      <c r="BAA7" s="28">
        <f>'REG y VAL POE - AESR - ESR'!O357</f>
        <v>0</v>
      </c>
      <c r="BAB7" s="29">
        <f>'REG y VAL POE - AESR - ESR'!P357</f>
        <v>0</v>
      </c>
      <c r="BAC7" s="29">
        <f>'REG y VAL POE - AESR - ESR'!Q357</f>
        <v>0</v>
      </c>
      <c r="BAD7" s="29">
        <f>'REG y VAL POE - AESR - ESR'!R357</f>
        <v>0</v>
      </c>
      <c r="BAE7" s="28">
        <f>'REG y VAL POE - AESR - ESR'!S357</f>
        <v>0</v>
      </c>
      <c r="BAF7" s="29">
        <f>'REG y VAL POE - AESR - ESR'!T357</f>
        <v>0</v>
      </c>
      <c r="BAG7" s="29">
        <f>'REG y VAL POE - AESR - ESR'!U357</f>
        <v>0</v>
      </c>
      <c r="BAH7" s="29">
        <f>'REG y VAL POE - AESR - ESR'!V357</f>
        <v>0</v>
      </c>
      <c r="BAI7" s="29">
        <f>'REG y VAL POE - AESR - ESR'!W357</f>
        <v>0</v>
      </c>
      <c r="BAJ7" s="29">
        <f>'REG y VAL POE - AESR - ESR'!X357</f>
        <v>0</v>
      </c>
      <c r="BAK7" s="28">
        <f>'REG y VAL POE - AESR - ESR'!Y357</f>
        <v>0</v>
      </c>
      <c r="BAL7" s="29">
        <f>'REG y VAL POE - AESR - ESR'!Z357</f>
        <v>0</v>
      </c>
      <c r="BAM7" s="29">
        <f>'REG y VAL POE - AESR - ESR'!AA357</f>
        <v>0</v>
      </c>
      <c r="BAN7" s="28">
        <f>'REG y VAL POE - AESR - ESR'!AB357</f>
        <v>0</v>
      </c>
      <c r="BAO7" s="29">
        <f>'REG y VAL POE - AESR - ESR'!AC357</f>
        <v>0</v>
      </c>
      <c r="BAP7" s="30">
        <f>'REG y VAL POE - AESR - ESR'!AD357</f>
        <v>0</v>
      </c>
      <c r="BAQ7" s="28">
        <f>'REG y VAL POE - AESR - ESR'!AE357</f>
        <v>0</v>
      </c>
      <c r="BAR7" s="29">
        <f>'REG y VAL POE - AESR - ESR'!AF357</f>
        <v>0</v>
      </c>
      <c r="BAS7" s="29">
        <f>'REG y VAL POE - AESR - ESR'!AG357</f>
        <v>0</v>
      </c>
      <c r="BAT7" s="29">
        <f>'REG y VAL POE - AESR - ESR'!AH357</f>
        <v>0</v>
      </c>
      <c r="BAU7" s="28">
        <f>'REG y VAL POE - AESR - ESR'!AI357</f>
        <v>0</v>
      </c>
      <c r="BAV7" s="29">
        <f>'REG y VAL POE - AESR - ESR'!AJ357</f>
        <v>0</v>
      </c>
      <c r="BAW7" s="29">
        <f>'REG y VAL POE - AESR - ESR'!AK357</f>
        <v>0</v>
      </c>
      <c r="BAX7" s="28">
        <f>'REG y VAL POE - AESR - ESR'!AL357</f>
        <v>0</v>
      </c>
      <c r="BAY7" s="29">
        <f>'REG y VAL POE - AESR - ESR'!AM357</f>
        <v>0</v>
      </c>
      <c r="BAZ7" s="30">
        <f>'REG y VAL POE - AESR - ESR'!AN357</f>
        <v>0</v>
      </c>
      <c r="BBA7" s="28">
        <f>'REG y VAL POE - AESR - ESR'!AO357</f>
        <v>0</v>
      </c>
      <c r="BBB7" s="29">
        <f>'REG y VAL POE - AESR - ESR'!AP357</f>
        <v>0</v>
      </c>
      <c r="BBC7" s="29">
        <f>'REG y VAL POE - AESR - ESR'!AQ357</f>
        <v>0</v>
      </c>
      <c r="BBD7" s="29">
        <f>'REG y VAL POE - AESR - ESR'!AR357</f>
        <v>0</v>
      </c>
      <c r="BBE7" s="28">
        <f>'REG y VAL POE - AESR - ESR'!AS357</f>
        <v>0</v>
      </c>
      <c r="BBF7" s="29">
        <f>'REG y VAL POE - AESR - ESR'!B358</f>
        <v>0</v>
      </c>
      <c r="BBG7" s="29">
        <f>'REG y VAL POE - AESR - ESR'!C358</f>
        <v>0</v>
      </c>
      <c r="BBH7" s="29">
        <f>'REG y VAL POE - AESR - ESR'!D358</f>
        <v>0</v>
      </c>
      <c r="BBI7" s="29">
        <f>'REG y VAL POE - AESR - ESR'!E358</f>
        <v>0</v>
      </c>
      <c r="BBJ7" s="29">
        <f>'REG y VAL POE - AESR - ESR'!F358</f>
        <v>0</v>
      </c>
      <c r="BBK7" s="28">
        <f>'REG y VAL POE - AESR - ESR'!G358</f>
        <v>0</v>
      </c>
      <c r="BBL7" s="29">
        <f>'REG y VAL POE - AESR - ESR'!H358</f>
        <v>0</v>
      </c>
      <c r="BBM7" s="29">
        <f>'REG y VAL POE - AESR - ESR'!I358</f>
        <v>0</v>
      </c>
      <c r="BBN7" s="28">
        <f>'REG y VAL POE - AESR - ESR'!J358</f>
        <v>0</v>
      </c>
      <c r="BBO7" s="29">
        <f>'REG y VAL POE - AESR - ESR'!K358</f>
        <v>0</v>
      </c>
      <c r="BBP7" s="30">
        <f>'REG y VAL POE - AESR - ESR'!L358</f>
        <v>0</v>
      </c>
      <c r="BBQ7" s="28">
        <f>'REG y VAL POE - AESR - ESR'!M358</f>
        <v>0</v>
      </c>
      <c r="BBR7" s="29">
        <f>'REG y VAL POE - AESR - ESR'!N358</f>
        <v>0</v>
      </c>
      <c r="BBS7" s="29">
        <f>'REG y VAL POE - AESR - ESR'!O358</f>
        <v>0</v>
      </c>
      <c r="BBT7" s="29">
        <f>'REG y VAL POE - AESR - ESR'!P358</f>
        <v>0</v>
      </c>
      <c r="BBU7" s="28">
        <f>'REG y VAL POE - AESR - ESR'!Q358</f>
        <v>0</v>
      </c>
      <c r="BBV7" s="29">
        <f>'REG y VAL POE - AESR - ESR'!R358</f>
        <v>0</v>
      </c>
      <c r="BBW7" s="29">
        <f>'REG y VAL POE - AESR - ESR'!S358</f>
        <v>0</v>
      </c>
      <c r="BBX7" s="28">
        <f>'REG y VAL POE - AESR - ESR'!T358</f>
        <v>0</v>
      </c>
      <c r="BBY7" s="29">
        <f>'REG y VAL POE - AESR - ESR'!U358</f>
        <v>0</v>
      </c>
      <c r="BBZ7" s="30">
        <f>'REG y VAL POE - AESR - ESR'!V358</f>
        <v>0</v>
      </c>
      <c r="BCA7" s="28">
        <f>'REG y VAL POE - AESR - ESR'!W358</f>
        <v>0</v>
      </c>
      <c r="BCB7" s="29">
        <f>'REG y VAL POE - AESR - ESR'!X358</f>
        <v>0</v>
      </c>
      <c r="BCC7" s="29">
        <f>'REG y VAL POE - AESR - ESR'!Y358</f>
        <v>0</v>
      </c>
      <c r="BCD7" s="29">
        <f>'REG y VAL POE - AESR - ESR'!Z358</f>
        <v>0</v>
      </c>
      <c r="BCE7" s="28">
        <f>'REG y VAL POE - AESR - ESR'!AA358</f>
        <v>0</v>
      </c>
      <c r="BCF7" s="29">
        <f>'REG y VAL POE - AESR - ESR'!AB358</f>
        <v>0</v>
      </c>
      <c r="BCG7" s="29">
        <f>'REG y VAL POE - AESR - ESR'!AC358</f>
        <v>0</v>
      </c>
      <c r="BCH7" s="29">
        <f>'REG y VAL POE - AESR - ESR'!AD358</f>
        <v>0</v>
      </c>
      <c r="BCI7" s="29">
        <f>'REG y VAL POE - AESR - ESR'!AE358</f>
        <v>0</v>
      </c>
      <c r="BCJ7" s="29">
        <f>'REG y VAL POE - AESR - ESR'!AF358</f>
        <v>0</v>
      </c>
      <c r="BCK7" s="28">
        <f>'REG y VAL POE - AESR - ESR'!AG358</f>
        <v>0</v>
      </c>
      <c r="BCL7" s="29">
        <f>'REG y VAL POE - AESR - ESR'!AH358</f>
        <v>0</v>
      </c>
      <c r="BCM7" s="29">
        <f>'REG y VAL POE - AESR - ESR'!AI358</f>
        <v>0</v>
      </c>
      <c r="BCN7" s="28">
        <f>'REG y VAL POE - AESR - ESR'!AJ358</f>
        <v>0</v>
      </c>
      <c r="BCO7" s="29">
        <f>'REG y VAL POE - AESR - ESR'!AK358</f>
        <v>0</v>
      </c>
      <c r="BCP7" s="30">
        <f>'REG y VAL POE - AESR - ESR'!AL358</f>
        <v>0</v>
      </c>
      <c r="BCQ7" s="28">
        <f>'REG y VAL POE - AESR - ESR'!AM358</f>
        <v>0</v>
      </c>
      <c r="BCR7" s="29">
        <f>'REG y VAL POE - AESR - ESR'!AN358</f>
        <v>0</v>
      </c>
      <c r="BCS7" s="29">
        <f>'REG y VAL POE - AESR - ESR'!AO358</f>
        <v>0</v>
      </c>
      <c r="BCT7" s="29">
        <f>'REG y VAL POE - AESR - ESR'!AP358</f>
        <v>0</v>
      </c>
      <c r="BCU7" s="28">
        <f>'REG y VAL POE - AESR - ESR'!AQ358</f>
        <v>0</v>
      </c>
      <c r="BCV7" s="29">
        <f>'REG y VAL POE - AESR - ESR'!AR358</f>
        <v>0</v>
      </c>
      <c r="BCW7" s="29">
        <f>'REG y VAL POE - AESR - ESR'!AS358</f>
        <v>0</v>
      </c>
      <c r="BCX7" s="28">
        <f>'REG y VAL POE - AESR - ESR'!B359</f>
        <v>0</v>
      </c>
      <c r="BCY7" s="29">
        <f>'REG y VAL POE - AESR - ESR'!C359</f>
        <v>0</v>
      </c>
      <c r="BCZ7" s="30">
        <f>'REG y VAL POE - AESR - ESR'!D359</f>
        <v>0</v>
      </c>
      <c r="BDA7" s="28">
        <f>'REG y VAL POE - AESR - ESR'!E359</f>
        <v>0</v>
      </c>
      <c r="BDB7" s="29">
        <f>'REG y VAL POE - AESR - ESR'!F359</f>
        <v>0</v>
      </c>
      <c r="BDC7" s="29">
        <f>'REG y VAL POE - AESR - ESR'!G359</f>
        <v>0</v>
      </c>
      <c r="BDD7" s="29">
        <f>'REG y VAL POE - AESR - ESR'!H359</f>
        <v>0</v>
      </c>
      <c r="BDE7" s="28">
        <f>'REG y VAL POE - AESR - ESR'!I359</f>
        <v>0</v>
      </c>
      <c r="BDF7" s="29">
        <f>'REG y VAL POE - AESR - ESR'!J359</f>
        <v>0</v>
      </c>
      <c r="BDG7" s="29">
        <f>'REG y VAL POE - AESR - ESR'!K359</f>
        <v>0</v>
      </c>
      <c r="BDH7" s="29">
        <f>'REG y VAL POE - AESR - ESR'!L359</f>
        <v>0</v>
      </c>
      <c r="BDI7" s="29">
        <f>'REG y VAL POE - AESR - ESR'!M359</f>
        <v>0</v>
      </c>
      <c r="BDJ7" s="29">
        <f>'REG y VAL POE - AESR - ESR'!N359</f>
        <v>0</v>
      </c>
      <c r="BDK7" s="28">
        <f>'REG y VAL POE - AESR - ESR'!O359</f>
        <v>0</v>
      </c>
      <c r="BDL7" s="29">
        <f>'REG y VAL POE - AESR - ESR'!P359</f>
        <v>0</v>
      </c>
      <c r="BDM7" s="29">
        <f>'REG y VAL POE - AESR - ESR'!Q359</f>
        <v>0</v>
      </c>
      <c r="BDN7" s="28">
        <f>'REG y VAL POE - AESR - ESR'!R359</f>
        <v>0</v>
      </c>
      <c r="BDO7" s="29">
        <f>'REG y VAL POE - AESR - ESR'!S359</f>
        <v>0</v>
      </c>
      <c r="BDP7" s="30">
        <f>'REG y VAL POE - AESR - ESR'!T359</f>
        <v>0</v>
      </c>
      <c r="BDQ7" s="28">
        <f>'REG y VAL POE - AESR - ESR'!U359</f>
        <v>0</v>
      </c>
      <c r="BDR7" s="29">
        <f>'REG y VAL POE - AESR - ESR'!V359</f>
        <v>0</v>
      </c>
      <c r="BDS7" s="29">
        <f>'REG y VAL POE - AESR - ESR'!W359</f>
        <v>0</v>
      </c>
      <c r="BDT7" s="29">
        <f>'REG y VAL POE - AESR - ESR'!X359</f>
        <v>0</v>
      </c>
      <c r="BDU7" s="28">
        <f>'REG y VAL POE - AESR - ESR'!Y359</f>
        <v>0</v>
      </c>
      <c r="BDV7" s="29">
        <f>'REG y VAL POE - AESR - ESR'!Z359</f>
        <v>0</v>
      </c>
      <c r="BDW7" s="29">
        <f>'REG y VAL POE - AESR - ESR'!AA359</f>
        <v>0</v>
      </c>
      <c r="BDX7" s="28">
        <f>'REG y VAL POE - AESR - ESR'!AB359</f>
        <v>0</v>
      </c>
      <c r="BDY7" s="29">
        <f>'REG y VAL POE - AESR - ESR'!AC359</f>
        <v>0</v>
      </c>
      <c r="BDZ7" s="30">
        <f>'REG y VAL POE - AESR - ESR'!AD359</f>
        <v>0</v>
      </c>
      <c r="BEA7" s="28">
        <f>'REG y VAL POE - AESR - ESR'!AE359</f>
        <v>0</v>
      </c>
      <c r="BEB7" s="29">
        <f>'REG y VAL POE - AESR - ESR'!AF359</f>
        <v>0</v>
      </c>
      <c r="BEC7" s="29">
        <f>'REG y VAL POE - AESR - ESR'!AG359</f>
        <v>0</v>
      </c>
      <c r="BED7" s="29">
        <f>'REG y VAL POE - AESR - ESR'!AH359</f>
        <v>0</v>
      </c>
      <c r="BEE7" s="28">
        <f>'REG y VAL POE - AESR - ESR'!AI359</f>
        <v>0</v>
      </c>
      <c r="BEF7" s="29">
        <f>'REG y VAL POE - AESR - ESR'!AJ359</f>
        <v>0</v>
      </c>
      <c r="BEG7" s="29">
        <f>'REG y VAL POE - AESR - ESR'!AK359</f>
        <v>0</v>
      </c>
      <c r="BEH7" s="29">
        <f>'REG y VAL POE - AESR - ESR'!AL359</f>
        <v>0</v>
      </c>
      <c r="BEI7" s="29">
        <f>'REG y VAL POE - AESR - ESR'!AM359</f>
        <v>0</v>
      </c>
      <c r="BEJ7" s="29">
        <f>'REG y VAL POE - AESR - ESR'!AN359</f>
        <v>0</v>
      </c>
      <c r="BEK7" s="28">
        <f>'REG y VAL POE - AESR - ESR'!AO359</f>
        <v>0</v>
      </c>
      <c r="BEL7" s="29">
        <f>'REG y VAL POE - AESR - ESR'!AP359</f>
        <v>0</v>
      </c>
      <c r="BEM7" s="29">
        <f>'REG y VAL POE - AESR - ESR'!AQ359</f>
        <v>0</v>
      </c>
      <c r="BEN7" s="28">
        <f>'REG y VAL POE - AESR - ESR'!AR359</f>
        <v>0</v>
      </c>
      <c r="BEO7" s="29">
        <f>'REG y VAL POE - AESR - ESR'!AS359</f>
        <v>0</v>
      </c>
      <c r="BEP7" s="30">
        <f>'REG y VAL POE - AESR - ESR'!B360</f>
        <v>0</v>
      </c>
      <c r="BEQ7" s="28">
        <f>'REG y VAL POE - AESR - ESR'!C360</f>
        <v>0</v>
      </c>
      <c r="BER7" s="29">
        <f>'REG y VAL POE - AESR - ESR'!D360</f>
        <v>0</v>
      </c>
      <c r="BES7" s="29">
        <f>'REG y VAL POE - AESR - ESR'!E360</f>
        <v>0</v>
      </c>
      <c r="BET7" s="29">
        <f>'REG y VAL POE - AESR - ESR'!F360</f>
        <v>0</v>
      </c>
      <c r="BEU7" s="28">
        <f>'REG y VAL POE - AESR - ESR'!G360</f>
        <v>0</v>
      </c>
      <c r="BEV7" s="29">
        <f>'REG y VAL POE - AESR - ESR'!H360</f>
        <v>0</v>
      </c>
      <c r="BEW7" s="29">
        <f>'REG y VAL POE - AESR - ESR'!I360</f>
        <v>0</v>
      </c>
      <c r="BEX7" s="28">
        <f>'REG y VAL POE - AESR - ESR'!J360</f>
        <v>0</v>
      </c>
      <c r="BEY7" s="29">
        <f>'REG y VAL POE - AESR - ESR'!K360</f>
        <v>0</v>
      </c>
      <c r="BEZ7" s="30">
        <f>'REG y VAL POE - AESR - ESR'!L360</f>
        <v>0</v>
      </c>
      <c r="BFA7" s="28">
        <f>'REG y VAL POE - AESR - ESR'!M360</f>
        <v>0</v>
      </c>
      <c r="BFB7" s="29">
        <f>'REG y VAL POE - AESR - ESR'!N360</f>
        <v>0</v>
      </c>
      <c r="BFC7" s="29">
        <f>'REG y VAL POE - AESR - ESR'!O360</f>
        <v>0</v>
      </c>
      <c r="BFD7" s="29">
        <f>'REG y VAL POE - AESR - ESR'!P360</f>
        <v>0</v>
      </c>
      <c r="BFE7" s="28">
        <f>'REG y VAL POE - AESR - ESR'!Q360</f>
        <v>0</v>
      </c>
      <c r="BFF7" s="29">
        <f>'REG y VAL POE - AESR - ESR'!R360</f>
        <v>0</v>
      </c>
      <c r="BFG7" s="29">
        <f>'REG y VAL POE - AESR - ESR'!S360</f>
        <v>0</v>
      </c>
      <c r="BFH7" s="29">
        <f>'REG y VAL POE - AESR - ESR'!T360</f>
        <v>0</v>
      </c>
      <c r="BFI7" s="29">
        <f>'REG y VAL POE - AESR - ESR'!U360</f>
        <v>0</v>
      </c>
      <c r="BFJ7" s="29">
        <f>'REG y VAL POE - AESR - ESR'!V360</f>
        <v>0</v>
      </c>
      <c r="BFK7" s="28">
        <f>'REG y VAL POE - AESR - ESR'!W360</f>
        <v>0</v>
      </c>
      <c r="BFL7" s="29">
        <f>'REG y VAL POE - AESR - ESR'!X360</f>
        <v>0</v>
      </c>
      <c r="BFM7" s="29">
        <f>'REG y VAL POE - AESR - ESR'!Y360</f>
        <v>0</v>
      </c>
      <c r="BFN7" s="28">
        <f>'REG y VAL POE - AESR - ESR'!Z360</f>
        <v>0</v>
      </c>
      <c r="BFO7" s="29">
        <f>'REG y VAL POE - AESR - ESR'!AA360</f>
        <v>0</v>
      </c>
      <c r="BFP7" s="30">
        <f>'REG y VAL POE - AESR - ESR'!AB360</f>
        <v>0</v>
      </c>
      <c r="BFQ7" s="28">
        <f>'REG y VAL POE - AESR - ESR'!AC360</f>
        <v>0</v>
      </c>
      <c r="BFR7" s="29">
        <f>'REG y VAL POE - AESR - ESR'!AD360</f>
        <v>0</v>
      </c>
      <c r="BFS7" s="29">
        <f>'REG y VAL POE - AESR - ESR'!AE360</f>
        <v>0</v>
      </c>
      <c r="BFT7" s="29">
        <f>'REG y VAL POE - AESR - ESR'!AF360</f>
        <v>0</v>
      </c>
      <c r="BFU7" s="28">
        <f>'REG y VAL POE - AESR - ESR'!AG360</f>
        <v>0</v>
      </c>
      <c r="BFV7" s="29">
        <f>'REG y VAL POE - AESR - ESR'!AH360</f>
        <v>0</v>
      </c>
      <c r="BFW7" s="29">
        <f>'REG y VAL POE - AESR - ESR'!AI360</f>
        <v>0</v>
      </c>
      <c r="BFX7" s="28">
        <f>'REG y VAL POE - AESR - ESR'!AJ360</f>
        <v>0</v>
      </c>
      <c r="BFY7" s="29">
        <f>'REG y VAL POE - AESR - ESR'!AK360</f>
        <v>0</v>
      </c>
      <c r="BFZ7" s="30">
        <f>'REG y VAL POE - AESR - ESR'!AL360</f>
        <v>0</v>
      </c>
      <c r="BGA7" s="28">
        <f>'REG y VAL POE - AESR - ESR'!AM360</f>
        <v>0</v>
      </c>
      <c r="BGB7" s="29">
        <f>'REG y VAL POE - AESR - ESR'!AN360</f>
        <v>0</v>
      </c>
      <c r="BGC7" s="29">
        <f>'REG y VAL POE - AESR - ESR'!AO360</f>
        <v>0</v>
      </c>
      <c r="BGD7" s="29">
        <f>'REG y VAL POE - AESR - ESR'!AP360</f>
        <v>0</v>
      </c>
      <c r="BGE7" s="28">
        <f>'REG y VAL POE - AESR - ESR'!AQ360</f>
        <v>0</v>
      </c>
      <c r="BGF7" s="29">
        <f>'REG y VAL POE - AESR - ESR'!AR360</f>
        <v>0</v>
      </c>
      <c r="BGG7" s="29">
        <f>'REG y VAL POE - AESR - ESR'!AS360</f>
        <v>0</v>
      </c>
      <c r="BGH7" s="29">
        <f>'REG y VAL POE - AESR - ESR'!B361</f>
        <v>0</v>
      </c>
      <c r="BGI7" s="29">
        <f>'REG y VAL POE - AESR - ESR'!C361</f>
        <v>0</v>
      </c>
      <c r="BGJ7" s="29">
        <f>'REG y VAL POE - AESR - ESR'!D361</f>
        <v>0</v>
      </c>
      <c r="BGK7" s="28">
        <f>'REG y VAL POE - AESR - ESR'!E361</f>
        <v>0</v>
      </c>
      <c r="BGL7" s="29">
        <f>'REG y VAL POE - AESR - ESR'!F361</f>
        <v>0</v>
      </c>
      <c r="BGM7" s="29">
        <f>'REG y VAL POE - AESR - ESR'!G361</f>
        <v>0</v>
      </c>
      <c r="BGN7" s="28">
        <f>'REG y VAL POE - AESR - ESR'!H361</f>
        <v>0</v>
      </c>
      <c r="BGO7" s="29">
        <f>'REG y VAL POE - AESR - ESR'!I361</f>
        <v>0</v>
      </c>
      <c r="BGP7" s="30">
        <f>'REG y VAL POE - AESR - ESR'!J361</f>
        <v>0</v>
      </c>
      <c r="BGQ7" s="28">
        <f>'REG y VAL POE - AESR - ESR'!K361</f>
        <v>0</v>
      </c>
      <c r="BGR7" s="29">
        <f>'REG y VAL POE - AESR - ESR'!L361</f>
        <v>0</v>
      </c>
      <c r="BGS7" s="29">
        <f>'REG y VAL POE - AESR - ESR'!M361</f>
        <v>0</v>
      </c>
      <c r="BGT7" s="29">
        <f>'REG y VAL POE - AESR - ESR'!N361</f>
        <v>0</v>
      </c>
      <c r="BGU7" s="28">
        <f>'REG y VAL POE - AESR - ESR'!O361</f>
        <v>0</v>
      </c>
      <c r="BGV7" s="29">
        <f>'REG y VAL POE - AESR - ESR'!P361</f>
        <v>0</v>
      </c>
      <c r="BGW7" s="29">
        <f>'REG y VAL POE - AESR - ESR'!Q361</f>
        <v>0</v>
      </c>
      <c r="BGX7" s="28">
        <f>'REG y VAL POE - AESR - ESR'!R361</f>
        <v>0</v>
      </c>
      <c r="BGY7" s="29">
        <f>'REG y VAL POE - AESR - ESR'!S361</f>
        <v>0</v>
      </c>
      <c r="BGZ7" s="30">
        <f>'REG y VAL POE - AESR - ESR'!T361</f>
        <v>0</v>
      </c>
      <c r="BHA7" s="28">
        <f>'REG y VAL POE - AESR - ESR'!U361</f>
        <v>0</v>
      </c>
      <c r="BHB7" s="29">
        <f>'REG y VAL POE - AESR - ESR'!V361</f>
        <v>0</v>
      </c>
      <c r="BHC7" s="29">
        <f>'REG y VAL POE - AESR - ESR'!W361</f>
        <v>0</v>
      </c>
      <c r="BHD7" s="29">
        <f>'REG y VAL POE - AESR - ESR'!X361</f>
        <v>0</v>
      </c>
      <c r="BHE7" s="28">
        <f>'REG y VAL POE - AESR - ESR'!Y361</f>
        <v>0</v>
      </c>
      <c r="BHF7" s="29">
        <f>'REG y VAL POE - AESR - ESR'!Z361</f>
        <v>0</v>
      </c>
      <c r="BHG7" s="29">
        <f>'REG y VAL POE - AESR - ESR'!AA361</f>
        <v>0</v>
      </c>
      <c r="BHH7" s="29">
        <f>'REG y VAL POE - AESR - ESR'!AB361</f>
        <v>0</v>
      </c>
      <c r="BHI7" s="29">
        <f>'REG y VAL POE - AESR - ESR'!AC361</f>
        <v>0</v>
      </c>
      <c r="BHJ7" s="29">
        <f>'REG y VAL POE - AESR - ESR'!AD361</f>
        <v>0</v>
      </c>
      <c r="BHK7" s="28">
        <f>'REG y VAL POE - AESR - ESR'!AE361</f>
        <v>0</v>
      </c>
      <c r="BHL7" s="29">
        <f>'REG y VAL POE - AESR - ESR'!AF361</f>
        <v>0</v>
      </c>
      <c r="BHM7" s="29">
        <f>'REG y VAL POE - AESR - ESR'!AG361</f>
        <v>0</v>
      </c>
      <c r="BHN7" s="28">
        <f>'REG y VAL POE - AESR - ESR'!AH361</f>
        <v>0</v>
      </c>
      <c r="BHO7" s="29">
        <f>'REG y VAL POE - AESR - ESR'!AI361</f>
        <v>0</v>
      </c>
      <c r="BHP7" s="30">
        <f>'REG y VAL POE - AESR - ESR'!AJ361</f>
        <v>0</v>
      </c>
      <c r="BHQ7" s="28">
        <f>'REG y VAL POE - AESR - ESR'!AK361</f>
        <v>0</v>
      </c>
      <c r="BHR7" s="29">
        <f>'REG y VAL POE - AESR - ESR'!AL361</f>
        <v>0</v>
      </c>
      <c r="BHS7" s="29">
        <f>'REG y VAL POE - AESR - ESR'!AM361</f>
        <v>0</v>
      </c>
      <c r="BHT7" s="29">
        <f>'REG y VAL POE - AESR - ESR'!AN361</f>
        <v>0</v>
      </c>
      <c r="BHU7" s="28">
        <f>'REG y VAL POE - AESR - ESR'!AO361</f>
        <v>0</v>
      </c>
      <c r="BHV7" s="29">
        <f>'REG y VAL POE - AESR - ESR'!AP361</f>
        <v>0</v>
      </c>
      <c r="BHW7" s="29">
        <f>'REG y VAL POE - AESR - ESR'!AQ361</f>
        <v>0</v>
      </c>
      <c r="BHX7" s="28">
        <f>'REG y VAL POE - AESR - ESR'!AR361</f>
        <v>0</v>
      </c>
      <c r="BHY7" s="29">
        <f>'REG y VAL POE - AESR - ESR'!AS361</f>
        <v>0</v>
      </c>
      <c r="BHZ7" s="30">
        <f>'REG y VAL POE - AESR - ESR'!B362</f>
        <v>0</v>
      </c>
      <c r="BIA7" s="28">
        <f>'REG y VAL POE - AESR - ESR'!C362</f>
        <v>0</v>
      </c>
      <c r="BIB7" s="29">
        <f>'REG y VAL POE - AESR - ESR'!D362</f>
        <v>0</v>
      </c>
      <c r="BIC7" s="29">
        <f>'REG y VAL POE - AESR - ESR'!E362</f>
        <v>0</v>
      </c>
      <c r="BID7" s="29">
        <f>'REG y VAL POE - AESR - ESR'!F362</f>
        <v>0</v>
      </c>
      <c r="BIE7" s="28">
        <f>'REG y VAL POE - AESR - ESR'!G362</f>
        <v>0</v>
      </c>
      <c r="BIF7" s="29">
        <f>'REG y VAL POE - AESR - ESR'!H362</f>
        <v>0</v>
      </c>
      <c r="BIG7" s="29">
        <f>'REG y VAL POE - AESR - ESR'!I362</f>
        <v>0</v>
      </c>
      <c r="BIH7" s="29">
        <f>'REG y VAL POE - AESR - ESR'!J362</f>
        <v>0</v>
      </c>
      <c r="BII7" s="29">
        <f>'REG y VAL POE - AESR - ESR'!K362</f>
        <v>0</v>
      </c>
      <c r="BIJ7" s="29">
        <f>'REG y VAL POE - AESR - ESR'!L362</f>
        <v>0</v>
      </c>
      <c r="BIK7" s="28">
        <f>'REG y VAL POE - AESR - ESR'!M362</f>
        <v>0</v>
      </c>
      <c r="BIL7" s="29">
        <f>'REG y VAL POE - AESR - ESR'!N362</f>
        <v>0</v>
      </c>
      <c r="BIM7" s="29">
        <f>'REG y VAL POE - AESR - ESR'!O362</f>
        <v>0</v>
      </c>
      <c r="BIN7" s="28">
        <f>'REG y VAL POE - AESR - ESR'!P362</f>
        <v>0</v>
      </c>
      <c r="BIO7" s="29">
        <f>'REG y VAL POE - AESR - ESR'!Q362</f>
        <v>0</v>
      </c>
      <c r="BIP7" s="30">
        <f>'REG y VAL POE - AESR - ESR'!R362</f>
        <v>0</v>
      </c>
      <c r="BIQ7" s="28">
        <f>'REG y VAL POE - AESR - ESR'!S362</f>
        <v>0</v>
      </c>
      <c r="BIR7" s="29">
        <f>'REG y VAL POE - AESR - ESR'!T362</f>
        <v>0</v>
      </c>
      <c r="BIS7" s="29">
        <f>'REG y VAL POE - AESR - ESR'!U362</f>
        <v>0</v>
      </c>
      <c r="BIT7" s="29">
        <f>'REG y VAL POE - AESR - ESR'!V362</f>
        <v>0</v>
      </c>
      <c r="BIU7" s="28">
        <f>'REG y VAL POE - AESR - ESR'!W362</f>
        <v>0</v>
      </c>
      <c r="BIV7" s="29">
        <f>'REG y VAL POE - AESR - ESR'!X362</f>
        <v>0</v>
      </c>
      <c r="BIW7" s="29">
        <f>'REG y VAL POE - AESR - ESR'!Y362</f>
        <v>0</v>
      </c>
      <c r="BIX7" s="28">
        <f>'REG y VAL POE - AESR - ESR'!Z362</f>
        <v>0</v>
      </c>
      <c r="BIY7" s="29">
        <f>'REG y VAL POE - AESR - ESR'!AA362</f>
        <v>0</v>
      </c>
      <c r="BIZ7" s="30">
        <f>'REG y VAL POE - AESR - ESR'!AB362</f>
        <v>0</v>
      </c>
      <c r="BJA7" s="28">
        <f>'REG y VAL POE - AESR - ESR'!AC362</f>
        <v>0</v>
      </c>
      <c r="BJB7" s="29">
        <f>'REG y VAL POE - AESR - ESR'!AD362</f>
        <v>0</v>
      </c>
      <c r="BJC7" s="29">
        <f>'REG y VAL POE - AESR - ESR'!AE362</f>
        <v>0</v>
      </c>
      <c r="BJD7" s="29">
        <f>'REG y VAL POE - AESR - ESR'!AF362</f>
        <v>0</v>
      </c>
      <c r="BJE7" s="28">
        <f>'REG y VAL POE - AESR - ESR'!AG362</f>
        <v>0</v>
      </c>
      <c r="BJF7" s="29">
        <f>'REG y VAL POE - AESR - ESR'!AH362</f>
        <v>0</v>
      </c>
      <c r="BJG7" s="29">
        <f>'REG y VAL POE - AESR - ESR'!AI362</f>
        <v>0</v>
      </c>
      <c r="BJH7" s="29">
        <f>'REG y VAL POE - AESR - ESR'!AJ362</f>
        <v>0</v>
      </c>
      <c r="BJI7" s="29">
        <f>'REG y VAL POE - AESR - ESR'!AK362</f>
        <v>0</v>
      </c>
      <c r="BJJ7" s="29">
        <f>'REG y VAL POE - AESR - ESR'!AL362</f>
        <v>0</v>
      </c>
      <c r="BJK7" s="28">
        <f>'REG y VAL POE - AESR - ESR'!AM362</f>
        <v>0</v>
      </c>
      <c r="BJL7" s="29">
        <f>'REG y VAL POE - AESR - ESR'!AN362</f>
        <v>0</v>
      </c>
      <c r="BJM7" s="29">
        <f>'REG y VAL POE - AESR - ESR'!AO362</f>
        <v>0</v>
      </c>
      <c r="BJN7" s="28">
        <f>'REG y VAL POE - AESR - ESR'!AP362</f>
        <v>0</v>
      </c>
      <c r="BJO7" s="29">
        <f>'REG y VAL POE - AESR - ESR'!AQ362</f>
        <v>0</v>
      </c>
      <c r="BJP7" s="30">
        <f>'REG y VAL POE - AESR - ESR'!AR362</f>
        <v>0</v>
      </c>
      <c r="BJQ7" s="28">
        <f>'REG y VAL POE - AESR - ESR'!AS362</f>
        <v>0</v>
      </c>
      <c r="BJR7" s="29">
        <f>'REG y VAL POE - AESR - ESR'!B363</f>
        <v>0</v>
      </c>
      <c r="BJS7" s="29">
        <f>'REG y VAL POE - AESR - ESR'!C363</f>
        <v>0</v>
      </c>
      <c r="BJT7" s="29">
        <f>'REG y VAL POE - AESR - ESR'!D363</f>
        <v>0</v>
      </c>
      <c r="BJU7" s="28">
        <f>'REG y VAL POE - AESR - ESR'!E363</f>
        <v>0</v>
      </c>
      <c r="BJV7" s="29">
        <f>'REG y VAL POE - AESR - ESR'!F363</f>
        <v>0</v>
      </c>
      <c r="BJW7" s="29">
        <f>'REG y VAL POE - AESR - ESR'!G363</f>
        <v>0</v>
      </c>
      <c r="BJX7" s="28">
        <f>'REG y VAL POE - AESR - ESR'!H363</f>
        <v>0</v>
      </c>
      <c r="BJY7" s="29">
        <f>'REG y VAL POE - AESR - ESR'!I363</f>
        <v>0</v>
      </c>
      <c r="BJZ7" s="30">
        <f>'REG y VAL POE - AESR - ESR'!J363</f>
        <v>0</v>
      </c>
      <c r="BKA7" s="28">
        <f>'REG y VAL POE - AESR - ESR'!K363</f>
        <v>0</v>
      </c>
      <c r="BKB7" s="29">
        <f>'REG y VAL POE - AESR - ESR'!L363</f>
        <v>0</v>
      </c>
      <c r="BKC7" s="29">
        <f>'REG y VAL POE - AESR - ESR'!M363</f>
        <v>0</v>
      </c>
      <c r="BKD7" s="29">
        <f>'REG y VAL POE - AESR - ESR'!N363</f>
        <v>0</v>
      </c>
      <c r="BKE7" s="28">
        <f>'REG y VAL POE - AESR - ESR'!O363</f>
        <v>0</v>
      </c>
      <c r="BKF7" s="29">
        <f>'REG y VAL POE - AESR - ESR'!P363</f>
        <v>0</v>
      </c>
      <c r="BKG7" s="29">
        <f>'REG y VAL POE - AESR - ESR'!Q363</f>
        <v>0</v>
      </c>
      <c r="BKH7" s="29">
        <f>'REG y VAL POE - AESR - ESR'!R363</f>
        <v>0</v>
      </c>
      <c r="BKI7" s="29">
        <f>'REG y VAL POE - AESR - ESR'!S363</f>
        <v>0</v>
      </c>
      <c r="BKJ7" s="29">
        <f>'REG y VAL POE - AESR - ESR'!T363</f>
        <v>0</v>
      </c>
      <c r="BKK7" s="28">
        <f>'REG y VAL POE - AESR - ESR'!U363</f>
        <v>0</v>
      </c>
      <c r="BKL7" s="29">
        <f>'REG y VAL POE - AESR - ESR'!V363</f>
        <v>0</v>
      </c>
      <c r="BKM7" s="29">
        <f>'REG y VAL POE - AESR - ESR'!W363</f>
        <v>0</v>
      </c>
      <c r="BKN7" s="28">
        <f>'REG y VAL POE - AESR - ESR'!X363</f>
        <v>0</v>
      </c>
      <c r="BKO7" s="29">
        <f>'REG y VAL POE - AESR - ESR'!Y363</f>
        <v>0</v>
      </c>
      <c r="BKP7" s="30">
        <f>'REG y VAL POE - AESR - ESR'!Z363</f>
        <v>0</v>
      </c>
      <c r="BKQ7" s="28">
        <f>'REG y VAL POE - AESR - ESR'!AA363</f>
        <v>0</v>
      </c>
      <c r="BKR7" s="29">
        <f>'REG y VAL POE - AESR - ESR'!AB363</f>
        <v>0</v>
      </c>
      <c r="BKS7" s="29">
        <f>'REG y VAL POE - AESR - ESR'!AC363</f>
        <v>0</v>
      </c>
      <c r="BKT7" s="29">
        <f>'REG y VAL POE - AESR - ESR'!AD363</f>
        <v>0</v>
      </c>
      <c r="BKU7" s="28">
        <f>'REG y VAL POE - AESR - ESR'!AE363</f>
        <v>0</v>
      </c>
      <c r="BKV7" s="29">
        <f>'REG y VAL POE - AESR - ESR'!AF363</f>
        <v>0</v>
      </c>
      <c r="BKW7" s="29">
        <f>'REG y VAL POE - AESR - ESR'!AG363</f>
        <v>0</v>
      </c>
      <c r="BKX7" s="28">
        <f>'REG y VAL POE - AESR - ESR'!AH363</f>
        <v>0</v>
      </c>
      <c r="BKY7" s="29">
        <f>'REG y VAL POE - AESR - ESR'!AI363</f>
        <v>0</v>
      </c>
      <c r="BKZ7" s="30">
        <f>'REG y VAL POE - AESR - ESR'!AJ363</f>
        <v>0</v>
      </c>
      <c r="BLA7" s="28">
        <f>'REG y VAL POE - AESR - ESR'!AK363</f>
        <v>0</v>
      </c>
      <c r="BLB7" s="29">
        <f>'REG y VAL POE - AESR - ESR'!AL363</f>
        <v>0</v>
      </c>
      <c r="BLC7" s="29">
        <f>'REG y VAL POE - AESR - ESR'!AM363</f>
        <v>0</v>
      </c>
      <c r="BLD7" s="29">
        <f>'REG y VAL POE - AESR - ESR'!AN363</f>
        <v>0</v>
      </c>
      <c r="BLE7" s="28">
        <f>'REG y VAL POE - AESR - ESR'!AO363</f>
        <v>0</v>
      </c>
      <c r="BLF7" s="29">
        <f>'REG y VAL POE - AESR - ESR'!AP363</f>
        <v>0</v>
      </c>
      <c r="BLG7" s="29">
        <f>'REG y VAL POE - AESR - ESR'!AQ363</f>
        <v>0</v>
      </c>
      <c r="BLH7" s="29">
        <f>'REG y VAL POE - AESR - ESR'!AR363</f>
        <v>0</v>
      </c>
      <c r="BLI7" s="29">
        <f>'REG y VAL POE - AESR - ESR'!AS363</f>
        <v>0</v>
      </c>
      <c r="BLJ7" s="29">
        <f>'REG y VAL POE - AESR - ESR'!B364</f>
        <v>0</v>
      </c>
      <c r="BLK7" s="28">
        <f>'REG y VAL POE - AESR - ESR'!C364</f>
        <v>0</v>
      </c>
      <c r="BLL7" s="29">
        <f>'REG y VAL POE - AESR - ESR'!D364</f>
        <v>0</v>
      </c>
      <c r="BLM7" s="29">
        <f>'REG y VAL POE - AESR - ESR'!E364</f>
        <v>0</v>
      </c>
      <c r="BLN7" s="28">
        <f>'REG y VAL POE - AESR - ESR'!F364</f>
        <v>0</v>
      </c>
      <c r="BLO7" s="29">
        <f>'REG y VAL POE - AESR - ESR'!G364</f>
        <v>0</v>
      </c>
      <c r="BLP7" s="30">
        <f>'REG y VAL POE - AESR - ESR'!H364</f>
        <v>0</v>
      </c>
      <c r="BLQ7" s="28">
        <f>'REG y VAL POE - AESR - ESR'!I364</f>
        <v>0</v>
      </c>
      <c r="BLR7" s="29">
        <f>'REG y VAL POE - AESR - ESR'!J364</f>
        <v>0</v>
      </c>
      <c r="BLS7" s="29">
        <f>'REG y VAL POE - AESR - ESR'!K364</f>
        <v>0</v>
      </c>
      <c r="BLT7" s="29">
        <f>'REG y VAL POE - AESR - ESR'!L364</f>
        <v>0</v>
      </c>
      <c r="BLU7" s="28">
        <f>'REG y VAL POE - AESR - ESR'!M364</f>
        <v>0</v>
      </c>
      <c r="BLV7" s="29">
        <f>'REG y VAL POE - AESR - ESR'!N364</f>
        <v>0</v>
      </c>
      <c r="BLW7" s="29">
        <f>'REG y VAL POE - AESR - ESR'!O364</f>
        <v>0</v>
      </c>
      <c r="BLX7" s="28">
        <f>'REG y VAL POE - AESR - ESR'!P364</f>
        <v>0</v>
      </c>
      <c r="BLY7" s="29">
        <f>'REG y VAL POE - AESR - ESR'!Q364</f>
        <v>0</v>
      </c>
      <c r="BLZ7" s="30">
        <f>'REG y VAL POE - AESR - ESR'!R364</f>
        <v>0</v>
      </c>
      <c r="BMA7" s="28">
        <f>'REG y VAL POE - AESR - ESR'!S364</f>
        <v>0</v>
      </c>
      <c r="BMB7" s="29">
        <f>'REG y VAL POE - AESR - ESR'!T364</f>
        <v>0</v>
      </c>
      <c r="BMC7" s="29">
        <f>'REG y VAL POE - AESR - ESR'!U364</f>
        <v>0</v>
      </c>
      <c r="BMD7" s="29">
        <f>'REG y VAL POE - AESR - ESR'!V364</f>
        <v>0</v>
      </c>
      <c r="BME7" s="28">
        <f>'REG y VAL POE - AESR - ESR'!W364</f>
        <v>0</v>
      </c>
      <c r="BMF7" s="29">
        <f>'REG y VAL POE - AESR - ESR'!X364</f>
        <v>0</v>
      </c>
      <c r="BMG7" s="29">
        <f>'REG y VAL POE - AESR - ESR'!Y364</f>
        <v>0</v>
      </c>
      <c r="BMH7" s="29">
        <f>'REG y VAL POE - AESR - ESR'!Z364</f>
        <v>0</v>
      </c>
      <c r="BMI7" s="29">
        <f>'REG y VAL POE - AESR - ESR'!AA364</f>
        <v>0</v>
      </c>
      <c r="BMJ7" s="29">
        <f>'REG y VAL POE - AESR - ESR'!AB364</f>
        <v>0</v>
      </c>
      <c r="BMK7" s="28">
        <f>'REG y VAL POE - AESR - ESR'!AC364</f>
        <v>0</v>
      </c>
      <c r="BML7" s="29">
        <f>'REG y VAL POE - AESR - ESR'!AD364</f>
        <v>0</v>
      </c>
      <c r="BMM7" s="29">
        <f>'REG y VAL POE - AESR - ESR'!AE364</f>
        <v>0</v>
      </c>
      <c r="BMN7" s="28">
        <f>'REG y VAL POE - AESR - ESR'!AF364</f>
        <v>0</v>
      </c>
      <c r="BMO7" s="29">
        <f>'REG y VAL POE - AESR - ESR'!AG364</f>
        <v>0</v>
      </c>
      <c r="BMP7" s="30">
        <f>'REG y VAL POE - AESR - ESR'!AH364</f>
        <v>0</v>
      </c>
      <c r="BMQ7" s="28">
        <f>'REG y VAL POE - AESR - ESR'!AI364</f>
        <v>0</v>
      </c>
      <c r="BMR7" s="29">
        <f>'REG y VAL POE - AESR - ESR'!AJ364</f>
        <v>0</v>
      </c>
      <c r="BMS7" s="29">
        <f>'REG y VAL POE - AESR - ESR'!AK364</f>
        <v>0</v>
      </c>
      <c r="BMT7" s="29">
        <f>'REG y VAL POE - AESR - ESR'!AL364</f>
        <v>0</v>
      </c>
      <c r="BMU7" s="28">
        <f>'REG y VAL POE - AESR - ESR'!AM364</f>
        <v>0</v>
      </c>
      <c r="BMV7" s="29">
        <f>'REG y VAL POE - AESR - ESR'!AN364</f>
        <v>0</v>
      </c>
      <c r="BMW7" s="29">
        <f>'REG y VAL POE - AESR - ESR'!AO364</f>
        <v>0</v>
      </c>
      <c r="BMX7" s="28">
        <f>'REG y VAL POE - AESR - ESR'!AP364</f>
        <v>0</v>
      </c>
      <c r="BMY7" s="29">
        <f>'REG y VAL POE - AESR - ESR'!AQ364</f>
        <v>0</v>
      </c>
      <c r="BMZ7" s="30">
        <f>'REG y VAL POE - AESR - ESR'!AR364</f>
        <v>0</v>
      </c>
      <c r="BNA7" s="28">
        <f>'REG y VAL POE - AESR - ESR'!AS364</f>
        <v>0</v>
      </c>
      <c r="BNB7" s="29">
        <f>'REG y VAL POE - AESR - ESR'!B365</f>
        <v>0</v>
      </c>
      <c r="BNC7" s="29">
        <f>'REG y VAL POE - AESR - ESR'!C365</f>
        <v>0</v>
      </c>
      <c r="BND7" s="29">
        <f>'REG y VAL POE - AESR - ESR'!D365</f>
        <v>0</v>
      </c>
      <c r="BNE7" s="28">
        <f>'REG y VAL POE - AESR - ESR'!E365</f>
        <v>0</v>
      </c>
      <c r="BNF7" s="29">
        <f>'REG y VAL POE - AESR - ESR'!F365</f>
        <v>0</v>
      </c>
      <c r="BNG7" s="29">
        <f>'REG y VAL POE - AESR - ESR'!G365</f>
        <v>0</v>
      </c>
      <c r="BNH7" s="29">
        <f>'REG y VAL POE - AESR - ESR'!H365</f>
        <v>0</v>
      </c>
      <c r="BNI7" s="29">
        <f>'REG y VAL POE - AESR - ESR'!I365</f>
        <v>0</v>
      </c>
      <c r="BNJ7" s="29">
        <f>'REG y VAL POE - AESR - ESR'!J365</f>
        <v>0</v>
      </c>
      <c r="BNK7" s="28">
        <f>'REG y VAL POE - AESR - ESR'!K365</f>
        <v>0</v>
      </c>
      <c r="BNL7" s="29">
        <f>'REG y VAL POE - AESR - ESR'!L365</f>
        <v>0</v>
      </c>
      <c r="BNM7" s="29">
        <f>'REG y VAL POE - AESR - ESR'!M365</f>
        <v>0</v>
      </c>
      <c r="BNN7" s="28">
        <f>'REG y VAL POE - AESR - ESR'!N365</f>
        <v>0</v>
      </c>
      <c r="BNO7" s="29">
        <f>'REG y VAL POE - AESR - ESR'!O365</f>
        <v>0</v>
      </c>
      <c r="BNP7" s="30">
        <f>'REG y VAL POE - AESR - ESR'!P365</f>
        <v>0</v>
      </c>
      <c r="BNQ7" s="28">
        <f>'REG y VAL POE - AESR - ESR'!Q365</f>
        <v>0</v>
      </c>
      <c r="BNR7" s="29">
        <f>'REG y VAL POE - AESR - ESR'!R365</f>
        <v>0</v>
      </c>
      <c r="BNS7" s="29">
        <f>'REG y VAL POE - AESR - ESR'!S365</f>
        <v>0</v>
      </c>
      <c r="BNT7" s="29">
        <f>'REG y VAL POE - AESR - ESR'!T365</f>
        <v>0</v>
      </c>
      <c r="BNU7" s="28">
        <f>'REG y VAL POE - AESR - ESR'!U365</f>
        <v>0</v>
      </c>
      <c r="BNV7" s="29">
        <f>'REG y VAL POE - AESR - ESR'!V365</f>
        <v>0</v>
      </c>
      <c r="BNW7" s="29">
        <f>'REG y VAL POE - AESR - ESR'!W365</f>
        <v>0</v>
      </c>
      <c r="BNX7" s="28">
        <f>'REG y VAL POE - AESR - ESR'!X365</f>
        <v>0</v>
      </c>
      <c r="BNY7" s="29">
        <f>'REG y VAL POE - AESR - ESR'!Y365</f>
        <v>0</v>
      </c>
      <c r="BNZ7" s="30">
        <f>'REG y VAL POE - AESR - ESR'!Z365</f>
        <v>0</v>
      </c>
      <c r="BOA7" s="28">
        <f>'REG y VAL POE - AESR - ESR'!AA365</f>
        <v>0</v>
      </c>
      <c r="BOB7" s="29">
        <f>'REG y VAL POE - AESR - ESR'!AB365</f>
        <v>0</v>
      </c>
      <c r="BOC7" s="29">
        <f>'REG y VAL POE - AESR - ESR'!AC365</f>
        <v>0</v>
      </c>
      <c r="BOD7" s="29">
        <f>'REG y VAL POE - AESR - ESR'!AD365</f>
        <v>0</v>
      </c>
      <c r="BOE7" s="28">
        <f>'REG y VAL POE - AESR - ESR'!AE365</f>
        <v>0</v>
      </c>
      <c r="BOF7" s="29">
        <f>'REG y VAL POE - AESR - ESR'!AF365</f>
        <v>0</v>
      </c>
      <c r="BOG7" s="29">
        <f>'REG y VAL POE - AESR - ESR'!AG365</f>
        <v>0</v>
      </c>
      <c r="BOH7" s="29">
        <f>'REG y VAL POE - AESR - ESR'!AH365</f>
        <v>0</v>
      </c>
      <c r="BOI7" s="29">
        <f>'REG y VAL POE - AESR - ESR'!AI365</f>
        <v>0</v>
      </c>
      <c r="BOJ7" s="29">
        <f>'REG y VAL POE - AESR - ESR'!AJ365</f>
        <v>0</v>
      </c>
      <c r="BOK7" s="28">
        <f>'REG y VAL POE - AESR - ESR'!AK365</f>
        <v>0</v>
      </c>
      <c r="BOL7" s="29">
        <f>'REG y VAL POE - AESR - ESR'!AL365</f>
        <v>0</v>
      </c>
      <c r="BOM7" s="29">
        <f>'REG y VAL POE - AESR - ESR'!AM365</f>
        <v>0</v>
      </c>
      <c r="BON7" s="28">
        <f>'REG y VAL POE - AESR - ESR'!AN365</f>
        <v>0</v>
      </c>
      <c r="BOO7" s="29">
        <f>'REG y VAL POE - AESR - ESR'!AO365</f>
        <v>0</v>
      </c>
      <c r="BOP7" s="30">
        <f>'REG y VAL POE - AESR - ESR'!AP365</f>
        <v>0</v>
      </c>
      <c r="BOQ7" s="28">
        <f>'REG y VAL POE - AESR - ESR'!AQ365</f>
        <v>0</v>
      </c>
      <c r="BOR7" s="29">
        <f>'REG y VAL POE - AESR - ESR'!AR365</f>
        <v>0</v>
      </c>
      <c r="BOS7" s="29">
        <f>'REG y VAL POE - AESR - ESR'!AS365</f>
        <v>0</v>
      </c>
      <c r="BOT7" s="29">
        <f>'REG y VAL POE - AESR - ESR'!B366</f>
        <v>0</v>
      </c>
      <c r="BOU7" s="28">
        <f>'REG y VAL POE - AESR - ESR'!C366</f>
        <v>0</v>
      </c>
      <c r="BOV7" s="29">
        <f>'REG y VAL POE - AESR - ESR'!D366</f>
        <v>0</v>
      </c>
      <c r="BOW7" s="29">
        <f>'REG y VAL POE - AESR - ESR'!E366</f>
        <v>0</v>
      </c>
      <c r="BOX7" s="28">
        <f>'REG y VAL POE - AESR - ESR'!F366</f>
        <v>0</v>
      </c>
      <c r="BOY7" s="29">
        <f>'REG y VAL POE - AESR - ESR'!G366</f>
        <v>0</v>
      </c>
      <c r="BOZ7" s="30">
        <f>'REG y VAL POE - AESR - ESR'!H366</f>
        <v>0</v>
      </c>
      <c r="BPA7" s="28">
        <f>'REG y VAL POE - AESR - ESR'!I366</f>
        <v>0</v>
      </c>
      <c r="BPB7" s="29">
        <f>'REG y VAL POE - AESR - ESR'!J366</f>
        <v>0</v>
      </c>
      <c r="BPC7" s="29">
        <f>'REG y VAL POE - AESR - ESR'!K366</f>
        <v>0</v>
      </c>
      <c r="BPD7" s="29">
        <f>'REG y VAL POE - AESR - ESR'!L366</f>
        <v>0</v>
      </c>
      <c r="BPE7" s="28">
        <f>'REG y VAL POE - AESR - ESR'!M366</f>
        <v>0</v>
      </c>
      <c r="BPF7" s="29">
        <f>'REG y VAL POE - AESR - ESR'!N366</f>
        <v>0</v>
      </c>
      <c r="BPG7" s="29">
        <f>'REG y VAL POE - AESR - ESR'!O366</f>
        <v>0</v>
      </c>
      <c r="BPH7" s="29">
        <f>'REG y VAL POE - AESR - ESR'!P366</f>
        <v>0</v>
      </c>
      <c r="BPI7" s="29">
        <f>'REG y VAL POE - AESR - ESR'!Q366</f>
        <v>0</v>
      </c>
      <c r="BPJ7" s="29">
        <f>'REG y VAL POE - AESR - ESR'!R366</f>
        <v>0</v>
      </c>
      <c r="BPK7" s="28">
        <f>'REG y VAL POE - AESR - ESR'!S366</f>
        <v>0</v>
      </c>
      <c r="BPL7" s="29">
        <f>'REG y VAL POE - AESR - ESR'!T366</f>
        <v>0</v>
      </c>
      <c r="BPM7" s="29">
        <f>'REG y VAL POE - AESR - ESR'!U366</f>
        <v>0</v>
      </c>
      <c r="BPN7" s="28">
        <f>'REG y VAL POE - AESR - ESR'!V366</f>
        <v>0</v>
      </c>
      <c r="BPO7" s="29">
        <f>'REG y VAL POE - AESR - ESR'!W366</f>
        <v>0</v>
      </c>
      <c r="BPP7" s="30">
        <f>'REG y VAL POE - AESR - ESR'!X366</f>
        <v>0</v>
      </c>
      <c r="BPQ7" s="28">
        <f>'REG y VAL POE - AESR - ESR'!Y366</f>
        <v>0</v>
      </c>
      <c r="BPR7" s="29">
        <f>'REG y VAL POE - AESR - ESR'!Z366</f>
        <v>0</v>
      </c>
      <c r="BPS7" s="29">
        <f>'REG y VAL POE - AESR - ESR'!AA366</f>
        <v>0</v>
      </c>
      <c r="BPT7" s="29">
        <f>'REG y VAL POE - AESR - ESR'!AB366</f>
        <v>0</v>
      </c>
      <c r="BPU7" s="28">
        <f>'REG y VAL POE - AESR - ESR'!AC366</f>
        <v>0</v>
      </c>
      <c r="BPV7" s="29">
        <f>'REG y VAL POE - AESR - ESR'!AD366</f>
        <v>0</v>
      </c>
      <c r="BPW7" s="29">
        <f>'REG y VAL POE - AESR - ESR'!AE366</f>
        <v>0</v>
      </c>
      <c r="BPX7" s="28">
        <f>'REG y VAL POE - AESR - ESR'!AF366</f>
        <v>0</v>
      </c>
      <c r="BPY7" s="29">
        <f>'REG y VAL POE - AESR - ESR'!AG366</f>
        <v>0</v>
      </c>
      <c r="BPZ7" s="30">
        <f>'REG y VAL POE - AESR - ESR'!AH366</f>
        <v>0</v>
      </c>
      <c r="BQA7" s="28">
        <f>'REG y VAL POE - AESR - ESR'!AI366</f>
        <v>0</v>
      </c>
      <c r="BQB7" s="29">
        <f>'REG y VAL POE - AESR - ESR'!AJ366</f>
        <v>0</v>
      </c>
      <c r="BQC7" s="29">
        <f>'REG y VAL POE - AESR - ESR'!AK366</f>
        <v>0</v>
      </c>
      <c r="BQD7" s="29">
        <f>'REG y VAL POE - AESR - ESR'!AL366</f>
        <v>0</v>
      </c>
      <c r="BQE7" s="28">
        <f>'REG y VAL POE - AESR - ESR'!AM366</f>
        <v>0</v>
      </c>
      <c r="BQF7" s="29">
        <f>'REG y VAL POE - AESR - ESR'!AN366</f>
        <v>0</v>
      </c>
      <c r="BQG7" s="29">
        <f>'REG y VAL POE - AESR - ESR'!AO366</f>
        <v>0</v>
      </c>
      <c r="BQH7" s="29">
        <f>'REG y VAL POE - AESR - ESR'!AP366</f>
        <v>0</v>
      </c>
      <c r="BQI7" s="29">
        <f>'REG y VAL POE - AESR - ESR'!AQ366</f>
        <v>0</v>
      </c>
      <c r="BQJ7" s="29">
        <f>'REG y VAL POE - AESR - ESR'!AR366</f>
        <v>0</v>
      </c>
      <c r="BQK7" s="28">
        <f>'REG y VAL POE - AESR - ESR'!AS366</f>
        <v>0</v>
      </c>
      <c r="BQL7" s="29">
        <f>'REG y VAL POE - AESR - ESR'!B367</f>
        <v>0</v>
      </c>
      <c r="BQM7" s="29">
        <f>'REG y VAL POE - AESR - ESR'!C367</f>
        <v>0</v>
      </c>
      <c r="BQN7" s="28">
        <f>'REG y VAL POE - AESR - ESR'!D367</f>
        <v>0</v>
      </c>
      <c r="BQO7" s="29">
        <f>'REG y VAL POE - AESR - ESR'!E367</f>
        <v>0</v>
      </c>
      <c r="BQP7" s="30">
        <f>'REG y VAL POE - AESR - ESR'!F367</f>
        <v>0</v>
      </c>
      <c r="BQQ7" s="28">
        <f>'REG y VAL POE - AESR - ESR'!G367</f>
        <v>0</v>
      </c>
      <c r="BQR7" s="29">
        <f>'REG y VAL POE - AESR - ESR'!H367</f>
        <v>0</v>
      </c>
      <c r="BQS7" s="29">
        <f>'REG y VAL POE - AESR - ESR'!I367</f>
        <v>0</v>
      </c>
      <c r="BQT7" s="29">
        <f>'REG y VAL POE - AESR - ESR'!J367</f>
        <v>0</v>
      </c>
      <c r="BQU7" s="28">
        <f>'REG y VAL POE - AESR - ESR'!K367</f>
        <v>0</v>
      </c>
      <c r="BQV7" s="29">
        <f>'REG y VAL POE - AESR - ESR'!L367</f>
        <v>0</v>
      </c>
      <c r="BQW7" s="29">
        <f>'REG y VAL POE - AESR - ESR'!M367</f>
        <v>0</v>
      </c>
      <c r="BQX7" s="28">
        <f>'REG y VAL POE - AESR - ESR'!N367</f>
        <v>0</v>
      </c>
      <c r="BQY7" s="29">
        <f>'REG y VAL POE - AESR - ESR'!O367</f>
        <v>0</v>
      </c>
      <c r="BQZ7" s="30">
        <f>'REG y VAL POE - AESR - ESR'!P367</f>
        <v>0</v>
      </c>
      <c r="BRA7" s="28">
        <f>'REG y VAL POE - AESR - ESR'!Q367</f>
        <v>0</v>
      </c>
      <c r="BRB7" s="29">
        <f>'REG y VAL POE - AESR - ESR'!R367</f>
        <v>0</v>
      </c>
      <c r="BRC7" s="29">
        <f>'REG y VAL POE - AESR - ESR'!S367</f>
        <v>0</v>
      </c>
      <c r="BRD7" s="29">
        <f>'REG y VAL POE - AESR - ESR'!T367</f>
        <v>0</v>
      </c>
      <c r="BRE7" s="28">
        <f>'REG y VAL POE - AESR - ESR'!U367</f>
        <v>0</v>
      </c>
      <c r="BRF7" s="29">
        <f>'REG y VAL POE - AESR - ESR'!V367</f>
        <v>0</v>
      </c>
      <c r="BRG7" s="29">
        <f>'REG y VAL POE - AESR - ESR'!W367</f>
        <v>0</v>
      </c>
      <c r="BRH7" s="29">
        <f>'REG y VAL POE - AESR - ESR'!X367</f>
        <v>0</v>
      </c>
      <c r="BRI7" s="29">
        <f>'REG y VAL POE - AESR - ESR'!Y367</f>
        <v>0</v>
      </c>
      <c r="BRJ7" s="29">
        <f>'REG y VAL POE - AESR - ESR'!Z367</f>
        <v>0</v>
      </c>
      <c r="BRK7" s="28">
        <f>'REG y VAL POE - AESR - ESR'!AA367</f>
        <v>0</v>
      </c>
      <c r="BRL7" s="29">
        <f>'REG y VAL POE - AESR - ESR'!AB367</f>
        <v>0</v>
      </c>
      <c r="BRM7" s="29">
        <f>'REG y VAL POE - AESR - ESR'!AC367</f>
        <v>0</v>
      </c>
      <c r="BRN7" s="28">
        <f>'REG y VAL POE - AESR - ESR'!AD367</f>
        <v>0</v>
      </c>
      <c r="BRO7" s="29">
        <f>'REG y VAL POE - AESR - ESR'!AE367</f>
        <v>0</v>
      </c>
      <c r="BRP7" s="30">
        <f>'REG y VAL POE - AESR - ESR'!AF367</f>
        <v>0</v>
      </c>
      <c r="BRQ7" s="28">
        <f>'REG y VAL POE - AESR - ESR'!AG367</f>
        <v>0</v>
      </c>
      <c r="BRR7" s="29">
        <f>'REG y VAL POE - AESR - ESR'!AH367</f>
        <v>0</v>
      </c>
      <c r="BRS7" s="29">
        <f>'REG y VAL POE - AESR - ESR'!AI367</f>
        <v>0</v>
      </c>
      <c r="BRT7" s="29">
        <f>'REG y VAL POE - AESR - ESR'!AJ367</f>
        <v>0</v>
      </c>
      <c r="BRU7" s="28">
        <f>'REG y VAL POE - AESR - ESR'!AK367</f>
        <v>0</v>
      </c>
      <c r="BRV7" s="29">
        <f>'REG y VAL POE - AESR - ESR'!AL367</f>
        <v>0</v>
      </c>
      <c r="BRW7" s="29">
        <f>'REG y VAL POE - AESR - ESR'!AM367</f>
        <v>0</v>
      </c>
      <c r="BRX7" s="28">
        <f>'REG y VAL POE - AESR - ESR'!AN367</f>
        <v>0</v>
      </c>
      <c r="BRY7" s="29">
        <f>'REG y VAL POE - AESR - ESR'!AO367</f>
        <v>0</v>
      </c>
      <c r="BRZ7" s="30">
        <f>'REG y VAL POE - AESR - ESR'!AP367</f>
        <v>0</v>
      </c>
      <c r="BSA7" s="28">
        <f>'REG y VAL POE - AESR - ESR'!AQ367</f>
        <v>0</v>
      </c>
      <c r="BSB7" s="29">
        <f>'REG y VAL POE - AESR - ESR'!AR367</f>
        <v>0</v>
      </c>
      <c r="BSC7" s="29">
        <f>'REG y VAL POE - AESR - ESR'!AS367</f>
        <v>0</v>
      </c>
      <c r="BSD7" s="29">
        <f>'REG y VAL POE - AESR - ESR'!B368</f>
        <v>0</v>
      </c>
      <c r="BSE7" s="28">
        <f>'REG y VAL POE - AESR - ESR'!C368</f>
        <v>0</v>
      </c>
      <c r="BSF7" s="29">
        <f>'REG y VAL POE - AESR - ESR'!D368</f>
        <v>0</v>
      </c>
      <c r="BSG7" s="29">
        <f>'REG y VAL POE - AESR - ESR'!E368</f>
        <v>0</v>
      </c>
      <c r="BSH7" s="29">
        <f>'REG y VAL POE - AESR - ESR'!F368</f>
        <v>0</v>
      </c>
      <c r="BSI7" s="29">
        <f>'REG y VAL POE - AESR - ESR'!G368</f>
        <v>0</v>
      </c>
      <c r="BSJ7" s="29">
        <f>'REG y VAL POE - AESR - ESR'!H368</f>
        <v>0</v>
      </c>
      <c r="BSK7" s="28">
        <f>'REG y VAL POE - AESR - ESR'!I368</f>
        <v>0</v>
      </c>
      <c r="BSL7" s="29">
        <f>'REG y VAL POE - AESR - ESR'!J368</f>
        <v>0</v>
      </c>
      <c r="BSM7" s="29">
        <f>'REG y VAL POE - AESR - ESR'!K368</f>
        <v>0</v>
      </c>
      <c r="BSN7" s="28">
        <f>'REG y VAL POE - AESR - ESR'!L368</f>
        <v>0</v>
      </c>
      <c r="BSO7" s="29">
        <f>'REG y VAL POE - AESR - ESR'!M368</f>
        <v>0</v>
      </c>
      <c r="BSP7" s="30">
        <f>'REG y VAL POE - AESR - ESR'!N368</f>
        <v>0</v>
      </c>
      <c r="BSQ7" s="28">
        <f>'REG y VAL POE - AESR - ESR'!O368</f>
        <v>0</v>
      </c>
      <c r="BSR7" s="29">
        <f>'REG y VAL POE - AESR - ESR'!P368</f>
        <v>0</v>
      </c>
      <c r="BSS7" s="29">
        <f>'REG y VAL POE - AESR - ESR'!Q368</f>
        <v>0</v>
      </c>
      <c r="BST7" s="29">
        <f>'REG y VAL POE - AESR - ESR'!R368</f>
        <v>0</v>
      </c>
      <c r="BSU7" s="28">
        <f>'REG y VAL POE - AESR - ESR'!S368</f>
        <v>0</v>
      </c>
      <c r="BSV7" s="29">
        <f>'REG y VAL POE - AESR - ESR'!T368</f>
        <v>0</v>
      </c>
      <c r="BSW7" s="29">
        <f>'REG y VAL POE - AESR - ESR'!U368</f>
        <v>0</v>
      </c>
      <c r="BSX7" s="28">
        <f>'REG y VAL POE - AESR - ESR'!V368</f>
        <v>0</v>
      </c>
      <c r="BSY7" s="29">
        <f>'REG y VAL POE - AESR - ESR'!W368</f>
        <v>0</v>
      </c>
      <c r="BSZ7" s="30">
        <f>'REG y VAL POE - AESR - ESR'!X368</f>
        <v>0</v>
      </c>
      <c r="BTA7" s="28">
        <f>'REG y VAL POE - AESR - ESR'!Y368</f>
        <v>0</v>
      </c>
      <c r="BTB7" s="29">
        <f>'REG y VAL POE - AESR - ESR'!Z368</f>
        <v>0</v>
      </c>
      <c r="BTC7" s="29">
        <f>'REG y VAL POE - AESR - ESR'!AA368</f>
        <v>0</v>
      </c>
      <c r="BTD7" s="29">
        <f>'REG y VAL POE - AESR - ESR'!AB368</f>
        <v>0</v>
      </c>
      <c r="BTE7" s="28">
        <f>'REG y VAL POE - AESR - ESR'!AC368</f>
        <v>0</v>
      </c>
      <c r="BTF7" s="29">
        <f>'REG y VAL POE - AESR - ESR'!AD368</f>
        <v>0</v>
      </c>
      <c r="BTG7" s="29">
        <f>'REG y VAL POE - AESR - ESR'!AE368</f>
        <v>0</v>
      </c>
      <c r="BTH7" s="29">
        <f>'REG y VAL POE - AESR - ESR'!AF368</f>
        <v>0</v>
      </c>
      <c r="BTI7" s="29">
        <f>'REG y VAL POE - AESR - ESR'!AG368</f>
        <v>0</v>
      </c>
      <c r="BTJ7" s="29">
        <f>'REG y VAL POE - AESR - ESR'!AH368</f>
        <v>0</v>
      </c>
      <c r="BTK7" s="28">
        <f>'REG y VAL POE - AESR - ESR'!AI368</f>
        <v>0</v>
      </c>
      <c r="BTL7" s="29">
        <f>'REG y VAL POE - AESR - ESR'!AJ368</f>
        <v>0</v>
      </c>
      <c r="BTM7" s="29">
        <f>'REG y VAL POE - AESR - ESR'!AK368</f>
        <v>0</v>
      </c>
      <c r="BTN7" s="28">
        <f>'REG y VAL POE - AESR - ESR'!AL368</f>
        <v>0</v>
      </c>
      <c r="BTO7" s="29">
        <f>'REG y VAL POE - AESR - ESR'!AM368</f>
        <v>0</v>
      </c>
      <c r="BTP7" s="30">
        <f>'REG y VAL POE - AESR - ESR'!AN368</f>
        <v>0</v>
      </c>
      <c r="BTQ7" s="28">
        <f>'REG y VAL POE - AESR - ESR'!AO368</f>
        <v>0</v>
      </c>
      <c r="BTR7" s="29">
        <f>'REG y VAL POE - AESR - ESR'!AP368</f>
        <v>0</v>
      </c>
      <c r="BTS7" s="29">
        <f>'REG y VAL POE - AESR - ESR'!AQ368</f>
        <v>0</v>
      </c>
      <c r="BTT7" s="29">
        <f>'REG y VAL POE - AESR - ESR'!AR368</f>
        <v>0</v>
      </c>
      <c r="BTU7" s="28">
        <f>'REG y VAL POE - AESR - ESR'!AS368</f>
        <v>0</v>
      </c>
      <c r="BTV7" s="29">
        <f>'REG y VAL POE - AESR - ESR'!B369</f>
        <v>0</v>
      </c>
      <c r="BTW7" s="29">
        <f>'REG y VAL POE - AESR - ESR'!C369</f>
        <v>0</v>
      </c>
      <c r="BTX7" s="28">
        <f>'REG y VAL POE - AESR - ESR'!D369</f>
        <v>0</v>
      </c>
      <c r="BTY7" s="29">
        <f>'REG y VAL POE - AESR - ESR'!E369</f>
        <v>0</v>
      </c>
      <c r="BTZ7" s="30">
        <f>'REG y VAL POE - AESR - ESR'!F369</f>
        <v>0</v>
      </c>
      <c r="BUA7" s="28">
        <f>'REG y VAL POE - AESR - ESR'!G369</f>
        <v>0</v>
      </c>
      <c r="BUB7" s="29">
        <f>'REG y VAL POE - AESR - ESR'!H369</f>
        <v>0</v>
      </c>
      <c r="BUC7" s="29">
        <f>'REG y VAL POE - AESR - ESR'!I369</f>
        <v>0</v>
      </c>
      <c r="BUD7" s="29">
        <f>'REG y VAL POE - AESR - ESR'!J369</f>
        <v>0</v>
      </c>
      <c r="BUE7" s="28">
        <f>'REG y VAL POE - AESR - ESR'!K369</f>
        <v>0</v>
      </c>
      <c r="BUF7" s="29">
        <f>'REG y VAL POE - AESR - ESR'!L369</f>
        <v>0</v>
      </c>
      <c r="BUG7" s="29">
        <f>'REG y VAL POE - AESR - ESR'!M369</f>
        <v>0</v>
      </c>
      <c r="BUH7" s="29">
        <f>'REG y VAL POE - AESR - ESR'!N369</f>
        <v>0</v>
      </c>
      <c r="BUI7" s="29">
        <f>'REG y VAL POE - AESR - ESR'!O369</f>
        <v>0</v>
      </c>
      <c r="BUJ7" s="29">
        <f>'REG y VAL POE - AESR - ESR'!P369</f>
        <v>0</v>
      </c>
      <c r="BUK7" s="28">
        <f>'REG y VAL POE - AESR - ESR'!Q369</f>
        <v>0</v>
      </c>
      <c r="BUL7" s="29">
        <f>'REG y VAL POE - AESR - ESR'!R369</f>
        <v>0</v>
      </c>
      <c r="BUM7" s="29">
        <f>'REG y VAL POE - AESR - ESR'!S369</f>
        <v>0</v>
      </c>
      <c r="BUN7" s="28">
        <f>'REG y VAL POE - AESR - ESR'!T369</f>
        <v>0</v>
      </c>
      <c r="BUO7" s="29">
        <f>'REG y VAL POE - AESR - ESR'!U369</f>
        <v>0</v>
      </c>
      <c r="BUP7" s="30">
        <f>'REG y VAL POE - AESR - ESR'!V369</f>
        <v>0</v>
      </c>
      <c r="BUQ7" s="28">
        <f>'REG y VAL POE - AESR - ESR'!W369</f>
        <v>0</v>
      </c>
      <c r="BUR7" s="29">
        <f>'REG y VAL POE - AESR - ESR'!X369</f>
        <v>0</v>
      </c>
      <c r="BUS7" s="29">
        <f>'REG y VAL POE - AESR - ESR'!Y369</f>
        <v>0</v>
      </c>
      <c r="BUT7" s="29">
        <f>'REG y VAL POE - AESR - ESR'!Z369</f>
        <v>0</v>
      </c>
      <c r="BUU7" s="28">
        <f>'REG y VAL POE - AESR - ESR'!AA369</f>
        <v>0</v>
      </c>
      <c r="BUV7" s="29">
        <f>'REG y VAL POE - AESR - ESR'!AB369</f>
        <v>0</v>
      </c>
      <c r="BUW7" s="29">
        <f>'REG y VAL POE - AESR - ESR'!AC369</f>
        <v>0</v>
      </c>
      <c r="BUX7" s="28">
        <f>'REG y VAL POE - AESR - ESR'!AD369</f>
        <v>0</v>
      </c>
      <c r="BUY7" s="29">
        <f>'REG y VAL POE - AESR - ESR'!AE369</f>
        <v>0</v>
      </c>
      <c r="BUZ7" s="30">
        <f>'REG y VAL POE - AESR - ESR'!AF369</f>
        <v>0</v>
      </c>
      <c r="BVA7" s="28">
        <f>'REG y VAL POE - AESR - ESR'!AG369</f>
        <v>0</v>
      </c>
      <c r="BVB7" s="29">
        <f>'REG y VAL POE - AESR - ESR'!AH369</f>
        <v>0</v>
      </c>
      <c r="BVC7" s="29">
        <f>'REG y VAL POE - AESR - ESR'!AI369</f>
        <v>0</v>
      </c>
      <c r="BVD7" s="29">
        <f>'REG y VAL POE - AESR - ESR'!AJ369</f>
        <v>0</v>
      </c>
      <c r="BVE7" s="28">
        <f>'REG y VAL POE - AESR - ESR'!AK369</f>
        <v>0</v>
      </c>
      <c r="BVF7" s="29">
        <f>'REG y VAL POE - AESR - ESR'!AL369</f>
        <v>0</v>
      </c>
      <c r="BVG7" s="29">
        <f>'REG y VAL POE - AESR - ESR'!AM369</f>
        <v>0</v>
      </c>
      <c r="BVH7" s="29">
        <f>'REG y VAL POE - AESR - ESR'!AN369</f>
        <v>0</v>
      </c>
      <c r="BVI7" s="29">
        <f>'REG y VAL POE - AESR - ESR'!AO369</f>
        <v>0</v>
      </c>
      <c r="BVJ7" s="29">
        <f>'REG y VAL POE - AESR - ESR'!AP369</f>
        <v>0</v>
      </c>
      <c r="BVK7" s="28">
        <f>'REG y VAL POE - AESR - ESR'!AQ369</f>
        <v>0</v>
      </c>
      <c r="BVL7" s="29">
        <f>'REG y VAL POE - AESR - ESR'!AR369</f>
        <v>0</v>
      </c>
      <c r="BVM7" s="29">
        <f>'REG y VAL POE - AESR - ESR'!AS369</f>
        <v>0</v>
      </c>
      <c r="BVN7" s="28">
        <f>'REG y VAL POE - AESR - ESR'!B370</f>
        <v>0</v>
      </c>
      <c r="BVO7" s="29">
        <f>'REG y VAL POE - AESR - ESR'!C370</f>
        <v>0</v>
      </c>
      <c r="BVP7" s="30">
        <f>'REG y VAL POE - AESR - ESR'!D370</f>
        <v>0</v>
      </c>
      <c r="BVQ7" s="28">
        <f>'REG y VAL POE - AESR - ESR'!E370</f>
        <v>0</v>
      </c>
      <c r="BVR7" s="29">
        <f>'REG y VAL POE - AESR - ESR'!F370</f>
        <v>0</v>
      </c>
      <c r="BVS7" s="29">
        <f>'REG y VAL POE - AESR - ESR'!G370</f>
        <v>0</v>
      </c>
      <c r="BVT7" s="29">
        <f>'REG y VAL POE - AESR - ESR'!H370</f>
        <v>0</v>
      </c>
      <c r="BVU7" s="28">
        <f>'REG y VAL POE - AESR - ESR'!I370</f>
        <v>0</v>
      </c>
      <c r="BVV7" s="29">
        <f>'REG y VAL POE - AESR - ESR'!J370</f>
        <v>0</v>
      </c>
      <c r="BVW7" s="29">
        <f>'REG y VAL POE - AESR - ESR'!K370</f>
        <v>0</v>
      </c>
      <c r="BVX7" s="28">
        <f>'REG y VAL POE - AESR - ESR'!L370</f>
        <v>0</v>
      </c>
      <c r="BVY7" s="29">
        <f>'REG y VAL POE - AESR - ESR'!M370</f>
        <v>0</v>
      </c>
      <c r="BVZ7" s="30">
        <f>'REG y VAL POE - AESR - ESR'!N370</f>
        <v>0</v>
      </c>
      <c r="BWA7" s="28">
        <f>'REG y VAL POE - AESR - ESR'!O370</f>
        <v>0</v>
      </c>
      <c r="BWB7" s="29">
        <f>'REG y VAL POE - AESR - ESR'!P370</f>
        <v>0</v>
      </c>
      <c r="BWC7" s="29">
        <f>'REG y VAL POE - AESR - ESR'!Q370</f>
        <v>0</v>
      </c>
      <c r="BWD7" s="29">
        <f>'REG y VAL POE - AESR - ESR'!R370</f>
        <v>0</v>
      </c>
      <c r="BWE7" s="28">
        <f>'REG y VAL POE - AESR - ESR'!S370</f>
        <v>0</v>
      </c>
      <c r="BWF7" s="29">
        <f>'REG y VAL POE - AESR - ESR'!T370</f>
        <v>0</v>
      </c>
      <c r="BWG7" s="29">
        <f>'REG y VAL POE - AESR - ESR'!U370</f>
        <v>0</v>
      </c>
      <c r="BWH7" s="29">
        <f>'REG y VAL POE - AESR - ESR'!V370</f>
        <v>0</v>
      </c>
      <c r="BWI7" s="29">
        <f>'REG y VAL POE - AESR - ESR'!W370</f>
        <v>0</v>
      </c>
      <c r="BWJ7" s="29">
        <f>'REG y VAL POE - AESR - ESR'!X370</f>
        <v>0</v>
      </c>
      <c r="BWK7" s="28">
        <f>'REG y VAL POE - AESR - ESR'!Y370</f>
        <v>0</v>
      </c>
      <c r="BWL7" s="29">
        <f>'REG y VAL POE - AESR - ESR'!Z370</f>
        <v>0</v>
      </c>
      <c r="BWM7" s="29">
        <f>'REG y VAL POE - AESR - ESR'!AA370</f>
        <v>0</v>
      </c>
      <c r="BWN7" s="28">
        <f>'REG y VAL POE - AESR - ESR'!AB370</f>
        <v>0</v>
      </c>
      <c r="BWO7" s="29">
        <f>'REG y VAL POE - AESR - ESR'!AC370</f>
        <v>0</v>
      </c>
      <c r="BWP7" s="30">
        <f>'REG y VAL POE - AESR - ESR'!AD370</f>
        <v>0</v>
      </c>
      <c r="BWQ7" s="28">
        <f>'REG y VAL POE - AESR - ESR'!AE370</f>
        <v>0</v>
      </c>
      <c r="BWR7" s="29">
        <f>'REG y VAL POE - AESR - ESR'!AF370</f>
        <v>0</v>
      </c>
      <c r="BWS7" s="29">
        <f>'REG y VAL POE - AESR - ESR'!AG370</f>
        <v>0</v>
      </c>
      <c r="BWT7" s="29">
        <f>'REG y VAL POE - AESR - ESR'!AH370</f>
        <v>0</v>
      </c>
      <c r="BWU7" s="28">
        <f>'REG y VAL POE - AESR - ESR'!AI370</f>
        <v>0</v>
      </c>
      <c r="BWV7" s="29">
        <f>'REG y VAL POE - AESR - ESR'!AJ370</f>
        <v>0</v>
      </c>
      <c r="BWW7" s="29">
        <f>'REG y VAL POE - AESR - ESR'!AK370</f>
        <v>0</v>
      </c>
      <c r="BWX7" s="28">
        <f>'REG y VAL POE - AESR - ESR'!AL370</f>
        <v>0</v>
      </c>
      <c r="BWY7" s="29">
        <f>'REG y VAL POE - AESR - ESR'!AM370</f>
        <v>0</v>
      </c>
      <c r="BWZ7" s="30">
        <f>'REG y VAL POE - AESR - ESR'!AN370</f>
        <v>0</v>
      </c>
      <c r="BXA7" s="28">
        <f>'REG y VAL POE - AESR - ESR'!AO370</f>
        <v>0</v>
      </c>
      <c r="BXB7" s="29">
        <f>'REG y VAL POE - AESR - ESR'!AP370</f>
        <v>0</v>
      </c>
      <c r="BXC7" s="29">
        <f>'REG y VAL POE - AESR - ESR'!AQ370</f>
        <v>0</v>
      </c>
      <c r="BXD7" s="29">
        <f>'REG y VAL POE - AESR - ESR'!AR370</f>
        <v>0</v>
      </c>
      <c r="BXE7" s="28">
        <f>'REG y VAL POE - AESR - ESR'!AS370</f>
        <v>0</v>
      </c>
      <c r="BXF7" s="29">
        <f>'REG y VAL POE - AESR - ESR'!B371</f>
        <v>0</v>
      </c>
      <c r="BXG7" s="29">
        <f>'REG y VAL POE - AESR - ESR'!C371</f>
        <v>0</v>
      </c>
      <c r="BXH7" s="29">
        <f>'REG y VAL POE - AESR - ESR'!D371</f>
        <v>0</v>
      </c>
      <c r="BXI7" s="29">
        <f>'REG y VAL POE - AESR - ESR'!E371</f>
        <v>0</v>
      </c>
      <c r="BXJ7" s="29">
        <f>'REG y VAL POE - AESR - ESR'!F371</f>
        <v>0</v>
      </c>
      <c r="BXK7" s="28">
        <f>'REG y VAL POE - AESR - ESR'!G371</f>
        <v>0</v>
      </c>
      <c r="BXL7" s="29">
        <f>'REG y VAL POE - AESR - ESR'!H371</f>
        <v>0</v>
      </c>
      <c r="BXM7" s="29">
        <f>'REG y VAL POE - AESR - ESR'!I371</f>
        <v>0</v>
      </c>
      <c r="BXN7" s="28">
        <f>'REG y VAL POE - AESR - ESR'!J371</f>
        <v>0</v>
      </c>
      <c r="BXO7" s="29">
        <f>'REG y VAL POE - AESR - ESR'!K371</f>
        <v>0</v>
      </c>
      <c r="BXP7" s="30">
        <f>'REG y VAL POE - AESR - ESR'!L371</f>
        <v>0</v>
      </c>
      <c r="BXQ7" s="28">
        <f>'REG y VAL POE - AESR - ESR'!M371</f>
        <v>0</v>
      </c>
      <c r="BXR7" s="29">
        <f>'REG y VAL POE - AESR - ESR'!N371</f>
        <v>0</v>
      </c>
      <c r="BXS7" s="29">
        <f>'REG y VAL POE - AESR - ESR'!O371</f>
        <v>0</v>
      </c>
      <c r="BXT7" s="29">
        <f>'REG y VAL POE - AESR - ESR'!P371</f>
        <v>0</v>
      </c>
      <c r="BXU7" s="28">
        <f>'REG y VAL POE - AESR - ESR'!Q371</f>
        <v>0</v>
      </c>
      <c r="BXV7" s="29">
        <f>'REG y VAL POE - AESR - ESR'!R371</f>
        <v>0</v>
      </c>
      <c r="BXW7" s="29">
        <f>'REG y VAL POE - AESR - ESR'!S371</f>
        <v>0</v>
      </c>
      <c r="BXX7" s="28">
        <f>'REG y VAL POE - AESR - ESR'!T371</f>
        <v>0</v>
      </c>
      <c r="BXY7" s="29">
        <f>'REG y VAL POE - AESR - ESR'!U371</f>
        <v>0</v>
      </c>
      <c r="BXZ7" s="30">
        <f>'REG y VAL POE - AESR - ESR'!V371</f>
        <v>0</v>
      </c>
      <c r="BYA7" s="28">
        <f>'REG y VAL POE - AESR - ESR'!W371</f>
        <v>0</v>
      </c>
      <c r="BYB7" s="29">
        <f>'REG y VAL POE - AESR - ESR'!X371</f>
        <v>0</v>
      </c>
      <c r="BYC7" s="29">
        <f>'REG y VAL POE - AESR - ESR'!Y371</f>
        <v>0</v>
      </c>
      <c r="BYD7" s="29">
        <f>'REG y VAL POE - AESR - ESR'!Z371</f>
        <v>0</v>
      </c>
      <c r="BYE7" s="28">
        <f>'REG y VAL POE - AESR - ESR'!AA371</f>
        <v>0</v>
      </c>
      <c r="BYF7" s="29">
        <f>'REG y VAL POE - AESR - ESR'!AB371</f>
        <v>0</v>
      </c>
      <c r="BYG7" s="29">
        <f>'REG y VAL POE - AESR - ESR'!AC371</f>
        <v>0</v>
      </c>
      <c r="BYH7" s="29">
        <f>'REG y VAL POE - AESR - ESR'!AD371</f>
        <v>0</v>
      </c>
      <c r="BYI7" s="29">
        <f>'REG y VAL POE - AESR - ESR'!AE371</f>
        <v>0</v>
      </c>
      <c r="BYJ7" s="29">
        <f>'REG y VAL POE - AESR - ESR'!AF371</f>
        <v>0</v>
      </c>
      <c r="BYK7" s="28">
        <f>'REG y VAL POE - AESR - ESR'!AG371</f>
        <v>0</v>
      </c>
      <c r="BYL7" s="29">
        <f>'REG y VAL POE - AESR - ESR'!AH371</f>
        <v>0</v>
      </c>
      <c r="BYM7" s="29">
        <f>'REG y VAL POE - AESR - ESR'!AI371</f>
        <v>0</v>
      </c>
      <c r="BYN7" s="28">
        <f>'REG y VAL POE - AESR - ESR'!AJ371</f>
        <v>0</v>
      </c>
      <c r="BYO7" s="29">
        <f>'REG y VAL POE - AESR - ESR'!AK371</f>
        <v>0</v>
      </c>
      <c r="BYP7" s="30">
        <f>'REG y VAL POE - AESR - ESR'!AL371</f>
        <v>0</v>
      </c>
      <c r="BYQ7" s="28">
        <f>'REG y VAL POE - AESR - ESR'!AM371</f>
        <v>0</v>
      </c>
      <c r="BYR7" s="29">
        <f>'REG y VAL POE - AESR - ESR'!AN371</f>
        <v>0</v>
      </c>
      <c r="BYS7" s="29">
        <f>'REG y VAL POE - AESR - ESR'!AO371</f>
        <v>0</v>
      </c>
      <c r="BYT7" s="29">
        <f>'REG y VAL POE - AESR - ESR'!AP371</f>
        <v>0</v>
      </c>
      <c r="BYU7" s="28">
        <f>'REG y VAL POE - AESR - ESR'!AQ371</f>
        <v>0</v>
      </c>
      <c r="BYV7" s="29">
        <f>'REG y VAL POE - AESR - ESR'!AR371</f>
        <v>0</v>
      </c>
      <c r="BYW7" s="29">
        <f>'REG y VAL POE - AESR - ESR'!AS371</f>
        <v>0</v>
      </c>
      <c r="BYX7" s="30">
        <f>'REG y VAL POE - AESR - ESR'!B372</f>
        <v>0</v>
      </c>
      <c r="BYY7" s="29">
        <f>'REG y VAL POE - AESR - ESR'!C372</f>
        <v>0</v>
      </c>
      <c r="BYZ7" s="28">
        <f>'REG y VAL POE - AESR - ESR'!D372</f>
        <v>0</v>
      </c>
      <c r="BZA7" s="29">
        <f>'REG y VAL POE - AESR - ESR'!E372</f>
        <v>0</v>
      </c>
      <c r="BZB7" s="28">
        <f>'REG y VAL POE - AESR - ESR'!F372</f>
        <v>0</v>
      </c>
      <c r="BZC7" s="28">
        <f>'REG y VAL POE - AESR - ESR'!G372</f>
        <v>0</v>
      </c>
      <c r="BZD7" s="28">
        <f>'REG y VAL POE - AESR - ESR'!H372</f>
        <v>0</v>
      </c>
      <c r="BZE7" s="29">
        <f>'REG y VAL POE - AESR - ESR'!I372</f>
        <v>0</v>
      </c>
      <c r="BZF7" s="388">
        <f>'REG y VAL POE - AESR - ESR'!J372</f>
        <v>0</v>
      </c>
      <c r="BZG7" s="29">
        <f>'REG y VAL POE - AESR - ESR'!K372</f>
        <v>0</v>
      </c>
      <c r="BZH7" s="388">
        <f>'REG y VAL POE - AESR - ESR'!L372</f>
        <v>0</v>
      </c>
      <c r="BZI7" s="29">
        <f>'REG y VAL POE - AESR - ESR'!M372</f>
        <v>0</v>
      </c>
      <c r="BZJ7" s="388">
        <f>'REG y VAL POE - AESR - ESR'!N372</f>
        <v>0</v>
      </c>
      <c r="BZK7" s="29">
        <f>'REG y VAL POE - AESR - ESR'!O372</f>
        <v>0</v>
      </c>
      <c r="BZL7" s="29">
        <f>'REG y VAL POE - AESR - ESR'!P372</f>
        <v>0</v>
      </c>
      <c r="BZM7" s="29">
        <f>'REG y VAL POE - AESR - ESR'!Q372</f>
        <v>0</v>
      </c>
      <c r="BZN7" s="29">
        <f>'REG y VAL POE - AESR - ESR'!R372</f>
        <v>0</v>
      </c>
      <c r="BZO7" s="29">
        <f>'REG y VAL POE - AESR - ESR'!S372</f>
        <v>0</v>
      </c>
      <c r="BZP7" s="29">
        <f>'REG y VAL POE - AESR - ESR'!T372</f>
        <v>0</v>
      </c>
      <c r="BZQ7" s="29">
        <f>'REG y VAL POE - AESR - ESR'!U372</f>
        <v>0</v>
      </c>
      <c r="BZR7" s="29">
        <f>'REG y VAL POE - AESR - ESR'!V372</f>
        <v>0</v>
      </c>
      <c r="BZS7" s="29">
        <f>'REG y VAL POE - AESR - ESR'!W372</f>
        <v>0</v>
      </c>
      <c r="BZT7" s="29">
        <f>'REG y VAL POE - AESR - ESR'!X372</f>
        <v>0</v>
      </c>
      <c r="BZU7" s="29">
        <f>'REG y VAL POE - AESR - ESR'!Y372</f>
        <v>0</v>
      </c>
      <c r="BZV7" s="29">
        <f>'REG y VAL POE - AESR - ESR'!Z372</f>
        <v>0</v>
      </c>
      <c r="BZW7" s="29">
        <f>'REG y VAL POE - AESR - ESR'!AA372</f>
        <v>0</v>
      </c>
      <c r="BZX7" s="29">
        <f>'REG y VAL POE - AESR - ESR'!AB372</f>
        <v>0</v>
      </c>
      <c r="BZY7" s="29">
        <f>'REG y VAL POE - AESR - ESR'!AC372</f>
        <v>0</v>
      </c>
      <c r="BZZ7" s="29">
        <f>'REG y VAL POE - AESR - ESR'!AD372</f>
        <v>0</v>
      </c>
      <c r="CAA7" s="29">
        <f>'REG y VAL POE - AESR - ESR'!AE372</f>
        <v>0</v>
      </c>
      <c r="CAB7" s="29">
        <f>'REG y VAL POE - AESR - ESR'!AF372</f>
        <v>0</v>
      </c>
      <c r="CAC7" s="29">
        <f>'REG y VAL POE - AESR - ESR'!AG372</f>
        <v>0</v>
      </c>
      <c r="CAD7" s="29">
        <f>'REG y VAL POE - AESR - ESR'!AH372</f>
        <v>0</v>
      </c>
      <c r="CAE7" s="29">
        <f>'REG y VAL POE - AESR - ESR'!AI372</f>
        <v>0</v>
      </c>
      <c r="CAF7" s="29">
        <f>'REG y VAL POE - AESR - ESR'!AJ372</f>
        <v>0</v>
      </c>
      <c r="CAG7" s="29">
        <f>'REG y VAL POE - AESR - ESR'!AK372</f>
        <v>0</v>
      </c>
      <c r="CAH7" s="29">
        <f>'REG y VAL POE - AESR - ESR'!AL372</f>
        <v>0</v>
      </c>
      <c r="CAI7" s="29">
        <f>'REG y VAL POE - AESR - ESR'!AM372</f>
        <v>0</v>
      </c>
      <c r="CAJ7" s="29">
        <f>'REG y VAL POE - AESR - ESR'!AN372</f>
        <v>0</v>
      </c>
      <c r="CAK7" s="29">
        <f>'REG y VAL POE - AESR - ESR'!AO372</f>
        <v>0</v>
      </c>
      <c r="CAL7" s="29">
        <f>'REG y VAL POE - AESR - ESR'!AP372</f>
        <v>0</v>
      </c>
      <c r="CAM7" s="29">
        <f>'REG y VAL POE - AESR - ESR'!AQ372</f>
        <v>0</v>
      </c>
      <c r="CAN7" s="29">
        <f>'REG y VAL POE - AESR - ESR'!AR372</f>
        <v>0</v>
      </c>
      <c r="CAO7" s="29">
        <f>'REG y VAL POE - AESR - ESR'!AS372</f>
        <v>0</v>
      </c>
      <c r="CAP7" s="30">
        <f>'REG y VAL POE - AESR - ESR'!B373</f>
        <v>0</v>
      </c>
      <c r="CAQ7" s="28">
        <f>'REG y VAL POE - AESR - ESR'!C373</f>
        <v>0</v>
      </c>
      <c r="CAR7" s="29">
        <f>'REG y VAL POE - AESR - ESR'!D373</f>
        <v>0</v>
      </c>
      <c r="CAS7" s="29">
        <f>'REG y VAL POE - AESR - ESR'!E373</f>
        <v>0</v>
      </c>
      <c r="CAT7" s="32">
        <f>'REG y VAL POE - AESR - ESR'!F373</f>
        <v>0</v>
      </c>
      <c r="CAU7" s="32">
        <f>'REG y VAL POE - AESR - ESR'!G373</f>
        <v>0</v>
      </c>
      <c r="CAV7" s="32">
        <f>'REG y VAL POE - AESR - ESR'!H373</f>
        <v>0</v>
      </c>
      <c r="CAW7" s="31">
        <f>'REG y VAL POE - AESR - ESR'!I373</f>
        <v>0</v>
      </c>
      <c r="CAX7" s="32">
        <f>'REG y VAL POE - AESR - ESR'!J373</f>
        <v>0</v>
      </c>
      <c r="CAY7" s="32">
        <f>'REG y VAL POE - AESR - ESR'!K373</f>
        <v>0</v>
      </c>
      <c r="CAZ7" s="28">
        <f>'REG y VAL POE - AESR - ESR'!L373</f>
        <v>0</v>
      </c>
      <c r="CBA7" s="29">
        <f>'REG y VAL POE - AESR - ESR'!M373</f>
        <v>0</v>
      </c>
      <c r="CBB7" s="30">
        <f>'REG y VAL POE - AESR - ESR'!N373</f>
        <v>0</v>
      </c>
      <c r="CBC7" s="28">
        <f>'REG y VAL POE - AESR - ESR'!O373</f>
        <v>0</v>
      </c>
      <c r="CBD7" s="29">
        <f>'REG y VAL POE - AESR - ESR'!P373</f>
        <v>0</v>
      </c>
      <c r="CBE7" s="29">
        <f>'REG y VAL POE - AESR - ESR'!Q373</f>
        <v>0</v>
      </c>
      <c r="CBF7" s="32">
        <f>'REG y VAL POE - AESR - ESR'!R373</f>
        <v>0</v>
      </c>
      <c r="CBG7" s="31">
        <f>'REG y VAL POE - AESR - ESR'!S373</f>
        <v>0</v>
      </c>
      <c r="CBH7" s="32">
        <f>'REG y VAL POE - AESR - ESR'!T373</f>
        <v>0</v>
      </c>
      <c r="CBI7" s="32">
        <f>'REG y VAL POE - AESR - ESR'!U373</f>
        <v>0</v>
      </c>
      <c r="CBJ7" s="28">
        <f>'REG y VAL POE - AESR - ESR'!V373</f>
        <v>0</v>
      </c>
      <c r="CBK7" s="29">
        <f>'REG y VAL POE - AESR - ESR'!W373</f>
        <v>0</v>
      </c>
      <c r="CBL7" s="30">
        <f>'REG y VAL POE - AESR - ESR'!X373</f>
        <v>0</v>
      </c>
      <c r="CBM7" s="28">
        <f>'REG y VAL POE - AESR - ESR'!Y373</f>
        <v>0</v>
      </c>
      <c r="CBN7" s="29">
        <f>'REG y VAL POE - AESR - ESR'!Z373</f>
        <v>0</v>
      </c>
      <c r="CBO7" s="29">
        <f>'REG y VAL POE - AESR - ESR'!AA373</f>
        <v>0</v>
      </c>
      <c r="CBP7" s="32">
        <f>'REG y VAL POE - AESR - ESR'!AB373</f>
        <v>0</v>
      </c>
      <c r="CBQ7" s="28">
        <f>'REG y VAL POE - AESR - ESR'!AC373</f>
        <v>0</v>
      </c>
      <c r="CBR7" s="29">
        <f>'REG y VAL POE - AESR - ESR'!AD373</f>
        <v>0</v>
      </c>
      <c r="CBS7" s="29">
        <f>'REG y VAL POE - AESR - ESR'!AE373</f>
        <v>0</v>
      </c>
      <c r="CBT7" s="28">
        <f>'REG y VAL POE - AESR - ESR'!AF373</f>
        <v>0</v>
      </c>
      <c r="CBU7" s="29">
        <f>'REG y VAL POE - AESR - ESR'!AG373</f>
        <v>0</v>
      </c>
      <c r="CBV7" s="30">
        <f>'REG y VAL POE - AESR - ESR'!AH373</f>
        <v>0</v>
      </c>
      <c r="CBW7" s="28">
        <f>'REG y VAL POE - AESR - ESR'!AI373</f>
        <v>0</v>
      </c>
      <c r="CBX7" s="29">
        <f>'REG y VAL POE - AESR - ESR'!AJ373</f>
        <v>0</v>
      </c>
      <c r="CBY7" s="29">
        <f>'REG y VAL POE - AESR - ESR'!AK373</f>
        <v>0</v>
      </c>
      <c r="CBZ7" s="32">
        <f>'REG y VAL POE - AESR - ESR'!AL373</f>
        <v>0</v>
      </c>
      <c r="CCA7" s="28">
        <f>'REG y VAL POE - AESR - ESR'!AM373</f>
        <v>0</v>
      </c>
      <c r="CCB7" s="29">
        <f>'REG y VAL POE - AESR - ESR'!AN373</f>
        <v>0</v>
      </c>
      <c r="CCC7" s="29">
        <f>'REG y VAL POE - AESR - ESR'!AO373</f>
        <v>0</v>
      </c>
      <c r="CCD7" s="28">
        <f>'REG y VAL POE - AESR - ESR'!AP373</f>
        <v>0</v>
      </c>
      <c r="CCE7" s="29">
        <f>'REG y VAL POE - AESR - ESR'!AQ373</f>
        <v>0</v>
      </c>
      <c r="CCF7" s="30">
        <f>'REG y VAL POE - AESR - ESR'!AR373</f>
        <v>0</v>
      </c>
      <c r="CCG7" s="28">
        <f>'REG y VAL POE - AESR - ESR'!AS373</f>
        <v>0</v>
      </c>
      <c r="CCH7" s="30">
        <f>'REG y VAL POE - AESR - ESR'!B374</f>
        <v>0</v>
      </c>
      <c r="CCI7" s="29">
        <f>'REG y VAL POE - AESR - ESR'!C374</f>
        <v>0</v>
      </c>
      <c r="CCJ7" s="28">
        <f>'REG y VAL POE - AESR - ESR'!D374</f>
        <v>0</v>
      </c>
      <c r="CCK7" s="29">
        <f>'REG y VAL POE - AESR - ESR'!E374</f>
        <v>0</v>
      </c>
      <c r="CCL7" s="28">
        <f>'REG y VAL POE - AESR - ESR'!F374</f>
        <v>0</v>
      </c>
      <c r="CCM7" s="28">
        <f>'REG y VAL POE - AESR - ESR'!G374</f>
        <v>0</v>
      </c>
      <c r="CCN7" s="28">
        <f>'REG y VAL POE - AESR - ESR'!H374</f>
        <v>0</v>
      </c>
      <c r="CCO7" s="29">
        <f>'REG y VAL POE - AESR - ESR'!I374</f>
        <v>0</v>
      </c>
      <c r="CCP7" s="388">
        <f>'REG y VAL POE - AESR - ESR'!J374</f>
        <v>0</v>
      </c>
      <c r="CCQ7" s="29">
        <f>'REG y VAL POE - AESR - ESR'!K374</f>
        <v>0</v>
      </c>
      <c r="CCR7" s="388">
        <f>'REG y VAL POE - AESR - ESR'!L374</f>
        <v>0</v>
      </c>
      <c r="CCS7" s="29">
        <f>'REG y VAL POE - AESR - ESR'!M374</f>
        <v>0</v>
      </c>
      <c r="CCT7" s="388">
        <f>'REG y VAL POE - AESR - ESR'!N374</f>
        <v>0</v>
      </c>
      <c r="CCU7" s="29">
        <f>'REG y VAL POE - AESR - ESR'!O374</f>
        <v>0</v>
      </c>
      <c r="CCV7" s="29">
        <f>'REG y VAL POE - AESR - ESR'!P374</f>
        <v>0</v>
      </c>
      <c r="CCW7" s="29">
        <f>'REG y VAL POE - AESR - ESR'!Q374</f>
        <v>0</v>
      </c>
      <c r="CCX7" s="29">
        <f>'REG y VAL POE - AESR - ESR'!R374</f>
        <v>0</v>
      </c>
      <c r="CCY7" s="29">
        <f>'REG y VAL POE - AESR - ESR'!S374</f>
        <v>0</v>
      </c>
      <c r="CCZ7" s="29">
        <f>'REG y VAL POE - AESR - ESR'!T374</f>
        <v>0</v>
      </c>
      <c r="CDA7" s="29">
        <f>'REG y VAL POE - AESR - ESR'!U374</f>
        <v>0</v>
      </c>
      <c r="CDB7" s="29">
        <f>'REG y VAL POE - AESR - ESR'!V374</f>
        <v>0</v>
      </c>
      <c r="CDC7" s="29">
        <f>'REG y VAL POE - AESR - ESR'!W374</f>
        <v>0</v>
      </c>
      <c r="CDD7" s="29">
        <f>'REG y VAL POE - AESR - ESR'!X374</f>
        <v>0</v>
      </c>
      <c r="CDE7" s="29">
        <f>'REG y VAL POE - AESR - ESR'!Y374</f>
        <v>0</v>
      </c>
      <c r="CDF7" s="29">
        <f>'REG y VAL POE - AESR - ESR'!Z374</f>
        <v>0</v>
      </c>
      <c r="CDG7" s="29">
        <f>'REG y VAL POE - AESR - ESR'!AA374</f>
        <v>0</v>
      </c>
      <c r="CDH7" s="29">
        <f>'REG y VAL POE - AESR - ESR'!AB374</f>
        <v>0</v>
      </c>
      <c r="CDI7" s="29">
        <f>'REG y VAL POE - AESR - ESR'!AC374</f>
        <v>0</v>
      </c>
      <c r="CDJ7" s="29">
        <f>'REG y VAL POE - AESR - ESR'!AD374</f>
        <v>0</v>
      </c>
      <c r="CDK7" s="29">
        <f>'REG y VAL POE - AESR - ESR'!AE374</f>
        <v>0</v>
      </c>
      <c r="CDL7" s="29">
        <f>'REG y VAL POE - AESR - ESR'!AF374</f>
        <v>0</v>
      </c>
      <c r="CDM7" s="29">
        <f>'REG y VAL POE - AESR - ESR'!AG374</f>
        <v>0</v>
      </c>
      <c r="CDN7" s="29">
        <f>'REG y VAL POE - AESR - ESR'!AH374</f>
        <v>0</v>
      </c>
      <c r="CDO7" s="29">
        <f>'REG y VAL POE - AESR - ESR'!AI374</f>
        <v>0</v>
      </c>
      <c r="CDP7" s="29">
        <f>'REG y VAL POE - AESR - ESR'!AJ374</f>
        <v>0</v>
      </c>
      <c r="CDQ7" s="29">
        <f>'REG y VAL POE - AESR - ESR'!AK374</f>
        <v>0</v>
      </c>
      <c r="CDR7" s="29">
        <f>'REG y VAL POE - AESR - ESR'!AL374</f>
        <v>0</v>
      </c>
      <c r="CDS7" s="29">
        <f>'REG y VAL POE - AESR - ESR'!AM374</f>
        <v>0</v>
      </c>
      <c r="CDT7" s="29">
        <f>'REG y VAL POE - AESR - ESR'!AN374</f>
        <v>0</v>
      </c>
      <c r="CDU7" s="29">
        <f>'REG y VAL POE - AESR - ESR'!AO374</f>
        <v>0</v>
      </c>
      <c r="CDV7" s="29">
        <f>'REG y VAL POE - AESR - ESR'!AP374</f>
        <v>0</v>
      </c>
      <c r="CDW7" s="29">
        <f>'REG y VAL POE - AESR - ESR'!AQ374</f>
        <v>0</v>
      </c>
      <c r="CDX7" s="29">
        <f>'REG y VAL POE - AESR - ESR'!AR374</f>
        <v>0</v>
      </c>
      <c r="CDY7" s="29">
        <f>'REG y VAL POE - AESR - ESR'!AS374</f>
        <v>0</v>
      </c>
      <c r="CDZ7" s="30">
        <f>'REG y VAL POE - AESR - ESR'!B375</f>
        <v>0</v>
      </c>
      <c r="CEA7" s="28">
        <f>'REG y VAL POE - AESR - ESR'!C375</f>
        <v>0</v>
      </c>
      <c r="CEB7" s="29">
        <f>'REG y VAL POE - AESR - ESR'!D375</f>
        <v>0</v>
      </c>
      <c r="CEC7" s="29">
        <f>'REG y VAL POE - AESR - ESR'!E375</f>
        <v>0</v>
      </c>
      <c r="CED7" s="32">
        <f>'REG y VAL POE - AESR - ESR'!F375</f>
        <v>0</v>
      </c>
      <c r="CEE7" s="32">
        <f>'REG y VAL POE - AESR - ESR'!G375</f>
        <v>0</v>
      </c>
      <c r="CEF7" s="32">
        <f>'REG y VAL POE - AESR - ESR'!H375</f>
        <v>0</v>
      </c>
      <c r="CEG7" s="31">
        <f>'REG y VAL POE - AESR - ESR'!I375</f>
        <v>0</v>
      </c>
      <c r="CEH7" s="32">
        <f>'REG y VAL POE - AESR - ESR'!J375</f>
        <v>0</v>
      </c>
      <c r="CEI7" s="32">
        <f>'REG y VAL POE - AESR - ESR'!K375</f>
        <v>0</v>
      </c>
      <c r="CEJ7" s="28">
        <f>'REG y VAL POE - AESR - ESR'!L375</f>
        <v>0</v>
      </c>
      <c r="CEK7" s="29">
        <f>'REG y VAL POE - AESR - ESR'!M375</f>
        <v>0</v>
      </c>
      <c r="CEL7" s="30">
        <f>'REG y VAL POE - AESR - ESR'!N375</f>
        <v>0</v>
      </c>
      <c r="CEM7" s="28">
        <f>'REG y VAL POE - AESR - ESR'!O375</f>
        <v>0</v>
      </c>
      <c r="CEN7" s="29">
        <f>'REG y VAL POE - AESR - ESR'!P375</f>
        <v>0</v>
      </c>
      <c r="CEO7" s="29">
        <f>'REG y VAL POE - AESR - ESR'!Q375</f>
        <v>0</v>
      </c>
      <c r="CEP7" s="32">
        <f>'REG y VAL POE - AESR - ESR'!R375</f>
        <v>0</v>
      </c>
      <c r="CEQ7" s="31">
        <f>'REG y VAL POE - AESR - ESR'!S375</f>
        <v>0</v>
      </c>
      <c r="CER7" s="32">
        <f>'REG y VAL POE - AESR - ESR'!T375</f>
        <v>0</v>
      </c>
      <c r="CES7" s="32">
        <f>'REG y VAL POE - AESR - ESR'!U375</f>
        <v>0</v>
      </c>
      <c r="CET7" s="28">
        <f>'REG y VAL POE - AESR - ESR'!V375</f>
        <v>0</v>
      </c>
      <c r="CEU7" s="29">
        <f>'REG y VAL POE - AESR - ESR'!W375</f>
        <v>0</v>
      </c>
      <c r="CEV7" s="30">
        <f>'REG y VAL POE - AESR - ESR'!X375</f>
        <v>0</v>
      </c>
      <c r="CEW7" s="28">
        <f>'REG y VAL POE - AESR - ESR'!Y375</f>
        <v>0</v>
      </c>
      <c r="CEX7" s="29">
        <f>'REG y VAL POE - AESR - ESR'!Z375</f>
        <v>0</v>
      </c>
      <c r="CEY7" s="29">
        <f>'REG y VAL POE - AESR - ESR'!AA375</f>
        <v>0</v>
      </c>
      <c r="CEZ7" s="32">
        <f>'REG y VAL POE - AESR - ESR'!AB375</f>
        <v>0</v>
      </c>
      <c r="CFA7" s="28">
        <f>'REG y VAL POE - AESR - ESR'!AC375</f>
        <v>0</v>
      </c>
      <c r="CFB7" s="29">
        <f>'REG y VAL POE - AESR - ESR'!AD375</f>
        <v>0</v>
      </c>
      <c r="CFC7" s="29">
        <f>'REG y VAL POE - AESR - ESR'!AE375</f>
        <v>0</v>
      </c>
      <c r="CFD7" s="28">
        <f>'REG y VAL POE - AESR - ESR'!AF375</f>
        <v>0</v>
      </c>
      <c r="CFE7" s="29">
        <f>'REG y VAL POE - AESR - ESR'!AG375</f>
        <v>0</v>
      </c>
      <c r="CFF7" s="30">
        <f>'REG y VAL POE - AESR - ESR'!AH375</f>
        <v>0</v>
      </c>
      <c r="CFG7" s="28">
        <f>'REG y VAL POE - AESR - ESR'!AI375</f>
        <v>0</v>
      </c>
      <c r="CFH7" s="29">
        <f>'REG y VAL POE - AESR - ESR'!AJ375</f>
        <v>0</v>
      </c>
      <c r="CFI7" s="29">
        <f>'REG y VAL POE - AESR - ESR'!AK375</f>
        <v>0</v>
      </c>
      <c r="CFJ7" s="32">
        <f>'REG y VAL POE - AESR - ESR'!AL375</f>
        <v>0</v>
      </c>
      <c r="CFK7" s="28">
        <f>'REG y VAL POE - AESR - ESR'!AM375</f>
        <v>0</v>
      </c>
      <c r="CFL7" s="29">
        <f>'REG y VAL POE - AESR - ESR'!AN375</f>
        <v>0</v>
      </c>
      <c r="CFM7" s="29">
        <f>'REG y VAL POE - AESR - ESR'!AO375</f>
        <v>0</v>
      </c>
      <c r="CFN7" s="28">
        <f>'REG y VAL POE - AESR - ESR'!AP375</f>
        <v>0</v>
      </c>
      <c r="CFO7" s="29">
        <f>'REG y VAL POE - AESR - ESR'!AQ375</f>
        <v>0</v>
      </c>
      <c r="CFP7" s="30">
        <f>'REG y VAL POE - AESR - ESR'!AR375</f>
        <v>0</v>
      </c>
      <c r="CFQ7" s="28">
        <f>'REG y VAL POE - AESR - ESR'!AS375</f>
        <v>0</v>
      </c>
      <c r="CFR7" s="30">
        <f>'REG y VAL POE - AESR - ESR'!B376</f>
        <v>0</v>
      </c>
      <c r="CFS7" s="29">
        <f>'REG y VAL POE - AESR - ESR'!C376</f>
        <v>0</v>
      </c>
      <c r="CFT7" s="28">
        <f>'REG y VAL POE - AESR - ESR'!D376</f>
        <v>0</v>
      </c>
      <c r="CFU7" s="29">
        <f>'REG y VAL POE - AESR - ESR'!E376</f>
        <v>0</v>
      </c>
      <c r="CFV7" s="28">
        <f>'REG y VAL POE - AESR - ESR'!F376</f>
        <v>0</v>
      </c>
      <c r="CFW7" s="28">
        <f>'REG y VAL POE - AESR - ESR'!G376</f>
        <v>0</v>
      </c>
      <c r="CFX7" s="28">
        <f>'REG y VAL POE - AESR - ESR'!H376</f>
        <v>0</v>
      </c>
      <c r="CFY7" s="29">
        <f>'REG y VAL POE - AESR - ESR'!I376</f>
        <v>0</v>
      </c>
      <c r="CFZ7" s="388">
        <f>'REG y VAL POE - AESR - ESR'!J376</f>
        <v>0</v>
      </c>
      <c r="CGA7" s="29">
        <f>'REG y VAL POE - AESR - ESR'!K376</f>
        <v>0</v>
      </c>
      <c r="CGB7" s="388">
        <f>'REG y VAL POE - AESR - ESR'!L376</f>
        <v>0</v>
      </c>
      <c r="CGC7" s="29">
        <f>'REG y VAL POE - AESR - ESR'!M376</f>
        <v>0</v>
      </c>
      <c r="CGD7" s="388">
        <f>'REG y VAL POE - AESR - ESR'!N376</f>
        <v>0</v>
      </c>
      <c r="CGE7" s="29">
        <f>'REG y VAL POE - AESR - ESR'!O376</f>
        <v>0</v>
      </c>
      <c r="CGF7" s="29">
        <f>'REG y VAL POE - AESR - ESR'!P376</f>
        <v>0</v>
      </c>
      <c r="CGG7" s="29">
        <f>'REG y VAL POE - AESR - ESR'!Q376</f>
        <v>0</v>
      </c>
      <c r="CGH7" s="29">
        <f>'REG y VAL POE - AESR - ESR'!R376</f>
        <v>0</v>
      </c>
      <c r="CGI7" s="29">
        <f>'REG y VAL POE - AESR - ESR'!S376</f>
        <v>0</v>
      </c>
      <c r="CGJ7" s="29">
        <f>'REG y VAL POE - AESR - ESR'!T376</f>
        <v>0</v>
      </c>
      <c r="CGK7" s="29">
        <f>'REG y VAL POE - AESR - ESR'!U376</f>
        <v>0</v>
      </c>
      <c r="CGL7" s="29">
        <f>'REG y VAL POE - AESR - ESR'!V376</f>
        <v>0</v>
      </c>
      <c r="CGM7" s="29">
        <f>'REG y VAL POE - AESR - ESR'!W376</f>
        <v>0</v>
      </c>
      <c r="CGN7" s="29">
        <f>'REG y VAL POE - AESR - ESR'!X376</f>
        <v>0</v>
      </c>
      <c r="CGO7" s="29">
        <f>'REG y VAL POE - AESR - ESR'!Y376</f>
        <v>0</v>
      </c>
      <c r="CGP7" s="29">
        <f>'REG y VAL POE - AESR - ESR'!Z376</f>
        <v>0</v>
      </c>
      <c r="CGQ7" s="29">
        <f>'REG y VAL POE - AESR - ESR'!AA376</f>
        <v>0</v>
      </c>
      <c r="CGR7" s="29">
        <f>'REG y VAL POE - AESR - ESR'!AB376</f>
        <v>0</v>
      </c>
      <c r="CGS7" s="29">
        <f>'REG y VAL POE - AESR - ESR'!AC376</f>
        <v>0</v>
      </c>
      <c r="CGT7" s="29">
        <f>'REG y VAL POE - AESR - ESR'!AD376</f>
        <v>0</v>
      </c>
      <c r="CGU7" s="29">
        <f>'REG y VAL POE - AESR - ESR'!AE376</f>
        <v>0</v>
      </c>
      <c r="CGV7" s="29">
        <f>'REG y VAL POE - AESR - ESR'!AF376</f>
        <v>0</v>
      </c>
      <c r="CGW7" s="29">
        <f>'REG y VAL POE - AESR - ESR'!AG376</f>
        <v>0</v>
      </c>
      <c r="CGX7" s="29">
        <f>'REG y VAL POE - AESR - ESR'!AH376</f>
        <v>0</v>
      </c>
      <c r="CGY7" s="29">
        <f>'REG y VAL POE - AESR - ESR'!AI376</f>
        <v>0</v>
      </c>
      <c r="CGZ7" s="29">
        <f>'REG y VAL POE - AESR - ESR'!AJ376</f>
        <v>0</v>
      </c>
      <c r="CHA7" s="29">
        <f>'REG y VAL POE - AESR - ESR'!AK376</f>
        <v>0</v>
      </c>
      <c r="CHB7" s="29">
        <f>'REG y VAL POE - AESR - ESR'!AL376</f>
        <v>0</v>
      </c>
      <c r="CHC7" s="29">
        <f>'REG y VAL POE - AESR - ESR'!AM376</f>
        <v>0</v>
      </c>
      <c r="CHD7" s="29">
        <f>'REG y VAL POE - AESR - ESR'!AN376</f>
        <v>0</v>
      </c>
      <c r="CHE7" s="29">
        <f>'REG y VAL POE - AESR - ESR'!AO376</f>
        <v>0</v>
      </c>
      <c r="CHF7" s="29">
        <f>'REG y VAL POE - AESR - ESR'!AP376</f>
        <v>0</v>
      </c>
      <c r="CHG7" s="29">
        <f>'REG y VAL POE - AESR - ESR'!AQ376</f>
        <v>0</v>
      </c>
      <c r="CHH7" s="29">
        <f>'REG y VAL POE - AESR - ESR'!AR376</f>
        <v>0</v>
      </c>
      <c r="CHI7" s="29">
        <f>'REG y VAL POE - AESR - ESR'!AS376</f>
        <v>0</v>
      </c>
      <c r="CHJ7" s="30">
        <f>'REG y VAL POE - AESR - ESR'!B377</f>
        <v>0</v>
      </c>
      <c r="CHK7" s="28">
        <f>'REG y VAL POE - AESR - ESR'!C377</f>
        <v>0</v>
      </c>
      <c r="CHL7" s="29">
        <f>'REG y VAL POE - AESR - ESR'!D377</f>
        <v>0</v>
      </c>
      <c r="CHM7" s="29">
        <f>'REG y VAL POE - AESR - ESR'!E377</f>
        <v>0</v>
      </c>
      <c r="CHN7" s="32">
        <f>'REG y VAL POE - AESR - ESR'!F377</f>
        <v>0</v>
      </c>
      <c r="CHO7" s="32">
        <f>'REG y VAL POE - AESR - ESR'!G377</f>
        <v>0</v>
      </c>
      <c r="CHP7" s="32">
        <f>'REG y VAL POE - AESR - ESR'!H377</f>
        <v>0</v>
      </c>
      <c r="CHQ7" s="31">
        <f>'REG y VAL POE - AESR - ESR'!I377</f>
        <v>0</v>
      </c>
      <c r="CHR7" s="32">
        <f>'REG y VAL POE - AESR - ESR'!J377</f>
        <v>0</v>
      </c>
      <c r="CHS7" s="32">
        <f>'REG y VAL POE - AESR - ESR'!K377</f>
        <v>0</v>
      </c>
      <c r="CHT7" s="28">
        <f>'REG y VAL POE - AESR - ESR'!L377</f>
        <v>0</v>
      </c>
      <c r="CHU7" s="29">
        <f>'REG y VAL POE - AESR - ESR'!M377</f>
        <v>0</v>
      </c>
      <c r="CHV7" s="30">
        <f>'REG y VAL POE - AESR - ESR'!N377</f>
        <v>0</v>
      </c>
      <c r="CHW7" s="28">
        <f>'REG y VAL POE - AESR - ESR'!O377</f>
        <v>0</v>
      </c>
      <c r="CHX7" s="29">
        <f>'REG y VAL POE - AESR - ESR'!P377</f>
        <v>0</v>
      </c>
      <c r="CHY7" s="29">
        <f>'REG y VAL POE - AESR - ESR'!Q377</f>
        <v>0</v>
      </c>
      <c r="CHZ7" s="32">
        <f>'REG y VAL POE - AESR - ESR'!R377</f>
        <v>0</v>
      </c>
      <c r="CIA7" s="31">
        <f>'REG y VAL POE - AESR - ESR'!S377</f>
        <v>0</v>
      </c>
      <c r="CIB7" s="32">
        <f>'REG y VAL POE - AESR - ESR'!T377</f>
        <v>0</v>
      </c>
      <c r="CIC7" s="32">
        <f>'REG y VAL POE - AESR - ESR'!U377</f>
        <v>0</v>
      </c>
      <c r="CID7" s="28">
        <f>'REG y VAL POE - AESR - ESR'!V377</f>
        <v>0</v>
      </c>
      <c r="CIE7" s="29">
        <f>'REG y VAL POE - AESR - ESR'!W377</f>
        <v>0</v>
      </c>
      <c r="CIF7" s="30">
        <f>'REG y VAL POE - AESR - ESR'!X377</f>
        <v>0</v>
      </c>
      <c r="CIG7" s="28">
        <f>'REG y VAL POE - AESR - ESR'!Y377</f>
        <v>0</v>
      </c>
      <c r="CIH7" s="29">
        <f>'REG y VAL POE - AESR - ESR'!Z377</f>
        <v>0</v>
      </c>
      <c r="CII7" s="29">
        <f>'REG y VAL POE - AESR - ESR'!AA377</f>
        <v>0</v>
      </c>
      <c r="CIJ7" s="32">
        <f>'REG y VAL POE - AESR - ESR'!AB377</f>
        <v>0</v>
      </c>
      <c r="CIK7" s="28">
        <f>'REG y VAL POE - AESR - ESR'!AC377</f>
        <v>0</v>
      </c>
      <c r="CIL7" s="29">
        <f>'REG y VAL POE - AESR - ESR'!AD377</f>
        <v>0</v>
      </c>
      <c r="CIM7" s="29">
        <f>'REG y VAL POE - AESR - ESR'!AE377</f>
        <v>0</v>
      </c>
      <c r="CIN7" s="28">
        <f>'REG y VAL POE - AESR - ESR'!AF377</f>
        <v>0</v>
      </c>
      <c r="CIO7" s="29">
        <f>'REG y VAL POE - AESR - ESR'!AG377</f>
        <v>0</v>
      </c>
      <c r="CIP7" s="30">
        <f>'REG y VAL POE - AESR - ESR'!AH377</f>
        <v>0</v>
      </c>
      <c r="CIQ7" s="28">
        <f>'REG y VAL POE - AESR - ESR'!AI377</f>
        <v>0</v>
      </c>
      <c r="CIR7" s="29">
        <f>'REG y VAL POE - AESR - ESR'!AJ377</f>
        <v>0</v>
      </c>
      <c r="CIS7" s="29">
        <f>'REG y VAL POE - AESR - ESR'!AK377</f>
        <v>0</v>
      </c>
      <c r="CIT7" s="32">
        <f>'REG y VAL POE - AESR - ESR'!AL377</f>
        <v>0</v>
      </c>
      <c r="CIU7" s="28">
        <f>'REG y VAL POE - AESR - ESR'!AM377</f>
        <v>0</v>
      </c>
      <c r="CIV7" s="29">
        <f>'REG y VAL POE - AESR - ESR'!AN377</f>
        <v>0</v>
      </c>
      <c r="CIW7" s="29">
        <f>'REG y VAL POE - AESR - ESR'!AO377</f>
        <v>0</v>
      </c>
      <c r="CIX7" s="28">
        <f>'REG y VAL POE - AESR - ESR'!AP377</f>
        <v>0</v>
      </c>
      <c r="CIY7" s="29">
        <f>'REG y VAL POE - AESR - ESR'!AQ377</f>
        <v>0</v>
      </c>
      <c r="CIZ7" s="30">
        <f>'REG y VAL POE - AESR - ESR'!AR377</f>
        <v>0</v>
      </c>
      <c r="CJA7" s="28">
        <f>'REG y VAL POE - AESR - ESR'!AS377</f>
        <v>0</v>
      </c>
      <c r="CJB7" s="30">
        <f>'REG y VAL POE - AESR - ESR'!B378</f>
        <v>0</v>
      </c>
      <c r="CJC7" s="29">
        <f>'REG y VAL POE - AESR - ESR'!C378</f>
        <v>0</v>
      </c>
      <c r="CJD7" s="28">
        <f>'REG y VAL POE - AESR - ESR'!D378</f>
        <v>0</v>
      </c>
      <c r="CJE7" s="29">
        <f>'REG y VAL POE - AESR - ESR'!E378</f>
        <v>0</v>
      </c>
      <c r="CJF7" s="28">
        <f>'REG y VAL POE - AESR - ESR'!F378</f>
        <v>0</v>
      </c>
      <c r="CJG7" s="28">
        <f>'REG y VAL POE - AESR - ESR'!G378</f>
        <v>0</v>
      </c>
      <c r="CJH7" s="28">
        <f>'REG y VAL POE - AESR - ESR'!H378</f>
        <v>0</v>
      </c>
      <c r="CJI7" s="29">
        <f>'REG y VAL POE - AESR - ESR'!I378</f>
        <v>0</v>
      </c>
      <c r="CJJ7" s="388">
        <f>'REG y VAL POE - AESR - ESR'!J378</f>
        <v>0</v>
      </c>
      <c r="CJK7" s="29">
        <f>'REG y VAL POE - AESR - ESR'!K378</f>
        <v>0</v>
      </c>
      <c r="CJL7" s="388">
        <f>'REG y VAL POE - AESR - ESR'!L378</f>
        <v>0</v>
      </c>
      <c r="CJM7" s="29">
        <f>'REG y VAL POE - AESR - ESR'!M378</f>
        <v>0</v>
      </c>
      <c r="CJN7" s="388">
        <f>'REG y VAL POE - AESR - ESR'!N378</f>
        <v>0</v>
      </c>
      <c r="CJO7" s="29">
        <f>'REG y VAL POE - AESR - ESR'!O378</f>
        <v>0</v>
      </c>
      <c r="CJP7" s="29">
        <f>'REG y VAL POE - AESR - ESR'!P378</f>
        <v>0</v>
      </c>
      <c r="CJQ7" s="29">
        <f>'REG y VAL POE - AESR - ESR'!Q378</f>
        <v>0</v>
      </c>
      <c r="CJR7" s="29">
        <f>'REG y VAL POE - AESR - ESR'!R378</f>
        <v>0</v>
      </c>
      <c r="CJS7" s="29">
        <f>'REG y VAL POE - AESR - ESR'!S378</f>
        <v>0</v>
      </c>
      <c r="CJT7" s="29">
        <f>'REG y VAL POE - AESR - ESR'!T378</f>
        <v>0</v>
      </c>
      <c r="CJU7" s="29">
        <f>'REG y VAL POE - AESR - ESR'!U378</f>
        <v>0</v>
      </c>
      <c r="CJV7" s="29">
        <f>'REG y VAL POE - AESR - ESR'!V378</f>
        <v>0</v>
      </c>
      <c r="CJW7" s="29">
        <f>'REG y VAL POE - AESR - ESR'!W378</f>
        <v>0</v>
      </c>
      <c r="CJX7" s="29">
        <f>'REG y VAL POE - AESR - ESR'!X378</f>
        <v>0</v>
      </c>
      <c r="CJY7" s="29">
        <f>'REG y VAL POE - AESR - ESR'!Y378</f>
        <v>0</v>
      </c>
      <c r="CJZ7" s="29">
        <f>'REG y VAL POE - AESR - ESR'!Z378</f>
        <v>0</v>
      </c>
      <c r="CKA7" s="29">
        <f>'REG y VAL POE - AESR - ESR'!AA378</f>
        <v>0</v>
      </c>
      <c r="CKB7" s="29">
        <f>'REG y VAL POE - AESR - ESR'!AB378</f>
        <v>0</v>
      </c>
      <c r="CKC7" s="29">
        <f>'REG y VAL POE - AESR - ESR'!AC378</f>
        <v>0</v>
      </c>
      <c r="CKD7" s="29">
        <f>'REG y VAL POE - AESR - ESR'!AD378</f>
        <v>0</v>
      </c>
      <c r="CKE7" s="29">
        <f>'REG y VAL POE - AESR - ESR'!AE378</f>
        <v>0</v>
      </c>
      <c r="CKF7" s="29">
        <f>'REG y VAL POE - AESR - ESR'!AF378</f>
        <v>0</v>
      </c>
      <c r="CKG7" s="29">
        <f>'REG y VAL POE - AESR - ESR'!AG378</f>
        <v>0</v>
      </c>
      <c r="CKH7" s="29">
        <f>'REG y VAL POE - AESR - ESR'!AH378</f>
        <v>0</v>
      </c>
      <c r="CKI7" s="29">
        <f>'REG y VAL POE - AESR - ESR'!AI378</f>
        <v>0</v>
      </c>
      <c r="CKJ7" s="29">
        <f>'REG y VAL POE - AESR - ESR'!AJ378</f>
        <v>0</v>
      </c>
      <c r="CKK7" s="29">
        <f>'REG y VAL POE - AESR - ESR'!AK378</f>
        <v>0</v>
      </c>
      <c r="CKL7" s="29">
        <f>'REG y VAL POE - AESR - ESR'!AL378</f>
        <v>0</v>
      </c>
      <c r="CKM7" s="29">
        <f>'REG y VAL POE - AESR - ESR'!AM378</f>
        <v>0</v>
      </c>
      <c r="CKN7" s="29">
        <f>'REG y VAL POE - AESR - ESR'!AN378</f>
        <v>0</v>
      </c>
      <c r="CKO7" s="29">
        <f>'REG y VAL POE - AESR - ESR'!AO378</f>
        <v>0</v>
      </c>
      <c r="CKP7" s="29">
        <f>'REG y VAL POE - AESR - ESR'!AP378</f>
        <v>0</v>
      </c>
      <c r="CKQ7" s="29">
        <f>'REG y VAL POE - AESR - ESR'!AQ378</f>
        <v>0</v>
      </c>
      <c r="CKR7" s="29">
        <f>'REG y VAL POE - AESR - ESR'!AR378</f>
        <v>0</v>
      </c>
      <c r="CKS7" s="29">
        <f>'REG y VAL POE - AESR - ESR'!AS378</f>
        <v>0</v>
      </c>
      <c r="CKT7" s="30">
        <f>'REG y VAL POE - AESR - ESR'!B379</f>
        <v>0</v>
      </c>
      <c r="CKU7" s="28">
        <f>'REG y VAL POE - AESR - ESR'!C379</f>
        <v>0</v>
      </c>
      <c r="CKV7" s="29">
        <f>'REG y VAL POE - AESR - ESR'!D379</f>
        <v>0</v>
      </c>
      <c r="CKW7" s="29">
        <f>'REG y VAL POE - AESR - ESR'!E379</f>
        <v>0</v>
      </c>
      <c r="CKX7" s="32">
        <f>'REG y VAL POE - AESR - ESR'!F379</f>
        <v>0</v>
      </c>
      <c r="CKY7" s="32">
        <f>'REG y VAL POE - AESR - ESR'!G379</f>
        <v>0</v>
      </c>
      <c r="CKZ7" s="32">
        <f>'REG y VAL POE - AESR - ESR'!H379</f>
        <v>0</v>
      </c>
      <c r="CLA7" s="31">
        <f>'REG y VAL POE - AESR - ESR'!I379</f>
        <v>0</v>
      </c>
      <c r="CLB7" s="32">
        <f>'REG y VAL POE - AESR - ESR'!J379</f>
        <v>0</v>
      </c>
      <c r="CLC7" s="32">
        <f>'REG y VAL POE - AESR - ESR'!K379</f>
        <v>0</v>
      </c>
      <c r="CLD7" s="28">
        <f>'REG y VAL POE - AESR - ESR'!L379</f>
        <v>0</v>
      </c>
      <c r="CLE7" s="29">
        <f>'REG y VAL POE - AESR - ESR'!M379</f>
        <v>0</v>
      </c>
      <c r="CLF7" s="30">
        <f>'REG y VAL POE - AESR - ESR'!N379</f>
        <v>0</v>
      </c>
      <c r="CLG7" s="28">
        <f>'REG y VAL POE - AESR - ESR'!O379</f>
        <v>0</v>
      </c>
      <c r="CLH7" s="29">
        <f>'REG y VAL POE - AESR - ESR'!P379</f>
        <v>0</v>
      </c>
      <c r="CLI7" s="29">
        <f>'REG y VAL POE - AESR - ESR'!Q379</f>
        <v>0</v>
      </c>
      <c r="CLJ7" s="32">
        <f>'REG y VAL POE - AESR - ESR'!R379</f>
        <v>0</v>
      </c>
      <c r="CLK7" s="31">
        <f>'REG y VAL POE - AESR - ESR'!S379</f>
        <v>0</v>
      </c>
      <c r="CLL7" s="32">
        <f>'REG y VAL POE - AESR - ESR'!T379</f>
        <v>0</v>
      </c>
      <c r="CLM7" s="32">
        <f>'REG y VAL POE - AESR - ESR'!U379</f>
        <v>0</v>
      </c>
      <c r="CLN7" s="28">
        <f>'REG y VAL POE - AESR - ESR'!V379</f>
        <v>0</v>
      </c>
      <c r="CLO7" s="29">
        <f>'REG y VAL POE - AESR - ESR'!W379</f>
        <v>0</v>
      </c>
      <c r="CLP7" s="30">
        <f>'REG y VAL POE - AESR - ESR'!X379</f>
        <v>0</v>
      </c>
      <c r="CLQ7" s="28">
        <f>'REG y VAL POE - AESR - ESR'!Y379</f>
        <v>0</v>
      </c>
      <c r="CLR7" s="29">
        <f>'REG y VAL POE - AESR - ESR'!Z379</f>
        <v>0</v>
      </c>
      <c r="CLS7" s="29">
        <f>'REG y VAL POE - AESR - ESR'!AA379</f>
        <v>0</v>
      </c>
      <c r="CLT7" s="32">
        <f>'REG y VAL POE - AESR - ESR'!AB379</f>
        <v>0</v>
      </c>
      <c r="CLU7" s="28">
        <f>'REG y VAL POE - AESR - ESR'!AC379</f>
        <v>0</v>
      </c>
      <c r="CLV7" s="29">
        <f>'REG y VAL POE - AESR - ESR'!AD379</f>
        <v>0</v>
      </c>
      <c r="CLW7" s="29">
        <f>'REG y VAL POE - AESR - ESR'!AE379</f>
        <v>0</v>
      </c>
      <c r="CLX7" s="28">
        <f>'REG y VAL POE - AESR - ESR'!AF379</f>
        <v>0</v>
      </c>
      <c r="CLY7" s="29">
        <f>'REG y VAL POE - AESR - ESR'!AG379</f>
        <v>0</v>
      </c>
      <c r="CLZ7" s="30">
        <f>'REG y VAL POE - AESR - ESR'!AH379</f>
        <v>0</v>
      </c>
      <c r="CMA7" s="28">
        <f>'REG y VAL POE - AESR - ESR'!AI379</f>
        <v>0</v>
      </c>
      <c r="CMB7" s="29">
        <f>'REG y VAL POE - AESR - ESR'!AJ379</f>
        <v>0</v>
      </c>
      <c r="CMC7" s="29">
        <f>'REG y VAL POE - AESR - ESR'!AK379</f>
        <v>0</v>
      </c>
      <c r="CMD7" s="32">
        <f>'REG y VAL POE - AESR - ESR'!AL379</f>
        <v>0</v>
      </c>
      <c r="CME7" s="28">
        <f>'REG y VAL POE - AESR - ESR'!AM379</f>
        <v>0</v>
      </c>
      <c r="CMF7" s="29">
        <f>'REG y VAL POE - AESR - ESR'!AN379</f>
        <v>0</v>
      </c>
      <c r="CMG7" s="29">
        <f>'REG y VAL POE - AESR - ESR'!AO379</f>
        <v>0</v>
      </c>
      <c r="CMH7" s="28">
        <f>'REG y VAL POE - AESR - ESR'!AP379</f>
        <v>0</v>
      </c>
      <c r="CMI7" s="29">
        <f>'REG y VAL POE - AESR - ESR'!AQ379</f>
        <v>0</v>
      </c>
      <c r="CMJ7" s="30">
        <f>'REG y VAL POE - AESR - ESR'!AR379</f>
        <v>0</v>
      </c>
      <c r="CMK7" s="28">
        <f>'REG y VAL POE - AESR - ESR'!AS379</f>
        <v>0</v>
      </c>
      <c r="CML7" s="30">
        <f>'REG y VAL POE - AESR - ESR'!B380</f>
        <v>0</v>
      </c>
      <c r="CMM7" s="29">
        <f>'REG y VAL POE - AESR - ESR'!C380</f>
        <v>0</v>
      </c>
      <c r="CMN7" s="28">
        <f>'REG y VAL POE - AESR - ESR'!D380</f>
        <v>0</v>
      </c>
      <c r="CMO7" s="29">
        <f>'REG y VAL POE - AESR - ESR'!E380</f>
        <v>0</v>
      </c>
      <c r="CMP7" s="28">
        <f>'REG y VAL POE - AESR - ESR'!F380</f>
        <v>0</v>
      </c>
      <c r="CMQ7" s="28">
        <f>'REG y VAL POE - AESR - ESR'!G380</f>
        <v>0</v>
      </c>
      <c r="CMR7" s="28">
        <f>'REG y VAL POE - AESR - ESR'!H380</f>
        <v>0</v>
      </c>
      <c r="CMS7" s="29">
        <f>'REG y VAL POE - AESR - ESR'!I380</f>
        <v>0</v>
      </c>
      <c r="CMT7" s="388">
        <f>'REG y VAL POE - AESR - ESR'!J380</f>
        <v>0</v>
      </c>
      <c r="CMU7" s="29">
        <f>'REG y VAL POE - AESR - ESR'!K380</f>
        <v>0</v>
      </c>
      <c r="CMV7" s="388">
        <f>'REG y VAL POE - AESR - ESR'!L380</f>
        <v>0</v>
      </c>
      <c r="CMW7" s="29">
        <f>'REG y VAL POE - AESR - ESR'!M380</f>
        <v>0</v>
      </c>
      <c r="CMX7" s="388">
        <f>'REG y VAL POE - AESR - ESR'!N380</f>
        <v>0</v>
      </c>
      <c r="CMY7" s="29">
        <f>'REG y VAL POE - AESR - ESR'!O380</f>
        <v>0</v>
      </c>
      <c r="CMZ7" s="29">
        <f>'REG y VAL POE - AESR - ESR'!P380</f>
        <v>0</v>
      </c>
      <c r="CNA7" s="29">
        <f>'REG y VAL POE - AESR - ESR'!Q380</f>
        <v>0</v>
      </c>
      <c r="CNB7" s="29">
        <f>'REG y VAL POE - AESR - ESR'!R380</f>
        <v>0</v>
      </c>
      <c r="CNC7" s="29">
        <f>'REG y VAL POE - AESR - ESR'!S380</f>
        <v>0</v>
      </c>
      <c r="CND7" s="29">
        <f>'REG y VAL POE - AESR - ESR'!T380</f>
        <v>0</v>
      </c>
      <c r="CNE7" s="29">
        <f>'REG y VAL POE - AESR - ESR'!U380</f>
        <v>0</v>
      </c>
      <c r="CNF7" s="29">
        <f>'REG y VAL POE - AESR - ESR'!V380</f>
        <v>0</v>
      </c>
      <c r="CNG7" s="29">
        <f>'REG y VAL POE - AESR - ESR'!W380</f>
        <v>0</v>
      </c>
      <c r="CNH7" s="29">
        <f>'REG y VAL POE - AESR - ESR'!X380</f>
        <v>0</v>
      </c>
      <c r="CNI7" s="29">
        <f>'REG y VAL POE - AESR - ESR'!Y380</f>
        <v>0</v>
      </c>
      <c r="CNJ7" s="29">
        <f>'REG y VAL POE - AESR - ESR'!Z380</f>
        <v>0</v>
      </c>
      <c r="CNK7" s="29">
        <f>'REG y VAL POE - AESR - ESR'!AA380</f>
        <v>0</v>
      </c>
      <c r="CNL7" s="29">
        <f>'REG y VAL POE - AESR - ESR'!AB380</f>
        <v>0</v>
      </c>
      <c r="CNM7" s="29">
        <f>'REG y VAL POE - AESR - ESR'!AC380</f>
        <v>0</v>
      </c>
      <c r="CNN7" s="29">
        <f>'REG y VAL POE - AESR - ESR'!AD380</f>
        <v>0</v>
      </c>
      <c r="CNO7" s="29">
        <f>'REG y VAL POE - AESR - ESR'!AE380</f>
        <v>0</v>
      </c>
      <c r="CNP7" s="29">
        <f>'REG y VAL POE - AESR - ESR'!AF380</f>
        <v>0</v>
      </c>
      <c r="CNQ7" s="29">
        <f>'REG y VAL POE - AESR - ESR'!AG380</f>
        <v>0</v>
      </c>
      <c r="CNR7" s="29">
        <f>'REG y VAL POE - AESR - ESR'!AH380</f>
        <v>0</v>
      </c>
      <c r="CNS7" s="29">
        <f>'REG y VAL POE - AESR - ESR'!AI380</f>
        <v>0</v>
      </c>
      <c r="CNT7" s="29">
        <f>'REG y VAL POE - AESR - ESR'!AJ380</f>
        <v>0</v>
      </c>
      <c r="CNU7" s="29">
        <f>'REG y VAL POE - AESR - ESR'!AK380</f>
        <v>0</v>
      </c>
      <c r="CNV7" s="29">
        <f>'REG y VAL POE - AESR - ESR'!AL380</f>
        <v>0</v>
      </c>
      <c r="CNW7" s="29">
        <f>'REG y VAL POE - AESR - ESR'!AM380</f>
        <v>0</v>
      </c>
      <c r="CNX7" s="29">
        <f>'REG y VAL POE - AESR - ESR'!AN380</f>
        <v>0</v>
      </c>
      <c r="CNY7" s="29">
        <f>'REG y VAL POE - AESR - ESR'!AO380</f>
        <v>0</v>
      </c>
      <c r="CNZ7" s="29">
        <f>'REG y VAL POE - AESR - ESR'!AP380</f>
        <v>0</v>
      </c>
      <c r="COA7" s="29">
        <f>'REG y VAL POE - AESR - ESR'!AQ380</f>
        <v>0</v>
      </c>
      <c r="COB7" s="29">
        <f>'REG y VAL POE - AESR - ESR'!AR380</f>
        <v>0</v>
      </c>
      <c r="COC7" s="29">
        <f>'REG y VAL POE - AESR - ESR'!AS380</f>
        <v>0</v>
      </c>
      <c r="COD7" s="30"/>
      <c r="COE7" s="28"/>
      <c r="COF7" s="29"/>
      <c r="COG7" s="29"/>
      <c r="COH7" s="32"/>
      <c r="COI7" s="32"/>
      <c r="COJ7" s="32"/>
      <c r="COK7" s="31"/>
      <c r="COL7" s="32"/>
      <c r="COM7" s="32"/>
      <c r="CON7" s="28"/>
      <c r="COO7" s="29"/>
      <c r="COP7" s="30"/>
      <c r="COQ7" s="28"/>
      <c r="COR7" s="29"/>
      <c r="COS7" s="29"/>
      <c r="COT7" s="32"/>
      <c r="COU7" s="31"/>
      <c r="COV7" s="32"/>
      <c r="COW7" s="32"/>
      <c r="COX7" s="28"/>
      <c r="COY7" s="29"/>
      <c r="COZ7" s="30"/>
      <c r="CPA7" s="28"/>
      <c r="CPB7" s="29"/>
      <c r="CPC7" s="29"/>
      <c r="CPD7" s="32"/>
      <c r="CPE7" s="28"/>
      <c r="CPF7" s="29"/>
      <c r="CPG7" s="29"/>
      <c r="CPH7" s="28"/>
      <c r="CPI7" s="29"/>
      <c r="CPJ7" s="30"/>
      <c r="CPK7" s="28"/>
      <c r="CPL7" s="29"/>
      <c r="CPM7" s="29"/>
      <c r="CPN7" s="32"/>
      <c r="CPO7" s="28"/>
      <c r="CPP7" s="29"/>
      <c r="CPQ7" s="29"/>
      <c r="CPR7" s="28"/>
      <c r="CPS7" s="29"/>
      <c r="CPT7" s="30"/>
      <c r="CPU7" s="28"/>
      <c r="CPV7" s="30"/>
      <c r="CPW7" s="29"/>
      <c r="CPX7" s="28"/>
      <c r="CPY7" s="29"/>
      <c r="CPZ7" s="28"/>
      <c r="CQA7" s="28"/>
      <c r="CQB7" s="28"/>
      <c r="CQC7" s="29"/>
      <c r="CQD7" s="388"/>
      <c r="CQE7" s="29"/>
      <c r="CQF7" s="388"/>
      <c r="CQG7" s="29"/>
      <c r="CQH7" s="388"/>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30"/>
      <c r="CRO7" s="28"/>
      <c r="CRP7" s="29"/>
      <c r="CRQ7" s="29"/>
      <c r="CRR7" s="32"/>
      <c r="CRS7" s="32"/>
      <c r="CRT7" s="32"/>
      <c r="CRU7" s="31"/>
      <c r="CRV7" s="32"/>
      <c r="CRW7" s="32"/>
      <c r="CRX7" s="28"/>
      <c r="CRY7" s="29"/>
      <c r="CRZ7" s="30"/>
      <c r="CSA7" s="28"/>
      <c r="CSB7" s="29"/>
      <c r="CSC7" s="29"/>
      <c r="CSD7" s="32"/>
      <c r="CSE7" s="31"/>
      <c r="CSF7" s="32"/>
      <c r="CSG7" s="32"/>
      <c r="CSH7" s="28"/>
      <c r="CSI7" s="29"/>
      <c r="CSJ7" s="30"/>
      <c r="CSK7" s="28"/>
      <c r="CSL7" s="29"/>
      <c r="CSM7" s="29"/>
      <c r="CSN7" s="32"/>
      <c r="CSO7" s="28"/>
      <c r="CSP7" s="29"/>
      <c r="CSQ7" s="29"/>
      <c r="CSR7" s="28"/>
      <c r="CSS7" s="29"/>
      <c r="CST7" s="30"/>
      <c r="CSU7" s="28"/>
      <c r="CSV7" s="29"/>
      <c r="CSW7" s="29"/>
      <c r="CSX7" s="32"/>
      <c r="CSY7" s="28"/>
      <c r="CSZ7" s="29"/>
      <c r="CTA7" s="29"/>
      <c r="CTB7" s="28"/>
      <c r="CTC7" s="29"/>
      <c r="CTD7" s="30"/>
      <c r="CTE7" s="28"/>
      <c r="CTF7" s="30"/>
      <c r="CTG7" s="29"/>
      <c r="CTH7" s="28"/>
      <c r="CTI7" s="29"/>
      <c r="CTJ7" s="28"/>
      <c r="CTK7" s="28"/>
      <c r="CTL7" s="28"/>
      <c r="CTM7" s="29"/>
      <c r="CTN7" s="388"/>
      <c r="CTO7" s="29"/>
      <c r="CTP7" s="388"/>
      <c r="CTQ7" s="29"/>
      <c r="CTR7" s="388"/>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30"/>
      <c r="CUY7" s="28"/>
      <c r="CUZ7" s="29"/>
      <c r="CVA7" s="29"/>
      <c r="CVB7" s="32"/>
      <c r="CVC7" s="32"/>
      <c r="CVD7" s="32"/>
      <c r="CVE7" s="31"/>
      <c r="CVF7" s="32"/>
      <c r="CVG7" s="32"/>
      <c r="CVH7" s="28"/>
      <c r="CVI7" s="29"/>
      <c r="CVJ7" s="30"/>
      <c r="CVK7" s="28"/>
      <c r="CVL7" s="29"/>
      <c r="CVM7" s="29"/>
      <c r="CVN7" s="32"/>
      <c r="CVO7" s="31"/>
      <c r="CVP7" s="32"/>
      <c r="CVQ7" s="32"/>
      <c r="CVR7" s="28"/>
      <c r="CVS7" s="29"/>
      <c r="CVT7" s="30"/>
      <c r="CVU7" s="28"/>
      <c r="CVV7" s="29"/>
      <c r="CVW7" s="29"/>
      <c r="CVX7" s="32"/>
      <c r="CVY7" s="28"/>
      <c r="CVZ7" s="29"/>
      <c r="CWA7" s="29"/>
      <c r="CWB7" s="28"/>
      <c r="CWC7" s="29"/>
      <c r="CWD7" s="30"/>
      <c r="CWE7" s="28"/>
      <c r="CWF7" s="29"/>
      <c r="CWG7" s="29"/>
      <c r="CWH7" s="32"/>
      <c r="CWI7" s="28"/>
      <c r="CWJ7" s="29"/>
      <c r="CWK7" s="29"/>
      <c r="CWL7" s="28"/>
      <c r="CWM7" s="29"/>
      <c r="CWN7" s="30"/>
      <c r="CWO7" s="28"/>
      <c r="CWP7" s="30"/>
      <c r="CWQ7" s="29"/>
      <c r="CWR7" s="28"/>
      <c r="CWS7" s="29"/>
      <c r="CWT7" s="28"/>
      <c r="CWU7" s="28"/>
      <c r="CWV7" s="28"/>
      <c r="CWW7" s="29"/>
      <c r="CWX7" s="388"/>
      <c r="CWY7" s="29"/>
      <c r="CWZ7" s="388"/>
      <c r="CXA7" s="29"/>
      <c r="CXB7" s="388"/>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30"/>
      <c r="CYI7" s="28"/>
      <c r="CYJ7" s="29"/>
      <c r="CYK7" s="29"/>
      <c r="CYL7" s="32"/>
      <c r="CYM7" s="32"/>
      <c r="CYN7" s="32"/>
      <c r="CYO7" s="31"/>
      <c r="CYP7" s="32"/>
      <c r="CYQ7" s="32"/>
      <c r="CYR7" s="28"/>
      <c r="CYS7" s="29"/>
      <c r="CYT7" s="30"/>
      <c r="CYU7" s="28"/>
      <c r="CYV7" s="29"/>
      <c r="CYW7" s="29"/>
      <c r="CYX7" s="32"/>
      <c r="CYY7" s="31"/>
      <c r="CYZ7" s="32"/>
      <c r="CZA7" s="32"/>
      <c r="CZB7" s="28"/>
      <c r="CZC7" s="29"/>
      <c r="CZD7" s="30"/>
      <c r="CZE7" s="28"/>
      <c r="CZF7" s="29"/>
      <c r="CZG7" s="29"/>
      <c r="CZH7" s="32"/>
      <c r="CZI7" s="28"/>
      <c r="CZJ7" s="29"/>
      <c r="CZK7" s="29"/>
      <c r="CZL7" s="28"/>
      <c r="CZM7" s="29"/>
      <c r="CZN7" s="30"/>
      <c r="CZO7" s="28"/>
      <c r="CZP7" s="29"/>
      <c r="CZQ7" s="29"/>
      <c r="CZR7" s="32"/>
      <c r="CZS7" s="28"/>
      <c r="CZT7" s="29"/>
      <c r="CZU7" s="29"/>
      <c r="CZV7" s="28"/>
      <c r="CZW7" s="29"/>
      <c r="CZX7" s="30"/>
      <c r="CZY7" s="28"/>
      <c r="CZZ7" s="30"/>
      <c r="DAA7" s="29"/>
      <c r="DAB7" s="28"/>
      <c r="DAC7" s="29"/>
      <c r="DAD7" s="28"/>
      <c r="DAE7" s="28"/>
      <c r="DAF7" s="28"/>
      <c r="DAG7" s="29"/>
      <c r="DAH7" s="388"/>
      <c r="DAI7" s="29"/>
      <c r="DAJ7" s="388"/>
      <c r="DAK7" s="29"/>
      <c r="DAL7" s="388"/>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30"/>
      <c r="DBS7" s="28"/>
      <c r="DBT7" s="29"/>
      <c r="DBU7" s="29"/>
      <c r="DBV7" s="32"/>
      <c r="DBW7" s="32"/>
      <c r="DBX7" s="32"/>
      <c r="DBY7" s="31"/>
      <c r="DBZ7" s="32"/>
      <c r="DCA7" s="32"/>
      <c r="DCB7" s="28"/>
      <c r="DCC7" s="29"/>
      <c r="DCD7" s="30"/>
      <c r="DCE7" s="28"/>
      <c r="DCF7" s="29"/>
      <c r="DCG7" s="29"/>
      <c r="DCH7" s="32"/>
      <c r="DCI7" s="31"/>
      <c r="DCJ7" s="32"/>
      <c r="DCK7" s="32"/>
      <c r="DCL7" s="28"/>
      <c r="DCM7" s="29"/>
      <c r="DCN7" s="30"/>
      <c r="DCO7" s="28"/>
      <c r="DCP7" s="29"/>
      <c r="DCQ7" s="29"/>
      <c r="DCR7" s="32"/>
      <c r="DCS7" s="28"/>
      <c r="DCT7" s="29"/>
      <c r="DCU7" s="29"/>
      <c r="DCV7" s="28"/>
      <c r="DCW7" s="29"/>
      <c r="DCX7" s="30"/>
      <c r="DCY7" s="28"/>
      <c r="DCZ7" s="29"/>
      <c r="DDA7" s="29"/>
      <c r="DDB7" s="32"/>
      <c r="DDC7" s="28"/>
      <c r="DDD7" s="29"/>
      <c r="DDE7" s="29"/>
      <c r="DDF7" s="28"/>
      <c r="DDG7" s="29"/>
      <c r="DDH7" s="30"/>
      <c r="DDI7" s="28"/>
      <c r="DDJ7" s="30"/>
      <c r="DDK7" s="29"/>
      <c r="DDL7" s="28"/>
      <c r="DDM7" s="29"/>
      <c r="DDN7" s="28"/>
      <c r="DDO7" s="28"/>
      <c r="DDP7" s="28"/>
      <c r="DDQ7" s="29"/>
      <c r="DDR7" s="388"/>
      <c r="DDS7" s="29"/>
      <c r="DDT7" s="388"/>
      <c r="DDU7" s="29"/>
      <c r="DDV7" s="388"/>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30"/>
      <c r="DFC7" s="28"/>
      <c r="DFD7" s="29"/>
      <c r="DFE7" s="29"/>
      <c r="DFF7" s="32"/>
      <c r="DFG7" s="32"/>
      <c r="DFH7" s="32"/>
      <c r="DFI7" s="31"/>
      <c r="DFJ7" s="32"/>
      <c r="DFK7" s="32"/>
      <c r="DFL7" s="28"/>
      <c r="DFM7" s="29"/>
      <c r="DFN7" s="30"/>
      <c r="DFO7" s="28"/>
      <c r="DFP7" s="29"/>
      <c r="DFQ7" s="29"/>
      <c r="DFR7" s="32"/>
      <c r="DFS7" s="31"/>
      <c r="DFT7" s="32"/>
      <c r="DFU7" s="32"/>
      <c r="DFV7" s="28"/>
      <c r="DFW7" s="29"/>
      <c r="DFX7" s="30"/>
      <c r="DFY7" s="28"/>
      <c r="DFZ7" s="29"/>
      <c r="DGA7" s="29"/>
      <c r="DGB7" s="32"/>
      <c r="DGC7" s="28"/>
      <c r="DGD7" s="29"/>
      <c r="DGE7" s="29"/>
      <c r="DGF7" s="28"/>
      <c r="DGG7" s="29"/>
      <c r="DGH7" s="30"/>
      <c r="DGI7" s="28"/>
      <c r="DGJ7" s="29"/>
      <c r="DGK7" s="29"/>
      <c r="DGL7" s="32"/>
      <c r="DGM7" s="28"/>
      <c r="DGN7" s="29"/>
      <c r="DGO7" s="29"/>
      <c r="DGP7" s="28"/>
      <c r="DGQ7" s="29"/>
      <c r="DGR7" s="30"/>
      <c r="DGS7" s="28"/>
      <c r="DGT7" s="30"/>
      <c r="DGU7" s="29"/>
      <c r="DGV7" s="28"/>
      <c r="DGW7" s="29"/>
      <c r="DGX7" s="28"/>
      <c r="DGY7" s="28"/>
      <c r="DGZ7" s="28"/>
      <c r="DHA7" s="29"/>
      <c r="DHB7" s="388"/>
      <c r="DHC7" s="29"/>
      <c r="DHD7" s="388"/>
      <c r="DHE7" s="29"/>
      <c r="DHF7" s="388"/>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30"/>
      <c r="DIM7" s="28"/>
      <c r="DIN7" s="29"/>
      <c r="DIO7" s="29"/>
      <c r="DIP7" s="32"/>
      <c r="DIQ7" s="32"/>
      <c r="DIR7" s="32"/>
      <c r="DIS7" s="31"/>
      <c r="DIT7" s="32"/>
      <c r="DIU7" s="32"/>
      <c r="DIV7" s="28"/>
      <c r="DIW7" s="29"/>
      <c r="DIX7" s="30"/>
      <c r="DIY7" s="28"/>
      <c r="DIZ7" s="29"/>
      <c r="DJA7" s="29"/>
      <c r="DJB7" s="32"/>
      <c r="DJC7" s="31"/>
      <c r="DJD7" s="32"/>
      <c r="DJE7" s="32"/>
      <c r="DJF7" s="28"/>
      <c r="DJG7" s="29"/>
      <c r="DJH7" s="30"/>
      <c r="DJI7" s="28"/>
      <c r="DJJ7" s="29"/>
      <c r="DJK7" s="29"/>
      <c r="DJL7" s="32"/>
      <c r="DJM7" s="28"/>
      <c r="DJN7" s="29"/>
      <c r="DJO7" s="29"/>
      <c r="DJP7" s="28"/>
      <c r="DJQ7" s="29"/>
      <c r="DJR7" s="30"/>
      <c r="DJS7" s="28"/>
      <c r="DJT7" s="29"/>
      <c r="DJU7" s="29"/>
      <c r="DJV7" s="32"/>
      <c r="DJW7" s="28"/>
      <c r="DJX7" s="29"/>
      <c r="DJY7" s="29"/>
      <c r="DJZ7" s="28"/>
      <c r="DKA7" s="29"/>
      <c r="DKB7" s="30"/>
      <c r="DKC7" s="28"/>
      <c r="DKD7" s="30"/>
      <c r="DKE7" s="29"/>
      <c r="DKF7" s="28"/>
      <c r="DKG7" s="29"/>
      <c r="DKH7" s="28"/>
      <c r="DKI7" s="28"/>
      <c r="DKJ7" s="28"/>
      <c r="DKK7" s="29"/>
      <c r="DKL7" s="388"/>
      <c r="DKM7" s="29"/>
      <c r="DKN7" s="388"/>
      <c r="DKO7" s="29"/>
      <c r="DKP7" s="388"/>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30"/>
      <c r="DLW7" s="28"/>
      <c r="DLX7" s="29"/>
      <c r="DLY7" s="29"/>
      <c r="DLZ7" s="32"/>
      <c r="DMA7" s="32"/>
      <c r="DMB7" s="32"/>
      <c r="DMC7" s="31"/>
      <c r="DMD7" s="32"/>
      <c r="DME7" s="32"/>
      <c r="DMF7" s="28"/>
      <c r="DMG7" s="29"/>
      <c r="DMH7" s="30"/>
      <c r="DMI7" s="28"/>
      <c r="DMJ7" s="29"/>
      <c r="DMK7" s="29"/>
      <c r="DML7" s="32"/>
      <c r="DMM7" s="31"/>
      <c r="DMN7" s="32"/>
      <c r="DMO7" s="32"/>
      <c r="DMP7" s="28"/>
      <c r="DMQ7" s="29"/>
      <c r="DMR7" s="30"/>
      <c r="DMS7" s="28"/>
      <c r="DMT7" s="29"/>
      <c r="DMU7" s="29"/>
      <c r="DMV7" s="32"/>
      <c r="DMW7" s="28"/>
      <c r="DMX7" s="29"/>
      <c r="DMY7" s="29"/>
      <c r="DMZ7" s="28"/>
      <c r="DNA7" s="29"/>
      <c r="DNB7" s="30"/>
      <c r="DNC7" s="28"/>
      <c r="DND7" s="29"/>
      <c r="DNE7" s="29"/>
      <c r="DNF7" s="32"/>
      <c r="DNG7" s="28"/>
      <c r="DNH7" s="29"/>
      <c r="DNI7" s="29"/>
      <c r="DNJ7" s="28"/>
      <c r="DNK7" s="29"/>
      <c r="DNL7" s="30"/>
      <c r="DNM7" s="28"/>
      <c r="DNN7" s="30"/>
      <c r="DNO7" s="29"/>
      <c r="DNP7" s="28"/>
      <c r="DNQ7" s="29"/>
      <c r="DNR7" s="28"/>
      <c r="DNS7" s="28"/>
      <c r="DNT7" s="28"/>
      <c r="DNU7" s="29"/>
      <c r="DNV7" s="388"/>
      <c r="DNW7" s="29"/>
      <c r="DNX7" s="388"/>
      <c r="DNY7" s="29"/>
      <c r="DNZ7" s="388"/>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30"/>
      <c r="DPG7" s="28"/>
      <c r="DPH7" s="29"/>
      <c r="DPI7" s="29"/>
      <c r="DPJ7" s="32"/>
      <c r="DPK7" s="32"/>
      <c r="DPL7" s="32"/>
      <c r="DPM7" s="31"/>
      <c r="DPN7" s="32"/>
      <c r="DPO7" s="32"/>
      <c r="DPP7" s="28"/>
      <c r="DPQ7" s="29"/>
      <c r="DPR7" s="30"/>
      <c r="DPS7" s="28"/>
      <c r="DPT7" s="29"/>
      <c r="DPU7" s="29"/>
      <c r="DPV7" s="32"/>
      <c r="DPW7" s="31"/>
      <c r="DPX7" s="32"/>
      <c r="DPY7" s="32"/>
      <c r="DPZ7" s="28"/>
      <c r="DQA7" s="29"/>
      <c r="DQB7" s="30"/>
      <c r="DQC7" s="28"/>
      <c r="DQD7" s="29"/>
      <c r="DQE7" s="29"/>
      <c r="DQF7" s="32"/>
      <c r="DQG7" s="28"/>
      <c r="DQH7" s="29"/>
      <c r="DQI7" s="29"/>
      <c r="DQJ7" s="28"/>
      <c r="DQK7" s="29"/>
      <c r="DQL7" s="30"/>
      <c r="DQM7" s="28"/>
      <c r="DQN7" s="29"/>
      <c r="DQO7" s="29"/>
      <c r="DQP7" s="32"/>
      <c r="DQQ7" s="28"/>
      <c r="DQR7" s="29"/>
      <c r="DQS7" s="29"/>
      <c r="DQT7" s="28"/>
      <c r="DQU7" s="29"/>
      <c r="DQV7" s="30"/>
      <c r="DQW7" s="28"/>
      <c r="DQX7" s="30"/>
      <c r="DQY7" s="29"/>
      <c r="DQZ7" s="28"/>
      <c r="DRA7" s="29"/>
      <c r="DRB7" s="28"/>
      <c r="DRC7" s="28"/>
      <c r="DRD7" s="28"/>
      <c r="DRE7" s="29"/>
      <c r="DRF7" s="388"/>
      <c r="DRG7" s="29"/>
      <c r="DRH7" s="388"/>
      <c r="DRI7" s="29"/>
      <c r="DRJ7" s="388"/>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30"/>
      <c r="DSQ7" s="28"/>
      <c r="DSR7" s="29"/>
      <c r="DSS7" s="29"/>
      <c r="DST7" s="32"/>
      <c r="DSU7" s="32"/>
      <c r="DSV7" s="32"/>
      <c r="DSW7" s="31"/>
      <c r="DSX7" s="32"/>
      <c r="DSY7" s="32"/>
      <c r="DSZ7" s="28"/>
      <c r="DTA7" s="29"/>
      <c r="DTB7" s="30"/>
      <c r="DTC7" s="28"/>
      <c r="DTD7" s="29"/>
      <c r="DTE7" s="29"/>
      <c r="DTF7" s="32"/>
      <c r="DTG7" s="31"/>
      <c r="DTH7" s="32"/>
      <c r="DTI7" s="32"/>
      <c r="DTJ7" s="28"/>
      <c r="DTK7" s="29"/>
      <c r="DTL7" s="30"/>
      <c r="DTM7" s="28"/>
      <c r="DTN7" s="29"/>
      <c r="DTO7" s="29"/>
      <c r="DTP7" s="32"/>
      <c r="DTQ7" s="28"/>
      <c r="DTR7" s="29"/>
      <c r="DTS7" s="29"/>
      <c r="DTT7" s="28"/>
      <c r="DTU7" s="29"/>
      <c r="DTV7" s="30"/>
      <c r="DTW7" s="28"/>
      <c r="DTX7" s="29"/>
      <c r="DTY7" s="29"/>
      <c r="DTZ7" s="32"/>
      <c r="DUA7" s="28"/>
      <c r="DUB7" s="29"/>
      <c r="DUC7" s="29"/>
      <c r="DUD7" s="28"/>
      <c r="DUE7" s="29"/>
      <c r="DUF7" s="30"/>
      <c r="DUG7" s="28"/>
      <c r="DUH7" s="30"/>
      <c r="DUI7" s="29"/>
      <c r="DUJ7" s="28"/>
      <c r="DUK7" s="29"/>
      <c r="DUL7" s="28"/>
      <c r="DUM7" s="28"/>
      <c r="DUN7" s="28"/>
      <c r="DUO7" s="29"/>
      <c r="DUP7" s="388"/>
      <c r="DUQ7" s="29"/>
      <c r="DUR7" s="388"/>
      <c r="DUS7" s="29"/>
      <c r="DUT7" s="388"/>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30"/>
      <c r="DWA7" s="28"/>
      <c r="DWB7" s="29"/>
      <c r="DWC7" s="29"/>
      <c r="DWD7" s="32"/>
      <c r="DWE7" s="32"/>
      <c r="DWF7" s="32"/>
      <c r="DWG7" s="31"/>
      <c r="DWH7" s="32"/>
      <c r="DWI7" s="32"/>
      <c r="DWJ7" s="28"/>
      <c r="DWK7" s="29"/>
      <c r="DWL7" s="30"/>
      <c r="DWM7" s="28"/>
      <c r="DWN7" s="29"/>
      <c r="DWO7" s="29"/>
      <c r="DWP7" s="32"/>
      <c r="DWQ7" s="31"/>
      <c r="DWR7" s="32"/>
      <c r="DWS7" s="32"/>
      <c r="DWT7" s="28"/>
      <c r="DWU7" s="29"/>
      <c r="DWV7" s="30"/>
      <c r="DWW7" s="28"/>
      <c r="DWX7" s="29"/>
      <c r="DWY7" s="29"/>
      <c r="DWZ7" s="32"/>
      <c r="DXA7" s="28"/>
      <c r="DXB7" s="29"/>
      <c r="DXC7" s="29"/>
      <c r="DXD7" s="28"/>
      <c r="DXE7" s="29"/>
      <c r="DXF7" s="30"/>
      <c r="DXG7" s="28"/>
      <c r="DXH7" s="29"/>
      <c r="DXI7" s="29"/>
      <c r="DXJ7" s="32"/>
      <c r="DXK7" s="28"/>
      <c r="DXL7" s="29"/>
      <c r="DXM7" s="29"/>
      <c r="DXN7" s="28"/>
      <c r="DXO7" s="29"/>
      <c r="DXP7" s="30"/>
      <c r="DXQ7" s="28"/>
      <c r="DXR7" s="30"/>
      <c r="DXS7" s="29"/>
      <c r="DXT7" s="28"/>
      <c r="DXU7" s="29"/>
      <c r="DXV7" s="28"/>
      <c r="DXW7" s="28"/>
      <c r="DXX7" s="28"/>
      <c r="DXY7" s="29"/>
      <c r="DXZ7" s="388"/>
      <c r="DYA7" s="29"/>
      <c r="DYB7" s="388"/>
      <c r="DYC7" s="29"/>
      <c r="DYD7" s="388"/>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30"/>
      <c r="DZK7" s="28"/>
      <c r="DZL7" s="29"/>
      <c r="DZM7" s="29"/>
      <c r="DZN7" s="32"/>
      <c r="DZO7" s="32"/>
      <c r="DZP7" s="32"/>
      <c r="DZQ7" s="31"/>
      <c r="DZR7" s="32"/>
      <c r="DZS7" s="32"/>
      <c r="DZT7" s="28"/>
      <c r="DZU7" s="29"/>
      <c r="DZV7" s="30"/>
      <c r="DZW7" s="28"/>
      <c r="DZX7" s="29"/>
      <c r="DZY7" s="29"/>
      <c r="DZZ7" s="32"/>
      <c r="EAA7" s="31"/>
      <c r="EAB7" s="32"/>
      <c r="EAC7" s="32"/>
      <c r="EAD7" s="28"/>
      <c r="EAE7" s="29"/>
      <c r="EAF7" s="30"/>
      <c r="EAG7" s="28"/>
      <c r="EAH7" s="29"/>
      <c r="EAI7" s="29"/>
      <c r="EAJ7" s="32"/>
      <c r="EAK7" s="28"/>
      <c r="EAL7" s="29"/>
      <c r="EAM7" s="29"/>
      <c r="EAN7" s="28"/>
      <c r="EAO7" s="29"/>
      <c r="EAP7" s="30"/>
      <c r="EAQ7" s="28"/>
      <c r="EAR7" s="29"/>
      <c r="EAS7" s="29"/>
      <c r="EAT7" s="32"/>
      <c r="EAU7" s="28"/>
      <c r="EAV7" s="29"/>
      <c r="EAW7" s="29"/>
      <c r="EAX7" s="28"/>
      <c r="EAY7" s="29"/>
      <c r="EAZ7" s="30"/>
      <c r="EBA7" s="28"/>
      <c r="EBB7" s="30"/>
      <c r="EBC7" s="29"/>
      <c r="EBD7" s="28"/>
      <c r="EBE7" s="29"/>
      <c r="EBF7" s="28"/>
      <c r="EBG7" s="28"/>
      <c r="EBH7" s="28"/>
      <c r="EBI7" s="29"/>
      <c r="EBJ7" s="388"/>
      <c r="EBK7" s="29"/>
      <c r="EBL7" s="388"/>
      <c r="EBM7" s="29"/>
      <c r="EBN7" s="388"/>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30"/>
      <c r="ECU7" s="28"/>
      <c r="ECV7" s="29"/>
      <c r="ECW7" s="29"/>
      <c r="ECX7" s="32"/>
      <c r="ECY7" s="32"/>
      <c r="ECZ7" s="32"/>
      <c r="EDA7" s="31"/>
      <c r="EDB7" s="32"/>
      <c r="EDC7" s="32"/>
      <c r="EDD7" s="28"/>
      <c r="EDE7" s="29"/>
      <c r="EDF7" s="30"/>
      <c r="EDG7" s="28"/>
      <c r="EDH7" s="29"/>
      <c r="EDI7" s="29"/>
      <c r="EDJ7" s="32"/>
      <c r="EDK7" s="31"/>
      <c r="EDL7" s="32"/>
      <c r="EDM7" s="32"/>
      <c r="EDN7" s="28"/>
      <c r="EDO7" s="29"/>
      <c r="EDP7" s="30"/>
      <c r="EDQ7" s="28"/>
      <c r="EDR7" s="29"/>
      <c r="EDS7" s="29"/>
      <c r="EDT7" s="32"/>
      <c r="EDU7" s="28"/>
      <c r="EDV7" s="29"/>
      <c r="EDW7" s="29"/>
      <c r="EDX7" s="28"/>
      <c r="EDY7" s="29"/>
      <c r="EDZ7" s="30"/>
      <c r="EEA7" s="28"/>
      <c r="EEB7" s="29"/>
      <c r="EEC7" s="29"/>
      <c r="EED7" s="32"/>
      <c r="EEE7" s="28"/>
      <c r="EEF7" s="29"/>
      <c r="EEG7" s="29"/>
      <c r="EEH7" s="28"/>
      <c r="EEI7" s="29"/>
      <c r="EEJ7" s="30"/>
      <c r="EEK7" s="28"/>
      <c r="EEL7" s="30"/>
      <c r="EEM7" s="29"/>
      <c r="EEN7" s="28"/>
      <c r="EEO7" s="29"/>
      <c r="EEP7" s="28"/>
      <c r="EEQ7" s="28"/>
      <c r="EER7" s="28"/>
      <c r="EES7" s="29"/>
      <c r="EET7" s="388"/>
      <c r="EEU7" s="29"/>
      <c r="EEV7" s="388"/>
      <c r="EEW7" s="29"/>
      <c r="EEX7" s="388"/>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30"/>
      <c r="EGE7" s="28"/>
      <c r="EGF7" s="29"/>
      <c r="EGG7" s="29"/>
      <c r="EGH7" s="32"/>
      <c r="EGI7" s="32"/>
      <c r="EGJ7" s="32"/>
      <c r="EGK7" s="31"/>
      <c r="EGL7" s="32"/>
      <c r="EGM7" s="32"/>
      <c r="EGN7" s="28"/>
      <c r="EGO7" s="29"/>
      <c r="EGP7" s="30"/>
      <c r="EGQ7" s="28"/>
      <c r="EGR7" s="29"/>
      <c r="EGS7" s="29"/>
      <c r="EGT7" s="32"/>
      <c r="EGU7" s="31"/>
      <c r="EGV7" s="32"/>
      <c r="EGW7" s="32"/>
      <c r="EGX7" s="28"/>
      <c r="EGY7" s="29"/>
      <c r="EGZ7" s="30"/>
      <c r="EHA7" s="28"/>
      <c r="EHB7" s="29"/>
      <c r="EHC7" s="29"/>
      <c r="EHD7" s="32"/>
      <c r="EHE7" s="28"/>
      <c r="EHF7" s="29"/>
      <c r="EHG7" s="29"/>
      <c r="EHH7" s="28"/>
      <c r="EHI7" s="29"/>
      <c r="EHJ7" s="30"/>
      <c r="EHK7" s="28"/>
      <c r="EHL7" s="29"/>
      <c r="EHM7" s="29"/>
      <c r="EHN7" s="32"/>
      <c r="EHO7" s="28"/>
      <c r="EHP7" s="29"/>
      <c r="EHQ7" s="29"/>
      <c r="EHR7" s="28"/>
      <c r="EHS7" s="29"/>
      <c r="EHT7" s="30"/>
      <c r="EHU7" s="28"/>
      <c r="EHV7" s="30"/>
      <c r="EHW7" s="29"/>
      <c r="EHX7" s="28"/>
      <c r="EHY7" s="29"/>
      <c r="EHZ7" s="28"/>
      <c r="EIA7" s="28"/>
      <c r="EIB7" s="28"/>
      <c r="EIC7" s="29"/>
      <c r="EID7" s="388"/>
      <c r="EIE7" s="29"/>
      <c r="EIF7" s="388"/>
      <c r="EIG7" s="29"/>
      <c r="EIH7" s="388"/>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30"/>
      <c r="EJO7" s="28"/>
      <c r="EJP7" s="29"/>
      <c r="EJQ7" s="29"/>
      <c r="EJR7" s="32"/>
      <c r="EJS7" s="32"/>
      <c r="EJT7" s="32"/>
      <c r="EJU7" s="31"/>
      <c r="EJV7" s="32"/>
      <c r="EJW7" s="32"/>
      <c r="EJX7" s="28"/>
      <c r="EJY7" s="29"/>
      <c r="EJZ7" s="30"/>
      <c r="EKA7" s="28"/>
      <c r="EKB7" s="29"/>
      <c r="EKC7" s="29"/>
      <c r="EKD7" s="32"/>
      <c r="EKE7" s="31"/>
      <c r="EKF7" s="32"/>
      <c r="EKG7" s="32"/>
      <c r="EKH7" s="28"/>
      <c r="EKI7" s="29"/>
      <c r="EKJ7" s="30"/>
      <c r="EKK7" s="28"/>
      <c r="EKL7" s="29"/>
      <c r="EKM7" s="29"/>
      <c r="EKN7" s="32"/>
      <c r="EKO7" s="28"/>
      <c r="EKP7" s="29"/>
      <c r="EKQ7" s="29"/>
      <c r="EKR7" s="28"/>
      <c r="EKS7" s="29"/>
      <c r="EKT7" s="30"/>
      <c r="EKU7" s="28"/>
      <c r="EKV7" s="29"/>
      <c r="EKW7" s="29"/>
      <c r="EKX7" s="32"/>
      <c r="EKY7" s="28"/>
      <c r="EKZ7" s="29"/>
      <c r="ELA7" s="29"/>
      <c r="ELB7" s="28"/>
      <c r="ELC7" s="29"/>
      <c r="ELD7" s="30"/>
      <c r="ELE7" s="28"/>
      <c r="ELF7" s="30"/>
      <c r="ELG7" s="29"/>
      <c r="ELH7" s="28"/>
      <c r="ELI7" s="29"/>
      <c r="ELJ7" s="28"/>
      <c r="ELK7" s="28"/>
      <c r="ELL7" s="28"/>
      <c r="ELM7" s="29"/>
      <c r="ELN7" s="388"/>
      <c r="ELO7" s="29"/>
      <c r="ELP7" s="388"/>
      <c r="ELQ7" s="29"/>
      <c r="ELR7" s="388"/>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30"/>
      <c r="EMY7" s="28"/>
      <c r="EMZ7" s="29"/>
      <c r="ENA7" s="29"/>
      <c r="ENB7" s="32"/>
      <c r="ENC7" s="32"/>
      <c r="END7" s="32"/>
      <c r="ENE7" s="31"/>
      <c r="ENF7" s="32"/>
      <c r="ENG7" s="32"/>
      <c r="ENH7" s="28"/>
      <c r="ENI7" s="29"/>
      <c r="ENJ7" s="30"/>
      <c r="ENK7" s="28"/>
      <c r="ENL7" s="29"/>
      <c r="ENM7" s="29"/>
      <c r="ENN7" s="32"/>
      <c r="ENO7" s="31"/>
      <c r="ENP7" s="32"/>
      <c r="ENQ7" s="32"/>
      <c r="ENR7" s="28"/>
      <c r="ENS7" s="29"/>
      <c r="ENT7" s="30"/>
      <c r="ENU7" s="28"/>
      <c r="ENV7" s="29"/>
      <c r="ENW7" s="29"/>
      <c r="ENX7" s="32"/>
      <c r="ENY7" s="28"/>
      <c r="ENZ7" s="29"/>
      <c r="EOA7" s="29"/>
      <c r="EOB7" s="28"/>
      <c r="EOC7" s="29"/>
      <c r="EOD7" s="30"/>
      <c r="EOE7" s="28"/>
      <c r="EOF7" s="29"/>
      <c r="EOG7" s="29"/>
      <c r="EOH7" s="32"/>
      <c r="EOI7" s="28"/>
      <c r="EOJ7" s="29"/>
      <c r="EOK7" s="29"/>
      <c r="EOL7" s="28"/>
      <c r="EOM7" s="29"/>
      <c r="EON7" s="30"/>
      <c r="EOO7" s="28" t="str">
        <f t="shared" si="149"/>
        <v xml:space="preserve"> </v>
      </c>
      <c r="EOP7" s="30"/>
      <c r="EOQ7" s="29"/>
      <c r="EOR7" s="28"/>
      <c r="EOS7" s="29"/>
      <c r="EOT7" s="28"/>
      <c r="EOU7" s="28"/>
      <c r="EOV7" s="28"/>
      <c r="EOW7" s="29"/>
      <c r="EOX7" s="388"/>
      <c r="EOY7" s="29"/>
      <c r="EOZ7" s="388"/>
      <c r="EPA7" s="29"/>
      <c r="EPB7" s="388"/>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30"/>
      <c r="EQI7" s="28"/>
      <c r="EQJ7" s="29"/>
      <c r="EQK7" s="29"/>
      <c r="EQL7" s="32"/>
      <c r="EQM7" s="32"/>
      <c r="EQN7" s="32"/>
      <c r="EQO7" s="31"/>
      <c r="EQP7" s="32"/>
      <c r="EQQ7" s="32"/>
      <c r="EQR7" s="28"/>
      <c r="EQS7" s="29"/>
      <c r="EQT7" s="30"/>
      <c r="EQU7" s="28"/>
      <c r="EQV7" s="29"/>
      <c r="EQW7" s="29"/>
      <c r="EQX7" s="32"/>
      <c r="EQY7" s="31"/>
      <c r="EQZ7" s="32"/>
      <c r="ERA7" s="32"/>
      <c r="ERB7" s="28"/>
      <c r="ERC7" s="29"/>
      <c r="ERD7" s="30"/>
      <c r="ERE7" s="28"/>
      <c r="ERF7" s="29"/>
      <c r="ERG7" s="29"/>
      <c r="ERH7" s="32"/>
      <c r="ERI7" s="28"/>
      <c r="ERJ7" s="29"/>
      <c r="ERK7" s="29"/>
      <c r="ERL7" s="28"/>
      <c r="ERM7" s="29"/>
      <c r="ERN7" s="30"/>
      <c r="ERO7" s="28"/>
      <c r="ERP7" s="29"/>
      <c r="ERQ7" s="29"/>
      <c r="ERR7" s="32"/>
      <c r="ERS7" s="28"/>
      <c r="ERT7" s="29"/>
      <c r="ERU7" s="29"/>
      <c r="ERV7" s="28"/>
      <c r="ERW7" s="29"/>
      <c r="ERX7" s="30"/>
      <c r="ERY7" s="28" t="str">
        <f t="shared" si="150"/>
        <v xml:space="preserve"> </v>
      </c>
      <c r="ERZ7" s="30"/>
      <c r="ESA7" s="29"/>
      <c r="ESB7" s="28"/>
      <c r="ESC7" s="29"/>
      <c r="ESD7" s="28"/>
      <c r="ESE7" s="28"/>
      <c r="ESF7" s="28"/>
      <c r="ESG7" s="29"/>
      <c r="ESH7" s="388"/>
      <c r="ESI7" s="29"/>
      <c r="ESJ7" s="388"/>
      <c r="ESK7" s="29"/>
      <c r="ESL7" s="388"/>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30"/>
      <c r="ETS7" s="28"/>
      <c r="ETT7" s="29"/>
      <c r="ETU7" s="29"/>
      <c r="ETV7" s="32"/>
      <c r="ETW7" s="32"/>
      <c r="ETX7" s="32"/>
      <c r="ETY7" s="31"/>
      <c r="ETZ7" s="32"/>
      <c r="EUA7" s="32"/>
      <c r="EUB7" s="28"/>
      <c r="EUC7" s="29"/>
      <c r="EUD7" s="30"/>
      <c r="EUE7" s="28"/>
      <c r="EUF7" s="29"/>
      <c r="EUG7" s="29"/>
      <c r="EUH7" s="32"/>
      <c r="EUI7" s="31"/>
      <c r="EUJ7" s="32"/>
      <c r="EUK7" s="32"/>
      <c r="EUL7" s="28"/>
      <c r="EUM7" s="29"/>
      <c r="EUN7" s="30"/>
      <c r="EUO7" s="28"/>
      <c r="EUP7" s="29"/>
      <c r="EUQ7" s="29"/>
      <c r="EUR7" s="32"/>
      <c r="EUS7" s="28"/>
      <c r="EUT7" s="29"/>
      <c r="EUU7" s="29"/>
      <c r="EUV7" s="28"/>
      <c r="EUW7" s="29"/>
      <c r="EUX7" s="30"/>
      <c r="EUY7" s="28"/>
      <c r="EUZ7" s="29"/>
      <c r="EVA7" s="29"/>
      <c r="EVB7" s="32"/>
      <c r="EVC7" s="28"/>
      <c r="EVD7" s="29"/>
      <c r="EVE7" s="29"/>
      <c r="EVF7" s="28"/>
      <c r="EVG7" s="29"/>
      <c r="EVH7" s="30"/>
      <c r="EVI7" s="28" t="str">
        <f t="shared" si="151"/>
        <v xml:space="preserve"> </v>
      </c>
    </row>
    <row r="8" spans="1:3961" x14ac:dyDescent="0.3">
      <c r="A8" s="424" t="s">
        <v>122</v>
      </c>
      <c r="B8" s="58">
        <f>'REG y VAL POE - AESR - ESR'!B1055</f>
        <v>0</v>
      </c>
      <c r="C8" s="57">
        <f>'REG y VAL POE - AESR - ESR'!C1055</f>
        <v>0</v>
      </c>
      <c r="D8" s="56">
        <f>'REG y VAL POE - AESR - ESR'!D1055</f>
        <v>0</v>
      </c>
      <c r="E8" s="57">
        <f>'REG y VAL POE - AESR - ESR'!E1055</f>
        <v>0</v>
      </c>
      <c r="F8" s="56">
        <f>'REG y VAL POE - AESR - ESR'!F1055</f>
        <v>0</v>
      </c>
      <c r="G8" s="56">
        <f>'REG y VAL POE - AESR - ESR'!G1055</f>
        <v>0</v>
      </c>
      <c r="H8" s="56">
        <f>'REG y VAL POE - AESR - ESR'!H1055</f>
        <v>0</v>
      </c>
      <c r="I8" s="57">
        <f>'REG y VAL POE - AESR - ESR'!I1055</f>
        <v>0</v>
      </c>
      <c r="J8" s="415">
        <f>'REG y VAL POE - AESR - ESR'!J1055</f>
        <v>0</v>
      </c>
      <c r="K8" s="57">
        <f>'REG y VAL POE - AESR - ESR'!K1055</f>
        <v>0</v>
      </c>
      <c r="L8" s="415">
        <f>'REG y VAL POE - AESR - ESR'!L1055</f>
        <v>0</v>
      </c>
      <c r="M8" s="57">
        <f>'REG y VAL POE - AESR - ESR'!M1055</f>
        <v>0</v>
      </c>
      <c r="N8" s="415">
        <f>'REG y VAL POE - AESR - ESR'!N1055</f>
        <v>0</v>
      </c>
      <c r="O8" s="57">
        <f>'REG y VAL POE - AESR - ESR'!O1055</f>
        <v>0</v>
      </c>
      <c r="P8" s="57">
        <f>'REG y VAL POE - AESR - ESR'!P1055</f>
        <v>0</v>
      </c>
      <c r="Q8" s="57">
        <f>'REG y VAL POE - AESR - ESR'!Q1055</f>
        <v>0</v>
      </c>
      <c r="R8" s="57">
        <f>'REG y VAL POE - AESR - ESR'!R1055</f>
        <v>0</v>
      </c>
      <c r="S8" s="57">
        <f>'REG y VAL POE - AESR - ESR'!S1055</f>
        <v>0</v>
      </c>
      <c r="T8" s="57">
        <f>'REG y VAL POE - AESR - ESR'!T1055</f>
        <v>0</v>
      </c>
      <c r="U8" s="57">
        <f>'REG y VAL POE - AESR - ESR'!U1055</f>
        <v>0</v>
      </c>
      <c r="V8" s="57">
        <f>'REG y VAL POE - AESR - ESR'!V1055</f>
        <v>0</v>
      </c>
      <c r="W8" s="57">
        <f>'REG y VAL POE - AESR - ESR'!W1055</f>
        <v>0</v>
      </c>
      <c r="X8" s="57">
        <f>'REG y VAL POE - AESR - ESR'!X1055</f>
        <v>0</v>
      </c>
      <c r="Y8" s="57">
        <f>'REG y VAL POE - AESR - ESR'!Y1055</f>
        <v>0</v>
      </c>
      <c r="Z8" s="57">
        <f>'REG y VAL POE - AESR - ESR'!Z1055</f>
        <v>0</v>
      </c>
      <c r="AA8" s="57">
        <f>'REG y VAL POE - AESR - ESR'!AA1055</f>
        <v>0</v>
      </c>
      <c r="AB8" s="57">
        <f>'REG y VAL POE - AESR - ESR'!AB1055</f>
        <v>0</v>
      </c>
      <c r="AC8" s="57">
        <f>'REG y VAL POE - AESR - ESR'!AC1055</f>
        <v>0</v>
      </c>
      <c r="AD8" s="57">
        <f>'REG y VAL POE - AESR - ESR'!AD1055</f>
        <v>0</v>
      </c>
      <c r="AE8" s="57">
        <f>'REG y VAL POE - AESR - ESR'!AE1055</f>
        <v>0</v>
      </c>
      <c r="AF8" s="57">
        <f>'REG y VAL POE - AESR - ESR'!AF1055</f>
        <v>0</v>
      </c>
      <c r="AG8" s="57">
        <f>'REG y VAL POE - AESR - ESR'!AG1055</f>
        <v>0</v>
      </c>
      <c r="AH8" s="57">
        <f>'REG y VAL POE - AESR - ESR'!AH1055</f>
        <v>0</v>
      </c>
      <c r="AI8" s="57">
        <f>'REG y VAL POE - AESR - ESR'!AI1055</f>
        <v>0</v>
      </c>
      <c r="AJ8" s="57">
        <f>'REG y VAL POE - AESR - ESR'!AJ1055</f>
        <v>0</v>
      </c>
      <c r="AK8" s="57">
        <f>'REG y VAL POE - AESR - ESR'!AK1055</f>
        <v>0</v>
      </c>
      <c r="AL8" s="57">
        <f>'REG y VAL POE - AESR - ESR'!AL1055</f>
        <v>0</v>
      </c>
      <c r="AM8" s="57">
        <f>'REG y VAL POE - AESR - ESR'!AM1055</f>
        <v>0</v>
      </c>
      <c r="AN8" s="57">
        <f>'REG y VAL POE - AESR - ESR'!AN1055</f>
        <v>0</v>
      </c>
      <c r="AO8" s="57">
        <f>'REG y VAL POE - AESR - ESR'!AO1055</f>
        <v>0</v>
      </c>
      <c r="AP8" s="57">
        <f>'REG y VAL POE - AESR - ESR'!AP1055</f>
        <v>0</v>
      </c>
      <c r="AQ8" s="57">
        <f>'REG y VAL POE - AESR - ESR'!AQ1055</f>
        <v>0</v>
      </c>
      <c r="AR8" s="57">
        <f>'REG y VAL POE - AESR - ESR'!AR1055</f>
        <v>0</v>
      </c>
      <c r="AS8" s="57">
        <f>'REG y VAL POE - AESR - ESR'!AS1055</f>
        <v>0</v>
      </c>
      <c r="AT8" s="58">
        <f>'REG y VAL POE - AESR - ESR'!B1056</f>
        <v>0</v>
      </c>
      <c r="AU8" s="56">
        <f>'REG y VAL POE - AESR - ESR'!C1056</f>
        <v>0</v>
      </c>
      <c r="AV8" s="57">
        <f>'REG y VAL POE - AESR - ESR'!D1056</f>
        <v>0</v>
      </c>
      <c r="AW8" s="57">
        <f>'REG y VAL POE - AESR - ESR'!E1056</f>
        <v>0</v>
      </c>
      <c r="AX8" s="57">
        <f>'REG y VAL POE - AESR - ESR'!F1056</f>
        <v>0</v>
      </c>
      <c r="AY8" s="57">
        <f>'REG y VAL POE - AESR - ESR'!G1056</f>
        <v>0</v>
      </c>
      <c r="AZ8" s="57">
        <f>'REG y VAL POE - AESR - ESR'!H1056</f>
        <v>0</v>
      </c>
      <c r="BA8" s="56">
        <f>'REG y VAL POE - AESR - ESR'!I1056</f>
        <v>0</v>
      </c>
      <c r="BB8" s="57">
        <f>'REG y VAL POE - AESR - ESR'!J1056</f>
        <v>0</v>
      </c>
      <c r="BC8" s="57">
        <f>'REG y VAL POE - AESR - ESR'!K1056</f>
        <v>0</v>
      </c>
      <c r="BD8" s="56">
        <f>'REG y VAL POE - AESR - ESR'!L1056</f>
        <v>0</v>
      </c>
      <c r="BE8" s="57">
        <f>'REG y VAL POE - AESR - ESR'!M1056</f>
        <v>0</v>
      </c>
      <c r="BF8" s="58">
        <f>'REG y VAL POE - AESR - ESR'!N1056</f>
        <v>0</v>
      </c>
      <c r="BG8" s="56">
        <f>'REG y VAL POE - AESR - ESR'!O1056</f>
        <v>0</v>
      </c>
      <c r="BH8" s="57">
        <f>'REG y VAL POE - AESR - ESR'!P1056</f>
        <v>0</v>
      </c>
      <c r="BI8" s="57">
        <f>'REG y VAL POE - AESR - ESR'!Q1056</f>
        <v>0</v>
      </c>
      <c r="BJ8" s="57">
        <f>'REG y VAL POE - AESR - ESR'!R1056</f>
        <v>0</v>
      </c>
      <c r="BK8" s="56">
        <f>'REG y VAL POE - AESR - ESR'!S1056</f>
        <v>0</v>
      </c>
      <c r="BL8" s="57">
        <f>'REG y VAL POE - AESR - ESR'!T1056</f>
        <v>0</v>
      </c>
      <c r="BM8" s="57">
        <f>'REG y VAL POE - AESR - ESR'!U1056</f>
        <v>0</v>
      </c>
      <c r="BN8" s="56">
        <f>'REG y VAL POE - AESR - ESR'!V1056</f>
        <v>0</v>
      </c>
      <c r="BO8" s="57">
        <f>'REG y VAL POE - AESR - ESR'!W1056</f>
        <v>0</v>
      </c>
      <c r="BP8" s="58">
        <f>'REG y VAL POE - AESR - ESR'!X1056</f>
        <v>0</v>
      </c>
      <c r="BQ8" s="56">
        <f>'REG y VAL POE - AESR - ESR'!Y1056</f>
        <v>0</v>
      </c>
      <c r="BR8" s="57">
        <f>'REG y VAL POE - AESR - ESR'!Z1056</f>
        <v>0</v>
      </c>
      <c r="BS8" s="57">
        <f>'REG y VAL POE - AESR - ESR'!AA1056</f>
        <v>0</v>
      </c>
      <c r="BT8" s="57">
        <f>'REG y VAL POE - AESR - ESR'!AB1056</f>
        <v>0</v>
      </c>
      <c r="BU8" s="56">
        <f>'REG y VAL POE - AESR - ESR'!AC1056</f>
        <v>0</v>
      </c>
      <c r="BV8" s="57">
        <f>'REG y VAL POE - AESR - ESR'!AD1056</f>
        <v>0</v>
      </c>
      <c r="BW8" s="57">
        <f>'REG y VAL POE - AESR - ESR'!AE1056</f>
        <v>0</v>
      </c>
      <c r="BX8" s="56">
        <f>'REG y VAL POE - AESR - ESR'!AF1056</f>
        <v>0</v>
      </c>
      <c r="BY8" s="57">
        <f>'REG y VAL POE - AESR - ESR'!AG1056</f>
        <v>0</v>
      </c>
      <c r="BZ8" s="58">
        <f>'REG y VAL POE - AESR - ESR'!AH1056</f>
        <v>0</v>
      </c>
      <c r="CA8" s="56">
        <f>'REG y VAL POE - AESR - ESR'!AI1056</f>
        <v>0</v>
      </c>
      <c r="CB8" s="57">
        <f>'REG y VAL POE - AESR - ESR'!AJ1056</f>
        <v>0</v>
      </c>
      <c r="CC8" s="57">
        <f>'REG y VAL POE - AESR - ESR'!AK1056</f>
        <v>0</v>
      </c>
      <c r="CD8" s="57">
        <f>'REG y VAL POE - AESR - ESR'!AL1056</f>
        <v>0</v>
      </c>
      <c r="CE8" s="56">
        <f>'REG y VAL POE - AESR - ESR'!AM1056</f>
        <v>0</v>
      </c>
      <c r="CF8" s="57">
        <f>'REG y VAL POE - AESR - ESR'!AN1056</f>
        <v>0</v>
      </c>
      <c r="CG8" s="57">
        <f>'REG y VAL POE - AESR - ESR'!AO1056</f>
        <v>0</v>
      </c>
      <c r="CH8" s="56">
        <f>'REG y VAL POE - AESR - ESR'!AP1056</f>
        <v>0</v>
      </c>
      <c r="CI8" s="57">
        <f>'REG y VAL POE - AESR - ESR'!AQ1056</f>
        <v>0</v>
      </c>
      <c r="CJ8" s="58">
        <f>'REG y VAL POE - AESR - ESR'!AR1056</f>
        <v>0</v>
      </c>
      <c r="CK8" s="56">
        <f>'REG y VAL POE - AESR - ESR'!AS1056</f>
        <v>0</v>
      </c>
      <c r="CL8" s="57">
        <f>'REG y VAL POE - AESR - ESR'!B1057</f>
        <v>0</v>
      </c>
      <c r="CM8" s="57">
        <f>'REG y VAL POE - AESR - ESR'!C1057</f>
        <v>0</v>
      </c>
      <c r="CN8" s="57">
        <f>'REG y VAL POE - AESR - ESR'!D1057</f>
        <v>0</v>
      </c>
      <c r="CO8" s="56">
        <f>'REG y VAL POE - AESR - ESR'!E1057</f>
        <v>0</v>
      </c>
      <c r="CP8" s="57">
        <f>'REG y VAL POE - AESR - ESR'!F1057</f>
        <v>0</v>
      </c>
      <c r="CQ8" s="57">
        <f>'REG y VAL POE - AESR - ESR'!G1057</f>
        <v>0</v>
      </c>
      <c r="CR8" s="56">
        <f>'REG y VAL POE - AESR - ESR'!H1057</f>
        <v>0</v>
      </c>
      <c r="CS8" s="57">
        <f>'REG y VAL POE - AESR - ESR'!I1057</f>
        <v>0</v>
      </c>
      <c r="CT8" s="58">
        <f>'REG y VAL POE - AESR - ESR'!J1057</f>
        <v>0</v>
      </c>
      <c r="CU8" s="56">
        <f>'REG y VAL POE - AESR - ESR'!K1057</f>
        <v>0</v>
      </c>
      <c r="CV8" s="57">
        <f>'REG y VAL POE - AESR - ESR'!L1057</f>
        <v>0</v>
      </c>
      <c r="CW8" s="57">
        <f>'REG y VAL POE - AESR - ESR'!M1057</f>
        <v>0</v>
      </c>
      <c r="CX8" s="57">
        <f>'REG y VAL POE - AESR - ESR'!N1057</f>
        <v>0</v>
      </c>
      <c r="CY8" s="56">
        <f>'REG y VAL POE - AESR - ESR'!O1057</f>
        <v>0</v>
      </c>
      <c r="CZ8" s="57">
        <f>'REG y VAL POE - AESR - ESR'!P1057</f>
        <v>0</v>
      </c>
      <c r="DA8" s="57">
        <f>'REG y VAL POE - AESR - ESR'!Q1057</f>
        <v>0</v>
      </c>
      <c r="DB8" s="56">
        <f>'REG y VAL POE - AESR - ESR'!R1057</f>
        <v>0</v>
      </c>
      <c r="DC8" s="57">
        <f>'REG y VAL POE - AESR - ESR'!S1057</f>
        <v>0</v>
      </c>
      <c r="DD8" s="58">
        <f>'REG y VAL POE - AESR - ESR'!T1057</f>
        <v>0</v>
      </c>
      <c r="DE8" s="56">
        <f>'REG y VAL POE - AESR - ESR'!U1057</f>
        <v>0</v>
      </c>
      <c r="DF8" s="57">
        <f>'REG y VAL POE - AESR - ESR'!V1057</f>
        <v>0</v>
      </c>
      <c r="DG8" s="57">
        <f>'REG y VAL POE - AESR - ESR'!W1057</f>
        <v>0</v>
      </c>
      <c r="DH8" s="57">
        <f>'REG y VAL POE - AESR - ESR'!X1057</f>
        <v>0</v>
      </c>
      <c r="DI8" s="56">
        <f>'REG y VAL POE - AESR - ESR'!Y1057</f>
        <v>0</v>
      </c>
      <c r="DJ8" s="57">
        <f>'REG y VAL POE - AESR - ESR'!Z1057</f>
        <v>0</v>
      </c>
      <c r="DK8" s="57">
        <f>'REG y VAL POE - AESR - ESR'!AA1057</f>
        <v>0</v>
      </c>
      <c r="DL8" s="56">
        <f>'REG y VAL POE - AESR - ESR'!AB1057</f>
        <v>0</v>
      </c>
      <c r="DM8" s="57">
        <f>'REG y VAL POE - AESR - ESR'!AC1057</f>
        <v>0</v>
      </c>
      <c r="DN8" s="58">
        <f>'REG y VAL POE - AESR - ESR'!AD1057</f>
        <v>0</v>
      </c>
      <c r="DO8" s="56">
        <f>'REG y VAL POE - AESR - ESR'!AE1057</f>
        <v>0</v>
      </c>
      <c r="DP8" s="57">
        <f>'REG y VAL POE - AESR - ESR'!AF1057</f>
        <v>0</v>
      </c>
      <c r="DQ8" s="57">
        <f>'REG y VAL POE - AESR - ESR'!AG1057</f>
        <v>0</v>
      </c>
      <c r="DR8" s="57">
        <f>'REG y VAL POE - AESR - ESR'!AH1057</f>
        <v>0</v>
      </c>
      <c r="DS8" s="56">
        <f>'REG y VAL POE - AESR - ESR'!AI1057</f>
        <v>0</v>
      </c>
      <c r="DT8" s="57">
        <f>'REG y VAL POE - AESR - ESR'!AJ1057</f>
        <v>0</v>
      </c>
      <c r="DU8" s="57">
        <f>'REG y VAL POE - AESR - ESR'!AK1057</f>
        <v>0</v>
      </c>
      <c r="DV8" s="56">
        <f>'REG y VAL POE - AESR - ESR'!AL1057</f>
        <v>0</v>
      </c>
      <c r="DW8" s="57">
        <f>'REG y VAL POE - AESR - ESR'!AM1057</f>
        <v>0</v>
      </c>
      <c r="DX8" s="58">
        <f>'REG y VAL POE - AESR - ESR'!AN1057</f>
        <v>0</v>
      </c>
      <c r="DY8" s="56">
        <f>'REG y VAL POE - AESR - ESR'!AO1057</f>
        <v>0</v>
      </c>
      <c r="DZ8" s="57">
        <f>'REG y VAL POE - AESR - ESR'!AP1057</f>
        <v>0</v>
      </c>
      <c r="EA8" s="57">
        <f>'REG y VAL POE - AESR - ESR'!AQ1057</f>
        <v>0</v>
      </c>
      <c r="EB8" s="57">
        <f>'REG y VAL POE - AESR - ESR'!AR1057</f>
        <v>0</v>
      </c>
      <c r="EC8" s="56">
        <f>'REG y VAL POE - AESR - ESR'!AS1057</f>
        <v>0</v>
      </c>
      <c r="ED8" s="57">
        <f>'REG y VAL POE - AESR - ESR'!B1058</f>
        <v>0</v>
      </c>
      <c r="EE8" s="56">
        <f>'REG y VAL POE - AESR - ESR'!C1058</f>
        <v>0</v>
      </c>
      <c r="EF8" s="56">
        <f>'REG y VAL POE - AESR - ESR'!D1058</f>
        <v>0</v>
      </c>
      <c r="EG8" s="57">
        <f>'REG y VAL POE - AESR - ESR'!E1058</f>
        <v>0</v>
      </c>
      <c r="EH8" s="58">
        <f>'REG y VAL POE - AESR - ESR'!F1058</f>
        <v>0</v>
      </c>
      <c r="EI8" s="56">
        <f>'REG y VAL POE - AESR - ESR'!G1058</f>
        <v>0</v>
      </c>
      <c r="EJ8" s="57">
        <f>'REG y VAL POE - AESR - ESR'!H1058</f>
        <v>0</v>
      </c>
      <c r="EK8" s="57">
        <f>'REG y VAL POE - AESR - ESR'!I1058</f>
        <v>0</v>
      </c>
      <c r="EL8" s="57">
        <f>'REG y VAL POE - AESR - ESR'!J1058</f>
        <v>0</v>
      </c>
      <c r="EM8" s="56">
        <f>'REG y VAL POE - AESR - ESR'!K1058</f>
        <v>0</v>
      </c>
      <c r="EN8" s="57">
        <f>'REG y VAL POE - AESR - ESR'!L1058</f>
        <v>0</v>
      </c>
      <c r="EO8" s="57">
        <f>'REG y VAL POE - AESR - ESR'!M1058</f>
        <v>0</v>
      </c>
      <c r="EP8" s="56">
        <f>'REG y VAL POE - AESR - ESR'!N1058</f>
        <v>0</v>
      </c>
      <c r="EQ8" s="57">
        <f>'REG y VAL POE - AESR - ESR'!O1058</f>
        <v>0</v>
      </c>
      <c r="ER8" s="58">
        <f>'REG y VAL POE - AESR - ESR'!P1058</f>
        <v>0</v>
      </c>
      <c r="ES8" s="56">
        <f>'REG y VAL POE - AESR - ESR'!Q1058</f>
        <v>0</v>
      </c>
      <c r="ET8" s="57">
        <f>'REG y VAL POE - AESR - ESR'!R1058</f>
        <v>0</v>
      </c>
      <c r="EU8" s="57">
        <f>'REG y VAL POE - AESR - ESR'!S1058</f>
        <v>0</v>
      </c>
      <c r="EV8" s="57">
        <f>'REG y VAL POE - AESR - ESR'!T1058</f>
        <v>0</v>
      </c>
      <c r="EW8" s="56">
        <f>'REG y VAL POE - AESR - ESR'!U1058</f>
        <v>0</v>
      </c>
      <c r="EX8" s="57">
        <f>'REG y VAL POE - AESR - ESR'!V1058</f>
        <v>0</v>
      </c>
      <c r="EY8" s="57">
        <f>'REG y VAL POE - AESR - ESR'!W1058</f>
        <v>0</v>
      </c>
      <c r="EZ8" s="56">
        <f>'REG y VAL POE - AESR - ESR'!X1058</f>
        <v>0</v>
      </c>
      <c r="FA8" s="57">
        <f>'REG y VAL POE - AESR - ESR'!Y1058</f>
        <v>0</v>
      </c>
      <c r="FB8" s="58">
        <f>'REG y VAL POE - AESR - ESR'!Z1058</f>
        <v>0</v>
      </c>
      <c r="FC8" s="56">
        <f>'REG y VAL POE - AESR - ESR'!AA1058</f>
        <v>0</v>
      </c>
      <c r="FD8" s="57">
        <f>'REG y VAL POE - AESR - ESR'!AB1058</f>
        <v>0</v>
      </c>
      <c r="FE8" s="57">
        <f>'REG y VAL POE - AESR - ESR'!AC1058</f>
        <v>0</v>
      </c>
      <c r="FF8" s="57">
        <f>'REG y VAL POE - AESR - ESR'!AD1058</f>
        <v>0</v>
      </c>
      <c r="FG8" s="56">
        <f>'REG y VAL POE - AESR - ESR'!AE1058</f>
        <v>0</v>
      </c>
      <c r="FH8" s="57">
        <f>'REG y VAL POE - AESR - ESR'!AF1058</f>
        <v>0</v>
      </c>
      <c r="FI8" s="57">
        <f>'REG y VAL POE - AESR - ESR'!AG1058</f>
        <v>0</v>
      </c>
      <c r="FJ8" s="56">
        <f>'REG y VAL POE - AESR - ESR'!AH1058</f>
        <v>0</v>
      </c>
      <c r="FK8" s="57">
        <f>'REG y VAL POE - AESR - ESR'!AI1058</f>
        <v>0</v>
      </c>
      <c r="FL8" s="58">
        <f>'REG y VAL POE - AESR - ESR'!AJ1058</f>
        <v>0</v>
      </c>
      <c r="FM8" s="56">
        <f>'REG y VAL POE - AESR - ESR'!AK1058</f>
        <v>0</v>
      </c>
      <c r="FN8" s="57">
        <f>'REG y VAL POE - AESR - ESR'!AL1058</f>
        <v>0</v>
      </c>
      <c r="FO8" s="57">
        <f>'REG y VAL POE - AESR - ESR'!AM1058</f>
        <v>0</v>
      </c>
      <c r="FP8" s="57">
        <f>'REG y VAL POE - AESR - ESR'!AN1058</f>
        <v>0</v>
      </c>
      <c r="FQ8" s="56">
        <f>'REG y VAL POE - AESR - ESR'!AO1058</f>
        <v>0</v>
      </c>
      <c r="FR8" s="57">
        <f>'REG y VAL POE - AESR - ESR'!AP1058</f>
        <v>0</v>
      </c>
      <c r="FS8" s="57">
        <f>'REG y VAL POE - AESR - ESR'!AQ1058</f>
        <v>0</v>
      </c>
      <c r="FT8" s="56">
        <f>'REG y VAL POE - AESR - ESR'!AR1058</f>
        <v>0</v>
      </c>
      <c r="FU8" s="57">
        <f>'REG y VAL POE - AESR - ESR'!AS1058</f>
        <v>0</v>
      </c>
      <c r="FV8" s="58">
        <f>'REG y VAL POE - AESR - ESR'!B1059</f>
        <v>0</v>
      </c>
      <c r="FW8" s="56">
        <f>'REG y VAL POE - AESR - ESR'!C1059</f>
        <v>0</v>
      </c>
      <c r="FX8" s="57">
        <f>'REG y VAL POE - AESR - ESR'!D1059</f>
        <v>0</v>
      </c>
      <c r="FY8" s="57">
        <f>'REG y VAL POE - AESR - ESR'!E1059</f>
        <v>0</v>
      </c>
      <c r="FZ8" s="57">
        <f>'REG y VAL POE - AESR - ESR'!F1059</f>
        <v>0</v>
      </c>
      <c r="GA8" s="56">
        <f>'REG y VAL POE - AESR - ESR'!G1059</f>
        <v>0</v>
      </c>
      <c r="GB8" s="57">
        <f>'REG y VAL POE - AESR - ESR'!H1059</f>
        <v>0</v>
      </c>
      <c r="GC8" s="57">
        <f>'REG y VAL POE - AESR - ESR'!I1059</f>
        <v>0</v>
      </c>
      <c r="GD8" s="56">
        <f>'REG y VAL POE - AESR - ESR'!J1059</f>
        <v>0</v>
      </c>
      <c r="GE8" s="57">
        <f>'REG y VAL POE - AESR - ESR'!K1059</f>
        <v>0</v>
      </c>
      <c r="GF8" s="58">
        <f>'REG y VAL POE - AESR - ESR'!L1059</f>
        <v>0</v>
      </c>
      <c r="GG8" s="56">
        <f>'REG y VAL POE - AESR - ESR'!M1059</f>
        <v>0</v>
      </c>
      <c r="GH8" s="57">
        <f>'REG y VAL POE - AESR - ESR'!N1059</f>
        <v>0</v>
      </c>
      <c r="GI8" s="57">
        <f>'REG y VAL POE - AESR - ESR'!O1059</f>
        <v>0</v>
      </c>
      <c r="GJ8" s="57">
        <f>'REG y VAL POE - AESR - ESR'!P1059</f>
        <v>0</v>
      </c>
      <c r="GK8" s="56">
        <f>'REG y VAL POE - AESR - ESR'!Q1059</f>
        <v>0</v>
      </c>
      <c r="GL8" s="57">
        <f>'REG y VAL POE - AESR - ESR'!R1059</f>
        <v>0</v>
      </c>
      <c r="GM8" s="57">
        <f>'REG y VAL POE - AESR - ESR'!S1059</f>
        <v>0</v>
      </c>
      <c r="GN8" s="56">
        <f>'REG y VAL POE - AESR - ESR'!T1059</f>
        <v>0</v>
      </c>
      <c r="GO8" s="57">
        <f>'REG y VAL POE - AESR - ESR'!U1059</f>
        <v>0</v>
      </c>
      <c r="GP8" s="58">
        <f>'REG y VAL POE - AESR - ESR'!V1059</f>
        <v>0</v>
      </c>
      <c r="GQ8" s="56">
        <f>'REG y VAL POE - AESR - ESR'!W1059</f>
        <v>0</v>
      </c>
      <c r="GR8" s="57">
        <f>'REG y VAL POE - AESR - ESR'!X1059</f>
        <v>0</v>
      </c>
      <c r="GS8" s="57">
        <f>'REG y VAL POE - AESR - ESR'!Y1059</f>
        <v>0</v>
      </c>
      <c r="GT8" s="57">
        <f>'REG y VAL POE - AESR - ESR'!Z1059</f>
        <v>0</v>
      </c>
      <c r="GU8" s="56">
        <f>'REG y VAL POE - AESR - ESR'!AA1059</f>
        <v>0</v>
      </c>
      <c r="GV8" s="57">
        <f>'REG y VAL POE - AESR - ESR'!AB1059</f>
        <v>0</v>
      </c>
      <c r="GW8" s="57">
        <f>'REG y VAL POE - AESR - ESR'!AC1059</f>
        <v>0</v>
      </c>
      <c r="GX8" s="56">
        <f>'REG y VAL POE - AESR - ESR'!AD1059</f>
        <v>0</v>
      </c>
      <c r="GY8" s="57">
        <f>'REG y VAL POE - AESR - ESR'!AE1059</f>
        <v>0</v>
      </c>
      <c r="GZ8" s="58">
        <f>'REG y VAL POE - AESR - ESR'!AF1059</f>
        <v>0</v>
      </c>
      <c r="HA8" s="56">
        <f>'REG y VAL POE - AESR - ESR'!AG1059</f>
        <v>0</v>
      </c>
      <c r="HB8" s="57">
        <f>'REG y VAL POE - AESR - ESR'!AH1059</f>
        <v>0</v>
      </c>
      <c r="HC8" s="57">
        <f>'REG y VAL POE - AESR - ESR'!AI1059</f>
        <v>0</v>
      </c>
      <c r="HD8" s="57">
        <f>'REG y VAL POE - AESR - ESR'!AJ1059</f>
        <v>0</v>
      </c>
      <c r="HE8" s="56">
        <f>'REG y VAL POE - AESR - ESR'!AK1059</f>
        <v>0</v>
      </c>
      <c r="HF8" s="57">
        <f>'REG y VAL POE - AESR - ESR'!AL1059</f>
        <v>0</v>
      </c>
      <c r="HG8" s="57">
        <f>'REG y VAL POE - AESR - ESR'!AM1059</f>
        <v>0</v>
      </c>
      <c r="HH8" s="56">
        <f>'REG y VAL POE - AESR - ESR'!AN1059</f>
        <v>0</v>
      </c>
      <c r="HI8" s="57">
        <f>'REG y VAL POE - AESR - ESR'!AO1059</f>
        <v>0</v>
      </c>
      <c r="HJ8" s="58">
        <f>'REG y VAL POE - AESR - ESR'!AP1059</f>
        <v>0</v>
      </c>
      <c r="HK8" s="56">
        <f>'REG y VAL POE - AESR - ESR'!AQ1059</f>
        <v>0</v>
      </c>
      <c r="HL8" s="57">
        <f>'REG y VAL POE - AESR - ESR'!AR1059</f>
        <v>0</v>
      </c>
      <c r="HM8" s="57">
        <f>'REG y VAL POE - AESR - ESR'!AS1059</f>
        <v>0</v>
      </c>
      <c r="HN8" s="57">
        <f>'REG y VAL POE - AESR - ESR'!B1060</f>
        <v>0</v>
      </c>
      <c r="HO8" s="56">
        <f>'REG y VAL POE - AESR - ESR'!C1060</f>
        <v>0</v>
      </c>
      <c r="HP8" s="57">
        <f>'REG y VAL POE - AESR - ESR'!D1060</f>
        <v>0</v>
      </c>
      <c r="HQ8" s="57">
        <f>'REG y VAL POE - AESR - ESR'!E1060</f>
        <v>0</v>
      </c>
      <c r="HR8" s="56">
        <f>'REG y VAL POE - AESR - ESR'!F1060</f>
        <v>0</v>
      </c>
      <c r="HS8" s="57">
        <f>'REG y VAL POE - AESR - ESR'!G1060</f>
        <v>0</v>
      </c>
      <c r="HT8" s="58">
        <f>'REG y VAL POE - AESR - ESR'!H1060</f>
        <v>0</v>
      </c>
      <c r="HU8" s="56">
        <f>'REG y VAL POE - AESR - ESR'!I1060</f>
        <v>0</v>
      </c>
      <c r="HV8" s="57">
        <f>'REG y VAL POE - AESR - ESR'!J1060</f>
        <v>0</v>
      </c>
      <c r="HW8" s="57">
        <f>'REG y VAL POE - AESR - ESR'!K1060</f>
        <v>0</v>
      </c>
      <c r="HX8" s="57">
        <f>'REG y VAL POE - AESR - ESR'!L1060</f>
        <v>0</v>
      </c>
      <c r="HY8" s="56">
        <f>'REG y VAL POE - AESR - ESR'!M1060</f>
        <v>0</v>
      </c>
      <c r="HZ8" s="57">
        <f>'REG y VAL POE - AESR - ESR'!N1060</f>
        <v>0</v>
      </c>
      <c r="IA8" s="57">
        <f>'REG y VAL POE - AESR - ESR'!O1060</f>
        <v>0</v>
      </c>
      <c r="IB8" s="56">
        <f>'REG y VAL POE - AESR - ESR'!P1060</f>
        <v>0</v>
      </c>
      <c r="IC8" s="57">
        <f>'REG y VAL POE - AESR - ESR'!Q1060</f>
        <v>0</v>
      </c>
      <c r="ID8" s="58">
        <f>'REG y VAL POE - AESR - ESR'!R1060</f>
        <v>0</v>
      </c>
      <c r="IE8" s="56">
        <f>'REG y VAL POE - AESR - ESR'!S1060</f>
        <v>0</v>
      </c>
      <c r="IF8" s="57">
        <f>'REG y VAL POE - AESR - ESR'!T1060</f>
        <v>0</v>
      </c>
      <c r="IG8" s="57">
        <f>'REG y VAL POE - AESR - ESR'!U1060</f>
        <v>0</v>
      </c>
      <c r="IH8" s="57">
        <f>'REG y VAL POE - AESR - ESR'!V1060</f>
        <v>0</v>
      </c>
      <c r="II8" s="56">
        <f>'REG y VAL POE - AESR - ESR'!W1060</f>
        <v>0</v>
      </c>
      <c r="IJ8" s="57">
        <f>'REG y VAL POE - AESR - ESR'!X1060</f>
        <v>0</v>
      </c>
      <c r="IK8" s="57">
        <f>'REG y VAL POE - AESR - ESR'!Y1060</f>
        <v>0</v>
      </c>
      <c r="IL8" s="56">
        <f>'REG y VAL POE - AESR - ESR'!Z1060</f>
        <v>0</v>
      </c>
      <c r="IM8" s="57">
        <f>'REG y VAL POE - AESR - ESR'!AA1060</f>
        <v>0</v>
      </c>
      <c r="IN8" s="58">
        <f>'REG y VAL POE - AESR - ESR'!AB1060</f>
        <v>0</v>
      </c>
      <c r="IO8" s="56">
        <f>'REG y VAL POE - AESR - ESR'!AC1060</f>
        <v>0</v>
      </c>
      <c r="IP8" s="57">
        <f>'REG y VAL POE - AESR - ESR'!AD1060</f>
        <v>0</v>
      </c>
      <c r="IQ8" s="57">
        <f>'REG y VAL POE - AESR - ESR'!AE1060</f>
        <v>0</v>
      </c>
      <c r="IR8" s="57">
        <f>'REG y VAL POE - AESR - ESR'!AF1060</f>
        <v>0</v>
      </c>
      <c r="IS8" s="56">
        <f>'REG y VAL POE - AESR - ESR'!AG1060</f>
        <v>0</v>
      </c>
      <c r="IT8" s="57">
        <f>'REG y VAL POE - AESR - ESR'!AH1060</f>
        <v>0</v>
      </c>
      <c r="IU8" s="57">
        <f>'REG y VAL POE - AESR - ESR'!AI1060</f>
        <v>0</v>
      </c>
      <c r="IV8" s="56">
        <f>'REG y VAL POE - AESR - ESR'!AJ1060</f>
        <v>0</v>
      </c>
      <c r="IW8" s="57">
        <f>'REG y VAL POE - AESR - ESR'!AK1060</f>
        <v>0</v>
      </c>
      <c r="IX8" s="58">
        <f>'REG y VAL POE - AESR - ESR'!AL1060</f>
        <v>0</v>
      </c>
      <c r="IY8" s="56">
        <f>'REG y VAL POE - AESR - ESR'!AM1060</f>
        <v>0</v>
      </c>
      <c r="IZ8" s="57">
        <f>'REG y VAL POE - AESR - ESR'!AN1060</f>
        <v>0</v>
      </c>
      <c r="JA8" s="57">
        <f>'REG y VAL POE - AESR - ESR'!AO1060</f>
        <v>0</v>
      </c>
      <c r="JB8" s="57">
        <f>'REG y VAL POE - AESR - ESR'!AP1060</f>
        <v>0</v>
      </c>
      <c r="JC8" s="56">
        <f>'REG y VAL POE - AESR - ESR'!AQ1060</f>
        <v>0</v>
      </c>
      <c r="JD8" s="57">
        <f>'REG y VAL POE - AESR - ESR'!AR1060</f>
        <v>0</v>
      </c>
      <c r="JE8" s="57">
        <f>'REG y VAL POE - AESR - ESR'!AS1060</f>
        <v>0</v>
      </c>
      <c r="JF8" s="56">
        <f>'REG y VAL POE - AESR - ESR'!B1061</f>
        <v>0</v>
      </c>
      <c r="JG8" s="57">
        <f>'REG y VAL POE - AESR - ESR'!C1061</f>
        <v>0</v>
      </c>
      <c r="JH8" s="58">
        <f>'REG y VAL POE - AESR - ESR'!D1061</f>
        <v>0</v>
      </c>
      <c r="JI8" s="56">
        <f>'REG y VAL POE - AESR - ESR'!E1061</f>
        <v>0</v>
      </c>
      <c r="JJ8" s="57">
        <f>'REG y VAL POE - AESR - ESR'!F1061</f>
        <v>0</v>
      </c>
      <c r="JK8" s="57">
        <f>'REG y VAL POE - AESR - ESR'!G1061</f>
        <v>0</v>
      </c>
      <c r="JL8" s="57">
        <f>'REG y VAL POE - AESR - ESR'!H1061</f>
        <v>0</v>
      </c>
      <c r="JM8" s="56">
        <f>'REG y VAL POE - AESR - ESR'!I1061</f>
        <v>0</v>
      </c>
      <c r="JN8" s="57">
        <f>'REG y VAL POE - AESR - ESR'!J1061</f>
        <v>0</v>
      </c>
      <c r="JO8" s="57">
        <f>'REG y VAL POE - AESR - ESR'!K1061</f>
        <v>0</v>
      </c>
      <c r="JP8" s="56">
        <f>'REG y VAL POE - AESR - ESR'!L1061</f>
        <v>0</v>
      </c>
      <c r="JQ8" s="57">
        <f>'REG y VAL POE - AESR - ESR'!M1061</f>
        <v>0</v>
      </c>
      <c r="JR8" s="58">
        <f>'REG y VAL POE - AESR - ESR'!N1061</f>
        <v>0</v>
      </c>
      <c r="JS8" s="56">
        <f>'REG y VAL POE - AESR - ESR'!O1061</f>
        <v>0</v>
      </c>
      <c r="JT8" s="57">
        <f>'REG y VAL POE - AESR - ESR'!P1061</f>
        <v>0</v>
      </c>
      <c r="JU8" s="57">
        <f>'REG y VAL POE - AESR - ESR'!Q1061</f>
        <v>0</v>
      </c>
      <c r="JV8" s="57">
        <f>'REG y VAL POE - AESR - ESR'!R1061</f>
        <v>0</v>
      </c>
      <c r="JW8" s="56">
        <f>'REG y VAL POE - AESR - ESR'!S1061</f>
        <v>0</v>
      </c>
      <c r="JX8" s="57">
        <f>'REG y VAL POE - AESR - ESR'!T1061</f>
        <v>0</v>
      </c>
      <c r="JY8" s="57">
        <f>'REG y VAL POE - AESR - ESR'!U1061</f>
        <v>0</v>
      </c>
      <c r="JZ8" s="56">
        <f>'REG y VAL POE - AESR - ESR'!V1061</f>
        <v>0</v>
      </c>
      <c r="KA8" s="57">
        <f>'REG y VAL POE - AESR - ESR'!W1061</f>
        <v>0</v>
      </c>
      <c r="KB8" s="58">
        <f>'REG y VAL POE - AESR - ESR'!X1061</f>
        <v>0</v>
      </c>
      <c r="KC8" s="56">
        <f>'REG y VAL POE - AESR - ESR'!Y1061</f>
        <v>0</v>
      </c>
      <c r="KD8" s="57">
        <f>'REG y VAL POE - AESR - ESR'!Z1061</f>
        <v>0</v>
      </c>
      <c r="KE8" s="57">
        <f>'REG y VAL POE - AESR - ESR'!AA1061</f>
        <v>0</v>
      </c>
      <c r="KF8" s="57">
        <f>'REG y VAL POE - AESR - ESR'!AB1061</f>
        <v>0</v>
      </c>
      <c r="KG8" s="56">
        <f>'REG y VAL POE - AESR - ESR'!AC1061</f>
        <v>0</v>
      </c>
      <c r="KH8" s="57">
        <f>'REG y VAL POE - AESR - ESR'!AD1061</f>
        <v>0</v>
      </c>
      <c r="KI8" s="57">
        <f>'REG y VAL POE - AESR - ESR'!AE1061</f>
        <v>0</v>
      </c>
      <c r="KJ8" s="56">
        <f>'REG y VAL POE - AESR - ESR'!AF1061</f>
        <v>0</v>
      </c>
      <c r="KK8" s="57">
        <f>'REG y VAL POE - AESR - ESR'!AG1061</f>
        <v>0</v>
      </c>
      <c r="KL8" s="58">
        <f>'REG y VAL POE - AESR - ESR'!AH1061</f>
        <v>0</v>
      </c>
      <c r="KM8" s="56">
        <f>'REG y VAL POE - AESR - ESR'!AI1061</f>
        <v>0</v>
      </c>
      <c r="KN8" s="57">
        <f>'REG y VAL POE - AESR - ESR'!AJ1061</f>
        <v>0</v>
      </c>
      <c r="KO8" s="57">
        <f>'REG y VAL POE - AESR - ESR'!AK1061</f>
        <v>0</v>
      </c>
      <c r="KP8" s="57">
        <f>'REG y VAL POE - AESR - ESR'!AL1061</f>
        <v>0</v>
      </c>
      <c r="KQ8" s="56">
        <f>'REG y VAL POE - AESR - ESR'!AM1061</f>
        <v>0</v>
      </c>
      <c r="KR8" s="57">
        <f>'REG y VAL POE - AESR - ESR'!AN1061</f>
        <v>0</v>
      </c>
      <c r="KS8" s="57">
        <f>'REG y VAL POE - AESR - ESR'!AO1061</f>
        <v>0</v>
      </c>
      <c r="KT8" s="56">
        <f>'REG y VAL POE - AESR - ESR'!AP1061</f>
        <v>0</v>
      </c>
      <c r="KU8" s="57">
        <f>'REG y VAL POE - AESR - ESR'!AQ1061</f>
        <v>0</v>
      </c>
      <c r="KV8" s="58">
        <f>'REG y VAL POE - AESR - ESR'!AR1061</f>
        <v>0</v>
      </c>
      <c r="KW8" s="56">
        <f>'REG y VAL POE - AESR - ESR'!AS1061</f>
        <v>0</v>
      </c>
      <c r="KX8" s="57">
        <f>'REG y VAL POE - AESR - ESR'!B1062</f>
        <v>0</v>
      </c>
      <c r="KY8" s="57">
        <f>'REG y VAL POE - AESR - ESR'!C1062</f>
        <v>0</v>
      </c>
      <c r="KZ8" s="57">
        <f>'REG y VAL POE - AESR - ESR'!D1062</f>
        <v>0</v>
      </c>
      <c r="LA8" s="56">
        <f>'REG y VAL POE - AESR - ESR'!E1062</f>
        <v>0</v>
      </c>
      <c r="LB8" s="57">
        <f>'REG y VAL POE - AESR - ESR'!F1062</f>
        <v>0</v>
      </c>
      <c r="LC8" s="57">
        <f>'REG y VAL POE - AESR - ESR'!G1062</f>
        <v>0</v>
      </c>
      <c r="LD8" s="56">
        <f>'REG y VAL POE - AESR - ESR'!H1062</f>
        <v>0</v>
      </c>
      <c r="LE8" s="57">
        <f>'REG y VAL POE - AESR - ESR'!I1062</f>
        <v>0</v>
      </c>
      <c r="LF8" s="58">
        <f>'REG y VAL POE - AESR - ESR'!J1062</f>
        <v>0</v>
      </c>
      <c r="LG8" s="56">
        <f>'REG y VAL POE - AESR - ESR'!K1062</f>
        <v>0</v>
      </c>
      <c r="LH8" s="57">
        <f>'REG y VAL POE - AESR - ESR'!L1062</f>
        <v>0</v>
      </c>
      <c r="LI8" s="57">
        <f>'REG y VAL POE - AESR - ESR'!M1062</f>
        <v>0</v>
      </c>
      <c r="LJ8" s="57">
        <f>'REG y VAL POE - AESR - ESR'!N1062</f>
        <v>0</v>
      </c>
      <c r="LK8" s="56">
        <f>'REG y VAL POE - AESR - ESR'!O1062</f>
        <v>0</v>
      </c>
      <c r="LL8" s="57">
        <f>'REG y VAL POE - AESR - ESR'!P1062</f>
        <v>0</v>
      </c>
      <c r="LM8" s="57">
        <f>'REG y VAL POE - AESR - ESR'!Q1062</f>
        <v>0</v>
      </c>
      <c r="LN8" s="56">
        <f>'REG y VAL POE - AESR - ESR'!R1062</f>
        <v>0</v>
      </c>
      <c r="LO8" s="57">
        <f>'REG y VAL POE - AESR - ESR'!S1062</f>
        <v>0</v>
      </c>
      <c r="LP8" s="58">
        <f>'REG y VAL POE - AESR - ESR'!T1062</f>
        <v>0</v>
      </c>
      <c r="LQ8" s="56">
        <f>'REG y VAL POE - AESR - ESR'!U1062</f>
        <v>0</v>
      </c>
      <c r="LR8" s="57">
        <f>'REG y VAL POE - AESR - ESR'!V1062</f>
        <v>0</v>
      </c>
      <c r="LS8" s="57">
        <f>'REG y VAL POE - AESR - ESR'!W1062</f>
        <v>0</v>
      </c>
      <c r="LT8" s="57">
        <f>'REG y VAL POE - AESR - ESR'!X1062</f>
        <v>0</v>
      </c>
      <c r="LU8" s="56">
        <f>'REG y VAL POE - AESR - ESR'!Y1062</f>
        <v>0</v>
      </c>
      <c r="LV8" s="57">
        <f>'REG y VAL POE - AESR - ESR'!Z1062</f>
        <v>0</v>
      </c>
      <c r="LW8" s="57">
        <f>'REG y VAL POE - AESR - ESR'!AA1062</f>
        <v>0</v>
      </c>
      <c r="LX8" s="56">
        <f>'REG y VAL POE - AESR - ESR'!AB1062</f>
        <v>0</v>
      </c>
      <c r="LY8" s="57">
        <f>'REG y VAL POE - AESR - ESR'!AC1062</f>
        <v>0</v>
      </c>
      <c r="LZ8" s="58">
        <f>'REG y VAL POE - AESR - ESR'!AD1062</f>
        <v>0</v>
      </c>
      <c r="MA8" s="56">
        <f>'REG y VAL POE - AESR - ESR'!AE1062</f>
        <v>0</v>
      </c>
      <c r="MB8" s="57">
        <f>'REG y VAL POE - AESR - ESR'!AF1062</f>
        <v>0</v>
      </c>
      <c r="MC8" s="57">
        <f>'REG y VAL POE - AESR - ESR'!AG1062</f>
        <v>0</v>
      </c>
      <c r="MD8" s="57">
        <f>'REG y VAL POE - AESR - ESR'!AH1062</f>
        <v>0</v>
      </c>
      <c r="ME8" s="56">
        <f>'REG y VAL POE - AESR - ESR'!AI1062</f>
        <v>0</v>
      </c>
      <c r="MF8" s="57">
        <f>'REG y VAL POE - AESR - ESR'!AJ1062</f>
        <v>0</v>
      </c>
      <c r="MG8" s="57">
        <f>'REG y VAL POE - AESR - ESR'!AK1062</f>
        <v>0</v>
      </c>
      <c r="MH8" s="56">
        <f>'REG y VAL POE - AESR - ESR'!AL1062</f>
        <v>0</v>
      </c>
      <c r="MI8" s="57">
        <f>'REG y VAL POE - AESR - ESR'!AM1062</f>
        <v>0</v>
      </c>
      <c r="MJ8" s="58">
        <f>'REG y VAL POE - AESR - ESR'!AN1062</f>
        <v>0</v>
      </c>
      <c r="MK8" s="56">
        <f>'REG y VAL POE - AESR - ESR'!AO1062</f>
        <v>0</v>
      </c>
      <c r="ML8" s="57">
        <f>'REG y VAL POE - AESR - ESR'!AP1062</f>
        <v>0</v>
      </c>
      <c r="MM8" s="57">
        <f>'REG y VAL POE - AESR - ESR'!AQ1062</f>
        <v>0</v>
      </c>
      <c r="MN8" s="57">
        <f>'REG y VAL POE - AESR - ESR'!AR1062</f>
        <v>0</v>
      </c>
      <c r="MO8" s="56">
        <f>'REG y VAL POE - AESR - ESR'!AS1062</f>
        <v>0</v>
      </c>
      <c r="MP8" s="57">
        <f>'REG y VAL POE - AESR - ESR'!B1063</f>
        <v>0</v>
      </c>
      <c r="MQ8" s="57">
        <f>'REG y VAL POE - AESR - ESR'!C1063</f>
        <v>0</v>
      </c>
      <c r="MR8" s="56">
        <f>'REG y VAL POE - AESR - ESR'!D1063</f>
        <v>0</v>
      </c>
      <c r="MS8" s="57">
        <f>'REG y VAL POE - AESR - ESR'!E1063</f>
        <v>0</v>
      </c>
      <c r="MT8" s="58">
        <f>'REG y VAL POE - AESR - ESR'!F1063</f>
        <v>0</v>
      </c>
      <c r="MU8" s="56">
        <f>'REG y VAL POE - AESR - ESR'!G1063</f>
        <v>0</v>
      </c>
      <c r="MV8" s="57">
        <f>'REG y VAL POE - AESR - ESR'!H1063</f>
        <v>0</v>
      </c>
      <c r="MW8" s="57">
        <f>'REG y VAL POE - AESR - ESR'!I1063</f>
        <v>0</v>
      </c>
      <c r="MX8" s="57">
        <f>'REG y VAL POE - AESR - ESR'!J1063</f>
        <v>0</v>
      </c>
      <c r="MY8" s="56">
        <f>'REG y VAL POE - AESR - ESR'!K1063</f>
        <v>0</v>
      </c>
      <c r="MZ8" s="57">
        <f>'REG y VAL POE - AESR - ESR'!L1063</f>
        <v>0</v>
      </c>
      <c r="NA8" s="57">
        <f>'REG y VAL POE - AESR - ESR'!M1063</f>
        <v>0</v>
      </c>
      <c r="NB8" s="56">
        <f>'REG y VAL POE - AESR - ESR'!N1063</f>
        <v>0</v>
      </c>
      <c r="NC8" s="57">
        <f>'REG y VAL POE - AESR - ESR'!O1063</f>
        <v>0</v>
      </c>
      <c r="ND8" s="58">
        <f>'REG y VAL POE - AESR - ESR'!P1063</f>
        <v>0</v>
      </c>
      <c r="NE8" s="56">
        <f>'REG y VAL POE - AESR - ESR'!Q1063</f>
        <v>0</v>
      </c>
      <c r="NF8" s="57">
        <f>'REG y VAL POE - AESR - ESR'!R1063</f>
        <v>0</v>
      </c>
      <c r="NG8" s="57">
        <f>'REG y VAL POE - AESR - ESR'!S1063</f>
        <v>0</v>
      </c>
      <c r="NH8" s="57">
        <f>'REG y VAL POE - AESR - ESR'!T1063</f>
        <v>0</v>
      </c>
      <c r="NI8" s="56">
        <f>'REG y VAL POE - AESR - ESR'!U1063</f>
        <v>0</v>
      </c>
      <c r="NJ8" s="57">
        <f>'REG y VAL POE - AESR - ESR'!V1063</f>
        <v>0</v>
      </c>
      <c r="NK8" s="57">
        <f>'REG y VAL POE - AESR - ESR'!W1063</f>
        <v>0</v>
      </c>
      <c r="NL8" s="56">
        <f>'REG y VAL POE - AESR - ESR'!X1063</f>
        <v>0</v>
      </c>
      <c r="NM8" s="57">
        <f>'REG y VAL POE - AESR - ESR'!Y1063</f>
        <v>0</v>
      </c>
      <c r="NN8" s="58">
        <f>'REG y VAL POE - AESR - ESR'!Z1063</f>
        <v>0</v>
      </c>
      <c r="NO8" s="56">
        <f>'REG y VAL POE - AESR - ESR'!AA1063</f>
        <v>0</v>
      </c>
      <c r="NP8" s="57">
        <f>'REG y VAL POE - AESR - ESR'!AB1063</f>
        <v>0</v>
      </c>
      <c r="NQ8" s="57">
        <f>'REG y VAL POE - AESR - ESR'!AC1063</f>
        <v>0</v>
      </c>
      <c r="NR8" s="57">
        <f>'REG y VAL POE - AESR - ESR'!AD1063</f>
        <v>0</v>
      </c>
      <c r="NS8" s="56">
        <f>'REG y VAL POE - AESR - ESR'!AE1063</f>
        <v>0</v>
      </c>
      <c r="NT8" s="57">
        <f>'REG y VAL POE - AESR - ESR'!AF1063</f>
        <v>0</v>
      </c>
      <c r="NU8" s="57">
        <f>'REG y VAL POE - AESR - ESR'!AG1063</f>
        <v>0</v>
      </c>
      <c r="NV8" s="56">
        <f>'REG y VAL POE - AESR - ESR'!AH1063</f>
        <v>0</v>
      </c>
      <c r="NW8" s="57">
        <f>'REG y VAL POE - AESR - ESR'!AI1063</f>
        <v>0</v>
      </c>
      <c r="NX8" s="58">
        <f>'REG y VAL POE - AESR - ESR'!AJ1063</f>
        <v>0</v>
      </c>
      <c r="NY8" s="56">
        <f>'REG y VAL POE - AESR - ESR'!AK1063</f>
        <v>0</v>
      </c>
      <c r="NZ8" s="57">
        <f>'REG y VAL POE - AESR - ESR'!AL1063</f>
        <v>0</v>
      </c>
      <c r="OA8" s="57">
        <f>'REG y VAL POE - AESR - ESR'!AM1063</f>
        <v>0</v>
      </c>
      <c r="OB8" s="57">
        <f>'REG y VAL POE - AESR - ESR'!AN1063</f>
        <v>0</v>
      </c>
      <c r="OC8" s="56">
        <f>'REG y VAL POE - AESR - ESR'!AO1063</f>
        <v>0</v>
      </c>
      <c r="OD8" s="57">
        <f>'REG y VAL POE - AESR - ESR'!AP1063</f>
        <v>0</v>
      </c>
      <c r="OE8" s="57">
        <f>'REG y VAL POE - AESR - ESR'!AQ1063</f>
        <v>0</v>
      </c>
      <c r="OF8" s="58">
        <f>'REG y VAL POE - AESR - ESR'!AR1063</f>
        <v>0</v>
      </c>
      <c r="OG8" s="58">
        <f>'REG y VAL POE - AESR - ESR'!AS1063</f>
        <v>0</v>
      </c>
      <c r="OH8" s="58">
        <f>'REG y VAL POE - AESR - ESR'!B1064</f>
        <v>0</v>
      </c>
      <c r="OI8" s="56">
        <f>'REG y VAL POE - AESR - ESR'!C1064</f>
        <v>0</v>
      </c>
      <c r="OJ8" s="58">
        <f>'REG y VAL POE - AESR - ESR'!D1064</f>
        <v>0</v>
      </c>
      <c r="OK8" s="58">
        <f>'REG y VAL POE - AESR - ESR'!E1064</f>
        <v>0</v>
      </c>
      <c r="OL8" s="58">
        <f>'REG y VAL POE - AESR - ESR'!F1064</f>
        <v>0</v>
      </c>
      <c r="OM8" s="58">
        <f>'REG y VAL POE - AESR - ESR'!G1064</f>
        <v>0</v>
      </c>
      <c r="ON8" s="58">
        <f>'REG y VAL POE - AESR - ESR'!H1064</f>
        <v>0</v>
      </c>
      <c r="OO8" s="58">
        <f>'REG y VAL POE - AESR - ESR'!I1064</f>
        <v>0</v>
      </c>
      <c r="OP8" s="56">
        <f>'REG y VAL POE - AESR - ESR'!J1064</f>
        <v>0</v>
      </c>
      <c r="OQ8" s="57">
        <f>'REG y VAL POE - AESR - ESR'!K1064</f>
        <v>0</v>
      </c>
      <c r="OR8" s="58">
        <f>'REG y VAL POE - AESR - ESR'!L1064</f>
        <v>0</v>
      </c>
      <c r="OS8" s="56">
        <f>'REG y VAL POE - AESR - ESR'!M1064</f>
        <v>0</v>
      </c>
      <c r="OT8" s="57">
        <f>'REG y VAL POE - AESR - ESR'!N1064</f>
        <v>0</v>
      </c>
      <c r="OU8" s="57">
        <f>'REG y VAL POE - AESR - ESR'!O1064</f>
        <v>0</v>
      </c>
      <c r="OV8" s="57">
        <f>'REG y VAL POE - AESR - ESR'!P1064</f>
        <v>0</v>
      </c>
      <c r="OW8" s="56">
        <f>'REG y VAL POE - AESR - ESR'!Q1064</f>
        <v>0</v>
      </c>
      <c r="OX8" s="57">
        <f>'REG y VAL POE - AESR - ESR'!R1064</f>
        <v>0</v>
      </c>
      <c r="OY8" s="57">
        <f>'REG y VAL POE - AESR - ESR'!S1064</f>
        <v>0</v>
      </c>
      <c r="OZ8" s="56">
        <f>'REG y VAL POE - AESR - ESR'!T1064</f>
        <v>0</v>
      </c>
      <c r="PA8" s="57">
        <f>'REG y VAL POE - AESR - ESR'!U1064</f>
        <v>0</v>
      </c>
      <c r="PB8" s="58">
        <f>'REG y VAL POE - AESR - ESR'!V1064</f>
        <v>0</v>
      </c>
      <c r="PC8" s="56">
        <f>'REG y VAL POE - AESR - ESR'!W1064</f>
        <v>0</v>
      </c>
      <c r="PD8" s="57">
        <f>'REG y VAL POE - AESR - ESR'!X1064</f>
        <v>0</v>
      </c>
      <c r="PE8" s="57">
        <f>'REG y VAL POE - AESR - ESR'!Y1064</f>
        <v>0</v>
      </c>
      <c r="PF8" s="57">
        <f>'REG y VAL POE - AESR - ESR'!Z1064</f>
        <v>0</v>
      </c>
      <c r="PG8" s="56">
        <f>'REG y VAL POE - AESR - ESR'!AA1064</f>
        <v>0</v>
      </c>
      <c r="PH8" s="57">
        <f>'REG y VAL POE - AESR - ESR'!AB1064</f>
        <v>0</v>
      </c>
      <c r="PI8" s="57">
        <f>'REG y VAL POE - AESR - ESR'!AC1064</f>
        <v>0</v>
      </c>
      <c r="PJ8" s="56">
        <f>'REG y VAL POE - AESR - ESR'!AD1064</f>
        <v>0</v>
      </c>
      <c r="PK8" s="57">
        <f>'REG y VAL POE - AESR - ESR'!AE1064</f>
        <v>0</v>
      </c>
      <c r="PL8" s="58">
        <f>'REG y VAL POE - AESR - ESR'!AF1064</f>
        <v>0</v>
      </c>
      <c r="PM8" s="56">
        <f>'REG y VAL POE - AESR - ESR'!AG1064</f>
        <v>0</v>
      </c>
      <c r="PN8" s="57">
        <f>'REG y VAL POE - AESR - ESR'!AH1064</f>
        <v>0</v>
      </c>
      <c r="PO8" s="57">
        <f>'REG y VAL POE - AESR - ESR'!AI1064</f>
        <v>0</v>
      </c>
      <c r="PP8" s="57">
        <f>'REG y VAL POE - AESR - ESR'!AJ1064</f>
        <v>0</v>
      </c>
      <c r="PQ8" s="56">
        <f>'REG y VAL POE - AESR - ESR'!AK1064</f>
        <v>0</v>
      </c>
      <c r="PR8" s="57">
        <f>'REG y VAL POE - AESR - ESR'!AL1064</f>
        <v>0</v>
      </c>
      <c r="PS8" s="57">
        <f>'REG y VAL POE - AESR - ESR'!AM1064</f>
        <v>0</v>
      </c>
      <c r="PT8" s="56">
        <f>'REG y VAL POE - AESR - ESR'!AN1064</f>
        <v>0</v>
      </c>
      <c r="PU8" s="57">
        <f>'REG y VAL POE - AESR - ESR'!AO1064</f>
        <v>0</v>
      </c>
      <c r="PV8" s="58">
        <f>'REG y VAL POE - AESR - ESR'!AP1064</f>
        <v>0</v>
      </c>
      <c r="PW8" s="56">
        <f>'REG y VAL POE - AESR - ESR'!AQ1064</f>
        <v>0</v>
      </c>
      <c r="PX8" s="57">
        <f>'REG y VAL POE - AESR - ESR'!AR1064</f>
        <v>0</v>
      </c>
      <c r="PY8" s="57">
        <f>'REG y VAL POE - AESR - ESR'!AS1064</f>
        <v>0</v>
      </c>
      <c r="PZ8" s="57">
        <f>'REG y VAL POE - AESR - ESR'!B1065</f>
        <v>0</v>
      </c>
      <c r="QA8" s="56">
        <f>'REG y VAL POE - AESR - ESR'!C1065</f>
        <v>0</v>
      </c>
      <c r="QB8" s="57">
        <f>'REG y VAL POE - AESR - ESR'!D1065</f>
        <v>0</v>
      </c>
      <c r="QC8" s="57">
        <f>'REG y VAL POE - AESR - ESR'!E1065</f>
        <v>0</v>
      </c>
      <c r="QD8" s="56">
        <f>'REG y VAL POE - AESR - ESR'!F1065</f>
        <v>0</v>
      </c>
      <c r="QE8" s="57">
        <f>'REG y VAL POE - AESR - ESR'!G1065</f>
        <v>0</v>
      </c>
      <c r="QF8" s="58">
        <f>'REG y VAL POE - AESR - ESR'!H1065</f>
        <v>0</v>
      </c>
      <c r="QG8" s="56">
        <f>'REG y VAL POE - AESR - ESR'!I1065</f>
        <v>0</v>
      </c>
      <c r="QH8" s="57">
        <f>'REG y VAL POE - AESR - ESR'!J1065</f>
        <v>0</v>
      </c>
      <c r="QI8" s="57">
        <f>'REG y VAL POE - AESR - ESR'!K1065</f>
        <v>0</v>
      </c>
      <c r="QJ8" s="57">
        <f>'REG y VAL POE - AESR - ESR'!L1065</f>
        <v>0</v>
      </c>
      <c r="QK8" s="56">
        <f>'REG y VAL POE - AESR - ESR'!M1065</f>
        <v>0</v>
      </c>
      <c r="QL8" s="57">
        <f>'REG y VAL POE - AESR - ESR'!N1065</f>
        <v>0</v>
      </c>
      <c r="QM8" s="57">
        <f>'REG y VAL POE - AESR - ESR'!O1065</f>
        <v>0</v>
      </c>
      <c r="QN8" s="56">
        <f>'REG y VAL POE - AESR - ESR'!P1065</f>
        <v>0</v>
      </c>
      <c r="QO8" s="57">
        <f>'REG y VAL POE - AESR - ESR'!Q1065</f>
        <v>0</v>
      </c>
      <c r="QP8" s="58">
        <f>'REG y VAL POE - AESR - ESR'!R1065</f>
        <v>0</v>
      </c>
      <c r="QQ8" s="56">
        <f>'REG y VAL POE - AESR - ESR'!S1065</f>
        <v>0</v>
      </c>
      <c r="QR8" s="57">
        <f>'REG y VAL POE - AESR - ESR'!T1065</f>
        <v>0</v>
      </c>
      <c r="QS8" s="57">
        <f>'REG y VAL POE - AESR - ESR'!U1065</f>
        <v>0</v>
      </c>
      <c r="QT8" s="57">
        <f>'REG y VAL POE - AESR - ESR'!V1065</f>
        <v>0</v>
      </c>
      <c r="QU8" s="56">
        <f>'REG y VAL POE - AESR - ESR'!W1065</f>
        <v>0</v>
      </c>
      <c r="QV8" s="57">
        <f>'REG y VAL POE - AESR - ESR'!X1065</f>
        <v>0</v>
      </c>
      <c r="QW8" s="57">
        <f>'REG y VAL POE - AESR - ESR'!Y1065</f>
        <v>0</v>
      </c>
      <c r="QX8" s="56">
        <f>'REG y VAL POE - AESR - ESR'!Z1065</f>
        <v>0</v>
      </c>
      <c r="QY8" s="57">
        <f>'REG y VAL POE - AESR - ESR'!AA1065</f>
        <v>0</v>
      </c>
      <c r="QZ8" s="58">
        <f>'REG y VAL POE - AESR - ESR'!AB1065</f>
        <v>0</v>
      </c>
      <c r="RA8" s="56">
        <f>'REG y VAL POE - AESR - ESR'!AC1065</f>
        <v>0</v>
      </c>
      <c r="RB8" s="57">
        <f>'REG y VAL POE - AESR - ESR'!AD1065</f>
        <v>0</v>
      </c>
      <c r="RC8" s="57">
        <f>'REG y VAL POE - AESR - ESR'!AE1065</f>
        <v>0</v>
      </c>
      <c r="RD8" s="57">
        <f>'REG y VAL POE - AESR - ESR'!AF1065</f>
        <v>0</v>
      </c>
      <c r="RE8" s="56">
        <f>'REG y VAL POE - AESR - ESR'!AG1065</f>
        <v>0</v>
      </c>
      <c r="RF8" s="57">
        <f>'REG y VAL POE - AESR - ESR'!AH1065</f>
        <v>0</v>
      </c>
      <c r="RG8" s="57">
        <f>'REG y VAL POE - AESR - ESR'!AI1065</f>
        <v>0</v>
      </c>
      <c r="RH8" s="56">
        <f>'REG y VAL POE - AESR - ESR'!AJ1065</f>
        <v>0</v>
      </c>
      <c r="RI8" s="57">
        <f>'REG y VAL POE - AESR - ESR'!AK1065</f>
        <v>0</v>
      </c>
      <c r="RJ8" s="58">
        <f>'REG y VAL POE - AESR - ESR'!AL1065</f>
        <v>0</v>
      </c>
      <c r="RK8" s="56">
        <f>'REG y VAL POE - AESR - ESR'!AM1065</f>
        <v>0</v>
      </c>
      <c r="RL8" s="57">
        <f>'REG y VAL POE - AESR - ESR'!AN1065</f>
        <v>0</v>
      </c>
      <c r="RM8" s="57">
        <f>'REG y VAL POE - AESR - ESR'!AO1065</f>
        <v>0</v>
      </c>
      <c r="RN8" s="57">
        <f>'REG y VAL POE - AESR - ESR'!AP1065</f>
        <v>0</v>
      </c>
      <c r="RO8" s="56">
        <f>'REG y VAL POE - AESR - ESR'!AQ1065</f>
        <v>0</v>
      </c>
      <c r="RP8" s="57">
        <f>'REG y VAL POE - AESR - ESR'!AR1065</f>
        <v>0</v>
      </c>
      <c r="RQ8" s="57">
        <f>'REG y VAL POE - AESR - ESR'!AS1065</f>
        <v>0</v>
      </c>
      <c r="RR8" s="56">
        <f>'REG y VAL POE - AESR - ESR'!B1066</f>
        <v>0</v>
      </c>
      <c r="RS8" s="57">
        <f>'REG y VAL POE - AESR - ESR'!C1066</f>
        <v>0</v>
      </c>
      <c r="RT8" s="58">
        <f>'REG y VAL POE - AESR - ESR'!D1066</f>
        <v>0</v>
      </c>
      <c r="RU8" s="56">
        <f>'REG y VAL POE - AESR - ESR'!E1066</f>
        <v>0</v>
      </c>
      <c r="RV8" s="57">
        <f>'REG y VAL POE - AESR - ESR'!F1066</f>
        <v>0</v>
      </c>
      <c r="RW8" s="57">
        <f>'REG y VAL POE - AESR - ESR'!G1066</f>
        <v>0</v>
      </c>
      <c r="RX8" s="57">
        <f>'REG y VAL POE - AESR - ESR'!H1066</f>
        <v>0</v>
      </c>
      <c r="RY8" s="56">
        <f>'REG y VAL POE - AESR - ESR'!I1066</f>
        <v>0</v>
      </c>
      <c r="RZ8" s="57">
        <f>'REG y VAL POE - AESR - ESR'!J1066</f>
        <v>0</v>
      </c>
      <c r="SA8" s="57">
        <f>'REG y VAL POE - AESR - ESR'!K1066</f>
        <v>0</v>
      </c>
      <c r="SB8" s="56">
        <f>'REG y VAL POE - AESR - ESR'!L1066</f>
        <v>0</v>
      </c>
      <c r="SC8" s="57">
        <f>'REG y VAL POE - AESR - ESR'!M1066</f>
        <v>0</v>
      </c>
      <c r="SD8" s="58">
        <f>'REG y VAL POE - AESR - ESR'!N1066</f>
        <v>0</v>
      </c>
      <c r="SE8" s="56">
        <f>'REG y VAL POE - AESR - ESR'!O1066</f>
        <v>0</v>
      </c>
      <c r="SF8" s="57">
        <f>'REG y VAL POE - AESR - ESR'!P1066</f>
        <v>0</v>
      </c>
      <c r="SG8" s="57">
        <f>'REG y VAL POE - AESR - ESR'!Q1066</f>
        <v>0</v>
      </c>
      <c r="SH8" s="57">
        <f>'REG y VAL POE - AESR - ESR'!R1066</f>
        <v>0</v>
      </c>
      <c r="SI8" s="56">
        <f>'REG y VAL POE - AESR - ESR'!S1066</f>
        <v>0</v>
      </c>
      <c r="SJ8" s="57">
        <f>'REG y VAL POE - AESR - ESR'!T1066</f>
        <v>0</v>
      </c>
      <c r="SK8" s="57">
        <f>'REG y VAL POE - AESR - ESR'!U1066</f>
        <v>0</v>
      </c>
      <c r="SL8" s="56">
        <f>'REG y VAL POE - AESR - ESR'!V1066</f>
        <v>0</v>
      </c>
      <c r="SM8" s="57">
        <f>'REG y VAL POE - AESR - ESR'!W1066</f>
        <v>0</v>
      </c>
      <c r="SN8" s="58">
        <f>'REG y VAL POE - AESR - ESR'!X1066</f>
        <v>0</v>
      </c>
      <c r="SO8" s="56">
        <f>'REG y VAL POE - AESR - ESR'!Y1066</f>
        <v>0</v>
      </c>
      <c r="SP8" s="57">
        <f>'REG y VAL POE - AESR - ESR'!Z1066</f>
        <v>0</v>
      </c>
      <c r="SQ8" s="57">
        <f>'REG y VAL POE - AESR - ESR'!AA1066</f>
        <v>0</v>
      </c>
      <c r="SR8" s="57">
        <f>'REG y VAL POE - AESR - ESR'!AB1066</f>
        <v>0</v>
      </c>
      <c r="SS8" s="56">
        <f>'REG y VAL POE - AESR - ESR'!AC1066</f>
        <v>0</v>
      </c>
      <c r="ST8" s="57">
        <f>'REG y VAL POE - AESR - ESR'!AD1066</f>
        <v>0</v>
      </c>
      <c r="SU8" s="57">
        <f>'REG y VAL POE - AESR - ESR'!AE1066</f>
        <v>0</v>
      </c>
      <c r="SV8" s="56">
        <f>'REG y VAL POE - AESR - ESR'!AF1066</f>
        <v>0</v>
      </c>
      <c r="SW8" s="57">
        <f>'REG y VAL POE - AESR - ESR'!AG1066</f>
        <v>0</v>
      </c>
      <c r="SX8" s="58">
        <f>'REG y VAL POE - AESR - ESR'!AH1066</f>
        <v>0</v>
      </c>
      <c r="SY8" s="56">
        <f>'REG y VAL POE - AESR - ESR'!AI1066</f>
        <v>0</v>
      </c>
      <c r="SZ8" s="57">
        <f>'REG y VAL POE - AESR - ESR'!AJ1066</f>
        <v>0</v>
      </c>
      <c r="TA8" s="57">
        <f>'REG y VAL POE - AESR - ESR'!AK1066</f>
        <v>0</v>
      </c>
      <c r="TB8" s="57">
        <f>'REG y VAL POE - AESR - ESR'!AL1066</f>
        <v>0</v>
      </c>
      <c r="TC8" s="56">
        <f>'REG y VAL POE - AESR - ESR'!AM1066</f>
        <v>0</v>
      </c>
      <c r="TD8" s="57">
        <f>'REG y VAL POE - AESR - ESR'!AN1066</f>
        <v>0</v>
      </c>
      <c r="TE8" s="57">
        <f>'REG y VAL POE - AESR - ESR'!AO1066</f>
        <v>0</v>
      </c>
      <c r="TF8" s="56">
        <f>'REG y VAL POE - AESR - ESR'!AP1066</f>
        <v>0</v>
      </c>
      <c r="TG8" s="57">
        <f>'REG y VAL POE - AESR - ESR'!AQ1066</f>
        <v>0</v>
      </c>
      <c r="TH8" s="58">
        <f>'REG y VAL POE - AESR - ESR'!AR1066</f>
        <v>0</v>
      </c>
      <c r="TI8" s="56">
        <f>'REG y VAL POE - AESR - ESR'!AS1066</f>
        <v>0</v>
      </c>
      <c r="TJ8" s="57">
        <f>'REG y VAL POE - AESR - ESR'!B1067</f>
        <v>0</v>
      </c>
      <c r="TK8" s="57">
        <f>'REG y VAL POE - AESR - ESR'!C1067</f>
        <v>0</v>
      </c>
      <c r="TL8" s="57">
        <f>'REG y VAL POE - AESR - ESR'!D1067</f>
        <v>0</v>
      </c>
      <c r="TM8" s="56">
        <f>'REG y VAL POE - AESR - ESR'!E1067</f>
        <v>0</v>
      </c>
      <c r="TN8" s="57">
        <f>'REG y VAL POE - AESR - ESR'!F1067</f>
        <v>0</v>
      </c>
      <c r="TO8" s="57">
        <f>'REG y VAL POE - AESR - ESR'!G1067</f>
        <v>0</v>
      </c>
      <c r="TP8" s="56">
        <f>'REG y VAL POE - AESR - ESR'!H1067</f>
        <v>0</v>
      </c>
      <c r="TQ8" s="57">
        <f>'REG y VAL POE - AESR - ESR'!I1067</f>
        <v>0</v>
      </c>
      <c r="TR8" s="58">
        <f>'REG y VAL POE - AESR - ESR'!J1067</f>
        <v>0</v>
      </c>
      <c r="TS8" s="56">
        <f>'REG y VAL POE - AESR - ESR'!K1067</f>
        <v>0</v>
      </c>
      <c r="TT8" s="57">
        <f>'REG y VAL POE - AESR - ESR'!L1067</f>
        <v>0</v>
      </c>
      <c r="TU8" s="57">
        <f>'REG y VAL POE - AESR - ESR'!M1067</f>
        <v>0</v>
      </c>
      <c r="TV8" s="57">
        <f>'REG y VAL POE - AESR - ESR'!N1067</f>
        <v>0</v>
      </c>
      <c r="TW8" s="56">
        <f>'REG y VAL POE - AESR - ESR'!O1067</f>
        <v>0</v>
      </c>
      <c r="TX8" s="57">
        <f>'REG y VAL POE - AESR - ESR'!P1067</f>
        <v>0</v>
      </c>
      <c r="TY8" s="57">
        <f>'REG y VAL POE - AESR - ESR'!Q1067</f>
        <v>0</v>
      </c>
      <c r="TZ8" s="56">
        <f>'REG y VAL POE - AESR - ESR'!R1067</f>
        <v>0</v>
      </c>
      <c r="UA8" s="57">
        <f>'REG y VAL POE - AESR - ESR'!S1067</f>
        <v>0</v>
      </c>
      <c r="UB8" s="58">
        <f>'REG y VAL POE - AESR - ESR'!T1067</f>
        <v>0</v>
      </c>
      <c r="UC8" s="56">
        <f>'REG y VAL POE - AESR - ESR'!U1067</f>
        <v>0</v>
      </c>
      <c r="UD8" s="57">
        <f>'REG y VAL POE - AESR - ESR'!V1067</f>
        <v>0</v>
      </c>
      <c r="UE8" s="57">
        <f>'REG y VAL POE - AESR - ESR'!W1067</f>
        <v>0</v>
      </c>
      <c r="UF8" s="57">
        <f>'REG y VAL POE - AESR - ESR'!X1067</f>
        <v>0</v>
      </c>
      <c r="UG8" s="56">
        <f>'REG y VAL POE - AESR - ESR'!Y1067</f>
        <v>0</v>
      </c>
      <c r="UH8" s="57">
        <f>'REG y VAL POE - AESR - ESR'!Z1067</f>
        <v>0</v>
      </c>
      <c r="UI8" s="57">
        <f>'REG y VAL POE - AESR - ESR'!AA1067</f>
        <v>0</v>
      </c>
      <c r="UJ8" s="56">
        <f>'REG y VAL POE - AESR - ESR'!AB1067</f>
        <v>0</v>
      </c>
      <c r="UK8" s="57">
        <f>'REG y VAL POE - AESR - ESR'!AC1067</f>
        <v>0</v>
      </c>
      <c r="UL8" s="58">
        <f>'REG y VAL POE - AESR - ESR'!AD1067</f>
        <v>0</v>
      </c>
      <c r="UM8" s="56">
        <f>'REG y VAL POE - AESR - ESR'!AE1067</f>
        <v>0</v>
      </c>
      <c r="UN8" s="57">
        <f>'REG y VAL POE - AESR - ESR'!AF1067</f>
        <v>0</v>
      </c>
      <c r="UO8" s="57">
        <f>'REG y VAL POE - AESR - ESR'!AG1067</f>
        <v>0</v>
      </c>
      <c r="UP8" s="57">
        <f>'REG y VAL POE - AESR - ESR'!AH1067</f>
        <v>0</v>
      </c>
      <c r="UQ8" s="56">
        <f>'REG y VAL POE - AESR - ESR'!AI1067</f>
        <v>0</v>
      </c>
      <c r="UR8" s="57">
        <f>'REG y VAL POE - AESR - ESR'!AJ1067</f>
        <v>0</v>
      </c>
      <c r="US8" s="57">
        <f>'REG y VAL POE - AESR - ESR'!AK1067</f>
        <v>0</v>
      </c>
      <c r="UT8" s="56">
        <f>'REG y VAL POE - AESR - ESR'!AL1067</f>
        <v>0</v>
      </c>
      <c r="UU8" s="57">
        <f>'REG y VAL POE - AESR - ESR'!AM1067</f>
        <v>0</v>
      </c>
      <c r="UV8" s="58">
        <f>'REG y VAL POE - AESR - ESR'!AN1067</f>
        <v>0</v>
      </c>
      <c r="UW8" s="56">
        <f>'REG y VAL POE - AESR - ESR'!AO1067</f>
        <v>0</v>
      </c>
      <c r="UX8" s="57">
        <f>'REG y VAL POE - AESR - ESR'!AP1067</f>
        <v>0</v>
      </c>
      <c r="UY8" s="57">
        <f>'REG y VAL POE - AESR - ESR'!AQ1067</f>
        <v>0</v>
      </c>
      <c r="UZ8" s="57">
        <f>'REG y VAL POE - AESR - ESR'!AR1067</f>
        <v>0</v>
      </c>
      <c r="VA8" s="56">
        <f>'REG y VAL POE - AESR - ESR'!AS1067</f>
        <v>0</v>
      </c>
      <c r="VB8" s="57">
        <f>'REG y VAL POE - AESR - ESR'!B1068</f>
        <v>0</v>
      </c>
      <c r="VC8" s="57">
        <f>'REG y VAL POE - AESR - ESR'!C1068</f>
        <v>0</v>
      </c>
      <c r="VD8" s="56">
        <f>'REG y VAL POE - AESR - ESR'!D1068</f>
        <v>0</v>
      </c>
      <c r="VE8" s="57">
        <f>'REG y VAL POE - AESR - ESR'!E1068</f>
        <v>0</v>
      </c>
      <c r="VF8" s="58">
        <f>'REG y VAL POE - AESR - ESR'!F1068</f>
        <v>0</v>
      </c>
      <c r="VG8" s="56">
        <f>'REG y VAL POE - AESR - ESR'!G1068</f>
        <v>0</v>
      </c>
      <c r="VH8" s="57">
        <f>'REG y VAL POE - AESR - ESR'!H1068</f>
        <v>0</v>
      </c>
      <c r="VI8" s="57">
        <f>'REG y VAL POE - AESR - ESR'!I1068</f>
        <v>0</v>
      </c>
      <c r="VJ8" s="57">
        <f>'REG y VAL POE - AESR - ESR'!J1068</f>
        <v>0</v>
      </c>
      <c r="VK8" s="56">
        <f>'REG y VAL POE - AESR - ESR'!K1068</f>
        <v>0</v>
      </c>
      <c r="VL8" s="57">
        <f>'REG y VAL POE - AESR - ESR'!L1068</f>
        <v>0</v>
      </c>
      <c r="VM8" s="57">
        <f>'REG y VAL POE - AESR - ESR'!M1068</f>
        <v>0</v>
      </c>
      <c r="VN8" s="56">
        <f>'REG y VAL POE - AESR - ESR'!N1068</f>
        <v>0</v>
      </c>
      <c r="VO8" s="57">
        <f>'REG y VAL POE - AESR - ESR'!O1068</f>
        <v>0</v>
      </c>
      <c r="VP8" s="58">
        <f>'REG y VAL POE - AESR - ESR'!P1068</f>
        <v>0</v>
      </c>
      <c r="VQ8" s="56">
        <f>'REG y VAL POE - AESR - ESR'!Q1068</f>
        <v>0</v>
      </c>
      <c r="VR8" s="57">
        <f>'REG y VAL POE - AESR - ESR'!R1068</f>
        <v>0</v>
      </c>
      <c r="VS8" s="57">
        <f>'REG y VAL POE - AESR - ESR'!S1068</f>
        <v>0</v>
      </c>
      <c r="VT8" s="57">
        <f>'REG y VAL POE - AESR - ESR'!T1068</f>
        <v>0</v>
      </c>
      <c r="VU8" s="56">
        <f>'REG y VAL POE - AESR - ESR'!U1068</f>
        <v>0</v>
      </c>
      <c r="VV8" s="57">
        <f>'REG y VAL POE - AESR - ESR'!V1068</f>
        <v>0</v>
      </c>
      <c r="VW8" s="57">
        <f>'REG y VAL POE - AESR - ESR'!W1068</f>
        <v>0</v>
      </c>
      <c r="VX8" s="56">
        <f>'REG y VAL POE - AESR - ESR'!X1068</f>
        <v>0</v>
      </c>
      <c r="VY8" s="57">
        <f>'REG y VAL POE - AESR - ESR'!Y1068</f>
        <v>0</v>
      </c>
      <c r="VZ8" s="58">
        <f>'REG y VAL POE - AESR - ESR'!Z1068</f>
        <v>0</v>
      </c>
      <c r="WA8" s="56">
        <f>'REG y VAL POE - AESR - ESR'!AA1068</f>
        <v>0</v>
      </c>
      <c r="WB8" s="57">
        <f>'REG y VAL POE - AESR - ESR'!AB1068</f>
        <v>0</v>
      </c>
      <c r="WC8" s="57">
        <f>'REG y VAL POE - AESR - ESR'!AC1068</f>
        <v>0</v>
      </c>
      <c r="WD8" s="57">
        <f>'REG y VAL POE - AESR - ESR'!AD1068</f>
        <v>0</v>
      </c>
      <c r="WE8" s="56">
        <f>'REG y VAL POE - AESR - ESR'!AE1068</f>
        <v>0</v>
      </c>
      <c r="WF8" s="57">
        <f>'REG y VAL POE - AESR - ESR'!AF1068</f>
        <v>0</v>
      </c>
      <c r="WG8" s="57">
        <f>'REG y VAL POE - AESR - ESR'!AG1068</f>
        <v>0</v>
      </c>
      <c r="WH8" s="56">
        <f>'REG y VAL POE - AESR - ESR'!AH1068</f>
        <v>0</v>
      </c>
      <c r="WI8" s="57">
        <f>'REG y VAL POE - AESR - ESR'!AI1068</f>
        <v>0</v>
      </c>
      <c r="WJ8" s="58">
        <f>'REG y VAL POE - AESR - ESR'!AJ1068</f>
        <v>0</v>
      </c>
      <c r="WK8" s="56">
        <f>'REG y VAL POE - AESR - ESR'!AK1068</f>
        <v>0</v>
      </c>
      <c r="WL8" s="57">
        <f>'REG y VAL POE - AESR - ESR'!AL1068</f>
        <v>0</v>
      </c>
      <c r="WM8" s="57">
        <f>'REG y VAL POE - AESR - ESR'!AM1068</f>
        <v>0</v>
      </c>
      <c r="WN8" s="57">
        <f>'REG y VAL POE - AESR - ESR'!AN1068</f>
        <v>0</v>
      </c>
      <c r="WO8" s="56">
        <f>'REG y VAL POE - AESR - ESR'!AO1068</f>
        <v>0</v>
      </c>
      <c r="WP8" s="57">
        <f>'REG y VAL POE - AESR - ESR'!AP1068</f>
        <v>0</v>
      </c>
      <c r="WQ8" s="57">
        <f>'REG y VAL POE - AESR - ESR'!AQ1068</f>
        <v>0</v>
      </c>
      <c r="WR8" s="56">
        <f>'REG y VAL POE - AESR - ESR'!AR1068</f>
        <v>0</v>
      </c>
      <c r="WS8" s="57">
        <f>'REG y VAL POE - AESR - ESR'!AS1068</f>
        <v>0</v>
      </c>
      <c r="WT8" s="58">
        <f>'REG y VAL POE - AESR - ESR'!B1069</f>
        <v>0</v>
      </c>
      <c r="WU8" s="56">
        <f>'REG y VAL POE - AESR - ESR'!C1069</f>
        <v>0</v>
      </c>
      <c r="WV8" s="57">
        <f>'REG y VAL POE - AESR - ESR'!D1069</f>
        <v>0</v>
      </c>
      <c r="WW8" s="57">
        <f>'REG y VAL POE - AESR - ESR'!E1069</f>
        <v>0</v>
      </c>
      <c r="WX8" s="57">
        <f>'REG y VAL POE - AESR - ESR'!F1069</f>
        <v>0</v>
      </c>
      <c r="WY8" s="56">
        <f>'REG y VAL POE - AESR - ESR'!G1069</f>
        <v>0</v>
      </c>
      <c r="WZ8" s="57">
        <f>'REG y VAL POE - AESR - ESR'!H1069</f>
        <v>0</v>
      </c>
      <c r="XA8" s="57">
        <f>'REG y VAL POE - AESR - ESR'!I1069</f>
        <v>0</v>
      </c>
      <c r="XB8" s="56">
        <f>'REG y VAL POE - AESR - ESR'!J1069</f>
        <v>0</v>
      </c>
      <c r="XC8" s="57">
        <f>'REG y VAL POE - AESR - ESR'!K1069</f>
        <v>0</v>
      </c>
      <c r="XD8" s="58">
        <f>'REG y VAL POE - AESR - ESR'!L1069</f>
        <v>0</v>
      </c>
      <c r="XE8" s="56">
        <f>'REG y VAL POE - AESR - ESR'!M1069</f>
        <v>0</v>
      </c>
      <c r="XF8" s="57">
        <f>'REG y VAL POE - AESR - ESR'!N1069</f>
        <v>0</v>
      </c>
      <c r="XG8" s="57">
        <f>'REG y VAL POE - AESR - ESR'!O1069</f>
        <v>0</v>
      </c>
      <c r="XH8" s="57">
        <f>'REG y VAL POE - AESR - ESR'!P1069</f>
        <v>0</v>
      </c>
      <c r="XI8" s="56">
        <f>'REG y VAL POE - AESR - ESR'!Q1069</f>
        <v>0</v>
      </c>
      <c r="XJ8" s="57">
        <f>'REG y VAL POE - AESR - ESR'!R1069</f>
        <v>0</v>
      </c>
      <c r="XK8" s="57">
        <f>'REG y VAL POE - AESR - ESR'!S1069</f>
        <v>0</v>
      </c>
      <c r="XL8" s="56">
        <f>'REG y VAL POE - AESR - ESR'!T1069</f>
        <v>0</v>
      </c>
      <c r="XM8" s="57">
        <f>'REG y VAL POE - AESR - ESR'!U1069</f>
        <v>0</v>
      </c>
      <c r="XN8" s="58">
        <f>'REG y VAL POE - AESR - ESR'!V1069</f>
        <v>0</v>
      </c>
      <c r="XO8" s="56">
        <f>'REG y VAL POE - AESR - ESR'!W1069</f>
        <v>0</v>
      </c>
      <c r="XP8" s="57">
        <f>'REG y VAL POE - AESR - ESR'!X1069</f>
        <v>0</v>
      </c>
      <c r="XQ8" s="57">
        <f>'REG y VAL POE - AESR - ESR'!Y1069</f>
        <v>0</v>
      </c>
      <c r="XR8" s="57">
        <f>'REG y VAL POE - AESR - ESR'!Z1069</f>
        <v>0</v>
      </c>
      <c r="XS8" s="56">
        <f>'REG y VAL POE - AESR - ESR'!AA1069</f>
        <v>0</v>
      </c>
      <c r="XT8" s="57">
        <f>'REG y VAL POE - AESR - ESR'!AB1069</f>
        <v>0</v>
      </c>
      <c r="XU8" s="57">
        <f>'REG y VAL POE - AESR - ESR'!AC1069</f>
        <v>0</v>
      </c>
      <c r="XV8" s="56">
        <f>'REG y VAL POE - AESR - ESR'!AD1069</f>
        <v>0</v>
      </c>
      <c r="XW8" s="57">
        <f>'REG y VAL POE - AESR - ESR'!AE1069</f>
        <v>0</v>
      </c>
      <c r="XX8" s="58">
        <f>'REG y VAL POE - AESR - ESR'!AF1069</f>
        <v>0</v>
      </c>
      <c r="XY8" s="56">
        <f>'REG y VAL POE - AESR - ESR'!AG1069</f>
        <v>0</v>
      </c>
      <c r="XZ8" s="57">
        <f>'REG y VAL POE - AESR - ESR'!AH1069</f>
        <v>0</v>
      </c>
      <c r="YA8" s="57">
        <f>'REG y VAL POE - AESR - ESR'!AI1069</f>
        <v>0</v>
      </c>
      <c r="YB8" s="57">
        <f>'REG y VAL POE - AESR - ESR'!AJ1069</f>
        <v>0</v>
      </c>
      <c r="YC8" s="56">
        <f>'REG y VAL POE - AESR - ESR'!AK1069</f>
        <v>0</v>
      </c>
      <c r="YD8" s="57">
        <f>'REG y VAL POE - AESR - ESR'!AL1069</f>
        <v>0</v>
      </c>
      <c r="YE8" s="57">
        <f>'REG y VAL POE - AESR - ESR'!AM1069</f>
        <v>0</v>
      </c>
      <c r="YF8" s="56">
        <f>'REG y VAL POE - AESR - ESR'!AN1069</f>
        <v>0</v>
      </c>
      <c r="YG8" s="57">
        <f>'REG y VAL POE - AESR - ESR'!AO1069</f>
        <v>0</v>
      </c>
      <c r="YH8" s="58">
        <f>'REG y VAL POE - AESR - ESR'!AP1069</f>
        <v>0</v>
      </c>
      <c r="YI8" s="56">
        <f>'REG y VAL POE - AESR - ESR'!AQ1069</f>
        <v>0</v>
      </c>
      <c r="YJ8" s="57">
        <f>'REG y VAL POE - AESR - ESR'!AR1069</f>
        <v>0</v>
      </c>
      <c r="YK8" s="57">
        <f>'REG y VAL POE - AESR - ESR'!AS1069</f>
        <v>0</v>
      </c>
      <c r="YL8" s="57"/>
      <c r="YM8" s="56"/>
      <c r="YN8" s="57"/>
      <c r="YO8" s="57"/>
      <c r="YP8" s="56"/>
      <c r="YQ8" s="57"/>
      <c r="YR8" s="58"/>
      <c r="YS8" s="56"/>
      <c r="YT8" s="57"/>
      <c r="YU8" s="57"/>
      <c r="YV8" s="57"/>
      <c r="YW8" s="56"/>
      <c r="YX8" s="57"/>
      <c r="YY8" s="57"/>
      <c r="YZ8" s="56"/>
      <c r="ZA8" s="57"/>
      <c r="ZB8" s="58"/>
      <c r="ZC8" s="56"/>
      <c r="ZD8" s="57"/>
      <c r="ZE8" s="57"/>
      <c r="ZF8" s="57"/>
      <c r="ZG8" s="56"/>
      <c r="ZH8" s="57"/>
      <c r="ZI8" s="57"/>
      <c r="ZJ8" s="56"/>
      <c r="ZK8" s="57"/>
      <c r="ZL8" s="58"/>
      <c r="ZM8" s="56"/>
      <c r="ZN8" s="57"/>
      <c r="ZO8" s="57"/>
      <c r="ZP8" s="57"/>
      <c r="ZQ8" s="56"/>
      <c r="ZR8" s="57"/>
      <c r="ZS8" s="57"/>
      <c r="ZT8" s="56"/>
      <c r="ZU8" s="57"/>
      <c r="ZV8" s="58"/>
      <c r="ZW8" s="56"/>
      <c r="ZX8" s="57"/>
      <c r="ZY8" s="57"/>
      <c r="ZZ8" s="57"/>
      <c r="AAA8" s="56"/>
      <c r="AAB8" s="57"/>
      <c r="AAC8" s="57"/>
      <c r="AAD8" s="56"/>
      <c r="AAE8" s="57"/>
      <c r="AAF8" s="58"/>
      <c r="AAG8" s="56"/>
      <c r="AAH8" s="57"/>
      <c r="AAI8" s="57"/>
      <c r="AAJ8" s="57"/>
      <c r="AAK8" s="56"/>
      <c r="AAL8" s="57"/>
      <c r="AAM8" s="57"/>
      <c r="AAN8" s="56"/>
      <c r="AAO8" s="57"/>
      <c r="AAP8" s="58"/>
      <c r="AAQ8" s="56"/>
      <c r="AAR8" s="57"/>
      <c r="AAS8" s="57"/>
      <c r="AAT8" s="57"/>
      <c r="AAU8" s="56"/>
      <c r="AAV8" s="57"/>
      <c r="AAW8" s="57"/>
      <c r="AAX8" s="58"/>
      <c r="AAY8" s="58"/>
      <c r="AAZ8" s="58"/>
      <c r="ABA8" s="56"/>
      <c r="ABB8" s="58"/>
      <c r="ABC8" s="58"/>
      <c r="ABD8" s="58"/>
      <c r="ABE8" s="58"/>
      <c r="ABF8" s="58"/>
      <c r="ABG8" s="57"/>
      <c r="ABH8" s="56"/>
      <c r="ABI8" s="57"/>
      <c r="ABJ8" s="58"/>
      <c r="ABK8" s="56"/>
      <c r="ABL8" s="57"/>
      <c r="ABM8" s="57"/>
      <c r="ABN8" s="57"/>
      <c r="ABO8" s="56"/>
      <c r="ABP8" s="57"/>
      <c r="ABQ8" s="57"/>
      <c r="ABR8" s="56"/>
      <c r="ABS8" s="57"/>
      <c r="ABT8" s="58"/>
      <c r="ABU8" s="56"/>
      <c r="ABV8" s="57"/>
      <c r="ABW8" s="57"/>
      <c r="ABX8" s="57"/>
      <c r="ABY8" s="56"/>
      <c r="ABZ8" s="57"/>
      <c r="ACA8" s="57"/>
      <c r="ACB8" s="56"/>
      <c r="ACC8" s="57"/>
      <c r="ACD8" s="58"/>
      <c r="ACE8" s="56"/>
      <c r="ACF8" s="57"/>
      <c r="ACG8" s="57"/>
      <c r="ACH8" s="57"/>
      <c r="ACI8" s="56"/>
      <c r="ACJ8" s="57"/>
      <c r="ACK8" s="57"/>
      <c r="ACL8" s="56"/>
      <c r="ACM8" s="57"/>
      <c r="ACN8" s="58"/>
      <c r="ACO8" s="56"/>
      <c r="ACP8" s="57"/>
      <c r="ACQ8" s="57"/>
      <c r="ACR8" s="57"/>
      <c r="ACS8" s="56"/>
      <c r="ACT8" s="57"/>
      <c r="ACU8" s="57"/>
      <c r="ACV8" s="56"/>
      <c r="ACW8" s="57"/>
      <c r="ACX8" s="58"/>
      <c r="ACY8" s="56"/>
      <c r="ACZ8" s="57"/>
      <c r="ADA8" s="57"/>
      <c r="ADB8" s="57"/>
      <c r="ADC8" s="56"/>
      <c r="ADD8" s="57"/>
      <c r="ADE8" s="57"/>
      <c r="ADF8" s="56"/>
      <c r="ADG8" s="57"/>
      <c r="ADH8" s="58"/>
      <c r="ADI8" s="56"/>
      <c r="ADJ8" s="57"/>
      <c r="ADK8" s="57"/>
      <c r="ADL8" s="57"/>
      <c r="ADM8" s="56"/>
      <c r="ADN8" s="57"/>
      <c r="ADO8" s="57"/>
      <c r="ADP8" s="56"/>
      <c r="ADQ8" s="57"/>
      <c r="ADR8" s="58"/>
      <c r="ADS8" s="56"/>
      <c r="ADT8" s="57"/>
      <c r="ADU8" s="57"/>
      <c r="ADV8" s="57"/>
      <c r="ADW8" s="56"/>
      <c r="ADX8" s="57"/>
      <c r="ADY8" s="57"/>
      <c r="ADZ8" s="56"/>
      <c r="AEA8" s="57"/>
      <c r="AEB8" s="58"/>
      <c r="AEC8" s="56"/>
      <c r="AED8" s="57"/>
      <c r="AEE8" s="57"/>
      <c r="AEF8" s="57"/>
      <c r="AEG8" s="56"/>
      <c r="AEH8" s="57"/>
      <c r="AEI8" s="57"/>
      <c r="AEJ8" s="56"/>
      <c r="AEK8" s="57"/>
      <c r="AEL8" s="58"/>
      <c r="AEM8" s="56"/>
      <c r="AEN8" s="57"/>
      <c r="AEO8" s="57"/>
      <c r="AEP8" s="57"/>
      <c r="AEQ8" s="56"/>
      <c r="AER8" s="57"/>
      <c r="AES8" s="57"/>
      <c r="AET8" s="56"/>
      <c r="AEU8" s="57"/>
      <c r="AEV8" s="58"/>
      <c r="AEW8" s="56"/>
      <c r="AEX8" s="57"/>
      <c r="AEY8" s="57"/>
      <c r="AEZ8" s="57"/>
      <c r="AFA8" s="56"/>
      <c r="AFB8" s="57"/>
      <c r="AFC8" s="57"/>
      <c r="AFD8" s="56"/>
      <c r="AFE8" s="57"/>
      <c r="AFF8" s="58"/>
      <c r="AFG8" s="56"/>
      <c r="AFH8" s="57"/>
      <c r="AFI8" s="57"/>
      <c r="AFJ8" s="57"/>
      <c r="AFK8" s="56"/>
      <c r="AFL8" s="57"/>
      <c r="AFM8" s="57"/>
      <c r="AFN8" s="56"/>
      <c r="AFO8" s="57"/>
      <c r="AFP8" s="58"/>
      <c r="AFQ8" s="56"/>
      <c r="AFR8" s="57"/>
      <c r="AFS8" s="57"/>
      <c r="AFT8" s="57"/>
      <c r="AFU8" s="56"/>
      <c r="AFV8" s="57"/>
      <c r="AFW8" s="57"/>
      <c r="AFX8" s="56"/>
      <c r="AFY8" s="57"/>
      <c r="AFZ8" s="58"/>
      <c r="AGA8" s="56"/>
      <c r="AGB8" s="57"/>
      <c r="AGC8" s="57"/>
      <c r="AGD8" s="57"/>
      <c r="AGE8" s="56"/>
      <c r="AGF8" s="57"/>
      <c r="AGG8" s="57"/>
      <c r="AGH8" s="56"/>
      <c r="AGI8" s="57"/>
      <c r="AGJ8" s="58"/>
      <c r="AGK8" s="56"/>
      <c r="AGL8" s="57"/>
      <c r="AGM8" s="57"/>
      <c r="AGN8" s="57"/>
      <c r="AGO8" s="56"/>
      <c r="AGP8" s="57"/>
      <c r="AGQ8" s="57"/>
      <c r="AGR8" s="56"/>
      <c r="AGS8" s="57"/>
      <c r="AGT8" s="58"/>
      <c r="AGU8" s="56"/>
      <c r="AGV8" s="57"/>
      <c r="AGW8" s="57"/>
      <c r="AGX8" s="57"/>
      <c r="AGY8" s="56"/>
      <c r="AGZ8" s="57"/>
      <c r="AHA8" s="57"/>
      <c r="AHB8" s="56"/>
      <c r="AHC8" s="57"/>
      <c r="AHD8" s="58"/>
      <c r="AHE8" s="56"/>
      <c r="AHF8" s="57"/>
      <c r="AHG8" s="57"/>
      <c r="AHH8" s="57"/>
      <c r="AHI8" s="56"/>
      <c r="AHJ8" s="57"/>
      <c r="AHK8" s="57"/>
      <c r="AHL8" s="56"/>
      <c r="AHM8" s="57"/>
      <c r="AHN8" s="58"/>
      <c r="AHO8" s="56"/>
      <c r="AHP8" s="57"/>
      <c r="AHQ8" s="57"/>
      <c r="AHR8" s="57"/>
      <c r="AHS8" s="56"/>
      <c r="AHT8" s="57"/>
      <c r="AHU8" s="57"/>
      <c r="AHV8" s="56"/>
      <c r="AHW8" s="57"/>
      <c r="AHX8" s="58"/>
      <c r="AHY8" s="56"/>
      <c r="AHZ8" s="57"/>
      <c r="AIA8" s="57"/>
      <c r="AIB8" s="57"/>
      <c r="AIC8" s="56"/>
      <c r="AID8" s="57"/>
      <c r="AIE8" s="57"/>
      <c r="AIF8" s="56"/>
      <c r="AIG8" s="57"/>
      <c r="AIH8" s="58"/>
      <c r="AII8" s="56"/>
      <c r="AIJ8" s="57"/>
      <c r="AIK8" s="57"/>
      <c r="AIL8" s="57"/>
      <c r="AIM8" s="56"/>
      <c r="AIN8" s="57"/>
      <c r="AIO8" s="57"/>
      <c r="AIP8" s="56"/>
      <c r="AIQ8" s="57"/>
      <c r="AIR8" s="58"/>
      <c r="AIS8" s="56"/>
      <c r="AIT8" s="57"/>
      <c r="AIU8" s="57"/>
      <c r="AIV8" s="57"/>
      <c r="AIW8" s="56"/>
      <c r="AIX8" s="57"/>
      <c r="AIY8" s="57"/>
      <c r="AIZ8" s="56"/>
      <c r="AJA8" s="57"/>
      <c r="AJB8" s="58"/>
      <c r="AJC8" s="56"/>
      <c r="AJD8" s="57"/>
      <c r="AJE8" s="57"/>
      <c r="AJF8" s="57"/>
      <c r="AJG8" s="56"/>
      <c r="AJH8" s="57"/>
      <c r="AJI8" s="57"/>
      <c r="AJJ8" s="56"/>
      <c r="AJK8" s="57"/>
      <c r="AJL8" s="58"/>
      <c r="AJM8" s="56"/>
      <c r="AJN8" s="57"/>
      <c r="AJO8" s="57"/>
      <c r="AJP8" s="57"/>
      <c r="AJQ8" s="56"/>
      <c r="AJR8" s="57"/>
      <c r="AJS8" s="57"/>
      <c r="AJT8" s="56"/>
      <c r="AJU8" s="57"/>
      <c r="AJV8" s="58"/>
      <c r="AJW8" s="56"/>
      <c r="AJX8" s="57"/>
      <c r="AJY8" s="57"/>
      <c r="AJZ8" s="57"/>
      <c r="AKA8" s="56"/>
      <c r="AKB8" s="57"/>
      <c r="AKC8" s="57"/>
      <c r="AKD8" s="56"/>
      <c r="AKE8" s="57"/>
      <c r="AKF8" s="58"/>
      <c r="AKG8" s="56"/>
      <c r="AKH8" s="57"/>
      <c r="AKI8" s="57"/>
      <c r="AKJ8" s="57"/>
      <c r="AKK8" s="56"/>
      <c r="AKL8" s="57"/>
      <c r="AKM8" s="57"/>
      <c r="AKN8" s="56"/>
      <c r="AKO8" s="57"/>
      <c r="AKP8" s="58"/>
      <c r="AKQ8" s="56"/>
      <c r="AKR8" s="57"/>
      <c r="AKS8" s="57"/>
      <c r="AKT8" s="57"/>
      <c r="AKU8" s="56"/>
      <c r="AKV8" s="57"/>
      <c r="AKW8" s="57"/>
      <c r="AKX8" s="56"/>
      <c r="AKY8" s="57"/>
      <c r="AKZ8" s="58"/>
      <c r="ALA8" s="56"/>
      <c r="ALB8" s="57"/>
      <c r="ALC8" s="57"/>
      <c r="ALD8" s="57"/>
      <c r="ALE8" s="56"/>
      <c r="ALF8" s="57"/>
      <c r="ALG8" s="57"/>
      <c r="ALH8" s="57"/>
      <c r="ALI8" s="57"/>
      <c r="ALJ8" s="57"/>
      <c r="ALK8" s="56"/>
      <c r="ALL8" s="57"/>
      <c r="ALM8" s="57"/>
      <c r="ALN8" s="56"/>
      <c r="ALO8" s="57"/>
      <c r="ALP8" s="58"/>
      <c r="ALQ8" s="56"/>
      <c r="ALR8" s="57"/>
      <c r="ALS8" s="57"/>
      <c r="ALT8" s="57"/>
      <c r="ALU8" s="56"/>
      <c r="ALV8" s="57"/>
      <c r="ALW8" s="57"/>
      <c r="ALX8" s="56"/>
      <c r="ALY8" s="57"/>
      <c r="ALZ8" s="58"/>
      <c r="AMA8" s="56"/>
      <c r="AMB8" s="57"/>
      <c r="AMC8" s="57"/>
      <c r="AMD8" s="57"/>
      <c r="AME8" s="56"/>
      <c r="AMF8" s="57"/>
      <c r="AMG8" s="57"/>
      <c r="AMH8" s="57"/>
      <c r="AMI8" s="57"/>
      <c r="AMJ8" s="57"/>
      <c r="AMK8" s="56"/>
      <c r="AML8" s="57"/>
      <c r="AMM8" s="57"/>
      <c r="AMN8" s="56"/>
      <c r="AMO8" s="57"/>
      <c r="AMP8" s="58"/>
      <c r="AMQ8" s="56"/>
      <c r="AMR8" s="57"/>
      <c r="AMS8" s="57"/>
      <c r="AMT8" s="57"/>
      <c r="AMU8" s="56"/>
      <c r="AMV8" s="57"/>
      <c r="AMW8" s="57"/>
      <c r="AMX8" s="56"/>
      <c r="AMY8" s="57"/>
      <c r="AMZ8" s="58"/>
      <c r="ANA8" s="56"/>
      <c r="ANB8" s="57"/>
      <c r="ANC8" s="57"/>
      <c r="AND8" s="57"/>
      <c r="ANE8" s="56"/>
      <c r="ANF8" s="57"/>
      <c r="ANG8" s="57"/>
      <c r="ANH8" s="57"/>
      <c r="ANI8" s="57"/>
      <c r="ANJ8" s="57"/>
      <c r="ANK8" s="56"/>
      <c r="ANL8" s="57"/>
      <c r="ANM8" s="57"/>
      <c r="ANN8" s="56"/>
      <c r="ANO8" s="57"/>
      <c r="ANP8" s="58"/>
      <c r="ANQ8" s="56"/>
      <c r="ANR8" s="57"/>
      <c r="ANS8" s="57"/>
      <c r="ANT8" s="57"/>
      <c r="ANU8" s="56"/>
      <c r="ANV8" s="57"/>
      <c r="ANW8" s="57"/>
      <c r="ANX8" s="56"/>
      <c r="ANY8" s="57"/>
      <c r="ANZ8" s="58"/>
      <c r="AOA8" s="56"/>
      <c r="AOB8" s="57"/>
      <c r="AOC8" s="57"/>
      <c r="AOD8" s="57"/>
      <c r="AOE8" s="56"/>
      <c r="AOF8" s="57"/>
      <c r="AOG8" s="57"/>
      <c r="AOH8" s="57"/>
      <c r="AOI8" s="57"/>
      <c r="AOJ8" s="57"/>
      <c r="AOK8" s="56"/>
      <c r="AOL8" s="57"/>
      <c r="AOM8" s="57"/>
      <c r="AON8" s="56"/>
      <c r="AOO8" s="57"/>
      <c r="AOP8" s="58"/>
      <c r="AOQ8" s="56"/>
      <c r="AOR8" s="57"/>
      <c r="AOS8" s="57"/>
      <c r="AOT8" s="57"/>
      <c r="AOU8" s="56"/>
      <c r="AOV8" s="57"/>
      <c r="AOW8" s="57"/>
      <c r="AOX8" s="56"/>
      <c r="AOY8" s="57"/>
      <c r="AOZ8" s="58"/>
      <c r="APA8" s="56"/>
      <c r="APB8" s="57"/>
      <c r="APC8" s="57"/>
      <c r="APD8" s="57"/>
      <c r="APE8" s="56"/>
      <c r="APF8" s="57"/>
      <c r="APG8" s="57"/>
      <c r="APH8" s="57"/>
      <c r="API8" s="57"/>
      <c r="APJ8" s="57"/>
      <c r="APK8" s="56"/>
      <c r="APL8" s="57"/>
      <c r="APM8" s="57"/>
      <c r="APN8" s="56"/>
      <c r="APO8" s="57"/>
      <c r="APP8" s="58"/>
      <c r="APQ8" s="56"/>
      <c r="APR8" s="57"/>
      <c r="APS8" s="57"/>
      <c r="APT8" s="57"/>
      <c r="APU8" s="56"/>
      <c r="APV8" s="57"/>
      <c r="APW8" s="57"/>
      <c r="APX8" s="56"/>
      <c r="APY8" s="57"/>
      <c r="APZ8" s="58"/>
      <c r="AQA8" s="56"/>
      <c r="AQB8" s="57"/>
      <c r="AQC8" s="57"/>
      <c r="AQD8" s="57"/>
      <c r="AQE8" s="56"/>
      <c r="AQF8" s="57"/>
      <c r="AQG8" s="57"/>
      <c r="AQH8" s="57"/>
      <c r="AQI8" s="57"/>
      <c r="AQJ8" s="57"/>
      <c r="AQK8" s="56"/>
      <c r="AQL8" s="57"/>
      <c r="AQM8" s="57"/>
      <c r="AQN8" s="56"/>
      <c r="AQO8" s="57"/>
      <c r="AQP8" s="58"/>
      <c r="AQQ8" s="56"/>
      <c r="AQR8" s="57"/>
      <c r="AQS8" s="57"/>
      <c r="AQT8" s="57"/>
      <c r="AQU8" s="56"/>
      <c r="AQV8" s="57"/>
      <c r="AQW8" s="57"/>
      <c r="AQX8" s="56"/>
      <c r="AQY8" s="57"/>
      <c r="AQZ8" s="58"/>
      <c r="ARA8" s="56"/>
      <c r="ARB8" s="57"/>
      <c r="ARC8" s="57"/>
      <c r="ARD8" s="57"/>
      <c r="ARE8" s="56"/>
      <c r="ARF8" s="57"/>
      <c r="ARG8" s="57"/>
      <c r="ARH8" s="57"/>
      <c r="ARI8" s="57"/>
      <c r="ARJ8" s="57"/>
      <c r="ARK8" s="56"/>
      <c r="ARL8" s="57"/>
      <c r="ARM8" s="57"/>
      <c r="ARN8" s="56"/>
      <c r="ARO8" s="57"/>
      <c r="ARP8" s="58"/>
      <c r="ARQ8" s="56"/>
      <c r="ARR8" s="57"/>
      <c r="ARS8" s="57"/>
      <c r="ART8" s="57"/>
      <c r="ARU8" s="56"/>
      <c r="ARV8" s="57"/>
      <c r="ARW8" s="57"/>
      <c r="ARX8" s="56"/>
      <c r="ARY8" s="57"/>
      <c r="ARZ8" s="58"/>
      <c r="ASA8" s="56"/>
      <c r="ASB8" s="57"/>
      <c r="ASC8" s="57"/>
      <c r="ASD8" s="57"/>
      <c r="ASE8" s="56"/>
      <c r="ASF8" s="57"/>
      <c r="ASG8" s="57"/>
      <c r="ASH8" s="57"/>
      <c r="ASI8" s="57"/>
      <c r="ASJ8" s="57"/>
      <c r="ASK8" s="56"/>
      <c r="ASL8" s="57"/>
      <c r="ASM8" s="57"/>
      <c r="ASN8" s="56"/>
      <c r="ASO8" s="57"/>
      <c r="ASP8" s="58"/>
      <c r="ASQ8" s="56"/>
      <c r="ASR8" s="57"/>
      <c r="ASS8" s="57"/>
      <c r="AST8" s="57"/>
      <c r="ASU8" s="56"/>
      <c r="ASV8" s="57"/>
      <c r="ASW8" s="57"/>
      <c r="ASX8" s="56"/>
      <c r="ASY8" s="57"/>
      <c r="ASZ8" s="58"/>
      <c r="ATA8" s="56"/>
      <c r="ATB8" s="57"/>
      <c r="ATC8" s="57"/>
      <c r="ATD8" s="57"/>
      <c r="ATE8" s="56"/>
      <c r="ATF8" s="57"/>
      <c r="ATG8" s="57"/>
      <c r="ATH8" s="57"/>
      <c r="ATI8" s="57"/>
      <c r="ATJ8" s="57"/>
      <c r="ATK8" s="56"/>
      <c r="ATL8" s="57"/>
      <c r="ATM8" s="57"/>
      <c r="ATN8" s="56"/>
      <c r="ATO8" s="57"/>
      <c r="ATP8" s="58"/>
      <c r="ATQ8" s="56"/>
      <c r="ATR8" s="57"/>
      <c r="ATS8" s="57"/>
      <c r="ATT8" s="57"/>
      <c r="ATU8" s="56"/>
      <c r="ATV8" s="57"/>
      <c r="ATW8" s="57"/>
      <c r="ATX8" s="56"/>
      <c r="ATY8" s="57"/>
      <c r="ATZ8" s="58"/>
      <c r="AUA8" s="56"/>
      <c r="AUB8" s="57"/>
      <c r="AUC8" s="57"/>
      <c r="AUD8" s="57"/>
      <c r="AUE8" s="56"/>
      <c r="AUF8" s="57"/>
      <c r="AUG8" s="57"/>
      <c r="AUH8" s="57"/>
      <c r="AUI8" s="57"/>
      <c r="AUJ8" s="57"/>
      <c r="AUK8" s="56"/>
      <c r="AUL8" s="57"/>
      <c r="AUM8" s="57"/>
      <c r="AUN8" s="56"/>
      <c r="AUO8" s="57"/>
      <c r="AUP8" s="58"/>
      <c r="AUQ8" s="56"/>
      <c r="AUR8" s="57"/>
      <c r="AUS8" s="57"/>
      <c r="AUT8" s="57"/>
      <c r="AUU8" s="56"/>
      <c r="AUV8" s="57"/>
      <c r="AUW8" s="57"/>
      <c r="AUX8" s="56"/>
      <c r="AUY8" s="57"/>
      <c r="AUZ8" s="58"/>
      <c r="AVA8" s="56"/>
      <c r="AVB8" s="57"/>
      <c r="AVC8" s="57"/>
      <c r="AVD8" s="57"/>
      <c r="AVE8" s="56"/>
      <c r="AVF8" s="57"/>
      <c r="AVG8" s="57"/>
      <c r="AVH8" s="57"/>
      <c r="AVI8" s="57"/>
      <c r="AVJ8" s="57"/>
      <c r="AVK8" s="56"/>
      <c r="AVL8" s="57"/>
      <c r="AVM8" s="57"/>
      <c r="AVN8" s="56"/>
      <c r="AVO8" s="57"/>
      <c r="AVP8" s="58"/>
      <c r="AVQ8" s="56"/>
      <c r="AVR8" s="57"/>
      <c r="AVS8" s="57"/>
      <c r="AVT8" s="57"/>
      <c r="AVU8" s="56"/>
      <c r="AVV8" s="57"/>
      <c r="AVW8" s="57"/>
      <c r="AVX8" s="56"/>
      <c r="AVY8" s="57"/>
      <c r="AVZ8" s="58"/>
      <c r="AWA8" s="56"/>
      <c r="AWB8" s="57"/>
      <c r="AWC8" s="57"/>
      <c r="AWD8" s="57"/>
      <c r="AWE8" s="56"/>
      <c r="AWF8" s="57"/>
      <c r="AWG8" s="57"/>
      <c r="AWH8" s="57"/>
      <c r="AWI8" s="57"/>
      <c r="AWJ8" s="57"/>
      <c r="AWK8" s="56"/>
      <c r="AWL8" s="57"/>
      <c r="AWM8" s="57"/>
      <c r="AWN8" s="56"/>
      <c r="AWO8" s="57"/>
      <c r="AWP8" s="58"/>
      <c r="AWQ8" s="56"/>
      <c r="AWR8" s="57"/>
      <c r="AWS8" s="57"/>
      <c r="AWT8" s="57"/>
      <c r="AWU8" s="56"/>
      <c r="AWV8" s="57"/>
      <c r="AWW8" s="57"/>
      <c r="AWX8" s="56"/>
      <c r="AWY8" s="57"/>
      <c r="AWZ8" s="58"/>
      <c r="AXA8" s="56"/>
      <c r="AXB8" s="57"/>
      <c r="AXC8" s="57"/>
      <c r="AXD8" s="57"/>
      <c r="AXE8" s="56"/>
      <c r="AXF8" s="57"/>
      <c r="AXG8" s="57"/>
      <c r="AXH8" s="57"/>
      <c r="AXI8" s="57"/>
      <c r="AXJ8" s="57"/>
      <c r="AXK8" s="56"/>
      <c r="AXL8" s="57"/>
      <c r="AXM8" s="57"/>
      <c r="AXN8" s="56"/>
      <c r="AXO8" s="57"/>
      <c r="AXP8" s="58"/>
      <c r="AXQ8" s="56"/>
      <c r="AXR8" s="57"/>
      <c r="AXS8" s="57"/>
      <c r="AXT8" s="57"/>
      <c r="AXU8" s="56"/>
      <c r="AXV8" s="57"/>
      <c r="AXW8" s="57"/>
      <c r="AXX8" s="56"/>
      <c r="AXY8" s="57"/>
      <c r="AXZ8" s="58"/>
      <c r="AYA8" s="56"/>
      <c r="AYB8" s="57"/>
      <c r="AYC8" s="57"/>
      <c r="AYD8" s="57"/>
      <c r="AYE8" s="56"/>
      <c r="AYF8" s="57"/>
      <c r="AYG8" s="57"/>
      <c r="AYH8" s="57"/>
      <c r="AYI8" s="57"/>
      <c r="AYJ8" s="57"/>
      <c r="AYK8" s="56"/>
      <c r="AYL8" s="57"/>
      <c r="AYM8" s="57"/>
      <c r="AYN8" s="56"/>
      <c r="AYO8" s="57"/>
      <c r="AYP8" s="58"/>
      <c r="AYQ8" s="56"/>
      <c r="AYR8" s="57"/>
      <c r="AYS8" s="57"/>
      <c r="AYT8" s="57"/>
      <c r="AYU8" s="56"/>
      <c r="AYV8" s="57"/>
      <c r="AYW8" s="57"/>
      <c r="AYX8" s="56"/>
      <c r="AYY8" s="57"/>
      <c r="AYZ8" s="58"/>
      <c r="AZA8" s="56"/>
      <c r="AZB8" s="57"/>
      <c r="AZC8" s="57"/>
      <c r="AZD8" s="57"/>
      <c r="AZE8" s="56"/>
      <c r="AZF8" s="57"/>
      <c r="AZG8" s="57"/>
      <c r="AZH8" s="57"/>
      <c r="AZI8" s="57"/>
      <c r="AZJ8" s="57"/>
      <c r="AZK8" s="56"/>
      <c r="AZL8" s="57"/>
      <c r="AZM8" s="57"/>
      <c r="AZN8" s="56"/>
      <c r="AZO8" s="57"/>
      <c r="AZP8" s="58"/>
      <c r="AZQ8" s="56"/>
      <c r="AZR8" s="57"/>
      <c r="AZS8" s="57"/>
      <c r="AZT8" s="57"/>
      <c r="AZU8" s="56"/>
      <c r="AZV8" s="57"/>
      <c r="AZW8" s="57"/>
      <c r="AZX8" s="56"/>
      <c r="AZY8" s="57"/>
      <c r="AZZ8" s="58"/>
      <c r="BAA8" s="56"/>
      <c r="BAB8" s="57"/>
      <c r="BAC8" s="57"/>
      <c r="BAD8" s="57"/>
      <c r="BAE8" s="56"/>
      <c r="BAF8" s="57"/>
      <c r="BAG8" s="57"/>
      <c r="BAH8" s="57"/>
      <c r="BAI8" s="57"/>
      <c r="BAJ8" s="57"/>
      <c r="BAK8" s="56"/>
      <c r="BAL8" s="57"/>
      <c r="BAM8" s="57"/>
      <c r="BAN8" s="56"/>
      <c r="BAO8" s="57"/>
      <c r="BAP8" s="58"/>
      <c r="BAQ8" s="56"/>
      <c r="BAR8" s="57"/>
      <c r="BAS8" s="57"/>
      <c r="BAT8" s="57"/>
      <c r="BAU8" s="56"/>
      <c r="BAV8" s="57"/>
      <c r="BAW8" s="57"/>
      <c r="BAX8" s="56"/>
      <c r="BAY8" s="57"/>
      <c r="BAZ8" s="58"/>
      <c r="BBA8" s="56"/>
      <c r="BBB8" s="57"/>
      <c r="BBC8" s="57"/>
      <c r="BBD8" s="57"/>
      <c r="BBE8" s="56"/>
      <c r="BBF8" s="57"/>
      <c r="BBG8" s="57"/>
      <c r="BBH8" s="57"/>
      <c r="BBI8" s="57"/>
      <c r="BBJ8" s="57"/>
      <c r="BBK8" s="56"/>
      <c r="BBL8" s="57"/>
      <c r="BBM8" s="57"/>
      <c r="BBN8" s="56"/>
      <c r="BBO8" s="57"/>
      <c r="BBP8" s="58"/>
      <c r="BBQ8" s="56"/>
      <c r="BBR8" s="57"/>
      <c r="BBS8" s="57"/>
      <c r="BBT8" s="57"/>
      <c r="BBU8" s="56"/>
      <c r="BBV8" s="57"/>
      <c r="BBW8" s="57"/>
      <c r="BBX8" s="56"/>
      <c r="BBY8" s="57"/>
      <c r="BBZ8" s="58"/>
      <c r="BCA8" s="56"/>
      <c r="BCB8" s="57"/>
      <c r="BCC8" s="57"/>
      <c r="BCD8" s="57"/>
      <c r="BCE8" s="56"/>
      <c r="BCF8" s="57"/>
      <c r="BCG8" s="57"/>
      <c r="BCH8" s="57"/>
      <c r="BCI8" s="57"/>
      <c r="BCJ8" s="57"/>
      <c r="BCK8" s="56"/>
      <c r="BCL8" s="57"/>
      <c r="BCM8" s="57"/>
      <c r="BCN8" s="56"/>
      <c r="BCO8" s="57"/>
      <c r="BCP8" s="58"/>
      <c r="BCQ8" s="56"/>
      <c r="BCR8" s="57"/>
      <c r="BCS8" s="57"/>
      <c r="BCT8" s="57"/>
      <c r="BCU8" s="56"/>
      <c r="BCV8" s="57"/>
      <c r="BCW8" s="57"/>
      <c r="BCX8" s="56"/>
      <c r="BCY8" s="57"/>
      <c r="BCZ8" s="58"/>
      <c r="BDA8" s="56"/>
      <c r="BDB8" s="57"/>
      <c r="BDC8" s="57"/>
      <c r="BDD8" s="57"/>
      <c r="BDE8" s="56"/>
      <c r="BDF8" s="57"/>
      <c r="BDG8" s="57"/>
      <c r="BDH8" s="57"/>
      <c r="BDI8" s="57"/>
      <c r="BDJ8" s="57"/>
      <c r="BDK8" s="56"/>
      <c r="BDL8" s="57"/>
      <c r="BDM8" s="57"/>
      <c r="BDN8" s="56"/>
      <c r="BDO8" s="57"/>
      <c r="BDP8" s="58"/>
      <c r="BDQ8" s="56"/>
      <c r="BDR8" s="57"/>
      <c r="BDS8" s="57"/>
      <c r="BDT8" s="57"/>
      <c r="BDU8" s="56"/>
      <c r="BDV8" s="57"/>
      <c r="BDW8" s="57"/>
      <c r="BDX8" s="56"/>
      <c r="BDY8" s="57"/>
      <c r="BDZ8" s="58"/>
      <c r="BEA8" s="56"/>
      <c r="BEB8" s="57"/>
      <c r="BEC8" s="57"/>
      <c r="BED8" s="57"/>
      <c r="BEE8" s="56"/>
      <c r="BEF8" s="57"/>
      <c r="BEG8" s="57"/>
      <c r="BEH8" s="57"/>
      <c r="BEI8" s="57"/>
      <c r="BEJ8" s="57"/>
      <c r="BEK8" s="56"/>
      <c r="BEL8" s="57"/>
      <c r="BEM8" s="57"/>
      <c r="BEN8" s="56"/>
      <c r="BEO8" s="57"/>
      <c r="BEP8" s="58"/>
      <c r="BEQ8" s="56"/>
      <c r="BER8" s="57"/>
      <c r="BES8" s="57"/>
      <c r="BET8" s="57"/>
      <c r="BEU8" s="56"/>
      <c r="BEV8" s="57"/>
      <c r="BEW8" s="57"/>
      <c r="BEX8" s="56"/>
      <c r="BEY8" s="57"/>
      <c r="BEZ8" s="58"/>
      <c r="BFA8" s="56"/>
      <c r="BFB8" s="57"/>
      <c r="BFC8" s="57"/>
      <c r="BFD8" s="57"/>
      <c r="BFE8" s="56"/>
      <c r="BFF8" s="57"/>
      <c r="BFG8" s="57"/>
      <c r="BFH8" s="57"/>
      <c r="BFI8" s="57"/>
      <c r="BFJ8" s="57"/>
      <c r="BFK8" s="56"/>
      <c r="BFL8" s="57"/>
      <c r="BFM8" s="57"/>
      <c r="BFN8" s="56"/>
      <c r="BFO8" s="57"/>
      <c r="BFP8" s="58"/>
      <c r="BFQ8" s="56"/>
      <c r="BFR8" s="57"/>
      <c r="BFS8" s="57"/>
      <c r="BFT8" s="57"/>
      <c r="BFU8" s="56"/>
      <c r="BFV8" s="57"/>
      <c r="BFW8" s="57"/>
      <c r="BFX8" s="56"/>
      <c r="BFY8" s="57"/>
      <c r="BFZ8" s="58"/>
      <c r="BGA8" s="56"/>
      <c r="BGB8" s="57"/>
      <c r="BGC8" s="57"/>
      <c r="BGD8" s="57"/>
      <c r="BGE8" s="56"/>
      <c r="BGF8" s="57"/>
      <c r="BGG8" s="57"/>
      <c r="BGH8" s="57"/>
      <c r="BGI8" s="57"/>
      <c r="BGJ8" s="57"/>
      <c r="BGK8" s="56"/>
      <c r="BGL8" s="57"/>
      <c r="BGM8" s="57"/>
      <c r="BGN8" s="56"/>
      <c r="BGO8" s="57"/>
      <c r="BGP8" s="58"/>
      <c r="BGQ8" s="56"/>
      <c r="BGR8" s="57"/>
      <c r="BGS8" s="57"/>
      <c r="BGT8" s="57"/>
      <c r="BGU8" s="56"/>
      <c r="BGV8" s="57"/>
      <c r="BGW8" s="57"/>
      <c r="BGX8" s="56"/>
      <c r="BGY8" s="57"/>
      <c r="BGZ8" s="58"/>
      <c r="BHA8" s="56"/>
      <c r="BHB8" s="57"/>
      <c r="BHC8" s="57"/>
      <c r="BHD8" s="57"/>
      <c r="BHE8" s="56"/>
      <c r="BHF8" s="57"/>
      <c r="BHG8" s="57"/>
      <c r="BHH8" s="57"/>
      <c r="BHI8" s="57"/>
      <c r="BHJ8" s="57"/>
      <c r="BHK8" s="56"/>
      <c r="BHL8" s="57"/>
      <c r="BHM8" s="57"/>
      <c r="BHN8" s="56"/>
      <c r="BHO8" s="57"/>
      <c r="BHP8" s="58"/>
      <c r="BHQ8" s="56"/>
      <c r="BHR8" s="57"/>
      <c r="BHS8" s="57"/>
      <c r="BHT8" s="57"/>
      <c r="BHU8" s="56"/>
      <c r="BHV8" s="57"/>
      <c r="BHW8" s="57"/>
      <c r="BHX8" s="56"/>
      <c r="BHY8" s="57"/>
      <c r="BHZ8" s="58"/>
      <c r="BIA8" s="56"/>
      <c r="BIB8" s="57"/>
      <c r="BIC8" s="57"/>
      <c r="BID8" s="57"/>
      <c r="BIE8" s="56"/>
      <c r="BIF8" s="57"/>
      <c r="BIG8" s="57"/>
      <c r="BIH8" s="57"/>
      <c r="BII8" s="57"/>
      <c r="BIJ8" s="57"/>
      <c r="BIK8" s="56"/>
      <c r="BIL8" s="57"/>
      <c r="BIM8" s="57"/>
      <c r="BIN8" s="56"/>
      <c r="BIO8" s="57"/>
      <c r="BIP8" s="58"/>
      <c r="BIQ8" s="56"/>
      <c r="BIR8" s="57"/>
      <c r="BIS8" s="57"/>
      <c r="BIT8" s="57"/>
      <c r="BIU8" s="56"/>
      <c r="BIV8" s="57"/>
      <c r="BIW8" s="57"/>
      <c r="BIX8" s="56"/>
      <c r="BIY8" s="57"/>
      <c r="BIZ8" s="58"/>
      <c r="BJA8" s="56"/>
      <c r="BJB8" s="57"/>
      <c r="BJC8" s="57"/>
      <c r="BJD8" s="57"/>
      <c r="BJE8" s="56"/>
      <c r="BJF8" s="57"/>
      <c r="BJG8" s="57"/>
      <c r="BJH8" s="57"/>
      <c r="BJI8" s="57"/>
      <c r="BJJ8" s="57"/>
      <c r="BJK8" s="56"/>
      <c r="BJL8" s="57"/>
      <c r="BJM8" s="57"/>
      <c r="BJN8" s="56"/>
      <c r="BJO8" s="57"/>
      <c r="BJP8" s="58"/>
      <c r="BJQ8" s="56"/>
      <c r="BJR8" s="57"/>
      <c r="BJS8" s="57"/>
      <c r="BJT8" s="57"/>
      <c r="BJU8" s="56"/>
      <c r="BJV8" s="57"/>
      <c r="BJW8" s="57"/>
      <c r="BJX8" s="56"/>
      <c r="BJY8" s="57"/>
      <c r="BJZ8" s="58"/>
      <c r="BKA8" s="56"/>
      <c r="BKB8" s="57"/>
      <c r="BKC8" s="57"/>
      <c r="BKD8" s="57"/>
      <c r="BKE8" s="56"/>
      <c r="BKF8" s="57"/>
      <c r="BKG8" s="57"/>
      <c r="BKH8" s="57"/>
      <c r="BKI8" s="57"/>
      <c r="BKJ8" s="57"/>
      <c r="BKK8" s="56"/>
      <c r="BKL8" s="57"/>
      <c r="BKM8" s="57"/>
      <c r="BKN8" s="56"/>
      <c r="BKO8" s="57"/>
      <c r="BKP8" s="58"/>
      <c r="BKQ8" s="56"/>
      <c r="BKR8" s="57"/>
      <c r="BKS8" s="57"/>
      <c r="BKT8" s="57"/>
      <c r="BKU8" s="56"/>
      <c r="BKV8" s="57"/>
      <c r="BKW8" s="57"/>
      <c r="BKX8" s="56"/>
      <c r="BKY8" s="57"/>
      <c r="BKZ8" s="58"/>
      <c r="BLA8" s="56"/>
      <c r="BLB8" s="57"/>
      <c r="BLC8" s="57"/>
      <c r="BLD8" s="57"/>
      <c r="BLE8" s="56"/>
      <c r="BLF8" s="57"/>
      <c r="BLG8" s="57"/>
      <c r="BLH8" s="57"/>
      <c r="BLI8" s="57"/>
      <c r="BLJ8" s="57"/>
      <c r="BLK8" s="56"/>
      <c r="BLL8" s="57"/>
      <c r="BLM8" s="57"/>
      <c r="BLN8" s="56"/>
      <c r="BLO8" s="57"/>
      <c r="BLP8" s="58"/>
      <c r="BLQ8" s="56"/>
      <c r="BLR8" s="57"/>
      <c r="BLS8" s="57"/>
      <c r="BLT8" s="57"/>
      <c r="BLU8" s="56"/>
      <c r="BLV8" s="57"/>
      <c r="BLW8" s="57"/>
      <c r="BLX8" s="56"/>
      <c r="BLY8" s="57"/>
      <c r="BLZ8" s="58"/>
      <c r="BMA8" s="56"/>
      <c r="BMB8" s="57"/>
      <c r="BMC8" s="57"/>
      <c r="BMD8" s="57"/>
      <c r="BME8" s="56"/>
      <c r="BMF8" s="57"/>
      <c r="BMG8" s="57"/>
      <c r="BMH8" s="57"/>
      <c r="BMI8" s="57"/>
      <c r="BMJ8" s="57"/>
      <c r="BMK8" s="56"/>
      <c r="BML8" s="57"/>
      <c r="BMM8" s="57"/>
      <c r="BMN8" s="56"/>
      <c r="BMO8" s="57"/>
      <c r="BMP8" s="58"/>
      <c r="BMQ8" s="56"/>
      <c r="BMR8" s="57"/>
      <c r="BMS8" s="57"/>
      <c r="BMT8" s="57"/>
      <c r="BMU8" s="56"/>
      <c r="BMV8" s="57"/>
      <c r="BMW8" s="57"/>
      <c r="BMX8" s="56"/>
      <c r="BMY8" s="57"/>
      <c r="BMZ8" s="58"/>
      <c r="BNA8" s="56"/>
      <c r="BNB8" s="57"/>
      <c r="BNC8" s="57"/>
      <c r="BND8" s="57"/>
      <c r="BNE8" s="56"/>
      <c r="BNF8" s="57"/>
      <c r="BNG8" s="57"/>
      <c r="BNH8" s="57"/>
      <c r="BNI8" s="57"/>
      <c r="BNJ8" s="57"/>
      <c r="BNK8" s="56"/>
      <c r="BNL8" s="57"/>
      <c r="BNM8" s="57"/>
      <c r="BNN8" s="56"/>
      <c r="BNO8" s="57"/>
      <c r="BNP8" s="58"/>
      <c r="BNQ8" s="56"/>
      <c r="BNR8" s="57"/>
      <c r="BNS8" s="57"/>
      <c r="BNT8" s="57"/>
      <c r="BNU8" s="56"/>
      <c r="BNV8" s="57"/>
      <c r="BNW8" s="57"/>
      <c r="BNX8" s="56"/>
      <c r="BNY8" s="57"/>
      <c r="BNZ8" s="58"/>
      <c r="BOA8" s="56"/>
      <c r="BOB8" s="57"/>
      <c r="BOC8" s="57"/>
      <c r="BOD8" s="57"/>
      <c r="BOE8" s="56"/>
      <c r="BOF8" s="57"/>
      <c r="BOG8" s="57"/>
      <c r="BOH8" s="57"/>
      <c r="BOI8" s="57"/>
      <c r="BOJ8" s="57"/>
      <c r="BOK8" s="56"/>
      <c r="BOL8" s="57"/>
      <c r="BOM8" s="57"/>
      <c r="BON8" s="56"/>
      <c r="BOO8" s="57"/>
      <c r="BOP8" s="58"/>
      <c r="BOQ8" s="56"/>
      <c r="BOR8" s="57"/>
      <c r="BOS8" s="57"/>
      <c r="BOT8" s="57"/>
      <c r="BOU8" s="56"/>
      <c r="BOV8" s="57"/>
      <c r="BOW8" s="57"/>
      <c r="BOX8" s="56"/>
      <c r="BOY8" s="57"/>
      <c r="BOZ8" s="58"/>
      <c r="BPA8" s="56"/>
      <c r="BPB8" s="57"/>
      <c r="BPC8" s="57"/>
      <c r="BPD8" s="57"/>
      <c r="BPE8" s="56"/>
      <c r="BPF8" s="57"/>
      <c r="BPG8" s="57"/>
      <c r="BPH8" s="57"/>
      <c r="BPI8" s="57"/>
      <c r="BPJ8" s="57"/>
      <c r="BPK8" s="56"/>
      <c r="BPL8" s="57"/>
      <c r="BPM8" s="57"/>
      <c r="BPN8" s="56"/>
      <c r="BPO8" s="57"/>
      <c r="BPP8" s="58"/>
      <c r="BPQ8" s="56"/>
      <c r="BPR8" s="57"/>
      <c r="BPS8" s="57"/>
      <c r="BPT8" s="57"/>
      <c r="BPU8" s="56"/>
      <c r="BPV8" s="57"/>
      <c r="BPW8" s="57"/>
      <c r="BPX8" s="56"/>
      <c r="BPY8" s="57"/>
      <c r="BPZ8" s="58"/>
      <c r="BQA8" s="56"/>
      <c r="BQB8" s="57"/>
      <c r="BQC8" s="57"/>
      <c r="BQD8" s="57"/>
      <c r="BQE8" s="56"/>
      <c r="BQF8" s="57"/>
      <c r="BQG8" s="57"/>
      <c r="BQH8" s="57"/>
      <c r="BQI8" s="57"/>
      <c r="BQJ8" s="57"/>
      <c r="BQK8" s="56"/>
      <c r="BQL8" s="57"/>
      <c r="BQM8" s="57"/>
      <c r="BQN8" s="56"/>
      <c r="BQO8" s="57"/>
      <c r="BQP8" s="58"/>
      <c r="BQQ8" s="56"/>
      <c r="BQR8" s="57"/>
      <c r="BQS8" s="57"/>
      <c r="BQT8" s="57"/>
      <c r="BQU8" s="56"/>
      <c r="BQV8" s="57"/>
      <c r="BQW8" s="57"/>
      <c r="BQX8" s="56"/>
      <c r="BQY8" s="57"/>
      <c r="BQZ8" s="58"/>
      <c r="BRA8" s="56"/>
      <c r="BRB8" s="57"/>
      <c r="BRC8" s="57"/>
      <c r="BRD8" s="57"/>
      <c r="BRE8" s="56"/>
      <c r="BRF8" s="57"/>
      <c r="BRG8" s="57"/>
      <c r="BRH8" s="57"/>
      <c r="BRI8" s="57"/>
      <c r="BRJ8" s="57"/>
      <c r="BRK8" s="56"/>
      <c r="BRL8" s="57"/>
      <c r="BRM8" s="57"/>
      <c r="BRN8" s="56"/>
      <c r="BRO8" s="57"/>
      <c r="BRP8" s="58"/>
      <c r="BRQ8" s="56"/>
      <c r="BRR8" s="57"/>
      <c r="BRS8" s="57"/>
      <c r="BRT8" s="57"/>
      <c r="BRU8" s="56"/>
      <c r="BRV8" s="57"/>
      <c r="BRW8" s="57"/>
      <c r="BRX8" s="56"/>
      <c r="BRY8" s="57"/>
      <c r="BRZ8" s="58"/>
      <c r="BSA8" s="56"/>
      <c r="BSB8" s="57"/>
      <c r="BSC8" s="57"/>
      <c r="BSD8" s="57"/>
      <c r="BSE8" s="56"/>
      <c r="BSF8" s="57"/>
      <c r="BSG8" s="57"/>
      <c r="BSH8" s="57"/>
      <c r="BSI8" s="57"/>
      <c r="BSJ8" s="57"/>
      <c r="BSK8" s="56"/>
      <c r="BSL8" s="57"/>
      <c r="BSM8" s="57"/>
      <c r="BSN8" s="56"/>
      <c r="BSO8" s="57"/>
      <c r="BSP8" s="58"/>
      <c r="BSQ8" s="56"/>
      <c r="BSR8" s="57"/>
      <c r="BSS8" s="57"/>
      <c r="BST8" s="57"/>
      <c r="BSU8" s="56"/>
      <c r="BSV8" s="57"/>
      <c r="BSW8" s="57"/>
      <c r="BSX8" s="56"/>
      <c r="BSY8" s="57"/>
      <c r="BSZ8" s="58"/>
      <c r="BTA8" s="56"/>
      <c r="BTB8" s="57"/>
      <c r="BTC8" s="57"/>
      <c r="BTD8" s="57"/>
      <c r="BTE8" s="56"/>
      <c r="BTF8" s="57"/>
      <c r="BTG8" s="57"/>
      <c r="BTH8" s="57"/>
      <c r="BTI8" s="57"/>
      <c r="BTJ8" s="57"/>
      <c r="BTK8" s="56"/>
      <c r="BTL8" s="57"/>
      <c r="BTM8" s="57"/>
      <c r="BTN8" s="56"/>
      <c r="BTO8" s="57"/>
      <c r="BTP8" s="58"/>
      <c r="BTQ8" s="56"/>
      <c r="BTR8" s="57"/>
      <c r="BTS8" s="57"/>
      <c r="BTT8" s="57"/>
      <c r="BTU8" s="56"/>
      <c r="BTV8" s="57"/>
      <c r="BTW8" s="57"/>
      <c r="BTX8" s="56"/>
      <c r="BTY8" s="57"/>
      <c r="BTZ8" s="58"/>
      <c r="BUA8" s="56"/>
      <c r="BUB8" s="57"/>
      <c r="BUC8" s="57"/>
      <c r="BUD8" s="57"/>
      <c r="BUE8" s="56"/>
      <c r="BUF8" s="57"/>
      <c r="BUG8" s="57"/>
      <c r="BUH8" s="57"/>
      <c r="BUI8" s="57"/>
      <c r="BUJ8" s="57"/>
      <c r="BUK8" s="56"/>
      <c r="BUL8" s="57"/>
      <c r="BUM8" s="57"/>
      <c r="BUN8" s="56"/>
      <c r="BUO8" s="57"/>
      <c r="BUP8" s="58"/>
      <c r="BUQ8" s="56"/>
      <c r="BUR8" s="57"/>
      <c r="BUS8" s="57"/>
      <c r="BUT8" s="57"/>
      <c r="BUU8" s="56"/>
      <c r="BUV8" s="57"/>
      <c r="BUW8" s="57"/>
      <c r="BUX8" s="56"/>
      <c r="BUY8" s="57"/>
      <c r="BUZ8" s="58"/>
      <c r="BVA8" s="56"/>
      <c r="BVB8" s="57"/>
      <c r="BVC8" s="57"/>
      <c r="BVD8" s="57"/>
      <c r="BVE8" s="56"/>
      <c r="BVF8" s="57"/>
      <c r="BVG8" s="57"/>
      <c r="BVH8" s="57"/>
      <c r="BVI8" s="57"/>
      <c r="BVJ8" s="57"/>
      <c r="BVK8" s="56"/>
      <c r="BVL8" s="57"/>
      <c r="BVM8" s="57"/>
      <c r="BVN8" s="56"/>
      <c r="BVO8" s="57"/>
      <c r="BVP8" s="58"/>
      <c r="BVQ8" s="56"/>
      <c r="BVR8" s="57"/>
      <c r="BVS8" s="57"/>
      <c r="BVT8" s="57"/>
      <c r="BVU8" s="56"/>
      <c r="BVV8" s="57"/>
      <c r="BVW8" s="57"/>
      <c r="BVX8" s="56"/>
      <c r="BVY8" s="57"/>
      <c r="BVZ8" s="58"/>
      <c r="BWA8" s="56"/>
      <c r="BWB8" s="57"/>
      <c r="BWC8" s="57"/>
      <c r="BWD8" s="57"/>
      <c r="BWE8" s="56"/>
      <c r="BWF8" s="57"/>
      <c r="BWG8" s="57"/>
      <c r="BWH8" s="57"/>
      <c r="BWI8" s="57"/>
      <c r="BWJ8" s="57"/>
      <c r="BWK8" s="56"/>
      <c r="BWL8" s="57"/>
      <c r="BWM8" s="57"/>
      <c r="BWN8" s="56"/>
      <c r="BWO8" s="57"/>
      <c r="BWP8" s="58"/>
      <c r="BWQ8" s="56"/>
      <c r="BWR8" s="57"/>
      <c r="BWS8" s="57"/>
      <c r="BWT8" s="57"/>
      <c r="BWU8" s="56"/>
      <c r="BWV8" s="57"/>
      <c r="BWW8" s="57"/>
      <c r="BWX8" s="56"/>
      <c r="BWY8" s="57"/>
      <c r="BWZ8" s="58"/>
      <c r="BXA8" s="56"/>
      <c r="BXB8" s="57"/>
      <c r="BXC8" s="57"/>
      <c r="BXD8" s="57"/>
      <c r="BXE8" s="56"/>
      <c r="BXF8" s="57"/>
      <c r="BXG8" s="57"/>
      <c r="BXH8" s="57"/>
      <c r="BXI8" s="57"/>
      <c r="BXJ8" s="57"/>
      <c r="BXK8" s="56"/>
      <c r="BXL8" s="57"/>
      <c r="BXM8" s="57"/>
      <c r="BXN8" s="56"/>
      <c r="BXO8" s="57"/>
      <c r="BXP8" s="58"/>
      <c r="BXQ8" s="56"/>
      <c r="BXR8" s="57"/>
      <c r="BXS8" s="57"/>
      <c r="BXT8" s="57"/>
      <c r="BXU8" s="56"/>
      <c r="BXV8" s="57"/>
      <c r="BXW8" s="57"/>
      <c r="BXX8" s="56"/>
      <c r="BXY8" s="57"/>
      <c r="BXZ8" s="58"/>
      <c r="BYA8" s="56"/>
      <c r="BYB8" s="57"/>
      <c r="BYC8" s="57"/>
      <c r="BYD8" s="57"/>
      <c r="BYE8" s="56"/>
      <c r="BYF8" s="57"/>
      <c r="BYG8" s="57"/>
      <c r="BYH8" s="57"/>
      <c r="BYI8" s="57"/>
      <c r="BYJ8" s="57"/>
      <c r="BYK8" s="56"/>
      <c r="BYL8" s="57"/>
      <c r="BYM8" s="57"/>
      <c r="BYN8" s="56"/>
      <c r="BYO8" s="57"/>
      <c r="BYP8" s="58"/>
      <c r="BYQ8" s="56"/>
      <c r="BYR8" s="57"/>
      <c r="BYS8" s="57"/>
      <c r="BYT8" s="57"/>
      <c r="BYU8" s="56"/>
      <c r="BYV8" s="57"/>
      <c r="BYW8" s="57"/>
      <c r="BYX8" s="58"/>
      <c r="BYY8" s="57"/>
      <c r="BYZ8" s="56"/>
      <c r="BZA8" s="57"/>
      <c r="BZB8" s="56"/>
      <c r="BZC8" s="56"/>
      <c r="BZD8" s="56"/>
      <c r="BZE8" s="57"/>
      <c r="BZF8" s="386"/>
      <c r="BZG8" s="57"/>
      <c r="BZH8" s="386"/>
      <c r="BZI8" s="57"/>
      <c r="BZJ8" s="386"/>
      <c r="BZK8" s="57"/>
      <c r="BZL8" s="57"/>
      <c r="BZM8" s="57"/>
      <c r="BZN8" s="57"/>
      <c r="BZO8" s="57"/>
      <c r="BZP8" s="57"/>
      <c r="BZQ8" s="57"/>
      <c r="BZR8" s="57"/>
      <c r="BZS8" s="57"/>
      <c r="BZT8" s="57"/>
      <c r="BZU8" s="57"/>
      <c r="BZV8" s="57"/>
      <c r="BZW8" s="57"/>
      <c r="BZX8" s="57"/>
      <c r="BZY8" s="57"/>
      <c r="BZZ8" s="57"/>
      <c r="CAA8" s="57"/>
      <c r="CAB8" s="57"/>
      <c r="CAC8" s="57"/>
      <c r="CAD8" s="57"/>
      <c r="CAE8" s="57"/>
      <c r="CAF8" s="57"/>
      <c r="CAG8" s="57"/>
      <c r="CAH8" s="57"/>
      <c r="CAI8" s="57"/>
      <c r="CAJ8" s="57"/>
      <c r="CAK8" s="57"/>
      <c r="CAL8" s="57"/>
      <c r="CAM8" s="57"/>
      <c r="CAN8" s="57"/>
      <c r="CAO8" s="57"/>
      <c r="CAP8" s="58"/>
      <c r="CAQ8" s="56"/>
      <c r="CAR8" s="57"/>
      <c r="CAS8" s="57"/>
      <c r="CAT8" s="57"/>
      <c r="CAU8" s="57"/>
      <c r="CAV8" s="57"/>
      <c r="CAW8" s="56"/>
      <c r="CAX8" s="57"/>
      <c r="CAY8" s="57"/>
      <c r="CAZ8" s="56"/>
      <c r="CBA8" s="57"/>
      <c r="CBB8" s="58"/>
      <c r="CBC8" s="56"/>
      <c r="CBD8" s="57"/>
      <c r="CBE8" s="57"/>
      <c r="CBF8" s="57"/>
      <c r="CBG8" s="56"/>
      <c r="CBH8" s="57"/>
      <c r="CBI8" s="57"/>
      <c r="CBJ8" s="56"/>
      <c r="CBK8" s="57"/>
      <c r="CBL8" s="58"/>
      <c r="CBM8" s="56"/>
      <c r="CBN8" s="57"/>
      <c r="CBO8" s="57"/>
      <c r="CBP8" s="57"/>
      <c r="CBQ8" s="56"/>
      <c r="CBR8" s="57"/>
      <c r="CBS8" s="57"/>
      <c r="CBT8" s="56"/>
      <c r="CBU8" s="57"/>
      <c r="CBV8" s="58"/>
      <c r="CBW8" s="56"/>
      <c r="CBX8" s="57"/>
      <c r="CBY8" s="57"/>
      <c r="CBZ8" s="57"/>
      <c r="CCA8" s="56"/>
      <c r="CCB8" s="57"/>
      <c r="CCC8" s="57"/>
      <c r="CCD8" s="56"/>
      <c r="CCE8" s="57"/>
      <c r="CCF8" s="58"/>
      <c r="CCG8" s="56"/>
      <c r="CCH8" s="58"/>
      <c r="CCI8" s="57"/>
      <c r="CCJ8" s="56"/>
      <c r="CCK8" s="57"/>
      <c r="CCL8" s="56"/>
      <c r="CCM8" s="56"/>
      <c r="CCN8" s="56"/>
      <c r="CCO8" s="57"/>
      <c r="CCP8" s="386"/>
      <c r="CCQ8" s="57"/>
      <c r="CCR8" s="386"/>
      <c r="CCS8" s="57"/>
      <c r="CCT8" s="386"/>
      <c r="CCU8" s="57"/>
      <c r="CCV8" s="57"/>
      <c r="CCW8" s="57"/>
      <c r="CCX8" s="57"/>
      <c r="CCY8" s="57"/>
      <c r="CCZ8" s="57"/>
      <c r="CDA8" s="57"/>
      <c r="CDB8" s="57"/>
      <c r="CDC8" s="57"/>
      <c r="CDD8" s="57"/>
      <c r="CDE8" s="57"/>
      <c r="CDF8" s="57"/>
      <c r="CDG8" s="57"/>
      <c r="CDH8" s="57"/>
      <c r="CDI8" s="57"/>
      <c r="CDJ8" s="57"/>
      <c r="CDK8" s="57"/>
      <c r="CDL8" s="57"/>
      <c r="CDM8" s="57"/>
      <c r="CDN8" s="57"/>
      <c r="CDO8" s="57"/>
      <c r="CDP8" s="57"/>
      <c r="CDQ8" s="57"/>
      <c r="CDR8" s="57"/>
      <c r="CDS8" s="57"/>
      <c r="CDT8" s="57"/>
      <c r="CDU8" s="57"/>
      <c r="CDV8" s="57"/>
      <c r="CDW8" s="57"/>
      <c r="CDX8" s="57"/>
      <c r="CDY8" s="57"/>
      <c r="CDZ8" s="58"/>
      <c r="CEA8" s="56"/>
      <c r="CEB8" s="57"/>
      <c r="CEC8" s="57"/>
      <c r="CED8" s="57"/>
      <c r="CEE8" s="57"/>
      <c r="CEF8" s="57"/>
      <c r="CEG8" s="56"/>
      <c r="CEH8" s="57"/>
      <c r="CEI8" s="57"/>
      <c r="CEJ8" s="56"/>
      <c r="CEK8" s="57"/>
      <c r="CEL8" s="58"/>
      <c r="CEM8" s="56"/>
      <c r="CEN8" s="57"/>
      <c r="CEO8" s="57"/>
      <c r="CEP8" s="57"/>
      <c r="CEQ8" s="56"/>
      <c r="CER8" s="57"/>
      <c r="CES8" s="57"/>
      <c r="CET8" s="56"/>
      <c r="CEU8" s="57"/>
      <c r="CEV8" s="58"/>
      <c r="CEW8" s="56"/>
      <c r="CEX8" s="57"/>
      <c r="CEY8" s="57"/>
      <c r="CEZ8" s="57"/>
      <c r="CFA8" s="56"/>
      <c r="CFB8" s="57"/>
      <c r="CFC8" s="57"/>
      <c r="CFD8" s="56"/>
      <c r="CFE8" s="57"/>
      <c r="CFF8" s="58"/>
      <c r="CFG8" s="56"/>
      <c r="CFH8" s="57"/>
      <c r="CFI8" s="57"/>
      <c r="CFJ8" s="57"/>
      <c r="CFK8" s="56"/>
      <c r="CFL8" s="57"/>
      <c r="CFM8" s="57"/>
      <c r="CFN8" s="56"/>
      <c r="CFO8" s="57"/>
      <c r="CFP8" s="58"/>
      <c r="CFQ8" s="56"/>
      <c r="CFR8" s="58"/>
      <c r="CFS8" s="57"/>
      <c r="CFT8" s="56"/>
      <c r="CFU8" s="57"/>
      <c r="CFV8" s="56"/>
      <c r="CFW8" s="56"/>
      <c r="CFX8" s="56"/>
      <c r="CFY8" s="57"/>
      <c r="CFZ8" s="386"/>
      <c r="CGA8" s="57"/>
      <c r="CGB8" s="386"/>
      <c r="CGC8" s="57"/>
      <c r="CGD8" s="386"/>
      <c r="CGE8" s="57"/>
      <c r="CGF8" s="57"/>
      <c r="CGG8" s="57"/>
      <c r="CGH8" s="57"/>
      <c r="CGI8" s="57"/>
      <c r="CGJ8" s="57"/>
      <c r="CGK8" s="57"/>
      <c r="CGL8" s="57"/>
      <c r="CGM8" s="57"/>
      <c r="CGN8" s="57"/>
      <c r="CGO8" s="57"/>
      <c r="CGP8" s="57"/>
      <c r="CGQ8" s="57"/>
      <c r="CGR8" s="57"/>
      <c r="CGS8" s="57"/>
      <c r="CGT8" s="57"/>
      <c r="CGU8" s="57"/>
      <c r="CGV8" s="57"/>
      <c r="CGW8" s="57"/>
      <c r="CGX8" s="57"/>
      <c r="CGY8" s="57"/>
      <c r="CGZ8" s="57"/>
      <c r="CHA8" s="57"/>
      <c r="CHB8" s="57"/>
      <c r="CHC8" s="57"/>
      <c r="CHD8" s="57"/>
      <c r="CHE8" s="57"/>
      <c r="CHF8" s="57"/>
      <c r="CHG8" s="57"/>
      <c r="CHH8" s="57"/>
      <c r="CHI8" s="57"/>
      <c r="CHJ8" s="58"/>
      <c r="CHK8" s="56"/>
      <c r="CHL8" s="57"/>
      <c r="CHM8" s="57"/>
      <c r="CHN8" s="57"/>
      <c r="CHO8" s="57"/>
      <c r="CHP8" s="57"/>
      <c r="CHQ8" s="56"/>
      <c r="CHR8" s="57"/>
      <c r="CHS8" s="57"/>
      <c r="CHT8" s="56"/>
      <c r="CHU8" s="57"/>
      <c r="CHV8" s="58"/>
      <c r="CHW8" s="56"/>
      <c r="CHX8" s="57"/>
      <c r="CHY8" s="57"/>
      <c r="CHZ8" s="57"/>
      <c r="CIA8" s="56"/>
      <c r="CIB8" s="57"/>
      <c r="CIC8" s="57"/>
      <c r="CID8" s="56"/>
      <c r="CIE8" s="57"/>
      <c r="CIF8" s="58"/>
      <c r="CIG8" s="56"/>
      <c r="CIH8" s="57"/>
      <c r="CII8" s="57"/>
      <c r="CIJ8" s="57"/>
      <c r="CIK8" s="56"/>
      <c r="CIL8" s="57"/>
      <c r="CIM8" s="57"/>
      <c r="CIN8" s="56"/>
      <c r="CIO8" s="57"/>
      <c r="CIP8" s="58"/>
      <c r="CIQ8" s="56"/>
      <c r="CIR8" s="57"/>
      <c r="CIS8" s="57"/>
      <c r="CIT8" s="57"/>
      <c r="CIU8" s="56"/>
      <c r="CIV8" s="57"/>
      <c r="CIW8" s="57"/>
      <c r="CIX8" s="56"/>
      <c r="CIY8" s="57"/>
      <c r="CIZ8" s="58"/>
      <c r="CJA8" s="56"/>
      <c r="CJB8" s="58"/>
      <c r="CJC8" s="57"/>
      <c r="CJD8" s="56"/>
      <c r="CJE8" s="57"/>
      <c r="CJF8" s="56"/>
      <c r="CJG8" s="56"/>
      <c r="CJH8" s="56"/>
      <c r="CJI8" s="57"/>
      <c r="CJJ8" s="386"/>
      <c r="CJK8" s="57"/>
      <c r="CJL8" s="386"/>
      <c r="CJM8" s="57"/>
      <c r="CJN8" s="386"/>
      <c r="CJO8" s="57"/>
      <c r="CJP8" s="57"/>
      <c r="CJQ8" s="57"/>
      <c r="CJR8" s="57"/>
      <c r="CJS8" s="57"/>
      <c r="CJT8" s="57"/>
      <c r="CJU8" s="57"/>
      <c r="CJV8" s="57"/>
      <c r="CJW8" s="57"/>
      <c r="CJX8" s="57"/>
      <c r="CJY8" s="57"/>
      <c r="CJZ8" s="57"/>
      <c r="CKA8" s="57"/>
      <c r="CKB8" s="57"/>
      <c r="CKC8" s="57"/>
      <c r="CKD8" s="57"/>
      <c r="CKE8" s="57"/>
      <c r="CKF8" s="57"/>
      <c r="CKG8" s="57"/>
      <c r="CKH8" s="57"/>
      <c r="CKI8" s="57"/>
      <c r="CKJ8" s="57"/>
      <c r="CKK8" s="57"/>
      <c r="CKL8" s="57"/>
      <c r="CKM8" s="57"/>
      <c r="CKN8" s="57"/>
      <c r="CKO8" s="57"/>
      <c r="CKP8" s="57"/>
      <c r="CKQ8" s="57"/>
      <c r="CKR8" s="57"/>
      <c r="CKS8" s="57"/>
      <c r="CKT8" s="58"/>
      <c r="CKU8" s="56"/>
      <c r="CKV8" s="57"/>
      <c r="CKW8" s="57"/>
      <c r="CKX8" s="57"/>
      <c r="CKY8" s="57"/>
      <c r="CKZ8" s="57"/>
      <c r="CLA8" s="56"/>
      <c r="CLB8" s="57"/>
      <c r="CLC8" s="57"/>
      <c r="CLD8" s="56"/>
      <c r="CLE8" s="57"/>
      <c r="CLF8" s="58"/>
      <c r="CLG8" s="56"/>
      <c r="CLH8" s="57"/>
      <c r="CLI8" s="57"/>
      <c r="CLJ8" s="57"/>
      <c r="CLK8" s="56"/>
      <c r="CLL8" s="57"/>
      <c r="CLM8" s="57"/>
      <c r="CLN8" s="56"/>
      <c r="CLO8" s="57"/>
      <c r="CLP8" s="58"/>
      <c r="CLQ8" s="56"/>
      <c r="CLR8" s="57"/>
      <c r="CLS8" s="57"/>
      <c r="CLT8" s="57"/>
      <c r="CLU8" s="56"/>
      <c r="CLV8" s="57"/>
      <c r="CLW8" s="57"/>
      <c r="CLX8" s="56"/>
      <c r="CLY8" s="57"/>
      <c r="CLZ8" s="58"/>
      <c r="CMA8" s="56"/>
      <c r="CMB8" s="57"/>
      <c r="CMC8" s="57"/>
      <c r="CMD8" s="57"/>
      <c r="CME8" s="56"/>
      <c r="CMF8" s="57"/>
      <c r="CMG8" s="57"/>
      <c r="CMH8" s="56"/>
      <c r="CMI8" s="57"/>
      <c r="CMJ8" s="58"/>
      <c r="CMK8" s="56"/>
      <c r="CML8" s="58"/>
      <c r="CMM8" s="57"/>
      <c r="CMN8" s="56"/>
      <c r="CMO8" s="57"/>
      <c r="CMP8" s="56"/>
      <c r="CMQ8" s="56"/>
      <c r="CMR8" s="56"/>
      <c r="CMS8" s="57"/>
      <c r="CMT8" s="386"/>
      <c r="CMU8" s="57"/>
      <c r="CMV8" s="386"/>
      <c r="CMW8" s="57"/>
      <c r="CMX8" s="386"/>
      <c r="CMY8" s="57"/>
      <c r="CMZ8" s="57"/>
      <c r="CNA8" s="57"/>
      <c r="CNB8" s="57"/>
      <c r="CNC8" s="57"/>
      <c r="CND8" s="57"/>
      <c r="CNE8" s="57"/>
      <c r="CNF8" s="57"/>
      <c r="CNG8" s="57"/>
      <c r="CNH8" s="57"/>
      <c r="CNI8" s="57"/>
      <c r="CNJ8" s="57"/>
      <c r="CNK8" s="57"/>
      <c r="CNL8" s="57"/>
      <c r="CNM8" s="57"/>
      <c r="CNN8" s="57"/>
      <c r="CNO8" s="57"/>
      <c r="CNP8" s="57"/>
      <c r="CNQ8" s="57"/>
      <c r="CNR8" s="57"/>
      <c r="CNS8" s="57"/>
      <c r="CNT8" s="57"/>
      <c r="CNU8" s="57"/>
      <c r="CNV8" s="57"/>
      <c r="CNW8" s="57"/>
      <c r="CNX8" s="57"/>
      <c r="CNY8" s="57"/>
      <c r="CNZ8" s="57"/>
      <c r="COA8" s="57"/>
      <c r="COB8" s="57"/>
      <c r="COC8" s="57"/>
      <c r="COD8" s="58"/>
      <c r="COE8" s="56"/>
      <c r="COF8" s="57"/>
      <c r="COG8" s="57"/>
      <c r="COH8" s="57"/>
      <c r="COI8" s="57"/>
      <c r="COJ8" s="57"/>
      <c r="COK8" s="56"/>
      <c r="COL8" s="57"/>
      <c r="COM8" s="57"/>
      <c r="CON8" s="56"/>
      <c r="COO8" s="57"/>
      <c r="COP8" s="58"/>
      <c r="COQ8" s="56"/>
      <c r="COR8" s="57"/>
      <c r="COS8" s="57"/>
      <c r="COT8" s="57"/>
      <c r="COU8" s="56"/>
      <c r="COV8" s="57"/>
      <c r="COW8" s="57"/>
      <c r="COX8" s="56"/>
      <c r="COY8" s="57"/>
      <c r="COZ8" s="58"/>
      <c r="CPA8" s="56"/>
      <c r="CPB8" s="57"/>
      <c r="CPC8" s="57"/>
      <c r="CPD8" s="57"/>
      <c r="CPE8" s="56"/>
      <c r="CPF8" s="57"/>
      <c r="CPG8" s="57"/>
      <c r="CPH8" s="56"/>
      <c r="CPI8" s="57"/>
      <c r="CPJ8" s="58"/>
      <c r="CPK8" s="56"/>
      <c r="CPL8" s="57"/>
      <c r="CPM8" s="57"/>
      <c r="CPN8" s="57"/>
      <c r="CPO8" s="56"/>
      <c r="CPP8" s="57"/>
      <c r="CPQ8" s="57"/>
      <c r="CPR8" s="56"/>
      <c r="CPS8" s="57"/>
      <c r="CPT8" s="58"/>
      <c r="CPU8" s="56"/>
      <c r="CPV8" s="58"/>
      <c r="CPW8" s="57"/>
      <c r="CPX8" s="56"/>
      <c r="CPY8" s="57"/>
      <c r="CPZ8" s="56"/>
      <c r="CQA8" s="56"/>
      <c r="CQB8" s="56"/>
      <c r="CQC8" s="57"/>
      <c r="CQD8" s="386"/>
      <c r="CQE8" s="57"/>
      <c r="CQF8" s="386"/>
      <c r="CQG8" s="57"/>
      <c r="CQH8" s="386"/>
      <c r="CQI8" s="57"/>
      <c r="CQJ8" s="57"/>
      <c r="CQK8" s="57"/>
      <c r="CQL8" s="57"/>
      <c r="CQM8" s="57"/>
      <c r="CQN8" s="57"/>
      <c r="CQO8" s="57"/>
      <c r="CQP8" s="57"/>
      <c r="CQQ8" s="57"/>
      <c r="CQR8" s="57"/>
      <c r="CQS8" s="57"/>
      <c r="CQT8" s="57"/>
      <c r="CQU8" s="57"/>
      <c r="CQV8" s="57"/>
      <c r="CQW8" s="57"/>
      <c r="CQX8" s="57"/>
      <c r="CQY8" s="57"/>
      <c r="CQZ8" s="57"/>
      <c r="CRA8" s="57"/>
      <c r="CRB8" s="57"/>
      <c r="CRC8" s="57"/>
      <c r="CRD8" s="57"/>
      <c r="CRE8" s="57"/>
      <c r="CRF8" s="57"/>
      <c r="CRG8" s="57"/>
      <c r="CRH8" s="57"/>
      <c r="CRI8" s="57"/>
      <c r="CRJ8" s="57"/>
      <c r="CRK8" s="57"/>
      <c r="CRL8" s="57"/>
      <c r="CRM8" s="57"/>
      <c r="CRN8" s="58"/>
      <c r="CRO8" s="56"/>
      <c r="CRP8" s="57"/>
      <c r="CRQ8" s="57"/>
      <c r="CRR8" s="57"/>
      <c r="CRS8" s="57"/>
      <c r="CRT8" s="57"/>
      <c r="CRU8" s="56"/>
      <c r="CRV8" s="57"/>
      <c r="CRW8" s="57"/>
      <c r="CRX8" s="56"/>
      <c r="CRY8" s="57"/>
      <c r="CRZ8" s="58"/>
      <c r="CSA8" s="56"/>
      <c r="CSB8" s="57"/>
      <c r="CSC8" s="57"/>
      <c r="CSD8" s="57"/>
      <c r="CSE8" s="56"/>
      <c r="CSF8" s="57"/>
      <c r="CSG8" s="57"/>
      <c r="CSH8" s="56"/>
      <c r="CSI8" s="57"/>
      <c r="CSJ8" s="58"/>
      <c r="CSK8" s="56"/>
      <c r="CSL8" s="57"/>
      <c r="CSM8" s="57"/>
      <c r="CSN8" s="57"/>
      <c r="CSO8" s="56"/>
      <c r="CSP8" s="57"/>
      <c r="CSQ8" s="57"/>
      <c r="CSR8" s="56"/>
      <c r="CSS8" s="57"/>
      <c r="CST8" s="58"/>
      <c r="CSU8" s="56"/>
      <c r="CSV8" s="57"/>
      <c r="CSW8" s="57"/>
      <c r="CSX8" s="57"/>
      <c r="CSY8" s="56"/>
      <c r="CSZ8" s="57"/>
      <c r="CTA8" s="57"/>
      <c r="CTB8" s="56"/>
      <c r="CTC8" s="57"/>
      <c r="CTD8" s="58"/>
      <c r="CTE8" s="56"/>
      <c r="CTF8" s="58"/>
      <c r="CTG8" s="57"/>
      <c r="CTH8" s="56"/>
      <c r="CTI8" s="57"/>
      <c r="CTJ8" s="56"/>
      <c r="CTK8" s="56"/>
      <c r="CTL8" s="56"/>
      <c r="CTM8" s="57"/>
      <c r="CTN8" s="386"/>
      <c r="CTO8" s="57"/>
      <c r="CTP8" s="386"/>
      <c r="CTQ8" s="57"/>
      <c r="CTR8" s="386"/>
      <c r="CTS8" s="57"/>
      <c r="CTT8" s="57"/>
      <c r="CTU8" s="57"/>
      <c r="CTV8" s="57"/>
      <c r="CTW8" s="57"/>
      <c r="CTX8" s="57"/>
      <c r="CTY8" s="57"/>
      <c r="CTZ8" s="57"/>
      <c r="CUA8" s="57"/>
      <c r="CUB8" s="57"/>
      <c r="CUC8" s="57"/>
      <c r="CUD8" s="57"/>
      <c r="CUE8" s="57"/>
      <c r="CUF8" s="57"/>
      <c r="CUG8" s="57"/>
      <c r="CUH8" s="57"/>
      <c r="CUI8" s="57"/>
      <c r="CUJ8" s="57"/>
      <c r="CUK8" s="57"/>
      <c r="CUL8" s="57"/>
      <c r="CUM8" s="57"/>
      <c r="CUN8" s="57"/>
      <c r="CUO8" s="57"/>
      <c r="CUP8" s="57"/>
      <c r="CUQ8" s="57"/>
      <c r="CUR8" s="57"/>
      <c r="CUS8" s="57"/>
      <c r="CUT8" s="57"/>
      <c r="CUU8" s="57"/>
      <c r="CUV8" s="57"/>
      <c r="CUW8" s="57"/>
      <c r="CUX8" s="58"/>
      <c r="CUY8" s="56"/>
      <c r="CUZ8" s="57"/>
      <c r="CVA8" s="57"/>
      <c r="CVB8" s="57"/>
      <c r="CVC8" s="57"/>
      <c r="CVD8" s="57"/>
      <c r="CVE8" s="56"/>
      <c r="CVF8" s="57"/>
      <c r="CVG8" s="57"/>
      <c r="CVH8" s="56"/>
      <c r="CVI8" s="57"/>
      <c r="CVJ8" s="58"/>
      <c r="CVK8" s="56"/>
      <c r="CVL8" s="57"/>
      <c r="CVM8" s="57"/>
      <c r="CVN8" s="57"/>
      <c r="CVO8" s="56"/>
      <c r="CVP8" s="57"/>
      <c r="CVQ8" s="57"/>
      <c r="CVR8" s="56"/>
      <c r="CVS8" s="57"/>
      <c r="CVT8" s="58"/>
      <c r="CVU8" s="56"/>
      <c r="CVV8" s="57"/>
      <c r="CVW8" s="57"/>
      <c r="CVX8" s="57"/>
      <c r="CVY8" s="56"/>
      <c r="CVZ8" s="57"/>
      <c r="CWA8" s="57"/>
      <c r="CWB8" s="56"/>
      <c r="CWC8" s="57"/>
      <c r="CWD8" s="58"/>
      <c r="CWE8" s="56"/>
      <c r="CWF8" s="57"/>
      <c r="CWG8" s="57"/>
      <c r="CWH8" s="57"/>
      <c r="CWI8" s="56"/>
      <c r="CWJ8" s="57"/>
      <c r="CWK8" s="57"/>
      <c r="CWL8" s="56"/>
      <c r="CWM8" s="57"/>
      <c r="CWN8" s="58"/>
      <c r="CWO8" s="56"/>
      <c r="CWP8" s="58"/>
      <c r="CWQ8" s="57"/>
      <c r="CWR8" s="56"/>
      <c r="CWS8" s="57"/>
      <c r="CWT8" s="56"/>
      <c r="CWU8" s="56"/>
      <c r="CWV8" s="56"/>
      <c r="CWW8" s="57"/>
      <c r="CWX8" s="386"/>
      <c r="CWY8" s="57"/>
      <c r="CWZ8" s="386"/>
      <c r="CXA8" s="57"/>
      <c r="CXB8" s="386"/>
      <c r="CXC8" s="57"/>
      <c r="CXD8" s="57"/>
      <c r="CXE8" s="57"/>
      <c r="CXF8" s="57"/>
      <c r="CXG8" s="57"/>
      <c r="CXH8" s="57"/>
      <c r="CXI8" s="57"/>
      <c r="CXJ8" s="57"/>
      <c r="CXK8" s="57"/>
      <c r="CXL8" s="57"/>
      <c r="CXM8" s="57"/>
      <c r="CXN8" s="57"/>
      <c r="CXO8" s="57"/>
      <c r="CXP8" s="57"/>
      <c r="CXQ8" s="57"/>
      <c r="CXR8" s="57"/>
      <c r="CXS8" s="57"/>
      <c r="CXT8" s="57"/>
      <c r="CXU8" s="57"/>
      <c r="CXV8" s="57"/>
      <c r="CXW8" s="57"/>
      <c r="CXX8" s="57"/>
      <c r="CXY8" s="57"/>
      <c r="CXZ8" s="57"/>
      <c r="CYA8" s="57"/>
      <c r="CYB8" s="57"/>
      <c r="CYC8" s="57"/>
      <c r="CYD8" s="57"/>
      <c r="CYE8" s="57"/>
      <c r="CYF8" s="57"/>
      <c r="CYG8" s="57"/>
      <c r="CYH8" s="58"/>
      <c r="CYI8" s="56"/>
      <c r="CYJ8" s="57"/>
      <c r="CYK8" s="57"/>
      <c r="CYL8" s="57"/>
      <c r="CYM8" s="57"/>
      <c r="CYN8" s="57"/>
      <c r="CYO8" s="56"/>
      <c r="CYP8" s="57"/>
      <c r="CYQ8" s="57"/>
      <c r="CYR8" s="56"/>
      <c r="CYS8" s="57"/>
      <c r="CYT8" s="58"/>
      <c r="CYU8" s="56"/>
      <c r="CYV8" s="57"/>
      <c r="CYW8" s="57"/>
      <c r="CYX8" s="57"/>
      <c r="CYY8" s="56"/>
      <c r="CYZ8" s="57"/>
      <c r="CZA8" s="57"/>
      <c r="CZB8" s="56"/>
      <c r="CZC8" s="57"/>
      <c r="CZD8" s="58"/>
      <c r="CZE8" s="56"/>
      <c r="CZF8" s="57"/>
      <c r="CZG8" s="57"/>
      <c r="CZH8" s="57"/>
      <c r="CZI8" s="56"/>
      <c r="CZJ8" s="57"/>
      <c r="CZK8" s="57"/>
      <c r="CZL8" s="56"/>
      <c r="CZM8" s="57"/>
      <c r="CZN8" s="58"/>
      <c r="CZO8" s="56"/>
      <c r="CZP8" s="57"/>
      <c r="CZQ8" s="57"/>
      <c r="CZR8" s="57"/>
      <c r="CZS8" s="56"/>
      <c r="CZT8" s="57"/>
      <c r="CZU8" s="57"/>
      <c r="CZV8" s="56"/>
      <c r="CZW8" s="57"/>
      <c r="CZX8" s="58"/>
      <c r="CZY8" s="56"/>
      <c r="CZZ8" s="58"/>
      <c r="DAA8" s="57"/>
      <c r="DAB8" s="56"/>
      <c r="DAC8" s="57"/>
      <c r="DAD8" s="56"/>
      <c r="DAE8" s="56"/>
      <c r="DAF8" s="56"/>
      <c r="DAG8" s="57"/>
      <c r="DAH8" s="386"/>
      <c r="DAI8" s="57"/>
      <c r="DAJ8" s="386"/>
      <c r="DAK8" s="57"/>
      <c r="DAL8" s="386"/>
      <c r="DAM8" s="57"/>
      <c r="DAN8" s="57"/>
      <c r="DAO8" s="57"/>
      <c r="DAP8" s="57"/>
      <c r="DAQ8" s="57"/>
      <c r="DAR8" s="57"/>
      <c r="DAS8" s="57"/>
      <c r="DAT8" s="57"/>
      <c r="DAU8" s="57"/>
      <c r="DAV8" s="57"/>
      <c r="DAW8" s="57"/>
      <c r="DAX8" s="57"/>
      <c r="DAY8" s="57"/>
      <c r="DAZ8" s="57"/>
      <c r="DBA8" s="57"/>
      <c r="DBB8" s="57"/>
      <c r="DBC8" s="57"/>
      <c r="DBD8" s="57"/>
      <c r="DBE8" s="57"/>
      <c r="DBF8" s="57"/>
      <c r="DBG8" s="57"/>
      <c r="DBH8" s="57"/>
      <c r="DBI8" s="57"/>
      <c r="DBJ8" s="57"/>
      <c r="DBK8" s="57"/>
      <c r="DBL8" s="57"/>
      <c r="DBM8" s="57"/>
      <c r="DBN8" s="57"/>
      <c r="DBO8" s="57"/>
      <c r="DBP8" s="57"/>
      <c r="DBQ8" s="57"/>
      <c r="DBR8" s="58"/>
      <c r="DBS8" s="56"/>
      <c r="DBT8" s="57"/>
      <c r="DBU8" s="57"/>
      <c r="DBV8" s="57"/>
      <c r="DBW8" s="57"/>
      <c r="DBX8" s="57"/>
      <c r="DBY8" s="56"/>
      <c r="DBZ8" s="57"/>
      <c r="DCA8" s="57"/>
      <c r="DCB8" s="56"/>
      <c r="DCC8" s="57"/>
      <c r="DCD8" s="58"/>
      <c r="DCE8" s="56"/>
      <c r="DCF8" s="57"/>
      <c r="DCG8" s="57"/>
      <c r="DCH8" s="57"/>
      <c r="DCI8" s="56"/>
      <c r="DCJ8" s="57"/>
      <c r="DCK8" s="57"/>
      <c r="DCL8" s="56"/>
      <c r="DCM8" s="57"/>
      <c r="DCN8" s="58"/>
      <c r="DCO8" s="56"/>
      <c r="DCP8" s="57"/>
      <c r="DCQ8" s="57"/>
      <c r="DCR8" s="57"/>
      <c r="DCS8" s="56"/>
      <c r="DCT8" s="57"/>
      <c r="DCU8" s="57"/>
      <c r="DCV8" s="56"/>
      <c r="DCW8" s="57"/>
      <c r="DCX8" s="58"/>
      <c r="DCY8" s="56"/>
      <c r="DCZ8" s="57"/>
      <c r="DDA8" s="57"/>
      <c r="DDB8" s="57"/>
      <c r="DDC8" s="56"/>
      <c r="DDD8" s="57"/>
      <c r="DDE8" s="57"/>
      <c r="DDF8" s="56"/>
      <c r="DDG8" s="57"/>
      <c r="DDH8" s="58"/>
      <c r="DDI8" s="56"/>
      <c r="DDJ8" s="58"/>
      <c r="DDK8" s="57"/>
      <c r="DDL8" s="56"/>
      <c r="DDM8" s="57"/>
      <c r="DDN8" s="56"/>
      <c r="DDO8" s="56"/>
      <c r="DDP8" s="56"/>
      <c r="DDQ8" s="57"/>
      <c r="DDR8" s="386"/>
      <c r="DDS8" s="57"/>
      <c r="DDT8" s="386"/>
      <c r="DDU8" s="57"/>
      <c r="DDV8" s="386"/>
      <c r="DDW8" s="57"/>
      <c r="DDX8" s="57"/>
      <c r="DDY8" s="57"/>
      <c r="DDZ8" s="57"/>
      <c r="DEA8" s="57"/>
      <c r="DEB8" s="57"/>
      <c r="DEC8" s="57"/>
      <c r="DED8" s="57"/>
      <c r="DEE8" s="57"/>
      <c r="DEF8" s="57"/>
      <c r="DEG8" s="57"/>
      <c r="DEH8" s="57"/>
      <c r="DEI8" s="57"/>
      <c r="DEJ8" s="57"/>
      <c r="DEK8" s="57"/>
      <c r="DEL8" s="57"/>
      <c r="DEM8" s="57"/>
      <c r="DEN8" s="57"/>
      <c r="DEO8" s="57"/>
      <c r="DEP8" s="57"/>
      <c r="DEQ8" s="57"/>
      <c r="DER8" s="57"/>
      <c r="DES8" s="57"/>
      <c r="DET8" s="57"/>
      <c r="DEU8" s="57"/>
      <c r="DEV8" s="57"/>
      <c r="DEW8" s="57"/>
      <c r="DEX8" s="57"/>
      <c r="DEY8" s="57"/>
      <c r="DEZ8" s="57"/>
      <c r="DFA8" s="57"/>
      <c r="DFB8" s="58"/>
      <c r="DFC8" s="56"/>
      <c r="DFD8" s="57"/>
      <c r="DFE8" s="57"/>
      <c r="DFF8" s="57"/>
      <c r="DFG8" s="57"/>
      <c r="DFH8" s="57"/>
      <c r="DFI8" s="56"/>
      <c r="DFJ8" s="57"/>
      <c r="DFK8" s="57"/>
      <c r="DFL8" s="56"/>
      <c r="DFM8" s="57"/>
      <c r="DFN8" s="58"/>
      <c r="DFO8" s="56"/>
      <c r="DFP8" s="57"/>
      <c r="DFQ8" s="57"/>
      <c r="DFR8" s="57"/>
      <c r="DFS8" s="56"/>
      <c r="DFT8" s="57"/>
      <c r="DFU8" s="57"/>
      <c r="DFV8" s="56"/>
      <c r="DFW8" s="57"/>
      <c r="DFX8" s="58"/>
      <c r="DFY8" s="56"/>
      <c r="DFZ8" s="57"/>
      <c r="DGA8" s="57"/>
      <c r="DGB8" s="57"/>
      <c r="DGC8" s="56"/>
      <c r="DGD8" s="57"/>
      <c r="DGE8" s="57"/>
      <c r="DGF8" s="56"/>
      <c r="DGG8" s="57"/>
      <c r="DGH8" s="58"/>
      <c r="DGI8" s="56"/>
      <c r="DGJ8" s="57"/>
      <c r="DGK8" s="57"/>
      <c r="DGL8" s="57"/>
      <c r="DGM8" s="56"/>
      <c r="DGN8" s="57"/>
      <c r="DGO8" s="57"/>
      <c r="DGP8" s="56"/>
      <c r="DGQ8" s="57"/>
      <c r="DGR8" s="58"/>
      <c r="DGS8" s="56"/>
      <c r="DGT8" s="58"/>
      <c r="DGU8" s="57"/>
      <c r="DGV8" s="56"/>
      <c r="DGW8" s="57"/>
      <c r="DGX8" s="56"/>
      <c r="DGY8" s="56"/>
      <c r="DGZ8" s="56"/>
      <c r="DHA8" s="57"/>
      <c r="DHB8" s="386"/>
      <c r="DHC8" s="57"/>
      <c r="DHD8" s="386"/>
      <c r="DHE8" s="57"/>
      <c r="DHF8" s="386"/>
      <c r="DHG8" s="57"/>
      <c r="DHH8" s="57"/>
      <c r="DHI8" s="57"/>
      <c r="DHJ8" s="57"/>
      <c r="DHK8" s="57"/>
      <c r="DHL8" s="57"/>
      <c r="DHM8" s="57"/>
      <c r="DHN8" s="57"/>
      <c r="DHO8" s="57"/>
      <c r="DHP8" s="57"/>
      <c r="DHQ8" s="57"/>
      <c r="DHR8" s="57"/>
      <c r="DHS8" s="57"/>
      <c r="DHT8" s="57"/>
      <c r="DHU8" s="57"/>
      <c r="DHV8" s="57"/>
      <c r="DHW8" s="57"/>
      <c r="DHX8" s="57"/>
      <c r="DHY8" s="57"/>
      <c r="DHZ8" s="57"/>
      <c r="DIA8" s="57"/>
      <c r="DIB8" s="57"/>
      <c r="DIC8" s="57"/>
      <c r="DID8" s="57"/>
      <c r="DIE8" s="57"/>
      <c r="DIF8" s="57"/>
      <c r="DIG8" s="57"/>
      <c r="DIH8" s="57"/>
      <c r="DII8" s="57"/>
      <c r="DIJ8" s="57"/>
      <c r="DIK8" s="57"/>
      <c r="DIL8" s="58"/>
      <c r="DIM8" s="56"/>
      <c r="DIN8" s="57"/>
      <c r="DIO8" s="57"/>
      <c r="DIP8" s="57"/>
      <c r="DIQ8" s="57"/>
      <c r="DIR8" s="57"/>
      <c r="DIS8" s="56"/>
      <c r="DIT8" s="57"/>
      <c r="DIU8" s="57"/>
      <c r="DIV8" s="56"/>
      <c r="DIW8" s="57"/>
      <c r="DIX8" s="58"/>
      <c r="DIY8" s="56"/>
      <c r="DIZ8" s="57"/>
      <c r="DJA8" s="57"/>
      <c r="DJB8" s="57"/>
      <c r="DJC8" s="56"/>
      <c r="DJD8" s="57"/>
      <c r="DJE8" s="57"/>
      <c r="DJF8" s="56"/>
      <c r="DJG8" s="57"/>
      <c r="DJH8" s="58"/>
      <c r="DJI8" s="56"/>
      <c r="DJJ8" s="57"/>
      <c r="DJK8" s="57"/>
      <c r="DJL8" s="57"/>
      <c r="DJM8" s="56"/>
      <c r="DJN8" s="57"/>
      <c r="DJO8" s="57"/>
      <c r="DJP8" s="56"/>
      <c r="DJQ8" s="57"/>
      <c r="DJR8" s="58"/>
      <c r="DJS8" s="56"/>
      <c r="DJT8" s="57"/>
      <c r="DJU8" s="57"/>
      <c r="DJV8" s="57"/>
      <c r="DJW8" s="56"/>
      <c r="DJX8" s="57"/>
      <c r="DJY8" s="57"/>
      <c r="DJZ8" s="56"/>
      <c r="DKA8" s="57"/>
      <c r="DKB8" s="58"/>
      <c r="DKC8" s="56"/>
      <c r="DKD8" s="58"/>
      <c r="DKE8" s="57"/>
      <c r="DKF8" s="56"/>
      <c r="DKG8" s="57"/>
      <c r="DKH8" s="56"/>
      <c r="DKI8" s="56"/>
      <c r="DKJ8" s="56"/>
      <c r="DKK8" s="57"/>
      <c r="DKL8" s="386"/>
      <c r="DKM8" s="57"/>
      <c r="DKN8" s="386"/>
      <c r="DKO8" s="57"/>
      <c r="DKP8" s="386"/>
      <c r="DKQ8" s="57"/>
      <c r="DKR8" s="57"/>
      <c r="DKS8" s="57"/>
      <c r="DKT8" s="57"/>
      <c r="DKU8" s="57"/>
      <c r="DKV8" s="57"/>
      <c r="DKW8" s="57"/>
      <c r="DKX8" s="57"/>
      <c r="DKY8" s="57"/>
      <c r="DKZ8" s="57"/>
      <c r="DLA8" s="57"/>
      <c r="DLB8" s="57"/>
      <c r="DLC8" s="57"/>
      <c r="DLD8" s="57"/>
      <c r="DLE8" s="57"/>
      <c r="DLF8" s="57"/>
      <c r="DLG8" s="57"/>
      <c r="DLH8" s="57"/>
      <c r="DLI8" s="57"/>
      <c r="DLJ8" s="57"/>
      <c r="DLK8" s="57"/>
      <c r="DLL8" s="57"/>
      <c r="DLM8" s="57"/>
      <c r="DLN8" s="57"/>
      <c r="DLO8" s="57"/>
      <c r="DLP8" s="57"/>
      <c r="DLQ8" s="57"/>
      <c r="DLR8" s="57"/>
      <c r="DLS8" s="57"/>
      <c r="DLT8" s="57"/>
      <c r="DLU8" s="57"/>
      <c r="DLV8" s="58"/>
      <c r="DLW8" s="56"/>
      <c r="DLX8" s="57"/>
      <c r="DLY8" s="57"/>
      <c r="DLZ8" s="57"/>
      <c r="DMA8" s="57"/>
      <c r="DMB8" s="57"/>
      <c r="DMC8" s="56"/>
      <c r="DMD8" s="57"/>
      <c r="DME8" s="57"/>
      <c r="DMF8" s="56"/>
      <c r="DMG8" s="57"/>
      <c r="DMH8" s="58"/>
      <c r="DMI8" s="56"/>
      <c r="DMJ8" s="57"/>
      <c r="DMK8" s="57"/>
      <c r="DML8" s="57"/>
      <c r="DMM8" s="56"/>
      <c r="DMN8" s="57"/>
      <c r="DMO8" s="57"/>
      <c r="DMP8" s="56"/>
      <c r="DMQ8" s="57"/>
      <c r="DMR8" s="58"/>
      <c r="DMS8" s="56"/>
      <c r="DMT8" s="57"/>
      <c r="DMU8" s="57"/>
      <c r="DMV8" s="57"/>
      <c r="DMW8" s="56"/>
      <c r="DMX8" s="57"/>
      <c r="DMY8" s="57"/>
      <c r="DMZ8" s="56"/>
      <c r="DNA8" s="57"/>
      <c r="DNB8" s="58"/>
      <c r="DNC8" s="56"/>
      <c r="DND8" s="57"/>
      <c r="DNE8" s="57"/>
      <c r="DNF8" s="57"/>
      <c r="DNG8" s="56"/>
      <c r="DNH8" s="57"/>
      <c r="DNI8" s="57"/>
      <c r="DNJ8" s="56"/>
      <c r="DNK8" s="57"/>
      <c r="DNL8" s="58"/>
      <c r="DNM8" s="56"/>
      <c r="DNN8" s="58"/>
      <c r="DNO8" s="57"/>
      <c r="DNP8" s="56"/>
      <c r="DNQ8" s="57"/>
      <c r="DNR8" s="56"/>
      <c r="DNS8" s="56"/>
      <c r="DNT8" s="56"/>
      <c r="DNU8" s="57"/>
      <c r="DNV8" s="386"/>
      <c r="DNW8" s="57"/>
      <c r="DNX8" s="386"/>
      <c r="DNY8" s="57"/>
      <c r="DNZ8" s="386"/>
      <c r="DOA8" s="57"/>
      <c r="DOB8" s="57"/>
      <c r="DOC8" s="57"/>
      <c r="DOD8" s="57"/>
      <c r="DOE8" s="57"/>
      <c r="DOF8" s="57"/>
      <c r="DOG8" s="57"/>
      <c r="DOH8" s="57"/>
      <c r="DOI8" s="57"/>
      <c r="DOJ8" s="57"/>
      <c r="DOK8" s="57"/>
      <c r="DOL8" s="57"/>
      <c r="DOM8" s="57"/>
      <c r="DON8" s="57"/>
      <c r="DOO8" s="57"/>
      <c r="DOP8" s="57"/>
      <c r="DOQ8" s="57"/>
      <c r="DOR8" s="57"/>
      <c r="DOS8" s="57"/>
      <c r="DOT8" s="57"/>
      <c r="DOU8" s="57"/>
      <c r="DOV8" s="57"/>
      <c r="DOW8" s="57"/>
      <c r="DOX8" s="57"/>
      <c r="DOY8" s="57"/>
      <c r="DOZ8" s="57"/>
      <c r="DPA8" s="57"/>
      <c r="DPB8" s="57"/>
      <c r="DPC8" s="57"/>
      <c r="DPD8" s="57"/>
      <c r="DPE8" s="57"/>
      <c r="DPF8" s="58"/>
      <c r="DPG8" s="56"/>
      <c r="DPH8" s="57"/>
      <c r="DPI8" s="57"/>
      <c r="DPJ8" s="57"/>
      <c r="DPK8" s="57"/>
      <c r="DPL8" s="57"/>
      <c r="DPM8" s="56"/>
      <c r="DPN8" s="57"/>
      <c r="DPO8" s="57"/>
      <c r="DPP8" s="56"/>
      <c r="DPQ8" s="57"/>
      <c r="DPR8" s="58"/>
      <c r="DPS8" s="56"/>
      <c r="DPT8" s="57"/>
      <c r="DPU8" s="57"/>
      <c r="DPV8" s="57"/>
      <c r="DPW8" s="56"/>
      <c r="DPX8" s="57"/>
      <c r="DPY8" s="57"/>
      <c r="DPZ8" s="56"/>
      <c r="DQA8" s="57"/>
      <c r="DQB8" s="58"/>
      <c r="DQC8" s="56"/>
      <c r="DQD8" s="57"/>
      <c r="DQE8" s="57"/>
      <c r="DQF8" s="57"/>
      <c r="DQG8" s="56"/>
      <c r="DQH8" s="57"/>
      <c r="DQI8" s="57"/>
      <c r="DQJ8" s="56"/>
      <c r="DQK8" s="57"/>
      <c r="DQL8" s="58"/>
      <c r="DQM8" s="56"/>
      <c r="DQN8" s="57"/>
      <c r="DQO8" s="57"/>
      <c r="DQP8" s="57"/>
      <c r="DQQ8" s="56"/>
      <c r="DQR8" s="57"/>
      <c r="DQS8" s="57"/>
      <c r="DQT8" s="56"/>
      <c r="DQU8" s="57"/>
      <c r="DQV8" s="58"/>
      <c r="DQW8" s="56"/>
      <c r="DQX8" s="58"/>
      <c r="DQY8" s="57"/>
      <c r="DQZ8" s="56"/>
      <c r="DRA8" s="57"/>
      <c r="DRB8" s="56"/>
      <c r="DRC8" s="56"/>
      <c r="DRD8" s="56"/>
      <c r="DRE8" s="57"/>
      <c r="DRF8" s="386"/>
      <c r="DRG8" s="57"/>
      <c r="DRH8" s="386"/>
      <c r="DRI8" s="57"/>
      <c r="DRJ8" s="386"/>
      <c r="DRK8" s="57"/>
      <c r="DRL8" s="57"/>
      <c r="DRM8" s="57"/>
      <c r="DRN8" s="57"/>
      <c r="DRO8" s="57"/>
      <c r="DRP8" s="57"/>
      <c r="DRQ8" s="57"/>
      <c r="DRR8" s="57"/>
      <c r="DRS8" s="57"/>
      <c r="DRT8" s="57"/>
      <c r="DRU8" s="57"/>
      <c r="DRV8" s="57"/>
      <c r="DRW8" s="57"/>
      <c r="DRX8" s="57"/>
      <c r="DRY8" s="57"/>
      <c r="DRZ8" s="57"/>
      <c r="DSA8" s="57"/>
      <c r="DSB8" s="57"/>
      <c r="DSC8" s="57"/>
      <c r="DSD8" s="57"/>
      <c r="DSE8" s="57"/>
      <c r="DSF8" s="57"/>
      <c r="DSG8" s="57"/>
      <c r="DSH8" s="57"/>
      <c r="DSI8" s="57"/>
      <c r="DSJ8" s="57"/>
      <c r="DSK8" s="57"/>
      <c r="DSL8" s="57"/>
      <c r="DSM8" s="57"/>
      <c r="DSN8" s="57"/>
      <c r="DSO8" s="57"/>
      <c r="DSP8" s="58"/>
      <c r="DSQ8" s="56"/>
      <c r="DSR8" s="57"/>
      <c r="DSS8" s="57"/>
      <c r="DST8" s="57"/>
      <c r="DSU8" s="57"/>
      <c r="DSV8" s="57"/>
      <c r="DSW8" s="56"/>
      <c r="DSX8" s="57"/>
      <c r="DSY8" s="57"/>
      <c r="DSZ8" s="56"/>
      <c r="DTA8" s="57"/>
      <c r="DTB8" s="58"/>
      <c r="DTC8" s="56"/>
      <c r="DTD8" s="57"/>
      <c r="DTE8" s="57"/>
      <c r="DTF8" s="57"/>
      <c r="DTG8" s="56"/>
      <c r="DTH8" s="57"/>
      <c r="DTI8" s="57"/>
      <c r="DTJ8" s="56"/>
      <c r="DTK8" s="57"/>
      <c r="DTL8" s="58"/>
      <c r="DTM8" s="56"/>
      <c r="DTN8" s="57"/>
      <c r="DTO8" s="57"/>
      <c r="DTP8" s="57"/>
      <c r="DTQ8" s="56"/>
      <c r="DTR8" s="57"/>
      <c r="DTS8" s="57"/>
      <c r="DTT8" s="56"/>
      <c r="DTU8" s="57"/>
      <c r="DTV8" s="58"/>
      <c r="DTW8" s="56"/>
      <c r="DTX8" s="57"/>
      <c r="DTY8" s="57"/>
      <c r="DTZ8" s="57"/>
      <c r="DUA8" s="56"/>
      <c r="DUB8" s="57"/>
      <c r="DUC8" s="57"/>
      <c r="DUD8" s="56"/>
      <c r="DUE8" s="57"/>
      <c r="DUF8" s="58"/>
      <c r="DUG8" s="56"/>
      <c r="DUH8" s="58"/>
      <c r="DUI8" s="57"/>
      <c r="DUJ8" s="56"/>
      <c r="DUK8" s="57"/>
      <c r="DUL8" s="56"/>
      <c r="DUM8" s="56"/>
      <c r="DUN8" s="56"/>
      <c r="DUO8" s="57"/>
      <c r="DUP8" s="386"/>
      <c r="DUQ8" s="57"/>
      <c r="DUR8" s="386"/>
      <c r="DUS8" s="57"/>
      <c r="DUT8" s="386"/>
      <c r="DUU8" s="57"/>
      <c r="DUV8" s="57"/>
      <c r="DUW8" s="57"/>
      <c r="DUX8" s="57"/>
      <c r="DUY8" s="57"/>
      <c r="DUZ8" s="57"/>
      <c r="DVA8" s="57"/>
      <c r="DVB8" s="57"/>
      <c r="DVC8" s="57"/>
      <c r="DVD8" s="57"/>
      <c r="DVE8" s="57"/>
      <c r="DVF8" s="57"/>
      <c r="DVG8" s="57"/>
      <c r="DVH8" s="57"/>
      <c r="DVI8" s="57"/>
      <c r="DVJ8" s="57"/>
      <c r="DVK8" s="57"/>
      <c r="DVL8" s="57"/>
      <c r="DVM8" s="57"/>
      <c r="DVN8" s="57"/>
      <c r="DVO8" s="57"/>
      <c r="DVP8" s="57"/>
      <c r="DVQ8" s="57"/>
      <c r="DVR8" s="57"/>
      <c r="DVS8" s="57"/>
      <c r="DVT8" s="57"/>
      <c r="DVU8" s="57"/>
      <c r="DVV8" s="57"/>
      <c r="DVW8" s="57"/>
      <c r="DVX8" s="57"/>
      <c r="DVY8" s="57"/>
      <c r="DVZ8" s="58"/>
      <c r="DWA8" s="56"/>
      <c r="DWB8" s="57"/>
      <c r="DWC8" s="57"/>
      <c r="DWD8" s="57"/>
      <c r="DWE8" s="57"/>
      <c r="DWF8" s="57"/>
      <c r="DWG8" s="56"/>
      <c r="DWH8" s="57"/>
      <c r="DWI8" s="57"/>
      <c r="DWJ8" s="56"/>
      <c r="DWK8" s="57"/>
      <c r="DWL8" s="58"/>
      <c r="DWM8" s="56"/>
      <c r="DWN8" s="57"/>
      <c r="DWO8" s="57"/>
      <c r="DWP8" s="57"/>
      <c r="DWQ8" s="56"/>
      <c r="DWR8" s="57"/>
      <c r="DWS8" s="57"/>
      <c r="DWT8" s="56"/>
      <c r="DWU8" s="57"/>
      <c r="DWV8" s="58"/>
      <c r="DWW8" s="56"/>
      <c r="DWX8" s="57"/>
      <c r="DWY8" s="57"/>
      <c r="DWZ8" s="57"/>
      <c r="DXA8" s="56"/>
      <c r="DXB8" s="57"/>
      <c r="DXC8" s="57"/>
      <c r="DXD8" s="56"/>
      <c r="DXE8" s="57"/>
      <c r="DXF8" s="58"/>
      <c r="DXG8" s="56"/>
      <c r="DXH8" s="57"/>
      <c r="DXI8" s="57"/>
      <c r="DXJ8" s="57"/>
      <c r="DXK8" s="56"/>
      <c r="DXL8" s="57"/>
      <c r="DXM8" s="57"/>
      <c r="DXN8" s="56"/>
      <c r="DXO8" s="57"/>
      <c r="DXP8" s="58"/>
      <c r="DXQ8" s="56"/>
      <c r="DXR8" s="58"/>
      <c r="DXS8" s="57"/>
      <c r="DXT8" s="56"/>
      <c r="DXU8" s="57"/>
      <c r="DXV8" s="56"/>
      <c r="DXW8" s="56"/>
      <c r="DXX8" s="56"/>
      <c r="DXY8" s="57"/>
      <c r="DXZ8" s="386"/>
      <c r="DYA8" s="57"/>
      <c r="DYB8" s="386"/>
      <c r="DYC8" s="57"/>
      <c r="DYD8" s="386"/>
      <c r="DYE8" s="57"/>
      <c r="DYF8" s="57"/>
      <c r="DYG8" s="57"/>
      <c r="DYH8" s="57"/>
      <c r="DYI8" s="57"/>
      <c r="DYJ8" s="57"/>
      <c r="DYK8" s="57"/>
      <c r="DYL8" s="57"/>
      <c r="DYM8" s="57"/>
      <c r="DYN8" s="57"/>
      <c r="DYO8" s="57"/>
      <c r="DYP8" s="57"/>
      <c r="DYQ8" s="57"/>
      <c r="DYR8" s="57"/>
      <c r="DYS8" s="57"/>
      <c r="DYT8" s="57"/>
      <c r="DYU8" s="57"/>
      <c r="DYV8" s="57"/>
      <c r="DYW8" s="57"/>
      <c r="DYX8" s="57"/>
      <c r="DYY8" s="57"/>
      <c r="DYZ8" s="57"/>
      <c r="DZA8" s="57"/>
      <c r="DZB8" s="57"/>
      <c r="DZC8" s="57"/>
      <c r="DZD8" s="57"/>
      <c r="DZE8" s="57"/>
      <c r="DZF8" s="57"/>
      <c r="DZG8" s="57"/>
      <c r="DZH8" s="57"/>
      <c r="DZI8" s="57"/>
      <c r="DZJ8" s="58"/>
      <c r="DZK8" s="56"/>
      <c r="DZL8" s="57"/>
      <c r="DZM8" s="57"/>
      <c r="DZN8" s="57"/>
      <c r="DZO8" s="57"/>
      <c r="DZP8" s="57"/>
      <c r="DZQ8" s="56"/>
      <c r="DZR8" s="57"/>
      <c r="DZS8" s="57"/>
      <c r="DZT8" s="56"/>
      <c r="DZU8" s="57"/>
      <c r="DZV8" s="58"/>
      <c r="DZW8" s="56"/>
      <c r="DZX8" s="57"/>
      <c r="DZY8" s="57"/>
      <c r="DZZ8" s="57"/>
      <c r="EAA8" s="56"/>
      <c r="EAB8" s="57"/>
      <c r="EAC8" s="57"/>
      <c r="EAD8" s="56"/>
      <c r="EAE8" s="57"/>
      <c r="EAF8" s="58"/>
      <c r="EAG8" s="56"/>
      <c r="EAH8" s="57"/>
      <c r="EAI8" s="57"/>
      <c r="EAJ8" s="57"/>
      <c r="EAK8" s="56"/>
      <c r="EAL8" s="57"/>
      <c r="EAM8" s="57"/>
      <c r="EAN8" s="56"/>
      <c r="EAO8" s="57"/>
      <c r="EAP8" s="58"/>
      <c r="EAQ8" s="56"/>
      <c r="EAR8" s="57"/>
      <c r="EAS8" s="57"/>
      <c r="EAT8" s="57"/>
      <c r="EAU8" s="56"/>
      <c r="EAV8" s="57"/>
      <c r="EAW8" s="57"/>
      <c r="EAX8" s="56"/>
      <c r="EAY8" s="57"/>
      <c r="EAZ8" s="58"/>
      <c r="EBA8" s="56"/>
      <c r="EBB8" s="58"/>
      <c r="EBC8" s="57"/>
      <c r="EBD8" s="56"/>
      <c r="EBE8" s="57"/>
      <c r="EBF8" s="56"/>
      <c r="EBG8" s="56"/>
      <c r="EBH8" s="56"/>
      <c r="EBI8" s="57"/>
      <c r="EBJ8" s="386"/>
      <c r="EBK8" s="57"/>
      <c r="EBL8" s="386"/>
      <c r="EBM8" s="57"/>
      <c r="EBN8" s="386"/>
      <c r="EBO8" s="57"/>
      <c r="EBP8" s="57"/>
      <c r="EBQ8" s="57"/>
      <c r="EBR8" s="57"/>
      <c r="EBS8" s="57"/>
      <c r="EBT8" s="57"/>
      <c r="EBU8" s="57"/>
      <c r="EBV8" s="57"/>
      <c r="EBW8" s="57"/>
      <c r="EBX8" s="57"/>
      <c r="EBY8" s="57"/>
      <c r="EBZ8" s="57"/>
      <c r="ECA8" s="57"/>
      <c r="ECB8" s="57"/>
      <c r="ECC8" s="57"/>
      <c r="ECD8" s="57"/>
      <c r="ECE8" s="57"/>
      <c r="ECF8" s="57"/>
      <c r="ECG8" s="57"/>
      <c r="ECH8" s="57"/>
      <c r="ECI8" s="57"/>
      <c r="ECJ8" s="57"/>
      <c r="ECK8" s="57"/>
      <c r="ECL8" s="57"/>
      <c r="ECM8" s="57"/>
      <c r="ECN8" s="57"/>
      <c r="ECO8" s="57"/>
      <c r="ECP8" s="57"/>
      <c r="ECQ8" s="57"/>
      <c r="ECR8" s="57"/>
      <c r="ECS8" s="57"/>
      <c r="ECT8" s="58"/>
      <c r="ECU8" s="56"/>
      <c r="ECV8" s="57"/>
      <c r="ECW8" s="57"/>
      <c r="ECX8" s="57"/>
      <c r="ECY8" s="57"/>
      <c r="ECZ8" s="57"/>
      <c r="EDA8" s="56"/>
      <c r="EDB8" s="57"/>
      <c r="EDC8" s="57"/>
      <c r="EDD8" s="56"/>
      <c r="EDE8" s="57"/>
      <c r="EDF8" s="58"/>
      <c r="EDG8" s="56"/>
      <c r="EDH8" s="57"/>
      <c r="EDI8" s="57"/>
      <c r="EDJ8" s="57"/>
      <c r="EDK8" s="56"/>
      <c r="EDL8" s="57"/>
      <c r="EDM8" s="57"/>
      <c r="EDN8" s="56"/>
      <c r="EDO8" s="57"/>
      <c r="EDP8" s="58"/>
      <c r="EDQ8" s="56"/>
      <c r="EDR8" s="57"/>
      <c r="EDS8" s="57"/>
      <c r="EDT8" s="57"/>
      <c r="EDU8" s="56"/>
      <c r="EDV8" s="57"/>
      <c r="EDW8" s="57"/>
      <c r="EDX8" s="56"/>
      <c r="EDY8" s="57"/>
      <c r="EDZ8" s="58"/>
      <c r="EEA8" s="56"/>
      <c r="EEB8" s="57"/>
      <c r="EEC8" s="57"/>
      <c r="EED8" s="57"/>
      <c r="EEE8" s="56"/>
      <c r="EEF8" s="57"/>
      <c r="EEG8" s="57"/>
      <c r="EEH8" s="56"/>
      <c r="EEI8" s="57"/>
      <c r="EEJ8" s="58"/>
      <c r="EEK8" s="56"/>
      <c r="EEL8" s="58"/>
      <c r="EEM8" s="57"/>
      <c r="EEN8" s="56"/>
      <c r="EEO8" s="57"/>
      <c r="EEP8" s="56"/>
      <c r="EEQ8" s="56"/>
      <c r="EER8" s="56"/>
      <c r="EES8" s="57"/>
      <c r="EET8" s="386"/>
      <c r="EEU8" s="57"/>
      <c r="EEV8" s="386"/>
      <c r="EEW8" s="57"/>
      <c r="EEX8" s="386"/>
      <c r="EEY8" s="57"/>
      <c r="EEZ8" s="57"/>
      <c r="EFA8" s="57"/>
      <c r="EFB8" s="57"/>
      <c r="EFC8" s="57"/>
      <c r="EFD8" s="57"/>
      <c r="EFE8" s="57"/>
      <c r="EFF8" s="57"/>
      <c r="EFG8" s="57"/>
      <c r="EFH8" s="57"/>
      <c r="EFI8" s="57"/>
      <c r="EFJ8" s="57"/>
      <c r="EFK8" s="57"/>
      <c r="EFL8" s="57"/>
      <c r="EFM8" s="57"/>
      <c r="EFN8" s="57"/>
      <c r="EFO8" s="57"/>
      <c r="EFP8" s="57"/>
      <c r="EFQ8" s="57"/>
      <c r="EFR8" s="57"/>
      <c r="EFS8" s="57"/>
      <c r="EFT8" s="57"/>
      <c r="EFU8" s="57"/>
      <c r="EFV8" s="57"/>
      <c r="EFW8" s="57"/>
      <c r="EFX8" s="57"/>
      <c r="EFY8" s="57"/>
      <c r="EFZ8" s="57"/>
      <c r="EGA8" s="57"/>
      <c r="EGB8" s="57"/>
      <c r="EGC8" s="57"/>
      <c r="EGD8" s="58"/>
      <c r="EGE8" s="56"/>
      <c r="EGF8" s="57"/>
      <c r="EGG8" s="57"/>
      <c r="EGH8" s="57"/>
      <c r="EGI8" s="57"/>
      <c r="EGJ8" s="57"/>
      <c r="EGK8" s="56"/>
      <c r="EGL8" s="57"/>
      <c r="EGM8" s="57"/>
      <c r="EGN8" s="56"/>
      <c r="EGO8" s="57"/>
      <c r="EGP8" s="58"/>
      <c r="EGQ8" s="56"/>
      <c r="EGR8" s="57"/>
      <c r="EGS8" s="57"/>
      <c r="EGT8" s="57"/>
      <c r="EGU8" s="56"/>
      <c r="EGV8" s="57"/>
      <c r="EGW8" s="57"/>
      <c r="EGX8" s="56"/>
      <c r="EGY8" s="57"/>
      <c r="EGZ8" s="58"/>
      <c r="EHA8" s="56"/>
      <c r="EHB8" s="57"/>
      <c r="EHC8" s="57"/>
      <c r="EHD8" s="57"/>
      <c r="EHE8" s="56"/>
      <c r="EHF8" s="57"/>
      <c r="EHG8" s="57"/>
      <c r="EHH8" s="56"/>
      <c r="EHI8" s="57"/>
      <c r="EHJ8" s="58"/>
      <c r="EHK8" s="56"/>
      <c r="EHL8" s="57"/>
      <c r="EHM8" s="57"/>
      <c r="EHN8" s="57"/>
      <c r="EHO8" s="56"/>
      <c r="EHP8" s="57"/>
      <c r="EHQ8" s="57"/>
      <c r="EHR8" s="56"/>
      <c r="EHS8" s="57"/>
      <c r="EHT8" s="58"/>
      <c r="EHU8" s="56"/>
      <c r="EHV8" s="58"/>
      <c r="EHW8" s="57"/>
      <c r="EHX8" s="56"/>
      <c r="EHY8" s="57"/>
      <c r="EHZ8" s="56"/>
      <c r="EIA8" s="56"/>
      <c r="EIB8" s="56"/>
      <c r="EIC8" s="57"/>
      <c r="EID8" s="386"/>
      <c r="EIE8" s="57"/>
      <c r="EIF8" s="386"/>
      <c r="EIG8" s="57"/>
      <c r="EIH8" s="386"/>
      <c r="EII8" s="57"/>
      <c r="EIJ8" s="57"/>
      <c r="EIK8" s="57"/>
      <c r="EIL8" s="57"/>
      <c r="EIM8" s="57"/>
      <c r="EIN8" s="57"/>
      <c r="EIO8" s="57"/>
      <c r="EIP8" s="57"/>
      <c r="EIQ8" s="57"/>
      <c r="EIR8" s="57"/>
      <c r="EIS8" s="57"/>
      <c r="EIT8" s="57"/>
      <c r="EIU8" s="57"/>
      <c r="EIV8" s="57"/>
      <c r="EIW8" s="57"/>
      <c r="EIX8" s="57"/>
      <c r="EIY8" s="57"/>
      <c r="EIZ8" s="57"/>
      <c r="EJA8" s="57"/>
      <c r="EJB8" s="57"/>
      <c r="EJC8" s="57"/>
      <c r="EJD8" s="57"/>
      <c r="EJE8" s="57"/>
      <c r="EJF8" s="57"/>
      <c r="EJG8" s="57"/>
      <c r="EJH8" s="57"/>
      <c r="EJI8" s="57"/>
      <c r="EJJ8" s="57"/>
      <c r="EJK8" s="57"/>
      <c r="EJL8" s="57"/>
      <c r="EJM8" s="57"/>
      <c r="EJN8" s="58"/>
      <c r="EJO8" s="56"/>
      <c r="EJP8" s="57"/>
      <c r="EJQ8" s="57"/>
      <c r="EJR8" s="57"/>
      <c r="EJS8" s="57"/>
      <c r="EJT8" s="57"/>
      <c r="EJU8" s="56"/>
      <c r="EJV8" s="57"/>
      <c r="EJW8" s="57"/>
      <c r="EJX8" s="56"/>
      <c r="EJY8" s="57"/>
      <c r="EJZ8" s="58"/>
      <c r="EKA8" s="56"/>
      <c r="EKB8" s="57"/>
      <c r="EKC8" s="57"/>
      <c r="EKD8" s="57"/>
      <c r="EKE8" s="56"/>
      <c r="EKF8" s="57"/>
      <c r="EKG8" s="57"/>
      <c r="EKH8" s="56"/>
      <c r="EKI8" s="57"/>
      <c r="EKJ8" s="58"/>
      <c r="EKK8" s="56"/>
      <c r="EKL8" s="57"/>
      <c r="EKM8" s="57"/>
      <c r="EKN8" s="57"/>
      <c r="EKO8" s="56"/>
      <c r="EKP8" s="57"/>
      <c r="EKQ8" s="57"/>
      <c r="EKR8" s="56"/>
      <c r="EKS8" s="57"/>
      <c r="EKT8" s="58"/>
      <c r="EKU8" s="56"/>
      <c r="EKV8" s="57"/>
      <c r="EKW8" s="57"/>
      <c r="EKX8" s="57"/>
      <c r="EKY8" s="56"/>
      <c r="EKZ8" s="57"/>
      <c r="ELA8" s="57"/>
      <c r="ELB8" s="56"/>
      <c r="ELC8" s="57"/>
      <c r="ELD8" s="58"/>
      <c r="ELE8" s="56"/>
      <c r="ELF8" s="58"/>
      <c r="ELG8" s="57"/>
      <c r="ELH8" s="56"/>
      <c r="ELI8" s="57"/>
      <c r="ELJ8" s="56"/>
      <c r="ELK8" s="56"/>
      <c r="ELL8" s="56"/>
      <c r="ELM8" s="57"/>
      <c r="ELN8" s="386"/>
      <c r="ELO8" s="57"/>
      <c r="ELP8" s="386"/>
      <c r="ELQ8" s="57"/>
      <c r="ELR8" s="386"/>
      <c r="ELS8" s="57"/>
      <c r="ELT8" s="57"/>
      <c r="ELU8" s="57"/>
      <c r="ELV8" s="57"/>
      <c r="ELW8" s="57"/>
      <c r="ELX8" s="57"/>
      <c r="ELY8" s="57"/>
      <c r="ELZ8" s="57"/>
      <c r="EMA8" s="57"/>
      <c r="EMB8" s="57"/>
      <c r="EMC8" s="57"/>
      <c r="EMD8" s="57"/>
      <c r="EME8" s="57"/>
      <c r="EMF8" s="57"/>
      <c r="EMG8" s="57"/>
      <c r="EMH8" s="57"/>
      <c r="EMI8" s="57"/>
      <c r="EMJ8" s="57"/>
      <c r="EMK8" s="57"/>
      <c r="EML8" s="57"/>
      <c r="EMM8" s="57"/>
      <c r="EMN8" s="57"/>
      <c r="EMO8" s="57"/>
      <c r="EMP8" s="57"/>
      <c r="EMQ8" s="57"/>
      <c r="EMR8" s="57"/>
      <c r="EMS8" s="57"/>
      <c r="EMT8" s="57"/>
      <c r="EMU8" s="57"/>
      <c r="EMV8" s="57"/>
      <c r="EMW8" s="57"/>
      <c r="EMX8" s="58"/>
      <c r="EMY8" s="56"/>
      <c r="EMZ8" s="57"/>
      <c r="ENA8" s="57"/>
      <c r="ENB8" s="57"/>
      <c r="ENC8" s="57"/>
      <c r="END8" s="57"/>
      <c r="ENE8" s="56"/>
      <c r="ENF8" s="57"/>
      <c r="ENG8" s="57"/>
      <c r="ENH8" s="56"/>
      <c r="ENI8" s="57"/>
      <c r="ENJ8" s="58"/>
      <c r="ENK8" s="56"/>
      <c r="ENL8" s="57"/>
      <c r="ENM8" s="57"/>
      <c r="ENN8" s="57"/>
      <c r="ENO8" s="56"/>
      <c r="ENP8" s="57"/>
      <c r="ENQ8" s="57"/>
      <c r="ENR8" s="56"/>
      <c r="ENS8" s="57"/>
      <c r="ENT8" s="58"/>
      <c r="ENU8" s="56"/>
      <c r="ENV8" s="57"/>
      <c r="ENW8" s="57"/>
      <c r="ENX8" s="57"/>
      <c r="ENY8" s="56"/>
      <c r="ENZ8" s="57"/>
      <c r="EOA8" s="57"/>
      <c r="EOB8" s="56"/>
      <c r="EOC8" s="57"/>
      <c r="EOD8" s="58"/>
      <c r="EOE8" s="56"/>
      <c r="EOF8" s="57"/>
      <c r="EOG8" s="57"/>
      <c r="EOH8" s="57"/>
      <c r="EOI8" s="56"/>
      <c r="EOJ8" s="57"/>
      <c r="EOK8" s="57"/>
      <c r="EOL8" s="56"/>
      <c r="EOM8" s="57"/>
      <c r="EON8" s="58"/>
      <c r="EOO8" s="56" t="str">
        <f t="shared" si="149"/>
        <v xml:space="preserve"> </v>
      </c>
      <c r="EOP8" s="58"/>
      <c r="EOQ8" s="57"/>
      <c r="EOR8" s="56"/>
      <c r="EOS8" s="57"/>
      <c r="EOT8" s="56"/>
      <c r="EOU8" s="56"/>
      <c r="EOV8" s="56"/>
      <c r="EOW8" s="57"/>
      <c r="EOX8" s="386"/>
      <c r="EOY8" s="57"/>
      <c r="EOZ8" s="386"/>
      <c r="EPA8" s="57"/>
      <c r="EPB8" s="386"/>
      <c r="EPC8" s="57"/>
      <c r="EPD8" s="57"/>
      <c r="EPE8" s="57"/>
      <c r="EPF8" s="57"/>
      <c r="EPG8" s="57"/>
      <c r="EPH8" s="57"/>
      <c r="EPI8" s="57"/>
      <c r="EPJ8" s="57"/>
      <c r="EPK8" s="57"/>
      <c r="EPL8" s="57"/>
      <c r="EPM8" s="57"/>
      <c r="EPN8" s="57"/>
      <c r="EPO8" s="57"/>
      <c r="EPP8" s="57"/>
      <c r="EPQ8" s="57"/>
      <c r="EPR8" s="57"/>
      <c r="EPS8" s="57"/>
      <c r="EPT8" s="57"/>
      <c r="EPU8" s="57"/>
      <c r="EPV8" s="57"/>
      <c r="EPW8" s="57"/>
      <c r="EPX8" s="57"/>
      <c r="EPY8" s="57"/>
      <c r="EPZ8" s="57"/>
      <c r="EQA8" s="57"/>
      <c r="EQB8" s="57"/>
      <c r="EQC8" s="57"/>
      <c r="EQD8" s="57"/>
      <c r="EQE8" s="57"/>
      <c r="EQF8" s="57"/>
      <c r="EQG8" s="57"/>
      <c r="EQH8" s="58"/>
      <c r="EQI8" s="56"/>
      <c r="EQJ8" s="57"/>
      <c r="EQK8" s="57"/>
      <c r="EQL8" s="57"/>
      <c r="EQM8" s="57"/>
      <c r="EQN8" s="57"/>
      <c r="EQO8" s="56"/>
      <c r="EQP8" s="57"/>
      <c r="EQQ8" s="57"/>
      <c r="EQR8" s="56"/>
      <c r="EQS8" s="57"/>
      <c r="EQT8" s="58"/>
      <c r="EQU8" s="56"/>
      <c r="EQV8" s="57"/>
      <c r="EQW8" s="57"/>
      <c r="EQX8" s="57"/>
      <c r="EQY8" s="56"/>
      <c r="EQZ8" s="57"/>
      <c r="ERA8" s="57"/>
      <c r="ERB8" s="56"/>
      <c r="ERC8" s="57"/>
      <c r="ERD8" s="58"/>
      <c r="ERE8" s="56"/>
      <c r="ERF8" s="57"/>
      <c r="ERG8" s="57"/>
      <c r="ERH8" s="57"/>
      <c r="ERI8" s="56"/>
      <c r="ERJ8" s="57"/>
      <c r="ERK8" s="57"/>
      <c r="ERL8" s="56"/>
      <c r="ERM8" s="57"/>
      <c r="ERN8" s="58"/>
      <c r="ERO8" s="56"/>
      <c r="ERP8" s="57"/>
      <c r="ERQ8" s="57"/>
      <c r="ERR8" s="57"/>
      <c r="ERS8" s="56"/>
      <c r="ERT8" s="57"/>
      <c r="ERU8" s="57"/>
      <c r="ERV8" s="56"/>
      <c r="ERW8" s="57"/>
      <c r="ERX8" s="58"/>
      <c r="ERY8" s="56" t="str">
        <f t="shared" si="150"/>
        <v xml:space="preserve"> </v>
      </c>
      <c r="ERZ8" s="58"/>
      <c r="ESA8" s="57"/>
      <c r="ESB8" s="56"/>
      <c r="ESC8" s="57"/>
      <c r="ESD8" s="56"/>
      <c r="ESE8" s="56"/>
      <c r="ESF8" s="56"/>
      <c r="ESG8" s="57"/>
      <c r="ESH8" s="386"/>
      <c r="ESI8" s="57"/>
      <c r="ESJ8" s="386"/>
      <c r="ESK8" s="57"/>
      <c r="ESL8" s="386"/>
      <c r="ESM8" s="57"/>
      <c r="ESN8" s="57"/>
      <c r="ESO8" s="57"/>
      <c r="ESP8" s="57"/>
      <c r="ESQ8" s="57"/>
      <c r="ESR8" s="57"/>
      <c r="ESS8" s="57"/>
      <c r="EST8" s="57"/>
      <c r="ESU8" s="57"/>
      <c r="ESV8" s="57"/>
      <c r="ESW8" s="57"/>
      <c r="ESX8" s="57"/>
      <c r="ESY8" s="57"/>
      <c r="ESZ8" s="57"/>
      <c r="ETA8" s="57"/>
      <c r="ETB8" s="57"/>
      <c r="ETC8" s="57"/>
      <c r="ETD8" s="57"/>
      <c r="ETE8" s="57"/>
      <c r="ETF8" s="57"/>
      <c r="ETG8" s="57"/>
      <c r="ETH8" s="57"/>
      <c r="ETI8" s="57"/>
      <c r="ETJ8" s="57"/>
      <c r="ETK8" s="57"/>
      <c r="ETL8" s="57"/>
      <c r="ETM8" s="57"/>
      <c r="ETN8" s="57"/>
      <c r="ETO8" s="57"/>
      <c r="ETP8" s="57"/>
      <c r="ETQ8" s="57"/>
      <c r="ETR8" s="58"/>
      <c r="ETS8" s="56"/>
      <c r="ETT8" s="57"/>
      <c r="ETU8" s="57"/>
      <c r="ETV8" s="57"/>
      <c r="ETW8" s="57"/>
      <c r="ETX8" s="57"/>
      <c r="ETY8" s="56"/>
      <c r="ETZ8" s="57"/>
      <c r="EUA8" s="57"/>
      <c r="EUB8" s="56"/>
      <c r="EUC8" s="57"/>
      <c r="EUD8" s="58"/>
      <c r="EUE8" s="56"/>
      <c r="EUF8" s="57"/>
      <c r="EUG8" s="57"/>
      <c r="EUH8" s="57"/>
      <c r="EUI8" s="56"/>
      <c r="EUJ8" s="57"/>
      <c r="EUK8" s="57"/>
      <c r="EUL8" s="56"/>
      <c r="EUM8" s="57"/>
      <c r="EUN8" s="58"/>
      <c r="EUO8" s="56"/>
      <c r="EUP8" s="57"/>
      <c r="EUQ8" s="57"/>
      <c r="EUR8" s="57"/>
      <c r="EUS8" s="56"/>
      <c r="EUT8" s="57"/>
      <c r="EUU8" s="57"/>
      <c r="EUV8" s="56"/>
      <c r="EUW8" s="57"/>
      <c r="EUX8" s="58"/>
      <c r="EUY8" s="56"/>
      <c r="EUZ8" s="57"/>
      <c r="EVA8" s="57"/>
      <c r="EVB8" s="57"/>
      <c r="EVC8" s="56"/>
      <c r="EVD8" s="57"/>
      <c r="EVE8" s="57"/>
      <c r="EVF8" s="56"/>
      <c r="EVG8" s="57"/>
      <c r="EVH8" s="58"/>
      <c r="EVI8" s="56" t="str">
        <f t="shared" si="151"/>
        <v xml:space="preserve"> </v>
      </c>
    </row>
    <row r="9" spans="1:3961" x14ac:dyDescent="0.3">
      <c r="A9" s="423" t="s">
        <v>114</v>
      </c>
      <c r="B9" s="30" t="str">
        <f>'REG y VAL POE - AESR - ESR'!B407</f>
        <v xml:space="preserve">Baxin Ixtepan Valentin </v>
      </c>
      <c r="C9" s="29" t="str">
        <f>'REG y VAL POE - AESR - ESR'!C407</f>
        <v>Sin Registro</v>
      </c>
      <c r="D9" s="28">
        <f>'REG y VAL POE - AESR - ESR'!D407</f>
        <v>22226550</v>
      </c>
      <c r="E9" s="29">
        <f>'REG y VAL POE - AESR - ESR'!E407</f>
        <v>0</v>
      </c>
      <c r="F9" s="28">
        <f>'REG y VAL POE - AESR - ESR'!F407</f>
        <v>0</v>
      </c>
      <c r="G9" s="31">
        <f>'REG y VAL POE - AESR - ESR'!G407</f>
        <v>0</v>
      </c>
      <c r="H9" s="31">
        <f>'REG y VAL POE - AESR - ESR'!H407</f>
        <v>0</v>
      </c>
      <c r="I9" s="29">
        <f>'REG y VAL POE - AESR - ESR'!I407</f>
        <v>0</v>
      </c>
      <c r="J9" s="29">
        <f>'REG y VAL POE - AESR - ESR'!J407</f>
        <v>0</v>
      </c>
      <c r="K9" s="29">
        <f>'REG y VAL POE - AESR - ESR'!K407</f>
        <v>0</v>
      </c>
      <c r="L9" s="29">
        <f>'REG y VAL POE - AESR - ESR'!L407</f>
        <v>0</v>
      </c>
      <c r="M9" s="29">
        <f>'REG y VAL POE - AESR - ESR'!M407</f>
        <v>0</v>
      </c>
      <c r="N9" s="29">
        <f>'REG y VAL POE - AESR - ESR'!N407</f>
        <v>0</v>
      </c>
      <c r="O9" s="29">
        <f>'REG y VAL POE - AESR - ESR'!O407</f>
        <v>0</v>
      </c>
      <c r="P9" s="29">
        <f>'REG y VAL POE - AESR - ESR'!P407</f>
        <v>0</v>
      </c>
      <c r="Q9" s="29">
        <f>'REG y VAL POE - AESR - ESR'!Q407</f>
        <v>0</v>
      </c>
      <c r="R9" s="29">
        <f>'REG y VAL POE - AESR - ESR'!R407</f>
        <v>0</v>
      </c>
      <c r="S9" s="29">
        <f>'REG y VAL POE - AESR - ESR'!S407</f>
        <v>0</v>
      </c>
      <c r="T9" s="29">
        <f>'REG y VAL POE - AESR - ESR'!T407</f>
        <v>0</v>
      </c>
      <c r="U9" s="29">
        <f>'REG y VAL POE - AESR - ESR'!U407</f>
        <v>0</v>
      </c>
      <c r="V9" s="29">
        <f>'REG y VAL POE - AESR - ESR'!V407</f>
        <v>0</v>
      </c>
      <c r="W9" s="29">
        <f>'REG y VAL POE - AESR - ESR'!W407</f>
        <v>0</v>
      </c>
      <c r="X9" s="29">
        <f>'REG y VAL POE - AESR - ESR'!X407</f>
        <v>0</v>
      </c>
      <c r="Y9" s="29">
        <f>'REG y VAL POE - AESR - ESR'!Y407</f>
        <v>0</v>
      </c>
      <c r="Z9" s="29">
        <f>'REG y VAL POE - AESR - ESR'!Z407</f>
        <v>0</v>
      </c>
      <c r="AA9" s="29">
        <f>'REG y VAL POE - AESR - ESR'!AA407</f>
        <v>0</v>
      </c>
      <c r="AB9" s="29">
        <f>'REG y VAL POE - AESR - ESR'!AB407</f>
        <v>0</v>
      </c>
      <c r="AC9" s="29">
        <f>'REG y VAL POE - AESR - ESR'!AC407</f>
        <v>0</v>
      </c>
      <c r="AD9" s="29">
        <f>'REG y VAL POE - AESR - ESR'!AD407</f>
        <v>0</v>
      </c>
      <c r="AE9" s="29">
        <f>'REG y VAL POE - AESR - ESR'!AE407</f>
        <v>0</v>
      </c>
      <c r="AF9" s="29">
        <f>'REG y VAL POE - AESR - ESR'!AF407</f>
        <v>0</v>
      </c>
      <c r="AG9" s="29">
        <f>'REG y VAL POE - AESR - ESR'!AG407</f>
        <v>0</v>
      </c>
      <c r="AH9" s="29">
        <f>'REG y VAL POE - AESR - ESR'!AH407</f>
        <v>0</v>
      </c>
      <c r="AI9" s="29">
        <f>'REG y VAL POE - AESR - ESR'!AI407</f>
        <v>0</v>
      </c>
      <c r="AJ9" s="29">
        <f>'REG y VAL POE - AESR - ESR'!AJ407</f>
        <v>0</v>
      </c>
      <c r="AK9" s="29">
        <f>'REG y VAL POE - AESR - ESR'!AK407</f>
        <v>0</v>
      </c>
      <c r="AL9" s="29">
        <f>'REG y VAL POE - AESR - ESR'!AL407</f>
        <v>0</v>
      </c>
      <c r="AM9" s="29">
        <f>'REG y VAL POE - AESR - ESR'!AM407</f>
        <v>0</v>
      </c>
      <c r="AN9" s="29">
        <f>'REG y VAL POE - AESR - ESR'!AN407</f>
        <v>0</v>
      </c>
      <c r="AO9" s="29">
        <f>'REG y VAL POE - AESR - ESR'!AO407</f>
        <v>0</v>
      </c>
      <c r="AP9" s="29">
        <f>'REG y VAL POE - AESR - ESR'!AP407</f>
        <v>0</v>
      </c>
      <c r="AQ9" s="29">
        <f>'REG y VAL POE - AESR - ESR'!AQ407</f>
        <v>0</v>
      </c>
      <c r="AR9" s="29">
        <f>'REG y VAL POE - AESR - ESR'!AR407</f>
        <v>0</v>
      </c>
      <c r="AS9" s="29">
        <f>'REG y VAL POE - AESR - ESR'!AS407</f>
        <v>0</v>
      </c>
      <c r="AT9" s="30" t="str">
        <f>'REG y VAL POE - AESR - ESR'!B408</f>
        <v xml:space="preserve">Guillen Sanchez Francisco Javier </v>
      </c>
      <c r="AU9" s="28" t="str">
        <f>'REG y VAL POE - AESR - ESR'!C408</f>
        <v>Sin Registro</v>
      </c>
      <c r="AV9" s="29">
        <f>'REG y VAL POE - AESR - ESR'!D408</f>
        <v>22219592</v>
      </c>
      <c r="AW9" s="29">
        <f>'REG y VAL POE - AESR - ESR'!E408</f>
        <v>0</v>
      </c>
      <c r="AX9" s="29">
        <f>'REG y VAL POE - AESR - ESR'!F408</f>
        <v>0</v>
      </c>
      <c r="AY9" s="29">
        <f>'REG y VAL POE - AESR - ESR'!G408</f>
        <v>0</v>
      </c>
      <c r="AZ9" s="29">
        <f>'REG y VAL POE - AESR - ESR'!H408</f>
        <v>0</v>
      </c>
      <c r="BA9" s="28">
        <f>'REG y VAL POE - AESR - ESR'!I408</f>
        <v>0</v>
      </c>
      <c r="BB9" s="29">
        <f>'REG y VAL POE - AESR - ESR'!J408</f>
        <v>0</v>
      </c>
      <c r="BC9" s="29">
        <f>'REG y VAL POE - AESR - ESR'!K408</f>
        <v>0</v>
      </c>
      <c r="BD9" s="28">
        <f>'REG y VAL POE - AESR - ESR'!L408</f>
        <v>0</v>
      </c>
      <c r="BE9" s="29">
        <f>'REG y VAL POE - AESR - ESR'!M408</f>
        <v>0</v>
      </c>
      <c r="BF9" s="30">
        <f>'REG y VAL POE - AESR - ESR'!N408</f>
        <v>0</v>
      </c>
      <c r="BG9" s="28">
        <f>'REG y VAL POE - AESR - ESR'!O408</f>
        <v>0</v>
      </c>
      <c r="BH9" s="29">
        <f>'REG y VAL POE - AESR - ESR'!P408</f>
        <v>0</v>
      </c>
      <c r="BI9" s="29">
        <f>'REG y VAL POE - AESR - ESR'!Q408</f>
        <v>0</v>
      </c>
      <c r="BJ9" s="29">
        <f>'REG y VAL POE - AESR - ESR'!R408</f>
        <v>0</v>
      </c>
      <c r="BK9" s="28">
        <f>'REG y VAL POE - AESR - ESR'!S408</f>
        <v>0</v>
      </c>
      <c r="BL9" s="29">
        <f>'REG y VAL POE - AESR - ESR'!T408</f>
        <v>0</v>
      </c>
      <c r="BM9" s="29">
        <f>'REG y VAL POE - AESR - ESR'!U408</f>
        <v>0</v>
      </c>
      <c r="BN9" s="28">
        <f>'REG y VAL POE - AESR - ESR'!V408</f>
        <v>0</v>
      </c>
      <c r="BO9" s="29">
        <f>'REG y VAL POE - AESR - ESR'!W408</f>
        <v>0</v>
      </c>
      <c r="BP9" s="30">
        <f>'REG y VAL POE - AESR - ESR'!X408</f>
        <v>0</v>
      </c>
      <c r="BQ9" s="28">
        <f>'REG y VAL POE - AESR - ESR'!Y408</f>
        <v>0</v>
      </c>
      <c r="BR9" s="29">
        <f>'REG y VAL POE - AESR - ESR'!Z408</f>
        <v>0</v>
      </c>
      <c r="BS9" s="29">
        <f>'REG y VAL POE - AESR - ESR'!AA408</f>
        <v>0</v>
      </c>
      <c r="BT9" s="29">
        <f>'REG y VAL POE - AESR - ESR'!AB408</f>
        <v>0</v>
      </c>
      <c r="BU9" s="28">
        <f>'REG y VAL POE - AESR - ESR'!AC408</f>
        <v>0</v>
      </c>
      <c r="BV9" s="29">
        <f>'REG y VAL POE - AESR - ESR'!AD408</f>
        <v>0</v>
      </c>
      <c r="BW9" s="29">
        <f>'REG y VAL POE - AESR - ESR'!AE408</f>
        <v>0</v>
      </c>
      <c r="BX9" s="28">
        <f>'REG y VAL POE - AESR - ESR'!AF408</f>
        <v>0</v>
      </c>
      <c r="BY9" s="29">
        <f>'REG y VAL POE - AESR - ESR'!AG408</f>
        <v>0</v>
      </c>
      <c r="BZ9" s="30">
        <f>'REG y VAL POE - AESR - ESR'!AH408</f>
        <v>0</v>
      </c>
      <c r="CA9" s="28">
        <f>'REG y VAL POE - AESR - ESR'!AI408</f>
        <v>0</v>
      </c>
      <c r="CB9" s="29">
        <f>'REG y VAL POE - AESR - ESR'!AJ408</f>
        <v>0</v>
      </c>
      <c r="CC9" s="29">
        <f>'REG y VAL POE - AESR - ESR'!AK408</f>
        <v>0</v>
      </c>
      <c r="CD9" s="29">
        <f>'REG y VAL POE - AESR - ESR'!AL408</f>
        <v>0</v>
      </c>
      <c r="CE9" s="28">
        <f>'REG y VAL POE - AESR - ESR'!AM408</f>
        <v>0</v>
      </c>
      <c r="CF9" s="29">
        <f>'REG y VAL POE - AESR - ESR'!AN408</f>
        <v>0</v>
      </c>
      <c r="CG9" s="29">
        <f>'REG y VAL POE - AESR - ESR'!AO408</f>
        <v>0</v>
      </c>
      <c r="CH9" s="28">
        <f>'REG y VAL POE - AESR - ESR'!AP408</f>
        <v>0</v>
      </c>
      <c r="CI9" s="29">
        <f>'REG y VAL POE - AESR - ESR'!AQ408</f>
        <v>0</v>
      </c>
      <c r="CJ9" s="30">
        <f>'REG y VAL POE - AESR - ESR'!AR408</f>
        <v>0</v>
      </c>
      <c r="CK9" s="28">
        <f>'REG y VAL POE - AESR - ESR'!AS408</f>
        <v>0</v>
      </c>
      <c r="CL9" s="29">
        <f>'REG y VAL POE - AESR - ESR'!B409</f>
        <v>0</v>
      </c>
      <c r="CM9" s="29">
        <f>'REG y VAL POE - AESR - ESR'!C409</f>
        <v>0</v>
      </c>
      <c r="CN9" s="29">
        <f>'REG y VAL POE - AESR - ESR'!D409</f>
        <v>0</v>
      </c>
      <c r="CO9" s="28">
        <f>'REG y VAL POE - AESR - ESR'!E409</f>
        <v>0</v>
      </c>
      <c r="CP9" s="29">
        <f>'REG y VAL POE - AESR - ESR'!F409</f>
        <v>0</v>
      </c>
      <c r="CQ9" s="29">
        <f>'REG y VAL POE - AESR - ESR'!G409</f>
        <v>0</v>
      </c>
      <c r="CR9" s="28">
        <f>'REG y VAL POE - AESR - ESR'!H409</f>
        <v>0</v>
      </c>
      <c r="CS9" s="29">
        <f>'REG y VAL POE - AESR - ESR'!I409</f>
        <v>0</v>
      </c>
      <c r="CT9" s="30">
        <f>'REG y VAL POE - AESR - ESR'!J409</f>
        <v>0</v>
      </c>
      <c r="CU9" s="28">
        <f>'REG y VAL POE - AESR - ESR'!K409</f>
        <v>0</v>
      </c>
      <c r="CV9" s="29">
        <f>'REG y VAL POE - AESR - ESR'!L409</f>
        <v>0</v>
      </c>
      <c r="CW9" s="29">
        <f>'REG y VAL POE - AESR - ESR'!M409</f>
        <v>0</v>
      </c>
      <c r="CX9" s="29">
        <f>'REG y VAL POE - AESR - ESR'!N409</f>
        <v>0</v>
      </c>
      <c r="CY9" s="28">
        <f>'REG y VAL POE - AESR - ESR'!O409</f>
        <v>0</v>
      </c>
      <c r="CZ9" s="29">
        <f>'REG y VAL POE - AESR - ESR'!P409</f>
        <v>0</v>
      </c>
      <c r="DA9" s="29">
        <f>'REG y VAL POE - AESR - ESR'!Q409</f>
        <v>0</v>
      </c>
      <c r="DB9" s="28">
        <f>'REG y VAL POE - AESR - ESR'!R409</f>
        <v>0</v>
      </c>
      <c r="DC9" s="29">
        <f>'REG y VAL POE - AESR - ESR'!S409</f>
        <v>0</v>
      </c>
      <c r="DD9" s="30">
        <f>'REG y VAL POE - AESR - ESR'!T409</f>
        <v>0</v>
      </c>
      <c r="DE9" s="28">
        <f>'REG y VAL POE - AESR - ESR'!U409</f>
        <v>0</v>
      </c>
      <c r="DF9" s="29">
        <f>'REG y VAL POE - AESR - ESR'!V409</f>
        <v>0</v>
      </c>
      <c r="DG9" s="29">
        <f>'REG y VAL POE - AESR - ESR'!W409</f>
        <v>0</v>
      </c>
      <c r="DH9" s="29">
        <f>'REG y VAL POE - AESR - ESR'!X409</f>
        <v>0</v>
      </c>
      <c r="DI9" s="28">
        <f>'REG y VAL POE - AESR - ESR'!Y409</f>
        <v>0</v>
      </c>
      <c r="DJ9" s="29">
        <f>'REG y VAL POE - AESR - ESR'!Z409</f>
        <v>0</v>
      </c>
      <c r="DK9" s="29">
        <f>'REG y VAL POE - AESR - ESR'!AA409</f>
        <v>0</v>
      </c>
      <c r="DL9" s="28">
        <f>'REG y VAL POE - AESR - ESR'!AB409</f>
        <v>0</v>
      </c>
      <c r="DM9" s="29">
        <f>'REG y VAL POE - AESR - ESR'!AC409</f>
        <v>0</v>
      </c>
      <c r="DN9" s="30">
        <f>'REG y VAL POE - AESR - ESR'!AD409</f>
        <v>0</v>
      </c>
      <c r="DO9" s="28">
        <f>'REG y VAL POE - AESR - ESR'!AE409</f>
        <v>0</v>
      </c>
      <c r="DP9" s="29">
        <f>'REG y VAL POE - AESR - ESR'!AF409</f>
        <v>0</v>
      </c>
      <c r="DQ9" s="29">
        <f>'REG y VAL POE - AESR - ESR'!AG409</f>
        <v>0</v>
      </c>
      <c r="DR9" s="29">
        <f>'REG y VAL POE - AESR - ESR'!AH409</f>
        <v>0</v>
      </c>
      <c r="DS9" s="28">
        <f>'REG y VAL POE - AESR - ESR'!AI409</f>
        <v>0</v>
      </c>
      <c r="DT9" s="29">
        <f>'REG y VAL POE - AESR - ESR'!AJ409</f>
        <v>0</v>
      </c>
      <c r="DU9" s="29">
        <f>'REG y VAL POE - AESR - ESR'!AK409</f>
        <v>0</v>
      </c>
      <c r="DV9" s="28">
        <f>'REG y VAL POE - AESR - ESR'!AL409</f>
        <v>0</v>
      </c>
      <c r="DW9" s="29">
        <f>'REG y VAL POE - AESR - ESR'!AM409</f>
        <v>0</v>
      </c>
      <c r="DX9" s="30">
        <f>'REG y VAL POE - AESR - ESR'!AN409</f>
        <v>0</v>
      </c>
      <c r="DY9" s="28">
        <f>'REG y VAL POE - AESR - ESR'!AO409</f>
        <v>0</v>
      </c>
      <c r="DZ9" s="29">
        <f>'REG y VAL POE - AESR - ESR'!AP409</f>
        <v>0</v>
      </c>
      <c r="EA9" s="29">
        <f>'REG y VAL POE - AESR - ESR'!AQ409</f>
        <v>0</v>
      </c>
      <c r="EB9" s="29">
        <f>'REG y VAL POE - AESR - ESR'!AR409</f>
        <v>0</v>
      </c>
      <c r="EC9" s="28">
        <f>'REG y VAL POE - AESR - ESR'!AS409</f>
        <v>0</v>
      </c>
      <c r="ED9" s="29">
        <f>'REG y VAL POE - AESR - ESR'!B410</f>
        <v>0</v>
      </c>
      <c r="EE9" s="28">
        <f>'REG y VAL POE - AESR - ESR'!C410</f>
        <v>0</v>
      </c>
      <c r="EF9" s="28">
        <f>'REG y VAL POE - AESR - ESR'!D410</f>
        <v>0</v>
      </c>
      <c r="EG9" s="29">
        <f>'REG y VAL POE - AESR - ESR'!E410</f>
        <v>0</v>
      </c>
      <c r="EH9" s="30">
        <f>'REG y VAL POE - AESR - ESR'!F410</f>
        <v>0</v>
      </c>
      <c r="EI9" s="28">
        <f>'REG y VAL POE - AESR - ESR'!G410</f>
        <v>0</v>
      </c>
      <c r="EJ9" s="29">
        <f>'REG y VAL POE - AESR - ESR'!H410</f>
        <v>0</v>
      </c>
      <c r="EK9" s="29">
        <f>'REG y VAL POE - AESR - ESR'!I410</f>
        <v>0</v>
      </c>
      <c r="EL9" s="29">
        <f>'REG y VAL POE - AESR - ESR'!J410</f>
        <v>0</v>
      </c>
      <c r="EM9" s="28">
        <f>'REG y VAL POE - AESR - ESR'!K410</f>
        <v>0</v>
      </c>
      <c r="EN9" s="29">
        <f>'REG y VAL POE - AESR - ESR'!L410</f>
        <v>0</v>
      </c>
      <c r="EO9" s="33">
        <f>'REG y VAL POE - AESR - ESR'!M410</f>
        <v>0</v>
      </c>
      <c r="EP9" s="28">
        <f>'REG y VAL POE - AESR - ESR'!N410</f>
        <v>0</v>
      </c>
      <c r="EQ9" s="29">
        <f>'REG y VAL POE - AESR - ESR'!O410</f>
        <v>0</v>
      </c>
      <c r="ER9" s="30">
        <f>'REG y VAL POE - AESR - ESR'!P410</f>
        <v>0</v>
      </c>
      <c r="ES9" s="28">
        <f>'REG y VAL POE - AESR - ESR'!Q410</f>
        <v>0</v>
      </c>
      <c r="ET9" s="29">
        <f>'REG y VAL POE - AESR - ESR'!R410</f>
        <v>0</v>
      </c>
      <c r="EU9" s="29">
        <f>'REG y VAL POE - AESR - ESR'!S410</f>
        <v>0</v>
      </c>
      <c r="EV9" s="29">
        <f>'REG y VAL POE - AESR - ESR'!T410</f>
        <v>0</v>
      </c>
      <c r="EW9" s="28">
        <f>'REG y VAL POE - AESR - ESR'!U410</f>
        <v>0</v>
      </c>
      <c r="EX9" s="29">
        <f>'REG y VAL POE - AESR - ESR'!V410</f>
        <v>0</v>
      </c>
      <c r="EY9" s="29">
        <f>'REG y VAL POE - AESR - ESR'!W410</f>
        <v>0</v>
      </c>
      <c r="EZ9" s="28">
        <f>'REG y VAL POE - AESR - ESR'!X410</f>
        <v>0</v>
      </c>
      <c r="FA9" s="29">
        <f>'REG y VAL POE - AESR - ESR'!Y410</f>
        <v>0</v>
      </c>
      <c r="FB9" s="30">
        <f>'REG y VAL POE - AESR - ESR'!Z410</f>
        <v>0</v>
      </c>
      <c r="FC9" s="28">
        <f>'REG y VAL POE - AESR - ESR'!AA410</f>
        <v>0</v>
      </c>
      <c r="FD9" s="29">
        <f>'REG y VAL POE - AESR - ESR'!AB410</f>
        <v>0</v>
      </c>
      <c r="FE9" s="29">
        <f>'REG y VAL POE - AESR - ESR'!AC410</f>
        <v>0</v>
      </c>
      <c r="FF9" s="29">
        <f>'REG y VAL POE - AESR - ESR'!AD410</f>
        <v>0</v>
      </c>
      <c r="FG9" s="28">
        <f>'REG y VAL POE - AESR - ESR'!AE410</f>
        <v>0</v>
      </c>
      <c r="FH9" s="29">
        <f>'REG y VAL POE - AESR - ESR'!AF410</f>
        <v>0</v>
      </c>
      <c r="FI9" s="29">
        <f>'REG y VAL POE - AESR - ESR'!AG410</f>
        <v>0</v>
      </c>
      <c r="FJ9" s="28">
        <f>'REG y VAL POE - AESR - ESR'!AH410</f>
        <v>0</v>
      </c>
      <c r="FK9" s="29">
        <f>'REG y VAL POE - AESR - ESR'!AI410</f>
        <v>0</v>
      </c>
      <c r="FL9" s="30">
        <f>'REG y VAL POE - AESR - ESR'!AJ410</f>
        <v>0</v>
      </c>
      <c r="FM9" s="28">
        <f>'REG y VAL POE - AESR - ESR'!AK410</f>
        <v>0</v>
      </c>
      <c r="FN9" s="29">
        <f>'REG y VAL POE - AESR - ESR'!AL410</f>
        <v>0</v>
      </c>
      <c r="FO9" s="29">
        <f>'REG y VAL POE - AESR - ESR'!AM410</f>
        <v>0</v>
      </c>
      <c r="FP9" s="29">
        <f>'REG y VAL POE - AESR - ESR'!AN410</f>
        <v>0</v>
      </c>
      <c r="FQ9" s="28">
        <f>'REG y VAL POE - AESR - ESR'!AO410</f>
        <v>0</v>
      </c>
      <c r="FR9" s="29">
        <f>'REG y VAL POE - AESR - ESR'!AP410</f>
        <v>0</v>
      </c>
      <c r="FS9" s="29">
        <f>'REG y VAL POE - AESR - ESR'!AQ410</f>
        <v>0</v>
      </c>
      <c r="FT9" s="28">
        <f>'REG y VAL POE - AESR - ESR'!AR410</f>
        <v>0</v>
      </c>
      <c r="FU9" s="29">
        <f>'REG y VAL POE - AESR - ESR'!AS410</f>
        <v>0</v>
      </c>
      <c r="FV9" s="30">
        <f>'REG y VAL POE - AESR - ESR'!B411</f>
        <v>0</v>
      </c>
      <c r="FW9" s="28">
        <f>'REG y VAL POE - AESR - ESR'!C411</f>
        <v>0</v>
      </c>
      <c r="FX9" s="29">
        <f>'REG y VAL POE - AESR - ESR'!D411</f>
        <v>0</v>
      </c>
      <c r="FY9" s="29">
        <f>'REG y VAL POE - AESR - ESR'!E411</f>
        <v>0</v>
      </c>
      <c r="FZ9" s="29">
        <f>'REG y VAL POE - AESR - ESR'!F411</f>
        <v>0</v>
      </c>
      <c r="GA9" s="28">
        <f>'REG y VAL POE - AESR - ESR'!G411</f>
        <v>0</v>
      </c>
      <c r="GB9" s="29">
        <f>'REG y VAL POE - AESR - ESR'!H411</f>
        <v>0</v>
      </c>
      <c r="GC9" s="29">
        <f>'REG y VAL POE - AESR - ESR'!I411</f>
        <v>0</v>
      </c>
      <c r="GD9" s="28">
        <f>'REG y VAL POE - AESR - ESR'!J411</f>
        <v>0</v>
      </c>
      <c r="GE9" s="29">
        <f>'REG y VAL POE - AESR - ESR'!K411</f>
        <v>0</v>
      </c>
      <c r="GF9" s="30">
        <f>'REG y VAL POE - AESR - ESR'!L411</f>
        <v>0</v>
      </c>
      <c r="GG9" s="28">
        <f>'REG y VAL POE - AESR - ESR'!M411</f>
        <v>0</v>
      </c>
      <c r="GH9" s="29">
        <f>'REG y VAL POE - AESR - ESR'!N411</f>
        <v>0</v>
      </c>
      <c r="GI9" s="29">
        <f>'REG y VAL POE - AESR - ESR'!O411</f>
        <v>0</v>
      </c>
      <c r="GJ9" s="29">
        <f>'REG y VAL POE - AESR - ESR'!P411</f>
        <v>0</v>
      </c>
      <c r="GK9" s="28">
        <f>'REG y VAL POE - AESR - ESR'!Q411</f>
        <v>0</v>
      </c>
      <c r="GL9" s="29">
        <f>'REG y VAL POE - AESR - ESR'!R411</f>
        <v>0</v>
      </c>
      <c r="GM9" s="29">
        <f>'REG y VAL POE - AESR - ESR'!S411</f>
        <v>0</v>
      </c>
      <c r="GN9" s="28">
        <f>'REG y VAL POE - AESR - ESR'!T411</f>
        <v>0</v>
      </c>
      <c r="GO9" s="29">
        <f>'REG y VAL POE - AESR - ESR'!U411</f>
        <v>0</v>
      </c>
      <c r="GP9" s="30">
        <f>'REG y VAL POE - AESR - ESR'!V411</f>
        <v>0</v>
      </c>
      <c r="GQ9" s="28">
        <f>'REG y VAL POE - AESR - ESR'!W411</f>
        <v>0</v>
      </c>
      <c r="GR9" s="29">
        <f>'REG y VAL POE - AESR - ESR'!X411</f>
        <v>0</v>
      </c>
      <c r="GS9" s="29">
        <f>'REG y VAL POE - AESR - ESR'!Y411</f>
        <v>0</v>
      </c>
      <c r="GT9" s="29">
        <f>'REG y VAL POE - AESR - ESR'!Z411</f>
        <v>0</v>
      </c>
      <c r="GU9" s="28">
        <f>'REG y VAL POE - AESR - ESR'!AA411</f>
        <v>0</v>
      </c>
      <c r="GV9" s="29">
        <f>'REG y VAL POE - AESR - ESR'!AB411</f>
        <v>0</v>
      </c>
      <c r="GW9" s="29">
        <f>'REG y VAL POE - AESR - ESR'!AC411</f>
        <v>0</v>
      </c>
      <c r="GX9" s="28">
        <f>'REG y VAL POE - AESR - ESR'!AD411</f>
        <v>0</v>
      </c>
      <c r="GY9" s="29">
        <f>'REG y VAL POE - AESR - ESR'!AE411</f>
        <v>0</v>
      </c>
      <c r="GZ9" s="30">
        <f>'REG y VAL POE - AESR - ESR'!AF411</f>
        <v>0</v>
      </c>
      <c r="HA9" s="28">
        <f>'REG y VAL POE - AESR - ESR'!AG411</f>
        <v>0</v>
      </c>
      <c r="HB9" s="29">
        <f>'REG y VAL POE - AESR - ESR'!AH411</f>
        <v>0</v>
      </c>
      <c r="HC9" s="29">
        <f>'REG y VAL POE - AESR - ESR'!AI411</f>
        <v>0</v>
      </c>
      <c r="HD9" s="29">
        <f>'REG y VAL POE - AESR - ESR'!AJ411</f>
        <v>0</v>
      </c>
      <c r="HE9" s="28">
        <f>'REG y VAL POE - AESR - ESR'!AK411</f>
        <v>0</v>
      </c>
      <c r="HF9" s="29">
        <f>'REG y VAL POE - AESR - ESR'!AL411</f>
        <v>0</v>
      </c>
      <c r="HG9" s="29">
        <f>'REG y VAL POE - AESR - ESR'!AM411</f>
        <v>0</v>
      </c>
      <c r="HH9" s="28">
        <f>'REG y VAL POE - AESR - ESR'!AN411</f>
        <v>0</v>
      </c>
      <c r="HI9" s="29">
        <f>'REG y VAL POE - AESR - ESR'!AO411</f>
        <v>0</v>
      </c>
      <c r="HJ9" s="30">
        <f>'REG y VAL POE - AESR - ESR'!AP411</f>
        <v>0</v>
      </c>
      <c r="HK9" s="28">
        <f>'REG y VAL POE - AESR - ESR'!AQ411</f>
        <v>0</v>
      </c>
      <c r="HL9" s="29">
        <f>'REG y VAL POE - AESR - ESR'!AR411</f>
        <v>0</v>
      </c>
      <c r="HM9" s="29">
        <f>'REG y VAL POE - AESR - ESR'!AS411</f>
        <v>0</v>
      </c>
      <c r="HN9" s="29">
        <f>'REG y VAL POE - AESR - ESR'!B412</f>
        <v>0</v>
      </c>
      <c r="HO9" s="28">
        <f>'REG y VAL POE - AESR - ESR'!C412</f>
        <v>0</v>
      </c>
      <c r="HP9" s="29">
        <f>'REG y VAL POE - AESR - ESR'!D412</f>
        <v>0</v>
      </c>
      <c r="HQ9" s="29">
        <f>'REG y VAL POE - AESR - ESR'!E412</f>
        <v>0</v>
      </c>
      <c r="HR9" s="28">
        <f>'REG y VAL POE - AESR - ESR'!F412</f>
        <v>0</v>
      </c>
      <c r="HS9" s="29">
        <f>'REG y VAL POE - AESR - ESR'!G412</f>
        <v>0</v>
      </c>
      <c r="HT9" s="30">
        <f>'REG y VAL POE - AESR - ESR'!H412</f>
        <v>0</v>
      </c>
      <c r="HU9" s="28">
        <f>'REG y VAL POE - AESR - ESR'!I412</f>
        <v>0</v>
      </c>
      <c r="HV9" s="29">
        <f>'REG y VAL POE - AESR - ESR'!J412</f>
        <v>0</v>
      </c>
      <c r="HW9" s="29">
        <f>'REG y VAL POE - AESR - ESR'!K412</f>
        <v>0</v>
      </c>
      <c r="HX9" s="29">
        <f>'REG y VAL POE - AESR - ESR'!L412</f>
        <v>0</v>
      </c>
      <c r="HY9" s="28">
        <f>'REG y VAL POE - AESR - ESR'!M412</f>
        <v>0</v>
      </c>
      <c r="HZ9" s="29">
        <f>'REG y VAL POE - AESR - ESR'!N412</f>
        <v>0</v>
      </c>
      <c r="IA9" s="29">
        <f>'REG y VAL POE - AESR - ESR'!O412</f>
        <v>0</v>
      </c>
      <c r="IB9" s="28">
        <f>'REG y VAL POE - AESR - ESR'!P412</f>
        <v>0</v>
      </c>
      <c r="IC9" s="29">
        <f>'REG y VAL POE - AESR - ESR'!Q412</f>
        <v>0</v>
      </c>
      <c r="ID9" s="30">
        <f>'REG y VAL POE - AESR - ESR'!R412</f>
        <v>0</v>
      </c>
      <c r="IE9" s="28">
        <f>'REG y VAL POE - AESR - ESR'!S412</f>
        <v>0</v>
      </c>
      <c r="IF9" s="29">
        <f>'REG y VAL POE - AESR - ESR'!T412</f>
        <v>0</v>
      </c>
      <c r="IG9" s="29">
        <f>'REG y VAL POE - AESR - ESR'!U412</f>
        <v>0</v>
      </c>
      <c r="IH9" s="29">
        <f>'REG y VAL POE - AESR - ESR'!V412</f>
        <v>0</v>
      </c>
      <c r="II9" s="28">
        <f>'REG y VAL POE - AESR - ESR'!W412</f>
        <v>0</v>
      </c>
      <c r="IJ9" s="29">
        <f>'REG y VAL POE - AESR - ESR'!X412</f>
        <v>0</v>
      </c>
      <c r="IK9" s="29">
        <f>'REG y VAL POE - AESR - ESR'!Y412</f>
        <v>0</v>
      </c>
      <c r="IL9" s="28">
        <f>'REG y VAL POE - AESR - ESR'!Z412</f>
        <v>0</v>
      </c>
      <c r="IM9" s="29">
        <f>'REG y VAL POE - AESR - ESR'!AA412</f>
        <v>0</v>
      </c>
      <c r="IN9" s="30">
        <f>'REG y VAL POE - AESR - ESR'!AB412</f>
        <v>0</v>
      </c>
      <c r="IO9" s="28">
        <f>'REG y VAL POE - AESR - ESR'!AC412</f>
        <v>0</v>
      </c>
      <c r="IP9" s="29">
        <f>'REG y VAL POE - AESR - ESR'!AD412</f>
        <v>0</v>
      </c>
      <c r="IQ9" s="29">
        <f>'REG y VAL POE - AESR - ESR'!AE412</f>
        <v>0</v>
      </c>
      <c r="IR9" s="29">
        <f>'REG y VAL POE - AESR - ESR'!AF412</f>
        <v>0</v>
      </c>
      <c r="IS9" s="28">
        <f>'REG y VAL POE - AESR - ESR'!AG412</f>
        <v>0</v>
      </c>
      <c r="IT9" s="29">
        <f>'REG y VAL POE - AESR - ESR'!AH412</f>
        <v>0</v>
      </c>
      <c r="IU9" s="29">
        <f>'REG y VAL POE - AESR - ESR'!AI412</f>
        <v>0</v>
      </c>
      <c r="IV9" s="28">
        <f>'REG y VAL POE - AESR - ESR'!AJ412</f>
        <v>0</v>
      </c>
      <c r="IW9" s="29">
        <f>'REG y VAL POE - AESR - ESR'!AK412</f>
        <v>0</v>
      </c>
      <c r="IX9" s="30">
        <f>'REG y VAL POE - AESR - ESR'!AL412</f>
        <v>0</v>
      </c>
      <c r="IY9" s="28">
        <f>'REG y VAL POE - AESR - ESR'!AM412</f>
        <v>0</v>
      </c>
      <c r="IZ9" s="29">
        <f>'REG y VAL POE - AESR - ESR'!AN412</f>
        <v>0</v>
      </c>
      <c r="JA9" s="29">
        <f>'REG y VAL POE - AESR - ESR'!AO412</f>
        <v>0</v>
      </c>
      <c r="JB9" s="29">
        <f>'REG y VAL POE - AESR - ESR'!AP412</f>
        <v>0</v>
      </c>
      <c r="JC9" s="28">
        <f>'REG y VAL POE - AESR - ESR'!AQ412</f>
        <v>0</v>
      </c>
      <c r="JD9" s="29">
        <f>'REG y VAL POE - AESR - ESR'!AR412</f>
        <v>0</v>
      </c>
      <c r="JE9" s="29">
        <f>'REG y VAL POE - AESR - ESR'!AS412</f>
        <v>0</v>
      </c>
      <c r="JF9" s="28">
        <f>'REG y VAL POE - AESR - ESR'!B413</f>
        <v>0</v>
      </c>
      <c r="JG9" s="29">
        <f>'REG y VAL POE - AESR - ESR'!C413</f>
        <v>0</v>
      </c>
      <c r="JH9" s="30">
        <f>'REG y VAL POE - AESR - ESR'!D413</f>
        <v>0</v>
      </c>
      <c r="JI9" s="28">
        <f>'REG y VAL POE - AESR - ESR'!E413</f>
        <v>0</v>
      </c>
      <c r="JJ9" s="29">
        <f>'REG y VAL POE - AESR - ESR'!F413</f>
        <v>0</v>
      </c>
      <c r="JK9" s="29">
        <f>'REG y VAL POE - AESR - ESR'!G413</f>
        <v>0</v>
      </c>
      <c r="JL9" s="29">
        <f>'REG y VAL POE - AESR - ESR'!H413</f>
        <v>0</v>
      </c>
      <c r="JM9" s="28">
        <f>'REG y VAL POE - AESR - ESR'!I413</f>
        <v>0</v>
      </c>
      <c r="JN9" s="29">
        <f>'REG y VAL POE - AESR - ESR'!J413</f>
        <v>0</v>
      </c>
      <c r="JO9" s="29">
        <f>'REG y VAL POE - AESR - ESR'!K413</f>
        <v>0</v>
      </c>
      <c r="JP9" s="28">
        <f>'REG y VAL POE - AESR - ESR'!L413</f>
        <v>0</v>
      </c>
      <c r="JQ9" s="29">
        <f>'REG y VAL POE - AESR - ESR'!M413</f>
        <v>0</v>
      </c>
      <c r="JR9" s="30">
        <f>'REG y VAL POE - AESR - ESR'!N413</f>
        <v>0</v>
      </c>
      <c r="JS9" s="28">
        <f>'REG y VAL POE - AESR - ESR'!O413</f>
        <v>0</v>
      </c>
      <c r="JT9" s="29">
        <f>'REG y VAL POE - AESR - ESR'!P413</f>
        <v>0</v>
      </c>
      <c r="JU9" s="29">
        <f>'REG y VAL POE - AESR - ESR'!Q413</f>
        <v>0</v>
      </c>
      <c r="JV9" s="29">
        <f>'REG y VAL POE - AESR - ESR'!R413</f>
        <v>0</v>
      </c>
      <c r="JW9" s="28">
        <f>'REG y VAL POE - AESR - ESR'!S413</f>
        <v>0</v>
      </c>
      <c r="JX9" s="29">
        <f>'REG y VAL POE - AESR - ESR'!T413</f>
        <v>0</v>
      </c>
      <c r="JY9" s="29">
        <f>'REG y VAL POE - AESR - ESR'!U413</f>
        <v>0</v>
      </c>
      <c r="JZ9" s="28">
        <f>'REG y VAL POE - AESR - ESR'!V413</f>
        <v>0</v>
      </c>
      <c r="KA9" s="29">
        <f>'REG y VAL POE - AESR - ESR'!W413</f>
        <v>0</v>
      </c>
      <c r="KB9" s="30">
        <f>'REG y VAL POE - AESR - ESR'!X413</f>
        <v>0</v>
      </c>
      <c r="KC9" s="28">
        <f>'REG y VAL POE - AESR - ESR'!Y413</f>
        <v>0</v>
      </c>
      <c r="KD9" s="29">
        <f>'REG y VAL POE - AESR - ESR'!Z413</f>
        <v>0</v>
      </c>
      <c r="KE9" s="29">
        <f>'REG y VAL POE - AESR - ESR'!AA413</f>
        <v>0</v>
      </c>
      <c r="KF9" s="29">
        <f>'REG y VAL POE - AESR - ESR'!AB413</f>
        <v>0</v>
      </c>
      <c r="KG9" s="28">
        <f>'REG y VAL POE - AESR - ESR'!AC413</f>
        <v>0</v>
      </c>
      <c r="KH9" s="29">
        <f>'REG y VAL POE - AESR - ESR'!AD413</f>
        <v>0</v>
      </c>
      <c r="KI9" s="29">
        <f>'REG y VAL POE - AESR - ESR'!AE413</f>
        <v>0</v>
      </c>
      <c r="KJ9" s="28">
        <f>'REG y VAL POE - AESR - ESR'!AF413</f>
        <v>0</v>
      </c>
      <c r="KK9" s="29">
        <f>'REG y VAL POE - AESR - ESR'!AG413</f>
        <v>0</v>
      </c>
      <c r="KL9" s="30">
        <f>'REG y VAL POE - AESR - ESR'!AH413</f>
        <v>0</v>
      </c>
      <c r="KM9" s="28">
        <f>'REG y VAL POE - AESR - ESR'!AI413</f>
        <v>0</v>
      </c>
      <c r="KN9" s="29">
        <f>'REG y VAL POE - AESR - ESR'!AJ413</f>
        <v>0</v>
      </c>
      <c r="KO9" s="29">
        <f>'REG y VAL POE - AESR - ESR'!AK413</f>
        <v>0</v>
      </c>
      <c r="KP9" s="29">
        <f>'REG y VAL POE - AESR - ESR'!AL413</f>
        <v>0</v>
      </c>
      <c r="KQ9" s="28">
        <f>'REG y VAL POE - AESR - ESR'!AM413</f>
        <v>0</v>
      </c>
      <c r="KR9" s="29">
        <f>'REG y VAL POE - AESR - ESR'!AN413</f>
        <v>0</v>
      </c>
      <c r="KS9" s="29">
        <f>'REG y VAL POE - AESR - ESR'!AO413</f>
        <v>0</v>
      </c>
      <c r="KT9" s="28">
        <f>'REG y VAL POE - AESR - ESR'!AP413</f>
        <v>0</v>
      </c>
      <c r="KU9" s="29">
        <f>'REG y VAL POE - AESR - ESR'!AQ413</f>
        <v>0</v>
      </c>
      <c r="KV9" s="30">
        <f>'REG y VAL POE - AESR - ESR'!AR413</f>
        <v>0</v>
      </c>
      <c r="KW9" s="28">
        <f>'REG y VAL POE - AESR - ESR'!AS413</f>
        <v>0</v>
      </c>
      <c r="KX9" s="29">
        <f>'REG y VAL POE - AESR - ESR'!B414</f>
        <v>0</v>
      </c>
      <c r="KY9" s="29">
        <f>'REG y VAL POE - AESR - ESR'!C414</f>
        <v>0</v>
      </c>
      <c r="KZ9" s="29">
        <f>'REG y VAL POE - AESR - ESR'!D414</f>
        <v>0</v>
      </c>
      <c r="LA9" s="28">
        <f>'REG y VAL POE - AESR - ESR'!E414</f>
        <v>0</v>
      </c>
      <c r="LB9" s="29">
        <f>'REG y VAL POE - AESR - ESR'!F414</f>
        <v>0</v>
      </c>
      <c r="LC9" s="29">
        <f>'REG y VAL POE - AESR - ESR'!G414</f>
        <v>0</v>
      </c>
      <c r="LD9" s="28">
        <f>'REG y VAL POE - AESR - ESR'!H414</f>
        <v>0</v>
      </c>
      <c r="LE9" s="29">
        <f>'REG y VAL POE - AESR - ESR'!I414</f>
        <v>0</v>
      </c>
      <c r="LF9" s="30">
        <f>'REG y VAL POE - AESR - ESR'!J414</f>
        <v>0</v>
      </c>
      <c r="LG9" s="28">
        <f>'REG y VAL POE - AESR - ESR'!K414</f>
        <v>0</v>
      </c>
      <c r="LH9" s="29">
        <f>'REG y VAL POE - AESR - ESR'!L414</f>
        <v>0</v>
      </c>
      <c r="LI9" s="29">
        <f>'REG y VAL POE - AESR - ESR'!M414</f>
        <v>0</v>
      </c>
      <c r="LJ9" s="29">
        <f>'REG y VAL POE - AESR - ESR'!N414</f>
        <v>0</v>
      </c>
      <c r="LK9" s="28">
        <f>'REG y VAL POE - AESR - ESR'!O414</f>
        <v>0</v>
      </c>
      <c r="LL9" s="29">
        <f>'REG y VAL POE - AESR - ESR'!P414</f>
        <v>0</v>
      </c>
      <c r="LM9" s="29">
        <f>'REG y VAL POE - AESR - ESR'!Q414</f>
        <v>0</v>
      </c>
      <c r="LN9" s="28">
        <f>'REG y VAL POE - AESR - ESR'!R414</f>
        <v>0</v>
      </c>
      <c r="LO9" s="29">
        <f>'REG y VAL POE - AESR - ESR'!S414</f>
        <v>0</v>
      </c>
      <c r="LP9" s="30">
        <f>'REG y VAL POE - AESR - ESR'!T414</f>
        <v>0</v>
      </c>
      <c r="LQ9" s="28">
        <f>'REG y VAL POE - AESR - ESR'!U414</f>
        <v>0</v>
      </c>
      <c r="LR9" s="29">
        <f>'REG y VAL POE - AESR - ESR'!V414</f>
        <v>0</v>
      </c>
      <c r="LS9" s="29">
        <f>'REG y VAL POE - AESR - ESR'!W414</f>
        <v>0</v>
      </c>
      <c r="LT9" s="29">
        <f>'REG y VAL POE - AESR - ESR'!X414</f>
        <v>0</v>
      </c>
      <c r="LU9" s="28">
        <f>'REG y VAL POE - AESR - ESR'!Y414</f>
        <v>0</v>
      </c>
      <c r="LV9" s="29">
        <f>'REG y VAL POE - AESR - ESR'!Z414</f>
        <v>0</v>
      </c>
      <c r="LW9" s="29">
        <f>'REG y VAL POE - AESR - ESR'!AA414</f>
        <v>0</v>
      </c>
      <c r="LX9" s="28">
        <f>'REG y VAL POE - AESR - ESR'!AB414</f>
        <v>0</v>
      </c>
      <c r="LY9" s="29">
        <f>'REG y VAL POE - AESR - ESR'!AC414</f>
        <v>0</v>
      </c>
      <c r="LZ9" s="30">
        <f>'REG y VAL POE - AESR - ESR'!AD414</f>
        <v>0</v>
      </c>
      <c r="MA9" s="28">
        <f>'REG y VAL POE - AESR - ESR'!AE414</f>
        <v>0</v>
      </c>
      <c r="MB9" s="29">
        <f>'REG y VAL POE - AESR - ESR'!AF414</f>
        <v>0</v>
      </c>
      <c r="MC9" s="29">
        <f>'REG y VAL POE - AESR - ESR'!AG414</f>
        <v>0</v>
      </c>
      <c r="MD9" s="29">
        <f>'REG y VAL POE - AESR - ESR'!AH414</f>
        <v>0</v>
      </c>
      <c r="ME9" s="28">
        <f>'REG y VAL POE - AESR - ESR'!AI414</f>
        <v>0</v>
      </c>
      <c r="MF9" s="29">
        <f>'REG y VAL POE - AESR - ESR'!AJ414</f>
        <v>0</v>
      </c>
      <c r="MG9" s="29">
        <f>'REG y VAL POE - AESR - ESR'!AK414</f>
        <v>0</v>
      </c>
      <c r="MH9" s="28">
        <f>'REG y VAL POE - AESR - ESR'!AL414</f>
        <v>0</v>
      </c>
      <c r="MI9" s="29">
        <f>'REG y VAL POE - AESR - ESR'!AM414</f>
        <v>0</v>
      </c>
      <c r="MJ9" s="30">
        <f>'REG y VAL POE - AESR - ESR'!AN414</f>
        <v>0</v>
      </c>
      <c r="MK9" s="28">
        <f>'REG y VAL POE - AESR - ESR'!AO414</f>
        <v>0</v>
      </c>
      <c r="ML9" s="29">
        <f>'REG y VAL POE - AESR - ESR'!AP414</f>
        <v>0</v>
      </c>
      <c r="MM9" s="29">
        <f>'REG y VAL POE - AESR - ESR'!AQ414</f>
        <v>0</v>
      </c>
      <c r="MN9" s="29">
        <f>'REG y VAL POE - AESR - ESR'!AR414</f>
        <v>0</v>
      </c>
      <c r="MO9" s="28">
        <f>'REG y VAL POE - AESR - ESR'!AS414</f>
        <v>0</v>
      </c>
      <c r="MP9" s="29">
        <f>'REG y VAL POE - AESR - ESR'!B415</f>
        <v>0</v>
      </c>
      <c r="MQ9" s="29">
        <f>'REG y VAL POE - AESR - ESR'!C415</f>
        <v>0</v>
      </c>
      <c r="MR9" s="28">
        <f>'REG y VAL POE - AESR - ESR'!D415</f>
        <v>0</v>
      </c>
      <c r="MS9" s="29">
        <f>'REG y VAL POE - AESR - ESR'!E415</f>
        <v>0</v>
      </c>
      <c r="MT9" s="30">
        <f>'REG y VAL POE - AESR - ESR'!F415</f>
        <v>0</v>
      </c>
      <c r="MU9" s="28">
        <f>'REG y VAL POE - AESR - ESR'!G415</f>
        <v>0</v>
      </c>
      <c r="MV9" s="29">
        <f>'REG y VAL POE - AESR - ESR'!H415</f>
        <v>0</v>
      </c>
      <c r="MW9" s="29">
        <f>'REG y VAL POE - AESR - ESR'!I415</f>
        <v>0</v>
      </c>
      <c r="MX9" s="29">
        <f>'REG y VAL POE - AESR - ESR'!J415</f>
        <v>0</v>
      </c>
      <c r="MY9" s="28">
        <f>'REG y VAL POE - AESR - ESR'!K415</f>
        <v>0</v>
      </c>
      <c r="MZ9" s="29">
        <f>'REG y VAL POE - AESR - ESR'!L415</f>
        <v>0</v>
      </c>
      <c r="NA9" s="29">
        <f>'REG y VAL POE - AESR - ESR'!M415</f>
        <v>0</v>
      </c>
      <c r="NB9" s="28">
        <f>'REG y VAL POE - AESR - ESR'!N415</f>
        <v>0</v>
      </c>
      <c r="NC9" s="29">
        <f>'REG y VAL POE - AESR - ESR'!O415</f>
        <v>0</v>
      </c>
      <c r="ND9" s="30">
        <f>'REG y VAL POE - AESR - ESR'!P415</f>
        <v>0</v>
      </c>
      <c r="NE9" s="28">
        <f>'REG y VAL POE - AESR - ESR'!Q415</f>
        <v>0</v>
      </c>
      <c r="NF9" s="29">
        <f>'REG y VAL POE - AESR - ESR'!R415</f>
        <v>0</v>
      </c>
      <c r="NG9" s="29">
        <f>'REG y VAL POE - AESR - ESR'!S415</f>
        <v>0</v>
      </c>
      <c r="NH9" s="29">
        <f>'REG y VAL POE - AESR - ESR'!T415</f>
        <v>0</v>
      </c>
      <c r="NI9" s="28">
        <f>'REG y VAL POE - AESR - ESR'!U415</f>
        <v>0</v>
      </c>
      <c r="NJ9" s="29">
        <f>'REG y VAL POE - AESR - ESR'!V415</f>
        <v>0</v>
      </c>
      <c r="NK9" s="29">
        <f>'REG y VAL POE - AESR - ESR'!W415</f>
        <v>0</v>
      </c>
      <c r="NL9" s="28">
        <f>'REG y VAL POE - AESR - ESR'!X415</f>
        <v>0</v>
      </c>
      <c r="NM9" s="29">
        <f>'REG y VAL POE - AESR - ESR'!Y415</f>
        <v>0</v>
      </c>
      <c r="NN9" s="30">
        <f>'REG y VAL POE - AESR - ESR'!Z415</f>
        <v>0</v>
      </c>
      <c r="NO9" s="28">
        <f>'REG y VAL POE - AESR - ESR'!AA415</f>
        <v>0</v>
      </c>
      <c r="NP9" s="29">
        <f>'REG y VAL POE - AESR - ESR'!AB415</f>
        <v>0</v>
      </c>
      <c r="NQ9" s="29">
        <f>'REG y VAL POE - AESR - ESR'!AC415</f>
        <v>0</v>
      </c>
      <c r="NR9" s="29">
        <f>'REG y VAL POE - AESR - ESR'!AD415</f>
        <v>0</v>
      </c>
      <c r="NS9" s="28">
        <f>'REG y VAL POE - AESR - ESR'!AE415</f>
        <v>0</v>
      </c>
      <c r="NT9" s="29">
        <f>'REG y VAL POE - AESR - ESR'!AF415</f>
        <v>0</v>
      </c>
      <c r="NU9" s="29">
        <f>'REG y VAL POE - AESR - ESR'!AG415</f>
        <v>0</v>
      </c>
      <c r="NV9" s="28">
        <f>'REG y VAL POE - AESR - ESR'!AH415</f>
        <v>0</v>
      </c>
      <c r="NW9" s="29">
        <f>'REG y VAL POE - AESR - ESR'!AI415</f>
        <v>0</v>
      </c>
      <c r="NX9" s="30">
        <f>'REG y VAL POE - AESR - ESR'!AJ415</f>
        <v>0</v>
      </c>
      <c r="NY9" s="28">
        <f>'REG y VAL POE - AESR - ESR'!AK415</f>
        <v>0</v>
      </c>
      <c r="NZ9" s="29">
        <f>'REG y VAL POE - AESR - ESR'!AL415</f>
        <v>0</v>
      </c>
      <c r="OA9" s="29">
        <f>'REG y VAL POE - AESR - ESR'!AM415</f>
        <v>0</v>
      </c>
      <c r="OB9" s="29">
        <f>'REG y VAL POE - AESR - ESR'!AN415</f>
        <v>0</v>
      </c>
      <c r="OC9" s="28">
        <f>'REG y VAL POE - AESR - ESR'!AO415</f>
        <v>0</v>
      </c>
      <c r="OD9" s="29">
        <f>'REG y VAL POE - AESR - ESR'!AP415</f>
        <v>0</v>
      </c>
      <c r="OE9" s="29">
        <f>'REG y VAL POE - AESR - ESR'!AQ415</f>
        <v>0</v>
      </c>
      <c r="OF9" s="30">
        <f>'REG y VAL POE - AESR - ESR'!AR415</f>
        <v>0</v>
      </c>
      <c r="OG9" s="30">
        <f>'REG y VAL POE - AESR - ESR'!AS415</f>
        <v>0</v>
      </c>
      <c r="OH9" s="30">
        <f>'REG y VAL POE - AESR - ESR'!B416</f>
        <v>0</v>
      </c>
      <c r="OI9" s="28">
        <f>'REG y VAL POE - AESR - ESR'!C416</f>
        <v>0</v>
      </c>
      <c r="OJ9" s="30">
        <f>'REG y VAL POE - AESR - ESR'!D416</f>
        <v>0</v>
      </c>
      <c r="OK9" s="30">
        <f>'REG y VAL POE - AESR - ESR'!E416</f>
        <v>0</v>
      </c>
      <c r="OL9" s="30">
        <f>'REG y VAL POE - AESR - ESR'!F416</f>
        <v>0</v>
      </c>
      <c r="OM9" s="30">
        <f>'REG y VAL POE - AESR - ESR'!G416</f>
        <v>0</v>
      </c>
      <c r="ON9" s="30">
        <f>'REG y VAL POE - AESR - ESR'!H416</f>
        <v>0</v>
      </c>
      <c r="OO9" s="30">
        <f>'REG y VAL POE - AESR - ESR'!I416</f>
        <v>0</v>
      </c>
      <c r="OP9" s="28">
        <f>'REG y VAL POE - AESR - ESR'!J416</f>
        <v>0</v>
      </c>
      <c r="OQ9" s="29">
        <f>'REG y VAL POE - AESR - ESR'!K416</f>
        <v>0</v>
      </c>
      <c r="OR9" s="30">
        <f>'REG y VAL POE - AESR - ESR'!L416</f>
        <v>0</v>
      </c>
      <c r="OS9" s="28">
        <f>'REG y VAL POE - AESR - ESR'!M416</f>
        <v>0</v>
      </c>
      <c r="OT9" s="29">
        <f>'REG y VAL POE - AESR - ESR'!N416</f>
        <v>0</v>
      </c>
      <c r="OU9" s="29">
        <f>'REG y VAL POE - AESR - ESR'!O416</f>
        <v>0</v>
      </c>
      <c r="OV9" s="29">
        <f>'REG y VAL POE - AESR - ESR'!P416</f>
        <v>0</v>
      </c>
      <c r="OW9" s="28">
        <f>'REG y VAL POE - AESR - ESR'!Q416</f>
        <v>0</v>
      </c>
      <c r="OX9" s="29">
        <f>'REG y VAL POE - AESR - ESR'!R416</f>
        <v>0</v>
      </c>
      <c r="OY9" s="29">
        <f>'REG y VAL POE - AESR - ESR'!S416</f>
        <v>0</v>
      </c>
      <c r="OZ9" s="28">
        <f>'REG y VAL POE - AESR - ESR'!T416</f>
        <v>0</v>
      </c>
      <c r="PA9" s="29">
        <f>'REG y VAL POE - AESR - ESR'!U416</f>
        <v>0</v>
      </c>
      <c r="PB9" s="30">
        <f>'REG y VAL POE - AESR - ESR'!V416</f>
        <v>0</v>
      </c>
      <c r="PC9" s="28">
        <f>'REG y VAL POE - AESR - ESR'!W416</f>
        <v>0</v>
      </c>
      <c r="PD9" s="29">
        <f>'REG y VAL POE - AESR - ESR'!X416</f>
        <v>0</v>
      </c>
      <c r="PE9" s="29">
        <f>'REG y VAL POE - AESR - ESR'!Y416</f>
        <v>0</v>
      </c>
      <c r="PF9" s="29">
        <f>'REG y VAL POE - AESR - ESR'!Z416</f>
        <v>0</v>
      </c>
      <c r="PG9" s="28">
        <f>'REG y VAL POE - AESR - ESR'!AA416</f>
        <v>0</v>
      </c>
      <c r="PH9" s="29">
        <f>'REG y VAL POE - AESR - ESR'!AB416</f>
        <v>0</v>
      </c>
      <c r="PI9" s="29">
        <f>'REG y VAL POE - AESR - ESR'!AC416</f>
        <v>0</v>
      </c>
      <c r="PJ9" s="28">
        <f>'REG y VAL POE - AESR - ESR'!AD416</f>
        <v>0</v>
      </c>
      <c r="PK9" s="29">
        <f>'REG y VAL POE - AESR - ESR'!AE416</f>
        <v>0</v>
      </c>
      <c r="PL9" s="30">
        <f>'REG y VAL POE - AESR - ESR'!AF416</f>
        <v>0</v>
      </c>
      <c r="PM9" s="28">
        <f>'REG y VAL POE - AESR - ESR'!AG416</f>
        <v>0</v>
      </c>
      <c r="PN9" s="29">
        <f>'REG y VAL POE - AESR - ESR'!AH416</f>
        <v>0</v>
      </c>
      <c r="PO9" s="29">
        <f>'REG y VAL POE - AESR - ESR'!AI416</f>
        <v>0</v>
      </c>
      <c r="PP9" s="29">
        <f>'REG y VAL POE - AESR - ESR'!AJ416</f>
        <v>0</v>
      </c>
      <c r="PQ9" s="28">
        <f>'REG y VAL POE - AESR - ESR'!AK416</f>
        <v>0</v>
      </c>
      <c r="PR9" s="29">
        <f>'REG y VAL POE - AESR - ESR'!AL416</f>
        <v>0</v>
      </c>
      <c r="PS9" s="29">
        <f>'REG y VAL POE - AESR - ESR'!AM416</f>
        <v>0</v>
      </c>
      <c r="PT9" s="28">
        <f>'REG y VAL POE - AESR - ESR'!AN416</f>
        <v>0</v>
      </c>
      <c r="PU9" s="29">
        <f>'REG y VAL POE - AESR - ESR'!AO416</f>
        <v>0</v>
      </c>
      <c r="PV9" s="30">
        <f>'REG y VAL POE - AESR - ESR'!AP416</f>
        <v>0</v>
      </c>
      <c r="PW9" s="28">
        <f>'REG y VAL POE - AESR - ESR'!AQ416</f>
        <v>0</v>
      </c>
      <c r="PX9" s="29">
        <f>'REG y VAL POE - AESR - ESR'!AR416</f>
        <v>0</v>
      </c>
      <c r="PY9" s="29">
        <f>'REG y VAL POE - AESR - ESR'!AS416</f>
        <v>0</v>
      </c>
      <c r="PZ9" s="29"/>
      <c r="QA9" s="28"/>
      <c r="QB9" s="29"/>
      <c r="QC9" s="29"/>
      <c r="QD9" s="28"/>
      <c r="QE9" s="29"/>
      <c r="QF9" s="30"/>
      <c r="QG9" s="28"/>
      <c r="QH9" s="29"/>
      <c r="QI9" s="29"/>
      <c r="QJ9" s="29"/>
      <c r="QK9" s="28"/>
      <c r="QL9" s="29"/>
      <c r="QM9" s="29"/>
      <c r="QN9" s="28"/>
      <c r="QO9" s="29"/>
      <c r="QP9" s="30"/>
      <c r="QQ9" s="28"/>
      <c r="QR9" s="29"/>
      <c r="QS9" s="29"/>
      <c r="QT9" s="29"/>
      <c r="QU9" s="28"/>
      <c r="QV9" s="29"/>
      <c r="QW9" s="29"/>
      <c r="QX9" s="28"/>
      <c r="QY9" s="29"/>
      <c r="QZ9" s="30"/>
      <c r="RA9" s="28"/>
      <c r="RB9" s="29"/>
      <c r="RC9" s="29"/>
      <c r="RD9" s="29"/>
      <c r="RE9" s="28"/>
      <c r="RF9" s="29"/>
      <c r="RG9" s="29"/>
      <c r="RH9" s="28"/>
      <c r="RI9" s="29"/>
      <c r="RJ9" s="30"/>
      <c r="RK9" s="28"/>
      <c r="RL9" s="29"/>
      <c r="RM9" s="29"/>
      <c r="RN9" s="29"/>
      <c r="RO9" s="28"/>
      <c r="RP9" s="29"/>
      <c r="RQ9" s="29"/>
      <c r="RR9" s="28"/>
      <c r="RS9" s="29"/>
      <c r="RT9" s="30"/>
      <c r="RU9" s="28"/>
      <c r="RV9" s="29"/>
      <c r="RW9" s="29"/>
      <c r="RX9" s="29"/>
      <c r="RY9" s="28"/>
      <c r="RZ9" s="29"/>
      <c r="SA9" s="29"/>
      <c r="SB9" s="28"/>
      <c r="SC9" s="29"/>
      <c r="SD9" s="30"/>
      <c r="SE9" s="28"/>
      <c r="SF9" s="29"/>
      <c r="SG9" s="29"/>
      <c r="SH9" s="29"/>
      <c r="SI9" s="28"/>
      <c r="SJ9" s="29"/>
      <c r="SK9" s="29"/>
      <c r="SL9" s="28"/>
      <c r="SM9" s="29"/>
      <c r="SN9" s="30"/>
      <c r="SO9" s="28"/>
      <c r="SP9" s="29"/>
      <c r="SQ9" s="29"/>
      <c r="SR9" s="29"/>
      <c r="SS9" s="28"/>
      <c r="ST9" s="29"/>
      <c r="SU9" s="29"/>
      <c r="SV9" s="28"/>
      <c r="SW9" s="29"/>
      <c r="SX9" s="30"/>
      <c r="SY9" s="28"/>
      <c r="SZ9" s="29"/>
      <c r="TA9" s="29"/>
      <c r="TB9" s="29"/>
      <c r="TC9" s="28"/>
      <c r="TD9" s="29"/>
      <c r="TE9" s="29"/>
      <c r="TF9" s="28"/>
      <c r="TG9" s="29"/>
      <c r="TH9" s="30"/>
      <c r="TI9" s="28"/>
      <c r="TJ9" s="29"/>
      <c r="TK9" s="29"/>
      <c r="TL9" s="29"/>
      <c r="TM9" s="28"/>
      <c r="TN9" s="29"/>
      <c r="TO9" s="29"/>
      <c r="TP9" s="28"/>
      <c r="TQ9" s="29"/>
      <c r="TR9" s="30"/>
      <c r="TS9" s="28"/>
      <c r="TT9" s="29"/>
      <c r="TU9" s="29"/>
      <c r="TV9" s="29"/>
      <c r="TW9" s="28"/>
      <c r="TX9" s="29"/>
      <c r="TY9" s="29"/>
      <c r="TZ9" s="28"/>
      <c r="UA9" s="29"/>
      <c r="UB9" s="30"/>
      <c r="UC9" s="28"/>
      <c r="UD9" s="29"/>
      <c r="UE9" s="29"/>
      <c r="UF9" s="29"/>
      <c r="UG9" s="28"/>
      <c r="UH9" s="29"/>
      <c r="UI9" s="29"/>
      <c r="UJ9" s="28"/>
      <c r="UK9" s="29"/>
      <c r="UL9" s="30"/>
      <c r="UM9" s="28"/>
      <c r="UN9" s="29"/>
      <c r="UO9" s="29"/>
      <c r="UP9" s="29"/>
      <c r="UQ9" s="28"/>
      <c r="UR9" s="29"/>
      <c r="US9" s="29"/>
      <c r="UT9" s="28"/>
      <c r="UU9" s="29"/>
      <c r="UV9" s="30"/>
      <c r="UW9" s="28"/>
      <c r="UX9" s="29"/>
      <c r="UY9" s="29"/>
      <c r="UZ9" s="29"/>
      <c r="VA9" s="28"/>
      <c r="VB9" s="29"/>
      <c r="VC9" s="29"/>
      <c r="VD9" s="28"/>
      <c r="VE9" s="29"/>
      <c r="VF9" s="30"/>
      <c r="VG9" s="28"/>
      <c r="VH9" s="29"/>
      <c r="VI9" s="29"/>
      <c r="VJ9" s="29"/>
      <c r="VK9" s="28"/>
      <c r="VL9" s="29"/>
      <c r="VM9" s="29"/>
      <c r="VN9" s="28"/>
      <c r="VO9" s="29"/>
      <c r="VP9" s="30"/>
      <c r="VQ9" s="28"/>
      <c r="VR9" s="29"/>
      <c r="VS9" s="29"/>
      <c r="VT9" s="29"/>
      <c r="VU9" s="28"/>
      <c r="VV9" s="29"/>
      <c r="VW9" s="29"/>
      <c r="VX9" s="28"/>
      <c r="VY9" s="29"/>
      <c r="VZ9" s="30"/>
      <c r="WA9" s="28"/>
      <c r="WB9" s="29"/>
      <c r="WC9" s="29"/>
      <c r="WD9" s="29"/>
      <c r="WE9" s="28"/>
      <c r="WF9" s="29"/>
      <c r="WG9" s="29"/>
      <c r="WH9" s="28"/>
      <c r="WI9" s="29"/>
      <c r="WJ9" s="30"/>
      <c r="WK9" s="28"/>
      <c r="WL9" s="29"/>
      <c r="WM9" s="29"/>
      <c r="WN9" s="29"/>
      <c r="WO9" s="28"/>
      <c r="WP9" s="29"/>
      <c r="WQ9" s="29"/>
      <c r="WR9" s="28"/>
      <c r="WS9" s="29"/>
      <c r="WT9" s="30"/>
      <c r="WU9" s="28"/>
      <c r="WV9" s="29"/>
      <c r="WW9" s="29"/>
      <c r="WX9" s="29"/>
      <c r="WY9" s="28"/>
      <c r="WZ9" s="29"/>
      <c r="XA9" s="29"/>
      <c r="XB9" s="28"/>
      <c r="XC9" s="29"/>
      <c r="XD9" s="30"/>
      <c r="XE9" s="28"/>
      <c r="XF9" s="29"/>
      <c r="XG9" s="29"/>
      <c r="XH9" s="29"/>
      <c r="XI9" s="28"/>
      <c r="XJ9" s="29"/>
      <c r="XK9" s="29"/>
      <c r="XL9" s="28"/>
      <c r="XM9" s="29"/>
      <c r="XN9" s="30"/>
      <c r="XO9" s="28"/>
      <c r="XP9" s="29"/>
      <c r="XQ9" s="29"/>
      <c r="XR9" s="29"/>
      <c r="XS9" s="28"/>
      <c r="XT9" s="29"/>
      <c r="XU9" s="29"/>
      <c r="XV9" s="28"/>
      <c r="XW9" s="29"/>
      <c r="XX9" s="30"/>
      <c r="XY9" s="28"/>
      <c r="XZ9" s="29"/>
      <c r="YA9" s="29"/>
      <c r="YB9" s="29"/>
      <c r="YC9" s="28"/>
      <c r="YD9" s="29"/>
      <c r="YE9" s="29"/>
      <c r="YF9" s="28"/>
      <c r="YG9" s="29"/>
      <c r="YH9" s="30"/>
      <c r="YI9" s="28"/>
      <c r="YJ9" s="29"/>
      <c r="YK9" s="29"/>
      <c r="YL9" s="29"/>
      <c r="YM9" s="28"/>
      <c r="YN9" s="29"/>
      <c r="YO9" s="29"/>
      <c r="YP9" s="28"/>
      <c r="YQ9" s="29"/>
      <c r="YR9" s="30"/>
      <c r="YS9" s="28"/>
      <c r="YT9" s="29"/>
      <c r="YU9" s="29"/>
      <c r="YV9" s="29"/>
      <c r="YW9" s="28"/>
      <c r="YX9" s="29"/>
      <c r="YY9" s="29"/>
      <c r="YZ9" s="28"/>
      <c r="ZA9" s="29"/>
      <c r="ZB9" s="30"/>
      <c r="ZC9" s="28"/>
      <c r="ZD9" s="29"/>
      <c r="ZE9" s="29"/>
      <c r="ZF9" s="29"/>
      <c r="ZG9" s="28"/>
      <c r="ZH9" s="29"/>
      <c r="ZI9" s="29"/>
      <c r="ZJ9" s="28"/>
      <c r="ZK9" s="29"/>
      <c r="ZL9" s="30"/>
      <c r="ZM9" s="28"/>
      <c r="ZN9" s="29"/>
      <c r="ZO9" s="29"/>
      <c r="ZP9" s="29"/>
      <c r="ZQ9" s="28"/>
      <c r="ZR9" s="29"/>
      <c r="ZS9" s="29"/>
      <c r="ZT9" s="28"/>
      <c r="ZU9" s="29"/>
      <c r="ZV9" s="30"/>
      <c r="ZW9" s="28"/>
      <c r="ZX9" s="29"/>
      <c r="ZY9" s="29"/>
      <c r="ZZ9" s="29"/>
      <c r="AAA9" s="28"/>
      <c r="AAB9" s="29"/>
      <c r="AAC9" s="29"/>
      <c r="AAD9" s="28"/>
      <c r="AAE9" s="29"/>
      <c r="AAF9" s="30"/>
      <c r="AAG9" s="28"/>
      <c r="AAH9" s="29"/>
      <c r="AAI9" s="29"/>
      <c r="AAJ9" s="29"/>
      <c r="AAK9" s="28"/>
      <c r="AAL9" s="29"/>
      <c r="AAM9" s="29"/>
      <c r="AAN9" s="28"/>
      <c r="AAO9" s="29"/>
      <c r="AAP9" s="30"/>
      <c r="AAQ9" s="28"/>
      <c r="AAR9" s="29"/>
      <c r="AAS9" s="29"/>
      <c r="AAT9" s="29"/>
      <c r="AAU9" s="28"/>
      <c r="AAV9" s="29"/>
      <c r="AAW9" s="29"/>
      <c r="AAX9" s="30"/>
      <c r="AAY9" s="30"/>
      <c r="AAZ9" s="30"/>
      <c r="ABA9" s="28"/>
      <c r="ABB9" s="30"/>
      <c r="ABC9" s="30"/>
      <c r="ABD9" s="30"/>
      <c r="ABE9" s="30"/>
      <c r="ABF9" s="30"/>
      <c r="ABG9" s="29"/>
      <c r="ABH9" s="28"/>
      <c r="ABI9" s="29"/>
      <c r="ABJ9" s="30"/>
      <c r="ABK9" s="28"/>
      <c r="ABL9" s="29"/>
      <c r="ABM9" s="29"/>
      <c r="ABN9" s="29"/>
      <c r="ABO9" s="28"/>
      <c r="ABP9" s="29"/>
      <c r="ABQ9" s="29"/>
      <c r="ABR9" s="28"/>
      <c r="ABS9" s="29"/>
      <c r="ABT9" s="30"/>
      <c r="ABU9" s="28"/>
      <c r="ABV9" s="29"/>
      <c r="ABW9" s="29"/>
      <c r="ABX9" s="29"/>
      <c r="ABY9" s="28"/>
      <c r="ABZ9" s="29"/>
      <c r="ACA9" s="29"/>
      <c r="ACB9" s="28"/>
      <c r="ACC9" s="29"/>
      <c r="ACD9" s="30"/>
      <c r="ACE9" s="28"/>
      <c r="ACF9" s="29"/>
      <c r="ACG9" s="29"/>
      <c r="ACH9" s="29"/>
      <c r="ACI9" s="28"/>
      <c r="ACJ9" s="29"/>
      <c r="ACK9" s="29"/>
      <c r="ACL9" s="28"/>
      <c r="ACM9" s="29"/>
      <c r="ACN9" s="30"/>
      <c r="ACO9" s="28"/>
      <c r="ACP9" s="29"/>
      <c r="ACQ9" s="29"/>
      <c r="ACR9" s="29"/>
      <c r="ACS9" s="28"/>
      <c r="ACT9" s="29"/>
      <c r="ACU9" s="29"/>
      <c r="ACV9" s="28"/>
      <c r="ACW9" s="29"/>
      <c r="ACX9" s="30"/>
      <c r="ACY9" s="28"/>
      <c r="ACZ9" s="29"/>
      <c r="ADA9" s="29"/>
      <c r="ADB9" s="29"/>
      <c r="ADC9" s="28"/>
      <c r="ADD9" s="29"/>
      <c r="ADE9" s="29"/>
      <c r="ADF9" s="28"/>
      <c r="ADG9" s="29"/>
      <c r="ADH9" s="30"/>
      <c r="ADI9" s="28"/>
      <c r="ADJ9" s="29"/>
      <c r="ADK9" s="29"/>
      <c r="ADL9" s="29"/>
      <c r="ADM9" s="28"/>
      <c r="ADN9" s="29"/>
      <c r="ADO9" s="29"/>
      <c r="ADP9" s="28"/>
      <c r="ADQ9" s="29"/>
      <c r="ADR9" s="30"/>
      <c r="ADS9" s="28"/>
      <c r="ADT9" s="29"/>
      <c r="ADU9" s="29"/>
      <c r="ADV9" s="29"/>
      <c r="ADW9" s="28"/>
      <c r="ADX9" s="29"/>
      <c r="ADY9" s="29"/>
      <c r="ADZ9" s="28"/>
      <c r="AEA9" s="29"/>
      <c r="AEB9" s="30"/>
      <c r="AEC9" s="28"/>
      <c r="AED9" s="29"/>
      <c r="AEE9" s="29"/>
      <c r="AEF9" s="29"/>
      <c r="AEG9" s="28"/>
      <c r="AEH9" s="29"/>
      <c r="AEI9" s="29"/>
      <c r="AEJ9" s="28"/>
      <c r="AEK9" s="29"/>
      <c r="AEL9" s="30"/>
      <c r="AEM9" s="28"/>
      <c r="AEN9" s="29"/>
      <c r="AEO9" s="29"/>
      <c r="AEP9" s="29"/>
      <c r="AEQ9" s="28"/>
      <c r="AER9" s="29"/>
      <c r="AES9" s="29"/>
      <c r="AET9" s="28"/>
      <c r="AEU9" s="29"/>
      <c r="AEV9" s="30"/>
      <c r="AEW9" s="28"/>
      <c r="AEX9" s="29"/>
      <c r="AEY9" s="29"/>
      <c r="AEZ9" s="29"/>
      <c r="AFA9" s="28"/>
      <c r="AFB9" s="29"/>
      <c r="AFC9" s="29"/>
      <c r="AFD9" s="28"/>
      <c r="AFE9" s="29"/>
      <c r="AFF9" s="30"/>
      <c r="AFG9" s="28"/>
      <c r="AFH9" s="29"/>
      <c r="AFI9" s="29"/>
      <c r="AFJ9" s="29"/>
      <c r="AFK9" s="28"/>
      <c r="AFL9" s="29"/>
      <c r="AFM9" s="29"/>
      <c r="AFN9" s="28"/>
      <c r="AFO9" s="29"/>
      <c r="AFP9" s="30"/>
      <c r="AFQ9" s="28"/>
      <c r="AFR9" s="29"/>
      <c r="AFS9" s="29"/>
      <c r="AFT9" s="29"/>
      <c r="AFU9" s="28"/>
      <c r="AFV9" s="29"/>
      <c r="AFW9" s="29"/>
      <c r="AFX9" s="28"/>
      <c r="AFY9" s="29"/>
      <c r="AFZ9" s="30"/>
      <c r="AGA9" s="28"/>
      <c r="AGB9" s="29"/>
      <c r="AGC9" s="29"/>
      <c r="AGD9" s="29"/>
      <c r="AGE9" s="28"/>
      <c r="AGF9" s="29"/>
      <c r="AGG9" s="29"/>
      <c r="AGH9" s="28"/>
      <c r="AGI9" s="29"/>
      <c r="AGJ9" s="30"/>
      <c r="AGK9" s="28"/>
      <c r="AGL9" s="29"/>
      <c r="AGM9" s="29"/>
      <c r="AGN9" s="29"/>
      <c r="AGO9" s="28"/>
      <c r="AGP9" s="29"/>
      <c r="AGQ9" s="29"/>
      <c r="AGR9" s="28"/>
      <c r="AGS9" s="29"/>
      <c r="AGT9" s="30"/>
      <c r="AGU9" s="28"/>
      <c r="AGV9" s="29"/>
      <c r="AGW9" s="29"/>
      <c r="AGX9" s="29"/>
      <c r="AGY9" s="28"/>
      <c r="AGZ9" s="29"/>
      <c r="AHA9" s="29"/>
      <c r="AHB9" s="28"/>
      <c r="AHC9" s="29"/>
      <c r="AHD9" s="30"/>
      <c r="AHE9" s="28"/>
      <c r="AHF9" s="29"/>
      <c r="AHG9" s="29"/>
      <c r="AHH9" s="29"/>
      <c r="AHI9" s="28"/>
      <c r="AHJ9" s="29"/>
      <c r="AHK9" s="29"/>
      <c r="AHL9" s="28"/>
      <c r="AHM9" s="29"/>
      <c r="AHN9" s="30"/>
      <c r="AHO9" s="28"/>
      <c r="AHP9" s="29"/>
      <c r="AHQ9" s="29"/>
      <c r="AHR9" s="29"/>
      <c r="AHS9" s="28"/>
      <c r="AHT9" s="29"/>
      <c r="AHU9" s="29"/>
      <c r="AHV9" s="28"/>
      <c r="AHW9" s="29"/>
      <c r="AHX9" s="30"/>
      <c r="AHY9" s="28"/>
      <c r="AHZ9" s="29"/>
      <c r="AIA9" s="29"/>
      <c r="AIB9" s="29"/>
      <c r="AIC9" s="28"/>
      <c r="AID9" s="29"/>
      <c r="AIE9" s="29"/>
      <c r="AIF9" s="28"/>
      <c r="AIG9" s="29"/>
      <c r="AIH9" s="30"/>
      <c r="AII9" s="28"/>
      <c r="AIJ9" s="29"/>
      <c r="AIK9" s="29"/>
      <c r="AIL9" s="29"/>
      <c r="AIM9" s="28"/>
      <c r="AIN9" s="29"/>
      <c r="AIO9" s="29"/>
      <c r="AIP9" s="28"/>
      <c r="AIQ9" s="29"/>
      <c r="AIR9" s="30"/>
      <c r="AIS9" s="28"/>
      <c r="AIT9" s="29"/>
      <c r="AIU9" s="29"/>
      <c r="AIV9" s="29"/>
      <c r="AIW9" s="28"/>
      <c r="AIX9" s="29"/>
      <c r="AIY9" s="29"/>
      <c r="AIZ9" s="28"/>
      <c r="AJA9" s="29"/>
      <c r="AJB9" s="30"/>
      <c r="AJC9" s="28"/>
      <c r="AJD9" s="29"/>
      <c r="AJE9" s="29"/>
      <c r="AJF9" s="29"/>
      <c r="AJG9" s="28"/>
      <c r="AJH9" s="29"/>
      <c r="AJI9" s="29"/>
      <c r="AJJ9" s="28"/>
      <c r="AJK9" s="29"/>
      <c r="AJL9" s="30"/>
      <c r="AJM9" s="28"/>
      <c r="AJN9" s="29"/>
      <c r="AJO9" s="29"/>
      <c r="AJP9" s="29"/>
      <c r="AJQ9" s="28"/>
      <c r="AJR9" s="29"/>
      <c r="AJS9" s="29"/>
      <c r="AJT9" s="28"/>
      <c r="AJU9" s="29"/>
      <c r="AJV9" s="30"/>
      <c r="AJW9" s="28"/>
      <c r="AJX9" s="29"/>
      <c r="AJY9" s="29"/>
      <c r="AJZ9" s="29"/>
      <c r="AKA9" s="28"/>
      <c r="AKB9" s="29"/>
      <c r="AKC9" s="29"/>
      <c r="AKD9" s="28"/>
      <c r="AKE9" s="29"/>
      <c r="AKF9" s="30"/>
      <c r="AKG9" s="28"/>
      <c r="AKH9" s="29"/>
      <c r="AKI9" s="29"/>
      <c r="AKJ9" s="29"/>
      <c r="AKK9" s="28"/>
      <c r="AKL9" s="29"/>
      <c r="AKM9" s="29"/>
      <c r="AKN9" s="28"/>
      <c r="AKO9" s="29"/>
      <c r="AKP9" s="30"/>
      <c r="AKQ9" s="28"/>
      <c r="AKR9" s="29"/>
      <c r="AKS9" s="29"/>
      <c r="AKT9" s="29"/>
      <c r="AKU9" s="28"/>
      <c r="AKV9" s="29"/>
      <c r="AKW9" s="29"/>
      <c r="AKX9" s="28"/>
      <c r="AKY9" s="29"/>
      <c r="AKZ9" s="30"/>
      <c r="ALA9" s="28"/>
      <c r="ALB9" s="29"/>
      <c r="ALC9" s="29"/>
      <c r="ALD9" s="29"/>
      <c r="ALE9" s="28"/>
      <c r="ALF9" s="29"/>
      <c r="ALG9" s="29"/>
      <c r="ALH9" s="29"/>
      <c r="ALI9" s="29"/>
      <c r="ALJ9" s="29"/>
      <c r="ALK9" s="28"/>
      <c r="ALL9" s="29"/>
      <c r="ALM9" s="29"/>
      <c r="ALN9" s="28"/>
      <c r="ALO9" s="29"/>
      <c r="ALP9" s="30"/>
      <c r="ALQ9" s="28"/>
      <c r="ALR9" s="29"/>
      <c r="ALS9" s="29"/>
      <c r="ALT9" s="29"/>
      <c r="ALU9" s="28"/>
      <c r="ALV9" s="29"/>
      <c r="ALW9" s="29"/>
      <c r="ALX9" s="28"/>
      <c r="ALY9" s="29"/>
      <c r="ALZ9" s="30"/>
      <c r="AMA9" s="28"/>
      <c r="AMB9" s="29"/>
      <c r="AMC9" s="29"/>
      <c r="AMD9" s="29"/>
      <c r="AME9" s="28"/>
      <c r="AMF9" s="29"/>
      <c r="AMG9" s="29"/>
      <c r="AMH9" s="29"/>
      <c r="AMI9" s="29"/>
      <c r="AMJ9" s="29"/>
      <c r="AMK9" s="28"/>
      <c r="AML9" s="29"/>
      <c r="AMM9" s="29"/>
      <c r="AMN9" s="28"/>
      <c r="AMO9" s="29"/>
      <c r="AMP9" s="30"/>
      <c r="AMQ9" s="28"/>
      <c r="AMR9" s="29"/>
      <c r="AMS9" s="29"/>
      <c r="AMT9" s="29"/>
      <c r="AMU9" s="28"/>
      <c r="AMV9" s="29"/>
      <c r="AMW9" s="29"/>
      <c r="AMX9" s="28"/>
      <c r="AMY9" s="29"/>
      <c r="AMZ9" s="30"/>
      <c r="ANA9" s="28"/>
      <c r="ANB9" s="29"/>
      <c r="ANC9" s="29"/>
      <c r="AND9" s="29"/>
      <c r="ANE9" s="28"/>
      <c r="ANF9" s="29"/>
      <c r="ANG9" s="29"/>
      <c r="ANH9" s="29"/>
      <c r="ANI9" s="29"/>
      <c r="ANJ9" s="29"/>
      <c r="ANK9" s="28"/>
      <c r="ANL9" s="29"/>
      <c r="ANM9" s="29"/>
      <c r="ANN9" s="28"/>
      <c r="ANO9" s="29"/>
      <c r="ANP9" s="30"/>
      <c r="ANQ9" s="28"/>
      <c r="ANR9" s="29"/>
      <c r="ANS9" s="29"/>
      <c r="ANT9" s="29"/>
      <c r="ANU9" s="28"/>
      <c r="ANV9" s="29"/>
      <c r="ANW9" s="29"/>
      <c r="ANX9" s="28"/>
      <c r="ANY9" s="29"/>
      <c r="ANZ9" s="30"/>
      <c r="AOA9" s="28"/>
      <c r="AOB9" s="29"/>
      <c r="AOC9" s="29"/>
      <c r="AOD9" s="29"/>
      <c r="AOE9" s="28"/>
      <c r="AOF9" s="29"/>
      <c r="AOG9" s="29"/>
      <c r="AOH9" s="29"/>
      <c r="AOI9" s="29"/>
      <c r="AOJ9" s="29"/>
      <c r="AOK9" s="28"/>
      <c r="AOL9" s="29"/>
      <c r="AOM9" s="29"/>
      <c r="AON9" s="28"/>
      <c r="AOO9" s="29"/>
      <c r="AOP9" s="30"/>
      <c r="AOQ9" s="28"/>
      <c r="AOR9" s="29"/>
      <c r="AOS9" s="29"/>
      <c r="AOT9" s="29"/>
      <c r="AOU9" s="28"/>
      <c r="AOV9" s="29"/>
      <c r="AOW9" s="29"/>
      <c r="AOX9" s="28"/>
      <c r="AOY9" s="29"/>
      <c r="AOZ9" s="30"/>
      <c r="APA9" s="28"/>
      <c r="APB9" s="29"/>
      <c r="APC9" s="29"/>
      <c r="APD9" s="29"/>
      <c r="APE9" s="28"/>
      <c r="APF9" s="29"/>
      <c r="APG9" s="29"/>
      <c r="APH9" s="29"/>
      <c r="API9" s="29"/>
      <c r="APJ9" s="29"/>
      <c r="APK9" s="28"/>
      <c r="APL9" s="29"/>
      <c r="APM9" s="29"/>
      <c r="APN9" s="28"/>
      <c r="APO9" s="29"/>
      <c r="APP9" s="30"/>
      <c r="APQ9" s="28"/>
      <c r="APR9" s="29"/>
      <c r="APS9" s="29"/>
      <c r="APT9" s="29"/>
      <c r="APU9" s="28"/>
      <c r="APV9" s="29"/>
      <c r="APW9" s="29"/>
      <c r="APX9" s="28"/>
      <c r="APY9" s="29"/>
      <c r="APZ9" s="30"/>
      <c r="AQA9" s="28"/>
      <c r="AQB9" s="29"/>
      <c r="AQC9" s="29"/>
      <c r="AQD9" s="29"/>
      <c r="AQE9" s="28"/>
      <c r="AQF9" s="29"/>
      <c r="AQG9" s="29"/>
      <c r="AQH9" s="29"/>
      <c r="AQI9" s="29"/>
      <c r="AQJ9" s="29"/>
      <c r="AQK9" s="28"/>
      <c r="AQL9" s="29"/>
      <c r="AQM9" s="29"/>
      <c r="AQN9" s="28"/>
      <c r="AQO9" s="29"/>
      <c r="AQP9" s="30"/>
      <c r="AQQ9" s="28"/>
      <c r="AQR9" s="29"/>
      <c r="AQS9" s="29"/>
      <c r="AQT9" s="29"/>
      <c r="AQU9" s="28"/>
      <c r="AQV9" s="29"/>
      <c r="AQW9" s="29"/>
      <c r="AQX9" s="28"/>
      <c r="AQY9" s="29"/>
      <c r="AQZ9" s="30"/>
      <c r="ARA9" s="28"/>
      <c r="ARB9" s="29"/>
      <c r="ARC9" s="29"/>
      <c r="ARD9" s="29"/>
      <c r="ARE9" s="28"/>
      <c r="ARF9" s="29"/>
      <c r="ARG9" s="29"/>
      <c r="ARH9" s="29"/>
      <c r="ARI9" s="29"/>
      <c r="ARJ9" s="29"/>
      <c r="ARK9" s="28"/>
      <c r="ARL9" s="29"/>
      <c r="ARM9" s="29"/>
      <c r="ARN9" s="28"/>
      <c r="ARO9" s="29"/>
      <c r="ARP9" s="30"/>
      <c r="ARQ9" s="28"/>
      <c r="ARR9" s="29"/>
      <c r="ARS9" s="29"/>
      <c r="ART9" s="29"/>
      <c r="ARU9" s="28"/>
      <c r="ARV9" s="29"/>
      <c r="ARW9" s="29"/>
      <c r="ARX9" s="28"/>
      <c r="ARY9" s="29"/>
      <c r="ARZ9" s="30"/>
      <c r="ASA9" s="28"/>
      <c r="ASB9" s="29"/>
      <c r="ASC9" s="29"/>
      <c r="ASD9" s="29"/>
      <c r="ASE9" s="28"/>
      <c r="ASF9" s="29"/>
      <c r="ASG9" s="29"/>
      <c r="ASH9" s="29"/>
      <c r="ASI9" s="29"/>
      <c r="ASJ9" s="29"/>
      <c r="ASK9" s="28"/>
      <c r="ASL9" s="29"/>
      <c r="ASM9" s="29"/>
      <c r="ASN9" s="28"/>
      <c r="ASO9" s="29"/>
      <c r="ASP9" s="30"/>
      <c r="ASQ9" s="28"/>
      <c r="ASR9" s="29"/>
      <c r="ASS9" s="29"/>
      <c r="AST9" s="29"/>
      <c r="ASU9" s="28"/>
      <c r="ASV9" s="29"/>
      <c r="ASW9" s="29"/>
      <c r="ASX9" s="28"/>
      <c r="ASY9" s="29"/>
      <c r="ASZ9" s="30"/>
      <c r="ATA9" s="28"/>
      <c r="ATB9" s="29"/>
      <c r="ATC9" s="29"/>
      <c r="ATD9" s="29"/>
      <c r="ATE9" s="28"/>
      <c r="ATF9" s="29"/>
      <c r="ATG9" s="29"/>
      <c r="ATH9" s="29"/>
      <c r="ATI9" s="29"/>
      <c r="ATJ9" s="29"/>
      <c r="ATK9" s="28"/>
      <c r="ATL9" s="29"/>
      <c r="ATM9" s="29"/>
      <c r="ATN9" s="28"/>
      <c r="ATO9" s="29"/>
      <c r="ATP9" s="30"/>
      <c r="ATQ9" s="28"/>
      <c r="ATR9" s="29"/>
      <c r="ATS9" s="29"/>
      <c r="ATT9" s="29"/>
      <c r="ATU9" s="28"/>
      <c r="ATV9" s="29"/>
      <c r="ATW9" s="29"/>
      <c r="ATX9" s="28"/>
      <c r="ATY9" s="29"/>
      <c r="ATZ9" s="30"/>
      <c r="AUA9" s="28"/>
      <c r="AUB9" s="29"/>
      <c r="AUC9" s="29"/>
      <c r="AUD9" s="29"/>
      <c r="AUE9" s="28"/>
      <c r="AUF9" s="29"/>
      <c r="AUG9" s="29"/>
      <c r="AUH9" s="29"/>
      <c r="AUI9" s="29"/>
      <c r="AUJ9" s="29"/>
      <c r="AUK9" s="28"/>
      <c r="AUL9" s="29"/>
      <c r="AUM9" s="29"/>
      <c r="AUN9" s="28"/>
      <c r="AUO9" s="29"/>
      <c r="AUP9" s="30"/>
      <c r="AUQ9" s="28"/>
      <c r="AUR9" s="29"/>
      <c r="AUS9" s="29"/>
      <c r="AUT9" s="29"/>
      <c r="AUU9" s="28"/>
      <c r="AUV9" s="29"/>
      <c r="AUW9" s="29"/>
      <c r="AUX9" s="28"/>
      <c r="AUY9" s="29"/>
      <c r="AUZ9" s="30"/>
      <c r="AVA9" s="28"/>
      <c r="AVB9" s="29"/>
      <c r="AVC9" s="29"/>
      <c r="AVD9" s="29"/>
      <c r="AVE9" s="28"/>
      <c r="AVF9" s="29"/>
      <c r="AVG9" s="29"/>
      <c r="AVH9" s="29"/>
      <c r="AVI9" s="29"/>
      <c r="AVJ9" s="29"/>
      <c r="AVK9" s="28"/>
      <c r="AVL9" s="29"/>
      <c r="AVM9" s="29"/>
      <c r="AVN9" s="28"/>
      <c r="AVO9" s="29"/>
      <c r="AVP9" s="30"/>
      <c r="AVQ9" s="28"/>
      <c r="AVR9" s="29"/>
      <c r="AVS9" s="29"/>
      <c r="AVT9" s="29"/>
      <c r="AVU9" s="28"/>
      <c r="AVV9" s="29"/>
      <c r="AVW9" s="29"/>
      <c r="AVX9" s="28"/>
      <c r="AVY9" s="29"/>
      <c r="AVZ9" s="30"/>
      <c r="AWA9" s="28"/>
      <c r="AWB9" s="29"/>
      <c r="AWC9" s="29"/>
      <c r="AWD9" s="29"/>
      <c r="AWE9" s="28"/>
      <c r="AWF9" s="29"/>
      <c r="AWG9" s="29"/>
      <c r="AWH9" s="29"/>
      <c r="AWI9" s="29"/>
      <c r="AWJ9" s="29"/>
      <c r="AWK9" s="28"/>
      <c r="AWL9" s="29"/>
      <c r="AWM9" s="29"/>
      <c r="AWN9" s="28"/>
      <c r="AWO9" s="29"/>
      <c r="AWP9" s="30"/>
      <c r="AWQ9" s="28"/>
      <c r="AWR9" s="29"/>
      <c r="AWS9" s="29"/>
      <c r="AWT9" s="29"/>
      <c r="AWU9" s="28"/>
      <c r="AWV9" s="29"/>
      <c r="AWW9" s="29"/>
      <c r="AWX9" s="28"/>
      <c r="AWY9" s="29"/>
      <c r="AWZ9" s="30"/>
      <c r="AXA9" s="28"/>
      <c r="AXB9" s="29"/>
      <c r="AXC9" s="29"/>
      <c r="AXD9" s="29"/>
      <c r="AXE9" s="28"/>
      <c r="AXF9" s="29"/>
      <c r="AXG9" s="29"/>
      <c r="AXH9" s="29"/>
      <c r="AXI9" s="29"/>
      <c r="AXJ9" s="29"/>
      <c r="AXK9" s="28"/>
      <c r="AXL9" s="29"/>
      <c r="AXM9" s="29"/>
      <c r="AXN9" s="28"/>
      <c r="AXO9" s="29"/>
      <c r="AXP9" s="30"/>
      <c r="AXQ9" s="28"/>
      <c r="AXR9" s="29"/>
      <c r="AXS9" s="29"/>
      <c r="AXT9" s="29"/>
      <c r="AXU9" s="28"/>
      <c r="AXV9" s="29"/>
      <c r="AXW9" s="29"/>
      <c r="AXX9" s="28"/>
      <c r="AXY9" s="29"/>
      <c r="AXZ9" s="30"/>
      <c r="AYA9" s="28"/>
      <c r="AYB9" s="29"/>
      <c r="AYC9" s="29"/>
      <c r="AYD9" s="29"/>
      <c r="AYE9" s="28"/>
      <c r="AYF9" s="29"/>
      <c r="AYG9" s="29"/>
      <c r="AYH9" s="29"/>
      <c r="AYI9" s="29"/>
      <c r="AYJ9" s="29"/>
      <c r="AYK9" s="28"/>
      <c r="AYL9" s="29"/>
      <c r="AYM9" s="29"/>
      <c r="AYN9" s="28"/>
      <c r="AYO9" s="29"/>
      <c r="AYP9" s="30"/>
      <c r="AYQ9" s="28"/>
      <c r="AYR9" s="29"/>
      <c r="AYS9" s="29"/>
      <c r="AYT9" s="29"/>
      <c r="AYU9" s="28"/>
      <c r="AYV9" s="29"/>
      <c r="AYW9" s="29"/>
      <c r="AYX9" s="28"/>
      <c r="AYY9" s="29"/>
      <c r="AYZ9" s="30"/>
      <c r="AZA9" s="28"/>
      <c r="AZB9" s="29"/>
      <c r="AZC9" s="29"/>
      <c r="AZD9" s="29"/>
      <c r="AZE9" s="28"/>
      <c r="AZF9" s="29"/>
      <c r="AZG9" s="29"/>
      <c r="AZH9" s="29"/>
      <c r="AZI9" s="29"/>
      <c r="AZJ9" s="29"/>
      <c r="AZK9" s="28"/>
      <c r="AZL9" s="29"/>
      <c r="AZM9" s="29"/>
      <c r="AZN9" s="28"/>
      <c r="AZO9" s="29"/>
      <c r="AZP9" s="30"/>
      <c r="AZQ9" s="28"/>
      <c r="AZR9" s="29"/>
      <c r="AZS9" s="29"/>
      <c r="AZT9" s="29"/>
      <c r="AZU9" s="28"/>
      <c r="AZV9" s="29"/>
      <c r="AZW9" s="29"/>
      <c r="AZX9" s="28"/>
      <c r="AZY9" s="29"/>
      <c r="AZZ9" s="30"/>
      <c r="BAA9" s="28"/>
      <c r="BAB9" s="29"/>
      <c r="BAC9" s="29"/>
      <c r="BAD9" s="29"/>
      <c r="BAE9" s="28"/>
      <c r="BAF9" s="29"/>
      <c r="BAG9" s="29"/>
      <c r="BAH9" s="29"/>
      <c r="BAI9" s="29"/>
      <c r="BAJ9" s="29"/>
      <c r="BAK9" s="28"/>
      <c r="BAL9" s="29"/>
      <c r="BAM9" s="29"/>
      <c r="BAN9" s="28"/>
      <c r="BAO9" s="29"/>
      <c r="BAP9" s="30"/>
      <c r="BAQ9" s="28"/>
      <c r="BAR9" s="29"/>
      <c r="BAS9" s="29"/>
      <c r="BAT9" s="29"/>
      <c r="BAU9" s="28"/>
      <c r="BAV9" s="29"/>
      <c r="BAW9" s="29"/>
      <c r="BAX9" s="28"/>
      <c r="BAY9" s="29"/>
      <c r="BAZ9" s="30"/>
      <c r="BBA9" s="28"/>
      <c r="BBB9" s="29"/>
      <c r="BBC9" s="29"/>
      <c r="BBD9" s="29"/>
      <c r="BBE9" s="28"/>
      <c r="BBF9" s="29"/>
      <c r="BBG9" s="29"/>
      <c r="BBH9" s="29"/>
      <c r="BBI9" s="29"/>
      <c r="BBJ9" s="29"/>
      <c r="BBK9" s="28"/>
      <c r="BBL9" s="29"/>
      <c r="BBM9" s="29"/>
      <c r="BBN9" s="28"/>
      <c r="BBO9" s="29"/>
      <c r="BBP9" s="30"/>
      <c r="BBQ9" s="28"/>
      <c r="BBR9" s="29"/>
      <c r="BBS9" s="29"/>
      <c r="BBT9" s="29"/>
      <c r="BBU9" s="28"/>
      <c r="BBV9" s="29"/>
      <c r="BBW9" s="29"/>
      <c r="BBX9" s="28"/>
      <c r="BBY9" s="29"/>
      <c r="BBZ9" s="30"/>
      <c r="BCA9" s="28"/>
      <c r="BCB9" s="29"/>
      <c r="BCC9" s="29"/>
      <c r="BCD9" s="29"/>
      <c r="BCE9" s="28"/>
      <c r="BCF9" s="29"/>
      <c r="BCG9" s="29"/>
      <c r="BCH9" s="29"/>
      <c r="BCI9" s="29"/>
      <c r="BCJ9" s="29"/>
      <c r="BCK9" s="28"/>
      <c r="BCL9" s="29"/>
      <c r="BCM9" s="29"/>
      <c r="BCN9" s="28"/>
      <c r="BCO9" s="29"/>
      <c r="BCP9" s="30"/>
      <c r="BCQ9" s="28"/>
      <c r="BCR9" s="29"/>
      <c r="BCS9" s="29"/>
      <c r="BCT9" s="29"/>
      <c r="BCU9" s="28"/>
      <c r="BCV9" s="29"/>
      <c r="BCW9" s="29"/>
      <c r="BCX9" s="28"/>
      <c r="BCY9" s="29"/>
      <c r="BCZ9" s="30"/>
      <c r="BDA9" s="28"/>
      <c r="BDB9" s="29"/>
      <c r="BDC9" s="29"/>
      <c r="BDD9" s="29"/>
      <c r="BDE9" s="28"/>
      <c r="BDF9" s="29"/>
      <c r="BDG9" s="29"/>
      <c r="BDH9" s="29"/>
      <c r="BDI9" s="29"/>
      <c r="BDJ9" s="29"/>
      <c r="BDK9" s="28"/>
      <c r="BDL9" s="29"/>
      <c r="BDM9" s="29"/>
      <c r="BDN9" s="28"/>
      <c r="BDO9" s="29"/>
      <c r="BDP9" s="30"/>
      <c r="BDQ9" s="28"/>
      <c r="BDR9" s="29"/>
      <c r="BDS9" s="29"/>
      <c r="BDT9" s="29"/>
      <c r="BDU9" s="28"/>
      <c r="BDV9" s="29"/>
      <c r="BDW9" s="29"/>
      <c r="BDX9" s="28"/>
      <c r="BDY9" s="29"/>
      <c r="BDZ9" s="30"/>
      <c r="BEA9" s="28"/>
      <c r="BEB9" s="29"/>
      <c r="BEC9" s="29"/>
      <c r="BED9" s="29"/>
      <c r="BEE9" s="28"/>
      <c r="BEF9" s="29"/>
      <c r="BEG9" s="29"/>
      <c r="BEH9" s="29"/>
      <c r="BEI9" s="29"/>
      <c r="BEJ9" s="29"/>
      <c r="BEK9" s="28"/>
      <c r="BEL9" s="29"/>
      <c r="BEM9" s="29"/>
      <c r="BEN9" s="28"/>
      <c r="BEO9" s="29"/>
      <c r="BEP9" s="30"/>
      <c r="BEQ9" s="28"/>
      <c r="BER9" s="29"/>
      <c r="BES9" s="29"/>
      <c r="BET9" s="29"/>
      <c r="BEU9" s="28"/>
      <c r="BEV9" s="29"/>
      <c r="BEW9" s="29"/>
      <c r="BEX9" s="28"/>
      <c r="BEY9" s="29"/>
      <c r="BEZ9" s="30"/>
      <c r="BFA9" s="28"/>
      <c r="BFB9" s="29"/>
      <c r="BFC9" s="29"/>
      <c r="BFD9" s="29"/>
      <c r="BFE9" s="28"/>
      <c r="BFF9" s="29"/>
      <c r="BFG9" s="29"/>
      <c r="BFH9" s="29"/>
      <c r="BFI9" s="29"/>
      <c r="BFJ9" s="29"/>
      <c r="BFK9" s="28"/>
      <c r="BFL9" s="29"/>
      <c r="BFM9" s="29"/>
      <c r="BFN9" s="28"/>
      <c r="BFO9" s="29"/>
      <c r="BFP9" s="30"/>
      <c r="BFQ9" s="28"/>
      <c r="BFR9" s="29"/>
      <c r="BFS9" s="29"/>
      <c r="BFT9" s="29"/>
      <c r="BFU9" s="28"/>
      <c r="BFV9" s="29"/>
      <c r="BFW9" s="29"/>
      <c r="BFX9" s="28"/>
      <c r="BFY9" s="29"/>
      <c r="BFZ9" s="30"/>
      <c r="BGA9" s="28"/>
      <c r="BGB9" s="29"/>
      <c r="BGC9" s="29"/>
      <c r="BGD9" s="29"/>
      <c r="BGE9" s="28"/>
      <c r="BGF9" s="29"/>
      <c r="BGG9" s="29"/>
      <c r="BGH9" s="29"/>
      <c r="BGI9" s="29"/>
      <c r="BGJ9" s="29"/>
      <c r="BGK9" s="28"/>
      <c r="BGL9" s="29"/>
      <c r="BGM9" s="29"/>
      <c r="BGN9" s="28"/>
      <c r="BGO9" s="29"/>
      <c r="BGP9" s="30"/>
      <c r="BGQ9" s="28"/>
      <c r="BGR9" s="29"/>
      <c r="BGS9" s="29"/>
      <c r="BGT9" s="29"/>
      <c r="BGU9" s="28"/>
      <c r="BGV9" s="29"/>
      <c r="BGW9" s="29"/>
      <c r="BGX9" s="28"/>
      <c r="BGY9" s="29"/>
      <c r="BGZ9" s="30"/>
      <c r="BHA9" s="28"/>
      <c r="BHB9" s="29"/>
      <c r="BHC9" s="29"/>
      <c r="BHD9" s="29"/>
      <c r="BHE9" s="28"/>
      <c r="BHF9" s="29"/>
      <c r="BHG9" s="29"/>
      <c r="BHH9" s="29"/>
      <c r="BHI9" s="29"/>
      <c r="BHJ9" s="29"/>
      <c r="BHK9" s="28"/>
      <c r="BHL9" s="29"/>
      <c r="BHM9" s="29"/>
      <c r="BHN9" s="28"/>
      <c r="BHO9" s="29"/>
      <c r="BHP9" s="30"/>
      <c r="BHQ9" s="28"/>
      <c r="BHR9" s="29"/>
      <c r="BHS9" s="29"/>
      <c r="BHT9" s="29"/>
      <c r="BHU9" s="28"/>
      <c r="BHV9" s="29"/>
      <c r="BHW9" s="29"/>
      <c r="BHX9" s="28"/>
      <c r="BHY9" s="29"/>
      <c r="BHZ9" s="30"/>
      <c r="BIA9" s="28"/>
      <c r="BIB9" s="29"/>
      <c r="BIC9" s="29"/>
      <c r="BID9" s="29"/>
      <c r="BIE9" s="28"/>
      <c r="BIF9" s="29"/>
      <c r="BIG9" s="29"/>
      <c r="BIH9" s="29"/>
      <c r="BII9" s="29"/>
      <c r="BIJ9" s="29"/>
      <c r="BIK9" s="28"/>
      <c r="BIL9" s="29"/>
      <c r="BIM9" s="29"/>
      <c r="BIN9" s="28"/>
      <c r="BIO9" s="29"/>
      <c r="BIP9" s="30"/>
      <c r="BIQ9" s="28"/>
      <c r="BIR9" s="29"/>
      <c r="BIS9" s="29"/>
      <c r="BIT9" s="29"/>
      <c r="BIU9" s="28"/>
      <c r="BIV9" s="29"/>
      <c r="BIW9" s="29"/>
      <c r="BIX9" s="28"/>
      <c r="BIY9" s="29"/>
      <c r="BIZ9" s="30"/>
      <c r="BJA9" s="28"/>
      <c r="BJB9" s="29"/>
      <c r="BJC9" s="29"/>
      <c r="BJD9" s="29"/>
      <c r="BJE9" s="28"/>
      <c r="BJF9" s="29"/>
      <c r="BJG9" s="29"/>
      <c r="BJH9" s="29"/>
      <c r="BJI9" s="29"/>
      <c r="BJJ9" s="29"/>
      <c r="BJK9" s="28"/>
      <c r="BJL9" s="29"/>
      <c r="BJM9" s="29"/>
      <c r="BJN9" s="28"/>
      <c r="BJO9" s="29"/>
      <c r="BJP9" s="30"/>
      <c r="BJQ9" s="28"/>
      <c r="BJR9" s="29"/>
      <c r="BJS9" s="29"/>
      <c r="BJT9" s="29"/>
      <c r="BJU9" s="28"/>
      <c r="BJV9" s="29"/>
      <c r="BJW9" s="29"/>
      <c r="BJX9" s="28"/>
      <c r="BJY9" s="29"/>
      <c r="BJZ9" s="30"/>
      <c r="BKA9" s="28"/>
      <c r="BKB9" s="29"/>
      <c r="BKC9" s="29"/>
      <c r="BKD9" s="29"/>
      <c r="BKE9" s="28"/>
      <c r="BKF9" s="29"/>
      <c r="BKG9" s="29"/>
      <c r="BKH9" s="29"/>
      <c r="BKI9" s="29"/>
      <c r="BKJ9" s="29"/>
      <c r="BKK9" s="28"/>
      <c r="BKL9" s="29"/>
      <c r="BKM9" s="29"/>
      <c r="BKN9" s="28"/>
      <c r="BKO9" s="29"/>
      <c r="BKP9" s="30"/>
      <c r="BKQ9" s="28"/>
      <c r="BKR9" s="29"/>
      <c r="BKS9" s="29"/>
      <c r="BKT9" s="29"/>
      <c r="BKU9" s="28"/>
      <c r="BKV9" s="29"/>
      <c r="BKW9" s="29"/>
      <c r="BKX9" s="28"/>
      <c r="BKY9" s="29"/>
      <c r="BKZ9" s="30"/>
      <c r="BLA9" s="28"/>
      <c r="BLB9" s="29"/>
      <c r="BLC9" s="29"/>
      <c r="BLD9" s="29"/>
      <c r="BLE9" s="28"/>
      <c r="BLF9" s="29"/>
      <c r="BLG9" s="29"/>
      <c r="BLH9" s="29"/>
      <c r="BLI9" s="29"/>
      <c r="BLJ9" s="29"/>
      <c r="BLK9" s="28"/>
      <c r="BLL9" s="29"/>
      <c r="BLM9" s="29"/>
      <c r="BLN9" s="28"/>
      <c r="BLO9" s="29"/>
      <c r="BLP9" s="30"/>
      <c r="BLQ9" s="28"/>
      <c r="BLR9" s="29"/>
      <c r="BLS9" s="29"/>
      <c r="BLT9" s="29"/>
      <c r="BLU9" s="28"/>
      <c r="BLV9" s="29"/>
      <c r="BLW9" s="29"/>
      <c r="BLX9" s="28"/>
      <c r="BLY9" s="29"/>
      <c r="BLZ9" s="30"/>
      <c r="BMA9" s="28"/>
      <c r="BMB9" s="29"/>
      <c r="BMC9" s="29"/>
      <c r="BMD9" s="29"/>
      <c r="BME9" s="28"/>
      <c r="BMF9" s="29"/>
      <c r="BMG9" s="29"/>
      <c r="BMH9" s="29"/>
      <c r="BMI9" s="29"/>
      <c r="BMJ9" s="29"/>
      <c r="BMK9" s="28"/>
      <c r="BML9" s="29"/>
      <c r="BMM9" s="29"/>
      <c r="BMN9" s="28"/>
      <c r="BMO9" s="29"/>
      <c r="BMP9" s="30"/>
      <c r="BMQ9" s="28"/>
      <c r="BMR9" s="29"/>
      <c r="BMS9" s="29"/>
      <c r="BMT9" s="29"/>
      <c r="BMU9" s="28"/>
      <c r="BMV9" s="29"/>
      <c r="BMW9" s="29"/>
      <c r="BMX9" s="28"/>
      <c r="BMY9" s="29"/>
      <c r="BMZ9" s="30"/>
      <c r="BNA9" s="28"/>
      <c r="BNB9" s="29"/>
      <c r="BNC9" s="29"/>
      <c r="BND9" s="29"/>
      <c r="BNE9" s="28"/>
      <c r="BNF9" s="29"/>
      <c r="BNG9" s="29"/>
      <c r="BNH9" s="29"/>
      <c r="BNI9" s="29"/>
      <c r="BNJ9" s="29"/>
      <c r="BNK9" s="28"/>
      <c r="BNL9" s="29"/>
      <c r="BNM9" s="29"/>
      <c r="BNN9" s="28"/>
      <c r="BNO9" s="29"/>
      <c r="BNP9" s="30"/>
      <c r="BNQ9" s="28"/>
      <c r="BNR9" s="29"/>
      <c r="BNS9" s="29"/>
      <c r="BNT9" s="29"/>
      <c r="BNU9" s="28"/>
      <c r="BNV9" s="29"/>
      <c r="BNW9" s="29"/>
      <c r="BNX9" s="28"/>
      <c r="BNY9" s="29"/>
      <c r="BNZ9" s="30"/>
      <c r="BOA9" s="28"/>
      <c r="BOB9" s="29"/>
      <c r="BOC9" s="29"/>
      <c r="BOD9" s="29"/>
      <c r="BOE9" s="28"/>
      <c r="BOF9" s="29"/>
      <c r="BOG9" s="29"/>
      <c r="BOH9" s="29"/>
      <c r="BOI9" s="29"/>
      <c r="BOJ9" s="29"/>
      <c r="BOK9" s="28"/>
      <c r="BOL9" s="29"/>
      <c r="BOM9" s="29"/>
      <c r="BON9" s="28"/>
      <c r="BOO9" s="29"/>
      <c r="BOP9" s="30"/>
      <c r="BOQ9" s="28"/>
      <c r="BOR9" s="29"/>
      <c r="BOS9" s="29"/>
      <c r="BOT9" s="29"/>
      <c r="BOU9" s="28"/>
      <c r="BOV9" s="29"/>
      <c r="BOW9" s="29"/>
      <c r="BOX9" s="28"/>
      <c r="BOY9" s="29"/>
      <c r="BOZ9" s="30"/>
      <c r="BPA9" s="28"/>
      <c r="BPB9" s="29"/>
      <c r="BPC9" s="29"/>
      <c r="BPD9" s="29"/>
      <c r="BPE9" s="28"/>
      <c r="BPF9" s="29"/>
      <c r="BPG9" s="29"/>
      <c r="BPH9" s="29"/>
      <c r="BPI9" s="29"/>
      <c r="BPJ9" s="29"/>
      <c r="BPK9" s="28"/>
      <c r="BPL9" s="29"/>
      <c r="BPM9" s="29"/>
      <c r="BPN9" s="28"/>
      <c r="BPO9" s="29"/>
      <c r="BPP9" s="30"/>
      <c r="BPQ9" s="28"/>
      <c r="BPR9" s="29"/>
      <c r="BPS9" s="29"/>
      <c r="BPT9" s="29"/>
      <c r="BPU9" s="28"/>
      <c r="BPV9" s="29"/>
      <c r="BPW9" s="29"/>
      <c r="BPX9" s="28"/>
      <c r="BPY9" s="29"/>
      <c r="BPZ9" s="30"/>
      <c r="BQA9" s="28"/>
      <c r="BQB9" s="29"/>
      <c r="BQC9" s="29"/>
      <c r="BQD9" s="29"/>
      <c r="BQE9" s="28"/>
      <c r="BQF9" s="29"/>
      <c r="BQG9" s="29"/>
      <c r="BQH9" s="29"/>
      <c r="BQI9" s="29"/>
      <c r="BQJ9" s="29"/>
      <c r="BQK9" s="28"/>
      <c r="BQL9" s="29"/>
      <c r="BQM9" s="29"/>
      <c r="BQN9" s="28"/>
      <c r="BQO9" s="29"/>
      <c r="BQP9" s="30"/>
      <c r="BQQ9" s="28"/>
      <c r="BQR9" s="29"/>
      <c r="BQS9" s="29"/>
      <c r="BQT9" s="29"/>
      <c r="BQU9" s="28"/>
      <c r="BQV9" s="29"/>
      <c r="BQW9" s="29"/>
      <c r="BQX9" s="28"/>
      <c r="BQY9" s="29"/>
      <c r="BQZ9" s="30"/>
      <c r="BRA9" s="28"/>
      <c r="BRB9" s="29"/>
      <c r="BRC9" s="29"/>
      <c r="BRD9" s="29"/>
      <c r="BRE9" s="28"/>
      <c r="BRF9" s="29"/>
      <c r="BRG9" s="29"/>
      <c r="BRH9" s="29"/>
      <c r="BRI9" s="29"/>
      <c r="BRJ9" s="29"/>
      <c r="BRK9" s="28"/>
      <c r="BRL9" s="29"/>
      <c r="BRM9" s="29"/>
      <c r="BRN9" s="28"/>
      <c r="BRO9" s="29"/>
      <c r="BRP9" s="30"/>
      <c r="BRQ9" s="28"/>
      <c r="BRR9" s="29"/>
      <c r="BRS9" s="29"/>
      <c r="BRT9" s="29"/>
      <c r="BRU9" s="28"/>
      <c r="BRV9" s="29"/>
      <c r="BRW9" s="29"/>
      <c r="BRX9" s="28"/>
      <c r="BRY9" s="29"/>
      <c r="BRZ9" s="30"/>
      <c r="BSA9" s="28"/>
      <c r="BSB9" s="29"/>
      <c r="BSC9" s="29"/>
      <c r="BSD9" s="29"/>
      <c r="BSE9" s="28"/>
      <c r="BSF9" s="29"/>
      <c r="BSG9" s="29"/>
      <c r="BSH9" s="29"/>
      <c r="BSI9" s="29"/>
      <c r="BSJ9" s="29"/>
      <c r="BSK9" s="28"/>
      <c r="BSL9" s="29"/>
      <c r="BSM9" s="29"/>
      <c r="BSN9" s="28"/>
      <c r="BSO9" s="29"/>
      <c r="BSP9" s="30"/>
      <c r="BSQ9" s="28"/>
      <c r="BSR9" s="29"/>
      <c r="BSS9" s="29"/>
      <c r="BST9" s="29"/>
      <c r="BSU9" s="28"/>
      <c r="BSV9" s="29"/>
      <c r="BSW9" s="29"/>
      <c r="BSX9" s="28"/>
      <c r="BSY9" s="29"/>
      <c r="BSZ9" s="30"/>
      <c r="BTA9" s="28"/>
      <c r="BTB9" s="29"/>
      <c r="BTC9" s="29"/>
      <c r="BTD9" s="29"/>
      <c r="BTE9" s="28"/>
      <c r="BTF9" s="29"/>
      <c r="BTG9" s="29"/>
      <c r="BTH9" s="29"/>
      <c r="BTI9" s="29"/>
      <c r="BTJ9" s="29"/>
      <c r="BTK9" s="28"/>
      <c r="BTL9" s="29"/>
      <c r="BTM9" s="29"/>
      <c r="BTN9" s="28"/>
      <c r="BTO9" s="29"/>
      <c r="BTP9" s="30"/>
      <c r="BTQ9" s="28"/>
      <c r="BTR9" s="29"/>
      <c r="BTS9" s="29"/>
      <c r="BTT9" s="29"/>
      <c r="BTU9" s="28"/>
      <c r="BTV9" s="29"/>
      <c r="BTW9" s="29"/>
      <c r="BTX9" s="28"/>
      <c r="BTY9" s="29"/>
      <c r="BTZ9" s="30"/>
      <c r="BUA9" s="28"/>
      <c r="BUB9" s="29"/>
      <c r="BUC9" s="29"/>
      <c r="BUD9" s="29"/>
      <c r="BUE9" s="28"/>
      <c r="BUF9" s="29"/>
      <c r="BUG9" s="29"/>
      <c r="BUH9" s="29"/>
      <c r="BUI9" s="29"/>
      <c r="BUJ9" s="29"/>
      <c r="BUK9" s="28"/>
      <c r="BUL9" s="29"/>
      <c r="BUM9" s="29"/>
      <c r="BUN9" s="28"/>
      <c r="BUO9" s="29"/>
      <c r="BUP9" s="30"/>
      <c r="BUQ9" s="28"/>
      <c r="BUR9" s="29"/>
      <c r="BUS9" s="29"/>
      <c r="BUT9" s="29"/>
      <c r="BUU9" s="28"/>
      <c r="BUV9" s="29"/>
      <c r="BUW9" s="29"/>
      <c r="BUX9" s="28"/>
      <c r="BUY9" s="29"/>
      <c r="BUZ9" s="30"/>
      <c r="BVA9" s="28"/>
      <c r="BVB9" s="29"/>
      <c r="BVC9" s="29"/>
      <c r="BVD9" s="29"/>
      <c r="BVE9" s="28"/>
      <c r="BVF9" s="29"/>
      <c r="BVG9" s="29"/>
      <c r="BVH9" s="29"/>
      <c r="BVI9" s="29"/>
      <c r="BVJ9" s="29"/>
      <c r="BVK9" s="28"/>
      <c r="BVL9" s="29"/>
      <c r="BVM9" s="29"/>
      <c r="BVN9" s="28"/>
      <c r="BVO9" s="29"/>
      <c r="BVP9" s="30"/>
      <c r="BVQ9" s="28"/>
      <c r="BVR9" s="29"/>
      <c r="BVS9" s="29"/>
      <c r="BVT9" s="29"/>
      <c r="BVU9" s="28"/>
      <c r="BVV9" s="29"/>
      <c r="BVW9" s="29"/>
      <c r="BVX9" s="28"/>
      <c r="BVY9" s="29"/>
      <c r="BVZ9" s="30"/>
      <c r="BWA9" s="28"/>
      <c r="BWB9" s="29"/>
      <c r="BWC9" s="29"/>
      <c r="BWD9" s="29"/>
      <c r="BWE9" s="28"/>
      <c r="BWF9" s="29"/>
      <c r="BWG9" s="29"/>
      <c r="BWH9" s="29"/>
      <c r="BWI9" s="29"/>
      <c r="BWJ9" s="29"/>
      <c r="BWK9" s="28"/>
      <c r="BWL9" s="29"/>
      <c r="BWM9" s="29"/>
      <c r="BWN9" s="28"/>
      <c r="BWO9" s="29"/>
      <c r="BWP9" s="30"/>
      <c r="BWQ9" s="28"/>
      <c r="BWR9" s="29"/>
      <c r="BWS9" s="29"/>
      <c r="BWT9" s="29"/>
      <c r="BWU9" s="28"/>
      <c r="BWV9" s="29"/>
      <c r="BWW9" s="29"/>
      <c r="BWX9" s="28"/>
      <c r="BWY9" s="29"/>
      <c r="BWZ9" s="30"/>
      <c r="BXA9" s="28"/>
      <c r="BXB9" s="29"/>
      <c r="BXC9" s="29"/>
      <c r="BXD9" s="29"/>
      <c r="BXE9" s="28"/>
      <c r="BXF9" s="29"/>
      <c r="BXG9" s="29"/>
      <c r="BXH9" s="29"/>
      <c r="BXI9" s="29"/>
      <c r="BXJ9" s="29"/>
      <c r="BXK9" s="28"/>
      <c r="BXL9" s="29"/>
      <c r="BXM9" s="29"/>
      <c r="BXN9" s="28"/>
      <c r="BXO9" s="29"/>
      <c r="BXP9" s="30"/>
      <c r="BXQ9" s="28"/>
      <c r="BXR9" s="29"/>
      <c r="BXS9" s="29"/>
      <c r="BXT9" s="29"/>
      <c r="BXU9" s="28"/>
      <c r="BXV9" s="29"/>
      <c r="BXW9" s="29"/>
      <c r="BXX9" s="28"/>
      <c r="BXY9" s="29"/>
      <c r="BXZ9" s="30"/>
      <c r="BYA9" s="28"/>
      <c r="BYB9" s="29"/>
      <c r="BYC9" s="29"/>
      <c r="BYD9" s="29"/>
      <c r="BYE9" s="28"/>
      <c r="BYF9" s="29"/>
      <c r="BYG9" s="29"/>
      <c r="BYH9" s="29"/>
      <c r="BYI9" s="29"/>
      <c r="BYJ9" s="29"/>
      <c r="BYK9" s="28"/>
      <c r="BYL9" s="29"/>
      <c r="BYM9" s="29"/>
      <c r="BYN9" s="28"/>
      <c r="BYO9" s="29"/>
      <c r="BYP9" s="30"/>
      <c r="BYQ9" s="28"/>
      <c r="BYR9" s="29"/>
      <c r="BYS9" s="29"/>
      <c r="BYT9" s="29"/>
      <c r="BYU9" s="28"/>
      <c r="BYV9" s="29"/>
      <c r="BYW9" s="29"/>
      <c r="BYX9" s="30"/>
      <c r="BYY9" s="29"/>
      <c r="BYZ9" s="28"/>
      <c r="BZA9" s="29"/>
      <c r="BZB9" s="28"/>
      <c r="BZC9" s="28"/>
      <c r="BZD9" s="28"/>
      <c r="BZE9" s="29"/>
      <c r="BZF9" s="385"/>
      <c r="BZG9" s="29"/>
      <c r="BZH9" s="385"/>
      <c r="BZI9" s="29"/>
      <c r="BZJ9" s="385"/>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30"/>
      <c r="CAQ9" s="28"/>
      <c r="CAR9" s="29"/>
      <c r="CAS9" s="29"/>
      <c r="CAT9" s="29"/>
      <c r="CAU9" s="29"/>
      <c r="CAV9" s="29"/>
      <c r="CAW9" s="28"/>
      <c r="CAX9" s="29"/>
      <c r="CAY9" s="29"/>
      <c r="CAZ9" s="28"/>
      <c r="CBA9" s="29"/>
      <c r="CBB9" s="30"/>
      <c r="CBC9" s="28"/>
      <c r="CBD9" s="29"/>
      <c r="CBE9" s="29"/>
      <c r="CBF9" s="29"/>
      <c r="CBG9" s="28"/>
      <c r="CBH9" s="29"/>
      <c r="CBI9" s="29"/>
      <c r="CBJ9" s="28"/>
      <c r="CBK9" s="29"/>
      <c r="CBL9" s="30"/>
      <c r="CBM9" s="28"/>
      <c r="CBN9" s="29"/>
      <c r="CBO9" s="29"/>
      <c r="CBP9" s="29"/>
      <c r="CBQ9" s="28"/>
      <c r="CBR9" s="29"/>
      <c r="CBS9" s="29"/>
      <c r="CBT9" s="28"/>
      <c r="CBU9" s="29"/>
      <c r="CBV9" s="30"/>
      <c r="CBW9" s="28"/>
      <c r="CBX9" s="29"/>
      <c r="CBY9" s="29"/>
      <c r="CBZ9" s="29"/>
      <c r="CCA9" s="28"/>
      <c r="CCB9" s="29"/>
      <c r="CCC9" s="29"/>
      <c r="CCD9" s="28"/>
      <c r="CCE9" s="29"/>
      <c r="CCF9" s="30"/>
      <c r="CCG9" s="28"/>
      <c r="CCH9" s="30"/>
      <c r="CCI9" s="29"/>
      <c r="CCJ9" s="28"/>
      <c r="CCK9" s="29"/>
      <c r="CCL9" s="28"/>
      <c r="CCM9" s="28"/>
      <c r="CCN9" s="28"/>
      <c r="CCO9" s="29"/>
      <c r="CCP9" s="385"/>
      <c r="CCQ9" s="29"/>
      <c r="CCR9" s="385"/>
      <c r="CCS9" s="29"/>
      <c r="CCT9" s="385"/>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30"/>
      <c r="CEA9" s="28"/>
      <c r="CEB9" s="29"/>
      <c r="CEC9" s="29"/>
      <c r="CED9" s="29"/>
      <c r="CEE9" s="29"/>
      <c r="CEF9" s="29"/>
      <c r="CEG9" s="28"/>
      <c r="CEH9" s="29"/>
      <c r="CEI9" s="29"/>
      <c r="CEJ9" s="28"/>
      <c r="CEK9" s="29"/>
      <c r="CEL9" s="30"/>
      <c r="CEM9" s="28"/>
      <c r="CEN9" s="29"/>
      <c r="CEO9" s="29"/>
      <c r="CEP9" s="29"/>
      <c r="CEQ9" s="28"/>
      <c r="CER9" s="29"/>
      <c r="CES9" s="29"/>
      <c r="CET9" s="28"/>
      <c r="CEU9" s="29"/>
      <c r="CEV9" s="30"/>
      <c r="CEW9" s="28"/>
      <c r="CEX9" s="29"/>
      <c r="CEY9" s="29"/>
      <c r="CEZ9" s="29"/>
      <c r="CFA9" s="28"/>
      <c r="CFB9" s="29"/>
      <c r="CFC9" s="29"/>
      <c r="CFD9" s="28"/>
      <c r="CFE9" s="29"/>
      <c r="CFF9" s="30"/>
      <c r="CFG9" s="28"/>
      <c r="CFH9" s="29"/>
      <c r="CFI9" s="29"/>
      <c r="CFJ9" s="29"/>
      <c r="CFK9" s="28"/>
      <c r="CFL9" s="29"/>
      <c r="CFM9" s="29"/>
      <c r="CFN9" s="28"/>
      <c r="CFO9" s="29"/>
      <c r="CFP9" s="30"/>
      <c r="CFQ9" s="28"/>
      <c r="CFR9" s="30"/>
      <c r="CFS9" s="29"/>
      <c r="CFT9" s="28"/>
      <c r="CFU9" s="29"/>
      <c r="CFV9" s="28"/>
      <c r="CFW9" s="28"/>
      <c r="CFX9" s="28"/>
      <c r="CFY9" s="29"/>
      <c r="CFZ9" s="385"/>
      <c r="CGA9" s="29"/>
      <c r="CGB9" s="385"/>
      <c r="CGC9" s="29"/>
      <c r="CGD9" s="385"/>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30"/>
      <c r="CHK9" s="28"/>
      <c r="CHL9" s="29"/>
      <c r="CHM9" s="29"/>
      <c r="CHN9" s="29"/>
      <c r="CHO9" s="29"/>
      <c r="CHP9" s="29"/>
      <c r="CHQ9" s="28"/>
      <c r="CHR9" s="29"/>
      <c r="CHS9" s="29"/>
      <c r="CHT9" s="28"/>
      <c r="CHU9" s="29"/>
      <c r="CHV9" s="30"/>
      <c r="CHW9" s="28"/>
      <c r="CHX9" s="29"/>
      <c r="CHY9" s="29"/>
      <c r="CHZ9" s="29"/>
      <c r="CIA9" s="28"/>
      <c r="CIB9" s="29"/>
      <c r="CIC9" s="29"/>
      <c r="CID9" s="28"/>
      <c r="CIE9" s="29"/>
      <c r="CIF9" s="30"/>
      <c r="CIG9" s="28"/>
      <c r="CIH9" s="29"/>
      <c r="CII9" s="29"/>
      <c r="CIJ9" s="29"/>
      <c r="CIK9" s="28"/>
      <c r="CIL9" s="29"/>
      <c r="CIM9" s="29"/>
      <c r="CIN9" s="28"/>
      <c r="CIO9" s="29"/>
      <c r="CIP9" s="30"/>
      <c r="CIQ9" s="28"/>
      <c r="CIR9" s="29"/>
      <c r="CIS9" s="29"/>
      <c r="CIT9" s="29"/>
      <c r="CIU9" s="28"/>
      <c r="CIV9" s="29"/>
      <c r="CIW9" s="29"/>
      <c r="CIX9" s="28"/>
      <c r="CIY9" s="29"/>
      <c r="CIZ9" s="30"/>
      <c r="CJA9" s="28"/>
      <c r="CJB9" s="30"/>
      <c r="CJC9" s="29"/>
      <c r="CJD9" s="28"/>
      <c r="CJE9" s="29"/>
      <c r="CJF9" s="28"/>
      <c r="CJG9" s="28"/>
      <c r="CJH9" s="28"/>
      <c r="CJI9" s="29"/>
      <c r="CJJ9" s="385"/>
      <c r="CJK9" s="29"/>
      <c r="CJL9" s="385"/>
      <c r="CJM9" s="29"/>
      <c r="CJN9" s="385"/>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30"/>
      <c r="CKU9" s="28"/>
      <c r="CKV9" s="29"/>
      <c r="CKW9" s="29"/>
      <c r="CKX9" s="29"/>
      <c r="CKY9" s="29"/>
      <c r="CKZ9" s="29"/>
      <c r="CLA9" s="28"/>
      <c r="CLB9" s="29"/>
      <c r="CLC9" s="29"/>
      <c r="CLD9" s="28"/>
      <c r="CLE9" s="29"/>
      <c r="CLF9" s="30"/>
      <c r="CLG9" s="28"/>
      <c r="CLH9" s="29"/>
      <c r="CLI9" s="29"/>
      <c r="CLJ9" s="29"/>
      <c r="CLK9" s="28"/>
      <c r="CLL9" s="29"/>
      <c r="CLM9" s="29"/>
      <c r="CLN9" s="28"/>
      <c r="CLO9" s="29"/>
      <c r="CLP9" s="30"/>
      <c r="CLQ9" s="28"/>
      <c r="CLR9" s="29"/>
      <c r="CLS9" s="29"/>
      <c r="CLT9" s="29"/>
      <c r="CLU9" s="28"/>
      <c r="CLV9" s="29"/>
      <c r="CLW9" s="29"/>
      <c r="CLX9" s="28"/>
      <c r="CLY9" s="29"/>
      <c r="CLZ9" s="30"/>
      <c r="CMA9" s="28"/>
      <c r="CMB9" s="29"/>
      <c r="CMC9" s="29"/>
      <c r="CMD9" s="29"/>
      <c r="CME9" s="28"/>
      <c r="CMF9" s="29"/>
      <c r="CMG9" s="29"/>
      <c r="CMH9" s="28"/>
      <c r="CMI9" s="29"/>
      <c r="CMJ9" s="30"/>
      <c r="CMK9" s="28"/>
      <c r="CML9" s="30"/>
      <c r="CMM9" s="29"/>
      <c r="CMN9" s="28"/>
      <c r="CMO9" s="29"/>
      <c r="CMP9" s="28"/>
      <c r="CMQ9" s="28"/>
      <c r="CMR9" s="28"/>
      <c r="CMS9" s="29"/>
      <c r="CMT9" s="385"/>
      <c r="CMU9" s="29"/>
      <c r="CMV9" s="385"/>
      <c r="CMW9" s="29"/>
      <c r="CMX9" s="385"/>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30"/>
      <c r="COE9" s="28"/>
      <c r="COF9" s="29"/>
      <c r="COG9" s="29"/>
      <c r="COH9" s="29"/>
      <c r="COI9" s="29"/>
      <c r="COJ9" s="29"/>
      <c r="COK9" s="28"/>
      <c r="COL9" s="29"/>
      <c r="COM9" s="29"/>
      <c r="CON9" s="28"/>
      <c r="COO9" s="29"/>
      <c r="COP9" s="30"/>
      <c r="COQ9" s="28"/>
      <c r="COR9" s="29"/>
      <c r="COS9" s="29"/>
      <c r="COT9" s="29"/>
      <c r="COU9" s="28"/>
      <c r="COV9" s="29"/>
      <c r="COW9" s="29"/>
      <c r="COX9" s="28"/>
      <c r="COY9" s="29"/>
      <c r="COZ9" s="30"/>
      <c r="CPA9" s="28"/>
      <c r="CPB9" s="29"/>
      <c r="CPC9" s="29"/>
      <c r="CPD9" s="29"/>
      <c r="CPE9" s="28"/>
      <c r="CPF9" s="29"/>
      <c r="CPG9" s="29"/>
      <c r="CPH9" s="28"/>
      <c r="CPI9" s="29"/>
      <c r="CPJ9" s="30"/>
      <c r="CPK9" s="28"/>
      <c r="CPL9" s="29"/>
      <c r="CPM9" s="29"/>
      <c r="CPN9" s="29"/>
      <c r="CPO9" s="28"/>
      <c r="CPP9" s="29"/>
      <c r="CPQ9" s="29"/>
      <c r="CPR9" s="28"/>
      <c r="CPS9" s="29"/>
      <c r="CPT9" s="30"/>
      <c r="CPU9" s="28"/>
      <c r="CPV9" s="30"/>
      <c r="CPW9" s="29"/>
      <c r="CPX9" s="28"/>
      <c r="CPY9" s="29"/>
      <c r="CPZ9" s="28"/>
      <c r="CQA9" s="28"/>
      <c r="CQB9" s="28"/>
      <c r="CQC9" s="29"/>
      <c r="CQD9" s="385"/>
      <c r="CQE9" s="29"/>
      <c r="CQF9" s="385"/>
      <c r="CQG9" s="29"/>
      <c r="CQH9" s="385"/>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30"/>
      <c r="CRO9" s="28"/>
      <c r="CRP9" s="29"/>
      <c r="CRQ9" s="29"/>
      <c r="CRR9" s="29"/>
      <c r="CRS9" s="29"/>
      <c r="CRT9" s="29"/>
      <c r="CRU9" s="28"/>
      <c r="CRV9" s="29"/>
      <c r="CRW9" s="29"/>
      <c r="CRX9" s="28"/>
      <c r="CRY9" s="29"/>
      <c r="CRZ9" s="30"/>
      <c r="CSA9" s="28"/>
      <c r="CSB9" s="29"/>
      <c r="CSC9" s="29"/>
      <c r="CSD9" s="29"/>
      <c r="CSE9" s="28"/>
      <c r="CSF9" s="29"/>
      <c r="CSG9" s="29"/>
      <c r="CSH9" s="28"/>
      <c r="CSI9" s="29"/>
      <c r="CSJ9" s="30"/>
      <c r="CSK9" s="28"/>
      <c r="CSL9" s="29"/>
      <c r="CSM9" s="29"/>
      <c r="CSN9" s="29"/>
      <c r="CSO9" s="28"/>
      <c r="CSP9" s="29"/>
      <c r="CSQ9" s="29"/>
      <c r="CSR9" s="28"/>
      <c r="CSS9" s="29"/>
      <c r="CST9" s="30"/>
      <c r="CSU9" s="28"/>
      <c r="CSV9" s="29"/>
      <c r="CSW9" s="29"/>
      <c r="CSX9" s="29"/>
      <c r="CSY9" s="28"/>
      <c r="CSZ9" s="29"/>
      <c r="CTA9" s="29"/>
      <c r="CTB9" s="28"/>
      <c r="CTC9" s="29"/>
      <c r="CTD9" s="30"/>
      <c r="CTE9" s="28"/>
      <c r="CTF9" s="30"/>
      <c r="CTG9" s="29"/>
      <c r="CTH9" s="28"/>
      <c r="CTI9" s="29"/>
      <c r="CTJ9" s="28"/>
      <c r="CTK9" s="28"/>
      <c r="CTL9" s="28"/>
      <c r="CTM9" s="29"/>
      <c r="CTN9" s="385"/>
      <c r="CTO9" s="29"/>
      <c r="CTP9" s="385"/>
      <c r="CTQ9" s="29"/>
      <c r="CTR9" s="385"/>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30"/>
      <c r="CUY9" s="28"/>
      <c r="CUZ9" s="29"/>
      <c r="CVA9" s="29"/>
      <c r="CVB9" s="29"/>
      <c r="CVC9" s="29"/>
      <c r="CVD9" s="29"/>
      <c r="CVE9" s="28"/>
      <c r="CVF9" s="29"/>
      <c r="CVG9" s="29"/>
      <c r="CVH9" s="28"/>
      <c r="CVI9" s="29"/>
      <c r="CVJ9" s="30"/>
      <c r="CVK9" s="28"/>
      <c r="CVL9" s="29"/>
      <c r="CVM9" s="29"/>
      <c r="CVN9" s="29"/>
      <c r="CVO9" s="28"/>
      <c r="CVP9" s="29"/>
      <c r="CVQ9" s="29"/>
      <c r="CVR9" s="28"/>
      <c r="CVS9" s="29"/>
      <c r="CVT9" s="30"/>
      <c r="CVU9" s="28"/>
      <c r="CVV9" s="29"/>
      <c r="CVW9" s="29"/>
      <c r="CVX9" s="29"/>
      <c r="CVY9" s="28"/>
      <c r="CVZ9" s="29"/>
      <c r="CWA9" s="29"/>
      <c r="CWB9" s="28"/>
      <c r="CWC9" s="29"/>
      <c r="CWD9" s="30"/>
      <c r="CWE9" s="28"/>
      <c r="CWF9" s="29"/>
      <c r="CWG9" s="29"/>
      <c r="CWH9" s="29"/>
      <c r="CWI9" s="28"/>
      <c r="CWJ9" s="29"/>
      <c r="CWK9" s="29"/>
      <c r="CWL9" s="28"/>
      <c r="CWM9" s="29"/>
      <c r="CWN9" s="30"/>
      <c r="CWO9" s="28"/>
      <c r="CWP9" s="30"/>
      <c r="CWQ9" s="29"/>
      <c r="CWR9" s="28"/>
      <c r="CWS9" s="29"/>
      <c r="CWT9" s="28"/>
      <c r="CWU9" s="28"/>
      <c r="CWV9" s="28"/>
      <c r="CWW9" s="29"/>
      <c r="CWX9" s="385"/>
      <c r="CWY9" s="29"/>
      <c r="CWZ9" s="385"/>
      <c r="CXA9" s="29"/>
      <c r="CXB9" s="385"/>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30"/>
      <c r="CYI9" s="28"/>
      <c r="CYJ9" s="29"/>
      <c r="CYK9" s="29"/>
      <c r="CYL9" s="29"/>
      <c r="CYM9" s="29"/>
      <c r="CYN9" s="29"/>
      <c r="CYO9" s="28"/>
      <c r="CYP9" s="29"/>
      <c r="CYQ9" s="29"/>
      <c r="CYR9" s="28"/>
      <c r="CYS9" s="29"/>
      <c r="CYT9" s="30"/>
      <c r="CYU9" s="28"/>
      <c r="CYV9" s="29"/>
      <c r="CYW9" s="29"/>
      <c r="CYX9" s="29"/>
      <c r="CYY9" s="28"/>
      <c r="CYZ9" s="29"/>
      <c r="CZA9" s="29"/>
      <c r="CZB9" s="28"/>
      <c r="CZC9" s="29"/>
      <c r="CZD9" s="30"/>
      <c r="CZE9" s="28"/>
      <c r="CZF9" s="29"/>
      <c r="CZG9" s="29"/>
      <c r="CZH9" s="29"/>
      <c r="CZI9" s="28"/>
      <c r="CZJ9" s="29"/>
      <c r="CZK9" s="29"/>
      <c r="CZL9" s="28"/>
      <c r="CZM9" s="29"/>
      <c r="CZN9" s="30"/>
      <c r="CZO9" s="28"/>
      <c r="CZP9" s="29"/>
      <c r="CZQ9" s="29"/>
      <c r="CZR9" s="29"/>
      <c r="CZS9" s="28"/>
      <c r="CZT9" s="29"/>
      <c r="CZU9" s="29"/>
      <c r="CZV9" s="28"/>
      <c r="CZW9" s="29"/>
      <c r="CZX9" s="30"/>
      <c r="CZY9" s="28"/>
      <c r="CZZ9" s="30"/>
      <c r="DAA9" s="29"/>
      <c r="DAB9" s="28"/>
      <c r="DAC9" s="29"/>
      <c r="DAD9" s="28"/>
      <c r="DAE9" s="28"/>
      <c r="DAF9" s="28"/>
      <c r="DAG9" s="29"/>
      <c r="DAH9" s="385"/>
      <c r="DAI9" s="29"/>
      <c r="DAJ9" s="385"/>
      <c r="DAK9" s="29"/>
      <c r="DAL9" s="385"/>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30"/>
      <c r="DBS9" s="28"/>
      <c r="DBT9" s="29"/>
      <c r="DBU9" s="29"/>
      <c r="DBV9" s="29"/>
      <c r="DBW9" s="29"/>
      <c r="DBX9" s="29"/>
      <c r="DBY9" s="28"/>
      <c r="DBZ9" s="29"/>
      <c r="DCA9" s="29"/>
      <c r="DCB9" s="28"/>
      <c r="DCC9" s="29"/>
      <c r="DCD9" s="30"/>
      <c r="DCE9" s="28"/>
      <c r="DCF9" s="29"/>
      <c r="DCG9" s="29"/>
      <c r="DCH9" s="29"/>
      <c r="DCI9" s="28"/>
      <c r="DCJ9" s="29"/>
      <c r="DCK9" s="29"/>
      <c r="DCL9" s="28"/>
      <c r="DCM9" s="29"/>
      <c r="DCN9" s="30"/>
      <c r="DCO9" s="28"/>
      <c r="DCP9" s="29"/>
      <c r="DCQ9" s="29"/>
      <c r="DCR9" s="29"/>
      <c r="DCS9" s="28"/>
      <c r="DCT9" s="29"/>
      <c r="DCU9" s="29"/>
      <c r="DCV9" s="28"/>
      <c r="DCW9" s="29"/>
      <c r="DCX9" s="30"/>
      <c r="DCY9" s="28"/>
      <c r="DCZ9" s="29"/>
      <c r="DDA9" s="29"/>
      <c r="DDB9" s="29"/>
      <c r="DDC9" s="28"/>
      <c r="DDD9" s="29"/>
      <c r="DDE9" s="29"/>
      <c r="DDF9" s="28"/>
      <c r="DDG9" s="29"/>
      <c r="DDH9" s="30"/>
      <c r="DDI9" s="28"/>
      <c r="DDJ9" s="30"/>
      <c r="DDK9" s="29"/>
      <c r="DDL9" s="28"/>
      <c r="DDM9" s="29"/>
      <c r="DDN9" s="28"/>
      <c r="DDO9" s="28"/>
      <c r="DDP9" s="28"/>
      <c r="DDQ9" s="29"/>
      <c r="DDR9" s="385"/>
      <c r="DDS9" s="29"/>
      <c r="DDT9" s="385"/>
      <c r="DDU9" s="29"/>
      <c r="DDV9" s="385"/>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30"/>
      <c r="DFC9" s="28"/>
      <c r="DFD9" s="29"/>
      <c r="DFE9" s="29"/>
      <c r="DFF9" s="29"/>
      <c r="DFG9" s="29"/>
      <c r="DFH9" s="29"/>
      <c r="DFI9" s="28"/>
      <c r="DFJ9" s="29"/>
      <c r="DFK9" s="29"/>
      <c r="DFL9" s="28"/>
      <c r="DFM9" s="29"/>
      <c r="DFN9" s="30"/>
      <c r="DFO9" s="28"/>
      <c r="DFP9" s="29"/>
      <c r="DFQ9" s="29"/>
      <c r="DFR9" s="29"/>
      <c r="DFS9" s="28"/>
      <c r="DFT9" s="29"/>
      <c r="DFU9" s="29"/>
      <c r="DFV9" s="28"/>
      <c r="DFW9" s="29"/>
      <c r="DFX9" s="30"/>
      <c r="DFY9" s="28"/>
      <c r="DFZ9" s="29"/>
      <c r="DGA9" s="29"/>
      <c r="DGB9" s="29"/>
      <c r="DGC9" s="28"/>
      <c r="DGD9" s="29"/>
      <c r="DGE9" s="29"/>
      <c r="DGF9" s="28"/>
      <c r="DGG9" s="29"/>
      <c r="DGH9" s="30"/>
      <c r="DGI9" s="28"/>
      <c r="DGJ9" s="29"/>
      <c r="DGK9" s="29"/>
      <c r="DGL9" s="29"/>
      <c r="DGM9" s="28"/>
      <c r="DGN9" s="29"/>
      <c r="DGO9" s="29"/>
      <c r="DGP9" s="28"/>
      <c r="DGQ9" s="29"/>
      <c r="DGR9" s="30"/>
      <c r="DGS9" s="28"/>
      <c r="DGT9" s="30"/>
      <c r="DGU9" s="29"/>
      <c r="DGV9" s="28"/>
      <c r="DGW9" s="29"/>
      <c r="DGX9" s="28"/>
      <c r="DGY9" s="28"/>
      <c r="DGZ9" s="28"/>
      <c r="DHA9" s="29"/>
      <c r="DHB9" s="385"/>
      <c r="DHC9" s="29"/>
      <c r="DHD9" s="385"/>
      <c r="DHE9" s="29"/>
      <c r="DHF9" s="385"/>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30"/>
      <c r="DIM9" s="28"/>
      <c r="DIN9" s="29"/>
      <c r="DIO9" s="29"/>
      <c r="DIP9" s="29"/>
      <c r="DIQ9" s="29"/>
      <c r="DIR9" s="29"/>
      <c r="DIS9" s="28"/>
      <c r="DIT9" s="29"/>
      <c r="DIU9" s="29"/>
      <c r="DIV9" s="28"/>
      <c r="DIW9" s="29"/>
      <c r="DIX9" s="30"/>
      <c r="DIY9" s="28"/>
      <c r="DIZ9" s="29"/>
      <c r="DJA9" s="29"/>
      <c r="DJB9" s="29"/>
      <c r="DJC9" s="28"/>
      <c r="DJD9" s="29"/>
      <c r="DJE9" s="29"/>
      <c r="DJF9" s="28"/>
      <c r="DJG9" s="29"/>
      <c r="DJH9" s="30"/>
      <c r="DJI9" s="28"/>
      <c r="DJJ9" s="29"/>
      <c r="DJK9" s="29"/>
      <c r="DJL9" s="29"/>
      <c r="DJM9" s="28"/>
      <c r="DJN9" s="29"/>
      <c r="DJO9" s="29"/>
      <c r="DJP9" s="28"/>
      <c r="DJQ9" s="29"/>
      <c r="DJR9" s="30"/>
      <c r="DJS9" s="28"/>
      <c r="DJT9" s="29"/>
      <c r="DJU9" s="29"/>
      <c r="DJV9" s="29"/>
      <c r="DJW9" s="28"/>
      <c r="DJX9" s="29"/>
      <c r="DJY9" s="29"/>
      <c r="DJZ9" s="28"/>
      <c r="DKA9" s="29"/>
      <c r="DKB9" s="30"/>
      <c r="DKC9" s="28"/>
      <c r="DKD9" s="30"/>
      <c r="DKE9" s="29"/>
      <c r="DKF9" s="28"/>
      <c r="DKG9" s="29"/>
      <c r="DKH9" s="28"/>
      <c r="DKI9" s="28"/>
      <c r="DKJ9" s="28"/>
      <c r="DKK9" s="29"/>
      <c r="DKL9" s="385"/>
      <c r="DKM9" s="29"/>
      <c r="DKN9" s="385"/>
      <c r="DKO9" s="29"/>
      <c r="DKP9" s="385"/>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30"/>
      <c r="DLW9" s="28"/>
      <c r="DLX9" s="29"/>
      <c r="DLY9" s="29"/>
      <c r="DLZ9" s="29"/>
      <c r="DMA9" s="29"/>
      <c r="DMB9" s="29"/>
      <c r="DMC9" s="28"/>
      <c r="DMD9" s="29"/>
      <c r="DME9" s="29"/>
      <c r="DMF9" s="28"/>
      <c r="DMG9" s="29"/>
      <c r="DMH9" s="30"/>
      <c r="DMI9" s="28"/>
      <c r="DMJ9" s="29"/>
      <c r="DMK9" s="29"/>
      <c r="DML9" s="29"/>
      <c r="DMM9" s="28"/>
      <c r="DMN9" s="29"/>
      <c r="DMO9" s="29"/>
      <c r="DMP9" s="28"/>
      <c r="DMQ9" s="29"/>
      <c r="DMR9" s="30"/>
      <c r="DMS9" s="28"/>
      <c r="DMT9" s="29"/>
      <c r="DMU9" s="29"/>
      <c r="DMV9" s="29"/>
      <c r="DMW9" s="28"/>
      <c r="DMX9" s="29"/>
      <c r="DMY9" s="29"/>
      <c r="DMZ9" s="28"/>
      <c r="DNA9" s="29"/>
      <c r="DNB9" s="30"/>
      <c r="DNC9" s="28"/>
      <c r="DND9" s="29"/>
      <c r="DNE9" s="29"/>
      <c r="DNF9" s="29"/>
      <c r="DNG9" s="28"/>
      <c r="DNH9" s="29"/>
      <c r="DNI9" s="29"/>
      <c r="DNJ9" s="28"/>
      <c r="DNK9" s="29"/>
      <c r="DNL9" s="30"/>
      <c r="DNM9" s="28"/>
      <c r="DNN9" s="30"/>
      <c r="DNO9" s="29"/>
      <c r="DNP9" s="28"/>
      <c r="DNQ9" s="29"/>
      <c r="DNR9" s="28"/>
      <c r="DNS9" s="28"/>
      <c r="DNT9" s="28"/>
      <c r="DNU9" s="29"/>
      <c r="DNV9" s="385"/>
      <c r="DNW9" s="29"/>
      <c r="DNX9" s="385"/>
      <c r="DNY9" s="29"/>
      <c r="DNZ9" s="385"/>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30"/>
      <c r="DPG9" s="28"/>
      <c r="DPH9" s="29"/>
      <c r="DPI9" s="29"/>
      <c r="DPJ9" s="29"/>
      <c r="DPK9" s="29"/>
      <c r="DPL9" s="29"/>
      <c r="DPM9" s="28"/>
      <c r="DPN9" s="29"/>
      <c r="DPO9" s="29"/>
      <c r="DPP9" s="28"/>
      <c r="DPQ9" s="29"/>
      <c r="DPR9" s="30"/>
      <c r="DPS9" s="28"/>
      <c r="DPT9" s="29"/>
      <c r="DPU9" s="29"/>
      <c r="DPV9" s="29"/>
      <c r="DPW9" s="28"/>
      <c r="DPX9" s="29"/>
      <c r="DPY9" s="29"/>
      <c r="DPZ9" s="28"/>
      <c r="DQA9" s="29"/>
      <c r="DQB9" s="30"/>
      <c r="DQC9" s="28"/>
      <c r="DQD9" s="29"/>
      <c r="DQE9" s="29"/>
      <c r="DQF9" s="29"/>
      <c r="DQG9" s="28"/>
      <c r="DQH9" s="29"/>
      <c r="DQI9" s="29"/>
      <c r="DQJ9" s="28"/>
      <c r="DQK9" s="29"/>
      <c r="DQL9" s="30"/>
      <c r="DQM9" s="28"/>
      <c r="DQN9" s="29"/>
      <c r="DQO9" s="29"/>
      <c r="DQP9" s="29"/>
      <c r="DQQ9" s="28"/>
      <c r="DQR9" s="29"/>
      <c r="DQS9" s="29"/>
      <c r="DQT9" s="28"/>
      <c r="DQU9" s="29"/>
      <c r="DQV9" s="30"/>
      <c r="DQW9" s="28"/>
      <c r="DQX9" s="30"/>
      <c r="DQY9" s="29"/>
      <c r="DQZ9" s="28"/>
      <c r="DRA9" s="29"/>
      <c r="DRB9" s="28"/>
      <c r="DRC9" s="28"/>
      <c r="DRD9" s="28"/>
      <c r="DRE9" s="29"/>
      <c r="DRF9" s="385"/>
      <c r="DRG9" s="29"/>
      <c r="DRH9" s="385"/>
      <c r="DRI9" s="29"/>
      <c r="DRJ9" s="385"/>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30"/>
      <c r="DSQ9" s="28"/>
      <c r="DSR9" s="29"/>
      <c r="DSS9" s="29"/>
      <c r="DST9" s="29"/>
      <c r="DSU9" s="29"/>
      <c r="DSV9" s="29"/>
      <c r="DSW9" s="28"/>
      <c r="DSX9" s="29"/>
      <c r="DSY9" s="29"/>
      <c r="DSZ9" s="28"/>
      <c r="DTA9" s="29"/>
      <c r="DTB9" s="30"/>
      <c r="DTC9" s="28"/>
      <c r="DTD9" s="29"/>
      <c r="DTE9" s="29"/>
      <c r="DTF9" s="29"/>
      <c r="DTG9" s="28"/>
      <c r="DTH9" s="29"/>
      <c r="DTI9" s="29"/>
      <c r="DTJ9" s="28"/>
      <c r="DTK9" s="29"/>
      <c r="DTL9" s="30"/>
      <c r="DTM9" s="28"/>
      <c r="DTN9" s="29"/>
      <c r="DTO9" s="29"/>
      <c r="DTP9" s="29"/>
      <c r="DTQ9" s="28"/>
      <c r="DTR9" s="29"/>
      <c r="DTS9" s="29"/>
      <c r="DTT9" s="28"/>
      <c r="DTU9" s="29"/>
      <c r="DTV9" s="30"/>
      <c r="DTW9" s="28"/>
      <c r="DTX9" s="29"/>
      <c r="DTY9" s="29"/>
      <c r="DTZ9" s="29"/>
      <c r="DUA9" s="28"/>
      <c r="DUB9" s="29"/>
      <c r="DUC9" s="29"/>
      <c r="DUD9" s="28"/>
      <c r="DUE9" s="29"/>
      <c r="DUF9" s="30"/>
      <c r="DUG9" s="28"/>
      <c r="DUH9" s="30"/>
      <c r="DUI9" s="29"/>
      <c r="DUJ9" s="28"/>
      <c r="DUK9" s="29"/>
      <c r="DUL9" s="28"/>
      <c r="DUM9" s="28"/>
      <c r="DUN9" s="28"/>
      <c r="DUO9" s="29"/>
      <c r="DUP9" s="385"/>
      <c r="DUQ9" s="29"/>
      <c r="DUR9" s="385"/>
      <c r="DUS9" s="29"/>
      <c r="DUT9" s="385"/>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30"/>
      <c r="DWA9" s="28"/>
      <c r="DWB9" s="29"/>
      <c r="DWC9" s="29"/>
      <c r="DWD9" s="29"/>
      <c r="DWE9" s="29"/>
      <c r="DWF9" s="29"/>
      <c r="DWG9" s="28"/>
      <c r="DWH9" s="29"/>
      <c r="DWI9" s="29"/>
      <c r="DWJ9" s="28"/>
      <c r="DWK9" s="29"/>
      <c r="DWL9" s="30"/>
      <c r="DWM9" s="28"/>
      <c r="DWN9" s="29"/>
      <c r="DWO9" s="29"/>
      <c r="DWP9" s="29"/>
      <c r="DWQ9" s="28"/>
      <c r="DWR9" s="29"/>
      <c r="DWS9" s="29"/>
      <c r="DWT9" s="28"/>
      <c r="DWU9" s="29"/>
      <c r="DWV9" s="30"/>
      <c r="DWW9" s="28"/>
      <c r="DWX9" s="29"/>
      <c r="DWY9" s="29"/>
      <c r="DWZ9" s="29"/>
      <c r="DXA9" s="28"/>
      <c r="DXB9" s="29"/>
      <c r="DXC9" s="29"/>
      <c r="DXD9" s="28"/>
      <c r="DXE9" s="29"/>
      <c r="DXF9" s="30"/>
      <c r="DXG9" s="28"/>
      <c r="DXH9" s="29"/>
      <c r="DXI9" s="29"/>
      <c r="DXJ9" s="29"/>
      <c r="DXK9" s="28"/>
      <c r="DXL9" s="29"/>
      <c r="DXM9" s="29"/>
      <c r="DXN9" s="28"/>
      <c r="DXO9" s="29"/>
      <c r="DXP9" s="30"/>
      <c r="DXQ9" s="28"/>
      <c r="DXR9" s="30"/>
      <c r="DXS9" s="29"/>
      <c r="DXT9" s="28"/>
      <c r="DXU9" s="29"/>
      <c r="DXV9" s="28"/>
      <c r="DXW9" s="28"/>
      <c r="DXX9" s="28"/>
      <c r="DXY9" s="29"/>
      <c r="DXZ9" s="385"/>
      <c r="DYA9" s="29"/>
      <c r="DYB9" s="385"/>
      <c r="DYC9" s="29"/>
      <c r="DYD9" s="385"/>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30"/>
      <c r="DZK9" s="28"/>
      <c r="DZL9" s="29"/>
      <c r="DZM9" s="29"/>
      <c r="DZN9" s="29"/>
      <c r="DZO9" s="29"/>
      <c r="DZP9" s="29"/>
      <c r="DZQ9" s="28"/>
      <c r="DZR9" s="29"/>
      <c r="DZS9" s="29"/>
      <c r="DZT9" s="28"/>
      <c r="DZU9" s="29"/>
      <c r="DZV9" s="30"/>
      <c r="DZW9" s="28"/>
      <c r="DZX9" s="29"/>
      <c r="DZY9" s="29"/>
      <c r="DZZ9" s="29"/>
      <c r="EAA9" s="28"/>
      <c r="EAB9" s="29"/>
      <c r="EAC9" s="29"/>
      <c r="EAD9" s="28"/>
      <c r="EAE9" s="29"/>
      <c r="EAF9" s="30"/>
      <c r="EAG9" s="28"/>
      <c r="EAH9" s="29"/>
      <c r="EAI9" s="29"/>
      <c r="EAJ9" s="29"/>
      <c r="EAK9" s="28"/>
      <c r="EAL9" s="29"/>
      <c r="EAM9" s="29"/>
      <c r="EAN9" s="28"/>
      <c r="EAO9" s="29"/>
      <c r="EAP9" s="30"/>
      <c r="EAQ9" s="28"/>
      <c r="EAR9" s="29"/>
      <c r="EAS9" s="29"/>
      <c r="EAT9" s="29"/>
      <c r="EAU9" s="28"/>
      <c r="EAV9" s="29"/>
      <c r="EAW9" s="29"/>
      <c r="EAX9" s="28"/>
      <c r="EAY9" s="29"/>
      <c r="EAZ9" s="30"/>
      <c r="EBA9" s="28"/>
      <c r="EBB9" s="30"/>
      <c r="EBC9" s="29"/>
      <c r="EBD9" s="28"/>
      <c r="EBE9" s="29"/>
      <c r="EBF9" s="28"/>
      <c r="EBG9" s="28"/>
      <c r="EBH9" s="28"/>
      <c r="EBI9" s="29"/>
      <c r="EBJ9" s="385"/>
      <c r="EBK9" s="29"/>
      <c r="EBL9" s="385"/>
      <c r="EBM9" s="29"/>
      <c r="EBN9" s="385"/>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30"/>
      <c r="ECU9" s="28"/>
      <c r="ECV9" s="29"/>
      <c r="ECW9" s="29"/>
      <c r="ECX9" s="29"/>
      <c r="ECY9" s="29"/>
      <c r="ECZ9" s="29"/>
      <c r="EDA9" s="28"/>
      <c r="EDB9" s="29"/>
      <c r="EDC9" s="29"/>
      <c r="EDD9" s="28"/>
      <c r="EDE9" s="29"/>
      <c r="EDF9" s="30"/>
      <c r="EDG9" s="28"/>
      <c r="EDH9" s="29"/>
      <c r="EDI9" s="29"/>
      <c r="EDJ9" s="29"/>
      <c r="EDK9" s="28"/>
      <c r="EDL9" s="29"/>
      <c r="EDM9" s="29"/>
      <c r="EDN9" s="28"/>
      <c r="EDO9" s="29"/>
      <c r="EDP9" s="30"/>
      <c r="EDQ9" s="28"/>
      <c r="EDR9" s="29"/>
      <c r="EDS9" s="29"/>
      <c r="EDT9" s="29"/>
      <c r="EDU9" s="28"/>
      <c r="EDV9" s="29"/>
      <c r="EDW9" s="29"/>
      <c r="EDX9" s="28"/>
      <c r="EDY9" s="29"/>
      <c r="EDZ9" s="30"/>
      <c r="EEA9" s="28"/>
      <c r="EEB9" s="29"/>
      <c r="EEC9" s="29"/>
      <c r="EED9" s="29"/>
      <c r="EEE9" s="28"/>
      <c r="EEF9" s="29"/>
      <c r="EEG9" s="29"/>
      <c r="EEH9" s="28"/>
      <c r="EEI9" s="29"/>
      <c r="EEJ9" s="30"/>
      <c r="EEK9" s="28"/>
      <c r="EEL9" s="30"/>
      <c r="EEM9" s="29"/>
      <c r="EEN9" s="28"/>
      <c r="EEO9" s="29"/>
      <c r="EEP9" s="28"/>
      <c r="EEQ9" s="28"/>
      <c r="EER9" s="28"/>
      <c r="EES9" s="29"/>
      <c r="EET9" s="385"/>
      <c r="EEU9" s="29"/>
      <c r="EEV9" s="385"/>
      <c r="EEW9" s="29"/>
      <c r="EEX9" s="385"/>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30"/>
      <c r="EGE9" s="28"/>
      <c r="EGF9" s="29"/>
      <c r="EGG9" s="29"/>
      <c r="EGH9" s="29"/>
      <c r="EGI9" s="29"/>
      <c r="EGJ9" s="29"/>
      <c r="EGK9" s="28"/>
      <c r="EGL9" s="29"/>
      <c r="EGM9" s="29"/>
      <c r="EGN9" s="28"/>
      <c r="EGO9" s="29"/>
      <c r="EGP9" s="30"/>
      <c r="EGQ9" s="28"/>
      <c r="EGR9" s="29"/>
      <c r="EGS9" s="29"/>
      <c r="EGT9" s="29"/>
      <c r="EGU9" s="28"/>
      <c r="EGV9" s="29"/>
      <c r="EGW9" s="29"/>
      <c r="EGX9" s="28"/>
      <c r="EGY9" s="29"/>
      <c r="EGZ9" s="30"/>
      <c r="EHA9" s="28"/>
      <c r="EHB9" s="29"/>
      <c r="EHC9" s="29"/>
      <c r="EHD9" s="29"/>
      <c r="EHE9" s="28"/>
      <c r="EHF9" s="29"/>
      <c r="EHG9" s="29"/>
      <c r="EHH9" s="28"/>
      <c r="EHI9" s="29"/>
      <c r="EHJ9" s="30"/>
      <c r="EHK9" s="28"/>
      <c r="EHL9" s="29"/>
      <c r="EHM9" s="29"/>
      <c r="EHN9" s="29"/>
      <c r="EHO9" s="28"/>
      <c r="EHP9" s="29"/>
      <c r="EHQ9" s="29"/>
      <c r="EHR9" s="28"/>
      <c r="EHS9" s="29"/>
      <c r="EHT9" s="30"/>
      <c r="EHU9" s="28"/>
      <c r="EHV9" s="30"/>
      <c r="EHW9" s="29"/>
      <c r="EHX9" s="28"/>
      <c r="EHY9" s="29"/>
      <c r="EHZ9" s="28"/>
      <c r="EIA9" s="28"/>
      <c r="EIB9" s="28"/>
      <c r="EIC9" s="29"/>
      <c r="EID9" s="385"/>
      <c r="EIE9" s="29"/>
      <c r="EIF9" s="385"/>
      <c r="EIG9" s="29"/>
      <c r="EIH9" s="385"/>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30"/>
      <c r="EJO9" s="28"/>
      <c r="EJP9" s="29"/>
      <c r="EJQ9" s="29"/>
      <c r="EJR9" s="29"/>
      <c r="EJS9" s="29"/>
      <c r="EJT9" s="29"/>
      <c r="EJU9" s="28"/>
      <c r="EJV9" s="29"/>
      <c r="EJW9" s="29"/>
      <c r="EJX9" s="28"/>
      <c r="EJY9" s="29"/>
      <c r="EJZ9" s="30"/>
      <c r="EKA9" s="28"/>
      <c r="EKB9" s="29"/>
      <c r="EKC9" s="29"/>
      <c r="EKD9" s="29"/>
      <c r="EKE9" s="28"/>
      <c r="EKF9" s="29"/>
      <c r="EKG9" s="29"/>
      <c r="EKH9" s="28"/>
      <c r="EKI9" s="29"/>
      <c r="EKJ9" s="30"/>
      <c r="EKK9" s="28"/>
      <c r="EKL9" s="29"/>
      <c r="EKM9" s="29"/>
      <c r="EKN9" s="29"/>
      <c r="EKO9" s="28"/>
      <c r="EKP9" s="29"/>
      <c r="EKQ9" s="29"/>
      <c r="EKR9" s="28"/>
      <c r="EKS9" s="29"/>
      <c r="EKT9" s="30"/>
      <c r="EKU9" s="28"/>
      <c r="EKV9" s="29"/>
      <c r="EKW9" s="29"/>
      <c r="EKX9" s="29"/>
      <c r="EKY9" s="28"/>
      <c r="EKZ9" s="29"/>
      <c r="ELA9" s="29"/>
      <c r="ELB9" s="28"/>
      <c r="ELC9" s="29"/>
      <c r="ELD9" s="30"/>
      <c r="ELE9" s="28"/>
      <c r="ELF9" s="30"/>
      <c r="ELG9" s="29"/>
      <c r="ELH9" s="28"/>
      <c r="ELI9" s="29"/>
      <c r="ELJ9" s="28"/>
      <c r="ELK9" s="28"/>
      <c r="ELL9" s="28"/>
      <c r="ELM9" s="29"/>
      <c r="ELN9" s="385"/>
      <c r="ELO9" s="29"/>
      <c r="ELP9" s="385"/>
      <c r="ELQ9" s="29"/>
      <c r="ELR9" s="385"/>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30"/>
      <c r="EMY9" s="28"/>
      <c r="EMZ9" s="29"/>
      <c r="ENA9" s="29"/>
      <c r="ENB9" s="29"/>
      <c r="ENC9" s="29"/>
      <c r="END9" s="29"/>
      <c r="ENE9" s="28"/>
      <c r="ENF9" s="29"/>
      <c r="ENG9" s="29"/>
      <c r="ENH9" s="28"/>
      <c r="ENI9" s="29"/>
      <c r="ENJ9" s="30"/>
      <c r="ENK9" s="28"/>
      <c r="ENL9" s="29"/>
      <c r="ENM9" s="29"/>
      <c r="ENN9" s="29"/>
      <c r="ENO9" s="28"/>
      <c r="ENP9" s="29"/>
      <c r="ENQ9" s="29"/>
      <c r="ENR9" s="28"/>
      <c r="ENS9" s="29"/>
      <c r="ENT9" s="30"/>
      <c r="ENU9" s="28"/>
      <c r="ENV9" s="29"/>
      <c r="ENW9" s="29"/>
      <c r="ENX9" s="29"/>
      <c r="ENY9" s="28"/>
      <c r="ENZ9" s="29"/>
      <c r="EOA9" s="29"/>
      <c r="EOB9" s="28"/>
      <c r="EOC9" s="29"/>
      <c r="EOD9" s="30"/>
      <c r="EOE9" s="28"/>
      <c r="EOF9" s="29"/>
      <c r="EOG9" s="29"/>
      <c r="EOH9" s="29"/>
      <c r="EOI9" s="28"/>
      <c r="EOJ9" s="29"/>
      <c r="EOK9" s="29"/>
      <c r="EOL9" s="28"/>
      <c r="EOM9" s="29"/>
      <c r="EON9" s="30"/>
      <c r="EOO9" s="28" t="str">
        <f t="shared" si="149"/>
        <v xml:space="preserve"> </v>
      </c>
      <c r="EOP9" s="30"/>
      <c r="EOQ9" s="29"/>
      <c r="EOR9" s="28"/>
      <c r="EOS9" s="29"/>
      <c r="EOT9" s="28"/>
      <c r="EOU9" s="28"/>
      <c r="EOV9" s="28"/>
      <c r="EOW9" s="29"/>
      <c r="EOX9" s="385"/>
      <c r="EOY9" s="29"/>
      <c r="EOZ9" s="385"/>
      <c r="EPA9" s="29"/>
      <c r="EPB9" s="385"/>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30"/>
      <c r="EQI9" s="28"/>
      <c r="EQJ9" s="29"/>
      <c r="EQK9" s="29"/>
      <c r="EQL9" s="29"/>
      <c r="EQM9" s="29"/>
      <c r="EQN9" s="29"/>
      <c r="EQO9" s="28"/>
      <c r="EQP9" s="29"/>
      <c r="EQQ9" s="29"/>
      <c r="EQR9" s="28"/>
      <c r="EQS9" s="29"/>
      <c r="EQT9" s="30"/>
      <c r="EQU9" s="28"/>
      <c r="EQV9" s="29"/>
      <c r="EQW9" s="29"/>
      <c r="EQX9" s="29"/>
      <c r="EQY9" s="28"/>
      <c r="EQZ9" s="29"/>
      <c r="ERA9" s="29"/>
      <c r="ERB9" s="28"/>
      <c r="ERC9" s="29"/>
      <c r="ERD9" s="30"/>
      <c r="ERE9" s="28"/>
      <c r="ERF9" s="29"/>
      <c r="ERG9" s="29"/>
      <c r="ERH9" s="29"/>
      <c r="ERI9" s="28"/>
      <c r="ERJ9" s="29"/>
      <c r="ERK9" s="29"/>
      <c r="ERL9" s="28"/>
      <c r="ERM9" s="29"/>
      <c r="ERN9" s="30"/>
      <c r="ERO9" s="28"/>
      <c r="ERP9" s="29"/>
      <c r="ERQ9" s="29"/>
      <c r="ERR9" s="29"/>
      <c r="ERS9" s="28"/>
      <c r="ERT9" s="29"/>
      <c r="ERU9" s="29"/>
      <c r="ERV9" s="28"/>
      <c r="ERW9" s="29"/>
      <c r="ERX9" s="30"/>
      <c r="ERY9" s="28" t="str">
        <f t="shared" si="150"/>
        <v xml:space="preserve"> </v>
      </c>
      <c r="ERZ9" s="30"/>
      <c r="ESA9" s="29"/>
      <c r="ESB9" s="28"/>
      <c r="ESC9" s="29"/>
      <c r="ESD9" s="28"/>
      <c r="ESE9" s="28"/>
      <c r="ESF9" s="28"/>
      <c r="ESG9" s="29"/>
      <c r="ESH9" s="385"/>
      <c r="ESI9" s="29"/>
      <c r="ESJ9" s="385"/>
      <c r="ESK9" s="29"/>
      <c r="ESL9" s="385"/>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30"/>
      <c r="ETS9" s="28"/>
      <c r="ETT9" s="29"/>
      <c r="ETU9" s="29"/>
      <c r="ETV9" s="29"/>
      <c r="ETW9" s="29"/>
      <c r="ETX9" s="29"/>
      <c r="ETY9" s="28"/>
      <c r="ETZ9" s="29"/>
      <c r="EUA9" s="29"/>
      <c r="EUB9" s="28"/>
      <c r="EUC9" s="29"/>
      <c r="EUD9" s="30"/>
      <c r="EUE9" s="28"/>
      <c r="EUF9" s="29"/>
      <c r="EUG9" s="29"/>
      <c r="EUH9" s="29"/>
      <c r="EUI9" s="28"/>
      <c r="EUJ9" s="29"/>
      <c r="EUK9" s="29"/>
      <c r="EUL9" s="28"/>
      <c r="EUM9" s="29"/>
      <c r="EUN9" s="30"/>
      <c r="EUO9" s="28"/>
      <c r="EUP9" s="29"/>
      <c r="EUQ9" s="29"/>
      <c r="EUR9" s="29"/>
      <c r="EUS9" s="28"/>
      <c r="EUT9" s="29"/>
      <c r="EUU9" s="29"/>
      <c r="EUV9" s="28"/>
      <c r="EUW9" s="29"/>
      <c r="EUX9" s="30"/>
      <c r="EUY9" s="28"/>
      <c r="EUZ9" s="29"/>
      <c r="EVA9" s="29"/>
      <c r="EVB9" s="29"/>
      <c r="EVC9" s="28"/>
      <c r="EVD9" s="29"/>
      <c r="EVE9" s="29"/>
      <c r="EVF9" s="28"/>
      <c r="EVG9" s="29"/>
      <c r="EVH9" s="30"/>
      <c r="EVI9" s="28" t="str">
        <f t="shared" si="151"/>
        <v xml:space="preserve"> </v>
      </c>
    </row>
    <row r="10" spans="1:3961" x14ac:dyDescent="0.3">
      <c r="A10" s="424" t="s">
        <v>117</v>
      </c>
      <c r="B10" s="58" t="str">
        <f>'REG y VAL POE - AESR - ESR'!B569</f>
        <v>Arias Rodriguez Jesus Manuel</v>
      </c>
      <c r="C10" s="57" t="str">
        <f>'REG y VAL POE - AESR - ESR'!C569</f>
        <v>ESR</v>
      </c>
      <c r="D10" s="56">
        <f>'REG y VAL POE - AESR - ESR'!D569</f>
        <v>23203538</v>
      </c>
      <c r="E10" s="57">
        <f>'REG y VAL POE - AESR - ESR'!E569</f>
        <v>0</v>
      </c>
      <c r="F10" s="56">
        <f>'REG y VAL POE - AESR - ESR'!F569</f>
        <v>0</v>
      </c>
      <c r="G10" s="56">
        <f>'REG y VAL POE - AESR - ESR'!G569</f>
        <v>45379</v>
      </c>
      <c r="H10" s="56">
        <f>'REG y VAL POE - AESR - ESR'!H569</f>
        <v>45744</v>
      </c>
      <c r="I10" s="57" t="str">
        <f>'REG y VAL POE - AESR - ESR'!I569</f>
        <v>SI</v>
      </c>
      <c r="J10" s="57" t="str">
        <f>'REG y VAL POE - AESR - ESR'!J569</f>
        <v>Vigente</v>
      </c>
      <c r="K10" s="57" t="str">
        <f>'REG y VAL POE - AESR - ESR'!K569</f>
        <v>SI</v>
      </c>
      <c r="L10" s="57" t="str">
        <f>'REG y VAL POE - AESR - ESR'!L569</f>
        <v>Vigente</v>
      </c>
      <c r="M10" s="57">
        <f>'REG y VAL POE - AESR - ESR'!M569</f>
        <v>0</v>
      </c>
      <c r="N10" s="57" t="str">
        <f>'REG y VAL POE - AESR - ESR'!N569</f>
        <v>Apendice ByC no llenos-falta firma RL</v>
      </c>
      <c r="O10" s="57" t="str">
        <f>'REG y VAL POE - AESR - ESR'!O569</f>
        <v>SI</v>
      </c>
      <c r="P10" s="57">
        <f>'REG y VAL POE - AESR - ESR'!P569</f>
        <v>0</v>
      </c>
      <c r="Q10" s="57" t="str">
        <f>'REG y VAL POE - AESR - ESR'!Q569</f>
        <v>SI</v>
      </c>
      <c r="R10" s="57" t="str">
        <f>'REG y VAL POE - AESR - ESR'!R569</f>
        <v>SI</v>
      </c>
      <c r="S10" s="57" t="str">
        <f>'REG y VAL POE - AESR - ESR'!S569</f>
        <v>SI</v>
      </c>
      <c r="T10" s="57" t="str">
        <f>'REG y VAL POE - AESR - ESR'!T569</f>
        <v>SI</v>
      </c>
      <c r="U10" s="57" t="str">
        <f>'REG y VAL POE - AESR - ESR'!U569</f>
        <v>SI</v>
      </c>
      <c r="V10" s="57" t="str">
        <f>'REG y VAL POE - AESR - ESR'!V569</f>
        <v>SI</v>
      </c>
      <c r="W10" s="57">
        <f>'REG y VAL POE - AESR - ESR'!W569</f>
        <v>0</v>
      </c>
      <c r="X10" s="57">
        <f>'REG y VAL POE - AESR - ESR'!X569</f>
        <v>0</v>
      </c>
      <c r="Y10" s="57">
        <f>'REG y VAL POE - AESR - ESR'!Y569</f>
        <v>0</v>
      </c>
      <c r="Z10" s="57" t="str">
        <f>'REG y VAL POE - AESR - ESR'!Z569</f>
        <v>SI</v>
      </c>
      <c r="AA10" s="57">
        <f>'REG y VAL POE - AESR - ESR'!AA569</f>
        <v>0</v>
      </c>
      <c r="AB10" s="57">
        <f>'REG y VAL POE - AESR - ESR'!AB569</f>
        <v>0</v>
      </c>
      <c r="AC10" s="57">
        <f>'REG y VAL POE - AESR - ESR'!AC569</f>
        <v>0</v>
      </c>
      <c r="AD10" s="57">
        <f>'REG y VAL POE - AESR - ESR'!AD569</f>
        <v>0</v>
      </c>
      <c r="AE10" s="57">
        <f>'REG y VAL POE - AESR - ESR'!AE569</f>
        <v>0</v>
      </c>
      <c r="AF10" s="57">
        <f>'REG y VAL POE - AESR - ESR'!AF569</f>
        <v>0</v>
      </c>
      <c r="AG10" s="57" t="str">
        <f>'REG y VAL POE - AESR - ESR'!AG569</f>
        <v>SI</v>
      </c>
      <c r="AH10" s="57">
        <f>'REG y VAL POE - AESR - ESR'!AH569</f>
        <v>0</v>
      </c>
      <c r="AI10" s="57">
        <f>'REG y VAL POE - AESR - ESR'!AI569</f>
        <v>0</v>
      </c>
      <c r="AJ10" s="57">
        <f>'REG y VAL POE - AESR - ESR'!AJ569</f>
        <v>0</v>
      </c>
      <c r="AK10" s="57">
        <f>'REG y VAL POE - AESR - ESR'!AK569</f>
        <v>0</v>
      </c>
      <c r="AL10" s="57">
        <f>'REG y VAL POE - AESR - ESR'!AL569</f>
        <v>0</v>
      </c>
      <c r="AM10" s="57">
        <f>'REG y VAL POE - AESR - ESR'!AM569</f>
        <v>0</v>
      </c>
      <c r="AN10" s="57">
        <f>'REG y VAL POE - AESR - ESR'!AN569</f>
        <v>0</v>
      </c>
      <c r="AO10" s="57">
        <f>'REG y VAL POE - AESR - ESR'!AO569</f>
        <v>0</v>
      </c>
      <c r="AP10" s="57">
        <f>'REG y VAL POE - AESR - ESR'!AP569</f>
        <v>0</v>
      </c>
      <c r="AQ10" s="57">
        <f>'REG y VAL POE - AESR - ESR'!AQ569</f>
        <v>0</v>
      </c>
      <c r="AR10" s="57">
        <f>'REG y VAL POE - AESR - ESR'!AR569</f>
        <v>0</v>
      </c>
      <c r="AS10" s="57">
        <f>'REG y VAL POE - AESR - ESR'!AS569</f>
        <v>0</v>
      </c>
      <c r="AT10" s="58" t="str">
        <f>'REG y VAL POE - AESR - ESR'!B570</f>
        <v>Gutierrez Lopez Jose Alberto</v>
      </c>
      <c r="AU10" s="56" t="str">
        <f>'REG y VAL POE - AESR - ESR'!C570</f>
        <v>POE</v>
      </c>
      <c r="AV10" s="57">
        <f>'REG y VAL POE - AESR - ESR'!D570</f>
        <v>23202773</v>
      </c>
      <c r="AW10" s="57">
        <f>'REG y VAL POE - AESR - ESR'!E570</f>
        <v>0</v>
      </c>
      <c r="AX10" s="57">
        <f>'REG y VAL POE - AESR - ESR'!F570</f>
        <v>0</v>
      </c>
      <c r="AY10" s="57">
        <f>'REG y VAL POE - AESR - ESR'!G570</f>
        <v>45370</v>
      </c>
      <c r="AZ10" s="57">
        <f>'REG y VAL POE - AESR - ESR'!H570</f>
        <v>45735</v>
      </c>
      <c r="BA10" s="56" t="str">
        <f>'REG y VAL POE - AESR - ESR'!I570</f>
        <v>SI</v>
      </c>
      <c r="BB10" s="57" t="str">
        <f>'REG y VAL POE - AESR - ESR'!J570</f>
        <v>Vigente</v>
      </c>
      <c r="BC10" s="57" t="str">
        <f>'REG y VAL POE - AESR - ESR'!K570</f>
        <v>SI</v>
      </c>
      <c r="BD10" s="56" t="str">
        <f>'REG y VAL POE - AESR - ESR'!L570</f>
        <v>Vigente</v>
      </c>
      <c r="BE10" s="57" t="str">
        <f>'REG y VAL POE - AESR - ESR'!M570</f>
        <v>NO</v>
      </c>
      <c r="BF10" s="58" t="str">
        <f>'REG y VAL POE - AESR - ESR'!N570</f>
        <v>Apendice ByC no llenos-c/historial aparte-falta firma RL</v>
      </c>
      <c r="BG10" s="56" t="str">
        <f>'REG y VAL POE - AESR - ESR'!O570</f>
        <v>SI</v>
      </c>
      <c r="BH10" s="57">
        <f>'REG y VAL POE - AESR - ESR'!P570</f>
        <v>0</v>
      </c>
      <c r="BI10" s="57" t="str">
        <f>'REG y VAL POE - AESR - ESR'!Q570</f>
        <v>SI</v>
      </c>
      <c r="BJ10" s="57" t="str">
        <f>'REG y VAL POE - AESR - ESR'!R570</f>
        <v>SI</v>
      </c>
      <c r="BK10" s="56" t="str">
        <f>'REG y VAL POE - AESR - ESR'!S570</f>
        <v>SI</v>
      </c>
      <c r="BL10" s="57" t="str">
        <f>'REG y VAL POE - AESR - ESR'!T570</f>
        <v>SI</v>
      </c>
      <c r="BM10" s="57" t="str">
        <f>'REG y VAL POE - AESR - ESR'!U570</f>
        <v>SI</v>
      </c>
      <c r="BN10" s="56" t="str">
        <f>'REG y VAL POE - AESR - ESR'!V570</f>
        <v>SI</v>
      </c>
      <c r="BO10" s="57">
        <f>'REG y VAL POE - AESR - ESR'!W570</f>
        <v>0</v>
      </c>
      <c r="BP10" s="58">
        <f>'REG y VAL POE - AESR - ESR'!X570</f>
        <v>0</v>
      </c>
      <c r="BQ10" s="56">
        <f>'REG y VAL POE - AESR - ESR'!Y570</f>
        <v>0</v>
      </c>
      <c r="BR10" s="57" t="str">
        <f>'REG y VAL POE - AESR - ESR'!Z570</f>
        <v>SI</v>
      </c>
      <c r="BS10" s="57">
        <f>'REG y VAL POE - AESR - ESR'!AA570</f>
        <v>0</v>
      </c>
      <c r="BT10" s="57">
        <f>'REG y VAL POE - AESR - ESR'!AB570</f>
        <v>0</v>
      </c>
      <c r="BU10" s="56">
        <f>'REG y VAL POE - AESR - ESR'!AC570</f>
        <v>0</v>
      </c>
      <c r="BV10" s="57">
        <f>'REG y VAL POE - AESR - ESR'!AD570</f>
        <v>0</v>
      </c>
      <c r="BW10" s="57">
        <f>'REG y VAL POE - AESR - ESR'!AE570</f>
        <v>0</v>
      </c>
      <c r="BX10" s="56" t="str">
        <f>'REG y VAL POE - AESR - ESR'!AF570</f>
        <v>SI</v>
      </c>
      <c r="BY10" s="57">
        <f>'REG y VAL POE - AESR - ESR'!AG570</f>
        <v>0</v>
      </c>
      <c r="BZ10" s="58">
        <f>'REG y VAL POE - AESR - ESR'!AH570</f>
        <v>0</v>
      </c>
      <c r="CA10" s="56">
        <f>'REG y VAL POE - AESR - ESR'!AI570</f>
        <v>0</v>
      </c>
      <c r="CB10" s="57">
        <f>'REG y VAL POE - AESR - ESR'!AJ570</f>
        <v>0</v>
      </c>
      <c r="CC10" s="57">
        <f>'REG y VAL POE - AESR - ESR'!AK570</f>
        <v>0</v>
      </c>
      <c r="CD10" s="57">
        <f>'REG y VAL POE - AESR - ESR'!AL570</f>
        <v>0</v>
      </c>
      <c r="CE10" s="56" t="str">
        <f>'REG y VAL POE - AESR - ESR'!AM570</f>
        <v>SI</v>
      </c>
      <c r="CF10" s="57">
        <f>'REG y VAL POE - AESR - ESR'!AN570</f>
        <v>0</v>
      </c>
      <c r="CG10" s="57">
        <f>'REG y VAL POE - AESR - ESR'!AO570</f>
        <v>0</v>
      </c>
      <c r="CH10" s="56">
        <f>'REG y VAL POE - AESR - ESR'!AP570</f>
        <v>0</v>
      </c>
      <c r="CI10" s="57">
        <f>'REG y VAL POE - AESR - ESR'!AQ570</f>
        <v>0</v>
      </c>
      <c r="CJ10" s="58" t="str">
        <f>'REG y VAL POE - AESR - ESR'!AR570</f>
        <v>VACIS PORTAL</v>
      </c>
      <c r="CK10" s="56">
        <f>'REG y VAL POE - AESR - ESR'!AS570</f>
        <v>0</v>
      </c>
      <c r="CL10" s="57" t="str">
        <f>'REG y VAL POE - AESR - ESR'!B571</f>
        <v>Meza Rodriguez Enrique Alonso</v>
      </c>
      <c r="CM10" s="57" t="str">
        <f>'REG y VAL POE - AESR - ESR'!C571</f>
        <v>POE</v>
      </c>
      <c r="CN10" s="57">
        <f>'REG y VAL POE - AESR - ESR'!D571</f>
        <v>23157160</v>
      </c>
      <c r="CO10" s="56">
        <f>'REG y VAL POE - AESR - ESR'!E571</f>
        <v>0</v>
      </c>
      <c r="CP10" s="57">
        <f>'REG y VAL POE - AESR - ESR'!F571</f>
        <v>0</v>
      </c>
      <c r="CQ10" s="57">
        <f>'REG y VAL POE - AESR - ESR'!G571</f>
        <v>45358</v>
      </c>
      <c r="CR10" s="56">
        <f>'REG y VAL POE - AESR - ESR'!H571</f>
        <v>45723</v>
      </c>
      <c r="CS10" s="57" t="str">
        <f>'REG y VAL POE - AESR - ESR'!I571</f>
        <v>SI</v>
      </c>
      <c r="CT10" s="58" t="str">
        <f>'REG y VAL POE - AESR - ESR'!J571</f>
        <v>Vigente</v>
      </c>
      <c r="CU10" s="56" t="str">
        <f>'REG y VAL POE - AESR - ESR'!K571</f>
        <v>SI</v>
      </c>
      <c r="CV10" s="57" t="str">
        <f>'REG y VAL POE - AESR - ESR'!L571</f>
        <v>Vigente</v>
      </c>
      <c r="CW10" s="57" t="str">
        <f>'REG y VAL POE - AESR - ESR'!M571</f>
        <v>SI</v>
      </c>
      <c r="CX10" s="57" t="str">
        <f>'REG y VAL POE - AESR - ESR'!N571</f>
        <v>APENDICES LLENOS PERO FIRMADOS X ESR</v>
      </c>
      <c r="CY10" s="56" t="str">
        <f>'REG y VAL POE - AESR - ESR'!O571</f>
        <v>SI</v>
      </c>
      <c r="CZ10" s="57" t="str">
        <f>'REG y VAL POE - AESR - ESR'!P571</f>
        <v>SI</v>
      </c>
      <c r="DA10" s="57" t="str">
        <f>'REG y VAL POE - AESR - ESR'!Q571</f>
        <v>SI</v>
      </c>
      <c r="DB10" s="56" t="str">
        <f>'REG y VAL POE - AESR - ESR'!R571</f>
        <v>SI</v>
      </c>
      <c r="DC10" s="57" t="str">
        <f>'REG y VAL POE - AESR - ESR'!S571</f>
        <v>SI</v>
      </c>
      <c r="DD10" s="58" t="str">
        <f>'REG y VAL POE - AESR - ESR'!T571</f>
        <v>SI</v>
      </c>
      <c r="DE10" s="56" t="str">
        <f>'REG y VAL POE - AESR - ESR'!U571</f>
        <v>SI</v>
      </c>
      <c r="DF10" s="57">
        <f>'REG y VAL POE - AESR - ESR'!V571</f>
        <v>0</v>
      </c>
      <c r="DG10" s="57" t="str">
        <f>'REG y VAL POE - AESR - ESR'!W571</f>
        <v>Si</v>
      </c>
      <c r="DH10" s="57">
        <f>'REG y VAL POE - AESR - ESR'!X571</f>
        <v>0</v>
      </c>
      <c r="DI10" s="56">
        <f>'REG y VAL POE - AESR - ESR'!Y571</f>
        <v>0</v>
      </c>
      <c r="DJ10" s="57" t="str">
        <f>'REG y VAL POE - AESR - ESR'!Z571</f>
        <v>SI</v>
      </c>
      <c r="DK10" s="57">
        <f>'REG y VAL POE - AESR - ESR'!AA571</f>
        <v>0</v>
      </c>
      <c r="DL10" s="56">
        <f>'REG y VAL POE - AESR - ESR'!AB571</f>
        <v>0</v>
      </c>
      <c r="DM10" s="57">
        <f>'REG y VAL POE - AESR - ESR'!AC571</f>
        <v>0</v>
      </c>
      <c r="DN10" s="58">
        <f>'REG y VAL POE - AESR - ESR'!AD571</f>
        <v>0</v>
      </c>
      <c r="DO10" s="56">
        <f>'REG y VAL POE - AESR - ESR'!AE571</f>
        <v>0</v>
      </c>
      <c r="DP10" s="57" t="str">
        <f>'REG y VAL POE - AESR - ESR'!AF571</f>
        <v>SI</v>
      </c>
      <c r="DQ10" s="57" t="str">
        <f>'REG y VAL POE - AESR - ESR'!AG571</f>
        <v>SI</v>
      </c>
      <c r="DR10" s="57">
        <f>'REG y VAL POE - AESR - ESR'!AH571</f>
        <v>0</v>
      </c>
      <c r="DS10" s="56">
        <f>'REG y VAL POE - AESR - ESR'!AI571</f>
        <v>0</v>
      </c>
      <c r="DT10" s="57">
        <f>'REG y VAL POE - AESR - ESR'!AJ571</f>
        <v>0</v>
      </c>
      <c r="DU10" s="57">
        <f>'REG y VAL POE - AESR - ESR'!AK571</f>
        <v>0</v>
      </c>
      <c r="DV10" s="56">
        <f>'REG y VAL POE - AESR - ESR'!AL571</f>
        <v>0</v>
      </c>
      <c r="DW10" s="57">
        <f>'REG y VAL POE - AESR - ESR'!AM571</f>
        <v>0</v>
      </c>
      <c r="DX10" s="58">
        <f>'REG y VAL POE - AESR - ESR'!AN571</f>
        <v>0</v>
      </c>
      <c r="DY10" s="56">
        <f>'REG y VAL POE - AESR - ESR'!AO571</f>
        <v>0</v>
      </c>
      <c r="DZ10" s="57">
        <f>'REG y VAL POE - AESR - ESR'!AP571</f>
        <v>0</v>
      </c>
      <c r="EA10" s="57">
        <f>'REG y VAL POE - AESR - ESR'!AQ571</f>
        <v>0</v>
      </c>
      <c r="EB10" s="57">
        <f>'REG y VAL POE - AESR - ESR'!AR571</f>
        <v>0</v>
      </c>
      <c r="EC10" s="56">
        <f>'REG y VAL POE - AESR - ESR'!AS571</f>
        <v>0</v>
      </c>
      <c r="ED10" s="57" t="str">
        <f>'REG y VAL POE - AESR - ESR'!B572</f>
        <v>Ocampo Montejo Marcela</v>
      </c>
      <c r="EE10" s="56" t="str">
        <f>'REG y VAL POE - AESR - ESR'!C572</f>
        <v>POE</v>
      </c>
      <c r="EF10" s="56">
        <f>'REG y VAL POE - AESR - ESR'!D572</f>
        <v>23223391</v>
      </c>
      <c r="EG10" s="57">
        <f>'REG y VAL POE - AESR - ESR'!E572</f>
        <v>0</v>
      </c>
      <c r="EH10" s="58">
        <f>'REG y VAL POE - AESR - ESR'!F572</f>
        <v>0</v>
      </c>
      <c r="EI10" s="56">
        <f>'REG y VAL POE - AESR - ESR'!G572</f>
        <v>45360</v>
      </c>
      <c r="EJ10" s="57">
        <f>'REG y VAL POE - AESR - ESR'!H572</f>
        <v>45725</v>
      </c>
      <c r="EK10" s="57">
        <f>'REG y VAL POE - AESR - ESR'!I572</f>
        <v>0</v>
      </c>
      <c r="EL10" s="57">
        <f>'REG y VAL POE - AESR - ESR'!J572</f>
        <v>0</v>
      </c>
      <c r="EM10" s="56">
        <f>'REG y VAL POE - AESR - ESR'!K572</f>
        <v>0</v>
      </c>
      <c r="EN10" s="57">
        <f>'REG y VAL POE - AESR - ESR'!L572</f>
        <v>0</v>
      </c>
      <c r="EO10" s="57" t="str">
        <f>'REG y VAL POE - AESR - ESR'!M572</f>
        <v>NO</v>
      </c>
      <c r="EP10" s="56" t="str">
        <f>'REG y VAL POE - AESR - ESR'!N572</f>
        <v>FIRMADO POR ESE Y NO POR RL</v>
      </c>
      <c r="EQ10" s="57" t="str">
        <f>'REG y VAL POE - AESR - ESR'!O572</f>
        <v>SI</v>
      </c>
      <c r="ER10" s="58">
        <f>'REG y VAL POE - AESR - ESR'!P572</f>
        <v>0</v>
      </c>
      <c r="ES10" s="56" t="str">
        <f>'REG y VAL POE - AESR - ESR'!Q572</f>
        <v>SI</v>
      </c>
      <c r="ET10" s="57" t="str">
        <f>'REG y VAL POE - AESR - ESR'!R572</f>
        <v>SI</v>
      </c>
      <c r="EU10" s="57">
        <f>'REG y VAL POE - AESR - ESR'!S572</f>
        <v>0</v>
      </c>
      <c r="EV10" s="57">
        <f>'REG y VAL POE - AESR - ESR'!T572</f>
        <v>0</v>
      </c>
      <c r="EW10" s="56">
        <f>'REG y VAL POE - AESR - ESR'!U572</f>
        <v>0</v>
      </c>
      <c r="EX10" s="57" t="str">
        <f>'REG y VAL POE - AESR - ESR'!V572</f>
        <v>SI</v>
      </c>
      <c r="EY10" s="57">
        <f>'REG y VAL POE - AESR - ESR'!W572</f>
        <v>0</v>
      </c>
      <c r="EZ10" s="56">
        <f>'REG y VAL POE - AESR - ESR'!X572</f>
        <v>0</v>
      </c>
      <c r="FA10" s="57">
        <f>'REG y VAL POE - AESR - ESR'!Y572</f>
        <v>0</v>
      </c>
      <c r="FB10" s="58">
        <f>'REG y VAL POE - AESR - ESR'!Z572</f>
        <v>0</v>
      </c>
      <c r="FC10" s="56">
        <f>'REG y VAL POE - AESR - ESR'!AA572</f>
        <v>0</v>
      </c>
      <c r="FD10" s="57">
        <f>'REG y VAL POE - AESR - ESR'!AB572</f>
        <v>0</v>
      </c>
      <c r="FE10" s="57">
        <f>'REG y VAL POE - AESR - ESR'!AC572</f>
        <v>0</v>
      </c>
      <c r="FF10" s="57">
        <f>'REG y VAL POE - AESR - ESR'!AD572</f>
        <v>0</v>
      </c>
      <c r="FG10" s="56">
        <f>'REG y VAL POE - AESR - ESR'!AE572</f>
        <v>0</v>
      </c>
      <c r="FH10" s="57" t="str">
        <f>'REG y VAL POE - AESR - ESR'!AF572</f>
        <v>SI</v>
      </c>
      <c r="FI10" s="57">
        <f>'REG y VAL POE - AESR - ESR'!AG572</f>
        <v>0</v>
      </c>
      <c r="FJ10" s="56">
        <f>'REG y VAL POE - AESR - ESR'!AH572</f>
        <v>0</v>
      </c>
      <c r="FK10" s="57">
        <f>'REG y VAL POE - AESR - ESR'!AI572</f>
        <v>0</v>
      </c>
      <c r="FL10" s="58">
        <f>'REG y VAL POE - AESR - ESR'!AJ572</f>
        <v>0</v>
      </c>
      <c r="FM10" s="56">
        <f>'REG y VAL POE - AESR - ESR'!AK572</f>
        <v>0</v>
      </c>
      <c r="FN10" s="57">
        <f>'REG y VAL POE - AESR - ESR'!AL572</f>
        <v>0</v>
      </c>
      <c r="FO10" s="57">
        <f>'REG y VAL POE - AESR - ESR'!AM572</f>
        <v>0</v>
      </c>
      <c r="FP10" s="57">
        <f>'REG y VAL POE - AESR - ESR'!AN572</f>
        <v>0</v>
      </c>
      <c r="FQ10" s="56">
        <f>'REG y VAL POE - AESR - ESR'!AO572</f>
        <v>0</v>
      </c>
      <c r="FR10" s="57" t="str">
        <f>'REG y VAL POE - AESR - ESR'!AP572</f>
        <v>SI</v>
      </c>
      <c r="FS10" s="57">
        <f>'REG y VAL POE - AESR - ESR'!AQ572</f>
        <v>0</v>
      </c>
      <c r="FT10" s="56" t="str">
        <f>'REG y VAL POE - AESR - ESR'!AR572</f>
        <v>THSCAN</v>
      </c>
      <c r="FU10" s="57">
        <f>'REG y VAL POE - AESR - ESR'!AS572</f>
        <v>0</v>
      </c>
      <c r="FV10" s="58" t="str">
        <f>'REG y VAL POE - AESR - ESR'!B573</f>
        <v>Perez Leyva Jose Alfredo</v>
      </c>
      <c r="FW10" s="56">
        <f>'REG y VAL POE - AESR - ESR'!C573</f>
        <v>0</v>
      </c>
      <c r="FX10" s="57">
        <f>'REG y VAL POE - AESR - ESR'!D573</f>
        <v>23157156</v>
      </c>
      <c r="FY10" s="57">
        <f>'REG y VAL POE - AESR - ESR'!E573</f>
        <v>0</v>
      </c>
      <c r="FZ10" s="57">
        <f>'REG y VAL POE - AESR - ESR'!F573</f>
        <v>0</v>
      </c>
      <c r="GA10" s="56">
        <f>'REG y VAL POE - AESR - ESR'!G573</f>
        <v>45359</v>
      </c>
      <c r="GB10" s="57">
        <f>'REG y VAL POE - AESR - ESR'!H573</f>
        <v>45724</v>
      </c>
      <c r="GC10" s="57" t="str">
        <f>'REG y VAL POE - AESR - ESR'!I573</f>
        <v>SI</v>
      </c>
      <c r="GD10" s="56" t="str">
        <f>'REG y VAL POE - AESR - ESR'!J573</f>
        <v>Vigente</v>
      </c>
      <c r="GE10" s="57" t="str">
        <f>'REG y VAL POE - AESR - ESR'!K573</f>
        <v>SI</v>
      </c>
      <c r="GF10" s="58" t="str">
        <f>'REG y VAL POE - AESR - ESR'!L573</f>
        <v>Vigente</v>
      </c>
      <c r="GG10" s="56" t="str">
        <f>'REG y VAL POE - AESR - ESR'!M573</f>
        <v>NO</v>
      </c>
      <c r="GH10" s="57" t="str">
        <f>'REG y VAL POE - AESR - ESR'!N573</f>
        <v>APENDICES LLENOS PERO FIRMADOS X ESR</v>
      </c>
      <c r="GI10" s="57" t="str">
        <f>'REG y VAL POE - AESR - ESR'!O573</f>
        <v>SI</v>
      </c>
      <c r="GJ10" s="57">
        <f>'REG y VAL POE - AESR - ESR'!P573</f>
        <v>0</v>
      </c>
      <c r="GK10" s="56">
        <f>'REG y VAL POE - AESR - ESR'!Q573</f>
        <v>0</v>
      </c>
      <c r="GL10" s="57" t="str">
        <f>'REG y VAL POE - AESR - ESR'!R573</f>
        <v>SI</v>
      </c>
      <c r="GM10" s="57" t="str">
        <f>'REG y VAL POE - AESR - ESR'!S573</f>
        <v>SI</v>
      </c>
      <c r="GN10" s="56" t="str">
        <f>'REG y VAL POE - AESR - ESR'!T573</f>
        <v>SI</v>
      </c>
      <c r="GO10" s="57" t="str">
        <f>'REG y VAL POE - AESR - ESR'!U573</f>
        <v>NO</v>
      </c>
      <c r="GP10" s="58" t="str">
        <f>'REG y VAL POE - AESR - ESR'!V573</f>
        <v>SI</v>
      </c>
      <c r="GQ10" s="56">
        <f>'REG y VAL POE - AESR - ESR'!W573</f>
        <v>0</v>
      </c>
      <c r="GR10" s="57">
        <f>'REG y VAL POE - AESR - ESR'!X573</f>
        <v>0</v>
      </c>
      <c r="GS10" s="57">
        <f>'REG y VAL POE - AESR - ESR'!Y573</f>
        <v>0</v>
      </c>
      <c r="GT10" s="57" t="str">
        <f>'REG y VAL POE - AESR - ESR'!Z573</f>
        <v>SI</v>
      </c>
      <c r="GU10" s="56">
        <f>'REG y VAL POE - AESR - ESR'!AA573</f>
        <v>0</v>
      </c>
      <c r="GV10" s="57">
        <f>'REG y VAL POE - AESR - ESR'!AB573</f>
        <v>0</v>
      </c>
      <c r="GW10" s="57">
        <f>'REG y VAL POE - AESR - ESR'!AC573</f>
        <v>0</v>
      </c>
      <c r="GX10" s="56">
        <f>'REG y VAL POE - AESR - ESR'!AD573</f>
        <v>0</v>
      </c>
      <c r="GY10" s="57">
        <f>'REG y VAL POE - AESR - ESR'!AE573</f>
        <v>0</v>
      </c>
      <c r="GZ10" s="58">
        <f>'REG y VAL POE - AESR - ESR'!AF573</f>
        <v>0</v>
      </c>
      <c r="HA10" s="56" t="str">
        <f>'REG y VAL POE - AESR - ESR'!AG573</f>
        <v>SI</v>
      </c>
      <c r="HB10" s="57">
        <f>'REG y VAL POE - AESR - ESR'!AH573</f>
        <v>0</v>
      </c>
      <c r="HC10" s="57">
        <f>'REG y VAL POE - AESR - ESR'!AI573</f>
        <v>0</v>
      </c>
      <c r="HD10" s="57">
        <f>'REG y VAL POE - AESR - ESR'!AJ573</f>
        <v>0</v>
      </c>
      <c r="HE10" s="56">
        <f>'REG y VAL POE - AESR - ESR'!AK573</f>
        <v>0</v>
      </c>
      <c r="HF10" s="57">
        <f>'REG y VAL POE - AESR - ESR'!AL573</f>
        <v>0</v>
      </c>
      <c r="HG10" s="57">
        <f>'REG y VAL POE - AESR - ESR'!AM573</f>
        <v>0</v>
      </c>
      <c r="HH10" s="56">
        <f>'REG y VAL POE - AESR - ESR'!AN573</f>
        <v>0</v>
      </c>
      <c r="HI10" s="57">
        <f>'REG y VAL POE - AESR - ESR'!AO573</f>
        <v>0</v>
      </c>
      <c r="HJ10" s="58">
        <f>'REG y VAL POE - AESR - ESR'!AP573</f>
        <v>0</v>
      </c>
      <c r="HK10" s="56">
        <f>'REG y VAL POE - AESR - ESR'!AQ573</f>
        <v>0</v>
      </c>
      <c r="HL10" s="57">
        <f>'REG y VAL POE - AESR - ESR'!AR573</f>
        <v>0</v>
      </c>
      <c r="HM10" s="57">
        <f>'REG y VAL POE - AESR - ESR'!AS573</f>
        <v>0</v>
      </c>
      <c r="HN10" s="57">
        <f>'REG y VAL POE - AESR - ESR'!B574</f>
        <v>0</v>
      </c>
      <c r="HO10" s="56">
        <f>'REG y VAL POE - AESR - ESR'!C574</f>
        <v>0</v>
      </c>
      <c r="HP10" s="57">
        <f>'REG y VAL POE - AESR - ESR'!D574</f>
        <v>0</v>
      </c>
      <c r="HQ10" s="57">
        <f>'REG y VAL POE - AESR - ESR'!E574</f>
        <v>0</v>
      </c>
      <c r="HR10" s="56">
        <f>'REG y VAL POE - AESR - ESR'!F574</f>
        <v>0</v>
      </c>
      <c r="HS10" s="57">
        <f>'REG y VAL POE - AESR - ESR'!G574</f>
        <v>0</v>
      </c>
      <c r="HT10" s="58">
        <f>'REG y VAL POE - AESR - ESR'!H574</f>
        <v>0</v>
      </c>
      <c r="HU10" s="56">
        <f>'REG y VAL POE - AESR - ESR'!I574</f>
        <v>0</v>
      </c>
      <c r="HV10" s="57">
        <f>'REG y VAL POE - AESR - ESR'!J574</f>
        <v>0</v>
      </c>
      <c r="HW10" s="57">
        <f>'REG y VAL POE - AESR - ESR'!K574</f>
        <v>0</v>
      </c>
      <c r="HX10" s="57">
        <f>'REG y VAL POE - AESR - ESR'!L574</f>
        <v>0</v>
      </c>
      <c r="HY10" s="56">
        <f>'REG y VAL POE - AESR - ESR'!M574</f>
        <v>0</v>
      </c>
      <c r="HZ10" s="57">
        <f>'REG y VAL POE - AESR - ESR'!N574</f>
        <v>0</v>
      </c>
      <c r="IA10" s="57">
        <f>'REG y VAL POE - AESR - ESR'!O574</f>
        <v>0</v>
      </c>
      <c r="IB10" s="56">
        <f>'REG y VAL POE - AESR - ESR'!P574</f>
        <v>0</v>
      </c>
      <c r="IC10" s="57">
        <f>'REG y VAL POE - AESR - ESR'!Q574</f>
        <v>0</v>
      </c>
      <c r="ID10" s="58">
        <f>'REG y VAL POE - AESR - ESR'!R574</f>
        <v>0</v>
      </c>
      <c r="IE10" s="56">
        <f>'REG y VAL POE - AESR - ESR'!S574</f>
        <v>0</v>
      </c>
      <c r="IF10" s="57">
        <f>'REG y VAL POE - AESR - ESR'!T574</f>
        <v>0</v>
      </c>
      <c r="IG10" s="57">
        <f>'REG y VAL POE - AESR - ESR'!U574</f>
        <v>0</v>
      </c>
      <c r="IH10" s="57">
        <f>'REG y VAL POE - AESR - ESR'!V574</f>
        <v>0</v>
      </c>
      <c r="II10" s="56">
        <f>'REG y VAL POE - AESR - ESR'!W574</f>
        <v>0</v>
      </c>
      <c r="IJ10" s="57">
        <f>'REG y VAL POE - AESR - ESR'!X574</f>
        <v>0</v>
      </c>
      <c r="IK10" s="57">
        <f>'REG y VAL POE - AESR - ESR'!Y574</f>
        <v>0</v>
      </c>
      <c r="IL10" s="56">
        <f>'REG y VAL POE - AESR - ESR'!Z574</f>
        <v>0</v>
      </c>
      <c r="IM10" s="57">
        <f>'REG y VAL POE - AESR - ESR'!AA574</f>
        <v>0</v>
      </c>
      <c r="IN10" s="58">
        <f>'REG y VAL POE - AESR - ESR'!AB574</f>
        <v>0</v>
      </c>
      <c r="IO10" s="56">
        <f>'REG y VAL POE - AESR - ESR'!AC574</f>
        <v>0</v>
      </c>
      <c r="IP10" s="57">
        <f>'REG y VAL POE - AESR - ESR'!AD574</f>
        <v>0</v>
      </c>
      <c r="IQ10" s="57">
        <f>'REG y VAL POE - AESR - ESR'!AE574</f>
        <v>0</v>
      </c>
      <c r="IR10" s="57">
        <f>'REG y VAL POE - AESR - ESR'!AF574</f>
        <v>0</v>
      </c>
      <c r="IS10" s="56">
        <f>'REG y VAL POE - AESR - ESR'!AG574</f>
        <v>0</v>
      </c>
      <c r="IT10" s="57">
        <f>'REG y VAL POE - AESR - ESR'!AH574</f>
        <v>0</v>
      </c>
      <c r="IU10" s="57">
        <f>'REG y VAL POE - AESR - ESR'!AI574</f>
        <v>0</v>
      </c>
      <c r="IV10" s="56">
        <f>'REG y VAL POE - AESR - ESR'!AJ574</f>
        <v>0</v>
      </c>
      <c r="IW10" s="57">
        <f>'REG y VAL POE - AESR - ESR'!AK574</f>
        <v>0</v>
      </c>
      <c r="IX10" s="58">
        <f>'REG y VAL POE - AESR - ESR'!AL574</f>
        <v>0</v>
      </c>
      <c r="IY10" s="56">
        <f>'REG y VAL POE - AESR - ESR'!AM574</f>
        <v>0</v>
      </c>
      <c r="IZ10" s="57">
        <f>'REG y VAL POE - AESR - ESR'!AN574</f>
        <v>0</v>
      </c>
      <c r="JA10" s="57">
        <f>'REG y VAL POE - AESR - ESR'!AO574</f>
        <v>0</v>
      </c>
      <c r="JB10" s="57">
        <f>'REG y VAL POE - AESR - ESR'!AP574</f>
        <v>0</v>
      </c>
      <c r="JC10" s="56">
        <f>'REG y VAL POE - AESR - ESR'!AQ574</f>
        <v>0</v>
      </c>
      <c r="JD10" s="57">
        <f>'REG y VAL POE - AESR - ESR'!AR574</f>
        <v>0</v>
      </c>
      <c r="JE10" s="57">
        <f>'REG y VAL POE - AESR - ESR'!AS574</f>
        <v>0</v>
      </c>
      <c r="JF10" s="56">
        <f>'REG y VAL POE - AESR - ESR'!B575</f>
        <v>0</v>
      </c>
      <c r="JG10" s="57">
        <f>'REG y VAL POE - AESR - ESR'!C575</f>
        <v>0</v>
      </c>
      <c r="JH10" s="58">
        <f>'REG y VAL POE - AESR - ESR'!D575</f>
        <v>0</v>
      </c>
      <c r="JI10" s="56">
        <f>'REG y VAL POE - AESR - ESR'!E575</f>
        <v>0</v>
      </c>
      <c r="JJ10" s="57">
        <f>'REG y VAL POE - AESR - ESR'!F575</f>
        <v>0</v>
      </c>
      <c r="JK10" s="57">
        <f>'REG y VAL POE - AESR - ESR'!G575</f>
        <v>0</v>
      </c>
      <c r="JL10" s="57">
        <f>'REG y VAL POE - AESR - ESR'!H575</f>
        <v>0</v>
      </c>
      <c r="JM10" s="56">
        <f>'REG y VAL POE - AESR - ESR'!I575</f>
        <v>0</v>
      </c>
      <c r="JN10" s="57">
        <f>'REG y VAL POE - AESR - ESR'!J575</f>
        <v>0</v>
      </c>
      <c r="JO10" s="57">
        <f>'REG y VAL POE - AESR - ESR'!K575</f>
        <v>0</v>
      </c>
      <c r="JP10" s="56">
        <f>'REG y VAL POE - AESR - ESR'!L575</f>
        <v>0</v>
      </c>
      <c r="JQ10" s="57">
        <f>'REG y VAL POE - AESR - ESR'!M575</f>
        <v>0</v>
      </c>
      <c r="JR10" s="58">
        <f>'REG y VAL POE - AESR - ESR'!N575</f>
        <v>0</v>
      </c>
      <c r="JS10" s="56">
        <f>'REG y VAL POE - AESR - ESR'!O575</f>
        <v>0</v>
      </c>
      <c r="JT10" s="57">
        <f>'REG y VAL POE - AESR - ESR'!P575</f>
        <v>0</v>
      </c>
      <c r="JU10" s="57">
        <f>'REG y VAL POE - AESR - ESR'!Q575</f>
        <v>0</v>
      </c>
      <c r="JV10" s="57">
        <f>'REG y VAL POE - AESR - ESR'!R575</f>
        <v>0</v>
      </c>
      <c r="JW10" s="56">
        <f>'REG y VAL POE - AESR - ESR'!S575</f>
        <v>0</v>
      </c>
      <c r="JX10" s="57">
        <f>'REG y VAL POE - AESR - ESR'!T575</f>
        <v>0</v>
      </c>
      <c r="JY10" s="57">
        <f>'REG y VAL POE - AESR - ESR'!U575</f>
        <v>0</v>
      </c>
      <c r="JZ10" s="56">
        <f>'REG y VAL POE - AESR - ESR'!V575</f>
        <v>0</v>
      </c>
      <c r="KA10" s="57">
        <f>'REG y VAL POE - AESR - ESR'!W575</f>
        <v>0</v>
      </c>
      <c r="KB10" s="58">
        <f>'REG y VAL POE - AESR - ESR'!X575</f>
        <v>0</v>
      </c>
      <c r="KC10" s="56">
        <f>'REG y VAL POE - AESR - ESR'!Y575</f>
        <v>0</v>
      </c>
      <c r="KD10" s="57">
        <f>'REG y VAL POE - AESR - ESR'!Z575</f>
        <v>0</v>
      </c>
      <c r="KE10" s="57">
        <f>'REG y VAL POE - AESR - ESR'!AA575</f>
        <v>0</v>
      </c>
      <c r="KF10" s="57">
        <f>'REG y VAL POE - AESR - ESR'!AB575</f>
        <v>0</v>
      </c>
      <c r="KG10" s="56">
        <f>'REG y VAL POE - AESR - ESR'!AC575</f>
        <v>0</v>
      </c>
      <c r="KH10" s="57">
        <f>'REG y VAL POE - AESR - ESR'!AD575</f>
        <v>0</v>
      </c>
      <c r="KI10" s="57">
        <f>'REG y VAL POE - AESR - ESR'!AE575</f>
        <v>0</v>
      </c>
      <c r="KJ10" s="56">
        <f>'REG y VAL POE - AESR - ESR'!AF575</f>
        <v>0</v>
      </c>
      <c r="KK10" s="57">
        <f>'REG y VAL POE - AESR - ESR'!AG575</f>
        <v>0</v>
      </c>
      <c r="KL10" s="58">
        <f>'REG y VAL POE - AESR - ESR'!AH575</f>
        <v>0</v>
      </c>
      <c r="KM10" s="56">
        <f>'REG y VAL POE - AESR - ESR'!AI575</f>
        <v>0</v>
      </c>
      <c r="KN10" s="57">
        <f>'REG y VAL POE - AESR - ESR'!AJ575</f>
        <v>0</v>
      </c>
      <c r="KO10" s="57">
        <f>'REG y VAL POE - AESR - ESR'!AK575</f>
        <v>0</v>
      </c>
      <c r="KP10" s="57">
        <f>'REG y VAL POE - AESR - ESR'!AL575</f>
        <v>0</v>
      </c>
      <c r="KQ10" s="56">
        <f>'REG y VAL POE - AESR - ESR'!AM575</f>
        <v>0</v>
      </c>
      <c r="KR10" s="57">
        <f>'REG y VAL POE - AESR - ESR'!AN575</f>
        <v>0</v>
      </c>
      <c r="KS10" s="57">
        <f>'REG y VAL POE - AESR - ESR'!AO575</f>
        <v>0</v>
      </c>
      <c r="KT10" s="56">
        <f>'REG y VAL POE - AESR - ESR'!AP575</f>
        <v>0</v>
      </c>
      <c r="KU10" s="57">
        <f>'REG y VAL POE - AESR - ESR'!AQ575</f>
        <v>0</v>
      </c>
      <c r="KV10" s="58">
        <f>'REG y VAL POE - AESR - ESR'!AR575</f>
        <v>0</v>
      </c>
      <c r="KW10" s="56">
        <f>'REG y VAL POE - AESR - ESR'!AS575</f>
        <v>0</v>
      </c>
      <c r="KX10" s="57">
        <f>'REG y VAL POE - AESR - ESR'!B576</f>
        <v>0</v>
      </c>
      <c r="KY10" s="57">
        <f>'REG y VAL POE - AESR - ESR'!C576</f>
        <v>0</v>
      </c>
      <c r="KZ10" s="57">
        <f>'REG y VAL POE - AESR - ESR'!D576</f>
        <v>0</v>
      </c>
      <c r="LA10" s="56">
        <f>'REG y VAL POE - AESR - ESR'!E576</f>
        <v>0</v>
      </c>
      <c r="LB10" s="57">
        <f>'REG y VAL POE - AESR - ESR'!F576</f>
        <v>0</v>
      </c>
      <c r="LC10" s="57">
        <f>'REG y VAL POE - AESR - ESR'!G576</f>
        <v>0</v>
      </c>
      <c r="LD10" s="56">
        <f>'REG y VAL POE - AESR - ESR'!H576</f>
        <v>0</v>
      </c>
      <c r="LE10" s="57">
        <f>'REG y VAL POE - AESR - ESR'!I576</f>
        <v>0</v>
      </c>
      <c r="LF10" s="58">
        <f>'REG y VAL POE - AESR - ESR'!J576</f>
        <v>0</v>
      </c>
      <c r="LG10" s="56">
        <f>'REG y VAL POE - AESR - ESR'!K576</f>
        <v>0</v>
      </c>
      <c r="LH10" s="57">
        <f>'REG y VAL POE - AESR - ESR'!L576</f>
        <v>0</v>
      </c>
      <c r="LI10" s="57">
        <f>'REG y VAL POE - AESR - ESR'!M576</f>
        <v>0</v>
      </c>
      <c r="LJ10" s="57">
        <f>'REG y VAL POE - AESR - ESR'!N576</f>
        <v>0</v>
      </c>
      <c r="LK10" s="56">
        <f>'REG y VAL POE - AESR - ESR'!O576</f>
        <v>0</v>
      </c>
      <c r="LL10" s="57">
        <f>'REG y VAL POE - AESR - ESR'!P576</f>
        <v>0</v>
      </c>
      <c r="LM10" s="57">
        <f>'REG y VAL POE - AESR - ESR'!Q576</f>
        <v>0</v>
      </c>
      <c r="LN10" s="56">
        <f>'REG y VAL POE - AESR - ESR'!R576</f>
        <v>0</v>
      </c>
      <c r="LO10" s="57">
        <f>'REG y VAL POE - AESR - ESR'!S576</f>
        <v>0</v>
      </c>
      <c r="LP10" s="58">
        <f>'REG y VAL POE - AESR - ESR'!T576</f>
        <v>0</v>
      </c>
      <c r="LQ10" s="56">
        <f>'REG y VAL POE - AESR - ESR'!U576</f>
        <v>0</v>
      </c>
      <c r="LR10" s="57">
        <f>'REG y VAL POE - AESR - ESR'!V576</f>
        <v>0</v>
      </c>
      <c r="LS10" s="57">
        <f>'REG y VAL POE - AESR - ESR'!W576</f>
        <v>0</v>
      </c>
      <c r="LT10" s="57">
        <f>'REG y VAL POE - AESR - ESR'!X576</f>
        <v>0</v>
      </c>
      <c r="LU10" s="56">
        <f>'REG y VAL POE - AESR - ESR'!Y576</f>
        <v>0</v>
      </c>
      <c r="LV10" s="57">
        <f>'REG y VAL POE - AESR - ESR'!Z576</f>
        <v>0</v>
      </c>
      <c r="LW10" s="57">
        <f>'REG y VAL POE - AESR - ESR'!AA576</f>
        <v>0</v>
      </c>
      <c r="LX10" s="56">
        <f>'REG y VAL POE - AESR - ESR'!AB576</f>
        <v>0</v>
      </c>
      <c r="LY10" s="57">
        <f>'REG y VAL POE - AESR - ESR'!AC576</f>
        <v>0</v>
      </c>
      <c r="LZ10" s="58">
        <f>'REG y VAL POE - AESR - ESR'!AD576</f>
        <v>0</v>
      </c>
      <c r="MA10" s="56">
        <f>'REG y VAL POE - AESR - ESR'!AE576</f>
        <v>0</v>
      </c>
      <c r="MB10" s="57">
        <f>'REG y VAL POE - AESR - ESR'!AF576</f>
        <v>0</v>
      </c>
      <c r="MC10" s="57">
        <f>'REG y VAL POE - AESR - ESR'!AG576</f>
        <v>0</v>
      </c>
      <c r="MD10" s="57">
        <f>'REG y VAL POE - AESR - ESR'!AH576</f>
        <v>0</v>
      </c>
      <c r="ME10" s="56">
        <f>'REG y VAL POE - AESR - ESR'!AI576</f>
        <v>0</v>
      </c>
      <c r="MF10" s="57">
        <f>'REG y VAL POE - AESR - ESR'!AJ576</f>
        <v>0</v>
      </c>
      <c r="MG10" s="57">
        <f>'REG y VAL POE - AESR - ESR'!AK576</f>
        <v>0</v>
      </c>
      <c r="MH10" s="56">
        <f>'REG y VAL POE - AESR - ESR'!AL576</f>
        <v>0</v>
      </c>
      <c r="MI10" s="57">
        <f>'REG y VAL POE - AESR - ESR'!AM576</f>
        <v>0</v>
      </c>
      <c r="MJ10" s="58">
        <f>'REG y VAL POE - AESR - ESR'!AN576</f>
        <v>0</v>
      </c>
      <c r="MK10" s="56">
        <f>'REG y VAL POE - AESR - ESR'!AO576</f>
        <v>0</v>
      </c>
      <c r="ML10" s="57">
        <f>'REG y VAL POE - AESR - ESR'!AP576</f>
        <v>0</v>
      </c>
      <c r="MM10" s="57">
        <f>'REG y VAL POE - AESR - ESR'!AQ576</f>
        <v>0</v>
      </c>
      <c r="MN10" s="57">
        <f>'REG y VAL POE - AESR - ESR'!AR576</f>
        <v>0</v>
      </c>
      <c r="MO10" s="56">
        <f>'REG y VAL POE - AESR - ESR'!AS576</f>
        <v>0</v>
      </c>
      <c r="MP10" s="57">
        <f>'REG y VAL POE - AESR - ESR'!B577</f>
        <v>0</v>
      </c>
      <c r="MQ10" s="57">
        <f>'REG y VAL POE - AESR - ESR'!C577</f>
        <v>0</v>
      </c>
      <c r="MR10" s="56">
        <f>'REG y VAL POE - AESR - ESR'!D577</f>
        <v>0</v>
      </c>
      <c r="MS10" s="57">
        <f>'REG y VAL POE - AESR - ESR'!E577</f>
        <v>0</v>
      </c>
      <c r="MT10" s="58">
        <f>'REG y VAL POE - AESR - ESR'!F577</f>
        <v>0</v>
      </c>
      <c r="MU10" s="56">
        <f>'REG y VAL POE - AESR - ESR'!G577</f>
        <v>0</v>
      </c>
      <c r="MV10" s="57">
        <f>'REG y VAL POE - AESR - ESR'!H577</f>
        <v>0</v>
      </c>
      <c r="MW10" s="57">
        <f>'REG y VAL POE - AESR - ESR'!I577</f>
        <v>0</v>
      </c>
      <c r="MX10" s="57">
        <f>'REG y VAL POE - AESR - ESR'!J577</f>
        <v>0</v>
      </c>
      <c r="MY10" s="56">
        <f>'REG y VAL POE - AESR - ESR'!K577</f>
        <v>0</v>
      </c>
      <c r="MZ10" s="57">
        <f>'REG y VAL POE - AESR - ESR'!L577</f>
        <v>0</v>
      </c>
      <c r="NA10" s="57">
        <f>'REG y VAL POE - AESR - ESR'!M577</f>
        <v>0</v>
      </c>
      <c r="NB10" s="56">
        <f>'REG y VAL POE - AESR - ESR'!N577</f>
        <v>0</v>
      </c>
      <c r="NC10" s="57">
        <f>'REG y VAL POE - AESR - ESR'!O577</f>
        <v>0</v>
      </c>
      <c r="ND10" s="58">
        <f>'REG y VAL POE - AESR - ESR'!P577</f>
        <v>0</v>
      </c>
      <c r="NE10" s="56">
        <f>'REG y VAL POE - AESR - ESR'!Q577</f>
        <v>0</v>
      </c>
      <c r="NF10" s="57">
        <f>'REG y VAL POE - AESR - ESR'!R577</f>
        <v>0</v>
      </c>
      <c r="NG10" s="57">
        <f>'REG y VAL POE - AESR - ESR'!S577</f>
        <v>0</v>
      </c>
      <c r="NH10" s="57">
        <f>'REG y VAL POE - AESR - ESR'!T577</f>
        <v>0</v>
      </c>
      <c r="NI10" s="56">
        <f>'REG y VAL POE - AESR - ESR'!U577</f>
        <v>0</v>
      </c>
      <c r="NJ10" s="57">
        <f>'REG y VAL POE - AESR - ESR'!V577</f>
        <v>0</v>
      </c>
      <c r="NK10" s="57">
        <f>'REG y VAL POE - AESR - ESR'!W577</f>
        <v>0</v>
      </c>
      <c r="NL10" s="56">
        <f>'REG y VAL POE - AESR - ESR'!X577</f>
        <v>0</v>
      </c>
      <c r="NM10" s="57">
        <f>'REG y VAL POE - AESR - ESR'!Y577</f>
        <v>0</v>
      </c>
      <c r="NN10" s="58">
        <f>'REG y VAL POE - AESR - ESR'!Z577</f>
        <v>0</v>
      </c>
      <c r="NO10" s="56">
        <f>'REG y VAL POE - AESR - ESR'!AA577</f>
        <v>0</v>
      </c>
      <c r="NP10" s="57">
        <f>'REG y VAL POE - AESR - ESR'!AB577</f>
        <v>0</v>
      </c>
      <c r="NQ10" s="57">
        <f>'REG y VAL POE - AESR - ESR'!AC577</f>
        <v>0</v>
      </c>
      <c r="NR10" s="57">
        <f>'REG y VAL POE - AESR - ESR'!AD577</f>
        <v>0</v>
      </c>
      <c r="NS10" s="56">
        <f>'REG y VAL POE - AESR - ESR'!AE577</f>
        <v>0</v>
      </c>
      <c r="NT10" s="57">
        <f>'REG y VAL POE - AESR - ESR'!AF577</f>
        <v>0</v>
      </c>
      <c r="NU10" s="57">
        <f>'REG y VAL POE - AESR - ESR'!AG577</f>
        <v>0</v>
      </c>
      <c r="NV10" s="56">
        <f>'REG y VAL POE - AESR - ESR'!AH577</f>
        <v>0</v>
      </c>
      <c r="NW10" s="57">
        <f>'REG y VAL POE - AESR - ESR'!AI577</f>
        <v>0</v>
      </c>
      <c r="NX10" s="58">
        <f>'REG y VAL POE - AESR - ESR'!AJ577</f>
        <v>0</v>
      </c>
      <c r="NY10" s="56">
        <f>'REG y VAL POE - AESR - ESR'!AK577</f>
        <v>0</v>
      </c>
      <c r="NZ10" s="57">
        <f>'REG y VAL POE - AESR - ESR'!AL577</f>
        <v>0</v>
      </c>
      <c r="OA10" s="57">
        <f>'REG y VAL POE - AESR - ESR'!AM577</f>
        <v>0</v>
      </c>
      <c r="OB10" s="57">
        <f>'REG y VAL POE - AESR - ESR'!AN577</f>
        <v>0</v>
      </c>
      <c r="OC10" s="56">
        <f>'REG y VAL POE - AESR - ESR'!AO577</f>
        <v>0</v>
      </c>
      <c r="OD10" s="57">
        <f>'REG y VAL POE - AESR - ESR'!AP577</f>
        <v>0</v>
      </c>
      <c r="OE10" s="57">
        <f>'REG y VAL POE - AESR - ESR'!AQ577</f>
        <v>0</v>
      </c>
      <c r="OF10" s="58">
        <f>'REG y VAL POE - AESR - ESR'!AR577</f>
        <v>0</v>
      </c>
      <c r="OG10" s="58">
        <f>'REG y VAL POE - AESR - ESR'!AS577</f>
        <v>0</v>
      </c>
      <c r="OH10" s="58">
        <f>'REG y VAL POE - AESR - ESR'!B578</f>
        <v>0</v>
      </c>
      <c r="OI10" s="56">
        <f>'REG y VAL POE - AESR - ESR'!C578</f>
        <v>0</v>
      </c>
      <c r="OJ10" s="58">
        <f>'REG y VAL POE - AESR - ESR'!D578</f>
        <v>0</v>
      </c>
      <c r="OK10" s="58">
        <f>'REG y VAL POE - AESR - ESR'!E578</f>
        <v>0</v>
      </c>
      <c r="OL10" s="58">
        <f>'REG y VAL POE - AESR - ESR'!F578</f>
        <v>0</v>
      </c>
      <c r="OM10" s="58">
        <f>'REG y VAL POE - AESR - ESR'!G578</f>
        <v>0</v>
      </c>
      <c r="ON10" s="58">
        <f>'REG y VAL POE - AESR - ESR'!H578</f>
        <v>0</v>
      </c>
      <c r="OO10" s="58">
        <f>'REG y VAL POE - AESR - ESR'!I578</f>
        <v>0</v>
      </c>
      <c r="OP10" s="56">
        <f>'REG y VAL POE - AESR - ESR'!J578</f>
        <v>0</v>
      </c>
      <c r="OQ10" s="57">
        <f>'REG y VAL POE - AESR - ESR'!K578</f>
        <v>0</v>
      </c>
      <c r="OR10" s="58">
        <f>'REG y VAL POE - AESR - ESR'!L578</f>
        <v>0</v>
      </c>
      <c r="OS10" s="56">
        <f>'REG y VAL POE - AESR - ESR'!M578</f>
        <v>0</v>
      </c>
      <c r="OT10" s="57">
        <f>'REG y VAL POE - AESR - ESR'!N578</f>
        <v>0</v>
      </c>
      <c r="OU10" s="57">
        <f>'REG y VAL POE - AESR - ESR'!O578</f>
        <v>0</v>
      </c>
      <c r="OV10" s="57">
        <f>'REG y VAL POE - AESR - ESR'!P578</f>
        <v>0</v>
      </c>
      <c r="OW10" s="56">
        <f>'REG y VAL POE - AESR - ESR'!Q578</f>
        <v>0</v>
      </c>
      <c r="OX10" s="57">
        <f>'REG y VAL POE - AESR - ESR'!R578</f>
        <v>0</v>
      </c>
      <c r="OY10" s="57">
        <f>'REG y VAL POE - AESR - ESR'!S578</f>
        <v>0</v>
      </c>
      <c r="OZ10" s="56">
        <f>'REG y VAL POE - AESR - ESR'!T578</f>
        <v>0</v>
      </c>
      <c r="PA10" s="57">
        <f>'REG y VAL POE - AESR - ESR'!U578</f>
        <v>0</v>
      </c>
      <c r="PB10" s="58">
        <f>'REG y VAL POE - AESR - ESR'!V578</f>
        <v>0</v>
      </c>
      <c r="PC10" s="56">
        <f>'REG y VAL POE - AESR - ESR'!W578</f>
        <v>0</v>
      </c>
      <c r="PD10" s="57">
        <f>'REG y VAL POE - AESR - ESR'!X578</f>
        <v>0</v>
      </c>
      <c r="PE10" s="57">
        <f>'REG y VAL POE - AESR - ESR'!Y578</f>
        <v>0</v>
      </c>
      <c r="PF10" s="57">
        <f>'REG y VAL POE - AESR - ESR'!Z578</f>
        <v>0</v>
      </c>
      <c r="PG10" s="56">
        <f>'REG y VAL POE - AESR - ESR'!AA578</f>
        <v>0</v>
      </c>
      <c r="PH10" s="57">
        <f>'REG y VAL POE - AESR - ESR'!AB578</f>
        <v>0</v>
      </c>
      <c r="PI10" s="57">
        <f>'REG y VAL POE - AESR - ESR'!AC578</f>
        <v>0</v>
      </c>
      <c r="PJ10" s="56">
        <f>'REG y VAL POE - AESR - ESR'!AD578</f>
        <v>0</v>
      </c>
      <c r="PK10" s="57">
        <f>'REG y VAL POE - AESR - ESR'!AE578</f>
        <v>0</v>
      </c>
      <c r="PL10" s="58">
        <f>'REG y VAL POE - AESR - ESR'!AF578</f>
        <v>0</v>
      </c>
      <c r="PM10" s="56">
        <f>'REG y VAL POE - AESR - ESR'!AG578</f>
        <v>0</v>
      </c>
      <c r="PN10" s="57">
        <f>'REG y VAL POE - AESR - ESR'!AH578</f>
        <v>0</v>
      </c>
      <c r="PO10" s="57">
        <f>'REG y VAL POE - AESR - ESR'!AI578</f>
        <v>0</v>
      </c>
      <c r="PP10" s="57">
        <f>'REG y VAL POE - AESR - ESR'!AJ578</f>
        <v>0</v>
      </c>
      <c r="PQ10" s="56">
        <f>'REG y VAL POE - AESR - ESR'!AK578</f>
        <v>0</v>
      </c>
      <c r="PR10" s="57">
        <f>'REG y VAL POE - AESR - ESR'!AL578</f>
        <v>0</v>
      </c>
      <c r="PS10" s="57">
        <f>'REG y VAL POE - AESR - ESR'!AM578</f>
        <v>0</v>
      </c>
      <c r="PT10" s="56">
        <f>'REG y VAL POE - AESR - ESR'!AN578</f>
        <v>0</v>
      </c>
      <c r="PU10" s="57">
        <f>'REG y VAL POE - AESR - ESR'!AO578</f>
        <v>0</v>
      </c>
      <c r="PV10" s="58">
        <f>'REG y VAL POE - AESR - ESR'!AP578</f>
        <v>0</v>
      </c>
      <c r="PW10" s="56">
        <f>'REG y VAL POE - AESR - ESR'!AQ578</f>
        <v>0</v>
      </c>
      <c r="PX10" s="57">
        <f>'REG y VAL POE - AESR - ESR'!AR578</f>
        <v>0</v>
      </c>
      <c r="PY10" s="57">
        <f>'REG y VAL POE - AESR - ESR'!AS578</f>
        <v>0</v>
      </c>
      <c r="PZ10" s="57">
        <f>'REG y VAL POE - AESR - ESR'!B579</f>
        <v>0</v>
      </c>
      <c r="QA10" s="56">
        <f>'REG y VAL POE - AESR - ESR'!C579</f>
        <v>0</v>
      </c>
      <c r="QB10" s="57">
        <f>'REG y VAL POE - AESR - ESR'!D579</f>
        <v>0</v>
      </c>
      <c r="QC10" s="57">
        <f>'REG y VAL POE - AESR - ESR'!E579</f>
        <v>0</v>
      </c>
      <c r="QD10" s="56">
        <f>'REG y VAL POE - AESR - ESR'!F579</f>
        <v>0</v>
      </c>
      <c r="QE10" s="57">
        <f>'REG y VAL POE - AESR - ESR'!G579</f>
        <v>0</v>
      </c>
      <c r="QF10" s="58">
        <f>'REG y VAL POE - AESR - ESR'!H579</f>
        <v>0</v>
      </c>
      <c r="QG10" s="56">
        <f>'REG y VAL POE - AESR - ESR'!I579</f>
        <v>0</v>
      </c>
      <c r="QH10" s="57">
        <f>'REG y VAL POE - AESR - ESR'!J579</f>
        <v>0</v>
      </c>
      <c r="QI10" s="57">
        <f>'REG y VAL POE - AESR - ESR'!K579</f>
        <v>0</v>
      </c>
      <c r="QJ10" s="57">
        <f>'REG y VAL POE - AESR - ESR'!L579</f>
        <v>0</v>
      </c>
      <c r="QK10" s="56">
        <f>'REG y VAL POE - AESR - ESR'!M579</f>
        <v>0</v>
      </c>
      <c r="QL10" s="57">
        <f>'REG y VAL POE - AESR - ESR'!N579</f>
        <v>0</v>
      </c>
      <c r="QM10" s="57">
        <f>'REG y VAL POE - AESR - ESR'!O579</f>
        <v>0</v>
      </c>
      <c r="QN10" s="56">
        <f>'REG y VAL POE - AESR - ESR'!P579</f>
        <v>0</v>
      </c>
      <c r="QO10" s="57">
        <f>'REG y VAL POE - AESR - ESR'!Q579</f>
        <v>0</v>
      </c>
      <c r="QP10" s="58">
        <f>'REG y VAL POE - AESR - ESR'!R579</f>
        <v>0</v>
      </c>
      <c r="QQ10" s="56">
        <f>'REG y VAL POE - AESR - ESR'!S579</f>
        <v>0</v>
      </c>
      <c r="QR10" s="57">
        <f>'REG y VAL POE - AESR - ESR'!T579</f>
        <v>0</v>
      </c>
      <c r="QS10" s="57">
        <f>'REG y VAL POE - AESR - ESR'!U579</f>
        <v>0</v>
      </c>
      <c r="QT10" s="57">
        <f>'REG y VAL POE - AESR - ESR'!V579</f>
        <v>0</v>
      </c>
      <c r="QU10" s="56">
        <f>'REG y VAL POE - AESR - ESR'!W579</f>
        <v>0</v>
      </c>
      <c r="QV10" s="57">
        <f>'REG y VAL POE - AESR - ESR'!X579</f>
        <v>0</v>
      </c>
      <c r="QW10" s="57">
        <f>'REG y VAL POE - AESR - ESR'!Y579</f>
        <v>0</v>
      </c>
      <c r="QX10" s="56">
        <f>'REG y VAL POE - AESR - ESR'!Z579</f>
        <v>0</v>
      </c>
      <c r="QY10" s="57">
        <f>'REG y VAL POE - AESR - ESR'!AA579</f>
        <v>0</v>
      </c>
      <c r="QZ10" s="58">
        <f>'REG y VAL POE - AESR - ESR'!AB579</f>
        <v>0</v>
      </c>
      <c r="RA10" s="56">
        <f>'REG y VAL POE - AESR - ESR'!AC579</f>
        <v>0</v>
      </c>
      <c r="RB10" s="57">
        <f>'REG y VAL POE - AESR - ESR'!AD579</f>
        <v>0</v>
      </c>
      <c r="RC10" s="57">
        <f>'REG y VAL POE - AESR - ESR'!AE579</f>
        <v>0</v>
      </c>
      <c r="RD10" s="57">
        <f>'REG y VAL POE - AESR - ESR'!AF579</f>
        <v>0</v>
      </c>
      <c r="RE10" s="56">
        <f>'REG y VAL POE - AESR - ESR'!AG579</f>
        <v>0</v>
      </c>
      <c r="RF10" s="57">
        <f>'REG y VAL POE - AESR - ESR'!AH579</f>
        <v>0</v>
      </c>
      <c r="RG10" s="57">
        <f>'REG y VAL POE - AESR - ESR'!AI579</f>
        <v>0</v>
      </c>
      <c r="RH10" s="56">
        <f>'REG y VAL POE - AESR - ESR'!AJ579</f>
        <v>0</v>
      </c>
      <c r="RI10" s="57">
        <f>'REG y VAL POE - AESR - ESR'!AK579</f>
        <v>0</v>
      </c>
      <c r="RJ10" s="58">
        <f>'REG y VAL POE - AESR - ESR'!AL579</f>
        <v>0</v>
      </c>
      <c r="RK10" s="56">
        <f>'REG y VAL POE - AESR - ESR'!AM579</f>
        <v>0</v>
      </c>
      <c r="RL10" s="57">
        <f>'REG y VAL POE - AESR - ESR'!AN579</f>
        <v>0</v>
      </c>
      <c r="RM10" s="57">
        <f>'REG y VAL POE - AESR - ESR'!AO579</f>
        <v>0</v>
      </c>
      <c r="RN10" s="57">
        <f>'REG y VAL POE - AESR - ESR'!AP579</f>
        <v>0</v>
      </c>
      <c r="RO10" s="56">
        <f>'REG y VAL POE - AESR - ESR'!AQ579</f>
        <v>0</v>
      </c>
      <c r="RP10" s="57">
        <f>'REG y VAL POE - AESR - ESR'!AR579</f>
        <v>0</v>
      </c>
      <c r="RQ10" s="57">
        <f>'REG y VAL POE - AESR - ESR'!AS579</f>
        <v>0</v>
      </c>
      <c r="RR10" s="56">
        <f>'REG y VAL POE - AESR - ESR'!B580</f>
        <v>0</v>
      </c>
      <c r="RS10" s="57">
        <f>'REG y VAL POE - AESR - ESR'!C580</f>
        <v>0</v>
      </c>
      <c r="RT10" s="58">
        <f>'REG y VAL POE - AESR - ESR'!D580</f>
        <v>0</v>
      </c>
      <c r="RU10" s="56">
        <f>'REG y VAL POE - AESR - ESR'!E580</f>
        <v>0</v>
      </c>
      <c r="RV10" s="57">
        <f>'REG y VAL POE - AESR - ESR'!F580</f>
        <v>0</v>
      </c>
      <c r="RW10" s="57">
        <f>'REG y VAL POE - AESR - ESR'!G580</f>
        <v>0</v>
      </c>
      <c r="RX10" s="57">
        <f>'REG y VAL POE - AESR - ESR'!H580</f>
        <v>0</v>
      </c>
      <c r="RY10" s="56">
        <f>'REG y VAL POE - AESR - ESR'!I580</f>
        <v>0</v>
      </c>
      <c r="RZ10" s="57">
        <f>'REG y VAL POE - AESR - ESR'!J580</f>
        <v>0</v>
      </c>
      <c r="SA10" s="57">
        <f>'REG y VAL POE - AESR - ESR'!K580</f>
        <v>0</v>
      </c>
      <c r="SB10" s="56">
        <f>'REG y VAL POE - AESR - ESR'!L580</f>
        <v>0</v>
      </c>
      <c r="SC10" s="57">
        <f>'REG y VAL POE - AESR - ESR'!M580</f>
        <v>0</v>
      </c>
      <c r="SD10" s="58">
        <f>'REG y VAL POE - AESR - ESR'!N580</f>
        <v>0</v>
      </c>
      <c r="SE10" s="56">
        <f>'REG y VAL POE - AESR - ESR'!O580</f>
        <v>0</v>
      </c>
      <c r="SF10" s="57">
        <f>'REG y VAL POE - AESR - ESR'!P580</f>
        <v>0</v>
      </c>
      <c r="SG10" s="57">
        <f>'REG y VAL POE - AESR - ESR'!Q580</f>
        <v>0</v>
      </c>
      <c r="SH10" s="57">
        <f>'REG y VAL POE - AESR - ESR'!R580</f>
        <v>0</v>
      </c>
      <c r="SI10" s="56">
        <f>'REG y VAL POE - AESR - ESR'!S580</f>
        <v>0</v>
      </c>
      <c r="SJ10" s="57">
        <f>'REG y VAL POE - AESR - ESR'!T580</f>
        <v>0</v>
      </c>
      <c r="SK10" s="57">
        <f>'REG y VAL POE - AESR - ESR'!U580</f>
        <v>0</v>
      </c>
      <c r="SL10" s="56">
        <f>'REG y VAL POE - AESR - ESR'!V580</f>
        <v>0</v>
      </c>
      <c r="SM10" s="57">
        <f>'REG y VAL POE - AESR - ESR'!W580</f>
        <v>0</v>
      </c>
      <c r="SN10" s="58">
        <f>'REG y VAL POE - AESR - ESR'!X580</f>
        <v>0</v>
      </c>
      <c r="SO10" s="56">
        <f>'REG y VAL POE - AESR - ESR'!Y580</f>
        <v>0</v>
      </c>
      <c r="SP10" s="57">
        <f>'REG y VAL POE - AESR - ESR'!Z580</f>
        <v>0</v>
      </c>
      <c r="SQ10" s="57">
        <f>'REG y VAL POE - AESR - ESR'!AA580</f>
        <v>0</v>
      </c>
      <c r="SR10" s="57">
        <f>'REG y VAL POE - AESR - ESR'!AB580</f>
        <v>0</v>
      </c>
      <c r="SS10" s="56">
        <f>'REG y VAL POE - AESR - ESR'!AC580</f>
        <v>0</v>
      </c>
      <c r="ST10" s="57">
        <f>'REG y VAL POE - AESR - ESR'!AD580</f>
        <v>0</v>
      </c>
      <c r="SU10" s="57">
        <f>'REG y VAL POE - AESR - ESR'!AE580</f>
        <v>0</v>
      </c>
      <c r="SV10" s="56">
        <f>'REG y VAL POE - AESR - ESR'!AF580</f>
        <v>0</v>
      </c>
      <c r="SW10" s="57">
        <f>'REG y VAL POE - AESR - ESR'!AG580</f>
        <v>0</v>
      </c>
      <c r="SX10" s="58">
        <f>'REG y VAL POE - AESR - ESR'!AH580</f>
        <v>0</v>
      </c>
      <c r="SY10" s="56">
        <f>'REG y VAL POE - AESR - ESR'!AI580</f>
        <v>0</v>
      </c>
      <c r="SZ10" s="57">
        <f>'REG y VAL POE - AESR - ESR'!AJ580</f>
        <v>0</v>
      </c>
      <c r="TA10" s="57">
        <f>'REG y VAL POE - AESR - ESR'!AK580</f>
        <v>0</v>
      </c>
      <c r="TB10" s="57">
        <f>'REG y VAL POE - AESR - ESR'!AL580</f>
        <v>0</v>
      </c>
      <c r="TC10" s="56">
        <f>'REG y VAL POE - AESR - ESR'!AM580</f>
        <v>0</v>
      </c>
      <c r="TD10" s="57">
        <f>'REG y VAL POE - AESR - ESR'!AN580</f>
        <v>0</v>
      </c>
      <c r="TE10" s="57">
        <f>'REG y VAL POE - AESR - ESR'!AO580</f>
        <v>0</v>
      </c>
      <c r="TF10" s="56">
        <f>'REG y VAL POE - AESR - ESR'!AP580</f>
        <v>0</v>
      </c>
      <c r="TG10" s="57">
        <f>'REG y VAL POE - AESR - ESR'!AQ580</f>
        <v>0</v>
      </c>
      <c r="TH10" s="58">
        <f>'REG y VAL POE - AESR - ESR'!AR580</f>
        <v>0</v>
      </c>
      <c r="TI10" s="56">
        <f>'REG y VAL POE - AESR - ESR'!AS580</f>
        <v>0</v>
      </c>
      <c r="TJ10" s="57">
        <f>'REG y VAL POE - AESR - ESR'!B581</f>
        <v>0</v>
      </c>
      <c r="TK10" s="57">
        <f>'REG y VAL POE - AESR - ESR'!C581</f>
        <v>0</v>
      </c>
      <c r="TL10" s="57">
        <f>'REG y VAL POE - AESR - ESR'!D581</f>
        <v>0</v>
      </c>
      <c r="TM10" s="56">
        <f>'REG y VAL POE - AESR - ESR'!E581</f>
        <v>0</v>
      </c>
      <c r="TN10" s="57">
        <f>'REG y VAL POE - AESR - ESR'!F581</f>
        <v>0</v>
      </c>
      <c r="TO10" s="57">
        <f>'REG y VAL POE - AESR - ESR'!G581</f>
        <v>0</v>
      </c>
      <c r="TP10" s="56">
        <f>'REG y VAL POE - AESR - ESR'!H581</f>
        <v>0</v>
      </c>
      <c r="TQ10" s="57">
        <f>'REG y VAL POE - AESR - ESR'!I581</f>
        <v>0</v>
      </c>
      <c r="TR10" s="58">
        <f>'REG y VAL POE - AESR - ESR'!J581</f>
        <v>0</v>
      </c>
      <c r="TS10" s="56">
        <f>'REG y VAL POE - AESR - ESR'!K581</f>
        <v>0</v>
      </c>
      <c r="TT10" s="57">
        <f>'REG y VAL POE - AESR - ESR'!L581</f>
        <v>0</v>
      </c>
      <c r="TU10" s="57">
        <f>'REG y VAL POE - AESR - ESR'!M581</f>
        <v>0</v>
      </c>
      <c r="TV10" s="57">
        <f>'REG y VAL POE - AESR - ESR'!N581</f>
        <v>0</v>
      </c>
      <c r="TW10" s="56">
        <f>'REG y VAL POE - AESR - ESR'!O581</f>
        <v>0</v>
      </c>
      <c r="TX10" s="57">
        <f>'REG y VAL POE - AESR - ESR'!P581</f>
        <v>0</v>
      </c>
      <c r="TY10" s="57">
        <f>'REG y VAL POE - AESR - ESR'!Q581</f>
        <v>0</v>
      </c>
      <c r="TZ10" s="56">
        <f>'REG y VAL POE - AESR - ESR'!R581</f>
        <v>0</v>
      </c>
      <c r="UA10" s="57">
        <f>'REG y VAL POE - AESR - ESR'!S581</f>
        <v>0</v>
      </c>
      <c r="UB10" s="58">
        <f>'REG y VAL POE - AESR - ESR'!T581</f>
        <v>0</v>
      </c>
      <c r="UC10" s="56">
        <f>'REG y VAL POE - AESR - ESR'!U581</f>
        <v>0</v>
      </c>
      <c r="UD10" s="57">
        <f>'REG y VAL POE - AESR - ESR'!V581</f>
        <v>0</v>
      </c>
      <c r="UE10" s="57">
        <f>'REG y VAL POE - AESR - ESR'!W581</f>
        <v>0</v>
      </c>
      <c r="UF10" s="57">
        <f>'REG y VAL POE - AESR - ESR'!X581</f>
        <v>0</v>
      </c>
      <c r="UG10" s="56">
        <f>'REG y VAL POE - AESR - ESR'!Y581</f>
        <v>0</v>
      </c>
      <c r="UH10" s="57">
        <f>'REG y VAL POE - AESR - ESR'!Z581</f>
        <v>0</v>
      </c>
      <c r="UI10" s="57">
        <f>'REG y VAL POE - AESR - ESR'!AA581</f>
        <v>0</v>
      </c>
      <c r="UJ10" s="56">
        <f>'REG y VAL POE - AESR - ESR'!AB581</f>
        <v>0</v>
      </c>
      <c r="UK10" s="57">
        <f>'REG y VAL POE - AESR - ESR'!AC581</f>
        <v>0</v>
      </c>
      <c r="UL10" s="58">
        <f>'REG y VAL POE - AESR - ESR'!AD581</f>
        <v>0</v>
      </c>
      <c r="UM10" s="56">
        <f>'REG y VAL POE - AESR - ESR'!AE581</f>
        <v>0</v>
      </c>
      <c r="UN10" s="57">
        <f>'REG y VAL POE - AESR - ESR'!AF581</f>
        <v>0</v>
      </c>
      <c r="UO10" s="57">
        <f>'REG y VAL POE - AESR - ESR'!AG581</f>
        <v>0</v>
      </c>
      <c r="UP10" s="57">
        <f>'REG y VAL POE - AESR - ESR'!AH581</f>
        <v>0</v>
      </c>
      <c r="UQ10" s="56">
        <f>'REG y VAL POE - AESR - ESR'!AI581</f>
        <v>0</v>
      </c>
      <c r="UR10" s="57">
        <f>'REG y VAL POE - AESR - ESR'!AJ581</f>
        <v>0</v>
      </c>
      <c r="US10" s="57">
        <f>'REG y VAL POE - AESR - ESR'!AK581</f>
        <v>0</v>
      </c>
      <c r="UT10" s="56">
        <f>'REG y VAL POE - AESR - ESR'!AL581</f>
        <v>0</v>
      </c>
      <c r="UU10" s="57">
        <f>'REG y VAL POE - AESR - ESR'!AM581</f>
        <v>0</v>
      </c>
      <c r="UV10" s="58">
        <f>'REG y VAL POE - AESR - ESR'!AN581</f>
        <v>0</v>
      </c>
      <c r="UW10" s="56">
        <f>'REG y VAL POE - AESR - ESR'!AO581</f>
        <v>0</v>
      </c>
      <c r="UX10" s="57">
        <f>'REG y VAL POE - AESR - ESR'!AP581</f>
        <v>0</v>
      </c>
      <c r="UY10" s="57">
        <f>'REG y VAL POE - AESR - ESR'!AQ581</f>
        <v>0</v>
      </c>
      <c r="UZ10" s="57">
        <f>'REG y VAL POE - AESR - ESR'!AR581</f>
        <v>0</v>
      </c>
      <c r="VA10" s="56">
        <f>'REG y VAL POE - AESR - ESR'!AS581</f>
        <v>0</v>
      </c>
      <c r="VB10" s="57">
        <f>'REG y VAL POE - AESR - ESR'!B582</f>
        <v>0</v>
      </c>
      <c r="VC10" s="57">
        <f>'REG y VAL POE - AESR - ESR'!C582</f>
        <v>0</v>
      </c>
      <c r="VD10" s="56">
        <f>'REG y VAL POE - AESR - ESR'!D582</f>
        <v>0</v>
      </c>
      <c r="VE10" s="57">
        <f>'REG y VAL POE - AESR - ESR'!E582</f>
        <v>0</v>
      </c>
      <c r="VF10" s="58">
        <f>'REG y VAL POE - AESR - ESR'!F582</f>
        <v>0</v>
      </c>
      <c r="VG10" s="56">
        <f>'REG y VAL POE - AESR - ESR'!G582</f>
        <v>0</v>
      </c>
      <c r="VH10" s="57">
        <f>'REG y VAL POE - AESR - ESR'!H582</f>
        <v>0</v>
      </c>
      <c r="VI10" s="57">
        <f>'REG y VAL POE - AESR - ESR'!I582</f>
        <v>0</v>
      </c>
      <c r="VJ10" s="57">
        <f>'REG y VAL POE - AESR - ESR'!J582</f>
        <v>0</v>
      </c>
      <c r="VK10" s="56">
        <f>'REG y VAL POE - AESR - ESR'!K582</f>
        <v>0</v>
      </c>
      <c r="VL10" s="57">
        <f>'REG y VAL POE - AESR - ESR'!L582</f>
        <v>0</v>
      </c>
      <c r="VM10" s="57">
        <f>'REG y VAL POE - AESR - ESR'!M582</f>
        <v>0</v>
      </c>
      <c r="VN10" s="56">
        <f>'REG y VAL POE - AESR - ESR'!N582</f>
        <v>0</v>
      </c>
      <c r="VO10" s="57">
        <f>'REG y VAL POE - AESR - ESR'!O582</f>
        <v>0</v>
      </c>
      <c r="VP10" s="58">
        <f>'REG y VAL POE - AESR - ESR'!P582</f>
        <v>0</v>
      </c>
      <c r="VQ10" s="56">
        <f>'REG y VAL POE - AESR - ESR'!Q582</f>
        <v>0</v>
      </c>
      <c r="VR10" s="57">
        <f>'REG y VAL POE - AESR - ESR'!R582</f>
        <v>0</v>
      </c>
      <c r="VS10" s="57">
        <f>'REG y VAL POE - AESR - ESR'!S582</f>
        <v>0</v>
      </c>
      <c r="VT10" s="57">
        <f>'REG y VAL POE - AESR - ESR'!T582</f>
        <v>0</v>
      </c>
      <c r="VU10" s="56">
        <f>'REG y VAL POE - AESR - ESR'!U582</f>
        <v>0</v>
      </c>
      <c r="VV10" s="57">
        <f>'REG y VAL POE - AESR - ESR'!V582</f>
        <v>0</v>
      </c>
      <c r="VW10" s="57">
        <f>'REG y VAL POE - AESR - ESR'!W582</f>
        <v>0</v>
      </c>
      <c r="VX10" s="56">
        <f>'REG y VAL POE - AESR - ESR'!X582</f>
        <v>0</v>
      </c>
      <c r="VY10" s="57">
        <f>'REG y VAL POE - AESR - ESR'!Y582</f>
        <v>0</v>
      </c>
      <c r="VZ10" s="58">
        <f>'REG y VAL POE - AESR - ESR'!Z582</f>
        <v>0</v>
      </c>
      <c r="WA10" s="56">
        <f>'REG y VAL POE - AESR - ESR'!AA582</f>
        <v>0</v>
      </c>
      <c r="WB10" s="57">
        <f>'REG y VAL POE - AESR - ESR'!AB582</f>
        <v>0</v>
      </c>
      <c r="WC10" s="57">
        <f>'REG y VAL POE - AESR - ESR'!AC582</f>
        <v>0</v>
      </c>
      <c r="WD10" s="57">
        <f>'REG y VAL POE - AESR - ESR'!AD582</f>
        <v>0</v>
      </c>
      <c r="WE10" s="56">
        <f>'REG y VAL POE - AESR - ESR'!AE582</f>
        <v>0</v>
      </c>
      <c r="WF10" s="57">
        <f>'REG y VAL POE - AESR - ESR'!AF582</f>
        <v>0</v>
      </c>
      <c r="WG10" s="57">
        <f>'REG y VAL POE - AESR - ESR'!AG582</f>
        <v>0</v>
      </c>
      <c r="WH10" s="56">
        <f>'REG y VAL POE - AESR - ESR'!AH582</f>
        <v>0</v>
      </c>
      <c r="WI10" s="57">
        <f>'REG y VAL POE - AESR - ESR'!AI582</f>
        <v>0</v>
      </c>
      <c r="WJ10" s="58">
        <f>'REG y VAL POE - AESR - ESR'!AJ582</f>
        <v>0</v>
      </c>
      <c r="WK10" s="56">
        <f>'REG y VAL POE - AESR - ESR'!AK582</f>
        <v>0</v>
      </c>
      <c r="WL10" s="57">
        <f>'REG y VAL POE - AESR - ESR'!AL582</f>
        <v>0</v>
      </c>
      <c r="WM10" s="57">
        <f>'REG y VAL POE - AESR - ESR'!AM582</f>
        <v>0</v>
      </c>
      <c r="WN10" s="57">
        <f>'REG y VAL POE - AESR - ESR'!AN582</f>
        <v>0</v>
      </c>
      <c r="WO10" s="56">
        <f>'REG y VAL POE - AESR - ESR'!AO582</f>
        <v>0</v>
      </c>
      <c r="WP10" s="57">
        <f>'REG y VAL POE - AESR - ESR'!AP582</f>
        <v>0</v>
      </c>
      <c r="WQ10" s="57">
        <f>'REG y VAL POE - AESR - ESR'!AQ582</f>
        <v>0</v>
      </c>
      <c r="WR10" s="56">
        <f>'REG y VAL POE - AESR - ESR'!AR582</f>
        <v>0</v>
      </c>
      <c r="WS10" s="57">
        <f>'REG y VAL POE - AESR - ESR'!AS582</f>
        <v>0</v>
      </c>
      <c r="WT10" s="58">
        <f>'REG y VAL POE - AESR - ESR'!B583</f>
        <v>0</v>
      </c>
      <c r="WU10" s="56">
        <f>'REG y VAL POE - AESR - ESR'!C583</f>
        <v>0</v>
      </c>
      <c r="WV10" s="57">
        <f>'REG y VAL POE - AESR - ESR'!D583</f>
        <v>0</v>
      </c>
      <c r="WW10" s="57">
        <f>'REG y VAL POE - AESR - ESR'!E583</f>
        <v>0</v>
      </c>
      <c r="WX10" s="57">
        <f>'REG y VAL POE - AESR - ESR'!F583</f>
        <v>0</v>
      </c>
      <c r="WY10" s="56">
        <f>'REG y VAL POE - AESR - ESR'!G583</f>
        <v>0</v>
      </c>
      <c r="WZ10" s="57">
        <f>'REG y VAL POE - AESR - ESR'!H583</f>
        <v>0</v>
      </c>
      <c r="XA10" s="57">
        <f>'REG y VAL POE - AESR - ESR'!I583</f>
        <v>0</v>
      </c>
      <c r="XB10" s="56">
        <f>'REG y VAL POE - AESR - ESR'!J583</f>
        <v>0</v>
      </c>
      <c r="XC10" s="57">
        <f>'REG y VAL POE - AESR - ESR'!K583</f>
        <v>0</v>
      </c>
      <c r="XD10" s="58">
        <f>'REG y VAL POE - AESR - ESR'!L583</f>
        <v>0</v>
      </c>
      <c r="XE10" s="56">
        <f>'REG y VAL POE - AESR - ESR'!M583</f>
        <v>0</v>
      </c>
      <c r="XF10" s="57">
        <f>'REG y VAL POE - AESR - ESR'!N583</f>
        <v>0</v>
      </c>
      <c r="XG10" s="57">
        <f>'REG y VAL POE - AESR - ESR'!O583</f>
        <v>0</v>
      </c>
      <c r="XH10" s="57">
        <f>'REG y VAL POE - AESR - ESR'!P583</f>
        <v>0</v>
      </c>
      <c r="XI10" s="56">
        <f>'REG y VAL POE - AESR - ESR'!Q583</f>
        <v>0</v>
      </c>
      <c r="XJ10" s="57">
        <f>'REG y VAL POE - AESR - ESR'!R583</f>
        <v>0</v>
      </c>
      <c r="XK10" s="57">
        <f>'REG y VAL POE - AESR - ESR'!S583</f>
        <v>0</v>
      </c>
      <c r="XL10" s="56">
        <f>'REG y VAL POE - AESR - ESR'!T583</f>
        <v>0</v>
      </c>
      <c r="XM10" s="57">
        <f>'REG y VAL POE - AESR - ESR'!U583</f>
        <v>0</v>
      </c>
      <c r="XN10" s="58">
        <f>'REG y VAL POE - AESR - ESR'!V583</f>
        <v>0</v>
      </c>
      <c r="XO10" s="56">
        <f>'REG y VAL POE - AESR - ESR'!W583</f>
        <v>0</v>
      </c>
      <c r="XP10" s="57">
        <f>'REG y VAL POE - AESR - ESR'!X583</f>
        <v>0</v>
      </c>
      <c r="XQ10" s="57">
        <f>'REG y VAL POE - AESR - ESR'!Y583</f>
        <v>0</v>
      </c>
      <c r="XR10" s="57">
        <f>'REG y VAL POE - AESR - ESR'!Z583</f>
        <v>0</v>
      </c>
      <c r="XS10" s="56">
        <f>'REG y VAL POE - AESR - ESR'!AA583</f>
        <v>0</v>
      </c>
      <c r="XT10" s="57">
        <f>'REG y VAL POE - AESR - ESR'!AB583</f>
        <v>0</v>
      </c>
      <c r="XU10" s="57">
        <f>'REG y VAL POE - AESR - ESR'!AC583</f>
        <v>0</v>
      </c>
      <c r="XV10" s="56">
        <f>'REG y VAL POE - AESR - ESR'!AD583</f>
        <v>0</v>
      </c>
      <c r="XW10" s="57">
        <f>'REG y VAL POE - AESR - ESR'!AE583</f>
        <v>0</v>
      </c>
      <c r="XX10" s="58">
        <f>'REG y VAL POE - AESR - ESR'!AF583</f>
        <v>0</v>
      </c>
      <c r="XY10" s="56">
        <f>'REG y VAL POE - AESR - ESR'!AG583</f>
        <v>0</v>
      </c>
      <c r="XZ10" s="57">
        <f>'REG y VAL POE - AESR - ESR'!AH583</f>
        <v>0</v>
      </c>
      <c r="YA10" s="57">
        <f>'REG y VAL POE - AESR - ESR'!AI583</f>
        <v>0</v>
      </c>
      <c r="YB10" s="57">
        <f>'REG y VAL POE - AESR - ESR'!AJ583</f>
        <v>0</v>
      </c>
      <c r="YC10" s="56">
        <f>'REG y VAL POE - AESR - ESR'!AK583</f>
        <v>0</v>
      </c>
      <c r="YD10" s="57">
        <f>'REG y VAL POE - AESR - ESR'!AL583</f>
        <v>0</v>
      </c>
      <c r="YE10" s="57">
        <f>'REG y VAL POE - AESR - ESR'!AM583</f>
        <v>0</v>
      </c>
      <c r="YF10" s="56">
        <f>'REG y VAL POE - AESR - ESR'!AN583</f>
        <v>0</v>
      </c>
      <c r="YG10" s="57">
        <f>'REG y VAL POE - AESR - ESR'!AO583</f>
        <v>0</v>
      </c>
      <c r="YH10" s="58">
        <f>'REG y VAL POE - AESR - ESR'!AP583</f>
        <v>0</v>
      </c>
      <c r="YI10" s="56">
        <f>'REG y VAL POE - AESR - ESR'!AQ583</f>
        <v>0</v>
      </c>
      <c r="YJ10" s="57">
        <f>'REG y VAL POE - AESR - ESR'!AR583</f>
        <v>0</v>
      </c>
      <c r="YK10" s="57">
        <f>'REG y VAL POE - AESR - ESR'!AS583</f>
        <v>0</v>
      </c>
      <c r="YL10" s="57"/>
      <c r="YM10" s="56"/>
      <c r="YN10" s="57"/>
      <c r="YO10" s="57"/>
      <c r="YP10" s="56"/>
      <c r="YQ10" s="57"/>
      <c r="YR10" s="58"/>
      <c r="YS10" s="56"/>
      <c r="YT10" s="57"/>
      <c r="YU10" s="57"/>
      <c r="YV10" s="57"/>
      <c r="YW10" s="56"/>
      <c r="YX10" s="57"/>
      <c r="YY10" s="57"/>
      <c r="YZ10" s="56"/>
      <c r="ZA10" s="57"/>
      <c r="ZB10" s="58"/>
      <c r="ZC10" s="56"/>
      <c r="ZD10" s="57"/>
      <c r="ZE10" s="57"/>
      <c r="ZF10" s="57"/>
      <c r="ZG10" s="56"/>
      <c r="ZH10" s="57"/>
      <c r="ZI10" s="57"/>
      <c r="ZJ10" s="56"/>
      <c r="ZK10" s="57"/>
      <c r="ZL10" s="58"/>
      <c r="ZM10" s="56"/>
      <c r="ZN10" s="57"/>
      <c r="ZO10" s="57"/>
      <c r="ZP10" s="57"/>
      <c r="ZQ10" s="56"/>
      <c r="ZR10" s="57"/>
      <c r="ZS10" s="57"/>
      <c r="ZT10" s="56"/>
      <c r="ZU10" s="57"/>
      <c r="ZV10" s="58"/>
      <c r="ZW10" s="56"/>
      <c r="ZX10" s="57"/>
      <c r="ZY10" s="57"/>
      <c r="ZZ10" s="57"/>
      <c r="AAA10" s="56"/>
      <c r="AAB10" s="57"/>
      <c r="AAC10" s="57"/>
      <c r="AAD10" s="56"/>
      <c r="AAE10" s="57"/>
      <c r="AAF10" s="58"/>
      <c r="AAG10" s="56"/>
      <c r="AAH10" s="57"/>
      <c r="AAI10" s="57"/>
      <c r="AAJ10" s="57"/>
      <c r="AAK10" s="56"/>
      <c r="AAL10" s="57"/>
      <c r="AAM10" s="57"/>
      <c r="AAN10" s="56"/>
      <c r="AAO10" s="57"/>
      <c r="AAP10" s="58"/>
      <c r="AAQ10" s="56"/>
      <c r="AAR10" s="57"/>
      <c r="AAS10" s="57"/>
      <c r="AAT10" s="57"/>
      <c r="AAU10" s="56"/>
      <c r="AAV10" s="57"/>
      <c r="AAW10" s="57"/>
      <c r="AAX10" s="58"/>
      <c r="AAY10" s="58"/>
      <c r="AAZ10" s="58"/>
      <c r="ABA10" s="56"/>
      <c r="ABB10" s="58"/>
      <c r="ABC10" s="58"/>
      <c r="ABD10" s="58"/>
      <c r="ABE10" s="58"/>
      <c r="ABF10" s="58"/>
      <c r="ABG10" s="57"/>
      <c r="ABH10" s="56"/>
      <c r="ABI10" s="57"/>
      <c r="ABJ10" s="58"/>
      <c r="ABK10" s="56"/>
      <c r="ABL10" s="57"/>
      <c r="ABM10" s="57"/>
      <c r="ABN10" s="57"/>
      <c r="ABO10" s="56"/>
      <c r="ABP10" s="57"/>
      <c r="ABQ10" s="57"/>
      <c r="ABR10" s="56"/>
      <c r="ABS10" s="57"/>
      <c r="ABT10" s="58"/>
      <c r="ABU10" s="56"/>
      <c r="ABV10" s="57"/>
      <c r="ABW10" s="57"/>
      <c r="ABX10" s="57"/>
      <c r="ABY10" s="56"/>
      <c r="ABZ10" s="57"/>
      <c r="ACA10" s="57"/>
      <c r="ACB10" s="56"/>
      <c r="ACC10" s="57"/>
      <c r="ACD10" s="58"/>
      <c r="ACE10" s="56"/>
      <c r="ACF10" s="57"/>
      <c r="ACG10" s="57"/>
      <c r="ACH10" s="57"/>
      <c r="ACI10" s="56"/>
      <c r="ACJ10" s="57"/>
      <c r="ACK10" s="57"/>
      <c r="ACL10" s="56"/>
      <c r="ACM10" s="57"/>
      <c r="ACN10" s="58"/>
      <c r="ACO10" s="56"/>
      <c r="ACP10" s="57"/>
      <c r="ACQ10" s="57"/>
      <c r="ACR10" s="57"/>
      <c r="ACS10" s="56"/>
      <c r="ACT10" s="57"/>
      <c r="ACU10" s="57"/>
      <c r="ACV10" s="56"/>
      <c r="ACW10" s="57"/>
      <c r="ACX10" s="58"/>
      <c r="ACY10" s="56"/>
      <c r="ACZ10" s="57"/>
      <c r="ADA10" s="57"/>
      <c r="ADB10" s="57"/>
      <c r="ADC10" s="56"/>
      <c r="ADD10" s="57"/>
      <c r="ADE10" s="57"/>
      <c r="ADF10" s="56"/>
      <c r="ADG10" s="57"/>
      <c r="ADH10" s="58"/>
      <c r="ADI10" s="56"/>
      <c r="ADJ10" s="57"/>
      <c r="ADK10" s="57"/>
      <c r="ADL10" s="57"/>
      <c r="ADM10" s="56"/>
      <c r="ADN10" s="57"/>
      <c r="ADO10" s="57"/>
      <c r="ADP10" s="56"/>
      <c r="ADQ10" s="57"/>
      <c r="ADR10" s="58"/>
      <c r="ADS10" s="56"/>
      <c r="ADT10" s="57"/>
      <c r="ADU10" s="57"/>
      <c r="ADV10" s="57"/>
      <c r="ADW10" s="56"/>
      <c r="ADX10" s="57"/>
      <c r="ADY10" s="57"/>
      <c r="ADZ10" s="56"/>
      <c r="AEA10" s="57"/>
      <c r="AEB10" s="58"/>
      <c r="AEC10" s="56"/>
      <c r="AED10" s="57"/>
      <c r="AEE10" s="57"/>
      <c r="AEF10" s="57"/>
      <c r="AEG10" s="56"/>
      <c r="AEH10" s="57"/>
      <c r="AEI10" s="57"/>
      <c r="AEJ10" s="56"/>
      <c r="AEK10" s="57"/>
      <c r="AEL10" s="58"/>
      <c r="AEM10" s="56"/>
      <c r="AEN10" s="57"/>
      <c r="AEO10" s="57"/>
      <c r="AEP10" s="57"/>
      <c r="AEQ10" s="56"/>
      <c r="AER10" s="57"/>
      <c r="AES10" s="57"/>
      <c r="AET10" s="56"/>
      <c r="AEU10" s="57"/>
      <c r="AEV10" s="58"/>
      <c r="AEW10" s="56"/>
      <c r="AEX10" s="57"/>
      <c r="AEY10" s="57"/>
      <c r="AEZ10" s="57"/>
      <c r="AFA10" s="56"/>
      <c r="AFB10" s="57"/>
      <c r="AFC10" s="57"/>
      <c r="AFD10" s="56"/>
      <c r="AFE10" s="57"/>
      <c r="AFF10" s="58"/>
      <c r="AFG10" s="56"/>
      <c r="AFH10" s="57"/>
      <c r="AFI10" s="57"/>
      <c r="AFJ10" s="57"/>
      <c r="AFK10" s="56"/>
      <c r="AFL10" s="57"/>
      <c r="AFM10" s="57"/>
      <c r="AFN10" s="56"/>
      <c r="AFO10" s="57"/>
      <c r="AFP10" s="58"/>
      <c r="AFQ10" s="56"/>
      <c r="AFR10" s="57"/>
      <c r="AFS10" s="57"/>
      <c r="AFT10" s="57"/>
      <c r="AFU10" s="56"/>
      <c r="AFV10" s="57"/>
      <c r="AFW10" s="57"/>
      <c r="AFX10" s="56"/>
      <c r="AFY10" s="57"/>
      <c r="AFZ10" s="58"/>
      <c r="AGA10" s="56"/>
      <c r="AGB10" s="57"/>
      <c r="AGC10" s="57"/>
      <c r="AGD10" s="57"/>
      <c r="AGE10" s="56"/>
      <c r="AGF10" s="57"/>
      <c r="AGG10" s="57"/>
      <c r="AGH10" s="56"/>
      <c r="AGI10" s="57"/>
      <c r="AGJ10" s="58"/>
      <c r="AGK10" s="56"/>
      <c r="AGL10" s="57"/>
      <c r="AGM10" s="57"/>
      <c r="AGN10" s="57"/>
      <c r="AGO10" s="56"/>
      <c r="AGP10" s="57"/>
      <c r="AGQ10" s="57"/>
      <c r="AGR10" s="56"/>
      <c r="AGS10" s="57"/>
      <c r="AGT10" s="58"/>
      <c r="AGU10" s="56"/>
      <c r="AGV10" s="57"/>
      <c r="AGW10" s="57"/>
      <c r="AGX10" s="57"/>
      <c r="AGY10" s="56"/>
      <c r="AGZ10" s="57"/>
      <c r="AHA10" s="57"/>
      <c r="AHB10" s="56"/>
      <c r="AHC10" s="57"/>
      <c r="AHD10" s="58"/>
      <c r="AHE10" s="56"/>
      <c r="AHF10" s="57"/>
      <c r="AHG10" s="57"/>
      <c r="AHH10" s="57"/>
      <c r="AHI10" s="56"/>
      <c r="AHJ10" s="57"/>
      <c r="AHK10" s="57"/>
      <c r="AHL10" s="56"/>
      <c r="AHM10" s="57"/>
      <c r="AHN10" s="58"/>
      <c r="AHO10" s="56"/>
      <c r="AHP10" s="57"/>
      <c r="AHQ10" s="57"/>
      <c r="AHR10" s="57"/>
      <c r="AHS10" s="56"/>
      <c r="AHT10" s="57"/>
      <c r="AHU10" s="57"/>
      <c r="AHV10" s="56"/>
      <c r="AHW10" s="57"/>
      <c r="AHX10" s="58"/>
      <c r="AHY10" s="56"/>
      <c r="AHZ10" s="57"/>
      <c r="AIA10" s="57"/>
      <c r="AIB10" s="57"/>
      <c r="AIC10" s="56"/>
      <c r="AID10" s="57"/>
      <c r="AIE10" s="57"/>
      <c r="AIF10" s="56"/>
      <c r="AIG10" s="57"/>
      <c r="AIH10" s="58"/>
      <c r="AII10" s="56"/>
      <c r="AIJ10" s="57"/>
      <c r="AIK10" s="57"/>
      <c r="AIL10" s="57"/>
      <c r="AIM10" s="56"/>
      <c r="AIN10" s="57"/>
      <c r="AIO10" s="57"/>
      <c r="AIP10" s="56"/>
      <c r="AIQ10" s="57"/>
      <c r="AIR10" s="58"/>
      <c r="AIS10" s="56"/>
      <c r="AIT10" s="57"/>
      <c r="AIU10" s="57"/>
      <c r="AIV10" s="57"/>
      <c r="AIW10" s="56"/>
      <c r="AIX10" s="57"/>
      <c r="AIY10" s="57"/>
      <c r="AIZ10" s="56"/>
      <c r="AJA10" s="57"/>
      <c r="AJB10" s="58"/>
      <c r="AJC10" s="56"/>
      <c r="AJD10" s="57"/>
      <c r="AJE10" s="57"/>
      <c r="AJF10" s="57"/>
      <c r="AJG10" s="56"/>
      <c r="AJH10" s="57"/>
      <c r="AJI10" s="57"/>
      <c r="AJJ10" s="56"/>
      <c r="AJK10" s="57"/>
      <c r="AJL10" s="58"/>
      <c r="AJM10" s="56"/>
      <c r="AJN10" s="57"/>
      <c r="AJO10" s="57"/>
      <c r="AJP10" s="57"/>
      <c r="AJQ10" s="56"/>
      <c r="AJR10" s="57"/>
      <c r="AJS10" s="57"/>
      <c r="AJT10" s="56"/>
      <c r="AJU10" s="57"/>
      <c r="AJV10" s="58"/>
      <c r="AJW10" s="56"/>
      <c r="AJX10" s="57"/>
      <c r="AJY10" s="57"/>
      <c r="AJZ10" s="57"/>
      <c r="AKA10" s="56"/>
      <c r="AKB10" s="57"/>
      <c r="AKC10" s="57"/>
      <c r="AKD10" s="56"/>
      <c r="AKE10" s="57"/>
      <c r="AKF10" s="58"/>
      <c r="AKG10" s="56"/>
      <c r="AKH10" s="57"/>
      <c r="AKI10" s="57"/>
      <c r="AKJ10" s="57"/>
      <c r="AKK10" s="56"/>
      <c r="AKL10" s="57"/>
      <c r="AKM10" s="57"/>
      <c r="AKN10" s="56"/>
      <c r="AKO10" s="57"/>
      <c r="AKP10" s="58"/>
      <c r="AKQ10" s="56"/>
      <c r="AKR10" s="57"/>
      <c r="AKS10" s="57"/>
      <c r="AKT10" s="57"/>
      <c r="AKU10" s="56"/>
      <c r="AKV10" s="57"/>
      <c r="AKW10" s="57"/>
      <c r="AKX10" s="56"/>
      <c r="AKY10" s="57"/>
      <c r="AKZ10" s="58"/>
      <c r="ALA10" s="56"/>
      <c r="ALB10" s="57"/>
      <c r="ALC10" s="57"/>
      <c r="ALD10" s="57"/>
      <c r="ALE10" s="56"/>
      <c r="ALF10" s="57"/>
      <c r="ALG10" s="57"/>
      <c r="ALH10" s="57"/>
      <c r="ALI10" s="57"/>
      <c r="ALJ10" s="57"/>
      <c r="ALK10" s="56"/>
      <c r="ALL10" s="57"/>
      <c r="ALM10" s="57"/>
      <c r="ALN10" s="56"/>
      <c r="ALO10" s="57"/>
      <c r="ALP10" s="58"/>
      <c r="ALQ10" s="56"/>
      <c r="ALR10" s="57"/>
      <c r="ALS10" s="57"/>
      <c r="ALT10" s="57"/>
      <c r="ALU10" s="56"/>
      <c r="ALV10" s="57"/>
      <c r="ALW10" s="57"/>
      <c r="ALX10" s="56"/>
      <c r="ALY10" s="57"/>
      <c r="ALZ10" s="58"/>
      <c r="AMA10" s="56"/>
      <c r="AMB10" s="57"/>
      <c r="AMC10" s="57"/>
      <c r="AMD10" s="57"/>
      <c r="AME10" s="56"/>
      <c r="AMF10" s="57"/>
      <c r="AMG10" s="57"/>
      <c r="AMH10" s="57"/>
      <c r="AMI10" s="57"/>
      <c r="AMJ10" s="57"/>
      <c r="AMK10" s="56"/>
      <c r="AML10" s="57"/>
      <c r="AMM10" s="57"/>
      <c r="AMN10" s="56"/>
      <c r="AMO10" s="57"/>
      <c r="AMP10" s="58"/>
      <c r="AMQ10" s="56"/>
      <c r="AMR10" s="57"/>
      <c r="AMS10" s="57"/>
      <c r="AMT10" s="57"/>
      <c r="AMU10" s="56"/>
      <c r="AMV10" s="57"/>
      <c r="AMW10" s="57"/>
      <c r="AMX10" s="56"/>
      <c r="AMY10" s="57"/>
      <c r="AMZ10" s="58"/>
      <c r="ANA10" s="56"/>
      <c r="ANB10" s="57"/>
      <c r="ANC10" s="57"/>
      <c r="AND10" s="57"/>
      <c r="ANE10" s="56"/>
      <c r="ANF10" s="57"/>
      <c r="ANG10" s="57"/>
      <c r="ANH10" s="57"/>
      <c r="ANI10" s="57"/>
      <c r="ANJ10" s="57"/>
      <c r="ANK10" s="56"/>
      <c r="ANL10" s="57"/>
      <c r="ANM10" s="57"/>
      <c r="ANN10" s="56"/>
      <c r="ANO10" s="57"/>
      <c r="ANP10" s="58"/>
      <c r="ANQ10" s="56"/>
      <c r="ANR10" s="57"/>
      <c r="ANS10" s="57"/>
      <c r="ANT10" s="57"/>
      <c r="ANU10" s="56"/>
      <c r="ANV10" s="57"/>
      <c r="ANW10" s="57"/>
      <c r="ANX10" s="56"/>
      <c r="ANY10" s="57"/>
      <c r="ANZ10" s="58"/>
      <c r="AOA10" s="56"/>
      <c r="AOB10" s="57"/>
      <c r="AOC10" s="57"/>
      <c r="AOD10" s="57"/>
      <c r="AOE10" s="56"/>
      <c r="AOF10" s="57"/>
      <c r="AOG10" s="57"/>
      <c r="AOH10" s="57"/>
      <c r="AOI10" s="57"/>
      <c r="AOJ10" s="57"/>
      <c r="AOK10" s="56"/>
      <c r="AOL10" s="57"/>
      <c r="AOM10" s="57"/>
      <c r="AON10" s="56"/>
      <c r="AOO10" s="57"/>
      <c r="AOP10" s="58"/>
      <c r="AOQ10" s="56"/>
      <c r="AOR10" s="57"/>
      <c r="AOS10" s="57"/>
      <c r="AOT10" s="57"/>
      <c r="AOU10" s="56"/>
      <c r="AOV10" s="57"/>
      <c r="AOW10" s="57"/>
      <c r="AOX10" s="56"/>
      <c r="AOY10" s="57"/>
      <c r="AOZ10" s="58"/>
      <c r="APA10" s="56"/>
      <c r="APB10" s="57"/>
      <c r="APC10" s="57"/>
      <c r="APD10" s="57"/>
      <c r="APE10" s="56"/>
      <c r="APF10" s="57"/>
      <c r="APG10" s="57"/>
      <c r="APH10" s="57"/>
      <c r="API10" s="57"/>
      <c r="APJ10" s="57"/>
      <c r="APK10" s="56"/>
      <c r="APL10" s="57"/>
      <c r="APM10" s="57"/>
      <c r="APN10" s="56"/>
      <c r="APO10" s="57"/>
      <c r="APP10" s="58"/>
      <c r="APQ10" s="56"/>
      <c r="APR10" s="57"/>
      <c r="APS10" s="57"/>
      <c r="APT10" s="57"/>
      <c r="APU10" s="56"/>
      <c r="APV10" s="57"/>
      <c r="APW10" s="57"/>
      <c r="APX10" s="56"/>
      <c r="APY10" s="57"/>
      <c r="APZ10" s="58"/>
      <c r="AQA10" s="56"/>
      <c r="AQB10" s="57"/>
      <c r="AQC10" s="57"/>
      <c r="AQD10" s="57"/>
      <c r="AQE10" s="56"/>
      <c r="AQF10" s="57"/>
      <c r="AQG10" s="57"/>
      <c r="AQH10" s="57"/>
      <c r="AQI10" s="57"/>
      <c r="AQJ10" s="57"/>
      <c r="AQK10" s="56"/>
      <c r="AQL10" s="57"/>
      <c r="AQM10" s="57"/>
      <c r="AQN10" s="56"/>
      <c r="AQO10" s="57"/>
      <c r="AQP10" s="58"/>
      <c r="AQQ10" s="56"/>
      <c r="AQR10" s="57"/>
      <c r="AQS10" s="57"/>
      <c r="AQT10" s="57"/>
      <c r="AQU10" s="56"/>
      <c r="AQV10" s="57"/>
      <c r="AQW10" s="57"/>
      <c r="AQX10" s="56"/>
      <c r="AQY10" s="57"/>
      <c r="AQZ10" s="58"/>
      <c r="ARA10" s="56"/>
      <c r="ARB10" s="57"/>
      <c r="ARC10" s="57"/>
      <c r="ARD10" s="57"/>
      <c r="ARE10" s="56"/>
      <c r="ARF10" s="57"/>
      <c r="ARG10" s="57"/>
      <c r="ARH10" s="57"/>
      <c r="ARI10" s="57"/>
      <c r="ARJ10" s="57"/>
      <c r="ARK10" s="56"/>
      <c r="ARL10" s="57"/>
      <c r="ARM10" s="57"/>
      <c r="ARN10" s="56"/>
      <c r="ARO10" s="57"/>
      <c r="ARP10" s="58"/>
      <c r="ARQ10" s="56"/>
      <c r="ARR10" s="57"/>
      <c r="ARS10" s="57"/>
      <c r="ART10" s="57"/>
      <c r="ARU10" s="56"/>
      <c r="ARV10" s="57"/>
      <c r="ARW10" s="57"/>
      <c r="ARX10" s="56"/>
      <c r="ARY10" s="57"/>
      <c r="ARZ10" s="58"/>
      <c r="ASA10" s="56"/>
      <c r="ASB10" s="57"/>
      <c r="ASC10" s="57"/>
      <c r="ASD10" s="57"/>
      <c r="ASE10" s="56"/>
      <c r="ASF10" s="57"/>
      <c r="ASG10" s="57"/>
      <c r="ASH10" s="57"/>
      <c r="ASI10" s="57"/>
      <c r="ASJ10" s="57"/>
      <c r="ASK10" s="56"/>
      <c r="ASL10" s="57"/>
      <c r="ASM10" s="57"/>
      <c r="ASN10" s="56"/>
      <c r="ASO10" s="57"/>
      <c r="ASP10" s="58"/>
      <c r="ASQ10" s="56"/>
      <c r="ASR10" s="57"/>
      <c r="ASS10" s="57"/>
      <c r="AST10" s="57"/>
      <c r="ASU10" s="56"/>
      <c r="ASV10" s="57"/>
      <c r="ASW10" s="57"/>
      <c r="ASX10" s="56"/>
      <c r="ASY10" s="57"/>
      <c r="ASZ10" s="58"/>
      <c r="ATA10" s="56"/>
      <c r="ATB10" s="57"/>
      <c r="ATC10" s="57"/>
      <c r="ATD10" s="57"/>
      <c r="ATE10" s="56"/>
      <c r="ATF10" s="57"/>
      <c r="ATG10" s="57"/>
      <c r="ATH10" s="57"/>
      <c r="ATI10" s="57"/>
      <c r="ATJ10" s="57"/>
      <c r="ATK10" s="56"/>
      <c r="ATL10" s="57"/>
      <c r="ATM10" s="57"/>
      <c r="ATN10" s="56"/>
      <c r="ATO10" s="57"/>
      <c r="ATP10" s="58"/>
      <c r="ATQ10" s="56"/>
      <c r="ATR10" s="57"/>
      <c r="ATS10" s="57"/>
      <c r="ATT10" s="57"/>
      <c r="ATU10" s="56"/>
      <c r="ATV10" s="57"/>
      <c r="ATW10" s="57"/>
      <c r="ATX10" s="56"/>
      <c r="ATY10" s="57"/>
      <c r="ATZ10" s="58"/>
      <c r="AUA10" s="56"/>
      <c r="AUB10" s="57"/>
      <c r="AUC10" s="57"/>
      <c r="AUD10" s="57"/>
      <c r="AUE10" s="56"/>
      <c r="AUF10" s="57"/>
      <c r="AUG10" s="57"/>
      <c r="AUH10" s="57"/>
      <c r="AUI10" s="57"/>
      <c r="AUJ10" s="57"/>
      <c r="AUK10" s="56"/>
      <c r="AUL10" s="57"/>
      <c r="AUM10" s="57"/>
      <c r="AUN10" s="56"/>
      <c r="AUO10" s="57"/>
      <c r="AUP10" s="58"/>
      <c r="AUQ10" s="56"/>
      <c r="AUR10" s="57"/>
      <c r="AUS10" s="57"/>
      <c r="AUT10" s="57"/>
      <c r="AUU10" s="56"/>
      <c r="AUV10" s="57"/>
      <c r="AUW10" s="57"/>
      <c r="AUX10" s="56"/>
      <c r="AUY10" s="57"/>
      <c r="AUZ10" s="58"/>
      <c r="AVA10" s="56"/>
      <c r="AVB10" s="57"/>
      <c r="AVC10" s="57"/>
      <c r="AVD10" s="57"/>
      <c r="AVE10" s="56"/>
      <c r="AVF10" s="57"/>
      <c r="AVG10" s="57"/>
      <c r="AVH10" s="57"/>
      <c r="AVI10" s="57"/>
      <c r="AVJ10" s="57"/>
      <c r="AVK10" s="56"/>
      <c r="AVL10" s="57"/>
      <c r="AVM10" s="57"/>
      <c r="AVN10" s="56"/>
      <c r="AVO10" s="57"/>
      <c r="AVP10" s="58"/>
      <c r="AVQ10" s="56"/>
      <c r="AVR10" s="57"/>
      <c r="AVS10" s="57"/>
      <c r="AVT10" s="57"/>
      <c r="AVU10" s="56"/>
      <c r="AVV10" s="57"/>
      <c r="AVW10" s="57"/>
      <c r="AVX10" s="56"/>
      <c r="AVY10" s="57"/>
      <c r="AVZ10" s="58"/>
      <c r="AWA10" s="56"/>
      <c r="AWB10" s="57"/>
      <c r="AWC10" s="57"/>
      <c r="AWD10" s="57"/>
      <c r="AWE10" s="56"/>
      <c r="AWF10" s="57"/>
      <c r="AWG10" s="57"/>
      <c r="AWH10" s="57"/>
      <c r="AWI10" s="57"/>
      <c r="AWJ10" s="57"/>
      <c r="AWK10" s="56"/>
      <c r="AWL10" s="57"/>
      <c r="AWM10" s="57"/>
      <c r="AWN10" s="56"/>
      <c r="AWO10" s="57"/>
      <c r="AWP10" s="58"/>
      <c r="AWQ10" s="56"/>
      <c r="AWR10" s="57"/>
      <c r="AWS10" s="57"/>
      <c r="AWT10" s="57"/>
      <c r="AWU10" s="56"/>
      <c r="AWV10" s="57"/>
      <c r="AWW10" s="57"/>
      <c r="AWX10" s="56"/>
      <c r="AWY10" s="57"/>
      <c r="AWZ10" s="58"/>
      <c r="AXA10" s="56"/>
      <c r="AXB10" s="57"/>
      <c r="AXC10" s="57"/>
      <c r="AXD10" s="57"/>
      <c r="AXE10" s="56"/>
      <c r="AXF10" s="57"/>
      <c r="AXG10" s="57"/>
      <c r="AXH10" s="57"/>
      <c r="AXI10" s="57"/>
      <c r="AXJ10" s="57"/>
      <c r="AXK10" s="56"/>
      <c r="AXL10" s="57"/>
      <c r="AXM10" s="57"/>
      <c r="AXN10" s="56"/>
      <c r="AXO10" s="57"/>
      <c r="AXP10" s="58"/>
      <c r="AXQ10" s="56"/>
      <c r="AXR10" s="57"/>
      <c r="AXS10" s="57"/>
      <c r="AXT10" s="57"/>
      <c r="AXU10" s="56"/>
      <c r="AXV10" s="57"/>
      <c r="AXW10" s="57"/>
      <c r="AXX10" s="56"/>
      <c r="AXY10" s="57"/>
      <c r="AXZ10" s="58"/>
      <c r="AYA10" s="56"/>
      <c r="AYB10" s="57"/>
      <c r="AYC10" s="57"/>
      <c r="AYD10" s="57"/>
      <c r="AYE10" s="56"/>
      <c r="AYF10" s="57"/>
      <c r="AYG10" s="57"/>
      <c r="AYH10" s="57"/>
      <c r="AYI10" s="57"/>
      <c r="AYJ10" s="57"/>
      <c r="AYK10" s="56"/>
      <c r="AYL10" s="57"/>
      <c r="AYM10" s="57"/>
      <c r="AYN10" s="56"/>
      <c r="AYO10" s="57"/>
      <c r="AYP10" s="58"/>
      <c r="AYQ10" s="56"/>
      <c r="AYR10" s="57"/>
      <c r="AYS10" s="57"/>
      <c r="AYT10" s="57"/>
      <c r="AYU10" s="56"/>
      <c r="AYV10" s="57"/>
      <c r="AYW10" s="57"/>
      <c r="AYX10" s="56"/>
      <c r="AYY10" s="57"/>
      <c r="AYZ10" s="58"/>
      <c r="AZA10" s="56"/>
      <c r="AZB10" s="57"/>
      <c r="AZC10" s="57"/>
      <c r="AZD10" s="57"/>
      <c r="AZE10" s="56"/>
      <c r="AZF10" s="57"/>
      <c r="AZG10" s="57"/>
      <c r="AZH10" s="57"/>
      <c r="AZI10" s="57"/>
      <c r="AZJ10" s="57"/>
      <c r="AZK10" s="56"/>
      <c r="AZL10" s="57"/>
      <c r="AZM10" s="57"/>
      <c r="AZN10" s="56"/>
      <c r="AZO10" s="57"/>
      <c r="AZP10" s="58"/>
      <c r="AZQ10" s="56"/>
      <c r="AZR10" s="57"/>
      <c r="AZS10" s="57"/>
      <c r="AZT10" s="57"/>
      <c r="AZU10" s="56"/>
      <c r="AZV10" s="57"/>
      <c r="AZW10" s="57"/>
      <c r="AZX10" s="56"/>
      <c r="AZY10" s="57"/>
      <c r="AZZ10" s="58"/>
      <c r="BAA10" s="56"/>
      <c r="BAB10" s="57"/>
      <c r="BAC10" s="57"/>
      <c r="BAD10" s="57"/>
      <c r="BAE10" s="56"/>
      <c r="BAF10" s="57"/>
      <c r="BAG10" s="57"/>
      <c r="BAH10" s="57"/>
      <c r="BAI10" s="57"/>
      <c r="BAJ10" s="57"/>
      <c r="BAK10" s="56"/>
      <c r="BAL10" s="57"/>
      <c r="BAM10" s="57"/>
      <c r="BAN10" s="56"/>
      <c r="BAO10" s="57"/>
      <c r="BAP10" s="58"/>
      <c r="BAQ10" s="56"/>
      <c r="BAR10" s="57"/>
      <c r="BAS10" s="57"/>
      <c r="BAT10" s="57"/>
      <c r="BAU10" s="56"/>
      <c r="BAV10" s="57"/>
      <c r="BAW10" s="57"/>
      <c r="BAX10" s="56"/>
      <c r="BAY10" s="57"/>
      <c r="BAZ10" s="58"/>
      <c r="BBA10" s="56"/>
      <c r="BBB10" s="57"/>
      <c r="BBC10" s="57"/>
      <c r="BBD10" s="57"/>
      <c r="BBE10" s="56"/>
      <c r="BBF10" s="57"/>
      <c r="BBG10" s="57"/>
      <c r="BBH10" s="57"/>
      <c r="BBI10" s="57"/>
      <c r="BBJ10" s="57"/>
      <c r="BBK10" s="56"/>
      <c r="BBL10" s="57"/>
      <c r="BBM10" s="57"/>
      <c r="BBN10" s="56"/>
      <c r="BBO10" s="57"/>
      <c r="BBP10" s="58"/>
      <c r="BBQ10" s="56"/>
      <c r="BBR10" s="57"/>
      <c r="BBS10" s="57"/>
      <c r="BBT10" s="57"/>
      <c r="BBU10" s="56"/>
      <c r="BBV10" s="57"/>
      <c r="BBW10" s="57"/>
      <c r="BBX10" s="56"/>
      <c r="BBY10" s="57"/>
      <c r="BBZ10" s="58"/>
      <c r="BCA10" s="56"/>
      <c r="BCB10" s="57"/>
      <c r="BCC10" s="57"/>
      <c r="BCD10" s="57"/>
      <c r="BCE10" s="56"/>
      <c r="BCF10" s="57"/>
      <c r="BCG10" s="57"/>
      <c r="BCH10" s="57"/>
      <c r="BCI10" s="57"/>
      <c r="BCJ10" s="57"/>
      <c r="BCK10" s="56"/>
      <c r="BCL10" s="57"/>
      <c r="BCM10" s="57"/>
      <c r="BCN10" s="56"/>
      <c r="BCO10" s="57"/>
      <c r="BCP10" s="58"/>
      <c r="BCQ10" s="56"/>
      <c r="BCR10" s="57"/>
      <c r="BCS10" s="57"/>
      <c r="BCT10" s="57"/>
      <c r="BCU10" s="56"/>
      <c r="BCV10" s="57"/>
      <c r="BCW10" s="57"/>
      <c r="BCX10" s="56"/>
      <c r="BCY10" s="57"/>
      <c r="BCZ10" s="58"/>
      <c r="BDA10" s="56"/>
      <c r="BDB10" s="57"/>
      <c r="BDC10" s="57"/>
      <c r="BDD10" s="57"/>
      <c r="BDE10" s="56"/>
      <c r="BDF10" s="57"/>
      <c r="BDG10" s="57"/>
      <c r="BDH10" s="57"/>
      <c r="BDI10" s="57"/>
      <c r="BDJ10" s="57"/>
      <c r="BDK10" s="56"/>
      <c r="BDL10" s="57"/>
      <c r="BDM10" s="57"/>
      <c r="BDN10" s="56"/>
      <c r="BDO10" s="57"/>
      <c r="BDP10" s="58"/>
      <c r="BDQ10" s="56"/>
      <c r="BDR10" s="57"/>
      <c r="BDS10" s="57"/>
      <c r="BDT10" s="57"/>
      <c r="BDU10" s="56"/>
      <c r="BDV10" s="57"/>
      <c r="BDW10" s="57"/>
      <c r="BDX10" s="56"/>
      <c r="BDY10" s="57"/>
      <c r="BDZ10" s="58"/>
      <c r="BEA10" s="56"/>
      <c r="BEB10" s="57"/>
      <c r="BEC10" s="57"/>
      <c r="BED10" s="57"/>
      <c r="BEE10" s="56"/>
      <c r="BEF10" s="57"/>
      <c r="BEG10" s="57"/>
      <c r="BEH10" s="57"/>
      <c r="BEI10" s="57"/>
      <c r="BEJ10" s="57"/>
      <c r="BEK10" s="56"/>
      <c r="BEL10" s="57"/>
      <c r="BEM10" s="57"/>
      <c r="BEN10" s="56"/>
      <c r="BEO10" s="57"/>
      <c r="BEP10" s="58"/>
      <c r="BEQ10" s="56"/>
      <c r="BER10" s="57"/>
      <c r="BES10" s="57"/>
      <c r="BET10" s="57"/>
      <c r="BEU10" s="56"/>
      <c r="BEV10" s="57"/>
      <c r="BEW10" s="57"/>
      <c r="BEX10" s="56"/>
      <c r="BEY10" s="57"/>
      <c r="BEZ10" s="58"/>
      <c r="BFA10" s="56"/>
      <c r="BFB10" s="57"/>
      <c r="BFC10" s="57"/>
      <c r="BFD10" s="57"/>
      <c r="BFE10" s="56"/>
      <c r="BFF10" s="57"/>
      <c r="BFG10" s="57"/>
      <c r="BFH10" s="57"/>
      <c r="BFI10" s="57"/>
      <c r="BFJ10" s="57"/>
      <c r="BFK10" s="56"/>
      <c r="BFL10" s="57"/>
      <c r="BFM10" s="57"/>
      <c r="BFN10" s="56"/>
      <c r="BFO10" s="57"/>
      <c r="BFP10" s="58"/>
      <c r="BFQ10" s="56"/>
      <c r="BFR10" s="57"/>
      <c r="BFS10" s="57"/>
      <c r="BFT10" s="57"/>
      <c r="BFU10" s="56"/>
      <c r="BFV10" s="57"/>
      <c r="BFW10" s="57"/>
      <c r="BFX10" s="56"/>
      <c r="BFY10" s="57"/>
      <c r="BFZ10" s="58"/>
      <c r="BGA10" s="56"/>
      <c r="BGB10" s="57"/>
      <c r="BGC10" s="57"/>
      <c r="BGD10" s="57"/>
      <c r="BGE10" s="56"/>
      <c r="BGF10" s="57"/>
      <c r="BGG10" s="57"/>
      <c r="BGH10" s="57"/>
      <c r="BGI10" s="57"/>
      <c r="BGJ10" s="57"/>
      <c r="BGK10" s="56"/>
      <c r="BGL10" s="57"/>
      <c r="BGM10" s="57"/>
      <c r="BGN10" s="56"/>
      <c r="BGO10" s="57"/>
      <c r="BGP10" s="58"/>
      <c r="BGQ10" s="56"/>
      <c r="BGR10" s="57"/>
      <c r="BGS10" s="57"/>
      <c r="BGT10" s="57"/>
      <c r="BGU10" s="56"/>
      <c r="BGV10" s="57"/>
      <c r="BGW10" s="57"/>
      <c r="BGX10" s="56"/>
      <c r="BGY10" s="57"/>
      <c r="BGZ10" s="58"/>
      <c r="BHA10" s="56"/>
      <c r="BHB10" s="57"/>
      <c r="BHC10" s="57"/>
      <c r="BHD10" s="57"/>
      <c r="BHE10" s="56"/>
      <c r="BHF10" s="57"/>
      <c r="BHG10" s="57"/>
      <c r="BHH10" s="57"/>
      <c r="BHI10" s="57"/>
      <c r="BHJ10" s="57"/>
      <c r="BHK10" s="56"/>
      <c r="BHL10" s="57"/>
      <c r="BHM10" s="57"/>
      <c r="BHN10" s="56"/>
      <c r="BHO10" s="57"/>
      <c r="BHP10" s="58"/>
      <c r="BHQ10" s="56"/>
      <c r="BHR10" s="57"/>
      <c r="BHS10" s="57"/>
      <c r="BHT10" s="57"/>
      <c r="BHU10" s="56"/>
      <c r="BHV10" s="57"/>
      <c r="BHW10" s="57"/>
      <c r="BHX10" s="56"/>
      <c r="BHY10" s="57"/>
      <c r="BHZ10" s="58"/>
      <c r="BIA10" s="56"/>
      <c r="BIB10" s="57"/>
      <c r="BIC10" s="57"/>
      <c r="BID10" s="57"/>
      <c r="BIE10" s="56"/>
      <c r="BIF10" s="57"/>
      <c r="BIG10" s="57"/>
      <c r="BIH10" s="57"/>
      <c r="BII10" s="57"/>
      <c r="BIJ10" s="57"/>
      <c r="BIK10" s="56"/>
      <c r="BIL10" s="57"/>
      <c r="BIM10" s="57"/>
      <c r="BIN10" s="56"/>
      <c r="BIO10" s="57"/>
      <c r="BIP10" s="58"/>
      <c r="BIQ10" s="56"/>
      <c r="BIR10" s="57"/>
      <c r="BIS10" s="57"/>
      <c r="BIT10" s="57"/>
      <c r="BIU10" s="56"/>
      <c r="BIV10" s="57"/>
      <c r="BIW10" s="57"/>
      <c r="BIX10" s="56"/>
      <c r="BIY10" s="57"/>
      <c r="BIZ10" s="58"/>
      <c r="BJA10" s="56"/>
      <c r="BJB10" s="57"/>
      <c r="BJC10" s="57"/>
      <c r="BJD10" s="57"/>
      <c r="BJE10" s="56"/>
      <c r="BJF10" s="57"/>
      <c r="BJG10" s="57"/>
      <c r="BJH10" s="57"/>
      <c r="BJI10" s="57"/>
      <c r="BJJ10" s="57"/>
      <c r="BJK10" s="56"/>
      <c r="BJL10" s="57"/>
      <c r="BJM10" s="57"/>
      <c r="BJN10" s="56"/>
      <c r="BJO10" s="57"/>
      <c r="BJP10" s="58"/>
      <c r="BJQ10" s="56"/>
      <c r="BJR10" s="57"/>
      <c r="BJS10" s="57"/>
      <c r="BJT10" s="57"/>
      <c r="BJU10" s="56"/>
      <c r="BJV10" s="57"/>
      <c r="BJW10" s="57"/>
      <c r="BJX10" s="56"/>
      <c r="BJY10" s="57"/>
      <c r="BJZ10" s="58"/>
      <c r="BKA10" s="56"/>
      <c r="BKB10" s="57"/>
      <c r="BKC10" s="57"/>
      <c r="BKD10" s="57"/>
      <c r="BKE10" s="56"/>
      <c r="BKF10" s="57"/>
      <c r="BKG10" s="57"/>
      <c r="BKH10" s="57"/>
      <c r="BKI10" s="57"/>
      <c r="BKJ10" s="57"/>
      <c r="BKK10" s="56"/>
      <c r="BKL10" s="57"/>
      <c r="BKM10" s="57"/>
      <c r="BKN10" s="56"/>
      <c r="BKO10" s="57"/>
      <c r="BKP10" s="58"/>
      <c r="BKQ10" s="56"/>
      <c r="BKR10" s="57"/>
      <c r="BKS10" s="57"/>
      <c r="BKT10" s="57"/>
      <c r="BKU10" s="56"/>
      <c r="BKV10" s="57"/>
      <c r="BKW10" s="57"/>
      <c r="BKX10" s="56"/>
      <c r="BKY10" s="57"/>
      <c r="BKZ10" s="58"/>
      <c r="BLA10" s="56"/>
      <c r="BLB10" s="57"/>
      <c r="BLC10" s="57"/>
      <c r="BLD10" s="57"/>
      <c r="BLE10" s="56"/>
      <c r="BLF10" s="57"/>
      <c r="BLG10" s="57"/>
      <c r="BLH10" s="57"/>
      <c r="BLI10" s="57"/>
      <c r="BLJ10" s="57"/>
      <c r="BLK10" s="56"/>
      <c r="BLL10" s="57"/>
      <c r="BLM10" s="57"/>
      <c r="BLN10" s="56"/>
      <c r="BLO10" s="57"/>
      <c r="BLP10" s="58"/>
      <c r="BLQ10" s="56"/>
      <c r="BLR10" s="57"/>
      <c r="BLS10" s="57"/>
      <c r="BLT10" s="57"/>
      <c r="BLU10" s="56"/>
      <c r="BLV10" s="57"/>
      <c r="BLW10" s="57"/>
      <c r="BLX10" s="56"/>
      <c r="BLY10" s="57"/>
      <c r="BLZ10" s="58"/>
      <c r="BMA10" s="56"/>
      <c r="BMB10" s="57"/>
      <c r="BMC10" s="57"/>
      <c r="BMD10" s="57"/>
      <c r="BME10" s="56"/>
      <c r="BMF10" s="57"/>
      <c r="BMG10" s="57"/>
      <c r="BMH10" s="57"/>
      <c r="BMI10" s="57"/>
      <c r="BMJ10" s="57"/>
      <c r="BMK10" s="56"/>
      <c r="BML10" s="57"/>
      <c r="BMM10" s="57"/>
      <c r="BMN10" s="56"/>
      <c r="BMO10" s="57"/>
      <c r="BMP10" s="58"/>
      <c r="BMQ10" s="56"/>
      <c r="BMR10" s="57"/>
      <c r="BMS10" s="57"/>
      <c r="BMT10" s="57"/>
      <c r="BMU10" s="56"/>
      <c r="BMV10" s="57"/>
      <c r="BMW10" s="57"/>
      <c r="BMX10" s="56"/>
      <c r="BMY10" s="57"/>
      <c r="BMZ10" s="58"/>
      <c r="BNA10" s="56"/>
      <c r="BNB10" s="57"/>
      <c r="BNC10" s="57"/>
      <c r="BND10" s="57"/>
      <c r="BNE10" s="56"/>
      <c r="BNF10" s="57"/>
      <c r="BNG10" s="57"/>
      <c r="BNH10" s="57"/>
      <c r="BNI10" s="57"/>
      <c r="BNJ10" s="57"/>
      <c r="BNK10" s="56"/>
      <c r="BNL10" s="57"/>
      <c r="BNM10" s="57"/>
      <c r="BNN10" s="56"/>
      <c r="BNO10" s="57"/>
      <c r="BNP10" s="58"/>
      <c r="BNQ10" s="56"/>
      <c r="BNR10" s="57"/>
      <c r="BNS10" s="57"/>
      <c r="BNT10" s="57"/>
      <c r="BNU10" s="56"/>
      <c r="BNV10" s="57"/>
      <c r="BNW10" s="57"/>
      <c r="BNX10" s="56"/>
      <c r="BNY10" s="57"/>
      <c r="BNZ10" s="58"/>
      <c r="BOA10" s="56"/>
      <c r="BOB10" s="57"/>
      <c r="BOC10" s="57"/>
      <c r="BOD10" s="57"/>
      <c r="BOE10" s="56"/>
      <c r="BOF10" s="57"/>
      <c r="BOG10" s="57"/>
      <c r="BOH10" s="57"/>
      <c r="BOI10" s="57"/>
      <c r="BOJ10" s="57"/>
      <c r="BOK10" s="56"/>
      <c r="BOL10" s="57"/>
      <c r="BOM10" s="57"/>
      <c r="BON10" s="56"/>
      <c r="BOO10" s="57"/>
      <c r="BOP10" s="58"/>
      <c r="BOQ10" s="56"/>
      <c r="BOR10" s="57"/>
      <c r="BOS10" s="57"/>
      <c r="BOT10" s="57"/>
      <c r="BOU10" s="56"/>
      <c r="BOV10" s="57"/>
      <c r="BOW10" s="57"/>
      <c r="BOX10" s="56"/>
      <c r="BOY10" s="57"/>
      <c r="BOZ10" s="58"/>
      <c r="BPA10" s="56"/>
      <c r="BPB10" s="57"/>
      <c r="BPC10" s="57"/>
      <c r="BPD10" s="57"/>
      <c r="BPE10" s="56"/>
      <c r="BPF10" s="57"/>
      <c r="BPG10" s="57"/>
      <c r="BPH10" s="57"/>
      <c r="BPI10" s="57"/>
      <c r="BPJ10" s="57"/>
      <c r="BPK10" s="56"/>
      <c r="BPL10" s="57"/>
      <c r="BPM10" s="57"/>
      <c r="BPN10" s="56"/>
      <c r="BPO10" s="57"/>
      <c r="BPP10" s="58"/>
      <c r="BPQ10" s="56"/>
      <c r="BPR10" s="57"/>
      <c r="BPS10" s="57"/>
      <c r="BPT10" s="57"/>
      <c r="BPU10" s="56"/>
      <c r="BPV10" s="57"/>
      <c r="BPW10" s="57"/>
      <c r="BPX10" s="56"/>
      <c r="BPY10" s="57"/>
      <c r="BPZ10" s="58"/>
      <c r="BQA10" s="56"/>
      <c r="BQB10" s="57"/>
      <c r="BQC10" s="57"/>
      <c r="BQD10" s="57"/>
      <c r="BQE10" s="56"/>
      <c r="BQF10" s="57"/>
      <c r="BQG10" s="57"/>
      <c r="BQH10" s="57"/>
      <c r="BQI10" s="57"/>
      <c r="BQJ10" s="57"/>
      <c r="BQK10" s="56"/>
      <c r="BQL10" s="57"/>
      <c r="BQM10" s="57"/>
      <c r="BQN10" s="56"/>
      <c r="BQO10" s="57"/>
      <c r="BQP10" s="58"/>
      <c r="BQQ10" s="56"/>
      <c r="BQR10" s="57"/>
      <c r="BQS10" s="57"/>
      <c r="BQT10" s="57"/>
      <c r="BQU10" s="56"/>
      <c r="BQV10" s="57"/>
      <c r="BQW10" s="57"/>
      <c r="BQX10" s="56"/>
      <c r="BQY10" s="57"/>
      <c r="BQZ10" s="58"/>
      <c r="BRA10" s="56"/>
      <c r="BRB10" s="57"/>
      <c r="BRC10" s="57"/>
      <c r="BRD10" s="57"/>
      <c r="BRE10" s="56"/>
      <c r="BRF10" s="57"/>
      <c r="BRG10" s="57"/>
      <c r="BRH10" s="57"/>
      <c r="BRI10" s="57"/>
      <c r="BRJ10" s="57"/>
      <c r="BRK10" s="56"/>
      <c r="BRL10" s="57"/>
      <c r="BRM10" s="57"/>
      <c r="BRN10" s="56"/>
      <c r="BRO10" s="57"/>
      <c r="BRP10" s="58"/>
      <c r="BRQ10" s="56"/>
      <c r="BRR10" s="57"/>
      <c r="BRS10" s="57"/>
      <c r="BRT10" s="57"/>
      <c r="BRU10" s="56"/>
      <c r="BRV10" s="57"/>
      <c r="BRW10" s="57"/>
      <c r="BRX10" s="56"/>
      <c r="BRY10" s="57"/>
      <c r="BRZ10" s="58"/>
      <c r="BSA10" s="56"/>
      <c r="BSB10" s="57"/>
      <c r="BSC10" s="57"/>
      <c r="BSD10" s="57"/>
      <c r="BSE10" s="56"/>
      <c r="BSF10" s="57"/>
      <c r="BSG10" s="57"/>
      <c r="BSH10" s="57"/>
      <c r="BSI10" s="57"/>
      <c r="BSJ10" s="57"/>
      <c r="BSK10" s="56"/>
      <c r="BSL10" s="57"/>
      <c r="BSM10" s="57"/>
      <c r="BSN10" s="56"/>
      <c r="BSO10" s="57"/>
      <c r="BSP10" s="58"/>
      <c r="BSQ10" s="56"/>
      <c r="BSR10" s="57"/>
      <c r="BSS10" s="57"/>
      <c r="BST10" s="57"/>
      <c r="BSU10" s="56"/>
      <c r="BSV10" s="57"/>
      <c r="BSW10" s="57"/>
      <c r="BSX10" s="56"/>
      <c r="BSY10" s="57"/>
      <c r="BSZ10" s="58"/>
      <c r="BTA10" s="56"/>
      <c r="BTB10" s="57"/>
      <c r="BTC10" s="57"/>
      <c r="BTD10" s="57"/>
      <c r="BTE10" s="56"/>
      <c r="BTF10" s="57"/>
      <c r="BTG10" s="57"/>
      <c r="BTH10" s="57"/>
      <c r="BTI10" s="57"/>
      <c r="BTJ10" s="57"/>
      <c r="BTK10" s="56"/>
      <c r="BTL10" s="57"/>
      <c r="BTM10" s="57"/>
      <c r="BTN10" s="56"/>
      <c r="BTO10" s="57"/>
      <c r="BTP10" s="58"/>
      <c r="BTQ10" s="56"/>
      <c r="BTR10" s="57"/>
      <c r="BTS10" s="57"/>
      <c r="BTT10" s="57"/>
      <c r="BTU10" s="56"/>
      <c r="BTV10" s="57"/>
      <c r="BTW10" s="57"/>
      <c r="BTX10" s="56"/>
      <c r="BTY10" s="57"/>
      <c r="BTZ10" s="58"/>
      <c r="BUA10" s="56"/>
      <c r="BUB10" s="57"/>
      <c r="BUC10" s="57"/>
      <c r="BUD10" s="57"/>
      <c r="BUE10" s="56"/>
      <c r="BUF10" s="57"/>
      <c r="BUG10" s="57"/>
      <c r="BUH10" s="57"/>
      <c r="BUI10" s="57"/>
      <c r="BUJ10" s="57"/>
      <c r="BUK10" s="56"/>
      <c r="BUL10" s="57"/>
      <c r="BUM10" s="57"/>
      <c r="BUN10" s="56"/>
      <c r="BUO10" s="57"/>
      <c r="BUP10" s="58"/>
      <c r="BUQ10" s="56"/>
      <c r="BUR10" s="57"/>
      <c r="BUS10" s="57"/>
      <c r="BUT10" s="57"/>
      <c r="BUU10" s="56"/>
      <c r="BUV10" s="57"/>
      <c r="BUW10" s="57"/>
      <c r="BUX10" s="56"/>
      <c r="BUY10" s="57"/>
      <c r="BUZ10" s="58"/>
      <c r="BVA10" s="56"/>
      <c r="BVB10" s="57"/>
      <c r="BVC10" s="57"/>
      <c r="BVD10" s="57"/>
      <c r="BVE10" s="56"/>
      <c r="BVF10" s="57"/>
      <c r="BVG10" s="57"/>
      <c r="BVH10" s="57"/>
      <c r="BVI10" s="57"/>
      <c r="BVJ10" s="57"/>
      <c r="BVK10" s="56"/>
      <c r="BVL10" s="57"/>
      <c r="BVM10" s="57"/>
      <c r="BVN10" s="56"/>
      <c r="BVO10" s="57"/>
      <c r="BVP10" s="58"/>
      <c r="BVQ10" s="56"/>
      <c r="BVR10" s="57"/>
      <c r="BVS10" s="57"/>
      <c r="BVT10" s="57"/>
      <c r="BVU10" s="56"/>
      <c r="BVV10" s="57"/>
      <c r="BVW10" s="57"/>
      <c r="BVX10" s="56"/>
      <c r="BVY10" s="57"/>
      <c r="BVZ10" s="58"/>
      <c r="BWA10" s="56"/>
      <c r="BWB10" s="57"/>
      <c r="BWC10" s="57"/>
      <c r="BWD10" s="57"/>
      <c r="BWE10" s="56"/>
      <c r="BWF10" s="57"/>
      <c r="BWG10" s="57"/>
      <c r="BWH10" s="57"/>
      <c r="BWI10" s="57"/>
      <c r="BWJ10" s="57"/>
      <c r="BWK10" s="56"/>
      <c r="BWL10" s="57"/>
      <c r="BWM10" s="57"/>
      <c r="BWN10" s="56"/>
      <c r="BWO10" s="57"/>
      <c r="BWP10" s="58"/>
      <c r="BWQ10" s="56"/>
      <c r="BWR10" s="57"/>
      <c r="BWS10" s="57"/>
      <c r="BWT10" s="57"/>
      <c r="BWU10" s="56"/>
      <c r="BWV10" s="57"/>
      <c r="BWW10" s="57"/>
      <c r="BWX10" s="56"/>
      <c r="BWY10" s="57"/>
      <c r="BWZ10" s="58"/>
      <c r="BXA10" s="56"/>
      <c r="BXB10" s="57"/>
      <c r="BXC10" s="57"/>
      <c r="BXD10" s="57"/>
      <c r="BXE10" s="56"/>
      <c r="BXF10" s="57"/>
      <c r="BXG10" s="57"/>
      <c r="BXH10" s="57"/>
      <c r="BXI10" s="57"/>
      <c r="BXJ10" s="57"/>
      <c r="BXK10" s="56"/>
      <c r="BXL10" s="57"/>
      <c r="BXM10" s="57"/>
      <c r="BXN10" s="56"/>
      <c r="BXO10" s="57"/>
      <c r="BXP10" s="58"/>
      <c r="BXQ10" s="56"/>
      <c r="BXR10" s="57"/>
      <c r="BXS10" s="57"/>
      <c r="BXT10" s="57"/>
      <c r="BXU10" s="56"/>
      <c r="BXV10" s="57"/>
      <c r="BXW10" s="57"/>
      <c r="BXX10" s="56"/>
      <c r="BXY10" s="57"/>
      <c r="BXZ10" s="58"/>
      <c r="BYA10" s="56"/>
      <c r="BYB10" s="57"/>
      <c r="BYC10" s="57"/>
      <c r="BYD10" s="57"/>
      <c r="BYE10" s="56"/>
      <c r="BYF10" s="57"/>
      <c r="BYG10" s="57"/>
      <c r="BYH10" s="57"/>
      <c r="BYI10" s="57"/>
      <c r="BYJ10" s="57"/>
      <c r="BYK10" s="56"/>
      <c r="BYL10" s="57"/>
      <c r="BYM10" s="57"/>
      <c r="BYN10" s="56"/>
      <c r="BYO10" s="57"/>
      <c r="BYP10" s="58"/>
      <c r="BYQ10" s="56"/>
      <c r="BYR10" s="57"/>
      <c r="BYS10" s="57"/>
      <c r="BYT10" s="57"/>
      <c r="BYU10" s="56"/>
      <c r="BYV10" s="57"/>
      <c r="BYW10" s="57"/>
      <c r="BYX10" s="58"/>
      <c r="BYY10" s="57"/>
      <c r="BYZ10" s="56"/>
      <c r="BZA10" s="57"/>
      <c r="BZB10" s="56"/>
      <c r="BZC10" s="56"/>
      <c r="BZD10" s="56"/>
      <c r="BZE10" s="57"/>
      <c r="BZF10" s="387"/>
      <c r="BZG10" s="57"/>
      <c r="BZH10" s="387"/>
      <c r="BZI10" s="57"/>
      <c r="BZJ10" s="387"/>
      <c r="BZK10" s="57"/>
      <c r="BZL10" s="57"/>
      <c r="BZM10" s="57"/>
      <c r="BZN10" s="57"/>
      <c r="BZO10" s="57"/>
      <c r="BZP10" s="57"/>
      <c r="BZQ10" s="57"/>
      <c r="BZR10" s="57"/>
      <c r="BZS10" s="57"/>
      <c r="BZT10" s="57"/>
      <c r="BZU10" s="57"/>
      <c r="BZV10" s="57"/>
      <c r="BZW10" s="57"/>
      <c r="BZX10" s="57"/>
      <c r="BZY10" s="57"/>
      <c r="BZZ10" s="57"/>
      <c r="CAA10" s="57"/>
      <c r="CAB10" s="57"/>
      <c r="CAC10" s="57"/>
      <c r="CAD10" s="57"/>
      <c r="CAE10" s="57"/>
      <c r="CAF10" s="57"/>
      <c r="CAG10" s="57"/>
      <c r="CAH10" s="57"/>
      <c r="CAI10" s="57"/>
      <c r="CAJ10" s="57"/>
      <c r="CAK10" s="57"/>
      <c r="CAL10" s="57"/>
      <c r="CAM10" s="57"/>
      <c r="CAN10" s="57"/>
      <c r="CAO10" s="57"/>
      <c r="CAP10" s="58"/>
      <c r="CAQ10" s="56"/>
      <c r="CAR10" s="57"/>
      <c r="CAS10" s="57"/>
      <c r="CAT10" s="57"/>
      <c r="CAU10" s="57"/>
      <c r="CAV10" s="57"/>
      <c r="CAW10" s="56"/>
      <c r="CAX10" s="57"/>
      <c r="CAY10" s="57"/>
      <c r="CAZ10" s="56"/>
      <c r="CBA10" s="57"/>
      <c r="CBB10" s="58"/>
      <c r="CBC10" s="56"/>
      <c r="CBD10" s="57"/>
      <c r="CBE10" s="57"/>
      <c r="CBF10" s="57"/>
      <c r="CBG10" s="56"/>
      <c r="CBH10" s="57"/>
      <c r="CBI10" s="57"/>
      <c r="CBJ10" s="56"/>
      <c r="CBK10" s="57"/>
      <c r="CBL10" s="58"/>
      <c r="CBM10" s="56"/>
      <c r="CBN10" s="57"/>
      <c r="CBO10" s="57"/>
      <c r="CBP10" s="57"/>
      <c r="CBQ10" s="56"/>
      <c r="CBR10" s="57"/>
      <c r="CBS10" s="57"/>
      <c r="CBT10" s="56"/>
      <c r="CBU10" s="57"/>
      <c r="CBV10" s="58"/>
      <c r="CBW10" s="56"/>
      <c r="CBX10" s="57"/>
      <c r="CBY10" s="57"/>
      <c r="CBZ10" s="57"/>
      <c r="CCA10" s="56"/>
      <c r="CCB10" s="57"/>
      <c r="CCC10" s="57"/>
      <c r="CCD10" s="56"/>
      <c r="CCE10" s="57"/>
      <c r="CCF10" s="58"/>
      <c r="CCG10" s="56"/>
      <c r="CCH10" s="58"/>
      <c r="CCI10" s="57"/>
      <c r="CCJ10" s="56"/>
      <c r="CCK10" s="57"/>
      <c r="CCL10" s="56"/>
      <c r="CCM10" s="56"/>
      <c r="CCN10" s="56"/>
      <c r="CCO10" s="57"/>
      <c r="CCP10" s="387"/>
      <c r="CCQ10" s="57"/>
      <c r="CCR10" s="387"/>
      <c r="CCS10" s="57"/>
      <c r="CCT10" s="387"/>
      <c r="CCU10" s="57"/>
      <c r="CCV10" s="57"/>
      <c r="CCW10" s="57"/>
      <c r="CCX10" s="57"/>
      <c r="CCY10" s="57"/>
      <c r="CCZ10" s="57"/>
      <c r="CDA10" s="57"/>
      <c r="CDB10" s="57"/>
      <c r="CDC10" s="57"/>
      <c r="CDD10" s="57"/>
      <c r="CDE10" s="57"/>
      <c r="CDF10" s="57"/>
      <c r="CDG10" s="57"/>
      <c r="CDH10" s="57"/>
      <c r="CDI10" s="57"/>
      <c r="CDJ10" s="57"/>
      <c r="CDK10" s="57"/>
      <c r="CDL10" s="57"/>
      <c r="CDM10" s="57"/>
      <c r="CDN10" s="57"/>
      <c r="CDO10" s="57"/>
      <c r="CDP10" s="57"/>
      <c r="CDQ10" s="57"/>
      <c r="CDR10" s="57"/>
      <c r="CDS10" s="57"/>
      <c r="CDT10" s="57"/>
      <c r="CDU10" s="57"/>
      <c r="CDV10" s="57"/>
      <c r="CDW10" s="57"/>
      <c r="CDX10" s="57"/>
      <c r="CDY10" s="57"/>
      <c r="CDZ10" s="58"/>
      <c r="CEA10" s="56"/>
      <c r="CEB10" s="57"/>
      <c r="CEC10" s="57"/>
      <c r="CED10" s="57"/>
      <c r="CEE10" s="57"/>
      <c r="CEF10" s="57"/>
      <c r="CEG10" s="56"/>
      <c r="CEH10" s="57"/>
      <c r="CEI10" s="57"/>
      <c r="CEJ10" s="56"/>
      <c r="CEK10" s="57"/>
      <c r="CEL10" s="58"/>
      <c r="CEM10" s="56"/>
      <c r="CEN10" s="57"/>
      <c r="CEO10" s="57"/>
      <c r="CEP10" s="57"/>
      <c r="CEQ10" s="56"/>
      <c r="CER10" s="57"/>
      <c r="CES10" s="57"/>
      <c r="CET10" s="56"/>
      <c r="CEU10" s="57"/>
      <c r="CEV10" s="58"/>
      <c r="CEW10" s="56"/>
      <c r="CEX10" s="57"/>
      <c r="CEY10" s="57"/>
      <c r="CEZ10" s="57"/>
      <c r="CFA10" s="56"/>
      <c r="CFB10" s="57"/>
      <c r="CFC10" s="57"/>
      <c r="CFD10" s="56"/>
      <c r="CFE10" s="57"/>
      <c r="CFF10" s="58"/>
      <c r="CFG10" s="56"/>
      <c r="CFH10" s="57"/>
      <c r="CFI10" s="57"/>
      <c r="CFJ10" s="57"/>
      <c r="CFK10" s="56"/>
      <c r="CFL10" s="57"/>
      <c r="CFM10" s="57"/>
      <c r="CFN10" s="56"/>
      <c r="CFO10" s="57"/>
      <c r="CFP10" s="58"/>
      <c r="CFQ10" s="56"/>
      <c r="CFR10" s="58"/>
      <c r="CFS10" s="57"/>
      <c r="CFT10" s="56"/>
      <c r="CFU10" s="57"/>
      <c r="CFV10" s="56"/>
      <c r="CFW10" s="56"/>
      <c r="CFX10" s="56"/>
      <c r="CFY10" s="57"/>
      <c r="CFZ10" s="387"/>
      <c r="CGA10" s="57"/>
      <c r="CGB10" s="387"/>
      <c r="CGC10" s="57"/>
      <c r="CGD10" s="387"/>
      <c r="CGE10" s="57"/>
      <c r="CGF10" s="57"/>
      <c r="CGG10" s="57"/>
      <c r="CGH10" s="57"/>
      <c r="CGI10" s="57"/>
      <c r="CGJ10" s="57"/>
      <c r="CGK10" s="57"/>
      <c r="CGL10" s="57"/>
      <c r="CGM10" s="57"/>
      <c r="CGN10" s="57"/>
      <c r="CGO10" s="57"/>
      <c r="CGP10" s="57"/>
      <c r="CGQ10" s="57"/>
      <c r="CGR10" s="57"/>
      <c r="CGS10" s="57"/>
      <c r="CGT10" s="57"/>
      <c r="CGU10" s="57"/>
      <c r="CGV10" s="57"/>
      <c r="CGW10" s="57"/>
      <c r="CGX10" s="57"/>
      <c r="CGY10" s="57"/>
      <c r="CGZ10" s="57"/>
      <c r="CHA10" s="57"/>
      <c r="CHB10" s="57"/>
      <c r="CHC10" s="57"/>
      <c r="CHD10" s="57"/>
      <c r="CHE10" s="57"/>
      <c r="CHF10" s="57"/>
      <c r="CHG10" s="57"/>
      <c r="CHH10" s="57"/>
      <c r="CHI10" s="57"/>
      <c r="CHJ10" s="58"/>
      <c r="CHK10" s="56"/>
      <c r="CHL10" s="57"/>
      <c r="CHM10" s="57"/>
      <c r="CHN10" s="57"/>
      <c r="CHO10" s="57"/>
      <c r="CHP10" s="57"/>
      <c r="CHQ10" s="56"/>
      <c r="CHR10" s="57"/>
      <c r="CHS10" s="57"/>
      <c r="CHT10" s="56"/>
      <c r="CHU10" s="57"/>
      <c r="CHV10" s="58"/>
      <c r="CHW10" s="56"/>
      <c r="CHX10" s="57"/>
      <c r="CHY10" s="57"/>
      <c r="CHZ10" s="57"/>
      <c r="CIA10" s="56"/>
      <c r="CIB10" s="57"/>
      <c r="CIC10" s="57"/>
      <c r="CID10" s="56"/>
      <c r="CIE10" s="57"/>
      <c r="CIF10" s="58"/>
      <c r="CIG10" s="56"/>
      <c r="CIH10" s="57"/>
      <c r="CII10" s="57"/>
      <c r="CIJ10" s="57"/>
      <c r="CIK10" s="56"/>
      <c r="CIL10" s="57"/>
      <c r="CIM10" s="57"/>
      <c r="CIN10" s="56"/>
      <c r="CIO10" s="57"/>
      <c r="CIP10" s="58"/>
      <c r="CIQ10" s="56"/>
      <c r="CIR10" s="57"/>
      <c r="CIS10" s="57"/>
      <c r="CIT10" s="57"/>
      <c r="CIU10" s="56"/>
      <c r="CIV10" s="57"/>
      <c r="CIW10" s="57"/>
      <c r="CIX10" s="56"/>
      <c r="CIY10" s="57"/>
      <c r="CIZ10" s="58"/>
      <c r="CJA10" s="56"/>
      <c r="CJB10" s="58"/>
      <c r="CJC10" s="57"/>
      <c r="CJD10" s="56"/>
      <c r="CJE10" s="57"/>
      <c r="CJF10" s="56"/>
      <c r="CJG10" s="56"/>
      <c r="CJH10" s="56"/>
      <c r="CJI10" s="57"/>
      <c r="CJJ10" s="387"/>
      <c r="CJK10" s="57"/>
      <c r="CJL10" s="387"/>
      <c r="CJM10" s="57"/>
      <c r="CJN10" s="387"/>
      <c r="CJO10" s="57"/>
      <c r="CJP10" s="57"/>
      <c r="CJQ10" s="57"/>
      <c r="CJR10" s="57"/>
      <c r="CJS10" s="57"/>
      <c r="CJT10" s="57"/>
      <c r="CJU10" s="57"/>
      <c r="CJV10" s="57"/>
      <c r="CJW10" s="57"/>
      <c r="CJX10" s="57"/>
      <c r="CJY10" s="57"/>
      <c r="CJZ10" s="57"/>
      <c r="CKA10" s="57"/>
      <c r="CKB10" s="57"/>
      <c r="CKC10" s="57"/>
      <c r="CKD10" s="57"/>
      <c r="CKE10" s="57"/>
      <c r="CKF10" s="57"/>
      <c r="CKG10" s="57"/>
      <c r="CKH10" s="57"/>
      <c r="CKI10" s="57"/>
      <c r="CKJ10" s="57"/>
      <c r="CKK10" s="57"/>
      <c r="CKL10" s="57"/>
      <c r="CKM10" s="57"/>
      <c r="CKN10" s="57"/>
      <c r="CKO10" s="57"/>
      <c r="CKP10" s="57"/>
      <c r="CKQ10" s="57"/>
      <c r="CKR10" s="57"/>
      <c r="CKS10" s="57"/>
      <c r="CKT10" s="58"/>
      <c r="CKU10" s="56"/>
      <c r="CKV10" s="57"/>
      <c r="CKW10" s="57"/>
      <c r="CKX10" s="57"/>
      <c r="CKY10" s="57"/>
      <c r="CKZ10" s="57"/>
      <c r="CLA10" s="56"/>
      <c r="CLB10" s="57"/>
      <c r="CLC10" s="57"/>
      <c r="CLD10" s="56"/>
      <c r="CLE10" s="57"/>
      <c r="CLF10" s="58"/>
      <c r="CLG10" s="56"/>
      <c r="CLH10" s="57"/>
      <c r="CLI10" s="57"/>
      <c r="CLJ10" s="57"/>
      <c r="CLK10" s="56"/>
      <c r="CLL10" s="57"/>
      <c r="CLM10" s="57"/>
      <c r="CLN10" s="56"/>
      <c r="CLO10" s="57"/>
      <c r="CLP10" s="58"/>
      <c r="CLQ10" s="56"/>
      <c r="CLR10" s="57"/>
      <c r="CLS10" s="57"/>
      <c r="CLT10" s="57"/>
      <c r="CLU10" s="56"/>
      <c r="CLV10" s="57"/>
      <c r="CLW10" s="57"/>
      <c r="CLX10" s="56"/>
      <c r="CLY10" s="57"/>
      <c r="CLZ10" s="58"/>
      <c r="CMA10" s="56"/>
      <c r="CMB10" s="57"/>
      <c r="CMC10" s="57"/>
      <c r="CMD10" s="57"/>
      <c r="CME10" s="56"/>
      <c r="CMF10" s="57"/>
      <c r="CMG10" s="57"/>
      <c r="CMH10" s="56"/>
      <c r="CMI10" s="57"/>
      <c r="CMJ10" s="58"/>
      <c r="CMK10" s="56"/>
      <c r="CML10" s="58"/>
      <c r="CMM10" s="57"/>
      <c r="CMN10" s="56"/>
      <c r="CMO10" s="57"/>
      <c r="CMP10" s="56"/>
      <c r="CMQ10" s="56"/>
      <c r="CMR10" s="56"/>
      <c r="CMS10" s="57"/>
      <c r="CMT10" s="387"/>
      <c r="CMU10" s="57"/>
      <c r="CMV10" s="387"/>
      <c r="CMW10" s="57"/>
      <c r="CMX10" s="387"/>
      <c r="CMY10" s="57"/>
      <c r="CMZ10" s="57"/>
      <c r="CNA10" s="57"/>
      <c r="CNB10" s="57"/>
      <c r="CNC10" s="57"/>
      <c r="CND10" s="57"/>
      <c r="CNE10" s="57"/>
      <c r="CNF10" s="57"/>
      <c r="CNG10" s="57"/>
      <c r="CNH10" s="57"/>
      <c r="CNI10" s="57"/>
      <c r="CNJ10" s="57"/>
      <c r="CNK10" s="57"/>
      <c r="CNL10" s="57"/>
      <c r="CNM10" s="57"/>
      <c r="CNN10" s="57"/>
      <c r="CNO10" s="57"/>
      <c r="CNP10" s="57"/>
      <c r="CNQ10" s="57"/>
      <c r="CNR10" s="57"/>
      <c r="CNS10" s="57"/>
      <c r="CNT10" s="57"/>
      <c r="CNU10" s="57"/>
      <c r="CNV10" s="57"/>
      <c r="CNW10" s="57"/>
      <c r="CNX10" s="57"/>
      <c r="CNY10" s="57"/>
      <c r="CNZ10" s="57"/>
      <c r="COA10" s="57"/>
      <c r="COB10" s="57"/>
      <c r="COC10" s="57"/>
      <c r="COD10" s="58"/>
      <c r="COE10" s="56"/>
      <c r="COF10" s="57"/>
      <c r="COG10" s="57"/>
      <c r="COH10" s="57"/>
      <c r="COI10" s="57"/>
      <c r="COJ10" s="57"/>
      <c r="COK10" s="56"/>
      <c r="COL10" s="57"/>
      <c r="COM10" s="57"/>
      <c r="CON10" s="56"/>
      <c r="COO10" s="57"/>
      <c r="COP10" s="58"/>
      <c r="COQ10" s="56"/>
      <c r="COR10" s="57"/>
      <c r="COS10" s="57"/>
      <c r="COT10" s="57"/>
      <c r="COU10" s="56"/>
      <c r="COV10" s="57"/>
      <c r="COW10" s="57"/>
      <c r="COX10" s="56"/>
      <c r="COY10" s="57"/>
      <c r="COZ10" s="58"/>
      <c r="CPA10" s="56"/>
      <c r="CPB10" s="57"/>
      <c r="CPC10" s="57"/>
      <c r="CPD10" s="57"/>
      <c r="CPE10" s="56"/>
      <c r="CPF10" s="57"/>
      <c r="CPG10" s="57"/>
      <c r="CPH10" s="56"/>
      <c r="CPI10" s="57"/>
      <c r="CPJ10" s="58"/>
      <c r="CPK10" s="56"/>
      <c r="CPL10" s="57"/>
      <c r="CPM10" s="57"/>
      <c r="CPN10" s="57"/>
      <c r="CPO10" s="56"/>
      <c r="CPP10" s="57"/>
      <c r="CPQ10" s="57"/>
      <c r="CPR10" s="56"/>
      <c r="CPS10" s="57"/>
      <c r="CPT10" s="58"/>
      <c r="CPU10" s="56"/>
      <c r="CPV10" s="58"/>
      <c r="CPW10" s="57"/>
      <c r="CPX10" s="56"/>
      <c r="CPY10" s="57"/>
      <c r="CPZ10" s="56"/>
      <c r="CQA10" s="56"/>
      <c r="CQB10" s="56"/>
      <c r="CQC10" s="57"/>
      <c r="CQD10" s="387"/>
      <c r="CQE10" s="57"/>
      <c r="CQF10" s="387"/>
      <c r="CQG10" s="57"/>
      <c r="CQH10" s="387"/>
      <c r="CQI10" s="57"/>
      <c r="CQJ10" s="57"/>
      <c r="CQK10" s="57"/>
      <c r="CQL10" s="57"/>
      <c r="CQM10" s="57"/>
      <c r="CQN10" s="57"/>
      <c r="CQO10" s="57"/>
      <c r="CQP10" s="57"/>
      <c r="CQQ10" s="57"/>
      <c r="CQR10" s="57"/>
      <c r="CQS10" s="57"/>
      <c r="CQT10" s="57"/>
      <c r="CQU10" s="57"/>
      <c r="CQV10" s="57"/>
      <c r="CQW10" s="57"/>
      <c r="CQX10" s="57"/>
      <c r="CQY10" s="57"/>
      <c r="CQZ10" s="57"/>
      <c r="CRA10" s="57"/>
      <c r="CRB10" s="57"/>
      <c r="CRC10" s="57"/>
      <c r="CRD10" s="57"/>
      <c r="CRE10" s="57"/>
      <c r="CRF10" s="57"/>
      <c r="CRG10" s="57"/>
      <c r="CRH10" s="57"/>
      <c r="CRI10" s="57"/>
      <c r="CRJ10" s="57"/>
      <c r="CRK10" s="57"/>
      <c r="CRL10" s="57"/>
      <c r="CRM10" s="57"/>
      <c r="CRN10" s="58"/>
      <c r="CRO10" s="56"/>
      <c r="CRP10" s="57"/>
      <c r="CRQ10" s="57"/>
      <c r="CRR10" s="57"/>
      <c r="CRS10" s="57"/>
      <c r="CRT10" s="57"/>
      <c r="CRU10" s="56"/>
      <c r="CRV10" s="57"/>
      <c r="CRW10" s="57"/>
      <c r="CRX10" s="56"/>
      <c r="CRY10" s="57"/>
      <c r="CRZ10" s="58"/>
      <c r="CSA10" s="56"/>
      <c r="CSB10" s="57"/>
      <c r="CSC10" s="57"/>
      <c r="CSD10" s="57"/>
      <c r="CSE10" s="56"/>
      <c r="CSF10" s="57"/>
      <c r="CSG10" s="57"/>
      <c r="CSH10" s="56"/>
      <c r="CSI10" s="57"/>
      <c r="CSJ10" s="58"/>
      <c r="CSK10" s="56"/>
      <c r="CSL10" s="57"/>
      <c r="CSM10" s="57"/>
      <c r="CSN10" s="57"/>
      <c r="CSO10" s="56"/>
      <c r="CSP10" s="57"/>
      <c r="CSQ10" s="57"/>
      <c r="CSR10" s="56"/>
      <c r="CSS10" s="57"/>
      <c r="CST10" s="58"/>
      <c r="CSU10" s="56"/>
      <c r="CSV10" s="57"/>
      <c r="CSW10" s="57"/>
      <c r="CSX10" s="57"/>
      <c r="CSY10" s="56"/>
      <c r="CSZ10" s="57"/>
      <c r="CTA10" s="57"/>
      <c r="CTB10" s="56"/>
      <c r="CTC10" s="57"/>
      <c r="CTD10" s="58"/>
      <c r="CTE10" s="56"/>
      <c r="CTF10" s="58"/>
      <c r="CTG10" s="57"/>
      <c r="CTH10" s="56"/>
      <c r="CTI10" s="57"/>
      <c r="CTJ10" s="56"/>
      <c r="CTK10" s="56"/>
      <c r="CTL10" s="56"/>
      <c r="CTM10" s="57"/>
      <c r="CTN10" s="387"/>
      <c r="CTO10" s="57"/>
      <c r="CTP10" s="387"/>
      <c r="CTQ10" s="57"/>
      <c r="CTR10" s="387"/>
      <c r="CTS10" s="57"/>
      <c r="CTT10" s="57"/>
      <c r="CTU10" s="57"/>
      <c r="CTV10" s="57"/>
      <c r="CTW10" s="57"/>
      <c r="CTX10" s="57"/>
      <c r="CTY10" s="57"/>
      <c r="CTZ10" s="57"/>
      <c r="CUA10" s="57"/>
      <c r="CUB10" s="57"/>
      <c r="CUC10" s="57"/>
      <c r="CUD10" s="57"/>
      <c r="CUE10" s="57"/>
      <c r="CUF10" s="57"/>
      <c r="CUG10" s="57"/>
      <c r="CUH10" s="57"/>
      <c r="CUI10" s="57"/>
      <c r="CUJ10" s="57"/>
      <c r="CUK10" s="57"/>
      <c r="CUL10" s="57"/>
      <c r="CUM10" s="57"/>
      <c r="CUN10" s="57"/>
      <c r="CUO10" s="57"/>
      <c r="CUP10" s="57"/>
      <c r="CUQ10" s="57"/>
      <c r="CUR10" s="57"/>
      <c r="CUS10" s="57"/>
      <c r="CUT10" s="57"/>
      <c r="CUU10" s="57"/>
      <c r="CUV10" s="57"/>
      <c r="CUW10" s="57"/>
      <c r="CUX10" s="58"/>
      <c r="CUY10" s="56"/>
      <c r="CUZ10" s="57"/>
      <c r="CVA10" s="57"/>
      <c r="CVB10" s="57"/>
      <c r="CVC10" s="57"/>
      <c r="CVD10" s="57"/>
      <c r="CVE10" s="56"/>
      <c r="CVF10" s="57"/>
      <c r="CVG10" s="57"/>
      <c r="CVH10" s="56"/>
      <c r="CVI10" s="57"/>
      <c r="CVJ10" s="58"/>
      <c r="CVK10" s="56"/>
      <c r="CVL10" s="57"/>
      <c r="CVM10" s="57"/>
      <c r="CVN10" s="57"/>
      <c r="CVO10" s="56"/>
      <c r="CVP10" s="57"/>
      <c r="CVQ10" s="57"/>
      <c r="CVR10" s="56"/>
      <c r="CVS10" s="57"/>
      <c r="CVT10" s="58"/>
      <c r="CVU10" s="56"/>
      <c r="CVV10" s="57"/>
      <c r="CVW10" s="57"/>
      <c r="CVX10" s="57"/>
      <c r="CVY10" s="56"/>
      <c r="CVZ10" s="57"/>
      <c r="CWA10" s="57"/>
      <c r="CWB10" s="56"/>
      <c r="CWC10" s="57"/>
      <c r="CWD10" s="58"/>
      <c r="CWE10" s="56"/>
      <c r="CWF10" s="57"/>
      <c r="CWG10" s="57"/>
      <c r="CWH10" s="57"/>
      <c r="CWI10" s="56"/>
      <c r="CWJ10" s="57"/>
      <c r="CWK10" s="57"/>
      <c r="CWL10" s="56"/>
      <c r="CWM10" s="57"/>
      <c r="CWN10" s="58"/>
      <c r="CWO10" s="56"/>
      <c r="CWP10" s="58"/>
      <c r="CWQ10" s="57"/>
      <c r="CWR10" s="56"/>
      <c r="CWS10" s="57"/>
      <c r="CWT10" s="56"/>
      <c r="CWU10" s="56"/>
      <c r="CWV10" s="56"/>
      <c r="CWW10" s="57"/>
      <c r="CWX10" s="387"/>
      <c r="CWY10" s="57"/>
      <c r="CWZ10" s="387"/>
      <c r="CXA10" s="57"/>
      <c r="CXB10" s="387"/>
      <c r="CXC10" s="57"/>
      <c r="CXD10" s="57"/>
      <c r="CXE10" s="57"/>
      <c r="CXF10" s="57"/>
      <c r="CXG10" s="57"/>
      <c r="CXH10" s="57"/>
      <c r="CXI10" s="57"/>
      <c r="CXJ10" s="57"/>
      <c r="CXK10" s="57"/>
      <c r="CXL10" s="57"/>
      <c r="CXM10" s="57"/>
      <c r="CXN10" s="57"/>
      <c r="CXO10" s="57"/>
      <c r="CXP10" s="57"/>
      <c r="CXQ10" s="57"/>
      <c r="CXR10" s="57"/>
      <c r="CXS10" s="57"/>
      <c r="CXT10" s="57"/>
      <c r="CXU10" s="57"/>
      <c r="CXV10" s="57"/>
      <c r="CXW10" s="57"/>
      <c r="CXX10" s="57"/>
      <c r="CXY10" s="57"/>
      <c r="CXZ10" s="57"/>
      <c r="CYA10" s="57"/>
      <c r="CYB10" s="57"/>
      <c r="CYC10" s="57"/>
      <c r="CYD10" s="57"/>
      <c r="CYE10" s="57"/>
      <c r="CYF10" s="57"/>
      <c r="CYG10" s="57"/>
      <c r="CYH10" s="58"/>
      <c r="CYI10" s="56"/>
      <c r="CYJ10" s="57"/>
      <c r="CYK10" s="57"/>
      <c r="CYL10" s="57"/>
      <c r="CYM10" s="57"/>
      <c r="CYN10" s="57"/>
      <c r="CYO10" s="56"/>
      <c r="CYP10" s="57"/>
      <c r="CYQ10" s="57"/>
      <c r="CYR10" s="56"/>
      <c r="CYS10" s="57"/>
      <c r="CYT10" s="58"/>
      <c r="CYU10" s="56"/>
      <c r="CYV10" s="57"/>
      <c r="CYW10" s="57"/>
      <c r="CYX10" s="57"/>
      <c r="CYY10" s="56"/>
      <c r="CYZ10" s="57"/>
      <c r="CZA10" s="57"/>
      <c r="CZB10" s="56"/>
      <c r="CZC10" s="57"/>
      <c r="CZD10" s="58"/>
      <c r="CZE10" s="56"/>
      <c r="CZF10" s="57"/>
      <c r="CZG10" s="57"/>
      <c r="CZH10" s="57"/>
      <c r="CZI10" s="56"/>
      <c r="CZJ10" s="57"/>
      <c r="CZK10" s="57"/>
      <c r="CZL10" s="56"/>
      <c r="CZM10" s="57"/>
      <c r="CZN10" s="58"/>
      <c r="CZO10" s="56"/>
      <c r="CZP10" s="57"/>
      <c r="CZQ10" s="57"/>
      <c r="CZR10" s="57"/>
      <c r="CZS10" s="56"/>
      <c r="CZT10" s="57"/>
      <c r="CZU10" s="57"/>
      <c r="CZV10" s="56"/>
      <c r="CZW10" s="57"/>
      <c r="CZX10" s="58"/>
      <c r="CZY10" s="56"/>
      <c r="CZZ10" s="58"/>
      <c r="DAA10" s="57"/>
      <c r="DAB10" s="56"/>
      <c r="DAC10" s="57"/>
      <c r="DAD10" s="56"/>
      <c r="DAE10" s="56"/>
      <c r="DAF10" s="56"/>
      <c r="DAG10" s="57"/>
      <c r="DAH10" s="387"/>
      <c r="DAI10" s="57"/>
      <c r="DAJ10" s="387"/>
      <c r="DAK10" s="57"/>
      <c r="DAL10" s="387"/>
      <c r="DAM10" s="57"/>
      <c r="DAN10" s="57"/>
      <c r="DAO10" s="57"/>
      <c r="DAP10" s="57"/>
      <c r="DAQ10" s="57"/>
      <c r="DAR10" s="57"/>
      <c r="DAS10" s="57"/>
      <c r="DAT10" s="57"/>
      <c r="DAU10" s="57"/>
      <c r="DAV10" s="57"/>
      <c r="DAW10" s="57"/>
      <c r="DAX10" s="57"/>
      <c r="DAY10" s="57"/>
      <c r="DAZ10" s="57"/>
      <c r="DBA10" s="57"/>
      <c r="DBB10" s="57"/>
      <c r="DBC10" s="57"/>
      <c r="DBD10" s="57"/>
      <c r="DBE10" s="57"/>
      <c r="DBF10" s="57"/>
      <c r="DBG10" s="57"/>
      <c r="DBH10" s="57"/>
      <c r="DBI10" s="57"/>
      <c r="DBJ10" s="57"/>
      <c r="DBK10" s="57"/>
      <c r="DBL10" s="57"/>
      <c r="DBM10" s="57"/>
      <c r="DBN10" s="57"/>
      <c r="DBO10" s="57"/>
      <c r="DBP10" s="57"/>
      <c r="DBQ10" s="57"/>
      <c r="DBR10" s="58"/>
      <c r="DBS10" s="56"/>
      <c r="DBT10" s="57"/>
      <c r="DBU10" s="57"/>
      <c r="DBV10" s="57"/>
      <c r="DBW10" s="57"/>
      <c r="DBX10" s="57"/>
      <c r="DBY10" s="56"/>
      <c r="DBZ10" s="57"/>
      <c r="DCA10" s="57"/>
      <c r="DCB10" s="56"/>
      <c r="DCC10" s="57"/>
      <c r="DCD10" s="58"/>
      <c r="DCE10" s="56"/>
      <c r="DCF10" s="57"/>
      <c r="DCG10" s="57"/>
      <c r="DCH10" s="57"/>
      <c r="DCI10" s="56"/>
      <c r="DCJ10" s="57"/>
      <c r="DCK10" s="57"/>
      <c r="DCL10" s="56"/>
      <c r="DCM10" s="57"/>
      <c r="DCN10" s="58"/>
      <c r="DCO10" s="56"/>
      <c r="DCP10" s="57"/>
      <c r="DCQ10" s="57"/>
      <c r="DCR10" s="57"/>
      <c r="DCS10" s="56"/>
      <c r="DCT10" s="57"/>
      <c r="DCU10" s="57"/>
      <c r="DCV10" s="56"/>
      <c r="DCW10" s="57"/>
      <c r="DCX10" s="58"/>
      <c r="DCY10" s="56"/>
      <c r="DCZ10" s="57"/>
      <c r="DDA10" s="57"/>
      <c r="DDB10" s="57"/>
      <c r="DDC10" s="56"/>
      <c r="DDD10" s="57"/>
      <c r="DDE10" s="57"/>
      <c r="DDF10" s="56"/>
      <c r="DDG10" s="57"/>
      <c r="DDH10" s="58"/>
      <c r="DDI10" s="56"/>
      <c r="DDJ10" s="58"/>
      <c r="DDK10" s="57"/>
      <c r="DDL10" s="56"/>
      <c r="DDM10" s="57"/>
      <c r="DDN10" s="56"/>
      <c r="DDO10" s="56"/>
      <c r="DDP10" s="56"/>
      <c r="DDQ10" s="57"/>
      <c r="DDR10" s="387"/>
      <c r="DDS10" s="57"/>
      <c r="DDT10" s="387"/>
      <c r="DDU10" s="57"/>
      <c r="DDV10" s="387"/>
      <c r="DDW10" s="57"/>
      <c r="DDX10" s="57"/>
      <c r="DDY10" s="57"/>
      <c r="DDZ10" s="57"/>
      <c r="DEA10" s="57"/>
      <c r="DEB10" s="57"/>
      <c r="DEC10" s="57"/>
      <c r="DED10" s="57"/>
      <c r="DEE10" s="57"/>
      <c r="DEF10" s="57"/>
      <c r="DEG10" s="57"/>
      <c r="DEH10" s="57"/>
      <c r="DEI10" s="57"/>
      <c r="DEJ10" s="57"/>
      <c r="DEK10" s="57"/>
      <c r="DEL10" s="57"/>
      <c r="DEM10" s="57"/>
      <c r="DEN10" s="57"/>
      <c r="DEO10" s="57"/>
      <c r="DEP10" s="57"/>
      <c r="DEQ10" s="57"/>
      <c r="DER10" s="57"/>
      <c r="DES10" s="57"/>
      <c r="DET10" s="57"/>
      <c r="DEU10" s="57"/>
      <c r="DEV10" s="57"/>
      <c r="DEW10" s="57"/>
      <c r="DEX10" s="57"/>
      <c r="DEY10" s="57"/>
      <c r="DEZ10" s="57"/>
      <c r="DFA10" s="57"/>
      <c r="DFB10" s="58"/>
      <c r="DFC10" s="56"/>
      <c r="DFD10" s="57"/>
      <c r="DFE10" s="57"/>
      <c r="DFF10" s="57"/>
      <c r="DFG10" s="57"/>
      <c r="DFH10" s="57"/>
      <c r="DFI10" s="56"/>
      <c r="DFJ10" s="57"/>
      <c r="DFK10" s="57"/>
      <c r="DFL10" s="56"/>
      <c r="DFM10" s="57"/>
      <c r="DFN10" s="58"/>
      <c r="DFO10" s="56"/>
      <c r="DFP10" s="57"/>
      <c r="DFQ10" s="57"/>
      <c r="DFR10" s="57"/>
      <c r="DFS10" s="56"/>
      <c r="DFT10" s="57"/>
      <c r="DFU10" s="57"/>
      <c r="DFV10" s="56"/>
      <c r="DFW10" s="57"/>
      <c r="DFX10" s="58"/>
      <c r="DFY10" s="56"/>
      <c r="DFZ10" s="57"/>
      <c r="DGA10" s="57"/>
      <c r="DGB10" s="57"/>
      <c r="DGC10" s="56"/>
      <c r="DGD10" s="57"/>
      <c r="DGE10" s="57"/>
      <c r="DGF10" s="56"/>
      <c r="DGG10" s="57"/>
      <c r="DGH10" s="58"/>
      <c r="DGI10" s="56"/>
      <c r="DGJ10" s="57"/>
      <c r="DGK10" s="57"/>
      <c r="DGL10" s="57"/>
      <c r="DGM10" s="56"/>
      <c r="DGN10" s="57"/>
      <c r="DGO10" s="57"/>
      <c r="DGP10" s="56"/>
      <c r="DGQ10" s="57"/>
      <c r="DGR10" s="58"/>
      <c r="DGS10" s="56"/>
      <c r="DGT10" s="58"/>
      <c r="DGU10" s="57"/>
      <c r="DGV10" s="56"/>
      <c r="DGW10" s="57"/>
      <c r="DGX10" s="56"/>
      <c r="DGY10" s="56"/>
      <c r="DGZ10" s="56"/>
      <c r="DHA10" s="57"/>
      <c r="DHB10" s="387"/>
      <c r="DHC10" s="57"/>
      <c r="DHD10" s="387"/>
      <c r="DHE10" s="57"/>
      <c r="DHF10" s="387"/>
      <c r="DHG10" s="57"/>
      <c r="DHH10" s="57"/>
      <c r="DHI10" s="57"/>
      <c r="DHJ10" s="57"/>
      <c r="DHK10" s="57"/>
      <c r="DHL10" s="57"/>
      <c r="DHM10" s="57"/>
      <c r="DHN10" s="57"/>
      <c r="DHO10" s="57"/>
      <c r="DHP10" s="57"/>
      <c r="DHQ10" s="57"/>
      <c r="DHR10" s="57"/>
      <c r="DHS10" s="57"/>
      <c r="DHT10" s="57"/>
      <c r="DHU10" s="57"/>
      <c r="DHV10" s="57"/>
      <c r="DHW10" s="57"/>
      <c r="DHX10" s="57"/>
      <c r="DHY10" s="57"/>
      <c r="DHZ10" s="57"/>
      <c r="DIA10" s="57"/>
      <c r="DIB10" s="57"/>
      <c r="DIC10" s="57"/>
      <c r="DID10" s="57"/>
      <c r="DIE10" s="57"/>
      <c r="DIF10" s="57"/>
      <c r="DIG10" s="57"/>
      <c r="DIH10" s="57"/>
      <c r="DII10" s="57"/>
      <c r="DIJ10" s="57"/>
      <c r="DIK10" s="57"/>
      <c r="DIL10" s="58"/>
      <c r="DIM10" s="56"/>
      <c r="DIN10" s="57"/>
      <c r="DIO10" s="57"/>
      <c r="DIP10" s="57"/>
      <c r="DIQ10" s="57"/>
      <c r="DIR10" s="57"/>
      <c r="DIS10" s="56"/>
      <c r="DIT10" s="57"/>
      <c r="DIU10" s="57"/>
      <c r="DIV10" s="56"/>
      <c r="DIW10" s="57"/>
      <c r="DIX10" s="58"/>
      <c r="DIY10" s="56"/>
      <c r="DIZ10" s="57"/>
      <c r="DJA10" s="57"/>
      <c r="DJB10" s="57"/>
      <c r="DJC10" s="56"/>
      <c r="DJD10" s="57"/>
      <c r="DJE10" s="57"/>
      <c r="DJF10" s="56"/>
      <c r="DJG10" s="57"/>
      <c r="DJH10" s="58"/>
      <c r="DJI10" s="56"/>
      <c r="DJJ10" s="57"/>
      <c r="DJK10" s="57"/>
      <c r="DJL10" s="57"/>
      <c r="DJM10" s="56"/>
      <c r="DJN10" s="57"/>
      <c r="DJO10" s="57"/>
      <c r="DJP10" s="56"/>
      <c r="DJQ10" s="57"/>
      <c r="DJR10" s="58"/>
      <c r="DJS10" s="56"/>
      <c r="DJT10" s="57"/>
      <c r="DJU10" s="57"/>
      <c r="DJV10" s="57"/>
      <c r="DJW10" s="56"/>
      <c r="DJX10" s="57"/>
      <c r="DJY10" s="57"/>
      <c r="DJZ10" s="56"/>
      <c r="DKA10" s="57"/>
      <c r="DKB10" s="58"/>
      <c r="DKC10" s="56"/>
      <c r="DKD10" s="58"/>
      <c r="DKE10" s="57"/>
      <c r="DKF10" s="56"/>
      <c r="DKG10" s="57"/>
      <c r="DKH10" s="56"/>
      <c r="DKI10" s="56"/>
      <c r="DKJ10" s="56"/>
      <c r="DKK10" s="57"/>
      <c r="DKL10" s="387"/>
      <c r="DKM10" s="57"/>
      <c r="DKN10" s="387"/>
      <c r="DKO10" s="57"/>
      <c r="DKP10" s="387"/>
      <c r="DKQ10" s="57"/>
      <c r="DKR10" s="57"/>
      <c r="DKS10" s="57"/>
      <c r="DKT10" s="57"/>
      <c r="DKU10" s="57"/>
      <c r="DKV10" s="57"/>
      <c r="DKW10" s="57"/>
      <c r="DKX10" s="57"/>
      <c r="DKY10" s="57"/>
      <c r="DKZ10" s="57"/>
      <c r="DLA10" s="57"/>
      <c r="DLB10" s="57"/>
      <c r="DLC10" s="57"/>
      <c r="DLD10" s="57"/>
      <c r="DLE10" s="57"/>
      <c r="DLF10" s="57"/>
      <c r="DLG10" s="57"/>
      <c r="DLH10" s="57"/>
      <c r="DLI10" s="57"/>
      <c r="DLJ10" s="57"/>
      <c r="DLK10" s="57"/>
      <c r="DLL10" s="57"/>
      <c r="DLM10" s="57"/>
      <c r="DLN10" s="57"/>
      <c r="DLO10" s="57"/>
      <c r="DLP10" s="57"/>
      <c r="DLQ10" s="57"/>
      <c r="DLR10" s="57"/>
      <c r="DLS10" s="57"/>
      <c r="DLT10" s="57"/>
      <c r="DLU10" s="57"/>
      <c r="DLV10" s="58"/>
      <c r="DLW10" s="56"/>
      <c r="DLX10" s="57"/>
      <c r="DLY10" s="57"/>
      <c r="DLZ10" s="57"/>
      <c r="DMA10" s="57"/>
      <c r="DMB10" s="57"/>
      <c r="DMC10" s="56"/>
      <c r="DMD10" s="57"/>
      <c r="DME10" s="57"/>
      <c r="DMF10" s="56"/>
      <c r="DMG10" s="57"/>
      <c r="DMH10" s="58"/>
      <c r="DMI10" s="56"/>
      <c r="DMJ10" s="57"/>
      <c r="DMK10" s="57"/>
      <c r="DML10" s="57"/>
      <c r="DMM10" s="56"/>
      <c r="DMN10" s="57"/>
      <c r="DMO10" s="57"/>
      <c r="DMP10" s="56"/>
      <c r="DMQ10" s="57"/>
      <c r="DMR10" s="58"/>
      <c r="DMS10" s="56"/>
      <c r="DMT10" s="57"/>
      <c r="DMU10" s="57"/>
      <c r="DMV10" s="57"/>
      <c r="DMW10" s="56"/>
      <c r="DMX10" s="57"/>
      <c r="DMY10" s="57"/>
      <c r="DMZ10" s="56"/>
      <c r="DNA10" s="57"/>
      <c r="DNB10" s="58"/>
      <c r="DNC10" s="56"/>
      <c r="DND10" s="57"/>
      <c r="DNE10" s="57"/>
      <c r="DNF10" s="57"/>
      <c r="DNG10" s="56"/>
      <c r="DNH10" s="57"/>
      <c r="DNI10" s="57"/>
      <c r="DNJ10" s="56"/>
      <c r="DNK10" s="57"/>
      <c r="DNL10" s="58"/>
      <c r="DNM10" s="56"/>
      <c r="DNN10" s="58"/>
      <c r="DNO10" s="57"/>
      <c r="DNP10" s="56"/>
      <c r="DNQ10" s="57"/>
      <c r="DNR10" s="56"/>
      <c r="DNS10" s="56"/>
      <c r="DNT10" s="56"/>
      <c r="DNU10" s="57"/>
      <c r="DNV10" s="387"/>
      <c r="DNW10" s="57"/>
      <c r="DNX10" s="387"/>
      <c r="DNY10" s="57"/>
      <c r="DNZ10" s="387"/>
      <c r="DOA10" s="57"/>
      <c r="DOB10" s="57"/>
      <c r="DOC10" s="57"/>
      <c r="DOD10" s="57"/>
      <c r="DOE10" s="57"/>
      <c r="DOF10" s="57"/>
      <c r="DOG10" s="57"/>
      <c r="DOH10" s="57"/>
      <c r="DOI10" s="57"/>
      <c r="DOJ10" s="57"/>
      <c r="DOK10" s="57"/>
      <c r="DOL10" s="57"/>
      <c r="DOM10" s="57"/>
      <c r="DON10" s="57"/>
      <c r="DOO10" s="57"/>
      <c r="DOP10" s="57"/>
      <c r="DOQ10" s="57"/>
      <c r="DOR10" s="57"/>
      <c r="DOS10" s="57"/>
      <c r="DOT10" s="57"/>
      <c r="DOU10" s="57"/>
      <c r="DOV10" s="57"/>
      <c r="DOW10" s="57"/>
      <c r="DOX10" s="57"/>
      <c r="DOY10" s="57"/>
      <c r="DOZ10" s="57"/>
      <c r="DPA10" s="57"/>
      <c r="DPB10" s="57"/>
      <c r="DPC10" s="57"/>
      <c r="DPD10" s="57"/>
      <c r="DPE10" s="57"/>
      <c r="DPF10" s="58"/>
      <c r="DPG10" s="56"/>
      <c r="DPH10" s="57"/>
      <c r="DPI10" s="57"/>
      <c r="DPJ10" s="57"/>
      <c r="DPK10" s="57"/>
      <c r="DPL10" s="57"/>
      <c r="DPM10" s="56"/>
      <c r="DPN10" s="57"/>
      <c r="DPO10" s="57"/>
      <c r="DPP10" s="56"/>
      <c r="DPQ10" s="57"/>
      <c r="DPR10" s="58"/>
      <c r="DPS10" s="56"/>
      <c r="DPT10" s="57"/>
      <c r="DPU10" s="57"/>
      <c r="DPV10" s="57"/>
      <c r="DPW10" s="56"/>
      <c r="DPX10" s="57"/>
      <c r="DPY10" s="57"/>
      <c r="DPZ10" s="56"/>
      <c r="DQA10" s="57"/>
      <c r="DQB10" s="58"/>
      <c r="DQC10" s="56"/>
      <c r="DQD10" s="57"/>
      <c r="DQE10" s="57"/>
      <c r="DQF10" s="57"/>
      <c r="DQG10" s="56"/>
      <c r="DQH10" s="57"/>
      <c r="DQI10" s="57"/>
      <c r="DQJ10" s="56"/>
      <c r="DQK10" s="57"/>
      <c r="DQL10" s="58"/>
      <c r="DQM10" s="56"/>
      <c r="DQN10" s="57"/>
      <c r="DQO10" s="57"/>
      <c r="DQP10" s="57"/>
      <c r="DQQ10" s="56"/>
      <c r="DQR10" s="57"/>
      <c r="DQS10" s="57"/>
      <c r="DQT10" s="56"/>
      <c r="DQU10" s="57"/>
      <c r="DQV10" s="58"/>
      <c r="DQW10" s="56"/>
      <c r="DQX10" s="58"/>
      <c r="DQY10" s="57"/>
      <c r="DQZ10" s="56"/>
      <c r="DRA10" s="57"/>
      <c r="DRB10" s="56"/>
      <c r="DRC10" s="56"/>
      <c r="DRD10" s="56"/>
      <c r="DRE10" s="57"/>
      <c r="DRF10" s="387"/>
      <c r="DRG10" s="57"/>
      <c r="DRH10" s="387"/>
      <c r="DRI10" s="57"/>
      <c r="DRJ10" s="387"/>
      <c r="DRK10" s="57"/>
      <c r="DRL10" s="57"/>
      <c r="DRM10" s="57"/>
      <c r="DRN10" s="57"/>
      <c r="DRO10" s="57"/>
      <c r="DRP10" s="57"/>
      <c r="DRQ10" s="57"/>
      <c r="DRR10" s="57"/>
      <c r="DRS10" s="57"/>
      <c r="DRT10" s="57"/>
      <c r="DRU10" s="57"/>
      <c r="DRV10" s="57"/>
      <c r="DRW10" s="57"/>
      <c r="DRX10" s="57"/>
      <c r="DRY10" s="57"/>
      <c r="DRZ10" s="57"/>
      <c r="DSA10" s="57"/>
      <c r="DSB10" s="57"/>
      <c r="DSC10" s="57"/>
      <c r="DSD10" s="57"/>
      <c r="DSE10" s="57"/>
      <c r="DSF10" s="57"/>
      <c r="DSG10" s="57"/>
      <c r="DSH10" s="57"/>
      <c r="DSI10" s="57"/>
      <c r="DSJ10" s="57"/>
      <c r="DSK10" s="57"/>
      <c r="DSL10" s="57"/>
      <c r="DSM10" s="57"/>
      <c r="DSN10" s="57"/>
      <c r="DSO10" s="57"/>
      <c r="DSP10" s="58"/>
      <c r="DSQ10" s="56"/>
      <c r="DSR10" s="57"/>
      <c r="DSS10" s="57"/>
      <c r="DST10" s="57"/>
      <c r="DSU10" s="57"/>
      <c r="DSV10" s="57"/>
      <c r="DSW10" s="56"/>
      <c r="DSX10" s="57"/>
      <c r="DSY10" s="57"/>
      <c r="DSZ10" s="56"/>
      <c r="DTA10" s="57"/>
      <c r="DTB10" s="58"/>
      <c r="DTC10" s="56"/>
      <c r="DTD10" s="57"/>
      <c r="DTE10" s="57"/>
      <c r="DTF10" s="57"/>
      <c r="DTG10" s="56"/>
      <c r="DTH10" s="57"/>
      <c r="DTI10" s="57"/>
      <c r="DTJ10" s="56"/>
      <c r="DTK10" s="57"/>
      <c r="DTL10" s="58"/>
      <c r="DTM10" s="56"/>
      <c r="DTN10" s="57"/>
      <c r="DTO10" s="57"/>
      <c r="DTP10" s="57"/>
      <c r="DTQ10" s="56"/>
      <c r="DTR10" s="57"/>
      <c r="DTS10" s="57"/>
      <c r="DTT10" s="56"/>
      <c r="DTU10" s="57"/>
      <c r="DTV10" s="58"/>
      <c r="DTW10" s="56"/>
      <c r="DTX10" s="57"/>
      <c r="DTY10" s="57"/>
      <c r="DTZ10" s="57"/>
      <c r="DUA10" s="56"/>
      <c r="DUB10" s="57"/>
      <c r="DUC10" s="57"/>
      <c r="DUD10" s="56"/>
      <c r="DUE10" s="57"/>
      <c r="DUF10" s="58"/>
      <c r="DUG10" s="56"/>
      <c r="DUH10" s="58"/>
      <c r="DUI10" s="57"/>
      <c r="DUJ10" s="56"/>
      <c r="DUK10" s="57"/>
      <c r="DUL10" s="56"/>
      <c r="DUM10" s="56"/>
      <c r="DUN10" s="56"/>
      <c r="DUO10" s="57"/>
      <c r="DUP10" s="387"/>
      <c r="DUQ10" s="57"/>
      <c r="DUR10" s="387"/>
      <c r="DUS10" s="57"/>
      <c r="DUT10" s="387"/>
      <c r="DUU10" s="57"/>
      <c r="DUV10" s="57"/>
      <c r="DUW10" s="57"/>
      <c r="DUX10" s="57"/>
      <c r="DUY10" s="57"/>
      <c r="DUZ10" s="57"/>
      <c r="DVA10" s="57"/>
      <c r="DVB10" s="57"/>
      <c r="DVC10" s="57"/>
      <c r="DVD10" s="57"/>
      <c r="DVE10" s="57"/>
      <c r="DVF10" s="57"/>
      <c r="DVG10" s="57"/>
      <c r="DVH10" s="57"/>
      <c r="DVI10" s="57"/>
      <c r="DVJ10" s="57"/>
      <c r="DVK10" s="57"/>
      <c r="DVL10" s="57"/>
      <c r="DVM10" s="57"/>
      <c r="DVN10" s="57"/>
      <c r="DVO10" s="57"/>
      <c r="DVP10" s="57"/>
      <c r="DVQ10" s="57"/>
      <c r="DVR10" s="57"/>
      <c r="DVS10" s="57"/>
      <c r="DVT10" s="57"/>
      <c r="DVU10" s="57"/>
      <c r="DVV10" s="57"/>
      <c r="DVW10" s="57"/>
      <c r="DVX10" s="57"/>
      <c r="DVY10" s="57"/>
      <c r="DVZ10" s="58"/>
      <c r="DWA10" s="56"/>
      <c r="DWB10" s="57"/>
      <c r="DWC10" s="57"/>
      <c r="DWD10" s="57"/>
      <c r="DWE10" s="57"/>
      <c r="DWF10" s="57"/>
      <c r="DWG10" s="56"/>
      <c r="DWH10" s="57"/>
      <c r="DWI10" s="57"/>
      <c r="DWJ10" s="56"/>
      <c r="DWK10" s="57"/>
      <c r="DWL10" s="58"/>
      <c r="DWM10" s="56"/>
      <c r="DWN10" s="57"/>
      <c r="DWO10" s="57"/>
      <c r="DWP10" s="57"/>
      <c r="DWQ10" s="56"/>
      <c r="DWR10" s="57"/>
      <c r="DWS10" s="57"/>
      <c r="DWT10" s="56"/>
      <c r="DWU10" s="57"/>
      <c r="DWV10" s="58"/>
      <c r="DWW10" s="56"/>
      <c r="DWX10" s="57"/>
      <c r="DWY10" s="57"/>
      <c r="DWZ10" s="57"/>
      <c r="DXA10" s="56"/>
      <c r="DXB10" s="57"/>
      <c r="DXC10" s="57"/>
      <c r="DXD10" s="56"/>
      <c r="DXE10" s="57"/>
      <c r="DXF10" s="58"/>
      <c r="DXG10" s="56"/>
      <c r="DXH10" s="57"/>
      <c r="DXI10" s="57"/>
      <c r="DXJ10" s="57"/>
      <c r="DXK10" s="56"/>
      <c r="DXL10" s="57"/>
      <c r="DXM10" s="57"/>
      <c r="DXN10" s="56"/>
      <c r="DXO10" s="57"/>
      <c r="DXP10" s="58"/>
      <c r="DXQ10" s="56"/>
      <c r="DXR10" s="58"/>
      <c r="DXS10" s="57"/>
      <c r="DXT10" s="56"/>
      <c r="DXU10" s="57"/>
      <c r="DXV10" s="56"/>
      <c r="DXW10" s="56"/>
      <c r="DXX10" s="56"/>
      <c r="DXY10" s="57"/>
      <c r="DXZ10" s="387"/>
      <c r="DYA10" s="57"/>
      <c r="DYB10" s="387"/>
      <c r="DYC10" s="57"/>
      <c r="DYD10" s="387"/>
      <c r="DYE10" s="57"/>
      <c r="DYF10" s="57"/>
      <c r="DYG10" s="57"/>
      <c r="DYH10" s="57"/>
      <c r="DYI10" s="57"/>
      <c r="DYJ10" s="57"/>
      <c r="DYK10" s="57"/>
      <c r="DYL10" s="57"/>
      <c r="DYM10" s="57"/>
      <c r="DYN10" s="57"/>
      <c r="DYO10" s="57"/>
      <c r="DYP10" s="57"/>
      <c r="DYQ10" s="57"/>
      <c r="DYR10" s="57"/>
      <c r="DYS10" s="57"/>
      <c r="DYT10" s="57"/>
      <c r="DYU10" s="57"/>
      <c r="DYV10" s="57"/>
      <c r="DYW10" s="57"/>
      <c r="DYX10" s="57"/>
      <c r="DYY10" s="57"/>
      <c r="DYZ10" s="57"/>
      <c r="DZA10" s="57"/>
      <c r="DZB10" s="57"/>
      <c r="DZC10" s="57"/>
      <c r="DZD10" s="57"/>
      <c r="DZE10" s="57"/>
      <c r="DZF10" s="57"/>
      <c r="DZG10" s="57"/>
      <c r="DZH10" s="57"/>
      <c r="DZI10" s="57"/>
      <c r="DZJ10" s="58"/>
      <c r="DZK10" s="56"/>
      <c r="DZL10" s="57"/>
      <c r="DZM10" s="57"/>
      <c r="DZN10" s="57"/>
      <c r="DZO10" s="57"/>
      <c r="DZP10" s="57"/>
      <c r="DZQ10" s="56"/>
      <c r="DZR10" s="57"/>
      <c r="DZS10" s="57"/>
      <c r="DZT10" s="56"/>
      <c r="DZU10" s="57"/>
      <c r="DZV10" s="58"/>
      <c r="DZW10" s="56"/>
      <c r="DZX10" s="57"/>
      <c r="DZY10" s="57"/>
      <c r="DZZ10" s="57"/>
      <c r="EAA10" s="56"/>
      <c r="EAB10" s="57"/>
      <c r="EAC10" s="57"/>
      <c r="EAD10" s="56"/>
      <c r="EAE10" s="57"/>
      <c r="EAF10" s="58"/>
      <c r="EAG10" s="56"/>
      <c r="EAH10" s="57"/>
      <c r="EAI10" s="57"/>
      <c r="EAJ10" s="57"/>
      <c r="EAK10" s="56"/>
      <c r="EAL10" s="57"/>
      <c r="EAM10" s="57"/>
      <c r="EAN10" s="56"/>
      <c r="EAO10" s="57"/>
      <c r="EAP10" s="58"/>
      <c r="EAQ10" s="56"/>
      <c r="EAR10" s="57"/>
      <c r="EAS10" s="57"/>
      <c r="EAT10" s="57"/>
      <c r="EAU10" s="56"/>
      <c r="EAV10" s="57"/>
      <c r="EAW10" s="57"/>
      <c r="EAX10" s="56"/>
      <c r="EAY10" s="57"/>
      <c r="EAZ10" s="58"/>
      <c r="EBA10" s="56"/>
      <c r="EBB10" s="58"/>
      <c r="EBC10" s="57"/>
      <c r="EBD10" s="56"/>
      <c r="EBE10" s="57"/>
      <c r="EBF10" s="56"/>
      <c r="EBG10" s="56"/>
      <c r="EBH10" s="56"/>
      <c r="EBI10" s="57"/>
      <c r="EBJ10" s="387"/>
      <c r="EBK10" s="57"/>
      <c r="EBL10" s="387"/>
      <c r="EBM10" s="57"/>
      <c r="EBN10" s="387"/>
      <c r="EBO10" s="57"/>
      <c r="EBP10" s="57"/>
      <c r="EBQ10" s="57"/>
      <c r="EBR10" s="57"/>
      <c r="EBS10" s="57"/>
      <c r="EBT10" s="57"/>
      <c r="EBU10" s="57"/>
      <c r="EBV10" s="57"/>
      <c r="EBW10" s="57"/>
      <c r="EBX10" s="57"/>
      <c r="EBY10" s="57"/>
      <c r="EBZ10" s="57"/>
      <c r="ECA10" s="57"/>
      <c r="ECB10" s="57"/>
      <c r="ECC10" s="57"/>
      <c r="ECD10" s="57"/>
      <c r="ECE10" s="57"/>
      <c r="ECF10" s="57"/>
      <c r="ECG10" s="57"/>
      <c r="ECH10" s="57"/>
      <c r="ECI10" s="57"/>
      <c r="ECJ10" s="57"/>
      <c r="ECK10" s="57"/>
      <c r="ECL10" s="57"/>
      <c r="ECM10" s="57"/>
      <c r="ECN10" s="57"/>
      <c r="ECO10" s="57"/>
      <c r="ECP10" s="57"/>
      <c r="ECQ10" s="57"/>
      <c r="ECR10" s="57"/>
      <c r="ECS10" s="57"/>
      <c r="ECT10" s="58"/>
      <c r="ECU10" s="56"/>
      <c r="ECV10" s="57"/>
      <c r="ECW10" s="57"/>
      <c r="ECX10" s="57"/>
      <c r="ECY10" s="57"/>
      <c r="ECZ10" s="57"/>
      <c r="EDA10" s="56"/>
      <c r="EDB10" s="57"/>
      <c r="EDC10" s="57"/>
      <c r="EDD10" s="56"/>
      <c r="EDE10" s="57"/>
      <c r="EDF10" s="58"/>
      <c r="EDG10" s="56"/>
      <c r="EDH10" s="57"/>
      <c r="EDI10" s="57"/>
      <c r="EDJ10" s="57"/>
      <c r="EDK10" s="56"/>
      <c r="EDL10" s="57"/>
      <c r="EDM10" s="57"/>
      <c r="EDN10" s="56"/>
      <c r="EDO10" s="57"/>
      <c r="EDP10" s="58"/>
      <c r="EDQ10" s="56"/>
      <c r="EDR10" s="57"/>
      <c r="EDS10" s="57"/>
      <c r="EDT10" s="57"/>
      <c r="EDU10" s="56"/>
      <c r="EDV10" s="57"/>
      <c r="EDW10" s="57"/>
      <c r="EDX10" s="56"/>
      <c r="EDY10" s="57"/>
      <c r="EDZ10" s="58"/>
      <c r="EEA10" s="56"/>
      <c r="EEB10" s="57"/>
      <c r="EEC10" s="57"/>
      <c r="EED10" s="57"/>
      <c r="EEE10" s="56"/>
      <c r="EEF10" s="57"/>
      <c r="EEG10" s="57"/>
      <c r="EEH10" s="56"/>
      <c r="EEI10" s="57"/>
      <c r="EEJ10" s="58"/>
      <c r="EEK10" s="56"/>
      <c r="EEL10" s="58"/>
      <c r="EEM10" s="57"/>
      <c r="EEN10" s="56"/>
      <c r="EEO10" s="57"/>
      <c r="EEP10" s="56"/>
      <c r="EEQ10" s="56"/>
      <c r="EER10" s="56"/>
      <c r="EES10" s="57"/>
      <c r="EET10" s="387"/>
      <c r="EEU10" s="57"/>
      <c r="EEV10" s="387"/>
      <c r="EEW10" s="57"/>
      <c r="EEX10" s="387"/>
      <c r="EEY10" s="57"/>
      <c r="EEZ10" s="57"/>
      <c r="EFA10" s="57"/>
      <c r="EFB10" s="57"/>
      <c r="EFC10" s="57"/>
      <c r="EFD10" s="57"/>
      <c r="EFE10" s="57"/>
      <c r="EFF10" s="57"/>
      <c r="EFG10" s="57"/>
      <c r="EFH10" s="57"/>
      <c r="EFI10" s="57"/>
      <c r="EFJ10" s="57"/>
      <c r="EFK10" s="57"/>
      <c r="EFL10" s="57"/>
      <c r="EFM10" s="57"/>
      <c r="EFN10" s="57"/>
      <c r="EFO10" s="57"/>
      <c r="EFP10" s="57"/>
      <c r="EFQ10" s="57"/>
      <c r="EFR10" s="57"/>
      <c r="EFS10" s="57"/>
      <c r="EFT10" s="57"/>
      <c r="EFU10" s="57"/>
      <c r="EFV10" s="57"/>
      <c r="EFW10" s="57"/>
      <c r="EFX10" s="57"/>
      <c r="EFY10" s="57"/>
      <c r="EFZ10" s="57"/>
      <c r="EGA10" s="57"/>
      <c r="EGB10" s="57"/>
      <c r="EGC10" s="57"/>
      <c r="EGD10" s="58"/>
      <c r="EGE10" s="56"/>
      <c r="EGF10" s="57"/>
      <c r="EGG10" s="57"/>
      <c r="EGH10" s="57"/>
      <c r="EGI10" s="57"/>
      <c r="EGJ10" s="57"/>
      <c r="EGK10" s="56"/>
      <c r="EGL10" s="57"/>
      <c r="EGM10" s="57"/>
      <c r="EGN10" s="56"/>
      <c r="EGO10" s="57"/>
      <c r="EGP10" s="58"/>
      <c r="EGQ10" s="56"/>
      <c r="EGR10" s="57"/>
      <c r="EGS10" s="57"/>
      <c r="EGT10" s="57"/>
      <c r="EGU10" s="56"/>
      <c r="EGV10" s="57"/>
      <c r="EGW10" s="57"/>
      <c r="EGX10" s="56"/>
      <c r="EGY10" s="57"/>
      <c r="EGZ10" s="58"/>
      <c r="EHA10" s="56"/>
      <c r="EHB10" s="57"/>
      <c r="EHC10" s="57"/>
      <c r="EHD10" s="57"/>
      <c r="EHE10" s="56"/>
      <c r="EHF10" s="57"/>
      <c r="EHG10" s="57"/>
      <c r="EHH10" s="56"/>
      <c r="EHI10" s="57"/>
      <c r="EHJ10" s="58"/>
      <c r="EHK10" s="56"/>
      <c r="EHL10" s="57"/>
      <c r="EHM10" s="57"/>
      <c r="EHN10" s="57"/>
      <c r="EHO10" s="56"/>
      <c r="EHP10" s="57"/>
      <c r="EHQ10" s="57"/>
      <c r="EHR10" s="56"/>
      <c r="EHS10" s="57"/>
      <c r="EHT10" s="58"/>
      <c r="EHU10" s="56"/>
      <c r="EHV10" s="58"/>
      <c r="EHW10" s="57"/>
      <c r="EHX10" s="56"/>
      <c r="EHY10" s="57"/>
      <c r="EHZ10" s="56"/>
      <c r="EIA10" s="56"/>
      <c r="EIB10" s="56"/>
      <c r="EIC10" s="57"/>
      <c r="EID10" s="387"/>
      <c r="EIE10" s="57"/>
      <c r="EIF10" s="387"/>
      <c r="EIG10" s="57"/>
      <c r="EIH10" s="387"/>
      <c r="EII10" s="57"/>
      <c r="EIJ10" s="57"/>
      <c r="EIK10" s="57"/>
      <c r="EIL10" s="57"/>
      <c r="EIM10" s="57"/>
      <c r="EIN10" s="57"/>
      <c r="EIO10" s="57"/>
      <c r="EIP10" s="57"/>
      <c r="EIQ10" s="57"/>
      <c r="EIR10" s="57"/>
      <c r="EIS10" s="57"/>
      <c r="EIT10" s="57"/>
      <c r="EIU10" s="57"/>
      <c r="EIV10" s="57"/>
      <c r="EIW10" s="57"/>
      <c r="EIX10" s="57"/>
      <c r="EIY10" s="57"/>
      <c r="EIZ10" s="57"/>
      <c r="EJA10" s="57"/>
      <c r="EJB10" s="57"/>
      <c r="EJC10" s="57"/>
      <c r="EJD10" s="57"/>
      <c r="EJE10" s="57"/>
      <c r="EJF10" s="57"/>
      <c r="EJG10" s="57"/>
      <c r="EJH10" s="57"/>
      <c r="EJI10" s="57"/>
      <c r="EJJ10" s="57"/>
      <c r="EJK10" s="57"/>
      <c r="EJL10" s="57"/>
      <c r="EJM10" s="57"/>
      <c r="EJN10" s="58"/>
      <c r="EJO10" s="56"/>
      <c r="EJP10" s="57"/>
      <c r="EJQ10" s="57"/>
      <c r="EJR10" s="57"/>
      <c r="EJS10" s="57"/>
      <c r="EJT10" s="57"/>
      <c r="EJU10" s="56"/>
      <c r="EJV10" s="57"/>
      <c r="EJW10" s="57"/>
      <c r="EJX10" s="56"/>
      <c r="EJY10" s="57"/>
      <c r="EJZ10" s="58"/>
      <c r="EKA10" s="56"/>
      <c r="EKB10" s="57"/>
      <c r="EKC10" s="57"/>
      <c r="EKD10" s="57"/>
      <c r="EKE10" s="56"/>
      <c r="EKF10" s="57"/>
      <c r="EKG10" s="57"/>
      <c r="EKH10" s="56"/>
      <c r="EKI10" s="57"/>
      <c r="EKJ10" s="58"/>
      <c r="EKK10" s="56"/>
      <c r="EKL10" s="57"/>
      <c r="EKM10" s="57"/>
      <c r="EKN10" s="57"/>
      <c r="EKO10" s="56"/>
      <c r="EKP10" s="57"/>
      <c r="EKQ10" s="57"/>
      <c r="EKR10" s="56"/>
      <c r="EKS10" s="57"/>
      <c r="EKT10" s="58"/>
      <c r="EKU10" s="56"/>
      <c r="EKV10" s="57"/>
      <c r="EKW10" s="57"/>
      <c r="EKX10" s="57"/>
      <c r="EKY10" s="56"/>
      <c r="EKZ10" s="57"/>
      <c r="ELA10" s="57"/>
      <c r="ELB10" s="56"/>
      <c r="ELC10" s="57"/>
      <c r="ELD10" s="58"/>
      <c r="ELE10" s="56"/>
      <c r="ELF10" s="58"/>
      <c r="ELG10" s="57"/>
      <c r="ELH10" s="56"/>
      <c r="ELI10" s="57"/>
      <c r="ELJ10" s="56"/>
      <c r="ELK10" s="56"/>
      <c r="ELL10" s="56"/>
      <c r="ELM10" s="57"/>
      <c r="ELN10" s="387"/>
      <c r="ELO10" s="57"/>
      <c r="ELP10" s="387"/>
      <c r="ELQ10" s="57"/>
      <c r="ELR10" s="387"/>
      <c r="ELS10" s="57"/>
      <c r="ELT10" s="57"/>
      <c r="ELU10" s="57"/>
      <c r="ELV10" s="57"/>
      <c r="ELW10" s="57"/>
      <c r="ELX10" s="57"/>
      <c r="ELY10" s="57"/>
      <c r="ELZ10" s="57"/>
      <c r="EMA10" s="57"/>
      <c r="EMB10" s="57"/>
      <c r="EMC10" s="57"/>
      <c r="EMD10" s="57"/>
      <c r="EME10" s="57"/>
      <c r="EMF10" s="57"/>
      <c r="EMG10" s="57"/>
      <c r="EMH10" s="57"/>
      <c r="EMI10" s="57"/>
      <c r="EMJ10" s="57"/>
      <c r="EMK10" s="57"/>
      <c r="EML10" s="57"/>
      <c r="EMM10" s="57"/>
      <c r="EMN10" s="57"/>
      <c r="EMO10" s="57"/>
      <c r="EMP10" s="57"/>
      <c r="EMQ10" s="57"/>
      <c r="EMR10" s="57"/>
      <c r="EMS10" s="57"/>
      <c r="EMT10" s="57"/>
      <c r="EMU10" s="57"/>
      <c r="EMV10" s="57"/>
      <c r="EMW10" s="57"/>
      <c r="EMX10" s="58"/>
      <c r="EMY10" s="56"/>
      <c r="EMZ10" s="57"/>
      <c r="ENA10" s="57"/>
      <c r="ENB10" s="57"/>
      <c r="ENC10" s="57"/>
      <c r="END10" s="57"/>
      <c r="ENE10" s="56"/>
      <c r="ENF10" s="57"/>
      <c r="ENG10" s="57"/>
      <c r="ENH10" s="56"/>
      <c r="ENI10" s="57"/>
      <c r="ENJ10" s="58"/>
      <c r="ENK10" s="56"/>
      <c r="ENL10" s="57"/>
      <c r="ENM10" s="57"/>
      <c r="ENN10" s="57"/>
      <c r="ENO10" s="56"/>
      <c r="ENP10" s="57"/>
      <c r="ENQ10" s="57"/>
      <c r="ENR10" s="56"/>
      <c r="ENS10" s="57"/>
      <c r="ENT10" s="58"/>
      <c r="ENU10" s="56"/>
      <c r="ENV10" s="57"/>
      <c r="ENW10" s="57"/>
      <c r="ENX10" s="57"/>
      <c r="ENY10" s="56"/>
      <c r="ENZ10" s="57"/>
      <c r="EOA10" s="57"/>
      <c r="EOB10" s="56"/>
      <c r="EOC10" s="57"/>
      <c r="EOD10" s="58"/>
      <c r="EOE10" s="56"/>
      <c r="EOF10" s="57"/>
      <c r="EOG10" s="57"/>
      <c r="EOH10" s="57"/>
      <c r="EOI10" s="56"/>
      <c r="EOJ10" s="57"/>
      <c r="EOK10" s="57"/>
      <c r="EOL10" s="56"/>
      <c r="EOM10" s="57"/>
      <c r="EON10" s="58"/>
      <c r="EOO10" s="56" t="str">
        <f t="shared" si="149"/>
        <v xml:space="preserve"> </v>
      </c>
      <c r="EOP10" s="58"/>
      <c r="EOQ10" s="57"/>
      <c r="EOR10" s="56"/>
      <c r="EOS10" s="57"/>
      <c r="EOT10" s="56"/>
      <c r="EOU10" s="56"/>
      <c r="EOV10" s="56"/>
      <c r="EOW10" s="57"/>
      <c r="EOX10" s="387"/>
      <c r="EOY10" s="57"/>
      <c r="EOZ10" s="387"/>
      <c r="EPA10" s="57"/>
      <c r="EPB10" s="387"/>
      <c r="EPC10" s="57"/>
      <c r="EPD10" s="57"/>
      <c r="EPE10" s="57"/>
      <c r="EPF10" s="57"/>
      <c r="EPG10" s="57"/>
      <c r="EPH10" s="57"/>
      <c r="EPI10" s="57"/>
      <c r="EPJ10" s="57"/>
      <c r="EPK10" s="57"/>
      <c r="EPL10" s="57"/>
      <c r="EPM10" s="57"/>
      <c r="EPN10" s="57"/>
      <c r="EPO10" s="57"/>
      <c r="EPP10" s="57"/>
      <c r="EPQ10" s="57"/>
      <c r="EPR10" s="57"/>
      <c r="EPS10" s="57"/>
      <c r="EPT10" s="57"/>
      <c r="EPU10" s="57"/>
      <c r="EPV10" s="57"/>
      <c r="EPW10" s="57"/>
      <c r="EPX10" s="57"/>
      <c r="EPY10" s="57"/>
      <c r="EPZ10" s="57"/>
      <c r="EQA10" s="57"/>
      <c r="EQB10" s="57"/>
      <c r="EQC10" s="57"/>
      <c r="EQD10" s="57"/>
      <c r="EQE10" s="57"/>
      <c r="EQF10" s="57"/>
      <c r="EQG10" s="57"/>
      <c r="EQH10" s="58"/>
      <c r="EQI10" s="56"/>
      <c r="EQJ10" s="57"/>
      <c r="EQK10" s="57"/>
      <c r="EQL10" s="57"/>
      <c r="EQM10" s="57"/>
      <c r="EQN10" s="57"/>
      <c r="EQO10" s="56"/>
      <c r="EQP10" s="57"/>
      <c r="EQQ10" s="57"/>
      <c r="EQR10" s="56"/>
      <c r="EQS10" s="57"/>
      <c r="EQT10" s="58"/>
      <c r="EQU10" s="56"/>
      <c r="EQV10" s="57"/>
      <c r="EQW10" s="57"/>
      <c r="EQX10" s="57"/>
      <c r="EQY10" s="56"/>
      <c r="EQZ10" s="57"/>
      <c r="ERA10" s="57"/>
      <c r="ERB10" s="56"/>
      <c r="ERC10" s="57"/>
      <c r="ERD10" s="58"/>
      <c r="ERE10" s="56"/>
      <c r="ERF10" s="57"/>
      <c r="ERG10" s="57"/>
      <c r="ERH10" s="57"/>
      <c r="ERI10" s="56"/>
      <c r="ERJ10" s="57"/>
      <c r="ERK10" s="57"/>
      <c r="ERL10" s="56"/>
      <c r="ERM10" s="57"/>
      <c r="ERN10" s="58"/>
      <c r="ERO10" s="56"/>
      <c r="ERP10" s="57"/>
      <c r="ERQ10" s="57"/>
      <c r="ERR10" s="57"/>
      <c r="ERS10" s="56"/>
      <c r="ERT10" s="57"/>
      <c r="ERU10" s="57"/>
      <c r="ERV10" s="56"/>
      <c r="ERW10" s="57"/>
      <c r="ERX10" s="58"/>
      <c r="ERY10" s="56" t="str">
        <f t="shared" si="150"/>
        <v xml:space="preserve"> </v>
      </c>
      <c r="ERZ10" s="58"/>
      <c r="ESA10" s="57"/>
      <c r="ESB10" s="56"/>
      <c r="ESC10" s="57"/>
      <c r="ESD10" s="56"/>
      <c r="ESE10" s="56"/>
      <c r="ESF10" s="56"/>
      <c r="ESG10" s="57"/>
      <c r="ESH10" s="387"/>
      <c r="ESI10" s="57"/>
      <c r="ESJ10" s="387"/>
      <c r="ESK10" s="57"/>
      <c r="ESL10" s="387"/>
      <c r="ESM10" s="57"/>
      <c r="ESN10" s="57"/>
      <c r="ESO10" s="57"/>
      <c r="ESP10" s="57"/>
      <c r="ESQ10" s="57"/>
      <c r="ESR10" s="57"/>
      <c r="ESS10" s="57"/>
      <c r="EST10" s="57"/>
      <c r="ESU10" s="57"/>
      <c r="ESV10" s="57"/>
      <c r="ESW10" s="57"/>
      <c r="ESX10" s="57"/>
      <c r="ESY10" s="57"/>
      <c r="ESZ10" s="57"/>
      <c r="ETA10" s="57"/>
      <c r="ETB10" s="57"/>
      <c r="ETC10" s="57"/>
      <c r="ETD10" s="57"/>
      <c r="ETE10" s="57"/>
      <c r="ETF10" s="57"/>
      <c r="ETG10" s="57"/>
      <c r="ETH10" s="57"/>
      <c r="ETI10" s="57"/>
      <c r="ETJ10" s="57"/>
      <c r="ETK10" s="57"/>
      <c r="ETL10" s="57"/>
      <c r="ETM10" s="57"/>
      <c r="ETN10" s="57"/>
      <c r="ETO10" s="57"/>
      <c r="ETP10" s="57"/>
      <c r="ETQ10" s="57"/>
      <c r="ETR10" s="58"/>
      <c r="ETS10" s="56"/>
      <c r="ETT10" s="57"/>
      <c r="ETU10" s="57"/>
      <c r="ETV10" s="57"/>
      <c r="ETW10" s="57"/>
      <c r="ETX10" s="57"/>
      <c r="ETY10" s="56"/>
      <c r="ETZ10" s="57"/>
      <c r="EUA10" s="57"/>
      <c r="EUB10" s="56"/>
      <c r="EUC10" s="57"/>
      <c r="EUD10" s="58"/>
      <c r="EUE10" s="56"/>
      <c r="EUF10" s="57"/>
      <c r="EUG10" s="57"/>
      <c r="EUH10" s="57"/>
      <c r="EUI10" s="56"/>
      <c r="EUJ10" s="57"/>
      <c r="EUK10" s="57"/>
      <c r="EUL10" s="56"/>
      <c r="EUM10" s="57"/>
      <c r="EUN10" s="58"/>
      <c r="EUO10" s="56"/>
      <c r="EUP10" s="57"/>
      <c r="EUQ10" s="57"/>
      <c r="EUR10" s="57"/>
      <c r="EUS10" s="56"/>
      <c r="EUT10" s="57"/>
      <c r="EUU10" s="57"/>
      <c r="EUV10" s="56"/>
      <c r="EUW10" s="57"/>
      <c r="EUX10" s="58"/>
      <c r="EUY10" s="56"/>
      <c r="EUZ10" s="57"/>
      <c r="EVA10" s="57"/>
      <c r="EVB10" s="57"/>
      <c r="EVC10" s="56"/>
      <c r="EVD10" s="57"/>
      <c r="EVE10" s="57"/>
      <c r="EVF10" s="56"/>
      <c r="EVG10" s="57"/>
      <c r="EVH10" s="58"/>
      <c r="EVI10" s="56" t="str">
        <f t="shared" si="151"/>
        <v xml:space="preserve"> </v>
      </c>
    </row>
    <row r="11" spans="1:3961" x14ac:dyDescent="0.3">
      <c r="A11" s="423" t="s">
        <v>126</v>
      </c>
      <c r="B11" s="30" t="str">
        <f>'REG y VAL POE - AESR - ESR'!B488</f>
        <v xml:space="preserve">Castillo Barrera Jocelyn </v>
      </c>
      <c r="C11" s="29" t="str">
        <f>'REG y VAL POE - AESR - ESR'!C488</f>
        <v>Sin Registro</v>
      </c>
      <c r="D11" s="28">
        <f>'REG y VAL POE - AESR - ESR'!D488</f>
        <v>23194437</v>
      </c>
      <c r="E11" s="29">
        <f>'REG y VAL POE - AESR - ESR'!E488</f>
        <v>0</v>
      </c>
      <c r="F11" s="28">
        <f>'REG y VAL POE - AESR - ESR'!F488</f>
        <v>0</v>
      </c>
      <c r="G11" s="31">
        <f>'REG y VAL POE - AESR - ESR'!G488</f>
        <v>0</v>
      </c>
      <c r="H11" s="31">
        <f>'REG y VAL POE - AESR - ESR'!H488</f>
        <v>0</v>
      </c>
      <c r="I11" s="29">
        <f>'REG y VAL POE - AESR - ESR'!I488</f>
        <v>0</v>
      </c>
      <c r="J11" s="29">
        <f>'REG y VAL POE - AESR - ESR'!J488</f>
        <v>0</v>
      </c>
      <c r="K11" s="29">
        <f>'REG y VAL POE - AESR - ESR'!K488</f>
        <v>0</v>
      </c>
      <c r="L11" s="29">
        <f>'REG y VAL POE - AESR - ESR'!L488</f>
        <v>0</v>
      </c>
      <c r="M11" s="29">
        <f>'REG y VAL POE - AESR - ESR'!M488</f>
        <v>0</v>
      </c>
      <c r="N11" s="29">
        <f>'REG y VAL POE - AESR - ESR'!N488</f>
        <v>0</v>
      </c>
      <c r="O11" s="29">
        <f>'REG y VAL POE - AESR - ESR'!O488</f>
        <v>0</v>
      </c>
      <c r="P11" s="29">
        <f>'REG y VAL POE - AESR - ESR'!P488</f>
        <v>0</v>
      </c>
      <c r="Q11" s="29">
        <f>'REG y VAL POE - AESR - ESR'!Q488</f>
        <v>0</v>
      </c>
      <c r="R11" s="29">
        <f>'REG y VAL POE - AESR - ESR'!R488</f>
        <v>0</v>
      </c>
      <c r="S11" s="29">
        <f>'REG y VAL POE - AESR - ESR'!S488</f>
        <v>0</v>
      </c>
      <c r="T11" s="29">
        <f>'REG y VAL POE - AESR - ESR'!T488</f>
        <v>0</v>
      </c>
      <c r="U11" s="29">
        <f>'REG y VAL POE - AESR - ESR'!U488</f>
        <v>0</v>
      </c>
      <c r="V11" s="29">
        <f>'REG y VAL POE - AESR - ESR'!V488</f>
        <v>0</v>
      </c>
      <c r="W11" s="29">
        <f>'REG y VAL POE - AESR - ESR'!W488</f>
        <v>0</v>
      </c>
      <c r="X11" s="29">
        <f>'REG y VAL POE - AESR - ESR'!X488</f>
        <v>0</v>
      </c>
      <c r="Y11" s="29">
        <f>'REG y VAL POE - AESR - ESR'!Y488</f>
        <v>0</v>
      </c>
      <c r="Z11" s="29">
        <f>'REG y VAL POE - AESR - ESR'!Z488</f>
        <v>0</v>
      </c>
      <c r="AA11" s="29">
        <f>'REG y VAL POE - AESR - ESR'!AA488</f>
        <v>0</v>
      </c>
      <c r="AB11" s="29">
        <f>'REG y VAL POE - AESR - ESR'!AB488</f>
        <v>0</v>
      </c>
      <c r="AC11" s="29">
        <f>'REG y VAL POE - AESR - ESR'!AC488</f>
        <v>0</v>
      </c>
      <c r="AD11" s="29">
        <f>'REG y VAL POE - AESR - ESR'!AD488</f>
        <v>0</v>
      </c>
      <c r="AE11" s="29">
        <f>'REG y VAL POE - AESR - ESR'!AE488</f>
        <v>0</v>
      </c>
      <c r="AF11" s="29">
        <f>'REG y VAL POE - AESR - ESR'!AF488</f>
        <v>0</v>
      </c>
      <c r="AG11" s="29">
        <f>'REG y VAL POE - AESR - ESR'!AG488</f>
        <v>0</v>
      </c>
      <c r="AH11" s="29">
        <f>'REG y VAL POE - AESR - ESR'!AH488</f>
        <v>0</v>
      </c>
      <c r="AI11" s="29">
        <f>'REG y VAL POE - AESR - ESR'!AI488</f>
        <v>0</v>
      </c>
      <c r="AJ11" s="29">
        <f>'REG y VAL POE - AESR - ESR'!AJ488</f>
        <v>0</v>
      </c>
      <c r="AK11" s="29">
        <f>'REG y VAL POE - AESR - ESR'!AK488</f>
        <v>0</v>
      </c>
      <c r="AL11" s="29">
        <f>'REG y VAL POE - AESR - ESR'!AL488</f>
        <v>0</v>
      </c>
      <c r="AM11" s="29">
        <f>'REG y VAL POE - AESR - ESR'!AM488</f>
        <v>0</v>
      </c>
      <c r="AN11" s="29">
        <f>'REG y VAL POE - AESR - ESR'!AN488</f>
        <v>0</v>
      </c>
      <c r="AO11" s="29">
        <f>'REG y VAL POE - AESR - ESR'!AO488</f>
        <v>0</v>
      </c>
      <c r="AP11" s="29">
        <f>'REG y VAL POE - AESR - ESR'!AP488</f>
        <v>0</v>
      </c>
      <c r="AQ11" s="29">
        <f>'REG y VAL POE - AESR - ESR'!AQ488</f>
        <v>0</v>
      </c>
      <c r="AR11" s="29">
        <f>'REG y VAL POE - AESR - ESR'!AR488</f>
        <v>0</v>
      </c>
      <c r="AS11" s="29">
        <f>'REG y VAL POE - AESR - ESR'!AS488</f>
        <v>0</v>
      </c>
      <c r="AT11" s="30" t="str">
        <f>'REG y VAL POE - AESR - ESR'!B489</f>
        <v xml:space="preserve">Enciso Austria Jonatan </v>
      </c>
      <c r="AU11" s="28" t="str">
        <f>'REG y VAL POE - AESR - ESR'!C489</f>
        <v>Sin Registro</v>
      </c>
      <c r="AV11" s="29">
        <f>'REG y VAL POE - AESR - ESR'!D489</f>
        <v>23196464</v>
      </c>
      <c r="AW11" s="29">
        <f>'REG y VAL POE - AESR - ESR'!E489</f>
        <v>0</v>
      </c>
      <c r="AX11" s="29">
        <f>'REG y VAL POE - AESR - ESR'!F489</f>
        <v>0</v>
      </c>
      <c r="AY11" s="29">
        <f>'REG y VAL POE - AESR - ESR'!G489</f>
        <v>0</v>
      </c>
      <c r="AZ11" s="29">
        <f>'REG y VAL POE - AESR - ESR'!H489</f>
        <v>0</v>
      </c>
      <c r="BA11" s="28">
        <f>'REG y VAL POE - AESR - ESR'!I489</f>
        <v>0</v>
      </c>
      <c r="BB11" s="29">
        <f>'REG y VAL POE - AESR - ESR'!J489</f>
        <v>0</v>
      </c>
      <c r="BC11" s="29">
        <f>'REG y VAL POE - AESR - ESR'!K489</f>
        <v>0</v>
      </c>
      <c r="BD11" s="28">
        <f>'REG y VAL POE - AESR - ESR'!L489</f>
        <v>0</v>
      </c>
      <c r="BE11" s="29">
        <f>'REG y VAL POE - AESR - ESR'!M489</f>
        <v>0</v>
      </c>
      <c r="BF11" s="30">
        <f>'REG y VAL POE - AESR - ESR'!N489</f>
        <v>0</v>
      </c>
      <c r="BG11" s="28">
        <f>'REG y VAL POE - AESR - ESR'!O489</f>
        <v>0</v>
      </c>
      <c r="BH11" s="29">
        <f>'REG y VAL POE - AESR - ESR'!P489</f>
        <v>0</v>
      </c>
      <c r="BI11" s="29">
        <f>'REG y VAL POE - AESR - ESR'!Q489</f>
        <v>0</v>
      </c>
      <c r="BJ11" s="29">
        <f>'REG y VAL POE - AESR - ESR'!R489</f>
        <v>0</v>
      </c>
      <c r="BK11" s="28">
        <f>'REG y VAL POE - AESR - ESR'!S489</f>
        <v>0</v>
      </c>
      <c r="BL11" s="29">
        <f>'REG y VAL POE - AESR - ESR'!T489</f>
        <v>0</v>
      </c>
      <c r="BM11" s="29">
        <f>'REG y VAL POE - AESR - ESR'!U489</f>
        <v>0</v>
      </c>
      <c r="BN11" s="28">
        <f>'REG y VAL POE - AESR - ESR'!V489</f>
        <v>0</v>
      </c>
      <c r="BO11" s="29">
        <f>'REG y VAL POE - AESR - ESR'!W489</f>
        <v>0</v>
      </c>
      <c r="BP11" s="30">
        <f>'REG y VAL POE - AESR - ESR'!X489</f>
        <v>0</v>
      </c>
      <c r="BQ11" s="28">
        <f>'REG y VAL POE - AESR - ESR'!Y489</f>
        <v>0</v>
      </c>
      <c r="BR11" s="29">
        <f>'REG y VAL POE - AESR - ESR'!Z489</f>
        <v>0</v>
      </c>
      <c r="BS11" s="29">
        <f>'REG y VAL POE - AESR - ESR'!AA489</f>
        <v>0</v>
      </c>
      <c r="BT11" s="29">
        <f>'REG y VAL POE - AESR - ESR'!AB489</f>
        <v>0</v>
      </c>
      <c r="BU11" s="28">
        <f>'REG y VAL POE - AESR - ESR'!AC489</f>
        <v>0</v>
      </c>
      <c r="BV11" s="29">
        <f>'REG y VAL POE - AESR - ESR'!AD489</f>
        <v>0</v>
      </c>
      <c r="BW11" s="29">
        <f>'REG y VAL POE - AESR - ESR'!AE489</f>
        <v>0</v>
      </c>
      <c r="BX11" s="28">
        <f>'REG y VAL POE - AESR - ESR'!AF489</f>
        <v>0</v>
      </c>
      <c r="BY11" s="29">
        <f>'REG y VAL POE - AESR - ESR'!AG489</f>
        <v>0</v>
      </c>
      <c r="BZ11" s="30">
        <f>'REG y VAL POE - AESR - ESR'!AH489</f>
        <v>0</v>
      </c>
      <c r="CA11" s="28">
        <f>'REG y VAL POE - AESR - ESR'!AI489</f>
        <v>0</v>
      </c>
      <c r="CB11" s="29">
        <f>'REG y VAL POE - AESR - ESR'!AJ489</f>
        <v>0</v>
      </c>
      <c r="CC11" s="29">
        <f>'REG y VAL POE - AESR - ESR'!AK489</f>
        <v>0</v>
      </c>
      <c r="CD11" s="29">
        <f>'REG y VAL POE - AESR - ESR'!AL489</f>
        <v>0</v>
      </c>
      <c r="CE11" s="28">
        <f>'REG y VAL POE - AESR - ESR'!AM489</f>
        <v>0</v>
      </c>
      <c r="CF11" s="29">
        <f>'REG y VAL POE - AESR - ESR'!AN489</f>
        <v>0</v>
      </c>
      <c r="CG11" s="29">
        <f>'REG y VAL POE - AESR - ESR'!AO489</f>
        <v>0</v>
      </c>
      <c r="CH11" s="28">
        <f>'REG y VAL POE - AESR - ESR'!AP489</f>
        <v>0</v>
      </c>
      <c r="CI11" s="29">
        <f>'REG y VAL POE - AESR - ESR'!AQ489</f>
        <v>0</v>
      </c>
      <c r="CJ11" s="30">
        <f>'REG y VAL POE - AESR - ESR'!AR489</f>
        <v>0</v>
      </c>
      <c r="CK11" s="28">
        <f>'REG y VAL POE - AESR - ESR'!AS489</f>
        <v>0</v>
      </c>
      <c r="CL11" s="29" t="str">
        <f>'REG y VAL POE - AESR - ESR'!B490</f>
        <v xml:space="preserve">Espinosa Arroyo Griselda </v>
      </c>
      <c r="CM11" s="29" t="str">
        <f>'REG y VAL POE - AESR - ESR'!C490</f>
        <v>Sin Registro</v>
      </c>
      <c r="CN11" s="29">
        <f>'REG y VAL POE - AESR - ESR'!D490</f>
        <v>23196603</v>
      </c>
      <c r="CO11" s="28">
        <f>'REG y VAL POE - AESR - ESR'!E490</f>
        <v>0</v>
      </c>
      <c r="CP11" s="29">
        <f>'REG y VAL POE - AESR - ESR'!F490</f>
        <v>0</v>
      </c>
      <c r="CQ11" s="29">
        <f>'REG y VAL POE - AESR - ESR'!G490</f>
        <v>0</v>
      </c>
      <c r="CR11" s="28">
        <f>'REG y VAL POE - AESR - ESR'!H490</f>
        <v>0</v>
      </c>
      <c r="CS11" s="29">
        <f>'REG y VAL POE - AESR - ESR'!I490</f>
        <v>0</v>
      </c>
      <c r="CT11" s="30">
        <f>'REG y VAL POE - AESR - ESR'!J490</f>
        <v>0</v>
      </c>
      <c r="CU11" s="28">
        <f>'REG y VAL POE - AESR - ESR'!K490</f>
        <v>0</v>
      </c>
      <c r="CV11" s="29">
        <f>'REG y VAL POE - AESR - ESR'!L490</f>
        <v>0</v>
      </c>
      <c r="CW11" s="29">
        <f>'REG y VAL POE - AESR - ESR'!M490</f>
        <v>0</v>
      </c>
      <c r="CX11" s="29">
        <f>'REG y VAL POE - AESR - ESR'!N490</f>
        <v>0</v>
      </c>
      <c r="CY11" s="28">
        <f>'REG y VAL POE - AESR - ESR'!O490</f>
        <v>0</v>
      </c>
      <c r="CZ11" s="29">
        <f>'REG y VAL POE - AESR - ESR'!P490</f>
        <v>0</v>
      </c>
      <c r="DA11" s="29">
        <f>'REG y VAL POE - AESR - ESR'!Q490</f>
        <v>0</v>
      </c>
      <c r="DB11" s="28">
        <f>'REG y VAL POE - AESR - ESR'!R490</f>
        <v>0</v>
      </c>
      <c r="DC11" s="29">
        <f>'REG y VAL POE - AESR - ESR'!S490</f>
        <v>0</v>
      </c>
      <c r="DD11" s="30">
        <f>'REG y VAL POE - AESR - ESR'!T490</f>
        <v>0</v>
      </c>
      <c r="DE11" s="28">
        <f>'REG y VAL POE - AESR - ESR'!U490</f>
        <v>0</v>
      </c>
      <c r="DF11" s="29">
        <f>'REG y VAL POE - AESR - ESR'!V490</f>
        <v>0</v>
      </c>
      <c r="DG11" s="29">
        <f>'REG y VAL POE - AESR - ESR'!W490</f>
        <v>0</v>
      </c>
      <c r="DH11" s="29">
        <f>'REG y VAL POE - AESR - ESR'!X490</f>
        <v>0</v>
      </c>
      <c r="DI11" s="28">
        <f>'REG y VAL POE - AESR - ESR'!Y490</f>
        <v>0</v>
      </c>
      <c r="DJ11" s="29">
        <f>'REG y VAL POE - AESR - ESR'!Z490</f>
        <v>0</v>
      </c>
      <c r="DK11" s="29">
        <f>'REG y VAL POE - AESR - ESR'!AA490</f>
        <v>0</v>
      </c>
      <c r="DL11" s="28">
        <f>'REG y VAL POE - AESR - ESR'!AB490</f>
        <v>0</v>
      </c>
      <c r="DM11" s="29">
        <f>'REG y VAL POE - AESR - ESR'!AC490</f>
        <v>0</v>
      </c>
      <c r="DN11" s="30">
        <f>'REG y VAL POE - AESR - ESR'!AD490</f>
        <v>0</v>
      </c>
      <c r="DO11" s="28">
        <f>'REG y VAL POE - AESR - ESR'!AE490</f>
        <v>0</v>
      </c>
      <c r="DP11" s="29">
        <f>'REG y VAL POE - AESR - ESR'!AF490</f>
        <v>0</v>
      </c>
      <c r="DQ11" s="29">
        <f>'REG y VAL POE - AESR - ESR'!AG490</f>
        <v>0</v>
      </c>
      <c r="DR11" s="29">
        <f>'REG y VAL POE - AESR - ESR'!AH490</f>
        <v>0</v>
      </c>
      <c r="DS11" s="28">
        <f>'REG y VAL POE - AESR - ESR'!AI490</f>
        <v>0</v>
      </c>
      <c r="DT11" s="29">
        <f>'REG y VAL POE - AESR - ESR'!AJ490</f>
        <v>0</v>
      </c>
      <c r="DU11" s="29">
        <f>'REG y VAL POE - AESR - ESR'!AK490</f>
        <v>0</v>
      </c>
      <c r="DV11" s="28">
        <f>'REG y VAL POE - AESR - ESR'!AL490</f>
        <v>0</v>
      </c>
      <c r="DW11" s="29">
        <f>'REG y VAL POE - AESR - ESR'!AM490</f>
        <v>0</v>
      </c>
      <c r="DX11" s="30">
        <f>'REG y VAL POE - AESR - ESR'!AN490</f>
        <v>0</v>
      </c>
      <c r="DY11" s="28">
        <f>'REG y VAL POE - AESR - ESR'!AO490</f>
        <v>0</v>
      </c>
      <c r="DZ11" s="29">
        <f>'REG y VAL POE - AESR - ESR'!AP490</f>
        <v>0</v>
      </c>
      <c r="EA11" s="29">
        <f>'REG y VAL POE - AESR - ESR'!AQ490</f>
        <v>0</v>
      </c>
      <c r="EB11" s="29">
        <f>'REG y VAL POE - AESR - ESR'!AR490</f>
        <v>0</v>
      </c>
      <c r="EC11" s="28">
        <f>'REG y VAL POE - AESR - ESR'!AS490</f>
        <v>0</v>
      </c>
      <c r="ED11" s="29" t="str">
        <f>'REG y VAL POE - AESR - ESR'!B491</f>
        <v xml:space="preserve">Jimenez Perez Marcelo </v>
      </c>
      <c r="EE11" s="28" t="str">
        <f>'REG y VAL POE - AESR - ESR'!C491</f>
        <v>Sin Registro</v>
      </c>
      <c r="EF11" s="28">
        <f>'REG y VAL POE - AESR - ESR'!D491</f>
        <v>23189718</v>
      </c>
      <c r="EG11" s="29">
        <f>'REG y VAL POE - AESR - ESR'!E491</f>
        <v>0</v>
      </c>
      <c r="EH11" s="30">
        <f>'REG y VAL POE - AESR - ESR'!F491</f>
        <v>0</v>
      </c>
      <c r="EI11" s="28">
        <f>'REG y VAL POE - AESR - ESR'!G491</f>
        <v>0</v>
      </c>
      <c r="EJ11" s="29">
        <f>'REG y VAL POE - AESR - ESR'!H491</f>
        <v>0</v>
      </c>
      <c r="EK11" s="29">
        <f>'REG y VAL POE - AESR - ESR'!I491</f>
        <v>0</v>
      </c>
      <c r="EL11" s="29">
        <f>'REG y VAL POE - AESR - ESR'!J491</f>
        <v>0</v>
      </c>
      <c r="EM11" s="28">
        <f>'REG y VAL POE - AESR - ESR'!K491</f>
        <v>0</v>
      </c>
      <c r="EN11" s="29">
        <f>'REG y VAL POE - AESR - ESR'!L491</f>
        <v>0</v>
      </c>
      <c r="EO11" s="33">
        <f>'REG y VAL POE - AESR - ESR'!M491</f>
        <v>0</v>
      </c>
      <c r="EP11" s="28">
        <f>'REG y VAL POE - AESR - ESR'!N491</f>
        <v>0</v>
      </c>
      <c r="EQ11" s="29">
        <f>'REG y VAL POE - AESR - ESR'!O491</f>
        <v>0</v>
      </c>
      <c r="ER11" s="30">
        <f>'REG y VAL POE - AESR - ESR'!P491</f>
        <v>0</v>
      </c>
      <c r="ES11" s="28">
        <f>'REG y VAL POE - AESR - ESR'!Q491</f>
        <v>0</v>
      </c>
      <c r="ET11" s="29">
        <f>'REG y VAL POE - AESR - ESR'!R491</f>
        <v>0</v>
      </c>
      <c r="EU11" s="29">
        <f>'REG y VAL POE - AESR - ESR'!S491</f>
        <v>0</v>
      </c>
      <c r="EV11" s="29">
        <f>'REG y VAL POE - AESR - ESR'!T491</f>
        <v>0</v>
      </c>
      <c r="EW11" s="28">
        <f>'REG y VAL POE - AESR - ESR'!U491</f>
        <v>0</v>
      </c>
      <c r="EX11" s="29">
        <f>'REG y VAL POE - AESR - ESR'!V491</f>
        <v>0</v>
      </c>
      <c r="EY11" s="29">
        <f>'REG y VAL POE - AESR - ESR'!W491</f>
        <v>0</v>
      </c>
      <c r="EZ11" s="28">
        <f>'REG y VAL POE - AESR - ESR'!X491</f>
        <v>0</v>
      </c>
      <c r="FA11" s="29">
        <f>'REG y VAL POE - AESR - ESR'!Y491</f>
        <v>0</v>
      </c>
      <c r="FB11" s="30">
        <f>'REG y VAL POE - AESR - ESR'!Z491</f>
        <v>0</v>
      </c>
      <c r="FC11" s="28">
        <f>'REG y VAL POE - AESR - ESR'!AA491</f>
        <v>0</v>
      </c>
      <c r="FD11" s="29">
        <f>'REG y VAL POE - AESR - ESR'!AB491</f>
        <v>0</v>
      </c>
      <c r="FE11" s="29">
        <f>'REG y VAL POE - AESR - ESR'!AC491</f>
        <v>0</v>
      </c>
      <c r="FF11" s="29">
        <f>'REG y VAL POE - AESR - ESR'!AD491</f>
        <v>0</v>
      </c>
      <c r="FG11" s="28">
        <f>'REG y VAL POE - AESR - ESR'!AE491</f>
        <v>0</v>
      </c>
      <c r="FH11" s="29">
        <f>'REG y VAL POE - AESR - ESR'!AF491</f>
        <v>0</v>
      </c>
      <c r="FI11" s="29">
        <f>'REG y VAL POE - AESR - ESR'!AG491</f>
        <v>0</v>
      </c>
      <c r="FJ11" s="28">
        <f>'REG y VAL POE - AESR - ESR'!AH491</f>
        <v>0</v>
      </c>
      <c r="FK11" s="29">
        <f>'REG y VAL POE - AESR - ESR'!AI491</f>
        <v>0</v>
      </c>
      <c r="FL11" s="30">
        <f>'REG y VAL POE - AESR - ESR'!AJ491</f>
        <v>0</v>
      </c>
      <c r="FM11" s="28">
        <f>'REG y VAL POE - AESR - ESR'!AK491</f>
        <v>0</v>
      </c>
      <c r="FN11" s="29">
        <f>'REG y VAL POE - AESR - ESR'!AL491</f>
        <v>0</v>
      </c>
      <c r="FO11" s="29">
        <f>'REG y VAL POE - AESR - ESR'!AM491</f>
        <v>0</v>
      </c>
      <c r="FP11" s="29">
        <f>'REG y VAL POE - AESR - ESR'!AN491</f>
        <v>0</v>
      </c>
      <c r="FQ11" s="28">
        <f>'REG y VAL POE - AESR - ESR'!AO491</f>
        <v>0</v>
      </c>
      <c r="FR11" s="29">
        <f>'REG y VAL POE - AESR - ESR'!AP491</f>
        <v>0</v>
      </c>
      <c r="FS11" s="29">
        <f>'REG y VAL POE - AESR - ESR'!AQ491</f>
        <v>0</v>
      </c>
      <c r="FT11" s="28">
        <f>'REG y VAL POE - AESR - ESR'!AR491</f>
        <v>0</v>
      </c>
      <c r="FU11" s="29">
        <f>'REG y VAL POE - AESR - ESR'!AS491</f>
        <v>0</v>
      </c>
      <c r="FV11" s="30" t="str">
        <f>'REG y VAL POE - AESR - ESR'!B492</f>
        <v xml:space="preserve">Madrid Hernandez Jorge Moises </v>
      </c>
      <c r="FW11" s="28" t="str">
        <f>'REG y VAL POE - AESR - ESR'!C492</f>
        <v>Sin Registro</v>
      </c>
      <c r="FX11" s="29">
        <f>'REG y VAL POE - AESR - ESR'!D492</f>
        <v>23214796</v>
      </c>
      <c r="FY11" s="29">
        <f>'REG y VAL POE - AESR - ESR'!E492</f>
        <v>0</v>
      </c>
      <c r="FZ11" s="29">
        <f>'REG y VAL POE - AESR - ESR'!F492</f>
        <v>0</v>
      </c>
      <c r="GA11" s="28">
        <f>'REG y VAL POE - AESR - ESR'!G492</f>
        <v>0</v>
      </c>
      <c r="GB11" s="29">
        <f>'REG y VAL POE - AESR - ESR'!H492</f>
        <v>0</v>
      </c>
      <c r="GC11" s="29">
        <f>'REG y VAL POE - AESR - ESR'!I492</f>
        <v>0</v>
      </c>
      <c r="GD11" s="28">
        <f>'REG y VAL POE - AESR - ESR'!J492</f>
        <v>0</v>
      </c>
      <c r="GE11" s="29">
        <f>'REG y VAL POE - AESR - ESR'!K492</f>
        <v>0</v>
      </c>
      <c r="GF11" s="30">
        <f>'REG y VAL POE - AESR - ESR'!L492</f>
        <v>0</v>
      </c>
      <c r="GG11" s="28">
        <f>'REG y VAL POE - AESR - ESR'!M492</f>
        <v>0</v>
      </c>
      <c r="GH11" s="29">
        <f>'REG y VAL POE - AESR - ESR'!N492</f>
        <v>0</v>
      </c>
      <c r="GI11" s="29">
        <f>'REG y VAL POE - AESR - ESR'!O492</f>
        <v>0</v>
      </c>
      <c r="GJ11" s="29">
        <f>'REG y VAL POE - AESR - ESR'!P492</f>
        <v>0</v>
      </c>
      <c r="GK11" s="28">
        <f>'REG y VAL POE - AESR - ESR'!Q492</f>
        <v>0</v>
      </c>
      <c r="GL11" s="29">
        <f>'REG y VAL POE - AESR - ESR'!R492</f>
        <v>0</v>
      </c>
      <c r="GM11" s="29">
        <f>'REG y VAL POE - AESR - ESR'!S492</f>
        <v>0</v>
      </c>
      <c r="GN11" s="28">
        <f>'REG y VAL POE - AESR - ESR'!T492</f>
        <v>0</v>
      </c>
      <c r="GO11" s="29">
        <f>'REG y VAL POE - AESR - ESR'!U492</f>
        <v>0</v>
      </c>
      <c r="GP11" s="30">
        <f>'REG y VAL POE - AESR - ESR'!V492</f>
        <v>0</v>
      </c>
      <c r="GQ11" s="28">
        <f>'REG y VAL POE - AESR - ESR'!W492</f>
        <v>0</v>
      </c>
      <c r="GR11" s="29">
        <f>'REG y VAL POE - AESR - ESR'!X492</f>
        <v>0</v>
      </c>
      <c r="GS11" s="29">
        <f>'REG y VAL POE - AESR - ESR'!Y492</f>
        <v>0</v>
      </c>
      <c r="GT11" s="29">
        <f>'REG y VAL POE - AESR - ESR'!Z492</f>
        <v>0</v>
      </c>
      <c r="GU11" s="28">
        <f>'REG y VAL POE - AESR - ESR'!AA492</f>
        <v>0</v>
      </c>
      <c r="GV11" s="29">
        <f>'REG y VAL POE - AESR - ESR'!AB492</f>
        <v>0</v>
      </c>
      <c r="GW11" s="29">
        <f>'REG y VAL POE - AESR - ESR'!AC492</f>
        <v>0</v>
      </c>
      <c r="GX11" s="28">
        <f>'REG y VAL POE - AESR - ESR'!AD492</f>
        <v>0</v>
      </c>
      <c r="GY11" s="29">
        <f>'REG y VAL POE - AESR - ESR'!AE492</f>
        <v>0</v>
      </c>
      <c r="GZ11" s="30">
        <f>'REG y VAL POE - AESR - ESR'!AF492</f>
        <v>0</v>
      </c>
      <c r="HA11" s="28">
        <f>'REG y VAL POE - AESR - ESR'!AG492</f>
        <v>0</v>
      </c>
      <c r="HB11" s="29">
        <f>'REG y VAL POE - AESR - ESR'!AH492</f>
        <v>0</v>
      </c>
      <c r="HC11" s="29">
        <f>'REG y VAL POE - AESR - ESR'!AI492</f>
        <v>0</v>
      </c>
      <c r="HD11" s="29">
        <f>'REG y VAL POE - AESR - ESR'!AJ492</f>
        <v>0</v>
      </c>
      <c r="HE11" s="28">
        <f>'REG y VAL POE - AESR - ESR'!AK492</f>
        <v>0</v>
      </c>
      <c r="HF11" s="29">
        <f>'REG y VAL POE - AESR - ESR'!AL492</f>
        <v>0</v>
      </c>
      <c r="HG11" s="29">
        <f>'REG y VAL POE - AESR - ESR'!AM492</f>
        <v>0</v>
      </c>
      <c r="HH11" s="28">
        <f>'REG y VAL POE - AESR - ESR'!AN492</f>
        <v>0</v>
      </c>
      <c r="HI11" s="29">
        <f>'REG y VAL POE - AESR - ESR'!AO492</f>
        <v>0</v>
      </c>
      <c r="HJ11" s="30">
        <f>'REG y VAL POE - AESR - ESR'!AP492</f>
        <v>0</v>
      </c>
      <c r="HK11" s="28">
        <f>'REG y VAL POE - AESR - ESR'!AQ492</f>
        <v>0</v>
      </c>
      <c r="HL11" s="29">
        <f>'REG y VAL POE - AESR - ESR'!AR492</f>
        <v>0</v>
      </c>
      <c r="HM11" s="29">
        <f>'REG y VAL POE - AESR - ESR'!AS492</f>
        <v>0</v>
      </c>
      <c r="HN11" s="29" t="str">
        <f>'REG y VAL POE - AESR - ESR'!B493</f>
        <v>Madrigal Gutierrez Alondra Gissel</v>
      </c>
      <c r="HO11" s="28" t="str">
        <f>'REG y VAL POE - AESR - ESR'!C493</f>
        <v>ESR</v>
      </c>
      <c r="HP11" s="29" t="str">
        <f>'REG y VAL POE - AESR - ESR'!D493</f>
        <v xml:space="preserve"> </v>
      </c>
      <c r="HQ11" s="29">
        <f>'REG y VAL POE - AESR - ESR'!E493</f>
        <v>0</v>
      </c>
      <c r="HR11" s="28">
        <f>'REG y VAL POE - AESR - ESR'!F493</f>
        <v>0</v>
      </c>
      <c r="HS11" s="29">
        <f>'REG y VAL POE - AESR - ESR'!G493</f>
        <v>45363</v>
      </c>
      <c r="HT11" s="30">
        <f>'REG y VAL POE - AESR - ESR'!H493</f>
        <v>45728</v>
      </c>
      <c r="HU11" s="28" t="str">
        <f>'REG y VAL POE - AESR - ESR'!I493</f>
        <v>SI</v>
      </c>
      <c r="HV11" s="29" t="str">
        <f>'REG y VAL POE - AESR - ESR'!J493</f>
        <v>Vigente</v>
      </c>
      <c r="HW11" s="29" t="str">
        <f>'REG y VAL POE - AESR - ESR'!K493</f>
        <v>SI</v>
      </c>
      <c r="HX11" s="29" t="str">
        <f>'REG y VAL POE - AESR - ESR'!L493</f>
        <v>Vigente</v>
      </c>
      <c r="HY11" s="28" t="str">
        <f>'REG y VAL POE - AESR - ESR'!M493</f>
        <v>NO</v>
      </c>
      <c r="HZ11" s="29" t="str">
        <f>'REG y VAL POE - AESR - ESR'!N493</f>
        <v>Apendice ByC no llenos-c/historial aparte-falta firma RL</v>
      </c>
      <c r="IA11" s="29" t="str">
        <f>'REG y VAL POE - AESR - ESR'!O493</f>
        <v>SI</v>
      </c>
      <c r="IB11" s="28" t="str">
        <f>'REG y VAL POE - AESR - ESR'!P493</f>
        <v>SI</v>
      </c>
      <c r="IC11" s="29" t="str">
        <f>'REG y VAL POE - AESR - ESR'!Q493</f>
        <v>SI</v>
      </c>
      <c r="ID11" s="30" t="str">
        <f>'REG y VAL POE - AESR - ESR'!R493</f>
        <v>SI</v>
      </c>
      <c r="IE11" s="28" t="str">
        <f>'REG y VAL POE - AESR - ESR'!S493</f>
        <v>SI</v>
      </c>
      <c r="IF11" s="29" t="str">
        <f>'REG y VAL POE - AESR - ESR'!T493</f>
        <v>SI</v>
      </c>
      <c r="IG11" s="29" t="str">
        <f>'REG y VAL POE - AESR - ESR'!U493</f>
        <v>SI</v>
      </c>
      <c r="IH11" s="29">
        <f>'REG y VAL POE - AESR - ESR'!V493</f>
        <v>0</v>
      </c>
      <c r="II11" s="28" t="str">
        <f>'REG y VAL POE - AESR - ESR'!W493</f>
        <v>Si</v>
      </c>
      <c r="IJ11" s="29">
        <f>'REG y VAL POE - AESR - ESR'!X493</f>
        <v>0</v>
      </c>
      <c r="IK11" s="29">
        <f>'REG y VAL POE - AESR - ESR'!Y493</f>
        <v>0</v>
      </c>
      <c r="IL11" s="28" t="str">
        <f>'REG y VAL POE - AESR - ESR'!Z493</f>
        <v>SI</v>
      </c>
      <c r="IM11" s="29">
        <f>'REG y VAL POE - AESR - ESR'!AA493</f>
        <v>0</v>
      </c>
      <c r="IN11" s="30">
        <f>'REG y VAL POE - AESR - ESR'!AB493</f>
        <v>0</v>
      </c>
      <c r="IO11" s="28">
        <f>'REG y VAL POE - AESR - ESR'!AC493</f>
        <v>0</v>
      </c>
      <c r="IP11" s="29">
        <f>'REG y VAL POE - AESR - ESR'!AD493</f>
        <v>0</v>
      </c>
      <c r="IQ11" s="29">
        <f>'REG y VAL POE - AESR - ESR'!AE493</f>
        <v>0</v>
      </c>
      <c r="IR11" s="29">
        <f>'REG y VAL POE - AESR - ESR'!AF493</f>
        <v>0</v>
      </c>
      <c r="IS11" s="28">
        <f>'REG y VAL POE - AESR - ESR'!AG493</f>
        <v>0</v>
      </c>
      <c r="IT11" s="29">
        <f>'REG y VAL POE - AESR - ESR'!AH493</f>
        <v>0</v>
      </c>
      <c r="IU11" s="29">
        <f>'REG y VAL POE - AESR - ESR'!AI493</f>
        <v>0</v>
      </c>
      <c r="IV11" s="28">
        <f>'REG y VAL POE - AESR - ESR'!AJ493</f>
        <v>0</v>
      </c>
      <c r="IW11" s="29">
        <f>'REG y VAL POE - AESR - ESR'!AK493</f>
        <v>0</v>
      </c>
      <c r="IX11" s="30">
        <f>'REG y VAL POE - AESR - ESR'!AL493</f>
        <v>0</v>
      </c>
      <c r="IY11" s="28">
        <f>'REG y VAL POE - AESR - ESR'!AM493</f>
        <v>0</v>
      </c>
      <c r="IZ11" s="29">
        <f>'REG y VAL POE - AESR - ESR'!AN493</f>
        <v>0</v>
      </c>
      <c r="JA11" s="29">
        <f>'REG y VAL POE - AESR - ESR'!AO493</f>
        <v>0</v>
      </c>
      <c r="JB11" s="29">
        <f>'REG y VAL POE - AESR - ESR'!AP493</f>
        <v>0</v>
      </c>
      <c r="JC11" s="28">
        <f>'REG y VAL POE - AESR - ESR'!AQ493</f>
        <v>0</v>
      </c>
      <c r="JD11" s="29">
        <f>'REG y VAL POE - AESR - ESR'!AR493</f>
        <v>0</v>
      </c>
      <c r="JE11" s="29">
        <f>'REG y VAL POE - AESR - ESR'!AS493</f>
        <v>0</v>
      </c>
      <c r="JF11" s="28" t="str">
        <f>'REG y VAL POE - AESR - ESR'!B494</f>
        <v xml:space="preserve">Maldonado Murrieta Erika Jailene </v>
      </c>
      <c r="JG11" s="29" t="str">
        <f>'REG y VAL POE - AESR - ESR'!C494</f>
        <v>Sin Registro</v>
      </c>
      <c r="JH11" s="30">
        <f>'REG y VAL POE - AESR - ESR'!D494</f>
        <v>23217008</v>
      </c>
      <c r="JI11" s="28">
        <f>'REG y VAL POE - AESR - ESR'!E494</f>
        <v>0</v>
      </c>
      <c r="JJ11" s="29">
        <f>'REG y VAL POE - AESR - ESR'!F494</f>
        <v>0</v>
      </c>
      <c r="JK11" s="29">
        <f>'REG y VAL POE - AESR - ESR'!G494</f>
        <v>0</v>
      </c>
      <c r="JL11" s="29">
        <f>'REG y VAL POE - AESR - ESR'!H494</f>
        <v>0</v>
      </c>
      <c r="JM11" s="28">
        <f>'REG y VAL POE - AESR - ESR'!I494</f>
        <v>0</v>
      </c>
      <c r="JN11" s="29">
        <f>'REG y VAL POE - AESR - ESR'!J494</f>
        <v>0</v>
      </c>
      <c r="JO11" s="29">
        <f>'REG y VAL POE - AESR - ESR'!K494</f>
        <v>0</v>
      </c>
      <c r="JP11" s="28">
        <f>'REG y VAL POE - AESR - ESR'!L494</f>
        <v>0</v>
      </c>
      <c r="JQ11" s="29">
        <f>'REG y VAL POE - AESR - ESR'!M494</f>
        <v>0</v>
      </c>
      <c r="JR11" s="30">
        <f>'REG y VAL POE - AESR - ESR'!N494</f>
        <v>0</v>
      </c>
      <c r="JS11" s="28">
        <f>'REG y VAL POE - AESR - ESR'!O494</f>
        <v>0</v>
      </c>
      <c r="JT11" s="29">
        <f>'REG y VAL POE - AESR - ESR'!P494</f>
        <v>0</v>
      </c>
      <c r="JU11" s="29">
        <f>'REG y VAL POE - AESR - ESR'!Q494</f>
        <v>0</v>
      </c>
      <c r="JV11" s="29">
        <f>'REG y VAL POE - AESR - ESR'!R494</f>
        <v>0</v>
      </c>
      <c r="JW11" s="28">
        <f>'REG y VAL POE - AESR - ESR'!S494</f>
        <v>0</v>
      </c>
      <c r="JX11" s="29">
        <f>'REG y VAL POE - AESR - ESR'!T494</f>
        <v>0</v>
      </c>
      <c r="JY11" s="29">
        <f>'REG y VAL POE - AESR - ESR'!U494</f>
        <v>0</v>
      </c>
      <c r="JZ11" s="28">
        <f>'REG y VAL POE - AESR - ESR'!V494</f>
        <v>0</v>
      </c>
      <c r="KA11" s="29">
        <f>'REG y VAL POE - AESR - ESR'!W494</f>
        <v>0</v>
      </c>
      <c r="KB11" s="30">
        <f>'REG y VAL POE - AESR - ESR'!X494</f>
        <v>0</v>
      </c>
      <c r="KC11" s="28">
        <f>'REG y VAL POE - AESR - ESR'!Y494</f>
        <v>0</v>
      </c>
      <c r="KD11" s="29">
        <f>'REG y VAL POE - AESR - ESR'!Z494</f>
        <v>0</v>
      </c>
      <c r="KE11" s="29">
        <f>'REG y VAL POE - AESR - ESR'!AA494</f>
        <v>0</v>
      </c>
      <c r="KF11" s="29">
        <f>'REG y VAL POE - AESR - ESR'!AB494</f>
        <v>0</v>
      </c>
      <c r="KG11" s="28">
        <f>'REG y VAL POE - AESR - ESR'!AC494</f>
        <v>0</v>
      </c>
      <c r="KH11" s="29">
        <f>'REG y VAL POE - AESR - ESR'!AD494</f>
        <v>0</v>
      </c>
      <c r="KI11" s="29">
        <f>'REG y VAL POE - AESR - ESR'!AE494</f>
        <v>0</v>
      </c>
      <c r="KJ11" s="28">
        <f>'REG y VAL POE - AESR - ESR'!AF494</f>
        <v>0</v>
      </c>
      <c r="KK11" s="29">
        <f>'REG y VAL POE - AESR - ESR'!AG494</f>
        <v>0</v>
      </c>
      <c r="KL11" s="30">
        <f>'REG y VAL POE - AESR - ESR'!AH494</f>
        <v>0</v>
      </c>
      <c r="KM11" s="28">
        <f>'REG y VAL POE - AESR - ESR'!AI494</f>
        <v>0</v>
      </c>
      <c r="KN11" s="29">
        <f>'REG y VAL POE - AESR - ESR'!AJ494</f>
        <v>0</v>
      </c>
      <c r="KO11" s="29">
        <f>'REG y VAL POE - AESR - ESR'!AK494</f>
        <v>0</v>
      </c>
      <c r="KP11" s="29">
        <f>'REG y VAL POE - AESR - ESR'!AL494</f>
        <v>0</v>
      </c>
      <c r="KQ11" s="28">
        <f>'REG y VAL POE - AESR - ESR'!AM494</f>
        <v>0</v>
      </c>
      <c r="KR11" s="29">
        <f>'REG y VAL POE - AESR - ESR'!AN494</f>
        <v>0</v>
      </c>
      <c r="KS11" s="29">
        <f>'REG y VAL POE - AESR - ESR'!AO494</f>
        <v>0</v>
      </c>
      <c r="KT11" s="28">
        <f>'REG y VAL POE - AESR - ESR'!AP494</f>
        <v>0</v>
      </c>
      <c r="KU11" s="29">
        <f>'REG y VAL POE - AESR - ESR'!AQ494</f>
        <v>0</v>
      </c>
      <c r="KV11" s="30">
        <f>'REG y VAL POE - AESR - ESR'!AR494</f>
        <v>0</v>
      </c>
      <c r="KW11" s="28">
        <f>'REG y VAL POE - AESR - ESR'!AS494</f>
        <v>0</v>
      </c>
      <c r="KX11" s="385" t="str">
        <f>'REG y VAL POE - AESR - ESR'!B495</f>
        <v xml:space="preserve">Roldan Brindis Alfredo </v>
      </c>
      <c r="KY11" s="29" t="str">
        <f>'REG y VAL POE - AESR - ESR'!C495</f>
        <v>Sin Registro</v>
      </c>
      <c r="KZ11" s="29">
        <f>'REG y VAL POE - AESR - ESR'!D495</f>
        <v>23137563</v>
      </c>
      <c r="LA11" s="28">
        <f>'REG y VAL POE - AESR - ESR'!E495</f>
        <v>0</v>
      </c>
      <c r="LB11" s="29">
        <f>'REG y VAL POE - AESR - ESR'!F495</f>
        <v>0</v>
      </c>
      <c r="LC11" s="29">
        <f>'REG y VAL POE - AESR - ESR'!G495</f>
        <v>0</v>
      </c>
      <c r="LD11" s="28">
        <f>'REG y VAL POE - AESR - ESR'!H495</f>
        <v>0</v>
      </c>
      <c r="LE11" s="29">
        <f>'REG y VAL POE - AESR - ESR'!I495</f>
        <v>0</v>
      </c>
      <c r="LF11" s="30">
        <f>'REG y VAL POE - AESR - ESR'!J495</f>
        <v>0</v>
      </c>
      <c r="LG11" s="28">
        <f>'REG y VAL POE - AESR - ESR'!K495</f>
        <v>0</v>
      </c>
      <c r="LH11" s="29">
        <f>'REG y VAL POE - AESR - ESR'!L495</f>
        <v>0</v>
      </c>
      <c r="LI11" s="29">
        <f>'REG y VAL POE - AESR - ESR'!M495</f>
        <v>0</v>
      </c>
      <c r="LJ11" s="29">
        <f>'REG y VAL POE - AESR - ESR'!N495</f>
        <v>0</v>
      </c>
      <c r="LK11" s="28">
        <f>'REG y VAL POE - AESR - ESR'!O495</f>
        <v>0</v>
      </c>
      <c r="LL11" s="29">
        <f>'REG y VAL POE - AESR - ESR'!P495</f>
        <v>0</v>
      </c>
      <c r="LM11" s="29">
        <f>'REG y VAL POE - AESR - ESR'!Q495</f>
        <v>0</v>
      </c>
      <c r="LN11" s="28">
        <f>'REG y VAL POE - AESR - ESR'!R495</f>
        <v>0</v>
      </c>
      <c r="LO11" s="29">
        <f>'REG y VAL POE - AESR - ESR'!S495</f>
        <v>0</v>
      </c>
      <c r="LP11" s="30">
        <f>'REG y VAL POE - AESR - ESR'!T495</f>
        <v>0</v>
      </c>
      <c r="LQ11" s="28">
        <f>'REG y VAL POE - AESR - ESR'!U495</f>
        <v>0</v>
      </c>
      <c r="LR11" s="29">
        <f>'REG y VAL POE - AESR - ESR'!V495</f>
        <v>0</v>
      </c>
      <c r="LS11" s="29">
        <f>'REG y VAL POE - AESR - ESR'!W495</f>
        <v>0</v>
      </c>
      <c r="LT11" s="29">
        <f>'REG y VAL POE - AESR - ESR'!X495</f>
        <v>0</v>
      </c>
      <c r="LU11" s="28">
        <f>'REG y VAL POE - AESR - ESR'!Y495</f>
        <v>0</v>
      </c>
      <c r="LV11" s="29">
        <f>'REG y VAL POE - AESR - ESR'!Z495</f>
        <v>0</v>
      </c>
      <c r="LW11" s="29">
        <f>'REG y VAL POE - AESR - ESR'!AA495</f>
        <v>0</v>
      </c>
      <c r="LX11" s="28">
        <f>'REG y VAL POE - AESR - ESR'!AB495</f>
        <v>0</v>
      </c>
      <c r="LY11" s="29">
        <f>'REG y VAL POE - AESR - ESR'!AC495</f>
        <v>0</v>
      </c>
      <c r="LZ11" s="30">
        <f>'REG y VAL POE - AESR - ESR'!AD495</f>
        <v>0</v>
      </c>
      <c r="MA11" s="28">
        <f>'REG y VAL POE - AESR - ESR'!AE495</f>
        <v>0</v>
      </c>
      <c r="MB11" s="29">
        <f>'REG y VAL POE - AESR - ESR'!AF495</f>
        <v>0</v>
      </c>
      <c r="MC11" s="29">
        <f>'REG y VAL POE - AESR - ESR'!AG495</f>
        <v>0</v>
      </c>
      <c r="MD11" s="29">
        <f>'REG y VAL POE - AESR - ESR'!AH495</f>
        <v>0</v>
      </c>
      <c r="ME11" s="28">
        <f>'REG y VAL POE - AESR - ESR'!AI495</f>
        <v>0</v>
      </c>
      <c r="MF11" s="29">
        <f>'REG y VAL POE - AESR - ESR'!AJ495</f>
        <v>0</v>
      </c>
      <c r="MG11" s="29">
        <f>'REG y VAL POE - AESR - ESR'!AK495</f>
        <v>0</v>
      </c>
      <c r="MH11" s="28">
        <f>'REG y VAL POE - AESR - ESR'!AL495</f>
        <v>0</v>
      </c>
      <c r="MI11" s="29">
        <f>'REG y VAL POE - AESR - ESR'!AM495</f>
        <v>0</v>
      </c>
      <c r="MJ11" s="30">
        <f>'REG y VAL POE - AESR - ESR'!AN495</f>
        <v>0</v>
      </c>
      <c r="MK11" s="28">
        <f>'REG y VAL POE - AESR - ESR'!AO495</f>
        <v>0</v>
      </c>
      <c r="ML11" s="29">
        <f>'REG y VAL POE - AESR - ESR'!AP495</f>
        <v>0</v>
      </c>
      <c r="MM11" s="29">
        <f>'REG y VAL POE - AESR - ESR'!AQ495</f>
        <v>0</v>
      </c>
      <c r="MN11" s="29">
        <f>'REG y VAL POE - AESR - ESR'!AR495</f>
        <v>0</v>
      </c>
      <c r="MO11" s="28">
        <f>'REG y VAL POE - AESR - ESR'!AS495</f>
        <v>0</v>
      </c>
      <c r="MP11" s="29" t="str">
        <f>'REG y VAL POE - AESR - ESR'!B496</f>
        <v xml:space="preserve">Salinas Alarcon Denisse </v>
      </c>
      <c r="MQ11" s="29" t="str">
        <f>'REG y VAL POE - AESR - ESR'!C496</f>
        <v>Sin Registro</v>
      </c>
      <c r="MR11" s="28">
        <f>'REG y VAL POE - AESR - ESR'!D496</f>
        <v>23148470</v>
      </c>
      <c r="MS11" s="29">
        <f>'REG y VAL POE - AESR - ESR'!E496</f>
        <v>0</v>
      </c>
      <c r="MT11" s="30">
        <f>'REG y VAL POE - AESR - ESR'!F496</f>
        <v>0</v>
      </c>
      <c r="MU11" s="28">
        <f>'REG y VAL POE - AESR - ESR'!G496</f>
        <v>0</v>
      </c>
      <c r="MV11" s="29">
        <f>'REG y VAL POE - AESR - ESR'!H496</f>
        <v>0</v>
      </c>
      <c r="MW11" s="29">
        <f>'REG y VAL POE - AESR - ESR'!I496</f>
        <v>0</v>
      </c>
      <c r="MX11" s="29">
        <f>'REG y VAL POE - AESR - ESR'!J496</f>
        <v>0</v>
      </c>
      <c r="MY11" s="28">
        <f>'REG y VAL POE - AESR - ESR'!K496</f>
        <v>0</v>
      </c>
      <c r="MZ11" s="29">
        <f>'REG y VAL POE - AESR - ESR'!L496</f>
        <v>0</v>
      </c>
      <c r="NA11" s="29">
        <f>'REG y VAL POE - AESR - ESR'!M496</f>
        <v>0</v>
      </c>
      <c r="NB11" s="28">
        <f>'REG y VAL POE - AESR - ESR'!N496</f>
        <v>0</v>
      </c>
      <c r="NC11" s="29">
        <f>'REG y VAL POE - AESR - ESR'!O496</f>
        <v>0</v>
      </c>
      <c r="ND11" s="30">
        <f>'REG y VAL POE - AESR - ESR'!P496</f>
        <v>0</v>
      </c>
      <c r="NE11" s="28">
        <f>'REG y VAL POE - AESR - ESR'!Q496</f>
        <v>0</v>
      </c>
      <c r="NF11" s="29">
        <f>'REG y VAL POE - AESR - ESR'!R496</f>
        <v>0</v>
      </c>
      <c r="NG11" s="29">
        <f>'REG y VAL POE - AESR - ESR'!S496</f>
        <v>0</v>
      </c>
      <c r="NH11" s="29">
        <f>'REG y VAL POE - AESR - ESR'!T496</f>
        <v>0</v>
      </c>
      <c r="NI11" s="28">
        <f>'REG y VAL POE - AESR - ESR'!U496</f>
        <v>0</v>
      </c>
      <c r="NJ11" s="29">
        <f>'REG y VAL POE - AESR - ESR'!V496</f>
        <v>0</v>
      </c>
      <c r="NK11" s="29">
        <f>'REG y VAL POE - AESR - ESR'!W496</f>
        <v>0</v>
      </c>
      <c r="NL11" s="28">
        <f>'REG y VAL POE - AESR - ESR'!X496</f>
        <v>0</v>
      </c>
      <c r="NM11" s="29">
        <f>'REG y VAL POE - AESR - ESR'!Y496</f>
        <v>0</v>
      </c>
      <c r="NN11" s="30">
        <f>'REG y VAL POE - AESR - ESR'!Z496</f>
        <v>0</v>
      </c>
      <c r="NO11" s="28">
        <f>'REG y VAL POE - AESR - ESR'!AA496</f>
        <v>0</v>
      </c>
      <c r="NP11" s="29">
        <f>'REG y VAL POE - AESR - ESR'!AB496</f>
        <v>0</v>
      </c>
      <c r="NQ11" s="29">
        <f>'REG y VAL POE - AESR - ESR'!AC496</f>
        <v>0</v>
      </c>
      <c r="NR11" s="29">
        <f>'REG y VAL POE - AESR - ESR'!AD496</f>
        <v>0</v>
      </c>
      <c r="NS11" s="28">
        <f>'REG y VAL POE - AESR - ESR'!AE496</f>
        <v>0</v>
      </c>
      <c r="NT11" s="29">
        <f>'REG y VAL POE - AESR - ESR'!AF496</f>
        <v>0</v>
      </c>
      <c r="NU11" s="29">
        <f>'REG y VAL POE - AESR - ESR'!AG496</f>
        <v>0</v>
      </c>
      <c r="NV11" s="28">
        <f>'REG y VAL POE - AESR - ESR'!AH496</f>
        <v>0</v>
      </c>
      <c r="NW11" s="29">
        <f>'REG y VAL POE - AESR - ESR'!AI496</f>
        <v>0</v>
      </c>
      <c r="NX11" s="30">
        <f>'REG y VAL POE - AESR - ESR'!AJ496</f>
        <v>0</v>
      </c>
      <c r="NY11" s="28">
        <f>'REG y VAL POE - AESR - ESR'!AK496</f>
        <v>0</v>
      </c>
      <c r="NZ11" s="29">
        <f>'REG y VAL POE - AESR - ESR'!AL496</f>
        <v>0</v>
      </c>
      <c r="OA11" s="29">
        <f>'REG y VAL POE - AESR - ESR'!AM496</f>
        <v>0</v>
      </c>
      <c r="OB11" s="29">
        <f>'REG y VAL POE - AESR - ESR'!AN496</f>
        <v>0</v>
      </c>
      <c r="OC11" s="28">
        <f>'REG y VAL POE - AESR - ESR'!AO496</f>
        <v>0</v>
      </c>
      <c r="OD11" s="29">
        <f>'REG y VAL POE - AESR - ESR'!AP496</f>
        <v>0</v>
      </c>
      <c r="OE11" s="29">
        <f>'REG y VAL POE - AESR - ESR'!AQ496</f>
        <v>0</v>
      </c>
      <c r="OF11" s="30">
        <f>'REG y VAL POE - AESR - ESR'!AR496</f>
        <v>0</v>
      </c>
      <c r="OG11" s="30">
        <f>'REG y VAL POE - AESR - ESR'!AS496</f>
        <v>0</v>
      </c>
      <c r="OH11" s="30" t="str">
        <f>'REG y VAL POE - AESR - ESR'!B497</f>
        <v xml:space="preserve">Sanchez Hernandez Manolo </v>
      </c>
      <c r="OI11" s="28" t="str">
        <f>'REG y VAL POE - AESR - ESR'!C497</f>
        <v>Sin Registro</v>
      </c>
      <c r="OJ11" s="30">
        <f>'REG y VAL POE - AESR - ESR'!D497</f>
        <v>23193547</v>
      </c>
      <c r="OK11" s="30">
        <f>'REG y VAL POE - AESR - ESR'!E497</f>
        <v>0</v>
      </c>
      <c r="OL11" s="30">
        <f>'REG y VAL POE - AESR - ESR'!F497</f>
        <v>0</v>
      </c>
      <c r="OM11" s="30">
        <f>'REG y VAL POE - AESR - ESR'!G497</f>
        <v>0</v>
      </c>
      <c r="ON11" s="30">
        <f>'REG y VAL POE - AESR - ESR'!H497</f>
        <v>0</v>
      </c>
      <c r="OO11" s="30">
        <f>'REG y VAL POE - AESR - ESR'!I497</f>
        <v>0</v>
      </c>
      <c r="OP11" s="28">
        <f>'REG y VAL POE - AESR - ESR'!J497</f>
        <v>0</v>
      </c>
      <c r="OQ11" s="29">
        <f>'REG y VAL POE - AESR - ESR'!K497</f>
        <v>0</v>
      </c>
      <c r="OR11" s="30">
        <f>'REG y VAL POE - AESR - ESR'!L497</f>
        <v>0</v>
      </c>
      <c r="OS11" s="28">
        <f>'REG y VAL POE - AESR - ESR'!M497</f>
        <v>0</v>
      </c>
      <c r="OT11" s="29">
        <f>'REG y VAL POE - AESR - ESR'!N497</f>
        <v>0</v>
      </c>
      <c r="OU11" s="29">
        <f>'REG y VAL POE - AESR - ESR'!O497</f>
        <v>0</v>
      </c>
      <c r="OV11" s="29">
        <f>'REG y VAL POE - AESR - ESR'!P497</f>
        <v>0</v>
      </c>
      <c r="OW11" s="28">
        <f>'REG y VAL POE - AESR - ESR'!Q497</f>
        <v>0</v>
      </c>
      <c r="OX11" s="29">
        <f>'REG y VAL POE - AESR - ESR'!R497</f>
        <v>0</v>
      </c>
      <c r="OY11" s="29">
        <f>'REG y VAL POE - AESR - ESR'!S497</f>
        <v>0</v>
      </c>
      <c r="OZ11" s="28">
        <f>'REG y VAL POE - AESR - ESR'!T497</f>
        <v>0</v>
      </c>
      <c r="PA11" s="29">
        <f>'REG y VAL POE - AESR - ESR'!U497</f>
        <v>0</v>
      </c>
      <c r="PB11" s="30">
        <f>'REG y VAL POE - AESR - ESR'!V497</f>
        <v>0</v>
      </c>
      <c r="PC11" s="28">
        <f>'REG y VAL POE - AESR - ESR'!W497</f>
        <v>0</v>
      </c>
      <c r="PD11" s="29">
        <f>'REG y VAL POE - AESR - ESR'!X497</f>
        <v>0</v>
      </c>
      <c r="PE11" s="29">
        <f>'REG y VAL POE - AESR - ESR'!Y497</f>
        <v>0</v>
      </c>
      <c r="PF11" s="29">
        <f>'REG y VAL POE - AESR - ESR'!Z497</f>
        <v>0</v>
      </c>
      <c r="PG11" s="28">
        <f>'REG y VAL POE - AESR - ESR'!AA497</f>
        <v>0</v>
      </c>
      <c r="PH11" s="29">
        <f>'REG y VAL POE - AESR - ESR'!AB497</f>
        <v>0</v>
      </c>
      <c r="PI11" s="29">
        <f>'REG y VAL POE - AESR - ESR'!AC497</f>
        <v>0</v>
      </c>
      <c r="PJ11" s="28">
        <f>'REG y VAL POE - AESR - ESR'!AD497</f>
        <v>0</v>
      </c>
      <c r="PK11" s="29">
        <f>'REG y VAL POE - AESR - ESR'!AE497</f>
        <v>0</v>
      </c>
      <c r="PL11" s="30">
        <f>'REG y VAL POE - AESR - ESR'!AF497</f>
        <v>0</v>
      </c>
      <c r="PM11" s="28">
        <f>'REG y VAL POE - AESR - ESR'!AG497</f>
        <v>0</v>
      </c>
      <c r="PN11" s="29">
        <f>'REG y VAL POE - AESR - ESR'!AH497</f>
        <v>0</v>
      </c>
      <c r="PO11" s="29">
        <f>'REG y VAL POE - AESR - ESR'!AI497</f>
        <v>0</v>
      </c>
      <c r="PP11" s="29">
        <f>'REG y VAL POE - AESR - ESR'!AJ497</f>
        <v>0</v>
      </c>
      <c r="PQ11" s="28">
        <f>'REG y VAL POE - AESR - ESR'!AK497</f>
        <v>0</v>
      </c>
      <c r="PR11" s="29">
        <f>'REG y VAL POE - AESR - ESR'!AL497</f>
        <v>0</v>
      </c>
      <c r="PS11" s="29">
        <f>'REG y VAL POE - AESR - ESR'!AM497</f>
        <v>0</v>
      </c>
      <c r="PT11" s="28">
        <f>'REG y VAL POE - AESR - ESR'!AN497</f>
        <v>0</v>
      </c>
      <c r="PU11" s="29">
        <f>'REG y VAL POE - AESR - ESR'!AO497</f>
        <v>0</v>
      </c>
      <c r="PV11" s="30">
        <f>'REG y VAL POE - AESR - ESR'!AP497</f>
        <v>0</v>
      </c>
      <c r="PW11" s="28">
        <f>'REG y VAL POE - AESR - ESR'!AQ497</f>
        <v>0</v>
      </c>
      <c r="PX11" s="29">
        <f>'REG y VAL POE - AESR - ESR'!AR497</f>
        <v>0</v>
      </c>
      <c r="PY11" s="29">
        <f>'REG y VAL POE - AESR - ESR'!AS497</f>
        <v>0</v>
      </c>
      <c r="PZ11" s="29" t="str">
        <f>'REG y VAL POE - AESR - ESR'!B498</f>
        <v xml:space="preserve">Santos Cordova Adrian </v>
      </c>
      <c r="QA11" s="28" t="str">
        <f>'REG y VAL POE - AESR - ESR'!C498</f>
        <v>Sin Registro</v>
      </c>
      <c r="QB11" s="29">
        <f>'REG y VAL POE - AESR - ESR'!D498</f>
        <v>23202013</v>
      </c>
      <c r="QC11" s="29">
        <f>'REG y VAL POE - AESR - ESR'!E498</f>
        <v>0</v>
      </c>
      <c r="QD11" s="28">
        <f>'REG y VAL POE - AESR - ESR'!F498</f>
        <v>0</v>
      </c>
      <c r="QE11" s="29">
        <f>'REG y VAL POE - AESR - ESR'!G498</f>
        <v>0</v>
      </c>
      <c r="QF11" s="30">
        <f>'REG y VAL POE - AESR - ESR'!H498</f>
        <v>0</v>
      </c>
      <c r="QG11" s="28">
        <f>'REG y VAL POE - AESR - ESR'!I498</f>
        <v>0</v>
      </c>
      <c r="QH11" s="29">
        <f>'REG y VAL POE - AESR - ESR'!J498</f>
        <v>0</v>
      </c>
      <c r="QI11" s="29">
        <f>'REG y VAL POE - AESR - ESR'!K498</f>
        <v>0</v>
      </c>
      <c r="QJ11" s="29">
        <f>'REG y VAL POE - AESR - ESR'!L498</f>
        <v>0</v>
      </c>
      <c r="QK11" s="28">
        <f>'REG y VAL POE - AESR - ESR'!M498</f>
        <v>0</v>
      </c>
      <c r="QL11" s="29">
        <f>'REG y VAL POE - AESR - ESR'!N498</f>
        <v>0</v>
      </c>
      <c r="QM11" s="29">
        <f>'REG y VAL POE - AESR - ESR'!O498</f>
        <v>0</v>
      </c>
      <c r="QN11" s="28">
        <f>'REG y VAL POE - AESR - ESR'!P498</f>
        <v>0</v>
      </c>
      <c r="QO11" s="29">
        <f>'REG y VAL POE - AESR - ESR'!Q498</f>
        <v>0</v>
      </c>
      <c r="QP11" s="30">
        <f>'REG y VAL POE - AESR - ESR'!R498</f>
        <v>0</v>
      </c>
      <c r="QQ11" s="28">
        <f>'REG y VAL POE - AESR - ESR'!S498</f>
        <v>0</v>
      </c>
      <c r="QR11" s="29">
        <f>'REG y VAL POE - AESR - ESR'!T498</f>
        <v>0</v>
      </c>
      <c r="QS11" s="29">
        <f>'REG y VAL POE - AESR - ESR'!U498</f>
        <v>0</v>
      </c>
      <c r="QT11" s="29">
        <f>'REG y VAL POE - AESR - ESR'!V498</f>
        <v>0</v>
      </c>
      <c r="QU11" s="28">
        <f>'REG y VAL POE - AESR - ESR'!W498</f>
        <v>0</v>
      </c>
      <c r="QV11" s="29">
        <f>'REG y VAL POE - AESR - ESR'!X498</f>
        <v>0</v>
      </c>
      <c r="QW11" s="29">
        <f>'REG y VAL POE - AESR - ESR'!Y498</f>
        <v>0</v>
      </c>
      <c r="QX11" s="28">
        <f>'REG y VAL POE - AESR - ESR'!Z498</f>
        <v>0</v>
      </c>
      <c r="QY11" s="29">
        <f>'REG y VAL POE - AESR - ESR'!AA498</f>
        <v>0</v>
      </c>
      <c r="QZ11" s="30">
        <f>'REG y VAL POE - AESR - ESR'!AB498</f>
        <v>0</v>
      </c>
      <c r="RA11" s="28">
        <f>'REG y VAL POE - AESR - ESR'!AC498</f>
        <v>0</v>
      </c>
      <c r="RB11" s="29">
        <f>'REG y VAL POE - AESR - ESR'!AD498</f>
        <v>0</v>
      </c>
      <c r="RC11" s="29">
        <f>'REG y VAL POE - AESR - ESR'!AE498</f>
        <v>0</v>
      </c>
      <c r="RD11" s="29">
        <f>'REG y VAL POE - AESR - ESR'!AF498</f>
        <v>0</v>
      </c>
      <c r="RE11" s="28">
        <f>'REG y VAL POE - AESR - ESR'!AG498</f>
        <v>0</v>
      </c>
      <c r="RF11" s="29">
        <f>'REG y VAL POE - AESR - ESR'!AH498</f>
        <v>0</v>
      </c>
      <c r="RG11" s="29">
        <f>'REG y VAL POE - AESR - ESR'!AI498</f>
        <v>0</v>
      </c>
      <c r="RH11" s="28">
        <f>'REG y VAL POE - AESR - ESR'!AJ498</f>
        <v>0</v>
      </c>
      <c r="RI11" s="29">
        <f>'REG y VAL POE - AESR - ESR'!AK498</f>
        <v>0</v>
      </c>
      <c r="RJ11" s="30">
        <f>'REG y VAL POE - AESR - ESR'!AL498</f>
        <v>0</v>
      </c>
      <c r="RK11" s="28">
        <f>'REG y VAL POE - AESR - ESR'!AM498</f>
        <v>0</v>
      </c>
      <c r="RL11" s="29">
        <f>'REG y VAL POE - AESR - ESR'!AN498</f>
        <v>0</v>
      </c>
      <c r="RM11" s="29">
        <f>'REG y VAL POE - AESR - ESR'!AO498</f>
        <v>0</v>
      </c>
      <c r="RN11" s="29">
        <f>'REG y VAL POE - AESR - ESR'!AP498</f>
        <v>0</v>
      </c>
      <c r="RO11" s="28">
        <f>'REG y VAL POE - AESR - ESR'!AQ498</f>
        <v>0</v>
      </c>
      <c r="RP11" s="29">
        <f>'REG y VAL POE - AESR - ESR'!AR498</f>
        <v>0</v>
      </c>
      <c r="RQ11" s="29">
        <f>'REG y VAL POE - AESR - ESR'!AS498</f>
        <v>0</v>
      </c>
      <c r="RR11" s="28">
        <f>'REG y VAL POE - AESR - ESR'!B499</f>
        <v>0</v>
      </c>
      <c r="RS11" s="29">
        <f>'REG y VAL POE - AESR - ESR'!C499</f>
        <v>0</v>
      </c>
      <c r="RT11" s="30">
        <f>'REG y VAL POE - AESR - ESR'!D499</f>
        <v>0</v>
      </c>
      <c r="RU11" s="28">
        <f>'REG y VAL POE - AESR - ESR'!E499</f>
        <v>0</v>
      </c>
      <c r="RV11" s="29">
        <f>'REG y VAL POE - AESR - ESR'!F499</f>
        <v>0</v>
      </c>
      <c r="RW11" s="29">
        <f>'REG y VAL POE - AESR - ESR'!G499</f>
        <v>0</v>
      </c>
      <c r="RX11" s="29">
        <f>'REG y VAL POE - AESR - ESR'!H499</f>
        <v>0</v>
      </c>
      <c r="RY11" s="28">
        <f>'REG y VAL POE - AESR - ESR'!I499</f>
        <v>0</v>
      </c>
      <c r="RZ11" s="29">
        <f>'REG y VAL POE - AESR - ESR'!J499</f>
        <v>0</v>
      </c>
      <c r="SA11" s="29">
        <f>'REG y VAL POE - AESR - ESR'!K499</f>
        <v>0</v>
      </c>
      <c r="SB11" s="28">
        <f>'REG y VAL POE - AESR - ESR'!L499</f>
        <v>0</v>
      </c>
      <c r="SC11" s="29">
        <f>'REG y VAL POE - AESR - ESR'!M499</f>
        <v>0</v>
      </c>
      <c r="SD11" s="30">
        <f>'REG y VAL POE - AESR - ESR'!N499</f>
        <v>0</v>
      </c>
      <c r="SE11" s="28">
        <f>'REG y VAL POE - AESR - ESR'!O499</f>
        <v>0</v>
      </c>
      <c r="SF11" s="29">
        <f>'REG y VAL POE - AESR - ESR'!P499</f>
        <v>0</v>
      </c>
      <c r="SG11" s="29">
        <f>'REG y VAL POE - AESR - ESR'!Q499</f>
        <v>0</v>
      </c>
      <c r="SH11" s="29">
        <f>'REG y VAL POE - AESR - ESR'!R499</f>
        <v>0</v>
      </c>
      <c r="SI11" s="28">
        <f>'REG y VAL POE - AESR - ESR'!S499</f>
        <v>0</v>
      </c>
      <c r="SJ11" s="29">
        <f>'REG y VAL POE - AESR - ESR'!T499</f>
        <v>0</v>
      </c>
      <c r="SK11" s="29">
        <f>'REG y VAL POE - AESR - ESR'!U499</f>
        <v>0</v>
      </c>
      <c r="SL11" s="28">
        <f>'REG y VAL POE - AESR - ESR'!V499</f>
        <v>0</v>
      </c>
      <c r="SM11" s="29">
        <f>'REG y VAL POE - AESR - ESR'!W499</f>
        <v>0</v>
      </c>
      <c r="SN11" s="30">
        <f>'REG y VAL POE - AESR - ESR'!X499</f>
        <v>0</v>
      </c>
      <c r="SO11" s="28">
        <f>'REG y VAL POE - AESR - ESR'!Y499</f>
        <v>0</v>
      </c>
      <c r="SP11" s="29">
        <f>'REG y VAL POE - AESR - ESR'!Z499</f>
        <v>0</v>
      </c>
      <c r="SQ11" s="29">
        <f>'REG y VAL POE - AESR - ESR'!AA499</f>
        <v>0</v>
      </c>
      <c r="SR11" s="29">
        <f>'REG y VAL POE - AESR - ESR'!AB499</f>
        <v>0</v>
      </c>
      <c r="SS11" s="28">
        <f>'REG y VAL POE - AESR - ESR'!AC499</f>
        <v>0</v>
      </c>
      <c r="ST11" s="29">
        <f>'REG y VAL POE - AESR - ESR'!AD499</f>
        <v>0</v>
      </c>
      <c r="SU11" s="29">
        <f>'REG y VAL POE - AESR - ESR'!AE499</f>
        <v>0</v>
      </c>
      <c r="SV11" s="28">
        <f>'REG y VAL POE - AESR - ESR'!AF499</f>
        <v>0</v>
      </c>
      <c r="SW11" s="29">
        <f>'REG y VAL POE - AESR - ESR'!AG499</f>
        <v>0</v>
      </c>
      <c r="SX11" s="30">
        <f>'REG y VAL POE - AESR - ESR'!AH499</f>
        <v>0</v>
      </c>
      <c r="SY11" s="28">
        <f>'REG y VAL POE - AESR - ESR'!AI499</f>
        <v>0</v>
      </c>
      <c r="SZ11" s="29">
        <f>'REG y VAL POE - AESR - ESR'!AJ499</f>
        <v>0</v>
      </c>
      <c r="TA11" s="29">
        <f>'REG y VAL POE - AESR - ESR'!AK499</f>
        <v>0</v>
      </c>
      <c r="TB11" s="29">
        <f>'REG y VAL POE - AESR - ESR'!AL499</f>
        <v>0</v>
      </c>
      <c r="TC11" s="28">
        <f>'REG y VAL POE - AESR - ESR'!AM499</f>
        <v>0</v>
      </c>
      <c r="TD11" s="29">
        <f>'REG y VAL POE - AESR - ESR'!AN499</f>
        <v>0</v>
      </c>
      <c r="TE11" s="29">
        <f>'REG y VAL POE - AESR - ESR'!AO499</f>
        <v>0</v>
      </c>
      <c r="TF11" s="28">
        <f>'REG y VAL POE - AESR - ESR'!AP499</f>
        <v>0</v>
      </c>
      <c r="TG11" s="29">
        <f>'REG y VAL POE - AESR - ESR'!AQ499</f>
        <v>0</v>
      </c>
      <c r="TH11" s="30">
        <f>'REG y VAL POE - AESR - ESR'!AR499</f>
        <v>0</v>
      </c>
      <c r="TI11" s="28">
        <f>'REG y VAL POE - AESR - ESR'!AS499</f>
        <v>0</v>
      </c>
      <c r="TJ11" s="29">
        <f>'REG y VAL POE - AESR - ESR'!B500</f>
        <v>0</v>
      </c>
      <c r="TK11" s="29">
        <f>'REG y VAL POE - AESR - ESR'!C500</f>
        <v>0</v>
      </c>
      <c r="TL11" s="29">
        <f>'REG y VAL POE - AESR - ESR'!D500</f>
        <v>0</v>
      </c>
      <c r="TM11" s="28">
        <f>'REG y VAL POE - AESR - ESR'!E500</f>
        <v>0</v>
      </c>
      <c r="TN11" s="29">
        <f>'REG y VAL POE - AESR - ESR'!F500</f>
        <v>0</v>
      </c>
      <c r="TO11" s="29">
        <f>'REG y VAL POE - AESR - ESR'!G500</f>
        <v>0</v>
      </c>
      <c r="TP11" s="28">
        <f>'REG y VAL POE - AESR - ESR'!H500</f>
        <v>0</v>
      </c>
      <c r="TQ11" s="29">
        <f>'REG y VAL POE - AESR - ESR'!I500</f>
        <v>0</v>
      </c>
      <c r="TR11" s="30">
        <f>'REG y VAL POE - AESR - ESR'!J500</f>
        <v>0</v>
      </c>
      <c r="TS11" s="28">
        <f>'REG y VAL POE - AESR - ESR'!K500</f>
        <v>0</v>
      </c>
      <c r="TT11" s="29">
        <f>'REG y VAL POE - AESR - ESR'!L500</f>
        <v>0</v>
      </c>
      <c r="TU11" s="29">
        <f>'REG y VAL POE - AESR - ESR'!M500</f>
        <v>0</v>
      </c>
      <c r="TV11" s="29">
        <f>'REG y VAL POE - AESR - ESR'!N500</f>
        <v>0</v>
      </c>
      <c r="TW11" s="28">
        <f>'REG y VAL POE - AESR - ESR'!O500</f>
        <v>0</v>
      </c>
      <c r="TX11" s="29">
        <f>'REG y VAL POE - AESR - ESR'!P500</f>
        <v>0</v>
      </c>
      <c r="TY11" s="29">
        <f>'REG y VAL POE - AESR - ESR'!Q500</f>
        <v>0</v>
      </c>
      <c r="TZ11" s="28">
        <f>'REG y VAL POE - AESR - ESR'!R500</f>
        <v>0</v>
      </c>
      <c r="UA11" s="29">
        <f>'REG y VAL POE - AESR - ESR'!S500</f>
        <v>0</v>
      </c>
      <c r="UB11" s="30">
        <f>'REG y VAL POE - AESR - ESR'!T500</f>
        <v>0</v>
      </c>
      <c r="UC11" s="28">
        <f>'REG y VAL POE - AESR - ESR'!U500</f>
        <v>0</v>
      </c>
      <c r="UD11" s="29">
        <f>'REG y VAL POE - AESR - ESR'!V500</f>
        <v>0</v>
      </c>
      <c r="UE11" s="29">
        <f>'REG y VAL POE - AESR - ESR'!W500</f>
        <v>0</v>
      </c>
      <c r="UF11" s="29">
        <f>'REG y VAL POE - AESR - ESR'!X500</f>
        <v>0</v>
      </c>
      <c r="UG11" s="28">
        <f>'REG y VAL POE - AESR - ESR'!Y500</f>
        <v>0</v>
      </c>
      <c r="UH11" s="29">
        <f>'REG y VAL POE - AESR - ESR'!Z500</f>
        <v>0</v>
      </c>
      <c r="UI11" s="29">
        <f>'REG y VAL POE - AESR - ESR'!AA500</f>
        <v>0</v>
      </c>
      <c r="UJ11" s="28">
        <f>'REG y VAL POE - AESR - ESR'!AB500</f>
        <v>0</v>
      </c>
      <c r="UK11" s="29">
        <f>'REG y VAL POE - AESR - ESR'!AC500</f>
        <v>0</v>
      </c>
      <c r="UL11" s="30">
        <f>'REG y VAL POE - AESR - ESR'!AD500</f>
        <v>0</v>
      </c>
      <c r="UM11" s="28">
        <f>'REG y VAL POE - AESR - ESR'!AE500</f>
        <v>0</v>
      </c>
      <c r="UN11" s="29">
        <f>'REG y VAL POE - AESR - ESR'!AF500</f>
        <v>0</v>
      </c>
      <c r="UO11" s="29">
        <f>'REG y VAL POE - AESR - ESR'!AG500</f>
        <v>0</v>
      </c>
      <c r="UP11" s="29">
        <f>'REG y VAL POE - AESR - ESR'!AH500</f>
        <v>0</v>
      </c>
      <c r="UQ11" s="28">
        <f>'REG y VAL POE - AESR - ESR'!AI500</f>
        <v>0</v>
      </c>
      <c r="UR11" s="29">
        <f>'REG y VAL POE - AESR - ESR'!AJ500</f>
        <v>0</v>
      </c>
      <c r="US11" s="29">
        <f>'REG y VAL POE - AESR - ESR'!AK500</f>
        <v>0</v>
      </c>
      <c r="UT11" s="28">
        <f>'REG y VAL POE - AESR - ESR'!AL500</f>
        <v>0</v>
      </c>
      <c r="UU11" s="29">
        <f>'REG y VAL POE - AESR - ESR'!AM500</f>
        <v>0</v>
      </c>
      <c r="UV11" s="30">
        <f>'REG y VAL POE - AESR - ESR'!AN500</f>
        <v>0</v>
      </c>
      <c r="UW11" s="28">
        <f>'REG y VAL POE - AESR - ESR'!AO500</f>
        <v>0</v>
      </c>
      <c r="UX11" s="29">
        <f>'REG y VAL POE - AESR - ESR'!AP500</f>
        <v>0</v>
      </c>
      <c r="UY11" s="29">
        <f>'REG y VAL POE - AESR - ESR'!AQ500</f>
        <v>0</v>
      </c>
      <c r="UZ11" s="29">
        <f>'REG y VAL POE - AESR - ESR'!AR500</f>
        <v>0</v>
      </c>
      <c r="VA11" s="28">
        <f>'REG y VAL POE - AESR - ESR'!AS500</f>
        <v>0</v>
      </c>
      <c r="VB11" s="29">
        <f>'REG y VAL POE - AESR - ESR'!B501</f>
        <v>0</v>
      </c>
      <c r="VC11" s="29">
        <f>'REG y VAL POE - AESR - ESR'!C501</f>
        <v>0</v>
      </c>
      <c r="VD11" s="28">
        <f>'REG y VAL POE - AESR - ESR'!D501</f>
        <v>0</v>
      </c>
      <c r="VE11" s="29">
        <f>'REG y VAL POE - AESR - ESR'!E501</f>
        <v>0</v>
      </c>
      <c r="VF11" s="30">
        <f>'REG y VAL POE - AESR - ESR'!F501</f>
        <v>0</v>
      </c>
      <c r="VG11" s="28">
        <f>'REG y VAL POE - AESR - ESR'!G501</f>
        <v>0</v>
      </c>
      <c r="VH11" s="29">
        <f>'REG y VAL POE - AESR - ESR'!H501</f>
        <v>0</v>
      </c>
      <c r="VI11" s="29">
        <f>'REG y VAL POE - AESR - ESR'!I501</f>
        <v>0</v>
      </c>
      <c r="VJ11" s="29">
        <f>'REG y VAL POE - AESR - ESR'!J501</f>
        <v>0</v>
      </c>
      <c r="VK11" s="28">
        <f>'REG y VAL POE - AESR - ESR'!K501</f>
        <v>0</v>
      </c>
      <c r="VL11" s="29">
        <f>'REG y VAL POE - AESR - ESR'!L501</f>
        <v>0</v>
      </c>
      <c r="VM11" s="29">
        <f>'REG y VAL POE - AESR - ESR'!M501</f>
        <v>0</v>
      </c>
      <c r="VN11" s="28">
        <f>'REG y VAL POE - AESR - ESR'!N501</f>
        <v>0</v>
      </c>
      <c r="VO11" s="29">
        <f>'REG y VAL POE - AESR - ESR'!O501</f>
        <v>0</v>
      </c>
      <c r="VP11" s="30">
        <f>'REG y VAL POE - AESR - ESR'!P501</f>
        <v>0</v>
      </c>
      <c r="VQ11" s="28">
        <f>'REG y VAL POE - AESR - ESR'!Q501</f>
        <v>0</v>
      </c>
      <c r="VR11" s="29">
        <f>'REG y VAL POE - AESR - ESR'!R501</f>
        <v>0</v>
      </c>
      <c r="VS11" s="29">
        <f>'REG y VAL POE - AESR - ESR'!S501</f>
        <v>0</v>
      </c>
      <c r="VT11" s="29">
        <f>'REG y VAL POE - AESR - ESR'!T501</f>
        <v>0</v>
      </c>
      <c r="VU11" s="28">
        <f>'REG y VAL POE - AESR - ESR'!U501</f>
        <v>0</v>
      </c>
      <c r="VV11" s="29">
        <f>'REG y VAL POE - AESR - ESR'!V501</f>
        <v>0</v>
      </c>
      <c r="VW11" s="29">
        <f>'REG y VAL POE - AESR - ESR'!W501</f>
        <v>0</v>
      </c>
      <c r="VX11" s="28">
        <f>'REG y VAL POE - AESR - ESR'!X501</f>
        <v>0</v>
      </c>
      <c r="VY11" s="29">
        <f>'REG y VAL POE - AESR - ESR'!Y501</f>
        <v>0</v>
      </c>
      <c r="VZ11" s="30">
        <f>'REG y VAL POE - AESR - ESR'!Z501</f>
        <v>0</v>
      </c>
      <c r="WA11" s="28">
        <f>'REG y VAL POE - AESR - ESR'!AA501</f>
        <v>0</v>
      </c>
      <c r="WB11" s="29">
        <f>'REG y VAL POE - AESR - ESR'!AB501</f>
        <v>0</v>
      </c>
      <c r="WC11" s="29">
        <f>'REG y VAL POE - AESR - ESR'!AC501</f>
        <v>0</v>
      </c>
      <c r="WD11" s="29">
        <f>'REG y VAL POE - AESR - ESR'!AD501</f>
        <v>0</v>
      </c>
      <c r="WE11" s="28">
        <f>'REG y VAL POE - AESR - ESR'!AE501</f>
        <v>0</v>
      </c>
      <c r="WF11" s="29">
        <f>'REG y VAL POE - AESR - ESR'!AF501</f>
        <v>0</v>
      </c>
      <c r="WG11" s="29">
        <f>'REG y VAL POE - AESR - ESR'!AG501</f>
        <v>0</v>
      </c>
      <c r="WH11" s="28">
        <f>'REG y VAL POE - AESR - ESR'!AH501</f>
        <v>0</v>
      </c>
      <c r="WI11" s="29">
        <f>'REG y VAL POE - AESR - ESR'!AI501</f>
        <v>0</v>
      </c>
      <c r="WJ11" s="30">
        <f>'REG y VAL POE - AESR - ESR'!AJ501</f>
        <v>0</v>
      </c>
      <c r="WK11" s="28">
        <f>'REG y VAL POE - AESR - ESR'!AK501</f>
        <v>0</v>
      </c>
      <c r="WL11" s="29">
        <f>'REG y VAL POE - AESR - ESR'!AL501</f>
        <v>0</v>
      </c>
      <c r="WM11" s="29">
        <f>'REG y VAL POE - AESR - ESR'!AM501</f>
        <v>0</v>
      </c>
      <c r="WN11" s="29">
        <f>'REG y VAL POE - AESR - ESR'!AN501</f>
        <v>0</v>
      </c>
      <c r="WO11" s="28">
        <f>'REG y VAL POE - AESR - ESR'!AO501</f>
        <v>0</v>
      </c>
      <c r="WP11" s="29">
        <f>'REG y VAL POE - AESR - ESR'!AP501</f>
        <v>0</v>
      </c>
      <c r="WQ11" s="29">
        <f>'REG y VAL POE - AESR - ESR'!AQ501</f>
        <v>0</v>
      </c>
      <c r="WR11" s="28">
        <f>'REG y VAL POE - AESR - ESR'!AR501</f>
        <v>0</v>
      </c>
      <c r="WS11" s="29">
        <f>'REG y VAL POE - AESR - ESR'!AS501</f>
        <v>0</v>
      </c>
      <c r="WT11" s="30">
        <f>'REG y VAL POE - AESR - ESR'!B502</f>
        <v>0</v>
      </c>
      <c r="WU11" s="28">
        <f>'REG y VAL POE - AESR - ESR'!C502</f>
        <v>0</v>
      </c>
      <c r="WV11" s="29">
        <f>'REG y VAL POE - AESR - ESR'!D502</f>
        <v>0</v>
      </c>
      <c r="WW11" s="29">
        <f>'REG y VAL POE - AESR - ESR'!E502</f>
        <v>0</v>
      </c>
      <c r="WX11" s="29">
        <f>'REG y VAL POE - AESR - ESR'!F502</f>
        <v>0</v>
      </c>
      <c r="WY11" s="28">
        <f>'REG y VAL POE - AESR - ESR'!G502</f>
        <v>0</v>
      </c>
      <c r="WZ11" s="29">
        <f>'REG y VAL POE - AESR - ESR'!H502</f>
        <v>0</v>
      </c>
      <c r="XA11" s="29">
        <f>'REG y VAL POE - AESR - ESR'!I502</f>
        <v>0</v>
      </c>
      <c r="XB11" s="28">
        <f>'REG y VAL POE - AESR - ESR'!J502</f>
        <v>0</v>
      </c>
      <c r="XC11" s="29">
        <f>'REG y VAL POE - AESR - ESR'!K502</f>
        <v>0</v>
      </c>
      <c r="XD11" s="30">
        <f>'REG y VAL POE - AESR - ESR'!L502</f>
        <v>0</v>
      </c>
      <c r="XE11" s="28">
        <f>'REG y VAL POE - AESR - ESR'!M502</f>
        <v>0</v>
      </c>
      <c r="XF11" s="29">
        <f>'REG y VAL POE - AESR - ESR'!N502</f>
        <v>0</v>
      </c>
      <c r="XG11" s="29">
        <f>'REG y VAL POE - AESR - ESR'!O502</f>
        <v>0</v>
      </c>
      <c r="XH11" s="29">
        <f>'REG y VAL POE - AESR - ESR'!P502</f>
        <v>0</v>
      </c>
      <c r="XI11" s="28">
        <f>'REG y VAL POE - AESR - ESR'!Q502</f>
        <v>0</v>
      </c>
      <c r="XJ11" s="29">
        <f>'REG y VAL POE - AESR - ESR'!R502</f>
        <v>0</v>
      </c>
      <c r="XK11" s="29">
        <f>'REG y VAL POE - AESR - ESR'!S502</f>
        <v>0</v>
      </c>
      <c r="XL11" s="28">
        <f>'REG y VAL POE - AESR - ESR'!T502</f>
        <v>0</v>
      </c>
      <c r="XM11" s="29">
        <f>'REG y VAL POE - AESR - ESR'!U502</f>
        <v>0</v>
      </c>
      <c r="XN11" s="30">
        <f>'REG y VAL POE - AESR - ESR'!V502</f>
        <v>0</v>
      </c>
      <c r="XO11" s="28">
        <f>'REG y VAL POE - AESR - ESR'!W502</f>
        <v>0</v>
      </c>
      <c r="XP11" s="29">
        <f>'REG y VAL POE - AESR - ESR'!X502</f>
        <v>0</v>
      </c>
      <c r="XQ11" s="29">
        <f>'REG y VAL POE - AESR - ESR'!Y502</f>
        <v>0</v>
      </c>
      <c r="XR11" s="29">
        <f>'REG y VAL POE - AESR - ESR'!Z502</f>
        <v>0</v>
      </c>
      <c r="XS11" s="28">
        <f>'REG y VAL POE - AESR - ESR'!AA502</f>
        <v>0</v>
      </c>
      <c r="XT11" s="29">
        <f>'REG y VAL POE - AESR - ESR'!AB502</f>
        <v>0</v>
      </c>
      <c r="XU11" s="29">
        <f>'REG y VAL POE - AESR - ESR'!AC502</f>
        <v>0</v>
      </c>
      <c r="XV11" s="28">
        <f>'REG y VAL POE - AESR - ESR'!AD502</f>
        <v>0</v>
      </c>
      <c r="XW11" s="29">
        <f>'REG y VAL POE - AESR - ESR'!AE502</f>
        <v>0</v>
      </c>
      <c r="XX11" s="30">
        <f>'REG y VAL POE - AESR - ESR'!AF502</f>
        <v>0</v>
      </c>
      <c r="XY11" s="28">
        <f>'REG y VAL POE - AESR - ESR'!AG502</f>
        <v>0</v>
      </c>
      <c r="XZ11" s="29">
        <f>'REG y VAL POE - AESR - ESR'!AH502</f>
        <v>0</v>
      </c>
      <c r="YA11" s="29">
        <f>'REG y VAL POE - AESR - ESR'!AI502</f>
        <v>0</v>
      </c>
      <c r="YB11" s="29">
        <f>'REG y VAL POE - AESR - ESR'!AJ502</f>
        <v>0</v>
      </c>
      <c r="YC11" s="28">
        <f>'REG y VAL POE - AESR - ESR'!AK502</f>
        <v>0</v>
      </c>
      <c r="YD11" s="29">
        <f>'REG y VAL POE - AESR - ESR'!AL502</f>
        <v>0</v>
      </c>
      <c r="YE11" s="29">
        <f>'REG y VAL POE - AESR - ESR'!AM502</f>
        <v>0</v>
      </c>
      <c r="YF11" s="28">
        <f>'REG y VAL POE - AESR - ESR'!AN502</f>
        <v>0</v>
      </c>
      <c r="YG11" s="29">
        <f>'REG y VAL POE - AESR - ESR'!AO502</f>
        <v>0</v>
      </c>
      <c r="YH11" s="30">
        <f>'REG y VAL POE - AESR - ESR'!AP502</f>
        <v>0</v>
      </c>
      <c r="YI11" s="28">
        <f>'REG y VAL POE - AESR - ESR'!AQ502</f>
        <v>0</v>
      </c>
      <c r="YJ11" s="29">
        <f>'REG y VAL POE - AESR - ESR'!AR502</f>
        <v>0</v>
      </c>
      <c r="YK11" s="29">
        <f>'REG y VAL POE - AESR - ESR'!AS502</f>
        <v>0</v>
      </c>
      <c r="YL11" s="29">
        <f>'REG y VAL POE - AESR - ESR'!B503</f>
        <v>0</v>
      </c>
      <c r="YM11" s="28">
        <f>'REG y VAL POE - AESR - ESR'!C503</f>
        <v>0</v>
      </c>
      <c r="YN11" s="29">
        <f>'REG y VAL POE - AESR - ESR'!D503</f>
        <v>0</v>
      </c>
      <c r="YO11" s="29">
        <f>'REG y VAL POE - AESR - ESR'!E503</f>
        <v>0</v>
      </c>
      <c r="YP11" s="28">
        <f>'REG y VAL POE - AESR - ESR'!F503</f>
        <v>0</v>
      </c>
      <c r="YQ11" s="29">
        <f>'REG y VAL POE - AESR - ESR'!G503</f>
        <v>0</v>
      </c>
      <c r="YR11" s="30">
        <f>'REG y VAL POE - AESR - ESR'!H503</f>
        <v>0</v>
      </c>
      <c r="YS11" s="28">
        <f>'REG y VAL POE - AESR - ESR'!I503</f>
        <v>0</v>
      </c>
      <c r="YT11" s="29">
        <f>'REG y VAL POE - AESR - ESR'!J503</f>
        <v>0</v>
      </c>
      <c r="YU11" s="29">
        <f>'REG y VAL POE - AESR - ESR'!K503</f>
        <v>0</v>
      </c>
      <c r="YV11" s="29">
        <f>'REG y VAL POE - AESR - ESR'!L503</f>
        <v>0</v>
      </c>
      <c r="YW11" s="28">
        <f>'REG y VAL POE - AESR - ESR'!M503</f>
        <v>0</v>
      </c>
      <c r="YX11" s="29">
        <f>'REG y VAL POE - AESR - ESR'!N503</f>
        <v>0</v>
      </c>
      <c r="YY11" s="29">
        <f>'REG y VAL POE - AESR - ESR'!O503</f>
        <v>0</v>
      </c>
      <c r="YZ11" s="28">
        <f>'REG y VAL POE - AESR - ESR'!P503</f>
        <v>0</v>
      </c>
      <c r="ZA11" s="29">
        <f>'REG y VAL POE - AESR - ESR'!Q503</f>
        <v>0</v>
      </c>
      <c r="ZB11" s="30">
        <f>'REG y VAL POE - AESR - ESR'!R503</f>
        <v>0</v>
      </c>
      <c r="ZC11" s="28">
        <f>'REG y VAL POE - AESR - ESR'!S503</f>
        <v>0</v>
      </c>
      <c r="ZD11" s="29">
        <f>'REG y VAL POE - AESR - ESR'!T503</f>
        <v>0</v>
      </c>
      <c r="ZE11" s="29">
        <f>'REG y VAL POE - AESR - ESR'!U503</f>
        <v>0</v>
      </c>
      <c r="ZF11" s="29">
        <f>'REG y VAL POE - AESR - ESR'!V503</f>
        <v>0</v>
      </c>
      <c r="ZG11" s="28">
        <f>'REG y VAL POE - AESR - ESR'!W503</f>
        <v>0</v>
      </c>
      <c r="ZH11" s="29">
        <f>'REG y VAL POE - AESR - ESR'!X503</f>
        <v>0</v>
      </c>
      <c r="ZI11" s="29">
        <f>'REG y VAL POE - AESR - ESR'!Y503</f>
        <v>0</v>
      </c>
      <c r="ZJ11" s="28">
        <f>'REG y VAL POE - AESR - ESR'!Z503</f>
        <v>0</v>
      </c>
      <c r="ZK11" s="29">
        <f>'REG y VAL POE - AESR - ESR'!AA503</f>
        <v>0</v>
      </c>
      <c r="ZL11" s="30">
        <f>'REG y VAL POE - AESR - ESR'!AB503</f>
        <v>0</v>
      </c>
      <c r="ZM11" s="28">
        <f>'REG y VAL POE - AESR - ESR'!AC503</f>
        <v>0</v>
      </c>
      <c r="ZN11" s="29">
        <f>'REG y VAL POE - AESR - ESR'!AD503</f>
        <v>0</v>
      </c>
      <c r="ZO11" s="29">
        <f>'REG y VAL POE - AESR - ESR'!AE503</f>
        <v>0</v>
      </c>
      <c r="ZP11" s="29">
        <f>'REG y VAL POE - AESR - ESR'!AF503</f>
        <v>0</v>
      </c>
      <c r="ZQ11" s="28">
        <f>'REG y VAL POE - AESR - ESR'!AG503</f>
        <v>0</v>
      </c>
      <c r="ZR11" s="29">
        <f>'REG y VAL POE - AESR - ESR'!AH503</f>
        <v>0</v>
      </c>
      <c r="ZS11" s="29">
        <f>'REG y VAL POE - AESR - ESR'!AI503</f>
        <v>0</v>
      </c>
      <c r="ZT11" s="28">
        <f>'REG y VAL POE - AESR - ESR'!AJ503</f>
        <v>0</v>
      </c>
      <c r="ZU11" s="29">
        <f>'REG y VAL POE - AESR - ESR'!AK503</f>
        <v>0</v>
      </c>
      <c r="ZV11" s="30">
        <f>'REG y VAL POE - AESR - ESR'!AL503</f>
        <v>0</v>
      </c>
      <c r="ZW11" s="28">
        <f>'REG y VAL POE - AESR - ESR'!AM503</f>
        <v>0</v>
      </c>
      <c r="ZX11" s="29">
        <f>'REG y VAL POE - AESR - ESR'!AN503</f>
        <v>0</v>
      </c>
      <c r="ZY11" s="29">
        <f>'REG y VAL POE - AESR - ESR'!AO503</f>
        <v>0</v>
      </c>
      <c r="ZZ11" s="29">
        <f>'REG y VAL POE - AESR - ESR'!AP503</f>
        <v>0</v>
      </c>
      <c r="AAA11" s="28">
        <f>'REG y VAL POE - AESR - ESR'!AQ503</f>
        <v>0</v>
      </c>
      <c r="AAB11" s="29">
        <f>'REG y VAL POE - AESR - ESR'!AR503</f>
        <v>0</v>
      </c>
      <c r="AAC11" s="29">
        <f>'REG y VAL POE - AESR - ESR'!AS503</f>
        <v>0</v>
      </c>
      <c r="AAD11" s="28">
        <f>'REG y VAL POE - AESR - ESR'!B504</f>
        <v>0</v>
      </c>
      <c r="AAE11" s="29">
        <f>'REG y VAL POE - AESR - ESR'!C504</f>
        <v>0</v>
      </c>
      <c r="AAF11" s="30">
        <f>'REG y VAL POE - AESR - ESR'!D504</f>
        <v>0</v>
      </c>
      <c r="AAG11" s="28">
        <f>'REG y VAL POE - AESR - ESR'!E504</f>
        <v>0</v>
      </c>
      <c r="AAH11" s="29">
        <f>'REG y VAL POE - AESR - ESR'!F504</f>
        <v>0</v>
      </c>
      <c r="AAI11" s="29">
        <f>'REG y VAL POE - AESR - ESR'!G504</f>
        <v>0</v>
      </c>
      <c r="AAJ11" s="29">
        <f>'REG y VAL POE - AESR - ESR'!H504</f>
        <v>0</v>
      </c>
      <c r="AAK11" s="28">
        <f>'REG y VAL POE - AESR - ESR'!I504</f>
        <v>0</v>
      </c>
      <c r="AAL11" s="29">
        <f>'REG y VAL POE - AESR - ESR'!J504</f>
        <v>0</v>
      </c>
      <c r="AAM11" s="29">
        <f>'REG y VAL POE - AESR - ESR'!K504</f>
        <v>0</v>
      </c>
      <c r="AAN11" s="28">
        <f>'REG y VAL POE - AESR - ESR'!L504</f>
        <v>0</v>
      </c>
      <c r="AAO11" s="29">
        <f>'REG y VAL POE - AESR - ESR'!M504</f>
        <v>0</v>
      </c>
      <c r="AAP11" s="30">
        <f>'REG y VAL POE - AESR - ESR'!N504</f>
        <v>0</v>
      </c>
      <c r="AAQ11" s="28">
        <f>'REG y VAL POE - AESR - ESR'!O504</f>
        <v>0</v>
      </c>
      <c r="AAR11" s="29">
        <f>'REG y VAL POE - AESR - ESR'!P504</f>
        <v>0</v>
      </c>
      <c r="AAS11" s="29">
        <f>'REG y VAL POE - AESR - ESR'!Q504</f>
        <v>0</v>
      </c>
      <c r="AAT11" s="29">
        <f>'REG y VAL POE - AESR - ESR'!R504</f>
        <v>0</v>
      </c>
      <c r="AAU11" s="28">
        <f>'REG y VAL POE - AESR - ESR'!S504</f>
        <v>0</v>
      </c>
      <c r="AAV11" s="29">
        <f>'REG y VAL POE - AESR - ESR'!T504</f>
        <v>0</v>
      </c>
      <c r="AAW11" s="29">
        <f>'REG y VAL POE - AESR - ESR'!U504</f>
        <v>0</v>
      </c>
      <c r="AAX11" s="30">
        <f>'REG y VAL POE - AESR - ESR'!V504</f>
        <v>0</v>
      </c>
      <c r="AAY11" s="30">
        <f>'REG y VAL POE - AESR - ESR'!W504</f>
        <v>0</v>
      </c>
      <c r="AAZ11" s="30">
        <f>'REG y VAL POE - AESR - ESR'!X504</f>
        <v>0</v>
      </c>
      <c r="ABA11" s="28">
        <f>'REG y VAL POE - AESR - ESR'!Y504</f>
        <v>0</v>
      </c>
      <c r="ABB11" s="30">
        <f>'REG y VAL POE - AESR - ESR'!Z504</f>
        <v>0</v>
      </c>
      <c r="ABC11" s="30">
        <f>'REG y VAL POE - AESR - ESR'!AA504</f>
        <v>0</v>
      </c>
      <c r="ABD11" s="30">
        <f>'REG y VAL POE - AESR - ESR'!AB504</f>
        <v>0</v>
      </c>
      <c r="ABE11" s="30">
        <f>'REG y VAL POE - AESR - ESR'!AC504</f>
        <v>0</v>
      </c>
      <c r="ABF11" s="30">
        <f>'REG y VAL POE - AESR - ESR'!AD504</f>
        <v>0</v>
      </c>
      <c r="ABG11" s="29">
        <f>'REG y VAL POE - AESR - ESR'!AE504</f>
        <v>0</v>
      </c>
      <c r="ABH11" s="28">
        <f>'REG y VAL POE - AESR - ESR'!AF504</f>
        <v>0</v>
      </c>
      <c r="ABI11" s="29">
        <f>'REG y VAL POE - AESR - ESR'!AG504</f>
        <v>0</v>
      </c>
      <c r="ABJ11" s="30">
        <f>'REG y VAL POE - AESR - ESR'!AH504</f>
        <v>0</v>
      </c>
      <c r="ABK11" s="28">
        <f>'REG y VAL POE - AESR - ESR'!AI504</f>
        <v>0</v>
      </c>
      <c r="ABL11" s="29">
        <f>'REG y VAL POE - AESR - ESR'!AJ504</f>
        <v>0</v>
      </c>
      <c r="ABM11" s="29">
        <f>'REG y VAL POE - AESR - ESR'!AK504</f>
        <v>0</v>
      </c>
      <c r="ABN11" s="29">
        <f>'REG y VAL POE - AESR - ESR'!AL504</f>
        <v>0</v>
      </c>
      <c r="ABO11" s="28">
        <f>'REG y VAL POE - AESR - ESR'!AM504</f>
        <v>0</v>
      </c>
      <c r="ABP11" s="29">
        <f>'REG y VAL POE - AESR - ESR'!AN504</f>
        <v>0</v>
      </c>
      <c r="ABQ11" s="29">
        <f>'REG y VAL POE - AESR - ESR'!AO504</f>
        <v>0</v>
      </c>
      <c r="ABR11" s="28">
        <f>'REG y VAL POE - AESR - ESR'!AP504</f>
        <v>0</v>
      </c>
      <c r="ABS11" s="29">
        <f>'REG y VAL POE - AESR - ESR'!AQ504</f>
        <v>0</v>
      </c>
      <c r="ABT11" s="30">
        <f>'REG y VAL POE - AESR - ESR'!AR504</f>
        <v>0</v>
      </c>
      <c r="ABU11" s="28">
        <f>'REG y VAL POE - AESR - ESR'!AS504</f>
        <v>0</v>
      </c>
      <c r="ABV11" s="29">
        <f>'REG y VAL POE - AESR - ESR'!B505</f>
        <v>0</v>
      </c>
      <c r="ABW11" s="29">
        <f>'REG y VAL POE - AESR - ESR'!C505</f>
        <v>0</v>
      </c>
      <c r="ABX11" s="29">
        <f>'REG y VAL POE - AESR - ESR'!D505</f>
        <v>0</v>
      </c>
      <c r="ABY11" s="28">
        <f>'REG y VAL POE - AESR - ESR'!E505</f>
        <v>0</v>
      </c>
      <c r="ABZ11" s="29">
        <f>'REG y VAL POE - AESR - ESR'!F505</f>
        <v>0</v>
      </c>
      <c r="ACA11" s="29">
        <f>'REG y VAL POE - AESR - ESR'!G505</f>
        <v>0</v>
      </c>
      <c r="ACB11" s="28">
        <f>'REG y VAL POE - AESR - ESR'!H505</f>
        <v>0</v>
      </c>
      <c r="ACC11" s="29">
        <f>'REG y VAL POE - AESR - ESR'!I505</f>
        <v>0</v>
      </c>
      <c r="ACD11" s="30">
        <f>'REG y VAL POE - AESR - ESR'!J505</f>
        <v>0</v>
      </c>
      <c r="ACE11" s="28">
        <f>'REG y VAL POE - AESR - ESR'!K505</f>
        <v>0</v>
      </c>
      <c r="ACF11" s="29">
        <f>'REG y VAL POE - AESR - ESR'!L505</f>
        <v>0</v>
      </c>
      <c r="ACG11" s="29">
        <f>'REG y VAL POE - AESR - ESR'!M505</f>
        <v>0</v>
      </c>
      <c r="ACH11" s="29">
        <f>'REG y VAL POE - AESR - ESR'!N505</f>
        <v>0</v>
      </c>
      <c r="ACI11" s="28">
        <f>'REG y VAL POE - AESR - ESR'!O505</f>
        <v>0</v>
      </c>
      <c r="ACJ11" s="29">
        <f>'REG y VAL POE - AESR - ESR'!P505</f>
        <v>0</v>
      </c>
      <c r="ACK11" s="29">
        <f>'REG y VAL POE - AESR - ESR'!Q505</f>
        <v>0</v>
      </c>
      <c r="ACL11" s="28">
        <f>'REG y VAL POE - AESR - ESR'!R505</f>
        <v>0</v>
      </c>
      <c r="ACM11" s="29">
        <f>'REG y VAL POE - AESR - ESR'!S505</f>
        <v>0</v>
      </c>
      <c r="ACN11" s="30">
        <f>'REG y VAL POE - AESR - ESR'!T505</f>
        <v>0</v>
      </c>
      <c r="ACO11" s="28">
        <f>'REG y VAL POE - AESR - ESR'!U505</f>
        <v>0</v>
      </c>
      <c r="ACP11" s="29">
        <f>'REG y VAL POE - AESR - ESR'!V505</f>
        <v>0</v>
      </c>
      <c r="ACQ11" s="29">
        <f>'REG y VAL POE - AESR - ESR'!W505</f>
        <v>0</v>
      </c>
      <c r="ACR11" s="29">
        <f>'REG y VAL POE - AESR - ESR'!X505</f>
        <v>0</v>
      </c>
      <c r="ACS11" s="28">
        <f>'REG y VAL POE - AESR - ESR'!Y505</f>
        <v>0</v>
      </c>
      <c r="ACT11" s="29">
        <f>'REG y VAL POE - AESR - ESR'!Z505</f>
        <v>0</v>
      </c>
      <c r="ACU11" s="29">
        <f>'REG y VAL POE - AESR - ESR'!AA505</f>
        <v>0</v>
      </c>
      <c r="ACV11" s="28">
        <f>'REG y VAL POE - AESR - ESR'!AB505</f>
        <v>0</v>
      </c>
      <c r="ACW11" s="29">
        <f>'REG y VAL POE - AESR - ESR'!AC505</f>
        <v>0</v>
      </c>
      <c r="ACX11" s="30">
        <f>'REG y VAL POE - AESR - ESR'!AD505</f>
        <v>0</v>
      </c>
      <c r="ACY11" s="28">
        <f>'REG y VAL POE - AESR - ESR'!AE505</f>
        <v>0</v>
      </c>
      <c r="ACZ11" s="29">
        <f>'REG y VAL POE - AESR - ESR'!AF505</f>
        <v>0</v>
      </c>
      <c r="ADA11" s="29">
        <f>'REG y VAL POE - AESR - ESR'!AG505</f>
        <v>0</v>
      </c>
      <c r="ADB11" s="29">
        <f>'REG y VAL POE - AESR - ESR'!AH505</f>
        <v>0</v>
      </c>
      <c r="ADC11" s="28">
        <f>'REG y VAL POE - AESR - ESR'!AI505</f>
        <v>0</v>
      </c>
      <c r="ADD11" s="29">
        <f>'REG y VAL POE - AESR - ESR'!AJ505</f>
        <v>0</v>
      </c>
      <c r="ADE11" s="29">
        <f>'REG y VAL POE - AESR - ESR'!AK505</f>
        <v>0</v>
      </c>
      <c r="ADF11" s="28">
        <f>'REG y VAL POE - AESR - ESR'!AL505</f>
        <v>0</v>
      </c>
      <c r="ADG11" s="29">
        <f>'REG y VAL POE - AESR - ESR'!AM505</f>
        <v>0</v>
      </c>
      <c r="ADH11" s="30">
        <f>'REG y VAL POE - AESR - ESR'!AN505</f>
        <v>0</v>
      </c>
      <c r="ADI11" s="28">
        <f>'REG y VAL POE - AESR - ESR'!AO505</f>
        <v>0</v>
      </c>
      <c r="ADJ11" s="29">
        <f>'REG y VAL POE - AESR - ESR'!AP505</f>
        <v>0</v>
      </c>
      <c r="ADK11" s="29">
        <f>'REG y VAL POE - AESR - ESR'!AQ505</f>
        <v>0</v>
      </c>
      <c r="ADL11" s="29">
        <f>'REG y VAL POE - AESR - ESR'!AR505</f>
        <v>0</v>
      </c>
      <c r="ADM11" s="28">
        <f>'REG y VAL POE - AESR - ESR'!AS505</f>
        <v>0</v>
      </c>
      <c r="ADN11" s="29">
        <f>'REG y VAL POE - AESR - ESR'!B506</f>
        <v>0</v>
      </c>
      <c r="ADO11" s="29">
        <f>'REG y VAL POE - AESR - ESR'!C506</f>
        <v>0</v>
      </c>
      <c r="ADP11" s="28">
        <f>'REG y VAL POE - AESR - ESR'!D506</f>
        <v>0</v>
      </c>
      <c r="ADQ11" s="29">
        <f>'REG y VAL POE - AESR - ESR'!E506</f>
        <v>0</v>
      </c>
      <c r="ADR11" s="30">
        <f>'REG y VAL POE - AESR - ESR'!F506</f>
        <v>0</v>
      </c>
      <c r="ADS11" s="28">
        <f>'REG y VAL POE - AESR - ESR'!G506</f>
        <v>0</v>
      </c>
      <c r="ADT11" s="29">
        <f>'REG y VAL POE - AESR - ESR'!H506</f>
        <v>0</v>
      </c>
      <c r="ADU11" s="29">
        <f>'REG y VAL POE - AESR - ESR'!I506</f>
        <v>0</v>
      </c>
      <c r="ADV11" s="29">
        <f>'REG y VAL POE - AESR - ESR'!J506</f>
        <v>0</v>
      </c>
      <c r="ADW11" s="28">
        <f>'REG y VAL POE - AESR - ESR'!K506</f>
        <v>0</v>
      </c>
      <c r="ADX11" s="29">
        <f>'REG y VAL POE - AESR - ESR'!L506</f>
        <v>0</v>
      </c>
      <c r="ADY11" s="29">
        <f>'REG y VAL POE - AESR - ESR'!M506</f>
        <v>0</v>
      </c>
      <c r="ADZ11" s="28">
        <f>'REG y VAL POE - AESR - ESR'!N506</f>
        <v>0</v>
      </c>
      <c r="AEA11" s="29">
        <f>'REG y VAL POE - AESR - ESR'!O506</f>
        <v>0</v>
      </c>
      <c r="AEB11" s="30">
        <f>'REG y VAL POE - AESR - ESR'!P506</f>
        <v>0</v>
      </c>
      <c r="AEC11" s="28">
        <f>'REG y VAL POE - AESR - ESR'!Q506</f>
        <v>0</v>
      </c>
      <c r="AED11" s="29">
        <f>'REG y VAL POE - AESR - ESR'!R506</f>
        <v>0</v>
      </c>
      <c r="AEE11" s="29">
        <f>'REG y VAL POE - AESR - ESR'!S506</f>
        <v>0</v>
      </c>
      <c r="AEF11" s="29">
        <f>'REG y VAL POE - AESR - ESR'!T506</f>
        <v>0</v>
      </c>
      <c r="AEG11" s="28">
        <f>'REG y VAL POE - AESR - ESR'!U506</f>
        <v>0</v>
      </c>
      <c r="AEH11" s="29">
        <f>'REG y VAL POE - AESR - ESR'!V506</f>
        <v>0</v>
      </c>
      <c r="AEI11" s="29">
        <f>'REG y VAL POE - AESR - ESR'!W506</f>
        <v>0</v>
      </c>
      <c r="AEJ11" s="28">
        <f>'REG y VAL POE - AESR - ESR'!X506</f>
        <v>0</v>
      </c>
      <c r="AEK11" s="29">
        <f>'REG y VAL POE - AESR - ESR'!Y506</f>
        <v>0</v>
      </c>
      <c r="AEL11" s="30">
        <f>'REG y VAL POE - AESR - ESR'!Z506</f>
        <v>0</v>
      </c>
      <c r="AEM11" s="28">
        <f>'REG y VAL POE - AESR - ESR'!AA506</f>
        <v>0</v>
      </c>
      <c r="AEN11" s="29">
        <f>'REG y VAL POE - AESR - ESR'!AB506</f>
        <v>0</v>
      </c>
      <c r="AEO11" s="29">
        <f>'REG y VAL POE - AESR - ESR'!AC506</f>
        <v>0</v>
      </c>
      <c r="AEP11" s="29">
        <f>'REG y VAL POE - AESR - ESR'!AD506</f>
        <v>0</v>
      </c>
      <c r="AEQ11" s="28">
        <f>'REG y VAL POE - AESR - ESR'!AE506</f>
        <v>0</v>
      </c>
      <c r="AER11" s="29">
        <f>'REG y VAL POE - AESR - ESR'!AF506</f>
        <v>0</v>
      </c>
      <c r="AES11" s="29">
        <f>'REG y VAL POE - AESR - ESR'!AG506</f>
        <v>0</v>
      </c>
      <c r="AET11" s="28">
        <f>'REG y VAL POE - AESR - ESR'!AH506</f>
        <v>0</v>
      </c>
      <c r="AEU11" s="29">
        <f>'REG y VAL POE - AESR - ESR'!AI506</f>
        <v>0</v>
      </c>
      <c r="AEV11" s="30">
        <f>'REG y VAL POE - AESR - ESR'!AJ506</f>
        <v>0</v>
      </c>
      <c r="AEW11" s="28">
        <f>'REG y VAL POE - AESR - ESR'!AK506</f>
        <v>0</v>
      </c>
      <c r="AEX11" s="29">
        <f>'REG y VAL POE - AESR - ESR'!AL506</f>
        <v>0</v>
      </c>
      <c r="AEY11" s="29">
        <f>'REG y VAL POE - AESR - ESR'!AM506</f>
        <v>0</v>
      </c>
      <c r="AEZ11" s="29">
        <f>'REG y VAL POE - AESR - ESR'!AN506</f>
        <v>0</v>
      </c>
      <c r="AFA11" s="28">
        <f>'REG y VAL POE - AESR - ESR'!AO506</f>
        <v>0</v>
      </c>
      <c r="AFB11" s="29">
        <f>'REG y VAL POE - AESR - ESR'!AP506</f>
        <v>0</v>
      </c>
      <c r="AFC11" s="29">
        <f>'REG y VAL POE - AESR - ESR'!AQ506</f>
        <v>0</v>
      </c>
      <c r="AFD11" s="28">
        <f>'REG y VAL POE - AESR - ESR'!AR506</f>
        <v>0</v>
      </c>
      <c r="AFE11" s="29">
        <f>'REG y VAL POE - AESR - ESR'!AS506</f>
        <v>0</v>
      </c>
      <c r="AFF11" s="30">
        <f>'REG y VAL POE - AESR - ESR'!B507</f>
        <v>0</v>
      </c>
      <c r="AFG11" s="28">
        <f>'REG y VAL POE - AESR - ESR'!C507</f>
        <v>0</v>
      </c>
      <c r="AFH11" s="29">
        <f>'REG y VAL POE - AESR - ESR'!D507</f>
        <v>0</v>
      </c>
      <c r="AFI11" s="29">
        <f>'REG y VAL POE - AESR - ESR'!E507</f>
        <v>0</v>
      </c>
      <c r="AFJ11" s="29">
        <f>'REG y VAL POE - AESR - ESR'!F507</f>
        <v>0</v>
      </c>
      <c r="AFK11" s="28">
        <f>'REG y VAL POE - AESR - ESR'!G507</f>
        <v>0</v>
      </c>
      <c r="AFL11" s="29">
        <f>'REG y VAL POE - AESR - ESR'!H507</f>
        <v>0</v>
      </c>
      <c r="AFM11" s="29">
        <f>'REG y VAL POE - AESR - ESR'!I507</f>
        <v>0</v>
      </c>
      <c r="AFN11" s="28">
        <f>'REG y VAL POE - AESR - ESR'!J507</f>
        <v>0</v>
      </c>
      <c r="AFO11" s="29">
        <f>'REG y VAL POE - AESR - ESR'!K507</f>
        <v>0</v>
      </c>
      <c r="AFP11" s="30">
        <f>'REG y VAL POE - AESR - ESR'!L507</f>
        <v>0</v>
      </c>
      <c r="AFQ11" s="28">
        <f>'REG y VAL POE - AESR - ESR'!M507</f>
        <v>0</v>
      </c>
      <c r="AFR11" s="29">
        <f>'REG y VAL POE - AESR - ESR'!N507</f>
        <v>0</v>
      </c>
      <c r="AFS11" s="29">
        <f>'REG y VAL POE - AESR - ESR'!O507</f>
        <v>0</v>
      </c>
      <c r="AFT11" s="29">
        <f>'REG y VAL POE - AESR - ESR'!P507</f>
        <v>0</v>
      </c>
      <c r="AFU11" s="28">
        <f>'REG y VAL POE - AESR - ESR'!Q507</f>
        <v>0</v>
      </c>
      <c r="AFV11" s="29">
        <f>'REG y VAL POE - AESR - ESR'!R507</f>
        <v>0</v>
      </c>
      <c r="AFW11" s="29">
        <f>'REG y VAL POE - AESR - ESR'!S507</f>
        <v>0</v>
      </c>
      <c r="AFX11" s="28">
        <f>'REG y VAL POE - AESR - ESR'!T507</f>
        <v>0</v>
      </c>
      <c r="AFY11" s="29">
        <f>'REG y VAL POE - AESR - ESR'!U507</f>
        <v>0</v>
      </c>
      <c r="AFZ11" s="30">
        <f>'REG y VAL POE - AESR - ESR'!V507</f>
        <v>0</v>
      </c>
      <c r="AGA11" s="28">
        <f>'REG y VAL POE - AESR - ESR'!W507</f>
        <v>0</v>
      </c>
      <c r="AGB11" s="29">
        <f>'REG y VAL POE - AESR - ESR'!X507</f>
        <v>0</v>
      </c>
      <c r="AGC11" s="29">
        <f>'REG y VAL POE - AESR - ESR'!Y507</f>
        <v>0</v>
      </c>
      <c r="AGD11" s="29">
        <f>'REG y VAL POE - AESR - ESR'!Z507</f>
        <v>0</v>
      </c>
      <c r="AGE11" s="28">
        <f>'REG y VAL POE - AESR - ESR'!AA507</f>
        <v>0</v>
      </c>
      <c r="AGF11" s="29">
        <f>'REG y VAL POE - AESR - ESR'!AB507</f>
        <v>0</v>
      </c>
      <c r="AGG11" s="29">
        <f>'REG y VAL POE - AESR - ESR'!AC507</f>
        <v>0</v>
      </c>
      <c r="AGH11" s="28">
        <f>'REG y VAL POE - AESR - ESR'!AD507</f>
        <v>0</v>
      </c>
      <c r="AGI11" s="29">
        <f>'REG y VAL POE - AESR - ESR'!AE507</f>
        <v>0</v>
      </c>
      <c r="AGJ11" s="30">
        <f>'REG y VAL POE - AESR - ESR'!AF507</f>
        <v>0</v>
      </c>
      <c r="AGK11" s="28">
        <f>'REG y VAL POE - AESR - ESR'!AG507</f>
        <v>0</v>
      </c>
      <c r="AGL11" s="29">
        <f>'REG y VAL POE - AESR - ESR'!AH507</f>
        <v>0</v>
      </c>
      <c r="AGM11" s="29">
        <f>'REG y VAL POE - AESR - ESR'!AI507</f>
        <v>0</v>
      </c>
      <c r="AGN11" s="29">
        <f>'REG y VAL POE - AESR - ESR'!AJ507</f>
        <v>0</v>
      </c>
      <c r="AGO11" s="28">
        <f>'REG y VAL POE - AESR - ESR'!AK507</f>
        <v>0</v>
      </c>
      <c r="AGP11" s="29">
        <f>'REG y VAL POE - AESR - ESR'!AL507</f>
        <v>0</v>
      </c>
      <c r="AGQ11" s="29">
        <f>'REG y VAL POE - AESR - ESR'!AM507</f>
        <v>0</v>
      </c>
      <c r="AGR11" s="28">
        <f>'REG y VAL POE - AESR - ESR'!AN507</f>
        <v>0</v>
      </c>
      <c r="AGS11" s="29">
        <f>'REG y VAL POE - AESR - ESR'!AO507</f>
        <v>0</v>
      </c>
      <c r="AGT11" s="30">
        <f>'REG y VAL POE - AESR - ESR'!AP507</f>
        <v>0</v>
      </c>
      <c r="AGU11" s="28">
        <f>'REG y VAL POE - AESR - ESR'!AQ507</f>
        <v>0</v>
      </c>
      <c r="AGV11" s="29">
        <f>'REG y VAL POE - AESR - ESR'!AR507</f>
        <v>0</v>
      </c>
      <c r="AGW11" s="29">
        <f>'REG y VAL POE - AESR - ESR'!AS507</f>
        <v>0</v>
      </c>
      <c r="AGX11" s="29"/>
      <c r="AGY11" s="28"/>
      <c r="AGZ11" s="29"/>
      <c r="AHA11" s="29"/>
      <c r="AHB11" s="28"/>
      <c r="AHC11" s="29"/>
      <c r="AHD11" s="30"/>
      <c r="AHE11" s="28"/>
      <c r="AHF11" s="29"/>
      <c r="AHG11" s="29"/>
      <c r="AHH11" s="29"/>
      <c r="AHI11" s="28"/>
      <c r="AHJ11" s="29"/>
      <c r="AHK11" s="29"/>
      <c r="AHL11" s="28"/>
      <c r="AHM11" s="29"/>
      <c r="AHN11" s="30"/>
      <c r="AHO11" s="28"/>
      <c r="AHP11" s="29"/>
      <c r="AHQ11" s="29"/>
      <c r="AHR11" s="29"/>
      <c r="AHS11" s="28"/>
      <c r="AHT11" s="29"/>
      <c r="AHU11" s="29"/>
      <c r="AHV11" s="28"/>
      <c r="AHW11" s="29"/>
      <c r="AHX11" s="30"/>
      <c r="AHY11" s="28"/>
      <c r="AHZ11" s="29"/>
      <c r="AIA11" s="29"/>
      <c r="AIB11" s="29"/>
      <c r="AIC11" s="28"/>
      <c r="AID11" s="29"/>
      <c r="AIE11" s="29"/>
      <c r="AIF11" s="28"/>
      <c r="AIG11" s="29"/>
      <c r="AIH11" s="30"/>
      <c r="AII11" s="28"/>
      <c r="AIJ11" s="29"/>
      <c r="AIK11" s="29"/>
      <c r="AIL11" s="29"/>
      <c r="AIM11" s="28"/>
      <c r="AIN11" s="29"/>
      <c r="AIO11" s="29"/>
      <c r="AIP11" s="28"/>
      <c r="AIQ11" s="29"/>
      <c r="AIR11" s="30"/>
      <c r="AIS11" s="28"/>
      <c r="AIT11" s="29"/>
      <c r="AIU11" s="29"/>
      <c r="AIV11" s="29"/>
      <c r="AIW11" s="28"/>
      <c r="AIX11" s="29"/>
      <c r="AIY11" s="29"/>
      <c r="AIZ11" s="28"/>
      <c r="AJA11" s="29"/>
      <c r="AJB11" s="30"/>
      <c r="AJC11" s="28"/>
      <c r="AJD11" s="29"/>
      <c r="AJE11" s="29"/>
      <c r="AJF11" s="29"/>
      <c r="AJG11" s="28"/>
      <c r="AJH11" s="29"/>
      <c r="AJI11" s="29"/>
      <c r="AJJ11" s="28"/>
      <c r="AJK11" s="29"/>
      <c r="AJL11" s="30"/>
      <c r="AJM11" s="28"/>
      <c r="AJN11" s="29"/>
      <c r="AJO11" s="29"/>
      <c r="AJP11" s="29"/>
      <c r="AJQ11" s="28"/>
      <c r="AJR11" s="29"/>
      <c r="AJS11" s="29"/>
      <c r="AJT11" s="28"/>
      <c r="AJU11" s="29"/>
      <c r="AJV11" s="30"/>
      <c r="AJW11" s="28"/>
      <c r="AJX11" s="29"/>
      <c r="AJY11" s="29"/>
      <c r="AJZ11" s="29"/>
      <c r="AKA11" s="28"/>
      <c r="AKB11" s="29"/>
      <c r="AKC11" s="29"/>
      <c r="AKD11" s="28"/>
      <c r="AKE11" s="29"/>
      <c r="AKF11" s="30"/>
      <c r="AKG11" s="28"/>
      <c r="AKH11" s="29"/>
      <c r="AKI11" s="29"/>
      <c r="AKJ11" s="29"/>
      <c r="AKK11" s="28"/>
      <c r="AKL11" s="29"/>
      <c r="AKM11" s="29"/>
      <c r="AKN11" s="28"/>
      <c r="AKO11" s="29"/>
      <c r="AKP11" s="30"/>
      <c r="AKQ11" s="28"/>
      <c r="AKR11" s="29"/>
      <c r="AKS11" s="29"/>
      <c r="AKT11" s="29"/>
      <c r="AKU11" s="28"/>
      <c r="AKV11" s="29"/>
      <c r="AKW11" s="29"/>
      <c r="AKX11" s="28"/>
      <c r="AKY11" s="29"/>
      <c r="AKZ11" s="30"/>
      <c r="ALA11" s="28"/>
      <c r="ALB11" s="29"/>
      <c r="ALC11" s="29"/>
      <c r="ALD11" s="29"/>
      <c r="ALE11" s="28"/>
      <c r="ALF11" s="29"/>
      <c r="ALG11" s="29"/>
      <c r="ALH11" s="29"/>
      <c r="ALI11" s="29"/>
      <c r="ALJ11" s="29"/>
      <c r="ALK11" s="28"/>
      <c r="ALL11" s="29"/>
      <c r="ALM11" s="29"/>
      <c r="ALN11" s="28"/>
      <c r="ALO11" s="29"/>
      <c r="ALP11" s="30"/>
      <c r="ALQ11" s="28"/>
      <c r="ALR11" s="29"/>
      <c r="ALS11" s="29"/>
      <c r="ALT11" s="29"/>
      <c r="ALU11" s="28"/>
      <c r="ALV11" s="29"/>
      <c r="ALW11" s="29"/>
      <c r="ALX11" s="28"/>
      <c r="ALY11" s="29"/>
      <c r="ALZ11" s="30"/>
      <c r="AMA11" s="28"/>
      <c r="AMB11" s="29"/>
      <c r="AMC11" s="29"/>
      <c r="AMD11" s="29"/>
      <c r="AME11" s="28"/>
      <c r="AMF11" s="29"/>
      <c r="AMG11" s="29"/>
      <c r="AMH11" s="29"/>
      <c r="AMI11" s="29"/>
      <c r="AMJ11" s="29"/>
      <c r="AMK11" s="28"/>
      <c r="AML11" s="29"/>
      <c r="AMM11" s="29"/>
      <c r="AMN11" s="28"/>
      <c r="AMO11" s="29"/>
      <c r="AMP11" s="30"/>
      <c r="AMQ11" s="28"/>
      <c r="AMR11" s="29"/>
      <c r="AMS11" s="29"/>
      <c r="AMT11" s="29"/>
      <c r="AMU11" s="28"/>
      <c r="AMV11" s="29"/>
      <c r="AMW11" s="29"/>
      <c r="AMX11" s="28"/>
      <c r="AMY11" s="29"/>
      <c r="AMZ11" s="30"/>
      <c r="ANA11" s="28"/>
      <c r="ANB11" s="29"/>
      <c r="ANC11" s="29"/>
      <c r="AND11" s="29"/>
      <c r="ANE11" s="28"/>
      <c r="ANF11" s="29"/>
      <c r="ANG11" s="29"/>
      <c r="ANH11" s="29"/>
      <c r="ANI11" s="29"/>
      <c r="ANJ11" s="29"/>
      <c r="ANK11" s="28"/>
      <c r="ANL11" s="29"/>
      <c r="ANM11" s="29"/>
      <c r="ANN11" s="28"/>
      <c r="ANO11" s="29"/>
      <c r="ANP11" s="30"/>
      <c r="ANQ11" s="28"/>
      <c r="ANR11" s="29"/>
      <c r="ANS11" s="29"/>
      <c r="ANT11" s="29"/>
      <c r="ANU11" s="28"/>
      <c r="ANV11" s="29"/>
      <c r="ANW11" s="29"/>
      <c r="ANX11" s="28"/>
      <c r="ANY11" s="29"/>
      <c r="ANZ11" s="30"/>
      <c r="AOA11" s="28"/>
      <c r="AOB11" s="29"/>
      <c r="AOC11" s="29"/>
      <c r="AOD11" s="29"/>
      <c r="AOE11" s="28"/>
      <c r="AOF11" s="29"/>
      <c r="AOG11" s="29"/>
      <c r="AOH11" s="29"/>
      <c r="AOI11" s="29"/>
      <c r="AOJ11" s="29"/>
      <c r="AOK11" s="28"/>
      <c r="AOL11" s="29"/>
      <c r="AOM11" s="29"/>
      <c r="AON11" s="28"/>
      <c r="AOO11" s="29"/>
      <c r="AOP11" s="30"/>
      <c r="AOQ11" s="28"/>
      <c r="AOR11" s="29"/>
      <c r="AOS11" s="29"/>
      <c r="AOT11" s="29"/>
      <c r="AOU11" s="28"/>
      <c r="AOV11" s="29"/>
      <c r="AOW11" s="29"/>
      <c r="AOX11" s="28"/>
      <c r="AOY11" s="29"/>
      <c r="AOZ11" s="30"/>
      <c r="APA11" s="28"/>
      <c r="APB11" s="29"/>
      <c r="APC11" s="29"/>
      <c r="APD11" s="29"/>
      <c r="APE11" s="28"/>
      <c r="APF11" s="29"/>
      <c r="APG11" s="29"/>
      <c r="APH11" s="29"/>
      <c r="API11" s="29"/>
      <c r="APJ11" s="29"/>
      <c r="APK11" s="28"/>
      <c r="APL11" s="29"/>
      <c r="APM11" s="29"/>
      <c r="APN11" s="28"/>
      <c r="APO11" s="29"/>
      <c r="APP11" s="30"/>
      <c r="APQ11" s="28"/>
      <c r="APR11" s="29"/>
      <c r="APS11" s="29"/>
      <c r="APT11" s="29"/>
      <c r="APU11" s="28"/>
      <c r="APV11" s="29"/>
      <c r="APW11" s="29"/>
      <c r="APX11" s="28"/>
      <c r="APY11" s="29"/>
      <c r="APZ11" s="30"/>
      <c r="AQA11" s="28"/>
      <c r="AQB11" s="29"/>
      <c r="AQC11" s="29"/>
      <c r="AQD11" s="29"/>
      <c r="AQE11" s="28"/>
      <c r="AQF11" s="29"/>
      <c r="AQG11" s="29"/>
      <c r="AQH11" s="29"/>
      <c r="AQI11" s="29"/>
      <c r="AQJ11" s="29"/>
      <c r="AQK11" s="28"/>
      <c r="AQL11" s="29"/>
      <c r="AQM11" s="29"/>
      <c r="AQN11" s="28"/>
      <c r="AQO11" s="29"/>
      <c r="AQP11" s="30"/>
      <c r="AQQ11" s="28"/>
      <c r="AQR11" s="29"/>
      <c r="AQS11" s="29"/>
      <c r="AQT11" s="29"/>
      <c r="AQU11" s="28"/>
      <c r="AQV11" s="29"/>
      <c r="AQW11" s="29"/>
      <c r="AQX11" s="28"/>
      <c r="AQY11" s="29"/>
      <c r="AQZ11" s="30"/>
      <c r="ARA11" s="28"/>
      <c r="ARB11" s="29"/>
      <c r="ARC11" s="29"/>
      <c r="ARD11" s="29"/>
      <c r="ARE11" s="28"/>
      <c r="ARF11" s="29"/>
      <c r="ARG11" s="29"/>
      <c r="ARH11" s="29"/>
      <c r="ARI11" s="29"/>
      <c r="ARJ11" s="29"/>
      <c r="ARK11" s="28"/>
      <c r="ARL11" s="29"/>
      <c r="ARM11" s="29"/>
      <c r="ARN11" s="28"/>
      <c r="ARO11" s="29"/>
      <c r="ARP11" s="30"/>
      <c r="ARQ11" s="28"/>
      <c r="ARR11" s="29"/>
      <c r="ARS11" s="29"/>
      <c r="ART11" s="29"/>
      <c r="ARU11" s="28"/>
      <c r="ARV11" s="29"/>
      <c r="ARW11" s="29"/>
      <c r="ARX11" s="28"/>
      <c r="ARY11" s="29"/>
      <c r="ARZ11" s="30"/>
      <c r="ASA11" s="28"/>
      <c r="ASB11" s="29"/>
      <c r="ASC11" s="29"/>
      <c r="ASD11" s="29"/>
      <c r="ASE11" s="28"/>
      <c r="ASF11" s="29"/>
      <c r="ASG11" s="29"/>
      <c r="ASH11" s="29"/>
      <c r="ASI11" s="29"/>
      <c r="ASJ11" s="29"/>
      <c r="ASK11" s="28"/>
      <c r="ASL11" s="29"/>
      <c r="ASM11" s="29"/>
      <c r="ASN11" s="28"/>
      <c r="ASO11" s="29"/>
      <c r="ASP11" s="30"/>
      <c r="ASQ11" s="28"/>
      <c r="ASR11" s="29"/>
      <c r="ASS11" s="29"/>
      <c r="AST11" s="29"/>
      <c r="ASU11" s="28"/>
      <c r="ASV11" s="29"/>
      <c r="ASW11" s="29"/>
      <c r="ASX11" s="28"/>
      <c r="ASY11" s="29"/>
      <c r="ASZ11" s="30"/>
      <c r="ATA11" s="28"/>
      <c r="ATB11" s="29"/>
      <c r="ATC11" s="29"/>
      <c r="ATD11" s="29"/>
      <c r="ATE11" s="28"/>
      <c r="ATF11" s="29"/>
      <c r="ATG11" s="29"/>
      <c r="ATH11" s="29"/>
      <c r="ATI11" s="29"/>
      <c r="ATJ11" s="29"/>
      <c r="ATK11" s="28"/>
      <c r="ATL11" s="29"/>
      <c r="ATM11" s="29"/>
      <c r="ATN11" s="28"/>
      <c r="ATO11" s="29"/>
      <c r="ATP11" s="30"/>
      <c r="ATQ11" s="28"/>
      <c r="ATR11" s="29"/>
      <c r="ATS11" s="29"/>
      <c r="ATT11" s="29"/>
      <c r="ATU11" s="28"/>
      <c r="ATV11" s="29"/>
      <c r="ATW11" s="29"/>
      <c r="ATX11" s="28"/>
      <c r="ATY11" s="29"/>
      <c r="ATZ11" s="30"/>
      <c r="AUA11" s="28"/>
      <c r="AUB11" s="29"/>
      <c r="AUC11" s="29"/>
      <c r="AUD11" s="29"/>
      <c r="AUE11" s="28"/>
      <c r="AUF11" s="29"/>
      <c r="AUG11" s="29"/>
      <c r="AUH11" s="29"/>
      <c r="AUI11" s="29"/>
      <c r="AUJ11" s="29"/>
      <c r="AUK11" s="28"/>
      <c r="AUL11" s="29"/>
      <c r="AUM11" s="29"/>
      <c r="AUN11" s="28"/>
      <c r="AUO11" s="29"/>
      <c r="AUP11" s="30"/>
      <c r="AUQ11" s="28"/>
      <c r="AUR11" s="29"/>
      <c r="AUS11" s="29"/>
      <c r="AUT11" s="29"/>
      <c r="AUU11" s="28"/>
      <c r="AUV11" s="29"/>
      <c r="AUW11" s="29"/>
      <c r="AUX11" s="28"/>
      <c r="AUY11" s="29"/>
      <c r="AUZ11" s="30"/>
      <c r="AVA11" s="28"/>
      <c r="AVB11" s="29"/>
      <c r="AVC11" s="29"/>
      <c r="AVD11" s="29"/>
      <c r="AVE11" s="28"/>
      <c r="AVF11" s="29"/>
      <c r="AVG11" s="29"/>
      <c r="AVH11" s="29"/>
      <c r="AVI11" s="29"/>
      <c r="AVJ11" s="29"/>
      <c r="AVK11" s="28"/>
      <c r="AVL11" s="29"/>
      <c r="AVM11" s="29"/>
      <c r="AVN11" s="28"/>
      <c r="AVO11" s="29"/>
      <c r="AVP11" s="30"/>
      <c r="AVQ11" s="28"/>
      <c r="AVR11" s="29"/>
      <c r="AVS11" s="29"/>
      <c r="AVT11" s="29"/>
      <c r="AVU11" s="28"/>
      <c r="AVV11" s="29"/>
      <c r="AVW11" s="29"/>
      <c r="AVX11" s="28"/>
      <c r="AVY11" s="29"/>
      <c r="AVZ11" s="30"/>
      <c r="AWA11" s="28"/>
      <c r="AWB11" s="29"/>
      <c r="AWC11" s="29"/>
      <c r="AWD11" s="29"/>
      <c r="AWE11" s="28"/>
      <c r="AWF11" s="29"/>
      <c r="AWG11" s="29"/>
      <c r="AWH11" s="29"/>
      <c r="AWI11" s="29"/>
      <c r="AWJ11" s="29"/>
      <c r="AWK11" s="28"/>
      <c r="AWL11" s="29"/>
      <c r="AWM11" s="29"/>
      <c r="AWN11" s="28"/>
      <c r="AWO11" s="29"/>
      <c r="AWP11" s="30"/>
      <c r="AWQ11" s="28"/>
      <c r="AWR11" s="29"/>
      <c r="AWS11" s="29"/>
      <c r="AWT11" s="29"/>
      <c r="AWU11" s="28"/>
      <c r="AWV11" s="29"/>
      <c r="AWW11" s="29"/>
      <c r="AWX11" s="28"/>
      <c r="AWY11" s="29"/>
      <c r="AWZ11" s="30"/>
      <c r="AXA11" s="28"/>
      <c r="AXB11" s="29"/>
      <c r="AXC11" s="29"/>
      <c r="AXD11" s="29"/>
      <c r="AXE11" s="28"/>
      <c r="AXF11" s="29"/>
      <c r="AXG11" s="29"/>
      <c r="AXH11" s="29"/>
      <c r="AXI11" s="29"/>
      <c r="AXJ11" s="29"/>
      <c r="AXK11" s="28"/>
      <c r="AXL11" s="29"/>
      <c r="AXM11" s="29"/>
      <c r="AXN11" s="28"/>
      <c r="AXO11" s="29"/>
      <c r="AXP11" s="30"/>
      <c r="AXQ11" s="28"/>
      <c r="AXR11" s="29"/>
      <c r="AXS11" s="29"/>
      <c r="AXT11" s="29"/>
      <c r="AXU11" s="28"/>
      <c r="AXV11" s="29"/>
      <c r="AXW11" s="29"/>
      <c r="AXX11" s="28"/>
      <c r="AXY11" s="29"/>
      <c r="AXZ11" s="30"/>
      <c r="AYA11" s="28"/>
      <c r="AYB11" s="29"/>
      <c r="AYC11" s="29"/>
      <c r="AYD11" s="29"/>
      <c r="AYE11" s="28"/>
      <c r="AYF11" s="29"/>
      <c r="AYG11" s="29"/>
      <c r="AYH11" s="29"/>
      <c r="AYI11" s="29"/>
      <c r="AYJ11" s="29"/>
      <c r="AYK11" s="28"/>
      <c r="AYL11" s="29"/>
      <c r="AYM11" s="29"/>
      <c r="AYN11" s="28"/>
      <c r="AYO11" s="29"/>
      <c r="AYP11" s="30"/>
      <c r="AYQ11" s="28"/>
      <c r="AYR11" s="29"/>
      <c r="AYS11" s="29"/>
      <c r="AYT11" s="29"/>
      <c r="AYU11" s="28"/>
      <c r="AYV11" s="29"/>
      <c r="AYW11" s="29"/>
      <c r="AYX11" s="28"/>
      <c r="AYY11" s="29"/>
      <c r="AYZ11" s="30"/>
      <c r="AZA11" s="28"/>
      <c r="AZB11" s="29"/>
      <c r="AZC11" s="29"/>
      <c r="AZD11" s="29"/>
      <c r="AZE11" s="28"/>
      <c r="AZF11" s="29"/>
      <c r="AZG11" s="29"/>
      <c r="AZH11" s="29"/>
      <c r="AZI11" s="29"/>
      <c r="AZJ11" s="29"/>
      <c r="AZK11" s="28"/>
      <c r="AZL11" s="29"/>
      <c r="AZM11" s="29"/>
      <c r="AZN11" s="28"/>
      <c r="AZO11" s="29"/>
      <c r="AZP11" s="30"/>
      <c r="AZQ11" s="28"/>
      <c r="AZR11" s="29"/>
      <c r="AZS11" s="29"/>
      <c r="AZT11" s="29"/>
      <c r="AZU11" s="28"/>
      <c r="AZV11" s="29"/>
      <c r="AZW11" s="29"/>
      <c r="AZX11" s="28"/>
      <c r="AZY11" s="29"/>
      <c r="AZZ11" s="30"/>
      <c r="BAA11" s="28"/>
      <c r="BAB11" s="29"/>
      <c r="BAC11" s="29"/>
      <c r="BAD11" s="29"/>
      <c r="BAE11" s="28"/>
      <c r="BAF11" s="29"/>
      <c r="BAG11" s="29"/>
      <c r="BAH11" s="29"/>
      <c r="BAI11" s="29"/>
      <c r="BAJ11" s="29"/>
      <c r="BAK11" s="28"/>
      <c r="BAL11" s="29"/>
      <c r="BAM11" s="29"/>
      <c r="BAN11" s="28"/>
      <c r="BAO11" s="29"/>
      <c r="BAP11" s="30"/>
      <c r="BAQ11" s="28"/>
      <c r="BAR11" s="29"/>
      <c r="BAS11" s="29"/>
      <c r="BAT11" s="29"/>
      <c r="BAU11" s="28"/>
      <c r="BAV11" s="29"/>
      <c r="BAW11" s="29"/>
      <c r="BAX11" s="28"/>
      <c r="BAY11" s="29"/>
      <c r="BAZ11" s="30"/>
      <c r="BBA11" s="28"/>
      <c r="BBB11" s="29"/>
      <c r="BBC11" s="29"/>
      <c r="BBD11" s="29"/>
      <c r="BBE11" s="28"/>
      <c r="BBF11" s="29"/>
      <c r="BBG11" s="29"/>
      <c r="BBH11" s="29"/>
      <c r="BBI11" s="29"/>
      <c r="BBJ11" s="29"/>
      <c r="BBK11" s="28"/>
      <c r="BBL11" s="29"/>
      <c r="BBM11" s="29"/>
      <c r="BBN11" s="28"/>
      <c r="BBO11" s="29"/>
      <c r="BBP11" s="30"/>
      <c r="BBQ11" s="28"/>
      <c r="BBR11" s="29"/>
      <c r="BBS11" s="29"/>
      <c r="BBT11" s="29"/>
      <c r="BBU11" s="28"/>
      <c r="BBV11" s="29"/>
      <c r="BBW11" s="29"/>
      <c r="BBX11" s="28"/>
      <c r="BBY11" s="29"/>
      <c r="BBZ11" s="30"/>
      <c r="BCA11" s="28"/>
      <c r="BCB11" s="29"/>
      <c r="BCC11" s="29"/>
      <c r="BCD11" s="29"/>
      <c r="BCE11" s="28"/>
      <c r="BCF11" s="29"/>
      <c r="BCG11" s="29"/>
      <c r="BCH11" s="29"/>
      <c r="BCI11" s="29"/>
      <c r="BCJ11" s="29"/>
      <c r="BCK11" s="28"/>
      <c r="BCL11" s="29"/>
      <c r="BCM11" s="29"/>
      <c r="BCN11" s="28"/>
      <c r="BCO11" s="29"/>
      <c r="BCP11" s="30"/>
      <c r="BCQ11" s="28"/>
      <c r="BCR11" s="29"/>
      <c r="BCS11" s="29"/>
      <c r="BCT11" s="29"/>
      <c r="BCU11" s="28"/>
      <c r="BCV11" s="29"/>
      <c r="BCW11" s="29"/>
      <c r="BCX11" s="28"/>
      <c r="BCY11" s="29"/>
      <c r="BCZ11" s="30"/>
      <c r="BDA11" s="28"/>
      <c r="BDB11" s="29"/>
      <c r="BDC11" s="29"/>
      <c r="BDD11" s="29"/>
      <c r="BDE11" s="28"/>
      <c r="BDF11" s="29"/>
      <c r="BDG11" s="29"/>
      <c r="BDH11" s="29"/>
      <c r="BDI11" s="29"/>
      <c r="BDJ11" s="29"/>
      <c r="BDK11" s="28"/>
      <c r="BDL11" s="29"/>
      <c r="BDM11" s="29"/>
      <c r="BDN11" s="28"/>
      <c r="BDO11" s="29"/>
      <c r="BDP11" s="30"/>
      <c r="BDQ11" s="28"/>
      <c r="BDR11" s="29"/>
      <c r="BDS11" s="29"/>
      <c r="BDT11" s="29"/>
      <c r="BDU11" s="28"/>
      <c r="BDV11" s="29"/>
      <c r="BDW11" s="29"/>
      <c r="BDX11" s="28"/>
      <c r="BDY11" s="29"/>
      <c r="BDZ11" s="30"/>
      <c r="BEA11" s="28"/>
      <c r="BEB11" s="29"/>
      <c r="BEC11" s="29"/>
      <c r="BED11" s="29"/>
      <c r="BEE11" s="28"/>
      <c r="BEF11" s="29"/>
      <c r="BEG11" s="29"/>
      <c r="BEH11" s="29"/>
      <c r="BEI11" s="29"/>
      <c r="BEJ11" s="29"/>
      <c r="BEK11" s="28"/>
      <c r="BEL11" s="29"/>
      <c r="BEM11" s="29"/>
      <c r="BEN11" s="28"/>
      <c r="BEO11" s="29"/>
      <c r="BEP11" s="30"/>
      <c r="BEQ11" s="28"/>
      <c r="BER11" s="29"/>
      <c r="BES11" s="29"/>
      <c r="BET11" s="29"/>
      <c r="BEU11" s="28"/>
      <c r="BEV11" s="29"/>
      <c r="BEW11" s="29"/>
      <c r="BEX11" s="28"/>
      <c r="BEY11" s="29"/>
      <c r="BEZ11" s="30"/>
      <c r="BFA11" s="28"/>
      <c r="BFB11" s="29"/>
      <c r="BFC11" s="29"/>
      <c r="BFD11" s="29"/>
      <c r="BFE11" s="28"/>
      <c r="BFF11" s="29"/>
      <c r="BFG11" s="29"/>
      <c r="BFH11" s="29"/>
      <c r="BFI11" s="29"/>
      <c r="BFJ11" s="29"/>
      <c r="BFK11" s="28"/>
      <c r="BFL11" s="29"/>
      <c r="BFM11" s="29"/>
      <c r="BFN11" s="28"/>
      <c r="BFO11" s="29"/>
      <c r="BFP11" s="30"/>
      <c r="BFQ11" s="28"/>
      <c r="BFR11" s="29"/>
      <c r="BFS11" s="29"/>
      <c r="BFT11" s="29"/>
      <c r="BFU11" s="28"/>
      <c r="BFV11" s="29"/>
      <c r="BFW11" s="29"/>
      <c r="BFX11" s="28"/>
      <c r="BFY11" s="29"/>
      <c r="BFZ11" s="30"/>
      <c r="BGA11" s="28"/>
      <c r="BGB11" s="29"/>
      <c r="BGC11" s="29"/>
      <c r="BGD11" s="29"/>
      <c r="BGE11" s="28"/>
      <c r="BGF11" s="29"/>
      <c r="BGG11" s="29"/>
      <c r="BGH11" s="29"/>
      <c r="BGI11" s="29"/>
      <c r="BGJ11" s="29"/>
      <c r="BGK11" s="28"/>
      <c r="BGL11" s="29"/>
      <c r="BGM11" s="29"/>
      <c r="BGN11" s="28"/>
      <c r="BGO11" s="29"/>
      <c r="BGP11" s="30"/>
      <c r="BGQ11" s="28"/>
      <c r="BGR11" s="29"/>
      <c r="BGS11" s="29"/>
      <c r="BGT11" s="29"/>
      <c r="BGU11" s="28"/>
      <c r="BGV11" s="29"/>
      <c r="BGW11" s="29"/>
      <c r="BGX11" s="28"/>
      <c r="BGY11" s="29"/>
      <c r="BGZ11" s="30"/>
      <c r="BHA11" s="28"/>
      <c r="BHB11" s="29"/>
      <c r="BHC11" s="29"/>
      <c r="BHD11" s="29"/>
      <c r="BHE11" s="28"/>
      <c r="BHF11" s="29"/>
      <c r="BHG11" s="29"/>
      <c r="BHH11" s="29"/>
      <c r="BHI11" s="29"/>
      <c r="BHJ11" s="29"/>
      <c r="BHK11" s="28"/>
      <c r="BHL11" s="29"/>
      <c r="BHM11" s="29"/>
      <c r="BHN11" s="28"/>
      <c r="BHO11" s="29"/>
      <c r="BHP11" s="30"/>
      <c r="BHQ11" s="28"/>
      <c r="BHR11" s="29"/>
      <c r="BHS11" s="29"/>
      <c r="BHT11" s="29"/>
      <c r="BHU11" s="28"/>
      <c r="BHV11" s="29"/>
      <c r="BHW11" s="29"/>
      <c r="BHX11" s="28"/>
      <c r="BHY11" s="29"/>
      <c r="BHZ11" s="30"/>
      <c r="BIA11" s="28"/>
      <c r="BIB11" s="29"/>
      <c r="BIC11" s="29"/>
      <c r="BID11" s="29"/>
      <c r="BIE11" s="28"/>
      <c r="BIF11" s="29"/>
      <c r="BIG11" s="29"/>
      <c r="BIH11" s="29"/>
      <c r="BII11" s="29"/>
      <c r="BIJ11" s="29"/>
      <c r="BIK11" s="28"/>
      <c r="BIL11" s="29"/>
      <c r="BIM11" s="29"/>
      <c r="BIN11" s="28"/>
      <c r="BIO11" s="29"/>
      <c r="BIP11" s="30"/>
      <c r="BIQ11" s="28"/>
      <c r="BIR11" s="29"/>
      <c r="BIS11" s="29"/>
      <c r="BIT11" s="29"/>
      <c r="BIU11" s="28"/>
      <c r="BIV11" s="29"/>
      <c r="BIW11" s="29"/>
      <c r="BIX11" s="28"/>
      <c r="BIY11" s="29"/>
      <c r="BIZ11" s="30"/>
      <c r="BJA11" s="28"/>
      <c r="BJB11" s="29"/>
      <c r="BJC11" s="29"/>
      <c r="BJD11" s="29"/>
      <c r="BJE11" s="28"/>
      <c r="BJF11" s="29"/>
      <c r="BJG11" s="29"/>
      <c r="BJH11" s="29"/>
      <c r="BJI11" s="29"/>
      <c r="BJJ11" s="29"/>
      <c r="BJK11" s="28"/>
      <c r="BJL11" s="29"/>
      <c r="BJM11" s="29"/>
      <c r="BJN11" s="28"/>
      <c r="BJO11" s="29"/>
      <c r="BJP11" s="30"/>
      <c r="BJQ11" s="28"/>
      <c r="BJR11" s="29"/>
      <c r="BJS11" s="29"/>
      <c r="BJT11" s="29"/>
      <c r="BJU11" s="28"/>
      <c r="BJV11" s="29"/>
      <c r="BJW11" s="29"/>
      <c r="BJX11" s="28"/>
      <c r="BJY11" s="29"/>
      <c r="BJZ11" s="30"/>
      <c r="BKA11" s="28"/>
      <c r="BKB11" s="29"/>
      <c r="BKC11" s="29"/>
      <c r="BKD11" s="29"/>
      <c r="BKE11" s="28"/>
      <c r="BKF11" s="29"/>
      <c r="BKG11" s="29"/>
      <c r="BKH11" s="29"/>
      <c r="BKI11" s="29"/>
      <c r="BKJ11" s="29"/>
      <c r="BKK11" s="28"/>
      <c r="BKL11" s="29"/>
      <c r="BKM11" s="29"/>
      <c r="BKN11" s="28"/>
      <c r="BKO11" s="29"/>
      <c r="BKP11" s="30"/>
      <c r="BKQ11" s="28"/>
      <c r="BKR11" s="29"/>
      <c r="BKS11" s="29"/>
      <c r="BKT11" s="29"/>
      <c r="BKU11" s="28"/>
      <c r="BKV11" s="29"/>
      <c r="BKW11" s="29"/>
      <c r="BKX11" s="28"/>
      <c r="BKY11" s="29"/>
      <c r="BKZ11" s="30"/>
      <c r="BLA11" s="28"/>
      <c r="BLB11" s="29"/>
      <c r="BLC11" s="29"/>
      <c r="BLD11" s="29"/>
      <c r="BLE11" s="28"/>
      <c r="BLF11" s="29"/>
      <c r="BLG11" s="29"/>
      <c r="BLH11" s="29"/>
      <c r="BLI11" s="29"/>
      <c r="BLJ11" s="29"/>
      <c r="BLK11" s="28"/>
      <c r="BLL11" s="29"/>
      <c r="BLM11" s="29"/>
      <c r="BLN11" s="28"/>
      <c r="BLO11" s="29"/>
      <c r="BLP11" s="30"/>
      <c r="BLQ11" s="28"/>
      <c r="BLR11" s="29"/>
      <c r="BLS11" s="29"/>
      <c r="BLT11" s="29"/>
      <c r="BLU11" s="28"/>
      <c r="BLV11" s="29"/>
      <c r="BLW11" s="29"/>
      <c r="BLX11" s="28"/>
      <c r="BLY11" s="29"/>
      <c r="BLZ11" s="30"/>
      <c r="BMA11" s="28"/>
      <c r="BMB11" s="29"/>
      <c r="BMC11" s="29"/>
      <c r="BMD11" s="29"/>
      <c r="BME11" s="28"/>
      <c r="BMF11" s="29"/>
      <c r="BMG11" s="29"/>
      <c r="BMH11" s="29"/>
      <c r="BMI11" s="29"/>
      <c r="BMJ11" s="29"/>
      <c r="BMK11" s="28"/>
      <c r="BML11" s="29"/>
      <c r="BMM11" s="29"/>
      <c r="BMN11" s="28"/>
      <c r="BMO11" s="29"/>
      <c r="BMP11" s="30"/>
      <c r="BMQ11" s="28"/>
      <c r="BMR11" s="29"/>
      <c r="BMS11" s="29"/>
      <c r="BMT11" s="29"/>
      <c r="BMU11" s="28"/>
      <c r="BMV11" s="29"/>
      <c r="BMW11" s="29"/>
      <c r="BMX11" s="28"/>
      <c r="BMY11" s="29"/>
      <c r="BMZ11" s="30"/>
      <c r="BNA11" s="28"/>
      <c r="BNB11" s="29"/>
      <c r="BNC11" s="29"/>
      <c r="BND11" s="29"/>
      <c r="BNE11" s="28"/>
      <c r="BNF11" s="29"/>
      <c r="BNG11" s="29"/>
      <c r="BNH11" s="29"/>
      <c r="BNI11" s="29"/>
      <c r="BNJ11" s="29"/>
      <c r="BNK11" s="28"/>
      <c r="BNL11" s="29"/>
      <c r="BNM11" s="29"/>
      <c r="BNN11" s="28"/>
      <c r="BNO11" s="29"/>
      <c r="BNP11" s="30"/>
      <c r="BNQ11" s="28"/>
      <c r="BNR11" s="29"/>
      <c r="BNS11" s="29"/>
      <c r="BNT11" s="29"/>
      <c r="BNU11" s="28"/>
      <c r="BNV11" s="29"/>
      <c r="BNW11" s="29"/>
      <c r="BNX11" s="28"/>
      <c r="BNY11" s="29"/>
      <c r="BNZ11" s="30"/>
      <c r="BOA11" s="28"/>
      <c r="BOB11" s="29"/>
      <c r="BOC11" s="29"/>
      <c r="BOD11" s="29"/>
      <c r="BOE11" s="28"/>
      <c r="BOF11" s="29"/>
      <c r="BOG11" s="29"/>
      <c r="BOH11" s="29"/>
      <c r="BOI11" s="29"/>
      <c r="BOJ11" s="29"/>
      <c r="BOK11" s="28"/>
      <c r="BOL11" s="29"/>
      <c r="BOM11" s="29"/>
      <c r="BON11" s="28"/>
      <c r="BOO11" s="29"/>
      <c r="BOP11" s="30"/>
      <c r="BOQ11" s="28"/>
      <c r="BOR11" s="29"/>
      <c r="BOS11" s="29"/>
      <c r="BOT11" s="29"/>
      <c r="BOU11" s="28"/>
      <c r="BOV11" s="29"/>
      <c r="BOW11" s="29"/>
      <c r="BOX11" s="28"/>
      <c r="BOY11" s="29"/>
      <c r="BOZ11" s="30"/>
      <c r="BPA11" s="28"/>
      <c r="BPB11" s="29"/>
      <c r="BPC11" s="29"/>
      <c r="BPD11" s="29"/>
      <c r="BPE11" s="28"/>
      <c r="BPF11" s="29"/>
      <c r="BPG11" s="29"/>
      <c r="BPH11" s="29"/>
      <c r="BPI11" s="29"/>
      <c r="BPJ11" s="29"/>
      <c r="BPK11" s="28"/>
      <c r="BPL11" s="29"/>
      <c r="BPM11" s="29"/>
      <c r="BPN11" s="28"/>
      <c r="BPO11" s="29"/>
      <c r="BPP11" s="30"/>
      <c r="BPQ11" s="28"/>
      <c r="BPR11" s="29"/>
      <c r="BPS11" s="29"/>
      <c r="BPT11" s="29"/>
      <c r="BPU11" s="28"/>
      <c r="BPV11" s="29"/>
      <c r="BPW11" s="29"/>
      <c r="BPX11" s="28"/>
      <c r="BPY11" s="29"/>
      <c r="BPZ11" s="30"/>
      <c r="BQA11" s="28"/>
      <c r="BQB11" s="29"/>
      <c r="BQC11" s="29"/>
      <c r="BQD11" s="29"/>
      <c r="BQE11" s="28"/>
      <c r="BQF11" s="29"/>
      <c r="BQG11" s="29"/>
      <c r="BQH11" s="29"/>
      <c r="BQI11" s="29"/>
      <c r="BQJ11" s="29"/>
      <c r="BQK11" s="28"/>
      <c r="BQL11" s="29"/>
      <c r="BQM11" s="29"/>
      <c r="BQN11" s="28"/>
      <c r="BQO11" s="29"/>
      <c r="BQP11" s="30"/>
      <c r="BQQ11" s="28"/>
      <c r="BQR11" s="29"/>
      <c r="BQS11" s="29"/>
      <c r="BQT11" s="29"/>
      <c r="BQU11" s="28"/>
      <c r="BQV11" s="29"/>
      <c r="BQW11" s="29"/>
      <c r="BQX11" s="28"/>
      <c r="BQY11" s="29"/>
      <c r="BQZ11" s="30"/>
      <c r="BRA11" s="28"/>
      <c r="BRB11" s="29"/>
      <c r="BRC11" s="29"/>
      <c r="BRD11" s="29"/>
      <c r="BRE11" s="28"/>
      <c r="BRF11" s="29"/>
      <c r="BRG11" s="29"/>
      <c r="BRH11" s="29"/>
      <c r="BRI11" s="29"/>
      <c r="BRJ11" s="29"/>
      <c r="BRK11" s="28"/>
      <c r="BRL11" s="29"/>
      <c r="BRM11" s="29"/>
      <c r="BRN11" s="28"/>
      <c r="BRO11" s="29"/>
      <c r="BRP11" s="30"/>
      <c r="BRQ11" s="28"/>
      <c r="BRR11" s="29"/>
      <c r="BRS11" s="29"/>
      <c r="BRT11" s="29"/>
      <c r="BRU11" s="28"/>
      <c r="BRV11" s="29"/>
      <c r="BRW11" s="29"/>
      <c r="BRX11" s="28"/>
      <c r="BRY11" s="29"/>
      <c r="BRZ11" s="30"/>
      <c r="BSA11" s="28"/>
      <c r="BSB11" s="29"/>
      <c r="BSC11" s="29"/>
      <c r="BSD11" s="29"/>
      <c r="BSE11" s="28"/>
      <c r="BSF11" s="29"/>
      <c r="BSG11" s="29"/>
      <c r="BSH11" s="29"/>
      <c r="BSI11" s="29"/>
      <c r="BSJ11" s="29"/>
      <c r="BSK11" s="28"/>
      <c r="BSL11" s="29"/>
      <c r="BSM11" s="29"/>
      <c r="BSN11" s="28"/>
      <c r="BSO11" s="29"/>
      <c r="BSP11" s="30"/>
      <c r="BSQ11" s="28"/>
      <c r="BSR11" s="29"/>
      <c r="BSS11" s="29"/>
      <c r="BST11" s="29"/>
      <c r="BSU11" s="28"/>
      <c r="BSV11" s="29"/>
      <c r="BSW11" s="29"/>
      <c r="BSX11" s="28"/>
      <c r="BSY11" s="29"/>
      <c r="BSZ11" s="30"/>
      <c r="BTA11" s="28"/>
      <c r="BTB11" s="29"/>
      <c r="BTC11" s="29"/>
      <c r="BTD11" s="29"/>
      <c r="BTE11" s="28"/>
      <c r="BTF11" s="29"/>
      <c r="BTG11" s="29"/>
      <c r="BTH11" s="29"/>
      <c r="BTI11" s="29"/>
      <c r="BTJ11" s="29"/>
      <c r="BTK11" s="28"/>
      <c r="BTL11" s="29"/>
      <c r="BTM11" s="29"/>
      <c r="BTN11" s="28"/>
      <c r="BTO11" s="29"/>
      <c r="BTP11" s="30"/>
      <c r="BTQ11" s="28"/>
      <c r="BTR11" s="29"/>
      <c r="BTS11" s="29"/>
      <c r="BTT11" s="29"/>
      <c r="BTU11" s="28"/>
      <c r="BTV11" s="29"/>
      <c r="BTW11" s="29"/>
      <c r="BTX11" s="28"/>
      <c r="BTY11" s="29"/>
      <c r="BTZ11" s="30"/>
      <c r="BUA11" s="28"/>
      <c r="BUB11" s="29"/>
      <c r="BUC11" s="29"/>
      <c r="BUD11" s="29"/>
      <c r="BUE11" s="28"/>
      <c r="BUF11" s="29"/>
      <c r="BUG11" s="29"/>
      <c r="BUH11" s="29"/>
      <c r="BUI11" s="29"/>
      <c r="BUJ11" s="29"/>
      <c r="BUK11" s="28"/>
      <c r="BUL11" s="29"/>
      <c r="BUM11" s="29"/>
      <c r="BUN11" s="28"/>
      <c r="BUO11" s="29"/>
      <c r="BUP11" s="30"/>
      <c r="BUQ11" s="28"/>
      <c r="BUR11" s="29"/>
      <c r="BUS11" s="29"/>
      <c r="BUT11" s="29"/>
      <c r="BUU11" s="28"/>
      <c r="BUV11" s="29"/>
      <c r="BUW11" s="29"/>
      <c r="BUX11" s="28"/>
      <c r="BUY11" s="29"/>
      <c r="BUZ11" s="30"/>
      <c r="BVA11" s="28"/>
      <c r="BVB11" s="29"/>
      <c r="BVC11" s="29"/>
      <c r="BVD11" s="29"/>
      <c r="BVE11" s="28"/>
      <c r="BVF11" s="29"/>
      <c r="BVG11" s="29"/>
      <c r="BVH11" s="29"/>
      <c r="BVI11" s="29"/>
      <c r="BVJ11" s="29"/>
      <c r="BVK11" s="28"/>
      <c r="BVL11" s="29"/>
      <c r="BVM11" s="29"/>
      <c r="BVN11" s="28"/>
      <c r="BVO11" s="29"/>
      <c r="BVP11" s="30"/>
      <c r="BVQ11" s="28"/>
      <c r="BVR11" s="29"/>
      <c r="BVS11" s="29"/>
      <c r="BVT11" s="29"/>
      <c r="BVU11" s="28"/>
      <c r="BVV11" s="29"/>
      <c r="BVW11" s="29"/>
      <c r="BVX11" s="28"/>
      <c r="BVY11" s="29"/>
      <c r="BVZ11" s="30"/>
      <c r="BWA11" s="28"/>
      <c r="BWB11" s="29"/>
      <c r="BWC11" s="29"/>
      <c r="BWD11" s="29"/>
      <c r="BWE11" s="28"/>
      <c r="BWF11" s="29"/>
      <c r="BWG11" s="29"/>
      <c r="BWH11" s="29"/>
      <c r="BWI11" s="29"/>
      <c r="BWJ11" s="29"/>
      <c r="BWK11" s="28"/>
      <c r="BWL11" s="29"/>
      <c r="BWM11" s="29"/>
      <c r="BWN11" s="28"/>
      <c r="BWO11" s="29"/>
      <c r="BWP11" s="30"/>
      <c r="BWQ11" s="28"/>
      <c r="BWR11" s="29"/>
      <c r="BWS11" s="29"/>
      <c r="BWT11" s="29"/>
      <c r="BWU11" s="28"/>
      <c r="BWV11" s="29"/>
      <c r="BWW11" s="29"/>
      <c r="BWX11" s="28"/>
      <c r="BWY11" s="29"/>
      <c r="BWZ11" s="30"/>
      <c r="BXA11" s="28"/>
      <c r="BXB11" s="29"/>
      <c r="BXC11" s="29"/>
      <c r="BXD11" s="29"/>
      <c r="BXE11" s="28"/>
      <c r="BXF11" s="29"/>
      <c r="BXG11" s="29"/>
      <c r="BXH11" s="29"/>
      <c r="BXI11" s="29"/>
      <c r="BXJ11" s="29"/>
      <c r="BXK11" s="28"/>
      <c r="BXL11" s="29"/>
      <c r="BXM11" s="29"/>
      <c r="BXN11" s="28"/>
      <c r="BXO11" s="29"/>
      <c r="BXP11" s="30"/>
      <c r="BXQ11" s="28"/>
      <c r="BXR11" s="29"/>
      <c r="BXS11" s="29"/>
      <c r="BXT11" s="29"/>
      <c r="BXU11" s="28"/>
      <c r="BXV11" s="29"/>
      <c r="BXW11" s="29"/>
      <c r="BXX11" s="28"/>
      <c r="BXY11" s="29"/>
      <c r="BXZ11" s="30"/>
      <c r="BYA11" s="28"/>
      <c r="BYB11" s="29"/>
      <c r="BYC11" s="29"/>
      <c r="BYD11" s="29"/>
      <c r="BYE11" s="28"/>
      <c r="BYF11" s="29"/>
      <c r="BYG11" s="29"/>
      <c r="BYH11" s="29"/>
      <c r="BYI11" s="29"/>
      <c r="BYJ11" s="29"/>
      <c r="BYK11" s="28"/>
      <c r="BYL11" s="29"/>
      <c r="BYM11" s="29"/>
      <c r="BYN11" s="28"/>
      <c r="BYO11" s="29"/>
      <c r="BYP11" s="30"/>
      <c r="BYQ11" s="28"/>
      <c r="BYR11" s="29"/>
      <c r="BYS11" s="29"/>
      <c r="BYT11" s="29"/>
      <c r="BYU11" s="28"/>
      <c r="BYV11" s="29"/>
      <c r="BYW11" s="29"/>
      <c r="BYX11" s="30"/>
      <c r="BYY11" s="29"/>
      <c r="BYZ11" s="28"/>
      <c r="BZA11" s="29"/>
      <c r="BZB11" s="28"/>
      <c r="BZC11" s="28"/>
      <c r="BZD11" s="28"/>
      <c r="BZE11" s="29"/>
      <c r="BZF11" s="385"/>
      <c r="BZG11" s="29"/>
      <c r="BZH11" s="385"/>
      <c r="BZI11" s="29"/>
      <c r="BZJ11" s="385"/>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30"/>
      <c r="CAQ11" s="28"/>
      <c r="CAR11" s="29"/>
      <c r="CAS11" s="29"/>
      <c r="CAT11" s="29"/>
      <c r="CAU11" s="29"/>
      <c r="CAV11" s="29"/>
      <c r="CAW11" s="28"/>
      <c r="CAX11" s="29"/>
      <c r="CAY11" s="29"/>
      <c r="CAZ11" s="28"/>
      <c r="CBA11" s="29"/>
      <c r="CBB11" s="30"/>
      <c r="CBC11" s="28"/>
      <c r="CBD11" s="29"/>
      <c r="CBE11" s="29"/>
      <c r="CBF11" s="29"/>
      <c r="CBG11" s="28"/>
      <c r="CBH11" s="29"/>
      <c r="CBI11" s="29"/>
      <c r="CBJ11" s="28"/>
      <c r="CBK11" s="29"/>
      <c r="CBL11" s="30"/>
      <c r="CBM11" s="28"/>
      <c r="CBN11" s="29"/>
      <c r="CBO11" s="29"/>
      <c r="CBP11" s="29"/>
      <c r="CBQ11" s="28"/>
      <c r="CBR11" s="29"/>
      <c r="CBS11" s="29"/>
      <c r="CBT11" s="28"/>
      <c r="CBU11" s="29"/>
      <c r="CBV11" s="30"/>
      <c r="CBW11" s="28"/>
      <c r="CBX11" s="29"/>
      <c r="CBY11" s="29"/>
      <c r="CBZ11" s="29"/>
      <c r="CCA11" s="28"/>
      <c r="CCB11" s="29"/>
      <c r="CCC11" s="29"/>
      <c r="CCD11" s="28"/>
      <c r="CCE11" s="29"/>
      <c r="CCF11" s="30"/>
      <c r="CCG11" s="28"/>
      <c r="CCH11" s="30"/>
      <c r="CCI11" s="29"/>
      <c r="CCJ11" s="28"/>
      <c r="CCK11" s="29"/>
      <c r="CCL11" s="28"/>
      <c r="CCM11" s="28"/>
      <c r="CCN11" s="28"/>
      <c r="CCO11" s="29"/>
      <c r="CCP11" s="385"/>
      <c r="CCQ11" s="29"/>
      <c r="CCR11" s="385"/>
      <c r="CCS11" s="29"/>
      <c r="CCT11" s="385"/>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30"/>
      <c r="CEA11" s="28"/>
      <c r="CEB11" s="29"/>
      <c r="CEC11" s="29"/>
      <c r="CED11" s="29"/>
      <c r="CEE11" s="29"/>
      <c r="CEF11" s="29"/>
      <c r="CEG11" s="28"/>
      <c r="CEH11" s="29"/>
      <c r="CEI11" s="29"/>
      <c r="CEJ11" s="28"/>
      <c r="CEK11" s="29"/>
      <c r="CEL11" s="30"/>
      <c r="CEM11" s="28"/>
      <c r="CEN11" s="29"/>
      <c r="CEO11" s="29"/>
      <c r="CEP11" s="29"/>
      <c r="CEQ11" s="28"/>
      <c r="CER11" s="29"/>
      <c r="CES11" s="29"/>
      <c r="CET11" s="28"/>
      <c r="CEU11" s="29"/>
      <c r="CEV11" s="30"/>
      <c r="CEW11" s="28"/>
      <c r="CEX11" s="29"/>
      <c r="CEY11" s="29"/>
      <c r="CEZ11" s="29"/>
      <c r="CFA11" s="28"/>
      <c r="CFB11" s="29"/>
      <c r="CFC11" s="29"/>
      <c r="CFD11" s="28"/>
      <c r="CFE11" s="29"/>
      <c r="CFF11" s="30"/>
      <c r="CFG11" s="28"/>
      <c r="CFH11" s="29"/>
      <c r="CFI11" s="29"/>
      <c r="CFJ11" s="29"/>
      <c r="CFK11" s="28"/>
      <c r="CFL11" s="29"/>
      <c r="CFM11" s="29"/>
      <c r="CFN11" s="28"/>
      <c r="CFO11" s="29"/>
      <c r="CFP11" s="30"/>
      <c r="CFQ11" s="28"/>
      <c r="CFR11" s="30"/>
      <c r="CFS11" s="29"/>
      <c r="CFT11" s="28"/>
      <c r="CFU11" s="29"/>
      <c r="CFV11" s="28"/>
      <c r="CFW11" s="28"/>
      <c r="CFX11" s="28"/>
      <c r="CFY11" s="29"/>
      <c r="CFZ11" s="385"/>
      <c r="CGA11" s="29"/>
      <c r="CGB11" s="385"/>
      <c r="CGC11" s="29"/>
      <c r="CGD11" s="385"/>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30"/>
      <c r="CHK11" s="28"/>
      <c r="CHL11" s="29"/>
      <c r="CHM11" s="29"/>
      <c r="CHN11" s="29"/>
      <c r="CHO11" s="29"/>
      <c r="CHP11" s="29"/>
      <c r="CHQ11" s="28"/>
      <c r="CHR11" s="29"/>
      <c r="CHS11" s="29"/>
      <c r="CHT11" s="28"/>
      <c r="CHU11" s="29"/>
      <c r="CHV11" s="30"/>
      <c r="CHW11" s="28"/>
      <c r="CHX11" s="29"/>
      <c r="CHY11" s="29"/>
      <c r="CHZ11" s="29"/>
      <c r="CIA11" s="28"/>
      <c r="CIB11" s="29"/>
      <c r="CIC11" s="29"/>
      <c r="CID11" s="28"/>
      <c r="CIE11" s="29"/>
      <c r="CIF11" s="30"/>
      <c r="CIG11" s="28"/>
      <c r="CIH11" s="29"/>
      <c r="CII11" s="29"/>
      <c r="CIJ11" s="29"/>
      <c r="CIK11" s="28"/>
      <c r="CIL11" s="29"/>
      <c r="CIM11" s="29"/>
      <c r="CIN11" s="28"/>
      <c r="CIO11" s="29"/>
      <c r="CIP11" s="30"/>
      <c r="CIQ11" s="28"/>
      <c r="CIR11" s="29"/>
      <c r="CIS11" s="29"/>
      <c r="CIT11" s="29"/>
      <c r="CIU11" s="28"/>
      <c r="CIV11" s="29"/>
      <c r="CIW11" s="29"/>
      <c r="CIX11" s="28"/>
      <c r="CIY11" s="29"/>
      <c r="CIZ11" s="30"/>
      <c r="CJA11" s="28"/>
      <c r="CJB11" s="30"/>
      <c r="CJC11" s="29"/>
      <c r="CJD11" s="28"/>
      <c r="CJE11" s="29"/>
      <c r="CJF11" s="28"/>
      <c r="CJG11" s="28"/>
      <c r="CJH11" s="28"/>
      <c r="CJI11" s="29"/>
      <c r="CJJ11" s="385"/>
      <c r="CJK11" s="29"/>
      <c r="CJL11" s="385"/>
      <c r="CJM11" s="29"/>
      <c r="CJN11" s="385"/>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30"/>
      <c r="CKU11" s="28"/>
      <c r="CKV11" s="29"/>
      <c r="CKW11" s="29"/>
      <c r="CKX11" s="29"/>
      <c r="CKY11" s="29"/>
      <c r="CKZ11" s="29"/>
      <c r="CLA11" s="28"/>
      <c r="CLB11" s="29"/>
      <c r="CLC11" s="29"/>
      <c r="CLD11" s="28"/>
      <c r="CLE11" s="29"/>
      <c r="CLF11" s="30"/>
      <c r="CLG11" s="28"/>
      <c r="CLH11" s="29"/>
      <c r="CLI11" s="29"/>
      <c r="CLJ11" s="29"/>
      <c r="CLK11" s="28"/>
      <c r="CLL11" s="29"/>
      <c r="CLM11" s="29"/>
      <c r="CLN11" s="28"/>
      <c r="CLO11" s="29"/>
      <c r="CLP11" s="30"/>
      <c r="CLQ11" s="28"/>
      <c r="CLR11" s="29"/>
      <c r="CLS11" s="29"/>
      <c r="CLT11" s="29"/>
      <c r="CLU11" s="28"/>
      <c r="CLV11" s="29"/>
      <c r="CLW11" s="29"/>
      <c r="CLX11" s="28"/>
      <c r="CLY11" s="29"/>
      <c r="CLZ11" s="30"/>
      <c r="CMA11" s="28"/>
      <c r="CMB11" s="29"/>
      <c r="CMC11" s="29"/>
      <c r="CMD11" s="29"/>
      <c r="CME11" s="28"/>
      <c r="CMF11" s="29"/>
      <c r="CMG11" s="29"/>
      <c r="CMH11" s="28"/>
      <c r="CMI11" s="29"/>
      <c r="CMJ11" s="30"/>
      <c r="CMK11" s="28"/>
      <c r="CML11" s="30"/>
      <c r="CMM11" s="29"/>
      <c r="CMN11" s="28"/>
      <c r="CMO11" s="29"/>
      <c r="CMP11" s="28"/>
      <c r="CMQ11" s="28"/>
      <c r="CMR11" s="28"/>
      <c r="CMS11" s="29"/>
      <c r="CMT11" s="385"/>
      <c r="CMU11" s="29"/>
      <c r="CMV11" s="385"/>
      <c r="CMW11" s="29"/>
      <c r="CMX11" s="385"/>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30"/>
      <c r="COE11" s="28"/>
      <c r="COF11" s="29"/>
      <c r="COG11" s="29"/>
      <c r="COH11" s="29"/>
      <c r="COI11" s="29"/>
      <c r="COJ11" s="29"/>
      <c r="COK11" s="28"/>
      <c r="COL11" s="29"/>
      <c r="COM11" s="29"/>
      <c r="CON11" s="28"/>
      <c r="COO11" s="29"/>
      <c r="COP11" s="30"/>
      <c r="COQ11" s="28"/>
      <c r="COR11" s="29"/>
      <c r="COS11" s="29"/>
      <c r="COT11" s="29"/>
      <c r="COU11" s="28"/>
      <c r="COV11" s="29"/>
      <c r="COW11" s="29"/>
      <c r="COX11" s="28"/>
      <c r="COY11" s="29"/>
      <c r="COZ11" s="30"/>
      <c r="CPA11" s="28"/>
      <c r="CPB11" s="29"/>
      <c r="CPC11" s="29"/>
      <c r="CPD11" s="29"/>
      <c r="CPE11" s="28"/>
      <c r="CPF11" s="29"/>
      <c r="CPG11" s="29"/>
      <c r="CPH11" s="28"/>
      <c r="CPI11" s="29"/>
      <c r="CPJ11" s="30"/>
      <c r="CPK11" s="28"/>
      <c r="CPL11" s="29"/>
      <c r="CPM11" s="29"/>
      <c r="CPN11" s="29"/>
      <c r="CPO11" s="28"/>
      <c r="CPP11" s="29"/>
      <c r="CPQ11" s="29"/>
      <c r="CPR11" s="28"/>
      <c r="CPS11" s="29"/>
      <c r="CPT11" s="30"/>
      <c r="CPU11" s="28"/>
      <c r="CPV11" s="30"/>
      <c r="CPW11" s="29"/>
      <c r="CPX11" s="28"/>
      <c r="CPY11" s="29"/>
      <c r="CPZ11" s="28"/>
      <c r="CQA11" s="28"/>
      <c r="CQB11" s="28"/>
      <c r="CQC11" s="29"/>
      <c r="CQD11" s="385"/>
      <c r="CQE11" s="29"/>
      <c r="CQF11" s="385"/>
      <c r="CQG11" s="29"/>
      <c r="CQH11" s="385"/>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30"/>
      <c r="CRO11" s="28"/>
      <c r="CRP11" s="29"/>
      <c r="CRQ11" s="29"/>
      <c r="CRR11" s="29"/>
      <c r="CRS11" s="29"/>
      <c r="CRT11" s="29"/>
      <c r="CRU11" s="28"/>
      <c r="CRV11" s="29"/>
      <c r="CRW11" s="29"/>
      <c r="CRX11" s="28"/>
      <c r="CRY11" s="29"/>
      <c r="CRZ11" s="30"/>
      <c r="CSA11" s="28"/>
      <c r="CSB11" s="29"/>
      <c r="CSC11" s="29"/>
      <c r="CSD11" s="29"/>
      <c r="CSE11" s="28"/>
      <c r="CSF11" s="29"/>
      <c r="CSG11" s="29"/>
      <c r="CSH11" s="28"/>
      <c r="CSI11" s="29"/>
      <c r="CSJ11" s="30"/>
      <c r="CSK11" s="28"/>
      <c r="CSL11" s="29"/>
      <c r="CSM11" s="29"/>
      <c r="CSN11" s="29"/>
      <c r="CSO11" s="28"/>
      <c r="CSP11" s="29"/>
      <c r="CSQ11" s="29"/>
      <c r="CSR11" s="28"/>
      <c r="CSS11" s="29"/>
      <c r="CST11" s="30"/>
      <c r="CSU11" s="28"/>
      <c r="CSV11" s="29"/>
      <c r="CSW11" s="29"/>
      <c r="CSX11" s="29"/>
      <c r="CSY11" s="28"/>
      <c r="CSZ11" s="29"/>
      <c r="CTA11" s="29"/>
      <c r="CTB11" s="28"/>
      <c r="CTC11" s="29"/>
      <c r="CTD11" s="30"/>
      <c r="CTE11" s="28"/>
      <c r="CTF11" s="30"/>
      <c r="CTG11" s="29"/>
      <c r="CTH11" s="28"/>
      <c r="CTI11" s="29"/>
      <c r="CTJ11" s="28"/>
      <c r="CTK11" s="28"/>
      <c r="CTL11" s="28"/>
      <c r="CTM11" s="29"/>
      <c r="CTN11" s="385"/>
      <c r="CTO11" s="29"/>
      <c r="CTP11" s="385"/>
      <c r="CTQ11" s="29"/>
      <c r="CTR11" s="385"/>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30"/>
      <c r="CUY11" s="28"/>
      <c r="CUZ11" s="29"/>
      <c r="CVA11" s="29"/>
      <c r="CVB11" s="29"/>
      <c r="CVC11" s="29"/>
      <c r="CVD11" s="29"/>
      <c r="CVE11" s="28"/>
      <c r="CVF11" s="29"/>
      <c r="CVG11" s="29"/>
      <c r="CVH11" s="28"/>
      <c r="CVI11" s="29"/>
      <c r="CVJ11" s="30"/>
      <c r="CVK11" s="28"/>
      <c r="CVL11" s="29"/>
      <c r="CVM11" s="29"/>
      <c r="CVN11" s="29"/>
      <c r="CVO11" s="28"/>
      <c r="CVP11" s="29"/>
      <c r="CVQ11" s="29"/>
      <c r="CVR11" s="28"/>
      <c r="CVS11" s="29"/>
      <c r="CVT11" s="30"/>
      <c r="CVU11" s="28"/>
      <c r="CVV11" s="29"/>
      <c r="CVW11" s="29"/>
      <c r="CVX11" s="29"/>
      <c r="CVY11" s="28"/>
      <c r="CVZ11" s="29"/>
      <c r="CWA11" s="29"/>
      <c r="CWB11" s="28"/>
      <c r="CWC11" s="29"/>
      <c r="CWD11" s="30"/>
      <c r="CWE11" s="28"/>
      <c r="CWF11" s="29"/>
      <c r="CWG11" s="29"/>
      <c r="CWH11" s="29"/>
      <c r="CWI11" s="28"/>
      <c r="CWJ11" s="29"/>
      <c r="CWK11" s="29"/>
      <c r="CWL11" s="28"/>
      <c r="CWM11" s="29"/>
      <c r="CWN11" s="30"/>
      <c r="CWO11" s="28"/>
      <c r="CWP11" s="30"/>
      <c r="CWQ11" s="29"/>
      <c r="CWR11" s="28"/>
      <c r="CWS11" s="29"/>
      <c r="CWT11" s="28"/>
      <c r="CWU11" s="28"/>
      <c r="CWV11" s="28"/>
      <c r="CWW11" s="29"/>
      <c r="CWX11" s="385"/>
      <c r="CWY11" s="29"/>
      <c r="CWZ11" s="385"/>
      <c r="CXA11" s="29"/>
      <c r="CXB11" s="385"/>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30"/>
      <c r="CYI11" s="28"/>
      <c r="CYJ11" s="29"/>
      <c r="CYK11" s="29"/>
      <c r="CYL11" s="29"/>
      <c r="CYM11" s="29"/>
      <c r="CYN11" s="29"/>
      <c r="CYO11" s="28"/>
      <c r="CYP11" s="29"/>
      <c r="CYQ11" s="29"/>
      <c r="CYR11" s="28"/>
      <c r="CYS11" s="29"/>
      <c r="CYT11" s="30"/>
      <c r="CYU11" s="28"/>
      <c r="CYV11" s="29"/>
      <c r="CYW11" s="29"/>
      <c r="CYX11" s="29"/>
      <c r="CYY11" s="28"/>
      <c r="CYZ11" s="29"/>
      <c r="CZA11" s="29"/>
      <c r="CZB11" s="28"/>
      <c r="CZC11" s="29"/>
      <c r="CZD11" s="30"/>
      <c r="CZE11" s="28"/>
      <c r="CZF11" s="29"/>
      <c r="CZG11" s="29"/>
      <c r="CZH11" s="29"/>
      <c r="CZI11" s="28"/>
      <c r="CZJ11" s="29"/>
      <c r="CZK11" s="29"/>
      <c r="CZL11" s="28"/>
      <c r="CZM11" s="29"/>
      <c r="CZN11" s="30"/>
      <c r="CZO11" s="28"/>
      <c r="CZP11" s="29"/>
      <c r="CZQ11" s="29"/>
      <c r="CZR11" s="29"/>
      <c r="CZS11" s="28"/>
      <c r="CZT11" s="29"/>
      <c r="CZU11" s="29"/>
      <c r="CZV11" s="28"/>
      <c r="CZW11" s="29"/>
      <c r="CZX11" s="30"/>
      <c r="CZY11" s="28"/>
      <c r="CZZ11" s="30"/>
      <c r="DAA11" s="29"/>
      <c r="DAB11" s="28"/>
      <c r="DAC11" s="29"/>
      <c r="DAD11" s="28"/>
      <c r="DAE11" s="28"/>
      <c r="DAF11" s="28"/>
      <c r="DAG11" s="29"/>
      <c r="DAH11" s="385"/>
      <c r="DAI11" s="29"/>
      <c r="DAJ11" s="385"/>
      <c r="DAK11" s="29"/>
      <c r="DAL11" s="385"/>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30"/>
      <c r="DBS11" s="28"/>
      <c r="DBT11" s="29"/>
      <c r="DBU11" s="29"/>
      <c r="DBV11" s="29"/>
      <c r="DBW11" s="29"/>
      <c r="DBX11" s="29"/>
      <c r="DBY11" s="28"/>
      <c r="DBZ11" s="29"/>
      <c r="DCA11" s="29"/>
      <c r="DCB11" s="28"/>
      <c r="DCC11" s="29"/>
      <c r="DCD11" s="30"/>
      <c r="DCE11" s="28"/>
      <c r="DCF11" s="29"/>
      <c r="DCG11" s="29"/>
      <c r="DCH11" s="29"/>
      <c r="DCI11" s="28"/>
      <c r="DCJ11" s="29"/>
      <c r="DCK11" s="29"/>
      <c r="DCL11" s="28"/>
      <c r="DCM11" s="29"/>
      <c r="DCN11" s="30"/>
      <c r="DCO11" s="28"/>
      <c r="DCP11" s="29"/>
      <c r="DCQ11" s="29"/>
      <c r="DCR11" s="29"/>
      <c r="DCS11" s="28"/>
      <c r="DCT11" s="29"/>
      <c r="DCU11" s="29"/>
      <c r="DCV11" s="28"/>
      <c r="DCW11" s="29"/>
      <c r="DCX11" s="30"/>
      <c r="DCY11" s="28"/>
      <c r="DCZ11" s="29"/>
      <c r="DDA11" s="29"/>
      <c r="DDB11" s="29"/>
      <c r="DDC11" s="28"/>
      <c r="DDD11" s="29"/>
      <c r="DDE11" s="29"/>
      <c r="DDF11" s="28"/>
      <c r="DDG11" s="29"/>
      <c r="DDH11" s="30"/>
      <c r="DDI11" s="28"/>
      <c r="DDJ11" s="30"/>
      <c r="DDK11" s="29"/>
      <c r="DDL11" s="28"/>
      <c r="DDM11" s="29"/>
      <c r="DDN11" s="28"/>
      <c r="DDO11" s="28"/>
      <c r="DDP11" s="28"/>
      <c r="DDQ11" s="29"/>
      <c r="DDR11" s="385"/>
      <c r="DDS11" s="29"/>
      <c r="DDT11" s="385"/>
      <c r="DDU11" s="29"/>
      <c r="DDV11" s="385"/>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30"/>
      <c r="DFC11" s="28"/>
      <c r="DFD11" s="29"/>
      <c r="DFE11" s="29"/>
      <c r="DFF11" s="29"/>
      <c r="DFG11" s="29"/>
      <c r="DFH11" s="29"/>
      <c r="DFI11" s="28"/>
      <c r="DFJ11" s="29"/>
      <c r="DFK11" s="29"/>
      <c r="DFL11" s="28"/>
      <c r="DFM11" s="29"/>
      <c r="DFN11" s="30"/>
      <c r="DFO11" s="28"/>
      <c r="DFP11" s="29"/>
      <c r="DFQ11" s="29"/>
      <c r="DFR11" s="29"/>
      <c r="DFS11" s="28"/>
      <c r="DFT11" s="29"/>
      <c r="DFU11" s="29"/>
      <c r="DFV11" s="28"/>
      <c r="DFW11" s="29"/>
      <c r="DFX11" s="30"/>
      <c r="DFY11" s="28"/>
      <c r="DFZ11" s="29"/>
      <c r="DGA11" s="29"/>
      <c r="DGB11" s="29"/>
      <c r="DGC11" s="28"/>
      <c r="DGD11" s="29"/>
      <c r="DGE11" s="29"/>
      <c r="DGF11" s="28"/>
      <c r="DGG11" s="29"/>
      <c r="DGH11" s="30"/>
      <c r="DGI11" s="28"/>
      <c r="DGJ11" s="29"/>
      <c r="DGK11" s="29"/>
      <c r="DGL11" s="29"/>
      <c r="DGM11" s="28"/>
      <c r="DGN11" s="29"/>
      <c r="DGO11" s="29"/>
      <c r="DGP11" s="28"/>
      <c r="DGQ11" s="29"/>
      <c r="DGR11" s="30"/>
      <c r="DGS11" s="28"/>
      <c r="DGT11" s="30"/>
      <c r="DGU11" s="29"/>
      <c r="DGV11" s="28"/>
      <c r="DGW11" s="29"/>
      <c r="DGX11" s="28"/>
      <c r="DGY11" s="28"/>
      <c r="DGZ11" s="28"/>
      <c r="DHA11" s="29"/>
      <c r="DHB11" s="385"/>
      <c r="DHC11" s="29"/>
      <c r="DHD11" s="385"/>
      <c r="DHE11" s="29"/>
      <c r="DHF11" s="385"/>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30"/>
      <c r="DIM11" s="28"/>
      <c r="DIN11" s="29"/>
      <c r="DIO11" s="29"/>
      <c r="DIP11" s="29"/>
      <c r="DIQ11" s="29"/>
      <c r="DIR11" s="29"/>
      <c r="DIS11" s="28"/>
      <c r="DIT11" s="29"/>
      <c r="DIU11" s="29"/>
      <c r="DIV11" s="28"/>
      <c r="DIW11" s="29"/>
      <c r="DIX11" s="30"/>
      <c r="DIY11" s="28"/>
      <c r="DIZ11" s="29"/>
      <c r="DJA11" s="29"/>
      <c r="DJB11" s="29"/>
      <c r="DJC11" s="28"/>
      <c r="DJD11" s="29"/>
      <c r="DJE11" s="29"/>
      <c r="DJF11" s="28"/>
      <c r="DJG11" s="29"/>
      <c r="DJH11" s="30"/>
      <c r="DJI11" s="28"/>
      <c r="DJJ11" s="29"/>
      <c r="DJK11" s="29"/>
      <c r="DJL11" s="29"/>
      <c r="DJM11" s="28"/>
      <c r="DJN11" s="29"/>
      <c r="DJO11" s="29"/>
      <c r="DJP11" s="28"/>
      <c r="DJQ11" s="29"/>
      <c r="DJR11" s="30"/>
      <c r="DJS11" s="28"/>
      <c r="DJT11" s="29"/>
      <c r="DJU11" s="29"/>
      <c r="DJV11" s="29"/>
      <c r="DJW11" s="28"/>
      <c r="DJX11" s="29"/>
      <c r="DJY11" s="29"/>
      <c r="DJZ11" s="28"/>
      <c r="DKA11" s="29"/>
      <c r="DKB11" s="30"/>
      <c r="DKC11" s="28"/>
      <c r="DKD11" s="30"/>
      <c r="DKE11" s="29"/>
      <c r="DKF11" s="28"/>
      <c r="DKG11" s="29"/>
      <c r="DKH11" s="28"/>
      <c r="DKI11" s="28"/>
      <c r="DKJ11" s="28"/>
      <c r="DKK11" s="29"/>
      <c r="DKL11" s="385"/>
      <c r="DKM11" s="29"/>
      <c r="DKN11" s="385"/>
      <c r="DKO11" s="29"/>
      <c r="DKP11" s="385"/>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30"/>
      <c r="DLW11" s="28"/>
      <c r="DLX11" s="29"/>
      <c r="DLY11" s="29"/>
      <c r="DLZ11" s="29"/>
      <c r="DMA11" s="29"/>
      <c r="DMB11" s="29"/>
      <c r="DMC11" s="28"/>
      <c r="DMD11" s="29"/>
      <c r="DME11" s="29"/>
      <c r="DMF11" s="28"/>
      <c r="DMG11" s="29"/>
      <c r="DMH11" s="30"/>
      <c r="DMI11" s="28"/>
      <c r="DMJ11" s="29"/>
      <c r="DMK11" s="29"/>
      <c r="DML11" s="29"/>
      <c r="DMM11" s="28"/>
      <c r="DMN11" s="29"/>
      <c r="DMO11" s="29"/>
      <c r="DMP11" s="28"/>
      <c r="DMQ11" s="29"/>
      <c r="DMR11" s="30"/>
      <c r="DMS11" s="28"/>
      <c r="DMT11" s="29"/>
      <c r="DMU11" s="29"/>
      <c r="DMV11" s="29"/>
      <c r="DMW11" s="28"/>
      <c r="DMX11" s="29"/>
      <c r="DMY11" s="29"/>
      <c r="DMZ11" s="28"/>
      <c r="DNA11" s="29"/>
      <c r="DNB11" s="30"/>
      <c r="DNC11" s="28"/>
      <c r="DND11" s="29"/>
      <c r="DNE11" s="29"/>
      <c r="DNF11" s="29"/>
      <c r="DNG11" s="28"/>
      <c r="DNH11" s="29"/>
      <c r="DNI11" s="29"/>
      <c r="DNJ11" s="28"/>
      <c r="DNK11" s="29"/>
      <c r="DNL11" s="30"/>
      <c r="DNM11" s="28"/>
      <c r="DNN11" s="30"/>
      <c r="DNO11" s="29"/>
      <c r="DNP11" s="28"/>
      <c r="DNQ11" s="29"/>
      <c r="DNR11" s="28"/>
      <c r="DNS11" s="28"/>
      <c r="DNT11" s="28"/>
      <c r="DNU11" s="29"/>
      <c r="DNV11" s="385"/>
      <c r="DNW11" s="29"/>
      <c r="DNX11" s="385"/>
      <c r="DNY11" s="29"/>
      <c r="DNZ11" s="385"/>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30"/>
      <c r="DPG11" s="28"/>
      <c r="DPH11" s="29"/>
      <c r="DPI11" s="29"/>
      <c r="DPJ11" s="29"/>
      <c r="DPK11" s="29"/>
      <c r="DPL11" s="29"/>
      <c r="DPM11" s="28"/>
      <c r="DPN11" s="29"/>
      <c r="DPO11" s="29"/>
      <c r="DPP11" s="28"/>
      <c r="DPQ11" s="29"/>
      <c r="DPR11" s="30"/>
      <c r="DPS11" s="28"/>
      <c r="DPT11" s="29"/>
      <c r="DPU11" s="29"/>
      <c r="DPV11" s="29"/>
      <c r="DPW11" s="28"/>
      <c r="DPX11" s="29"/>
      <c r="DPY11" s="29"/>
      <c r="DPZ11" s="28"/>
      <c r="DQA11" s="29"/>
      <c r="DQB11" s="30"/>
      <c r="DQC11" s="28"/>
      <c r="DQD11" s="29"/>
      <c r="DQE11" s="29"/>
      <c r="DQF11" s="29"/>
      <c r="DQG11" s="28"/>
      <c r="DQH11" s="29"/>
      <c r="DQI11" s="29"/>
      <c r="DQJ11" s="28"/>
      <c r="DQK11" s="29"/>
      <c r="DQL11" s="30"/>
      <c r="DQM11" s="28"/>
      <c r="DQN11" s="29"/>
      <c r="DQO11" s="29"/>
      <c r="DQP11" s="29"/>
      <c r="DQQ11" s="28"/>
      <c r="DQR11" s="29"/>
      <c r="DQS11" s="29"/>
      <c r="DQT11" s="28"/>
      <c r="DQU11" s="29"/>
      <c r="DQV11" s="30"/>
      <c r="DQW11" s="28"/>
      <c r="DQX11" s="30"/>
      <c r="DQY11" s="29"/>
      <c r="DQZ11" s="28"/>
      <c r="DRA11" s="29"/>
      <c r="DRB11" s="28"/>
      <c r="DRC11" s="28"/>
      <c r="DRD11" s="28"/>
      <c r="DRE11" s="29"/>
      <c r="DRF11" s="385"/>
      <c r="DRG11" s="29"/>
      <c r="DRH11" s="385"/>
      <c r="DRI11" s="29"/>
      <c r="DRJ11" s="385"/>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30"/>
      <c r="DSQ11" s="28"/>
      <c r="DSR11" s="29"/>
      <c r="DSS11" s="29"/>
      <c r="DST11" s="29"/>
      <c r="DSU11" s="29"/>
      <c r="DSV11" s="29"/>
      <c r="DSW11" s="28"/>
      <c r="DSX11" s="29"/>
      <c r="DSY11" s="29"/>
      <c r="DSZ11" s="28"/>
      <c r="DTA11" s="29"/>
      <c r="DTB11" s="30"/>
      <c r="DTC11" s="28"/>
      <c r="DTD11" s="29"/>
      <c r="DTE11" s="29"/>
      <c r="DTF11" s="29"/>
      <c r="DTG11" s="28"/>
      <c r="DTH11" s="29"/>
      <c r="DTI11" s="29"/>
      <c r="DTJ11" s="28"/>
      <c r="DTK11" s="29"/>
      <c r="DTL11" s="30"/>
      <c r="DTM11" s="28"/>
      <c r="DTN11" s="29"/>
      <c r="DTO11" s="29"/>
      <c r="DTP11" s="29"/>
      <c r="DTQ11" s="28"/>
      <c r="DTR11" s="29"/>
      <c r="DTS11" s="29"/>
      <c r="DTT11" s="28"/>
      <c r="DTU11" s="29"/>
      <c r="DTV11" s="30"/>
      <c r="DTW11" s="28"/>
      <c r="DTX11" s="29"/>
      <c r="DTY11" s="29"/>
      <c r="DTZ11" s="29"/>
      <c r="DUA11" s="28"/>
      <c r="DUB11" s="29"/>
      <c r="DUC11" s="29"/>
      <c r="DUD11" s="28"/>
      <c r="DUE11" s="29"/>
      <c r="DUF11" s="30"/>
      <c r="DUG11" s="28"/>
      <c r="DUH11" s="30"/>
      <c r="DUI11" s="29"/>
      <c r="DUJ11" s="28"/>
      <c r="DUK11" s="29"/>
      <c r="DUL11" s="28"/>
      <c r="DUM11" s="28"/>
      <c r="DUN11" s="28"/>
      <c r="DUO11" s="29"/>
      <c r="DUP11" s="385"/>
      <c r="DUQ11" s="29"/>
      <c r="DUR11" s="385"/>
      <c r="DUS11" s="29"/>
      <c r="DUT11" s="385"/>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30"/>
      <c r="DWA11" s="28"/>
      <c r="DWB11" s="29"/>
      <c r="DWC11" s="29"/>
      <c r="DWD11" s="29"/>
      <c r="DWE11" s="29"/>
      <c r="DWF11" s="29"/>
      <c r="DWG11" s="28"/>
      <c r="DWH11" s="29"/>
      <c r="DWI11" s="29"/>
      <c r="DWJ11" s="28"/>
      <c r="DWK11" s="29"/>
      <c r="DWL11" s="30"/>
      <c r="DWM11" s="28"/>
      <c r="DWN11" s="29"/>
      <c r="DWO11" s="29"/>
      <c r="DWP11" s="29"/>
      <c r="DWQ11" s="28"/>
      <c r="DWR11" s="29"/>
      <c r="DWS11" s="29"/>
      <c r="DWT11" s="28"/>
      <c r="DWU11" s="29"/>
      <c r="DWV11" s="30"/>
      <c r="DWW11" s="28"/>
      <c r="DWX11" s="29"/>
      <c r="DWY11" s="29"/>
      <c r="DWZ11" s="29"/>
      <c r="DXA11" s="28"/>
      <c r="DXB11" s="29"/>
      <c r="DXC11" s="29"/>
      <c r="DXD11" s="28"/>
      <c r="DXE11" s="29"/>
      <c r="DXF11" s="30"/>
      <c r="DXG11" s="28"/>
      <c r="DXH11" s="29"/>
      <c r="DXI11" s="29"/>
      <c r="DXJ11" s="29"/>
      <c r="DXK11" s="28"/>
      <c r="DXL11" s="29"/>
      <c r="DXM11" s="29"/>
      <c r="DXN11" s="28"/>
      <c r="DXO11" s="29"/>
      <c r="DXP11" s="30"/>
      <c r="DXQ11" s="28"/>
      <c r="DXR11" s="30"/>
      <c r="DXS11" s="29"/>
      <c r="DXT11" s="28"/>
      <c r="DXU11" s="29"/>
      <c r="DXV11" s="28"/>
      <c r="DXW11" s="28"/>
      <c r="DXX11" s="28"/>
      <c r="DXY11" s="29"/>
      <c r="DXZ11" s="385"/>
      <c r="DYA11" s="29"/>
      <c r="DYB11" s="385"/>
      <c r="DYC11" s="29"/>
      <c r="DYD11" s="385"/>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30"/>
      <c r="DZK11" s="28"/>
      <c r="DZL11" s="29"/>
      <c r="DZM11" s="29"/>
      <c r="DZN11" s="29"/>
      <c r="DZO11" s="29"/>
      <c r="DZP11" s="29"/>
      <c r="DZQ11" s="28"/>
      <c r="DZR11" s="29"/>
      <c r="DZS11" s="29"/>
      <c r="DZT11" s="28"/>
      <c r="DZU11" s="29"/>
      <c r="DZV11" s="30"/>
      <c r="DZW11" s="28"/>
      <c r="DZX11" s="29"/>
      <c r="DZY11" s="29"/>
      <c r="DZZ11" s="29"/>
      <c r="EAA11" s="28"/>
      <c r="EAB11" s="29"/>
      <c r="EAC11" s="29"/>
      <c r="EAD11" s="28"/>
      <c r="EAE11" s="29"/>
      <c r="EAF11" s="30"/>
      <c r="EAG11" s="28"/>
      <c r="EAH11" s="29"/>
      <c r="EAI11" s="29"/>
      <c r="EAJ11" s="29"/>
      <c r="EAK11" s="28"/>
      <c r="EAL11" s="29"/>
      <c r="EAM11" s="29"/>
      <c r="EAN11" s="28"/>
      <c r="EAO11" s="29"/>
      <c r="EAP11" s="30"/>
      <c r="EAQ11" s="28"/>
      <c r="EAR11" s="29"/>
      <c r="EAS11" s="29"/>
      <c r="EAT11" s="29"/>
      <c r="EAU11" s="28"/>
      <c r="EAV11" s="29"/>
      <c r="EAW11" s="29"/>
      <c r="EAX11" s="28"/>
      <c r="EAY11" s="29"/>
      <c r="EAZ11" s="30"/>
      <c r="EBA11" s="28"/>
      <c r="EBB11" s="30"/>
      <c r="EBC11" s="29"/>
      <c r="EBD11" s="28"/>
      <c r="EBE11" s="29"/>
      <c r="EBF11" s="28"/>
      <c r="EBG11" s="28"/>
      <c r="EBH11" s="28"/>
      <c r="EBI11" s="29"/>
      <c r="EBJ11" s="385"/>
      <c r="EBK11" s="29"/>
      <c r="EBL11" s="385"/>
      <c r="EBM11" s="29"/>
      <c r="EBN11" s="385"/>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30"/>
      <c r="ECU11" s="28"/>
      <c r="ECV11" s="29"/>
      <c r="ECW11" s="29"/>
      <c r="ECX11" s="29"/>
      <c r="ECY11" s="29"/>
      <c r="ECZ11" s="29"/>
      <c r="EDA11" s="28"/>
      <c r="EDB11" s="29"/>
      <c r="EDC11" s="29"/>
      <c r="EDD11" s="28"/>
      <c r="EDE11" s="29"/>
      <c r="EDF11" s="30"/>
      <c r="EDG11" s="28"/>
      <c r="EDH11" s="29"/>
      <c r="EDI11" s="29"/>
      <c r="EDJ11" s="29"/>
      <c r="EDK11" s="28"/>
      <c r="EDL11" s="29"/>
      <c r="EDM11" s="29"/>
      <c r="EDN11" s="28"/>
      <c r="EDO11" s="29"/>
      <c r="EDP11" s="30"/>
      <c r="EDQ11" s="28"/>
      <c r="EDR11" s="29"/>
      <c r="EDS11" s="29"/>
      <c r="EDT11" s="29"/>
      <c r="EDU11" s="28"/>
      <c r="EDV11" s="29"/>
      <c r="EDW11" s="29"/>
      <c r="EDX11" s="28"/>
      <c r="EDY11" s="29"/>
      <c r="EDZ11" s="30"/>
      <c r="EEA11" s="28"/>
      <c r="EEB11" s="29"/>
      <c r="EEC11" s="29"/>
      <c r="EED11" s="29"/>
      <c r="EEE11" s="28"/>
      <c r="EEF11" s="29"/>
      <c r="EEG11" s="29"/>
      <c r="EEH11" s="28"/>
      <c r="EEI11" s="29"/>
      <c r="EEJ11" s="30"/>
      <c r="EEK11" s="28"/>
      <c r="EEL11" s="30"/>
      <c r="EEM11" s="29"/>
      <c r="EEN11" s="28"/>
      <c r="EEO11" s="29"/>
      <c r="EEP11" s="28"/>
      <c r="EEQ11" s="28"/>
      <c r="EER11" s="28"/>
      <c r="EES11" s="29"/>
      <c r="EET11" s="385"/>
      <c r="EEU11" s="29"/>
      <c r="EEV11" s="385"/>
      <c r="EEW11" s="29"/>
      <c r="EEX11" s="385"/>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30"/>
      <c r="EGE11" s="28"/>
      <c r="EGF11" s="29"/>
      <c r="EGG11" s="29"/>
      <c r="EGH11" s="29"/>
      <c r="EGI11" s="29"/>
      <c r="EGJ11" s="29"/>
      <c r="EGK11" s="28"/>
      <c r="EGL11" s="29"/>
      <c r="EGM11" s="29"/>
      <c r="EGN11" s="28"/>
      <c r="EGO11" s="29"/>
      <c r="EGP11" s="30"/>
      <c r="EGQ11" s="28"/>
      <c r="EGR11" s="29"/>
      <c r="EGS11" s="29"/>
      <c r="EGT11" s="29"/>
      <c r="EGU11" s="28"/>
      <c r="EGV11" s="29"/>
      <c r="EGW11" s="29"/>
      <c r="EGX11" s="28"/>
      <c r="EGY11" s="29"/>
      <c r="EGZ11" s="30"/>
      <c r="EHA11" s="28"/>
      <c r="EHB11" s="29"/>
      <c r="EHC11" s="29"/>
      <c r="EHD11" s="29"/>
      <c r="EHE11" s="28"/>
      <c r="EHF11" s="29"/>
      <c r="EHG11" s="29"/>
      <c r="EHH11" s="28"/>
      <c r="EHI11" s="29"/>
      <c r="EHJ11" s="30"/>
      <c r="EHK11" s="28"/>
      <c r="EHL11" s="29"/>
      <c r="EHM11" s="29"/>
      <c r="EHN11" s="29"/>
      <c r="EHO11" s="28"/>
      <c r="EHP11" s="29"/>
      <c r="EHQ11" s="29"/>
      <c r="EHR11" s="28"/>
      <c r="EHS11" s="29"/>
      <c r="EHT11" s="30"/>
      <c r="EHU11" s="28"/>
      <c r="EHV11" s="30"/>
      <c r="EHW11" s="29"/>
      <c r="EHX11" s="28"/>
      <c r="EHY11" s="29"/>
      <c r="EHZ11" s="28"/>
      <c r="EIA11" s="28"/>
      <c r="EIB11" s="28"/>
      <c r="EIC11" s="29"/>
      <c r="EID11" s="385"/>
      <c r="EIE11" s="29"/>
      <c r="EIF11" s="385"/>
      <c r="EIG11" s="29"/>
      <c r="EIH11" s="385"/>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30"/>
      <c r="EJO11" s="28"/>
      <c r="EJP11" s="29"/>
      <c r="EJQ11" s="29"/>
      <c r="EJR11" s="29"/>
      <c r="EJS11" s="29"/>
      <c r="EJT11" s="29"/>
      <c r="EJU11" s="28"/>
      <c r="EJV11" s="29"/>
      <c r="EJW11" s="29"/>
      <c r="EJX11" s="28"/>
      <c r="EJY11" s="29"/>
      <c r="EJZ11" s="30"/>
      <c r="EKA11" s="28"/>
      <c r="EKB11" s="29"/>
      <c r="EKC11" s="29"/>
      <c r="EKD11" s="29"/>
      <c r="EKE11" s="28"/>
      <c r="EKF11" s="29"/>
      <c r="EKG11" s="29"/>
      <c r="EKH11" s="28"/>
      <c r="EKI11" s="29"/>
      <c r="EKJ11" s="30"/>
      <c r="EKK11" s="28"/>
      <c r="EKL11" s="29"/>
      <c r="EKM11" s="29"/>
      <c r="EKN11" s="29"/>
      <c r="EKO11" s="28"/>
      <c r="EKP11" s="29"/>
      <c r="EKQ11" s="29"/>
      <c r="EKR11" s="28"/>
      <c r="EKS11" s="29"/>
      <c r="EKT11" s="30"/>
      <c r="EKU11" s="28"/>
      <c r="EKV11" s="29"/>
      <c r="EKW11" s="29"/>
      <c r="EKX11" s="29"/>
      <c r="EKY11" s="28"/>
      <c r="EKZ11" s="29"/>
      <c r="ELA11" s="29"/>
      <c r="ELB11" s="28"/>
      <c r="ELC11" s="29"/>
      <c r="ELD11" s="30"/>
      <c r="ELE11" s="28"/>
      <c r="ELF11" s="30"/>
      <c r="ELG11" s="29"/>
      <c r="ELH11" s="28"/>
      <c r="ELI11" s="29"/>
      <c r="ELJ11" s="28"/>
      <c r="ELK11" s="28"/>
      <c r="ELL11" s="28"/>
      <c r="ELM11" s="29"/>
      <c r="ELN11" s="385"/>
      <c r="ELO11" s="29"/>
      <c r="ELP11" s="385"/>
      <c r="ELQ11" s="29"/>
      <c r="ELR11" s="385"/>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30"/>
      <c r="EMY11" s="28"/>
      <c r="EMZ11" s="29"/>
      <c r="ENA11" s="29"/>
      <c r="ENB11" s="29"/>
      <c r="ENC11" s="29"/>
      <c r="END11" s="29"/>
      <c r="ENE11" s="28"/>
      <c r="ENF11" s="29"/>
      <c r="ENG11" s="29"/>
      <c r="ENH11" s="28"/>
      <c r="ENI11" s="29"/>
      <c r="ENJ11" s="30"/>
      <c r="ENK11" s="28"/>
      <c r="ENL11" s="29"/>
      <c r="ENM11" s="29"/>
      <c r="ENN11" s="29"/>
      <c r="ENO11" s="28"/>
      <c r="ENP11" s="29"/>
      <c r="ENQ11" s="29"/>
      <c r="ENR11" s="28"/>
      <c r="ENS11" s="29"/>
      <c r="ENT11" s="30"/>
      <c r="ENU11" s="28"/>
      <c r="ENV11" s="29"/>
      <c r="ENW11" s="29"/>
      <c r="ENX11" s="29"/>
      <c r="ENY11" s="28"/>
      <c r="ENZ11" s="29"/>
      <c r="EOA11" s="29"/>
      <c r="EOB11" s="28"/>
      <c r="EOC11" s="29"/>
      <c r="EOD11" s="30"/>
      <c r="EOE11" s="28"/>
      <c r="EOF11" s="29"/>
      <c r="EOG11" s="29"/>
      <c r="EOH11" s="29"/>
      <c r="EOI11" s="28"/>
      <c r="EOJ11" s="29"/>
      <c r="EOK11" s="29"/>
      <c r="EOL11" s="28"/>
      <c r="EOM11" s="29"/>
      <c r="EON11" s="30"/>
      <c r="EOO11" s="28" t="str">
        <f t="shared" si="149"/>
        <v xml:space="preserve"> </v>
      </c>
      <c r="EOP11" s="30"/>
      <c r="EOQ11" s="29"/>
      <c r="EOR11" s="28"/>
      <c r="EOS11" s="29"/>
      <c r="EOT11" s="28"/>
      <c r="EOU11" s="28"/>
      <c r="EOV11" s="28"/>
      <c r="EOW11" s="29"/>
      <c r="EOX11" s="385"/>
      <c r="EOY11" s="29"/>
      <c r="EOZ11" s="385"/>
      <c r="EPA11" s="29"/>
      <c r="EPB11" s="385"/>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30"/>
      <c r="EQI11" s="28"/>
      <c r="EQJ11" s="29"/>
      <c r="EQK11" s="29"/>
      <c r="EQL11" s="29"/>
      <c r="EQM11" s="29"/>
      <c r="EQN11" s="29"/>
      <c r="EQO11" s="28"/>
      <c r="EQP11" s="29"/>
      <c r="EQQ11" s="29"/>
      <c r="EQR11" s="28"/>
      <c r="EQS11" s="29"/>
      <c r="EQT11" s="30"/>
      <c r="EQU11" s="28"/>
      <c r="EQV11" s="29"/>
      <c r="EQW11" s="29"/>
      <c r="EQX11" s="29"/>
      <c r="EQY11" s="28"/>
      <c r="EQZ11" s="29"/>
      <c r="ERA11" s="29"/>
      <c r="ERB11" s="28"/>
      <c r="ERC11" s="29"/>
      <c r="ERD11" s="30"/>
      <c r="ERE11" s="28"/>
      <c r="ERF11" s="29"/>
      <c r="ERG11" s="29"/>
      <c r="ERH11" s="29"/>
      <c r="ERI11" s="28"/>
      <c r="ERJ11" s="29"/>
      <c r="ERK11" s="29"/>
      <c r="ERL11" s="28"/>
      <c r="ERM11" s="29"/>
      <c r="ERN11" s="30"/>
      <c r="ERO11" s="28"/>
      <c r="ERP11" s="29"/>
      <c r="ERQ11" s="29"/>
      <c r="ERR11" s="29"/>
      <c r="ERS11" s="28"/>
      <c r="ERT11" s="29"/>
      <c r="ERU11" s="29"/>
      <c r="ERV11" s="28"/>
      <c r="ERW11" s="29"/>
      <c r="ERX11" s="30"/>
      <c r="ERY11" s="28" t="str">
        <f t="shared" si="150"/>
        <v xml:space="preserve"> </v>
      </c>
      <c r="ERZ11" s="30"/>
      <c r="ESA11" s="29"/>
      <c r="ESB11" s="28"/>
      <c r="ESC11" s="29"/>
      <c r="ESD11" s="28"/>
      <c r="ESE11" s="28"/>
      <c r="ESF11" s="28"/>
      <c r="ESG11" s="29"/>
      <c r="ESH11" s="385"/>
      <c r="ESI11" s="29"/>
      <c r="ESJ11" s="385"/>
      <c r="ESK11" s="29"/>
      <c r="ESL11" s="385"/>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30"/>
      <c r="ETS11" s="28"/>
      <c r="ETT11" s="29"/>
      <c r="ETU11" s="29"/>
      <c r="ETV11" s="29"/>
      <c r="ETW11" s="29"/>
      <c r="ETX11" s="29"/>
      <c r="ETY11" s="28"/>
      <c r="ETZ11" s="29"/>
      <c r="EUA11" s="29"/>
      <c r="EUB11" s="28"/>
      <c r="EUC11" s="29"/>
      <c r="EUD11" s="30"/>
      <c r="EUE11" s="28"/>
      <c r="EUF11" s="29"/>
      <c r="EUG11" s="29"/>
      <c r="EUH11" s="29"/>
      <c r="EUI11" s="28"/>
      <c r="EUJ11" s="29"/>
      <c r="EUK11" s="29"/>
      <c r="EUL11" s="28"/>
      <c r="EUM11" s="29"/>
      <c r="EUN11" s="30"/>
      <c r="EUO11" s="28"/>
      <c r="EUP11" s="29"/>
      <c r="EUQ11" s="29"/>
      <c r="EUR11" s="29"/>
      <c r="EUS11" s="28"/>
      <c r="EUT11" s="29"/>
      <c r="EUU11" s="29"/>
      <c r="EUV11" s="28"/>
      <c r="EUW11" s="29"/>
      <c r="EUX11" s="30"/>
      <c r="EUY11" s="28"/>
      <c r="EUZ11" s="29"/>
      <c r="EVA11" s="29"/>
      <c r="EVB11" s="29"/>
      <c r="EVC11" s="28"/>
      <c r="EVD11" s="29"/>
      <c r="EVE11" s="29"/>
      <c r="EVF11" s="28"/>
      <c r="EVG11" s="29"/>
      <c r="EVH11" s="30"/>
      <c r="EVI11" s="28" t="str">
        <f t="shared" si="151"/>
        <v xml:space="preserve"> </v>
      </c>
    </row>
    <row r="12" spans="1:3961" x14ac:dyDescent="0.3">
      <c r="A12" s="424" t="s">
        <v>142</v>
      </c>
      <c r="B12" s="58" t="str">
        <f>'REG y VAL POE - AESR - ESR'!B650</f>
        <v xml:space="preserve">De Leon Valencia Abraham </v>
      </c>
      <c r="C12" s="57" t="str">
        <f>'REG y VAL POE - AESR - ESR'!C650</f>
        <v>Sin Registro</v>
      </c>
      <c r="D12" s="56">
        <f>'REG y VAL POE - AESR - ESR'!D650</f>
        <v>23213903</v>
      </c>
      <c r="E12" s="57">
        <f>'REG y VAL POE - AESR - ESR'!E650</f>
        <v>0</v>
      </c>
      <c r="F12" s="56">
        <f>'REG y VAL POE - AESR - ESR'!F650</f>
        <v>0</v>
      </c>
      <c r="G12" s="56">
        <f>'REG y VAL POE - AESR - ESR'!G650</f>
        <v>0</v>
      </c>
      <c r="H12" s="56">
        <f>'REG y VAL POE - AESR - ESR'!H650</f>
        <v>0</v>
      </c>
      <c r="I12" s="57">
        <f>'REG y VAL POE - AESR - ESR'!I650</f>
        <v>0</v>
      </c>
      <c r="J12" s="57">
        <f>'REG y VAL POE - AESR - ESR'!J650</f>
        <v>0</v>
      </c>
      <c r="K12" s="57">
        <f>'REG y VAL POE - AESR - ESR'!K650</f>
        <v>0</v>
      </c>
      <c r="L12" s="57">
        <f>'REG y VAL POE - AESR - ESR'!L650</f>
        <v>0</v>
      </c>
      <c r="M12" s="57">
        <f>'REG y VAL POE - AESR - ESR'!M650</f>
        <v>0</v>
      </c>
      <c r="N12" s="57">
        <f>'REG y VAL POE - AESR - ESR'!N650</f>
        <v>0</v>
      </c>
      <c r="O12" s="57">
        <f>'REG y VAL POE - AESR - ESR'!O650</f>
        <v>0</v>
      </c>
      <c r="P12" s="57">
        <f>'REG y VAL POE - AESR - ESR'!P650</f>
        <v>0</v>
      </c>
      <c r="Q12" s="57">
        <f>'REG y VAL POE - AESR - ESR'!Q650</f>
        <v>0</v>
      </c>
      <c r="R12" s="57">
        <f>'REG y VAL POE - AESR - ESR'!R650</f>
        <v>0</v>
      </c>
      <c r="S12" s="57">
        <f>'REG y VAL POE - AESR - ESR'!S650</f>
        <v>0</v>
      </c>
      <c r="T12" s="57">
        <f>'REG y VAL POE - AESR - ESR'!T650</f>
        <v>0</v>
      </c>
      <c r="U12" s="57">
        <f>'REG y VAL POE - AESR - ESR'!U650</f>
        <v>0</v>
      </c>
      <c r="V12" s="57">
        <f>'REG y VAL POE - AESR - ESR'!V650</f>
        <v>0</v>
      </c>
      <c r="W12" s="57">
        <f>'REG y VAL POE - AESR - ESR'!W650</f>
        <v>0</v>
      </c>
      <c r="X12" s="57">
        <f>'REG y VAL POE - AESR - ESR'!X650</f>
        <v>0</v>
      </c>
      <c r="Y12" s="57">
        <f>'REG y VAL POE - AESR - ESR'!Y650</f>
        <v>0</v>
      </c>
      <c r="Z12" s="57">
        <f>'REG y VAL POE - AESR - ESR'!Z650</f>
        <v>0</v>
      </c>
      <c r="AA12" s="57">
        <f>'REG y VAL POE - AESR - ESR'!AA650</f>
        <v>0</v>
      </c>
      <c r="AB12" s="57">
        <f>'REG y VAL POE - AESR - ESR'!AB650</f>
        <v>0</v>
      </c>
      <c r="AC12" s="57">
        <f>'REG y VAL POE - AESR - ESR'!AC650</f>
        <v>0</v>
      </c>
      <c r="AD12" s="57">
        <f>'REG y VAL POE - AESR - ESR'!AD650</f>
        <v>0</v>
      </c>
      <c r="AE12" s="57">
        <f>'REG y VAL POE - AESR - ESR'!AE650</f>
        <v>0</v>
      </c>
      <c r="AF12" s="57">
        <f>'REG y VAL POE - AESR - ESR'!AF650</f>
        <v>0</v>
      </c>
      <c r="AG12" s="57">
        <f>'REG y VAL POE - AESR - ESR'!AG650</f>
        <v>0</v>
      </c>
      <c r="AH12" s="57">
        <f>'REG y VAL POE - AESR - ESR'!AH650</f>
        <v>0</v>
      </c>
      <c r="AI12" s="57">
        <f>'REG y VAL POE - AESR - ESR'!AI650</f>
        <v>0</v>
      </c>
      <c r="AJ12" s="57">
        <f>'REG y VAL POE - AESR - ESR'!AJ650</f>
        <v>0</v>
      </c>
      <c r="AK12" s="57">
        <f>'REG y VAL POE - AESR - ESR'!AK650</f>
        <v>0</v>
      </c>
      <c r="AL12" s="57">
        <f>'REG y VAL POE - AESR - ESR'!AL650</f>
        <v>0</v>
      </c>
      <c r="AM12" s="57">
        <f>'REG y VAL POE - AESR - ESR'!AM650</f>
        <v>0</v>
      </c>
      <c r="AN12" s="57">
        <f>'REG y VAL POE - AESR - ESR'!AN650</f>
        <v>0</v>
      </c>
      <c r="AO12" s="57">
        <f>'REG y VAL POE - AESR - ESR'!AO650</f>
        <v>0</v>
      </c>
      <c r="AP12" s="57">
        <f>'REG y VAL POE - AESR - ESR'!AP650</f>
        <v>0</v>
      </c>
      <c r="AQ12" s="57">
        <f>'REG y VAL POE - AESR - ESR'!AQ650</f>
        <v>0</v>
      </c>
      <c r="AR12" s="57">
        <f>'REG y VAL POE - AESR - ESR'!AR650</f>
        <v>0</v>
      </c>
      <c r="AS12" s="57">
        <f>'REG y VAL POE - AESR - ESR'!AS650</f>
        <v>0</v>
      </c>
      <c r="AT12" s="58" t="str">
        <f>'REG y VAL POE - AESR - ESR'!B651</f>
        <v xml:space="preserve">Galmich Cruz Tomas </v>
      </c>
      <c r="AU12" s="56" t="str">
        <f>'REG y VAL POE - AESR - ESR'!C651</f>
        <v>Sin Registro</v>
      </c>
      <c r="AV12" s="57">
        <f>'REG y VAL POE - AESR - ESR'!D651</f>
        <v>23210754</v>
      </c>
      <c r="AW12" s="57">
        <f>'REG y VAL POE - AESR - ESR'!E651</f>
        <v>0</v>
      </c>
      <c r="AX12" s="57">
        <f>'REG y VAL POE - AESR - ESR'!F651</f>
        <v>0</v>
      </c>
      <c r="AY12" s="57">
        <f>'REG y VAL POE - AESR - ESR'!G651</f>
        <v>0</v>
      </c>
      <c r="AZ12" s="57">
        <f>'REG y VAL POE - AESR - ESR'!H651</f>
        <v>0</v>
      </c>
      <c r="BA12" s="56">
        <f>'REG y VAL POE - AESR - ESR'!I651</f>
        <v>0</v>
      </c>
      <c r="BB12" s="57">
        <f>'REG y VAL POE - AESR - ESR'!J651</f>
        <v>0</v>
      </c>
      <c r="BC12" s="57">
        <f>'REG y VAL POE - AESR - ESR'!K651</f>
        <v>0</v>
      </c>
      <c r="BD12" s="56">
        <f>'REG y VAL POE - AESR - ESR'!L651</f>
        <v>0</v>
      </c>
      <c r="BE12" s="57">
        <f>'REG y VAL POE - AESR - ESR'!M651</f>
        <v>0</v>
      </c>
      <c r="BF12" s="58">
        <f>'REG y VAL POE - AESR - ESR'!N651</f>
        <v>0</v>
      </c>
      <c r="BG12" s="56">
        <f>'REG y VAL POE - AESR - ESR'!O651</f>
        <v>0</v>
      </c>
      <c r="BH12" s="57">
        <f>'REG y VAL POE - AESR - ESR'!P651</f>
        <v>0</v>
      </c>
      <c r="BI12" s="57">
        <f>'REG y VAL POE - AESR - ESR'!Q651</f>
        <v>0</v>
      </c>
      <c r="BJ12" s="57">
        <f>'REG y VAL POE - AESR - ESR'!R651</f>
        <v>0</v>
      </c>
      <c r="BK12" s="56">
        <f>'REG y VAL POE - AESR - ESR'!S651</f>
        <v>0</v>
      </c>
      <c r="BL12" s="57">
        <f>'REG y VAL POE - AESR - ESR'!T651</f>
        <v>0</v>
      </c>
      <c r="BM12" s="57">
        <f>'REG y VAL POE - AESR - ESR'!U651</f>
        <v>0</v>
      </c>
      <c r="BN12" s="56">
        <f>'REG y VAL POE - AESR - ESR'!V651</f>
        <v>0</v>
      </c>
      <c r="BO12" s="57">
        <f>'REG y VAL POE - AESR - ESR'!W651</f>
        <v>0</v>
      </c>
      <c r="BP12" s="58">
        <f>'REG y VAL POE - AESR - ESR'!X651</f>
        <v>0</v>
      </c>
      <c r="BQ12" s="56">
        <f>'REG y VAL POE - AESR - ESR'!Y651</f>
        <v>0</v>
      </c>
      <c r="BR12" s="57">
        <f>'REG y VAL POE - AESR - ESR'!Z651</f>
        <v>0</v>
      </c>
      <c r="BS12" s="57">
        <f>'REG y VAL POE - AESR - ESR'!AA651</f>
        <v>0</v>
      </c>
      <c r="BT12" s="57">
        <f>'REG y VAL POE - AESR - ESR'!AB651</f>
        <v>0</v>
      </c>
      <c r="BU12" s="56">
        <f>'REG y VAL POE - AESR - ESR'!AC651</f>
        <v>0</v>
      </c>
      <c r="BV12" s="57">
        <f>'REG y VAL POE - AESR - ESR'!AD651</f>
        <v>0</v>
      </c>
      <c r="BW12" s="57">
        <f>'REG y VAL POE - AESR - ESR'!AE651</f>
        <v>0</v>
      </c>
      <c r="BX12" s="56">
        <f>'REG y VAL POE - AESR - ESR'!AF651</f>
        <v>0</v>
      </c>
      <c r="BY12" s="57">
        <f>'REG y VAL POE - AESR - ESR'!AG651</f>
        <v>0</v>
      </c>
      <c r="BZ12" s="58">
        <f>'REG y VAL POE - AESR - ESR'!AH651</f>
        <v>0</v>
      </c>
      <c r="CA12" s="56">
        <f>'REG y VAL POE - AESR - ESR'!AI651</f>
        <v>0</v>
      </c>
      <c r="CB12" s="57">
        <f>'REG y VAL POE - AESR - ESR'!AJ651</f>
        <v>0</v>
      </c>
      <c r="CC12" s="57">
        <f>'REG y VAL POE - AESR - ESR'!AK651</f>
        <v>0</v>
      </c>
      <c r="CD12" s="57">
        <f>'REG y VAL POE - AESR - ESR'!AL651</f>
        <v>0</v>
      </c>
      <c r="CE12" s="56">
        <f>'REG y VAL POE - AESR - ESR'!AM651</f>
        <v>0</v>
      </c>
      <c r="CF12" s="57">
        <f>'REG y VAL POE - AESR - ESR'!AN651</f>
        <v>0</v>
      </c>
      <c r="CG12" s="57">
        <f>'REG y VAL POE - AESR - ESR'!AO651</f>
        <v>0</v>
      </c>
      <c r="CH12" s="56">
        <f>'REG y VAL POE - AESR - ESR'!AP651</f>
        <v>0</v>
      </c>
      <c r="CI12" s="57">
        <f>'REG y VAL POE - AESR - ESR'!AQ651</f>
        <v>0</v>
      </c>
      <c r="CJ12" s="58">
        <f>'REG y VAL POE - AESR - ESR'!AR651</f>
        <v>0</v>
      </c>
      <c r="CK12" s="56">
        <f>'REG y VAL POE - AESR - ESR'!AS651</f>
        <v>0</v>
      </c>
      <c r="CL12" s="57" t="str">
        <f>'REG y VAL POE - AESR - ESR'!B652</f>
        <v xml:space="preserve">Hernandez Castro Jesica Maebeline </v>
      </c>
      <c r="CM12" s="57" t="str">
        <f>'REG y VAL POE - AESR - ESR'!C652</f>
        <v>Sin Registro</v>
      </c>
      <c r="CN12" s="57">
        <f>'REG y VAL POE - AESR - ESR'!D652</f>
        <v>23149021</v>
      </c>
      <c r="CO12" s="56">
        <f>'REG y VAL POE - AESR - ESR'!E652</f>
        <v>0</v>
      </c>
      <c r="CP12" s="57">
        <f>'REG y VAL POE - AESR - ESR'!F652</f>
        <v>0</v>
      </c>
      <c r="CQ12" s="57">
        <f>'REG y VAL POE - AESR - ESR'!G652</f>
        <v>0</v>
      </c>
      <c r="CR12" s="56">
        <f>'REG y VAL POE - AESR - ESR'!H652</f>
        <v>0</v>
      </c>
      <c r="CS12" s="57">
        <f>'REG y VAL POE - AESR - ESR'!I652</f>
        <v>0</v>
      </c>
      <c r="CT12" s="58">
        <f>'REG y VAL POE - AESR - ESR'!J652</f>
        <v>0</v>
      </c>
      <c r="CU12" s="56">
        <f>'REG y VAL POE - AESR - ESR'!K652</f>
        <v>0</v>
      </c>
      <c r="CV12" s="57">
        <f>'REG y VAL POE - AESR - ESR'!L652</f>
        <v>0</v>
      </c>
      <c r="CW12" s="57">
        <f>'REG y VAL POE - AESR - ESR'!M652</f>
        <v>0</v>
      </c>
      <c r="CX12" s="57">
        <f>'REG y VAL POE - AESR - ESR'!N652</f>
        <v>0</v>
      </c>
      <c r="CY12" s="56">
        <f>'REG y VAL POE - AESR - ESR'!O652</f>
        <v>0</v>
      </c>
      <c r="CZ12" s="57">
        <f>'REG y VAL POE - AESR - ESR'!P652</f>
        <v>0</v>
      </c>
      <c r="DA12" s="57">
        <f>'REG y VAL POE - AESR - ESR'!Q652</f>
        <v>0</v>
      </c>
      <c r="DB12" s="56">
        <f>'REG y VAL POE - AESR - ESR'!R652</f>
        <v>0</v>
      </c>
      <c r="DC12" s="57">
        <f>'REG y VAL POE - AESR - ESR'!S652</f>
        <v>0</v>
      </c>
      <c r="DD12" s="58">
        <f>'REG y VAL POE - AESR - ESR'!T652</f>
        <v>0</v>
      </c>
      <c r="DE12" s="56">
        <f>'REG y VAL POE - AESR - ESR'!U652</f>
        <v>0</v>
      </c>
      <c r="DF12" s="57">
        <f>'REG y VAL POE - AESR - ESR'!V652</f>
        <v>0</v>
      </c>
      <c r="DG12" s="57">
        <f>'REG y VAL POE - AESR - ESR'!W652</f>
        <v>0</v>
      </c>
      <c r="DH12" s="57">
        <f>'REG y VAL POE - AESR - ESR'!X652</f>
        <v>0</v>
      </c>
      <c r="DI12" s="56">
        <f>'REG y VAL POE - AESR - ESR'!Y652</f>
        <v>0</v>
      </c>
      <c r="DJ12" s="57">
        <f>'REG y VAL POE - AESR - ESR'!Z652</f>
        <v>0</v>
      </c>
      <c r="DK12" s="57">
        <f>'REG y VAL POE - AESR - ESR'!AA652</f>
        <v>0</v>
      </c>
      <c r="DL12" s="56">
        <f>'REG y VAL POE - AESR - ESR'!AB652</f>
        <v>0</v>
      </c>
      <c r="DM12" s="57">
        <f>'REG y VAL POE - AESR - ESR'!AC652</f>
        <v>0</v>
      </c>
      <c r="DN12" s="58">
        <f>'REG y VAL POE - AESR - ESR'!AD652</f>
        <v>0</v>
      </c>
      <c r="DO12" s="56">
        <f>'REG y VAL POE - AESR - ESR'!AE652</f>
        <v>0</v>
      </c>
      <c r="DP12" s="57">
        <f>'REG y VAL POE - AESR - ESR'!AF652</f>
        <v>0</v>
      </c>
      <c r="DQ12" s="57">
        <f>'REG y VAL POE - AESR - ESR'!AG652</f>
        <v>0</v>
      </c>
      <c r="DR12" s="57">
        <f>'REG y VAL POE - AESR - ESR'!AH652</f>
        <v>0</v>
      </c>
      <c r="DS12" s="56">
        <f>'REG y VAL POE - AESR - ESR'!AI652</f>
        <v>0</v>
      </c>
      <c r="DT12" s="57">
        <f>'REG y VAL POE - AESR - ESR'!AJ652</f>
        <v>0</v>
      </c>
      <c r="DU12" s="57">
        <f>'REG y VAL POE - AESR - ESR'!AK652</f>
        <v>0</v>
      </c>
      <c r="DV12" s="56">
        <f>'REG y VAL POE - AESR - ESR'!AL652</f>
        <v>0</v>
      </c>
      <c r="DW12" s="57">
        <f>'REG y VAL POE - AESR - ESR'!AM652</f>
        <v>0</v>
      </c>
      <c r="DX12" s="58">
        <f>'REG y VAL POE - AESR - ESR'!AN652</f>
        <v>0</v>
      </c>
      <c r="DY12" s="56">
        <f>'REG y VAL POE - AESR - ESR'!AO652</f>
        <v>0</v>
      </c>
      <c r="DZ12" s="57">
        <f>'REG y VAL POE - AESR - ESR'!AP652</f>
        <v>0</v>
      </c>
      <c r="EA12" s="57">
        <f>'REG y VAL POE - AESR - ESR'!AQ652</f>
        <v>0</v>
      </c>
      <c r="EB12" s="57">
        <f>'REG y VAL POE - AESR - ESR'!AR652</f>
        <v>0</v>
      </c>
      <c r="EC12" s="56">
        <f>'REG y VAL POE - AESR - ESR'!AS652</f>
        <v>0</v>
      </c>
      <c r="ED12" s="57" t="str">
        <f>'REG y VAL POE - AESR - ESR'!B653</f>
        <v xml:space="preserve">Jimenez Juarez Benito </v>
      </c>
      <c r="EE12" s="56" t="str">
        <f>'REG y VAL POE - AESR - ESR'!C653</f>
        <v>Sin Registro</v>
      </c>
      <c r="EF12" s="56">
        <f>'REG y VAL POE - AESR - ESR'!D653</f>
        <v>23210769</v>
      </c>
      <c r="EG12" s="57">
        <f>'REG y VAL POE - AESR - ESR'!E653</f>
        <v>0</v>
      </c>
      <c r="EH12" s="58">
        <f>'REG y VAL POE - AESR - ESR'!F653</f>
        <v>0</v>
      </c>
      <c r="EI12" s="56">
        <f>'REG y VAL POE - AESR - ESR'!G653</f>
        <v>0</v>
      </c>
      <c r="EJ12" s="57">
        <f>'REG y VAL POE - AESR - ESR'!H653</f>
        <v>0</v>
      </c>
      <c r="EK12" s="57">
        <f>'REG y VAL POE - AESR - ESR'!I653</f>
        <v>0</v>
      </c>
      <c r="EL12" s="57">
        <f>'REG y VAL POE - AESR - ESR'!J653</f>
        <v>0</v>
      </c>
      <c r="EM12" s="56">
        <f>'REG y VAL POE - AESR - ESR'!K653</f>
        <v>0</v>
      </c>
      <c r="EN12" s="57">
        <f>'REG y VAL POE - AESR - ESR'!L653</f>
        <v>0</v>
      </c>
      <c r="EO12" s="57">
        <f>'REG y VAL POE - AESR - ESR'!M653</f>
        <v>0</v>
      </c>
      <c r="EP12" s="56">
        <f>'REG y VAL POE - AESR - ESR'!N653</f>
        <v>0</v>
      </c>
      <c r="EQ12" s="57">
        <f>'REG y VAL POE - AESR - ESR'!O653</f>
        <v>0</v>
      </c>
      <c r="ER12" s="58">
        <f>'REG y VAL POE - AESR - ESR'!P653</f>
        <v>0</v>
      </c>
      <c r="ES12" s="56">
        <f>'REG y VAL POE - AESR - ESR'!Q653</f>
        <v>0</v>
      </c>
      <c r="ET12" s="57">
        <f>'REG y VAL POE - AESR - ESR'!R653</f>
        <v>0</v>
      </c>
      <c r="EU12" s="57">
        <f>'REG y VAL POE - AESR - ESR'!S653</f>
        <v>0</v>
      </c>
      <c r="EV12" s="57">
        <f>'REG y VAL POE - AESR - ESR'!T653</f>
        <v>0</v>
      </c>
      <c r="EW12" s="56">
        <f>'REG y VAL POE - AESR - ESR'!U653</f>
        <v>0</v>
      </c>
      <c r="EX12" s="57">
        <f>'REG y VAL POE - AESR - ESR'!V653</f>
        <v>0</v>
      </c>
      <c r="EY12" s="57">
        <f>'REG y VAL POE - AESR - ESR'!W653</f>
        <v>0</v>
      </c>
      <c r="EZ12" s="56">
        <f>'REG y VAL POE - AESR - ESR'!X653</f>
        <v>0</v>
      </c>
      <c r="FA12" s="57">
        <f>'REG y VAL POE - AESR - ESR'!Y653</f>
        <v>0</v>
      </c>
      <c r="FB12" s="58">
        <f>'REG y VAL POE - AESR - ESR'!Z653</f>
        <v>0</v>
      </c>
      <c r="FC12" s="56">
        <f>'REG y VAL POE - AESR - ESR'!AA653</f>
        <v>0</v>
      </c>
      <c r="FD12" s="57">
        <f>'REG y VAL POE - AESR - ESR'!AB653</f>
        <v>0</v>
      </c>
      <c r="FE12" s="57">
        <f>'REG y VAL POE - AESR - ESR'!AC653</f>
        <v>0</v>
      </c>
      <c r="FF12" s="57">
        <f>'REG y VAL POE - AESR - ESR'!AD653</f>
        <v>0</v>
      </c>
      <c r="FG12" s="56">
        <f>'REG y VAL POE - AESR - ESR'!AE653</f>
        <v>0</v>
      </c>
      <c r="FH12" s="57">
        <f>'REG y VAL POE - AESR - ESR'!AF653</f>
        <v>0</v>
      </c>
      <c r="FI12" s="57">
        <f>'REG y VAL POE - AESR - ESR'!AG653</f>
        <v>0</v>
      </c>
      <c r="FJ12" s="56">
        <f>'REG y VAL POE - AESR - ESR'!AH653</f>
        <v>0</v>
      </c>
      <c r="FK12" s="57">
        <f>'REG y VAL POE - AESR - ESR'!AI653</f>
        <v>0</v>
      </c>
      <c r="FL12" s="58">
        <f>'REG y VAL POE - AESR - ESR'!AJ653</f>
        <v>0</v>
      </c>
      <c r="FM12" s="56">
        <f>'REG y VAL POE - AESR - ESR'!AK653</f>
        <v>0</v>
      </c>
      <c r="FN12" s="57">
        <f>'REG y VAL POE - AESR - ESR'!AL653</f>
        <v>0</v>
      </c>
      <c r="FO12" s="57">
        <f>'REG y VAL POE - AESR - ESR'!AM653</f>
        <v>0</v>
      </c>
      <c r="FP12" s="57">
        <f>'REG y VAL POE - AESR - ESR'!AN653</f>
        <v>0</v>
      </c>
      <c r="FQ12" s="56">
        <f>'REG y VAL POE - AESR - ESR'!AO653</f>
        <v>0</v>
      </c>
      <c r="FR12" s="57">
        <f>'REG y VAL POE - AESR - ESR'!AP653</f>
        <v>0</v>
      </c>
      <c r="FS12" s="57">
        <f>'REG y VAL POE - AESR - ESR'!AQ653</f>
        <v>0</v>
      </c>
      <c r="FT12" s="56">
        <f>'REG y VAL POE - AESR - ESR'!AR653</f>
        <v>0</v>
      </c>
      <c r="FU12" s="57">
        <f>'REG y VAL POE - AESR - ESR'!AS653</f>
        <v>0</v>
      </c>
      <c r="FV12" s="58" t="str">
        <f>'REG y VAL POE - AESR - ESR'!B654</f>
        <v xml:space="preserve">Juarez Otero Julian Javier </v>
      </c>
      <c r="FW12" s="56" t="str">
        <f>'REG y VAL POE - AESR - ESR'!C654</f>
        <v>Sin Registro</v>
      </c>
      <c r="FX12" s="57">
        <f>'REG y VAL POE - AESR - ESR'!D654</f>
        <v>23151017</v>
      </c>
      <c r="FY12" s="57">
        <f>'REG y VAL POE - AESR - ESR'!E654</f>
        <v>0</v>
      </c>
      <c r="FZ12" s="57">
        <f>'REG y VAL POE - AESR - ESR'!F654</f>
        <v>0</v>
      </c>
      <c r="GA12" s="56">
        <f>'REG y VAL POE - AESR - ESR'!G654</f>
        <v>0</v>
      </c>
      <c r="GB12" s="57">
        <f>'REG y VAL POE - AESR - ESR'!H654</f>
        <v>0</v>
      </c>
      <c r="GC12" s="57">
        <f>'REG y VAL POE - AESR - ESR'!I654</f>
        <v>0</v>
      </c>
      <c r="GD12" s="56">
        <f>'REG y VAL POE - AESR - ESR'!J654</f>
        <v>0</v>
      </c>
      <c r="GE12" s="57">
        <f>'REG y VAL POE - AESR - ESR'!K654</f>
        <v>0</v>
      </c>
      <c r="GF12" s="58">
        <f>'REG y VAL POE - AESR - ESR'!L654</f>
        <v>0</v>
      </c>
      <c r="GG12" s="56">
        <f>'REG y VAL POE - AESR - ESR'!M654</f>
        <v>0</v>
      </c>
      <c r="GH12" s="57">
        <f>'REG y VAL POE - AESR - ESR'!N654</f>
        <v>0</v>
      </c>
      <c r="GI12" s="57">
        <f>'REG y VAL POE - AESR - ESR'!O654</f>
        <v>0</v>
      </c>
      <c r="GJ12" s="57">
        <f>'REG y VAL POE - AESR - ESR'!P654</f>
        <v>0</v>
      </c>
      <c r="GK12" s="56">
        <f>'REG y VAL POE - AESR - ESR'!Q654</f>
        <v>0</v>
      </c>
      <c r="GL12" s="57">
        <f>'REG y VAL POE - AESR - ESR'!R654</f>
        <v>0</v>
      </c>
      <c r="GM12" s="57">
        <f>'REG y VAL POE - AESR - ESR'!S654</f>
        <v>0</v>
      </c>
      <c r="GN12" s="56">
        <f>'REG y VAL POE - AESR - ESR'!T654</f>
        <v>0</v>
      </c>
      <c r="GO12" s="57">
        <f>'REG y VAL POE - AESR - ESR'!U654</f>
        <v>0</v>
      </c>
      <c r="GP12" s="58">
        <f>'REG y VAL POE - AESR - ESR'!V654</f>
        <v>0</v>
      </c>
      <c r="GQ12" s="56">
        <f>'REG y VAL POE - AESR - ESR'!W654</f>
        <v>0</v>
      </c>
      <c r="GR12" s="57">
        <f>'REG y VAL POE - AESR - ESR'!X654</f>
        <v>0</v>
      </c>
      <c r="GS12" s="57">
        <f>'REG y VAL POE - AESR - ESR'!Y654</f>
        <v>0</v>
      </c>
      <c r="GT12" s="57">
        <f>'REG y VAL POE - AESR - ESR'!Z654</f>
        <v>0</v>
      </c>
      <c r="GU12" s="56">
        <f>'REG y VAL POE - AESR - ESR'!AA654</f>
        <v>0</v>
      </c>
      <c r="GV12" s="57">
        <f>'REG y VAL POE - AESR - ESR'!AB654</f>
        <v>0</v>
      </c>
      <c r="GW12" s="57">
        <f>'REG y VAL POE - AESR - ESR'!AC654</f>
        <v>0</v>
      </c>
      <c r="GX12" s="56">
        <f>'REG y VAL POE - AESR - ESR'!AD654</f>
        <v>0</v>
      </c>
      <c r="GY12" s="57">
        <f>'REG y VAL POE - AESR - ESR'!AE654</f>
        <v>0</v>
      </c>
      <c r="GZ12" s="58">
        <f>'REG y VAL POE - AESR - ESR'!AF654</f>
        <v>0</v>
      </c>
      <c r="HA12" s="56">
        <f>'REG y VAL POE - AESR - ESR'!AG654</f>
        <v>0</v>
      </c>
      <c r="HB12" s="57">
        <f>'REG y VAL POE - AESR - ESR'!AH654</f>
        <v>0</v>
      </c>
      <c r="HC12" s="57">
        <f>'REG y VAL POE - AESR - ESR'!AI654</f>
        <v>0</v>
      </c>
      <c r="HD12" s="57">
        <f>'REG y VAL POE - AESR - ESR'!AJ654</f>
        <v>0</v>
      </c>
      <c r="HE12" s="56">
        <f>'REG y VAL POE - AESR - ESR'!AK654</f>
        <v>0</v>
      </c>
      <c r="HF12" s="57">
        <f>'REG y VAL POE - AESR - ESR'!AL654</f>
        <v>0</v>
      </c>
      <c r="HG12" s="57">
        <f>'REG y VAL POE - AESR - ESR'!AM654</f>
        <v>0</v>
      </c>
      <c r="HH12" s="56">
        <f>'REG y VAL POE - AESR - ESR'!AN654</f>
        <v>0</v>
      </c>
      <c r="HI12" s="57">
        <f>'REG y VAL POE - AESR - ESR'!AO654</f>
        <v>0</v>
      </c>
      <c r="HJ12" s="58">
        <f>'REG y VAL POE - AESR - ESR'!AP654</f>
        <v>0</v>
      </c>
      <c r="HK12" s="56">
        <f>'REG y VAL POE - AESR - ESR'!AQ654</f>
        <v>0</v>
      </c>
      <c r="HL12" s="57">
        <f>'REG y VAL POE - AESR - ESR'!AR654</f>
        <v>0</v>
      </c>
      <c r="HM12" s="57">
        <f>'REG y VAL POE - AESR - ESR'!AS654</f>
        <v>0</v>
      </c>
      <c r="HN12" s="57" t="str">
        <f>'REG y VAL POE - AESR - ESR'!B655</f>
        <v xml:space="preserve">Montalvo Cruz Harvey Francisco </v>
      </c>
      <c r="HO12" s="56" t="str">
        <f>'REG y VAL POE - AESR - ESR'!C655</f>
        <v>Sin Registro</v>
      </c>
      <c r="HP12" s="57">
        <f>'REG y VAL POE - AESR - ESR'!D655</f>
        <v>23207820</v>
      </c>
      <c r="HQ12" s="57">
        <f>'REG y VAL POE - AESR - ESR'!E655</f>
        <v>0</v>
      </c>
      <c r="HR12" s="56">
        <f>'REG y VAL POE - AESR - ESR'!F655</f>
        <v>0</v>
      </c>
      <c r="HS12" s="57">
        <f>'REG y VAL POE - AESR - ESR'!G655</f>
        <v>0</v>
      </c>
      <c r="HT12" s="58">
        <f>'REG y VAL POE - AESR - ESR'!H655</f>
        <v>0</v>
      </c>
      <c r="HU12" s="56">
        <f>'REG y VAL POE - AESR - ESR'!I655</f>
        <v>0</v>
      </c>
      <c r="HV12" s="57">
        <f>'REG y VAL POE - AESR - ESR'!J655</f>
        <v>0</v>
      </c>
      <c r="HW12" s="57">
        <f>'REG y VAL POE - AESR - ESR'!K655</f>
        <v>0</v>
      </c>
      <c r="HX12" s="57">
        <f>'REG y VAL POE - AESR - ESR'!L655</f>
        <v>0</v>
      </c>
      <c r="HY12" s="56">
        <f>'REG y VAL POE - AESR - ESR'!M655</f>
        <v>0</v>
      </c>
      <c r="HZ12" s="57">
        <f>'REG y VAL POE - AESR - ESR'!N655</f>
        <v>0</v>
      </c>
      <c r="IA12" s="57">
        <f>'REG y VAL POE - AESR - ESR'!O655</f>
        <v>0</v>
      </c>
      <c r="IB12" s="56">
        <f>'REG y VAL POE - AESR - ESR'!P655</f>
        <v>0</v>
      </c>
      <c r="IC12" s="57">
        <f>'REG y VAL POE - AESR - ESR'!Q655</f>
        <v>0</v>
      </c>
      <c r="ID12" s="58">
        <f>'REG y VAL POE - AESR - ESR'!R655</f>
        <v>0</v>
      </c>
      <c r="IE12" s="56">
        <f>'REG y VAL POE - AESR - ESR'!S655</f>
        <v>0</v>
      </c>
      <c r="IF12" s="57">
        <f>'REG y VAL POE - AESR - ESR'!T655</f>
        <v>0</v>
      </c>
      <c r="IG12" s="57">
        <f>'REG y VAL POE - AESR - ESR'!U655</f>
        <v>0</v>
      </c>
      <c r="IH12" s="57">
        <f>'REG y VAL POE - AESR - ESR'!V655</f>
        <v>0</v>
      </c>
      <c r="II12" s="56">
        <f>'REG y VAL POE - AESR - ESR'!W655</f>
        <v>0</v>
      </c>
      <c r="IJ12" s="57">
        <f>'REG y VAL POE - AESR - ESR'!X655</f>
        <v>0</v>
      </c>
      <c r="IK12" s="57">
        <f>'REG y VAL POE - AESR - ESR'!Y655</f>
        <v>0</v>
      </c>
      <c r="IL12" s="56">
        <f>'REG y VAL POE - AESR - ESR'!Z655</f>
        <v>0</v>
      </c>
      <c r="IM12" s="57">
        <f>'REG y VAL POE - AESR - ESR'!AA655</f>
        <v>0</v>
      </c>
      <c r="IN12" s="58">
        <f>'REG y VAL POE - AESR - ESR'!AB655</f>
        <v>0</v>
      </c>
      <c r="IO12" s="56">
        <f>'REG y VAL POE - AESR - ESR'!AC655</f>
        <v>0</v>
      </c>
      <c r="IP12" s="57">
        <f>'REG y VAL POE - AESR - ESR'!AD655</f>
        <v>0</v>
      </c>
      <c r="IQ12" s="57">
        <f>'REG y VAL POE - AESR - ESR'!AE655</f>
        <v>0</v>
      </c>
      <c r="IR12" s="57">
        <f>'REG y VAL POE - AESR - ESR'!AF655</f>
        <v>0</v>
      </c>
      <c r="IS12" s="56">
        <f>'REG y VAL POE - AESR - ESR'!AG655</f>
        <v>0</v>
      </c>
      <c r="IT12" s="57">
        <f>'REG y VAL POE - AESR - ESR'!AH655</f>
        <v>0</v>
      </c>
      <c r="IU12" s="57">
        <f>'REG y VAL POE - AESR - ESR'!AI655</f>
        <v>0</v>
      </c>
      <c r="IV12" s="56">
        <f>'REG y VAL POE - AESR - ESR'!AJ655</f>
        <v>0</v>
      </c>
      <c r="IW12" s="57">
        <f>'REG y VAL POE - AESR - ESR'!AK655</f>
        <v>0</v>
      </c>
      <c r="IX12" s="58">
        <f>'REG y VAL POE - AESR - ESR'!AL655</f>
        <v>0</v>
      </c>
      <c r="IY12" s="56">
        <f>'REG y VAL POE - AESR - ESR'!AM655</f>
        <v>0</v>
      </c>
      <c r="IZ12" s="57">
        <f>'REG y VAL POE - AESR - ESR'!AN655</f>
        <v>0</v>
      </c>
      <c r="JA12" s="57">
        <f>'REG y VAL POE - AESR - ESR'!AO655</f>
        <v>0</v>
      </c>
      <c r="JB12" s="57">
        <f>'REG y VAL POE - AESR - ESR'!AP655</f>
        <v>0</v>
      </c>
      <c r="JC12" s="56">
        <f>'REG y VAL POE - AESR - ESR'!AQ655</f>
        <v>0</v>
      </c>
      <c r="JD12" s="57">
        <f>'REG y VAL POE - AESR - ESR'!AR655</f>
        <v>0</v>
      </c>
      <c r="JE12" s="57">
        <f>'REG y VAL POE - AESR - ESR'!AS655</f>
        <v>0</v>
      </c>
      <c r="JF12" s="56" t="str">
        <f>'REG y VAL POE - AESR - ESR'!B656</f>
        <v xml:space="preserve">Morales Cruz Omar </v>
      </c>
      <c r="JG12" s="57" t="str">
        <f>'REG y VAL POE - AESR - ESR'!C656</f>
        <v>Sin Registro</v>
      </c>
      <c r="JH12" s="58">
        <f>'REG y VAL POE - AESR - ESR'!D656</f>
        <v>23149523</v>
      </c>
      <c r="JI12" s="56">
        <f>'REG y VAL POE - AESR - ESR'!E656</f>
        <v>0</v>
      </c>
      <c r="JJ12" s="57">
        <f>'REG y VAL POE - AESR - ESR'!F656</f>
        <v>0</v>
      </c>
      <c r="JK12" s="57">
        <f>'REG y VAL POE - AESR - ESR'!G656</f>
        <v>0</v>
      </c>
      <c r="JL12" s="57">
        <f>'REG y VAL POE - AESR - ESR'!H656</f>
        <v>0</v>
      </c>
      <c r="JM12" s="56">
        <f>'REG y VAL POE - AESR - ESR'!I656</f>
        <v>0</v>
      </c>
      <c r="JN12" s="57">
        <f>'REG y VAL POE - AESR - ESR'!J656</f>
        <v>0</v>
      </c>
      <c r="JO12" s="57">
        <f>'REG y VAL POE - AESR - ESR'!K656</f>
        <v>0</v>
      </c>
      <c r="JP12" s="56">
        <f>'REG y VAL POE - AESR - ESR'!L656</f>
        <v>0</v>
      </c>
      <c r="JQ12" s="57">
        <f>'REG y VAL POE - AESR - ESR'!M656</f>
        <v>0</v>
      </c>
      <c r="JR12" s="58">
        <f>'REG y VAL POE - AESR - ESR'!N656</f>
        <v>0</v>
      </c>
      <c r="JS12" s="56">
        <f>'REG y VAL POE - AESR - ESR'!O656</f>
        <v>0</v>
      </c>
      <c r="JT12" s="57">
        <f>'REG y VAL POE - AESR - ESR'!P656</f>
        <v>0</v>
      </c>
      <c r="JU12" s="57">
        <f>'REG y VAL POE - AESR - ESR'!Q656</f>
        <v>0</v>
      </c>
      <c r="JV12" s="57">
        <f>'REG y VAL POE - AESR - ESR'!R656</f>
        <v>0</v>
      </c>
      <c r="JW12" s="56">
        <f>'REG y VAL POE - AESR - ESR'!S656</f>
        <v>0</v>
      </c>
      <c r="JX12" s="57">
        <f>'REG y VAL POE - AESR - ESR'!T656</f>
        <v>0</v>
      </c>
      <c r="JY12" s="57">
        <f>'REG y VAL POE - AESR - ESR'!U656</f>
        <v>0</v>
      </c>
      <c r="JZ12" s="56">
        <f>'REG y VAL POE - AESR - ESR'!V656</f>
        <v>0</v>
      </c>
      <c r="KA12" s="57">
        <f>'REG y VAL POE - AESR - ESR'!W656</f>
        <v>0</v>
      </c>
      <c r="KB12" s="58">
        <f>'REG y VAL POE - AESR - ESR'!X656</f>
        <v>0</v>
      </c>
      <c r="KC12" s="56">
        <f>'REG y VAL POE - AESR - ESR'!Y656</f>
        <v>0</v>
      </c>
      <c r="KD12" s="57">
        <f>'REG y VAL POE - AESR - ESR'!Z656</f>
        <v>0</v>
      </c>
      <c r="KE12" s="57">
        <f>'REG y VAL POE - AESR - ESR'!AA656</f>
        <v>0</v>
      </c>
      <c r="KF12" s="57">
        <f>'REG y VAL POE - AESR - ESR'!AB656</f>
        <v>0</v>
      </c>
      <c r="KG12" s="56">
        <f>'REG y VAL POE - AESR - ESR'!AC656</f>
        <v>0</v>
      </c>
      <c r="KH12" s="57">
        <f>'REG y VAL POE - AESR - ESR'!AD656</f>
        <v>0</v>
      </c>
      <c r="KI12" s="57">
        <f>'REG y VAL POE - AESR - ESR'!AE656</f>
        <v>0</v>
      </c>
      <c r="KJ12" s="56">
        <f>'REG y VAL POE - AESR - ESR'!AF656</f>
        <v>0</v>
      </c>
      <c r="KK12" s="57">
        <f>'REG y VAL POE - AESR - ESR'!AG656</f>
        <v>0</v>
      </c>
      <c r="KL12" s="58">
        <f>'REG y VAL POE - AESR - ESR'!AH656</f>
        <v>0</v>
      </c>
      <c r="KM12" s="56">
        <f>'REG y VAL POE - AESR - ESR'!AI656</f>
        <v>0</v>
      </c>
      <c r="KN12" s="57">
        <f>'REG y VAL POE - AESR - ESR'!AJ656</f>
        <v>0</v>
      </c>
      <c r="KO12" s="57">
        <f>'REG y VAL POE - AESR - ESR'!AK656</f>
        <v>0</v>
      </c>
      <c r="KP12" s="57">
        <f>'REG y VAL POE - AESR - ESR'!AL656</f>
        <v>0</v>
      </c>
      <c r="KQ12" s="56">
        <f>'REG y VAL POE - AESR - ESR'!AM656</f>
        <v>0</v>
      </c>
      <c r="KR12" s="57">
        <f>'REG y VAL POE - AESR - ESR'!AN656</f>
        <v>0</v>
      </c>
      <c r="KS12" s="57">
        <f>'REG y VAL POE - AESR - ESR'!AO656</f>
        <v>0</v>
      </c>
      <c r="KT12" s="56">
        <f>'REG y VAL POE - AESR - ESR'!AP656</f>
        <v>0</v>
      </c>
      <c r="KU12" s="57">
        <f>'REG y VAL POE - AESR - ESR'!AQ656</f>
        <v>0</v>
      </c>
      <c r="KV12" s="58">
        <f>'REG y VAL POE - AESR - ESR'!AR656</f>
        <v>0</v>
      </c>
      <c r="KW12" s="56">
        <f>'REG y VAL POE - AESR - ESR'!AS656</f>
        <v>0</v>
      </c>
      <c r="KX12" s="57" t="str">
        <f>'REG y VAL POE - AESR - ESR'!B657</f>
        <v xml:space="preserve">Palacios Moguel Antonio </v>
      </c>
      <c r="KY12" s="57" t="str">
        <f>'REG y VAL POE - AESR - ESR'!C657</f>
        <v>Sin Registro</v>
      </c>
      <c r="KZ12" s="57">
        <f>'REG y VAL POE - AESR - ESR'!D657</f>
        <v>23209539</v>
      </c>
      <c r="LA12" s="56">
        <f>'REG y VAL POE - AESR - ESR'!E657</f>
        <v>0</v>
      </c>
      <c r="LB12" s="57">
        <f>'REG y VAL POE - AESR - ESR'!F657</f>
        <v>0</v>
      </c>
      <c r="LC12" s="57">
        <f>'REG y VAL POE - AESR - ESR'!G657</f>
        <v>0</v>
      </c>
      <c r="LD12" s="56">
        <f>'REG y VAL POE - AESR - ESR'!H657</f>
        <v>0</v>
      </c>
      <c r="LE12" s="57">
        <f>'REG y VAL POE - AESR - ESR'!I657</f>
        <v>0</v>
      </c>
      <c r="LF12" s="58">
        <f>'REG y VAL POE - AESR - ESR'!J657</f>
        <v>0</v>
      </c>
      <c r="LG12" s="56">
        <f>'REG y VAL POE - AESR - ESR'!K657</f>
        <v>0</v>
      </c>
      <c r="LH12" s="57">
        <f>'REG y VAL POE - AESR - ESR'!L657</f>
        <v>0</v>
      </c>
      <c r="LI12" s="57">
        <f>'REG y VAL POE - AESR - ESR'!M657</f>
        <v>0</v>
      </c>
      <c r="LJ12" s="57">
        <f>'REG y VAL POE - AESR - ESR'!N657</f>
        <v>0</v>
      </c>
      <c r="LK12" s="56">
        <f>'REG y VAL POE - AESR - ESR'!O657</f>
        <v>0</v>
      </c>
      <c r="LL12" s="57">
        <f>'REG y VAL POE - AESR - ESR'!P657</f>
        <v>0</v>
      </c>
      <c r="LM12" s="57">
        <f>'REG y VAL POE - AESR - ESR'!Q657</f>
        <v>0</v>
      </c>
      <c r="LN12" s="56">
        <f>'REG y VAL POE - AESR - ESR'!R657</f>
        <v>0</v>
      </c>
      <c r="LO12" s="57">
        <f>'REG y VAL POE - AESR - ESR'!S657</f>
        <v>0</v>
      </c>
      <c r="LP12" s="58">
        <f>'REG y VAL POE - AESR - ESR'!T657</f>
        <v>0</v>
      </c>
      <c r="LQ12" s="56">
        <f>'REG y VAL POE - AESR - ESR'!U657</f>
        <v>0</v>
      </c>
      <c r="LR12" s="57">
        <f>'REG y VAL POE - AESR - ESR'!V657</f>
        <v>0</v>
      </c>
      <c r="LS12" s="57">
        <f>'REG y VAL POE - AESR - ESR'!W657</f>
        <v>0</v>
      </c>
      <c r="LT12" s="57">
        <f>'REG y VAL POE - AESR - ESR'!X657</f>
        <v>0</v>
      </c>
      <c r="LU12" s="56">
        <f>'REG y VAL POE - AESR - ESR'!Y657</f>
        <v>0</v>
      </c>
      <c r="LV12" s="57">
        <f>'REG y VAL POE - AESR - ESR'!Z657</f>
        <v>0</v>
      </c>
      <c r="LW12" s="57">
        <f>'REG y VAL POE - AESR - ESR'!AA657</f>
        <v>0</v>
      </c>
      <c r="LX12" s="56">
        <f>'REG y VAL POE - AESR - ESR'!AB657</f>
        <v>0</v>
      </c>
      <c r="LY12" s="57">
        <f>'REG y VAL POE - AESR - ESR'!AC657</f>
        <v>0</v>
      </c>
      <c r="LZ12" s="58">
        <f>'REG y VAL POE - AESR - ESR'!AD657</f>
        <v>0</v>
      </c>
      <c r="MA12" s="56">
        <f>'REG y VAL POE - AESR - ESR'!AE657</f>
        <v>0</v>
      </c>
      <c r="MB12" s="57">
        <f>'REG y VAL POE - AESR - ESR'!AF657</f>
        <v>0</v>
      </c>
      <c r="MC12" s="57">
        <f>'REG y VAL POE - AESR - ESR'!AG657</f>
        <v>0</v>
      </c>
      <c r="MD12" s="57">
        <f>'REG y VAL POE - AESR - ESR'!AH657</f>
        <v>0</v>
      </c>
      <c r="ME12" s="56">
        <f>'REG y VAL POE - AESR - ESR'!AI657</f>
        <v>0</v>
      </c>
      <c r="MF12" s="57">
        <f>'REG y VAL POE - AESR - ESR'!AJ657</f>
        <v>0</v>
      </c>
      <c r="MG12" s="57">
        <f>'REG y VAL POE - AESR - ESR'!AK657</f>
        <v>0</v>
      </c>
      <c r="MH12" s="56">
        <f>'REG y VAL POE - AESR - ESR'!AL657</f>
        <v>0</v>
      </c>
      <c r="MI12" s="57">
        <f>'REG y VAL POE - AESR - ESR'!AM657</f>
        <v>0</v>
      </c>
      <c r="MJ12" s="58">
        <f>'REG y VAL POE - AESR - ESR'!AN657</f>
        <v>0</v>
      </c>
      <c r="MK12" s="56">
        <f>'REG y VAL POE - AESR - ESR'!AO657</f>
        <v>0</v>
      </c>
      <c r="ML12" s="57">
        <f>'REG y VAL POE - AESR - ESR'!AP657</f>
        <v>0</v>
      </c>
      <c r="MM12" s="57">
        <f>'REG y VAL POE - AESR - ESR'!AQ657</f>
        <v>0</v>
      </c>
      <c r="MN12" s="57">
        <f>'REG y VAL POE - AESR - ESR'!AR657</f>
        <v>0</v>
      </c>
      <c r="MO12" s="56">
        <f>'REG y VAL POE - AESR - ESR'!AS657</f>
        <v>0</v>
      </c>
      <c r="MP12" s="57" t="str">
        <f>'REG y VAL POE - AESR - ESR'!B658</f>
        <v xml:space="preserve">Perales Mata Fernando Gustavo </v>
      </c>
      <c r="MQ12" s="57" t="str">
        <f>'REG y VAL POE - AESR - ESR'!C658</f>
        <v>Sin Registro</v>
      </c>
      <c r="MR12" s="56">
        <f>'REG y VAL POE - AESR - ESR'!D658</f>
        <v>23207541</v>
      </c>
      <c r="MS12" s="57">
        <f>'REG y VAL POE - AESR - ESR'!E658</f>
        <v>0</v>
      </c>
      <c r="MT12" s="58">
        <f>'REG y VAL POE - AESR - ESR'!F658</f>
        <v>0</v>
      </c>
      <c r="MU12" s="56">
        <f>'REG y VAL POE - AESR - ESR'!G658</f>
        <v>0</v>
      </c>
      <c r="MV12" s="57">
        <f>'REG y VAL POE - AESR - ESR'!H658</f>
        <v>0</v>
      </c>
      <c r="MW12" s="57">
        <f>'REG y VAL POE - AESR - ESR'!I658</f>
        <v>0</v>
      </c>
      <c r="MX12" s="57">
        <f>'REG y VAL POE - AESR - ESR'!J658</f>
        <v>0</v>
      </c>
      <c r="MY12" s="56">
        <f>'REG y VAL POE - AESR - ESR'!K658</f>
        <v>0</v>
      </c>
      <c r="MZ12" s="57">
        <f>'REG y VAL POE - AESR - ESR'!L658</f>
        <v>0</v>
      </c>
      <c r="NA12" s="57">
        <f>'REG y VAL POE - AESR - ESR'!M658</f>
        <v>0</v>
      </c>
      <c r="NB12" s="56">
        <f>'REG y VAL POE - AESR - ESR'!N658</f>
        <v>0</v>
      </c>
      <c r="NC12" s="57">
        <f>'REG y VAL POE - AESR - ESR'!O658</f>
        <v>0</v>
      </c>
      <c r="ND12" s="58">
        <f>'REG y VAL POE - AESR - ESR'!P658</f>
        <v>0</v>
      </c>
      <c r="NE12" s="56">
        <f>'REG y VAL POE - AESR - ESR'!Q658</f>
        <v>0</v>
      </c>
      <c r="NF12" s="57">
        <f>'REG y VAL POE - AESR - ESR'!R658</f>
        <v>0</v>
      </c>
      <c r="NG12" s="57">
        <f>'REG y VAL POE - AESR - ESR'!S658</f>
        <v>0</v>
      </c>
      <c r="NH12" s="57">
        <f>'REG y VAL POE - AESR - ESR'!T658</f>
        <v>0</v>
      </c>
      <c r="NI12" s="56">
        <f>'REG y VAL POE - AESR - ESR'!U658</f>
        <v>0</v>
      </c>
      <c r="NJ12" s="57">
        <f>'REG y VAL POE - AESR - ESR'!V658</f>
        <v>0</v>
      </c>
      <c r="NK12" s="57">
        <f>'REG y VAL POE - AESR - ESR'!W658</f>
        <v>0</v>
      </c>
      <c r="NL12" s="56">
        <f>'REG y VAL POE - AESR - ESR'!X658</f>
        <v>0</v>
      </c>
      <c r="NM12" s="57">
        <f>'REG y VAL POE - AESR - ESR'!Y658</f>
        <v>0</v>
      </c>
      <c r="NN12" s="58">
        <f>'REG y VAL POE - AESR - ESR'!Z658</f>
        <v>0</v>
      </c>
      <c r="NO12" s="56">
        <f>'REG y VAL POE - AESR - ESR'!AA658</f>
        <v>0</v>
      </c>
      <c r="NP12" s="57">
        <f>'REG y VAL POE - AESR - ESR'!AB658</f>
        <v>0</v>
      </c>
      <c r="NQ12" s="57">
        <f>'REG y VAL POE - AESR - ESR'!AC658</f>
        <v>0</v>
      </c>
      <c r="NR12" s="57">
        <f>'REG y VAL POE - AESR - ESR'!AD658</f>
        <v>0</v>
      </c>
      <c r="NS12" s="56">
        <f>'REG y VAL POE - AESR - ESR'!AE658</f>
        <v>0</v>
      </c>
      <c r="NT12" s="57">
        <f>'REG y VAL POE - AESR - ESR'!AF658</f>
        <v>0</v>
      </c>
      <c r="NU12" s="57">
        <f>'REG y VAL POE - AESR - ESR'!AG658</f>
        <v>0</v>
      </c>
      <c r="NV12" s="56">
        <f>'REG y VAL POE - AESR - ESR'!AH658</f>
        <v>0</v>
      </c>
      <c r="NW12" s="57">
        <f>'REG y VAL POE - AESR - ESR'!AI658</f>
        <v>0</v>
      </c>
      <c r="NX12" s="58">
        <f>'REG y VAL POE - AESR - ESR'!AJ658</f>
        <v>0</v>
      </c>
      <c r="NY12" s="56">
        <f>'REG y VAL POE - AESR - ESR'!AK658</f>
        <v>0</v>
      </c>
      <c r="NZ12" s="57">
        <f>'REG y VAL POE - AESR - ESR'!AL658</f>
        <v>0</v>
      </c>
      <c r="OA12" s="57">
        <f>'REG y VAL POE - AESR - ESR'!AM658</f>
        <v>0</v>
      </c>
      <c r="OB12" s="57">
        <f>'REG y VAL POE - AESR - ESR'!AN658</f>
        <v>0</v>
      </c>
      <c r="OC12" s="56">
        <f>'REG y VAL POE - AESR - ESR'!AO658</f>
        <v>0</v>
      </c>
      <c r="OD12" s="57">
        <f>'REG y VAL POE - AESR - ESR'!AP658</f>
        <v>0</v>
      </c>
      <c r="OE12" s="57">
        <f>'REG y VAL POE - AESR - ESR'!AQ658</f>
        <v>0</v>
      </c>
      <c r="OF12" s="58">
        <f>'REG y VAL POE - AESR - ESR'!AR658</f>
        <v>0</v>
      </c>
      <c r="OG12" s="58">
        <f>'REG y VAL POE - AESR - ESR'!AS658</f>
        <v>0</v>
      </c>
      <c r="OH12" s="58" t="str">
        <f>'REG y VAL POE - AESR - ESR'!B659</f>
        <v xml:space="preserve">Perez Isidoro David </v>
      </c>
      <c r="OI12" s="56" t="str">
        <f>'REG y VAL POE - AESR - ESR'!C659</f>
        <v>Sin Registro</v>
      </c>
      <c r="OJ12" s="58">
        <f>'REG y VAL POE - AESR - ESR'!D659</f>
        <v>23157158</v>
      </c>
      <c r="OK12" s="58">
        <f>'REG y VAL POE - AESR - ESR'!E659</f>
        <v>0</v>
      </c>
      <c r="OL12" s="58">
        <f>'REG y VAL POE - AESR - ESR'!F659</f>
        <v>0</v>
      </c>
      <c r="OM12" s="58">
        <f>'REG y VAL POE - AESR - ESR'!G659</f>
        <v>0</v>
      </c>
      <c r="ON12" s="58">
        <f>'REG y VAL POE - AESR - ESR'!H659</f>
        <v>0</v>
      </c>
      <c r="OO12" s="58">
        <f>'REG y VAL POE - AESR - ESR'!I659</f>
        <v>0</v>
      </c>
      <c r="OP12" s="56">
        <f>'REG y VAL POE - AESR - ESR'!J659</f>
        <v>0</v>
      </c>
      <c r="OQ12" s="57">
        <f>'REG y VAL POE - AESR - ESR'!K659</f>
        <v>0</v>
      </c>
      <c r="OR12" s="58">
        <f>'REG y VAL POE - AESR - ESR'!L659</f>
        <v>0</v>
      </c>
      <c r="OS12" s="56">
        <f>'REG y VAL POE - AESR - ESR'!M659</f>
        <v>0</v>
      </c>
      <c r="OT12" s="57">
        <f>'REG y VAL POE - AESR - ESR'!N659</f>
        <v>0</v>
      </c>
      <c r="OU12" s="57">
        <f>'REG y VAL POE - AESR - ESR'!O659</f>
        <v>0</v>
      </c>
      <c r="OV12" s="57">
        <f>'REG y VAL POE - AESR - ESR'!P659</f>
        <v>0</v>
      </c>
      <c r="OW12" s="56">
        <f>'REG y VAL POE - AESR - ESR'!Q659</f>
        <v>0</v>
      </c>
      <c r="OX12" s="57">
        <f>'REG y VAL POE - AESR - ESR'!R659</f>
        <v>0</v>
      </c>
      <c r="OY12" s="57">
        <f>'REG y VAL POE - AESR - ESR'!S659</f>
        <v>0</v>
      </c>
      <c r="OZ12" s="56">
        <f>'REG y VAL POE - AESR - ESR'!T659</f>
        <v>0</v>
      </c>
      <c r="PA12" s="57">
        <f>'REG y VAL POE - AESR - ESR'!U659</f>
        <v>0</v>
      </c>
      <c r="PB12" s="58">
        <f>'REG y VAL POE - AESR - ESR'!V659</f>
        <v>0</v>
      </c>
      <c r="PC12" s="56">
        <f>'REG y VAL POE - AESR - ESR'!W659</f>
        <v>0</v>
      </c>
      <c r="PD12" s="57">
        <f>'REG y VAL POE - AESR - ESR'!X659</f>
        <v>0</v>
      </c>
      <c r="PE12" s="57">
        <f>'REG y VAL POE - AESR - ESR'!Y659</f>
        <v>0</v>
      </c>
      <c r="PF12" s="57">
        <f>'REG y VAL POE - AESR - ESR'!Z659</f>
        <v>0</v>
      </c>
      <c r="PG12" s="56">
        <f>'REG y VAL POE - AESR - ESR'!AA659</f>
        <v>0</v>
      </c>
      <c r="PH12" s="57">
        <f>'REG y VAL POE - AESR - ESR'!AB659</f>
        <v>0</v>
      </c>
      <c r="PI12" s="57">
        <f>'REG y VAL POE - AESR - ESR'!AC659</f>
        <v>0</v>
      </c>
      <c r="PJ12" s="56">
        <f>'REG y VAL POE - AESR - ESR'!AD659</f>
        <v>0</v>
      </c>
      <c r="PK12" s="57">
        <f>'REG y VAL POE - AESR - ESR'!AE659</f>
        <v>0</v>
      </c>
      <c r="PL12" s="58">
        <f>'REG y VAL POE - AESR - ESR'!AF659</f>
        <v>0</v>
      </c>
      <c r="PM12" s="56">
        <f>'REG y VAL POE - AESR - ESR'!AG659</f>
        <v>0</v>
      </c>
      <c r="PN12" s="57">
        <f>'REG y VAL POE - AESR - ESR'!AH659</f>
        <v>0</v>
      </c>
      <c r="PO12" s="57">
        <f>'REG y VAL POE - AESR - ESR'!AI659</f>
        <v>0</v>
      </c>
      <c r="PP12" s="57">
        <f>'REG y VAL POE - AESR - ESR'!AJ659</f>
        <v>0</v>
      </c>
      <c r="PQ12" s="56">
        <f>'REG y VAL POE - AESR - ESR'!AK659</f>
        <v>0</v>
      </c>
      <c r="PR12" s="57">
        <f>'REG y VAL POE - AESR - ESR'!AL659</f>
        <v>0</v>
      </c>
      <c r="PS12" s="57">
        <f>'REG y VAL POE - AESR - ESR'!AM659</f>
        <v>0</v>
      </c>
      <c r="PT12" s="56">
        <f>'REG y VAL POE - AESR - ESR'!AN659</f>
        <v>0</v>
      </c>
      <c r="PU12" s="57">
        <f>'REG y VAL POE - AESR - ESR'!AO659</f>
        <v>0</v>
      </c>
      <c r="PV12" s="58">
        <f>'REG y VAL POE - AESR - ESR'!AP659</f>
        <v>0</v>
      </c>
      <c r="PW12" s="56">
        <f>'REG y VAL POE - AESR - ESR'!AQ659</f>
        <v>0</v>
      </c>
      <c r="PX12" s="57">
        <f>'REG y VAL POE - AESR - ESR'!AR659</f>
        <v>0</v>
      </c>
      <c r="PY12" s="57">
        <f>'REG y VAL POE - AESR - ESR'!AS659</f>
        <v>0</v>
      </c>
      <c r="PZ12" s="57" t="str">
        <f>'REG y VAL POE - AESR - ESR'!B660</f>
        <v xml:space="preserve">Pestana Flores Pablo Cesar </v>
      </c>
      <c r="QA12" s="56" t="str">
        <f>'REG y VAL POE - AESR - ESR'!C660</f>
        <v>Sin Registro</v>
      </c>
      <c r="QB12" s="57">
        <f>'REG y VAL POE - AESR - ESR'!D660</f>
        <v>23210182</v>
      </c>
      <c r="QC12" s="57">
        <f>'REG y VAL POE - AESR - ESR'!E660</f>
        <v>0</v>
      </c>
      <c r="QD12" s="56">
        <f>'REG y VAL POE - AESR - ESR'!F660</f>
        <v>0</v>
      </c>
      <c r="QE12" s="57">
        <f>'REG y VAL POE - AESR - ESR'!G660</f>
        <v>0</v>
      </c>
      <c r="QF12" s="58">
        <f>'REG y VAL POE - AESR - ESR'!H660</f>
        <v>0</v>
      </c>
      <c r="QG12" s="56">
        <f>'REG y VAL POE - AESR - ESR'!I660</f>
        <v>0</v>
      </c>
      <c r="QH12" s="57">
        <f>'REG y VAL POE - AESR - ESR'!J660</f>
        <v>0</v>
      </c>
      <c r="QI12" s="57">
        <f>'REG y VAL POE - AESR - ESR'!K660</f>
        <v>0</v>
      </c>
      <c r="QJ12" s="57">
        <f>'REG y VAL POE - AESR - ESR'!L660</f>
        <v>0</v>
      </c>
      <c r="QK12" s="56">
        <f>'REG y VAL POE - AESR - ESR'!M660</f>
        <v>0</v>
      </c>
      <c r="QL12" s="57">
        <f>'REG y VAL POE - AESR - ESR'!N660</f>
        <v>0</v>
      </c>
      <c r="QM12" s="57">
        <f>'REG y VAL POE - AESR - ESR'!O660</f>
        <v>0</v>
      </c>
      <c r="QN12" s="56">
        <f>'REG y VAL POE - AESR - ESR'!P660</f>
        <v>0</v>
      </c>
      <c r="QO12" s="57">
        <f>'REG y VAL POE - AESR - ESR'!Q660</f>
        <v>0</v>
      </c>
      <c r="QP12" s="58">
        <f>'REG y VAL POE - AESR - ESR'!R660</f>
        <v>0</v>
      </c>
      <c r="QQ12" s="56">
        <f>'REG y VAL POE - AESR - ESR'!S660</f>
        <v>0</v>
      </c>
      <c r="QR12" s="57">
        <f>'REG y VAL POE - AESR - ESR'!T660</f>
        <v>0</v>
      </c>
      <c r="QS12" s="57">
        <f>'REG y VAL POE - AESR - ESR'!U660</f>
        <v>0</v>
      </c>
      <c r="QT12" s="57">
        <f>'REG y VAL POE - AESR - ESR'!V660</f>
        <v>0</v>
      </c>
      <c r="QU12" s="56">
        <f>'REG y VAL POE - AESR - ESR'!W660</f>
        <v>0</v>
      </c>
      <c r="QV12" s="57">
        <f>'REG y VAL POE - AESR - ESR'!X660</f>
        <v>0</v>
      </c>
      <c r="QW12" s="57">
        <f>'REG y VAL POE - AESR - ESR'!Y660</f>
        <v>0</v>
      </c>
      <c r="QX12" s="56">
        <f>'REG y VAL POE - AESR - ESR'!Z660</f>
        <v>0</v>
      </c>
      <c r="QY12" s="57">
        <f>'REG y VAL POE - AESR - ESR'!AA660</f>
        <v>0</v>
      </c>
      <c r="QZ12" s="58">
        <f>'REG y VAL POE - AESR - ESR'!AB660</f>
        <v>0</v>
      </c>
      <c r="RA12" s="56">
        <f>'REG y VAL POE - AESR - ESR'!AC660</f>
        <v>0</v>
      </c>
      <c r="RB12" s="57">
        <f>'REG y VAL POE - AESR - ESR'!AD660</f>
        <v>0</v>
      </c>
      <c r="RC12" s="57">
        <f>'REG y VAL POE - AESR - ESR'!AE660</f>
        <v>0</v>
      </c>
      <c r="RD12" s="57">
        <f>'REG y VAL POE - AESR - ESR'!AF660</f>
        <v>0</v>
      </c>
      <c r="RE12" s="56">
        <f>'REG y VAL POE - AESR - ESR'!AG660</f>
        <v>0</v>
      </c>
      <c r="RF12" s="57">
        <f>'REG y VAL POE - AESR - ESR'!AH660</f>
        <v>0</v>
      </c>
      <c r="RG12" s="57">
        <f>'REG y VAL POE - AESR - ESR'!AI660</f>
        <v>0</v>
      </c>
      <c r="RH12" s="56">
        <f>'REG y VAL POE - AESR - ESR'!AJ660</f>
        <v>0</v>
      </c>
      <c r="RI12" s="57">
        <f>'REG y VAL POE - AESR - ESR'!AK660</f>
        <v>0</v>
      </c>
      <c r="RJ12" s="58">
        <f>'REG y VAL POE - AESR - ESR'!AL660</f>
        <v>0</v>
      </c>
      <c r="RK12" s="56">
        <f>'REG y VAL POE - AESR - ESR'!AM660</f>
        <v>0</v>
      </c>
      <c r="RL12" s="57">
        <f>'REG y VAL POE - AESR - ESR'!AN660</f>
        <v>0</v>
      </c>
      <c r="RM12" s="57">
        <f>'REG y VAL POE - AESR - ESR'!AO660</f>
        <v>0</v>
      </c>
      <c r="RN12" s="57">
        <f>'REG y VAL POE - AESR - ESR'!AP660</f>
        <v>0</v>
      </c>
      <c r="RO12" s="56">
        <f>'REG y VAL POE - AESR - ESR'!AQ660</f>
        <v>0</v>
      </c>
      <c r="RP12" s="57">
        <f>'REG y VAL POE - AESR - ESR'!AR660</f>
        <v>0</v>
      </c>
      <c r="RQ12" s="57">
        <f>'REG y VAL POE - AESR - ESR'!AS660</f>
        <v>0</v>
      </c>
      <c r="RR12" s="56" t="str">
        <f>'REG y VAL POE - AESR - ESR'!B661</f>
        <v xml:space="preserve">Ponce Alvarez Israel </v>
      </c>
      <c r="RS12" s="57" t="str">
        <f>'REG y VAL POE - AESR - ESR'!C661</f>
        <v>Sin Registro</v>
      </c>
      <c r="RT12" s="58">
        <f>'REG y VAL POE - AESR - ESR'!D661</f>
        <v>23149643</v>
      </c>
      <c r="RU12" s="56">
        <f>'REG y VAL POE - AESR - ESR'!E661</f>
        <v>0</v>
      </c>
      <c r="RV12" s="57">
        <f>'REG y VAL POE - AESR - ESR'!F661</f>
        <v>0</v>
      </c>
      <c r="RW12" s="57">
        <f>'REG y VAL POE - AESR - ESR'!G661</f>
        <v>0</v>
      </c>
      <c r="RX12" s="57">
        <f>'REG y VAL POE - AESR - ESR'!H661</f>
        <v>0</v>
      </c>
      <c r="RY12" s="56">
        <f>'REG y VAL POE - AESR - ESR'!I661</f>
        <v>0</v>
      </c>
      <c r="RZ12" s="57">
        <f>'REG y VAL POE - AESR - ESR'!J661</f>
        <v>0</v>
      </c>
      <c r="SA12" s="57">
        <f>'REG y VAL POE - AESR - ESR'!K661</f>
        <v>0</v>
      </c>
      <c r="SB12" s="56">
        <f>'REG y VAL POE - AESR - ESR'!L661</f>
        <v>0</v>
      </c>
      <c r="SC12" s="57">
        <f>'REG y VAL POE - AESR - ESR'!M661</f>
        <v>0</v>
      </c>
      <c r="SD12" s="58">
        <f>'REG y VAL POE - AESR - ESR'!N661</f>
        <v>0</v>
      </c>
      <c r="SE12" s="56">
        <f>'REG y VAL POE - AESR - ESR'!O661</f>
        <v>0</v>
      </c>
      <c r="SF12" s="57">
        <f>'REG y VAL POE - AESR - ESR'!P661</f>
        <v>0</v>
      </c>
      <c r="SG12" s="57">
        <f>'REG y VAL POE - AESR - ESR'!Q661</f>
        <v>0</v>
      </c>
      <c r="SH12" s="57">
        <f>'REG y VAL POE - AESR - ESR'!R661</f>
        <v>0</v>
      </c>
      <c r="SI12" s="56">
        <f>'REG y VAL POE - AESR - ESR'!S661</f>
        <v>0</v>
      </c>
      <c r="SJ12" s="57">
        <f>'REG y VAL POE - AESR - ESR'!T661</f>
        <v>0</v>
      </c>
      <c r="SK12" s="57">
        <f>'REG y VAL POE - AESR - ESR'!U661</f>
        <v>0</v>
      </c>
      <c r="SL12" s="56">
        <f>'REG y VAL POE - AESR - ESR'!V661</f>
        <v>0</v>
      </c>
      <c r="SM12" s="57">
        <f>'REG y VAL POE - AESR - ESR'!W661</f>
        <v>0</v>
      </c>
      <c r="SN12" s="58">
        <f>'REG y VAL POE - AESR - ESR'!X661</f>
        <v>0</v>
      </c>
      <c r="SO12" s="56">
        <f>'REG y VAL POE - AESR - ESR'!Y661</f>
        <v>0</v>
      </c>
      <c r="SP12" s="57">
        <f>'REG y VAL POE - AESR - ESR'!Z661</f>
        <v>0</v>
      </c>
      <c r="SQ12" s="57">
        <f>'REG y VAL POE - AESR - ESR'!AA661</f>
        <v>0</v>
      </c>
      <c r="SR12" s="57">
        <f>'REG y VAL POE - AESR - ESR'!AB661</f>
        <v>0</v>
      </c>
      <c r="SS12" s="56">
        <f>'REG y VAL POE - AESR - ESR'!AC661</f>
        <v>0</v>
      </c>
      <c r="ST12" s="57">
        <f>'REG y VAL POE - AESR - ESR'!AD661</f>
        <v>0</v>
      </c>
      <c r="SU12" s="57">
        <f>'REG y VAL POE - AESR - ESR'!AE661</f>
        <v>0</v>
      </c>
      <c r="SV12" s="56">
        <f>'REG y VAL POE - AESR - ESR'!AF661</f>
        <v>0</v>
      </c>
      <c r="SW12" s="57">
        <f>'REG y VAL POE - AESR - ESR'!AG661</f>
        <v>0</v>
      </c>
      <c r="SX12" s="58">
        <f>'REG y VAL POE - AESR - ESR'!AH661</f>
        <v>0</v>
      </c>
      <c r="SY12" s="56">
        <f>'REG y VAL POE - AESR - ESR'!AI661</f>
        <v>0</v>
      </c>
      <c r="SZ12" s="57">
        <f>'REG y VAL POE - AESR - ESR'!AJ661</f>
        <v>0</v>
      </c>
      <c r="TA12" s="57">
        <f>'REG y VAL POE - AESR - ESR'!AK661</f>
        <v>0</v>
      </c>
      <c r="TB12" s="57">
        <f>'REG y VAL POE - AESR - ESR'!AL661</f>
        <v>0</v>
      </c>
      <c r="TC12" s="56">
        <f>'REG y VAL POE - AESR - ESR'!AM661</f>
        <v>0</v>
      </c>
      <c r="TD12" s="57">
        <f>'REG y VAL POE - AESR - ESR'!AN661</f>
        <v>0</v>
      </c>
      <c r="TE12" s="57">
        <f>'REG y VAL POE - AESR - ESR'!AO661</f>
        <v>0</v>
      </c>
      <c r="TF12" s="56">
        <f>'REG y VAL POE - AESR - ESR'!AP661</f>
        <v>0</v>
      </c>
      <c r="TG12" s="57">
        <f>'REG y VAL POE - AESR - ESR'!AQ661</f>
        <v>0</v>
      </c>
      <c r="TH12" s="58">
        <f>'REG y VAL POE - AESR - ESR'!AR661</f>
        <v>0</v>
      </c>
      <c r="TI12" s="56">
        <f>'REG y VAL POE - AESR - ESR'!AS661</f>
        <v>0</v>
      </c>
      <c r="TJ12" s="57" t="str">
        <f>'REG y VAL POE - AESR - ESR'!B662</f>
        <v xml:space="preserve">Reyes Oscar Antonio </v>
      </c>
      <c r="TK12" s="57" t="str">
        <f>'REG y VAL POE - AESR - ESR'!C662</f>
        <v>Sin Registro</v>
      </c>
      <c r="TL12" s="57">
        <f>'REG y VAL POE - AESR - ESR'!D662</f>
        <v>22226794</v>
      </c>
      <c r="TM12" s="56">
        <f>'REG y VAL POE - AESR - ESR'!E662</f>
        <v>0</v>
      </c>
      <c r="TN12" s="57">
        <f>'REG y VAL POE - AESR - ESR'!F662</f>
        <v>0</v>
      </c>
      <c r="TO12" s="57">
        <f>'REG y VAL POE - AESR - ESR'!G662</f>
        <v>0</v>
      </c>
      <c r="TP12" s="56">
        <f>'REG y VAL POE - AESR - ESR'!H662</f>
        <v>0</v>
      </c>
      <c r="TQ12" s="57">
        <f>'REG y VAL POE - AESR - ESR'!I662</f>
        <v>0</v>
      </c>
      <c r="TR12" s="58">
        <f>'REG y VAL POE - AESR - ESR'!J662</f>
        <v>0</v>
      </c>
      <c r="TS12" s="56">
        <f>'REG y VAL POE - AESR - ESR'!K662</f>
        <v>0</v>
      </c>
      <c r="TT12" s="57">
        <f>'REG y VAL POE - AESR - ESR'!L662</f>
        <v>0</v>
      </c>
      <c r="TU12" s="57">
        <f>'REG y VAL POE - AESR - ESR'!M662</f>
        <v>0</v>
      </c>
      <c r="TV12" s="57">
        <f>'REG y VAL POE - AESR - ESR'!N662</f>
        <v>0</v>
      </c>
      <c r="TW12" s="56">
        <f>'REG y VAL POE - AESR - ESR'!O662</f>
        <v>0</v>
      </c>
      <c r="TX12" s="57">
        <f>'REG y VAL POE - AESR - ESR'!P662</f>
        <v>0</v>
      </c>
      <c r="TY12" s="57">
        <f>'REG y VAL POE - AESR - ESR'!Q662</f>
        <v>0</v>
      </c>
      <c r="TZ12" s="56">
        <f>'REG y VAL POE - AESR - ESR'!R662</f>
        <v>0</v>
      </c>
      <c r="UA12" s="57">
        <f>'REG y VAL POE - AESR - ESR'!S662</f>
        <v>0</v>
      </c>
      <c r="UB12" s="58">
        <f>'REG y VAL POE - AESR - ESR'!T662</f>
        <v>0</v>
      </c>
      <c r="UC12" s="56">
        <f>'REG y VAL POE - AESR - ESR'!U662</f>
        <v>0</v>
      </c>
      <c r="UD12" s="57">
        <f>'REG y VAL POE - AESR - ESR'!V662</f>
        <v>0</v>
      </c>
      <c r="UE12" s="57">
        <f>'REG y VAL POE - AESR - ESR'!W662</f>
        <v>0</v>
      </c>
      <c r="UF12" s="57">
        <f>'REG y VAL POE - AESR - ESR'!X662</f>
        <v>0</v>
      </c>
      <c r="UG12" s="56">
        <f>'REG y VAL POE - AESR - ESR'!Y662</f>
        <v>0</v>
      </c>
      <c r="UH12" s="57">
        <f>'REG y VAL POE - AESR - ESR'!Z662</f>
        <v>0</v>
      </c>
      <c r="UI12" s="57">
        <f>'REG y VAL POE - AESR - ESR'!AA662</f>
        <v>0</v>
      </c>
      <c r="UJ12" s="56">
        <f>'REG y VAL POE - AESR - ESR'!AB662</f>
        <v>0</v>
      </c>
      <c r="UK12" s="57">
        <f>'REG y VAL POE - AESR - ESR'!AC662</f>
        <v>0</v>
      </c>
      <c r="UL12" s="58">
        <f>'REG y VAL POE - AESR - ESR'!AD662</f>
        <v>0</v>
      </c>
      <c r="UM12" s="56">
        <f>'REG y VAL POE - AESR - ESR'!AE662</f>
        <v>0</v>
      </c>
      <c r="UN12" s="57">
        <f>'REG y VAL POE - AESR - ESR'!AF662</f>
        <v>0</v>
      </c>
      <c r="UO12" s="57">
        <f>'REG y VAL POE - AESR - ESR'!AG662</f>
        <v>0</v>
      </c>
      <c r="UP12" s="57">
        <f>'REG y VAL POE - AESR - ESR'!AH662</f>
        <v>0</v>
      </c>
      <c r="UQ12" s="56">
        <f>'REG y VAL POE - AESR - ESR'!AI662</f>
        <v>0</v>
      </c>
      <c r="UR12" s="57">
        <f>'REG y VAL POE - AESR - ESR'!AJ662</f>
        <v>0</v>
      </c>
      <c r="US12" s="57">
        <f>'REG y VAL POE - AESR - ESR'!AK662</f>
        <v>0</v>
      </c>
      <c r="UT12" s="56">
        <f>'REG y VAL POE - AESR - ESR'!AL662</f>
        <v>0</v>
      </c>
      <c r="UU12" s="57">
        <f>'REG y VAL POE - AESR - ESR'!AM662</f>
        <v>0</v>
      </c>
      <c r="UV12" s="58">
        <f>'REG y VAL POE - AESR - ESR'!AN662</f>
        <v>0</v>
      </c>
      <c r="UW12" s="56">
        <f>'REG y VAL POE - AESR - ESR'!AO662</f>
        <v>0</v>
      </c>
      <c r="UX12" s="57">
        <f>'REG y VAL POE - AESR - ESR'!AP662</f>
        <v>0</v>
      </c>
      <c r="UY12" s="57">
        <f>'REG y VAL POE - AESR - ESR'!AQ662</f>
        <v>0</v>
      </c>
      <c r="UZ12" s="57">
        <f>'REG y VAL POE - AESR - ESR'!AR662</f>
        <v>0</v>
      </c>
      <c r="VA12" s="56">
        <f>'REG y VAL POE - AESR - ESR'!AS662</f>
        <v>0</v>
      </c>
      <c r="VB12" s="57" t="str">
        <f>'REG y VAL POE - AESR - ESR'!B663</f>
        <v xml:space="preserve">Rodriguez Jimenez Ana </v>
      </c>
      <c r="VC12" s="57" t="str">
        <f>'REG y VAL POE - AESR - ESR'!C663</f>
        <v>Sin Registro</v>
      </c>
      <c r="VD12" s="56">
        <f>'REG y VAL POE - AESR - ESR'!D663</f>
        <v>23207457</v>
      </c>
      <c r="VE12" s="57">
        <f>'REG y VAL POE - AESR - ESR'!E663</f>
        <v>0</v>
      </c>
      <c r="VF12" s="58">
        <f>'REG y VAL POE - AESR - ESR'!F663</f>
        <v>0</v>
      </c>
      <c r="VG12" s="56">
        <f>'REG y VAL POE - AESR - ESR'!G663</f>
        <v>0</v>
      </c>
      <c r="VH12" s="57">
        <f>'REG y VAL POE - AESR - ESR'!H663</f>
        <v>0</v>
      </c>
      <c r="VI12" s="57">
        <f>'REG y VAL POE - AESR - ESR'!I663</f>
        <v>0</v>
      </c>
      <c r="VJ12" s="57">
        <f>'REG y VAL POE - AESR - ESR'!J663</f>
        <v>0</v>
      </c>
      <c r="VK12" s="56">
        <f>'REG y VAL POE - AESR - ESR'!K663</f>
        <v>0</v>
      </c>
      <c r="VL12" s="57">
        <f>'REG y VAL POE - AESR - ESR'!L663</f>
        <v>0</v>
      </c>
      <c r="VM12" s="57">
        <f>'REG y VAL POE - AESR - ESR'!M663</f>
        <v>0</v>
      </c>
      <c r="VN12" s="56">
        <f>'REG y VAL POE - AESR - ESR'!N663</f>
        <v>0</v>
      </c>
      <c r="VO12" s="57">
        <f>'REG y VAL POE - AESR - ESR'!O663</f>
        <v>0</v>
      </c>
      <c r="VP12" s="58">
        <f>'REG y VAL POE - AESR - ESR'!P663</f>
        <v>0</v>
      </c>
      <c r="VQ12" s="56">
        <f>'REG y VAL POE - AESR - ESR'!Q663</f>
        <v>0</v>
      </c>
      <c r="VR12" s="57">
        <f>'REG y VAL POE - AESR - ESR'!R663</f>
        <v>0</v>
      </c>
      <c r="VS12" s="57">
        <f>'REG y VAL POE - AESR - ESR'!S663</f>
        <v>0</v>
      </c>
      <c r="VT12" s="57">
        <f>'REG y VAL POE - AESR - ESR'!T663</f>
        <v>0</v>
      </c>
      <c r="VU12" s="56">
        <f>'REG y VAL POE - AESR - ESR'!U663</f>
        <v>0</v>
      </c>
      <c r="VV12" s="57">
        <f>'REG y VAL POE - AESR - ESR'!V663</f>
        <v>0</v>
      </c>
      <c r="VW12" s="57">
        <f>'REG y VAL POE - AESR - ESR'!W663</f>
        <v>0</v>
      </c>
      <c r="VX12" s="56">
        <f>'REG y VAL POE - AESR - ESR'!X663</f>
        <v>0</v>
      </c>
      <c r="VY12" s="57">
        <f>'REG y VAL POE - AESR - ESR'!Y663</f>
        <v>0</v>
      </c>
      <c r="VZ12" s="58">
        <f>'REG y VAL POE - AESR - ESR'!Z663</f>
        <v>0</v>
      </c>
      <c r="WA12" s="56">
        <f>'REG y VAL POE - AESR - ESR'!AA663</f>
        <v>0</v>
      </c>
      <c r="WB12" s="57">
        <f>'REG y VAL POE - AESR - ESR'!AB663</f>
        <v>0</v>
      </c>
      <c r="WC12" s="57">
        <f>'REG y VAL POE - AESR - ESR'!AC663</f>
        <v>0</v>
      </c>
      <c r="WD12" s="57">
        <f>'REG y VAL POE - AESR - ESR'!AD663</f>
        <v>0</v>
      </c>
      <c r="WE12" s="56">
        <f>'REG y VAL POE - AESR - ESR'!AE663</f>
        <v>0</v>
      </c>
      <c r="WF12" s="57">
        <f>'REG y VAL POE - AESR - ESR'!AF663</f>
        <v>0</v>
      </c>
      <c r="WG12" s="57">
        <f>'REG y VAL POE - AESR - ESR'!AG663</f>
        <v>0</v>
      </c>
      <c r="WH12" s="56">
        <f>'REG y VAL POE - AESR - ESR'!AH663</f>
        <v>0</v>
      </c>
      <c r="WI12" s="57">
        <f>'REG y VAL POE - AESR - ESR'!AI663</f>
        <v>0</v>
      </c>
      <c r="WJ12" s="58">
        <f>'REG y VAL POE - AESR - ESR'!AJ663</f>
        <v>0</v>
      </c>
      <c r="WK12" s="56">
        <f>'REG y VAL POE - AESR - ESR'!AK663</f>
        <v>0</v>
      </c>
      <c r="WL12" s="57">
        <f>'REG y VAL POE - AESR - ESR'!AL663</f>
        <v>0</v>
      </c>
      <c r="WM12" s="57">
        <f>'REG y VAL POE - AESR - ESR'!AM663</f>
        <v>0</v>
      </c>
      <c r="WN12" s="57">
        <f>'REG y VAL POE - AESR - ESR'!AN663</f>
        <v>0</v>
      </c>
      <c r="WO12" s="56">
        <f>'REG y VAL POE - AESR - ESR'!AO663</f>
        <v>0</v>
      </c>
      <c r="WP12" s="57">
        <f>'REG y VAL POE - AESR - ESR'!AP663</f>
        <v>0</v>
      </c>
      <c r="WQ12" s="57">
        <f>'REG y VAL POE - AESR - ESR'!AQ663</f>
        <v>0</v>
      </c>
      <c r="WR12" s="56">
        <f>'REG y VAL POE - AESR - ESR'!AR663</f>
        <v>0</v>
      </c>
      <c r="WS12" s="57">
        <f>'REG y VAL POE - AESR - ESR'!AS663</f>
        <v>0</v>
      </c>
      <c r="WT12" s="58" t="str">
        <f>'REG y VAL POE - AESR - ESR'!B664</f>
        <v xml:space="preserve">Sosa Villalobos Marisol </v>
      </c>
      <c r="WU12" s="56" t="str">
        <f>'REG y VAL POE - AESR - ESR'!C664</f>
        <v>Sin Registro</v>
      </c>
      <c r="WV12" s="57">
        <f>'REG y VAL POE - AESR - ESR'!D664</f>
        <v>23147805</v>
      </c>
      <c r="WW12" s="57">
        <f>'REG y VAL POE - AESR - ESR'!E664</f>
        <v>0</v>
      </c>
      <c r="WX12" s="57">
        <f>'REG y VAL POE - AESR - ESR'!F664</f>
        <v>0</v>
      </c>
      <c r="WY12" s="56">
        <f>'REG y VAL POE - AESR - ESR'!G664</f>
        <v>0</v>
      </c>
      <c r="WZ12" s="57">
        <f>'REG y VAL POE - AESR - ESR'!H664</f>
        <v>0</v>
      </c>
      <c r="XA12" s="57">
        <f>'REG y VAL POE - AESR - ESR'!I664</f>
        <v>0</v>
      </c>
      <c r="XB12" s="56">
        <f>'REG y VAL POE - AESR - ESR'!J664</f>
        <v>0</v>
      </c>
      <c r="XC12" s="57">
        <f>'REG y VAL POE - AESR - ESR'!K664</f>
        <v>0</v>
      </c>
      <c r="XD12" s="58">
        <f>'REG y VAL POE - AESR - ESR'!L664</f>
        <v>0</v>
      </c>
      <c r="XE12" s="56">
        <f>'REG y VAL POE - AESR - ESR'!M664</f>
        <v>0</v>
      </c>
      <c r="XF12" s="57">
        <f>'REG y VAL POE - AESR - ESR'!N664</f>
        <v>0</v>
      </c>
      <c r="XG12" s="57">
        <f>'REG y VAL POE - AESR - ESR'!O664</f>
        <v>0</v>
      </c>
      <c r="XH12" s="57">
        <f>'REG y VAL POE - AESR - ESR'!P664</f>
        <v>0</v>
      </c>
      <c r="XI12" s="56">
        <f>'REG y VAL POE - AESR - ESR'!Q664</f>
        <v>0</v>
      </c>
      <c r="XJ12" s="57">
        <f>'REG y VAL POE - AESR - ESR'!R664</f>
        <v>0</v>
      </c>
      <c r="XK12" s="57">
        <f>'REG y VAL POE - AESR - ESR'!S664</f>
        <v>0</v>
      </c>
      <c r="XL12" s="56">
        <f>'REG y VAL POE - AESR - ESR'!T664</f>
        <v>0</v>
      </c>
      <c r="XM12" s="57">
        <f>'REG y VAL POE - AESR - ESR'!U664</f>
        <v>0</v>
      </c>
      <c r="XN12" s="58">
        <f>'REG y VAL POE - AESR - ESR'!V664</f>
        <v>0</v>
      </c>
      <c r="XO12" s="56">
        <f>'REG y VAL POE - AESR - ESR'!W664</f>
        <v>0</v>
      </c>
      <c r="XP12" s="57">
        <f>'REG y VAL POE - AESR - ESR'!X664</f>
        <v>0</v>
      </c>
      <c r="XQ12" s="57">
        <f>'REG y VAL POE - AESR - ESR'!Y664</f>
        <v>0</v>
      </c>
      <c r="XR12" s="57">
        <f>'REG y VAL POE - AESR - ESR'!Z664</f>
        <v>0</v>
      </c>
      <c r="XS12" s="56">
        <f>'REG y VAL POE - AESR - ESR'!AA664</f>
        <v>0</v>
      </c>
      <c r="XT12" s="57">
        <f>'REG y VAL POE - AESR - ESR'!AB664</f>
        <v>0</v>
      </c>
      <c r="XU12" s="57">
        <f>'REG y VAL POE - AESR - ESR'!AC664</f>
        <v>0</v>
      </c>
      <c r="XV12" s="56">
        <f>'REG y VAL POE - AESR - ESR'!AD664</f>
        <v>0</v>
      </c>
      <c r="XW12" s="57">
        <f>'REG y VAL POE - AESR - ESR'!AE664</f>
        <v>0</v>
      </c>
      <c r="XX12" s="58">
        <f>'REG y VAL POE - AESR - ESR'!AF664</f>
        <v>0</v>
      </c>
      <c r="XY12" s="56">
        <f>'REG y VAL POE - AESR - ESR'!AG664</f>
        <v>0</v>
      </c>
      <c r="XZ12" s="57">
        <f>'REG y VAL POE - AESR - ESR'!AH664</f>
        <v>0</v>
      </c>
      <c r="YA12" s="57">
        <f>'REG y VAL POE - AESR - ESR'!AI664</f>
        <v>0</v>
      </c>
      <c r="YB12" s="57">
        <f>'REG y VAL POE - AESR - ESR'!AJ664</f>
        <v>0</v>
      </c>
      <c r="YC12" s="56">
        <f>'REG y VAL POE - AESR - ESR'!AK664</f>
        <v>0</v>
      </c>
      <c r="YD12" s="57">
        <f>'REG y VAL POE - AESR - ESR'!AL664</f>
        <v>0</v>
      </c>
      <c r="YE12" s="57">
        <f>'REG y VAL POE - AESR - ESR'!AM664</f>
        <v>0</v>
      </c>
      <c r="YF12" s="56">
        <f>'REG y VAL POE - AESR - ESR'!AN664</f>
        <v>0</v>
      </c>
      <c r="YG12" s="57">
        <f>'REG y VAL POE - AESR - ESR'!AO664</f>
        <v>0</v>
      </c>
      <c r="YH12" s="58">
        <f>'REG y VAL POE - AESR - ESR'!AP664</f>
        <v>0</v>
      </c>
      <c r="YI12" s="56">
        <f>'REG y VAL POE - AESR - ESR'!AQ664</f>
        <v>0</v>
      </c>
      <c r="YJ12" s="57">
        <f>'REG y VAL POE - AESR - ESR'!AR664</f>
        <v>0</v>
      </c>
      <c r="YK12" s="57">
        <f>'REG y VAL POE - AESR - ESR'!AS664</f>
        <v>0</v>
      </c>
      <c r="YL12" s="57" t="str">
        <f>'REG y VAL POE - AESR - ESR'!B665</f>
        <v xml:space="preserve">Suarez Ortiz Antonio Eduardo </v>
      </c>
      <c r="YM12" s="56" t="str">
        <f>'REG y VAL POE - AESR - ESR'!C665</f>
        <v>Sin Registro</v>
      </c>
      <c r="YN12" s="57">
        <f>'REG y VAL POE - AESR - ESR'!D665</f>
        <v>23148092</v>
      </c>
      <c r="YO12" s="57">
        <f>'REG y VAL POE - AESR - ESR'!E665</f>
        <v>0</v>
      </c>
      <c r="YP12" s="56">
        <f>'REG y VAL POE - AESR - ESR'!F665</f>
        <v>0</v>
      </c>
      <c r="YQ12" s="57">
        <f>'REG y VAL POE - AESR - ESR'!G665</f>
        <v>0</v>
      </c>
      <c r="YR12" s="58">
        <f>'REG y VAL POE - AESR - ESR'!H665</f>
        <v>0</v>
      </c>
      <c r="YS12" s="56">
        <f>'REG y VAL POE - AESR - ESR'!I665</f>
        <v>0</v>
      </c>
      <c r="YT12" s="57">
        <f>'REG y VAL POE - AESR - ESR'!J665</f>
        <v>0</v>
      </c>
      <c r="YU12" s="57">
        <f>'REG y VAL POE - AESR - ESR'!K665</f>
        <v>0</v>
      </c>
      <c r="YV12" s="57">
        <f>'REG y VAL POE - AESR - ESR'!L665</f>
        <v>0</v>
      </c>
      <c r="YW12" s="56">
        <f>'REG y VAL POE - AESR - ESR'!M665</f>
        <v>0</v>
      </c>
      <c r="YX12" s="57">
        <f>'REG y VAL POE - AESR - ESR'!N665</f>
        <v>0</v>
      </c>
      <c r="YY12" s="57">
        <f>'REG y VAL POE - AESR - ESR'!O665</f>
        <v>0</v>
      </c>
      <c r="YZ12" s="56">
        <f>'REG y VAL POE - AESR - ESR'!P665</f>
        <v>0</v>
      </c>
      <c r="ZA12" s="57">
        <f>'REG y VAL POE - AESR - ESR'!Q665</f>
        <v>0</v>
      </c>
      <c r="ZB12" s="58">
        <f>'REG y VAL POE - AESR - ESR'!R665</f>
        <v>0</v>
      </c>
      <c r="ZC12" s="56">
        <f>'REG y VAL POE - AESR - ESR'!S665</f>
        <v>0</v>
      </c>
      <c r="ZD12" s="57">
        <f>'REG y VAL POE - AESR - ESR'!T665</f>
        <v>0</v>
      </c>
      <c r="ZE12" s="57">
        <f>'REG y VAL POE - AESR - ESR'!U665</f>
        <v>0</v>
      </c>
      <c r="ZF12" s="57">
        <f>'REG y VAL POE - AESR - ESR'!V665</f>
        <v>0</v>
      </c>
      <c r="ZG12" s="56">
        <f>'REG y VAL POE - AESR - ESR'!W665</f>
        <v>0</v>
      </c>
      <c r="ZH12" s="57">
        <f>'REG y VAL POE - AESR - ESR'!X665</f>
        <v>0</v>
      </c>
      <c r="ZI12" s="57">
        <f>'REG y VAL POE - AESR - ESR'!Y665</f>
        <v>0</v>
      </c>
      <c r="ZJ12" s="56">
        <f>'REG y VAL POE - AESR - ESR'!Z665</f>
        <v>0</v>
      </c>
      <c r="ZK12" s="57">
        <f>'REG y VAL POE - AESR - ESR'!AA665</f>
        <v>0</v>
      </c>
      <c r="ZL12" s="58">
        <f>'REG y VAL POE - AESR - ESR'!AB665</f>
        <v>0</v>
      </c>
      <c r="ZM12" s="56">
        <f>'REG y VAL POE - AESR - ESR'!AC665</f>
        <v>0</v>
      </c>
      <c r="ZN12" s="57">
        <f>'REG y VAL POE - AESR - ESR'!AD665</f>
        <v>0</v>
      </c>
      <c r="ZO12" s="57">
        <f>'REG y VAL POE - AESR - ESR'!AE665</f>
        <v>0</v>
      </c>
      <c r="ZP12" s="57">
        <f>'REG y VAL POE - AESR - ESR'!AF665</f>
        <v>0</v>
      </c>
      <c r="ZQ12" s="56">
        <f>'REG y VAL POE - AESR - ESR'!AG665</f>
        <v>0</v>
      </c>
      <c r="ZR12" s="57">
        <f>'REG y VAL POE - AESR - ESR'!AH665</f>
        <v>0</v>
      </c>
      <c r="ZS12" s="57">
        <f>'REG y VAL POE - AESR - ESR'!AI665</f>
        <v>0</v>
      </c>
      <c r="ZT12" s="56">
        <f>'REG y VAL POE - AESR - ESR'!AJ665</f>
        <v>0</v>
      </c>
      <c r="ZU12" s="57">
        <f>'REG y VAL POE - AESR - ESR'!AK665</f>
        <v>0</v>
      </c>
      <c r="ZV12" s="58">
        <f>'REG y VAL POE - AESR - ESR'!AL665</f>
        <v>0</v>
      </c>
      <c r="ZW12" s="56">
        <f>'REG y VAL POE - AESR - ESR'!AM665</f>
        <v>0</v>
      </c>
      <c r="ZX12" s="57">
        <f>'REG y VAL POE - AESR - ESR'!AN665</f>
        <v>0</v>
      </c>
      <c r="ZY12" s="57">
        <f>'REG y VAL POE - AESR - ESR'!AO665</f>
        <v>0</v>
      </c>
      <c r="ZZ12" s="57">
        <f>'REG y VAL POE - AESR - ESR'!AP665</f>
        <v>0</v>
      </c>
      <c r="AAA12" s="56">
        <f>'REG y VAL POE - AESR - ESR'!AQ665</f>
        <v>0</v>
      </c>
      <c r="AAB12" s="57">
        <f>'REG y VAL POE - AESR - ESR'!AR665</f>
        <v>0</v>
      </c>
      <c r="AAC12" s="57">
        <f>'REG y VAL POE - AESR - ESR'!AS665</f>
        <v>0</v>
      </c>
      <c r="AAD12" s="56" t="str">
        <f>'REG y VAL POE - AESR - ESR'!B666</f>
        <v xml:space="preserve">Tello Villa Ramon Rito </v>
      </c>
      <c r="AAE12" s="57" t="str">
        <f>'REG y VAL POE - AESR - ESR'!C666</f>
        <v>Sin Registro</v>
      </c>
      <c r="AAF12" s="58">
        <f>'REG y VAL POE - AESR - ESR'!D666</f>
        <v>23150036</v>
      </c>
      <c r="AAG12" s="56">
        <f>'REG y VAL POE - AESR - ESR'!E666</f>
        <v>0</v>
      </c>
      <c r="AAH12" s="57">
        <f>'REG y VAL POE - AESR - ESR'!F666</f>
        <v>0</v>
      </c>
      <c r="AAI12" s="57">
        <f>'REG y VAL POE - AESR - ESR'!G666</f>
        <v>0</v>
      </c>
      <c r="AAJ12" s="57">
        <f>'REG y VAL POE - AESR - ESR'!H666</f>
        <v>0</v>
      </c>
      <c r="AAK12" s="56">
        <f>'REG y VAL POE - AESR - ESR'!I666</f>
        <v>0</v>
      </c>
      <c r="AAL12" s="57">
        <f>'REG y VAL POE - AESR - ESR'!J666</f>
        <v>0</v>
      </c>
      <c r="AAM12" s="57">
        <f>'REG y VAL POE - AESR - ESR'!K666</f>
        <v>0</v>
      </c>
      <c r="AAN12" s="56">
        <f>'REG y VAL POE - AESR - ESR'!L666</f>
        <v>0</v>
      </c>
      <c r="AAO12" s="57">
        <f>'REG y VAL POE - AESR - ESR'!M666</f>
        <v>0</v>
      </c>
      <c r="AAP12" s="58">
        <f>'REG y VAL POE - AESR - ESR'!N666</f>
        <v>0</v>
      </c>
      <c r="AAQ12" s="56">
        <f>'REG y VAL POE - AESR - ESR'!O666</f>
        <v>0</v>
      </c>
      <c r="AAR12" s="57">
        <f>'REG y VAL POE - AESR - ESR'!P666</f>
        <v>0</v>
      </c>
      <c r="AAS12" s="57">
        <f>'REG y VAL POE - AESR - ESR'!Q666</f>
        <v>0</v>
      </c>
      <c r="AAT12" s="57">
        <f>'REG y VAL POE - AESR - ESR'!R666</f>
        <v>0</v>
      </c>
      <c r="AAU12" s="56">
        <f>'REG y VAL POE - AESR - ESR'!S666</f>
        <v>0</v>
      </c>
      <c r="AAV12" s="57">
        <f>'REG y VAL POE - AESR - ESR'!T666</f>
        <v>0</v>
      </c>
      <c r="AAW12" s="57">
        <f>'REG y VAL POE - AESR - ESR'!U666</f>
        <v>0</v>
      </c>
      <c r="AAX12" s="58">
        <f>'REG y VAL POE - AESR - ESR'!V666</f>
        <v>0</v>
      </c>
      <c r="AAY12" s="58">
        <f>'REG y VAL POE - AESR - ESR'!W666</f>
        <v>0</v>
      </c>
      <c r="AAZ12" s="58">
        <f>'REG y VAL POE - AESR - ESR'!X666</f>
        <v>0</v>
      </c>
      <c r="ABA12" s="56">
        <f>'REG y VAL POE - AESR - ESR'!Y666</f>
        <v>0</v>
      </c>
      <c r="ABB12" s="58">
        <f>'REG y VAL POE - AESR - ESR'!Z666</f>
        <v>0</v>
      </c>
      <c r="ABC12" s="58">
        <f>'REG y VAL POE - AESR - ESR'!AA666</f>
        <v>0</v>
      </c>
      <c r="ABD12" s="58">
        <f>'REG y VAL POE - AESR - ESR'!AB666</f>
        <v>0</v>
      </c>
      <c r="ABE12" s="58">
        <f>'REG y VAL POE - AESR - ESR'!AC666</f>
        <v>0</v>
      </c>
      <c r="ABF12" s="58">
        <f>'REG y VAL POE - AESR - ESR'!AD666</f>
        <v>0</v>
      </c>
      <c r="ABG12" s="57">
        <f>'REG y VAL POE - AESR - ESR'!AE666</f>
        <v>0</v>
      </c>
      <c r="ABH12" s="56">
        <f>'REG y VAL POE - AESR - ESR'!AF666</f>
        <v>0</v>
      </c>
      <c r="ABI12" s="57">
        <f>'REG y VAL POE - AESR - ESR'!AG666</f>
        <v>0</v>
      </c>
      <c r="ABJ12" s="58">
        <f>'REG y VAL POE - AESR - ESR'!AH666</f>
        <v>0</v>
      </c>
      <c r="ABK12" s="56">
        <f>'REG y VAL POE - AESR - ESR'!AI666</f>
        <v>0</v>
      </c>
      <c r="ABL12" s="57">
        <f>'REG y VAL POE - AESR - ESR'!AJ666</f>
        <v>0</v>
      </c>
      <c r="ABM12" s="57">
        <f>'REG y VAL POE - AESR - ESR'!AK666</f>
        <v>0</v>
      </c>
      <c r="ABN12" s="57">
        <f>'REG y VAL POE - AESR - ESR'!AL666</f>
        <v>0</v>
      </c>
      <c r="ABO12" s="56">
        <f>'REG y VAL POE - AESR - ESR'!AM666</f>
        <v>0</v>
      </c>
      <c r="ABP12" s="57">
        <f>'REG y VAL POE - AESR - ESR'!AN666</f>
        <v>0</v>
      </c>
      <c r="ABQ12" s="57">
        <f>'REG y VAL POE - AESR - ESR'!AO666</f>
        <v>0</v>
      </c>
      <c r="ABR12" s="56">
        <f>'REG y VAL POE - AESR - ESR'!AP666</f>
        <v>0</v>
      </c>
      <c r="ABS12" s="57">
        <f>'REG y VAL POE - AESR - ESR'!AQ666</f>
        <v>0</v>
      </c>
      <c r="ABT12" s="58">
        <f>'REG y VAL POE - AESR - ESR'!AR666</f>
        <v>0</v>
      </c>
      <c r="ABU12" s="56">
        <f>'REG y VAL POE - AESR - ESR'!AS666</f>
        <v>0</v>
      </c>
      <c r="ABV12" s="57" t="str">
        <f>'REG y VAL POE - AESR - ESR'!B667</f>
        <v xml:space="preserve">Torrea Uscanga Hansel </v>
      </c>
      <c r="ABW12" s="57" t="str">
        <f>'REG y VAL POE - AESR - ESR'!C667</f>
        <v>Sin Registro</v>
      </c>
      <c r="ABX12" s="57">
        <f>'REG y VAL POE - AESR - ESR'!D667</f>
        <v>23149527</v>
      </c>
      <c r="ABY12" s="56">
        <f>'REG y VAL POE - AESR - ESR'!E667</f>
        <v>0</v>
      </c>
      <c r="ABZ12" s="57">
        <f>'REG y VAL POE - AESR - ESR'!F667</f>
        <v>0</v>
      </c>
      <c r="ACA12" s="57">
        <f>'REG y VAL POE - AESR - ESR'!G667</f>
        <v>0</v>
      </c>
      <c r="ACB12" s="56">
        <f>'REG y VAL POE - AESR - ESR'!H667</f>
        <v>0</v>
      </c>
      <c r="ACC12" s="57">
        <f>'REG y VAL POE - AESR - ESR'!I667</f>
        <v>0</v>
      </c>
      <c r="ACD12" s="58">
        <f>'REG y VAL POE - AESR - ESR'!J667</f>
        <v>0</v>
      </c>
      <c r="ACE12" s="56">
        <f>'REG y VAL POE - AESR - ESR'!K667</f>
        <v>0</v>
      </c>
      <c r="ACF12" s="57">
        <f>'REG y VAL POE - AESR - ESR'!L667</f>
        <v>0</v>
      </c>
      <c r="ACG12" s="57">
        <f>'REG y VAL POE - AESR - ESR'!M667</f>
        <v>0</v>
      </c>
      <c r="ACH12" s="57">
        <f>'REG y VAL POE - AESR - ESR'!N667</f>
        <v>0</v>
      </c>
      <c r="ACI12" s="56">
        <f>'REG y VAL POE - AESR - ESR'!O667</f>
        <v>0</v>
      </c>
      <c r="ACJ12" s="57">
        <f>'REG y VAL POE - AESR - ESR'!P667</f>
        <v>0</v>
      </c>
      <c r="ACK12" s="57">
        <f>'REG y VAL POE - AESR - ESR'!Q667</f>
        <v>0</v>
      </c>
      <c r="ACL12" s="56">
        <f>'REG y VAL POE - AESR - ESR'!R667</f>
        <v>0</v>
      </c>
      <c r="ACM12" s="57">
        <f>'REG y VAL POE - AESR - ESR'!S667</f>
        <v>0</v>
      </c>
      <c r="ACN12" s="58">
        <f>'REG y VAL POE - AESR - ESR'!T667</f>
        <v>0</v>
      </c>
      <c r="ACO12" s="56">
        <f>'REG y VAL POE - AESR - ESR'!U667</f>
        <v>0</v>
      </c>
      <c r="ACP12" s="57">
        <f>'REG y VAL POE - AESR - ESR'!V667</f>
        <v>0</v>
      </c>
      <c r="ACQ12" s="57">
        <f>'REG y VAL POE - AESR - ESR'!W667</f>
        <v>0</v>
      </c>
      <c r="ACR12" s="57">
        <f>'REG y VAL POE - AESR - ESR'!X667</f>
        <v>0</v>
      </c>
      <c r="ACS12" s="56">
        <f>'REG y VAL POE - AESR - ESR'!Y667</f>
        <v>0</v>
      </c>
      <c r="ACT12" s="57">
        <f>'REG y VAL POE - AESR - ESR'!Z667</f>
        <v>0</v>
      </c>
      <c r="ACU12" s="57">
        <f>'REG y VAL POE - AESR - ESR'!AA667</f>
        <v>0</v>
      </c>
      <c r="ACV12" s="56">
        <f>'REG y VAL POE - AESR - ESR'!AB667</f>
        <v>0</v>
      </c>
      <c r="ACW12" s="57">
        <f>'REG y VAL POE - AESR - ESR'!AC667</f>
        <v>0</v>
      </c>
      <c r="ACX12" s="58">
        <f>'REG y VAL POE - AESR - ESR'!AD667</f>
        <v>0</v>
      </c>
      <c r="ACY12" s="56">
        <f>'REG y VAL POE - AESR - ESR'!AE667</f>
        <v>0</v>
      </c>
      <c r="ACZ12" s="57">
        <f>'REG y VAL POE - AESR - ESR'!AF667</f>
        <v>0</v>
      </c>
      <c r="ADA12" s="57">
        <f>'REG y VAL POE - AESR - ESR'!AG667</f>
        <v>0</v>
      </c>
      <c r="ADB12" s="57">
        <f>'REG y VAL POE - AESR - ESR'!AH667</f>
        <v>0</v>
      </c>
      <c r="ADC12" s="56">
        <f>'REG y VAL POE - AESR - ESR'!AI667</f>
        <v>0</v>
      </c>
      <c r="ADD12" s="57">
        <f>'REG y VAL POE - AESR - ESR'!AJ667</f>
        <v>0</v>
      </c>
      <c r="ADE12" s="57">
        <f>'REG y VAL POE - AESR - ESR'!AK667</f>
        <v>0</v>
      </c>
      <c r="ADF12" s="56">
        <f>'REG y VAL POE - AESR - ESR'!AL667</f>
        <v>0</v>
      </c>
      <c r="ADG12" s="57">
        <f>'REG y VAL POE - AESR - ESR'!AM667</f>
        <v>0</v>
      </c>
      <c r="ADH12" s="58">
        <f>'REG y VAL POE - AESR - ESR'!AN667</f>
        <v>0</v>
      </c>
      <c r="ADI12" s="56">
        <f>'REG y VAL POE - AESR - ESR'!AO667</f>
        <v>0</v>
      </c>
      <c r="ADJ12" s="57">
        <f>'REG y VAL POE - AESR - ESR'!AP667</f>
        <v>0</v>
      </c>
      <c r="ADK12" s="57">
        <f>'REG y VAL POE - AESR - ESR'!AQ667</f>
        <v>0</v>
      </c>
      <c r="ADL12" s="57">
        <f>'REG y VAL POE - AESR - ESR'!AR667</f>
        <v>0</v>
      </c>
      <c r="ADM12" s="56">
        <f>'REG y VAL POE - AESR - ESR'!AS667</f>
        <v>0</v>
      </c>
      <c r="ADN12" s="57">
        <f>'REG y VAL POE - AESR - ESR'!B668</f>
        <v>0</v>
      </c>
      <c r="ADO12" s="57">
        <f>'REG y VAL POE - AESR - ESR'!C668</f>
        <v>0</v>
      </c>
      <c r="ADP12" s="56">
        <f>'REG y VAL POE - AESR - ESR'!D668</f>
        <v>0</v>
      </c>
      <c r="ADQ12" s="57">
        <f>'REG y VAL POE - AESR - ESR'!E668</f>
        <v>0</v>
      </c>
      <c r="ADR12" s="58">
        <f>'REG y VAL POE - AESR - ESR'!F668</f>
        <v>0</v>
      </c>
      <c r="ADS12" s="56">
        <f>'REG y VAL POE - AESR - ESR'!G668</f>
        <v>0</v>
      </c>
      <c r="ADT12" s="57">
        <f>'REG y VAL POE - AESR - ESR'!H668</f>
        <v>0</v>
      </c>
      <c r="ADU12" s="57">
        <f>'REG y VAL POE - AESR - ESR'!I668</f>
        <v>0</v>
      </c>
      <c r="ADV12" s="57">
        <f>'REG y VAL POE - AESR - ESR'!J668</f>
        <v>0</v>
      </c>
      <c r="ADW12" s="56">
        <f>'REG y VAL POE - AESR - ESR'!K668</f>
        <v>0</v>
      </c>
      <c r="ADX12" s="57">
        <f>'REG y VAL POE - AESR - ESR'!L668</f>
        <v>0</v>
      </c>
      <c r="ADY12" s="57">
        <f>'REG y VAL POE - AESR - ESR'!M668</f>
        <v>0</v>
      </c>
      <c r="ADZ12" s="56">
        <f>'REG y VAL POE - AESR - ESR'!N668</f>
        <v>0</v>
      </c>
      <c r="AEA12" s="57">
        <f>'REG y VAL POE - AESR - ESR'!O668</f>
        <v>0</v>
      </c>
      <c r="AEB12" s="58">
        <f>'REG y VAL POE - AESR - ESR'!P668</f>
        <v>0</v>
      </c>
      <c r="AEC12" s="56">
        <f>'REG y VAL POE - AESR - ESR'!Q668</f>
        <v>0</v>
      </c>
      <c r="AED12" s="57">
        <f>'REG y VAL POE - AESR - ESR'!R668</f>
        <v>0</v>
      </c>
      <c r="AEE12" s="57">
        <f>'REG y VAL POE - AESR - ESR'!S668</f>
        <v>0</v>
      </c>
      <c r="AEF12" s="57">
        <f>'REG y VAL POE - AESR - ESR'!T668</f>
        <v>0</v>
      </c>
      <c r="AEG12" s="56">
        <f>'REG y VAL POE - AESR - ESR'!U668</f>
        <v>0</v>
      </c>
      <c r="AEH12" s="57">
        <f>'REG y VAL POE - AESR - ESR'!V668</f>
        <v>0</v>
      </c>
      <c r="AEI12" s="57">
        <f>'REG y VAL POE - AESR - ESR'!W668</f>
        <v>0</v>
      </c>
      <c r="AEJ12" s="56">
        <f>'REG y VAL POE - AESR - ESR'!X668</f>
        <v>0</v>
      </c>
      <c r="AEK12" s="57">
        <f>'REG y VAL POE - AESR - ESR'!Y668</f>
        <v>0</v>
      </c>
      <c r="AEL12" s="58">
        <f>'REG y VAL POE - AESR - ESR'!Z668</f>
        <v>0</v>
      </c>
      <c r="AEM12" s="56">
        <f>'REG y VAL POE - AESR - ESR'!AA668</f>
        <v>0</v>
      </c>
      <c r="AEN12" s="57">
        <f>'REG y VAL POE - AESR - ESR'!AB668</f>
        <v>0</v>
      </c>
      <c r="AEO12" s="57">
        <f>'REG y VAL POE - AESR - ESR'!AC668</f>
        <v>0</v>
      </c>
      <c r="AEP12" s="57">
        <f>'REG y VAL POE - AESR - ESR'!AD668</f>
        <v>0</v>
      </c>
      <c r="AEQ12" s="56">
        <f>'REG y VAL POE - AESR - ESR'!AE668</f>
        <v>0</v>
      </c>
      <c r="AER12" s="57">
        <f>'REG y VAL POE - AESR - ESR'!AF668</f>
        <v>0</v>
      </c>
      <c r="AES12" s="57">
        <f>'REG y VAL POE - AESR - ESR'!AG668</f>
        <v>0</v>
      </c>
      <c r="AET12" s="56">
        <f>'REG y VAL POE - AESR - ESR'!AH668</f>
        <v>0</v>
      </c>
      <c r="AEU12" s="57">
        <f>'REG y VAL POE - AESR - ESR'!AI668</f>
        <v>0</v>
      </c>
      <c r="AEV12" s="58">
        <f>'REG y VAL POE - AESR - ESR'!AJ668</f>
        <v>0</v>
      </c>
      <c r="AEW12" s="56">
        <f>'REG y VAL POE - AESR - ESR'!AK668</f>
        <v>0</v>
      </c>
      <c r="AEX12" s="57">
        <f>'REG y VAL POE - AESR - ESR'!AL668</f>
        <v>0</v>
      </c>
      <c r="AEY12" s="57">
        <f>'REG y VAL POE - AESR - ESR'!AM668</f>
        <v>0</v>
      </c>
      <c r="AEZ12" s="57">
        <f>'REG y VAL POE - AESR - ESR'!AN668</f>
        <v>0</v>
      </c>
      <c r="AFA12" s="56">
        <f>'REG y VAL POE - AESR - ESR'!AO668</f>
        <v>0</v>
      </c>
      <c r="AFB12" s="57">
        <f>'REG y VAL POE - AESR - ESR'!AP668</f>
        <v>0</v>
      </c>
      <c r="AFC12" s="57">
        <f>'REG y VAL POE - AESR - ESR'!AQ668</f>
        <v>0</v>
      </c>
      <c r="AFD12" s="56">
        <f>'REG y VAL POE - AESR - ESR'!AR668</f>
        <v>0</v>
      </c>
      <c r="AFE12" s="57">
        <f>'REG y VAL POE - AESR - ESR'!AS668</f>
        <v>0</v>
      </c>
      <c r="AFF12" s="58">
        <f>'REG y VAL POE - AESR - ESR'!B669</f>
        <v>0</v>
      </c>
      <c r="AFG12" s="56">
        <f>'REG y VAL POE - AESR - ESR'!C669</f>
        <v>0</v>
      </c>
      <c r="AFH12" s="57">
        <f>'REG y VAL POE - AESR - ESR'!D669</f>
        <v>0</v>
      </c>
      <c r="AFI12" s="57">
        <f>'REG y VAL POE - AESR - ESR'!E669</f>
        <v>0</v>
      </c>
      <c r="AFJ12" s="57">
        <f>'REG y VAL POE - AESR - ESR'!F669</f>
        <v>0</v>
      </c>
      <c r="AFK12" s="56">
        <f>'REG y VAL POE - AESR - ESR'!G669</f>
        <v>0</v>
      </c>
      <c r="AFL12" s="57">
        <f>'REG y VAL POE - AESR - ESR'!H669</f>
        <v>0</v>
      </c>
      <c r="AFM12" s="57">
        <f>'REG y VAL POE - AESR - ESR'!I669</f>
        <v>0</v>
      </c>
      <c r="AFN12" s="56">
        <f>'REG y VAL POE - AESR - ESR'!J669</f>
        <v>0</v>
      </c>
      <c r="AFO12" s="57">
        <f>'REG y VAL POE - AESR - ESR'!K669</f>
        <v>0</v>
      </c>
      <c r="AFP12" s="58">
        <f>'REG y VAL POE - AESR - ESR'!L669</f>
        <v>0</v>
      </c>
      <c r="AFQ12" s="56">
        <f>'REG y VAL POE - AESR - ESR'!M669</f>
        <v>0</v>
      </c>
      <c r="AFR12" s="57">
        <f>'REG y VAL POE - AESR - ESR'!N669</f>
        <v>0</v>
      </c>
      <c r="AFS12" s="57">
        <f>'REG y VAL POE - AESR - ESR'!O669</f>
        <v>0</v>
      </c>
      <c r="AFT12" s="57">
        <f>'REG y VAL POE - AESR - ESR'!P669</f>
        <v>0</v>
      </c>
      <c r="AFU12" s="56">
        <f>'REG y VAL POE - AESR - ESR'!Q669</f>
        <v>0</v>
      </c>
      <c r="AFV12" s="57">
        <f>'REG y VAL POE - AESR - ESR'!R669</f>
        <v>0</v>
      </c>
      <c r="AFW12" s="57">
        <f>'REG y VAL POE - AESR - ESR'!S669</f>
        <v>0</v>
      </c>
      <c r="AFX12" s="56">
        <f>'REG y VAL POE - AESR - ESR'!T669</f>
        <v>0</v>
      </c>
      <c r="AFY12" s="57">
        <f>'REG y VAL POE - AESR - ESR'!U669</f>
        <v>0</v>
      </c>
      <c r="AFZ12" s="58">
        <f>'REG y VAL POE - AESR - ESR'!V669</f>
        <v>0</v>
      </c>
      <c r="AGA12" s="56">
        <f>'REG y VAL POE - AESR - ESR'!W669</f>
        <v>0</v>
      </c>
      <c r="AGB12" s="57">
        <f>'REG y VAL POE - AESR - ESR'!X669</f>
        <v>0</v>
      </c>
      <c r="AGC12" s="57">
        <f>'REG y VAL POE - AESR - ESR'!Y669</f>
        <v>0</v>
      </c>
      <c r="AGD12" s="57">
        <f>'REG y VAL POE - AESR - ESR'!Z669</f>
        <v>0</v>
      </c>
      <c r="AGE12" s="56">
        <f>'REG y VAL POE - AESR - ESR'!AA669</f>
        <v>0</v>
      </c>
      <c r="AGF12" s="57">
        <f>'REG y VAL POE - AESR - ESR'!AB669</f>
        <v>0</v>
      </c>
      <c r="AGG12" s="57">
        <f>'REG y VAL POE - AESR - ESR'!AC669</f>
        <v>0</v>
      </c>
      <c r="AGH12" s="56">
        <f>'REG y VAL POE - AESR - ESR'!AD669</f>
        <v>0</v>
      </c>
      <c r="AGI12" s="57">
        <f>'REG y VAL POE - AESR - ESR'!AE669</f>
        <v>0</v>
      </c>
      <c r="AGJ12" s="58">
        <f>'REG y VAL POE - AESR - ESR'!AF669</f>
        <v>0</v>
      </c>
      <c r="AGK12" s="56">
        <f>'REG y VAL POE - AESR - ESR'!AG669</f>
        <v>0</v>
      </c>
      <c r="AGL12" s="57">
        <f>'REG y VAL POE - AESR - ESR'!AH669</f>
        <v>0</v>
      </c>
      <c r="AGM12" s="57">
        <f>'REG y VAL POE - AESR - ESR'!AI669</f>
        <v>0</v>
      </c>
      <c r="AGN12" s="57">
        <f>'REG y VAL POE - AESR - ESR'!AJ669</f>
        <v>0</v>
      </c>
      <c r="AGO12" s="56">
        <f>'REG y VAL POE - AESR - ESR'!AK669</f>
        <v>0</v>
      </c>
      <c r="AGP12" s="57">
        <f>'REG y VAL POE - AESR - ESR'!AL669</f>
        <v>0</v>
      </c>
      <c r="AGQ12" s="57">
        <f>'REG y VAL POE - AESR - ESR'!AM669</f>
        <v>0</v>
      </c>
      <c r="AGR12" s="56">
        <f>'REG y VAL POE - AESR - ESR'!AN669</f>
        <v>0</v>
      </c>
      <c r="AGS12" s="57">
        <f>'REG y VAL POE - AESR - ESR'!AO669</f>
        <v>0</v>
      </c>
      <c r="AGT12" s="58">
        <f>'REG y VAL POE - AESR - ESR'!AP669</f>
        <v>0</v>
      </c>
      <c r="AGU12" s="56">
        <f>'REG y VAL POE - AESR - ESR'!AQ669</f>
        <v>0</v>
      </c>
      <c r="AGV12" s="57">
        <f>'REG y VAL POE - AESR - ESR'!AR669</f>
        <v>0</v>
      </c>
      <c r="AGW12" s="57">
        <f>'REG y VAL POE - AESR - ESR'!AS669</f>
        <v>0</v>
      </c>
      <c r="AGX12" s="57"/>
      <c r="AGY12" s="56"/>
      <c r="AGZ12" s="57"/>
      <c r="AHA12" s="57"/>
      <c r="AHB12" s="56"/>
      <c r="AHC12" s="57"/>
      <c r="AHD12" s="58"/>
      <c r="AHE12" s="56"/>
      <c r="AHF12" s="57"/>
      <c r="AHG12" s="57"/>
      <c r="AHH12" s="57"/>
      <c r="AHI12" s="56"/>
      <c r="AHJ12" s="57"/>
      <c r="AHK12" s="57"/>
      <c r="AHL12" s="56"/>
      <c r="AHM12" s="57"/>
      <c r="AHN12" s="58"/>
      <c r="AHO12" s="56"/>
      <c r="AHP12" s="57"/>
      <c r="AHQ12" s="57"/>
      <c r="AHR12" s="57"/>
      <c r="AHS12" s="56"/>
      <c r="AHT12" s="57"/>
      <c r="AHU12" s="57"/>
      <c r="AHV12" s="56"/>
      <c r="AHW12" s="57"/>
      <c r="AHX12" s="58"/>
      <c r="AHY12" s="56"/>
      <c r="AHZ12" s="57"/>
      <c r="AIA12" s="57"/>
      <c r="AIB12" s="57"/>
      <c r="AIC12" s="56"/>
      <c r="AID12" s="57"/>
      <c r="AIE12" s="57"/>
      <c r="AIF12" s="56"/>
      <c r="AIG12" s="57"/>
      <c r="AIH12" s="58"/>
      <c r="AII12" s="56"/>
      <c r="AIJ12" s="57"/>
      <c r="AIK12" s="57"/>
      <c r="AIL12" s="57"/>
      <c r="AIM12" s="56"/>
      <c r="AIN12" s="57"/>
      <c r="AIO12" s="57"/>
      <c r="AIP12" s="56"/>
      <c r="AIQ12" s="57"/>
      <c r="AIR12" s="58"/>
      <c r="AIS12" s="56"/>
      <c r="AIT12" s="57"/>
      <c r="AIU12" s="57"/>
      <c r="AIV12" s="57"/>
      <c r="AIW12" s="56"/>
      <c r="AIX12" s="57"/>
      <c r="AIY12" s="57"/>
      <c r="AIZ12" s="56"/>
      <c r="AJA12" s="57"/>
      <c r="AJB12" s="58"/>
      <c r="AJC12" s="56"/>
      <c r="AJD12" s="57"/>
      <c r="AJE12" s="57"/>
      <c r="AJF12" s="57"/>
      <c r="AJG12" s="56"/>
      <c r="AJH12" s="57"/>
      <c r="AJI12" s="57"/>
      <c r="AJJ12" s="56"/>
      <c r="AJK12" s="57"/>
      <c r="AJL12" s="58"/>
      <c r="AJM12" s="56"/>
      <c r="AJN12" s="57"/>
      <c r="AJO12" s="57"/>
      <c r="AJP12" s="57"/>
      <c r="AJQ12" s="56"/>
      <c r="AJR12" s="57"/>
      <c r="AJS12" s="57"/>
      <c r="AJT12" s="56"/>
      <c r="AJU12" s="57"/>
      <c r="AJV12" s="58"/>
      <c r="AJW12" s="56"/>
      <c r="AJX12" s="57"/>
      <c r="AJY12" s="57"/>
      <c r="AJZ12" s="57"/>
      <c r="AKA12" s="56"/>
      <c r="AKB12" s="57"/>
      <c r="AKC12" s="57"/>
      <c r="AKD12" s="56"/>
      <c r="AKE12" s="57"/>
      <c r="AKF12" s="58"/>
      <c r="AKG12" s="56"/>
      <c r="AKH12" s="57"/>
      <c r="AKI12" s="57"/>
      <c r="AKJ12" s="57"/>
      <c r="AKK12" s="56"/>
      <c r="AKL12" s="57"/>
      <c r="AKM12" s="57"/>
      <c r="AKN12" s="56"/>
      <c r="AKO12" s="57"/>
      <c r="AKP12" s="58"/>
      <c r="AKQ12" s="56"/>
      <c r="AKR12" s="57"/>
      <c r="AKS12" s="57"/>
      <c r="AKT12" s="57"/>
      <c r="AKU12" s="56"/>
      <c r="AKV12" s="57"/>
      <c r="AKW12" s="57"/>
      <c r="AKX12" s="56"/>
      <c r="AKY12" s="57"/>
      <c r="AKZ12" s="58"/>
      <c r="ALA12" s="56"/>
      <c r="ALB12" s="57"/>
      <c r="ALC12" s="57"/>
      <c r="ALD12" s="57"/>
      <c r="ALE12" s="56"/>
      <c r="ALF12" s="57"/>
      <c r="ALG12" s="57"/>
      <c r="ALH12" s="57"/>
      <c r="ALI12" s="57"/>
      <c r="ALJ12" s="57"/>
      <c r="ALK12" s="56"/>
      <c r="ALL12" s="57"/>
      <c r="ALM12" s="57"/>
      <c r="ALN12" s="56"/>
      <c r="ALO12" s="57"/>
      <c r="ALP12" s="58"/>
      <c r="ALQ12" s="56"/>
      <c r="ALR12" s="57"/>
      <c r="ALS12" s="57"/>
      <c r="ALT12" s="57"/>
      <c r="ALU12" s="56"/>
      <c r="ALV12" s="57"/>
      <c r="ALW12" s="57"/>
      <c r="ALX12" s="56"/>
      <c r="ALY12" s="57"/>
      <c r="ALZ12" s="58"/>
      <c r="AMA12" s="56"/>
      <c r="AMB12" s="57"/>
      <c r="AMC12" s="57"/>
      <c r="AMD12" s="57"/>
      <c r="AME12" s="56"/>
      <c r="AMF12" s="57"/>
      <c r="AMG12" s="57"/>
      <c r="AMH12" s="57"/>
      <c r="AMI12" s="57"/>
      <c r="AMJ12" s="57"/>
      <c r="AMK12" s="56"/>
      <c r="AML12" s="57"/>
      <c r="AMM12" s="57"/>
      <c r="AMN12" s="56"/>
      <c r="AMO12" s="57"/>
      <c r="AMP12" s="58"/>
      <c r="AMQ12" s="56"/>
      <c r="AMR12" s="57"/>
      <c r="AMS12" s="57"/>
      <c r="AMT12" s="57"/>
      <c r="AMU12" s="56"/>
      <c r="AMV12" s="57"/>
      <c r="AMW12" s="57"/>
      <c r="AMX12" s="56"/>
      <c r="AMY12" s="57"/>
      <c r="AMZ12" s="58"/>
      <c r="ANA12" s="56"/>
      <c r="ANB12" s="57"/>
      <c r="ANC12" s="57"/>
      <c r="AND12" s="57"/>
      <c r="ANE12" s="56"/>
      <c r="ANF12" s="57"/>
      <c r="ANG12" s="57"/>
      <c r="ANH12" s="57"/>
      <c r="ANI12" s="57"/>
      <c r="ANJ12" s="57"/>
      <c r="ANK12" s="56"/>
      <c r="ANL12" s="57"/>
      <c r="ANM12" s="57"/>
      <c r="ANN12" s="56"/>
      <c r="ANO12" s="57"/>
      <c r="ANP12" s="58"/>
      <c r="ANQ12" s="56"/>
      <c r="ANR12" s="57"/>
      <c r="ANS12" s="57"/>
      <c r="ANT12" s="57"/>
      <c r="ANU12" s="56"/>
      <c r="ANV12" s="57"/>
      <c r="ANW12" s="57"/>
      <c r="ANX12" s="56"/>
      <c r="ANY12" s="57"/>
      <c r="ANZ12" s="58"/>
      <c r="AOA12" s="56"/>
      <c r="AOB12" s="57"/>
      <c r="AOC12" s="57"/>
      <c r="AOD12" s="57"/>
      <c r="AOE12" s="56"/>
      <c r="AOF12" s="57"/>
      <c r="AOG12" s="57"/>
      <c r="AOH12" s="57"/>
      <c r="AOI12" s="57"/>
      <c r="AOJ12" s="57"/>
      <c r="AOK12" s="56"/>
      <c r="AOL12" s="57"/>
      <c r="AOM12" s="57"/>
      <c r="AON12" s="56"/>
      <c r="AOO12" s="57"/>
      <c r="AOP12" s="58"/>
      <c r="AOQ12" s="56"/>
      <c r="AOR12" s="57"/>
      <c r="AOS12" s="57"/>
      <c r="AOT12" s="57"/>
      <c r="AOU12" s="56"/>
      <c r="AOV12" s="57"/>
      <c r="AOW12" s="57"/>
      <c r="AOX12" s="56"/>
      <c r="AOY12" s="57"/>
      <c r="AOZ12" s="58"/>
      <c r="APA12" s="56"/>
      <c r="APB12" s="57"/>
      <c r="APC12" s="57"/>
      <c r="APD12" s="57"/>
      <c r="APE12" s="56"/>
      <c r="APF12" s="57"/>
      <c r="APG12" s="57"/>
      <c r="APH12" s="57"/>
      <c r="API12" s="57"/>
      <c r="APJ12" s="57"/>
      <c r="APK12" s="56"/>
      <c r="APL12" s="57"/>
      <c r="APM12" s="57"/>
      <c r="APN12" s="56"/>
      <c r="APO12" s="57"/>
      <c r="APP12" s="58"/>
      <c r="APQ12" s="56"/>
      <c r="APR12" s="57"/>
      <c r="APS12" s="57"/>
      <c r="APT12" s="57"/>
      <c r="APU12" s="56"/>
      <c r="APV12" s="57"/>
      <c r="APW12" s="57"/>
      <c r="APX12" s="56"/>
      <c r="APY12" s="57"/>
      <c r="APZ12" s="58"/>
      <c r="AQA12" s="56"/>
      <c r="AQB12" s="57"/>
      <c r="AQC12" s="57"/>
      <c r="AQD12" s="57"/>
      <c r="AQE12" s="56"/>
      <c r="AQF12" s="57"/>
      <c r="AQG12" s="57"/>
      <c r="AQH12" s="57"/>
      <c r="AQI12" s="57"/>
      <c r="AQJ12" s="57"/>
      <c r="AQK12" s="56"/>
      <c r="AQL12" s="57"/>
      <c r="AQM12" s="57"/>
      <c r="AQN12" s="56"/>
      <c r="AQO12" s="57"/>
      <c r="AQP12" s="58"/>
      <c r="AQQ12" s="56"/>
      <c r="AQR12" s="57"/>
      <c r="AQS12" s="57"/>
      <c r="AQT12" s="57"/>
      <c r="AQU12" s="56"/>
      <c r="AQV12" s="57"/>
      <c r="AQW12" s="57"/>
      <c r="AQX12" s="56"/>
      <c r="AQY12" s="57"/>
      <c r="AQZ12" s="58"/>
      <c r="ARA12" s="56"/>
      <c r="ARB12" s="57"/>
      <c r="ARC12" s="57"/>
      <c r="ARD12" s="57"/>
      <c r="ARE12" s="56"/>
      <c r="ARF12" s="57"/>
      <c r="ARG12" s="57"/>
      <c r="ARH12" s="57"/>
      <c r="ARI12" s="57"/>
      <c r="ARJ12" s="57"/>
      <c r="ARK12" s="56"/>
      <c r="ARL12" s="57"/>
      <c r="ARM12" s="57"/>
      <c r="ARN12" s="56"/>
      <c r="ARO12" s="57"/>
      <c r="ARP12" s="58"/>
      <c r="ARQ12" s="56"/>
      <c r="ARR12" s="57"/>
      <c r="ARS12" s="57"/>
      <c r="ART12" s="57"/>
      <c r="ARU12" s="56"/>
      <c r="ARV12" s="57"/>
      <c r="ARW12" s="57"/>
      <c r="ARX12" s="56"/>
      <c r="ARY12" s="57"/>
      <c r="ARZ12" s="58"/>
      <c r="ASA12" s="56"/>
      <c r="ASB12" s="57"/>
      <c r="ASC12" s="57"/>
      <c r="ASD12" s="57"/>
      <c r="ASE12" s="56"/>
      <c r="ASF12" s="57"/>
      <c r="ASG12" s="57"/>
      <c r="ASH12" s="57"/>
      <c r="ASI12" s="57"/>
      <c r="ASJ12" s="57"/>
      <c r="ASK12" s="56"/>
      <c r="ASL12" s="57"/>
      <c r="ASM12" s="57"/>
      <c r="ASN12" s="56"/>
      <c r="ASO12" s="57"/>
      <c r="ASP12" s="58"/>
      <c r="ASQ12" s="56"/>
      <c r="ASR12" s="57"/>
      <c r="ASS12" s="57"/>
      <c r="AST12" s="57"/>
      <c r="ASU12" s="56"/>
      <c r="ASV12" s="57"/>
      <c r="ASW12" s="57"/>
      <c r="ASX12" s="56"/>
      <c r="ASY12" s="57"/>
      <c r="ASZ12" s="58"/>
      <c r="ATA12" s="56"/>
      <c r="ATB12" s="57"/>
      <c r="ATC12" s="57"/>
      <c r="ATD12" s="57"/>
      <c r="ATE12" s="56"/>
      <c r="ATF12" s="57"/>
      <c r="ATG12" s="57"/>
      <c r="ATH12" s="57"/>
      <c r="ATI12" s="57"/>
      <c r="ATJ12" s="57"/>
      <c r="ATK12" s="56"/>
      <c r="ATL12" s="57"/>
      <c r="ATM12" s="57"/>
      <c r="ATN12" s="56"/>
      <c r="ATO12" s="57"/>
      <c r="ATP12" s="58"/>
      <c r="ATQ12" s="56"/>
      <c r="ATR12" s="57"/>
      <c r="ATS12" s="57"/>
      <c r="ATT12" s="57"/>
      <c r="ATU12" s="56"/>
      <c r="ATV12" s="57"/>
      <c r="ATW12" s="57"/>
      <c r="ATX12" s="56"/>
      <c r="ATY12" s="57"/>
      <c r="ATZ12" s="58"/>
      <c r="AUA12" s="56"/>
      <c r="AUB12" s="57"/>
      <c r="AUC12" s="57"/>
      <c r="AUD12" s="57"/>
      <c r="AUE12" s="56"/>
      <c r="AUF12" s="57"/>
      <c r="AUG12" s="57"/>
      <c r="AUH12" s="57"/>
      <c r="AUI12" s="57"/>
      <c r="AUJ12" s="57"/>
      <c r="AUK12" s="56"/>
      <c r="AUL12" s="57"/>
      <c r="AUM12" s="57"/>
      <c r="AUN12" s="56"/>
      <c r="AUO12" s="57"/>
      <c r="AUP12" s="58"/>
      <c r="AUQ12" s="56"/>
      <c r="AUR12" s="57"/>
      <c r="AUS12" s="57"/>
      <c r="AUT12" s="57"/>
      <c r="AUU12" s="56"/>
      <c r="AUV12" s="57"/>
      <c r="AUW12" s="57"/>
      <c r="AUX12" s="56"/>
      <c r="AUY12" s="57"/>
      <c r="AUZ12" s="58"/>
      <c r="AVA12" s="56"/>
      <c r="AVB12" s="57"/>
      <c r="AVC12" s="57"/>
      <c r="AVD12" s="57"/>
      <c r="AVE12" s="56"/>
      <c r="AVF12" s="57"/>
      <c r="AVG12" s="57"/>
      <c r="AVH12" s="57"/>
      <c r="AVI12" s="57"/>
      <c r="AVJ12" s="57"/>
      <c r="AVK12" s="56"/>
      <c r="AVL12" s="57"/>
      <c r="AVM12" s="57"/>
      <c r="AVN12" s="56"/>
      <c r="AVO12" s="57"/>
      <c r="AVP12" s="58"/>
      <c r="AVQ12" s="56"/>
      <c r="AVR12" s="57"/>
      <c r="AVS12" s="57"/>
      <c r="AVT12" s="57"/>
      <c r="AVU12" s="56"/>
      <c r="AVV12" s="57"/>
      <c r="AVW12" s="57"/>
      <c r="AVX12" s="56"/>
      <c r="AVY12" s="57"/>
      <c r="AVZ12" s="58"/>
      <c r="AWA12" s="56"/>
      <c r="AWB12" s="57"/>
      <c r="AWC12" s="57"/>
      <c r="AWD12" s="57"/>
      <c r="AWE12" s="56"/>
      <c r="AWF12" s="57"/>
      <c r="AWG12" s="57"/>
      <c r="AWH12" s="57"/>
      <c r="AWI12" s="57"/>
      <c r="AWJ12" s="57"/>
      <c r="AWK12" s="56"/>
      <c r="AWL12" s="57"/>
      <c r="AWM12" s="57"/>
      <c r="AWN12" s="56"/>
      <c r="AWO12" s="57"/>
      <c r="AWP12" s="58"/>
      <c r="AWQ12" s="56"/>
      <c r="AWR12" s="57"/>
      <c r="AWS12" s="57"/>
      <c r="AWT12" s="57"/>
      <c r="AWU12" s="56"/>
      <c r="AWV12" s="57"/>
      <c r="AWW12" s="57"/>
      <c r="AWX12" s="56"/>
      <c r="AWY12" s="57"/>
      <c r="AWZ12" s="58"/>
      <c r="AXA12" s="56"/>
      <c r="AXB12" s="57"/>
      <c r="AXC12" s="57"/>
      <c r="AXD12" s="57"/>
      <c r="AXE12" s="56"/>
      <c r="AXF12" s="57"/>
      <c r="AXG12" s="57"/>
      <c r="AXH12" s="57"/>
      <c r="AXI12" s="57"/>
      <c r="AXJ12" s="57"/>
      <c r="AXK12" s="56"/>
      <c r="AXL12" s="57"/>
      <c r="AXM12" s="57"/>
      <c r="AXN12" s="56"/>
      <c r="AXO12" s="57"/>
      <c r="AXP12" s="58"/>
      <c r="AXQ12" s="56"/>
      <c r="AXR12" s="57"/>
      <c r="AXS12" s="57"/>
      <c r="AXT12" s="57"/>
      <c r="AXU12" s="56"/>
      <c r="AXV12" s="57"/>
      <c r="AXW12" s="57"/>
      <c r="AXX12" s="56"/>
      <c r="AXY12" s="57"/>
      <c r="AXZ12" s="58"/>
      <c r="AYA12" s="56"/>
      <c r="AYB12" s="57"/>
      <c r="AYC12" s="57"/>
      <c r="AYD12" s="57"/>
      <c r="AYE12" s="56"/>
      <c r="AYF12" s="57"/>
      <c r="AYG12" s="57"/>
      <c r="AYH12" s="57"/>
      <c r="AYI12" s="57"/>
      <c r="AYJ12" s="57"/>
      <c r="AYK12" s="56"/>
      <c r="AYL12" s="57"/>
      <c r="AYM12" s="57"/>
      <c r="AYN12" s="56"/>
      <c r="AYO12" s="57"/>
      <c r="AYP12" s="58"/>
      <c r="AYQ12" s="56"/>
      <c r="AYR12" s="57"/>
      <c r="AYS12" s="57"/>
      <c r="AYT12" s="57"/>
      <c r="AYU12" s="56"/>
      <c r="AYV12" s="57"/>
      <c r="AYW12" s="57"/>
      <c r="AYX12" s="56"/>
      <c r="AYY12" s="57"/>
      <c r="AYZ12" s="58"/>
      <c r="AZA12" s="56"/>
      <c r="AZB12" s="57"/>
      <c r="AZC12" s="57"/>
      <c r="AZD12" s="57"/>
      <c r="AZE12" s="56"/>
      <c r="AZF12" s="57"/>
      <c r="AZG12" s="57"/>
      <c r="AZH12" s="57"/>
      <c r="AZI12" s="57"/>
      <c r="AZJ12" s="57"/>
      <c r="AZK12" s="56"/>
      <c r="AZL12" s="57"/>
      <c r="AZM12" s="57"/>
      <c r="AZN12" s="56"/>
      <c r="AZO12" s="57"/>
      <c r="AZP12" s="58"/>
      <c r="AZQ12" s="56"/>
      <c r="AZR12" s="57"/>
      <c r="AZS12" s="57"/>
      <c r="AZT12" s="57"/>
      <c r="AZU12" s="56"/>
      <c r="AZV12" s="57"/>
      <c r="AZW12" s="57"/>
      <c r="AZX12" s="56"/>
      <c r="AZY12" s="57"/>
      <c r="AZZ12" s="58"/>
      <c r="BAA12" s="56"/>
      <c r="BAB12" s="57"/>
      <c r="BAC12" s="57"/>
      <c r="BAD12" s="57"/>
      <c r="BAE12" s="56"/>
      <c r="BAF12" s="57"/>
      <c r="BAG12" s="57"/>
      <c r="BAH12" s="57"/>
      <c r="BAI12" s="57"/>
      <c r="BAJ12" s="57"/>
      <c r="BAK12" s="56"/>
      <c r="BAL12" s="57"/>
      <c r="BAM12" s="57"/>
      <c r="BAN12" s="56"/>
      <c r="BAO12" s="57"/>
      <c r="BAP12" s="58"/>
      <c r="BAQ12" s="56"/>
      <c r="BAR12" s="57"/>
      <c r="BAS12" s="57"/>
      <c r="BAT12" s="57"/>
      <c r="BAU12" s="56"/>
      <c r="BAV12" s="57"/>
      <c r="BAW12" s="57"/>
      <c r="BAX12" s="56"/>
      <c r="BAY12" s="57"/>
      <c r="BAZ12" s="58"/>
      <c r="BBA12" s="56"/>
      <c r="BBB12" s="57"/>
      <c r="BBC12" s="57"/>
      <c r="BBD12" s="57"/>
      <c r="BBE12" s="56"/>
      <c r="BBF12" s="57"/>
      <c r="BBG12" s="57"/>
      <c r="BBH12" s="57"/>
      <c r="BBI12" s="57"/>
      <c r="BBJ12" s="57"/>
      <c r="BBK12" s="56"/>
      <c r="BBL12" s="57"/>
      <c r="BBM12" s="57"/>
      <c r="BBN12" s="56"/>
      <c r="BBO12" s="57"/>
      <c r="BBP12" s="58"/>
      <c r="BBQ12" s="56"/>
      <c r="BBR12" s="57"/>
      <c r="BBS12" s="57"/>
      <c r="BBT12" s="57"/>
      <c r="BBU12" s="56"/>
      <c r="BBV12" s="57"/>
      <c r="BBW12" s="57"/>
      <c r="BBX12" s="56"/>
      <c r="BBY12" s="57"/>
      <c r="BBZ12" s="58"/>
      <c r="BCA12" s="56"/>
      <c r="BCB12" s="57"/>
      <c r="BCC12" s="57"/>
      <c r="BCD12" s="57"/>
      <c r="BCE12" s="56"/>
      <c r="BCF12" s="57"/>
      <c r="BCG12" s="57"/>
      <c r="BCH12" s="57"/>
      <c r="BCI12" s="57"/>
      <c r="BCJ12" s="57"/>
      <c r="BCK12" s="56"/>
      <c r="BCL12" s="57"/>
      <c r="BCM12" s="57"/>
      <c r="BCN12" s="56"/>
      <c r="BCO12" s="57"/>
      <c r="BCP12" s="58"/>
      <c r="BCQ12" s="56"/>
      <c r="BCR12" s="57"/>
      <c r="BCS12" s="57"/>
      <c r="BCT12" s="57"/>
      <c r="BCU12" s="56"/>
      <c r="BCV12" s="57"/>
      <c r="BCW12" s="57"/>
      <c r="BCX12" s="56"/>
      <c r="BCY12" s="57"/>
      <c r="BCZ12" s="58"/>
      <c r="BDA12" s="56"/>
      <c r="BDB12" s="57"/>
      <c r="BDC12" s="57"/>
      <c r="BDD12" s="57"/>
      <c r="BDE12" s="56"/>
      <c r="BDF12" s="57"/>
      <c r="BDG12" s="57"/>
      <c r="BDH12" s="57"/>
      <c r="BDI12" s="57"/>
      <c r="BDJ12" s="57"/>
      <c r="BDK12" s="56"/>
      <c r="BDL12" s="57"/>
      <c r="BDM12" s="57"/>
      <c r="BDN12" s="56"/>
      <c r="BDO12" s="57"/>
      <c r="BDP12" s="58"/>
      <c r="BDQ12" s="56"/>
      <c r="BDR12" s="57"/>
      <c r="BDS12" s="57"/>
      <c r="BDT12" s="57"/>
      <c r="BDU12" s="56"/>
      <c r="BDV12" s="57"/>
      <c r="BDW12" s="57"/>
      <c r="BDX12" s="56"/>
      <c r="BDY12" s="57"/>
      <c r="BDZ12" s="58"/>
      <c r="BEA12" s="56"/>
      <c r="BEB12" s="57"/>
      <c r="BEC12" s="57"/>
      <c r="BED12" s="57"/>
      <c r="BEE12" s="56"/>
      <c r="BEF12" s="57"/>
      <c r="BEG12" s="57"/>
      <c r="BEH12" s="57"/>
      <c r="BEI12" s="57"/>
      <c r="BEJ12" s="57"/>
      <c r="BEK12" s="56"/>
      <c r="BEL12" s="57"/>
      <c r="BEM12" s="57"/>
      <c r="BEN12" s="56"/>
      <c r="BEO12" s="57"/>
      <c r="BEP12" s="58"/>
      <c r="BEQ12" s="56"/>
      <c r="BER12" s="57"/>
      <c r="BES12" s="57"/>
      <c r="BET12" s="57"/>
      <c r="BEU12" s="56"/>
      <c r="BEV12" s="57"/>
      <c r="BEW12" s="57"/>
      <c r="BEX12" s="56"/>
      <c r="BEY12" s="57"/>
      <c r="BEZ12" s="58"/>
      <c r="BFA12" s="56"/>
      <c r="BFB12" s="57"/>
      <c r="BFC12" s="57"/>
      <c r="BFD12" s="57"/>
      <c r="BFE12" s="56"/>
      <c r="BFF12" s="57"/>
      <c r="BFG12" s="57"/>
      <c r="BFH12" s="57"/>
      <c r="BFI12" s="57"/>
      <c r="BFJ12" s="57"/>
      <c r="BFK12" s="56"/>
      <c r="BFL12" s="57"/>
      <c r="BFM12" s="57"/>
      <c r="BFN12" s="56"/>
      <c r="BFO12" s="57"/>
      <c r="BFP12" s="58"/>
      <c r="BFQ12" s="56"/>
      <c r="BFR12" s="57"/>
      <c r="BFS12" s="57"/>
      <c r="BFT12" s="57"/>
      <c r="BFU12" s="56"/>
      <c r="BFV12" s="57"/>
      <c r="BFW12" s="57"/>
      <c r="BFX12" s="56"/>
      <c r="BFY12" s="57"/>
      <c r="BFZ12" s="58"/>
      <c r="BGA12" s="56"/>
      <c r="BGB12" s="57"/>
      <c r="BGC12" s="57"/>
      <c r="BGD12" s="57"/>
      <c r="BGE12" s="56"/>
      <c r="BGF12" s="57"/>
      <c r="BGG12" s="57"/>
      <c r="BGH12" s="57"/>
      <c r="BGI12" s="57"/>
      <c r="BGJ12" s="57"/>
      <c r="BGK12" s="56"/>
      <c r="BGL12" s="57"/>
      <c r="BGM12" s="57"/>
      <c r="BGN12" s="56"/>
      <c r="BGO12" s="57"/>
      <c r="BGP12" s="58"/>
      <c r="BGQ12" s="56"/>
      <c r="BGR12" s="57"/>
      <c r="BGS12" s="57"/>
      <c r="BGT12" s="57"/>
      <c r="BGU12" s="56"/>
      <c r="BGV12" s="57"/>
      <c r="BGW12" s="57"/>
      <c r="BGX12" s="56"/>
      <c r="BGY12" s="57"/>
      <c r="BGZ12" s="58"/>
      <c r="BHA12" s="56"/>
      <c r="BHB12" s="57"/>
      <c r="BHC12" s="57"/>
      <c r="BHD12" s="57"/>
      <c r="BHE12" s="56"/>
      <c r="BHF12" s="57"/>
      <c r="BHG12" s="57"/>
      <c r="BHH12" s="57"/>
      <c r="BHI12" s="57"/>
      <c r="BHJ12" s="57"/>
      <c r="BHK12" s="56"/>
      <c r="BHL12" s="57"/>
      <c r="BHM12" s="57"/>
      <c r="BHN12" s="56"/>
      <c r="BHO12" s="57"/>
      <c r="BHP12" s="58"/>
      <c r="BHQ12" s="56"/>
      <c r="BHR12" s="57"/>
      <c r="BHS12" s="57"/>
      <c r="BHT12" s="57"/>
      <c r="BHU12" s="56"/>
      <c r="BHV12" s="57"/>
      <c r="BHW12" s="57"/>
      <c r="BHX12" s="56"/>
      <c r="BHY12" s="57"/>
      <c r="BHZ12" s="58"/>
      <c r="BIA12" s="56"/>
      <c r="BIB12" s="57"/>
      <c r="BIC12" s="57"/>
      <c r="BID12" s="57"/>
      <c r="BIE12" s="56"/>
      <c r="BIF12" s="57"/>
      <c r="BIG12" s="57"/>
      <c r="BIH12" s="57"/>
      <c r="BII12" s="57"/>
      <c r="BIJ12" s="57"/>
      <c r="BIK12" s="56"/>
      <c r="BIL12" s="57"/>
      <c r="BIM12" s="57"/>
      <c r="BIN12" s="56"/>
      <c r="BIO12" s="57"/>
      <c r="BIP12" s="58"/>
      <c r="BIQ12" s="56"/>
      <c r="BIR12" s="57"/>
      <c r="BIS12" s="57"/>
      <c r="BIT12" s="57"/>
      <c r="BIU12" s="56"/>
      <c r="BIV12" s="57"/>
      <c r="BIW12" s="57"/>
      <c r="BIX12" s="56"/>
      <c r="BIY12" s="57"/>
      <c r="BIZ12" s="58"/>
      <c r="BJA12" s="56"/>
      <c r="BJB12" s="57"/>
      <c r="BJC12" s="57"/>
      <c r="BJD12" s="57"/>
      <c r="BJE12" s="56"/>
      <c r="BJF12" s="57"/>
      <c r="BJG12" s="57"/>
      <c r="BJH12" s="57"/>
      <c r="BJI12" s="57"/>
      <c r="BJJ12" s="57"/>
      <c r="BJK12" s="56"/>
      <c r="BJL12" s="57"/>
      <c r="BJM12" s="57"/>
      <c r="BJN12" s="56"/>
      <c r="BJO12" s="57"/>
      <c r="BJP12" s="58"/>
      <c r="BJQ12" s="56"/>
      <c r="BJR12" s="57"/>
      <c r="BJS12" s="57"/>
      <c r="BJT12" s="57"/>
      <c r="BJU12" s="56"/>
      <c r="BJV12" s="57"/>
      <c r="BJW12" s="57"/>
      <c r="BJX12" s="56"/>
      <c r="BJY12" s="57"/>
      <c r="BJZ12" s="58"/>
      <c r="BKA12" s="56"/>
      <c r="BKB12" s="57"/>
      <c r="BKC12" s="57"/>
      <c r="BKD12" s="57"/>
      <c r="BKE12" s="56"/>
      <c r="BKF12" s="57"/>
      <c r="BKG12" s="57"/>
      <c r="BKH12" s="57"/>
      <c r="BKI12" s="57"/>
      <c r="BKJ12" s="57"/>
      <c r="BKK12" s="56"/>
      <c r="BKL12" s="57"/>
      <c r="BKM12" s="57"/>
      <c r="BKN12" s="56"/>
      <c r="BKO12" s="57"/>
      <c r="BKP12" s="58"/>
      <c r="BKQ12" s="56"/>
      <c r="BKR12" s="57"/>
      <c r="BKS12" s="57"/>
      <c r="BKT12" s="57"/>
      <c r="BKU12" s="56"/>
      <c r="BKV12" s="57"/>
      <c r="BKW12" s="57"/>
      <c r="BKX12" s="56"/>
      <c r="BKY12" s="57"/>
      <c r="BKZ12" s="58"/>
      <c r="BLA12" s="56"/>
      <c r="BLB12" s="57"/>
      <c r="BLC12" s="57"/>
      <c r="BLD12" s="57"/>
      <c r="BLE12" s="56"/>
      <c r="BLF12" s="57"/>
      <c r="BLG12" s="57"/>
      <c r="BLH12" s="57"/>
      <c r="BLI12" s="57"/>
      <c r="BLJ12" s="57"/>
      <c r="BLK12" s="56"/>
      <c r="BLL12" s="57"/>
      <c r="BLM12" s="57"/>
      <c r="BLN12" s="56"/>
      <c r="BLO12" s="57"/>
      <c r="BLP12" s="58"/>
      <c r="BLQ12" s="56"/>
      <c r="BLR12" s="57"/>
      <c r="BLS12" s="57"/>
      <c r="BLT12" s="57"/>
      <c r="BLU12" s="56"/>
      <c r="BLV12" s="57"/>
      <c r="BLW12" s="57"/>
      <c r="BLX12" s="56"/>
      <c r="BLY12" s="57"/>
      <c r="BLZ12" s="58"/>
      <c r="BMA12" s="56"/>
      <c r="BMB12" s="57"/>
      <c r="BMC12" s="57"/>
      <c r="BMD12" s="57"/>
      <c r="BME12" s="56"/>
      <c r="BMF12" s="57"/>
      <c r="BMG12" s="57"/>
      <c r="BMH12" s="57"/>
      <c r="BMI12" s="57"/>
      <c r="BMJ12" s="57"/>
      <c r="BMK12" s="56"/>
      <c r="BML12" s="57"/>
      <c r="BMM12" s="57"/>
      <c r="BMN12" s="56"/>
      <c r="BMO12" s="57"/>
      <c r="BMP12" s="58"/>
      <c r="BMQ12" s="56"/>
      <c r="BMR12" s="57"/>
      <c r="BMS12" s="57"/>
      <c r="BMT12" s="57"/>
      <c r="BMU12" s="56"/>
      <c r="BMV12" s="57"/>
      <c r="BMW12" s="57"/>
      <c r="BMX12" s="56"/>
      <c r="BMY12" s="57"/>
      <c r="BMZ12" s="58"/>
      <c r="BNA12" s="56"/>
      <c r="BNB12" s="57"/>
      <c r="BNC12" s="57"/>
      <c r="BND12" s="57"/>
      <c r="BNE12" s="56"/>
      <c r="BNF12" s="57"/>
      <c r="BNG12" s="57"/>
      <c r="BNH12" s="57"/>
      <c r="BNI12" s="57"/>
      <c r="BNJ12" s="57"/>
      <c r="BNK12" s="56"/>
      <c r="BNL12" s="57"/>
      <c r="BNM12" s="57"/>
      <c r="BNN12" s="56"/>
      <c r="BNO12" s="57"/>
      <c r="BNP12" s="58"/>
      <c r="BNQ12" s="56"/>
      <c r="BNR12" s="57"/>
      <c r="BNS12" s="57"/>
      <c r="BNT12" s="57"/>
      <c r="BNU12" s="56"/>
      <c r="BNV12" s="57"/>
      <c r="BNW12" s="57"/>
      <c r="BNX12" s="56"/>
      <c r="BNY12" s="57"/>
      <c r="BNZ12" s="58"/>
      <c r="BOA12" s="56"/>
      <c r="BOB12" s="57"/>
      <c r="BOC12" s="57"/>
      <c r="BOD12" s="57"/>
      <c r="BOE12" s="56"/>
      <c r="BOF12" s="57"/>
      <c r="BOG12" s="57"/>
      <c r="BOH12" s="57"/>
      <c r="BOI12" s="57"/>
      <c r="BOJ12" s="57"/>
      <c r="BOK12" s="56"/>
      <c r="BOL12" s="57"/>
      <c r="BOM12" s="57"/>
      <c r="BON12" s="56"/>
      <c r="BOO12" s="57"/>
      <c r="BOP12" s="58"/>
      <c r="BOQ12" s="56"/>
      <c r="BOR12" s="57"/>
      <c r="BOS12" s="57"/>
      <c r="BOT12" s="57"/>
      <c r="BOU12" s="56"/>
      <c r="BOV12" s="57"/>
      <c r="BOW12" s="57"/>
      <c r="BOX12" s="56"/>
      <c r="BOY12" s="57"/>
      <c r="BOZ12" s="58"/>
      <c r="BPA12" s="56"/>
      <c r="BPB12" s="57"/>
      <c r="BPC12" s="57"/>
      <c r="BPD12" s="57"/>
      <c r="BPE12" s="56"/>
      <c r="BPF12" s="57"/>
      <c r="BPG12" s="57"/>
      <c r="BPH12" s="57"/>
      <c r="BPI12" s="57"/>
      <c r="BPJ12" s="57"/>
      <c r="BPK12" s="56"/>
      <c r="BPL12" s="57"/>
      <c r="BPM12" s="57"/>
      <c r="BPN12" s="56"/>
      <c r="BPO12" s="57"/>
      <c r="BPP12" s="58"/>
      <c r="BPQ12" s="56"/>
      <c r="BPR12" s="57"/>
      <c r="BPS12" s="57"/>
      <c r="BPT12" s="57"/>
      <c r="BPU12" s="56"/>
      <c r="BPV12" s="57"/>
      <c r="BPW12" s="57"/>
      <c r="BPX12" s="56"/>
      <c r="BPY12" s="57"/>
      <c r="BPZ12" s="58"/>
      <c r="BQA12" s="56"/>
      <c r="BQB12" s="57"/>
      <c r="BQC12" s="57"/>
      <c r="BQD12" s="57"/>
      <c r="BQE12" s="56"/>
      <c r="BQF12" s="57"/>
      <c r="BQG12" s="57"/>
      <c r="BQH12" s="57"/>
      <c r="BQI12" s="57"/>
      <c r="BQJ12" s="57"/>
      <c r="BQK12" s="56"/>
      <c r="BQL12" s="57"/>
      <c r="BQM12" s="57"/>
      <c r="BQN12" s="56"/>
      <c r="BQO12" s="57"/>
      <c r="BQP12" s="58"/>
      <c r="BQQ12" s="56"/>
      <c r="BQR12" s="57"/>
      <c r="BQS12" s="57"/>
      <c r="BQT12" s="57"/>
      <c r="BQU12" s="56"/>
      <c r="BQV12" s="57"/>
      <c r="BQW12" s="57"/>
      <c r="BQX12" s="56"/>
      <c r="BQY12" s="57"/>
      <c r="BQZ12" s="58"/>
      <c r="BRA12" s="56"/>
      <c r="BRB12" s="57"/>
      <c r="BRC12" s="57"/>
      <c r="BRD12" s="57"/>
      <c r="BRE12" s="56"/>
      <c r="BRF12" s="57"/>
      <c r="BRG12" s="57"/>
      <c r="BRH12" s="57"/>
      <c r="BRI12" s="57"/>
      <c r="BRJ12" s="57"/>
      <c r="BRK12" s="56"/>
      <c r="BRL12" s="57"/>
      <c r="BRM12" s="57"/>
      <c r="BRN12" s="56"/>
      <c r="BRO12" s="57"/>
      <c r="BRP12" s="58"/>
      <c r="BRQ12" s="56"/>
      <c r="BRR12" s="57"/>
      <c r="BRS12" s="57"/>
      <c r="BRT12" s="57"/>
      <c r="BRU12" s="56"/>
      <c r="BRV12" s="57"/>
      <c r="BRW12" s="57"/>
      <c r="BRX12" s="56"/>
      <c r="BRY12" s="57"/>
      <c r="BRZ12" s="58"/>
      <c r="BSA12" s="56"/>
      <c r="BSB12" s="57"/>
      <c r="BSC12" s="57"/>
      <c r="BSD12" s="57"/>
      <c r="BSE12" s="56"/>
      <c r="BSF12" s="57"/>
      <c r="BSG12" s="57"/>
      <c r="BSH12" s="57"/>
      <c r="BSI12" s="57"/>
      <c r="BSJ12" s="57"/>
      <c r="BSK12" s="56"/>
      <c r="BSL12" s="57"/>
      <c r="BSM12" s="57"/>
      <c r="BSN12" s="56"/>
      <c r="BSO12" s="57"/>
      <c r="BSP12" s="58"/>
      <c r="BSQ12" s="56"/>
      <c r="BSR12" s="57"/>
      <c r="BSS12" s="57"/>
      <c r="BST12" s="57"/>
      <c r="BSU12" s="56"/>
      <c r="BSV12" s="57"/>
      <c r="BSW12" s="57"/>
      <c r="BSX12" s="56"/>
      <c r="BSY12" s="57"/>
      <c r="BSZ12" s="58"/>
      <c r="BTA12" s="56"/>
      <c r="BTB12" s="57"/>
      <c r="BTC12" s="57"/>
      <c r="BTD12" s="57"/>
      <c r="BTE12" s="56"/>
      <c r="BTF12" s="57"/>
      <c r="BTG12" s="57"/>
      <c r="BTH12" s="57"/>
      <c r="BTI12" s="57"/>
      <c r="BTJ12" s="57"/>
      <c r="BTK12" s="56"/>
      <c r="BTL12" s="57"/>
      <c r="BTM12" s="57"/>
      <c r="BTN12" s="56"/>
      <c r="BTO12" s="57"/>
      <c r="BTP12" s="58"/>
      <c r="BTQ12" s="56"/>
      <c r="BTR12" s="57"/>
      <c r="BTS12" s="57"/>
      <c r="BTT12" s="57"/>
      <c r="BTU12" s="56"/>
      <c r="BTV12" s="57"/>
      <c r="BTW12" s="57"/>
      <c r="BTX12" s="56"/>
      <c r="BTY12" s="57"/>
      <c r="BTZ12" s="58"/>
      <c r="BUA12" s="56"/>
      <c r="BUB12" s="57"/>
      <c r="BUC12" s="57"/>
      <c r="BUD12" s="57"/>
      <c r="BUE12" s="56"/>
      <c r="BUF12" s="57"/>
      <c r="BUG12" s="57"/>
      <c r="BUH12" s="57"/>
      <c r="BUI12" s="57"/>
      <c r="BUJ12" s="57"/>
      <c r="BUK12" s="56"/>
      <c r="BUL12" s="57"/>
      <c r="BUM12" s="57"/>
      <c r="BUN12" s="56"/>
      <c r="BUO12" s="57"/>
      <c r="BUP12" s="58"/>
      <c r="BUQ12" s="56"/>
      <c r="BUR12" s="57"/>
      <c r="BUS12" s="57"/>
      <c r="BUT12" s="57"/>
      <c r="BUU12" s="56"/>
      <c r="BUV12" s="57"/>
      <c r="BUW12" s="57"/>
      <c r="BUX12" s="56"/>
      <c r="BUY12" s="57"/>
      <c r="BUZ12" s="58"/>
      <c r="BVA12" s="56"/>
      <c r="BVB12" s="57"/>
      <c r="BVC12" s="57"/>
      <c r="BVD12" s="57"/>
      <c r="BVE12" s="56"/>
      <c r="BVF12" s="57"/>
      <c r="BVG12" s="57"/>
      <c r="BVH12" s="57"/>
      <c r="BVI12" s="57"/>
      <c r="BVJ12" s="57"/>
      <c r="BVK12" s="56"/>
      <c r="BVL12" s="57"/>
      <c r="BVM12" s="57"/>
      <c r="BVN12" s="56"/>
      <c r="BVO12" s="57"/>
      <c r="BVP12" s="58"/>
      <c r="BVQ12" s="56"/>
      <c r="BVR12" s="57"/>
      <c r="BVS12" s="57"/>
      <c r="BVT12" s="57"/>
      <c r="BVU12" s="56"/>
      <c r="BVV12" s="57"/>
      <c r="BVW12" s="57"/>
      <c r="BVX12" s="56"/>
      <c r="BVY12" s="57"/>
      <c r="BVZ12" s="58"/>
      <c r="BWA12" s="56"/>
      <c r="BWB12" s="57"/>
      <c r="BWC12" s="57"/>
      <c r="BWD12" s="57"/>
      <c r="BWE12" s="56"/>
      <c r="BWF12" s="57"/>
      <c r="BWG12" s="57"/>
      <c r="BWH12" s="57"/>
      <c r="BWI12" s="57"/>
      <c r="BWJ12" s="57"/>
      <c r="BWK12" s="56"/>
      <c r="BWL12" s="57"/>
      <c r="BWM12" s="57"/>
      <c r="BWN12" s="56"/>
      <c r="BWO12" s="57"/>
      <c r="BWP12" s="58"/>
      <c r="BWQ12" s="56"/>
      <c r="BWR12" s="57"/>
      <c r="BWS12" s="57"/>
      <c r="BWT12" s="57"/>
      <c r="BWU12" s="56"/>
      <c r="BWV12" s="57"/>
      <c r="BWW12" s="57"/>
      <c r="BWX12" s="56"/>
      <c r="BWY12" s="57"/>
      <c r="BWZ12" s="58"/>
      <c r="BXA12" s="56"/>
      <c r="BXB12" s="57"/>
      <c r="BXC12" s="57"/>
      <c r="BXD12" s="57"/>
      <c r="BXE12" s="56"/>
      <c r="BXF12" s="57"/>
      <c r="BXG12" s="57"/>
      <c r="BXH12" s="57"/>
      <c r="BXI12" s="57"/>
      <c r="BXJ12" s="57"/>
      <c r="BXK12" s="56"/>
      <c r="BXL12" s="57"/>
      <c r="BXM12" s="57"/>
      <c r="BXN12" s="56"/>
      <c r="BXO12" s="57"/>
      <c r="BXP12" s="58"/>
      <c r="BXQ12" s="56"/>
      <c r="BXR12" s="57"/>
      <c r="BXS12" s="57"/>
      <c r="BXT12" s="57"/>
      <c r="BXU12" s="56"/>
      <c r="BXV12" s="57"/>
      <c r="BXW12" s="57"/>
      <c r="BXX12" s="56"/>
      <c r="BXY12" s="57"/>
      <c r="BXZ12" s="58"/>
      <c r="BYA12" s="56"/>
      <c r="BYB12" s="57"/>
      <c r="BYC12" s="57"/>
      <c r="BYD12" s="57"/>
      <c r="BYE12" s="56"/>
      <c r="BYF12" s="57"/>
      <c r="BYG12" s="57"/>
      <c r="BYH12" s="57"/>
      <c r="BYI12" s="57"/>
      <c r="BYJ12" s="57"/>
      <c r="BYK12" s="56"/>
      <c r="BYL12" s="57"/>
      <c r="BYM12" s="57"/>
      <c r="BYN12" s="56"/>
      <c r="BYO12" s="57"/>
      <c r="BYP12" s="58"/>
      <c r="BYQ12" s="56"/>
      <c r="BYR12" s="57"/>
      <c r="BYS12" s="57"/>
      <c r="BYT12" s="57"/>
      <c r="BYU12" s="56"/>
      <c r="BYV12" s="57"/>
      <c r="BYW12" s="57"/>
      <c r="BYX12" s="58"/>
      <c r="BYY12" s="57"/>
      <c r="BYZ12" s="56"/>
      <c r="BZA12" s="57"/>
      <c r="BZB12" s="56"/>
      <c r="BZC12" s="56"/>
      <c r="BZD12" s="56"/>
      <c r="BZE12" s="57"/>
      <c r="BZF12" s="387"/>
      <c r="BZG12" s="57"/>
      <c r="BZH12" s="387"/>
      <c r="BZI12" s="57"/>
      <c r="BZJ12" s="38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8"/>
      <c r="CAQ12" s="56"/>
      <c r="CAR12" s="57"/>
      <c r="CAS12" s="57"/>
      <c r="CAT12" s="57"/>
      <c r="CAU12" s="57"/>
      <c r="CAV12" s="57"/>
      <c r="CAW12" s="56"/>
      <c r="CAX12" s="57"/>
      <c r="CAY12" s="57"/>
      <c r="CAZ12" s="56"/>
      <c r="CBA12" s="57"/>
      <c r="CBB12" s="58"/>
      <c r="CBC12" s="56"/>
      <c r="CBD12" s="57"/>
      <c r="CBE12" s="57"/>
      <c r="CBF12" s="57"/>
      <c r="CBG12" s="56"/>
      <c r="CBH12" s="57"/>
      <c r="CBI12" s="57"/>
      <c r="CBJ12" s="56"/>
      <c r="CBK12" s="57"/>
      <c r="CBL12" s="58"/>
      <c r="CBM12" s="56"/>
      <c r="CBN12" s="57"/>
      <c r="CBO12" s="57"/>
      <c r="CBP12" s="57"/>
      <c r="CBQ12" s="56"/>
      <c r="CBR12" s="57"/>
      <c r="CBS12" s="57"/>
      <c r="CBT12" s="56"/>
      <c r="CBU12" s="57"/>
      <c r="CBV12" s="58"/>
      <c r="CBW12" s="56"/>
      <c r="CBX12" s="57"/>
      <c r="CBY12" s="57"/>
      <c r="CBZ12" s="57"/>
      <c r="CCA12" s="56"/>
      <c r="CCB12" s="57"/>
      <c r="CCC12" s="57"/>
      <c r="CCD12" s="56"/>
      <c r="CCE12" s="57"/>
      <c r="CCF12" s="58"/>
      <c r="CCG12" s="56"/>
      <c r="CCH12" s="58"/>
      <c r="CCI12" s="57"/>
      <c r="CCJ12" s="56"/>
      <c r="CCK12" s="57"/>
      <c r="CCL12" s="56"/>
      <c r="CCM12" s="56"/>
      <c r="CCN12" s="56"/>
      <c r="CCO12" s="57"/>
      <c r="CCP12" s="387"/>
      <c r="CCQ12" s="57"/>
      <c r="CCR12" s="387"/>
      <c r="CCS12" s="57"/>
      <c r="CCT12" s="38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8"/>
      <c r="CEA12" s="56"/>
      <c r="CEB12" s="57"/>
      <c r="CEC12" s="57"/>
      <c r="CED12" s="57"/>
      <c r="CEE12" s="57"/>
      <c r="CEF12" s="57"/>
      <c r="CEG12" s="56"/>
      <c r="CEH12" s="57"/>
      <c r="CEI12" s="57"/>
      <c r="CEJ12" s="56"/>
      <c r="CEK12" s="57"/>
      <c r="CEL12" s="58"/>
      <c r="CEM12" s="56"/>
      <c r="CEN12" s="57"/>
      <c r="CEO12" s="57"/>
      <c r="CEP12" s="57"/>
      <c r="CEQ12" s="56"/>
      <c r="CER12" s="57"/>
      <c r="CES12" s="57"/>
      <c r="CET12" s="56"/>
      <c r="CEU12" s="57"/>
      <c r="CEV12" s="58"/>
      <c r="CEW12" s="56"/>
      <c r="CEX12" s="57"/>
      <c r="CEY12" s="57"/>
      <c r="CEZ12" s="57"/>
      <c r="CFA12" s="56"/>
      <c r="CFB12" s="57"/>
      <c r="CFC12" s="57"/>
      <c r="CFD12" s="56"/>
      <c r="CFE12" s="57"/>
      <c r="CFF12" s="58"/>
      <c r="CFG12" s="56"/>
      <c r="CFH12" s="57"/>
      <c r="CFI12" s="57"/>
      <c r="CFJ12" s="57"/>
      <c r="CFK12" s="56"/>
      <c r="CFL12" s="57"/>
      <c r="CFM12" s="57"/>
      <c r="CFN12" s="56"/>
      <c r="CFO12" s="57"/>
      <c r="CFP12" s="58"/>
      <c r="CFQ12" s="56"/>
      <c r="CFR12" s="58"/>
      <c r="CFS12" s="57"/>
      <c r="CFT12" s="56"/>
      <c r="CFU12" s="57"/>
      <c r="CFV12" s="56"/>
      <c r="CFW12" s="56"/>
      <c r="CFX12" s="56"/>
      <c r="CFY12" s="57"/>
      <c r="CFZ12" s="387"/>
      <c r="CGA12" s="57"/>
      <c r="CGB12" s="387"/>
      <c r="CGC12" s="57"/>
      <c r="CGD12" s="38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8"/>
      <c r="CHK12" s="56"/>
      <c r="CHL12" s="57"/>
      <c r="CHM12" s="57"/>
      <c r="CHN12" s="57"/>
      <c r="CHO12" s="57"/>
      <c r="CHP12" s="57"/>
      <c r="CHQ12" s="56"/>
      <c r="CHR12" s="57"/>
      <c r="CHS12" s="57"/>
      <c r="CHT12" s="56"/>
      <c r="CHU12" s="57"/>
      <c r="CHV12" s="58"/>
      <c r="CHW12" s="56"/>
      <c r="CHX12" s="57"/>
      <c r="CHY12" s="57"/>
      <c r="CHZ12" s="57"/>
      <c r="CIA12" s="56"/>
      <c r="CIB12" s="57"/>
      <c r="CIC12" s="57"/>
      <c r="CID12" s="56"/>
      <c r="CIE12" s="57"/>
      <c r="CIF12" s="58"/>
      <c r="CIG12" s="56"/>
      <c r="CIH12" s="57"/>
      <c r="CII12" s="57"/>
      <c r="CIJ12" s="57"/>
      <c r="CIK12" s="56"/>
      <c r="CIL12" s="57"/>
      <c r="CIM12" s="57"/>
      <c r="CIN12" s="56"/>
      <c r="CIO12" s="57"/>
      <c r="CIP12" s="58"/>
      <c r="CIQ12" s="56"/>
      <c r="CIR12" s="57"/>
      <c r="CIS12" s="57"/>
      <c r="CIT12" s="57"/>
      <c r="CIU12" s="56"/>
      <c r="CIV12" s="57"/>
      <c r="CIW12" s="57"/>
      <c r="CIX12" s="56"/>
      <c r="CIY12" s="57"/>
      <c r="CIZ12" s="58"/>
      <c r="CJA12" s="56"/>
      <c r="CJB12" s="58"/>
      <c r="CJC12" s="57"/>
      <c r="CJD12" s="56"/>
      <c r="CJE12" s="57"/>
      <c r="CJF12" s="56"/>
      <c r="CJG12" s="56"/>
      <c r="CJH12" s="56"/>
      <c r="CJI12" s="57"/>
      <c r="CJJ12" s="387"/>
      <c r="CJK12" s="57"/>
      <c r="CJL12" s="387"/>
      <c r="CJM12" s="57"/>
      <c r="CJN12" s="38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8"/>
      <c r="CKU12" s="56"/>
      <c r="CKV12" s="57"/>
      <c r="CKW12" s="57"/>
      <c r="CKX12" s="57"/>
      <c r="CKY12" s="57"/>
      <c r="CKZ12" s="57"/>
      <c r="CLA12" s="56"/>
      <c r="CLB12" s="57"/>
      <c r="CLC12" s="57"/>
      <c r="CLD12" s="56"/>
      <c r="CLE12" s="57"/>
      <c r="CLF12" s="58"/>
      <c r="CLG12" s="56"/>
      <c r="CLH12" s="57"/>
      <c r="CLI12" s="57"/>
      <c r="CLJ12" s="57"/>
      <c r="CLK12" s="56"/>
      <c r="CLL12" s="57"/>
      <c r="CLM12" s="57"/>
      <c r="CLN12" s="56"/>
      <c r="CLO12" s="57"/>
      <c r="CLP12" s="58"/>
      <c r="CLQ12" s="56"/>
      <c r="CLR12" s="57"/>
      <c r="CLS12" s="57"/>
      <c r="CLT12" s="57"/>
      <c r="CLU12" s="56"/>
      <c r="CLV12" s="57"/>
      <c r="CLW12" s="57"/>
      <c r="CLX12" s="56"/>
      <c r="CLY12" s="57"/>
      <c r="CLZ12" s="58"/>
      <c r="CMA12" s="56"/>
      <c r="CMB12" s="57"/>
      <c r="CMC12" s="57"/>
      <c r="CMD12" s="57"/>
      <c r="CME12" s="56"/>
      <c r="CMF12" s="57"/>
      <c r="CMG12" s="57"/>
      <c r="CMH12" s="56"/>
      <c r="CMI12" s="57"/>
      <c r="CMJ12" s="58"/>
      <c r="CMK12" s="56"/>
      <c r="CML12" s="58"/>
      <c r="CMM12" s="57"/>
      <c r="CMN12" s="56"/>
      <c r="CMO12" s="57"/>
      <c r="CMP12" s="56"/>
      <c r="CMQ12" s="56"/>
      <c r="CMR12" s="56"/>
      <c r="CMS12" s="57"/>
      <c r="CMT12" s="387"/>
      <c r="CMU12" s="57"/>
      <c r="CMV12" s="387"/>
      <c r="CMW12" s="57"/>
      <c r="CMX12" s="38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8"/>
      <c r="COE12" s="56"/>
      <c r="COF12" s="57"/>
      <c r="COG12" s="57"/>
      <c r="COH12" s="57"/>
      <c r="COI12" s="57"/>
      <c r="COJ12" s="57"/>
      <c r="COK12" s="56"/>
      <c r="COL12" s="57"/>
      <c r="COM12" s="57"/>
      <c r="CON12" s="56"/>
      <c r="COO12" s="57"/>
      <c r="COP12" s="58"/>
      <c r="COQ12" s="56"/>
      <c r="COR12" s="57"/>
      <c r="COS12" s="57"/>
      <c r="COT12" s="57"/>
      <c r="COU12" s="56"/>
      <c r="COV12" s="57"/>
      <c r="COW12" s="57"/>
      <c r="COX12" s="56"/>
      <c r="COY12" s="57"/>
      <c r="COZ12" s="58"/>
      <c r="CPA12" s="56"/>
      <c r="CPB12" s="57"/>
      <c r="CPC12" s="57"/>
      <c r="CPD12" s="57"/>
      <c r="CPE12" s="56"/>
      <c r="CPF12" s="57"/>
      <c r="CPG12" s="57"/>
      <c r="CPH12" s="56"/>
      <c r="CPI12" s="57"/>
      <c r="CPJ12" s="58"/>
      <c r="CPK12" s="56"/>
      <c r="CPL12" s="57"/>
      <c r="CPM12" s="57"/>
      <c r="CPN12" s="57"/>
      <c r="CPO12" s="56"/>
      <c r="CPP12" s="57"/>
      <c r="CPQ12" s="57"/>
      <c r="CPR12" s="56"/>
      <c r="CPS12" s="57"/>
      <c r="CPT12" s="58"/>
      <c r="CPU12" s="56"/>
      <c r="CPV12" s="58"/>
      <c r="CPW12" s="57"/>
      <c r="CPX12" s="56"/>
      <c r="CPY12" s="57"/>
      <c r="CPZ12" s="56"/>
      <c r="CQA12" s="56"/>
      <c r="CQB12" s="56"/>
      <c r="CQC12" s="57"/>
      <c r="CQD12" s="387"/>
      <c r="CQE12" s="57"/>
      <c r="CQF12" s="387"/>
      <c r="CQG12" s="57"/>
      <c r="CQH12" s="38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8"/>
      <c r="CRO12" s="56"/>
      <c r="CRP12" s="57"/>
      <c r="CRQ12" s="57"/>
      <c r="CRR12" s="57"/>
      <c r="CRS12" s="57"/>
      <c r="CRT12" s="57"/>
      <c r="CRU12" s="56"/>
      <c r="CRV12" s="57"/>
      <c r="CRW12" s="57"/>
      <c r="CRX12" s="56"/>
      <c r="CRY12" s="57"/>
      <c r="CRZ12" s="58"/>
      <c r="CSA12" s="56"/>
      <c r="CSB12" s="57"/>
      <c r="CSC12" s="57"/>
      <c r="CSD12" s="57"/>
      <c r="CSE12" s="56"/>
      <c r="CSF12" s="57"/>
      <c r="CSG12" s="57"/>
      <c r="CSH12" s="56"/>
      <c r="CSI12" s="57"/>
      <c r="CSJ12" s="58"/>
      <c r="CSK12" s="56"/>
      <c r="CSL12" s="57"/>
      <c r="CSM12" s="57"/>
      <c r="CSN12" s="57"/>
      <c r="CSO12" s="56"/>
      <c r="CSP12" s="57"/>
      <c r="CSQ12" s="57"/>
      <c r="CSR12" s="56"/>
      <c r="CSS12" s="57"/>
      <c r="CST12" s="58"/>
      <c r="CSU12" s="56"/>
      <c r="CSV12" s="57"/>
      <c r="CSW12" s="57"/>
      <c r="CSX12" s="57"/>
      <c r="CSY12" s="56"/>
      <c r="CSZ12" s="57"/>
      <c r="CTA12" s="57"/>
      <c r="CTB12" s="56"/>
      <c r="CTC12" s="57"/>
      <c r="CTD12" s="58"/>
      <c r="CTE12" s="56"/>
      <c r="CTF12" s="58"/>
      <c r="CTG12" s="57"/>
      <c r="CTH12" s="56"/>
      <c r="CTI12" s="57"/>
      <c r="CTJ12" s="56"/>
      <c r="CTK12" s="56"/>
      <c r="CTL12" s="56"/>
      <c r="CTM12" s="57"/>
      <c r="CTN12" s="387"/>
      <c r="CTO12" s="57"/>
      <c r="CTP12" s="387"/>
      <c r="CTQ12" s="57"/>
      <c r="CTR12" s="38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8"/>
      <c r="CUY12" s="56"/>
      <c r="CUZ12" s="57"/>
      <c r="CVA12" s="57"/>
      <c r="CVB12" s="57"/>
      <c r="CVC12" s="57"/>
      <c r="CVD12" s="57"/>
      <c r="CVE12" s="56"/>
      <c r="CVF12" s="57"/>
      <c r="CVG12" s="57"/>
      <c r="CVH12" s="56"/>
      <c r="CVI12" s="57"/>
      <c r="CVJ12" s="58"/>
      <c r="CVK12" s="56"/>
      <c r="CVL12" s="57"/>
      <c r="CVM12" s="57"/>
      <c r="CVN12" s="57"/>
      <c r="CVO12" s="56"/>
      <c r="CVP12" s="57"/>
      <c r="CVQ12" s="57"/>
      <c r="CVR12" s="56"/>
      <c r="CVS12" s="57"/>
      <c r="CVT12" s="58"/>
      <c r="CVU12" s="56"/>
      <c r="CVV12" s="57"/>
      <c r="CVW12" s="57"/>
      <c r="CVX12" s="57"/>
      <c r="CVY12" s="56"/>
      <c r="CVZ12" s="57"/>
      <c r="CWA12" s="57"/>
      <c r="CWB12" s="56"/>
      <c r="CWC12" s="57"/>
      <c r="CWD12" s="58"/>
      <c r="CWE12" s="56"/>
      <c r="CWF12" s="57"/>
      <c r="CWG12" s="57"/>
      <c r="CWH12" s="57"/>
      <c r="CWI12" s="56"/>
      <c r="CWJ12" s="57"/>
      <c r="CWK12" s="57"/>
      <c r="CWL12" s="56"/>
      <c r="CWM12" s="57"/>
      <c r="CWN12" s="58"/>
      <c r="CWO12" s="56"/>
      <c r="CWP12" s="58"/>
      <c r="CWQ12" s="57"/>
      <c r="CWR12" s="56"/>
      <c r="CWS12" s="57"/>
      <c r="CWT12" s="56"/>
      <c r="CWU12" s="56"/>
      <c r="CWV12" s="56"/>
      <c r="CWW12" s="57"/>
      <c r="CWX12" s="387"/>
      <c r="CWY12" s="57"/>
      <c r="CWZ12" s="387"/>
      <c r="CXA12" s="57"/>
      <c r="CXB12" s="38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8"/>
      <c r="CYI12" s="56"/>
      <c r="CYJ12" s="57"/>
      <c r="CYK12" s="57"/>
      <c r="CYL12" s="57"/>
      <c r="CYM12" s="57"/>
      <c r="CYN12" s="57"/>
      <c r="CYO12" s="56"/>
      <c r="CYP12" s="57"/>
      <c r="CYQ12" s="57"/>
      <c r="CYR12" s="56"/>
      <c r="CYS12" s="57"/>
      <c r="CYT12" s="58"/>
      <c r="CYU12" s="56"/>
      <c r="CYV12" s="57"/>
      <c r="CYW12" s="57"/>
      <c r="CYX12" s="57"/>
      <c r="CYY12" s="56"/>
      <c r="CYZ12" s="57"/>
      <c r="CZA12" s="57"/>
      <c r="CZB12" s="56"/>
      <c r="CZC12" s="57"/>
      <c r="CZD12" s="58"/>
      <c r="CZE12" s="56"/>
      <c r="CZF12" s="57"/>
      <c r="CZG12" s="57"/>
      <c r="CZH12" s="57"/>
      <c r="CZI12" s="56"/>
      <c r="CZJ12" s="57"/>
      <c r="CZK12" s="57"/>
      <c r="CZL12" s="56"/>
      <c r="CZM12" s="57"/>
      <c r="CZN12" s="58"/>
      <c r="CZO12" s="56"/>
      <c r="CZP12" s="57"/>
      <c r="CZQ12" s="57"/>
      <c r="CZR12" s="57"/>
      <c r="CZS12" s="56"/>
      <c r="CZT12" s="57"/>
      <c r="CZU12" s="57"/>
      <c r="CZV12" s="56"/>
      <c r="CZW12" s="57"/>
      <c r="CZX12" s="58"/>
      <c r="CZY12" s="56"/>
      <c r="CZZ12" s="58"/>
      <c r="DAA12" s="57"/>
      <c r="DAB12" s="56"/>
      <c r="DAC12" s="57"/>
      <c r="DAD12" s="56"/>
      <c r="DAE12" s="56"/>
      <c r="DAF12" s="56"/>
      <c r="DAG12" s="57"/>
      <c r="DAH12" s="387"/>
      <c r="DAI12" s="57"/>
      <c r="DAJ12" s="387"/>
      <c r="DAK12" s="57"/>
      <c r="DAL12" s="38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8"/>
      <c r="DBS12" s="56"/>
      <c r="DBT12" s="57"/>
      <c r="DBU12" s="57"/>
      <c r="DBV12" s="57"/>
      <c r="DBW12" s="57"/>
      <c r="DBX12" s="57"/>
      <c r="DBY12" s="56"/>
      <c r="DBZ12" s="57"/>
      <c r="DCA12" s="57"/>
      <c r="DCB12" s="56"/>
      <c r="DCC12" s="57"/>
      <c r="DCD12" s="58"/>
      <c r="DCE12" s="56"/>
      <c r="DCF12" s="57"/>
      <c r="DCG12" s="57"/>
      <c r="DCH12" s="57"/>
      <c r="DCI12" s="56"/>
      <c r="DCJ12" s="57"/>
      <c r="DCK12" s="57"/>
      <c r="DCL12" s="56"/>
      <c r="DCM12" s="57"/>
      <c r="DCN12" s="58"/>
      <c r="DCO12" s="56"/>
      <c r="DCP12" s="57"/>
      <c r="DCQ12" s="57"/>
      <c r="DCR12" s="57"/>
      <c r="DCS12" s="56"/>
      <c r="DCT12" s="57"/>
      <c r="DCU12" s="57"/>
      <c r="DCV12" s="56"/>
      <c r="DCW12" s="57"/>
      <c r="DCX12" s="58"/>
      <c r="DCY12" s="56"/>
      <c r="DCZ12" s="57"/>
      <c r="DDA12" s="57"/>
      <c r="DDB12" s="57"/>
      <c r="DDC12" s="56"/>
      <c r="DDD12" s="57"/>
      <c r="DDE12" s="57"/>
      <c r="DDF12" s="56"/>
      <c r="DDG12" s="57"/>
      <c r="DDH12" s="58"/>
      <c r="DDI12" s="56"/>
      <c r="DDJ12" s="58"/>
      <c r="DDK12" s="57"/>
      <c r="DDL12" s="56"/>
      <c r="DDM12" s="57"/>
      <c r="DDN12" s="56"/>
      <c r="DDO12" s="56"/>
      <c r="DDP12" s="56"/>
      <c r="DDQ12" s="57"/>
      <c r="DDR12" s="387"/>
      <c r="DDS12" s="57"/>
      <c r="DDT12" s="387"/>
      <c r="DDU12" s="57"/>
      <c r="DDV12" s="38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8"/>
      <c r="DFC12" s="56"/>
      <c r="DFD12" s="57"/>
      <c r="DFE12" s="57"/>
      <c r="DFF12" s="57"/>
      <c r="DFG12" s="57"/>
      <c r="DFH12" s="57"/>
      <c r="DFI12" s="56"/>
      <c r="DFJ12" s="57"/>
      <c r="DFK12" s="57"/>
      <c r="DFL12" s="56"/>
      <c r="DFM12" s="57"/>
      <c r="DFN12" s="58"/>
      <c r="DFO12" s="56"/>
      <c r="DFP12" s="57"/>
      <c r="DFQ12" s="57"/>
      <c r="DFR12" s="57"/>
      <c r="DFS12" s="56"/>
      <c r="DFT12" s="57"/>
      <c r="DFU12" s="57"/>
      <c r="DFV12" s="56"/>
      <c r="DFW12" s="57"/>
      <c r="DFX12" s="58"/>
      <c r="DFY12" s="56"/>
      <c r="DFZ12" s="57"/>
      <c r="DGA12" s="57"/>
      <c r="DGB12" s="57"/>
      <c r="DGC12" s="56"/>
      <c r="DGD12" s="57"/>
      <c r="DGE12" s="57"/>
      <c r="DGF12" s="56"/>
      <c r="DGG12" s="57"/>
      <c r="DGH12" s="58"/>
      <c r="DGI12" s="56"/>
      <c r="DGJ12" s="57"/>
      <c r="DGK12" s="57"/>
      <c r="DGL12" s="57"/>
      <c r="DGM12" s="56"/>
      <c r="DGN12" s="57"/>
      <c r="DGO12" s="57"/>
      <c r="DGP12" s="56"/>
      <c r="DGQ12" s="57"/>
      <c r="DGR12" s="58"/>
      <c r="DGS12" s="56"/>
      <c r="DGT12" s="58"/>
      <c r="DGU12" s="57"/>
      <c r="DGV12" s="56"/>
      <c r="DGW12" s="57"/>
      <c r="DGX12" s="56"/>
      <c r="DGY12" s="56"/>
      <c r="DGZ12" s="56"/>
      <c r="DHA12" s="57"/>
      <c r="DHB12" s="387"/>
      <c r="DHC12" s="57"/>
      <c r="DHD12" s="387"/>
      <c r="DHE12" s="57"/>
      <c r="DHF12" s="38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8"/>
      <c r="DIM12" s="56"/>
      <c r="DIN12" s="57"/>
      <c r="DIO12" s="57"/>
      <c r="DIP12" s="57"/>
      <c r="DIQ12" s="57"/>
      <c r="DIR12" s="57"/>
      <c r="DIS12" s="56"/>
      <c r="DIT12" s="57"/>
      <c r="DIU12" s="57"/>
      <c r="DIV12" s="56"/>
      <c r="DIW12" s="57"/>
      <c r="DIX12" s="58"/>
      <c r="DIY12" s="56"/>
      <c r="DIZ12" s="57"/>
      <c r="DJA12" s="57"/>
      <c r="DJB12" s="57"/>
      <c r="DJC12" s="56"/>
      <c r="DJD12" s="57"/>
      <c r="DJE12" s="57"/>
      <c r="DJF12" s="56"/>
      <c r="DJG12" s="57"/>
      <c r="DJH12" s="58"/>
      <c r="DJI12" s="56"/>
      <c r="DJJ12" s="57"/>
      <c r="DJK12" s="57"/>
      <c r="DJL12" s="57"/>
      <c r="DJM12" s="56"/>
      <c r="DJN12" s="57"/>
      <c r="DJO12" s="57"/>
      <c r="DJP12" s="56"/>
      <c r="DJQ12" s="57"/>
      <c r="DJR12" s="58"/>
      <c r="DJS12" s="56"/>
      <c r="DJT12" s="57"/>
      <c r="DJU12" s="57"/>
      <c r="DJV12" s="57"/>
      <c r="DJW12" s="56"/>
      <c r="DJX12" s="57"/>
      <c r="DJY12" s="57"/>
      <c r="DJZ12" s="56"/>
      <c r="DKA12" s="57"/>
      <c r="DKB12" s="58"/>
      <c r="DKC12" s="56"/>
      <c r="DKD12" s="58"/>
      <c r="DKE12" s="57"/>
      <c r="DKF12" s="56"/>
      <c r="DKG12" s="57"/>
      <c r="DKH12" s="56"/>
      <c r="DKI12" s="56"/>
      <c r="DKJ12" s="56"/>
      <c r="DKK12" s="57"/>
      <c r="DKL12" s="387"/>
      <c r="DKM12" s="57"/>
      <c r="DKN12" s="387"/>
      <c r="DKO12" s="57"/>
      <c r="DKP12" s="38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8"/>
      <c r="DLW12" s="56"/>
      <c r="DLX12" s="57"/>
      <c r="DLY12" s="57"/>
      <c r="DLZ12" s="57"/>
      <c r="DMA12" s="57"/>
      <c r="DMB12" s="57"/>
      <c r="DMC12" s="56"/>
      <c r="DMD12" s="57"/>
      <c r="DME12" s="57"/>
      <c r="DMF12" s="56"/>
      <c r="DMG12" s="57"/>
      <c r="DMH12" s="58"/>
      <c r="DMI12" s="56"/>
      <c r="DMJ12" s="57"/>
      <c r="DMK12" s="57"/>
      <c r="DML12" s="57"/>
      <c r="DMM12" s="56"/>
      <c r="DMN12" s="57"/>
      <c r="DMO12" s="57"/>
      <c r="DMP12" s="56"/>
      <c r="DMQ12" s="57"/>
      <c r="DMR12" s="58"/>
      <c r="DMS12" s="56"/>
      <c r="DMT12" s="57"/>
      <c r="DMU12" s="57"/>
      <c r="DMV12" s="57"/>
      <c r="DMW12" s="56"/>
      <c r="DMX12" s="57"/>
      <c r="DMY12" s="57"/>
      <c r="DMZ12" s="56"/>
      <c r="DNA12" s="57"/>
      <c r="DNB12" s="58"/>
      <c r="DNC12" s="56"/>
      <c r="DND12" s="57"/>
      <c r="DNE12" s="57"/>
      <c r="DNF12" s="57"/>
      <c r="DNG12" s="56"/>
      <c r="DNH12" s="57"/>
      <c r="DNI12" s="57"/>
      <c r="DNJ12" s="56"/>
      <c r="DNK12" s="57"/>
      <c r="DNL12" s="58"/>
      <c r="DNM12" s="56"/>
      <c r="DNN12" s="58"/>
      <c r="DNO12" s="57"/>
      <c r="DNP12" s="56"/>
      <c r="DNQ12" s="57"/>
      <c r="DNR12" s="56"/>
      <c r="DNS12" s="56"/>
      <c r="DNT12" s="56"/>
      <c r="DNU12" s="57"/>
      <c r="DNV12" s="387"/>
      <c r="DNW12" s="57"/>
      <c r="DNX12" s="387"/>
      <c r="DNY12" s="57"/>
      <c r="DNZ12" s="38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8"/>
      <c r="DPG12" s="56"/>
      <c r="DPH12" s="57"/>
      <c r="DPI12" s="57"/>
      <c r="DPJ12" s="57"/>
      <c r="DPK12" s="57"/>
      <c r="DPL12" s="57"/>
      <c r="DPM12" s="56"/>
      <c r="DPN12" s="57"/>
      <c r="DPO12" s="57"/>
      <c r="DPP12" s="56"/>
      <c r="DPQ12" s="57"/>
      <c r="DPR12" s="58"/>
      <c r="DPS12" s="56"/>
      <c r="DPT12" s="57"/>
      <c r="DPU12" s="57"/>
      <c r="DPV12" s="57"/>
      <c r="DPW12" s="56"/>
      <c r="DPX12" s="57"/>
      <c r="DPY12" s="57"/>
      <c r="DPZ12" s="56"/>
      <c r="DQA12" s="57"/>
      <c r="DQB12" s="58"/>
      <c r="DQC12" s="56"/>
      <c r="DQD12" s="57"/>
      <c r="DQE12" s="57"/>
      <c r="DQF12" s="57"/>
      <c r="DQG12" s="56"/>
      <c r="DQH12" s="57"/>
      <c r="DQI12" s="57"/>
      <c r="DQJ12" s="56"/>
      <c r="DQK12" s="57"/>
      <c r="DQL12" s="58"/>
      <c r="DQM12" s="56"/>
      <c r="DQN12" s="57"/>
      <c r="DQO12" s="57"/>
      <c r="DQP12" s="57"/>
      <c r="DQQ12" s="56"/>
      <c r="DQR12" s="57"/>
      <c r="DQS12" s="57"/>
      <c r="DQT12" s="56"/>
      <c r="DQU12" s="57"/>
      <c r="DQV12" s="58"/>
      <c r="DQW12" s="56"/>
      <c r="DQX12" s="58"/>
      <c r="DQY12" s="57"/>
      <c r="DQZ12" s="56"/>
      <c r="DRA12" s="57"/>
      <c r="DRB12" s="56"/>
      <c r="DRC12" s="56"/>
      <c r="DRD12" s="56"/>
      <c r="DRE12" s="57"/>
      <c r="DRF12" s="387"/>
      <c r="DRG12" s="57"/>
      <c r="DRH12" s="387"/>
      <c r="DRI12" s="57"/>
      <c r="DRJ12" s="38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8"/>
      <c r="DSQ12" s="56"/>
      <c r="DSR12" s="57"/>
      <c r="DSS12" s="57"/>
      <c r="DST12" s="57"/>
      <c r="DSU12" s="57"/>
      <c r="DSV12" s="57"/>
      <c r="DSW12" s="56"/>
      <c r="DSX12" s="57"/>
      <c r="DSY12" s="57"/>
      <c r="DSZ12" s="56"/>
      <c r="DTA12" s="57"/>
      <c r="DTB12" s="58"/>
      <c r="DTC12" s="56"/>
      <c r="DTD12" s="57"/>
      <c r="DTE12" s="57"/>
      <c r="DTF12" s="57"/>
      <c r="DTG12" s="56"/>
      <c r="DTH12" s="57"/>
      <c r="DTI12" s="57"/>
      <c r="DTJ12" s="56"/>
      <c r="DTK12" s="57"/>
      <c r="DTL12" s="58"/>
      <c r="DTM12" s="56"/>
      <c r="DTN12" s="57"/>
      <c r="DTO12" s="57"/>
      <c r="DTP12" s="57"/>
      <c r="DTQ12" s="56"/>
      <c r="DTR12" s="57"/>
      <c r="DTS12" s="57"/>
      <c r="DTT12" s="56"/>
      <c r="DTU12" s="57"/>
      <c r="DTV12" s="58"/>
      <c r="DTW12" s="56"/>
      <c r="DTX12" s="57"/>
      <c r="DTY12" s="57"/>
      <c r="DTZ12" s="57"/>
      <c r="DUA12" s="56"/>
      <c r="DUB12" s="57"/>
      <c r="DUC12" s="57"/>
      <c r="DUD12" s="56"/>
      <c r="DUE12" s="57"/>
      <c r="DUF12" s="58"/>
      <c r="DUG12" s="56"/>
      <c r="DUH12" s="58"/>
      <c r="DUI12" s="57"/>
      <c r="DUJ12" s="56"/>
      <c r="DUK12" s="57"/>
      <c r="DUL12" s="56"/>
      <c r="DUM12" s="56"/>
      <c r="DUN12" s="56"/>
      <c r="DUO12" s="57"/>
      <c r="DUP12" s="387"/>
      <c r="DUQ12" s="57"/>
      <c r="DUR12" s="387"/>
      <c r="DUS12" s="57"/>
      <c r="DUT12" s="38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8"/>
      <c r="DWA12" s="56"/>
      <c r="DWB12" s="57"/>
      <c r="DWC12" s="57"/>
      <c r="DWD12" s="57"/>
      <c r="DWE12" s="57"/>
      <c r="DWF12" s="57"/>
      <c r="DWG12" s="56"/>
      <c r="DWH12" s="57"/>
      <c r="DWI12" s="57"/>
      <c r="DWJ12" s="56"/>
      <c r="DWK12" s="57"/>
      <c r="DWL12" s="58"/>
      <c r="DWM12" s="56"/>
      <c r="DWN12" s="57"/>
      <c r="DWO12" s="57"/>
      <c r="DWP12" s="57"/>
      <c r="DWQ12" s="56"/>
      <c r="DWR12" s="57"/>
      <c r="DWS12" s="57"/>
      <c r="DWT12" s="56"/>
      <c r="DWU12" s="57"/>
      <c r="DWV12" s="58"/>
      <c r="DWW12" s="56"/>
      <c r="DWX12" s="57"/>
      <c r="DWY12" s="57"/>
      <c r="DWZ12" s="57"/>
      <c r="DXA12" s="56"/>
      <c r="DXB12" s="57"/>
      <c r="DXC12" s="57"/>
      <c r="DXD12" s="56"/>
      <c r="DXE12" s="57"/>
      <c r="DXF12" s="58"/>
      <c r="DXG12" s="56"/>
      <c r="DXH12" s="57"/>
      <c r="DXI12" s="57"/>
      <c r="DXJ12" s="57"/>
      <c r="DXK12" s="56"/>
      <c r="DXL12" s="57"/>
      <c r="DXM12" s="57"/>
      <c r="DXN12" s="56"/>
      <c r="DXO12" s="57"/>
      <c r="DXP12" s="58"/>
      <c r="DXQ12" s="56"/>
      <c r="DXR12" s="58"/>
      <c r="DXS12" s="57"/>
      <c r="DXT12" s="56"/>
      <c r="DXU12" s="57"/>
      <c r="DXV12" s="56"/>
      <c r="DXW12" s="56"/>
      <c r="DXX12" s="56"/>
      <c r="DXY12" s="57"/>
      <c r="DXZ12" s="387"/>
      <c r="DYA12" s="57"/>
      <c r="DYB12" s="387"/>
      <c r="DYC12" s="57"/>
      <c r="DYD12" s="38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8"/>
      <c r="DZK12" s="56"/>
      <c r="DZL12" s="57"/>
      <c r="DZM12" s="57"/>
      <c r="DZN12" s="57"/>
      <c r="DZO12" s="57"/>
      <c r="DZP12" s="57"/>
      <c r="DZQ12" s="56"/>
      <c r="DZR12" s="57"/>
      <c r="DZS12" s="57"/>
      <c r="DZT12" s="56"/>
      <c r="DZU12" s="57"/>
      <c r="DZV12" s="58"/>
      <c r="DZW12" s="56"/>
      <c r="DZX12" s="57"/>
      <c r="DZY12" s="57"/>
      <c r="DZZ12" s="57"/>
      <c r="EAA12" s="56"/>
      <c r="EAB12" s="57"/>
      <c r="EAC12" s="57"/>
      <c r="EAD12" s="56"/>
      <c r="EAE12" s="57"/>
      <c r="EAF12" s="58"/>
      <c r="EAG12" s="56"/>
      <c r="EAH12" s="57"/>
      <c r="EAI12" s="57"/>
      <c r="EAJ12" s="57"/>
      <c r="EAK12" s="56"/>
      <c r="EAL12" s="57"/>
      <c r="EAM12" s="57"/>
      <c r="EAN12" s="56"/>
      <c r="EAO12" s="57"/>
      <c r="EAP12" s="58"/>
      <c r="EAQ12" s="56"/>
      <c r="EAR12" s="57"/>
      <c r="EAS12" s="57"/>
      <c r="EAT12" s="57"/>
      <c r="EAU12" s="56"/>
      <c r="EAV12" s="57"/>
      <c r="EAW12" s="57"/>
      <c r="EAX12" s="56"/>
      <c r="EAY12" s="57"/>
      <c r="EAZ12" s="58"/>
      <c r="EBA12" s="56"/>
      <c r="EBB12" s="58"/>
      <c r="EBC12" s="57"/>
      <c r="EBD12" s="56"/>
      <c r="EBE12" s="57"/>
      <c r="EBF12" s="56"/>
      <c r="EBG12" s="56"/>
      <c r="EBH12" s="56"/>
      <c r="EBI12" s="57"/>
      <c r="EBJ12" s="387"/>
      <c r="EBK12" s="57"/>
      <c r="EBL12" s="387"/>
      <c r="EBM12" s="57"/>
      <c r="EBN12" s="38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8"/>
      <c r="ECU12" s="56"/>
      <c r="ECV12" s="57"/>
      <c r="ECW12" s="57"/>
      <c r="ECX12" s="57"/>
      <c r="ECY12" s="57"/>
      <c r="ECZ12" s="57"/>
      <c r="EDA12" s="56"/>
      <c r="EDB12" s="57"/>
      <c r="EDC12" s="57"/>
      <c r="EDD12" s="56"/>
      <c r="EDE12" s="57"/>
      <c r="EDF12" s="58"/>
      <c r="EDG12" s="56"/>
      <c r="EDH12" s="57"/>
      <c r="EDI12" s="57"/>
      <c r="EDJ12" s="57"/>
      <c r="EDK12" s="56"/>
      <c r="EDL12" s="57"/>
      <c r="EDM12" s="57"/>
      <c r="EDN12" s="56"/>
      <c r="EDO12" s="57"/>
      <c r="EDP12" s="58"/>
      <c r="EDQ12" s="56"/>
      <c r="EDR12" s="57"/>
      <c r="EDS12" s="57"/>
      <c r="EDT12" s="57"/>
      <c r="EDU12" s="56"/>
      <c r="EDV12" s="57"/>
      <c r="EDW12" s="57"/>
      <c r="EDX12" s="56"/>
      <c r="EDY12" s="57"/>
      <c r="EDZ12" s="58"/>
      <c r="EEA12" s="56"/>
      <c r="EEB12" s="57"/>
      <c r="EEC12" s="57"/>
      <c r="EED12" s="57"/>
      <c r="EEE12" s="56"/>
      <c r="EEF12" s="57"/>
      <c r="EEG12" s="57"/>
      <c r="EEH12" s="56"/>
      <c r="EEI12" s="57"/>
      <c r="EEJ12" s="58"/>
      <c r="EEK12" s="56"/>
      <c r="EEL12" s="58"/>
      <c r="EEM12" s="57"/>
      <c r="EEN12" s="56"/>
      <c r="EEO12" s="57"/>
      <c r="EEP12" s="56"/>
      <c r="EEQ12" s="56"/>
      <c r="EER12" s="56"/>
      <c r="EES12" s="57"/>
      <c r="EET12" s="387"/>
      <c r="EEU12" s="57"/>
      <c r="EEV12" s="387"/>
      <c r="EEW12" s="57"/>
      <c r="EEX12" s="38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8"/>
      <c r="EGE12" s="56"/>
      <c r="EGF12" s="57"/>
      <c r="EGG12" s="57"/>
      <c r="EGH12" s="57"/>
      <c r="EGI12" s="57"/>
      <c r="EGJ12" s="57"/>
      <c r="EGK12" s="56"/>
      <c r="EGL12" s="57"/>
      <c r="EGM12" s="57"/>
      <c r="EGN12" s="56"/>
      <c r="EGO12" s="57"/>
      <c r="EGP12" s="58"/>
      <c r="EGQ12" s="56"/>
      <c r="EGR12" s="57"/>
      <c r="EGS12" s="57"/>
      <c r="EGT12" s="57"/>
      <c r="EGU12" s="56"/>
      <c r="EGV12" s="57"/>
      <c r="EGW12" s="57"/>
      <c r="EGX12" s="56"/>
      <c r="EGY12" s="57"/>
      <c r="EGZ12" s="58"/>
      <c r="EHA12" s="56"/>
      <c r="EHB12" s="57"/>
      <c r="EHC12" s="57"/>
      <c r="EHD12" s="57"/>
      <c r="EHE12" s="56"/>
      <c r="EHF12" s="57"/>
      <c r="EHG12" s="57"/>
      <c r="EHH12" s="56"/>
      <c r="EHI12" s="57"/>
      <c r="EHJ12" s="58"/>
      <c r="EHK12" s="56"/>
      <c r="EHL12" s="57"/>
      <c r="EHM12" s="57"/>
      <c r="EHN12" s="57"/>
      <c r="EHO12" s="56"/>
      <c r="EHP12" s="57"/>
      <c r="EHQ12" s="57"/>
      <c r="EHR12" s="56"/>
      <c r="EHS12" s="57"/>
      <c r="EHT12" s="58"/>
      <c r="EHU12" s="56"/>
      <c r="EHV12" s="58"/>
      <c r="EHW12" s="57"/>
      <c r="EHX12" s="56"/>
      <c r="EHY12" s="57"/>
      <c r="EHZ12" s="56"/>
      <c r="EIA12" s="56"/>
      <c r="EIB12" s="56"/>
      <c r="EIC12" s="57"/>
      <c r="EID12" s="387"/>
      <c r="EIE12" s="57"/>
      <c r="EIF12" s="387"/>
      <c r="EIG12" s="57"/>
      <c r="EIH12" s="38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8"/>
      <c r="EJO12" s="56"/>
      <c r="EJP12" s="57"/>
      <c r="EJQ12" s="57"/>
      <c r="EJR12" s="57"/>
      <c r="EJS12" s="57"/>
      <c r="EJT12" s="57"/>
      <c r="EJU12" s="56"/>
      <c r="EJV12" s="57"/>
      <c r="EJW12" s="57"/>
      <c r="EJX12" s="56"/>
      <c r="EJY12" s="57"/>
      <c r="EJZ12" s="58"/>
      <c r="EKA12" s="56"/>
      <c r="EKB12" s="57"/>
      <c r="EKC12" s="57"/>
      <c r="EKD12" s="57"/>
      <c r="EKE12" s="56"/>
      <c r="EKF12" s="57"/>
      <c r="EKG12" s="57"/>
      <c r="EKH12" s="56"/>
      <c r="EKI12" s="57"/>
      <c r="EKJ12" s="58"/>
      <c r="EKK12" s="56"/>
      <c r="EKL12" s="57"/>
      <c r="EKM12" s="57"/>
      <c r="EKN12" s="57"/>
      <c r="EKO12" s="56"/>
      <c r="EKP12" s="57"/>
      <c r="EKQ12" s="57"/>
      <c r="EKR12" s="56"/>
      <c r="EKS12" s="57"/>
      <c r="EKT12" s="58"/>
      <c r="EKU12" s="56"/>
      <c r="EKV12" s="57"/>
      <c r="EKW12" s="57"/>
      <c r="EKX12" s="57"/>
      <c r="EKY12" s="56"/>
      <c r="EKZ12" s="57"/>
      <c r="ELA12" s="57"/>
      <c r="ELB12" s="56"/>
      <c r="ELC12" s="57"/>
      <c r="ELD12" s="58"/>
      <c r="ELE12" s="56"/>
      <c r="ELF12" s="58"/>
      <c r="ELG12" s="57"/>
      <c r="ELH12" s="56"/>
      <c r="ELI12" s="57"/>
      <c r="ELJ12" s="56"/>
      <c r="ELK12" s="56"/>
      <c r="ELL12" s="56"/>
      <c r="ELM12" s="57"/>
      <c r="ELN12" s="387"/>
      <c r="ELO12" s="57"/>
      <c r="ELP12" s="387"/>
      <c r="ELQ12" s="57"/>
      <c r="ELR12" s="38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8"/>
      <c r="EMY12" s="56"/>
      <c r="EMZ12" s="57"/>
      <c r="ENA12" s="57"/>
      <c r="ENB12" s="57"/>
      <c r="ENC12" s="57"/>
      <c r="END12" s="57"/>
      <c r="ENE12" s="56"/>
      <c r="ENF12" s="57"/>
      <c r="ENG12" s="57"/>
      <c r="ENH12" s="56"/>
      <c r="ENI12" s="57"/>
      <c r="ENJ12" s="58"/>
      <c r="ENK12" s="56"/>
      <c r="ENL12" s="57"/>
      <c r="ENM12" s="57"/>
      <c r="ENN12" s="57"/>
      <c r="ENO12" s="56"/>
      <c r="ENP12" s="57"/>
      <c r="ENQ12" s="57"/>
      <c r="ENR12" s="56"/>
      <c r="ENS12" s="57"/>
      <c r="ENT12" s="58"/>
      <c r="ENU12" s="56"/>
      <c r="ENV12" s="57"/>
      <c r="ENW12" s="57"/>
      <c r="ENX12" s="57"/>
      <c r="ENY12" s="56"/>
      <c r="ENZ12" s="57"/>
      <c r="EOA12" s="57"/>
      <c r="EOB12" s="56"/>
      <c r="EOC12" s="57"/>
      <c r="EOD12" s="58"/>
      <c r="EOE12" s="56"/>
      <c r="EOF12" s="57"/>
      <c r="EOG12" s="57"/>
      <c r="EOH12" s="57"/>
      <c r="EOI12" s="56"/>
      <c r="EOJ12" s="57"/>
      <c r="EOK12" s="57"/>
      <c r="EOL12" s="56"/>
      <c r="EOM12" s="57"/>
      <c r="EON12" s="58"/>
      <c r="EOO12" s="56" t="str">
        <f t="shared" si="149"/>
        <v xml:space="preserve"> </v>
      </c>
      <c r="EOP12" s="58"/>
      <c r="EOQ12" s="57"/>
      <c r="EOR12" s="56"/>
      <c r="EOS12" s="57"/>
      <c r="EOT12" s="56"/>
      <c r="EOU12" s="56"/>
      <c r="EOV12" s="56"/>
      <c r="EOW12" s="57"/>
      <c r="EOX12" s="387"/>
      <c r="EOY12" s="57"/>
      <c r="EOZ12" s="387"/>
      <c r="EPA12" s="57"/>
      <c r="EPB12" s="387"/>
      <c r="EPC12" s="57"/>
      <c r="EPD12" s="57"/>
      <c r="EPE12" s="57"/>
      <c r="EPF12" s="57"/>
      <c r="EPG12" s="57"/>
      <c r="EPH12" s="57"/>
      <c r="EPI12" s="57"/>
      <c r="EPJ12" s="57"/>
      <c r="EPK12" s="57"/>
      <c r="EPL12" s="57"/>
      <c r="EPM12" s="57"/>
      <c r="EPN12" s="57"/>
      <c r="EPO12" s="57"/>
      <c r="EPP12" s="57"/>
      <c r="EPQ12" s="57"/>
      <c r="EPR12" s="57"/>
      <c r="EPS12" s="57"/>
      <c r="EPT12" s="57"/>
      <c r="EPU12" s="57"/>
      <c r="EPV12" s="57"/>
      <c r="EPW12" s="57"/>
      <c r="EPX12" s="57"/>
      <c r="EPY12" s="57"/>
      <c r="EPZ12" s="57"/>
      <c r="EQA12" s="57"/>
      <c r="EQB12" s="57"/>
      <c r="EQC12" s="57"/>
      <c r="EQD12" s="57"/>
      <c r="EQE12" s="57"/>
      <c r="EQF12" s="57"/>
      <c r="EQG12" s="57"/>
      <c r="EQH12" s="58"/>
      <c r="EQI12" s="56"/>
      <c r="EQJ12" s="57"/>
      <c r="EQK12" s="57"/>
      <c r="EQL12" s="57"/>
      <c r="EQM12" s="57"/>
      <c r="EQN12" s="57"/>
      <c r="EQO12" s="56"/>
      <c r="EQP12" s="57"/>
      <c r="EQQ12" s="57"/>
      <c r="EQR12" s="56"/>
      <c r="EQS12" s="57"/>
      <c r="EQT12" s="58"/>
      <c r="EQU12" s="56"/>
      <c r="EQV12" s="57"/>
      <c r="EQW12" s="57"/>
      <c r="EQX12" s="57"/>
      <c r="EQY12" s="56"/>
      <c r="EQZ12" s="57"/>
      <c r="ERA12" s="57"/>
      <c r="ERB12" s="56"/>
      <c r="ERC12" s="57"/>
      <c r="ERD12" s="58"/>
      <c r="ERE12" s="56"/>
      <c r="ERF12" s="57"/>
      <c r="ERG12" s="57"/>
      <c r="ERH12" s="57"/>
      <c r="ERI12" s="56"/>
      <c r="ERJ12" s="57"/>
      <c r="ERK12" s="57"/>
      <c r="ERL12" s="56"/>
      <c r="ERM12" s="57"/>
      <c r="ERN12" s="58"/>
      <c r="ERO12" s="56"/>
      <c r="ERP12" s="57"/>
      <c r="ERQ12" s="57"/>
      <c r="ERR12" s="57"/>
      <c r="ERS12" s="56"/>
      <c r="ERT12" s="57"/>
      <c r="ERU12" s="57"/>
      <c r="ERV12" s="56"/>
      <c r="ERW12" s="57"/>
      <c r="ERX12" s="58"/>
      <c r="ERY12" s="56" t="str">
        <f t="shared" si="150"/>
        <v xml:space="preserve"> </v>
      </c>
      <c r="ERZ12" s="58"/>
      <c r="ESA12" s="57"/>
      <c r="ESB12" s="56"/>
      <c r="ESC12" s="57"/>
      <c r="ESD12" s="56"/>
      <c r="ESE12" s="56"/>
      <c r="ESF12" s="56"/>
      <c r="ESG12" s="57"/>
      <c r="ESH12" s="387"/>
      <c r="ESI12" s="57"/>
      <c r="ESJ12" s="387"/>
      <c r="ESK12" s="57"/>
      <c r="ESL12" s="387"/>
      <c r="ESM12" s="57"/>
      <c r="ESN12" s="57"/>
      <c r="ESO12" s="57"/>
      <c r="ESP12" s="57"/>
      <c r="ESQ12" s="57"/>
      <c r="ESR12" s="57"/>
      <c r="ESS12" s="57"/>
      <c r="EST12" s="57"/>
      <c r="ESU12" s="57"/>
      <c r="ESV12" s="57"/>
      <c r="ESW12" s="57"/>
      <c r="ESX12" s="57"/>
      <c r="ESY12" s="57"/>
      <c r="ESZ12" s="57"/>
      <c r="ETA12" s="57"/>
      <c r="ETB12" s="57"/>
      <c r="ETC12" s="57"/>
      <c r="ETD12" s="57"/>
      <c r="ETE12" s="57"/>
      <c r="ETF12" s="57"/>
      <c r="ETG12" s="57"/>
      <c r="ETH12" s="57"/>
      <c r="ETI12" s="57"/>
      <c r="ETJ12" s="57"/>
      <c r="ETK12" s="57"/>
      <c r="ETL12" s="57"/>
      <c r="ETM12" s="57"/>
      <c r="ETN12" s="57"/>
      <c r="ETO12" s="57"/>
      <c r="ETP12" s="57"/>
      <c r="ETQ12" s="57"/>
      <c r="ETR12" s="58"/>
      <c r="ETS12" s="56"/>
      <c r="ETT12" s="57"/>
      <c r="ETU12" s="57"/>
      <c r="ETV12" s="57"/>
      <c r="ETW12" s="57"/>
      <c r="ETX12" s="57"/>
      <c r="ETY12" s="56"/>
      <c r="ETZ12" s="57"/>
      <c r="EUA12" s="57"/>
      <c r="EUB12" s="56"/>
      <c r="EUC12" s="57"/>
      <c r="EUD12" s="58"/>
      <c r="EUE12" s="56"/>
      <c r="EUF12" s="57"/>
      <c r="EUG12" s="57"/>
      <c r="EUH12" s="57"/>
      <c r="EUI12" s="56"/>
      <c r="EUJ12" s="57"/>
      <c r="EUK12" s="57"/>
      <c r="EUL12" s="56"/>
      <c r="EUM12" s="57"/>
      <c r="EUN12" s="58"/>
      <c r="EUO12" s="56"/>
      <c r="EUP12" s="57"/>
      <c r="EUQ12" s="57"/>
      <c r="EUR12" s="57"/>
      <c r="EUS12" s="56"/>
      <c r="EUT12" s="57"/>
      <c r="EUU12" s="57"/>
      <c r="EUV12" s="56"/>
      <c r="EUW12" s="57"/>
      <c r="EUX12" s="58"/>
      <c r="EUY12" s="56"/>
      <c r="EUZ12" s="57"/>
      <c r="EVA12" s="57"/>
      <c r="EVB12" s="57"/>
      <c r="EVC12" s="56"/>
      <c r="EVD12" s="57"/>
      <c r="EVE12" s="57"/>
      <c r="EVF12" s="56"/>
      <c r="EVG12" s="57"/>
      <c r="EVH12" s="58"/>
      <c r="EVI12" s="56" t="str">
        <f t="shared" si="151"/>
        <v xml:space="preserve"> </v>
      </c>
    </row>
    <row r="13" spans="1:3961" x14ac:dyDescent="0.3">
      <c r="A13" s="423" t="s">
        <v>146</v>
      </c>
      <c r="B13" s="30" t="str">
        <f>'REG y VAL POE - AESR - ESR'!B1379</f>
        <v>Velez Moreno Maria Jessica</v>
      </c>
      <c r="C13" s="29" t="str">
        <f>'REG y VAL POE - AESR - ESR'!C1379</f>
        <v>POE</v>
      </c>
      <c r="D13" s="28" t="str">
        <f>'REG y VAL POE - AESR - ESR'!D1379</f>
        <v xml:space="preserve"> </v>
      </c>
      <c r="E13" s="29">
        <f>'REG y VAL POE - AESR - ESR'!E1379</f>
        <v>0</v>
      </c>
      <c r="F13" s="28">
        <f>'REG y VAL POE - AESR - ESR'!F1379</f>
        <v>0</v>
      </c>
      <c r="G13" s="31">
        <f>'REG y VAL POE - AESR - ESR'!G1379</f>
        <v>45363</v>
      </c>
      <c r="H13" s="31">
        <f>'REG y VAL POE - AESR - ESR'!H1379</f>
        <v>45728</v>
      </c>
      <c r="I13" s="29" t="str">
        <f>'REG y VAL POE - AESR - ESR'!I1379</f>
        <v>SI</v>
      </c>
      <c r="J13" s="32" t="str">
        <f>'REG y VAL POE - AESR - ESR'!J1379</f>
        <v>Vigente</v>
      </c>
      <c r="K13" s="29" t="str">
        <f>'REG y VAL POE - AESR - ESR'!K1379</f>
        <v>SI</v>
      </c>
      <c r="L13" s="32" t="str">
        <f>'REG y VAL POE - AESR - ESR'!L1379</f>
        <v>Vigente</v>
      </c>
      <c r="M13" s="29" t="str">
        <f>'REG y VAL POE - AESR - ESR'!M1379</f>
        <v>SI</v>
      </c>
      <c r="N13" s="29" t="str">
        <f>'REG y VAL POE - AESR - ESR'!N1379</f>
        <v>Completo-falta firma RL</v>
      </c>
      <c r="O13" s="29" t="str">
        <f>'REG y VAL POE - AESR - ESR'!O1379</f>
        <v>SI</v>
      </c>
      <c r="P13" s="29" t="str">
        <f>'REG y VAL POE - AESR - ESR'!P1379</f>
        <v>SI</v>
      </c>
      <c r="Q13" s="29" t="str">
        <f>'REG y VAL POE - AESR - ESR'!Q1379</f>
        <v>SI</v>
      </c>
      <c r="R13" s="29" t="str">
        <f>'REG y VAL POE - AESR - ESR'!R1379</f>
        <v>NO</v>
      </c>
      <c r="S13" s="29" t="str">
        <f>'REG y VAL POE - AESR - ESR'!S1379</f>
        <v>SI</v>
      </c>
      <c r="T13" s="29" t="str">
        <f>'REG y VAL POE - AESR - ESR'!T1379</f>
        <v>SI</v>
      </c>
      <c r="U13" s="29" t="str">
        <f>'REG y VAL POE - AESR - ESR'!U1379</f>
        <v>SI</v>
      </c>
      <c r="V13" s="29" t="str">
        <f>'REG y VAL POE - AESR - ESR'!V1379</f>
        <v>SI</v>
      </c>
      <c r="W13" s="29">
        <f>'REG y VAL POE - AESR - ESR'!W1379</f>
        <v>0</v>
      </c>
      <c r="X13" s="29">
        <f>'REG y VAL POE - AESR - ESR'!X1379</f>
        <v>0</v>
      </c>
      <c r="Y13" s="29">
        <f>'REG y VAL POE - AESR - ESR'!Y1379</f>
        <v>0</v>
      </c>
      <c r="Z13" s="29" t="str">
        <f>'REG y VAL POE - AESR - ESR'!Z1379</f>
        <v>SI</v>
      </c>
      <c r="AA13" s="29">
        <f>'REG y VAL POE - AESR - ESR'!AA1379</f>
        <v>0</v>
      </c>
      <c r="AB13" s="29">
        <f>'REG y VAL POE - AESR - ESR'!AB1379</f>
        <v>0</v>
      </c>
      <c r="AC13" s="29">
        <f>'REG y VAL POE - AESR - ESR'!AC1379</f>
        <v>0</v>
      </c>
      <c r="AD13" s="29">
        <f>'REG y VAL POE - AESR - ESR'!AD1379</f>
        <v>0</v>
      </c>
      <c r="AE13" s="29">
        <f>'REG y VAL POE - AESR - ESR'!AE1379</f>
        <v>0</v>
      </c>
      <c r="AF13" s="29">
        <f>'REG y VAL POE - AESR - ESR'!AF1379</f>
        <v>0</v>
      </c>
      <c r="AG13" s="29">
        <f>'REG y VAL POE - AESR - ESR'!AG1379</f>
        <v>0</v>
      </c>
      <c r="AH13" s="29">
        <f>'REG y VAL POE - AESR - ESR'!AH1379</f>
        <v>0</v>
      </c>
      <c r="AI13" s="29">
        <f>'REG y VAL POE - AESR - ESR'!AI1379</f>
        <v>0</v>
      </c>
      <c r="AJ13" s="29">
        <f>'REG y VAL POE - AESR - ESR'!AJ1379</f>
        <v>0</v>
      </c>
      <c r="AK13" s="29">
        <f>'REG y VAL POE - AESR - ESR'!AK1379</f>
        <v>0</v>
      </c>
      <c r="AL13" s="29">
        <f>'REG y VAL POE - AESR - ESR'!AL1379</f>
        <v>0</v>
      </c>
      <c r="AM13" s="29">
        <f>'REG y VAL POE - AESR - ESR'!AM1379</f>
        <v>0</v>
      </c>
      <c r="AN13" s="29">
        <f>'REG y VAL POE - AESR - ESR'!AN1379</f>
        <v>0</v>
      </c>
      <c r="AO13" s="29">
        <f>'REG y VAL POE - AESR - ESR'!AO1379</f>
        <v>0</v>
      </c>
      <c r="AP13" s="29">
        <f>'REG y VAL POE - AESR - ESR'!AP1379</f>
        <v>0</v>
      </c>
      <c r="AQ13" s="29">
        <f>'REG y VAL POE - AESR - ESR'!AQ1379</f>
        <v>0</v>
      </c>
      <c r="AR13" s="29" t="str">
        <f>'REG y VAL POE - AESR - ESR'!AR1379</f>
        <v>VACIS PORTAL</v>
      </c>
      <c r="AS13" s="29">
        <f>'REG y VAL POE - AESR - ESR'!AS1379</f>
        <v>0</v>
      </c>
      <c r="AT13" s="30">
        <f>'REG y VAL POE - AESR - ESR'!B1380</f>
        <v>0</v>
      </c>
      <c r="AU13" s="28">
        <f>'REG y VAL POE - AESR - ESR'!C1380</f>
        <v>0</v>
      </c>
      <c r="AV13" s="29">
        <f>'REG y VAL POE - AESR - ESR'!D1380</f>
        <v>0</v>
      </c>
      <c r="AW13" s="29">
        <f>'REG y VAL POE - AESR - ESR'!E1380</f>
        <v>0</v>
      </c>
      <c r="AX13" s="29">
        <f>'REG y VAL POE - AESR - ESR'!F1380</f>
        <v>0</v>
      </c>
      <c r="AY13" s="29">
        <f>'REG y VAL POE - AESR - ESR'!G1380</f>
        <v>0</v>
      </c>
      <c r="AZ13" s="29">
        <f>'REG y VAL POE - AESR - ESR'!H1380</f>
        <v>0</v>
      </c>
      <c r="BA13" s="28">
        <f>'REG y VAL POE - AESR - ESR'!I1380</f>
        <v>0</v>
      </c>
      <c r="BB13" s="29">
        <f>'REG y VAL POE - AESR - ESR'!J1380</f>
        <v>0</v>
      </c>
      <c r="BC13" s="29">
        <f>'REG y VAL POE - AESR - ESR'!K1380</f>
        <v>0</v>
      </c>
      <c r="BD13" s="28">
        <f>'REG y VAL POE - AESR - ESR'!L1380</f>
        <v>0</v>
      </c>
      <c r="BE13" s="29">
        <f>'REG y VAL POE - AESR - ESR'!M1380</f>
        <v>0</v>
      </c>
      <c r="BF13" s="30">
        <f>'REG y VAL POE - AESR - ESR'!N1380</f>
        <v>0</v>
      </c>
      <c r="BG13" s="28">
        <f>'REG y VAL POE - AESR - ESR'!O1380</f>
        <v>0</v>
      </c>
      <c r="BH13" s="29">
        <f>'REG y VAL POE - AESR - ESR'!P1380</f>
        <v>0</v>
      </c>
      <c r="BI13" s="29">
        <f>'REG y VAL POE - AESR - ESR'!Q1380</f>
        <v>0</v>
      </c>
      <c r="BJ13" s="29">
        <f>'REG y VAL POE - AESR - ESR'!R1380</f>
        <v>0</v>
      </c>
      <c r="BK13" s="28">
        <f>'REG y VAL POE - AESR - ESR'!S1380</f>
        <v>0</v>
      </c>
      <c r="BL13" s="29">
        <f>'REG y VAL POE - AESR - ESR'!T1380</f>
        <v>0</v>
      </c>
      <c r="BM13" s="29">
        <f>'REG y VAL POE - AESR - ESR'!U1380</f>
        <v>0</v>
      </c>
      <c r="BN13" s="28">
        <f>'REG y VAL POE - AESR - ESR'!V1380</f>
        <v>0</v>
      </c>
      <c r="BO13" s="29">
        <f>'REG y VAL POE - AESR - ESR'!W1380</f>
        <v>0</v>
      </c>
      <c r="BP13" s="30">
        <f>'REG y VAL POE - AESR - ESR'!X1380</f>
        <v>0</v>
      </c>
      <c r="BQ13" s="28">
        <f>'REG y VAL POE - AESR - ESR'!Y1380</f>
        <v>0</v>
      </c>
      <c r="BR13" s="29">
        <f>'REG y VAL POE - AESR - ESR'!Z1380</f>
        <v>0</v>
      </c>
      <c r="BS13" s="29">
        <f>'REG y VAL POE - AESR - ESR'!AA1380</f>
        <v>0</v>
      </c>
      <c r="BT13" s="29">
        <f>'REG y VAL POE - AESR - ESR'!AB1380</f>
        <v>0</v>
      </c>
      <c r="BU13" s="28">
        <f>'REG y VAL POE - AESR - ESR'!AC1380</f>
        <v>0</v>
      </c>
      <c r="BV13" s="29">
        <f>'REG y VAL POE - AESR - ESR'!AD1380</f>
        <v>0</v>
      </c>
      <c r="BW13" s="29">
        <f>'REG y VAL POE - AESR - ESR'!AE1380</f>
        <v>0</v>
      </c>
      <c r="BX13" s="28">
        <f>'REG y VAL POE - AESR - ESR'!AF1380</f>
        <v>0</v>
      </c>
      <c r="BY13" s="29">
        <f>'REG y VAL POE - AESR - ESR'!AG1380</f>
        <v>0</v>
      </c>
      <c r="BZ13" s="30">
        <f>'REG y VAL POE - AESR - ESR'!AH1380</f>
        <v>0</v>
      </c>
      <c r="CA13" s="28">
        <f>'REG y VAL POE - AESR - ESR'!AI1380</f>
        <v>0</v>
      </c>
      <c r="CB13" s="29">
        <f>'REG y VAL POE - AESR - ESR'!AJ1380</f>
        <v>0</v>
      </c>
      <c r="CC13" s="29">
        <f>'REG y VAL POE - AESR - ESR'!AK1380</f>
        <v>0</v>
      </c>
      <c r="CD13" s="29">
        <f>'REG y VAL POE - AESR - ESR'!AL1380</f>
        <v>0</v>
      </c>
      <c r="CE13" s="28">
        <f>'REG y VAL POE - AESR - ESR'!AM1380</f>
        <v>0</v>
      </c>
      <c r="CF13" s="29">
        <f>'REG y VAL POE - AESR - ESR'!AN1380</f>
        <v>0</v>
      </c>
      <c r="CG13" s="29">
        <f>'REG y VAL POE - AESR - ESR'!AO1380</f>
        <v>0</v>
      </c>
      <c r="CH13" s="28">
        <f>'REG y VAL POE - AESR - ESR'!AP1380</f>
        <v>0</v>
      </c>
      <c r="CI13" s="29">
        <f>'REG y VAL POE - AESR - ESR'!AQ1380</f>
        <v>0</v>
      </c>
      <c r="CJ13" s="30">
        <f>'REG y VAL POE - AESR - ESR'!AR1380</f>
        <v>0</v>
      </c>
      <c r="CK13" s="28">
        <f>'REG y VAL POE - AESR - ESR'!AS1380</f>
        <v>0</v>
      </c>
      <c r="CL13" s="29">
        <f>'REG y VAL POE - AESR - ESR'!B1381</f>
        <v>0</v>
      </c>
      <c r="CM13" s="29">
        <f>'REG y VAL POE - AESR - ESR'!C1381</f>
        <v>0</v>
      </c>
      <c r="CN13" s="29">
        <f>'REG y VAL POE - AESR - ESR'!D1381</f>
        <v>0</v>
      </c>
      <c r="CO13" s="28">
        <f>'REG y VAL POE - AESR - ESR'!E1381</f>
        <v>0</v>
      </c>
      <c r="CP13" s="29">
        <f>'REG y VAL POE - AESR - ESR'!F1381</f>
        <v>0</v>
      </c>
      <c r="CQ13" s="29">
        <f>'REG y VAL POE - AESR - ESR'!G1381</f>
        <v>0</v>
      </c>
      <c r="CR13" s="28">
        <f>'REG y VAL POE - AESR - ESR'!H1381</f>
        <v>0</v>
      </c>
      <c r="CS13" s="29">
        <f>'REG y VAL POE - AESR - ESR'!I1381</f>
        <v>0</v>
      </c>
      <c r="CT13" s="30">
        <f>'REG y VAL POE - AESR - ESR'!J1381</f>
        <v>0</v>
      </c>
      <c r="CU13" s="28">
        <f>'REG y VAL POE - AESR - ESR'!K1381</f>
        <v>0</v>
      </c>
      <c r="CV13" s="29">
        <f>'REG y VAL POE - AESR - ESR'!L1381</f>
        <v>0</v>
      </c>
      <c r="CW13" s="29">
        <f>'REG y VAL POE - AESR - ESR'!M1381</f>
        <v>0</v>
      </c>
      <c r="CX13" s="29">
        <f>'REG y VAL POE - AESR - ESR'!N1381</f>
        <v>0</v>
      </c>
      <c r="CY13" s="28">
        <f>'REG y VAL POE - AESR - ESR'!O1381</f>
        <v>0</v>
      </c>
      <c r="CZ13" s="29">
        <f>'REG y VAL POE - AESR - ESR'!P1381</f>
        <v>0</v>
      </c>
      <c r="DA13" s="29">
        <f>'REG y VAL POE - AESR - ESR'!Q1381</f>
        <v>0</v>
      </c>
      <c r="DB13" s="28">
        <f>'REG y VAL POE - AESR - ESR'!R1381</f>
        <v>0</v>
      </c>
      <c r="DC13" s="29">
        <f>'REG y VAL POE - AESR - ESR'!S1381</f>
        <v>0</v>
      </c>
      <c r="DD13" s="30">
        <f>'REG y VAL POE - AESR - ESR'!T1381</f>
        <v>0</v>
      </c>
      <c r="DE13" s="28">
        <f>'REG y VAL POE - AESR - ESR'!U1381</f>
        <v>0</v>
      </c>
      <c r="DF13" s="29">
        <f>'REG y VAL POE - AESR - ESR'!V1381</f>
        <v>0</v>
      </c>
      <c r="DG13" s="29">
        <f>'REG y VAL POE - AESR - ESR'!W1381</f>
        <v>0</v>
      </c>
      <c r="DH13" s="29">
        <f>'REG y VAL POE - AESR - ESR'!X1381</f>
        <v>0</v>
      </c>
      <c r="DI13" s="28">
        <f>'REG y VAL POE - AESR - ESR'!Y1381</f>
        <v>0</v>
      </c>
      <c r="DJ13" s="29">
        <f>'REG y VAL POE - AESR - ESR'!Z1381</f>
        <v>0</v>
      </c>
      <c r="DK13" s="29">
        <f>'REG y VAL POE - AESR - ESR'!AA1381</f>
        <v>0</v>
      </c>
      <c r="DL13" s="28">
        <f>'REG y VAL POE - AESR - ESR'!AB1381</f>
        <v>0</v>
      </c>
      <c r="DM13" s="29">
        <f>'REG y VAL POE - AESR - ESR'!AC1381</f>
        <v>0</v>
      </c>
      <c r="DN13" s="30">
        <f>'REG y VAL POE - AESR - ESR'!AD1381</f>
        <v>0</v>
      </c>
      <c r="DO13" s="28">
        <f>'REG y VAL POE - AESR - ESR'!AE1381</f>
        <v>0</v>
      </c>
      <c r="DP13" s="29">
        <f>'REG y VAL POE - AESR - ESR'!AF1381</f>
        <v>0</v>
      </c>
      <c r="DQ13" s="29">
        <f>'REG y VAL POE - AESR - ESR'!AG1381</f>
        <v>0</v>
      </c>
      <c r="DR13" s="29">
        <f>'REG y VAL POE - AESR - ESR'!AH1381</f>
        <v>0</v>
      </c>
      <c r="DS13" s="28">
        <f>'REG y VAL POE - AESR - ESR'!AI1381</f>
        <v>0</v>
      </c>
      <c r="DT13" s="29">
        <f>'REG y VAL POE - AESR - ESR'!AJ1381</f>
        <v>0</v>
      </c>
      <c r="DU13" s="29">
        <f>'REG y VAL POE - AESR - ESR'!AK1381</f>
        <v>0</v>
      </c>
      <c r="DV13" s="28">
        <f>'REG y VAL POE - AESR - ESR'!AL1381</f>
        <v>0</v>
      </c>
      <c r="DW13" s="29">
        <f>'REG y VAL POE - AESR - ESR'!AM1381</f>
        <v>0</v>
      </c>
      <c r="DX13" s="30">
        <f>'REG y VAL POE - AESR - ESR'!AN1381</f>
        <v>0</v>
      </c>
      <c r="DY13" s="28">
        <f>'REG y VAL POE - AESR - ESR'!AO1381</f>
        <v>0</v>
      </c>
      <c r="DZ13" s="29">
        <f>'REG y VAL POE - AESR - ESR'!AP1381</f>
        <v>0</v>
      </c>
      <c r="EA13" s="29">
        <f>'REG y VAL POE - AESR - ESR'!AQ1381</f>
        <v>0</v>
      </c>
      <c r="EB13" s="29">
        <f>'REG y VAL POE - AESR - ESR'!AR1381</f>
        <v>0</v>
      </c>
      <c r="EC13" s="28">
        <f>'REG y VAL POE - AESR - ESR'!AS1381</f>
        <v>0</v>
      </c>
      <c r="ED13" s="29">
        <f>'REG y VAL POE - AESR - ESR'!B1382</f>
        <v>0</v>
      </c>
      <c r="EE13" s="28">
        <f>'REG y VAL POE - AESR - ESR'!C1382</f>
        <v>0</v>
      </c>
      <c r="EF13" s="28">
        <f>'REG y VAL POE - AESR - ESR'!D1382</f>
        <v>0</v>
      </c>
      <c r="EG13" s="29">
        <f>'REG y VAL POE - AESR - ESR'!E1382</f>
        <v>0</v>
      </c>
      <c r="EH13" s="30">
        <f>'REG y VAL POE - AESR - ESR'!F1382</f>
        <v>0</v>
      </c>
      <c r="EI13" s="28">
        <f>'REG y VAL POE - AESR - ESR'!G1382</f>
        <v>0</v>
      </c>
      <c r="EJ13" s="29">
        <f>'REG y VAL POE - AESR - ESR'!H1382</f>
        <v>0</v>
      </c>
      <c r="EK13" s="29">
        <f>'REG y VAL POE - AESR - ESR'!I1382</f>
        <v>0</v>
      </c>
      <c r="EL13" s="29">
        <f>'REG y VAL POE - AESR - ESR'!J1382</f>
        <v>0</v>
      </c>
      <c r="EM13" s="28">
        <f>'REG y VAL POE - AESR - ESR'!K1382</f>
        <v>0</v>
      </c>
      <c r="EN13" s="29">
        <f>'REG y VAL POE - AESR - ESR'!L1382</f>
        <v>0</v>
      </c>
      <c r="EO13" s="33">
        <f>'REG y VAL POE - AESR - ESR'!M1382</f>
        <v>0</v>
      </c>
      <c r="EP13" s="28">
        <f>'REG y VAL POE - AESR - ESR'!N1382</f>
        <v>0</v>
      </c>
      <c r="EQ13" s="29">
        <f>'REG y VAL POE - AESR - ESR'!O1382</f>
        <v>0</v>
      </c>
      <c r="ER13" s="30">
        <f>'REG y VAL POE - AESR - ESR'!P1382</f>
        <v>0</v>
      </c>
      <c r="ES13" s="28">
        <f>'REG y VAL POE - AESR - ESR'!Q1382</f>
        <v>0</v>
      </c>
      <c r="ET13" s="29">
        <f>'REG y VAL POE - AESR - ESR'!R1382</f>
        <v>0</v>
      </c>
      <c r="EU13" s="29">
        <f>'REG y VAL POE - AESR - ESR'!S1382</f>
        <v>0</v>
      </c>
      <c r="EV13" s="29">
        <f>'REG y VAL POE - AESR - ESR'!T1382</f>
        <v>0</v>
      </c>
      <c r="EW13" s="28">
        <f>'REG y VAL POE - AESR - ESR'!U1382</f>
        <v>0</v>
      </c>
      <c r="EX13" s="29">
        <f>'REG y VAL POE - AESR - ESR'!V1382</f>
        <v>0</v>
      </c>
      <c r="EY13" s="29">
        <f>'REG y VAL POE - AESR - ESR'!W1382</f>
        <v>0</v>
      </c>
      <c r="EZ13" s="28">
        <f>'REG y VAL POE - AESR - ESR'!X1382</f>
        <v>0</v>
      </c>
      <c r="FA13" s="29">
        <f>'REG y VAL POE - AESR - ESR'!Y1382</f>
        <v>0</v>
      </c>
      <c r="FB13" s="30">
        <f>'REG y VAL POE - AESR - ESR'!Z1382</f>
        <v>0</v>
      </c>
      <c r="FC13" s="28">
        <f>'REG y VAL POE - AESR - ESR'!AA1382</f>
        <v>0</v>
      </c>
      <c r="FD13" s="29">
        <f>'REG y VAL POE - AESR - ESR'!AB1382</f>
        <v>0</v>
      </c>
      <c r="FE13" s="29">
        <f>'REG y VAL POE - AESR - ESR'!AC1382</f>
        <v>0</v>
      </c>
      <c r="FF13" s="29">
        <f>'REG y VAL POE - AESR - ESR'!AD1382</f>
        <v>0</v>
      </c>
      <c r="FG13" s="28">
        <f>'REG y VAL POE - AESR - ESR'!AE1382</f>
        <v>0</v>
      </c>
      <c r="FH13" s="29">
        <f>'REG y VAL POE - AESR - ESR'!AF1382</f>
        <v>0</v>
      </c>
      <c r="FI13" s="29">
        <f>'REG y VAL POE - AESR - ESR'!AG1382</f>
        <v>0</v>
      </c>
      <c r="FJ13" s="28">
        <f>'REG y VAL POE - AESR - ESR'!AH1382</f>
        <v>0</v>
      </c>
      <c r="FK13" s="29">
        <f>'REG y VAL POE - AESR - ESR'!AI1382</f>
        <v>0</v>
      </c>
      <c r="FL13" s="30">
        <f>'REG y VAL POE - AESR - ESR'!AJ1382</f>
        <v>0</v>
      </c>
      <c r="FM13" s="28">
        <f>'REG y VAL POE - AESR - ESR'!AK1382</f>
        <v>0</v>
      </c>
      <c r="FN13" s="29">
        <f>'REG y VAL POE - AESR - ESR'!AL1382</f>
        <v>0</v>
      </c>
      <c r="FO13" s="29">
        <f>'REG y VAL POE - AESR - ESR'!AM1382</f>
        <v>0</v>
      </c>
      <c r="FP13" s="29">
        <f>'REG y VAL POE - AESR - ESR'!AN1382</f>
        <v>0</v>
      </c>
      <c r="FQ13" s="28">
        <f>'REG y VAL POE - AESR - ESR'!AO1382</f>
        <v>0</v>
      </c>
      <c r="FR13" s="29">
        <f>'REG y VAL POE - AESR - ESR'!AP1382</f>
        <v>0</v>
      </c>
      <c r="FS13" s="29">
        <f>'REG y VAL POE - AESR - ESR'!AQ1382</f>
        <v>0</v>
      </c>
      <c r="FT13" s="28">
        <f>'REG y VAL POE - AESR - ESR'!AR1382</f>
        <v>0</v>
      </c>
      <c r="FU13" s="29">
        <f>'REG y VAL POE - AESR - ESR'!AS1382</f>
        <v>0</v>
      </c>
      <c r="FV13" s="30">
        <f>'REG y VAL POE - AESR - ESR'!B1383</f>
        <v>0</v>
      </c>
      <c r="FW13" s="28">
        <f>'REG y VAL POE - AESR - ESR'!C1383</f>
        <v>0</v>
      </c>
      <c r="FX13" s="29">
        <f>'REG y VAL POE - AESR - ESR'!D1383</f>
        <v>0</v>
      </c>
      <c r="FY13" s="29">
        <f>'REG y VAL POE - AESR - ESR'!E1383</f>
        <v>0</v>
      </c>
      <c r="FZ13" s="29">
        <f>'REG y VAL POE - AESR - ESR'!F1383</f>
        <v>0</v>
      </c>
      <c r="GA13" s="28">
        <f>'REG y VAL POE - AESR - ESR'!G1383</f>
        <v>0</v>
      </c>
      <c r="GB13" s="29">
        <f>'REG y VAL POE - AESR - ESR'!H1383</f>
        <v>0</v>
      </c>
      <c r="GC13" s="29">
        <f>'REG y VAL POE - AESR - ESR'!I1383</f>
        <v>0</v>
      </c>
      <c r="GD13" s="28">
        <f>'REG y VAL POE - AESR - ESR'!J1383</f>
        <v>0</v>
      </c>
      <c r="GE13" s="29">
        <f>'REG y VAL POE - AESR - ESR'!K1383</f>
        <v>0</v>
      </c>
      <c r="GF13" s="30">
        <f>'REG y VAL POE - AESR - ESR'!L1383</f>
        <v>0</v>
      </c>
      <c r="GG13" s="28">
        <f>'REG y VAL POE - AESR - ESR'!M1383</f>
        <v>0</v>
      </c>
      <c r="GH13" s="29">
        <f>'REG y VAL POE - AESR - ESR'!N1383</f>
        <v>0</v>
      </c>
      <c r="GI13" s="29">
        <f>'REG y VAL POE - AESR - ESR'!O1383</f>
        <v>0</v>
      </c>
      <c r="GJ13" s="29">
        <f>'REG y VAL POE - AESR - ESR'!P1383</f>
        <v>0</v>
      </c>
      <c r="GK13" s="28">
        <f>'REG y VAL POE - AESR - ESR'!Q1383</f>
        <v>0</v>
      </c>
      <c r="GL13" s="29">
        <f>'REG y VAL POE - AESR - ESR'!R1383</f>
        <v>0</v>
      </c>
      <c r="GM13" s="29">
        <f>'REG y VAL POE - AESR - ESR'!S1383</f>
        <v>0</v>
      </c>
      <c r="GN13" s="28">
        <f>'REG y VAL POE - AESR - ESR'!T1383</f>
        <v>0</v>
      </c>
      <c r="GO13" s="29">
        <f>'REG y VAL POE - AESR - ESR'!U1383</f>
        <v>0</v>
      </c>
      <c r="GP13" s="30">
        <f>'REG y VAL POE - AESR - ESR'!V1383</f>
        <v>0</v>
      </c>
      <c r="GQ13" s="28">
        <f>'REG y VAL POE - AESR - ESR'!W1383</f>
        <v>0</v>
      </c>
      <c r="GR13" s="29">
        <f>'REG y VAL POE - AESR - ESR'!X1383</f>
        <v>0</v>
      </c>
      <c r="GS13" s="29">
        <f>'REG y VAL POE - AESR - ESR'!Y1383</f>
        <v>0</v>
      </c>
      <c r="GT13" s="29">
        <f>'REG y VAL POE - AESR - ESR'!Z1383</f>
        <v>0</v>
      </c>
      <c r="GU13" s="28">
        <f>'REG y VAL POE - AESR - ESR'!AA1383</f>
        <v>0</v>
      </c>
      <c r="GV13" s="29">
        <f>'REG y VAL POE - AESR - ESR'!AB1383</f>
        <v>0</v>
      </c>
      <c r="GW13" s="29">
        <f>'REG y VAL POE - AESR - ESR'!AC1383</f>
        <v>0</v>
      </c>
      <c r="GX13" s="28">
        <f>'REG y VAL POE - AESR - ESR'!AD1383</f>
        <v>0</v>
      </c>
      <c r="GY13" s="29">
        <f>'REG y VAL POE - AESR - ESR'!AE1383</f>
        <v>0</v>
      </c>
      <c r="GZ13" s="30">
        <f>'REG y VAL POE - AESR - ESR'!AF1383</f>
        <v>0</v>
      </c>
      <c r="HA13" s="28">
        <f>'REG y VAL POE - AESR - ESR'!AG1383</f>
        <v>0</v>
      </c>
      <c r="HB13" s="29">
        <f>'REG y VAL POE - AESR - ESR'!AH1383</f>
        <v>0</v>
      </c>
      <c r="HC13" s="29">
        <f>'REG y VAL POE - AESR - ESR'!AI1383</f>
        <v>0</v>
      </c>
      <c r="HD13" s="29">
        <f>'REG y VAL POE - AESR - ESR'!AJ1383</f>
        <v>0</v>
      </c>
      <c r="HE13" s="28">
        <f>'REG y VAL POE - AESR - ESR'!AK1383</f>
        <v>0</v>
      </c>
      <c r="HF13" s="29">
        <f>'REG y VAL POE - AESR - ESR'!AL1383</f>
        <v>0</v>
      </c>
      <c r="HG13" s="29">
        <f>'REG y VAL POE - AESR - ESR'!AM1383</f>
        <v>0</v>
      </c>
      <c r="HH13" s="28">
        <f>'REG y VAL POE - AESR - ESR'!AN1383</f>
        <v>0</v>
      </c>
      <c r="HI13" s="29">
        <f>'REG y VAL POE - AESR - ESR'!AO1383</f>
        <v>0</v>
      </c>
      <c r="HJ13" s="30">
        <f>'REG y VAL POE - AESR - ESR'!AP1383</f>
        <v>0</v>
      </c>
      <c r="HK13" s="28">
        <f>'REG y VAL POE - AESR - ESR'!AQ1383</f>
        <v>0</v>
      </c>
      <c r="HL13" s="29">
        <f>'REG y VAL POE - AESR - ESR'!AR1383</f>
        <v>0</v>
      </c>
      <c r="HM13" s="29">
        <f>'REG y VAL POE - AESR - ESR'!AS1383</f>
        <v>0</v>
      </c>
      <c r="HN13" s="29">
        <f>'REG y VAL POE - AESR - ESR'!B1384</f>
        <v>0</v>
      </c>
      <c r="HO13" s="28">
        <f>'REG y VAL POE - AESR - ESR'!C1384</f>
        <v>0</v>
      </c>
      <c r="HP13" s="29">
        <f>'REG y VAL POE - AESR - ESR'!D1384</f>
        <v>0</v>
      </c>
      <c r="HQ13" s="29">
        <f>'REG y VAL POE - AESR - ESR'!E1384</f>
        <v>0</v>
      </c>
      <c r="HR13" s="28">
        <f>'REG y VAL POE - AESR - ESR'!F1384</f>
        <v>0</v>
      </c>
      <c r="HS13" s="29">
        <f>'REG y VAL POE - AESR - ESR'!G1384</f>
        <v>0</v>
      </c>
      <c r="HT13" s="30">
        <f>'REG y VAL POE - AESR - ESR'!H1384</f>
        <v>0</v>
      </c>
      <c r="HU13" s="28">
        <f>'REG y VAL POE - AESR - ESR'!I1384</f>
        <v>0</v>
      </c>
      <c r="HV13" s="29">
        <f>'REG y VAL POE - AESR - ESR'!J1384</f>
        <v>0</v>
      </c>
      <c r="HW13" s="29">
        <f>'REG y VAL POE - AESR - ESR'!K1384</f>
        <v>0</v>
      </c>
      <c r="HX13" s="29">
        <f>'REG y VAL POE - AESR - ESR'!L1384</f>
        <v>0</v>
      </c>
      <c r="HY13" s="28">
        <f>'REG y VAL POE - AESR - ESR'!M1384</f>
        <v>0</v>
      </c>
      <c r="HZ13" s="29">
        <f>'REG y VAL POE - AESR - ESR'!N1384</f>
        <v>0</v>
      </c>
      <c r="IA13" s="29">
        <f>'REG y VAL POE - AESR - ESR'!O1384</f>
        <v>0</v>
      </c>
      <c r="IB13" s="28">
        <f>'REG y VAL POE - AESR - ESR'!P1384</f>
        <v>0</v>
      </c>
      <c r="IC13" s="29">
        <f>'REG y VAL POE - AESR - ESR'!Q1384</f>
        <v>0</v>
      </c>
      <c r="ID13" s="30">
        <f>'REG y VAL POE - AESR - ESR'!R1384</f>
        <v>0</v>
      </c>
      <c r="IE13" s="28">
        <f>'REG y VAL POE - AESR - ESR'!S1384</f>
        <v>0</v>
      </c>
      <c r="IF13" s="29">
        <f>'REG y VAL POE - AESR - ESR'!T1384</f>
        <v>0</v>
      </c>
      <c r="IG13" s="29">
        <f>'REG y VAL POE - AESR - ESR'!U1384</f>
        <v>0</v>
      </c>
      <c r="IH13" s="29">
        <f>'REG y VAL POE - AESR - ESR'!V1384</f>
        <v>0</v>
      </c>
      <c r="II13" s="28">
        <f>'REG y VAL POE - AESR - ESR'!W1384</f>
        <v>0</v>
      </c>
      <c r="IJ13" s="29">
        <f>'REG y VAL POE - AESR - ESR'!X1384</f>
        <v>0</v>
      </c>
      <c r="IK13" s="29">
        <f>'REG y VAL POE - AESR - ESR'!Y1384</f>
        <v>0</v>
      </c>
      <c r="IL13" s="28">
        <f>'REG y VAL POE - AESR - ESR'!Z1384</f>
        <v>0</v>
      </c>
      <c r="IM13" s="29">
        <f>'REG y VAL POE - AESR - ESR'!AA1384</f>
        <v>0</v>
      </c>
      <c r="IN13" s="30">
        <f>'REG y VAL POE - AESR - ESR'!AB1384</f>
        <v>0</v>
      </c>
      <c r="IO13" s="28">
        <f>'REG y VAL POE - AESR - ESR'!AC1384</f>
        <v>0</v>
      </c>
      <c r="IP13" s="29">
        <f>'REG y VAL POE - AESR - ESR'!AD1384</f>
        <v>0</v>
      </c>
      <c r="IQ13" s="29">
        <f>'REG y VAL POE - AESR - ESR'!AE1384</f>
        <v>0</v>
      </c>
      <c r="IR13" s="29">
        <f>'REG y VAL POE - AESR - ESR'!AF1384</f>
        <v>0</v>
      </c>
      <c r="IS13" s="28">
        <f>'REG y VAL POE - AESR - ESR'!AG1384</f>
        <v>0</v>
      </c>
      <c r="IT13" s="29">
        <f>'REG y VAL POE - AESR - ESR'!AH1384</f>
        <v>0</v>
      </c>
      <c r="IU13" s="29">
        <f>'REG y VAL POE - AESR - ESR'!AI1384</f>
        <v>0</v>
      </c>
      <c r="IV13" s="28">
        <f>'REG y VAL POE - AESR - ESR'!AJ1384</f>
        <v>0</v>
      </c>
      <c r="IW13" s="29">
        <f>'REG y VAL POE - AESR - ESR'!AK1384</f>
        <v>0</v>
      </c>
      <c r="IX13" s="30">
        <f>'REG y VAL POE - AESR - ESR'!AL1384</f>
        <v>0</v>
      </c>
      <c r="IY13" s="28">
        <f>'REG y VAL POE - AESR - ESR'!AM1384</f>
        <v>0</v>
      </c>
      <c r="IZ13" s="29">
        <f>'REG y VAL POE - AESR - ESR'!AN1384</f>
        <v>0</v>
      </c>
      <c r="JA13" s="29">
        <f>'REG y VAL POE - AESR - ESR'!AO1384</f>
        <v>0</v>
      </c>
      <c r="JB13" s="29">
        <f>'REG y VAL POE - AESR - ESR'!AP1384</f>
        <v>0</v>
      </c>
      <c r="JC13" s="28">
        <f>'REG y VAL POE - AESR - ESR'!AQ1384</f>
        <v>0</v>
      </c>
      <c r="JD13" s="29">
        <f>'REG y VAL POE - AESR - ESR'!AR1384</f>
        <v>0</v>
      </c>
      <c r="JE13" s="29">
        <f>'REG y VAL POE - AESR - ESR'!AS1384</f>
        <v>0</v>
      </c>
      <c r="JF13" s="28">
        <f>'REG y VAL POE - AESR - ESR'!B1385</f>
        <v>0</v>
      </c>
      <c r="JG13" s="29">
        <f>'REG y VAL POE - AESR - ESR'!C1385</f>
        <v>0</v>
      </c>
      <c r="JH13" s="30">
        <f>'REG y VAL POE - AESR - ESR'!D1385</f>
        <v>0</v>
      </c>
      <c r="JI13" s="28">
        <f>'REG y VAL POE - AESR - ESR'!E1385</f>
        <v>0</v>
      </c>
      <c r="JJ13" s="29">
        <f>'REG y VAL POE - AESR - ESR'!F1385</f>
        <v>0</v>
      </c>
      <c r="JK13" s="29">
        <f>'REG y VAL POE - AESR - ESR'!G1385</f>
        <v>0</v>
      </c>
      <c r="JL13" s="29">
        <f>'REG y VAL POE - AESR - ESR'!H1385</f>
        <v>0</v>
      </c>
      <c r="JM13" s="28">
        <f>'REG y VAL POE - AESR - ESR'!I1385</f>
        <v>0</v>
      </c>
      <c r="JN13" s="29">
        <f>'REG y VAL POE - AESR - ESR'!J1385</f>
        <v>0</v>
      </c>
      <c r="JO13" s="29">
        <f>'REG y VAL POE - AESR - ESR'!K1385</f>
        <v>0</v>
      </c>
      <c r="JP13" s="28">
        <f>'REG y VAL POE - AESR - ESR'!L1385</f>
        <v>0</v>
      </c>
      <c r="JQ13" s="29">
        <f>'REG y VAL POE - AESR - ESR'!M1385</f>
        <v>0</v>
      </c>
      <c r="JR13" s="30">
        <f>'REG y VAL POE - AESR - ESR'!N1385</f>
        <v>0</v>
      </c>
      <c r="JS13" s="28">
        <f>'REG y VAL POE - AESR - ESR'!O1385</f>
        <v>0</v>
      </c>
      <c r="JT13" s="29">
        <f>'REG y VAL POE - AESR - ESR'!P1385</f>
        <v>0</v>
      </c>
      <c r="JU13" s="29">
        <f>'REG y VAL POE - AESR - ESR'!Q1385</f>
        <v>0</v>
      </c>
      <c r="JV13" s="29">
        <f>'REG y VAL POE - AESR - ESR'!R1385</f>
        <v>0</v>
      </c>
      <c r="JW13" s="28">
        <f>'REG y VAL POE - AESR - ESR'!S1385</f>
        <v>0</v>
      </c>
      <c r="JX13" s="29">
        <f>'REG y VAL POE - AESR - ESR'!T1385</f>
        <v>0</v>
      </c>
      <c r="JY13" s="29">
        <f>'REG y VAL POE - AESR - ESR'!U1385</f>
        <v>0</v>
      </c>
      <c r="JZ13" s="28">
        <f>'REG y VAL POE - AESR - ESR'!V1385</f>
        <v>0</v>
      </c>
      <c r="KA13" s="29">
        <f>'REG y VAL POE - AESR - ESR'!W1385</f>
        <v>0</v>
      </c>
      <c r="KB13" s="30">
        <f>'REG y VAL POE - AESR - ESR'!X1385</f>
        <v>0</v>
      </c>
      <c r="KC13" s="28">
        <f>'REG y VAL POE - AESR - ESR'!Y1385</f>
        <v>0</v>
      </c>
      <c r="KD13" s="29">
        <f>'REG y VAL POE - AESR - ESR'!Z1385</f>
        <v>0</v>
      </c>
      <c r="KE13" s="29">
        <f>'REG y VAL POE - AESR - ESR'!AA1385</f>
        <v>0</v>
      </c>
      <c r="KF13" s="29">
        <f>'REG y VAL POE - AESR - ESR'!AB1385</f>
        <v>0</v>
      </c>
      <c r="KG13" s="28">
        <f>'REG y VAL POE - AESR - ESR'!AC1385</f>
        <v>0</v>
      </c>
      <c r="KH13" s="29">
        <f>'REG y VAL POE - AESR - ESR'!AD1385</f>
        <v>0</v>
      </c>
      <c r="KI13" s="29">
        <f>'REG y VAL POE - AESR - ESR'!AE1385</f>
        <v>0</v>
      </c>
      <c r="KJ13" s="28">
        <f>'REG y VAL POE - AESR - ESR'!AF1385</f>
        <v>0</v>
      </c>
      <c r="KK13" s="29">
        <f>'REG y VAL POE - AESR - ESR'!AG1385</f>
        <v>0</v>
      </c>
      <c r="KL13" s="30">
        <f>'REG y VAL POE - AESR - ESR'!AH1385</f>
        <v>0</v>
      </c>
      <c r="KM13" s="28">
        <f>'REG y VAL POE - AESR - ESR'!AI1385</f>
        <v>0</v>
      </c>
      <c r="KN13" s="29">
        <f>'REG y VAL POE - AESR - ESR'!AJ1385</f>
        <v>0</v>
      </c>
      <c r="KO13" s="29">
        <f>'REG y VAL POE - AESR - ESR'!AK1385</f>
        <v>0</v>
      </c>
      <c r="KP13" s="29">
        <f>'REG y VAL POE - AESR - ESR'!AL1385</f>
        <v>0</v>
      </c>
      <c r="KQ13" s="28">
        <f>'REG y VAL POE - AESR - ESR'!AM1385</f>
        <v>0</v>
      </c>
      <c r="KR13" s="29">
        <f>'REG y VAL POE - AESR - ESR'!AN1385</f>
        <v>0</v>
      </c>
      <c r="KS13" s="29">
        <f>'REG y VAL POE - AESR - ESR'!AO1385</f>
        <v>0</v>
      </c>
      <c r="KT13" s="28">
        <f>'REG y VAL POE - AESR - ESR'!AP1385</f>
        <v>0</v>
      </c>
      <c r="KU13" s="29">
        <f>'REG y VAL POE - AESR - ESR'!AQ1385</f>
        <v>0</v>
      </c>
      <c r="KV13" s="30">
        <f>'REG y VAL POE - AESR - ESR'!AR1385</f>
        <v>0</v>
      </c>
      <c r="KW13" s="28">
        <f>'REG y VAL POE - AESR - ESR'!AS1385</f>
        <v>0</v>
      </c>
      <c r="KX13" s="29">
        <f>'REG y VAL POE - AESR - ESR'!B1386</f>
        <v>0</v>
      </c>
      <c r="KY13" s="29">
        <f>'REG y VAL POE - AESR - ESR'!C1386</f>
        <v>0</v>
      </c>
      <c r="KZ13" s="29">
        <f>'REG y VAL POE - AESR - ESR'!D1386</f>
        <v>0</v>
      </c>
      <c r="LA13" s="28">
        <f>'REG y VAL POE - AESR - ESR'!E1386</f>
        <v>0</v>
      </c>
      <c r="LB13" s="29">
        <f>'REG y VAL POE - AESR - ESR'!F1386</f>
        <v>0</v>
      </c>
      <c r="LC13" s="29">
        <f>'REG y VAL POE - AESR - ESR'!G1386</f>
        <v>0</v>
      </c>
      <c r="LD13" s="28">
        <f>'REG y VAL POE - AESR - ESR'!H1386</f>
        <v>0</v>
      </c>
      <c r="LE13" s="29">
        <f>'REG y VAL POE - AESR - ESR'!I1386</f>
        <v>0</v>
      </c>
      <c r="LF13" s="30">
        <f>'REG y VAL POE - AESR - ESR'!J1386</f>
        <v>0</v>
      </c>
      <c r="LG13" s="28">
        <f>'REG y VAL POE - AESR - ESR'!K1386</f>
        <v>0</v>
      </c>
      <c r="LH13" s="29">
        <f>'REG y VAL POE - AESR - ESR'!L1386</f>
        <v>0</v>
      </c>
      <c r="LI13" s="29">
        <f>'REG y VAL POE - AESR - ESR'!M1386</f>
        <v>0</v>
      </c>
      <c r="LJ13" s="29">
        <f>'REG y VAL POE - AESR - ESR'!N1386</f>
        <v>0</v>
      </c>
      <c r="LK13" s="28">
        <f>'REG y VAL POE - AESR - ESR'!O1386</f>
        <v>0</v>
      </c>
      <c r="LL13" s="29">
        <f>'REG y VAL POE - AESR - ESR'!P1386</f>
        <v>0</v>
      </c>
      <c r="LM13" s="29">
        <f>'REG y VAL POE - AESR - ESR'!Q1386</f>
        <v>0</v>
      </c>
      <c r="LN13" s="28">
        <f>'REG y VAL POE - AESR - ESR'!R1386</f>
        <v>0</v>
      </c>
      <c r="LO13" s="29">
        <f>'REG y VAL POE - AESR - ESR'!S1386</f>
        <v>0</v>
      </c>
      <c r="LP13" s="30">
        <f>'REG y VAL POE - AESR - ESR'!T1386</f>
        <v>0</v>
      </c>
      <c r="LQ13" s="28">
        <f>'REG y VAL POE - AESR - ESR'!U1386</f>
        <v>0</v>
      </c>
      <c r="LR13" s="29">
        <f>'REG y VAL POE - AESR - ESR'!V1386</f>
        <v>0</v>
      </c>
      <c r="LS13" s="29">
        <f>'REG y VAL POE - AESR - ESR'!W1386</f>
        <v>0</v>
      </c>
      <c r="LT13" s="29">
        <f>'REG y VAL POE - AESR - ESR'!X1386</f>
        <v>0</v>
      </c>
      <c r="LU13" s="28">
        <f>'REG y VAL POE - AESR - ESR'!Y1386</f>
        <v>0</v>
      </c>
      <c r="LV13" s="29">
        <f>'REG y VAL POE - AESR - ESR'!Z1386</f>
        <v>0</v>
      </c>
      <c r="LW13" s="29">
        <f>'REG y VAL POE - AESR - ESR'!AA1386</f>
        <v>0</v>
      </c>
      <c r="LX13" s="28">
        <f>'REG y VAL POE - AESR - ESR'!AB1386</f>
        <v>0</v>
      </c>
      <c r="LY13" s="29">
        <f>'REG y VAL POE - AESR - ESR'!AC1386</f>
        <v>0</v>
      </c>
      <c r="LZ13" s="30">
        <f>'REG y VAL POE - AESR - ESR'!AD1386</f>
        <v>0</v>
      </c>
      <c r="MA13" s="28">
        <f>'REG y VAL POE - AESR - ESR'!AE1386</f>
        <v>0</v>
      </c>
      <c r="MB13" s="29">
        <f>'REG y VAL POE - AESR - ESR'!AF1386</f>
        <v>0</v>
      </c>
      <c r="MC13" s="29">
        <f>'REG y VAL POE - AESR - ESR'!AG1386</f>
        <v>0</v>
      </c>
      <c r="MD13" s="29">
        <f>'REG y VAL POE - AESR - ESR'!AH1386</f>
        <v>0</v>
      </c>
      <c r="ME13" s="28">
        <f>'REG y VAL POE - AESR - ESR'!AI1386</f>
        <v>0</v>
      </c>
      <c r="MF13" s="29">
        <f>'REG y VAL POE - AESR - ESR'!AJ1386</f>
        <v>0</v>
      </c>
      <c r="MG13" s="29">
        <f>'REG y VAL POE - AESR - ESR'!AK1386</f>
        <v>0</v>
      </c>
      <c r="MH13" s="28">
        <f>'REG y VAL POE - AESR - ESR'!AL1386</f>
        <v>0</v>
      </c>
      <c r="MI13" s="29">
        <f>'REG y VAL POE - AESR - ESR'!AM1386</f>
        <v>0</v>
      </c>
      <c r="MJ13" s="30">
        <f>'REG y VAL POE - AESR - ESR'!AN1386</f>
        <v>0</v>
      </c>
      <c r="MK13" s="28">
        <f>'REG y VAL POE - AESR - ESR'!AO1386</f>
        <v>0</v>
      </c>
      <c r="ML13" s="29">
        <f>'REG y VAL POE - AESR - ESR'!AP1386</f>
        <v>0</v>
      </c>
      <c r="MM13" s="29">
        <f>'REG y VAL POE - AESR - ESR'!AQ1386</f>
        <v>0</v>
      </c>
      <c r="MN13" s="29">
        <f>'REG y VAL POE - AESR - ESR'!AR1386</f>
        <v>0</v>
      </c>
      <c r="MO13" s="28">
        <f>'REG y VAL POE - AESR - ESR'!AS1386</f>
        <v>0</v>
      </c>
      <c r="MP13" s="29">
        <f>'REG y VAL POE - AESR - ESR'!B1387</f>
        <v>0</v>
      </c>
      <c r="MQ13" s="29">
        <f>'REG y VAL POE - AESR - ESR'!C1387</f>
        <v>0</v>
      </c>
      <c r="MR13" s="28">
        <f>'REG y VAL POE - AESR - ESR'!D1387</f>
        <v>0</v>
      </c>
      <c r="MS13" s="29">
        <f>'REG y VAL POE - AESR - ESR'!E1387</f>
        <v>0</v>
      </c>
      <c r="MT13" s="30">
        <f>'REG y VAL POE - AESR - ESR'!F1387</f>
        <v>0</v>
      </c>
      <c r="MU13" s="28">
        <f>'REG y VAL POE - AESR - ESR'!G1387</f>
        <v>0</v>
      </c>
      <c r="MV13" s="29">
        <f>'REG y VAL POE - AESR - ESR'!H1387</f>
        <v>0</v>
      </c>
      <c r="MW13" s="29">
        <f>'REG y VAL POE - AESR - ESR'!I1387</f>
        <v>0</v>
      </c>
      <c r="MX13" s="29">
        <f>'REG y VAL POE - AESR - ESR'!J1387</f>
        <v>0</v>
      </c>
      <c r="MY13" s="28">
        <f>'REG y VAL POE - AESR - ESR'!K1387</f>
        <v>0</v>
      </c>
      <c r="MZ13" s="29">
        <f>'REG y VAL POE - AESR - ESR'!L1387</f>
        <v>0</v>
      </c>
      <c r="NA13" s="29">
        <f>'REG y VAL POE - AESR - ESR'!M1387</f>
        <v>0</v>
      </c>
      <c r="NB13" s="28">
        <f>'REG y VAL POE - AESR - ESR'!N1387</f>
        <v>0</v>
      </c>
      <c r="NC13" s="29">
        <f>'REG y VAL POE - AESR - ESR'!O1387</f>
        <v>0</v>
      </c>
      <c r="ND13" s="30">
        <f>'REG y VAL POE - AESR - ESR'!P1387</f>
        <v>0</v>
      </c>
      <c r="NE13" s="28">
        <f>'REG y VAL POE - AESR - ESR'!Q1387</f>
        <v>0</v>
      </c>
      <c r="NF13" s="29">
        <f>'REG y VAL POE - AESR - ESR'!R1387</f>
        <v>0</v>
      </c>
      <c r="NG13" s="29">
        <f>'REG y VAL POE - AESR - ESR'!S1387</f>
        <v>0</v>
      </c>
      <c r="NH13" s="29">
        <f>'REG y VAL POE - AESR - ESR'!T1387</f>
        <v>0</v>
      </c>
      <c r="NI13" s="28">
        <f>'REG y VAL POE - AESR - ESR'!U1387</f>
        <v>0</v>
      </c>
      <c r="NJ13" s="29">
        <f>'REG y VAL POE - AESR - ESR'!V1387</f>
        <v>0</v>
      </c>
      <c r="NK13" s="29">
        <f>'REG y VAL POE - AESR - ESR'!W1387</f>
        <v>0</v>
      </c>
      <c r="NL13" s="28">
        <f>'REG y VAL POE - AESR - ESR'!X1387</f>
        <v>0</v>
      </c>
      <c r="NM13" s="29">
        <f>'REG y VAL POE - AESR - ESR'!Y1387</f>
        <v>0</v>
      </c>
      <c r="NN13" s="30">
        <f>'REG y VAL POE - AESR - ESR'!Z1387</f>
        <v>0</v>
      </c>
      <c r="NO13" s="28">
        <f>'REG y VAL POE - AESR - ESR'!AA1387</f>
        <v>0</v>
      </c>
      <c r="NP13" s="29">
        <f>'REG y VAL POE - AESR - ESR'!AB1387</f>
        <v>0</v>
      </c>
      <c r="NQ13" s="29">
        <f>'REG y VAL POE - AESR - ESR'!AC1387</f>
        <v>0</v>
      </c>
      <c r="NR13" s="29">
        <f>'REG y VAL POE - AESR - ESR'!AD1387</f>
        <v>0</v>
      </c>
      <c r="NS13" s="28">
        <f>'REG y VAL POE - AESR - ESR'!AE1387</f>
        <v>0</v>
      </c>
      <c r="NT13" s="29">
        <f>'REG y VAL POE - AESR - ESR'!AF1387</f>
        <v>0</v>
      </c>
      <c r="NU13" s="29">
        <f>'REG y VAL POE - AESR - ESR'!AG1387</f>
        <v>0</v>
      </c>
      <c r="NV13" s="28">
        <f>'REG y VAL POE - AESR - ESR'!AH1387</f>
        <v>0</v>
      </c>
      <c r="NW13" s="29">
        <f>'REG y VAL POE - AESR - ESR'!AI1387</f>
        <v>0</v>
      </c>
      <c r="NX13" s="30">
        <f>'REG y VAL POE - AESR - ESR'!AJ1387</f>
        <v>0</v>
      </c>
      <c r="NY13" s="28">
        <f>'REG y VAL POE - AESR - ESR'!AK1387</f>
        <v>0</v>
      </c>
      <c r="NZ13" s="29">
        <f>'REG y VAL POE - AESR - ESR'!AL1387</f>
        <v>0</v>
      </c>
      <c r="OA13" s="29">
        <f>'REG y VAL POE - AESR - ESR'!AM1387</f>
        <v>0</v>
      </c>
      <c r="OB13" s="29">
        <f>'REG y VAL POE - AESR - ESR'!AN1387</f>
        <v>0</v>
      </c>
      <c r="OC13" s="28">
        <f>'REG y VAL POE - AESR - ESR'!AO1387</f>
        <v>0</v>
      </c>
      <c r="OD13" s="29">
        <f>'REG y VAL POE - AESR - ESR'!AP1387</f>
        <v>0</v>
      </c>
      <c r="OE13" s="29">
        <f>'REG y VAL POE - AESR - ESR'!AQ1387</f>
        <v>0</v>
      </c>
      <c r="OF13" s="30">
        <f>'REG y VAL POE - AESR - ESR'!AR1387</f>
        <v>0</v>
      </c>
      <c r="OG13" s="30">
        <f>'REG y VAL POE - AESR - ESR'!AS1387</f>
        <v>0</v>
      </c>
      <c r="OH13" s="30">
        <f>'REG y VAL POE - AESR - ESR'!B1388</f>
        <v>0</v>
      </c>
      <c r="OI13" s="28">
        <f>'REG y VAL POE - AESR - ESR'!C1388</f>
        <v>0</v>
      </c>
      <c r="OJ13" s="30">
        <f>'REG y VAL POE - AESR - ESR'!D1388</f>
        <v>0</v>
      </c>
      <c r="OK13" s="30">
        <f>'REG y VAL POE - AESR - ESR'!E1388</f>
        <v>0</v>
      </c>
      <c r="OL13" s="30">
        <f>'REG y VAL POE - AESR - ESR'!F1388</f>
        <v>0</v>
      </c>
      <c r="OM13" s="30">
        <f>'REG y VAL POE - AESR - ESR'!G1388</f>
        <v>0</v>
      </c>
      <c r="ON13" s="30">
        <f>'REG y VAL POE - AESR - ESR'!H1388</f>
        <v>0</v>
      </c>
      <c r="OO13" s="30">
        <f>'REG y VAL POE - AESR - ESR'!I1388</f>
        <v>0</v>
      </c>
      <c r="OP13" s="28">
        <f>'REG y VAL POE - AESR - ESR'!J1388</f>
        <v>0</v>
      </c>
      <c r="OQ13" s="29">
        <f>'REG y VAL POE - AESR - ESR'!K1388</f>
        <v>0</v>
      </c>
      <c r="OR13" s="30">
        <f>'REG y VAL POE - AESR - ESR'!L1388</f>
        <v>0</v>
      </c>
      <c r="OS13" s="28">
        <f>'REG y VAL POE - AESR - ESR'!M1388</f>
        <v>0</v>
      </c>
      <c r="OT13" s="29">
        <f>'REG y VAL POE - AESR - ESR'!N1388</f>
        <v>0</v>
      </c>
      <c r="OU13" s="29">
        <f>'REG y VAL POE - AESR - ESR'!O1388</f>
        <v>0</v>
      </c>
      <c r="OV13" s="29">
        <f>'REG y VAL POE - AESR - ESR'!P1388</f>
        <v>0</v>
      </c>
      <c r="OW13" s="28">
        <f>'REG y VAL POE - AESR - ESR'!Q1388</f>
        <v>0</v>
      </c>
      <c r="OX13" s="29">
        <f>'REG y VAL POE - AESR - ESR'!R1388</f>
        <v>0</v>
      </c>
      <c r="OY13" s="29">
        <f>'REG y VAL POE - AESR - ESR'!S1388</f>
        <v>0</v>
      </c>
      <c r="OZ13" s="28">
        <f>'REG y VAL POE - AESR - ESR'!T1388</f>
        <v>0</v>
      </c>
      <c r="PA13" s="29">
        <f>'REG y VAL POE - AESR - ESR'!U1388</f>
        <v>0</v>
      </c>
      <c r="PB13" s="30">
        <f>'REG y VAL POE - AESR - ESR'!V1388</f>
        <v>0</v>
      </c>
      <c r="PC13" s="28">
        <f>'REG y VAL POE - AESR - ESR'!W1388</f>
        <v>0</v>
      </c>
      <c r="PD13" s="29">
        <f>'REG y VAL POE - AESR - ESR'!X1388</f>
        <v>0</v>
      </c>
      <c r="PE13" s="29">
        <f>'REG y VAL POE - AESR - ESR'!Y1388</f>
        <v>0</v>
      </c>
      <c r="PF13" s="29">
        <f>'REG y VAL POE - AESR - ESR'!Z1388</f>
        <v>0</v>
      </c>
      <c r="PG13" s="28">
        <f>'REG y VAL POE - AESR - ESR'!AA1388</f>
        <v>0</v>
      </c>
      <c r="PH13" s="29">
        <f>'REG y VAL POE - AESR - ESR'!AB1388</f>
        <v>0</v>
      </c>
      <c r="PI13" s="29">
        <f>'REG y VAL POE - AESR - ESR'!AC1388</f>
        <v>0</v>
      </c>
      <c r="PJ13" s="28">
        <f>'REG y VAL POE - AESR - ESR'!AD1388</f>
        <v>0</v>
      </c>
      <c r="PK13" s="29">
        <f>'REG y VAL POE - AESR - ESR'!AE1388</f>
        <v>0</v>
      </c>
      <c r="PL13" s="30">
        <f>'REG y VAL POE - AESR - ESR'!AF1388</f>
        <v>0</v>
      </c>
      <c r="PM13" s="28">
        <f>'REG y VAL POE - AESR - ESR'!AG1388</f>
        <v>0</v>
      </c>
      <c r="PN13" s="29">
        <f>'REG y VAL POE - AESR - ESR'!AH1388</f>
        <v>0</v>
      </c>
      <c r="PO13" s="29">
        <f>'REG y VAL POE - AESR - ESR'!AI1388</f>
        <v>0</v>
      </c>
      <c r="PP13" s="29">
        <f>'REG y VAL POE - AESR - ESR'!AJ1388</f>
        <v>0</v>
      </c>
      <c r="PQ13" s="28">
        <f>'REG y VAL POE - AESR - ESR'!AK1388</f>
        <v>0</v>
      </c>
      <c r="PR13" s="29">
        <f>'REG y VAL POE - AESR - ESR'!AL1388</f>
        <v>0</v>
      </c>
      <c r="PS13" s="29">
        <f>'REG y VAL POE - AESR - ESR'!AM1388</f>
        <v>0</v>
      </c>
      <c r="PT13" s="28">
        <f>'REG y VAL POE - AESR - ESR'!AN1388</f>
        <v>0</v>
      </c>
      <c r="PU13" s="29">
        <f>'REG y VAL POE - AESR - ESR'!AO1388</f>
        <v>0</v>
      </c>
      <c r="PV13" s="30">
        <f>'REG y VAL POE - AESR - ESR'!AP1388</f>
        <v>0</v>
      </c>
      <c r="PW13" s="28">
        <f>'REG y VAL POE - AESR - ESR'!AQ1388</f>
        <v>0</v>
      </c>
      <c r="PX13" s="29">
        <f>'REG y VAL POE - AESR - ESR'!AR1388</f>
        <v>0</v>
      </c>
      <c r="PY13" s="29">
        <f>'REG y VAL POE - AESR - ESR'!AS1388</f>
        <v>0</v>
      </c>
      <c r="PZ13" s="29">
        <f>'REG y VAL POE - AESR - ESR'!B1389</f>
        <v>0</v>
      </c>
      <c r="QA13" s="28">
        <f>'REG y VAL POE - AESR - ESR'!C1389</f>
        <v>0</v>
      </c>
      <c r="QB13" s="29">
        <f>'REG y VAL POE - AESR - ESR'!D1389</f>
        <v>0</v>
      </c>
      <c r="QC13" s="29">
        <f>'REG y VAL POE - AESR - ESR'!E1389</f>
        <v>0</v>
      </c>
      <c r="QD13" s="28">
        <f>'REG y VAL POE - AESR - ESR'!F1389</f>
        <v>0</v>
      </c>
      <c r="QE13" s="29">
        <f>'REG y VAL POE - AESR - ESR'!G1389</f>
        <v>0</v>
      </c>
      <c r="QF13" s="30">
        <f>'REG y VAL POE - AESR - ESR'!H1389</f>
        <v>0</v>
      </c>
      <c r="QG13" s="28">
        <f>'REG y VAL POE - AESR - ESR'!I1389</f>
        <v>0</v>
      </c>
      <c r="QH13" s="29">
        <f>'REG y VAL POE - AESR - ESR'!J1389</f>
        <v>0</v>
      </c>
      <c r="QI13" s="29">
        <f>'REG y VAL POE - AESR - ESR'!K1389</f>
        <v>0</v>
      </c>
      <c r="QJ13" s="29">
        <f>'REG y VAL POE - AESR - ESR'!L1389</f>
        <v>0</v>
      </c>
      <c r="QK13" s="28">
        <f>'REG y VAL POE - AESR - ESR'!M1389</f>
        <v>0</v>
      </c>
      <c r="QL13" s="29">
        <f>'REG y VAL POE - AESR - ESR'!N1389</f>
        <v>0</v>
      </c>
      <c r="QM13" s="29">
        <f>'REG y VAL POE - AESR - ESR'!O1389</f>
        <v>0</v>
      </c>
      <c r="QN13" s="28">
        <f>'REG y VAL POE - AESR - ESR'!P1389</f>
        <v>0</v>
      </c>
      <c r="QO13" s="29">
        <f>'REG y VAL POE - AESR - ESR'!Q1389</f>
        <v>0</v>
      </c>
      <c r="QP13" s="30">
        <f>'REG y VAL POE - AESR - ESR'!R1389</f>
        <v>0</v>
      </c>
      <c r="QQ13" s="28">
        <f>'REG y VAL POE - AESR - ESR'!S1389</f>
        <v>0</v>
      </c>
      <c r="QR13" s="29">
        <f>'REG y VAL POE - AESR - ESR'!T1389</f>
        <v>0</v>
      </c>
      <c r="QS13" s="29">
        <f>'REG y VAL POE - AESR - ESR'!U1389</f>
        <v>0</v>
      </c>
      <c r="QT13" s="29">
        <f>'REG y VAL POE - AESR - ESR'!V1389</f>
        <v>0</v>
      </c>
      <c r="QU13" s="28">
        <f>'REG y VAL POE - AESR - ESR'!W1389</f>
        <v>0</v>
      </c>
      <c r="QV13" s="29">
        <f>'REG y VAL POE - AESR - ESR'!X1389</f>
        <v>0</v>
      </c>
      <c r="QW13" s="29">
        <f>'REG y VAL POE - AESR - ESR'!Y1389</f>
        <v>0</v>
      </c>
      <c r="QX13" s="28">
        <f>'REG y VAL POE - AESR - ESR'!Z1389</f>
        <v>0</v>
      </c>
      <c r="QY13" s="29">
        <f>'REG y VAL POE - AESR - ESR'!AA1389</f>
        <v>0</v>
      </c>
      <c r="QZ13" s="30">
        <f>'REG y VAL POE - AESR - ESR'!AB1389</f>
        <v>0</v>
      </c>
      <c r="RA13" s="28">
        <f>'REG y VAL POE - AESR - ESR'!AC1389</f>
        <v>0</v>
      </c>
      <c r="RB13" s="29">
        <f>'REG y VAL POE - AESR - ESR'!AD1389</f>
        <v>0</v>
      </c>
      <c r="RC13" s="29">
        <f>'REG y VAL POE - AESR - ESR'!AE1389</f>
        <v>0</v>
      </c>
      <c r="RD13" s="29">
        <f>'REG y VAL POE - AESR - ESR'!AF1389</f>
        <v>0</v>
      </c>
      <c r="RE13" s="28">
        <f>'REG y VAL POE - AESR - ESR'!AG1389</f>
        <v>0</v>
      </c>
      <c r="RF13" s="29">
        <f>'REG y VAL POE - AESR - ESR'!AH1389</f>
        <v>0</v>
      </c>
      <c r="RG13" s="29">
        <f>'REG y VAL POE - AESR - ESR'!AI1389</f>
        <v>0</v>
      </c>
      <c r="RH13" s="28">
        <f>'REG y VAL POE - AESR - ESR'!AJ1389</f>
        <v>0</v>
      </c>
      <c r="RI13" s="29">
        <f>'REG y VAL POE - AESR - ESR'!AK1389</f>
        <v>0</v>
      </c>
      <c r="RJ13" s="30">
        <f>'REG y VAL POE - AESR - ESR'!AL1389</f>
        <v>0</v>
      </c>
      <c r="RK13" s="28">
        <f>'REG y VAL POE - AESR - ESR'!AM1389</f>
        <v>0</v>
      </c>
      <c r="RL13" s="29">
        <f>'REG y VAL POE - AESR - ESR'!AN1389</f>
        <v>0</v>
      </c>
      <c r="RM13" s="29">
        <f>'REG y VAL POE - AESR - ESR'!AO1389</f>
        <v>0</v>
      </c>
      <c r="RN13" s="29">
        <f>'REG y VAL POE - AESR - ESR'!AP1389</f>
        <v>0</v>
      </c>
      <c r="RO13" s="28">
        <f>'REG y VAL POE - AESR - ESR'!AQ1389</f>
        <v>0</v>
      </c>
      <c r="RP13" s="29">
        <f>'REG y VAL POE - AESR - ESR'!AR1389</f>
        <v>0</v>
      </c>
      <c r="RQ13" s="29">
        <f>'REG y VAL POE - AESR - ESR'!AS1389</f>
        <v>0</v>
      </c>
      <c r="RR13" s="28">
        <f>'REG y VAL POE - AESR - ESR'!B1390</f>
        <v>0</v>
      </c>
      <c r="RS13" s="29">
        <f>'REG y VAL POE - AESR - ESR'!C1390</f>
        <v>0</v>
      </c>
      <c r="RT13" s="30">
        <f>'REG y VAL POE - AESR - ESR'!D1390</f>
        <v>0</v>
      </c>
      <c r="RU13" s="28">
        <f>'REG y VAL POE - AESR - ESR'!E1390</f>
        <v>0</v>
      </c>
      <c r="RV13" s="29">
        <f>'REG y VAL POE - AESR - ESR'!F1390</f>
        <v>0</v>
      </c>
      <c r="RW13" s="29">
        <f>'REG y VAL POE - AESR - ESR'!G1390</f>
        <v>0</v>
      </c>
      <c r="RX13" s="29">
        <f>'REG y VAL POE - AESR - ESR'!H1390</f>
        <v>0</v>
      </c>
      <c r="RY13" s="28">
        <f>'REG y VAL POE - AESR - ESR'!I1390</f>
        <v>0</v>
      </c>
      <c r="RZ13" s="29">
        <f>'REG y VAL POE - AESR - ESR'!J1390</f>
        <v>0</v>
      </c>
      <c r="SA13" s="29">
        <f>'REG y VAL POE - AESR - ESR'!K1390</f>
        <v>0</v>
      </c>
      <c r="SB13" s="28">
        <f>'REG y VAL POE - AESR - ESR'!L1390</f>
        <v>0</v>
      </c>
      <c r="SC13" s="29">
        <f>'REG y VAL POE - AESR - ESR'!M1390</f>
        <v>0</v>
      </c>
      <c r="SD13" s="30">
        <f>'REG y VAL POE - AESR - ESR'!N1390</f>
        <v>0</v>
      </c>
      <c r="SE13" s="28">
        <f>'REG y VAL POE - AESR - ESR'!O1390</f>
        <v>0</v>
      </c>
      <c r="SF13" s="29">
        <f>'REG y VAL POE - AESR - ESR'!P1390</f>
        <v>0</v>
      </c>
      <c r="SG13" s="29">
        <f>'REG y VAL POE - AESR - ESR'!Q1390</f>
        <v>0</v>
      </c>
      <c r="SH13" s="29">
        <f>'REG y VAL POE - AESR - ESR'!R1390</f>
        <v>0</v>
      </c>
      <c r="SI13" s="28">
        <f>'REG y VAL POE - AESR - ESR'!S1390</f>
        <v>0</v>
      </c>
      <c r="SJ13" s="29">
        <f>'REG y VAL POE - AESR - ESR'!T1390</f>
        <v>0</v>
      </c>
      <c r="SK13" s="29">
        <f>'REG y VAL POE - AESR - ESR'!U1390</f>
        <v>0</v>
      </c>
      <c r="SL13" s="28">
        <f>'REG y VAL POE - AESR - ESR'!V1390</f>
        <v>0</v>
      </c>
      <c r="SM13" s="29">
        <f>'REG y VAL POE - AESR - ESR'!W1390</f>
        <v>0</v>
      </c>
      <c r="SN13" s="30">
        <f>'REG y VAL POE - AESR - ESR'!X1390</f>
        <v>0</v>
      </c>
      <c r="SO13" s="28">
        <f>'REG y VAL POE - AESR - ESR'!Y1390</f>
        <v>0</v>
      </c>
      <c r="SP13" s="29">
        <f>'REG y VAL POE - AESR - ESR'!Z1390</f>
        <v>0</v>
      </c>
      <c r="SQ13" s="29">
        <f>'REG y VAL POE - AESR - ESR'!AA1390</f>
        <v>0</v>
      </c>
      <c r="SR13" s="29">
        <f>'REG y VAL POE - AESR - ESR'!AB1390</f>
        <v>0</v>
      </c>
      <c r="SS13" s="28">
        <f>'REG y VAL POE - AESR - ESR'!AC1390</f>
        <v>0</v>
      </c>
      <c r="ST13" s="29">
        <f>'REG y VAL POE - AESR - ESR'!AD1390</f>
        <v>0</v>
      </c>
      <c r="SU13" s="29">
        <f>'REG y VAL POE - AESR - ESR'!AE1390</f>
        <v>0</v>
      </c>
      <c r="SV13" s="28">
        <f>'REG y VAL POE - AESR - ESR'!AF1390</f>
        <v>0</v>
      </c>
      <c r="SW13" s="29">
        <f>'REG y VAL POE - AESR - ESR'!AG1390</f>
        <v>0</v>
      </c>
      <c r="SX13" s="30">
        <f>'REG y VAL POE - AESR - ESR'!AH1390</f>
        <v>0</v>
      </c>
      <c r="SY13" s="28">
        <f>'REG y VAL POE - AESR - ESR'!AI1390</f>
        <v>0</v>
      </c>
      <c r="SZ13" s="29">
        <f>'REG y VAL POE - AESR - ESR'!AJ1390</f>
        <v>0</v>
      </c>
      <c r="TA13" s="29">
        <f>'REG y VAL POE - AESR - ESR'!AK1390</f>
        <v>0</v>
      </c>
      <c r="TB13" s="29">
        <f>'REG y VAL POE - AESR - ESR'!AL1390</f>
        <v>0</v>
      </c>
      <c r="TC13" s="28">
        <f>'REG y VAL POE - AESR - ESR'!AM1390</f>
        <v>0</v>
      </c>
      <c r="TD13" s="29">
        <f>'REG y VAL POE - AESR - ESR'!AN1390</f>
        <v>0</v>
      </c>
      <c r="TE13" s="29">
        <f>'REG y VAL POE - AESR - ESR'!AO1390</f>
        <v>0</v>
      </c>
      <c r="TF13" s="28">
        <f>'REG y VAL POE - AESR - ESR'!AP1390</f>
        <v>0</v>
      </c>
      <c r="TG13" s="29">
        <f>'REG y VAL POE - AESR - ESR'!AQ1390</f>
        <v>0</v>
      </c>
      <c r="TH13" s="30">
        <f>'REG y VAL POE - AESR - ESR'!AR1390</f>
        <v>0</v>
      </c>
      <c r="TI13" s="28">
        <f>'REG y VAL POE - AESR - ESR'!AS1390</f>
        <v>0</v>
      </c>
      <c r="TJ13" s="29">
        <f>'REG y VAL POE - AESR - ESR'!B1391</f>
        <v>0</v>
      </c>
      <c r="TK13" s="29">
        <f>'REG y VAL POE - AESR - ESR'!C1391</f>
        <v>0</v>
      </c>
      <c r="TL13" s="29">
        <f>'REG y VAL POE - AESR - ESR'!D1391</f>
        <v>0</v>
      </c>
      <c r="TM13" s="28">
        <f>'REG y VAL POE - AESR - ESR'!E1391</f>
        <v>0</v>
      </c>
      <c r="TN13" s="29">
        <f>'REG y VAL POE - AESR - ESR'!F1391</f>
        <v>0</v>
      </c>
      <c r="TO13" s="29">
        <f>'REG y VAL POE - AESR - ESR'!G1391</f>
        <v>0</v>
      </c>
      <c r="TP13" s="28">
        <f>'REG y VAL POE - AESR - ESR'!H1391</f>
        <v>0</v>
      </c>
      <c r="TQ13" s="29">
        <f>'REG y VAL POE - AESR - ESR'!I1391</f>
        <v>0</v>
      </c>
      <c r="TR13" s="30">
        <f>'REG y VAL POE - AESR - ESR'!J1391</f>
        <v>0</v>
      </c>
      <c r="TS13" s="28">
        <f>'REG y VAL POE - AESR - ESR'!K1391</f>
        <v>0</v>
      </c>
      <c r="TT13" s="29">
        <f>'REG y VAL POE - AESR - ESR'!L1391</f>
        <v>0</v>
      </c>
      <c r="TU13" s="29">
        <f>'REG y VAL POE - AESR - ESR'!M1391</f>
        <v>0</v>
      </c>
      <c r="TV13" s="29">
        <f>'REG y VAL POE - AESR - ESR'!N1391</f>
        <v>0</v>
      </c>
      <c r="TW13" s="28">
        <f>'REG y VAL POE - AESR - ESR'!O1391</f>
        <v>0</v>
      </c>
      <c r="TX13" s="29">
        <f>'REG y VAL POE - AESR - ESR'!P1391</f>
        <v>0</v>
      </c>
      <c r="TY13" s="29">
        <f>'REG y VAL POE - AESR - ESR'!Q1391</f>
        <v>0</v>
      </c>
      <c r="TZ13" s="28">
        <f>'REG y VAL POE - AESR - ESR'!R1391</f>
        <v>0</v>
      </c>
      <c r="UA13" s="29">
        <f>'REG y VAL POE - AESR - ESR'!S1391</f>
        <v>0</v>
      </c>
      <c r="UB13" s="30">
        <f>'REG y VAL POE - AESR - ESR'!T1391</f>
        <v>0</v>
      </c>
      <c r="UC13" s="28">
        <f>'REG y VAL POE - AESR - ESR'!U1391</f>
        <v>0</v>
      </c>
      <c r="UD13" s="29">
        <f>'REG y VAL POE - AESR - ESR'!V1391</f>
        <v>0</v>
      </c>
      <c r="UE13" s="29">
        <f>'REG y VAL POE - AESR - ESR'!W1391</f>
        <v>0</v>
      </c>
      <c r="UF13" s="29">
        <f>'REG y VAL POE - AESR - ESR'!X1391</f>
        <v>0</v>
      </c>
      <c r="UG13" s="28">
        <f>'REG y VAL POE - AESR - ESR'!Y1391</f>
        <v>0</v>
      </c>
      <c r="UH13" s="29">
        <f>'REG y VAL POE - AESR - ESR'!Z1391</f>
        <v>0</v>
      </c>
      <c r="UI13" s="29">
        <f>'REG y VAL POE - AESR - ESR'!AA1391</f>
        <v>0</v>
      </c>
      <c r="UJ13" s="28">
        <f>'REG y VAL POE - AESR - ESR'!AB1391</f>
        <v>0</v>
      </c>
      <c r="UK13" s="29">
        <f>'REG y VAL POE - AESR - ESR'!AC1391</f>
        <v>0</v>
      </c>
      <c r="UL13" s="30">
        <f>'REG y VAL POE - AESR - ESR'!AD1391</f>
        <v>0</v>
      </c>
      <c r="UM13" s="28">
        <f>'REG y VAL POE - AESR - ESR'!AE1391</f>
        <v>0</v>
      </c>
      <c r="UN13" s="29">
        <f>'REG y VAL POE - AESR - ESR'!AF1391</f>
        <v>0</v>
      </c>
      <c r="UO13" s="29">
        <f>'REG y VAL POE - AESR - ESR'!AG1391</f>
        <v>0</v>
      </c>
      <c r="UP13" s="29">
        <f>'REG y VAL POE - AESR - ESR'!AH1391</f>
        <v>0</v>
      </c>
      <c r="UQ13" s="28">
        <f>'REG y VAL POE - AESR - ESR'!AI1391</f>
        <v>0</v>
      </c>
      <c r="UR13" s="29">
        <f>'REG y VAL POE - AESR - ESR'!AJ1391</f>
        <v>0</v>
      </c>
      <c r="US13" s="29">
        <f>'REG y VAL POE - AESR - ESR'!AK1391</f>
        <v>0</v>
      </c>
      <c r="UT13" s="28">
        <f>'REG y VAL POE - AESR - ESR'!AL1391</f>
        <v>0</v>
      </c>
      <c r="UU13" s="29">
        <f>'REG y VAL POE - AESR - ESR'!AM1391</f>
        <v>0</v>
      </c>
      <c r="UV13" s="30">
        <f>'REG y VAL POE - AESR - ESR'!AN1391</f>
        <v>0</v>
      </c>
      <c r="UW13" s="28">
        <f>'REG y VAL POE - AESR - ESR'!AO1391</f>
        <v>0</v>
      </c>
      <c r="UX13" s="29">
        <f>'REG y VAL POE - AESR - ESR'!AP1391</f>
        <v>0</v>
      </c>
      <c r="UY13" s="29">
        <f>'REG y VAL POE - AESR - ESR'!AQ1391</f>
        <v>0</v>
      </c>
      <c r="UZ13" s="29">
        <f>'REG y VAL POE - AESR - ESR'!AR1391</f>
        <v>0</v>
      </c>
      <c r="VA13" s="28">
        <f>'REG y VAL POE - AESR - ESR'!AS1391</f>
        <v>0</v>
      </c>
      <c r="VB13" s="29">
        <f>'REG y VAL POE - AESR - ESR'!B1392</f>
        <v>0</v>
      </c>
      <c r="VC13" s="29">
        <f>'REG y VAL POE - AESR - ESR'!C1392</f>
        <v>0</v>
      </c>
      <c r="VD13" s="28">
        <f>'REG y VAL POE - AESR - ESR'!D1392</f>
        <v>0</v>
      </c>
      <c r="VE13" s="29">
        <f>'REG y VAL POE - AESR - ESR'!E1392</f>
        <v>0</v>
      </c>
      <c r="VF13" s="30">
        <f>'REG y VAL POE - AESR - ESR'!F1392</f>
        <v>0</v>
      </c>
      <c r="VG13" s="28">
        <f>'REG y VAL POE - AESR - ESR'!G1392</f>
        <v>0</v>
      </c>
      <c r="VH13" s="29">
        <f>'REG y VAL POE - AESR - ESR'!H1392</f>
        <v>0</v>
      </c>
      <c r="VI13" s="29">
        <f>'REG y VAL POE - AESR - ESR'!I1392</f>
        <v>0</v>
      </c>
      <c r="VJ13" s="29">
        <f>'REG y VAL POE - AESR - ESR'!J1392</f>
        <v>0</v>
      </c>
      <c r="VK13" s="28">
        <f>'REG y VAL POE - AESR - ESR'!K1392</f>
        <v>0</v>
      </c>
      <c r="VL13" s="29">
        <f>'REG y VAL POE - AESR - ESR'!L1392</f>
        <v>0</v>
      </c>
      <c r="VM13" s="29">
        <f>'REG y VAL POE - AESR - ESR'!M1392</f>
        <v>0</v>
      </c>
      <c r="VN13" s="28">
        <f>'REG y VAL POE - AESR - ESR'!N1392</f>
        <v>0</v>
      </c>
      <c r="VO13" s="29">
        <f>'REG y VAL POE - AESR - ESR'!O1392</f>
        <v>0</v>
      </c>
      <c r="VP13" s="30">
        <f>'REG y VAL POE - AESR - ESR'!P1392</f>
        <v>0</v>
      </c>
      <c r="VQ13" s="28">
        <f>'REG y VAL POE - AESR - ESR'!Q1392</f>
        <v>0</v>
      </c>
      <c r="VR13" s="29">
        <f>'REG y VAL POE - AESR - ESR'!R1392</f>
        <v>0</v>
      </c>
      <c r="VS13" s="29">
        <f>'REG y VAL POE - AESR - ESR'!S1392</f>
        <v>0</v>
      </c>
      <c r="VT13" s="29">
        <f>'REG y VAL POE - AESR - ESR'!T1392</f>
        <v>0</v>
      </c>
      <c r="VU13" s="28">
        <f>'REG y VAL POE - AESR - ESR'!U1392</f>
        <v>0</v>
      </c>
      <c r="VV13" s="29">
        <f>'REG y VAL POE - AESR - ESR'!V1392</f>
        <v>0</v>
      </c>
      <c r="VW13" s="29">
        <f>'REG y VAL POE - AESR - ESR'!W1392</f>
        <v>0</v>
      </c>
      <c r="VX13" s="28">
        <f>'REG y VAL POE - AESR - ESR'!X1392</f>
        <v>0</v>
      </c>
      <c r="VY13" s="29">
        <f>'REG y VAL POE - AESR - ESR'!Y1392</f>
        <v>0</v>
      </c>
      <c r="VZ13" s="30">
        <f>'REG y VAL POE - AESR - ESR'!Z1392</f>
        <v>0</v>
      </c>
      <c r="WA13" s="28">
        <f>'REG y VAL POE - AESR - ESR'!AA1392</f>
        <v>0</v>
      </c>
      <c r="WB13" s="29">
        <f>'REG y VAL POE - AESR - ESR'!AB1392</f>
        <v>0</v>
      </c>
      <c r="WC13" s="29">
        <f>'REG y VAL POE - AESR - ESR'!AC1392</f>
        <v>0</v>
      </c>
      <c r="WD13" s="29">
        <f>'REG y VAL POE - AESR - ESR'!AD1392</f>
        <v>0</v>
      </c>
      <c r="WE13" s="28">
        <f>'REG y VAL POE - AESR - ESR'!AE1392</f>
        <v>0</v>
      </c>
      <c r="WF13" s="29">
        <f>'REG y VAL POE - AESR - ESR'!AF1392</f>
        <v>0</v>
      </c>
      <c r="WG13" s="29">
        <f>'REG y VAL POE - AESR - ESR'!AG1392</f>
        <v>0</v>
      </c>
      <c r="WH13" s="28">
        <f>'REG y VAL POE - AESR - ESR'!AH1392</f>
        <v>0</v>
      </c>
      <c r="WI13" s="29">
        <f>'REG y VAL POE - AESR - ESR'!AI1392</f>
        <v>0</v>
      </c>
      <c r="WJ13" s="30">
        <f>'REG y VAL POE - AESR - ESR'!AJ1392</f>
        <v>0</v>
      </c>
      <c r="WK13" s="28">
        <f>'REG y VAL POE - AESR - ESR'!AK1392</f>
        <v>0</v>
      </c>
      <c r="WL13" s="29">
        <f>'REG y VAL POE - AESR - ESR'!AL1392</f>
        <v>0</v>
      </c>
      <c r="WM13" s="29">
        <f>'REG y VAL POE - AESR - ESR'!AM1392</f>
        <v>0</v>
      </c>
      <c r="WN13" s="29">
        <f>'REG y VAL POE - AESR - ESR'!AN1392</f>
        <v>0</v>
      </c>
      <c r="WO13" s="28">
        <f>'REG y VAL POE - AESR - ESR'!AO1392</f>
        <v>0</v>
      </c>
      <c r="WP13" s="29">
        <f>'REG y VAL POE - AESR - ESR'!AP1392</f>
        <v>0</v>
      </c>
      <c r="WQ13" s="29">
        <f>'REG y VAL POE - AESR - ESR'!AQ1392</f>
        <v>0</v>
      </c>
      <c r="WR13" s="28">
        <f>'REG y VAL POE - AESR - ESR'!AR1392</f>
        <v>0</v>
      </c>
      <c r="WS13" s="29">
        <f>'REG y VAL POE - AESR - ESR'!AS1392</f>
        <v>0</v>
      </c>
      <c r="WT13" s="30">
        <f>'REG y VAL POE - AESR - ESR'!B1393</f>
        <v>0</v>
      </c>
      <c r="WU13" s="28">
        <f>'REG y VAL POE - AESR - ESR'!C1393</f>
        <v>0</v>
      </c>
      <c r="WV13" s="29">
        <f>'REG y VAL POE - AESR - ESR'!D1393</f>
        <v>0</v>
      </c>
      <c r="WW13" s="29">
        <f>'REG y VAL POE - AESR - ESR'!E1393</f>
        <v>0</v>
      </c>
      <c r="WX13" s="29">
        <f>'REG y VAL POE - AESR - ESR'!F1393</f>
        <v>0</v>
      </c>
      <c r="WY13" s="28">
        <f>'REG y VAL POE - AESR - ESR'!G1393</f>
        <v>0</v>
      </c>
      <c r="WZ13" s="29">
        <f>'REG y VAL POE - AESR - ESR'!H1393</f>
        <v>0</v>
      </c>
      <c r="XA13" s="29">
        <f>'REG y VAL POE - AESR - ESR'!I1393</f>
        <v>0</v>
      </c>
      <c r="XB13" s="28">
        <f>'REG y VAL POE - AESR - ESR'!J1393</f>
        <v>0</v>
      </c>
      <c r="XC13" s="29">
        <f>'REG y VAL POE - AESR - ESR'!K1393</f>
        <v>0</v>
      </c>
      <c r="XD13" s="30">
        <f>'REG y VAL POE - AESR - ESR'!L1393</f>
        <v>0</v>
      </c>
      <c r="XE13" s="28">
        <f>'REG y VAL POE - AESR - ESR'!M1393</f>
        <v>0</v>
      </c>
      <c r="XF13" s="29">
        <f>'REG y VAL POE - AESR - ESR'!N1393</f>
        <v>0</v>
      </c>
      <c r="XG13" s="29">
        <f>'REG y VAL POE - AESR - ESR'!O1393</f>
        <v>0</v>
      </c>
      <c r="XH13" s="29">
        <f>'REG y VAL POE - AESR - ESR'!P1393</f>
        <v>0</v>
      </c>
      <c r="XI13" s="28">
        <f>'REG y VAL POE - AESR - ESR'!Q1393</f>
        <v>0</v>
      </c>
      <c r="XJ13" s="29">
        <f>'REG y VAL POE - AESR - ESR'!R1393</f>
        <v>0</v>
      </c>
      <c r="XK13" s="29">
        <f>'REG y VAL POE - AESR - ESR'!S1393</f>
        <v>0</v>
      </c>
      <c r="XL13" s="28">
        <f>'REG y VAL POE - AESR - ESR'!T1393</f>
        <v>0</v>
      </c>
      <c r="XM13" s="29">
        <f>'REG y VAL POE - AESR - ESR'!U1393</f>
        <v>0</v>
      </c>
      <c r="XN13" s="30">
        <f>'REG y VAL POE - AESR - ESR'!V1393</f>
        <v>0</v>
      </c>
      <c r="XO13" s="28">
        <f>'REG y VAL POE - AESR - ESR'!W1393</f>
        <v>0</v>
      </c>
      <c r="XP13" s="29">
        <f>'REG y VAL POE - AESR - ESR'!X1393</f>
        <v>0</v>
      </c>
      <c r="XQ13" s="29">
        <f>'REG y VAL POE - AESR - ESR'!Y1393</f>
        <v>0</v>
      </c>
      <c r="XR13" s="29">
        <f>'REG y VAL POE - AESR - ESR'!Z1393</f>
        <v>0</v>
      </c>
      <c r="XS13" s="28">
        <f>'REG y VAL POE - AESR - ESR'!AA1393</f>
        <v>0</v>
      </c>
      <c r="XT13" s="29">
        <f>'REG y VAL POE - AESR - ESR'!AB1393</f>
        <v>0</v>
      </c>
      <c r="XU13" s="29">
        <f>'REG y VAL POE - AESR - ESR'!AC1393</f>
        <v>0</v>
      </c>
      <c r="XV13" s="28">
        <f>'REG y VAL POE - AESR - ESR'!AD1393</f>
        <v>0</v>
      </c>
      <c r="XW13" s="29">
        <f>'REG y VAL POE - AESR - ESR'!AE1393</f>
        <v>0</v>
      </c>
      <c r="XX13" s="30">
        <f>'REG y VAL POE - AESR - ESR'!AF1393</f>
        <v>0</v>
      </c>
      <c r="XY13" s="28">
        <f>'REG y VAL POE - AESR - ESR'!AG1393</f>
        <v>0</v>
      </c>
      <c r="XZ13" s="29">
        <f>'REG y VAL POE - AESR - ESR'!AH1393</f>
        <v>0</v>
      </c>
      <c r="YA13" s="29">
        <f>'REG y VAL POE - AESR - ESR'!AI1393</f>
        <v>0</v>
      </c>
      <c r="YB13" s="29">
        <f>'REG y VAL POE - AESR - ESR'!AJ1393</f>
        <v>0</v>
      </c>
      <c r="YC13" s="28">
        <f>'REG y VAL POE - AESR - ESR'!AK1393</f>
        <v>0</v>
      </c>
      <c r="YD13" s="29">
        <f>'REG y VAL POE - AESR - ESR'!AL1393</f>
        <v>0</v>
      </c>
      <c r="YE13" s="29">
        <f>'REG y VAL POE - AESR - ESR'!AM1393</f>
        <v>0</v>
      </c>
      <c r="YF13" s="28">
        <f>'REG y VAL POE - AESR - ESR'!AN1393</f>
        <v>0</v>
      </c>
      <c r="YG13" s="29">
        <f>'REG y VAL POE - AESR - ESR'!AO1393</f>
        <v>0</v>
      </c>
      <c r="YH13" s="30">
        <f>'REG y VAL POE - AESR - ESR'!AP1393</f>
        <v>0</v>
      </c>
      <c r="YI13" s="28">
        <f>'REG y VAL POE - AESR - ESR'!AQ1393</f>
        <v>0</v>
      </c>
      <c r="YJ13" s="29">
        <f>'REG y VAL POE - AESR - ESR'!AR1393</f>
        <v>0</v>
      </c>
      <c r="YK13" s="29">
        <f>'REG y VAL POE - AESR - ESR'!AS1393</f>
        <v>0</v>
      </c>
      <c r="YL13" s="29"/>
      <c r="YM13" s="28"/>
      <c r="YN13" s="29"/>
      <c r="YO13" s="29"/>
      <c r="YP13" s="28"/>
      <c r="YQ13" s="29"/>
      <c r="YR13" s="30"/>
      <c r="YS13" s="28"/>
      <c r="YT13" s="29"/>
      <c r="YU13" s="29"/>
      <c r="YV13" s="29"/>
      <c r="YW13" s="28"/>
      <c r="YX13" s="29"/>
      <c r="YY13" s="29"/>
      <c r="YZ13" s="28"/>
      <c r="ZA13" s="29"/>
      <c r="ZB13" s="30"/>
      <c r="ZC13" s="28"/>
      <c r="ZD13" s="29"/>
      <c r="ZE13" s="29"/>
      <c r="ZF13" s="29"/>
      <c r="ZG13" s="28"/>
      <c r="ZH13" s="29"/>
      <c r="ZI13" s="29"/>
      <c r="ZJ13" s="28"/>
      <c r="ZK13" s="29"/>
      <c r="ZL13" s="30"/>
      <c r="ZM13" s="28"/>
      <c r="ZN13" s="29"/>
      <c r="ZO13" s="29"/>
      <c r="ZP13" s="29"/>
      <c r="ZQ13" s="28"/>
      <c r="ZR13" s="29"/>
      <c r="ZS13" s="29"/>
      <c r="ZT13" s="28"/>
      <c r="ZU13" s="29"/>
      <c r="ZV13" s="30"/>
      <c r="ZW13" s="28"/>
      <c r="ZX13" s="29"/>
      <c r="ZY13" s="29"/>
      <c r="ZZ13" s="29"/>
      <c r="AAA13" s="28"/>
      <c r="AAB13" s="29"/>
      <c r="AAC13" s="29"/>
      <c r="AAD13" s="28"/>
      <c r="AAE13" s="29"/>
      <c r="AAF13" s="30"/>
      <c r="AAG13" s="28"/>
      <c r="AAH13" s="29"/>
      <c r="AAI13" s="29"/>
      <c r="AAJ13" s="29"/>
      <c r="AAK13" s="28"/>
      <c r="AAL13" s="29"/>
      <c r="AAM13" s="29"/>
      <c r="AAN13" s="28"/>
      <c r="AAO13" s="29"/>
      <c r="AAP13" s="30"/>
      <c r="AAQ13" s="28"/>
      <c r="AAR13" s="29"/>
      <c r="AAS13" s="29"/>
      <c r="AAT13" s="29"/>
      <c r="AAU13" s="28"/>
      <c r="AAV13" s="29"/>
      <c r="AAW13" s="29"/>
      <c r="AAX13" s="30"/>
      <c r="AAY13" s="30"/>
      <c r="AAZ13" s="30"/>
      <c r="ABA13" s="28"/>
      <c r="ABB13" s="30"/>
      <c r="ABC13" s="30"/>
      <c r="ABD13" s="30"/>
      <c r="ABE13" s="30"/>
      <c r="ABF13" s="30"/>
      <c r="ABG13" s="29"/>
      <c r="ABH13" s="28"/>
      <c r="ABI13" s="29"/>
      <c r="ABJ13" s="30"/>
      <c r="ABK13" s="28"/>
      <c r="ABL13" s="29"/>
      <c r="ABM13" s="29"/>
      <c r="ABN13" s="29"/>
      <c r="ABO13" s="28"/>
      <c r="ABP13" s="29"/>
      <c r="ABQ13" s="29"/>
      <c r="ABR13" s="28"/>
      <c r="ABS13" s="29"/>
      <c r="ABT13" s="30"/>
      <c r="ABU13" s="28"/>
      <c r="ABV13" s="29"/>
      <c r="ABW13" s="29"/>
      <c r="ABX13" s="29"/>
      <c r="ABY13" s="28"/>
      <c r="ABZ13" s="29"/>
      <c r="ACA13" s="29"/>
      <c r="ACB13" s="28"/>
      <c r="ACC13" s="29"/>
      <c r="ACD13" s="30"/>
      <c r="ACE13" s="28"/>
      <c r="ACF13" s="29"/>
      <c r="ACG13" s="29"/>
      <c r="ACH13" s="29"/>
      <c r="ACI13" s="28"/>
      <c r="ACJ13" s="29"/>
      <c r="ACK13" s="29"/>
      <c r="ACL13" s="28"/>
      <c r="ACM13" s="29"/>
      <c r="ACN13" s="30"/>
      <c r="ACO13" s="28"/>
      <c r="ACP13" s="29"/>
      <c r="ACQ13" s="29"/>
      <c r="ACR13" s="29"/>
      <c r="ACS13" s="28"/>
      <c r="ACT13" s="29"/>
      <c r="ACU13" s="29"/>
      <c r="ACV13" s="28"/>
      <c r="ACW13" s="29"/>
      <c r="ACX13" s="30"/>
      <c r="ACY13" s="28"/>
      <c r="ACZ13" s="29"/>
      <c r="ADA13" s="29"/>
      <c r="ADB13" s="29"/>
      <c r="ADC13" s="28"/>
      <c r="ADD13" s="29"/>
      <c r="ADE13" s="29"/>
      <c r="ADF13" s="28"/>
      <c r="ADG13" s="29"/>
      <c r="ADH13" s="30"/>
      <c r="ADI13" s="28"/>
      <c r="ADJ13" s="29"/>
      <c r="ADK13" s="29"/>
      <c r="ADL13" s="29"/>
      <c r="ADM13" s="28"/>
      <c r="ADN13" s="29"/>
      <c r="ADO13" s="29"/>
      <c r="ADP13" s="28"/>
      <c r="ADQ13" s="29"/>
      <c r="ADR13" s="30"/>
      <c r="ADS13" s="28"/>
      <c r="ADT13" s="29"/>
      <c r="ADU13" s="29"/>
      <c r="ADV13" s="29"/>
      <c r="ADW13" s="28"/>
      <c r="ADX13" s="29"/>
      <c r="ADY13" s="29"/>
      <c r="ADZ13" s="28"/>
      <c r="AEA13" s="29"/>
      <c r="AEB13" s="30"/>
      <c r="AEC13" s="28"/>
      <c r="AED13" s="29"/>
      <c r="AEE13" s="29"/>
      <c r="AEF13" s="29"/>
      <c r="AEG13" s="28"/>
      <c r="AEH13" s="29"/>
      <c r="AEI13" s="29"/>
      <c r="AEJ13" s="28"/>
      <c r="AEK13" s="29"/>
      <c r="AEL13" s="30"/>
      <c r="AEM13" s="28"/>
      <c r="AEN13" s="29"/>
      <c r="AEO13" s="29"/>
      <c r="AEP13" s="29"/>
      <c r="AEQ13" s="28"/>
      <c r="AER13" s="29"/>
      <c r="AES13" s="29"/>
      <c r="AET13" s="28"/>
      <c r="AEU13" s="29"/>
      <c r="AEV13" s="30"/>
      <c r="AEW13" s="28"/>
      <c r="AEX13" s="29"/>
      <c r="AEY13" s="29"/>
      <c r="AEZ13" s="29"/>
      <c r="AFA13" s="28"/>
      <c r="AFB13" s="29"/>
      <c r="AFC13" s="29"/>
      <c r="AFD13" s="28"/>
      <c r="AFE13" s="29"/>
      <c r="AFF13" s="30"/>
      <c r="AFG13" s="28"/>
      <c r="AFH13" s="29"/>
      <c r="AFI13" s="29"/>
      <c r="AFJ13" s="29"/>
      <c r="AFK13" s="28"/>
      <c r="AFL13" s="29"/>
      <c r="AFM13" s="29"/>
      <c r="AFN13" s="28"/>
      <c r="AFO13" s="29"/>
      <c r="AFP13" s="30"/>
      <c r="AFQ13" s="28"/>
      <c r="AFR13" s="29"/>
      <c r="AFS13" s="29"/>
      <c r="AFT13" s="29"/>
      <c r="AFU13" s="28"/>
      <c r="AFV13" s="29"/>
      <c r="AFW13" s="29"/>
      <c r="AFX13" s="28"/>
      <c r="AFY13" s="29"/>
      <c r="AFZ13" s="30"/>
      <c r="AGA13" s="28"/>
      <c r="AGB13" s="29"/>
      <c r="AGC13" s="29"/>
      <c r="AGD13" s="29"/>
      <c r="AGE13" s="28"/>
      <c r="AGF13" s="29"/>
      <c r="AGG13" s="29"/>
      <c r="AGH13" s="28"/>
      <c r="AGI13" s="29"/>
      <c r="AGJ13" s="30"/>
      <c r="AGK13" s="28"/>
      <c r="AGL13" s="29"/>
      <c r="AGM13" s="29"/>
      <c r="AGN13" s="29"/>
      <c r="AGO13" s="28"/>
      <c r="AGP13" s="29"/>
      <c r="AGQ13" s="29"/>
      <c r="AGR13" s="28"/>
      <c r="AGS13" s="29"/>
      <c r="AGT13" s="30"/>
      <c r="AGU13" s="28"/>
      <c r="AGV13" s="29"/>
      <c r="AGW13" s="29"/>
      <c r="AGX13" s="29"/>
      <c r="AGY13" s="28"/>
      <c r="AGZ13" s="29"/>
      <c r="AHA13" s="29"/>
      <c r="AHB13" s="28"/>
      <c r="AHC13" s="29"/>
      <c r="AHD13" s="30"/>
      <c r="AHE13" s="28"/>
      <c r="AHF13" s="29"/>
      <c r="AHG13" s="29"/>
      <c r="AHH13" s="29"/>
      <c r="AHI13" s="28"/>
      <c r="AHJ13" s="29"/>
      <c r="AHK13" s="29"/>
      <c r="AHL13" s="28"/>
      <c r="AHM13" s="29"/>
      <c r="AHN13" s="30"/>
      <c r="AHO13" s="28"/>
      <c r="AHP13" s="29"/>
      <c r="AHQ13" s="29"/>
      <c r="AHR13" s="29"/>
      <c r="AHS13" s="28"/>
      <c r="AHT13" s="29"/>
      <c r="AHU13" s="29"/>
      <c r="AHV13" s="28"/>
      <c r="AHW13" s="29"/>
      <c r="AHX13" s="30"/>
      <c r="AHY13" s="28"/>
      <c r="AHZ13" s="29"/>
      <c r="AIA13" s="29"/>
      <c r="AIB13" s="29"/>
      <c r="AIC13" s="28"/>
      <c r="AID13" s="29"/>
      <c r="AIE13" s="29"/>
      <c r="AIF13" s="28"/>
      <c r="AIG13" s="29"/>
      <c r="AIH13" s="30"/>
      <c r="AII13" s="28"/>
      <c r="AIJ13" s="29"/>
      <c r="AIK13" s="29"/>
      <c r="AIL13" s="29"/>
      <c r="AIM13" s="28"/>
      <c r="AIN13" s="29"/>
      <c r="AIO13" s="29"/>
      <c r="AIP13" s="28"/>
      <c r="AIQ13" s="29"/>
      <c r="AIR13" s="30"/>
      <c r="AIS13" s="28"/>
      <c r="AIT13" s="29"/>
      <c r="AIU13" s="29"/>
      <c r="AIV13" s="29"/>
      <c r="AIW13" s="28"/>
      <c r="AIX13" s="29"/>
      <c r="AIY13" s="29"/>
      <c r="AIZ13" s="28"/>
      <c r="AJA13" s="29"/>
      <c r="AJB13" s="30"/>
      <c r="AJC13" s="28"/>
      <c r="AJD13" s="29"/>
      <c r="AJE13" s="29"/>
      <c r="AJF13" s="29"/>
      <c r="AJG13" s="28"/>
      <c r="AJH13" s="29"/>
      <c r="AJI13" s="29"/>
      <c r="AJJ13" s="28"/>
      <c r="AJK13" s="29"/>
      <c r="AJL13" s="30"/>
      <c r="AJM13" s="28"/>
      <c r="AJN13" s="29"/>
      <c r="AJO13" s="29"/>
      <c r="AJP13" s="29"/>
      <c r="AJQ13" s="28"/>
      <c r="AJR13" s="29"/>
      <c r="AJS13" s="29"/>
      <c r="AJT13" s="28"/>
      <c r="AJU13" s="29"/>
      <c r="AJV13" s="30"/>
      <c r="AJW13" s="28"/>
      <c r="AJX13" s="29"/>
      <c r="AJY13" s="29"/>
      <c r="AJZ13" s="29"/>
      <c r="AKA13" s="28"/>
      <c r="AKB13" s="29"/>
      <c r="AKC13" s="29"/>
      <c r="AKD13" s="28"/>
      <c r="AKE13" s="29"/>
      <c r="AKF13" s="30"/>
      <c r="AKG13" s="28"/>
      <c r="AKH13" s="29"/>
      <c r="AKI13" s="29"/>
      <c r="AKJ13" s="29"/>
      <c r="AKK13" s="28"/>
      <c r="AKL13" s="29"/>
      <c r="AKM13" s="29"/>
      <c r="AKN13" s="28"/>
      <c r="AKO13" s="29"/>
      <c r="AKP13" s="30"/>
      <c r="AKQ13" s="28"/>
      <c r="AKR13" s="29"/>
      <c r="AKS13" s="29"/>
      <c r="AKT13" s="29"/>
      <c r="AKU13" s="28"/>
      <c r="AKV13" s="29"/>
      <c r="AKW13" s="29"/>
      <c r="AKX13" s="28"/>
      <c r="AKY13" s="29"/>
      <c r="AKZ13" s="30"/>
      <c r="ALA13" s="28"/>
      <c r="ALB13" s="29"/>
      <c r="ALC13" s="29"/>
      <c r="ALD13" s="29"/>
      <c r="ALE13" s="28"/>
      <c r="ALF13" s="29"/>
      <c r="ALG13" s="29"/>
      <c r="ALH13" s="29"/>
      <c r="ALI13" s="29"/>
      <c r="ALJ13" s="29"/>
      <c r="ALK13" s="28"/>
      <c r="ALL13" s="29"/>
      <c r="ALM13" s="29"/>
      <c r="ALN13" s="28"/>
      <c r="ALO13" s="29"/>
      <c r="ALP13" s="30"/>
      <c r="ALQ13" s="28"/>
      <c r="ALR13" s="29"/>
      <c r="ALS13" s="29"/>
      <c r="ALT13" s="29"/>
      <c r="ALU13" s="28"/>
      <c r="ALV13" s="29"/>
      <c r="ALW13" s="29"/>
      <c r="ALX13" s="28"/>
      <c r="ALY13" s="29"/>
      <c r="ALZ13" s="30"/>
      <c r="AMA13" s="28"/>
      <c r="AMB13" s="29"/>
      <c r="AMC13" s="29"/>
      <c r="AMD13" s="29"/>
      <c r="AME13" s="28"/>
      <c r="AMF13" s="29"/>
      <c r="AMG13" s="29"/>
      <c r="AMH13" s="29"/>
      <c r="AMI13" s="29"/>
      <c r="AMJ13" s="29"/>
      <c r="AMK13" s="28"/>
      <c r="AML13" s="29"/>
      <c r="AMM13" s="29"/>
      <c r="AMN13" s="28"/>
      <c r="AMO13" s="29"/>
      <c r="AMP13" s="30"/>
      <c r="AMQ13" s="28"/>
      <c r="AMR13" s="29"/>
      <c r="AMS13" s="29"/>
      <c r="AMT13" s="29"/>
      <c r="AMU13" s="28"/>
      <c r="AMV13" s="29"/>
      <c r="AMW13" s="29"/>
      <c r="AMX13" s="28"/>
      <c r="AMY13" s="29"/>
      <c r="AMZ13" s="30"/>
      <c r="ANA13" s="28"/>
      <c r="ANB13" s="29"/>
      <c r="ANC13" s="29"/>
      <c r="AND13" s="29"/>
      <c r="ANE13" s="28"/>
      <c r="ANF13" s="29"/>
      <c r="ANG13" s="29"/>
      <c r="ANH13" s="29"/>
      <c r="ANI13" s="29"/>
      <c r="ANJ13" s="29"/>
      <c r="ANK13" s="28"/>
      <c r="ANL13" s="29"/>
      <c r="ANM13" s="29"/>
      <c r="ANN13" s="28"/>
      <c r="ANO13" s="29"/>
      <c r="ANP13" s="30"/>
      <c r="ANQ13" s="28"/>
      <c r="ANR13" s="29"/>
      <c r="ANS13" s="29"/>
      <c r="ANT13" s="29"/>
      <c r="ANU13" s="28"/>
      <c r="ANV13" s="29"/>
      <c r="ANW13" s="29"/>
      <c r="ANX13" s="28"/>
      <c r="ANY13" s="29"/>
      <c r="ANZ13" s="30"/>
      <c r="AOA13" s="28"/>
      <c r="AOB13" s="29"/>
      <c r="AOC13" s="29"/>
      <c r="AOD13" s="29"/>
      <c r="AOE13" s="28"/>
      <c r="AOF13" s="29"/>
      <c r="AOG13" s="29"/>
      <c r="AOH13" s="29"/>
      <c r="AOI13" s="29"/>
      <c r="AOJ13" s="29"/>
      <c r="AOK13" s="28"/>
      <c r="AOL13" s="29"/>
      <c r="AOM13" s="29"/>
      <c r="AON13" s="28"/>
      <c r="AOO13" s="29"/>
      <c r="AOP13" s="30"/>
      <c r="AOQ13" s="28"/>
      <c r="AOR13" s="29"/>
      <c r="AOS13" s="29"/>
      <c r="AOT13" s="29"/>
      <c r="AOU13" s="28"/>
      <c r="AOV13" s="29"/>
      <c r="AOW13" s="29"/>
      <c r="AOX13" s="28"/>
      <c r="AOY13" s="29"/>
      <c r="AOZ13" s="30"/>
      <c r="APA13" s="28"/>
      <c r="APB13" s="29"/>
      <c r="APC13" s="29"/>
      <c r="APD13" s="29"/>
      <c r="APE13" s="28"/>
      <c r="APF13" s="29"/>
      <c r="APG13" s="29"/>
      <c r="APH13" s="29"/>
      <c r="API13" s="29"/>
      <c r="APJ13" s="29"/>
      <c r="APK13" s="28"/>
      <c r="APL13" s="29"/>
      <c r="APM13" s="29"/>
      <c r="APN13" s="28"/>
      <c r="APO13" s="29"/>
      <c r="APP13" s="30"/>
      <c r="APQ13" s="28"/>
      <c r="APR13" s="29"/>
      <c r="APS13" s="29"/>
      <c r="APT13" s="29"/>
      <c r="APU13" s="28"/>
      <c r="APV13" s="29"/>
      <c r="APW13" s="29"/>
      <c r="APX13" s="28"/>
      <c r="APY13" s="29"/>
      <c r="APZ13" s="30"/>
      <c r="AQA13" s="28"/>
      <c r="AQB13" s="29"/>
      <c r="AQC13" s="29"/>
      <c r="AQD13" s="29"/>
      <c r="AQE13" s="28"/>
      <c r="AQF13" s="29"/>
      <c r="AQG13" s="29"/>
      <c r="AQH13" s="29"/>
      <c r="AQI13" s="29"/>
      <c r="AQJ13" s="29"/>
      <c r="AQK13" s="28"/>
      <c r="AQL13" s="29"/>
      <c r="AQM13" s="29"/>
      <c r="AQN13" s="28"/>
      <c r="AQO13" s="29"/>
      <c r="AQP13" s="30"/>
      <c r="AQQ13" s="28"/>
      <c r="AQR13" s="29"/>
      <c r="AQS13" s="29"/>
      <c r="AQT13" s="29"/>
      <c r="AQU13" s="28"/>
      <c r="AQV13" s="29"/>
      <c r="AQW13" s="29"/>
      <c r="AQX13" s="28"/>
      <c r="AQY13" s="29"/>
      <c r="AQZ13" s="30"/>
      <c r="ARA13" s="28"/>
      <c r="ARB13" s="29"/>
      <c r="ARC13" s="29"/>
      <c r="ARD13" s="29"/>
      <c r="ARE13" s="28"/>
      <c r="ARF13" s="29"/>
      <c r="ARG13" s="29"/>
      <c r="ARH13" s="29"/>
      <c r="ARI13" s="29"/>
      <c r="ARJ13" s="29"/>
      <c r="ARK13" s="28"/>
      <c r="ARL13" s="29"/>
      <c r="ARM13" s="29"/>
      <c r="ARN13" s="28"/>
      <c r="ARO13" s="29"/>
      <c r="ARP13" s="30"/>
      <c r="ARQ13" s="28"/>
      <c r="ARR13" s="29"/>
      <c r="ARS13" s="29"/>
      <c r="ART13" s="29"/>
      <c r="ARU13" s="28"/>
      <c r="ARV13" s="29"/>
      <c r="ARW13" s="29"/>
      <c r="ARX13" s="28"/>
      <c r="ARY13" s="29"/>
      <c r="ARZ13" s="30"/>
      <c r="ASA13" s="28"/>
      <c r="ASB13" s="29"/>
      <c r="ASC13" s="29"/>
      <c r="ASD13" s="29"/>
      <c r="ASE13" s="28"/>
      <c r="ASF13" s="29"/>
      <c r="ASG13" s="29"/>
      <c r="ASH13" s="29"/>
      <c r="ASI13" s="29"/>
      <c r="ASJ13" s="29"/>
      <c r="ASK13" s="28"/>
      <c r="ASL13" s="29"/>
      <c r="ASM13" s="29"/>
      <c r="ASN13" s="28"/>
      <c r="ASO13" s="29"/>
      <c r="ASP13" s="30"/>
      <c r="ASQ13" s="28"/>
      <c r="ASR13" s="29"/>
      <c r="ASS13" s="29"/>
      <c r="AST13" s="29"/>
      <c r="ASU13" s="28"/>
      <c r="ASV13" s="29"/>
      <c r="ASW13" s="29"/>
      <c r="ASX13" s="28"/>
      <c r="ASY13" s="29"/>
      <c r="ASZ13" s="30"/>
      <c r="ATA13" s="28"/>
      <c r="ATB13" s="29"/>
      <c r="ATC13" s="29"/>
      <c r="ATD13" s="29"/>
      <c r="ATE13" s="28"/>
      <c r="ATF13" s="29"/>
      <c r="ATG13" s="29"/>
      <c r="ATH13" s="29"/>
      <c r="ATI13" s="29"/>
      <c r="ATJ13" s="29"/>
      <c r="ATK13" s="28"/>
      <c r="ATL13" s="29"/>
      <c r="ATM13" s="29"/>
      <c r="ATN13" s="28"/>
      <c r="ATO13" s="29"/>
      <c r="ATP13" s="30"/>
      <c r="ATQ13" s="28"/>
      <c r="ATR13" s="29"/>
      <c r="ATS13" s="29"/>
      <c r="ATT13" s="29"/>
      <c r="ATU13" s="28"/>
      <c r="ATV13" s="29"/>
      <c r="ATW13" s="29"/>
      <c r="ATX13" s="28"/>
      <c r="ATY13" s="29"/>
      <c r="ATZ13" s="30"/>
      <c r="AUA13" s="28"/>
      <c r="AUB13" s="29"/>
      <c r="AUC13" s="29"/>
      <c r="AUD13" s="29"/>
      <c r="AUE13" s="28"/>
      <c r="AUF13" s="29"/>
      <c r="AUG13" s="29"/>
      <c r="AUH13" s="29"/>
      <c r="AUI13" s="29"/>
      <c r="AUJ13" s="29"/>
      <c r="AUK13" s="28"/>
      <c r="AUL13" s="29"/>
      <c r="AUM13" s="29"/>
      <c r="AUN13" s="28"/>
      <c r="AUO13" s="29"/>
      <c r="AUP13" s="30"/>
      <c r="AUQ13" s="28"/>
      <c r="AUR13" s="29"/>
      <c r="AUS13" s="29"/>
      <c r="AUT13" s="29"/>
      <c r="AUU13" s="28"/>
      <c r="AUV13" s="29"/>
      <c r="AUW13" s="29"/>
      <c r="AUX13" s="28"/>
      <c r="AUY13" s="29"/>
      <c r="AUZ13" s="30"/>
      <c r="AVA13" s="28"/>
      <c r="AVB13" s="29"/>
      <c r="AVC13" s="29"/>
      <c r="AVD13" s="29"/>
      <c r="AVE13" s="28"/>
      <c r="AVF13" s="29"/>
      <c r="AVG13" s="29"/>
      <c r="AVH13" s="29"/>
      <c r="AVI13" s="29"/>
      <c r="AVJ13" s="29"/>
      <c r="AVK13" s="28"/>
      <c r="AVL13" s="29"/>
      <c r="AVM13" s="29"/>
      <c r="AVN13" s="28"/>
      <c r="AVO13" s="29"/>
      <c r="AVP13" s="30"/>
      <c r="AVQ13" s="28"/>
      <c r="AVR13" s="29"/>
      <c r="AVS13" s="29"/>
      <c r="AVT13" s="29"/>
      <c r="AVU13" s="28"/>
      <c r="AVV13" s="29"/>
      <c r="AVW13" s="29"/>
      <c r="AVX13" s="28"/>
      <c r="AVY13" s="29"/>
      <c r="AVZ13" s="30"/>
      <c r="AWA13" s="28"/>
      <c r="AWB13" s="29"/>
      <c r="AWC13" s="29"/>
      <c r="AWD13" s="29"/>
      <c r="AWE13" s="28"/>
      <c r="AWF13" s="29"/>
      <c r="AWG13" s="29"/>
      <c r="AWH13" s="29"/>
      <c r="AWI13" s="29"/>
      <c r="AWJ13" s="29"/>
      <c r="AWK13" s="28"/>
      <c r="AWL13" s="29"/>
      <c r="AWM13" s="29"/>
      <c r="AWN13" s="28"/>
      <c r="AWO13" s="29"/>
      <c r="AWP13" s="30"/>
      <c r="AWQ13" s="28"/>
      <c r="AWR13" s="29"/>
      <c r="AWS13" s="29"/>
      <c r="AWT13" s="29"/>
      <c r="AWU13" s="28"/>
      <c r="AWV13" s="29"/>
      <c r="AWW13" s="29"/>
      <c r="AWX13" s="28"/>
      <c r="AWY13" s="29"/>
      <c r="AWZ13" s="30"/>
      <c r="AXA13" s="28"/>
      <c r="AXB13" s="29"/>
      <c r="AXC13" s="29"/>
      <c r="AXD13" s="29"/>
      <c r="AXE13" s="28"/>
      <c r="AXF13" s="29"/>
      <c r="AXG13" s="29"/>
      <c r="AXH13" s="29"/>
      <c r="AXI13" s="29"/>
      <c r="AXJ13" s="29"/>
      <c r="AXK13" s="28"/>
      <c r="AXL13" s="29"/>
      <c r="AXM13" s="29"/>
      <c r="AXN13" s="28"/>
      <c r="AXO13" s="29"/>
      <c r="AXP13" s="30"/>
      <c r="AXQ13" s="28"/>
      <c r="AXR13" s="29"/>
      <c r="AXS13" s="29"/>
      <c r="AXT13" s="29"/>
      <c r="AXU13" s="28"/>
      <c r="AXV13" s="29"/>
      <c r="AXW13" s="29"/>
      <c r="AXX13" s="28"/>
      <c r="AXY13" s="29"/>
      <c r="AXZ13" s="30"/>
      <c r="AYA13" s="28"/>
      <c r="AYB13" s="29"/>
      <c r="AYC13" s="29"/>
      <c r="AYD13" s="29"/>
      <c r="AYE13" s="28"/>
      <c r="AYF13" s="29"/>
      <c r="AYG13" s="29"/>
      <c r="AYH13" s="29"/>
      <c r="AYI13" s="29"/>
      <c r="AYJ13" s="29"/>
      <c r="AYK13" s="28"/>
      <c r="AYL13" s="29"/>
      <c r="AYM13" s="29"/>
      <c r="AYN13" s="28"/>
      <c r="AYO13" s="29"/>
      <c r="AYP13" s="30"/>
      <c r="AYQ13" s="28"/>
      <c r="AYR13" s="29"/>
      <c r="AYS13" s="29"/>
      <c r="AYT13" s="29"/>
      <c r="AYU13" s="28"/>
      <c r="AYV13" s="29"/>
      <c r="AYW13" s="29"/>
      <c r="AYX13" s="28"/>
      <c r="AYY13" s="29"/>
      <c r="AYZ13" s="30"/>
      <c r="AZA13" s="28"/>
      <c r="AZB13" s="29"/>
      <c r="AZC13" s="29"/>
      <c r="AZD13" s="29"/>
      <c r="AZE13" s="28"/>
      <c r="AZF13" s="29"/>
      <c r="AZG13" s="29"/>
      <c r="AZH13" s="29"/>
      <c r="AZI13" s="29"/>
      <c r="AZJ13" s="29"/>
      <c r="AZK13" s="28"/>
      <c r="AZL13" s="29"/>
      <c r="AZM13" s="29"/>
      <c r="AZN13" s="28"/>
      <c r="AZO13" s="29"/>
      <c r="AZP13" s="30"/>
      <c r="AZQ13" s="28"/>
      <c r="AZR13" s="29"/>
      <c r="AZS13" s="29"/>
      <c r="AZT13" s="29"/>
      <c r="AZU13" s="28"/>
      <c r="AZV13" s="29"/>
      <c r="AZW13" s="29"/>
      <c r="AZX13" s="28"/>
      <c r="AZY13" s="29"/>
      <c r="AZZ13" s="30"/>
      <c r="BAA13" s="28"/>
      <c r="BAB13" s="29"/>
      <c r="BAC13" s="29"/>
      <c r="BAD13" s="29"/>
      <c r="BAE13" s="28"/>
      <c r="BAF13" s="29"/>
      <c r="BAG13" s="29"/>
      <c r="BAH13" s="29"/>
      <c r="BAI13" s="29"/>
      <c r="BAJ13" s="29"/>
      <c r="BAK13" s="28"/>
      <c r="BAL13" s="29"/>
      <c r="BAM13" s="29"/>
      <c r="BAN13" s="28"/>
      <c r="BAO13" s="29"/>
      <c r="BAP13" s="30"/>
      <c r="BAQ13" s="28"/>
      <c r="BAR13" s="29"/>
      <c r="BAS13" s="29"/>
      <c r="BAT13" s="29"/>
      <c r="BAU13" s="28"/>
      <c r="BAV13" s="29"/>
      <c r="BAW13" s="29"/>
      <c r="BAX13" s="28"/>
      <c r="BAY13" s="29"/>
      <c r="BAZ13" s="30"/>
      <c r="BBA13" s="28"/>
      <c r="BBB13" s="29"/>
      <c r="BBC13" s="29"/>
      <c r="BBD13" s="29"/>
      <c r="BBE13" s="28"/>
      <c r="BBF13" s="29"/>
      <c r="BBG13" s="29"/>
      <c r="BBH13" s="29"/>
      <c r="BBI13" s="29"/>
      <c r="BBJ13" s="29"/>
      <c r="BBK13" s="28"/>
      <c r="BBL13" s="29"/>
      <c r="BBM13" s="29"/>
      <c r="BBN13" s="28"/>
      <c r="BBO13" s="29"/>
      <c r="BBP13" s="30"/>
      <c r="BBQ13" s="28"/>
      <c r="BBR13" s="29"/>
      <c r="BBS13" s="29"/>
      <c r="BBT13" s="29"/>
      <c r="BBU13" s="28"/>
      <c r="BBV13" s="29"/>
      <c r="BBW13" s="29"/>
      <c r="BBX13" s="28"/>
      <c r="BBY13" s="29"/>
      <c r="BBZ13" s="30"/>
      <c r="BCA13" s="28"/>
      <c r="BCB13" s="29"/>
      <c r="BCC13" s="29"/>
      <c r="BCD13" s="29"/>
      <c r="BCE13" s="28"/>
      <c r="BCF13" s="29"/>
      <c r="BCG13" s="29"/>
      <c r="BCH13" s="29"/>
      <c r="BCI13" s="29"/>
      <c r="BCJ13" s="29"/>
      <c r="BCK13" s="28"/>
      <c r="BCL13" s="29"/>
      <c r="BCM13" s="29"/>
      <c r="BCN13" s="28"/>
      <c r="BCO13" s="29"/>
      <c r="BCP13" s="30"/>
      <c r="BCQ13" s="28"/>
      <c r="BCR13" s="29"/>
      <c r="BCS13" s="29"/>
      <c r="BCT13" s="29"/>
      <c r="BCU13" s="28"/>
      <c r="BCV13" s="29"/>
      <c r="BCW13" s="29"/>
      <c r="BCX13" s="28"/>
      <c r="BCY13" s="29"/>
      <c r="BCZ13" s="30"/>
      <c r="BDA13" s="28"/>
      <c r="BDB13" s="29"/>
      <c r="BDC13" s="29"/>
      <c r="BDD13" s="29"/>
      <c r="BDE13" s="28"/>
      <c r="BDF13" s="29"/>
      <c r="BDG13" s="29"/>
      <c r="BDH13" s="29"/>
      <c r="BDI13" s="29"/>
      <c r="BDJ13" s="29"/>
      <c r="BDK13" s="28"/>
      <c r="BDL13" s="29"/>
      <c r="BDM13" s="29"/>
      <c r="BDN13" s="28"/>
      <c r="BDO13" s="29"/>
      <c r="BDP13" s="30"/>
      <c r="BDQ13" s="28"/>
      <c r="BDR13" s="29"/>
      <c r="BDS13" s="29"/>
      <c r="BDT13" s="29"/>
      <c r="BDU13" s="28"/>
      <c r="BDV13" s="29"/>
      <c r="BDW13" s="29"/>
      <c r="BDX13" s="28"/>
      <c r="BDY13" s="29"/>
      <c r="BDZ13" s="30"/>
      <c r="BEA13" s="28"/>
      <c r="BEB13" s="29"/>
      <c r="BEC13" s="29"/>
      <c r="BED13" s="29"/>
      <c r="BEE13" s="28"/>
      <c r="BEF13" s="29"/>
      <c r="BEG13" s="29"/>
      <c r="BEH13" s="29"/>
      <c r="BEI13" s="29"/>
      <c r="BEJ13" s="29"/>
      <c r="BEK13" s="28"/>
      <c r="BEL13" s="29"/>
      <c r="BEM13" s="29"/>
      <c r="BEN13" s="28"/>
      <c r="BEO13" s="29"/>
      <c r="BEP13" s="30"/>
      <c r="BEQ13" s="28"/>
      <c r="BER13" s="29"/>
      <c r="BES13" s="29"/>
      <c r="BET13" s="29"/>
      <c r="BEU13" s="28"/>
      <c r="BEV13" s="29"/>
      <c r="BEW13" s="29"/>
      <c r="BEX13" s="28"/>
      <c r="BEY13" s="29"/>
      <c r="BEZ13" s="30"/>
      <c r="BFA13" s="28"/>
      <c r="BFB13" s="29"/>
      <c r="BFC13" s="29"/>
      <c r="BFD13" s="29"/>
      <c r="BFE13" s="28"/>
      <c r="BFF13" s="29"/>
      <c r="BFG13" s="29"/>
      <c r="BFH13" s="29"/>
      <c r="BFI13" s="29"/>
      <c r="BFJ13" s="29"/>
      <c r="BFK13" s="28"/>
      <c r="BFL13" s="29"/>
      <c r="BFM13" s="29"/>
      <c r="BFN13" s="28"/>
      <c r="BFO13" s="29"/>
      <c r="BFP13" s="30"/>
      <c r="BFQ13" s="28"/>
      <c r="BFR13" s="29"/>
      <c r="BFS13" s="29"/>
      <c r="BFT13" s="29"/>
      <c r="BFU13" s="28"/>
      <c r="BFV13" s="29"/>
      <c r="BFW13" s="29"/>
      <c r="BFX13" s="28"/>
      <c r="BFY13" s="29"/>
      <c r="BFZ13" s="30"/>
      <c r="BGA13" s="28"/>
      <c r="BGB13" s="29"/>
      <c r="BGC13" s="29"/>
      <c r="BGD13" s="29"/>
      <c r="BGE13" s="28"/>
      <c r="BGF13" s="29"/>
      <c r="BGG13" s="29"/>
      <c r="BGH13" s="29"/>
      <c r="BGI13" s="29"/>
      <c r="BGJ13" s="29"/>
      <c r="BGK13" s="28"/>
      <c r="BGL13" s="29"/>
      <c r="BGM13" s="29"/>
      <c r="BGN13" s="28"/>
      <c r="BGO13" s="29"/>
      <c r="BGP13" s="30"/>
      <c r="BGQ13" s="28"/>
      <c r="BGR13" s="29"/>
      <c r="BGS13" s="29"/>
      <c r="BGT13" s="29"/>
      <c r="BGU13" s="28"/>
      <c r="BGV13" s="29"/>
      <c r="BGW13" s="29"/>
      <c r="BGX13" s="28"/>
      <c r="BGY13" s="29"/>
      <c r="BGZ13" s="30"/>
      <c r="BHA13" s="28"/>
      <c r="BHB13" s="29"/>
      <c r="BHC13" s="29"/>
      <c r="BHD13" s="29"/>
      <c r="BHE13" s="28"/>
      <c r="BHF13" s="29"/>
      <c r="BHG13" s="29"/>
      <c r="BHH13" s="29"/>
      <c r="BHI13" s="29"/>
      <c r="BHJ13" s="29"/>
      <c r="BHK13" s="28"/>
      <c r="BHL13" s="29"/>
      <c r="BHM13" s="29"/>
      <c r="BHN13" s="28"/>
      <c r="BHO13" s="29"/>
      <c r="BHP13" s="30"/>
      <c r="BHQ13" s="28"/>
      <c r="BHR13" s="29"/>
      <c r="BHS13" s="29"/>
      <c r="BHT13" s="29"/>
      <c r="BHU13" s="28"/>
      <c r="BHV13" s="29"/>
      <c r="BHW13" s="29"/>
      <c r="BHX13" s="28"/>
      <c r="BHY13" s="29"/>
      <c r="BHZ13" s="30"/>
      <c r="BIA13" s="28"/>
      <c r="BIB13" s="29"/>
      <c r="BIC13" s="29"/>
      <c r="BID13" s="29"/>
      <c r="BIE13" s="28"/>
      <c r="BIF13" s="29"/>
      <c r="BIG13" s="29"/>
      <c r="BIH13" s="29"/>
      <c r="BII13" s="29"/>
      <c r="BIJ13" s="29"/>
      <c r="BIK13" s="28"/>
      <c r="BIL13" s="29"/>
      <c r="BIM13" s="29"/>
      <c r="BIN13" s="28"/>
      <c r="BIO13" s="29"/>
      <c r="BIP13" s="30"/>
      <c r="BIQ13" s="28"/>
      <c r="BIR13" s="29"/>
      <c r="BIS13" s="29"/>
      <c r="BIT13" s="29"/>
      <c r="BIU13" s="28"/>
      <c r="BIV13" s="29"/>
      <c r="BIW13" s="29"/>
      <c r="BIX13" s="28"/>
      <c r="BIY13" s="29"/>
      <c r="BIZ13" s="30"/>
      <c r="BJA13" s="28"/>
      <c r="BJB13" s="29"/>
      <c r="BJC13" s="29"/>
      <c r="BJD13" s="29"/>
      <c r="BJE13" s="28"/>
      <c r="BJF13" s="29"/>
      <c r="BJG13" s="29"/>
      <c r="BJH13" s="29"/>
      <c r="BJI13" s="29"/>
      <c r="BJJ13" s="29"/>
      <c r="BJK13" s="28"/>
      <c r="BJL13" s="29"/>
      <c r="BJM13" s="29"/>
      <c r="BJN13" s="28"/>
      <c r="BJO13" s="29"/>
      <c r="BJP13" s="30"/>
      <c r="BJQ13" s="28"/>
      <c r="BJR13" s="29"/>
      <c r="BJS13" s="29"/>
      <c r="BJT13" s="29"/>
      <c r="BJU13" s="28"/>
      <c r="BJV13" s="29"/>
      <c r="BJW13" s="29"/>
      <c r="BJX13" s="28"/>
      <c r="BJY13" s="29"/>
      <c r="BJZ13" s="30"/>
      <c r="BKA13" s="28"/>
      <c r="BKB13" s="29"/>
      <c r="BKC13" s="29"/>
      <c r="BKD13" s="29"/>
      <c r="BKE13" s="28"/>
      <c r="BKF13" s="29"/>
      <c r="BKG13" s="29"/>
      <c r="BKH13" s="29"/>
      <c r="BKI13" s="29"/>
      <c r="BKJ13" s="29"/>
      <c r="BKK13" s="28"/>
      <c r="BKL13" s="29"/>
      <c r="BKM13" s="29"/>
      <c r="BKN13" s="28"/>
      <c r="BKO13" s="29"/>
      <c r="BKP13" s="30"/>
      <c r="BKQ13" s="28"/>
      <c r="BKR13" s="29"/>
      <c r="BKS13" s="29"/>
      <c r="BKT13" s="29"/>
      <c r="BKU13" s="28"/>
      <c r="BKV13" s="29"/>
      <c r="BKW13" s="29"/>
      <c r="BKX13" s="28"/>
      <c r="BKY13" s="29"/>
      <c r="BKZ13" s="30"/>
      <c r="BLA13" s="28"/>
      <c r="BLB13" s="29"/>
      <c r="BLC13" s="29"/>
      <c r="BLD13" s="29"/>
      <c r="BLE13" s="28"/>
      <c r="BLF13" s="29"/>
      <c r="BLG13" s="29"/>
      <c r="BLH13" s="29"/>
      <c r="BLI13" s="29"/>
      <c r="BLJ13" s="29"/>
      <c r="BLK13" s="28"/>
      <c r="BLL13" s="29"/>
      <c r="BLM13" s="29"/>
      <c r="BLN13" s="28"/>
      <c r="BLO13" s="29"/>
      <c r="BLP13" s="30"/>
      <c r="BLQ13" s="28"/>
      <c r="BLR13" s="29"/>
      <c r="BLS13" s="29"/>
      <c r="BLT13" s="29"/>
      <c r="BLU13" s="28"/>
      <c r="BLV13" s="29"/>
      <c r="BLW13" s="29"/>
      <c r="BLX13" s="28"/>
      <c r="BLY13" s="29"/>
      <c r="BLZ13" s="30"/>
      <c r="BMA13" s="28"/>
      <c r="BMB13" s="29"/>
      <c r="BMC13" s="29"/>
      <c r="BMD13" s="29"/>
      <c r="BME13" s="28"/>
      <c r="BMF13" s="29"/>
      <c r="BMG13" s="29"/>
      <c r="BMH13" s="29"/>
      <c r="BMI13" s="29"/>
      <c r="BMJ13" s="29"/>
      <c r="BMK13" s="28"/>
      <c r="BML13" s="29"/>
      <c r="BMM13" s="29"/>
      <c r="BMN13" s="28"/>
      <c r="BMO13" s="29"/>
      <c r="BMP13" s="30"/>
      <c r="BMQ13" s="28"/>
      <c r="BMR13" s="29"/>
      <c r="BMS13" s="29"/>
      <c r="BMT13" s="29"/>
      <c r="BMU13" s="28"/>
      <c r="BMV13" s="29"/>
      <c r="BMW13" s="29"/>
      <c r="BMX13" s="28"/>
      <c r="BMY13" s="29"/>
      <c r="BMZ13" s="30"/>
      <c r="BNA13" s="28"/>
      <c r="BNB13" s="29"/>
      <c r="BNC13" s="29"/>
      <c r="BND13" s="29"/>
      <c r="BNE13" s="28"/>
      <c r="BNF13" s="29"/>
      <c r="BNG13" s="29"/>
      <c r="BNH13" s="29"/>
      <c r="BNI13" s="29"/>
      <c r="BNJ13" s="29"/>
      <c r="BNK13" s="28"/>
      <c r="BNL13" s="29"/>
      <c r="BNM13" s="29"/>
      <c r="BNN13" s="28"/>
      <c r="BNO13" s="29"/>
      <c r="BNP13" s="30"/>
      <c r="BNQ13" s="28"/>
      <c r="BNR13" s="29"/>
      <c r="BNS13" s="29"/>
      <c r="BNT13" s="29"/>
      <c r="BNU13" s="28"/>
      <c r="BNV13" s="29"/>
      <c r="BNW13" s="29"/>
      <c r="BNX13" s="28"/>
      <c r="BNY13" s="29"/>
      <c r="BNZ13" s="30"/>
      <c r="BOA13" s="28"/>
      <c r="BOB13" s="29"/>
      <c r="BOC13" s="29"/>
      <c r="BOD13" s="29"/>
      <c r="BOE13" s="28"/>
      <c r="BOF13" s="29"/>
      <c r="BOG13" s="29"/>
      <c r="BOH13" s="29"/>
      <c r="BOI13" s="29"/>
      <c r="BOJ13" s="29"/>
      <c r="BOK13" s="28"/>
      <c r="BOL13" s="29"/>
      <c r="BOM13" s="29"/>
      <c r="BON13" s="28"/>
      <c r="BOO13" s="29"/>
      <c r="BOP13" s="30"/>
      <c r="BOQ13" s="28"/>
      <c r="BOR13" s="29"/>
      <c r="BOS13" s="29"/>
      <c r="BOT13" s="29"/>
      <c r="BOU13" s="28"/>
      <c r="BOV13" s="29"/>
      <c r="BOW13" s="29"/>
      <c r="BOX13" s="28"/>
      <c r="BOY13" s="29"/>
      <c r="BOZ13" s="30"/>
      <c r="BPA13" s="28"/>
      <c r="BPB13" s="29"/>
      <c r="BPC13" s="29"/>
      <c r="BPD13" s="29"/>
      <c r="BPE13" s="28"/>
      <c r="BPF13" s="29"/>
      <c r="BPG13" s="29"/>
      <c r="BPH13" s="29"/>
      <c r="BPI13" s="29"/>
      <c r="BPJ13" s="29"/>
      <c r="BPK13" s="28"/>
      <c r="BPL13" s="29"/>
      <c r="BPM13" s="29"/>
      <c r="BPN13" s="28"/>
      <c r="BPO13" s="29"/>
      <c r="BPP13" s="30"/>
      <c r="BPQ13" s="28"/>
      <c r="BPR13" s="29"/>
      <c r="BPS13" s="29"/>
      <c r="BPT13" s="29"/>
      <c r="BPU13" s="28"/>
      <c r="BPV13" s="29"/>
      <c r="BPW13" s="29"/>
      <c r="BPX13" s="28"/>
      <c r="BPY13" s="29"/>
      <c r="BPZ13" s="30"/>
      <c r="BQA13" s="28"/>
      <c r="BQB13" s="29"/>
      <c r="BQC13" s="29"/>
      <c r="BQD13" s="29"/>
      <c r="BQE13" s="28"/>
      <c r="BQF13" s="29"/>
      <c r="BQG13" s="29"/>
      <c r="BQH13" s="29"/>
      <c r="BQI13" s="29"/>
      <c r="BQJ13" s="29"/>
      <c r="BQK13" s="28"/>
      <c r="BQL13" s="29"/>
      <c r="BQM13" s="29"/>
      <c r="BQN13" s="28"/>
      <c r="BQO13" s="29"/>
      <c r="BQP13" s="30"/>
      <c r="BQQ13" s="28"/>
      <c r="BQR13" s="29"/>
      <c r="BQS13" s="29"/>
      <c r="BQT13" s="29"/>
      <c r="BQU13" s="28"/>
      <c r="BQV13" s="29"/>
      <c r="BQW13" s="29"/>
      <c r="BQX13" s="28"/>
      <c r="BQY13" s="29"/>
      <c r="BQZ13" s="30"/>
      <c r="BRA13" s="28"/>
      <c r="BRB13" s="29"/>
      <c r="BRC13" s="29"/>
      <c r="BRD13" s="29"/>
      <c r="BRE13" s="28"/>
      <c r="BRF13" s="29"/>
      <c r="BRG13" s="29"/>
      <c r="BRH13" s="29"/>
      <c r="BRI13" s="29"/>
      <c r="BRJ13" s="29"/>
      <c r="BRK13" s="28"/>
      <c r="BRL13" s="29"/>
      <c r="BRM13" s="29"/>
      <c r="BRN13" s="28"/>
      <c r="BRO13" s="29"/>
      <c r="BRP13" s="30"/>
      <c r="BRQ13" s="28"/>
      <c r="BRR13" s="29"/>
      <c r="BRS13" s="29"/>
      <c r="BRT13" s="29"/>
      <c r="BRU13" s="28"/>
      <c r="BRV13" s="29"/>
      <c r="BRW13" s="29"/>
      <c r="BRX13" s="28"/>
      <c r="BRY13" s="29"/>
      <c r="BRZ13" s="30"/>
      <c r="BSA13" s="28"/>
      <c r="BSB13" s="29"/>
      <c r="BSC13" s="29"/>
      <c r="BSD13" s="29"/>
      <c r="BSE13" s="28"/>
      <c r="BSF13" s="29"/>
      <c r="BSG13" s="29"/>
      <c r="BSH13" s="29"/>
      <c r="BSI13" s="29"/>
      <c r="BSJ13" s="29"/>
      <c r="BSK13" s="28"/>
      <c r="BSL13" s="29"/>
      <c r="BSM13" s="29"/>
      <c r="BSN13" s="28"/>
      <c r="BSO13" s="29"/>
      <c r="BSP13" s="30"/>
      <c r="BSQ13" s="28"/>
      <c r="BSR13" s="29"/>
      <c r="BSS13" s="29"/>
      <c r="BST13" s="29"/>
      <c r="BSU13" s="28"/>
      <c r="BSV13" s="29"/>
      <c r="BSW13" s="29"/>
      <c r="BSX13" s="28"/>
      <c r="BSY13" s="29"/>
      <c r="BSZ13" s="30"/>
      <c r="BTA13" s="28"/>
      <c r="BTB13" s="29"/>
      <c r="BTC13" s="29"/>
      <c r="BTD13" s="29"/>
      <c r="BTE13" s="28"/>
      <c r="BTF13" s="29"/>
      <c r="BTG13" s="29"/>
      <c r="BTH13" s="29"/>
      <c r="BTI13" s="29"/>
      <c r="BTJ13" s="29"/>
      <c r="BTK13" s="28"/>
      <c r="BTL13" s="29"/>
      <c r="BTM13" s="29"/>
      <c r="BTN13" s="28"/>
      <c r="BTO13" s="29"/>
      <c r="BTP13" s="30"/>
      <c r="BTQ13" s="28"/>
      <c r="BTR13" s="29"/>
      <c r="BTS13" s="29"/>
      <c r="BTT13" s="29"/>
      <c r="BTU13" s="28"/>
      <c r="BTV13" s="29"/>
      <c r="BTW13" s="29"/>
      <c r="BTX13" s="28"/>
      <c r="BTY13" s="29"/>
      <c r="BTZ13" s="30"/>
      <c r="BUA13" s="28"/>
      <c r="BUB13" s="29"/>
      <c r="BUC13" s="29"/>
      <c r="BUD13" s="29"/>
      <c r="BUE13" s="28"/>
      <c r="BUF13" s="29"/>
      <c r="BUG13" s="29"/>
      <c r="BUH13" s="29"/>
      <c r="BUI13" s="29"/>
      <c r="BUJ13" s="29"/>
      <c r="BUK13" s="28"/>
      <c r="BUL13" s="29"/>
      <c r="BUM13" s="29"/>
      <c r="BUN13" s="28"/>
      <c r="BUO13" s="29"/>
      <c r="BUP13" s="30"/>
      <c r="BUQ13" s="28"/>
      <c r="BUR13" s="29"/>
      <c r="BUS13" s="29"/>
      <c r="BUT13" s="29"/>
      <c r="BUU13" s="28"/>
      <c r="BUV13" s="29"/>
      <c r="BUW13" s="29"/>
      <c r="BUX13" s="28"/>
      <c r="BUY13" s="29"/>
      <c r="BUZ13" s="30"/>
      <c r="BVA13" s="28"/>
      <c r="BVB13" s="29"/>
      <c r="BVC13" s="29"/>
      <c r="BVD13" s="29"/>
      <c r="BVE13" s="28"/>
      <c r="BVF13" s="29"/>
      <c r="BVG13" s="29"/>
      <c r="BVH13" s="29"/>
      <c r="BVI13" s="29"/>
      <c r="BVJ13" s="29"/>
      <c r="BVK13" s="28"/>
      <c r="BVL13" s="29"/>
      <c r="BVM13" s="29"/>
      <c r="BVN13" s="28"/>
      <c r="BVO13" s="29"/>
      <c r="BVP13" s="30"/>
      <c r="BVQ13" s="28"/>
      <c r="BVR13" s="29"/>
      <c r="BVS13" s="29"/>
      <c r="BVT13" s="29"/>
      <c r="BVU13" s="28"/>
      <c r="BVV13" s="29"/>
      <c r="BVW13" s="29"/>
      <c r="BVX13" s="28"/>
      <c r="BVY13" s="29"/>
      <c r="BVZ13" s="30"/>
      <c r="BWA13" s="28"/>
      <c r="BWB13" s="29"/>
      <c r="BWC13" s="29"/>
      <c r="BWD13" s="29"/>
      <c r="BWE13" s="28"/>
      <c r="BWF13" s="29"/>
      <c r="BWG13" s="29"/>
      <c r="BWH13" s="29"/>
      <c r="BWI13" s="29"/>
      <c r="BWJ13" s="29"/>
      <c r="BWK13" s="28"/>
      <c r="BWL13" s="29"/>
      <c r="BWM13" s="29"/>
      <c r="BWN13" s="28"/>
      <c r="BWO13" s="29"/>
      <c r="BWP13" s="30"/>
      <c r="BWQ13" s="28"/>
      <c r="BWR13" s="29"/>
      <c r="BWS13" s="29"/>
      <c r="BWT13" s="29"/>
      <c r="BWU13" s="28"/>
      <c r="BWV13" s="29"/>
      <c r="BWW13" s="29"/>
      <c r="BWX13" s="28"/>
      <c r="BWY13" s="29"/>
      <c r="BWZ13" s="30"/>
      <c r="BXA13" s="28"/>
      <c r="BXB13" s="29"/>
      <c r="BXC13" s="29"/>
      <c r="BXD13" s="29"/>
      <c r="BXE13" s="28"/>
      <c r="BXF13" s="29"/>
      <c r="BXG13" s="29"/>
      <c r="BXH13" s="29"/>
      <c r="BXI13" s="29"/>
      <c r="BXJ13" s="29"/>
      <c r="BXK13" s="28"/>
      <c r="BXL13" s="29"/>
      <c r="BXM13" s="29"/>
      <c r="BXN13" s="28"/>
      <c r="BXO13" s="29"/>
      <c r="BXP13" s="30"/>
      <c r="BXQ13" s="28"/>
      <c r="BXR13" s="29"/>
      <c r="BXS13" s="29"/>
      <c r="BXT13" s="29"/>
      <c r="BXU13" s="28"/>
      <c r="BXV13" s="29"/>
      <c r="BXW13" s="29"/>
      <c r="BXX13" s="28"/>
      <c r="BXY13" s="29"/>
      <c r="BXZ13" s="30"/>
      <c r="BYA13" s="28"/>
      <c r="BYB13" s="29"/>
      <c r="BYC13" s="29"/>
      <c r="BYD13" s="29"/>
      <c r="BYE13" s="28"/>
      <c r="BYF13" s="29"/>
      <c r="BYG13" s="29"/>
      <c r="BYH13" s="29"/>
      <c r="BYI13" s="29"/>
      <c r="BYJ13" s="29"/>
      <c r="BYK13" s="28"/>
      <c r="BYL13" s="29"/>
      <c r="BYM13" s="29"/>
      <c r="BYN13" s="28"/>
      <c r="BYO13" s="29"/>
      <c r="BYP13" s="30"/>
      <c r="BYQ13" s="28"/>
      <c r="BYR13" s="29"/>
      <c r="BYS13" s="29"/>
      <c r="BYT13" s="29"/>
      <c r="BYU13" s="28"/>
      <c r="BYV13" s="29"/>
      <c r="BYW13" s="29"/>
      <c r="BYX13" s="30"/>
      <c r="BYY13" s="29"/>
      <c r="BYZ13" s="28"/>
      <c r="BZA13" s="29"/>
      <c r="BZB13" s="28"/>
      <c r="BZC13" s="28"/>
      <c r="BZD13" s="28"/>
      <c r="BZE13" s="29"/>
      <c r="BZF13" s="385"/>
      <c r="BZG13" s="29"/>
      <c r="BZH13" s="385"/>
      <c r="BZI13" s="29"/>
      <c r="BZJ13" s="385"/>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30"/>
      <c r="CAQ13" s="28"/>
      <c r="CAR13" s="29"/>
      <c r="CAS13" s="29"/>
      <c r="CAT13" s="29"/>
      <c r="CAU13" s="29"/>
      <c r="CAV13" s="29"/>
      <c r="CAW13" s="28"/>
      <c r="CAX13" s="29"/>
      <c r="CAY13" s="29"/>
      <c r="CAZ13" s="28"/>
      <c r="CBA13" s="29"/>
      <c r="CBB13" s="30"/>
      <c r="CBC13" s="28"/>
      <c r="CBD13" s="29"/>
      <c r="CBE13" s="29"/>
      <c r="CBF13" s="29"/>
      <c r="CBG13" s="28"/>
      <c r="CBH13" s="29"/>
      <c r="CBI13" s="29"/>
      <c r="CBJ13" s="28"/>
      <c r="CBK13" s="29"/>
      <c r="CBL13" s="30"/>
      <c r="CBM13" s="28"/>
      <c r="CBN13" s="29"/>
      <c r="CBO13" s="29"/>
      <c r="CBP13" s="29"/>
      <c r="CBQ13" s="28"/>
      <c r="CBR13" s="29"/>
      <c r="CBS13" s="29"/>
      <c r="CBT13" s="28"/>
      <c r="CBU13" s="29"/>
      <c r="CBV13" s="30"/>
      <c r="CBW13" s="28"/>
      <c r="CBX13" s="29"/>
      <c r="CBY13" s="29"/>
      <c r="CBZ13" s="29"/>
      <c r="CCA13" s="28"/>
      <c r="CCB13" s="29"/>
      <c r="CCC13" s="29"/>
      <c r="CCD13" s="28"/>
      <c r="CCE13" s="29"/>
      <c r="CCF13" s="30"/>
      <c r="CCG13" s="28"/>
      <c r="CCH13" s="30"/>
      <c r="CCI13" s="29"/>
      <c r="CCJ13" s="28"/>
      <c r="CCK13" s="29"/>
      <c r="CCL13" s="28"/>
      <c r="CCM13" s="28"/>
      <c r="CCN13" s="28"/>
      <c r="CCO13" s="29"/>
      <c r="CCP13" s="385"/>
      <c r="CCQ13" s="29"/>
      <c r="CCR13" s="385"/>
      <c r="CCS13" s="29"/>
      <c r="CCT13" s="385"/>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30"/>
      <c r="CEA13" s="28"/>
      <c r="CEB13" s="29"/>
      <c r="CEC13" s="29"/>
      <c r="CED13" s="29"/>
      <c r="CEE13" s="29"/>
      <c r="CEF13" s="29"/>
      <c r="CEG13" s="28"/>
      <c r="CEH13" s="29"/>
      <c r="CEI13" s="29"/>
      <c r="CEJ13" s="28"/>
      <c r="CEK13" s="29"/>
      <c r="CEL13" s="30"/>
      <c r="CEM13" s="28"/>
      <c r="CEN13" s="29"/>
      <c r="CEO13" s="29"/>
      <c r="CEP13" s="29"/>
      <c r="CEQ13" s="28"/>
      <c r="CER13" s="29"/>
      <c r="CES13" s="29"/>
      <c r="CET13" s="28"/>
      <c r="CEU13" s="29"/>
      <c r="CEV13" s="30"/>
      <c r="CEW13" s="28"/>
      <c r="CEX13" s="29"/>
      <c r="CEY13" s="29"/>
      <c r="CEZ13" s="29"/>
      <c r="CFA13" s="28"/>
      <c r="CFB13" s="29"/>
      <c r="CFC13" s="29"/>
      <c r="CFD13" s="28"/>
      <c r="CFE13" s="29"/>
      <c r="CFF13" s="30"/>
      <c r="CFG13" s="28"/>
      <c r="CFH13" s="29"/>
      <c r="CFI13" s="29"/>
      <c r="CFJ13" s="29"/>
      <c r="CFK13" s="28"/>
      <c r="CFL13" s="29"/>
      <c r="CFM13" s="29"/>
      <c r="CFN13" s="28"/>
      <c r="CFO13" s="29"/>
      <c r="CFP13" s="30"/>
      <c r="CFQ13" s="28"/>
      <c r="CFR13" s="30"/>
      <c r="CFS13" s="29"/>
      <c r="CFT13" s="28"/>
      <c r="CFU13" s="29"/>
      <c r="CFV13" s="28"/>
      <c r="CFW13" s="28"/>
      <c r="CFX13" s="28"/>
      <c r="CFY13" s="29"/>
      <c r="CFZ13" s="385"/>
      <c r="CGA13" s="29"/>
      <c r="CGB13" s="385"/>
      <c r="CGC13" s="29"/>
      <c r="CGD13" s="385"/>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30"/>
      <c r="CHK13" s="28"/>
      <c r="CHL13" s="29"/>
      <c r="CHM13" s="29"/>
      <c r="CHN13" s="29"/>
      <c r="CHO13" s="29"/>
      <c r="CHP13" s="29"/>
      <c r="CHQ13" s="28"/>
      <c r="CHR13" s="29"/>
      <c r="CHS13" s="29"/>
      <c r="CHT13" s="28"/>
      <c r="CHU13" s="29"/>
      <c r="CHV13" s="30"/>
      <c r="CHW13" s="28"/>
      <c r="CHX13" s="29"/>
      <c r="CHY13" s="29"/>
      <c r="CHZ13" s="29"/>
      <c r="CIA13" s="28"/>
      <c r="CIB13" s="29"/>
      <c r="CIC13" s="29"/>
      <c r="CID13" s="28"/>
      <c r="CIE13" s="29"/>
      <c r="CIF13" s="30"/>
      <c r="CIG13" s="28"/>
      <c r="CIH13" s="29"/>
      <c r="CII13" s="29"/>
      <c r="CIJ13" s="29"/>
      <c r="CIK13" s="28"/>
      <c r="CIL13" s="29"/>
      <c r="CIM13" s="29"/>
      <c r="CIN13" s="28"/>
      <c r="CIO13" s="29"/>
      <c r="CIP13" s="30"/>
      <c r="CIQ13" s="28"/>
      <c r="CIR13" s="29"/>
      <c r="CIS13" s="29"/>
      <c r="CIT13" s="29"/>
      <c r="CIU13" s="28"/>
      <c r="CIV13" s="29"/>
      <c r="CIW13" s="29"/>
      <c r="CIX13" s="28"/>
      <c r="CIY13" s="29"/>
      <c r="CIZ13" s="30"/>
      <c r="CJA13" s="28"/>
      <c r="CJB13" s="30"/>
      <c r="CJC13" s="29"/>
      <c r="CJD13" s="28"/>
      <c r="CJE13" s="29"/>
      <c r="CJF13" s="28"/>
      <c r="CJG13" s="28"/>
      <c r="CJH13" s="28"/>
      <c r="CJI13" s="29"/>
      <c r="CJJ13" s="385"/>
      <c r="CJK13" s="29"/>
      <c r="CJL13" s="385"/>
      <c r="CJM13" s="29"/>
      <c r="CJN13" s="385"/>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30"/>
      <c r="CKU13" s="28"/>
      <c r="CKV13" s="29"/>
      <c r="CKW13" s="29"/>
      <c r="CKX13" s="29"/>
      <c r="CKY13" s="29"/>
      <c r="CKZ13" s="29"/>
      <c r="CLA13" s="28"/>
      <c r="CLB13" s="29"/>
      <c r="CLC13" s="29"/>
      <c r="CLD13" s="28"/>
      <c r="CLE13" s="29"/>
      <c r="CLF13" s="30"/>
      <c r="CLG13" s="28"/>
      <c r="CLH13" s="29"/>
      <c r="CLI13" s="29"/>
      <c r="CLJ13" s="29"/>
      <c r="CLK13" s="28"/>
      <c r="CLL13" s="29"/>
      <c r="CLM13" s="29"/>
      <c r="CLN13" s="28"/>
      <c r="CLO13" s="29"/>
      <c r="CLP13" s="30"/>
      <c r="CLQ13" s="28"/>
      <c r="CLR13" s="29"/>
      <c r="CLS13" s="29"/>
      <c r="CLT13" s="29"/>
      <c r="CLU13" s="28"/>
      <c r="CLV13" s="29"/>
      <c r="CLW13" s="29"/>
      <c r="CLX13" s="28"/>
      <c r="CLY13" s="29"/>
      <c r="CLZ13" s="30"/>
      <c r="CMA13" s="28"/>
      <c r="CMB13" s="29"/>
      <c r="CMC13" s="29"/>
      <c r="CMD13" s="29"/>
      <c r="CME13" s="28"/>
      <c r="CMF13" s="29"/>
      <c r="CMG13" s="29"/>
      <c r="CMH13" s="28"/>
      <c r="CMI13" s="29"/>
      <c r="CMJ13" s="30"/>
      <c r="CMK13" s="28"/>
      <c r="CML13" s="30"/>
      <c r="CMM13" s="29"/>
      <c r="CMN13" s="28"/>
      <c r="CMO13" s="29"/>
      <c r="CMP13" s="28"/>
      <c r="CMQ13" s="28"/>
      <c r="CMR13" s="28"/>
      <c r="CMS13" s="29"/>
      <c r="CMT13" s="385"/>
      <c r="CMU13" s="29"/>
      <c r="CMV13" s="385"/>
      <c r="CMW13" s="29"/>
      <c r="CMX13" s="385"/>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30"/>
      <c r="COE13" s="28"/>
      <c r="COF13" s="29"/>
      <c r="COG13" s="29"/>
      <c r="COH13" s="29"/>
      <c r="COI13" s="29"/>
      <c r="COJ13" s="29"/>
      <c r="COK13" s="28"/>
      <c r="COL13" s="29"/>
      <c r="COM13" s="29"/>
      <c r="CON13" s="28"/>
      <c r="COO13" s="29"/>
      <c r="COP13" s="30"/>
      <c r="COQ13" s="28"/>
      <c r="COR13" s="29"/>
      <c r="COS13" s="29"/>
      <c r="COT13" s="29"/>
      <c r="COU13" s="28"/>
      <c r="COV13" s="29"/>
      <c r="COW13" s="29"/>
      <c r="COX13" s="28"/>
      <c r="COY13" s="29"/>
      <c r="COZ13" s="30"/>
      <c r="CPA13" s="28"/>
      <c r="CPB13" s="29"/>
      <c r="CPC13" s="29"/>
      <c r="CPD13" s="29"/>
      <c r="CPE13" s="28"/>
      <c r="CPF13" s="29"/>
      <c r="CPG13" s="29"/>
      <c r="CPH13" s="28"/>
      <c r="CPI13" s="29"/>
      <c r="CPJ13" s="30"/>
      <c r="CPK13" s="28"/>
      <c r="CPL13" s="29"/>
      <c r="CPM13" s="29"/>
      <c r="CPN13" s="29"/>
      <c r="CPO13" s="28"/>
      <c r="CPP13" s="29"/>
      <c r="CPQ13" s="29"/>
      <c r="CPR13" s="28"/>
      <c r="CPS13" s="29"/>
      <c r="CPT13" s="30"/>
      <c r="CPU13" s="28"/>
      <c r="CPV13" s="30"/>
      <c r="CPW13" s="29"/>
      <c r="CPX13" s="28"/>
      <c r="CPY13" s="29"/>
      <c r="CPZ13" s="28"/>
      <c r="CQA13" s="28"/>
      <c r="CQB13" s="28"/>
      <c r="CQC13" s="29"/>
      <c r="CQD13" s="385"/>
      <c r="CQE13" s="29"/>
      <c r="CQF13" s="385"/>
      <c r="CQG13" s="29"/>
      <c r="CQH13" s="385"/>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30"/>
      <c r="CRO13" s="28"/>
      <c r="CRP13" s="29"/>
      <c r="CRQ13" s="29"/>
      <c r="CRR13" s="29"/>
      <c r="CRS13" s="29"/>
      <c r="CRT13" s="29"/>
      <c r="CRU13" s="28"/>
      <c r="CRV13" s="29"/>
      <c r="CRW13" s="29"/>
      <c r="CRX13" s="28"/>
      <c r="CRY13" s="29"/>
      <c r="CRZ13" s="30"/>
      <c r="CSA13" s="28"/>
      <c r="CSB13" s="29"/>
      <c r="CSC13" s="29"/>
      <c r="CSD13" s="29"/>
      <c r="CSE13" s="28"/>
      <c r="CSF13" s="29"/>
      <c r="CSG13" s="29"/>
      <c r="CSH13" s="28"/>
      <c r="CSI13" s="29"/>
      <c r="CSJ13" s="30"/>
      <c r="CSK13" s="28"/>
      <c r="CSL13" s="29"/>
      <c r="CSM13" s="29"/>
      <c r="CSN13" s="29"/>
      <c r="CSO13" s="28"/>
      <c r="CSP13" s="29"/>
      <c r="CSQ13" s="29"/>
      <c r="CSR13" s="28"/>
      <c r="CSS13" s="29"/>
      <c r="CST13" s="30"/>
      <c r="CSU13" s="28"/>
      <c r="CSV13" s="29"/>
      <c r="CSW13" s="29"/>
      <c r="CSX13" s="29"/>
      <c r="CSY13" s="28"/>
      <c r="CSZ13" s="29"/>
      <c r="CTA13" s="29"/>
      <c r="CTB13" s="28"/>
      <c r="CTC13" s="29"/>
      <c r="CTD13" s="30"/>
      <c r="CTE13" s="28"/>
      <c r="CTF13" s="30"/>
      <c r="CTG13" s="29"/>
      <c r="CTH13" s="28"/>
      <c r="CTI13" s="29"/>
      <c r="CTJ13" s="28"/>
      <c r="CTK13" s="28"/>
      <c r="CTL13" s="28"/>
      <c r="CTM13" s="29"/>
      <c r="CTN13" s="385"/>
      <c r="CTO13" s="29"/>
      <c r="CTP13" s="385"/>
      <c r="CTQ13" s="29"/>
      <c r="CTR13" s="385"/>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30"/>
      <c r="CUY13" s="28"/>
      <c r="CUZ13" s="29"/>
      <c r="CVA13" s="29"/>
      <c r="CVB13" s="29"/>
      <c r="CVC13" s="29"/>
      <c r="CVD13" s="29"/>
      <c r="CVE13" s="28"/>
      <c r="CVF13" s="29"/>
      <c r="CVG13" s="29"/>
      <c r="CVH13" s="28"/>
      <c r="CVI13" s="29"/>
      <c r="CVJ13" s="30"/>
      <c r="CVK13" s="28"/>
      <c r="CVL13" s="29"/>
      <c r="CVM13" s="29"/>
      <c r="CVN13" s="29"/>
      <c r="CVO13" s="28"/>
      <c r="CVP13" s="29"/>
      <c r="CVQ13" s="29"/>
      <c r="CVR13" s="28"/>
      <c r="CVS13" s="29"/>
      <c r="CVT13" s="30"/>
      <c r="CVU13" s="28"/>
      <c r="CVV13" s="29"/>
      <c r="CVW13" s="29"/>
      <c r="CVX13" s="29"/>
      <c r="CVY13" s="28"/>
      <c r="CVZ13" s="29"/>
      <c r="CWA13" s="29"/>
      <c r="CWB13" s="28"/>
      <c r="CWC13" s="29"/>
      <c r="CWD13" s="30"/>
      <c r="CWE13" s="28"/>
      <c r="CWF13" s="29"/>
      <c r="CWG13" s="29"/>
      <c r="CWH13" s="29"/>
      <c r="CWI13" s="28"/>
      <c r="CWJ13" s="29"/>
      <c r="CWK13" s="29"/>
      <c r="CWL13" s="28"/>
      <c r="CWM13" s="29"/>
      <c r="CWN13" s="30"/>
      <c r="CWO13" s="28"/>
      <c r="CWP13" s="30"/>
      <c r="CWQ13" s="29"/>
      <c r="CWR13" s="28"/>
      <c r="CWS13" s="29"/>
      <c r="CWT13" s="28"/>
      <c r="CWU13" s="28"/>
      <c r="CWV13" s="28"/>
      <c r="CWW13" s="29"/>
      <c r="CWX13" s="385"/>
      <c r="CWY13" s="29"/>
      <c r="CWZ13" s="385"/>
      <c r="CXA13" s="29"/>
      <c r="CXB13" s="385"/>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30"/>
      <c r="CYI13" s="28"/>
      <c r="CYJ13" s="29"/>
      <c r="CYK13" s="29"/>
      <c r="CYL13" s="29"/>
      <c r="CYM13" s="29"/>
      <c r="CYN13" s="29"/>
      <c r="CYO13" s="28"/>
      <c r="CYP13" s="29"/>
      <c r="CYQ13" s="29"/>
      <c r="CYR13" s="28"/>
      <c r="CYS13" s="29"/>
      <c r="CYT13" s="30"/>
      <c r="CYU13" s="28"/>
      <c r="CYV13" s="29"/>
      <c r="CYW13" s="29"/>
      <c r="CYX13" s="29"/>
      <c r="CYY13" s="28"/>
      <c r="CYZ13" s="29"/>
      <c r="CZA13" s="29"/>
      <c r="CZB13" s="28"/>
      <c r="CZC13" s="29"/>
      <c r="CZD13" s="30"/>
      <c r="CZE13" s="28"/>
      <c r="CZF13" s="29"/>
      <c r="CZG13" s="29"/>
      <c r="CZH13" s="29"/>
      <c r="CZI13" s="28"/>
      <c r="CZJ13" s="29"/>
      <c r="CZK13" s="29"/>
      <c r="CZL13" s="28"/>
      <c r="CZM13" s="29"/>
      <c r="CZN13" s="30"/>
      <c r="CZO13" s="28"/>
      <c r="CZP13" s="29"/>
      <c r="CZQ13" s="29"/>
      <c r="CZR13" s="29"/>
      <c r="CZS13" s="28"/>
      <c r="CZT13" s="29"/>
      <c r="CZU13" s="29"/>
      <c r="CZV13" s="28"/>
      <c r="CZW13" s="29"/>
      <c r="CZX13" s="30"/>
      <c r="CZY13" s="28"/>
      <c r="CZZ13" s="30"/>
      <c r="DAA13" s="29"/>
      <c r="DAB13" s="28"/>
      <c r="DAC13" s="29"/>
      <c r="DAD13" s="28"/>
      <c r="DAE13" s="28"/>
      <c r="DAF13" s="28"/>
      <c r="DAG13" s="29"/>
      <c r="DAH13" s="385"/>
      <c r="DAI13" s="29"/>
      <c r="DAJ13" s="385"/>
      <c r="DAK13" s="29"/>
      <c r="DAL13" s="385"/>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30"/>
      <c r="DBS13" s="28"/>
      <c r="DBT13" s="29"/>
      <c r="DBU13" s="29"/>
      <c r="DBV13" s="29"/>
      <c r="DBW13" s="29"/>
      <c r="DBX13" s="29"/>
      <c r="DBY13" s="28"/>
      <c r="DBZ13" s="29"/>
      <c r="DCA13" s="29"/>
      <c r="DCB13" s="28"/>
      <c r="DCC13" s="29"/>
      <c r="DCD13" s="30"/>
      <c r="DCE13" s="28"/>
      <c r="DCF13" s="29"/>
      <c r="DCG13" s="29"/>
      <c r="DCH13" s="29"/>
      <c r="DCI13" s="28"/>
      <c r="DCJ13" s="29"/>
      <c r="DCK13" s="29"/>
      <c r="DCL13" s="28"/>
      <c r="DCM13" s="29"/>
      <c r="DCN13" s="30"/>
      <c r="DCO13" s="28"/>
      <c r="DCP13" s="29"/>
      <c r="DCQ13" s="29"/>
      <c r="DCR13" s="29"/>
      <c r="DCS13" s="28"/>
      <c r="DCT13" s="29"/>
      <c r="DCU13" s="29"/>
      <c r="DCV13" s="28"/>
      <c r="DCW13" s="29"/>
      <c r="DCX13" s="30"/>
      <c r="DCY13" s="28"/>
      <c r="DCZ13" s="29"/>
      <c r="DDA13" s="29"/>
      <c r="DDB13" s="29"/>
      <c r="DDC13" s="28"/>
      <c r="DDD13" s="29"/>
      <c r="DDE13" s="29"/>
      <c r="DDF13" s="28"/>
      <c r="DDG13" s="29"/>
      <c r="DDH13" s="30"/>
      <c r="DDI13" s="28"/>
      <c r="DDJ13" s="30"/>
      <c r="DDK13" s="29"/>
      <c r="DDL13" s="28"/>
      <c r="DDM13" s="29"/>
      <c r="DDN13" s="28"/>
      <c r="DDO13" s="28"/>
      <c r="DDP13" s="28"/>
      <c r="DDQ13" s="29"/>
      <c r="DDR13" s="385"/>
      <c r="DDS13" s="29"/>
      <c r="DDT13" s="385"/>
      <c r="DDU13" s="29"/>
      <c r="DDV13" s="385"/>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30"/>
      <c r="DFC13" s="28"/>
      <c r="DFD13" s="29"/>
      <c r="DFE13" s="29"/>
      <c r="DFF13" s="29"/>
      <c r="DFG13" s="29"/>
      <c r="DFH13" s="29"/>
      <c r="DFI13" s="28"/>
      <c r="DFJ13" s="29"/>
      <c r="DFK13" s="29"/>
      <c r="DFL13" s="28"/>
      <c r="DFM13" s="29"/>
      <c r="DFN13" s="30"/>
      <c r="DFO13" s="28"/>
      <c r="DFP13" s="29"/>
      <c r="DFQ13" s="29"/>
      <c r="DFR13" s="29"/>
      <c r="DFS13" s="28"/>
      <c r="DFT13" s="29"/>
      <c r="DFU13" s="29"/>
      <c r="DFV13" s="28"/>
      <c r="DFW13" s="29"/>
      <c r="DFX13" s="30"/>
      <c r="DFY13" s="28"/>
      <c r="DFZ13" s="29"/>
      <c r="DGA13" s="29"/>
      <c r="DGB13" s="29"/>
      <c r="DGC13" s="28"/>
      <c r="DGD13" s="29"/>
      <c r="DGE13" s="29"/>
      <c r="DGF13" s="28"/>
      <c r="DGG13" s="29"/>
      <c r="DGH13" s="30"/>
      <c r="DGI13" s="28"/>
      <c r="DGJ13" s="29"/>
      <c r="DGK13" s="29"/>
      <c r="DGL13" s="29"/>
      <c r="DGM13" s="28"/>
      <c r="DGN13" s="29"/>
      <c r="DGO13" s="29"/>
      <c r="DGP13" s="28"/>
      <c r="DGQ13" s="29"/>
      <c r="DGR13" s="30"/>
      <c r="DGS13" s="28"/>
      <c r="DGT13" s="30"/>
      <c r="DGU13" s="29"/>
      <c r="DGV13" s="28"/>
      <c r="DGW13" s="29"/>
      <c r="DGX13" s="28"/>
      <c r="DGY13" s="28"/>
      <c r="DGZ13" s="28"/>
      <c r="DHA13" s="29"/>
      <c r="DHB13" s="385"/>
      <c r="DHC13" s="29"/>
      <c r="DHD13" s="385"/>
      <c r="DHE13" s="29"/>
      <c r="DHF13" s="385"/>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30"/>
      <c r="DIM13" s="28"/>
      <c r="DIN13" s="29"/>
      <c r="DIO13" s="29"/>
      <c r="DIP13" s="29"/>
      <c r="DIQ13" s="29"/>
      <c r="DIR13" s="29"/>
      <c r="DIS13" s="28"/>
      <c r="DIT13" s="29"/>
      <c r="DIU13" s="29"/>
      <c r="DIV13" s="28"/>
      <c r="DIW13" s="29"/>
      <c r="DIX13" s="30"/>
      <c r="DIY13" s="28"/>
      <c r="DIZ13" s="29"/>
      <c r="DJA13" s="29"/>
      <c r="DJB13" s="29"/>
      <c r="DJC13" s="28"/>
      <c r="DJD13" s="29"/>
      <c r="DJE13" s="29"/>
      <c r="DJF13" s="28"/>
      <c r="DJG13" s="29"/>
      <c r="DJH13" s="30"/>
      <c r="DJI13" s="28"/>
      <c r="DJJ13" s="29"/>
      <c r="DJK13" s="29"/>
      <c r="DJL13" s="29"/>
      <c r="DJM13" s="28"/>
      <c r="DJN13" s="29"/>
      <c r="DJO13" s="29"/>
      <c r="DJP13" s="28"/>
      <c r="DJQ13" s="29"/>
      <c r="DJR13" s="30"/>
      <c r="DJS13" s="28"/>
      <c r="DJT13" s="29"/>
      <c r="DJU13" s="29"/>
      <c r="DJV13" s="29"/>
      <c r="DJW13" s="28"/>
      <c r="DJX13" s="29"/>
      <c r="DJY13" s="29"/>
      <c r="DJZ13" s="28"/>
      <c r="DKA13" s="29"/>
      <c r="DKB13" s="30"/>
      <c r="DKC13" s="28"/>
      <c r="DKD13" s="30"/>
      <c r="DKE13" s="29"/>
      <c r="DKF13" s="28"/>
      <c r="DKG13" s="29"/>
      <c r="DKH13" s="28"/>
      <c r="DKI13" s="28"/>
      <c r="DKJ13" s="28"/>
      <c r="DKK13" s="29"/>
      <c r="DKL13" s="385"/>
      <c r="DKM13" s="29"/>
      <c r="DKN13" s="385"/>
      <c r="DKO13" s="29"/>
      <c r="DKP13" s="385"/>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30"/>
      <c r="DLW13" s="28"/>
      <c r="DLX13" s="29"/>
      <c r="DLY13" s="29"/>
      <c r="DLZ13" s="29"/>
      <c r="DMA13" s="29"/>
      <c r="DMB13" s="29"/>
      <c r="DMC13" s="28"/>
      <c r="DMD13" s="29"/>
      <c r="DME13" s="29"/>
      <c r="DMF13" s="28"/>
      <c r="DMG13" s="29"/>
      <c r="DMH13" s="30"/>
      <c r="DMI13" s="28"/>
      <c r="DMJ13" s="29"/>
      <c r="DMK13" s="29"/>
      <c r="DML13" s="29"/>
      <c r="DMM13" s="28"/>
      <c r="DMN13" s="29"/>
      <c r="DMO13" s="29"/>
      <c r="DMP13" s="28"/>
      <c r="DMQ13" s="29"/>
      <c r="DMR13" s="30"/>
      <c r="DMS13" s="28"/>
      <c r="DMT13" s="29"/>
      <c r="DMU13" s="29"/>
      <c r="DMV13" s="29"/>
      <c r="DMW13" s="28"/>
      <c r="DMX13" s="29"/>
      <c r="DMY13" s="29"/>
      <c r="DMZ13" s="28"/>
      <c r="DNA13" s="29"/>
      <c r="DNB13" s="30"/>
      <c r="DNC13" s="28"/>
      <c r="DND13" s="29"/>
      <c r="DNE13" s="29"/>
      <c r="DNF13" s="29"/>
      <c r="DNG13" s="28"/>
      <c r="DNH13" s="29"/>
      <c r="DNI13" s="29"/>
      <c r="DNJ13" s="28"/>
      <c r="DNK13" s="29"/>
      <c r="DNL13" s="30"/>
      <c r="DNM13" s="28"/>
      <c r="DNN13" s="30"/>
      <c r="DNO13" s="29"/>
      <c r="DNP13" s="28"/>
      <c r="DNQ13" s="29"/>
      <c r="DNR13" s="28"/>
      <c r="DNS13" s="28"/>
      <c r="DNT13" s="28"/>
      <c r="DNU13" s="29"/>
      <c r="DNV13" s="385"/>
      <c r="DNW13" s="29"/>
      <c r="DNX13" s="385"/>
      <c r="DNY13" s="29"/>
      <c r="DNZ13" s="385"/>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30"/>
      <c r="DPG13" s="28"/>
      <c r="DPH13" s="29"/>
      <c r="DPI13" s="29"/>
      <c r="DPJ13" s="29"/>
      <c r="DPK13" s="29"/>
      <c r="DPL13" s="29"/>
      <c r="DPM13" s="28"/>
      <c r="DPN13" s="29"/>
      <c r="DPO13" s="29"/>
      <c r="DPP13" s="28"/>
      <c r="DPQ13" s="29"/>
      <c r="DPR13" s="30"/>
      <c r="DPS13" s="28"/>
      <c r="DPT13" s="29"/>
      <c r="DPU13" s="29"/>
      <c r="DPV13" s="29"/>
      <c r="DPW13" s="28"/>
      <c r="DPX13" s="29"/>
      <c r="DPY13" s="29"/>
      <c r="DPZ13" s="28"/>
      <c r="DQA13" s="29"/>
      <c r="DQB13" s="30"/>
      <c r="DQC13" s="28"/>
      <c r="DQD13" s="29"/>
      <c r="DQE13" s="29"/>
      <c r="DQF13" s="29"/>
      <c r="DQG13" s="28"/>
      <c r="DQH13" s="29"/>
      <c r="DQI13" s="29"/>
      <c r="DQJ13" s="28"/>
      <c r="DQK13" s="29"/>
      <c r="DQL13" s="30"/>
      <c r="DQM13" s="28"/>
      <c r="DQN13" s="29"/>
      <c r="DQO13" s="29"/>
      <c r="DQP13" s="29"/>
      <c r="DQQ13" s="28"/>
      <c r="DQR13" s="29"/>
      <c r="DQS13" s="29"/>
      <c r="DQT13" s="28"/>
      <c r="DQU13" s="29"/>
      <c r="DQV13" s="30"/>
      <c r="DQW13" s="28"/>
      <c r="DQX13" s="30"/>
      <c r="DQY13" s="29"/>
      <c r="DQZ13" s="28"/>
      <c r="DRA13" s="29"/>
      <c r="DRB13" s="28"/>
      <c r="DRC13" s="28"/>
      <c r="DRD13" s="28"/>
      <c r="DRE13" s="29"/>
      <c r="DRF13" s="385"/>
      <c r="DRG13" s="29"/>
      <c r="DRH13" s="385"/>
      <c r="DRI13" s="29"/>
      <c r="DRJ13" s="385"/>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30"/>
      <c r="DSQ13" s="28"/>
      <c r="DSR13" s="29"/>
      <c r="DSS13" s="29"/>
      <c r="DST13" s="29"/>
      <c r="DSU13" s="29"/>
      <c r="DSV13" s="29"/>
      <c r="DSW13" s="28"/>
      <c r="DSX13" s="29"/>
      <c r="DSY13" s="29"/>
      <c r="DSZ13" s="28"/>
      <c r="DTA13" s="29"/>
      <c r="DTB13" s="30"/>
      <c r="DTC13" s="28"/>
      <c r="DTD13" s="29"/>
      <c r="DTE13" s="29"/>
      <c r="DTF13" s="29"/>
      <c r="DTG13" s="28"/>
      <c r="DTH13" s="29"/>
      <c r="DTI13" s="29"/>
      <c r="DTJ13" s="28"/>
      <c r="DTK13" s="29"/>
      <c r="DTL13" s="30"/>
      <c r="DTM13" s="28"/>
      <c r="DTN13" s="29"/>
      <c r="DTO13" s="29"/>
      <c r="DTP13" s="29"/>
      <c r="DTQ13" s="28"/>
      <c r="DTR13" s="29"/>
      <c r="DTS13" s="29"/>
      <c r="DTT13" s="28"/>
      <c r="DTU13" s="29"/>
      <c r="DTV13" s="30"/>
      <c r="DTW13" s="28"/>
      <c r="DTX13" s="29"/>
      <c r="DTY13" s="29"/>
      <c r="DTZ13" s="29"/>
      <c r="DUA13" s="28"/>
      <c r="DUB13" s="29"/>
      <c r="DUC13" s="29"/>
      <c r="DUD13" s="28"/>
      <c r="DUE13" s="29"/>
      <c r="DUF13" s="30"/>
      <c r="DUG13" s="28"/>
      <c r="DUH13" s="30"/>
      <c r="DUI13" s="29"/>
      <c r="DUJ13" s="28"/>
      <c r="DUK13" s="29"/>
      <c r="DUL13" s="28"/>
      <c r="DUM13" s="28"/>
      <c r="DUN13" s="28"/>
      <c r="DUO13" s="29"/>
      <c r="DUP13" s="385"/>
      <c r="DUQ13" s="29"/>
      <c r="DUR13" s="385"/>
      <c r="DUS13" s="29"/>
      <c r="DUT13" s="385"/>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30"/>
      <c r="DWA13" s="28"/>
      <c r="DWB13" s="29"/>
      <c r="DWC13" s="29"/>
      <c r="DWD13" s="29"/>
      <c r="DWE13" s="29"/>
      <c r="DWF13" s="29"/>
      <c r="DWG13" s="28"/>
      <c r="DWH13" s="29"/>
      <c r="DWI13" s="29"/>
      <c r="DWJ13" s="28"/>
      <c r="DWK13" s="29"/>
      <c r="DWL13" s="30"/>
      <c r="DWM13" s="28"/>
      <c r="DWN13" s="29"/>
      <c r="DWO13" s="29"/>
      <c r="DWP13" s="29"/>
      <c r="DWQ13" s="28"/>
      <c r="DWR13" s="29"/>
      <c r="DWS13" s="29"/>
      <c r="DWT13" s="28"/>
      <c r="DWU13" s="29"/>
      <c r="DWV13" s="30"/>
      <c r="DWW13" s="28"/>
      <c r="DWX13" s="29"/>
      <c r="DWY13" s="29"/>
      <c r="DWZ13" s="29"/>
      <c r="DXA13" s="28"/>
      <c r="DXB13" s="29"/>
      <c r="DXC13" s="29"/>
      <c r="DXD13" s="28"/>
      <c r="DXE13" s="29"/>
      <c r="DXF13" s="30"/>
      <c r="DXG13" s="28"/>
      <c r="DXH13" s="29"/>
      <c r="DXI13" s="29"/>
      <c r="DXJ13" s="29"/>
      <c r="DXK13" s="28"/>
      <c r="DXL13" s="29"/>
      <c r="DXM13" s="29"/>
      <c r="DXN13" s="28"/>
      <c r="DXO13" s="29"/>
      <c r="DXP13" s="30"/>
      <c r="DXQ13" s="28"/>
      <c r="DXR13" s="30"/>
      <c r="DXS13" s="29"/>
      <c r="DXT13" s="28"/>
      <c r="DXU13" s="29"/>
      <c r="DXV13" s="28"/>
      <c r="DXW13" s="28"/>
      <c r="DXX13" s="28"/>
      <c r="DXY13" s="29"/>
      <c r="DXZ13" s="385"/>
      <c r="DYA13" s="29"/>
      <c r="DYB13" s="385"/>
      <c r="DYC13" s="29"/>
      <c r="DYD13" s="385"/>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30"/>
      <c r="DZK13" s="28"/>
      <c r="DZL13" s="29"/>
      <c r="DZM13" s="29"/>
      <c r="DZN13" s="29"/>
      <c r="DZO13" s="29"/>
      <c r="DZP13" s="29"/>
      <c r="DZQ13" s="28"/>
      <c r="DZR13" s="29"/>
      <c r="DZS13" s="29"/>
      <c r="DZT13" s="28"/>
      <c r="DZU13" s="29"/>
      <c r="DZV13" s="30"/>
      <c r="DZW13" s="28"/>
      <c r="DZX13" s="29"/>
      <c r="DZY13" s="29"/>
      <c r="DZZ13" s="29"/>
      <c r="EAA13" s="28"/>
      <c r="EAB13" s="29"/>
      <c r="EAC13" s="29"/>
      <c r="EAD13" s="28"/>
      <c r="EAE13" s="29"/>
      <c r="EAF13" s="30"/>
      <c r="EAG13" s="28"/>
      <c r="EAH13" s="29"/>
      <c r="EAI13" s="29"/>
      <c r="EAJ13" s="29"/>
      <c r="EAK13" s="28"/>
      <c r="EAL13" s="29"/>
      <c r="EAM13" s="29"/>
      <c r="EAN13" s="28"/>
      <c r="EAO13" s="29"/>
      <c r="EAP13" s="30"/>
      <c r="EAQ13" s="28"/>
      <c r="EAR13" s="29"/>
      <c r="EAS13" s="29"/>
      <c r="EAT13" s="29"/>
      <c r="EAU13" s="28"/>
      <c r="EAV13" s="29"/>
      <c r="EAW13" s="29"/>
      <c r="EAX13" s="28"/>
      <c r="EAY13" s="29"/>
      <c r="EAZ13" s="30"/>
      <c r="EBA13" s="28"/>
      <c r="EBB13" s="30"/>
      <c r="EBC13" s="29"/>
      <c r="EBD13" s="28"/>
      <c r="EBE13" s="29"/>
      <c r="EBF13" s="28"/>
      <c r="EBG13" s="28"/>
      <c r="EBH13" s="28"/>
      <c r="EBI13" s="29"/>
      <c r="EBJ13" s="385"/>
      <c r="EBK13" s="29"/>
      <c r="EBL13" s="385"/>
      <c r="EBM13" s="29"/>
      <c r="EBN13" s="385"/>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30"/>
      <c r="ECU13" s="28"/>
      <c r="ECV13" s="29"/>
      <c r="ECW13" s="29"/>
      <c r="ECX13" s="29"/>
      <c r="ECY13" s="29"/>
      <c r="ECZ13" s="29"/>
      <c r="EDA13" s="28"/>
      <c r="EDB13" s="29"/>
      <c r="EDC13" s="29"/>
      <c r="EDD13" s="28"/>
      <c r="EDE13" s="29"/>
      <c r="EDF13" s="30"/>
      <c r="EDG13" s="28"/>
      <c r="EDH13" s="29"/>
      <c r="EDI13" s="29"/>
      <c r="EDJ13" s="29"/>
      <c r="EDK13" s="28"/>
      <c r="EDL13" s="29"/>
      <c r="EDM13" s="29"/>
      <c r="EDN13" s="28"/>
      <c r="EDO13" s="29"/>
      <c r="EDP13" s="30"/>
      <c r="EDQ13" s="28"/>
      <c r="EDR13" s="29"/>
      <c r="EDS13" s="29"/>
      <c r="EDT13" s="29"/>
      <c r="EDU13" s="28"/>
      <c r="EDV13" s="29"/>
      <c r="EDW13" s="29"/>
      <c r="EDX13" s="28"/>
      <c r="EDY13" s="29"/>
      <c r="EDZ13" s="30"/>
      <c r="EEA13" s="28"/>
      <c r="EEB13" s="29"/>
      <c r="EEC13" s="29"/>
      <c r="EED13" s="29"/>
      <c r="EEE13" s="28"/>
      <c r="EEF13" s="29"/>
      <c r="EEG13" s="29"/>
      <c r="EEH13" s="28"/>
      <c r="EEI13" s="29"/>
      <c r="EEJ13" s="30"/>
      <c r="EEK13" s="28"/>
      <c r="EEL13" s="30"/>
      <c r="EEM13" s="29"/>
      <c r="EEN13" s="28"/>
      <c r="EEO13" s="29"/>
      <c r="EEP13" s="28"/>
      <c r="EEQ13" s="28"/>
      <c r="EER13" s="28"/>
      <c r="EES13" s="29"/>
      <c r="EET13" s="385"/>
      <c r="EEU13" s="29"/>
      <c r="EEV13" s="385"/>
      <c r="EEW13" s="29"/>
      <c r="EEX13" s="385"/>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30"/>
      <c r="EGE13" s="28"/>
      <c r="EGF13" s="29"/>
      <c r="EGG13" s="29"/>
      <c r="EGH13" s="29"/>
      <c r="EGI13" s="29"/>
      <c r="EGJ13" s="29"/>
      <c r="EGK13" s="28"/>
      <c r="EGL13" s="29"/>
      <c r="EGM13" s="29"/>
      <c r="EGN13" s="28"/>
      <c r="EGO13" s="29"/>
      <c r="EGP13" s="30"/>
      <c r="EGQ13" s="28"/>
      <c r="EGR13" s="29"/>
      <c r="EGS13" s="29"/>
      <c r="EGT13" s="29"/>
      <c r="EGU13" s="28"/>
      <c r="EGV13" s="29"/>
      <c r="EGW13" s="29"/>
      <c r="EGX13" s="28"/>
      <c r="EGY13" s="29"/>
      <c r="EGZ13" s="30"/>
      <c r="EHA13" s="28"/>
      <c r="EHB13" s="29"/>
      <c r="EHC13" s="29"/>
      <c r="EHD13" s="29"/>
      <c r="EHE13" s="28"/>
      <c r="EHF13" s="29"/>
      <c r="EHG13" s="29"/>
      <c r="EHH13" s="28"/>
      <c r="EHI13" s="29"/>
      <c r="EHJ13" s="30"/>
      <c r="EHK13" s="28"/>
      <c r="EHL13" s="29"/>
      <c r="EHM13" s="29"/>
      <c r="EHN13" s="29"/>
      <c r="EHO13" s="28"/>
      <c r="EHP13" s="29"/>
      <c r="EHQ13" s="29"/>
      <c r="EHR13" s="28"/>
      <c r="EHS13" s="29"/>
      <c r="EHT13" s="30"/>
      <c r="EHU13" s="28"/>
      <c r="EHV13" s="30"/>
      <c r="EHW13" s="29"/>
      <c r="EHX13" s="28"/>
      <c r="EHY13" s="29"/>
      <c r="EHZ13" s="28"/>
      <c r="EIA13" s="28"/>
      <c r="EIB13" s="28"/>
      <c r="EIC13" s="29"/>
      <c r="EID13" s="385"/>
      <c r="EIE13" s="29"/>
      <c r="EIF13" s="385"/>
      <c r="EIG13" s="29"/>
      <c r="EIH13" s="385"/>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30"/>
      <c r="EJO13" s="28"/>
      <c r="EJP13" s="29"/>
      <c r="EJQ13" s="29"/>
      <c r="EJR13" s="29"/>
      <c r="EJS13" s="29"/>
      <c r="EJT13" s="29"/>
      <c r="EJU13" s="28"/>
      <c r="EJV13" s="29"/>
      <c r="EJW13" s="29"/>
      <c r="EJX13" s="28"/>
      <c r="EJY13" s="29"/>
      <c r="EJZ13" s="30"/>
      <c r="EKA13" s="28"/>
      <c r="EKB13" s="29"/>
      <c r="EKC13" s="29"/>
      <c r="EKD13" s="29"/>
      <c r="EKE13" s="28"/>
      <c r="EKF13" s="29"/>
      <c r="EKG13" s="29"/>
      <c r="EKH13" s="28"/>
      <c r="EKI13" s="29"/>
      <c r="EKJ13" s="30"/>
      <c r="EKK13" s="28"/>
      <c r="EKL13" s="29"/>
      <c r="EKM13" s="29"/>
      <c r="EKN13" s="29"/>
      <c r="EKO13" s="28"/>
      <c r="EKP13" s="29"/>
      <c r="EKQ13" s="29"/>
      <c r="EKR13" s="28"/>
      <c r="EKS13" s="29"/>
      <c r="EKT13" s="30"/>
      <c r="EKU13" s="28"/>
      <c r="EKV13" s="29"/>
      <c r="EKW13" s="29"/>
      <c r="EKX13" s="29"/>
      <c r="EKY13" s="28"/>
      <c r="EKZ13" s="29"/>
      <c r="ELA13" s="29"/>
      <c r="ELB13" s="28"/>
      <c r="ELC13" s="29"/>
      <c r="ELD13" s="30"/>
      <c r="ELE13" s="28"/>
      <c r="ELF13" s="30"/>
      <c r="ELG13" s="29"/>
      <c r="ELH13" s="28"/>
      <c r="ELI13" s="29"/>
      <c r="ELJ13" s="28"/>
      <c r="ELK13" s="28"/>
      <c r="ELL13" s="28"/>
      <c r="ELM13" s="29"/>
      <c r="ELN13" s="385"/>
      <c r="ELO13" s="29"/>
      <c r="ELP13" s="385"/>
      <c r="ELQ13" s="29"/>
      <c r="ELR13" s="385"/>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30"/>
      <c r="EMY13" s="28"/>
      <c r="EMZ13" s="29"/>
      <c r="ENA13" s="29"/>
      <c r="ENB13" s="29"/>
      <c r="ENC13" s="29"/>
      <c r="END13" s="29"/>
      <c r="ENE13" s="28"/>
      <c r="ENF13" s="29"/>
      <c r="ENG13" s="29"/>
      <c r="ENH13" s="28"/>
      <c r="ENI13" s="29"/>
      <c r="ENJ13" s="30"/>
      <c r="ENK13" s="28"/>
      <c r="ENL13" s="29"/>
      <c r="ENM13" s="29"/>
      <c r="ENN13" s="29"/>
      <c r="ENO13" s="28"/>
      <c r="ENP13" s="29"/>
      <c r="ENQ13" s="29"/>
      <c r="ENR13" s="28"/>
      <c r="ENS13" s="29"/>
      <c r="ENT13" s="30"/>
      <c r="ENU13" s="28"/>
      <c r="ENV13" s="29"/>
      <c r="ENW13" s="29"/>
      <c r="ENX13" s="29"/>
      <c r="ENY13" s="28"/>
      <c r="ENZ13" s="29"/>
      <c r="EOA13" s="29"/>
      <c r="EOB13" s="28"/>
      <c r="EOC13" s="29"/>
      <c r="EOD13" s="30"/>
      <c r="EOE13" s="28"/>
      <c r="EOF13" s="29"/>
      <c r="EOG13" s="29"/>
      <c r="EOH13" s="29"/>
      <c r="EOI13" s="28"/>
      <c r="EOJ13" s="29"/>
      <c r="EOK13" s="29"/>
      <c r="EOL13" s="28"/>
      <c r="EOM13" s="29"/>
      <c r="EON13" s="30"/>
      <c r="EOO13" s="28" t="str">
        <f t="shared" si="149"/>
        <v xml:space="preserve"> </v>
      </c>
      <c r="EOP13" s="30"/>
      <c r="EOQ13" s="29"/>
      <c r="EOR13" s="28"/>
      <c r="EOS13" s="29"/>
      <c r="EOT13" s="28"/>
      <c r="EOU13" s="28"/>
      <c r="EOV13" s="28"/>
      <c r="EOW13" s="29"/>
      <c r="EOX13" s="385"/>
      <c r="EOY13" s="29"/>
      <c r="EOZ13" s="385"/>
      <c r="EPA13" s="29"/>
      <c r="EPB13" s="385"/>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30"/>
      <c r="EQI13" s="28"/>
      <c r="EQJ13" s="29"/>
      <c r="EQK13" s="29"/>
      <c r="EQL13" s="29"/>
      <c r="EQM13" s="29"/>
      <c r="EQN13" s="29"/>
      <c r="EQO13" s="28"/>
      <c r="EQP13" s="29"/>
      <c r="EQQ13" s="29"/>
      <c r="EQR13" s="28"/>
      <c r="EQS13" s="29"/>
      <c r="EQT13" s="30"/>
      <c r="EQU13" s="28"/>
      <c r="EQV13" s="29"/>
      <c r="EQW13" s="29"/>
      <c r="EQX13" s="29"/>
      <c r="EQY13" s="28"/>
      <c r="EQZ13" s="29"/>
      <c r="ERA13" s="29"/>
      <c r="ERB13" s="28"/>
      <c r="ERC13" s="29"/>
      <c r="ERD13" s="30"/>
      <c r="ERE13" s="28"/>
      <c r="ERF13" s="29"/>
      <c r="ERG13" s="29"/>
      <c r="ERH13" s="29"/>
      <c r="ERI13" s="28"/>
      <c r="ERJ13" s="29"/>
      <c r="ERK13" s="29"/>
      <c r="ERL13" s="28"/>
      <c r="ERM13" s="29"/>
      <c r="ERN13" s="30"/>
      <c r="ERO13" s="28"/>
      <c r="ERP13" s="29"/>
      <c r="ERQ13" s="29"/>
      <c r="ERR13" s="29"/>
      <c r="ERS13" s="28"/>
      <c r="ERT13" s="29"/>
      <c r="ERU13" s="29"/>
      <c r="ERV13" s="28"/>
      <c r="ERW13" s="29"/>
      <c r="ERX13" s="30"/>
      <c r="ERY13" s="28" t="str">
        <f t="shared" si="150"/>
        <v xml:space="preserve"> </v>
      </c>
      <c r="ERZ13" s="30"/>
      <c r="ESA13" s="29"/>
      <c r="ESB13" s="28"/>
      <c r="ESC13" s="29"/>
      <c r="ESD13" s="28"/>
      <c r="ESE13" s="28"/>
      <c r="ESF13" s="28"/>
      <c r="ESG13" s="29"/>
      <c r="ESH13" s="385"/>
      <c r="ESI13" s="29"/>
      <c r="ESJ13" s="385"/>
      <c r="ESK13" s="29"/>
      <c r="ESL13" s="385"/>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30"/>
      <c r="ETS13" s="28"/>
      <c r="ETT13" s="29"/>
      <c r="ETU13" s="29"/>
      <c r="ETV13" s="29"/>
      <c r="ETW13" s="29"/>
      <c r="ETX13" s="29"/>
      <c r="ETY13" s="28"/>
      <c r="ETZ13" s="29"/>
      <c r="EUA13" s="29"/>
      <c r="EUB13" s="28"/>
      <c r="EUC13" s="29"/>
      <c r="EUD13" s="30"/>
      <c r="EUE13" s="28"/>
      <c r="EUF13" s="29"/>
      <c r="EUG13" s="29"/>
      <c r="EUH13" s="29"/>
      <c r="EUI13" s="28"/>
      <c r="EUJ13" s="29"/>
      <c r="EUK13" s="29"/>
      <c r="EUL13" s="28"/>
      <c r="EUM13" s="29"/>
      <c r="EUN13" s="30"/>
      <c r="EUO13" s="28"/>
      <c r="EUP13" s="29"/>
      <c r="EUQ13" s="29"/>
      <c r="EUR13" s="29"/>
      <c r="EUS13" s="28"/>
      <c r="EUT13" s="29"/>
      <c r="EUU13" s="29"/>
      <c r="EUV13" s="28"/>
      <c r="EUW13" s="29"/>
      <c r="EUX13" s="30"/>
      <c r="EUY13" s="28"/>
      <c r="EUZ13" s="29"/>
      <c r="EVA13" s="29"/>
      <c r="EVB13" s="29"/>
      <c r="EVC13" s="28"/>
      <c r="EVD13" s="29"/>
      <c r="EVE13" s="29"/>
      <c r="EVF13" s="28"/>
      <c r="EVG13" s="29"/>
      <c r="EVH13" s="30"/>
      <c r="EVI13" s="28" t="str">
        <f t="shared" si="151"/>
        <v xml:space="preserve"> </v>
      </c>
    </row>
    <row r="14" spans="1:3961" x14ac:dyDescent="0.3">
      <c r="A14" s="424" t="s">
        <v>150</v>
      </c>
      <c r="B14" s="58" t="str">
        <f>'REG y VAL POE - AESR - ESR'!B569</f>
        <v>Arias Rodriguez Jesus Manuel</v>
      </c>
      <c r="C14" s="57" t="str">
        <f>'REG y VAL POE - AESR - ESR'!C569</f>
        <v>ESR</v>
      </c>
      <c r="D14" s="56">
        <f>'REG y VAL POE - AESR - ESR'!D569</f>
        <v>23203538</v>
      </c>
      <c r="E14" s="57">
        <f>'REG y VAL POE - AESR - ESR'!E569</f>
        <v>0</v>
      </c>
      <c r="F14" s="56">
        <f>'REG y VAL POE - AESR - ESR'!F569</f>
        <v>0</v>
      </c>
      <c r="G14" s="59">
        <f>'REG y VAL POE - AESR - ESR'!G569</f>
        <v>45379</v>
      </c>
      <c r="H14" s="59">
        <f>'REG y VAL POE - AESR - ESR'!H569</f>
        <v>45744</v>
      </c>
      <c r="I14" s="57" t="str">
        <f>'REG y VAL POE - AESR - ESR'!I569</f>
        <v>SI</v>
      </c>
      <c r="J14" s="57" t="str">
        <f>'REG y VAL POE - AESR - ESR'!J569</f>
        <v>Vigente</v>
      </c>
      <c r="K14" s="57" t="str">
        <f>'REG y VAL POE - AESR - ESR'!K569</f>
        <v>SI</v>
      </c>
      <c r="L14" s="57" t="str">
        <f>'REG y VAL POE - AESR - ESR'!L569</f>
        <v>Vigente</v>
      </c>
      <c r="M14" s="57">
        <f>'REG y VAL POE - AESR - ESR'!M569</f>
        <v>0</v>
      </c>
      <c r="N14" s="57" t="str">
        <f>'REG y VAL POE - AESR - ESR'!N569</f>
        <v>Apendice ByC no llenos-falta firma RL</v>
      </c>
      <c r="O14" s="57" t="str">
        <f>'REG y VAL POE - AESR - ESR'!O569</f>
        <v>SI</v>
      </c>
      <c r="P14" s="57">
        <f>'REG y VAL POE - AESR - ESR'!P569</f>
        <v>0</v>
      </c>
      <c r="Q14" s="57" t="str">
        <f>'REG y VAL POE - AESR - ESR'!Q569</f>
        <v>SI</v>
      </c>
      <c r="R14" s="57" t="str">
        <f>'REG y VAL POE - AESR - ESR'!R569</f>
        <v>SI</v>
      </c>
      <c r="S14" s="57" t="str">
        <f>'REG y VAL POE - AESR - ESR'!S569</f>
        <v>SI</v>
      </c>
      <c r="T14" s="57" t="str">
        <f>'REG y VAL POE - AESR - ESR'!T569</f>
        <v>SI</v>
      </c>
      <c r="U14" s="57" t="str">
        <f>'REG y VAL POE - AESR - ESR'!U569</f>
        <v>SI</v>
      </c>
      <c r="V14" s="57" t="str">
        <f>'REG y VAL POE - AESR - ESR'!V569</f>
        <v>SI</v>
      </c>
      <c r="W14" s="57">
        <f>'REG y VAL POE - AESR - ESR'!W569</f>
        <v>0</v>
      </c>
      <c r="X14" s="57">
        <f>'REG y VAL POE - AESR - ESR'!X569</f>
        <v>0</v>
      </c>
      <c r="Y14" s="57">
        <f>'REG y VAL POE - AESR - ESR'!Y569</f>
        <v>0</v>
      </c>
      <c r="Z14" s="57" t="str">
        <f>'REG y VAL POE - AESR - ESR'!Z569</f>
        <v>SI</v>
      </c>
      <c r="AA14" s="57">
        <f>'REG y VAL POE - AESR - ESR'!AA569</f>
        <v>0</v>
      </c>
      <c r="AB14" s="57">
        <f>'REG y VAL POE - AESR - ESR'!AB569</f>
        <v>0</v>
      </c>
      <c r="AC14" s="57">
        <f>'REG y VAL POE - AESR - ESR'!AC569</f>
        <v>0</v>
      </c>
      <c r="AD14" s="57">
        <f>'REG y VAL POE - AESR - ESR'!AD569</f>
        <v>0</v>
      </c>
      <c r="AE14" s="57">
        <f>'REG y VAL POE - AESR - ESR'!AE569</f>
        <v>0</v>
      </c>
      <c r="AF14" s="57">
        <f>'REG y VAL POE - AESR - ESR'!AF569</f>
        <v>0</v>
      </c>
      <c r="AG14" s="57" t="str">
        <f>'REG y VAL POE - AESR - ESR'!AG569</f>
        <v>SI</v>
      </c>
      <c r="AH14" s="57">
        <f>'REG y VAL POE - AESR - ESR'!AH569</f>
        <v>0</v>
      </c>
      <c r="AI14" s="57">
        <f>'REG y VAL POE - AESR - ESR'!AI569</f>
        <v>0</v>
      </c>
      <c r="AJ14" s="57">
        <f>'REG y VAL POE - AESR - ESR'!AJ569</f>
        <v>0</v>
      </c>
      <c r="AK14" s="57">
        <f>'REG y VAL POE - AESR - ESR'!AK569</f>
        <v>0</v>
      </c>
      <c r="AL14" s="57">
        <f>'REG y VAL POE - AESR - ESR'!AL569</f>
        <v>0</v>
      </c>
      <c r="AM14" s="57">
        <f>'REG y VAL POE - AESR - ESR'!AM569</f>
        <v>0</v>
      </c>
      <c r="AN14" s="57">
        <f>'REG y VAL POE - AESR - ESR'!AN569</f>
        <v>0</v>
      </c>
      <c r="AO14" s="57">
        <f>'REG y VAL POE - AESR - ESR'!AO569</f>
        <v>0</v>
      </c>
      <c r="AP14" s="57">
        <f>'REG y VAL POE - AESR - ESR'!AP569</f>
        <v>0</v>
      </c>
      <c r="AQ14" s="57">
        <f>'REG y VAL POE - AESR - ESR'!AQ569</f>
        <v>0</v>
      </c>
      <c r="AR14" s="57">
        <f>'REG y VAL POE - AESR - ESR'!AR569</f>
        <v>0</v>
      </c>
      <c r="AS14" s="57">
        <f>'REG y VAL POE - AESR - ESR'!AS569</f>
        <v>0</v>
      </c>
      <c r="AT14" s="58" t="str">
        <f>'REG y VAL POE - AESR - ESR'!B570</f>
        <v>Gutierrez Lopez Jose Alberto</v>
      </c>
      <c r="AU14" s="57" t="str">
        <f>'REG y VAL POE - AESR - ESR'!C570</f>
        <v>POE</v>
      </c>
      <c r="AV14" s="56">
        <f>'REG y VAL POE - AESR - ESR'!D570</f>
        <v>23202773</v>
      </c>
      <c r="AW14" s="57">
        <f>'REG y VAL POE - AESR - ESR'!E570</f>
        <v>0</v>
      </c>
      <c r="AX14" s="56">
        <f>'REG y VAL POE - AESR - ESR'!F570</f>
        <v>0</v>
      </c>
      <c r="AY14" s="59">
        <f>'REG y VAL POE - AESR - ESR'!G570</f>
        <v>45370</v>
      </c>
      <c r="AZ14" s="59">
        <f>'REG y VAL POE - AESR - ESR'!H570</f>
        <v>45735</v>
      </c>
      <c r="BA14" s="57" t="str">
        <f>'REG y VAL POE - AESR - ESR'!I570</f>
        <v>SI</v>
      </c>
      <c r="BB14" s="57" t="str">
        <f>'REG y VAL POE - AESR - ESR'!J570</f>
        <v>Vigente</v>
      </c>
      <c r="BC14" s="57" t="str">
        <f>'REG y VAL POE - AESR - ESR'!K570</f>
        <v>SI</v>
      </c>
      <c r="BD14" s="57" t="str">
        <f>'REG y VAL POE - AESR - ESR'!L570</f>
        <v>Vigente</v>
      </c>
      <c r="BE14" s="57" t="str">
        <f>'REG y VAL POE - AESR - ESR'!M570</f>
        <v>NO</v>
      </c>
      <c r="BF14" s="387" t="str">
        <f>'REG y VAL POE - AESR - ESR'!N570</f>
        <v>Apendice ByC no llenos-c/historial aparte-falta firma RL</v>
      </c>
      <c r="BG14" s="57" t="str">
        <f>'REG y VAL POE - AESR - ESR'!O570</f>
        <v>SI</v>
      </c>
      <c r="BH14" s="57">
        <f>'REG y VAL POE - AESR - ESR'!P570</f>
        <v>0</v>
      </c>
      <c r="BI14" s="57" t="str">
        <f>'REG y VAL POE - AESR - ESR'!Q570</f>
        <v>SI</v>
      </c>
      <c r="BJ14" s="57" t="str">
        <f>'REG y VAL POE - AESR - ESR'!R570</f>
        <v>SI</v>
      </c>
      <c r="BK14" s="57" t="str">
        <f>'REG y VAL POE - AESR - ESR'!S570</f>
        <v>SI</v>
      </c>
      <c r="BL14" s="57" t="str">
        <f>'REG y VAL POE - AESR - ESR'!T570</f>
        <v>SI</v>
      </c>
      <c r="BM14" s="57" t="str">
        <f>'REG y VAL POE - AESR - ESR'!U570</f>
        <v>SI</v>
      </c>
      <c r="BN14" s="57" t="str">
        <f>'REG y VAL POE - AESR - ESR'!V570</f>
        <v>SI</v>
      </c>
      <c r="BO14" s="57">
        <f>'REG y VAL POE - AESR - ESR'!W570</f>
        <v>0</v>
      </c>
      <c r="BP14" s="57">
        <f>'REG y VAL POE - AESR - ESR'!X570</f>
        <v>0</v>
      </c>
      <c r="BQ14" s="57">
        <f>'REG y VAL POE - AESR - ESR'!Y570</f>
        <v>0</v>
      </c>
      <c r="BR14" s="57" t="str">
        <f>'REG y VAL POE - AESR - ESR'!Z570</f>
        <v>SI</v>
      </c>
      <c r="BS14" s="57">
        <f>'REG y VAL POE - AESR - ESR'!AA570</f>
        <v>0</v>
      </c>
      <c r="BT14" s="57">
        <f>'REG y VAL POE - AESR - ESR'!AB570</f>
        <v>0</v>
      </c>
      <c r="BU14" s="57">
        <f>'REG y VAL POE - AESR - ESR'!AC570</f>
        <v>0</v>
      </c>
      <c r="BV14" s="57">
        <f>'REG y VAL POE - AESR - ESR'!AD570</f>
        <v>0</v>
      </c>
      <c r="BW14" s="57">
        <f>'REG y VAL POE - AESR - ESR'!AE570</f>
        <v>0</v>
      </c>
      <c r="BX14" s="57" t="str">
        <f>'REG y VAL POE - AESR - ESR'!AF570</f>
        <v>SI</v>
      </c>
      <c r="BY14" s="57">
        <f>'REG y VAL POE - AESR - ESR'!AG570</f>
        <v>0</v>
      </c>
      <c r="BZ14" s="57">
        <f>'REG y VAL POE - AESR - ESR'!AH570</f>
        <v>0</v>
      </c>
      <c r="CA14" s="57">
        <f>'REG y VAL POE - AESR - ESR'!AI570</f>
        <v>0</v>
      </c>
      <c r="CB14" s="57">
        <f>'REG y VAL POE - AESR - ESR'!AJ570</f>
        <v>0</v>
      </c>
      <c r="CC14" s="57">
        <f>'REG y VAL POE - AESR - ESR'!AK570</f>
        <v>0</v>
      </c>
      <c r="CD14" s="57">
        <f>'REG y VAL POE - AESR - ESR'!AL570</f>
        <v>0</v>
      </c>
      <c r="CE14" s="57" t="str">
        <f>'REG y VAL POE - AESR - ESR'!AM570</f>
        <v>SI</v>
      </c>
      <c r="CF14" s="57">
        <f>'REG y VAL POE - AESR - ESR'!AN570</f>
        <v>0</v>
      </c>
      <c r="CG14" s="57">
        <f>'REG y VAL POE - AESR - ESR'!AO570</f>
        <v>0</v>
      </c>
      <c r="CH14" s="57">
        <f>'REG y VAL POE - AESR - ESR'!AP570</f>
        <v>0</v>
      </c>
      <c r="CI14" s="57">
        <f>'REG y VAL POE - AESR - ESR'!AQ570</f>
        <v>0</v>
      </c>
      <c r="CJ14" s="57" t="str">
        <f>'REG y VAL POE - AESR - ESR'!AR570</f>
        <v>VACIS PORTAL</v>
      </c>
      <c r="CK14" s="57">
        <f>'REG y VAL POE - AESR - ESR'!AS570</f>
        <v>0</v>
      </c>
      <c r="CL14" s="58" t="str">
        <f>'REG y VAL POE - AESR - ESR'!B571</f>
        <v>Meza Rodriguez Enrique Alonso</v>
      </c>
      <c r="CM14" s="57" t="str">
        <f>'REG y VAL POE - AESR - ESR'!C571</f>
        <v>POE</v>
      </c>
      <c r="CN14" s="56">
        <f>'REG y VAL POE - AESR - ESR'!D571</f>
        <v>23157160</v>
      </c>
      <c r="CO14" s="57">
        <f>'REG y VAL POE - AESR - ESR'!E571</f>
        <v>0</v>
      </c>
      <c r="CP14" s="56">
        <f>'REG y VAL POE - AESR - ESR'!F571</f>
        <v>0</v>
      </c>
      <c r="CQ14" s="59">
        <f>'REG y VAL POE - AESR - ESR'!G571</f>
        <v>45358</v>
      </c>
      <c r="CR14" s="59">
        <f>'REG y VAL POE - AESR - ESR'!H571</f>
        <v>45723</v>
      </c>
      <c r="CS14" s="57" t="str">
        <f>'REG y VAL POE - AESR - ESR'!I571</f>
        <v>SI</v>
      </c>
      <c r="CT14" s="57" t="str">
        <f>'REG y VAL POE - AESR - ESR'!J571</f>
        <v>Vigente</v>
      </c>
      <c r="CU14" s="57" t="str">
        <f>'REG y VAL POE - AESR - ESR'!K571</f>
        <v>SI</v>
      </c>
      <c r="CV14" s="57" t="str">
        <f>'REG y VAL POE - AESR - ESR'!L571</f>
        <v>Vigente</v>
      </c>
      <c r="CW14" s="57" t="str">
        <f>'REG y VAL POE - AESR - ESR'!M571</f>
        <v>SI</v>
      </c>
      <c r="CX14" s="387" t="str">
        <f>'REG y VAL POE - AESR - ESR'!N571</f>
        <v>APENDICES LLENOS PERO FIRMADOS X ESR</v>
      </c>
      <c r="CY14" s="57" t="str">
        <f>'REG y VAL POE - AESR - ESR'!O571</f>
        <v>SI</v>
      </c>
      <c r="CZ14" s="57" t="str">
        <f>'REG y VAL POE - AESR - ESR'!P571</f>
        <v>SI</v>
      </c>
      <c r="DA14" s="57" t="str">
        <f>'REG y VAL POE - AESR - ESR'!Q571</f>
        <v>SI</v>
      </c>
      <c r="DB14" s="57" t="str">
        <f>'REG y VAL POE - AESR - ESR'!R571</f>
        <v>SI</v>
      </c>
      <c r="DC14" s="57" t="str">
        <f>'REG y VAL POE - AESR - ESR'!S571</f>
        <v>SI</v>
      </c>
      <c r="DD14" s="57" t="str">
        <f>'REG y VAL POE - AESR - ESR'!T571</f>
        <v>SI</v>
      </c>
      <c r="DE14" s="57" t="str">
        <f>'REG y VAL POE - AESR - ESR'!U571</f>
        <v>SI</v>
      </c>
      <c r="DF14" s="57">
        <f>'REG y VAL POE - AESR - ESR'!V571</f>
        <v>0</v>
      </c>
      <c r="DG14" s="57" t="str">
        <f>'REG y VAL POE - AESR - ESR'!W571</f>
        <v>Si</v>
      </c>
      <c r="DH14" s="57">
        <f>'REG y VAL POE - AESR - ESR'!X571</f>
        <v>0</v>
      </c>
      <c r="DI14" s="57">
        <f>'REG y VAL POE - AESR - ESR'!Y571</f>
        <v>0</v>
      </c>
      <c r="DJ14" s="57" t="str">
        <f>'REG y VAL POE - AESR - ESR'!Z571</f>
        <v>SI</v>
      </c>
      <c r="DK14" s="57">
        <f>'REG y VAL POE - AESR - ESR'!AA571</f>
        <v>0</v>
      </c>
      <c r="DL14" s="57">
        <f>'REG y VAL POE - AESR - ESR'!AB571</f>
        <v>0</v>
      </c>
      <c r="DM14" s="57">
        <f>'REG y VAL POE - AESR - ESR'!AC571</f>
        <v>0</v>
      </c>
      <c r="DN14" s="57">
        <f>'REG y VAL POE - AESR - ESR'!AD571</f>
        <v>0</v>
      </c>
      <c r="DO14" s="57">
        <f>'REG y VAL POE - AESR - ESR'!AE571</f>
        <v>0</v>
      </c>
      <c r="DP14" s="57" t="str">
        <f>'REG y VAL POE - AESR - ESR'!AF571</f>
        <v>SI</v>
      </c>
      <c r="DQ14" s="57" t="str">
        <f>'REG y VAL POE - AESR - ESR'!AG571</f>
        <v>SI</v>
      </c>
      <c r="DR14" s="57">
        <f>'REG y VAL POE - AESR - ESR'!AH571</f>
        <v>0</v>
      </c>
      <c r="DS14" s="57">
        <f>'REG y VAL POE - AESR - ESR'!AI571</f>
        <v>0</v>
      </c>
      <c r="DT14" s="57">
        <f>'REG y VAL POE - AESR - ESR'!AJ571</f>
        <v>0</v>
      </c>
      <c r="DU14" s="57">
        <f>'REG y VAL POE - AESR - ESR'!AK571</f>
        <v>0</v>
      </c>
      <c r="DV14" s="57">
        <f>'REG y VAL POE - AESR - ESR'!AL571</f>
        <v>0</v>
      </c>
      <c r="DW14" s="57">
        <f>'REG y VAL POE - AESR - ESR'!AM571</f>
        <v>0</v>
      </c>
      <c r="DX14" s="57">
        <f>'REG y VAL POE - AESR - ESR'!AN571</f>
        <v>0</v>
      </c>
      <c r="DY14" s="57">
        <f>'REG y VAL POE - AESR - ESR'!AO571</f>
        <v>0</v>
      </c>
      <c r="DZ14" s="57">
        <f>'REG y VAL POE - AESR - ESR'!AP571</f>
        <v>0</v>
      </c>
      <c r="EA14" s="57">
        <f>'REG y VAL POE - AESR - ESR'!AQ571</f>
        <v>0</v>
      </c>
      <c r="EB14" s="57">
        <f>'REG y VAL POE - AESR - ESR'!AR571</f>
        <v>0</v>
      </c>
      <c r="EC14" s="57">
        <f>'REG y VAL POE - AESR - ESR'!AS571</f>
        <v>0</v>
      </c>
      <c r="ED14" s="58" t="str">
        <f>'REG y VAL POE - AESR - ESR'!B572</f>
        <v>Ocampo Montejo Marcela</v>
      </c>
      <c r="EE14" s="57" t="str">
        <f>'REG y VAL POE - AESR - ESR'!C572</f>
        <v>POE</v>
      </c>
      <c r="EF14" s="56">
        <f>'REG y VAL POE - AESR - ESR'!D572</f>
        <v>23223391</v>
      </c>
      <c r="EG14" s="57">
        <f>'REG y VAL POE - AESR - ESR'!E572</f>
        <v>0</v>
      </c>
      <c r="EH14" s="56">
        <f>'REG y VAL POE - AESR - ESR'!F572</f>
        <v>0</v>
      </c>
      <c r="EI14" s="59">
        <f>'REG y VAL POE - AESR - ESR'!G572</f>
        <v>45360</v>
      </c>
      <c r="EJ14" s="59">
        <f>'REG y VAL POE - AESR - ESR'!H572</f>
        <v>45725</v>
      </c>
      <c r="EK14" s="57">
        <f>'REG y VAL POE - AESR - ESR'!I572</f>
        <v>0</v>
      </c>
      <c r="EL14" s="57">
        <f>'REG y VAL POE - AESR - ESR'!J572</f>
        <v>0</v>
      </c>
      <c r="EM14" s="57">
        <f>'REG y VAL POE - AESR - ESR'!K572</f>
        <v>0</v>
      </c>
      <c r="EN14" s="57">
        <f>'REG y VAL POE - AESR - ESR'!L572</f>
        <v>0</v>
      </c>
      <c r="EO14" s="57" t="str">
        <f>'REG y VAL POE - AESR - ESR'!M572</f>
        <v>NO</v>
      </c>
      <c r="EP14" s="29" t="str">
        <f>'REG y VAL POE - AESR - ESR'!N572</f>
        <v>FIRMADO POR ESE Y NO POR RL</v>
      </c>
      <c r="EQ14" s="57" t="str">
        <f>'REG y VAL POE - AESR - ESR'!O572</f>
        <v>SI</v>
      </c>
      <c r="ER14" s="57">
        <f>'REG y VAL POE - AESR - ESR'!P572</f>
        <v>0</v>
      </c>
      <c r="ES14" s="57" t="str">
        <f>'REG y VAL POE - AESR - ESR'!Q572</f>
        <v>SI</v>
      </c>
      <c r="ET14" s="57" t="str">
        <f>'REG y VAL POE - AESR - ESR'!R572</f>
        <v>SI</v>
      </c>
      <c r="EU14" s="57">
        <f>'REG y VAL POE - AESR - ESR'!S572</f>
        <v>0</v>
      </c>
      <c r="EV14" s="57">
        <f>'REG y VAL POE - AESR - ESR'!T572</f>
        <v>0</v>
      </c>
      <c r="EW14" s="57">
        <f>'REG y VAL POE - AESR - ESR'!U572</f>
        <v>0</v>
      </c>
      <c r="EX14" s="57" t="str">
        <f>'REG y VAL POE - AESR - ESR'!V572</f>
        <v>SI</v>
      </c>
      <c r="EY14" s="57">
        <f>'REG y VAL POE - AESR - ESR'!W572</f>
        <v>0</v>
      </c>
      <c r="EZ14" s="57">
        <f>'REG y VAL POE - AESR - ESR'!X572</f>
        <v>0</v>
      </c>
      <c r="FA14" s="57">
        <f>'REG y VAL POE - AESR - ESR'!Y572</f>
        <v>0</v>
      </c>
      <c r="FB14" s="57">
        <f>'REG y VAL POE - AESR - ESR'!Z572</f>
        <v>0</v>
      </c>
      <c r="FC14" s="57">
        <f>'REG y VAL POE - AESR - ESR'!AA572</f>
        <v>0</v>
      </c>
      <c r="FD14" s="57">
        <f>'REG y VAL POE - AESR - ESR'!AB572</f>
        <v>0</v>
      </c>
      <c r="FE14" s="57">
        <f>'REG y VAL POE - AESR - ESR'!AC572</f>
        <v>0</v>
      </c>
      <c r="FF14" s="57">
        <f>'REG y VAL POE - AESR - ESR'!AD572</f>
        <v>0</v>
      </c>
      <c r="FG14" s="57">
        <f>'REG y VAL POE - AESR - ESR'!AE572</f>
        <v>0</v>
      </c>
      <c r="FH14" s="57" t="str">
        <f>'REG y VAL POE - AESR - ESR'!AF572</f>
        <v>SI</v>
      </c>
      <c r="FI14" s="57">
        <f>'REG y VAL POE - AESR - ESR'!AG572</f>
        <v>0</v>
      </c>
      <c r="FJ14" s="57">
        <f>'REG y VAL POE - AESR - ESR'!AH572</f>
        <v>0</v>
      </c>
      <c r="FK14" s="57">
        <f>'REG y VAL POE - AESR - ESR'!AI572</f>
        <v>0</v>
      </c>
      <c r="FL14" s="57">
        <f>'REG y VAL POE - AESR - ESR'!AJ572</f>
        <v>0</v>
      </c>
      <c r="FM14" s="57">
        <f>'REG y VAL POE - AESR - ESR'!AK572</f>
        <v>0</v>
      </c>
      <c r="FN14" s="57">
        <f>'REG y VAL POE - AESR - ESR'!AL572</f>
        <v>0</v>
      </c>
      <c r="FO14" s="57">
        <f>'REG y VAL POE - AESR - ESR'!AM572</f>
        <v>0</v>
      </c>
      <c r="FP14" s="57">
        <f>'REG y VAL POE - AESR - ESR'!AN572</f>
        <v>0</v>
      </c>
      <c r="FQ14" s="57">
        <f>'REG y VAL POE - AESR - ESR'!AO572</f>
        <v>0</v>
      </c>
      <c r="FR14" s="57" t="str">
        <f>'REG y VAL POE - AESR - ESR'!AP572</f>
        <v>SI</v>
      </c>
      <c r="FS14" s="57">
        <f>'REG y VAL POE - AESR - ESR'!AQ572</f>
        <v>0</v>
      </c>
      <c r="FT14" s="57" t="str">
        <f>'REG y VAL POE - AESR - ESR'!AR572</f>
        <v>THSCAN</v>
      </c>
      <c r="FU14" s="57">
        <f>'REG y VAL POE - AESR - ESR'!AS572</f>
        <v>0</v>
      </c>
      <c r="FV14" s="58" t="str">
        <f>'REG y VAL POE - AESR - ESR'!B573</f>
        <v>Perez Leyva Jose Alfredo</v>
      </c>
      <c r="FW14" s="57">
        <f>'REG y VAL POE - AESR - ESR'!C573</f>
        <v>0</v>
      </c>
      <c r="FX14" s="56">
        <f>'REG y VAL POE - AESR - ESR'!D573</f>
        <v>23157156</v>
      </c>
      <c r="FY14" s="57">
        <f>'REG y VAL POE - AESR - ESR'!E573</f>
        <v>0</v>
      </c>
      <c r="FZ14" s="56">
        <f>'REG y VAL POE - AESR - ESR'!F573</f>
        <v>0</v>
      </c>
      <c r="GA14" s="59">
        <f>'REG y VAL POE - AESR - ESR'!G573</f>
        <v>45359</v>
      </c>
      <c r="GB14" s="59">
        <f>'REG y VAL POE - AESR - ESR'!H573</f>
        <v>45724</v>
      </c>
      <c r="GC14" s="57" t="str">
        <f>'REG y VAL POE - AESR - ESR'!I573</f>
        <v>SI</v>
      </c>
      <c r="GD14" s="57" t="str">
        <f>'REG y VAL POE - AESR - ESR'!J573</f>
        <v>Vigente</v>
      </c>
      <c r="GE14" s="57" t="str">
        <f>'REG y VAL POE - AESR - ESR'!K573</f>
        <v>SI</v>
      </c>
      <c r="GF14" s="57" t="str">
        <f>'REG y VAL POE - AESR - ESR'!L573</f>
        <v>Vigente</v>
      </c>
      <c r="GG14" s="57" t="str">
        <f>'REG y VAL POE - AESR - ESR'!M573</f>
        <v>NO</v>
      </c>
      <c r="GH14" s="387" t="str">
        <f>'REG y VAL POE - AESR - ESR'!N573</f>
        <v>APENDICES LLENOS PERO FIRMADOS X ESR</v>
      </c>
      <c r="GI14" s="57" t="str">
        <f>'REG y VAL POE - AESR - ESR'!O573</f>
        <v>SI</v>
      </c>
      <c r="GJ14" s="57">
        <f>'REG y VAL POE - AESR - ESR'!P573</f>
        <v>0</v>
      </c>
      <c r="GK14" s="57">
        <f>'REG y VAL POE - AESR - ESR'!Q573</f>
        <v>0</v>
      </c>
      <c r="GL14" s="57" t="str">
        <f>'REG y VAL POE - AESR - ESR'!R573</f>
        <v>SI</v>
      </c>
      <c r="GM14" s="57" t="str">
        <f>'REG y VAL POE - AESR - ESR'!S573</f>
        <v>SI</v>
      </c>
      <c r="GN14" s="57" t="str">
        <f>'REG y VAL POE - AESR - ESR'!T573</f>
        <v>SI</v>
      </c>
      <c r="GO14" s="57" t="str">
        <f>'REG y VAL POE - AESR - ESR'!U573</f>
        <v>NO</v>
      </c>
      <c r="GP14" s="57" t="str">
        <f>'REG y VAL POE - AESR - ESR'!V573</f>
        <v>SI</v>
      </c>
      <c r="GQ14" s="57">
        <f>'REG y VAL POE - AESR - ESR'!W573</f>
        <v>0</v>
      </c>
      <c r="GR14" s="57">
        <f>'REG y VAL POE - AESR - ESR'!X573</f>
        <v>0</v>
      </c>
      <c r="GS14" s="57">
        <f>'REG y VAL POE - AESR - ESR'!Y573</f>
        <v>0</v>
      </c>
      <c r="GT14" s="57" t="str">
        <f>'REG y VAL POE - AESR - ESR'!Z573</f>
        <v>SI</v>
      </c>
      <c r="GU14" s="57">
        <f>'REG y VAL POE - AESR - ESR'!AA573</f>
        <v>0</v>
      </c>
      <c r="GV14" s="57">
        <f>'REG y VAL POE - AESR - ESR'!AB573</f>
        <v>0</v>
      </c>
      <c r="GW14" s="57">
        <f>'REG y VAL POE - AESR - ESR'!AC573</f>
        <v>0</v>
      </c>
      <c r="GX14" s="57">
        <f>'REG y VAL POE - AESR - ESR'!AD573</f>
        <v>0</v>
      </c>
      <c r="GY14" s="57">
        <f>'REG y VAL POE - AESR - ESR'!AE573</f>
        <v>0</v>
      </c>
      <c r="GZ14" s="57">
        <f>'REG y VAL POE - AESR - ESR'!AF573</f>
        <v>0</v>
      </c>
      <c r="HA14" s="57" t="str">
        <f>'REG y VAL POE - AESR - ESR'!AG573</f>
        <v>SI</v>
      </c>
      <c r="HB14" s="57">
        <f>'REG y VAL POE - AESR - ESR'!AH573</f>
        <v>0</v>
      </c>
      <c r="HC14" s="57">
        <f>'REG y VAL POE - AESR - ESR'!AI573</f>
        <v>0</v>
      </c>
      <c r="HD14" s="57">
        <f>'REG y VAL POE - AESR - ESR'!AJ573</f>
        <v>0</v>
      </c>
      <c r="HE14" s="57">
        <f>'REG y VAL POE - AESR - ESR'!AK573</f>
        <v>0</v>
      </c>
      <c r="HF14" s="57">
        <f>'REG y VAL POE - AESR - ESR'!AL573</f>
        <v>0</v>
      </c>
      <c r="HG14" s="57">
        <f>'REG y VAL POE - AESR - ESR'!AM573</f>
        <v>0</v>
      </c>
      <c r="HH14" s="57">
        <f>'REG y VAL POE - AESR - ESR'!AN573</f>
        <v>0</v>
      </c>
      <c r="HI14" s="57">
        <f>'REG y VAL POE - AESR - ESR'!AO573</f>
        <v>0</v>
      </c>
      <c r="HJ14" s="57">
        <f>'REG y VAL POE - AESR - ESR'!AP573</f>
        <v>0</v>
      </c>
      <c r="HK14" s="57">
        <f>'REG y VAL POE - AESR - ESR'!AQ573</f>
        <v>0</v>
      </c>
      <c r="HL14" s="57">
        <f>'REG y VAL POE - AESR - ESR'!AR573</f>
        <v>0</v>
      </c>
      <c r="HM14" s="57">
        <f>'REG y VAL POE - AESR - ESR'!AS573</f>
        <v>0</v>
      </c>
      <c r="HN14" s="58">
        <f>'REG y VAL POE - AESR - ESR'!B574</f>
        <v>0</v>
      </c>
      <c r="HO14" s="57">
        <f>'REG y VAL POE - AESR - ESR'!C574</f>
        <v>0</v>
      </c>
      <c r="HP14" s="56">
        <f>'REG y VAL POE - AESR - ESR'!D574</f>
        <v>0</v>
      </c>
      <c r="HQ14" s="57">
        <f>'REG y VAL POE - AESR - ESR'!E574</f>
        <v>0</v>
      </c>
      <c r="HR14" s="56">
        <f>'REG y VAL POE - AESR - ESR'!F574</f>
        <v>0</v>
      </c>
      <c r="HS14" s="56">
        <f>'REG y VAL POE - AESR - ESR'!G574</f>
        <v>0</v>
      </c>
      <c r="HT14" s="56">
        <f>'REG y VAL POE - AESR - ESR'!H574</f>
        <v>0</v>
      </c>
      <c r="HU14" s="57">
        <f>'REG y VAL POE - AESR - ESR'!I574</f>
        <v>0</v>
      </c>
      <c r="HV14" s="57">
        <f>'REG y VAL POE - AESR - ESR'!J574</f>
        <v>0</v>
      </c>
      <c r="HW14" s="57">
        <f>'REG y VAL POE - AESR - ESR'!K574</f>
        <v>0</v>
      </c>
      <c r="HX14" s="57">
        <f>'REG y VAL POE - AESR - ESR'!L574</f>
        <v>0</v>
      </c>
      <c r="HY14" s="57">
        <f>'REG y VAL POE - AESR - ESR'!M574</f>
        <v>0</v>
      </c>
      <c r="HZ14" s="387">
        <f>'REG y VAL POE - AESR - ESR'!N574</f>
        <v>0</v>
      </c>
      <c r="IA14" s="57">
        <f>'REG y VAL POE - AESR - ESR'!O574</f>
        <v>0</v>
      </c>
      <c r="IB14" s="57">
        <f>'REG y VAL POE - AESR - ESR'!P574</f>
        <v>0</v>
      </c>
      <c r="IC14" s="57">
        <f>'REG y VAL POE - AESR - ESR'!Q574</f>
        <v>0</v>
      </c>
      <c r="ID14" s="57">
        <f>'REG y VAL POE - AESR - ESR'!R574</f>
        <v>0</v>
      </c>
      <c r="IE14" s="57">
        <f>'REG y VAL POE - AESR - ESR'!S574</f>
        <v>0</v>
      </c>
      <c r="IF14" s="57">
        <f>'REG y VAL POE - AESR - ESR'!T574</f>
        <v>0</v>
      </c>
      <c r="IG14" s="57">
        <f>'REG y VAL POE - AESR - ESR'!U574</f>
        <v>0</v>
      </c>
      <c r="IH14" s="57">
        <f>'REG y VAL POE - AESR - ESR'!V574</f>
        <v>0</v>
      </c>
      <c r="II14" s="57">
        <f>'REG y VAL POE - AESR - ESR'!W574</f>
        <v>0</v>
      </c>
      <c r="IJ14" s="57">
        <f>'REG y VAL POE - AESR - ESR'!X574</f>
        <v>0</v>
      </c>
      <c r="IK14" s="57">
        <f>'REG y VAL POE - AESR - ESR'!Y574</f>
        <v>0</v>
      </c>
      <c r="IL14" s="57">
        <f>'REG y VAL POE - AESR - ESR'!Z574</f>
        <v>0</v>
      </c>
      <c r="IM14" s="57">
        <f>'REG y VAL POE - AESR - ESR'!AA574</f>
        <v>0</v>
      </c>
      <c r="IN14" s="57">
        <f>'REG y VAL POE - AESR - ESR'!AB574</f>
        <v>0</v>
      </c>
      <c r="IO14" s="57">
        <f>'REG y VAL POE - AESR - ESR'!AC574</f>
        <v>0</v>
      </c>
      <c r="IP14" s="57">
        <f>'REG y VAL POE - AESR - ESR'!AD574</f>
        <v>0</v>
      </c>
      <c r="IQ14" s="57">
        <f>'REG y VAL POE - AESR - ESR'!AE574</f>
        <v>0</v>
      </c>
      <c r="IR14" s="57">
        <f>'REG y VAL POE - AESR - ESR'!AF574</f>
        <v>0</v>
      </c>
      <c r="IS14" s="57">
        <f>'REG y VAL POE - AESR - ESR'!AG574</f>
        <v>0</v>
      </c>
      <c r="IT14" s="57">
        <f>'REG y VAL POE - AESR - ESR'!AH574</f>
        <v>0</v>
      </c>
      <c r="IU14" s="57">
        <f>'REG y VAL POE - AESR - ESR'!AI574</f>
        <v>0</v>
      </c>
      <c r="IV14" s="57">
        <f>'REG y VAL POE - AESR - ESR'!AJ574</f>
        <v>0</v>
      </c>
      <c r="IW14" s="57">
        <f>'REG y VAL POE - AESR - ESR'!AK574</f>
        <v>0</v>
      </c>
      <c r="IX14" s="57">
        <f>'REG y VAL POE - AESR - ESR'!AL574</f>
        <v>0</v>
      </c>
      <c r="IY14" s="57">
        <f>'REG y VAL POE - AESR - ESR'!AM574</f>
        <v>0</v>
      </c>
      <c r="IZ14" s="57">
        <f>'REG y VAL POE - AESR - ESR'!AN574</f>
        <v>0</v>
      </c>
      <c r="JA14" s="57">
        <f>'REG y VAL POE - AESR - ESR'!AO574</f>
        <v>0</v>
      </c>
      <c r="JB14" s="57">
        <f>'REG y VAL POE - AESR - ESR'!AP574</f>
        <v>0</v>
      </c>
      <c r="JC14" s="57">
        <f>'REG y VAL POE - AESR - ESR'!AQ574</f>
        <v>0</v>
      </c>
      <c r="JD14" s="57">
        <f>'REG y VAL POE - AESR - ESR'!AR574</f>
        <v>0</v>
      </c>
      <c r="JE14" s="57">
        <f>'REG y VAL POE - AESR - ESR'!AS574</f>
        <v>0</v>
      </c>
      <c r="JF14" s="58">
        <f>'REG y VAL POE - AESR - ESR'!B575</f>
        <v>0</v>
      </c>
      <c r="JG14" s="57">
        <f>'REG y VAL POE - AESR - ESR'!C575</f>
        <v>0</v>
      </c>
      <c r="JH14" s="56">
        <f>'REG y VAL POE - AESR - ESR'!D575</f>
        <v>0</v>
      </c>
      <c r="JI14" s="57">
        <f>'REG y VAL POE - AESR - ESR'!E575</f>
        <v>0</v>
      </c>
      <c r="JJ14" s="56">
        <f>'REG y VAL POE - AESR - ESR'!F575</f>
        <v>0</v>
      </c>
      <c r="JK14" s="56">
        <f>'REG y VAL POE - AESR - ESR'!G575</f>
        <v>0</v>
      </c>
      <c r="JL14" s="56">
        <f>'REG y VAL POE - AESR - ESR'!H575</f>
        <v>0</v>
      </c>
      <c r="JM14" s="57">
        <f>'REG y VAL POE - AESR - ESR'!I575</f>
        <v>0</v>
      </c>
      <c r="JN14" s="57">
        <f>'REG y VAL POE - AESR - ESR'!J575</f>
        <v>0</v>
      </c>
      <c r="JO14" s="57">
        <f>'REG y VAL POE - AESR - ESR'!K575</f>
        <v>0</v>
      </c>
      <c r="JP14" s="57">
        <f>'REG y VAL POE - AESR - ESR'!L575</f>
        <v>0</v>
      </c>
      <c r="JQ14" s="57">
        <f>'REG y VAL POE - AESR - ESR'!M575</f>
        <v>0</v>
      </c>
      <c r="JR14" s="387">
        <f>'REG y VAL POE - AESR - ESR'!N575</f>
        <v>0</v>
      </c>
      <c r="JS14" s="57">
        <f>'REG y VAL POE - AESR - ESR'!O575</f>
        <v>0</v>
      </c>
      <c r="JT14" s="57">
        <f>'REG y VAL POE - AESR - ESR'!P575</f>
        <v>0</v>
      </c>
      <c r="JU14" s="57">
        <f>'REG y VAL POE - AESR - ESR'!Q575</f>
        <v>0</v>
      </c>
      <c r="JV14" s="57">
        <f>'REG y VAL POE - AESR - ESR'!R575</f>
        <v>0</v>
      </c>
      <c r="JW14" s="57">
        <f>'REG y VAL POE - AESR - ESR'!S575</f>
        <v>0</v>
      </c>
      <c r="JX14" s="57">
        <f>'REG y VAL POE - AESR - ESR'!T575</f>
        <v>0</v>
      </c>
      <c r="JY14" s="57">
        <f>'REG y VAL POE - AESR - ESR'!U575</f>
        <v>0</v>
      </c>
      <c r="JZ14" s="57">
        <f>'REG y VAL POE - AESR - ESR'!V575</f>
        <v>0</v>
      </c>
      <c r="KA14" s="57">
        <f>'REG y VAL POE - AESR - ESR'!W575</f>
        <v>0</v>
      </c>
      <c r="KB14" s="57">
        <f>'REG y VAL POE - AESR - ESR'!X575</f>
        <v>0</v>
      </c>
      <c r="KC14" s="57">
        <f>'REG y VAL POE - AESR - ESR'!Y575</f>
        <v>0</v>
      </c>
      <c r="KD14" s="57">
        <f>'REG y VAL POE - AESR - ESR'!Z575</f>
        <v>0</v>
      </c>
      <c r="KE14" s="57">
        <f>'REG y VAL POE - AESR - ESR'!AA575</f>
        <v>0</v>
      </c>
      <c r="KF14" s="57">
        <f>'REG y VAL POE - AESR - ESR'!AB575</f>
        <v>0</v>
      </c>
      <c r="KG14" s="57">
        <f>'REG y VAL POE - AESR - ESR'!AC575</f>
        <v>0</v>
      </c>
      <c r="KH14" s="57">
        <f>'REG y VAL POE - AESR - ESR'!AD575</f>
        <v>0</v>
      </c>
      <c r="KI14" s="57">
        <f>'REG y VAL POE - AESR - ESR'!AE575</f>
        <v>0</v>
      </c>
      <c r="KJ14" s="57">
        <f>'REG y VAL POE - AESR - ESR'!AF575</f>
        <v>0</v>
      </c>
      <c r="KK14" s="57">
        <f>'REG y VAL POE - AESR - ESR'!AG575</f>
        <v>0</v>
      </c>
      <c r="KL14" s="57">
        <f>'REG y VAL POE - AESR - ESR'!AH575</f>
        <v>0</v>
      </c>
      <c r="KM14" s="57">
        <f>'REG y VAL POE - AESR - ESR'!AI575</f>
        <v>0</v>
      </c>
      <c r="KN14" s="57">
        <f>'REG y VAL POE - AESR - ESR'!AJ575</f>
        <v>0</v>
      </c>
      <c r="KO14" s="57">
        <f>'REG y VAL POE - AESR - ESR'!AK575</f>
        <v>0</v>
      </c>
      <c r="KP14" s="57">
        <f>'REG y VAL POE - AESR - ESR'!AL575</f>
        <v>0</v>
      </c>
      <c r="KQ14" s="57">
        <f>'REG y VAL POE - AESR - ESR'!AM575</f>
        <v>0</v>
      </c>
      <c r="KR14" s="57">
        <f>'REG y VAL POE - AESR - ESR'!AN575</f>
        <v>0</v>
      </c>
      <c r="KS14" s="57">
        <f>'REG y VAL POE - AESR - ESR'!AO575</f>
        <v>0</v>
      </c>
      <c r="KT14" s="57">
        <f>'REG y VAL POE - AESR - ESR'!AP575</f>
        <v>0</v>
      </c>
      <c r="KU14" s="57">
        <f>'REG y VAL POE - AESR - ESR'!AQ575</f>
        <v>0</v>
      </c>
      <c r="KV14" s="57">
        <f>'REG y VAL POE - AESR - ESR'!AR575</f>
        <v>0</v>
      </c>
      <c r="KW14" s="57">
        <f>'REG y VAL POE - AESR - ESR'!AS575</f>
        <v>0</v>
      </c>
      <c r="KX14" s="57">
        <f>'REG y VAL POE - AESR - ESR'!B576</f>
        <v>0</v>
      </c>
      <c r="KY14" s="57">
        <f>'REG y VAL POE - AESR - ESR'!C576</f>
        <v>0</v>
      </c>
      <c r="KZ14" s="57">
        <f>'REG y VAL POE - AESR - ESR'!D576</f>
        <v>0</v>
      </c>
      <c r="LA14" s="56">
        <f>'REG y VAL POE - AESR - ESR'!E576</f>
        <v>0</v>
      </c>
      <c r="LB14" s="57">
        <f>'REG y VAL POE - AESR - ESR'!F576</f>
        <v>0</v>
      </c>
      <c r="LC14" s="57">
        <f>'REG y VAL POE - AESR - ESR'!G576</f>
        <v>0</v>
      </c>
      <c r="LD14" s="56">
        <f>'REG y VAL POE - AESR - ESR'!H576</f>
        <v>0</v>
      </c>
      <c r="LE14" s="57">
        <f>'REG y VAL POE - AESR - ESR'!I576</f>
        <v>0</v>
      </c>
      <c r="LF14" s="58">
        <f>'REG y VAL POE - AESR - ESR'!J576</f>
        <v>0</v>
      </c>
      <c r="LG14" s="56">
        <f>'REG y VAL POE - AESR - ESR'!K576</f>
        <v>0</v>
      </c>
      <c r="LH14" s="57">
        <f>'REG y VAL POE - AESR - ESR'!L576</f>
        <v>0</v>
      </c>
      <c r="LI14" s="57">
        <f>'REG y VAL POE - AESR - ESR'!M576</f>
        <v>0</v>
      </c>
      <c r="LJ14" s="57">
        <f>'REG y VAL POE - AESR - ESR'!N576</f>
        <v>0</v>
      </c>
      <c r="LK14" s="56">
        <f>'REG y VAL POE - AESR - ESR'!O576</f>
        <v>0</v>
      </c>
      <c r="LL14" s="57">
        <f>'REG y VAL POE - AESR - ESR'!P576</f>
        <v>0</v>
      </c>
      <c r="LM14" s="57">
        <f>'REG y VAL POE - AESR - ESR'!Q576</f>
        <v>0</v>
      </c>
      <c r="LN14" s="56">
        <f>'REG y VAL POE - AESR - ESR'!R576</f>
        <v>0</v>
      </c>
      <c r="LO14" s="57">
        <f>'REG y VAL POE - AESR - ESR'!S576</f>
        <v>0</v>
      </c>
      <c r="LP14" s="58">
        <f>'REG y VAL POE - AESR - ESR'!T576</f>
        <v>0</v>
      </c>
      <c r="LQ14" s="56">
        <f>'REG y VAL POE - AESR - ESR'!U576</f>
        <v>0</v>
      </c>
      <c r="LR14" s="57">
        <f>'REG y VAL POE - AESR - ESR'!V576</f>
        <v>0</v>
      </c>
      <c r="LS14" s="57">
        <f>'REG y VAL POE - AESR - ESR'!W576</f>
        <v>0</v>
      </c>
      <c r="LT14" s="57">
        <f>'REG y VAL POE - AESR - ESR'!X576</f>
        <v>0</v>
      </c>
      <c r="LU14" s="56">
        <f>'REG y VAL POE - AESR - ESR'!Y576</f>
        <v>0</v>
      </c>
      <c r="LV14" s="57">
        <f>'REG y VAL POE - AESR - ESR'!Z576</f>
        <v>0</v>
      </c>
      <c r="LW14" s="57">
        <f>'REG y VAL POE - AESR - ESR'!AA576</f>
        <v>0</v>
      </c>
      <c r="LX14" s="56">
        <f>'REG y VAL POE - AESR - ESR'!AB576</f>
        <v>0</v>
      </c>
      <c r="LY14" s="57">
        <f>'REG y VAL POE - AESR - ESR'!AC576</f>
        <v>0</v>
      </c>
      <c r="LZ14" s="58">
        <f>'REG y VAL POE - AESR - ESR'!AD576</f>
        <v>0</v>
      </c>
      <c r="MA14" s="56">
        <f>'REG y VAL POE - AESR - ESR'!AE576</f>
        <v>0</v>
      </c>
      <c r="MB14" s="57">
        <f>'REG y VAL POE - AESR - ESR'!AF576</f>
        <v>0</v>
      </c>
      <c r="MC14" s="57">
        <f>'REG y VAL POE - AESR - ESR'!AG576</f>
        <v>0</v>
      </c>
      <c r="MD14" s="57">
        <f>'REG y VAL POE - AESR - ESR'!AH576</f>
        <v>0</v>
      </c>
      <c r="ME14" s="56">
        <f>'REG y VAL POE - AESR - ESR'!AI576</f>
        <v>0</v>
      </c>
      <c r="MF14" s="57">
        <f>'REG y VAL POE - AESR - ESR'!AJ576</f>
        <v>0</v>
      </c>
      <c r="MG14" s="57">
        <f>'REG y VAL POE - AESR - ESR'!AK576</f>
        <v>0</v>
      </c>
      <c r="MH14" s="56">
        <f>'REG y VAL POE - AESR - ESR'!AL576</f>
        <v>0</v>
      </c>
      <c r="MI14" s="57">
        <f>'REG y VAL POE - AESR - ESR'!AM576</f>
        <v>0</v>
      </c>
      <c r="MJ14" s="58">
        <f>'REG y VAL POE - AESR - ESR'!AN576</f>
        <v>0</v>
      </c>
      <c r="MK14" s="56">
        <f>'REG y VAL POE - AESR - ESR'!AO576</f>
        <v>0</v>
      </c>
      <c r="ML14" s="57">
        <f>'REG y VAL POE - AESR - ESR'!AP576</f>
        <v>0</v>
      </c>
      <c r="MM14" s="57">
        <f>'REG y VAL POE - AESR - ESR'!AQ576</f>
        <v>0</v>
      </c>
      <c r="MN14" s="57">
        <f>'REG y VAL POE - AESR - ESR'!AR576</f>
        <v>0</v>
      </c>
      <c r="MO14" s="56">
        <f>'REG y VAL POE - AESR - ESR'!AS576</f>
        <v>0</v>
      </c>
      <c r="MP14" s="57">
        <f>'REG y VAL POE - AESR - ESR'!B577</f>
        <v>0</v>
      </c>
      <c r="MQ14" s="57">
        <f>'REG y VAL POE - AESR - ESR'!C577</f>
        <v>0</v>
      </c>
      <c r="MR14" s="56">
        <f>'REG y VAL POE - AESR - ESR'!D577</f>
        <v>0</v>
      </c>
      <c r="MS14" s="57">
        <f>'REG y VAL POE - AESR - ESR'!E577</f>
        <v>0</v>
      </c>
      <c r="MT14" s="58">
        <f>'REG y VAL POE - AESR - ESR'!F577</f>
        <v>0</v>
      </c>
      <c r="MU14" s="56">
        <f>'REG y VAL POE - AESR - ESR'!G577</f>
        <v>0</v>
      </c>
      <c r="MV14" s="57">
        <f>'REG y VAL POE - AESR - ESR'!H577</f>
        <v>0</v>
      </c>
      <c r="MW14" s="57">
        <f>'REG y VAL POE - AESR - ESR'!I577</f>
        <v>0</v>
      </c>
      <c r="MX14" s="57">
        <f>'REG y VAL POE - AESR - ESR'!J577</f>
        <v>0</v>
      </c>
      <c r="MY14" s="56">
        <f>'REG y VAL POE - AESR - ESR'!K577</f>
        <v>0</v>
      </c>
      <c r="MZ14" s="57">
        <f>'REG y VAL POE - AESR - ESR'!L577</f>
        <v>0</v>
      </c>
      <c r="NA14" s="57">
        <f>'REG y VAL POE - AESR - ESR'!M577</f>
        <v>0</v>
      </c>
      <c r="NB14" s="56">
        <f>'REG y VAL POE - AESR - ESR'!N577</f>
        <v>0</v>
      </c>
      <c r="NC14" s="57">
        <f>'REG y VAL POE - AESR - ESR'!O577</f>
        <v>0</v>
      </c>
      <c r="ND14" s="58">
        <f>'REG y VAL POE - AESR - ESR'!P577</f>
        <v>0</v>
      </c>
      <c r="NE14" s="56">
        <f>'REG y VAL POE - AESR - ESR'!Q577</f>
        <v>0</v>
      </c>
      <c r="NF14" s="57">
        <f>'REG y VAL POE - AESR - ESR'!R577</f>
        <v>0</v>
      </c>
      <c r="NG14" s="57">
        <f>'REG y VAL POE - AESR - ESR'!S577</f>
        <v>0</v>
      </c>
      <c r="NH14" s="57">
        <f>'REG y VAL POE - AESR - ESR'!T577</f>
        <v>0</v>
      </c>
      <c r="NI14" s="56">
        <f>'REG y VAL POE - AESR - ESR'!U577</f>
        <v>0</v>
      </c>
      <c r="NJ14" s="57">
        <f>'REG y VAL POE - AESR - ESR'!V577</f>
        <v>0</v>
      </c>
      <c r="NK14" s="57">
        <f>'REG y VAL POE - AESR - ESR'!W577</f>
        <v>0</v>
      </c>
      <c r="NL14" s="56">
        <f>'REG y VAL POE - AESR - ESR'!X577</f>
        <v>0</v>
      </c>
      <c r="NM14" s="57">
        <f>'REG y VAL POE - AESR - ESR'!Y577</f>
        <v>0</v>
      </c>
      <c r="NN14" s="58">
        <f>'REG y VAL POE - AESR - ESR'!Z577</f>
        <v>0</v>
      </c>
      <c r="NO14" s="56">
        <f>'REG y VAL POE - AESR - ESR'!AA577</f>
        <v>0</v>
      </c>
      <c r="NP14" s="57">
        <f>'REG y VAL POE - AESR - ESR'!AB577</f>
        <v>0</v>
      </c>
      <c r="NQ14" s="57">
        <f>'REG y VAL POE - AESR - ESR'!AC577</f>
        <v>0</v>
      </c>
      <c r="NR14" s="57">
        <f>'REG y VAL POE - AESR - ESR'!AD577</f>
        <v>0</v>
      </c>
      <c r="NS14" s="56">
        <f>'REG y VAL POE - AESR - ESR'!AE577</f>
        <v>0</v>
      </c>
      <c r="NT14" s="57">
        <f>'REG y VAL POE - AESR - ESR'!AF577</f>
        <v>0</v>
      </c>
      <c r="NU14" s="57">
        <f>'REG y VAL POE - AESR - ESR'!AG577</f>
        <v>0</v>
      </c>
      <c r="NV14" s="56">
        <f>'REG y VAL POE - AESR - ESR'!AH577</f>
        <v>0</v>
      </c>
      <c r="NW14" s="57">
        <f>'REG y VAL POE - AESR - ESR'!AI577</f>
        <v>0</v>
      </c>
      <c r="NX14" s="58">
        <f>'REG y VAL POE - AESR - ESR'!AJ577</f>
        <v>0</v>
      </c>
      <c r="NY14" s="56">
        <f>'REG y VAL POE - AESR - ESR'!AK577</f>
        <v>0</v>
      </c>
      <c r="NZ14" s="57">
        <f>'REG y VAL POE - AESR - ESR'!AL577</f>
        <v>0</v>
      </c>
      <c r="OA14" s="57">
        <f>'REG y VAL POE - AESR - ESR'!AM577</f>
        <v>0</v>
      </c>
      <c r="OB14" s="57">
        <f>'REG y VAL POE - AESR - ESR'!AN577</f>
        <v>0</v>
      </c>
      <c r="OC14" s="56">
        <f>'REG y VAL POE - AESR - ESR'!AO577</f>
        <v>0</v>
      </c>
      <c r="OD14" s="57">
        <f>'REG y VAL POE - AESR - ESR'!AP577</f>
        <v>0</v>
      </c>
      <c r="OE14" s="57">
        <f>'REG y VAL POE - AESR - ESR'!AQ577</f>
        <v>0</v>
      </c>
      <c r="OF14" s="58">
        <f>'REG y VAL POE - AESR - ESR'!AR577</f>
        <v>0</v>
      </c>
      <c r="OG14" s="58">
        <f>'REG y VAL POE - AESR - ESR'!AS577</f>
        <v>0</v>
      </c>
      <c r="OH14" s="58">
        <f>'REG y VAL POE - AESR - ESR'!B578</f>
        <v>0</v>
      </c>
      <c r="OI14" s="56">
        <f>'REG y VAL POE - AESR - ESR'!C578</f>
        <v>0</v>
      </c>
      <c r="OJ14" s="58">
        <f>'REG y VAL POE - AESR - ESR'!D578</f>
        <v>0</v>
      </c>
      <c r="OK14" s="58">
        <f>'REG y VAL POE - AESR - ESR'!E578</f>
        <v>0</v>
      </c>
      <c r="OL14" s="58">
        <f>'REG y VAL POE - AESR - ESR'!F578</f>
        <v>0</v>
      </c>
      <c r="OM14" s="58">
        <f>'REG y VAL POE - AESR - ESR'!G578</f>
        <v>0</v>
      </c>
      <c r="ON14" s="58">
        <f>'REG y VAL POE - AESR - ESR'!H578</f>
        <v>0</v>
      </c>
      <c r="OO14" s="58">
        <f>'REG y VAL POE - AESR - ESR'!I578</f>
        <v>0</v>
      </c>
      <c r="OP14" s="56">
        <f>'REG y VAL POE - AESR - ESR'!J578</f>
        <v>0</v>
      </c>
      <c r="OQ14" s="57">
        <f>'REG y VAL POE - AESR - ESR'!K578</f>
        <v>0</v>
      </c>
      <c r="OR14" s="58">
        <f>'REG y VAL POE - AESR - ESR'!L578</f>
        <v>0</v>
      </c>
      <c r="OS14" s="56">
        <f>'REG y VAL POE - AESR - ESR'!M578</f>
        <v>0</v>
      </c>
      <c r="OT14" s="57">
        <f>'REG y VAL POE - AESR - ESR'!N578</f>
        <v>0</v>
      </c>
      <c r="OU14" s="57">
        <f>'REG y VAL POE - AESR - ESR'!O578</f>
        <v>0</v>
      </c>
      <c r="OV14" s="57">
        <f>'REG y VAL POE - AESR - ESR'!P578</f>
        <v>0</v>
      </c>
      <c r="OW14" s="56">
        <f>'REG y VAL POE - AESR - ESR'!Q578</f>
        <v>0</v>
      </c>
      <c r="OX14" s="57">
        <f>'REG y VAL POE - AESR - ESR'!R578</f>
        <v>0</v>
      </c>
      <c r="OY14" s="57">
        <f>'REG y VAL POE - AESR - ESR'!S578</f>
        <v>0</v>
      </c>
      <c r="OZ14" s="56">
        <f>'REG y VAL POE - AESR - ESR'!T578</f>
        <v>0</v>
      </c>
      <c r="PA14" s="57">
        <f>'REG y VAL POE - AESR - ESR'!U578</f>
        <v>0</v>
      </c>
      <c r="PB14" s="58">
        <f>'REG y VAL POE - AESR - ESR'!V578</f>
        <v>0</v>
      </c>
      <c r="PC14" s="56">
        <f>'REG y VAL POE - AESR - ESR'!W578</f>
        <v>0</v>
      </c>
      <c r="PD14" s="57">
        <f>'REG y VAL POE - AESR - ESR'!X578</f>
        <v>0</v>
      </c>
      <c r="PE14" s="57">
        <f>'REG y VAL POE - AESR - ESR'!Y578</f>
        <v>0</v>
      </c>
      <c r="PF14" s="57">
        <f>'REG y VAL POE - AESR - ESR'!Z578</f>
        <v>0</v>
      </c>
      <c r="PG14" s="56">
        <f>'REG y VAL POE - AESR - ESR'!AA578</f>
        <v>0</v>
      </c>
      <c r="PH14" s="57">
        <f>'REG y VAL POE - AESR - ESR'!AB578</f>
        <v>0</v>
      </c>
      <c r="PI14" s="57">
        <f>'REG y VAL POE - AESR - ESR'!AC578</f>
        <v>0</v>
      </c>
      <c r="PJ14" s="56">
        <f>'REG y VAL POE - AESR - ESR'!AD578</f>
        <v>0</v>
      </c>
      <c r="PK14" s="57">
        <f>'REG y VAL POE - AESR - ESR'!AE578</f>
        <v>0</v>
      </c>
      <c r="PL14" s="58">
        <f>'REG y VAL POE - AESR - ESR'!AF578</f>
        <v>0</v>
      </c>
      <c r="PM14" s="56">
        <f>'REG y VAL POE - AESR - ESR'!AG578</f>
        <v>0</v>
      </c>
      <c r="PN14" s="57">
        <f>'REG y VAL POE - AESR - ESR'!AH578</f>
        <v>0</v>
      </c>
      <c r="PO14" s="57">
        <f>'REG y VAL POE - AESR - ESR'!AI578</f>
        <v>0</v>
      </c>
      <c r="PP14" s="57">
        <f>'REG y VAL POE - AESR - ESR'!AJ578</f>
        <v>0</v>
      </c>
      <c r="PQ14" s="56">
        <f>'REG y VAL POE - AESR - ESR'!AK578</f>
        <v>0</v>
      </c>
      <c r="PR14" s="57">
        <f>'REG y VAL POE - AESR - ESR'!AL578</f>
        <v>0</v>
      </c>
      <c r="PS14" s="57">
        <f>'REG y VAL POE - AESR - ESR'!AM578</f>
        <v>0</v>
      </c>
      <c r="PT14" s="56">
        <f>'REG y VAL POE - AESR - ESR'!AN578</f>
        <v>0</v>
      </c>
      <c r="PU14" s="57">
        <f>'REG y VAL POE - AESR - ESR'!AO578</f>
        <v>0</v>
      </c>
      <c r="PV14" s="58">
        <f>'REG y VAL POE - AESR - ESR'!AP578</f>
        <v>0</v>
      </c>
      <c r="PW14" s="56">
        <f>'REG y VAL POE - AESR - ESR'!AQ578</f>
        <v>0</v>
      </c>
      <c r="PX14" s="57">
        <f>'REG y VAL POE - AESR - ESR'!AR578</f>
        <v>0</v>
      </c>
      <c r="PY14" s="57">
        <f>'REG y VAL POE - AESR - ESR'!AS578</f>
        <v>0</v>
      </c>
      <c r="PZ14" s="57">
        <f>'REG y VAL POE - AESR - ESR'!B579</f>
        <v>0</v>
      </c>
      <c r="QA14" s="56">
        <f>'REG y VAL POE - AESR - ESR'!C579</f>
        <v>0</v>
      </c>
      <c r="QB14" s="57">
        <f>'REG y VAL POE - AESR - ESR'!D579</f>
        <v>0</v>
      </c>
      <c r="QC14" s="57">
        <f>'REG y VAL POE - AESR - ESR'!E579</f>
        <v>0</v>
      </c>
      <c r="QD14" s="56">
        <f>'REG y VAL POE - AESR - ESR'!F579</f>
        <v>0</v>
      </c>
      <c r="QE14" s="57">
        <f>'REG y VAL POE - AESR - ESR'!G579</f>
        <v>0</v>
      </c>
      <c r="QF14" s="58">
        <f>'REG y VAL POE - AESR - ESR'!H579</f>
        <v>0</v>
      </c>
      <c r="QG14" s="56">
        <f>'REG y VAL POE - AESR - ESR'!I579</f>
        <v>0</v>
      </c>
      <c r="QH14" s="57">
        <f>'REG y VAL POE - AESR - ESR'!J579</f>
        <v>0</v>
      </c>
      <c r="QI14" s="57">
        <f>'REG y VAL POE - AESR - ESR'!K579</f>
        <v>0</v>
      </c>
      <c r="QJ14" s="57">
        <f>'REG y VAL POE - AESR - ESR'!L579</f>
        <v>0</v>
      </c>
      <c r="QK14" s="56">
        <f>'REG y VAL POE - AESR - ESR'!M579</f>
        <v>0</v>
      </c>
      <c r="QL14" s="57">
        <f>'REG y VAL POE - AESR - ESR'!N579</f>
        <v>0</v>
      </c>
      <c r="QM14" s="57">
        <f>'REG y VAL POE - AESR - ESR'!O579</f>
        <v>0</v>
      </c>
      <c r="QN14" s="56">
        <f>'REG y VAL POE - AESR - ESR'!P579</f>
        <v>0</v>
      </c>
      <c r="QO14" s="57">
        <f>'REG y VAL POE - AESR - ESR'!Q579</f>
        <v>0</v>
      </c>
      <c r="QP14" s="58">
        <f>'REG y VAL POE - AESR - ESR'!R579</f>
        <v>0</v>
      </c>
      <c r="QQ14" s="56">
        <f>'REG y VAL POE - AESR - ESR'!S579</f>
        <v>0</v>
      </c>
      <c r="QR14" s="57">
        <f>'REG y VAL POE - AESR - ESR'!T579</f>
        <v>0</v>
      </c>
      <c r="QS14" s="57">
        <f>'REG y VAL POE - AESR - ESR'!U579</f>
        <v>0</v>
      </c>
      <c r="QT14" s="57">
        <f>'REG y VAL POE - AESR - ESR'!V579</f>
        <v>0</v>
      </c>
      <c r="QU14" s="56">
        <f>'REG y VAL POE - AESR - ESR'!W579</f>
        <v>0</v>
      </c>
      <c r="QV14" s="57">
        <f>'REG y VAL POE - AESR - ESR'!X579</f>
        <v>0</v>
      </c>
      <c r="QW14" s="57">
        <f>'REG y VAL POE - AESR - ESR'!Y579</f>
        <v>0</v>
      </c>
      <c r="QX14" s="56">
        <f>'REG y VAL POE - AESR - ESR'!Z579</f>
        <v>0</v>
      </c>
      <c r="QY14" s="57">
        <f>'REG y VAL POE - AESR - ESR'!AA579</f>
        <v>0</v>
      </c>
      <c r="QZ14" s="58">
        <f>'REG y VAL POE - AESR - ESR'!AB579</f>
        <v>0</v>
      </c>
      <c r="RA14" s="56">
        <f>'REG y VAL POE - AESR - ESR'!AC579</f>
        <v>0</v>
      </c>
      <c r="RB14" s="57">
        <f>'REG y VAL POE - AESR - ESR'!AD579</f>
        <v>0</v>
      </c>
      <c r="RC14" s="57">
        <f>'REG y VAL POE - AESR - ESR'!AE579</f>
        <v>0</v>
      </c>
      <c r="RD14" s="57">
        <f>'REG y VAL POE - AESR - ESR'!AF579</f>
        <v>0</v>
      </c>
      <c r="RE14" s="56">
        <f>'REG y VAL POE - AESR - ESR'!AG579</f>
        <v>0</v>
      </c>
      <c r="RF14" s="57">
        <f>'REG y VAL POE - AESR - ESR'!AH579</f>
        <v>0</v>
      </c>
      <c r="RG14" s="57">
        <f>'REG y VAL POE - AESR - ESR'!AI579</f>
        <v>0</v>
      </c>
      <c r="RH14" s="56">
        <f>'REG y VAL POE - AESR - ESR'!AJ579</f>
        <v>0</v>
      </c>
      <c r="RI14" s="57">
        <f>'REG y VAL POE - AESR - ESR'!AK579</f>
        <v>0</v>
      </c>
      <c r="RJ14" s="58">
        <f>'REG y VAL POE - AESR - ESR'!AL579</f>
        <v>0</v>
      </c>
      <c r="RK14" s="56">
        <f>'REG y VAL POE - AESR - ESR'!AM579</f>
        <v>0</v>
      </c>
      <c r="RL14" s="57">
        <f>'REG y VAL POE - AESR - ESR'!AN579</f>
        <v>0</v>
      </c>
      <c r="RM14" s="57">
        <f>'REG y VAL POE - AESR - ESR'!AO579</f>
        <v>0</v>
      </c>
      <c r="RN14" s="57">
        <f>'REG y VAL POE - AESR - ESR'!AP579</f>
        <v>0</v>
      </c>
      <c r="RO14" s="56">
        <f>'REG y VAL POE - AESR - ESR'!AQ579</f>
        <v>0</v>
      </c>
      <c r="RP14" s="57">
        <f>'REG y VAL POE - AESR - ESR'!AR579</f>
        <v>0</v>
      </c>
      <c r="RQ14" s="57">
        <f>'REG y VAL POE - AESR - ESR'!AS579</f>
        <v>0</v>
      </c>
      <c r="RR14" s="56">
        <f>'REG y VAL POE - AESR - ESR'!B580</f>
        <v>0</v>
      </c>
      <c r="RS14" s="57">
        <f>'REG y VAL POE - AESR - ESR'!C580</f>
        <v>0</v>
      </c>
      <c r="RT14" s="58">
        <f>'REG y VAL POE - AESR - ESR'!D580</f>
        <v>0</v>
      </c>
      <c r="RU14" s="56">
        <f>'REG y VAL POE - AESR - ESR'!E580</f>
        <v>0</v>
      </c>
      <c r="RV14" s="57">
        <f>'REG y VAL POE - AESR - ESR'!F580</f>
        <v>0</v>
      </c>
      <c r="RW14" s="57">
        <f>'REG y VAL POE - AESR - ESR'!G580</f>
        <v>0</v>
      </c>
      <c r="RX14" s="57">
        <f>'REG y VAL POE - AESR - ESR'!H580</f>
        <v>0</v>
      </c>
      <c r="RY14" s="56">
        <f>'REG y VAL POE - AESR - ESR'!I580</f>
        <v>0</v>
      </c>
      <c r="RZ14" s="57">
        <f>'REG y VAL POE - AESR - ESR'!J580</f>
        <v>0</v>
      </c>
      <c r="SA14" s="57">
        <f>'REG y VAL POE - AESR - ESR'!K580</f>
        <v>0</v>
      </c>
      <c r="SB14" s="56">
        <f>'REG y VAL POE - AESR - ESR'!L580</f>
        <v>0</v>
      </c>
      <c r="SC14" s="57">
        <f>'REG y VAL POE - AESR - ESR'!M580</f>
        <v>0</v>
      </c>
      <c r="SD14" s="58">
        <f>'REG y VAL POE - AESR - ESR'!N580</f>
        <v>0</v>
      </c>
      <c r="SE14" s="56">
        <f>'REG y VAL POE - AESR - ESR'!O580</f>
        <v>0</v>
      </c>
      <c r="SF14" s="57">
        <f>'REG y VAL POE - AESR - ESR'!P580</f>
        <v>0</v>
      </c>
      <c r="SG14" s="57">
        <f>'REG y VAL POE - AESR - ESR'!Q580</f>
        <v>0</v>
      </c>
      <c r="SH14" s="57">
        <f>'REG y VAL POE - AESR - ESR'!R580</f>
        <v>0</v>
      </c>
      <c r="SI14" s="56">
        <f>'REG y VAL POE - AESR - ESR'!S580</f>
        <v>0</v>
      </c>
      <c r="SJ14" s="57">
        <f>'REG y VAL POE - AESR - ESR'!T580</f>
        <v>0</v>
      </c>
      <c r="SK14" s="57">
        <f>'REG y VAL POE - AESR - ESR'!U580</f>
        <v>0</v>
      </c>
      <c r="SL14" s="56">
        <f>'REG y VAL POE - AESR - ESR'!V580</f>
        <v>0</v>
      </c>
      <c r="SM14" s="57">
        <f>'REG y VAL POE - AESR - ESR'!W580</f>
        <v>0</v>
      </c>
      <c r="SN14" s="58">
        <f>'REG y VAL POE - AESR - ESR'!X580</f>
        <v>0</v>
      </c>
      <c r="SO14" s="56">
        <f>'REG y VAL POE - AESR - ESR'!Y580</f>
        <v>0</v>
      </c>
      <c r="SP14" s="57">
        <f>'REG y VAL POE - AESR - ESR'!Z580</f>
        <v>0</v>
      </c>
      <c r="SQ14" s="57">
        <f>'REG y VAL POE - AESR - ESR'!AA580</f>
        <v>0</v>
      </c>
      <c r="SR14" s="57">
        <f>'REG y VAL POE - AESR - ESR'!AB580</f>
        <v>0</v>
      </c>
      <c r="SS14" s="56">
        <f>'REG y VAL POE - AESR - ESR'!AC580</f>
        <v>0</v>
      </c>
      <c r="ST14" s="57">
        <f>'REG y VAL POE - AESR - ESR'!AD580</f>
        <v>0</v>
      </c>
      <c r="SU14" s="57">
        <f>'REG y VAL POE - AESR - ESR'!AE580</f>
        <v>0</v>
      </c>
      <c r="SV14" s="56">
        <f>'REG y VAL POE - AESR - ESR'!AF580</f>
        <v>0</v>
      </c>
      <c r="SW14" s="57">
        <f>'REG y VAL POE - AESR - ESR'!AG580</f>
        <v>0</v>
      </c>
      <c r="SX14" s="58">
        <f>'REG y VAL POE - AESR - ESR'!AH580</f>
        <v>0</v>
      </c>
      <c r="SY14" s="56">
        <f>'REG y VAL POE - AESR - ESR'!AI580</f>
        <v>0</v>
      </c>
      <c r="SZ14" s="57">
        <f>'REG y VAL POE - AESR - ESR'!AJ580</f>
        <v>0</v>
      </c>
      <c r="TA14" s="57">
        <f>'REG y VAL POE - AESR - ESR'!AK580</f>
        <v>0</v>
      </c>
      <c r="TB14" s="57">
        <f>'REG y VAL POE - AESR - ESR'!AL580</f>
        <v>0</v>
      </c>
      <c r="TC14" s="56">
        <f>'REG y VAL POE - AESR - ESR'!AM580</f>
        <v>0</v>
      </c>
      <c r="TD14" s="57">
        <f>'REG y VAL POE - AESR - ESR'!AN580</f>
        <v>0</v>
      </c>
      <c r="TE14" s="57">
        <f>'REG y VAL POE - AESR - ESR'!AO580</f>
        <v>0</v>
      </c>
      <c r="TF14" s="56">
        <f>'REG y VAL POE - AESR - ESR'!AP580</f>
        <v>0</v>
      </c>
      <c r="TG14" s="57">
        <f>'REG y VAL POE - AESR - ESR'!AQ580</f>
        <v>0</v>
      </c>
      <c r="TH14" s="58">
        <f>'REG y VAL POE - AESR - ESR'!AR580</f>
        <v>0</v>
      </c>
      <c r="TI14" s="56">
        <f>'REG y VAL POE - AESR - ESR'!AS580</f>
        <v>0</v>
      </c>
      <c r="TJ14" s="57">
        <f>'REG y VAL POE - AESR - ESR'!B581</f>
        <v>0</v>
      </c>
      <c r="TK14" s="57">
        <f>'REG y VAL POE - AESR - ESR'!C581</f>
        <v>0</v>
      </c>
      <c r="TL14" s="57">
        <f>'REG y VAL POE - AESR - ESR'!D581</f>
        <v>0</v>
      </c>
      <c r="TM14" s="56">
        <f>'REG y VAL POE - AESR - ESR'!E581</f>
        <v>0</v>
      </c>
      <c r="TN14" s="57">
        <f>'REG y VAL POE - AESR - ESR'!F581</f>
        <v>0</v>
      </c>
      <c r="TO14" s="57">
        <f>'REG y VAL POE - AESR - ESR'!G581</f>
        <v>0</v>
      </c>
      <c r="TP14" s="56">
        <f>'REG y VAL POE - AESR - ESR'!H581</f>
        <v>0</v>
      </c>
      <c r="TQ14" s="57">
        <f>'REG y VAL POE - AESR - ESR'!I581</f>
        <v>0</v>
      </c>
      <c r="TR14" s="58">
        <f>'REG y VAL POE - AESR - ESR'!J581</f>
        <v>0</v>
      </c>
      <c r="TS14" s="56">
        <f>'REG y VAL POE - AESR - ESR'!K581</f>
        <v>0</v>
      </c>
      <c r="TT14" s="57">
        <f>'REG y VAL POE - AESR - ESR'!L581</f>
        <v>0</v>
      </c>
      <c r="TU14" s="57">
        <f>'REG y VAL POE - AESR - ESR'!M581</f>
        <v>0</v>
      </c>
      <c r="TV14" s="57">
        <f>'REG y VAL POE - AESR - ESR'!N581</f>
        <v>0</v>
      </c>
      <c r="TW14" s="56">
        <f>'REG y VAL POE - AESR - ESR'!O581</f>
        <v>0</v>
      </c>
      <c r="TX14" s="57">
        <f>'REG y VAL POE - AESR - ESR'!P581</f>
        <v>0</v>
      </c>
      <c r="TY14" s="57">
        <f>'REG y VAL POE - AESR - ESR'!Q581</f>
        <v>0</v>
      </c>
      <c r="TZ14" s="56">
        <f>'REG y VAL POE - AESR - ESR'!R581</f>
        <v>0</v>
      </c>
      <c r="UA14" s="57">
        <f>'REG y VAL POE - AESR - ESR'!S581</f>
        <v>0</v>
      </c>
      <c r="UB14" s="58">
        <f>'REG y VAL POE - AESR - ESR'!T581</f>
        <v>0</v>
      </c>
      <c r="UC14" s="56">
        <f>'REG y VAL POE - AESR - ESR'!U581</f>
        <v>0</v>
      </c>
      <c r="UD14" s="57">
        <f>'REG y VAL POE - AESR - ESR'!V581</f>
        <v>0</v>
      </c>
      <c r="UE14" s="57">
        <f>'REG y VAL POE - AESR - ESR'!W581</f>
        <v>0</v>
      </c>
      <c r="UF14" s="57">
        <f>'REG y VAL POE - AESR - ESR'!X581</f>
        <v>0</v>
      </c>
      <c r="UG14" s="56">
        <f>'REG y VAL POE - AESR - ESR'!Y581</f>
        <v>0</v>
      </c>
      <c r="UH14" s="57">
        <f>'REG y VAL POE - AESR - ESR'!Z581</f>
        <v>0</v>
      </c>
      <c r="UI14" s="57">
        <f>'REG y VAL POE - AESR - ESR'!AA581</f>
        <v>0</v>
      </c>
      <c r="UJ14" s="56">
        <f>'REG y VAL POE - AESR - ESR'!AB581</f>
        <v>0</v>
      </c>
      <c r="UK14" s="57">
        <f>'REG y VAL POE - AESR - ESR'!AC581</f>
        <v>0</v>
      </c>
      <c r="UL14" s="58">
        <f>'REG y VAL POE - AESR - ESR'!AD581</f>
        <v>0</v>
      </c>
      <c r="UM14" s="56">
        <f>'REG y VAL POE - AESR - ESR'!AE581</f>
        <v>0</v>
      </c>
      <c r="UN14" s="57">
        <f>'REG y VAL POE - AESR - ESR'!AF581</f>
        <v>0</v>
      </c>
      <c r="UO14" s="57">
        <f>'REG y VAL POE - AESR - ESR'!AG581</f>
        <v>0</v>
      </c>
      <c r="UP14" s="57">
        <f>'REG y VAL POE - AESR - ESR'!AH581</f>
        <v>0</v>
      </c>
      <c r="UQ14" s="56">
        <f>'REG y VAL POE - AESR - ESR'!AI581</f>
        <v>0</v>
      </c>
      <c r="UR14" s="57">
        <f>'REG y VAL POE - AESR - ESR'!AJ581</f>
        <v>0</v>
      </c>
      <c r="US14" s="57">
        <f>'REG y VAL POE - AESR - ESR'!AK581</f>
        <v>0</v>
      </c>
      <c r="UT14" s="56">
        <f>'REG y VAL POE - AESR - ESR'!AL581</f>
        <v>0</v>
      </c>
      <c r="UU14" s="57">
        <f>'REG y VAL POE - AESR - ESR'!AM581</f>
        <v>0</v>
      </c>
      <c r="UV14" s="58">
        <f>'REG y VAL POE - AESR - ESR'!AN581</f>
        <v>0</v>
      </c>
      <c r="UW14" s="56">
        <f>'REG y VAL POE - AESR - ESR'!AO581</f>
        <v>0</v>
      </c>
      <c r="UX14" s="57">
        <f>'REG y VAL POE - AESR - ESR'!AP581</f>
        <v>0</v>
      </c>
      <c r="UY14" s="57">
        <f>'REG y VAL POE - AESR - ESR'!AQ581</f>
        <v>0</v>
      </c>
      <c r="UZ14" s="57">
        <f>'REG y VAL POE - AESR - ESR'!AR581</f>
        <v>0</v>
      </c>
      <c r="VA14" s="56">
        <f>'REG y VAL POE - AESR - ESR'!AS581</f>
        <v>0</v>
      </c>
      <c r="VB14" s="57">
        <f>'REG y VAL POE - AESR - ESR'!B582</f>
        <v>0</v>
      </c>
      <c r="VC14" s="57">
        <f>'REG y VAL POE - AESR - ESR'!C582</f>
        <v>0</v>
      </c>
      <c r="VD14" s="56">
        <f>'REG y VAL POE - AESR - ESR'!D582</f>
        <v>0</v>
      </c>
      <c r="VE14" s="57">
        <f>'REG y VAL POE - AESR - ESR'!E582</f>
        <v>0</v>
      </c>
      <c r="VF14" s="58">
        <f>'REG y VAL POE - AESR - ESR'!F582</f>
        <v>0</v>
      </c>
      <c r="VG14" s="56">
        <f>'REG y VAL POE - AESR - ESR'!G582</f>
        <v>0</v>
      </c>
      <c r="VH14" s="57">
        <f>'REG y VAL POE - AESR - ESR'!H582</f>
        <v>0</v>
      </c>
      <c r="VI14" s="57">
        <f>'REG y VAL POE - AESR - ESR'!I582</f>
        <v>0</v>
      </c>
      <c r="VJ14" s="57">
        <f>'REG y VAL POE - AESR - ESR'!J582</f>
        <v>0</v>
      </c>
      <c r="VK14" s="56">
        <f>'REG y VAL POE - AESR - ESR'!K582</f>
        <v>0</v>
      </c>
      <c r="VL14" s="57">
        <f>'REG y VAL POE - AESR - ESR'!L582</f>
        <v>0</v>
      </c>
      <c r="VM14" s="57">
        <f>'REG y VAL POE - AESR - ESR'!M582</f>
        <v>0</v>
      </c>
      <c r="VN14" s="56">
        <f>'REG y VAL POE - AESR - ESR'!N582</f>
        <v>0</v>
      </c>
      <c r="VO14" s="57">
        <f>'REG y VAL POE - AESR - ESR'!O582</f>
        <v>0</v>
      </c>
      <c r="VP14" s="58">
        <f>'REG y VAL POE - AESR - ESR'!P582</f>
        <v>0</v>
      </c>
      <c r="VQ14" s="56">
        <f>'REG y VAL POE - AESR - ESR'!Q582</f>
        <v>0</v>
      </c>
      <c r="VR14" s="57">
        <f>'REG y VAL POE - AESR - ESR'!R582</f>
        <v>0</v>
      </c>
      <c r="VS14" s="57">
        <f>'REG y VAL POE - AESR - ESR'!S582</f>
        <v>0</v>
      </c>
      <c r="VT14" s="57">
        <f>'REG y VAL POE - AESR - ESR'!T582</f>
        <v>0</v>
      </c>
      <c r="VU14" s="56">
        <f>'REG y VAL POE - AESR - ESR'!U582</f>
        <v>0</v>
      </c>
      <c r="VV14" s="57">
        <f>'REG y VAL POE - AESR - ESR'!V582</f>
        <v>0</v>
      </c>
      <c r="VW14" s="57">
        <f>'REG y VAL POE - AESR - ESR'!W582</f>
        <v>0</v>
      </c>
      <c r="VX14" s="56">
        <f>'REG y VAL POE - AESR - ESR'!X582</f>
        <v>0</v>
      </c>
      <c r="VY14" s="57">
        <f>'REG y VAL POE - AESR - ESR'!Y582</f>
        <v>0</v>
      </c>
      <c r="VZ14" s="58">
        <f>'REG y VAL POE - AESR - ESR'!Z582</f>
        <v>0</v>
      </c>
      <c r="WA14" s="56">
        <f>'REG y VAL POE - AESR - ESR'!AA582</f>
        <v>0</v>
      </c>
      <c r="WB14" s="57">
        <f>'REG y VAL POE - AESR - ESR'!AB582</f>
        <v>0</v>
      </c>
      <c r="WC14" s="57">
        <f>'REG y VAL POE - AESR - ESR'!AC582</f>
        <v>0</v>
      </c>
      <c r="WD14" s="57">
        <f>'REG y VAL POE - AESR - ESR'!AD582</f>
        <v>0</v>
      </c>
      <c r="WE14" s="56">
        <f>'REG y VAL POE - AESR - ESR'!AE582</f>
        <v>0</v>
      </c>
      <c r="WF14" s="57">
        <f>'REG y VAL POE - AESR - ESR'!AF582</f>
        <v>0</v>
      </c>
      <c r="WG14" s="57">
        <f>'REG y VAL POE - AESR - ESR'!AG582</f>
        <v>0</v>
      </c>
      <c r="WH14" s="56">
        <f>'REG y VAL POE - AESR - ESR'!AH582</f>
        <v>0</v>
      </c>
      <c r="WI14" s="57">
        <f>'REG y VAL POE - AESR - ESR'!AI582</f>
        <v>0</v>
      </c>
      <c r="WJ14" s="58">
        <f>'REG y VAL POE - AESR - ESR'!AJ582</f>
        <v>0</v>
      </c>
      <c r="WK14" s="56">
        <f>'REG y VAL POE - AESR - ESR'!AK582</f>
        <v>0</v>
      </c>
      <c r="WL14" s="57">
        <f>'REG y VAL POE - AESR - ESR'!AL582</f>
        <v>0</v>
      </c>
      <c r="WM14" s="57">
        <f>'REG y VAL POE - AESR - ESR'!AM582</f>
        <v>0</v>
      </c>
      <c r="WN14" s="57">
        <f>'REG y VAL POE - AESR - ESR'!AN582</f>
        <v>0</v>
      </c>
      <c r="WO14" s="56">
        <f>'REG y VAL POE - AESR - ESR'!AO582</f>
        <v>0</v>
      </c>
      <c r="WP14" s="57">
        <f>'REG y VAL POE - AESR - ESR'!AP582</f>
        <v>0</v>
      </c>
      <c r="WQ14" s="57">
        <f>'REG y VAL POE - AESR - ESR'!AQ582</f>
        <v>0</v>
      </c>
      <c r="WR14" s="56">
        <f>'REG y VAL POE - AESR - ESR'!AR582</f>
        <v>0</v>
      </c>
      <c r="WS14" s="57">
        <f>'REG y VAL POE - AESR - ESR'!AS582</f>
        <v>0</v>
      </c>
      <c r="WT14" s="58">
        <f>'REG y VAL POE - AESR - ESR'!B583</f>
        <v>0</v>
      </c>
      <c r="WU14" s="56">
        <f>'REG y VAL POE - AESR - ESR'!C583</f>
        <v>0</v>
      </c>
      <c r="WV14" s="57">
        <f>'REG y VAL POE - AESR - ESR'!D583</f>
        <v>0</v>
      </c>
      <c r="WW14" s="57">
        <f>'REG y VAL POE - AESR - ESR'!E583</f>
        <v>0</v>
      </c>
      <c r="WX14" s="57">
        <f>'REG y VAL POE - AESR - ESR'!F583</f>
        <v>0</v>
      </c>
      <c r="WY14" s="56">
        <f>'REG y VAL POE - AESR - ESR'!G583</f>
        <v>0</v>
      </c>
      <c r="WZ14" s="57">
        <f>'REG y VAL POE - AESR - ESR'!H583</f>
        <v>0</v>
      </c>
      <c r="XA14" s="57">
        <f>'REG y VAL POE - AESR - ESR'!I583</f>
        <v>0</v>
      </c>
      <c r="XB14" s="56">
        <f>'REG y VAL POE - AESR - ESR'!J583</f>
        <v>0</v>
      </c>
      <c r="XC14" s="57">
        <f>'REG y VAL POE - AESR - ESR'!K583</f>
        <v>0</v>
      </c>
      <c r="XD14" s="58">
        <f>'REG y VAL POE - AESR - ESR'!L583</f>
        <v>0</v>
      </c>
      <c r="XE14" s="56">
        <f>'REG y VAL POE - AESR - ESR'!M583</f>
        <v>0</v>
      </c>
      <c r="XF14" s="57">
        <f>'REG y VAL POE - AESR - ESR'!N583</f>
        <v>0</v>
      </c>
      <c r="XG14" s="57">
        <f>'REG y VAL POE - AESR - ESR'!O583</f>
        <v>0</v>
      </c>
      <c r="XH14" s="57">
        <f>'REG y VAL POE - AESR - ESR'!P583</f>
        <v>0</v>
      </c>
      <c r="XI14" s="56">
        <f>'REG y VAL POE - AESR - ESR'!Q583</f>
        <v>0</v>
      </c>
      <c r="XJ14" s="57">
        <f>'REG y VAL POE - AESR - ESR'!R583</f>
        <v>0</v>
      </c>
      <c r="XK14" s="57">
        <f>'REG y VAL POE - AESR - ESR'!S583</f>
        <v>0</v>
      </c>
      <c r="XL14" s="56">
        <f>'REG y VAL POE - AESR - ESR'!T583</f>
        <v>0</v>
      </c>
      <c r="XM14" s="57">
        <f>'REG y VAL POE - AESR - ESR'!U583</f>
        <v>0</v>
      </c>
      <c r="XN14" s="58">
        <f>'REG y VAL POE - AESR - ESR'!V583</f>
        <v>0</v>
      </c>
      <c r="XO14" s="56">
        <f>'REG y VAL POE - AESR - ESR'!W583</f>
        <v>0</v>
      </c>
      <c r="XP14" s="57">
        <f>'REG y VAL POE - AESR - ESR'!X583</f>
        <v>0</v>
      </c>
      <c r="XQ14" s="57">
        <f>'REG y VAL POE - AESR - ESR'!Y583</f>
        <v>0</v>
      </c>
      <c r="XR14" s="57">
        <f>'REG y VAL POE - AESR - ESR'!Z583</f>
        <v>0</v>
      </c>
      <c r="XS14" s="56">
        <f>'REG y VAL POE - AESR - ESR'!AA583</f>
        <v>0</v>
      </c>
      <c r="XT14" s="57">
        <f>'REG y VAL POE - AESR - ESR'!AB583</f>
        <v>0</v>
      </c>
      <c r="XU14" s="57">
        <f>'REG y VAL POE - AESR - ESR'!AC583</f>
        <v>0</v>
      </c>
      <c r="XV14" s="56">
        <f>'REG y VAL POE - AESR - ESR'!AD583</f>
        <v>0</v>
      </c>
      <c r="XW14" s="57">
        <f>'REG y VAL POE - AESR - ESR'!AE583</f>
        <v>0</v>
      </c>
      <c r="XX14" s="58">
        <f>'REG y VAL POE - AESR - ESR'!AF583</f>
        <v>0</v>
      </c>
      <c r="XY14" s="56">
        <f>'REG y VAL POE - AESR - ESR'!AG583</f>
        <v>0</v>
      </c>
      <c r="XZ14" s="57">
        <f>'REG y VAL POE - AESR - ESR'!AH583</f>
        <v>0</v>
      </c>
      <c r="YA14" s="57">
        <f>'REG y VAL POE - AESR - ESR'!AI583</f>
        <v>0</v>
      </c>
      <c r="YB14" s="57">
        <f>'REG y VAL POE - AESR - ESR'!AJ583</f>
        <v>0</v>
      </c>
      <c r="YC14" s="56">
        <f>'REG y VAL POE - AESR - ESR'!AK583</f>
        <v>0</v>
      </c>
      <c r="YD14" s="57">
        <f>'REG y VAL POE - AESR - ESR'!AL583</f>
        <v>0</v>
      </c>
      <c r="YE14" s="57">
        <f>'REG y VAL POE - AESR - ESR'!AM583</f>
        <v>0</v>
      </c>
      <c r="YF14" s="56">
        <f>'REG y VAL POE - AESR - ESR'!AN583</f>
        <v>0</v>
      </c>
      <c r="YG14" s="57">
        <f>'REG y VAL POE - AESR - ESR'!AO583</f>
        <v>0</v>
      </c>
      <c r="YH14" s="58">
        <f>'REG y VAL POE - AESR - ESR'!AP583</f>
        <v>0</v>
      </c>
      <c r="YI14" s="56">
        <f>'REG y VAL POE - AESR - ESR'!AQ583</f>
        <v>0</v>
      </c>
      <c r="YJ14" s="57">
        <f>'REG y VAL POE - AESR - ESR'!AR583</f>
        <v>0</v>
      </c>
      <c r="YK14" s="57">
        <f>'REG y VAL POE - AESR - ESR'!AS583</f>
        <v>0</v>
      </c>
      <c r="YL14" s="57"/>
      <c r="YM14" s="56"/>
      <c r="YN14" s="57"/>
      <c r="YO14" s="57"/>
      <c r="YP14" s="56"/>
      <c r="YQ14" s="57"/>
      <c r="YR14" s="58"/>
      <c r="YS14" s="56"/>
      <c r="YT14" s="57"/>
      <c r="YU14" s="57"/>
      <c r="YV14" s="57"/>
      <c r="YW14" s="56"/>
      <c r="YX14" s="57"/>
      <c r="YY14" s="57"/>
      <c r="YZ14" s="56"/>
      <c r="ZA14" s="57"/>
      <c r="ZB14" s="58"/>
      <c r="ZC14" s="56"/>
      <c r="ZD14" s="57"/>
      <c r="ZE14" s="57"/>
      <c r="ZF14" s="57"/>
      <c r="ZG14" s="56"/>
      <c r="ZH14" s="57"/>
      <c r="ZI14" s="57"/>
      <c r="ZJ14" s="56"/>
      <c r="ZK14" s="57"/>
      <c r="ZL14" s="58"/>
      <c r="ZM14" s="56"/>
      <c r="ZN14" s="57"/>
      <c r="ZO14" s="57"/>
      <c r="ZP14" s="57"/>
      <c r="ZQ14" s="56"/>
      <c r="ZR14" s="57"/>
      <c r="ZS14" s="57"/>
      <c r="ZT14" s="56"/>
      <c r="ZU14" s="57"/>
      <c r="ZV14" s="58"/>
      <c r="ZW14" s="56"/>
      <c r="ZX14" s="57"/>
      <c r="ZY14" s="57"/>
      <c r="ZZ14" s="57"/>
      <c r="AAA14" s="56"/>
      <c r="AAB14" s="57"/>
      <c r="AAC14" s="57"/>
      <c r="AAD14" s="56"/>
      <c r="AAE14" s="57"/>
      <c r="AAF14" s="58"/>
      <c r="AAG14" s="56"/>
      <c r="AAH14" s="57"/>
      <c r="AAI14" s="57"/>
      <c r="AAJ14" s="57"/>
      <c r="AAK14" s="56"/>
      <c r="AAL14" s="57"/>
      <c r="AAM14" s="57"/>
      <c r="AAN14" s="56"/>
      <c r="AAO14" s="57"/>
      <c r="AAP14" s="58"/>
      <c r="AAQ14" s="56"/>
      <c r="AAR14" s="57"/>
      <c r="AAS14" s="57"/>
      <c r="AAT14" s="57"/>
      <c r="AAU14" s="56"/>
      <c r="AAV14" s="57"/>
      <c r="AAW14" s="57"/>
      <c r="AAX14" s="58"/>
      <c r="AAY14" s="58"/>
      <c r="AAZ14" s="58"/>
      <c r="ABA14" s="56"/>
      <c r="ABB14" s="58"/>
      <c r="ABC14" s="58"/>
      <c r="ABD14" s="58"/>
      <c r="ABE14" s="58"/>
      <c r="ABF14" s="58"/>
      <c r="ABG14" s="57"/>
      <c r="ABH14" s="56"/>
      <c r="ABI14" s="57"/>
      <c r="ABJ14" s="58"/>
      <c r="ABK14" s="56"/>
      <c r="ABL14" s="57"/>
      <c r="ABM14" s="57"/>
      <c r="ABN14" s="57"/>
      <c r="ABO14" s="56"/>
      <c r="ABP14" s="57"/>
      <c r="ABQ14" s="57"/>
      <c r="ABR14" s="56"/>
      <c r="ABS14" s="57"/>
      <c r="ABT14" s="58"/>
      <c r="ABU14" s="56"/>
      <c r="ABV14" s="57"/>
      <c r="ABW14" s="57"/>
      <c r="ABX14" s="57"/>
      <c r="ABY14" s="56"/>
      <c r="ABZ14" s="57"/>
      <c r="ACA14" s="57"/>
      <c r="ACB14" s="56"/>
      <c r="ACC14" s="57"/>
      <c r="ACD14" s="58"/>
      <c r="ACE14" s="56"/>
      <c r="ACF14" s="57"/>
      <c r="ACG14" s="57"/>
      <c r="ACH14" s="57"/>
      <c r="ACI14" s="56"/>
      <c r="ACJ14" s="57"/>
      <c r="ACK14" s="57"/>
      <c r="ACL14" s="56"/>
      <c r="ACM14" s="57"/>
      <c r="ACN14" s="58"/>
      <c r="ACO14" s="56"/>
      <c r="ACP14" s="57"/>
      <c r="ACQ14" s="57"/>
      <c r="ACR14" s="57"/>
      <c r="ACS14" s="56"/>
      <c r="ACT14" s="57"/>
      <c r="ACU14" s="57"/>
      <c r="ACV14" s="56"/>
      <c r="ACW14" s="57"/>
      <c r="ACX14" s="58"/>
      <c r="ACY14" s="56"/>
      <c r="ACZ14" s="57"/>
      <c r="ADA14" s="57"/>
      <c r="ADB14" s="57"/>
      <c r="ADC14" s="56"/>
      <c r="ADD14" s="57"/>
      <c r="ADE14" s="57"/>
      <c r="ADF14" s="56"/>
      <c r="ADG14" s="57"/>
      <c r="ADH14" s="58"/>
      <c r="ADI14" s="56"/>
      <c r="ADJ14" s="57"/>
      <c r="ADK14" s="57"/>
      <c r="ADL14" s="57"/>
      <c r="ADM14" s="56"/>
      <c r="ADN14" s="57"/>
      <c r="ADO14" s="57"/>
      <c r="ADP14" s="56"/>
      <c r="ADQ14" s="57"/>
      <c r="ADR14" s="58"/>
      <c r="ADS14" s="56"/>
      <c r="ADT14" s="57"/>
      <c r="ADU14" s="57"/>
      <c r="ADV14" s="57"/>
      <c r="ADW14" s="56"/>
      <c r="ADX14" s="57"/>
      <c r="ADY14" s="57"/>
      <c r="ADZ14" s="56"/>
      <c r="AEA14" s="57"/>
      <c r="AEB14" s="58"/>
      <c r="AEC14" s="56"/>
      <c r="AED14" s="57"/>
      <c r="AEE14" s="57"/>
      <c r="AEF14" s="57"/>
      <c r="AEG14" s="56"/>
      <c r="AEH14" s="57"/>
      <c r="AEI14" s="57"/>
      <c r="AEJ14" s="56"/>
      <c r="AEK14" s="57"/>
      <c r="AEL14" s="58"/>
      <c r="AEM14" s="56"/>
      <c r="AEN14" s="57"/>
      <c r="AEO14" s="57"/>
      <c r="AEP14" s="57"/>
      <c r="AEQ14" s="56"/>
      <c r="AER14" s="57"/>
      <c r="AES14" s="57"/>
      <c r="AET14" s="56"/>
      <c r="AEU14" s="57"/>
      <c r="AEV14" s="58"/>
      <c r="AEW14" s="56"/>
      <c r="AEX14" s="57"/>
      <c r="AEY14" s="57"/>
      <c r="AEZ14" s="57"/>
      <c r="AFA14" s="56"/>
      <c r="AFB14" s="57"/>
      <c r="AFC14" s="57"/>
      <c r="AFD14" s="56"/>
      <c r="AFE14" s="57"/>
      <c r="AFF14" s="58"/>
      <c r="AFG14" s="56"/>
      <c r="AFH14" s="57"/>
      <c r="AFI14" s="57"/>
      <c r="AFJ14" s="57"/>
      <c r="AFK14" s="56"/>
      <c r="AFL14" s="57"/>
      <c r="AFM14" s="57"/>
      <c r="AFN14" s="56"/>
      <c r="AFO14" s="57"/>
      <c r="AFP14" s="58"/>
      <c r="AFQ14" s="56"/>
      <c r="AFR14" s="57"/>
      <c r="AFS14" s="57"/>
      <c r="AFT14" s="57"/>
      <c r="AFU14" s="56"/>
      <c r="AFV14" s="57"/>
      <c r="AFW14" s="57"/>
      <c r="AFX14" s="56"/>
      <c r="AFY14" s="57"/>
      <c r="AFZ14" s="58"/>
      <c r="AGA14" s="56"/>
      <c r="AGB14" s="57"/>
      <c r="AGC14" s="57"/>
      <c r="AGD14" s="57"/>
      <c r="AGE14" s="56"/>
      <c r="AGF14" s="57"/>
      <c r="AGG14" s="57"/>
      <c r="AGH14" s="56"/>
      <c r="AGI14" s="57"/>
      <c r="AGJ14" s="58"/>
      <c r="AGK14" s="56"/>
      <c r="AGL14" s="57"/>
      <c r="AGM14" s="57"/>
      <c r="AGN14" s="57"/>
      <c r="AGO14" s="56"/>
      <c r="AGP14" s="57"/>
      <c r="AGQ14" s="57"/>
      <c r="AGR14" s="56"/>
      <c r="AGS14" s="57"/>
      <c r="AGT14" s="58"/>
      <c r="AGU14" s="56"/>
      <c r="AGV14" s="57"/>
      <c r="AGW14" s="57"/>
      <c r="AGX14" s="57"/>
      <c r="AGY14" s="56"/>
      <c r="AGZ14" s="57"/>
      <c r="AHA14" s="57"/>
      <c r="AHB14" s="56"/>
      <c r="AHC14" s="57"/>
      <c r="AHD14" s="58"/>
      <c r="AHE14" s="56"/>
      <c r="AHF14" s="57"/>
      <c r="AHG14" s="57"/>
      <c r="AHH14" s="57"/>
      <c r="AHI14" s="56"/>
      <c r="AHJ14" s="57"/>
      <c r="AHK14" s="57"/>
      <c r="AHL14" s="56"/>
      <c r="AHM14" s="57"/>
      <c r="AHN14" s="58"/>
      <c r="AHO14" s="56"/>
      <c r="AHP14" s="57"/>
      <c r="AHQ14" s="57"/>
      <c r="AHR14" s="57"/>
      <c r="AHS14" s="56"/>
      <c r="AHT14" s="57"/>
      <c r="AHU14" s="57"/>
      <c r="AHV14" s="56"/>
      <c r="AHW14" s="57"/>
      <c r="AHX14" s="58"/>
      <c r="AHY14" s="56"/>
      <c r="AHZ14" s="57"/>
      <c r="AIA14" s="57"/>
      <c r="AIB14" s="57"/>
      <c r="AIC14" s="56"/>
      <c r="AID14" s="57"/>
      <c r="AIE14" s="57"/>
      <c r="AIF14" s="56"/>
      <c r="AIG14" s="57"/>
      <c r="AIH14" s="58"/>
      <c r="AII14" s="56"/>
      <c r="AIJ14" s="57"/>
      <c r="AIK14" s="57"/>
      <c r="AIL14" s="57"/>
      <c r="AIM14" s="56"/>
      <c r="AIN14" s="57"/>
      <c r="AIO14" s="57"/>
      <c r="AIP14" s="56"/>
      <c r="AIQ14" s="57"/>
      <c r="AIR14" s="58"/>
      <c r="AIS14" s="56"/>
      <c r="AIT14" s="57"/>
      <c r="AIU14" s="57"/>
      <c r="AIV14" s="57"/>
      <c r="AIW14" s="56"/>
      <c r="AIX14" s="57"/>
      <c r="AIY14" s="57"/>
      <c r="AIZ14" s="56"/>
      <c r="AJA14" s="57"/>
      <c r="AJB14" s="58"/>
      <c r="AJC14" s="56"/>
      <c r="AJD14" s="57"/>
      <c r="AJE14" s="57"/>
      <c r="AJF14" s="57"/>
      <c r="AJG14" s="56"/>
      <c r="AJH14" s="57"/>
      <c r="AJI14" s="57"/>
      <c r="AJJ14" s="56"/>
      <c r="AJK14" s="57"/>
      <c r="AJL14" s="58"/>
      <c r="AJM14" s="56"/>
      <c r="AJN14" s="57"/>
      <c r="AJO14" s="57"/>
      <c r="AJP14" s="57"/>
      <c r="AJQ14" s="56"/>
      <c r="AJR14" s="57"/>
      <c r="AJS14" s="57"/>
      <c r="AJT14" s="56"/>
      <c r="AJU14" s="57"/>
      <c r="AJV14" s="58"/>
      <c r="AJW14" s="56"/>
      <c r="AJX14" s="57"/>
      <c r="AJY14" s="57"/>
      <c r="AJZ14" s="57"/>
      <c r="AKA14" s="56"/>
      <c r="AKB14" s="57"/>
      <c r="AKC14" s="57"/>
      <c r="AKD14" s="56"/>
      <c r="AKE14" s="57"/>
      <c r="AKF14" s="58"/>
      <c r="AKG14" s="56"/>
      <c r="AKH14" s="57"/>
      <c r="AKI14" s="57"/>
      <c r="AKJ14" s="57"/>
      <c r="AKK14" s="56"/>
      <c r="AKL14" s="57"/>
      <c r="AKM14" s="57"/>
      <c r="AKN14" s="56"/>
      <c r="AKO14" s="57"/>
      <c r="AKP14" s="58"/>
      <c r="AKQ14" s="56"/>
      <c r="AKR14" s="57"/>
      <c r="AKS14" s="57"/>
      <c r="AKT14" s="57"/>
      <c r="AKU14" s="56"/>
      <c r="AKV14" s="57"/>
      <c r="AKW14" s="57"/>
      <c r="AKX14" s="56"/>
      <c r="AKY14" s="57"/>
      <c r="AKZ14" s="58"/>
      <c r="ALA14" s="56"/>
      <c r="ALB14" s="57"/>
      <c r="ALC14" s="57"/>
      <c r="ALD14" s="57"/>
      <c r="ALE14" s="56"/>
      <c r="ALF14" s="57"/>
      <c r="ALG14" s="57"/>
      <c r="ALH14" s="57"/>
      <c r="ALI14" s="57"/>
      <c r="ALJ14" s="57"/>
      <c r="ALK14" s="56"/>
      <c r="ALL14" s="57"/>
      <c r="ALM14" s="57"/>
      <c r="ALN14" s="56"/>
      <c r="ALO14" s="57"/>
      <c r="ALP14" s="58"/>
      <c r="ALQ14" s="56"/>
      <c r="ALR14" s="57"/>
      <c r="ALS14" s="57"/>
      <c r="ALT14" s="57"/>
      <c r="ALU14" s="56"/>
      <c r="ALV14" s="57"/>
      <c r="ALW14" s="57"/>
      <c r="ALX14" s="56"/>
      <c r="ALY14" s="57"/>
      <c r="ALZ14" s="58"/>
      <c r="AMA14" s="56"/>
      <c r="AMB14" s="57"/>
      <c r="AMC14" s="57"/>
      <c r="AMD14" s="57"/>
      <c r="AME14" s="56"/>
      <c r="AMF14" s="57"/>
      <c r="AMG14" s="57"/>
      <c r="AMH14" s="57"/>
      <c r="AMI14" s="57"/>
      <c r="AMJ14" s="57"/>
      <c r="AMK14" s="56"/>
      <c r="AML14" s="57"/>
      <c r="AMM14" s="57"/>
      <c r="AMN14" s="56"/>
      <c r="AMO14" s="57"/>
      <c r="AMP14" s="58"/>
      <c r="AMQ14" s="56"/>
      <c r="AMR14" s="57"/>
      <c r="AMS14" s="57"/>
      <c r="AMT14" s="57"/>
      <c r="AMU14" s="56"/>
      <c r="AMV14" s="57"/>
      <c r="AMW14" s="57"/>
      <c r="AMX14" s="56"/>
      <c r="AMY14" s="57"/>
      <c r="AMZ14" s="58"/>
      <c r="ANA14" s="56"/>
      <c r="ANB14" s="57"/>
      <c r="ANC14" s="57"/>
      <c r="AND14" s="57"/>
      <c r="ANE14" s="56"/>
      <c r="ANF14" s="57"/>
      <c r="ANG14" s="57"/>
      <c r="ANH14" s="57"/>
      <c r="ANI14" s="57"/>
      <c r="ANJ14" s="57"/>
      <c r="ANK14" s="56"/>
      <c r="ANL14" s="57"/>
      <c r="ANM14" s="57"/>
      <c r="ANN14" s="56"/>
      <c r="ANO14" s="57"/>
      <c r="ANP14" s="58"/>
      <c r="ANQ14" s="56"/>
      <c r="ANR14" s="57"/>
      <c r="ANS14" s="57"/>
      <c r="ANT14" s="57"/>
      <c r="ANU14" s="56"/>
      <c r="ANV14" s="57"/>
      <c r="ANW14" s="57"/>
      <c r="ANX14" s="56"/>
      <c r="ANY14" s="57"/>
      <c r="ANZ14" s="58"/>
      <c r="AOA14" s="56"/>
      <c r="AOB14" s="57"/>
      <c r="AOC14" s="57"/>
      <c r="AOD14" s="57"/>
      <c r="AOE14" s="56"/>
      <c r="AOF14" s="57"/>
      <c r="AOG14" s="57"/>
      <c r="AOH14" s="57"/>
      <c r="AOI14" s="57"/>
      <c r="AOJ14" s="57"/>
      <c r="AOK14" s="56"/>
      <c r="AOL14" s="57"/>
      <c r="AOM14" s="57"/>
      <c r="AON14" s="56"/>
      <c r="AOO14" s="57"/>
      <c r="AOP14" s="58"/>
      <c r="AOQ14" s="56"/>
      <c r="AOR14" s="57"/>
      <c r="AOS14" s="57"/>
      <c r="AOT14" s="57"/>
      <c r="AOU14" s="56"/>
      <c r="AOV14" s="57"/>
      <c r="AOW14" s="57"/>
      <c r="AOX14" s="56"/>
      <c r="AOY14" s="57"/>
      <c r="AOZ14" s="58"/>
      <c r="APA14" s="56"/>
      <c r="APB14" s="57"/>
      <c r="APC14" s="57"/>
      <c r="APD14" s="57"/>
      <c r="APE14" s="56"/>
      <c r="APF14" s="57"/>
      <c r="APG14" s="57"/>
      <c r="APH14" s="57"/>
      <c r="API14" s="57"/>
      <c r="APJ14" s="57"/>
      <c r="APK14" s="56"/>
      <c r="APL14" s="57"/>
      <c r="APM14" s="57"/>
      <c r="APN14" s="56"/>
      <c r="APO14" s="57"/>
      <c r="APP14" s="58"/>
      <c r="APQ14" s="56"/>
      <c r="APR14" s="57"/>
      <c r="APS14" s="57"/>
      <c r="APT14" s="57"/>
      <c r="APU14" s="56"/>
      <c r="APV14" s="57"/>
      <c r="APW14" s="57"/>
      <c r="APX14" s="56"/>
      <c r="APY14" s="57"/>
      <c r="APZ14" s="58"/>
      <c r="AQA14" s="56"/>
      <c r="AQB14" s="57"/>
      <c r="AQC14" s="57"/>
      <c r="AQD14" s="57"/>
      <c r="AQE14" s="56"/>
      <c r="AQF14" s="57"/>
      <c r="AQG14" s="57"/>
      <c r="AQH14" s="57"/>
      <c r="AQI14" s="57"/>
      <c r="AQJ14" s="57"/>
      <c r="AQK14" s="56"/>
      <c r="AQL14" s="57"/>
      <c r="AQM14" s="57"/>
      <c r="AQN14" s="56"/>
      <c r="AQO14" s="57"/>
      <c r="AQP14" s="58"/>
      <c r="AQQ14" s="56"/>
      <c r="AQR14" s="57"/>
      <c r="AQS14" s="57"/>
      <c r="AQT14" s="57"/>
      <c r="AQU14" s="56"/>
      <c r="AQV14" s="57"/>
      <c r="AQW14" s="57"/>
      <c r="AQX14" s="56"/>
      <c r="AQY14" s="57"/>
      <c r="AQZ14" s="58"/>
      <c r="ARA14" s="56"/>
      <c r="ARB14" s="57"/>
      <c r="ARC14" s="57"/>
      <c r="ARD14" s="57"/>
      <c r="ARE14" s="56"/>
      <c r="ARF14" s="57"/>
      <c r="ARG14" s="57"/>
      <c r="ARH14" s="57"/>
      <c r="ARI14" s="57"/>
      <c r="ARJ14" s="57"/>
      <c r="ARK14" s="56"/>
      <c r="ARL14" s="57"/>
      <c r="ARM14" s="57"/>
      <c r="ARN14" s="56"/>
      <c r="ARO14" s="57"/>
      <c r="ARP14" s="58"/>
      <c r="ARQ14" s="56"/>
      <c r="ARR14" s="57"/>
      <c r="ARS14" s="57"/>
      <c r="ART14" s="57"/>
      <c r="ARU14" s="56"/>
      <c r="ARV14" s="57"/>
      <c r="ARW14" s="57"/>
      <c r="ARX14" s="56"/>
      <c r="ARY14" s="57"/>
      <c r="ARZ14" s="58"/>
      <c r="ASA14" s="56"/>
      <c r="ASB14" s="57"/>
      <c r="ASC14" s="57"/>
      <c r="ASD14" s="57"/>
      <c r="ASE14" s="56"/>
      <c r="ASF14" s="57"/>
      <c r="ASG14" s="57"/>
      <c r="ASH14" s="57"/>
      <c r="ASI14" s="57"/>
      <c r="ASJ14" s="57"/>
      <c r="ASK14" s="56"/>
      <c r="ASL14" s="57"/>
      <c r="ASM14" s="57"/>
      <c r="ASN14" s="56"/>
      <c r="ASO14" s="57"/>
      <c r="ASP14" s="58"/>
      <c r="ASQ14" s="56"/>
      <c r="ASR14" s="57"/>
      <c r="ASS14" s="57"/>
      <c r="AST14" s="57"/>
      <c r="ASU14" s="56"/>
      <c r="ASV14" s="57"/>
      <c r="ASW14" s="57"/>
      <c r="ASX14" s="56"/>
      <c r="ASY14" s="57"/>
      <c r="ASZ14" s="58"/>
      <c r="ATA14" s="56"/>
      <c r="ATB14" s="57"/>
      <c r="ATC14" s="57"/>
      <c r="ATD14" s="57"/>
      <c r="ATE14" s="56"/>
      <c r="ATF14" s="57"/>
      <c r="ATG14" s="57"/>
      <c r="ATH14" s="57"/>
      <c r="ATI14" s="57"/>
      <c r="ATJ14" s="57"/>
      <c r="ATK14" s="56"/>
      <c r="ATL14" s="57"/>
      <c r="ATM14" s="57"/>
      <c r="ATN14" s="56"/>
      <c r="ATO14" s="57"/>
      <c r="ATP14" s="58"/>
      <c r="ATQ14" s="56"/>
      <c r="ATR14" s="57"/>
      <c r="ATS14" s="57"/>
      <c r="ATT14" s="57"/>
      <c r="ATU14" s="56"/>
      <c r="ATV14" s="57"/>
      <c r="ATW14" s="57"/>
      <c r="ATX14" s="56"/>
      <c r="ATY14" s="57"/>
      <c r="ATZ14" s="58"/>
      <c r="AUA14" s="56"/>
      <c r="AUB14" s="57"/>
      <c r="AUC14" s="57"/>
      <c r="AUD14" s="57"/>
      <c r="AUE14" s="56"/>
      <c r="AUF14" s="57"/>
      <c r="AUG14" s="57"/>
      <c r="AUH14" s="57"/>
      <c r="AUI14" s="57"/>
      <c r="AUJ14" s="57"/>
      <c r="AUK14" s="56"/>
      <c r="AUL14" s="57"/>
      <c r="AUM14" s="57"/>
      <c r="AUN14" s="56"/>
      <c r="AUO14" s="57"/>
      <c r="AUP14" s="58"/>
      <c r="AUQ14" s="56"/>
      <c r="AUR14" s="57"/>
      <c r="AUS14" s="57"/>
      <c r="AUT14" s="57"/>
      <c r="AUU14" s="56"/>
      <c r="AUV14" s="57"/>
      <c r="AUW14" s="57"/>
      <c r="AUX14" s="56"/>
      <c r="AUY14" s="57"/>
      <c r="AUZ14" s="58"/>
      <c r="AVA14" s="56"/>
      <c r="AVB14" s="57"/>
      <c r="AVC14" s="57"/>
      <c r="AVD14" s="57"/>
      <c r="AVE14" s="56"/>
      <c r="AVF14" s="57"/>
      <c r="AVG14" s="57"/>
      <c r="AVH14" s="57"/>
      <c r="AVI14" s="57"/>
      <c r="AVJ14" s="57"/>
      <c r="AVK14" s="56"/>
      <c r="AVL14" s="57"/>
      <c r="AVM14" s="57"/>
      <c r="AVN14" s="56"/>
      <c r="AVO14" s="57"/>
      <c r="AVP14" s="58"/>
      <c r="AVQ14" s="56"/>
      <c r="AVR14" s="57"/>
      <c r="AVS14" s="57"/>
      <c r="AVT14" s="57"/>
      <c r="AVU14" s="56"/>
      <c r="AVV14" s="57"/>
      <c r="AVW14" s="57"/>
      <c r="AVX14" s="56"/>
      <c r="AVY14" s="57"/>
      <c r="AVZ14" s="58"/>
      <c r="AWA14" s="56"/>
      <c r="AWB14" s="57"/>
      <c r="AWC14" s="57"/>
      <c r="AWD14" s="57"/>
      <c r="AWE14" s="56"/>
      <c r="AWF14" s="57"/>
      <c r="AWG14" s="57"/>
      <c r="AWH14" s="57"/>
      <c r="AWI14" s="57"/>
      <c r="AWJ14" s="57"/>
      <c r="AWK14" s="56"/>
      <c r="AWL14" s="57"/>
      <c r="AWM14" s="57"/>
      <c r="AWN14" s="56"/>
      <c r="AWO14" s="57"/>
      <c r="AWP14" s="58"/>
      <c r="AWQ14" s="56"/>
      <c r="AWR14" s="57"/>
      <c r="AWS14" s="57"/>
      <c r="AWT14" s="57"/>
      <c r="AWU14" s="56"/>
      <c r="AWV14" s="57"/>
      <c r="AWW14" s="57"/>
      <c r="AWX14" s="56"/>
      <c r="AWY14" s="57"/>
      <c r="AWZ14" s="58"/>
      <c r="AXA14" s="56"/>
      <c r="AXB14" s="57"/>
      <c r="AXC14" s="57"/>
      <c r="AXD14" s="57"/>
      <c r="AXE14" s="56"/>
      <c r="AXF14" s="57"/>
      <c r="AXG14" s="57"/>
      <c r="AXH14" s="57"/>
      <c r="AXI14" s="57"/>
      <c r="AXJ14" s="57"/>
      <c r="AXK14" s="56"/>
      <c r="AXL14" s="57"/>
      <c r="AXM14" s="57"/>
      <c r="AXN14" s="56"/>
      <c r="AXO14" s="57"/>
      <c r="AXP14" s="58"/>
      <c r="AXQ14" s="56"/>
      <c r="AXR14" s="57"/>
      <c r="AXS14" s="57"/>
      <c r="AXT14" s="57"/>
      <c r="AXU14" s="56"/>
      <c r="AXV14" s="57"/>
      <c r="AXW14" s="57"/>
      <c r="AXX14" s="56"/>
      <c r="AXY14" s="57"/>
      <c r="AXZ14" s="58"/>
      <c r="AYA14" s="56"/>
      <c r="AYB14" s="57"/>
      <c r="AYC14" s="57"/>
      <c r="AYD14" s="57"/>
      <c r="AYE14" s="56"/>
      <c r="AYF14" s="57"/>
      <c r="AYG14" s="57"/>
      <c r="AYH14" s="57"/>
      <c r="AYI14" s="57"/>
      <c r="AYJ14" s="57"/>
      <c r="AYK14" s="56"/>
      <c r="AYL14" s="57"/>
      <c r="AYM14" s="57"/>
      <c r="AYN14" s="56"/>
      <c r="AYO14" s="57"/>
      <c r="AYP14" s="58"/>
      <c r="AYQ14" s="56"/>
      <c r="AYR14" s="57"/>
      <c r="AYS14" s="57"/>
      <c r="AYT14" s="57"/>
      <c r="AYU14" s="56"/>
      <c r="AYV14" s="57"/>
      <c r="AYW14" s="57"/>
      <c r="AYX14" s="56"/>
      <c r="AYY14" s="57"/>
      <c r="AYZ14" s="58"/>
      <c r="AZA14" s="56"/>
      <c r="AZB14" s="57"/>
      <c r="AZC14" s="57"/>
      <c r="AZD14" s="57"/>
      <c r="AZE14" s="56"/>
      <c r="AZF14" s="57"/>
      <c r="AZG14" s="57"/>
      <c r="AZH14" s="57"/>
      <c r="AZI14" s="57"/>
      <c r="AZJ14" s="57"/>
      <c r="AZK14" s="56"/>
      <c r="AZL14" s="57"/>
      <c r="AZM14" s="57"/>
      <c r="AZN14" s="56"/>
      <c r="AZO14" s="57"/>
      <c r="AZP14" s="58"/>
      <c r="AZQ14" s="56"/>
      <c r="AZR14" s="57"/>
      <c r="AZS14" s="57"/>
      <c r="AZT14" s="57"/>
      <c r="AZU14" s="56"/>
      <c r="AZV14" s="57"/>
      <c r="AZW14" s="57"/>
      <c r="AZX14" s="56"/>
      <c r="AZY14" s="57"/>
      <c r="AZZ14" s="58"/>
      <c r="BAA14" s="56"/>
      <c r="BAB14" s="57"/>
      <c r="BAC14" s="57"/>
      <c r="BAD14" s="57"/>
      <c r="BAE14" s="56"/>
      <c r="BAF14" s="57"/>
      <c r="BAG14" s="57"/>
      <c r="BAH14" s="57"/>
      <c r="BAI14" s="57"/>
      <c r="BAJ14" s="57"/>
      <c r="BAK14" s="56"/>
      <c r="BAL14" s="57"/>
      <c r="BAM14" s="57"/>
      <c r="BAN14" s="56"/>
      <c r="BAO14" s="57"/>
      <c r="BAP14" s="58"/>
      <c r="BAQ14" s="56"/>
      <c r="BAR14" s="57"/>
      <c r="BAS14" s="57"/>
      <c r="BAT14" s="57"/>
      <c r="BAU14" s="56"/>
      <c r="BAV14" s="57"/>
      <c r="BAW14" s="57"/>
      <c r="BAX14" s="56"/>
      <c r="BAY14" s="57"/>
      <c r="BAZ14" s="58"/>
      <c r="BBA14" s="56"/>
      <c r="BBB14" s="57"/>
      <c r="BBC14" s="57"/>
      <c r="BBD14" s="57"/>
      <c r="BBE14" s="56"/>
      <c r="BBF14" s="57"/>
      <c r="BBG14" s="57"/>
      <c r="BBH14" s="57"/>
      <c r="BBI14" s="57"/>
      <c r="BBJ14" s="57"/>
      <c r="BBK14" s="56"/>
      <c r="BBL14" s="57"/>
      <c r="BBM14" s="57"/>
      <c r="BBN14" s="56"/>
      <c r="BBO14" s="57"/>
      <c r="BBP14" s="58"/>
      <c r="BBQ14" s="56"/>
      <c r="BBR14" s="57"/>
      <c r="BBS14" s="57"/>
      <c r="BBT14" s="57"/>
      <c r="BBU14" s="56"/>
      <c r="BBV14" s="57"/>
      <c r="BBW14" s="57"/>
      <c r="BBX14" s="56"/>
      <c r="BBY14" s="57"/>
      <c r="BBZ14" s="58"/>
      <c r="BCA14" s="56"/>
      <c r="BCB14" s="57"/>
      <c r="BCC14" s="57"/>
      <c r="BCD14" s="57"/>
      <c r="BCE14" s="56"/>
      <c r="BCF14" s="57"/>
      <c r="BCG14" s="57"/>
      <c r="BCH14" s="57"/>
      <c r="BCI14" s="57"/>
      <c r="BCJ14" s="57"/>
      <c r="BCK14" s="56"/>
      <c r="BCL14" s="57"/>
      <c r="BCM14" s="57"/>
      <c r="BCN14" s="56"/>
      <c r="BCO14" s="57"/>
      <c r="BCP14" s="58"/>
      <c r="BCQ14" s="56"/>
      <c r="BCR14" s="57"/>
      <c r="BCS14" s="57"/>
      <c r="BCT14" s="57"/>
      <c r="BCU14" s="56"/>
      <c r="BCV14" s="57"/>
      <c r="BCW14" s="57"/>
      <c r="BCX14" s="56"/>
      <c r="BCY14" s="57"/>
      <c r="BCZ14" s="58"/>
      <c r="BDA14" s="56"/>
      <c r="BDB14" s="57"/>
      <c r="BDC14" s="57"/>
      <c r="BDD14" s="57"/>
      <c r="BDE14" s="56"/>
      <c r="BDF14" s="57"/>
      <c r="BDG14" s="57"/>
      <c r="BDH14" s="57"/>
      <c r="BDI14" s="57"/>
      <c r="BDJ14" s="57"/>
      <c r="BDK14" s="56"/>
      <c r="BDL14" s="57"/>
      <c r="BDM14" s="57"/>
      <c r="BDN14" s="56"/>
      <c r="BDO14" s="57"/>
      <c r="BDP14" s="58"/>
      <c r="BDQ14" s="56"/>
      <c r="BDR14" s="57"/>
      <c r="BDS14" s="57"/>
      <c r="BDT14" s="57"/>
      <c r="BDU14" s="56"/>
      <c r="BDV14" s="57"/>
      <c r="BDW14" s="57"/>
      <c r="BDX14" s="56"/>
      <c r="BDY14" s="57"/>
      <c r="BDZ14" s="58"/>
      <c r="BEA14" s="56"/>
      <c r="BEB14" s="57"/>
      <c r="BEC14" s="57"/>
      <c r="BED14" s="57"/>
      <c r="BEE14" s="56"/>
      <c r="BEF14" s="57"/>
      <c r="BEG14" s="57"/>
      <c r="BEH14" s="57"/>
      <c r="BEI14" s="57"/>
      <c r="BEJ14" s="57"/>
      <c r="BEK14" s="56"/>
      <c r="BEL14" s="57"/>
      <c r="BEM14" s="57"/>
      <c r="BEN14" s="56"/>
      <c r="BEO14" s="57"/>
      <c r="BEP14" s="58"/>
      <c r="BEQ14" s="56"/>
      <c r="BER14" s="57"/>
      <c r="BES14" s="57"/>
      <c r="BET14" s="57"/>
      <c r="BEU14" s="56"/>
      <c r="BEV14" s="57"/>
      <c r="BEW14" s="57"/>
      <c r="BEX14" s="56"/>
      <c r="BEY14" s="57"/>
      <c r="BEZ14" s="58"/>
      <c r="BFA14" s="56"/>
      <c r="BFB14" s="57"/>
      <c r="BFC14" s="57"/>
      <c r="BFD14" s="57"/>
      <c r="BFE14" s="56"/>
      <c r="BFF14" s="57"/>
      <c r="BFG14" s="57"/>
      <c r="BFH14" s="57"/>
      <c r="BFI14" s="57"/>
      <c r="BFJ14" s="57"/>
      <c r="BFK14" s="56"/>
      <c r="BFL14" s="57"/>
      <c r="BFM14" s="57"/>
      <c r="BFN14" s="56"/>
      <c r="BFO14" s="57"/>
      <c r="BFP14" s="58"/>
      <c r="BFQ14" s="56"/>
      <c r="BFR14" s="57"/>
      <c r="BFS14" s="57"/>
      <c r="BFT14" s="57"/>
      <c r="BFU14" s="56"/>
      <c r="BFV14" s="57"/>
      <c r="BFW14" s="57"/>
      <c r="BFX14" s="56"/>
      <c r="BFY14" s="57"/>
      <c r="BFZ14" s="58"/>
      <c r="BGA14" s="56"/>
      <c r="BGB14" s="57"/>
      <c r="BGC14" s="57"/>
      <c r="BGD14" s="57"/>
      <c r="BGE14" s="56"/>
      <c r="BGF14" s="57"/>
      <c r="BGG14" s="57"/>
      <c r="BGH14" s="57"/>
      <c r="BGI14" s="57"/>
      <c r="BGJ14" s="57"/>
      <c r="BGK14" s="56"/>
      <c r="BGL14" s="57"/>
      <c r="BGM14" s="57"/>
      <c r="BGN14" s="56"/>
      <c r="BGO14" s="57"/>
      <c r="BGP14" s="58"/>
      <c r="BGQ14" s="56"/>
      <c r="BGR14" s="57"/>
      <c r="BGS14" s="57"/>
      <c r="BGT14" s="57"/>
      <c r="BGU14" s="56"/>
      <c r="BGV14" s="57"/>
      <c r="BGW14" s="57"/>
      <c r="BGX14" s="56"/>
      <c r="BGY14" s="57"/>
      <c r="BGZ14" s="58"/>
      <c r="BHA14" s="56"/>
      <c r="BHB14" s="57"/>
      <c r="BHC14" s="57"/>
      <c r="BHD14" s="57"/>
      <c r="BHE14" s="56"/>
      <c r="BHF14" s="57"/>
      <c r="BHG14" s="57"/>
      <c r="BHH14" s="57"/>
      <c r="BHI14" s="57"/>
      <c r="BHJ14" s="57"/>
      <c r="BHK14" s="56"/>
      <c r="BHL14" s="57"/>
      <c r="BHM14" s="57"/>
      <c r="BHN14" s="56"/>
      <c r="BHO14" s="57"/>
      <c r="BHP14" s="58"/>
      <c r="BHQ14" s="56"/>
      <c r="BHR14" s="57"/>
      <c r="BHS14" s="57"/>
      <c r="BHT14" s="57"/>
      <c r="BHU14" s="56"/>
      <c r="BHV14" s="57"/>
      <c r="BHW14" s="57"/>
      <c r="BHX14" s="56"/>
      <c r="BHY14" s="57"/>
      <c r="BHZ14" s="58"/>
      <c r="BIA14" s="56"/>
      <c r="BIB14" s="57"/>
      <c r="BIC14" s="57"/>
      <c r="BID14" s="57"/>
      <c r="BIE14" s="56"/>
      <c r="BIF14" s="57"/>
      <c r="BIG14" s="57"/>
      <c r="BIH14" s="57"/>
      <c r="BII14" s="57"/>
      <c r="BIJ14" s="57"/>
      <c r="BIK14" s="56"/>
      <c r="BIL14" s="57"/>
      <c r="BIM14" s="57"/>
      <c r="BIN14" s="56"/>
      <c r="BIO14" s="57"/>
      <c r="BIP14" s="58"/>
      <c r="BIQ14" s="56"/>
      <c r="BIR14" s="57"/>
      <c r="BIS14" s="57"/>
      <c r="BIT14" s="57"/>
      <c r="BIU14" s="56"/>
      <c r="BIV14" s="57"/>
      <c r="BIW14" s="57"/>
      <c r="BIX14" s="56"/>
      <c r="BIY14" s="57"/>
      <c r="BIZ14" s="58"/>
      <c r="BJA14" s="56"/>
      <c r="BJB14" s="57"/>
      <c r="BJC14" s="57"/>
      <c r="BJD14" s="57"/>
      <c r="BJE14" s="56"/>
      <c r="BJF14" s="57"/>
      <c r="BJG14" s="57"/>
      <c r="BJH14" s="57"/>
      <c r="BJI14" s="57"/>
      <c r="BJJ14" s="57"/>
      <c r="BJK14" s="56"/>
      <c r="BJL14" s="57"/>
      <c r="BJM14" s="57"/>
      <c r="BJN14" s="56"/>
      <c r="BJO14" s="57"/>
      <c r="BJP14" s="58"/>
      <c r="BJQ14" s="56"/>
      <c r="BJR14" s="57"/>
      <c r="BJS14" s="57"/>
      <c r="BJT14" s="57"/>
      <c r="BJU14" s="56"/>
      <c r="BJV14" s="57"/>
      <c r="BJW14" s="57"/>
      <c r="BJX14" s="56"/>
      <c r="BJY14" s="57"/>
      <c r="BJZ14" s="58"/>
      <c r="BKA14" s="56"/>
      <c r="BKB14" s="57"/>
      <c r="BKC14" s="57"/>
      <c r="BKD14" s="57"/>
      <c r="BKE14" s="56"/>
      <c r="BKF14" s="57"/>
      <c r="BKG14" s="57"/>
      <c r="BKH14" s="57"/>
      <c r="BKI14" s="57"/>
      <c r="BKJ14" s="57"/>
      <c r="BKK14" s="56"/>
      <c r="BKL14" s="57"/>
      <c r="BKM14" s="57"/>
      <c r="BKN14" s="56"/>
      <c r="BKO14" s="57"/>
      <c r="BKP14" s="58"/>
      <c r="BKQ14" s="56"/>
      <c r="BKR14" s="57"/>
      <c r="BKS14" s="57"/>
      <c r="BKT14" s="57"/>
      <c r="BKU14" s="56"/>
      <c r="BKV14" s="57"/>
      <c r="BKW14" s="57"/>
      <c r="BKX14" s="56"/>
      <c r="BKY14" s="57"/>
      <c r="BKZ14" s="58"/>
      <c r="BLA14" s="56"/>
      <c r="BLB14" s="57"/>
      <c r="BLC14" s="57"/>
      <c r="BLD14" s="57"/>
      <c r="BLE14" s="56"/>
      <c r="BLF14" s="57"/>
      <c r="BLG14" s="57"/>
      <c r="BLH14" s="57"/>
      <c r="BLI14" s="57"/>
      <c r="BLJ14" s="57"/>
      <c r="BLK14" s="56"/>
      <c r="BLL14" s="57"/>
      <c r="BLM14" s="57"/>
      <c r="BLN14" s="56"/>
      <c r="BLO14" s="57"/>
      <c r="BLP14" s="58"/>
      <c r="BLQ14" s="56"/>
      <c r="BLR14" s="57"/>
      <c r="BLS14" s="57"/>
      <c r="BLT14" s="57"/>
      <c r="BLU14" s="56"/>
      <c r="BLV14" s="57"/>
      <c r="BLW14" s="57"/>
      <c r="BLX14" s="56"/>
      <c r="BLY14" s="57"/>
      <c r="BLZ14" s="58"/>
      <c r="BMA14" s="56"/>
      <c r="BMB14" s="57"/>
      <c r="BMC14" s="57"/>
      <c r="BMD14" s="57"/>
      <c r="BME14" s="56"/>
      <c r="BMF14" s="57"/>
      <c r="BMG14" s="57"/>
      <c r="BMH14" s="57"/>
      <c r="BMI14" s="57"/>
      <c r="BMJ14" s="57"/>
      <c r="BMK14" s="56"/>
      <c r="BML14" s="57"/>
      <c r="BMM14" s="57"/>
      <c r="BMN14" s="56"/>
      <c r="BMO14" s="57"/>
      <c r="BMP14" s="58"/>
      <c r="BMQ14" s="56"/>
      <c r="BMR14" s="57"/>
      <c r="BMS14" s="57"/>
      <c r="BMT14" s="57"/>
      <c r="BMU14" s="56"/>
      <c r="BMV14" s="57"/>
      <c r="BMW14" s="57"/>
      <c r="BMX14" s="56"/>
      <c r="BMY14" s="57"/>
      <c r="BMZ14" s="58"/>
      <c r="BNA14" s="56"/>
      <c r="BNB14" s="57"/>
      <c r="BNC14" s="57"/>
      <c r="BND14" s="57"/>
      <c r="BNE14" s="56"/>
      <c r="BNF14" s="57"/>
      <c r="BNG14" s="57"/>
      <c r="BNH14" s="57"/>
      <c r="BNI14" s="57"/>
      <c r="BNJ14" s="57"/>
      <c r="BNK14" s="56"/>
      <c r="BNL14" s="57"/>
      <c r="BNM14" s="57"/>
      <c r="BNN14" s="56"/>
      <c r="BNO14" s="57"/>
      <c r="BNP14" s="58"/>
      <c r="BNQ14" s="56"/>
      <c r="BNR14" s="57"/>
      <c r="BNS14" s="57"/>
      <c r="BNT14" s="57"/>
      <c r="BNU14" s="56"/>
      <c r="BNV14" s="57"/>
      <c r="BNW14" s="57"/>
      <c r="BNX14" s="56"/>
      <c r="BNY14" s="57"/>
      <c r="BNZ14" s="58"/>
      <c r="BOA14" s="56"/>
      <c r="BOB14" s="57"/>
      <c r="BOC14" s="57"/>
      <c r="BOD14" s="57"/>
      <c r="BOE14" s="56"/>
      <c r="BOF14" s="57"/>
      <c r="BOG14" s="57"/>
      <c r="BOH14" s="57"/>
      <c r="BOI14" s="57"/>
      <c r="BOJ14" s="57"/>
      <c r="BOK14" s="56"/>
      <c r="BOL14" s="57"/>
      <c r="BOM14" s="57"/>
      <c r="BON14" s="56"/>
      <c r="BOO14" s="57"/>
      <c r="BOP14" s="58"/>
      <c r="BOQ14" s="56"/>
      <c r="BOR14" s="57"/>
      <c r="BOS14" s="57"/>
      <c r="BOT14" s="57"/>
      <c r="BOU14" s="56"/>
      <c r="BOV14" s="57"/>
      <c r="BOW14" s="57"/>
      <c r="BOX14" s="56"/>
      <c r="BOY14" s="57"/>
      <c r="BOZ14" s="58"/>
      <c r="BPA14" s="56"/>
      <c r="BPB14" s="57"/>
      <c r="BPC14" s="57"/>
      <c r="BPD14" s="57"/>
      <c r="BPE14" s="56"/>
      <c r="BPF14" s="57"/>
      <c r="BPG14" s="57"/>
      <c r="BPH14" s="57"/>
      <c r="BPI14" s="57"/>
      <c r="BPJ14" s="57"/>
      <c r="BPK14" s="56"/>
      <c r="BPL14" s="57"/>
      <c r="BPM14" s="57"/>
      <c r="BPN14" s="56"/>
      <c r="BPO14" s="57"/>
      <c r="BPP14" s="58"/>
      <c r="BPQ14" s="56"/>
      <c r="BPR14" s="57"/>
      <c r="BPS14" s="57"/>
      <c r="BPT14" s="57"/>
      <c r="BPU14" s="56"/>
      <c r="BPV14" s="57"/>
      <c r="BPW14" s="57"/>
      <c r="BPX14" s="56"/>
      <c r="BPY14" s="57"/>
      <c r="BPZ14" s="58"/>
      <c r="BQA14" s="56"/>
      <c r="BQB14" s="57"/>
      <c r="BQC14" s="57"/>
      <c r="BQD14" s="57"/>
      <c r="BQE14" s="56"/>
      <c r="BQF14" s="57"/>
      <c r="BQG14" s="57"/>
      <c r="BQH14" s="57"/>
      <c r="BQI14" s="57"/>
      <c r="BQJ14" s="57"/>
      <c r="BQK14" s="56"/>
      <c r="BQL14" s="57"/>
      <c r="BQM14" s="57"/>
      <c r="BQN14" s="56"/>
      <c r="BQO14" s="57"/>
      <c r="BQP14" s="58"/>
      <c r="BQQ14" s="56"/>
      <c r="BQR14" s="57"/>
      <c r="BQS14" s="57"/>
      <c r="BQT14" s="57"/>
      <c r="BQU14" s="56"/>
      <c r="BQV14" s="57"/>
      <c r="BQW14" s="57"/>
      <c r="BQX14" s="56"/>
      <c r="BQY14" s="57"/>
      <c r="BQZ14" s="58"/>
      <c r="BRA14" s="56"/>
      <c r="BRB14" s="57"/>
      <c r="BRC14" s="57"/>
      <c r="BRD14" s="57"/>
      <c r="BRE14" s="56"/>
      <c r="BRF14" s="57"/>
      <c r="BRG14" s="57"/>
      <c r="BRH14" s="57"/>
      <c r="BRI14" s="57"/>
      <c r="BRJ14" s="57"/>
      <c r="BRK14" s="56"/>
      <c r="BRL14" s="57"/>
      <c r="BRM14" s="57"/>
      <c r="BRN14" s="56"/>
      <c r="BRO14" s="57"/>
      <c r="BRP14" s="58"/>
      <c r="BRQ14" s="56"/>
      <c r="BRR14" s="57"/>
      <c r="BRS14" s="57"/>
      <c r="BRT14" s="57"/>
      <c r="BRU14" s="56"/>
      <c r="BRV14" s="57"/>
      <c r="BRW14" s="57"/>
      <c r="BRX14" s="56"/>
      <c r="BRY14" s="57"/>
      <c r="BRZ14" s="58"/>
      <c r="BSA14" s="56"/>
      <c r="BSB14" s="57"/>
      <c r="BSC14" s="57"/>
      <c r="BSD14" s="57"/>
      <c r="BSE14" s="56"/>
      <c r="BSF14" s="57"/>
      <c r="BSG14" s="57"/>
      <c r="BSH14" s="57"/>
      <c r="BSI14" s="57"/>
      <c r="BSJ14" s="57"/>
      <c r="BSK14" s="56"/>
      <c r="BSL14" s="57"/>
      <c r="BSM14" s="57"/>
      <c r="BSN14" s="56"/>
      <c r="BSO14" s="57"/>
      <c r="BSP14" s="58"/>
      <c r="BSQ14" s="56"/>
      <c r="BSR14" s="57"/>
      <c r="BSS14" s="57"/>
      <c r="BST14" s="57"/>
      <c r="BSU14" s="56"/>
      <c r="BSV14" s="57"/>
      <c r="BSW14" s="57"/>
      <c r="BSX14" s="56"/>
      <c r="BSY14" s="57"/>
      <c r="BSZ14" s="58"/>
      <c r="BTA14" s="56"/>
      <c r="BTB14" s="57"/>
      <c r="BTC14" s="57"/>
      <c r="BTD14" s="57"/>
      <c r="BTE14" s="56"/>
      <c r="BTF14" s="57"/>
      <c r="BTG14" s="57"/>
      <c r="BTH14" s="57"/>
      <c r="BTI14" s="57"/>
      <c r="BTJ14" s="57"/>
      <c r="BTK14" s="56"/>
      <c r="BTL14" s="57"/>
      <c r="BTM14" s="57"/>
      <c r="BTN14" s="56"/>
      <c r="BTO14" s="57"/>
      <c r="BTP14" s="58"/>
      <c r="BTQ14" s="56"/>
      <c r="BTR14" s="57"/>
      <c r="BTS14" s="57"/>
      <c r="BTT14" s="57"/>
      <c r="BTU14" s="56"/>
      <c r="BTV14" s="57"/>
      <c r="BTW14" s="57"/>
      <c r="BTX14" s="56"/>
      <c r="BTY14" s="57"/>
      <c r="BTZ14" s="58"/>
      <c r="BUA14" s="56"/>
      <c r="BUB14" s="57"/>
      <c r="BUC14" s="57"/>
      <c r="BUD14" s="57"/>
      <c r="BUE14" s="56"/>
      <c r="BUF14" s="57"/>
      <c r="BUG14" s="57"/>
      <c r="BUH14" s="57"/>
      <c r="BUI14" s="57"/>
      <c r="BUJ14" s="57"/>
      <c r="BUK14" s="56"/>
      <c r="BUL14" s="57"/>
      <c r="BUM14" s="57"/>
      <c r="BUN14" s="56"/>
      <c r="BUO14" s="57"/>
      <c r="BUP14" s="58"/>
      <c r="BUQ14" s="56"/>
      <c r="BUR14" s="57"/>
      <c r="BUS14" s="57"/>
      <c r="BUT14" s="57"/>
      <c r="BUU14" s="56"/>
      <c r="BUV14" s="57"/>
      <c r="BUW14" s="57"/>
      <c r="BUX14" s="56"/>
      <c r="BUY14" s="57"/>
      <c r="BUZ14" s="58"/>
      <c r="BVA14" s="56"/>
      <c r="BVB14" s="57"/>
      <c r="BVC14" s="57"/>
      <c r="BVD14" s="57"/>
      <c r="BVE14" s="56"/>
      <c r="BVF14" s="57"/>
      <c r="BVG14" s="57"/>
      <c r="BVH14" s="57"/>
      <c r="BVI14" s="57"/>
      <c r="BVJ14" s="57"/>
      <c r="BVK14" s="56"/>
      <c r="BVL14" s="57"/>
      <c r="BVM14" s="57"/>
      <c r="BVN14" s="56"/>
      <c r="BVO14" s="57"/>
      <c r="BVP14" s="58"/>
      <c r="BVQ14" s="56"/>
      <c r="BVR14" s="57"/>
      <c r="BVS14" s="57"/>
      <c r="BVT14" s="57"/>
      <c r="BVU14" s="56"/>
      <c r="BVV14" s="57"/>
      <c r="BVW14" s="57"/>
      <c r="BVX14" s="56"/>
      <c r="BVY14" s="57"/>
      <c r="BVZ14" s="58"/>
      <c r="BWA14" s="56"/>
      <c r="BWB14" s="57"/>
      <c r="BWC14" s="57"/>
      <c r="BWD14" s="57"/>
      <c r="BWE14" s="56"/>
      <c r="BWF14" s="57"/>
      <c r="BWG14" s="57"/>
      <c r="BWH14" s="57"/>
      <c r="BWI14" s="57"/>
      <c r="BWJ14" s="57"/>
      <c r="BWK14" s="56"/>
      <c r="BWL14" s="57"/>
      <c r="BWM14" s="57"/>
      <c r="BWN14" s="56"/>
      <c r="BWO14" s="57"/>
      <c r="BWP14" s="58"/>
      <c r="BWQ14" s="56"/>
      <c r="BWR14" s="57"/>
      <c r="BWS14" s="57"/>
      <c r="BWT14" s="57"/>
      <c r="BWU14" s="56"/>
      <c r="BWV14" s="57"/>
      <c r="BWW14" s="57"/>
      <c r="BWX14" s="56"/>
      <c r="BWY14" s="57"/>
      <c r="BWZ14" s="58"/>
      <c r="BXA14" s="56"/>
      <c r="BXB14" s="57"/>
      <c r="BXC14" s="57"/>
      <c r="BXD14" s="57"/>
      <c r="BXE14" s="56"/>
      <c r="BXF14" s="57"/>
      <c r="BXG14" s="57"/>
      <c r="BXH14" s="57"/>
      <c r="BXI14" s="57"/>
      <c r="BXJ14" s="57"/>
      <c r="BXK14" s="56"/>
      <c r="BXL14" s="57"/>
      <c r="BXM14" s="57"/>
      <c r="BXN14" s="56"/>
      <c r="BXO14" s="57"/>
      <c r="BXP14" s="58"/>
      <c r="BXQ14" s="56"/>
      <c r="BXR14" s="57"/>
      <c r="BXS14" s="57"/>
      <c r="BXT14" s="57"/>
      <c r="BXU14" s="56"/>
      <c r="BXV14" s="57"/>
      <c r="BXW14" s="57"/>
      <c r="BXX14" s="56"/>
      <c r="BXY14" s="57"/>
      <c r="BXZ14" s="58"/>
      <c r="BYA14" s="56"/>
      <c r="BYB14" s="57"/>
      <c r="BYC14" s="57"/>
      <c r="BYD14" s="57"/>
      <c r="BYE14" s="56"/>
      <c r="BYF14" s="57"/>
      <c r="BYG14" s="57"/>
      <c r="BYH14" s="57"/>
      <c r="BYI14" s="57"/>
      <c r="BYJ14" s="57"/>
      <c r="BYK14" s="56"/>
      <c r="BYL14" s="57"/>
      <c r="BYM14" s="57"/>
      <c r="BYN14" s="56"/>
      <c r="BYO14" s="57"/>
      <c r="BYP14" s="58"/>
      <c r="BYQ14" s="56"/>
      <c r="BYR14" s="57"/>
      <c r="BYS14" s="57"/>
      <c r="BYT14" s="57"/>
      <c r="BYU14" s="56"/>
      <c r="BYV14" s="57"/>
      <c r="BYW14" s="57"/>
      <c r="BYX14" s="58"/>
      <c r="BYY14" s="57"/>
      <c r="BYZ14" s="56"/>
      <c r="BZA14" s="57"/>
      <c r="BZB14" s="56"/>
      <c r="BZC14" s="56"/>
      <c r="BZD14" s="56"/>
      <c r="BZE14" s="57"/>
      <c r="BZF14" s="387"/>
      <c r="BZG14" s="57"/>
      <c r="BZH14" s="387"/>
      <c r="BZI14" s="57"/>
      <c r="BZJ14" s="38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8"/>
      <c r="CAQ14" s="56"/>
      <c r="CAR14" s="57"/>
      <c r="CAS14" s="57"/>
      <c r="CAT14" s="57"/>
      <c r="CAU14" s="57"/>
      <c r="CAV14" s="57"/>
      <c r="CAW14" s="56"/>
      <c r="CAX14" s="57"/>
      <c r="CAY14" s="57"/>
      <c r="CAZ14" s="56"/>
      <c r="CBA14" s="57"/>
      <c r="CBB14" s="58"/>
      <c r="CBC14" s="56"/>
      <c r="CBD14" s="57"/>
      <c r="CBE14" s="57"/>
      <c r="CBF14" s="57"/>
      <c r="CBG14" s="56"/>
      <c r="CBH14" s="57"/>
      <c r="CBI14" s="57"/>
      <c r="CBJ14" s="56"/>
      <c r="CBK14" s="57"/>
      <c r="CBL14" s="58"/>
      <c r="CBM14" s="56"/>
      <c r="CBN14" s="57"/>
      <c r="CBO14" s="57"/>
      <c r="CBP14" s="57"/>
      <c r="CBQ14" s="56"/>
      <c r="CBR14" s="57"/>
      <c r="CBS14" s="57"/>
      <c r="CBT14" s="56"/>
      <c r="CBU14" s="57"/>
      <c r="CBV14" s="58"/>
      <c r="CBW14" s="56"/>
      <c r="CBX14" s="57"/>
      <c r="CBY14" s="57"/>
      <c r="CBZ14" s="57"/>
      <c r="CCA14" s="56"/>
      <c r="CCB14" s="57"/>
      <c r="CCC14" s="57"/>
      <c r="CCD14" s="56"/>
      <c r="CCE14" s="57"/>
      <c r="CCF14" s="58"/>
      <c r="CCG14" s="56"/>
      <c r="CCH14" s="58"/>
      <c r="CCI14" s="57"/>
      <c r="CCJ14" s="56"/>
      <c r="CCK14" s="57"/>
      <c r="CCL14" s="56"/>
      <c r="CCM14" s="56"/>
      <c r="CCN14" s="56"/>
      <c r="CCO14" s="57"/>
      <c r="CCP14" s="387"/>
      <c r="CCQ14" s="57"/>
      <c r="CCR14" s="387"/>
      <c r="CCS14" s="57"/>
      <c r="CCT14" s="38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8"/>
      <c r="CEA14" s="56"/>
      <c r="CEB14" s="57"/>
      <c r="CEC14" s="57"/>
      <c r="CED14" s="57"/>
      <c r="CEE14" s="57"/>
      <c r="CEF14" s="57"/>
      <c r="CEG14" s="56"/>
      <c r="CEH14" s="57"/>
      <c r="CEI14" s="57"/>
      <c r="CEJ14" s="56"/>
      <c r="CEK14" s="57"/>
      <c r="CEL14" s="58"/>
      <c r="CEM14" s="56"/>
      <c r="CEN14" s="57"/>
      <c r="CEO14" s="57"/>
      <c r="CEP14" s="57"/>
      <c r="CEQ14" s="56"/>
      <c r="CER14" s="57"/>
      <c r="CES14" s="57"/>
      <c r="CET14" s="56"/>
      <c r="CEU14" s="57"/>
      <c r="CEV14" s="58"/>
      <c r="CEW14" s="56"/>
      <c r="CEX14" s="57"/>
      <c r="CEY14" s="57"/>
      <c r="CEZ14" s="57"/>
      <c r="CFA14" s="56"/>
      <c r="CFB14" s="57"/>
      <c r="CFC14" s="57"/>
      <c r="CFD14" s="56"/>
      <c r="CFE14" s="57"/>
      <c r="CFF14" s="58"/>
      <c r="CFG14" s="56"/>
      <c r="CFH14" s="57"/>
      <c r="CFI14" s="57"/>
      <c r="CFJ14" s="57"/>
      <c r="CFK14" s="56"/>
      <c r="CFL14" s="57"/>
      <c r="CFM14" s="57"/>
      <c r="CFN14" s="56"/>
      <c r="CFO14" s="57"/>
      <c r="CFP14" s="58"/>
      <c r="CFQ14" s="56"/>
      <c r="CFR14" s="58"/>
      <c r="CFS14" s="57"/>
      <c r="CFT14" s="56"/>
      <c r="CFU14" s="57"/>
      <c r="CFV14" s="56"/>
      <c r="CFW14" s="56"/>
      <c r="CFX14" s="56"/>
      <c r="CFY14" s="57"/>
      <c r="CFZ14" s="387"/>
      <c r="CGA14" s="57"/>
      <c r="CGB14" s="387"/>
      <c r="CGC14" s="57"/>
      <c r="CGD14" s="38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8"/>
      <c r="CHK14" s="56"/>
      <c r="CHL14" s="57"/>
      <c r="CHM14" s="57"/>
      <c r="CHN14" s="57"/>
      <c r="CHO14" s="57"/>
      <c r="CHP14" s="57"/>
      <c r="CHQ14" s="56"/>
      <c r="CHR14" s="57"/>
      <c r="CHS14" s="57"/>
      <c r="CHT14" s="56"/>
      <c r="CHU14" s="57"/>
      <c r="CHV14" s="58"/>
      <c r="CHW14" s="56"/>
      <c r="CHX14" s="57"/>
      <c r="CHY14" s="57"/>
      <c r="CHZ14" s="57"/>
      <c r="CIA14" s="56"/>
      <c r="CIB14" s="57"/>
      <c r="CIC14" s="57"/>
      <c r="CID14" s="56"/>
      <c r="CIE14" s="57"/>
      <c r="CIF14" s="58"/>
      <c r="CIG14" s="56"/>
      <c r="CIH14" s="57"/>
      <c r="CII14" s="57"/>
      <c r="CIJ14" s="57"/>
      <c r="CIK14" s="56"/>
      <c r="CIL14" s="57"/>
      <c r="CIM14" s="57"/>
      <c r="CIN14" s="56"/>
      <c r="CIO14" s="57"/>
      <c r="CIP14" s="58"/>
      <c r="CIQ14" s="56"/>
      <c r="CIR14" s="57"/>
      <c r="CIS14" s="57"/>
      <c r="CIT14" s="57"/>
      <c r="CIU14" s="56"/>
      <c r="CIV14" s="57"/>
      <c r="CIW14" s="57"/>
      <c r="CIX14" s="56"/>
      <c r="CIY14" s="57"/>
      <c r="CIZ14" s="58"/>
      <c r="CJA14" s="56"/>
      <c r="CJB14" s="58"/>
      <c r="CJC14" s="57"/>
      <c r="CJD14" s="56"/>
      <c r="CJE14" s="57"/>
      <c r="CJF14" s="56"/>
      <c r="CJG14" s="56"/>
      <c r="CJH14" s="56"/>
      <c r="CJI14" s="57"/>
      <c r="CJJ14" s="387"/>
      <c r="CJK14" s="57"/>
      <c r="CJL14" s="387"/>
      <c r="CJM14" s="57"/>
      <c r="CJN14" s="38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8"/>
      <c r="CKU14" s="56"/>
      <c r="CKV14" s="57"/>
      <c r="CKW14" s="57"/>
      <c r="CKX14" s="57"/>
      <c r="CKY14" s="57"/>
      <c r="CKZ14" s="57"/>
      <c r="CLA14" s="56"/>
      <c r="CLB14" s="57"/>
      <c r="CLC14" s="57"/>
      <c r="CLD14" s="56"/>
      <c r="CLE14" s="57"/>
      <c r="CLF14" s="58"/>
      <c r="CLG14" s="56"/>
      <c r="CLH14" s="57"/>
      <c r="CLI14" s="57"/>
      <c r="CLJ14" s="57"/>
      <c r="CLK14" s="56"/>
      <c r="CLL14" s="57"/>
      <c r="CLM14" s="57"/>
      <c r="CLN14" s="56"/>
      <c r="CLO14" s="57"/>
      <c r="CLP14" s="58"/>
      <c r="CLQ14" s="56"/>
      <c r="CLR14" s="57"/>
      <c r="CLS14" s="57"/>
      <c r="CLT14" s="57"/>
      <c r="CLU14" s="56"/>
      <c r="CLV14" s="57"/>
      <c r="CLW14" s="57"/>
      <c r="CLX14" s="56"/>
      <c r="CLY14" s="57"/>
      <c r="CLZ14" s="58"/>
      <c r="CMA14" s="56"/>
      <c r="CMB14" s="57"/>
      <c r="CMC14" s="57"/>
      <c r="CMD14" s="57"/>
      <c r="CME14" s="56"/>
      <c r="CMF14" s="57"/>
      <c r="CMG14" s="57"/>
      <c r="CMH14" s="56"/>
      <c r="CMI14" s="57"/>
      <c r="CMJ14" s="58"/>
      <c r="CMK14" s="56"/>
      <c r="CML14" s="58"/>
      <c r="CMM14" s="57"/>
      <c r="CMN14" s="56"/>
      <c r="CMO14" s="57"/>
      <c r="CMP14" s="56"/>
      <c r="CMQ14" s="56"/>
      <c r="CMR14" s="56"/>
      <c r="CMS14" s="57"/>
      <c r="CMT14" s="387"/>
      <c r="CMU14" s="57"/>
      <c r="CMV14" s="387"/>
      <c r="CMW14" s="57"/>
      <c r="CMX14" s="38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8"/>
      <c r="COE14" s="56"/>
      <c r="COF14" s="57"/>
      <c r="COG14" s="57"/>
      <c r="COH14" s="57"/>
      <c r="COI14" s="57"/>
      <c r="COJ14" s="57"/>
      <c r="COK14" s="56"/>
      <c r="COL14" s="57"/>
      <c r="COM14" s="57"/>
      <c r="CON14" s="56"/>
      <c r="COO14" s="57"/>
      <c r="COP14" s="58"/>
      <c r="COQ14" s="56"/>
      <c r="COR14" s="57"/>
      <c r="COS14" s="57"/>
      <c r="COT14" s="57"/>
      <c r="COU14" s="56"/>
      <c r="COV14" s="57"/>
      <c r="COW14" s="57"/>
      <c r="COX14" s="56"/>
      <c r="COY14" s="57"/>
      <c r="COZ14" s="58"/>
      <c r="CPA14" s="56"/>
      <c r="CPB14" s="57"/>
      <c r="CPC14" s="57"/>
      <c r="CPD14" s="57"/>
      <c r="CPE14" s="56"/>
      <c r="CPF14" s="57"/>
      <c r="CPG14" s="57"/>
      <c r="CPH14" s="56"/>
      <c r="CPI14" s="57"/>
      <c r="CPJ14" s="58"/>
      <c r="CPK14" s="56"/>
      <c r="CPL14" s="57"/>
      <c r="CPM14" s="57"/>
      <c r="CPN14" s="57"/>
      <c r="CPO14" s="56"/>
      <c r="CPP14" s="57"/>
      <c r="CPQ14" s="57"/>
      <c r="CPR14" s="56"/>
      <c r="CPS14" s="57"/>
      <c r="CPT14" s="58"/>
      <c r="CPU14" s="56"/>
      <c r="CPV14" s="58"/>
      <c r="CPW14" s="57"/>
      <c r="CPX14" s="56"/>
      <c r="CPY14" s="57"/>
      <c r="CPZ14" s="56"/>
      <c r="CQA14" s="56"/>
      <c r="CQB14" s="56"/>
      <c r="CQC14" s="57"/>
      <c r="CQD14" s="387"/>
      <c r="CQE14" s="57"/>
      <c r="CQF14" s="387"/>
      <c r="CQG14" s="57"/>
      <c r="CQH14" s="38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8"/>
      <c r="CRO14" s="56"/>
      <c r="CRP14" s="57"/>
      <c r="CRQ14" s="57"/>
      <c r="CRR14" s="57"/>
      <c r="CRS14" s="57"/>
      <c r="CRT14" s="57"/>
      <c r="CRU14" s="56"/>
      <c r="CRV14" s="57"/>
      <c r="CRW14" s="57"/>
      <c r="CRX14" s="56"/>
      <c r="CRY14" s="57"/>
      <c r="CRZ14" s="58"/>
      <c r="CSA14" s="56"/>
      <c r="CSB14" s="57"/>
      <c r="CSC14" s="57"/>
      <c r="CSD14" s="57"/>
      <c r="CSE14" s="56"/>
      <c r="CSF14" s="57"/>
      <c r="CSG14" s="57"/>
      <c r="CSH14" s="56"/>
      <c r="CSI14" s="57"/>
      <c r="CSJ14" s="58"/>
      <c r="CSK14" s="56"/>
      <c r="CSL14" s="57"/>
      <c r="CSM14" s="57"/>
      <c r="CSN14" s="57"/>
      <c r="CSO14" s="56"/>
      <c r="CSP14" s="57"/>
      <c r="CSQ14" s="57"/>
      <c r="CSR14" s="56"/>
      <c r="CSS14" s="57"/>
      <c r="CST14" s="58"/>
      <c r="CSU14" s="56"/>
      <c r="CSV14" s="57"/>
      <c r="CSW14" s="57"/>
      <c r="CSX14" s="57"/>
      <c r="CSY14" s="56"/>
      <c r="CSZ14" s="57"/>
      <c r="CTA14" s="57"/>
      <c r="CTB14" s="56"/>
      <c r="CTC14" s="57"/>
      <c r="CTD14" s="58"/>
      <c r="CTE14" s="56"/>
      <c r="CTF14" s="58"/>
      <c r="CTG14" s="57"/>
      <c r="CTH14" s="56"/>
      <c r="CTI14" s="57"/>
      <c r="CTJ14" s="56"/>
      <c r="CTK14" s="56"/>
      <c r="CTL14" s="56"/>
      <c r="CTM14" s="57"/>
      <c r="CTN14" s="387"/>
      <c r="CTO14" s="57"/>
      <c r="CTP14" s="387"/>
      <c r="CTQ14" s="57"/>
      <c r="CTR14" s="38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8"/>
      <c r="CUY14" s="56"/>
      <c r="CUZ14" s="57"/>
      <c r="CVA14" s="57"/>
      <c r="CVB14" s="57"/>
      <c r="CVC14" s="57"/>
      <c r="CVD14" s="57"/>
      <c r="CVE14" s="56"/>
      <c r="CVF14" s="57"/>
      <c r="CVG14" s="57"/>
      <c r="CVH14" s="56"/>
      <c r="CVI14" s="57"/>
      <c r="CVJ14" s="58"/>
      <c r="CVK14" s="56"/>
      <c r="CVL14" s="57"/>
      <c r="CVM14" s="57"/>
      <c r="CVN14" s="57"/>
      <c r="CVO14" s="56"/>
      <c r="CVP14" s="57"/>
      <c r="CVQ14" s="57"/>
      <c r="CVR14" s="56"/>
      <c r="CVS14" s="57"/>
      <c r="CVT14" s="58"/>
      <c r="CVU14" s="56"/>
      <c r="CVV14" s="57"/>
      <c r="CVW14" s="57"/>
      <c r="CVX14" s="57"/>
      <c r="CVY14" s="56"/>
      <c r="CVZ14" s="57"/>
      <c r="CWA14" s="57"/>
      <c r="CWB14" s="56"/>
      <c r="CWC14" s="57"/>
      <c r="CWD14" s="58"/>
      <c r="CWE14" s="56"/>
      <c r="CWF14" s="57"/>
      <c r="CWG14" s="57"/>
      <c r="CWH14" s="57"/>
      <c r="CWI14" s="56"/>
      <c r="CWJ14" s="57"/>
      <c r="CWK14" s="57"/>
      <c r="CWL14" s="56"/>
      <c r="CWM14" s="57"/>
      <c r="CWN14" s="58"/>
      <c r="CWO14" s="56"/>
      <c r="CWP14" s="58"/>
      <c r="CWQ14" s="57"/>
      <c r="CWR14" s="56"/>
      <c r="CWS14" s="57"/>
      <c r="CWT14" s="56"/>
      <c r="CWU14" s="56"/>
      <c r="CWV14" s="56"/>
      <c r="CWW14" s="57"/>
      <c r="CWX14" s="387"/>
      <c r="CWY14" s="57"/>
      <c r="CWZ14" s="387"/>
      <c r="CXA14" s="57"/>
      <c r="CXB14" s="38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8"/>
      <c r="CYI14" s="56"/>
      <c r="CYJ14" s="57"/>
      <c r="CYK14" s="57"/>
      <c r="CYL14" s="57"/>
      <c r="CYM14" s="57"/>
      <c r="CYN14" s="57"/>
      <c r="CYO14" s="56"/>
      <c r="CYP14" s="57"/>
      <c r="CYQ14" s="57"/>
      <c r="CYR14" s="56"/>
      <c r="CYS14" s="57"/>
      <c r="CYT14" s="58"/>
      <c r="CYU14" s="56"/>
      <c r="CYV14" s="57"/>
      <c r="CYW14" s="57"/>
      <c r="CYX14" s="57"/>
      <c r="CYY14" s="56"/>
      <c r="CYZ14" s="57"/>
      <c r="CZA14" s="57"/>
      <c r="CZB14" s="56"/>
      <c r="CZC14" s="57"/>
      <c r="CZD14" s="58"/>
      <c r="CZE14" s="56"/>
      <c r="CZF14" s="57"/>
      <c r="CZG14" s="57"/>
      <c r="CZH14" s="57"/>
      <c r="CZI14" s="56"/>
      <c r="CZJ14" s="57"/>
      <c r="CZK14" s="57"/>
      <c r="CZL14" s="56"/>
      <c r="CZM14" s="57"/>
      <c r="CZN14" s="58"/>
      <c r="CZO14" s="56"/>
      <c r="CZP14" s="57"/>
      <c r="CZQ14" s="57"/>
      <c r="CZR14" s="57"/>
      <c r="CZS14" s="56"/>
      <c r="CZT14" s="57"/>
      <c r="CZU14" s="57"/>
      <c r="CZV14" s="56"/>
      <c r="CZW14" s="57"/>
      <c r="CZX14" s="58"/>
      <c r="CZY14" s="56"/>
      <c r="CZZ14" s="58"/>
      <c r="DAA14" s="57"/>
      <c r="DAB14" s="56"/>
      <c r="DAC14" s="57"/>
      <c r="DAD14" s="56"/>
      <c r="DAE14" s="56"/>
      <c r="DAF14" s="56"/>
      <c r="DAG14" s="57"/>
      <c r="DAH14" s="387"/>
      <c r="DAI14" s="57"/>
      <c r="DAJ14" s="387"/>
      <c r="DAK14" s="57"/>
      <c r="DAL14" s="38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8"/>
      <c r="DBS14" s="56"/>
      <c r="DBT14" s="57"/>
      <c r="DBU14" s="57"/>
      <c r="DBV14" s="57"/>
      <c r="DBW14" s="57"/>
      <c r="DBX14" s="57"/>
      <c r="DBY14" s="56"/>
      <c r="DBZ14" s="57"/>
      <c r="DCA14" s="57"/>
      <c r="DCB14" s="56"/>
      <c r="DCC14" s="57"/>
      <c r="DCD14" s="58"/>
      <c r="DCE14" s="56"/>
      <c r="DCF14" s="57"/>
      <c r="DCG14" s="57"/>
      <c r="DCH14" s="57"/>
      <c r="DCI14" s="56"/>
      <c r="DCJ14" s="57"/>
      <c r="DCK14" s="57"/>
      <c r="DCL14" s="56"/>
      <c r="DCM14" s="57"/>
      <c r="DCN14" s="58"/>
      <c r="DCO14" s="56"/>
      <c r="DCP14" s="57"/>
      <c r="DCQ14" s="57"/>
      <c r="DCR14" s="57"/>
      <c r="DCS14" s="56"/>
      <c r="DCT14" s="57"/>
      <c r="DCU14" s="57"/>
      <c r="DCV14" s="56"/>
      <c r="DCW14" s="57"/>
      <c r="DCX14" s="58"/>
      <c r="DCY14" s="56"/>
      <c r="DCZ14" s="57"/>
      <c r="DDA14" s="57"/>
      <c r="DDB14" s="57"/>
      <c r="DDC14" s="56"/>
      <c r="DDD14" s="57"/>
      <c r="DDE14" s="57"/>
      <c r="DDF14" s="56"/>
      <c r="DDG14" s="57"/>
      <c r="DDH14" s="58"/>
      <c r="DDI14" s="56"/>
      <c r="DDJ14" s="58"/>
      <c r="DDK14" s="57"/>
      <c r="DDL14" s="56"/>
      <c r="DDM14" s="57"/>
      <c r="DDN14" s="56"/>
      <c r="DDO14" s="56"/>
      <c r="DDP14" s="56"/>
      <c r="DDQ14" s="57"/>
      <c r="DDR14" s="387"/>
      <c r="DDS14" s="57"/>
      <c r="DDT14" s="387"/>
      <c r="DDU14" s="57"/>
      <c r="DDV14" s="38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8"/>
      <c r="DFC14" s="56"/>
      <c r="DFD14" s="57"/>
      <c r="DFE14" s="57"/>
      <c r="DFF14" s="57"/>
      <c r="DFG14" s="57"/>
      <c r="DFH14" s="57"/>
      <c r="DFI14" s="56"/>
      <c r="DFJ14" s="57"/>
      <c r="DFK14" s="57"/>
      <c r="DFL14" s="56"/>
      <c r="DFM14" s="57"/>
      <c r="DFN14" s="58"/>
      <c r="DFO14" s="56"/>
      <c r="DFP14" s="57"/>
      <c r="DFQ14" s="57"/>
      <c r="DFR14" s="57"/>
      <c r="DFS14" s="56"/>
      <c r="DFT14" s="57"/>
      <c r="DFU14" s="57"/>
      <c r="DFV14" s="56"/>
      <c r="DFW14" s="57"/>
      <c r="DFX14" s="58"/>
      <c r="DFY14" s="56"/>
      <c r="DFZ14" s="57"/>
      <c r="DGA14" s="57"/>
      <c r="DGB14" s="57"/>
      <c r="DGC14" s="56"/>
      <c r="DGD14" s="57"/>
      <c r="DGE14" s="57"/>
      <c r="DGF14" s="56"/>
      <c r="DGG14" s="57"/>
      <c r="DGH14" s="58"/>
      <c r="DGI14" s="56"/>
      <c r="DGJ14" s="57"/>
      <c r="DGK14" s="57"/>
      <c r="DGL14" s="57"/>
      <c r="DGM14" s="56"/>
      <c r="DGN14" s="57"/>
      <c r="DGO14" s="57"/>
      <c r="DGP14" s="56"/>
      <c r="DGQ14" s="57"/>
      <c r="DGR14" s="58"/>
      <c r="DGS14" s="56"/>
      <c r="DGT14" s="58"/>
      <c r="DGU14" s="57"/>
      <c r="DGV14" s="56"/>
      <c r="DGW14" s="57"/>
      <c r="DGX14" s="56"/>
      <c r="DGY14" s="56"/>
      <c r="DGZ14" s="56"/>
      <c r="DHA14" s="57"/>
      <c r="DHB14" s="387"/>
      <c r="DHC14" s="57"/>
      <c r="DHD14" s="387"/>
      <c r="DHE14" s="57"/>
      <c r="DHF14" s="38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8"/>
      <c r="DIM14" s="56"/>
      <c r="DIN14" s="57"/>
      <c r="DIO14" s="57"/>
      <c r="DIP14" s="57"/>
      <c r="DIQ14" s="57"/>
      <c r="DIR14" s="57"/>
      <c r="DIS14" s="56"/>
      <c r="DIT14" s="57"/>
      <c r="DIU14" s="57"/>
      <c r="DIV14" s="56"/>
      <c r="DIW14" s="57"/>
      <c r="DIX14" s="58"/>
      <c r="DIY14" s="56"/>
      <c r="DIZ14" s="57"/>
      <c r="DJA14" s="57"/>
      <c r="DJB14" s="57"/>
      <c r="DJC14" s="56"/>
      <c r="DJD14" s="57"/>
      <c r="DJE14" s="57"/>
      <c r="DJF14" s="56"/>
      <c r="DJG14" s="57"/>
      <c r="DJH14" s="58"/>
      <c r="DJI14" s="56"/>
      <c r="DJJ14" s="57"/>
      <c r="DJK14" s="57"/>
      <c r="DJL14" s="57"/>
      <c r="DJM14" s="56"/>
      <c r="DJN14" s="57"/>
      <c r="DJO14" s="57"/>
      <c r="DJP14" s="56"/>
      <c r="DJQ14" s="57"/>
      <c r="DJR14" s="58"/>
      <c r="DJS14" s="56"/>
      <c r="DJT14" s="57"/>
      <c r="DJU14" s="57"/>
      <c r="DJV14" s="57"/>
      <c r="DJW14" s="56"/>
      <c r="DJX14" s="57"/>
      <c r="DJY14" s="57"/>
      <c r="DJZ14" s="56"/>
      <c r="DKA14" s="57"/>
      <c r="DKB14" s="58"/>
      <c r="DKC14" s="56"/>
      <c r="DKD14" s="58"/>
      <c r="DKE14" s="57"/>
      <c r="DKF14" s="56"/>
      <c r="DKG14" s="57"/>
      <c r="DKH14" s="56"/>
      <c r="DKI14" s="56"/>
      <c r="DKJ14" s="56"/>
      <c r="DKK14" s="57"/>
      <c r="DKL14" s="387"/>
      <c r="DKM14" s="57"/>
      <c r="DKN14" s="387"/>
      <c r="DKO14" s="57"/>
      <c r="DKP14" s="38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8"/>
      <c r="DLW14" s="56"/>
      <c r="DLX14" s="57"/>
      <c r="DLY14" s="57"/>
      <c r="DLZ14" s="57"/>
      <c r="DMA14" s="57"/>
      <c r="DMB14" s="57"/>
      <c r="DMC14" s="56"/>
      <c r="DMD14" s="57"/>
      <c r="DME14" s="57"/>
      <c r="DMF14" s="56"/>
      <c r="DMG14" s="57"/>
      <c r="DMH14" s="58"/>
      <c r="DMI14" s="56"/>
      <c r="DMJ14" s="57"/>
      <c r="DMK14" s="57"/>
      <c r="DML14" s="57"/>
      <c r="DMM14" s="56"/>
      <c r="DMN14" s="57"/>
      <c r="DMO14" s="57"/>
      <c r="DMP14" s="56"/>
      <c r="DMQ14" s="57"/>
      <c r="DMR14" s="58"/>
      <c r="DMS14" s="56"/>
      <c r="DMT14" s="57"/>
      <c r="DMU14" s="57"/>
      <c r="DMV14" s="57"/>
      <c r="DMW14" s="56"/>
      <c r="DMX14" s="57"/>
      <c r="DMY14" s="57"/>
      <c r="DMZ14" s="56"/>
      <c r="DNA14" s="57"/>
      <c r="DNB14" s="58"/>
      <c r="DNC14" s="56"/>
      <c r="DND14" s="57"/>
      <c r="DNE14" s="57"/>
      <c r="DNF14" s="57"/>
      <c r="DNG14" s="56"/>
      <c r="DNH14" s="57"/>
      <c r="DNI14" s="57"/>
      <c r="DNJ14" s="56"/>
      <c r="DNK14" s="57"/>
      <c r="DNL14" s="58"/>
      <c r="DNM14" s="56"/>
      <c r="DNN14" s="58"/>
      <c r="DNO14" s="57"/>
      <c r="DNP14" s="56"/>
      <c r="DNQ14" s="57"/>
      <c r="DNR14" s="56"/>
      <c r="DNS14" s="56"/>
      <c r="DNT14" s="56"/>
      <c r="DNU14" s="57"/>
      <c r="DNV14" s="387"/>
      <c r="DNW14" s="57"/>
      <c r="DNX14" s="387"/>
      <c r="DNY14" s="57"/>
      <c r="DNZ14" s="38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8"/>
      <c r="DPG14" s="56"/>
      <c r="DPH14" s="57"/>
      <c r="DPI14" s="57"/>
      <c r="DPJ14" s="57"/>
      <c r="DPK14" s="57"/>
      <c r="DPL14" s="57"/>
      <c r="DPM14" s="56"/>
      <c r="DPN14" s="57"/>
      <c r="DPO14" s="57"/>
      <c r="DPP14" s="56"/>
      <c r="DPQ14" s="57"/>
      <c r="DPR14" s="58"/>
      <c r="DPS14" s="56"/>
      <c r="DPT14" s="57"/>
      <c r="DPU14" s="57"/>
      <c r="DPV14" s="57"/>
      <c r="DPW14" s="56"/>
      <c r="DPX14" s="57"/>
      <c r="DPY14" s="57"/>
      <c r="DPZ14" s="56"/>
      <c r="DQA14" s="57"/>
      <c r="DQB14" s="58"/>
      <c r="DQC14" s="56"/>
      <c r="DQD14" s="57"/>
      <c r="DQE14" s="57"/>
      <c r="DQF14" s="57"/>
      <c r="DQG14" s="56"/>
      <c r="DQH14" s="57"/>
      <c r="DQI14" s="57"/>
      <c r="DQJ14" s="56"/>
      <c r="DQK14" s="57"/>
      <c r="DQL14" s="58"/>
      <c r="DQM14" s="56"/>
      <c r="DQN14" s="57"/>
      <c r="DQO14" s="57"/>
      <c r="DQP14" s="57"/>
      <c r="DQQ14" s="56"/>
      <c r="DQR14" s="57"/>
      <c r="DQS14" s="57"/>
      <c r="DQT14" s="56"/>
      <c r="DQU14" s="57"/>
      <c r="DQV14" s="58"/>
      <c r="DQW14" s="56"/>
      <c r="DQX14" s="58"/>
      <c r="DQY14" s="57"/>
      <c r="DQZ14" s="56"/>
      <c r="DRA14" s="57"/>
      <c r="DRB14" s="56"/>
      <c r="DRC14" s="56"/>
      <c r="DRD14" s="56"/>
      <c r="DRE14" s="57"/>
      <c r="DRF14" s="387"/>
      <c r="DRG14" s="57"/>
      <c r="DRH14" s="387"/>
      <c r="DRI14" s="57"/>
      <c r="DRJ14" s="38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8"/>
      <c r="DSQ14" s="56"/>
      <c r="DSR14" s="57"/>
      <c r="DSS14" s="57"/>
      <c r="DST14" s="57"/>
      <c r="DSU14" s="57"/>
      <c r="DSV14" s="57"/>
      <c r="DSW14" s="56"/>
      <c r="DSX14" s="57"/>
      <c r="DSY14" s="57"/>
      <c r="DSZ14" s="56"/>
      <c r="DTA14" s="57"/>
      <c r="DTB14" s="58"/>
      <c r="DTC14" s="56"/>
      <c r="DTD14" s="57"/>
      <c r="DTE14" s="57"/>
      <c r="DTF14" s="57"/>
      <c r="DTG14" s="56"/>
      <c r="DTH14" s="57"/>
      <c r="DTI14" s="57"/>
      <c r="DTJ14" s="56"/>
      <c r="DTK14" s="57"/>
      <c r="DTL14" s="58"/>
      <c r="DTM14" s="56"/>
      <c r="DTN14" s="57"/>
      <c r="DTO14" s="57"/>
      <c r="DTP14" s="57"/>
      <c r="DTQ14" s="56"/>
      <c r="DTR14" s="57"/>
      <c r="DTS14" s="57"/>
      <c r="DTT14" s="56"/>
      <c r="DTU14" s="57"/>
      <c r="DTV14" s="58"/>
      <c r="DTW14" s="56"/>
      <c r="DTX14" s="57"/>
      <c r="DTY14" s="57"/>
      <c r="DTZ14" s="57"/>
      <c r="DUA14" s="56"/>
      <c r="DUB14" s="57"/>
      <c r="DUC14" s="57"/>
      <c r="DUD14" s="56"/>
      <c r="DUE14" s="57"/>
      <c r="DUF14" s="58"/>
      <c r="DUG14" s="56"/>
      <c r="DUH14" s="58"/>
      <c r="DUI14" s="57"/>
      <c r="DUJ14" s="56"/>
      <c r="DUK14" s="57"/>
      <c r="DUL14" s="56"/>
      <c r="DUM14" s="56"/>
      <c r="DUN14" s="56"/>
      <c r="DUO14" s="57"/>
      <c r="DUP14" s="387"/>
      <c r="DUQ14" s="57"/>
      <c r="DUR14" s="387"/>
      <c r="DUS14" s="57"/>
      <c r="DUT14" s="38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8"/>
      <c r="DWA14" s="56"/>
      <c r="DWB14" s="57"/>
      <c r="DWC14" s="57"/>
      <c r="DWD14" s="57"/>
      <c r="DWE14" s="57"/>
      <c r="DWF14" s="57"/>
      <c r="DWG14" s="56"/>
      <c r="DWH14" s="57"/>
      <c r="DWI14" s="57"/>
      <c r="DWJ14" s="56"/>
      <c r="DWK14" s="57"/>
      <c r="DWL14" s="58"/>
      <c r="DWM14" s="56"/>
      <c r="DWN14" s="57"/>
      <c r="DWO14" s="57"/>
      <c r="DWP14" s="57"/>
      <c r="DWQ14" s="56"/>
      <c r="DWR14" s="57"/>
      <c r="DWS14" s="57"/>
      <c r="DWT14" s="56"/>
      <c r="DWU14" s="57"/>
      <c r="DWV14" s="58"/>
      <c r="DWW14" s="56"/>
      <c r="DWX14" s="57"/>
      <c r="DWY14" s="57"/>
      <c r="DWZ14" s="57"/>
      <c r="DXA14" s="56"/>
      <c r="DXB14" s="57"/>
      <c r="DXC14" s="57"/>
      <c r="DXD14" s="56"/>
      <c r="DXE14" s="57"/>
      <c r="DXF14" s="58"/>
      <c r="DXG14" s="56"/>
      <c r="DXH14" s="57"/>
      <c r="DXI14" s="57"/>
      <c r="DXJ14" s="57"/>
      <c r="DXK14" s="56"/>
      <c r="DXL14" s="57"/>
      <c r="DXM14" s="57"/>
      <c r="DXN14" s="56"/>
      <c r="DXO14" s="57"/>
      <c r="DXP14" s="58"/>
      <c r="DXQ14" s="56"/>
      <c r="DXR14" s="58"/>
      <c r="DXS14" s="57"/>
      <c r="DXT14" s="56"/>
      <c r="DXU14" s="57"/>
      <c r="DXV14" s="56"/>
      <c r="DXW14" s="56"/>
      <c r="DXX14" s="56"/>
      <c r="DXY14" s="57"/>
      <c r="DXZ14" s="387"/>
      <c r="DYA14" s="57"/>
      <c r="DYB14" s="387"/>
      <c r="DYC14" s="57"/>
      <c r="DYD14" s="38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8"/>
      <c r="DZK14" s="56"/>
      <c r="DZL14" s="57"/>
      <c r="DZM14" s="57"/>
      <c r="DZN14" s="57"/>
      <c r="DZO14" s="57"/>
      <c r="DZP14" s="57"/>
      <c r="DZQ14" s="56"/>
      <c r="DZR14" s="57"/>
      <c r="DZS14" s="57"/>
      <c r="DZT14" s="56"/>
      <c r="DZU14" s="57"/>
      <c r="DZV14" s="58"/>
      <c r="DZW14" s="56"/>
      <c r="DZX14" s="57"/>
      <c r="DZY14" s="57"/>
      <c r="DZZ14" s="57"/>
      <c r="EAA14" s="56"/>
      <c r="EAB14" s="57"/>
      <c r="EAC14" s="57"/>
      <c r="EAD14" s="56"/>
      <c r="EAE14" s="57"/>
      <c r="EAF14" s="58"/>
      <c r="EAG14" s="56"/>
      <c r="EAH14" s="57"/>
      <c r="EAI14" s="57"/>
      <c r="EAJ14" s="57"/>
      <c r="EAK14" s="56"/>
      <c r="EAL14" s="57"/>
      <c r="EAM14" s="57"/>
      <c r="EAN14" s="56"/>
      <c r="EAO14" s="57"/>
      <c r="EAP14" s="58"/>
      <c r="EAQ14" s="56"/>
      <c r="EAR14" s="57"/>
      <c r="EAS14" s="57"/>
      <c r="EAT14" s="57"/>
      <c r="EAU14" s="56"/>
      <c r="EAV14" s="57"/>
      <c r="EAW14" s="57"/>
      <c r="EAX14" s="56"/>
      <c r="EAY14" s="57"/>
      <c r="EAZ14" s="58"/>
      <c r="EBA14" s="56"/>
      <c r="EBB14" s="58"/>
      <c r="EBC14" s="57"/>
      <c r="EBD14" s="56"/>
      <c r="EBE14" s="57"/>
      <c r="EBF14" s="56"/>
      <c r="EBG14" s="56"/>
      <c r="EBH14" s="56"/>
      <c r="EBI14" s="57"/>
      <c r="EBJ14" s="387"/>
      <c r="EBK14" s="57"/>
      <c r="EBL14" s="387"/>
      <c r="EBM14" s="57"/>
      <c r="EBN14" s="38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8"/>
      <c r="ECU14" s="56"/>
      <c r="ECV14" s="57"/>
      <c r="ECW14" s="57"/>
      <c r="ECX14" s="57"/>
      <c r="ECY14" s="57"/>
      <c r="ECZ14" s="57"/>
      <c r="EDA14" s="56"/>
      <c r="EDB14" s="57"/>
      <c r="EDC14" s="57"/>
      <c r="EDD14" s="56"/>
      <c r="EDE14" s="57"/>
      <c r="EDF14" s="58"/>
      <c r="EDG14" s="56"/>
      <c r="EDH14" s="57"/>
      <c r="EDI14" s="57"/>
      <c r="EDJ14" s="57"/>
      <c r="EDK14" s="56"/>
      <c r="EDL14" s="57"/>
      <c r="EDM14" s="57"/>
      <c r="EDN14" s="56"/>
      <c r="EDO14" s="57"/>
      <c r="EDP14" s="58"/>
      <c r="EDQ14" s="56"/>
      <c r="EDR14" s="57"/>
      <c r="EDS14" s="57"/>
      <c r="EDT14" s="57"/>
      <c r="EDU14" s="56"/>
      <c r="EDV14" s="57"/>
      <c r="EDW14" s="57"/>
      <c r="EDX14" s="56"/>
      <c r="EDY14" s="57"/>
      <c r="EDZ14" s="58"/>
      <c r="EEA14" s="56"/>
      <c r="EEB14" s="57"/>
      <c r="EEC14" s="57"/>
      <c r="EED14" s="57"/>
      <c r="EEE14" s="56"/>
      <c r="EEF14" s="57"/>
      <c r="EEG14" s="57"/>
      <c r="EEH14" s="56"/>
      <c r="EEI14" s="57"/>
      <c r="EEJ14" s="58"/>
      <c r="EEK14" s="56"/>
      <c r="EEL14" s="58"/>
      <c r="EEM14" s="57"/>
      <c r="EEN14" s="56"/>
      <c r="EEO14" s="57"/>
      <c r="EEP14" s="56"/>
      <c r="EEQ14" s="56"/>
      <c r="EER14" s="56"/>
      <c r="EES14" s="57"/>
      <c r="EET14" s="387"/>
      <c r="EEU14" s="57"/>
      <c r="EEV14" s="387"/>
      <c r="EEW14" s="57"/>
      <c r="EEX14" s="38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8"/>
      <c r="EGE14" s="56"/>
      <c r="EGF14" s="57"/>
      <c r="EGG14" s="57"/>
      <c r="EGH14" s="57"/>
      <c r="EGI14" s="57"/>
      <c r="EGJ14" s="57"/>
      <c r="EGK14" s="56"/>
      <c r="EGL14" s="57"/>
      <c r="EGM14" s="57"/>
      <c r="EGN14" s="56"/>
      <c r="EGO14" s="57"/>
      <c r="EGP14" s="58"/>
      <c r="EGQ14" s="56"/>
      <c r="EGR14" s="57"/>
      <c r="EGS14" s="57"/>
      <c r="EGT14" s="57"/>
      <c r="EGU14" s="56"/>
      <c r="EGV14" s="57"/>
      <c r="EGW14" s="57"/>
      <c r="EGX14" s="56"/>
      <c r="EGY14" s="57"/>
      <c r="EGZ14" s="58"/>
      <c r="EHA14" s="56"/>
      <c r="EHB14" s="57"/>
      <c r="EHC14" s="57"/>
      <c r="EHD14" s="57"/>
      <c r="EHE14" s="56"/>
      <c r="EHF14" s="57"/>
      <c r="EHG14" s="57"/>
      <c r="EHH14" s="56"/>
      <c r="EHI14" s="57"/>
      <c r="EHJ14" s="58"/>
      <c r="EHK14" s="56"/>
      <c r="EHL14" s="57"/>
      <c r="EHM14" s="57"/>
      <c r="EHN14" s="57"/>
      <c r="EHO14" s="56"/>
      <c r="EHP14" s="57"/>
      <c r="EHQ14" s="57"/>
      <c r="EHR14" s="56"/>
      <c r="EHS14" s="57"/>
      <c r="EHT14" s="58"/>
      <c r="EHU14" s="56"/>
      <c r="EHV14" s="58"/>
      <c r="EHW14" s="57"/>
      <c r="EHX14" s="56"/>
      <c r="EHY14" s="57"/>
      <c r="EHZ14" s="56"/>
      <c r="EIA14" s="56"/>
      <c r="EIB14" s="56"/>
      <c r="EIC14" s="57"/>
      <c r="EID14" s="387"/>
      <c r="EIE14" s="57"/>
      <c r="EIF14" s="387"/>
      <c r="EIG14" s="57"/>
      <c r="EIH14" s="38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8"/>
      <c r="EJO14" s="56"/>
      <c r="EJP14" s="57"/>
      <c r="EJQ14" s="57"/>
      <c r="EJR14" s="57"/>
      <c r="EJS14" s="57"/>
      <c r="EJT14" s="57"/>
      <c r="EJU14" s="56"/>
      <c r="EJV14" s="57"/>
      <c r="EJW14" s="57"/>
      <c r="EJX14" s="56"/>
      <c r="EJY14" s="57"/>
      <c r="EJZ14" s="58"/>
      <c r="EKA14" s="56"/>
      <c r="EKB14" s="57"/>
      <c r="EKC14" s="57"/>
      <c r="EKD14" s="57"/>
      <c r="EKE14" s="56"/>
      <c r="EKF14" s="57"/>
      <c r="EKG14" s="57"/>
      <c r="EKH14" s="56"/>
      <c r="EKI14" s="57"/>
      <c r="EKJ14" s="58"/>
      <c r="EKK14" s="56"/>
      <c r="EKL14" s="57"/>
      <c r="EKM14" s="57"/>
      <c r="EKN14" s="57"/>
      <c r="EKO14" s="56"/>
      <c r="EKP14" s="57"/>
      <c r="EKQ14" s="57"/>
      <c r="EKR14" s="56"/>
      <c r="EKS14" s="57"/>
      <c r="EKT14" s="58"/>
      <c r="EKU14" s="56"/>
      <c r="EKV14" s="57"/>
      <c r="EKW14" s="57"/>
      <c r="EKX14" s="57"/>
      <c r="EKY14" s="56"/>
      <c r="EKZ14" s="57"/>
      <c r="ELA14" s="57"/>
      <c r="ELB14" s="56"/>
      <c r="ELC14" s="57"/>
      <c r="ELD14" s="58"/>
      <c r="ELE14" s="56"/>
      <c r="ELF14" s="58"/>
      <c r="ELG14" s="57"/>
      <c r="ELH14" s="56"/>
      <c r="ELI14" s="57"/>
      <c r="ELJ14" s="56"/>
      <c r="ELK14" s="56"/>
      <c r="ELL14" s="56"/>
      <c r="ELM14" s="57"/>
      <c r="ELN14" s="387"/>
      <c r="ELO14" s="57"/>
      <c r="ELP14" s="387"/>
      <c r="ELQ14" s="57"/>
      <c r="ELR14" s="38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8"/>
      <c r="EMY14" s="56"/>
      <c r="EMZ14" s="57"/>
      <c r="ENA14" s="57"/>
      <c r="ENB14" s="57"/>
      <c r="ENC14" s="57"/>
      <c r="END14" s="57"/>
      <c r="ENE14" s="56"/>
      <c r="ENF14" s="57"/>
      <c r="ENG14" s="57"/>
      <c r="ENH14" s="56"/>
      <c r="ENI14" s="57"/>
      <c r="ENJ14" s="58"/>
      <c r="ENK14" s="56"/>
      <c r="ENL14" s="57"/>
      <c r="ENM14" s="57"/>
      <c r="ENN14" s="57"/>
      <c r="ENO14" s="56"/>
      <c r="ENP14" s="57"/>
      <c r="ENQ14" s="57"/>
      <c r="ENR14" s="56"/>
      <c r="ENS14" s="57"/>
      <c r="ENT14" s="58"/>
      <c r="ENU14" s="56"/>
      <c r="ENV14" s="57"/>
      <c r="ENW14" s="57"/>
      <c r="ENX14" s="57"/>
      <c r="ENY14" s="56"/>
      <c r="ENZ14" s="57"/>
      <c r="EOA14" s="57"/>
      <c r="EOB14" s="56"/>
      <c r="EOC14" s="57"/>
      <c r="EOD14" s="58"/>
      <c r="EOE14" s="56"/>
      <c r="EOF14" s="57"/>
      <c r="EOG14" s="57"/>
      <c r="EOH14" s="57"/>
      <c r="EOI14" s="56"/>
      <c r="EOJ14" s="57"/>
      <c r="EOK14" s="57"/>
      <c r="EOL14" s="56"/>
      <c r="EOM14" s="57"/>
      <c r="EON14" s="58"/>
      <c r="EOO14" s="56" t="str">
        <f t="shared" si="149"/>
        <v xml:space="preserve"> </v>
      </c>
      <c r="EOP14" s="58"/>
      <c r="EOQ14" s="57"/>
      <c r="EOR14" s="56"/>
      <c r="EOS14" s="57"/>
      <c r="EOT14" s="56"/>
      <c r="EOU14" s="56"/>
      <c r="EOV14" s="56"/>
      <c r="EOW14" s="57"/>
      <c r="EOX14" s="387"/>
      <c r="EOY14" s="57"/>
      <c r="EOZ14" s="387"/>
      <c r="EPA14" s="57"/>
      <c r="EPB14" s="38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8"/>
      <c r="EQI14" s="56"/>
      <c r="EQJ14" s="57"/>
      <c r="EQK14" s="57"/>
      <c r="EQL14" s="57"/>
      <c r="EQM14" s="57"/>
      <c r="EQN14" s="57"/>
      <c r="EQO14" s="56"/>
      <c r="EQP14" s="57"/>
      <c r="EQQ14" s="57"/>
      <c r="EQR14" s="56"/>
      <c r="EQS14" s="57"/>
      <c r="EQT14" s="58"/>
      <c r="EQU14" s="56"/>
      <c r="EQV14" s="57"/>
      <c r="EQW14" s="57"/>
      <c r="EQX14" s="57"/>
      <c r="EQY14" s="56"/>
      <c r="EQZ14" s="57"/>
      <c r="ERA14" s="57"/>
      <c r="ERB14" s="56"/>
      <c r="ERC14" s="57"/>
      <c r="ERD14" s="58"/>
      <c r="ERE14" s="56"/>
      <c r="ERF14" s="57"/>
      <c r="ERG14" s="57"/>
      <c r="ERH14" s="57"/>
      <c r="ERI14" s="56"/>
      <c r="ERJ14" s="57"/>
      <c r="ERK14" s="57"/>
      <c r="ERL14" s="56"/>
      <c r="ERM14" s="57"/>
      <c r="ERN14" s="58"/>
      <c r="ERO14" s="56"/>
      <c r="ERP14" s="57"/>
      <c r="ERQ14" s="57"/>
      <c r="ERR14" s="57"/>
      <c r="ERS14" s="56"/>
      <c r="ERT14" s="57"/>
      <c r="ERU14" s="57"/>
      <c r="ERV14" s="56"/>
      <c r="ERW14" s="57"/>
      <c r="ERX14" s="58"/>
      <c r="ERY14" s="56" t="str">
        <f t="shared" si="150"/>
        <v xml:space="preserve"> </v>
      </c>
      <c r="ERZ14" s="58"/>
      <c r="ESA14" s="57"/>
      <c r="ESB14" s="56"/>
      <c r="ESC14" s="57"/>
      <c r="ESD14" s="56"/>
      <c r="ESE14" s="56"/>
      <c r="ESF14" s="56"/>
      <c r="ESG14" s="57"/>
      <c r="ESH14" s="387"/>
      <c r="ESI14" s="57"/>
      <c r="ESJ14" s="387"/>
      <c r="ESK14" s="57"/>
      <c r="ESL14" s="38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8"/>
      <c r="ETS14" s="56"/>
      <c r="ETT14" s="57"/>
      <c r="ETU14" s="57"/>
      <c r="ETV14" s="57"/>
      <c r="ETW14" s="57"/>
      <c r="ETX14" s="57"/>
      <c r="ETY14" s="56"/>
      <c r="ETZ14" s="57"/>
      <c r="EUA14" s="57"/>
      <c r="EUB14" s="56"/>
      <c r="EUC14" s="57"/>
      <c r="EUD14" s="58"/>
      <c r="EUE14" s="56"/>
      <c r="EUF14" s="57"/>
      <c r="EUG14" s="57"/>
      <c r="EUH14" s="57"/>
      <c r="EUI14" s="56"/>
      <c r="EUJ14" s="57"/>
      <c r="EUK14" s="57"/>
      <c r="EUL14" s="56"/>
      <c r="EUM14" s="57"/>
      <c r="EUN14" s="58"/>
      <c r="EUO14" s="56"/>
      <c r="EUP14" s="57"/>
      <c r="EUQ14" s="57"/>
      <c r="EUR14" s="57"/>
      <c r="EUS14" s="56"/>
      <c r="EUT14" s="57"/>
      <c r="EUU14" s="57"/>
      <c r="EUV14" s="56"/>
      <c r="EUW14" s="57"/>
      <c r="EUX14" s="58"/>
      <c r="EUY14" s="56"/>
      <c r="EUZ14" s="57"/>
      <c r="EVA14" s="57"/>
      <c r="EVB14" s="57"/>
      <c r="EVC14" s="56"/>
      <c r="EVD14" s="57"/>
      <c r="EVE14" s="57"/>
      <c r="EVF14" s="56"/>
      <c r="EVG14" s="57"/>
      <c r="EVH14" s="58"/>
      <c r="EVI14" s="56" t="str">
        <f t="shared" si="151"/>
        <v xml:space="preserve"> </v>
      </c>
    </row>
    <row r="15" spans="1:3961" x14ac:dyDescent="0.3">
      <c r="A15" s="423" t="s">
        <v>154</v>
      </c>
      <c r="B15" s="30" t="str">
        <f>'REG y VAL POE - AESR - ESR'!B812</f>
        <v xml:space="preserve">Armenta Rodriguez Jesus Aaron </v>
      </c>
      <c r="C15" s="29" t="str">
        <f>'REG y VAL POE - AESR - ESR'!C812</f>
        <v>Sin Registro</v>
      </c>
      <c r="D15" s="28">
        <f>'REG y VAL POE - AESR - ESR'!D812</f>
        <v>23066830</v>
      </c>
      <c r="E15" s="29">
        <f>'REG y VAL POE - AESR - ESR'!E812</f>
        <v>0</v>
      </c>
      <c r="F15" s="28">
        <f>'REG y VAL POE - AESR - ESR'!F812</f>
        <v>0</v>
      </c>
      <c r="G15" s="31">
        <f>'REG y VAL POE - AESR - ESR'!G812</f>
        <v>0</v>
      </c>
      <c r="H15" s="31">
        <f>'REG y VAL POE - AESR - ESR'!H812</f>
        <v>0</v>
      </c>
      <c r="I15" s="29">
        <f>'REG y VAL POE - AESR - ESR'!I812</f>
        <v>0</v>
      </c>
      <c r="J15" s="29">
        <f>'REG y VAL POE - AESR - ESR'!J812</f>
        <v>0</v>
      </c>
      <c r="K15" s="29">
        <f>'REG y VAL POE - AESR - ESR'!K812</f>
        <v>0</v>
      </c>
      <c r="L15" s="29">
        <f>'REG y VAL POE - AESR - ESR'!L812</f>
        <v>0</v>
      </c>
      <c r="M15" s="29">
        <f>'REG y VAL POE - AESR - ESR'!M812</f>
        <v>0</v>
      </c>
      <c r="N15" s="29">
        <f>'REG y VAL POE - AESR - ESR'!N812</f>
        <v>0</v>
      </c>
      <c r="O15" s="29">
        <f>'REG y VAL POE - AESR - ESR'!O812</f>
        <v>0</v>
      </c>
      <c r="P15" s="29">
        <f>'REG y VAL POE - AESR - ESR'!P812</f>
        <v>0</v>
      </c>
      <c r="Q15" s="29">
        <f>'REG y VAL POE - AESR - ESR'!Q812</f>
        <v>0</v>
      </c>
      <c r="R15" s="29">
        <f>'REG y VAL POE - AESR - ESR'!R812</f>
        <v>0</v>
      </c>
      <c r="S15" s="29">
        <f>'REG y VAL POE - AESR - ESR'!S812</f>
        <v>0</v>
      </c>
      <c r="T15" s="29">
        <f>'REG y VAL POE - AESR - ESR'!T812</f>
        <v>0</v>
      </c>
      <c r="U15" s="29">
        <f>'REG y VAL POE - AESR - ESR'!U812</f>
        <v>0</v>
      </c>
      <c r="V15" s="29">
        <f>'REG y VAL POE - AESR - ESR'!V812</f>
        <v>0</v>
      </c>
      <c r="W15" s="29">
        <f>'REG y VAL POE - AESR - ESR'!W812</f>
        <v>0</v>
      </c>
      <c r="X15" s="29">
        <f>'REG y VAL POE - AESR - ESR'!X812</f>
        <v>0</v>
      </c>
      <c r="Y15" s="29">
        <f>'REG y VAL POE - AESR - ESR'!Y812</f>
        <v>0</v>
      </c>
      <c r="Z15" s="29">
        <f>'REG y VAL POE - AESR - ESR'!Z812</f>
        <v>0</v>
      </c>
      <c r="AA15" s="29">
        <f>'REG y VAL POE - AESR - ESR'!AA812</f>
        <v>0</v>
      </c>
      <c r="AB15" s="29">
        <f>'REG y VAL POE - AESR - ESR'!AB812</f>
        <v>0</v>
      </c>
      <c r="AC15" s="29">
        <f>'REG y VAL POE - AESR - ESR'!AC812</f>
        <v>0</v>
      </c>
      <c r="AD15" s="29">
        <f>'REG y VAL POE - AESR - ESR'!AD812</f>
        <v>0</v>
      </c>
      <c r="AE15" s="29">
        <f>'REG y VAL POE - AESR - ESR'!AE812</f>
        <v>0</v>
      </c>
      <c r="AF15" s="29">
        <f>'REG y VAL POE - AESR - ESR'!AF812</f>
        <v>0</v>
      </c>
      <c r="AG15" s="29">
        <f>'REG y VAL POE - AESR - ESR'!AG812</f>
        <v>0</v>
      </c>
      <c r="AH15" s="29">
        <f>'REG y VAL POE - AESR - ESR'!AH812</f>
        <v>0</v>
      </c>
      <c r="AI15" s="29">
        <f>'REG y VAL POE - AESR - ESR'!AI812</f>
        <v>0</v>
      </c>
      <c r="AJ15" s="29">
        <f>'REG y VAL POE - AESR - ESR'!AJ812</f>
        <v>0</v>
      </c>
      <c r="AK15" s="29">
        <f>'REG y VAL POE - AESR - ESR'!AK812</f>
        <v>0</v>
      </c>
      <c r="AL15" s="29">
        <f>'REG y VAL POE - AESR - ESR'!AL812</f>
        <v>0</v>
      </c>
      <c r="AM15" s="29">
        <f>'REG y VAL POE - AESR - ESR'!AM812</f>
        <v>0</v>
      </c>
      <c r="AN15" s="29">
        <f>'REG y VAL POE - AESR - ESR'!AN812</f>
        <v>0</v>
      </c>
      <c r="AO15" s="29">
        <f>'REG y VAL POE - AESR - ESR'!AO812</f>
        <v>0</v>
      </c>
      <c r="AP15" s="29">
        <f>'REG y VAL POE - AESR - ESR'!AP812</f>
        <v>0</v>
      </c>
      <c r="AQ15" s="29">
        <f>'REG y VAL POE - AESR - ESR'!AQ812</f>
        <v>0</v>
      </c>
      <c r="AR15" s="29">
        <f>'REG y VAL POE - AESR - ESR'!AR812</f>
        <v>0</v>
      </c>
      <c r="AS15" s="29">
        <f>'REG y VAL POE - AESR - ESR'!AS812</f>
        <v>0</v>
      </c>
      <c r="AT15" s="30" t="str">
        <f>'REG y VAL POE - AESR - ESR'!B813</f>
        <v xml:space="preserve">Beltran Ambriz Oscar Gerardo </v>
      </c>
      <c r="AU15" s="28" t="str">
        <f>'REG y VAL POE - AESR - ESR'!C813</f>
        <v>Sin Registro</v>
      </c>
      <c r="AV15" s="29">
        <f>'REG y VAL POE - AESR - ESR'!D813</f>
        <v>23072068</v>
      </c>
      <c r="AW15" s="30">
        <f>'REG y VAL POE - AESR - ESR'!E813</f>
        <v>0</v>
      </c>
      <c r="AX15" s="29">
        <f>'REG y VAL POE - AESR - ESR'!F813</f>
        <v>0</v>
      </c>
      <c r="AY15" s="29">
        <f>'REG y VAL POE - AESR - ESR'!G813</f>
        <v>0</v>
      </c>
      <c r="AZ15" s="29">
        <f>'REG y VAL POE - AESR - ESR'!H813</f>
        <v>0</v>
      </c>
      <c r="BA15" s="28">
        <f>'REG y VAL POE - AESR - ESR'!I813</f>
        <v>0</v>
      </c>
      <c r="BB15" s="29">
        <f>'REG y VAL POE - AESR - ESR'!J813</f>
        <v>0</v>
      </c>
      <c r="BC15" s="29">
        <f>'REG y VAL POE - AESR - ESR'!K813</f>
        <v>0</v>
      </c>
      <c r="BD15" s="28">
        <f>'REG y VAL POE - AESR - ESR'!L813</f>
        <v>0</v>
      </c>
      <c r="BE15" s="29">
        <f>'REG y VAL POE - AESR - ESR'!M813</f>
        <v>0</v>
      </c>
      <c r="BF15" s="30">
        <f>'REG y VAL POE - AESR - ESR'!N813</f>
        <v>0</v>
      </c>
      <c r="BG15" s="28">
        <f>'REG y VAL POE - AESR - ESR'!O813</f>
        <v>0</v>
      </c>
      <c r="BH15" s="29">
        <f>'REG y VAL POE - AESR - ESR'!P813</f>
        <v>0</v>
      </c>
      <c r="BI15" s="30">
        <f>'REG y VAL POE - AESR - ESR'!Q813</f>
        <v>0</v>
      </c>
      <c r="BJ15" s="29">
        <f>'REG y VAL POE - AESR - ESR'!R813</f>
        <v>0</v>
      </c>
      <c r="BK15" s="28">
        <f>'REG y VAL POE - AESR - ESR'!S813</f>
        <v>0</v>
      </c>
      <c r="BL15" s="29">
        <f>'REG y VAL POE - AESR - ESR'!T813</f>
        <v>0</v>
      </c>
      <c r="BM15" s="29">
        <f>'REG y VAL POE - AESR - ESR'!U813</f>
        <v>0</v>
      </c>
      <c r="BN15" s="28">
        <f>'REG y VAL POE - AESR - ESR'!V813</f>
        <v>0</v>
      </c>
      <c r="BO15" s="29">
        <f>'REG y VAL POE - AESR - ESR'!W813</f>
        <v>0</v>
      </c>
      <c r="BP15" s="30">
        <f>'REG y VAL POE - AESR - ESR'!X813</f>
        <v>0</v>
      </c>
      <c r="BQ15" s="28">
        <f>'REG y VAL POE - AESR - ESR'!Y813</f>
        <v>0</v>
      </c>
      <c r="BR15" s="29">
        <f>'REG y VAL POE - AESR - ESR'!Z813</f>
        <v>0</v>
      </c>
      <c r="BS15" s="30">
        <f>'REG y VAL POE - AESR - ESR'!AA813</f>
        <v>0</v>
      </c>
      <c r="BT15" s="29">
        <f>'REG y VAL POE - AESR - ESR'!AB813</f>
        <v>0</v>
      </c>
      <c r="BU15" s="28">
        <f>'REG y VAL POE - AESR - ESR'!AC813</f>
        <v>0</v>
      </c>
      <c r="BV15" s="29">
        <f>'REG y VAL POE - AESR - ESR'!AD813</f>
        <v>0</v>
      </c>
      <c r="BW15" s="29">
        <f>'REG y VAL POE - AESR - ESR'!AE813</f>
        <v>0</v>
      </c>
      <c r="BX15" s="28">
        <f>'REG y VAL POE - AESR - ESR'!AF813</f>
        <v>0</v>
      </c>
      <c r="BY15" s="29">
        <f>'REG y VAL POE - AESR - ESR'!AG813</f>
        <v>0</v>
      </c>
      <c r="BZ15" s="30">
        <f>'REG y VAL POE - AESR - ESR'!AH813</f>
        <v>0</v>
      </c>
      <c r="CA15" s="28">
        <f>'REG y VAL POE - AESR - ESR'!AI813</f>
        <v>0</v>
      </c>
      <c r="CB15" s="29">
        <f>'REG y VAL POE - AESR - ESR'!AJ813</f>
        <v>0</v>
      </c>
      <c r="CC15" s="30">
        <f>'REG y VAL POE - AESR - ESR'!AK813</f>
        <v>0</v>
      </c>
      <c r="CD15" s="29">
        <f>'REG y VAL POE - AESR - ESR'!AL813</f>
        <v>0</v>
      </c>
      <c r="CE15" s="28">
        <f>'REG y VAL POE - AESR - ESR'!AM813</f>
        <v>0</v>
      </c>
      <c r="CF15" s="29">
        <f>'REG y VAL POE - AESR - ESR'!AN813</f>
        <v>0</v>
      </c>
      <c r="CG15" s="29">
        <f>'REG y VAL POE - AESR - ESR'!AO813</f>
        <v>0</v>
      </c>
      <c r="CH15" s="28">
        <f>'REG y VAL POE - AESR - ESR'!AP813</f>
        <v>0</v>
      </c>
      <c r="CI15" s="29">
        <f>'REG y VAL POE - AESR - ESR'!AQ813</f>
        <v>0</v>
      </c>
      <c r="CJ15" s="30">
        <f>'REG y VAL POE - AESR - ESR'!AR813</f>
        <v>0</v>
      </c>
      <c r="CK15" s="28">
        <f>'REG y VAL POE - AESR - ESR'!AS813</f>
        <v>0</v>
      </c>
      <c r="CL15" s="29" t="str">
        <f>'REG y VAL POE - AESR - ESR'!B814</f>
        <v xml:space="preserve">Bojorquez Gaxiola Joel Humberto </v>
      </c>
      <c r="CM15" s="30" t="str">
        <f>'REG y VAL POE - AESR - ESR'!C814</f>
        <v>Sin Registro</v>
      </c>
      <c r="CN15" s="29">
        <f>'REG y VAL POE - AESR - ESR'!D814</f>
        <v>23087904</v>
      </c>
      <c r="CO15" s="28">
        <f>'REG y VAL POE - AESR - ESR'!E814</f>
        <v>0</v>
      </c>
      <c r="CP15" s="29">
        <f>'REG y VAL POE - AESR - ESR'!F814</f>
        <v>0</v>
      </c>
      <c r="CQ15" s="29">
        <f>'REG y VAL POE - AESR - ESR'!G814</f>
        <v>0</v>
      </c>
      <c r="CR15" s="28">
        <f>'REG y VAL POE - AESR - ESR'!H814</f>
        <v>0</v>
      </c>
      <c r="CS15" s="29">
        <f>'REG y VAL POE - AESR - ESR'!I814</f>
        <v>0</v>
      </c>
      <c r="CT15" s="30">
        <f>'REG y VAL POE - AESR - ESR'!J814</f>
        <v>0</v>
      </c>
      <c r="CU15" s="28">
        <f>'REG y VAL POE - AESR - ESR'!K814</f>
        <v>0</v>
      </c>
      <c r="CV15" s="29">
        <f>'REG y VAL POE - AESR - ESR'!L814</f>
        <v>0</v>
      </c>
      <c r="CW15" s="29">
        <f>'REG y VAL POE - AESR - ESR'!M814</f>
        <v>0</v>
      </c>
      <c r="CX15" s="29">
        <f>'REG y VAL POE - AESR - ESR'!N814</f>
        <v>0</v>
      </c>
      <c r="CY15" s="28">
        <f>'REG y VAL POE - AESR - ESR'!O814</f>
        <v>0</v>
      </c>
      <c r="CZ15" s="29">
        <f>'REG y VAL POE - AESR - ESR'!P814</f>
        <v>0</v>
      </c>
      <c r="DA15" s="29">
        <f>'REG y VAL POE - AESR - ESR'!Q814</f>
        <v>0</v>
      </c>
      <c r="DB15" s="28">
        <f>'REG y VAL POE - AESR - ESR'!R814</f>
        <v>0</v>
      </c>
      <c r="DC15" s="29">
        <f>'REG y VAL POE - AESR - ESR'!S814</f>
        <v>0</v>
      </c>
      <c r="DD15" s="30">
        <f>'REG y VAL POE - AESR - ESR'!T814</f>
        <v>0</v>
      </c>
      <c r="DE15" s="28">
        <f>'REG y VAL POE - AESR - ESR'!U814</f>
        <v>0</v>
      </c>
      <c r="DF15" s="29">
        <f>'REG y VAL POE - AESR - ESR'!V814</f>
        <v>0</v>
      </c>
      <c r="DG15" s="29">
        <f>'REG y VAL POE - AESR - ESR'!W814</f>
        <v>0</v>
      </c>
      <c r="DH15" s="29">
        <f>'REG y VAL POE - AESR - ESR'!X814</f>
        <v>0</v>
      </c>
      <c r="DI15" s="28">
        <f>'REG y VAL POE - AESR - ESR'!Y814</f>
        <v>0</v>
      </c>
      <c r="DJ15" s="29">
        <f>'REG y VAL POE - AESR - ESR'!Z814</f>
        <v>0</v>
      </c>
      <c r="DK15" s="29">
        <f>'REG y VAL POE - AESR - ESR'!AA814</f>
        <v>0</v>
      </c>
      <c r="DL15" s="28">
        <f>'REG y VAL POE - AESR - ESR'!AB814</f>
        <v>0</v>
      </c>
      <c r="DM15" s="29">
        <f>'REG y VAL POE - AESR - ESR'!AC814</f>
        <v>0</v>
      </c>
      <c r="DN15" s="30">
        <f>'REG y VAL POE - AESR - ESR'!AD814</f>
        <v>0</v>
      </c>
      <c r="DO15" s="28">
        <f>'REG y VAL POE - AESR - ESR'!AE814</f>
        <v>0</v>
      </c>
      <c r="DP15" s="29">
        <f>'REG y VAL POE - AESR - ESR'!AF814</f>
        <v>0</v>
      </c>
      <c r="DQ15" s="29">
        <f>'REG y VAL POE - AESR - ESR'!AG814</f>
        <v>0</v>
      </c>
      <c r="DR15" s="29">
        <f>'REG y VAL POE - AESR - ESR'!AH814</f>
        <v>0</v>
      </c>
      <c r="DS15" s="28">
        <f>'REG y VAL POE - AESR - ESR'!AI814</f>
        <v>0</v>
      </c>
      <c r="DT15" s="29">
        <f>'REG y VAL POE - AESR - ESR'!AJ814</f>
        <v>0</v>
      </c>
      <c r="DU15" s="29">
        <f>'REG y VAL POE - AESR - ESR'!AK814</f>
        <v>0</v>
      </c>
      <c r="DV15" s="28">
        <f>'REG y VAL POE - AESR - ESR'!AL814</f>
        <v>0</v>
      </c>
      <c r="DW15" s="29">
        <f>'REG y VAL POE - AESR - ESR'!AM814</f>
        <v>0</v>
      </c>
      <c r="DX15" s="30">
        <f>'REG y VAL POE - AESR - ESR'!AN814</f>
        <v>0</v>
      </c>
      <c r="DY15" s="28">
        <f>'REG y VAL POE - AESR - ESR'!AO814</f>
        <v>0</v>
      </c>
      <c r="DZ15" s="29">
        <f>'REG y VAL POE - AESR - ESR'!AP814</f>
        <v>0</v>
      </c>
      <c r="EA15" s="29">
        <f>'REG y VAL POE - AESR - ESR'!AQ814</f>
        <v>0</v>
      </c>
      <c r="EB15" s="29">
        <f>'REG y VAL POE - AESR - ESR'!AR814</f>
        <v>0</v>
      </c>
      <c r="EC15" s="28">
        <f>'REG y VAL POE - AESR - ESR'!AS814</f>
        <v>0</v>
      </c>
      <c r="ED15" s="29" t="str">
        <f>'REG y VAL POE - AESR - ESR'!B815</f>
        <v xml:space="preserve">Gonzalez Basilio Jesus Octavio </v>
      </c>
      <c r="EE15" s="28" t="str">
        <f>'REG y VAL POE - AESR - ESR'!C815</f>
        <v>Sin Registro</v>
      </c>
      <c r="EF15" s="28">
        <f>'REG y VAL POE - AESR - ESR'!D815</f>
        <v>23067285</v>
      </c>
      <c r="EG15" s="29">
        <f>'REG y VAL POE - AESR - ESR'!E815</f>
        <v>0</v>
      </c>
      <c r="EH15" s="30">
        <f>'REG y VAL POE - AESR - ESR'!F815</f>
        <v>0</v>
      </c>
      <c r="EI15" s="28">
        <f>'REG y VAL POE - AESR - ESR'!G815</f>
        <v>0</v>
      </c>
      <c r="EJ15" s="29">
        <f>'REG y VAL POE - AESR - ESR'!H815</f>
        <v>0</v>
      </c>
      <c r="EK15" s="29">
        <f>'REG y VAL POE - AESR - ESR'!I815</f>
        <v>0</v>
      </c>
      <c r="EL15" s="29">
        <f>'REG y VAL POE - AESR - ESR'!J815</f>
        <v>0</v>
      </c>
      <c r="EM15" s="28">
        <f>'REG y VAL POE - AESR - ESR'!K815</f>
        <v>0</v>
      </c>
      <c r="EN15" s="29">
        <f>'REG y VAL POE - AESR - ESR'!L815</f>
        <v>0</v>
      </c>
      <c r="EO15" s="33">
        <f>'REG y VAL POE - AESR - ESR'!M815</f>
        <v>0</v>
      </c>
      <c r="EP15" s="28">
        <f>'REG y VAL POE - AESR - ESR'!N815</f>
        <v>0</v>
      </c>
      <c r="EQ15" s="29">
        <f>'REG y VAL POE - AESR - ESR'!O815</f>
        <v>0</v>
      </c>
      <c r="ER15" s="30">
        <f>'REG y VAL POE - AESR - ESR'!P815</f>
        <v>0</v>
      </c>
      <c r="ES15" s="28">
        <f>'REG y VAL POE - AESR - ESR'!Q815</f>
        <v>0</v>
      </c>
      <c r="ET15" s="29">
        <f>'REG y VAL POE - AESR - ESR'!R815</f>
        <v>0</v>
      </c>
      <c r="EU15" s="29">
        <f>'REG y VAL POE - AESR - ESR'!S815</f>
        <v>0</v>
      </c>
      <c r="EV15" s="29">
        <f>'REG y VAL POE - AESR - ESR'!T815</f>
        <v>0</v>
      </c>
      <c r="EW15" s="28">
        <f>'REG y VAL POE - AESR - ESR'!U815</f>
        <v>0</v>
      </c>
      <c r="EX15" s="29">
        <f>'REG y VAL POE - AESR - ESR'!V815</f>
        <v>0</v>
      </c>
      <c r="EY15" s="29">
        <f>'REG y VAL POE - AESR - ESR'!W815</f>
        <v>0</v>
      </c>
      <c r="EZ15" s="28">
        <f>'REG y VAL POE - AESR - ESR'!X815</f>
        <v>0</v>
      </c>
      <c r="FA15" s="29">
        <f>'REG y VAL POE - AESR - ESR'!Y815</f>
        <v>0</v>
      </c>
      <c r="FB15" s="30">
        <f>'REG y VAL POE - AESR - ESR'!Z815</f>
        <v>0</v>
      </c>
      <c r="FC15" s="28">
        <f>'REG y VAL POE - AESR - ESR'!AA815</f>
        <v>0</v>
      </c>
      <c r="FD15" s="29">
        <f>'REG y VAL POE - AESR - ESR'!AB815</f>
        <v>0</v>
      </c>
      <c r="FE15" s="29">
        <f>'REG y VAL POE - AESR - ESR'!AC815</f>
        <v>0</v>
      </c>
      <c r="FF15" s="29">
        <f>'REG y VAL POE - AESR - ESR'!AD815</f>
        <v>0</v>
      </c>
      <c r="FG15" s="28">
        <f>'REG y VAL POE - AESR - ESR'!AE815</f>
        <v>0</v>
      </c>
      <c r="FH15" s="29">
        <f>'REG y VAL POE - AESR - ESR'!AF815</f>
        <v>0</v>
      </c>
      <c r="FI15" s="29">
        <f>'REG y VAL POE - AESR - ESR'!AG815</f>
        <v>0</v>
      </c>
      <c r="FJ15" s="28">
        <f>'REG y VAL POE - AESR - ESR'!AH815</f>
        <v>0</v>
      </c>
      <c r="FK15" s="29">
        <f>'REG y VAL POE - AESR - ESR'!AI815</f>
        <v>0</v>
      </c>
      <c r="FL15" s="30">
        <f>'REG y VAL POE - AESR - ESR'!AJ815</f>
        <v>0</v>
      </c>
      <c r="FM15" s="28">
        <f>'REG y VAL POE - AESR - ESR'!AK815</f>
        <v>0</v>
      </c>
      <c r="FN15" s="29">
        <f>'REG y VAL POE - AESR - ESR'!AL815</f>
        <v>0</v>
      </c>
      <c r="FO15" s="29">
        <f>'REG y VAL POE - AESR - ESR'!AM815</f>
        <v>0</v>
      </c>
      <c r="FP15" s="29">
        <f>'REG y VAL POE - AESR - ESR'!AN815</f>
        <v>0</v>
      </c>
      <c r="FQ15" s="28">
        <f>'REG y VAL POE - AESR - ESR'!AO815</f>
        <v>0</v>
      </c>
      <c r="FR15" s="29">
        <f>'REG y VAL POE - AESR - ESR'!AP815</f>
        <v>0</v>
      </c>
      <c r="FS15" s="29">
        <f>'REG y VAL POE - AESR - ESR'!AQ815</f>
        <v>0</v>
      </c>
      <c r="FT15" s="28">
        <f>'REG y VAL POE - AESR - ESR'!AR815</f>
        <v>0</v>
      </c>
      <c r="FU15" s="29">
        <f>'REG y VAL POE - AESR - ESR'!AS815</f>
        <v>0</v>
      </c>
      <c r="FV15" s="30" t="str">
        <f>'REG y VAL POE - AESR - ESR'!B816</f>
        <v xml:space="preserve">Hernandez Arroyo Dulce Naidyt </v>
      </c>
      <c r="FW15" s="28" t="str">
        <f>'REG y VAL POE - AESR - ESR'!C816</f>
        <v>Sin Registro</v>
      </c>
      <c r="FX15" s="29">
        <f>'REG y VAL POE - AESR - ESR'!D816</f>
        <v>23054963</v>
      </c>
      <c r="FY15" s="29">
        <f>'REG y VAL POE - AESR - ESR'!E816</f>
        <v>0</v>
      </c>
      <c r="FZ15" s="29">
        <f>'REG y VAL POE - AESR - ESR'!F816</f>
        <v>0</v>
      </c>
      <c r="GA15" s="28">
        <f>'REG y VAL POE - AESR - ESR'!G816</f>
        <v>0</v>
      </c>
      <c r="GB15" s="29">
        <f>'REG y VAL POE - AESR - ESR'!H816</f>
        <v>0</v>
      </c>
      <c r="GC15" s="29">
        <f>'REG y VAL POE - AESR - ESR'!I816</f>
        <v>0</v>
      </c>
      <c r="GD15" s="28">
        <f>'REG y VAL POE - AESR - ESR'!J816</f>
        <v>0</v>
      </c>
      <c r="GE15" s="29">
        <f>'REG y VAL POE - AESR - ESR'!K816</f>
        <v>0</v>
      </c>
      <c r="GF15" s="30">
        <f>'REG y VAL POE - AESR - ESR'!L816</f>
        <v>0</v>
      </c>
      <c r="GG15" s="28">
        <f>'REG y VAL POE - AESR - ESR'!M816</f>
        <v>0</v>
      </c>
      <c r="GH15" s="29">
        <f>'REG y VAL POE - AESR - ESR'!N816</f>
        <v>0</v>
      </c>
      <c r="GI15" s="29">
        <f>'REG y VAL POE - AESR - ESR'!O816</f>
        <v>0</v>
      </c>
      <c r="GJ15" s="29">
        <f>'REG y VAL POE - AESR - ESR'!P816</f>
        <v>0</v>
      </c>
      <c r="GK15" s="28">
        <f>'REG y VAL POE - AESR - ESR'!Q816</f>
        <v>0</v>
      </c>
      <c r="GL15" s="29">
        <f>'REG y VAL POE - AESR - ESR'!R816</f>
        <v>0</v>
      </c>
      <c r="GM15" s="29">
        <f>'REG y VAL POE - AESR - ESR'!S816</f>
        <v>0</v>
      </c>
      <c r="GN15" s="28">
        <f>'REG y VAL POE - AESR - ESR'!T816</f>
        <v>0</v>
      </c>
      <c r="GO15" s="29">
        <f>'REG y VAL POE - AESR - ESR'!U816</f>
        <v>0</v>
      </c>
      <c r="GP15" s="30">
        <f>'REG y VAL POE - AESR - ESR'!V816</f>
        <v>0</v>
      </c>
      <c r="GQ15" s="28">
        <f>'REG y VAL POE - AESR - ESR'!W816</f>
        <v>0</v>
      </c>
      <c r="GR15" s="29">
        <f>'REG y VAL POE - AESR - ESR'!X816</f>
        <v>0</v>
      </c>
      <c r="GS15" s="29">
        <f>'REG y VAL POE - AESR - ESR'!Y816</f>
        <v>0</v>
      </c>
      <c r="GT15" s="29">
        <f>'REG y VAL POE - AESR - ESR'!Z816</f>
        <v>0</v>
      </c>
      <c r="GU15" s="28">
        <f>'REG y VAL POE - AESR - ESR'!AA816</f>
        <v>0</v>
      </c>
      <c r="GV15" s="29">
        <f>'REG y VAL POE - AESR - ESR'!AB816</f>
        <v>0</v>
      </c>
      <c r="GW15" s="29">
        <f>'REG y VAL POE - AESR - ESR'!AC816</f>
        <v>0</v>
      </c>
      <c r="GX15" s="28">
        <f>'REG y VAL POE - AESR - ESR'!AD816</f>
        <v>0</v>
      </c>
      <c r="GY15" s="29">
        <f>'REG y VAL POE - AESR - ESR'!AE816</f>
        <v>0</v>
      </c>
      <c r="GZ15" s="30">
        <f>'REG y VAL POE - AESR - ESR'!AF816</f>
        <v>0</v>
      </c>
      <c r="HA15" s="28">
        <f>'REG y VAL POE - AESR - ESR'!AG816</f>
        <v>0</v>
      </c>
      <c r="HB15" s="29">
        <f>'REG y VAL POE - AESR - ESR'!AH816</f>
        <v>0</v>
      </c>
      <c r="HC15" s="29">
        <f>'REG y VAL POE - AESR - ESR'!AI816</f>
        <v>0</v>
      </c>
      <c r="HD15" s="29">
        <f>'REG y VAL POE - AESR - ESR'!AJ816</f>
        <v>0</v>
      </c>
      <c r="HE15" s="28">
        <f>'REG y VAL POE - AESR - ESR'!AK816</f>
        <v>0</v>
      </c>
      <c r="HF15" s="29">
        <f>'REG y VAL POE - AESR - ESR'!AL816</f>
        <v>0</v>
      </c>
      <c r="HG15" s="29">
        <f>'REG y VAL POE - AESR - ESR'!AM816</f>
        <v>0</v>
      </c>
      <c r="HH15" s="28">
        <f>'REG y VAL POE - AESR - ESR'!AN816</f>
        <v>0</v>
      </c>
      <c r="HI15" s="29">
        <f>'REG y VAL POE - AESR - ESR'!AO816</f>
        <v>0</v>
      </c>
      <c r="HJ15" s="30">
        <f>'REG y VAL POE - AESR - ESR'!AP816</f>
        <v>0</v>
      </c>
      <c r="HK15" s="28">
        <f>'REG y VAL POE - AESR - ESR'!AQ816</f>
        <v>0</v>
      </c>
      <c r="HL15" s="29">
        <f>'REG y VAL POE - AESR - ESR'!AR816</f>
        <v>0</v>
      </c>
      <c r="HM15" s="29">
        <f>'REG y VAL POE - AESR - ESR'!AS816</f>
        <v>0</v>
      </c>
      <c r="HN15" s="29" t="str">
        <f>'REG y VAL POE - AESR - ESR'!B817</f>
        <v xml:space="preserve">Landeros Canas Jared Alilud </v>
      </c>
      <c r="HO15" s="28" t="str">
        <f>'REG y VAL POE - AESR - ESR'!C817</f>
        <v>Sin Registro</v>
      </c>
      <c r="HP15" s="29">
        <f>'REG y VAL POE - AESR - ESR'!D817</f>
        <v>23074552</v>
      </c>
      <c r="HQ15" s="29">
        <f>'REG y VAL POE - AESR - ESR'!E817</f>
        <v>0</v>
      </c>
      <c r="HR15" s="28">
        <f>'REG y VAL POE - AESR - ESR'!F817</f>
        <v>0</v>
      </c>
      <c r="HS15" s="29">
        <f>'REG y VAL POE - AESR - ESR'!G817</f>
        <v>0</v>
      </c>
      <c r="HT15" s="30">
        <f>'REG y VAL POE - AESR - ESR'!H817</f>
        <v>0</v>
      </c>
      <c r="HU15" s="28">
        <f>'REG y VAL POE - AESR - ESR'!I817</f>
        <v>0</v>
      </c>
      <c r="HV15" s="29">
        <f>'REG y VAL POE - AESR - ESR'!J817</f>
        <v>0</v>
      </c>
      <c r="HW15" s="29">
        <f>'REG y VAL POE - AESR - ESR'!K817</f>
        <v>0</v>
      </c>
      <c r="HX15" s="29">
        <f>'REG y VAL POE - AESR - ESR'!L817</f>
        <v>0</v>
      </c>
      <c r="HY15" s="28">
        <f>'REG y VAL POE - AESR - ESR'!M817</f>
        <v>0</v>
      </c>
      <c r="HZ15" s="29">
        <f>'REG y VAL POE - AESR - ESR'!N817</f>
        <v>0</v>
      </c>
      <c r="IA15" s="29">
        <f>'REG y VAL POE - AESR - ESR'!O817</f>
        <v>0</v>
      </c>
      <c r="IB15" s="28">
        <f>'REG y VAL POE - AESR - ESR'!P817</f>
        <v>0</v>
      </c>
      <c r="IC15" s="29">
        <f>'REG y VAL POE - AESR - ESR'!Q817</f>
        <v>0</v>
      </c>
      <c r="ID15" s="30">
        <f>'REG y VAL POE - AESR - ESR'!R817</f>
        <v>0</v>
      </c>
      <c r="IE15" s="28">
        <f>'REG y VAL POE - AESR - ESR'!S817</f>
        <v>0</v>
      </c>
      <c r="IF15" s="29">
        <f>'REG y VAL POE - AESR - ESR'!T817</f>
        <v>0</v>
      </c>
      <c r="IG15" s="29">
        <f>'REG y VAL POE - AESR - ESR'!U817</f>
        <v>0</v>
      </c>
      <c r="IH15" s="29">
        <f>'REG y VAL POE - AESR - ESR'!V817</f>
        <v>0</v>
      </c>
      <c r="II15" s="28">
        <f>'REG y VAL POE - AESR - ESR'!W817</f>
        <v>0</v>
      </c>
      <c r="IJ15" s="29">
        <f>'REG y VAL POE - AESR - ESR'!X817</f>
        <v>0</v>
      </c>
      <c r="IK15" s="29">
        <f>'REG y VAL POE - AESR - ESR'!Y817</f>
        <v>0</v>
      </c>
      <c r="IL15" s="28">
        <f>'REG y VAL POE - AESR - ESR'!Z817</f>
        <v>0</v>
      </c>
      <c r="IM15" s="29">
        <f>'REG y VAL POE - AESR - ESR'!AA817</f>
        <v>0</v>
      </c>
      <c r="IN15" s="30">
        <f>'REG y VAL POE - AESR - ESR'!AB817</f>
        <v>0</v>
      </c>
      <c r="IO15" s="28">
        <f>'REG y VAL POE - AESR - ESR'!AC817</f>
        <v>0</v>
      </c>
      <c r="IP15" s="29">
        <f>'REG y VAL POE - AESR - ESR'!AD817</f>
        <v>0</v>
      </c>
      <c r="IQ15" s="29">
        <f>'REG y VAL POE - AESR - ESR'!AE817</f>
        <v>0</v>
      </c>
      <c r="IR15" s="29">
        <f>'REG y VAL POE - AESR - ESR'!AF817</f>
        <v>0</v>
      </c>
      <c r="IS15" s="28">
        <f>'REG y VAL POE - AESR - ESR'!AG817</f>
        <v>0</v>
      </c>
      <c r="IT15" s="29">
        <f>'REG y VAL POE - AESR - ESR'!AH817</f>
        <v>0</v>
      </c>
      <c r="IU15" s="29">
        <f>'REG y VAL POE - AESR - ESR'!AI817</f>
        <v>0</v>
      </c>
      <c r="IV15" s="28">
        <f>'REG y VAL POE - AESR - ESR'!AJ817</f>
        <v>0</v>
      </c>
      <c r="IW15" s="29">
        <f>'REG y VAL POE - AESR - ESR'!AK817</f>
        <v>0</v>
      </c>
      <c r="IX15" s="30">
        <f>'REG y VAL POE - AESR - ESR'!AL817</f>
        <v>0</v>
      </c>
      <c r="IY15" s="28">
        <f>'REG y VAL POE - AESR - ESR'!AM817</f>
        <v>0</v>
      </c>
      <c r="IZ15" s="29">
        <f>'REG y VAL POE - AESR - ESR'!AN817</f>
        <v>0</v>
      </c>
      <c r="JA15" s="29">
        <f>'REG y VAL POE - AESR - ESR'!AO817</f>
        <v>0</v>
      </c>
      <c r="JB15" s="29">
        <f>'REG y VAL POE - AESR - ESR'!AP817</f>
        <v>0</v>
      </c>
      <c r="JC15" s="28">
        <f>'REG y VAL POE - AESR - ESR'!AQ817</f>
        <v>0</v>
      </c>
      <c r="JD15" s="29">
        <f>'REG y VAL POE - AESR - ESR'!AR817</f>
        <v>0</v>
      </c>
      <c r="JE15" s="29">
        <f>'REG y VAL POE - AESR - ESR'!AS817</f>
        <v>0</v>
      </c>
      <c r="JF15" s="28" t="str">
        <f>'REG y VAL POE - AESR - ESR'!B818</f>
        <v xml:space="preserve">Munoz Castillo Ndat Zee </v>
      </c>
      <c r="JG15" s="29" t="str">
        <f>'REG y VAL POE - AESR - ESR'!C818</f>
        <v>Sin Registro</v>
      </c>
      <c r="JH15" s="30">
        <f>'REG y VAL POE - AESR - ESR'!D818</f>
        <v>23086971</v>
      </c>
      <c r="JI15" s="28">
        <f>'REG y VAL POE - AESR - ESR'!E818</f>
        <v>0</v>
      </c>
      <c r="JJ15" s="29">
        <f>'REG y VAL POE - AESR - ESR'!F818</f>
        <v>0</v>
      </c>
      <c r="JK15" s="29">
        <f>'REG y VAL POE - AESR - ESR'!G818</f>
        <v>0</v>
      </c>
      <c r="JL15" s="29">
        <f>'REG y VAL POE - AESR - ESR'!H818</f>
        <v>0</v>
      </c>
      <c r="JM15" s="28">
        <f>'REG y VAL POE - AESR - ESR'!I818</f>
        <v>0</v>
      </c>
      <c r="JN15" s="29">
        <f>'REG y VAL POE - AESR - ESR'!J818</f>
        <v>0</v>
      </c>
      <c r="JO15" s="29">
        <f>'REG y VAL POE - AESR - ESR'!K818</f>
        <v>0</v>
      </c>
      <c r="JP15" s="28">
        <f>'REG y VAL POE - AESR - ESR'!L818</f>
        <v>0</v>
      </c>
      <c r="JQ15" s="29">
        <f>'REG y VAL POE - AESR - ESR'!M818</f>
        <v>0</v>
      </c>
      <c r="JR15" s="30">
        <f>'REG y VAL POE - AESR - ESR'!N818</f>
        <v>0</v>
      </c>
      <c r="JS15" s="28">
        <f>'REG y VAL POE - AESR - ESR'!O818</f>
        <v>0</v>
      </c>
      <c r="JT15" s="29">
        <f>'REG y VAL POE - AESR - ESR'!P818</f>
        <v>0</v>
      </c>
      <c r="JU15" s="29">
        <f>'REG y VAL POE - AESR - ESR'!Q818</f>
        <v>0</v>
      </c>
      <c r="JV15" s="29">
        <f>'REG y VAL POE - AESR - ESR'!R818</f>
        <v>0</v>
      </c>
      <c r="JW15" s="28">
        <f>'REG y VAL POE - AESR - ESR'!S818</f>
        <v>0</v>
      </c>
      <c r="JX15" s="29">
        <f>'REG y VAL POE - AESR - ESR'!T818</f>
        <v>0</v>
      </c>
      <c r="JY15" s="29">
        <f>'REG y VAL POE - AESR - ESR'!U818</f>
        <v>0</v>
      </c>
      <c r="JZ15" s="28">
        <f>'REG y VAL POE - AESR - ESR'!V818</f>
        <v>0</v>
      </c>
      <c r="KA15" s="29">
        <f>'REG y VAL POE - AESR - ESR'!W818</f>
        <v>0</v>
      </c>
      <c r="KB15" s="30">
        <f>'REG y VAL POE - AESR - ESR'!X818</f>
        <v>0</v>
      </c>
      <c r="KC15" s="28">
        <f>'REG y VAL POE - AESR - ESR'!Y818</f>
        <v>0</v>
      </c>
      <c r="KD15" s="29">
        <f>'REG y VAL POE - AESR - ESR'!Z818</f>
        <v>0</v>
      </c>
      <c r="KE15" s="29">
        <f>'REG y VAL POE - AESR - ESR'!AA818</f>
        <v>0</v>
      </c>
      <c r="KF15" s="29">
        <f>'REG y VAL POE - AESR - ESR'!AB818</f>
        <v>0</v>
      </c>
      <c r="KG15" s="28">
        <f>'REG y VAL POE - AESR - ESR'!AC818</f>
        <v>0</v>
      </c>
      <c r="KH15" s="29">
        <f>'REG y VAL POE - AESR - ESR'!AD818</f>
        <v>0</v>
      </c>
      <c r="KI15" s="29">
        <f>'REG y VAL POE - AESR - ESR'!AE818</f>
        <v>0</v>
      </c>
      <c r="KJ15" s="28">
        <f>'REG y VAL POE - AESR - ESR'!AF818</f>
        <v>0</v>
      </c>
      <c r="KK15" s="29">
        <f>'REG y VAL POE - AESR - ESR'!AG818</f>
        <v>0</v>
      </c>
      <c r="KL15" s="30">
        <f>'REG y VAL POE - AESR - ESR'!AH818</f>
        <v>0</v>
      </c>
      <c r="KM15" s="28">
        <f>'REG y VAL POE - AESR - ESR'!AI818</f>
        <v>0</v>
      </c>
      <c r="KN15" s="29">
        <f>'REG y VAL POE - AESR - ESR'!AJ818</f>
        <v>0</v>
      </c>
      <c r="KO15" s="29">
        <f>'REG y VAL POE - AESR - ESR'!AK818</f>
        <v>0</v>
      </c>
      <c r="KP15" s="29">
        <f>'REG y VAL POE - AESR - ESR'!AL818</f>
        <v>0</v>
      </c>
      <c r="KQ15" s="28">
        <f>'REG y VAL POE - AESR - ESR'!AM818</f>
        <v>0</v>
      </c>
      <c r="KR15" s="29">
        <f>'REG y VAL POE - AESR - ESR'!AN818</f>
        <v>0</v>
      </c>
      <c r="KS15" s="29">
        <f>'REG y VAL POE - AESR - ESR'!AO818</f>
        <v>0</v>
      </c>
      <c r="KT15" s="28">
        <f>'REG y VAL POE - AESR - ESR'!AP818</f>
        <v>0</v>
      </c>
      <c r="KU15" s="29">
        <f>'REG y VAL POE - AESR - ESR'!AQ818</f>
        <v>0</v>
      </c>
      <c r="KV15" s="30">
        <f>'REG y VAL POE - AESR - ESR'!AR818</f>
        <v>0</v>
      </c>
      <c r="KW15" s="28">
        <f>'REG y VAL POE - AESR - ESR'!AS818</f>
        <v>0</v>
      </c>
      <c r="KX15" s="29" t="str">
        <f>'REG y VAL POE - AESR - ESR'!B819</f>
        <v xml:space="preserve">Ramos Lozada Ana Laura </v>
      </c>
      <c r="KY15" s="29" t="str">
        <f>'REG y VAL POE - AESR - ESR'!C819</f>
        <v>Sin Registro</v>
      </c>
      <c r="KZ15" s="29">
        <f>'REG y VAL POE - AESR - ESR'!D819</f>
        <v>23097107</v>
      </c>
      <c r="LA15" s="28">
        <f>'REG y VAL POE - AESR - ESR'!E819</f>
        <v>0</v>
      </c>
      <c r="LB15" s="29">
        <f>'REG y VAL POE - AESR - ESR'!F819</f>
        <v>0</v>
      </c>
      <c r="LC15" s="29">
        <f>'REG y VAL POE - AESR - ESR'!G819</f>
        <v>0</v>
      </c>
      <c r="LD15" s="28">
        <f>'REG y VAL POE - AESR - ESR'!H819</f>
        <v>0</v>
      </c>
      <c r="LE15" s="29">
        <f>'REG y VAL POE - AESR - ESR'!I819</f>
        <v>0</v>
      </c>
      <c r="LF15" s="30">
        <f>'REG y VAL POE - AESR - ESR'!J819</f>
        <v>0</v>
      </c>
      <c r="LG15" s="28">
        <f>'REG y VAL POE - AESR - ESR'!K819</f>
        <v>0</v>
      </c>
      <c r="LH15" s="29">
        <f>'REG y VAL POE - AESR - ESR'!L819</f>
        <v>0</v>
      </c>
      <c r="LI15" s="29">
        <f>'REG y VAL POE - AESR - ESR'!M819</f>
        <v>0</v>
      </c>
      <c r="LJ15" s="29">
        <f>'REG y VAL POE - AESR - ESR'!N819</f>
        <v>0</v>
      </c>
      <c r="LK15" s="28">
        <f>'REG y VAL POE - AESR - ESR'!O819</f>
        <v>0</v>
      </c>
      <c r="LL15" s="29">
        <f>'REG y VAL POE - AESR - ESR'!P819</f>
        <v>0</v>
      </c>
      <c r="LM15" s="29">
        <f>'REG y VAL POE - AESR - ESR'!Q819</f>
        <v>0</v>
      </c>
      <c r="LN15" s="28">
        <f>'REG y VAL POE - AESR - ESR'!R819</f>
        <v>0</v>
      </c>
      <c r="LO15" s="29">
        <f>'REG y VAL POE - AESR - ESR'!S819</f>
        <v>0</v>
      </c>
      <c r="LP15" s="30">
        <f>'REG y VAL POE - AESR - ESR'!T819</f>
        <v>0</v>
      </c>
      <c r="LQ15" s="28">
        <f>'REG y VAL POE - AESR - ESR'!U819</f>
        <v>0</v>
      </c>
      <c r="LR15" s="29">
        <f>'REG y VAL POE - AESR - ESR'!V819</f>
        <v>0</v>
      </c>
      <c r="LS15" s="29">
        <f>'REG y VAL POE - AESR - ESR'!W819</f>
        <v>0</v>
      </c>
      <c r="LT15" s="29">
        <f>'REG y VAL POE - AESR - ESR'!X819</f>
        <v>0</v>
      </c>
      <c r="LU15" s="28">
        <f>'REG y VAL POE - AESR - ESR'!Y819</f>
        <v>0</v>
      </c>
      <c r="LV15" s="29">
        <f>'REG y VAL POE - AESR - ESR'!Z819</f>
        <v>0</v>
      </c>
      <c r="LW15" s="29">
        <f>'REG y VAL POE - AESR - ESR'!AA819</f>
        <v>0</v>
      </c>
      <c r="LX15" s="28">
        <f>'REG y VAL POE - AESR - ESR'!AB819</f>
        <v>0</v>
      </c>
      <c r="LY15" s="29">
        <f>'REG y VAL POE - AESR - ESR'!AC819</f>
        <v>0</v>
      </c>
      <c r="LZ15" s="30">
        <f>'REG y VAL POE - AESR - ESR'!AD819</f>
        <v>0</v>
      </c>
      <c r="MA15" s="28">
        <f>'REG y VAL POE - AESR - ESR'!AE819</f>
        <v>0</v>
      </c>
      <c r="MB15" s="29">
        <f>'REG y VAL POE - AESR - ESR'!AF819</f>
        <v>0</v>
      </c>
      <c r="MC15" s="29">
        <f>'REG y VAL POE - AESR - ESR'!AG819</f>
        <v>0</v>
      </c>
      <c r="MD15" s="29">
        <f>'REG y VAL POE - AESR - ESR'!AH819</f>
        <v>0</v>
      </c>
      <c r="ME15" s="28">
        <f>'REG y VAL POE - AESR - ESR'!AI819</f>
        <v>0</v>
      </c>
      <c r="MF15" s="29">
        <f>'REG y VAL POE - AESR - ESR'!AJ819</f>
        <v>0</v>
      </c>
      <c r="MG15" s="29">
        <f>'REG y VAL POE - AESR - ESR'!AK819</f>
        <v>0</v>
      </c>
      <c r="MH15" s="28">
        <f>'REG y VAL POE - AESR - ESR'!AL819</f>
        <v>0</v>
      </c>
      <c r="MI15" s="29">
        <f>'REG y VAL POE - AESR - ESR'!AM819</f>
        <v>0</v>
      </c>
      <c r="MJ15" s="30">
        <f>'REG y VAL POE - AESR - ESR'!AN819</f>
        <v>0</v>
      </c>
      <c r="MK15" s="28">
        <f>'REG y VAL POE - AESR - ESR'!AO819</f>
        <v>0</v>
      </c>
      <c r="ML15" s="29">
        <f>'REG y VAL POE - AESR - ESR'!AP819</f>
        <v>0</v>
      </c>
      <c r="MM15" s="29">
        <f>'REG y VAL POE - AESR - ESR'!AQ819</f>
        <v>0</v>
      </c>
      <c r="MN15" s="29">
        <f>'REG y VAL POE - AESR - ESR'!AR819</f>
        <v>0</v>
      </c>
      <c r="MO15" s="28">
        <f>'REG y VAL POE - AESR - ESR'!AS819</f>
        <v>0</v>
      </c>
      <c r="MP15" s="29" t="str">
        <f>'REG y VAL POE - AESR - ESR'!B820</f>
        <v xml:space="preserve">Valenzuela Montoya Hernan </v>
      </c>
      <c r="MQ15" s="29" t="str">
        <f>'REG y VAL POE - AESR - ESR'!C820</f>
        <v>Sin Registro</v>
      </c>
      <c r="MR15" s="28">
        <f>'REG y VAL POE - AESR - ESR'!D820</f>
        <v>23093883</v>
      </c>
      <c r="MS15" s="29">
        <f>'REG y VAL POE - AESR - ESR'!E820</f>
        <v>0</v>
      </c>
      <c r="MT15" s="30">
        <f>'REG y VAL POE - AESR - ESR'!F820</f>
        <v>0</v>
      </c>
      <c r="MU15" s="28">
        <f>'REG y VAL POE - AESR - ESR'!G820</f>
        <v>0</v>
      </c>
      <c r="MV15" s="29">
        <f>'REG y VAL POE - AESR - ESR'!H820</f>
        <v>0</v>
      </c>
      <c r="MW15" s="29">
        <f>'REG y VAL POE - AESR - ESR'!I820</f>
        <v>0</v>
      </c>
      <c r="MX15" s="29">
        <f>'REG y VAL POE - AESR - ESR'!J820</f>
        <v>0</v>
      </c>
      <c r="MY15" s="28">
        <f>'REG y VAL POE - AESR - ESR'!K820</f>
        <v>0</v>
      </c>
      <c r="MZ15" s="29">
        <f>'REG y VAL POE - AESR - ESR'!L820</f>
        <v>0</v>
      </c>
      <c r="NA15" s="29">
        <f>'REG y VAL POE - AESR - ESR'!M820</f>
        <v>0</v>
      </c>
      <c r="NB15" s="28">
        <f>'REG y VAL POE - AESR - ESR'!N820</f>
        <v>0</v>
      </c>
      <c r="NC15" s="29">
        <f>'REG y VAL POE - AESR - ESR'!O820</f>
        <v>0</v>
      </c>
      <c r="ND15" s="30">
        <f>'REG y VAL POE - AESR - ESR'!P820</f>
        <v>0</v>
      </c>
      <c r="NE15" s="28">
        <f>'REG y VAL POE - AESR - ESR'!Q820</f>
        <v>0</v>
      </c>
      <c r="NF15" s="29">
        <f>'REG y VAL POE - AESR - ESR'!R820</f>
        <v>0</v>
      </c>
      <c r="NG15" s="29">
        <f>'REG y VAL POE - AESR - ESR'!S820</f>
        <v>0</v>
      </c>
      <c r="NH15" s="29">
        <f>'REG y VAL POE - AESR - ESR'!T820</f>
        <v>0</v>
      </c>
      <c r="NI15" s="28">
        <f>'REG y VAL POE - AESR - ESR'!U820</f>
        <v>0</v>
      </c>
      <c r="NJ15" s="29">
        <f>'REG y VAL POE - AESR - ESR'!V820</f>
        <v>0</v>
      </c>
      <c r="NK15" s="29">
        <f>'REG y VAL POE - AESR - ESR'!W820</f>
        <v>0</v>
      </c>
      <c r="NL15" s="28">
        <f>'REG y VAL POE - AESR - ESR'!X820</f>
        <v>0</v>
      </c>
      <c r="NM15" s="29">
        <f>'REG y VAL POE - AESR - ESR'!Y820</f>
        <v>0</v>
      </c>
      <c r="NN15" s="30">
        <f>'REG y VAL POE - AESR - ESR'!Z820</f>
        <v>0</v>
      </c>
      <c r="NO15" s="28">
        <f>'REG y VAL POE - AESR - ESR'!AA820</f>
        <v>0</v>
      </c>
      <c r="NP15" s="29">
        <f>'REG y VAL POE - AESR - ESR'!AB820</f>
        <v>0</v>
      </c>
      <c r="NQ15" s="29">
        <f>'REG y VAL POE - AESR - ESR'!AC820</f>
        <v>0</v>
      </c>
      <c r="NR15" s="29">
        <f>'REG y VAL POE - AESR - ESR'!AD820</f>
        <v>0</v>
      </c>
      <c r="NS15" s="28">
        <f>'REG y VAL POE - AESR - ESR'!AE820</f>
        <v>0</v>
      </c>
      <c r="NT15" s="29">
        <f>'REG y VAL POE - AESR - ESR'!AF820</f>
        <v>0</v>
      </c>
      <c r="NU15" s="29">
        <f>'REG y VAL POE - AESR - ESR'!AG820</f>
        <v>0</v>
      </c>
      <c r="NV15" s="28">
        <f>'REG y VAL POE - AESR - ESR'!AH820</f>
        <v>0</v>
      </c>
      <c r="NW15" s="29">
        <f>'REG y VAL POE - AESR - ESR'!AI820</f>
        <v>0</v>
      </c>
      <c r="NX15" s="30">
        <f>'REG y VAL POE - AESR - ESR'!AJ820</f>
        <v>0</v>
      </c>
      <c r="NY15" s="28">
        <f>'REG y VAL POE - AESR - ESR'!AK820</f>
        <v>0</v>
      </c>
      <c r="NZ15" s="29">
        <f>'REG y VAL POE - AESR - ESR'!AL820</f>
        <v>0</v>
      </c>
      <c r="OA15" s="29">
        <f>'REG y VAL POE - AESR - ESR'!AM820</f>
        <v>0</v>
      </c>
      <c r="OB15" s="29">
        <f>'REG y VAL POE - AESR - ESR'!AN820</f>
        <v>0</v>
      </c>
      <c r="OC15" s="28">
        <f>'REG y VAL POE - AESR - ESR'!AO820</f>
        <v>0</v>
      </c>
      <c r="OD15" s="29">
        <f>'REG y VAL POE - AESR - ESR'!AP820</f>
        <v>0</v>
      </c>
      <c r="OE15" s="29">
        <f>'REG y VAL POE - AESR - ESR'!AQ820</f>
        <v>0</v>
      </c>
      <c r="OF15" s="30">
        <f>'REG y VAL POE - AESR - ESR'!AR820</f>
        <v>0</v>
      </c>
      <c r="OG15" s="30">
        <f>'REG y VAL POE - AESR - ESR'!AS820</f>
        <v>0</v>
      </c>
      <c r="OH15" s="30">
        <f>'REG y VAL POE - AESR - ESR'!B821</f>
        <v>0</v>
      </c>
      <c r="OI15" s="28">
        <f>'REG y VAL POE - AESR - ESR'!C821</f>
        <v>0</v>
      </c>
      <c r="OJ15" s="30">
        <f>'REG y VAL POE - AESR - ESR'!D821</f>
        <v>0</v>
      </c>
      <c r="OK15" s="30">
        <f>'REG y VAL POE - AESR - ESR'!E821</f>
        <v>0</v>
      </c>
      <c r="OL15" s="30">
        <f>'REG y VAL POE - AESR - ESR'!F821</f>
        <v>0</v>
      </c>
      <c r="OM15" s="30">
        <f>'REG y VAL POE - AESR - ESR'!G821</f>
        <v>0</v>
      </c>
      <c r="ON15" s="30">
        <f>'REG y VAL POE - AESR - ESR'!H821</f>
        <v>0</v>
      </c>
      <c r="OO15" s="30">
        <f>'REG y VAL POE - AESR - ESR'!I821</f>
        <v>0</v>
      </c>
      <c r="OP15" s="28">
        <f>'REG y VAL POE - AESR - ESR'!J821</f>
        <v>0</v>
      </c>
      <c r="OQ15" s="29">
        <f>'REG y VAL POE - AESR - ESR'!K821</f>
        <v>0</v>
      </c>
      <c r="OR15" s="30">
        <f>'REG y VAL POE - AESR - ESR'!L821</f>
        <v>0</v>
      </c>
      <c r="OS15" s="28">
        <f>'REG y VAL POE - AESR - ESR'!M821</f>
        <v>0</v>
      </c>
      <c r="OT15" s="29">
        <f>'REG y VAL POE - AESR - ESR'!N821</f>
        <v>0</v>
      </c>
      <c r="OU15" s="29">
        <f>'REG y VAL POE - AESR - ESR'!O821</f>
        <v>0</v>
      </c>
      <c r="OV15" s="29">
        <f>'REG y VAL POE - AESR - ESR'!P821</f>
        <v>0</v>
      </c>
      <c r="OW15" s="28">
        <f>'REG y VAL POE - AESR - ESR'!Q821</f>
        <v>0</v>
      </c>
      <c r="OX15" s="29">
        <f>'REG y VAL POE - AESR - ESR'!R821</f>
        <v>0</v>
      </c>
      <c r="OY15" s="29">
        <f>'REG y VAL POE - AESR - ESR'!S821</f>
        <v>0</v>
      </c>
      <c r="OZ15" s="28">
        <f>'REG y VAL POE - AESR - ESR'!T821</f>
        <v>0</v>
      </c>
      <c r="PA15" s="29">
        <f>'REG y VAL POE - AESR - ESR'!U821</f>
        <v>0</v>
      </c>
      <c r="PB15" s="30">
        <f>'REG y VAL POE - AESR - ESR'!V821</f>
        <v>0</v>
      </c>
      <c r="PC15" s="28">
        <f>'REG y VAL POE - AESR - ESR'!W821</f>
        <v>0</v>
      </c>
      <c r="PD15" s="29">
        <f>'REG y VAL POE - AESR - ESR'!X821</f>
        <v>0</v>
      </c>
      <c r="PE15" s="29">
        <f>'REG y VAL POE - AESR - ESR'!Y821</f>
        <v>0</v>
      </c>
      <c r="PF15" s="29">
        <f>'REG y VAL POE - AESR - ESR'!Z821</f>
        <v>0</v>
      </c>
      <c r="PG15" s="28">
        <f>'REG y VAL POE - AESR - ESR'!AA821</f>
        <v>0</v>
      </c>
      <c r="PH15" s="29">
        <f>'REG y VAL POE - AESR - ESR'!AB821</f>
        <v>0</v>
      </c>
      <c r="PI15" s="29">
        <f>'REG y VAL POE - AESR - ESR'!AC821</f>
        <v>0</v>
      </c>
      <c r="PJ15" s="28">
        <f>'REG y VAL POE - AESR - ESR'!AD821</f>
        <v>0</v>
      </c>
      <c r="PK15" s="29">
        <f>'REG y VAL POE - AESR - ESR'!AE821</f>
        <v>0</v>
      </c>
      <c r="PL15" s="30">
        <f>'REG y VAL POE - AESR - ESR'!AF821</f>
        <v>0</v>
      </c>
      <c r="PM15" s="28">
        <f>'REG y VAL POE - AESR - ESR'!AG821</f>
        <v>0</v>
      </c>
      <c r="PN15" s="29">
        <f>'REG y VAL POE - AESR - ESR'!AH821</f>
        <v>0</v>
      </c>
      <c r="PO15" s="29">
        <f>'REG y VAL POE - AESR - ESR'!AI821</f>
        <v>0</v>
      </c>
      <c r="PP15" s="29">
        <f>'REG y VAL POE - AESR - ESR'!AJ821</f>
        <v>0</v>
      </c>
      <c r="PQ15" s="28">
        <f>'REG y VAL POE - AESR - ESR'!AK821</f>
        <v>0</v>
      </c>
      <c r="PR15" s="29">
        <f>'REG y VAL POE - AESR - ESR'!AL821</f>
        <v>0</v>
      </c>
      <c r="PS15" s="29">
        <f>'REG y VAL POE - AESR - ESR'!AM821</f>
        <v>0</v>
      </c>
      <c r="PT15" s="28">
        <f>'REG y VAL POE - AESR - ESR'!AN821</f>
        <v>0</v>
      </c>
      <c r="PU15" s="29">
        <f>'REG y VAL POE - AESR - ESR'!AO821</f>
        <v>0</v>
      </c>
      <c r="PV15" s="30">
        <f>'REG y VAL POE - AESR - ESR'!AP821</f>
        <v>0</v>
      </c>
      <c r="PW15" s="28">
        <f>'REG y VAL POE - AESR - ESR'!AQ821</f>
        <v>0</v>
      </c>
      <c r="PX15" s="29">
        <f>'REG y VAL POE - AESR - ESR'!AR821</f>
        <v>0</v>
      </c>
      <c r="PY15" s="29">
        <f>'REG y VAL POE - AESR - ESR'!AS821</f>
        <v>0</v>
      </c>
      <c r="PZ15" s="29"/>
      <c r="QA15" s="28"/>
      <c r="QB15" s="29"/>
      <c r="QC15" s="29"/>
      <c r="QD15" s="28"/>
      <c r="QE15" s="29"/>
      <c r="QF15" s="30"/>
      <c r="QG15" s="28"/>
      <c r="QH15" s="29"/>
      <c r="QI15" s="29"/>
      <c r="QJ15" s="29"/>
      <c r="QK15" s="28"/>
      <c r="QL15" s="29"/>
      <c r="QM15" s="29"/>
      <c r="QN15" s="28"/>
      <c r="QO15" s="29"/>
      <c r="QP15" s="30"/>
      <c r="QQ15" s="28"/>
      <c r="QR15" s="29"/>
      <c r="QS15" s="29"/>
      <c r="QT15" s="29"/>
      <c r="QU15" s="28"/>
      <c r="QV15" s="29"/>
      <c r="QW15" s="29"/>
      <c r="QX15" s="28"/>
      <c r="QY15" s="29"/>
      <c r="QZ15" s="30"/>
      <c r="RA15" s="28"/>
      <c r="RB15" s="29"/>
      <c r="RC15" s="29"/>
      <c r="RD15" s="29"/>
      <c r="RE15" s="28"/>
      <c r="RF15" s="29"/>
      <c r="RG15" s="29"/>
      <c r="RH15" s="28"/>
      <c r="RI15" s="29"/>
      <c r="RJ15" s="30"/>
      <c r="RK15" s="28"/>
      <c r="RL15" s="29"/>
      <c r="RM15" s="29"/>
      <c r="RN15" s="29"/>
      <c r="RO15" s="28"/>
      <c r="RP15" s="29"/>
      <c r="RQ15" s="29"/>
      <c r="RR15" s="28"/>
      <c r="RS15" s="29"/>
      <c r="RT15" s="30"/>
      <c r="RU15" s="28"/>
      <c r="RV15" s="29"/>
      <c r="RW15" s="29"/>
      <c r="RX15" s="29"/>
      <c r="RY15" s="28"/>
      <c r="RZ15" s="29"/>
      <c r="SA15" s="29"/>
      <c r="SB15" s="28"/>
      <c r="SC15" s="29"/>
      <c r="SD15" s="30"/>
      <c r="SE15" s="28"/>
      <c r="SF15" s="29"/>
      <c r="SG15" s="29"/>
      <c r="SH15" s="29"/>
      <c r="SI15" s="28"/>
      <c r="SJ15" s="29"/>
      <c r="SK15" s="29"/>
      <c r="SL15" s="28"/>
      <c r="SM15" s="29"/>
      <c r="SN15" s="30"/>
      <c r="SO15" s="28"/>
      <c r="SP15" s="29"/>
      <c r="SQ15" s="29"/>
      <c r="SR15" s="29"/>
      <c r="SS15" s="28"/>
      <c r="ST15" s="29"/>
      <c r="SU15" s="29"/>
      <c r="SV15" s="28"/>
      <c r="SW15" s="29"/>
      <c r="SX15" s="30"/>
      <c r="SY15" s="28"/>
      <c r="SZ15" s="29"/>
      <c r="TA15" s="29"/>
      <c r="TB15" s="29"/>
      <c r="TC15" s="28"/>
      <c r="TD15" s="29"/>
      <c r="TE15" s="29"/>
      <c r="TF15" s="28"/>
      <c r="TG15" s="29"/>
      <c r="TH15" s="30"/>
      <c r="TI15" s="28"/>
      <c r="TJ15" s="29"/>
      <c r="TK15" s="29"/>
      <c r="TL15" s="29"/>
      <c r="TM15" s="28"/>
      <c r="TN15" s="29"/>
      <c r="TO15" s="29"/>
      <c r="TP15" s="28"/>
      <c r="TQ15" s="29"/>
      <c r="TR15" s="30"/>
      <c r="TS15" s="28"/>
      <c r="TT15" s="29"/>
      <c r="TU15" s="29"/>
      <c r="TV15" s="29"/>
      <c r="TW15" s="28"/>
      <c r="TX15" s="29"/>
      <c r="TY15" s="29"/>
      <c r="TZ15" s="28"/>
      <c r="UA15" s="29"/>
      <c r="UB15" s="30"/>
      <c r="UC15" s="28"/>
      <c r="UD15" s="29"/>
      <c r="UE15" s="29"/>
      <c r="UF15" s="29"/>
      <c r="UG15" s="28"/>
      <c r="UH15" s="29"/>
      <c r="UI15" s="29"/>
      <c r="UJ15" s="28"/>
      <c r="UK15" s="29"/>
      <c r="UL15" s="30"/>
      <c r="UM15" s="28"/>
      <c r="UN15" s="29"/>
      <c r="UO15" s="29"/>
      <c r="UP15" s="29"/>
      <c r="UQ15" s="28"/>
      <c r="UR15" s="29"/>
      <c r="US15" s="29"/>
      <c r="UT15" s="28"/>
      <c r="UU15" s="29"/>
      <c r="UV15" s="30"/>
      <c r="UW15" s="28"/>
      <c r="UX15" s="29"/>
      <c r="UY15" s="29"/>
      <c r="UZ15" s="29"/>
      <c r="VA15" s="28"/>
      <c r="VB15" s="29"/>
      <c r="VC15" s="29"/>
      <c r="VD15" s="28"/>
      <c r="VE15" s="29"/>
      <c r="VF15" s="30"/>
      <c r="VG15" s="28"/>
      <c r="VH15" s="29"/>
      <c r="VI15" s="29"/>
      <c r="VJ15" s="29"/>
      <c r="VK15" s="28"/>
      <c r="VL15" s="29"/>
      <c r="VM15" s="29"/>
      <c r="VN15" s="28"/>
      <c r="VO15" s="29"/>
      <c r="VP15" s="30"/>
      <c r="VQ15" s="28"/>
      <c r="VR15" s="29"/>
      <c r="VS15" s="29"/>
      <c r="VT15" s="29"/>
      <c r="VU15" s="28"/>
      <c r="VV15" s="29"/>
      <c r="VW15" s="29"/>
      <c r="VX15" s="28"/>
      <c r="VY15" s="29"/>
      <c r="VZ15" s="30"/>
      <c r="WA15" s="28"/>
      <c r="WB15" s="29"/>
      <c r="WC15" s="29"/>
      <c r="WD15" s="29"/>
      <c r="WE15" s="28"/>
      <c r="WF15" s="29"/>
      <c r="WG15" s="29"/>
      <c r="WH15" s="28"/>
      <c r="WI15" s="29"/>
      <c r="WJ15" s="30"/>
      <c r="WK15" s="28"/>
      <c r="WL15" s="29"/>
      <c r="WM15" s="29"/>
      <c r="WN15" s="29"/>
      <c r="WO15" s="28"/>
      <c r="WP15" s="29"/>
      <c r="WQ15" s="29"/>
      <c r="WR15" s="28"/>
      <c r="WS15" s="29"/>
      <c r="WT15" s="30"/>
      <c r="WU15" s="28"/>
      <c r="WV15" s="29"/>
      <c r="WW15" s="29"/>
      <c r="WX15" s="29"/>
      <c r="WY15" s="28"/>
      <c r="WZ15" s="29"/>
      <c r="XA15" s="29"/>
      <c r="XB15" s="28"/>
      <c r="XC15" s="29"/>
      <c r="XD15" s="30"/>
      <c r="XE15" s="28"/>
      <c r="XF15" s="29"/>
      <c r="XG15" s="29"/>
      <c r="XH15" s="29"/>
      <c r="XI15" s="28"/>
      <c r="XJ15" s="29"/>
      <c r="XK15" s="29"/>
      <c r="XL15" s="28"/>
      <c r="XM15" s="29"/>
      <c r="XN15" s="30"/>
      <c r="XO15" s="28"/>
      <c r="XP15" s="29"/>
      <c r="XQ15" s="29"/>
      <c r="XR15" s="29"/>
      <c r="XS15" s="28"/>
      <c r="XT15" s="29"/>
      <c r="XU15" s="29"/>
      <c r="XV15" s="28"/>
      <c r="XW15" s="29"/>
      <c r="XX15" s="30"/>
      <c r="XY15" s="28"/>
      <c r="XZ15" s="29"/>
      <c r="YA15" s="29"/>
      <c r="YB15" s="29"/>
      <c r="YC15" s="28"/>
      <c r="YD15" s="29"/>
      <c r="YE15" s="29"/>
      <c r="YF15" s="28"/>
      <c r="YG15" s="29"/>
      <c r="YH15" s="30"/>
      <c r="YI15" s="28"/>
      <c r="YJ15" s="29"/>
      <c r="YK15" s="29"/>
      <c r="YL15" s="29"/>
      <c r="YM15" s="28"/>
      <c r="YN15" s="29"/>
      <c r="YO15" s="29"/>
      <c r="YP15" s="28"/>
      <c r="YQ15" s="29"/>
      <c r="YR15" s="30"/>
      <c r="YS15" s="28"/>
      <c r="YT15" s="29"/>
      <c r="YU15" s="29"/>
      <c r="YV15" s="29"/>
      <c r="YW15" s="28"/>
      <c r="YX15" s="29"/>
      <c r="YY15" s="29"/>
      <c r="YZ15" s="28"/>
      <c r="ZA15" s="29"/>
      <c r="ZB15" s="30"/>
      <c r="ZC15" s="28"/>
      <c r="ZD15" s="29"/>
      <c r="ZE15" s="29"/>
      <c r="ZF15" s="29"/>
      <c r="ZG15" s="28"/>
      <c r="ZH15" s="29"/>
      <c r="ZI15" s="29"/>
      <c r="ZJ15" s="28"/>
      <c r="ZK15" s="29"/>
      <c r="ZL15" s="30"/>
      <c r="ZM15" s="28"/>
      <c r="ZN15" s="29"/>
      <c r="ZO15" s="29"/>
      <c r="ZP15" s="29"/>
      <c r="ZQ15" s="28"/>
      <c r="ZR15" s="29"/>
      <c r="ZS15" s="29"/>
      <c r="ZT15" s="28"/>
      <c r="ZU15" s="29"/>
      <c r="ZV15" s="30"/>
      <c r="ZW15" s="28"/>
      <c r="ZX15" s="29"/>
      <c r="ZY15" s="29"/>
      <c r="ZZ15" s="29"/>
      <c r="AAA15" s="28"/>
      <c r="AAB15" s="29"/>
      <c r="AAC15" s="29"/>
      <c r="AAD15" s="28"/>
      <c r="AAE15" s="29"/>
      <c r="AAF15" s="30"/>
      <c r="AAG15" s="28"/>
      <c r="AAH15" s="29"/>
      <c r="AAI15" s="29"/>
      <c r="AAJ15" s="29"/>
      <c r="AAK15" s="28"/>
      <c r="AAL15" s="29"/>
      <c r="AAM15" s="29"/>
      <c r="AAN15" s="28"/>
      <c r="AAO15" s="29"/>
      <c r="AAP15" s="30"/>
      <c r="AAQ15" s="28"/>
      <c r="AAR15" s="29"/>
      <c r="AAS15" s="29"/>
      <c r="AAT15" s="29"/>
      <c r="AAU15" s="28"/>
      <c r="AAV15" s="29"/>
      <c r="AAW15" s="29"/>
      <c r="AAX15" s="30"/>
      <c r="AAY15" s="30"/>
      <c r="AAZ15" s="30"/>
      <c r="ABA15" s="28"/>
      <c r="ABB15" s="30"/>
      <c r="ABC15" s="30"/>
      <c r="ABD15" s="30"/>
      <c r="ABE15" s="30"/>
      <c r="ABF15" s="30"/>
      <c r="ABG15" s="29"/>
      <c r="ABH15" s="28"/>
      <c r="ABI15" s="29"/>
      <c r="ABJ15" s="30"/>
      <c r="ABK15" s="28"/>
      <c r="ABL15" s="29"/>
      <c r="ABM15" s="29"/>
      <c r="ABN15" s="29"/>
      <c r="ABO15" s="28"/>
      <c r="ABP15" s="29"/>
      <c r="ABQ15" s="29"/>
      <c r="ABR15" s="28"/>
      <c r="ABS15" s="29"/>
      <c r="ABT15" s="30"/>
      <c r="ABU15" s="28"/>
      <c r="ABV15" s="29"/>
      <c r="ABW15" s="29"/>
      <c r="ABX15" s="29"/>
      <c r="ABY15" s="28"/>
      <c r="ABZ15" s="29"/>
      <c r="ACA15" s="29"/>
      <c r="ACB15" s="28"/>
      <c r="ACC15" s="29"/>
      <c r="ACD15" s="30"/>
      <c r="ACE15" s="28"/>
      <c r="ACF15" s="29"/>
      <c r="ACG15" s="29"/>
      <c r="ACH15" s="29"/>
      <c r="ACI15" s="28"/>
      <c r="ACJ15" s="29"/>
      <c r="ACK15" s="29"/>
      <c r="ACL15" s="28"/>
      <c r="ACM15" s="29"/>
      <c r="ACN15" s="30"/>
      <c r="ACO15" s="28"/>
      <c r="ACP15" s="29"/>
      <c r="ACQ15" s="29"/>
      <c r="ACR15" s="29"/>
      <c r="ACS15" s="28"/>
      <c r="ACT15" s="29"/>
      <c r="ACU15" s="29"/>
      <c r="ACV15" s="28"/>
      <c r="ACW15" s="29"/>
      <c r="ACX15" s="30"/>
      <c r="ACY15" s="28"/>
      <c r="ACZ15" s="29"/>
      <c r="ADA15" s="29"/>
      <c r="ADB15" s="29"/>
      <c r="ADC15" s="28"/>
      <c r="ADD15" s="29"/>
      <c r="ADE15" s="29"/>
      <c r="ADF15" s="28"/>
      <c r="ADG15" s="29"/>
      <c r="ADH15" s="30"/>
      <c r="ADI15" s="28"/>
      <c r="ADJ15" s="29"/>
      <c r="ADK15" s="29"/>
      <c r="ADL15" s="29"/>
      <c r="ADM15" s="28"/>
      <c r="ADN15" s="29"/>
      <c r="ADO15" s="29"/>
      <c r="ADP15" s="28"/>
      <c r="ADQ15" s="29"/>
      <c r="ADR15" s="30"/>
      <c r="ADS15" s="28"/>
      <c r="ADT15" s="29"/>
      <c r="ADU15" s="29"/>
      <c r="ADV15" s="29"/>
      <c r="ADW15" s="28"/>
      <c r="ADX15" s="29"/>
      <c r="ADY15" s="29"/>
      <c r="ADZ15" s="28"/>
      <c r="AEA15" s="29"/>
      <c r="AEB15" s="30"/>
      <c r="AEC15" s="28"/>
      <c r="AED15" s="29"/>
      <c r="AEE15" s="29"/>
      <c r="AEF15" s="29"/>
      <c r="AEG15" s="28"/>
      <c r="AEH15" s="29"/>
      <c r="AEI15" s="29"/>
      <c r="AEJ15" s="28"/>
      <c r="AEK15" s="29"/>
      <c r="AEL15" s="30"/>
      <c r="AEM15" s="28"/>
      <c r="AEN15" s="29"/>
      <c r="AEO15" s="29"/>
      <c r="AEP15" s="29"/>
      <c r="AEQ15" s="28"/>
      <c r="AER15" s="29"/>
      <c r="AES15" s="29"/>
      <c r="AET15" s="28"/>
      <c r="AEU15" s="29"/>
      <c r="AEV15" s="30"/>
      <c r="AEW15" s="28"/>
      <c r="AEX15" s="29"/>
      <c r="AEY15" s="29"/>
      <c r="AEZ15" s="29"/>
      <c r="AFA15" s="28"/>
      <c r="AFB15" s="29"/>
      <c r="AFC15" s="29"/>
      <c r="AFD15" s="28"/>
      <c r="AFE15" s="29"/>
      <c r="AFF15" s="30"/>
      <c r="AFG15" s="28"/>
      <c r="AFH15" s="29"/>
      <c r="AFI15" s="29"/>
      <c r="AFJ15" s="29"/>
      <c r="AFK15" s="28"/>
      <c r="AFL15" s="29"/>
      <c r="AFM15" s="29"/>
      <c r="AFN15" s="28"/>
      <c r="AFO15" s="29"/>
      <c r="AFP15" s="30"/>
      <c r="AFQ15" s="28"/>
      <c r="AFR15" s="29"/>
      <c r="AFS15" s="29"/>
      <c r="AFT15" s="29"/>
      <c r="AFU15" s="28"/>
      <c r="AFV15" s="29"/>
      <c r="AFW15" s="29"/>
      <c r="AFX15" s="28"/>
      <c r="AFY15" s="29"/>
      <c r="AFZ15" s="30"/>
      <c r="AGA15" s="28"/>
      <c r="AGB15" s="29"/>
      <c r="AGC15" s="29"/>
      <c r="AGD15" s="29"/>
      <c r="AGE15" s="28"/>
      <c r="AGF15" s="29"/>
      <c r="AGG15" s="29"/>
      <c r="AGH15" s="28"/>
      <c r="AGI15" s="29"/>
      <c r="AGJ15" s="30"/>
      <c r="AGK15" s="28"/>
      <c r="AGL15" s="29"/>
      <c r="AGM15" s="29"/>
      <c r="AGN15" s="29"/>
      <c r="AGO15" s="28"/>
      <c r="AGP15" s="29"/>
      <c r="AGQ15" s="29"/>
      <c r="AGR15" s="28"/>
      <c r="AGS15" s="29"/>
      <c r="AGT15" s="30"/>
      <c r="AGU15" s="28"/>
      <c r="AGV15" s="29"/>
      <c r="AGW15" s="29"/>
      <c r="AGX15" s="29"/>
      <c r="AGY15" s="28"/>
      <c r="AGZ15" s="29"/>
      <c r="AHA15" s="29"/>
      <c r="AHB15" s="28"/>
      <c r="AHC15" s="29"/>
      <c r="AHD15" s="30"/>
      <c r="AHE15" s="28"/>
      <c r="AHF15" s="29"/>
      <c r="AHG15" s="29"/>
      <c r="AHH15" s="29"/>
      <c r="AHI15" s="28"/>
      <c r="AHJ15" s="29"/>
      <c r="AHK15" s="29"/>
      <c r="AHL15" s="28"/>
      <c r="AHM15" s="29"/>
      <c r="AHN15" s="30"/>
      <c r="AHO15" s="28"/>
      <c r="AHP15" s="29"/>
      <c r="AHQ15" s="29"/>
      <c r="AHR15" s="29"/>
      <c r="AHS15" s="28"/>
      <c r="AHT15" s="29"/>
      <c r="AHU15" s="29"/>
      <c r="AHV15" s="28"/>
      <c r="AHW15" s="29"/>
      <c r="AHX15" s="30"/>
      <c r="AHY15" s="28"/>
      <c r="AHZ15" s="29"/>
      <c r="AIA15" s="29"/>
      <c r="AIB15" s="29"/>
      <c r="AIC15" s="28"/>
      <c r="AID15" s="29"/>
      <c r="AIE15" s="29"/>
      <c r="AIF15" s="28"/>
      <c r="AIG15" s="29"/>
      <c r="AIH15" s="30"/>
      <c r="AII15" s="28"/>
      <c r="AIJ15" s="29"/>
      <c r="AIK15" s="29"/>
      <c r="AIL15" s="29"/>
      <c r="AIM15" s="28"/>
      <c r="AIN15" s="29"/>
      <c r="AIO15" s="29"/>
      <c r="AIP15" s="28"/>
      <c r="AIQ15" s="29"/>
      <c r="AIR15" s="30"/>
      <c r="AIS15" s="28"/>
      <c r="AIT15" s="29"/>
      <c r="AIU15" s="29"/>
      <c r="AIV15" s="29"/>
      <c r="AIW15" s="28"/>
      <c r="AIX15" s="29"/>
      <c r="AIY15" s="29"/>
      <c r="AIZ15" s="28"/>
      <c r="AJA15" s="29"/>
      <c r="AJB15" s="30"/>
      <c r="AJC15" s="28"/>
      <c r="AJD15" s="29"/>
      <c r="AJE15" s="29"/>
      <c r="AJF15" s="29"/>
      <c r="AJG15" s="28"/>
      <c r="AJH15" s="29"/>
      <c r="AJI15" s="29"/>
      <c r="AJJ15" s="28"/>
      <c r="AJK15" s="29"/>
      <c r="AJL15" s="30"/>
      <c r="AJM15" s="28"/>
      <c r="AJN15" s="29"/>
      <c r="AJO15" s="29"/>
      <c r="AJP15" s="29"/>
      <c r="AJQ15" s="28"/>
      <c r="AJR15" s="29"/>
      <c r="AJS15" s="29"/>
      <c r="AJT15" s="28"/>
      <c r="AJU15" s="29"/>
      <c r="AJV15" s="30"/>
      <c r="AJW15" s="28"/>
      <c r="AJX15" s="29"/>
      <c r="AJY15" s="29"/>
      <c r="AJZ15" s="29"/>
      <c r="AKA15" s="28"/>
      <c r="AKB15" s="29"/>
      <c r="AKC15" s="29"/>
      <c r="AKD15" s="28"/>
      <c r="AKE15" s="29"/>
      <c r="AKF15" s="30"/>
      <c r="AKG15" s="28"/>
      <c r="AKH15" s="29"/>
      <c r="AKI15" s="29"/>
      <c r="AKJ15" s="29"/>
      <c r="AKK15" s="28"/>
      <c r="AKL15" s="29"/>
      <c r="AKM15" s="29"/>
      <c r="AKN15" s="28"/>
      <c r="AKO15" s="29"/>
      <c r="AKP15" s="30"/>
      <c r="AKQ15" s="28"/>
      <c r="AKR15" s="29"/>
      <c r="AKS15" s="29"/>
      <c r="AKT15" s="29"/>
      <c r="AKU15" s="28"/>
      <c r="AKV15" s="29"/>
      <c r="AKW15" s="29"/>
      <c r="AKX15" s="28"/>
      <c r="AKY15" s="29"/>
      <c r="AKZ15" s="30"/>
      <c r="ALA15" s="28"/>
      <c r="ALB15" s="29"/>
      <c r="ALC15" s="29"/>
      <c r="ALD15" s="29"/>
      <c r="ALE15" s="28"/>
      <c r="ALF15" s="29"/>
      <c r="ALG15" s="29"/>
      <c r="ALH15" s="29"/>
      <c r="ALI15" s="29"/>
      <c r="ALJ15" s="29"/>
      <c r="ALK15" s="28"/>
      <c r="ALL15" s="29"/>
      <c r="ALM15" s="29"/>
      <c r="ALN15" s="28"/>
      <c r="ALO15" s="29"/>
      <c r="ALP15" s="30"/>
      <c r="ALQ15" s="28"/>
      <c r="ALR15" s="29"/>
      <c r="ALS15" s="29"/>
      <c r="ALT15" s="29"/>
      <c r="ALU15" s="28"/>
      <c r="ALV15" s="29"/>
      <c r="ALW15" s="29"/>
      <c r="ALX15" s="28"/>
      <c r="ALY15" s="29"/>
      <c r="ALZ15" s="30"/>
      <c r="AMA15" s="28"/>
      <c r="AMB15" s="29"/>
      <c r="AMC15" s="29"/>
      <c r="AMD15" s="29"/>
      <c r="AME15" s="28"/>
      <c r="AMF15" s="29"/>
      <c r="AMG15" s="29"/>
      <c r="AMH15" s="29"/>
      <c r="AMI15" s="29"/>
      <c r="AMJ15" s="29"/>
      <c r="AMK15" s="28"/>
      <c r="AML15" s="29"/>
      <c r="AMM15" s="29"/>
      <c r="AMN15" s="28"/>
      <c r="AMO15" s="29"/>
      <c r="AMP15" s="30"/>
      <c r="AMQ15" s="28"/>
      <c r="AMR15" s="29"/>
      <c r="AMS15" s="29"/>
      <c r="AMT15" s="29"/>
      <c r="AMU15" s="28"/>
      <c r="AMV15" s="29"/>
      <c r="AMW15" s="29"/>
      <c r="AMX15" s="28"/>
      <c r="AMY15" s="29"/>
      <c r="AMZ15" s="30"/>
      <c r="ANA15" s="28"/>
      <c r="ANB15" s="29"/>
      <c r="ANC15" s="29"/>
      <c r="AND15" s="29"/>
      <c r="ANE15" s="28"/>
      <c r="ANF15" s="29"/>
      <c r="ANG15" s="29"/>
      <c r="ANH15" s="29"/>
      <c r="ANI15" s="29"/>
      <c r="ANJ15" s="29"/>
      <c r="ANK15" s="28"/>
      <c r="ANL15" s="29"/>
      <c r="ANM15" s="29"/>
      <c r="ANN15" s="28"/>
      <c r="ANO15" s="29"/>
      <c r="ANP15" s="30"/>
      <c r="ANQ15" s="28"/>
      <c r="ANR15" s="29"/>
      <c r="ANS15" s="29"/>
      <c r="ANT15" s="29"/>
      <c r="ANU15" s="28"/>
      <c r="ANV15" s="29"/>
      <c r="ANW15" s="29"/>
      <c r="ANX15" s="28"/>
      <c r="ANY15" s="29"/>
      <c r="ANZ15" s="30"/>
      <c r="AOA15" s="28"/>
      <c r="AOB15" s="29"/>
      <c r="AOC15" s="29"/>
      <c r="AOD15" s="29"/>
      <c r="AOE15" s="28"/>
      <c r="AOF15" s="29"/>
      <c r="AOG15" s="29"/>
      <c r="AOH15" s="29"/>
      <c r="AOI15" s="29"/>
      <c r="AOJ15" s="29"/>
      <c r="AOK15" s="28"/>
      <c r="AOL15" s="29"/>
      <c r="AOM15" s="29"/>
      <c r="AON15" s="28"/>
      <c r="AOO15" s="29"/>
      <c r="AOP15" s="30"/>
      <c r="AOQ15" s="28"/>
      <c r="AOR15" s="29"/>
      <c r="AOS15" s="29"/>
      <c r="AOT15" s="29"/>
      <c r="AOU15" s="28"/>
      <c r="AOV15" s="29"/>
      <c r="AOW15" s="29"/>
      <c r="AOX15" s="28"/>
      <c r="AOY15" s="29"/>
      <c r="AOZ15" s="30"/>
      <c r="APA15" s="28"/>
      <c r="APB15" s="29"/>
      <c r="APC15" s="29"/>
      <c r="APD15" s="29"/>
      <c r="APE15" s="28"/>
      <c r="APF15" s="29"/>
      <c r="APG15" s="29"/>
      <c r="APH15" s="29"/>
      <c r="API15" s="29"/>
      <c r="APJ15" s="29"/>
      <c r="APK15" s="28"/>
      <c r="APL15" s="29"/>
      <c r="APM15" s="29"/>
      <c r="APN15" s="28"/>
      <c r="APO15" s="29"/>
      <c r="APP15" s="30"/>
      <c r="APQ15" s="28"/>
      <c r="APR15" s="29"/>
      <c r="APS15" s="29"/>
      <c r="APT15" s="29"/>
      <c r="APU15" s="28"/>
      <c r="APV15" s="29"/>
      <c r="APW15" s="29"/>
      <c r="APX15" s="28"/>
      <c r="APY15" s="29"/>
      <c r="APZ15" s="30"/>
      <c r="AQA15" s="28"/>
      <c r="AQB15" s="29"/>
      <c r="AQC15" s="29"/>
      <c r="AQD15" s="29"/>
      <c r="AQE15" s="28"/>
      <c r="AQF15" s="29"/>
      <c r="AQG15" s="29"/>
      <c r="AQH15" s="29"/>
      <c r="AQI15" s="29"/>
      <c r="AQJ15" s="29"/>
      <c r="AQK15" s="28"/>
      <c r="AQL15" s="29"/>
      <c r="AQM15" s="29"/>
      <c r="AQN15" s="28"/>
      <c r="AQO15" s="29"/>
      <c r="AQP15" s="30"/>
      <c r="AQQ15" s="28"/>
      <c r="AQR15" s="29"/>
      <c r="AQS15" s="29"/>
      <c r="AQT15" s="29"/>
      <c r="AQU15" s="28"/>
      <c r="AQV15" s="29"/>
      <c r="AQW15" s="29"/>
      <c r="AQX15" s="28"/>
      <c r="AQY15" s="29"/>
      <c r="AQZ15" s="30"/>
      <c r="ARA15" s="28"/>
      <c r="ARB15" s="29"/>
      <c r="ARC15" s="29"/>
      <c r="ARD15" s="29"/>
      <c r="ARE15" s="28"/>
      <c r="ARF15" s="29"/>
      <c r="ARG15" s="29"/>
      <c r="ARH15" s="29"/>
      <c r="ARI15" s="29"/>
      <c r="ARJ15" s="29"/>
      <c r="ARK15" s="28"/>
      <c r="ARL15" s="29"/>
      <c r="ARM15" s="29"/>
      <c r="ARN15" s="28"/>
      <c r="ARO15" s="29"/>
      <c r="ARP15" s="30"/>
      <c r="ARQ15" s="28"/>
      <c r="ARR15" s="29"/>
      <c r="ARS15" s="29"/>
      <c r="ART15" s="29"/>
      <c r="ARU15" s="28"/>
      <c r="ARV15" s="29"/>
      <c r="ARW15" s="29"/>
      <c r="ARX15" s="28"/>
      <c r="ARY15" s="29"/>
      <c r="ARZ15" s="30"/>
      <c r="ASA15" s="28"/>
      <c r="ASB15" s="29"/>
      <c r="ASC15" s="29"/>
      <c r="ASD15" s="29"/>
      <c r="ASE15" s="28"/>
      <c r="ASF15" s="29"/>
      <c r="ASG15" s="29"/>
      <c r="ASH15" s="29"/>
      <c r="ASI15" s="29"/>
      <c r="ASJ15" s="29"/>
      <c r="ASK15" s="28"/>
      <c r="ASL15" s="29"/>
      <c r="ASM15" s="29"/>
      <c r="ASN15" s="28"/>
      <c r="ASO15" s="29"/>
      <c r="ASP15" s="30"/>
      <c r="ASQ15" s="28"/>
      <c r="ASR15" s="29"/>
      <c r="ASS15" s="29"/>
      <c r="AST15" s="29"/>
      <c r="ASU15" s="28"/>
      <c r="ASV15" s="29"/>
      <c r="ASW15" s="29"/>
      <c r="ASX15" s="28"/>
      <c r="ASY15" s="29"/>
      <c r="ASZ15" s="30"/>
      <c r="ATA15" s="28"/>
      <c r="ATB15" s="29"/>
      <c r="ATC15" s="29"/>
      <c r="ATD15" s="29"/>
      <c r="ATE15" s="28"/>
      <c r="ATF15" s="29"/>
      <c r="ATG15" s="29"/>
      <c r="ATH15" s="29"/>
      <c r="ATI15" s="29"/>
      <c r="ATJ15" s="29"/>
      <c r="ATK15" s="28"/>
      <c r="ATL15" s="29"/>
      <c r="ATM15" s="29"/>
      <c r="ATN15" s="28"/>
      <c r="ATO15" s="29"/>
      <c r="ATP15" s="30"/>
      <c r="ATQ15" s="28"/>
      <c r="ATR15" s="29"/>
      <c r="ATS15" s="29"/>
      <c r="ATT15" s="29"/>
      <c r="ATU15" s="28"/>
      <c r="ATV15" s="29"/>
      <c r="ATW15" s="29"/>
      <c r="ATX15" s="28"/>
      <c r="ATY15" s="29"/>
      <c r="ATZ15" s="30"/>
      <c r="AUA15" s="28"/>
      <c r="AUB15" s="29"/>
      <c r="AUC15" s="29"/>
      <c r="AUD15" s="29"/>
      <c r="AUE15" s="28"/>
      <c r="AUF15" s="29"/>
      <c r="AUG15" s="29"/>
      <c r="AUH15" s="29"/>
      <c r="AUI15" s="29"/>
      <c r="AUJ15" s="29"/>
      <c r="AUK15" s="28"/>
      <c r="AUL15" s="29"/>
      <c r="AUM15" s="29"/>
      <c r="AUN15" s="28"/>
      <c r="AUO15" s="29"/>
      <c r="AUP15" s="30"/>
      <c r="AUQ15" s="28"/>
      <c r="AUR15" s="29"/>
      <c r="AUS15" s="29"/>
      <c r="AUT15" s="29"/>
      <c r="AUU15" s="28"/>
      <c r="AUV15" s="29"/>
      <c r="AUW15" s="29"/>
      <c r="AUX15" s="28"/>
      <c r="AUY15" s="29"/>
      <c r="AUZ15" s="30"/>
      <c r="AVA15" s="28"/>
      <c r="AVB15" s="29"/>
      <c r="AVC15" s="29"/>
      <c r="AVD15" s="29"/>
      <c r="AVE15" s="28"/>
      <c r="AVF15" s="29"/>
      <c r="AVG15" s="29"/>
      <c r="AVH15" s="29"/>
      <c r="AVI15" s="29"/>
      <c r="AVJ15" s="29"/>
      <c r="AVK15" s="28"/>
      <c r="AVL15" s="29"/>
      <c r="AVM15" s="29"/>
      <c r="AVN15" s="28"/>
      <c r="AVO15" s="29"/>
      <c r="AVP15" s="30"/>
      <c r="AVQ15" s="28"/>
      <c r="AVR15" s="29"/>
      <c r="AVS15" s="29"/>
      <c r="AVT15" s="29"/>
      <c r="AVU15" s="28"/>
      <c r="AVV15" s="29"/>
      <c r="AVW15" s="29"/>
      <c r="AVX15" s="28"/>
      <c r="AVY15" s="29"/>
      <c r="AVZ15" s="30"/>
      <c r="AWA15" s="28"/>
      <c r="AWB15" s="29"/>
      <c r="AWC15" s="29"/>
      <c r="AWD15" s="29"/>
      <c r="AWE15" s="28"/>
      <c r="AWF15" s="29"/>
      <c r="AWG15" s="29"/>
      <c r="AWH15" s="29"/>
      <c r="AWI15" s="29"/>
      <c r="AWJ15" s="29"/>
      <c r="AWK15" s="28"/>
      <c r="AWL15" s="29"/>
      <c r="AWM15" s="29"/>
      <c r="AWN15" s="28"/>
      <c r="AWO15" s="29"/>
      <c r="AWP15" s="30"/>
      <c r="AWQ15" s="28"/>
      <c r="AWR15" s="29"/>
      <c r="AWS15" s="29"/>
      <c r="AWT15" s="29"/>
      <c r="AWU15" s="28"/>
      <c r="AWV15" s="29"/>
      <c r="AWW15" s="29"/>
      <c r="AWX15" s="28"/>
      <c r="AWY15" s="29"/>
      <c r="AWZ15" s="30"/>
      <c r="AXA15" s="28"/>
      <c r="AXB15" s="29"/>
      <c r="AXC15" s="29"/>
      <c r="AXD15" s="29"/>
      <c r="AXE15" s="28"/>
      <c r="AXF15" s="29"/>
      <c r="AXG15" s="29"/>
      <c r="AXH15" s="29"/>
      <c r="AXI15" s="29"/>
      <c r="AXJ15" s="29"/>
      <c r="AXK15" s="28"/>
      <c r="AXL15" s="29"/>
      <c r="AXM15" s="29"/>
      <c r="AXN15" s="28"/>
      <c r="AXO15" s="29"/>
      <c r="AXP15" s="30"/>
      <c r="AXQ15" s="28"/>
      <c r="AXR15" s="29"/>
      <c r="AXS15" s="29"/>
      <c r="AXT15" s="29"/>
      <c r="AXU15" s="28"/>
      <c r="AXV15" s="29"/>
      <c r="AXW15" s="29"/>
      <c r="AXX15" s="28"/>
      <c r="AXY15" s="29"/>
      <c r="AXZ15" s="30"/>
      <c r="AYA15" s="28"/>
      <c r="AYB15" s="29"/>
      <c r="AYC15" s="29"/>
      <c r="AYD15" s="29"/>
      <c r="AYE15" s="28"/>
      <c r="AYF15" s="29"/>
      <c r="AYG15" s="29"/>
      <c r="AYH15" s="29"/>
      <c r="AYI15" s="29"/>
      <c r="AYJ15" s="29"/>
      <c r="AYK15" s="28"/>
      <c r="AYL15" s="29"/>
      <c r="AYM15" s="29"/>
      <c r="AYN15" s="28"/>
      <c r="AYO15" s="29"/>
      <c r="AYP15" s="30"/>
      <c r="AYQ15" s="28"/>
      <c r="AYR15" s="29"/>
      <c r="AYS15" s="29"/>
      <c r="AYT15" s="29"/>
      <c r="AYU15" s="28"/>
      <c r="AYV15" s="29"/>
      <c r="AYW15" s="29"/>
      <c r="AYX15" s="28"/>
      <c r="AYY15" s="29"/>
      <c r="AYZ15" s="30"/>
      <c r="AZA15" s="28"/>
      <c r="AZB15" s="29"/>
      <c r="AZC15" s="29"/>
      <c r="AZD15" s="29"/>
      <c r="AZE15" s="28"/>
      <c r="AZF15" s="29"/>
      <c r="AZG15" s="29"/>
      <c r="AZH15" s="29"/>
      <c r="AZI15" s="29"/>
      <c r="AZJ15" s="29"/>
      <c r="AZK15" s="28"/>
      <c r="AZL15" s="29"/>
      <c r="AZM15" s="29"/>
      <c r="AZN15" s="28"/>
      <c r="AZO15" s="29"/>
      <c r="AZP15" s="30"/>
      <c r="AZQ15" s="28"/>
      <c r="AZR15" s="29"/>
      <c r="AZS15" s="29"/>
      <c r="AZT15" s="29"/>
      <c r="AZU15" s="28"/>
      <c r="AZV15" s="29"/>
      <c r="AZW15" s="29"/>
      <c r="AZX15" s="28"/>
      <c r="AZY15" s="29"/>
      <c r="AZZ15" s="30"/>
      <c r="BAA15" s="28"/>
      <c r="BAB15" s="29"/>
      <c r="BAC15" s="29"/>
      <c r="BAD15" s="29"/>
      <c r="BAE15" s="28"/>
      <c r="BAF15" s="29"/>
      <c r="BAG15" s="29"/>
      <c r="BAH15" s="29"/>
      <c r="BAI15" s="29"/>
      <c r="BAJ15" s="29"/>
      <c r="BAK15" s="28"/>
      <c r="BAL15" s="29"/>
      <c r="BAM15" s="29"/>
      <c r="BAN15" s="28"/>
      <c r="BAO15" s="29"/>
      <c r="BAP15" s="30"/>
      <c r="BAQ15" s="28"/>
      <c r="BAR15" s="29"/>
      <c r="BAS15" s="29"/>
      <c r="BAT15" s="29"/>
      <c r="BAU15" s="28"/>
      <c r="BAV15" s="29"/>
      <c r="BAW15" s="29"/>
      <c r="BAX15" s="28"/>
      <c r="BAY15" s="29"/>
      <c r="BAZ15" s="30"/>
      <c r="BBA15" s="28"/>
      <c r="BBB15" s="29"/>
      <c r="BBC15" s="29"/>
      <c r="BBD15" s="29"/>
      <c r="BBE15" s="28"/>
      <c r="BBF15" s="29"/>
      <c r="BBG15" s="29"/>
      <c r="BBH15" s="29"/>
      <c r="BBI15" s="29"/>
      <c r="BBJ15" s="29"/>
      <c r="BBK15" s="28"/>
      <c r="BBL15" s="29"/>
      <c r="BBM15" s="29"/>
      <c r="BBN15" s="28"/>
      <c r="BBO15" s="29"/>
      <c r="BBP15" s="30"/>
      <c r="BBQ15" s="28"/>
      <c r="BBR15" s="29"/>
      <c r="BBS15" s="29"/>
      <c r="BBT15" s="29"/>
      <c r="BBU15" s="28"/>
      <c r="BBV15" s="29"/>
      <c r="BBW15" s="29"/>
      <c r="BBX15" s="28"/>
      <c r="BBY15" s="29"/>
      <c r="BBZ15" s="30"/>
      <c r="BCA15" s="28"/>
      <c r="BCB15" s="29"/>
      <c r="BCC15" s="29"/>
      <c r="BCD15" s="29"/>
      <c r="BCE15" s="28"/>
      <c r="BCF15" s="29"/>
      <c r="BCG15" s="29"/>
      <c r="BCH15" s="29"/>
      <c r="BCI15" s="29"/>
      <c r="BCJ15" s="29"/>
      <c r="BCK15" s="28"/>
      <c r="BCL15" s="29"/>
      <c r="BCM15" s="29"/>
      <c r="BCN15" s="28"/>
      <c r="BCO15" s="29"/>
      <c r="BCP15" s="30"/>
      <c r="BCQ15" s="28"/>
      <c r="BCR15" s="29"/>
      <c r="BCS15" s="29"/>
      <c r="BCT15" s="29"/>
      <c r="BCU15" s="28"/>
      <c r="BCV15" s="29"/>
      <c r="BCW15" s="29"/>
      <c r="BCX15" s="28"/>
      <c r="BCY15" s="29"/>
      <c r="BCZ15" s="30"/>
      <c r="BDA15" s="28"/>
      <c r="BDB15" s="29"/>
      <c r="BDC15" s="29"/>
      <c r="BDD15" s="29"/>
      <c r="BDE15" s="28"/>
      <c r="BDF15" s="29"/>
      <c r="BDG15" s="29"/>
      <c r="BDH15" s="29"/>
      <c r="BDI15" s="29"/>
      <c r="BDJ15" s="29"/>
      <c r="BDK15" s="28"/>
      <c r="BDL15" s="29"/>
      <c r="BDM15" s="29"/>
      <c r="BDN15" s="28"/>
      <c r="BDO15" s="29"/>
      <c r="BDP15" s="30"/>
      <c r="BDQ15" s="28"/>
      <c r="BDR15" s="29"/>
      <c r="BDS15" s="29"/>
      <c r="BDT15" s="29"/>
      <c r="BDU15" s="28"/>
      <c r="BDV15" s="29"/>
      <c r="BDW15" s="29"/>
      <c r="BDX15" s="28"/>
      <c r="BDY15" s="29"/>
      <c r="BDZ15" s="30"/>
      <c r="BEA15" s="28"/>
      <c r="BEB15" s="29"/>
      <c r="BEC15" s="29"/>
      <c r="BED15" s="29"/>
      <c r="BEE15" s="28"/>
      <c r="BEF15" s="29"/>
      <c r="BEG15" s="29"/>
      <c r="BEH15" s="29"/>
      <c r="BEI15" s="29"/>
      <c r="BEJ15" s="29"/>
      <c r="BEK15" s="28"/>
      <c r="BEL15" s="29"/>
      <c r="BEM15" s="29"/>
      <c r="BEN15" s="28"/>
      <c r="BEO15" s="29"/>
      <c r="BEP15" s="30"/>
      <c r="BEQ15" s="28"/>
      <c r="BER15" s="29"/>
      <c r="BES15" s="29"/>
      <c r="BET15" s="29"/>
      <c r="BEU15" s="28"/>
      <c r="BEV15" s="29"/>
      <c r="BEW15" s="29"/>
      <c r="BEX15" s="28"/>
      <c r="BEY15" s="29"/>
      <c r="BEZ15" s="30"/>
      <c r="BFA15" s="28"/>
      <c r="BFB15" s="29"/>
      <c r="BFC15" s="29"/>
      <c r="BFD15" s="29"/>
      <c r="BFE15" s="28"/>
      <c r="BFF15" s="29"/>
      <c r="BFG15" s="29"/>
      <c r="BFH15" s="29"/>
      <c r="BFI15" s="29"/>
      <c r="BFJ15" s="29"/>
      <c r="BFK15" s="28"/>
      <c r="BFL15" s="29"/>
      <c r="BFM15" s="29"/>
      <c r="BFN15" s="28"/>
      <c r="BFO15" s="29"/>
      <c r="BFP15" s="30"/>
      <c r="BFQ15" s="28"/>
      <c r="BFR15" s="29"/>
      <c r="BFS15" s="29"/>
      <c r="BFT15" s="29"/>
      <c r="BFU15" s="28"/>
      <c r="BFV15" s="29"/>
      <c r="BFW15" s="29"/>
      <c r="BFX15" s="28"/>
      <c r="BFY15" s="29"/>
      <c r="BFZ15" s="30"/>
      <c r="BGA15" s="28"/>
      <c r="BGB15" s="29"/>
      <c r="BGC15" s="29"/>
      <c r="BGD15" s="29"/>
      <c r="BGE15" s="28"/>
      <c r="BGF15" s="29"/>
      <c r="BGG15" s="29"/>
      <c r="BGH15" s="29"/>
      <c r="BGI15" s="29"/>
      <c r="BGJ15" s="29"/>
      <c r="BGK15" s="28"/>
      <c r="BGL15" s="29"/>
      <c r="BGM15" s="29"/>
      <c r="BGN15" s="28"/>
      <c r="BGO15" s="29"/>
      <c r="BGP15" s="30"/>
      <c r="BGQ15" s="28"/>
      <c r="BGR15" s="29"/>
      <c r="BGS15" s="29"/>
      <c r="BGT15" s="29"/>
      <c r="BGU15" s="28"/>
      <c r="BGV15" s="29"/>
      <c r="BGW15" s="29"/>
      <c r="BGX15" s="28"/>
      <c r="BGY15" s="29"/>
      <c r="BGZ15" s="30"/>
      <c r="BHA15" s="28"/>
      <c r="BHB15" s="29"/>
      <c r="BHC15" s="29"/>
      <c r="BHD15" s="29"/>
      <c r="BHE15" s="28"/>
      <c r="BHF15" s="29"/>
      <c r="BHG15" s="29"/>
      <c r="BHH15" s="29"/>
      <c r="BHI15" s="29"/>
      <c r="BHJ15" s="29"/>
      <c r="BHK15" s="28"/>
      <c r="BHL15" s="29"/>
      <c r="BHM15" s="29"/>
      <c r="BHN15" s="28"/>
      <c r="BHO15" s="29"/>
      <c r="BHP15" s="30"/>
      <c r="BHQ15" s="28"/>
      <c r="BHR15" s="29"/>
      <c r="BHS15" s="29"/>
      <c r="BHT15" s="29"/>
      <c r="BHU15" s="28"/>
      <c r="BHV15" s="29"/>
      <c r="BHW15" s="29"/>
      <c r="BHX15" s="28"/>
      <c r="BHY15" s="29"/>
      <c r="BHZ15" s="30"/>
      <c r="BIA15" s="28"/>
      <c r="BIB15" s="29"/>
      <c r="BIC15" s="29"/>
      <c r="BID15" s="29"/>
      <c r="BIE15" s="28"/>
      <c r="BIF15" s="29"/>
      <c r="BIG15" s="29"/>
      <c r="BIH15" s="29"/>
      <c r="BII15" s="29"/>
      <c r="BIJ15" s="29"/>
      <c r="BIK15" s="28"/>
      <c r="BIL15" s="29"/>
      <c r="BIM15" s="29"/>
      <c r="BIN15" s="28"/>
      <c r="BIO15" s="29"/>
      <c r="BIP15" s="30"/>
      <c r="BIQ15" s="28"/>
      <c r="BIR15" s="29"/>
      <c r="BIS15" s="29"/>
      <c r="BIT15" s="29"/>
      <c r="BIU15" s="28"/>
      <c r="BIV15" s="29"/>
      <c r="BIW15" s="29"/>
      <c r="BIX15" s="28"/>
      <c r="BIY15" s="29"/>
      <c r="BIZ15" s="30"/>
      <c r="BJA15" s="28"/>
      <c r="BJB15" s="29"/>
      <c r="BJC15" s="29"/>
      <c r="BJD15" s="29"/>
      <c r="BJE15" s="28"/>
      <c r="BJF15" s="29"/>
      <c r="BJG15" s="29"/>
      <c r="BJH15" s="29"/>
      <c r="BJI15" s="29"/>
      <c r="BJJ15" s="29"/>
      <c r="BJK15" s="28"/>
      <c r="BJL15" s="29"/>
      <c r="BJM15" s="29"/>
      <c r="BJN15" s="28"/>
      <c r="BJO15" s="29"/>
      <c r="BJP15" s="30"/>
      <c r="BJQ15" s="28"/>
      <c r="BJR15" s="29"/>
      <c r="BJS15" s="29"/>
      <c r="BJT15" s="29"/>
      <c r="BJU15" s="28"/>
      <c r="BJV15" s="29"/>
      <c r="BJW15" s="29"/>
      <c r="BJX15" s="28"/>
      <c r="BJY15" s="29"/>
      <c r="BJZ15" s="30"/>
      <c r="BKA15" s="28"/>
      <c r="BKB15" s="29"/>
      <c r="BKC15" s="29"/>
      <c r="BKD15" s="29"/>
      <c r="BKE15" s="28"/>
      <c r="BKF15" s="29"/>
      <c r="BKG15" s="29"/>
      <c r="BKH15" s="29"/>
      <c r="BKI15" s="29"/>
      <c r="BKJ15" s="29"/>
      <c r="BKK15" s="28"/>
      <c r="BKL15" s="29"/>
      <c r="BKM15" s="29"/>
      <c r="BKN15" s="28"/>
      <c r="BKO15" s="29"/>
      <c r="BKP15" s="30"/>
      <c r="BKQ15" s="28"/>
      <c r="BKR15" s="29"/>
      <c r="BKS15" s="29"/>
      <c r="BKT15" s="29"/>
      <c r="BKU15" s="28"/>
      <c r="BKV15" s="29"/>
      <c r="BKW15" s="29"/>
      <c r="BKX15" s="28"/>
      <c r="BKY15" s="29"/>
      <c r="BKZ15" s="30"/>
      <c r="BLA15" s="28"/>
      <c r="BLB15" s="29"/>
      <c r="BLC15" s="29"/>
      <c r="BLD15" s="29"/>
      <c r="BLE15" s="28"/>
      <c r="BLF15" s="29"/>
      <c r="BLG15" s="29"/>
      <c r="BLH15" s="29"/>
      <c r="BLI15" s="29"/>
      <c r="BLJ15" s="29"/>
      <c r="BLK15" s="28"/>
      <c r="BLL15" s="29"/>
      <c r="BLM15" s="29"/>
      <c r="BLN15" s="28"/>
      <c r="BLO15" s="29"/>
      <c r="BLP15" s="30"/>
      <c r="BLQ15" s="28"/>
      <c r="BLR15" s="29"/>
      <c r="BLS15" s="29"/>
      <c r="BLT15" s="29"/>
      <c r="BLU15" s="28"/>
      <c r="BLV15" s="29"/>
      <c r="BLW15" s="29"/>
      <c r="BLX15" s="28"/>
      <c r="BLY15" s="29"/>
      <c r="BLZ15" s="30"/>
      <c r="BMA15" s="28"/>
      <c r="BMB15" s="29"/>
      <c r="BMC15" s="29"/>
      <c r="BMD15" s="29"/>
      <c r="BME15" s="28"/>
      <c r="BMF15" s="29"/>
      <c r="BMG15" s="29"/>
      <c r="BMH15" s="29"/>
      <c r="BMI15" s="29"/>
      <c r="BMJ15" s="29"/>
      <c r="BMK15" s="28"/>
      <c r="BML15" s="29"/>
      <c r="BMM15" s="29"/>
      <c r="BMN15" s="28"/>
      <c r="BMO15" s="29"/>
      <c r="BMP15" s="30"/>
      <c r="BMQ15" s="28"/>
      <c r="BMR15" s="29"/>
      <c r="BMS15" s="29"/>
      <c r="BMT15" s="29"/>
      <c r="BMU15" s="28"/>
      <c r="BMV15" s="29"/>
      <c r="BMW15" s="29"/>
      <c r="BMX15" s="28"/>
      <c r="BMY15" s="29"/>
      <c r="BMZ15" s="30"/>
      <c r="BNA15" s="28"/>
      <c r="BNB15" s="29"/>
      <c r="BNC15" s="29"/>
      <c r="BND15" s="29"/>
      <c r="BNE15" s="28"/>
      <c r="BNF15" s="29"/>
      <c r="BNG15" s="29"/>
      <c r="BNH15" s="29"/>
      <c r="BNI15" s="29"/>
      <c r="BNJ15" s="29"/>
      <c r="BNK15" s="28"/>
      <c r="BNL15" s="29"/>
      <c r="BNM15" s="29"/>
      <c r="BNN15" s="28"/>
      <c r="BNO15" s="29"/>
      <c r="BNP15" s="30"/>
      <c r="BNQ15" s="28"/>
      <c r="BNR15" s="29"/>
      <c r="BNS15" s="29"/>
      <c r="BNT15" s="29"/>
      <c r="BNU15" s="28"/>
      <c r="BNV15" s="29"/>
      <c r="BNW15" s="29"/>
      <c r="BNX15" s="28"/>
      <c r="BNY15" s="29"/>
      <c r="BNZ15" s="30"/>
      <c r="BOA15" s="28"/>
      <c r="BOB15" s="29"/>
      <c r="BOC15" s="29"/>
      <c r="BOD15" s="29"/>
      <c r="BOE15" s="28"/>
      <c r="BOF15" s="29"/>
      <c r="BOG15" s="29"/>
      <c r="BOH15" s="29"/>
      <c r="BOI15" s="29"/>
      <c r="BOJ15" s="29"/>
      <c r="BOK15" s="28"/>
      <c r="BOL15" s="29"/>
      <c r="BOM15" s="29"/>
      <c r="BON15" s="28"/>
      <c r="BOO15" s="29"/>
      <c r="BOP15" s="30"/>
      <c r="BOQ15" s="28"/>
      <c r="BOR15" s="29"/>
      <c r="BOS15" s="29"/>
      <c r="BOT15" s="29"/>
      <c r="BOU15" s="28"/>
      <c r="BOV15" s="29"/>
      <c r="BOW15" s="29"/>
      <c r="BOX15" s="28"/>
      <c r="BOY15" s="29"/>
      <c r="BOZ15" s="30"/>
      <c r="BPA15" s="28"/>
      <c r="BPB15" s="29"/>
      <c r="BPC15" s="29"/>
      <c r="BPD15" s="29"/>
      <c r="BPE15" s="28"/>
      <c r="BPF15" s="29"/>
      <c r="BPG15" s="29"/>
      <c r="BPH15" s="29"/>
      <c r="BPI15" s="29"/>
      <c r="BPJ15" s="29"/>
      <c r="BPK15" s="28"/>
      <c r="BPL15" s="29"/>
      <c r="BPM15" s="29"/>
      <c r="BPN15" s="28"/>
      <c r="BPO15" s="29"/>
      <c r="BPP15" s="30"/>
      <c r="BPQ15" s="28"/>
      <c r="BPR15" s="29"/>
      <c r="BPS15" s="29"/>
      <c r="BPT15" s="29"/>
      <c r="BPU15" s="28"/>
      <c r="BPV15" s="29"/>
      <c r="BPW15" s="29"/>
      <c r="BPX15" s="28"/>
      <c r="BPY15" s="29"/>
      <c r="BPZ15" s="30"/>
      <c r="BQA15" s="28"/>
      <c r="BQB15" s="29"/>
      <c r="BQC15" s="29"/>
      <c r="BQD15" s="29"/>
      <c r="BQE15" s="28"/>
      <c r="BQF15" s="29"/>
      <c r="BQG15" s="29"/>
      <c r="BQH15" s="29"/>
      <c r="BQI15" s="29"/>
      <c r="BQJ15" s="29"/>
      <c r="BQK15" s="28"/>
      <c r="BQL15" s="29"/>
      <c r="BQM15" s="29"/>
      <c r="BQN15" s="28"/>
      <c r="BQO15" s="29"/>
      <c r="BQP15" s="30"/>
      <c r="BQQ15" s="28"/>
      <c r="BQR15" s="29"/>
      <c r="BQS15" s="29"/>
      <c r="BQT15" s="29"/>
      <c r="BQU15" s="28"/>
      <c r="BQV15" s="29"/>
      <c r="BQW15" s="29"/>
      <c r="BQX15" s="28"/>
      <c r="BQY15" s="29"/>
      <c r="BQZ15" s="30"/>
      <c r="BRA15" s="28"/>
      <c r="BRB15" s="29"/>
      <c r="BRC15" s="29"/>
      <c r="BRD15" s="29"/>
      <c r="BRE15" s="28"/>
      <c r="BRF15" s="29"/>
      <c r="BRG15" s="29"/>
      <c r="BRH15" s="29"/>
      <c r="BRI15" s="29"/>
      <c r="BRJ15" s="29"/>
      <c r="BRK15" s="28"/>
      <c r="BRL15" s="29"/>
      <c r="BRM15" s="29"/>
      <c r="BRN15" s="28"/>
      <c r="BRO15" s="29"/>
      <c r="BRP15" s="30"/>
      <c r="BRQ15" s="28"/>
      <c r="BRR15" s="29"/>
      <c r="BRS15" s="29"/>
      <c r="BRT15" s="29"/>
      <c r="BRU15" s="28"/>
      <c r="BRV15" s="29"/>
      <c r="BRW15" s="29"/>
      <c r="BRX15" s="28"/>
      <c r="BRY15" s="29"/>
      <c r="BRZ15" s="30"/>
      <c r="BSA15" s="28"/>
      <c r="BSB15" s="29"/>
      <c r="BSC15" s="29"/>
      <c r="BSD15" s="29"/>
      <c r="BSE15" s="28"/>
      <c r="BSF15" s="29"/>
      <c r="BSG15" s="29"/>
      <c r="BSH15" s="29"/>
      <c r="BSI15" s="29"/>
      <c r="BSJ15" s="29"/>
      <c r="BSK15" s="28"/>
      <c r="BSL15" s="29"/>
      <c r="BSM15" s="29"/>
      <c r="BSN15" s="28"/>
      <c r="BSO15" s="29"/>
      <c r="BSP15" s="30"/>
      <c r="BSQ15" s="28"/>
      <c r="BSR15" s="29"/>
      <c r="BSS15" s="29"/>
      <c r="BST15" s="29"/>
      <c r="BSU15" s="28"/>
      <c r="BSV15" s="29"/>
      <c r="BSW15" s="29"/>
      <c r="BSX15" s="28"/>
      <c r="BSY15" s="29"/>
      <c r="BSZ15" s="30"/>
      <c r="BTA15" s="28"/>
      <c r="BTB15" s="29"/>
      <c r="BTC15" s="29"/>
      <c r="BTD15" s="29"/>
      <c r="BTE15" s="28"/>
      <c r="BTF15" s="29"/>
      <c r="BTG15" s="29"/>
      <c r="BTH15" s="29"/>
      <c r="BTI15" s="29"/>
      <c r="BTJ15" s="29"/>
      <c r="BTK15" s="28"/>
      <c r="BTL15" s="29"/>
      <c r="BTM15" s="29"/>
      <c r="BTN15" s="28"/>
      <c r="BTO15" s="29"/>
      <c r="BTP15" s="30"/>
      <c r="BTQ15" s="28"/>
      <c r="BTR15" s="29"/>
      <c r="BTS15" s="29"/>
      <c r="BTT15" s="29"/>
      <c r="BTU15" s="28"/>
      <c r="BTV15" s="29"/>
      <c r="BTW15" s="29"/>
      <c r="BTX15" s="28"/>
      <c r="BTY15" s="29"/>
      <c r="BTZ15" s="30"/>
      <c r="BUA15" s="28"/>
      <c r="BUB15" s="29"/>
      <c r="BUC15" s="29"/>
      <c r="BUD15" s="29"/>
      <c r="BUE15" s="28"/>
      <c r="BUF15" s="29"/>
      <c r="BUG15" s="29"/>
      <c r="BUH15" s="29"/>
      <c r="BUI15" s="29"/>
      <c r="BUJ15" s="29"/>
      <c r="BUK15" s="28"/>
      <c r="BUL15" s="29"/>
      <c r="BUM15" s="29"/>
      <c r="BUN15" s="28"/>
      <c r="BUO15" s="29"/>
      <c r="BUP15" s="30"/>
      <c r="BUQ15" s="28"/>
      <c r="BUR15" s="29"/>
      <c r="BUS15" s="29"/>
      <c r="BUT15" s="29"/>
      <c r="BUU15" s="28"/>
      <c r="BUV15" s="29"/>
      <c r="BUW15" s="29"/>
      <c r="BUX15" s="28"/>
      <c r="BUY15" s="29"/>
      <c r="BUZ15" s="30"/>
      <c r="BVA15" s="28"/>
      <c r="BVB15" s="29"/>
      <c r="BVC15" s="29"/>
      <c r="BVD15" s="29"/>
      <c r="BVE15" s="28"/>
      <c r="BVF15" s="29"/>
      <c r="BVG15" s="29"/>
      <c r="BVH15" s="29"/>
      <c r="BVI15" s="29"/>
      <c r="BVJ15" s="29"/>
      <c r="BVK15" s="28"/>
      <c r="BVL15" s="29"/>
      <c r="BVM15" s="29"/>
      <c r="BVN15" s="28"/>
      <c r="BVO15" s="29"/>
      <c r="BVP15" s="30"/>
      <c r="BVQ15" s="28"/>
      <c r="BVR15" s="29"/>
      <c r="BVS15" s="29"/>
      <c r="BVT15" s="29"/>
      <c r="BVU15" s="28"/>
      <c r="BVV15" s="29"/>
      <c r="BVW15" s="29"/>
      <c r="BVX15" s="28"/>
      <c r="BVY15" s="29"/>
      <c r="BVZ15" s="30"/>
      <c r="BWA15" s="28"/>
      <c r="BWB15" s="29"/>
      <c r="BWC15" s="29"/>
      <c r="BWD15" s="29"/>
      <c r="BWE15" s="28"/>
      <c r="BWF15" s="29"/>
      <c r="BWG15" s="29"/>
      <c r="BWH15" s="29"/>
      <c r="BWI15" s="29"/>
      <c r="BWJ15" s="29"/>
      <c r="BWK15" s="28"/>
      <c r="BWL15" s="29"/>
      <c r="BWM15" s="29"/>
      <c r="BWN15" s="28"/>
      <c r="BWO15" s="29"/>
      <c r="BWP15" s="30"/>
      <c r="BWQ15" s="28"/>
      <c r="BWR15" s="29"/>
      <c r="BWS15" s="29"/>
      <c r="BWT15" s="29"/>
      <c r="BWU15" s="28"/>
      <c r="BWV15" s="29"/>
      <c r="BWW15" s="29"/>
      <c r="BWX15" s="28"/>
      <c r="BWY15" s="29"/>
      <c r="BWZ15" s="30"/>
      <c r="BXA15" s="28"/>
      <c r="BXB15" s="29"/>
      <c r="BXC15" s="29"/>
      <c r="BXD15" s="29"/>
      <c r="BXE15" s="28"/>
      <c r="BXF15" s="29"/>
      <c r="BXG15" s="29"/>
      <c r="BXH15" s="29"/>
      <c r="BXI15" s="29"/>
      <c r="BXJ15" s="29"/>
      <c r="BXK15" s="28"/>
      <c r="BXL15" s="29"/>
      <c r="BXM15" s="29"/>
      <c r="BXN15" s="28"/>
      <c r="BXO15" s="29"/>
      <c r="BXP15" s="30"/>
      <c r="BXQ15" s="28"/>
      <c r="BXR15" s="29"/>
      <c r="BXS15" s="29"/>
      <c r="BXT15" s="29"/>
      <c r="BXU15" s="28"/>
      <c r="BXV15" s="29"/>
      <c r="BXW15" s="29"/>
      <c r="BXX15" s="28"/>
      <c r="BXY15" s="29"/>
      <c r="BXZ15" s="30"/>
      <c r="BYA15" s="28"/>
      <c r="BYB15" s="29"/>
      <c r="BYC15" s="29"/>
      <c r="BYD15" s="29"/>
      <c r="BYE15" s="28"/>
      <c r="BYF15" s="29"/>
      <c r="BYG15" s="29"/>
      <c r="BYH15" s="29"/>
      <c r="BYI15" s="29"/>
      <c r="BYJ15" s="29"/>
      <c r="BYK15" s="28"/>
      <c r="BYL15" s="29"/>
      <c r="BYM15" s="29"/>
      <c r="BYN15" s="28"/>
      <c r="BYO15" s="29"/>
      <c r="BYP15" s="30"/>
      <c r="BYQ15" s="28"/>
      <c r="BYR15" s="29"/>
      <c r="BYS15" s="29"/>
      <c r="BYT15" s="29"/>
      <c r="BYU15" s="28"/>
      <c r="BYV15" s="29"/>
      <c r="BYW15" s="29"/>
      <c r="BYX15" s="30"/>
      <c r="BYY15" s="29"/>
      <c r="BYZ15" s="28"/>
      <c r="BZA15" s="29"/>
      <c r="BZB15" s="28"/>
      <c r="BZC15" s="28"/>
      <c r="BZD15" s="28"/>
      <c r="BZE15" s="29"/>
      <c r="BZF15" s="385"/>
      <c r="BZG15" s="29"/>
      <c r="BZH15" s="385"/>
      <c r="BZI15" s="29"/>
      <c r="BZJ15" s="385"/>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30"/>
      <c r="CAQ15" s="28"/>
      <c r="CAR15" s="29"/>
      <c r="CAS15" s="30"/>
      <c r="CAT15" s="29"/>
      <c r="CAU15" s="29"/>
      <c r="CAV15" s="29"/>
      <c r="CAW15" s="28"/>
      <c r="CAX15" s="29"/>
      <c r="CAY15" s="29"/>
      <c r="CAZ15" s="28"/>
      <c r="CBA15" s="29"/>
      <c r="CBB15" s="30"/>
      <c r="CBC15" s="28"/>
      <c r="CBD15" s="29"/>
      <c r="CBE15" s="30"/>
      <c r="CBF15" s="29"/>
      <c r="CBG15" s="28"/>
      <c r="CBH15" s="29"/>
      <c r="CBI15" s="29"/>
      <c r="CBJ15" s="28"/>
      <c r="CBK15" s="29"/>
      <c r="CBL15" s="30"/>
      <c r="CBM15" s="28"/>
      <c r="CBN15" s="29"/>
      <c r="CBO15" s="30"/>
      <c r="CBP15" s="29"/>
      <c r="CBQ15" s="28"/>
      <c r="CBR15" s="29"/>
      <c r="CBS15" s="29"/>
      <c r="CBT15" s="28"/>
      <c r="CBU15" s="29"/>
      <c r="CBV15" s="30"/>
      <c r="CBW15" s="28"/>
      <c r="CBX15" s="29"/>
      <c r="CBY15" s="30"/>
      <c r="CBZ15" s="29"/>
      <c r="CCA15" s="28"/>
      <c r="CCB15" s="29"/>
      <c r="CCC15" s="29"/>
      <c r="CCD15" s="28"/>
      <c r="CCE15" s="29"/>
      <c r="CCF15" s="30"/>
      <c r="CCG15" s="28"/>
      <c r="CCH15" s="30"/>
      <c r="CCI15" s="29"/>
      <c r="CCJ15" s="28"/>
      <c r="CCK15" s="29"/>
      <c r="CCL15" s="28"/>
      <c r="CCM15" s="28"/>
      <c r="CCN15" s="28"/>
      <c r="CCO15" s="29"/>
      <c r="CCP15" s="385"/>
      <c r="CCQ15" s="29"/>
      <c r="CCR15" s="385"/>
      <c r="CCS15" s="29"/>
      <c r="CCT15" s="385"/>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30"/>
      <c r="CEA15" s="28"/>
      <c r="CEB15" s="29"/>
      <c r="CEC15" s="30"/>
      <c r="CED15" s="29"/>
      <c r="CEE15" s="29"/>
      <c r="CEF15" s="29"/>
      <c r="CEG15" s="28"/>
      <c r="CEH15" s="29"/>
      <c r="CEI15" s="29"/>
      <c r="CEJ15" s="28"/>
      <c r="CEK15" s="29"/>
      <c r="CEL15" s="30"/>
      <c r="CEM15" s="28"/>
      <c r="CEN15" s="29"/>
      <c r="CEO15" s="30"/>
      <c r="CEP15" s="29"/>
      <c r="CEQ15" s="28"/>
      <c r="CER15" s="29"/>
      <c r="CES15" s="29"/>
      <c r="CET15" s="28"/>
      <c r="CEU15" s="29"/>
      <c r="CEV15" s="30"/>
      <c r="CEW15" s="28"/>
      <c r="CEX15" s="29"/>
      <c r="CEY15" s="30"/>
      <c r="CEZ15" s="29"/>
      <c r="CFA15" s="28"/>
      <c r="CFB15" s="29"/>
      <c r="CFC15" s="29"/>
      <c r="CFD15" s="28"/>
      <c r="CFE15" s="29"/>
      <c r="CFF15" s="30"/>
      <c r="CFG15" s="28"/>
      <c r="CFH15" s="29"/>
      <c r="CFI15" s="30"/>
      <c r="CFJ15" s="29"/>
      <c r="CFK15" s="28"/>
      <c r="CFL15" s="29"/>
      <c r="CFM15" s="29"/>
      <c r="CFN15" s="28"/>
      <c r="CFO15" s="29"/>
      <c r="CFP15" s="30"/>
      <c r="CFQ15" s="28"/>
      <c r="CFR15" s="30"/>
      <c r="CFS15" s="29"/>
      <c r="CFT15" s="28"/>
      <c r="CFU15" s="29"/>
      <c r="CFV15" s="28"/>
      <c r="CFW15" s="28"/>
      <c r="CFX15" s="28"/>
      <c r="CFY15" s="29"/>
      <c r="CFZ15" s="385"/>
      <c r="CGA15" s="29"/>
      <c r="CGB15" s="385"/>
      <c r="CGC15" s="29"/>
      <c r="CGD15" s="385"/>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30"/>
      <c r="CHK15" s="28"/>
      <c r="CHL15" s="29"/>
      <c r="CHM15" s="30"/>
      <c r="CHN15" s="29"/>
      <c r="CHO15" s="29"/>
      <c r="CHP15" s="29"/>
      <c r="CHQ15" s="28"/>
      <c r="CHR15" s="29"/>
      <c r="CHS15" s="29"/>
      <c r="CHT15" s="28"/>
      <c r="CHU15" s="29"/>
      <c r="CHV15" s="30"/>
      <c r="CHW15" s="28"/>
      <c r="CHX15" s="29"/>
      <c r="CHY15" s="30"/>
      <c r="CHZ15" s="29"/>
      <c r="CIA15" s="28"/>
      <c r="CIB15" s="29"/>
      <c r="CIC15" s="29"/>
      <c r="CID15" s="28"/>
      <c r="CIE15" s="29"/>
      <c r="CIF15" s="30"/>
      <c r="CIG15" s="28"/>
      <c r="CIH15" s="29"/>
      <c r="CII15" s="30"/>
      <c r="CIJ15" s="29"/>
      <c r="CIK15" s="28"/>
      <c r="CIL15" s="29"/>
      <c r="CIM15" s="29"/>
      <c r="CIN15" s="28"/>
      <c r="CIO15" s="29"/>
      <c r="CIP15" s="30"/>
      <c r="CIQ15" s="28"/>
      <c r="CIR15" s="29"/>
      <c r="CIS15" s="30"/>
      <c r="CIT15" s="29"/>
      <c r="CIU15" s="28"/>
      <c r="CIV15" s="29"/>
      <c r="CIW15" s="29"/>
      <c r="CIX15" s="28"/>
      <c r="CIY15" s="29"/>
      <c r="CIZ15" s="30"/>
      <c r="CJA15" s="28"/>
      <c r="CJB15" s="30"/>
      <c r="CJC15" s="29"/>
      <c r="CJD15" s="28"/>
      <c r="CJE15" s="29"/>
      <c r="CJF15" s="28"/>
      <c r="CJG15" s="28"/>
      <c r="CJH15" s="28"/>
      <c r="CJI15" s="29"/>
      <c r="CJJ15" s="385"/>
      <c r="CJK15" s="29"/>
      <c r="CJL15" s="385"/>
      <c r="CJM15" s="29"/>
      <c r="CJN15" s="385"/>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30"/>
      <c r="CKU15" s="28"/>
      <c r="CKV15" s="29"/>
      <c r="CKW15" s="30"/>
      <c r="CKX15" s="29"/>
      <c r="CKY15" s="29"/>
      <c r="CKZ15" s="29"/>
      <c r="CLA15" s="28"/>
      <c r="CLB15" s="29"/>
      <c r="CLC15" s="29"/>
      <c r="CLD15" s="28"/>
      <c r="CLE15" s="29"/>
      <c r="CLF15" s="30"/>
      <c r="CLG15" s="28"/>
      <c r="CLH15" s="29"/>
      <c r="CLI15" s="30"/>
      <c r="CLJ15" s="29"/>
      <c r="CLK15" s="28"/>
      <c r="CLL15" s="29"/>
      <c r="CLM15" s="29"/>
      <c r="CLN15" s="28"/>
      <c r="CLO15" s="29"/>
      <c r="CLP15" s="30"/>
      <c r="CLQ15" s="28"/>
      <c r="CLR15" s="29"/>
      <c r="CLS15" s="30"/>
      <c r="CLT15" s="29"/>
      <c r="CLU15" s="28"/>
      <c r="CLV15" s="29"/>
      <c r="CLW15" s="29"/>
      <c r="CLX15" s="28"/>
      <c r="CLY15" s="29"/>
      <c r="CLZ15" s="30"/>
      <c r="CMA15" s="28"/>
      <c r="CMB15" s="29"/>
      <c r="CMC15" s="30"/>
      <c r="CMD15" s="29"/>
      <c r="CME15" s="28"/>
      <c r="CMF15" s="29"/>
      <c r="CMG15" s="29"/>
      <c r="CMH15" s="28"/>
      <c r="CMI15" s="29"/>
      <c r="CMJ15" s="30"/>
      <c r="CMK15" s="28"/>
      <c r="CML15" s="30"/>
      <c r="CMM15" s="29"/>
      <c r="CMN15" s="28"/>
      <c r="CMO15" s="29"/>
      <c r="CMP15" s="28"/>
      <c r="CMQ15" s="28"/>
      <c r="CMR15" s="28"/>
      <c r="CMS15" s="29"/>
      <c r="CMT15" s="385"/>
      <c r="CMU15" s="29"/>
      <c r="CMV15" s="385"/>
      <c r="CMW15" s="29"/>
      <c r="CMX15" s="385"/>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30"/>
      <c r="COE15" s="28"/>
      <c r="COF15" s="29"/>
      <c r="COG15" s="30"/>
      <c r="COH15" s="29"/>
      <c r="COI15" s="29"/>
      <c r="COJ15" s="29"/>
      <c r="COK15" s="28"/>
      <c r="COL15" s="29"/>
      <c r="COM15" s="29"/>
      <c r="CON15" s="28"/>
      <c r="COO15" s="29"/>
      <c r="COP15" s="30"/>
      <c r="COQ15" s="28"/>
      <c r="COR15" s="29"/>
      <c r="COS15" s="30"/>
      <c r="COT15" s="29"/>
      <c r="COU15" s="28"/>
      <c r="COV15" s="29"/>
      <c r="COW15" s="29"/>
      <c r="COX15" s="28"/>
      <c r="COY15" s="29"/>
      <c r="COZ15" s="30"/>
      <c r="CPA15" s="28"/>
      <c r="CPB15" s="29"/>
      <c r="CPC15" s="30"/>
      <c r="CPD15" s="29"/>
      <c r="CPE15" s="28"/>
      <c r="CPF15" s="29"/>
      <c r="CPG15" s="29"/>
      <c r="CPH15" s="28"/>
      <c r="CPI15" s="29"/>
      <c r="CPJ15" s="30"/>
      <c r="CPK15" s="28"/>
      <c r="CPL15" s="29"/>
      <c r="CPM15" s="30"/>
      <c r="CPN15" s="29"/>
      <c r="CPO15" s="28"/>
      <c r="CPP15" s="29"/>
      <c r="CPQ15" s="29"/>
      <c r="CPR15" s="28"/>
      <c r="CPS15" s="29"/>
      <c r="CPT15" s="30"/>
      <c r="CPU15" s="28"/>
      <c r="CPV15" s="30"/>
      <c r="CPW15" s="29"/>
      <c r="CPX15" s="28"/>
      <c r="CPY15" s="29"/>
      <c r="CPZ15" s="28"/>
      <c r="CQA15" s="28"/>
      <c r="CQB15" s="28"/>
      <c r="CQC15" s="29"/>
      <c r="CQD15" s="385"/>
      <c r="CQE15" s="29"/>
      <c r="CQF15" s="385"/>
      <c r="CQG15" s="29"/>
      <c r="CQH15" s="385"/>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30"/>
      <c r="CRO15" s="28"/>
      <c r="CRP15" s="29"/>
      <c r="CRQ15" s="30"/>
      <c r="CRR15" s="29"/>
      <c r="CRS15" s="29"/>
      <c r="CRT15" s="29"/>
      <c r="CRU15" s="28"/>
      <c r="CRV15" s="29"/>
      <c r="CRW15" s="29"/>
      <c r="CRX15" s="28"/>
      <c r="CRY15" s="29"/>
      <c r="CRZ15" s="30"/>
      <c r="CSA15" s="28"/>
      <c r="CSB15" s="29"/>
      <c r="CSC15" s="30"/>
      <c r="CSD15" s="29"/>
      <c r="CSE15" s="28"/>
      <c r="CSF15" s="29"/>
      <c r="CSG15" s="29"/>
      <c r="CSH15" s="28"/>
      <c r="CSI15" s="29"/>
      <c r="CSJ15" s="30"/>
      <c r="CSK15" s="28"/>
      <c r="CSL15" s="29"/>
      <c r="CSM15" s="30"/>
      <c r="CSN15" s="29"/>
      <c r="CSO15" s="28"/>
      <c r="CSP15" s="29"/>
      <c r="CSQ15" s="29"/>
      <c r="CSR15" s="28"/>
      <c r="CSS15" s="29"/>
      <c r="CST15" s="30"/>
      <c r="CSU15" s="28"/>
      <c r="CSV15" s="29"/>
      <c r="CSW15" s="30"/>
      <c r="CSX15" s="29"/>
      <c r="CSY15" s="28"/>
      <c r="CSZ15" s="29"/>
      <c r="CTA15" s="29"/>
      <c r="CTB15" s="28"/>
      <c r="CTC15" s="29"/>
      <c r="CTD15" s="30"/>
      <c r="CTE15" s="28"/>
      <c r="CTF15" s="30"/>
      <c r="CTG15" s="29"/>
      <c r="CTH15" s="28"/>
      <c r="CTI15" s="29"/>
      <c r="CTJ15" s="28"/>
      <c r="CTK15" s="28"/>
      <c r="CTL15" s="28"/>
      <c r="CTM15" s="29"/>
      <c r="CTN15" s="385"/>
      <c r="CTO15" s="29"/>
      <c r="CTP15" s="385"/>
      <c r="CTQ15" s="29"/>
      <c r="CTR15" s="385"/>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30"/>
      <c r="CUY15" s="28"/>
      <c r="CUZ15" s="29"/>
      <c r="CVA15" s="30"/>
      <c r="CVB15" s="29"/>
      <c r="CVC15" s="29"/>
      <c r="CVD15" s="29"/>
      <c r="CVE15" s="28"/>
      <c r="CVF15" s="29"/>
      <c r="CVG15" s="29"/>
      <c r="CVH15" s="28"/>
      <c r="CVI15" s="29"/>
      <c r="CVJ15" s="30"/>
      <c r="CVK15" s="28"/>
      <c r="CVL15" s="29"/>
      <c r="CVM15" s="30"/>
      <c r="CVN15" s="29"/>
      <c r="CVO15" s="28"/>
      <c r="CVP15" s="29"/>
      <c r="CVQ15" s="29"/>
      <c r="CVR15" s="28"/>
      <c r="CVS15" s="29"/>
      <c r="CVT15" s="30"/>
      <c r="CVU15" s="28"/>
      <c r="CVV15" s="29"/>
      <c r="CVW15" s="30"/>
      <c r="CVX15" s="29"/>
      <c r="CVY15" s="28"/>
      <c r="CVZ15" s="29"/>
      <c r="CWA15" s="29"/>
      <c r="CWB15" s="28"/>
      <c r="CWC15" s="29"/>
      <c r="CWD15" s="30"/>
      <c r="CWE15" s="28"/>
      <c r="CWF15" s="29"/>
      <c r="CWG15" s="30"/>
      <c r="CWH15" s="29"/>
      <c r="CWI15" s="28"/>
      <c r="CWJ15" s="29"/>
      <c r="CWK15" s="29"/>
      <c r="CWL15" s="28"/>
      <c r="CWM15" s="29"/>
      <c r="CWN15" s="30"/>
      <c r="CWO15" s="28"/>
      <c r="CWP15" s="30"/>
      <c r="CWQ15" s="29"/>
      <c r="CWR15" s="28"/>
      <c r="CWS15" s="29"/>
      <c r="CWT15" s="28"/>
      <c r="CWU15" s="28"/>
      <c r="CWV15" s="28"/>
      <c r="CWW15" s="29"/>
      <c r="CWX15" s="385"/>
      <c r="CWY15" s="29"/>
      <c r="CWZ15" s="385"/>
      <c r="CXA15" s="29"/>
      <c r="CXB15" s="385"/>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30"/>
      <c r="CYI15" s="28"/>
      <c r="CYJ15" s="29"/>
      <c r="CYK15" s="30"/>
      <c r="CYL15" s="29"/>
      <c r="CYM15" s="29"/>
      <c r="CYN15" s="29"/>
      <c r="CYO15" s="28"/>
      <c r="CYP15" s="29"/>
      <c r="CYQ15" s="29"/>
      <c r="CYR15" s="28"/>
      <c r="CYS15" s="29"/>
      <c r="CYT15" s="30"/>
      <c r="CYU15" s="28"/>
      <c r="CYV15" s="29"/>
      <c r="CYW15" s="30"/>
      <c r="CYX15" s="29"/>
      <c r="CYY15" s="28"/>
      <c r="CYZ15" s="29"/>
      <c r="CZA15" s="29"/>
      <c r="CZB15" s="28"/>
      <c r="CZC15" s="29"/>
      <c r="CZD15" s="30"/>
      <c r="CZE15" s="28"/>
      <c r="CZF15" s="29"/>
      <c r="CZG15" s="30"/>
      <c r="CZH15" s="29"/>
      <c r="CZI15" s="28"/>
      <c r="CZJ15" s="29"/>
      <c r="CZK15" s="29"/>
      <c r="CZL15" s="28"/>
      <c r="CZM15" s="29"/>
      <c r="CZN15" s="30"/>
      <c r="CZO15" s="28"/>
      <c r="CZP15" s="29"/>
      <c r="CZQ15" s="30"/>
      <c r="CZR15" s="29"/>
      <c r="CZS15" s="28"/>
      <c r="CZT15" s="29"/>
      <c r="CZU15" s="29"/>
      <c r="CZV15" s="28"/>
      <c r="CZW15" s="29"/>
      <c r="CZX15" s="30"/>
      <c r="CZY15" s="28"/>
      <c r="CZZ15" s="30"/>
      <c r="DAA15" s="29"/>
      <c r="DAB15" s="28"/>
      <c r="DAC15" s="29"/>
      <c r="DAD15" s="28"/>
      <c r="DAE15" s="28"/>
      <c r="DAF15" s="28"/>
      <c r="DAG15" s="29"/>
      <c r="DAH15" s="385"/>
      <c r="DAI15" s="29"/>
      <c r="DAJ15" s="385"/>
      <c r="DAK15" s="29"/>
      <c r="DAL15" s="385"/>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30"/>
      <c r="DBS15" s="28"/>
      <c r="DBT15" s="29"/>
      <c r="DBU15" s="30"/>
      <c r="DBV15" s="29"/>
      <c r="DBW15" s="29"/>
      <c r="DBX15" s="29"/>
      <c r="DBY15" s="28"/>
      <c r="DBZ15" s="29"/>
      <c r="DCA15" s="29"/>
      <c r="DCB15" s="28"/>
      <c r="DCC15" s="29"/>
      <c r="DCD15" s="30"/>
      <c r="DCE15" s="28"/>
      <c r="DCF15" s="29"/>
      <c r="DCG15" s="30"/>
      <c r="DCH15" s="29"/>
      <c r="DCI15" s="28"/>
      <c r="DCJ15" s="29"/>
      <c r="DCK15" s="29"/>
      <c r="DCL15" s="28"/>
      <c r="DCM15" s="29"/>
      <c r="DCN15" s="30"/>
      <c r="DCO15" s="28"/>
      <c r="DCP15" s="29"/>
      <c r="DCQ15" s="30"/>
      <c r="DCR15" s="29"/>
      <c r="DCS15" s="28"/>
      <c r="DCT15" s="29"/>
      <c r="DCU15" s="29"/>
      <c r="DCV15" s="28"/>
      <c r="DCW15" s="29"/>
      <c r="DCX15" s="30"/>
      <c r="DCY15" s="28"/>
      <c r="DCZ15" s="29"/>
      <c r="DDA15" s="30"/>
      <c r="DDB15" s="29"/>
      <c r="DDC15" s="28"/>
      <c r="DDD15" s="29"/>
      <c r="DDE15" s="29"/>
      <c r="DDF15" s="28"/>
      <c r="DDG15" s="29"/>
      <c r="DDH15" s="30"/>
      <c r="DDI15" s="28"/>
      <c r="DDJ15" s="30"/>
      <c r="DDK15" s="29"/>
      <c r="DDL15" s="28"/>
      <c r="DDM15" s="29"/>
      <c r="DDN15" s="28"/>
      <c r="DDO15" s="28"/>
      <c r="DDP15" s="28"/>
      <c r="DDQ15" s="29"/>
      <c r="DDR15" s="385"/>
      <c r="DDS15" s="29"/>
      <c r="DDT15" s="385"/>
      <c r="DDU15" s="29"/>
      <c r="DDV15" s="385"/>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30"/>
      <c r="DFC15" s="28"/>
      <c r="DFD15" s="29"/>
      <c r="DFE15" s="30"/>
      <c r="DFF15" s="29"/>
      <c r="DFG15" s="29"/>
      <c r="DFH15" s="29"/>
      <c r="DFI15" s="28"/>
      <c r="DFJ15" s="29"/>
      <c r="DFK15" s="29"/>
      <c r="DFL15" s="28"/>
      <c r="DFM15" s="29"/>
      <c r="DFN15" s="30"/>
      <c r="DFO15" s="28"/>
      <c r="DFP15" s="29"/>
      <c r="DFQ15" s="30"/>
      <c r="DFR15" s="29"/>
      <c r="DFS15" s="28"/>
      <c r="DFT15" s="29"/>
      <c r="DFU15" s="29"/>
      <c r="DFV15" s="28"/>
      <c r="DFW15" s="29"/>
      <c r="DFX15" s="30"/>
      <c r="DFY15" s="28"/>
      <c r="DFZ15" s="29"/>
      <c r="DGA15" s="30"/>
      <c r="DGB15" s="29"/>
      <c r="DGC15" s="28"/>
      <c r="DGD15" s="29"/>
      <c r="DGE15" s="29"/>
      <c r="DGF15" s="28"/>
      <c r="DGG15" s="29"/>
      <c r="DGH15" s="30"/>
      <c r="DGI15" s="28"/>
      <c r="DGJ15" s="29"/>
      <c r="DGK15" s="30"/>
      <c r="DGL15" s="29"/>
      <c r="DGM15" s="28"/>
      <c r="DGN15" s="29"/>
      <c r="DGO15" s="29"/>
      <c r="DGP15" s="28"/>
      <c r="DGQ15" s="29"/>
      <c r="DGR15" s="30"/>
      <c r="DGS15" s="28"/>
      <c r="DGT15" s="30"/>
      <c r="DGU15" s="29"/>
      <c r="DGV15" s="28"/>
      <c r="DGW15" s="29"/>
      <c r="DGX15" s="28"/>
      <c r="DGY15" s="28"/>
      <c r="DGZ15" s="28"/>
      <c r="DHA15" s="29"/>
      <c r="DHB15" s="385"/>
      <c r="DHC15" s="29"/>
      <c r="DHD15" s="385"/>
      <c r="DHE15" s="29"/>
      <c r="DHF15" s="385"/>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30"/>
      <c r="DIM15" s="28"/>
      <c r="DIN15" s="29"/>
      <c r="DIO15" s="30"/>
      <c r="DIP15" s="29"/>
      <c r="DIQ15" s="29"/>
      <c r="DIR15" s="29"/>
      <c r="DIS15" s="28"/>
      <c r="DIT15" s="29"/>
      <c r="DIU15" s="29"/>
      <c r="DIV15" s="28"/>
      <c r="DIW15" s="29"/>
      <c r="DIX15" s="30"/>
      <c r="DIY15" s="28"/>
      <c r="DIZ15" s="29"/>
      <c r="DJA15" s="30"/>
      <c r="DJB15" s="29"/>
      <c r="DJC15" s="28"/>
      <c r="DJD15" s="29"/>
      <c r="DJE15" s="29"/>
      <c r="DJF15" s="28"/>
      <c r="DJG15" s="29"/>
      <c r="DJH15" s="30"/>
      <c r="DJI15" s="28"/>
      <c r="DJJ15" s="29"/>
      <c r="DJK15" s="30"/>
      <c r="DJL15" s="29"/>
      <c r="DJM15" s="28"/>
      <c r="DJN15" s="29"/>
      <c r="DJO15" s="29"/>
      <c r="DJP15" s="28"/>
      <c r="DJQ15" s="29"/>
      <c r="DJR15" s="30"/>
      <c r="DJS15" s="28"/>
      <c r="DJT15" s="29"/>
      <c r="DJU15" s="30"/>
      <c r="DJV15" s="29"/>
      <c r="DJW15" s="28"/>
      <c r="DJX15" s="29"/>
      <c r="DJY15" s="29"/>
      <c r="DJZ15" s="28"/>
      <c r="DKA15" s="29"/>
      <c r="DKB15" s="30"/>
      <c r="DKC15" s="28"/>
      <c r="DKD15" s="30"/>
      <c r="DKE15" s="29"/>
      <c r="DKF15" s="28"/>
      <c r="DKG15" s="29"/>
      <c r="DKH15" s="28"/>
      <c r="DKI15" s="28"/>
      <c r="DKJ15" s="28"/>
      <c r="DKK15" s="29"/>
      <c r="DKL15" s="385"/>
      <c r="DKM15" s="29"/>
      <c r="DKN15" s="385"/>
      <c r="DKO15" s="29"/>
      <c r="DKP15" s="385"/>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30"/>
      <c r="DLW15" s="28"/>
      <c r="DLX15" s="29"/>
      <c r="DLY15" s="30"/>
      <c r="DLZ15" s="29"/>
      <c r="DMA15" s="29"/>
      <c r="DMB15" s="29"/>
      <c r="DMC15" s="28"/>
      <c r="DMD15" s="29"/>
      <c r="DME15" s="29"/>
      <c r="DMF15" s="28"/>
      <c r="DMG15" s="29"/>
      <c r="DMH15" s="30"/>
      <c r="DMI15" s="28"/>
      <c r="DMJ15" s="29"/>
      <c r="DMK15" s="30"/>
      <c r="DML15" s="29"/>
      <c r="DMM15" s="28"/>
      <c r="DMN15" s="29"/>
      <c r="DMO15" s="29"/>
      <c r="DMP15" s="28"/>
      <c r="DMQ15" s="29"/>
      <c r="DMR15" s="30"/>
      <c r="DMS15" s="28"/>
      <c r="DMT15" s="29"/>
      <c r="DMU15" s="30"/>
      <c r="DMV15" s="29"/>
      <c r="DMW15" s="28"/>
      <c r="DMX15" s="29"/>
      <c r="DMY15" s="29"/>
      <c r="DMZ15" s="28"/>
      <c r="DNA15" s="29"/>
      <c r="DNB15" s="30"/>
      <c r="DNC15" s="28"/>
      <c r="DND15" s="29"/>
      <c r="DNE15" s="30"/>
      <c r="DNF15" s="29"/>
      <c r="DNG15" s="28"/>
      <c r="DNH15" s="29"/>
      <c r="DNI15" s="29"/>
      <c r="DNJ15" s="28"/>
      <c r="DNK15" s="29"/>
      <c r="DNL15" s="30"/>
      <c r="DNM15" s="28"/>
      <c r="DNN15" s="30"/>
      <c r="DNO15" s="29"/>
      <c r="DNP15" s="28"/>
      <c r="DNQ15" s="29"/>
      <c r="DNR15" s="28"/>
      <c r="DNS15" s="28"/>
      <c r="DNT15" s="28"/>
      <c r="DNU15" s="29"/>
      <c r="DNV15" s="385"/>
      <c r="DNW15" s="29"/>
      <c r="DNX15" s="385"/>
      <c r="DNY15" s="29"/>
      <c r="DNZ15" s="385"/>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30"/>
      <c r="DPG15" s="28"/>
      <c r="DPH15" s="29"/>
      <c r="DPI15" s="30"/>
      <c r="DPJ15" s="29"/>
      <c r="DPK15" s="29"/>
      <c r="DPL15" s="29"/>
      <c r="DPM15" s="28"/>
      <c r="DPN15" s="29"/>
      <c r="DPO15" s="29"/>
      <c r="DPP15" s="28"/>
      <c r="DPQ15" s="29"/>
      <c r="DPR15" s="30"/>
      <c r="DPS15" s="28"/>
      <c r="DPT15" s="29"/>
      <c r="DPU15" s="30"/>
      <c r="DPV15" s="29"/>
      <c r="DPW15" s="28"/>
      <c r="DPX15" s="29"/>
      <c r="DPY15" s="29"/>
      <c r="DPZ15" s="28"/>
      <c r="DQA15" s="29"/>
      <c r="DQB15" s="30"/>
      <c r="DQC15" s="28"/>
      <c r="DQD15" s="29"/>
      <c r="DQE15" s="30"/>
      <c r="DQF15" s="29"/>
      <c r="DQG15" s="28"/>
      <c r="DQH15" s="29"/>
      <c r="DQI15" s="29"/>
      <c r="DQJ15" s="28"/>
      <c r="DQK15" s="29"/>
      <c r="DQL15" s="30"/>
      <c r="DQM15" s="28"/>
      <c r="DQN15" s="29"/>
      <c r="DQO15" s="30"/>
      <c r="DQP15" s="29"/>
      <c r="DQQ15" s="28"/>
      <c r="DQR15" s="29"/>
      <c r="DQS15" s="29"/>
      <c r="DQT15" s="28"/>
      <c r="DQU15" s="29"/>
      <c r="DQV15" s="30"/>
      <c r="DQW15" s="28"/>
      <c r="DQX15" s="30"/>
      <c r="DQY15" s="29"/>
      <c r="DQZ15" s="28"/>
      <c r="DRA15" s="29"/>
      <c r="DRB15" s="28"/>
      <c r="DRC15" s="28"/>
      <c r="DRD15" s="28"/>
      <c r="DRE15" s="29"/>
      <c r="DRF15" s="385"/>
      <c r="DRG15" s="29"/>
      <c r="DRH15" s="385"/>
      <c r="DRI15" s="29"/>
      <c r="DRJ15" s="385"/>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30"/>
      <c r="DSQ15" s="28"/>
      <c r="DSR15" s="29"/>
      <c r="DSS15" s="30"/>
      <c r="DST15" s="29"/>
      <c r="DSU15" s="29"/>
      <c r="DSV15" s="29"/>
      <c r="DSW15" s="28"/>
      <c r="DSX15" s="29"/>
      <c r="DSY15" s="29"/>
      <c r="DSZ15" s="28"/>
      <c r="DTA15" s="29"/>
      <c r="DTB15" s="30"/>
      <c r="DTC15" s="28"/>
      <c r="DTD15" s="29"/>
      <c r="DTE15" s="30"/>
      <c r="DTF15" s="29"/>
      <c r="DTG15" s="28"/>
      <c r="DTH15" s="29"/>
      <c r="DTI15" s="29"/>
      <c r="DTJ15" s="28"/>
      <c r="DTK15" s="29"/>
      <c r="DTL15" s="30"/>
      <c r="DTM15" s="28"/>
      <c r="DTN15" s="29"/>
      <c r="DTO15" s="30"/>
      <c r="DTP15" s="29"/>
      <c r="DTQ15" s="28"/>
      <c r="DTR15" s="29"/>
      <c r="DTS15" s="29"/>
      <c r="DTT15" s="28"/>
      <c r="DTU15" s="29"/>
      <c r="DTV15" s="30"/>
      <c r="DTW15" s="28"/>
      <c r="DTX15" s="29"/>
      <c r="DTY15" s="30"/>
      <c r="DTZ15" s="29"/>
      <c r="DUA15" s="28"/>
      <c r="DUB15" s="29"/>
      <c r="DUC15" s="29"/>
      <c r="DUD15" s="28"/>
      <c r="DUE15" s="29"/>
      <c r="DUF15" s="30"/>
      <c r="DUG15" s="28"/>
      <c r="DUH15" s="30"/>
      <c r="DUI15" s="29"/>
      <c r="DUJ15" s="28"/>
      <c r="DUK15" s="29"/>
      <c r="DUL15" s="28"/>
      <c r="DUM15" s="28"/>
      <c r="DUN15" s="28"/>
      <c r="DUO15" s="29"/>
      <c r="DUP15" s="385"/>
      <c r="DUQ15" s="29"/>
      <c r="DUR15" s="385"/>
      <c r="DUS15" s="29"/>
      <c r="DUT15" s="385"/>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30"/>
      <c r="DWA15" s="28"/>
      <c r="DWB15" s="29"/>
      <c r="DWC15" s="30"/>
      <c r="DWD15" s="29"/>
      <c r="DWE15" s="29"/>
      <c r="DWF15" s="29"/>
      <c r="DWG15" s="28"/>
      <c r="DWH15" s="29"/>
      <c r="DWI15" s="29"/>
      <c r="DWJ15" s="28"/>
      <c r="DWK15" s="29"/>
      <c r="DWL15" s="30"/>
      <c r="DWM15" s="28"/>
      <c r="DWN15" s="29"/>
      <c r="DWO15" s="30"/>
      <c r="DWP15" s="29"/>
      <c r="DWQ15" s="28"/>
      <c r="DWR15" s="29"/>
      <c r="DWS15" s="29"/>
      <c r="DWT15" s="28"/>
      <c r="DWU15" s="29"/>
      <c r="DWV15" s="30"/>
      <c r="DWW15" s="28"/>
      <c r="DWX15" s="29"/>
      <c r="DWY15" s="30"/>
      <c r="DWZ15" s="29"/>
      <c r="DXA15" s="28"/>
      <c r="DXB15" s="29"/>
      <c r="DXC15" s="29"/>
      <c r="DXD15" s="28"/>
      <c r="DXE15" s="29"/>
      <c r="DXF15" s="30"/>
      <c r="DXG15" s="28"/>
      <c r="DXH15" s="29"/>
      <c r="DXI15" s="30"/>
      <c r="DXJ15" s="29"/>
      <c r="DXK15" s="28"/>
      <c r="DXL15" s="29"/>
      <c r="DXM15" s="29"/>
      <c r="DXN15" s="28"/>
      <c r="DXO15" s="29"/>
      <c r="DXP15" s="30"/>
      <c r="DXQ15" s="28"/>
      <c r="DXR15" s="30"/>
      <c r="DXS15" s="29"/>
      <c r="DXT15" s="28"/>
      <c r="DXU15" s="29"/>
      <c r="DXV15" s="28"/>
      <c r="DXW15" s="28"/>
      <c r="DXX15" s="28"/>
      <c r="DXY15" s="29"/>
      <c r="DXZ15" s="385"/>
      <c r="DYA15" s="29"/>
      <c r="DYB15" s="385"/>
      <c r="DYC15" s="29"/>
      <c r="DYD15" s="385"/>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30"/>
      <c r="DZK15" s="28"/>
      <c r="DZL15" s="29"/>
      <c r="DZM15" s="30"/>
      <c r="DZN15" s="29"/>
      <c r="DZO15" s="29"/>
      <c r="DZP15" s="29"/>
      <c r="DZQ15" s="28"/>
      <c r="DZR15" s="29"/>
      <c r="DZS15" s="29"/>
      <c r="DZT15" s="28"/>
      <c r="DZU15" s="29"/>
      <c r="DZV15" s="30"/>
      <c r="DZW15" s="28"/>
      <c r="DZX15" s="29"/>
      <c r="DZY15" s="30"/>
      <c r="DZZ15" s="29"/>
      <c r="EAA15" s="28"/>
      <c r="EAB15" s="29"/>
      <c r="EAC15" s="29"/>
      <c r="EAD15" s="28"/>
      <c r="EAE15" s="29"/>
      <c r="EAF15" s="30"/>
      <c r="EAG15" s="28"/>
      <c r="EAH15" s="29"/>
      <c r="EAI15" s="30"/>
      <c r="EAJ15" s="29"/>
      <c r="EAK15" s="28"/>
      <c r="EAL15" s="29"/>
      <c r="EAM15" s="29"/>
      <c r="EAN15" s="28"/>
      <c r="EAO15" s="29"/>
      <c r="EAP15" s="30"/>
      <c r="EAQ15" s="28"/>
      <c r="EAR15" s="29"/>
      <c r="EAS15" s="30"/>
      <c r="EAT15" s="29"/>
      <c r="EAU15" s="28"/>
      <c r="EAV15" s="29"/>
      <c r="EAW15" s="29"/>
      <c r="EAX15" s="28"/>
      <c r="EAY15" s="29"/>
      <c r="EAZ15" s="30"/>
      <c r="EBA15" s="28"/>
      <c r="EBB15" s="30"/>
      <c r="EBC15" s="29"/>
      <c r="EBD15" s="28"/>
      <c r="EBE15" s="29"/>
      <c r="EBF15" s="28"/>
      <c r="EBG15" s="28"/>
      <c r="EBH15" s="28"/>
      <c r="EBI15" s="29"/>
      <c r="EBJ15" s="385"/>
      <c r="EBK15" s="29"/>
      <c r="EBL15" s="385"/>
      <c r="EBM15" s="29"/>
      <c r="EBN15" s="385"/>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30"/>
      <c r="ECU15" s="28"/>
      <c r="ECV15" s="29"/>
      <c r="ECW15" s="30"/>
      <c r="ECX15" s="29"/>
      <c r="ECY15" s="29"/>
      <c r="ECZ15" s="29"/>
      <c r="EDA15" s="28"/>
      <c r="EDB15" s="29"/>
      <c r="EDC15" s="29"/>
      <c r="EDD15" s="28"/>
      <c r="EDE15" s="29"/>
      <c r="EDF15" s="30"/>
      <c r="EDG15" s="28"/>
      <c r="EDH15" s="29"/>
      <c r="EDI15" s="30"/>
      <c r="EDJ15" s="29"/>
      <c r="EDK15" s="28"/>
      <c r="EDL15" s="29"/>
      <c r="EDM15" s="29"/>
      <c r="EDN15" s="28"/>
      <c r="EDO15" s="29"/>
      <c r="EDP15" s="30"/>
      <c r="EDQ15" s="28"/>
      <c r="EDR15" s="29"/>
      <c r="EDS15" s="30"/>
      <c r="EDT15" s="29"/>
      <c r="EDU15" s="28"/>
      <c r="EDV15" s="29"/>
      <c r="EDW15" s="29"/>
      <c r="EDX15" s="28"/>
      <c r="EDY15" s="29"/>
      <c r="EDZ15" s="30"/>
      <c r="EEA15" s="28"/>
      <c r="EEB15" s="29"/>
      <c r="EEC15" s="30"/>
      <c r="EED15" s="29"/>
      <c r="EEE15" s="28"/>
      <c r="EEF15" s="29"/>
      <c r="EEG15" s="29"/>
      <c r="EEH15" s="28"/>
      <c r="EEI15" s="29"/>
      <c r="EEJ15" s="30"/>
      <c r="EEK15" s="28"/>
      <c r="EEL15" s="30"/>
      <c r="EEM15" s="29"/>
      <c r="EEN15" s="28"/>
      <c r="EEO15" s="29"/>
      <c r="EEP15" s="28"/>
      <c r="EEQ15" s="28"/>
      <c r="EER15" s="28"/>
      <c r="EES15" s="29"/>
      <c r="EET15" s="385"/>
      <c r="EEU15" s="29"/>
      <c r="EEV15" s="385"/>
      <c r="EEW15" s="29"/>
      <c r="EEX15" s="385"/>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30"/>
      <c r="EGE15" s="28"/>
      <c r="EGF15" s="29"/>
      <c r="EGG15" s="30"/>
      <c r="EGH15" s="29"/>
      <c r="EGI15" s="29"/>
      <c r="EGJ15" s="29"/>
      <c r="EGK15" s="28"/>
      <c r="EGL15" s="29"/>
      <c r="EGM15" s="29"/>
      <c r="EGN15" s="28"/>
      <c r="EGO15" s="29"/>
      <c r="EGP15" s="30"/>
      <c r="EGQ15" s="28"/>
      <c r="EGR15" s="29"/>
      <c r="EGS15" s="30"/>
      <c r="EGT15" s="29"/>
      <c r="EGU15" s="28"/>
      <c r="EGV15" s="29"/>
      <c r="EGW15" s="29"/>
      <c r="EGX15" s="28"/>
      <c r="EGY15" s="29"/>
      <c r="EGZ15" s="30"/>
      <c r="EHA15" s="28"/>
      <c r="EHB15" s="29"/>
      <c r="EHC15" s="30"/>
      <c r="EHD15" s="29"/>
      <c r="EHE15" s="28"/>
      <c r="EHF15" s="29"/>
      <c r="EHG15" s="29"/>
      <c r="EHH15" s="28"/>
      <c r="EHI15" s="29"/>
      <c r="EHJ15" s="30"/>
      <c r="EHK15" s="28"/>
      <c r="EHL15" s="29"/>
      <c r="EHM15" s="30"/>
      <c r="EHN15" s="29"/>
      <c r="EHO15" s="28"/>
      <c r="EHP15" s="29"/>
      <c r="EHQ15" s="29"/>
      <c r="EHR15" s="28"/>
      <c r="EHS15" s="29"/>
      <c r="EHT15" s="30"/>
      <c r="EHU15" s="28"/>
      <c r="EHV15" s="30"/>
      <c r="EHW15" s="29"/>
      <c r="EHX15" s="28"/>
      <c r="EHY15" s="29"/>
      <c r="EHZ15" s="28"/>
      <c r="EIA15" s="28"/>
      <c r="EIB15" s="28"/>
      <c r="EIC15" s="29"/>
      <c r="EID15" s="385"/>
      <c r="EIE15" s="29"/>
      <c r="EIF15" s="385"/>
      <c r="EIG15" s="29"/>
      <c r="EIH15" s="385"/>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30"/>
      <c r="EJO15" s="28"/>
      <c r="EJP15" s="29"/>
      <c r="EJQ15" s="30"/>
      <c r="EJR15" s="29"/>
      <c r="EJS15" s="29"/>
      <c r="EJT15" s="29"/>
      <c r="EJU15" s="28"/>
      <c r="EJV15" s="29"/>
      <c r="EJW15" s="29"/>
      <c r="EJX15" s="28"/>
      <c r="EJY15" s="29"/>
      <c r="EJZ15" s="30"/>
      <c r="EKA15" s="28"/>
      <c r="EKB15" s="29"/>
      <c r="EKC15" s="30"/>
      <c r="EKD15" s="29"/>
      <c r="EKE15" s="28"/>
      <c r="EKF15" s="29"/>
      <c r="EKG15" s="29"/>
      <c r="EKH15" s="28"/>
      <c r="EKI15" s="29"/>
      <c r="EKJ15" s="30"/>
      <c r="EKK15" s="28"/>
      <c r="EKL15" s="29"/>
      <c r="EKM15" s="30"/>
      <c r="EKN15" s="29"/>
      <c r="EKO15" s="28"/>
      <c r="EKP15" s="29"/>
      <c r="EKQ15" s="29"/>
      <c r="EKR15" s="28"/>
      <c r="EKS15" s="29"/>
      <c r="EKT15" s="30"/>
      <c r="EKU15" s="28"/>
      <c r="EKV15" s="29"/>
      <c r="EKW15" s="30"/>
      <c r="EKX15" s="29"/>
      <c r="EKY15" s="28"/>
      <c r="EKZ15" s="29"/>
      <c r="ELA15" s="29"/>
      <c r="ELB15" s="28"/>
      <c r="ELC15" s="29"/>
      <c r="ELD15" s="30"/>
      <c r="ELE15" s="28"/>
      <c r="ELF15" s="30"/>
      <c r="ELG15" s="29"/>
      <c r="ELH15" s="28"/>
      <c r="ELI15" s="29"/>
      <c r="ELJ15" s="28"/>
      <c r="ELK15" s="28"/>
      <c r="ELL15" s="28"/>
      <c r="ELM15" s="29"/>
      <c r="ELN15" s="385"/>
      <c r="ELO15" s="29"/>
      <c r="ELP15" s="385"/>
      <c r="ELQ15" s="29"/>
      <c r="ELR15" s="385"/>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30"/>
      <c r="EMY15" s="28"/>
      <c r="EMZ15" s="29"/>
      <c r="ENA15" s="30"/>
      <c r="ENB15" s="29"/>
      <c r="ENC15" s="29"/>
      <c r="END15" s="29"/>
      <c r="ENE15" s="28"/>
      <c r="ENF15" s="29"/>
      <c r="ENG15" s="29"/>
      <c r="ENH15" s="28"/>
      <c r="ENI15" s="29"/>
      <c r="ENJ15" s="30"/>
      <c r="ENK15" s="28"/>
      <c r="ENL15" s="29"/>
      <c r="ENM15" s="30"/>
      <c r="ENN15" s="29"/>
      <c r="ENO15" s="28"/>
      <c r="ENP15" s="29"/>
      <c r="ENQ15" s="29"/>
      <c r="ENR15" s="28"/>
      <c r="ENS15" s="29"/>
      <c r="ENT15" s="30"/>
      <c r="ENU15" s="28"/>
      <c r="ENV15" s="29"/>
      <c r="ENW15" s="30"/>
      <c r="ENX15" s="29"/>
      <c r="ENY15" s="28"/>
      <c r="ENZ15" s="29"/>
      <c r="EOA15" s="29"/>
      <c r="EOB15" s="28"/>
      <c r="EOC15" s="29"/>
      <c r="EOD15" s="30"/>
      <c r="EOE15" s="28"/>
      <c r="EOF15" s="29"/>
      <c r="EOG15" s="30"/>
      <c r="EOH15" s="29"/>
      <c r="EOI15" s="28"/>
      <c r="EOJ15" s="29"/>
      <c r="EOK15" s="29"/>
      <c r="EOL15" s="28"/>
      <c r="EOM15" s="29"/>
      <c r="EON15" s="30"/>
      <c r="EOO15" s="28" t="str">
        <f t="shared" si="149"/>
        <v xml:space="preserve"> </v>
      </c>
      <c r="EOP15" s="30"/>
      <c r="EOQ15" s="29"/>
      <c r="EOR15" s="28"/>
      <c r="EOS15" s="29"/>
      <c r="EOT15" s="28"/>
      <c r="EOU15" s="28"/>
      <c r="EOV15" s="28"/>
      <c r="EOW15" s="29"/>
      <c r="EOX15" s="385"/>
      <c r="EOY15" s="29"/>
      <c r="EOZ15" s="385"/>
      <c r="EPA15" s="29"/>
      <c r="EPB15" s="385"/>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30"/>
      <c r="EQI15" s="28"/>
      <c r="EQJ15" s="29"/>
      <c r="EQK15" s="30"/>
      <c r="EQL15" s="29"/>
      <c r="EQM15" s="29"/>
      <c r="EQN15" s="29"/>
      <c r="EQO15" s="28"/>
      <c r="EQP15" s="29"/>
      <c r="EQQ15" s="29"/>
      <c r="EQR15" s="28"/>
      <c r="EQS15" s="29"/>
      <c r="EQT15" s="30"/>
      <c r="EQU15" s="28"/>
      <c r="EQV15" s="29"/>
      <c r="EQW15" s="30"/>
      <c r="EQX15" s="29"/>
      <c r="EQY15" s="28"/>
      <c r="EQZ15" s="29"/>
      <c r="ERA15" s="29"/>
      <c r="ERB15" s="28"/>
      <c r="ERC15" s="29"/>
      <c r="ERD15" s="30"/>
      <c r="ERE15" s="28"/>
      <c r="ERF15" s="29"/>
      <c r="ERG15" s="30"/>
      <c r="ERH15" s="29"/>
      <c r="ERI15" s="28"/>
      <c r="ERJ15" s="29"/>
      <c r="ERK15" s="29"/>
      <c r="ERL15" s="28"/>
      <c r="ERM15" s="29"/>
      <c r="ERN15" s="30"/>
      <c r="ERO15" s="28"/>
      <c r="ERP15" s="29"/>
      <c r="ERQ15" s="30"/>
      <c r="ERR15" s="29"/>
      <c r="ERS15" s="28"/>
      <c r="ERT15" s="29"/>
      <c r="ERU15" s="29"/>
      <c r="ERV15" s="28"/>
      <c r="ERW15" s="29"/>
      <c r="ERX15" s="30"/>
      <c r="ERY15" s="28" t="str">
        <f t="shared" si="150"/>
        <v xml:space="preserve"> </v>
      </c>
      <c r="ERZ15" s="30"/>
      <c r="ESA15" s="29"/>
      <c r="ESB15" s="28"/>
      <c r="ESC15" s="29"/>
      <c r="ESD15" s="28"/>
      <c r="ESE15" s="28"/>
      <c r="ESF15" s="28"/>
      <c r="ESG15" s="29"/>
      <c r="ESH15" s="385"/>
      <c r="ESI15" s="29"/>
      <c r="ESJ15" s="385"/>
      <c r="ESK15" s="29"/>
      <c r="ESL15" s="385"/>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30"/>
      <c r="ETS15" s="28"/>
      <c r="ETT15" s="29"/>
      <c r="ETU15" s="30"/>
      <c r="ETV15" s="29"/>
      <c r="ETW15" s="29"/>
      <c r="ETX15" s="29"/>
      <c r="ETY15" s="28"/>
      <c r="ETZ15" s="29"/>
      <c r="EUA15" s="29"/>
      <c r="EUB15" s="28"/>
      <c r="EUC15" s="29"/>
      <c r="EUD15" s="30"/>
      <c r="EUE15" s="28"/>
      <c r="EUF15" s="29"/>
      <c r="EUG15" s="30"/>
      <c r="EUH15" s="29"/>
      <c r="EUI15" s="28"/>
      <c r="EUJ15" s="29"/>
      <c r="EUK15" s="29"/>
      <c r="EUL15" s="28"/>
      <c r="EUM15" s="29"/>
      <c r="EUN15" s="30"/>
      <c r="EUO15" s="28"/>
      <c r="EUP15" s="29"/>
      <c r="EUQ15" s="30"/>
      <c r="EUR15" s="29"/>
      <c r="EUS15" s="28"/>
      <c r="EUT15" s="29"/>
      <c r="EUU15" s="29"/>
      <c r="EUV15" s="28"/>
      <c r="EUW15" s="29"/>
      <c r="EUX15" s="30"/>
      <c r="EUY15" s="28"/>
      <c r="EUZ15" s="29"/>
      <c r="EVA15" s="30"/>
      <c r="EVB15" s="29"/>
      <c r="EVC15" s="28"/>
      <c r="EVD15" s="29"/>
      <c r="EVE15" s="29"/>
      <c r="EVF15" s="28"/>
      <c r="EVG15" s="29"/>
      <c r="EVH15" s="30"/>
      <c r="EVI15" s="28" t="str">
        <f t="shared" si="151"/>
        <v xml:space="preserve"> </v>
      </c>
    </row>
    <row r="16" spans="1:3961" x14ac:dyDescent="0.3">
      <c r="A16" s="424" t="s">
        <v>925</v>
      </c>
      <c r="B16" s="58" t="str">
        <f>'REG y VAL POE - AESR - ESR'!B893</f>
        <v xml:space="preserve">Cruz Valdez Maria Dolores Orqui </v>
      </c>
      <c r="C16" s="57">
        <f>'REG y VAL POE - AESR - ESR'!C893</f>
        <v>0</v>
      </c>
      <c r="D16" s="56">
        <f>'REG y VAL POE - AESR - ESR'!D893</f>
        <v>20211843</v>
      </c>
      <c r="E16" s="57">
        <f>'REG y VAL POE - AESR - ESR'!E893</f>
        <v>0</v>
      </c>
      <c r="F16" s="56">
        <f>'REG y VAL POE - AESR - ESR'!F893</f>
        <v>0</v>
      </c>
      <c r="G16" s="59">
        <f>'REG y VAL POE - AESR - ESR'!G893</f>
        <v>0</v>
      </c>
      <c r="H16" s="59">
        <f>'REG y VAL POE - AESR - ESR'!H893</f>
        <v>0</v>
      </c>
      <c r="I16" s="57">
        <f>'REG y VAL POE - AESR - ESR'!I893</f>
        <v>0</v>
      </c>
      <c r="J16" s="57">
        <f>'REG y VAL POE - AESR - ESR'!J893</f>
        <v>0</v>
      </c>
      <c r="K16" s="57">
        <f>'REG y VAL POE - AESR - ESR'!K893</f>
        <v>0</v>
      </c>
      <c r="L16" s="57">
        <f>'REG y VAL POE - AESR - ESR'!L893</f>
        <v>0</v>
      </c>
      <c r="M16" s="57">
        <f>'REG y VAL POE - AESR - ESR'!M893</f>
        <v>0</v>
      </c>
      <c r="N16" s="57">
        <f>'REG y VAL POE - AESR - ESR'!N893</f>
        <v>0</v>
      </c>
      <c r="O16" s="57">
        <f>'REG y VAL POE - AESR - ESR'!O893</f>
        <v>0</v>
      </c>
      <c r="P16" s="57">
        <f>'REG y VAL POE - AESR - ESR'!P893</f>
        <v>0</v>
      </c>
      <c r="Q16" s="57">
        <f>'REG y VAL POE - AESR - ESR'!Q893</f>
        <v>0</v>
      </c>
      <c r="R16" s="57">
        <f>'REG y VAL POE - AESR - ESR'!R893</f>
        <v>0</v>
      </c>
      <c r="S16" s="57">
        <f>'REG y VAL POE - AESR - ESR'!S893</f>
        <v>0</v>
      </c>
      <c r="T16" s="57">
        <f>'REG y VAL POE - AESR - ESR'!T893</f>
        <v>0</v>
      </c>
      <c r="U16" s="57">
        <f>'REG y VAL POE - AESR - ESR'!U893</f>
        <v>0</v>
      </c>
      <c r="V16" s="57">
        <f>'REG y VAL POE - AESR - ESR'!V893</f>
        <v>0</v>
      </c>
      <c r="W16" s="57">
        <f>'REG y VAL POE - AESR - ESR'!W893</f>
        <v>0</v>
      </c>
      <c r="X16" s="57">
        <f>'REG y VAL POE - AESR - ESR'!X893</f>
        <v>0</v>
      </c>
      <c r="Y16" s="57">
        <f>'REG y VAL POE - AESR - ESR'!Y893</f>
        <v>0</v>
      </c>
      <c r="Z16" s="57">
        <f>'REG y VAL POE - AESR - ESR'!Z893</f>
        <v>0</v>
      </c>
      <c r="AA16" s="57">
        <f>'REG y VAL POE - AESR - ESR'!AA893</f>
        <v>0</v>
      </c>
      <c r="AB16" s="57">
        <f>'REG y VAL POE - AESR - ESR'!AB893</f>
        <v>0</v>
      </c>
      <c r="AC16" s="57">
        <f>'REG y VAL POE - AESR - ESR'!AC893</f>
        <v>0</v>
      </c>
      <c r="AD16" s="57">
        <f>'REG y VAL POE - AESR - ESR'!AD893</f>
        <v>0</v>
      </c>
      <c r="AE16" s="57">
        <f>'REG y VAL POE - AESR - ESR'!AE893</f>
        <v>0</v>
      </c>
      <c r="AF16" s="57">
        <f>'REG y VAL POE - AESR - ESR'!AF893</f>
        <v>0</v>
      </c>
      <c r="AG16" s="57">
        <f>'REG y VAL POE - AESR - ESR'!AG893</f>
        <v>0</v>
      </c>
      <c r="AH16" s="57">
        <f>'REG y VAL POE - AESR - ESR'!AH893</f>
        <v>0</v>
      </c>
      <c r="AI16" s="57">
        <f>'REG y VAL POE - AESR - ESR'!AI893</f>
        <v>0</v>
      </c>
      <c r="AJ16" s="57">
        <f>'REG y VAL POE - AESR - ESR'!AJ893</f>
        <v>0</v>
      </c>
      <c r="AK16" s="57">
        <f>'REG y VAL POE - AESR - ESR'!AK893</f>
        <v>0</v>
      </c>
      <c r="AL16" s="57">
        <f>'REG y VAL POE - AESR - ESR'!AL893</f>
        <v>0</v>
      </c>
      <c r="AM16" s="57">
        <f>'REG y VAL POE - AESR - ESR'!AM893</f>
        <v>0</v>
      </c>
      <c r="AN16" s="57">
        <f>'REG y VAL POE - AESR - ESR'!AN893</f>
        <v>0</v>
      </c>
      <c r="AO16" s="57">
        <f>'REG y VAL POE - AESR - ESR'!AO893</f>
        <v>0</v>
      </c>
      <c r="AP16" s="57">
        <f>'REG y VAL POE - AESR - ESR'!AP893</f>
        <v>0</v>
      </c>
      <c r="AQ16" s="57">
        <f>'REG y VAL POE - AESR - ESR'!AQ893</f>
        <v>0</v>
      </c>
      <c r="AR16" s="57">
        <f>'REG y VAL POE - AESR - ESR'!AR893</f>
        <v>0</v>
      </c>
      <c r="AS16" s="57">
        <f>'REG y VAL POE - AESR - ESR'!AS893</f>
        <v>0</v>
      </c>
      <c r="AT16" s="58" t="str">
        <f>'REG y VAL POE - AESR - ESR'!B894</f>
        <v xml:space="preserve">Franco Reyes Samuel </v>
      </c>
      <c r="AU16" s="56">
        <f>'REG y VAL POE - AESR - ESR'!C894</f>
        <v>0</v>
      </c>
      <c r="AV16" s="57">
        <f>'REG y VAL POE - AESR - ESR'!D894</f>
        <v>22189056</v>
      </c>
      <c r="AW16" s="57">
        <f>'REG y VAL POE - AESR - ESR'!E894</f>
        <v>0</v>
      </c>
      <c r="AX16" s="57">
        <f>'REG y VAL POE - AESR - ESR'!F894</f>
        <v>0</v>
      </c>
      <c r="AY16" s="57">
        <f>'REG y VAL POE - AESR - ESR'!G894</f>
        <v>0</v>
      </c>
      <c r="AZ16" s="57">
        <f>'REG y VAL POE - AESR - ESR'!H894</f>
        <v>0</v>
      </c>
      <c r="BA16" s="56">
        <f>'REG y VAL POE - AESR - ESR'!I894</f>
        <v>0</v>
      </c>
      <c r="BB16" s="57">
        <f>'REG y VAL POE - AESR - ESR'!J894</f>
        <v>0</v>
      </c>
      <c r="BC16" s="57">
        <f>'REG y VAL POE - AESR - ESR'!K894</f>
        <v>0</v>
      </c>
      <c r="BD16" s="56">
        <f>'REG y VAL POE - AESR - ESR'!L894</f>
        <v>0</v>
      </c>
      <c r="BE16" s="57">
        <f>'REG y VAL POE - AESR - ESR'!M894</f>
        <v>0</v>
      </c>
      <c r="BF16" s="58">
        <f>'REG y VAL POE - AESR - ESR'!N894</f>
        <v>0</v>
      </c>
      <c r="BG16" s="56">
        <f>'REG y VAL POE - AESR - ESR'!O894</f>
        <v>0</v>
      </c>
      <c r="BH16" s="57">
        <f>'REG y VAL POE - AESR - ESR'!P894</f>
        <v>0</v>
      </c>
      <c r="BI16" s="57">
        <f>'REG y VAL POE - AESR - ESR'!Q894</f>
        <v>0</v>
      </c>
      <c r="BJ16" s="57">
        <f>'REG y VAL POE - AESR - ESR'!R894</f>
        <v>0</v>
      </c>
      <c r="BK16" s="56">
        <f>'REG y VAL POE - AESR - ESR'!S894</f>
        <v>0</v>
      </c>
      <c r="BL16" s="57">
        <f>'REG y VAL POE - AESR - ESR'!T894</f>
        <v>0</v>
      </c>
      <c r="BM16" s="57">
        <f>'REG y VAL POE - AESR - ESR'!U894</f>
        <v>0</v>
      </c>
      <c r="BN16" s="56">
        <f>'REG y VAL POE - AESR - ESR'!V894</f>
        <v>0</v>
      </c>
      <c r="BO16" s="57">
        <f>'REG y VAL POE - AESR - ESR'!W894</f>
        <v>0</v>
      </c>
      <c r="BP16" s="58">
        <f>'REG y VAL POE - AESR - ESR'!X894</f>
        <v>0</v>
      </c>
      <c r="BQ16" s="56">
        <f>'REG y VAL POE - AESR - ESR'!Y894</f>
        <v>0</v>
      </c>
      <c r="BR16" s="57">
        <f>'REG y VAL POE - AESR - ESR'!Z894</f>
        <v>0</v>
      </c>
      <c r="BS16" s="57">
        <f>'REG y VAL POE - AESR - ESR'!AA894</f>
        <v>0</v>
      </c>
      <c r="BT16" s="57">
        <f>'REG y VAL POE - AESR - ESR'!AB894</f>
        <v>0</v>
      </c>
      <c r="BU16" s="56">
        <f>'REG y VAL POE - AESR - ESR'!AC894</f>
        <v>0</v>
      </c>
      <c r="BV16" s="57">
        <f>'REG y VAL POE - AESR - ESR'!AD894</f>
        <v>0</v>
      </c>
      <c r="BW16" s="57">
        <f>'REG y VAL POE - AESR - ESR'!AE894</f>
        <v>0</v>
      </c>
      <c r="BX16" s="56">
        <f>'REG y VAL POE - AESR - ESR'!AF894</f>
        <v>0</v>
      </c>
      <c r="BY16" s="57">
        <f>'REG y VAL POE - AESR - ESR'!AG894</f>
        <v>0</v>
      </c>
      <c r="BZ16" s="58">
        <f>'REG y VAL POE - AESR - ESR'!AH894</f>
        <v>0</v>
      </c>
      <c r="CA16" s="56">
        <f>'REG y VAL POE - AESR - ESR'!AI894</f>
        <v>0</v>
      </c>
      <c r="CB16" s="57">
        <f>'REG y VAL POE - AESR - ESR'!AJ894</f>
        <v>0</v>
      </c>
      <c r="CC16" s="57">
        <f>'REG y VAL POE - AESR - ESR'!AK894</f>
        <v>0</v>
      </c>
      <c r="CD16" s="57">
        <f>'REG y VAL POE - AESR - ESR'!AL894</f>
        <v>0</v>
      </c>
      <c r="CE16" s="56">
        <f>'REG y VAL POE - AESR - ESR'!AM894</f>
        <v>0</v>
      </c>
      <c r="CF16" s="57">
        <f>'REG y VAL POE - AESR - ESR'!AN894</f>
        <v>0</v>
      </c>
      <c r="CG16" s="57">
        <f>'REG y VAL POE - AESR - ESR'!AO894</f>
        <v>0</v>
      </c>
      <c r="CH16" s="56">
        <f>'REG y VAL POE - AESR - ESR'!AP894</f>
        <v>0</v>
      </c>
      <c r="CI16" s="57">
        <f>'REG y VAL POE - AESR - ESR'!AQ894</f>
        <v>0</v>
      </c>
      <c r="CJ16" s="58">
        <f>'REG y VAL POE - AESR - ESR'!AR894</f>
        <v>0</v>
      </c>
      <c r="CK16" s="56">
        <f>'REG y VAL POE - AESR - ESR'!AS894</f>
        <v>0</v>
      </c>
      <c r="CL16" s="57">
        <f>'REG y VAL POE - AESR - ESR'!B895</f>
        <v>0</v>
      </c>
      <c r="CM16" s="57">
        <f>'REG y VAL POE - AESR - ESR'!C895</f>
        <v>0</v>
      </c>
      <c r="CN16" s="57">
        <f>'REG y VAL POE - AESR - ESR'!D895</f>
        <v>0</v>
      </c>
      <c r="CO16" s="56">
        <f>'REG y VAL POE - AESR - ESR'!E895</f>
        <v>0</v>
      </c>
      <c r="CP16" s="57">
        <f>'REG y VAL POE - AESR - ESR'!F895</f>
        <v>0</v>
      </c>
      <c r="CQ16" s="57">
        <f>'REG y VAL POE - AESR - ESR'!G895</f>
        <v>0</v>
      </c>
      <c r="CR16" s="56">
        <f>'REG y VAL POE - AESR - ESR'!H895</f>
        <v>0</v>
      </c>
      <c r="CS16" s="57">
        <f>'REG y VAL POE - AESR - ESR'!I895</f>
        <v>0</v>
      </c>
      <c r="CT16" s="58">
        <f>'REG y VAL POE - AESR - ESR'!J895</f>
        <v>0</v>
      </c>
      <c r="CU16" s="56">
        <f>'REG y VAL POE - AESR - ESR'!K895</f>
        <v>0</v>
      </c>
      <c r="CV16" s="57">
        <f>'REG y VAL POE - AESR - ESR'!L895</f>
        <v>0</v>
      </c>
      <c r="CW16" s="57">
        <f>'REG y VAL POE - AESR - ESR'!M895</f>
        <v>0</v>
      </c>
      <c r="CX16" s="57">
        <f>'REG y VAL POE - AESR - ESR'!N895</f>
        <v>0</v>
      </c>
      <c r="CY16" s="56">
        <f>'REG y VAL POE - AESR - ESR'!O895</f>
        <v>0</v>
      </c>
      <c r="CZ16" s="57">
        <f>'REG y VAL POE - AESR - ESR'!P895</f>
        <v>0</v>
      </c>
      <c r="DA16" s="57">
        <f>'REG y VAL POE - AESR - ESR'!Q895</f>
        <v>0</v>
      </c>
      <c r="DB16" s="56">
        <f>'REG y VAL POE - AESR - ESR'!R895</f>
        <v>0</v>
      </c>
      <c r="DC16" s="57">
        <f>'REG y VAL POE - AESR - ESR'!S895</f>
        <v>0</v>
      </c>
      <c r="DD16" s="58">
        <f>'REG y VAL POE - AESR - ESR'!T895</f>
        <v>0</v>
      </c>
      <c r="DE16" s="56">
        <f>'REG y VAL POE - AESR - ESR'!U895</f>
        <v>0</v>
      </c>
      <c r="DF16" s="57">
        <f>'REG y VAL POE - AESR - ESR'!V895</f>
        <v>0</v>
      </c>
      <c r="DG16" s="57">
        <f>'REG y VAL POE - AESR - ESR'!W895</f>
        <v>0</v>
      </c>
      <c r="DH16" s="57">
        <f>'REG y VAL POE - AESR - ESR'!X895</f>
        <v>0</v>
      </c>
      <c r="DI16" s="56">
        <f>'REG y VAL POE - AESR - ESR'!Y895</f>
        <v>0</v>
      </c>
      <c r="DJ16" s="57">
        <f>'REG y VAL POE - AESR - ESR'!Z895</f>
        <v>0</v>
      </c>
      <c r="DK16" s="57">
        <f>'REG y VAL POE - AESR - ESR'!AA895</f>
        <v>0</v>
      </c>
      <c r="DL16" s="56">
        <f>'REG y VAL POE - AESR - ESR'!AB895</f>
        <v>0</v>
      </c>
      <c r="DM16" s="57">
        <f>'REG y VAL POE - AESR - ESR'!AC895</f>
        <v>0</v>
      </c>
      <c r="DN16" s="58">
        <f>'REG y VAL POE - AESR - ESR'!AD895</f>
        <v>0</v>
      </c>
      <c r="DO16" s="56">
        <f>'REG y VAL POE - AESR - ESR'!AE895</f>
        <v>0</v>
      </c>
      <c r="DP16" s="57">
        <f>'REG y VAL POE - AESR - ESR'!AF895</f>
        <v>0</v>
      </c>
      <c r="DQ16" s="57">
        <f>'REG y VAL POE - AESR - ESR'!AG895</f>
        <v>0</v>
      </c>
      <c r="DR16" s="57">
        <f>'REG y VAL POE - AESR - ESR'!AH895</f>
        <v>0</v>
      </c>
      <c r="DS16" s="56">
        <f>'REG y VAL POE - AESR - ESR'!AI895</f>
        <v>0</v>
      </c>
      <c r="DT16" s="57">
        <f>'REG y VAL POE - AESR - ESR'!AJ895</f>
        <v>0</v>
      </c>
      <c r="DU16" s="57">
        <f>'REG y VAL POE - AESR - ESR'!AK895</f>
        <v>0</v>
      </c>
      <c r="DV16" s="56">
        <f>'REG y VAL POE - AESR - ESR'!AL895</f>
        <v>0</v>
      </c>
      <c r="DW16" s="57">
        <f>'REG y VAL POE - AESR - ESR'!AM895</f>
        <v>0</v>
      </c>
      <c r="DX16" s="58">
        <f>'REG y VAL POE - AESR - ESR'!AN895</f>
        <v>0</v>
      </c>
      <c r="DY16" s="56">
        <f>'REG y VAL POE - AESR - ESR'!AO895</f>
        <v>0</v>
      </c>
      <c r="DZ16" s="57">
        <f>'REG y VAL POE - AESR - ESR'!AP895</f>
        <v>0</v>
      </c>
      <c r="EA16" s="57">
        <f>'REG y VAL POE - AESR - ESR'!AQ895</f>
        <v>0</v>
      </c>
      <c r="EB16" s="57">
        <f>'REG y VAL POE - AESR - ESR'!AR895</f>
        <v>0</v>
      </c>
      <c r="EC16" s="56">
        <f>'REG y VAL POE - AESR - ESR'!AS895</f>
        <v>0</v>
      </c>
      <c r="ED16" s="57">
        <f>'REG y VAL POE - AESR - ESR'!B896</f>
        <v>0</v>
      </c>
      <c r="EE16" s="56">
        <f>'REG y VAL POE - AESR - ESR'!C896</f>
        <v>0</v>
      </c>
      <c r="EF16" s="56">
        <f>'REG y VAL POE - AESR - ESR'!D896</f>
        <v>0</v>
      </c>
      <c r="EG16" s="57">
        <f>'REG y VAL POE - AESR - ESR'!E896</f>
        <v>0</v>
      </c>
      <c r="EH16" s="58">
        <f>'REG y VAL POE - AESR - ESR'!F896</f>
        <v>0</v>
      </c>
      <c r="EI16" s="56">
        <f>'REG y VAL POE - AESR - ESR'!G896</f>
        <v>0</v>
      </c>
      <c r="EJ16" s="57">
        <f>'REG y VAL POE - AESR - ESR'!H896</f>
        <v>0</v>
      </c>
      <c r="EK16" s="57">
        <f>'REG y VAL POE - AESR - ESR'!I896</f>
        <v>0</v>
      </c>
      <c r="EL16" s="57">
        <f>'REG y VAL POE - AESR - ESR'!J896</f>
        <v>0</v>
      </c>
      <c r="EM16" s="56">
        <f>'REG y VAL POE - AESR - ESR'!K896</f>
        <v>0</v>
      </c>
      <c r="EN16" s="57">
        <f>'REG y VAL POE - AESR - ESR'!L896</f>
        <v>0</v>
      </c>
      <c r="EO16" s="57">
        <f>'REG y VAL POE - AESR - ESR'!M896</f>
        <v>0</v>
      </c>
      <c r="EP16" s="56">
        <f>'REG y VAL POE - AESR - ESR'!N896</f>
        <v>0</v>
      </c>
      <c r="EQ16" s="57">
        <f>'REG y VAL POE - AESR - ESR'!O896</f>
        <v>0</v>
      </c>
      <c r="ER16" s="58">
        <f>'REG y VAL POE - AESR - ESR'!P896</f>
        <v>0</v>
      </c>
      <c r="ES16" s="56">
        <f>'REG y VAL POE - AESR - ESR'!Q896</f>
        <v>0</v>
      </c>
      <c r="ET16" s="57">
        <f>'REG y VAL POE - AESR - ESR'!R896</f>
        <v>0</v>
      </c>
      <c r="EU16" s="57">
        <f>'REG y VAL POE - AESR - ESR'!S896</f>
        <v>0</v>
      </c>
      <c r="EV16" s="57">
        <f>'REG y VAL POE - AESR - ESR'!T896</f>
        <v>0</v>
      </c>
      <c r="EW16" s="56">
        <f>'REG y VAL POE - AESR - ESR'!U896</f>
        <v>0</v>
      </c>
      <c r="EX16" s="57">
        <f>'REG y VAL POE - AESR - ESR'!V896</f>
        <v>0</v>
      </c>
      <c r="EY16" s="57">
        <f>'REG y VAL POE - AESR - ESR'!W896</f>
        <v>0</v>
      </c>
      <c r="EZ16" s="56">
        <f>'REG y VAL POE - AESR - ESR'!X896</f>
        <v>0</v>
      </c>
      <c r="FA16" s="57">
        <f>'REG y VAL POE - AESR - ESR'!Y896</f>
        <v>0</v>
      </c>
      <c r="FB16" s="58">
        <f>'REG y VAL POE - AESR - ESR'!Z896</f>
        <v>0</v>
      </c>
      <c r="FC16" s="56">
        <f>'REG y VAL POE - AESR - ESR'!AA896</f>
        <v>0</v>
      </c>
      <c r="FD16" s="57">
        <f>'REG y VAL POE - AESR - ESR'!AB896</f>
        <v>0</v>
      </c>
      <c r="FE16" s="57">
        <f>'REG y VAL POE - AESR - ESR'!AC896</f>
        <v>0</v>
      </c>
      <c r="FF16" s="57">
        <f>'REG y VAL POE - AESR - ESR'!AD896</f>
        <v>0</v>
      </c>
      <c r="FG16" s="56">
        <f>'REG y VAL POE - AESR - ESR'!AE896</f>
        <v>0</v>
      </c>
      <c r="FH16" s="57">
        <f>'REG y VAL POE - AESR - ESR'!AF896</f>
        <v>0</v>
      </c>
      <c r="FI16" s="57">
        <f>'REG y VAL POE - AESR - ESR'!AG896</f>
        <v>0</v>
      </c>
      <c r="FJ16" s="56">
        <f>'REG y VAL POE - AESR - ESR'!AH896</f>
        <v>0</v>
      </c>
      <c r="FK16" s="57">
        <f>'REG y VAL POE - AESR - ESR'!AI896</f>
        <v>0</v>
      </c>
      <c r="FL16" s="58">
        <f>'REG y VAL POE - AESR - ESR'!AJ896</f>
        <v>0</v>
      </c>
      <c r="FM16" s="56">
        <f>'REG y VAL POE - AESR - ESR'!AK896</f>
        <v>0</v>
      </c>
      <c r="FN16" s="57">
        <f>'REG y VAL POE - AESR - ESR'!AL896</f>
        <v>0</v>
      </c>
      <c r="FO16" s="57">
        <f>'REG y VAL POE - AESR - ESR'!AM896</f>
        <v>0</v>
      </c>
      <c r="FP16" s="57">
        <f>'REG y VAL POE - AESR - ESR'!AN896</f>
        <v>0</v>
      </c>
      <c r="FQ16" s="56">
        <f>'REG y VAL POE - AESR - ESR'!AO896</f>
        <v>0</v>
      </c>
      <c r="FR16" s="57">
        <f>'REG y VAL POE - AESR - ESR'!AP896</f>
        <v>0</v>
      </c>
      <c r="FS16" s="57">
        <f>'REG y VAL POE - AESR - ESR'!AQ896</f>
        <v>0</v>
      </c>
      <c r="FT16" s="56">
        <f>'REG y VAL POE - AESR - ESR'!AR896</f>
        <v>0</v>
      </c>
      <c r="FU16" s="57">
        <f>'REG y VAL POE - AESR - ESR'!AS896</f>
        <v>0</v>
      </c>
      <c r="FV16" s="55">
        <f>'REG y VAL POE - AESR - ESR'!B897</f>
        <v>0</v>
      </c>
      <c r="FW16" s="56">
        <f>'REG y VAL POE - AESR - ESR'!C897</f>
        <v>0</v>
      </c>
      <c r="FX16" s="57">
        <f>'REG y VAL POE - AESR - ESR'!D897</f>
        <v>0</v>
      </c>
      <c r="FY16" s="57">
        <f>'REG y VAL POE - AESR - ESR'!E897</f>
        <v>0</v>
      </c>
      <c r="FZ16" s="57">
        <f>'REG y VAL POE - AESR - ESR'!F897</f>
        <v>0</v>
      </c>
      <c r="GA16" s="56">
        <f>'REG y VAL POE - AESR - ESR'!G897</f>
        <v>0</v>
      </c>
      <c r="GB16" s="57">
        <f>'REG y VAL POE - AESR - ESR'!H897</f>
        <v>0</v>
      </c>
      <c r="GC16" s="57">
        <f>'REG y VAL POE - AESR - ESR'!I897</f>
        <v>0</v>
      </c>
      <c r="GD16" s="56">
        <f>'REG y VAL POE - AESR - ESR'!J897</f>
        <v>0</v>
      </c>
      <c r="GE16" s="57">
        <f>'REG y VAL POE - AESR - ESR'!K897</f>
        <v>0</v>
      </c>
      <c r="GF16" s="58">
        <f>'REG y VAL POE - AESR - ESR'!L897</f>
        <v>0</v>
      </c>
      <c r="GG16" s="56">
        <f>'REG y VAL POE - AESR - ESR'!M897</f>
        <v>0</v>
      </c>
      <c r="GH16" s="57">
        <f>'REG y VAL POE - AESR - ESR'!N897</f>
        <v>0</v>
      </c>
      <c r="GI16" s="57">
        <f>'REG y VAL POE - AESR - ESR'!O897</f>
        <v>0</v>
      </c>
      <c r="GJ16" s="57">
        <f>'REG y VAL POE - AESR - ESR'!P897</f>
        <v>0</v>
      </c>
      <c r="GK16" s="56">
        <f>'REG y VAL POE - AESR - ESR'!Q897</f>
        <v>0</v>
      </c>
      <c r="GL16" s="57">
        <f>'REG y VAL POE - AESR - ESR'!R897</f>
        <v>0</v>
      </c>
      <c r="GM16" s="57">
        <f>'REG y VAL POE - AESR - ESR'!S897</f>
        <v>0</v>
      </c>
      <c r="GN16" s="56">
        <f>'REG y VAL POE - AESR - ESR'!T897</f>
        <v>0</v>
      </c>
      <c r="GO16" s="57">
        <f>'REG y VAL POE - AESR - ESR'!U897</f>
        <v>0</v>
      </c>
      <c r="GP16" s="58">
        <f>'REG y VAL POE - AESR - ESR'!V897</f>
        <v>0</v>
      </c>
      <c r="GQ16" s="56">
        <f>'REG y VAL POE - AESR - ESR'!W897</f>
        <v>0</v>
      </c>
      <c r="GR16" s="57">
        <f>'REG y VAL POE - AESR - ESR'!X897</f>
        <v>0</v>
      </c>
      <c r="GS16" s="57">
        <f>'REG y VAL POE - AESR - ESR'!Y897</f>
        <v>0</v>
      </c>
      <c r="GT16" s="57">
        <f>'REG y VAL POE - AESR - ESR'!Z897</f>
        <v>0</v>
      </c>
      <c r="GU16" s="56">
        <f>'REG y VAL POE - AESR - ESR'!AA897</f>
        <v>0</v>
      </c>
      <c r="GV16" s="57">
        <f>'REG y VAL POE - AESR - ESR'!AB897</f>
        <v>0</v>
      </c>
      <c r="GW16" s="57">
        <f>'REG y VAL POE - AESR - ESR'!AC897</f>
        <v>0</v>
      </c>
      <c r="GX16" s="56">
        <f>'REG y VAL POE - AESR - ESR'!AD897</f>
        <v>0</v>
      </c>
      <c r="GY16" s="57">
        <f>'REG y VAL POE - AESR - ESR'!AE897</f>
        <v>0</v>
      </c>
      <c r="GZ16" s="58">
        <f>'REG y VAL POE - AESR - ESR'!AF897</f>
        <v>0</v>
      </c>
      <c r="HA16" s="56">
        <f>'REG y VAL POE - AESR - ESR'!AG897</f>
        <v>0</v>
      </c>
      <c r="HB16" s="57">
        <f>'REG y VAL POE - AESR - ESR'!AH897</f>
        <v>0</v>
      </c>
      <c r="HC16" s="57">
        <f>'REG y VAL POE - AESR - ESR'!AI897</f>
        <v>0</v>
      </c>
      <c r="HD16" s="57">
        <f>'REG y VAL POE - AESR - ESR'!AJ897</f>
        <v>0</v>
      </c>
      <c r="HE16" s="56">
        <f>'REG y VAL POE - AESR - ESR'!AK897</f>
        <v>0</v>
      </c>
      <c r="HF16" s="57">
        <f>'REG y VAL POE - AESR - ESR'!AL897</f>
        <v>0</v>
      </c>
      <c r="HG16" s="57">
        <f>'REG y VAL POE - AESR - ESR'!AM897</f>
        <v>0</v>
      </c>
      <c r="HH16" s="56">
        <f>'REG y VAL POE - AESR - ESR'!AN897</f>
        <v>0</v>
      </c>
      <c r="HI16" s="57">
        <f>'REG y VAL POE - AESR - ESR'!AO897</f>
        <v>0</v>
      </c>
      <c r="HJ16" s="58">
        <f>'REG y VAL POE - AESR - ESR'!AP897</f>
        <v>0</v>
      </c>
      <c r="HK16" s="56">
        <f>'REG y VAL POE - AESR - ESR'!AQ897</f>
        <v>0</v>
      </c>
      <c r="HL16" s="57">
        <f>'REG y VAL POE - AESR - ESR'!AR897</f>
        <v>0</v>
      </c>
      <c r="HM16" s="57">
        <f>'REG y VAL POE - AESR - ESR'!AS897</f>
        <v>0</v>
      </c>
      <c r="HN16" s="387">
        <f>'REG y VAL POE - AESR - ESR'!B898</f>
        <v>0</v>
      </c>
      <c r="HO16" s="56">
        <f>'REG y VAL POE - AESR - ESR'!C898</f>
        <v>0</v>
      </c>
      <c r="HP16" s="57">
        <f>'REG y VAL POE - AESR - ESR'!D898</f>
        <v>0</v>
      </c>
      <c r="HQ16" s="57">
        <f>'REG y VAL POE - AESR - ESR'!E898</f>
        <v>0</v>
      </c>
      <c r="HR16" s="56">
        <f>'REG y VAL POE - AESR - ESR'!F898</f>
        <v>0</v>
      </c>
      <c r="HS16" s="57">
        <f>'REG y VAL POE - AESR - ESR'!G898</f>
        <v>0</v>
      </c>
      <c r="HT16" s="58">
        <f>'REG y VAL POE - AESR - ESR'!H898</f>
        <v>0</v>
      </c>
      <c r="HU16" s="56">
        <f>'REG y VAL POE - AESR - ESR'!I898</f>
        <v>0</v>
      </c>
      <c r="HV16" s="57">
        <f>'REG y VAL POE - AESR - ESR'!J898</f>
        <v>0</v>
      </c>
      <c r="HW16" s="57">
        <f>'REG y VAL POE - AESR - ESR'!K898</f>
        <v>0</v>
      </c>
      <c r="HX16" s="57">
        <f>'REG y VAL POE - AESR - ESR'!L898</f>
        <v>0</v>
      </c>
      <c r="HY16" s="56">
        <f>'REG y VAL POE - AESR - ESR'!M898</f>
        <v>0</v>
      </c>
      <c r="HZ16" s="57">
        <f>'REG y VAL POE - AESR - ESR'!N898</f>
        <v>0</v>
      </c>
      <c r="IA16" s="57">
        <f>'REG y VAL POE - AESR - ESR'!O898</f>
        <v>0</v>
      </c>
      <c r="IB16" s="56">
        <f>'REG y VAL POE - AESR - ESR'!P898</f>
        <v>0</v>
      </c>
      <c r="IC16" s="57">
        <f>'REG y VAL POE - AESR - ESR'!Q898</f>
        <v>0</v>
      </c>
      <c r="ID16" s="58">
        <f>'REG y VAL POE - AESR - ESR'!R898</f>
        <v>0</v>
      </c>
      <c r="IE16" s="56">
        <f>'REG y VAL POE - AESR - ESR'!S898</f>
        <v>0</v>
      </c>
      <c r="IF16" s="57">
        <f>'REG y VAL POE - AESR - ESR'!T898</f>
        <v>0</v>
      </c>
      <c r="IG16" s="57">
        <f>'REG y VAL POE - AESR - ESR'!U898</f>
        <v>0</v>
      </c>
      <c r="IH16" s="57">
        <f>'REG y VAL POE - AESR - ESR'!V898</f>
        <v>0</v>
      </c>
      <c r="II16" s="56">
        <f>'REG y VAL POE - AESR - ESR'!W898</f>
        <v>0</v>
      </c>
      <c r="IJ16" s="57">
        <f>'REG y VAL POE - AESR - ESR'!X898</f>
        <v>0</v>
      </c>
      <c r="IK16" s="57">
        <f>'REG y VAL POE - AESR - ESR'!Y898</f>
        <v>0</v>
      </c>
      <c r="IL16" s="56">
        <f>'REG y VAL POE - AESR - ESR'!Z898</f>
        <v>0</v>
      </c>
      <c r="IM16" s="57">
        <f>'REG y VAL POE - AESR - ESR'!AA898</f>
        <v>0</v>
      </c>
      <c r="IN16" s="58">
        <f>'REG y VAL POE - AESR - ESR'!AB898</f>
        <v>0</v>
      </c>
      <c r="IO16" s="56">
        <f>'REG y VAL POE - AESR - ESR'!AC898</f>
        <v>0</v>
      </c>
      <c r="IP16" s="57">
        <f>'REG y VAL POE - AESR - ESR'!AD898</f>
        <v>0</v>
      </c>
      <c r="IQ16" s="57">
        <f>'REG y VAL POE - AESR - ESR'!AE898</f>
        <v>0</v>
      </c>
      <c r="IR16" s="57">
        <f>'REG y VAL POE - AESR - ESR'!AF898</f>
        <v>0</v>
      </c>
      <c r="IS16" s="56">
        <f>'REG y VAL POE - AESR - ESR'!AG898</f>
        <v>0</v>
      </c>
      <c r="IT16" s="57">
        <f>'REG y VAL POE - AESR - ESR'!AH898</f>
        <v>0</v>
      </c>
      <c r="IU16" s="57">
        <f>'REG y VAL POE - AESR - ESR'!AI898</f>
        <v>0</v>
      </c>
      <c r="IV16" s="56">
        <f>'REG y VAL POE - AESR - ESR'!AJ898</f>
        <v>0</v>
      </c>
      <c r="IW16" s="57">
        <f>'REG y VAL POE - AESR - ESR'!AK898</f>
        <v>0</v>
      </c>
      <c r="IX16" s="58">
        <f>'REG y VAL POE - AESR - ESR'!AL898</f>
        <v>0</v>
      </c>
      <c r="IY16" s="56">
        <f>'REG y VAL POE - AESR - ESR'!AM898</f>
        <v>0</v>
      </c>
      <c r="IZ16" s="57">
        <f>'REG y VAL POE - AESR - ESR'!AN898</f>
        <v>0</v>
      </c>
      <c r="JA16" s="57">
        <f>'REG y VAL POE - AESR - ESR'!AO898</f>
        <v>0</v>
      </c>
      <c r="JB16" s="57">
        <f>'REG y VAL POE - AESR - ESR'!AP898</f>
        <v>0</v>
      </c>
      <c r="JC16" s="56">
        <f>'REG y VAL POE - AESR - ESR'!AQ898</f>
        <v>0</v>
      </c>
      <c r="JD16" s="57">
        <f>'REG y VAL POE - AESR - ESR'!AR898</f>
        <v>0</v>
      </c>
      <c r="JE16" s="57">
        <f>'REG y VAL POE - AESR - ESR'!AS898</f>
        <v>0</v>
      </c>
      <c r="JF16" s="55">
        <f>'REG y VAL POE - AESR - ESR'!B899</f>
        <v>0</v>
      </c>
      <c r="JG16" s="57">
        <f>'REG y VAL POE - AESR - ESR'!C899</f>
        <v>0</v>
      </c>
      <c r="JH16" s="58">
        <f>'REG y VAL POE - AESR - ESR'!D899</f>
        <v>0</v>
      </c>
      <c r="JI16" s="56">
        <f>'REG y VAL POE - AESR - ESR'!E899</f>
        <v>0</v>
      </c>
      <c r="JJ16" s="57">
        <f>'REG y VAL POE - AESR - ESR'!F899</f>
        <v>0</v>
      </c>
      <c r="JK16" s="57">
        <f>'REG y VAL POE - AESR - ESR'!G899</f>
        <v>0</v>
      </c>
      <c r="JL16" s="57">
        <f>'REG y VAL POE - AESR - ESR'!H899</f>
        <v>0</v>
      </c>
      <c r="JM16" s="56">
        <f>'REG y VAL POE - AESR - ESR'!I899</f>
        <v>0</v>
      </c>
      <c r="JN16" s="57">
        <f>'REG y VAL POE - AESR - ESR'!J899</f>
        <v>0</v>
      </c>
      <c r="JO16" s="57">
        <f>'REG y VAL POE - AESR - ESR'!K899</f>
        <v>0</v>
      </c>
      <c r="JP16" s="56">
        <f>'REG y VAL POE - AESR - ESR'!L899</f>
        <v>0</v>
      </c>
      <c r="JQ16" s="57">
        <f>'REG y VAL POE - AESR - ESR'!M899</f>
        <v>0</v>
      </c>
      <c r="JR16" s="58">
        <f>'REG y VAL POE - AESR - ESR'!N899</f>
        <v>0</v>
      </c>
      <c r="JS16" s="56">
        <f>'REG y VAL POE - AESR - ESR'!O899</f>
        <v>0</v>
      </c>
      <c r="JT16" s="57">
        <f>'REG y VAL POE - AESR - ESR'!P899</f>
        <v>0</v>
      </c>
      <c r="JU16" s="57">
        <f>'REG y VAL POE - AESR - ESR'!Q899</f>
        <v>0</v>
      </c>
      <c r="JV16" s="57">
        <f>'REG y VAL POE - AESR - ESR'!R899</f>
        <v>0</v>
      </c>
      <c r="JW16" s="56">
        <f>'REG y VAL POE - AESR - ESR'!S899</f>
        <v>0</v>
      </c>
      <c r="JX16" s="57">
        <f>'REG y VAL POE - AESR - ESR'!T899</f>
        <v>0</v>
      </c>
      <c r="JY16" s="57">
        <f>'REG y VAL POE - AESR - ESR'!U899</f>
        <v>0</v>
      </c>
      <c r="JZ16" s="56">
        <f>'REG y VAL POE - AESR - ESR'!V899</f>
        <v>0</v>
      </c>
      <c r="KA16" s="57">
        <f>'REG y VAL POE - AESR - ESR'!W899</f>
        <v>0</v>
      </c>
      <c r="KB16" s="58">
        <f>'REG y VAL POE - AESR - ESR'!X899</f>
        <v>0</v>
      </c>
      <c r="KC16" s="56">
        <f>'REG y VAL POE - AESR - ESR'!Y899</f>
        <v>0</v>
      </c>
      <c r="KD16" s="57">
        <f>'REG y VAL POE - AESR - ESR'!Z899</f>
        <v>0</v>
      </c>
      <c r="KE16" s="57">
        <f>'REG y VAL POE - AESR - ESR'!AA899</f>
        <v>0</v>
      </c>
      <c r="KF16" s="57">
        <f>'REG y VAL POE - AESR - ESR'!AB899</f>
        <v>0</v>
      </c>
      <c r="KG16" s="56">
        <f>'REG y VAL POE - AESR - ESR'!AC899</f>
        <v>0</v>
      </c>
      <c r="KH16" s="57">
        <f>'REG y VAL POE - AESR - ESR'!AD899</f>
        <v>0</v>
      </c>
      <c r="KI16" s="57">
        <f>'REG y VAL POE - AESR - ESR'!AE899</f>
        <v>0</v>
      </c>
      <c r="KJ16" s="56">
        <f>'REG y VAL POE - AESR - ESR'!AF899</f>
        <v>0</v>
      </c>
      <c r="KK16" s="57">
        <f>'REG y VAL POE - AESR - ESR'!AG899</f>
        <v>0</v>
      </c>
      <c r="KL16" s="58">
        <f>'REG y VAL POE - AESR - ESR'!AH899</f>
        <v>0</v>
      </c>
      <c r="KM16" s="56">
        <f>'REG y VAL POE - AESR - ESR'!AI899</f>
        <v>0</v>
      </c>
      <c r="KN16" s="57">
        <f>'REG y VAL POE - AESR - ESR'!AJ899</f>
        <v>0</v>
      </c>
      <c r="KO16" s="57">
        <f>'REG y VAL POE - AESR - ESR'!AK899</f>
        <v>0</v>
      </c>
      <c r="KP16" s="57">
        <f>'REG y VAL POE - AESR - ESR'!AL899</f>
        <v>0</v>
      </c>
      <c r="KQ16" s="56">
        <f>'REG y VAL POE - AESR - ESR'!AM899</f>
        <v>0</v>
      </c>
      <c r="KR16" s="57">
        <f>'REG y VAL POE - AESR - ESR'!AN899</f>
        <v>0</v>
      </c>
      <c r="KS16" s="57">
        <f>'REG y VAL POE - AESR - ESR'!AO899</f>
        <v>0</v>
      </c>
      <c r="KT16" s="56">
        <f>'REG y VAL POE - AESR - ESR'!AP899</f>
        <v>0</v>
      </c>
      <c r="KU16" s="57">
        <f>'REG y VAL POE - AESR - ESR'!AQ899</f>
        <v>0</v>
      </c>
      <c r="KV16" s="58">
        <f>'REG y VAL POE - AESR - ESR'!AR899</f>
        <v>0</v>
      </c>
      <c r="KW16" s="56">
        <f>'REG y VAL POE - AESR - ESR'!AS899</f>
        <v>0</v>
      </c>
      <c r="KX16" s="387">
        <f>'REG y VAL POE - AESR - ESR'!B900</f>
        <v>0</v>
      </c>
      <c r="KY16" s="57">
        <f>'REG y VAL POE - AESR - ESR'!C900</f>
        <v>0</v>
      </c>
      <c r="KZ16" s="57">
        <f>'REG y VAL POE - AESR - ESR'!D900</f>
        <v>0</v>
      </c>
      <c r="LA16" s="56">
        <f>'REG y VAL POE - AESR - ESR'!E900</f>
        <v>0</v>
      </c>
      <c r="LB16" s="57">
        <f>'REG y VAL POE - AESR - ESR'!F900</f>
        <v>0</v>
      </c>
      <c r="LC16" s="57">
        <f>'REG y VAL POE - AESR - ESR'!G900</f>
        <v>0</v>
      </c>
      <c r="LD16" s="56">
        <f>'REG y VAL POE - AESR - ESR'!H900</f>
        <v>0</v>
      </c>
      <c r="LE16" s="57">
        <f>'REG y VAL POE - AESR - ESR'!I900</f>
        <v>0</v>
      </c>
      <c r="LF16" s="58">
        <f>'REG y VAL POE - AESR - ESR'!J900</f>
        <v>0</v>
      </c>
      <c r="LG16" s="56">
        <f>'REG y VAL POE - AESR - ESR'!K900</f>
        <v>0</v>
      </c>
      <c r="LH16" s="57">
        <f>'REG y VAL POE - AESR - ESR'!L900</f>
        <v>0</v>
      </c>
      <c r="LI16" s="57">
        <f>'REG y VAL POE - AESR - ESR'!M900</f>
        <v>0</v>
      </c>
      <c r="LJ16" s="57">
        <f>'REG y VAL POE - AESR - ESR'!N900</f>
        <v>0</v>
      </c>
      <c r="LK16" s="56">
        <f>'REG y VAL POE - AESR - ESR'!O900</f>
        <v>0</v>
      </c>
      <c r="LL16" s="57">
        <f>'REG y VAL POE - AESR - ESR'!P900</f>
        <v>0</v>
      </c>
      <c r="LM16" s="57">
        <f>'REG y VAL POE - AESR - ESR'!Q900</f>
        <v>0</v>
      </c>
      <c r="LN16" s="56">
        <f>'REG y VAL POE - AESR - ESR'!R900</f>
        <v>0</v>
      </c>
      <c r="LO16" s="57">
        <f>'REG y VAL POE - AESR - ESR'!S900</f>
        <v>0</v>
      </c>
      <c r="LP16" s="58">
        <f>'REG y VAL POE - AESR - ESR'!T900</f>
        <v>0</v>
      </c>
      <c r="LQ16" s="56">
        <f>'REG y VAL POE - AESR - ESR'!U900</f>
        <v>0</v>
      </c>
      <c r="LR16" s="57">
        <f>'REG y VAL POE - AESR - ESR'!V900</f>
        <v>0</v>
      </c>
      <c r="LS16" s="57">
        <f>'REG y VAL POE - AESR - ESR'!W900</f>
        <v>0</v>
      </c>
      <c r="LT16" s="57">
        <f>'REG y VAL POE - AESR - ESR'!X900</f>
        <v>0</v>
      </c>
      <c r="LU16" s="56">
        <f>'REG y VAL POE - AESR - ESR'!Y900</f>
        <v>0</v>
      </c>
      <c r="LV16" s="57">
        <f>'REG y VAL POE - AESR - ESR'!Z900</f>
        <v>0</v>
      </c>
      <c r="LW16" s="57">
        <f>'REG y VAL POE - AESR - ESR'!AA900</f>
        <v>0</v>
      </c>
      <c r="LX16" s="56">
        <f>'REG y VAL POE - AESR - ESR'!AB900</f>
        <v>0</v>
      </c>
      <c r="LY16" s="57">
        <f>'REG y VAL POE - AESR - ESR'!AC900</f>
        <v>0</v>
      </c>
      <c r="LZ16" s="58">
        <f>'REG y VAL POE - AESR - ESR'!AD900</f>
        <v>0</v>
      </c>
      <c r="MA16" s="56">
        <f>'REG y VAL POE - AESR - ESR'!AE900</f>
        <v>0</v>
      </c>
      <c r="MB16" s="57">
        <f>'REG y VAL POE - AESR - ESR'!AF900</f>
        <v>0</v>
      </c>
      <c r="MC16" s="57">
        <f>'REG y VAL POE - AESR - ESR'!AG900</f>
        <v>0</v>
      </c>
      <c r="MD16" s="57">
        <f>'REG y VAL POE - AESR - ESR'!AH900</f>
        <v>0</v>
      </c>
      <c r="ME16" s="56">
        <f>'REG y VAL POE - AESR - ESR'!AI900</f>
        <v>0</v>
      </c>
      <c r="MF16" s="57">
        <f>'REG y VAL POE - AESR - ESR'!AJ900</f>
        <v>0</v>
      </c>
      <c r="MG16" s="57">
        <f>'REG y VAL POE - AESR - ESR'!AK900</f>
        <v>0</v>
      </c>
      <c r="MH16" s="56">
        <f>'REG y VAL POE - AESR - ESR'!AL900</f>
        <v>0</v>
      </c>
      <c r="MI16" s="57">
        <f>'REG y VAL POE - AESR - ESR'!AM900</f>
        <v>0</v>
      </c>
      <c r="MJ16" s="58">
        <f>'REG y VAL POE - AESR - ESR'!AN900</f>
        <v>0</v>
      </c>
      <c r="MK16" s="56">
        <f>'REG y VAL POE - AESR - ESR'!AO900</f>
        <v>0</v>
      </c>
      <c r="ML16" s="57">
        <f>'REG y VAL POE - AESR - ESR'!AP900</f>
        <v>0</v>
      </c>
      <c r="MM16" s="57">
        <f>'REG y VAL POE - AESR - ESR'!AQ900</f>
        <v>0</v>
      </c>
      <c r="MN16" s="57">
        <f>'REG y VAL POE - AESR - ESR'!AR900</f>
        <v>0</v>
      </c>
      <c r="MO16" s="56">
        <f>'REG y VAL POE - AESR - ESR'!AS900</f>
        <v>0</v>
      </c>
      <c r="MP16" s="387">
        <f>'REG y VAL POE - AESR - ESR'!B901</f>
        <v>0</v>
      </c>
      <c r="MQ16" s="57">
        <f>'REG y VAL POE - AESR - ESR'!C901</f>
        <v>0</v>
      </c>
      <c r="MR16" s="56">
        <f>'REG y VAL POE - AESR - ESR'!D901</f>
        <v>0</v>
      </c>
      <c r="MS16" s="57">
        <f>'REG y VAL POE - AESR - ESR'!E901</f>
        <v>0</v>
      </c>
      <c r="MT16" s="58">
        <f>'REG y VAL POE - AESR - ESR'!F901</f>
        <v>0</v>
      </c>
      <c r="MU16" s="56">
        <f>'REG y VAL POE - AESR - ESR'!G901</f>
        <v>0</v>
      </c>
      <c r="MV16" s="57">
        <f>'REG y VAL POE - AESR - ESR'!H901</f>
        <v>0</v>
      </c>
      <c r="MW16" s="57">
        <f>'REG y VAL POE - AESR - ESR'!I901</f>
        <v>0</v>
      </c>
      <c r="MX16" s="57">
        <f>'REG y VAL POE - AESR - ESR'!J901</f>
        <v>0</v>
      </c>
      <c r="MY16" s="56">
        <f>'REG y VAL POE - AESR - ESR'!K901</f>
        <v>0</v>
      </c>
      <c r="MZ16" s="57">
        <f>'REG y VAL POE - AESR - ESR'!L901</f>
        <v>0</v>
      </c>
      <c r="NA16" s="57">
        <f>'REG y VAL POE - AESR - ESR'!M901</f>
        <v>0</v>
      </c>
      <c r="NB16" s="56">
        <f>'REG y VAL POE - AESR - ESR'!N901</f>
        <v>0</v>
      </c>
      <c r="NC16" s="57">
        <f>'REG y VAL POE - AESR - ESR'!O901</f>
        <v>0</v>
      </c>
      <c r="ND16" s="58">
        <f>'REG y VAL POE - AESR - ESR'!P901</f>
        <v>0</v>
      </c>
      <c r="NE16" s="56">
        <f>'REG y VAL POE - AESR - ESR'!Q901</f>
        <v>0</v>
      </c>
      <c r="NF16" s="57">
        <f>'REG y VAL POE - AESR - ESR'!R901</f>
        <v>0</v>
      </c>
      <c r="NG16" s="57">
        <f>'REG y VAL POE - AESR - ESR'!S901</f>
        <v>0</v>
      </c>
      <c r="NH16" s="57">
        <f>'REG y VAL POE - AESR - ESR'!T901</f>
        <v>0</v>
      </c>
      <c r="NI16" s="56">
        <f>'REG y VAL POE - AESR - ESR'!U901</f>
        <v>0</v>
      </c>
      <c r="NJ16" s="57">
        <f>'REG y VAL POE - AESR - ESR'!V901</f>
        <v>0</v>
      </c>
      <c r="NK16" s="57">
        <f>'REG y VAL POE - AESR - ESR'!W901</f>
        <v>0</v>
      </c>
      <c r="NL16" s="56">
        <f>'REG y VAL POE - AESR - ESR'!X901</f>
        <v>0</v>
      </c>
      <c r="NM16" s="57">
        <f>'REG y VAL POE - AESR - ESR'!Y901</f>
        <v>0</v>
      </c>
      <c r="NN16" s="58">
        <f>'REG y VAL POE - AESR - ESR'!Z901</f>
        <v>0</v>
      </c>
      <c r="NO16" s="56">
        <f>'REG y VAL POE - AESR - ESR'!AA901</f>
        <v>0</v>
      </c>
      <c r="NP16" s="57">
        <f>'REG y VAL POE - AESR - ESR'!AB901</f>
        <v>0</v>
      </c>
      <c r="NQ16" s="57">
        <f>'REG y VAL POE - AESR - ESR'!AC901</f>
        <v>0</v>
      </c>
      <c r="NR16" s="57">
        <f>'REG y VAL POE - AESR - ESR'!AD901</f>
        <v>0</v>
      </c>
      <c r="NS16" s="56">
        <f>'REG y VAL POE - AESR - ESR'!AE901</f>
        <v>0</v>
      </c>
      <c r="NT16" s="57">
        <f>'REG y VAL POE - AESR - ESR'!AF901</f>
        <v>0</v>
      </c>
      <c r="NU16" s="57">
        <f>'REG y VAL POE - AESR - ESR'!AG901</f>
        <v>0</v>
      </c>
      <c r="NV16" s="56">
        <f>'REG y VAL POE - AESR - ESR'!AH901</f>
        <v>0</v>
      </c>
      <c r="NW16" s="57">
        <f>'REG y VAL POE - AESR - ESR'!AI901</f>
        <v>0</v>
      </c>
      <c r="NX16" s="58">
        <f>'REG y VAL POE - AESR - ESR'!AJ901</f>
        <v>0</v>
      </c>
      <c r="NY16" s="56">
        <f>'REG y VAL POE - AESR - ESR'!AK901</f>
        <v>0</v>
      </c>
      <c r="NZ16" s="57">
        <f>'REG y VAL POE - AESR - ESR'!AL901</f>
        <v>0</v>
      </c>
      <c r="OA16" s="57">
        <f>'REG y VAL POE - AESR - ESR'!AM901</f>
        <v>0</v>
      </c>
      <c r="OB16" s="57">
        <f>'REG y VAL POE - AESR - ESR'!AN901</f>
        <v>0</v>
      </c>
      <c r="OC16" s="56">
        <f>'REG y VAL POE - AESR - ESR'!AO901</f>
        <v>0</v>
      </c>
      <c r="OD16" s="57">
        <f>'REG y VAL POE - AESR - ESR'!AP901</f>
        <v>0</v>
      </c>
      <c r="OE16" s="57">
        <f>'REG y VAL POE - AESR - ESR'!AQ901</f>
        <v>0</v>
      </c>
      <c r="OF16" s="58">
        <f>'REG y VAL POE - AESR - ESR'!AR901</f>
        <v>0</v>
      </c>
      <c r="OG16" s="58">
        <f>'REG y VAL POE - AESR - ESR'!AS901</f>
        <v>0</v>
      </c>
      <c r="OH16" s="55">
        <f>'REG y VAL POE - AESR - ESR'!B902</f>
        <v>0</v>
      </c>
      <c r="OI16" s="56">
        <f>'REG y VAL POE - AESR - ESR'!C902</f>
        <v>0</v>
      </c>
      <c r="OJ16" s="58">
        <f>'REG y VAL POE - AESR - ESR'!D902</f>
        <v>0</v>
      </c>
      <c r="OK16" s="58">
        <f>'REG y VAL POE - AESR - ESR'!E902</f>
        <v>0</v>
      </c>
      <c r="OL16" s="58">
        <f>'REG y VAL POE - AESR - ESR'!F902</f>
        <v>0</v>
      </c>
      <c r="OM16" s="58">
        <f>'REG y VAL POE - AESR - ESR'!G902</f>
        <v>0</v>
      </c>
      <c r="ON16" s="58">
        <f>'REG y VAL POE - AESR - ESR'!H902</f>
        <v>0</v>
      </c>
      <c r="OO16" s="58">
        <f>'REG y VAL POE - AESR - ESR'!I902</f>
        <v>0</v>
      </c>
      <c r="OP16" s="56">
        <f>'REG y VAL POE - AESR - ESR'!J902</f>
        <v>0</v>
      </c>
      <c r="OQ16" s="57">
        <f>'REG y VAL POE - AESR - ESR'!K902</f>
        <v>0</v>
      </c>
      <c r="OR16" s="58">
        <f>'REG y VAL POE - AESR - ESR'!L902</f>
        <v>0</v>
      </c>
      <c r="OS16" s="56">
        <f>'REG y VAL POE - AESR - ESR'!M902</f>
        <v>0</v>
      </c>
      <c r="OT16" s="57">
        <f>'REG y VAL POE - AESR - ESR'!N902</f>
        <v>0</v>
      </c>
      <c r="OU16" s="57">
        <f>'REG y VAL POE - AESR - ESR'!O902</f>
        <v>0</v>
      </c>
      <c r="OV16" s="57">
        <f>'REG y VAL POE - AESR - ESR'!P902</f>
        <v>0</v>
      </c>
      <c r="OW16" s="56">
        <f>'REG y VAL POE - AESR - ESR'!Q902</f>
        <v>0</v>
      </c>
      <c r="OX16" s="57">
        <f>'REG y VAL POE - AESR - ESR'!R902</f>
        <v>0</v>
      </c>
      <c r="OY16" s="57">
        <f>'REG y VAL POE - AESR - ESR'!S902</f>
        <v>0</v>
      </c>
      <c r="OZ16" s="56">
        <f>'REG y VAL POE - AESR - ESR'!T902</f>
        <v>0</v>
      </c>
      <c r="PA16" s="57">
        <f>'REG y VAL POE - AESR - ESR'!U902</f>
        <v>0</v>
      </c>
      <c r="PB16" s="58">
        <f>'REG y VAL POE - AESR - ESR'!V902</f>
        <v>0</v>
      </c>
      <c r="PC16" s="56">
        <f>'REG y VAL POE - AESR - ESR'!W902</f>
        <v>0</v>
      </c>
      <c r="PD16" s="57">
        <f>'REG y VAL POE - AESR - ESR'!X902</f>
        <v>0</v>
      </c>
      <c r="PE16" s="57">
        <f>'REG y VAL POE - AESR - ESR'!Y902</f>
        <v>0</v>
      </c>
      <c r="PF16" s="57">
        <f>'REG y VAL POE - AESR - ESR'!Z902</f>
        <v>0</v>
      </c>
      <c r="PG16" s="56">
        <f>'REG y VAL POE - AESR - ESR'!AA902</f>
        <v>0</v>
      </c>
      <c r="PH16" s="57">
        <f>'REG y VAL POE - AESR - ESR'!AB902</f>
        <v>0</v>
      </c>
      <c r="PI16" s="57">
        <f>'REG y VAL POE - AESR - ESR'!AC902</f>
        <v>0</v>
      </c>
      <c r="PJ16" s="56">
        <f>'REG y VAL POE - AESR - ESR'!AD902</f>
        <v>0</v>
      </c>
      <c r="PK16" s="57">
        <f>'REG y VAL POE - AESR - ESR'!AE902</f>
        <v>0</v>
      </c>
      <c r="PL16" s="58">
        <f>'REG y VAL POE - AESR - ESR'!AF902</f>
        <v>0</v>
      </c>
      <c r="PM16" s="56">
        <f>'REG y VAL POE - AESR - ESR'!AG902</f>
        <v>0</v>
      </c>
      <c r="PN16" s="57">
        <f>'REG y VAL POE - AESR - ESR'!AH902</f>
        <v>0</v>
      </c>
      <c r="PO16" s="57">
        <f>'REG y VAL POE - AESR - ESR'!AI902</f>
        <v>0</v>
      </c>
      <c r="PP16" s="57">
        <f>'REG y VAL POE - AESR - ESR'!AJ902</f>
        <v>0</v>
      </c>
      <c r="PQ16" s="56">
        <f>'REG y VAL POE - AESR - ESR'!AK902</f>
        <v>0</v>
      </c>
      <c r="PR16" s="57">
        <f>'REG y VAL POE - AESR - ESR'!AL902</f>
        <v>0</v>
      </c>
      <c r="PS16" s="57">
        <f>'REG y VAL POE - AESR - ESR'!AM902</f>
        <v>0</v>
      </c>
      <c r="PT16" s="56">
        <f>'REG y VAL POE - AESR - ESR'!AN902</f>
        <v>0</v>
      </c>
      <c r="PU16" s="57">
        <f>'REG y VAL POE - AESR - ESR'!AO902</f>
        <v>0</v>
      </c>
      <c r="PV16" s="58">
        <f>'REG y VAL POE - AESR - ESR'!AP902</f>
        <v>0</v>
      </c>
      <c r="PW16" s="56">
        <f>'REG y VAL POE - AESR - ESR'!AQ902</f>
        <v>0</v>
      </c>
      <c r="PX16" s="57">
        <f>'REG y VAL POE - AESR - ESR'!AR902</f>
        <v>0</v>
      </c>
      <c r="PY16" s="57">
        <f>'REG y VAL POE - AESR - ESR'!AS902</f>
        <v>0</v>
      </c>
      <c r="PZ16" s="57"/>
      <c r="QA16" s="56"/>
      <c r="QB16" s="57"/>
      <c r="QC16" s="57"/>
      <c r="QD16" s="56"/>
      <c r="QE16" s="57"/>
      <c r="QF16" s="58"/>
      <c r="QG16" s="56"/>
      <c r="QH16" s="57"/>
      <c r="QI16" s="57"/>
      <c r="QJ16" s="57"/>
      <c r="QK16" s="56"/>
      <c r="QL16" s="57"/>
      <c r="QM16" s="57"/>
      <c r="QN16" s="56"/>
      <c r="QO16" s="57"/>
      <c r="QP16" s="58"/>
      <c r="QQ16" s="56"/>
      <c r="QR16" s="57"/>
      <c r="QS16" s="57"/>
      <c r="QT16" s="57"/>
      <c r="QU16" s="56"/>
      <c r="QV16" s="57"/>
      <c r="QW16" s="57"/>
      <c r="QX16" s="56"/>
      <c r="QY16" s="57"/>
      <c r="QZ16" s="58"/>
      <c r="RA16" s="56"/>
      <c r="RB16" s="57"/>
      <c r="RC16" s="57"/>
      <c r="RD16" s="57"/>
      <c r="RE16" s="56"/>
      <c r="RF16" s="57"/>
      <c r="RG16" s="57"/>
      <c r="RH16" s="56"/>
      <c r="RI16" s="57"/>
      <c r="RJ16" s="58"/>
      <c r="RK16" s="56"/>
      <c r="RL16" s="57"/>
      <c r="RM16" s="57"/>
      <c r="RN16" s="57"/>
      <c r="RO16" s="56"/>
      <c r="RP16" s="57"/>
      <c r="RQ16" s="57"/>
      <c r="RR16" s="56"/>
      <c r="RS16" s="57"/>
      <c r="RT16" s="58"/>
      <c r="RU16" s="56"/>
      <c r="RV16" s="57"/>
      <c r="RW16" s="57"/>
      <c r="RX16" s="57"/>
      <c r="RY16" s="56"/>
      <c r="RZ16" s="57"/>
      <c r="SA16" s="57"/>
      <c r="SB16" s="56"/>
      <c r="SC16" s="57"/>
      <c r="SD16" s="58"/>
      <c r="SE16" s="56"/>
      <c r="SF16" s="57"/>
      <c r="SG16" s="57"/>
      <c r="SH16" s="57"/>
      <c r="SI16" s="56"/>
      <c r="SJ16" s="57"/>
      <c r="SK16" s="57"/>
      <c r="SL16" s="56"/>
      <c r="SM16" s="57"/>
      <c r="SN16" s="58"/>
      <c r="SO16" s="56"/>
      <c r="SP16" s="57"/>
      <c r="SQ16" s="57"/>
      <c r="SR16" s="57"/>
      <c r="SS16" s="56"/>
      <c r="ST16" s="57"/>
      <c r="SU16" s="57"/>
      <c r="SV16" s="56"/>
      <c r="SW16" s="57"/>
      <c r="SX16" s="58"/>
      <c r="SY16" s="56"/>
      <c r="SZ16" s="57"/>
      <c r="TA16" s="57"/>
      <c r="TB16" s="57"/>
      <c r="TC16" s="56"/>
      <c r="TD16" s="57"/>
      <c r="TE16" s="57"/>
      <c r="TF16" s="56"/>
      <c r="TG16" s="57"/>
      <c r="TH16" s="58"/>
      <c r="TI16" s="56"/>
      <c r="TJ16" s="57"/>
      <c r="TK16" s="57"/>
      <c r="TL16" s="57"/>
      <c r="TM16" s="56"/>
      <c r="TN16" s="57"/>
      <c r="TO16" s="57"/>
      <c r="TP16" s="56"/>
      <c r="TQ16" s="57"/>
      <c r="TR16" s="58"/>
      <c r="TS16" s="56"/>
      <c r="TT16" s="57"/>
      <c r="TU16" s="57"/>
      <c r="TV16" s="57"/>
      <c r="TW16" s="56"/>
      <c r="TX16" s="57"/>
      <c r="TY16" s="57"/>
      <c r="TZ16" s="56"/>
      <c r="UA16" s="57"/>
      <c r="UB16" s="58"/>
      <c r="UC16" s="56"/>
      <c r="UD16" s="57"/>
      <c r="UE16" s="57"/>
      <c r="UF16" s="57"/>
      <c r="UG16" s="56"/>
      <c r="UH16" s="57"/>
      <c r="UI16" s="57"/>
      <c r="UJ16" s="56"/>
      <c r="UK16" s="57"/>
      <c r="UL16" s="58"/>
      <c r="UM16" s="56"/>
      <c r="UN16" s="57"/>
      <c r="UO16" s="57"/>
      <c r="UP16" s="57"/>
      <c r="UQ16" s="56"/>
      <c r="UR16" s="57"/>
      <c r="US16" s="57"/>
      <c r="UT16" s="56"/>
      <c r="UU16" s="57"/>
      <c r="UV16" s="58"/>
      <c r="UW16" s="56"/>
      <c r="UX16" s="57"/>
      <c r="UY16" s="57"/>
      <c r="UZ16" s="57"/>
      <c r="VA16" s="56"/>
      <c r="VB16" s="57"/>
      <c r="VC16" s="57"/>
      <c r="VD16" s="56"/>
      <c r="VE16" s="57"/>
      <c r="VF16" s="58"/>
      <c r="VG16" s="56"/>
      <c r="VH16" s="57"/>
      <c r="VI16" s="57"/>
      <c r="VJ16" s="57"/>
      <c r="VK16" s="56"/>
      <c r="VL16" s="57"/>
      <c r="VM16" s="57"/>
      <c r="VN16" s="56"/>
      <c r="VO16" s="57"/>
      <c r="VP16" s="58"/>
      <c r="VQ16" s="56"/>
      <c r="VR16" s="57"/>
      <c r="VS16" s="57"/>
      <c r="VT16" s="57"/>
      <c r="VU16" s="56"/>
      <c r="VV16" s="57"/>
      <c r="VW16" s="57"/>
      <c r="VX16" s="56"/>
      <c r="VY16" s="57"/>
      <c r="VZ16" s="58"/>
      <c r="WA16" s="56"/>
      <c r="WB16" s="57"/>
      <c r="WC16" s="57"/>
      <c r="WD16" s="57"/>
      <c r="WE16" s="56"/>
      <c r="WF16" s="57"/>
      <c r="WG16" s="57"/>
      <c r="WH16" s="56"/>
      <c r="WI16" s="57"/>
      <c r="WJ16" s="58"/>
      <c r="WK16" s="56"/>
      <c r="WL16" s="57"/>
      <c r="WM16" s="57"/>
      <c r="WN16" s="57"/>
      <c r="WO16" s="56"/>
      <c r="WP16" s="57"/>
      <c r="WQ16" s="57"/>
      <c r="WR16" s="56"/>
      <c r="WS16" s="57"/>
      <c r="WT16" s="58"/>
      <c r="WU16" s="56"/>
      <c r="WV16" s="57"/>
      <c r="WW16" s="57"/>
      <c r="WX16" s="57"/>
      <c r="WY16" s="56"/>
      <c r="WZ16" s="57"/>
      <c r="XA16" s="57"/>
      <c r="XB16" s="56"/>
      <c r="XC16" s="57"/>
      <c r="XD16" s="58"/>
      <c r="XE16" s="56"/>
      <c r="XF16" s="57"/>
      <c r="XG16" s="57"/>
      <c r="XH16" s="57"/>
      <c r="XI16" s="56"/>
      <c r="XJ16" s="57"/>
      <c r="XK16" s="57"/>
      <c r="XL16" s="56"/>
      <c r="XM16" s="57"/>
      <c r="XN16" s="58"/>
      <c r="XO16" s="56"/>
      <c r="XP16" s="57"/>
      <c r="XQ16" s="57"/>
      <c r="XR16" s="57"/>
      <c r="XS16" s="56"/>
      <c r="XT16" s="57"/>
      <c r="XU16" s="57"/>
      <c r="XV16" s="56"/>
      <c r="XW16" s="57"/>
      <c r="XX16" s="58"/>
      <c r="XY16" s="56"/>
      <c r="XZ16" s="57"/>
      <c r="YA16" s="57"/>
      <c r="YB16" s="57"/>
      <c r="YC16" s="56"/>
      <c r="YD16" s="57"/>
      <c r="YE16" s="57"/>
      <c r="YF16" s="56"/>
      <c r="YG16" s="57"/>
      <c r="YH16" s="58"/>
      <c r="YI16" s="56"/>
      <c r="YJ16" s="57"/>
      <c r="YK16" s="57"/>
      <c r="YL16" s="57"/>
      <c r="YM16" s="56"/>
      <c r="YN16" s="57"/>
      <c r="YO16" s="57"/>
      <c r="YP16" s="56"/>
      <c r="YQ16" s="57"/>
      <c r="YR16" s="58"/>
      <c r="YS16" s="56"/>
      <c r="YT16" s="57"/>
      <c r="YU16" s="57"/>
      <c r="YV16" s="57"/>
      <c r="YW16" s="56"/>
      <c r="YX16" s="57"/>
      <c r="YY16" s="57"/>
      <c r="YZ16" s="56"/>
      <c r="ZA16" s="57"/>
      <c r="ZB16" s="58"/>
      <c r="ZC16" s="56"/>
      <c r="ZD16" s="57"/>
      <c r="ZE16" s="57"/>
      <c r="ZF16" s="57"/>
      <c r="ZG16" s="56"/>
      <c r="ZH16" s="57"/>
      <c r="ZI16" s="57"/>
      <c r="ZJ16" s="56"/>
      <c r="ZK16" s="57"/>
      <c r="ZL16" s="58"/>
      <c r="ZM16" s="56"/>
      <c r="ZN16" s="57"/>
      <c r="ZO16" s="57"/>
      <c r="ZP16" s="57"/>
      <c r="ZQ16" s="56"/>
      <c r="ZR16" s="57"/>
      <c r="ZS16" s="57"/>
      <c r="ZT16" s="56"/>
      <c r="ZU16" s="57"/>
      <c r="ZV16" s="58"/>
      <c r="ZW16" s="56"/>
      <c r="ZX16" s="57"/>
      <c r="ZY16" s="57"/>
      <c r="ZZ16" s="57"/>
      <c r="AAA16" s="56"/>
      <c r="AAB16" s="57"/>
      <c r="AAC16" s="57"/>
      <c r="AAD16" s="56"/>
      <c r="AAE16" s="57"/>
      <c r="AAF16" s="58"/>
      <c r="AAG16" s="56"/>
      <c r="AAH16" s="57"/>
      <c r="AAI16" s="57"/>
      <c r="AAJ16" s="57"/>
      <c r="AAK16" s="56"/>
      <c r="AAL16" s="57"/>
      <c r="AAM16" s="57"/>
      <c r="AAN16" s="56"/>
      <c r="AAO16" s="57"/>
      <c r="AAP16" s="58"/>
      <c r="AAQ16" s="56"/>
      <c r="AAR16" s="57"/>
      <c r="AAS16" s="57"/>
      <c r="AAT16" s="57"/>
      <c r="AAU16" s="56"/>
      <c r="AAV16" s="57"/>
      <c r="AAW16" s="57"/>
      <c r="AAX16" s="58"/>
      <c r="AAY16" s="58"/>
      <c r="AAZ16" s="58"/>
      <c r="ABA16" s="56"/>
      <c r="ABB16" s="58"/>
      <c r="ABC16" s="58"/>
      <c r="ABD16" s="58"/>
      <c r="ABE16" s="58"/>
      <c r="ABF16" s="58"/>
      <c r="ABG16" s="57"/>
      <c r="ABH16" s="56"/>
      <c r="ABI16" s="57"/>
      <c r="ABJ16" s="58"/>
      <c r="ABK16" s="56"/>
      <c r="ABL16" s="57"/>
      <c r="ABM16" s="57"/>
      <c r="ABN16" s="57"/>
      <c r="ABO16" s="56"/>
      <c r="ABP16" s="57"/>
      <c r="ABQ16" s="57"/>
      <c r="ABR16" s="56"/>
      <c r="ABS16" s="57"/>
      <c r="ABT16" s="58"/>
      <c r="ABU16" s="56"/>
      <c r="ABV16" s="57"/>
      <c r="ABW16" s="57"/>
      <c r="ABX16" s="57"/>
      <c r="ABY16" s="56"/>
      <c r="ABZ16" s="57"/>
      <c r="ACA16" s="57"/>
      <c r="ACB16" s="56"/>
      <c r="ACC16" s="57"/>
      <c r="ACD16" s="58"/>
      <c r="ACE16" s="56"/>
      <c r="ACF16" s="57"/>
      <c r="ACG16" s="57"/>
      <c r="ACH16" s="57"/>
      <c r="ACI16" s="56"/>
      <c r="ACJ16" s="57"/>
      <c r="ACK16" s="57"/>
      <c r="ACL16" s="56"/>
      <c r="ACM16" s="57"/>
      <c r="ACN16" s="58"/>
      <c r="ACO16" s="56"/>
      <c r="ACP16" s="57"/>
      <c r="ACQ16" s="57"/>
      <c r="ACR16" s="57"/>
      <c r="ACS16" s="56"/>
      <c r="ACT16" s="57"/>
      <c r="ACU16" s="57"/>
      <c r="ACV16" s="56"/>
      <c r="ACW16" s="57"/>
      <c r="ACX16" s="58"/>
      <c r="ACY16" s="56"/>
      <c r="ACZ16" s="57"/>
      <c r="ADA16" s="57"/>
      <c r="ADB16" s="57"/>
      <c r="ADC16" s="56"/>
      <c r="ADD16" s="57"/>
      <c r="ADE16" s="57"/>
      <c r="ADF16" s="56"/>
      <c r="ADG16" s="57"/>
      <c r="ADH16" s="58"/>
      <c r="ADI16" s="56"/>
      <c r="ADJ16" s="57"/>
      <c r="ADK16" s="57"/>
      <c r="ADL16" s="57"/>
      <c r="ADM16" s="56"/>
      <c r="ADN16" s="57"/>
      <c r="ADO16" s="57"/>
      <c r="ADP16" s="56"/>
      <c r="ADQ16" s="57"/>
      <c r="ADR16" s="58"/>
      <c r="ADS16" s="56"/>
      <c r="ADT16" s="57"/>
      <c r="ADU16" s="57"/>
      <c r="ADV16" s="57"/>
      <c r="ADW16" s="56"/>
      <c r="ADX16" s="57"/>
      <c r="ADY16" s="57"/>
      <c r="ADZ16" s="56"/>
      <c r="AEA16" s="57"/>
      <c r="AEB16" s="58"/>
      <c r="AEC16" s="56"/>
      <c r="AED16" s="57"/>
      <c r="AEE16" s="57"/>
      <c r="AEF16" s="57"/>
      <c r="AEG16" s="56"/>
      <c r="AEH16" s="57"/>
      <c r="AEI16" s="57"/>
      <c r="AEJ16" s="56"/>
      <c r="AEK16" s="57"/>
      <c r="AEL16" s="58"/>
      <c r="AEM16" s="56"/>
      <c r="AEN16" s="57"/>
      <c r="AEO16" s="57"/>
      <c r="AEP16" s="57"/>
      <c r="AEQ16" s="56"/>
      <c r="AER16" s="57"/>
      <c r="AES16" s="57"/>
      <c r="AET16" s="56"/>
      <c r="AEU16" s="57"/>
      <c r="AEV16" s="58"/>
      <c r="AEW16" s="56"/>
      <c r="AEX16" s="57"/>
      <c r="AEY16" s="57"/>
      <c r="AEZ16" s="57"/>
      <c r="AFA16" s="56"/>
      <c r="AFB16" s="57"/>
      <c r="AFC16" s="57"/>
      <c r="AFD16" s="56"/>
      <c r="AFE16" s="57"/>
      <c r="AFF16" s="58"/>
      <c r="AFG16" s="56"/>
      <c r="AFH16" s="57"/>
      <c r="AFI16" s="57"/>
      <c r="AFJ16" s="57"/>
      <c r="AFK16" s="56"/>
      <c r="AFL16" s="57"/>
      <c r="AFM16" s="57"/>
      <c r="AFN16" s="56"/>
      <c r="AFO16" s="57"/>
      <c r="AFP16" s="58"/>
      <c r="AFQ16" s="56"/>
      <c r="AFR16" s="57"/>
      <c r="AFS16" s="57"/>
      <c r="AFT16" s="57"/>
      <c r="AFU16" s="56"/>
      <c r="AFV16" s="57"/>
      <c r="AFW16" s="57"/>
      <c r="AFX16" s="56"/>
      <c r="AFY16" s="57"/>
      <c r="AFZ16" s="58"/>
      <c r="AGA16" s="56"/>
      <c r="AGB16" s="57"/>
      <c r="AGC16" s="57"/>
      <c r="AGD16" s="57"/>
      <c r="AGE16" s="56"/>
      <c r="AGF16" s="57"/>
      <c r="AGG16" s="57"/>
      <c r="AGH16" s="56"/>
      <c r="AGI16" s="57"/>
      <c r="AGJ16" s="58"/>
      <c r="AGK16" s="56"/>
      <c r="AGL16" s="57"/>
      <c r="AGM16" s="57"/>
      <c r="AGN16" s="57"/>
      <c r="AGO16" s="56"/>
      <c r="AGP16" s="57"/>
      <c r="AGQ16" s="57"/>
      <c r="AGR16" s="56"/>
      <c r="AGS16" s="57"/>
      <c r="AGT16" s="58"/>
      <c r="AGU16" s="56"/>
      <c r="AGV16" s="57"/>
      <c r="AGW16" s="57"/>
      <c r="AGX16" s="57"/>
      <c r="AGY16" s="56"/>
      <c r="AGZ16" s="57"/>
      <c r="AHA16" s="57"/>
      <c r="AHB16" s="56"/>
      <c r="AHC16" s="57"/>
      <c r="AHD16" s="58"/>
      <c r="AHE16" s="56"/>
      <c r="AHF16" s="57"/>
      <c r="AHG16" s="57"/>
      <c r="AHH16" s="57"/>
      <c r="AHI16" s="56"/>
      <c r="AHJ16" s="57"/>
      <c r="AHK16" s="57"/>
      <c r="AHL16" s="56"/>
      <c r="AHM16" s="57"/>
      <c r="AHN16" s="58"/>
      <c r="AHO16" s="56"/>
      <c r="AHP16" s="57"/>
      <c r="AHQ16" s="57"/>
      <c r="AHR16" s="57"/>
      <c r="AHS16" s="56"/>
      <c r="AHT16" s="57"/>
      <c r="AHU16" s="57"/>
      <c r="AHV16" s="56"/>
      <c r="AHW16" s="57"/>
      <c r="AHX16" s="58"/>
      <c r="AHY16" s="56"/>
      <c r="AHZ16" s="57"/>
      <c r="AIA16" s="57"/>
      <c r="AIB16" s="57"/>
      <c r="AIC16" s="56"/>
      <c r="AID16" s="57"/>
      <c r="AIE16" s="57"/>
      <c r="AIF16" s="56"/>
      <c r="AIG16" s="57"/>
      <c r="AIH16" s="58"/>
      <c r="AII16" s="56"/>
      <c r="AIJ16" s="57"/>
      <c r="AIK16" s="57"/>
      <c r="AIL16" s="57"/>
      <c r="AIM16" s="56"/>
      <c r="AIN16" s="57"/>
      <c r="AIO16" s="57"/>
      <c r="AIP16" s="56"/>
      <c r="AIQ16" s="57"/>
      <c r="AIR16" s="58"/>
      <c r="AIS16" s="56"/>
      <c r="AIT16" s="57"/>
      <c r="AIU16" s="57"/>
      <c r="AIV16" s="57"/>
      <c r="AIW16" s="56"/>
      <c r="AIX16" s="57"/>
      <c r="AIY16" s="57"/>
      <c r="AIZ16" s="56"/>
      <c r="AJA16" s="57"/>
      <c r="AJB16" s="58"/>
      <c r="AJC16" s="56"/>
      <c r="AJD16" s="57"/>
      <c r="AJE16" s="57"/>
      <c r="AJF16" s="57"/>
      <c r="AJG16" s="56"/>
      <c r="AJH16" s="57"/>
      <c r="AJI16" s="57"/>
      <c r="AJJ16" s="56"/>
      <c r="AJK16" s="57"/>
      <c r="AJL16" s="58"/>
      <c r="AJM16" s="56"/>
      <c r="AJN16" s="57"/>
      <c r="AJO16" s="57"/>
      <c r="AJP16" s="57"/>
      <c r="AJQ16" s="56"/>
      <c r="AJR16" s="57"/>
      <c r="AJS16" s="57"/>
      <c r="AJT16" s="56"/>
      <c r="AJU16" s="57"/>
      <c r="AJV16" s="58"/>
      <c r="AJW16" s="56"/>
      <c r="AJX16" s="57"/>
      <c r="AJY16" s="57"/>
      <c r="AJZ16" s="57"/>
      <c r="AKA16" s="56"/>
      <c r="AKB16" s="57"/>
      <c r="AKC16" s="57"/>
      <c r="AKD16" s="56"/>
      <c r="AKE16" s="57"/>
      <c r="AKF16" s="58"/>
      <c r="AKG16" s="56"/>
      <c r="AKH16" s="57"/>
      <c r="AKI16" s="57"/>
      <c r="AKJ16" s="57"/>
      <c r="AKK16" s="56"/>
      <c r="AKL16" s="57"/>
      <c r="AKM16" s="57"/>
      <c r="AKN16" s="56"/>
      <c r="AKO16" s="57"/>
      <c r="AKP16" s="58"/>
      <c r="AKQ16" s="56"/>
      <c r="AKR16" s="57"/>
      <c r="AKS16" s="57"/>
      <c r="AKT16" s="57"/>
      <c r="AKU16" s="56"/>
      <c r="AKV16" s="57"/>
      <c r="AKW16" s="57"/>
      <c r="AKX16" s="56"/>
      <c r="AKY16" s="57"/>
      <c r="AKZ16" s="58"/>
      <c r="ALA16" s="56"/>
      <c r="ALB16" s="57"/>
      <c r="ALC16" s="57"/>
      <c r="ALD16" s="57"/>
      <c r="ALE16" s="56"/>
      <c r="ALF16" s="57"/>
      <c r="ALG16" s="57"/>
      <c r="ALH16" s="57"/>
      <c r="ALI16" s="57"/>
      <c r="ALJ16" s="57"/>
      <c r="ALK16" s="56"/>
      <c r="ALL16" s="57"/>
      <c r="ALM16" s="57"/>
      <c r="ALN16" s="56"/>
      <c r="ALO16" s="57"/>
      <c r="ALP16" s="58"/>
      <c r="ALQ16" s="56"/>
      <c r="ALR16" s="57"/>
      <c r="ALS16" s="57"/>
      <c r="ALT16" s="57"/>
      <c r="ALU16" s="56"/>
      <c r="ALV16" s="57"/>
      <c r="ALW16" s="57"/>
      <c r="ALX16" s="56"/>
      <c r="ALY16" s="57"/>
      <c r="ALZ16" s="58"/>
      <c r="AMA16" s="56"/>
      <c r="AMB16" s="57"/>
      <c r="AMC16" s="57"/>
      <c r="AMD16" s="57"/>
      <c r="AME16" s="56"/>
      <c r="AMF16" s="57"/>
      <c r="AMG16" s="57"/>
      <c r="AMH16" s="57"/>
      <c r="AMI16" s="57"/>
      <c r="AMJ16" s="57"/>
      <c r="AMK16" s="56"/>
      <c r="AML16" s="57"/>
      <c r="AMM16" s="57"/>
      <c r="AMN16" s="56"/>
      <c r="AMO16" s="57"/>
      <c r="AMP16" s="58"/>
      <c r="AMQ16" s="56"/>
      <c r="AMR16" s="57"/>
      <c r="AMS16" s="57"/>
      <c r="AMT16" s="57"/>
      <c r="AMU16" s="56"/>
      <c r="AMV16" s="57"/>
      <c r="AMW16" s="57"/>
      <c r="AMX16" s="56"/>
      <c r="AMY16" s="57"/>
      <c r="AMZ16" s="58"/>
      <c r="ANA16" s="56"/>
      <c r="ANB16" s="57"/>
      <c r="ANC16" s="57"/>
      <c r="AND16" s="57"/>
      <c r="ANE16" s="56"/>
      <c r="ANF16" s="57"/>
      <c r="ANG16" s="57"/>
      <c r="ANH16" s="57"/>
      <c r="ANI16" s="57"/>
      <c r="ANJ16" s="57"/>
      <c r="ANK16" s="56"/>
      <c r="ANL16" s="57"/>
      <c r="ANM16" s="57"/>
      <c r="ANN16" s="56"/>
      <c r="ANO16" s="57"/>
      <c r="ANP16" s="58"/>
      <c r="ANQ16" s="56"/>
      <c r="ANR16" s="57"/>
      <c r="ANS16" s="57"/>
      <c r="ANT16" s="57"/>
      <c r="ANU16" s="56"/>
      <c r="ANV16" s="57"/>
      <c r="ANW16" s="57"/>
      <c r="ANX16" s="56"/>
      <c r="ANY16" s="57"/>
      <c r="ANZ16" s="58"/>
      <c r="AOA16" s="56"/>
      <c r="AOB16" s="57"/>
      <c r="AOC16" s="57"/>
      <c r="AOD16" s="57"/>
      <c r="AOE16" s="56"/>
      <c r="AOF16" s="57"/>
      <c r="AOG16" s="57"/>
      <c r="AOH16" s="57"/>
      <c r="AOI16" s="57"/>
      <c r="AOJ16" s="57"/>
      <c r="AOK16" s="56"/>
      <c r="AOL16" s="57"/>
      <c r="AOM16" s="57"/>
      <c r="AON16" s="56"/>
      <c r="AOO16" s="57"/>
      <c r="AOP16" s="58"/>
      <c r="AOQ16" s="56"/>
      <c r="AOR16" s="57"/>
      <c r="AOS16" s="57"/>
      <c r="AOT16" s="57"/>
      <c r="AOU16" s="56"/>
      <c r="AOV16" s="57"/>
      <c r="AOW16" s="57"/>
      <c r="AOX16" s="56"/>
      <c r="AOY16" s="57"/>
      <c r="AOZ16" s="58"/>
      <c r="APA16" s="56"/>
      <c r="APB16" s="57"/>
      <c r="APC16" s="57"/>
      <c r="APD16" s="57"/>
      <c r="APE16" s="56"/>
      <c r="APF16" s="57"/>
      <c r="APG16" s="57"/>
      <c r="APH16" s="57"/>
      <c r="API16" s="57"/>
      <c r="APJ16" s="57"/>
      <c r="APK16" s="56"/>
      <c r="APL16" s="57"/>
      <c r="APM16" s="57"/>
      <c r="APN16" s="56"/>
      <c r="APO16" s="57"/>
      <c r="APP16" s="58"/>
      <c r="APQ16" s="56"/>
      <c r="APR16" s="57"/>
      <c r="APS16" s="57"/>
      <c r="APT16" s="57"/>
      <c r="APU16" s="56"/>
      <c r="APV16" s="57"/>
      <c r="APW16" s="57"/>
      <c r="APX16" s="56"/>
      <c r="APY16" s="57"/>
      <c r="APZ16" s="58"/>
      <c r="AQA16" s="56"/>
      <c r="AQB16" s="57"/>
      <c r="AQC16" s="57"/>
      <c r="AQD16" s="57"/>
      <c r="AQE16" s="56"/>
      <c r="AQF16" s="57"/>
      <c r="AQG16" s="57"/>
      <c r="AQH16" s="57"/>
      <c r="AQI16" s="57"/>
      <c r="AQJ16" s="57"/>
      <c r="AQK16" s="56"/>
      <c r="AQL16" s="57"/>
      <c r="AQM16" s="57"/>
      <c r="AQN16" s="56"/>
      <c r="AQO16" s="57"/>
      <c r="AQP16" s="58"/>
      <c r="AQQ16" s="56"/>
      <c r="AQR16" s="57"/>
      <c r="AQS16" s="57"/>
      <c r="AQT16" s="57"/>
      <c r="AQU16" s="56"/>
      <c r="AQV16" s="57"/>
      <c r="AQW16" s="57"/>
      <c r="AQX16" s="56"/>
      <c r="AQY16" s="57"/>
      <c r="AQZ16" s="58"/>
      <c r="ARA16" s="56"/>
      <c r="ARB16" s="57"/>
      <c r="ARC16" s="57"/>
      <c r="ARD16" s="57"/>
      <c r="ARE16" s="56"/>
      <c r="ARF16" s="57"/>
      <c r="ARG16" s="57"/>
      <c r="ARH16" s="57"/>
      <c r="ARI16" s="57"/>
      <c r="ARJ16" s="57"/>
      <c r="ARK16" s="56"/>
      <c r="ARL16" s="57"/>
      <c r="ARM16" s="57"/>
      <c r="ARN16" s="56"/>
      <c r="ARO16" s="57"/>
      <c r="ARP16" s="58"/>
      <c r="ARQ16" s="56"/>
      <c r="ARR16" s="57"/>
      <c r="ARS16" s="57"/>
      <c r="ART16" s="57"/>
      <c r="ARU16" s="56"/>
      <c r="ARV16" s="57"/>
      <c r="ARW16" s="57"/>
      <c r="ARX16" s="56"/>
      <c r="ARY16" s="57"/>
      <c r="ARZ16" s="58"/>
      <c r="ASA16" s="56"/>
      <c r="ASB16" s="57"/>
      <c r="ASC16" s="57"/>
      <c r="ASD16" s="57"/>
      <c r="ASE16" s="56"/>
      <c r="ASF16" s="57"/>
      <c r="ASG16" s="57"/>
      <c r="ASH16" s="57"/>
      <c r="ASI16" s="57"/>
      <c r="ASJ16" s="57"/>
      <c r="ASK16" s="56"/>
      <c r="ASL16" s="57"/>
      <c r="ASM16" s="57"/>
      <c r="ASN16" s="56"/>
      <c r="ASO16" s="57"/>
      <c r="ASP16" s="58"/>
      <c r="ASQ16" s="56"/>
      <c r="ASR16" s="57"/>
      <c r="ASS16" s="57"/>
      <c r="AST16" s="57"/>
      <c r="ASU16" s="56"/>
      <c r="ASV16" s="57"/>
      <c r="ASW16" s="57"/>
      <c r="ASX16" s="56"/>
      <c r="ASY16" s="57"/>
      <c r="ASZ16" s="58"/>
      <c r="ATA16" s="56"/>
      <c r="ATB16" s="57"/>
      <c r="ATC16" s="57"/>
      <c r="ATD16" s="57"/>
      <c r="ATE16" s="56"/>
      <c r="ATF16" s="57"/>
      <c r="ATG16" s="57"/>
      <c r="ATH16" s="57"/>
      <c r="ATI16" s="57"/>
      <c r="ATJ16" s="57"/>
      <c r="ATK16" s="56"/>
      <c r="ATL16" s="57"/>
      <c r="ATM16" s="57"/>
      <c r="ATN16" s="56"/>
      <c r="ATO16" s="57"/>
      <c r="ATP16" s="58"/>
      <c r="ATQ16" s="56"/>
      <c r="ATR16" s="57"/>
      <c r="ATS16" s="57"/>
      <c r="ATT16" s="57"/>
      <c r="ATU16" s="56"/>
      <c r="ATV16" s="57"/>
      <c r="ATW16" s="57"/>
      <c r="ATX16" s="56"/>
      <c r="ATY16" s="57"/>
      <c r="ATZ16" s="58"/>
      <c r="AUA16" s="56"/>
      <c r="AUB16" s="57"/>
      <c r="AUC16" s="57"/>
      <c r="AUD16" s="57"/>
      <c r="AUE16" s="56"/>
      <c r="AUF16" s="57"/>
      <c r="AUG16" s="57"/>
      <c r="AUH16" s="57"/>
      <c r="AUI16" s="57"/>
      <c r="AUJ16" s="57"/>
      <c r="AUK16" s="56"/>
      <c r="AUL16" s="57"/>
      <c r="AUM16" s="57"/>
      <c r="AUN16" s="56"/>
      <c r="AUO16" s="57"/>
      <c r="AUP16" s="58"/>
      <c r="AUQ16" s="56"/>
      <c r="AUR16" s="57"/>
      <c r="AUS16" s="57"/>
      <c r="AUT16" s="57"/>
      <c r="AUU16" s="56"/>
      <c r="AUV16" s="57"/>
      <c r="AUW16" s="57"/>
      <c r="AUX16" s="56"/>
      <c r="AUY16" s="57"/>
      <c r="AUZ16" s="58"/>
      <c r="AVA16" s="56"/>
      <c r="AVB16" s="57"/>
      <c r="AVC16" s="57"/>
      <c r="AVD16" s="57"/>
      <c r="AVE16" s="56"/>
      <c r="AVF16" s="57"/>
      <c r="AVG16" s="57"/>
      <c r="AVH16" s="57"/>
      <c r="AVI16" s="57"/>
      <c r="AVJ16" s="57"/>
      <c r="AVK16" s="56"/>
      <c r="AVL16" s="57"/>
      <c r="AVM16" s="57"/>
      <c r="AVN16" s="56"/>
      <c r="AVO16" s="57"/>
      <c r="AVP16" s="58"/>
      <c r="AVQ16" s="56"/>
      <c r="AVR16" s="57"/>
      <c r="AVS16" s="57"/>
      <c r="AVT16" s="57"/>
      <c r="AVU16" s="56"/>
      <c r="AVV16" s="57"/>
      <c r="AVW16" s="57"/>
      <c r="AVX16" s="56"/>
      <c r="AVY16" s="57"/>
      <c r="AVZ16" s="58"/>
      <c r="AWA16" s="56"/>
      <c r="AWB16" s="57"/>
      <c r="AWC16" s="57"/>
      <c r="AWD16" s="57"/>
      <c r="AWE16" s="56"/>
      <c r="AWF16" s="57"/>
      <c r="AWG16" s="57"/>
      <c r="AWH16" s="57"/>
      <c r="AWI16" s="57"/>
      <c r="AWJ16" s="57"/>
      <c r="AWK16" s="56"/>
      <c r="AWL16" s="57"/>
      <c r="AWM16" s="57"/>
      <c r="AWN16" s="56"/>
      <c r="AWO16" s="57"/>
      <c r="AWP16" s="58"/>
      <c r="AWQ16" s="56"/>
      <c r="AWR16" s="57"/>
      <c r="AWS16" s="57"/>
      <c r="AWT16" s="57"/>
      <c r="AWU16" s="56"/>
      <c r="AWV16" s="57"/>
      <c r="AWW16" s="57"/>
      <c r="AWX16" s="56"/>
      <c r="AWY16" s="57"/>
      <c r="AWZ16" s="58"/>
      <c r="AXA16" s="56"/>
      <c r="AXB16" s="57"/>
      <c r="AXC16" s="57"/>
      <c r="AXD16" s="57"/>
      <c r="AXE16" s="56"/>
      <c r="AXF16" s="57"/>
      <c r="AXG16" s="57"/>
      <c r="AXH16" s="57"/>
      <c r="AXI16" s="57"/>
      <c r="AXJ16" s="57"/>
      <c r="AXK16" s="56"/>
      <c r="AXL16" s="57"/>
      <c r="AXM16" s="57"/>
      <c r="AXN16" s="56"/>
      <c r="AXO16" s="57"/>
      <c r="AXP16" s="58"/>
      <c r="AXQ16" s="56"/>
      <c r="AXR16" s="57"/>
      <c r="AXS16" s="57"/>
      <c r="AXT16" s="57"/>
      <c r="AXU16" s="56"/>
      <c r="AXV16" s="57"/>
      <c r="AXW16" s="57"/>
      <c r="AXX16" s="56"/>
      <c r="AXY16" s="57"/>
      <c r="AXZ16" s="58"/>
      <c r="AYA16" s="56"/>
      <c r="AYB16" s="57"/>
      <c r="AYC16" s="57"/>
      <c r="AYD16" s="57"/>
      <c r="AYE16" s="56"/>
      <c r="AYF16" s="57"/>
      <c r="AYG16" s="57"/>
      <c r="AYH16" s="57"/>
      <c r="AYI16" s="57"/>
      <c r="AYJ16" s="57"/>
      <c r="AYK16" s="56"/>
      <c r="AYL16" s="57"/>
      <c r="AYM16" s="57"/>
      <c r="AYN16" s="56"/>
      <c r="AYO16" s="57"/>
      <c r="AYP16" s="58"/>
      <c r="AYQ16" s="56"/>
      <c r="AYR16" s="57"/>
      <c r="AYS16" s="57"/>
      <c r="AYT16" s="57"/>
      <c r="AYU16" s="56"/>
      <c r="AYV16" s="57"/>
      <c r="AYW16" s="57"/>
      <c r="AYX16" s="56"/>
      <c r="AYY16" s="57"/>
      <c r="AYZ16" s="58"/>
      <c r="AZA16" s="56"/>
      <c r="AZB16" s="57"/>
      <c r="AZC16" s="57"/>
      <c r="AZD16" s="57"/>
      <c r="AZE16" s="56"/>
      <c r="AZF16" s="57"/>
      <c r="AZG16" s="57"/>
      <c r="AZH16" s="57"/>
      <c r="AZI16" s="57"/>
      <c r="AZJ16" s="57"/>
      <c r="AZK16" s="56"/>
      <c r="AZL16" s="57"/>
      <c r="AZM16" s="57"/>
      <c r="AZN16" s="56"/>
      <c r="AZO16" s="57"/>
      <c r="AZP16" s="58"/>
      <c r="AZQ16" s="56"/>
      <c r="AZR16" s="57"/>
      <c r="AZS16" s="57"/>
      <c r="AZT16" s="57"/>
      <c r="AZU16" s="56"/>
      <c r="AZV16" s="57"/>
      <c r="AZW16" s="57"/>
      <c r="AZX16" s="56"/>
      <c r="AZY16" s="57"/>
      <c r="AZZ16" s="58"/>
      <c r="BAA16" s="56"/>
      <c r="BAB16" s="57"/>
      <c r="BAC16" s="57"/>
      <c r="BAD16" s="57"/>
      <c r="BAE16" s="56"/>
      <c r="BAF16" s="57"/>
      <c r="BAG16" s="57"/>
      <c r="BAH16" s="57"/>
      <c r="BAI16" s="57"/>
      <c r="BAJ16" s="57"/>
      <c r="BAK16" s="56"/>
      <c r="BAL16" s="57"/>
      <c r="BAM16" s="57"/>
      <c r="BAN16" s="56"/>
      <c r="BAO16" s="57"/>
      <c r="BAP16" s="58"/>
      <c r="BAQ16" s="56"/>
      <c r="BAR16" s="57"/>
      <c r="BAS16" s="57"/>
      <c r="BAT16" s="57"/>
      <c r="BAU16" s="56"/>
      <c r="BAV16" s="57"/>
      <c r="BAW16" s="57"/>
      <c r="BAX16" s="56"/>
      <c r="BAY16" s="57"/>
      <c r="BAZ16" s="58"/>
      <c r="BBA16" s="56"/>
      <c r="BBB16" s="57"/>
      <c r="BBC16" s="57"/>
      <c r="BBD16" s="57"/>
      <c r="BBE16" s="56"/>
      <c r="BBF16" s="57"/>
      <c r="BBG16" s="57"/>
      <c r="BBH16" s="57"/>
      <c r="BBI16" s="57"/>
      <c r="BBJ16" s="57"/>
      <c r="BBK16" s="56"/>
      <c r="BBL16" s="57"/>
      <c r="BBM16" s="57"/>
      <c r="BBN16" s="56"/>
      <c r="BBO16" s="57"/>
      <c r="BBP16" s="58"/>
      <c r="BBQ16" s="56"/>
      <c r="BBR16" s="57"/>
      <c r="BBS16" s="57"/>
      <c r="BBT16" s="57"/>
      <c r="BBU16" s="56"/>
      <c r="BBV16" s="57"/>
      <c r="BBW16" s="57"/>
      <c r="BBX16" s="56"/>
      <c r="BBY16" s="57"/>
      <c r="BBZ16" s="58"/>
      <c r="BCA16" s="56"/>
      <c r="BCB16" s="57"/>
      <c r="BCC16" s="57"/>
      <c r="BCD16" s="57"/>
      <c r="BCE16" s="56"/>
      <c r="BCF16" s="57"/>
      <c r="BCG16" s="57"/>
      <c r="BCH16" s="57"/>
      <c r="BCI16" s="57"/>
      <c r="BCJ16" s="57"/>
      <c r="BCK16" s="56"/>
      <c r="BCL16" s="57"/>
      <c r="BCM16" s="57"/>
      <c r="BCN16" s="56"/>
      <c r="BCO16" s="57"/>
      <c r="BCP16" s="58"/>
      <c r="BCQ16" s="56"/>
      <c r="BCR16" s="57"/>
      <c r="BCS16" s="57"/>
      <c r="BCT16" s="57"/>
      <c r="BCU16" s="56"/>
      <c r="BCV16" s="57"/>
      <c r="BCW16" s="57"/>
      <c r="BCX16" s="56"/>
      <c r="BCY16" s="57"/>
      <c r="BCZ16" s="58"/>
      <c r="BDA16" s="56"/>
      <c r="BDB16" s="57"/>
      <c r="BDC16" s="57"/>
      <c r="BDD16" s="57"/>
      <c r="BDE16" s="56"/>
      <c r="BDF16" s="57"/>
      <c r="BDG16" s="57"/>
      <c r="BDH16" s="57"/>
      <c r="BDI16" s="57"/>
      <c r="BDJ16" s="57"/>
      <c r="BDK16" s="56"/>
      <c r="BDL16" s="57"/>
      <c r="BDM16" s="57"/>
      <c r="BDN16" s="56"/>
      <c r="BDO16" s="57"/>
      <c r="BDP16" s="58"/>
      <c r="BDQ16" s="56"/>
      <c r="BDR16" s="57"/>
      <c r="BDS16" s="57"/>
      <c r="BDT16" s="57"/>
      <c r="BDU16" s="56"/>
      <c r="BDV16" s="57"/>
      <c r="BDW16" s="57"/>
      <c r="BDX16" s="56"/>
      <c r="BDY16" s="57"/>
      <c r="BDZ16" s="58"/>
      <c r="BEA16" s="56"/>
      <c r="BEB16" s="57"/>
      <c r="BEC16" s="57"/>
      <c r="BED16" s="57"/>
      <c r="BEE16" s="56"/>
      <c r="BEF16" s="57"/>
      <c r="BEG16" s="57"/>
      <c r="BEH16" s="57"/>
      <c r="BEI16" s="57"/>
      <c r="BEJ16" s="57"/>
      <c r="BEK16" s="56"/>
      <c r="BEL16" s="57"/>
      <c r="BEM16" s="57"/>
      <c r="BEN16" s="56"/>
      <c r="BEO16" s="57"/>
      <c r="BEP16" s="58"/>
      <c r="BEQ16" s="56"/>
      <c r="BER16" s="57"/>
      <c r="BES16" s="57"/>
      <c r="BET16" s="57"/>
      <c r="BEU16" s="56"/>
      <c r="BEV16" s="57"/>
      <c r="BEW16" s="57"/>
      <c r="BEX16" s="56"/>
      <c r="BEY16" s="57"/>
      <c r="BEZ16" s="58"/>
      <c r="BFA16" s="56"/>
      <c r="BFB16" s="57"/>
      <c r="BFC16" s="57"/>
      <c r="BFD16" s="57"/>
      <c r="BFE16" s="56"/>
      <c r="BFF16" s="57"/>
      <c r="BFG16" s="57"/>
      <c r="BFH16" s="57"/>
      <c r="BFI16" s="57"/>
      <c r="BFJ16" s="57"/>
      <c r="BFK16" s="56"/>
      <c r="BFL16" s="57"/>
      <c r="BFM16" s="57"/>
      <c r="BFN16" s="56"/>
      <c r="BFO16" s="57"/>
      <c r="BFP16" s="58"/>
      <c r="BFQ16" s="56"/>
      <c r="BFR16" s="57"/>
      <c r="BFS16" s="57"/>
      <c r="BFT16" s="57"/>
      <c r="BFU16" s="56"/>
      <c r="BFV16" s="57"/>
      <c r="BFW16" s="57"/>
      <c r="BFX16" s="56"/>
      <c r="BFY16" s="57"/>
      <c r="BFZ16" s="58"/>
      <c r="BGA16" s="56"/>
      <c r="BGB16" s="57"/>
      <c r="BGC16" s="57"/>
      <c r="BGD16" s="57"/>
      <c r="BGE16" s="56"/>
      <c r="BGF16" s="57"/>
      <c r="BGG16" s="57"/>
      <c r="BGH16" s="57"/>
      <c r="BGI16" s="57"/>
      <c r="BGJ16" s="57"/>
      <c r="BGK16" s="56"/>
      <c r="BGL16" s="57"/>
      <c r="BGM16" s="57"/>
      <c r="BGN16" s="56"/>
      <c r="BGO16" s="57"/>
      <c r="BGP16" s="58"/>
      <c r="BGQ16" s="56"/>
      <c r="BGR16" s="57"/>
      <c r="BGS16" s="57"/>
      <c r="BGT16" s="57"/>
      <c r="BGU16" s="56"/>
      <c r="BGV16" s="57"/>
      <c r="BGW16" s="57"/>
      <c r="BGX16" s="56"/>
      <c r="BGY16" s="57"/>
      <c r="BGZ16" s="58"/>
      <c r="BHA16" s="56"/>
      <c r="BHB16" s="57"/>
      <c r="BHC16" s="57"/>
      <c r="BHD16" s="57"/>
      <c r="BHE16" s="56"/>
      <c r="BHF16" s="57"/>
      <c r="BHG16" s="57"/>
      <c r="BHH16" s="57"/>
      <c r="BHI16" s="57"/>
      <c r="BHJ16" s="57"/>
      <c r="BHK16" s="56"/>
      <c r="BHL16" s="57"/>
      <c r="BHM16" s="57"/>
      <c r="BHN16" s="56"/>
      <c r="BHO16" s="57"/>
      <c r="BHP16" s="58"/>
      <c r="BHQ16" s="56"/>
      <c r="BHR16" s="57"/>
      <c r="BHS16" s="57"/>
      <c r="BHT16" s="57"/>
      <c r="BHU16" s="56"/>
      <c r="BHV16" s="57"/>
      <c r="BHW16" s="57"/>
      <c r="BHX16" s="56"/>
      <c r="BHY16" s="57"/>
      <c r="BHZ16" s="58"/>
      <c r="BIA16" s="56"/>
      <c r="BIB16" s="57"/>
      <c r="BIC16" s="57"/>
      <c r="BID16" s="57"/>
      <c r="BIE16" s="56"/>
      <c r="BIF16" s="57"/>
      <c r="BIG16" s="57"/>
      <c r="BIH16" s="57"/>
      <c r="BII16" s="57"/>
      <c r="BIJ16" s="57"/>
      <c r="BIK16" s="56"/>
      <c r="BIL16" s="57"/>
      <c r="BIM16" s="57"/>
      <c r="BIN16" s="56"/>
      <c r="BIO16" s="57"/>
      <c r="BIP16" s="58"/>
      <c r="BIQ16" s="56"/>
      <c r="BIR16" s="57"/>
      <c r="BIS16" s="57"/>
      <c r="BIT16" s="57"/>
      <c r="BIU16" s="56"/>
      <c r="BIV16" s="57"/>
      <c r="BIW16" s="57"/>
      <c r="BIX16" s="56"/>
      <c r="BIY16" s="57"/>
      <c r="BIZ16" s="58"/>
      <c r="BJA16" s="56"/>
      <c r="BJB16" s="57"/>
      <c r="BJC16" s="57"/>
      <c r="BJD16" s="57"/>
      <c r="BJE16" s="56"/>
      <c r="BJF16" s="57"/>
      <c r="BJG16" s="57"/>
      <c r="BJH16" s="57"/>
      <c r="BJI16" s="57"/>
      <c r="BJJ16" s="57"/>
      <c r="BJK16" s="56"/>
      <c r="BJL16" s="57"/>
      <c r="BJM16" s="57"/>
      <c r="BJN16" s="56"/>
      <c r="BJO16" s="57"/>
      <c r="BJP16" s="58"/>
      <c r="BJQ16" s="56"/>
      <c r="BJR16" s="57"/>
      <c r="BJS16" s="57"/>
      <c r="BJT16" s="57"/>
      <c r="BJU16" s="56"/>
      <c r="BJV16" s="57"/>
      <c r="BJW16" s="57"/>
      <c r="BJX16" s="56"/>
      <c r="BJY16" s="57"/>
      <c r="BJZ16" s="58"/>
      <c r="BKA16" s="56"/>
      <c r="BKB16" s="57"/>
      <c r="BKC16" s="57"/>
      <c r="BKD16" s="57"/>
      <c r="BKE16" s="56"/>
      <c r="BKF16" s="57"/>
      <c r="BKG16" s="57"/>
      <c r="BKH16" s="57"/>
      <c r="BKI16" s="57"/>
      <c r="BKJ16" s="57"/>
      <c r="BKK16" s="56"/>
      <c r="BKL16" s="57"/>
      <c r="BKM16" s="57"/>
      <c r="BKN16" s="56"/>
      <c r="BKO16" s="57"/>
      <c r="BKP16" s="58"/>
      <c r="BKQ16" s="56"/>
      <c r="BKR16" s="57"/>
      <c r="BKS16" s="57"/>
      <c r="BKT16" s="57"/>
      <c r="BKU16" s="56"/>
      <c r="BKV16" s="57"/>
      <c r="BKW16" s="57"/>
      <c r="BKX16" s="56"/>
      <c r="BKY16" s="57"/>
      <c r="BKZ16" s="58"/>
      <c r="BLA16" s="56"/>
      <c r="BLB16" s="57"/>
      <c r="BLC16" s="57"/>
      <c r="BLD16" s="57"/>
      <c r="BLE16" s="56"/>
      <c r="BLF16" s="57"/>
      <c r="BLG16" s="57"/>
      <c r="BLH16" s="57"/>
      <c r="BLI16" s="57"/>
      <c r="BLJ16" s="57"/>
      <c r="BLK16" s="56"/>
      <c r="BLL16" s="57"/>
      <c r="BLM16" s="57"/>
      <c r="BLN16" s="56"/>
      <c r="BLO16" s="57"/>
      <c r="BLP16" s="58"/>
      <c r="BLQ16" s="56"/>
      <c r="BLR16" s="57"/>
      <c r="BLS16" s="57"/>
      <c r="BLT16" s="57"/>
      <c r="BLU16" s="56"/>
      <c r="BLV16" s="57"/>
      <c r="BLW16" s="57"/>
      <c r="BLX16" s="56"/>
      <c r="BLY16" s="57"/>
      <c r="BLZ16" s="58"/>
      <c r="BMA16" s="56"/>
      <c r="BMB16" s="57"/>
      <c r="BMC16" s="57"/>
      <c r="BMD16" s="57"/>
      <c r="BME16" s="56"/>
      <c r="BMF16" s="57"/>
      <c r="BMG16" s="57"/>
      <c r="BMH16" s="57"/>
      <c r="BMI16" s="57"/>
      <c r="BMJ16" s="57"/>
      <c r="BMK16" s="56"/>
      <c r="BML16" s="57"/>
      <c r="BMM16" s="57"/>
      <c r="BMN16" s="56"/>
      <c r="BMO16" s="57"/>
      <c r="BMP16" s="58"/>
      <c r="BMQ16" s="56"/>
      <c r="BMR16" s="57"/>
      <c r="BMS16" s="57"/>
      <c r="BMT16" s="57"/>
      <c r="BMU16" s="56"/>
      <c r="BMV16" s="57"/>
      <c r="BMW16" s="57"/>
      <c r="BMX16" s="56"/>
      <c r="BMY16" s="57"/>
      <c r="BMZ16" s="58"/>
      <c r="BNA16" s="56"/>
      <c r="BNB16" s="57"/>
      <c r="BNC16" s="57"/>
      <c r="BND16" s="57"/>
      <c r="BNE16" s="56"/>
      <c r="BNF16" s="57"/>
      <c r="BNG16" s="57"/>
      <c r="BNH16" s="57"/>
      <c r="BNI16" s="57"/>
      <c r="BNJ16" s="57"/>
      <c r="BNK16" s="56"/>
      <c r="BNL16" s="57"/>
      <c r="BNM16" s="57"/>
      <c r="BNN16" s="56"/>
      <c r="BNO16" s="57"/>
      <c r="BNP16" s="58"/>
      <c r="BNQ16" s="56"/>
      <c r="BNR16" s="57"/>
      <c r="BNS16" s="57"/>
      <c r="BNT16" s="57"/>
      <c r="BNU16" s="56"/>
      <c r="BNV16" s="57"/>
      <c r="BNW16" s="57"/>
      <c r="BNX16" s="56"/>
      <c r="BNY16" s="57"/>
      <c r="BNZ16" s="58"/>
      <c r="BOA16" s="56"/>
      <c r="BOB16" s="57"/>
      <c r="BOC16" s="57"/>
      <c r="BOD16" s="57"/>
      <c r="BOE16" s="56"/>
      <c r="BOF16" s="57"/>
      <c r="BOG16" s="57"/>
      <c r="BOH16" s="57"/>
      <c r="BOI16" s="57"/>
      <c r="BOJ16" s="57"/>
      <c r="BOK16" s="56"/>
      <c r="BOL16" s="57"/>
      <c r="BOM16" s="57"/>
      <c r="BON16" s="56"/>
      <c r="BOO16" s="57"/>
      <c r="BOP16" s="58"/>
      <c r="BOQ16" s="56"/>
      <c r="BOR16" s="57"/>
      <c r="BOS16" s="57"/>
      <c r="BOT16" s="57"/>
      <c r="BOU16" s="56"/>
      <c r="BOV16" s="57"/>
      <c r="BOW16" s="57"/>
      <c r="BOX16" s="56"/>
      <c r="BOY16" s="57"/>
      <c r="BOZ16" s="58"/>
      <c r="BPA16" s="56"/>
      <c r="BPB16" s="57"/>
      <c r="BPC16" s="57"/>
      <c r="BPD16" s="57"/>
      <c r="BPE16" s="56"/>
      <c r="BPF16" s="57"/>
      <c r="BPG16" s="57"/>
      <c r="BPH16" s="57"/>
      <c r="BPI16" s="57"/>
      <c r="BPJ16" s="57"/>
      <c r="BPK16" s="56"/>
      <c r="BPL16" s="57"/>
      <c r="BPM16" s="57"/>
      <c r="BPN16" s="56"/>
      <c r="BPO16" s="57"/>
      <c r="BPP16" s="58"/>
      <c r="BPQ16" s="56"/>
      <c r="BPR16" s="57"/>
      <c r="BPS16" s="57"/>
      <c r="BPT16" s="57"/>
      <c r="BPU16" s="56"/>
      <c r="BPV16" s="57"/>
      <c r="BPW16" s="57"/>
      <c r="BPX16" s="56"/>
      <c r="BPY16" s="57"/>
      <c r="BPZ16" s="58"/>
      <c r="BQA16" s="56"/>
      <c r="BQB16" s="57"/>
      <c r="BQC16" s="57"/>
      <c r="BQD16" s="57"/>
      <c r="BQE16" s="56"/>
      <c r="BQF16" s="57"/>
      <c r="BQG16" s="57"/>
      <c r="BQH16" s="57"/>
      <c r="BQI16" s="57"/>
      <c r="BQJ16" s="57"/>
      <c r="BQK16" s="56"/>
      <c r="BQL16" s="57"/>
      <c r="BQM16" s="57"/>
      <c r="BQN16" s="56"/>
      <c r="BQO16" s="57"/>
      <c r="BQP16" s="58"/>
      <c r="BQQ16" s="56"/>
      <c r="BQR16" s="57"/>
      <c r="BQS16" s="57"/>
      <c r="BQT16" s="57"/>
      <c r="BQU16" s="56"/>
      <c r="BQV16" s="57"/>
      <c r="BQW16" s="57"/>
      <c r="BQX16" s="56"/>
      <c r="BQY16" s="57"/>
      <c r="BQZ16" s="58"/>
      <c r="BRA16" s="56"/>
      <c r="BRB16" s="57"/>
      <c r="BRC16" s="57"/>
      <c r="BRD16" s="57"/>
      <c r="BRE16" s="56"/>
      <c r="BRF16" s="57"/>
      <c r="BRG16" s="57"/>
      <c r="BRH16" s="57"/>
      <c r="BRI16" s="57"/>
      <c r="BRJ16" s="57"/>
      <c r="BRK16" s="56"/>
      <c r="BRL16" s="57"/>
      <c r="BRM16" s="57"/>
      <c r="BRN16" s="56"/>
      <c r="BRO16" s="57"/>
      <c r="BRP16" s="58"/>
      <c r="BRQ16" s="56"/>
      <c r="BRR16" s="57"/>
      <c r="BRS16" s="57"/>
      <c r="BRT16" s="57"/>
      <c r="BRU16" s="56"/>
      <c r="BRV16" s="57"/>
      <c r="BRW16" s="57"/>
      <c r="BRX16" s="56"/>
      <c r="BRY16" s="57"/>
      <c r="BRZ16" s="58"/>
      <c r="BSA16" s="56"/>
      <c r="BSB16" s="57"/>
      <c r="BSC16" s="57"/>
      <c r="BSD16" s="57"/>
      <c r="BSE16" s="56"/>
      <c r="BSF16" s="57"/>
      <c r="BSG16" s="57"/>
      <c r="BSH16" s="57"/>
      <c r="BSI16" s="57"/>
      <c r="BSJ16" s="57"/>
      <c r="BSK16" s="56"/>
      <c r="BSL16" s="57"/>
      <c r="BSM16" s="57"/>
      <c r="BSN16" s="56"/>
      <c r="BSO16" s="57"/>
      <c r="BSP16" s="58"/>
      <c r="BSQ16" s="56"/>
      <c r="BSR16" s="57"/>
      <c r="BSS16" s="57"/>
      <c r="BST16" s="57"/>
      <c r="BSU16" s="56"/>
      <c r="BSV16" s="57"/>
      <c r="BSW16" s="57"/>
      <c r="BSX16" s="56"/>
      <c r="BSY16" s="57"/>
      <c r="BSZ16" s="58"/>
      <c r="BTA16" s="56"/>
      <c r="BTB16" s="57"/>
      <c r="BTC16" s="57"/>
      <c r="BTD16" s="57"/>
      <c r="BTE16" s="56"/>
      <c r="BTF16" s="57"/>
      <c r="BTG16" s="57"/>
      <c r="BTH16" s="57"/>
      <c r="BTI16" s="57"/>
      <c r="BTJ16" s="57"/>
      <c r="BTK16" s="56"/>
      <c r="BTL16" s="57"/>
      <c r="BTM16" s="57"/>
      <c r="BTN16" s="56"/>
      <c r="BTO16" s="57"/>
      <c r="BTP16" s="58"/>
      <c r="BTQ16" s="56"/>
      <c r="BTR16" s="57"/>
      <c r="BTS16" s="57"/>
      <c r="BTT16" s="57"/>
      <c r="BTU16" s="56"/>
      <c r="BTV16" s="57"/>
      <c r="BTW16" s="57"/>
      <c r="BTX16" s="56"/>
      <c r="BTY16" s="57"/>
      <c r="BTZ16" s="58"/>
      <c r="BUA16" s="56"/>
      <c r="BUB16" s="57"/>
      <c r="BUC16" s="57"/>
      <c r="BUD16" s="57"/>
      <c r="BUE16" s="56"/>
      <c r="BUF16" s="57"/>
      <c r="BUG16" s="57"/>
      <c r="BUH16" s="57"/>
      <c r="BUI16" s="57"/>
      <c r="BUJ16" s="57"/>
      <c r="BUK16" s="56"/>
      <c r="BUL16" s="57"/>
      <c r="BUM16" s="57"/>
      <c r="BUN16" s="56"/>
      <c r="BUO16" s="57"/>
      <c r="BUP16" s="58"/>
      <c r="BUQ16" s="56"/>
      <c r="BUR16" s="57"/>
      <c r="BUS16" s="57"/>
      <c r="BUT16" s="57"/>
      <c r="BUU16" s="56"/>
      <c r="BUV16" s="57"/>
      <c r="BUW16" s="57"/>
      <c r="BUX16" s="56"/>
      <c r="BUY16" s="57"/>
      <c r="BUZ16" s="58"/>
      <c r="BVA16" s="56"/>
      <c r="BVB16" s="57"/>
      <c r="BVC16" s="57"/>
      <c r="BVD16" s="57"/>
      <c r="BVE16" s="56"/>
      <c r="BVF16" s="57"/>
      <c r="BVG16" s="57"/>
      <c r="BVH16" s="57"/>
      <c r="BVI16" s="57"/>
      <c r="BVJ16" s="57"/>
      <c r="BVK16" s="56"/>
      <c r="BVL16" s="57"/>
      <c r="BVM16" s="57"/>
      <c r="BVN16" s="56"/>
      <c r="BVO16" s="57"/>
      <c r="BVP16" s="58"/>
      <c r="BVQ16" s="56"/>
      <c r="BVR16" s="57"/>
      <c r="BVS16" s="57"/>
      <c r="BVT16" s="57"/>
      <c r="BVU16" s="56"/>
      <c r="BVV16" s="57"/>
      <c r="BVW16" s="57"/>
      <c r="BVX16" s="56"/>
      <c r="BVY16" s="57"/>
      <c r="BVZ16" s="58"/>
      <c r="BWA16" s="56"/>
      <c r="BWB16" s="57"/>
      <c r="BWC16" s="57"/>
      <c r="BWD16" s="57"/>
      <c r="BWE16" s="56"/>
      <c r="BWF16" s="57"/>
      <c r="BWG16" s="57"/>
      <c r="BWH16" s="57"/>
      <c r="BWI16" s="57"/>
      <c r="BWJ16" s="57"/>
      <c r="BWK16" s="56"/>
      <c r="BWL16" s="57"/>
      <c r="BWM16" s="57"/>
      <c r="BWN16" s="56"/>
      <c r="BWO16" s="57"/>
      <c r="BWP16" s="58"/>
      <c r="BWQ16" s="56"/>
      <c r="BWR16" s="57"/>
      <c r="BWS16" s="57"/>
      <c r="BWT16" s="57"/>
      <c r="BWU16" s="56"/>
      <c r="BWV16" s="57"/>
      <c r="BWW16" s="57"/>
      <c r="BWX16" s="56"/>
      <c r="BWY16" s="57"/>
      <c r="BWZ16" s="58"/>
      <c r="BXA16" s="56"/>
      <c r="BXB16" s="57"/>
      <c r="BXC16" s="57"/>
      <c r="BXD16" s="57"/>
      <c r="BXE16" s="56"/>
      <c r="BXF16" s="57"/>
      <c r="BXG16" s="57"/>
      <c r="BXH16" s="57"/>
      <c r="BXI16" s="57"/>
      <c r="BXJ16" s="57"/>
      <c r="BXK16" s="56"/>
      <c r="BXL16" s="57"/>
      <c r="BXM16" s="57"/>
      <c r="BXN16" s="56"/>
      <c r="BXO16" s="57"/>
      <c r="BXP16" s="58"/>
      <c r="BXQ16" s="56"/>
      <c r="BXR16" s="57"/>
      <c r="BXS16" s="57"/>
      <c r="BXT16" s="57"/>
      <c r="BXU16" s="56"/>
      <c r="BXV16" s="57"/>
      <c r="BXW16" s="57"/>
      <c r="BXX16" s="56"/>
      <c r="BXY16" s="57"/>
      <c r="BXZ16" s="58"/>
      <c r="BYA16" s="56"/>
      <c r="BYB16" s="57"/>
      <c r="BYC16" s="57"/>
      <c r="BYD16" s="57"/>
      <c r="BYE16" s="56"/>
      <c r="BYF16" s="57"/>
      <c r="BYG16" s="57"/>
      <c r="BYH16" s="57"/>
      <c r="BYI16" s="57"/>
      <c r="BYJ16" s="57"/>
      <c r="BYK16" s="56"/>
      <c r="BYL16" s="57"/>
      <c r="BYM16" s="57"/>
      <c r="BYN16" s="56"/>
      <c r="BYO16" s="57"/>
      <c r="BYP16" s="58"/>
      <c r="BYQ16" s="56"/>
      <c r="BYR16" s="57"/>
      <c r="BYS16" s="57"/>
      <c r="BYT16" s="57"/>
      <c r="BYU16" s="56"/>
      <c r="BYV16" s="57"/>
      <c r="BYW16" s="57"/>
      <c r="BYX16" s="58"/>
      <c r="BYY16" s="57"/>
      <c r="BYZ16" s="56"/>
      <c r="BZA16" s="57"/>
      <c r="BZB16" s="56"/>
      <c r="BZC16" s="56"/>
      <c r="BZD16" s="56"/>
      <c r="BZE16" s="57"/>
      <c r="BZF16" s="387"/>
      <c r="BZG16" s="57"/>
      <c r="BZH16" s="387"/>
      <c r="BZI16" s="57"/>
      <c r="BZJ16" s="38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8"/>
      <c r="CAQ16" s="56"/>
      <c r="CAR16" s="57"/>
      <c r="CAS16" s="57"/>
      <c r="CAT16" s="57"/>
      <c r="CAU16" s="57"/>
      <c r="CAV16" s="57"/>
      <c r="CAW16" s="56"/>
      <c r="CAX16" s="57"/>
      <c r="CAY16" s="57"/>
      <c r="CAZ16" s="56"/>
      <c r="CBA16" s="57"/>
      <c r="CBB16" s="58"/>
      <c r="CBC16" s="56"/>
      <c r="CBD16" s="57"/>
      <c r="CBE16" s="57"/>
      <c r="CBF16" s="57"/>
      <c r="CBG16" s="56"/>
      <c r="CBH16" s="57"/>
      <c r="CBI16" s="57"/>
      <c r="CBJ16" s="56"/>
      <c r="CBK16" s="57"/>
      <c r="CBL16" s="58"/>
      <c r="CBM16" s="56"/>
      <c r="CBN16" s="57"/>
      <c r="CBO16" s="57"/>
      <c r="CBP16" s="57"/>
      <c r="CBQ16" s="56"/>
      <c r="CBR16" s="57"/>
      <c r="CBS16" s="57"/>
      <c r="CBT16" s="56"/>
      <c r="CBU16" s="57"/>
      <c r="CBV16" s="58"/>
      <c r="CBW16" s="56"/>
      <c r="CBX16" s="57"/>
      <c r="CBY16" s="57"/>
      <c r="CBZ16" s="57"/>
      <c r="CCA16" s="56"/>
      <c r="CCB16" s="57"/>
      <c r="CCC16" s="57"/>
      <c r="CCD16" s="56"/>
      <c r="CCE16" s="57"/>
      <c r="CCF16" s="58"/>
      <c r="CCG16" s="56"/>
      <c r="CCH16" s="58"/>
      <c r="CCI16" s="57"/>
      <c r="CCJ16" s="56"/>
      <c r="CCK16" s="57"/>
      <c r="CCL16" s="56"/>
      <c r="CCM16" s="56"/>
      <c r="CCN16" s="56"/>
      <c r="CCO16" s="57"/>
      <c r="CCP16" s="387"/>
      <c r="CCQ16" s="57"/>
      <c r="CCR16" s="387"/>
      <c r="CCS16" s="57"/>
      <c r="CCT16" s="38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8"/>
      <c r="CEA16" s="56"/>
      <c r="CEB16" s="57"/>
      <c r="CEC16" s="57"/>
      <c r="CED16" s="57"/>
      <c r="CEE16" s="57"/>
      <c r="CEF16" s="57"/>
      <c r="CEG16" s="56"/>
      <c r="CEH16" s="57"/>
      <c r="CEI16" s="57"/>
      <c r="CEJ16" s="56"/>
      <c r="CEK16" s="57"/>
      <c r="CEL16" s="58"/>
      <c r="CEM16" s="56"/>
      <c r="CEN16" s="57"/>
      <c r="CEO16" s="57"/>
      <c r="CEP16" s="57"/>
      <c r="CEQ16" s="56"/>
      <c r="CER16" s="57"/>
      <c r="CES16" s="57"/>
      <c r="CET16" s="56"/>
      <c r="CEU16" s="57"/>
      <c r="CEV16" s="58"/>
      <c r="CEW16" s="56"/>
      <c r="CEX16" s="57"/>
      <c r="CEY16" s="57"/>
      <c r="CEZ16" s="57"/>
      <c r="CFA16" s="56"/>
      <c r="CFB16" s="57"/>
      <c r="CFC16" s="57"/>
      <c r="CFD16" s="56"/>
      <c r="CFE16" s="57"/>
      <c r="CFF16" s="58"/>
      <c r="CFG16" s="56"/>
      <c r="CFH16" s="57"/>
      <c r="CFI16" s="57"/>
      <c r="CFJ16" s="57"/>
      <c r="CFK16" s="56"/>
      <c r="CFL16" s="57"/>
      <c r="CFM16" s="57"/>
      <c r="CFN16" s="56"/>
      <c r="CFO16" s="57"/>
      <c r="CFP16" s="58"/>
      <c r="CFQ16" s="56"/>
      <c r="CFR16" s="58"/>
      <c r="CFS16" s="57"/>
      <c r="CFT16" s="56"/>
      <c r="CFU16" s="57"/>
      <c r="CFV16" s="56"/>
      <c r="CFW16" s="56"/>
      <c r="CFX16" s="56"/>
      <c r="CFY16" s="57"/>
      <c r="CFZ16" s="387"/>
      <c r="CGA16" s="57"/>
      <c r="CGB16" s="387"/>
      <c r="CGC16" s="57"/>
      <c r="CGD16" s="38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8"/>
      <c r="CHK16" s="56"/>
      <c r="CHL16" s="57"/>
      <c r="CHM16" s="57"/>
      <c r="CHN16" s="57"/>
      <c r="CHO16" s="57"/>
      <c r="CHP16" s="57"/>
      <c r="CHQ16" s="56"/>
      <c r="CHR16" s="57"/>
      <c r="CHS16" s="57"/>
      <c r="CHT16" s="56"/>
      <c r="CHU16" s="57"/>
      <c r="CHV16" s="58"/>
      <c r="CHW16" s="56"/>
      <c r="CHX16" s="57"/>
      <c r="CHY16" s="57"/>
      <c r="CHZ16" s="57"/>
      <c r="CIA16" s="56"/>
      <c r="CIB16" s="57"/>
      <c r="CIC16" s="57"/>
      <c r="CID16" s="56"/>
      <c r="CIE16" s="57"/>
      <c r="CIF16" s="58"/>
      <c r="CIG16" s="56"/>
      <c r="CIH16" s="57"/>
      <c r="CII16" s="57"/>
      <c r="CIJ16" s="57"/>
      <c r="CIK16" s="56"/>
      <c r="CIL16" s="57"/>
      <c r="CIM16" s="57"/>
      <c r="CIN16" s="56"/>
      <c r="CIO16" s="57"/>
      <c r="CIP16" s="58"/>
      <c r="CIQ16" s="56"/>
      <c r="CIR16" s="57"/>
      <c r="CIS16" s="57"/>
      <c r="CIT16" s="57"/>
      <c r="CIU16" s="56"/>
      <c r="CIV16" s="57"/>
      <c r="CIW16" s="57"/>
      <c r="CIX16" s="56"/>
      <c r="CIY16" s="57"/>
      <c r="CIZ16" s="58"/>
      <c r="CJA16" s="56"/>
      <c r="CJB16" s="58"/>
      <c r="CJC16" s="57"/>
      <c r="CJD16" s="56"/>
      <c r="CJE16" s="57"/>
      <c r="CJF16" s="56"/>
      <c r="CJG16" s="56"/>
      <c r="CJH16" s="56"/>
      <c r="CJI16" s="57"/>
      <c r="CJJ16" s="387"/>
      <c r="CJK16" s="57"/>
      <c r="CJL16" s="387"/>
      <c r="CJM16" s="57"/>
      <c r="CJN16" s="38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8"/>
      <c r="CKU16" s="56"/>
      <c r="CKV16" s="57"/>
      <c r="CKW16" s="57"/>
      <c r="CKX16" s="57"/>
      <c r="CKY16" s="57"/>
      <c r="CKZ16" s="57"/>
      <c r="CLA16" s="56"/>
      <c r="CLB16" s="57"/>
      <c r="CLC16" s="57"/>
      <c r="CLD16" s="56"/>
      <c r="CLE16" s="57"/>
      <c r="CLF16" s="58"/>
      <c r="CLG16" s="56"/>
      <c r="CLH16" s="57"/>
      <c r="CLI16" s="57"/>
      <c r="CLJ16" s="57"/>
      <c r="CLK16" s="56"/>
      <c r="CLL16" s="57"/>
      <c r="CLM16" s="57"/>
      <c r="CLN16" s="56"/>
      <c r="CLO16" s="57"/>
      <c r="CLP16" s="58"/>
      <c r="CLQ16" s="56"/>
      <c r="CLR16" s="57"/>
      <c r="CLS16" s="57"/>
      <c r="CLT16" s="57"/>
      <c r="CLU16" s="56"/>
      <c r="CLV16" s="57"/>
      <c r="CLW16" s="57"/>
      <c r="CLX16" s="56"/>
      <c r="CLY16" s="57"/>
      <c r="CLZ16" s="58"/>
      <c r="CMA16" s="56"/>
      <c r="CMB16" s="57"/>
      <c r="CMC16" s="57"/>
      <c r="CMD16" s="57"/>
      <c r="CME16" s="56"/>
      <c r="CMF16" s="57"/>
      <c r="CMG16" s="57"/>
      <c r="CMH16" s="56"/>
      <c r="CMI16" s="57"/>
      <c r="CMJ16" s="58"/>
      <c r="CMK16" s="56"/>
      <c r="CML16" s="58"/>
      <c r="CMM16" s="57"/>
      <c r="CMN16" s="56"/>
      <c r="CMO16" s="57"/>
      <c r="CMP16" s="56"/>
      <c r="CMQ16" s="56"/>
      <c r="CMR16" s="56"/>
      <c r="CMS16" s="57"/>
      <c r="CMT16" s="387"/>
      <c r="CMU16" s="57"/>
      <c r="CMV16" s="387"/>
      <c r="CMW16" s="57"/>
      <c r="CMX16" s="38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8"/>
      <c r="COE16" s="56"/>
      <c r="COF16" s="57"/>
      <c r="COG16" s="57"/>
      <c r="COH16" s="57"/>
      <c r="COI16" s="57"/>
      <c r="COJ16" s="57"/>
      <c r="COK16" s="56"/>
      <c r="COL16" s="57"/>
      <c r="COM16" s="57"/>
      <c r="CON16" s="56"/>
      <c r="COO16" s="57"/>
      <c r="COP16" s="58"/>
      <c r="COQ16" s="56"/>
      <c r="COR16" s="57"/>
      <c r="COS16" s="57"/>
      <c r="COT16" s="57"/>
      <c r="COU16" s="56"/>
      <c r="COV16" s="57"/>
      <c r="COW16" s="57"/>
      <c r="COX16" s="56"/>
      <c r="COY16" s="57"/>
      <c r="COZ16" s="58"/>
      <c r="CPA16" s="56"/>
      <c r="CPB16" s="57"/>
      <c r="CPC16" s="57"/>
      <c r="CPD16" s="57"/>
      <c r="CPE16" s="56"/>
      <c r="CPF16" s="57"/>
      <c r="CPG16" s="57"/>
      <c r="CPH16" s="56"/>
      <c r="CPI16" s="57"/>
      <c r="CPJ16" s="58"/>
      <c r="CPK16" s="56"/>
      <c r="CPL16" s="57"/>
      <c r="CPM16" s="57"/>
      <c r="CPN16" s="57"/>
      <c r="CPO16" s="56"/>
      <c r="CPP16" s="57"/>
      <c r="CPQ16" s="57"/>
      <c r="CPR16" s="56"/>
      <c r="CPS16" s="57"/>
      <c r="CPT16" s="58"/>
      <c r="CPU16" s="56"/>
      <c r="CPV16" s="58"/>
      <c r="CPW16" s="57"/>
      <c r="CPX16" s="56"/>
      <c r="CPY16" s="57"/>
      <c r="CPZ16" s="56"/>
      <c r="CQA16" s="56"/>
      <c r="CQB16" s="56"/>
      <c r="CQC16" s="57"/>
      <c r="CQD16" s="387"/>
      <c r="CQE16" s="57"/>
      <c r="CQF16" s="387"/>
      <c r="CQG16" s="57"/>
      <c r="CQH16" s="38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8"/>
      <c r="CRO16" s="56"/>
      <c r="CRP16" s="57"/>
      <c r="CRQ16" s="57"/>
      <c r="CRR16" s="57"/>
      <c r="CRS16" s="57"/>
      <c r="CRT16" s="57"/>
      <c r="CRU16" s="56"/>
      <c r="CRV16" s="57"/>
      <c r="CRW16" s="57"/>
      <c r="CRX16" s="56"/>
      <c r="CRY16" s="57"/>
      <c r="CRZ16" s="58"/>
      <c r="CSA16" s="56"/>
      <c r="CSB16" s="57"/>
      <c r="CSC16" s="57"/>
      <c r="CSD16" s="57"/>
      <c r="CSE16" s="56"/>
      <c r="CSF16" s="57"/>
      <c r="CSG16" s="57"/>
      <c r="CSH16" s="56"/>
      <c r="CSI16" s="57"/>
      <c r="CSJ16" s="58"/>
      <c r="CSK16" s="56"/>
      <c r="CSL16" s="57"/>
      <c r="CSM16" s="57"/>
      <c r="CSN16" s="57"/>
      <c r="CSO16" s="56"/>
      <c r="CSP16" s="57"/>
      <c r="CSQ16" s="57"/>
      <c r="CSR16" s="56"/>
      <c r="CSS16" s="57"/>
      <c r="CST16" s="58"/>
      <c r="CSU16" s="56"/>
      <c r="CSV16" s="57"/>
      <c r="CSW16" s="57"/>
      <c r="CSX16" s="57"/>
      <c r="CSY16" s="56"/>
      <c r="CSZ16" s="57"/>
      <c r="CTA16" s="57"/>
      <c r="CTB16" s="56"/>
      <c r="CTC16" s="57"/>
      <c r="CTD16" s="58"/>
      <c r="CTE16" s="56"/>
      <c r="CTF16" s="58"/>
      <c r="CTG16" s="57"/>
      <c r="CTH16" s="56"/>
      <c r="CTI16" s="57"/>
      <c r="CTJ16" s="56"/>
      <c r="CTK16" s="56"/>
      <c r="CTL16" s="56"/>
      <c r="CTM16" s="57"/>
      <c r="CTN16" s="387"/>
      <c r="CTO16" s="57"/>
      <c r="CTP16" s="387"/>
      <c r="CTQ16" s="57"/>
      <c r="CTR16" s="38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8"/>
      <c r="CUY16" s="56"/>
      <c r="CUZ16" s="57"/>
      <c r="CVA16" s="57"/>
      <c r="CVB16" s="57"/>
      <c r="CVC16" s="57"/>
      <c r="CVD16" s="57"/>
      <c r="CVE16" s="56"/>
      <c r="CVF16" s="57"/>
      <c r="CVG16" s="57"/>
      <c r="CVH16" s="56"/>
      <c r="CVI16" s="57"/>
      <c r="CVJ16" s="58"/>
      <c r="CVK16" s="56"/>
      <c r="CVL16" s="57"/>
      <c r="CVM16" s="57"/>
      <c r="CVN16" s="57"/>
      <c r="CVO16" s="56"/>
      <c r="CVP16" s="57"/>
      <c r="CVQ16" s="57"/>
      <c r="CVR16" s="56"/>
      <c r="CVS16" s="57"/>
      <c r="CVT16" s="58"/>
      <c r="CVU16" s="56"/>
      <c r="CVV16" s="57"/>
      <c r="CVW16" s="57"/>
      <c r="CVX16" s="57"/>
      <c r="CVY16" s="56"/>
      <c r="CVZ16" s="57"/>
      <c r="CWA16" s="57"/>
      <c r="CWB16" s="56"/>
      <c r="CWC16" s="57"/>
      <c r="CWD16" s="58"/>
      <c r="CWE16" s="56"/>
      <c r="CWF16" s="57"/>
      <c r="CWG16" s="57"/>
      <c r="CWH16" s="57"/>
      <c r="CWI16" s="56"/>
      <c r="CWJ16" s="57"/>
      <c r="CWK16" s="57"/>
      <c r="CWL16" s="56"/>
      <c r="CWM16" s="57"/>
      <c r="CWN16" s="58"/>
      <c r="CWO16" s="56"/>
      <c r="CWP16" s="58"/>
      <c r="CWQ16" s="57"/>
      <c r="CWR16" s="56"/>
      <c r="CWS16" s="57"/>
      <c r="CWT16" s="56"/>
      <c r="CWU16" s="56"/>
      <c r="CWV16" s="56"/>
      <c r="CWW16" s="57"/>
      <c r="CWX16" s="387"/>
      <c r="CWY16" s="57"/>
      <c r="CWZ16" s="387"/>
      <c r="CXA16" s="57"/>
      <c r="CXB16" s="38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8"/>
      <c r="CYI16" s="56"/>
      <c r="CYJ16" s="57"/>
      <c r="CYK16" s="57"/>
      <c r="CYL16" s="57"/>
      <c r="CYM16" s="57"/>
      <c r="CYN16" s="57"/>
      <c r="CYO16" s="56"/>
      <c r="CYP16" s="57"/>
      <c r="CYQ16" s="57"/>
      <c r="CYR16" s="56"/>
      <c r="CYS16" s="57"/>
      <c r="CYT16" s="58"/>
      <c r="CYU16" s="56"/>
      <c r="CYV16" s="57"/>
      <c r="CYW16" s="57"/>
      <c r="CYX16" s="57"/>
      <c r="CYY16" s="56"/>
      <c r="CYZ16" s="57"/>
      <c r="CZA16" s="57"/>
      <c r="CZB16" s="56"/>
      <c r="CZC16" s="57"/>
      <c r="CZD16" s="58"/>
      <c r="CZE16" s="56"/>
      <c r="CZF16" s="57"/>
      <c r="CZG16" s="57"/>
      <c r="CZH16" s="57"/>
      <c r="CZI16" s="56"/>
      <c r="CZJ16" s="57"/>
      <c r="CZK16" s="57"/>
      <c r="CZL16" s="56"/>
      <c r="CZM16" s="57"/>
      <c r="CZN16" s="58"/>
      <c r="CZO16" s="56"/>
      <c r="CZP16" s="57"/>
      <c r="CZQ16" s="57"/>
      <c r="CZR16" s="57"/>
      <c r="CZS16" s="56"/>
      <c r="CZT16" s="57"/>
      <c r="CZU16" s="57"/>
      <c r="CZV16" s="56"/>
      <c r="CZW16" s="57"/>
      <c r="CZX16" s="58"/>
      <c r="CZY16" s="56"/>
      <c r="CZZ16" s="58"/>
      <c r="DAA16" s="57"/>
      <c r="DAB16" s="56"/>
      <c r="DAC16" s="57"/>
      <c r="DAD16" s="56"/>
      <c r="DAE16" s="56"/>
      <c r="DAF16" s="56"/>
      <c r="DAG16" s="57"/>
      <c r="DAH16" s="387"/>
      <c r="DAI16" s="57"/>
      <c r="DAJ16" s="387"/>
      <c r="DAK16" s="57"/>
      <c r="DAL16" s="38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8"/>
      <c r="DBS16" s="56"/>
      <c r="DBT16" s="57"/>
      <c r="DBU16" s="57"/>
      <c r="DBV16" s="57"/>
      <c r="DBW16" s="57"/>
      <c r="DBX16" s="57"/>
      <c r="DBY16" s="56"/>
      <c r="DBZ16" s="57"/>
      <c r="DCA16" s="57"/>
      <c r="DCB16" s="56"/>
      <c r="DCC16" s="57"/>
      <c r="DCD16" s="58"/>
      <c r="DCE16" s="56"/>
      <c r="DCF16" s="57"/>
      <c r="DCG16" s="57"/>
      <c r="DCH16" s="57"/>
      <c r="DCI16" s="56"/>
      <c r="DCJ16" s="57"/>
      <c r="DCK16" s="57"/>
      <c r="DCL16" s="56"/>
      <c r="DCM16" s="57"/>
      <c r="DCN16" s="58"/>
      <c r="DCO16" s="56"/>
      <c r="DCP16" s="57"/>
      <c r="DCQ16" s="57"/>
      <c r="DCR16" s="57"/>
      <c r="DCS16" s="56"/>
      <c r="DCT16" s="57"/>
      <c r="DCU16" s="57"/>
      <c r="DCV16" s="56"/>
      <c r="DCW16" s="57"/>
      <c r="DCX16" s="58"/>
      <c r="DCY16" s="56"/>
      <c r="DCZ16" s="57"/>
      <c r="DDA16" s="57"/>
      <c r="DDB16" s="57"/>
      <c r="DDC16" s="56"/>
      <c r="DDD16" s="57"/>
      <c r="DDE16" s="57"/>
      <c r="DDF16" s="56"/>
      <c r="DDG16" s="57"/>
      <c r="DDH16" s="58"/>
      <c r="DDI16" s="56"/>
      <c r="DDJ16" s="58"/>
      <c r="DDK16" s="57"/>
      <c r="DDL16" s="56"/>
      <c r="DDM16" s="57"/>
      <c r="DDN16" s="56"/>
      <c r="DDO16" s="56"/>
      <c r="DDP16" s="56"/>
      <c r="DDQ16" s="57"/>
      <c r="DDR16" s="387"/>
      <c r="DDS16" s="57"/>
      <c r="DDT16" s="387"/>
      <c r="DDU16" s="57"/>
      <c r="DDV16" s="38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8"/>
      <c r="DFC16" s="56"/>
      <c r="DFD16" s="57"/>
      <c r="DFE16" s="57"/>
      <c r="DFF16" s="57"/>
      <c r="DFG16" s="57"/>
      <c r="DFH16" s="57"/>
      <c r="DFI16" s="56"/>
      <c r="DFJ16" s="57"/>
      <c r="DFK16" s="57"/>
      <c r="DFL16" s="56"/>
      <c r="DFM16" s="57"/>
      <c r="DFN16" s="58"/>
      <c r="DFO16" s="56"/>
      <c r="DFP16" s="57"/>
      <c r="DFQ16" s="57"/>
      <c r="DFR16" s="57"/>
      <c r="DFS16" s="56"/>
      <c r="DFT16" s="57"/>
      <c r="DFU16" s="57"/>
      <c r="DFV16" s="56"/>
      <c r="DFW16" s="57"/>
      <c r="DFX16" s="58"/>
      <c r="DFY16" s="56"/>
      <c r="DFZ16" s="57"/>
      <c r="DGA16" s="57"/>
      <c r="DGB16" s="57"/>
      <c r="DGC16" s="56"/>
      <c r="DGD16" s="57"/>
      <c r="DGE16" s="57"/>
      <c r="DGF16" s="56"/>
      <c r="DGG16" s="57"/>
      <c r="DGH16" s="58"/>
      <c r="DGI16" s="56"/>
      <c r="DGJ16" s="57"/>
      <c r="DGK16" s="57"/>
      <c r="DGL16" s="57"/>
      <c r="DGM16" s="56"/>
      <c r="DGN16" s="57"/>
      <c r="DGO16" s="57"/>
      <c r="DGP16" s="56"/>
      <c r="DGQ16" s="57"/>
      <c r="DGR16" s="58"/>
      <c r="DGS16" s="56"/>
      <c r="DGT16" s="58"/>
      <c r="DGU16" s="57"/>
      <c r="DGV16" s="56"/>
      <c r="DGW16" s="57"/>
      <c r="DGX16" s="56"/>
      <c r="DGY16" s="56"/>
      <c r="DGZ16" s="56"/>
      <c r="DHA16" s="57"/>
      <c r="DHB16" s="387"/>
      <c r="DHC16" s="57"/>
      <c r="DHD16" s="387"/>
      <c r="DHE16" s="57"/>
      <c r="DHF16" s="38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8"/>
      <c r="DIM16" s="56"/>
      <c r="DIN16" s="57"/>
      <c r="DIO16" s="57"/>
      <c r="DIP16" s="57"/>
      <c r="DIQ16" s="57"/>
      <c r="DIR16" s="57"/>
      <c r="DIS16" s="56"/>
      <c r="DIT16" s="57"/>
      <c r="DIU16" s="57"/>
      <c r="DIV16" s="56"/>
      <c r="DIW16" s="57"/>
      <c r="DIX16" s="58"/>
      <c r="DIY16" s="56"/>
      <c r="DIZ16" s="57"/>
      <c r="DJA16" s="57"/>
      <c r="DJB16" s="57"/>
      <c r="DJC16" s="56"/>
      <c r="DJD16" s="57"/>
      <c r="DJE16" s="57"/>
      <c r="DJF16" s="56"/>
      <c r="DJG16" s="57"/>
      <c r="DJH16" s="58"/>
      <c r="DJI16" s="56"/>
      <c r="DJJ16" s="57"/>
      <c r="DJK16" s="57"/>
      <c r="DJL16" s="57"/>
      <c r="DJM16" s="56"/>
      <c r="DJN16" s="57"/>
      <c r="DJO16" s="57"/>
      <c r="DJP16" s="56"/>
      <c r="DJQ16" s="57"/>
      <c r="DJR16" s="58"/>
      <c r="DJS16" s="56"/>
      <c r="DJT16" s="57"/>
      <c r="DJU16" s="57"/>
      <c r="DJV16" s="57"/>
      <c r="DJW16" s="56"/>
      <c r="DJX16" s="57"/>
      <c r="DJY16" s="57"/>
      <c r="DJZ16" s="56"/>
      <c r="DKA16" s="57"/>
      <c r="DKB16" s="58"/>
      <c r="DKC16" s="56"/>
      <c r="DKD16" s="58"/>
      <c r="DKE16" s="57"/>
      <c r="DKF16" s="56"/>
      <c r="DKG16" s="57"/>
      <c r="DKH16" s="56"/>
      <c r="DKI16" s="56"/>
      <c r="DKJ16" s="56"/>
      <c r="DKK16" s="57"/>
      <c r="DKL16" s="387"/>
      <c r="DKM16" s="57"/>
      <c r="DKN16" s="387"/>
      <c r="DKO16" s="57"/>
      <c r="DKP16" s="38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8"/>
      <c r="DLW16" s="56"/>
      <c r="DLX16" s="57"/>
      <c r="DLY16" s="57"/>
      <c r="DLZ16" s="57"/>
      <c r="DMA16" s="57"/>
      <c r="DMB16" s="57"/>
      <c r="DMC16" s="56"/>
      <c r="DMD16" s="57"/>
      <c r="DME16" s="57"/>
      <c r="DMF16" s="56"/>
      <c r="DMG16" s="57"/>
      <c r="DMH16" s="58"/>
      <c r="DMI16" s="56"/>
      <c r="DMJ16" s="57"/>
      <c r="DMK16" s="57"/>
      <c r="DML16" s="57"/>
      <c r="DMM16" s="56"/>
      <c r="DMN16" s="57"/>
      <c r="DMO16" s="57"/>
      <c r="DMP16" s="56"/>
      <c r="DMQ16" s="57"/>
      <c r="DMR16" s="58"/>
      <c r="DMS16" s="56"/>
      <c r="DMT16" s="57"/>
      <c r="DMU16" s="57"/>
      <c r="DMV16" s="57"/>
      <c r="DMW16" s="56"/>
      <c r="DMX16" s="57"/>
      <c r="DMY16" s="57"/>
      <c r="DMZ16" s="56"/>
      <c r="DNA16" s="57"/>
      <c r="DNB16" s="58"/>
      <c r="DNC16" s="56"/>
      <c r="DND16" s="57"/>
      <c r="DNE16" s="57"/>
      <c r="DNF16" s="57"/>
      <c r="DNG16" s="56"/>
      <c r="DNH16" s="57"/>
      <c r="DNI16" s="57"/>
      <c r="DNJ16" s="56"/>
      <c r="DNK16" s="57"/>
      <c r="DNL16" s="58"/>
      <c r="DNM16" s="56"/>
      <c r="DNN16" s="58"/>
      <c r="DNO16" s="57"/>
      <c r="DNP16" s="56"/>
      <c r="DNQ16" s="57"/>
      <c r="DNR16" s="56"/>
      <c r="DNS16" s="56"/>
      <c r="DNT16" s="56"/>
      <c r="DNU16" s="57"/>
      <c r="DNV16" s="387"/>
      <c r="DNW16" s="57"/>
      <c r="DNX16" s="387"/>
      <c r="DNY16" s="57"/>
      <c r="DNZ16" s="38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8"/>
      <c r="DPG16" s="56"/>
      <c r="DPH16" s="57"/>
      <c r="DPI16" s="57"/>
      <c r="DPJ16" s="57"/>
      <c r="DPK16" s="57"/>
      <c r="DPL16" s="57"/>
      <c r="DPM16" s="56"/>
      <c r="DPN16" s="57"/>
      <c r="DPO16" s="57"/>
      <c r="DPP16" s="56"/>
      <c r="DPQ16" s="57"/>
      <c r="DPR16" s="58"/>
      <c r="DPS16" s="56"/>
      <c r="DPT16" s="57"/>
      <c r="DPU16" s="57"/>
      <c r="DPV16" s="57"/>
      <c r="DPW16" s="56"/>
      <c r="DPX16" s="57"/>
      <c r="DPY16" s="57"/>
      <c r="DPZ16" s="56"/>
      <c r="DQA16" s="57"/>
      <c r="DQB16" s="58"/>
      <c r="DQC16" s="56"/>
      <c r="DQD16" s="57"/>
      <c r="DQE16" s="57"/>
      <c r="DQF16" s="57"/>
      <c r="DQG16" s="56"/>
      <c r="DQH16" s="57"/>
      <c r="DQI16" s="57"/>
      <c r="DQJ16" s="56"/>
      <c r="DQK16" s="57"/>
      <c r="DQL16" s="58"/>
      <c r="DQM16" s="56"/>
      <c r="DQN16" s="57"/>
      <c r="DQO16" s="57"/>
      <c r="DQP16" s="57"/>
      <c r="DQQ16" s="56"/>
      <c r="DQR16" s="57"/>
      <c r="DQS16" s="57"/>
      <c r="DQT16" s="56"/>
      <c r="DQU16" s="57"/>
      <c r="DQV16" s="58"/>
      <c r="DQW16" s="56"/>
      <c r="DQX16" s="58"/>
      <c r="DQY16" s="57"/>
      <c r="DQZ16" s="56"/>
      <c r="DRA16" s="57"/>
      <c r="DRB16" s="56"/>
      <c r="DRC16" s="56"/>
      <c r="DRD16" s="56"/>
      <c r="DRE16" s="57"/>
      <c r="DRF16" s="387"/>
      <c r="DRG16" s="57"/>
      <c r="DRH16" s="387"/>
      <c r="DRI16" s="57"/>
      <c r="DRJ16" s="38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8"/>
      <c r="DSQ16" s="56"/>
      <c r="DSR16" s="57"/>
      <c r="DSS16" s="57"/>
      <c r="DST16" s="57"/>
      <c r="DSU16" s="57"/>
      <c r="DSV16" s="57"/>
      <c r="DSW16" s="56"/>
      <c r="DSX16" s="57"/>
      <c r="DSY16" s="57"/>
      <c r="DSZ16" s="56"/>
      <c r="DTA16" s="57"/>
      <c r="DTB16" s="58"/>
      <c r="DTC16" s="56"/>
      <c r="DTD16" s="57"/>
      <c r="DTE16" s="57"/>
      <c r="DTF16" s="57"/>
      <c r="DTG16" s="56"/>
      <c r="DTH16" s="57"/>
      <c r="DTI16" s="57"/>
      <c r="DTJ16" s="56"/>
      <c r="DTK16" s="57"/>
      <c r="DTL16" s="58"/>
      <c r="DTM16" s="56"/>
      <c r="DTN16" s="57"/>
      <c r="DTO16" s="57"/>
      <c r="DTP16" s="57"/>
      <c r="DTQ16" s="56"/>
      <c r="DTR16" s="57"/>
      <c r="DTS16" s="57"/>
      <c r="DTT16" s="56"/>
      <c r="DTU16" s="57"/>
      <c r="DTV16" s="58"/>
      <c r="DTW16" s="56"/>
      <c r="DTX16" s="57"/>
      <c r="DTY16" s="57"/>
      <c r="DTZ16" s="57"/>
      <c r="DUA16" s="56"/>
      <c r="DUB16" s="57"/>
      <c r="DUC16" s="57"/>
      <c r="DUD16" s="56"/>
      <c r="DUE16" s="57"/>
      <c r="DUF16" s="58"/>
      <c r="DUG16" s="56"/>
      <c r="DUH16" s="58"/>
      <c r="DUI16" s="57"/>
      <c r="DUJ16" s="56"/>
      <c r="DUK16" s="57"/>
      <c r="DUL16" s="56"/>
      <c r="DUM16" s="56"/>
      <c r="DUN16" s="56"/>
      <c r="DUO16" s="57"/>
      <c r="DUP16" s="387"/>
      <c r="DUQ16" s="57"/>
      <c r="DUR16" s="387"/>
      <c r="DUS16" s="57"/>
      <c r="DUT16" s="38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8"/>
      <c r="DWA16" s="56"/>
      <c r="DWB16" s="57"/>
      <c r="DWC16" s="57"/>
      <c r="DWD16" s="57"/>
      <c r="DWE16" s="57"/>
      <c r="DWF16" s="57"/>
      <c r="DWG16" s="56"/>
      <c r="DWH16" s="57"/>
      <c r="DWI16" s="57"/>
      <c r="DWJ16" s="56"/>
      <c r="DWK16" s="57"/>
      <c r="DWL16" s="58"/>
      <c r="DWM16" s="56"/>
      <c r="DWN16" s="57"/>
      <c r="DWO16" s="57"/>
      <c r="DWP16" s="57"/>
      <c r="DWQ16" s="56"/>
      <c r="DWR16" s="57"/>
      <c r="DWS16" s="57"/>
      <c r="DWT16" s="56"/>
      <c r="DWU16" s="57"/>
      <c r="DWV16" s="58"/>
      <c r="DWW16" s="56"/>
      <c r="DWX16" s="57"/>
      <c r="DWY16" s="57"/>
      <c r="DWZ16" s="57"/>
      <c r="DXA16" s="56"/>
      <c r="DXB16" s="57"/>
      <c r="DXC16" s="57"/>
      <c r="DXD16" s="56"/>
      <c r="DXE16" s="57"/>
      <c r="DXF16" s="58"/>
      <c r="DXG16" s="56"/>
      <c r="DXH16" s="57"/>
      <c r="DXI16" s="57"/>
      <c r="DXJ16" s="57"/>
      <c r="DXK16" s="56"/>
      <c r="DXL16" s="57"/>
      <c r="DXM16" s="57"/>
      <c r="DXN16" s="56"/>
      <c r="DXO16" s="57"/>
      <c r="DXP16" s="58"/>
      <c r="DXQ16" s="56"/>
      <c r="DXR16" s="58"/>
      <c r="DXS16" s="57"/>
      <c r="DXT16" s="56"/>
      <c r="DXU16" s="57"/>
      <c r="DXV16" s="56"/>
      <c r="DXW16" s="56"/>
      <c r="DXX16" s="56"/>
      <c r="DXY16" s="57"/>
      <c r="DXZ16" s="387"/>
      <c r="DYA16" s="57"/>
      <c r="DYB16" s="387"/>
      <c r="DYC16" s="57"/>
      <c r="DYD16" s="38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8"/>
      <c r="DZK16" s="56"/>
      <c r="DZL16" s="57"/>
      <c r="DZM16" s="57"/>
      <c r="DZN16" s="57"/>
      <c r="DZO16" s="57"/>
      <c r="DZP16" s="57"/>
      <c r="DZQ16" s="56"/>
      <c r="DZR16" s="57"/>
      <c r="DZS16" s="57"/>
      <c r="DZT16" s="56"/>
      <c r="DZU16" s="57"/>
      <c r="DZV16" s="58"/>
      <c r="DZW16" s="56"/>
      <c r="DZX16" s="57"/>
      <c r="DZY16" s="57"/>
      <c r="DZZ16" s="57"/>
      <c r="EAA16" s="56"/>
      <c r="EAB16" s="57"/>
      <c r="EAC16" s="57"/>
      <c r="EAD16" s="56"/>
      <c r="EAE16" s="57"/>
      <c r="EAF16" s="58"/>
      <c r="EAG16" s="56"/>
      <c r="EAH16" s="57"/>
      <c r="EAI16" s="57"/>
      <c r="EAJ16" s="57"/>
      <c r="EAK16" s="56"/>
      <c r="EAL16" s="57"/>
      <c r="EAM16" s="57"/>
      <c r="EAN16" s="56"/>
      <c r="EAO16" s="57"/>
      <c r="EAP16" s="58"/>
      <c r="EAQ16" s="56"/>
      <c r="EAR16" s="57"/>
      <c r="EAS16" s="57"/>
      <c r="EAT16" s="57"/>
      <c r="EAU16" s="56"/>
      <c r="EAV16" s="57"/>
      <c r="EAW16" s="57"/>
      <c r="EAX16" s="56"/>
      <c r="EAY16" s="57"/>
      <c r="EAZ16" s="58"/>
      <c r="EBA16" s="56"/>
      <c r="EBB16" s="58"/>
      <c r="EBC16" s="57"/>
      <c r="EBD16" s="56"/>
      <c r="EBE16" s="57"/>
      <c r="EBF16" s="56"/>
      <c r="EBG16" s="56"/>
      <c r="EBH16" s="56"/>
      <c r="EBI16" s="57"/>
      <c r="EBJ16" s="387"/>
      <c r="EBK16" s="57"/>
      <c r="EBL16" s="387"/>
      <c r="EBM16" s="57"/>
      <c r="EBN16" s="38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8"/>
      <c r="ECU16" s="56"/>
      <c r="ECV16" s="57"/>
      <c r="ECW16" s="57"/>
      <c r="ECX16" s="57"/>
      <c r="ECY16" s="57"/>
      <c r="ECZ16" s="57"/>
      <c r="EDA16" s="56"/>
      <c r="EDB16" s="57"/>
      <c r="EDC16" s="57"/>
      <c r="EDD16" s="56"/>
      <c r="EDE16" s="57"/>
      <c r="EDF16" s="58"/>
      <c r="EDG16" s="56"/>
      <c r="EDH16" s="57"/>
      <c r="EDI16" s="57"/>
      <c r="EDJ16" s="57"/>
      <c r="EDK16" s="56"/>
      <c r="EDL16" s="57"/>
      <c r="EDM16" s="57"/>
      <c r="EDN16" s="56"/>
      <c r="EDO16" s="57"/>
      <c r="EDP16" s="58"/>
      <c r="EDQ16" s="56"/>
      <c r="EDR16" s="57"/>
      <c r="EDS16" s="57"/>
      <c r="EDT16" s="57"/>
      <c r="EDU16" s="56"/>
      <c r="EDV16" s="57"/>
      <c r="EDW16" s="57"/>
      <c r="EDX16" s="56"/>
      <c r="EDY16" s="57"/>
      <c r="EDZ16" s="58"/>
      <c r="EEA16" s="56"/>
      <c r="EEB16" s="57"/>
      <c r="EEC16" s="57"/>
      <c r="EED16" s="57"/>
      <c r="EEE16" s="56"/>
      <c r="EEF16" s="57"/>
      <c r="EEG16" s="57"/>
      <c r="EEH16" s="56"/>
      <c r="EEI16" s="57"/>
      <c r="EEJ16" s="58"/>
      <c r="EEK16" s="56"/>
      <c r="EEL16" s="58"/>
      <c r="EEM16" s="57"/>
      <c r="EEN16" s="56"/>
      <c r="EEO16" s="57"/>
      <c r="EEP16" s="56"/>
      <c r="EEQ16" s="56"/>
      <c r="EER16" s="56"/>
      <c r="EES16" s="57"/>
      <c r="EET16" s="387"/>
      <c r="EEU16" s="57"/>
      <c r="EEV16" s="387"/>
      <c r="EEW16" s="57"/>
      <c r="EEX16" s="38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8"/>
      <c r="EGE16" s="56"/>
      <c r="EGF16" s="57"/>
      <c r="EGG16" s="57"/>
      <c r="EGH16" s="57"/>
      <c r="EGI16" s="57"/>
      <c r="EGJ16" s="57"/>
      <c r="EGK16" s="56"/>
      <c r="EGL16" s="57"/>
      <c r="EGM16" s="57"/>
      <c r="EGN16" s="56"/>
      <c r="EGO16" s="57"/>
      <c r="EGP16" s="58"/>
      <c r="EGQ16" s="56"/>
      <c r="EGR16" s="57"/>
      <c r="EGS16" s="57"/>
      <c r="EGT16" s="57"/>
      <c r="EGU16" s="56"/>
      <c r="EGV16" s="57"/>
      <c r="EGW16" s="57"/>
      <c r="EGX16" s="56"/>
      <c r="EGY16" s="57"/>
      <c r="EGZ16" s="58"/>
      <c r="EHA16" s="56"/>
      <c r="EHB16" s="57"/>
      <c r="EHC16" s="57"/>
      <c r="EHD16" s="57"/>
      <c r="EHE16" s="56"/>
      <c r="EHF16" s="57"/>
      <c r="EHG16" s="57"/>
      <c r="EHH16" s="56"/>
      <c r="EHI16" s="57"/>
      <c r="EHJ16" s="58"/>
      <c r="EHK16" s="56"/>
      <c r="EHL16" s="57"/>
      <c r="EHM16" s="57"/>
      <c r="EHN16" s="57"/>
      <c r="EHO16" s="56"/>
      <c r="EHP16" s="57"/>
      <c r="EHQ16" s="57"/>
      <c r="EHR16" s="56"/>
      <c r="EHS16" s="57"/>
      <c r="EHT16" s="58"/>
      <c r="EHU16" s="56"/>
      <c r="EHV16" s="58"/>
      <c r="EHW16" s="57"/>
      <c r="EHX16" s="56"/>
      <c r="EHY16" s="57"/>
      <c r="EHZ16" s="56"/>
      <c r="EIA16" s="56"/>
      <c r="EIB16" s="56"/>
      <c r="EIC16" s="57"/>
      <c r="EID16" s="387"/>
      <c r="EIE16" s="57"/>
      <c r="EIF16" s="387"/>
      <c r="EIG16" s="57"/>
      <c r="EIH16" s="38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8"/>
      <c r="EJO16" s="56"/>
      <c r="EJP16" s="57"/>
      <c r="EJQ16" s="57"/>
      <c r="EJR16" s="57"/>
      <c r="EJS16" s="57"/>
      <c r="EJT16" s="57"/>
      <c r="EJU16" s="56"/>
      <c r="EJV16" s="57"/>
      <c r="EJW16" s="57"/>
      <c r="EJX16" s="56"/>
      <c r="EJY16" s="57"/>
      <c r="EJZ16" s="58"/>
      <c r="EKA16" s="56"/>
      <c r="EKB16" s="57"/>
      <c r="EKC16" s="57"/>
      <c r="EKD16" s="57"/>
      <c r="EKE16" s="56"/>
      <c r="EKF16" s="57"/>
      <c r="EKG16" s="57"/>
      <c r="EKH16" s="56"/>
      <c r="EKI16" s="57"/>
      <c r="EKJ16" s="58"/>
      <c r="EKK16" s="56"/>
      <c r="EKL16" s="57"/>
      <c r="EKM16" s="57"/>
      <c r="EKN16" s="57"/>
      <c r="EKO16" s="56"/>
      <c r="EKP16" s="57"/>
      <c r="EKQ16" s="57"/>
      <c r="EKR16" s="56"/>
      <c r="EKS16" s="57"/>
      <c r="EKT16" s="58"/>
      <c r="EKU16" s="56"/>
      <c r="EKV16" s="57"/>
      <c r="EKW16" s="57"/>
      <c r="EKX16" s="57"/>
      <c r="EKY16" s="56"/>
      <c r="EKZ16" s="57"/>
      <c r="ELA16" s="57"/>
      <c r="ELB16" s="56"/>
      <c r="ELC16" s="57"/>
      <c r="ELD16" s="58"/>
      <c r="ELE16" s="56"/>
      <c r="ELF16" s="58"/>
      <c r="ELG16" s="57"/>
      <c r="ELH16" s="56"/>
      <c r="ELI16" s="57"/>
      <c r="ELJ16" s="56"/>
      <c r="ELK16" s="56"/>
      <c r="ELL16" s="56"/>
      <c r="ELM16" s="57"/>
      <c r="ELN16" s="387"/>
      <c r="ELO16" s="57"/>
      <c r="ELP16" s="387"/>
      <c r="ELQ16" s="57"/>
      <c r="ELR16" s="38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8"/>
      <c r="EMY16" s="56"/>
      <c r="EMZ16" s="57"/>
      <c r="ENA16" s="57"/>
      <c r="ENB16" s="57"/>
      <c r="ENC16" s="57"/>
      <c r="END16" s="57"/>
      <c r="ENE16" s="56"/>
      <c r="ENF16" s="57"/>
      <c r="ENG16" s="57"/>
      <c r="ENH16" s="56"/>
      <c r="ENI16" s="57"/>
      <c r="ENJ16" s="58"/>
      <c r="ENK16" s="56"/>
      <c r="ENL16" s="57"/>
      <c r="ENM16" s="57"/>
      <c r="ENN16" s="57"/>
      <c r="ENO16" s="56"/>
      <c r="ENP16" s="57"/>
      <c r="ENQ16" s="57"/>
      <c r="ENR16" s="56"/>
      <c r="ENS16" s="57"/>
      <c r="ENT16" s="58"/>
      <c r="ENU16" s="56"/>
      <c r="ENV16" s="57"/>
      <c r="ENW16" s="57"/>
      <c r="ENX16" s="57"/>
      <c r="ENY16" s="56"/>
      <c r="ENZ16" s="57"/>
      <c r="EOA16" s="57"/>
      <c r="EOB16" s="56"/>
      <c r="EOC16" s="57"/>
      <c r="EOD16" s="58"/>
      <c r="EOE16" s="56"/>
      <c r="EOF16" s="57"/>
      <c r="EOG16" s="57"/>
      <c r="EOH16" s="57"/>
      <c r="EOI16" s="56"/>
      <c r="EOJ16" s="57"/>
      <c r="EOK16" s="57"/>
      <c r="EOL16" s="56"/>
      <c r="EOM16" s="57"/>
      <c r="EON16" s="58"/>
      <c r="EOO16" s="56" t="str">
        <f t="shared" si="149"/>
        <v xml:space="preserve"> </v>
      </c>
      <c r="EOP16" s="58"/>
      <c r="EOQ16" s="57"/>
      <c r="EOR16" s="56"/>
      <c r="EOS16" s="57"/>
      <c r="EOT16" s="56"/>
      <c r="EOU16" s="56"/>
      <c r="EOV16" s="56"/>
      <c r="EOW16" s="57"/>
      <c r="EOX16" s="387"/>
      <c r="EOY16" s="57"/>
      <c r="EOZ16" s="387"/>
      <c r="EPA16" s="57"/>
      <c r="EPB16" s="38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8"/>
      <c r="EQI16" s="56"/>
      <c r="EQJ16" s="57"/>
      <c r="EQK16" s="57"/>
      <c r="EQL16" s="57"/>
      <c r="EQM16" s="57"/>
      <c r="EQN16" s="57"/>
      <c r="EQO16" s="56"/>
      <c r="EQP16" s="57"/>
      <c r="EQQ16" s="57"/>
      <c r="EQR16" s="56"/>
      <c r="EQS16" s="57"/>
      <c r="EQT16" s="58"/>
      <c r="EQU16" s="56"/>
      <c r="EQV16" s="57"/>
      <c r="EQW16" s="57"/>
      <c r="EQX16" s="57"/>
      <c r="EQY16" s="56"/>
      <c r="EQZ16" s="57"/>
      <c r="ERA16" s="57"/>
      <c r="ERB16" s="56"/>
      <c r="ERC16" s="57"/>
      <c r="ERD16" s="58"/>
      <c r="ERE16" s="56"/>
      <c r="ERF16" s="57"/>
      <c r="ERG16" s="57"/>
      <c r="ERH16" s="57"/>
      <c r="ERI16" s="56"/>
      <c r="ERJ16" s="57"/>
      <c r="ERK16" s="57"/>
      <c r="ERL16" s="56"/>
      <c r="ERM16" s="57"/>
      <c r="ERN16" s="58"/>
      <c r="ERO16" s="56"/>
      <c r="ERP16" s="57"/>
      <c r="ERQ16" s="57"/>
      <c r="ERR16" s="57"/>
      <c r="ERS16" s="56"/>
      <c r="ERT16" s="57"/>
      <c r="ERU16" s="57"/>
      <c r="ERV16" s="56"/>
      <c r="ERW16" s="57"/>
      <c r="ERX16" s="58"/>
      <c r="ERY16" s="56" t="str">
        <f t="shared" si="150"/>
        <v xml:space="preserve"> </v>
      </c>
      <c r="ERZ16" s="58"/>
      <c r="ESA16" s="57"/>
      <c r="ESB16" s="56"/>
      <c r="ESC16" s="57"/>
      <c r="ESD16" s="56"/>
      <c r="ESE16" s="56"/>
      <c r="ESF16" s="56"/>
      <c r="ESG16" s="57"/>
      <c r="ESH16" s="387"/>
      <c r="ESI16" s="57"/>
      <c r="ESJ16" s="387"/>
      <c r="ESK16" s="57"/>
      <c r="ESL16" s="38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8"/>
      <c r="ETS16" s="56"/>
      <c r="ETT16" s="57"/>
      <c r="ETU16" s="57"/>
      <c r="ETV16" s="57"/>
      <c r="ETW16" s="57"/>
      <c r="ETX16" s="57"/>
      <c r="ETY16" s="56"/>
      <c r="ETZ16" s="57"/>
      <c r="EUA16" s="57"/>
      <c r="EUB16" s="56"/>
      <c r="EUC16" s="57"/>
      <c r="EUD16" s="58"/>
      <c r="EUE16" s="56"/>
      <c r="EUF16" s="57"/>
      <c r="EUG16" s="57"/>
      <c r="EUH16" s="57"/>
      <c r="EUI16" s="56"/>
      <c r="EUJ16" s="57"/>
      <c r="EUK16" s="57"/>
      <c r="EUL16" s="56"/>
      <c r="EUM16" s="57"/>
      <c r="EUN16" s="58"/>
      <c r="EUO16" s="56"/>
      <c r="EUP16" s="57"/>
      <c r="EUQ16" s="57"/>
      <c r="EUR16" s="57"/>
      <c r="EUS16" s="56"/>
      <c r="EUT16" s="57"/>
      <c r="EUU16" s="57"/>
      <c r="EUV16" s="56"/>
      <c r="EUW16" s="57"/>
      <c r="EUX16" s="58"/>
      <c r="EUY16" s="56"/>
      <c r="EUZ16" s="57"/>
      <c r="EVA16" s="57"/>
      <c r="EVB16" s="57"/>
      <c r="EVC16" s="56"/>
      <c r="EVD16" s="57"/>
      <c r="EVE16" s="57"/>
      <c r="EVF16" s="56"/>
      <c r="EVG16" s="57"/>
      <c r="EVH16" s="58"/>
      <c r="EVI16" s="56" t="str">
        <f t="shared" si="151"/>
        <v xml:space="preserve"> </v>
      </c>
    </row>
    <row r="17" spans="1:3961" x14ac:dyDescent="0.3">
      <c r="A17" s="423" t="s">
        <v>159</v>
      </c>
      <c r="B17" s="27" t="str">
        <f>'REG y VAL POE - AESR - ESR'!B974</f>
        <v xml:space="preserve">Barojas Lopez Dario Euripides </v>
      </c>
      <c r="C17" s="29">
        <f>'REG y VAL POE - AESR - ESR'!C974</f>
        <v>0</v>
      </c>
      <c r="D17" s="28">
        <f>'REG y VAL POE - AESR - ESR'!D974</f>
        <v>22165688</v>
      </c>
      <c r="E17" s="29">
        <f>'REG y VAL POE - AESR - ESR'!E974</f>
        <v>0</v>
      </c>
      <c r="F17" s="28">
        <f>'REG y VAL POE - AESR - ESR'!F974</f>
        <v>0</v>
      </c>
      <c r="G17" s="31">
        <f>'REG y VAL POE - AESR - ESR'!G974</f>
        <v>0</v>
      </c>
      <c r="H17" s="31">
        <f>'REG y VAL POE - AESR - ESR'!H974</f>
        <v>0</v>
      </c>
      <c r="I17" s="29">
        <f>'REG y VAL POE - AESR - ESR'!I974</f>
        <v>0</v>
      </c>
      <c r="J17" s="29">
        <f>'REG y VAL POE - AESR - ESR'!J974</f>
        <v>0</v>
      </c>
      <c r="K17" s="29">
        <f>'REG y VAL POE - AESR - ESR'!K974</f>
        <v>0</v>
      </c>
      <c r="L17" s="29">
        <f>'REG y VAL POE - AESR - ESR'!L974</f>
        <v>0</v>
      </c>
      <c r="M17" s="29">
        <f>'REG y VAL POE - AESR - ESR'!M974</f>
        <v>0</v>
      </c>
      <c r="N17" s="29">
        <f>'REG y VAL POE - AESR - ESR'!N974</f>
        <v>0</v>
      </c>
      <c r="O17" s="29">
        <f>'REG y VAL POE - AESR - ESR'!O974</f>
        <v>0</v>
      </c>
      <c r="P17" s="29">
        <f>'REG y VAL POE - AESR - ESR'!P974</f>
        <v>0</v>
      </c>
      <c r="Q17" s="29">
        <f>'REG y VAL POE - AESR - ESR'!Q974</f>
        <v>0</v>
      </c>
      <c r="R17" s="29">
        <f>'REG y VAL POE - AESR - ESR'!R974</f>
        <v>0</v>
      </c>
      <c r="S17" s="29">
        <f>'REG y VAL POE - AESR - ESR'!S974</f>
        <v>0</v>
      </c>
      <c r="T17" s="29">
        <f>'REG y VAL POE - AESR - ESR'!T974</f>
        <v>0</v>
      </c>
      <c r="U17" s="29">
        <f>'REG y VAL POE - AESR - ESR'!U974</f>
        <v>0</v>
      </c>
      <c r="V17" s="29">
        <f>'REG y VAL POE - AESR - ESR'!V974</f>
        <v>0</v>
      </c>
      <c r="W17" s="29">
        <f>'REG y VAL POE - AESR - ESR'!W974</f>
        <v>0</v>
      </c>
      <c r="X17" s="29">
        <f>'REG y VAL POE - AESR - ESR'!X974</f>
        <v>0</v>
      </c>
      <c r="Y17" s="29">
        <f>'REG y VAL POE - AESR - ESR'!Y974</f>
        <v>0</v>
      </c>
      <c r="Z17" s="29">
        <f>'REG y VAL POE - AESR - ESR'!Z974</f>
        <v>0</v>
      </c>
      <c r="AA17" s="29">
        <f>'REG y VAL POE - AESR - ESR'!AA974</f>
        <v>0</v>
      </c>
      <c r="AB17" s="29">
        <f>'REG y VAL POE - AESR - ESR'!AB974</f>
        <v>0</v>
      </c>
      <c r="AC17" s="29">
        <f>'REG y VAL POE - AESR - ESR'!AC974</f>
        <v>0</v>
      </c>
      <c r="AD17" s="29">
        <f>'REG y VAL POE - AESR - ESR'!AD974</f>
        <v>0</v>
      </c>
      <c r="AE17" s="29">
        <f>'REG y VAL POE - AESR - ESR'!AE974</f>
        <v>0</v>
      </c>
      <c r="AF17" s="29">
        <f>'REG y VAL POE - AESR - ESR'!AF974</f>
        <v>0</v>
      </c>
      <c r="AG17" s="29">
        <f>'REG y VAL POE - AESR - ESR'!AG974</f>
        <v>0</v>
      </c>
      <c r="AH17" s="29">
        <f>'REG y VAL POE - AESR - ESR'!AH974</f>
        <v>0</v>
      </c>
      <c r="AI17" s="29">
        <f>'REG y VAL POE - AESR - ESR'!AI974</f>
        <v>0</v>
      </c>
      <c r="AJ17" s="29">
        <f>'REG y VAL POE - AESR - ESR'!AJ974</f>
        <v>0</v>
      </c>
      <c r="AK17" s="29">
        <f>'REG y VAL POE - AESR - ESR'!AK974</f>
        <v>0</v>
      </c>
      <c r="AL17" s="29">
        <f>'REG y VAL POE - AESR - ESR'!AL974</f>
        <v>0</v>
      </c>
      <c r="AM17" s="29">
        <f>'REG y VAL POE - AESR - ESR'!AM974</f>
        <v>0</v>
      </c>
      <c r="AN17" s="29">
        <f>'REG y VAL POE - AESR - ESR'!AN974</f>
        <v>0</v>
      </c>
      <c r="AO17" s="29">
        <f>'REG y VAL POE - AESR - ESR'!AO974</f>
        <v>0</v>
      </c>
      <c r="AP17" s="29">
        <f>'REG y VAL POE - AESR - ESR'!AP974</f>
        <v>0</v>
      </c>
      <c r="AQ17" s="29">
        <f>'REG y VAL POE - AESR - ESR'!AQ974</f>
        <v>0</v>
      </c>
      <c r="AR17" s="29">
        <f>'REG y VAL POE - AESR - ESR'!AR974</f>
        <v>0</v>
      </c>
      <c r="AS17" s="29">
        <f>'REG y VAL POE - AESR - ESR'!AS974</f>
        <v>0</v>
      </c>
      <c r="AT17" s="30" t="str">
        <f>'REG y VAL POE - AESR - ESR'!B975</f>
        <v xml:space="preserve">Montoya Araujo Francisco Javier </v>
      </c>
      <c r="AU17" s="28">
        <f>'REG y VAL POE - AESR - ESR'!C975</f>
        <v>0</v>
      </c>
      <c r="AV17" s="29">
        <f>'REG y VAL POE - AESR - ESR'!D975</f>
        <v>22172389</v>
      </c>
      <c r="AW17" s="29">
        <f>'REG y VAL POE - AESR - ESR'!E975</f>
        <v>0</v>
      </c>
      <c r="AX17" s="29">
        <f>'REG y VAL POE - AESR - ESR'!F975</f>
        <v>0</v>
      </c>
      <c r="AY17" s="29">
        <f>'REG y VAL POE - AESR - ESR'!G975</f>
        <v>0</v>
      </c>
      <c r="AZ17" s="29">
        <f>'REG y VAL POE - AESR - ESR'!H975</f>
        <v>0</v>
      </c>
      <c r="BA17" s="28">
        <f>'REG y VAL POE - AESR - ESR'!I975</f>
        <v>0</v>
      </c>
      <c r="BB17" s="29">
        <f>'REG y VAL POE - AESR - ESR'!J975</f>
        <v>0</v>
      </c>
      <c r="BC17" s="29">
        <f>'REG y VAL POE - AESR - ESR'!K975</f>
        <v>0</v>
      </c>
      <c r="BD17" s="28">
        <f>'REG y VAL POE - AESR - ESR'!L975</f>
        <v>0</v>
      </c>
      <c r="BE17" s="29">
        <f>'REG y VAL POE - AESR - ESR'!M975</f>
        <v>0</v>
      </c>
      <c r="BF17" s="30">
        <f>'REG y VAL POE - AESR - ESR'!N975</f>
        <v>0</v>
      </c>
      <c r="BG17" s="28">
        <f>'REG y VAL POE - AESR - ESR'!O975</f>
        <v>0</v>
      </c>
      <c r="BH17" s="29">
        <f>'REG y VAL POE - AESR - ESR'!P975</f>
        <v>0</v>
      </c>
      <c r="BI17" s="29">
        <f>'REG y VAL POE - AESR - ESR'!Q975</f>
        <v>0</v>
      </c>
      <c r="BJ17" s="29">
        <f>'REG y VAL POE - AESR - ESR'!R975</f>
        <v>0</v>
      </c>
      <c r="BK17" s="28">
        <f>'REG y VAL POE - AESR - ESR'!S975</f>
        <v>0</v>
      </c>
      <c r="BL17" s="29">
        <f>'REG y VAL POE - AESR - ESR'!T975</f>
        <v>0</v>
      </c>
      <c r="BM17" s="29">
        <f>'REG y VAL POE - AESR - ESR'!U975</f>
        <v>0</v>
      </c>
      <c r="BN17" s="28">
        <f>'REG y VAL POE - AESR - ESR'!V975</f>
        <v>0</v>
      </c>
      <c r="BO17" s="29">
        <f>'REG y VAL POE - AESR - ESR'!W975</f>
        <v>0</v>
      </c>
      <c r="BP17" s="30">
        <f>'REG y VAL POE - AESR - ESR'!X975</f>
        <v>0</v>
      </c>
      <c r="BQ17" s="28">
        <f>'REG y VAL POE - AESR - ESR'!Y975</f>
        <v>0</v>
      </c>
      <c r="BR17" s="29">
        <f>'REG y VAL POE - AESR - ESR'!Z975</f>
        <v>0</v>
      </c>
      <c r="BS17" s="29">
        <f>'REG y VAL POE - AESR - ESR'!AA975</f>
        <v>0</v>
      </c>
      <c r="BT17" s="29">
        <f>'REG y VAL POE - AESR - ESR'!AB975</f>
        <v>0</v>
      </c>
      <c r="BU17" s="28">
        <f>'REG y VAL POE - AESR - ESR'!AC975</f>
        <v>0</v>
      </c>
      <c r="BV17" s="29">
        <f>'REG y VAL POE - AESR - ESR'!AD975</f>
        <v>0</v>
      </c>
      <c r="BW17" s="29">
        <f>'REG y VAL POE - AESR - ESR'!AE975</f>
        <v>0</v>
      </c>
      <c r="BX17" s="28">
        <f>'REG y VAL POE - AESR - ESR'!AF975</f>
        <v>0</v>
      </c>
      <c r="BY17" s="29">
        <f>'REG y VAL POE - AESR - ESR'!AG975</f>
        <v>0</v>
      </c>
      <c r="BZ17" s="30">
        <f>'REG y VAL POE - AESR - ESR'!AH975</f>
        <v>0</v>
      </c>
      <c r="CA17" s="28">
        <f>'REG y VAL POE - AESR - ESR'!AI975</f>
        <v>0</v>
      </c>
      <c r="CB17" s="29">
        <f>'REG y VAL POE - AESR - ESR'!AJ975</f>
        <v>0</v>
      </c>
      <c r="CC17" s="29">
        <f>'REG y VAL POE - AESR - ESR'!AK975</f>
        <v>0</v>
      </c>
      <c r="CD17" s="29">
        <f>'REG y VAL POE - AESR - ESR'!AL975</f>
        <v>0</v>
      </c>
      <c r="CE17" s="28">
        <f>'REG y VAL POE - AESR - ESR'!AM975</f>
        <v>0</v>
      </c>
      <c r="CF17" s="29">
        <f>'REG y VAL POE - AESR - ESR'!AN975</f>
        <v>0</v>
      </c>
      <c r="CG17" s="29">
        <f>'REG y VAL POE - AESR - ESR'!AO975</f>
        <v>0</v>
      </c>
      <c r="CH17" s="28">
        <f>'REG y VAL POE - AESR - ESR'!AP975</f>
        <v>0</v>
      </c>
      <c r="CI17" s="29">
        <f>'REG y VAL POE - AESR - ESR'!AQ975</f>
        <v>0</v>
      </c>
      <c r="CJ17" s="30">
        <f>'REG y VAL POE - AESR - ESR'!AR975</f>
        <v>0</v>
      </c>
      <c r="CK17" s="28">
        <f>'REG y VAL POE - AESR - ESR'!AS975</f>
        <v>0</v>
      </c>
      <c r="CL17" s="385" t="str">
        <f>'REG y VAL POE - AESR - ESR'!B976</f>
        <v xml:space="preserve">Quintana Amaya Ramon Eduardo </v>
      </c>
      <c r="CM17" s="29">
        <f>'REG y VAL POE - AESR - ESR'!C976</f>
        <v>0</v>
      </c>
      <c r="CN17" s="29">
        <f>'REG y VAL POE - AESR - ESR'!D976</f>
        <v>22173123</v>
      </c>
      <c r="CO17" s="28">
        <f>'REG y VAL POE - AESR - ESR'!E976</f>
        <v>0</v>
      </c>
      <c r="CP17" s="29">
        <f>'REG y VAL POE - AESR - ESR'!F976</f>
        <v>0</v>
      </c>
      <c r="CQ17" s="29">
        <f>'REG y VAL POE - AESR - ESR'!G976</f>
        <v>0</v>
      </c>
      <c r="CR17" s="28">
        <f>'REG y VAL POE - AESR - ESR'!H976</f>
        <v>0</v>
      </c>
      <c r="CS17" s="29">
        <f>'REG y VAL POE - AESR - ESR'!I976</f>
        <v>0</v>
      </c>
      <c r="CT17" s="30">
        <f>'REG y VAL POE - AESR - ESR'!J976</f>
        <v>0</v>
      </c>
      <c r="CU17" s="28">
        <f>'REG y VAL POE - AESR - ESR'!K976</f>
        <v>0</v>
      </c>
      <c r="CV17" s="29">
        <f>'REG y VAL POE - AESR - ESR'!L976</f>
        <v>0</v>
      </c>
      <c r="CW17" s="29">
        <f>'REG y VAL POE - AESR - ESR'!M976</f>
        <v>0</v>
      </c>
      <c r="CX17" s="29">
        <f>'REG y VAL POE - AESR - ESR'!N976</f>
        <v>0</v>
      </c>
      <c r="CY17" s="28">
        <f>'REG y VAL POE - AESR - ESR'!O976</f>
        <v>0</v>
      </c>
      <c r="CZ17" s="29">
        <f>'REG y VAL POE - AESR - ESR'!P976</f>
        <v>0</v>
      </c>
      <c r="DA17" s="29">
        <f>'REG y VAL POE - AESR - ESR'!Q976</f>
        <v>0</v>
      </c>
      <c r="DB17" s="28">
        <f>'REG y VAL POE - AESR - ESR'!R976</f>
        <v>0</v>
      </c>
      <c r="DC17" s="29">
        <f>'REG y VAL POE - AESR - ESR'!S976</f>
        <v>0</v>
      </c>
      <c r="DD17" s="30">
        <f>'REG y VAL POE - AESR - ESR'!T976</f>
        <v>0</v>
      </c>
      <c r="DE17" s="28">
        <f>'REG y VAL POE - AESR - ESR'!U976</f>
        <v>0</v>
      </c>
      <c r="DF17" s="29">
        <f>'REG y VAL POE - AESR - ESR'!V976</f>
        <v>0</v>
      </c>
      <c r="DG17" s="29">
        <f>'REG y VAL POE - AESR - ESR'!W976</f>
        <v>0</v>
      </c>
      <c r="DH17" s="29">
        <f>'REG y VAL POE - AESR - ESR'!X976</f>
        <v>0</v>
      </c>
      <c r="DI17" s="28">
        <f>'REG y VAL POE - AESR - ESR'!Y976</f>
        <v>0</v>
      </c>
      <c r="DJ17" s="29">
        <f>'REG y VAL POE - AESR - ESR'!Z976</f>
        <v>0</v>
      </c>
      <c r="DK17" s="29">
        <f>'REG y VAL POE - AESR - ESR'!AA976</f>
        <v>0</v>
      </c>
      <c r="DL17" s="28">
        <f>'REG y VAL POE - AESR - ESR'!AB976</f>
        <v>0</v>
      </c>
      <c r="DM17" s="29">
        <f>'REG y VAL POE - AESR - ESR'!AC976</f>
        <v>0</v>
      </c>
      <c r="DN17" s="30">
        <f>'REG y VAL POE - AESR - ESR'!AD976</f>
        <v>0</v>
      </c>
      <c r="DO17" s="28">
        <f>'REG y VAL POE - AESR - ESR'!AE976</f>
        <v>0</v>
      </c>
      <c r="DP17" s="29">
        <f>'REG y VAL POE - AESR - ESR'!AF976</f>
        <v>0</v>
      </c>
      <c r="DQ17" s="29">
        <f>'REG y VAL POE - AESR - ESR'!AG976</f>
        <v>0</v>
      </c>
      <c r="DR17" s="29">
        <f>'REG y VAL POE - AESR - ESR'!AH976</f>
        <v>0</v>
      </c>
      <c r="DS17" s="28">
        <f>'REG y VAL POE - AESR - ESR'!AI976</f>
        <v>0</v>
      </c>
      <c r="DT17" s="29">
        <f>'REG y VAL POE - AESR - ESR'!AJ976</f>
        <v>0</v>
      </c>
      <c r="DU17" s="29">
        <f>'REG y VAL POE - AESR - ESR'!AK976</f>
        <v>0</v>
      </c>
      <c r="DV17" s="28">
        <f>'REG y VAL POE - AESR - ESR'!AL976</f>
        <v>0</v>
      </c>
      <c r="DW17" s="29">
        <f>'REG y VAL POE - AESR - ESR'!AM976</f>
        <v>0</v>
      </c>
      <c r="DX17" s="30">
        <f>'REG y VAL POE - AESR - ESR'!AN976</f>
        <v>0</v>
      </c>
      <c r="DY17" s="28">
        <f>'REG y VAL POE - AESR - ESR'!AO976</f>
        <v>0</v>
      </c>
      <c r="DZ17" s="29">
        <f>'REG y VAL POE - AESR - ESR'!AP976</f>
        <v>0</v>
      </c>
      <c r="EA17" s="29">
        <f>'REG y VAL POE - AESR - ESR'!AQ976</f>
        <v>0</v>
      </c>
      <c r="EB17" s="29">
        <f>'REG y VAL POE - AESR - ESR'!AR976</f>
        <v>0</v>
      </c>
      <c r="EC17" s="28">
        <f>'REG y VAL POE - AESR - ESR'!AS976</f>
        <v>0</v>
      </c>
      <c r="ED17" s="385" t="str">
        <f>'REG y VAL POE - AESR - ESR'!B977</f>
        <v xml:space="preserve">Vergara Robles Oscar Antonio </v>
      </c>
      <c r="EE17" s="28">
        <f>'REG y VAL POE - AESR - ESR'!C977</f>
        <v>0</v>
      </c>
      <c r="EF17" s="28">
        <f>'REG y VAL POE - AESR - ESR'!D977</f>
        <v>22170380</v>
      </c>
      <c r="EG17" s="29">
        <f>'REG y VAL POE - AESR - ESR'!E977</f>
        <v>0</v>
      </c>
      <c r="EH17" s="30">
        <f>'REG y VAL POE - AESR - ESR'!F977</f>
        <v>0</v>
      </c>
      <c r="EI17" s="28">
        <f>'REG y VAL POE - AESR - ESR'!G977</f>
        <v>0</v>
      </c>
      <c r="EJ17" s="29">
        <f>'REG y VAL POE - AESR - ESR'!H977</f>
        <v>0</v>
      </c>
      <c r="EK17" s="29">
        <f>'REG y VAL POE - AESR - ESR'!I977</f>
        <v>0</v>
      </c>
      <c r="EL17" s="29">
        <f>'REG y VAL POE - AESR - ESR'!J977</f>
        <v>0</v>
      </c>
      <c r="EM17" s="28">
        <f>'REG y VAL POE - AESR - ESR'!K977</f>
        <v>0</v>
      </c>
      <c r="EN17" s="29">
        <f>'REG y VAL POE - AESR - ESR'!L977</f>
        <v>0</v>
      </c>
      <c r="EO17" s="33">
        <f>'REG y VAL POE - AESR - ESR'!M977</f>
        <v>0</v>
      </c>
      <c r="EP17" s="28">
        <f>'REG y VAL POE - AESR - ESR'!N977</f>
        <v>0</v>
      </c>
      <c r="EQ17" s="29">
        <f>'REG y VAL POE - AESR - ESR'!O977</f>
        <v>0</v>
      </c>
      <c r="ER17" s="30">
        <f>'REG y VAL POE - AESR - ESR'!P977</f>
        <v>0</v>
      </c>
      <c r="ES17" s="28">
        <f>'REG y VAL POE - AESR - ESR'!Q977</f>
        <v>0</v>
      </c>
      <c r="ET17" s="29">
        <f>'REG y VAL POE - AESR - ESR'!R977</f>
        <v>0</v>
      </c>
      <c r="EU17" s="29">
        <f>'REG y VAL POE - AESR - ESR'!S977</f>
        <v>0</v>
      </c>
      <c r="EV17" s="29">
        <f>'REG y VAL POE - AESR - ESR'!T977</f>
        <v>0</v>
      </c>
      <c r="EW17" s="28">
        <f>'REG y VAL POE - AESR - ESR'!U977</f>
        <v>0</v>
      </c>
      <c r="EX17" s="29">
        <f>'REG y VAL POE - AESR - ESR'!V977</f>
        <v>0</v>
      </c>
      <c r="EY17" s="29">
        <f>'REG y VAL POE - AESR - ESR'!W977</f>
        <v>0</v>
      </c>
      <c r="EZ17" s="28">
        <f>'REG y VAL POE - AESR - ESR'!X977</f>
        <v>0</v>
      </c>
      <c r="FA17" s="29">
        <f>'REG y VAL POE - AESR - ESR'!Y977</f>
        <v>0</v>
      </c>
      <c r="FB17" s="30">
        <f>'REG y VAL POE - AESR - ESR'!Z977</f>
        <v>0</v>
      </c>
      <c r="FC17" s="28">
        <f>'REG y VAL POE - AESR - ESR'!AA977</f>
        <v>0</v>
      </c>
      <c r="FD17" s="29">
        <f>'REG y VAL POE - AESR - ESR'!AB977</f>
        <v>0</v>
      </c>
      <c r="FE17" s="29">
        <f>'REG y VAL POE - AESR - ESR'!AC977</f>
        <v>0</v>
      </c>
      <c r="FF17" s="29">
        <f>'REG y VAL POE - AESR - ESR'!AD977</f>
        <v>0</v>
      </c>
      <c r="FG17" s="28">
        <f>'REG y VAL POE - AESR - ESR'!AE977</f>
        <v>0</v>
      </c>
      <c r="FH17" s="29">
        <f>'REG y VAL POE - AESR - ESR'!AF977</f>
        <v>0</v>
      </c>
      <c r="FI17" s="29">
        <f>'REG y VAL POE - AESR - ESR'!AG977</f>
        <v>0</v>
      </c>
      <c r="FJ17" s="28">
        <f>'REG y VAL POE - AESR - ESR'!AH977</f>
        <v>0</v>
      </c>
      <c r="FK17" s="29">
        <f>'REG y VAL POE - AESR - ESR'!AI977</f>
        <v>0</v>
      </c>
      <c r="FL17" s="30">
        <f>'REG y VAL POE - AESR - ESR'!AJ977</f>
        <v>0</v>
      </c>
      <c r="FM17" s="28">
        <f>'REG y VAL POE - AESR - ESR'!AK977</f>
        <v>0</v>
      </c>
      <c r="FN17" s="29">
        <f>'REG y VAL POE - AESR - ESR'!AL977</f>
        <v>0</v>
      </c>
      <c r="FO17" s="29">
        <f>'REG y VAL POE - AESR - ESR'!AM977</f>
        <v>0</v>
      </c>
      <c r="FP17" s="29">
        <f>'REG y VAL POE - AESR - ESR'!AN977</f>
        <v>0</v>
      </c>
      <c r="FQ17" s="28">
        <f>'REG y VAL POE - AESR - ESR'!AO977</f>
        <v>0</v>
      </c>
      <c r="FR17" s="29">
        <f>'REG y VAL POE - AESR - ESR'!AP977</f>
        <v>0</v>
      </c>
      <c r="FS17" s="29">
        <f>'REG y VAL POE - AESR - ESR'!AQ977</f>
        <v>0</v>
      </c>
      <c r="FT17" s="28">
        <f>'REG y VAL POE - AESR - ESR'!AR977</f>
        <v>0</v>
      </c>
      <c r="FU17" s="29">
        <f>'REG y VAL POE - AESR - ESR'!AS977</f>
        <v>0</v>
      </c>
      <c r="FV17" s="30" t="str">
        <f>'REG y VAL POE - AESR - ESR'!B978</f>
        <v xml:space="preserve">Vielma Lopez Marco Antonio </v>
      </c>
      <c r="FW17" s="28">
        <f>'REG y VAL POE - AESR - ESR'!C978</f>
        <v>0</v>
      </c>
      <c r="FX17" s="29">
        <f>'REG y VAL POE - AESR - ESR'!D978</f>
        <v>22196725</v>
      </c>
      <c r="FY17" s="29">
        <f>'REG y VAL POE - AESR - ESR'!E978</f>
        <v>0</v>
      </c>
      <c r="FZ17" s="29">
        <f>'REG y VAL POE - AESR - ESR'!F978</f>
        <v>0</v>
      </c>
      <c r="GA17" s="28">
        <f>'REG y VAL POE - AESR - ESR'!G978</f>
        <v>0</v>
      </c>
      <c r="GB17" s="29">
        <f>'REG y VAL POE - AESR - ESR'!H978</f>
        <v>0</v>
      </c>
      <c r="GC17" s="29">
        <f>'REG y VAL POE - AESR - ESR'!I978</f>
        <v>0</v>
      </c>
      <c r="GD17" s="28">
        <f>'REG y VAL POE - AESR - ESR'!J978</f>
        <v>0</v>
      </c>
      <c r="GE17" s="29">
        <f>'REG y VAL POE - AESR - ESR'!K978</f>
        <v>0</v>
      </c>
      <c r="GF17" s="30">
        <f>'REG y VAL POE - AESR - ESR'!L978</f>
        <v>0</v>
      </c>
      <c r="GG17" s="28">
        <f>'REG y VAL POE - AESR - ESR'!M978</f>
        <v>0</v>
      </c>
      <c r="GH17" s="29">
        <f>'REG y VAL POE - AESR - ESR'!N978</f>
        <v>0</v>
      </c>
      <c r="GI17" s="29">
        <f>'REG y VAL POE - AESR - ESR'!O978</f>
        <v>0</v>
      </c>
      <c r="GJ17" s="29">
        <f>'REG y VAL POE - AESR - ESR'!P978</f>
        <v>0</v>
      </c>
      <c r="GK17" s="28">
        <f>'REG y VAL POE - AESR - ESR'!Q978</f>
        <v>0</v>
      </c>
      <c r="GL17" s="29">
        <f>'REG y VAL POE - AESR - ESR'!R978</f>
        <v>0</v>
      </c>
      <c r="GM17" s="29">
        <f>'REG y VAL POE - AESR - ESR'!S978</f>
        <v>0</v>
      </c>
      <c r="GN17" s="28">
        <f>'REG y VAL POE - AESR - ESR'!T978</f>
        <v>0</v>
      </c>
      <c r="GO17" s="29">
        <f>'REG y VAL POE - AESR - ESR'!U978</f>
        <v>0</v>
      </c>
      <c r="GP17" s="30">
        <f>'REG y VAL POE - AESR - ESR'!V978</f>
        <v>0</v>
      </c>
      <c r="GQ17" s="28">
        <f>'REG y VAL POE - AESR - ESR'!W978</f>
        <v>0</v>
      </c>
      <c r="GR17" s="29">
        <f>'REG y VAL POE - AESR - ESR'!X978</f>
        <v>0</v>
      </c>
      <c r="GS17" s="29">
        <f>'REG y VAL POE - AESR - ESR'!Y978</f>
        <v>0</v>
      </c>
      <c r="GT17" s="29">
        <f>'REG y VAL POE - AESR - ESR'!Z978</f>
        <v>0</v>
      </c>
      <c r="GU17" s="28">
        <f>'REG y VAL POE - AESR - ESR'!AA978</f>
        <v>0</v>
      </c>
      <c r="GV17" s="29">
        <f>'REG y VAL POE - AESR - ESR'!AB978</f>
        <v>0</v>
      </c>
      <c r="GW17" s="29">
        <f>'REG y VAL POE - AESR - ESR'!AC978</f>
        <v>0</v>
      </c>
      <c r="GX17" s="28">
        <f>'REG y VAL POE - AESR - ESR'!AD978</f>
        <v>0</v>
      </c>
      <c r="GY17" s="29">
        <f>'REG y VAL POE - AESR - ESR'!AE978</f>
        <v>0</v>
      </c>
      <c r="GZ17" s="30">
        <f>'REG y VAL POE - AESR - ESR'!AF978</f>
        <v>0</v>
      </c>
      <c r="HA17" s="28">
        <f>'REG y VAL POE - AESR - ESR'!AG978</f>
        <v>0</v>
      </c>
      <c r="HB17" s="29">
        <f>'REG y VAL POE - AESR - ESR'!AH978</f>
        <v>0</v>
      </c>
      <c r="HC17" s="29">
        <f>'REG y VAL POE - AESR - ESR'!AI978</f>
        <v>0</v>
      </c>
      <c r="HD17" s="29">
        <f>'REG y VAL POE - AESR - ESR'!AJ978</f>
        <v>0</v>
      </c>
      <c r="HE17" s="28">
        <f>'REG y VAL POE - AESR - ESR'!AK978</f>
        <v>0</v>
      </c>
      <c r="HF17" s="29">
        <f>'REG y VAL POE - AESR - ESR'!AL978</f>
        <v>0</v>
      </c>
      <c r="HG17" s="29">
        <f>'REG y VAL POE - AESR - ESR'!AM978</f>
        <v>0</v>
      </c>
      <c r="HH17" s="28">
        <f>'REG y VAL POE - AESR - ESR'!AN978</f>
        <v>0</v>
      </c>
      <c r="HI17" s="29">
        <f>'REG y VAL POE - AESR - ESR'!AO978</f>
        <v>0</v>
      </c>
      <c r="HJ17" s="30">
        <f>'REG y VAL POE - AESR - ESR'!AP978</f>
        <v>0</v>
      </c>
      <c r="HK17" s="28">
        <f>'REG y VAL POE - AESR - ESR'!AQ978</f>
        <v>0</v>
      </c>
      <c r="HL17" s="29">
        <f>'REG y VAL POE - AESR - ESR'!AR978</f>
        <v>0</v>
      </c>
      <c r="HM17" s="29">
        <f>'REG y VAL POE - AESR - ESR'!AS978</f>
        <v>0</v>
      </c>
      <c r="HN17" s="385">
        <f>'REG y VAL POE - AESR - ESR'!B979</f>
        <v>0</v>
      </c>
      <c r="HO17" s="28">
        <f>'REG y VAL POE - AESR - ESR'!C979</f>
        <v>0</v>
      </c>
      <c r="HP17" s="29">
        <f>'REG y VAL POE - AESR - ESR'!D979</f>
        <v>0</v>
      </c>
      <c r="HQ17" s="29">
        <f>'REG y VAL POE - AESR - ESR'!E979</f>
        <v>0</v>
      </c>
      <c r="HR17" s="28">
        <f>'REG y VAL POE - AESR - ESR'!F979</f>
        <v>0</v>
      </c>
      <c r="HS17" s="29">
        <f>'REG y VAL POE - AESR - ESR'!G979</f>
        <v>0</v>
      </c>
      <c r="HT17" s="30">
        <f>'REG y VAL POE - AESR - ESR'!H979</f>
        <v>0</v>
      </c>
      <c r="HU17" s="28">
        <f>'REG y VAL POE - AESR - ESR'!I979</f>
        <v>0</v>
      </c>
      <c r="HV17" s="29">
        <f>'REG y VAL POE - AESR - ESR'!J979</f>
        <v>0</v>
      </c>
      <c r="HW17" s="29">
        <f>'REG y VAL POE - AESR - ESR'!K979</f>
        <v>0</v>
      </c>
      <c r="HX17" s="29">
        <f>'REG y VAL POE - AESR - ESR'!L979</f>
        <v>0</v>
      </c>
      <c r="HY17" s="28">
        <f>'REG y VAL POE - AESR - ESR'!M979</f>
        <v>0</v>
      </c>
      <c r="HZ17" s="29">
        <f>'REG y VAL POE - AESR - ESR'!N979</f>
        <v>0</v>
      </c>
      <c r="IA17" s="29">
        <f>'REG y VAL POE - AESR - ESR'!O979</f>
        <v>0</v>
      </c>
      <c r="IB17" s="28">
        <f>'REG y VAL POE - AESR - ESR'!P979</f>
        <v>0</v>
      </c>
      <c r="IC17" s="29">
        <f>'REG y VAL POE - AESR - ESR'!Q979</f>
        <v>0</v>
      </c>
      <c r="ID17" s="30">
        <f>'REG y VAL POE - AESR - ESR'!R979</f>
        <v>0</v>
      </c>
      <c r="IE17" s="28">
        <f>'REG y VAL POE - AESR - ESR'!S979</f>
        <v>0</v>
      </c>
      <c r="IF17" s="29">
        <f>'REG y VAL POE - AESR - ESR'!T979</f>
        <v>0</v>
      </c>
      <c r="IG17" s="29">
        <f>'REG y VAL POE - AESR - ESR'!U979</f>
        <v>0</v>
      </c>
      <c r="IH17" s="29">
        <f>'REG y VAL POE - AESR - ESR'!V979</f>
        <v>0</v>
      </c>
      <c r="II17" s="28">
        <f>'REG y VAL POE - AESR - ESR'!W979</f>
        <v>0</v>
      </c>
      <c r="IJ17" s="29">
        <f>'REG y VAL POE - AESR - ESR'!X979</f>
        <v>0</v>
      </c>
      <c r="IK17" s="29">
        <f>'REG y VAL POE - AESR - ESR'!Y979</f>
        <v>0</v>
      </c>
      <c r="IL17" s="28">
        <f>'REG y VAL POE - AESR - ESR'!Z979</f>
        <v>0</v>
      </c>
      <c r="IM17" s="29">
        <f>'REG y VAL POE - AESR - ESR'!AA979</f>
        <v>0</v>
      </c>
      <c r="IN17" s="30">
        <f>'REG y VAL POE - AESR - ESR'!AB979</f>
        <v>0</v>
      </c>
      <c r="IO17" s="28">
        <f>'REG y VAL POE - AESR - ESR'!AC979</f>
        <v>0</v>
      </c>
      <c r="IP17" s="29">
        <f>'REG y VAL POE - AESR - ESR'!AD979</f>
        <v>0</v>
      </c>
      <c r="IQ17" s="29">
        <f>'REG y VAL POE - AESR - ESR'!AE979</f>
        <v>0</v>
      </c>
      <c r="IR17" s="29">
        <f>'REG y VAL POE - AESR - ESR'!AF979</f>
        <v>0</v>
      </c>
      <c r="IS17" s="28">
        <f>'REG y VAL POE - AESR - ESR'!AG979</f>
        <v>0</v>
      </c>
      <c r="IT17" s="29">
        <f>'REG y VAL POE - AESR - ESR'!AH979</f>
        <v>0</v>
      </c>
      <c r="IU17" s="29">
        <f>'REG y VAL POE - AESR - ESR'!AI979</f>
        <v>0</v>
      </c>
      <c r="IV17" s="28">
        <f>'REG y VAL POE - AESR - ESR'!AJ979</f>
        <v>0</v>
      </c>
      <c r="IW17" s="29">
        <f>'REG y VAL POE - AESR - ESR'!AK979</f>
        <v>0</v>
      </c>
      <c r="IX17" s="30">
        <f>'REG y VAL POE - AESR - ESR'!AL979</f>
        <v>0</v>
      </c>
      <c r="IY17" s="28">
        <f>'REG y VAL POE - AESR - ESR'!AM979</f>
        <v>0</v>
      </c>
      <c r="IZ17" s="29">
        <f>'REG y VAL POE - AESR - ESR'!AN979</f>
        <v>0</v>
      </c>
      <c r="JA17" s="29">
        <f>'REG y VAL POE - AESR - ESR'!AO979</f>
        <v>0</v>
      </c>
      <c r="JB17" s="29">
        <f>'REG y VAL POE - AESR - ESR'!AP979</f>
        <v>0</v>
      </c>
      <c r="JC17" s="28">
        <f>'REG y VAL POE - AESR - ESR'!AQ979</f>
        <v>0</v>
      </c>
      <c r="JD17" s="29">
        <f>'REG y VAL POE - AESR - ESR'!AR979</f>
        <v>0</v>
      </c>
      <c r="JE17" s="29">
        <f>'REG y VAL POE - AESR - ESR'!AS979</f>
        <v>0</v>
      </c>
      <c r="JF17" s="27">
        <f>'REG y VAL POE - AESR - ESR'!B980</f>
        <v>0</v>
      </c>
      <c r="JG17" s="29">
        <f>'REG y VAL POE - AESR - ESR'!C980</f>
        <v>0</v>
      </c>
      <c r="JH17" s="30">
        <f>'REG y VAL POE - AESR - ESR'!D980</f>
        <v>0</v>
      </c>
      <c r="JI17" s="28">
        <f>'REG y VAL POE - AESR - ESR'!E980</f>
        <v>0</v>
      </c>
      <c r="JJ17" s="29">
        <f>'REG y VAL POE - AESR - ESR'!F980</f>
        <v>0</v>
      </c>
      <c r="JK17" s="29">
        <f>'REG y VAL POE - AESR - ESR'!G980</f>
        <v>0</v>
      </c>
      <c r="JL17" s="29">
        <f>'REG y VAL POE - AESR - ESR'!H980</f>
        <v>0</v>
      </c>
      <c r="JM17" s="28">
        <f>'REG y VAL POE - AESR - ESR'!I980</f>
        <v>0</v>
      </c>
      <c r="JN17" s="29">
        <f>'REG y VAL POE - AESR - ESR'!J980</f>
        <v>0</v>
      </c>
      <c r="JO17" s="29">
        <f>'REG y VAL POE - AESR - ESR'!K980</f>
        <v>0</v>
      </c>
      <c r="JP17" s="28">
        <f>'REG y VAL POE - AESR - ESR'!L980</f>
        <v>0</v>
      </c>
      <c r="JQ17" s="29">
        <f>'REG y VAL POE - AESR - ESR'!M980</f>
        <v>0</v>
      </c>
      <c r="JR17" s="30">
        <f>'REG y VAL POE - AESR - ESR'!N980</f>
        <v>0</v>
      </c>
      <c r="JS17" s="28">
        <f>'REG y VAL POE - AESR - ESR'!O980</f>
        <v>0</v>
      </c>
      <c r="JT17" s="29">
        <f>'REG y VAL POE - AESR - ESR'!P980</f>
        <v>0</v>
      </c>
      <c r="JU17" s="29">
        <f>'REG y VAL POE - AESR - ESR'!Q980</f>
        <v>0</v>
      </c>
      <c r="JV17" s="29">
        <f>'REG y VAL POE - AESR - ESR'!R980</f>
        <v>0</v>
      </c>
      <c r="JW17" s="28">
        <f>'REG y VAL POE - AESR - ESR'!S980</f>
        <v>0</v>
      </c>
      <c r="JX17" s="29">
        <f>'REG y VAL POE - AESR - ESR'!T980</f>
        <v>0</v>
      </c>
      <c r="JY17" s="29">
        <f>'REG y VAL POE - AESR - ESR'!U980</f>
        <v>0</v>
      </c>
      <c r="JZ17" s="28">
        <f>'REG y VAL POE - AESR - ESR'!V980</f>
        <v>0</v>
      </c>
      <c r="KA17" s="29">
        <f>'REG y VAL POE - AESR - ESR'!W980</f>
        <v>0</v>
      </c>
      <c r="KB17" s="30">
        <f>'REG y VAL POE - AESR - ESR'!X980</f>
        <v>0</v>
      </c>
      <c r="KC17" s="28">
        <f>'REG y VAL POE - AESR - ESR'!Y980</f>
        <v>0</v>
      </c>
      <c r="KD17" s="29">
        <f>'REG y VAL POE - AESR - ESR'!Z980</f>
        <v>0</v>
      </c>
      <c r="KE17" s="29">
        <f>'REG y VAL POE - AESR - ESR'!AA980</f>
        <v>0</v>
      </c>
      <c r="KF17" s="29">
        <f>'REG y VAL POE - AESR - ESR'!AB980</f>
        <v>0</v>
      </c>
      <c r="KG17" s="28">
        <f>'REG y VAL POE - AESR - ESR'!AC980</f>
        <v>0</v>
      </c>
      <c r="KH17" s="29">
        <f>'REG y VAL POE - AESR - ESR'!AD980</f>
        <v>0</v>
      </c>
      <c r="KI17" s="29">
        <f>'REG y VAL POE - AESR - ESR'!AE980</f>
        <v>0</v>
      </c>
      <c r="KJ17" s="28">
        <f>'REG y VAL POE - AESR - ESR'!AF980</f>
        <v>0</v>
      </c>
      <c r="KK17" s="29">
        <f>'REG y VAL POE - AESR - ESR'!AG980</f>
        <v>0</v>
      </c>
      <c r="KL17" s="30">
        <f>'REG y VAL POE - AESR - ESR'!AH980</f>
        <v>0</v>
      </c>
      <c r="KM17" s="28">
        <f>'REG y VAL POE - AESR - ESR'!AI980</f>
        <v>0</v>
      </c>
      <c r="KN17" s="29">
        <f>'REG y VAL POE - AESR - ESR'!AJ980</f>
        <v>0</v>
      </c>
      <c r="KO17" s="29">
        <f>'REG y VAL POE - AESR - ESR'!AK980</f>
        <v>0</v>
      </c>
      <c r="KP17" s="29">
        <f>'REG y VAL POE - AESR - ESR'!AL980</f>
        <v>0</v>
      </c>
      <c r="KQ17" s="28">
        <f>'REG y VAL POE - AESR - ESR'!AM980</f>
        <v>0</v>
      </c>
      <c r="KR17" s="29">
        <f>'REG y VAL POE - AESR - ESR'!AN980</f>
        <v>0</v>
      </c>
      <c r="KS17" s="29">
        <f>'REG y VAL POE - AESR - ESR'!AO980</f>
        <v>0</v>
      </c>
      <c r="KT17" s="28">
        <f>'REG y VAL POE - AESR - ESR'!AP980</f>
        <v>0</v>
      </c>
      <c r="KU17" s="29">
        <f>'REG y VAL POE - AESR - ESR'!AQ980</f>
        <v>0</v>
      </c>
      <c r="KV17" s="30">
        <f>'REG y VAL POE - AESR - ESR'!AR980</f>
        <v>0</v>
      </c>
      <c r="KW17" s="28">
        <f>'REG y VAL POE - AESR - ESR'!AS980</f>
        <v>0</v>
      </c>
      <c r="KX17" s="385">
        <f>'REG y VAL POE - AESR - ESR'!B981</f>
        <v>0</v>
      </c>
      <c r="KY17" s="29">
        <f>'REG y VAL POE - AESR - ESR'!C981</f>
        <v>0</v>
      </c>
      <c r="KZ17" s="29">
        <f>'REG y VAL POE - AESR - ESR'!D981</f>
        <v>0</v>
      </c>
      <c r="LA17" s="28">
        <f>'REG y VAL POE - AESR - ESR'!E981</f>
        <v>0</v>
      </c>
      <c r="LB17" s="29">
        <f>'REG y VAL POE - AESR - ESR'!F981</f>
        <v>0</v>
      </c>
      <c r="LC17" s="29">
        <f>'REG y VAL POE - AESR - ESR'!G981</f>
        <v>0</v>
      </c>
      <c r="LD17" s="28">
        <f>'REG y VAL POE - AESR - ESR'!H981</f>
        <v>0</v>
      </c>
      <c r="LE17" s="29">
        <f>'REG y VAL POE - AESR - ESR'!I981</f>
        <v>0</v>
      </c>
      <c r="LF17" s="30">
        <f>'REG y VAL POE - AESR - ESR'!J981</f>
        <v>0</v>
      </c>
      <c r="LG17" s="28">
        <f>'REG y VAL POE - AESR - ESR'!K981</f>
        <v>0</v>
      </c>
      <c r="LH17" s="29">
        <f>'REG y VAL POE - AESR - ESR'!L981</f>
        <v>0</v>
      </c>
      <c r="LI17" s="29">
        <f>'REG y VAL POE - AESR - ESR'!M981</f>
        <v>0</v>
      </c>
      <c r="LJ17" s="29">
        <f>'REG y VAL POE - AESR - ESR'!N981</f>
        <v>0</v>
      </c>
      <c r="LK17" s="28">
        <f>'REG y VAL POE - AESR - ESR'!O981</f>
        <v>0</v>
      </c>
      <c r="LL17" s="29">
        <f>'REG y VAL POE - AESR - ESR'!P981</f>
        <v>0</v>
      </c>
      <c r="LM17" s="29">
        <f>'REG y VAL POE - AESR - ESR'!Q981</f>
        <v>0</v>
      </c>
      <c r="LN17" s="28">
        <f>'REG y VAL POE - AESR - ESR'!R981</f>
        <v>0</v>
      </c>
      <c r="LO17" s="29">
        <f>'REG y VAL POE - AESR - ESR'!S981</f>
        <v>0</v>
      </c>
      <c r="LP17" s="30">
        <f>'REG y VAL POE - AESR - ESR'!T981</f>
        <v>0</v>
      </c>
      <c r="LQ17" s="28">
        <f>'REG y VAL POE - AESR - ESR'!U981</f>
        <v>0</v>
      </c>
      <c r="LR17" s="29">
        <f>'REG y VAL POE - AESR - ESR'!V981</f>
        <v>0</v>
      </c>
      <c r="LS17" s="29">
        <f>'REG y VAL POE - AESR - ESR'!W981</f>
        <v>0</v>
      </c>
      <c r="LT17" s="29">
        <f>'REG y VAL POE - AESR - ESR'!X981</f>
        <v>0</v>
      </c>
      <c r="LU17" s="28">
        <f>'REG y VAL POE - AESR - ESR'!Y981</f>
        <v>0</v>
      </c>
      <c r="LV17" s="29">
        <f>'REG y VAL POE - AESR - ESR'!Z981</f>
        <v>0</v>
      </c>
      <c r="LW17" s="29">
        <f>'REG y VAL POE - AESR - ESR'!AA981</f>
        <v>0</v>
      </c>
      <c r="LX17" s="28">
        <f>'REG y VAL POE - AESR - ESR'!AB981</f>
        <v>0</v>
      </c>
      <c r="LY17" s="29">
        <f>'REG y VAL POE - AESR - ESR'!AC981</f>
        <v>0</v>
      </c>
      <c r="LZ17" s="30">
        <f>'REG y VAL POE - AESR - ESR'!AD981</f>
        <v>0</v>
      </c>
      <c r="MA17" s="28">
        <f>'REG y VAL POE - AESR - ESR'!AE981</f>
        <v>0</v>
      </c>
      <c r="MB17" s="29">
        <f>'REG y VAL POE - AESR - ESR'!AF981</f>
        <v>0</v>
      </c>
      <c r="MC17" s="29">
        <f>'REG y VAL POE - AESR - ESR'!AG981</f>
        <v>0</v>
      </c>
      <c r="MD17" s="29">
        <f>'REG y VAL POE - AESR - ESR'!AH981</f>
        <v>0</v>
      </c>
      <c r="ME17" s="28">
        <f>'REG y VAL POE - AESR - ESR'!AI981</f>
        <v>0</v>
      </c>
      <c r="MF17" s="29">
        <f>'REG y VAL POE - AESR - ESR'!AJ981</f>
        <v>0</v>
      </c>
      <c r="MG17" s="29">
        <f>'REG y VAL POE - AESR - ESR'!AK981</f>
        <v>0</v>
      </c>
      <c r="MH17" s="28">
        <f>'REG y VAL POE - AESR - ESR'!AL981</f>
        <v>0</v>
      </c>
      <c r="MI17" s="29">
        <f>'REG y VAL POE - AESR - ESR'!AM981</f>
        <v>0</v>
      </c>
      <c r="MJ17" s="30">
        <f>'REG y VAL POE - AESR - ESR'!AN981</f>
        <v>0</v>
      </c>
      <c r="MK17" s="28">
        <f>'REG y VAL POE - AESR - ESR'!AO981</f>
        <v>0</v>
      </c>
      <c r="ML17" s="29">
        <f>'REG y VAL POE - AESR - ESR'!AP981</f>
        <v>0</v>
      </c>
      <c r="MM17" s="29">
        <f>'REG y VAL POE - AESR - ESR'!AQ981</f>
        <v>0</v>
      </c>
      <c r="MN17" s="29">
        <f>'REG y VAL POE - AESR - ESR'!AR981</f>
        <v>0</v>
      </c>
      <c r="MO17" s="28">
        <f>'REG y VAL POE - AESR - ESR'!AS981</f>
        <v>0</v>
      </c>
      <c r="MP17" s="385">
        <f>'REG y VAL POE - AESR - ESR'!B982</f>
        <v>0</v>
      </c>
      <c r="MQ17" s="29">
        <f>'REG y VAL POE - AESR - ESR'!C982</f>
        <v>0</v>
      </c>
      <c r="MR17" s="28">
        <f>'REG y VAL POE - AESR - ESR'!D982</f>
        <v>0</v>
      </c>
      <c r="MS17" s="29">
        <f>'REG y VAL POE - AESR - ESR'!E982</f>
        <v>0</v>
      </c>
      <c r="MT17" s="30">
        <f>'REG y VAL POE - AESR - ESR'!F982</f>
        <v>0</v>
      </c>
      <c r="MU17" s="28">
        <f>'REG y VAL POE - AESR - ESR'!G982</f>
        <v>0</v>
      </c>
      <c r="MV17" s="29">
        <f>'REG y VAL POE - AESR - ESR'!H982</f>
        <v>0</v>
      </c>
      <c r="MW17" s="29">
        <f>'REG y VAL POE - AESR - ESR'!I982</f>
        <v>0</v>
      </c>
      <c r="MX17" s="29">
        <f>'REG y VAL POE - AESR - ESR'!J982</f>
        <v>0</v>
      </c>
      <c r="MY17" s="28">
        <f>'REG y VAL POE - AESR - ESR'!K982</f>
        <v>0</v>
      </c>
      <c r="MZ17" s="29">
        <f>'REG y VAL POE - AESR - ESR'!L982</f>
        <v>0</v>
      </c>
      <c r="NA17" s="29">
        <f>'REG y VAL POE - AESR - ESR'!M982</f>
        <v>0</v>
      </c>
      <c r="NB17" s="28">
        <f>'REG y VAL POE - AESR - ESR'!N982</f>
        <v>0</v>
      </c>
      <c r="NC17" s="29">
        <f>'REG y VAL POE - AESR - ESR'!O982</f>
        <v>0</v>
      </c>
      <c r="ND17" s="30">
        <f>'REG y VAL POE - AESR - ESR'!P982</f>
        <v>0</v>
      </c>
      <c r="NE17" s="28">
        <f>'REG y VAL POE - AESR - ESR'!Q982</f>
        <v>0</v>
      </c>
      <c r="NF17" s="29">
        <f>'REG y VAL POE - AESR - ESR'!R982</f>
        <v>0</v>
      </c>
      <c r="NG17" s="29">
        <f>'REG y VAL POE - AESR - ESR'!S982</f>
        <v>0</v>
      </c>
      <c r="NH17" s="29">
        <f>'REG y VAL POE - AESR - ESR'!T982</f>
        <v>0</v>
      </c>
      <c r="NI17" s="28">
        <f>'REG y VAL POE - AESR - ESR'!U982</f>
        <v>0</v>
      </c>
      <c r="NJ17" s="29">
        <f>'REG y VAL POE - AESR - ESR'!V982</f>
        <v>0</v>
      </c>
      <c r="NK17" s="29">
        <f>'REG y VAL POE - AESR - ESR'!W982</f>
        <v>0</v>
      </c>
      <c r="NL17" s="28">
        <f>'REG y VAL POE - AESR - ESR'!X982</f>
        <v>0</v>
      </c>
      <c r="NM17" s="29">
        <f>'REG y VAL POE - AESR - ESR'!Y982</f>
        <v>0</v>
      </c>
      <c r="NN17" s="30">
        <f>'REG y VAL POE - AESR - ESR'!Z982</f>
        <v>0</v>
      </c>
      <c r="NO17" s="28">
        <f>'REG y VAL POE - AESR - ESR'!AA982</f>
        <v>0</v>
      </c>
      <c r="NP17" s="29">
        <f>'REG y VAL POE - AESR - ESR'!AB982</f>
        <v>0</v>
      </c>
      <c r="NQ17" s="29">
        <f>'REG y VAL POE - AESR - ESR'!AC982</f>
        <v>0</v>
      </c>
      <c r="NR17" s="29">
        <f>'REG y VAL POE - AESR - ESR'!AD982</f>
        <v>0</v>
      </c>
      <c r="NS17" s="28">
        <f>'REG y VAL POE - AESR - ESR'!AE982</f>
        <v>0</v>
      </c>
      <c r="NT17" s="29">
        <f>'REG y VAL POE - AESR - ESR'!AF982</f>
        <v>0</v>
      </c>
      <c r="NU17" s="29">
        <f>'REG y VAL POE - AESR - ESR'!AG982</f>
        <v>0</v>
      </c>
      <c r="NV17" s="28">
        <f>'REG y VAL POE - AESR - ESR'!AH982</f>
        <v>0</v>
      </c>
      <c r="NW17" s="29">
        <f>'REG y VAL POE - AESR - ESR'!AI982</f>
        <v>0</v>
      </c>
      <c r="NX17" s="30">
        <f>'REG y VAL POE - AESR - ESR'!AJ982</f>
        <v>0</v>
      </c>
      <c r="NY17" s="28">
        <f>'REG y VAL POE - AESR - ESR'!AK982</f>
        <v>0</v>
      </c>
      <c r="NZ17" s="29">
        <f>'REG y VAL POE - AESR - ESR'!AL982</f>
        <v>0</v>
      </c>
      <c r="OA17" s="29">
        <f>'REG y VAL POE - AESR - ESR'!AM982</f>
        <v>0</v>
      </c>
      <c r="OB17" s="29">
        <f>'REG y VAL POE - AESR - ESR'!AN982</f>
        <v>0</v>
      </c>
      <c r="OC17" s="28">
        <f>'REG y VAL POE - AESR - ESR'!AO982</f>
        <v>0</v>
      </c>
      <c r="OD17" s="29">
        <f>'REG y VAL POE - AESR - ESR'!AP982</f>
        <v>0</v>
      </c>
      <c r="OE17" s="29">
        <f>'REG y VAL POE - AESR - ESR'!AQ982</f>
        <v>0</v>
      </c>
      <c r="OF17" s="30">
        <f>'REG y VAL POE - AESR - ESR'!AR982</f>
        <v>0</v>
      </c>
      <c r="OG17" s="30">
        <f>'REG y VAL POE - AESR - ESR'!AS982</f>
        <v>0</v>
      </c>
      <c r="OH17" s="27">
        <f>'REG y VAL POE - AESR - ESR'!B983</f>
        <v>0</v>
      </c>
      <c r="OI17" s="28">
        <f>'REG y VAL POE - AESR - ESR'!C983</f>
        <v>0</v>
      </c>
      <c r="OJ17" s="30">
        <f>'REG y VAL POE - AESR - ESR'!D983</f>
        <v>0</v>
      </c>
      <c r="OK17" s="30">
        <f>'REG y VAL POE - AESR - ESR'!E983</f>
        <v>0</v>
      </c>
      <c r="OL17" s="30">
        <f>'REG y VAL POE - AESR - ESR'!F983</f>
        <v>0</v>
      </c>
      <c r="OM17" s="30">
        <f>'REG y VAL POE - AESR - ESR'!G983</f>
        <v>0</v>
      </c>
      <c r="ON17" s="30">
        <f>'REG y VAL POE - AESR - ESR'!H983</f>
        <v>0</v>
      </c>
      <c r="OO17" s="30">
        <f>'REG y VAL POE - AESR - ESR'!I983</f>
        <v>0</v>
      </c>
      <c r="OP17" s="28">
        <f>'REG y VAL POE - AESR - ESR'!J983</f>
        <v>0</v>
      </c>
      <c r="OQ17" s="29">
        <f>'REG y VAL POE - AESR - ESR'!K983</f>
        <v>0</v>
      </c>
      <c r="OR17" s="30">
        <f>'REG y VAL POE - AESR - ESR'!L983</f>
        <v>0</v>
      </c>
      <c r="OS17" s="28">
        <f>'REG y VAL POE - AESR - ESR'!M983</f>
        <v>0</v>
      </c>
      <c r="OT17" s="29">
        <f>'REG y VAL POE - AESR - ESR'!N983</f>
        <v>0</v>
      </c>
      <c r="OU17" s="29">
        <f>'REG y VAL POE - AESR - ESR'!O983</f>
        <v>0</v>
      </c>
      <c r="OV17" s="29">
        <f>'REG y VAL POE - AESR - ESR'!P983</f>
        <v>0</v>
      </c>
      <c r="OW17" s="28">
        <f>'REG y VAL POE - AESR - ESR'!Q983</f>
        <v>0</v>
      </c>
      <c r="OX17" s="29">
        <f>'REG y VAL POE - AESR - ESR'!R983</f>
        <v>0</v>
      </c>
      <c r="OY17" s="29">
        <f>'REG y VAL POE - AESR - ESR'!S983</f>
        <v>0</v>
      </c>
      <c r="OZ17" s="28">
        <f>'REG y VAL POE - AESR - ESR'!T983</f>
        <v>0</v>
      </c>
      <c r="PA17" s="29">
        <f>'REG y VAL POE - AESR - ESR'!U983</f>
        <v>0</v>
      </c>
      <c r="PB17" s="30">
        <f>'REG y VAL POE - AESR - ESR'!V983</f>
        <v>0</v>
      </c>
      <c r="PC17" s="28">
        <f>'REG y VAL POE - AESR - ESR'!W983</f>
        <v>0</v>
      </c>
      <c r="PD17" s="29">
        <f>'REG y VAL POE - AESR - ESR'!X983</f>
        <v>0</v>
      </c>
      <c r="PE17" s="29">
        <f>'REG y VAL POE - AESR - ESR'!Y983</f>
        <v>0</v>
      </c>
      <c r="PF17" s="29">
        <f>'REG y VAL POE - AESR - ESR'!Z983</f>
        <v>0</v>
      </c>
      <c r="PG17" s="28">
        <f>'REG y VAL POE - AESR - ESR'!AA983</f>
        <v>0</v>
      </c>
      <c r="PH17" s="29">
        <f>'REG y VAL POE - AESR - ESR'!AB983</f>
        <v>0</v>
      </c>
      <c r="PI17" s="29">
        <f>'REG y VAL POE - AESR - ESR'!AC983</f>
        <v>0</v>
      </c>
      <c r="PJ17" s="28">
        <f>'REG y VAL POE - AESR - ESR'!AD983</f>
        <v>0</v>
      </c>
      <c r="PK17" s="29">
        <f>'REG y VAL POE - AESR - ESR'!AE983</f>
        <v>0</v>
      </c>
      <c r="PL17" s="30">
        <f>'REG y VAL POE - AESR - ESR'!AF983</f>
        <v>0</v>
      </c>
      <c r="PM17" s="28">
        <f>'REG y VAL POE - AESR - ESR'!AG983</f>
        <v>0</v>
      </c>
      <c r="PN17" s="29">
        <f>'REG y VAL POE - AESR - ESR'!AH983</f>
        <v>0</v>
      </c>
      <c r="PO17" s="29">
        <f>'REG y VAL POE - AESR - ESR'!AI983</f>
        <v>0</v>
      </c>
      <c r="PP17" s="29">
        <f>'REG y VAL POE - AESR - ESR'!AJ983</f>
        <v>0</v>
      </c>
      <c r="PQ17" s="28">
        <f>'REG y VAL POE - AESR - ESR'!AK983</f>
        <v>0</v>
      </c>
      <c r="PR17" s="29">
        <f>'REG y VAL POE - AESR - ESR'!AL983</f>
        <v>0</v>
      </c>
      <c r="PS17" s="29">
        <f>'REG y VAL POE - AESR - ESR'!AM983</f>
        <v>0</v>
      </c>
      <c r="PT17" s="28">
        <f>'REG y VAL POE - AESR - ESR'!AN983</f>
        <v>0</v>
      </c>
      <c r="PU17" s="29">
        <f>'REG y VAL POE - AESR - ESR'!AO983</f>
        <v>0</v>
      </c>
      <c r="PV17" s="30">
        <f>'REG y VAL POE - AESR - ESR'!AP983</f>
        <v>0</v>
      </c>
      <c r="PW17" s="28">
        <f>'REG y VAL POE - AESR - ESR'!AQ983</f>
        <v>0</v>
      </c>
      <c r="PX17" s="29">
        <f>'REG y VAL POE - AESR - ESR'!AR983</f>
        <v>0</v>
      </c>
      <c r="PY17" s="29">
        <f>'REG y VAL POE - AESR - ESR'!AS983</f>
        <v>0</v>
      </c>
      <c r="PZ17" s="29"/>
      <c r="QA17" s="28"/>
      <c r="QB17" s="29"/>
      <c r="QC17" s="29"/>
      <c r="QD17" s="28"/>
      <c r="QE17" s="29"/>
      <c r="QF17" s="30"/>
      <c r="QG17" s="28"/>
      <c r="QH17" s="29"/>
      <c r="QI17" s="29"/>
      <c r="QJ17" s="29"/>
      <c r="QK17" s="28"/>
      <c r="QL17" s="29"/>
      <c r="QM17" s="29"/>
      <c r="QN17" s="28"/>
      <c r="QO17" s="29"/>
      <c r="QP17" s="30"/>
      <c r="QQ17" s="28"/>
      <c r="QR17" s="29"/>
      <c r="QS17" s="29"/>
      <c r="QT17" s="29"/>
      <c r="QU17" s="28"/>
      <c r="QV17" s="29"/>
      <c r="QW17" s="29"/>
      <c r="QX17" s="28"/>
      <c r="QY17" s="29"/>
      <c r="QZ17" s="30"/>
      <c r="RA17" s="28"/>
      <c r="RB17" s="29"/>
      <c r="RC17" s="29"/>
      <c r="RD17" s="29"/>
      <c r="RE17" s="28"/>
      <c r="RF17" s="29"/>
      <c r="RG17" s="29"/>
      <c r="RH17" s="28"/>
      <c r="RI17" s="29"/>
      <c r="RJ17" s="30"/>
      <c r="RK17" s="28"/>
      <c r="RL17" s="29"/>
      <c r="RM17" s="29"/>
      <c r="RN17" s="29"/>
      <c r="RO17" s="28"/>
      <c r="RP17" s="29"/>
      <c r="RQ17" s="29"/>
      <c r="RR17" s="28"/>
      <c r="RS17" s="29"/>
      <c r="RT17" s="30"/>
      <c r="RU17" s="28"/>
      <c r="RV17" s="29"/>
      <c r="RW17" s="29"/>
      <c r="RX17" s="29"/>
      <c r="RY17" s="28"/>
      <c r="RZ17" s="29"/>
      <c r="SA17" s="29"/>
      <c r="SB17" s="28"/>
      <c r="SC17" s="29"/>
      <c r="SD17" s="30"/>
      <c r="SE17" s="28"/>
      <c r="SF17" s="29"/>
      <c r="SG17" s="29"/>
      <c r="SH17" s="29"/>
      <c r="SI17" s="28"/>
      <c r="SJ17" s="29"/>
      <c r="SK17" s="29"/>
      <c r="SL17" s="28"/>
      <c r="SM17" s="29"/>
      <c r="SN17" s="30"/>
      <c r="SO17" s="28"/>
      <c r="SP17" s="29"/>
      <c r="SQ17" s="29"/>
      <c r="SR17" s="29"/>
      <c r="SS17" s="28"/>
      <c r="ST17" s="29"/>
      <c r="SU17" s="29"/>
      <c r="SV17" s="28"/>
      <c r="SW17" s="29"/>
      <c r="SX17" s="30"/>
      <c r="SY17" s="28"/>
      <c r="SZ17" s="29"/>
      <c r="TA17" s="29"/>
      <c r="TB17" s="29"/>
      <c r="TC17" s="28"/>
      <c r="TD17" s="29"/>
      <c r="TE17" s="29"/>
      <c r="TF17" s="28"/>
      <c r="TG17" s="29"/>
      <c r="TH17" s="30"/>
      <c r="TI17" s="28"/>
      <c r="TJ17" s="29"/>
      <c r="TK17" s="29"/>
      <c r="TL17" s="29"/>
      <c r="TM17" s="28"/>
      <c r="TN17" s="29"/>
      <c r="TO17" s="29"/>
      <c r="TP17" s="28"/>
      <c r="TQ17" s="29"/>
      <c r="TR17" s="30"/>
      <c r="TS17" s="28"/>
      <c r="TT17" s="29"/>
      <c r="TU17" s="29"/>
      <c r="TV17" s="29"/>
      <c r="TW17" s="28"/>
      <c r="TX17" s="29"/>
      <c r="TY17" s="29"/>
      <c r="TZ17" s="28"/>
      <c r="UA17" s="29"/>
      <c r="UB17" s="30"/>
      <c r="UC17" s="28"/>
      <c r="UD17" s="29"/>
      <c r="UE17" s="29"/>
      <c r="UF17" s="29"/>
      <c r="UG17" s="28"/>
      <c r="UH17" s="29"/>
      <c r="UI17" s="29"/>
      <c r="UJ17" s="28"/>
      <c r="UK17" s="29"/>
      <c r="UL17" s="30"/>
      <c r="UM17" s="28"/>
      <c r="UN17" s="29"/>
      <c r="UO17" s="29"/>
      <c r="UP17" s="29"/>
      <c r="UQ17" s="28"/>
      <c r="UR17" s="29"/>
      <c r="US17" s="29"/>
      <c r="UT17" s="28"/>
      <c r="UU17" s="29"/>
      <c r="UV17" s="30"/>
      <c r="UW17" s="28"/>
      <c r="UX17" s="29"/>
      <c r="UY17" s="29"/>
      <c r="UZ17" s="29"/>
      <c r="VA17" s="28"/>
      <c r="VB17" s="29"/>
      <c r="VC17" s="29"/>
      <c r="VD17" s="28"/>
      <c r="VE17" s="29"/>
      <c r="VF17" s="30"/>
      <c r="VG17" s="28"/>
      <c r="VH17" s="29"/>
      <c r="VI17" s="29"/>
      <c r="VJ17" s="29"/>
      <c r="VK17" s="28"/>
      <c r="VL17" s="29"/>
      <c r="VM17" s="29"/>
      <c r="VN17" s="28"/>
      <c r="VO17" s="29"/>
      <c r="VP17" s="30"/>
      <c r="VQ17" s="28"/>
      <c r="VR17" s="29"/>
      <c r="VS17" s="29"/>
      <c r="VT17" s="29"/>
      <c r="VU17" s="28"/>
      <c r="VV17" s="29"/>
      <c r="VW17" s="29"/>
      <c r="VX17" s="28"/>
      <c r="VY17" s="29"/>
      <c r="VZ17" s="30"/>
      <c r="WA17" s="28"/>
      <c r="WB17" s="29"/>
      <c r="WC17" s="29"/>
      <c r="WD17" s="29"/>
      <c r="WE17" s="28"/>
      <c r="WF17" s="29"/>
      <c r="WG17" s="29"/>
      <c r="WH17" s="28"/>
      <c r="WI17" s="29"/>
      <c r="WJ17" s="30"/>
      <c r="WK17" s="28"/>
      <c r="WL17" s="29"/>
      <c r="WM17" s="29"/>
      <c r="WN17" s="29"/>
      <c r="WO17" s="28"/>
      <c r="WP17" s="29"/>
      <c r="WQ17" s="29"/>
      <c r="WR17" s="28"/>
      <c r="WS17" s="29"/>
      <c r="WT17" s="30"/>
      <c r="WU17" s="28"/>
      <c r="WV17" s="29"/>
      <c r="WW17" s="29"/>
      <c r="WX17" s="29"/>
      <c r="WY17" s="28"/>
      <c r="WZ17" s="29"/>
      <c r="XA17" s="29"/>
      <c r="XB17" s="28"/>
      <c r="XC17" s="29"/>
      <c r="XD17" s="30"/>
      <c r="XE17" s="28"/>
      <c r="XF17" s="29"/>
      <c r="XG17" s="29"/>
      <c r="XH17" s="29"/>
      <c r="XI17" s="28"/>
      <c r="XJ17" s="29"/>
      <c r="XK17" s="29"/>
      <c r="XL17" s="28"/>
      <c r="XM17" s="29"/>
      <c r="XN17" s="30"/>
      <c r="XO17" s="28"/>
      <c r="XP17" s="29"/>
      <c r="XQ17" s="29"/>
      <c r="XR17" s="29"/>
      <c r="XS17" s="28"/>
      <c r="XT17" s="29"/>
      <c r="XU17" s="29"/>
      <c r="XV17" s="28"/>
      <c r="XW17" s="29"/>
      <c r="XX17" s="30"/>
      <c r="XY17" s="28"/>
      <c r="XZ17" s="29"/>
      <c r="YA17" s="29"/>
      <c r="YB17" s="29"/>
      <c r="YC17" s="28"/>
      <c r="YD17" s="29"/>
      <c r="YE17" s="29"/>
      <c r="YF17" s="28"/>
      <c r="YG17" s="29"/>
      <c r="YH17" s="30"/>
      <c r="YI17" s="28"/>
      <c r="YJ17" s="29"/>
      <c r="YK17" s="29"/>
      <c r="YL17" s="29"/>
      <c r="YM17" s="28"/>
      <c r="YN17" s="29"/>
      <c r="YO17" s="29"/>
      <c r="YP17" s="28"/>
      <c r="YQ17" s="29"/>
      <c r="YR17" s="30"/>
      <c r="YS17" s="28"/>
      <c r="YT17" s="29"/>
      <c r="YU17" s="29"/>
      <c r="YV17" s="29"/>
      <c r="YW17" s="28"/>
      <c r="YX17" s="29"/>
      <c r="YY17" s="29"/>
      <c r="YZ17" s="28"/>
      <c r="ZA17" s="29"/>
      <c r="ZB17" s="30"/>
      <c r="ZC17" s="28"/>
      <c r="ZD17" s="29"/>
      <c r="ZE17" s="29"/>
      <c r="ZF17" s="29"/>
      <c r="ZG17" s="28"/>
      <c r="ZH17" s="29"/>
      <c r="ZI17" s="29"/>
      <c r="ZJ17" s="28"/>
      <c r="ZK17" s="29"/>
      <c r="ZL17" s="30"/>
      <c r="ZM17" s="28"/>
      <c r="ZN17" s="29"/>
      <c r="ZO17" s="29"/>
      <c r="ZP17" s="29"/>
      <c r="ZQ17" s="28"/>
      <c r="ZR17" s="29"/>
      <c r="ZS17" s="29"/>
      <c r="ZT17" s="28"/>
      <c r="ZU17" s="29"/>
      <c r="ZV17" s="30"/>
      <c r="ZW17" s="28"/>
      <c r="ZX17" s="29"/>
      <c r="ZY17" s="29"/>
      <c r="ZZ17" s="29"/>
      <c r="AAA17" s="28"/>
      <c r="AAB17" s="29"/>
      <c r="AAC17" s="29"/>
      <c r="AAD17" s="28"/>
      <c r="AAE17" s="29"/>
      <c r="AAF17" s="30"/>
      <c r="AAG17" s="28"/>
      <c r="AAH17" s="29"/>
      <c r="AAI17" s="29"/>
      <c r="AAJ17" s="29"/>
      <c r="AAK17" s="28"/>
      <c r="AAL17" s="29"/>
      <c r="AAM17" s="29"/>
      <c r="AAN17" s="28"/>
      <c r="AAO17" s="29"/>
      <c r="AAP17" s="30"/>
      <c r="AAQ17" s="28"/>
      <c r="AAR17" s="29"/>
      <c r="AAS17" s="29"/>
      <c r="AAT17" s="29"/>
      <c r="AAU17" s="28"/>
      <c r="AAV17" s="29"/>
      <c r="AAW17" s="29"/>
      <c r="AAX17" s="30"/>
      <c r="AAY17" s="30"/>
      <c r="AAZ17" s="30"/>
      <c r="ABA17" s="28"/>
      <c r="ABB17" s="30"/>
      <c r="ABC17" s="30"/>
      <c r="ABD17" s="30"/>
      <c r="ABE17" s="30"/>
      <c r="ABF17" s="30"/>
      <c r="ABG17" s="29"/>
      <c r="ABH17" s="28"/>
      <c r="ABI17" s="29"/>
      <c r="ABJ17" s="30"/>
      <c r="ABK17" s="28"/>
      <c r="ABL17" s="29"/>
      <c r="ABM17" s="29"/>
      <c r="ABN17" s="29"/>
      <c r="ABO17" s="28"/>
      <c r="ABP17" s="29"/>
      <c r="ABQ17" s="29"/>
      <c r="ABR17" s="28"/>
      <c r="ABS17" s="29"/>
      <c r="ABT17" s="30"/>
      <c r="ABU17" s="28"/>
      <c r="ABV17" s="29"/>
      <c r="ABW17" s="29"/>
      <c r="ABX17" s="29"/>
      <c r="ABY17" s="28"/>
      <c r="ABZ17" s="29"/>
      <c r="ACA17" s="29"/>
      <c r="ACB17" s="28"/>
      <c r="ACC17" s="29"/>
      <c r="ACD17" s="30"/>
      <c r="ACE17" s="28"/>
      <c r="ACF17" s="29"/>
      <c r="ACG17" s="29"/>
      <c r="ACH17" s="29"/>
      <c r="ACI17" s="28"/>
      <c r="ACJ17" s="29"/>
      <c r="ACK17" s="29"/>
      <c r="ACL17" s="28"/>
      <c r="ACM17" s="29"/>
      <c r="ACN17" s="30"/>
      <c r="ACO17" s="28"/>
      <c r="ACP17" s="29"/>
      <c r="ACQ17" s="29"/>
      <c r="ACR17" s="29"/>
      <c r="ACS17" s="28"/>
      <c r="ACT17" s="29"/>
      <c r="ACU17" s="29"/>
      <c r="ACV17" s="28"/>
      <c r="ACW17" s="29"/>
      <c r="ACX17" s="30"/>
      <c r="ACY17" s="28"/>
      <c r="ACZ17" s="29"/>
      <c r="ADA17" s="29"/>
      <c r="ADB17" s="29"/>
      <c r="ADC17" s="28"/>
      <c r="ADD17" s="29"/>
      <c r="ADE17" s="29"/>
      <c r="ADF17" s="28"/>
      <c r="ADG17" s="29"/>
      <c r="ADH17" s="30"/>
      <c r="ADI17" s="28"/>
      <c r="ADJ17" s="29"/>
      <c r="ADK17" s="29"/>
      <c r="ADL17" s="29"/>
      <c r="ADM17" s="28"/>
      <c r="ADN17" s="29"/>
      <c r="ADO17" s="29"/>
      <c r="ADP17" s="28"/>
      <c r="ADQ17" s="29"/>
      <c r="ADR17" s="30"/>
      <c r="ADS17" s="28"/>
      <c r="ADT17" s="29"/>
      <c r="ADU17" s="29"/>
      <c r="ADV17" s="29"/>
      <c r="ADW17" s="28"/>
      <c r="ADX17" s="29"/>
      <c r="ADY17" s="29"/>
      <c r="ADZ17" s="28"/>
      <c r="AEA17" s="29"/>
      <c r="AEB17" s="30"/>
      <c r="AEC17" s="28"/>
      <c r="AED17" s="29"/>
      <c r="AEE17" s="29"/>
      <c r="AEF17" s="29"/>
      <c r="AEG17" s="28"/>
      <c r="AEH17" s="29"/>
      <c r="AEI17" s="29"/>
      <c r="AEJ17" s="28"/>
      <c r="AEK17" s="29"/>
      <c r="AEL17" s="30"/>
      <c r="AEM17" s="28"/>
      <c r="AEN17" s="29"/>
      <c r="AEO17" s="29"/>
      <c r="AEP17" s="29"/>
      <c r="AEQ17" s="28"/>
      <c r="AER17" s="29"/>
      <c r="AES17" s="29"/>
      <c r="AET17" s="28"/>
      <c r="AEU17" s="29"/>
      <c r="AEV17" s="30"/>
      <c r="AEW17" s="28"/>
      <c r="AEX17" s="29"/>
      <c r="AEY17" s="29"/>
      <c r="AEZ17" s="29"/>
      <c r="AFA17" s="28"/>
      <c r="AFB17" s="29"/>
      <c r="AFC17" s="29"/>
      <c r="AFD17" s="28"/>
      <c r="AFE17" s="29"/>
      <c r="AFF17" s="30"/>
      <c r="AFG17" s="28"/>
      <c r="AFH17" s="29"/>
      <c r="AFI17" s="29"/>
      <c r="AFJ17" s="29"/>
      <c r="AFK17" s="28"/>
      <c r="AFL17" s="29"/>
      <c r="AFM17" s="29"/>
      <c r="AFN17" s="28"/>
      <c r="AFO17" s="29"/>
      <c r="AFP17" s="30"/>
      <c r="AFQ17" s="28"/>
      <c r="AFR17" s="29"/>
      <c r="AFS17" s="29"/>
      <c r="AFT17" s="29"/>
      <c r="AFU17" s="28"/>
      <c r="AFV17" s="29"/>
      <c r="AFW17" s="29"/>
      <c r="AFX17" s="28"/>
      <c r="AFY17" s="29"/>
      <c r="AFZ17" s="30"/>
      <c r="AGA17" s="28"/>
      <c r="AGB17" s="29"/>
      <c r="AGC17" s="29"/>
      <c r="AGD17" s="29"/>
      <c r="AGE17" s="28"/>
      <c r="AGF17" s="29"/>
      <c r="AGG17" s="29"/>
      <c r="AGH17" s="28"/>
      <c r="AGI17" s="29"/>
      <c r="AGJ17" s="30"/>
      <c r="AGK17" s="28"/>
      <c r="AGL17" s="29"/>
      <c r="AGM17" s="29"/>
      <c r="AGN17" s="29"/>
      <c r="AGO17" s="28"/>
      <c r="AGP17" s="29"/>
      <c r="AGQ17" s="29"/>
      <c r="AGR17" s="28"/>
      <c r="AGS17" s="29"/>
      <c r="AGT17" s="30"/>
      <c r="AGU17" s="28"/>
      <c r="AGV17" s="29"/>
      <c r="AGW17" s="29"/>
      <c r="AGX17" s="29"/>
      <c r="AGY17" s="28"/>
      <c r="AGZ17" s="29"/>
      <c r="AHA17" s="29"/>
      <c r="AHB17" s="28"/>
      <c r="AHC17" s="29"/>
      <c r="AHD17" s="30"/>
      <c r="AHE17" s="28"/>
      <c r="AHF17" s="29"/>
      <c r="AHG17" s="29"/>
      <c r="AHH17" s="29"/>
      <c r="AHI17" s="28"/>
      <c r="AHJ17" s="29"/>
      <c r="AHK17" s="29"/>
      <c r="AHL17" s="28"/>
      <c r="AHM17" s="29"/>
      <c r="AHN17" s="30"/>
      <c r="AHO17" s="28"/>
      <c r="AHP17" s="29"/>
      <c r="AHQ17" s="29"/>
      <c r="AHR17" s="29"/>
      <c r="AHS17" s="28"/>
      <c r="AHT17" s="29"/>
      <c r="AHU17" s="29"/>
      <c r="AHV17" s="28"/>
      <c r="AHW17" s="29"/>
      <c r="AHX17" s="30"/>
      <c r="AHY17" s="28"/>
      <c r="AHZ17" s="29"/>
      <c r="AIA17" s="29"/>
      <c r="AIB17" s="29"/>
      <c r="AIC17" s="28"/>
      <c r="AID17" s="29"/>
      <c r="AIE17" s="29"/>
      <c r="AIF17" s="28"/>
      <c r="AIG17" s="29"/>
      <c r="AIH17" s="30"/>
      <c r="AII17" s="28"/>
      <c r="AIJ17" s="29"/>
      <c r="AIK17" s="29"/>
      <c r="AIL17" s="29"/>
      <c r="AIM17" s="28"/>
      <c r="AIN17" s="29"/>
      <c r="AIO17" s="29"/>
      <c r="AIP17" s="28"/>
      <c r="AIQ17" s="29"/>
      <c r="AIR17" s="30"/>
      <c r="AIS17" s="28"/>
      <c r="AIT17" s="29"/>
      <c r="AIU17" s="29"/>
      <c r="AIV17" s="29"/>
      <c r="AIW17" s="28"/>
      <c r="AIX17" s="29"/>
      <c r="AIY17" s="29"/>
      <c r="AIZ17" s="28"/>
      <c r="AJA17" s="29"/>
      <c r="AJB17" s="30"/>
      <c r="AJC17" s="28"/>
      <c r="AJD17" s="29"/>
      <c r="AJE17" s="29"/>
      <c r="AJF17" s="29"/>
      <c r="AJG17" s="28"/>
      <c r="AJH17" s="29"/>
      <c r="AJI17" s="29"/>
      <c r="AJJ17" s="28"/>
      <c r="AJK17" s="29"/>
      <c r="AJL17" s="30"/>
      <c r="AJM17" s="28"/>
      <c r="AJN17" s="29"/>
      <c r="AJO17" s="29"/>
      <c r="AJP17" s="29"/>
      <c r="AJQ17" s="28"/>
      <c r="AJR17" s="29"/>
      <c r="AJS17" s="29"/>
      <c r="AJT17" s="28"/>
      <c r="AJU17" s="29"/>
      <c r="AJV17" s="30"/>
      <c r="AJW17" s="28"/>
      <c r="AJX17" s="29"/>
      <c r="AJY17" s="29"/>
      <c r="AJZ17" s="29"/>
      <c r="AKA17" s="28"/>
      <c r="AKB17" s="29"/>
      <c r="AKC17" s="29"/>
      <c r="AKD17" s="28"/>
      <c r="AKE17" s="29"/>
      <c r="AKF17" s="30"/>
      <c r="AKG17" s="28"/>
      <c r="AKH17" s="29"/>
      <c r="AKI17" s="29"/>
      <c r="AKJ17" s="29"/>
      <c r="AKK17" s="28"/>
      <c r="AKL17" s="29"/>
      <c r="AKM17" s="29"/>
      <c r="AKN17" s="28"/>
      <c r="AKO17" s="29"/>
      <c r="AKP17" s="30"/>
      <c r="AKQ17" s="28"/>
      <c r="AKR17" s="29"/>
      <c r="AKS17" s="29"/>
      <c r="AKT17" s="29"/>
      <c r="AKU17" s="28"/>
      <c r="AKV17" s="29"/>
      <c r="AKW17" s="29"/>
      <c r="AKX17" s="28"/>
      <c r="AKY17" s="29"/>
      <c r="AKZ17" s="30"/>
      <c r="ALA17" s="28"/>
      <c r="ALB17" s="29"/>
      <c r="ALC17" s="29"/>
      <c r="ALD17" s="29"/>
      <c r="ALE17" s="28"/>
      <c r="ALF17" s="29"/>
      <c r="ALG17" s="29"/>
      <c r="ALH17" s="29"/>
      <c r="ALI17" s="29"/>
      <c r="ALJ17" s="29"/>
      <c r="ALK17" s="28"/>
      <c r="ALL17" s="29"/>
      <c r="ALM17" s="29"/>
      <c r="ALN17" s="28"/>
      <c r="ALO17" s="29"/>
      <c r="ALP17" s="30"/>
      <c r="ALQ17" s="28"/>
      <c r="ALR17" s="29"/>
      <c r="ALS17" s="29"/>
      <c r="ALT17" s="29"/>
      <c r="ALU17" s="28"/>
      <c r="ALV17" s="29"/>
      <c r="ALW17" s="29"/>
      <c r="ALX17" s="28"/>
      <c r="ALY17" s="29"/>
      <c r="ALZ17" s="30"/>
      <c r="AMA17" s="28"/>
      <c r="AMB17" s="29"/>
      <c r="AMC17" s="29"/>
      <c r="AMD17" s="29"/>
      <c r="AME17" s="28"/>
      <c r="AMF17" s="29"/>
      <c r="AMG17" s="29"/>
      <c r="AMH17" s="29"/>
      <c r="AMI17" s="29"/>
      <c r="AMJ17" s="29"/>
      <c r="AMK17" s="28"/>
      <c r="AML17" s="29"/>
      <c r="AMM17" s="29"/>
      <c r="AMN17" s="28"/>
      <c r="AMO17" s="29"/>
      <c r="AMP17" s="30"/>
      <c r="AMQ17" s="28"/>
      <c r="AMR17" s="29"/>
      <c r="AMS17" s="29"/>
      <c r="AMT17" s="29"/>
      <c r="AMU17" s="28"/>
      <c r="AMV17" s="29"/>
      <c r="AMW17" s="29"/>
      <c r="AMX17" s="28"/>
      <c r="AMY17" s="29"/>
      <c r="AMZ17" s="30"/>
      <c r="ANA17" s="28"/>
      <c r="ANB17" s="29"/>
      <c r="ANC17" s="29"/>
      <c r="AND17" s="29"/>
      <c r="ANE17" s="28"/>
      <c r="ANF17" s="29"/>
      <c r="ANG17" s="29"/>
      <c r="ANH17" s="29"/>
      <c r="ANI17" s="29"/>
      <c r="ANJ17" s="29"/>
      <c r="ANK17" s="28"/>
      <c r="ANL17" s="29"/>
      <c r="ANM17" s="29"/>
      <c r="ANN17" s="28"/>
      <c r="ANO17" s="29"/>
      <c r="ANP17" s="30"/>
      <c r="ANQ17" s="28"/>
      <c r="ANR17" s="29"/>
      <c r="ANS17" s="29"/>
      <c r="ANT17" s="29"/>
      <c r="ANU17" s="28"/>
      <c r="ANV17" s="29"/>
      <c r="ANW17" s="29"/>
      <c r="ANX17" s="28"/>
      <c r="ANY17" s="29"/>
      <c r="ANZ17" s="30"/>
      <c r="AOA17" s="28"/>
      <c r="AOB17" s="29"/>
      <c r="AOC17" s="29"/>
      <c r="AOD17" s="29"/>
      <c r="AOE17" s="28"/>
      <c r="AOF17" s="29"/>
      <c r="AOG17" s="29"/>
      <c r="AOH17" s="29"/>
      <c r="AOI17" s="29"/>
      <c r="AOJ17" s="29"/>
      <c r="AOK17" s="28"/>
      <c r="AOL17" s="29"/>
      <c r="AOM17" s="29"/>
      <c r="AON17" s="28"/>
      <c r="AOO17" s="29"/>
      <c r="AOP17" s="30"/>
      <c r="AOQ17" s="28"/>
      <c r="AOR17" s="29"/>
      <c r="AOS17" s="29"/>
      <c r="AOT17" s="29"/>
      <c r="AOU17" s="28"/>
      <c r="AOV17" s="29"/>
      <c r="AOW17" s="29"/>
      <c r="AOX17" s="28"/>
      <c r="AOY17" s="29"/>
      <c r="AOZ17" s="30"/>
      <c r="APA17" s="28"/>
      <c r="APB17" s="29"/>
      <c r="APC17" s="29"/>
      <c r="APD17" s="29"/>
      <c r="APE17" s="28"/>
      <c r="APF17" s="29"/>
      <c r="APG17" s="29"/>
      <c r="APH17" s="29"/>
      <c r="API17" s="29"/>
      <c r="APJ17" s="29"/>
      <c r="APK17" s="28"/>
      <c r="APL17" s="29"/>
      <c r="APM17" s="29"/>
      <c r="APN17" s="28"/>
      <c r="APO17" s="29"/>
      <c r="APP17" s="30"/>
      <c r="APQ17" s="28"/>
      <c r="APR17" s="29"/>
      <c r="APS17" s="29"/>
      <c r="APT17" s="29"/>
      <c r="APU17" s="28"/>
      <c r="APV17" s="29"/>
      <c r="APW17" s="29"/>
      <c r="APX17" s="28"/>
      <c r="APY17" s="29"/>
      <c r="APZ17" s="30"/>
      <c r="AQA17" s="28"/>
      <c r="AQB17" s="29"/>
      <c r="AQC17" s="29"/>
      <c r="AQD17" s="29"/>
      <c r="AQE17" s="28"/>
      <c r="AQF17" s="29"/>
      <c r="AQG17" s="29"/>
      <c r="AQH17" s="29"/>
      <c r="AQI17" s="29"/>
      <c r="AQJ17" s="29"/>
      <c r="AQK17" s="28"/>
      <c r="AQL17" s="29"/>
      <c r="AQM17" s="29"/>
      <c r="AQN17" s="28"/>
      <c r="AQO17" s="29"/>
      <c r="AQP17" s="30"/>
      <c r="AQQ17" s="28"/>
      <c r="AQR17" s="29"/>
      <c r="AQS17" s="29"/>
      <c r="AQT17" s="29"/>
      <c r="AQU17" s="28"/>
      <c r="AQV17" s="29"/>
      <c r="AQW17" s="29"/>
      <c r="AQX17" s="28"/>
      <c r="AQY17" s="29"/>
      <c r="AQZ17" s="30"/>
      <c r="ARA17" s="28"/>
      <c r="ARB17" s="29"/>
      <c r="ARC17" s="29"/>
      <c r="ARD17" s="29"/>
      <c r="ARE17" s="28"/>
      <c r="ARF17" s="29"/>
      <c r="ARG17" s="29"/>
      <c r="ARH17" s="29"/>
      <c r="ARI17" s="29"/>
      <c r="ARJ17" s="29"/>
      <c r="ARK17" s="28"/>
      <c r="ARL17" s="29"/>
      <c r="ARM17" s="29"/>
      <c r="ARN17" s="28"/>
      <c r="ARO17" s="29"/>
      <c r="ARP17" s="30"/>
      <c r="ARQ17" s="28"/>
      <c r="ARR17" s="29"/>
      <c r="ARS17" s="29"/>
      <c r="ART17" s="29"/>
      <c r="ARU17" s="28"/>
      <c r="ARV17" s="29"/>
      <c r="ARW17" s="29"/>
      <c r="ARX17" s="28"/>
      <c r="ARY17" s="29"/>
      <c r="ARZ17" s="30"/>
      <c r="ASA17" s="28"/>
      <c r="ASB17" s="29"/>
      <c r="ASC17" s="29"/>
      <c r="ASD17" s="29"/>
      <c r="ASE17" s="28"/>
      <c r="ASF17" s="29"/>
      <c r="ASG17" s="29"/>
      <c r="ASH17" s="29"/>
      <c r="ASI17" s="29"/>
      <c r="ASJ17" s="29"/>
      <c r="ASK17" s="28"/>
      <c r="ASL17" s="29"/>
      <c r="ASM17" s="29"/>
      <c r="ASN17" s="28"/>
      <c r="ASO17" s="29"/>
      <c r="ASP17" s="30"/>
      <c r="ASQ17" s="28"/>
      <c r="ASR17" s="29"/>
      <c r="ASS17" s="29"/>
      <c r="AST17" s="29"/>
      <c r="ASU17" s="28"/>
      <c r="ASV17" s="29"/>
      <c r="ASW17" s="29"/>
      <c r="ASX17" s="28"/>
      <c r="ASY17" s="29"/>
      <c r="ASZ17" s="30"/>
      <c r="ATA17" s="28"/>
      <c r="ATB17" s="29"/>
      <c r="ATC17" s="29"/>
      <c r="ATD17" s="29"/>
      <c r="ATE17" s="28"/>
      <c r="ATF17" s="29"/>
      <c r="ATG17" s="29"/>
      <c r="ATH17" s="29"/>
      <c r="ATI17" s="29"/>
      <c r="ATJ17" s="29"/>
      <c r="ATK17" s="28"/>
      <c r="ATL17" s="29"/>
      <c r="ATM17" s="29"/>
      <c r="ATN17" s="28"/>
      <c r="ATO17" s="29"/>
      <c r="ATP17" s="30"/>
      <c r="ATQ17" s="28"/>
      <c r="ATR17" s="29"/>
      <c r="ATS17" s="29"/>
      <c r="ATT17" s="29"/>
      <c r="ATU17" s="28"/>
      <c r="ATV17" s="29"/>
      <c r="ATW17" s="29"/>
      <c r="ATX17" s="28"/>
      <c r="ATY17" s="29"/>
      <c r="ATZ17" s="30"/>
      <c r="AUA17" s="28"/>
      <c r="AUB17" s="29"/>
      <c r="AUC17" s="29"/>
      <c r="AUD17" s="29"/>
      <c r="AUE17" s="28"/>
      <c r="AUF17" s="29"/>
      <c r="AUG17" s="29"/>
      <c r="AUH17" s="29"/>
      <c r="AUI17" s="29"/>
      <c r="AUJ17" s="29"/>
      <c r="AUK17" s="28"/>
      <c r="AUL17" s="29"/>
      <c r="AUM17" s="29"/>
      <c r="AUN17" s="28"/>
      <c r="AUO17" s="29"/>
      <c r="AUP17" s="30"/>
      <c r="AUQ17" s="28"/>
      <c r="AUR17" s="29"/>
      <c r="AUS17" s="29"/>
      <c r="AUT17" s="29"/>
      <c r="AUU17" s="28"/>
      <c r="AUV17" s="29"/>
      <c r="AUW17" s="29"/>
      <c r="AUX17" s="28"/>
      <c r="AUY17" s="29"/>
      <c r="AUZ17" s="30"/>
      <c r="AVA17" s="28"/>
      <c r="AVB17" s="29"/>
      <c r="AVC17" s="29"/>
      <c r="AVD17" s="29"/>
      <c r="AVE17" s="28"/>
      <c r="AVF17" s="29"/>
      <c r="AVG17" s="29"/>
      <c r="AVH17" s="29"/>
      <c r="AVI17" s="29"/>
      <c r="AVJ17" s="29"/>
      <c r="AVK17" s="28"/>
      <c r="AVL17" s="29"/>
      <c r="AVM17" s="29"/>
      <c r="AVN17" s="28"/>
      <c r="AVO17" s="29"/>
      <c r="AVP17" s="30"/>
      <c r="AVQ17" s="28"/>
      <c r="AVR17" s="29"/>
      <c r="AVS17" s="29"/>
      <c r="AVT17" s="29"/>
      <c r="AVU17" s="28"/>
      <c r="AVV17" s="29"/>
      <c r="AVW17" s="29"/>
      <c r="AVX17" s="28"/>
      <c r="AVY17" s="29"/>
      <c r="AVZ17" s="30"/>
      <c r="AWA17" s="28"/>
      <c r="AWB17" s="29"/>
      <c r="AWC17" s="29"/>
      <c r="AWD17" s="29"/>
      <c r="AWE17" s="28"/>
      <c r="AWF17" s="29"/>
      <c r="AWG17" s="29"/>
      <c r="AWH17" s="29"/>
      <c r="AWI17" s="29"/>
      <c r="AWJ17" s="29"/>
      <c r="AWK17" s="28"/>
      <c r="AWL17" s="29"/>
      <c r="AWM17" s="29"/>
      <c r="AWN17" s="28"/>
      <c r="AWO17" s="29"/>
      <c r="AWP17" s="30"/>
      <c r="AWQ17" s="28"/>
      <c r="AWR17" s="29"/>
      <c r="AWS17" s="29"/>
      <c r="AWT17" s="29"/>
      <c r="AWU17" s="28"/>
      <c r="AWV17" s="29"/>
      <c r="AWW17" s="29"/>
      <c r="AWX17" s="28"/>
      <c r="AWY17" s="29"/>
      <c r="AWZ17" s="30"/>
      <c r="AXA17" s="28"/>
      <c r="AXB17" s="29"/>
      <c r="AXC17" s="29"/>
      <c r="AXD17" s="29"/>
      <c r="AXE17" s="28"/>
      <c r="AXF17" s="29"/>
      <c r="AXG17" s="29"/>
      <c r="AXH17" s="29"/>
      <c r="AXI17" s="29"/>
      <c r="AXJ17" s="29"/>
      <c r="AXK17" s="28"/>
      <c r="AXL17" s="29"/>
      <c r="AXM17" s="29"/>
      <c r="AXN17" s="28"/>
      <c r="AXO17" s="29"/>
      <c r="AXP17" s="30"/>
      <c r="AXQ17" s="28"/>
      <c r="AXR17" s="29"/>
      <c r="AXS17" s="29"/>
      <c r="AXT17" s="29"/>
      <c r="AXU17" s="28"/>
      <c r="AXV17" s="29"/>
      <c r="AXW17" s="29"/>
      <c r="AXX17" s="28"/>
      <c r="AXY17" s="29"/>
      <c r="AXZ17" s="30"/>
      <c r="AYA17" s="28"/>
      <c r="AYB17" s="29"/>
      <c r="AYC17" s="29"/>
      <c r="AYD17" s="29"/>
      <c r="AYE17" s="28"/>
      <c r="AYF17" s="29"/>
      <c r="AYG17" s="29"/>
      <c r="AYH17" s="29"/>
      <c r="AYI17" s="29"/>
      <c r="AYJ17" s="29"/>
      <c r="AYK17" s="28"/>
      <c r="AYL17" s="29"/>
      <c r="AYM17" s="29"/>
      <c r="AYN17" s="28"/>
      <c r="AYO17" s="29"/>
      <c r="AYP17" s="30"/>
      <c r="AYQ17" s="28"/>
      <c r="AYR17" s="29"/>
      <c r="AYS17" s="29"/>
      <c r="AYT17" s="29"/>
      <c r="AYU17" s="28"/>
      <c r="AYV17" s="29"/>
      <c r="AYW17" s="29"/>
      <c r="AYX17" s="28"/>
      <c r="AYY17" s="29"/>
      <c r="AYZ17" s="30"/>
      <c r="AZA17" s="28"/>
      <c r="AZB17" s="29"/>
      <c r="AZC17" s="29"/>
      <c r="AZD17" s="29"/>
      <c r="AZE17" s="28"/>
      <c r="AZF17" s="29"/>
      <c r="AZG17" s="29"/>
      <c r="AZH17" s="29"/>
      <c r="AZI17" s="29"/>
      <c r="AZJ17" s="29"/>
      <c r="AZK17" s="28"/>
      <c r="AZL17" s="29"/>
      <c r="AZM17" s="29"/>
      <c r="AZN17" s="28"/>
      <c r="AZO17" s="29"/>
      <c r="AZP17" s="30"/>
      <c r="AZQ17" s="28"/>
      <c r="AZR17" s="29"/>
      <c r="AZS17" s="29"/>
      <c r="AZT17" s="29"/>
      <c r="AZU17" s="28"/>
      <c r="AZV17" s="29"/>
      <c r="AZW17" s="29"/>
      <c r="AZX17" s="28"/>
      <c r="AZY17" s="29"/>
      <c r="AZZ17" s="30"/>
      <c r="BAA17" s="28"/>
      <c r="BAB17" s="29"/>
      <c r="BAC17" s="29"/>
      <c r="BAD17" s="29"/>
      <c r="BAE17" s="28"/>
      <c r="BAF17" s="29"/>
      <c r="BAG17" s="29"/>
      <c r="BAH17" s="29"/>
      <c r="BAI17" s="29"/>
      <c r="BAJ17" s="29"/>
      <c r="BAK17" s="28"/>
      <c r="BAL17" s="29"/>
      <c r="BAM17" s="29"/>
      <c r="BAN17" s="28"/>
      <c r="BAO17" s="29"/>
      <c r="BAP17" s="30"/>
      <c r="BAQ17" s="28"/>
      <c r="BAR17" s="29"/>
      <c r="BAS17" s="29"/>
      <c r="BAT17" s="29"/>
      <c r="BAU17" s="28"/>
      <c r="BAV17" s="29"/>
      <c r="BAW17" s="29"/>
      <c r="BAX17" s="28"/>
      <c r="BAY17" s="29"/>
      <c r="BAZ17" s="30"/>
      <c r="BBA17" s="28"/>
      <c r="BBB17" s="29"/>
      <c r="BBC17" s="29"/>
      <c r="BBD17" s="29"/>
      <c r="BBE17" s="28"/>
      <c r="BBF17" s="29"/>
      <c r="BBG17" s="29"/>
      <c r="BBH17" s="29"/>
      <c r="BBI17" s="29"/>
      <c r="BBJ17" s="29"/>
      <c r="BBK17" s="28"/>
      <c r="BBL17" s="29"/>
      <c r="BBM17" s="29"/>
      <c r="BBN17" s="28"/>
      <c r="BBO17" s="29"/>
      <c r="BBP17" s="30"/>
      <c r="BBQ17" s="28"/>
      <c r="BBR17" s="29"/>
      <c r="BBS17" s="29"/>
      <c r="BBT17" s="29"/>
      <c r="BBU17" s="28"/>
      <c r="BBV17" s="29"/>
      <c r="BBW17" s="29"/>
      <c r="BBX17" s="28"/>
      <c r="BBY17" s="29"/>
      <c r="BBZ17" s="30"/>
      <c r="BCA17" s="28"/>
      <c r="BCB17" s="29"/>
      <c r="BCC17" s="29"/>
      <c r="BCD17" s="29"/>
      <c r="BCE17" s="28"/>
      <c r="BCF17" s="29"/>
      <c r="BCG17" s="29"/>
      <c r="BCH17" s="29"/>
      <c r="BCI17" s="29"/>
      <c r="BCJ17" s="29"/>
      <c r="BCK17" s="28"/>
      <c r="BCL17" s="29"/>
      <c r="BCM17" s="29"/>
      <c r="BCN17" s="28"/>
      <c r="BCO17" s="29"/>
      <c r="BCP17" s="30"/>
      <c r="BCQ17" s="28"/>
      <c r="BCR17" s="29"/>
      <c r="BCS17" s="29"/>
      <c r="BCT17" s="29"/>
      <c r="BCU17" s="28"/>
      <c r="BCV17" s="29"/>
      <c r="BCW17" s="29"/>
      <c r="BCX17" s="28"/>
      <c r="BCY17" s="29"/>
      <c r="BCZ17" s="30"/>
      <c r="BDA17" s="28"/>
      <c r="BDB17" s="29"/>
      <c r="BDC17" s="29"/>
      <c r="BDD17" s="29"/>
      <c r="BDE17" s="28"/>
      <c r="BDF17" s="29"/>
      <c r="BDG17" s="29"/>
      <c r="BDH17" s="29"/>
      <c r="BDI17" s="29"/>
      <c r="BDJ17" s="29"/>
      <c r="BDK17" s="28"/>
      <c r="BDL17" s="29"/>
      <c r="BDM17" s="29"/>
      <c r="BDN17" s="28"/>
      <c r="BDO17" s="29"/>
      <c r="BDP17" s="30"/>
      <c r="BDQ17" s="28"/>
      <c r="BDR17" s="29"/>
      <c r="BDS17" s="29"/>
      <c r="BDT17" s="29"/>
      <c r="BDU17" s="28"/>
      <c r="BDV17" s="29"/>
      <c r="BDW17" s="29"/>
      <c r="BDX17" s="28"/>
      <c r="BDY17" s="29"/>
      <c r="BDZ17" s="30"/>
      <c r="BEA17" s="28"/>
      <c r="BEB17" s="29"/>
      <c r="BEC17" s="29"/>
      <c r="BED17" s="29"/>
      <c r="BEE17" s="28"/>
      <c r="BEF17" s="29"/>
      <c r="BEG17" s="29"/>
      <c r="BEH17" s="29"/>
      <c r="BEI17" s="29"/>
      <c r="BEJ17" s="29"/>
      <c r="BEK17" s="28"/>
      <c r="BEL17" s="29"/>
      <c r="BEM17" s="29"/>
      <c r="BEN17" s="28"/>
      <c r="BEO17" s="29"/>
      <c r="BEP17" s="30"/>
      <c r="BEQ17" s="28"/>
      <c r="BER17" s="29"/>
      <c r="BES17" s="29"/>
      <c r="BET17" s="29"/>
      <c r="BEU17" s="28"/>
      <c r="BEV17" s="29"/>
      <c r="BEW17" s="29"/>
      <c r="BEX17" s="28"/>
      <c r="BEY17" s="29"/>
      <c r="BEZ17" s="30"/>
      <c r="BFA17" s="28"/>
      <c r="BFB17" s="29"/>
      <c r="BFC17" s="29"/>
      <c r="BFD17" s="29"/>
      <c r="BFE17" s="28"/>
      <c r="BFF17" s="29"/>
      <c r="BFG17" s="29"/>
      <c r="BFH17" s="29"/>
      <c r="BFI17" s="29"/>
      <c r="BFJ17" s="29"/>
      <c r="BFK17" s="28"/>
      <c r="BFL17" s="29"/>
      <c r="BFM17" s="29"/>
      <c r="BFN17" s="28"/>
      <c r="BFO17" s="29"/>
      <c r="BFP17" s="30"/>
      <c r="BFQ17" s="28"/>
      <c r="BFR17" s="29"/>
      <c r="BFS17" s="29"/>
      <c r="BFT17" s="29"/>
      <c r="BFU17" s="28"/>
      <c r="BFV17" s="29"/>
      <c r="BFW17" s="29"/>
      <c r="BFX17" s="28"/>
      <c r="BFY17" s="29"/>
      <c r="BFZ17" s="30"/>
      <c r="BGA17" s="28"/>
      <c r="BGB17" s="29"/>
      <c r="BGC17" s="29"/>
      <c r="BGD17" s="29"/>
      <c r="BGE17" s="28"/>
      <c r="BGF17" s="29"/>
      <c r="BGG17" s="29"/>
      <c r="BGH17" s="29"/>
      <c r="BGI17" s="29"/>
      <c r="BGJ17" s="29"/>
      <c r="BGK17" s="28"/>
      <c r="BGL17" s="29"/>
      <c r="BGM17" s="29"/>
      <c r="BGN17" s="28"/>
      <c r="BGO17" s="29"/>
      <c r="BGP17" s="30"/>
      <c r="BGQ17" s="28"/>
      <c r="BGR17" s="29"/>
      <c r="BGS17" s="29"/>
      <c r="BGT17" s="29"/>
      <c r="BGU17" s="28"/>
      <c r="BGV17" s="29"/>
      <c r="BGW17" s="29"/>
      <c r="BGX17" s="28"/>
      <c r="BGY17" s="29"/>
      <c r="BGZ17" s="30"/>
      <c r="BHA17" s="28"/>
      <c r="BHB17" s="29"/>
      <c r="BHC17" s="29"/>
      <c r="BHD17" s="29"/>
      <c r="BHE17" s="28"/>
      <c r="BHF17" s="29"/>
      <c r="BHG17" s="29"/>
      <c r="BHH17" s="29"/>
      <c r="BHI17" s="29"/>
      <c r="BHJ17" s="29"/>
      <c r="BHK17" s="28"/>
      <c r="BHL17" s="29"/>
      <c r="BHM17" s="29"/>
      <c r="BHN17" s="28"/>
      <c r="BHO17" s="29"/>
      <c r="BHP17" s="30"/>
      <c r="BHQ17" s="28"/>
      <c r="BHR17" s="29"/>
      <c r="BHS17" s="29"/>
      <c r="BHT17" s="29"/>
      <c r="BHU17" s="28"/>
      <c r="BHV17" s="29"/>
      <c r="BHW17" s="29"/>
      <c r="BHX17" s="28"/>
      <c r="BHY17" s="29"/>
      <c r="BHZ17" s="30"/>
      <c r="BIA17" s="28"/>
      <c r="BIB17" s="29"/>
      <c r="BIC17" s="29"/>
      <c r="BID17" s="29"/>
      <c r="BIE17" s="28"/>
      <c r="BIF17" s="29"/>
      <c r="BIG17" s="29"/>
      <c r="BIH17" s="29"/>
      <c r="BII17" s="29"/>
      <c r="BIJ17" s="29"/>
      <c r="BIK17" s="28"/>
      <c r="BIL17" s="29"/>
      <c r="BIM17" s="29"/>
      <c r="BIN17" s="28"/>
      <c r="BIO17" s="29"/>
      <c r="BIP17" s="30"/>
      <c r="BIQ17" s="28"/>
      <c r="BIR17" s="29"/>
      <c r="BIS17" s="29"/>
      <c r="BIT17" s="29"/>
      <c r="BIU17" s="28"/>
      <c r="BIV17" s="29"/>
      <c r="BIW17" s="29"/>
      <c r="BIX17" s="28"/>
      <c r="BIY17" s="29"/>
      <c r="BIZ17" s="30"/>
      <c r="BJA17" s="28"/>
      <c r="BJB17" s="29"/>
      <c r="BJC17" s="29"/>
      <c r="BJD17" s="29"/>
      <c r="BJE17" s="28"/>
      <c r="BJF17" s="29"/>
      <c r="BJG17" s="29"/>
      <c r="BJH17" s="29"/>
      <c r="BJI17" s="29"/>
      <c r="BJJ17" s="29"/>
      <c r="BJK17" s="28"/>
      <c r="BJL17" s="29"/>
      <c r="BJM17" s="29"/>
      <c r="BJN17" s="28"/>
      <c r="BJO17" s="29"/>
      <c r="BJP17" s="30"/>
      <c r="BJQ17" s="28"/>
      <c r="BJR17" s="29"/>
      <c r="BJS17" s="29"/>
      <c r="BJT17" s="29"/>
      <c r="BJU17" s="28"/>
      <c r="BJV17" s="29"/>
      <c r="BJW17" s="29"/>
      <c r="BJX17" s="28"/>
      <c r="BJY17" s="29"/>
      <c r="BJZ17" s="30"/>
      <c r="BKA17" s="28"/>
      <c r="BKB17" s="29"/>
      <c r="BKC17" s="29"/>
      <c r="BKD17" s="29"/>
      <c r="BKE17" s="28"/>
      <c r="BKF17" s="29"/>
      <c r="BKG17" s="29"/>
      <c r="BKH17" s="29"/>
      <c r="BKI17" s="29"/>
      <c r="BKJ17" s="29"/>
      <c r="BKK17" s="28"/>
      <c r="BKL17" s="29"/>
      <c r="BKM17" s="29"/>
      <c r="BKN17" s="28"/>
      <c r="BKO17" s="29"/>
      <c r="BKP17" s="30"/>
      <c r="BKQ17" s="28"/>
      <c r="BKR17" s="29"/>
      <c r="BKS17" s="29"/>
      <c r="BKT17" s="29"/>
      <c r="BKU17" s="28"/>
      <c r="BKV17" s="29"/>
      <c r="BKW17" s="29"/>
      <c r="BKX17" s="28"/>
      <c r="BKY17" s="29"/>
      <c r="BKZ17" s="30"/>
      <c r="BLA17" s="28"/>
      <c r="BLB17" s="29"/>
      <c r="BLC17" s="29"/>
      <c r="BLD17" s="29"/>
      <c r="BLE17" s="28"/>
      <c r="BLF17" s="29"/>
      <c r="BLG17" s="29"/>
      <c r="BLH17" s="29"/>
      <c r="BLI17" s="29"/>
      <c r="BLJ17" s="29"/>
      <c r="BLK17" s="28"/>
      <c r="BLL17" s="29"/>
      <c r="BLM17" s="29"/>
      <c r="BLN17" s="28"/>
      <c r="BLO17" s="29"/>
      <c r="BLP17" s="30"/>
      <c r="BLQ17" s="28"/>
      <c r="BLR17" s="29"/>
      <c r="BLS17" s="29"/>
      <c r="BLT17" s="29"/>
      <c r="BLU17" s="28"/>
      <c r="BLV17" s="29"/>
      <c r="BLW17" s="29"/>
      <c r="BLX17" s="28"/>
      <c r="BLY17" s="29"/>
      <c r="BLZ17" s="30"/>
      <c r="BMA17" s="28"/>
      <c r="BMB17" s="29"/>
      <c r="BMC17" s="29"/>
      <c r="BMD17" s="29"/>
      <c r="BME17" s="28"/>
      <c r="BMF17" s="29"/>
      <c r="BMG17" s="29"/>
      <c r="BMH17" s="29"/>
      <c r="BMI17" s="29"/>
      <c r="BMJ17" s="29"/>
      <c r="BMK17" s="28"/>
      <c r="BML17" s="29"/>
      <c r="BMM17" s="29"/>
      <c r="BMN17" s="28"/>
      <c r="BMO17" s="29"/>
      <c r="BMP17" s="30"/>
      <c r="BMQ17" s="28"/>
      <c r="BMR17" s="29"/>
      <c r="BMS17" s="29"/>
      <c r="BMT17" s="29"/>
      <c r="BMU17" s="28"/>
      <c r="BMV17" s="29"/>
      <c r="BMW17" s="29"/>
      <c r="BMX17" s="28"/>
      <c r="BMY17" s="29"/>
      <c r="BMZ17" s="30"/>
      <c r="BNA17" s="28"/>
      <c r="BNB17" s="29"/>
      <c r="BNC17" s="29"/>
      <c r="BND17" s="29"/>
      <c r="BNE17" s="28"/>
      <c r="BNF17" s="29"/>
      <c r="BNG17" s="29"/>
      <c r="BNH17" s="29"/>
      <c r="BNI17" s="29"/>
      <c r="BNJ17" s="29"/>
      <c r="BNK17" s="28"/>
      <c r="BNL17" s="29"/>
      <c r="BNM17" s="29"/>
      <c r="BNN17" s="28"/>
      <c r="BNO17" s="29"/>
      <c r="BNP17" s="30"/>
      <c r="BNQ17" s="28"/>
      <c r="BNR17" s="29"/>
      <c r="BNS17" s="29"/>
      <c r="BNT17" s="29"/>
      <c r="BNU17" s="28"/>
      <c r="BNV17" s="29"/>
      <c r="BNW17" s="29"/>
      <c r="BNX17" s="28"/>
      <c r="BNY17" s="29"/>
      <c r="BNZ17" s="30"/>
      <c r="BOA17" s="28"/>
      <c r="BOB17" s="29"/>
      <c r="BOC17" s="29"/>
      <c r="BOD17" s="29"/>
      <c r="BOE17" s="28"/>
      <c r="BOF17" s="29"/>
      <c r="BOG17" s="29"/>
      <c r="BOH17" s="29"/>
      <c r="BOI17" s="29"/>
      <c r="BOJ17" s="29"/>
      <c r="BOK17" s="28"/>
      <c r="BOL17" s="29"/>
      <c r="BOM17" s="29"/>
      <c r="BON17" s="28"/>
      <c r="BOO17" s="29"/>
      <c r="BOP17" s="30"/>
      <c r="BOQ17" s="28"/>
      <c r="BOR17" s="29"/>
      <c r="BOS17" s="29"/>
      <c r="BOT17" s="29"/>
      <c r="BOU17" s="28"/>
      <c r="BOV17" s="29"/>
      <c r="BOW17" s="29"/>
      <c r="BOX17" s="28"/>
      <c r="BOY17" s="29"/>
      <c r="BOZ17" s="30"/>
      <c r="BPA17" s="28"/>
      <c r="BPB17" s="29"/>
      <c r="BPC17" s="29"/>
      <c r="BPD17" s="29"/>
      <c r="BPE17" s="28"/>
      <c r="BPF17" s="29"/>
      <c r="BPG17" s="29"/>
      <c r="BPH17" s="29"/>
      <c r="BPI17" s="29"/>
      <c r="BPJ17" s="29"/>
      <c r="BPK17" s="28"/>
      <c r="BPL17" s="29"/>
      <c r="BPM17" s="29"/>
      <c r="BPN17" s="28"/>
      <c r="BPO17" s="29"/>
      <c r="BPP17" s="30"/>
      <c r="BPQ17" s="28"/>
      <c r="BPR17" s="29"/>
      <c r="BPS17" s="29"/>
      <c r="BPT17" s="29"/>
      <c r="BPU17" s="28"/>
      <c r="BPV17" s="29"/>
      <c r="BPW17" s="29"/>
      <c r="BPX17" s="28"/>
      <c r="BPY17" s="29"/>
      <c r="BPZ17" s="30"/>
      <c r="BQA17" s="28"/>
      <c r="BQB17" s="29"/>
      <c r="BQC17" s="29"/>
      <c r="BQD17" s="29"/>
      <c r="BQE17" s="28"/>
      <c r="BQF17" s="29"/>
      <c r="BQG17" s="29"/>
      <c r="BQH17" s="29"/>
      <c r="BQI17" s="29"/>
      <c r="BQJ17" s="29"/>
      <c r="BQK17" s="28"/>
      <c r="BQL17" s="29"/>
      <c r="BQM17" s="29"/>
      <c r="BQN17" s="28"/>
      <c r="BQO17" s="29"/>
      <c r="BQP17" s="30"/>
      <c r="BQQ17" s="28"/>
      <c r="BQR17" s="29"/>
      <c r="BQS17" s="29"/>
      <c r="BQT17" s="29"/>
      <c r="BQU17" s="28"/>
      <c r="BQV17" s="29"/>
      <c r="BQW17" s="29"/>
      <c r="BQX17" s="28"/>
      <c r="BQY17" s="29"/>
      <c r="BQZ17" s="30"/>
      <c r="BRA17" s="28"/>
      <c r="BRB17" s="29"/>
      <c r="BRC17" s="29"/>
      <c r="BRD17" s="29"/>
      <c r="BRE17" s="28"/>
      <c r="BRF17" s="29"/>
      <c r="BRG17" s="29"/>
      <c r="BRH17" s="29"/>
      <c r="BRI17" s="29"/>
      <c r="BRJ17" s="29"/>
      <c r="BRK17" s="28"/>
      <c r="BRL17" s="29"/>
      <c r="BRM17" s="29"/>
      <c r="BRN17" s="28"/>
      <c r="BRO17" s="29"/>
      <c r="BRP17" s="30"/>
      <c r="BRQ17" s="28"/>
      <c r="BRR17" s="29"/>
      <c r="BRS17" s="29"/>
      <c r="BRT17" s="29"/>
      <c r="BRU17" s="28"/>
      <c r="BRV17" s="29"/>
      <c r="BRW17" s="29"/>
      <c r="BRX17" s="28"/>
      <c r="BRY17" s="29"/>
      <c r="BRZ17" s="30"/>
      <c r="BSA17" s="28"/>
      <c r="BSB17" s="29"/>
      <c r="BSC17" s="29"/>
      <c r="BSD17" s="29"/>
      <c r="BSE17" s="28"/>
      <c r="BSF17" s="29"/>
      <c r="BSG17" s="29"/>
      <c r="BSH17" s="29"/>
      <c r="BSI17" s="29"/>
      <c r="BSJ17" s="29"/>
      <c r="BSK17" s="28"/>
      <c r="BSL17" s="29"/>
      <c r="BSM17" s="29"/>
      <c r="BSN17" s="28"/>
      <c r="BSO17" s="29"/>
      <c r="BSP17" s="30"/>
      <c r="BSQ17" s="28"/>
      <c r="BSR17" s="29"/>
      <c r="BSS17" s="29"/>
      <c r="BST17" s="29"/>
      <c r="BSU17" s="28"/>
      <c r="BSV17" s="29"/>
      <c r="BSW17" s="29"/>
      <c r="BSX17" s="28"/>
      <c r="BSY17" s="29"/>
      <c r="BSZ17" s="30"/>
      <c r="BTA17" s="28"/>
      <c r="BTB17" s="29"/>
      <c r="BTC17" s="29"/>
      <c r="BTD17" s="29"/>
      <c r="BTE17" s="28"/>
      <c r="BTF17" s="29"/>
      <c r="BTG17" s="29"/>
      <c r="BTH17" s="29"/>
      <c r="BTI17" s="29"/>
      <c r="BTJ17" s="29"/>
      <c r="BTK17" s="28"/>
      <c r="BTL17" s="29"/>
      <c r="BTM17" s="29"/>
      <c r="BTN17" s="28"/>
      <c r="BTO17" s="29"/>
      <c r="BTP17" s="30"/>
      <c r="BTQ17" s="28"/>
      <c r="BTR17" s="29"/>
      <c r="BTS17" s="29"/>
      <c r="BTT17" s="29"/>
      <c r="BTU17" s="28"/>
      <c r="BTV17" s="29"/>
      <c r="BTW17" s="29"/>
      <c r="BTX17" s="28"/>
      <c r="BTY17" s="29"/>
      <c r="BTZ17" s="30"/>
      <c r="BUA17" s="28"/>
      <c r="BUB17" s="29"/>
      <c r="BUC17" s="29"/>
      <c r="BUD17" s="29"/>
      <c r="BUE17" s="28"/>
      <c r="BUF17" s="29"/>
      <c r="BUG17" s="29"/>
      <c r="BUH17" s="29"/>
      <c r="BUI17" s="29"/>
      <c r="BUJ17" s="29"/>
      <c r="BUK17" s="28"/>
      <c r="BUL17" s="29"/>
      <c r="BUM17" s="29"/>
      <c r="BUN17" s="28"/>
      <c r="BUO17" s="29"/>
      <c r="BUP17" s="30"/>
      <c r="BUQ17" s="28"/>
      <c r="BUR17" s="29"/>
      <c r="BUS17" s="29"/>
      <c r="BUT17" s="29"/>
      <c r="BUU17" s="28"/>
      <c r="BUV17" s="29"/>
      <c r="BUW17" s="29"/>
      <c r="BUX17" s="28"/>
      <c r="BUY17" s="29"/>
      <c r="BUZ17" s="30"/>
      <c r="BVA17" s="28"/>
      <c r="BVB17" s="29"/>
      <c r="BVC17" s="29"/>
      <c r="BVD17" s="29"/>
      <c r="BVE17" s="28"/>
      <c r="BVF17" s="29"/>
      <c r="BVG17" s="29"/>
      <c r="BVH17" s="29"/>
      <c r="BVI17" s="29"/>
      <c r="BVJ17" s="29"/>
      <c r="BVK17" s="28"/>
      <c r="BVL17" s="29"/>
      <c r="BVM17" s="29"/>
      <c r="BVN17" s="28"/>
      <c r="BVO17" s="29"/>
      <c r="BVP17" s="30"/>
      <c r="BVQ17" s="28"/>
      <c r="BVR17" s="29"/>
      <c r="BVS17" s="29"/>
      <c r="BVT17" s="29"/>
      <c r="BVU17" s="28"/>
      <c r="BVV17" s="29"/>
      <c r="BVW17" s="29"/>
      <c r="BVX17" s="28"/>
      <c r="BVY17" s="29"/>
      <c r="BVZ17" s="30"/>
      <c r="BWA17" s="28"/>
      <c r="BWB17" s="29"/>
      <c r="BWC17" s="29"/>
      <c r="BWD17" s="29"/>
      <c r="BWE17" s="28"/>
      <c r="BWF17" s="29"/>
      <c r="BWG17" s="29"/>
      <c r="BWH17" s="29"/>
      <c r="BWI17" s="29"/>
      <c r="BWJ17" s="29"/>
      <c r="BWK17" s="28"/>
      <c r="BWL17" s="29"/>
      <c r="BWM17" s="29"/>
      <c r="BWN17" s="28"/>
      <c r="BWO17" s="29"/>
      <c r="BWP17" s="30"/>
      <c r="BWQ17" s="28"/>
      <c r="BWR17" s="29"/>
      <c r="BWS17" s="29"/>
      <c r="BWT17" s="29"/>
      <c r="BWU17" s="28"/>
      <c r="BWV17" s="29"/>
      <c r="BWW17" s="29"/>
      <c r="BWX17" s="28"/>
      <c r="BWY17" s="29"/>
      <c r="BWZ17" s="30"/>
      <c r="BXA17" s="28"/>
      <c r="BXB17" s="29"/>
      <c r="BXC17" s="29"/>
      <c r="BXD17" s="29"/>
      <c r="BXE17" s="28"/>
      <c r="BXF17" s="29"/>
      <c r="BXG17" s="29"/>
      <c r="BXH17" s="29"/>
      <c r="BXI17" s="29"/>
      <c r="BXJ17" s="29"/>
      <c r="BXK17" s="28"/>
      <c r="BXL17" s="29"/>
      <c r="BXM17" s="29"/>
      <c r="BXN17" s="28"/>
      <c r="BXO17" s="29"/>
      <c r="BXP17" s="30"/>
      <c r="BXQ17" s="28"/>
      <c r="BXR17" s="29"/>
      <c r="BXS17" s="29"/>
      <c r="BXT17" s="29"/>
      <c r="BXU17" s="28"/>
      <c r="BXV17" s="29"/>
      <c r="BXW17" s="29"/>
      <c r="BXX17" s="28"/>
      <c r="BXY17" s="29"/>
      <c r="BXZ17" s="30"/>
      <c r="BYA17" s="28"/>
      <c r="BYB17" s="29"/>
      <c r="BYC17" s="29"/>
      <c r="BYD17" s="29"/>
      <c r="BYE17" s="28"/>
      <c r="BYF17" s="29"/>
      <c r="BYG17" s="29"/>
      <c r="BYH17" s="29"/>
      <c r="BYI17" s="29"/>
      <c r="BYJ17" s="29"/>
      <c r="BYK17" s="28"/>
      <c r="BYL17" s="29"/>
      <c r="BYM17" s="29"/>
      <c r="BYN17" s="28"/>
      <c r="BYO17" s="29"/>
      <c r="BYP17" s="30"/>
      <c r="BYQ17" s="28"/>
      <c r="BYR17" s="29"/>
      <c r="BYS17" s="29"/>
      <c r="BYT17" s="29"/>
      <c r="BYU17" s="28"/>
      <c r="BYV17" s="29"/>
      <c r="BYW17" s="29"/>
      <c r="BYX17" s="30"/>
      <c r="BYY17" s="29"/>
      <c r="BYZ17" s="28"/>
      <c r="BZA17" s="29"/>
      <c r="BZB17" s="28"/>
      <c r="BZC17" s="28"/>
      <c r="BZD17" s="28"/>
      <c r="BZE17" s="29"/>
      <c r="BZF17" s="385"/>
      <c r="BZG17" s="29"/>
      <c r="BZH17" s="385"/>
      <c r="BZI17" s="29"/>
      <c r="BZJ17" s="385"/>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30"/>
      <c r="CAQ17" s="28"/>
      <c r="CAR17" s="29"/>
      <c r="CAS17" s="29"/>
      <c r="CAT17" s="29"/>
      <c r="CAU17" s="29"/>
      <c r="CAV17" s="29"/>
      <c r="CAW17" s="28"/>
      <c r="CAX17" s="29"/>
      <c r="CAY17" s="29"/>
      <c r="CAZ17" s="28"/>
      <c r="CBA17" s="29"/>
      <c r="CBB17" s="30"/>
      <c r="CBC17" s="28"/>
      <c r="CBD17" s="29"/>
      <c r="CBE17" s="29"/>
      <c r="CBF17" s="29"/>
      <c r="CBG17" s="28"/>
      <c r="CBH17" s="29"/>
      <c r="CBI17" s="29"/>
      <c r="CBJ17" s="28"/>
      <c r="CBK17" s="29"/>
      <c r="CBL17" s="30"/>
      <c r="CBM17" s="28"/>
      <c r="CBN17" s="29"/>
      <c r="CBO17" s="29"/>
      <c r="CBP17" s="29"/>
      <c r="CBQ17" s="28"/>
      <c r="CBR17" s="29"/>
      <c r="CBS17" s="29"/>
      <c r="CBT17" s="28"/>
      <c r="CBU17" s="29"/>
      <c r="CBV17" s="30"/>
      <c r="CBW17" s="28"/>
      <c r="CBX17" s="29"/>
      <c r="CBY17" s="29"/>
      <c r="CBZ17" s="29"/>
      <c r="CCA17" s="28"/>
      <c r="CCB17" s="29"/>
      <c r="CCC17" s="29"/>
      <c r="CCD17" s="28"/>
      <c r="CCE17" s="29"/>
      <c r="CCF17" s="30"/>
      <c r="CCG17" s="28"/>
      <c r="CCH17" s="30"/>
      <c r="CCI17" s="29"/>
      <c r="CCJ17" s="28"/>
      <c r="CCK17" s="29"/>
      <c r="CCL17" s="28"/>
      <c r="CCM17" s="28"/>
      <c r="CCN17" s="28"/>
      <c r="CCO17" s="29"/>
      <c r="CCP17" s="385"/>
      <c r="CCQ17" s="29"/>
      <c r="CCR17" s="385"/>
      <c r="CCS17" s="29"/>
      <c r="CCT17" s="385"/>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30"/>
      <c r="CEA17" s="28"/>
      <c r="CEB17" s="29"/>
      <c r="CEC17" s="29"/>
      <c r="CED17" s="29"/>
      <c r="CEE17" s="29"/>
      <c r="CEF17" s="29"/>
      <c r="CEG17" s="28"/>
      <c r="CEH17" s="29"/>
      <c r="CEI17" s="29"/>
      <c r="CEJ17" s="28"/>
      <c r="CEK17" s="29"/>
      <c r="CEL17" s="30"/>
      <c r="CEM17" s="28"/>
      <c r="CEN17" s="29"/>
      <c r="CEO17" s="29"/>
      <c r="CEP17" s="29"/>
      <c r="CEQ17" s="28"/>
      <c r="CER17" s="29"/>
      <c r="CES17" s="29"/>
      <c r="CET17" s="28"/>
      <c r="CEU17" s="29"/>
      <c r="CEV17" s="30"/>
      <c r="CEW17" s="28"/>
      <c r="CEX17" s="29"/>
      <c r="CEY17" s="29"/>
      <c r="CEZ17" s="29"/>
      <c r="CFA17" s="28"/>
      <c r="CFB17" s="29"/>
      <c r="CFC17" s="29"/>
      <c r="CFD17" s="28"/>
      <c r="CFE17" s="29"/>
      <c r="CFF17" s="30"/>
      <c r="CFG17" s="28"/>
      <c r="CFH17" s="29"/>
      <c r="CFI17" s="29"/>
      <c r="CFJ17" s="29"/>
      <c r="CFK17" s="28"/>
      <c r="CFL17" s="29"/>
      <c r="CFM17" s="29"/>
      <c r="CFN17" s="28"/>
      <c r="CFO17" s="29"/>
      <c r="CFP17" s="30"/>
      <c r="CFQ17" s="28"/>
      <c r="CFR17" s="30"/>
      <c r="CFS17" s="29"/>
      <c r="CFT17" s="28"/>
      <c r="CFU17" s="29"/>
      <c r="CFV17" s="28"/>
      <c r="CFW17" s="28"/>
      <c r="CFX17" s="28"/>
      <c r="CFY17" s="29"/>
      <c r="CFZ17" s="385"/>
      <c r="CGA17" s="29"/>
      <c r="CGB17" s="385"/>
      <c r="CGC17" s="29"/>
      <c r="CGD17" s="385"/>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30"/>
      <c r="CHK17" s="28"/>
      <c r="CHL17" s="29"/>
      <c r="CHM17" s="29"/>
      <c r="CHN17" s="29"/>
      <c r="CHO17" s="29"/>
      <c r="CHP17" s="29"/>
      <c r="CHQ17" s="28"/>
      <c r="CHR17" s="29"/>
      <c r="CHS17" s="29"/>
      <c r="CHT17" s="28"/>
      <c r="CHU17" s="29"/>
      <c r="CHV17" s="30"/>
      <c r="CHW17" s="28"/>
      <c r="CHX17" s="29"/>
      <c r="CHY17" s="29"/>
      <c r="CHZ17" s="29"/>
      <c r="CIA17" s="28"/>
      <c r="CIB17" s="29"/>
      <c r="CIC17" s="29"/>
      <c r="CID17" s="28"/>
      <c r="CIE17" s="29"/>
      <c r="CIF17" s="30"/>
      <c r="CIG17" s="28"/>
      <c r="CIH17" s="29"/>
      <c r="CII17" s="29"/>
      <c r="CIJ17" s="29"/>
      <c r="CIK17" s="28"/>
      <c r="CIL17" s="29"/>
      <c r="CIM17" s="29"/>
      <c r="CIN17" s="28"/>
      <c r="CIO17" s="29"/>
      <c r="CIP17" s="30"/>
      <c r="CIQ17" s="28"/>
      <c r="CIR17" s="29"/>
      <c r="CIS17" s="29"/>
      <c r="CIT17" s="29"/>
      <c r="CIU17" s="28"/>
      <c r="CIV17" s="29"/>
      <c r="CIW17" s="29"/>
      <c r="CIX17" s="28"/>
      <c r="CIY17" s="29"/>
      <c r="CIZ17" s="30"/>
      <c r="CJA17" s="28"/>
      <c r="CJB17" s="30"/>
      <c r="CJC17" s="29"/>
      <c r="CJD17" s="28"/>
      <c r="CJE17" s="29"/>
      <c r="CJF17" s="28"/>
      <c r="CJG17" s="28"/>
      <c r="CJH17" s="28"/>
      <c r="CJI17" s="29"/>
      <c r="CJJ17" s="385"/>
      <c r="CJK17" s="29"/>
      <c r="CJL17" s="385"/>
      <c r="CJM17" s="29"/>
      <c r="CJN17" s="385"/>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30"/>
      <c r="CKU17" s="28"/>
      <c r="CKV17" s="29"/>
      <c r="CKW17" s="29"/>
      <c r="CKX17" s="29"/>
      <c r="CKY17" s="29"/>
      <c r="CKZ17" s="29"/>
      <c r="CLA17" s="28"/>
      <c r="CLB17" s="29"/>
      <c r="CLC17" s="29"/>
      <c r="CLD17" s="28"/>
      <c r="CLE17" s="29"/>
      <c r="CLF17" s="30"/>
      <c r="CLG17" s="28"/>
      <c r="CLH17" s="29"/>
      <c r="CLI17" s="29"/>
      <c r="CLJ17" s="29"/>
      <c r="CLK17" s="28"/>
      <c r="CLL17" s="29"/>
      <c r="CLM17" s="29"/>
      <c r="CLN17" s="28"/>
      <c r="CLO17" s="29"/>
      <c r="CLP17" s="30"/>
      <c r="CLQ17" s="28"/>
      <c r="CLR17" s="29"/>
      <c r="CLS17" s="29"/>
      <c r="CLT17" s="29"/>
      <c r="CLU17" s="28"/>
      <c r="CLV17" s="29"/>
      <c r="CLW17" s="29"/>
      <c r="CLX17" s="28"/>
      <c r="CLY17" s="29"/>
      <c r="CLZ17" s="30"/>
      <c r="CMA17" s="28"/>
      <c r="CMB17" s="29"/>
      <c r="CMC17" s="29"/>
      <c r="CMD17" s="29"/>
      <c r="CME17" s="28"/>
      <c r="CMF17" s="29"/>
      <c r="CMG17" s="29"/>
      <c r="CMH17" s="28"/>
      <c r="CMI17" s="29"/>
      <c r="CMJ17" s="30"/>
      <c r="CMK17" s="28"/>
      <c r="CML17" s="30"/>
      <c r="CMM17" s="29"/>
      <c r="CMN17" s="28"/>
      <c r="CMO17" s="29"/>
      <c r="CMP17" s="28"/>
      <c r="CMQ17" s="28"/>
      <c r="CMR17" s="28"/>
      <c r="CMS17" s="29"/>
      <c r="CMT17" s="385"/>
      <c r="CMU17" s="29"/>
      <c r="CMV17" s="385"/>
      <c r="CMW17" s="29"/>
      <c r="CMX17" s="385"/>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30"/>
      <c r="COE17" s="28"/>
      <c r="COF17" s="29"/>
      <c r="COG17" s="29"/>
      <c r="COH17" s="29"/>
      <c r="COI17" s="29"/>
      <c r="COJ17" s="29"/>
      <c r="COK17" s="28"/>
      <c r="COL17" s="29"/>
      <c r="COM17" s="29"/>
      <c r="CON17" s="28"/>
      <c r="COO17" s="29"/>
      <c r="COP17" s="30"/>
      <c r="COQ17" s="28"/>
      <c r="COR17" s="29"/>
      <c r="COS17" s="29"/>
      <c r="COT17" s="29"/>
      <c r="COU17" s="28"/>
      <c r="COV17" s="29"/>
      <c r="COW17" s="29"/>
      <c r="COX17" s="28"/>
      <c r="COY17" s="29"/>
      <c r="COZ17" s="30"/>
      <c r="CPA17" s="28"/>
      <c r="CPB17" s="29"/>
      <c r="CPC17" s="29"/>
      <c r="CPD17" s="29"/>
      <c r="CPE17" s="28"/>
      <c r="CPF17" s="29"/>
      <c r="CPG17" s="29"/>
      <c r="CPH17" s="28"/>
      <c r="CPI17" s="29"/>
      <c r="CPJ17" s="30"/>
      <c r="CPK17" s="28"/>
      <c r="CPL17" s="29"/>
      <c r="CPM17" s="29"/>
      <c r="CPN17" s="29"/>
      <c r="CPO17" s="28"/>
      <c r="CPP17" s="29"/>
      <c r="CPQ17" s="29"/>
      <c r="CPR17" s="28"/>
      <c r="CPS17" s="29"/>
      <c r="CPT17" s="30"/>
      <c r="CPU17" s="28"/>
      <c r="CPV17" s="30"/>
      <c r="CPW17" s="29"/>
      <c r="CPX17" s="28"/>
      <c r="CPY17" s="29"/>
      <c r="CPZ17" s="28"/>
      <c r="CQA17" s="28"/>
      <c r="CQB17" s="28"/>
      <c r="CQC17" s="29"/>
      <c r="CQD17" s="385"/>
      <c r="CQE17" s="29"/>
      <c r="CQF17" s="385"/>
      <c r="CQG17" s="29"/>
      <c r="CQH17" s="385"/>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30"/>
      <c r="CRO17" s="28"/>
      <c r="CRP17" s="29"/>
      <c r="CRQ17" s="29"/>
      <c r="CRR17" s="29"/>
      <c r="CRS17" s="29"/>
      <c r="CRT17" s="29"/>
      <c r="CRU17" s="28"/>
      <c r="CRV17" s="29"/>
      <c r="CRW17" s="29"/>
      <c r="CRX17" s="28"/>
      <c r="CRY17" s="29"/>
      <c r="CRZ17" s="30"/>
      <c r="CSA17" s="28"/>
      <c r="CSB17" s="29"/>
      <c r="CSC17" s="29"/>
      <c r="CSD17" s="29"/>
      <c r="CSE17" s="28"/>
      <c r="CSF17" s="29"/>
      <c r="CSG17" s="29"/>
      <c r="CSH17" s="28"/>
      <c r="CSI17" s="29"/>
      <c r="CSJ17" s="30"/>
      <c r="CSK17" s="28"/>
      <c r="CSL17" s="29"/>
      <c r="CSM17" s="29"/>
      <c r="CSN17" s="29"/>
      <c r="CSO17" s="28"/>
      <c r="CSP17" s="29"/>
      <c r="CSQ17" s="29"/>
      <c r="CSR17" s="28"/>
      <c r="CSS17" s="29"/>
      <c r="CST17" s="30"/>
      <c r="CSU17" s="28"/>
      <c r="CSV17" s="29"/>
      <c r="CSW17" s="29"/>
      <c r="CSX17" s="29"/>
      <c r="CSY17" s="28"/>
      <c r="CSZ17" s="29"/>
      <c r="CTA17" s="29"/>
      <c r="CTB17" s="28"/>
      <c r="CTC17" s="29"/>
      <c r="CTD17" s="30"/>
      <c r="CTE17" s="28"/>
      <c r="CTF17" s="30"/>
      <c r="CTG17" s="29"/>
      <c r="CTH17" s="28"/>
      <c r="CTI17" s="29"/>
      <c r="CTJ17" s="28"/>
      <c r="CTK17" s="28"/>
      <c r="CTL17" s="28"/>
      <c r="CTM17" s="29"/>
      <c r="CTN17" s="385"/>
      <c r="CTO17" s="29"/>
      <c r="CTP17" s="385"/>
      <c r="CTQ17" s="29"/>
      <c r="CTR17" s="385"/>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30"/>
      <c r="CUY17" s="28"/>
      <c r="CUZ17" s="29"/>
      <c r="CVA17" s="29"/>
      <c r="CVB17" s="29"/>
      <c r="CVC17" s="29"/>
      <c r="CVD17" s="29"/>
      <c r="CVE17" s="28"/>
      <c r="CVF17" s="29"/>
      <c r="CVG17" s="29"/>
      <c r="CVH17" s="28"/>
      <c r="CVI17" s="29"/>
      <c r="CVJ17" s="30"/>
      <c r="CVK17" s="28"/>
      <c r="CVL17" s="29"/>
      <c r="CVM17" s="29"/>
      <c r="CVN17" s="29"/>
      <c r="CVO17" s="28"/>
      <c r="CVP17" s="29"/>
      <c r="CVQ17" s="29"/>
      <c r="CVR17" s="28"/>
      <c r="CVS17" s="29"/>
      <c r="CVT17" s="30"/>
      <c r="CVU17" s="28"/>
      <c r="CVV17" s="29"/>
      <c r="CVW17" s="29"/>
      <c r="CVX17" s="29"/>
      <c r="CVY17" s="28"/>
      <c r="CVZ17" s="29"/>
      <c r="CWA17" s="29"/>
      <c r="CWB17" s="28"/>
      <c r="CWC17" s="29"/>
      <c r="CWD17" s="30"/>
      <c r="CWE17" s="28"/>
      <c r="CWF17" s="29"/>
      <c r="CWG17" s="29"/>
      <c r="CWH17" s="29"/>
      <c r="CWI17" s="28"/>
      <c r="CWJ17" s="29"/>
      <c r="CWK17" s="29"/>
      <c r="CWL17" s="28"/>
      <c r="CWM17" s="29"/>
      <c r="CWN17" s="30"/>
      <c r="CWO17" s="28"/>
      <c r="CWP17" s="30"/>
      <c r="CWQ17" s="29"/>
      <c r="CWR17" s="28"/>
      <c r="CWS17" s="29"/>
      <c r="CWT17" s="28"/>
      <c r="CWU17" s="28"/>
      <c r="CWV17" s="28"/>
      <c r="CWW17" s="29"/>
      <c r="CWX17" s="385"/>
      <c r="CWY17" s="29"/>
      <c r="CWZ17" s="385"/>
      <c r="CXA17" s="29"/>
      <c r="CXB17" s="385"/>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30"/>
      <c r="CYI17" s="28"/>
      <c r="CYJ17" s="29"/>
      <c r="CYK17" s="29"/>
      <c r="CYL17" s="29"/>
      <c r="CYM17" s="29"/>
      <c r="CYN17" s="29"/>
      <c r="CYO17" s="28"/>
      <c r="CYP17" s="29"/>
      <c r="CYQ17" s="29"/>
      <c r="CYR17" s="28"/>
      <c r="CYS17" s="29"/>
      <c r="CYT17" s="30"/>
      <c r="CYU17" s="28"/>
      <c r="CYV17" s="29"/>
      <c r="CYW17" s="29"/>
      <c r="CYX17" s="29"/>
      <c r="CYY17" s="28"/>
      <c r="CYZ17" s="29"/>
      <c r="CZA17" s="29"/>
      <c r="CZB17" s="28"/>
      <c r="CZC17" s="29"/>
      <c r="CZD17" s="30"/>
      <c r="CZE17" s="28"/>
      <c r="CZF17" s="29"/>
      <c r="CZG17" s="29"/>
      <c r="CZH17" s="29"/>
      <c r="CZI17" s="28"/>
      <c r="CZJ17" s="29"/>
      <c r="CZK17" s="29"/>
      <c r="CZL17" s="28"/>
      <c r="CZM17" s="29"/>
      <c r="CZN17" s="30"/>
      <c r="CZO17" s="28"/>
      <c r="CZP17" s="29"/>
      <c r="CZQ17" s="29"/>
      <c r="CZR17" s="29"/>
      <c r="CZS17" s="28"/>
      <c r="CZT17" s="29"/>
      <c r="CZU17" s="29"/>
      <c r="CZV17" s="28"/>
      <c r="CZW17" s="29"/>
      <c r="CZX17" s="30"/>
      <c r="CZY17" s="28"/>
      <c r="CZZ17" s="30"/>
      <c r="DAA17" s="29"/>
      <c r="DAB17" s="28"/>
      <c r="DAC17" s="29"/>
      <c r="DAD17" s="28"/>
      <c r="DAE17" s="28"/>
      <c r="DAF17" s="28"/>
      <c r="DAG17" s="29"/>
      <c r="DAH17" s="385"/>
      <c r="DAI17" s="29"/>
      <c r="DAJ17" s="385"/>
      <c r="DAK17" s="29"/>
      <c r="DAL17" s="385"/>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30"/>
      <c r="DBS17" s="28"/>
      <c r="DBT17" s="29"/>
      <c r="DBU17" s="29"/>
      <c r="DBV17" s="29"/>
      <c r="DBW17" s="29"/>
      <c r="DBX17" s="29"/>
      <c r="DBY17" s="28"/>
      <c r="DBZ17" s="29"/>
      <c r="DCA17" s="29"/>
      <c r="DCB17" s="28"/>
      <c r="DCC17" s="29"/>
      <c r="DCD17" s="30"/>
      <c r="DCE17" s="28"/>
      <c r="DCF17" s="29"/>
      <c r="DCG17" s="29"/>
      <c r="DCH17" s="29"/>
      <c r="DCI17" s="28"/>
      <c r="DCJ17" s="29"/>
      <c r="DCK17" s="29"/>
      <c r="DCL17" s="28"/>
      <c r="DCM17" s="29"/>
      <c r="DCN17" s="30"/>
      <c r="DCO17" s="28"/>
      <c r="DCP17" s="29"/>
      <c r="DCQ17" s="29"/>
      <c r="DCR17" s="29"/>
      <c r="DCS17" s="28"/>
      <c r="DCT17" s="29"/>
      <c r="DCU17" s="29"/>
      <c r="DCV17" s="28"/>
      <c r="DCW17" s="29"/>
      <c r="DCX17" s="30"/>
      <c r="DCY17" s="28"/>
      <c r="DCZ17" s="29"/>
      <c r="DDA17" s="29"/>
      <c r="DDB17" s="29"/>
      <c r="DDC17" s="28"/>
      <c r="DDD17" s="29"/>
      <c r="DDE17" s="29"/>
      <c r="DDF17" s="28"/>
      <c r="DDG17" s="29"/>
      <c r="DDH17" s="30"/>
      <c r="DDI17" s="28"/>
      <c r="DDJ17" s="30"/>
      <c r="DDK17" s="29"/>
      <c r="DDL17" s="28"/>
      <c r="DDM17" s="29"/>
      <c r="DDN17" s="28"/>
      <c r="DDO17" s="28"/>
      <c r="DDP17" s="28"/>
      <c r="DDQ17" s="29"/>
      <c r="DDR17" s="385"/>
      <c r="DDS17" s="29"/>
      <c r="DDT17" s="385"/>
      <c r="DDU17" s="29"/>
      <c r="DDV17" s="385"/>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30"/>
      <c r="DFC17" s="28"/>
      <c r="DFD17" s="29"/>
      <c r="DFE17" s="29"/>
      <c r="DFF17" s="29"/>
      <c r="DFG17" s="29"/>
      <c r="DFH17" s="29"/>
      <c r="DFI17" s="28"/>
      <c r="DFJ17" s="29"/>
      <c r="DFK17" s="29"/>
      <c r="DFL17" s="28"/>
      <c r="DFM17" s="29"/>
      <c r="DFN17" s="30"/>
      <c r="DFO17" s="28"/>
      <c r="DFP17" s="29"/>
      <c r="DFQ17" s="29"/>
      <c r="DFR17" s="29"/>
      <c r="DFS17" s="28"/>
      <c r="DFT17" s="29"/>
      <c r="DFU17" s="29"/>
      <c r="DFV17" s="28"/>
      <c r="DFW17" s="29"/>
      <c r="DFX17" s="30"/>
      <c r="DFY17" s="28"/>
      <c r="DFZ17" s="29"/>
      <c r="DGA17" s="29"/>
      <c r="DGB17" s="29"/>
      <c r="DGC17" s="28"/>
      <c r="DGD17" s="29"/>
      <c r="DGE17" s="29"/>
      <c r="DGF17" s="28"/>
      <c r="DGG17" s="29"/>
      <c r="DGH17" s="30"/>
      <c r="DGI17" s="28"/>
      <c r="DGJ17" s="29"/>
      <c r="DGK17" s="29"/>
      <c r="DGL17" s="29"/>
      <c r="DGM17" s="28"/>
      <c r="DGN17" s="29"/>
      <c r="DGO17" s="29"/>
      <c r="DGP17" s="28"/>
      <c r="DGQ17" s="29"/>
      <c r="DGR17" s="30"/>
      <c r="DGS17" s="28"/>
      <c r="DGT17" s="30"/>
      <c r="DGU17" s="29"/>
      <c r="DGV17" s="28"/>
      <c r="DGW17" s="29"/>
      <c r="DGX17" s="28"/>
      <c r="DGY17" s="28"/>
      <c r="DGZ17" s="28"/>
      <c r="DHA17" s="29"/>
      <c r="DHB17" s="385"/>
      <c r="DHC17" s="29"/>
      <c r="DHD17" s="385"/>
      <c r="DHE17" s="29"/>
      <c r="DHF17" s="385"/>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30"/>
      <c r="DIM17" s="28"/>
      <c r="DIN17" s="29"/>
      <c r="DIO17" s="29"/>
      <c r="DIP17" s="29"/>
      <c r="DIQ17" s="29"/>
      <c r="DIR17" s="29"/>
      <c r="DIS17" s="28"/>
      <c r="DIT17" s="29"/>
      <c r="DIU17" s="29"/>
      <c r="DIV17" s="28"/>
      <c r="DIW17" s="29"/>
      <c r="DIX17" s="30"/>
      <c r="DIY17" s="28"/>
      <c r="DIZ17" s="29"/>
      <c r="DJA17" s="29"/>
      <c r="DJB17" s="29"/>
      <c r="DJC17" s="28"/>
      <c r="DJD17" s="29"/>
      <c r="DJE17" s="29"/>
      <c r="DJF17" s="28"/>
      <c r="DJG17" s="29"/>
      <c r="DJH17" s="30"/>
      <c r="DJI17" s="28"/>
      <c r="DJJ17" s="29"/>
      <c r="DJK17" s="29"/>
      <c r="DJL17" s="29"/>
      <c r="DJM17" s="28"/>
      <c r="DJN17" s="29"/>
      <c r="DJO17" s="29"/>
      <c r="DJP17" s="28"/>
      <c r="DJQ17" s="29"/>
      <c r="DJR17" s="30"/>
      <c r="DJS17" s="28"/>
      <c r="DJT17" s="29"/>
      <c r="DJU17" s="29"/>
      <c r="DJV17" s="29"/>
      <c r="DJW17" s="28"/>
      <c r="DJX17" s="29"/>
      <c r="DJY17" s="29"/>
      <c r="DJZ17" s="28"/>
      <c r="DKA17" s="29"/>
      <c r="DKB17" s="30"/>
      <c r="DKC17" s="28"/>
      <c r="DKD17" s="30"/>
      <c r="DKE17" s="29"/>
      <c r="DKF17" s="28"/>
      <c r="DKG17" s="29"/>
      <c r="DKH17" s="28"/>
      <c r="DKI17" s="28"/>
      <c r="DKJ17" s="28"/>
      <c r="DKK17" s="29"/>
      <c r="DKL17" s="385"/>
      <c r="DKM17" s="29"/>
      <c r="DKN17" s="385"/>
      <c r="DKO17" s="29"/>
      <c r="DKP17" s="385"/>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30"/>
      <c r="DLW17" s="28"/>
      <c r="DLX17" s="29"/>
      <c r="DLY17" s="29"/>
      <c r="DLZ17" s="29"/>
      <c r="DMA17" s="29"/>
      <c r="DMB17" s="29"/>
      <c r="DMC17" s="28"/>
      <c r="DMD17" s="29"/>
      <c r="DME17" s="29"/>
      <c r="DMF17" s="28"/>
      <c r="DMG17" s="29"/>
      <c r="DMH17" s="30"/>
      <c r="DMI17" s="28"/>
      <c r="DMJ17" s="29"/>
      <c r="DMK17" s="29"/>
      <c r="DML17" s="29"/>
      <c r="DMM17" s="28"/>
      <c r="DMN17" s="29"/>
      <c r="DMO17" s="29"/>
      <c r="DMP17" s="28"/>
      <c r="DMQ17" s="29"/>
      <c r="DMR17" s="30"/>
      <c r="DMS17" s="28"/>
      <c r="DMT17" s="29"/>
      <c r="DMU17" s="29"/>
      <c r="DMV17" s="29"/>
      <c r="DMW17" s="28"/>
      <c r="DMX17" s="29"/>
      <c r="DMY17" s="29"/>
      <c r="DMZ17" s="28"/>
      <c r="DNA17" s="29"/>
      <c r="DNB17" s="30"/>
      <c r="DNC17" s="28"/>
      <c r="DND17" s="29"/>
      <c r="DNE17" s="29"/>
      <c r="DNF17" s="29"/>
      <c r="DNG17" s="28"/>
      <c r="DNH17" s="29"/>
      <c r="DNI17" s="29"/>
      <c r="DNJ17" s="28"/>
      <c r="DNK17" s="29"/>
      <c r="DNL17" s="30"/>
      <c r="DNM17" s="28"/>
      <c r="DNN17" s="30"/>
      <c r="DNO17" s="29"/>
      <c r="DNP17" s="28"/>
      <c r="DNQ17" s="29"/>
      <c r="DNR17" s="28"/>
      <c r="DNS17" s="28"/>
      <c r="DNT17" s="28"/>
      <c r="DNU17" s="29"/>
      <c r="DNV17" s="385"/>
      <c r="DNW17" s="29"/>
      <c r="DNX17" s="385"/>
      <c r="DNY17" s="29"/>
      <c r="DNZ17" s="385"/>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30"/>
      <c r="DPG17" s="28"/>
      <c r="DPH17" s="29"/>
      <c r="DPI17" s="29"/>
      <c r="DPJ17" s="29"/>
      <c r="DPK17" s="29"/>
      <c r="DPL17" s="29"/>
      <c r="DPM17" s="28"/>
      <c r="DPN17" s="29"/>
      <c r="DPO17" s="29"/>
      <c r="DPP17" s="28"/>
      <c r="DPQ17" s="29"/>
      <c r="DPR17" s="30"/>
      <c r="DPS17" s="28"/>
      <c r="DPT17" s="29"/>
      <c r="DPU17" s="29"/>
      <c r="DPV17" s="29"/>
      <c r="DPW17" s="28"/>
      <c r="DPX17" s="29"/>
      <c r="DPY17" s="29"/>
      <c r="DPZ17" s="28"/>
      <c r="DQA17" s="29"/>
      <c r="DQB17" s="30"/>
      <c r="DQC17" s="28"/>
      <c r="DQD17" s="29"/>
      <c r="DQE17" s="29"/>
      <c r="DQF17" s="29"/>
      <c r="DQG17" s="28"/>
      <c r="DQH17" s="29"/>
      <c r="DQI17" s="29"/>
      <c r="DQJ17" s="28"/>
      <c r="DQK17" s="29"/>
      <c r="DQL17" s="30"/>
      <c r="DQM17" s="28"/>
      <c r="DQN17" s="29"/>
      <c r="DQO17" s="29"/>
      <c r="DQP17" s="29"/>
      <c r="DQQ17" s="28"/>
      <c r="DQR17" s="29"/>
      <c r="DQS17" s="29"/>
      <c r="DQT17" s="28"/>
      <c r="DQU17" s="29"/>
      <c r="DQV17" s="30"/>
      <c r="DQW17" s="28"/>
      <c r="DQX17" s="30"/>
      <c r="DQY17" s="29"/>
      <c r="DQZ17" s="28"/>
      <c r="DRA17" s="29"/>
      <c r="DRB17" s="28"/>
      <c r="DRC17" s="28"/>
      <c r="DRD17" s="28"/>
      <c r="DRE17" s="29"/>
      <c r="DRF17" s="385"/>
      <c r="DRG17" s="29"/>
      <c r="DRH17" s="385"/>
      <c r="DRI17" s="29"/>
      <c r="DRJ17" s="385"/>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30"/>
      <c r="DSQ17" s="28"/>
      <c r="DSR17" s="29"/>
      <c r="DSS17" s="29"/>
      <c r="DST17" s="29"/>
      <c r="DSU17" s="29"/>
      <c r="DSV17" s="29"/>
      <c r="DSW17" s="28"/>
      <c r="DSX17" s="29"/>
      <c r="DSY17" s="29"/>
      <c r="DSZ17" s="28"/>
      <c r="DTA17" s="29"/>
      <c r="DTB17" s="30"/>
      <c r="DTC17" s="28"/>
      <c r="DTD17" s="29"/>
      <c r="DTE17" s="29"/>
      <c r="DTF17" s="29"/>
      <c r="DTG17" s="28"/>
      <c r="DTH17" s="29"/>
      <c r="DTI17" s="29"/>
      <c r="DTJ17" s="28"/>
      <c r="DTK17" s="29"/>
      <c r="DTL17" s="30"/>
      <c r="DTM17" s="28"/>
      <c r="DTN17" s="29"/>
      <c r="DTO17" s="29"/>
      <c r="DTP17" s="29"/>
      <c r="DTQ17" s="28"/>
      <c r="DTR17" s="29"/>
      <c r="DTS17" s="29"/>
      <c r="DTT17" s="28"/>
      <c r="DTU17" s="29"/>
      <c r="DTV17" s="30"/>
      <c r="DTW17" s="28"/>
      <c r="DTX17" s="29"/>
      <c r="DTY17" s="29"/>
      <c r="DTZ17" s="29"/>
      <c r="DUA17" s="28"/>
      <c r="DUB17" s="29"/>
      <c r="DUC17" s="29"/>
      <c r="DUD17" s="28"/>
      <c r="DUE17" s="29"/>
      <c r="DUF17" s="30"/>
      <c r="DUG17" s="28"/>
      <c r="DUH17" s="30"/>
      <c r="DUI17" s="29"/>
      <c r="DUJ17" s="28"/>
      <c r="DUK17" s="29"/>
      <c r="DUL17" s="28"/>
      <c r="DUM17" s="28"/>
      <c r="DUN17" s="28"/>
      <c r="DUO17" s="29"/>
      <c r="DUP17" s="385"/>
      <c r="DUQ17" s="29"/>
      <c r="DUR17" s="385"/>
      <c r="DUS17" s="29"/>
      <c r="DUT17" s="385"/>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30"/>
      <c r="DWA17" s="28"/>
      <c r="DWB17" s="29"/>
      <c r="DWC17" s="29"/>
      <c r="DWD17" s="29"/>
      <c r="DWE17" s="29"/>
      <c r="DWF17" s="29"/>
      <c r="DWG17" s="28"/>
      <c r="DWH17" s="29"/>
      <c r="DWI17" s="29"/>
      <c r="DWJ17" s="28"/>
      <c r="DWK17" s="29"/>
      <c r="DWL17" s="30"/>
      <c r="DWM17" s="28"/>
      <c r="DWN17" s="29"/>
      <c r="DWO17" s="29"/>
      <c r="DWP17" s="29"/>
      <c r="DWQ17" s="28"/>
      <c r="DWR17" s="29"/>
      <c r="DWS17" s="29"/>
      <c r="DWT17" s="28"/>
      <c r="DWU17" s="29"/>
      <c r="DWV17" s="30"/>
      <c r="DWW17" s="28"/>
      <c r="DWX17" s="29"/>
      <c r="DWY17" s="29"/>
      <c r="DWZ17" s="29"/>
      <c r="DXA17" s="28"/>
      <c r="DXB17" s="29"/>
      <c r="DXC17" s="29"/>
      <c r="DXD17" s="28"/>
      <c r="DXE17" s="29"/>
      <c r="DXF17" s="30"/>
      <c r="DXG17" s="28"/>
      <c r="DXH17" s="29"/>
      <c r="DXI17" s="29"/>
      <c r="DXJ17" s="29"/>
      <c r="DXK17" s="28"/>
      <c r="DXL17" s="29"/>
      <c r="DXM17" s="29"/>
      <c r="DXN17" s="28"/>
      <c r="DXO17" s="29"/>
      <c r="DXP17" s="30"/>
      <c r="DXQ17" s="28"/>
      <c r="DXR17" s="30"/>
      <c r="DXS17" s="29"/>
      <c r="DXT17" s="28"/>
      <c r="DXU17" s="29"/>
      <c r="DXV17" s="28"/>
      <c r="DXW17" s="28"/>
      <c r="DXX17" s="28"/>
      <c r="DXY17" s="29"/>
      <c r="DXZ17" s="385"/>
      <c r="DYA17" s="29"/>
      <c r="DYB17" s="385"/>
      <c r="DYC17" s="29"/>
      <c r="DYD17" s="385"/>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30"/>
      <c r="DZK17" s="28"/>
      <c r="DZL17" s="29"/>
      <c r="DZM17" s="29"/>
      <c r="DZN17" s="29"/>
      <c r="DZO17" s="29"/>
      <c r="DZP17" s="29"/>
      <c r="DZQ17" s="28"/>
      <c r="DZR17" s="29"/>
      <c r="DZS17" s="29"/>
      <c r="DZT17" s="28"/>
      <c r="DZU17" s="29"/>
      <c r="DZV17" s="30"/>
      <c r="DZW17" s="28"/>
      <c r="DZX17" s="29"/>
      <c r="DZY17" s="29"/>
      <c r="DZZ17" s="29"/>
      <c r="EAA17" s="28"/>
      <c r="EAB17" s="29"/>
      <c r="EAC17" s="29"/>
      <c r="EAD17" s="28"/>
      <c r="EAE17" s="29"/>
      <c r="EAF17" s="30"/>
      <c r="EAG17" s="28"/>
      <c r="EAH17" s="29"/>
      <c r="EAI17" s="29"/>
      <c r="EAJ17" s="29"/>
      <c r="EAK17" s="28"/>
      <c r="EAL17" s="29"/>
      <c r="EAM17" s="29"/>
      <c r="EAN17" s="28"/>
      <c r="EAO17" s="29"/>
      <c r="EAP17" s="30"/>
      <c r="EAQ17" s="28"/>
      <c r="EAR17" s="29"/>
      <c r="EAS17" s="29"/>
      <c r="EAT17" s="29"/>
      <c r="EAU17" s="28"/>
      <c r="EAV17" s="29"/>
      <c r="EAW17" s="29"/>
      <c r="EAX17" s="28"/>
      <c r="EAY17" s="29"/>
      <c r="EAZ17" s="30"/>
      <c r="EBA17" s="28"/>
      <c r="EBB17" s="30"/>
      <c r="EBC17" s="29"/>
      <c r="EBD17" s="28"/>
      <c r="EBE17" s="29"/>
      <c r="EBF17" s="28"/>
      <c r="EBG17" s="28"/>
      <c r="EBH17" s="28"/>
      <c r="EBI17" s="29"/>
      <c r="EBJ17" s="385"/>
      <c r="EBK17" s="29"/>
      <c r="EBL17" s="385"/>
      <c r="EBM17" s="29"/>
      <c r="EBN17" s="385"/>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30"/>
      <c r="ECU17" s="28"/>
      <c r="ECV17" s="29"/>
      <c r="ECW17" s="29"/>
      <c r="ECX17" s="29"/>
      <c r="ECY17" s="29"/>
      <c r="ECZ17" s="29"/>
      <c r="EDA17" s="28"/>
      <c r="EDB17" s="29"/>
      <c r="EDC17" s="29"/>
      <c r="EDD17" s="28"/>
      <c r="EDE17" s="29"/>
      <c r="EDF17" s="30"/>
      <c r="EDG17" s="28"/>
      <c r="EDH17" s="29"/>
      <c r="EDI17" s="29"/>
      <c r="EDJ17" s="29"/>
      <c r="EDK17" s="28"/>
      <c r="EDL17" s="29"/>
      <c r="EDM17" s="29"/>
      <c r="EDN17" s="28"/>
      <c r="EDO17" s="29"/>
      <c r="EDP17" s="30"/>
      <c r="EDQ17" s="28"/>
      <c r="EDR17" s="29"/>
      <c r="EDS17" s="29"/>
      <c r="EDT17" s="29"/>
      <c r="EDU17" s="28"/>
      <c r="EDV17" s="29"/>
      <c r="EDW17" s="29"/>
      <c r="EDX17" s="28"/>
      <c r="EDY17" s="29"/>
      <c r="EDZ17" s="30"/>
      <c r="EEA17" s="28"/>
      <c r="EEB17" s="29"/>
      <c r="EEC17" s="29"/>
      <c r="EED17" s="29"/>
      <c r="EEE17" s="28"/>
      <c r="EEF17" s="29"/>
      <c r="EEG17" s="29"/>
      <c r="EEH17" s="28"/>
      <c r="EEI17" s="29"/>
      <c r="EEJ17" s="30"/>
      <c r="EEK17" s="28"/>
      <c r="EEL17" s="30"/>
      <c r="EEM17" s="29"/>
      <c r="EEN17" s="28"/>
      <c r="EEO17" s="29"/>
      <c r="EEP17" s="28"/>
      <c r="EEQ17" s="28"/>
      <c r="EER17" s="28"/>
      <c r="EES17" s="29"/>
      <c r="EET17" s="385"/>
      <c r="EEU17" s="29"/>
      <c r="EEV17" s="385"/>
      <c r="EEW17" s="29"/>
      <c r="EEX17" s="385"/>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30"/>
      <c r="EGE17" s="28"/>
      <c r="EGF17" s="29"/>
      <c r="EGG17" s="29"/>
      <c r="EGH17" s="29"/>
      <c r="EGI17" s="29"/>
      <c r="EGJ17" s="29"/>
      <c r="EGK17" s="28"/>
      <c r="EGL17" s="29"/>
      <c r="EGM17" s="29"/>
      <c r="EGN17" s="28"/>
      <c r="EGO17" s="29"/>
      <c r="EGP17" s="30"/>
      <c r="EGQ17" s="28"/>
      <c r="EGR17" s="29"/>
      <c r="EGS17" s="29"/>
      <c r="EGT17" s="29"/>
      <c r="EGU17" s="28"/>
      <c r="EGV17" s="29"/>
      <c r="EGW17" s="29"/>
      <c r="EGX17" s="28"/>
      <c r="EGY17" s="29"/>
      <c r="EGZ17" s="30"/>
      <c r="EHA17" s="28"/>
      <c r="EHB17" s="29"/>
      <c r="EHC17" s="29"/>
      <c r="EHD17" s="29"/>
      <c r="EHE17" s="28"/>
      <c r="EHF17" s="29"/>
      <c r="EHG17" s="29"/>
      <c r="EHH17" s="28"/>
      <c r="EHI17" s="29"/>
      <c r="EHJ17" s="30"/>
      <c r="EHK17" s="28"/>
      <c r="EHL17" s="29"/>
      <c r="EHM17" s="29"/>
      <c r="EHN17" s="29"/>
      <c r="EHO17" s="28"/>
      <c r="EHP17" s="29"/>
      <c r="EHQ17" s="29"/>
      <c r="EHR17" s="28"/>
      <c r="EHS17" s="29"/>
      <c r="EHT17" s="30"/>
      <c r="EHU17" s="28"/>
      <c r="EHV17" s="30"/>
      <c r="EHW17" s="29"/>
      <c r="EHX17" s="28"/>
      <c r="EHY17" s="29"/>
      <c r="EHZ17" s="28"/>
      <c r="EIA17" s="28"/>
      <c r="EIB17" s="28"/>
      <c r="EIC17" s="29"/>
      <c r="EID17" s="385"/>
      <c r="EIE17" s="29"/>
      <c r="EIF17" s="385"/>
      <c r="EIG17" s="29"/>
      <c r="EIH17" s="385"/>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30"/>
      <c r="EJO17" s="28"/>
      <c r="EJP17" s="29"/>
      <c r="EJQ17" s="29"/>
      <c r="EJR17" s="29"/>
      <c r="EJS17" s="29"/>
      <c r="EJT17" s="29"/>
      <c r="EJU17" s="28"/>
      <c r="EJV17" s="29"/>
      <c r="EJW17" s="29"/>
      <c r="EJX17" s="28"/>
      <c r="EJY17" s="29"/>
      <c r="EJZ17" s="30"/>
      <c r="EKA17" s="28"/>
      <c r="EKB17" s="29"/>
      <c r="EKC17" s="29"/>
      <c r="EKD17" s="29"/>
      <c r="EKE17" s="28"/>
      <c r="EKF17" s="29"/>
      <c r="EKG17" s="29"/>
      <c r="EKH17" s="28"/>
      <c r="EKI17" s="29"/>
      <c r="EKJ17" s="30"/>
      <c r="EKK17" s="28"/>
      <c r="EKL17" s="29"/>
      <c r="EKM17" s="29"/>
      <c r="EKN17" s="29"/>
      <c r="EKO17" s="28"/>
      <c r="EKP17" s="29"/>
      <c r="EKQ17" s="29"/>
      <c r="EKR17" s="28"/>
      <c r="EKS17" s="29"/>
      <c r="EKT17" s="30"/>
      <c r="EKU17" s="28"/>
      <c r="EKV17" s="29"/>
      <c r="EKW17" s="29"/>
      <c r="EKX17" s="29"/>
      <c r="EKY17" s="28"/>
      <c r="EKZ17" s="29"/>
      <c r="ELA17" s="29"/>
      <c r="ELB17" s="28"/>
      <c r="ELC17" s="29"/>
      <c r="ELD17" s="30"/>
      <c r="ELE17" s="28"/>
      <c r="ELF17" s="30"/>
      <c r="ELG17" s="29"/>
      <c r="ELH17" s="28"/>
      <c r="ELI17" s="29"/>
      <c r="ELJ17" s="28"/>
      <c r="ELK17" s="28"/>
      <c r="ELL17" s="28"/>
      <c r="ELM17" s="29"/>
      <c r="ELN17" s="385"/>
      <c r="ELO17" s="29"/>
      <c r="ELP17" s="385"/>
      <c r="ELQ17" s="29"/>
      <c r="ELR17" s="385"/>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30"/>
      <c r="EMY17" s="28"/>
      <c r="EMZ17" s="29"/>
      <c r="ENA17" s="29"/>
      <c r="ENB17" s="29"/>
      <c r="ENC17" s="29"/>
      <c r="END17" s="29"/>
      <c r="ENE17" s="28"/>
      <c r="ENF17" s="29"/>
      <c r="ENG17" s="29"/>
      <c r="ENH17" s="28"/>
      <c r="ENI17" s="29"/>
      <c r="ENJ17" s="30"/>
      <c r="ENK17" s="28"/>
      <c r="ENL17" s="29"/>
      <c r="ENM17" s="29"/>
      <c r="ENN17" s="29"/>
      <c r="ENO17" s="28"/>
      <c r="ENP17" s="29"/>
      <c r="ENQ17" s="29"/>
      <c r="ENR17" s="28"/>
      <c r="ENS17" s="29"/>
      <c r="ENT17" s="30"/>
      <c r="ENU17" s="28"/>
      <c r="ENV17" s="29"/>
      <c r="ENW17" s="29"/>
      <c r="ENX17" s="29"/>
      <c r="ENY17" s="28"/>
      <c r="ENZ17" s="29"/>
      <c r="EOA17" s="29"/>
      <c r="EOB17" s="28"/>
      <c r="EOC17" s="29"/>
      <c r="EOD17" s="30"/>
      <c r="EOE17" s="28"/>
      <c r="EOF17" s="29"/>
      <c r="EOG17" s="29"/>
      <c r="EOH17" s="29"/>
      <c r="EOI17" s="28"/>
      <c r="EOJ17" s="29"/>
      <c r="EOK17" s="29"/>
      <c r="EOL17" s="28"/>
      <c r="EOM17" s="29"/>
      <c r="EON17" s="30"/>
      <c r="EOO17" s="28" t="str">
        <f t="shared" si="149"/>
        <v xml:space="preserve"> </v>
      </c>
      <c r="EOP17" s="30"/>
      <c r="EOQ17" s="29"/>
      <c r="EOR17" s="28"/>
      <c r="EOS17" s="29"/>
      <c r="EOT17" s="28"/>
      <c r="EOU17" s="28"/>
      <c r="EOV17" s="28"/>
      <c r="EOW17" s="29"/>
      <c r="EOX17" s="385"/>
      <c r="EOY17" s="29"/>
      <c r="EOZ17" s="385"/>
      <c r="EPA17" s="29"/>
      <c r="EPB17" s="385"/>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30"/>
      <c r="EQI17" s="28"/>
      <c r="EQJ17" s="29"/>
      <c r="EQK17" s="29"/>
      <c r="EQL17" s="29"/>
      <c r="EQM17" s="29"/>
      <c r="EQN17" s="29"/>
      <c r="EQO17" s="28"/>
      <c r="EQP17" s="29"/>
      <c r="EQQ17" s="29"/>
      <c r="EQR17" s="28"/>
      <c r="EQS17" s="29"/>
      <c r="EQT17" s="30"/>
      <c r="EQU17" s="28"/>
      <c r="EQV17" s="29"/>
      <c r="EQW17" s="29"/>
      <c r="EQX17" s="29"/>
      <c r="EQY17" s="28"/>
      <c r="EQZ17" s="29"/>
      <c r="ERA17" s="29"/>
      <c r="ERB17" s="28"/>
      <c r="ERC17" s="29"/>
      <c r="ERD17" s="30"/>
      <c r="ERE17" s="28"/>
      <c r="ERF17" s="29"/>
      <c r="ERG17" s="29"/>
      <c r="ERH17" s="29"/>
      <c r="ERI17" s="28"/>
      <c r="ERJ17" s="29"/>
      <c r="ERK17" s="29"/>
      <c r="ERL17" s="28"/>
      <c r="ERM17" s="29"/>
      <c r="ERN17" s="30"/>
      <c r="ERO17" s="28"/>
      <c r="ERP17" s="29"/>
      <c r="ERQ17" s="29"/>
      <c r="ERR17" s="29"/>
      <c r="ERS17" s="28"/>
      <c r="ERT17" s="29"/>
      <c r="ERU17" s="29"/>
      <c r="ERV17" s="28"/>
      <c r="ERW17" s="29"/>
      <c r="ERX17" s="30"/>
      <c r="ERY17" s="28" t="str">
        <f t="shared" si="150"/>
        <v xml:space="preserve"> </v>
      </c>
      <c r="ERZ17" s="30"/>
      <c r="ESA17" s="29"/>
      <c r="ESB17" s="28"/>
      <c r="ESC17" s="29"/>
      <c r="ESD17" s="28"/>
      <c r="ESE17" s="28"/>
      <c r="ESF17" s="28"/>
      <c r="ESG17" s="29"/>
      <c r="ESH17" s="385"/>
      <c r="ESI17" s="29"/>
      <c r="ESJ17" s="385"/>
      <c r="ESK17" s="29"/>
      <c r="ESL17" s="385"/>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30"/>
      <c r="ETS17" s="28"/>
      <c r="ETT17" s="29"/>
      <c r="ETU17" s="29"/>
      <c r="ETV17" s="29"/>
      <c r="ETW17" s="29"/>
      <c r="ETX17" s="29"/>
      <c r="ETY17" s="28"/>
      <c r="ETZ17" s="29"/>
      <c r="EUA17" s="29"/>
      <c r="EUB17" s="28"/>
      <c r="EUC17" s="29"/>
      <c r="EUD17" s="30"/>
      <c r="EUE17" s="28"/>
      <c r="EUF17" s="29"/>
      <c r="EUG17" s="29"/>
      <c r="EUH17" s="29"/>
      <c r="EUI17" s="28"/>
      <c r="EUJ17" s="29"/>
      <c r="EUK17" s="29"/>
      <c r="EUL17" s="28"/>
      <c r="EUM17" s="29"/>
      <c r="EUN17" s="30"/>
      <c r="EUO17" s="28"/>
      <c r="EUP17" s="29"/>
      <c r="EUQ17" s="29"/>
      <c r="EUR17" s="29"/>
      <c r="EUS17" s="28"/>
      <c r="EUT17" s="29"/>
      <c r="EUU17" s="29"/>
      <c r="EUV17" s="28"/>
      <c r="EUW17" s="29"/>
      <c r="EUX17" s="30"/>
      <c r="EUY17" s="28"/>
      <c r="EUZ17" s="29"/>
      <c r="EVA17" s="29"/>
      <c r="EVB17" s="29"/>
      <c r="EVC17" s="28"/>
      <c r="EVD17" s="29"/>
      <c r="EVE17" s="29"/>
      <c r="EVF17" s="28"/>
      <c r="EVG17" s="29"/>
      <c r="EVH17" s="30"/>
      <c r="EVI17" s="28" t="str">
        <f t="shared" si="151"/>
        <v xml:space="preserve"> </v>
      </c>
    </row>
    <row r="18" spans="1:3961" x14ac:dyDescent="0.3">
      <c r="A18" s="424" t="s">
        <v>130</v>
      </c>
      <c r="B18" s="58" t="str">
        <f>'REG y VAL POE - AESR - ESR'!B1217</f>
        <v>Morales Claros Fernando</v>
      </c>
      <c r="C18" s="57" t="str">
        <f>'REG y VAL POE - AESR - ESR'!C1217</f>
        <v>POE</v>
      </c>
      <c r="D18" s="56">
        <f>'REG y VAL POE - AESR - ESR'!D1217</f>
        <v>23215302</v>
      </c>
      <c r="E18" s="57">
        <f>'REG y VAL POE - AESR - ESR'!E1217</f>
        <v>0</v>
      </c>
      <c r="F18" s="56">
        <f>'REG y VAL POE - AESR - ESR'!F1217</f>
        <v>0</v>
      </c>
      <c r="G18" s="59">
        <f>'REG y VAL POE - AESR - ESR'!G1217</f>
        <v>45345</v>
      </c>
      <c r="H18" s="59">
        <f>'REG y VAL POE - AESR - ESR'!H1217</f>
        <v>45710</v>
      </c>
      <c r="I18" s="59" t="str">
        <f>'REG y VAL POE - AESR - ESR'!I1217</f>
        <v>SI</v>
      </c>
      <c r="J18" s="59" t="str">
        <f>'REG y VAL POE - AESR - ESR'!J1217</f>
        <v>Vigente</v>
      </c>
      <c r="K18" s="59" t="str">
        <f>'REG y VAL POE - AESR - ESR'!K1217</f>
        <v>SI</v>
      </c>
      <c r="L18" s="59" t="str">
        <f>'REG y VAL POE - AESR - ESR'!L1217</f>
        <v>Vigente</v>
      </c>
      <c r="M18" s="59" t="str">
        <f>'REG y VAL POE - AESR - ESR'!M1217</f>
        <v>SI</v>
      </c>
      <c r="N18" s="415" t="str">
        <f>'REG y VAL POE - AESR - ESR'!N1217</f>
        <v>Completo -falta firma RL</v>
      </c>
      <c r="O18" s="57" t="str">
        <f>'REG y VAL POE - AESR - ESR'!O1217</f>
        <v>CERTIFICADO</v>
      </c>
      <c r="P18" s="57">
        <f>'REG y VAL POE - AESR - ESR'!P1217</f>
        <v>0</v>
      </c>
      <c r="Q18" s="57" t="str">
        <f>'REG y VAL POE - AESR - ESR'!Q1217</f>
        <v>SI</v>
      </c>
      <c r="R18" s="57" t="str">
        <f>'REG y VAL POE - AESR - ESR'!R1217</f>
        <v>SI</v>
      </c>
      <c r="S18" s="57" t="str">
        <f>'REG y VAL POE - AESR - ESR'!S1217</f>
        <v>SI</v>
      </c>
      <c r="T18" s="57" t="str">
        <f>'REG y VAL POE - AESR - ESR'!T1217</f>
        <v>NO</v>
      </c>
      <c r="U18" s="57" t="str">
        <f>'REG y VAL POE - AESR - ESR'!U1217</f>
        <v>SI</v>
      </c>
      <c r="V18" s="57" t="str">
        <f>'REG y VAL POE - AESR - ESR'!V1217</f>
        <v>SI</v>
      </c>
      <c r="W18" s="57">
        <f>'REG y VAL POE - AESR - ESR'!W1217</f>
        <v>0</v>
      </c>
      <c r="X18" s="57">
        <f>'REG y VAL POE - AESR - ESR'!X1217</f>
        <v>0</v>
      </c>
      <c r="Y18" s="57">
        <f>'REG y VAL POE - AESR - ESR'!Y1217</f>
        <v>0</v>
      </c>
      <c r="Z18" s="57" t="str">
        <f>'REG y VAL POE - AESR - ESR'!Z1217</f>
        <v>SI</v>
      </c>
      <c r="AA18" s="57">
        <f>'REG y VAL POE - AESR - ESR'!AA1217</f>
        <v>0</v>
      </c>
      <c r="AB18" s="57">
        <f>'REG y VAL POE - AESR - ESR'!AB1217</f>
        <v>0</v>
      </c>
      <c r="AC18" s="57">
        <f>'REG y VAL POE - AESR - ESR'!AC1217</f>
        <v>0</v>
      </c>
      <c r="AD18" s="57">
        <f>'REG y VAL POE - AESR - ESR'!AD1217</f>
        <v>0</v>
      </c>
      <c r="AE18" s="57">
        <f>'REG y VAL POE - AESR - ESR'!AE1217</f>
        <v>0</v>
      </c>
      <c r="AF18" s="57">
        <f>'REG y VAL POE - AESR - ESR'!AF1217</f>
        <v>0</v>
      </c>
      <c r="AG18" s="57" t="str">
        <f>'REG y VAL POE - AESR - ESR'!AG1217</f>
        <v>SI</v>
      </c>
      <c r="AH18" s="57">
        <f>'REG y VAL POE - AESR - ESR'!AH1217</f>
        <v>0</v>
      </c>
      <c r="AI18" s="57">
        <f>'REG y VAL POE - AESR - ESR'!AI1217</f>
        <v>0</v>
      </c>
      <c r="AJ18" s="57">
        <f>'REG y VAL POE - AESR - ESR'!AJ1217</f>
        <v>0</v>
      </c>
      <c r="AK18" s="57">
        <f>'REG y VAL POE - AESR - ESR'!AK1217</f>
        <v>0</v>
      </c>
      <c r="AL18" s="57">
        <f>'REG y VAL POE - AESR - ESR'!AL1217</f>
        <v>0</v>
      </c>
      <c r="AM18" s="57" t="str">
        <f>'REG y VAL POE - AESR - ESR'!AM1217</f>
        <v>SI</v>
      </c>
      <c r="AN18" s="57" t="str">
        <f>'REG y VAL POE - AESR - ESR'!AN1217</f>
        <v>SI</v>
      </c>
      <c r="AO18" s="57">
        <f>'REG y VAL POE - AESR - ESR'!AO1217</f>
        <v>0</v>
      </c>
      <c r="AP18" s="57">
        <f>'REG y VAL POE - AESR - ESR'!AP1217</f>
        <v>0</v>
      </c>
      <c r="AQ18" s="57">
        <f>'REG y VAL POE - AESR - ESR'!AQ1217</f>
        <v>0</v>
      </c>
      <c r="AR18" s="57">
        <f>'REG y VAL POE - AESR - ESR'!AR1217</f>
        <v>0</v>
      </c>
      <c r="AS18" s="57">
        <f>'REG y VAL POE - AESR - ESR'!AS1217</f>
        <v>0</v>
      </c>
      <c r="AT18" s="58" t="str">
        <f>'REG y VAL POE - AESR - ESR'!B1218</f>
        <v>Rodas Fuentes Alberto Vladimir</v>
      </c>
      <c r="AU18" s="56" t="str">
        <f>'REG y VAL POE - AESR - ESR'!C1218</f>
        <v>POE</v>
      </c>
      <c r="AV18" s="56">
        <f>'REG y VAL POE - AESR - ESR'!D1218</f>
        <v>23138076</v>
      </c>
      <c r="AW18" s="57">
        <f>'REG y VAL POE - AESR - ESR'!E1218</f>
        <v>0</v>
      </c>
      <c r="AX18" s="57">
        <f>'REG y VAL POE - AESR - ESR'!F1218</f>
        <v>0</v>
      </c>
      <c r="AY18" s="59">
        <f>'REG y VAL POE - AESR - ESR'!G1218</f>
        <v>45345</v>
      </c>
      <c r="AZ18" s="59">
        <f>'REG y VAL POE - AESR - ESR'!H1218</f>
        <v>45710</v>
      </c>
      <c r="BA18" s="57" t="str">
        <f>'REG y VAL POE - AESR - ESR'!I1218</f>
        <v>SI</v>
      </c>
      <c r="BB18" s="57" t="str">
        <f>'REG y VAL POE - AESR - ESR'!J1218</f>
        <v>Vigente</v>
      </c>
      <c r="BC18" s="57" t="str">
        <f>'REG y VAL POE - AESR - ESR'!K1218</f>
        <v>SI</v>
      </c>
      <c r="BD18" s="57" t="str">
        <f>'REG y VAL POE - AESR - ESR'!L1218</f>
        <v>Vigente</v>
      </c>
      <c r="BE18" s="57" t="str">
        <f>'REG y VAL POE - AESR - ESR'!M1218</f>
        <v>SI</v>
      </c>
      <c r="BF18" s="387" t="str">
        <f>'REG y VAL POE - AESR - ESR'!N1218</f>
        <v>Completo-falta firma RL</v>
      </c>
      <c r="BG18" s="57" t="str">
        <f>'REG y VAL POE - AESR - ESR'!O1218</f>
        <v>CERTIFICADO</v>
      </c>
      <c r="BH18" s="57">
        <f>'REG y VAL POE - AESR - ESR'!P1218</f>
        <v>0</v>
      </c>
      <c r="BI18" s="57" t="str">
        <f>'REG y VAL POE - AESR - ESR'!Q1218</f>
        <v>SI</v>
      </c>
      <c r="BJ18" s="57" t="str">
        <f>'REG y VAL POE - AESR - ESR'!R1218</f>
        <v>SI</v>
      </c>
      <c r="BK18" s="57" t="str">
        <f>'REG y VAL POE - AESR - ESR'!S1218</f>
        <v>SI</v>
      </c>
      <c r="BL18" s="57" t="str">
        <f>'REG y VAL POE - AESR - ESR'!T1218</f>
        <v>SI</v>
      </c>
      <c r="BM18" s="57" t="str">
        <f>'REG y VAL POE - AESR - ESR'!U1218</f>
        <v>SI</v>
      </c>
      <c r="BN18" s="57" t="str">
        <f>'REG y VAL POE - AESR - ESR'!V1218</f>
        <v>SI</v>
      </c>
      <c r="BO18" s="57">
        <f>'REG y VAL POE - AESR - ESR'!W1218</f>
        <v>0</v>
      </c>
      <c r="BP18" s="57">
        <f>'REG y VAL POE - AESR - ESR'!X1218</f>
        <v>0</v>
      </c>
      <c r="BQ18" s="57">
        <f>'REG y VAL POE - AESR - ESR'!Y1218</f>
        <v>0</v>
      </c>
      <c r="BR18" s="57" t="str">
        <f>'REG y VAL POE - AESR - ESR'!Z1218</f>
        <v>SI</v>
      </c>
      <c r="BS18" s="57">
        <f>'REG y VAL POE - AESR - ESR'!AA1218</f>
        <v>0</v>
      </c>
      <c r="BT18" s="57">
        <f>'REG y VAL POE - AESR - ESR'!AB1218</f>
        <v>0</v>
      </c>
      <c r="BU18" s="57">
        <f>'REG y VAL POE - AESR - ESR'!AC1218</f>
        <v>0</v>
      </c>
      <c r="BV18" s="57">
        <f>'REG y VAL POE - AESR - ESR'!AD1218</f>
        <v>0</v>
      </c>
      <c r="BW18" s="57">
        <f>'REG y VAL POE - AESR - ESR'!AE1218</f>
        <v>0</v>
      </c>
      <c r="BX18" s="57" t="str">
        <f>'REG y VAL POE - AESR - ESR'!AF1218</f>
        <v>SI</v>
      </c>
      <c r="BY18" s="57" t="str">
        <f>'REG y VAL POE - AESR - ESR'!AG1218</f>
        <v>SI</v>
      </c>
      <c r="BZ18" s="57">
        <f>'REG y VAL POE - AESR - ESR'!AH1218</f>
        <v>0</v>
      </c>
      <c r="CA18" s="57">
        <f>'REG y VAL POE - AESR - ESR'!AI1218</f>
        <v>0</v>
      </c>
      <c r="CB18" s="57">
        <f>'REG y VAL POE - AESR - ESR'!AJ1218</f>
        <v>0</v>
      </c>
      <c r="CC18" s="57">
        <f>'REG y VAL POE - AESR - ESR'!AK1218</f>
        <v>0</v>
      </c>
      <c r="CD18" s="57">
        <f>'REG y VAL POE - AESR - ESR'!AL1218</f>
        <v>0</v>
      </c>
      <c r="CE18" s="57" t="str">
        <f>'REG y VAL POE - AESR - ESR'!AM1218</f>
        <v>SI</v>
      </c>
      <c r="CF18" s="57" t="str">
        <f>'REG y VAL POE - AESR - ESR'!AN1218</f>
        <v>SI</v>
      </c>
      <c r="CG18" s="57">
        <f>'REG y VAL POE - AESR - ESR'!AO1218</f>
        <v>0</v>
      </c>
      <c r="CH18" s="57">
        <f>'REG y VAL POE - AESR - ESR'!AP1218</f>
        <v>0</v>
      </c>
      <c r="CI18" s="57">
        <f>'REG y VAL POE - AESR - ESR'!AQ1218</f>
        <v>0</v>
      </c>
      <c r="CJ18" s="57">
        <f>'REG y VAL POE - AESR - ESR'!AR1218</f>
        <v>0</v>
      </c>
      <c r="CK18" s="57">
        <f>'REG y VAL POE - AESR - ESR'!AS1218</f>
        <v>0</v>
      </c>
      <c r="CL18" s="57"/>
      <c r="CM18" s="57"/>
      <c r="CN18" s="57"/>
      <c r="CO18" s="56"/>
      <c r="CP18" s="57"/>
      <c r="CQ18" s="57"/>
      <c r="CR18" s="56"/>
      <c r="CS18" s="57"/>
      <c r="CT18" s="58"/>
      <c r="CU18" s="56"/>
      <c r="CV18" s="57"/>
      <c r="CW18" s="57"/>
      <c r="CX18" s="57"/>
      <c r="CY18" s="56"/>
      <c r="CZ18" s="57"/>
      <c r="DA18" s="57"/>
      <c r="DB18" s="56"/>
      <c r="DC18" s="57"/>
      <c r="DD18" s="58"/>
      <c r="DE18" s="56"/>
      <c r="DF18" s="57"/>
      <c r="DG18" s="57"/>
      <c r="DH18" s="57"/>
      <c r="DI18" s="56"/>
      <c r="DJ18" s="57"/>
      <c r="DK18" s="57"/>
      <c r="DL18" s="56"/>
      <c r="DM18" s="57"/>
      <c r="DN18" s="58"/>
      <c r="DO18" s="56"/>
      <c r="DP18" s="57"/>
      <c r="DQ18" s="57"/>
      <c r="DR18" s="57"/>
      <c r="DS18" s="56"/>
      <c r="DT18" s="57"/>
      <c r="DU18" s="57"/>
      <c r="DV18" s="56"/>
      <c r="DW18" s="57"/>
      <c r="DX18" s="58"/>
      <c r="DY18" s="56"/>
      <c r="DZ18" s="57"/>
      <c r="EA18" s="57"/>
      <c r="EB18" s="57"/>
      <c r="EC18" s="56"/>
      <c r="ED18" s="57"/>
      <c r="EE18" s="56"/>
      <c r="EF18" s="56"/>
      <c r="EG18" s="57"/>
      <c r="EH18" s="58"/>
      <c r="EI18" s="56"/>
      <c r="EJ18" s="57"/>
      <c r="EK18" s="57"/>
      <c r="EL18" s="57"/>
      <c r="EM18" s="56"/>
      <c r="EN18" s="57"/>
      <c r="EO18" s="57"/>
      <c r="EP18" s="56"/>
      <c r="EQ18" s="57"/>
      <c r="ER18" s="58"/>
      <c r="ES18" s="56"/>
      <c r="ET18" s="57"/>
      <c r="EU18" s="57"/>
      <c r="EV18" s="57"/>
      <c r="EW18" s="56"/>
      <c r="EX18" s="57"/>
      <c r="EY18" s="57"/>
      <c r="EZ18" s="56"/>
      <c r="FA18" s="57"/>
      <c r="FB18" s="58"/>
      <c r="FC18" s="56"/>
      <c r="FD18" s="57"/>
      <c r="FE18" s="57"/>
      <c r="FF18" s="57"/>
      <c r="FG18" s="56"/>
      <c r="FH18" s="57"/>
      <c r="FI18" s="57"/>
      <c r="FJ18" s="56"/>
      <c r="FK18" s="57"/>
      <c r="FL18" s="58"/>
      <c r="FM18" s="56"/>
      <c r="FN18" s="57"/>
      <c r="FO18" s="57"/>
      <c r="FP18" s="57"/>
      <c r="FQ18" s="56"/>
      <c r="FR18" s="57"/>
      <c r="FS18" s="57"/>
      <c r="FT18" s="56"/>
      <c r="FU18" s="57"/>
      <c r="FV18" s="58"/>
      <c r="FW18" s="56"/>
      <c r="FX18" s="57"/>
      <c r="FY18" s="57"/>
      <c r="FZ18" s="57"/>
      <c r="GA18" s="56"/>
      <c r="GB18" s="57"/>
      <c r="GC18" s="57"/>
      <c r="GD18" s="56"/>
      <c r="GE18" s="57"/>
      <c r="GF18" s="58"/>
      <c r="GG18" s="56"/>
      <c r="GH18" s="57"/>
      <c r="GI18" s="57"/>
      <c r="GJ18" s="57"/>
      <c r="GK18" s="56"/>
      <c r="GL18" s="57"/>
      <c r="GM18" s="57"/>
      <c r="GN18" s="56"/>
      <c r="GO18" s="57"/>
      <c r="GP18" s="58"/>
      <c r="GQ18" s="56"/>
      <c r="GR18" s="57"/>
      <c r="GS18" s="57"/>
      <c r="GT18" s="57"/>
      <c r="GU18" s="56"/>
      <c r="GV18" s="57"/>
      <c r="GW18" s="57"/>
      <c r="GX18" s="56"/>
      <c r="GY18" s="57"/>
      <c r="GZ18" s="58"/>
      <c r="HA18" s="56"/>
      <c r="HB18" s="57"/>
      <c r="HC18" s="57"/>
      <c r="HD18" s="57"/>
      <c r="HE18" s="56"/>
      <c r="HF18" s="57"/>
      <c r="HG18" s="57"/>
      <c r="HH18" s="56"/>
      <c r="HI18" s="57"/>
      <c r="HJ18" s="58"/>
      <c r="HK18" s="56"/>
      <c r="HL18" s="57"/>
      <c r="HM18" s="57"/>
      <c r="HN18" s="57"/>
      <c r="HO18" s="56"/>
      <c r="HP18" s="57"/>
      <c r="HQ18" s="57"/>
      <c r="HR18" s="56"/>
      <c r="HS18" s="57"/>
      <c r="HT18" s="58"/>
      <c r="HU18" s="56"/>
      <c r="HV18" s="57"/>
      <c r="HW18" s="57"/>
      <c r="HX18" s="57"/>
      <c r="HY18" s="56"/>
      <c r="HZ18" s="57"/>
      <c r="IA18" s="57"/>
      <c r="IB18" s="56"/>
      <c r="IC18" s="57"/>
      <c r="ID18" s="58"/>
      <c r="IE18" s="56"/>
      <c r="IF18" s="57"/>
      <c r="IG18" s="57"/>
      <c r="IH18" s="57"/>
      <c r="II18" s="56"/>
      <c r="IJ18" s="57"/>
      <c r="IK18" s="57"/>
      <c r="IL18" s="56"/>
      <c r="IM18" s="57"/>
      <c r="IN18" s="58"/>
      <c r="IO18" s="56"/>
      <c r="IP18" s="57"/>
      <c r="IQ18" s="57"/>
      <c r="IR18" s="57"/>
      <c r="IS18" s="56"/>
      <c r="IT18" s="57"/>
      <c r="IU18" s="57"/>
      <c r="IV18" s="56"/>
      <c r="IW18" s="57"/>
      <c r="IX18" s="58"/>
      <c r="IY18" s="56"/>
      <c r="IZ18" s="57"/>
      <c r="JA18" s="57"/>
      <c r="JB18" s="57"/>
      <c r="JC18" s="56"/>
      <c r="JD18" s="57"/>
      <c r="JE18" s="57"/>
      <c r="JF18" s="56"/>
      <c r="JG18" s="57"/>
      <c r="JH18" s="58"/>
      <c r="JI18" s="56"/>
      <c r="JJ18" s="57"/>
      <c r="JK18" s="57"/>
      <c r="JL18" s="57"/>
      <c r="JM18" s="56"/>
      <c r="JN18" s="57"/>
      <c r="JO18" s="57"/>
      <c r="JP18" s="56"/>
      <c r="JQ18" s="57"/>
      <c r="JR18" s="58"/>
      <c r="JS18" s="56"/>
      <c r="JT18" s="57"/>
      <c r="JU18" s="57"/>
      <c r="JV18" s="57"/>
      <c r="JW18" s="56"/>
      <c r="JX18" s="57"/>
      <c r="JY18" s="57"/>
      <c r="JZ18" s="56"/>
      <c r="KA18" s="57"/>
      <c r="KB18" s="58"/>
      <c r="KC18" s="56"/>
      <c r="KD18" s="57"/>
      <c r="KE18" s="57"/>
      <c r="KF18" s="57"/>
      <c r="KG18" s="56"/>
      <c r="KH18" s="57"/>
      <c r="KI18" s="57"/>
      <c r="KJ18" s="56"/>
      <c r="KK18" s="57"/>
      <c r="KL18" s="58"/>
      <c r="KM18" s="56"/>
      <c r="KN18" s="57"/>
      <c r="KO18" s="57"/>
      <c r="KP18" s="57"/>
      <c r="KQ18" s="56"/>
      <c r="KR18" s="57"/>
      <c r="KS18" s="57"/>
      <c r="KT18" s="56"/>
      <c r="KU18" s="57"/>
      <c r="KV18" s="58"/>
      <c r="KW18" s="56"/>
      <c r="KX18" s="57"/>
      <c r="KY18" s="57"/>
      <c r="KZ18" s="57"/>
      <c r="LA18" s="56"/>
      <c r="LB18" s="57"/>
      <c r="LC18" s="57"/>
      <c r="LD18" s="56"/>
      <c r="LE18" s="57"/>
      <c r="LF18" s="58"/>
      <c r="LG18" s="56"/>
      <c r="LH18" s="57"/>
      <c r="LI18" s="57"/>
      <c r="LJ18" s="57"/>
      <c r="LK18" s="56"/>
      <c r="LL18" s="57"/>
      <c r="LM18" s="57"/>
      <c r="LN18" s="56"/>
      <c r="LO18" s="57"/>
      <c r="LP18" s="58"/>
      <c r="LQ18" s="56"/>
      <c r="LR18" s="57"/>
      <c r="LS18" s="57"/>
      <c r="LT18" s="57"/>
      <c r="LU18" s="56"/>
      <c r="LV18" s="57"/>
      <c r="LW18" s="57"/>
      <c r="LX18" s="56"/>
      <c r="LY18" s="57"/>
      <c r="LZ18" s="58"/>
      <c r="MA18" s="56"/>
      <c r="MB18" s="57"/>
      <c r="MC18" s="57"/>
      <c r="MD18" s="57"/>
      <c r="ME18" s="56"/>
      <c r="MF18" s="57"/>
      <c r="MG18" s="57"/>
      <c r="MH18" s="56"/>
      <c r="MI18" s="57"/>
      <c r="MJ18" s="58"/>
      <c r="MK18" s="56"/>
      <c r="ML18" s="57"/>
      <c r="MM18" s="57"/>
      <c r="MN18" s="57"/>
      <c r="MO18" s="56"/>
      <c r="MP18" s="57"/>
      <c r="MQ18" s="57"/>
      <c r="MR18" s="56"/>
      <c r="MS18" s="57"/>
      <c r="MT18" s="58"/>
      <c r="MU18" s="56"/>
      <c r="MV18" s="57"/>
      <c r="MW18" s="57"/>
      <c r="MX18" s="57"/>
      <c r="MY18" s="56"/>
      <c r="MZ18" s="57"/>
      <c r="NA18" s="57"/>
      <c r="NB18" s="56"/>
      <c r="NC18" s="57"/>
      <c r="ND18" s="58"/>
      <c r="NE18" s="56"/>
      <c r="NF18" s="57"/>
      <c r="NG18" s="57"/>
      <c r="NH18" s="57"/>
      <c r="NI18" s="56"/>
      <c r="NJ18" s="57"/>
      <c r="NK18" s="57"/>
      <c r="NL18" s="56"/>
      <c r="NM18" s="57"/>
      <c r="NN18" s="58"/>
      <c r="NO18" s="56"/>
      <c r="NP18" s="57"/>
      <c r="NQ18" s="57"/>
      <c r="NR18" s="57"/>
      <c r="NS18" s="56"/>
      <c r="NT18" s="57"/>
      <c r="NU18" s="57"/>
      <c r="NV18" s="56"/>
      <c r="NW18" s="57"/>
      <c r="NX18" s="58"/>
      <c r="NY18" s="56"/>
      <c r="NZ18" s="57"/>
      <c r="OA18" s="57"/>
      <c r="OB18" s="57"/>
      <c r="OC18" s="56"/>
      <c r="OD18" s="57"/>
      <c r="OE18" s="57"/>
      <c r="OF18" s="58"/>
      <c r="OG18" s="58"/>
      <c r="OH18" s="58"/>
      <c r="OI18" s="56"/>
      <c r="OJ18" s="58"/>
      <c r="OK18" s="58"/>
      <c r="OL18" s="58"/>
      <c r="OM18" s="58"/>
      <c r="ON18" s="58"/>
      <c r="OO18" s="58"/>
      <c r="OP18" s="56"/>
      <c r="OQ18" s="57"/>
      <c r="OR18" s="58"/>
      <c r="OS18" s="56"/>
      <c r="OT18" s="57"/>
      <c r="OU18" s="57"/>
      <c r="OV18" s="57"/>
      <c r="OW18" s="56"/>
      <c r="OX18" s="57"/>
      <c r="OY18" s="57"/>
      <c r="OZ18" s="56"/>
      <c r="PA18" s="57"/>
      <c r="PB18" s="58"/>
      <c r="PC18" s="56"/>
      <c r="PD18" s="57"/>
      <c r="PE18" s="57"/>
      <c r="PF18" s="57"/>
      <c r="PG18" s="56"/>
      <c r="PH18" s="57"/>
      <c r="PI18" s="57"/>
      <c r="PJ18" s="56"/>
      <c r="PK18" s="57"/>
      <c r="PL18" s="58"/>
      <c r="PM18" s="56"/>
      <c r="PN18" s="57"/>
      <c r="PO18" s="57"/>
      <c r="PP18" s="57"/>
      <c r="PQ18" s="56"/>
      <c r="PR18" s="57"/>
      <c r="PS18" s="57"/>
      <c r="PT18" s="56"/>
      <c r="PU18" s="57"/>
      <c r="PV18" s="58"/>
      <c r="PW18" s="56"/>
      <c r="PX18" s="57"/>
      <c r="PY18" s="57"/>
      <c r="PZ18" s="57"/>
      <c r="QA18" s="56"/>
      <c r="QB18" s="57"/>
      <c r="QC18" s="57"/>
      <c r="QD18" s="56"/>
      <c r="QE18" s="57"/>
      <c r="QF18" s="58"/>
      <c r="QG18" s="56"/>
      <c r="QH18" s="57"/>
      <c r="QI18" s="57"/>
      <c r="QJ18" s="57"/>
      <c r="QK18" s="56"/>
      <c r="QL18" s="57"/>
      <c r="QM18" s="57"/>
      <c r="QN18" s="56"/>
      <c r="QO18" s="57"/>
      <c r="QP18" s="58"/>
      <c r="QQ18" s="56"/>
      <c r="QR18" s="57"/>
      <c r="QS18" s="57"/>
      <c r="QT18" s="57"/>
      <c r="QU18" s="56"/>
      <c r="QV18" s="57"/>
      <c r="QW18" s="57"/>
      <c r="QX18" s="56"/>
      <c r="QY18" s="57"/>
      <c r="QZ18" s="58"/>
      <c r="RA18" s="56"/>
      <c r="RB18" s="57"/>
      <c r="RC18" s="57"/>
      <c r="RD18" s="57"/>
      <c r="RE18" s="56"/>
      <c r="RF18" s="57"/>
      <c r="RG18" s="57"/>
      <c r="RH18" s="56"/>
      <c r="RI18" s="57"/>
      <c r="RJ18" s="58"/>
      <c r="RK18" s="56"/>
      <c r="RL18" s="57"/>
      <c r="RM18" s="57"/>
      <c r="RN18" s="57"/>
      <c r="RO18" s="56"/>
      <c r="RP18" s="57"/>
      <c r="RQ18" s="57"/>
      <c r="RR18" s="56"/>
      <c r="RS18" s="57"/>
      <c r="RT18" s="58"/>
      <c r="RU18" s="56"/>
      <c r="RV18" s="57"/>
      <c r="RW18" s="57"/>
      <c r="RX18" s="57"/>
      <c r="RY18" s="56"/>
      <c r="RZ18" s="57"/>
      <c r="SA18" s="57"/>
      <c r="SB18" s="56"/>
      <c r="SC18" s="57"/>
      <c r="SD18" s="58"/>
      <c r="SE18" s="56"/>
      <c r="SF18" s="57"/>
      <c r="SG18" s="57"/>
      <c r="SH18" s="57"/>
      <c r="SI18" s="56"/>
      <c r="SJ18" s="57"/>
      <c r="SK18" s="57"/>
      <c r="SL18" s="56"/>
      <c r="SM18" s="57"/>
      <c r="SN18" s="58"/>
      <c r="SO18" s="56"/>
      <c r="SP18" s="57"/>
      <c r="SQ18" s="57"/>
      <c r="SR18" s="57"/>
      <c r="SS18" s="56"/>
      <c r="ST18" s="57"/>
      <c r="SU18" s="57"/>
      <c r="SV18" s="56"/>
      <c r="SW18" s="57"/>
      <c r="SX18" s="58"/>
      <c r="SY18" s="56"/>
      <c r="SZ18" s="57"/>
      <c r="TA18" s="57"/>
      <c r="TB18" s="57"/>
      <c r="TC18" s="56"/>
      <c r="TD18" s="57"/>
      <c r="TE18" s="57"/>
      <c r="TF18" s="56"/>
      <c r="TG18" s="57"/>
      <c r="TH18" s="58"/>
      <c r="TI18" s="56"/>
      <c r="TJ18" s="57"/>
      <c r="TK18" s="57"/>
      <c r="TL18" s="57"/>
      <c r="TM18" s="56"/>
      <c r="TN18" s="57"/>
      <c r="TO18" s="57"/>
      <c r="TP18" s="56"/>
      <c r="TQ18" s="57"/>
      <c r="TR18" s="58"/>
      <c r="TS18" s="56"/>
      <c r="TT18" s="57"/>
      <c r="TU18" s="57"/>
      <c r="TV18" s="57"/>
      <c r="TW18" s="56"/>
      <c r="TX18" s="57"/>
      <c r="TY18" s="57"/>
      <c r="TZ18" s="56"/>
      <c r="UA18" s="57"/>
      <c r="UB18" s="58"/>
      <c r="UC18" s="56"/>
      <c r="UD18" s="57"/>
      <c r="UE18" s="57"/>
      <c r="UF18" s="57"/>
      <c r="UG18" s="56"/>
      <c r="UH18" s="57"/>
      <c r="UI18" s="57"/>
      <c r="UJ18" s="56"/>
      <c r="UK18" s="57"/>
      <c r="UL18" s="58"/>
      <c r="UM18" s="56"/>
      <c r="UN18" s="57"/>
      <c r="UO18" s="57"/>
      <c r="UP18" s="57"/>
      <c r="UQ18" s="56"/>
      <c r="UR18" s="57"/>
      <c r="US18" s="57"/>
      <c r="UT18" s="56"/>
      <c r="UU18" s="57"/>
      <c r="UV18" s="58"/>
      <c r="UW18" s="56"/>
      <c r="UX18" s="57"/>
      <c r="UY18" s="57"/>
      <c r="UZ18" s="57"/>
      <c r="VA18" s="56"/>
      <c r="VB18" s="57"/>
      <c r="VC18" s="57"/>
      <c r="VD18" s="56"/>
      <c r="VE18" s="57"/>
      <c r="VF18" s="58"/>
      <c r="VG18" s="56"/>
      <c r="VH18" s="57"/>
      <c r="VI18" s="57"/>
      <c r="VJ18" s="57"/>
      <c r="VK18" s="56"/>
      <c r="VL18" s="57"/>
      <c r="VM18" s="57"/>
      <c r="VN18" s="56"/>
      <c r="VO18" s="57"/>
      <c r="VP18" s="58"/>
      <c r="VQ18" s="56"/>
      <c r="VR18" s="57"/>
      <c r="VS18" s="57"/>
      <c r="VT18" s="57"/>
      <c r="VU18" s="56"/>
      <c r="VV18" s="57"/>
      <c r="VW18" s="57"/>
      <c r="VX18" s="56"/>
      <c r="VY18" s="57"/>
      <c r="VZ18" s="58"/>
      <c r="WA18" s="56"/>
      <c r="WB18" s="57"/>
      <c r="WC18" s="57"/>
      <c r="WD18" s="57"/>
      <c r="WE18" s="56"/>
      <c r="WF18" s="57"/>
      <c r="WG18" s="57"/>
      <c r="WH18" s="56"/>
      <c r="WI18" s="57"/>
      <c r="WJ18" s="58"/>
      <c r="WK18" s="56"/>
      <c r="WL18" s="57"/>
      <c r="WM18" s="57"/>
      <c r="WN18" s="57"/>
      <c r="WO18" s="56"/>
      <c r="WP18" s="57"/>
      <c r="WQ18" s="57"/>
      <c r="WR18" s="56"/>
      <c r="WS18" s="57"/>
      <c r="WT18" s="58"/>
      <c r="WU18" s="56"/>
      <c r="WV18" s="57"/>
      <c r="WW18" s="57"/>
      <c r="WX18" s="57"/>
      <c r="WY18" s="56"/>
      <c r="WZ18" s="57"/>
      <c r="XA18" s="57"/>
      <c r="XB18" s="56"/>
      <c r="XC18" s="57"/>
      <c r="XD18" s="58"/>
      <c r="XE18" s="56"/>
      <c r="XF18" s="57"/>
      <c r="XG18" s="57"/>
      <c r="XH18" s="57"/>
      <c r="XI18" s="56"/>
      <c r="XJ18" s="57"/>
      <c r="XK18" s="57"/>
      <c r="XL18" s="56"/>
      <c r="XM18" s="57"/>
      <c r="XN18" s="58"/>
      <c r="XO18" s="56"/>
      <c r="XP18" s="57"/>
      <c r="XQ18" s="57"/>
      <c r="XR18" s="57"/>
      <c r="XS18" s="56"/>
      <c r="XT18" s="57"/>
      <c r="XU18" s="57"/>
      <c r="XV18" s="56"/>
      <c r="XW18" s="57"/>
      <c r="XX18" s="58"/>
      <c r="XY18" s="56"/>
      <c r="XZ18" s="57"/>
      <c r="YA18" s="57"/>
      <c r="YB18" s="57"/>
      <c r="YC18" s="56"/>
      <c r="YD18" s="57"/>
      <c r="YE18" s="57"/>
      <c r="YF18" s="56"/>
      <c r="YG18" s="57"/>
      <c r="YH18" s="58"/>
      <c r="YI18" s="56"/>
      <c r="YJ18" s="57"/>
      <c r="YK18" s="57"/>
      <c r="YL18" s="57"/>
      <c r="YM18" s="56"/>
      <c r="YN18" s="57"/>
      <c r="YO18" s="57"/>
      <c r="YP18" s="56"/>
      <c r="YQ18" s="57"/>
      <c r="YR18" s="58"/>
      <c r="YS18" s="56"/>
      <c r="YT18" s="57"/>
      <c r="YU18" s="57"/>
      <c r="YV18" s="57"/>
      <c r="YW18" s="56"/>
      <c r="YX18" s="57"/>
      <c r="YY18" s="57"/>
      <c r="YZ18" s="56"/>
      <c r="ZA18" s="57"/>
      <c r="ZB18" s="58"/>
      <c r="ZC18" s="56"/>
      <c r="ZD18" s="57"/>
      <c r="ZE18" s="57"/>
      <c r="ZF18" s="57"/>
      <c r="ZG18" s="56"/>
      <c r="ZH18" s="57"/>
      <c r="ZI18" s="57"/>
      <c r="ZJ18" s="56"/>
      <c r="ZK18" s="57"/>
      <c r="ZL18" s="58"/>
      <c r="ZM18" s="56"/>
      <c r="ZN18" s="57"/>
      <c r="ZO18" s="57"/>
      <c r="ZP18" s="57"/>
      <c r="ZQ18" s="56"/>
      <c r="ZR18" s="57"/>
      <c r="ZS18" s="57"/>
      <c r="ZT18" s="56"/>
      <c r="ZU18" s="57"/>
      <c r="ZV18" s="58"/>
      <c r="ZW18" s="56"/>
      <c r="ZX18" s="57"/>
      <c r="ZY18" s="57"/>
      <c r="ZZ18" s="57"/>
      <c r="AAA18" s="56"/>
      <c r="AAB18" s="57"/>
      <c r="AAC18" s="57"/>
      <c r="AAD18" s="56"/>
      <c r="AAE18" s="57"/>
      <c r="AAF18" s="58"/>
      <c r="AAG18" s="56"/>
      <c r="AAH18" s="57"/>
      <c r="AAI18" s="57"/>
      <c r="AAJ18" s="57"/>
      <c r="AAK18" s="56"/>
      <c r="AAL18" s="57"/>
      <c r="AAM18" s="57"/>
      <c r="AAN18" s="56"/>
      <c r="AAO18" s="57"/>
      <c r="AAP18" s="58"/>
      <c r="AAQ18" s="56"/>
      <c r="AAR18" s="57"/>
      <c r="AAS18" s="57"/>
      <c r="AAT18" s="57"/>
      <c r="AAU18" s="56"/>
      <c r="AAV18" s="57"/>
      <c r="AAW18" s="57"/>
      <c r="AAX18" s="58"/>
      <c r="AAY18" s="58"/>
      <c r="AAZ18" s="58"/>
      <c r="ABA18" s="56"/>
      <c r="ABB18" s="58"/>
      <c r="ABC18" s="58"/>
      <c r="ABD18" s="58"/>
      <c r="ABE18" s="58"/>
      <c r="ABF18" s="58"/>
      <c r="ABG18" s="57"/>
      <c r="ABH18" s="56"/>
      <c r="ABI18" s="57"/>
      <c r="ABJ18" s="58"/>
      <c r="ABK18" s="56"/>
      <c r="ABL18" s="57"/>
      <c r="ABM18" s="57"/>
      <c r="ABN18" s="57"/>
      <c r="ABO18" s="56"/>
      <c r="ABP18" s="57"/>
      <c r="ABQ18" s="57"/>
      <c r="ABR18" s="56"/>
      <c r="ABS18" s="57"/>
      <c r="ABT18" s="58"/>
      <c r="ABU18" s="56"/>
      <c r="ABV18" s="57"/>
      <c r="ABW18" s="57"/>
      <c r="ABX18" s="57"/>
      <c r="ABY18" s="56"/>
      <c r="ABZ18" s="57"/>
      <c r="ACA18" s="57"/>
      <c r="ACB18" s="56"/>
      <c r="ACC18" s="57"/>
      <c r="ACD18" s="58"/>
      <c r="ACE18" s="56"/>
      <c r="ACF18" s="57"/>
      <c r="ACG18" s="57"/>
      <c r="ACH18" s="57"/>
      <c r="ACI18" s="56"/>
      <c r="ACJ18" s="57"/>
      <c r="ACK18" s="57"/>
      <c r="ACL18" s="56"/>
      <c r="ACM18" s="57"/>
      <c r="ACN18" s="58"/>
      <c r="ACO18" s="56"/>
      <c r="ACP18" s="57"/>
      <c r="ACQ18" s="57"/>
      <c r="ACR18" s="57"/>
      <c r="ACS18" s="56"/>
      <c r="ACT18" s="57"/>
      <c r="ACU18" s="57"/>
      <c r="ACV18" s="56"/>
      <c r="ACW18" s="57"/>
      <c r="ACX18" s="58"/>
      <c r="ACY18" s="56"/>
      <c r="ACZ18" s="57"/>
      <c r="ADA18" s="57"/>
      <c r="ADB18" s="57"/>
      <c r="ADC18" s="56"/>
      <c r="ADD18" s="57"/>
      <c r="ADE18" s="57"/>
      <c r="ADF18" s="56"/>
      <c r="ADG18" s="57"/>
      <c r="ADH18" s="58"/>
      <c r="ADI18" s="56"/>
      <c r="ADJ18" s="57"/>
      <c r="ADK18" s="57"/>
      <c r="ADL18" s="57"/>
      <c r="ADM18" s="56"/>
      <c r="ADN18" s="57"/>
      <c r="ADO18" s="57"/>
      <c r="ADP18" s="56"/>
      <c r="ADQ18" s="57"/>
      <c r="ADR18" s="58"/>
      <c r="ADS18" s="56"/>
      <c r="ADT18" s="57"/>
      <c r="ADU18" s="57"/>
      <c r="ADV18" s="57"/>
      <c r="ADW18" s="56"/>
      <c r="ADX18" s="57"/>
      <c r="ADY18" s="57"/>
      <c r="ADZ18" s="56"/>
      <c r="AEA18" s="57"/>
      <c r="AEB18" s="58"/>
      <c r="AEC18" s="56"/>
      <c r="AED18" s="57"/>
      <c r="AEE18" s="57"/>
      <c r="AEF18" s="57"/>
      <c r="AEG18" s="56"/>
      <c r="AEH18" s="57"/>
      <c r="AEI18" s="57"/>
      <c r="AEJ18" s="56"/>
      <c r="AEK18" s="57"/>
      <c r="AEL18" s="58"/>
      <c r="AEM18" s="56"/>
      <c r="AEN18" s="57"/>
      <c r="AEO18" s="57"/>
      <c r="AEP18" s="57"/>
      <c r="AEQ18" s="56"/>
      <c r="AER18" s="57"/>
      <c r="AES18" s="57"/>
      <c r="AET18" s="56"/>
      <c r="AEU18" s="57"/>
      <c r="AEV18" s="58"/>
      <c r="AEW18" s="56"/>
      <c r="AEX18" s="57"/>
      <c r="AEY18" s="57"/>
      <c r="AEZ18" s="57"/>
      <c r="AFA18" s="56"/>
      <c r="AFB18" s="57"/>
      <c r="AFC18" s="57"/>
      <c r="AFD18" s="56"/>
      <c r="AFE18" s="57"/>
      <c r="AFF18" s="58"/>
      <c r="AFG18" s="56"/>
      <c r="AFH18" s="57"/>
      <c r="AFI18" s="57"/>
      <c r="AFJ18" s="57"/>
      <c r="AFK18" s="56"/>
      <c r="AFL18" s="57"/>
      <c r="AFM18" s="57"/>
      <c r="AFN18" s="56"/>
      <c r="AFO18" s="57"/>
      <c r="AFP18" s="58"/>
      <c r="AFQ18" s="56"/>
      <c r="AFR18" s="57"/>
      <c r="AFS18" s="57"/>
      <c r="AFT18" s="57"/>
      <c r="AFU18" s="56"/>
      <c r="AFV18" s="57"/>
      <c r="AFW18" s="57"/>
      <c r="AFX18" s="56"/>
      <c r="AFY18" s="57"/>
      <c r="AFZ18" s="58"/>
      <c r="AGA18" s="56"/>
      <c r="AGB18" s="57"/>
      <c r="AGC18" s="57"/>
      <c r="AGD18" s="57"/>
      <c r="AGE18" s="56"/>
      <c r="AGF18" s="57"/>
      <c r="AGG18" s="57"/>
      <c r="AGH18" s="56"/>
      <c r="AGI18" s="57"/>
      <c r="AGJ18" s="58"/>
      <c r="AGK18" s="56"/>
      <c r="AGL18" s="57"/>
      <c r="AGM18" s="57"/>
      <c r="AGN18" s="57"/>
      <c r="AGO18" s="56"/>
      <c r="AGP18" s="57"/>
      <c r="AGQ18" s="57"/>
      <c r="AGR18" s="56"/>
      <c r="AGS18" s="57"/>
      <c r="AGT18" s="58"/>
      <c r="AGU18" s="56"/>
      <c r="AGV18" s="57"/>
      <c r="AGW18" s="57"/>
      <c r="AGX18" s="57"/>
      <c r="AGY18" s="56"/>
      <c r="AGZ18" s="57"/>
      <c r="AHA18" s="57"/>
      <c r="AHB18" s="56"/>
      <c r="AHC18" s="57"/>
      <c r="AHD18" s="58"/>
      <c r="AHE18" s="56"/>
      <c r="AHF18" s="57"/>
      <c r="AHG18" s="57"/>
      <c r="AHH18" s="57"/>
      <c r="AHI18" s="56"/>
      <c r="AHJ18" s="57"/>
      <c r="AHK18" s="57"/>
      <c r="AHL18" s="56"/>
      <c r="AHM18" s="57"/>
      <c r="AHN18" s="58"/>
      <c r="AHO18" s="56"/>
      <c r="AHP18" s="57"/>
      <c r="AHQ18" s="57"/>
      <c r="AHR18" s="57"/>
      <c r="AHS18" s="56"/>
      <c r="AHT18" s="57"/>
      <c r="AHU18" s="57"/>
      <c r="AHV18" s="56"/>
      <c r="AHW18" s="57"/>
      <c r="AHX18" s="58"/>
      <c r="AHY18" s="56"/>
      <c r="AHZ18" s="57"/>
      <c r="AIA18" s="57"/>
      <c r="AIB18" s="57"/>
      <c r="AIC18" s="56"/>
      <c r="AID18" s="57"/>
      <c r="AIE18" s="57"/>
      <c r="AIF18" s="56"/>
      <c r="AIG18" s="57"/>
      <c r="AIH18" s="58"/>
      <c r="AII18" s="56"/>
      <c r="AIJ18" s="57"/>
      <c r="AIK18" s="57"/>
      <c r="AIL18" s="57"/>
      <c r="AIM18" s="56"/>
      <c r="AIN18" s="57"/>
      <c r="AIO18" s="57"/>
      <c r="AIP18" s="56"/>
      <c r="AIQ18" s="57"/>
      <c r="AIR18" s="58"/>
      <c r="AIS18" s="56"/>
      <c r="AIT18" s="57"/>
      <c r="AIU18" s="57"/>
      <c r="AIV18" s="57"/>
      <c r="AIW18" s="56"/>
      <c r="AIX18" s="57"/>
      <c r="AIY18" s="57"/>
      <c r="AIZ18" s="56"/>
      <c r="AJA18" s="57"/>
      <c r="AJB18" s="58"/>
      <c r="AJC18" s="56"/>
      <c r="AJD18" s="57"/>
      <c r="AJE18" s="57"/>
      <c r="AJF18" s="57"/>
      <c r="AJG18" s="56"/>
      <c r="AJH18" s="57"/>
      <c r="AJI18" s="57"/>
      <c r="AJJ18" s="56"/>
      <c r="AJK18" s="57"/>
      <c r="AJL18" s="58"/>
      <c r="AJM18" s="56"/>
      <c r="AJN18" s="57"/>
      <c r="AJO18" s="57"/>
      <c r="AJP18" s="57"/>
      <c r="AJQ18" s="56"/>
      <c r="AJR18" s="57"/>
      <c r="AJS18" s="57"/>
      <c r="AJT18" s="56"/>
      <c r="AJU18" s="57"/>
      <c r="AJV18" s="58"/>
      <c r="AJW18" s="56"/>
      <c r="AJX18" s="57"/>
      <c r="AJY18" s="57"/>
      <c r="AJZ18" s="57"/>
      <c r="AKA18" s="56"/>
      <c r="AKB18" s="57"/>
      <c r="AKC18" s="57"/>
      <c r="AKD18" s="56"/>
      <c r="AKE18" s="57"/>
      <c r="AKF18" s="58"/>
      <c r="AKG18" s="56"/>
      <c r="AKH18" s="57"/>
      <c r="AKI18" s="57"/>
      <c r="AKJ18" s="57"/>
      <c r="AKK18" s="56"/>
      <c r="AKL18" s="57"/>
      <c r="AKM18" s="57"/>
      <c r="AKN18" s="56"/>
      <c r="AKO18" s="57"/>
      <c r="AKP18" s="58"/>
      <c r="AKQ18" s="56"/>
      <c r="AKR18" s="57"/>
      <c r="AKS18" s="57"/>
      <c r="AKT18" s="57"/>
      <c r="AKU18" s="56"/>
      <c r="AKV18" s="57"/>
      <c r="AKW18" s="57"/>
      <c r="AKX18" s="56"/>
      <c r="AKY18" s="57"/>
      <c r="AKZ18" s="58"/>
      <c r="ALA18" s="56"/>
      <c r="ALB18" s="57"/>
      <c r="ALC18" s="57"/>
      <c r="ALD18" s="57"/>
      <c r="ALE18" s="56"/>
      <c r="ALF18" s="57"/>
      <c r="ALG18" s="57"/>
      <c r="ALH18" s="57"/>
      <c r="ALI18" s="57"/>
      <c r="ALJ18" s="57"/>
      <c r="ALK18" s="56"/>
      <c r="ALL18" s="57"/>
      <c r="ALM18" s="57"/>
      <c r="ALN18" s="56"/>
      <c r="ALO18" s="57"/>
      <c r="ALP18" s="58"/>
      <c r="ALQ18" s="56"/>
      <c r="ALR18" s="57"/>
      <c r="ALS18" s="57"/>
      <c r="ALT18" s="57"/>
      <c r="ALU18" s="56"/>
      <c r="ALV18" s="57"/>
      <c r="ALW18" s="57"/>
      <c r="ALX18" s="56"/>
      <c r="ALY18" s="57"/>
      <c r="ALZ18" s="58"/>
      <c r="AMA18" s="56"/>
      <c r="AMB18" s="57"/>
      <c r="AMC18" s="57"/>
      <c r="AMD18" s="57"/>
      <c r="AME18" s="56"/>
      <c r="AMF18" s="57"/>
      <c r="AMG18" s="57"/>
      <c r="AMH18" s="57"/>
      <c r="AMI18" s="57"/>
      <c r="AMJ18" s="57"/>
      <c r="AMK18" s="56"/>
      <c r="AML18" s="57"/>
      <c r="AMM18" s="57"/>
      <c r="AMN18" s="56"/>
      <c r="AMO18" s="57"/>
      <c r="AMP18" s="58"/>
      <c r="AMQ18" s="56"/>
      <c r="AMR18" s="57"/>
      <c r="AMS18" s="57"/>
      <c r="AMT18" s="57"/>
      <c r="AMU18" s="56"/>
      <c r="AMV18" s="57"/>
      <c r="AMW18" s="57"/>
      <c r="AMX18" s="56"/>
      <c r="AMY18" s="57"/>
      <c r="AMZ18" s="58"/>
      <c r="ANA18" s="56"/>
      <c r="ANB18" s="57"/>
      <c r="ANC18" s="57"/>
      <c r="AND18" s="57"/>
      <c r="ANE18" s="56"/>
      <c r="ANF18" s="57"/>
      <c r="ANG18" s="57"/>
      <c r="ANH18" s="57"/>
      <c r="ANI18" s="57"/>
      <c r="ANJ18" s="57"/>
      <c r="ANK18" s="56"/>
      <c r="ANL18" s="57"/>
      <c r="ANM18" s="57"/>
      <c r="ANN18" s="56"/>
      <c r="ANO18" s="57"/>
      <c r="ANP18" s="58"/>
      <c r="ANQ18" s="56"/>
      <c r="ANR18" s="57"/>
      <c r="ANS18" s="57"/>
      <c r="ANT18" s="57"/>
      <c r="ANU18" s="56"/>
      <c r="ANV18" s="57"/>
      <c r="ANW18" s="57"/>
      <c r="ANX18" s="56"/>
      <c r="ANY18" s="57"/>
      <c r="ANZ18" s="58"/>
      <c r="AOA18" s="56"/>
      <c r="AOB18" s="57"/>
      <c r="AOC18" s="57"/>
      <c r="AOD18" s="57"/>
      <c r="AOE18" s="56"/>
      <c r="AOF18" s="57"/>
      <c r="AOG18" s="57"/>
      <c r="AOH18" s="57"/>
      <c r="AOI18" s="57"/>
      <c r="AOJ18" s="57"/>
      <c r="AOK18" s="56"/>
      <c r="AOL18" s="57"/>
      <c r="AOM18" s="57"/>
      <c r="AON18" s="56"/>
      <c r="AOO18" s="57"/>
      <c r="AOP18" s="58"/>
      <c r="AOQ18" s="56"/>
      <c r="AOR18" s="57"/>
      <c r="AOS18" s="57"/>
      <c r="AOT18" s="57"/>
      <c r="AOU18" s="56"/>
      <c r="AOV18" s="57"/>
      <c r="AOW18" s="57"/>
      <c r="AOX18" s="56"/>
      <c r="AOY18" s="57"/>
      <c r="AOZ18" s="58"/>
      <c r="APA18" s="56"/>
      <c r="APB18" s="57"/>
      <c r="APC18" s="57"/>
      <c r="APD18" s="57"/>
      <c r="APE18" s="56"/>
      <c r="APF18" s="57"/>
      <c r="APG18" s="57"/>
      <c r="APH18" s="57"/>
      <c r="API18" s="57"/>
      <c r="APJ18" s="57"/>
      <c r="APK18" s="56"/>
      <c r="APL18" s="57"/>
      <c r="APM18" s="57"/>
      <c r="APN18" s="56"/>
      <c r="APO18" s="57"/>
      <c r="APP18" s="58"/>
      <c r="APQ18" s="56"/>
      <c r="APR18" s="57"/>
      <c r="APS18" s="57"/>
      <c r="APT18" s="57"/>
      <c r="APU18" s="56"/>
      <c r="APV18" s="57"/>
      <c r="APW18" s="57"/>
      <c r="APX18" s="56"/>
      <c r="APY18" s="57"/>
      <c r="APZ18" s="58"/>
      <c r="AQA18" s="56"/>
      <c r="AQB18" s="57"/>
      <c r="AQC18" s="57"/>
      <c r="AQD18" s="57"/>
      <c r="AQE18" s="56"/>
      <c r="AQF18" s="57"/>
      <c r="AQG18" s="57"/>
      <c r="AQH18" s="57"/>
      <c r="AQI18" s="57"/>
      <c r="AQJ18" s="57"/>
      <c r="AQK18" s="56"/>
      <c r="AQL18" s="57"/>
      <c r="AQM18" s="57"/>
      <c r="AQN18" s="56"/>
      <c r="AQO18" s="57"/>
      <c r="AQP18" s="58"/>
      <c r="AQQ18" s="56"/>
      <c r="AQR18" s="57"/>
      <c r="AQS18" s="57"/>
      <c r="AQT18" s="57"/>
      <c r="AQU18" s="56"/>
      <c r="AQV18" s="57"/>
      <c r="AQW18" s="57"/>
      <c r="AQX18" s="56"/>
      <c r="AQY18" s="57"/>
      <c r="AQZ18" s="58"/>
      <c r="ARA18" s="56"/>
      <c r="ARB18" s="57"/>
      <c r="ARC18" s="57"/>
      <c r="ARD18" s="57"/>
      <c r="ARE18" s="56"/>
      <c r="ARF18" s="57"/>
      <c r="ARG18" s="57"/>
      <c r="ARH18" s="57"/>
      <c r="ARI18" s="57"/>
      <c r="ARJ18" s="57"/>
      <c r="ARK18" s="56"/>
      <c r="ARL18" s="57"/>
      <c r="ARM18" s="57"/>
      <c r="ARN18" s="56"/>
      <c r="ARO18" s="57"/>
      <c r="ARP18" s="58"/>
      <c r="ARQ18" s="56"/>
      <c r="ARR18" s="57"/>
      <c r="ARS18" s="57"/>
      <c r="ART18" s="57"/>
      <c r="ARU18" s="56"/>
      <c r="ARV18" s="57"/>
      <c r="ARW18" s="57"/>
      <c r="ARX18" s="56"/>
      <c r="ARY18" s="57"/>
      <c r="ARZ18" s="58"/>
      <c r="ASA18" s="56"/>
      <c r="ASB18" s="57"/>
      <c r="ASC18" s="57"/>
      <c r="ASD18" s="57"/>
      <c r="ASE18" s="56"/>
      <c r="ASF18" s="57"/>
      <c r="ASG18" s="57"/>
      <c r="ASH18" s="57"/>
      <c r="ASI18" s="57"/>
      <c r="ASJ18" s="57"/>
      <c r="ASK18" s="56"/>
      <c r="ASL18" s="57"/>
      <c r="ASM18" s="57"/>
      <c r="ASN18" s="56"/>
      <c r="ASO18" s="57"/>
      <c r="ASP18" s="58"/>
      <c r="ASQ18" s="56"/>
      <c r="ASR18" s="57"/>
      <c r="ASS18" s="57"/>
      <c r="AST18" s="57"/>
      <c r="ASU18" s="56"/>
      <c r="ASV18" s="57"/>
      <c r="ASW18" s="57"/>
      <c r="ASX18" s="56"/>
      <c r="ASY18" s="57"/>
      <c r="ASZ18" s="58"/>
      <c r="ATA18" s="56"/>
      <c r="ATB18" s="57"/>
      <c r="ATC18" s="57"/>
      <c r="ATD18" s="57"/>
      <c r="ATE18" s="56"/>
      <c r="ATF18" s="57"/>
      <c r="ATG18" s="57"/>
      <c r="ATH18" s="57"/>
      <c r="ATI18" s="57"/>
      <c r="ATJ18" s="57"/>
      <c r="ATK18" s="56"/>
      <c r="ATL18" s="57"/>
      <c r="ATM18" s="57"/>
      <c r="ATN18" s="56"/>
      <c r="ATO18" s="57"/>
      <c r="ATP18" s="58"/>
      <c r="ATQ18" s="56"/>
      <c r="ATR18" s="57"/>
      <c r="ATS18" s="57"/>
      <c r="ATT18" s="57"/>
      <c r="ATU18" s="56"/>
      <c r="ATV18" s="57"/>
      <c r="ATW18" s="57"/>
      <c r="ATX18" s="56"/>
      <c r="ATY18" s="57"/>
      <c r="ATZ18" s="58"/>
      <c r="AUA18" s="56"/>
      <c r="AUB18" s="57"/>
      <c r="AUC18" s="57"/>
      <c r="AUD18" s="57"/>
      <c r="AUE18" s="56"/>
      <c r="AUF18" s="57"/>
      <c r="AUG18" s="57"/>
      <c r="AUH18" s="57"/>
      <c r="AUI18" s="57"/>
      <c r="AUJ18" s="57"/>
      <c r="AUK18" s="56"/>
      <c r="AUL18" s="57"/>
      <c r="AUM18" s="57"/>
      <c r="AUN18" s="56"/>
      <c r="AUO18" s="57"/>
      <c r="AUP18" s="58"/>
      <c r="AUQ18" s="56"/>
      <c r="AUR18" s="57"/>
      <c r="AUS18" s="57"/>
      <c r="AUT18" s="57"/>
      <c r="AUU18" s="56"/>
      <c r="AUV18" s="57"/>
      <c r="AUW18" s="57"/>
      <c r="AUX18" s="56"/>
      <c r="AUY18" s="57"/>
      <c r="AUZ18" s="58"/>
      <c r="AVA18" s="56"/>
      <c r="AVB18" s="57"/>
      <c r="AVC18" s="57"/>
      <c r="AVD18" s="57"/>
      <c r="AVE18" s="56"/>
      <c r="AVF18" s="57"/>
      <c r="AVG18" s="57"/>
      <c r="AVH18" s="57"/>
      <c r="AVI18" s="57"/>
      <c r="AVJ18" s="57"/>
      <c r="AVK18" s="56"/>
      <c r="AVL18" s="57"/>
      <c r="AVM18" s="57"/>
      <c r="AVN18" s="56"/>
      <c r="AVO18" s="57"/>
      <c r="AVP18" s="58"/>
      <c r="AVQ18" s="56"/>
      <c r="AVR18" s="57"/>
      <c r="AVS18" s="57"/>
      <c r="AVT18" s="57"/>
      <c r="AVU18" s="56"/>
      <c r="AVV18" s="57"/>
      <c r="AVW18" s="57"/>
      <c r="AVX18" s="56"/>
      <c r="AVY18" s="57"/>
      <c r="AVZ18" s="58"/>
      <c r="AWA18" s="56"/>
      <c r="AWB18" s="57"/>
      <c r="AWC18" s="57"/>
      <c r="AWD18" s="57"/>
      <c r="AWE18" s="56"/>
      <c r="AWF18" s="57"/>
      <c r="AWG18" s="57"/>
      <c r="AWH18" s="57"/>
      <c r="AWI18" s="57"/>
      <c r="AWJ18" s="57"/>
      <c r="AWK18" s="56"/>
      <c r="AWL18" s="57"/>
      <c r="AWM18" s="57"/>
      <c r="AWN18" s="56"/>
      <c r="AWO18" s="57"/>
      <c r="AWP18" s="58"/>
      <c r="AWQ18" s="56"/>
      <c r="AWR18" s="57"/>
      <c r="AWS18" s="57"/>
      <c r="AWT18" s="57"/>
      <c r="AWU18" s="56"/>
      <c r="AWV18" s="57"/>
      <c r="AWW18" s="57"/>
      <c r="AWX18" s="56"/>
      <c r="AWY18" s="57"/>
      <c r="AWZ18" s="58"/>
      <c r="AXA18" s="56"/>
      <c r="AXB18" s="57"/>
      <c r="AXC18" s="57"/>
      <c r="AXD18" s="57"/>
      <c r="AXE18" s="56"/>
      <c r="AXF18" s="57"/>
      <c r="AXG18" s="57"/>
      <c r="AXH18" s="57"/>
      <c r="AXI18" s="57"/>
      <c r="AXJ18" s="57"/>
      <c r="AXK18" s="56"/>
      <c r="AXL18" s="57"/>
      <c r="AXM18" s="57"/>
      <c r="AXN18" s="56"/>
      <c r="AXO18" s="57"/>
      <c r="AXP18" s="58"/>
      <c r="AXQ18" s="56"/>
      <c r="AXR18" s="57"/>
      <c r="AXS18" s="57"/>
      <c r="AXT18" s="57"/>
      <c r="AXU18" s="56"/>
      <c r="AXV18" s="57"/>
      <c r="AXW18" s="57"/>
      <c r="AXX18" s="56"/>
      <c r="AXY18" s="57"/>
      <c r="AXZ18" s="58"/>
      <c r="AYA18" s="56"/>
      <c r="AYB18" s="57"/>
      <c r="AYC18" s="57"/>
      <c r="AYD18" s="57"/>
      <c r="AYE18" s="56"/>
      <c r="AYF18" s="57"/>
      <c r="AYG18" s="57"/>
      <c r="AYH18" s="57"/>
      <c r="AYI18" s="57"/>
      <c r="AYJ18" s="57"/>
      <c r="AYK18" s="56"/>
      <c r="AYL18" s="57"/>
      <c r="AYM18" s="57"/>
      <c r="AYN18" s="56"/>
      <c r="AYO18" s="57"/>
      <c r="AYP18" s="58"/>
      <c r="AYQ18" s="56"/>
      <c r="AYR18" s="57"/>
      <c r="AYS18" s="57"/>
      <c r="AYT18" s="57"/>
      <c r="AYU18" s="56"/>
      <c r="AYV18" s="57"/>
      <c r="AYW18" s="57"/>
      <c r="AYX18" s="56"/>
      <c r="AYY18" s="57"/>
      <c r="AYZ18" s="58"/>
      <c r="AZA18" s="56"/>
      <c r="AZB18" s="57"/>
      <c r="AZC18" s="57"/>
      <c r="AZD18" s="57"/>
      <c r="AZE18" s="56"/>
      <c r="AZF18" s="57"/>
      <c r="AZG18" s="57"/>
      <c r="AZH18" s="57"/>
      <c r="AZI18" s="57"/>
      <c r="AZJ18" s="57"/>
      <c r="AZK18" s="56"/>
      <c r="AZL18" s="57"/>
      <c r="AZM18" s="57"/>
      <c r="AZN18" s="56"/>
      <c r="AZO18" s="57"/>
      <c r="AZP18" s="58"/>
      <c r="AZQ18" s="56"/>
      <c r="AZR18" s="57"/>
      <c r="AZS18" s="57"/>
      <c r="AZT18" s="57"/>
      <c r="AZU18" s="56"/>
      <c r="AZV18" s="57"/>
      <c r="AZW18" s="57"/>
      <c r="AZX18" s="56"/>
      <c r="AZY18" s="57"/>
      <c r="AZZ18" s="58"/>
      <c r="BAA18" s="56"/>
      <c r="BAB18" s="57"/>
      <c r="BAC18" s="57"/>
      <c r="BAD18" s="57"/>
      <c r="BAE18" s="56"/>
      <c r="BAF18" s="57"/>
      <c r="BAG18" s="57"/>
      <c r="BAH18" s="57"/>
      <c r="BAI18" s="57"/>
      <c r="BAJ18" s="57"/>
      <c r="BAK18" s="56"/>
      <c r="BAL18" s="57"/>
      <c r="BAM18" s="57"/>
      <c r="BAN18" s="56"/>
      <c r="BAO18" s="57"/>
      <c r="BAP18" s="58"/>
      <c r="BAQ18" s="56"/>
      <c r="BAR18" s="57"/>
      <c r="BAS18" s="57"/>
      <c r="BAT18" s="57"/>
      <c r="BAU18" s="56"/>
      <c r="BAV18" s="57"/>
      <c r="BAW18" s="57"/>
      <c r="BAX18" s="56"/>
      <c r="BAY18" s="57"/>
      <c r="BAZ18" s="58"/>
      <c r="BBA18" s="56"/>
      <c r="BBB18" s="57"/>
      <c r="BBC18" s="57"/>
      <c r="BBD18" s="57"/>
      <c r="BBE18" s="56"/>
      <c r="BBF18" s="57"/>
      <c r="BBG18" s="57"/>
      <c r="BBH18" s="57"/>
      <c r="BBI18" s="57"/>
      <c r="BBJ18" s="57"/>
      <c r="BBK18" s="56"/>
      <c r="BBL18" s="57"/>
      <c r="BBM18" s="57"/>
      <c r="BBN18" s="56"/>
      <c r="BBO18" s="57"/>
      <c r="BBP18" s="58"/>
      <c r="BBQ18" s="56"/>
      <c r="BBR18" s="57"/>
      <c r="BBS18" s="57"/>
      <c r="BBT18" s="57"/>
      <c r="BBU18" s="56"/>
      <c r="BBV18" s="57"/>
      <c r="BBW18" s="57"/>
      <c r="BBX18" s="56"/>
      <c r="BBY18" s="57"/>
      <c r="BBZ18" s="58"/>
      <c r="BCA18" s="56"/>
      <c r="BCB18" s="57"/>
      <c r="BCC18" s="57"/>
      <c r="BCD18" s="57"/>
      <c r="BCE18" s="56"/>
      <c r="BCF18" s="57"/>
      <c r="BCG18" s="57"/>
      <c r="BCH18" s="57"/>
      <c r="BCI18" s="57"/>
      <c r="BCJ18" s="57"/>
      <c r="BCK18" s="56"/>
      <c r="BCL18" s="57"/>
      <c r="BCM18" s="57"/>
      <c r="BCN18" s="56"/>
      <c r="BCO18" s="57"/>
      <c r="BCP18" s="58"/>
      <c r="BCQ18" s="56"/>
      <c r="BCR18" s="57"/>
      <c r="BCS18" s="57"/>
      <c r="BCT18" s="57"/>
      <c r="BCU18" s="56"/>
      <c r="BCV18" s="57"/>
      <c r="BCW18" s="57"/>
      <c r="BCX18" s="56"/>
      <c r="BCY18" s="57"/>
      <c r="BCZ18" s="58"/>
      <c r="BDA18" s="56"/>
      <c r="BDB18" s="57"/>
      <c r="BDC18" s="57"/>
      <c r="BDD18" s="57"/>
      <c r="BDE18" s="56"/>
      <c r="BDF18" s="57"/>
      <c r="BDG18" s="57"/>
      <c r="BDH18" s="57"/>
      <c r="BDI18" s="57"/>
      <c r="BDJ18" s="57"/>
      <c r="BDK18" s="56"/>
      <c r="BDL18" s="57"/>
      <c r="BDM18" s="57"/>
      <c r="BDN18" s="56"/>
      <c r="BDO18" s="57"/>
      <c r="BDP18" s="58"/>
      <c r="BDQ18" s="56"/>
      <c r="BDR18" s="57"/>
      <c r="BDS18" s="57"/>
      <c r="BDT18" s="57"/>
      <c r="BDU18" s="56"/>
      <c r="BDV18" s="57"/>
      <c r="BDW18" s="57"/>
      <c r="BDX18" s="56"/>
      <c r="BDY18" s="57"/>
      <c r="BDZ18" s="58"/>
      <c r="BEA18" s="56"/>
      <c r="BEB18" s="57"/>
      <c r="BEC18" s="57"/>
      <c r="BED18" s="57"/>
      <c r="BEE18" s="56"/>
      <c r="BEF18" s="57"/>
      <c r="BEG18" s="57"/>
      <c r="BEH18" s="57"/>
      <c r="BEI18" s="57"/>
      <c r="BEJ18" s="57"/>
      <c r="BEK18" s="56"/>
      <c r="BEL18" s="57"/>
      <c r="BEM18" s="57"/>
      <c r="BEN18" s="56"/>
      <c r="BEO18" s="57"/>
      <c r="BEP18" s="58"/>
      <c r="BEQ18" s="56"/>
      <c r="BER18" s="57"/>
      <c r="BES18" s="57"/>
      <c r="BET18" s="57"/>
      <c r="BEU18" s="56"/>
      <c r="BEV18" s="57"/>
      <c r="BEW18" s="57"/>
      <c r="BEX18" s="56"/>
      <c r="BEY18" s="57"/>
      <c r="BEZ18" s="58"/>
      <c r="BFA18" s="56"/>
      <c r="BFB18" s="57"/>
      <c r="BFC18" s="57"/>
      <c r="BFD18" s="57"/>
      <c r="BFE18" s="56"/>
      <c r="BFF18" s="57"/>
      <c r="BFG18" s="57"/>
      <c r="BFH18" s="57"/>
      <c r="BFI18" s="57"/>
      <c r="BFJ18" s="57"/>
      <c r="BFK18" s="56"/>
      <c r="BFL18" s="57"/>
      <c r="BFM18" s="57"/>
      <c r="BFN18" s="56"/>
      <c r="BFO18" s="57"/>
      <c r="BFP18" s="58"/>
      <c r="BFQ18" s="56"/>
      <c r="BFR18" s="57"/>
      <c r="BFS18" s="57"/>
      <c r="BFT18" s="57"/>
      <c r="BFU18" s="56"/>
      <c r="BFV18" s="57"/>
      <c r="BFW18" s="57"/>
      <c r="BFX18" s="56"/>
      <c r="BFY18" s="57"/>
      <c r="BFZ18" s="58"/>
      <c r="BGA18" s="56"/>
      <c r="BGB18" s="57"/>
      <c r="BGC18" s="57"/>
      <c r="BGD18" s="57"/>
      <c r="BGE18" s="56"/>
      <c r="BGF18" s="57"/>
      <c r="BGG18" s="57"/>
      <c r="BGH18" s="57"/>
      <c r="BGI18" s="57"/>
      <c r="BGJ18" s="57"/>
      <c r="BGK18" s="56"/>
      <c r="BGL18" s="57"/>
      <c r="BGM18" s="57"/>
      <c r="BGN18" s="56"/>
      <c r="BGO18" s="57"/>
      <c r="BGP18" s="58"/>
      <c r="BGQ18" s="56"/>
      <c r="BGR18" s="57"/>
      <c r="BGS18" s="57"/>
      <c r="BGT18" s="57"/>
      <c r="BGU18" s="56"/>
      <c r="BGV18" s="57"/>
      <c r="BGW18" s="57"/>
      <c r="BGX18" s="56"/>
      <c r="BGY18" s="57"/>
      <c r="BGZ18" s="58"/>
      <c r="BHA18" s="56"/>
      <c r="BHB18" s="57"/>
      <c r="BHC18" s="57"/>
      <c r="BHD18" s="57"/>
      <c r="BHE18" s="56"/>
      <c r="BHF18" s="57"/>
      <c r="BHG18" s="57"/>
      <c r="BHH18" s="57"/>
      <c r="BHI18" s="57"/>
      <c r="BHJ18" s="57"/>
      <c r="BHK18" s="56"/>
      <c r="BHL18" s="57"/>
      <c r="BHM18" s="57"/>
      <c r="BHN18" s="56"/>
      <c r="BHO18" s="57"/>
      <c r="BHP18" s="58"/>
      <c r="BHQ18" s="56"/>
      <c r="BHR18" s="57"/>
      <c r="BHS18" s="57"/>
      <c r="BHT18" s="57"/>
      <c r="BHU18" s="56"/>
      <c r="BHV18" s="57"/>
      <c r="BHW18" s="57"/>
      <c r="BHX18" s="56"/>
      <c r="BHY18" s="57"/>
      <c r="BHZ18" s="58"/>
      <c r="BIA18" s="56"/>
      <c r="BIB18" s="57"/>
      <c r="BIC18" s="57"/>
      <c r="BID18" s="57"/>
      <c r="BIE18" s="56"/>
      <c r="BIF18" s="57"/>
      <c r="BIG18" s="57"/>
      <c r="BIH18" s="57"/>
      <c r="BII18" s="57"/>
      <c r="BIJ18" s="57"/>
      <c r="BIK18" s="56"/>
      <c r="BIL18" s="57"/>
      <c r="BIM18" s="57"/>
      <c r="BIN18" s="56"/>
      <c r="BIO18" s="57"/>
      <c r="BIP18" s="58"/>
      <c r="BIQ18" s="56"/>
      <c r="BIR18" s="57"/>
      <c r="BIS18" s="57"/>
      <c r="BIT18" s="57"/>
      <c r="BIU18" s="56"/>
      <c r="BIV18" s="57"/>
      <c r="BIW18" s="57"/>
      <c r="BIX18" s="56"/>
      <c r="BIY18" s="57"/>
      <c r="BIZ18" s="58"/>
      <c r="BJA18" s="56"/>
      <c r="BJB18" s="57"/>
      <c r="BJC18" s="57"/>
      <c r="BJD18" s="57"/>
      <c r="BJE18" s="56"/>
      <c r="BJF18" s="57"/>
      <c r="BJG18" s="57"/>
      <c r="BJH18" s="57"/>
      <c r="BJI18" s="57"/>
      <c r="BJJ18" s="57"/>
      <c r="BJK18" s="56"/>
      <c r="BJL18" s="57"/>
      <c r="BJM18" s="57"/>
      <c r="BJN18" s="56"/>
      <c r="BJO18" s="57"/>
      <c r="BJP18" s="58"/>
      <c r="BJQ18" s="56"/>
      <c r="BJR18" s="57"/>
      <c r="BJS18" s="57"/>
      <c r="BJT18" s="57"/>
      <c r="BJU18" s="56"/>
      <c r="BJV18" s="57"/>
      <c r="BJW18" s="57"/>
      <c r="BJX18" s="56"/>
      <c r="BJY18" s="57"/>
      <c r="BJZ18" s="58"/>
      <c r="BKA18" s="56"/>
      <c r="BKB18" s="57"/>
      <c r="BKC18" s="57"/>
      <c r="BKD18" s="57"/>
      <c r="BKE18" s="56"/>
      <c r="BKF18" s="57"/>
      <c r="BKG18" s="57"/>
      <c r="BKH18" s="57"/>
      <c r="BKI18" s="57"/>
      <c r="BKJ18" s="57"/>
      <c r="BKK18" s="56"/>
      <c r="BKL18" s="57"/>
      <c r="BKM18" s="57"/>
      <c r="BKN18" s="56"/>
      <c r="BKO18" s="57"/>
      <c r="BKP18" s="58"/>
      <c r="BKQ18" s="56"/>
      <c r="BKR18" s="57"/>
      <c r="BKS18" s="57"/>
      <c r="BKT18" s="57"/>
      <c r="BKU18" s="56"/>
      <c r="BKV18" s="57"/>
      <c r="BKW18" s="57"/>
      <c r="BKX18" s="56"/>
      <c r="BKY18" s="57"/>
      <c r="BKZ18" s="58"/>
      <c r="BLA18" s="56"/>
      <c r="BLB18" s="57"/>
      <c r="BLC18" s="57"/>
      <c r="BLD18" s="57"/>
      <c r="BLE18" s="56"/>
      <c r="BLF18" s="57"/>
      <c r="BLG18" s="57"/>
      <c r="BLH18" s="57"/>
      <c r="BLI18" s="57"/>
      <c r="BLJ18" s="57"/>
      <c r="BLK18" s="56"/>
      <c r="BLL18" s="57"/>
      <c r="BLM18" s="57"/>
      <c r="BLN18" s="56"/>
      <c r="BLO18" s="57"/>
      <c r="BLP18" s="58"/>
      <c r="BLQ18" s="56"/>
      <c r="BLR18" s="57"/>
      <c r="BLS18" s="57"/>
      <c r="BLT18" s="57"/>
      <c r="BLU18" s="56"/>
      <c r="BLV18" s="57"/>
      <c r="BLW18" s="57"/>
      <c r="BLX18" s="56"/>
      <c r="BLY18" s="57"/>
      <c r="BLZ18" s="58"/>
      <c r="BMA18" s="56"/>
      <c r="BMB18" s="57"/>
      <c r="BMC18" s="57"/>
      <c r="BMD18" s="57"/>
      <c r="BME18" s="56"/>
      <c r="BMF18" s="57"/>
      <c r="BMG18" s="57"/>
      <c r="BMH18" s="57"/>
      <c r="BMI18" s="57"/>
      <c r="BMJ18" s="57"/>
      <c r="BMK18" s="56"/>
      <c r="BML18" s="57"/>
      <c r="BMM18" s="57"/>
      <c r="BMN18" s="56"/>
      <c r="BMO18" s="57"/>
      <c r="BMP18" s="58"/>
      <c r="BMQ18" s="56"/>
      <c r="BMR18" s="57"/>
      <c r="BMS18" s="57"/>
      <c r="BMT18" s="57"/>
      <c r="BMU18" s="56"/>
      <c r="BMV18" s="57"/>
      <c r="BMW18" s="57"/>
      <c r="BMX18" s="56"/>
      <c r="BMY18" s="57"/>
      <c r="BMZ18" s="58"/>
      <c r="BNA18" s="56"/>
      <c r="BNB18" s="57"/>
      <c r="BNC18" s="57"/>
      <c r="BND18" s="57"/>
      <c r="BNE18" s="56"/>
      <c r="BNF18" s="57"/>
      <c r="BNG18" s="57"/>
      <c r="BNH18" s="57"/>
      <c r="BNI18" s="57"/>
      <c r="BNJ18" s="57"/>
      <c r="BNK18" s="56"/>
      <c r="BNL18" s="57"/>
      <c r="BNM18" s="57"/>
      <c r="BNN18" s="56"/>
      <c r="BNO18" s="57"/>
      <c r="BNP18" s="58"/>
      <c r="BNQ18" s="56"/>
      <c r="BNR18" s="57"/>
      <c r="BNS18" s="57"/>
      <c r="BNT18" s="57"/>
      <c r="BNU18" s="56"/>
      <c r="BNV18" s="57"/>
      <c r="BNW18" s="57"/>
      <c r="BNX18" s="56"/>
      <c r="BNY18" s="57"/>
      <c r="BNZ18" s="58"/>
      <c r="BOA18" s="56"/>
      <c r="BOB18" s="57"/>
      <c r="BOC18" s="57"/>
      <c r="BOD18" s="57"/>
      <c r="BOE18" s="56"/>
      <c r="BOF18" s="57"/>
      <c r="BOG18" s="57"/>
      <c r="BOH18" s="57"/>
      <c r="BOI18" s="57"/>
      <c r="BOJ18" s="57"/>
      <c r="BOK18" s="56"/>
      <c r="BOL18" s="57"/>
      <c r="BOM18" s="57"/>
      <c r="BON18" s="56"/>
      <c r="BOO18" s="57"/>
      <c r="BOP18" s="58"/>
      <c r="BOQ18" s="56"/>
      <c r="BOR18" s="57"/>
      <c r="BOS18" s="57"/>
      <c r="BOT18" s="57"/>
      <c r="BOU18" s="56"/>
      <c r="BOV18" s="57"/>
      <c r="BOW18" s="57"/>
      <c r="BOX18" s="56"/>
      <c r="BOY18" s="57"/>
      <c r="BOZ18" s="58"/>
      <c r="BPA18" s="56"/>
      <c r="BPB18" s="57"/>
      <c r="BPC18" s="57"/>
      <c r="BPD18" s="57"/>
      <c r="BPE18" s="56"/>
      <c r="BPF18" s="57"/>
      <c r="BPG18" s="57"/>
      <c r="BPH18" s="57"/>
      <c r="BPI18" s="57"/>
      <c r="BPJ18" s="57"/>
      <c r="BPK18" s="56"/>
      <c r="BPL18" s="57"/>
      <c r="BPM18" s="57"/>
      <c r="BPN18" s="56"/>
      <c r="BPO18" s="57"/>
      <c r="BPP18" s="58"/>
      <c r="BPQ18" s="56"/>
      <c r="BPR18" s="57"/>
      <c r="BPS18" s="57"/>
      <c r="BPT18" s="57"/>
      <c r="BPU18" s="56"/>
      <c r="BPV18" s="57"/>
      <c r="BPW18" s="57"/>
      <c r="BPX18" s="56"/>
      <c r="BPY18" s="57"/>
      <c r="BPZ18" s="58"/>
      <c r="BQA18" s="56"/>
      <c r="BQB18" s="57"/>
      <c r="BQC18" s="57"/>
      <c r="BQD18" s="57"/>
      <c r="BQE18" s="56"/>
      <c r="BQF18" s="57"/>
      <c r="BQG18" s="57"/>
      <c r="BQH18" s="57"/>
      <c r="BQI18" s="57"/>
      <c r="BQJ18" s="57"/>
      <c r="BQK18" s="56"/>
      <c r="BQL18" s="57"/>
      <c r="BQM18" s="57"/>
      <c r="BQN18" s="56"/>
      <c r="BQO18" s="57"/>
      <c r="BQP18" s="58"/>
      <c r="BQQ18" s="56"/>
      <c r="BQR18" s="57"/>
      <c r="BQS18" s="57"/>
      <c r="BQT18" s="57"/>
      <c r="BQU18" s="56"/>
      <c r="BQV18" s="57"/>
      <c r="BQW18" s="57"/>
      <c r="BQX18" s="56"/>
      <c r="BQY18" s="57"/>
      <c r="BQZ18" s="58"/>
      <c r="BRA18" s="56"/>
      <c r="BRB18" s="57"/>
      <c r="BRC18" s="57"/>
      <c r="BRD18" s="57"/>
      <c r="BRE18" s="56"/>
      <c r="BRF18" s="57"/>
      <c r="BRG18" s="57"/>
      <c r="BRH18" s="57"/>
      <c r="BRI18" s="57"/>
      <c r="BRJ18" s="57"/>
      <c r="BRK18" s="56"/>
      <c r="BRL18" s="57"/>
      <c r="BRM18" s="57"/>
      <c r="BRN18" s="56"/>
      <c r="BRO18" s="57"/>
      <c r="BRP18" s="58"/>
      <c r="BRQ18" s="56"/>
      <c r="BRR18" s="57"/>
      <c r="BRS18" s="57"/>
      <c r="BRT18" s="57"/>
      <c r="BRU18" s="56"/>
      <c r="BRV18" s="57"/>
      <c r="BRW18" s="57"/>
      <c r="BRX18" s="56"/>
      <c r="BRY18" s="57"/>
      <c r="BRZ18" s="58"/>
      <c r="BSA18" s="56"/>
      <c r="BSB18" s="57"/>
      <c r="BSC18" s="57"/>
      <c r="BSD18" s="57"/>
      <c r="BSE18" s="56"/>
      <c r="BSF18" s="57"/>
      <c r="BSG18" s="57"/>
      <c r="BSH18" s="57"/>
      <c r="BSI18" s="57"/>
      <c r="BSJ18" s="57"/>
      <c r="BSK18" s="56"/>
      <c r="BSL18" s="57"/>
      <c r="BSM18" s="57"/>
      <c r="BSN18" s="56"/>
      <c r="BSO18" s="57"/>
      <c r="BSP18" s="58"/>
      <c r="BSQ18" s="56"/>
      <c r="BSR18" s="57"/>
      <c r="BSS18" s="57"/>
      <c r="BST18" s="57"/>
      <c r="BSU18" s="56"/>
      <c r="BSV18" s="57"/>
      <c r="BSW18" s="57"/>
      <c r="BSX18" s="56"/>
      <c r="BSY18" s="57"/>
      <c r="BSZ18" s="58"/>
      <c r="BTA18" s="56"/>
      <c r="BTB18" s="57"/>
      <c r="BTC18" s="57"/>
      <c r="BTD18" s="57"/>
      <c r="BTE18" s="56"/>
      <c r="BTF18" s="57"/>
      <c r="BTG18" s="57"/>
      <c r="BTH18" s="57"/>
      <c r="BTI18" s="57"/>
      <c r="BTJ18" s="57"/>
      <c r="BTK18" s="56"/>
      <c r="BTL18" s="57"/>
      <c r="BTM18" s="57"/>
      <c r="BTN18" s="56"/>
      <c r="BTO18" s="57"/>
      <c r="BTP18" s="58"/>
      <c r="BTQ18" s="56"/>
      <c r="BTR18" s="57"/>
      <c r="BTS18" s="57"/>
      <c r="BTT18" s="57"/>
      <c r="BTU18" s="56"/>
      <c r="BTV18" s="57"/>
      <c r="BTW18" s="57"/>
      <c r="BTX18" s="56"/>
      <c r="BTY18" s="57"/>
      <c r="BTZ18" s="58"/>
      <c r="BUA18" s="56"/>
      <c r="BUB18" s="57"/>
      <c r="BUC18" s="57"/>
      <c r="BUD18" s="57"/>
      <c r="BUE18" s="56"/>
      <c r="BUF18" s="57"/>
      <c r="BUG18" s="57"/>
      <c r="BUH18" s="57"/>
      <c r="BUI18" s="57"/>
      <c r="BUJ18" s="57"/>
      <c r="BUK18" s="56"/>
      <c r="BUL18" s="57"/>
      <c r="BUM18" s="57"/>
      <c r="BUN18" s="56"/>
      <c r="BUO18" s="57"/>
      <c r="BUP18" s="58"/>
      <c r="BUQ18" s="56"/>
      <c r="BUR18" s="57"/>
      <c r="BUS18" s="57"/>
      <c r="BUT18" s="57"/>
      <c r="BUU18" s="56"/>
      <c r="BUV18" s="57"/>
      <c r="BUW18" s="57"/>
      <c r="BUX18" s="56"/>
      <c r="BUY18" s="57"/>
      <c r="BUZ18" s="58"/>
      <c r="BVA18" s="56"/>
      <c r="BVB18" s="57"/>
      <c r="BVC18" s="57"/>
      <c r="BVD18" s="57"/>
      <c r="BVE18" s="56"/>
      <c r="BVF18" s="57"/>
      <c r="BVG18" s="57"/>
      <c r="BVH18" s="57"/>
      <c r="BVI18" s="57"/>
      <c r="BVJ18" s="57"/>
      <c r="BVK18" s="56"/>
      <c r="BVL18" s="57"/>
      <c r="BVM18" s="57"/>
      <c r="BVN18" s="56"/>
      <c r="BVO18" s="57"/>
      <c r="BVP18" s="58"/>
      <c r="BVQ18" s="56"/>
      <c r="BVR18" s="57"/>
      <c r="BVS18" s="57"/>
      <c r="BVT18" s="57"/>
      <c r="BVU18" s="56"/>
      <c r="BVV18" s="57"/>
      <c r="BVW18" s="57"/>
      <c r="BVX18" s="56"/>
      <c r="BVY18" s="57"/>
      <c r="BVZ18" s="58"/>
      <c r="BWA18" s="56"/>
      <c r="BWB18" s="57"/>
      <c r="BWC18" s="57"/>
      <c r="BWD18" s="57"/>
      <c r="BWE18" s="56"/>
      <c r="BWF18" s="57"/>
      <c r="BWG18" s="57"/>
      <c r="BWH18" s="57"/>
      <c r="BWI18" s="57"/>
      <c r="BWJ18" s="57"/>
      <c r="BWK18" s="56"/>
      <c r="BWL18" s="57"/>
      <c r="BWM18" s="57"/>
      <c r="BWN18" s="56"/>
      <c r="BWO18" s="57"/>
      <c r="BWP18" s="58"/>
      <c r="BWQ18" s="56"/>
      <c r="BWR18" s="57"/>
      <c r="BWS18" s="57"/>
      <c r="BWT18" s="57"/>
      <c r="BWU18" s="56"/>
      <c r="BWV18" s="57"/>
      <c r="BWW18" s="57"/>
      <c r="BWX18" s="56"/>
      <c r="BWY18" s="57"/>
      <c r="BWZ18" s="58"/>
      <c r="BXA18" s="56"/>
      <c r="BXB18" s="57"/>
      <c r="BXC18" s="57"/>
      <c r="BXD18" s="57"/>
      <c r="BXE18" s="56"/>
      <c r="BXF18" s="57"/>
      <c r="BXG18" s="57"/>
      <c r="BXH18" s="57"/>
      <c r="BXI18" s="57"/>
      <c r="BXJ18" s="57"/>
      <c r="BXK18" s="56"/>
      <c r="BXL18" s="57"/>
      <c r="BXM18" s="57"/>
      <c r="BXN18" s="56"/>
      <c r="BXO18" s="57"/>
      <c r="BXP18" s="58"/>
      <c r="BXQ18" s="56"/>
      <c r="BXR18" s="57"/>
      <c r="BXS18" s="57"/>
      <c r="BXT18" s="57"/>
      <c r="BXU18" s="56"/>
      <c r="BXV18" s="57"/>
      <c r="BXW18" s="57"/>
      <c r="BXX18" s="56"/>
      <c r="BXY18" s="57"/>
      <c r="BXZ18" s="58"/>
      <c r="BYA18" s="56"/>
      <c r="BYB18" s="57"/>
      <c r="BYC18" s="57"/>
      <c r="BYD18" s="57"/>
      <c r="BYE18" s="56"/>
      <c r="BYF18" s="57"/>
      <c r="BYG18" s="57"/>
      <c r="BYH18" s="57"/>
      <c r="BYI18" s="57"/>
      <c r="BYJ18" s="57"/>
      <c r="BYK18" s="56"/>
      <c r="BYL18" s="57"/>
      <c r="BYM18" s="57"/>
      <c r="BYN18" s="56"/>
      <c r="BYO18" s="57"/>
      <c r="BYP18" s="58"/>
      <c r="BYQ18" s="56"/>
      <c r="BYR18" s="57"/>
      <c r="BYS18" s="57"/>
      <c r="BYT18" s="57"/>
      <c r="BYU18" s="56"/>
      <c r="BYV18" s="57"/>
      <c r="BYW18" s="57"/>
      <c r="BYX18" s="58"/>
      <c r="BYY18" s="57"/>
      <c r="BYZ18" s="56"/>
      <c r="BZA18" s="57"/>
      <c r="BZB18" s="56"/>
      <c r="BZC18" s="56"/>
      <c r="BZD18" s="56"/>
      <c r="BZE18" s="57"/>
      <c r="BZF18" s="386"/>
      <c r="BZG18" s="57"/>
      <c r="BZH18" s="386"/>
      <c r="BZI18" s="57"/>
      <c r="BZJ18" s="386"/>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8"/>
      <c r="CAQ18" s="56"/>
      <c r="CAR18" s="57"/>
      <c r="CAS18" s="57"/>
      <c r="CAT18" s="57"/>
      <c r="CAU18" s="57"/>
      <c r="CAV18" s="57"/>
      <c r="CAW18" s="56"/>
      <c r="CAX18" s="57"/>
      <c r="CAY18" s="57"/>
      <c r="CAZ18" s="56"/>
      <c r="CBA18" s="57"/>
      <c r="CBB18" s="58"/>
      <c r="CBC18" s="56"/>
      <c r="CBD18" s="57"/>
      <c r="CBE18" s="57"/>
      <c r="CBF18" s="57"/>
      <c r="CBG18" s="56"/>
      <c r="CBH18" s="57"/>
      <c r="CBI18" s="57"/>
      <c r="CBJ18" s="56"/>
      <c r="CBK18" s="57"/>
      <c r="CBL18" s="58"/>
      <c r="CBM18" s="56"/>
      <c r="CBN18" s="57"/>
      <c r="CBO18" s="57"/>
      <c r="CBP18" s="57"/>
      <c r="CBQ18" s="56"/>
      <c r="CBR18" s="57"/>
      <c r="CBS18" s="57"/>
      <c r="CBT18" s="56"/>
      <c r="CBU18" s="57"/>
      <c r="CBV18" s="58"/>
      <c r="CBW18" s="56"/>
      <c r="CBX18" s="57"/>
      <c r="CBY18" s="57"/>
      <c r="CBZ18" s="57"/>
      <c r="CCA18" s="56"/>
      <c r="CCB18" s="57"/>
      <c r="CCC18" s="57"/>
      <c r="CCD18" s="56"/>
      <c r="CCE18" s="57"/>
      <c r="CCF18" s="58"/>
      <c r="CCG18" s="56"/>
      <c r="CCH18" s="58"/>
      <c r="CCI18" s="57"/>
      <c r="CCJ18" s="56"/>
      <c r="CCK18" s="57"/>
      <c r="CCL18" s="56"/>
      <c r="CCM18" s="56"/>
      <c r="CCN18" s="56"/>
      <c r="CCO18" s="57"/>
      <c r="CCP18" s="386"/>
      <c r="CCQ18" s="57"/>
      <c r="CCR18" s="386"/>
      <c r="CCS18" s="57"/>
      <c r="CCT18" s="386"/>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8"/>
      <c r="CEA18" s="56"/>
      <c r="CEB18" s="57"/>
      <c r="CEC18" s="57"/>
      <c r="CED18" s="57"/>
      <c r="CEE18" s="57"/>
      <c r="CEF18" s="57"/>
      <c r="CEG18" s="56"/>
      <c r="CEH18" s="57"/>
      <c r="CEI18" s="57"/>
      <c r="CEJ18" s="56"/>
      <c r="CEK18" s="57"/>
      <c r="CEL18" s="58"/>
      <c r="CEM18" s="56"/>
      <c r="CEN18" s="57"/>
      <c r="CEO18" s="57"/>
      <c r="CEP18" s="57"/>
      <c r="CEQ18" s="56"/>
      <c r="CER18" s="57"/>
      <c r="CES18" s="57"/>
      <c r="CET18" s="56"/>
      <c r="CEU18" s="57"/>
      <c r="CEV18" s="58"/>
      <c r="CEW18" s="56"/>
      <c r="CEX18" s="57"/>
      <c r="CEY18" s="57"/>
      <c r="CEZ18" s="57"/>
      <c r="CFA18" s="56"/>
      <c r="CFB18" s="57"/>
      <c r="CFC18" s="57"/>
      <c r="CFD18" s="56"/>
      <c r="CFE18" s="57"/>
      <c r="CFF18" s="58"/>
      <c r="CFG18" s="56"/>
      <c r="CFH18" s="57"/>
      <c r="CFI18" s="57"/>
      <c r="CFJ18" s="57"/>
      <c r="CFK18" s="56"/>
      <c r="CFL18" s="57"/>
      <c r="CFM18" s="57"/>
      <c r="CFN18" s="56"/>
      <c r="CFO18" s="57"/>
      <c r="CFP18" s="58"/>
      <c r="CFQ18" s="56"/>
      <c r="CFR18" s="58"/>
      <c r="CFS18" s="57"/>
      <c r="CFT18" s="56"/>
      <c r="CFU18" s="57"/>
      <c r="CFV18" s="56"/>
      <c r="CFW18" s="56"/>
      <c r="CFX18" s="56"/>
      <c r="CFY18" s="57"/>
      <c r="CFZ18" s="386"/>
      <c r="CGA18" s="57"/>
      <c r="CGB18" s="386"/>
      <c r="CGC18" s="57"/>
      <c r="CGD18" s="386"/>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8"/>
      <c r="CHK18" s="56"/>
      <c r="CHL18" s="57"/>
      <c r="CHM18" s="57"/>
      <c r="CHN18" s="57"/>
      <c r="CHO18" s="57"/>
      <c r="CHP18" s="57"/>
      <c r="CHQ18" s="56"/>
      <c r="CHR18" s="57"/>
      <c r="CHS18" s="57"/>
      <c r="CHT18" s="56"/>
      <c r="CHU18" s="57"/>
      <c r="CHV18" s="58"/>
      <c r="CHW18" s="56"/>
      <c r="CHX18" s="57"/>
      <c r="CHY18" s="57"/>
      <c r="CHZ18" s="57"/>
      <c r="CIA18" s="56"/>
      <c r="CIB18" s="57"/>
      <c r="CIC18" s="57"/>
      <c r="CID18" s="56"/>
      <c r="CIE18" s="57"/>
      <c r="CIF18" s="58"/>
      <c r="CIG18" s="56"/>
      <c r="CIH18" s="57"/>
      <c r="CII18" s="57"/>
      <c r="CIJ18" s="57"/>
      <c r="CIK18" s="56"/>
      <c r="CIL18" s="57"/>
      <c r="CIM18" s="57"/>
      <c r="CIN18" s="56"/>
      <c r="CIO18" s="57"/>
      <c r="CIP18" s="58"/>
      <c r="CIQ18" s="56"/>
      <c r="CIR18" s="57"/>
      <c r="CIS18" s="57"/>
      <c r="CIT18" s="57"/>
      <c r="CIU18" s="56"/>
      <c r="CIV18" s="57"/>
      <c r="CIW18" s="57"/>
      <c r="CIX18" s="56"/>
      <c r="CIY18" s="57"/>
      <c r="CIZ18" s="58"/>
      <c r="CJA18" s="56"/>
      <c r="CJB18" s="58"/>
      <c r="CJC18" s="57"/>
      <c r="CJD18" s="56"/>
      <c r="CJE18" s="57"/>
      <c r="CJF18" s="56"/>
      <c r="CJG18" s="56"/>
      <c r="CJH18" s="56"/>
      <c r="CJI18" s="57"/>
      <c r="CJJ18" s="386"/>
      <c r="CJK18" s="57"/>
      <c r="CJL18" s="386"/>
      <c r="CJM18" s="57"/>
      <c r="CJN18" s="386"/>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8"/>
      <c r="CKU18" s="56"/>
      <c r="CKV18" s="57"/>
      <c r="CKW18" s="57"/>
      <c r="CKX18" s="57"/>
      <c r="CKY18" s="57"/>
      <c r="CKZ18" s="57"/>
      <c r="CLA18" s="56"/>
      <c r="CLB18" s="57"/>
      <c r="CLC18" s="57"/>
      <c r="CLD18" s="56"/>
      <c r="CLE18" s="57"/>
      <c r="CLF18" s="58"/>
      <c r="CLG18" s="56"/>
      <c r="CLH18" s="57"/>
      <c r="CLI18" s="57"/>
      <c r="CLJ18" s="57"/>
      <c r="CLK18" s="56"/>
      <c r="CLL18" s="57"/>
      <c r="CLM18" s="57"/>
      <c r="CLN18" s="56"/>
      <c r="CLO18" s="57"/>
      <c r="CLP18" s="58"/>
      <c r="CLQ18" s="56"/>
      <c r="CLR18" s="57"/>
      <c r="CLS18" s="57"/>
      <c r="CLT18" s="57"/>
      <c r="CLU18" s="56"/>
      <c r="CLV18" s="57"/>
      <c r="CLW18" s="57"/>
      <c r="CLX18" s="56"/>
      <c r="CLY18" s="57"/>
      <c r="CLZ18" s="58"/>
      <c r="CMA18" s="56"/>
      <c r="CMB18" s="57"/>
      <c r="CMC18" s="57"/>
      <c r="CMD18" s="57"/>
      <c r="CME18" s="56"/>
      <c r="CMF18" s="57"/>
      <c r="CMG18" s="57"/>
      <c r="CMH18" s="56"/>
      <c r="CMI18" s="57"/>
      <c r="CMJ18" s="58"/>
      <c r="CMK18" s="56"/>
      <c r="CML18" s="58"/>
      <c r="CMM18" s="57"/>
      <c r="CMN18" s="56"/>
      <c r="CMO18" s="57"/>
      <c r="CMP18" s="56"/>
      <c r="CMQ18" s="56"/>
      <c r="CMR18" s="56"/>
      <c r="CMS18" s="57"/>
      <c r="CMT18" s="386"/>
      <c r="CMU18" s="57"/>
      <c r="CMV18" s="386"/>
      <c r="CMW18" s="57"/>
      <c r="CMX18" s="386"/>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8"/>
      <c r="COE18" s="56"/>
      <c r="COF18" s="57"/>
      <c r="COG18" s="57"/>
      <c r="COH18" s="57"/>
      <c r="COI18" s="57"/>
      <c r="COJ18" s="57"/>
      <c r="COK18" s="56"/>
      <c r="COL18" s="57"/>
      <c r="COM18" s="57"/>
      <c r="CON18" s="56"/>
      <c r="COO18" s="57"/>
      <c r="COP18" s="58"/>
      <c r="COQ18" s="56"/>
      <c r="COR18" s="57"/>
      <c r="COS18" s="57"/>
      <c r="COT18" s="57"/>
      <c r="COU18" s="56"/>
      <c r="COV18" s="57"/>
      <c r="COW18" s="57"/>
      <c r="COX18" s="56"/>
      <c r="COY18" s="57"/>
      <c r="COZ18" s="58"/>
      <c r="CPA18" s="56"/>
      <c r="CPB18" s="57"/>
      <c r="CPC18" s="57"/>
      <c r="CPD18" s="57"/>
      <c r="CPE18" s="56"/>
      <c r="CPF18" s="57"/>
      <c r="CPG18" s="57"/>
      <c r="CPH18" s="56"/>
      <c r="CPI18" s="57"/>
      <c r="CPJ18" s="58"/>
      <c r="CPK18" s="56"/>
      <c r="CPL18" s="57"/>
      <c r="CPM18" s="57"/>
      <c r="CPN18" s="57"/>
      <c r="CPO18" s="56"/>
      <c r="CPP18" s="57"/>
      <c r="CPQ18" s="57"/>
      <c r="CPR18" s="56"/>
      <c r="CPS18" s="57"/>
      <c r="CPT18" s="58"/>
      <c r="CPU18" s="56"/>
      <c r="CPV18" s="58"/>
      <c r="CPW18" s="57"/>
      <c r="CPX18" s="56"/>
      <c r="CPY18" s="57"/>
      <c r="CPZ18" s="56"/>
      <c r="CQA18" s="56"/>
      <c r="CQB18" s="56"/>
      <c r="CQC18" s="57"/>
      <c r="CQD18" s="386"/>
      <c r="CQE18" s="57"/>
      <c r="CQF18" s="386"/>
      <c r="CQG18" s="57"/>
      <c r="CQH18" s="386"/>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8"/>
      <c r="CRO18" s="56"/>
      <c r="CRP18" s="57"/>
      <c r="CRQ18" s="57"/>
      <c r="CRR18" s="57"/>
      <c r="CRS18" s="57"/>
      <c r="CRT18" s="57"/>
      <c r="CRU18" s="56"/>
      <c r="CRV18" s="57"/>
      <c r="CRW18" s="57"/>
      <c r="CRX18" s="56"/>
      <c r="CRY18" s="57"/>
      <c r="CRZ18" s="58"/>
      <c r="CSA18" s="56"/>
      <c r="CSB18" s="57"/>
      <c r="CSC18" s="57"/>
      <c r="CSD18" s="57"/>
      <c r="CSE18" s="56"/>
      <c r="CSF18" s="57"/>
      <c r="CSG18" s="57"/>
      <c r="CSH18" s="56"/>
      <c r="CSI18" s="57"/>
      <c r="CSJ18" s="58"/>
      <c r="CSK18" s="56"/>
      <c r="CSL18" s="57"/>
      <c r="CSM18" s="57"/>
      <c r="CSN18" s="57"/>
      <c r="CSO18" s="56"/>
      <c r="CSP18" s="57"/>
      <c r="CSQ18" s="57"/>
      <c r="CSR18" s="56"/>
      <c r="CSS18" s="57"/>
      <c r="CST18" s="58"/>
      <c r="CSU18" s="56"/>
      <c r="CSV18" s="57"/>
      <c r="CSW18" s="57"/>
      <c r="CSX18" s="57"/>
      <c r="CSY18" s="56"/>
      <c r="CSZ18" s="57"/>
      <c r="CTA18" s="57"/>
      <c r="CTB18" s="56"/>
      <c r="CTC18" s="57"/>
      <c r="CTD18" s="58"/>
      <c r="CTE18" s="56"/>
      <c r="CTF18" s="58"/>
      <c r="CTG18" s="57"/>
      <c r="CTH18" s="56"/>
      <c r="CTI18" s="57"/>
      <c r="CTJ18" s="56"/>
      <c r="CTK18" s="56"/>
      <c r="CTL18" s="56"/>
      <c r="CTM18" s="57"/>
      <c r="CTN18" s="386"/>
      <c r="CTO18" s="57"/>
      <c r="CTP18" s="386"/>
      <c r="CTQ18" s="57"/>
      <c r="CTR18" s="386"/>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8"/>
      <c r="CUY18" s="56"/>
      <c r="CUZ18" s="57"/>
      <c r="CVA18" s="57"/>
      <c r="CVB18" s="57"/>
      <c r="CVC18" s="57"/>
      <c r="CVD18" s="57"/>
      <c r="CVE18" s="56"/>
      <c r="CVF18" s="57"/>
      <c r="CVG18" s="57"/>
      <c r="CVH18" s="56"/>
      <c r="CVI18" s="57"/>
      <c r="CVJ18" s="58"/>
      <c r="CVK18" s="56"/>
      <c r="CVL18" s="57"/>
      <c r="CVM18" s="57"/>
      <c r="CVN18" s="57"/>
      <c r="CVO18" s="56"/>
      <c r="CVP18" s="57"/>
      <c r="CVQ18" s="57"/>
      <c r="CVR18" s="56"/>
      <c r="CVS18" s="57"/>
      <c r="CVT18" s="58"/>
      <c r="CVU18" s="56"/>
      <c r="CVV18" s="57"/>
      <c r="CVW18" s="57"/>
      <c r="CVX18" s="57"/>
      <c r="CVY18" s="56"/>
      <c r="CVZ18" s="57"/>
      <c r="CWA18" s="57"/>
      <c r="CWB18" s="56"/>
      <c r="CWC18" s="57"/>
      <c r="CWD18" s="58"/>
      <c r="CWE18" s="56"/>
      <c r="CWF18" s="57"/>
      <c r="CWG18" s="57"/>
      <c r="CWH18" s="57"/>
      <c r="CWI18" s="56"/>
      <c r="CWJ18" s="57"/>
      <c r="CWK18" s="57"/>
      <c r="CWL18" s="56"/>
      <c r="CWM18" s="57"/>
      <c r="CWN18" s="58"/>
      <c r="CWO18" s="56"/>
      <c r="CWP18" s="58"/>
      <c r="CWQ18" s="57"/>
      <c r="CWR18" s="56"/>
      <c r="CWS18" s="57"/>
      <c r="CWT18" s="56"/>
      <c r="CWU18" s="56"/>
      <c r="CWV18" s="56"/>
      <c r="CWW18" s="57"/>
      <c r="CWX18" s="386"/>
      <c r="CWY18" s="57"/>
      <c r="CWZ18" s="386"/>
      <c r="CXA18" s="57"/>
      <c r="CXB18" s="386"/>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8"/>
      <c r="CYI18" s="56"/>
      <c r="CYJ18" s="57"/>
      <c r="CYK18" s="57"/>
      <c r="CYL18" s="57"/>
      <c r="CYM18" s="57"/>
      <c r="CYN18" s="57"/>
      <c r="CYO18" s="56"/>
      <c r="CYP18" s="57"/>
      <c r="CYQ18" s="57"/>
      <c r="CYR18" s="56"/>
      <c r="CYS18" s="57"/>
      <c r="CYT18" s="58"/>
      <c r="CYU18" s="56"/>
      <c r="CYV18" s="57"/>
      <c r="CYW18" s="57"/>
      <c r="CYX18" s="57"/>
      <c r="CYY18" s="56"/>
      <c r="CYZ18" s="57"/>
      <c r="CZA18" s="57"/>
      <c r="CZB18" s="56"/>
      <c r="CZC18" s="57"/>
      <c r="CZD18" s="58"/>
      <c r="CZE18" s="56"/>
      <c r="CZF18" s="57"/>
      <c r="CZG18" s="57"/>
      <c r="CZH18" s="57"/>
      <c r="CZI18" s="56"/>
      <c r="CZJ18" s="57"/>
      <c r="CZK18" s="57"/>
      <c r="CZL18" s="56"/>
      <c r="CZM18" s="57"/>
      <c r="CZN18" s="58"/>
      <c r="CZO18" s="56"/>
      <c r="CZP18" s="57"/>
      <c r="CZQ18" s="57"/>
      <c r="CZR18" s="57"/>
      <c r="CZS18" s="56"/>
      <c r="CZT18" s="57"/>
      <c r="CZU18" s="57"/>
      <c r="CZV18" s="56"/>
      <c r="CZW18" s="57"/>
      <c r="CZX18" s="58"/>
      <c r="CZY18" s="56"/>
      <c r="CZZ18" s="58"/>
      <c r="DAA18" s="57"/>
      <c r="DAB18" s="56"/>
      <c r="DAC18" s="57"/>
      <c r="DAD18" s="56"/>
      <c r="DAE18" s="56"/>
      <c r="DAF18" s="56"/>
      <c r="DAG18" s="57"/>
      <c r="DAH18" s="386"/>
      <c r="DAI18" s="57"/>
      <c r="DAJ18" s="386"/>
      <c r="DAK18" s="57"/>
      <c r="DAL18" s="386"/>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8"/>
      <c r="DBS18" s="56"/>
      <c r="DBT18" s="57"/>
      <c r="DBU18" s="57"/>
      <c r="DBV18" s="57"/>
      <c r="DBW18" s="57"/>
      <c r="DBX18" s="57"/>
      <c r="DBY18" s="56"/>
      <c r="DBZ18" s="57"/>
      <c r="DCA18" s="57"/>
      <c r="DCB18" s="56"/>
      <c r="DCC18" s="57"/>
      <c r="DCD18" s="58"/>
      <c r="DCE18" s="56"/>
      <c r="DCF18" s="57"/>
      <c r="DCG18" s="57"/>
      <c r="DCH18" s="57"/>
      <c r="DCI18" s="56"/>
      <c r="DCJ18" s="57"/>
      <c r="DCK18" s="57"/>
      <c r="DCL18" s="56"/>
      <c r="DCM18" s="57"/>
      <c r="DCN18" s="58"/>
      <c r="DCO18" s="56"/>
      <c r="DCP18" s="57"/>
      <c r="DCQ18" s="57"/>
      <c r="DCR18" s="57"/>
      <c r="DCS18" s="56"/>
      <c r="DCT18" s="57"/>
      <c r="DCU18" s="57"/>
      <c r="DCV18" s="56"/>
      <c r="DCW18" s="57"/>
      <c r="DCX18" s="58"/>
      <c r="DCY18" s="56"/>
      <c r="DCZ18" s="57"/>
      <c r="DDA18" s="57"/>
      <c r="DDB18" s="57"/>
      <c r="DDC18" s="56"/>
      <c r="DDD18" s="57"/>
      <c r="DDE18" s="57"/>
      <c r="DDF18" s="56"/>
      <c r="DDG18" s="57"/>
      <c r="DDH18" s="58"/>
      <c r="DDI18" s="56"/>
      <c r="DDJ18" s="58"/>
      <c r="DDK18" s="57"/>
      <c r="DDL18" s="56"/>
      <c r="DDM18" s="57"/>
      <c r="DDN18" s="56"/>
      <c r="DDO18" s="56"/>
      <c r="DDP18" s="56"/>
      <c r="DDQ18" s="57"/>
      <c r="DDR18" s="386"/>
      <c r="DDS18" s="57"/>
      <c r="DDT18" s="386"/>
      <c r="DDU18" s="57"/>
      <c r="DDV18" s="386"/>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8"/>
      <c r="DFC18" s="56"/>
      <c r="DFD18" s="57"/>
      <c r="DFE18" s="57"/>
      <c r="DFF18" s="57"/>
      <c r="DFG18" s="57"/>
      <c r="DFH18" s="57"/>
      <c r="DFI18" s="56"/>
      <c r="DFJ18" s="57"/>
      <c r="DFK18" s="57"/>
      <c r="DFL18" s="56"/>
      <c r="DFM18" s="57"/>
      <c r="DFN18" s="58"/>
      <c r="DFO18" s="56"/>
      <c r="DFP18" s="57"/>
      <c r="DFQ18" s="57"/>
      <c r="DFR18" s="57"/>
      <c r="DFS18" s="56"/>
      <c r="DFT18" s="57"/>
      <c r="DFU18" s="57"/>
      <c r="DFV18" s="56"/>
      <c r="DFW18" s="57"/>
      <c r="DFX18" s="58"/>
      <c r="DFY18" s="56"/>
      <c r="DFZ18" s="57"/>
      <c r="DGA18" s="57"/>
      <c r="DGB18" s="57"/>
      <c r="DGC18" s="56"/>
      <c r="DGD18" s="57"/>
      <c r="DGE18" s="57"/>
      <c r="DGF18" s="56"/>
      <c r="DGG18" s="57"/>
      <c r="DGH18" s="58"/>
      <c r="DGI18" s="56"/>
      <c r="DGJ18" s="57"/>
      <c r="DGK18" s="57"/>
      <c r="DGL18" s="57"/>
      <c r="DGM18" s="56"/>
      <c r="DGN18" s="57"/>
      <c r="DGO18" s="57"/>
      <c r="DGP18" s="56"/>
      <c r="DGQ18" s="57"/>
      <c r="DGR18" s="58"/>
      <c r="DGS18" s="56"/>
      <c r="DGT18" s="58"/>
      <c r="DGU18" s="57"/>
      <c r="DGV18" s="56"/>
      <c r="DGW18" s="57"/>
      <c r="DGX18" s="56"/>
      <c r="DGY18" s="56"/>
      <c r="DGZ18" s="56"/>
      <c r="DHA18" s="57"/>
      <c r="DHB18" s="386"/>
      <c r="DHC18" s="57"/>
      <c r="DHD18" s="386"/>
      <c r="DHE18" s="57"/>
      <c r="DHF18" s="386"/>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8"/>
      <c r="DIM18" s="56"/>
      <c r="DIN18" s="57"/>
      <c r="DIO18" s="57"/>
      <c r="DIP18" s="57"/>
      <c r="DIQ18" s="57"/>
      <c r="DIR18" s="57"/>
      <c r="DIS18" s="56"/>
      <c r="DIT18" s="57"/>
      <c r="DIU18" s="57"/>
      <c r="DIV18" s="56"/>
      <c r="DIW18" s="57"/>
      <c r="DIX18" s="58"/>
      <c r="DIY18" s="56"/>
      <c r="DIZ18" s="57"/>
      <c r="DJA18" s="57"/>
      <c r="DJB18" s="57"/>
      <c r="DJC18" s="56"/>
      <c r="DJD18" s="57"/>
      <c r="DJE18" s="57"/>
      <c r="DJF18" s="56"/>
      <c r="DJG18" s="57"/>
      <c r="DJH18" s="58"/>
      <c r="DJI18" s="56"/>
      <c r="DJJ18" s="57"/>
      <c r="DJK18" s="57"/>
      <c r="DJL18" s="57"/>
      <c r="DJM18" s="56"/>
      <c r="DJN18" s="57"/>
      <c r="DJO18" s="57"/>
      <c r="DJP18" s="56"/>
      <c r="DJQ18" s="57"/>
      <c r="DJR18" s="58"/>
      <c r="DJS18" s="56"/>
      <c r="DJT18" s="57"/>
      <c r="DJU18" s="57"/>
      <c r="DJV18" s="57"/>
      <c r="DJW18" s="56"/>
      <c r="DJX18" s="57"/>
      <c r="DJY18" s="57"/>
      <c r="DJZ18" s="56"/>
      <c r="DKA18" s="57"/>
      <c r="DKB18" s="58"/>
      <c r="DKC18" s="56"/>
      <c r="DKD18" s="58"/>
      <c r="DKE18" s="57"/>
      <c r="DKF18" s="56"/>
      <c r="DKG18" s="57"/>
      <c r="DKH18" s="56"/>
      <c r="DKI18" s="56"/>
      <c r="DKJ18" s="56"/>
      <c r="DKK18" s="57"/>
      <c r="DKL18" s="386"/>
      <c r="DKM18" s="57"/>
      <c r="DKN18" s="386"/>
      <c r="DKO18" s="57"/>
      <c r="DKP18" s="386"/>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8"/>
      <c r="DLW18" s="56"/>
      <c r="DLX18" s="57"/>
      <c r="DLY18" s="57"/>
      <c r="DLZ18" s="57"/>
      <c r="DMA18" s="57"/>
      <c r="DMB18" s="57"/>
      <c r="DMC18" s="56"/>
      <c r="DMD18" s="57"/>
      <c r="DME18" s="57"/>
      <c r="DMF18" s="56"/>
      <c r="DMG18" s="57"/>
      <c r="DMH18" s="58"/>
      <c r="DMI18" s="56"/>
      <c r="DMJ18" s="57"/>
      <c r="DMK18" s="57"/>
      <c r="DML18" s="57"/>
      <c r="DMM18" s="56"/>
      <c r="DMN18" s="57"/>
      <c r="DMO18" s="57"/>
      <c r="DMP18" s="56"/>
      <c r="DMQ18" s="57"/>
      <c r="DMR18" s="58"/>
      <c r="DMS18" s="56"/>
      <c r="DMT18" s="57"/>
      <c r="DMU18" s="57"/>
      <c r="DMV18" s="57"/>
      <c r="DMW18" s="56"/>
      <c r="DMX18" s="57"/>
      <c r="DMY18" s="57"/>
      <c r="DMZ18" s="56"/>
      <c r="DNA18" s="57"/>
      <c r="DNB18" s="58"/>
      <c r="DNC18" s="56"/>
      <c r="DND18" s="57"/>
      <c r="DNE18" s="57"/>
      <c r="DNF18" s="57"/>
      <c r="DNG18" s="56"/>
      <c r="DNH18" s="57"/>
      <c r="DNI18" s="57"/>
      <c r="DNJ18" s="56"/>
      <c r="DNK18" s="57"/>
      <c r="DNL18" s="58"/>
      <c r="DNM18" s="56"/>
      <c r="DNN18" s="58"/>
      <c r="DNO18" s="57"/>
      <c r="DNP18" s="56"/>
      <c r="DNQ18" s="57"/>
      <c r="DNR18" s="56"/>
      <c r="DNS18" s="56"/>
      <c r="DNT18" s="56"/>
      <c r="DNU18" s="57"/>
      <c r="DNV18" s="386"/>
      <c r="DNW18" s="57"/>
      <c r="DNX18" s="386"/>
      <c r="DNY18" s="57"/>
      <c r="DNZ18" s="386"/>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8"/>
      <c r="DPG18" s="56"/>
      <c r="DPH18" s="57"/>
      <c r="DPI18" s="57"/>
      <c r="DPJ18" s="57"/>
      <c r="DPK18" s="57"/>
      <c r="DPL18" s="57"/>
      <c r="DPM18" s="56"/>
      <c r="DPN18" s="57"/>
      <c r="DPO18" s="57"/>
      <c r="DPP18" s="56"/>
      <c r="DPQ18" s="57"/>
      <c r="DPR18" s="58"/>
      <c r="DPS18" s="56"/>
      <c r="DPT18" s="57"/>
      <c r="DPU18" s="57"/>
      <c r="DPV18" s="57"/>
      <c r="DPW18" s="56"/>
      <c r="DPX18" s="57"/>
      <c r="DPY18" s="57"/>
      <c r="DPZ18" s="56"/>
      <c r="DQA18" s="57"/>
      <c r="DQB18" s="58"/>
      <c r="DQC18" s="56"/>
      <c r="DQD18" s="57"/>
      <c r="DQE18" s="57"/>
      <c r="DQF18" s="57"/>
      <c r="DQG18" s="56"/>
      <c r="DQH18" s="57"/>
      <c r="DQI18" s="57"/>
      <c r="DQJ18" s="56"/>
      <c r="DQK18" s="57"/>
      <c r="DQL18" s="58"/>
      <c r="DQM18" s="56"/>
      <c r="DQN18" s="57"/>
      <c r="DQO18" s="57"/>
      <c r="DQP18" s="57"/>
      <c r="DQQ18" s="56"/>
      <c r="DQR18" s="57"/>
      <c r="DQS18" s="57"/>
      <c r="DQT18" s="56"/>
      <c r="DQU18" s="57"/>
      <c r="DQV18" s="58"/>
      <c r="DQW18" s="56"/>
      <c r="DQX18" s="58"/>
      <c r="DQY18" s="57"/>
      <c r="DQZ18" s="56"/>
      <c r="DRA18" s="57"/>
      <c r="DRB18" s="56"/>
      <c r="DRC18" s="56"/>
      <c r="DRD18" s="56"/>
      <c r="DRE18" s="57"/>
      <c r="DRF18" s="386"/>
      <c r="DRG18" s="57"/>
      <c r="DRH18" s="386"/>
      <c r="DRI18" s="57"/>
      <c r="DRJ18" s="386"/>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8"/>
      <c r="DSQ18" s="56"/>
      <c r="DSR18" s="57"/>
      <c r="DSS18" s="57"/>
      <c r="DST18" s="57"/>
      <c r="DSU18" s="57"/>
      <c r="DSV18" s="57"/>
      <c r="DSW18" s="56"/>
      <c r="DSX18" s="57"/>
      <c r="DSY18" s="57"/>
      <c r="DSZ18" s="56"/>
      <c r="DTA18" s="57"/>
      <c r="DTB18" s="58"/>
      <c r="DTC18" s="56"/>
      <c r="DTD18" s="57"/>
      <c r="DTE18" s="57"/>
      <c r="DTF18" s="57"/>
      <c r="DTG18" s="56"/>
      <c r="DTH18" s="57"/>
      <c r="DTI18" s="57"/>
      <c r="DTJ18" s="56"/>
      <c r="DTK18" s="57"/>
      <c r="DTL18" s="58"/>
      <c r="DTM18" s="56"/>
      <c r="DTN18" s="57"/>
      <c r="DTO18" s="57"/>
      <c r="DTP18" s="57"/>
      <c r="DTQ18" s="56"/>
      <c r="DTR18" s="57"/>
      <c r="DTS18" s="57"/>
      <c r="DTT18" s="56"/>
      <c r="DTU18" s="57"/>
      <c r="DTV18" s="58"/>
      <c r="DTW18" s="56"/>
      <c r="DTX18" s="57"/>
      <c r="DTY18" s="57"/>
      <c r="DTZ18" s="57"/>
      <c r="DUA18" s="56"/>
      <c r="DUB18" s="57"/>
      <c r="DUC18" s="57"/>
      <c r="DUD18" s="56"/>
      <c r="DUE18" s="57"/>
      <c r="DUF18" s="58"/>
      <c r="DUG18" s="56"/>
      <c r="DUH18" s="58"/>
      <c r="DUI18" s="57"/>
      <c r="DUJ18" s="56"/>
      <c r="DUK18" s="57"/>
      <c r="DUL18" s="56"/>
      <c r="DUM18" s="56"/>
      <c r="DUN18" s="56"/>
      <c r="DUO18" s="57"/>
      <c r="DUP18" s="386"/>
      <c r="DUQ18" s="57"/>
      <c r="DUR18" s="386"/>
      <c r="DUS18" s="57"/>
      <c r="DUT18" s="386"/>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8"/>
      <c r="DWA18" s="56"/>
      <c r="DWB18" s="57"/>
      <c r="DWC18" s="57"/>
      <c r="DWD18" s="57"/>
      <c r="DWE18" s="57"/>
      <c r="DWF18" s="57"/>
      <c r="DWG18" s="56"/>
      <c r="DWH18" s="57"/>
      <c r="DWI18" s="57"/>
      <c r="DWJ18" s="56"/>
      <c r="DWK18" s="57"/>
      <c r="DWL18" s="58"/>
      <c r="DWM18" s="56"/>
      <c r="DWN18" s="57"/>
      <c r="DWO18" s="57"/>
      <c r="DWP18" s="57"/>
      <c r="DWQ18" s="56"/>
      <c r="DWR18" s="57"/>
      <c r="DWS18" s="57"/>
      <c r="DWT18" s="56"/>
      <c r="DWU18" s="57"/>
      <c r="DWV18" s="58"/>
      <c r="DWW18" s="56"/>
      <c r="DWX18" s="57"/>
      <c r="DWY18" s="57"/>
      <c r="DWZ18" s="57"/>
      <c r="DXA18" s="56"/>
      <c r="DXB18" s="57"/>
      <c r="DXC18" s="57"/>
      <c r="DXD18" s="56"/>
      <c r="DXE18" s="57"/>
      <c r="DXF18" s="58"/>
      <c r="DXG18" s="56"/>
      <c r="DXH18" s="57"/>
      <c r="DXI18" s="57"/>
      <c r="DXJ18" s="57"/>
      <c r="DXK18" s="56"/>
      <c r="DXL18" s="57"/>
      <c r="DXM18" s="57"/>
      <c r="DXN18" s="56"/>
      <c r="DXO18" s="57"/>
      <c r="DXP18" s="58"/>
      <c r="DXQ18" s="56"/>
      <c r="DXR18" s="58"/>
      <c r="DXS18" s="57"/>
      <c r="DXT18" s="56"/>
      <c r="DXU18" s="57"/>
      <c r="DXV18" s="56"/>
      <c r="DXW18" s="56"/>
      <c r="DXX18" s="56"/>
      <c r="DXY18" s="57"/>
      <c r="DXZ18" s="386"/>
      <c r="DYA18" s="57"/>
      <c r="DYB18" s="386"/>
      <c r="DYC18" s="57"/>
      <c r="DYD18" s="386"/>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8"/>
      <c r="DZK18" s="56"/>
      <c r="DZL18" s="57"/>
      <c r="DZM18" s="57"/>
      <c r="DZN18" s="57"/>
      <c r="DZO18" s="57"/>
      <c r="DZP18" s="57"/>
      <c r="DZQ18" s="56"/>
      <c r="DZR18" s="57"/>
      <c r="DZS18" s="57"/>
      <c r="DZT18" s="56"/>
      <c r="DZU18" s="57"/>
      <c r="DZV18" s="58"/>
      <c r="DZW18" s="56"/>
      <c r="DZX18" s="57"/>
      <c r="DZY18" s="57"/>
      <c r="DZZ18" s="57"/>
      <c r="EAA18" s="56"/>
      <c r="EAB18" s="57"/>
      <c r="EAC18" s="57"/>
      <c r="EAD18" s="56"/>
      <c r="EAE18" s="57"/>
      <c r="EAF18" s="58"/>
      <c r="EAG18" s="56"/>
      <c r="EAH18" s="57"/>
      <c r="EAI18" s="57"/>
      <c r="EAJ18" s="57"/>
      <c r="EAK18" s="56"/>
      <c r="EAL18" s="57"/>
      <c r="EAM18" s="57"/>
      <c r="EAN18" s="56"/>
      <c r="EAO18" s="57"/>
      <c r="EAP18" s="58"/>
      <c r="EAQ18" s="56"/>
      <c r="EAR18" s="57"/>
      <c r="EAS18" s="57"/>
      <c r="EAT18" s="57"/>
      <c r="EAU18" s="56"/>
      <c r="EAV18" s="57"/>
      <c r="EAW18" s="57"/>
      <c r="EAX18" s="56"/>
      <c r="EAY18" s="57"/>
      <c r="EAZ18" s="58"/>
      <c r="EBA18" s="56"/>
      <c r="EBB18" s="58"/>
      <c r="EBC18" s="57"/>
      <c r="EBD18" s="56"/>
      <c r="EBE18" s="57"/>
      <c r="EBF18" s="56"/>
      <c r="EBG18" s="56"/>
      <c r="EBH18" s="56"/>
      <c r="EBI18" s="57"/>
      <c r="EBJ18" s="386"/>
      <c r="EBK18" s="57"/>
      <c r="EBL18" s="386"/>
      <c r="EBM18" s="57"/>
      <c r="EBN18" s="386"/>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8"/>
      <c r="ECU18" s="56"/>
      <c r="ECV18" s="57"/>
      <c r="ECW18" s="57"/>
      <c r="ECX18" s="57"/>
      <c r="ECY18" s="57"/>
      <c r="ECZ18" s="57"/>
      <c r="EDA18" s="56"/>
      <c r="EDB18" s="57"/>
      <c r="EDC18" s="57"/>
      <c r="EDD18" s="56"/>
      <c r="EDE18" s="57"/>
      <c r="EDF18" s="58"/>
      <c r="EDG18" s="56"/>
      <c r="EDH18" s="57"/>
      <c r="EDI18" s="57"/>
      <c r="EDJ18" s="57"/>
      <c r="EDK18" s="56"/>
      <c r="EDL18" s="57"/>
      <c r="EDM18" s="57"/>
      <c r="EDN18" s="56"/>
      <c r="EDO18" s="57"/>
      <c r="EDP18" s="58"/>
      <c r="EDQ18" s="56"/>
      <c r="EDR18" s="57"/>
      <c r="EDS18" s="57"/>
      <c r="EDT18" s="57"/>
      <c r="EDU18" s="56"/>
      <c r="EDV18" s="57"/>
      <c r="EDW18" s="57"/>
      <c r="EDX18" s="56"/>
      <c r="EDY18" s="57"/>
      <c r="EDZ18" s="58"/>
      <c r="EEA18" s="56"/>
      <c r="EEB18" s="57"/>
      <c r="EEC18" s="57"/>
      <c r="EED18" s="57"/>
      <c r="EEE18" s="56"/>
      <c r="EEF18" s="57"/>
      <c r="EEG18" s="57"/>
      <c r="EEH18" s="56"/>
      <c r="EEI18" s="57"/>
      <c r="EEJ18" s="58"/>
      <c r="EEK18" s="56"/>
      <c r="EEL18" s="58"/>
      <c r="EEM18" s="57"/>
      <c r="EEN18" s="56"/>
      <c r="EEO18" s="57"/>
      <c r="EEP18" s="56"/>
      <c r="EEQ18" s="56"/>
      <c r="EER18" s="56"/>
      <c r="EES18" s="57"/>
      <c r="EET18" s="386"/>
      <c r="EEU18" s="57"/>
      <c r="EEV18" s="386"/>
      <c r="EEW18" s="57"/>
      <c r="EEX18" s="386"/>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8"/>
      <c r="EGE18" s="56"/>
      <c r="EGF18" s="57"/>
      <c r="EGG18" s="57"/>
      <c r="EGH18" s="57"/>
      <c r="EGI18" s="57"/>
      <c r="EGJ18" s="57"/>
      <c r="EGK18" s="56"/>
      <c r="EGL18" s="57"/>
      <c r="EGM18" s="57"/>
      <c r="EGN18" s="56"/>
      <c r="EGO18" s="57"/>
      <c r="EGP18" s="58"/>
      <c r="EGQ18" s="56"/>
      <c r="EGR18" s="57"/>
      <c r="EGS18" s="57"/>
      <c r="EGT18" s="57"/>
      <c r="EGU18" s="56"/>
      <c r="EGV18" s="57"/>
      <c r="EGW18" s="57"/>
      <c r="EGX18" s="56"/>
      <c r="EGY18" s="57"/>
      <c r="EGZ18" s="58"/>
      <c r="EHA18" s="56"/>
      <c r="EHB18" s="57"/>
      <c r="EHC18" s="57"/>
      <c r="EHD18" s="57"/>
      <c r="EHE18" s="56"/>
      <c r="EHF18" s="57"/>
      <c r="EHG18" s="57"/>
      <c r="EHH18" s="56"/>
      <c r="EHI18" s="57"/>
      <c r="EHJ18" s="58"/>
      <c r="EHK18" s="56"/>
      <c r="EHL18" s="57"/>
      <c r="EHM18" s="57"/>
      <c r="EHN18" s="57"/>
      <c r="EHO18" s="56"/>
      <c r="EHP18" s="57"/>
      <c r="EHQ18" s="57"/>
      <c r="EHR18" s="56"/>
      <c r="EHS18" s="57"/>
      <c r="EHT18" s="58"/>
      <c r="EHU18" s="56"/>
      <c r="EHV18" s="58"/>
      <c r="EHW18" s="57"/>
      <c r="EHX18" s="56"/>
      <c r="EHY18" s="57"/>
      <c r="EHZ18" s="56"/>
      <c r="EIA18" s="56"/>
      <c r="EIB18" s="56"/>
      <c r="EIC18" s="57"/>
      <c r="EID18" s="386"/>
      <c r="EIE18" s="57"/>
      <c r="EIF18" s="386"/>
      <c r="EIG18" s="57"/>
      <c r="EIH18" s="386"/>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8"/>
      <c r="EJO18" s="56"/>
      <c r="EJP18" s="57"/>
      <c r="EJQ18" s="57"/>
      <c r="EJR18" s="57"/>
      <c r="EJS18" s="57"/>
      <c r="EJT18" s="57"/>
      <c r="EJU18" s="56"/>
      <c r="EJV18" s="57"/>
      <c r="EJW18" s="57"/>
      <c r="EJX18" s="56"/>
      <c r="EJY18" s="57"/>
      <c r="EJZ18" s="58"/>
      <c r="EKA18" s="56"/>
      <c r="EKB18" s="57"/>
      <c r="EKC18" s="57"/>
      <c r="EKD18" s="57"/>
      <c r="EKE18" s="56"/>
      <c r="EKF18" s="57"/>
      <c r="EKG18" s="57"/>
      <c r="EKH18" s="56"/>
      <c r="EKI18" s="57"/>
      <c r="EKJ18" s="58"/>
      <c r="EKK18" s="56"/>
      <c r="EKL18" s="57"/>
      <c r="EKM18" s="57"/>
      <c r="EKN18" s="57"/>
      <c r="EKO18" s="56"/>
      <c r="EKP18" s="57"/>
      <c r="EKQ18" s="57"/>
      <c r="EKR18" s="56"/>
      <c r="EKS18" s="57"/>
      <c r="EKT18" s="58"/>
      <c r="EKU18" s="56"/>
      <c r="EKV18" s="57"/>
      <c r="EKW18" s="57"/>
      <c r="EKX18" s="57"/>
      <c r="EKY18" s="56"/>
      <c r="EKZ18" s="57"/>
      <c r="ELA18" s="57"/>
      <c r="ELB18" s="56"/>
      <c r="ELC18" s="57"/>
      <c r="ELD18" s="58"/>
      <c r="ELE18" s="56"/>
      <c r="ELF18" s="58"/>
      <c r="ELG18" s="57"/>
      <c r="ELH18" s="56"/>
      <c r="ELI18" s="57"/>
      <c r="ELJ18" s="56"/>
      <c r="ELK18" s="56"/>
      <c r="ELL18" s="56"/>
      <c r="ELM18" s="57"/>
      <c r="ELN18" s="386"/>
      <c r="ELO18" s="57"/>
      <c r="ELP18" s="386"/>
      <c r="ELQ18" s="57"/>
      <c r="ELR18" s="386"/>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8"/>
      <c r="EMY18" s="56"/>
      <c r="EMZ18" s="57"/>
      <c r="ENA18" s="57"/>
      <c r="ENB18" s="57"/>
      <c r="ENC18" s="57"/>
      <c r="END18" s="57"/>
      <c r="ENE18" s="56"/>
      <c r="ENF18" s="57"/>
      <c r="ENG18" s="57"/>
      <c r="ENH18" s="56"/>
      <c r="ENI18" s="57"/>
      <c r="ENJ18" s="58"/>
      <c r="ENK18" s="56"/>
      <c r="ENL18" s="57"/>
      <c r="ENM18" s="57"/>
      <c r="ENN18" s="57"/>
      <c r="ENO18" s="56"/>
      <c r="ENP18" s="57"/>
      <c r="ENQ18" s="57"/>
      <c r="ENR18" s="56"/>
      <c r="ENS18" s="57"/>
      <c r="ENT18" s="58"/>
      <c r="ENU18" s="56"/>
      <c r="ENV18" s="57"/>
      <c r="ENW18" s="57"/>
      <c r="ENX18" s="57"/>
      <c r="ENY18" s="56"/>
      <c r="ENZ18" s="57"/>
      <c r="EOA18" s="57"/>
      <c r="EOB18" s="56"/>
      <c r="EOC18" s="57"/>
      <c r="EOD18" s="58"/>
      <c r="EOE18" s="56"/>
      <c r="EOF18" s="57"/>
      <c r="EOG18" s="57"/>
      <c r="EOH18" s="57"/>
      <c r="EOI18" s="56"/>
      <c r="EOJ18" s="57"/>
      <c r="EOK18" s="57"/>
      <c r="EOL18" s="56"/>
      <c r="EOM18" s="57"/>
      <c r="EON18" s="58"/>
      <c r="EOO18" s="56" t="str">
        <f t="shared" si="149"/>
        <v xml:space="preserve"> </v>
      </c>
      <c r="EOP18" s="58"/>
      <c r="EOQ18" s="57"/>
      <c r="EOR18" s="56"/>
      <c r="EOS18" s="57"/>
      <c r="EOT18" s="56"/>
      <c r="EOU18" s="56"/>
      <c r="EOV18" s="56"/>
      <c r="EOW18" s="57"/>
      <c r="EOX18" s="386"/>
      <c r="EOY18" s="57"/>
      <c r="EOZ18" s="386"/>
      <c r="EPA18" s="57"/>
      <c r="EPB18" s="386"/>
      <c r="EPC18" s="57"/>
      <c r="EPD18" s="57"/>
      <c r="EPE18" s="57"/>
      <c r="EPF18" s="57"/>
      <c r="EPG18" s="57"/>
      <c r="EPH18" s="57"/>
      <c r="EPI18" s="57"/>
      <c r="EPJ18" s="57"/>
      <c r="EPK18" s="57"/>
      <c r="EPL18" s="57"/>
      <c r="EPM18" s="57"/>
      <c r="EPN18" s="57"/>
      <c r="EPO18" s="57"/>
      <c r="EPP18" s="57"/>
      <c r="EPQ18" s="57"/>
      <c r="EPR18" s="57"/>
      <c r="EPS18" s="57"/>
      <c r="EPT18" s="57"/>
      <c r="EPU18" s="57"/>
      <c r="EPV18" s="57"/>
      <c r="EPW18" s="57"/>
      <c r="EPX18" s="57"/>
      <c r="EPY18" s="57"/>
      <c r="EPZ18" s="57"/>
      <c r="EQA18" s="57"/>
      <c r="EQB18" s="57"/>
      <c r="EQC18" s="57"/>
      <c r="EQD18" s="57"/>
      <c r="EQE18" s="57"/>
      <c r="EQF18" s="57"/>
      <c r="EQG18" s="57"/>
      <c r="EQH18" s="58"/>
      <c r="EQI18" s="56"/>
      <c r="EQJ18" s="57"/>
      <c r="EQK18" s="57"/>
      <c r="EQL18" s="57"/>
      <c r="EQM18" s="57"/>
      <c r="EQN18" s="57"/>
      <c r="EQO18" s="56"/>
      <c r="EQP18" s="57"/>
      <c r="EQQ18" s="57"/>
      <c r="EQR18" s="56"/>
      <c r="EQS18" s="57"/>
      <c r="EQT18" s="58"/>
      <c r="EQU18" s="56"/>
      <c r="EQV18" s="57"/>
      <c r="EQW18" s="57"/>
      <c r="EQX18" s="57"/>
      <c r="EQY18" s="56"/>
      <c r="EQZ18" s="57"/>
      <c r="ERA18" s="57"/>
      <c r="ERB18" s="56"/>
      <c r="ERC18" s="57"/>
      <c r="ERD18" s="58"/>
      <c r="ERE18" s="56"/>
      <c r="ERF18" s="57"/>
      <c r="ERG18" s="57"/>
      <c r="ERH18" s="57"/>
      <c r="ERI18" s="56"/>
      <c r="ERJ18" s="57"/>
      <c r="ERK18" s="57"/>
      <c r="ERL18" s="56"/>
      <c r="ERM18" s="57"/>
      <c r="ERN18" s="58"/>
      <c r="ERO18" s="56"/>
      <c r="ERP18" s="57"/>
      <c r="ERQ18" s="57"/>
      <c r="ERR18" s="57"/>
      <c r="ERS18" s="56"/>
      <c r="ERT18" s="57"/>
      <c r="ERU18" s="57"/>
      <c r="ERV18" s="56"/>
      <c r="ERW18" s="57"/>
      <c r="ERX18" s="58"/>
      <c r="ERY18" s="56" t="str">
        <f t="shared" si="150"/>
        <v xml:space="preserve"> </v>
      </c>
      <c r="ERZ18" s="58"/>
      <c r="ESA18" s="57"/>
      <c r="ESB18" s="56"/>
      <c r="ESC18" s="57"/>
      <c r="ESD18" s="56"/>
      <c r="ESE18" s="56"/>
      <c r="ESF18" s="56"/>
      <c r="ESG18" s="57"/>
      <c r="ESH18" s="386"/>
      <c r="ESI18" s="57"/>
      <c r="ESJ18" s="386"/>
      <c r="ESK18" s="57"/>
      <c r="ESL18" s="386"/>
      <c r="ESM18" s="57"/>
      <c r="ESN18" s="57"/>
      <c r="ESO18" s="57"/>
      <c r="ESP18" s="57"/>
      <c r="ESQ18" s="57"/>
      <c r="ESR18" s="57"/>
      <c r="ESS18" s="57"/>
      <c r="EST18" s="57"/>
      <c r="ESU18" s="57"/>
      <c r="ESV18" s="57"/>
      <c r="ESW18" s="57"/>
      <c r="ESX18" s="57"/>
      <c r="ESY18" s="57"/>
      <c r="ESZ18" s="57"/>
      <c r="ETA18" s="57"/>
      <c r="ETB18" s="57"/>
      <c r="ETC18" s="57"/>
      <c r="ETD18" s="57"/>
      <c r="ETE18" s="57"/>
      <c r="ETF18" s="57"/>
      <c r="ETG18" s="57"/>
      <c r="ETH18" s="57"/>
      <c r="ETI18" s="57"/>
      <c r="ETJ18" s="57"/>
      <c r="ETK18" s="57"/>
      <c r="ETL18" s="57"/>
      <c r="ETM18" s="57"/>
      <c r="ETN18" s="57"/>
      <c r="ETO18" s="57"/>
      <c r="ETP18" s="57"/>
      <c r="ETQ18" s="57"/>
      <c r="ETR18" s="58"/>
      <c r="ETS18" s="56"/>
      <c r="ETT18" s="57"/>
      <c r="ETU18" s="57"/>
      <c r="ETV18" s="57"/>
      <c r="ETW18" s="57"/>
      <c r="ETX18" s="57"/>
      <c r="ETY18" s="56"/>
      <c r="ETZ18" s="57"/>
      <c r="EUA18" s="57"/>
      <c r="EUB18" s="56"/>
      <c r="EUC18" s="57"/>
      <c r="EUD18" s="58"/>
      <c r="EUE18" s="56"/>
      <c r="EUF18" s="57"/>
      <c r="EUG18" s="57"/>
      <c r="EUH18" s="57"/>
      <c r="EUI18" s="56"/>
      <c r="EUJ18" s="57"/>
      <c r="EUK18" s="57"/>
      <c r="EUL18" s="56"/>
      <c r="EUM18" s="57"/>
      <c r="EUN18" s="58"/>
      <c r="EUO18" s="56"/>
      <c r="EUP18" s="57"/>
      <c r="EUQ18" s="57"/>
      <c r="EUR18" s="57"/>
      <c r="EUS18" s="56"/>
      <c r="EUT18" s="57"/>
      <c r="EUU18" s="57"/>
      <c r="EUV18" s="56"/>
      <c r="EUW18" s="57"/>
      <c r="EUX18" s="58"/>
      <c r="EUY18" s="56"/>
      <c r="EUZ18" s="57"/>
      <c r="EVA18" s="57"/>
      <c r="EVB18" s="57"/>
      <c r="EVC18" s="56"/>
      <c r="EVD18" s="57"/>
      <c r="EVE18" s="57"/>
      <c r="EVF18" s="56"/>
      <c r="EVG18" s="57"/>
      <c r="EVH18" s="58"/>
      <c r="EVI18" s="56" t="str">
        <f t="shared" si="151"/>
        <v xml:space="preserve"> </v>
      </c>
    </row>
    <row r="19" spans="1:3961" x14ac:dyDescent="0.3">
      <c r="A19" s="423" t="s">
        <v>134</v>
      </c>
      <c r="B19" s="30" t="str">
        <f>'REG y VAL POE - AESR - ESR'!B1298</f>
        <v xml:space="preserve">Alonso Garrido Cristian Fidel </v>
      </c>
      <c r="C19" s="29" t="str">
        <f>'REG y VAL POE - AESR - ESR'!C1298</f>
        <v>Sin Registro</v>
      </c>
      <c r="D19" s="28">
        <f>'REG y VAL POE - AESR - ESR'!D1298</f>
        <v>20215215</v>
      </c>
      <c r="E19" s="29">
        <f>'REG y VAL POE - AESR - ESR'!E1298</f>
        <v>0</v>
      </c>
      <c r="F19" s="28">
        <f>'REG y VAL POE - AESR - ESR'!F1298</f>
        <v>0</v>
      </c>
      <c r="G19" s="31">
        <f>'REG y VAL POE - AESR - ESR'!G1298</f>
        <v>0</v>
      </c>
      <c r="H19" s="31">
        <f>'REG y VAL POE - AESR - ESR'!H1298</f>
        <v>0</v>
      </c>
      <c r="I19" s="29">
        <f>'REG y VAL POE - AESR - ESR'!I1298</f>
        <v>0</v>
      </c>
      <c r="J19" s="29">
        <f>'REG y VAL POE - AESR - ESR'!J1298</f>
        <v>0</v>
      </c>
      <c r="K19" s="29">
        <f>'REG y VAL POE - AESR - ESR'!K1298</f>
        <v>0</v>
      </c>
      <c r="L19" s="29">
        <f>'REG y VAL POE - AESR - ESR'!L1298</f>
        <v>0</v>
      </c>
      <c r="M19" s="29">
        <f>'REG y VAL POE - AESR - ESR'!M1298</f>
        <v>0</v>
      </c>
      <c r="N19" s="32">
        <f>'REG y VAL POE - AESR - ESR'!N1298</f>
        <v>0</v>
      </c>
      <c r="O19" s="29">
        <f>'REG y VAL POE - AESR - ESR'!O1298</f>
        <v>0</v>
      </c>
      <c r="P19" s="29">
        <f>'REG y VAL POE - AESR - ESR'!P1298</f>
        <v>0</v>
      </c>
      <c r="Q19" s="29">
        <f>'REG y VAL POE - AESR - ESR'!Q1298</f>
        <v>0</v>
      </c>
      <c r="R19" s="29">
        <f>'REG y VAL POE - AESR - ESR'!R1298</f>
        <v>0</v>
      </c>
      <c r="S19" s="29">
        <f>'REG y VAL POE - AESR - ESR'!S1298</f>
        <v>0</v>
      </c>
      <c r="T19" s="29">
        <f>'REG y VAL POE - AESR - ESR'!T1298</f>
        <v>0</v>
      </c>
      <c r="U19" s="29">
        <f>'REG y VAL POE - AESR - ESR'!U1298</f>
        <v>0</v>
      </c>
      <c r="V19" s="29">
        <f>'REG y VAL POE - AESR - ESR'!V1298</f>
        <v>0</v>
      </c>
      <c r="W19" s="29">
        <f>'REG y VAL POE - AESR - ESR'!W1298</f>
        <v>0</v>
      </c>
      <c r="X19" s="29">
        <f>'REG y VAL POE - AESR - ESR'!X1298</f>
        <v>0</v>
      </c>
      <c r="Y19" s="29">
        <f>'REG y VAL POE - AESR - ESR'!Y1298</f>
        <v>0</v>
      </c>
      <c r="Z19" s="29">
        <f>'REG y VAL POE - AESR - ESR'!Z1298</f>
        <v>0</v>
      </c>
      <c r="AA19" s="29">
        <f>'REG y VAL POE - AESR - ESR'!AA1298</f>
        <v>0</v>
      </c>
      <c r="AB19" s="29">
        <f>'REG y VAL POE - AESR - ESR'!AB1298</f>
        <v>0</v>
      </c>
      <c r="AC19" s="29">
        <f>'REG y VAL POE - AESR - ESR'!AC1298</f>
        <v>0</v>
      </c>
      <c r="AD19" s="29">
        <f>'REG y VAL POE - AESR - ESR'!AD1298</f>
        <v>0</v>
      </c>
      <c r="AE19" s="29">
        <f>'REG y VAL POE - AESR - ESR'!AE1298</f>
        <v>0</v>
      </c>
      <c r="AF19" s="29">
        <f>'REG y VAL POE - AESR - ESR'!AF1298</f>
        <v>0</v>
      </c>
      <c r="AG19" s="29">
        <f>'REG y VAL POE - AESR - ESR'!AG1298</f>
        <v>0</v>
      </c>
      <c r="AH19" s="29">
        <f>'REG y VAL POE - AESR - ESR'!AH1298</f>
        <v>0</v>
      </c>
      <c r="AI19" s="29">
        <f>'REG y VAL POE - AESR - ESR'!AI1298</f>
        <v>0</v>
      </c>
      <c r="AJ19" s="29">
        <f>'REG y VAL POE - AESR - ESR'!AJ1298</f>
        <v>0</v>
      </c>
      <c r="AK19" s="29">
        <f>'REG y VAL POE - AESR - ESR'!AK1298</f>
        <v>0</v>
      </c>
      <c r="AL19" s="29">
        <f>'REG y VAL POE - AESR - ESR'!AL1298</f>
        <v>0</v>
      </c>
      <c r="AM19" s="29">
        <f>'REG y VAL POE - AESR - ESR'!AM1298</f>
        <v>0</v>
      </c>
      <c r="AN19" s="29">
        <f>'REG y VAL POE - AESR - ESR'!AN1298</f>
        <v>0</v>
      </c>
      <c r="AO19" s="29">
        <f>'REG y VAL POE - AESR - ESR'!AO1298</f>
        <v>0</v>
      </c>
      <c r="AP19" s="29">
        <f>'REG y VAL POE - AESR - ESR'!AP1298</f>
        <v>0</v>
      </c>
      <c r="AQ19" s="29">
        <f>'REG y VAL POE - AESR - ESR'!AQ1298</f>
        <v>0</v>
      </c>
      <c r="AR19" s="29">
        <f>'REG y VAL POE - AESR - ESR'!AR1298</f>
        <v>0</v>
      </c>
      <c r="AS19" s="29">
        <f>'REG y VAL POE - AESR - ESR'!AS1298</f>
        <v>0</v>
      </c>
      <c r="AT19" s="30" t="str">
        <f>'REG y VAL POE - AESR - ESR'!B1299</f>
        <v xml:space="preserve">Arcos Hernandez Agustin </v>
      </c>
      <c r="AU19" s="29" t="str">
        <f>'REG y VAL POE - AESR - ESR'!C1299</f>
        <v>Sin Registro</v>
      </c>
      <c r="AV19" s="28">
        <f>'REG y VAL POE - AESR - ESR'!D1299</f>
        <v>23032892</v>
      </c>
      <c r="AW19" s="29">
        <f>'REG y VAL POE - AESR - ESR'!E1299</f>
        <v>0</v>
      </c>
      <c r="AX19" s="28">
        <f>'REG y VAL POE - AESR - ESR'!F1299</f>
        <v>0</v>
      </c>
      <c r="AY19" s="31">
        <f>'REG y VAL POE - AESR - ESR'!G1299</f>
        <v>0</v>
      </c>
      <c r="AZ19" s="31">
        <f>'REG y VAL POE - AESR - ESR'!H1299</f>
        <v>0</v>
      </c>
      <c r="BA19" s="29">
        <f>'REG y VAL POE - AESR - ESR'!I1299</f>
        <v>0</v>
      </c>
      <c r="BB19" s="32">
        <f>'REG y VAL POE - AESR - ESR'!J1299</f>
        <v>0</v>
      </c>
      <c r="BC19" s="29">
        <f>'REG y VAL POE - AESR - ESR'!K1299</f>
        <v>0</v>
      </c>
      <c r="BD19" s="32">
        <f>'REG y VAL POE - AESR - ESR'!L1299</f>
        <v>0</v>
      </c>
      <c r="BE19" s="29">
        <f>'REG y VAL POE - AESR - ESR'!M1299</f>
        <v>0</v>
      </c>
      <c r="BF19" s="388">
        <f>'REG y VAL POE - AESR - ESR'!N1299</f>
        <v>0</v>
      </c>
      <c r="BG19" s="29">
        <f>'REG y VAL POE - AESR - ESR'!O1299</f>
        <v>0</v>
      </c>
      <c r="BH19" s="29">
        <f>'REG y VAL POE - AESR - ESR'!P1299</f>
        <v>0</v>
      </c>
      <c r="BI19" s="29">
        <f>'REG y VAL POE - AESR - ESR'!Q1299</f>
        <v>0</v>
      </c>
      <c r="BJ19" s="29">
        <f>'REG y VAL POE - AESR - ESR'!R1299</f>
        <v>0</v>
      </c>
      <c r="BK19" s="29">
        <f>'REG y VAL POE - AESR - ESR'!S1299</f>
        <v>0</v>
      </c>
      <c r="BL19" s="29">
        <f>'REG y VAL POE - AESR - ESR'!T1299</f>
        <v>0</v>
      </c>
      <c r="BM19" s="29">
        <f>'REG y VAL POE - AESR - ESR'!U1299</f>
        <v>0</v>
      </c>
      <c r="BN19" s="29">
        <f>'REG y VAL POE - AESR - ESR'!V1299</f>
        <v>0</v>
      </c>
      <c r="BO19" s="29">
        <f>'REG y VAL POE - AESR - ESR'!W1299</f>
        <v>0</v>
      </c>
      <c r="BP19" s="29">
        <f>'REG y VAL POE - AESR - ESR'!X1299</f>
        <v>0</v>
      </c>
      <c r="BQ19" s="29">
        <f>'REG y VAL POE - AESR - ESR'!Y1299</f>
        <v>0</v>
      </c>
      <c r="BR19" s="29">
        <f>'REG y VAL POE - AESR - ESR'!Z1299</f>
        <v>0</v>
      </c>
      <c r="BS19" s="29">
        <f>'REG y VAL POE - AESR - ESR'!AA1299</f>
        <v>0</v>
      </c>
      <c r="BT19" s="29">
        <f>'REG y VAL POE - AESR - ESR'!AB1299</f>
        <v>0</v>
      </c>
      <c r="BU19" s="29">
        <f>'REG y VAL POE - AESR - ESR'!AC1299</f>
        <v>0</v>
      </c>
      <c r="BV19" s="29">
        <f>'REG y VAL POE - AESR - ESR'!AD1299</f>
        <v>0</v>
      </c>
      <c r="BW19" s="29">
        <f>'REG y VAL POE - AESR - ESR'!AE1299</f>
        <v>0</v>
      </c>
      <c r="BX19" s="29">
        <f>'REG y VAL POE - AESR - ESR'!AF1299</f>
        <v>0</v>
      </c>
      <c r="BY19" s="29">
        <f>'REG y VAL POE - AESR - ESR'!AG1299</f>
        <v>0</v>
      </c>
      <c r="BZ19" s="29">
        <f>'REG y VAL POE - AESR - ESR'!AH1299</f>
        <v>0</v>
      </c>
      <c r="CA19" s="29">
        <f>'REG y VAL POE - AESR - ESR'!AI1299</f>
        <v>0</v>
      </c>
      <c r="CB19" s="29">
        <f>'REG y VAL POE - AESR - ESR'!AJ1299</f>
        <v>0</v>
      </c>
      <c r="CC19" s="29">
        <f>'REG y VAL POE - AESR - ESR'!AK1299</f>
        <v>0</v>
      </c>
      <c r="CD19" s="29">
        <f>'REG y VAL POE - AESR - ESR'!AL1299</f>
        <v>0</v>
      </c>
      <c r="CE19" s="29">
        <f>'REG y VAL POE - AESR - ESR'!AM1299</f>
        <v>0</v>
      </c>
      <c r="CF19" s="29">
        <f>'REG y VAL POE - AESR - ESR'!AN1299</f>
        <v>0</v>
      </c>
      <c r="CG19" s="29">
        <f>'REG y VAL POE - AESR - ESR'!AO1299</f>
        <v>0</v>
      </c>
      <c r="CH19" s="29">
        <f>'REG y VAL POE - AESR - ESR'!AP1299</f>
        <v>0</v>
      </c>
      <c r="CI19" s="29">
        <f>'REG y VAL POE - AESR - ESR'!AQ1299</f>
        <v>0</v>
      </c>
      <c r="CJ19" s="29">
        <f>'REG y VAL POE - AESR - ESR'!AR1299</f>
        <v>0</v>
      </c>
      <c r="CK19" s="29">
        <f>'REG y VAL POE - AESR - ESR'!AS1299</f>
        <v>0</v>
      </c>
      <c r="CL19" s="385" t="str">
        <f>'REG y VAL POE - AESR - ESR'!B1300</f>
        <v xml:space="preserve">Ayala Olvera Cristian </v>
      </c>
      <c r="CM19" s="29" t="str">
        <f>'REG y VAL POE - AESR - ESR'!C1300</f>
        <v>Sin Registro</v>
      </c>
      <c r="CN19" s="32">
        <f>'REG y VAL POE - AESR - ESR'!D1300</f>
        <v>23028548</v>
      </c>
      <c r="CO19" s="28">
        <f>'REG y VAL POE - AESR - ESR'!E1300</f>
        <v>0</v>
      </c>
      <c r="CP19" s="29">
        <f>'REG y VAL POE - AESR - ESR'!F1300</f>
        <v>0</v>
      </c>
      <c r="CQ19" s="29">
        <f>'REG y VAL POE - AESR - ESR'!G1300</f>
        <v>0</v>
      </c>
      <c r="CR19" s="28">
        <f>'REG y VAL POE - AESR - ESR'!H1300</f>
        <v>0</v>
      </c>
      <c r="CS19" s="29">
        <f>'REG y VAL POE - AESR - ESR'!I1300</f>
        <v>0</v>
      </c>
      <c r="CT19" s="30">
        <f>'REG y VAL POE - AESR - ESR'!J1300</f>
        <v>0</v>
      </c>
      <c r="CU19" s="28">
        <f>'REG y VAL POE - AESR - ESR'!K1300</f>
        <v>0</v>
      </c>
      <c r="CV19" s="29">
        <f>'REG y VAL POE - AESR - ESR'!L1300</f>
        <v>0</v>
      </c>
      <c r="CW19" s="29">
        <f>'REG y VAL POE - AESR - ESR'!M1300</f>
        <v>0</v>
      </c>
      <c r="CX19" s="32">
        <f>'REG y VAL POE - AESR - ESR'!N1300</f>
        <v>0</v>
      </c>
      <c r="CY19" s="28">
        <f>'REG y VAL POE - AESR - ESR'!O1300</f>
        <v>0</v>
      </c>
      <c r="CZ19" s="29">
        <f>'REG y VAL POE - AESR - ESR'!P1300</f>
        <v>0</v>
      </c>
      <c r="DA19" s="29">
        <f>'REG y VAL POE - AESR - ESR'!Q1300</f>
        <v>0</v>
      </c>
      <c r="DB19" s="28">
        <f>'REG y VAL POE - AESR - ESR'!R1300</f>
        <v>0</v>
      </c>
      <c r="DC19" s="29">
        <f>'REG y VAL POE - AESR - ESR'!S1300</f>
        <v>0</v>
      </c>
      <c r="DD19" s="30">
        <f>'REG y VAL POE - AESR - ESR'!T1300</f>
        <v>0</v>
      </c>
      <c r="DE19" s="28">
        <f>'REG y VAL POE - AESR - ESR'!U1300</f>
        <v>0</v>
      </c>
      <c r="DF19" s="29">
        <f>'REG y VAL POE - AESR - ESR'!V1300</f>
        <v>0</v>
      </c>
      <c r="DG19" s="29">
        <f>'REG y VAL POE - AESR - ESR'!W1300</f>
        <v>0</v>
      </c>
      <c r="DH19" s="32">
        <f>'REG y VAL POE - AESR - ESR'!X1300</f>
        <v>0</v>
      </c>
      <c r="DI19" s="28">
        <f>'REG y VAL POE - AESR - ESR'!Y1300</f>
        <v>0</v>
      </c>
      <c r="DJ19" s="29">
        <f>'REG y VAL POE - AESR - ESR'!Z1300</f>
        <v>0</v>
      </c>
      <c r="DK19" s="29">
        <f>'REG y VAL POE - AESR - ESR'!AA1300</f>
        <v>0</v>
      </c>
      <c r="DL19" s="28">
        <f>'REG y VAL POE - AESR - ESR'!AB1300</f>
        <v>0</v>
      </c>
      <c r="DM19" s="29">
        <f>'REG y VAL POE - AESR - ESR'!AC1300</f>
        <v>0</v>
      </c>
      <c r="DN19" s="30">
        <f>'REG y VAL POE - AESR - ESR'!AD1300</f>
        <v>0</v>
      </c>
      <c r="DO19" s="28">
        <f>'REG y VAL POE - AESR - ESR'!AE1300</f>
        <v>0</v>
      </c>
      <c r="DP19" s="29">
        <f>'REG y VAL POE - AESR - ESR'!AF1300</f>
        <v>0</v>
      </c>
      <c r="DQ19" s="29">
        <f>'REG y VAL POE - AESR - ESR'!AG1300</f>
        <v>0</v>
      </c>
      <c r="DR19" s="32">
        <f>'REG y VAL POE - AESR - ESR'!AH1300</f>
        <v>0</v>
      </c>
      <c r="DS19" s="28">
        <f>'REG y VAL POE - AESR - ESR'!AI1300</f>
        <v>0</v>
      </c>
      <c r="DT19" s="29">
        <f>'REG y VAL POE - AESR - ESR'!AJ1300</f>
        <v>0</v>
      </c>
      <c r="DU19" s="29">
        <f>'REG y VAL POE - AESR - ESR'!AK1300</f>
        <v>0</v>
      </c>
      <c r="DV19" s="28">
        <f>'REG y VAL POE - AESR - ESR'!AL1300</f>
        <v>0</v>
      </c>
      <c r="DW19" s="29">
        <f>'REG y VAL POE - AESR - ESR'!AM1300</f>
        <v>0</v>
      </c>
      <c r="DX19" s="30">
        <f>'REG y VAL POE - AESR - ESR'!AN1300</f>
        <v>0</v>
      </c>
      <c r="DY19" s="28">
        <f>'REG y VAL POE - AESR - ESR'!AO1300</f>
        <v>0</v>
      </c>
      <c r="DZ19" s="29">
        <f>'REG y VAL POE - AESR - ESR'!AP1300</f>
        <v>0</v>
      </c>
      <c r="EA19" s="29">
        <f>'REG y VAL POE - AESR - ESR'!AQ1300</f>
        <v>0</v>
      </c>
      <c r="EB19" s="29">
        <f>'REG y VAL POE - AESR - ESR'!AR1300</f>
        <v>0</v>
      </c>
      <c r="EC19" s="28">
        <f>'REG y VAL POE - AESR - ESR'!AS1300</f>
        <v>0</v>
      </c>
      <c r="ED19" s="385" t="str">
        <f>'REG y VAL POE - AESR - ESR'!B1301</f>
        <v xml:space="preserve">Campos Nolasco Rene </v>
      </c>
      <c r="EE19" s="28" t="str">
        <f>'REG y VAL POE - AESR - ESR'!C1301</f>
        <v>Sin Registro</v>
      </c>
      <c r="EF19" s="28">
        <f>'REG y VAL POE - AESR - ESR'!D1301</f>
        <v>22224680</v>
      </c>
      <c r="EG19" s="29">
        <f>'REG y VAL POE - AESR - ESR'!E1301</f>
        <v>0</v>
      </c>
      <c r="EH19" s="30">
        <f>'REG y VAL POE - AESR - ESR'!F1301</f>
        <v>0</v>
      </c>
      <c r="EI19" s="28">
        <f>'REG y VAL POE - AESR - ESR'!G1301</f>
        <v>0</v>
      </c>
      <c r="EJ19" s="29">
        <f>'REG y VAL POE - AESR - ESR'!H1301</f>
        <v>0</v>
      </c>
      <c r="EK19" s="29">
        <f>'REG y VAL POE - AESR - ESR'!I1301</f>
        <v>0</v>
      </c>
      <c r="EL19" s="32">
        <f>'REG y VAL POE - AESR - ESR'!J1301</f>
        <v>0</v>
      </c>
      <c r="EM19" s="28">
        <f>'REG y VAL POE - AESR - ESR'!K1301</f>
        <v>0</v>
      </c>
      <c r="EN19" s="29">
        <f>'REG y VAL POE - AESR - ESR'!L1301</f>
        <v>0</v>
      </c>
      <c r="EO19" s="33">
        <f>'REG y VAL POE - AESR - ESR'!M1301</f>
        <v>0</v>
      </c>
      <c r="EP19" s="28">
        <f>'REG y VAL POE - AESR - ESR'!N1301</f>
        <v>0</v>
      </c>
      <c r="EQ19" s="29">
        <f>'REG y VAL POE - AESR - ESR'!O1301</f>
        <v>0</v>
      </c>
      <c r="ER19" s="30">
        <f>'REG y VAL POE - AESR - ESR'!P1301</f>
        <v>0</v>
      </c>
      <c r="ES19" s="28">
        <f>'REG y VAL POE - AESR - ESR'!Q1301</f>
        <v>0</v>
      </c>
      <c r="ET19" s="29">
        <f>'REG y VAL POE - AESR - ESR'!R1301</f>
        <v>0</v>
      </c>
      <c r="EU19" s="29">
        <f>'REG y VAL POE - AESR - ESR'!S1301</f>
        <v>0</v>
      </c>
      <c r="EV19" s="32">
        <f>'REG y VAL POE - AESR - ESR'!T1301</f>
        <v>0</v>
      </c>
      <c r="EW19" s="28">
        <f>'REG y VAL POE - AESR - ESR'!U1301</f>
        <v>0</v>
      </c>
      <c r="EX19" s="29">
        <f>'REG y VAL POE - AESR - ESR'!V1301</f>
        <v>0</v>
      </c>
      <c r="EY19" s="29">
        <f>'REG y VAL POE - AESR - ESR'!W1301</f>
        <v>0</v>
      </c>
      <c r="EZ19" s="28">
        <f>'REG y VAL POE - AESR - ESR'!X1301</f>
        <v>0</v>
      </c>
      <c r="FA19" s="29">
        <f>'REG y VAL POE - AESR - ESR'!Y1301</f>
        <v>0</v>
      </c>
      <c r="FB19" s="30">
        <f>'REG y VAL POE - AESR - ESR'!Z1301</f>
        <v>0</v>
      </c>
      <c r="FC19" s="28">
        <f>'REG y VAL POE - AESR - ESR'!AA1301</f>
        <v>0</v>
      </c>
      <c r="FD19" s="29">
        <f>'REG y VAL POE - AESR - ESR'!AB1301</f>
        <v>0</v>
      </c>
      <c r="FE19" s="29">
        <f>'REG y VAL POE - AESR - ESR'!AC1301</f>
        <v>0</v>
      </c>
      <c r="FF19" s="32">
        <f>'REG y VAL POE - AESR - ESR'!AD1301</f>
        <v>0</v>
      </c>
      <c r="FG19" s="28">
        <f>'REG y VAL POE - AESR - ESR'!AE1301</f>
        <v>0</v>
      </c>
      <c r="FH19" s="29">
        <f>'REG y VAL POE - AESR - ESR'!AF1301</f>
        <v>0</v>
      </c>
      <c r="FI19" s="29">
        <f>'REG y VAL POE - AESR - ESR'!AG1301</f>
        <v>0</v>
      </c>
      <c r="FJ19" s="28">
        <f>'REG y VAL POE - AESR - ESR'!AH1301</f>
        <v>0</v>
      </c>
      <c r="FK19" s="29">
        <f>'REG y VAL POE - AESR - ESR'!AI1301</f>
        <v>0</v>
      </c>
      <c r="FL19" s="30">
        <f>'REG y VAL POE - AESR - ESR'!AJ1301</f>
        <v>0</v>
      </c>
      <c r="FM19" s="28">
        <f>'REG y VAL POE - AESR - ESR'!AK1301</f>
        <v>0</v>
      </c>
      <c r="FN19" s="29">
        <f>'REG y VAL POE - AESR - ESR'!AL1301</f>
        <v>0</v>
      </c>
      <c r="FO19" s="29">
        <f>'REG y VAL POE - AESR - ESR'!AM1301</f>
        <v>0</v>
      </c>
      <c r="FP19" s="29">
        <f>'REG y VAL POE - AESR - ESR'!AN1301</f>
        <v>0</v>
      </c>
      <c r="FQ19" s="28">
        <f>'REG y VAL POE - AESR - ESR'!AO1301</f>
        <v>0</v>
      </c>
      <c r="FR19" s="29">
        <f>'REG y VAL POE - AESR - ESR'!AP1301</f>
        <v>0</v>
      </c>
      <c r="FS19" s="29">
        <f>'REG y VAL POE - AESR - ESR'!AQ1301</f>
        <v>0</v>
      </c>
      <c r="FT19" s="28">
        <f>'REG y VAL POE - AESR - ESR'!AR1301</f>
        <v>0</v>
      </c>
      <c r="FU19" s="29">
        <f>'REG y VAL POE - AESR - ESR'!AS1301</f>
        <v>0</v>
      </c>
      <c r="FV19" s="27" t="str">
        <f>'REG y VAL POE - AESR - ESR'!B1302</f>
        <v xml:space="preserve">Castaneda Baez Monica Alejandra </v>
      </c>
      <c r="FW19" s="28" t="str">
        <f>'REG y VAL POE - AESR - ESR'!C1302</f>
        <v>Sin Registro</v>
      </c>
      <c r="FX19" s="29">
        <f>'REG y VAL POE - AESR - ESR'!D1302</f>
        <v>23197422</v>
      </c>
      <c r="FY19" s="29">
        <f>'REG y VAL POE - AESR - ESR'!E1302</f>
        <v>0</v>
      </c>
      <c r="FZ19" s="32">
        <f>'REG y VAL POE - AESR - ESR'!F1302</f>
        <v>0</v>
      </c>
      <c r="GA19" s="28">
        <f>'REG y VAL POE - AESR - ESR'!G1302</f>
        <v>0</v>
      </c>
      <c r="GB19" s="29">
        <f>'REG y VAL POE - AESR - ESR'!H1302</f>
        <v>0</v>
      </c>
      <c r="GC19" s="29">
        <f>'REG y VAL POE - AESR - ESR'!I1302</f>
        <v>0</v>
      </c>
      <c r="GD19" s="28">
        <f>'REG y VAL POE - AESR - ESR'!J1302</f>
        <v>0</v>
      </c>
      <c r="GE19" s="29">
        <f>'REG y VAL POE - AESR - ESR'!K1302</f>
        <v>0</v>
      </c>
      <c r="GF19" s="30">
        <f>'REG y VAL POE - AESR - ESR'!L1302</f>
        <v>0</v>
      </c>
      <c r="GG19" s="28">
        <f>'REG y VAL POE - AESR - ESR'!M1302</f>
        <v>0</v>
      </c>
      <c r="GH19" s="29">
        <f>'REG y VAL POE - AESR - ESR'!N1302</f>
        <v>0</v>
      </c>
      <c r="GI19" s="29">
        <f>'REG y VAL POE - AESR - ESR'!O1302</f>
        <v>0</v>
      </c>
      <c r="GJ19" s="32">
        <f>'REG y VAL POE - AESR - ESR'!P1302</f>
        <v>0</v>
      </c>
      <c r="GK19" s="28">
        <f>'REG y VAL POE - AESR - ESR'!Q1302</f>
        <v>0</v>
      </c>
      <c r="GL19" s="29">
        <f>'REG y VAL POE - AESR - ESR'!R1302</f>
        <v>0</v>
      </c>
      <c r="GM19" s="29">
        <f>'REG y VAL POE - AESR - ESR'!S1302</f>
        <v>0</v>
      </c>
      <c r="GN19" s="28">
        <f>'REG y VAL POE - AESR - ESR'!T1302</f>
        <v>0</v>
      </c>
      <c r="GO19" s="29">
        <f>'REG y VAL POE - AESR - ESR'!U1302</f>
        <v>0</v>
      </c>
      <c r="GP19" s="30">
        <f>'REG y VAL POE - AESR - ESR'!V1302</f>
        <v>0</v>
      </c>
      <c r="GQ19" s="28">
        <f>'REG y VAL POE - AESR - ESR'!W1302</f>
        <v>0</v>
      </c>
      <c r="GR19" s="29">
        <f>'REG y VAL POE - AESR - ESR'!X1302</f>
        <v>0</v>
      </c>
      <c r="GS19" s="29">
        <f>'REG y VAL POE - AESR - ESR'!Y1302</f>
        <v>0</v>
      </c>
      <c r="GT19" s="29">
        <f>'REG y VAL POE - AESR - ESR'!Z1302</f>
        <v>0</v>
      </c>
      <c r="GU19" s="28">
        <f>'REG y VAL POE - AESR - ESR'!AA1302</f>
        <v>0</v>
      </c>
      <c r="GV19" s="29">
        <f>'REG y VAL POE - AESR - ESR'!AB1302</f>
        <v>0</v>
      </c>
      <c r="GW19" s="29">
        <f>'REG y VAL POE - AESR - ESR'!AC1302</f>
        <v>0</v>
      </c>
      <c r="GX19" s="28">
        <f>'REG y VAL POE - AESR - ESR'!AD1302</f>
        <v>0</v>
      </c>
      <c r="GY19" s="29">
        <f>'REG y VAL POE - AESR - ESR'!AE1302</f>
        <v>0</v>
      </c>
      <c r="GZ19" s="30">
        <f>'REG y VAL POE - AESR - ESR'!AF1302</f>
        <v>0</v>
      </c>
      <c r="HA19" s="28">
        <f>'REG y VAL POE - AESR - ESR'!AG1302</f>
        <v>0</v>
      </c>
      <c r="HB19" s="29">
        <f>'REG y VAL POE - AESR - ESR'!AH1302</f>
        <v>0</v>
      </c>
      <c r="HC19" s="29">
        <f>'REG y VAL POE - AESR - ESR'!AI1302</f>
        <v>0</v>
      </c>
      <c r="HD19" s="29">
        <f>'REG y VAL POE - AESR - ESR'!AJ1302</f>
        <v>0</v>
      </c>
      <c r="HE19" s="28">
        <f>'REG y VAL POE - AESR - ESR'!AK1302</f>
        <v>0</v>
      </c>
      <c r="HF19" s="29">
        <f>'REG y VAL POE - AESR - ESR'!AL1302</f>
        <v>0</v>
      </c>
      <c r="HG19" s="29">
        <f>'REG y VAL POE - AESR - ESR'!AM1302</f>
        <v>0</v>
      </c>
      <c r="HH19" s="28">
        <f>'REG y VAL POE - AESR - ESR'!AN1302</f>
        <v>0</v>
      </c>
      <c r="HI19" s="29">
        <f>'REG y VAL POE - AESR - ESR'!AO1302</f>
        <v>0</v>
      </c>
      <c r="HJ19" s="30">
        <f>'REG y VAL POE - AESR - ESR'!AP1302</f>
        <v>0</v>
      </c>
      <c r="HK19" s="28">
        <f>'REG y VAL POE - AESR - ESR'!AQ1302</f>
        <v>0</v>
      </c>
      <c r="HL19" s="29">
        <f>'REG y VAL POE - AESR - ESR'!AR1302</f>
        <v>0</v>
      </c>
      <c r="HM19" s="29">
        <f>'REG y VAL POE - AESR - ESR'!AS1302</f>
        <v>0</v>
      </c>
      <c r="HN19" s="388" t="str">
        <f>'REG y VAL POE - AESR - ESR'!B1303</f>
        <v xml:space="preserve">Garcia Prez Efren </v>
      </c>
      <c r="HO19" s="28" t="str">
        <f>'REG y VAL POE - AESR - ESR'!C1303</f>
        <v>Sin Registro</v>
      </c>
      <c r="HP19" s="29">
        <f>'REG y VAL POE - AESR - ESR'!D1303</f>
        <v>23161872</v>
      </c>
      <c r="HQ19" s="29">
        <f>'REG y VAL POE - AESR - ESR'!E1303</f>
        <v>0</v>
      </c>
      <c r="HR19" s="28">
        <f>'REG y VAL POE - AESR - ESR'!F1303</f>
        <v>0</v>
      </c>
      <c r="HS19" s="29">
        <f>'REG y VAL POE - AESR - ESR'!G1303</f>
        <v>0</v>
      </c>
      <c r="HT19" s="30">
        <f>'REG y VAL POE - AESR - ESR'!H1303</f>
        <v>0</v>
      </c>
      <c r="HU19" s="28">
        <f>'REG y VAL POE - AESR - ESR'!I1303</f>
        <v>0</v>
      </c>
      <c r="HV19" s="29">
        <f>'REG y VAL POE - AESR - ESR'!J1303</f>
        <v>0</v>
      </c>
      <c r="HW19" s="29">
        <f>'REG y VAL POE - AESR - ESR'!K1303</f>
        <v>0</v>
      </c>
      <c r="HX19" s="29">
        <f>'REG y VAL POE - AESR - ESR'!L1303</f>
        <v>0</v>
      </c>
      <c r="HY19" s="28">
        <f>'REG y VAL POE - AESR - ESR'!M1303</f>
        <v>0</v>
      </c>
      <c r="HZ19" s="29">
        <f>'REG y VAL POE - AESR - ESR'!N1303</f>
        <v>0</v>
      </c>
      <c r="IA19" s="29">
        <f>'REG y VAL POE - AESR - ESR'!O1303</f>
        <v>0</v>
      </c>
      <c r="IB19" s="28">
        <f>'REG y VAL POE - AESR - ESR'!P1303</f>
        <v>0</v>
      </c>
      <c r="IC19" s="29">
        <f>'REG y VAL POE - AESR - ESR'!Q1303</f>
        <v>0</v>
      </c>
      <c r="ID19" s="30">
        <f>'REG y VAL POE - AESR - ESR'!R1303</f>
        <v>0</v>
      </c>
      <c r="IE19" s="28">
        <f>'REG y VAL POE - AESR - ESR'!S1303</f>
        <v>0</v>
      </c>
      <c r="IF19" s="29">
        <f>'REG y VAL POE - AESR - ESR'!T1303</f>
        <v>0</v>
      </c>
      <c r="IG19" s="29">
        <f>'REG y VAL POE - AESR - ESR'!U1303</f>
        <v>0</v>
      </c>
      <c r="IH19" s="29">
        <f>'REG y VAL POE - AESR - ESR'!V1303</f>
        <v>0</v>
      </c>
      <c r="II19" s="28">
        <f>'REG y VAL POE - AESR - ESR'!W1303</f>
        <v>0</v>
      </c>
      <c r="IJ19" s="29">
        <f>'REG y VAL POE - AESR - ESR'!X1303</f>
        <v>0</v>
      </c>
      <c r="IK19" s="29">
        <f>'REG y VAL POE - AESR - ESR'!Y1303</f>
        <v>0</v>
      </c>
      <c r="IL19" s="28">
        <f>'REG y VAL POE - AESR - ESR'!Z1303</f>
        <v>0</v>
      </c>
      <c r="IM19" s="29">
        <f>'REG y VAL POE - AESR - ESR'!AA1303</f>
        <v>0</v>
      </c>
      <c r="IN19" s="30">
        <f>'REG y VAL POE - AESR - ESR'!AB1303</f>
        <v>0</v>
      </c>
      <c r="IO19" s="28">
        <f>'REG y VAL POE - AESR - ESR'!AC1303</f>
        <v>0</v>
      </c>
      <c r="IP19" s="29">
        <f>'REG y VAL POE - AESR - ESR'!AD1303</f>
        <v>0</v>
      </c>
      <c r="IQ19" s="29">
        <f>'REG y VAL POE - AESR - ESR'!AE1303</f>
        <v>0</v>
      </c>
      <c r="IR19" s="29">
        <f>'REG y VAL POE - AESR - ESR'!AF1303</f>
        <v>0</v>
      </c>
      <c r="IS19" s="28">
        <f>'REG y VAL POE - AESR - ESR'!AG1303</f>
        <v>0</v>
      </c>
      <c r="IT19" s="29">
        <f>'REG y VAL POE - AESR - ESR'!AH1303</f>
        <v>0</v>
      </c>
      <c r="IU19" s="29">
        <f>'REG y VAL POE - AESR - ESR'!AI1303</f>
        <v>0</v>
      </c>
      <c r="IV19" s="28">
        <f>'REG y VAL POE - AESR - ESR'!AJ1303</f>
        <v>0</v>
      </c>
      <c r="IW19" s="29">
        <f>'REG y VAL POE - AESR - ESR'!AK1303</f>
        <v>0</v>
      </c>
      <c r="IX19" s="30">
        <f>'REG y VAL POE - AESR - ESR'!AL1303</f>
        <v>0</v>
      </c>
      <c r="IY19" s="28">
        <f>'REG y VAL POE - AESR - ESR'!AM1303</f>
        <v>0</v>
      </c>
      <c r="IZ19" s="29">
        <f>'REG y VAL POE - AESR - ESR'!AN1303</f>
        <v>0</v>
      </c>
      <c r="JA19" s="29">
        <f>'REG y VAL POE - AESR - ESR'!AO1303</f>
        <v>0</v>
      </c>
      <c r="JB19" s="29">
        <f>'REG y VAL POE - AESR - ESR'!AP1303</f>
        <v>0</v>
      </c>
      <c r="JC19" s="28">
        <f>'REG y VAL POE - AESR - ESR'!AQ1303</f>
        <v>0</v>
      </c>
      <c r="JD19" s="29">
        <f>'REG y VAL POE - AESR - ESR'!AR1303</f>
        <v>0</v>
      </c>
      <c r="JE19" s="29">
        <f>'REG y VAL POE - AESR - ESR'!AS1303</f>
        <v>0</v>
      </c>
      <c r="JF19" s="27" t="str">
        <f>'REG y VAL POE - AESR - ESR'!B1304</f>
        <v xml:space="preserve">Garrido Cabrera Gustavo </v>
      </c>
      <c r="JG19" s="29" t="str">
        <f>'REG y VAL POE - AESR - ESR'!C1304</f>
        <v>Sin Registro</v>
      </c>
      <c r="JH19" s="30">
        <f>'REG y VAL POE - AESR - ESR'!D1304</f>
        <v>23092177</v>
      </c>
      <c r="JI19" s="28">
        <f>'REG y VAL POE - AESR - ESR'!E1304</f>
        <v>0</v>
      </c>
      <c r="JJ19" s="29">
        <f>'REG y VAL POE - AESR - ESR'!F1304</f>
        <v>0</v>
      </c>
      <c r="JK19" s="29">
        <f>'REG y VAL POE - AESR - ESR'!G1304</f>
        <v>0</v>
      </c>
      <c r="JL19" s="29">
        <f>'REG y VAL POE - AESR - ESR'!H1304</f>
        <v>0</v>
      </c>
      <c r="JM19" s="28">
        <f>'REG y VAL POE - AESR - ESR'!I1304</f>
        <v>0</v>
      </c>
      <c r="JN19" s="29">
        <f>'REG y VAL POE - AESR - ESR'!J1304</f>
        <v>0</v>
      </c>
      <c r="JO19" s="29">
        <f>'REG y VAL POE - AESR - ESR'!K1304</f>
        <v>0</v>
      </c>
      <c r="JP19" s="28">
        <f>'REG y VAL POE - AESR - ESR'!L1304</f>
        <v>0</v>
      </c>
      <c r="JQ19" s="29">
        <f>'REG y VAL POE - AESR - ESR'!M1304</f>
        <v>0</v>
      </c>
      <c r="JR19" s="30">
        <f>'REG y VAL POE - AESR - ESR'!N1304</f>
        <v>0</v>
      </c>
      <c r="JS19" s="28">
        <f>'REG y VAL POE - AESR - ESR'!O1304</f>
        <v>0</v>
      </c>
      <c r="JT19" s="29">
        <f>'REG y VAL POE - AESR - ESR'!P1304</f>
        <v>0</v>
      </c>
      <c r="JU19" s="29">
        <f>'REG y VAL POE - AESR - ESR'!Q1304</f>
        <v>0</v>
      </c>
      <c r="JV19" s="29">
        <f>'REG y VAL POE - AESR - ESR'!R1304</f>
        <v>0</v>
      </c>
      <c r="JW19" s="28">
        <f>'REG y VAL POE - AESR - ESR'!S1304</f>
        <v>0</v>
      </c>
      <c r="JX19" s="29">
        <f>'REG y VAL POE - AESR - ESR'!T1304</f>
        <v>0</v>
      </c>
      <c r="JY19" s="29">
        <f>'REG y VAL POE - AESR - ESR'!U1304</f>
        <v>0</v>
      </c>
      <c r="JZ19" s="28">
        <f>'REG y VAL POE - AESR - ESR'!V1304</f>
        <v>0</v>
      </c>
      <c r="KA19" s="29">
        <f>'REG y VAL POE - AESR - ESR'!W1304</f>
        <v>0</v>
      </c>
      <c r="KB19" s="30">
        <f>'REG y VAL POE - AESR - ESR'!X1304</f>
        <v>0</v>
      </c>
      <c r="KC19" s="28">
        <f>'REG y VAL POE - AESR - ESR'!Y1304</f>
        <v>0</v>
      </c>
      <c r="KD19" s="29">
        <f>'REG y VAL POE - AESR - ESR'!Z1304</f>
        <v>0</v>
      </c>
      <c r="KE19" s="29">
        <f>'REG y VAL POE - AESR - ESR'!AA1304</f>
        <v>0</v>
      </c>
      <c r="KF19" s="29">
        <f>'REG y VAL POE - AESR - ESR'!AB1304</f>
        <v>0</v>
      </c>
      <c r="KG19" s="28">
        <f>'REG y VAL POE - AESR - ESR'!AC1304</f>
        <v>0</v>
      </c>
      <c r="KH19" s="29">
        <f>'REG y VAL POE - AESR - ESR'!AD1304</f>
        <v>0</v>
      </c>
      <c r="KI19" s="29">
        <f>'REG y VAL POE - AESR - ESR'!AE1304</f>
        <v>0</v>
      </c>
      <c r="KJ19" s="28">
        <f>'REG y VAL POE - AESR - ESR'!AF1304</f>
        <v>0</v>
      </c>
      <c r="KK19" s="29">
        <f>'REG y VAL POE - AESR - ESR'!AG1304</f>
        <v>0</v>
      </c>
      <c r="KL19" s="30">
        <f>'REG y VAL POE - AESR - ESR'!AH1304</f>
        <v>0</v>
      </c>
      <c r="KM19" s="28">
        <f>'REG y VAL POE - AESR - ESR'!AI1304</f>
        <v>0</v>
      </c>
      <c r="KN19" s="29">
        <f>'REG y VAL POE - AESR - ESR'!AJ1304</f>
        <v>0</v>
      </c>
      <c r="KO19" s="29">
        <f>'REG y VAL POE - AESR - ESR'!AK1304</f>
        <v>0</v>
      </c>
      <c r="KP19" s="29">
        <f>'REG y VAL POE - AESR - ESR'!AL1304</f>
        <v>0</v>
      </c>
      <c r="KQ19" s="28">
        <f>'REG y VAL POE - AESR - ESR'!AM1304</f>
        <v>0</v>
      </c>
      <c r="KR19" s="29">
        <f>'REG y VAL POE - AESR - ESR'!AN1304</f>
        <v>0</v>
      </c>
      <c r="KS19" s="29">
        <f>'REG y VAL POE - AESR - ESR'!AO1304</f>
        <v>0</v>
      </c>
      <c r="KT19" s="28">
        <f>'REG y VAL POE - AESR - ESR'!AP1304</f>
        <v>0</v>
      </c>
      <c r="KU19" s="29">
        <f>'REG y VAL POE - AESR - ESR'!AQ1304</f>
        <v>0</v>
      </c>
      <c r="KV19" s="30">
        <f>'REG y VAL POE - AESR - ESR'!AR1304</f>
        <v>0</v>
      </c>
      <c r="KW19" s="28">
        <f>'REG y VAL POE - AESR - ESR'!AS1304</f>
        <v>0</v>
      </c>
      <c r="KX19" s="385" t="str">
        <f>'REG y VAL POE - AESR - ESR'!B1305</f>
        <v xml:space="preserve">Gomez Gomez Erick Fabian </v>
      </c>
      <c r="KY19" s="29" t="str">
        <f>'REG y VAL POE - AESR - ESR'!C1305</f>
        <v>Sin Registro</v>
      </c>
      <c r="KZ19" s="29">
        <f>'REG y VAL POE - AESR - ESR'!D1305</f>
        <v>23013774</v>
      </c>
      <c r="LA19" s="28">
        <f>'REG y VAL POE - AESR - ESR'!E1305</f>
        <v>0</v>
      </c>
      <c r="LB19" s="29">
        <f>'REG y VAL POE - AESR - ESR'!F1305</f>
        <v>0</v>
      </c>
      <c r="LC19" s="29">
        <f>'REG y VAL POE - AESR - ESR'!G1305</f>
        <v>0</v>
      </c>
      <c r="LD19" s="28">
        <f>'REG y VAL POE - AESR - ESR'!H1305</f>
        <v>0</v>
      </c>
      <c r="LE19" s="29">
        <f>'REG y VAL POE - AESR - ESR'!I1305</f>
        <v>0</v>
      </c>
      <c r="LF19" s="30">
        <f>'REG y VAL POE - AESR - ESR'!J1305</f>
        <v>0</v>
      </c>
      <c r="LG19" s="28">
        <f>'REG y VAL POE - AESR - ESR'!K1305</f>
        <v>0</v>
      </c>
      <c r="LH19" s="29">
        <f>'REG y VAL POE - AESR - ESR'!L1305</f>
        <v>0</v>
      </c>
      <c r="LI19" s="29">
        <f>'REG y VAL POE - AESR - ESR'!M1305</f>
        <v>0</v>
      </c>
      <c r="LJ19" s="29">
        <f>'REG y VAL POE - AESR - ESR'!N1305</f>
        <v>0</v>
      </c>
      <c r="LK19" s="28">
        <f>'REG y VAL POE - AESR - ESR'!O1305</f>
        <v>0</v>
      </c>
      <c r="LL19" s="29">
        <f>'REG y VAL POE - AESR - ESR'!P1305</f>
        <v>0</v>
      </c>
      <c r="LM19" s="29">
        <f>'REG y VAL POE - AESR - ESR'!Q1305</f>
        <v>0</v>
      </c>
      <c r="LN19" s="28">
        <f>'REG y VAL POE - AESR - ESR'!R1305</f>
        <v>0</v>
      </c>
      <c r="LO19" s="29">
        <f>'REG y VAL POE - AESR - ESR'!S1305</f>
        <v>0</v>
      </c>
      <c r="LP19" s="30">
        <f>'REG y VAL POE - AESR - ESR'!T1305</f>
        <v>0</v>
      </c>
      <c r="LQ19" s="28">
        <f>'REG y VAL POE - AESR - ESR'!U1305</f>
        <v>0</v>
      </c>
      <c r="LR19" s="29">
        <f>'REG y VAL POE - AESR - ESR'!V1305</f>
        <v>0</v>
      </c>
      <c r="LS19" s="29">
        <f>'REG y VAL POE - AESR - ESR'!W1305</f>
        <v>0</v>
      </c>
      <c r="LT19" s="29">
        <f>'REG y VAL POE - AESR - ESR'!X1305</f>
        <v>0</v>
      </c>
      <c r="LU19" s="28">
        <f>'REG y VAL POE - AESR - ESR'!Y1305</f>
        <v>0</v>
      </c>
      <c r="LV19" s="29">
        <f>'REG y VAL POE - AESR - ESR'!Z1305</f>
        <v>0</v>
      </c>
      <c r="LW19" s="29">
        <f>'REG y VAL POE - AESR - ESR'!AA1305</f>
        <v>0</v>
      </c>
      <c r="LX19" s="28">
        <f>'REG y VAL POE - AESR - ESR'!AB1305</f>
        <v>0</v>
      </c>
      <c r="LY19" s="29">
        <f>'REG y VAL POE - AESR - ESR'!AC1305</f>
        <v>0</v>
      </c>
      <c r="LZ19" s="30">
        <f>'REG y VAL POE - AESR - ESR'!AD1305</f>
        <v>0</v>
      </c>
      <c r="MA19" s="28">
        <f>'REG y VAL POE - AESR - ESR'!AE1305</f>
        <v>0</v>
      </c>
      <c r="MB19" s="29">
        <f>'REG y VAL POE - AESR - ESR'!AF1305</f>
        <v>0</v>
      </c>
      <c r="MC19" s="29">
        <f>'REG y VAL POE - AESR - ESR'!AG1305</f>
        <v>0</v>
      </c>
      <c r="MD19" s="29">
        <f>'REG y VAL POE - AESR - ESR'!AH1305</f>
        <v>0</v>
      </c>
      <c r="ME19" s="28">
        <f>'REG y VAL POE - AESR - ESR'!AI1305</f>
        <v>0</v>
      </c>
      <c r="MF19" s="29">
        <f>'REG y VAL POE - AESR - ESR'!AJ1305</f>
        <v>0</v>
      </c>
      <c r="MG19" s="29">
        <f>'REG y VAL POE - AESR - ESR'!AK1305</f>
        <v>0</v>
      </c>
      <c r="MH19" s="28">
        <f>'REG y VAL POE - AESR - ESR'!AL1305</f>
        <v>0</v>
      </c>
      <c r="MI19" s="29">
        <f>'REG y VAL POE - AESR - ESR'!AM1305</f>
        <v>0</v>
      </c>
      <c r="MJ19" s="30">
        <f>'REG y VAL POE - AESR - ESR'!AN1305</f>
        <v>0</v>
      </c>
      <c r="MK19" s="28">
        <f>'REG y VAL POE - AESR - ESR'!AO1305</f>
        <v>0</v>
      </c>
      <c r="ML19" s="29">
        <f>'REG y VAL POE - AESR - ESR'!AP1305</f>
        <v>0</v>
      </c>
      <c r="MM19" s="29">
        <f>'REG y VAL POE - AESR - ESR'!AQ1305</f>
        <v>0</v>
      </c>
      <c r="MN19" s="29">
        <f>'REG y VAL POE - AESR - ESR'!AR1305</f>
        <v>0</v>
      </c>
      <c r="MO19" s="28">
        <f>'REG y VAL POE - AESR - ESR'!AS1305</f>
        <v>0</v>
      </c>
      <c r="MP19" s="385" t="str">
        <f>'REG y VAL POE - AESR - ESR'!B1306</f>
        <v xml:space="preserve">Lopez Herrera Jose Armando </v>
      </c>
      <c r="MQ19" s="29" t="str">
        <f>'REG y VAL POE - AESR - ESR'!C1306</f>
        <v>Sin Registro</v>
      </c>
      <c r="MR19" s="28">
        <f>'REG y VAL POE - AESR - ESR'!D1306</f>
        <v>23012715</v>
      </c>
      <c r="MS19" s="29">
        <f>'REG y VAL POE - AESR - ESR'!E1306</f>
        <v>0</v>
      </c>
      <c r="MT19" s="30">
        <f>'REG y VAL POE - AESR - ESR'!F1306</f>
        <v>0</v>
      </c>
      <c r="MU19" s="28">
        <f>'REG y VAL POE - AESR - ESR'!G1306</f>
        <v>0</v>
      </c>
      <c r="MV19" s="29">
        <f>'REG y VAL POE - AESR - ESR'!H1306</f>
        <v>0</v>
      </c>
      <c r="MW19" s="29">
        <f>'REG y VAL POE - AESR - ESR'!I1306</f>
        <v>0</v>
      </c>
      <c r="MX19" s="29">
        <f>'REG y VAL POE - AESR - ESR'!J1306</f>
        <v>0</v>
      </c>
      <c r="MY19" s="28">
        <f>'REG y VAL POE - AESR - ESR'!K1306</f>
        <v>0</v>
      </c>
      <c r="MZ19" s="29">
        <f>'REG y VAL POE - AESR - ESR'!L1306</f>
        <v>0</v>
      </c>
      <c r="NA19" s="29">
        <f>'REG y VAL POE - AESR - ESR'!M1306</f>
        <v>0</v>
      </c>
      <c r="NB19" s="28">
        <f>'REG y VAL POE - AESR - ESR'!N1306</f>
        <v>0</v>
      </c>
      <c r="NC19" s="29">
        <f>'REG y VAL POE - AESR - ESR'!O1306</f>
        <v>0</v>
      </c>
      <c r="ND19" s="30">
        <f>'REG y VAL POE - AESR - ESR'!P1306</f>
        <v>0</v>
      </c>
      <c r="NE19" s="28">
        <f>'REG y VAL POE - AESR - ESR'!Q1306</f>
        <v>0</v>
      </c>
      <c r="NF19" s="29">
        <f>'REG y VAL POE - AESR - ESR'!R1306</f>
        <v>0</v>
      </c>
      <c r="NG19" s="29">
        <f>'REG y VAL POE - AESR - ESR'!S1306</f>
        <v>0</v>
      </c>
      <c r="NH19" s="29">
        <f>'REG y VAL POE - AESR - ESR'!T1306</f>
        <v>0</v>
      </c>
      <c r="NI19" s="28">
        <f>'REG y VAL POE - AESR - ESR'!U1306</f>
        <v>0</v>
      </c>
      <c r="NJ19" s="29">
        <f>'REG y VAL POE - AESR - ESR'!V1306</f>
        <v>0</v>
      </c>
      <c r="NK19" s="29">
        <f>'REG y VAL POE - AESR - ESR'!W1306</f>
        <v>0</v>
      </c>
      <c r="NL19" s="28">
        <f>'REG y VAL POE - AESR - ESR'!X1306</f>
        <v>0</v>
      </c>
      <c r="NM19" s="29">
        <f>'REG y VAL POE - AESR - ESR'!Y1306</f>
        <v>0</v>
      </c>
      <c r="NN19" s="30">
        <f>'REG y VAL POE - AESR - ESR'!Z1306</f>
        <v>0</v>
      </c>
      <c r="NO19" s="28">
        <f>'REG y VAL POE - AESR - ESR'!AA1306</f>
        <v>0</v>
      </c>
      <c r="NP19" s="29">
        <f>'REG y VAL POE - AESR - ESR'!AB1306</f>
        <v>0</v>
      </c>
      <c r="NQ19" s="29">
        <f>'REG y VAL POE - AESR - ESR'!AC1306</f>
        <v>0</v>
      </c>
      <c r="NR19" s="29">
        <f>'REG y VAL POE - AESR - ESR'!AD1306</f>
        <v>0</v>
      </c>
      <c r="NS19" s="28">
        <f>'REG y VAL POE - AESR - ESR'!AE1306</f>
        <v>0</v>
      </c>
      <c r="NT19" s="29">
        <f>'REG y VAL POE - AESR - ESR'!AF1306</f>
        <v>0</v>
      </c>
      <c r="NU19" s="29">
        <f>'REG y VAL POE - AESR - ESR'!AG1306</f>
        <v>0</v>
      </c>
      <c r="NV19" s="28">
        <f>'REG y VAL POE - AESR - ESR'!AH1306</f>
        <v>0</v>
      </c>
      <c r="NW19" s="29">
        <f>'REG y VAL POE - AESR - ESR'!AI1306</f>
        <v>0</v>
      </c>
      <c r="NX19" s="30">
        <f>'REG y VAL POE - AESR - ESR'!AJ1306</f>
        <v>0</v>
      </c>
      <c r="NY19" s="28">
        <f>'REG y VAL POE - AESR - ESR'!AK1306</f>
        <v>0</v>
      </c>
      <c r="NZ19" s="29">
        <f>'REG y VAL POE - AESR - ESR'!AL1306</f>
        <v>0</v>
      </c>
      <c r="OA19" s="29">
        <f>'REG y VAL POE - AESR - ESR'!AM1306</f>
        <v>0</v>
      </c>
      <c r="OB19" s="29">
        <f>'REG y VAL POE - AESR - ESR'!AN1306</f>
        <v>0</v>
      </c>
      <c r="OC19" s="28">
        <f>'REG y VAL POE - AESR - ESR'!AO1306</f>
        <v>0</v>
      </c>
      <c r="OD19" s="29">
        <f>'REG y VAL POE - AESR - ESR'!AP1306</f>
        <v>0</v>
      </c>
      <c r="OE19" s="29">
        <f>'REG y VAL POE - AESR - ESR'!AQ1306</f>
        <v>0</v>
      </c>
      <c r="OF19" s="30">
        <f>'REG y VAL POE - AESR - ESR'!AR1306</f>
        <v>0</v>
      </c>
      <c r="OG19" s="30">
        <f>'REG y VAL POE - AESR - ESR'!AS1306</f>
        <v>0</v>
      </c>
      <c r="OH19" s="27" t="str">
        <f>'REG y VAL POE - AESR - ESR'!B1307</f>
        <v>Luna Lazcano Carlos</v>
      </c>
      <c r="OI19" s="28" t="str">
        <f>'REG y VAL POE - AESR - ESR'!C1307</f>
        <v>POE</v>
      </c>
      <c r="OJ19" s="30">
        <f>'REG y VAL POE - AESR - ESR'!D1307</f>
        <v>23198475</v>
      </c>
      <c r="OK19" s="30">
        <f>'REG y VAL POE - AESR - ESR'!E1307</f>
        <v>0</v>
      </c>
      <c r="OL19" s="30">
        <f>'REG y VAL POE - AESR - ESR'!F1307</f>
        <v>0</v>
      </c>
      <c r="OM19" s="30">
        <f>'REG y VAL POE - AESR - ESR'!G1307</f>
        <v>45343</v>
      </c>
      <c r="ON19" s="30">
        <f>'REG y VAL POE - AESR - ESR'!H1307</f>
        <v>45708</v>
      </c>
      <c r="OO19" s="30" t="str">
        <f>'REG y VAL POE - AESR - ESR'!I1307</f>
        <v>SI</v>
      </c>
      <c r="OP19" s="28" t="str">
        <f>'REG y VAL POE - AESR - ESR'!J1307</f>
        <v>Vigente</v>
      </c>
      <c r="OQ19" s="29" t="str">
        <f>'REG y VAL POE - AESR - ESR'!K1307</f>
        <v>SI</v>
      </c>
      <c r="OR19" s="30" t="str">
        <f>'REG y VAL POE - AESR - ESR'!L1307</f>
        <v>Vigente</v>
      </c>
      <c r="OS19" s="28" t="str">
        <f>'REG y VAL POE - AESR - ESR'!M1307</f>
        <v>SI</v>
      </c>
      <c r="OT19" s="29" t="str">
        <f>'REG y VAL POE - AESR - ESR'!N1307</f>
        <v>Completo (huellas no visibles)-falta firma del RL</v>
      </c>
      <c r="OU19" s="29" t="str">
        <f>'REG y VAL POE - AESR - ESR'!O1307</f>
        <v>SI</v>
      </c>
      <c r="OV19" s="29">
        <f>'REG y VAL POE - AESR - ESR'!P1307</f>
        <v>0</v>
      </c>
      <c r="OW19" s="28" t="str">
        <f>'REG y VAL POE - AESR - ESR'!Q1307</f>
        <v>SI</v>
      </c>
      <c r="OX19" s="29" t="str">
        <f>'REG y VAL POE - AESR - ESR'!R1307</f>
        <v>SI</v>
      </c>
      <c r="OY19" s="29" t="str">
        <f>'REG y VAL POE - AESR - ESR'!S1307</f>
        <v>SI</v>
      </c>
      <c r="OZ19" s="28" t="str">
        <f>'REG y VAL POE - AESR - ESR'!T1307</f>
        <v>SI</v>
      </c>
      <c r="PA19" s="29" t="str">
        <f>'REG y VAL POE - AESR - ESR'!U1307</f>
        <v>NO</v>
      </c>
      <c r="PB19" s="30" t="str">
        <f>'REG y VAL POE - AESR - ESR'!V1307</f>
        <v>SI</v>
      </c>
      <c r="PC19" s="28">
        <f>'REG y VAL POE - AESR - ESR'!W1307</f>
        <v>0</v>
      </c>
      <c r="PD19" s="29">
        <f>'REG y VAL POE - AESR - ESR'!X1307</f>
        <v>0</v>
      </c>
      <c r="PE19" s="29">
        <f>'REG y VAL POE - AESR - ESR'!Y1307</f>
        <v>0</v>
      </c>
      <c r="PF19" s="29" t="str">
        <f>'REG y VAL POE - AESR - ESR'!Z1307</f>
        <v>SI</v>
      </c>
      <c r="PG19" s="28">
        <f>'REG y VAL POE - AESR - ESR'!AA1307</f>
        <v>0</v>
      </c>
      <c r="PH19" s="29">
        <f>'REG y VAL POE - AESR - ESR'!AB1307</f>
        <v>0</v>
      </c>
      <c r="PI19" s="29">
        <f>'REG y VAL POE - AESR - ESR'!AC1307</f>
        <v>0</v>
      </c>
      <c r="PJ19" s="28">
        <f>'REG y VAL POE - AESR - ESR'!AD1307</f>
        <v>0</v>
      </c>
      <c r="PK19" s="29">
        <f>'REG y VAL POE - AESR - ESR'!AE1307</f>
        <v>0</v>
      </c>
      <c r="PL19" s="30">
        <f>'REG y VAL POE - AESR - ESR'!AF1307</f>
        <v>0</v>
      </c>
      <c r="PM19" s="28" t="str">
        <f>'REG y VAL POE - AESR - ESR'!AG1307</f>
        <v>SI</v>
      </c>
      <c r="PN19" s="29">
        <f>'REG y VAL POE - AESR - ESR'!AH1307</f>
        <v>0</v>
      </c>
      <c r="PO19" s="29">
        <f>'REG y VAL POE - AESR - ESR'!AI1307</f>
        <v>0</v>
      </c>
      <c r="PP19" s="29">
        <f>'REG y VAL POE - AESR - ESR'!AJ1307</f>
        <v>0</v>
      </c>
      <c r="PQ19" s="28">
        <f>'REG y VAL POE - AESR - ESR'!AK1307</f>
        <v>0</v>
      </c>
      <c r="PR19" s="29" t="str">
        <f>'REG y VAL POE - AESR - ESR'!AL1307</f>
        <v>SI</v>
      </c>
      <c r="PS19" s="29" t="str">
        <f>'REG y VAL POE - AESR - ESR'!AM1307</f>
        <v>SI</v>
      </c>
      <c r="PT19" s="28">
        <f>'REG y VAL POE - AESR - ESR'!AN1307</f>
        <v>0</v>
      </c>
      <c r="PU19" s="29">
        <f>'REG y VAL POE - AESR - ESR'!AO1307</f>
        <v>0</v>
      </c>
      <c r="PV19" s="30">
        <f>'REG y VAL POE - AESR - ESR'!AP1307</f>
        <v>0</v>
      </c>
      <c r="PW19" s="28">
        <f>'REG y VAL POE - AESR - ESR'!AQ1307</f>
        <v>0</v>
      </c>
      <c r="PX19" s="29">
        <f>'REG y VAL POE - AESR - ESR'!AR1307</f>
        <v>0</v>
      </c>
      <c r="PY19" s="29">
        <f>'REG y VAL POE - AESR - ESR'!AS1307</f>
        <v>0</v>
      </c>
      <c r="PZ19" s="385" t="str">
        <f>'REG y VAL POE - AESR - ESR'!B1308</f>
        <v xml:space="preserve">Montan Ixtepan Oscar </v>
      </c>
      <c r="QA19" s="28" t="str">
        <f>'REG y VAL POE - AESR - ESR'!C1308</f>
        <v>Sin Registro</v>
      </c>
      <c r="QB19" s="29">
        <f>'REG y VAL POE - AESR - ESR'!D1308</f>
        <v>23163157</v>
      </c>
      <c r="QC19" s="29">
        <f>'REG y VAL POE - AESR - ESR'!E1308</f>
        <v>0</v>
      </c>
      <c r="QD19" s="28">
        <f>'REG y VAL POE - AESR - ESR'!F1308</f>
        <v>0</v>
      </c>
      <c r="QE19" s="29">
        <f>'REG y VAL POE - AESR - ESR'!G1308</f>
        <v>0</v>
      </c>
      <c r="QF19" s="30">
        <f>'REG y VAL POE - AESR - ESR'!H1308</f>
        <v>0</v>
      </c>
      <c r="QG19" s="28">
        <f>'REG y VAL POE - AESR - ESR'!I1308</f>
        <v>0</v>
      </c>
      <c r="QH19" s="29">
        <f>'REG y VAL POE - AESR - ESR'!J1308</f>
        <v>0</v>
      </c>
      <c r="QI19" s="29">
        <f>'REG y VAL POE - AESR - ESR'!K1308</f>
        <v>0</v>
      </c>
      <c r="QJ19" s="29">
        <f>'REG y VAL POE - AESR - ESR'!L1308</f>
        <v>0</v>
      </c>
      <c r="QK19" s="28">
        <f>'REG y VAL POE - AESR - ESR'!M1308</f>
        <v>0</v>
      </c>
      <c r="QL19" s="29">
        <f>'REG y VAL POE - AESR - ESR'!N1308</f>
        <v>0</v>
      </c>
      <c r="QM19" s="29">
        <f>'REG y VAL POE - AESR - ESR'!O1308</f>
        <v>0</v>
      </c>
      <c r="QN19" s="28">
        <f>'REG y VAL POE - AESR - ESR'!P1308</f>
        <v>0</v>
      </c>
      <c r="QO19" s="29">
        <f>'REG y VAL POE - AESR - ESR'!Q1308</f>
        <v>0</v>
      </c>
      <c r="QP19" s="30">
        <f>'REG y VAL POE - AESR - ESR'!R1308</f>
        <v>0</v>
      </c>
      <c r="QQ19" s="28">
        <f>'REG y VAL POE - AESR - ESR'!S1308</f>
        <v>0</v>
      </c>
      <c r="QR19" s="29">
        <f>'REG y VAL POE - AESR - ESR'!T1308</f>
        <v>0</v>
      </c>
      <c r="QS19" s="29">
        <f>'REG y VAL POE - AESR - ESR'!U1308</f>
        <v>0</v>
      </c>
      <c r="QT19" s="29">
        <f>'REG y VAL POE - AESR - ESR'!V1308</f>
        <v>0</v>
      </c>
      <c r="QU19" s="28">
        <f>'REG y VAL POE - AESR - ESR'!W1308</f>
        <v>0</v>
      </c>
      <c r="QV19" s="29">
        <f>'REG y VAL POE - AESR - ESR'!X1308</f>
        <v>0</v>
      </c>
      <c r="QW19" s="29">
        <f>'REG y VAL POE - AESR - ESR'!Y1308</f>
        <v>0</v>
      </c>
      <c r="QX19" s="28">
        <f>'REG y VAL POE - AESR - ESR'!Z1308</f>
        <v>0</v>
      </c>
      <c r="QY19" s="29">
        <f>'REG y VAL POE - AESR - ESR'!AA1308</f>
        <v>0</v>
      </c>
      <c r="QZ19" s="30">
        <f>'REG y VAL POE - AESR - ESR'!AB1308</f>
        <v>0</v>
      </c>
      <c r="RA19" s="28">
        <f>'REG y VAL POE - AESR - ESR'!AC1308</f>
        <v>0</v>
      </c>
      <c r="RB19" s="29">
        <f>'REG y VAL POE - AESR - ESR'!AD1308</f>
        <v>0</v>
      </c>
      <c r="RC19" s="29">
        <f>'REG y VAL POE - AESR - ESR'!AE1308</f>
        <v>0</v>
      </c>
      <c r="RD19" s="29">
        <f>'REG y VAL POE - AESR - ESR'!AF1308</f>
        <v>0</v>
      </c>
      <c r="RE19" s="28">
        <f>'REG y VAL POE - AESR - ESR'!AG1308</f>
        <v>0</v>
      </c>
      <c r="RF19" s="29">
        <f>'REG y VAL POE - AESR - ESR'!AH1308</f>
        <v>0</v>
      </c>
      <c r="RG19" s="29">
        <f>'REG y VAL POE - AESR - ESR'!AI1308</f>
        <v>0</v>
      </c>
      <c r="RH19" s="28">
        <f>'REG y VAL POE - AESR - ESR'!AJ1308</f>
        <v>0</v>
      </c>
      <c r="RI19" s="29">
        <f>'REG y VAL POE - AESR - ESR'!AK1308</f>
        <v>0</v>
      </c>
      <c r="RJ19" s="30">
        <f>'REG y VAL POE - AESR - ESR'!AL1308</f>
        <v>0</v>
      </c>
      <c r="RK19" s="28">
        <f>'REG y VAL POE - AESR - ESR'!AM1308</f>
        <v>0</v>
      </c>
      <c r="RL19" s="29">
        <f>'REG y VAL POE - AESR - ESR'!AN1308</f>
        <v>0</v>
      </c>
      <c r="RM19" s="29">
        <f>'REG y VAL POE - AESR - ESR'!AO1308</f>
        <v>0</v>
      </c>
      <c r="RN19" s="29">
        <f>'REG y VAL POE - AESR - ESR'!AP1308</f>
        <v>0</v>
      </c>
      <c r="RO19" s="28">
        <f>'REG y VAL POE - AESR - ESR'!AQ1308</f>
        <v>0</v>
      </c>
      <c r="RP19" s="29">
        <f>'REG y VAL POE - AESR - ESR'!AR1308</f>
        <v>0</v>
      </c>
      <c r="RQ19" s="29">
        <f>'REG y VAL POE - AESR - ESR'!AS1308</f>
        <v>0</v>
      </c>
      <c r="RR19" s="27" t="str">
        <f>'REG y VAL POE - AESR - ESR'!B1309</f>
        <v xml:space="preserve">Mora Perez Maricela </v>
      </c>
      <c r="RS19" s="29" t="str">
        <f>'REG y VAL POE - AESR - ESR'!C1309</f>
        <v>Sin Registro</v>
      </c>
      <c r="RT19" s="30">
        <f>'REG y VAL POE - AESR - ESR'!D1309</f>
        <v>23162218</v>
      </c>
      <c r="RU19" s="28">
        <f>'REG y VAL POE - AESR - ESR'!E1309</f>
        <v>0</v>
      </c>
      <c r="RV19" s="29">
        <f>'REG y VAL POE - AESR - ESR'!F1309</f>
        <v>0</v>
      </c>
      <c r="RW19" s="29">
        <f>'REG y VAL POE - AESR - ESR'!G1309</f>
        <v>0</v>
      </c>
      <c r="RX19" s="29">
        <f>'REG y VAL POE - AESR - ESR'!H1309</f>
        <v>0</v>
      </c>
      <c r="RY19" s="28">
        <f>'REG y VAL POE - AESR - ESR'!I1309</f>
        <v>0</v>
      </c>
      <c r="RZ19" s="29">
        <f>'REG y VAL POE - AESR - ESR'!J1309</f>
        <v>0</v>
      </c>
      <c r="SA19" s="29">
        <f>'REG y VAL POE - AESR - ESR'!K1309</f>
        <v>0</v>
      </c>
      <c r="SB19" s="28">
        <f>'REG y VAL POE - AESR - ESR'!L1309</f>
        <v>0</v>
      </c>
      <c r="SC19" s="29">
        <f>'REG y VAL POE - AESR - ESR'!M1309</f>
        <v>0</v>
      </c>
      <c r="SD19" s="30">
        <f>'REG y VAL POE - AESR - ESR'!N1309</f>
        <v>0</v>
      </c>
      <c r="SE19" s="28">
        <f>'REG y VAL POE - AESR - ESR'!O1309</f>
        <v>0</v>
      </c>
      <c r="SF19" s="29">
        <f>'REG y VAL POE - AESR - ESR'!P1309</f>
        <v>0</v>
      </c>
      <c r="SG19" s="29">
        <f>'REG y VAL POE - AESR - ESR'!Q1309</f>
        <v>0</v>
      </c>
      <c r="SH19" s="29">
        <f>'REG y VAL POE - AESR - ESR'!R1309</f>
        <v>0</v>
      </c>
      <c r="SI19" s="28">
        <f>'REG y VAL POE - AESR - ESR'!S1309</f>
        <v>0</v>
      </c>
      <c r="SJ19" s="29">
        <f>'REG y VAL POE - AESR - ESR'!T1309</f>
        <v>0</v>
      </c>
      <c r="SK19" s="29">
        <f>'REG y VAL POE - AESR - ESR'!U1309</f>
        <v>0</v>
      </c>
      <c r="SL19" s="28">
        <f>'REG y VAL POE - AESR - ESR'!V1309</f>
        <v>0</v>
      </c>
      <c r="SM19" s="29">
        <f>'REG y VAL POE - AESR - ESR'!W1309</f>
        <v>0</v>
      </c>
      <c r="SN19" s="30">
        <f>'REG y VAL POE - AESR - ESR'!X1309</f>
        <v>0</v>
      </c>
      <c r="SO19" s="28">
        <f>'REG y VAL POE - AESR - ESR'!Y1309</f>
        <v>0</v>
      </c>
      <c r="SP19" s="29">
        <f>'REG y VAL POE - AESR - ESR'!Z1309</f>
        <v>0</v>
      </c>
      <c r="SQ19" s="29">
        <f>'REG y VAL POE - AESR - ESR'!AA1309</f>
        <v>0</v>
      </c>
      <c r="SR19" s="29">
        <f>'REG y VAL POE - AESR - ESR'!AB1309</f>
        <v>0</v>
      </c>
      <c r="SS19" s="28">
        <f>'REG y VAL POE - AESR - ESR'!AC1309</f>
        <v>0</v>
      </c>
      <c r="ST19" s="29">
        <f>'REG y VAL POE - AESR - ESR'!AD1309</f>
        <v>0</v>
      </c>
      <c r="SU19" s="29">
        <f>'REG y VAL POE - AESR - ESR'!AE1309</f>
        <v>0</v>
      </c>
      <c r="SV19" s="28">
        <f>'REG y VAL POE - AESR - ESR'!AF1309</f>
        <v>0</v>
      </c>
      <c r="SW19" s="29">
        <f>'REG y VAL POE - AESR - ESR'!AG1309</f>
        <v>0</v>
      </c>
      <c r="SX19" s="30">
        <f>'REG y VAL POE - AESR - ESR'!AH1309</f>
        <v>0</v>
      </c>
      <c r="SY19" s="28">
        <f>'REG y VAL POE - AESR - ESR'!AI1309</f>
        <v>0</v>
      </c>
      <c r="SZ19" s="29">
        <f>'REG y VAL POE - AESR - ESR'!AJ1309</f>
        <v>0</v>
      </c>
      <c r="TA19" s="29">
        <f>'REG y VAL POE - AESR - ESR'!AK1309</f>
        <v>0</v>
      </c>
      <c r="TB19" s="29">
        <f>'REG y VAL POE - AESR - ESR'!AL1309</f>
        <v>0</v>
      </c>
      <c r="TC19" s="28">
        <f>'REG y VAL POE - AESR - ESR'!AM1309</f>
        <v>0</v>
      </c>
      <c r="TD19" s="29">
        <f>'REG y VAL POE - AESR - ESR'!AN1309</f>
        <v>0</v>
      </c>
      <c r="TE19" s="29">
        <f>'REG y VAL POE - AESR - ESR'!AO1309</f>
        <v>0</v>
      </c>
      <c r="TF19" s="28">
        <f>'REG y VAL POE - AESR - ESR'!AP1309</f>
        <v>0</v>
      </c>
      <c r="TG19" s="29">
        <f>'REG y VAL POE - AESR - ESR'!AQ1309</f>
        <v>0</v>
      </c>
      <c r="TH19" s="30">
        <f>'REG y VAL POE - AESR - ESR'!AR1309</f>
        <v>0</v>
      </c>
      <c r="TI19" s="28">
        <f>'REG y VAL POE - AESR - ESR'!AS1309</f>
        <v>0</v>
      </c>
      <c r="TJ19" s="385" t="str">
        <f>'REG y VAL POE - AESR - ESR'!B1310</f>
        <v xml:space="preserve">Morantes Anzures Magaly Jaqueline </v>
      </c>
      <c r="TK19" s="29" t="str">
        <f>'REG y VAL POE - AESR - ESR'!C1310</f>
        <v>Sin Registro</v>
      </c>
      <c r="TL19" s="29">
        <f>'REG y VAL POE - AESR - ESR'!D1310</f>
        <v>23163649</v>
      </c>
      <c r="TM19" s="28">
        <f>'REG y VAL POE - AESR - ESR'!E1310</f>
        <v>0</v>
      </c>
      <c r="TN19" s="29">
        <f>'REG y VAL POE - AESR - ESR'!F1310</f>
        <v>0</v>
      </c>
      <c r="TO19" s="29">
        <f>'REG y VAL POE - AESR - ESR'!G1310</f>
        <v>0</v>
      </c>
      <c r="TP19" s="28">
        <f>'REG y VAL POE - AESR - ESR'!H1310</f>
        <v>0</v>
      </c>
      <c r="TQ19" s="29">
        <f>'REG y VAL POE - AESR - ESR'!I1310</f>
        <v>0</v>
      </c>
      <c r="TR19" s="30">
        <f>'REG y VAL POE - AESR - ESR'!J1310</f>
        <v>0</v>
      </c>
      <c r="TS19" s="28">
        <f>'REG y VAL POE - AESR - ESR'!K1310</f>
        <v>0</v>
      </c>
      <c r="TT19" s="29">
        <f>'REG y VAL POE - AESR - ESR'!L1310</f>
        <v>0</v>
      </c>
      <c r="TU19" s="29">
        <f>'REG y VAL POE - AESR - ESR'!M1310</f>
        <v>0</v>
      </c>
      <c r="TV19" s="29">
        <f>'REG y VAL POE - AESR - ESR'!N1310</f>
        <v>0</v>
      </c>
      <c r="TW19" s="28">
        <f>'REG y VAL POE - AESR - ESR'!O1310</f>
        <v>0</v>
      </c>
      <c r="TX19" s="29">
        <f>'REG y VAL POE - AESR - ESR'!P1310</f>
        <v>0</v>
      </c>
      <c r="TY19" s="29">
        <f>'REG y VAL POE - AESR - ESR'!Q1310</f>
        <v>0</v>
      </c>
      <c r="TZ19" s="28">
        <f>'REG y VAL POE - AESR - ESR'!R1310</f>
        <v>0</v>
      </c>
      <c r="UA19" s="29">
        <f>'REG y VAL POE - AESR - ESR'!S1310</f>
        <v>0</v>
      </c>
      <c r="UB19" s="30">
        <f>'REG y VAL POE - AESR - ESR'!T1310</f>
        <v>0</v>
      </c>
      <c r="UC19" s="28">
        <f>'REG y VAL POE - AESR - ESR'!U1310</f>
        <v>0</v>
      </c>
      <c r="UD19" s="29">
        <f>'REG y VAL POE - AESR - ESR'!V1310</f>
        <v>0</v>
      </c>
      <c r="UE19" s="29">
        <f>'REG y VAL POE - AESR - ESR'!W1310</f>
        <v>0</v>
      </c>
      <c r="UF19" s="29">
        <f>'REG y VAL POE - AESR - ESR'!X1310</f>
        <v>0</v>
      </c>
      <c r="UG19" s="28">
        <f>'REG y VAL POE - AESR - ESR'!Y1310</f>
        <v>0</v>
      </c>
      <c r="UH19" s="29">
        <f>'REG y VAL POE - AESR - ESR'!Z1310</f>
        <v>0</v>
      </c>
      <c r="UI19" s="29">
        <f>'REG y VAL POE - AESR - ESR'!AA1310</f>
        <v>0</v>
      </c>
      <c r="UJ19" s="28">
        <f>'REG y VAL POE - AESR - ESR'!AB1310</f>
        <v>0</v>
      </c>
      <c r="UK19" s="29">
        <f>'REG y VAL POE - AESR - ESR'!AC1310</f>
        <v>0</v>
      </c>
      <c r="UL19" s="30">
        <f>'REG y VAL POE - AESR - ESR'!AD1310</f>
        <v>0</v>
      </c>
      <c r="UM19" s="28">
        <f>'REG y VAL POE - AESR - ESR'!AE1310</f>
        <v>0</v>
      </c>
      <c r="UN19" s="29">
        <f>'REG y VAL POE - AESR - ESR'!AF1310</f>
        <v>0</v>
      </c>
      <c r="UO19" s="29">
        <f>'REG y VAL POE - AESR - ESR'!AG1310</f>
        <v>0</v>
      </c>
      <c r="UP19" s="29">
        <f>'REG y VAL POE - AESR - ESR'!AH1310</f>
        <v>0</v>
      </c>
      <c r="UQ19" s="28">
        <f>'REG y VAL POE - AESR - ESR'!AI1310</f>
        <v>0</v>
      </c>
      <c r="UR19" s="29">
        <f>'REG y VAL POE - AESR - ESR'!AJ1310</f>
        <v>0</v>
      </c>
      <c r="US19" s="29">
        <f>'REG y VAL POE - AESR - ESR'!AK1310</f>
        <v>0</v>
      </c>
      <c r="UT19" s="28">
        <f>'REG y VAL POE - AESR - ESR'!AL1310</f>
        <v>0</v>
      </c>
      <c r="UU19" s="29">
        <f>'REG y VAL POE - AESR - ESR'!AM1310</f>
        <v>0</v>
      </c>
      <c r="UV19" s="30">
        <f>'REG y VAL POE - AESR - ESR'!AN1310</f>
        <v>0</v>
      </c>
      <c r="UW19" s="28">
        <f>'REG y VAL POE - AESR - ESR'!AO1310</f>
        <v>0</v>
      </c>
      <c r="UX19" s="29">
        <f>'REG y VAL POE - AESR - ESR'!AP1310</f>
        <v>0</v>
      </c>
      <c r="UY19" s="29">
        <f>'REG y VAL POE - AESR - ESR'!AQ1310</f>
        <v>0</v>
      </c>
      <c r="UZ19" s="29">
        <f>'REG y VAL POE - AESR - ESR'!AR1310</f>
        <v>0</v>
      </c>
      <c r="VA19" s="28">
        <f>'REG y VAL POE - AESR - ESR'!AS1310</f>
        <v>0</v>
      </c>
      <c r="VB19" s="385" t="str">
        <f>'REG y VAL POE - AESR - ESR'!B1311</f>
        <v xml:space="preserve">Nevarez Gomez Daniel </v>
      </c>
      <c r="VC19" s="29" t="str">
        <f>'REG y VAL POE - AESR - ESR'!C1311</f>
        <v>Sin Registro</v>
      </c>
      <c r="VD19" s="28">
        <f>'REG y VAL POE - AESR - ESR'!D1311</f>
        <v>23030452</v>
      </c>
      <c r="VE19" s="29">
        <f>'REG y VAL POE - AESR - ESR'!E1311</f>
        <v>0</v>
      </c>
      <c r="VF19" s="30">
        <f>'REG y VAL POE - AESR - ESR'!F1311</f>
        <v>0</v>
      </c>
      <c r="VG19" s="28">
        <f>'REG y VAL POE - AESR - ESR'!G1311</f>
        <v>0</v>
      </c>
      <c r="VH19" s="29">
        <f>'REG y VAL POE - AESR - ESR'!H1311</f>
        <v>0</v>
      </c>
      <c r="VI19" s="29">
        <f>'REG y VAL POE - AESR - ESR'!I1311</f>
        <v>0</v>
      </c>
      <c r="VJ19" s="29">
        <f>'REG y VAL POE - AESR - ESR'!J1311</f>
        <v>0</v>
      </c>
      <c r="VK19" s="28">
        <f>'REG y VAL POE - AESR - ESR'!K1311</f>
        <v>0</v>
      </c>
      <c r="VL19" s="29">
        <f>'REG y VAL POE - AESR - ESR'!L1311</f>
        <v>0</v>
      </c>
      <c r="VM19" s="29">
        <f>'REG y VAL POE - AESR - ESR'!M1311</f>
        <v>0</v>
      </c>
      <c r="VN19" s="28">
        <f>'REG y VAL POE - AESR - ESR'!N1311</f>
        <v>0</v>
      </c>
      <c r="VO19" s="29">
        <f>'REG y VAL POE - AESR - ESR'!O1311</f>
        <v>0</v>
      </c>
      <c r="VP19" s="30">
        <f>'REG y VAL POE - AESR - ESR'!P1311</f>
        <v>0</v>
      </c>
      <c r="VQ19" s="28">
        <f>'REG y VAL POE - AESR - ESR'!Q1311</f>
        <v>0</v>
      </c>
      <c r="VR19" s="29">
        <f>'REG y VAL POE - AESR - ESR'!R1311</f>
        <v>0</v>
      </c>
      <c r="VS19" s="29">
        <f>'REG y VAL POE - AESR - ESR'!S1311</f>
        <v>0</v>
      </c>
      <c r="VT19" s="29">
        <f>'REG y VAL POE - AESR - ESR'!T1311</f>
        <v>0</v>
      </c>
      <c r="VU19" s="28">
        <f>'REG y VAL POE - AESR - ESR'!U1311</f>
        <v>0</v>
      </c>
      <c r="VV19" s="29">
        <f>'REG y VAL POE - AESR - ESR'!V1311</f>
        <v>0</v>
      </c>
      <c r="VW19" s="29">
        <f>'REG y VAL POE - AESR - ESR'!W1311</f>
        <v>0</v>
      </c>
      <c r="VX19" s="28">
        <f>'REG y VAL POE - AESR - ESR'!X1311</f>
        <v>0</v>
      </c>
      <c r="VY19" s="29">
        <f>'REG y VAL POE - AESR - ESR'!Y1311</f>
        <v>0</v>
      </c>
      <c r="VZ19" s="30">
        <f>'REG y VAL POE - AESR - ESR'!Z1311</f>
        <v>0</v>
      </c>
      <c r="WA19" s="28">
        <f>'REG y VAL POE - AESR - ESR'!AA1311</f>
        <v>0</v>
      </c>
      <c r="WB19" s="29">
        <f>'REG y VAL POE - AESR - ESR'!AB1311</f>
        <v>0</v>
      </c>
      <c r="WC19" s="29">
        <f>'REG y VAL POE - AESR - ESR'!AC1311</f>
        <v>0</v>
      </c>
      <c r="WD19" s="29">
        <f>'REG y VAL POE - AESR - ESR'!AD1311</f>
        <v>0</v>
      </c>
      <c r="WE19" s="28">
        <f>'REG y VAL POE - AESR - ESR'!AE1311</f>
        <v>0</v>
      </c>
      <c r="WF19" s="29">
        <f>'REG y VAL POE - AESR - ESR'!AF1311</f>
        <v>0</v>
      </c>
      <c r="WG19" s="29">
        <f>'REG y VAL POE - AESR - ESR'!AG1311</f>
        <v>0</v>
      </c>
      <c r="WH19" s="28">
        <f>'REG y VAL POE - AESR - ESR'!AH1311</f>
        <v>0</v>
      </c>
      <c r="WI19" s="29">
        <f>'REG y VAL POE - AESR - ESR'!AI1311</f>
        <v>0</v>
      </c>
      <c r="WJ19" s="30">
        <f>'REG y VAL POE - AESR - ESR'!AJ1311</f>
        <v>0</v>
      </c>
      <c r="WK19" s="28">
        <f>'REG y VAL POE - AESR - ESR'!AK1311</f>
        <v>0</v>
      </c>
      <c r="WL19" s="29">
        <f>'REG y VAL POE - AESR - ESR'!AL1311</f>
        <v>0</v>
      </c>
      <c r="WM19" s="29">
        <f>'REG y VAL POE - AESR - ESR'!AM1311</f>
        <v>0</v>
      </c>
      <c r="WN19" s="29">
        <f>'REG y VAL POE - AESR - ESR'!AN1311</f>
        <v>0</v>
      </c>
      <c r="WO19" s="28">
        <f>'REG y VAL POE - AESR - ESR'!AO1311</f>
        <v>0</v>
      </c>
      <c r="WP19" s="29">
        <f>'REG y VAL POE - AESR - ESR'!AP1311</f>
        <v>0</v>
      </c>
      <c r="WQ19" s="29">
        <f>'REG y VAL POE - AESR - ESR'!AQ1311</f>
        <v>0</v>
      </c>
      <c r="WR19" s="28">
        <f>'REG y VAL POE - AESR - ESR'!AR1311</f>
        <v>0</v>
      </c>
      <c r="WS19" s="29">
        <f>'REG y VAL POE - AESR - ESR'!AS1311</f>
        <v>0</v>
      </c>
      <c r="WT19" s="27" t="str">
        <f>'REG y VAL POE - AESR - ESR'!B1312</f>
        <v xml:space="preserve">Olaya Hernandez Luis Antonio </v>
      </c>
      <c r="WU19" s="28" t="str">
        <f>'REG y VAL POE - AESR - ESR'!C1312</f>
        <v>Sin Registro</v>
      </c>
      <c r="WV19" s="29">
        <f>'REG y VAL POE - AESR - ESR'!D1312</f>
        <v>23013682</v>
      </c>
      <c r="WW19" s="29">
        <f>'REG y VAL POE - AESR - ESR'!E1312</f>
        <v>0</v>
      </c>
      <c r="WX19" s="29">
        <f>'REG y VAL POE - AESR - ESR'!F1312</f>
        <v>0</v>
      </c>
      <c r="WY19" s="28">
        <f>'REG y VAL POE - AESR - ESR'!G1312</f>
        <v>0</v>
      </c>
      <c r="WZ19" s="29">
        <f>'REG y VAL POE - AESR - ESR'!H1312</f>
        <v>0</v>
      </c>
      <c r="XA19" s="29">
        <f>'REG y VAL POE - AESR - ESR'!I1312</f>
        <v>0</v>
      </c>
      <c r="XB19" s="28">
        <f>'REG y VAL POE - AESR - ESR'!J1312</f>
        <v>0</v>
      </c>
      <c r="XC19" s="29">
        <f>'REG y VAL POE - AESR - ESR'!K1312</f>
        <v>0</v>
      </c>
      <c r="XD19" s="30">
        <f>'REG y VAL POE - AESR - ESR'!L1312</f>
        <v>0</v>
      </c>
      <c r="XE19" s="28">
        <f>'REG y VAL POE - AESR - ESR'!M1312</f>
        <v>0</v>
      </c>
      <c r="XF19" s="29">
        <f>'REG y VAL POE - AESR - ESR'!N1312</f>
        <v>0</v>
      </c>
      <c r="XG19" s="29">
        <f>'REG y VAL POE - AESR - ESR'!O1312</f>
        <v>0</v>
      </c>
      <c r="XH19" s="29">
        <f>'REG y VAL POE - AESR - ESR'!P1312</f>
        <v>0</v>
      </c>
      <c r="XI19" s="28">
        <f>'REG y VAL POE - AESR - ESR'!Q1312</f>
        <v>0</v>
      </c>
      <c r="XJ19" s="29">
        <f>'REG y VAL POE - AESR - ESR'!R1312</f>
        <v>0</v>
      </c>
      <c r="XK19" s="29">
        <f>'REG y VAL POE - AESR - ESR'!S1312</f>
        <v>0</v>
      </c>
      <c r="XL19" s="28">
        <f>'REG y VAL POE - AESR - ESR'!T1312</f>
        <v>0</v>
      </c>
      <c r="XM19" s="29">
        <f>'REG y VAL POE - AESR - ESR'!U1312</f>
        <v>0</v>
      </c>
      <c r="XN19" s="30">
        <f>'REG y VAL POE - AESR - ESR'!V1312</f>
        <v>0</v>
      </c>
      <c r="XO19" s="28">
        <f>'REG y VAL POE - AESR - ESR'!W1312</f>
        <v>0</v>
      </c>
      <c r="XP19" s="29">
        <f>'REG y VAL POE - AESR - ESR'!X1312</f>
        <v>0</v>
      </c>
      <c r="XQ19" s="29">
        <f>'REG y VAL POE - AESR - ESR'!Y1312</f>
        <v>0</v>
      </c>
      <c r="XR19" s="29">
        <f>'REG y VAL POE - AESR - ESR'!Z1312</f>
        <v>0</v>
      </c>
      <c r="XS19" s="28">
        <f>'REG y VAL POE - AESR - ESR'!AA1312</f>
        <v>0</v>
      </c>
      <c r="XT19" s="29">
        <f>'REG y VAL POE - AESR - ESR'!AB1312</f>
        <v>0</v>
      </c>
      <c r="XU19" s="29">
        <f>'REG y VAL POE - AESR - ESR'!AC1312</f>
        <v>0</v>
      </c>
      <c r="XV19" s="28">
        <f>'REG y VAL POE - AESR - ESR'!AD1312</f>
        <v>0</v>
      </c>
      <c r="XW19" s="29">
        <f>'REG y VAL POE - AESR - ESR'!AE1312</f>
        <v>0</v>
      </c>
      <c r="XX19" s="30">
        <f>'REG y VAL POE - AESR - ESR'!AF1312</f>
        <v>0</v>
      </c>
      <c r="XY19" s="28">
        <f>'REG y VAL POE - AESR - ESR'!AG1312</f>
        <v>0</v>
      </c>
      <c r="XZ19" s="29">
        <f>'REG y VAL POE - AESR - ESR'!AH1312</f>
        <v>0</v>
      </c>
      <c r="YA19" s="29">
        <f>'REG y VAL POE - AESR - ESR'!AI1312</f>
        <v>0</v>
      </c>
      <c r="YB19" s="29">
        <f>'REG y VAL POE - AESR - ESR'!AJ1312</f>
        <v>0</v>
      </c>
      <c r="YC19" s="28">
        <f>'REG y VAL POE - AESR - ESR'!AK1312</f>
        <v>0</v>
      </c>
      <c r="YD19" s="29">
        <f>'REG y VAL POE - AESR - ESR'!AL1312</f>
        <v>0</v>
      </c>
      <c r="YE19" s="29">
        <f>'REG y VAL POE - AESR - ESR'!AM1312</f>
        <v>0</v>
      </c>
      <c r="YF19" s="28">
        <f>'REG y VAL POE - AESR - ESR'!AN1312</f>
        <v>0</v>
      </c>
      <c r="YG19" s="29">
        <f>'REG y VAL POE - AESR - ESR'!AO1312</f>
        <v>0</v>
      </c>
      <c r="YH19" s="30">
        <f>'REG y VAL POE - AESR - ESR'!AP1312</f>
        <v>0</v>
      </c>
      <c r="YI19" s="28">
        <f>'REG y VAL POE - AESR - ESR'!AQ1312</f>
        <v>0</v>
      </c>
      <c r="YJ19" s="29">
        <f>'REG y VAL POE - AESR - ESR'!AR1312</f>
        <v>0</v>
      </c>
      <c r="YK19" s="29">
        <f>'REG y VAL POE - AESR - ESR'!AS1312</f>
        <v>0</v>
      </c>
      <c r="YL19" s="385" t="str">
        <f>'REG y VAL POE - AESR - ESR'!B1313</f>
        <v xml:space="preserve">Osorio Mendoza Sahian Michelle </v>
      </c>
      <c r="YM19" s="28" t="str">
        <f>'REG y VAL POE - AESR - ESR'!C1313</f>
        <v>Sin Registro</v>
      </c>
      <c r="YN19" s="29">
        <f>'REG y VAL POE - AESR - ESR'!D1313</f>
        <v>23032542</v>
      </c>
      <c r="YO19" s="29">
        <f>'REG y VAL POE - AESR - ESR'!E1313</f>
        <v>0</v>
      </c>
      <c r="YP19" s="28">
        <f>'REG y VAL POE - AESR - ESR'!F1313</f>
        <v>0</v>
      </c>
      <c r="YQ19" s="29">
        <f>'REG y VAL POE - AESR - ESR'!G1313</f>
        <v>0</v>
      </c>
      <c r="YR19" s="30">
        <f>'REG y VAL POE - AESR - ESR'!H1313</f>
        <v>0</v>
      </c>
      <c r="YS19" s="28">
        <f>'REG y VAL POE - AESR - ESR'!I1313</f>
        <v>0</v>
      </c>
      <c r="YT19" s="29">
        <f>'REG y VAL POE - AESR - ESR'!J1313</f>
        <v>0</v>
      </c>
      <c r="YU19" s="29">
        <f>'REG y VAL POE - AESR - ESR'!K1313</f>
        <v>0</v>
      </c>
      <c r="YV19" s="29">
        <f>'REG y VAL POE - AESR - ESR'!L1313</f>
        <v>0</v>
      </c>
      <c r="YW19" s="28">
        <f>'REG y VAL POE - AESR - ESR'!M1313</f>
        <v>0</v>
      </c>
      <c r="YX19" s="29">
        <f>'REG y VAL POE - AESR - ESR'!N1313</f>
        <v>0</v>
      </c>
      <c r="YY19" s="29">
        <f>'REG y VAL POE - AESR - ESR'!O1313</f>
        <v>0</v>
      </c>
      <c r="YZ19" s="28">
        <f>'REG y VAL POE - AESR - ESR'!P1313</f>
        <v>0</v>
      </c>
      <c r="ZA19" s="29">
        <f>'REG y VAL POE - AESR - ESR'!Q1313</f>
        <v>0</v>
      </c>
      <c r="ZB19" s="30">
        <f>'REG y VAL POE - AESR - ESR'!R1313</f>
        <v>0</v>
      </c>
      <c r="ZC19" s="28">
        <f>'REG y VAL POE - AESR - ESR'!S1313</f>
        <v>0</v>
      </c>
      <c r="ZD19" s="29">
        <f>'REG y VAL POE - AESR - ESR'!T1313</f>
        <v>0</v>
      </c>
      <c r="ZE19" s="29">
        <f>'REG y VAL POE - AESR - ESR'!U1313</f>
        <v>0</v>
      </c>
      <c r="ZF19" s="29">
        <f>'REG y VAL POE - AESR - ESR'!V1313</f>
        <v>0</v>
      </c>
      <c r="ZG19" s="28">
        <f>'REG y VAL POE - AESR - ESR'!W1313</f>
        <v>0</v>
      </c>
      <c r="ZH19" s="29">
        <f>'REG y VAL POE - AESR - ESR'!X1313</f>
        <v>0</v>
      </c>
      <c r="ZI19" s="29">
        <f>'REG y VAL POE - AESR - ESR'!Y1313</f>
        <v>0</v>
      </c>
      <c r="ZJ19" s="28">
        <f>'REG y VAL POE - AESR - ESR'!Z1313</f>
        <v>0</v>
      </c>
      <c r="ZK19" s="29">
        <f>'REG y VAL POE - AESR - ESR'!AA1313</f>
        <v>0</v>
      </c>
      <c r="ZL19" s="30">
        <f>'REG y VAL POE - AESR - ESR'!AB1313</f>
        <v>0</v>
      </c>
      <c r="ZM19" s="28">
        <f>'REG y VAL POE - AESR - ESR'!AC1313</f>
        <v>0</v>
      </c>
      <c r="ZN19" s="29">
        <f>'REG y VAL POE - AESR - ESR'!AD1313</f>
        <v>0</v>
      </c>
      <c r="ZO19" s="29">
        <f>'REG y VAL POE - AESR - ESR'!AE1313</f>
        <v>0</v>
      </c>
      <c r="ZP19" s="29">
        <f>'REG y VAL POE - AESR - ESR'!AF1313</f>
        <v>0</v>
      </c>
      <c r="ZQ19" s="28">
        <f>'REG y VAL POE - AESR - ESR'!AG1313</f>
        <v>0</v>
      </c>
      <c r="ZR19" s="29">
        <f>'REG y VAL POE - AESR - ESR'!AH1313</f>
        <v>0</v>
      </c>
      <c r="ZS19" s="29">
        <f>'REG y VAL POE - AESR - ESR'!AI1313</f>
        <v>0</v>
      </c>
      <c r="ZT19" s="28">
        <f>'REG y VAL POE - AESR - ESR'!AJ1313</f>
        <v>0</v>
      </c>
      <c r="ZU19" s="29">
        <f>'REG y VAL POE - AESR - ESR'!AK1313</f>
        <v>0</v>
      </c>
      <c r="ZV19" s="30">
        <f>'REG y VAL POE - AESR - ESR'!AL1313</f>
        <v>0</v>
      </c>
      <c r="ZW19" s="28">
        <f>'REG y VAL POE - AESR - ESR'!AM1313</f>
        <v>0</v>
      </c>
      <c r="ZX19" s="29">
        <f>'REG y VAL POE - AESR - ESR'!AN1313</f>
        <v>0</v>
      </c>
      <c r="ZY19" s="29">
        <f>'REG y VAL POE - AESR - ESR'!AO1313</f>
        <v>0</v>
      </c>
      <c r="ZZ19" s="29">
        <f>'REG y VAL POE - AESR - ESR'!AP1313</f>
        <v>0</v>
      </c>
      <c r="AAA19" s="28">
        <f>'REG y VAL POE - AESR - ESR'!AQ1313</f>
        <v>0</v>
      </c>
      <c r="AAB19" s="29">
        <f>'REG y VAL POE - AESR - ESR'!AR1313</f>
        <v>0</v>
      </c>
      <c r="AAC19" s="29">
        <f>'REG y VAL POE - AESR - ESR'!AS1313</f>
        <v>0</v>
      </c>
      <c r="AAD19" s="27" t="str">
        <f>'REG y VAL POE - AESR - ESR'!B1314</f>
        <v xml:space="preserve">Pelaez Barrera Juan Carlos </v>
      </c>
      <c r="AAE19" s="29" t="str">
        <f>'REG y VAL POE - AESR - ESR'!C1314</f>
        <v>Sin Registro</v>
      </c>
      <c r="AAF19" s="30">
        <f>'REG y VAL POE - AESR - ESR'!D1314</f>
        <v>23032647</v>
      </c>
      <c r="AAG19" s="28">
        <f>'REG y VAL POE - AESR - ESR'!E1314</f>
        <v>0</v>
      </c>
      <c r="AAH19" s="29">
        <f>'REG y VAL POE - AESR - ESR'!F1314</f>
        <v>0</v>
      </c>
      <c r="AAI19" s="29">
        <f>'REG y VAL POE - AESR - ESR'!G1314</f>
        <v>0</v>
      </c>
      <c r="AAJ19" s="29">
        <f>'REG y VAL POE - AESR - ESR'!H1314</f>
        <v>0</v>
      </c>
      <c r="AAK19" s="28">
        <f>'REG y VAL POE - AESR - ESR'!I1314</f>
        <v>0</v>
      </c>
      <c r="AAL19" s="29">
        <f>'REG y VAL POE - AESR - ESR'!J1314</f>
        <v>0</v>
      </c>
      <c r="AAM19" s="29">
        <f>'REG y VAL POE - AESR - ESR'!K1314</f>
        <v>0</v>
      </c>
      <c r="AAN19" s="28">
        <f>'REG y VAL POE - AESR - ESR'!L1314</f>
        <v>0</v>
      </c>
      <c r="AAO19" s="29">
        <f>'REG y VAL POE - AESR - ESR'!M1314</f>
        <v>0</v>
      </c>
      <c r="AAP19" s="30">
        <f>'REG y VAL POE - AESR - ESR'!N1314</f>
        <v>0</v>
      </c>
      <c r="AAQ19" s="28">
        <f>'REG y VAL POE - AESR - ESR'!O1314</f>
        <v>0</v>
      </c>
      <c r="AAR19" s="29">
        <f>'REG y VAL POE - AESR - ESR'!P1314</f>
        <v>0</v>
      </c>
      <c r="AAS19" s="29">
        <f>'REG y VAL POE - AESR - ESR'!Q1314</f>
        <v>0</v>
      </c>
      <c r="AAT19" s="29">
        <f>'REG y VAL POE - AESR - ESR'!R1314</f>
        <v>0</v>
      </c>
      <c r="AAU19" s="28">
        <f>'REG y VAL POE - AESR - ESR'!S1314</f>
        <v>0</v>
      </c>
      <c r="AAV19" s="29">
        <f>'REG y VAL POE - AESR - ESR'!T1314</f>
        <v>0</v>
      </c>
      <c r="AAW19" s="29">
        <f>'REG y VAL POE - AESR - ESR'!U1314</f>
        <v>0</v>
      </c>
      <c r="AAX19" s="30">
        <f>'REG y VAL POE - AESR - ESR'!V1314</f>
        <v>0</v>
      </c>
      <c r="AAY19" s="30">
        <f>'REG y VAL POE - AESR - ESR'!W1314</f>
        <v>0</v>
      </c>
      <c r="AAZ19" s="30">
        <f>'REG y VAL POE - AESR - ESR'!X1314</f>
        <v>0</v>
      </c>
      <c r="ABA19" s="28">
        <f>'REG y VAL POE - AESR - ESR'!Y1314</f>
        <v>0</v>
      </c>
      <c r="ABB19" s="30">
        <f>'REG y VAL POE - AESR - ESR'!Z1314</f>
        <v>0</v>
      </c>
      <c r="ABC19" s="30">
        <f>'REG y VAL POE - AESR - ESR'!AA1314</f>
        <v>0</v>
      </c>
      <c r="ABD19" s="30">
        <f>'REG y VAL POE - AESR - ESR'!AB1314</f>
        <v>0</v>
      </c>
      <c r="ABE19" s="30">
        <f>'REG y VAL POE - AESR - ESR'!AC1314</f>
        <v>0</v>
      </c>
      <c r="ABF19" s="30">
        <f>'REG y VAL POE - AESR - ESR'!AD1314</f>
        <v>0</v>
      </c>
      <c r="ABG19" s="29">
        <f>'REG y VAL POE - AESR - ESR'!AE1314</f>
        <v>0</v>
      </c>
      <c r="ABH19" s="28">
        <f>'REG y VAL POE - AESR - ESR'!AF1314</f>
        <v>0</v>
      </c>
      <c r="ABI19" s="29">
        <f>'REG y VAL POE - AESR - ESR'!AG1314</f>
        <v>0</v>
      </c>
      <c r="ABJ19" s="30">
        <f>'REG y VAL POE - AESR - ESR'!AH1314</f>
        <v>0</v>
      </c>
      <c r="ABK19" s="28">
        <f>'REG y VAL POE - AESR - ESR'!AI1314</f>
        <v>0</v>
      </c>
      <c r="ABL19" s="29">
        <f>'REG y VAL POE - AESR - ESR'!AJ1314</f>
        <v>0</v>
      </c>
      <c r="ABM19" s="29">
        <f>'REG y VAL POE - AESR - ESR'!AK1314</f>
        <v>0</v>
      </c>
      <c r="ABN19" s="29">
        <f>'REG y VAL POE - AESR - ESR'!AL1314</f>
        <v>0</v>
      </c>
      <c r="ABO19" s="28">
        <f>'REG y VAL POE - AESR - ESR'!AM1314</f>
        <v>0</v>
      </c>
      <c r="ABP19" s="29">
        <f>'REG y VAL POE - AESR - ESR'!AN1314</f>
        <v>0</v>
      </c>
      <c r="ABQ19" s="29">
        <f>'REG y VAL POE - AESR - ESR'!AO1314</f>
        <v>0</v>
      </c>
      <c r="ABR19" s="28">
        <f>'REG y VAL POE - AESR - ESR'!AP1314</f>
        <v>0</v>
      </c>
      <c r="ABS19" s="29">
        <f>'REG y VAL POE - AESR - ESR'!AQ1314</f>
        <v>0</v>
      </c>
      <c r="ABT19" s="30">
        <f>'REG y VAL POE - AESR - ESR'!AR1314</f>
        <v>0</v>
      </c>
      <c r="ABU19" s="28">
        <f>'REG y VAL POE - AESR - ESR'!AS1314</f>
        <v>0</v>
      </c>
      <c r="ABV19" s="385" t="str">
        <f>'REG y VAL POE - AESR - ESR'!B1315</f>
        <v xml:space="preserve">Rodriguez Bobadilla Alma Deli A </v>
      </c>
      <c r="ABW19" s="29" t="str">
        <f>'REG y VAL POE - AESR - ESR'!C1315</f>
        <v>Sin Registro</v>
      </c>
      <c r="ABX19" s="29">
        <f>'REG y VAL POE - AESR - ESR'!D1315</f>
        <v>23029434</v>
      </c>
      <c r="ABY19" s="28">
        <f>'REG y VAL POE - AESR - ESR'!E1315</f>
        <v>0</v>
      </c>
      <c r="ABZ19" s="29">
        <f>'REG y VAL POE - AESR - ESR'!F1315</f>
        <v>0</v>
      </c>
      <c r="ACA19" s="29">
        <f>'REG y VAL POE - AESR - ESR'!G1315</f>
        <v>0</v>
      </c>
      <c r="ACB19" s="28">
        <f>'REG y VAL POE - AESR - ESR'!H1315</f>
        <v>0</v>
      </c>
      <c r="ACC19" s="29">
        <f>'REG y VAL POE - AESR - ESR'!I1315</f>
        <v>0</v>
      </c>
      <c r="ACD19" s="30">
        <f>'REG y VAL POE - AESR - ESR'!J1315</f>
        <v>0</v>
      </c>
      <c r="ACE19" s="28">
        <f>'REG y VAL POE - AESR - ESR'!K1315</f>
        <v>0</v>
      </c>
      <c r="ACF19" s="29">
        <f>'REG y VAL POE - AESR - ESR'!L1315</f>
        <v>0</v>
      </c>
      <c r="ACG19" s="29">
        <f>'REG y VAL POE - AESR - ESR'!M1315</f>
        <v>0</v>
      </c>
      <c r="ACH19" s="29">
        <f>'REG y VAL POE - AESR - ESR'!N1315</f>
        <v>0</v>
      </c>
      <c r="ACI19" s="28">
        <f>'REG y VAL POE - AESR - ESR'!O1315</f>
        <v>0</v>
      </c>
      <c r="ACJ19" s="29">
        <f>'REG y VAL POE - AESR - ESR'!P1315</f>
        <v>0</v>
      </c>
      <c r="ACK19" s="29">
        <f>'REG y VAL POE - AESR - ESR'!Q1315</f>
        <v>0</v>
      </c>
      <c r="ACL19" s="28">
        <f>'REG y VAL POE - AESR - ESR'!R1315</f>
        <v>0</v>
      </c>
      <c r="ACM19" s="29">
        <f>'REG y VAL POE - AESR - ESR'!S1315</f>
        <v>0</v>
      </c>
      <c r="ACN19" s="30">
        <f>'REG y VAL POE - AESR - ESR'!T1315</f>
        <v>0</v>
      </c>
      <c r="ACO19" s="28">
        <f>'REG y VAL POE - AESR - ESR'!U1315</f>
        <v>0</v>
      </c>
      <c r="ACP19" s="29">
        <f>'REG y VAL POE - AESR - ESR'!V1315</f>
        <v>0</v>
      </c>
      <c r="ACQ19" s="29">
        <f>'REG y VAL POE - AESR - ESR'!W1315</f>
        <v>0</v>
      </c>
      <c r="ACR19" s="29">
        <f>'REG y VAL POE - AESR - ESR'!X1315</f>
        <v>0</v>
      </c>
      <c r="ACS19" s="28">
        <f>'REG y VAL POE - AESR - ESR'!Y1315</f>
        <v>0</v>
      </c>
      <c r="ACT19" s="29">
        <f>'REG y VAL POE - AESR - ESR'!Z1315</f>
        <v>0</v>
      </c>
      <c r="ACU19" s="29">
        <f>'REG y VAL POE - AESR - ESR'!AA1315</f>
        <v>0</v>
      </c>
      <c r="ACV19" s="28">
        <f>'REG y VAL POE - AESR - ESR'!AB1315</f>
        <v>0</v>
      </c>
      <c r="ACW19" s="29">
        <f>'REG y VAL POE - AESR - ESR'!AC1315</f>
        <v>0</v>
      </c>
      <c r="ACX19" s="30">
        <f>'REG y VAL POE - AESR - ESR'!AD1315</f>
        <v>0</v>
      </c>
      <c r="ACY19" s="28">
        <f>'REG y VAL POE - AESR - ESR'!AE1315</f>
        <v>0</v>
      </c>
      <c r="ACZ19" s="29">
        <f>'REG y VAL POE - AESR - ESR'!AF1315</f>
        <v>0</v>
      </c>
      <c r="ADA19" s="29">
        <f>'REG y VAL POE - AESR - ESR'!AG1315</f>
        <v>0</v>
      </c>
      <c r="ADB19" s="29">
        <f>'REG y VAL POE - AESR - ESR'!AH1315</f>
        <v>0</v>
      </c>
      <c r="ADC19" s="28">
        <f>'REG y VAL POE - AESR - ESR'!AI1315</f>
        <v>0</v>
      </c>
      <c r="ADD19" s="29">
        <f>'REG y VAL POE - AESR - ESR'!AJ1315</f>
        <v>0</v>
      </c>
      <c r="ADE19" s="29">
        <f>'REG y VAL POE - AESR - ESR'!AK1315</f>
        <v>0</v>
      </c>
      <c r="ADF19" s="28">
        <f>'REG y VAL POE - AESR - ESR'!AL1315</f>
        <v>0</v>
      </c>
      <c r="ADG19" s="29">
        <f>'REG y VAL POE - AESR - ESR'!AM1315</f>
        <v>0</v>
      </c>
      <c r="ADH19" s="30">
        <f>'REG y VAL POE - AESR - ESR'!AN1315</f>
        <v>0</v>
      </c>
      <c r="ADI19" s="28">
        <f>'REG y VAL POE - AESR - ESR'!AO1315</f>
        <v>0</v>
      </c>
      <c r="ADJ19" s="29">
        <f>'REG y VAL POE - AESR - ESR'!AP1315</f>
        <v>0</v>
      </c>
      <c r="ADK19" s="29">
        <f>'REG y VAL POE - AESR - ESR'!AQ1315</f>
        <v>0</v>
      </c>
      <c r="ADL19" s="29">
        <f>'REG y VAL POE - AESR - ESR'!AR1315</f>
        <v>0</v>
      </c>
      <c r="ADM19" s="28">
        <f>'REG y VAL POE - AESR - ESR'!AS1315</f>
        <v>0</v>
      </c>
      <c r="ADN19" s="385" t="str">
        <f>'REG y VAL POE - AESR - ESR'!B1316</f>
        <v>Rodriguez Hernandez Manuel Alejandro</v>
      </c>
      <c r="ADO19" s="29" t="str">
        <f>'REG y VAL POE - AESR - ESR'!C1316</f>
        <v>ESR</v>
      </c>
      <c r="ADP19" s="28">
        <f>'REG y VAL POE - AESR - ESR'!D1316</f>
        <v>23147817</v>
      </c>
      <c r="ADQ19" s="29">
        <f>'REG y VAL POE - AESR - ESR'!E1316</f>
        <v>0</v>
      </c>
      <c r="ADR19" s="30">
        <f>'REG y VAL POE - AESR - ESR'!F1316</f>
        <v>0</v>
      </c>
      <c r="ADS19" s="28">
        <f>'REG y VAL POE - AESR - ESR'!G1316</f>
        <v>45345</v>
      </c>
      <c r="ADT19" s="29">
        <f>'REG y VAL POE - AESR - ESR'!H1316</f>
        <v>45710</v>
      </c>
      <c r="ADU19" s="29" t="str">
        <f>'REG y VAL POE - AESR - ESR'!I1316</f>
        <v>SI</v>
      </c>
      <c r="ADV19" s="29" t="str">
        <f>'REG y VAL POE - AESR - ESR'!J1316</f>
        <v>Vigente</v>
      </c>
      <c r="ADW19" s="28" t="str">
        <f>'REG y VAL POE - AESR - ESR'!K1316</f>
        <v>SI</v>
      </c>
      <c r="ADX19" s="29" t="str">
        <f>'REG y VAL POE - AESR - ESR'!L1316</f>
        <v>Vigente</v>
      </c>
      <c r="ADY19" s="29" t="str">
        <f>'REG y VAL POE - AESR - ESR'!M1316</f>
        <v>NO</v>
      </c>
      <c r="ADZ19" s="28" t="str">
        <f>'REG y VAL POE - AESR - ESR'!N1316</f>
        <v>FALTA HISTORIAL (APENDICE C)-falta firma del RL</v>
      </c>
      <c r="AEA19" s="29" t="str">
        <f>'REG y VAL POE - AESR - ESR'!O1316</f>
        <v>SI</v>
      </c>
      <c r="AEB19" s="30">
        <f>'REG y VAL POE - AESR - ESR'!P1316</f>
        <v>0</v>
      </c>
      <c r="AEC19" s="28" t="str">
        <f>'REG y VAL POE - AESR - ESR'!Q1316</f>
        <v>SI</v>
      </c>
      <c r="AED19" s="29" t="str">
        <f>'REG y VAL POE - AESR - ESR'!R1316</f>
        <v>SI</v>
      </c>
      <c r="AEE19" s="29" t="str">
        <f>'REG y VAL POE - AESR - ESR'!S1316</f>
        <v>SI</v>
      </c>
      <c r="AEF19" s="29" t="str">
        <f>'REG y VAL POE - AESR - ESR'!T1316</f>
        <v>SI</v>
      </c>
      <c r="AEG19" s="28" t="str">
        <f>'REG y VAL POE - AESR - ESR'!U1316</f>
        <v>SI</v>
      </c>
      <c r="AEH19" s="29">
        <f>'REG y VAL POE - AESR - ESR'!V1316</f>
        <v>0</v>
      </c>
      <c r="AEI19" s="29" t="str">
        <f>'REG y VAL POE - AESR - ESR'!W1316</f>
        <v>Si</v>
      </c>
      <c r="AEJ19" s="28">
        <f>'REG y VAL POE - AESR - ESR'!X1316</f>
        <v>0</v>
      </c>
      <c r="AEK19" s="29">
        <f>'REG y VAL POE - AESR - ESR'!Y1316</f>
        <v>0</v>
      </c>
      <c r="AEL19" s="30" t="str">
        <f>'REG y VAL POE - AESR - ESR'!Z1316</f>
        <v>SI</v>
      </c>
      <c r="AEM19" s="28">
        <f>'REG y VAL POE - AESR - ESR'!AA1316</f>
        <v>0</v>
      </c>
      <c r="AEN19" s="29">
        <f>'REG y VAL POE - AESR - ESR'!AB1316</f>
        <v>0</v>
      </c>
      <c r="AEO19" s="29">
        <f>'REG y VAL POE - AESR - ESR'!AC1316</f>
        <v>0</v>
      </c>
      <c r="AEP19" s="29">
        <f>'REG y VAL POE - AESR - ESR'!AD1316</f>
        <v>0</v>
      </c>
      <c r="AEQ19" s="28">
        <f>'REG y VAL POE - AESR - ESR'!AE1316</f>
        <v>0</v>
      </c>
      <c r="AER19" s="29">
        <f>'REG y VAL POE - AESR - ESR'!AF1316</f>
        <v>0</v>
      </c>
      <c r="AES19" s="29">
        <f>'REG y VAL POE - AESR - ESR'!AG1316</f>
        <v>0</v>
      </c>
      <c r="AET19" s="28">
        <f>'REG y VAL POE - AESR - ESR'!AH1316</f>
        <v>0</v>
      </c>
      <c r="AEU19" s="29">
        <f>'REG y VAL POE - AESR - ESR'!AI1316</f>
        <v>0</v>
      </c>
      <c r="AEV19" s="30">
        <f>'REG y VAL POE - AESR - ESR'!AJ1316</f>
        <v>0</v>
      </c>
      <c r="AEW19" s="28">
        <f>'REG y VAL POE - AESR - ESR'!AK1316</f>
        <v>0</v>
      </c>
      <c r="AEX19" s="29">
        <f>'REG y VAL POE - AESR - ESR'!AL1316</f>
        <v>0</v>
      </c>
      <c r="AEY19" s="29">
        <f>'REG y VAL POE - AESR - ESR'!AM1316</f>
        <v>0</v>
      </c>
      <c r="AEZ19" s="29">
        <f>'REG y VAL POE - AESR - ESR'!AN1316</f>
        <v>0</v>
      </c>
      <c r="AFA19" s="28">
        <f>'REG y VAL POE - AESR - ESR'!AO1316</f>
        <v>0</v>
      </c>
      <c r="AFB19" s="29">
        <f>'REG y VAL POE - AESR - ESR'!AP1316</f>
        <v>0</v>
      </c>
      <c r="AFC19" s="29">
        <f>'REG y VAL POE - AESR - ESR'!AQ1316</f>
        <v>0</v>
      </c>
      <c r="AFD19" s="28" t="str">
        <f>'REG y VAL POE - AESR - ESR'!AR1316</f>
        <v>ASTROPHISICS</v>
      </c>
      <c r="AFE19" s="29">
        <f>'REG y VAL POE - AESR - ESR'!AS1316</f>
        <v>0</v>
      </c>
      <c r="AFF19" s="27" t="str">
        <f>'REG y VAL POE - AESR - ESR'!B1317</f>
        <v xml:space="preserve">Ruiz Martinez Alan </v>
      </c>
      <c r="AFG19" s="28" t="str">
        <f>'REG y VAL POE - AESR - ESR'!C1317</f>
        <v>Sin Registro</v>
      </c>
      <c r="AFH19" s="29">
        <f>'REG y VAL POE - AESR - ESR'!D1317</f>
        <v>22186105</v>
      </c>
      <c r="AFI19" s="29">
        <f>'REG y VAL POE - AESR - ESR'!E1317</f>
        <v>0</v>
      </c>
      <c r="AFJ19" s="29">
        <f>'REG y VAL POE - AESR - ESR'!F1317</f>
        <v>0</v>
      </c>
      <c r="AFK19" s="28">
        <f>'REG y VAL POE - AESR - ESR'!G1317</f>
        <v>0</v>
      </c>
      <c r="AFL19" s="29">
        <f>'REG y VAL POE - AESR - ESR'!H1317</f>
        <v>0</v>
      </c>
      <c r="AFM19" s="29">
        <f>'REG y VAL POE - AESR - ESR'!I1317</f>
        <v>0</v>
      </c>
      <c r="AFN19" s="28">
        <f>'REG y VAL POE - AESR - ESR'!J1317</f>
        <v>0</v>
      </c>
      <c r="AFO19" s="29">
        <f>'REG y VAL POE - AESR - ESR'!K1317</f>
        <v>0</v>
      </c>
      <c r="AFP19" s="30">
        <f>'REG y VAL POE - AESR - ESR'!L1317</f>
        <v>0</v>
      </c>
      <c r="AFQ19" s="28">
        <f>'REG y VAL POE - AESR - ESR'!M1317</f>
        <v>0</v>
      </c>
      <c r="AFR19" s="29">
        <f>'REG y VAL POE - AESR - ESR'!N1317</f>
        <v>0</v>
      </c>
      <c r="AFS19" s="29">
        <f>'REG y VAL POE - AESR - ESR'!O1317</f>
        <v>0</v>
      </c>
      <c r="AFT19" s="29">
        <f>'REG y VAL POE - AESR - ESR'!P1317</f>
        <v>0</v>
      </c>
      <c r="AFU19" s="28">
        <f>'REG y VAL POE - AESR - ESR'!Q1317</f>
        <v>0</v>
      </c>
      <c r="AFV19" s="29">
        <f>'REG y VAL POE - AESR - ESR'!R1317</f>
        <v>0</v>
      </c>
      <c r="AFW19" s="29">
        <f>'REG y VAL POE - AESR - ESR'!S1317</f>
        <v>0</v>
      </c>
      <c r="AFX19" s="28">
        <f>'REG y VAL POE - AESR - ESR'!T1317</f>
        <v>0</v>
      </c>
      <c r="AFY19" s="29">
        <f>'REG y VAL POE - AESR - ESR'!U1317</f>
        <v>0</v>
      </c>
      <c r="AFZ19" s="30">
        <f>'REG y VAL POE - AESR - ESR'!V1317</f>
        <v>0</v>
      </c>
      <c r="AGA19" s="28">
        <f>'REG y VAL POE - AESR - ESR'!W1317</f>
        <v>0</v>
      </c>
      <c r="AGB19" s="29">
        <f>'REG y VAL POE - AESR - ESR'!X1317</f>
        <v>0</v>
      </c>
      <c r="AGC19" s="29">
        <f>'REG y VAL POE - AESR - ESR'!Y1317</f>
        <v>0</v>
      </c>
      <c r="AGD19" s="29">
        <f>'REG y VAL POE - AESR - ESR'!Z1317</f>
        <v>0</v>
      </c>
      <c r="AGE19" s="28">
        <f>'REG y VAL POE - AESR - ESR'!AA1317</f>
        <v>0</v>
      </c>
      <c r="AGF19" s="29">
        <f>'REG y VAL POE - AESR - ESR'!AB1317</f>
        <v>0</v>
      </c>
      <c r="AGG19" s="29">
        <f>'REG y VAL POE - AESR - ESR'!AC1317</f>
        <v>0</v>
      </c>
      <c r="AGH19" s="28">
        <f>'REG y VAL POE - AESR - ESR'!AD1317</f>
        <v>0</v>
      </c>
      <c r="AGI19" s="29">
        <f>'REG y VAL POE - AESR - ESR'!AE1317</f>
        <v>0</v>
      </c>
      <c r="AGJ19" s="30">
        <f>'REG y VAL POE - AESR - ESR'!AF1317</f>
        <v>0</v>
      </c>
      <c r="AGK19" s="28">
        <f>'REG y VAL POE - AESR - ESR'!AG1317</f>
        <v>0</v>
      </c>
      <c r="AGL19" s="29">
        <f>'REG y VAL POE - AESR - ESR'!AH1317</f>
        <v>0</v>
      </c>
      <c r="AGM19" s="29">
        <f>'REG y VAL POE - AESR - ESR'!AI1317</f>
        <v>0</v>
      </c>
      <c r="AGN19" s="29">
        <f>'REG y VAL POE - AESR - ESR'!AJ1317</f>
        <v>0</v>
      </c>
      <c r="AGO19" s="28">
        <f>'REG y VAL POE - AESR - ESR'!AK1317</f>
        <v>0</v>
      </c>
      <c r="AGP19" s="29">
        <f>'REG y VAL POE - AESR - ESR'!AL1317</f>
        <v>0</v>
      </c>
      <c r="AGQ19" s="29">
        <f>'REG y VAL POE - AESR - ESR'!AM1317</f>
        <v>0</v>
      </c>
      <c r="AGR19" s="28">
        <f>'REG y VAL POE - AESR - ESR'!AN1317</f>
        <v>0</v>
      </c>
      <c r="AGS19" s="29">
        <f>'REG y VAL POE - AESR - ESR'!AO1317</f>
        <v>0</v>
      </c>
      <c r="AGT19" s="30">
        <f>'REG y VAL POE - AESR - ESR'!AP1317</f>
        <v>0</v>
      </c>
      <c r="AGU19" s="28">
        <f>'REG y VAL POE - AESR - ESR'!AQ1317</f>
        <v>0</v>
      </c>
      <c r="AGV19" s="29">
        <f>'REG y VAL POE - AESR - ESR'!AR1317</f>
        <v>0</v>
      </c>
      <c r="AGW19" s="29">
        <f>'REG y VAL POE - AESR - ESR'!AS1317</f>
        <v>0</v>
      </c>
      <c r="AGX19" s="385" t="str">
        <f>'REG y VAL POE - AESR - ESR'!B1318</f>
        <v xml:space="preserve">Sanchez Perez Maria Jose </v>
      </c>
      <c r="AGY19" s="28" t="str">
        <f>'REG y VAL POE - AESR - ESR'!C1318</f>
        <v>Sin Registro</v>
      </c>
      <c r="AGZ19" s="29">
        <f>'REG y VAL POE - AESR - ESR'!D1318</f>
        <v>23030947</v>
      </c>
      <c r="AHA19" s="29">
        <f>'REG y VAL POE - AESR - ESR'!E1318</f>
        <v>0</v>
      </c>
      <c r="AHB19" s="28">
        <f>'REG y VAL POE - AESR - ESR'!F1318</f>
        <v>0</v>
      </c>
      <c r="AHC19" s="29">
        <f>'REG y VAL POE - AESR - ESR'!G1318</f>
        <v>0</v>
      </c>
      <c r="AHD19" s="30">
        <f>'REG y VAL POE - AESR - ESR'!H1318</f>
        <v>0</v>
      </c>
      <c r="AHE19" s="28">
        <f>'REG y VAL POE - AESR - ESR'!I1318</f>
        <v>0</v>
      </c>
      <c r="AHF19" s="29">
        <f>'REG y VAL POE - AESR - ESR'!J1318</f>
        <v>0</v>
      </c>
      <c r="AHG19" s="29">
        <f>'REG y VAL POE - AESR - ESR'!K1318</f>
        <v>0</v>
      </c>
      <c r="AHH19" s="29">
        <f>'REG y VAL POE - AESR - ESR'!L1318</f>
        <v>0</v>
      </c>
      <c r="AHI19" s="28">
        <f>'REG y VAL POE - AESR - ESR'!M1318</f>
        <v>0</v>
      </c>
      <c r="AHJ19" s="29">
        <f>'REG y VAL POE - AESR - ESR'!N1318</f>
        <v>0</v>
      </c>
      <c r="AHK19" s="29">
        <f>'REG y VAL POE - AESR - ESR'!O1318</f>
        <v>0</v>
      </c>
      <c r="AHL19" s="28">
        <f>'REG y VAL POE - AESR - ESR'!P1318</f>
        <v>0</v>
      </c>
      <c r="AHM19" s="29">
        <f>'REG y VAL POE - AESR - ESR'!Q1318</f>
        <v>0</v>
      </c>
      <c r="AHN19" s="30">
        <f>'REG y VAL POE - AESR - ESR'!R1318</f>
        <v>0</v>
      </c>
      <c r="AHO19" s="28">
        <f>'REG y VAL POE - AESR - ESR'!S1318</f>
        <v>0</v>
      </c>
      <c r="AHP19" s="29">
        <f>'REG y VAL POE - AESR - ESR'!T1318</f>
        <v>0</v>
      </c>
      <c r="AHQ19" s="29">
        <f>'REG y VAL POE - AESR - ESR'!U1318</f>
        <v>0</v>
      </c>
      <c r="AHR19" s="29">
        <f>'REG y VAL POE - AESR - ESR'!V1318</f>
        <v>0</v>
      </c>
      <c r="AHS19" s="28">
        <f>'REG y VAL POE - AESR - ESR'!W1318</f>
        <v>0</v>
      </c>
      <c r="AHT19" s="29">
        <f>'REG y VAL POE - AESR - ESR'!X1318</f>
        <v>0</v>
      </c>
      <c r="AHU19" s="29">
        <f>'REG y VAL POE - AESR - ESR'!Y1318</f>
        <v>0</v>
      </c>
      <c r="AHV19" s="28">
        <f>'REG y VAL POE - AESR - ESR'!Z1318</f>
        <v>0</v>
      </c>
      <c r="AHW19" s="29">
        <f>'REG y VAL POE - AESR - ESR'!AA1318</f>
        <v>0</v>
      </c>
      <c r="AHX19" s="30">
        <f>'REG y VAL POE - AESR - ESR'!AB1318</f>
        <v>0</v>
      </c>
      <c r="AHY19" s="28">
        <f>'REG y VAL POE - AESR - ESR'!AC1318</f>
        <v>0</v>
      </c>
      <c r="AHZ19" s="29">
        <f>'REG y VAL POE - AESR - ESR'!AD1318</f>
        <v>0</v>
      </c>
      <c r="AIA19" s="29">
        <f>'REG y VAL POE - AESR - ESR'!AE1318</f>
        <v>0</v>
      </c>
      <c r="AIB19" s="29">
        <f>'REG y VAL POE - AESR - ESR'!AF1318</f>
        <v>0</v>
      </c>
      <c r="AIC19" s="28">
        <f>'REG y VAL POE - AESR - ESR'!AG1318</f>
        <v>0</v>
      </c>
      <c r="AID19" s="29">
        <f>'REG y VAL POE - AESR - ESR'!AH1318</f>
        <v>0</v>
      </c>
      <c r="AIE19" s="29">
        <f>'REG y VAL POE - AESR - ESR'!AI1318</f>
        <v>0</v>
      </c>
      <c r="AIF19" s="28">
        <f>'REG y VAL POE - AESR - ESR'!AJ1318</f>
        <v>0</v>
      </c>
      <c r="AIG19" s="29">
        <f>'REG y VAL POE - AESR - ESR'!AK1318</f>
        <v>0</v>
      </c>
      <c r="AIH19" s="30">
        <f>'REG y VAL POE - AESR - ESR'!AL1318</f>
        <v>0</v>
      </c>
      <c r="AII19" s="28">
        <f>'REG y VAL POE - AESR - ESR'!AM1318</f>
        <v>0</v>
      </c>
      <c r="AIJ19" s="29">
        <f>'REG y VAL POE - AESR - ESR'!AN1318</f>
        <v>0</v>
      </c>
      <c r="AIK19" s="29">
        <f>'REG y VAL POE - AESR - ESR'!AO1318</f>
        <v>0</v>
      </c>
      <c r="AIL19" s="29">
        <f>'REG y VAL POE - AESR - ESR'!AP1318</f>
        <v>0</v>
      </c>
      <c r="AIM19" s="28">
        <f>'REG y VAL POE - AESR - ESR'!AQ1318</f>
        <v>0</v>
      </c>
      <c r="AIN19" s="29">
        <f>'REG y VAL POE - AESR - ESR'!AR1318</f>
        <v>0</v>
      </c>
      <c r="AIO19" s="29">
        <f>'REG y VAL POE - AESR - ESR'!AS1318</f>
        <v>0</v>
      </c>
      <c r="AIP19" s="27" t="str">
        <f>'REG y VAL POE - AESR - ESR'!B1319</f>
        <v xml:space="preserve">Sanchez Josue Luis </v>
      </c>
      <c r="AIQ19" s="29" t="str">
        <f>'REG y VAL POE - AESR - ESR'!C1319</f>
        <v>Sin Registro</v>
      </c>
      <c r="AIR19" s="30">
        <f>'REG y VAL POE - AESR - ESR'!D1319</f>
        <v>23095501</v>
      </c>
      <c r="AIS19" s="28">
        <f>'REG y VAL POE - AESR - ESR'!E1319</f>
        <v>0</v>
      </c>
      <c r="AIT19" s="29">
        <f>'REG y VAL POE - AESR - ESR'!F1319</f>
        <v>0</v>
      </c>
      <c r="AIU19" s="29">
        <f>'REG y VAL POE - AESR - ESR'!G1319</f>
        <v>0</v>
      </c>
      <c r="AIV19" s="29">
        <f>'REG y VAL POE - AESR - ESR'!H1319</f>
        <v>0</v>
      </c>
      <c r="AIW19" s="28">
        <f>'REG y VAL POE - AESR - ESR'!I1319</f>
        <v>0</v>
      </c>
      <c r="AIX19" s="29">
        <f>'REG y VAL POE - AESR - ESR'!J1319</f>
        <v>0</v>
      </c>
      <c r="AIY19" s="29">
        <f>'REG y VAL POE - AESR - ESR'!K1319</f>
        <v>0</v>
      </c>
      <c r="AIZ19" s="28">
        <f>'REG y VAL POE - AESR - ESR'!L1319</f>
        <v>0</v>
      </c>
      <c r="AJA19" s="29">
        <f>'REG y VAL POE - AESR - ESR'!M1319</f>
        <v>0</v>
      </c>
      <c r="AJB19" s="30">
        <f>'REG y VAL POE - AESR - ESR'!N1319</f>
        <v>0</v>
      </c>
      <c r="AJC19" s="28">
        <f>'REG y VAL POE - AESR - ESR'!O1319</f>
        <v>0</v>
      </c>
      <c r="AJD19" s="29">
        <f>'REG y VAL POE - AESR - ESR'!P1319</f>
        <v>0</v>
      </c>
      <c r="AJE19" s="29">
        <f>'REG y VAL POE - AESR - ESR'!Q1319</f>
        <v>0</v>
      </c>
      <c r="AJF19" s="29">
        <f>'REG y VAL POE - AESR - ESR'!R1319</f>
        <v>0</v>
      </c>
      <c r="AJG19" s="28">
        <f>'REG y VAL POE - AESR - ESR'!S1319</f>
        <v>0</v>
      </c>
      <c r="AJH19" s="29">
        <f>'REG y VAL POE - AESR - ESR'!T1319</f>
        <v>0</v>
      </c>
      <c r="AJI19" s="29">
        <f>'REG y VAL POE - AESR - ESR'!U1319</f>
        <v>0</v>
      </c>
      <c r="AJJ19" s="28">
        <f>'REG y VAL POE - AESR - ESR'!V1319</f>
        <v>0</v>
      </c>
      <c r="AJK19" s="29">
        <f>'REG y VAL POE - AESR - ESR'!W1319</f>
        <v>0</v>
      </c>
      <c r="AJL19" s="30">
        <f>'REG y VAL POE - AESR - ESR'!X1319</f>
        <v>0</v>
      </c>
      <c r="AJM19" s="28">
        <f>'REG y VAL POE - AESR - ESR'!Y1319</f>
        <v>0</v>
      </c>
      <c r="AJN19" s="29">
        <f>'REG y VAL POE - AESR - ESR'!Z1319</f>
        <v>0</v>
      </c>
      <c r="AJO19" s="29">
        <f>'REG y VAL POE - AESR - ESR'!AA1319</f>
        <v>0</v>
      </c>
      <c r="AJP19" s="29">
        <f>'REG y VAL POE - AESR - ESR'!AB1319</f>
        <v>0</v>
      </c>
      <c r="AJQ19" s="28">
        <f>'REG y VAL POE - AESR - ESR'!AC1319</f>
        <v>0</v>
      </c>
      <c r="AJR19" s="29">
        <f>'REG y VAL POE - AESR - ESR'!AD1319</f>
        <v>0</v>
      </c>
      <c r="AJS19" s="29">
        <f>'REG y VAL POE - AESR - ESR'!AE1319</f>
        <v>0</v>
      </c>
      <c r="AJT19" s="28">
        <f>'REG y VAL POE - AESR - ESR'!AF1319</f>
        <v>0</v>
      </c>
      <c r="AJU19" s="29">
        <f>'REG y VAL POE - AESR - ESR'!AG1319</f>
        <v>0</v>
      </c>
      <c r="AJV19" s="30">
        <f>'REG y VAL POE - AESR - ESR'!AH1319</f>
        <v>0</v>
      </c>
      <c r="AJW19" s="28">
        <f>'REG y VAL POE - AESR - ESR'!AI1319</f>
        <v>0</v>
      </c>
      <c r="AJX19" s="29">
        <f>'REG y VAL POE - AESR - ESR'!AJ1319</f>
        <v>0</v>
      </c>
      <c r="AJY19" s="29">
        <f>'REG y VAL POE - AESR - ESR'!AK1319</f>
        <v>0</v>
      </c>
      <c r="AJZ19" s="29">
        <f>'REG y VAL POE - AESR - ESR'!AL1319</f>
        <v>0</v>
      </c>
      <c r="AKA19" s="28">
        <f>'REG y VAL POE - AESR - ESR'!AM1319</f>
        <v>0</v>
      </c>
      <c r="AKB19" s="29">
        <f>'REG y VAL POE - AESR - ESR'!AN1319</f>
        <v>0</v>
      </c>
      <c r="AKC19" s="29">
        <f>'REG y VAL POE - AESR - ESR'!AO1319</f>
        <v>0</v>
      </c>
      <c r="AKD19" s="28">
        <f>'REG y VAL POE - AESR - ESR'!AP1319</f>
        <v>0</v>
      </c>
      <c r="AKE19" s="29">
        <f>'REG y VAL POE - AESR - ESR'!AQ1319</f>
        <v>0</v>
      </c>
      <c r="AKF19" s="30">
        <f>'REG y VAL POE - AESR - ESR'!AR1319</f>
        <v>0</v>
      </c>
      <c r="AKG19" s="28">
        <f>'REG y VAL POE - AESR - ESR'!AS1319</f>
        <v>0</v>
      </c>
      <c r="AKH19" s="385" t="str">
        <f>'REG y VAL POE - AESR - ESR'!B1320</f>
        <v xml:space="preserve">Temich Toto Emmanuel </v>
      </c>
      <c r="AKI19" s="29" t="str">
        <f>'REG y VAL POE - AESR - ESR'!C1320</f>
        <v>Sin Registro</v>
      </c>
      <c r="AKJ19" s="29">
        <f>'REG y VAL POE - AESR - ESR'!D1320</f>
        <v>23011597</v>
      </c>
      <c r="AKK19" s="28">
        <f>'REG y VAL POE - AESR - ESR'!E1320</f>
        <v>0</v>
      </c>
      <c r="AKL19" s="29">
        <f>'REG y VAL POE - AESR - ESR'!F1320</f>
        <v>0</v>
      </c>
      <c r="AKM19" s="29">
        <f>'REG y VAL POE - AESR - ESR'!G1320</f>
        <v>0</v>
      </c>
      <c r="AKN19" s="28">
        <f>'REG y VAL POE - AESR - ESR'!H1320</f>
        <v>0</v>
      </c>
      <c r="AKO19" s="29">
        <f>'REG y VAL POE - AESR - ESR'!I1320</f>
        <v>0</v>
      </c>
      <c r="AKP19" s="30">
        <f>'REG y VAL POE - AESR - ESR'!J1320</f>
        <v>0</v>
      </c>
      <c r="AKQ19" s="28">
        <f>'REG y VAL POE - AESR - ESR'!K1320</f>
        <v>0</v>
      </c>
      <c r="AKR19" s="29">
        <f>'REG y VAL POE - AESR - ESR'!L1320</f>
        <v>0</v>
      </c>
      <c r="AKS19" s="29">
        <f>'REG y VAL POE - AESR - ESR'!M1320</f>
        <v>0</v>
      </c>
      <c r="AKT19" s="29">
        <f>'REG y VAL POE - AESR - ESR'!N1320</f>
        <v>0</v>
      </c>
      <c r="AKU19" s="28">
        <f>'REG y VAL POE - AESR - ESR'!O1320</f>
        <v>0</v>
      </c>
      <c r="AKV19" s="29">
        <f>'REG y VAL POE - AESR - ESR'!P1320</f>
        <v>0</v>
      </c>
      <c r="AKW19" s="29">
        <f>'REG y VAL POE - AESR - ESR'!Q1320</f>
        <v>0</v>
      </c>
      <c r="AKX19" s="28">
        <f>'REG y VAL POE - AESR - ESR'!R1320</f>
        <v>0</v>
      </c>
      <c r="AKY19" s="29">
        <f>'REG y VAL POE - AESR - ESR'!S1320</f>
        <v>0</v>
      </c>
      <c r="AKZ19" s="30">
        <f>'REG y VAL POE - AESR - ESR'!T1320</f>
        <v>0</v>
      </c>
      <c r="ALA19" s="28">
        <f>'REG y VAL POE - AESR - ESR'!U1320</f>
        <v>0</v>
      </c>
      <c r="ALB19" s="29">
        <f>'REG y VAL POE - AESR - ESR'!V1320</f>
        <v>0</v>
      </c>
      <c r="ALC19" s="29">
        <f>'REG y VAL POE - AESR - ESR'!W1320</f>
        <v>0</v>
      </c>
      <c r="ALD19" s="29">
        <f>'REG y VAL POE - AESR - ESR'!X1320</f>
        <v>0</v>
      </c>
      <c r="ALE19" s="28">
        <f>'REG y VAL POE - AESR - ESR'!Y1320</f>
        <v>0</v>
      </c>
      <c r="ALF19" s="29">
        <f>'REG y VAL POE - AESR - ESR'!Z1320</f>
        <v>0</v>
      </c>
      <c r="ALG19" s="29">
        <f>'REG y VAL POE - AESR - ESR'!AA1320</f>
        <v>0</v>
      </c>
      <c r="ALH19" s="29">
        <f>'REG y VAL POE - AESR - ESR'!AB1320</f>
        <v>0</v>
      </c>
      <c r="ALI19" s="29">
        <f>'REG y VAL POE - AESR - ESR'!AC1320</f>
        <v>0</v>
      </c>
      <c r="ALJ19" s="29">
        <f>'REG y VAL POE - AESR - ESR'!AD1320</f>
        <v>0</v>
      </c>
      <c r="ALK19" s="28">
        <f>'REG y VAL POE - AESR - ESR'!AE1320</f>
        <v>0</v>
      </c>
      <c r="ALL19" s="29">
        <f>'REG y VAL POE - AESR - ESR'!AF1320</f>
        <v>0</v>
      </c>
      <c r="ALM19" s="29">
        <f>'REG y VAL POE - AESR - ESR'!AG1320</f>
        <v>0</v>
      </c>
      <c r="ALN19" s="28">
        <f>'REG y VAL POE - AESR - ESR'!AH1320</f>
        <v>0</v>
      </c>
      <c r="ALO19" s="29">
        <f>'REG y VAL POE - AESR - ESR'!AI1320</f>
        <v>0</v>
      </c>
      <c r="ALP19" s="30">
        <f>'REG y VAL POE - AESR - ESR'!AJ1320</f>
        <v>0</v>
      </c>
      <c r="ALQ19" s="28">
        <f>'REG y VAL POE - AESR - ESR'!AK1320</f>
        <v>0</v>
      </c>
      <c r="ALR19" s="29">
        <f>'REG y VAL POE - AESR - ESR'!AL1320</f>
        <v>0</v>
      </c>
      <c r="ALS19" s="29">
        <f>'REG y VAL POE - AESR - ESR'!AM1320</f>
        <v>0</v>
      </c>
      <c r="ALT19" s="29">
        <f>'REG y VAL POE - AESR - ESR'!AN1320</f>
        <v>0</v>
      </c>
      <c r="ALU19" s="28">
        <f>'REG y VAL POE - AESR - ESR'!AO1320</f>
        <v>0</v>
      </c>
      <c r="ALV19" s="29">
        <f>'REG y VAL POE - AESR - ESR'!AP1320</f>
        <v>0</v>
      </c>
      <c r="ALW19" s="29">
        <f>'REG y VAL POE - AESR - ESR'!AQ1320</f>
        <v>0</v>
      </c>
      <c r="ALX19" s="28">
        <f>'REG y VAL POE - AESR - ESR'!AR1320</f>
        <v>0</v>
      </c>
      <c r="ALY19" s="29">
        <f>'REG y VAL POE - AESR - ESR'!AS1320</f>
        <v>0</v>
      </c>
      <c r="ALZ19" s="27" t="str">
        <f>'REG y VAL POE - AESR - ESR'!B1321</f>
        <v xml:space="preserve">Valencia Martinez Ricardo Ramon </v>
      </c>
      <c r="AMA19" s="28" t="str">
        <f>'REG y VAL POE - AESR - ESR'!C1321</f>
        <v>Sin Registro</v>
      </c>
      <c r="AMB19" s="29">
        <f>'REG y VAL POE - AESR - ESR'!D1321</f>
        <v>23147634</v>
      </c>
      <c r="AMC19" s="29">
        <f>'REG y VAL POE - AESR - ESR'!E1321</f>
        <v>0</v>
      </c>
      <c r="AMD19" s="29">
        <f>'REG y VAL POE - AESR - ESR'!F1321</f>
        <v>0</v>
      </c>
      <c r="AME19" s="28">
        <f>'REG y VAL POE - AESR - ESR'!G1321</f>
        <v>0</v>
      </c>
      <c r="AMF19" s="29">
        <f>'REG y VAL POE - AESR - ESR'!H1321</f>
        <v>0</v>
      </c>
      <c r="AMG19" s="29">
        <f>'REG y VAL POE - AESR - ESR'!I1321</f>
        <v>0</v>
      </c>
      <c r="AMH19" s="29">
        <f>'REG y VAL POE - AESR - ESR'!J1321</f>
        <v>0</v>
      </c>
      <c r="AMI19" s="29">
        <f>'REG y VAL POE - AESR - ESR'!K1321</f>
        <v>0</v>
      </c>
      <c r="AMJ19" s="29">
        <f>'REG y VAL POE - AESR - ESR'!L1321</f>
        <v>0</v>
      </c>
      <c r="AMK19" s="28">
        <f>'REG y VAL POE - AESR - ESR'!M1321</f>
        <v>0</v>
      </c>
      <c r="AML19" s="29">
        <f>'REG y VAL POE - AESR - ESR'!N1321</f>
        <v>0</v>
      </c>
      <c r="AMM19" s="29">
        <f>'REG y VAL POE - AESR - ESR'!O1321</f>
        <v>0</v>
      </c>
      <c r="AMN19" s="28">
        <f>'REG y VAL POE - AESR - ESR'!P1321</f>
        <v>0</v>
      </c>
      <c r="AMO19" s="29">
        <f>'REG y VAL POE - AESR - ESR'!Q1321</f>
        <v>0</v>
      </c>
      <c r="AMP19" s="30">
        <f>'REG y VAL POE - AESR - ESR'!R1321</f>
        <v>0</v>
      </c>
      <c r="AMQ19" s="28">
        <f>'REG y VAL POE - AESR - ESR'!S1321</f>
        <v>0</v>
      </c>
      <c r="AMR19" s="29">
        <f>'REG y VAL POE - AESR - ESR'!T1321</f>
        <v>0</v>
      </c>
      <c r="AMS19" s="29">
        <f>'REG y VAL POE - AESR - ESR'!U1321</f>
        <v>0</v>
      </c>
      <c r="AMT19" s="29">
        <f>'REG y VAL POE - AESR - ESR'!V1321</f>
        <v>0</v>
      </c>
      <c r="AMU19" s="28">
        <f>'REG y VAL POE - AESR - ESR'!W1321</f>
        <v>0</v>
      </c>
      <c r="AMV19" s="29">
        <f>'REG y VAL POE - AESR - ESR'!X1321</f>
        <v>0</v>
      </c>
      <c r="AMW19" s="29">
        <f>'REG y VAL POE - AESR - ESR'!Y1321</f>
        <v>0</v>
      </c>
      <c r="AMX19" s="28">
        <f>'REG y VAL POE - AESR - ESR'!Z1321</f>
        <v>0</v>
      </c>
      <c r="AMY19" s="29">
        <f>'REG y VAL POE - AESR - ESR'!AA1321</f>
        <v>0</v>
      </c>
      <c r="AMZ19" s="30">
        <f>'REG y VAL POE - AESR - ESR'!AB1321</f>
        <v>0</v>
      </c>
      <c r="ANA19" s="28">
        <f>'REG y VAL POE - AESR - ESR'!AC1321</f>
        <v>0</v>
      </c>
      <c r="ANB19" s="29">
        <f>'REG y VAL POE - AESR - ESR'!AD1321</f>
        <v>0</v>
      </c>
      <c r="ANC19" s="29">
        <f>'REG y VAL POE - AESR - ESR'!AE1321</f>
        <v>0</v>
      </c>
      <c r="AND19" s="29">
        <f>'REG y VAL POE - AESR - ESR'!AF1321</f>
        <v>0</v>
      </c>
      <c r="ANE19" s="28">
        <f>'REG y VAL POE - AESR - ESR'!AG1321</f>
        <v>0</v>
      </c>
      <c r="ANF19" s="29">
        <f>'REG y VAL POE - AESR - ESR'!AH1321</f>
        <v>0</v>
      </c>
      <c r="ANG19" s="29">
        <f>'REG y VAL POE - AESR - ESR'!AI1321</f>
        <v>0</v>
      </c>
      <c r="ANH19" s="29">
        <f>'REG y VAL POE - AESR - ESR'!AJ1321</f>
        <v>0</v>
      </c>
      <c r="ANI19" s="29">
        <f>'REG y VAL POE - AESR - ESR'!AK1321</f>
        <v>0</v>
      </c>
      <c r="ANJ19" s="29">
        <f>'REG y VAL POE - AESR - ESR'!AL1321</f>
        <v>0</v>
      </c>
      <c r="ANK19" s="28">
        <f>'REG y VAL POE - AESR - ESR'!AM1321</f>
        <v>0</v>
      </c>
      <c r="ANL19" s="29">
        <f>'REG y VAL POE - AESR - ESR'!AN1321</f>
        <v>0</v>
      </c>
      <c r="ANM19" s="29">
        <f>'REG y VAL POE - AESR - ESR'!AO1321</f>
        <v>0</v>
      </c>
      <c r="ANN19" s="28">
        <f>'REG y VAL POE - AESR - ESR'!AP1321</f>
        <v>0</v>
      </c>
      <c r="ANO19" s="29">
        <f>'REG y VAL POE - AESR - ESR'!AQ1321</f>
        <v>0</v>
      </c>
      <c r="ANP19" s="30">
        <f>'REG y VAL POE - AESR - ESR'!AR1321</f>
        <v>0</v>
      </c>
      <c r="ANQ19" s="28">
        <f>'REG y VAL POE - AESR - ESR'!AS1321</f>
        <v>0</v>
      </c>
      <c r="ANR19" s="385" t="str">
        <f>'REG y VAL POE - AESR - ESR'!B1322</f>
        <v xml:space="preserve">Vera Reyes Estrella </v>
      </c>
      <c r="ANS19" s="29" t="str">
        <f>'REG y VAL POE - AESR - ESR'!C1322</f>
        <v>Sin Registro</v>
      </c>
      <c r="ANT19" s="29">
        <f>'REG y VAL POE - AESR - ESR'!D1322</f>
        <v>23016039</v>
      </c>
      <c r="ANU19" s="28">
        <f>'REG y VAL POE - AESR - ESR'!E1322</f>
        <v>0</v>
      </c>
      <c r="ANV19" s="29">
        <f>'REG y VAL POE - AESR - ESR'!F1322</f>
        <v>0</v>
      </c>
      <c r="ANW19" s="29">
        <f>'REG y VAL POE - AESR - ESR'!G1322</f>
        <v>0</v>
      </c>
      <c r="ANX19" s="28">
        <f>'REG y VAL POE - AESR - ESR'!H1322</f>
        <v>0</v>
      </c>
      <c r="ANY19" s="29">
        <f>'REG y VAL POE - AESR - ESR'!I1322</f>
        <v>0</v>
      </c>
      <c r="ANZ19" s="30">
        <f>'REG y VAL POE - AESR - ESR'!J1322</f>
        <v>0</v>
      </c>
      <c r="AOA19" s="28">
        <f>'REG y VAL POE - AESR - ESR'!K1322</f>
        <v>0</v>
      </c>
      <c r="AOB19" s="29">
        <f>'REG y VAL POE - AESR - ESR'!L1322</f>
        <v>0</v>
      </c>
      <c r="AOC19" s="29">
        <f>'REG y VAL POE - AESR - ESR'!M1322</f>
        <v>0</v>
      </c>
      <c r="AOD19" s="29">
        <f>'REG y VAL POE - AESR - ESR'!N1322</f>
        <v>0</v>
      </c>
      <c r="AOE19" s="28">
        <f>'REG y VAL POE - AESR - ESR'!O1322</f>
        <v>0</v>
      </c>
      <c r="AOF19" s="29">
        <f>'REG y VAL POE - AESR - ESR'!P1322</f>
        <v>0</v>
      </c>
      <c r="AOG19" s="29">
        <f>'REG y VAL POE - AESR - ESR'!Q1322</f>
        <v>0</v>
      </c>
      <c r="AOH19" s="29">
        <f>'REG y VAL POE - AESR - ESR'!R1322</f>
        <v>0</v>
      </c>
      <c r="AOI19" s="29">
        <f>'REG y VAL POE - AESR - ESR'!S1322</f>
        <v>0</v>
      </c>
      <c r="AOJ19" s="29">
        <f>'REG y VAL POE - AESR - ESR'!T1322</f>
        <v>0</v>
      </c>
      <c r="AOK19" s="28">
        <f>'REG y VAL POE - AESR - ESR'!U1322</f>
        <v>0</v>
      </c>
      <c r="AOL19" s="29">
        <f>'REG y VAL POE - AESR - ESR'!V1322</f>
        <v>0</v>
      </c>
      <c r="AOM19" s="29">
        <f>'REG y VAL POE - AESR - ESR'!W1322</f>
        <v>0</v>
      </c>
      <c r="AON19" s="28">
        <f>'REG y VAL POE - AESR - ESR'!X1322</f>
        <v>0</v>
      </c>
      <c r="AOO19" s="29">
        <f>'REG y VAL POE - AESR - ESR'!Y1322</f>
        <v>0</v>
      </c>
      <c r="AOP19" s="30">
        <f>'REG y VAL POE - AESR - ESR'!Z1322</f>
        <v>0</v>
      </c>
      <c r="AOQ19" s="28">
        <f>'REG y VAL POE - AESR - ESR'!AA1322</f>
        <v>0</v>
      </c>
      <c r="AOR19" s="29">
        <f>'REG y VAL POE - AESR - ESR'!AB1322</f>
        <v>0</v>
      </c>
      <c r="AOS19" s="29">
        <f>'REG y VAL POE - AESR - ESR'!AC1322</f>
        <v>0</v>
      </c>
      <c r="AOT19" s="29">
        <f>'REG y VAL POE - AESR - ESR'!AD1322</f>
        <v>0</v>
      </c>
      <c r="AOU19" s="28">
        <f>'REG y VAL POE - AESR - ESR'!AE1322</f>
        <v>0</v>
      </c>
      <c r="AOV19" s="29">
        <f>'REG y VAL POE - AESR - ESR'!AF1322</f>
        <v>0</v>
      </c>
      <c r="AOW19" s="29">
        <f>'REG y VAL POE - AESR - ESR'!AG1322</f>
        <v>0</v>
      </c>
      <c r="AOX19" s="28">
        <f>'REG y VAL POE - AESR - ESR'!AH1322</f>
        <v>0</v>
      </c>
      <c r="AOY19" s="29">
        <f>'REG y VAL POE - AESR - ESR'!AI1322</f>
        <v>0</v>
      </c>
      <c r="AOZ19" s="30">
        <f>'REG y VAL POE - AESR - ESR'!AJ1322</f>
        <v>0</v>
      </c>
      <c r="APA19" s="28">
        <f>'REG y VAL POE - AESR - ESR'!AK1322</f>
        <v>0</v>
      </c>
      <c r="APB19" s="29">
        <f>'REG y VAL POE - AESR - ESR'!AL1322</f>
        <v>0</v>
      </c>
      <c r="APC19" s="29">
        <f>'REG y VAL POE - AESR - ESR'!AM1322</f>
        <v>0</v>
      </c>
      <c r="APD19" s="29">
        <f>'REG y VAL POE - AESR - ESR'!AN1322</f>
        <v>0</v>
      </c>
      <c r="APE19" s="28">
        <f>'REG y VAL POE - AESR - ESR'!AO1322</f>
        <v>0</v>
      </c>
      <c r="APF19" s="29">
        <f>'REG y VAL POE - AESR - ESR'!AP1322</f>
        <v>0</v>
      </c>
      <c r="APG19" s="29">
        <f>'REG y VAL POE - AESR - ESR'!AQ1322</f>
        <v>0</v>
      </c>
      <c r="APH19" s="29">
        <f>'REG y VAL POE - AESR - ESR'!AR1322</f>
        <v>0</v>
      </c>
      <c r="API19" s="29">
        <f>'REG y VAL POE - AESR - ESR'!AS1322</f>
        <v>0</v>
      </c>
      <c r="APJ19" s="385">
        <f>'REG y VAL POE - AESR - ESR'!B1323</f>
        <v>0</v>
      </c>
      <c r="APK19" s="28">
        <f>'REG y VAL POE - AESR - ESR'!C1323</f>
        <v>0</v>
      </c>
      <c r="APL19" s="29">
        <f>'REG y VAL POE - AESR - ESR'!D1323</f>
        <v>0</v>
      </c>
      <c r="APM19" s="29">
        <f>'REG y VAL POE - AESR - ESR'!E1323</f>
        <v>0</v>
      </c>
      <c r="APN19" s="28">
        <f>'REG y VAL POE - AESR - ESR'!F1323</f>
        <v>0</v>
      </c>
      <c r="APO19" s="29">
        <f>'REG y VAL POE - AESR - ESR'!G1323</f>
        <v>0</v>
      </c>
      <c r="APP19" s="30">
        <f>'REG y VAL POE - AESR - ESR'!H1323</f>
        <v>0</v>
      </c>
      <c r="APQ19" s="28">
        <f>'REG y VAL POE - AESR - ESR'!I1323</f>
        <v>0</v>
      </c>
      <c r="APR19" s="29">
        <f>'REG y VAL POE - AESR - ESR'!J1323</f>
        <v>0</v>
      </c>
      <c r="APS19" s="29">
        <f>'REG y VAL POE - AESR - ESR'!K1323</f>
        <v>0</v>
      </c>
      <c r="APT19" s="29">
        <f>'REG y VAL POE - AESR - ESR'!L1323</f>
        <v>0</v>
      </c>
      <c r="APU19" s="28">
        <f>'REG y VAL POE - AESR - ESR'!M1323</f>
        <v>0</v>
      </c>
      <c r="APV19" s="29">
        <f>'REG y VAL POE - AESR - ESR'!N1323</f>
        <v>0</v>
      </c>
      <c r="APW19" s="29">
        <f>'REG y VAL POE - AESR - ESR'!O1323</f>
        <v>0</v>
      </c>
      <c r="APX19" s="28">
        <f>'REG y VAL POE - AESR - ESR'!P1323</f>
        <v>0</v>
      </c>
      <c r="APY19" s="29">
        <f>'REG y VAL POE - AESR - ESR'!Q1323</f>
        <v>0</v>
      </c>
      <c r="APZ19" s="30">
        <f>'REG y VAL POE - AESR - ESR'!R1323</f>
        <v>0</v>
      </c>
      <c r="AQA19" s="28">
        <f>'REG y VAL POE - AESR - ESR'!S1323</f>
        <v>0</v>
      </c>
      <c r="AQB19" s="29">
        <f>'REG y VAL POE - AESR - ESR'!T1323</f>
        <v>0</v>
      </c>
      <c r="AQC19" s="29">
        <f>'REG y VAL POE - AESR - ESR'!U1323</f>
        <v>0</v>
      </c>
      <c r="AQD19" s="29">
        <f>'REG y VAL POE - AESR - ESR'!V1323</f>
        <v>0</v>
      </c>
      <c r="AQE19" s="28">
        <f>'REG y VAL POE - AESR - ESR'!W1323</f>
        <v>0</v>
      </c>
      <c r="AQF19" s="29">
        <f>'REG y VAL POE - AESR - ESR'!X1323</f>
        <v>0</v>
      </c>
      <c r="AQG19" s="29">
        <f>'REG y VAL POE - AESR - ESR'!Y1323</f>
        <v>0</v>
      </c>
      <c r="AQH19" s="29">
        <f>'REG y VAL POE - AESR - ESR'!Z1323</f>
        <v>0</v>
      </c>
      <c r="AQI19" s="29">
        <f>'REG y VAL POE - AESR - ESR'!AA1323</f>
        <v>0</v>
      </c>
      <c r="AQJ19" s="29">
        <f>'REG y VAL POE - AESR - ESR'!AB1323</f>
        <v>0</v>
      </c>
      <c r="AQK19" s="28">
        <f>'REG y VAL POE - AESR - ESR'!AC1323</f>
        <v>0</v>
      </c>
      <c r="AQL19" s="29">
        <f>'REG y VAL POE - AESR - ESR'!AD1323</f>
        <v>0</v>
      </c>
      <c r="AQM19" s="29">
        <f>'REG y VAL POE - AESR - ESR'!AE1323</f>
        <v>0</v>
      </c>
      <c r="AQN19" s="28">
        <f>'REG y VAL POE - AESR - ESR'!AF1323</f>
        <v>0</v>
      </c>
      <c r="AQO19" s="29">
        <f>'REG y VAL POE - AESR - ESR'!AG1323</f>
        <v>0</v>
      </c>
      <c r="AQP19" s="30">
        <f>'REG y VAL POE - AESR - ESR'!AH1323</f>
        <v>0</v>
      </c>
      <c r="AQQ19" s="28">
        <f>'REG y VAL POE - AESR - ESR'!AI1323</f>
        <v>0</v>
      </c>
      <c r="AQR19" s="29">
        <f>'REG y VAL POE - AESR - ESR'!AJ1323</f>
        <v>0</v>
      </c>
      <c r="AQS19" s="29">
        <f>'REG y VAL POE - AESR - ESR'!AK1323</f>
        <v>0</v>
      </c>
      <c r="AQT19" s="29">
        <f>'REG y VAL POE - AESR - ESR'!AL1323</f>
        <v>0</v>
      </c>
      <c r="AQU19" s="28">
        <f>'REG y VAL POE - AESR - ESR'!AM1323</f>
        <v>0</v>
      </c>
      <c r="AQV19" s="29">
        <f>'REG y VAL POE - AESR - ESR'!AN1323</f>
        <v>0</v>
      </c>
      <c r="AQW19" s="29">
        <f>'REG y VAL POE - AESR - ESR'!AO1323</f>
        <v>0</v>
      </c>
      <c r="AQX19" s="28">
        <f>'REG y VAL POE - AESR - ESR'!AP1323</f>
        <v>0</v>
      </c>
      <c r="AQY19" s="29">
        <f>'REG y VAL POE - AESR - ESR'!AQ1323</f>
        <v>0</v>
      </c>
      <c r="AQZ19" s="30">
        <f>'REG y VAL POE - AESR - ESR'!AR1323</f>
        <v>0</v>
      </c>
      <c r="ARA19" s="28">
        <f>'REG y VAL POE - AESR - ESR'!AS1323</f>
        <v>0</v>
      </c>
      <c r="ARB19" s="385">
        <f>'REG y VAL POE - AESR - ESR'!B1324</f>
        <v>0</v>
      </c>
      <c r="ARC19" s="29">
        <f>'REG y VAL POE - AESR - ESR'!C1324</f>
        <v>0</v>
      </c>
      <c r="ARD19" s="29">
        <f>'REG y VAL POE - AESR - ESR'!D1324</f>
        <v>0</v>
      </c>
      <c r="ARE19" s="28">
        <f>'REG y VAL POE - AESR - ESR'!E1324</f>
        <v>0</v>
      </c>
      <c r="ARF19" s="29">
        <f>'REG y VAL POE - AESR - ESR'!F1324</f>
        <v>0</v>
      </c>
      <c r="ARG19" s="29">
        <f>'REG y VAL POE - AESR - ESR'!G1324</f>
        <v>0</v>
      </c>
      <c r="ARH19" s="29">
        <f>'REG y VAL POE - AESR - ESR'!H1324</f>
        <v>0</v>
      </c>
      <c r="ARI19" s="29">
        <f>'REG y VAL POE - AESR - ESR'!I1324</f>
        <v>0</v>
      </c>
      <c r="ARJ19" s="29">
        <f>'REG y VAL POE - AESR - ESR'!J1324</f>
        <v>0</v>
      </c>
      <c r="ARK19" s="28">
        <f>'REG y VAL POE - AESR - ESR'!K1324</f>
        <v>0</v>
      </c>
      <c r="ARL19" s="29">
        <f>'REG y VAL POE - AESR - ESR'!L1324</f>
        <v>0</v>
      </c>
      <c r="ARM19" s="29">
        <f>'REG y VAL POE - AESR - ESR'!M1324</f>
        <v>0</v>
      </c>
      <c r="ARN19" s="28">
        <f>'REG y VAL POE - AESR - ESR'!N1324</f>
        <v>0</v>
      </c>
      <c r="ARO19" s="29">
        <f>'REG y VAL POE - AESR - ESR'!O1324</f>
        <v>0</v>
      </c>
      <c r="ARP19" s="30">
        <f>'REG y VAL POE - AESR - ESR'!P1324</f>
        <v>0</v>
      </c>
      <c r="ARQ19" s="28">
        <f>'REG y VAL POE - AESR - ESR'!Q1324</f>
        <v>0</v>
      </c>
      <c r="ARR19" s="29">
        <f>'REG y VAL POE - AESR - ESR'!R1324</f>
        <v>0</v>
      </c>
      <c r="ARS19" s="29">
        <f>'REG y VAL POE - AESR - ESR'!S1324</f>
        <v>0</v>
      </c>
      <c r="ART19" s="29">
        <f>'REG y VAL POE - AESR - ESR'!T1324</f>
        <v>0</v>
      </c>
      <c r="ARU19" s="28">
        <f>'REG y VAL POE - AESR - ESR'!U1324</f>
        <v>0</v>
      </c>
      <c r="ARV19" s="29">
        <f>'REG y VAL POE - AESR - ESR'!V1324</f>
        <v>0</v>
      </c>
      <c r="ARW19" s="29">
        <f>'REG y VAL POE - AESR - ESR'!W1324</f>
        <v>0</v>
      </c>
      <c r="ARX19" s="28">
        <f>'REG y VAL POE - AESR - ESR'!X1324</f>
        <v>0</v>
      </c>
      <c r="ARY19" s="29">
        <f>'REG y VAL POE - AESR - ESR'!Y1324</f>
        <v>0</v>
      </c>
      <c r="ARZ19" s="30">
        <f>'REG y VAL POE - AESR - ESR'!Z1324</f>
        <v>0</v>
      </c>
      <c r="ASA19" s="28">
        <f>'REG y VAL POE - AESR - ESR'!AA1324</f>
        <v>0</v>
      </c>
      <c r="ASB19" s="29">
        <f>'REG y VAL POE - AESR - ESR'!AB1324</f>
        <v>0</v>
      </c>
      <c r="ASC19" s="29">
        <f>'REG y VAL POE - AESR - ESR'!AC1324</f>
        <v>0</v>
      </c>
      <c r="ASD19" s="29">
        <f>'REG y VAL POE - AESR - ESR'!AD1324</f>
        <v>0</v>
      </c>
      <c r="ASE19" s="28">
        <f>'REG y VAL POE - AESR - ESR'!AE1324</f>
        <v>0</v>
      </c>
      <c r="ASF19" s="29">
        <f>'REG y VAL POE - AESR - ESR'!AF1324</f>
        <v>0</v>
      </c>
      <c r="ASG19" s="29">
        <f>'REG y VAL POE - AESR - ESR'!AG1324</f>
        <v>0</v>
      </c>
      <c r="ASH19" s="29">
        <f>'REG y VAL POE - AESR - ESR'!AH1324</f>
        <v>0</v>
      </c>
      <c r="ASI19" s="29">
        <f>'REG y VAL POE - AESR - ESR'!AI1324</f>
        <v>0</v>
      </c>
      <c r="ASJ19" s="29">
        <f>'REG y VAL POE - AESR - ESR'!AJ1324</f>
        <v>0</v>
      </c>
      <c r="ASK19" s="28">
        <f>'REG y VAL POE - AESR - ESR'!AK1324</f>
        <v>0</v>
      </c>
      <c r="ASL19" s="29">
        <f>'REG y VAL POE - AESR - ESR'!AL1324</f>
        <v>0</v>
      </c>
      <c r="ASM19" s="29">
        <f>'REG y VAL POE - AESR - ESR'!AM1324</f>
        <v>0</v>
      </c>
      <c r="ASN19" s="28">
        <f>'REG y VAL POE - AESR - ESR'!AN1324</f>
        <v>0</v>
      </c>
      <c r="ASO19" s="29">
        <f>'REG y VAL POE - AESR - ESR'!AO1324</f>
        <v>0</v>
      </c>
      <c r="ASP19" s="30">
        <f>'REG y VAL POE - AESR - ESR'!AP1324</f>
        <v>0</v>
      </c>
      <c r="ASQ19" s="28">
        <f>'REG y VAL POE - AESR - ESR'!AQ1324</f>
        <v>0</v>
      </c>
      <c r="ASR19" s="29">
        <f>'REG y VAL POE - AESR - ESR'!AR1324</f>
        <v>0</v>
      </c>
      <c r="ASS19" s="29">
        <f>'REG y VAL POE - AESR - ESR'!AS1324</f>
        <v>0</v>
      </c>
      <c r="AST19" s="385">
        <f>'REG y VAL POE - AESR - ESR'!B1325</f>
        <v>0</v>
      </c>
      <c r="ASU19" s="28">
        <f>'REG y VAL POE - AESR - ESR'!C1325</f>
        <v>0</v>
      </c>
      <c r="ASV19" s="29">
        <f>'REG y VAL POE - AESR - ESR'!D1325</f>
        <v>0</v>
      </c>
      <c r="ASW19" s="29">
        <f>'REG y VAL POE - AESR - ESR'!E1325</f>
        <v>0</v>
      </c>
      <c r="ASX19" s="28">
        <f>'REG y VAL POE - AESR - ESR'!F1325</f>
        <v>0</v>
      </c>
      <c r="ASY19" s="29">
        <f>'REG y VAL POE - AESR - ESR'!G1325</f>
        <v>0</v>
      </c>
      <c r="ASZ19" s="30">
        <f>'REG y VAL POE - AESR - ESR'!H1325</f>
        <v>0</v>
      </c>
      <c r="ATA19" s="28">
        <f>'REG y VAL POE - AESR - ESR'!I1325</f>
        <v>0</v>
      </c>
      <c r="ATB19" s="29">
        <f>'REG y VAL POE - AESR - ESR'!J1325</f>
        <v>0</v>
      </c>
      <c r="ATC19" s="29">
        <f>'REG y VAL POE - AESR - ESR'!K1325</f>
        <v>0</v>
      </c>
      <c r="ATD19" s="29">
        <f>'REG y VAL POE - AESR - ESR'!L1325</f>
        <v>0</v>
      </c>
      <c r="ATE19" s="28">
        <f>'REG y VAL POE - AESR - ESR'!M1325</f>
        <v>0</v>
      </c>
      <c r="ATF19" s="29">
        <f>'REG y VAL POE - AESR - ESR'!N1325</f>
        <v>0</v>
      </c>
      <c r="ATG19" s="29">
        <f>'REG y VAL POE - AESR - ESR'!O1325</f>
        <v>0</v>
      </c>
      <c r="ATH19" s="29">
        <f>'REG y VAL POE - AESR - ESR'!P1325</f>
        <v>0</v>
      </c>
      <c r="ATI19" s="29">
        <f>'REG y VAL POE - AESR - ESR'!Q1325</f>
        <v>0</v>
      </c>
      <c r="ATJ19" s="29">
        <f>'REG y VAL POE - AESR - ESR'!R1325</f>
        <v>0</v>
      </c>
      <c r="ATK19" s="28">
        <f>'REG y VAL POE - AESR - ESR'!S1325</f>
        <v>0</v>
      </c>
      <c r="ATL19" s="29">
        <f>'REG y VAL POE - AESR - ESR'!T1325</f>
        <v>0</v>
      </c>
      <c r="ATM19" s="29">
        <f>'REG y VAL POE - AESR - ESR'!U1325</f>
        <v>0</v>
      </c>
      <c r="ATN19" s="28">
        <f>'REG y VAL POE - AESR - ESR'!V1325</f>
        <v>0</v>
      </c>
      <c r="ATO19" s="29">
        <f>'REG y VAL POE - AESR - ESR'!W1325</f>
        <v>0</v>
      </c>
      <c r="ATP19" s="30">
        <f>'REG y VAL POE - AESR - ESR'!X1325</f>
        <v>0</v>
      </c>
      <c r="ATQ19" s="28">
        <f>'REG y VAL POE - AESR - ESR'!Y1325</f>
        <v>0</v>
      </c>
      <c r="ATR19" s="29">
        <f>'REG y VAL POE - AESR - ESR'!Z1325</f>
        <v>0</v>
      </c>
      <c r="ATS19" s="29">
        <f>'REG y VAL POE - AESR - ESR'!AA1325</f>
        <v>0</v>
      </c>
      <c r="ATT19" s="29">
        <f>'REG y VAL POE - AESR - ESR'!AB1325</f>
        <v>0</v>
      </c>
      <c r="ATU19" s="28">
        <f>'REG y VAL POE - AESR - ESR'!AC1325</f>
        <v>0</v>
      </c>
      <c r="ATV19" s="29">
        <f>'REG y VAL POE - AESR - ESR'!AD1325</f>
        <v>0</v>
      </c>
      <c r="ATW19" s="29">
        <f>'REG y VAL POE - AESR - ESR'!AE1325</f>
        <v>0</v>
      </c>
      <c r="ATX19" s="28">
        <f>'REG y VAL POE - AESR - ESR'!AF1325</f>
        <v>0</v>
      </c>
      <c r="ATY19" s="29">
        <f>'REG y VAL POE - AESR - ESR'!AG1325</f>
        <v>0</v>
      </c>
      <c r="ATZ19" s="30">
        <f>'REG y VAL POE - AESR - ESR'!AH1325</f>
        <v>0</v>
      </c>
      <c r="AUA19" s="28">
        <f>'REG y VAL POE - AESR - ESR'!AI1325</f>
        <v>0</v>
      </c>
      <c r="AUB19" s="29">
        <f>'REG y VAL POE - AESR - ESR'!AJ1325</f>
        <v>0</v>
      </c>
      <c r="AUC19" s="29">
        <f>'REG y VAL POE - AESR - ESR'!AK1325</f>
        <v>0</v>
      </c>
      <c r="AUD19" s="29">
        <f>'REG y VAL POE - AESR - ESR'!AL1325</f>
        <v>0</v>
      </c>
      <c r="AUE19" s="28">
        <f>'REG y VAL POE - AESR - ESR'!AM1325</f>
        <v>0</v>
      </c>
      <c r="AUF19" s="29">
        <f>'REG y VAL POE - AESR - ESR'!AN1325</f>
        <v>0</v>
      </c>
      <c r="AUG19" s="29">
        <f>'REG y VAL POE - AESR - ESR'!AO1325</f>
        <v>0</v>
      </c>
      <c r="AUH19" s="29">
        <f>'REG y VAL POE - AESR - ESR'!AP1325</f>
        <v>0</v>
      </c>
      <c r="AUI19" s="29">
        <f>'REG y VAL POE - AESR - ESR'!AQ1325</f>
        <v>0</v>
      </c>
      <c r="AUJ19" s="29">
        <f>'REG y VAL POE - AESR - ESR'!AR1325</f>
        <v>0</v>
      </c>
      <c r="AUK19" s="28">
        <f>'REG y VAL POE - AESR - ESR'!AS1325</f>
        <v>0</v>
      </c>
      <c r="AUL19" s="385">
        <f>'REG y VAL POE - AESR - ESR'!B1326</f>
        <v>0</v>
      </c>
      <c r="AUM19" s="29">
        <f>'REG y VAL POE - AESR - ESR'!C1326</f>
        <v>0</v>
      </c>
      <c r="AUN19" s="28">
        <f>'REG y VAL POE - AESR - ESR'!D1326</f>
        <v>0</v>
      </c>
      <c r="AUO19" s="29">
        <f>'REG y VAL POE - AESR - ESR'!E1326</f>
        <v>0</v>
      </c>
      <c r="AUP19" s="30">
        <f>'REG y VAL POE - AESR - ESR'!F1326</f>
        <v>0</v>
      </c>
      <c r="AUQ19" s="28">
        <f>'REG y VAL POE - AESR - ESR'!G1326</f>
        <v>0</v>
      </c>
      <c r="AUR19" s="29">
        <f>'REG y VAL POE - AESR - ESR'!H1326</f>
        <v>0</v>
      </c>
      <c r="AUS19" s="29">
        <f>'REG y VAL POE - AESR - ESR'!I1326</f>
        <v>0</v>
      </c>
      <c r="AUT19" s="29">
        <f>'REG y VAL POE - AESR - ESR'!J1326</f>
        <v>0</v>
      </c>
      <c r="AUU19" s="28">
        <f>'REG y VAL POE - AESR - ESR'!K1326</f>
        <v>0</v>
      </c>
      <c r="AUV19" s="29">
        <f>'REG y VAL POE - AESR - ESR'!L1326</f>
        <v>0</v>
      </c>
      <c r="AUW19" s="29">
        <f>'REG y VAL POE - AESR - ESR'!M1326</f>
        <v>0</v>
      </c>
      <c r="AUX19" s="28">
        <f>'REG y VAL POE - AESR - ESR'!N1326</f>
        <v>0</v>
      </c>
      <c r="AUY19" s="29">
        <f>'REG y VAL POE - AESR - ESR'!O1326</f>
        <v>0</v>
      </c>
      <c r="AUZ19" s="30">
        <f>'REG y VAL POE - AESR - ESR'!P1326</f>
        <v>0</v>
      </c>
      <c r="AVA19" s="28">
        <f>'REG y VAL POE - AESR - ESR'!Q1326</f>
        <v>0</v>
      </c>
      <c r="AVB19" s="29">
        <f>'REG y VAL POE - AESR - ESR'!R1326</f>
        <v>0</v>
      </c>
      <c r="AVC19" s="29">
        <f>'REG y VAL POE - AESR - ESR'!S1326</f>
        <v>0</v>
      </c>
      <c r="AVD19" s="29">
        <f>'REG y VAL POE - AESR - ESR'!T1326</f>
        <v>0</v>
      </c>
      <c r="AVE19" s="28">
        <f>'REG y VAL POE - AESR - ESR'!U1326</f>
        <v>0</v>
      </c>
      <c r="AVF19" s="29">
        <f>'REG y VAL POE - AESR - ESR'!V1326</f>
        <v>0</v>
      </c>
      <c r="AVG19" s="29">
        <f>'REG y VAL POE - AESR - ESR'!W1326</f>
        <v>0</v>
      </c>
      <c r="AVH19" s="29">
        <f>'REG y VAL POE - AESR - ESR'!X1326</f>
        <v>0</v>
      </c>
      <c r="AVI19" s="29">
        <f>'REG y VAL POE - AESR - ESR'!Y1326</f>
        <v>0</v>
      </c>
      <c r="AVJ19" s="29">
        <f>'REG y VAL POE - AESR - ESR'!Z1326</f>
        <v>0</v>
      </c>
      <c r="AVK19" s="28">
        <f>'REG y VAL POE - AESR - ESR'!AA1326</f>
        <v>0</v>
      </c>
      <c r="AVL19" s="29">
        <f>'REG y VAL POE - AESR - ESR'!AB1326</f>
        <v>0</v>
      </c>
      <c r="AVM19" s="29">
        <f>'REG y VAL POE - AESR - ESR'!AC1326</f>
        <v>0</v>
      </c>
      <c r="AVN19" s="28">
        <f>'REG y VAL POE - AESR - ESR'!AD1326</f>
        <v>0</v>
      </c>
      <c r="AVO19" s="29">
        <f>'REG y VAL POE - AESR - ESR'!AE1326</f>
        <v>0</v>
      </c>
      <c r="AVP19" s="30">
        <f>'REG y VAL POE - AESR - ESR'!AF1326</f>
        <v>0</v>
      </c>
      <c r="AVQ19" s="28">
        <f>'REG y VAL POE - AESR - ESR'!AG1326</f>
        <v>0</v>
      </c>
      <c r="AVR19" s="29">
        <f>'REG y VAL POE - AESR - ESR'!AH1326</f>
        <v>0</v>
      </c>
      <c r="AVS19" s="29">
        <f>'REG y VAL POE - AESR - ESR'!AI1326</f>
        <v>0</v>
      </c>
      <c r="AVT19" s="29">
        <f>'REG y VAL POE - AESR - ESR'!AJ1326</f>
        <v>0</v>
      </c>
      <c r="AVU19" s="28">
        <f>'REG y VAL POE - AESR - ESR'!AK1326</f>
        <v>0</v>
      </c>
      <c r="AVV19" s="29">
        <f>'REG y VAL POE - AESR - ESR'!AL1326</f>
        <v>0</v>
      </c>
      <c r="AVW19" s="29">
        <f>'REG y VAL POE - AESR - ESR'!AM1326</f>
        <v>0</v>
      </c>
      <c r="AVX19" s="28">
        <f>'REG y VAL POE - AESR - ESR'!AN1326</f>
        <v>0</v>
      </c>
      <c r="AVY19" s="29">
        <f>'REG y VAL POE - AESR - ESR'!AO1326</f>
        <v>0</v>
      </c>
      <c r="AVZ19" s="30">
        <f>'REG y VAL POE - AESR - ESR'!AP1326</f>
        <v>0</v>
      </c>
      <c r="AWA19" s="28">
        <f>'REG y VAL POE - AESR - ESR'!AQ1326</f>
        <v>0</v>
      </c>
      <c r="AWB19" s="29">
        <f>'REG y VAL POE - AESR - ESR'!AR1326</f>
        <v>0</v>
      </c>
      <c r="AWC19" s="29">
        <f>'REG y VAL POE - AESR - ESR'!AS1326</f>
        <v>0</v>
      </c>
      <c r="AWD19" s="385">
        <f>'REG y VAL POE - AESR - ESR'!B1327</f>
        <v>0</v>
      </c>
      <c r="AWE19" s="28">
        <f>'REG y VAL POE - AESR - ESR'!C1327</f>
        <v>0</v>
      </c>
      <c r="AWF19" s="29">
        <f>'REG y VAL POE - AESR - ESR'!D1327</f>
        <v>0</v>
      </c>
      <c r="AWG19" s="29">
        <f>'REG y VAL POE - AESR - ESR'!E1327</f>
        <v>0</v>
      </c>
      <c r="AWH19" s="29">
        <f>'REG y VAL POE - AESR - ESR'!F1327</f>
        <v>0</v>
      </c>
      <c r="AWI19" s="29">
        <f>'REG y VAL POE - AESR - ESR'!G1327</f>
        <v>0</v>
      </c>
      <c r="AWJ19" s="29">
        <f>'REG y VAL POE - AESR - ESR'!H1327</f>
        <v>0</v>
      </c>
      <c r="AWK19" s="28">
        <f>'REG y VAL POE - AESR - ESR'!I1327</f>
        <v>0</v>
      </c>
      <c r="AWL19" s="29">
        <f>'REG y VAL POE - AESR - ESR'!J1327</f>
        <v>0</v>
      </c>
      <c r="AWM19" s="29">
        <f>'REG y VAL POE - AESR - ESR'!K1327</f>
        <v>0</v>
      </c>
      <c r="AWN19" s="28">
        <f>'REG y VAL POE - AESR - ESR'!L1327</f>
        <v>0</v>
      </c>
      <c r="AWO19" s="29">
        <f>'REG y VAL POE - AESR - ESR'!M1327</f>
        <v>0</v>
      </c>
      <c r="AWP19" s="30">
        <f>'REG y VAL POE - AESR - ESR'!N1327</f>
        <v>0</v>
      </c>
      <c r="AWQ19" s="28">
        <f>'REG y VAL POE - AESR - ESR'!O1327</f>
        <v>0</v>
      </c>
      <c r="AWR19" s="29">
        <f>'REG y VAL POE - AESR - ESR'!P1327</f>
        <v>0</v>
      </c>
      <c r="AWS19" s="29">
        <f>'REG y VAL POE - AESR - ESR'!Q1327</f>
        <v>0</v>
      </c>
      <c r="AWT19" s="29">
        <f>'REG y VAL POE - AESR - ESR'!R1327</f>
        <v>0</v>
      </c>
      <c r="AWU19" s="28">
        <f>'REG y VAL POE - AESR - ESR'!S1327</f>
        <v>0</v>
      </c>
      <c r="AWV19" s="29">
        <f>'REG y VAL POE - AESR - ESR'!T1327</f>
        <v>0</v>
      </c>
      <c r="AWW19" s="29">
        <f>'REG y VAL POE - AESR - ESR'!U1327</f>
        <v>0</v>
      </c>
      <c r="AWX19" s="28">
        <f>'REG y VAL POE - AESR - ESR'!V1327</f>
        <v>0</v>
      </c>
      <c r="AWY19" s="29">
        <f>'REG y VAL POE - AESR - ESR'!W1327</f>
        <v>0</v>
      </c>
      <c r="AWZ19" s="30">
        <f>'REG y VAL POE - AESR - ESR'!X1327</f>
        <v>0</v>
      </c>
      <c r="AXA19" s="28">
        <f>'REG y VAL POE - AESR - ESR'!Y1327</f>
        <v>0</v>
      </c>
      <c r="AXB19" s="29">
        <f>'REG y VAL POE - AESR - ESR'!Z1327</f>
        <v>0</v>
      </c>
      <c r="AXC19" s="29">
        <f>'REG y VAL POE - AESR - ESR'!AA1327</f>
        <v>0</v>
      </c>
      <c r="AXD19" s="29">
        <f>'REG y VAL POE - AESR - ESR'!AB1327</f>
        <v>0</v>
      </c>
      <c r="AXE19" s="28">
        <f>'REG y VAL POE - AESR - ESR'!AC1327</f>
        <v>0</v>
      </c>
      <c r="AXF19" s="29">
        <f>'REG y VAL POE - AESR - ESR'!AD1327</f>
        <v>0</v>
      </c>
      <c r="AXG19" s="29">
        <f>'REG y VAL POE - AESR - ESR'!AE1327</f>
        <v>0</v>
      </c>
      <c r="AXH19" s="29">
        <f>'REG y VAL POE - AESR - ESR'!AF1327</f>
        <v>0</v>
      </c>
      <c r="AXI19" s="29">
        <f>'REG y VAL POE - AESR - ESR'!AG1327</f>
        <v>0</v>
      </c>
      <c r="AXJ19" s="29">
        <f>'REG y VAL POE - AESR - ESR'!AH1327</f>
        <v>0</v>
      </c>
      <c r="AXK19" s="28">
        <f>'REG y VAL POE - AESR - ESR'!AI1327</f>
        <v>0</v>
      </c>
      <c r="AXL19" s="29">
        <f>'REG y VAL POE - AESR - ESR'!AJ1327</f>
        <v>0</v>
      </c>
      <c r="AXM19" s="29">
        <f>'REG y VAL POE - AESR - ESR'!AK1327</f>
        <v>0</v>
      </c>
      <c r="AXN19" s="28">
        <f>'REG y VAL POE - AESR - ESR'!AL1327</f>
        <v>0</v>
      </c>
      <c r="AXO19" s="29">
        <f>'REG y VAL POE - AESR - ESR'!AM1327</f>
        <v>0</v>
      </c>
      <c r="AXP19" s="30">
        <f>'REG y VAL POE - AESR - ESR'!AN1327</f>
        <v>0</v>
      </c>
      <c r="AXQ19" s="28">
        <f>'REG y VAL POE - AESR - ESR'!AO1327</f>
        <v>0</v>
      </c>
      <c r="AXR19" s="29">
        <f>'REG y VAL POE - AESR - ESR'!AP1327</f>
        <v>0</v>
      </c>
      <c r="AXS19" s="29">
        <f>'REG y VAL POE - AESR - ESR'!AQ1327</f>
        <v>0</v>
      </c>
      <c r="AXT19" s="29">
        <f>'REG y VAL POE - AESR - ESR'!AR1327</f>
        <v>0</v>
      </c>
      <c r="AXU19" s="28">
        <f>'REG y VAL POE - AESR - ESR'!AS1327</f>
        <v>0</v>
      </c>
      <c r="AXV19" s="29">
        <f>'REG y VAL POE - AESR - ESR'!B1328</f>
        <v>0</v>
      </c>
      <c r="AXW19" s="29">
        <f>'REG y VAL POE - AESR - ESR'!C1328</f>
        <v>0</v>
      </c>
      <c r="AXX19" s="28">
        <f>'REG y VAL POE - AESR - ESR'!D1328</f>
        <v>0</v>
      </c>
      <c r="AXY19" s="29">
        <f>'REG y VAL POE - AESR - ESR'!E1328</f>
        <v>0</v>
      </c>
      <c r="AXZ19" s="30">
        <f>'REG y VAL POE - AESR - ESR'!F1328</f>
        <v>0</v>
      </c>
      <c r="AYA19" s="28">
        <f>'REG y VAL POE - AESR - ESR'!G1328</f>
        <v>0</v>
      </c>
      <c r="AYB19" s="29">
        <f>'REG y VAL POE - AESR - ESR'!H1328</f>
        <v>0</v>
      </c>
      <c r="AYC19" s="29">
        <f>'REG y VAL POE - AESR - ESR'!I1328</f>
        <v>0</v>
      </c>
      <c r="AYD19" s="29">
        <f>'REG y VAL POE - AESR - ESR'!J1328</f>
        <v>0</v>
      </c>
      <c r="AYE19" s="28">
        <f>'REG y VAL POE - AESR - ESR'!K1328</f>
        <v>0</v>
      </c>
      <c r="AYF19" s="29">
        <f>'REG y VAL POE - AESR - ESR'!L1328</f>
        <v>0</v>
      </c>
      <c r="AYG19" s="29">
        <f>'REG y VAL POE - AESR - ESR'!M1328</f>
        <v>0</v>
      </c>
      <c r="AYH19" s="29">
        <f>'REG y VAL POE - AESR - ESR'!N1328</f>
        <v>0</v>
      </c>
      <c r="AYI19" s="29">
        <f>'REG y VAL POE - AESR - ESR'!O1328</f>
        <v>0</v>
      </c>
      <c r="AYJ19" s="29">
        <f>'REG y VAL POE - AESR - ESR'!P1328</f>
        <v>0</v>
      </c>
      <c r="AYK19" s="28">
        <f>'REG y VAL POE - AESR - ESR'!Q1328</f>
        <v>0</v>
      </c>
      <c r="AYL19" s="29">
        <f>'REG y VAL POE - AESR - ESR'!R1328</f>
        <v>0</v>
      </c>
      <c r="AYM19" s="29">
        <f>'REG y VAL POE - AESR - ESR'!S1328</f>
        <v>0</v>
      </c>
      <c r="AYN19" s="28">
        <f>'REG y VAL POE - AESR - ESR'!T1328</f>
        <v>0</v>
      </c>
      <c r="AYO19" s="29">
        <f>'REG y VAL POE - AESR - ESR'!U1328</f>
        <v>0</v>
      </c>
      <c r="AYP19" s="30">
        <f>'REG y VAL POE - AESR - ESR'!V1328</f>
        <v>0</v>
      </c>
      <c r="AYQ19" s="28">
        <f>'REG y VAL POE - AESR - ESR'!W1328</f>
        <v>0</v>
      </c>
      <c r="AYR19" s="29">
        <f>'REG y VAL POE - AESR - ESR'!X1328</f>
        <v>0</v>
      </c>
      <c r="AYS19" s="29">
        <f>'REG y VAL POE - AESR - ESR'!Y1328</f>
        <v>0</v>
      </c>
      <c r="AYT19" s="29">
        <f>'REG y VAL POE - AESR - ESR'!Z1328</f>
        <v>0</v>
      </c>
      <c r="AYU19" s="28">
        <f>'REG y VAL POE - AESR - ESR'!AA1328</f>
        <v>0</v>
      </c>
      <c r="AYV19" s="29">
        <f>'REG y VAL POE - AESR - ESR'!AB1328</f>
        <v>0</v>
      </c>
      <c r="AYW19" s="29">
        <f>'REG y VAL POE - AESR - ESR'!AC1328</f>
        <v>0</v>
      </c>
      <c r="AYX19" s="28">
        <f>'REG y VAL POE - AESR - ESR'!AD1328</f>
        <v>0</v>
      </c>
      <c r="AYY19" s="29">
        <f>'REG y VAL POE - AESR - ESR'!AE1328</f>
        <v>0</v>
      </c>
      <c r="AYZ19" s="30">
        <f>'REG y VAL POE - AESR - ESR'!AF1328</f>
        <v>0</v>
      </c>
      <c r="AZA19" s="28">
        <f>'REG y VAL POE - AESR - ESR'!AG1328</f>
        <v>0</v>
      </c>
      <c r="AZB19" s="29">
        <f>'REG y VAL POE - AESR - ESR'!AH1328</f>
        <v>0</v>
      </c>
      <c r="AZC19" s="29">
        <f>'REG y VAL POE - AESR - ESR'!AI1328</f>
        <v>0</v>
      </c>
      <c r="AZD19" s="29">
        <f>'REG y VAL POE - AESR - ESR'!AJ1328</f>
        <v>0</v>
      </c>
      <c r="AZE19" s="28">
        <f>'REG y VAL POE - AESR - ESR'!AK1328</f>
        <v>0</v>
      </c>
      <c r="AZF19" s="29">
        <f>'REG y VAL POE - AESR - ESR'!AL1328</f>
        <v>0</v>
      </c>
      <c r="AZG19" s="29">
        <f>'REG y VAL POE - AESR - ESR'!AM1328</f>
        <v>0</v>
      </c>
      <c r="AZH19" s="29">
        <f>'REG y VAL POE - AESR - ESR'!AN1328</f>
        <v>0</v>
      </c>
      <c r="AZI19" s="29">
        <f>'REG y VAL POE - AESR - ESR'!AO1328</f>
        <v>0</v>
      </c>
      <c r="AZJ19" s="29">
        <f>'REG y VAL POE - AESR - ESR'!AP1328</f>
        <v>0</v>
      </c>
      <c r="AZK19" s="28">
        <f>'REG y VAL POE - AESR - ESR'!AQ1328</f>
        <v>0</v>
      </c>
      <c r="AZL19" s="29">
        <f>'REG y VAL POE - AESR - ESR'!AR1328</f>
        <v>0</v>
      </c>
      <c r="AZM19" s="29">
        <f>'REG y VAL POE - AESR - ESR'!AS1328</f>
        <v>0</v>
      </c>
      <c r="AZN19" s="28">
        <f>'REG y VAL POE - AESR - ESR'!B1329</f>
        <v>0</v>
      </c>
      <c r="AZO19" s="29">
        <f>'REG y VAL POE - AESR - ESR'!C1329</f>
        <v>0</v>
      </c>
      <c r="AZP19" s="30">
        <f>'REG y VAL POE - AESR - ESR'!D1329</f>
        <v>0</v>
      </c>
      <c r="AZQ19" s="28">
        <f>'REG y VAL POE - AESR - ESR'!E1329</f>
        <v>0</v>
      </c>
      <c r="AZR19" s="29">
        <f>'REG y VAL POE - AESR - ESR'!F1329</f>
        <v>0</v>
      </c>
      <c r="AZS19" s="29">
        <f>'REG y VAL POE - AESR - ESR'!G1329</f>
        <v>0</v>
      </c>
      <c r="AZT19" s="29">
        <f>'REG y VAL POE - AESR - ESR'!H1329</f>
        <v>0</v>
      </c>
      <c r="AZU19" s="28">
        <f>'REG y VAL POE - AESR - ESR'!I1329</f>
        <v>0</v>
      </c>
      <c r="AZV19" s="29">
        <f>'REG y VAL POE - AESR - ESR'!J1329</f>
        <v>0</v>
      </c>
      <c r="AZW19" s="29">
        <f>'REG y VAL POE - AESR - ESR'!K1329</f>
        <v>0</v>
      </c>
      <c r="AZX19" s="28">
        <f>'REG y VAL POE - AESR - ESR'!L1329</f>
        <v>0</v>
      </c>
      <c r="AZY19" s="29">
        <f>'REG y VAL POE - AESR - ESR'!M1329</f>
        <v>0</v>
      </c>
      <c r="AZZ19" s="30">
        <f>'REG y VAL POE - AESR - ESR'!N1329</f>
        <v>0</v>
      </c>
      <c r="BAA19" s="28">
        <f>'REG y VAL POE - AESR - ESR'!O1329</f>
        <v>0</v>
      </c>
      <c r="BAB19" s="29">
        <f>'REG y VAL POE - AESR - ESR'!P1329</f>
        <v>0</v>
      </c>
      <c r="BAC19" s="29">
        <f>'REG y VAL POE - AESR - ESR'!Q1329</f>
        <v>0</v>
      </c>
      <c r="BAD19" s="29">
        <f>'REG y VAL POE - AESR - ESR'!R1329</f>
        <v>0</v>
      </c>
      <c r="BAE19" s="28">
        <f>'REG y VAL POE - AESR - ESR'!S1329</f>
        <v>0</v>
      </c>
      <c r="BAF19" s="29">
        <f>'REG y VAL POE - AESR - ESR'!T1329</f>
        <v>0</v>
      </c>
      <c r="BAG19" s="29">
        <f>'REG y VAL POE - AESR - ESR'!U1329</f>
        <v>0</v>
      </c>
      <c r="BAH19" s="29">
        <f>'REG y VAL POE - AESR - ESR'!V1329</f>
        <v>0</v>
      </c>
      <c r="BAI19" s="29">
        <f>'REG y VAL POE - AESR - ESR'!W1329</f>
        <v>0</v>
      </c>
      <c r="BAJ19" s="29">
        <f>'REG y VAL POE - AESR - ESR'!X1329</f>
        <v>0</v>
      </c>
      <c r="BAK19" s="28">
        <f>'REG y VAL POE - AESR - ESR'!Y1329</f>
        <v>0</v>
      </c>
      <c r="BAL19" s="29">
        <f>'REG y VAL POE - AESR - ESR'!Z1329</f>
        <v>0</v>
      </c>
      <c r="BAM19" s="29">
        <f>'REG y VAL POE - AESR - ESR'!AA1329</f>
        <v>0</v>
      </c>
      <c r="BAN19" s="28">
        <f>'REG y VAL POE - AESR - ESR'!AB1329</f>
        <v>0</v>
      </c>
      <c r="BAO19" s="29">
        <f>'REG y VAL POE - AESR - ESR'!AC1329</f>
        <v>0</v>
      </c>
      <c r="BAP19" s="30">
        <f>'REG y VAL POE - AESR - ESR'!AD1329</f>
        <v>0</v>
      </c>
      <c r="BAQ19" s="28">
        <f>'REG y VAL POE - AESR - ESR'!AE1329</f>
        <v>0</v>
      </c>
      <c r="BAR19" s="29">
        <f>'REG y VAL POE - AESR - ESR'!AF1329</f>
        <v>0</v>
      </c>
      <c r="BAS19" s="29">
        <f>'REG y VAL POE - AESR - ESR'!AG1329</f>
        <v>0</v>
      </c>
      <c r="BAT19" s="29">
        <f>'REG y VAL POE - AESR - ESR'!AH1329</f>
        <v>0</v>
      </c>
      <c r="BAU19" s="28">
        <f>'REG y VAL POE - AESR - ESR'!AI1329</f>
        <v>0</v>
      </c>
      <c r="BAV19" s="29">
        <f>'REG y VAL POE - AESR - ESR'!AJ1329</f>
        <v>0</v>
      </c>
      <c r="BAW19" s="29">
        <f>'REG y VAL POE - AESR - ESR'!AK1329</f>
        <v>0</v>
      </c>
      <c r="BAX19" s="28">
        <f>'REG y VAL POE - AESR - ESR'!AL1329</f>
        <v>0</v>
      </c>
      <c r="BAY19" s="29">
        <f>'REG y VAL POE - AESR - ESR'!AM1329</f>
        <v>0</v>
      </c>
      <c r="BAZ19" s="30">
        <f>'REG y VAL POE - AESR - ESR'!AN1329</f>
        <v>0</v>
      </c>
      <c r="BBA19" s="28">
        <f>'REG y VAL POE - AESR - ESR'!AO1329</f>
        <v>0</v>
      </c>
      <c r="BBB19" s="29">
        <f>'REG y VAL POE - AESR - ESR'!AP1329</f>
        <v>0</v>
      </c>
      <c r="BBC19" s="29">
        <f>'REG y VAL POE - AESR - ESR'!AQ1329</f>
        <v>0</v>
      </c>
      <c r="BBD19" s="29">
        <f>'REG y VAL POE - AESR - ESR'!AR1329</f>
        <v>0</v>
      </c>
      <c r="BBE19" s="28">
        <f>'REG y VAL POE - AESR - ESR'!AS1329</f>
        <v>0</v>
      </c>
      <c r="BBF19" s="29">
        <f>'REG y VAL POE - AESR - ESR'!B1330</f>
        <v>0</v>
      </c>
      <c r="BBG19" s="29">
        <f>'REG y VAL POE - AESR - ESR'!C1330</f>
        <v>0</v>
      </c>
      <c r="BBH19" s="29">
        <f>'REG y VAL POE - AESR - ESR'!D1330</f>
        <v>0</v>
      </c>
      <c r="BBI19" s="29">
        <f>'REG y VAL POE - AESR - ESR'!E1330</f>
        <v>0</v>
      </c>
      <c r="BBJ19" s="29">
        <f>'REG y VAL POE - AESR - ESR'!F1330</f>
        <v>0</v>
      </c>
      <c r="BBK19" s="28">
        <f>'REG y VAL POE - AESR - ESR'!G1330</f>
        <v>0</v>
      </c>
      <c r="BBL19" s="29">
        <f>'REG y VAL POE - AESR - ESR'!H1330</f>
        <v>0</v>
      </c>
      <c r="BBM19" s="29">
        <f>'REG y VAL POE - AESR - ESR'!I1330</f>
        <v>0</v>
      </c>
      <c r="BBN19" s="28">
        <f>'REG y VAL POE - AESR - ESR'!J1330</f>
        <v>0</v>
      </c>
      <c r="BBO19" s="29">
        <f>'REG y VAL POE - AESR - ESR'!K1330</f>
        <v>0</v>
      </c>
      <c r="BBP19" s="30">
        <f>'REG y VAL POE - AESR - ESR'!L1330</f>
        <v>0</v>
      </c>
      <c r="BBQ19" s="28">
        <f>'REG y VAL POE - AESR - ESR'!M1330</f>
        <v>0</v>
      </c>
      <c r="BBR19" s="29">
        <f>'REG y VAL POE - AESR - ESR'!N1330</f>
        <v>0</v>
      </c>
      <c r="BBS19" s="29">
        <f>'REG y VAL POE - AESR - ESR'!O1330</f>
        <v>0</v>
      </c>
      <c r="BBT19" s="29">
        <f>'REG y VAL POE - AESR - ESR'!P1330</f>
        <v>0</v>
      </c>
      <c r="BBU19" s="28">
        <f>'REG y VAL POE - AESR - ESR'!Q1330</f>
        <v>0</v>
      </c>
      <c r="BBV19" s="29">
        <f>'REG y VAL POE - AESR - ESR'!R1330</f>
        <v>0</v>
      </c>
      <c r="BBW19" s="29">
        <f>'REG y VAL POE - AESR - ESR'!S1330</f>
        <v>0</v>
      </c>
      <c r="BBX19" s="28">
        <f>'REG y VAL POE - AESR - ESR'!T1330</f>
        <v>0</v>
      </c>
      <c r="BBY19" s="29">
        <f>'REG y VAL POE - AESR - ESR'!U1330</f>
        <v>0</v>
      </c>
      <c r="BBZ19" s="30">
        <f>'REG y VAL POE - AESR - ESR'!V1330</f>
        <v>0</v>
      </c>
      <c r="BCA19" s="28">
        <f>'REG y VAL POE - AESR - ESR'!W1330</f>
        <v>0</v>
      </c>
      <c r="BCB19" s="29">
        <f>'REG y VAL POE - AESR - ESR'!X1330</f>
        <v>0</v>
      </c>
      <c r="BCC19" s="29">
        <f>'REG y VAL POE - AESR - ESR'!Y1330</f>
        <v>0</v>
      </c>
      <c r="BCD19" s="29">
        <f>'REG y VAL POE - AESR - ESR'!Z1330</f>
        <v>0</v>
      </c>
      <c r="BCE19" s="28">
        <f>'REG y VAL POE - AESR - ESR'!AA1330</f>
        <v>0</v>
      </c>
      <c r="BCF19" s="29">
        <f>'REG y VAL POE - AESR - ESR'!AB1330</f>
        <v>0</v>
      </c>
      <c r="BCG19" s="29">
        <f>'REG y VAL POE - AESR - ESR'!AC1330</f>
        <v>0</v>
      </c>
      <c r="BCH19" s="29">
        <f>'REG y VAL POE - AESR - ESR'!AD1330</f>
        <v>0</v>
      </c>
      <c r="BCI19" s="29">
        <f>'REG y VAL POE - AESR - ESR'!AE1330</f>
        <v>0</v>
      </c>
      <c r="BCJ19" s="29">
        <f>'REG y VAL POE - AESR - ESR'!AF1330</f>
        <v>0</v>
      </c>
      <c r="BCK19" s="28">
        <f>'REG y VAL POE - AESR - ESR'!AG1330</f>
        <v>0</v>
      </c>
      <c r="BCL19" s="29">
        <f>'REG y VAL POE - AESR - ESR'!AH1330</f>
        <v>0</v>
      </c>
      <c r="BCM19" s="29">
        <f>'REG y VAL POE - AESR - ESR'!AI1330</f>
        <v>0</v>
      </c>
      <c r="BCN19" s="28">
        <f>'REG y VAL POE - AESR - ESR'!AJ1330</f>
        <v>0</v>
      </c>
      <c r="BCO19" s="29">
        <f>'REG y VAL POE - AESR - ESR'!AK1330</f>
        <v>0</v>
      </c>
      <c r="BCP19" s="30">
        <f>'REG y VAL POE - AESR - ESR'!AL1330</f>
        <v>0</v>
      </c>
      <c r="BCQ19" s="28">
        <f>'REG y VAL POE - AESR - ESR'!AM1330</f>
        <v>0</v>
      </c>
      <c r="BCR19" s="29">
        <f>'REG y VAL POE - AESR - ESR'!AN1330</f>
        <v>0</v>
      </c>
      <c r="BCS19" s="29">
        <f>'REG y VAL POE - AESR - ESR'!AO1330</f>
        <v>0</v>
      </c>
      <c r="BCT19" s="29">
        <f>'REG y VAL POE - AESR - ESR'!AP1330</f>
        <v>0</v>
      </c>
      <c r="BCU19" s="28">
        <f>'REG y VAL POE - AESR - ESR'!AQ1330</f>
        <v>0</v>
      </c>
      <c r="BCV19" s="29">
        <f>'REG y VAL POE - AESR - ESR'!AR1330</f>
        <v>0</v>
      </c>
      <c r="BCW19" s="29">
        <f>'REG y VAL POE - AESR - ESR'!AS1330</f>
        <v>0</v>
      </c>
      <c r="BCX19" s="28">
        <f>'REG y VAL POE - AESR - ESR'!B1331</f>
        <v>0</v>
      </c>
      <c r="BCY19" s="29">
        <f>'REG y VAL POE - AESR - ESR'!C1331</f>
        <v>0</v>
      </c>
      <c r="BCZ19" s="30">
        <f>'REG y VAL POE - AESR - ESR'!D1331</f>
        <v>0</v>
      </c>
      <c r="BDA19" s="28">
        <f>'REG y VAL POE - AESR - ESR'!E1331</f>
        <v>0</v>
      </c>
      <c r="BDB19" s="29">
        <f>'REG y VAL POE - AESR - ESR'!F1331</f>
        <v>0</v>
      </c>
      <c r="BDC19" s="29">
        <f>'REG y VAL POE - AESR - ESR'!G1331</f>
        <v>0</v>
      </c>
      <c r="BDD19" s="29">
        <f>'REG y VAL POE - AESR - ESR'!H1331</f>
        <v>0</v>
      </c>
      <c r="BDE19" s="28">
        <f>'REG y VAL POE - AESR - ESR'!I1331</f>
        <v>0</v>
      </c>
      <c r="BDF19" s="29">
        <f>'REG y VAL POE - AESR - ESR'!J1331</f>
        <v>0</v>
      </c>
      <c r="BDG19" s="29">
        <f>'REG y VAL POE - AESR - ESR'!K1331</f>
        <v>0</v>
      </c>
      <c r="BDH19" s="29">
        <f>'REG y VAL POE - AESR - ESR'!L1331</f>
        <v>0</v>
      </c>
      <c r="BDI19" s="29">
        <f>'REG y VAL POE - AESR - ESR'!M1331</f>
        <v>0</v>
      </c>
      <c r="BDJ19" s="29">
        <f>'REG y VAL POE - AESR - ESR'!N1331</f>
        <v>0</v>
      </c>
      <c r="BDK19" s="28">
        <f>'REG y VAL POE - AESR - ESR'!O1331</f>
        <v>0</v>
      </c>
      <c r="BDL19" s="29">
        <f>'REG y VAL POE - AESR - ESR'!P1331</f>
        <v>0</v>
      </c>
      <c r="BDM19" s="29">
        <f>'REG y VAL POE - AESR - ESR'!Q1331</f>
        <v>0</v>
      </c>
      <c r="BDN19" s="28">
        <f>'REG y VAL POE - AESR - ESR'!R1331</f>
        <v>0</v>
      </c>
      <c r="BDO19" s="29">
        <f>'REG y VAL POE - AESR - ESR'!S1331</f>
        <v>0</v>
      </c>
      <c r="BDP19" s="30">
        <f>'REG y VAL POE - AESR - ESR'!T1331</f>
        <v>0</v>
      </c>
      <c r="BDQ19" s="28">
        <f>'REG y VAL POE - AESR - ESR'!U1331</f>
        <v>0</v>
      </c>
      <c r="BDR19" s="29">
        <f>'REG y VAL POE - AESR - ESR'!V1331</f>
        <v>0</v>
      </c>
      <c r="BDS19" s="29">
        <f>'REG y VAL POE - AESR - ESR'!W1331</f>
        <v>0</v>
      </c>
      <c r="BDT19" s="29">
        <f>'REG y VAL POE - AESR - ESR'!X1331</f>
        <v>0</v>
      </c>
      <c r="BDU19" s="28">
        <f>'REG y VAL POE - AESR - ESR'!Y1331</f>
        <v>0</v>
      </c>
      <c r="BDV19" s="29">
        <f>'REG y VAL POE - AESR - ESR'!Z1331</f>
        <v>0</v>
      </c>
      <c r="BDW19" s="29">
        <f>'REG y VAL POE - AESR - ESR'!AA1331</f>
        <v>0</v>
      </c>
      <c r="BDX19" s="28">
        <f>'REG y VAL POE - AESR - ESR'!AB1331</f>
        <v>0</v>
      </c>
      <c r="BDY19" s="29">
        <f>'REG y VAL POE - AESR - ESR'!AC1331</f>
        <v>0</v>
      </c>
      <c r="BDZ19" s="30">
        <f>'REG y VAL POE - AESR - ESR'!AD1331</f>
        <v>0</v>
      </c>
      <c r="BEA19" s="28">
        <f>'REG y VAL POE - AESR - ESR'!AE1331</f>
        <v>0</v>
      </c>
      <c r="BEB19" s="29">
        <f>'REG y VAL POE - AESR - ESR'!AF1331</f>
        <v>0</v>
      </c>
      <c r="BEC19" s="29">
        <f>'REG y VAL POE - AESR - ESR'!AG1331</f>
        <v>0</v>
      </c>
      <c r="BED19" s="29">
        <f>'REG y VAL POE - AESR - ESR'!AH1331</f>
        <v>0</v>
      </c>
      <c r="BEE19" s="28">
        <f>'REG y VAL POE - AESR - ESR'!AI1331</f>
        <v>0</v>
      </c>
      <c r="BEF19" s="29">
        <f>'REG y VAL POE - AESR - ESR'!AJ1331</f>
        <v>0</v>
      </c>
      <c r="BEG19" s="29">
        <f>'REG y VAL POE - AESR - ESR'!AK1331</f>
        <v>0</v>
      </c>
      <c r="BEH19" s="29">
        <f>'REG y VAL POE - AESR - ESR'!AL1331</f>
        <v>0</v>
      </c>
      <c r="BEI19" s="29">
        <f>'REG y VAL POE - AESR - ESR'!AM1331</f>
        <v>0</v>
      </c>
      <c r="BEJ19" s="29">
        <f>'REG y VAL POE - AESR - ESR'!AN1331</f>
        <v>0</v>
      </c>
      <c r="BEK19" s="28">
        <f>'REG y VAL POE - AESR - ESR'!AO1331</f>
        <v>0</v>
      </c>
      <c r="BEL19" s="29">
        <f>'REG y VAL POE - AESR - ESR'!AP1331</f>
        <v>0</v>
      </c>
      <c r="BEM19" s="29">
        <f>'REG y VAL POE - AESR - ESR'!AQ1331</f>
        <v>0</v>
      </c>
      <c r="BEN19" s="28">
        <f>'REG y VAL POE - AESR - ESR'!AR1331</f>
        <v>0</v>
      </c>
      <c r="BEO19" s="29">
        <f>'REG y VAL POE - AESR - ESR'!AS1331</f>
        <v>0</v>
      </c>
      <c r="BEP19" s="27">
        <f>'REG y VAL POE - AESR - ESR'!B1332</f>
        <v>0</v>
      </c>
      <c r="BEQ19" s="28">
        <f>'REG y VAL POE - AESR - ESR'!C1332</f>
        <v>0</v>
      </c>
      <c r="BER19" s="29">
        <f>'REG y VAL POE - AESR - ESR'!D1332</f>
        <v>0</v>
      </c>
      <c r="BES19" s="29">
        <f>'REG y VAL POE - AESR - ESR'!E1332</f>
        <v>0</v>
      </c>
      <c r="BET19" s="29">
        <f>'REG y VAL POE - AESR - ESR'!F1332</f>
        <v>0</v>
      </c>
      <c r="BEU19" s="28">
        <f>'REG y VAL POE - AESR - ESR'!G1332</f>
        <v>0</v>
      </c>
      <c r="BEV19" s="29">
        <f>'REG y VAL POE - AESR - ESR'!H1332</f>
        <v>0</v>
      </c>
      <c r="BEW19" s="29">
        <f>'REG y VAL POE - AESR - ESR'!I1332</f>
        <v>0</v>
      </c>
      <c r="BEX19" s="28">
        <f>'REG y VAL POE - AESR - ESR'!J1332</f>
        <v>0</v>
      </c>
      <c r="BEY19" s="29">
        <f>'REG y VAL POE - AESR - ESR'!K1332</f>
        <v>0</v>
      </c>
      <c r="BEZ19" s="30">
        <f>'REG y VAL POE - AESR - ESR'!L1332</f>
        <v>0</v>
      </c>
      <c r="BFA19" s="28">
        <f>'REG y VAL POE - AESR - ESR'!M1332</f>
        <v>0</v>
      </c>
      <c r="BFB19" s="29">
        <f>'REG y VAL POE - AESR - ESR'!N1332</f>
        <v>0</v>
      </c>
      <c r="BFC19" s="29">
        <f>'REG y VAL POE - AESR - ESR'!O1332</f>
        <v>0</v>
      </c>
      <c r="BFD19" s="29">
        <f>'REG y VAL POE - AESR - ESR'!P1332</f>
        <v>0</v>
      </c>
      <c r="BFE19" s="28">
        <f>'REG y VAL POE - AESR - ESR'!Q1332</f>
        <v>0</v>
      </c>
      <c r="BFF19" s="29">
        <f>'REG y VAL POE - AESR - ESR'!R1332</f>
        <v>0</v>
      </c>
      <c r="BFG19" s="29">
        <f>'REG y VAL POE - AESR - ESR'!S1332</f>
        <v>0</v>
      </c>
      <c r="BFH19" s="29">
        <f>'REG y VAL POE - AESR - ESR'!T1332</f>
        <v>0</v>
      </c>
      <c r="BFI19" s="29">
        <f>'REG y VAL POE - AESR - ESR'!U1332</f>
        <v>0</v>
      </c>
      <c r="BFJ19" s="29">
        <f>'REG y VAL POE - AESR - ESR'!V1332</f>
        <v>0</v>
      </c>
      <c r="BFK19" s="28">
        <f>'REG y VAL POE - AESR - ESR'!W1332</f>
        <v>0</v>
      </c>
      <c r="BFL19" s="29">
        <f>'REG y VAL POE - AESR - ESR'!X1332</f>
        <v>0</v>
      </c>
      <c r="BFM19" s="29">
        <f>'REG y VAL POE - AESR - ESR'!Y1332</f>
        <v>0</v>
      </c>
      <c r="BFN19" s="28">
        <f>'REG y VAL POE - AESR - ESR'!Z1332</f>
        <v>0</v>
      </c>
      <c r="BFO19" s="29">
        <f>'REG y VAL POE - AESR - ESR'!AA1332</f>
        <v>0</v>
      </c>
      <c r="BFP19" s="30">
        <f>'REG y VAL POE - AESR - ESR'!AB1332</f>
        <v>0</v>
      </c>
      <c r="BFQ19" s="28">
        <f>'REG y VAL POE - AESR - ESR'!AC1332</f>
        <v>0</v>
      </c>
      <c r="BFR19" s="29">
        <f>'REG y VAL POE - AESR - ESR'!AD1332</f>
        <v>0</v>
      </c>
      <c r="BFS19" s="29">
        <f>'REG y VAL POE - AESR - ESR'!AE1332</f>
        <v>0</v>
      </c>
      <c r="BFT19" s="29">
        <f>'REG y VAL POE - AESR - ESR'!AF1332</f>
        <v>0</v>
      </c>
      <c r="BFU19" s="28">
        <f>'REG y VAL POE - AESR - ESR'!AG1332</f>
        <v>0</v>
      </c>
      <c r="BFV19" s="29">
        <f>'REG y VAL POE - AESR - ESR'!AH1332</f>
        <v>0</v>
      </c>
      <c r="BFW19" s="29">
        <f>'REG y VAL POE - AESR - ESR'!AI1332</f>
        <v>0</v>
      </c>
      <c r="BFX19" s="28">
        <f>'REG y VAL POE - AESR - ESR'!AJ1332</f>
        <v>0</v>
      </c>
      <c r="BFY19" s="29">
        <f>'REG y VAL POE - AESR - ESR'!AK1332</f>
        <v>0</v>
      </c>
      <c r="BFZ19" s="30">
        <f>'REG y VAL POE - AESR - ESR'!AL1332</f>
        <v>0</v>
      </c>
      <c r="BGA19" s="28">
        <f>'REG y VAL POE - AESR - ESR'!AM1332</f>
        <v>0</v>
      </c>
      <c r="BGB19" s="29">
        <f>'REG y VAL POE - AESR - ESR'!AN1332</f>
        <v>0</v>
      </c>
      <c r="BGC19" s="29">
        <f>'REG y VAL POE - AESR - ESR'!AO1332</f>
        <v>0</v>
      </c>
      <c r="BGD19" s="29">
        <f>'REG y VAL POE - AESR - ESR'!AP1332</f>
        <v>0</v>
      </c>
      <c r="BGE19" s="28">
        <f>'REG y VAL POE - AESR - ESR'!AQ1332</f>
        <v>0</v>
      </c>
      <c r="BGF19" s="29">
        <f>'REG y VAL POE - AESR - ESR'!AR1332</f>
        <v>0</v>
      </c>
      <c r="BGG19" s="29">
        <f>'REG y VAL POE - AESR - ESR'!AS1332</f>
        <v>0</v>
      </c>
      <c r="BGH19" s="29">
        <f>'REG y VAL POE - AESR - ESR'!B1333</f>
        <v>0</v>
      </c>
      <c r="BGI19" s="29">
        <f>'REG y VAL POE - AESR - ESR'!C1333</f>
        <v>0</v>
      </c>
      <c r="BGJ19" s="29">
        <f>'REG y VAL POE - AESR - ESR'!D1333</f>
        <v>0</v>
      </c>
      <c r="BGK19" s="28">
        <f>'REG y VAL POE - AESR - ESR'!E1333</f>
        <v>0</v>
      </c>
      <c r="BGL19" s="29">
        <f>'REG y VAL POE - AESR - ESR'!F1333</f>
        <v>0</v>
      </c>
      <c r="BGM19" s="29">
        <f>'REG y VAL POE - AESR - ESR'!G1333</f>
        <v>0</v>
      </c>
      <c r="BGN19" s="28">
        <f>'REG y VAL POE - AESR - ESR'!H1333</f>
        <v>0</v>
      </c>
      <c r="BGO19" s="29">
        <f>'REG y VAL POE - AESR - ESR'!I1333</f>
        <v>0</v>
      </c>
      <c r="BGP19" s="30">
        <f>'REG y VAL POE - AESR - ESR'!J1333</f>
        <v>0</v>
      </c>
      <c r="BGQ19" s="28">
        <f>'REG y VAL POE - AESR - ESR'!K1333</f>
        <v>0</v>
      </c>
      <c r="BGR19" s="29">
        <f>'REG y VAL POE - AESR - ESR'!L1333</f>
        <v>0</v>
      </c>
      <c r="BGS19" s="29">
        <f>'REG y VAL POE - AESR - ESR'!M1333</f>
        <v>0</v>
      </c>
      <c r="BGT19" s="29">
        <f>'REG y VAL POE - AESR - ESR'!N1333</f>
        <v>0</v>
      </c>
      <c r="BGU19" s="28">
        <f>'REG y VAL POE - AESR - ESR'!O1333</f>
        <v>0</v>
      </c>
      <c r="BGV19" s="29">
        <f>'REG y VAL POE - AESR - ESR'!P1333</f>
        <v>0</v>
      </c>
      <c r="BGW19" s="29">
        <f>'REG y VAL POE - AESR - ESR'!Q1333</f>
        <v>0</v>
      </c>
      <c r="BGX19" s="28">
        <f>'REG y VAL POE - AESR - ESR'!R1333</f>
        <v>0</v>
      </c>
      <c r="BGY19" s="29">
        <f>'REG y VAL POE - AESR - ESR'!S1333</f>
        <v>0</v>
      </c>
      <c r="BGZ19" s="30">
        <f>'REG y VAL POE - AESR - ESR'!T1333</f>
        <v>0</v>
      </c>
      <c r="BHA19" s="28">
        <f>'REG y VAL POE - AESR - ESR'!U1333</f>
        <v>0</v>
      </c>
      <c r="BHB19" s="29">
        <f>'REG y VAL POE - AESR - ESR'!V1333</f>
        <v>0</v>
      </c>
      <c r="BHC19" s="29">
        <f>'REG y VAL POE - AESR - ESR'!W1333</f>
        <v>0</v>
      </c>
      <c r="BHD19" s="29">
        <f>'REG y VAL POE - AESR - ESR'!X1333</f>
        <v>0</v>
      </c>
      <c r="BHE19" s="28">
        <f>'REG y VAL POE - AESR - ESR'!Y1333</f>
        <v>0</v>
      </c>
      <c r="BHF19" s="29">
        <f>'REG y VAL POE - AESR - ESR'!Z1333</f>
        <v>0</v>
      </c>
      <c r="BHG19" s="29">
        <f>'REG y VAL POE - AESR - ESR'!AA1333</f>
        <v>0</v>
      </c>
      <c r="BHH19" s="29">
        <f>'REG y VAL POE - AESR - ESR'!AB1333</f>
        <v>0</v>
      </c>
      <c r="BHI19" s="29">
        <f>'REG y VAL POE - AESR - ESR'!AC1333</f>
        <v>0</v>
      </c>
      <c r="BHJ19" s="29">
        <f>'REG y VAL POE - AESR - ESR'!AD1333</f>
        <v>0</v>
      </c>
      <c r="BHK19" s="28">
        <f>'REG y VAL POE - AESR - ESR'!AE1333</f>
        <v>0</v>
      </c>
      <c r="BHL19" s="29">
        <f>'REG y VAL POE - AESR - ESR'!AF1333</f>
        <v>0</v>
      </c>
      <c r="BHM19" s="29">
        <f>'REG y VAL POE - AESR - ESR'!AG1333</f>
        <v>0</v>
      </c>
      <c r="BHN19" s="28">
        <f>'REG y VAL POE - AESR - ESR'!AH1333</f>
        <v>0</v>
      </c>
      <c r="BHO19" s="29">
        <f>'REG y VAL POE - AESR - ESR'!AI1333</f>
        <v>0</v>
      </c>
      <c r="BHP19" s="30">
        <f>'REG y VAL POE - AESR - ESR'!AJ1333</f>
        <v>0</v>
      </c>
      <c r="BHQ19" s="28">
        <f>'REG y VAL POE - AESR - ESR'!AK1333</f>
        <v>0</v>
      </c>
      <c r="BHR19" s="29">
        <f>'REG y VAL POE - AESR - ESR'!AL1333</f>
        <v>0</v>
      </c>
      <c r="BHS19" s="29">
        <f>'REG y VAL POE - AESR - ESR'!AM1333</f>
        <v>0</v>
      </c>
      <c r="BHT19" s="29">
        <f>'REG y VAL POE - AESR - ESR'!AN1333</f>
        <v>0</v>
      </c>
      <c r="BHU19" s="28">
        <f>'REG y VAL POE - AESR - ESR'!AO1333</f>
        <v>0</v>
      </c>
      <c r="BHV19" s="29">
        <f>'REG y VAL POE - AESR - ESR'!AP1333</f>
        <v>0</v>
      </c>
      <c r="BHW19" s="29">
        <f>'REG y VAL POE - AESR - ESR'!AQ1333</f>
        <v>0</v>
      </c>
      <c r="BHX19" s="28">
        <f>'REG y VAL POE - AESR - ESR'!AR1333</f>
        <v>0</v>
      </c>
      <c r="BHY19" s="29">
        <f>'REG y VAL POE - AESR - ESR'!AS1333</f>
        <v>0</v>
      </c>
      <c r="BHZ19" s="30">
        <f>'REG y VAL POE - AESR - ESR'!B1334</f>
        <v>0</v>
      </c>
      <c r="BIA19" s="28">
        <f>'REG y VAL POE - AESR - ESR'!C1334</f>
        <v>0</v>
      </c>
      <c r="BIB19" s="29">
        <f>'REG y VAL POE - AESR - ESR'!D1334</f>
        <v>0</v>
      </c>
      <c r="BIC19" s="29">
        <f>'REG y VAL POE - AESR - ESR'!E1334</f>
        <v>0</v>
      </c>
      <c r="BID19" s="29">
        <f>'REG y VAL POE - AESR - ESR'!F1334</f>
        <v>0</v>
      </c>
      <c r="BIE19" s="28">
        <f>'REG y VAL POE - AESR - ESR'!G1334</f>
        <v>0</v>
      </c>
      <c r="BIF19" s="29">
        <f>'REG y VAL POE - AESR - ESR'!H1334</f>
        <v>0</v>
      </c>
      <c r="BIG19" s="29">
        <f>'REG y VAL POE - AESR - ESR'!I1334</f>
        <v>0</v>
      </c>
      <c r="BIH19" s="29">
        <f>'REG y VAL POE - AESR - ESR'!J1334</f>
        <v>0</v>
      </c>
      <c r="BII19" s="29">
        <f>'REG y VAL POE - AESR - ESR'!K1334</f>
        <v>0</v>
      </c>
      <c r="BIJ19" s="29">
        <f>'REG y VAL POE - AESR - ESR'!L1334</f>
        <v>0</v>
      </c>
      <c r="BIK19" s="28">
        <f>'REG y VAL POE - AESR - ESR'!M1334</f>
        <v>0</v>
      </c>
      <c r="BIL19" s="29">
        <f>'REG y VAL POE - AESR - ESR'!N1334</f>
        <v>0</v>
      </c>
      <c r="BIM19" s="29">
        <f>'REG y VAL POE - AESR - ESR'!O1334</f>
        <v>0</v>
      </c>
      <c r="BIN19" s="28">
        <f>'REG y VAL POE - AESR - ESR'!P1334</f>
        <v>0</v>
      </c>
      <c r="BIO19" s="29">
        <f>'REG y VAL POE - AESR - ESR'!Q1334</f>
        <v>0</v>
      </c>
      <c r="BIP19" s="30">
        <f>'REG y VAL POE - AESR - ESR'!R1334</f>
        <v>0</v>
      </c>
      <c r="BIQ19" s="28">
        <f>'REG y VAL POE - AESR - ESR'!S1334</f>
        <v>0</v>
      </c>
      <c r="BIR19" s="29">
        <f>'REG y VAL POE - AESR - ESR'!T1334</f>
        <v>0</v>
      </c>
      <c r="BIS19" s="29">
        <f>'REG y VAL POE - AESR - ESR'!U1334</f>
        <v>0</v>
      </c>
      <c r="BIT19" s="29">
        <f>'REG y VAL POE - AESR - ESR'!V1334</f>
        <v>0</v>
      </c>
      <c r="BIU19" s="28">
        <f>'REG y VAL POE - AESR - ESR'!W1334</f>
        <v>0</v>
      </c>
      <c r="BIV19" s="29">
        <f>'REG y VAL POE - AESR - ESR'!X1334</f>
        <v>0</v>
      </c>
      <c r="BIW19" s="29">
        <f>'REG y VAL POE - AESR - ESR'!Y1334</f>
        <v>0</v>
      </c>
      <c r="BIX19" s="28">
        <f>'REG y VAL POE - AESR - ESR'!Z1334</f>
        <v>0</v>
      </c>
      <c r="BIY19" s="29">
        <f>'REG y VAL POE - AESR - ESR'!AA1334</f>
        <v>0</v>
      </c>
      <c r="BIZ19" s="30">
        <f>'REG y VAL POE - AESR - ESR'!AB1334</f>
        <v>0</v>
      </c>
      <c r="BJA19" s="28">
        <f>'REG y VAL POE - AESR - ESR'!AC1334</f>
        <v>0</v>
      </c>
      <c r="BJB19" s="29">
        <f>'REG y VAL POE - AESR - ESR'!AD1334</f>
        <v>0</v>
      </c>
      <c r="BJC19" s="29">
        <f>'REG y VAL POE - AESR - ESR'!AE1334</f>
        <v>0</v>
      </c>
      <c r="BJD19" s="29">
        <f>'REG y VAL POE - AESR - ESR'!AF1334</f>
        <v>0</v>
      </c>
      <c r="BJE19" s="28">
        <f>'REG y VAL POE - AESR - ESR'!AG1334</f>
        <v>0</v>
      </c>
      <c r="BJF19" s="29">
        <f>'REG y VAL POE - AESR - ESR'!AH1334</f>
        <v>0</v>
      </c>
      <c r="BJG19" s="29">
        <f>'REG y VAL POE - AESR - ESR'!AI1334</f>
        <v>0</v>
      </c>
      <c r="BJH19" s="29">
        <f>'REG y VAL POE - AESR - ESR'!AJ1334</f>
        <v>0</v>
      </c>
      <c r="BJI19" s="29">
        <f>'REG y VAL POE - AESR - ESR'!AK1334</f>
        <v>0</v>
      </c>
      <c r="BJJ19" s="29">
        <f>'REG y VAL POE - AESR - ESR'!AL1334</f>
        <v>0</v>
      </c>
      <c r="BJK19" s="28">
        <f>'REG y VAL POE - AESR - ESR'!AM1334</f>
        <v>0</v>
      </c>
      <c r="BJL19" s="29">
        <f>'REG y VAL POE - AESR - ESR'!AN1334</f>
        <v>0</v>
      </c>
      <c r="BJM19" s="29">
        <f>'REG y VAL POE - AESR - ESR'!AO1334</f>
        <v>0</v>
      </c>
      <c r="BJN19" s="28">
        <f>'REG y VAL POE - AESR - ESR'!AP1334</f>
        <v>0</v>
      </c>
      <c r="BJO19" s="29">
        <f>'REG y VAL POE - AESR - ESR'!AQ1334</f>
        <v>0</v>
      </c>
      <c r="BJP19" s="30">
        <f>'REG y VAL POE - AESR - ESR'!AR1334</f>
        <v>0</v>
      </c>
      <c r="BJQ19" s="28">
        <f>'REG y VAL POE - AESR - ESR'!AS1334</f>
        <v>0</v>
      </c>
      <c r="BJR19" s="29">
        <f>'REG y VAL POE - AESR - ESR'!B1335</f>
        <v>0</v>
      </c>
      <c r="BJS19" s="29">
        <f>'REG y VAL POE - AESR - ESR'!C1335</f>
        <v>0</v>
      </c>
      <c r="BJT19" s="29">
        <f>'REG y VAL POE - AESR - ESR'!D1335</f>
        <v>0</v>
      </c>
      <c r="BJU19" s="28">
        <f>'REG y VAL POE - AESR - ESR'!E1335</f>
        <v>0</v>
      </c>
      <c r="BJV19" s="29">
        <f>'REG y VAL POE - AESR - ESR'!F1335</f>
        <v>0</v>
      </c>
      <c r="BJW19" s="29">
        <f>'REG y VAL POE - AESR - ESR'!G1335</f>
        <v>0</v>
      </c>
      <c r="BJX19" s="28">
        <f>'REG y VAL POE - AESR - ESR'!H1335</f>
        <v>0</v>
      </c>
      <c r="BJY19" s="29">
        <f>'REG y VAL POE - AESR - ESR'!I1335</f>
        <v>0</v>
      </c>
      <c r="BJZ19" s="30">
        <f>'REG y VAL POE - AESR - ESR'!J1335</f>
        <v>0</v>
      </c>
      <c r="BKA19" s="28">
        <f>'REG y VAL POE - AESR - ESR'!K1335</f>
        <v>0</v>
      </c>
      <c r="BKB19" s="29">
        <f>'REG y VAL POE - AESR - ESR'!L1335</f>
        <v>0</v>
      </c>
      <c r="BKC19" s="29">
        <f>'REG y VAL POE - AESR - ESR'!M1335</f>
        <v>0</v>
      </c>
      <c r="BKD19" s="29">
        <f>'REG y VAL POE - AESR - ESR'!N1335</f>
        <v>0</v>
      </c>
      <c r="BKE19" s="28">
        <f>'REG y VAL POE - AESR - ESR'!O1335</f>
        <v>0</v>
      </c>
      <c r="BKF19" s="29">
        <f>'REG y VAL POE - AESR - ESR'!P1335</f>
        <v>0</v>
      </c>
      <c r="BKG19" s="29">
        <f>'REG y VAL POE - AESR - ESR'!Q1335</f>
        <v>0</v>
      </c>
      <c r="BKH19" s="29">
        <f>'REG y VAL POE - AESR - ESR'!R1335</f>
        <v>0</v>
      </c>
      <c r="BKI19" s="29">
        <f>'REG y VAL POE - AESR - ESR'!S1335</f>
        <v>0</v>
      </c>
      <c r="BKJ19" s="29">
        <f>'REG y VAL POE - AESR - ESR'!T1335</f>
        <v>0</v>
      </c>
      <c r="BKK19" s="28">
        <f>'REG y VAL POE - AESR - ESR'!U1335</f>
        <v>0</v>
      </c>
      <c r="BKL19" s="29">
        <f>'REG y VAL POE - AESR - ESR'!V1335</f>
        <v>0</v>
      </c>
      <c r="BKM19" s="29">
        <f>'REG y VAL POE - AESR - ESR'!W1335</f>
        <v>0</v>
      </c>
      <c r="BKN19" s="28">
        <f>'REG y VAL POE - AESR - ESR'!X1335</f>
        <v>0</v>
      </c>
      <c r="BKO19" s="29">
        <f>'REG y VAL POE - AESR - ESR'!Y1335</f>
        <v>0</v>
      </c>
      <c r="BKP19" s="28">
        <f>'REG y VAL POE - AESR - ESR'!Z1335</f>
        <v>0</v>
      </c>
      <c r="BKQ19" s="28">
        <f>'REG y VAL POE - AESR - ESR'!AA1335</f>
        <v>0</v>
      </c>
      <c r="BKR19" s="29">
        <f>'REG y VAL POE - AESR - ESR'!AB1335</f>
        <v>0</v>
      </c>
      <c r="BKS19" s="29">
        <f>'REG y VAL POE - AESR - ESR'!AC1335</f>
        <v>0</v>
      </c>
      <c r="BKT19" s="29">
        <f>'REG y VAL POE - AESR - ESR'!AD1335</f>
        <v>0</v>
      </c>
      <c r="BKU19" s="28">
        <f>'REG y VAL POE - AESR - ESR'!AE1335</f>
        <v>0</v>
      </c>
      <c r="BKV19" s="29">
        <f>'REG y VAL POE - AESR - ESR'!AF1335</f>
        <v>0</v>
      </c>
      <c r="BKW19" s="29">
        <f>'REG y VAL POE - AESR - ESR'!AG1335</f>
        <v>0</v>
      </c>
      <c r="BKX19" s="28">
        <f>'REG y VAL POE - AESR - ESR'!AH1335</f>
        <v>0</v>
      </c>
      <c r="BKY19" s="29">
        <f>'REG y VAL POE - AESR - ESR'!AI1335</f>
        <v>0</v>
      </c>
      <c r="BKZ19" s="28">
        <f>'REG y VAL POE - AESR - ESR'!AJ1335</f>
        <v>0</v>
      </c>
      <c r="BLA19" s="28">
        <f>'REG y VAL POE - AESR - ESR'!AK1335</f>
        <v>0</v>
      </c>
      <c r="BLB19" s="29">
        <f>'REG y VAL POE - AESR - ESR'!AL1335</f>
        <v>0</v>
      </c>
      <c r="BLC19" s="29">
        <f>'REG y VAL POE - AESR - ESR'!AM1335</f>
        <v>0</v>
      </c>
      <c r="BLD19" s="29">
        <f>'REG y VAL POE - AESR - ESR'!AN1335</f>
        <v>0</v>
      </c>
      <c r="BLE19" s="28">
        <f>'REG y VAL POE - AESR - ESR'!AO1335</f>
        <v>0</v>
      </c>
      <c r="BLF19" s="29">
        <f>'REG y VAL POE - AESR - ESR'!AP1335</f>
        <v>0</v>
      </c>
      <c r="BLG19" s="29">
        <f>'REG y VAL POE - AESR - ESR'!AQ1335</f>
        <v>0</v>
      </c>
      <c r="BLH19" s="29">
        <f>'REG y VAL POE - AESR - ESR'!AR1335</f>
        <v>0</v>
      </c>
      <c r="BLI19" s="29">
        <f>'REG y VAL POE - AESR - ESR'!AS1335</f>
        <v>0</v>
      </c>
      <c r="BLJ19" s="29">
        <f>'REG y VAL POE - AESR - ESR'!B1336</f>
        <v>0</v>
      </c>
      <c r="BLK19" s="28">
        <f>'REG y VAL POE - AESR - ESR'!C1336</f>
        <v>0</v>
      </c>
      <c r="BLL19" s="29">
        <f>'REG y VAL POE - AESR - ESR'!D1336</f>
        <v>0</v>
      </c>
      <c r="BLM19" s="29">
        <f>'REG y VAL POE - AESR - ESR'!E1336</f>
        <v>0</v>
      </c>
      <c r="BLN19" s="28">
        <f>'REG y VAL POE - AESR - ESR'!F1336</f>
        <v>0</v>
      </c>
      <c r="BLO19" s="29">
        <f>'REG y VAL POE - AESR - ESR'!G1336</f>
        <v>0</v>
      </c>
      <c r="BLP19" s="30">
        <f>'REG y VAL POE - AESR - ESR'!H1336</f>
        <v>0</v>
      </c>
      <c r="BLQ19" s="28">
        <f>'REG y VAL POE - AESR - ESR'!I1336</f>
        <v>0</v>
      </c>
      <c r="BLR19" s="29">
        <f>'REG y VAL POE - AESR - ESR'!J1336</f>
        <v>0</v>
      </c>
      <c r="BLS19" s="29">
        <f>'REG y VAL POE - AESR - ESR'!K1336</f>
        <v>0</v>
      </c>
      <c r="BLT19" s="29">
        <f>'REG y VAL POE - AESR - ESR'!L1336</f>
        <v>0</v>
      </c>
      <c r="BLU19" s="28">
        <f>'REG y VAL POE - AESR - ESR'!M1336</f>
        <v>0</v>
      </c>
      <c r="BLV19" s="29">
        <f>'REG y VAL POE - AESR - ESR'!N1336</f>
        <v>0</v>
      </c>
      <c r="BLW19" s="29">
        <f>'REG y VAL POE - AESR - ESR'!O1336</f>
        <v>0</v>
      </c>
      <c r="BLX19" s="28">
        <f>'REG y VAL POE - AESR - ESR'!P1336</f>
        <v>0</v>
      </c>
      <c r="BLY19" s="29">
        <f>'REG y VAL POE - AESR - ESR'!Q1336</f>
        <v>0</v>
      </c>
      <c r="BLZ19" s="30">
        <f>'REG y VAL POE - AESR - ESR'!R1336</f>
        <v>0</v>
      </c>
      <c r="BMA19" s="28">
        <f>'REG y VAL POE - AESR - ESR'!S1336</f>
        <v>0</v>
      </c>
      <c r="BMB19" s="29">
        <f>'REG y VAL POE - AESR - ESR'!T1336</f>
        <v>0</v>
      </c>
      <c r="BMC19" s="29">
        <f>'REG y VAL POE - AESR - ESR'!U1336</f>
        <v>0</v>
      </c>
      <c r="BMD19" s="29">
        <f>'REG y VAL POE - AESR - ESR'!V1336</f>
        <v>0</v>
      </c>
      <c r="BME19" s="28">
        <f>'REG y VAL POE - AESR - ESR'!W1336</f>
        <v>0</v>
      </c>
      <c r="BMF19" s="29">
        <f>'REG y VAL POE - AESR - ESR'!X1336</f>
        <v>0</v>
      </c>
      <c r="BMG19" s="29">
        <f>'REG y VAL POE - AESR - ESR'!Y1336</f>
        <v>0</v>
      </c>
      <c r="BMH19" s="29">
        <f>'REG y VAL POE - AESR - ESR'!Z1336</f>
        <v>0</v>
      </c>
      <c r="BMI19" s="29">
        <f>'REG y VAL POE - AESR - ESR'!AA1336</f>
        <v>0</v>
      </c>
      <c r="BMJ19" s="29">
        <f>'REG y VAL POE - AESR - ESR'!AB1336</f>
        <v>0</v>
      </c>
      <c r="BMK19" s="28">
        <f>'REG y VAL POE - AESR - ESR'!AC1336</f>
        <v>0</v>
      </c>
      <c r="BML19" s="29">
        <f>'REG y VAL POE - AESR - ESR'!AD1336</f>
        <v>0</v>
      </c>
      <c r="BMM19" s="29">
        <f>'REG y VAL POE - AESR - ESR'!AE1336</f>
        <v>0</v>
      </c>
      <c r="BMN19" s="28">
        <f>'REG y VAL POE - AESR - ESR'!AF1336</f>
        <v>0</v>
      </c>
      <c r="BMO19" s="29">
        <f>'REG y VAL POE - AESR - ESR'!AG1336</f>
        <v>0</v>
      </c>
      <c r="BMP19" s="30">
        <f>'REG y VAL POE - AESR - ESR'!AH1336</f>
        <v>0</v>
      </c>
      <c r="BMQ19" s="28">
        <f>'REG y VAL POE - AESR - ESR'!AI1336</f>
        <v>0</v>
      </c>
      <c r="BMR19" s="29">
        <f>'REG y VAL POE - AESR - ESR'!AJ1336</f>
        <v>0</v>
      </c>
      <c r="BMS19" s="29">
        <f>'REG y VAL POE - AESR - ESR'!AK1336</f>
        <v>0</v>
      </c>
      <c r="BMT19" s="29">
        <f>'REG y VAL POE - AESR - ESR'!AL1336</f>
        <v>0</v>
      </c>
      <c r="BMU19" s="28">
        <f>'REG y VAL POE - AESR - ESR'!AM1336</f>
        <v>0</v>
      </c>
      <c r="BMV19" s="29">
        <f>'REG y VAL POE - AESR - ESR'!AN1336</f>
        <v>0</v>
      </c>
      <c r="BMW19" s="29">
        <f>'REG y VAL POE - AESR - ESR'!AO1336</f>
        <v>0</v>
      </c>
      <c r="BMX19" s="28">
        <f>'REG y VAL POE - AESR - ESR'!AP1336</f>
        <v>0</v>
      </c>
      <c r="BMY19" s="29">
        <f>'REG y VAL POE - AESR - ESR'!AQ1336</f>
        <v>0</v>
      </c>
      <c r="BMZ19" s="30">
        <f>'REG y VAL POE - AESR - ESR'!AR1336</f>
        <v>0</v>
      </c>
      <c r="BNA19" s="28">
        <f>'REG y VAL POE - AESR - ESR'!AS1336</f>
        <v>0</v>
      </c>
      <c r="BNB19" s="29">
        <f>'REG y VAL POE - AESR - ESR'!B1337</f>
        <v>0</v>
      </c>
      <c r="BNC19" s="29">
        <f>'REG y VAL POE - AESR - ESR'!C1337</f>
        <v>0</v>
      </c>
      <c r="BND19" s="29">
        <f>'REG y VAL POE - AESR - ESR'!D1337</f>
        <v>0</v>
      </c>
      <c r="BNE19" s="28">
        <f>'REG y VAL POE - AESR - ESR'!E1337</f>
        <v>0</v>
      </c>
      <c r="BNF19" s="29">
        <f>'REG y VAL POE - AESR - ESR'!F1337</f>
        <v>0</v>
      </c>
      <c r="BNG19" s="29">
        <f>'REG y VAL POE - AESR - ESR'!G1337</f>
        <v>0</v>
      </c>
      <c r="BNH19" s="29">
        <f>'REG y VAL POE - AESR - ESR'!H1337</f>
        <v>0</v>
      </c>
      <c r="BNI19" s="29">
        <f>'REG y VAL POE - AESR - ESR'!I1337</f>
        <v>0</v>
      </c>
      <c r="BNJ19" s="29">
        <f>'REG y VAL POE - AESR - ESR'!J1337</f>
        <v>0</v>
      </c>
      <c r="BNK19" s="28">
        <f>'REG y VAL POE - AESR - ESR'!K1337</f>
        <v>0</v>
      </c>
      <c r="BNL19" s="29">
        <f>'REG y VAL POE - AESR - ESR'!L1337</f>
        <v>0</v>
      </c>
      <c r="BNM19" s="29">
        <f>'REG y VAL POE - AESR - ESR'!M1337</f>
        <v>0</v>
      </c>
      <c r="BNN19" s="28">
        <f>'REG y VAL POE - AESR - ESR'!N1337</f>
        <v>0</v>
      </c>
      <c r="BNO19" s="29">
        <f>'REG y VAL POE - AESR - ESR'!O1337</f>
        <v>0</v>
      </c>
      <c r="BNP19" s="30">
        <f>'REG y VAL POE - AESR - ESR'!P1337</f>
        <v>0</v>
      </c>
      <c r="BNQ19" s="28">
        <f>'REG y VAL POE - AESR - ESR'!Q1337</f>
        <v>0</v>
      </c>
      <c r="BNR19" s="29">
        <f>'REG y VAL POE - AESR - ESR'!R1337</f>
        <v>0</v>
      </c>
      <c r="BNS19" s="29">
        <f>'REG y VAL POE - AESR - ESR'!S1337</f>
        <v>0</v>
      </c>
      <c r="BNT19" s="29">
        <f>'REG y VAL POE - AESR - ESR'!T1337</f>
        <v>0</v>
      </c>
      <c r="BNU19" s="28">
        <f>'REG y VAL POE - AESR - ESR'!U1337</f>
        <v>0</v>
      </c>
      <c r="BNV19" s="29">
        <f>'REG y VAL POE - AESR - ESR'!V1337</f>
        <v>0</v>
      </c>
      <c r="BNW19" s="29">
        <f>'REG y VAL POE - AESR - ESR'!W1337</f>
        <v>0</v>
      </c>
      <c r="BNX19" s="28">
        <f>'REG y VAL POE - AESR - ESR'!X1337</f>
        <v>0</v>
      </c>
      <c r="BNY19" s="29">
        <f>'REG y VAL POE - AESR - ESR'!Y1337</f>
        <v>0</v>
      </c>
      <c r="BNZ19" s="30">
        <f>'REG y VAL POE - AESR - ESR'!Z1337</f>
        <v>0</v>
      </c>
      <c r="BOA19" s="28">
        <f>'REG y VAL POE - AESR - ESR'!AA1337</f>
        <v>0</v>
      </c>
      <c r="BOB19" s="29">
        <f>'REG y VAL POE - AESR - ESR'!AB1337</f>
        <v>0</v>
      </c>
      <c r="BOC19" s="29">
        <f>'REG y VAL POE - AESR - ESR'!AC1337</f>
        <v>0</v>
      </c>
      <c r="BOD19" s="29">
        <f>'REG y VAL POE - AESR - ESR'!AD1337</f>
        <v>0</v>
      </c>
      <c r="BOE19" s="28">
        <f>'REG y VAL POE - AESR - ESR'!AE1337</f>
        <v>0</v>
      </c>
      <c r="BOF19" s="29">
        <f>'REG y VAL POE - AESR - ESR'!AF1337</f>
        <v>0</v>
      </c>
      <c r="BOG19" s="29">
        <f>'REG y VAL POE - AESR - ESR'!AG1337</f>
        <v>0</v>
      </c>
      <c r="BOH19" s="29">
        <f>'REG y VAL POE - AESR - ESR'!AH1337</f>
        <v>0</v>
      </c>
      <c r="BOI19" s="29">
        <f>'REG y VAL POE - AESR - ESR'!AI1337</f>
        <v>0</v>
      </c>
      <c r="BOJ19" s="29">
        <f>'REG y VAL POE - AESR - ESR'!AJ1337</f>
        <v>0</v>
      </c>
      <c r="BOK19" s="28">
        <f>'REG y VAL POE - AESR - ESR'!AK1337</f>
        <v>0</v>
      </c>
      <c r="BOL19" s="29">
        <f>'REG y VAL POE - AESR - ESR'!AL1337</f>
        <v>0</v>
      </c>
      <c r="BOM19" s="29">
        <f>'REG y VAL POE - AESR - ESR'!AM1337</f>
        <v>0</v>
      </c>
      <c r="BON19" s="28">
        <f>'REG y VAL POE - AESR - ESR'!AN1337</f>
        <v>0</v>
      </c>
      <c r="BOO19" s="29">
        <f>'REG y VAL POE - AESR - ESR'!AO1337</f>
        <v>0</v>
      </c>
      <c r="BOP19" s="30">
        <f>'REG y VAL POE - AESR - ESR'!AP1337</f>
        <v>0</v>
      </c>
      <c r="BOQ19" s="28">
        <f>'REG y VAL POE - AESR - ESR'!AQ1337</f>
        <v>0</v>
      </c>
      <c r="BOR19" s="29">
        <f>'REG y VAL POE - AESR - ESR'!AR1337</f>
        <v>0</v>
      </c>
      <c r="BOS19" s="29">
        <f>'REG y VAL POE - AESR - ESR'!AS1337</f>
        <v>0</v>
      </c>
      <c r="BOT19" s="29"/>
      <c r="BOU19" s="28"/>
      <c r="BOV19" s="29"/>
      <c r="BOW19" s="29"/>
      <c r="BOX19" s="28"/>
      <c r="BOY19" s="29"/>
      <c r="BOZ19" s="30"/>
      <c r="BPA19" s="28"/>
      <c r="BPB19" s="29"/>
      <c r="BPC19" s="29"/>
      <c r="BPD19" s="29"/>
      <c r="BPE19" s="28"/>
      <c r="BPF19" s="29"/>
      <c r="BPG19" s="29"/>
      <c r="BPH19" s="29"/>
      <c r="BPI19" s="29"/>
      <c r="BPJ19" s="29"/>
      <c r="BPK19" s="28"/>
      <c r="BPL19" s="29"/>
      <c r="BPM19" s="29"/>
      <c r="BPN19" s="28"/>
      <c r="BPO19" s="29"/>
      <c r="BPP19" s="30"/>
      <c r="BPQ19" s="28"/>
      <c r="BPR19" s="29"/>
      <c r="BPS19" s="29"/>
      <c r="BPT19" s="29"/>
      <c r="BPU19" s="28"/>
      <c r="BPV19" s="29"/>
      <c r="BPW19" s="29"/>
      <c r="BPX19" s="28"/>
      <c r="BPY19" s="29"/>
      <c r="BPZ19" s="30"/>
      <c r="BQA19" s="28"/>
      <c r="BQB19" s="29"/>
      <c r="BQC19" s="29"/>
      <c r="BQD19" s="29"/>
      <c r="BQE19" s="28"/>
      <c r="BQF19" s="29"/>
      <c r="BQG19" s="29"/>
      <c r="BQH19" s="29"/>
      <c r="BQI19" s="29"/>
      <c r="BQJ19" s="29"/>
      <c r="BQK19" s="28"/>
      <c r="BQL19" s="29"/>
      <c r="BQM19" s="29"/>
      <c r="BQN19" s="28"/>
      <c r="BQO19" s="29"/>
      <c r="BQP19" s="30"/>
      <c r="BQQ19" s="28"/>
      <c r="BQR19" s="29"/>
      <c r="BQS19" s="29"/>
      <c r="BQT19" s="29"/>
      <c r="BQU19" s="28"/>
      <c r="BQV19" s="29"/>
      <c r="BQW19" s="29"/>
      <c r="BQX19" s="28"/>
      <c r="BQY19" s="29"/>
      <c r="BQZ19" s="30"/>
      <c r="BRA19" s="28"/>
      <c r="BRB19" s="29"/>
      <c r="BRC19" s="29"/>
      <c r="BRD19" s="29"/>
      <c r="BRE19" s="28"/>
      <c r="BRF19" s="29"/>
      <c r="BRG19" s="29"/>
      <c r="BRH19" s="29"/>
      <c r="BRI19" s="29"/>
      <c r="BRJ19" s="29"/>
      <c r="BRK19" s="28"/>
      <c r="BRL19" s="29"/>
      <c r="BRM19" s="29"/>
      <c r="BRN19" s="28"/>
      <c r="BRO19" s="29"/>
      <c r="BRP19" s="30"/>
      <c r="BRQ19" s="28"/>
      <c r="BRR19" s="29"/>
      <c r="BRS19" s="29"/>
      <c r="BRT19" s="29"/>
      <c r="BRU19" s="28"/>
      <c r="BRV19" s="29"/>
      <c r="BRW19" s="29"/>
      <c r="BRX19" s="28"/>
      <c r="BRY19" s="29"/>
      <c r="BRZ19" s="30"/>
      <c r="BSA19" s="28"/>
      <c r="BSB19" s="29"/>
      <c r="BSC19" s="29"/>
      <c r="BSD19" s="29"/>
      <c r="BSE19" s="28"/>
      <c r="BSF19" s="29"/>
      <c r="BSG19" s="29"/>
      <c r="BSH19" s="29"/>
      <c r="BSI19" s="29"/>
      <c r="BSJ19" s="29"/>
      <c r="BSK19" s="28"/>
      <c r="BSL19" s="29"/>
      <c r="BSM19" s="29"/>
      <c r="BSN19" s="28"/>
      <c r="BSO19" s="29"/>
      <c r="BSP19" s="30"/>
      <c r="BSQ19" s="28"/>
      <c r="BSR19" s="29"/>
      <c r="BSS19" s="29"/>
      <c r="BST19" s="29"/>
      <c r="BSU19" s="28"/>
      <c r="BSV19" s="29"/>
      <c r="BSW19" s="29"/>
      <c r="BSX19" s="28"/>
      <c r="BSY19" s="29"/>
      <c r="BSZ19" s="30"/>
      <c r="BTA19" s="28"/>
      <c r="BTB19" s="29"/>
      <c r="BTC19" s="29"/>
      <c r="BTD19" s="29"/>
      <c r="BTE19" s="28"/>
      <c r="BTF19" s="29"/>
      <c r="BTG19" s="29"/>
      <c r="BTH19" s="29"/>
      <c r="BTI19" s="29"/>
      <c r="BTJ19" s="29"/>
      <c r="BTK19" s="28"/>
      <c r="BTL19" s="29"/>
      <c r="BTM19" s="29"/>
      <c r="BTN19" s="28"/>
      <c r="BTO19" s="29"/>
      <c r="BTP19" s="30"/>
      <c r="BTQ19" s="28"/>
      <c r="BTR19" s="29"/>
      <c r="BTS19" s="29"/>
      <c r="BTT19" s="29"/>
      <c r="BTU19" s="28"/>
      <c r="BTV19" s="29"/>
      <c r="BTW19" s="29"/>
      <c r="BTX19" s="28"/>
      <c r="BTY19" s="29"/>
      <c r="BTZ19" s="30"/>
      <c r="BUA19" s="28"/>
      <c r="BUB19" s="29"/>
      <c r="BUC19" s="29"/>
      <c r="BUD19" s="29"/>
      <c r="BUE19" s="28"/>
      <c r="BUF19" s="29"/>
      <c r="BUG19" s="29"/>
      <c r="BUH19" s="29"/>
      <c r="BUI19" s="29"/>
      <c r="BUJ19" s="29"/>
      <c r="BUK19" s="28"/>
      <c r="BUL19" s="29"/>
      <c r="BUM19" s="29"/>
      <c r="BUN19" s="28"/>
      <c r="BUO19" s="29"/>
      <c r="BUP19" s="30"/>
      <c r="BUQ19" s="28"/>
      <c r="BUR19" s="29"/>
      <c r="BUS19" s="29"/>
      <c r="BUT19" s="29"/>
      <c r="BUU19" s="28"/>
      <c r="BUV19" s="29"/>
      <c r="BUW19" s="29"/>
      <c r="BUX19" s="28"/>
      <c r="BUY19" s="29"/>
      <c r="BUZ19" s="30"/>
      <c r="BVA19" s="28"/>
      <c r="BVB19" s="29"/>
      <c r="BVC19" s="29"/>
      <c r="BVD19" s="29"/>
      <c r="BVE19" s="28"/>
      <c r="BVF19" s="29"/>
      <c r="BVG19" s="29"/>
      <c r="BVH19" s="29"/>
      <c r="BVI19" s="29"/>
      <c r="BVJ19" s="29"/>
      <c r="BVK19" s="28"/>
      <c r="BVL19" s="29"/>
      <c r="BVM19" s="29"/>
      <c r="BVN19" s="28"/>
      <c r="BVO19" s="29"/>
      <c r="BVP19" s="30"/>
      <c r="BVQ19" s="28"/>
      <c r="BVR19" s="29"/>
      <c r="BVS19" s="29"/>
      <c r="BVT19" s="29"/>
      <c r="BVU19" s="28"/>
      <c r="BVV19" s="29"/>
      <c r="BVW19" s="29"/>
      <c r="BVX19" s="28"/>
      <c r="BVY19" s="29"/>
      <c r="BVZ19" s="30"/>
      <c r="BWA19" s="28"/>
      <c r="BWB19" s="29"/>
      <c r="BWC19" s="29"/>
      <c r="BWD19" s="29"/>
      <c r="BWE19" s="28"/>
      <c r="BWF19" s="29"/>
      <c r="BWG19" s="29"/>
      <c r="BWH19" s="29"/>
      <c r="BWI19" s="29"/>
      <c r="BWJ19" s="29"/>
      <c r="BWK19" s="28"/>
      <c r="BWL19" s="29"/>
      <c r="BWM19" s="29"/>
      <c r="BWN19" s="28"/>
      <c r="BWO19" s="29"/>
      <c r="BWP19" s="30"/>
      <c r="BWQ19" s="28"/>
      <c r="BWR19" s="29"/>
      <c r="BWS19" s="29"/>
      <c r="BWT19" s="29"/>
      <c r="BWU19" s="28"/>
      <c r="BWV19" s="29"/>
      <c r="BWW19" s="29"/>
      <c r="BWX19" s="28"/>
      <c r="BWY19" s="29"/>
      <c r="BWZ19" s="30"/>
      <c r="BXA19" s="28"/>
      <c r="BXB19" s="29"/>
      <c r="BXC19" s="29"/>
      <c r="BXD19" s="29"/>
      <c r="BXE19" s="28"/>
      <c r="BXF19" s="29"/>
      <c r="BXG19" s="29"/>
      <c r="BXH19" s="29"/>
      <c r="BXI19" s="29"/>
      <c r="BXJ19" s="29"/>
      <c r="BXK19" s="28"/>
      <c r="BXL19" s="29"/>
      <c r="BXM19" s="29"/>
      <c r="BXN19" s="28"/>
      <c r="BXO19" s="29"/>
      <c r="BXP19" s="30"/>
      <c r="BXQ19" s="28"/>
      <c r="BXR19" s="29"/>
      <c r="BXS19" s="29"/>
      <c r="BXT19" s="29"/>
      <c r="BXU19" s="28"/>
      <c r="BXV19" s="29"/>
      <c r="BXW19" s="29"/>
      <c r="BXX19" s="28"/>
      <c r="BXY19" s="29"/>
      <c r="BXZ19" s="30"/>
      <c r="BYA19" s="28"/>
      <c r="BYB19" s="29"/>
      <c r="BYC19" s="29"/>
      <c r="BYD19" s="29"/>
      <c r="BYE19" s="28"/>
      <c r="BYF19" s="29"/>
      <c r="BYG19" s="29"/>
      <c r="BYH19" s="29"/>
      <c r="BYI19" s="29"/>
      <c r="BYJ19" s="29"/>
      <c r="BYK19" s="28"/>
      <c r="BYL19" s="29"/>
      <c r="BYM19" s="29"/>
      <c r="BYN19" s="28"/>
      <c r="BYO19" s="29"/>
      <c r="BYP19" s="30"/>
      <c r="BYQ19" s="28"/>
      <c r="BYR19" s="29"/>
      <c r="BYS19" s="29"/>
      <c r="BYT19" s="29"/>
      <c r="BYU19" s="28"/>
      <c r="BYV19" s="29"/>
      <c r="BYW19" s="29"/>
      <c r="BYX19" s="30"/>
      <c r="BYY19" s="29"/>
      <c r="BYZ19" s="28"/>
      <c r="BZA19" s="29"/>
      <c r="BZB19" s="28"/>
      <c r="BZC19" s="28"/>
      <c r="BZD19" s="28"/>
      <c r="BZE19" s="29"/>
      <c r="BZF19" s="388"/>
      <c r="BZG19" s="29"/>
      <c r="BZH19" s="388"/>
      <c r="BZI19" s="29"/>
      <c r="BZJ19" s="388"/>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30"/>
      <c r="CAQ19" s="28"/>
      <c r="CAR19" s="29"/>
      <c r="CAS19" s="29"/>
      <c r="CAT19" s="32"/>
      <c r="CAU19" s="32"/>
      <c r="CAV19" s="32"/>
      <c r="CAW19" s="28"/>
      <c r="CAX19" s="29"/>
      <c r="CAY19" s="29"/>
      <c r="CAZ19" s="28"/>
      <c r="CBA19" s="29"/>
      <c r="CBB19" s="30"/>
      <c r="CBC19" s="28"/>
      <c r="CBD19" s="29"/>
      <c r="CBE19" s="29"/>
      <c r="CBF19" s="32"/>
      <c r="CBG19" s="28"/>
      <c r="CBH19" s="29"/>
      <c r="CBI19" s="29"/>
      <c r="CBJ19" s="28"/>
      <c r="CBK19" s="29"/>
      <c r="CBL19" s="30"/>
      <c r="CBM19" s="28"/>
      <c r="CBN19" s="29"/>
      <c r="CBO19" s="29"/>
      <c r="CBP19" s="32"/>
      <c r="CBQ19" s="28"/>
      <c r="CBR19" s="29"/>
      <c r="CBS19" s="29"/>
      <c r="CBT19" s="28"/>
      <c r="CBU19" s="29"/>
      <c r="CBV19" s="30"/>
      <c r="CBW19" s="28"/>
      <c r="CBX19" s="29"/>
      <c r="CBY19" s="29"/>
      <c r="CBZ19" s="32"/>
      <c r="CCA19" s="28"/>
      <c r="CCB19" s="29"/>
      <c r="CCC19" s="29"/>
      <c r="CCD19" s="28"/>
      <c r="CCE19" s="29"/>
      <c r="CCF19" s="30"/>
      <c r="CCG19" s="28"/>
      <c r="CCH19" s="30"/>
      <c r="CCI19" s="29"/>
      <c r="CCJ19" s="28"/>
      <c r="CCK19" s="29"/>
      <c r="CCL19" s="28"/>
      <c r="CCM19" s="28"/>
      <c r="CCN19" s="28"/>
      <c r="CCO19" s="29"/>
      <c r="CCP19" s="388"/>
      <c r="CCQ19" s="29"/>
      <c r="CCR19" s="388"/>
      <c r="CCS19" s="29"/>
      <c r="CCT19" s="388"/>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30"/>
      <c r="CEA19" s="28"/>
      <c r="CEB19" s="29"/>
      <c r="CEC19" s="29"/>
      <c r="CED19" s="32"/>
      <c r="CEE19" s="32"/>
      <c r="CEF19" s="32"/>
      <c r="CEG19" s="28"/>
      <c r="CEH19" s="29"/>
      <c r="CEI19" s="29"/>
      <c r="CEJ19" s="28"/>
      <c r="CEK19" s="29"/>
      <c r="CEL19" s="30"/>
      <c r="CEM19" s="28"/>
      <c r="CEN19" s="29"/>
      <c r="CEO19" s="29"/>
      <c r="CEP19" s="32"/>
      <c r="CEQ19" s="28"/>
      <c r="CER19" s="29"/>
      <c r="CES19" s="29"/>
      <c r="CET19" s="28"/>
      <c r="CEU19" s="29"/>
      <c r="CEV19" s="30"/>
      <c r="CEW19" s="28"/>
      <c r="CEX19" s="29"/>
      <c r="CEY19" s="29"/>
      <c r="CEZ19" s="32"/>
      <c r="CFA19" s="28"/>
      <c r="CFB19" s="29"/>
      <c r="CFC19" s="29"/>
      <c r="CFD19" s="28"/>
      <c r="CFE19" s="29"/>
      <c r="CFF19" s="30"/>
      <c r="CFG19" s="28"/>
      <c r="CFH19" s="29"/>
      <c r="CFI19" s="29"/>
      <c r="CFJ19" s="32"/>
      <c r="CFK19" s="28"/>
      <c r="CFL19" s="29"/>
      <c r="CFM19" s="29"/>
      <c r="CFN19" s="28"/>
      <c r="CFO19" s="29"/>
      <c r="CFP19" s="30"/>
      <c r="CFQ19" s="28"/>
      <c r="CFR19" s="30"/>
      <c r="CFS19" s="29"/>
      <c r="CFT19" s="28"/>
      <c r="CFU19" s="29"/>
      <c r="CFV19" s="28"/>
      <c r="CFW19" s="28"/>
      <c r="CFX19" s="28"/>
      <c r="CFY19" s="29"/>
      <c r="CFZ19" s="388"/>
      <c r="CGA19" s="29"/>
      <c r="CGB19" s="388"/>
      <c r="CGC19" s="29"/>
      <c r="CGD19" s="388"/>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30"/>
      <c r="CHK19" s="28"/>
      <c r="CHL19" s="29"/>
      <c r="CHM19" s="29"/>
      <c r="CHN19" s="32"/>
      <c r="CHO19" s="32"/>
      <c r="CHP19" s="32"/>
      <c r="CHQ19" s="28"/>
      <c r="CHR19" s="29"/>
      <c r="CHS19" s="29"/>
      <c r="CHT19" s="28"/>
      <c r="CHU19" s="29"/>
      <c r="CHV19" s="30"/>
      <c r="CHW19" s="28"/>
      <c r="CHX19" s="29"/>
      <c r="CHY19" s="29"/>
      <c r="CHZ19" s="32"/>
      <c r="CIA19" s="28"/>
      <c r="CIB19" s="29"/>
      <c r="CIC19" s="29"/>
      <c r="CID19" s="28"/>
      <c r="CIE19" s="29"/>
      <c r="CIF19" s="30"/>
      <c r="CIG19" s="28"/>
      <c r="CIH19" s="29"/>
      <c r="CII19" s="29"/>
      <c r="CIJ19" s="32"/>
      <c r="CIK19" s="28"/>
      <c r="CIL19" s="29"/>
      <c r="CIM19" s="29"/>
      <c r="CIN19" s="28"/>
      <c r="CIO19" s="29"/>
      <c r="CIP19" s="30"/>
      <c r="CIQ19" s="28"/>
      <c r="CIR19" s="29"/>
      <c r="CIS19" s="29"/>
      <c r="CIT19" s="32"/>
      <c r="CIU19" s="28"/>
      <c r="CIV19" s="29"/>
      <c r="CIW19" s="29"/>
      <c r="CIX19" s="28"/>
      <c r="CIY19" s="29"/>
      <c r="CIZ19" s="30"/>
      <c r="CJA19" s="28"/>
      <c r="CJB19" s="30"/>
      <c r="CJC19" s="29"/>
      <c r="CJD19" s="28"/>
      <c r="CJE19" s="29"/>
      <c r="CJF19" s="28"/>
      <c r="CJG19" s="28"/>
      <c r="CJH19" s="28"/>
      <c r="CJI19" s="29"/>
      <c r="CJJ19" s="388"/>
      <c r="CJK19" s="29"/>
      <c r="CJL19" s="388"/>
      <c r="CJM19" s="29"/>
      <c r="CJN19" s="388"/>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30"/>
      <c r="CKU19" s="28"/>
      <c r="CKV19" s="29"/>
      <c r="CKW19" s="29"/>
      <c r="CKX19" s="32"/>
      <c r="CKY19" s="32"/>
      <c r="CKZ19" s="32"/>
      <c r="CLA19" s="28"/>
      <c r="CLB19" s="29"/>
      <c r="CLC19" s="29"/>
      <c r="CLD19" s="28"/>
      <c r="CLE19" s="29"/>
      <c r="CLF19" s="30"/>
      <c r="CLG19" s="28"/>
      <c r="CLH19" s="29"/>
      <c r="CLI19" s="29"/>
      <c r="CLJ19" s="32"/>
      <c r="CLK19" s="28"/>
      <c r="CLL19" s="29"/>
      <c r="CLM19" s="29"/>
      <c r="CLN19" s="28"/>
      <c r="CLO19" s="29"/>
      <c r="CLP19" s="30"/>
      <c r="CLQ19" s="28"/>
      <c r="CLR19" s="29"/>
      <c r="CLS19" s="29"/>
      <c r="CLT19" s="32"/>
      <c r="CLU19" s="28"/>
      <c r="CLV19" s="29"/>
      <c r="CLW19" s="29"/>
      <c r="CLX19" s="28"/>
      <c r="CLY19" s="29"/>
      <c r="CLZ19" s="30"/>
      <c r="CMA19" s="28"/>
      <c r="CMB19" s="29"/>
      <c r="CMC19" s="29"/>
      <c r="CMD19" s="32"/>
      <c r="CME19" s="28"/>
      <c r="CMF19" s="29"/>
      <c r="CMG19" s="29"/>
      <c r="CMH19" s="28"/>
      <c r="CMI19" s="29"/>
      <c r="CMJ19" s="30"/>
      <c r="CMK19" s="28"/>
      <c r="CML19" s="30"/>
      <c r="CMM19" s="29"/>
      <c r="CMN19" s="28"/>
      <c r="CMO19" s="29"/>
      <c r="CMP19" s="28"/>
      <c r="CMQ19" s="28"/>
      <c r="CMR19" s="28"/>
      <c r="CMS19" s="29"/>
      <c r="CMT19" s="388"/>
      <c r="CMU19" s="29"/>
      <c r="CMV19" s="388"/>
      <c r="CMW19" s="29"/>
      <c r="CMX19" s="388"/>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30"/>
      <c r="COE19" s="28"/>
      <c r="COF19" s="29"/>
      <c r="COG19" s="29"/>
      <c r="COH19" s="32"/>
      <c r="COI19" s="32"/>
      <c r="COJ19" s="32"/>
      <c r="COK19" s="28"/>
      <c r="COL19" s="29"/>
      <c r="COM19" s="29"/>
      <c r="CON19" s="28"/>
      <c r="COO19" s="29"/>
      <c r="COP19" s="30"/>
      <c r="COQ19" s="28"/>
      <c r="COR19" s="29"/>
      <c r="COS19" s="29"/>
      <c r="COT19" s="32"/>
      <c r="COU19" s="28"/>
      <c r="COV19" s="29"/>
      <c r="COW19" s="29"/>
      <c r="COX19" s="28"/>
      <c r="COY19" s="29"/>
      <c r="COZ19" s="30"/>
      <c r="CPA19" s="28"/>
      <c r="CPB19" s="29"/>
      <c r="CPC19" s="29"/>
      <c r="CPD19" s="32"/>
      <c r="CPE19" s="28"/>
      <c r="CPF19" s="29"/>
      <c r="CPG19" s="29"/>
      <c r="CPH19" s="28"/>
      <c r="CPI19" s="29"/>
      <c r="CPJ19" s="30"/>
      <c r="CPK19" s="28"/>
      <c r="CPL19" s="29"/>
      <c r="CPM19" s="29"/>
      <c r="CPN19" s="32"/>
      <c r="CPO19" s="28"/>
      <c r="CPP19" s="29"/>
      <c r="CPQ19" s="29"/>
      <c r="CPR19" s="28"/>
      <c r="CPS19" s="29"/>
      <c r="CPT19" s="30"/>
      <c r="CPU19" s="28"/>
      <c r="CPV19" s="30"/>
      <c r="CPW19" s="29"/>
      <c r="CPX19" s="28"/>
      <c r="CPY19" s="29"/>
      <c r="CPZ19" s="28"/>
      <c r="CQA19" s="28"/>
      <c r="CQB19" s="28"/>
      <c r="CQC19" s="29"/>
      <c r="CQD19" s="388"/>
      <c r="CQE19" s="29"/>
      <c r="CQF19" s="388"/>
      <c r="CQG19" s="29"/>
      <c r="CQH19" s="388"/>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30"/>
      <c r="CRO19" s="28"/>
      <c r="CRP19" s="29"/>
      <c r="CRQ19" s="29"/>
      <c r="CRR19" s="32"/>
      <c r="CRS19" s="32"/>
      <c r="CRT19" s="32"/>
      <c r="CRU19" s="28"/>
      <c r="CRV19" s="29"/>
      <c r="CRW19" s="29"/>
      <c r="CRX19" s="28"/>
      <c r="CRY19" s="29"/>
      <c r="CRZ19" s="30"/>
      <c r="CSA19" s="28"/>
      <c r="CSB19" s="29"/>
      <c r="CSC19" s="29"/>
      <c r="CSD19" s="32"/>
      <c r="CSE19" s="28"/>
      <c r="CSF19" s="29"/>
      <c r="CSG19" s="29"/>
      <c r="CSH19" s="28"/>
      <c r="CSI19" s="29"/>
      <c r="CSJ19" s="30"/>
      <c r="CSK19" s="28"/>
      <c r="CSL19" s="29"/>
      <c r="CSM19" s="29"/>
      <c r="CSN19" s="32"/>
      <c r="CSO19" s="28"/>
      <c r="CSP19" s="29"/>
      <c r="CSQ19" s="29"/>
      <c r="CSR19" s="28"/>
      <c r="CSS19" s="29"/>
      <c r="CST19" s="30"/>
      <c r="CSU19" s="28"/>
      <c r="CSV19" s="29"/>
      <c r="CSW19" s="29"/>
      <c r="CSX19" s="32"/>
      <c r="CSY19" s="28"/>
      <c r="CSZ19" s="29"/>
      <c r="CTA19" s="29"/>
      <c r="CTB19" s="28"/>
      <c r="CTC19" s="29"/>
      <c r="CTD19" s="30"/>
      <c r="CTE19" s="28"/>
      <c r="CTF19" s="30"/>
      <c r="CTG19" s="29"/>
      <c r="CTH19" s="28"/>
      <c r="CTI19" s="29"/>
      <c r="CTJ19" s="28"/>
      <c r="CTK19" s="28"/>
      <c r="CTL19" s="28"/>
      <c r="CTM19" s="29"/>
      <c r="CTN19" s="388"/>
      <c r="CTO19" s="29"/>
      <c r="CTP19" s="388"/>
      <c r="CTQ19" s="29"/>
      <c r="CTR19" s="388"/>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30"/>
      <c r="CUY19" s="28"/>
      <c r="CUZ19" s="29"/>
      <c r="CVA19" s="29"/>
      <c r="CVB19" s="32"/>
      <c r="CVC19" s="32"/>
      <c r="CVD19" s="32"/>
      <c r="CVE19" s="28"/>
      <c r="CVF19" s="29"/>
      <c r="CVG19" s="29"/>
      <c r="CVH19" s="28"/>
      <c r="CVI19" s="29"/>
      <c r="CVJ19" s="30"/>
      <c r="CVK19" s="28"/>
      <c r="CVL19" s="29"/>
      <c r="CVM19" s="29"/>
      <c r="CVN19" s="32"/>
      <c r="CVO19" s="28"/>
      <c r="CVP19" s="29"/>
      <c r="CVQ19" s="29"/>
      <c r="CVR19" s="28"/>
      <c r="CVS19" s="29"/>
      <c r="CVT19" s="30"/>
      <c r="CVU19" s="28"/>
      <c r="CVV19" s="29"/>
      <c r="CVW19" s="29"/>
      <c r="CVX19" s="32"/>
      <c r="CVY19" s="28"/>
      <c r="CVZ19" s="29"/>
      <c r="CWA19" s="29"/>
      <c r="CWB19" s="28"/>
      <c r="CWC19" s="29"/>
      <c r="CWD19" s="30"/>
      <c r="CWE19" s="28"/>
      <c r="CWF19" s="29"/>
      <c r="CWG19" s="29"/>
      <c r="CWH19" s="32"/>
      <c r="CWI19" s="28"/>
      <c r="CWJ19" s="29"/>
      <c r="CWK19" s="29"/>
      <c r="CWL19" s="28"/>
      <c r="CWM19" s="29"/>
      <c r="CWN19" s="30"/>
      <c r="CWO19" s="28"/>
      <c r="CWP19" s="30"/>
      <c r="CWQ19" s="29"/>
      <c r="CWR19" s="28"/>
      <c r="CWS19" s="29"/>
      <c r="CWT19" s="28"/>
      <c r="CWU19" s="28"/>
      <c r="CWV19" s="28"/>
      <c r="CWW19" s="29"/>
      <c r="CWX19" s="388"/>
      <c r="CWY19" s="29"/>
      <c r="CWZ19" s="388"/>
      <c r="CXA19" s="29"/>
      <c r="CXB19" s="388"/>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30"/>
      <c r="CYI19" s="28"/>
      <c r="CYJ19" s="29"/>
      <c r="CYK19" s="29"/>
      <c r="CYL19" s="32"/>
      <c r="CYM19" s="32"/>
      <c r="CYN19" s="32"/>
      <c r="CYO19" s="28"/>
      <c r="CYP19" s="29"/>
      <c r="CYQ19" s="29"/>
      <c r="CYR19" s="28"/>
      <c r="CYS19" s="29"/>
      <c r="CYT19" s="30"/>
      <c r="CYU19" s="28"/>
      <c r="CYV19" s="29"/>
      <c r="CYW19" s="29"/>
      <c r="CYX19" s="32"/>
      <c r="CYY19" s="28"/>
      <c r="CYZ19" s="29"/>
      <c r="CZA19" s="29"/>
      <c r="CZB19" s="28"/>
      <c r="CZC19" s="29"/>
      <c r="CZD19" s="30"/>
      <c r="CZE19" s="28"/>
      <c r="CZF19" s="29"/>
      <c r="CZG19" s="29"/>
      <c r="CZH19" s="32"/>
      <c r="CZI19" s="28"/>
      <c r="CZJ19" s="29"/>
      <c r="CZK19" s="29"/>
      <c r="CZL19" s="28"/>
      <c r="CZM19" s="29"/>
      <c r="CZN19" s="30"/>
      <c r="CZO19" s="28"/>
      <c r="CZP19" s="29"/>
      <c r="CZQ19" s="29"/>
      <c r="CZR19" s="32"/>
      <c r="CZS19" s="28"/>
      <c r="CZT19" s="29"/>
      <c r="CZU19" s="29"/>
      <c r="CZV19" s="28"/>
      <c r="CZW19" s="29"/>
      <c r="CZX19" s="30"/>
      <c r="CZY19" s="28"/>
      <c r="CZZ19" s="30"/>
      <c r="DAA19" s="29"/>
      <c r="DAB19" s="28"/>
      <c r="DAC19" s="29"/>
      <c r="DAD19" s="28"/>
      <c r="DAE19" s="28"/>
      <c r="DAF19" s="28"/>
      <c r="DAG19" s="29"/>
      <c r="DAH19" s="388"/>
      <c r="DAI19" s="29"/>
      <c r="DAJ19" s="388"/>
      <c r="DAK19" s="29"/>
      <c r="DAL19" s="388"/>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30"/>
      <c r="DBS19" s="28"/>
      <c r="DBT19" s="29"/>
      <c r="DBU19" s="29"/>
      <c r="DBV19" s="32"/>
      <c r="DBW19" s="32"/>
      <c r="DBX19" s="32"/>
      <c r="DBY19" s="28"/>
      <c r="DBZ19" s="29"/>
      <c r="DCA19" s="29"/>
      <c r="DCB19" s="28"/>
      <c r="DCC19" s="29"/>
      <c r="DCD19" s="30"/>
      <c r="DCE19" s="28"/>
      <c r="DCF19" s="29"/>
      <c r="DCG19" s="29"/>
      <c r="DCH19" s="32"/>
      <c r="DCI19" s="28"/>
      <c r="DCJ19" s="29"/>
      <c r="DCK19" s="29"/>
      <c r="DCL19" s="28"/>
      <c r="DCM19" s="29"/>
      <c r="DCN19" s="30"/>
      <c r="DCO19" s="28"/>
      <c r="DCP19" s="29"/>
      <c r="DCQ19" s="29"/>
      <c r="DCR19" s="32"/>
      <c r="DCS19" s="28"/>
      <c r="DCT19" s="29"/>
      <c r="DCU19" s="29"/>
      <c r="DCV19" s="28"/>
      <c r="DCW19" s="29"/>
      <c r="DCX19" s="30"/>
      <c r="DCY19" s="28"/>
      <c r="DCZ19" s="29"/>
      <c r="DDA19" s="29"/>
      <c r="DDB19" s="32"/>
      <c r="DDC19" s="28"/>
      <c r="DDD19" s="29"/>
      <c r="DDE19" s="29"/>
      <c r="DDF19" s="28"/>
      <c r="DDG19" s="29"/>
      <c r="DDH19" s="30"/>
      <c r="DDI19" s="28"/>
      <c r="DDJ19" s="30"/>
      <c r="DDK19" s="29"/>
      <c r="DDL19" s="28"/>
      <c r="DDM19" s="29"/>
      <c r="DDN19" s="28"/>
      <c r="DDO19" s="28"/>
      <c r="DDP19" s="28"/>
      <c r="DDQ19" s="29"/>
      <c r="DDR19" s="388"/>
      <c r="DDS19" s="29"/>
      <c r="DDT19" s="388"/>
      <c r="DDU19" s="29"/>
      <c r="DDV19" s="388"/>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30"/>
      <c r="DFC19" s="28"/>
      <c r="DFD19" s="29"/>
      <c r="DFE19" s="29"/>
      <c r="DFF19" s="32"/>
      <c r="DFG19" s="32"/>
      <c r="DFH19" s="32"/>
      <c r="DFI19" s="28"/>
      <c r="DFJ19" s="29"/>
      <c r="DFK19" s="29"/>
      <c r="DFL19" s="28"/>
      <c r="DFM19" s="29"/>
      <c r="DFN19" s="30"/>
      <c r="DFO19" s="28"/>
      <c r="DFP19" s="29"/>
      <c r="DFQ19" s="29"/>
      <c r="DFR19" s="32"/>
      <c r="DFS19" s="28"/>
      <c r="DFT19" s="29"/>
      <c r="DFU19" s="29"/>
      <c r="DFV19" s="28"/>
      <c r="DFW19" s="29"/>
      <c r="DFX19" s="30"/>
      <c r="DFY19" s="28"/>
      <c r="DFZ19" s="29"/>
      <c r="DGA19" s="29"/>
      <c r="DGB19" s="32"/>
      <c r="DGC19" s="28"/>
      <c r="DGD19" s="29"/>
      <c r="DGE19" s="29"/>
      <c r="DGF19" s="28"/>
      <c r="DGG19" s="29"/>
      <c r="DGH19" s="30"/>
      <c r="DGI19" s="28"/>
      <c r="DGJ19" s="29"/>
      <c r="DGK19" s="29"/>
      <c r="DGL19" s="32"/>
      <c r="DGM19" s="28"/>
      <c r="DGN19" s="29"/>
      <c r="DGO19" s="29"/>
      <c r="DGP19" s="28"/>
      <c r="DGQ19" s="29"/>
      <c r="DGR19" s="30"/>
      <c r="DGS19" s="28"/>
      <c r="DGT19" s="30"/>
      <c r="DGU19" s="29"/>
      <c r="DGV19" s="28"/>
      <c r="DGW19" s="29"/>
      <c r="DGX19" s="28"/>
      <c r="DGY19" s="28"/>
      <c r="DGZ19" s="28"/>
      <c r="DHA19" s="29"/>
      <c r="DHB19" s="388"/>
      <c r="DHC19" s="29"/>
      <c r="DHD19" s="388"/>
      <c r="DHE19" s="29"/>
      <c r="DHF19" s="388"/>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30"/>
      <c r="DIM19" s="28"/>
      <c r="DIN19" s="29"/>
      <c r="DIO19" s="29"/>
      <c r="DIP19" s="32"/>
      <c r="DIQ19" s="32"/>
      <c r="DIR19" s="32"/>
      <c r="DIS19" s="28"/>
      <c r="DIT19" s="29"/>
      <c r="DIU19" s="29"/>
      <c r="DIV19" s="28"/>
      <c r="DIW19" s="29"/>
      <c r="DIX19" s="30"/>
      <c r="DIY19" s="28"/>
      <c r="DIZ19" s="29"/>
      <c r="DJA19" s="29"/>
      <c r="DJB19" s="32"/>
      <c r="DJC19" s="28"/>
      <c r="DJD19" s="29"/>
      <c r="DJE19" s="29"/>
      <c r="DJF19" s="28"/>
      <c r="DJG19" s="29"/>
      <c r="DJH19" s="30"/>
      <c r="DJI19" s="28"/>
      <c r="DJJ19" s="29"/>
      <c r="DJK19" s="29"/>
      <c r="DJL19" s="32"/>
      <c r="DJM19" s="28"/>
      <c r="DJN19" s="29"/>
      <c r="DJO19" s="29"/>
      <c r="DJP19" s="28"/>
      <c r="DJQ19" s="29"/>
      <c r="DJR19" s="30"/>
      <c r="DJS19" s="28"/>
      <c r="DJT19" s="29"/>
      <c r="DJU19" s="29"/>
      <c r="DJV19" s="32"/>
      <c r="DJW19" s="28"/>
      <c r="DJX19" s="29"/>
      <c r="DJY19" s="29"/>
      <c r="DJZ19" s="28"/>
      <c r="DKA19" s="29"/>
      <c r="DKB19" s="30"/>
      <c r="DKC19" s="28"/>
      <c r="DKD19" s="30"/>
      <c r="DKE19" s="29"/>
      <c r="DKF19" s="28"/>
      <c r="DKG19" s="29"/>
      <c r="DKH19" s="28"/>
      <c r="DKI19" s="28"/>
      <c r="DKJ19" s="28"/>
      <c r="DKK19" s="29"/>
      <c r="DKL19" s="388"/>
      <c r="DKM19" s="29"/>
      <c r="DKN19" s="388"/>
      <c r="DKO19" s="29"/>
      <c r="DKP19" s="388"/>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30"/>
      <c r="DLW19" s="28"/>
      <c r="DLX19" s="29"/>
      <c r="DLY19" s="29"/>
      <c r="DLZ19" s="32"/>
      <c r="DMA19" s="32"/>
      <c r="DMB19" s="32"/>
      <c r="DMC19" s="28"/>
      <c r="DMD19" s="29"/>
      <c r="DME19" s="29"/>
      <c r="DMF19" s="28"/>
      <c r="DMG19" s="29"/>
      <c r="DMH19" s="30"/>
      <c r="DMI19" s="28"/>
      <c r="DMJ19" s="29"/>
      <c r="DMK19" s="29"/>
      <c r="DML19" s="32"/>
      <c r="DMM19" s="28"/>
      <c r="DMN19" s="29"/>
      <c r="DMO19" s="29"/>
      <c r="DMP19" s="28"/>
      <c r="DMQ19" s="29"/>
      <c r="DMR19" s="30"/>
      <c r="DMS19" s="28"/>
      <c r="DMT19" s="29"/>
      <c r="DMU19" s="29"/>
      <c r="DMV19" s="32"/>
      <c r="DMW19" s="28"/>
      <c r="DMX19" s="29"/>
      <c r="DMY19" s="29"/>
      <c r="DMZ19" s="28"/>
      <c r="DNA19" s="29"/>
      <c r="DNB19" s="30"/>
      <c r="DNC19" s="28"/>
      <c r="DND19" s="29"/>
      <c r="DNE19" s="29"/>
      <c r="DNF19" s="32"/>
      <c r="DNG19" s="28"/>
      <c r="DNH19" s="29"/>
      <c r="DNI19" s="29"/>
      <c r="DNJ19" s="28"/>
      <c r="DNK19" s="29"/>
      <c r="DNL19" s="30"/>
      <c r="DNM19" s="28"/>
      <c r="DNN19" s="30"/>
      <c r="DNO19" s="29"/>
      <c r="DNP19" s="28"/>
      <c r="DNQ19" s="29"/>
      <c r="DNR19" s="28"/>
      <c r="DNS19" s="28"/>
      <c r="DNT19" s="28"/>
      <c r="DNU19" s="29"/>
      <c r="DNV19" s="388"/>
      <c r="DNW19" s="29"/>
      <c r="DNX19" s="388"/>
      <c r="DNY19" s="29"/>
      <c r="DNZ19" s="388"/>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30"/>
      <c r="DPG19" s="28"/>
      <c r="DPH19" s="29"/>
      <c r="DPI19" s="29"/>
      <c r="DPJ19" s="32"/>
      <c r="DPK19" s="32"/>
      <c r="DPL19" s="32"/>
      <c r="DPM19" s="28"/>
      <c r="DPN19" s="29"/>
      <c r="DPO19" s="29"/>
      <c r="DPP19" s="28"/>
      <c r="DPQ19" s="29"/>
      <c r="DPR19" s="30"/>
      <c r="DPS19" s="28"/>
      <c r="DPT19" s="29"/>
      <c r="DPU19" s="29"/>
      <c r="DPV19" s="32"/>
      <c r="DPW19" s="28"/>
      <c r="DPX19" s="29"/>
      <c r="DPY19" s="29"/>
      <c r="DPZ19" s="28"/>
      <c r="DQA19" s="29"/>
      <c r="DQB19" s="30"/>
      <c r="DQC19" s="28"/>
      <c r="DQD19" s="29"/>
      <c r="DQE19" s="29"/>
      <c r="DQF19" s="32"/>
      <c r="DQG19" s="28"/>
      <c r="DQH19" s="29"/>
      <c r="DQI19" s="29"/>
      <c r="DQJ19" s="28"/>
      <c r="DQK19" s="29"/>
      <c r="DQL19" s="30"/>
      <c r="DQM19" s="28"/>
      <c r="DQN19" s="29"/>
      <c r="DQO19" s="29"/>
      <c r="DQP19" s="32"/>
      <c r="DQQ19" s="28"/>
      <c r="DQR19" s="29"/>
      <c r="DQS19" s="29"/>
      <c r="DQT19" s="28"/>
      <c r="DQU19" s="29"/>
      <c r="DQV19" s="30"/>
      <c r="DQW19" s="28"/>
      <c r="DQX19" s="30"/>
      <c r="DQY19" s="29"/>
      <c r="DQZ19" s="28"/>
      <c r="DRA19" s="29"/>
      <c r="DRB19" s="28"/>
      <c r="DRC19" s="28"/>
      <c r="DRD19" s="28"/>
      <c r="DRE19" s="29"/>
      <c r="DRF19" s="388"/>
      <c r="DRG19" s="29"/>
      <c r="DRH19" s="388"/>
      <c r="DRI19" s="29"/>
      <c r="DRJ19" s="388"/>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30"/>
      <c r="DSQ19" s="28"/>
      <c r="DSR19" s="29"/>
      <c r="DSS19" s="29"/>
      <c r="DST19" s="32"/>
      <c r="DSU19" s="32"/>
      <c r="DSV19" s="32"/>
      <c r="DSW19" s="28"/>
      <c r="DSX19" s="29"/>
      <c r="DSY19" s="29"/>
      <c r="DSZ19" s="28"/>
      <c r="DTA19" s="29"/>
      <c r="DTB19" s="30"/>
      <c r="DTC19" s="28"/>
      <c r="DTD19" s="29"/>
      <c r="DTE19" s="29"/>
      <c r="DTF19" s="32"/>
      <c r="DTG19" s="28"/>
      <c r="DTH19" s="29"/>
      <c r="DTI19" s="29"/>
      <c r="DTJ19" s="28"/>
      <c r="DTK19" s="29"/>
      <c r="DTL19" s="30"/>
      <c r="DTM19" s="28"/>
      <c r="DTN19" s="29"/>
      <c r="DTO19" s="29"/>
      <c r="DTP19" s="32"/>
      <c r="DTQ19" s="28"/>
      <c r="DTR19" s="29"/>
      <c r="DTS19" s="29"/>
      <c r="DTT19" s="28"/>
      <c r="DTU19" s="29"/>
      <c r="DTV19" s="30"/>
      <c r="DTW19" s="28"/>
      <c r="DTX19" s="29"/>
      <c r="DTY19" s="29"/>
      <c r="DTZ19" s="32"/>
      <c r="DUA19" s="28"/>
      <c r="DUB19" s="29"/>
      <c r="DUC19" s="29"/>
      <c r="DUD19" s="28"/>
      <c r="DUE19" s="29"/>
      <c r="DUF19" s="30"/>
      <c r="DUG19" s="28"/>
      <c r="DUH19" s="30"/>
      <c r="DUI19" s="29"/>
      <c r="DUJ19" s="28"/>
      <c r="DUK19" s="29"/>
      <c r="DUL19" s="28"/>
      <c r="DUM19" s="28"/>
      <c r="DUN19" s="28"/>
      <c r="DUO19" s="29"/>
      <c r="DUP19" s="388"/>
      <c r="DUQ19" s="29"/>
      <c r="DUR19" s="388"/>
      <c r="DUS19" s="29"/>
      <c r="DUT19" s="388"/>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30"/>
      <c r="DWA19" s="28"/>
      <c r="DWB19" s="29"/>
      <c r="DWC19" s="29"/>
      <c r="DWD19" s="32"/>
      <c r="DWE19" s="32"/>
      <c r="DWF19" s="32"/>
      <c r="DWG19" s="28"/>
      <c r="DWH19" s="29"/>
      <c r="DWI19" s="29"/>
      <c r="DWJ19" s="28"/>
      <c r="DWK19" s="29"/>
      <c r="DWL19" s="30"/>
      <c r="DWM19" s="28"/>
      <c r="DWN19" s="29"/>
      <c r="DWO19" s="29"/>
      <c r="DWP19" s="32"/>
      <c r="DWQ19" s="28"/>
      <c r="DWR19" s="29"/>
      <c r="DWS19" s="29"/>
      <c r="DWT19" s="28"/>
      <c r="DWU19" s="29"/>
      <c r="DWV19" s="30"/>
      <c r="DWW19" s="28"/>
      <c r="DWX19" s="29"/>
      <c r="DWY19" s="29"/>
      <c r="DWZ19" s="32"/>
      <c r="DXA19" s="28"/>
      <c r="DXB19" s="29"/>
      <c r="DXC19" s="29"/>
      <c r="DXD19" s="28"/>
      <c r="DXE19" s="29"/>
      <c r="DXF19" s="30"/>
      <c r="DXG19" s="28"/>
      <c r="DXH19" s="29"/>
      <c r="DXI19" s="29"/>
      <c r="DXJ19" s="32"/>
      <c r="DXK19" s="28"/>
      <c r="DXL19" s="29"/>
      <c r="DXM19" s="29"/>
      <c r="DXN19" s="28"/>
      <c r="DXO19" s="29"/>
      <c r="DXP19" s="30"/>
      <c r="DXQ19" s="28"/>
      <c r="DXR19" s="30"/>
      <c r="DXS19" s="29"/>
      <c r="DXT19" s="28"/>
      <c r="DXU19" s="29"/>
      <c r="DXV19" s="28"/>
      <c r="DXW19" s="28"/>
      <c r="DXX19" s="28"/>
      <c r="DXY19" s="29"/>
      <c r="DXZ19" s="388"/>
      <c r="DYA19" s="29"/>
      <c r="DYB19" s="388"/>
      <c r="DYC19" s="29"/>
      <c r="DYD19" s="388"/>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30"/>
      <c r="DZK19" s="28"/>
      <c r="DZL19" s="29"/>
      <c r="DZM19" s="29"/>
      <c r="DZN19" s="32"/>
      <c r="DZO19" s="32"/>
      <c r="DZP19" s="32"/>
      <c r="DZQ19" s="28"/>
      <c r="DZR19" s="29"/>
      <c r="DZS19" s="29"/>
      <c r="DZT19" s="28"/>
      <c r="DZU19" s="29"/>
      <c r="DZV19" s="30"/>
      <c r="DZW19" s="28"/>
      <c r="DZX19" s="29"/>
      <c r="DZY19" s="29"/>
      <c r="DZZ19" s="32"/>
      <c r="EAA19" s="28"/>
      <c r="EAB19" s="29"/>
      <c r="EAC19" s="29"/>
      <c r="EAD19" s="28"/>
      <c r="EAE19" s="29"/>
      <c r="EAF19" s="30"/>
      <c r="EAG19" s="28"/>
      <c r="EAH19" s="29"/>
      <c r="EAI19" s="29"/>
      <c r="EAJ19" s="32"/>
      <c r="EAK19" s="28"/>
      <c r="EAL19" s="29"/>
      <c r="EAM19" s="29"/>
      <c r="EAN19" s="28"/>
      <c r="EAO19" s="29"/>
      <c r="EAP19" s="30"/>
      <c r="EAQ19" s="28"/>
      <c r="EAR19" s="29"/>
      <c r="EAS19" s="29"/>
      <c r="EAT19" s="32"/>
      <c r="EAU19" s="28"/>
      <c r="EAV19" s="29"/>
      <c r="EAW19" s="29"/>
      <c r="EAX19" s="28"/>
      <c r="EAY19" s="29"/>
      <c r="EAZ19" s="30"/>
      <c r="EBA19" s="28"/>
      <c r="EBB19" s="30"/>
      <c r="EBC19" s="29"/>
      <c r="EBD19" s="28"/>
      <c r="EBE19" s="29"/>
      <c r="EBF19" s="28"/>
      <c r="EBG19" s="28"/>
      <c r="EBH19" s="28"/>
      <c r="EBI19" s="29"/>
      <c r="EBJ19" s="388"/>
      <c r="EBK19" s="29"/>
      <c r="EBL19" s="388"/>
      <c r="EBM19" s="29"/>
      <c r="EBN19" s="388"/>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30"/>
      <c r="ECU19" s="28"/>
      <c r="ECV19" s="29"/>
      <c r="ECW19" s="29"/>
      <c r="ECX19" s="32"/>
      <c r="ECY19" s="32"/>
      <c r="ECZ19" s="32"/>
      <c r="EDA19" s="28"/>
      <c r="EDB19" s="29"/>
      <c r="EDC19" s="29"/>
      <c r="EDD19" s="28"/>
      <c r="EDE19" s="29"/>
      <c r="EDF19" s="30"/>
      <c r="EDG19" s="28"/>
      <c r="EDH19" s="29"/>
      <c r="EDI19" s="29"/>
      <c r="EDJ19" s="32"/>
      <c r="EDK19" s="28"/>
      <c r="EDL19" s="29"/>
      <c r="EDM19" s="29"/>
      <c r="EDN19" s="28"/>
      <c r="EDO19" s="29"/>
      <c r="EDP19" s="30"/>
      <c r="EDQ19" s="28"/>
      <c r="EDR19" s="29"/>
      <c r="EDS19" s="29"/>
      <c r="EDT19" s="32"/>
      <c r="EDU19" s="28"/>
      <c r="EDV19" s="29"/>
      <c r="EDW19" s="29"/>
      <c r="EDX19" s="28"/>
      <c r="EDY19" s="29"/>
      <c r="EDZ19" s="30"/>
      <c r="EEA19" s="28"/>
      <c r="EEB19" s="29"/>
      <c r="EEC19" s="29"/>
      <c r="EED19" s="32"/>
      <c r="EEE19" s="28"/>
      <c r="EEF19" s="29"/>
      <c r="EEG19" s="29"/>
      <c r="EEH19" s="28"/>
      <c r="EEI19" s="29"/>
      <c r="EEJ19" s="30"/>
      <c r="EEK19" s="28"/>
      <c r="EEL19" s="30"/>
      <c r="EEM19" s="29"/>
      <c r="EEN19" s="28"/>
      <c r="EEO19" s="29"/>
      <c r="EEP19" s="28"/>
      <c r="EEQ19" s="28"/>
      <c r="EER19" s="28"/>
      <c r="EES19" s="29"/>
      <c r="EET19" s="388"/>
      <c r="EEU19" s="29"/>
      <c r="EEV19" s="388"/>
      <c r="EEW19" s="29"/>
      <c r="EEX19" s="388"/>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30"/>
      <c r="EGE19" s="28"/>
      <c r="EGF19" s="29"/>
      <c r="EGG19" s="29"/>
      <c r="EGH19" s="32"/>
      <c r="EGI19" s="32"/>
      <c r="EGJ19" s="32"/>
      <c r="EGK19" s="28"/>
      <c r="EGL19" s="29"/>
      <c r="EGM19" s="29"/>
      <c r="EGN19" s="28"/>
      <c r="EGO19" s="29"/>
      <c r="EGP19" s="30"/>
      <c r="EGQ19" s="28"/>
      <c r="EGR19" s="29"/>
      <c r="EGS19" s="29"/>
      <c r="EGT19" s="32"/>
      <c r="EGU19" s="28"/>
      <c r="EGV19" s="29"/>
      <c r="EGW19" s="29"/>
      <c r="EGX19" s="28"/>
      <c r="EGY19" s="29"/>
      <c r="EGZ19" s="30"/>
      <c r="EHA19" s="28"/>
      <c r="EHB19" s="29"/>
      <c r="EHC19" s="29"/>
      <c r="EHD19" s="32"/>
      <c r="EHE19" s="28"/>
      <c r="EHF19" s="29"/>
      <c r="EHG19" s="29"/>
      <c r="EHH19" s="28"/>
      <c r="EHI19" s="29"/>
      <c r="EHJ19" s="30"/>
      <c r="EHK19" s="28"/>
      <c r="EHL19" s="29"/>
      <c r="EHM19" s="29"/>
      <c r="EHN19" s="32"/>
      <c r="EHO19" s="28"/>
      <c r="EHP19" s="29"/>
      <c r="EHQ19" s="29"/>
      <c r="EHR19" s="28"/>
      <c r="EHS19" s="29"/>
      <c r="EHT19" s="30"/>
      <c r="EHU19" s="28"/>
      <c r="EHV19" s="30"/>
      <c r="EHW19" s="29"/>
      <c r="EHX19" s="28"/>
      <c r="EHY19" s="29"/>
      <c r="EHZ19" s="28"/>
      <c r="EIA19" s="28"/>
      <c r="EIB19" s="28"/>
      <c r="EIC19" s="29"/>
      <c r="EID19" s="388"/>
      <c r="EIE19" s="29"/>
      <c r="EIF19" s="388"/>
      <c r="EIG19" s="29"/>
      <c r="EIH19" s="388"/>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30"/>
      <c r="EJO19" s="28"/>
      <c r="EJP19" s="29"/>
      <c r="EJQ19" s="29"/>
      <c r="EJR19" s="32"/>
      <c r="EJS19" s="32"/>
      <c r="EJT19" s="32"/>
      <c r="EJU19" s="28"/>
      <c r="EJV19" s="29"/>
      <c r="EJW19" s="29"/>
      <c r="EJX19" s="28"/>
      <c r="EJY19" s="29"/>
      <c r="EJZ19" s="30"/>
      <c r="EKA19" s="28"/>
      <c r="EKB19" s="29"/>
      <c r="EKC19" s="29"/>
      <c r="EKD19" s="32"/>
      <c r="EKE19" s="28"/>
      <c r="EKF19" s="29"/>
      <c r="EKG19" s="29"/>
      <c r="EKH19" s="28"/>
      <c r="EKI19" s="29"/>
      <c r="EKJ19" s="30"/>
      <c r="EKK19" s="28"/>
      <c r="EKL19" s="29"/>
      <c r="EKM19" s="29"/>
      <c r="EKN19" s="32"/>
      <c r="EKO19" s="28"/>
      <c r="EKP19" s="29"/>
      <c r="EKQ19" s="29"/>
      <c r="EKR19" s="28"/>
      <c r="EKS19" s="29"/>
      <c r="EKT19" s="30"/>
      <c r="EKU19" s="28"/>
      <c r="EKV19" s="29"/>
      <c r="EKW19" s="29"/>
      <c r="EKX19" s="32"/>
      <c r="EKY19" s="28"/>
      <c r="EKZ19" s="29"/>
      <c r="ELA19" s="29"/>
      <c r="ELB19" s="28"/>
      <c r="ELC19" s="29"/>
      <c r="ELD19" s="30"/>
      <c r="ELE19" s="28"/>
      <c r="ELF19" s="30"/>
      <c r="ELG19" s="29"/>
      <c r="ELH19" s="28"/>
      <c r="ELI19" s="29"/>
      <c r="ELJ19" s="28"/>
      <c r="ELK19" s="28"/>
      <c r="ELL19" s="28"/>
      <c r="ELM19" s="29"/>
      <c r="ELN19" s="388"/>
      <c r="ELO19" s="29"/>
      <c r="ELP19" s="388"/>
      <c r="ELQ19" s="29"/>
      <c r="ELR19" s="388"/>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30"/>
      <c r="EMY19" s="28"/>
      <c r="EMZ19" s="29"/>
      <c r="ENA19" s="29"/>
      <c r="ENB19" s="32"/>
      <c r="ENC19" s="32"/>
      <c r="END19" s="32"/>
      <c r="ENE19" s="28"/>
      <c r="ENF19" s="29"/>
      <c r="ENG19" s="29"/>
      <c r="ENH19" s="28"/>
      <c r="ENI19" s="29"/>
      <c r="ENJ19" s="30"/>
      <c r="ENK19" s="28"/>
      <c r="ENL19" s="29"/>
      <c r="ENM19" s="29"/>
      <c r="ENN19" s="32"/>
      <c r="ENO19" s="28"/>
      <c r="ENP19" s="29"/>
      <c r="ENQ19" s="29"/>
      <c r="ENR19" s="28"/>
      <c r="ENS19" s="29"/>
      <c r="ENT19" s="30"/>
      <c r="ENU19" s="28"/>
      <c r="ENV19" s="29"/>
      <c r="ENW19" s="29"/>
      <c r="ENX19" s="32"/>
      <c r="ENY19" s="28"/>
      <c r="ENZ19" s="29"/>
      <c r="EOA19" s="29"/>
      <c r="EOB19" s="28"/>
      <c r="EOC19" s="29"/>
      <c r="EOD19" s="30"/>
      <c r="EOE19" s="28"/>
      <c r="EOF19" s="29"/>
      <c r="EOG19" s="29"/>
      <c r="EOH19" s="32"/>
      <c r="EOI19" s="28"/>
      <c r="EOJ19" s="29"/>
      <c r="EOK19" s="29"/>
      <c r="EOL19" s="28"/>
      <c r="EOM19" s="29"/>
      <c r="EON19" s="30"/>
      <c r="EOO19" s="28" t="str">
        <f t="shared" si="149"/>
        <v xml:space="preserve"> </v>
      </c>
      <c r="EOP19" s="30"/>
      <c r="EOQ19" s="29"/>
      <c r="EOR19" s="28"/>
      <c r="EOS19" s="29"/>
      <c r="EOT19" s="28"/>
      <c r="EOU19" s="28"/>
      <c r="EOV19" s="28"/>
      <c r="EOW19" s="29"/>
      <c r="EOX19" s="388"/>
      <c r="EOY19" s="29"/>
      <c r="EOZ19" s="388"/>
      <c r="EPA19" s="29"/>
      <c r="EPB19" s="388"/>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30"/>
      <c r="EQI19" s="28"/>
      <c r="EQJ19" s="29"/>
      <c r="EQK19" s="29"/>
      <c r="EQL19" s="32"/>
      <c r="EQM19" s="32"/>
      <c r="EQN19" s="32"/>
      <c r="EQO19" s="28"/>
      <c r="EQP19" s="29"/>
      <c r="EQQ19" s="29"/>
      <c r="EQR19" s="28"/>
      <c r="EQS19" s="29"/>
      <c r="EQT19" s="30"/>
      <c r="EQU19" s="28"/>
      <c r="EQV19" s="29"/>
      <c r="EQW19" s="29"/>
      <c r="EQX19" s="32"/>
      <c r="EQY19" s="28"/>
      <c r="EQZ19" s="29"/>
      <c r="ERA19" s="29"/>
      <c r="ERB19" s="28"/>
      <c r="ERC19" s="29"/>
      <c r="ERD19" s="30"/>
      <c r="ERE19" s="28"/>
      <c r="ERF19" s="29"/>
      <c r="ERG19" s="29"/>
      <c r="ERH19" s="32"/>
      <c r="ERI19" s="28"/>
      <c r="ERJ19" s="29"/>
      <c r="ERK19" s="29"/>
      <c r="ERL19" s="28"/>
      <c r="ERM19" s="29"/>
      <c r="ERN19" s="30"/>
      <c r="ERO19" s="28"/>
      <c r="ERP19" s="29"/>
      <c r="ERQ19" s="29"/>
      <c r="ERR19" s="32"/>
      <c r="ERS19" s="28"/>
      <c r="ERT19" s="29"/>
      <c r="ERU19" s="29"/>
      <c r="ERV19" s="28"/>
      <c r="ERW19" s="29"/>
      <c r="ERX19" s="30"/>
      <c r="ERY19" s="28" t="str">
        <f t="shared" si="150"/>
        <v xml:space="preserve"> </v>
      </c>
      <c r="ERZ19" s="30"/>
      <c r="ESA19" s="29"/>
      <c r="ESB19" s="28"/>
      <c r="ESC19" s="29"/>
      <c r="ESD19" s="28"/>
      <c r="ESE19" s="28"/>
      <c r="ESF19" s="28"/>
      <c r="ESG19" s="29"/>
      <c r="ESH19" s="388"/>
      <c r="ESI19" s="29"/>
      <c r="ESJ19" s="388"/>
      <c r="ESK19" s="29"/>
      <c r="ESL19" s="388"/>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30"/>
      <c r="ETS19" s="28"/>
      <c r="ETT19" s="29"/>
      <c r="ETU19" s="29"/>
      <c r="ETV19" s="32"/>
      <c r="ETW19" s="32"/>
      <c r="ETX19" s="32"/>
      <c r="ETY19" s="28"/>
      <c r="ETZ19" s="29"/>
      <c r="EUA19" s="29"/>
      <c r="EUB19" s="28"/>
      <c r="EUC19" s="29"/>
      <c r="EUD19" s="30"/>
      <c r="EUE19" s="28"/>
      <c r="EUF19" s="29"/>
      <c r="EUG19" s="29"/>
      <c r="EUH19" s="32"/>
      <c r="EUI19" s="28"/>
      <c r="EUJ19" s="29"/>
      <c r="EUK19" s="29"/>
      <c r="EUL19" s="28"/>
      <c r="EUM19" s="29"/>
      <c r="EUN19" s="30"/>
      <c r="EUO19" s="28"/>
      <c r="EUP19" s="29"/>
      <c r="EUQ19" s="29"/>
      <c r="EUR19" s="32"/>
      <c r="EUS19" s="28"/>
      <c r="EUT19" s="29"/>
      <c r="EUU19" s="29"/>
      <c r="EUV19" s="28"/>
      <c r="EUW19" s="29"/>
      <c r="EUX19" s="30"/>
      <c r="EUY19" s="28"/>
      <c r="EUZ19" s="29"/>
      <c r="EVA19" s="29"/>
      <c r="EVB19" s="32"/>
      <c r="EVC19" s="28"/>
      <c r="EVD19" s="29"/>
      <c r="EVE19" s="29"/>
      <c r="EVF19" s="28"/>
      <c r="EVG19" s="29"/>
      <c r="EVH19" s="30"/>
      <c r="EVI19" s="28" t="str">
        <f t="shared" si="151"/>
        <v xml:space="preserve"> </v>
      </c>
    </row>
    <row r="20" spans="1:3961" x14ac:dyDescent="0.3">
      <c r="A20" s="424" t="s">
        <v>163</v>
      </c>
      <c r="B20" s="58" t="str">
        <f>'REG y VAL POE - AESR - ESR'!B1460</f>
        <v>Castillo Calzada Raul</v>
      </c>
      <c r="C20" s="57" t="str">
        <f>'REG y VAL POE - AESR - ESR'!C1460</f>
        <v>ESR</v>
      </c>
      <c r="D20" s="56" t="str">
        <f>'REG y VAL POE - AESR - ESR'!D1460</f>
        <v xml:space="preserve"> </v>
      </c>
      <c r="E20" s="57">
        <f>'REG y VAL POE - AESR - ESR'!E1460</f>
        <v>0</v>
      </c>
      <c r="F20" s="56">
        <f>'REG y VAL POE - AESR - ESR'!F1460</f>
        <v>0</v>
      </c>
      <c r="G20" s="59">
        <f>'REG y VAL POE - AESR - ESR'!G1460</f>
        <v>45435</v>
      </c>
      <c r="H20" s="59">
        <f>'REG y VAL POE - AESR - ESR'!H1460</f>
        <v>45800</v>
      </c>
      <c r="I20" s="57" t="str">
        <f>'REG y VAL POE - AESR - ESR'!I1460</f>
        <v>SI</v>
      </c>
      <c r="J20" s="57" t="str">
        <f>'REG y VAL POE - AESR - ESR'!J1460</f>
        <v>Vigente</v>
      </c>
      <c r="K20" s="57" t="str">
        <f>'REG y VAL POE - AESR - ESR'!K1460</f>
        <v>SI</v>
      </c>
      <c r="L20" s="57" t="str">
        <f>'REG y VAL POE - AESR - ESR'!L1460</f>
        <v>Vigente</v>
      </c>
      <c r="M20" s="57" t="str">
        <f>'REG y VAL POE - AESR - ESR'!M1460</f>
        <v>NO</v>
      </c>
      <c r="N20" s="57" t="str">
        <f>'REG y VAL POE - AESR - ESR'!N1460</f>
        <v>ES UN DICTAMEN MEDICO</v>
      </c>
      <c r="O20" s="57" t="str">
        <f>'REG y VAL POE - AESR - ESR'!O1460</f>
        <v>CARTA PASANTE</v>
      </c>
      <c r="P20" s="57">
        <f>'REG y VAL POE - AESR - ESR'!P1460</f>
        <v>0</v>
      </c>
      <c r="Q20" s="57" t="str">
        <f>'REG y VAL POE - AESR - ESR'!Q1460</f>
        <v>SI</v>
      </c>
      <c r="R20" s="57" t="str">
        <f>'REG y VAL POE - AESR - ESR'!R1460</f>
        <v>SI</v>
      </c>
      <c r="S20" s="57" t="str">
        <f>'REG y VAL POE - AESR - ESR'!S1460</f>
        <v>SI</v>
      </c>
      <c r="T20" s="57" t="str">
        <f>'REG y VAL POE - AESR - ESR'!T1460</f>
        <v>SI</v>
      </c>
      <c r="U20" s="57" t="str">
        <f>'REG y VAL POE - AESR - ESR'!U1460</f>
        <v>SI</v>
      </c>
      <c r="V20" s="57">
        <f>'REG y VAL POE - AESR - ESR'!V1460</f>
        <v>0</v>
      </c>
      <c r="W20" s="57" t="str">
        <f>'REG y VAL POE - AESR - ESR'!W1460</f>
        <v>Si</v>
      </c>
      <c r="X20" s="57">
        <f>'REG y VAL POE - AESR - ESR'!X1460</f>
        <v>0</v>
      </c>
      <c r="Y20" s="57">
        <f>'REG y VAL POE - AESR - ESR'!Y1460</f>
        <v>0</v>
      </c>
      <c r="Z20" s="57" t="str">
        <f>'REG y VAL POE - AESR - ESR'!Z1460</f>
        <v>SI</v>
      </c>
      <c r="AA20" s="57">
        <f>'REG y VAL POE - AESR - ESR'!AA1460</f>
        <v>0</v>
      </c>
      <c r="AB20" s="57">
        <f>'REG y VAL POE - AESR - ESR'!AB1460</f>
        <v>0</v>
      </c>
      <c r="AC20" s="57">
        <f>'REG y VAL POE - AESR - ESR'!AC1460</f>
        <v>0</v>
      </c>
      <c r="AD20" s="57">
        <f>'REG y VAL POE - AESR - ESR'!AD1460</f>
        <v>0</v>
      </c>
      <c r="AE20" s="57">
        <f>'REG y VAL POE - AESR - ESR'!AE1460</f>
        <v>0</v>
      </c>
      <c r="AF20" s="57">
        <f>'REG y VAL POE - AESR - ESR'!AF1460</f>
        <v>0</v>
      </c>
      <c r="AG20" s="57">
        <f>'REG y VAL POE - AESR - ESR'!AG1460</f>
        <v>0</v>
      </c>
      <c r="AH20" s="57">
        <f>'REG y VAL POE - AESR - ESR'!AH1460</f>
        <v>0</v>
      </c>
      <c r="AI20" s="57">
        <f>'REG y VAL POE - AESR - ESR'!AI1460</f>
        <v>0</v>
      </c>
      <c r="AJ20" s="57">
        <f>'REG y VAL POE - AESR - ESR'!AJ1460</f>
        <v>0</v>
      </c>
      <c r="AK20" s="57">
        <f>'REG y VAL POE - AESR - ESR'!AK1460</f>
        <v>0</v>
      </c>
      <c r="AL20" s="57">
        <f>'REG y VAL POE - AESR - ESR'!AL1460</f>
        <v>0</v>
      </c>
      <c r="AM20" s="57">
        <f>'REG y VAL POE - AESR - ESR'!AM1460</f>
        <v>0</v>
      </c>
      <c r="AN20" s="57">
        <f>'REG y VAL POE - AESR - ESR'!AN1460</f>
        <v>0</v>
      </c>
      <c r="AO20" s="57">
        <f>'REG y VAL POE - AESR - ESR'!AO1460</f>
        <v>0</v>
      </c>
      <c r="AP20" s="57">
        <f>'REG y VAL POE - AESR - ESR'!AP1460</f>
        <v>0</v>
      </c>
      <c r="AQ20" s="57">
        <f>'REG y VAL POE - AESR - ESR'!AQ1460</f>
        <v>0</v>
      </c>
      <c r="AR20" s="57" t="str">
        <f>'REG y VAL POE - AESR - ESR'!AR1460</f>
        <v>THSCAN</v>
      </c>
      <c r="AS20" s="57">
        <f>'REG y VAL POE - AESR - ESR'!AS1460</f>
        <v>0</v>
      </c>
      <c r="AT20" s="58">
        <f>'REG y VAL POE - AESR - ESR'!B1461</f>
        <v>0</v>
      </c>
      <c r="AU20" s="56">
        <f>'REG y VAL POE - AESR - ESR'!C1461</f>
        <v>0</v>
      </c>
      <c r="AV20" s="56">
        <f>'REG y VAL POE - AESR - ESR'!D1461</f>
        <v>0</v>
      </c>
      <c r="AW20" s="57">
        <f>'REG y VAL POE - AESR - ESR'!E1461</f>
        <v>0</v>
      </c>
      <c r="AX20" s="57">
        <f>'REG y VAL POE - AESR - ESR'!F1461</f>
        <v>0</v>
      </c>
      <c r="AY20" s="390">
        <f>'REG y VAL POE - AESR - ESR'!G1461</f>
        <v>0</v>
      </c>
      <c r="AZ20" s="390">
        <f>'REG y VAL POE - AESR - ESR'!H1461</f>
        <v>0</v>
      </c>
      <c r="BA20" s="57">
        <f>'REG y VAL POE - AESR - ESR'!I1461</f>
        <v>0</v>
      </c>
      <c r="BB20" s="57">
        <f>'REG y VAL POE - AESR - ESR'!J1461</f>
        <v>0</v>
      </c>
      <c r="BC20" s="57">
        <f>'REG y VAL POE - AESR - ESR'!K1461</f>
        <v>0</v>
      </c>
      <c r="BD20" s="57">
        <f>'REG y VAL POE - AESR - ESR'!L1461</f>
        <v>0</v>
      </c>
      <c r="BE20" s="57">
        <f>'REG y VAL POE - AESR - ESR'!M1461</f>
        <v>0</v>
      </c>
      <c r="BF20" s="57">
        <f>'REG y VAL POE - AESR - ESR'!N1461</f>
        <v>0</v>
      </c>
      <c r="BG20" s="57">
        <f>'REG y VAL POE - AESR - ESR'!O1461</f>
        <v>0</v>
      </c>
      <c r="BH20" s="57">
        <f>'REG y VAL POE - AESR - ESR'!P1461</f>
        <v>0</v>
      </c>
      <c r="BI20" s="57">
        <f>'REG y VAL POE - AESR - ESR'!Q1461</f>
        <v>0</v>
      </c>
      <c r="BJ20" s="57">
        <f>'REG y VAL POE - AESR - ESR'!R1461</f>
        <v>0</v>
      </c>
      <c r="BK20" s="57">
        <f>'REG y VAL POE - AESR - ESR'!S1461</f>
        <v>0</v>
      </c>
      <c r="BL20" s="57">
        <f>'REG y VAL POE - AESR - ESR'!T1461</f>
        <v>0</v>
      </c>
      <c r="BM20" s="57">
        <f>'REG y VAL POE - AESR - ESR'!U1461</f>
        <v>0</v>
      </c>
      <c r="BN20" s="57">
        <f>'REG y VAL POE - AESR - ESR'!V1461</f>
        <v>0</v>
      </c>
      <c r="BO20" s="57">
        <f>'REG y VAL POE - AESR - ESR'!W1461</f>
        <v>0</v>
      </c>
      <c r="BP20" s="57">
        <f>'REG y VAL POE - AESR - ESR'!X1461</f>
        <v>0</v>
      </c>
      <c r="BQ20" s="57">
        <f>'REG y VAL POE - AESR - ESR'!Y1461</f>
        <v>0</v>
      </c>
      <c r="BR20" s="57">
        <f>'REG y VAL POE - AESR - ESR'!Z1461</f>
        <v>0</v>
      </c>
      <c r="BS20" s="57">
        <f>'REG y VAL POE - AESR - ESR'!AA1461</f>
        <v>0</v>
      </c>
      <c r="BT20" s="57">
        <f>'REG y VAL POE - AESR - ESR'!AB1461</f>
        <v>0</v>
      </c>
      <c r="BU20" s="57">
        <f>'REG y VAL POE - AESR - ESR'!AC1461</f>
        <v>0</v>
      </c>
      <c r="BV20" s="57">
        <f>'REG y VAL POE - AESR - ESR'!AD1461</f>
        <v>0</v>
      </c>
      <c r="BW20" s="57">
        <f>'REG y VAL POE - AESR - ESR'!AE1461</f>
        <v>0</v>
      </c>
      <c r="BX20" s="57">
        <f>'REG y VAL POE - AESR - ESR'!AF1461</f>
        <v>0</v>
      </c>
      <c r="BY20" s="57">
        <f>'REG y VAL POE - AESR - ESR'!AG1461</f>
        <v>0</v>
      </c>
      <c r="BZ20" s="57">
        <f>'REG y VAL POE - AESR - ESR'!AH1461</f>
        <v>0</v>
      </c>
      <c r="CA20" s="57">
        <f>'REG y VAL POE - AESR - ESR'!AI1461</f>
        <v>0</v>
      </c>
      <c r="CB20" s="57">
        <f>'REG y VAL POE - AESR - ESR'!AJ1461</f>
        <v>0</v>
      </c>
      <c r="CC20" s="57">
        <f>'REG y VAL POE - AESR - ESR'!AK1461</f>
        <v>0</v>
      </c>
      <c r="CD20" s="57">
        <f>'REG y VAL POE - AESR - ESR'!AL1461</f>
        <v>0</v>
      </c>
      <c r="CE20" s="57">
        <f>'REG y VAL POE - AESR - ESR'!AM1461</f>
        <v>0</v>
      </c>
      <c r="CF20" s="57">
        <f>'REG y VAL POE - AESR - ESR'!AN1461</f>
        <v>0</v>
      </c>
      <c r="CG20" s="57">
        <f>'REG y VAL POE - AESR - ESR'!AO1461</f>
        <v>0</v>
      </c>
      <c r="CH20" s="57">
        <f>'REG y VAL POE - AESR - ESR'!AP1461</f>
        <v>0</v>
      </c>
      <c r="CI20" s="57">
        <f>'REG y VAL POE - AESR - ESR'!AQ1461</f>
        <v>0</v>
      </c>
      <c r="CJ20" s="57">
        <f>'REG y VAL POE - AESR - ESR'!AR1461</f>
        <v>0</v>
      </c>
      <c r="CK20" s="57">
        <f>'REG y VAL POE - AESR - ESR'!AS1461</f>
        <v>0</v>
      </c>
      <c r="CL20" s="57">
        <f>'REG y VAL POE - AESR - ESR'!B1462</f>
        <v>0</v>
      </c>
      <c r="CM20" s="57">
        <f>'REG y VAL POE - AESR - ESR'!C1462</f>
        <v>0</v>
      </c>
      <c r="CN20" s="56">
        <f>'REG y VAL POE - AESR - ESR'!D1462</f>
        <v>0</v>
      </c>
      <c r="CO20" s="56">
        <f>'REG y VAL POE - AESR - ESR'!E1462</f>
        <v>0</v>
      </c>
      <c r="CP20" s="57">
        <f>'REG y VAL POE - AESR - ESR'!F1462</f>
        <v>0</v>
      </c>
      <c r="CQ20" s="390">
        <f>'REG y VAL POE - AESR - ESR'!G1462</f>
        <v>0</v>
      </c>
      <c r="CR20" s="59">
        <f>'REG y VAL POE - AESR - ESR'!H1462</f>
        <v>0</v>
      </c>
      <c r="CS20" s="57">
        <f>'REG y VAL POE - AESR - ESR'!I1462</f>
        <v>0</v>
      </c>
      <c r="CT20" s="57">
        <f>'REG y VAL POE - AESR - ESR'!J1462</f>
        <v>0</v>
      </c>
      <c r="CU20" s="57">
        <f>'REG y VAL POE - AESR - ESR'!K1462</f>
        <v>0</v>
      </c>
      <c r="CV20" s="57">
        <f>'REG y VAL POE - AESR - ESR'!L1462</f>
        <v>0</v>
      </c>
      <c r="CW20" s="57">
        <f>'REG y VAL POE - AESR - ESR'!M1462</f>
        <v>0</v>
      </c>
      <c r="CX20" s="57">
        <f>'REG y VAL POE - AESR - ESR'!N1462</f>
        <v>0</v>
      </c>
      <c r="CY20" s="57">
        <f>'REG y VAL POE - AESR - ESR'!O1462</f>
        <v>0</v>
      </c>
      <c r="CZ20" s="57">
        <f>'REG y VAL POE - AESR - ESR'!P1462</f>
        <v>0</v>
      </c>
      <c r="DA20" s="57">
        <f>'REG y VAL POE - AESR - ESR'!Q1462</f>
        <v>0</v>
      </c>
      <c r="DB20" s="57">
        <f>'REG y VAL POE - AESR - ESR'!R1462</f>
        <v>0</v>
      </c>
      <c r="DC20" s="57">
        <f>'REG y VAL POE - AESR - ESR'!S1462</f>
        <v>0</v>
      </c>
      <c r="DD20" s="57">
        <f>'REG y VAL POE - AESR - ESR'!T1462</f>
        <v>0</v>
      </c>
      <c r="DE20" s="57">
        <f>'REG y VAL POE - AESR - ESR'!U1462</f>
        <v>0</v>
      </c>
      <c r="DF20" s="57">
        <f>'REG y VAL POE - AESR - ESR'!V1462</f>
        <v>0</v>
      </c>
      <c r="DG20" s="57">
        <f>'REG y VAL POE - AESR - ESR'!W1462</f>
        <v>0</v>
      </c>
      <c r="DH20" s="57">
        <f>'REG y VAL POE - AESR - ESR'!X1462</f>
        <v>0</v>
      </c>
      <c r="DI20" s="57">
        <f>'REG y VAL POE - AESR - ESR'!Y1462</f>
        <v>0</v>
      </c>
      <c r="DJ20" s="57">
        <f>'REG y VAL POE - AESR - ESR'!Z1462</f>
        <v>0</v>
      </c>
      <c r="DK20" s="57">
        <f>'REG y VAL POE - AESR - ESR'!AA1462</f>
        <v>0</v>
      </c>
      <c r="DL20" s="57">
        <f>'REG y VAL POE - AESR - ESR'!AB1462</f>
        <v>0</v>
      </c>
      <c r="DM20" s="57">
        <f>'REG y VAL POE - AESR - ESR'!AC1462</f>
        <v>0</v>
      </c>
      <c r="DN20" s="57">
        <f>'REG y VAL POE - AESR - ESR'!AD1462</f>
        <v>0</v>
      </c>
      <c r="DO20" s="57">
        <f>'REG y VAL POE - AESR - ESR'!AE1462</f>
        <v>0</v>
      </c>
      <c r="DP20" s="57">
        <f>'REG y VAL POE - AESR - ESR'!AF1462</f>
        <v>0</v>
      </c>
      <c r="DQ20" s="57">
        <f>'REG y VAL POE - AESR - ESR'!AG1462</f>
        <v>0</v>
      </c>
      <c r="DR20" s="57">
        <f>'REG y VAL POE - AESR - ESR'!AH1462</f>
        <v>0</v>
      </c>
      <c r="DS20" s="57">
        <f>'REG y VAL POE - AESR - ESR'!AI1462</f>
        <v>0</v>
      </c>
      <c r="DT20" s="57">
        <f>'REG y VAL POE - AESR - ESR'!AJ1462</f>
        <v>0</v>
      </c>
      <c r="DU20" s="57">
        <f>'REG y VAL POE - AESR - ESR'!AK1462</f>
        <v>0</v>
      </c>
      <c r="DV20" s="57">
        <f>'REG y VAL POE - AESR - ESR'!AL1462</f>
        <v>0</v>
      </c>
      <c r="DW20" s="57">
        <f>'REG y VAL POE - AESR - ESR'!AM1462</f>
        <v>0</v>
      </c>
      <c r="DX20" s="57">
        <f>'REG y VAL POE - AESR - ESR'!AN1462</f>
        <v>0</v>
      </c>
      <c r="DY20" s="57">
        <f>'REG y VAL POE - AESR - ESR'!AO1462</f>
        <v>0</v>
      </c>
      <c r="DZ20" s="57">
        <f>'REG y VAL POE - AESR - ESR'!AP1462</f>
        <v>0</v>
      </c>
      <c r="EA20" s="57">
        <f>'REG y VAL POE - AESR - ESR'!AQ1462</f>
        <v>0</v>
      </c>
      <c r="EB20" s="57">
        <f>'REG y VAL POE - AESR - ESR'!AR1462</f>
        <v>0</v>
      </c>
      <c r="EC20" s="57">
        <f>'REG y VAL POE - AESR - ESR'!AS1462</f>
        <v>0</v>
      </c>
      <c r="ED20" s="57">
        <f>'REG y VAL POE - AESR - ESR'!B1463</f>
        <v>0</v>
      </c>
      <c r="EE20" s="56">
        <f>'REG y VAL POE - AESR - ESR'!C1463</f>
        <v>0</v>
      </c>
      <c r="EF20" s="56">
        <f>'REG y VAL POE - AESR - ESR'!D1463</f>
        <v>0</v>
      </c>
      <c r="EG20" s="57">
        <f>'REG y VAL POE - AESR - ESR'!E1463</f>
        <v>0</v>
      </c>
      <c r="EH20" s="58">
        <f>'REG y VAL POE - AESR - ESR'!F1463</f>
        <v>0</v>
      </c>
      <c r="EI20" s="59">
        <f>'REG y VAL POE - AESR - ESR'!G1463</f>
        <v>0</v>
      </c>
      <c r="EJ20" s="390">
        <f>'REG y VAL POE - AESR - ESR'!H1463</f>
        <v>0</v>
      </c>
      <c r="EK20" s="57">
        <f>'REG y VAL POE - AESR - ESR'!I1463</f>
        <v>0</v>
      </c>
      <c r="EL20" s="57">
        <f>'REG y VAL POE - AESR - ESR'!J1463</f>
        <v>0</v>
      </c>
      <c r="EM20" s="57">
        <f>'REG y VAL POE - AESR - ESR'!K1463</f>
        <v>0</v>
      </c>
      <c r="EN20" s="57">
        <f>'REG y VAL POE - AESR - ESR'!L1463</f>
        <v>0</v>
      </c>
      <c r="EO20" s="57">
        <f>'REG y VAL POE - AESR - ESR'!M1463</f>
        <v>0</v>
      </c>
      <c r="EP20" s="57">
        <f>'REG y VAL POE - AESR - ESR'!N1463</f>
        <v>0</v>
      </c>
      <c r="EQ20" s="57">
        <f>'REG y VAL POE - AESR - ESR'!O1463</f>
        <v>0</v>
      </c>
      <c r="ER20" s="57">
        <f>'REG y VAL POE - AESR - ESR'!P1463</f>
        <v>0</v>
      </c>
      <c r="ES20" s="57">
        <f>'REG y VAL POE - AESR - ESR'!Q1463</f>
        <v>0</v>
      </c>
      <c r="ET20" s="57">
        <f>'REG y VAL POE - AESR - ESR'!R1463</f>
        <v>0</v>
      </c>
      <c r="EU20" s="57">
        <f>'REG y VAL POE - AESR - ESR'!S1463</f>
        <v>0</v>
      </c>
      <c r="EV20" s="57">
        <f>'REG y VAL POE - AESR - ESR'!T1463</f>
        <v>0</v>
      </c>
      <c r="EW20" s="57">
        <f>'REG y VAL POE - AESR - ESR'!U1463</f>
        <v>0</v>
      </c>
      <c r="EX20" s="57">
        <f>'REG y VAL POE - AESR - ESR'!V1463</f>
        <v>0</v>
      </c>
      <c r="EY20" s="57">
        <f>'REG y VAL POE - AESR - ESR'!W1463</f>
        <v>0</v>
      </c>
      <c r="EZ20" s="57">
        <f>'REG y VAL POE - AESR - ESR'!X1463</f>
        <v>0</v>
      </c>
      <c r="FA20" s="57">
        <f>'REG y VAL POE - AESR - ESR'!Y1463</f>
        <v>0</v>
      </c>
      <c r="FB20" s="57">
        <f>'REG y VAL POE - AESR - ESR'!Z1463</f>
        <v>0</v>
      </c>
      <c r="FC20" s="57">
        <f>'REG y VAL POE - AESR - ESR'!AA1463</f>
        <v>0</v>
      </c>
      <c r="FD20" s="57">
        <f>'REG y VAL POE - AESR - ESR'!AB1463</f>
        <v>0</v>
      </c>
      <c r="FE20" s="57">
        <f>'REG y VAL POE - AESR - ESR'!AC1463</f>
        <v>0</v>
      </c>
      <c r="FF20" s="57">
        <f>'REG y VAL POE - AESR - ESR'!AD1463</f>
        <v>0</v>
      </c>
      <c r="FG20" s="57">
        <f>'REG y VAL POE - AESR - ESR'!AE1463</f>
        <v>0</v>
      </c>
      <c r="FH20" s="57">
        <f>'REG y VAL POE - AESR - ESR'!AF1463</f>
        <v>0</v>
      </c>
      <c r="FI20" s="57">
        <f>'REG y VAL POE - AESR - ESR'!AG1463</f>
        <v>0</v>
      </c>
      <c r="FJ20" s="57">
        <f>'REG y VAL POE - AESR - ESR'!AH1463</f>
        <v>0</v>
      </c>
      <c r="FK20" s="57">
        <f>'REG y VAL POE - AESR - ESR'!AI1463</f>
        <v>0</v>
      </c>
      <c r="FL20" s="57">
        <f>'REG y VAL POE - AESR - ESR'!AJ1463</f>
        <v>0</v>
      </c>
      <c r="FM20" s="57">
        <f>'REG y VAL POE - AESR - ESR'!AK1463</f>
        <v>0</v>
      </c>
      <c r="FN20" s="57">
        <f>'REG y VAL POE - AESR - ESR'!AL1463</f>
        <v>0</v>
      </c>
      <c r="FO20" s="57">
        <f>'REG y VAL POE - AESR - ESR'!AM1463</f>
        <v>0</v>
      </c>
      <c r="FP20" s="57">
        <f>'REG y VAL POE - AESR - ESR'!AN1463</f>
        <v>0</v>
      </c>
      <c r="FQ20" s="57">
        <f>'REG y VAL POE - AESR - ESR'!AO1463</f>
        <v>0</v>
      </c>
      <c r="FR20" s="57">
        <f>'REG y VAL POE - AESR - ESR'!AP1463</f>
        <v>0</v>
      </c>
      <c r="FS20" s="57">
        <f>'REG y VAL POE - AESR - ESR'!AQ1463</f>
        <v>0</v>
      </c>
      <c r="FT20" s="57">
        <f>'REG y VAL POE - AESR - ESR'!AR1463</f>
        <v>0</v>
      </c>
      <c r="FU20" s="57">
        <f>'REG y VAL POE - AESR - ESR'!AS1463</f>
        <v>0</v>
      </c>
      <c r="FV20" s="55">
        <f>'REG y VAL POE - AESR - ESR'!B1464</f>
        <v>0</v>
      </c>
      <c r="FW20" s="56">
        <f>'REG y VAL POE - AESR - ESR'!C1464</f>
        <v>0</v>
      </c>
      <c r="FX20" s="56">
        <f>'REG y VAL POE - AESR - ESR'!D1464</f>
        <v>0</v>
      </c>
      <c r="FY20" s="57">
        <f>'REG y VAL POE - AESR - ESR'!E1464</f>
        <v>0</v>
      </c>
      <c r="FZ20" s="57">
        <f>'REG y VAL POE - AESR - ESR'!F1464</f>
        <v>0</v>
      </c>
      <c r="GA20" s="59">
        <f>'REG y VAL POE - AESR - ESR'!G1464</f>
        <v>0</v>
      </c>
      <c r="GB20" s="390">
        <f>'REG y VAL POE - AESR - ESR'!H1464</f>
        <v>0</v>
      </c>
      <c r="GC20" s="57">
        <f>'REG y VAL POE - AESR - ESR'!I1464</f>
        <v>0</v>
      </c>
      <c r="GD20" s="57">
        <f>'REG y VAL POE - AESR - ESR'!J1464</f>
        <v>0</v>
      </c>
      <c r="GE20" s="57">
        <f>'REG y VAL POE - AESR - ESR'!K1464</f>
        <v>0</v>
      </c>
      <c r="GF20" s="57">
        <f>'REG y VAL POE - AESR - ESR'!L1464</f>
        <v>0</v>
      </c>
      <c r="GG20" s="57">
        <f>'REG y VAL POE - AESR - ESR'!M1464</f>
        <v>0</v>
      </c>
      <c r="GH20" s="57">
        <f>'REG y VAL POE - AESR - ESR'!N1464</f>
        <v>0</v>
      </c>
      <c r="GI20" s="57">
        <f>'REG y VAL POE - AESR - ESR'!O1464</f>
        <v>0</v>
      </c>
      <c r="GJ20" s="57">
        <f>'REG y VAL POE - AESR - ESR'!P1464</f>
        <v>0</v>
      </c>
      <c r="GK20" s="57">
        <f>'REG y VAL POE - AESR - ESR'!Q1464</f>
        <v>0</v>
      </c>
      <c r="GL20" s="57">
        <f>'REG y VAL POE - AESR - ESR'!R1464</f>
        <v>0</v>
      </c>
      <c r="GM20" s="57">
        <f>'REG y VAL POE - AESR - ESR'!S1464</f>
        <v>0</v>
      </c>
      <c r="GN20" s="57">
        <f>'REG y VAL POE - AESR - ESR'!T1464</f>
        <v>0</v>
      </c>
      <c r="GO20" s="57">
        <f>'REG y VAL POE - AESR - ESR'!U1464</f>
        <v>0</v>
      </c>
      <c r="GP20" s="57">
        <f>'REG y VAL POE - AESR - ESR'!V1464</f>
        <v>0</v>
      </c>
      <c r="GQ20" s="57">
        <f>'REG y VAL POE - AESR - ESR'!W1464</f>
        <v>0</v>
      </c>
      <c r="GR20" s="57">
        <f>'REG y VAL POE - AESR - ESR'!X1464</f>
        <v>0</v>
      </c>
      <c r="GS20" s="57">
        <f>'REG y VAL POE - AESR - ESR'!Y1464</f>
        <v>0</v>
      </c>
      <c r="GT20" s="57">
        <f>'REG y VAL POE - AESR - ESR'!Z1464</f>
        <v>0</v>
      </c>
      <c r="GU20" s="57">
        <f>'REG y VAL POE - AESR - ESR'!AA1464</f>
        <v>0</v>
      </c>
      <c r="GV20" s="57">
        <f>'REG y VAL POE - AESR - ESR'!AB1464</f>
        <v>0</v>
      </c>
      <c r="GW20" s="57">
        <f>'REG y VAL POE - AESR - ESR'!AC1464</f>
        <v>0</v>
      </c>
      <c r="GX20" s="57">
        <f>'REG y VAL POE - AESR - ESR'!AD1464</f>
        <v>0</v>
      </c>
      <c r="GY20" s="57">
        <f>'REG y VAL POE - AESR - ESR'!AE1464</f>
        <v>0</v>
      </c>
      <c r="GZ20" s="57">
        <f>'REG y VAL POE - AESR - ESR'!AF1464</f>
        <v>0</v>
      </c>
      <c r="HA20" s="57">
        <f>'REG y VAL POE - AESR - ESR'!AG1464</f>
        <v>0</v>
      </c>
      <c r="HB20" s="57">
        <f>'REG y VAL POE - AESR - ESR'!AH1464</f>
        <v>0</v>
      </c>
      <c r="HC20" s="57">
        <f>'REG y VAL POE - AESR - ESR'!AI1464</f>
        <v>0</v>
      </c>
      <c r="HD20" s="57">
        <f>'REG y VAL POE - AESR - ESR'!AJ1464</f>
        <v>0</v>
      </c>
      <c r="HE20" s="57">
        <f>'REG y VAL POE - AESR - ESR'!AK1464</f>
        <v>0</v>
      </c>
      <c r="HF20" s="57">
        <f>'REG y VAL POE - AESR - ESR'!AL1464</f>
        <v>0</v>
      </c>
      <c r="HG20" s="57">
        <f>'REG y VAL POE - AESR - ESR'!AM1464</f>
        <v>0</v>
      </c>
      <c r="HH20" s="57">
        <f>'REG y VAL POE - AESR - ESR'!AN1464</f>
        <v>0</v>
      </c>
      <c r="HI20" s="57">
        <f>'REG y VAL POE - AESR - ESR'!AO1464</f>
        <v>0</v>
      </c>
      <c r="HJ20" s="57">
        <f>'REG y VAL POE - AESR - ESR'!AP1464</f>
        <v>0</v>
      </c>
      <c r="HK20" s="57">
        <f>'REG y VAL POE - AESR - ESR'!AQ1464</f>
        <v>0</v>
      </c>
      <c r="HL20" s="57">
        <f>'REG y VAL POE - AESR - ESR'!AR1464</f>
        <v>0</v>
      </c>
      <c r="HM20" s="57">
        <f>'REG y VAL POE - AESR - ESR'!AS1464</f>
        <v>0</v>
      </c>
      <c r="HN20" s="57">
        <f>'REG y VAL POE - AESR - ESR'!B1465</f>
        <v>0</v>
      </c>
      <c r="HO20" s="56">
        <f>'REG y VAL POE - AESR - ESR'!C1465</f>
        <v>0</v>
      </c>
      <c r="HP20" s="56">
        <f>'REG y VAL POE - AESR - ESR'!D1465</f>
        <v>0</v>
      </c>
      <c r="HQ20" s="57">
        <f>'REG y VAL POE - AESR - ESR'!E1465</f>
        <v>0</v>
      </c>
      <c r="HR20" s="56">
        <f>'REG y VAL POE - AESR - ESR'!F1465</f>
        <v>0</v>
      </c>
      <c r="HS20" s="390">
        <f>'REG y VAL POE - AESR - ESR'!G1465</f>
        <v>0</v>
      </c>
      <c r="HT20" s="391">
        <f>'REG y VAL POE - AESR - ESR'!H1465</f>
        <v>0</v>
      </c>
      <c r="HU20" s="57">
        <f>'REG y VAL POE - AESR - ESR'!I1465</f>
        <v>0</v>
      </c>
      <c r="HV20" s="57">
        <f>'REG y VAL POE - AESR - ESR'!J1465</f>
        <v>0</v>
      </c>
      <c r="HW20" s="57">
        <f>'REG y VAL POE - AESR - ESR'!K1465</f>
        <v>0</v>
      </c>
      <c r="HX20" s="57">
        <f>'REG y VAL POE - AESR - ESR'!L1465</f>
        <v>0</v>
      </c>
      <c r="HY20" s="57">
        <f>'REG y VAL POE - AESR - ESR'!M1465</f>
        <v>0</v>
      </c>
      <c r="HZ20" s="57">
        <f>'REG y VAL POE - AESR - ESR'!N1465</f>
        <v>0</v>
      </c>
      <c r="IA20" s="57">
        <f>'REG y VAL POE - AESR - ESR'!O1465</f>
        <v>0</v>
      </c>
      <c r="IB20" s="57">
        <f>'REG y VAL POE - AESR - ESR'!P1465</f>
        <v>0</v>
      </c>
      <c r="IC20" s="57">
        <f>'REG y VAL POE - AESR - ESR'!Q1465</f>
        <v>0</v>
      </c>
      <c r="ID20" s="57">
        <f>'REG y VAL POE - AESR - ESR'!R1465</f>
        <v>0</v>
      </c>
      <c r="IE20" s="57">
        <f>'REG y VAL POE - AESR - ESR'!S1465</f>
        <v>0</v>
      </c>
      <c r="IF20" s="57">
        <f>'REG y VAL POE - AESR - ESR'!T1465</f>
        <v>0</v>
      </c>
      <c r="IG20" s="57">
        <f>'REG y VAL POE - AESR - ESR'!U1465</f>
        <v>0</v>
      </c>
      <c r="IH20" s="57">
        <f>'REG y VAL POE - AESR - ESR'!V1465</f>
        <v>0</v>
      </c>
      <c r="II20" s="57">
        <f>'REG y VAL POE - AESR - ESR'!W1465</f>
        <v>0</v>
      </c>
      <c r="IJ20" s="57">
        <f>'REG y VAL POE - AESR - ESR'!X1465</f>
        <v>0</v>
      </c>
      <c r="IK20" s="57">
        <f>'REG y VAL POE - AESR - ESR'!Y1465</f>
        <v>0</v>
      </c>
      <c r="IL20" s="57">
        <f>'REG y VAL POE - AESR - ESR'!Z1465</f>
        <v>0</v>
      </c>
      <c r="IM20" s="57">
        <f>'REG y VAL POE - AESR - ESR'!AA1465</f>
        <v>0</v>
      </c>
      <c r="IN20" s="57">
        <f>'REG y VAL POE - AESR - ESR'!AB1465</f>
        <v>0</v>
      </c>
      <c r="IO20" s="57">
        <f>'REG y VAL POE - AESR - ESR'!AC1465</f>
        <v>0</v>
      </c>
      <c r="IP20" s="57">
        <f>'REG y VAL POE - AESR - ESR'!AD1465</f>
        <v>0</v>
      </c>
      <c r="IQ20" s="57">
        <f>'REG y VAL POE - AESR - ESR'!AE1465</f>
        <v>0</v>
      </c>
      <c r="IR20" s="57">
        <f>'REG y VAL POE - AESR - ESR'!AF1465</f>
        <v>0</v>
      </c>
      <c r="IS20" s="57">
        <f>'REG y VAL POE - AESR - ESR'!AG1465</f>
        <v>0</v>
      </c>
      <c r="IT20" s="57">
        <f>'REG y VAL POE - AESR - ESR'!AH1465</f>
        <v>0</v>
      </c>
      <c r="IU20" s="57">
        <f>'REG y VAL POE - AESR - ESR'!AI1465</f>
        <v>0</v>
      </c>
      <c r="IV20" s="57">
        <f>'REG y VAL POE - AESR - ESR'!AJ1465</f>
        <v>0</v>
      </c>
      <c r="IW20" s="57">
        <f>'REG y VAL POE - AESR - ESR'!AK1465</f>
        <v>0</v>
      </c>
      <c r="IX20" s="57">
        <f>'REG y VAL POE - AESR - ESR'!AL1465</f>
        <v>0</v>
      </c>
      <c r="IY20" s="57">
        <f>'REG y VAL POE - AESR - ESR'!AM1465</f>
        <v>0</v>
      </c>
      <c r="IZ20" s="57">
        <f>'REG y VAL POE - AESR - ESR'!AN1465</f>
        <v>0</v>
      </c>
      <c r="JA20" s="57">
        <f>'REG y VAL POE - AESR - ESR'!AO1465</f>
        <v>0</v>
      </c>
      <c r="JB20" s="57">
        <f>'REG y VAL POE - AESR - ESR'!AP1465</f>
        <v>0</v>
      </c>
      <c r="JC20" s="57">
        <f>'REG y VAL POE - AESR - ESR'!AQ1465</f>
        <v>0</v>
      </c>
      <c r="JD20" s="57">
        <f>'REG y VAL POE - AESR - ESR'!AR1465</f>
        <v>0</v>
      </c>
      <c r="JE20" s="57">
        <f>'REG y VAL POE - AESR - ESR'!AS1465</f>
        <v>0</v>
      </c>
      <c r="JF20" s="56">
        <f>'REG y VAL POE - AESR - ESR'!B1466</f>
        <v>0</v>
      </c>
      <c r="JG20" s="57">
        <f>'REG y VAL POE - AESR - ESR'!C1466</f>
        <v>0</v>
      </c>
      <c r="JH20" s="56">
        <f>'REG y VAL POE - AESR - ESR'!D1466</f>
        <v>0</v>
      </c>
      <c r="JI20" s="56">
        <f>'REG y VAL POE - AESR - ESR'!E1466</f>
        <v>0</v>
      </c>
      <c r="JJ20" s="57">
        <f>'REG y VAL POE - AESR - ESR'!F1466</f>
        <v>0</v>
      </c>
      <c r="JK20" s="390">
        <f>'REG y VAL POE - AESR - ESR'!G1466</f>
        <v>0</v>
      </c>
      <c r="JL20" s="390">
        <f>'REG y VAL POE - AESR - ESR'!H1466</f>
        <v>0</v>
      </c>
      <c r="JM20" s="57">
        <f>'REG y VAL POE - AESR - ESR'!I1466</f>
        <v>0</v>
      </c>
      <c r="JN20" s="57">
        <f>'REG y VAL POE - AESR - ESR'!J1466</f>
        <v>0</v>
      </c>
      <c r="JO20" s="57">
        <f>'REG y VAL POE - AESR - ESR'!K1466</f>
        <v>0</v>
      </c>
      <c r="JP20" s="57">
        <f>'REG y VAL POE - AESR - ESR'!L1466</f>
        <v>0</v>
      </c>
      <c r="JQ20" s="57">
        <f>'REG y VAL POE - AESR - ESR'!M1466</f>
        <v>0</v>
      </c>
      <c r="JR20" s="57">
        <f>'REG y VAL POE - AESR - ESR'!N1466</f>
        <v>0</v>
      </c>
      <c r="JS20" s="57">
        <f>'REG y VAL POE - AESR - ESR'!O1466</f>
        <v>0</v>
      </c>
      <c r="JT20" s="57">
        <f>'REG y VAL POE - AESR - ESR'!P1466</f>
        <v>0</v>
      </c>
      <c r="JU20" s="57">
        <f>'REG y VAL POE - AESR - ESR'!Q1466</f>
        <v>0</v>
      </c>
      <c r="JV20" s="57">
        <f>'REG y VAL POE - AESR - ESR'!R1466</f>
        <v>0</v>
      </c>
      <c r="JW20" s="57">
        <f>'REG y VAL POE - AESR - ESR'!S1466</f>
        <v>0</v>
      </c>
      <c r="JX20" s="57">
        <f>'REG y VAL POE - AESR - ESR'!T1466</f>
        <v>0</v>
      </c>
      <c r="JY20" s="57">
        <f>'REG y VAL POE - AESR - ESR'!U1466</f>
        <v>0</v>
      </c>
      <c r="JZ20" s="57">
        <f>'REG y VAL POE - AESR - ESR'!V1466</f>
        <v>0</v>
      </c>
      <c r="KA20" s="57">
        <f>'REG y VAL POE - AESR - ESR'!W1466</f>
        <v>0</v>
      </c>
      <c r="KB20" s="57">
        <f>'REG y VAL POE - AESR - ESR'!X1466</f>
        <v>0</v>
      </c>
      <c r="KC20" s="57">
        <f>'REG y VAL POE - AESR - ESR'!Y1466</f>
        <v>0</v>
      </c>
      <c r="KD20" s="57">
        <f>'REG y VAL POE - AESR - ESR'!Z1466</f>
        <v>0</v>
      </c>
      <c r="KE20" s="57">
        <f>'REG y VAL POE - AESR - ESR'!AA1466</f>
        <v>0</v>
      </c>
      <c r="KF20" s="57">
        <f>'REG y VAL POE - AESR - ESR'!AB1466</f>
        <v>0</v>
      </c>
      <c r="KG20" s="57">
        <f>'REG y VAL POE - AESR - ESR'!AC1466</f>
        <v>0</v>
      </c>
      <c r="KH20" s="57">
        <f>'REG y VAL POE - AESR - ESR'!AD1466</f>
        <v>0</v>
      </c>
      <c r="KI20" s="57">
        <f>'REG y VAL POE - AESR - ESR'!AE1466</f>
        <v>0</v>
      </c>
      <c r="KJ20" s="57">
        <f>'REG y VAL POE - AESR - ESR'!AF1466</f>
        <v>0</v>
      </c>
      <c r="KK20" s="57">
        <f>'REG y VAL POE - AESR - ESR'!AG1466</f>
        <v>0</v>
      </c>
      <c r="KL20" s="57">
        <f>'REG y VAL POE - AESR - ESR'!AH1466</f>
        <v>0</v>
      </c>
      <c r="KM20" s="57">
        <f>'REG y VAL POE - AESR - ESR'!AI1466</f>
        <v>0</v>
      </c>
      <c r="KN20" s="57">
        <f>'REG y VAL POE - AESR - ESR'!AJ1466</f>
        <v>0</v>
      </c>
      <c r="KO20" s="57">
        <f>'REG y VAL POE - AESR - ESR'!AK1466</f>
        <v>0</v>
      </c>
      <c r="KP20" s="57">
        <f>'REG y VAL POE - AESR - ESR'!AL1466</f>
        <v>0</v>
      </c>
      <c r="KQ20" s="57">
        <f>'REG y VAL POE - AESR - ESR'!AM1466</f>
        <v>0</v>
      </c>
      <c r="KR20" s="57">
        <f>'REG y VAL POE - AESR - ESR'!AN1466</f>
        <v>0</v>
      </c>
      <c r="KS20" s="57">
        <f>'REG y VAL POE - AESR - ESR'!AO1466</f>
        <v>0</v>
      </c>
      <c r="KT20" s="57">
        <f>'REG y VAL POE - AESR - ESR'!AP1466</f>
        <v>0</v>
      </c>
      <c r="KU20" s="57">
        <f>'REG y VAL POE - AESR - ESR'!AQ1466</f>
        <v>0</v>
      </c>
      <c r="KV20" s="57">
        <f>'REG y VAL POE - AESR - ESR'!AR1466</f>
        <v>0</v>
      </c>
      <c r="KW20" s="57">
        <f>'REG y VAL POE - AESR - ESR'!AS1466</f>
        <v>0</v>
      </c>
      <c r="KX20" s="57">
        <f>'REG y VAL POE - AESR - ESR'!B1467</f>
        <v>0</v>
      </c>
      <c r="KY20" s="57">
        <f>'REG y VAL POE - AESR - ESR'!C1467</f>
        <v>0</v>
      </c>
      <c r="KZ20" s="56">
        <f>'REG y VAL POE - AESR - ESR'!D1467</f>
        <v>0</v>
      </c>
      <c r="LA20" s="56">
        <f>'REG y VAL POE - AESR - ESR'!E1467</f>
        <v>0</v>
      </c>
      <c r="LB20" s="57">
        <f>'REG y VAL POE - AESR - ESR'!F1467</f>
        <v>0</v>
      </c>
      <c r="LC20" s="390">
        <f>'REG y VAL POE - AESR - ESR'!G1467</f>
        <v>0</v>
      </c>
      <c r="LD20" s="390">
        <f>'REG y VAL POE - AESR - ESR'!H1467</f>
        <v>0</v>
      </c>
      <c r="LE20" s="57">
        <f>'REG y VAL POE - AESR - ESR'!I1467</f>
        <v>0</v>
      </c>
      <c r="LF20" s="57">
        <f>'REG y VAL POE - AESR - ESR'!J1467</f>
        <v>0</v>
      </c>
      <c r="LG20" s="57">
        <f>'REG y VAL POE - AESR - ESR'!K1467</f>
        <v>0</v>
      </c>
      <c r="LH20" s="57">
        <f>'REG y VAL POE - AESR - ESR'!L1467</f>
        <v>0</v>
      </c>
      <c r="LI20" s="57">
        <f>'REG y VAL POE - AESR - ESR'!M1467</f>
        <v>0</v>
      </c>
      <c r="LJ20" s="57">
        <f>'REG y VAL POE - AESR - ESR'!N1467</f>
        <v>0</v>
      </c>
      <c r="LK20" s="57">
        <f>'REG y VAL POE - AESR - ESR'!O1467</f>
        <v>0</v>
      </c>
      <c r="LL20" s="57">
        <f>'REG y VAL POE - AESR - ESR'!P1467</f>
        <v>0</v>
      </c>
      <c r="LM20" s="57">
        <f>'REG y VAL POE - AESR - ESR'!Q1467</f>
        <v>0</v>
      </c>
      <c r="LN20" s="57">
        <f>'REG y VAL POE - AESR - ESR'!R1467</f>
        <v>0</v>
      </c>
      <c r="LO20" s="57">
        <f>'REG y VAL POE - AESR - ESR'!S1467</f>
        <v>0</v>
      </c>
      <c r="LP20" s="57">
        <f>'REG y VAL POE - AESR - ESR'!T1467</f>
        <v>0</v>
      </c>
      <c r="LQ20" s="57">
        <f>'REG y VAL POE - AESR - ESR'!U1467</f>
        <v>0</v>
      </c>
      <c r="LR20" s="57">
        <f>'REG y VAL POE - AESR - ESR'!V1467</f>
        <v>0</v>
      </c>
      <c r="LS20" s="57">
        <f>'REG y VAL POE - AESR - ESR'!W1467</f>
        <v>0</v>
      </c>
      <c r="LT20" s="57">
        <f>'REG y VAL POE - AESR - ESR'!X1467</f>
        <v>0</v>
      </c>
      <c r="LU20" s="57">
        <f>'REG y VAL POE - AESR - ESR'!Y1467</f>
        <v>0</v>
      </c>
      <c r="LV20" s="57">
        <f>'REG y VAL POE - AESR - ESR'!Z1467</f>
        <v>0</v>
      </c>
      <c r="LW20" s="57">
        <f>'REG y VAL POE - AESR - ESR'!AA1467</f>
        <v>0</v>
      </c>
      <c r="LX20" s="57">
        <f>'REG y VAL POE - AESR - ESR'!AB1467</f>
        <v>0</v>
      </c>
      <c r="LY20" s="57">
        <f>'REG y VAL POE - AESR - ESR'!AC1467</f>
        <v>0</v>
      </c>
      <c r="LZ20" s="57">
        <f>'REG y VAL POE - AESR - ESR'!AD1467</f>
        <v>0</v>
      </c>
      <c r="MA20" s="57">
        <f>'REG y VAL POE - AESR - ESR'!AE1467</f>
        <v>0</v>
      </c>
      <c r="MB20" s="57">
        <f>'REG y VAL POE - AESR - ESR'!AF1467</f>
        <v>0</v>
      </c>
      <c r="MC20" s="57">
        <f>'REG y VAL POE - AESR - ESR'!AG1467</f>
        <v>0</v>
      </c>
      <c r="MD20" s="57">
        <f>'REG y VAL POE - AESR - ESR'!AH1467</f>
        <v>0</v>
      </c>
      <c r="ME20" s="57">
        <f>'REG y VAL POE - AESR - ESR'!AI1467</f>
        <v>0</v>
      </c>
      <c r="MF20" s="57">
        <f>'REG y VAL POE - AESR - ESR'!AJ1467</f>
        <v>0</v>
      </c>
      <c r="MG20" s="57">
        <f>'REG y VAL POE - AESR - ESR'!AK1467</f>
        <v>0</v>
      </c>
      <c r="MH20" s="57">
        <f>'REG y VAL POE - AESR - ESR'!AL1467</f>
        <v>0</v>
      </c>
      <c r="MI20" s="57">
        <f>'REG y VAL POE - AESR - ESR'!AM1467</f>
        <v>0</v>
      </c>
      <c r="MJ20" s="57">
        <f>'REG y VAL POE - AESR - ESR'!AN1467</f>
        <v>0</v>
      </c>
      <c r="MK20" s="57">
        <f>'REG y VAL POE - AESR - ESR'!AO1467</f>
        <v>0</v>
      </c>
      <c r="ML20" s="57">
        <f>'REG y VAL POE - AESR - ESR'!AP1467</f>
        <v>0</v>
      </c>
      <c r="MM20" s="57">
        <f>'REG y VAL POE - AESR - ESR'!AQ1467</f>
        <v>0</v>
      </c>
      <c r="MN20" s="57">
        <f>'REG y VAL POE - AESR - ESR'!AR1467</f>
        <v>0</v>
      </c>
      <c r="MO20" s="57">
        <f>'REG y VAL POE - AESR - ESR'!AS1467</f>
        <v>0</v>
      </c>
      <c r="MP20" s="57">
        <f>'REG y VAL POE - AESR - ESR'!B1468</f>
        <v>0</v>
      </c>
      <c r="MQ20" s="57">
        <f>'REG y VAL POE - AESR - ESR'!C1468</f>
        <v>0</v>
      </c>
      <c r="MR20" s="56">
        <f>'REG y VAL POE - AESR - ESR'!D1468</f>
        <v>0</v>
      </c>
      <c r="MS20" s="56">
        <f>'REG y VAL POE - AESR - ESR'!E1468</f>
        <v>0</v>
      </c>
      <c r="MT20" s="57">
        <f>'REG y VAL POE - AESR - ESR'!F1468</f>
        <v>0</v>
      </c>
      <c r="MU20" s="390">
        <f>'REG y VAL POE - AESR - ESR'!G1468</f>
        <v>0</v>
      </c>
      <c r="MV20" s="390">
        <f>'REG y VAL POE - AESR - ESR'!H1468</f>
        <v>0</v>
      </c>
      <c r="MW20" s="57">
        <f>'REG y VAL POE - AESR - ESR'!I1468</f>
        <v>0</v>
      </c>
      <c r="MX20" s="57">
        <f>'REG y VAL POE - AESR - ESR'!J1468</f>
        <v>0</v>
      </c>
      <c r="MY20" s="57">
        <f>'REG y VAL POE - AESR - ESR'!K1468</f>
        <v>0</v>
      </c>
      <c r="MZ20" s="57">
        <f>'REG y VAL POE - AESR - ESR'!L1468</f>
        <v>0</v>
      </c>
      <c r="NA20" s="57">
        <f>'REG y VAL POE - AESR - ESR'!M1468</f>
        <v>0</v>
      </c>
      <c r="NB20" s="57">
        <f>'REG y VAL POE - AESR - ESR'!N1468</f>
        <v>0</v>
      </c>
      <c r="NC20" s="57">
        <f>'REG y VAL POE - AESR - ESR'!O1468</f>
        <v>0</v>
      </c>
      <c r="ND20" s="57">
        <f>'REG y VAL POE - AESR - ESR'!P1468</f>
        <v>0</v>
      </c>
      <c r="NE20" s="57">
        <f>'REG y VAL POE - AESR - ESR'!Q1468</f>
        <v>0</v>
      </c>
      <c r="NF20" s="57">
        <f>'REG y VAL POE - AESR - ESR'!R1468</f>
        <v>0</v>
      </c>
      <c r="NG20" s="57">
        <f>'REG y VAL POE - AESR - ESR'!S1468</f>
        <v>0</v>
      </c>
      <c r="NH20" s="57">
        <f>'REG y VAL POE - AESR - ESR'!T1468</f>
        <v>0</v>
      </c>
      <c r="NI20" s="57">
        <f>'REG y VAL POE - AESR - ESR'!U1468</f>
        <v>0</v>
      </c>
      <c r="NJ20" s="57">
        <f>'REG y VAL POE - AESR - ESR'!V1468</f>
        <v>0</v>
      </c>
      <c r="NK20" s="57">
        <f>'REG y VAL POE - AESR - ESR'!W1468</f>
        <v>0</v>
      </c>
      <c r="NL20" s="57">
        <f>'REG y VAL POE - AESR - ESR'!X1468</f>
        <v>0</v>
      </c>
      <c r="NM20" s="57">
        <f>'REG y VAL POE - AESR - ESR'!Y1468</f>
        <v>0</v>
      </c>
      <c r="NN20" s="57">
        <f>'REG y VAL POE - AESR - ESR'!Z1468</f>
        <v>0</v>
      </c>
      <c r="NO20" s="57">
        <f>'REG y VAL POE - AESR - ESR'!AA1468</f>
        <v>0</v>
      </c>
      <c r="NP20" s="57">
        <f>'REG y VAL POE - AESR - ESR'!AB1468</f>
        <v>0</v>
      </c>
      <c r="NQ20" s="57">
        <f>'REG y VAL POE - AESR - ESR'!AC1468</f>
        <v>0</v>
      </c>
      <c r="NR20" s="57">
        <f>'REG y VAL POE - AESR - ESR'!AD1468</f>
        <v>0</v>
      </c>
      <c r="NS20" s="57">
        <f>'REG y VAL POE - AESR - ESR'!AE1468</f>
        <v>0</v>
      </c>
      <c r="NT20" s="57">
        <f>'REG y VAL POE - AESR - ESR'!AF1468</f>
        <v>0</v>
      </c>
      <c r="NU20" s="57">
        <f>'REG y VAL POE - AESR - ESR'!AG1468</f>
        <v>0</v>
      </c>
      <c r="NV20" s="57">
        <f>'REG y VAL POE - AESR - ESR'!AH1468</f>
        <v>0</v>
      </c>
      <c r="NW20" s="57">
        <f>'REG y VAL POE - AESR - ESR'!AI1468</f>
        <v>0</v>
      </c>
      <c r="NX20" s="57">
        <f>'REG y VAL POE - AESR - ESR'!AJ1468</f>
        <v>0</v>
      </c>
      <c r="NY20" s="57">
        <f>'REG y VAL POE - AESR - ESR'!AK1468</f>
        <v>0</v>
      </c>
      <c r="NZ20" s="57">
        <f>'REG y VAL POE - AESR - ESR'!AL1468</f>
        <v>0</v>
      </c>
      <c r="OA20" s="57">
        <f>'REG y VAL POE - AESR - ESR'!AM1468</f>
        <v>0</v>
      </c>
      <c r="OB20" s="57">
        <f>'REG y VAL POE - AESR - ESR'!AN1468</f>
        <v>0</v>
      </c>
      <c r="OC20" s="57">
        <f>'REG y VAL POE - AESR - ESR'!AO1468</f>
        <v>0</v>
      </c>
      <c r="OD20" s="57">
        <f>'REG y VAL POE - AESR - ESR'!AP1468</f>
        <v>0</v>
      </c>
      <c r="OE20" s="57">
        <f>'REG y VAL POE - AESR - ESR'!AQ1468</f>
        <v>0</v>
      </c>
      <c r="OF20" s="57">
        <f>'REG y VAL POE - AESR - ESR'!AR1468</f>
        <v>0</v>
      </c>
      <c r="OG20" s="57">
        <f>'REG y VAL POE - AESR - ESR'!AS1468</f>
        <v>0</v>
      </c>
      <c r="OH20" s="58">
        <f>'REG y VAL POE - AESR - ESR'!B1469</f>
        <v>0</v>
      </c>
      <c r="OI20" s="56">
        <f>'REG y VAL POE - AESR - ESR'!C1469</f>
        <v>0</v>
      </c>
      <c r="OJ20" s="56">
        <f>'REG y VAL POE - AESR - ESR'!D1469</f>
        <v>0</v>
      </c>
      <c r="OK20" s="56">
        <f>'REG y VAL POE - AESR - ESR'!E1469</f>
        <v>0</v>
      </c>
      <c r="OL20" s="57">
        <f>'REG y VAL POE - AESR - ESR'!F1469</f>
        <v>0</v>
      </c>
      <c r="OM20" s="390">
        <f>'REG y VAL POE - AESR - ESR'!G1469</f>
        <v>0</v>
      </c>
      <c r="ON20" s="390">
        <f>'REG y VAL POE - AESR - ESR'!H1469</f>
        <v>0</v>
      </c>
      <c r="OO20" s="57">
        <f>'REG y VAL POE - AESR - ESR'!I1469</f>
        <v>0</v>
      </c>
      <c r="OP20" s="57">
        <f>'REG y VAL POE - AESR - ESR'!J1469</f>
        <v>0</v>
      </c>
      <c r="OQ20" s="57">
        <f>'REG y VAL POE - AESR - ESR'!K1469</f>
        <v>0</v>
      </c>
      <c r="OR20" s="57">
        <f>'REG y VAL POE - AESR - ESR'!L1469</f>
        <v>0</v>
      </c>
      <c r="OS20" s="57">
        <f>'REG y VAL POE - AESR - ESR'!M1469</f>
        <v>0</v>
      </c>
      <c r="OT20" s="57">
        <f>'REG y VAL POE - AESR - ESR'!N1469</f>
        <v>0</v>
      </c>
      <c r="OU20" s="57">
        <f>'REG y VAL POE - AESR - ESR'!O1469</f>
        <v>0</v>
      </c>
      <c r="OV20" s="57">
        <f>'REG y VAL POE - AESR - ESR'!P1469</f>
        <v>0</v>
      </c>
      <c r="OW20" s="57">
        <f>'REG y VAL POE - AESR - ESR'!Q1469</f>
        <v>0</v>
      </c>
      <c r="OX20" s="57">
        <f>'REG y VAL POE - AESR - ESR'!R1469</f>
        <v>0</v>
      </c>
      <c r="OY20" s="57">
        <f>'REG y VAL POE - AESR - ESR'!S1469</f>
        <v>0</v>
      </c>
      <c r="OZ20" s="57">
        <f>'REG y VAL POE - AESR - ESR'!T1469</f>
        <v>0</v>
      </c>
      <c r="PA20" s="57">
        <f>'REG y VAL POE - AESR - ESR'!U1469</f>
        <v>0</v>
      </c>
      <c r="PB20" s="57">
        <f>'REG y VAL POE - AESR - ESR'!V1469</f>
        <v>0</v>
      </c>
      <c r="PC20" s="57">
        <f>'REG y VAL POE - AESR - ESR'!W1469</f>
        <v>0</v>
      </c>
      <c r="PD20" s="57">
        <f>'REG y VAL POE - AESR - ESR'!X1469</f>
        <v>0</v>
      </c>
      <c r="PE20" s="57">
        <f>'REG y VAL POE - AESR - ESR'!Y1469</f>
        <v>0</v>
      </c>
      <c r="PF20" s="57">
        <f>'REG y VAL POE - AESR - ESR'!Z1469</f>
        <v>0</v>
      </c>
      <c r="PG20" s="57">
        <f>'REG y VAL POE - AESR - ESR'!AA1469</f>
        <v>0</v>
      </c>
      <c r="PH20" s="57">
        <f>'REG y VAL POE - AESR - ESR'!AB1469</f>
        <v>0</v>
      </c>
      <c r="PI20" s="57">
        <f>'REG y VAL POE - AESR - ESR'!AC1469</f>
        <v>0</v>
      </c>
      <c r="PJ20" s="57">
        <f>'REG y VAL POE - AESR - ESR'!AD1469</f>
        <v>0</v>
      </c>
      <c r="PK20" s="57">
        <f>'REG y VAL POE - AESR - ESR'!AE1469</f>
        <v>0</v>
      </c>
      <c r="PL20" s="57">
        <f>'REG y VAL POE - AESR - ESR'!AF1469</f>
        <v>0</v>
      </c>
      <c r="PM20" s="57">
        <f>'REG y VAL POE - AESR - ESR'!AG1469</f>
        <v>0</v>
      </c>
      <c r="PN20" s="57">
        <f>'REG y VAL POE - AESR - ESR'!AH1469</f>
        <v>0</v>
      </c>
      <c r="PO20" s="57">
        <f>'REG y VAL POE - AESR - ESR'!AI1469</f>
        <v>0</v>
      </c>
      <c r="PP20" s="57">
        <f>'REG y VAL POE - AESR - ESR'!AJ1469</f>
        <v>0</v>
      </c>
      <c r="PQ20" s="57">
        <f>'REG y VAL POE - AESR - ESR'!AK1469</f>
        <v>0</v>
      </c>
      <c r="PR20" s="57">
        <f>'REG y VAL POE - AESR - ESR'!AL1469</f>
        <v>0</v>
      </c>
      <c r="PS20" s="57">
        <f>'REG y VAL POE - AESR - ESR'!AM1469</f>
        <v>0</v>
      </c>
      <c r="PT20" s="57">
        <f>'REG y VAL POE - AESR - ESR'!AN1469</f>
        <v>0</v>
      </c>
      <c r="PU20" s="57">
        <f>'REG y VAL POE - AESR - ESR'!AO1469</f>
        <v>0</v>
      </c>
      <c r="PV20" s="57">
        <f>'REG y VAL POE - AESR - ESR'!AP1469</f>
        <v>0</v>
      </c>
      <c r="PW20" s="57">
        <f>'REG y VAL POE - AESR - ESR'!AQ1469</f>
        <v>0</v>
      </c>
      <c r="PX20" s="57">
        <f>'REG y VAL POE - AESR - ESR'!AR1469</f>
        <v>0</v>
      </c>
      <c r="PY20" s="57">
        <f>'REG y VAL POE - AESR - ESR'!AS1469</f>
        <v>0</v>
      </c>
      <c r="PZ20" s="57"/>
      <c r="QA20" s="56"/>
      <c r="QB20" s="56"/>
      <c r="QC20" s="56"/>
      <c r="QD20" s="57"/>
      <c r="QE20" s="390"/>
      <c r="QF20" s="390"/>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6"/>
      <c r="RS20" s="57"/>
      <c r="RT20" s="56"/>
      <c r="RU20" s="56"/>
      <c r="RV20" s="57"/>
      <c r="RW20" s="390"/>
      <c r="RX20" s="390"/>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6"/>
      <c r="TM20" s="56"/>
      <c r="TN20" s="57"/>
      <c r="TO20" s="390"/>
      <c r="TP20" s="390"/>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6"/>
      <c r="VE20" s="57"/>
      <c r="VF20" s="58"/>
      <c r="VG20" s="59"/>
      <c r="VH20" s="390"/>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8"/>
      <c r="WU20" s="56"/>
      <c r="WV20" s="56"/>
      <c r="WW20" s="56"/>
      <c r="WX20" s="57"/>
      <c r="WY20" s="390"/>
      <c r="WZ20" s="390"/>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6"/>
      <c r="YN20" s="56"/>
      <c r="YO20" s="56"/>
      <c r="YP20" s="57"/>
      <c r="YQ20" s="390"/>
      <c r="YR20" s="390"/>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6"/>
      <c r="AAE20" s="57"/>
      <c r="AAF20" s="56"/>
      <c r="AAG20" s="56"/>
      <c r="AAH20" s="57"/>
      <c r="AAI20" s="390"/>
      <c r="AAJ20" s="390"/>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6"/>
      <c r="ABY20" s="56"/>
      <c r="ABZ20" s="57"/>
      <c r="ACA20" s="390"/>
      <c r="ACB20" s="390"/>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6"/>
      <c r="ADQ20" s="56"/>
      <c r="ADR20" s="57"/>
      <c r="ADS20" s="390"/>
      <c r="ADT20" s="390"/>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8"/>
      <c r="AFG20" s="56"/>
      <c r="AFH20" s="56"/>
      <c r="AFI20" s="56"/>
      <c r="AFJ20" s="57"/>
      <c r="AFK20" s="390"/>
      <c r="AFL20" s="390"/>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6"/>
      <c r="AGZ20" s="56"/>
      <c r="AHA20" s="56"/>
      <c r="AHB20" s="57"/>
      <c r="AHC20" s="390"/>
      <c r="AHD20" s="390"/>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6"/>
      <c r="AIQ20" s="57"/>
      <c r="AIR20" s="56"/>
      <c r="AIS20" s="56"/>
      <c r="AIT20" s="57"/>
      <c r="AIU20" s="390"/>
      <c r="AIV20" s="390"/>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6"/>
      <c r="AKK20" s="56"/>
      <c r="AKL20" s="57"/>
      <c r="AKM20" s="390"/>
      <c r="AKN20" s="390"/>
      <c r="AKO20" s="57"/>
      <c r="AKP20" s="57"/>
      <c r="AKQ20" s="57"/>
      <c r="AKR20" s="57"/>
      <c r="AKS20" s="57"/>
      <c r="AKT20" s="57"/>
      <c r="AKU20" s="57"/>
      <c r="AKV20" s="57"/>
      <c r="AKW20" s="57"/>
      <c r="AKX20" s="57"/>
      <c r="AKY20" s="57"/>
      <c r="AKZ20" s="57"/>
      <c r="ALA20" s="57"/>
      <c r="ALB20" s="57"/>
      <c r="ALC20" s="57"/>
      <c r="ALD20" s="57"/>
      <c r="ALE20" s="57"/>
      <c r="ALF20" s="57"/>
      <c r="ALG20" s="57"/>
      <c r="ALH20" s="57"/>
      <c r="ALI20" s="57"/>
      <c r="ALJ20" s="57"/>
      <c r="ALK20" s="57"/>
      <c r="ALL20" s="57"/>
      <c r="ALM20" s="57"/>
      <c r="ALN20" s="57"/>
      <c r="ALO20" s="57"/>
      <c r="ALP20" s="57"/>
      <c r="ALQ20" s="57"/>
      <c r="ALR20" s="57"/>
      <c r="ALS20" s="57"/>
      <c r="ALT20" s="57"/>
      <c r="ALU20" s="57"/>
      <c r="ALV20" s="57"/>
      <c r="ALW20" s="57"/>
      <c r="ALX20" s="57"/>
      <c r="ALY20" s="57"/>
      <c r="ALZ20" s="58"/>
      <c r="AMA20" s="56"/>
      <c r="AMB20" s="56"/>
      <c r="AMC20" s="56"/>
      <c r="AMD20" s="57"/>
      <c r="AME20" s="390"/>
      <c r="AMF20" s="390"/>
      <c r="AMG20" s="57"/>
      <c r="AMH20" s="57"/>
      <c r="AMI20" s="57"/>
      <c r="AMJ20" s="57"/>
      <c r="AMK20" s="57"/>
      <c r="AML20" s="57"/>
      <c r="AMM20" s="57"/>
      <c r="AMN20" s="57"/>
      <c r="AMO20" s="57"/>
      <c r="AMP20" s="57"/>
      <c r="AMQ20" s="57"/>
      <c r="AMR20" s="57"/>
      <c r="AMS20" s="57"/>
      <c r="AMT20" s="57"/>
      <c r="AMU20" s="57"/>
      <c r="AMV20" s="57"/>
      <c r="AMW20" s="57"/>
      <c r="AMX20" s="57"/>
      <c r="AMY20" s="57"/>
      <c r="AMZ20" s="57"/>
      <c r="ANA20" s="57"/>
      <c r="ANB20" s="57"/>
      <c r="ANC20" s="57"/>
      <c r="AND20" s="57"/>
      <c r="ANE20" s="57"/>
      <c r="ANF20" s="57"/>
      <c r="ANG20" s="57"/>
      <c r="ANH20" s="57"/>
      <c r="ANI20" s="57"/>
      <c r="ANJ20" s="57"/>
      <c r="ANK20" s="57"/>
      <c r="ANL20" s="57"/>
      <c r="ANM20" s="57"/>
      <c r="ANN20" s="57"/>
      <c r="ANO20" s="57"/>
      <c r="ANP20" s="57"/>
      <c r="ANQ20" s="57"/>
      <c r="ANR20" s="57"/>
      <c r="ANS20" s="57"/>
      <c r="ANT20" s="56"/>
      <c r="ANU20" s="56"/>
      <c r="ANV20" s="57"/>
      <c r="ANW20" s="390"/>
      <c r="ANX20" s="390"/>
      <c r="ANY20" s="57"/>
      <c r="ANZ20" s="57"/>
      <c r="AOA20" s="57"/>
      <c r="AOB20" s="57"/>
      <c r="AOC20" s="57"/>
      <c r="AOD20" s="57"/>
      <c r="AOE20" s="57"/>
      <c r="AOF20" s="57"/>
      <c r="AOG20" s="57"/>
      <c r="AOH20" s="57"/>
      <c r="AOI20" s="57"/>
      <c r="AOJ20" s="57"/>
      <c r="AOK20" s="57"/>
      <c r="AOL20" s="57"/>
      <c r="AOM20" s="57"/>
      <c r="AON20" s="57"/>
      <c r="AOO20" s="57"/>
      <c r="AOP20" s="57"/>
      <c r="AOQ20" s="57"/>
      <c r="AOR20" s="57"/>
      <c r="AOS20" s="57"/>
      <c r="AOT20" s="57"/>
      <c r="AOU20" s="57"/>
      <c r="AOV20" s="57"/>
      <c r="AOW20" s="57"/>
      <c r="AOX20" s="57"/>
      <c r="AOY20" s="57"/>
      <c r="AOZ20" s="57"/>
      <c r="APA20" s="57"/>
      <c r="APB20" s="57"/>
      <c r="APC20" s="57"/>
      <c r="APD20" s="57"/>
      <c r="APE20" s="57"/>
      <c r="APF20" s="57"/>
      <c r="APG20" s="57"/>
      <c r="APH20" s="57"/>
      <c r="API20" s="57"/>
      <c r="APJ20" s="57"/>
      <c r="APK20" s="56"/>
      <c r="APL20" s="56"/>
      <c r="APM20" s="56"/>
      <c r="APN20" s="57"/>
      <c r="APO20" s="390"/>
      <c r="APP20" s="390"/>
      <c r="APQ20" s="57"/>
      <c r="APR20" s="57"/>
      <c r="APS20" s="57"/>
      <c r="APT20" s="57"/>
      <c r="APU20" s="57"/>
      <c r="APV20" s="57"/>
      <c r="APW20" s="57"/>
      <c r="APX20" s="57"/>
      <c r="APY20" s="57"/>
      <c r="APZ20" s="57"/>
      <c r="AQA20" s="57"/>
      <c r="AQB20" s="57"/>
      <c r="AQC20" s="57"/>
      <c r="AQD20" s="57"/>
      <c r="AQE20" s="57"/>
      <c r="AQF20" s="57"/>
      <c r="AQG20" s="57"/>
      <c r="AQH20" s="57"/>
      <c r="AQI20" s="57"/>
      <c r="AQJ20" s="57"/>
      <c r="AQK20" s="57"/>
      <c r="AQL20" s="57"/>
      <c r="AQM20" s="57"/>
      <c r="AQN20" s="57"/>
      <c r="AQO20" s="57"/>
      <c r="AQP20" s="57"/>
      <c r="AQQ20" s="57"/>
      <c r="AQR20" s="57"/>
      <c r="AQS20" s="57"/>
      <c r="AQT20" s="57"/>
      <c r="AQU20" s="57"/>
      <c r="AQV20" s="57"/>
      <c r="AQW20" s="57"/>
      <c r="AQX20" s="57"/>
      <c r="AQY20" s="57"/>
      <c r="AQZ20" s="57"/>
      <c r="ARA20" s="57"/>
      <c r="ARB20" s="57"/>
      <c r="ARC20" s="57"/>
      <c r="ARD20" s="56"/>
      <c r="ARE20" s="56"/>
      <c r="ARF20" s="57"/>
      <c r="ARG20" s="390"/>
      <c r="ARH20" s="390"/>
      <c r="ARI20" s="57"/>
      <c r="ARJ20" s="57"/>
      <c r="ARK20" s="57"/>
      <c r="ARL20" s="57"/>
      <c r="ARM20" s="57"/>
      <c r="ARN20" s="57"/>
      <c r="ARO20" s="57"/>
      <c r="ARP20" s="57"/>
      <c r="ARQ20" s="57"/>
      <c r="ARR20" s="57"/>
      <c r="ARS20" s="57"/>
      <c r="ART20" s="57"/>
      <c r="ARU20" s="57"/>
      <c r="ARV20" s="57"/>
      <c r="ARW20" s="57"/>
      <c r="ARX20" s="57"/>
      <c r="ARY20" s="57"/>
      <c r="ARZ20" s="57"/>
      <c r="ASA20" s="57"/>
      <c r="ASB20" s="57"/>
      <c r="ASC20" s="57"/>
      <c r="ASD20" s="57"/>
      <c r="ASE20" s="57"/>
      <c r="ASF20" s="57"/>
      <c r="ASG20" s="57"/>
      <c r="ASH20" s="57"/>
      <c r="ASI20" s="57"/>
      <c r="ASJ20" s="57"/>
      <c r="ASK20" s="57"/>
      <c r="ASL20" s="57"/>
      <c r="ASM20" s="57"/>
      <c r="ASN20" s="57"/>
      <c r="ASO20" s="57"/>
      <c r="ASP20" s="57"/>
      <c r="ASQ20" s="57"/>
      <c r="ASR20" s="57"/>
      <c r="ASS20" s="57"/>
      <c r="AST20" s="57"/>
      <c r="ASU20" s="56"/>
      <c r="ASV20" s="56"/>
      <c r="ASW20" s="56"/>
      <c r="ASX20" s="57"/>
      <c r="ASY20" s="390"/>
      <c r="ASZ20" s="390"/>
      <c r="ATA20" s="57"/>
      <c r="ATB20" s="57"/>
      <c r="ATC20" s="57"/>
      <c r="ATD20" s="57"/>
      <c r="ATE20" s="57"/>
      <c r="ATF20" s="57"/>
      <c r="ATG20" s="57"/>
      <c r="ATH20" s="57"/>
      <c r="ATI20" s="57"/>
      <c r="ATJ20" s="57"/>
      <c r="ATK20" s="57"/>
      <c r="ATL20" s="57"/>
      <c r="ATM20" s="57"/>
      <c r="ATN20" s="57"/>
      <c r="ATO20" s="57"/>
      <c r="ATP20" s="57"/>
      <c r="ATQ20" s="57"/>
      <c r="ATR20" s="57"/>
      <c r="ATS20" s="57"/>
      <c r="ATT20" s="57"/>
      <c r="ATU20" s="57"/>
      <c r="ATV20" s="57"/>
      <c r="ATW20" s="57"/>
      <c r="ATX20" s="57"/>
      <c r="ATY20" s="57"/>
      <c r="ATZ20" s="57"/>
      <c r="AUA20" s="57"/>
      <c r="AUB20" s="57"/>
      <c r="AUC20" s="57"/>
      <c r="AUD20" s="57"/>
      <c r="AUE20" s="57"/>
      <c r="AUF20" s="57"/>
      <c r="AUG20" s="57"/>
      <c r="AUH20" s="57"/>
      <c r="AUI20" s="57"/>
      <c r="AUJ20" s="57"/>
      <c r="AUK20" s="57"/>
      <c r="AUL20" s="57"/>
      <c r="AUM20" s="57"/>
      <c r="AUN20" s="56"/>
      <c r="AUO20" s="56"/>
      <c r="AUP20" s="57"/>
      <c r="AUQ20" s="390"/>
      <c r="AUR20" s="390"/>
      <c r="AUS20" s="57"/>
      <c r="AUT20" s="57"/>
      <c r="AUU20" s="57"/>
      <c r="AUV20" s="57"/>
      <c r="AUW20" s="57"/>
      <c r="AUX20" s="57"/>
      <c r="AUY20" s="57"/>
      <c r="AUZ20" s="57"/>
      <c r="AVA20" s="57"/>
      <c r="AVB20" s="57"/>
      <c r="AVC20" s="57"/>
      <c r="AVD20" s="57"/>
      <c r="AVE20" s="57"/>
      <c r="AVF20" s="57"/>
      <c r="AVG20" s="57"/>
      <c r="AVH20" s="57"/>
      <c r="AVI20" s="57"/>
      <c r="AVJ20" s="57"/>
      <c r="AVK20" s="57"/>
      <c r="AVL20" s="57"/>
      <c r="AVM20" s="57"/>
      <c r="AVN20" s="57"/>
      <c r="AVO20" s="57"/>
      <c r="AVP20" s="57"/>
      <c r="AVQ20" s="57"/>
      <c r="AVR20" s="57"/>
      <c r="AVS20" s="57"/>
      <c r="AVT20" s="57"/>
      <c r="AVU20" s="57"/>
      <c r="AVV20" s="57"/>
      <c r="AVW20" s="57"/>
      <c r="AVX20" s="57"/>
      <c r="AVY20" s="57"/>
      <c r="AVZ20" s="57"/>
      <c r="AWA20" s="57"/>
      <c r="AWB20" s="57"/>
      <c r="AWC20" s="57"/>
      <c r="AWD20" s="57"/>
      <c r="AWE20" s="57"/>
      <c r="AWF20" s="56"/>
      <c r="AWG20" s="56"/>
      <c r="AWH20" s="57"/>
      <c r="AWI20" s="390"/>
      <c r="AWJ20" s="390"/>
      <c r="AWK20" s="57"/>
      <c r="AWL20" s="57"/>
      <c r="AWM20" s="57"/>
      <c r="AWN20" s="57"/>
      <c r="AWO20" s="57"/>
      <c r="AWP20" s="57"/>
      <c r="AWQ20" s="57"/>
      <c r="AWR20" s="57"/>
      <c r="AWS20" s="57"/>
      <c r="AWT20" s="57"/>
      <c r="AWU20" s="57"/>
      <c r="AWV20" s="57"/>
      <c r="AWW20" s="57"/>
      <c r="AWX20" s="57"/>
      <c r="AWY20" s="57"/>
      <c r="AWZ20" s="57"/>
      <c r="AXA20" s="57"/>
      <c r="AXB20" s="57"/>
      <c r="AXC20" s="57"/>
      <c r="AXD20" s="57"/>
      <c r="AXE20" s="57"/>
      <c r="AXF20" s="57"/>
      <c r="AXG20" s="57"/>
      <c r="AXH20" s="57"/>
      <c r="AXI20" s="57"/>
      <c r="AXJ20" s="57"/>
      <c r="AXK20" s="57"/>
      <c r="AXL20" s="57"/>
      <c r="AXM20" s="57"/>
      <c r="AXN20" s="57"/>
      <c r="AXO20" s="57"/>
      <c r="AXP20" s="57"/>
      <c r="AXQ20" s="57"/>
      <c r="AXR20" s="57"/>
      <c r="AXS20" s="57"/>
      <c r="AXT20" s="57"/>
      <c r="AXU20" s="57"/>
      <c r="AXV20" s="57"/>
      <c r="AXW20" s="57"/>
      <c r="AXX20" s="56"/>
      <c r="AXY20" s="56"/>
      <c r="AXZ20" s="57"/>
      <c r="AYA20" s="390"/>
      <c r="AYB20" s="390"/>
      <c r="AYC20" s="57"/>
      <c r="AYD20" s="57"/>
      <c r="AYE20" s="57"/>
      <c r="AYF20" s="57"/>
      <c r="AYG20" s="57"/>
      <c r="AYH20" s="57"/>
      <c r="AYI20" s="57"/>
      <c r="AYJ20" s="57"/>
      <c r="AYK20" s="57"/>
      <c r="AYL20" s="57"/>
      <c r="AYM20" s="57"/>
      <c r="AYN20" s="57"/>
      <c r="AYO20" s="57"/>
      <c r="AYP20" s="57"/>
      <c r="AYQ20" s="57"/>
      <c r="AYR20" s="57"/>
      <c r="AYS20" s="57"/>
      <c r="AYT20" s="57"/>
      <c r="AYU20" s="57"/>
      <c r="AYV20" s="57"/>
      <c r="AYW20" s="57"/>
      <c r="AYX20" s="57"/>
      <c r="AYY20" s="57"/>
      <c r="AYZ20" s="57"/>
      <c r="AZA20" s="57"/>
      <c r="AZB20" s="57"/>
      <c r="AZC20" s="57"/>
      <c r="AZD20" s="57"/>
      <c r="AZE20" s="57"/>
      <c r="AZF20" s="57"/>
      <c r="AZG20" s="57"/>
      <c r="AZH20" s="57"/>
      <c r="AZI20" s="57"/>
      <c r="AZJ20" s="57"/>
      <c r="AZK20" s="57"/>
      <c r="AZL20" s="57"/>
      <c r="AZM20" s="57"/>
      <c r="AZN20" s="57"/>
      <c r="AZO20" s="57"/>
      <c r="AZP20" s="56"/>
      <c r="AZQ20" s="56"/>
      <c r="AZR20" s="57"/>
      <c r="AZS20" s="390"/>
      <c r="AZT20" s="390"/>
      <c r="AZU20" s="57"/>
      <c r="AZV20" s="57"/>
      <c r="AZW20" s="57"/>
      <c r="AZX20" s="57"/>
      <c r="AZY20" s="57"/>
      <c r="AZZ20" s="57"/>
      <c r="BAA20" s="57"/>
      <c r="BAB20" s="57"/>
      <c r="BAC20" s="57"/>
      <c r="BAD20" s="57"/>
      <c r="BAE20" s="57"/>
      <c r="BAF20" s="57"/>
      <c r="BAG20" s="57"/>
      <c r="BAH20" s="57"/>
      <c r="BAI20" s="57"/>
      <c r="BAJ20" s="57"/>
      <c r="BAK20" s="57"/>
      <c r="BAL20" s="57"/>
      <c r="BAM20" s="57"/>
      <c r="BAN20" s="57"/>
      <c r="BAO20" s="57"/>
      <c r="BAP20" s="57"/>
      <c r="BAQ20" s="57"/>
      <c r="BAR20" s="57"/>
      <c r="BAS20" s="57"/>
      <c r="BAT20" s="57"/>
      <c r="BAU20" s="57"/>
      <c r="BAV20" s="57"/>
      <c r="BAW20" s="57"/>
      <c r="BAX20" s="57"/>
      <c r="BAY20" s="57"/>
      <c r="BAZ20" s="57"/>
      <c r="BBA20" s="57"/>
      <c r="BBB20" s="57"/>
      <c r="BBC20" s="57"/>
      <c r="BBD20" s="57"/>
      <c r="BBE20" s="57"/>
      <c r="BBF20" s="57"/>
      <c r="BBG20" s="57"/>
      <c r="BBH20" s="56"/>
      <c r="BBI20" s="56"/>
      <c r="BBJ20" s="57"/>
      <c r="BBK20" s="390"/>
      <c r="BBL20" s="390"/>
      <c r="BBM20" s="57"/>
      <c r="BBN20" s="57"/>
      <c r="BBO20" s="57"/>
      <c r="BBP20" s="57"/>
      <c r="BBQ20" s="57"/>
      <c r="BBR20" s="57"/>
      <c r="BBS20" s="57"/>
      <c r="BBT20" s="57"/>
      <c r="BBU20" s="57"/>
      <c r="BBV20" s="57"/>
      <c r="BBW20" s="57"/>
      <c r="BBX20" s="57"/>
      <c r="BBY20" s="57"/>
      <c r="BBZ20" s="57"/>
      <c r="BCA20" s="57"/>
      <c r="BCB20" s="57"/>
      <c r="BCC20" s="57"/>
      <c r="BCD20" s="57"/>
      <c r="BCE20" s="57"/>
      <c r="BCF20" s="57"/>
      <c r="BCG20" s="57"/>
      <c r="BCH20" s="57"/>
      <c r="BCI20" s="57"/>
      <c r="BCJ20" s="57"/>
      <c r="BCK20" s="57"/>
      <c r="BCL20" s="57"/>
      <c r="BCM20" s="57"/>
      <c r="BCN20" s="57"/>
      <c r="BCO20" s="57"/>
      <c r="BCP20" s="57"/>
      <c r="BCQ20" s="57"/>
      <c r="BCR20" s="57"/>
      <c r="BCS20" s="57"/>
      <c r="BCT20" s="57"/>
      <c r="BCU20" s="57"/>
      <c r="BCV20" s="57"/>
      <c r="BCW20" s="57"/>
      <c r="BCX20" s="57"/>
      <c r="BCY20" s="57"/>
      <c r="BCZ20" s="56"/>
      <c r="BDA20" s="56"/>
      <c r="BDB20" s="57"/>
      <c r="BDC20" s="390"/>
      <c r="BDD20" s="390"/>
      <c r="BDE20" s="57"/>
      <c r="BDF20" s="57"/>
      <c r="BDG20" s="57"/>
      <c r="BDH20" s="57"/>
      <c r="BDI20" s="57"/>
      <c r="BDJ20" s="57"/>
      <c r="BDK20" s="57"/>
      <c r="BDL20" s="57"/>
      <c r="BDM20" s="57"/>
      <c r="BDN20" s="57"/>
      <c r="BDO20" s="57"/>
      <c r="BDP20" s="57"/>
      <c r="BDQ20" s="57"/>
      <c r="BDR20" s="57"/>
      <c r="BDS20" s="57"/>
      <c r="BDT20" s="57"/>
      <c r="BDU20" s="57"/>
      <c r="BDV20" s="57"/>
      <c r="BDW20" s="57"/>
      <c r="BDX20" s="57"/>
      <c r="BDY20" s="57"/>
      <c r="BDZ20" s="57"/>
      <c r="BEA20" s="57"/>
      <c r="BEB20" s="57"/>
      <c r="BEC20" s="57"/>
      <c r="BED20" s="57"/>
      <c r="BEE20" s="57"/>
      <c r="BEF20" s="57"/>
      <c r="BEG20" s="57"/>
      <c r="BEH20" s="57"/>
      <c r="BEI20" s="57"/>
      <c r="BEJ20" s="57"/>
      <c r="BEK20" s="57"/>
      <c r="BEL20" s="57"/>
      <c r="BEM20" s="57"/>
      <c r="BEN20" s="57"/>
      <c r="BEO20" s="57"/>
      <c r="BEP20" s="57"/>
      <c r="BEQ20" s="57"/>
      <c r="BER20" s="56"/>
      <c r="BES20" s="56"/>
      <c r="BET20" s="57"/>
      <c r="BEU20" s="390"/>
      <c r="BEV20" s="390"/>
      <c r="BEW20" s="57"/>
      <c r="BEX20" s="57"/>
      <c r="BEY20" s="57"/>
      <c r="BEZ20" s="57"/>
      <c r="BFA20" s="57"/>
      <c r="BFB20" s="57"/>
      <c r="BFC20" s="57"/>
      <c r="BFD20" s="57"/>
      <c r="BFE20" s="57"/>
      <c r="BFF20" s="57"/>
      <c r="BFG20" s="57"/>
      <c r="BFH20" s="57"/>
      <c r="BFI20" s="57"/>
      <c r="BFJ20" s="57"/>
      <c r="BFK20" s="57"/>
      <c r="BFL20" s="57"/>
      <c r="BFM20" s="57"/>
      <c r="BFN20" s="57"/>
      <c r="BFO20" s="57"/>
      <c r="BFP20" s="57"/>
      <c r="BFQ20" s="57"/>
      <c r="BFR20" s="57"/>
      <c r="BFS20" s="57"/>
      <c r="BFT20" s="57"/>
      <c r="BFU20" s="57"/>
      <c r="BFV20" s="57"/>
      <c r="BFW20" s="57"/>
      <c r="BFX20" s="57"/>
      <c r="BFY20" s="57"/>
      <c r="BFZ20" s="57"/>
      <c r="BGA20" s="57"/>
      <c r="BGB20" s="57"/>
      <c r="BGC20" s="57"/>
      <c r="BGD20" s="57"/>
      <c r="BGE20" s="57"/>
      <c r="BGF20" s="57"/>
      <c r="BGG20" s="57"/>
      <c r="BGH20" s="57"/>
      <c r="BGI20" s="57"/>
      <c r="BGJ20" s="56"/>
      <c r="BGK20" s="56"/>
      <c r="BGL20" s="57"/>
      <c r="BGM20" s="390"/>
      <c r="BGN20" s="390"/>
      <c r="BGO20" s="57"/>
      <c r="BGP20" s="57"/>
      <c r="BGQ20" s="57"/>
      <c r="BGR20" s="57"/>
      <c r="BGS20" s="57"/>
      <c r="BGT20" s="57"/>
      <c r="BGU20" s="57"/>
      <c r="BGV20" s="57"/>
      <c r="BGW20" s="57"/>
      <c r="BGX20" s="57"/>
      <c r="BGY20" s="57"/>
      <c r="BGZ20" s="57"/>
      <c r="BHA20" s="57"/>
      <c r="BHB20" s="57"/>
      <c r="BHC20" s="57"/>
      <c r="BHD20" s="57"/>
      <c r="BHE20" s="57"/>
      <c r="BHF20" s="57"/>
      <c r="BHG20" s="57"/>
      <c r="BHH20" s="57"/>
      <c r="BHI20" s="57"/>
      <c r="BHJ20" s="57"/>
      <c r="BHK20" s="57"/>
      <c r="BHL20" s="57"/>
      <c r="BHM20" s="57"/>
      <c r="BHN20" s="57"/>
      <c r="BHO20" s="57"/>
      <c r="BHP20" s="57"/>
      <c r="BHQ20" s="57"/>
      <c r="BHR20" s="57"/>
      <c r="BHS20" s="57"/>
      <c r="BHT20" s="57"/>
      <c r="BHU20" s="57"/>
      <c r="BHV20" s="57"/>
      <c r="BHW20" s="57"/>
      <c r="BHX20" s="57"/>
      <c r="BHY20" s="57"/>
      <c r="BHZ20" s="57"/>
      <c r="BIA20" s="57"/>
      <c r="BIB20" s="56"/>
      <c r="BIC20" s="56"/>
      <c r="BID20" s="57"/>
      <c r="BIE20" s="390"/>
      <c r="BIF20" s="390"/>
      <c r="BIG20" s="57"/>
      <c r="BIH20" s="57"/>
      <c r="BII20" s="57"/>
      <c r="BIJ20" s="57"/>
      <c r="BIK20" s="57"/>
      <c r="BIL20" s="57"/>
      <c r="BIM20" s="57"/>
      <c r="BIN20" s="57"/>
      <c r="BIO20" s="57"/>
      <c r="BIP20" s="57"/>
      <c r="BIQ20" s="57"/>
      <c r="BIR20" s="57"/>
      <c r="BIS20" s="57"/>
      <c r="BIT20" s="57"/>
      <c r="BIU20" s="57"/>
      <c r="BIV20" s="57"/>
      <c r="BIW20" s="57"/>
      <c r="BIX20" s="57"/>
      <c r="BIY20" s="57"/>
      <c r="BIZ20" s="57"/>
      <c r="BJA20" s="57"/>
      <c r="BJB20" s="57"/>
      <c r="BJC20" s="57"/>
      <c r="BJD20" s="57"/>
      <c r="BJE20" s="57"/>
      <c r="BJF20" s="57"/>
      <c r="BJG20" s="57"/>
      <c r="BJH20" s="57"/>
      <c r="BJI20" s="57"/>
      <c r="BJJ20" s="57"/>
      <c r="BJK20" s="57"/>
      <c r="BJL20" s="57"/>
      <c r="BJM20" s="57"/>
      <c r="BJN20" s="57"/>
      <c r="BJO20" s="57"/>
      <c r="BJP20" s="57"/>
      <c r="BJQ20" s="57"/>
      <c r="BJR20" s="57"/>
      <c r="BJS20" s="57"/>
      <c r="BJT20" s="56"/>
      <c r="BJU20" s="56"/>
      <c r="BJV20" s="57"/>
      <c r="BJW20" s="390"/>
      <c r="BJX20" s="390"/>
      <c r="BJY20" s="57"/>
      <c r="BJZ20" s="57"/>
      <c r="BKA20" s="57"/>
      <c r="BKB20" s="57"/>
      <c r="BKC20" s="57"/>
      <c r="BKD20" s="57"/>
      <c r="BKE20" s="57"/>
      <c r="BKF20" s="57"/>
      <c r="BKG20" s="57"/>
      <c r="BKH20" s="57"/>
      <c r="BKI20" s="57"/>
      <c r="BKJ20" s="57"/>
      <c r="BKK20" s="57"/>
      <c r="BKL20" s="57"/>
      <c r="BKM20" s="57"/>
      <c r="BKN20" s="57"/>
      <c r="BKO20" s="57"/>
      <c r="BKP20" s="57"/>
      <c r="BKQ20" s="57"/>
      <c r="BKR20" s="57"/>
      <c r="BKS20" s="57"/>
      <c r="BKT20" s="57"/>
      <c r="BKU20" s="57"/>
      <c r="BKV20" s="57"/>
      <c r="BKW20" s="57"/>
      <c r="BKX20" s="57"/>
      <c r="BKY20" s="57"/>
      <c r="BKZ20" s="57"/>
      <c r="BLA20" s="57"/>
      <c r="BLB20" s="57"/>
      <c r="BLC20" s="57"/>
      <c r="BLD20" s="57"/>
      <c r="BLE20" s="57"/>
      <c r="BLF20" s="57"/>
      <c r="BLG20" s="57"/>
      <c r="BLH20" s="57"/>
      <c r="BLI20" s="57"/>
      <c r="BLJ20" s="57"/>
      <c r="BLK20" s="57"/>
      <c r="BLL20" s="56"/>
      <c r="BLM20" s="56"/>
      <c r="BLN20" s="57"/>
      <c r="BLO20" s="390"/>
      <c r="BLP20" s="390"/>
      <c r="BLQ20" s="57"/>
      <c r="BLR20" s="57"/>
      <c r="BLS20" s="57"/>
      <c r="BLT20" s="57"/>
      <c r="BLU20" s="57"/>
      <c r="BLV20" s="57"/>
      <c r="BLW20" s="57"/>
      <c r="BLX20" s="57"/>
      <c r="BLY20" s="57"/>
      <c r="BLZ20" s="57"/>
      <c r="BMA20" s="57"/>
      <c r="BMB20" s="57"/>
      <c r="BMC20" s="57"/>
      <c r="BMD20" s="57"/>
      <c r="BME20" s="57"/>
      <c r="BMF20" s="57"/>
      <c r="BMG20" s="57"/>
      <c r="BMH20" s="57"/>
      <c r="BMI20" s="57"/>
      <c r="BMJ20" s="57"/>
      <c r="BMK20" s="57"/>
      <c r="BML20" s="57"/>
      <c r="BMM20" s="57"/>
      <c r="BMN20" s="57"/>
      <c r="BMO20" s="57"/>
      <c r="BMP20" s="57"/>
      <c r="BMQ20" s="57"/>
      <c r="BMR20" s="57"/>
      <c r="BMS20" s="57"/>
      <c r="BMT20" s="57"/>
      <c r="BMU20" s="57"/>
      <c r="BMV20" s="57"/>
      <c r="BMW20" s="57"/>
      <c r="BMX20" s="57"/>
      <c r="BMY20" s="57"/>
      <c r="BMZ20" s="57"/>
      <c r="BNA20" s="57"/>
      <c r="BNB20" s="57"/>
      <c r="BNC20" s="57"/>
      <c r="BND20" s="56"/>
      <c r="BNE20" s="56"/>
      <c r="BNF20" s="57"/>
      <c r="BNG20" s="390"/>
      <c r="BNH20" s="390"/>
      <c r="BNI20" s="57"/>
      <c r="BNJ20" s="57"/>
      <c r="BNK20" s="57"/>
      <c r="BNL20" s="57"/>
      <c r="BNM20" s="57"/>
      <c r="BNN20" s="57"/>
      <c r="BNO20" s="57"/>
      <c r="BNP20" s="57"/>
      <c r="BNQ20" s="57"/>
      <c r="BNR20" s="57"/>
      <c r="BNS20" s="57"/>
      <c r="BNT20" s="57"/>
      <c r="BNU20" s="57"/>
      <c r="BNV20" s="57"/>
      <c r="BNW20" s="57"/>
      <c r="BNX20" s="57"/>
      <c r="BNY20" s="57"/>
      <c r="BNZ20" s="57"/>
      <c r="BOA20" s="57"/>
      <c r="BOB20" s="57"/>
      <c r="BOC20" s="57"/>
      <c r="BOD20" s="57"/>
      <c r="BOE20" s="57"/>
      <c r="BOF20" s="57"/>
      <c r="BOG20" s="57"/>
      <c r="BOH20" s="57"/>
      <c r="BOI20" s="57"/>
      <c r="BOJ20" s="57"/>
      <c r="BOK20" s="57"/>
      <c r="BOL20" s="57"/>
      <c r="BOM20" s="57"/>
      <c r="BON20" s="57"/>
      <c r="BOO20" s="57"/>
      <c r="BOP20" s="57"/>
      <c r="BOQ20" s="57"/>
      <c r="BOR20" s="57"/>
      <c r="BOS20" s="57"/>
      <c r="BOT20" s="57"/>
      <c r="BOU20" s="57"/>
      <c r="BOV20" s="56"/>
      <c r="BOW20" s="56"/>
      <c r="BOX20" s="57"/>
      <c r="BOY20" s="390"/>
      <c r="BOZ20" s="390"/>
      <c r="BPA20" s="57"/>
      <c r="BPB20" s="57"/>
      <c r="BPC20" s="57"/>
      <c r="BPD20" s="57"/>
      <c r="BPE20" s="57"/>
      <c r="BPF20" s="57"/>
      <c r="BPG20" s="57"/>
      <c r="BPH20" s="57"/>
      <c r="BPI20" s="57"/>
      <c r="BPJ20" s="57"/>
      <c r="BPK20" s="57"/>
      <c r="BPL20" s="57"/>
      <c r="BPM20" s="57"/>
      <c r="BPN20" s="57"/>
      <c r="BPO20" s="57"/>
      <c r="BPP20" s="57"/>
      <c r="BPQ20" s="57"/>
      <c r="BPR20" s="57"/>
      <c r="BPS20" s="57"/>
      <c r="BPT20" s="57"/>
      <c r="BPU20" s="57"/>
      <c r="BPV20" s="57"/>
      <c r="BPW20" s="57"/>
      <c r="BPX20" s="57"/>
      <c r="BPY20" s="57"/>
      <c r="BPZ20" s="57"/>
      <c r="BQA20" s="57"/>
      <c r="BQB20" s="57"/>
      <c r="BQC20" s="57"/>
      <c r="BQD20" s="57"/>
      <c r="BQE20" s="57"/>
      <c r="BQF20" s="57"/>
      <c r="BQG20" s="57"/>
      <c r="BQH20" s="57"/>
      <c r="BQI20" s="57"/>
      <c r="BQJ20" s="57"/>
      <c r="BQK20" s="57"/>
      <c r="BQL20" s="57"/>
      <c r="BQM20" s="57"/>
      <c r="BQN20" s="56"/>
      <c r="BQO20" s="56"/>
      <c r="BQP20" s="57"/>
      <c r="BQQ20" s="390"/>
      <c r="BQR20" s="390"/>
      <c r="BQS20" s="57"/>
      <c r="BQT20" s="57"/>
      <c r="BQU20" s="57"/>
      <c r="BQV20" s="57"/>
      <c r="BQW20" s="57"/>
      <c r="BQX20" s="57"/>
      <c r="BQY20" s="57"/>
      <c r="BQZ20" s="57"/>
      <c r="BRA20" s="57"/>
      <c r="BRB20" s="57"/>
      <c r="BRC20" s="57"/>
      <c r="BRD20" s="57"/>
      <c r="BRE20" s="57"/>
      <c r="BRF20" s="57"/>
      <c r="BRG20" s="57"/>
      <c r="BRH20" s="57"/>
      <c r="BRI20" s="57"/>
      <c r="BRJ20" s="57"/>
      <c r="BRK20" s="57"/>
      <c r="BRL20" s="57"/>
      <c r="BRM20" s="57"/>
      <c r="BRN20" s="57"/>
      <c r="BRO20" s="57"/>
      <c r="BRP20" s="57"/>
      <c r="BRQ20" s="57"/>
      <c r="BRR20" s="57"/>
      <c r="BRS20" s="57"/>
      <c r="BRT20" s="57"/>
      <c r="BRU20" s="57"/>
      <c r="BRV20" s="57"/>
      <c r="BRW20" s="57"/>
      <c r="BRX20" s="57"/>
      <c r="BRY20" s="57"/>
      <c r="BRZ20" s="57"/>
      <c r="BSA20" s="57"/>
      <c r="BSB20" s="57"/>
      <c r="BSC20" s="57"/>
      <c r="BSD20" s="57"/>
      <c r="BSE20" s="57"/>
      <c r="BSF20" s="56"/>
      <c r="BSG20" s="56"/>
      <c r="BSH20" s="57"/>
      <c r="BSI20" s="390"/>
      <c r="BSJ20" s="390"/>
      <c r="BSK20" s="57"/>
      <c r="BSL20" s="57"/>
      <c r="BSM20" s="57"/>
      <c r="BSN20" s="57"/>
      <c r="BSO20" s="57"/>
      <c r="BSP20" s="57"/>
      <c r="BSQ20" s="57"/>
      <c r="BSR20" s="57"/>
      <c r="BSS20" s="57"/>
      <c r="BST20" s="57"/>
      <c r="BSU20" s="57"/>
      <c r="BSV20" s="57"/>
      <c r="BSW20" s="57"/>
      <c r="BSX20" s="57"/>
      <c r="BSY20" s="57"/>
      <c r="BSZ20" s="57"/>
      <c r="BTA20" s="57"/>
      <c r="BTB20" s="57"/>
      <c r="BTC20" s="57"/>
      <c r="BTD20" s="57"/>
      <c r="BTE20" s="57"/>
      <c r="BTF20" s="57"/>
      <c r="BTG20" s="57"/>
      <c r="BTH20" s="57"/>
      <c r="BTI20" s="57"/>
      <c r="BTJ20" s="57"/>
      <c r="BTK20" s="57"/>
      <c r="BTL20" s="57"/>
      <c r="BTM20" s="57"/>
      <c r="BTN20" s="57"/>
      <c r="BTO20" s="57"/>
      <c r="BTP20" s="57"/>
      <c r="BTQ20" s="57"/>
      <c r="BTR20" s="57"/>
      <c r="BTS20" s="57"/>
      <c r="BTT20" s="57"/>
      <c r="BTU20" s="57"/>
      <c r="BTV20" s="57"/>
      <c r="BTW20" s="57"/>
      <c r="BTX20" s="56"/>
      <c r="BTY20" s="56"/>
      <c r="BTZ20" s="57"/>
      <c r="BUA20" s="390"/>
      <c r="BUB20" s="390"/>
      <c r="BUC20" s="57"/>
      <c r="BUD20" s="57"/>
      <c r="BUE20" s="57"/>
      <c r="BUF20" s="57"/>
      <c r="BUG20" s="57"/>
      <c r="BUH20" s="57"/>
      <c r="BUI20" s="57"/>
      <c r="BUJ20" s="57"/>
      <c r="BUK20" s="57"/>
      <c r="BUL20" s="57"/>
      <c r="BUM20" s="57"/>
      <c r="BUN20" s="57"/>
      <c r="BUO20" s="57"/>
      <c r="BUP20" s="57"/>
      <c r="BUQ20" s="57"/>
      <c r="BUR20" s="57"/>
      <c r="BUS20" s="57"/>
      <c r="BUT20" s="57"/>
      <c r="BUU20" s="57"/>
      <c r="BUV20" s="57"/>
      <c r="BUW20" s="57"/>
      <c r="BUX20" s="57"/>
      <c r="BUY20" s="57"/>
      <c r="BUZ20" s="57"/>
      <c r="BVA20" s="57"/>
      <c r="BVB20" s="57"/>
      <c r="BVC20" s="57"/>
      <c r="BVD20" s="57"/>
      <c r="BVE20" s="57"/>
      <c r="BVF20" s="57"/>
      <c r="BVG20" s="57"/>
      <c r="BVH20" s="57"/>
      <c r="BVI20" s="57"/>
      <c r="BVJ20" s="57"/>
      <c r="BVK20" s="57"/>
      <c r="BVL20" s="57"/>
      <c r="BVM20" s="57"/>
      <c r="BVN20" s="57"/>
      <c r="BVO20" s="57"/>
      <c r="BVP20" s="56"/>
      <c r="BVQ20" s="56"/>
      <c r="BVR20" s="57"/>
      <c r="BVS20" s="390"/>
      <c r="BVT20" s="390"/>
      <c r="BVU20" s="57"/>
      <c r="BVV20" s="57"/>
      <c r="BVW20" s="57"/>
      <c r="BVX20" s="57"/>
      <c r="BVY20" s="57"/>
      <c r="BVZ20" s="57"/>
      <c r="BWA20" s="57"/>
      <c r="BWB20" s="57"/>
      <c r="BWC20" s="57"/>
      <c r="BWD20" s="57"/>
      <c r="BWE20" s="57"/>
      <c r="BWF20" s="57"/>
      <c r="BWG20" s="57"/>
      <c r="BWH20" s="57"/>
      <c r="BWI20" s="57"/>
      <c r="BWJ20" s="57"/>
      <c r="BWK20" s="57"/>
      <c r="BWL20" s="57"/>
      <c r="BWM20" s="57"/>
      <c r="BWN20" s="57"/>
      <c r="BWO20" s="57"/>
      <c r="BWP20" s="57"/>
      <c r="BWQ20" s="57"/>
      <c r="BWR20" s="57"/>
      <c r="BWS20" s="57"/>
      <c r="BWT20" s="57"/>
      <c r="BWU20" s="57"/>
      <c r="BWV20" s="57"/>
      <c r="BWW20" s="57"/>
      <c r="BWX20" s="57"/>
      <c r="BWY20" s="57"/>
      <c r="BWZ20" s="57"/>
      <c r="BXA20" s="57"/>
      <c r="BXB20" s="57"/>
      <c r="BXC20" s="57"/>
      <c r="BXD20" s="57"/>
      <c r="BXE20" s="57"/>
      <c r="BXF20" s="57"/>
      <c r="BXG20" s="57"/>
      <c r="BXH20" s="56"/>
      <c r="BXI20" s="56"/>
      <c r="BXJ20" s="57"/>
      <c r="BXK20" s="390"/>
      <c r="BXL20" s="390"/>
      <c r="BXM20" s="57"/>
      <c r="BXN20" s="57"/>
      <c r="BXO20" s="57"/>
      <c r="BXP20" s="57"/>
      <c r="BXQ20" s="57"/>
      <c r="BXR20" s="57"/>
      <c r="BXS20" s="57"/>
      <c r="BXT20" s="57"/>
      <c r="BXU20" s="57"/>
      <c r="BXV20" s="57"/>
      <c r="BXW20" s="57"/>
      <c r="BXX20" s="57"/>
      <c r="BXY20" s="57"/>
      <c r="BXZ20" s="57"/>
      <c r="BYA20" s="57"/>
      <c r="BYB20" s="57"/>
      <c r="BYC20" s="57"/>
      <c r="BYD20" s="57"/>
      <c r="BYE20" s="57"/>
      <c r="BYF20" s="57"/>
      <c r="BYG20" s="57"/>
      <c r="BYH20" s="57"/>
      <c r="BYI20" s="57"/>
      <c r="BYJ20" s="57"/>
      <c r="BYK20" s="57"/>
      <c r="BYL20" s="57"/>
      <c r="BYM20" s="57"/>
      <c r="BYN20" s="57"/>
      <c r="BYO20" s="57"/>
      <c r="BYP20" s="57"/>
      <c r="BYQ20" s="57"/>
      <c r="BYR20" s="57"/>
      <c r="BYS20" s="57"/>
      <c r="BYT20" s="57"/>
      <c r="BYU20" s="57"/>
      <c r="BYV20" s="57"/>
      <c r="BYW20" s="57"/>
      <c r="BYX20" s="57"/>
      <c r="BYY20" s="57"/>
      <c r="BYZ20" s="56"/>
      <c r="BZA20" s="56"/>
      <c r="BZB20" s="57"/>
      <c r="BZC20" s="390"/>
      <c r="BZD20" s="390"/>
      <c r="BZE20" s="57"/>
      <c r="BZF20" s="57"/>
      <c r="BZG20" s="57"/>
      <c r="BZH20" s="387"/>
      <c r="BZI20" s="57"/>
      <c r="BZJ20" s="387"/>
      <c r="BZK20" s="57"/>
      <c r="BZL20" s="57"/>
      <c r="BZM20" s="57"/>
      <c r="BZN20" s="57"/>
      <c r="BZO20" s="57"/>
      <c r="BZP20" s="57"/>
      <c r="BZQ20" s="57"/>
      <c r="BZR20" s="57"/>
      <c r="BZS20" s="57"/>
      <c r="BZT20" s="57"/>
      <c r="BZU20" s="57"/>
      <c r="BZV20" s="57"/>
      <c r="BZW20" s="57"/>
      <c r="BZX20" s="57"/>
      <c r="BZY20" s="57"/>
      <c r="BZZ20" s="57"/>
      <c r="CAA20" s="57"/>
      <c r="CAB20" s="57"/>
      <c r="CAC20" s="57"/>
      <c r="CAD20" s="57"/>
      <c r="CAE20" s="57"/>
      <c r="CAF20" s="57"/>
      <c r="CAG20" s="57"/>
      <c r="CAH20" s="57"/>
      <c r="CAI20" s="57"/>
      <c r="CAJ20" s="57"/>
      <c r="CAK20" s="57"/>
      <c r="CAL20" s="57"/>
      <c r="CAM20" s="57"/>
      <c r="CAN20" s="57"/>
      <c r="CAO20" s="57"/>
      <c r="CAP20" s="58"/>
      <c r="CAQ20" s="56"/>
      <c r="CAR20" s="57"/>
      <c r="CAS20" s="57"/>
      <c r="CAT20" s="57"/>
      <c r="CAU20" s="57"/>
      <c r="CAV20" s="57"/>
      <c r="CAW20" s="56"/>
      <c r="CAX20" s="57"/>
      <c r="CAY20" s="57"/>
      <c r="CAZ20" s="56"/>
      <c r="CBA20" s="57"/>
      <c r="CBB20" s="58"/>
      <c r="CBC20" s="56"/>
      <c r="CBD20" s="57"/>
      <c r="CBE20" s="57"/>
      <c r="CBF20" s="57"/>
      <c r="CBG20" s="56"/>
      <c r="CBH20" s="57"/>
      <c r="CBI20" s="57"/>
      <c r="CBJ20" s="56"/>
      <c r="CBK20" s="57"/>
      <c r="CBL20" s="58"/>
      <c r="CBM20" s="56"/>
      <c r="CBN20" s="57"/>
      <c r="CBO20" s="57"/>
      <c r="CBP20" s="57"/>
      <c r="CBQ20" s="56"/>
      <c r="CBR20" s="57"/>
      <c r="CBS20" s="57"/>
      <c r="CBT20" s="56"/>
      <c r="CBU20" s="57"/>
      <c r="CBV20" s="58"/>
      <c r="CBW20" s="56"/>
      <c r="CBX20" s="57"/>
      <c r="CBY20" s="57"/>
      <c r="CBZ20" s="57"/>
      <c r="CCA20" s="56"/>
      <c r="CCB20" s="57"/>
      <c r="CCC20" s="57"/>
      <c r="CCD20" s="56"/>
      <c r="CCE20" s="57"/>
      <c r="CCF20" s="58"/>
      <c r="CCG20" s="56"/>
      <c r="CCH20" s="58"/>
      <c r="CCI20" s="57"/>
      <c r="CCJ20" s="56"/>
      <c r="CCK20" s="57"/>
      <c r="CCL20" s="56"/>
      <c r="CCM20" s="56"/>
      <c r="CCN20" s="56"/>
      <c r="CCO20" s="57"/>
      <c r="CCP20" s="387"/>
      <c r="CCQ20" s="57"/>
      <c r="CCR20" s="387"/>
      <c r="CCS20" s="57"/>
      <c r="CCT20" s="387"/>
      <c r="CCU20" s="57"/>
      <c r="CCV20" s="57"/>
      <c r="CCW20" s="57"/>
      <c r="CCX20" s="57"/>
      <c r="CCY20" s="57"/>
      <c r="CCZ20" s="57"/>
      <c r="CDA20" s="57"/>
      <c r="CDB20" s="57"/>
      <c r="CDC20" s="57"/>
      <c r="CDD20" s="57"/>
      <c r="CDE20" s="57"/>
      <c r="CDF20" s="57"/>
      <c r="CDG20" s="57"/>
      <c r="CDH20" s="57"/>
      <c r="CDI20" s="57"/>
      <c r="CDJ20" s="57"/>
      <c r="CDK20" s="57"/>
      <c r="CDL20" s="57"/>
      <c r="CDM20" s="57"/>
      <c r="CDN20" s="57"/>
      <c r="CDO20" s="57"/>
      <c r="CDP20" s="57"/>
      <c r="CDQ20" s="57"/>
      <c r="CDR20" s="57"/>
      <c r="CDS20" s="57"/>
      <c r="CDT20" s="57"/>
      <c r="CDU20" s="57"/>
      <c r="CDV20" s="57"/>
      <c r="CDW20" s="57"/>
      <c r="CDX20" s="57"/>
      <c r="CDY20" s="57"/>
      <c r="CDZ20" s="58"/>
      <c r="CEA20" s="56"/>
      <c r="CEB20" s="57"/>
      <c r="CEC20" s="57"/>
      <c r="CED20" s="57"/>
      <c r="CEE20" s="57"/>
      <c r="CEF20" s="57"/>
      <c r="CEG20" s="56"/>
      <c r="CEH20" s="57"/>
      <c r="CEI20" s="57"/>
      <c r="CEJ20" s="56"/>
      <c r="CEK20" s="57"/>
      <c r="CEL20" s="58"/>
      <c r="CEM20" s="56"/>
      <c r="CEN20" s="57"/>
      <c r="CEO20" s="57"/>
      <c r="CEP20" s="57"/>
      <c r="CEQ20" s="56"/>
      <c r="CER20" s="57"/>
      <c r="CES20" s="57"/>
      <c r="CET20" s="56"/>
      <c r="CEU20" s="57"/>
      <c r="CEV20" s="58"/>
      <c r="CEW20" s="56"/>
      <c r="CEX20" s="57"/>
      <c r="CEY20" s="57"/>
      <c r="CEZ20" s="57"/>
      <c r="CFA20" s="56"/>
      <c r="CFB20" s="57"/>
      <c r="CFC20" s="57"/>
      <c r="CFD20" s="56"/>
      <c r="CFE20" s="57"/>
      <c r="CFF20" s="58"/>
      <c r="CFG20" s="56"/>
      <c r="CFH20" s="57"/>
      <c r="CFI20" s="57"/>
      <c r="CFJ20" s="57"/>
      <c r="CFK20" s="56"/>
      <c r="CFL20" s="57"/>
      <c r="CFM20" s="57"/>
      <c r="CFN20" s="56"/>
      <c r="CFO20" s="57"/>
      <c r="CFP20" s="58"/>
      <c r="CFQ20" s="56"/>
      <c r="CFR20" s="58"/>
      <c r="CFS20" s="57"/>
      <c r="CFT20" s="56"/>
      <c r="CFU20" s="57"/>
      <c r="CFV20" s="56"/>
      <c r="CFW20" s="56"/>
      <c r="CFX20" s="56"/>
      <c r="CFY20" s="57"/>
      <c r="CFZ20" s="387"/>
      <c r="CGA20" s="57"/>
      <c r="CGB20" s="387"/>
      <c r="CGC20" s="57"/>
      <c r="CGD20" s="387"/>
      <c r="CGE20" s="57"/>
      <c r="CGF20" s="57"/>
      <c r="CGG20" s="57"/>
      <c r="CGH20" s="57"/>
      <c r="CGI20" s="57"/>
      <c r="CGJ20" s="57"/>
      <c r="CGK20" s="57"/>
      <c r="CGL20" s="57"/>
      <c r="CGM20" s="57"/>
      <c r="CGN20" s="57"/>
      <c r="CGO20" s="57"/>
      <c r="CGP20" s="57"/>
      <c r="CGQ20" s="57"/>
      <c r="CGR20" s="57"/>
      <c r="CGS20" s="57"/>
      <c r="CGT20" s="57"/>
      <c r="CGU20" s="57"/>
      <c r="CGV20" s="57"/>
      <c r="CGW20" s="57"/>
      <c r="CGX20" s="57"/>
      <c r="CGY20" s="57"/>
      <c r="CGZ20" s="57"/>
      <c r="CHA20" s="57"/>
      <c r="CHB20" s="57"/>
      <c r="CHC20" s="57"/>
      <c r="CHD20" s="57"/>
      <c r="CHE20" s="57"/>
      <c r="CHF20" s="57"/>
      <c r="CHG20" s="57"/>
      <c r="CHH20" s="57"/>
      <c r="CHI20" s="57"/>
      <c r="CHJ20" s="58"/>
      <c r="CHK20" s="56"/>
      <c r="CHL20" s="57"/>
      <c r="CHM20" s="57"/>
      <c r="CHN20" s="57"/>
      <c r="CHO20" s="57"/>
      <c r="CHP20" s="57"/>
      <c r="CHQ20" s="56"/>
      <c r="CHR20" s="57"/>
      <c r="CHS20" s="57"/>
      <c r="CHT20" s="56"/>
      <c r="CHU20" s="57"/>
      <c r="CHV20" s="58"/>
      <c r="CHW20" s="56"/>
      <c r="CHX20" s="57"/>
      <c r="CHY20" s="57"/>
      <c r="CHZ20" s="57"/>
      <c r="CIA20" s="56"/>
      <c r="CIB20" s="57"/>
      <c r="CIC20" s="57"/>
      <c r="CID20" s="56"/>
      <c r="CIE20" s="57"/>
      <c r="CIF20" s="58"/>
      <c r="CIG20" s="56"/>
      <c r="CIH20" s="57"/>
      <c r="CII20" s="57"/>
      <c r="CIJ20" s="57"/>
      <c r="CIK20" s="56"/>
      <c r="CIL20" s="57"/>
      <c r="CIM20" s="57"/>
      <c r="CIN20" s="56"/>
      <c r="CIO20" s="57"/>
      <c r="CIP20" s="58"/>
      <c r="CIQ20" s="56"/>
      <c r="CIR20" s="57"/>
      <c r="CIS20" s="57"/>
      <c r="CIT20" s="57"/>
      <c r="CIU20" s="56"/>
      <c r="CIV20" s="57"/>
      <c r="CIW20" s="57"/>
      <c r="CIX20" s="56"/>
      <c r="CIY20" s="57"/>
      <c r="CIZ20" s="58"/>
      <c r="CJA20" s="56"/>
      <c r="CJB20" s="58"/>
      <c r="CJC20" s="57"/>
      <c r="CJD20" s="56"/>
      <c r="CJE20" s="57"/>
      <c r="CJF20" s="56"/>
      <c r="CJG20" s="56"/>
      <c r="CJH20" s="56"/>
      <c r="CJI20" s="57"/>
      <c r="CJJ20" s="387"/>
      <c r="CJK20" s="57"/>
      <c r="CJL20" s="387"/>
      <c r="CJM20" s="57"/>
      <c r="CJN20" s="387"/>
      <c r="CJO20" s="57"/>
      <c r="CJP20" s="57"/>
      <c r="CJQ20" s="57"/>
      <c r="CJR20" s="57"/>
      <c r="CJS20" s="57"/>
      <c r="CJT20" s="57"/>
      <c r="CJU20" s="57"/>
      <c r="CJV20" s="57"/>
      <c r="CJW20" s="57"/>
      <c r="CJX20" s="57"/>
      <c r="CJY20" s="57"/>
      <c r="CJZ20" s="57"/>
      <c r="CKA20" s="57"/>
      <c r="CKB20" s="57"/>
      <c r="CKC20" s="57"/>
      <c r="CKD20" s="57"/>
      <c r="CKE20" s="57"/>
      <c r="CKF20" s="57"/>
      <c r="CKG20" s="57"/>
      <c r="CKH20" s="57"/>
      <c r="CKI20" s="57"/>
      <c r="CKJ20" s="57"/>
      <c r="CKK20" s="57"/>
      <c r="CKL20" s="57"/>
      <c r="CKM20" s="57"/>
      <c r="CKN20" s="57"/>
      <c r="CKO20" s="57"/>
      <c r="CKP20" s="57"/>
      <c r="CKQ20" s="57"/>
      <c r="CKR20" s="57"/>
      <c r="CKS20" s="57"/>
      <c r="CKT20" s="58"/>
      <c r="CKU20" s="56"/>
      <c r="CKV20" s="57"/>
      <c r="CKW20" s="57"/>
      <c r="CKX20" s="57"/>
      <c r="CKY20" s="57"/>
      <c r="CKZ20" s="57"/>
      <c r="CLA20" s="56"/>
      <c r="CLB20" s="57"/>
      <c r="CLC20" s="57"/>
      <c r="CLD20" s="56"/>
      <c r="CLE20" s="57"/>
      <c r="CLF20" s="58"/>
      <c r="CLG20" s="56"/>
      <c r="CLH20" s="57"/>
      <c r="CLI20" s="57"/>
      <c r="CLJ20" s="57"/>
      <c r="CLK20" s="56"/>
      <c r="CLL20" s="57"/>
      <c r="CLM20" s="57"/>
      <c r="CLN20" s="56"/>
      <c r="CLO20" s="57"/>
      <c r="CLP20" s="58"/>
      <c r="CLQ20" s="56"/>
      <c r="CLR20" s="57"/>
      <c r="CLS20" s="57"/>
      <c r="CLT20" s="57"/>
      <c r="CLU20" s="56"/>
      <c r="CLV20" s="57"/>
      <c r="CLW20" s="57"/>
      <c r="CLX20" s="56"/>
      <c r="CLY20" s="57"/>
      <c r="CLZ20" s="58"/>
      <c r="CMA20" s="56"/>
      <c r="CMB20" s="57"/>
      <c r="CMC20" s="57"/>
      <c r="CMD20" s="57"/>
      <c r="CME20" s="56"/>
      <c r="CMF20" s="57"/>
      <c r="CMG20" s="57"/>
      <c r="CMH20" s="56"/>
      <c r="CMI20" s="57"/>
      <c r="CMJ20" s="58"/>
      <c r="CMK20" s="56"/>
      <c r="CML20" s="58"/>
      <c r="CMM20" s="57"/>
      <c r="CMN20" s="56"/>
      <c r="CMO20" s="57"/>
      <c r="CMP20" s="56"/>
      <c r="CMQ20" s="56"/>
      <c r="CMR20" s="56"/>
      <c r="CMS20" s="57"/>
      <c r="CMT20" s="387"/>
      <c r="CMU20" s="57"/>
      <c r="CMV20" s="387"/>
      <c r="CMW20" s="57"/>
      <c r="CMX20" s="387"/>
      <c r="CMY20" s="57"/>
      <c r="CMZ20" s="57"/>
      <c r="CNA20" s="57"/>
      <c r="CNB20" s="57"/>
      <c r="CNC20" s="57"/>
      <c r="CND20" s="57"/>
      <c r="CNE20" s="57"/>
      <c r="CNF20" s="57"/>
      <c r="CNG20" s="57"/>
      <c r="CNH20" s="57"/>
      <c r="CNI20" s="57"/>
      <c r="CNJ20" s="57"/>
      <c r="CNK20" s="57"/>
      <c r="CNL20" s="57"/>
      <c r="CNM20" s="57"/>
      <c r="CNN20" s="57"/>
      <c r="CNO20" s="57"/>
      <c r="CNP20" s="57"/>
      <c r="CNQ20" s="57"/>
      <c r="CNR20" s="57"/>
      <c r="CNS20" s="57"/>
      <c r="CNT20" s="57"/>
      <c r="CNU20" s="57"/>
      <c r="CNV20" s="57"/>
      <c r="CNW20" s="57"/>
      <c r="CNX20" s="57"/>
      <c r="CNY20" s="57"/>
      <c r="CNZ20" s="57"/>
      <c r="COA20" s="57"/>
      <c r="COB20" s="57"/>
      <c r="COC20" s="57"/>
      <c r="COD20" s="58"/>
      <c r="COE20" s="56"/>
      <c r="COF20" s="57"/>
      <c r="COG20" s="57"/>
      <c r="COH20" s="57"/>
      <c r="COI20" s="57"/>
      <c r="COJ20" s="57"/>
      <c r="COK20" s="56"/>
      <c r="COL20" s="57"/>
      <c r="COM20" s="57"/>
      <c r="CON20" s="56"/>
      <c r="COO20" s="57"/>
      <c r="COP20" s="58"/>
      <c r="COQ20" s="56"/>
      <c r="COR20" s="57"/>
      <c r="COS20" s="57"/>
      <c r="COT20" s="57"/>
      <c r="COU20" s="56"/>
      <c r="COV20" s="57"/>
      <c r="COW20" s="57"/>
      <c r="COX20" s="56"/>
      <c r="COY20" s="57"/>
      <c r="COZ20" s="58"/>
      <c r="CPA20" s="56"/>
      <c r="CPB20" s="57"/>
      <c r="CPC20" s="57"/>
      <c r="CPD20" s="57"/>
      <c r="CPE20" s="56"/>
      <c r="CPF20" s="57"/>
      <c r="CPG20" s="57"/>
      <c r="CPH20" s="56"/>
      <c r="CPI20" s="57"/>
      <c r="CPJ20" s="58"/>
      <c r="CPK20" s="56"/>
      <c r="CPL20" s="57"/>
      <c r="CPM20" s="57"/>
      <c r="CPN20" s="57"/>
      <c r="CPO20" s="56"/>
      <c r="CPP20" s="57"/>
      <c r="CPQ20" s="57"/>
      <c r="CPR20" s="56"/>
      <c r="CPS20" s="57"/>
      <c r="CPT20" s="58"/>
      <c r="CPU20" s="56"/>
      <c r="CPV20" s="58"/>
      <c r="CPW20" s="57"/>
      <c r="CPX20" s="56"/>
      <c r="CPY20" s="57"/>
      <c r="CPZ20" s="56"/>
      <c r="CQA20" s="56"/>
      <c r="CQB20" s="56"/>
      <c r="CQC20" s="57"/>
      <c r="CQD20" s="387"/>
      <c r="CQE20" s="57"/>
      <c r="CQF20" s="387"/>
      <c r="CQG20" s="57"/>
      <c r="CQH20" s="387"/>
      <c r="CQI20" s="57"/>
      <c r="CQJ20" s="57"/>
      <c r="CQK20" s="57"/>
      <c r="CQL20" s="57"/>
      <c r="CQM20" s="57"/>
      <c r="CQN20" s="57"/>
      <c r="CQO20" s="57"/>
      <c r="CQP20" s="57"/>
      <c r="CQQ20" s="57"/>
      <c r="CQR20" s="57"/>
      <c r="CQS20" s="57"/>
      <c r="CQT20" s="57"/>
      <c r="CQU20" s="57"/>
      <c r="CQV20" s="57"/>
      <c r="CQW20" s="57"/>
      <c r="CQX20" s="57"/>
      <c r="CQY20" s="57"/>
      <c r="CQZ20" s="57"/>
      <c r="CRA20" s="57"/>
      <c r="CRB20" s="57"/>
      <c r="CRC20" s="57"/>
      <c r="CRD20" s="57"/>
      <c r="CRE20" s="57"/>
      <c r="CRF20" s="57"/>
      <c r="CRG20" s="57"/>
      <c r="CRH20" s="57"/>
      <c r="CRI20" s="57"/>
      <c r="CRJ20" s="57"/>
      <c r="CRK20" s="57"/>
      <c r="CRL20" s="57"/>
      <c r="CRM20" s="57"/>
      <c r="CRN20" s="58"/>
      <c r="CRO20" s="56"/>
      <c r="CRP20" s="57"/>
      <c r="CRQ20" s="57"/>
      <c r="CRR20" s="57"/>
      <c r="CRS20" s="57"/>
      <c r="CRT20" s="57"/>
      <c r="CRU20" s="56"/>
      <c r="CRV20" s="57"/>
      <c r="CRW20" s="57"/>
      <c r="CRX20" s="56"/>
      <c r="CRY20" s="57"/>
      <c r="CRZ20" s="58"/>
      <c r="CSA20" s="56"/>
      <c r="CSB20" s="57"/>
      <c r="CSC20" s="57"/>
      <c r="CSD20" s="57"/>
      <c r="CSE20" s="56"/>
      <c r="CSF20" s="57"/>
      <c r="CSG20" s="57"/>
      <c r="CSH20" s="56"/>
      <c r="CSI20" s="57"/>
      <c r="CSJ20" s="58"/>
      <c r="CSK20" s="56"/>
      <c r="CSL20" s="57"/>
      <c r="CSM20" s="57"/>
      <c r="CSN20" s="57"/>
      <c r="CSO20" s="56"/>
      <c r="CSP20" s="57"/>
      <c r="CSQ20" s="57"/>
      <c r="CSR20" s="56"/>
      <c r="CSS20" s="57"/>
      <c r="CST20" s="58"/>
      <c r="CSU20" s="56"/>
      <c r="CSV20" s="57"/>
      <c r="CSW20" s="57"/>
      <c r="CSX20" s="57"/>
      <c r="CSY20" s="56"/>
      <c r="CSZ20" s="57"/>
      <c r="CTA20" s="57"/>
      <c r="CTB20" s="56"/>
      <c r="CTC20" s="57"/>
      <c r="CTD20" s="58"/>
      <c r="CTE20" s="56"/>
      <c r="CTF20" s="58"/>
      <c r="CTG20" s="57"/>
      <c r="CTH20" s="56"/>
      <c r="CTI20" s="57"/>
      <c r="CTJ20" s="56"/>
      <c r="CTK20" s="56"/>
      <c r="CTL20" s="56"/>
      <c r="CTM20" s="57"/>
      <c r="CTN20" s="387"/>
      <c r="CTO20" s="57"/>
      <c r="CTP20" s="387"/>
      <c r="CTQ20" s="57"/>
      <c r="CTR20" s="387"/>
      <c r="CTS20" s="57"/>
      <c r="CTT20" s="57"/>
      <c r="CTU20" s="57"/>
      <c r="CTV20" s="57"/>
      <c r="CTW20" s="57"/>
      <c r="CTX20" s="57"/>
      <c r="CTY20" s="57"/>
      <c r="CTZ20" s="57"/>
      <c r="CUA20" s="57"/>
      <c r="CUB20" s="57"/>
      <c r="CUC20" s="57"/>
      <c r="CUD20" s="57"/>
      <c r="CUE20" s="57"/>
      <c r="CUF20" s="57"/>
      <c r="CUG20" s="57"/>
      <c r="CUH20" s="57"/>
      <c r="CUI20" s="57"/>
      <c r="CUJ20" s="57"/>
      <c r="CUK20" s="57"/>
      <c r="CUL20" s="57"/>
      <c r="CUM20" s="57"/>
      <c r="CUN20" s="57"/>
      <c r="CUO20" s="57"/>
      <c r="CUP20" s="57"/>
      <c r="CUQ20" s="57"/>
      <c r="CUR20" s="57"/>
      <c r="CUS20" s="57"/>
      <c r="CUT20" s="57"/>
      <c r="CUU20" s="57"/>
      <c r="CUV20" s="57"/>
      <c r="CUW20" s="57"/>
      <c r="CUX20" s="58"/>
      <c r="CUY20" s="56"/>
      <c r="CUZ20" s="57"/>
      <c r="CVA20" s="57"/>
      <c r="CVB20" s="57"/>
      <c r="CVC20" s="57"/>
      <c r="CVD20" s="57"/>
      <c r="CVE20" s="56"/>
      <c r="CVF20" s="57"/>
      <c r="CVG20" s="57"/>
      <c r="CVH20" s="56"/>
      <c r="CVI20" s="57"/>
      <c r="CVJ20" s="58"/>
      <c r="CVK20" s="56"/>
      <c r="CVL20" s="57"/>
      <c r="CVM20" s="57"/>
      <c r="CVN20" s="57"/>
      <c r="CVO20" s="56"/>
      <c r="CVP20" s="57"/>
      <c r="CVQ20" s="57"/>
      <c r="CVR20" s="56"/>
      <c r="CVS20" s="57"/>
      <c r="CVT20" s="58"/>
      <c r="CVU20" s="56"/>
      <c r="CVV20" s="57"/>
      <c r="CVW20" s="57"/>
      <c r="CVX20" s="57"/>
      <c r="CVY20" s="56"/>
      <c r="CVZ20" s="57"/>
      <c r="CWA20" s="57"/>
      <c r="CWB20" s="56"/>
      <c r="CWC20" s="57"/>
      <c r="CWD20" s="58"/>
      <c r="CWE20" s="56"/>
      <c r="CWF20" s="57"/>
      <c r="CWG20" s="57"/>
      <c r="CWH20" s="57"/>
      <c r="CWI20" s="56"/>
      <c r="CWJ20" s="57"/>
      <c r="CWK20" s="57"/>
      <c r="CWL20" s="56"/>
      <c r="CWM20" s="57"/>
      <c r="CWN20" s="58"/>
      <c r="CWO20" s="56"/>
      <c r="CWP20" s="58"/>
      <c r="CWQ20" s="57"/>
      <c r="CWR20" s="56"/>
      <c r="CWS20" s="57"/>
      <c r="CWT20" s="56"/>
      <c r="CWU20" s="56"/>
      <c r="CWV20" s="56"/>
      <c r="CWW20" s="57"/>
      <c r="CWX20" s="387"/>
      <c r="CWY20" s="57"/>
      <c r="CWZ20" s="387"/>
      <c r="CXA20" s="57"/>
      <c r="CXB20" s="387"/>
      <c r="CXC20" s="57"/>
      <c r="CXD20" s="57"/>
      <c r="CXE20" s="57"/>
      <c r="CXF20" s="57"/>
      <c r="CXG20" s="57"/>
      <c r="CXH20" s="57"/>
      <c r="CXI20" s="57"/>
      <c r="CXJ20" s="57"/>
      <c r="CXK20" s="57"/>
      <c r="CXL20" s="57"/>
      <c r="CXM20" s="57"/>
      <c r="CXN20" s="57"/>
      <c r="CXO20" s="57"/>
      <c r="CXP20" s="57"/>
      <c r="CXQ20" s="57"/>
      <c r="CXR20" s="57"/>
      <c r="CXS20" s="57"/>
      <c r="CXT20" s="57"/>
      <c r="CXU20" s="57"/>
      <c r="CXV20" s="57"/>
      <c r="CXW20" s="57"/>
      <c r="CXX20" s="57"/>
      <c r="CXY20" s="57"/>
      <c r="CXZ20" s="57"/>
      <c r="CYA20" s="57"/>
      <c r="CYB20" s="57"/>
      <c r="CYC20" s="57"/>
      <c r="CYD20" s="57"/>
      <c r="CYE20" s="57"/>
      <c r="CYF20" s="57"/>
      <c r="CYG20" s="57"/>
      <c r="CYH20" s="58"/>
      <c r="CYI20" s="56"/>
      <c r="CYJ20" s="57"/>
      <c r="CYK20" s="57"/>
      <c r="CYL20" s="57"/>
      <c r="CYM20" s="57"/>
      <c r="CYN20" s="57"/>
      <c r="CYO20" s="56"/>
      <c r="CYP20" s="57"/>
      <c r="CYQ20" s="57"/>
      <c r="CYR20" s="56"/>
      <c r="CYS20" s="57"/>
      <c r="CYT20" s="58"/>
      <c r="CYU20" s="56"/>
      <c r="CYV20" s="57"/>
      <c r="CYW20" s="57"/>
      <c r="CYX20" s="57"/>
      <c r="CYY20" s="56"/>
      <c r="CYZ20" s="57"/>
      <c r="CZA20" s="57"/>
      <c r="CZB20" s="56"/>
      <c r="CZC20" s="57"/>
      <c r="CZD20" s="58"/>
      <c r="CZE20" s="56"/>
      <c r="CZF20" s="57"/>
      <c r="CZG20" s="57"/>
      <c r="CZH20" s="57"/>
      <c r="CZI20" s="56"/>
      <c r="CZJ20" s="57"/>
      <c r="CZK20" s="57"/>
      <c r="CZL20" s="56"/>
      <c r="CZM20" s="57"/>
      <c r="CZN20" s="58"/>
      <c r="CZO20" s="56"/>
      <c r="CZP20" s="57"/>
      <c r="CZQ20" s="57"/>
      <c r="CZR20" s="57"/>
      <c r="CZS20" s="56"/>
      <c r="CZT20" s="57"/>
      <c r="CZU20" s="57"/>
      <c r="CZV20" s="56"/>
      <c r="CZW20" s="57"/>
      <c r="CZX20" s="58"/>
      <c r="CZY20" s="56"/>
      <c r="CZZ20" s="58"/>
      <c r="DAA20" s="57"/>
      <c r="DAB20" s="56"/>
      <c r="DAC20" s="57"/>
      <c r="DAD20" s="56"/>
      <c r="DAE20" s="56"/>
      <c r="DAF20" s="56"/>
      <c r="DAG20" s="57"/>
      <c r="DAH20" s="387"/>
      <c r="DAI20" s="57"/>
      <c r="DAJ20" s="387"/>
      <c r="DAK20" s="57"/>
      <c r="DAL20" s="387"/>
      <c r="DAM20" s="57"/>
      <c r="DAN20" s="57"/>
      <c r="DAO20" s="57"/>
      <c r="DAP20" s="57"/>
      <c r="DAQ20" s="57"/>
      <c r="DAR20" s="57"/>
      <c r="DAS20" s="57"/>
      <c r="DAT20" s="57"/>
      <c r="DAU20" s="57"/>
      <c r="DAV20" s="57"/>
      <c r="DAW20" s="57"/>
      <c r="DAX20" s="57"/>
      <c r="DAY20" s="57"/>
      <c r="DAZ20" s="57"/>
      <c r="DBA20" s="57"/>
      <c r="DBB20" s="57"/>
      <c r="DBC20" s="57"/>
      <c r="DBD20" s="57"/>
      <c r="DBE20" s="57"/>
      <c r="DBF20" s="57"/>
      <c r="DBG20" s="57"/>
      <c r="DBH20" s="57"/>
      <c r="DBI20" s="57"/>
      <c r="DBJ20" s="57"/>
      <c r="DBK20" s="57"/>
      <c r="DBL20" s="57"/>
      <c r="DBM20" s="57"/>
      <c r="DBN20" s="57"/>
      <c r="DBO20" s="57"/>
      <c r="DBP20" s="57"/>
      <c r="DBQ20" s="57"/>
      <c r="DBR20" s="58"/>
      <c r="DBS20" s="56"/>
      <c r="DBT20" s="57"/>
      <c r="DBU20" s="57"/>
      <c r="DBV20" s="57"/>
      <c r="DBW20" s="57"/>
      <c r="DBX20" s="57"/>
      <c r="DBY20" s="56"/>
      <c r="DBZ20" s="57"/>
      <c r="DCA20" s="57"/>
      <c r="DCB20" s="56"/>
      <c r="DCC20" s="57"/>
      <c r="DCD20" s="58"/>
      <c r="DCE20" s="56"/>
      <c r="DCF20" s="57"/>
      <c r="DCG20" s="57"/>
      <c r="DCH20" s="57"/>
      <c r="DCI20" s="56"/>
      <c r="DCJ20" s="57"/>
      <c r="DCK20" s="57"/>
      <c r="DCL20" s="56"/>
      <c r="DCM20" s="57"/>
      <c r="DCN20" s="58"/>
      <c r="DCO20" s="56"/>
      <c r="DCP20" s="57"/>
      <c r="DCQ20" s="57"/>
      <c r="DCR20" s="57"/>
      <c r="DCS20" s="56"/>
      <c r="DCT20" s="57"/>
      <c r="DCU20" s="57"/>
      <c r="DCV20" s="56"/>
      <c r="DCW20" s="57"/>
      <c r="DCX20" s="58"/>
      <c r="DCY20" s="56"/>
      <c r="DCZ20" s="57"/>
      <c r="DDA20" s="57"/>
      <c r="DDB20" s="57"/>
      <c r="DDC20" s="56"/>
      <c r="DDD20" s="57"/>
      <c r="DDE20" s="57"/>
      <c r="DDF20" s="56"/>
      <c r="DDG20" s="57"/>
      <c r="DDH20" s="58"/>
      <c r="DDI20" s="56"/>
      <c r="DDJ20" s="58"/>
      <c r="DDK20" s="57"/>
      <c r="DDL20" s="56"/>
      <c r="DDM20" s="57"/>
      <c r="DDN20" s="56"/>
      <c r="DDO20" s="56"/>
      <c r="DDP20" s="56"/>
      <c r="DDQ20" s="57"/>
      <c r="DDR20" s="387"/>
      <c r="DDS20" s="57"/>
      <c r="DDT20" s="387"/>
      <c r="DDU20" s="57"/>
      <c r="DDV20" s="387"/>
      <c r="DDW20" s="57"/>
      <c r="DDX20" s="57"/>
      <c r="DDY20" s="57"/>
      <c r="DDZ20" s="57"/>
      <c r="DEA20" s="57"/>
      <c r="DEB20" s="57"/>
      <c r="DEC20" s="57"/>
      <c r="DED20" s="57"/>
      <c r="DEE20" s="57"/>
      <c r="DEF20" s="57"/>
      <c r="DEG20" s="57"/>
      <c r="DEH20" s="57"/>
      <c r="DEI20" s="57"/>
      <c r="DEJ20" s="57"/>
      <c r="DEK20" s="57"/>
      <c r="DEL20" s="57"/>
      <c r="DEM20" s="57"/>
      <c r="DEN20" s="57"/>
      <c r="DEO20" s="57"/>
      <c r="DEP20" s="57"/>
      <c r="DEQ20" s="57"/>
      <c r="DER20" s="57"/>
      <c r="DES20" s="57"/>
      <c r="DET20" s="57"/>
      <c r="DEU20" s="57"/>
      <c r="DEV20" s="57"/>
      <c r="DEW20" s="57"/>
      <c r="DEX20" s="57"/>
      <c r="DEY20" s="57"/>
      <c r="DEZ20" s="57"/>
      <c r="DFA20" s="57"/>
      <c r="DFB20" s="58"/>
      <c r="DFC20" s="56"/>
      <c r="DFD20" s="57"/>
      <c r="DFE20" s="57"/>
      <c r="DFF20" s="57"/>
      <c r="DFG20" s="57"/>
      <c r="DFH20" s="57"/>
      <c r="DFI20" s="56"/>
      <c r="DFJ20" s="57"/>
      <c r="DFK20" s="57"/>
      <c r="DFL20" s="56"/>
      <c r="DFM20" s="57"/>
      <c r="DFN20" s="58"/>
      <c r="DFO20" s="56"/>
      <c r="DFP20" s="57"/>
      <c r="DFQ20" s="57"/>
      <c r="DFR20" s="57"/>
      <c r="DFS20" s="56"/>
      <c r="DFT20" s="57"/>
      <c r="DFU20" s="57"/>
      <c r="DFV20" s="56"/>
      <c r="DFW20" s="57"/>
      <c r="DFX20" s="58"/>
      <c r="DFY20" s="56"/>
      <c r="DFZ20" s="57"/>
      <c r="DGA20" s="57"/>
      <c r="DGB20" s="57"/>
      <c r="DGC20" s="56"/>
      <c r="DGD20" s="57"/>
      <c r="DGE20" s="57"/>
      <c r="DGF20" s="56"/>
      <c r="DGG20" s="57"/>
      <c r="DGH20" s="58"/>
      <c r="DGI20" s="56"/>
      <c r="DGJ20" s="57"/>
      <c r="DGK20" s="57"/>
      <c r="DGL20" s="57"/>
      <c r="DGM20" s="56"/>
      <c r="DGN20" s="57"/>
      <c r="DGO20" s="57"/>
      <c r="DGP20" s="56"/>
      <c r="DGQ20" s="57"/>
      <c r="DGR20" s="58"/>
      <c r="DGS20" s="56"/>
      <c r="DGT20" s="58"/>
      <c r="DGU20" s="57"/>
      <c r="DGV20" s="56"/>
      <c r="DGW20" s="57"/>
      <c r="DGX20" s="56"/>
      <c r="DGY20" s="56"/>
      <c r="DGZ20" s="56"/>
      <c r="DHA20" s="57"/>
      <c r="DHB20" s="387"/>
      <c r="DHC20" s="57"/>
      <c r="DHD20" s="387"/>
      <c r="DHE20" s="57"/>
      <c r="DHF20" s="387"/>
      <c r="DHG20" s="57"/>
      <c r="DHH20" s="57"/>
      <c r="DHI20" s="57"/>
      <c r="DHJ20" s="57"/>
      <c r="DHK20" s="57"/>
      <c r="DHL20" s="57"/>
      <c r="DHM20" s="57"/>
      <c r="DHN20" s="57"/>
      <c r="DHO20" s="57"/>
      <c r="DHP20" s="57"/>
      <c r="DHQ20" s="57"/>
      <c r="DHR20" s="57"/>
      <c r="DHS20" s="57"/>
      <c r="DHT20" s="57"/>
      <c r="DHU20" s="57"/>
      <c r="DHV20" s="57"/>
      <c r="DHW20" s="57"/>
      <c r="DHX20" s="57"/>
      <c r="DHY20" s="57"/>
      <c r="DHZ20" s="57"/>
      <c r="DIA20" s="57"/>
      <c r="DIB20" s="57"/>
      <c r="DIC20" s="57"/>
      <c r="DID20" s="57"/>
      <c r="DIE20" s="57"/>
      <c r="DIF20" s="57"/>
      <c r="DIG20" s="57"/>
      <c r="DIH20" s="57"/>
      <c r="DII20" s="57"/>
      <c r="DIJ20" s="57"/>
      <c r="DIK20" s="57"/>
      <c r="DIL20" s="58"/>
      <c r="DIM20" s="56"/>
      <c r="DIN20" s="57"/>
      <c r="DIO20" s="57"/>
      <c r="DIP20" s="57"/>
      <c r="DIQ20" s="57"/>
      <c r="DIR20" s="57"/>
      <c r="DIS20" s="56"/>
      <c r="DIT20" s="57"/>
      <c r="DIU20" s="57"/>
      <c r="DIV20" s="56"/>
      <c r="DIW20" s="57"/>
      <c r="DIX20" s="58"/>
      <c r="DIY20" s="56"/>
      <c r="DIZ20" s="57"/>
      <c r="DJA20" s="57"/>
      <c r="DJB20" s="57"/>
      <c r="DJC20" s="56"/>
      <c r="DJD20" s="57"/>
      <c r="DJE20" s="57"/>
      <c r="DJF20" s="56"/>
      <c r="DJG20" s="57"/>
      <c r="DJH20" s="58"/>
      <c r="DJI20" s="56"/>
      <c r="DJJ20" s="57"/>
      <c r="DJK20" s="57"/>
      <c r="DJL20" s="57"/>
      <c r="DJM20" s="56"/>
      <c r="DJN20" s="57"/>
      <c r="DJO20" s="57"/>
      <c r="DJP20" s="56"/>
      <c r="DJQ20" s="57"/>
      <c r="DJR20" s="58"/>
      <c r="DJS20" s="56"/>
      <c r="DJT20" s="57"/>
      <c r="DJU20" s="57"/>
      <c r="DJV20" s="57"/>
      <c r="DJW20" s="56"/>
      <c r="DJX20" s="57"/>
      <c r="DJY20" s="57"/>
      <c r="DJZ20" s="56"/>
      <c r="DKA20" s="57"/>
      <c r="DKB20" s="58"/>
      <c r="DKC20" s="56"/>
      <c r="DKD20" s="58"/>
      <c r="DKE20" s="57"/>
      <c r="DKF20" s="56"/>
      <c r="DKG20" s="57"/>
      <c r="DKH20" s="56"/>
      <c r="DKI20" s="56"/>
      <c r="DKJ20" s="56"/>
      <c r="DKK20" s="57"/>
      <c r="DKL20" s="387"/>
      <c r="DKM20" s="57"/>
      <c r="DKN20" s="387"/>
      <c r="DKO20" s="57"/>
      <c r="DKP20" s="387"/>
      <c r="DKQ20" s="57"/>
      <c r="DKR20" s="57"/>
      <c r="DKS20" s="57"/>
      <c r="DKT20" s="57"/>
      <c r="DKU20" s="57"/>
      <c r="DKV20" s="57"/>
      <c r="DKW20" s="57"/>
      <c r="DKX20" s="57"/>
      <c r="DKY20" s="57"/>
      <c r="DKZ20" s="57"/>
      <c r="DLA20" s="57"/>
      <c r="DLB20" s="57"/>
      <c r="DLC20" s="57"/>
      <c r="DLD20" s="57"/>
      <c r="DLE20" s="57"/>
      <c r="DLF20" s="57"/>
      <c r="DLG20" s="57"/>
      <c r="DLH20" s="57"/>
      <c r="DLI20" s="57"/>
      <c r="DLJ20" s="57"/>
      <c r="DLK20" s="57"/>
      <c r="DLL20" s="57"/>
      <c r="DLM20" s="57"/>
      <c r="DLN20" s="57"/>
      <c r="DLO20" s="57"/>
      <c r="DLP20" s="57"/>
      <c r="DLQ20" s="57"/>
      <c r="DLR20" s="57"/>
      <c r="DLS20" s="57"/>
      <c r="DLT20" s="57"/>
      <c r="DLU20" s="57"/>
      <c r="DLV20" s="58"/>
      <c r="DLW20" s="56"/>
      <c r="DLX20" s="57"/>
      <c r="DLY20" s="57"/>
      <c r="DLZ20" s="57"/>
      <c r="DMA20" s="57"/>
      <c r="DMB20" s="57"/>
      <c r="DMC20" s="56"/>
      <c r="DMD20" s="57"/>
      <c r="DME20" s="57"/>
      <c r="DMF20" s="56"/>
      <c r="DMG20" s="57"/>
      <c r="DMH20" s="58"/>
      <c r="DMI20" s="56"/>
      <c r="DMJ20" s="57"/>
      <c r="DMK20" s="57"/>
      <c r="DML20" s="57"/>
      <c r="DMM20" s="56"/>
      <c r="DMN20" s="57"/>
      <c r="DMO20" s="57"/>
      <c r="DMP20" s="56"/>
      <c r="DMQ20" s="57"/>
      <c r="DMR20" s="58"/>
      <c r="DMS20" s="56"/>
      <c r="DMT20" s="57"/>
      <c r="DMU20" s="57"/>
      <c r="DMV20" s="57"/>
      <c r="DMW20" s="56"/>
      <c r="DMX20" s="57"/>
      <c r="DMY20" s="57"/>
      <c r="DMZ20" s="56"/>
      <c r="DNA20" s="57"/>
      <c r="DNB20" s="58"/>
      <c r="DNC20" s="56"/>
      <c r="DND20" s="57"/>
      <c r="DNE20" s="57"/>
      <c r="DNF20" s="57"/>
      <c r="DNG20" s="56"/>
      <c r="DNH20" s="57"/>
      <c r="DNI20" s="57"/>
      <c r="DNJ20" s="56"/>
      <c r="DNK20" s="57"/>
      <c r="DNL20" s="58"/>
      <c r="DNM20" s="56"/>
      <c r="DNN20" s="58"/>
      <c r="DNO20" s="57"/>
      <c r="DNP20" s="56"/>
      <c r="DNQ20" s="57"/>
      <c r="DNR20" s="56"/>
      <c r="DNS20" s="56"/>
      <c r="DNT20" s="56"/>
      <c r="DNU20" s="57"/>
      <c r="DNV20" s="387"/>
      <c r="DNW20" s="57"/>
      <c r="DNX20" s="387"/>
      <c r="DNY20" s="57"/>
      <c r="DNZ20" s="387"/>
      <c r="DOA20" s="57"/>
      <c r="DOB20" s="57"/>
      <c r="DOC20" s="57"/>
      <c r="DOD20" s="57"/>
      <c r="DOE20" s="57"/>
      <c r="DOF20" s="57"/>
      <c r="DOG20" s="57"/>
      <c r="DOH20" s="57"/>
      <c r="DOI20" s="57"/>
      <c r="DOJ20" s="57"/>
      <c r="DOK20" s="57"/>
      <c r="DOL20" s="57"/>
      <c r="DOM20" s="57"/>
      <c r="DON20" s="57"/>
      <c r="DOO20" s="57"/>
      <c r="DOP20" s="57"/>
      <c r="DOQ20" s="57"/>
      <c r="DOR20" s="57"/>
      <c r="DOS20" s="57"/>
      <c r="DOT20" s="57"/>
      <c r="DOU20" s="57"/>
      <c r="DOV20" s="57"/>
      <c r="DOW20" s="57"/>
      <c r="DOX20" s="57"/>
      <c r="DOY20" s="57"/>
      <c r="DOZ20" s="57"/>
      <c r="DPA20" s="57"/>
      <c r="DPB20" s="57"/>
      <c r="DPC20" s="57"/>
      <c r="DPD20" s="57"/>
      <c r="DPE20" s="57"/>
      <c r="DPF20" s="58"/>
      <c r="DPG20" s="56"/>
      <c r="DPH20" s="57"/>
      <c r="DPI20" s="57"/>
      <c r="DPJ20" s="57"/>
      <c r="DPK20" s="57"/>
      <c r="DPL20" s="57"/>
      <c r="DPM20" s="56"/>
      <c r="DPN20" s="57"/>
      <c r="DPO20" s="57"/>
      <c r="DPP20" s="56"/>
      <c r="DPQ20" s="57"/>
      <c r="DPR20" s="58"/>
      <c r="DPS20" s="56"/>
      <c r="DPT20" s="57"/>
      <c r="DPU20" s="57"/>
      <c r="DPV20" s="57"/>
      <c r="DPW20" s="56"/>
      <c r="DPX20" s="57"/>
      <c r="DPY20" s="57"/>
      <c r="DPZ20" s="56"/>
      <c r="DQA20" s="57"/>
      <c r="DQB20" s="58"/>
      <c r="DQC20" s="56"/>
      <c r="DQD20" s="57"/>
      <c r="DQE20" s="57"/>
      <c r="DQF20" s="57"/>
      <c r="DQG20" s="56"/>
      <c r="DQH20" s="57"/>
      <c r="DQI20" s="57"/>
      <c r="DQJ20" s="56"/>
      <c r="DQK20" s="57"/>
      <c r="DQL20" s="58"/>
      <c r="DQM20" s="56"/>
      <c r="DQN20" s="57"/>
      <c r="DQO20" s="57"/>
      <c r="DQP20" s="57"/>
      <c r="DQQ20" s="56"/>
      <c r="DQR20" s="57"/>
      <c r="DQS20" s="57"/>
      <c r="DQT20" s="56"/>
      <c r="DQU20" s="57"/>
      <c r="DQV20" s="58"/>
      <c r="DQW20" s="56"/>
      <c r="DQX20" s="58"/>
      <c r="DQY20" s="57"/>
      <c r="DQZ20" s="56"/>
      <c r="DRA20" s="57"/>
      <c r="DRB20" s="56"/>
      <c r="DRC20" s="56"/>
      <c r="DRD20" s="56"/>
      <c r="DRE20" s="57"/>
      <c r="DRF20" s="387"/>
      <c r="DRG20" s="57"/>
      <c r="DRH20" s="387"/>
      <c r="DRI20" s="57"/>
      <c r="DRJ20" s="387"/>
      <c r="DRK20" s="57"/>
      <c r="DRL20" s="57"/>
      <c r="DRM20" s="57"/>
      <c r="DRN20" s="57"/>
      <c r="DRO20" s="57"/>
      <c r="DRP20" s="57"/>
      <c r="DRQ20" s="57"/>
      <c r="DRR20" s="57"/>
      <c r="DRS20" s="57"/>
      <c r="DRT20" s="57"/>
      <c r="DRU20" s="57"/>
      <c r="DRV20" s="57"/>
      <c r="DRW20" s="57"/>
      <c r="DRX20" s="57"/>
      <c r="DRY20" s="57"/>
      <c r="DRZ20" s="57"/>
      <c r="DSA20" s="57"/>
      <c r="DSB20" s="57"/>
      <c r="DSC20" s="57"/>
      <c r="DSD20" s="57"/>
      <c r="DSE20" s="57"/>
      <c r="DSF20" s="57"/>
      <c r="DSG20" s="57"/>
      <c r="DSH20" s="57"/>
      <c r="DSI20" s="57"/>
      <c r="DSJ20" s="57"/>
      <c r="DSK20" s="57"/>
      <c r="DSL20" s="57"/>
      <c r="DSM20" s="57"/>
      <c r="DSN20" s="57"/>
      <c r="DSO20" s="57"/>
      <c r="DSP20" s="58"/>
      <c r="DSQ20" s="56"/>
      <c r="DSR20" s="57"/>
      <c r="DSS20" s="57"/>
      <c r="DST20" s="57"/>
      <c r="DSU20" s="57"/>
      <c r="DSV20" s="57"/>
      <c r="DSW20" s="56"/>
      <c r="DSX20" s="57"/>
      <c r="DSY20" s="57"/>
      <c r="DSZ20" s="56"/>
      <c r="DTA20" s="57"/>
      <c r="DTB20" s="58"/>
      <c r="DTC20" s="56"/>
      <c r="DTD20" s="57"/>
      <c r="DTE20" s="57"/>
      <c r="DTF20" s="57"/>
      <c r="DTG20" s="56"/>
      <c r="DTH20" s="57"/>
      <c r="DTI20" s="57"/>
      <c r="DTJ20" s="56"/>
      <c r="DTK20" s="57"/>
      <c r="DTL20" s="58"/>
      <c r="DTM20" s="56"/>
      <c r="DTN20" s="57"/>
      <c r="DTO20" s="57"/>
      <c r="DTP20" s="57"/>
      <c r="DTQ20" s="56"/>
      <c r="DTR20" s="57"/>
      <c r="DTS20" s="57"/>
      <c r="DTT20" s="56"/>
      <c r="DTU20" s="57"/>
      <c r="DTV20" s="58"/>
      <c r="DTW20" s="56"/>
      <c r="DTX20" s="57"/>
      <c r="DTY20" s="57"/>
      <c r="DTZ20" s="57"/>
      <c r="DUA20" s="56"/>
      <c r="DUB20" s="57"/>
      <c r="DUC20" s="57"/>
      <c r="DUD20" s="56"/>
      <c r="DUE20" s="57"/>
      <c r="DUF20" s="58"/>
      <c r="DUG20" s="56"/>
      <c r="DUH20" s="58"/>
      <c r="DUI20" s="57"/>
      <c r="DUJ20" s="56"/>
      <c r="DUK20" s="57"/>
      <c r="DUL20" s="56"/>
      <c r="DUM20" s="56"/>
      <c r="DUN20" s="56"/>
      <c r="DUO20" s="57"/>
      <c r="DUP20" s="387"/>
      <c r="DUQ20" s="57"/>
      <c r="DUR20" s="387"/>
      <c r="DUS20" s="57"/>
      <c r="DUT20" s="387"/>
      <c r="DUU20" s="57"/>
      <c r="DUV20" s="57"/>
      <c r="DUW20" s="57"/>
      <c r="DUX20" s="57"/>
      <c r="DUY20" s="57"/>
      <c r="DUZ20" s="57"/>
      <c r="DVA20" s="57"/>
      <c r="DVB20" s="57"/>
      <c r="DVC20" s="57"/>
      <c r="DVD20" s="57"/>
      <c r="DVE20" s="57"/>
      <c r="DVF20" s="57"/>
      <c r="DVG20" s="57"/>
      <c r="DVH20" s="57"/>
      <c r="DVI20" s="57"/>
      <c r="DVJ20" s="57"/>
      <c r="DVK20" s="57"/>
      <c r="DVL20" s="57"/>
      <c r="DVM20" s="57"/>
      <c r="DVN20" s="57"/>
      <c r="DVO20" s="57"/>
      <c r="DVP20" s="57"/>
      <c r="DVQ20" s="57"/>
      <c r="DVR20" s="57"/>
      <c r="DVS20" s="57"/>
      <c r="DVT20" s="57"/>
      <c r="DVU20" s="57"/>
      <c r="DVV20" s="57"/>
      <c r="DVW20" s="57"/>
      <c r="DVX20" s="57"/>
      <c r="DVY20" s="57"/>
      <c r="DVZ20" s="58"/>
      <c r="DWA20" s="56"/>
      <c r="DWB20" s="57"/>
      <c r="DWC20" s="57"/>
      <c r="DWD20" s="57"/>
      <c r="DWE20" s="57"/>
      <c r="DWF20" s="57"/>
      <c r="DWG20" s="56"/>
      <c r="DWH20" s="57"/>
      <c r="DWI20" s="57"/>
      <c r="DWJ20" s="56"/>
      <c r="DWK20" s="57"/>
      <c r="DWL20" s="58"/>
      <c r="DWM20" s="56"/>
      <c r="DWN20" s="57"/>
      <c r="DWO20" s="57"/>
      <c r="DWP20" s="57"/>
      <c r="DWQ20" s="56"/>
      <c r="DWR20" s="57"/>
      <c r="DWS20" s="57"/>
      <c r="DWT20" s="56"/>
      <c r="DWU20" s="57"/>
      <c r="DWV20" s="58"/>
      <c r="DWW20" s="56"/>
      <c r="DWX20" s="57"/>
      <c r="DWY20" s="57"/>
      <c r="DWZ20" s="57"/>
      <c r="DXA20" s="56"/>
      <c r="DXB20" s="57"/>
      <c r="DXC20" s="57"/>
      <c r="DXD20" s="56"/>
      <c r="DXE20" s="57"/>
      <c r="DXF20" s="58"/>
      <c r="DXG20" s="56"/>
      <c r="DXH20" s="57"/>
      <c r="DXI20" s="57"/>
      <c r="DXJ20" s="57"/>
      <c r="DXK20" s="56"/>
      <c r="DXL20" s="57"/>
      <c r="DXM20" s="57"/>
      <c r="DXN20" s="56"/>
      <c r="DXO20" s="57"/>
      <c r="DXP20" s="58"/>
      <c r="DXQ20" s="56"/>
      <c r="DXR20" s="58"/>
      <c r="DXS20" s="57"/>
      <c r="DXT20" s="56"/>
      <c r="DXU20" s="57"/>
      <c r="DXV20" s="56"/>
      <c r="DXW20" s="56"/>
      <c r="DXX20" s="56"/>
      <c r="DXY20" s="57"/>
      <c r="DXZ20" s="387"/>
      <c r="DYA20" s="57"/>
      <c r="DYB20" s="387"/>
      <c r="DYC20" s="57"/>
      <c r="DYD20" s="387"/>
      <c r="DYE20" s="57"/>
      <c r="DYF20" s="57"/>
      <c r="DYG20" s="57"/>
      <c r="DYH20" s="57"/>
      <c r="DYI20" s="57"/>
      <c r="DYJ20" s="57"/>
      <c r="DYK20" s="57"/>
      <c r="DYL20" s="57"/>
      <c r="DYM20" s="57"/>
      <c r="DYN20" s="57"/>
      <c r="DYO20" s="57"/>
      <c r="DYP20" s="57"/>
      <c r="DYQ20" s="57"/>
      <c r="DYR20" s="57"/>
      <c r="DYS20" s="57"/>
      <c r="DYT20" s="57"/>
      <c r="DYU20" s="57"/>
      <c r="DYV20" s="57"/>
      <c r="DYW20" s="57"/>
      <c r="DYX20" s="57"/>
      <c r="DYY20" s="57"/>
      <c r="DYZ20" s="57"/>
      <c r="DZA20" s="57"/>
      <c r="DZB20" s="57"/>
      <c r="DZC20" s="57"/>
      <c r="DZD20" s="57"/>
      <c r="DZE20" s="57"/>
      <c r="DZF20" s="57"/>
      <c r="DZG20" s="57"/>
      <c r="DZH20" s="57"/>
      <c r="DZI20" s="57"/>
      <c r="DZJ20" s="58"/>
      <c r="DZK20" s="56"/>
      <c r="DZL20" s="57"/>
      <c r="DZM20" s="57"/>
      <c r="DZN20" s="57"/>
      <c r="DZO20" s="57"/>
      <c r="DZP20" s="57"/>
      <c r="DZQ20" s="56"/>
      <c r="DZR20" s="57"/>
      <c r="DZS20" s="57"/>
      <c r="DZT20" s="56"/>
      <c r="DZU20" s="57"/>
      <c r="DZV20" s="58"/>
      <c r="DZW20" s="56"/>
      <c r="DZX20" s="57"/>
      <c r="DZY20" s="57"/>
      <c r="DZZ20" s="57"/>
      <c r="EAA20" s="56"/>
      <c r="EAB20" s="57"/>
      <c r="EAC20" s="57"/>
      <c r="EAD20" s="56"/>
      <c r="EAE20" s="57"/>
      <c r="EAF20" s="58"/>
      <c r="EAG20" s="56"/>
      <c r="EAH20" s="57"/>
      <c r="EAI20" s="57"/>
      <c r="EAJ20" s="57"/>
      <c r="EAK20" s="56"/>
      <c r="EAL20" s="57"/>
      <c r="EAM20" s="57"/>
      <c r="EAN20" s="56"/>
      <c r="EAO20" s="57"/>
      <c r="EAP20" s="58"/>
      <c r="EAQ20" s="56"/>
      <c r="EAR20" s="57"/>
      <c r="EAS20" s="57"/>
      <c r="EAT20" s="57"/>
      <c r="EAU20" s="56"/>
      <c r="EAV20" s="57"/>
      <c r="EAW20" s="57"/>
      <c r="EAX20" s="56"/>
      <c r="EAY20" s="57"/>
      <c r="EAZ20" s="58"/>
      <c r="EBA20" s="56"/>
      <c r="EBB20" s="58"/>
      <c r="EBC20" s="57"/>
      <c r="EBD20" s="56"/>
      <c r="EBE20" s="57"/>
      <c r="EBF20" s="56"/>
      <c r="EBG20" s="56"/>
      <c r="EBH20" s="56"/>
      <c r="EBI20" s="57"/>
      <c r="EBJ20" s="387"/>
      <c r="EBK20" s="57"/>
      <c r="EBL20" s="387"/>
      <c r="EBM20" s="57"/>
      <c r="EBN20" s="387"/>
      <c r="EBO20" s="57"/>
      <c r="EBP20" s="57"/>
      <c r="EBQ20" s="57"/>
      <c r="EBR20" s="57"/>
      <c r="EBS20" s="57"/>
      <c r="EBT20" s="57"/>
      <c r="EBU20" s="57"/>
      <c r="EBV20" s="57"/>
      <c r="EBW20" s="57"/>
      <c r="EBX20" s="57"/>
      <c r="EBY20" s="57"/>
      <c r="EBZ20" s="57"/>
      <c r="ECA20" s="57"/>
      <c r="ECB20" s="57"/>
      <c r="ECC20" s="57"/>
      <c r="ECD20" s="57"/>
      <c r="ECE20" s="57"/>
      <c r="ECF20" s="57"/>
      <c r="ECG20" s="57"/>
      <c r="ECH20" s="57"/>
      <c r="ECI20" s="57"/>
      <c r="ECJ20" s="57"/>
      <c r="ECK20" s="57"/>
      <c r="ECL20" s="57"/>
      <c r="ECM20" s="57"/>
      <c r="ECN20" s="57"/>
      <c r="ECO20" s="57"/>
      <c r="ECP20" s="57"/>
      <c r="ECQ20" s="57"/>
      <c r="ECR20" s="57"/>
      <c r="ECS20" s="57"/>
      <c r="ECT20" s="58"/>
      <c r="ECU20" s="56"/>
      <c r="ECV20" s="57"/>
      <c r="ECW20" s="57"/>
      <c r="ECX20" s="57"/>
      <c r="ECY20" s="57"/>
      <c r="ECZ20" s="57"/>
      <c r="EDA20" s="56"/>
      <c r="EDB20" s="57"/>
      <c r="EDC20" s="57"/>
      <c r="EDD20" s="56"/>
      <c r="EDE20" s="57"/>
      <c r="EDF20" s="58"/>
      <c r="EDG20" s="56"/>
      <c r="EDH20" s="57"/>
      <c r="EDI20" s="57"/>
      <c r="EDJ20" s="57"/>
      <c r="EDK20" s="56"/>
      <c r="EDL20" s="57"/>
      <c r="EDM20" s="57"/>
      <c r="EDN20" s="56"/>
      <c r="EDO20" s="57"/>
      <c r="EDP20" s="58"/>
      <c r="EDQ20" s="56"/>
      <c r="EDR20" s="57"/>
      <c r="EDS20" s="57"/>
      <c r="EDT20" s="57"/>
      <c r="EDU20" s="56"/>
      <c r="EDV20" s="57"/>
      <c r="EDW20" s="57"/>
      <c r="EDX20" s="56"/>
      <c r="EDY20" s="57"/>
      <c r="EDZ20" s="58"/>
      <c r="EEA20" s="56"/>
      <c r="EEB20" s="57"/>
      <c r="EEC20" s="57"/>
      <c r="EED20" s="57"/>
      <c r="EEE20" s="56"/>
      <c r="EEF20" s="57"/>
      <c r="EEG20" s="57"/>
      <c r="EEH20" s="56"/>
      <c r="EEI20" s="57"/>
      <c r="EEJ20" s="58"/>
      <c r="EEK20" s="56"/>
      <c r="EEL20" s="58"/>
      <c r="EEM20" s="57"/>
      <c r="EEN20" s="56"/>
      <c r="EEO20" s="57"/>
      <c r="EEP20" s="56"/>
      <c r="EEQ20" s="56"/>
      <c r="EER20" s="56"/>
      <c r="EES20" s="57"/>
      <c r="EET20" s="387"/>
      <c r="EEU20" s="57"/>
      <c r="EEV20" s="387"/>
      <c r="EEW20" s="57"/>
      <c r="EEX20" s="387"/>
      <c r="EEY20" s="57"/>
      <c r="EEZ20" s="57"/>
      <c r="EFA20" s="57"/>
      <c r="EFB20" s="57"/>
      <c r="EFC20" s="57"/>
      <c r="EFD20" s="57"/>
      <c r="EFE20" s="57"/>
      <c r="EFF20" s="57"/>
      <c r="EFG20" s="57"/>
      <c r="EFH20" s="57"/>
      <c r="EFI20" s="57"/>
      <c r="EFJ20" s="57"/>
      <c r="EFK20" s="57"/>
      <c r="EFL20" s="57"/>
      <c r="EFM20" s="57"/>
      <c r="EFN20" s="57"/>
      <c r="EFO20" s="57"/>
      <c r="EFP20" s="57"/>
      <c r="EFQ20" s="57"/>
      <c r="EFR20" s="57"/>
      <c r="EFS20" s="57"/>
      <c r="EFT20" s="57"/>
      <c r="EFU20" s="57"/>
      <c r="EFV20" s="57"/>
      <c r="EFW20" s="57"/>
      <c r="EFX20" s="57"/>
      <c r="EFY20" s="57"/>
      <c r="EFZ20" s="57"/>
      <c r="EGA20" s="57"/>
      <c r="EGB20" s="57"/>
      <c r="EGC20" s="57"/>
      <c r="EGD20" s="58"/>
      <c r="EGE20" s="56"/>
      <c r="EGF20" s="57"/>
      <c r="EGG20" s="57"/>
      <c r="EGH20" s="57"/>
      <c r="EGI20" s="57"/>
      <c r="EGJ20" s="57"/>
      <c r="EGK20" s="56"/>
      <c r="EGL20" s="57"/>
      <c r="EGM20" s="57"/>
      <c r="EGN20" s="56"/>
      <c r="EGO20" s="57"/>
      <c r="EGP20" s="58"/>
      <c r="EGQ20" s="56"/>
      <c r="EGR20" s="57"/>
      <c r="EGS20" s="57"/>
      <c r="EGT20" s="57"/>
      <c r="EGU20" s="56"/>
      <c r="EGV20" s="57"/>
      <c r="EGW20" s="57"/>
      <c r="EGX20" s="56"/>
      <c r="EGY20" s="57"/>
      <c r="EGZ20" s="58"/>
      <c r="EHA20" s="56"/>
      <c r="EHB20" s="57"/>
      <c r="EHC20" s="57"/>
      <c r="EHD20" s="57"/>
      <c r="EHE20" s="56"/>
      <c r="EHF20" s="57"/>
      <c r="EHG20" s="57"/>
      <c r="EHH20" s="56"/>
      <c r="EHI20" s="57"/>
      <c r="EHJ20" s="58"/>
      <c r="EHK20" s="56"/>
      <c r="EHL20" s="57"/>
      <c r="EHM20" s="57"/>
      <c r="EHN20" s="57"/>
      <c r="EHO20" s="56"/>
      <c r="EHP20" s="57"/>
      <c r="EHQ20" s="57"/>
      <c r="EHR20" s="56"/>
      <c r="EHS20" s="57"/>
      <c r="EHT20" s="58"/>
      <c r="EHU20" s="56"/>
      <c r="EHV20" s="58"/>
      <c r="EHW20" s="57"/>
      <c r="EHX20" s="56"/>
      <c r="EHY20" s="57"/>
      <c r="EHZ20" s="56"/>
      <c r="EIA20" s="56"/>
      <c r="EIB20" s="56"/>
      <c r="EIC20" s="57"/>
      <c r="EID20" s="387"/>
      <c r="EIE20" s="57"/>
      <c r="EIF20" s="387"/>
      <c r="EIG20" s="57"/>
      <c r="EIH20" s="387"/>
      <c r="EII20" s="57"/>
      <c r="EIJ20" s="57"/>
      <c r="EIK20" s="57"/>
      <c r="EIL20" s="57"/>
      <c r="EIM20" s="57"/>
      <c r="EIN20" s="57"/>
      <c r="EIO20" s="57"/>
      <c r="EIP20" s="57"/>
      <c r="EIQ20" s="57"/>
      <c r="EIR20" s="57"/>
      <c r="EIS20" s="57"/>
      <c r="EIT20" s="57"/>
      <c r="EIU20" s="57"/>
      <c r="EIV20" s="57"/>
      <c r="EIW20" s="57"/>
      <c r="EIX20" s="57"/>
      <c r="EIY20" s="57"/>
      <c r="EIZ20" s="57"/>
      <c r="EJA20" s="57"/>
      <c r="EJB20" s="57"/>
      <c r="EJC20" s="57"/>
      <c r="EJD20" s="57"/>
      <c r="EJE20" s="57"/>
      <c r="EJF20" s="57"/>
      <c r="EJG20" s="57"/>
      <c r="EJH20" s="57"/>
      <c r="EJI20" s="57"/>
      <c r="EJJ20" s="57"/>
      <c r="EJK20" s="57"/>
      <c r="EJL20" s="57"/>
      <c r="EJM20" s="57"/>
      <c r="EJN20" s="58"/>
      <c r="EJO20" s="56"/>
      <c r="EJP20" s="57"/>
      <c r="EJQ20" s="57"/>
      <c r="EJR20" s="57"/>
      <c r="EJS20" s="57"/>
      <c r="EJT20" s="57"/>
      <c r="EJU20" s="56"/>
      <c r="EJV20" s="57"/>
      <c r="EJW20" s="57"/>
      <c r="EJX20" s="56"/>
      <c r="EJY20" s="57"/>
      <c r="EJZ20" s="58"/>
      <c r="EKA20" s="56"/>
      <c r="EKB20" s="57"/>
      <c r="EKC20" s="57"/>
      <c r="EKD20" s="57"/>
      <c r="EKE20" s="56"/>
      <c r="EKF20" s="57"/>
      <c r="EKG20" s="57"/>
      <c r="EKH20" s="56"/>
      <c r="EKI20" s="57"/>
      <c r="EKJ20" s="58"/>
      <c r="EKK20" s="56"/>
      <c r="EKL20" s="57"/>
      <c r="EKM20" s="57"/>
      <c r="EKN20" s="57"/>
      <c r="EKO20" s="56"/>
      <c r="EKP20" s="57"/>
      <c r="EKQ20" s="57"/>
      <c r="EKR20" s="56"/>
      <c r="EKS20" s="57"/>
      <c r="EKT20" s="58"/>
      <c r="EKU20" s="56"/>
      <c r="EKV20" s="57"/>
      <c r="EKW20" s="57"/>
      <c r="EKX20" s="57"/>
      <c r="EKY20" s="56"/>
      <c r="EKZ20" s="57"/>
      <c r="ELA20" s="57"/>
      <c r="ELB20" s="56"/>
      <c r="ELC20" s="57"/>
      <c r="ELD20" s="58"/>
      <c r="ELE20" s="56"/>
      <c r="ELF20" s="58"/>
      <c r="ELG20" s="57"/>
      <c r="ELH20" s="56"/>
      <c r="ELI20" s="57"/>
      <c r="ELJ20" s="56"/>
      <c r="ELK20" s="56"/>
      <c r="ELL20" s="56"/>
      <c r="ELM20" s="57"/>
      <c r="ELN20" s="387"/>
      <c r="ELO20" s="57"/>
      <c r="ELP20" s="387"/>
      <c r="ELQ20" s="57"/>
      <c r="ELR20" s="387"/>
      <c r="ELS20" s="57"/>
      <c r="ELT20" s="57"/>
      <c r="ELU20" s="57"/>
      <c r="ELV20" s="57"/>
      <c r="ELW20" s="57"/>
      <c r="ELX20" s="57"/>
      <c r="ELY20" s="57"/>
      <c r="ELZ20" s="57"/>
      <c r="EMA20" s="57"/>
      <c r="EMB20" s="57"/>
      <c r="EMC20" s="57"/>
      <c r="EMD20" s="57"/>
      <c r="EME20" s="57"/>
      <c r="EMF20" s="57"/>
      <c r="EMG20" s="57"/>
      <c r="EMH20" s="57"/>
      <c r="EMI20" s="57"/>
      <c r="EMJ20" s="57"/>
      <c r="EMK20" s="57"/>
      <c r="EML20" s="57"/>
      <c r="EMM20" s="57"/>
      <c r="EMN20" s="57"/>
      <c r="EMO20" s="57"/>
      <c r="EMP20" s="57"/>
      <c r="EMQ20" s="57"/>
      <c r="EMR20" s="57"/>
      <c r="EMS20" s="57"/>
      <c r="EMT20" s="57"/>
      <c r="EMU20" s="57"/>
      <c r="EMV20" s="57"/>
      <c r="EMW20" s="57"/>
      <c r="EMX20" s="58"/>
      <c r="EMY20" s="56"/>
      <c r="EMZ20" s="57"/>
      <c r="ENA20" s="57"/>
      <c r="ENB20" s="57"/>
      <c r="ENC20" s="57"/>
      <c r="END20" s="57"/>
      <c r="ENE20" s="56"/>
      <c r="ENF20" s="57"/>
      <c r="ENG20" s="57"/>
      <c r="ENH20" s="56"/>
      <c r="ENI20" s="57"/>
      <c r="ENJ20" s="58"/>
      <c r="ENK20" s="56"/>
      <c r="ENL20" s="57"/>
      <c r="ENM20" s="57"/>
      <c r="ENN20" s="57"/>
      <c r="ENO20" s="56"/>
      <c r="ENP20" s="57"/>
      <c r="ENQ20" s="57"/>
      <c r="ENR20" s="56"/>
      <c r="ENS20" s="57"/>
      <c r="ENT20" s="58"/>
      <c r="ENU20" s="56"/>
      <c r="ENV20" s="57"/>
      <c r="ENW20" s="57"/>
      <c r="ENX20" s="57"/>
      <c r="ENY20" s="56"/>
      <c r="ENZ20" s="57"/>
      <c r="EOA20" s="57"/>
      <c r="EOB20" s="56"/>
      <c r="EOC20" s="57"/>
      <c r="EOD20" s="58"/>
      <c r="EOE20" s="56"/>
      <c r="EOF20" s="57"/>
      <c r="EOG20" s="57"/>
      <c r="EOH20" s="57"/>
      <c r="EOI20" s="56"/>
      <c r="EOJ20" s="57"/>
      <c r="EOK20" s="57"/>
      <c r="EOL20" s="56"/>
      <c r="EOM20" s="57"/>
      <c r="EON20" s="58"/>
      <c r="EOO20" s="56" t="str">
        <f t="shared" si="149"/>
        <v xml:space="preserve"> </v>
      </c>
      <c r="EOP20" s="58"/>
      <c r="EOQ20" s="57"/>
      <c r="EOR20" s="56"/>
      <c r="EOS20" s="57"/>
      <c r="EOT20" s="56"/>
      <c r="EOU20" s="56"/>
      <c r="EOV20" s="56"/>
      <c r="EOW20" s="57"/>
      <c r="EOX20" s="387"/>
      <c r="EOY20" s="57"/>
      <c r="EOZ20" s="387"/>
      <c r="EPA20" s="57"/>
      <c r="EPB20" s="387"/>
      <c r="EPC20" s="57"/>
      <c r="EPD20" s="57"/>
      <c r="EPE20" s="57"/>
      <c r="EPF20" s="57"/>
      <c r="EPG20" s="57"/>
      <c r="EPH20" s="57"/>
      <c r="EPI20" s="57"/>
      <c r="EPJ20" s="57"/>
      <c r="EPK20" s="57"/>
      <c r="EPL20" s="57"/>
      <c r="EPM20" s="57"/>
      <c r="EPN20" s="57"/>
      <c r="EPO20" s="57"/>
      <c r="EPP20" s="57"/>
      <c r="EPQ20" s="57"/>
      <c r="EPR20" s="57"/>
      <c r="EPS20" s="57"/>
      <c r="EPT20" s="57"/>
      <c r="EPU20" s="57"/>
      <c r="EPV20" s="57"/>
      <c r="EPW20" s="57"/>
      <c r="EPX20" s="57"/>
      <c r="EPY20" s="57"/>
      <c r="EPZ20" s="57"/>
      <c r="EQA20" s="57"/>
      <c r="EQB20" s="57"/>
      <c r="EQC20" s="57"/>
      <c r="EQD20" s="57"/>
      <c r="EQE20" s="57"/>
      <c r="EQF20" s="57"/>
      <c r="EQG20" s="57"/>
      <c r="EQH20" s="58"/>
      <c r="EQI20" s="56"/>
      <c r="EQJ20" s="57"/>
      <c r="EQK20" s="57"/>
      <c r="EQL20" s="57"/>
      <c r="EQM20" s="57"/>
      <c r="EQN20" s="57"/>
      <c r="EQO20" s="56"/>
      <c r="EQP20" s="57"/>
      <c r="EQQ20" s="57"/>
      <c r="EQR20" s="56"/>
      <c r="EQS20" s="57"/>
      <c r="EQT20" s="58"/>
      <c r="EQU20" s="56"/>
      <c r="EQV20" s="57"/>
      <c r="EQW20" s="57"/>
      <c r="EQX20" s="57"/>
      <c r="EQY20" s="56"/>
      <c r="EQZ20" s="57"/>
      <c r="ERA20" s="57"/>
      <c r="ERB20" s="56"/>
      <c r="ERC20" s="57"/>
      <c r="ERD20" s="58"/>
      <c r="ERE20" s="56"/>
      <c r="ERF20" s="57"/>
      <c r="ERG20" s="57"/>
      <c r="ERH20" s="57"/>
      <c r="ERI20" s="56"/>
      <c r="ERJ20" s="57"/>
      <c r="ERK20" s="57"/>
      <c r="ERL20" s="56"/>
      <c r="ERM20" s="57"/>
      <c r="ERN20" s="58"/>
      <c r="ERO20" s="56"/>
      <c r="ERP20" s="57"/>
      <c r="ERQ20" s="57"/>
      <c r="ERR20" s="57"/>
      <c r="ERS20" s="56"/>
      <c r="ERT20" s="57"/>
      <c r="ERU20" s="57"/>
      <c r="ERV20" s="56"/>
      <c r="ERW20" s="57"/>
      <c r="ERX20" s="58"/>
      <c r="ERY20" s="56" t="str">
        <f t="shared" si="150"/>
        <v xml:space="preserve"> </v>
      </c>
      <c r="ERZ20" s="58"/>
      <c r="ESA20" s="57"/>
      <c r="ESB20" s="56"/>
      <c r="ESC20" s="57"/>
      <c r="ESD20" s="56"/>
      <c r="ESE20" s="56"/>
      <c r="ESF20" s="56"/>
      <c r="ESG20" s="57"/>
      <c r="ESH20" s="387"/>
      <c r="ESI20" s="57"/>
      <c r="ESJ20" s="387"/>
      <c r="ESK20" s="57"/>
      <c r="ESL20" s="387"/>
      <c r="ESM20" s="57"/>
      <c r="ESN20" s="57"/>
      <c r="ESO20" s="57"/>
      <c r="ESP20" s="57"/>
      <c r="ESQ20" s="57"/>
      <c r="ESR20" s="57"/>
      <c r="ESS20" s="57"/>
      <c r="EST20" s="57"/>
      <c r="ESU20" s="57"/>
      <c r="ESV20" s="57"/>
      <c r="ESW20" s="57"/>
      <c r="ESX20" s="57"/>
      <c r="ESY20" s="57"/>
      <c r="ESZ20" s="57"/>
      <c r="ETA20" s="57"/>
      <c r="ETB20" s="57"/>
      <c r="ETC20" s="57"/>
      <c r="ETD20" s="57"/>
      <c r="ETE20" s="57"/>
      <c r="ETF20" s="57"/>
      <c r="ETG20" s="57"/>
      <c r="ETH20" s="57"/>
      <c r="ETI20" s="57"/>
      <c r="ETJ20" s="57"/>
      <c r="ETK20" s="57"/>
      <c r="ETL20" s="57"/>
      <c r="ETM20" s="57"/>
      <c r="ETN20" s="57"/>
      <c r="ETO20" s="57"/>
      <c r="ETP20" s="57"/>
      <c r="ETQ20" s="57"/>
      <c r="ETR20" s="58"/>
      <c r="ETS20" s="56"/>
      <c r="ETT20" s="57"/>
      <c r="ETU20" s="57"/>
      <c r="ETV20" s="57"/>
      <c r="ETW20" s="57"/>
      <c r="ETX20" s="57"/>
      <c r="ETY20" s="56"/>
      <c r="ETZ20" s="57"/>
      <c r="EUA20" s="57"/>
      <c r="EUB20" s="56"/>
      <c r="EUC20" s="57"/>
      <c r="EUD20" s="58"/>
      <c r="EUE20" s="56"/>
      <c r="EUF20" s="57"/>
      <c r="EUG20" s="57"/>
      <c r="EUH20" s="57"/>
      <c r="EUI20" s="56"/>
      <c r="EUJ20" s="57"/>
      <c r="EUK20" s="57"/>
      <c r="EUL20" s="56"/>
      <c r="EUM20" s="57"/>
      <c r="EUN20" s="58"/>
      <c r="EUO20" s="56"/>
      <c r="EUP20" s="57"/>
      <c r="EUQ20" s="57"/>
      <c r="EUR20" s="57"/>
      <c r="EUS20" s="56"/>
      <c r="EUT20" s="57"/>
      <c r="EUU20" s="57"/>
      <c r="EUV20" s="56"/>
      <c r="EUW20" s="57"/>
      <c r="EUX20" s="58"/>
      <c r="EUY20" s="56"/>
      <c r="EUZ20" s="57"/>
      <c r="EVA20" s="57"/>
      <c r="EVB20" s="57"/>
      <c r="EVC20" s="56"/>
      <c r="EVD20" s="57"/>
      <c r="EVE20" s="57"/>
      <c r="EVF20" s="56"/>
      <c r="EVG20" s="57"/>
      <c r="EVH20" s="58"/>
      <c r="EVI20" s="56" t="str">
        <f t="shared" si="151"/>
        <v xml:space="preserve"> </v>
      </c>
    </row>
    <row r="21" spans="1:3961" x14ac:dyDescent="0.3">
      <c r="A21" s="423" t="s">
        <v>167</v>
      </c>
      <c r="B21" s="30" t="str">
        <f>'REG y VAL POE - AESR - ESR'!B1541</f>
        <v xml:space="preserve">Aguilera Pacheco Victor </v>
      </c>
      <c r="C21" s="29" t="str">
        <f>'REG y VAL POE - AESR - ESR'!C1541</f>
        <v>Sin Registro</v>
      </c>
      <c r="D21" s="28">
        <f>'REG y VAL POE - AESR - ESR'!D1541</f>
        <v>23157834</v>
      </c>
      <c r="E21" s="29">
        <f>'REG y VAL POE - AESR - ESR'!E1541</f>
        <v>0</v>
      </c>
      <c r="F21" s="28">
        <f>'REG y VAL POE - AESR - ESR'!F1541</f>
        <v>0</v>
      </c>
      <c r="G21" s="31">
        <f>'REG y VAL POE - AESR - ESR'!G1541</f>
        <v>0</v>
      </c>
      <c r="H21" s="31">
        <f>'REG y VAL POE - AESR - ESR'!H1541</f>
        <v>0</v>
      </c>
      <c r="I21" s="29">
        <f>'REG y VAL POE - AESR - ESR'!I1541</f>
        <v>0</v>
      </c>
      <c r="J21" s="29">
        <f>'REG y VAL POE - AESR - ESR'!J1541</f>
        <v>0</v>
      </c>
      <c r="K21" s="29">
        <f>'REG y VAL POE - AESR - ESR'!K1541</f>
        <v>0</v>
      </c>
      <c r="L21" s="29">
        <f>'REG y VAL POE - AESR - ESR'!L1541</f>
        <v>0</v>
      </c>
      <c r="M21" s="29">
        <f>'REG y VAL POE - AESR - ESR'!M1541</f>
        <v>0</v>
      </c>
      <c r="N21" s="29">
        <f>'REG y VAL POE - AESR - ESR'!N1541</f>
        <v>0</v>
      </c>
      <c r="O21" s="29">
        <f>'REG y VAL POE - AESR - ESR'!O1541</f>
        <v>0</v>
      </c>
      <c r="P21" s="29">
        <f>'REG y VAL POE - AESR - ESR'!P1541</f>
        <v>0</v>
      </c>
      <c r="Q21" s="29">
        <f>'REG y VAL POE - AESR - ESR'!Q1541</f>
        <v>0</v>
      </c>
      <c r="R21" s="29">
        <f>'REG y VAL POE - AESR - ESR'!R1541</f>
        <v>0</v>
      </c>
      <c r="S21" s="29">
        <f>'REG y VAL POE - AESR - ESR'!S1541</f>
        <v>0</v>
      </c>
      <c r="T21" s="29">
        <f>'REG y VAL POE - AESR - ESR'!T1541</f>
        <v>0</v>
      </c>
      <c r="U21" s="29">
        <f>'REG y VAL POE - AESR - ESR'!U1541</f>
        <v>0</v>
      </c>
      <c r="V21" s="29">
        <f>'REG y VAL POE - AESR - ESR'!V1541</f>
        <v>0</v>
      </c>
      <c r="W21" s="29">
        <f>'REG y VAL POE - AESR - ESR'!W1541</f>
        <v>0</v>
      </c>
      <c r="X21" s="29">
        <f>'REG y VAL POE - AESR - ESR'!X1541</f>
        <v>0</v>
      </c>
      <c r="Y21" s="29">
        <f>'REG y VAL POE - AESR - ESR'!Y1541</f>
        <v>0</v>
      </c>
      <c r="Z21" s="29">
        <f>'REG y VAL POE - AESR - ESR'!Z1541</f>
        <v>0</v>
      </c>
      <c r="AA21" s="29">
        <f>'REG y VAL POE - AESR - ESR'!AA1541</f>
        <v>0</v>
      </c>
      <c r="AB21" s="29">
        <f>'REG y VAL POE - AESR - ESR'!AB1541</f>
        <v>0</v>
      </c>
      <c r="AC21" s="29">
        <f>'REG y VAL POE - AESR - ESR'!AC1541</f>
        <v>0</v>
      </c>
      <c r="AD21" s="29">
        <f>'REG y VAL POE - AESR - ESR'!AD1541</f>
        <v>0</v>
      </c>
      <c r="AE21" s="29">
        <f>'REG y VAL POE - AESR - ESR'!AE1541</f>
        <v>0</v>
      </c>
      <c r="AF21" s="29">
        <f>'REG y VAL POE - AESR - ESR'!AF1541</f>
        <v>0</v>
      </c>
      <c r="AG21" s="29">
        <f>'REG y VAL POE - AESR - ESR'!AG1541</f>
        <v>0</v>
      </c>
      <c r="AH21" s="29">
        <f>'REG y VAL POE - AESR - ESR'!AH1541</f>
        <v>0</v>
      </c>
      <c r="AI21" s="29">
        <f>'REG y VAL POE - AESR - ESR'!AI1541</f>
        <v>0</v>
      </c>
      <c r="AJ21" s="29">
        <f>'REG y VAL POE - AESR - ESR'!AJ1541</f>
        <v>0</v>
      </c>
      <c r="AK21" s="29">
        <f>'REG y VAL POE - AESR - ESR'!AK1541</f>
        <v>0</v>
      </c>
      <c r="AL21" s="29">
        <f>'REG y VAL POE - AESR - ESR'!AL1541</f>
        <v>0</v>
      </c>
      <c r="AM21" s="29">
        <f>'REG y VAL POE - AESR - ESR'!AM1541</f>
        <v>0</v>
      </c>
      <c r="AN21" s="29">
        <f>'REG y VAL POE - AESR - ESR'!AN1541</f>
        <v>0</v>
      </c>
      <c r="AO21" s="29">
        <f>'REG y VAL POE - AESR - ESR'!AO1541</f>
        <v>0</v>
      </c>
      <c r="AP21" s="29">
        <f>'REG y VAL POE - AESR - ESR'!AP1541</f>
        <v>0</v>
      </c>
      <c r="AQ21" s="29">
        <f>'REG y VAL POE - AESR - ESR'!AQ1541</f>
        <v>0</v>
      </c>
      <c r="AR21" s="29">
        <f>'REG y VAL POE - AESR - ESR'!AR1541</f>
        <v>0</v>
      </c>
      <c r="AS21" s="29">
        <f>'REG y VAL POE - AESR - ESR'!AS1541</f>
        <v>0</v>
      </c>
      <c r="AT21" s="30" t="str">
        <f>'REG y VAL POE - AESR - ESR'!B1542</f>
        <v xml:space="preserve">Alonso Galicia Osmara Del Carmen </v>
      </c>
      <c r="AU21" s="28" t="str">
        <f>'REG y VAL POE - AESR - ESR'!C1542</f>
        <v>Sin Registro</v>
      </c>
      <c r="AV21" s="29">
        <f>'REG y VAL POE - AESR - ESR'!D1542</f>
        <v>23147509</v>
      </c>
      <c r="AW21" s="30">
        <f>'REG y VAL POE - AESR - ESR'!E1542</f>
        <v>0</v>
      </c>
      <c r="AX21" s="29">
        <f>'REG y VAL POE - AESR - ESR'!F1542</f>
        <v>0</v>
      </c>
      <c r="AY21" s="29">
        <f>'REG y VAL POE - AESR - ESR'!G1542</f>
        <v>0</v>
      </c>
      <c r="AZ21" s="29">
        <f>'REG y VAL POE - AESR - ESR'!H1542</f>
        <v>0</v>
      </c>
      <c r="BA21" s="28">
        <f>'REG y VAL POE - AESR - ESR'!I1542</f>
        <v>0</v>
      </c>
      <c r="BB21" s="29">
        <f>'REG y VAL POE - AESR - ESR'!J1542</f>
        <v>0</v>
      </c>
      <c r="BC21" s="29">
        <f>'REG y VAL POE - AESR - ESR'!K1542</f>
        <v>0</v>
      </c>
      <c r="BD21" s="28">
        <f>'REG y VAL POE - AESR - ESR'!L1542</f>
        <v>0</v>
      </c>
      <c r="BE21" s="29">
        <f>'REG y VAL POE - AESR - ESR'!M1542</f>
        <v>0</v>
      </c>
      <c r="BF21" s="30">
        <f>'REG y VAL POE - AESR - ESR'!N1542</f>
        <v>0</v>
      </c>
      <c r="BG21" s="28">
        <f>'REG y VAL POE - AESR - ESR'!O1542</f>
        <v>0</v>
      </c>
      <c r="BH21" s="29">
        <f>'REG y VAL POE - AESR - ESR'!P1542</f>
        <v>0</v>
      </c>
      <c r="BI21" s="30">
        <f>'REG y VAL POE - AESR - ESR'!Q1542</f>
        <v>0</v>
      </c>
      <c r="BJ21" s="29">
        <f>'REG y VAL POE - AESR - ESR'!R1542</f>
        <v>0</v>
      </c>
      <c r="BK21" s="28">
        <f>'REG y VAL POE - AESR - ESR'!S1542</f>
        <v>0</v>
      </c>
      <c r="BL21" s="29">
        <f>'REG y VAL POE - AESR - ESR'!T1542</f>
        <v>0</v>
      </c>
      <c r="BM21" s="29">
        <f>'REG y VAL POE - AESR - ESR'!U1542</f>
        <v>0</v>
      </c>
      <c r="BN21" s="28">
        <f>'REG y VAL POE - AESR - ESR'!V1542</f>
        <v>0</v>
      </c>
      <c r="BO21" s="29">
        <f>'REG y VAL POE - AESR - ESR'!W1542</f>
        <v>0</v>
      </c>
      <c r="BP21" s="30">
        <f>'REG y VAL POE - AESR - ESR'!X1542</f>
        <v>0</v>
      </c>
      <c r="BQ21" s="28">
        <f>'REG y VAL POE - AESR - ESR'!Y1542</f>
        <v>0</v>
      </c>
      <c r="BR21" s="29">
        <f>'REG y VAL POE - AESR - ESR'!Z1542</f>
        <v>0</v>
      </c>
      <c r="BS21" s="30">
        <f>'REG y VAL POE - AESR - ESR'!AA1542</f>
        <v>0</v>
      </c>
      <c r="BT21" s="29">
        <f>'REG y VAL POE - AESR - ESR'!AB1542</f>
        <v>0</v>
      </c>
      <c r="BU21" s="28">
        <f>'REG y VAL POE - AESR - ESR'!AC1542</f>
        <v>0</v>
      </c>
      <c r="BV21" s="29">
        <f>'REG y VAL POE - AESR - ESR'!AD1542</f>
        <v>0</v>
      </c>
      <c r="BW21" s="29">
        <f>'REG y VAL POE - AESR - ESR'!AE1542</f>
        <v>0</v>
      </c>
      <c r="BX21" s="28">
        <f>'REG y VAL POE - AESR - ESR'!AF1542</f>
        <v>0</v>
      </c>
      <c r="BY21" s="29">
        <f>'REG y VAL POE - AESR - ESR'!AG1542</f>
        <v>0</v>
      </c>
      <c r="BZ21" s="30">
        <f>'REG y VAL POE - AESR - ESR'!AH1542</f>
        <v>0</v>
      </c>
      <c r="CA21" s="28">
        <f>'REG y VAL POE - AESR - ESR'!AI1542</f>
        <v>0</v>
      </c>
      <c r="CB21" s="29">
        <f>'REG y VAL POE - AESR - ESR'!AJ1542</f>
        <v>0</v>
      </c>
      <c r="CC21" s="30">
        <f>'REG y VAL POE - AESR - ESR'!AK1542</f>
        <v>0</v>
      </c>
      <c r="CD21" s="29">
        <f>'REG y VAL POE - AESR - ESR'!AL1542</f>
        <v>0</v>
      </c>
      <c r="CE21" s="28">
        <f>'REG y VAL POE - AESR - ESR'!AM1542</f>
        <v>0</v>
      </c>
      <c r="CF21" s="29">
        <f>'REG y VAL POE - AESR - ESR'!AN1542</f>
        <v>0</v>
      </c>
      <c r="CG21" s="29">
        <f>'REG y VAL POE - AESR - ESR'!AO1542</f>
        <v>0</v>
      </c>
      <c r="CH21" s="28">
        <f>'REG y VAL POE - AESR - ESR'!AP1542</f>
        <v>0</v>
      </c>
      <c r="CI21" s="29">
        <f>'REG y VAL POE - AESR - ESR'!AQ1542</f>
        <v>0</v>
      </c>
      <c r="CJ21" s="30">
        <f>'REG y VAL POE - AESR - ESR'!AR1542</f>
        <v>0</v>
      </c>
      <c r="CK21" s="28">
        <f>'REG y VAL POE - AESR - ESR'!AS1542</f>
        <v>0</v>
      </c>
      <c r="CL21" s="29" t="str">
        <f>'REG y VAL POE - AESR - ESR'!B1543</f>
        <v xml:space="preserve">Bibiano Rebollar Gustavo </v>
      </c>
      <c r="CM21" s="30" t="str">
        <f>'REG y VAL POE - AESR - ESR'!C1543</f>
        <v>Sin Registro</v>
      </c>
      <c r="CN21" s="29">
        <f>'REG y VAL POE - AESR - ESR'!D1543</f>
        <v>23176659</v>
      </c>
      <c r="CO21" s="28">
        <f>'REG y VAL POE - AESR - ESR'!E1543</f>
        <v>0</v>
      </c>
      <c r="CP21" s="29">
        <f>'REG y VAL POE - AESR - ESR'!F1543</f>
        <v>0</v>
      </c>
      <c r="CQ21" s="29">
        <f>'REG y VAL POE - AESR - ESR'!G1543</f>
        <v>0</v>
      </c>
      <c r="CR21" s="28">
        <f>'REG y VAL POE - AESR - ESR'!H1543</f>
        <v>0</v>
      </c>
      <c r="CS21" s="29">
        <f>'REG y VAL POE - AESR - ESR'!I1543</f>
        <v>0</v>
      </c>
      <c r="CT21" s="30">
        <f>'REG y VAL POE - AESR - ESR'!J1543</f>
        <v>0</v>
      </c>
      <c r="CU21" s="28">
        <f>'REG y VAL POE - AESR - ESR'!K1543</f>
        <v>0</v>
      </c>
      <c r="CV21" s="29">
        <f>'REG y VAL POE - AESR - ESR'!L1543</f>
        <v>0</v>
      </c>
      <c r="CW21" s="30">
        <f>'REG y VAL POE - AESR - ESR'!M1543</f>
        <v>0</v>
      </c>
      <c r="CX21" s="29">
        <f>'REG y VAL POE - AESR - ESR'!N1543</f>
        <v>0</v>
      </c>
      <c r="CY21" s="28">
        <f>'REG y VAL POE - AESR - ESR'!O1543</f>
        <v>0</v>
      </c>
      <c r="CZ21" s="29">
        <f>'REG y VAL POE - AESR - ESR'!P1543</f>
        <v>0</v>
      </c>
      <c r="DA21" s="29">
        <f>'REG y VAL POE - AESR - ESR'!Q1543</f>
        <v>0</v>
      </c>
      <c r="DB21" s="28">
        <f>'REG y VAL POE - AESR - ESR'!R1543</f>
        <v>0</v>
      </c>
      <c r="DC21" s="29">
        <f>'REG y VAL POE - AESR - ESR'!S1543</f>
        <v>0</v>
      </c>
      <c r="DD21" s="30">
        <f>'REG y VAL POE - AESR - ESR'!T1543</f>
        <v>0</v>
      </c>
      <c r="DE21" s="28">
        <f>'REG y VAL POE - AESR - ESR'!U1543</f>
        <v>0</v>
      </c>
      <c r="DF21" s="29">
        <f>'REG y VAL POE - AESR - ESR'!V1543</f>
        <v>0</v>
      </c>
      <c r="DG21" s="30">
        <f>'REG y VAL POE - AESR - ESR'!W1543</f>
        <v>0</v>
      </c>
      <c r="DH21" s="29">
        <f>'REG y VAL POE - AESR - ESR'!X1543</f>
        <v>0</v>
      </c>
      <c r="DI21" s="28">
        <f>'REG y VAL POE - AESR - ESR'!Y1543</f>
        <v>0</v>
      </c>
      <c r="DJ21" s="29">
        <f>'REG y VAL POE - AESR - ESR'!Z1543</f>
        <v>0</v>
      </c>
      <c r="DK21" s="29">
        <f>'REG y VAL POE - AESR - ESR'!AA1543</f>
        <v>0</v>
      </c>
      <c r="DL21" s="28">
        <f>'REG y VAL POE - AESR - ESR'!AB1543</f>
        <v>0</v>
      </c>
      <c r="DM21" s="29">
        <f>'REG y VAL POE - AESR - ESR'!AC1543</f>
        <v>0</v>
      </c>
      <c r="DN21" s="30">
        <f>'REG y VAL POE - AESR - ESR'!AD1543</f>
        <v>0</v>
      </c>
      <c r="DO21" s="28">
        <f>'REG y VAL POE - AESR - ESR'!AE1543</f>
        <v>0</v>
      </c>
      <c r="DP21" s="29">
        <f>'REG y VAL POE - AESR - ESR'!AF1543</f>
        <v>0</v>
      </c>
      <c r="DQ21" s="30">
        <f>'REG y VAL POE - AESR - ESR'!AG1543</f>
        <v>0</v>
      </c>
      <c r="DR21" s="29">
        <f>'REG y VAL POE - AESR - ESR'!AH1543</f>
        <v>0</v>
      </c>
      <c r="DS21" s="28">
        <f>'REG y VAL POE - AESR - ESR'!AI1543</f>
        <v>0</v>
      </c>
      <c r="DT21" s="29">
        <f>'REG y VAL POE - AESR - ESR'!AJ1543</f>
        <v>0</v>
      </c>
      <c r="DU21" s="29">
        <f>'REG y VAL POE - AESR - ESR'!AK1543</f>
        <v>0</v>
      </c>
      <c r="DV21" s="28">
        <f>'REG y VAL POE - AESR - ESR'!AL1543</f>
        <v>0</v>
      </c>
      <c r="DW21" s="29">
        <f>'REG y VAL POE - AESR - ESR'!AM1543</f>
        <v>0</v>
      </c>
      <c r="DX21" s="30">
        <f>'REG y VAL POE - AESR - ESR'!AN1543</f>
        <v>0</v>
      </c>
      <c r="DY21" s="28">
        <f>'REG y VAL POE - AESR - ESR'!AO1543</f>
        <v>0</v>
      </c>
      <c r="DZ21" s="29">
        <f>'REG y VAL POE - AESR - ESR'!AP1543</f>
        <v>0</v>
      </c>
      <c r="EA21" s="30">
        <f>'REG y VAL POE - AESR - ESR'!AQ1543</f>
        <v>0</v>
      </c>
      <c r="EB21" s="29">
        <f>'REG y VAL POE - AESR - ESR'!AR1543</f>
        <v>0</v>
      </c>
      <c r="EC21" s="28">
        <f>'REG y VAL POE - AESR - ESR'!AS1543</f>
        <v>0</v>
      </c>
      <c r="ED21" s="29" t="str">
        <f>'REG y VAL POE - AESR - ESR'!B1544</f>
        <v xml:space="preserve">Carballo Carranza David </v>
      </c>
      <c r="EE21" s="28" t="str">
        <f>'REG y VAL POE - AESR - ESR'!C1544</f>
        <v>Sin Registro</v>
      </c>
      <c r="EF21" s="28">
        <f>'REG y VAL POE - AESR - ESR'!D1544</f>
        <v>23094114</v>
      </c>
      <c r="EG21" s="29">
        <f>'REG y VAL POE - AESR - ESR'!E1544</f>
        <v>0</v>
      </c>
      <c r="EH21" s="30">
        <f>'REG y VAL POE - AESR - ESR'!F1544</f>
        <v>0</v>
      </c>
      <c r="EI21" s="28">
        <f>'REG y VAL POE - AESR - ESR'!G1544</f>
        <v>0</v>
      </c>
      <c r="EJ21" s="29">
        <f>'REG y VAL POE - AESR - ESR'!H1544</f>
        <v>0</v>
      </c>
      <c r="EK21" s="30">
        <f>'REG y VAL POE - AESR - ESR'!I1544</f>
        <v>0</v>
      </c>
      <c r="EL21" s="29">
        <f>'REG y VAL POE - AESR - ESR'!J1544</f>
        <v>0</v>
      </c>
      <c r="EM21" s="28">
        <f>'REG y VAL POE - AESR - ESR'!K1544</f>
        <v>0</v>
      </c>
      <c r="EN21" s="29">
        <f>'REG y VAL POE - AESR - ESR'!L1544</f>
        <v>0</v>
      </c>
      <c r="EO21" s="33">
        <f>'REG y VAL POE - AESR - ESR'!M1544</f>
        <v>0</v>
      </c>
      <c r="EP21" s="28">
        <f>'REG y VAL POE - AESR - ESR'!N1544</f>
        <v>0</v>
      </c>
      <c r="EQ21" s="29">
        <f>'REG y VAL POE - AESR - ESR'!O1544</f>
        <v>0</v>
      </c>
      <c r="ER21" s="30">
        <f>'REG y VAL POE - AESR - ESR'!P1544</f>
        <v>0</v>
      </c>
      <c r="ES21" s="28">
        <f>'REG y VAL POE - AESR - ESR'!Q1544</f>
        <v>0</v>
      </c>
      <c r="ET21" s="29">
        <f>'REG y VAL POE - AESR - ESR'!R1544</f>
        <v>0</v>
      </c>
      <c r="EU21" s="30">
        <f>'REG y VAL POE - AESR - ESR'!S1544</f>
        <v>0</v>
      </c>
      <c r="EV21" s="29">
        <f>'REG y VAL POE - AESR - ESR'!T1544</f>
        <v>0</v>
      </c>
      <c r="EW21" s="28">
        <f>'REG y VAL POE - AESR - ESR'!U1544</f>
        <v>0</v>
      </c>
      <c r="EX21" s="29">
        <f>'REG y VAL POE - AESR - ESR'!V1544</f>
        <v>0</v>
      </c>
      <c r="EY21" s="29">
        <f>'REG y VAL POE - AESR - ESR'!W1544</f>
        <v>0</v>
      </c>
      <c r="EZ21" s="28">
        <f>'REG y VAL POE - AESR - ESR'!X1544</f>
        <v>0</v>
      </c>
      <c r="FA21" s="29">
        <f>'REG y VAL POE - AESR - ESR'!Y1544</f>
        <v>0</v>
      </c>
      <c r="FB21" s="30">
        <f>'REG y VAL POE - AESR - ESR'!Z1544</f>
        <v>0</v>
      </c>
      <c r="FC21" s="28">
        <f>'REG y VAL POE - AESR - ESR'!AA1544</f>
        <v>0</v>
      </c>
      <c r="FD21" s="29">
        <f>'REG y VAL POE - AESR - ESR'!AB1544</f>
        <v>0</v>
      </c>
      <c r="FE21" s="30">
        <f>'REG y VAL POE - AESR - ESR'!AC1544</f>
        <v>0</v>
      </c>
      <c r="FF21" s="29">
        <f>'REG y VAL POE - AESR - ESR'!AD1544</f>
        <v>0</v>
      </c>
      <c r="FG21" s="28">
        <f>'REG y VAL POE - AESR - ESR'!AE1544</f>
        <v>0</v>
      </c>
      <c r="FH21" s="29">
        <f>'REG y VAL POE - AESR - ESR'!AF1544</f>
        <v>0</v>
      </c>
      <c r="FI21" s="29">
        <f>'REG y VAL POE - AESR - ESR'!AG1544</f>
        <v>0</v>
      </c>
      <c r="FJ21" s="28">
        <f>'REG y VAL POE - AESR - ESR'!AH1544</f>
        <v>0</v>
      </c>
      <c r="FK21" s="29">
        <f>'REG y VAL POE - AESR - ESR'!AI1544</f>
        <v>0</v>
      </c>
      <c r="FL21" s="30">
        <f>'REG y VAL POE - AESR - ESR'!AJ1544</f>
        <v>0</v>
      </c>
      <c r="FM21" s="28">
        <f>'REG y VAL POE - AESR - ESR'!AK1544</f>
        <v>0</v>
      </c>
      <c r="FN21" s="29">
        <f>'REG y VAL POE - AESR - ESR'!AL1544</f>
        <v>0</v>
      </c>
      <c r="FO21" s="30">
        <f>'REG y VAL POE - AESR - ESR'!AM1544</f>
        <v>0</v>
      </c>
      <c r="FP21" s="29">
        <f>'REG y VAL POE - AESR - ESR'!AN1544</f>
        <v>0</v>
      </c>
      <c r="FQ21" s="28">
        <f>'REG y VAL POE - AESR - ESR'!AO1544</f>
        <v>0</v>
      </c>
      <c r="FR21" s="29">
        <f>'REG y VAL POE - AESR - ESR'!AP1544</f>
        <v>0</v>
      </c>
      <c r="FS21" s="29">
        <f>'REG y VAL POE - AESR - ESR'!AQ1544</f>
        <v>0</v>
      </c>
      <c r="FT21" s="28">
        <f>'REG y VAL POE - AESR - ESR'!AR1544</f>
        <v>0</v>
      </c>
      <c r="FU21" s="29">
        <f>'REG y VAL POE - AESR - ESR'!AS1544</f>
        <v>0</v>
      </c>
      <c r="FV21" s="30" t="str">
        <f>'REG y VAL POE - AESR - ESR'!B1545</f>
        <v xml:space="preserve">Cruz Colector Jose </v>
      </c>
      <c r="FW21" s="28" t="str">
        <f>'REG y VAL POE - AESR - ESR'!C1545</f>
        <v>Sin Registro</v>
      </c>
      <c r="FX21" s="29">
        <f>'REG y VAL POE - AESR - ESR'!D1545</f>
        <v>23147816</v>
      </c>
      <c r="FY21" s="30">
        <f>'REG y VAL POE - AESR - ESR'!E1545</f>
        <v>0</v>
      </c>
      <c r="FZ21" s="29">
        <f>'REG y VAL POE - AESR - ESR'!F1545</f>
        <v>0</v>
      </c>
      <c r="GA21" s="28">
        <f>'REG y VAL POE - AESR - ESR'!G1545</f>
        <v>0</v>
      </c>
      <c r="GB21" s="29">
        <f>'REG y VAL POE - AESR - ESR'!H1545</f>
        <v>0</v>
      </c>
      <c r="GC21" s="29">
        <f>'REG y VAL POE - AESR - ESR'!I1545</f>
        <v>0</v>
      </c>
      <c r="GD21" s="28">
        <f>'REG y VAL POE - AESR - ESR'!J1545</f>
        <v>0</v>
      </c>
      <c r="GE21" s="29">
        <f>'REG y VAL POE - AESR - ESR'!K1545</f>
        <v>0</v>
      </c>
      <c r="GF21" s="30">
        <f>'REG y VAL POE - AESR - ESR'!L1545</f>
        <v>0</v>
      </c>
      <c r="GG21" s="28">
        <f>'REG y VAL POE - AESR - ESR'!M1545</f>
        <v>0</v>
      </c>
      <c r="GH21" s="29">
        <f>'REG y VAL POE - AESR - ESR'!N1545</f>
        <v>0</v>
      </c>
      <c r="GI21" s="30">
        <f>'REG y VAL POE - AESR - ESR'!O1545</f>
        <v>0</v>
      </c>
      <c r="GJ21" s="29">
        <f>'REG y VAL POE - AESR - ESR'!P1545</f>
        <v>0</v>
      </c>
      <c r="GK21" s="28">
        <f>'REG y VAL POE - AESR - ESR'!Q1545</f>
        <v>0</v>
      </c>
      <c r="GL21" s="29">
        <f>'REG y VAL POE - AESR - ESR'!R1545</f>
        <v>0</v>
      </c>
      <c r="GM21" s="29">
        <f>'REG y VAL POE - AESR - ESR'!S1545</f>
        <v>0</v>
      </c>
      <c r="GN21" s="28">
        <f>'REG y VAL POE - AESR - ESR'!T1545</f>
        <v>0</v>
      </c>
      <c r="GO21" s="29">
        <f>'REG y VAL POE - AESR - ESR'!U1545</f>
        <v>0</v>
      </c>
      <c r="GP21" s="30">
        <f>'REG y VAL POE - AESR - ESR'!V1545</f>
        <v>0</v>
      </c>
      <c r="GQ21" s="28">
        <f>'REG y VAL POE - AESR - ESR'!W1545</f>
        <v>0</v>
      </c>
      <c r="GR21" s="29">
        <f>'REG y VAL POE - AESR - ESR'!X1545</f>
        <v>0</v>
      </c>
      <c r="GS21" s="30">
        <f>'REG y VAL POE - AESR - ESR'!Y1545</f>
        <v>0</v>
      </c>
      <c r="GT21" s="29">
        <f>'REG y VAL POE - AESR - ESR'!Z1545</f>
        <v>0</v>
      </c>
      <c r="GU21" s="28">
        <f>'REG y VAL POE - AESR - ESR'!AA1545</f>
        <v>0</v>
      </c>
      <c r="GV21" s="29">
        <f>'REG y VAL POE - AESR - ESR'!AB1545</f>
        <v>0</v>
      </c>
      <c r="GW21" s="29">
        <f>'REG y VAL POE - AESR - ESR'!AC1545</f>
        <v>0</v>
      </c>
      <c r="GX21" s="28">
        <f>'REG y VAL POE - AESR - ESR'!AD1545</f>
        <v>0</v>
      </c>
      <c r="GY21" s="29">
        <f>'REG y VAL POE - AESR - ESR'!AE1545</f>
        <v>0</v>
      </c>
      <c r="GZ21" s="30">
        <f>'REG y VAL POE - AESR - ESR'!AF1545</f>
        <v>0</v>
      </c>
      <c r="HA21" s="28">
        <f>'REG y VAL POE - AESR - ESR'!AG1545</f>
        <v>0</v>
      </c>
      <c r="HB21" s="29">
        <f>'REG y VAL POE - AESR - ESR'!AH1545</f>
        <v>0</v>
      </c>
      <c r="HC21" s="30">
        <f>'REG y VAL POE - AESR - ESR'!AI1545</f>
        <v>0</v>
      </c>
      <c r="HD21" s="29">
        <f>'REG y VAL POE - AESR - ESR'!AJ1545</f>
        <v>0</v>
      </c>
      <c r="HE21" s="28">
        <f>'REG y VAL POE - AESR - ESR'!AK1545</f>
        <v>0</v>
      </c>
      <c r="HF21" s="29">
        <f>'REG y VAL POE - AESR - ESR'!AL1545</f>
        <v>0</v>
      </c>
      <c r="HG21" s="29">
        <f>'REG y VAL POE - AESR - ESR'!AM1545</f>
        <v>0</v>
      </c>
      <c r="HH21" s="28">
        <f>'REG y VAL POE - AESR - ESR'!AN1545</f>
        <v>0</v>
      </c>
      <c r="HI21" s="29">
        <f>'REG y VAL POE - AESR - ESR'!AO1545</f>
        <v>0</v>
      </c>
      <c r="HJ21" s="30">
        <f>'REG y VAL POE - AESR - ESR'!AP1545</f>
        <v>0</v>
      </c>
      <c r="HK21" s="28">
        <f>'REG y VAL POE - AESR - ESR'!AQ1545</f>
        <v>0</v>
      </c>
      <c r="HL21" s="29">
        <f>'REG y VAL POE - AESR - ESR'!AR1545</f>
        <v>0</v>
      </c>
      <c r="HM21" s="30">
        <f>'REG y VAL POE - AESR - ESR'!AS1545</f>
        <v>0</v>
      </c>
      <c r="HN21" s="29" t="str">
        <f>'REG y VAL POE - AESR - ESR'!B1546</f>
        <v xml:space="preserve">Diaz Alvarado Jesus </v>
      </c>
      <c r="HO21" s="28" t="str">
        <f>'REG y VAL POE - AESR - ESR'!C1546</f>
        <v>Sin Registro</v>
      </c>
      <c r="HP21" s="29">
        <f>'REG y VAL POE - AESR - ESR'!D1546</f>
        <v>23147902</v>
      </c>
      <c r="HQ21" s="29">
        <f>'REG y VAL POE - AESR - ESR'!E1546</f>
        <v>0</v>
      </c>
      <c r="HR21" s="28">
        <f>'REG y VAL POE - AESR - ESR'!F1546</f>
        <v>0</v>
      </c>
      <c r="HS21" s="29">
        <f>'REG y VAL POE - AESR - ESR'!G1546</f>
        <v>0</v>
      </c>
      <c r="HT21" s="30">
        <f>'REG y VAL POE - AESR - ESR'!H1546</f>
        <v>0</v>
      </c>
      <c r="HU21" s="28">
        <f>'REG y VAL POE - AESR - ESR'!I1546</f>
        <v>0</v>
      </c>
      <c r="HV21" s="29">
        <f>'REG y VAL POE - AESR - ESR'!J1546</f>
        <v>0</v>
      </c>
      <c r="HW21" s="30">
        <f>'REG y VAL POE - AESR - ESR'!K1546</f>
        <v>0</v>
      </c>
      <c r="HX21" s="29">
        <f>'REG y VAL POE - AESR - ESR'!L1546</f>
        <v>0</v>
      </c>
      <c r="HY21" s="28">
        <f>'REG y VAL POE - AESR - ESR'!M1546</f>
        <v>0</v>
      </c>
      <c r="HZ21" s="29">
        <f>'REG y VAL POE - AESR - ESR'!N1546</f>
        <v>0</v>
      </c>
      <c r="IA21" s="29">
        <f>'REG y VAL POE - AESR - ESR'!O1546</f>
        <v>0</v>
      </c>
      <c r="IB21" s="28">
        <f>'REG y VAL POE - AESR - ESR'!P1546</f>
        <v>0</v>
      </c>
      <c r="IC21" s="29">
        <f>'REG y VAL POE - AESR - ESR'!Q1546</f>
        <v>0</v>
      </c>
      <c r="ID21" s="30">
        <f>'REG y VAL POE - AESR - ESR'!R1546</f>
        <v>0</v>
      </c>
      <c r="IE21" s="28">
        <f>'REG y VAL POE - AESR - ESR'!S1546</f>
        <v>0</v>
      </c>
      <c r="IF21" s="29">
        <f>'REG y VAL POE - AESR - ESR'!T1546</f>
        <v>0</v>
      </c>
      <c r="IG21" s="29">
        <f>'REG y VAL POE - AESR - ESR'!U1546</f>
        <v>0</v>
      </c>
      <c r="IH21" s="29">
        <f>'REG y VAL POE - AESR - ESR'!V1546</f>
        <v>0</v>
      </c>
      <c r="II21" s="28">
        <f>'REG y VAL POE - AESR - ESR'!W1546</f>
        <v>0</v>
      </c>
      <c r="IJ21" s="29">
        <f>'REG y VAL POE - AESR - ESR'!X1546</f>
        <v>0</v>
      </c>
      <c r="IK21" s="29">
        <f>'REG y VAL POE - AESR - ESR'!Y1546</f>
        <v>0</v>
      </c>
      <c r="IL21" s="28">
        <f>'REG y VAL POE - AESR - ESR'!Z1546</f>
        <v>0</v>
      </c>
      <c r="IM21" s="29">
        <f>'REG y VAL POE - AESR - ESR'!AA1546</f>
        <v>0</v>
      </c>
      <c r="IN21" s="30">
        <f>'REG y VAL POE - AESR - ESR'!AB1546</f>
        <v>0</v>
      </c>
      <c r="IO21" s="28">
        <f>'REG y VAL POE - AESR - ESR'!AC1546</f>
        <v>0</v>
      </c>
      <c r="IP21" s="29">
        <f>'REG y VAL POE - AESR - ESR'!AD1546</f>
        <v>0</v>
      </c>
      <c r="IQ21" s="29">
        <f>'REG y VAL POE - AESR - ESR'!AE1546</f>
        <v>0</v>
      </c>
      <c r="IR21" s="29">
        <f>'REG y VAL POE - AESR - ESR'!AF1546</f>
        <v>0</v>
      </c>
      <c r="IS21" s="28">
        <f>'REG y VAL POE - AESR - ESR'!AG1546</f>
        <v>0</v>
      </c>
      <c r="IT21" s="29">
        <f>'REG y VAL POE - AESR - ESR'!AH1546</f>
        <v>0</v>
      </c>
      <c r="IU21" s="29">
        <f>'REG y VAL POE - AESR - ESR'!AI1546</f>
        <v>0</v>
      </c>
      <c r="IV21" s="28">
        <f>'REG y VAL POE - AESR - ESR'!AJ1546</f>
        <v>0</v>
      </c>
      <c r="IW21" s="29">
        <f>'REG y VAL POE - AESR - ESR'!AK1546</f>
        <v>0</v>
      </c>
      <c r="IX21" s="30">
        <f>'REG y VAL POE - AESR - ESR'!AL1546</f>
        <v>0</v>
      </c>
      <c r="IY21" s="28">
        <f>'REG y VAL POE - AESR - ESR'!AM1546</f>
        <v>0</v>
      </c>
      <c r="IZ21" s="29">
        <f>'REG y VAL POE - AESR - ESR'!AN1546</f>
        <v>0</v>
      </c>
      <c r="JA21" s="29">
        <f>'REG y VAL POE - AESR - ESR'!AO1546</f>
        <v>0</v>
      </c>
      <c r="JB21" s="29">
        <f>'REG y VAL POE - AESR - ESR'!AP1546</f>
        <v>0</v>
      </c>
      <c r="JC21" s="28">
        <f>'REG y VAL POE - AESR - ESR'!AQ1546</f>
        <v>0</v>
      </c>
      <c r="JD21" s="29">
        <f>'REG y VAL POE - AESR - ESR'!AR1546</f>
        <v>0</v>
      </c>
      <c r="JE21" s="29">
        <f>'REG y VAL POE - AESR - ESR'!AS1546</f>
        <v>0</v>
      </c>
      <c r="JF21" s="28" t="str">
        <f>'REG y VAL POE - AESR - ESR'!B1547</f>
        <v xml:space="preserve">Escobar Aquino Maviza </v>
      </c>
      <c r="JG21" s="29" t="str">
        <f>'REG y VAL POE - AESR - ESR'!C1547</f>
        <v>Sin Registro</v>
      </c>
      <c r="JH21" s="30">
        <f>'REG y VAL POE - AESR - ESR'!D1547</f>
        <v>23147914</v>
      </c>
      <c r="JI21" s="28">
        <f>'REG y VAL POE - AESR - ESR'!E1547</f>
        <v>0</v>
      </c>
      <c r="JJ21" s="29">
        <f>'REG y VAL POE - AESR - ESR'!F1547</f>
        <v>0</v>
      </c>
      <c r="JK21" s="29">
        <f>'REG y VAL POE - AESR - ESR'!G1547</f>
        <v>0</v>
      </c>
      <c r="JL21" s="29">
        <f>'REG y VAL POE - AESR - ESR'!H1547</f>
        <v>0</v>
      </c>
      <c r="JM21" s="28">
        <f>'REG y VAL POE - AESR - ESR'!I1547</f>
        <v>0</v>
      </c>
      <c r="JN21" s="29">
        <f>'REG y VAL POE - AESR - ESR'!J1547</f>
        <v>0</v>
      </c>
      <c r="JO21" s="29">
        <f>'REG y VAL POE - AESR - ESR'!K1547</f>
        <v>0</v>
      </c>
      <c r="JP21" s="28">
        <f>'REG y VAL POE - AESR - ESR'!L1547</f>
        <v>0</v>
      </c>
      <c r="JQ21" s="29">
        <f>'REG y VAL POE - AESR - ESR'!M1547</f>
        <v>0</v>
      </c>
      <c r="JR21" s="30">
        <f>'REG y VAL POE - AESR - ESR'!N1547</f>
        <v>0</v>
      </c>
      <c r="JS21" s="28">
        <f>'REG y VAL POE - AESR - ESR'!O1547</f>
        <v>0</v>
      </c>
      <c r="JT21" s="29">
        <f>'REG y VAL POE - AESR - ESR'!P1547</f>
        <v>0</v>
      </c>
      <c r="JU21" s="29">
        <f>'REG y VAL POE - AESR - ESR'!Q1547</f>
        <v>0</v>
      </c>
      <c r="JV21" s="29">
        <f>'REG y VAL POE - AESR - ESR'!R1547</f>
        <v>0</v>
      </c>
      <c r="JW21" s="28">
        <f>'REG y VAL POE - AESR - ESR'!S1547</f>
        <v>0</v>
      </c>
      <c r="JX21" s="29">
        <f>'REG y VAL POE - AESR - ESR'!T1547</f>
        <v>0</v>
      </c>
      <c r="JY21" s="29">
        <f>'REG y VAL POE - AESR - ESR'!U1547</f>
        <v>0</v>
      </c>
      <c r="JZ21" s="28">
        <f>'REG y VAL POE - AESR - ESR'!V1547</f>
        <v>0</v>
      </c>
      <c r="KA21" s="29">
        <f>'REG y VAL POE - AESR - ESR'!W1547</f>
        <v>0</v>
      </c>
      <c r="KB21" s="30">
        <f>'REG y VAL POE - AESR - ESR'!X1547</f>
        <v>0</v>
      </c>
      <c r="KC21" s="28">
        <f>'REG y VAL POE - AESR - ESR'!Y1547</f>
        <v>0</v>
      </c>
      <c r="KD21" s="29">
        <f>'REG y VAL POE - AESR - ESR'!Z1547</f>
        <v>0</v>
      </c>
      <c r="KE21" s="29">
        <f>'REG y VAL POE - AESR - ESR'!AA1547</f>
        <v>0</v>
      </c>
      <c r="KF21" s="29">
        <f>'REG y VAL POE - AESR - ESR'!AB1547</f>
        <v>0</v>
      </c>
      <c r="KG21" s="28">
        <f>'REG y VAL POE - AESR - ESR'!AC1547</f>
        <v>0</v>
      </c>
      <c r="KH21" s="29">
        <f>'REG y VAL POE - AESR - ESR'!AD1547</f>
        <v>0</v>
      </c>
      <c r="KI21" s="29">
        <f>'REG y VAL POE - AESR - ESR'!AE1547</f>
        <v>0</v>
      </c>
      <c r="KJ21" s="28">
        <f>'REG y VAL POE - AESR - ESR'!AF1547</f>
        <v>0</v>
      </c>
      <c r="KK21" s="29">
        <f>'REG y VAL POE - AESR - ESR'!AG1547</f>
        <v>0</v>
      </c>
      <c r="KL21" s="30">
        <f>'REG y VAL POE - AESR - ESR'!AH1547</f>
        <v>0</v>
      </c>
      <c r="KM21" s="28">
        <f>'REG y VAL POE - AESR - ESR'!AI1547</f>
        <v>0</v>
      </c>
      <c r="KN21" s="29">
        <f>'REG y VAL POE - AESR - ESR'!AJ1547</f>
        <v>0</v>
      </c>
      <c r="KO21" s="29">
        <f>'REG y VAL POE - AESR - ESR'!AK1547</f>
        <v>0</v>
      </c>
      <c r="KP21" s="29">
        <f>'REG y VAL POE - AESR - ESR'!AL1547</f>
        <v>0</v>
      </c>
      <c r="KQ21" s="28">
        <f>'REG y VAL POE - AESR - ESR'!AM1547</f>
        <v>0</v>
      </c>
      <c r="KR21" s="29">
        <f>'REG y VAL POE - AESR - ESR'!AN1547</f>
        <v>0</v>
      </c>
      <c r="KS21" s="29">
        <f>'REG y VAL POE - AESR - ESR'!AO1547</f>
        <v>0</v>
      </c>
      <c r="KT21" s="28">
        <f>'REG y VAL POE - AESR - ESR'!AP1547</f>
        <v>0</v>
      </c>
      <c r="KU21" s="29">
        <f>'REG y VAL POE - AESR - ESR'!AQ1547</f>
        <v>0</v>
      </c>
      <c r="KV21" s="30">
        <f>'REG y VAL POE - AESR - ESR'!AR1547</f>
        <v>0</v>
      </c>
      <c r="KW21" s="28">
        <f>'REG y VAL POE - AESR - ESR'!AS1547</f>
        <v>0</v>
      </c>
      <c r="KX21" s="29" t="str">
        <f>'REG y VAL POE - AESR - ESR'!B1548</f>
        <v xml:space="preserve">Estrada Lucas Daniel Ernesto </v>
      </c>
      <c r="KY21" s="29" t="str">
        <f>'REG y VAL POE - AESR - ESR'!C1548</f>
        <v>Sin Registro</v>
      </c>
      <c r="KZ21" s="29">
        <f>'REG y VAL POE - AESR - ESR'!D1548</f>
        <v>23198929</v>
      </c>
      <c r="LA21" s="28">
        <f>'REG y VAL POE - AESR - ESR'!E1548</f>
        <v>0</v>
      </c>
      <c r="LB21" s="29">
        <f>'REG y VAL POE - AESR - ESR'!F1548</f>
        <v>0</v>
      </c>
      <c r="LC21" s="29">
        <f>'REG y VAL POE - AESR - ESR'!G1548</f>
        <v>0</v>
      </c>
      <c r="LD21" s="28">
        <f>'REG y VAL POE - AESR - ESR'!H1548</f>
        <v>0</v>
      </c>
      <c r="LE21" s="29">
        <f>'REG y VAL POE - AESR - ESR'!I1548</f>
        <v>0</v>
      </c>
      <c r="LF21" s="30">
        <f>'REG y VAL POE - AESR - ESR'!J1548</f>
        <v>0</v>
      </c>
      <c r="LG21" s="28">
        <f>'REG y VAL POE - AESR - ESR'!K1548</f>
        <v>0</v>
      </c>
      <c r="LH21" s="29">
        <f>'REG y VAL POE - AESR - ESR'!L1548</f>
        <v>0</v>
      </c>
      <c r="LI21" s="29">
        <f>'REG y VAL POE - AESR - ESR'!M1548</f>
        <v>0</v>
      </c>
      <c r="LJ21" s="29">
        <f>'REG y VAL POE - AESR - ESR'!N1548</f>
        <v>0</v>
      </c>
      <c r="LK21" s="28">
        <f>'REG y VAL POE - AESR - ESR'!O1548</f>
        <v>0</v>
      </c>
      <c r="LL21" s="29">
        <f>'REG y VAL POE - AESR - ESR'!P1548</f>
        <v>0</v>
      </c>
      <c r="LM21" s="29">
        <f>'REG y VAL POE - AESR - ESR'!Q1548</f>
        <v>0</v>
      </c>
      <c r="LN21" s="28">
        <f>'REG y VAL POE - AESR - ESR'!R1548</f>
        <v>0</v>
      </c>
      <c r="LO21" s="29">
        <f>'REG y VAL POE - AESR - ESR'!S1548</f>
        <v>0</v>
      </c>
      <c r="LP21" s="30">
        <f>'REG y VAL POE - AESR - ESR'!T1548</f>
        <v>0</v>
      </c>
      <c r="LQ21" s="28">
        <f>'REG y VAL POE - AESR - ESR'!U1548</f>
        <v>0</v>
      </c>
      <c r="LR21" s="29">
        <f>'REG y VAL POE - AESR - ESR'!V1548</f>
        <v>0</v>
      </c>
      <c r="LS21" s="29">
        <f>'REG y VAL POE - AESR - ESR'!W1548</f>
        <v>0</v>
      </c>
      <c r="LT21" s="29">
        <f>'REG y VAL POE - AESR - ESR'!X1548</f>
        <v>0</v>
      </c>
      <c r="LU21" s="28">
        <f>'REG y VAL POE - AESR - ESR'!Y1548</f>
        <v>0</v>
      </c>
      <c r="LV21" s="29">
        <f>'REG y VAL POE - AESR - ESR'!Z1548</f>
        <v>0</v>
      </c>
      <c r="LW21" s="29">
        <f>'REG y VAL POE - AESR - ESR'!AA1548</f>
        <v>0</v>
      </c>
      <c r="LX21" s="28">
        <f>'REG y VAL POE - AESR - ESR'!AB1548</f>
        <v>0</v>
      </c>
      <c r="LY21" s="29">
        <f>'REG y VAL POE - AESR - ESR'!AC1548</f>
        <v>0</v>
      </c>
      <c r="LZ21" s="30">
        <f>'REG y VAL POE - AESR - ESR'!AD1548</f>
        <v>0</v>
      </c>
      <c r="MA21" s="28">
        <f>'REG y VAL POE - AESR - ESR'!AE1548</f>
        <v>0</v>
      </c>
      <c r="MB21" s="29">
        <f>'REG y VAL POE - AESR - ESR'!AF1548</f>
        <v>0</v>
      </c>
      <c r="MC21" s="29">
        <f>'REG y VAL POE - AESR - ESR'!AG1548</f>
        <v>0</v>
      </c>
      <c r="MD21" s="29">
        <f>'REG y VAL POE - AESR - ESR'!AH1548</f>
        <v>0</v>
      </c>
      <c r="ME21" s="28">
        <f>'REG y VAL POE - AESR - ESR'!AI1548</f>
        <v>0</v>
      </c>
      <c r="MF21" s="29">
        <f>'REG y VAL POE - AESR - ESR'!AJ1548</f>
        <v>0</v>
      </c>
      <c r="MG21" s="29">
        <f>'REG y VAL POE - AESR - ESR'!AK1548</f>
        <v>0</v>
      </c>
      <c r="MH21" s="28">
        <f>'REG y VAL POE - AESR - ESR'!AL1548</f>
        <v>0</v>
      </c>
      <c r="MI21" s="29">
        <f>'REG y VAL POE - AESR - ESR'!AM1548</f>
        <v>0</v>
      </c>
      <c r="MJ21" s="30">
        <f>'REG y VAL POE - AESR - ESR'!AN1548</f>
        <v>0</v>
      </c>
      <c r="MK21" s="28">
        <f>'REG y VAL POE - AESR - ESR'!AO1548</f>
        <v>0</v>
      </c>
      <c r="ML21" s="29">
        <f>'REG y VAL POE - AESR - ESR'!AP1548</f>
        <v>0</v>
      </c>
      <c r="MM21" s="29">
        <f>'REG y VAL POE - AESR - ESR'!AQ1548</f>
        <v>0</v>
      </c>
      <c r="MN21" s="29">
        <f>'REG y VAL POE - AESR - ESR'!AR1548</f>
        <v>0</v>
      </c>
      <c r="MO21" s="28">
        <f>'REG y VAL POE - AESR - ESR'!AS1548</f>
        <v>0</v>
      </c>
      <c r="MP21" s="29" t="str">
        <f>'REG y VAL POE - AESR - ESR'!B1549</f>
        <v xml:space="preserve">Farias Hernandez Hector Manuel </v>
      </c>
      <c r="MQ21" s="29" t="str">
        <f>'REG y VAL POE - AESR - ESR'!C1549</f>
        <v>Sin Registro</v>
      </c>
      <c r="MR21" s="28">
        <f>'REG y VAL POE - AESR - ESR'!D1549</f>
        <v>23156740</v>
      </c>
      <c r="MS21" s="29">
        <f>'REG y VAL POE - AESR - ESR'!E1549</f>
        <v>0</v>
      </c>
      <c r="MT21" s="30">
        <f>'REG y VAL POE - AESR - ESR'!F1549</f>
        <v>0</v>
      </c>
      <c r="MU21" s="28">
        <f>'REG y VAL POE - AESR - ESR'!G1549</f>
        <v>0</v>
      </c>
      <c r="MV21" s="29">
        <f>'REG y VAL POE - AESR - ESR'!H1549</f>
        <v>0</v>
      </c>
      <c r="MW21" s="29">
        <f>'REG y VAL POE - AESR - ESR'!I1549</f>
        <v>0</v>
      </c>
      <c r="MX21" s="29">
        <f>'REG y VAL POE - AESR - ESR'!J1549</f>
        <v>0</v>
      </c>
      <c r="MY21" s="28">
        <f>'REG y VAL POE - AESR - ESR'!K1549</f>
        <v>0</v>
      </c>
      <c r="MZ21" s="29">
        <f>'REG y VAL POE - AESR - ESR'!L1549</f>
        <v>0</v>
      </c>
      <c r="NA21" s="29">
        <f>'REG y VAL POE - AESR - ESR'!M1549</f>
        <v>0</v>
      </c>
      <c r="NB21" s="28">
        <f>'REG y VAL POE - AESR - ESR'!N1549</f>
        <v>0</v>
      </c>
      <c r="NC21" s="29">
        <f>'REG y VAL POE - AESR - ESR'!O1549</f>
        <v>0</v>
      </c>
      <c r="ND21" s="30">
        <f>'REG y VAL POE - AESR - ESR'!P1549</f>
        <v>0</v>
      </c>
      <c r="NE21" s="28">
        <f>'REG y VAL POE - AESR - ESR'!Q1549</f>
        <v>0</v>
      </c>
      <c r="NF21" s="29">
        <f>'REG y VAL POE - AESR - ESR'!R1549</f>
        <v>0</v>
      </c>
      <c r="NG21" s="29">
        <f>'REG y VAL POE - AESR - ESR'!S1549</f>
        <v>0</v>
      </c>
      <c r="NH21" s="29">
        <f>'REG y VAL POE - AESR - ESR'!T1549</f>
        <v>0</v>
      </c>
      <c r="NI21" s="28">
        <f>'REG y VAL POE - AESR - ESR'!U1549</f>
        <v>0</v>
      </c>
      <c r="NJ21" s="29">
        <f>'REG y VAL POE - AESR - ESR'!V1549</f>
        <v>0</v>
      </c>
      <c r="NK21" s="29">
        <f>'REG y VAL POE - AESR - ESR'!W1549</f>
        <v>0</v>
      </c>
      <c r="NL21" s="28">
        <f>'REG y VAL POE - AESR - ESR'!X1549</f>
        <v>0</v>
      </c>
      <c r="NM21" s="29">
        <f>'REG y VAL POE - AESR - ESR'!Y1549</f>
        <v>0</v>
      </c>
      <c r="NN21" s="30">
        <f>'REG y VAL POE - AESR - ESR'!Z1549</f>
        <v>0</v>
      </c>
      <c r="NO21" s="28">
        <f>'REG y VAL POE - AESR - ESR'!AA1549</f>
        <v>0</v>
      </c>
      <c r="NP21" s="29">
        <f>'REG y VAL POE - AESR - ESR'!AB1549</f>
        <v>0</v>
      </c>
      <c r="NQ21" s="29">
        <f>'REG y VAL POE - AESR - ESR'!AC1549</f>
        <v>0</v>
      </c>
      <c r="NR21" s="29">
        <f>'REG y VAL POE - AESR - ESR'!AD1549</f>
        <v>0</v>
      </c>
      <c r="NS21" s="28">
        <f>'REG y VAL POE - AESR - ESR'!AE1549</f>
        <v>0</v>
      </c>
      <c r="NT21" s="29">
        <f>'REG y VAL POE - AESR - ESR'!AF1549</f>
        <v>0</v>
      </c>
      <c r="NU21" s="29">
        <f>'REG y VAL POE - AESR - ESR'!AG1549</f>
        <v>0</v>
      </c>
      <c r="NV21" s="28">
        <f>'REG y VAL POE - AESR - ESR'!AH1549</f>
        <v>0</v>
      </c>
      <c r="NW21" s="29">
        <f>'REG y VAL POE - AESR - ESR'!AI1549</f>
        <v>0</v>
      </c>
      <c r="NX21" s="30">
        <f>'REG y VAL POE - AESR - ESR'!AJ1549</f>
        <v>0</v>
      </c>
      <c r="NY21" s="28">
        <f>'REG y VAL POE - AESR - ESR'!AK1549</f>
        <v>0</v>
      </c>
      <c r="NZ21" s="29">
        <f>'REG y VAL POE - AESR - ESR'!AL1549</f>
        <v>0</v>
      </c>
      <c r="OA21" s="29">
        <f>'REG y VAL POE - AESR - ESR'!AM1549</f>
        <v>0</v>
      </c>
      <c r="OB21" s="29">
        <f>'REG y VAL POE - AESR - ESR'!AN1549</f>
        <v>0</v>
      </c>
      <c r="OC21" s="28">
        <f>'REG y VAL POE - AESR - ESR'!AO1549</f>
        <v>0</v>
      </c>
      <c r="OD21" s="29">
        <f>'REG y VAL POE - AESR - ESR'!AP1549</f>
        <v>0</v>
      </c>
      <c r="OE21" s="29">
        <f>'REG y VAL POE - AESR - ESR'!AQ1549</f>
        <v>0</v>
      </c>
      <c r="OF21" s="30">
        <f>'REG y VAL POE - AESR - ESR'!AR1549</f>
        <v>0</v>
      </c>
      <c r="OG21" s="30">
        <f>'REG y VAL POE - AESR - ESR'!AS1549</f>
        <v>0</v>
      </c>
      <c r="OH21" s="30" t="str">
        <f>'REG y VAL POE - AESR - ESR'!B1550</f>
        <v xml:space="preserve">Fuentes Santos Luis Ernesto </v>
      </c>
      <c r="OI21" s="28" t="str">
        <f>'REG y VAL POE - AESR - ESR'!C1550</f>
        <v>Sin Registro</v>
      </c>
      <c r="OJ21" s="30">
        <f>'REG y VAL POE - AESR - ESR'!D1550</f>
        <v>23156987</v>
      </c>
      <c r="OK21" s="30">
        <f>'REG y VAL POE - AESR - ESR'!E1550</f>
        <v>0</v>
      </c>
      <c r="OL21" s="30">
        <f>'REG y VAL POE - AESR - ESR'!F1550</f>
        <v>0</v>
      </c>
      <c r="OM21" s="30">
        <f>'REG y VAL POE - AESR - ESR'!G1550</f>
        <v>0</v>
      </c>
      <c r="ON21" s="30">
        <f>'REG y VAL POE - AESR - ESR'!H1550</f>
        <v>0</v>
      </c>
      <c r="OO21" s="30">
        <f>'REG y VAL POE - AESR - ESR'!I1550</f>
        <v>0</v>
      </c>
      <c r="OP21" s="28">
        <f>'REG y VAL POE - AESR - ESR'!J1550</f>
        <v>0</v>
      </c>
      <c r="OQ21" s="29">
        <f>'REG y VAL POE - AESR - ESR'!K1550</f>
        <v>0</v>
      </c>
      <c r="OR21" s="30">
        <f>'REG y VAL POE - AESR - ESR'!L1550</f>
        <v>0</v>
      </c>
      <c r="OS21" s="28">
        <f>'REG y VAL POE - AESR - ESR'!M1550</f>
        <v>0</v>
      </c>
      <c r="OT21" s="29">
        <f>'REG y VAL POE - AESR - ESR'!N1550</f>
        <v>0</v>
      </c>
      <c r="OU21" s="29">
        <f>'REG y VAL POE - AESR - ESR'!O1550</f>
        <v>0</v>
      </c>
      <c r="OV21" s="29">
        <f>'REG y VAL POE - AESR - ESR'!P1550</f>
        <v>0</v>
      </c>
      <c r="OW21" s="28">
        <f>'REG y VAL POE - AESR - ESR'!Q1550</f>
        <v>0</v>
      </c>
      <c r="OX21" s="29">
        <f>'REG y VAL POE - AESR - ESR'!R1550</f>
        <v>0</v>
      </c>
      <c r="OY21" s="29">
        <f>'REG y VAL POE - AESR - ESR'!S1550</f>
        <v>0</v>
      </c>
      <c r="OZ21" s="28">
        <f>'REG y VAL POE - AESR - ESR'!T1550</f>
        <v>0</v>
      </c>
      <c r="PA21" s="29">
        <f>'REG y VAL POE - AESR - ESR'!U1550</f>
        <v>0</v>
      </c>
      <c r="PB21" s="30">
        <f>'REG y VAL POE - AESR - ESR'!V1550</f>
        <v>0</v>
      </c>
      <c r="PC21" s="28">
        <f>'REG y VAL POE - AESR - ESR'!W1550</f>
        <v>0</v>
      </c>
      <c r="PD21" s="29">
        <f>'REG y VAL POE - AESR - ESR'!X1550</f>
        <v>0</v>
      </c>
      <c r="PE21" s="29">
        <f>'REG y VAL POE - AESR - ESR'!Y1550</f>
        <v>0</v>
      </c>
      <c r="PF21" s="29">
        <f>'REG y VAL POE - AESR - ESR'!Z1550</f>
        <v>0</v>
      </c>
      <c r="PG21" s="28">
        <f>'REG y VAL POE - AESR - ESR'!AA1550</f>
        <v>0</v>
      </c>
      <c r="PH21" s="29">
        <f>'REG y VAL POE - AESR - ESR'!AB1550</f>
        <v>0</v>
      </c>
      <c r="PI21" s="29">
        <f>'REG y VAL POE - AESR - ESR'!AC1550</f>
        <v>0</v>
      </c>
      <c r="PJ21" s="28">
        <f>'REG y VAL POE - AESR - ESR'!AD1550</f>
        <v>0</v>
      </c>
      <c r="PK21" s="29">
        <f>'REG y VAL POE - AESR - ESR'!AE1550</f>
        <v>0</v>
      </c>
      <c r="PL21" s="30">
        <f>'REG y VAL POE - AESR - ESR'!AF1550</f>
        <v>0</v>
      </c>
      <c r="PM21" s="28">
        <f>'REG y VAL POE - AESR - ESR'!AG1550</f>
        <v>0</v>
      </c>
      <c r="PN21" s="29">
        <f>'REG y VAL POE - AESR - ESR'!AH1550</f>
        <v>0</v>
      </c>
      <c r="PO21" s="29">
        <f>'REG y VAL POE - AESR - ESR'!AI1550</f>
        <v>0</v>
      </c>
      <c r="PP21" s="29">
        <f>'REG y VAL POE - AESR - ESR'!AJ1550</f>
        <v>0</v>
      </c>
      <c r="PQ21" s="28">
        <f>'REG y VAL POE - AESR - ESR'!AK1550</f>
        <v>0</v>
      </c>
      <c r="PR21" s="29">
        <f>'REG y VAL POE - AESR - ESR'!AL1550</f>
        <v>0</v>
      </c>
      <c r="PS21" s="29">
        <f>'REG y VAL POE - AESR - ESR'!AM1550</f>
        <v>0</v>
      </c>
      <c r="PT21" s="28">
        <f>'REG y VAL POE - AESR - ESR'!AN1550</f>
        <v>0</v>
      </c>
      <c r="PU21" s="29">
        <f>'REG y VAL POE - AESR - ESR'!AO1550</f>
        <v>0</v>
      </c>
      <c r="PV21" s="30">
        <f>'REG y VAL POE - AESR - ESR'!AP1550</f>
        <v>0</v>
      </c>
      <c r="PW21" s="28">
        <f>'REG y VAL POE - AESR - ESR'!AQ1550</f>
        <v>0</v>
      </c>
      <c r="PX21" s="29">
        <f>'REG y VAL POE - AESR - ESR'!AR1550</f>
        <v>0</v>
      </c>
      <c r="PY21" s="29">
        <f>'REG y VAL POE - AESR - ESR'!AS1550</f>
        <v>0</v>
      </c>
      <c r="PZ21" s="29" t="str">
        <f>'REG y VAL POE - AESR - ESR'!B1551</f>
        <v xml:space="preserve">Garcia Aguilar Veronica </v>
      </c>
      <c r="QA21" s="28" t="str">
        <f>'REG y VAL POE - AESR - ESR'!C1551</f>
        <v>Sin Registro</v>
      </c>
      <c r="QB21" s="29">
        <f>'REG y VAL POE - AESR - ESR'!D1551</f>
        <v>23148027</v>
      </c>
      <c r="QC21" s="29">
        <f>'REG y VAL POE - AESR - ESR'!E1551</f>
        <v>0</v>
      </c>
      <c r="QD21" s="28">
        <f>'REG y VAL POE - AESR - ESR'!F1551</f>
        <v>0</v>
      </c>
      <c r="QE21" s="29">
        <f>'REG y VAL POE - AESR - ESR'!G1551</f>
        <v>0</v>
      </c>
      <c r="QF21" s="30">
        <f>'REG y VAL POE - AESR - ESR'!H1551</f>
        <v>0</v>
      </c>
      <c r="QG21" s="28">
        <f>'REG y VAL POE - AESR - ESR'!I1551</f>
        <v>0</v>
      </c>
      <c r="QH21" s="29">
        <f>'REG y VAL POE - AESR - ESR'!J1551</f>
        <v>0</v>
      </c>
      <c r="QI21" s="29">
        <f>'REG y VAL POE - AESR - ESR'!K1551</f>
        <v>0</v>
      </c>
      <c r="QJ21" s="29">
        <f>'REG y VAL POE - AESR - ESR'!L1551</f>
        <v>0</v>
      </c>
      <c r="QK21" s="28">
        <f>'REG y VAL POE - AESR - ESR'!M1551</f>
        <v>0</v>
      </c>
      <c r="QL21" s="29">
        <f>'REG y VAL POE - AESR - ESR'!N1551</f>
        <v>0</v>
      </c>
      <c r="QM21" s="29">
        <f>'REG y VAL POE - AESR - ESR'!O1551</f>
        <v>0</v>
      </c>
      <c r="QN21" s="28">
        <f>'REG y VAL POE - AESR - ESR'!P1551</f>
        <v>0</v>
      </c>
      <c r="QO21" s="29">
        <f>'REG y VAL POE - AESR - ESR'!Q1551</f>
        <v>0</v>
      </c>
      <c r="QP21" s="30">
        <f>'REG y VAL POE - AESR - ESR'!R1551</f>
        <v>0</v>
      </c>
      <c r="QQ21" s="28">
        <f>'REG y VAL POE - AESR - ESR'!S1551</f>
        <v>0</v>
      </c>
      <c r="QR21" s="29">
        <f>'REG y VAL POE - AESR - ESR'!T1551</f>
        <v>0</v>
      </c>
      <c r="QS21" s="29">
        <f>'REG y VAL POE - AESR - ESR'!U1551</f>
        <v>0</v>
      </c>
      <c r="QT21" s="29">
        <f>'REG y VAL POE - AESR - ESR'!V1551</f>
        <v>0</v>
      </c>
      <c r="QU21" s="28">
        <f>'REG y VAL POE - AESR - ESR'!W1551</f>
        <v>0</v>
      </c>
      <c r="QV21" s="29">
        <f>'REG y VAL POE - AESR - ESR'!X1551</f>
        <v>0</v>
      </c>
      <c r="QW21" s="29">
        <f>'REG y VAL POE - AESR - ESR'!Y1551</f>
        <v>0</v>
      </c>
      <c r="QX21" s="28">
        <f>'REG y VAL POE - AESR - ESR'!Z1551</f>
        <v>0</v>
      </c>
      <c r="QY21" s="29">
        <f>'REG y VAL POE - AESR - ESR'!AA1551</f>
        <v>0</v>
      </c>
      <c r="QZ21" s="30">
        <f>'REG y VAL POE - AESR - ESR'!AB1551</f>
        <v>0</v>
      </c>
      <c r="RA21" s="28">
        <f>'REG y VAL POE - AESR - ESR'!AC1551</f>
        <v>0</v>
      </c>
      <c r="RB21" s="29">
        <f>'REG y VAL POE - AESR - ESR'!AD1551</f>
        <v>0</v>
      </c>
      <c r="RC21" s="29">
        <f>'REG y VAL POE - AESR - ESR'!AE1551</f>
        <v>0</v>
      </c>
      <c r="RD21" s="29">
        <f>'REG y VAL POE - AESR - ESR'!AF1551</f>
        <v>0</v>
      </c>
      <c r="RE21" s="28">
        <f>'REG y VAL POE - AESR - ESR'!AG1551</f>
        <v>0</v>
      </c>
      <c r="RF21" s="29">
        <f>'REG y VAL POE - AESR - ESR'!AH1551</f>
        <v>0</v>
      </c>
      <c r="RG21" s="29">
        <f>'REG y VAL POE - AESR - ESR'!AI1551</f>
        <v>0</v>
      </c>
      <c r="RH21" s="28">
        <f>'REG y VAL POE - AESR - ESR'!AJ1551</f>
        <v>0</v>
      </c>
      <c r="RI21" s="29">
        <f>'REG y VAL POE - AESR - ESR'!AK1551</f>
        <v>0</v>
      </c>
      <c r="RJ21" s="30">
        <f>'REG y VAL POE - AESR - ESR'!AL1551</f>
        <v>0</v>
      </c>
      <c r="RK21" s="28">
        <f>'REG y VAL POE - AESR - ESR'!AM1551</f>
        <v>0</v>
      </c>
      <c r="RL21" s="29">
        <f>'REG y VAL POE - AESR - ESR'!AN1551</f>
        <v>0</v>
      </c>
      <c r="RM21" s="29">
        <f>'REG y VAL POE - AESR - ESR'!AO1551</f>
        <v>0</v>
      </c>
      <c r="RN21" s="29">
        <f>'REG y VAL POE - AESR - ESR'!AP1551</f>
        <v>0</v>
      </c>
      <c r="RO21" s="28">
        <f>'REG y VAL POE - AESR - ESR'!AQ1551</f>
        <v>0</v>
      </c>
      <c r="RP21" s="29">
        <f>'REG y VAL POE - AESR - ESR'!AR1551</f>
        <v>0</v>
      </c>
      <c r="RQ21" s="29">
        <f>'REG y VAL POE - AESR - ESR'!AS1551</f>
        <v>0</v>
      </c>
      <c r="RR21" s="28" t="str">
        <f>'REG y VAL POE - AESR - ESR'!B1552</f>
        <v xml:space="preserve">Hernandez Palafox Carlos Francisco </v>
      </c>
      <c r="RS21" s="29" t="str">
        <f>'REG y VAL POE - AESR - ESR'!C1552</f>
        <v>Sin Registro</v>
      </c>
      <c r="RT21" s="30">
        <f>'REG y VAL POE - AESR - ESR'!D1552</f>
        <v>23185643</v>
      </c>
      <c r="RU21" s="28">
        <f>'REG y VAL POE - AESR - ESR'!E1552</f>
        <v>0</v>
      </c>
      <c r="RV21" s="29">
        <f>'REG y VAL POE - AESR - ESR'!F1552</f>
        <v>0</v>
      </c>
      <c r="RW21" s="29">
        <f>'REG y VAL POE - AESR - ESR'!G1552</f>
        <v>0</v>
      </c>
      <c r="RX21" s="29">
        <f>'REG y VAL POE - AESR - ESR'!H1552</f>
        <v>0</v>
      </c>
      <c r="RY21" s="28">
        <f>'REG y VAL POE - AESR - ESR'!I1552</f>
        <v>0</v>
      </c>
      <c r="RZ21" s="29">
        <f>'REG y VAL POE - AESR - ESR'!J1552</f>
        <v>0</v>
      </c>
      <c r="SA21" s="29">
        <f>'REG y VAL POE - AESR - ESR'!K1552</f>
        <v>0</v>
      </c>
      <c r="SB21" s="28">
        <f>'REG y VAL POE - AESR - ESR'!L1552</f>
        <v>0</v>
      </c>
      <c r="SC21" s="29">
        <f>'REG y VAL POE - AESR - ESR'!M1552</f>
        <v>0</v>
      </c>
      <c r="SD21" s="30">
        <f>'REG y VAL POE - AESR - ESR'!N1552</f>
        <v>0</v>
      </c>
      <c r="SE21" s="28">
        <f>'REG y VAL POE - AESR - ESR'!O1552</f>
        <v>0</v>
      </c>
      <c r="SF21" s="29">
        <f>'REG y VAL POE - AESR - ESR'!P1552</f>
        <v>0</v>
      </c>
      <c r="SG21" s="29">
        <f>'REG y VAL POE - AESR - ESR'!Q1552</f>
        <v>0</v>
      </c>
      <c r="SH21" s="29">
        <f>'REG y VAL POE - AESR - ESR'!R1552</f>
        <v>0</v>
      </c>
      <c r="SI21" s="28">
        <f>'REG y VAL POE - AESR - ESR'!S1552</f>
        <v>0</v>
      </c>
      <c r="SJ21" s="29">
        <f>'REG y VAL POE - AESR - ESR'!T1552</f>
        <v>0</v>
      </c>
      <c r="SK21" s="29">
        <f>'REG y VAL POE - AESR - ESR'!U1552</f>
        <v>0</v>
      </c>
      <c r="SL21" s="28">
        <f>'REG y VAL POE - AESR - ESR'!V1552</f>
        <v>0</v>
      </c>
      <c r="SM21" s="29">
        <f>'REG y VAL POE - AESR - ESR'!W1552</f>
        <v>0</v>
      </c>
      <c r="SN21" s="30">
        <f>'REG y VAL POE - AESR - ESR'!X1552</f>
        <v>0</v>
      </c>
      <c r="SO21" s="28">
        <f>'REG y VAL POE - AESR - ESR'!Y1552</f>
        <v>0</v>
      </c>
      <c r="SP21" s="29">
        <f>'REG y VAL POE - AESR - ESR'!Z1552</f>
        <v>0</v>
      </c>
      <c r="SQ21" s="29">
        <f>'REG y VAL POE - AESR - ESR'!AA1552</f>
        <v>0</v>
      </c>
      <c r="SR21" s="29">
        <f>'REG y VAL POE - AESR - ESR'!AB1552</f>
        <v>0</v>
      </c>
      <c r="SS21" s="28">
        <f>'REG y VAL POE - AESR - ESR'!AC1552</f>
        <v>0</v>
      </c>
      <c r="ST21" s="29">
        <f>'REG y VAL POE - AESR - ESR'!AD1552</f>
        <v>0</v>
      </c>
      <c r="SU21" s="29">
        <f>'REG y VAL POE - AESR - ESR'!AE1552</f>
        <v>0</v>
      </c>
      <c r="SV21" s="28">
        <f>'REG y VAL POE - AESR - ESR'!AF1552</f>
        <v>0</v>
      </c>
      <c r="SW21" s="29">
        <f>'REG y VAL POE - AESR - ESR'!AG1552</f>
        <v>0</v>
      </c>
      <c r="SX21" s="30">
        <f>'REG y VAL POE - AESR - ESR'!AH1552</f>
        <v>0</v>
      </c>
      <c r="SY21" s="28">
        <f>'REG y VAL POE - AESR - ESR'!AI1552</f>
        <v>0</v>
      </c>
      <c r="SZ21" s="29">
        <f>'REG y VAL POE - AESR - ESR'!AJ1552</f>
        <v>0</v>
      </c>
      <c r="TA21" s="29">
        <f>'REG y VAL POE - AESR - ESR'!AK1552</f>
        <v>0</v>
      </c>
      <c r="TB21" s="29">
        <f>'REG y VAL POE - AESR - ESR'!AL1552</f>
        <v>0</v>
      </c>
      <c r="TC21" s="28">
        <f>'REG y VAL POE - AESR - ESR'!AM1552</f>
        <v>0</v>
      </c>
      <c r="TD21" s="29">
        <f>'REG y VAL POE - AESR - ESR'!AN1552</f>
        <v>0</v>
      </c>
      <c r="TE21" s="29">
        <f>'REG y VAL POE - AESR - ESR'!AO1552</f>
        <v>0</v>
      </c>
      <c r="TF21" s="28">
        <f>'REG y VAL POE - AESR - ESR'!AP1552</f>
        <v>0</v>
      </c>
      <c r="TG21" s="29">
        <f>'REG y VAL POE - AESR - ESR'!AQ1552</f>
        <v>0</v>
      </c>
      <c r="TH21" s="30">
        <f>'REG y VAL POE - AESR - ESR'!AR1552</f>
        <v>0</v>
      </c>
      <c r="TI21" s="28">
        <f>'REG y VAL POE - AESR - ESR'!AS1552</f>
        <v>0</v>
      </c>
      <c r="TJ21" s="29" t="str">
        <f>'REG y VAL POE - AESR - ESR'!B1553</f>
        <v xml:space="preserve">Herrera Herrera Alberto </v>
      </c>
      <c r="TK21" s="29" t="str">
        <f>'REG y VAL POE - AESR - ESR'!C1553</f>
        <v>Sin Registro</v>
      </c>
      <c r="TL21" s="29">
        <f>'REG y VAL POE - AESR - ESR'!D1553</f>
        <v>23210369</v>
      </c>
      <c r="TM21" s="28">
        <f>'REG y VAL POE - AESR - ESR'!E1553</f>
        <v>0</v>
      </c>
      <c r="TN21" s="29">
        <f>'REG y VAL POE - AESR - ESR'!F1553</f>
        <v>0</v>
      </c>
      <c r="TO21" s="29">
        <f>'REG y VAL POE - AESR - ESR'!G1553</f>
        <v>0</v>
      </c>
      <c r="TP21" s="28">
        <f>'REG y VAL POE - AESR - ESR'!H1553</f>
        <v>0</v>
      </c>
      <c r="TQ21" s="29">
        <f>'REG y VAL POE - AESR - ESR'!I1553</f>
        <v>0</v>
      </c>
      <c r="TR21" s="30">
        <f>'REG y VAL POE - AESR - ESR'!J1553</f>
        <v>0</v>
      </c>
      <c r="TS21" s="28">
        <f>'REG y VAL POE - AESR - ESR'!K1553</f>
        <v>0</v>
      </c>
      <c r="TT21" s="29">
        <f>'REG y VAL POE - AESR - ESR'!L1553</f>
        <v>0</v>
      </c>
      <c r="TU21" s="29">
        <f>'REG y VAL POE - AESR - ESR'!M1553</f>
        <v>0</v>
      </c>
      <c r="TV21" s="29">
        <f>'REG y VAL POE - AESR - ESR'!N1553</f>
        <v>0</v>
      </c>
      <c r="TW21" s="28">
        <f>'REG y VAL POE - AESR - ESR'!O1553</f>
        <v>0</v>
      </c>
      <c r="TX21" s="29">
        <f>'REG y VAL POE - AESR - ESR'!P1553</f>
        <v>0</v>
      </c>
      <c r="TY21" s="29">
        <f>'REG y VAL POE - AESR - ESR'!Q1553</f>
        <v>0</v>
      </c>
      <c r="TZ21" s="28">
        <f>'REG y VAL POE - AESR - ESR'!R1553</f>
        <v>0</v>
      </c>
      <c r="UA21" s="29">
        <f>'REG y VAL POE - AESR - ESR'!S1553</f>
        <v>0</v>
      </c>
      <c r="UB21" s="30">
        <f>'REG y VAL POE - AESR - ESR'!T1553</f>
        <v>0</v>
      </c>
      <c r="UC21" s="28">
        <f>'REG y VAL POE - AESR - ESR'!U1553</f>
        <v>0</v>
      </c>
      <c r="UD21" s="29">
        <f>'REG y VAL POE - AESR - ESR'!V1553</f>
        <v>0</v>
      </c>
      <c r="UE21" s="29">
        <f>'REG y VAL POE - AESR - ESR'!W1553</f>
        <v>0</v>
      </c>
      <c r="UF21" s="29">
        <f>'REG y VAL POE - AESR - ESR'!X1553</f>
        <v>0</v>
      </c>
      <c r="UG21" s="28">
        <f>'REG y VAL POE - AESR - ESR'!Y1553</f>
        <v>0</v>
      </c>
      <c r="UH21" s="29">
        <f>'REG y VAL POE - AESR - ESR'!Z1553</f>
        <v>0</v>
      </c>
      <c r="UI21" s="29">
        <f>'REG y VAL POE - AESR - ESR'!AA1553</f>
        <v>0</v>
      </c>
      <c r="UJ21" s="28">
        <f>'REG y VAL POE - AESR - ESR'!AB1553</f>
        <v>0</v>
      </c>
      <c r="UK21" s="29">
        <f>'REG y VAL POE - AESR - ESR'!AC1553</f>
        <v>0</v>
      </c>
      <c r="UL21" s="30">
        <f>'REG y VAL POE - AESR - ESR'!AD1553</f>
        <v>0</v>
      </c>
      <c r="UM21" s="28">
        <f>'REG y VAL POE - AESR - ESR'!AE1553</f>
        <v>0</v>
      </c>
      <c r="UN21" s="29">
        <f>'REG y VAL POE - AESR - ESR'!AF1553</f>
        <v>0</v>
      </c>
      <c r="UO21" s="29">
        <f>'REG y VAL POE - AESR - ESR'!AG1553</f>
        <v>0</v>
      </c>
      <c r="UP21" s="29">
        <f>'REG y VAL POE - AESR - ESR'!AH1553</f>
        <v>0</v>
      </c>
      <c r="UQ21" s="28">
        <f>'REG y VAL POE - AESR - ESR'!AI1553</f>
        <v>0</v>
      </c>
      <c r="UR21" s="29">
        <f>'REG y VAL POE - AESR - ESR'!AJ1553</f>
        <v>0</v>
      </c>
      <c r="US21" s="29">
        <f>'REG y VAL POE - AESR - ESR'!AK1553</f>
        <v>0</v>
      </c>
      <c r="UT21" s="28">
        <f>'REG y VAL POE - AESR - ESR'!AL1553</f>
        <v>0</v>
      </c>
      <c r="UU21" s="29">
        <f>'REG y VAL POE - AESR - ESR'!AM1553</f>
        <v>0</v>
      </c>
      <c r="UV21" s="30">
        <f>'REG y VAL POE - AESR - ESR'!AN1553</f>
        <v>0</v>
      </c>
      <c r="UW21" s="28">
        <f>'REG y VAL POE - AESR - ESR'!AO1553</f>
        <v>0</v>
      </c>
      <c r="UX21" s="29">
        <f>'REG y VAL POE - AESR - ESR'!AP1553</f>
        <v>0</v>
      </c>
      <c r="UY21" s="29">
        <f>'REG y VAL POE - AESR - ESR'!AQ1553</f>
        <v>0</v>
      </c>
      <c r="UZ21" s="29">
        <f>'REG y VAL POE - AESR - ESR'!AR1553</f>
        <v>0</v>
      </c>
      <c r="VA21" s="28">
        <f>'REG y VAL POE - AESR - ESR'!AS1553</f>
        <v>0</v>
      </c>
      <c r="VB21" s="29" t="str">
        <f>'REG y VAL POE - AESR - ESR'!B1554</f>
        <v xml:space="preserve">Jimenez Campos Julio Antonio </v>
      </c>
      <c r="VC21" s="29" t="str">
        <f>'REG y VAL POE - AESR - ESR'!C1554</f>
        <v>Sin Registro</v>
      </c>
      <c r="VD21" s="28">
        <f>'REG y VAL POE - AESR - ESR'!D1554</f>
        <v>23215350</v>
      </c>
      <c r="VE21" s="29">
        <f>'REG y VAL POE - AESR - ESR'!E1554</f>
        <v>0</v>
      </c>
      <c r="VF21" s="30">
        <f>'REG y VAL POE - AESR - ESR'!F1554</f>
        <v>0</v>
      </c>
      <c r="VG21" s="28">
        <f>'REG y VAL POE - AESR - ESR'!G1554</f>
        <v>0</v>
      </c>
      <c r="VH21" s="29">
        <f>'REG y VAL POE - AESR - ESR'!H1554</f>
        <v>0</v>
      </c>
      <c r="VI21" s="29">
        <f>'REG y VAL POE - AESR - ESR'!I1554</f>
        <v>0</v>
      </c>
      <c r="VJ21" s="29">
        <f>'REG y VAL POE - AESR - ESR'!J1554</f>
        <v>0</v>
      </c>
      <c r="VK21" s="28">
        <f>'REG y VAL POE - AESR - ESR'!K1554</f>
        <v>0</v>
      </c>
      <c r="VL21" s="29">
        <f>'REG y VAL POE - AESR - ESR'!L1554</f>
        <v>0</v>
      </c>
      <c r="VM21" s="29">
        <f>'REG y VAL POE - AESR - ESR'!M1554</f>
        <v>0</v>
      </c>
      <c r="VN21" s="28">
        <f>'REG y VAL POE - AESR - ESR'!N1554</f>
        <v>0</v>
      </c>
      <c r="VO21" s="29">
        <f>'REG y VAL POE - AESR - ESR'!O1554</f>
        <v>0</v>
      </c>
      <c r="VP21" s="30">
        <f>'REG y VAL POE - AESR - ESR'!P1554</f>
        <v>0</v>
      </c>
      <c r="VQ21" s="28">
        <f>'REG y VAL POE - AESR - ESR'!Q1554</f>
        <v>0</v>
      </c>
      <c r="VR21" s="29">
        <f>'REG y VAL POE - AESR - ESR'!R1554</f>
        <v>0</v>
      </c>
      <c r="VS21" s="29">
        <f>'REG y VAL POE - AESR - ESR'!S1554</f>
        <v>0</v>
      </c>
      <c r="VT21" s="29">
        <f>'REG y VAL POE - AESR - ESR'!T1554</f>
        <v>0</v>
      </c>
      <c r="VU21" s="28">
        <f>'REG y VAL POE - AESR - ESR'!U1554</f>
        <v>0</v>
      </c>
      <c r="VV21" s="29">
        <f>'REG y VAL POE - AESR - ESR'!V1554</f>
        <v>0</v>
      </c>
      <c r="VW21" s="29">
        <f>'REG y VAL POE - AESR - ESR'!W1554</f>
        <v>0</v>
      </c>
      <c r="VX21" s="28">
        <f>'REG y VAL POE - AESR - ESR'!X1554</f>
        <v>0</v>
      </c>
      <c r="VY21" s="29">
        <f>'REG y VAL POE - AESR - ESR'!Y1554</f>
        <v>0</v>
      </c>
      <c r="VZ21" s="30">
        <f>'REG y VAL POE - AESR - ESR'!Z1554</f>
        <v>0</v>
      </c>
      <c r="WA21" s="28">
        <f>'REG y VAL POE - AESR - ESR'!AA1554</f>
        <v>0</v>
      </c>
      <c r="WB21" s="29">
        <f>'REG y VAL POE - AESR - ESR'!AB1554</f>
        <v>0</v>
      </c>
      <c r="WC21" s="29">
        <f>'REG y VAL POE - AESR - ESR'!AC1554</f>
        <v>0</v>
      </c>
      <c r="WD21" s="29">
        <f>'REG y VAL POE - AESR - ESR'!AD1554</f>
        <v>0</v>
      </c>
      <c r="WE21" s="28">
        <f>'REG y VAL POE - AESR - ESR'!AE1554</f>
        <v>0</v>
      </c>
      <c r="WF21" s="29">
        <f>'REG y VAL POE - AESR - ESR'!AF1554</f>
        <v>0</v>
      </c>
      <c r="WG21" s="29">
        <f>'REG y VAL POE - AESR - ESR'!AG1554</f>
        <v>0</v>
      </c>
      <c r="WH21" s="28">
        <f>'REG y VAL POE - AESR - ESR'!AH1554</f>
        <v>0</v>
      </c>
      <c r="WI21" s="29">
        <f>'REG y VAL POE - AESR - ESR'!AI1554</f>
        <v>0</v>
      </c>
      <c r="WJ21" s="30">
        <f>'REG y VAL POE - AESR - ESR'!AJ1554</f>
        <v>0</v>
      </c>
      <c r="WK21" s="28">
        <f>'REG y VAL POE - AESR - ESR'!AK1554</f>
        <v>0</v>
      </c>
      <c r="WL21" s="29">
        <f>'REG y VAL POE - AESR - ESR'!AL1554</f>
        <v>0</v>
      </c>
      <c r="WM21" s="29">
        <f>'REG y VAL POE - AESR - ESR'!AM1554</f>
        <v>0</v>
      </c>
      <c r="WN21" s="29">
        <f>'REG y VAL POE - AESR - ESR'!AN1554</f>
        <v>0</v>
      </c>
      <c r="WO21" s="28">
        <f>'REG y VAL POE - AESR - ESR'!AO1554</f>
        <v>0</v>
      </c>
      <c r="WP21" s="29">
        <f>'REG y VAL POE - AESR - ESR'!AP1554</f>
        <v>0</v>
      </c>
      <c r="WQ21" s="29">
        <f>'REG y VAL POE - AESR - ESR'!AQ1554</f>
        <v>0</v>
      </c>
      <c r="WR21" s="28">
        <f>'REG y VAL POE - AESR - ESR'!AR1554</f>
        <v>0</v>
      </c>
      <c r="WS21" s="29">
        <f>'REG y VAL POE - AESR - ESR'!AS1554</f>
        <v>0</v>
      </c>
      <c r="WT21" s="30" t="str">
        <f>'REG y VAL POE - AESR - ESR'!B1555</f>
        <v xml:space="preserve">Jimenez Figueroa Mauricio </v>
      </c>
      <c r="WU21" s="28" t="str">
        <f>'REG y VAL POE - AESR - ESR'!C1555</f>
        <v>Sin Registro</v>
      </c>
      <c r="WV21" s="29">
        <f>'REG y VAL POE - AESR - ESR'!D1555</f>
        <v>23197436</v>
      </c>
      <c r="WW21" s="29">
        <f>'REG y VAL POE - AESR - ESR'!E1555</f>
        <v>0</v>
      </c>
      <c r="WX21" s="29">
        <f>'REG y VAL POE - AESR - ESR'!F1555</f>
        <v>0</v>
      </c>
      <c r="WY21" s="28">
        <f>'REG y VAL POE - AESR - ESR'!G1555</f>
        <v>0</v>
      </c>
      <c r="WZ21" s="29">
        <f>'REG y VAL POE - AESR - ESR'!H1555</f>
        <v>0</v>
      </c>
      <c r="XA21" s="29">
        <f>'REG y VAL POE - AESR - ESR'!I1555</f>
        <v>0</v>
      </c>
      <c r="XB21" s="28">
        <f>'REG y VAL POE - AESR - ESR'!J1555</f>
        <v>0</v>
      </c>
      <c r="XC21" s="29">
        <f>'REG y VAL POE - AESR - ESR'!K1555</f>
        <v>0</v>
      </c>
      <c r="XD21" s="30">
        <f>'REG y VAL POE - AESR - ESR'!L1555</f>
        <v>0</v>
      </c>
      <c r="XE21" s="28">
        <f>'REG y VAL POE - AESR - ESR'!M1555</f>
        <v>0</v>
      </c>
      <c r="XF21" s="29">
        <f>'REG y VAL POE - AESR - ESR'!N1555</f>
        <v>0</v>
      </c>
      <c r="XG21" s="29">
        <f>'REG y VAL POE - AESR - ESR'!O1555</f>
        <v>0</v>
      </c>
      <c r="XH21" s="29">
        <f>'REG y VAL POE - AESR - ESR'!P1555</f>
        <v>0</v>
      </c>
      <c r="XI21" s="28">
        <f>'REG y VAL POE - AESR - ESR'!Q1555</f>
        <v>0</v>
      </c>
      <c r="XJ21" s="29">
        <f>'REG y VAL POE - AESR - ESR'!R1555</f>
        <v>0</v>
      </c>
      <c r="XK21" s="29">
        <f>'REG y VAL POE - AESR - ESR'!S1555</f>
        <v>0</v>
      </c>
      <c r="XL21" s="28">
        <f>'REG y VAL POE - AESR - ESR'!T1555</f>
        <v>0</v>
      </c>
      <c r="XM21" s="29">
        <f>'REG y VAL POE - AESR - ESR'!U1555</f>
        <v>0</v>
      </c>
      <c r="XN21" s="30">
        <f>'REG y VAL POE - AESR - ESR'!V1555</f>
        <v>0</v>
      </c>
      <c r="XO21" s="28">
        <f>'REG y VAL POE - AESR - ESR'!W1555</f>
        <v>0</v>
      </c>
      <c r="XP21" s="29">
        <f>'REG y VAL POE - AESR - ESR'!X1555</f>
        <v>0</v>
      </c>
      <c r="XQ21" s="29">
        <f>'REG y VAL POE - AESR - ESR'!Y1555</f>
        <v>0</v>
      </c>
      <c r="XR21" s="29">
        <f>'REG y VAL POE - AESR - ESR'!Z1555</f>
        <v>0</v>
      </c>
      <c r="XS21" s="28">
        <f>'REG y VAL POE - AESR - ESR'!AA1555</f>
        <v>0</v>
      </c>
      <c r="XT21" s="29">
        <f>'REG y VAL POE - AESR - ESR'!AB1555</f>
        <v>0</v>
      </c>
      <c r="XU21" s="29">
        <f>'REG y VAL POE - AESR - ESR'!AC1555</f>
        <v>0</v>
      </c>
      <c r="XV21" s="28">
        <f>'REG y VAL POE - AESR - ESR'!AD1555</f>
        <v>0</v>
      </c>
      <c r="XW21" s="29">
        <f>'REG y VAL POE - AESR - ESR'!AE1555</f>
        <v>0</v>
      </c>
      <c r="XX21" s="30">
        <f>'REG y VAL POE - AESR - ESR'!AF1555</f>
        <v>0</v>
      </c>
      <c r="XY21" s="28">
        <f>'REG y VAL POE - AESR - ESR'!AG1555</f>
        <v>0</v>
      </c>
      <c r="XZ21" s="29">
        <f>'REG y VAL POE - AESR - ESR'!AH1555</f>
        <v>0</v>
      </c>
      <c r="YA21" s="29">
        <f>'REG y VAL POE - AESR - ESR'!AI1555</f>
        <v>0</v>
      </c>
      <c r="YB21" s="29">
        <f>'REG y VAL POE - AESR - ESR'!AJ1555</f>
        <v>0</v>
      </c>
      <c r="YC21" s="28">
        <f>'REG y VAL POE - AESR - ESR'!AK1555</f>
        <v>0</v>
      </c>
      <c r="YD21" s="29">
        <f>'REG y VAL POE - AESR - ESR'!AL1555</f>
        <v>0</v>
      </c>
      <c r="YE21" s="29">
        <f>'REG y VAL POE - AESR - ESR'!AM1555</f>
        <v>0</v>
      </c>
      <c r="YF21" s="28">
        <f>'REG y VAL POE - AESR - ESR'!AN1555</f>
        <v>0</v>
      </c>
      <c r="YG21" s="29">
        <f>'REG y VAL POE - AESR - ESR'!AO1555</f>
        <v>0</v>
      </c>
      <c r="YH21" s="30">
        <f>'REG y VAL POE - AESR - ESR'!AP1555</f>
        <v>0</v>
      </c>
      <c r="YI21" s="28">
        <f>'REG y VAL POE - AESR - ESR'!AQ1555</f>
        <v>0</v>
      </c>
      <c r="YJ21" s="29">
        <f>'REG y VAL POE - AESR - ESR'!AR1555</f>
        <v>0</v>
      </c>
      <c r="YK21" s="29">
        <f>'REG y VAL POE - AESR - ESR'!AS1555</f>
        <v>0</v>
      </c>
      <c r="YL21" s="29" t="str">
        <f>'REG y VAL POE - AESR - ESR'!B1556</f>
        <v xml:space="preserve">Jimenez Garcia Saire </v>
      </c>
      <c r="YM21" s="28" t="str">
        <f>'REG y VAL POE - AESR - ESR'!C1556</f>
        <v>Sin Registro</v>
      </c>
      <c r="YN21" s="29">
        <f>'REG y VAL POE - AESR - ESR'!D1556</f>
        <v>23215663</v>
      </c>
      <c r="YO21" s="29">
        <f>'REG y VAL POE - AESR - ESR'!E1556</f>
        <v>0</v>
      </c>
      <c r="YP21" s="28">
        <f>'REG y VAL POE - AESR - ESR'!F1556</f>
        <v>0</v>
      </c>
      <c r="YQ21" s="29">
        <f>'REG y VAL POE - AESR - ESR'!G1556</f>
        <v>0</v>
      </c>
      <c r="YR21" s="30">
        <f>'REG y VAL POE - AESR - ESR'!H1556</f>
        <v>0</v>
      </c>
      <c r="YS21" s="28">
        <f>'REG y VAL POE - AESR - ESR'!I1556</f>
        <v>0</v>
      </c>
      <c r="YT21" s="29">
        <f>'REG y VAL POE - AESR - ESR'!J1556</f>
        <v>0</v>
      </c>
      <c r="YU21" s="29">
        <f>'REG y VAL POE - AESR - ESR'!K1556</f>
        <v>0</v>
      </c>
      <c r="YV21" s="29">
        <f>'REG y VAL POE - AESR - ESR'!L1556</f>
        <v>0</v>
      </c>
      <c r="YW21" s="28">
        <f>'REG y VAL POE - AESR - ESR'!M1556</f>
        <v>0</v>
      </c>
      <c r="YX21" s="29">
        <f>'REG y VAL POE - AESR - ESR'!N1556</f>
        <v>0</v>
      </c>
      <c r="YY21" s="29">
        <f>'REG y VAL POE - AESR - ESR'!O1556</f>
        <v>0</v>
      </c>
      <c r="YZ21" s="28">
        <f>'REG y VAL POE - AESR - ESR'!P1556</f>
        <v>0</v>
      </c>
      <c r="ZA21" s="29">
        <f>'REG y VAL POE - AESR - ESR'!Q1556</f>
        <v>0</v>
      </c>
      <c r="ZB21" s="30">
        <f>'REG y VAL POE - AESR - ESR'!R1556</f>
        <v>0</v>
      </c>
      <c r="ZC21" s="28">
        <f>'REG y VAL POE - AESR - ESR'!S1556</f>
        <v>0</v>
      </c>
      <c r="ZD21" s="29">
        <f>'REG y VAL POE - AESR - ESR'!T1556</f>
        <v>0</v>
      </c>
      <c r="ZE21" s="29">
        <f>'REG y VAL POE - AESR - ESR'!U1556</f>
        <v>0</v>
      </c>
      <c r="ZF21" s="29">
        <f>'REG y VAL POE - AESR - ESR'!V1556</f>
        <v>0</v>
      </c>
      <c r="ZG21" s="28">
        <f>'REG y VAL POE - AESR - ESR'!W1556</f>
        <v>0</v>
      </c>
      <c r="ZH21" s="29">
        <f>'REG y VAL POE - AESR - ESR'!X1556</f>
        <v>0</v>
      </c>
      <c r="ZI21" s="29">
        <f>'REG y VAL POE - AESR - ESR'!Y1556</f>
        <v>0</v>
      </c>
      <c r="ZJ21" s="28">
        <f>'REG y VAL POE - AESR - ESR'!Z1556</f>
        <v>0</v>
      </c>
      <c r="ZK21" s="29">
        <f>'REG y VAL POE - AESR - ESR'!AA1556</f>
        <v>0</v>
      </c>
      <c r="ZL21" s="30">
        <f>'REG y VAL POE - AESR - ESR'!AB1556</f>
        <v>0</v>
      </c>
      <c r="ZM21" s="28">
        <f>'REG y VAL POE - AESR - ESR'!AC1556</f>
        <v>0</v>
      </c>
      <c r="ZN21" s="29">
        <f>'REG y VAL POE - AESR - ESR'!AD1556</f>
        <v>0</v>
      </c>
      <c r="ZO21" s="29">
        <f>'REG y VAL POE - AESR - ESR'!AE1556</f>
        <v>0</v>
      </c>
      <c r="ZP21" s="29">
        <f>'REG y VAL POE - AESR - ESR'!AF1556</f>
        <v>0</v>
      </c>
      <c r="ZQ21" s="28">
        <f>'REG y VAL POE - AESR - ESR'!AG1556</f>
        <v>0</v>
      </c>
      <c r="ZR21" s="29">
        <f>'REG y VAL POE - AESR - ESR'!AH1556</f>
        <v>0</v>
      </c>
      <c r="ZS21" s="29">
        <f>'REG y VAL POE - AESR - ESR'!AI1556</f>
        <v>0</v>
      </c>
      <c r="ZT21" s="28">
        <f>'REG y VAL POE - AESR - ESR'!AJ1556</f>
        <v>0</v>
      </c>
      <c r="ZU21" s="29">
        <f>'REG y VAL POE - AESR - ESR'!AK1556</f>
        <v>0</v>
      </c>
      <c r="ZV21" s="30">
        <f>'REG y VAL POE - AESR - ESR'!AL1556</f>
        <v>0</v>
      </c>
      <c r="ZW21" s="28">
        <f>'REG y VAL POE - AESR - ESR'!AM1556</f>
        <v>0</v>
      </c>
      <c r="ZX21" s="29">
        <f>'REG y VAL POE - AESR - ESR'!AN1556</f>
        <v>0</v>
      </c>
      <c r="ZY21" s="29">
        <f>'REG y VAL POE - AESR - ESR'!AO1556</f>
        <v>0</v>
      </c>
      <c r="ZZ21" s="29">
        <f>'REG y VAL POE - AESR - ESR'!AP1556</f>
        <v>0</v>
      </c>
      <c r="AAA21" s="28">
        <f>'REG y VAL POE - AESR - ESR'!AQ1556</f>
        <v>0</v>
      </c>
      <c r="AAB21" s="29">
        <f>'REG y VAL POE - AESR - ESR'!AR1556</f>
        <v>0</v>
      </c>
      <c r="AAC21" s="29">
        <f>'REG y VAL POE - AESR - ESR'!AS1556</f>
        <v>0</v>
      </c>
      <c r="AAD21" s="28" t="str">
        <f>'REG y VAL POE - AESR - ESR'!B1557</f>
        <v xml:space="preserve">Lopez Barajas Eyder Arturo </v>
      </c>
      <c r="AAE21" s="29" t="str">
        <f>'REG y VAL POE - AESR - ESR'!C1557</f>
        <v>Sin Registro</v>
      </c>
      <c r="AAF21" s="30">
        <f>'REG y VAL POE - AESR - ESR'!D1557</f>
        <v>23057497</v>
      </c>
      <c r="AAG21" s="28">
        <f>'REG y VAL POE - AESR - ESR'!E1557</f>
        <v>0</v>
      </c>
      <c r="AAH21" s="29">
        <f>'REG y VAL POE - AESR - ESR'!F1557</f>
        <v>0</v>
      </c>
      <c r="AAI21" s="29">
        <f>'REG y VAL POE - AESR - ESR'!G1557</f>
        <v>0</v>
      </c>
      <c r="AAJ21" s="29">
        <f>'REG y VAL POE - AESR - ESR'!H1557</f>
        <v>0</v>
      </c>
      <c r="AAK21" s="28">
        <f>'REG y VAL POE - AESR - ESR'!I1557</f>
        <v>0</v>
      </c>
      <c r="AAL21" s="29">
        <f>'REG y VAL POE - AESR - ESR'!J1557</f>
        <v>0</v>
      </c>
      <c r="AAM21" s="29">
        <f>'REG y VAL POE - AESR - ESR'!K1557</f>
        <v>0</v>
      </c>
      <c r="AAN21" s="28">
        <f>'REG y VAL POE - AESR - ESR'!L1557</f>
        <v>0</v>
      </c>
      <c r="AAO21" s="29">
        <f>'REG y VAL POE - AESR - ESR'!M1557</f>
        <v>0</v>
      </c>
      <c r="AAP21" s="30">
        <f>'REG y VAL POE - AESR - ESR'!N1557</f>
        <v>0</v>
      </c>
      <c r="AAQ21" s="28">
        <f>'REG y VAL POE - AESR - ESR'!O1557</f>
        <v>0</v>
      </c>
      <c r="AAR21" s="29">
        <f>'REG y VAL POE - AESR - ESR'!P1557</f>
        <v>0</v>
      </c>
      <c r="AAS21" s="29">
        <f>'REG y VAL POE - AESR - ESR'!Q1557</f>
        <v>0</v>
      </c>
      <c r="AAT21" s="29">
        <f>'REG y VAL POE - AESR - ESR'!R1557</f>
        <v>0</v>
      </c>
      <c r="AAU21" s="28">
        <f>'REG y VAL POE - AESR - ESR'!S1557</f>
        <v>0</v>
      </c>
      <c r="AAV21" s="29">
        <f>'REG y VAL POE - AESR - ESR'!T1557</f>
        <v>0</v>
      </c>
      <c r="AAW21" s="29">
        <f>'REG y VAL POE - AESR - ESR'!U1557</f>
        <v>0</v>
      </c>
      <c r="AAX21" s="30">
        <f>'REG y VAL POE - AESR - ESR'!V1557</f>
        <v>0</v>
      </c>
      <c r="AAY21" s="30">
        <f>'REG y VAL POE - AESR - ESR'!W1557</f>
        <v>0</v>
      </c>
      <c r="AAZ21" s="30">
        <f>'REG y VAL POE - AESR - ESR'!X1557</f>
        <v>0</v>
      </c>
      <c r="ABA21" s="28">
        <f>'REG y VAL POE - AESR - ESR'!Y1557</f>
        <v>0</v>
      </c>
      <c r="ABB21" s="30">
        <f>'REG y VAL POE - AESR - ESR'!Z1557</f>
        <v>0</v>
      </c>
      <c r="ABC21" s="30">
        <f>'REG y VAL POE - AESR - ESR'!AA1557</f>
        <v>0</v>
      </c>
      <c r="ABD21" s="30">
        <f>'REG y VAL POE - AESR - ESR'!AB1557</f>
        <v>0</v>
      </c>
      <c r="ABE21" s="30">
        <f>'REG y VAL POE - AESR - ESR'!AC1557</f>
        <v>0</v>
      </c>
      <c r="ABF21" s="30">
        <f>'REG y VAL POE - AESR - ESR'!AD1557</f>
        <v>0</v>
      </c>
      <c r="ABG21" s="29">
        <f>'REG y VAL POE - AESR - ESR'!AE1557</f>
        <v>0</v>
      </c>
      <c r="ABH21" s="28">
        <f>'REG y VAL POE - AESR - ESR'!AF1557</f>
        <v>0</v>
      </c>
      <c r="ABI21" s="29">
        <f>'REG y VAL POE - AESR - ESR'!AG1557</f>
        <v>0</v>
      </c>
      <c r="ABJ21" s="30">
        <f>'REG y VAL POE - AESR - ESR'!AH1557</f>
        <v>0</v>
      </c>
      <c r="ABK21" s="28">
        <f>'REG y VAL POE - AESR - ESR'!AI1557</f>
        <v>0</v>
      </c>
      <c r="ABL21" s="29">
        <f>'REG y VAL POE - AESR - ESR'!AJ1557</f>
        <v>0</v>
      </c>
      <c r="ABM21" s="29">
        <f>'REG y VAL POE - AESR - ESR'!AK1557</f>
        <v>0</v>
      </c>
      <c r="ABN21" s="29">
        <f>'REG y VAL POE - AESR - ESR'!AL1557</f>
        <v>0</v>
      </c>
      <c r="ABO21" s="28">
        <f>'REG y VAL POE - AESR - ESR'!AM1557</f>
        <v>0</v>
      </c>
      <c r="ABP21" s="29">
        <f>'REG y VAL POE - AESR - ESR'!AN1557</f>
        <v>0</v>
      </c>
      <c r="ABQ21" s="29">
        <f>'REG y VAL POE - AESR - ESR'!AO1557</f>
        <v>0</v>
      </c>
      <c r="ABR21" s="28">
        <f>'REG y VAL POE - AESR - ESR'!AP1557</f>
        <v>0</v>
      </c>
      <c r="ABS21" s="29">
        <f>'REG y VAL POE - AESR - ESR'!AQ1557</f>
        <v>0</v>
      </c>
      <c r="ABT21" s="30">
        <f>'REG y VAL POE - AESR - ESR'!AR1557</f>
        <v>0</v>
      </c>
      <c r="ABU21" s="28">
        <f>'REG y VAL POE - AESR - ESR'!AS1557</f>
        <v>0</v>
      </c>
      <c r="ABV21" s="29" t="str">
        <f>'REG y VAL POE - AESR - ESR'!B1558</f>
        <v xml:space="preserve">Lopez Moreno Ruben </v>
      </c>
      <c r="ABW21" s="29" t="str">
        <f>'REG y VAL POE - AESR - ESR'!C1558</f>
        <v>Sin Registro</v>
      </c>
      <c r="ABX21" s="29">
        <f>'REG y VAL POE - AESR - ESR'!D1558</f>
        <v>23149522</v>
      </c>
      <c r="ABY21" s="28">
        <f>'REG y VAL POE - AESR - ESR'!E1558</f>
        <v>0</v>
      </c>
      <c r="ABZ21" s="29">
        <f>'REG y VAL POE - AESR - ESR'!F1558</f>
        <v>0</v>
      </c>
      <c r="ACA21" s="29">
        <f>'REG y VAL POE - AESR - ESR'!G1558</f>
        <v>0</v>
      </c>
      <c r="ACB21" s="28">
        <f>'REG y VAL POE - AESR - ESR'!H1558</f>
        <v>0</v>
      </c>
      <c r="ACC21" s="29">
        <f>'REG y VAL POE - AESR - ESR'!I1558</f>
        <v>0</v>
      </c>
      <c r="ACD21" s="30">
        <f>'REG y VAL POE - AESR - ESR'!J1558</f>
        <v>0</v>
      </c>
      <c r="ACE21" s="28">
        <f>'REG y VAL POE - AESR - ESR'!K1558</f>
        <v>0</v>
      </c>
      <c r="ACF21" s="29">
        <f>'REG y VAL POE - AESR - ESR'!L1558</f>
        <v>0</v>
      </c>
      <c r="ACG21" s="29">
        <f>'REG y VAL POE - AESR - ESR'!M1558</f>
        <v>0</v>
      </c>
      <c r="ACH21" s="29">
        <f>'REG y VAL POE - AESR - ESR'!N1558</f>
        <v>0</v>
      </c>
      <c r="ACI21" s="28">
        <f>'REG y VAL POE - AESR - ESR'!O1558</f>
        <v>0</v>
      </c>
      <c r="ACJ21" s="29">
        <f>'REG y VAL POE - AESR - ESR'!P1558</f>
        <v>0</v>
      </c>
      <c r="ACK21" s="29">
        <f>'REG y VAL POE - AESR - ESR'!Q1558</f>
        <v>0</v>
      </c>
      <c r="ACL21" s="28">
        <f>'REG y VAL POE - AESR - ESR'!R1558</f>
        <v>0</v>
      </c>
      <c r="ACM21" s="29">
        <f>'REG y VAL POE - AESR - ESR'!S1558</f>
        <v>0</v>
      </c>
      <c r="ACN21" s="30">
        <f>'REG y VAL POE - AESR - ESR'!T1558</f>
        <v>0</v>
      </c>
      <c r="ACO21" s="28">
        <f>'REG y VAL POE - AESR - ESR'!U1558</f>
        <v>0</v>
      </c>
      <c r="ACP21" s="29">
        <f>'REG y VAL POE - AESR - ESR'!V1558</f>
        <v>0</v>
      </c>
      <c r="ACQ21" s="29">
        <f>'REG y VAL POE - AESR - ESR'!W1558</f>
        <v>0</v>
      </c>
      <c r="ACR21" s="29">
        <f>'REG y VAL POE - AESR - ESR'!X1558</f>
        <v>0</v>
      </c>
      <c r="ACS21" s="28">
        <f>'REG y VAL POE - AESR - ESR'!Y1558</f>
        <v>0</v>
      </c>
      <c r="ACT21" s="29">
        <f>'REG y VAL POE - AESR - ESR'!Z1558</f>
        <v>0</v>
      </c>
      <c r="ACU21" s="29">
        <f>'REG y VAL POE - AESR - ESR'!AA1558</f>
        <v>0</v>
      </c>
      <c r="ACV21" s="28">
        <f>'REG y VAL POE - AESR - ESR'!AB1558</f>
        <v>0</v>
      </c>
      <c r="ACW21" s="29">
        <f>'REG y VAL POE - AESR - ESR'!AC1558</f>
        <v>0</v>
      </c>
      <c r="ACX21" s="30">
        <f>'REG y VAL POE - AESR - ESR'!AD1558</f>
        <v>0</v>
      </c>
      <c r="ACY21" s="28">
        <f>'REG y VAL POE - AESR - ESR'!AE1558</f>
        <v>0</v>
      </c>
      <c r="ACZ21" s="29">
        <f>'REG y VAL POE - AESR - ESR'!AF1558</f>
        <v>0</v>
      </c>
      <c r="ADA21" s="29">
        <f>'REG y VAL POE - AESR - ESR'!AG1558</f>
        <v>0</v>
      </c>
      <c r="ADB21" s="29">
        <f>'REG y VAL POE - AESR - ESR'!AH1558</f>
        <v>0</v>
      </c>
      <c r="ADC21" s="28">
        <f>'REG y VAL POE - AESR - ESR'!AI1558</f>
        <v>0</v>
      </c>
      <c r="ADD21" s="29">
        <f>'REG y VAL POE - AESR - ESR'!AJ1558</f>
        <v>0</v>
      </c>
      <c r="ADE21" s="29">
        <f>'REG y VAL POE - AESR - ESR'!AK1558</f>
        <v>0</v>
      </c>
      <c r="ADF21" s="28">
        <f>'REG y VAL POE - AESR - ESR'!AL1558</f>
        <v>0</v>
      </c>
      <c r="ADG21" s="29">
        <f>'REG y VAL POE - AESR - ESR'!AM1558</f>
        <v>0</v>
      </c>
      <c r="ADH21" s="30">
        <f>'REG y VAL POE - AESR - ESR'!AN1558</f>
        <v>0</v>
      </c>
      <c r="ADI21" s="28">
        <f>'REG y VAL POE - AESR - ESR'!AO1558</f>
        <v>0</v>
      </c>
      <c r="ADJ21" s="29">
        <f>'REG y VAL POE - AESR - ESR'!AP1558</f>
        <v>0</v>
      </c>
      <c r="ADK21" s="29">
        <f>'REG y VAL POE - AESR - ESR'!AQ1558</f>
        <v>0</v>
      </c>
      <c r="ADL21" s="29">
        <f>'REG y VAL POE - AESR - ESR'!AR1558</f>
        <v>0</v>
      </c>
      <c r="ADM21" s="28">
        <f>'REG y VAL POE - AESR - ESR'!AS1558</f>
        <v>0</v>
      </c>
      <c r="ADN21" s="29" t="str">
        <f>'REG y VAL POE - AESR - ESR'!B1559</f>
        <v xml:space="preserve">Martinez Del Viento Javier </v>
      </c>
      <c r="ADO21" s="29" t="str">
        <f>'REG y VAL POE - AESR - ESR'!C1559</f>
        <v>Sin Registro</v>
      </c>
      <c r="ADP21" s="28">
        <f>'REG y VAL POE - AESR - ESR'!D1559</f>
        <v>23155435</v>
      </c>
      <c r="ADQ21" s="29">
        <f>'REG y VAL POE - AESR - ESR'!E1559</f>
        <v>0</v>
      </c>
      <c r="ADR21" s="30">
        <f>'REG y VAL POE - AESR - ESR'!F1559</f>
        <v>0</v>
      </c>
      <c r="ADS21" s="28">
        <f>'REG y VAL POE - AESR - ESR'!G1559</f>
        <v>0</v>
      </c>
      <c r="ADT21" s="29">
        <f>'REG y VAL POE - AESR - ESR'!H1559</f>
        <v>0</v>
      </c>
      <c r="ADU21" s="29">
        <f>'REG y VAL POE - AESR - ESR'!I1559</f>
        <v>0</v>
      </c>
      <c r="ADV21" s="29">
        <f>'REG y VAL POE - AESR - ESR'!J1559</f>
        <v>0</v>
      </c>
      <c r="ADW21" s="28">
        <f>'REG y VAL POE - AESR - ESR'!K1559</f>
        <v>0</v>
      </c>
      <c r="ADX21" s="29">
        <f>'REG y VAL POE - AESR - ESR'!L1559</f>
        <v>0</v>
      </c>
      <c r="ADY21" s="29">
        <f>'REG y VAL POE - AESR - ESR'!M1559</f>
        <v>0</v>
      </c>
      <c r="ADZ21" s="28">
        <f>'REG y VAL POE - AESR - ESR'!N1559</f>
        <v>0</v>
      </c>
      <c r="AEA21" s="29">
        <f>'REG y VAL POE - AESR - ESR'!O1559</f>
        <v>0</v>
      </c>
      <c r="AEB21" s="30">
        <f>'REG y VAL POE - AESR - ESR'!P1559</f>
        <v>0</v>
      </c>
      <c r="AEC21" s="28">
        <f>'REG y VAL POE - AESR - ESR'!Q1559</f>
        <v>0</v>
      </c>
      <c r="AED21" s="29">
        <f>'REG y VAL POE - AESR - ESR'!R1559</f>
        <v>0</v>
      </c>
      <c r="AEE21" s="29">
        <f>'REG y VAL POE - AESR - ESR'!S1559</f>
        <v>0</v>
      </c>
      <c r="AEF21" s="29">
        <f>'REG y VAL POE - AESR - ESR'!T1559</f>
        <v>0</v>
      </c>
      <c r="AEG21" s="28">
        <f>'REG y VAL POE - AESR - ESR'!U1559</f>
        <v>0</v>
      </c>
      <c r="AEH21" s="29">
        <f>'REG y VAL POE - AESR - ESR'!V1559</f>
        <v>0</v>
      </c>
      <c r="AEI21" s="29">
        <f>'REG y VAL POE - AESR - ESR'!W1559</f>
        <v>0</v>
      </c>
      <c r="AEJ21" s="28">
        <f>'REG y VAL POE - AESR - ESR'!X1559</f>
        <v>0</v>
      </c>
      <c r="AEK21" s="29">
        <f>'REG y VAL POE - AESR - ESR'!Y1559</f>
        <v>0</v>
      </c>
      <c r="AEL21" s="30">
        <f>'REG y VAL POE - AESR - ESR'!Z1559</f>
        <v>0</v>
      </c>
      <c r="AEM21" s="28">
        <f>'REG y VAL POE - AESR - ESR'!AA1559</f>
        <v>0</v>
      </c>
      <c r="AEN21" s="29">
        <f>'REG y VAL POE - AESR - ESR'!AB1559</f>
        <v>0</v>
      </c>
      <c r="AEO21" s="29">
        <f>'REG y VAL POE - AESR - ESR'!AC1559</f>
        <v>0</v>
      </c>
      <c r="AEP21" s="29">
        <f>'REG y VAL POE - AESR - ESR'!AD1559</f>
        <v>0</v>
      </c>
      <c r="AEQ21" s="28">
        <f>'REG y VAL POE - AESR - ESR'!AE1559</f>
        <v>0</v>
      </c>
      <c r="AER21" s="29">
        <f>'REG y VAL POE - AESR - ESR'!AF1559</f>
        <v>0</v>
      </c>
      <c r="AES21" s="29">
        <f>'REG y VAL POE - AESR - ESR'!AG1559</f>
        <v>0</v>
      </c>
      <c r="AET21" s="28">
        <f>'REG y VAL POE - AESR - ESR'!AH1559</f>
        <v>0</v>
      </c>
      <c r="AEU21" s="29">
        <f>'REG y VAL POE - AESR - ESR'!AI1559</f>
        <v>0</v>
      </c>
      <c r="AEV21" s="30">
        <f>'REG y VAL POE - AESR - ESR'!AJ1559</f>
        <v>0</v>
      </c>
      <c r="AEW21" s="28">
        <f>'REG y VAL POE - AESR - ESR'!AK1559</f>
        <v>0</v>
      </c>
      <c r="AEX21" s="29">
        <f>'REG y VAL POE - AESR - ESR'!AL1559</f>
        <v>0</v>
      </c>
      <c r="AEY21" s="29">
        <f>'REG y VAL POE - AESR - ESR'!AM1559</f>
        <v>0</v>
      </c>
      <c r="AEZ21" s="29">
        <f>'REG y VAL POE - AESR - ESR'!AN1559</f>
        <v>0</v>
      </c>
      <c r="AFA21" s="28">
        <f>'REG y VAL POE - AESR - ESR'!AO1559</f>
        <v>0</v>
      </c>
      <c r="AFB21" s="29">
        <f>'REG y VAL POE - AESR - ESR'!AP1559</f>
        <v>0</v>
      </c>
      <c r="AFC21" s="29">
        <f>'REG y VAL POE - AESR - ESR'!AQ1559</f>
        <v>0</v>
      </c>
      <c r="AFD21" s="28">
        <f>'REG y VAL POE - AESR - ESR'!AR1559</f>
        <v>0</v>
      </c>
      <c r="AFE21" s="29">
        <f>'REG y VAL POE - AESR - ESR'!AS1559</f>
        <v>0</v>
      </c>
      <c r="AFF21" s="30" t="str">
        <f>'REG y VAL POE - AESR - ESR'!B1560</f>
        <v xml:space="preserve">Martinez Inclan Mariela </v>
      </c>
      <c r="AFG21" s="28" t="str">
        <f>'REG y VAL POE - AESR - ESR'!C1560</f>
        <v>Sin Registro</v>
      </c>
      <c r="AFH21" s="29">
        <f>'REG y VAL POE - AESR - ESR'!D1560</f>
        <v>23157626</v>
      </c>
      <c r="AFI21" s="29">
        <f>'REG y VAL POE - AESR - ESR'!E1560</f>
        <v>0</v>
      </c>
      <c r="AFJ21" s="29">
        <f>'REG y VAL POE - AESR - ESR'!F1560</f>
        <v>0</v>
      </c>
      <c r="AFK21" s="28">
        <f>'REG y VAL POE - AESR - ESR'!G1560</f>
        <v>0</v>
      </c>
      <c r="AFL21" s="29">
        <f>'REG y VAL POE - AESR - ESR'!H1560</f>
        <v>0</v>
      </c>
      <c r="AFM21" s="29">
        <f>'REG y VAL POE - AESR - ESR'!I1560</f>
        <v>0</v>
      </c>
      <c r="AFN21" s="28">
        <f>'REG y VAL POE - AESR - ESR'!J1560</f>
        <v>0</v>
      </c>
      <c r="AFO21" s="29">
        <f>'REG y VAL POE - AESR - ESR'!K1560</f>
        <v>0</v>
      </c>
      <c r="AFP21" s="30">
        <f>'REG y VAL POE - AESR - ESR'!L1560</f>
        <v>0</v>
      </c>
      <c r="AFQ21" s="28">
        <f>'REG y VAL POE - AESR - ESR'!M1560</f>
        <v>0</v>
      </c>
      <c r="AFR21" s="29">
        <f>'REG y VAL POE - AESR - ESR'!N1560</f>
        <v>0</v>
      </c>
      <c r="AFS21" s="29">
        <f>'REG y VAL POE - AESR - ESR'!O1560</f>
        <v>0</v>
      </c>
      <c r="AFT21" s="29">
        <f>'REG y VAL POE - AESR - ESR'!P1560</f>
        <v>0</v>
      </c>
      <c r="AFU21" s="28">
        <f>'REG y VAL POE - AESR - ESR'!Q1560</f>
        <v>0</v>
      </c>
      <c r="AFV21" s="29">
        <f>'REG y VAL POE - AESR - ESR'!R1560</f>
        <v>0</v>
      </c>
      <c r="AFW21" s="29">
        <f>'REG y VAL POE - AESR - ESR'!S1560</f>
        <v>0</v>
      </c>
      <c r="AFX21" s="28">
        <f>'REG y VAL POE - AESR - ESR'!T1560</f>
        <v>0</v>
      </c>
      <c r="AFY21" s="29">
        <f>'REG y VAL POE - AESR - ESR'!U1560</f>
        <v>0</v>
      </c>
      <c r="AFZ21" s="30">
        <f>'REG y VAL POE - AESR - ESR'!V1560</f>
        <v>0</v>
      </c>
      <c r="AGA21" s="28">
        <f>'REG y VAL POE - AESR - ESR'!W1560</f>
        <v>0</v>
      </c>
      <c r="AGB21" s="29">
        <f>'REG y VAL POE - AESR - ESR'!X1560</f>
        <v>0</v>
      </c>
      <c r="AGC21" s="29">
        <f>'REG y VAL POE - AESR - ESR'!Y1560</f>
        <v>0</v>
      </c>
      <c r="AGD21" s="29">
        <f>'REG y VAL POE - AESR - ESR'!Z1560</f>
        <v>0</v>
      </c>
      <c r="AGE21" s="28">
        <f>'REG y VAL POE - AESR - ESR'!AA1560</f>
        <v>0</v>
      </c>
      <c r="AGF21" s="29">
        <f>'REG y VAL POE - AESR - ESR'!AB1560</f>
        <v>0</v>
      </c>
      <c r="AGG21" s="29">
        <f>'REG y VAL POE - AESR - ESR'!AC1560</f>
        <v>0</v>
      </c>
      <c r="AGH21" s="28">
        <f>'REG y VAL POE - AESR - ESR'!AD1560</f>
        <v>0</v>
      </c>
      <c r="AGI21" s="29">
        <f>'REG y VAL POE - AESR - ESR'!AE1560</f>
        <v>0</v>
      </c>
      <c r="AGJ21" s="30">
        <f>'REG y VAL POE - AESR - ESR'!AF1560</f>
        <v>0</v>
      </c>
      <c r="AGK21" s="28">
        <f>'REG y VAL POE - AESR - ESR'!AG1560</f>
        <v>0</v>
      </c>
      <c r="AGL21" s="29">
        <f>'REG y VAL POE - AESR - ESR'!AH1560</f>
        <v>0</v>
      </c>
      <c r="AGM21" s="29">
        <f>'REG y VAL POE - AESR - ESR'!AI1560</f>
        <v>0</v>
      </c>
      <c r="AGN21" s="29">
        <f>'REG y VAL POE - AESR - ESR'!AJ1560</f>
        <v>0</v>
      </c>
      <c r="AGO21" s="28">
        <f>'REG y VAL POE - AESR - ESR'!AK1560</f>
        <v>0</v>
      </c>
      <c r="AGP21" s="29">
        <f>'REG y VAL POE - AESR - ESR'!AL1560</f>
        <v>0</v>
      </c>
      <c r="AGQ21" s="29">
        <f>'REG y VAL POE - AESR - ESR'!AM1560</f>
        <v>0</v>
      </c>
      <c r="AGR21" s="28">
        <f>'REG y VAL POE - AESR - ESR'!AN1560</f>
        <v>0</v>
      </c>
      <c r="AGS21" s="29">
        <f>'REG y VAL POE - AESR - ESR'!AO1560</f>
        <v>0</v>
      </c>
      <c r="AGT21" s="30">
        <f>'REG y VAL POE - AESR - ESR'!AP1560</f>
        <v>0</v>
      </c>
      <c r="AGU21" s="28">
        <f>'REG y VAL POE - AESR - ESR'!AQ1560</f>
        <v>0</v>
      </c>
      <c r="AGV21" s="29">
        <f>'REG y VAL POE - AESR - ESR'!AR1560</f>
        <v>0</v>
      </c>
      <c r="AGW21" s="29">
        <f>'REG y VAL POE - AESR - ESR'!AS1560</f>
        <v>0</v>
      </c>
      <c r="AGX21" s="29" t="str">
        <f>'REG y VAL POE - AESR - ESR'!B1561</f>
        <v xml:space="preserve">Martinez Santiago Martin </v>
      </c>
      <c r="AGY21" s="28" t="str">
        <f>'REG y VAL POE - AESR - ESR'!C1561</f>
        <v>Sin Registro</v>
      </c>
      <c r="AGZ21" s="29">
        <f>'REG y VAL POE - AESR - ESR'!D1561</f>
        <v>23139154</v>
      </c>
      <c r="AHA21" s="29">
        <f>'REG y VAL POE - AESR - ESR'!E1561</f>
        <v>0</v>
      </c>
      <c r="AHB21" s="28">
        <f>'REG y VAL POE - AESR - ESR'!F1561</f>
        <v>0</v>
      </c>
      <c r="AHC21" s="29">
        <f>'REG y VAL POE - AESR - ESR'!G1561</f>
        <v>0</v>
      </c>
      <c r="AHD21" s="30">
        <f>'REG y VAL POE - AESR - ESR'!H1561</f>
        <v>0</v>
      </c>
      <c r="AHE21" s="28">
        <f>'REG y VAL POE - AESR - ESR'!I1561</f>
        <v>0</v>
      </c>
      <c r="AHF21" s="29">
        <f>'REG y VAL POE - AESR - ESR'!J1561</f>
        <v>0</v>
      </c>
      <c r="AHG21" s="29">
        <f>'REG y VAL POE - AESR - ESR'!K1561</f>
        <v>0</v>
      </c>
      <c r="AHH21" s="29">
        <f>'REG y VAL POE - AESR - ESR'!L1561</f>
        <v>0</v>
      </c>
      <c r="AHI21" s="28">
        <f>'REG y VAL POE - AESR - ESR'!M1561</f>
        <v>0</v>
      </c>
      <c r="AHJ21" s="29">
        <f>'REG y VAL POE - AESR - ESR'!N1561</f>
        <v>0</v>
      </c>
      <c r="AHK21" s="29">
        <f>'REG y VAL POE - AESR - ESR'!O1561</f>
        <v>0</v>
      </c>
      <c r="AHL21" s="28">
        <f>'REG y VAL POE - AESR - ESR'!P1561</f>
        <v>0</v>
      </c>
      <c r="AHM21" s="29">
        <f>'REG y VAL POE - AESR - ESR'!Q1561</f>
        <v>0</v>
      </c>
      <c r="AHN21" s="30">
        <f>'REG y VAL POE - AESR - ESR'!R1561</f>
        <v>0</v>
      </c>
      <c r="AHO21" s="28">
        <f>'REG y VAL POE - AESR - ESR'!S1561</f>
        <v>0</v>
      </c>
      <c r="AHP21" s="29">
        <f>'REG y VAL POE - AESR - ESR'!T1561</f>
        <v>0</v>
      </c>
      <c r="AHQ21" s="29">
        <f>'REG y VAL POE - AESR - ESR'!U1561</f>
        <v>0</v>
      </c>
      <c r="AHR21" s="29">
        <f>'REG y VAL POE - AESR - ESR'!V1561</f>
        <v>0</v>
      </c>
      <c r="AHS21" s="28">
        <f>'REG y VAL POE - AESR - ESR'!W1561</f>
        <v>0</v>
      </c>
      <c r="AHT21" s="29">
        <f>'REG y VAL POE - AESR - ESR'!X1561</f>
        <v>0</v>
      </c>
      <c r="AHU21" s="29">
        <f>'REG y VAL POE - AESR - ESR'!Y1561</f>
        <v>0</v>
      </c>
      <c r="AHV21" s="28">
        <f>'REG y VAL POE - AESR - ESR'!Z1561</f>
        <v>0</v>
      </c>
      <c r="AHW21" s="29">
        <f>'REG y VAL POE - AESR - ESR'!AA1561</f>
        <v>0</v>
      </c>
      <c r="AHX21" s="30">
        <f>'REG y VAL POE - AESR - ESR'!AB1561</f>
        <v>0</v>
      </c>
      <c r="AHY21" s="28">
        <f>'REG y VAL POE - AESR - ESR'!AC1561</f>
        <v>0</v>
      </c>
      <c r="AHZ21" s="29">
        <f>'REG y VAL POE - AESR - ESR'!AD1561</f>
        <v>0</v>
      </c>
      <c r="AIA21" s="29">
        <f>'REG y VAL POE - AESR - ESR'!AE1561</f>
        <v>0</v>
      </c>
      <c r="AIB21" s="29">
        <f>'REG y VAL POE - AESR - ESR'!AF1561</f>
        <v>0</v>
      </c>
      <c r="AIC21" s="28">
        <f>'REG y VAL POE - AESR - ESR'!AG1561</f>
        <v>0</v>
      </c>
      <c r="AID21" s="29">
        <f>'REG y VAL POE - AESR - ESR'!AH1561</f>
        <v>0</v>
      </c>
      <c r="AIE21" s="29">
        <f>'REG y VAL POE - AESR - ESR'!AI1561</f>
        <v>0</v>
      </c>
      <c r="AIF21" s="28">
        <f>'REG y VAL POE - AESR - ESR'!AJ1561</f>
        <v>0</v>
      </c>
      <c r="AIG21" s="29">
        <f>'REG y VAL POE - AESR - ESR'!AK1561</f>
        <v>0</v>
      </c>
      <c r="AIH21" s="30">
        <f>'REG y VAL POE - AESR - ESR'!AL1561</f>
        <v>0</v>
      </c>
      <c r="AII21" s="28">
        <f>'REG y VAL POE - AESR - ESR'!AM1561</f>
        <v>0</v>
      </c>
      <c r="AIJ21" s="29">
        <f>'REG y VAL POE - AESR - ESR'!AN1561</f>
        <v>0</v>
      </c>
      <c r="AIK21" s="29">
        <f>'REG y VAL POE - AESR - ESR'!AO1561</f>
        <v>0</v>
      </c>
      <c r="AIL21" s="29">
        <f>'REG y VAL POE - AESR - ESR'!AP1561</f>
        <v>0</v>
      </c>
      <c r="AIM21" s="28">
        <f>'REG y VAL POE - AESR - ESR'!AQ1561</f>
        <v>0</v>
      </c>
      <c r="AIN21" s="29">
        <f>'REG y VAL POE - AESR - ESR'!AR1561</f>
        <v>0</v>
      </c>
      <c r="AIO21" s="29">
        <f>'REG y VAL POE - AESR - ESR'!AS1561</f>
        <v>0</v>
      </c>
      <c r="AIP21" s="28" t="str">
        <f>'REG y VAL POE - AESR - ESR'!B1562</f>
        <v xml:space="preserve">Mayo Galmichi Omar </v>
      </c>
      <c r="AIQ21" s="29" t="str">
        <f>'REG y VAL POE - AESR - ESR'!C1562</f>
        <v>Sin Registro</v>
      </c>
      <c r="AIR21" s="30">
        <f>'REG y VAL POE - AESR - ESR'!D1562</f>
        <v>23187396</v>
      </c>
      <c r="AIS21" s="28">
        <f>'REG y VAL POE - AESR - ESR'!E1562</f>
        <v>0</v>
      </c>
      <c r="AIT21" s="29">
        <f>'REG y VAL POE - AESR - ESR'!F1562</f>
        <v>0</v>
      </c>
      <c r="AIU21" s="29">
        <f>'REG y VAL POE - AESR - ESR'!G1562</f>
        <v>0</v>
      </c>
      <c r="AIV21" s="29">
        <f>'REG y VAL POE - AESR - ESR'!H1562</f>
        <v>0</v>
      </c>
      <c r="AIW21" s="28">
        <f>'REG y VAL POE - AESR - ESR'!I1562</f>
        <v>0</v>
      </c>
      <c r="AIX21" s="29">
        <f>'REG y VAL POE - AESR - ESR'!J1562</f>
        <v>0</v>
      </c>
      <c r="AIY21" s="29">
        <f>'REG y VAL POE - AESR - ESR'!K1562</f>
        <v>0</v>
      </c>
      <c r="AIZ21" s="28">
        <f>'REG y VAL POE - AESR - ESR'!L1562</f>
        <v>0</v>
      </c>
      <c r="AJA21" s="29">
        <f>'REG y VAL POE - AESR - ESR'!M1562</f>
        <v>0</v>
      </c>
      <c r="AJB21" s="30">
        <f>'REG y VAL POE - AESR - ESR'!N1562</f>
        <v>0</v>
      </c>
      <c r="AJC21" s="28">
        <f>'REG y VAL POE - AESR - ESR'!O1562</f>
        <v>0</v>
      </c>
      <c r="AJD21" s="29">
        <f>'REG y VAL POE - AESR - ESR'!P1562</f>
        <v>0</v>
      </c>
      <c r="AJE21" s="29">
        <f>'REG y VAL POE - AESR - ESR'!Q1562</f>
        <v>0</v>
      </c>
      <c r="AJF21" s="29">
        <f>'REG y VAL POE - AESR - ESR'!R1562</f>
        <v>0</v>
      </c>
      <c r="AJG21" s="28">
        <f>'REG y VAL POE - AESR - ESR'!S1562</f>
        <v>0</v>
      </c>
      <c r="AJH21" s="29">
        <f>'REG y VAL POE - AESR - ESR'!T1562</f>
        <v>0</v>
      </c>
      <c r="AJI21" s="29">
        <f>'REG y VAL POE - AESR - ESR'!U1562</f>
        <v>0</v>
      </c>
      <c r="AJJ21" s="28">
        <f>'REG y VAL POE - AESR - ESR'!V1562</f>
        <v>0</v>
      </c>
      <c r="AJK21" s="29">
        <f>'REG y VAL POE - AESR - ESR'!W1562</f>
        <v>0</v>
      </c>
      <c r="AJL21" s="30">
        <f>'REG y VAL POE - AESR - ESR'!X1562</f>
        <v>0</v>
      </c>
      <c r="AJM21" s="28">
        <f>'REG y VAL POE - AESR - ESR'!Y1562</f>
        <v>0</v>
      </c>
      <c r="AJN21" s="29">
        <f>'REG y VAL POE - AESR - ESR'!Z1562</f>
        <v>0</v>
      </c>
      <c r="AJO21" s="29">
        <f>'REG y VAL POE - AESR - ESR'!AA1562</f>
        <v>0</v>
      </c>
      <c r="AJP21" s="29">
        <f>'REG y VAL POE - AESR - ESR'!AB1562</f>
        <v>0</v>
      </c>
      <c r="AJQ21" s="28">
        <f>'REG y VAL POE - AESR - ESR'!AC1562</f>
        <v>0</v>
      </c>
      <c r="AJR21" s="29">
        <f>'REG y VAL POE - AESR - ESR'!AD1562</f>
        <v>0</v>
      </c>
      <c r="AJS21" s="29">
        <f>'REG y VAL POE - AESR - ESR'!AE1562</f>
        <v>0</v>
      </c>
      <c r="AJT21" s="28">
        <f>'REG y VAL POE - AESR - ESR'!AF1562</f>
        <v>0</v>
      </c>
      <c r="AJU21" s="29">
        <f>'REG y VAL POE - AESR - ESR'!AG1562</f>
        <v>0</v>
      </c>
      <c r="AJV21" s="30">
        <f>'REG y VAL POE - AESR - ESR'!AH1562</f>
        <v>0</v>
      </c>
      <c r="AJW21" s="28">
        <f>'REG y VAL POE - AESR - ESR'!AI1562</f>
        <v>0</v>
      </c>
      <c r="AJX21" s="29">
        <f>'REG y VAL POE - AESR - ESR'!AJ1562</f>
        <v>0</v>
      </c>
      <c r="AJY21" s="29">
        <f>'REG y VAL POE - AESR - ESR'!AK1562</f>
        <v>0</v>
      </c>
      <c r="AJZ21" s="29">
        <f>'REG y VAL POE - AESR - ESR'!AL1562</f>
        <v>0</v>
      </c>
      <c r="AKA21" s="28">
        <f>'REG y VAL POE - AESR - ESR'!AM1562</f>
        <v>0</v>
      </c>
      <c r="AKB21" s="29">
        <f>'REG y VAL POE - AESR - ESR'!AN1562</f>
        <v>0</v>
      </c>
      <c r="AKC21" s="29">
        <f>'REG y VAL POE - AESR - ESR'!AO1562</f>
        <v>0</v>
      </c>
      <c r="AKD21" s="28">
        <f>'REG y VAL POE - AESR - ESR'!AP1562</f>
        <v>0</v>
      </c>
      <c r="AKE21" s="29">
        <f>'REG y VAL POE - AESR - ESR'!AQ1562</f>
        <v>0</v>
      </c>
      <c r="AKF21" s="30">
        <f>'REG y VAL POE - AESR - ESR'!AR1562</f>
        <v>0</v>
      </c>
      <c r="AKG21" s="28">
        <f>'REG y VAL POE - AESR - ESR'!AS1562</f>
        <v>0</v>
      </c>
      <c r="AKH21" s="29" t="str">
        <f>'REG y VAL POE - AESR - ESR'!B1563</f>
        <v xml:space="preserve">Morales Lopez Laura </v>
      </c>
      <c r="AKI21" s="29" t="str">
        <f>'REG y VAL POE - AESR - ESR'!C1563</f>
        <v>Sin Registro</v>
      </c>
      <c r="AKJ21" s="29">
        <f>'REG y VAL POE - AESR - ESR'!D1563</f>
        <v>23214173</v>
      </c>
      <c r="AKK21" s="28">
        <f>'REG y VAL POE - AESR - ESR'!E1563</f>
        <v>0</v>
      </c>
      <c r="AKL21" s="29">
        <f>'REG y VAL POE - AESR - ESR'!F1563</f>
        <v>0</v>
      </c>
      <c r="AKM21" s="29">
        <f>'REG y VAL POE - AESR - ESR'!G1563</f>
        <v>0</v>
      </c>
      <c r="AKN21" s="28">
        <f>'REG y VAL POE - AESR - ESR'!H1563</f>
        <v>0</v>
      </c>
      <c r="AKO21" s="29">
        <f>'REG y VAL POE - AESR - ESR'!I1563</f>
        <v>0</v>
      </c>
      <c r="AKP21" s="30">
        <f>'REG y VAL POE - AESR - ESR'!J1563</f>
        <v>0</v>
      </c>
      <c r="AKQ21" s="28">
        <f>'REG y VAL POE - AESR - ESR'!K1563</f>
        <v>0</v>
      </c>
      <c r="AKR21" s="29">
        <f>'REG y VAL POE - AESR - ESR'!L1563</f>
        <v>0</v>
      </c>
      <c r="AKS21" s="29">
        <f>'REG y VAL POE - AESR - ESR'!M1563</f>
        <v>0</v>
      </c>
      <c r="AKT21" s="29">
        <f>'REG y VAL POE - AESR - ESR'!N1563</f>
        <v>0</v>
      </c>
      <c r="AKU21" s="28">
        <f>'REG y VAL POE - AESR - ESR'!O1563</f>
        <v>0</v>
      </c>
      <c r="AKV21" s="29">
        <f>'REG y VAL POE - AESR - ESR'!P1563</f>
        <v>0</v>
      </c>
      <c r="AKW21" s="29">
        <f>'REG y VAL POE - AESR - ESR'!Q1563</f>
        <v>0</v>
      </c>
      <c r="AKX21" s="28">
        <f>'REG y VAL POE - AESR - ESR'!R1563</f>
        <v>0</v>
      </c>
      <c r="AKY21" s="29">
        <f>'REG y VAL POE - AESR - ESR'!S1563</f>
        <v>0</v>
      </c>
      <c r="AKZ21" s="30">
        <f>'REG y VAL POE - AESR - ESR'!T1563</f>
        <v>0</v>
      </c>
      <c r="ALA21" s="28">
        <f>'REG y VAL POE - AESR - ESR'!U1563</f>
        <v>0</v>
      </c>
      <c r="ALB21" s="29">
        <f>'REG y VAL POE - AESR - ESR'!V1563</f>
        <v>0</v>
      </c>
      <c r="ALC21" s="29">
        <f>'REG y VAL POE - AESR - ESR'!W1563</f>
        <v>0</v>
      </c>
      <c r="ALD21" s="29">
        <f>'REG y VAL POE - AESR - ESR'!X1563</f>
        <v>0</v>
      </c>
      <c r="ALE21" s="28">
        <f>'REG y VAL POE - AESR - ESR'!Y1563</f>
        <v>0</v>
      </c>
      <c r="ALF21" s="29">
        <f>'REG y VAL POE - AESR - ESR'!Z1563</f>
        <v>0</v>
      </c>
      <c r="ALG21" s="29">
        <f>'REG y VAL POE - AESR - ESR'!AA1563</f>
        <v>0</v>
      </c>
      <c r="ALH21" s="29">
        <f>'REG y VAL POE - AESR - ESR'!AB1563</f>
        <v>0</v>
      </c>
      <c r="ALI21" s="29">
        <f>'REG y VAL POE - AESR - ESR'!AC1563</f>
        <v>0</v>
      </c>
      <c r="ALJ21" s="29">
        <f>'REG y VAL POE - AESR - ESR'!AD1563</f>
        <v>0</v>
      </c>
      <c r="ALK21" s="28">
        <f>'REG y VAL POE - AESR - ESR'!AE1563</f>
        <v>0</v>
      </c>
      <c r="ALL21" s="29">
        <f>'REG y VAL POE - AESR - ESR'!AF1563</f>
        <v>0</v>
      </c>
      <c r="ALM21" s="29">
        <f>'REG y VAL POE - AESR - ESR'!AG1563</f>
        <v>0</v>
      </c>
      <c r="ALN21" s="28">
        <f>'REG y VAL POE - AESR - ESR'!AH1563</f>
        <v>0</v>
      </c>
      <c r="ALO21" s="29">
        <f>'REG y VAL POE - AESR - ESR'!AI1563</f>
        <v>0</v>
      </c>
      <c r="ALP21" s="30">
        <f>'REG y VAL POE - AESR - ESR'!AJ1563</f>
        <v>0</v>
      </c>
      <c r="ALQ21" s="28">
        <f>'REG y VAL POE - AESR - ESR'!AK1563</f>
        <v>0</v>
      </c>
      <c r="ALR21" s="29">
        <f>'REG y VAL POE - AESR - ESR'!AL1563</f>
        <v>0</v>
      </c>
      <c r="ALS21" s="29">
        <f>'REG y VAL POE - AESR - ESR'!AM1563</f>
        <v>0</v>
      </c>
      <c r="ALT21" s="29">
        <f>'REG y VAL POE - AESR - ESR'!AN1563</f>
        <v>0</v>
      </c>
      <c r="ALU21" s="28">
        <f>'REG y VAL POE - AESR - ESR'!AO1563</f>
        <v>0</v>
      </c>
      <c r="ALV21" s="29">
        <f>'REG y VAL POE - AESR - ESR'!AP1563</f>
        <v>0</v>
      </c>
      <c r="ALW21" s="29">
        <f>'REG y VAL POE - AESR - ESR'!AQ1563</f>
        <v>0</v>
      </c>
      <c r="ALX21" s="28">
        <f>'REG y VAL POE - AESR - ESR'!AR1563</f>
        <v>0</v>
      </c>
      <c r="ALY21" s="29">
        <f>'REG y VAL POE - AESR - ESR'!AS1563</f>
        <v>0</v>
      </c>
      <c r="ALZ21" s="30" t="str">
        <f>'REG y VAL POE - AESR - ESR'!B1564</f>
        <v xml:space="preserve">Ortega Tolentino Rubith </v>
      </c>
      <c r="AMA21" s="28" t="str">
        <f>'REG y VAL POE - AESR - ESR'!C1564</f>
        <v>Sin Registro</v>
      </c>
      <c r="AMB21" s="29">
        <f>'REG y VAL POE - AESR - ESR'!D1564</f>
        <v>23157835</v>
      </c>
      <c r="AMC21" s="29">
        <f>'REG y VAL POE - AESR - ESR'!E1564</f>
        <v>0</v>
      </c>
      <c r="AMD21" s="29">
        <f>'REG y VAL POE - AESR - ESR'!F1564</f>
        <v>0</v>
      </c>
      <c r="AME21" s="28">
        <f>'REG y VAL POE - AESR - ESR'!G1564</f>
        <v>0</v>
      </c>
      <c r="AMF21" s="29">
        <f>'REG y VAL POE - AESR - ESR'!H1564</f>
        <v>0</v>
      </c>
      <c r="AMG21" s="29">
        <f>'REG y VAL POE - AESR - ESR'!I1564</f>
        <v>0</v>
      </c>
      <c r="AMH21" s="29">
        <f>'REG y VAL POE - AESR - ESR'!J1564</f>
        <v>0</v>
      </c>
      <c r="AMI21" s="29">
        <f>'REG y VAL POE - AESR - ESR'!K1564</f>
        <v>0</v>
      </c>
      <c r="AMJ21" s="29">
        <f>'REG y VAL POE - AESR - ESR'!L1564</f>
        <v>0</v>
      </c>
      <c r="AMK21" s="28">
        <f>'REG y VAL POE - AESR - ESR'!M1564</f>
        <v>0</v>
      </c>
      <c r="AML21" s="29">
        <f>'REG y VAL POE - AESR - ESR'!N1564</f>
        <v>0</v>
      </c>
      <c r="AMM21" s="29">
        <f>'REG y VAL POE - AESR - ESR'!O1564</f>
        <v>0</v>
      </c>
      <c r="AMN21" s="28">
        <f>'REG y VAL POE - AESR - ESR'!P1564</f>
        <v>0</v>
      </c>
      <c r="AMO21" s="29">
        <f>'REG y VAL POE - AESR - ESR'!Q1564</f>
        <v>0</v>
      </c>
      <c r="AMP21" s="30">
        <f>'REG y VAL POE - AESR - ESR'!R1564</f>
        <v>0</v>
      </c>
      <c r="AMQ21" s="28">
        <f>'REG y VAL POE - AESR - ESR'!S1564</f>
        <v>0</v>
      </c>
      <c r="AMR21" s="29">
        <f>'REG y VAL POE - AESR - ESR'!T1564</f>
        <v>0</v>
      </c>
      <c r="AMS21" s="29">
        <f>'REG y VAL POE - AESR - ESR'!U1564</f>
        <v>0</v>
      </c>
      <c r="AMT21" s="29">
        <f>'REG y VAL POE - AESR - ESR'!V1564</f>
        <v>0</v>
      </c>
      <c r="AMU21" s="28">
        <f>'REG y VAL POE - AESR - ESR'!W1564</f>
        <v>0</v>
      </c>
      <c r="AMV21" s="29">
        <f>'REG y VAL POE - AESR - ESR'!X1564</f>
        <v>0</v>
      </c>
      <c r="AMW21" s="29">
        <f>'REG y VAL POE - AESR - ESR'!Y1564</f>
        <v>0</v>
      </c>
      <c r="AMX21" s="28">
        <f>'REG y VAL POE - AESR - ESR'!Z1564</f>
        <v>0</v>
      </c>
      <c r="AMY21" s="29">
        <f>'REG y VAL POE - AESR - ESR'!AA1564</f>
        <v>0</v>
      </c>
      <c r="AMZ21" s="30">
        <f>'REG y VAL POE - AESR - ESR'!AB1564</f>
        <v>0</v>
      </c>
      <c r="ANA21" s="28">
        <f>'REG y VAL POE - AESR - ESR'!AC1564</f>
        <v>0</v>
      </c>
      <c r="ANB21" s="29">
        <f>'REG y VAL POE - AESR - ESR'!AD1564</f>
        <v>0</v>
      </c>
      <c r="ANC21" s="29">
        <f>'REG y VAL POE - AESR - ESR'!AE1564</f>
        <v>0</v>
      </c>
      <c r="AND21" s="29">
        <f>'REG y VAL POE - AESR - ESR'!AF1564</f>
        <v>0</v>
      </c>
      <c r="ANE21" s="28">
        <f>'REG y VAL POE - AESR - ESR'!AG1564</f>
        <v>0</v>
      </c>
      <c r="ANF21" s="29">
        <f>'REG y VAL POE - AESR - ESR'!AH1564</f>
        <v>0</v>
      </c>
      <c r="ANG21" s="29">
        <f>'REG y VAL POE - AESR - ESR'!AI1564</f>
        <v>0</v>
      </c>
      <c r="ANH21" s="29">
        <f>'REG y VAL POE - AESR - ESR'!AJ1564</f>
        <v>0</v>
      </c>
      <c r="ANI21" s="29">
        <f>'REG y VAL POE - AESR - ESR'!AK1564</f>
        <v>0</v>
      </c>
      <c r="ANJ21" s="29">
        <f>'REG y VAL POE - AESR - ESR'!AL1564</f>
        <v>0</v>
      </c>
      <c r="ANK21" s="28">
        <f>'REG y VAL POE - AESR - ESR'!AM1564</f>
        <v>0</v>
      </c>
      <c r="ANL21" s="29">
        <f>'REG y VAL POE - AESR - ESR'!AN1564</f>
        <v>0</v>
      </c>
      <c r="ANM21" s="29">
        <f>'REG y VAL POE - AESR - ESR'!AO1564</f>
        <v>0</v>
      </c>
      <c r="ANN21" s="28">
        <f>'REG y VAL POE - AESR - ESR'!AP1564</f>
        <v>0</v>
      </c>
      <c r="ANO21" s="29">
        <f>'REG y VAL POE - AESR - ESR'!AQ1564</f>
        <v>0</v>
      </c>
      <c r="ANP21" s="30">
        <f>'REG y VAL POE - AESR - ESR'!AR1564</f>
        <v>0</v>
      </c>
      <c r="ANQ21" s="28">
        <f>'REG y VAL POE - AESR - ESR'!AS1564</f>
        <v>0</v>
      </c>
      <c r="ANR21" s="29" t="str">
        <f>'REG y VAL POE - AESR - ESR'!B1565</f>
        <v xml:space="preserve">Ortegon Chaparro Farley </v>
      </c>
      <c r="ANS21" s="29" t="str">
        <f>'REG y VAL POE - AESR - ESR'!C1565</f>
        <v>Sin Registro</v>
      </c>
      <c r="ANT21" s="29">
        <f>'REG y VAL POE - AESR - ESR'!D1565</f>
        <v>23167461</v>
      </c>
      <c r="ANU21" s="28">
        <f>'REG y VAL POE - AESR - ESR'!E1565</f>
        <v>0</v>
      </c>
      <c r="ANV21" s="29">
        <f>'REG y VAL POE - AESR - ESR'!F1565</f>
        <v>0</v>
      </c>
      <c r="ANW21" s="29">
        <f>'REG y VAL POE - AESR - ESR'!G1565</f>
        <v>0</v>
      </c>
      <c r="ANX21" s="28">
        <f>'REG y VAL POE - AESR - ESR'!H1565</f>
        <v>0</v>
      </c>
      <c r="ANY21" s="29">
        <f>'REG y VAL POE - AESR - ESR'!I1565</f>
        <v>0</v>
      </c>
      <c r="ANZ21" s="30">
        <f>'REG y VAL POE - AESR - ESR'!J1565</f>
        <v>0</v>
      </c>
      <c r="AOA21" s="28">
        <f>'REG y VAL POE - AESR - ESR'!K1565</f>
        <v>0</v>
      </c>
      <c r="AOB21" s="29">
        <f>'REG y VAL POE - AESR - ESR'!L1565</f>
        <v>0</v>
      </c>
      <c r="AOC21" s="29">
        <f>'REG y VAL POE - AESR - ESR'!M1565</f>
        <v>0</v>
      </c>
      <c r="AOD21" s="29">
        <f>'REG y VAL POE - AESR - ESR'!N1565</f>
        <v>0</v>
      </c>
      <c r="AOE21" s="28">
        <f>'REG y VAL POE - AESR - ESR'!O1565</f>
        <v>0</v>
      </c>
      <c r="AOF21" s="29">
        <f>'REG y VAL POE - AESR - ESR'!P1565</f>
        <v>0</v>
      </c>
      <c r="AOG21" s="29">
        <f>'REG y VAL POE - AESR - ESR'!Q1565</f>
        <v>0</v>
      </c>
      <c r="AOH21" s="29">
        <f>'REG y VAL POE - AESR - ESR'!R1565</f>
        <v>0</v>
      </c>
      <c r="AOI21" s="29">
        <f>'REG y VAL POE - AESR - ESR'!S1565</f>
        <v>0</v>
      </c>
      <c r="AOJ21" s="29">
        <f>'REG y VAL POE - AESR - ESR'!T1565</f>
        <v>0</v>
      </c>
      <c r="AOK21" s="28">
        <f>'REG y VAL POE - AESR - ESR'!U1565</f>
        <v>0</v>
      </c>
      <c r="AOL21" s="29">
        <f>'REG y VAL POE - AESR - ESR'!V1565</f>
        <v>0</v>
      </c>
      <c r="AOM21" s="29">
        <f>'REG y VAL POE - AESR - ESR'!W1565</f>
        <v>0</v>
      </c>
      <c r="AON21" s="28">
        <f>'REG y VAL POE - AESR - ESR'!X1565</f>
        <v>0</v>
      </c>
      <c r="AOO21" s="29">
        <f>'REG y VAL POE - AESR - ESR'!Y1565</f>
        <v>0</v>
      </c>
      <c r="AOP21" s="30">
        <f>'REG y VAL POE - AESR - ESR'!Z1565</f>
        <v>0</v>
      </c>
      <c r="AOQ21" s="28">
        <f>'REG y VAL POE - AESR - ESR'!AA1565</f>
        <v>0</v>
      </c>
      <c r="AOR21" s="29">
        <f>'REG y VAL POE - AESR - ESR'!AB1565</f>
        <v>0</v>
      </c>
      <c r="AOS21" s="29">
        <f>'REG y VAL POE - AESR - ESR'!AC1565</f>
        <v>0</v>
      </c>
      <c r="AOT21" s="29">
        <f>'REG y VAL POE - AESR - ESR'!AD1565</f>
        <v>0</v>
      </c>
      <c r="AOU21" s="28">
        <f>'REG y VAL POE - AESR - ESR'!AE1565</f>
        <v>0</v>
      </c>
      <c r="AOV21" s="29">
        <f>'REG y VAL POE - AESR - ESR'!AF1565</f>
        <v>0</v>
      </c>
      <c r="AOW21" s="29">
        <f>'REG y VAL POE - AESR - ESR'!AG1565</f>
        <v>0</v>
      </c>
      <c r="AOX21" s="28">
        <f>'REG y VAL POE - AESR - ESR'!AH1565</f>
        <v>0</v>
      </c>
      <c r="AOY21" s="29">
        <f>'REG y VAL POE - AESR - ESR'!AI1565</f>
        <v>0</v>
      </c>
      <c r="AOZ21" s="30">
        <f>'REG y VAL POE - AESR - ESR'!AJ1565</f>
        <v>0</v>
      </c>
      <c r="APA21" s="28">
        <f>'REG y VAL POE - AESR - ESR'!AK1565</f>
        <v>0</v>
      </c>
      <c r="APB21" s="29">
        <f>'REG y VAL POE - AESR - ESR'!AL1565</f>
        <v>0</v>
      </c>
      <c r="APC21" s="29">
        <f>'REG y VAL POE - AESR - ESR'!AM1565</f>
        <v>0</v>
      </c>
      <c r="APD21" s="29">
        <f>'REG y VAL POE - AESR - ESR'!AN1565</f>
        <v>0</v>
      </c>
      <c r="APE21" s="28">
        <f>'REG y VAL POE - AESR - ESR'!AO1565</f>
        <v>0</v>
      </c>
      <c r="APF21" s="29">
        <f>'REG y VAL POE - AESR - ESR'!AP1565</f>
        <v>0</v>
      </c>
      <c r="APG21" s="29">
        <f>'REG y VAL POE - AESR - ESR'!AQ1565</f>
        <v>0</v>
      </c>
      <c r="APH21" s="29">
        <f>'REG y VAL POE - AESR - ESR'!AR1565</f>
        <v>0</v>
      </c>
      <c r="API21" s="29">
        <f>'REG y VAL POE - AESR - ESR'!AS1565</f>
        <v>0</v>
      </c>
      <c r="APJ21" s="29" t="str">
        <f>'REG y VAL POE - AESR - ESR'!B1566</f>
        <v xml:space="preserve">Pina Arriaga Brandol </v>
      </c>
      <c r="APK21" s="28" t="str">
        <f>'REG y VAL POE - AESR - ESR'!C1566</f>
        <v>Sin Registro</v>
      </c>
      <c r="APL21" s="29">
        <f>'REG y VAL POE - AESR - ESR'!D1566</f>
        <v>23147604</v>
      </c>
      <c r="APM21" s="29">
        <f>'REG y VAL POE - AESR - ESR'!E1566</f>
        <v>0</v>
      </c>
      <c r="APN21" s="28">
        <f>'REG y VAL POE - AESR - ESR'!F1566</f>
        <v>0</v>
      </c>
      <c r="APO21" s="29">
        <f>'REG y VAL POE - AESR - ESR'!G1566</f>
        <v>0</v>
      </c>
      <c r="APP21" s="30">
        <f>'REG y VAL POE - AESR - ESR'!H1566</f>
        <v>0</v>
      </c>
      <c r="APQ21" s="28">
        <f>'REG y VAL POE - AESR - ESR'!I1566</f>
        <v>0</v>
      </c>
      <c r="APR21" s="29">
        <f>'REG y VAL POE - AESR - ESR'!J1566</f>
        <v>0</v>
      </c>
      <c r="APS21" s="29">
        <f>'REG y VAL POE - AESR - ESR'!K1566</f>
        <v>0</v>
      </c>
      <c r="APT21" s="29">
        <f>'REG y VAL POE - AESR - ESR'!L1566</f>
        <v>0</v>
      </c>
      <c r="APU21" s="28">
        <f>'REG y VAL POE - AESR - ESR'!M1566</f>
        <v>0</v>
      </c>
      <c r="APV21" s="29">
        <f>'REG y VAL POE - AESR - ESR'!N1566</f>
        <v>0</v>
      </c>
      <c r="APW21" s="29">
        <f>'REG y VAL POE - AESR - ESR'!O1566</f>
        <v>0</v>
      </c>
      <c r="APX21" s="28">
        <f>'REG y VAL POE - AESR - ESR'!P1566</f>
        <v>0</v>
      </c>
      <c r="APY21" s="29">
        <f>'REG y VAL POE - AESR - ESR'!Q1566</f>
        <v>0</v>
      </c>
      <c r="APZ21" s="30">
        <f>'REG y VAL POE - AESR - ESR'!R1566</f>
        <v>0</v>
      </c>
      <c r="AQA21" s="28">
        <f>'REG y VAL POE - AESR - ESR'!S1566</f>
        <v>0</v>
      </c>
      <c r="AQB21" s="29">
        <f>'REG y VAL POE - AESR - ESR'!T1566</f>
        <v>0</v>
      </c>
      <c r="AQC21" s="29">
        <f>'REG y VAL POE - AESR - ESR'!U1566</f>
        <v>0</v>
      </c>
      <c r="AQD21" s="29">
        <f>'REG y VAL POE - AESR - ESR'!V1566</f>
        <v>0</v>
      </c>
      <c r="AQE21" s="28">
        <f>'REG y VAL POE - AESR - ESR'!W1566</f>
        <v>0</v>
      </c>
      <c r="AQF21" s="29">
        <f>'REG y VAL POE - AESR - ESR'!X1566</f>
        <v>0</v>
      </c>
      <c r="AQG21" s="29">
        <f>'REG y VAL POE - AESR - ESR'!Y1566</f>
        <v>0</v>
      </c>
      <c r="AQH21" s="29">
        <f>'REG y VAL POE - AESR - ESR'!Z1566</f>
        <v>0</v>
      </c>
      <c r="AQI21" s="29">
        <f>'REG y VAL POE - AESR - ESR'!AA1566</f>
        <v>0</v>
      </c>
      <c r="AQJ21" s="29">
        <f>'REG y VAL POE - AESR - ESR'!AB1566</f>
        <v>0</v>
      </c>
      <c r="AQK21" s="28">
        <f>'REG y VAL POE - AESR - ESR'!AC1566</f>
        <v>0</v>
      </c>
      <c r="AQL21" s="29">
        <f>'REG y VAL POE - AESR - ESR'!AD1566</f>
        <v>0</v>
      </c>
      <c r="AQM21" s="29">
        <f>'REG y VAL POE - AESR - ESR'!AE1566</f>
        <v>0</v>
      </c>
      <c r="AQN21" s="28">
        <f>'REG y VAL POE - AESR - ESR'!AF1566</f>
        <v>0</v>
      </c>
      <c r="AQO21" s="29">
        <f>'REG y VAL POE - AESR - ESR'!AG1566</f>
        <v>0</v>
      </c>
      <c r="AQP21" s="30">
        <f>'REG y VAL POE - AESR - ESR'!AH1566</f>
        <v>0</v>
      </c>
      <c r="AQQ21" s="28">
        <f>'REG y VAL POE - AESR - ESR'!AI1566</f>
        <v>0</v>
      </c>
      <c r="AQR21" s="29">
        <f>'REG y VAL POE - AESR - ESR'!AJ1566</f>
        <v>0</v>
      </c>
      <c r="AQS21" s="29">
        <f>'REG y VAL POE - AESR - ESR'!AK1566</f>
        <v>0</v>
      </c>
      <c r="AQT21" s="29">
        <f>'REG y VAL POE - AESR - ESR'!AL1566</f>
        <v>0</v>
      </c>
      <c r="AQU21" s="28">
        <f>'REG y VAL POE - AESR - ESR'!AM1566</f>
        <v>0</v>
      </c>
      <c r="AQV21" s="29">
        <f>'REG y VAL POE - AESR - ESR'!AN1566</f>
        <v>0</v>
      </c>
      <c r="AQW21" s="29">
        <f>'REG y VAL POE - AESR - ESR'!AO1566</f>
        <v>0</v>
      </c>
      <c r="AQX21" s="28">
        <f>'REG y VAL POE - AESR - ESR'!AP1566</f>
        <v>0</v>
      </c>
      <c r="AQY21" s="29">
        <f>'REG y VAL POE - AESR - ESR'!AQ1566</f>
        <v>0</v>
      </c>
      <c r="AQZ21" s="30">
        <f>'REG y VAL POE - AESR - ESR'!AR1566</f>
        <v>0</v>
      </c>
      <c r="ARA21" s="28">
        <f>'REG y VAL POE - AESR - ESR'!AS1566</f>
        <v>0</v>
      </c>
      <c r="ARB21" s="29" t="str">
        <f>'REG y VAL POE - AESR - ESR'!B1567</f>
        <v xml:space="preserve">Ramirez Torres Sergio Jesus </v>
      </c>
      <c r="ARC21" s="29" t="str">
        <f>'REG y VAL POE - AESR - ESR'!C1567</f>
        <v>Sin Registro</v>
      </c>
      <c r="ARD21" s="29">
        <f>'REG y VAL POE - AESR - ESR'!D1567</f>
        <v>23149453</v>
      </c>
      <c r="ARE21" s="28">
        <f>'REG y VAL POE - AESR - ESR'!E1567</f>
        <v>0</v>
      </c>
      <c r="ARF21" s="29">
        <f>'REG y VAL POE - AESR - ESR'!F1567</f>
        <v>0</v>
      </c>
      <c r="ARG21" s="29">
        <f>'REG y VAL POE - AESR - ESR'!G1567</f>
        <v>0</v>
      </c>
      <c r="ARH21" s="29">
        <f>'REG y VAL POE - AESR - ESR'!H1567</f>
        <v>0</v>
      </c>
      <c r="ARI21" s="29">
        <f>'REG y VAL POE - AESR - ESR'!I1567</f>
        <v>0</v>
      </c>
      <c r="ARJ21" s="29">
        <f>'REG y VAL POE - AESR - ESR'!J1567</f>
        <v>0</v>
      </c>
      <c r="ARK21" s="28">
        <f>'REG y VAL POE - AESR - ESR'!K1567</f>
        <v>0</v>
      </c>
      <c r="ARL21" s="29">
        <f>'REG y VAL POE - AESR - ESR'!L1567</f>
        <v>0</v>
      </c>
      <c r="ARM21" s="29">
        <f>'REG y VAL POE - AESR - ESR'!M1567</f>
        <v>0</v>
      </c>
      <c r="ARN21" s="28">
        <f>'REG y VAL POE - AESR - ESR'!N1567</f>
        <v>0</v>
      </c>
      <c r="ARO21" s="29">
        <f>'REG y VAL POE - AESR - ESR'!O1567</f>
        <v>0</v>
      </c>
      <c r="ARP21" s="30">
        <f>'REG y VAL POE - AESR - ESR'!P1567</f>
        <v>0</v>
      </c>
      <c r="ARQ21" s="28">
        <f>'REG y VAL POE - AESR - ESR'!Q1567</f>
        <v>0</v>
      </c>
      <c r="ARR21" s="29">
        <f>'REG y VAL POE - AESR - ESR'!R1567</f>
        <v>0</v>
      </c>
      <c r="ARS21" s="29">
        <f>'REG y VAL POE - AESR - ESR'!S1567</f>
        <v>0</v>
      </c>
      <c r="ART21" s="29">
        <f>'REG y VAL POE - AESR - ESR'!T1567</f>
        <v>0</v>
      </c>
      <c r="ARU21" s="28">
        <f>'REG y VAL POE - AESR - ESR'!U1567</f>
        <v>0</v>
      </c>
      <c r="ARV21" s="29">
        <f>'REG y VAL POE - AESR - ESR'!V1567</f>
        <v>0</v>
      </c>
      <c r="ARW21" s="29">
        <f>'REG y VAL POE - AESR - ESR'!W1567</f>
        <v>0</v>
      </c>
      <c r="ARX21" s="28">
        <f>'REG y VAL POE - AESR - ESR'!X1567</f>
        <v>0</v>
      </c>
      <c r="ARY21" s="29">
        <f>'REG y VAL POE - AESR - ESR'!Y1567</f>
        <v>0</v>
      </c>
      <c r="ARZ21" s="30">
        <f>'REG y VAL POE - AESR - ESR'!Z1567</f>
        <v>0</v>
      </c>
      <c r="ASA21" s="28">
        <f>'REG y VAL POE - AESR - ESR'!AA1567</f>
        <v>0</v>
      </c>
      <c r="ASB21" s="29">
        <f>'REG y VAL POE - AESR - ESR'!AB1567</f>
        <v>0</v>
      </c>
      <c r="ASC21" s="29">
        <f>'REG y VAL POE - AESR - ESR'!AC1567</f>
        <v>0</v>
      </c>
      <c r="ASD21" s="29">
        <f>'REG y VAL POE - AESR - ESR'!AD1567</f>
        <v>0</v>
      </c>
      <c r="ASE21" s="28">
        <f>'REG y VAL POE - AESR - ESR'!AE1567</f>
        <v>0</v>
      </c>
      <c r="ASF21" s="29">
        <f>'REG y VAL POE - AESR - ESR'!AF1567</f>
        <v>0</v>
      </c>
      <c r="ASG21" s="29">
        <f>'REG y VAL POE - AESR - ESR'!AG1567</f>
        <v>0</v>
      </c>
      <c r="ASH21" s="29">
        <f>'REG y VAL POE - AESR - ESR'!AH1567</f>
        <v>0</v>
      </c>
      <c r="ASI21" s="29">
        <f>'REG y VAL POE - AESR - ESR'!AI1567</f>
        <v>0</v>
      </c>
      <c r="ASJ21" s="29">
        <f>'REG y VAL POE - AESR - ESR'!AJ1567</f>
        <v>0</v>
      </c>
      <c r="ASK21" s="28">
        <f>'REG y VAL POE - AESR - ESR'!AK1567</f>
        <v>0</v>
      </c>
      <c r="ASL21" s="29">
        <f>'REG y VAL POE - AESR - ESR'!AL1567</f>
        <v>0</v>
      </c>
      <c r="ASM21" s="29">
        <f>'REG y VAL POE - AESR - ESR'!AM1567</f>
        <v>0</v>
      </c>
      <c r="ASN21" s="28">
        <f>'REG y VAL POE - AESR - ESR'!AN1567</f>
        <v>0</v>
      </c>
      <c r="ASO21" s="29">
        <f>'REG y VAL POE - AESR - ESR'!AO1567</f>
        <v>0</v>
      </c>
      <c r="ASP21" s="30">
        <f>'REG y VAL POE - AESR - ESR'!AP1567</f>
        <v>0</v>
      </c>
      <c r="ASQ21" s="28">
        <f>'REG y VAL POE - AESR - ESR'!AQ1567</f>
        <v>0</v>
      </c>
      <c r="ASR21" s="29">
        <f>'REG y VAL POE - AESR - ESR'!AR1567</f>
        <v>0</v>
      </c>
      <c r="ASS21" s="29">
        <f>'REG y VAL POE - AESR - ESR'!AS1567</f>
        <v>0</v>
      </c>
      <c r="AST21" s="29" t="str">
        <f>'REG y VAL POE - AESR - ESR'!B1568</f>
        <v xml:space="preserve">Rodriguez Naranjo Perla Dalia </v>
      </c>
      <c r="ASU21" s="28" t="str">
        <f>'REG y VAL POE - AESR - ESR'!C1568</f>
        <v>Sin Registro</v>
      </c>
      <c r="ASV21" s="29">
        <f>'REG y VAL POE - AESR - ESR'!D1568</f>
        <v>23148119</v>
      </c>
      <c r="ASW21" s="29">
        <f>'REG y VAL POE - AESR - ESR'!E1568</f>
        <v>0</v>
      </c>
      <c r="ASX21" s="28">
        <f>'REG y VAL POE - AESR - ESR'!F1568</f>
        <v>0</v>
      </c>
      <c r="ASY21" s="29">
        <f>'REG y VAL POE - AESR - ESR'!G1568</f>
        <v>0</v>
      </c>
      <c r="ASZ21" s="30">
        <f>'REG y VAL POE - AESR - ESR'!H1568</f>
        <v>0</v>
      </c>
      <c r="ATA21" s="28">
        <f>'REG y VAL POE - AESR - ESR'!I1568</f>
        <v>0</v>
      </c>
      <c r="ATB21" s="29">
        <f>'REG y VAL POE - AESR - ESR'!J1568</f>
        <v>0</v>
      </c>
      <c r="ATC21" s="29">
        <f>'REG y VAL POE - AESR - ESR'!K1568</f>
        <v>0</v>
      </c>
      <c r="ATD21" s="29">
        <f>'REG y VAL POE - AESR - ESR'!L1568</f>
        <v>0</v>
      </c>
      <c r="ATE21" s="28">
        <f>'REG y VAL POE - AESR - ESR'!M1568</f>
        <v>0</v>
      </c>
      <c r="ATF21" s="29">
        <f>'REG y VAL POE - AESR - ESR'!N1568</f>
        <v>0</v>
      </c>
      <c r="ATG21" s="29">
        <f>'REG y VAL POE - AESR - ESR'!O1568</f>
        <v>0</v>
      </c>
      <c r="ATH21" s="29">
        <f>'REG y VAL POE - AESR - ESR'!P1568</f>
        <v>0</v>
      </c>
      <c r="ATI21" s="29">
        <f>'REG y VAL POE - AESR - ESR'!Q1568</f>
        <v>0</v>
      </c>
      <c r="ATJ21" s="29">
        <f>'REG y VAL POE - AESR - ESR'!R1568</f>
        <v>0</v>
      </c>
      <c r="ATK21" s="28">
        <f>'REG y VAL POE - AESR - ESR'!S1568</f>
        <v>0</v>
      </c>
      <c r="ATL21" s="29">
        <f>'REG y VAL POE - AESR - ESR'!T1568</f>
        <v>0</v>
      </c>
      <c r="ATM21" s="29">
        <f>'REG y VAL POE - AESR - ESR'!U1568</f>
        <v>0</v>
      </c>
      <c r="ATN21" s="28">
        <f>'REG y VAL POE - AESR - ESR'!V1568</f>
        <v>0</v>
      </c>
      <c r="ATO21" s="29">
        <f>'REG y VAL POE - AESR - ESR'!W1568</f>
        <v>0</v>
      </c>
      <c r="ATP21" s="30">
        <f>'REG y VAL POE - AESR - ESR'!X1568</f>
        <v>0</v>
      </c>
      <c r="ATQ21" s="28">
        <f>'REG y VAL POE - AESR - ESR'!Y1568</f>
        <v>0</v>
      </c>
      <c r="ATR21" s="29">
        <f>'REG y VAL POE - AESR - ESR'!Z1568</f>
        <v>0</v>
      </c>
      <c r="ATS21" s="29">
        <f>'REG y VAL POE - AESR - ESR'!AA1568</f>
        <v>0</v>
      </c>
      <c r="ATT21" s="29">
        <f>'REG y VAL POE - AESR - ESR'!AB1568</f>
        <v>0</v>
      </c>
      <c r="ATU21" s="28">
        <f>'REG y VAL POE - AESR - ESR'!AC1568</f>
        <v>0</v>
      </c>
      <c r="ATV21" s="29">
        <f>'REG y VAL POE - AESR - ESR'!AD1568</f>
        <v>0</v>
      </c>
      <c r="ATW21" s="29">
        <f>'REG y VAL POE - AESR - ESR'!AE1568</f>
        <v>0</v>
      </c>
      <c r="ATX21" s="28">
        <f>'REG y VAL POE - AESR - ESR'!AF1568</f>
        <v>0</v>
      </c>
      <c r="ATY21" s="29">
        <f>'REG y VAL POE - AESR - ESR'!AG1568</f>
        <v>0</v>
      </c>
      <c r="ATZ21" s="30">
        <f>'REG y VAL POE - AESR - ESR'!AH1568</f>
        <v>0</v>
      </c>
      <c r="AUA21" s="28">
        <f>'REG y VAL POE - AESR - ESR'!AI1568</f>
        <v>0</v>
      </c>
      <c r="AUB21" s="29">
        <f>'REG y VAL POE - AESR - ESR'!AJ1568</f>
        <v>0</v>
      </c>
      <c r="AUC21" s="29">
        <f>'REG y VAL POE - AESR - ESR'!AK1568</f>
        <v>0</v>
      </c>
      <c r="AUD21" s="29">
        <f>'REG y VAL POE - AESR - ESR'!AL1568</f>
        <v>0</v>
      </c>
      <c r="AUE21" s="28">
        <f>'REG y VAL POE - AESR - ESR'!AM1568</f>
        <v>0</v>
      </c>
      <c r="AUF21" s="29">
        <f>'REG y VAL POE - AESR - ESR'!AN1568</f>
        <v>0</v>
      </c>
      <c r="AUG21" s="29">
        <f>'REG y VAL POE - AESR - ESR'!AO1568</f>
        <v>0</v>
      </c>
      <c r="AUH21" s="29">
        <f>'REG y VAL POE - AESR - ESR'!AP1568</f>
        <v>0</v>
      </c>
      <c r="AUI21" s="29">
        <f>'REG y VAL POE - AESR - ESR'!AQ1568</f>
        <v>0</v>
      </c>
      <c r="AUJ21" s="29">
        <f>'REG y VAL POE - AESR - ESR'!AR1568</f>
        <v>0</v>
      </c>
      <c r="AUK21" s="28">
        <f>'REG y VAL POE - AESR - ESR'!AS1568</f>
        <v>0</v>
      </c>
      <c r="AUL21" s="29" t="str">
        <f>'REG y VAL POE - AESR - ESR'!B1569</f>
        <v xml:space="preserve">Ruiz Nunez Fabiola Anabel </v>
      </c>
      <c r="AUM21" s="29" t="str">
        <f>'REG y VAL POE - AESR - ESR'!C1569</f>
        <v>Sin Registro</v>
      </c>
      <c r="AUN21" s="28">
        <f>'REG y VAL POE - AESR - ESR'!D1569</f>
        <v>23217640</v>
      </c>
      <c r="AUO21" s="29">
        <f>'REG y VAL POE - AESR - ESR'!E1569</f>
        <v>0</v>
      </c>
      <c r="AUP21" s="30">
        <f>'REG y VAL POE - AESR - ESR'!F1569</f>
        <v>0</v>
      </c>
      <c r="AUQ21" s="28">
        <f>'REG y VAL POE - AESR - ESR'!G1569</f>
        <v>0</v>
      </c>
      <c r="AUR21" s="29">
        <f>'REG y VAL POE - AESR - ESR'!H1569</f>
        <v>0</v>
      </c>
      <c r="AUS21" s="29">
        <f>'REG y VAL POE - AESR - ESR'!I1569</f>
        <v>0</v>
      </c>
      <c r="AUT21" s="29">
        <f>'REG y VAL POE - AESR - ESR'!J1569</f>
        <v>0</v>
      </c>
      <c r="AUU21" s="28">
        <f>'REG y VAL POE - AESR - ESR'!K1569</f>
        <v>0</v>
      </c>
      <c r="AUV21" s="29">
        <f>'REG y VAL POE - AESR - ESR'!L1569</f>
        <v>0</v>
      </c>
      <c r="AUW21" s="29">
        <f>'REG y VAL POE - AESR - ESR'!M1569</f>
        <v>0</v>
      </c>
      <c r="AUX21" s="28">
        <f>'REG y VAL POE - AESR - ESR'!N1569</f>
        <v>0</v>
      </c>
      <c r="AUY21" s="29">
        <f>'REG y VAL POE - AESR - ESR'!O1569</f>
        <v>0</v>
      </c>
      <c r="AUZ21" s="30">
        <f>'REG y VAL POE - AESR - ESR'!P1569</f>
        <v>0</v>
      </c>
      <c r="AVA21" s="28">
        <f>'REG y VAL POE - AESR - ESR'!Q1569</f>
        <v>0</v>
      </c>
      <c r="AVB21" s="29">
        <f>'REG y VAL POE - AESR - ESR'!R1569</f>
        <v>0</v>
      </c>
      <c r="AVC21" s="29">
        <f>'REG y VAL POE - AESR - ESR'!S1569</f>
        <v>0</v>
      </c>
      <c r="AVD21" s="29">
        <f>'REG y VAL POE - AESR - ESR'!T1569</f>
        <v>0</v>
      </c>
      <c r="AVE21" s="28">
        <f>'REG y VAL POE - AESR - ESR'!U1569</f>
        <v>0</v>
      </c>
      <c r="AVF21" s="29">
        <f>'REG y VAL POE - AESR - ESR'!V1569</f>
        <v>0</v>
      </c>
      <c r="AVG21" s="29">
        <f>'REG y VAL POE - AESR - ESR'!W1569</f>
        <v>0</v>
      </c>
      <c r="AVH21" s="29">
        <f>'REG y VAL POE - AESR - ESR'!X1569</f>
        <v>0</v>
      </c>
      <c r="AVI21" s="29">
        <f>'REG y VAL POE - AESR - ESR'!Y1569</f>
        <v>0</v>
      </c>
      <c r="AVJ21" s="29">
        <f>'REG y VAL POE - AESR - ESR'!Z1569</f>
        <v>0</v>
      </c>
      <c r="AVK21" s="28">
        <f>'REG y VAL POE - AESR - ESR'!AA1569</f>
        <v>0</v>
      </c>
      <c r="AVL21" s="29">
        <f>'REG y VAL POE - AESR - ESR'!AB1569</f>
        <v>0</v>
      </c>
      <c r="AVM21" s="29">
        <f>'REG y VAL POE - AESR - ESR'!AC1569</f>
        <v>0</v>
      </c>
      <c r="AVN21" s="28">
        <f>'REG y VAL POE - AESR - ESR'!AD1569</f>
        <v>0</v>
      </c>
      <c r="AVO21" s="29">
        <f>'REG y VAL POE - AESR - ESR'!AE1569</f>
        <v>0</v>
      </c>
      <c r="AVP21" s="30">
        <f>'REG y VAL POE - AESR - ESR'!AF1569</f>
        <v>0</v>
      </c>
      <c r="AVQ21" s="28">
        <f>'REG y VAL POE - AESR - ESR'!AG1569</f>
        <v>0</v>
      </c>
      <c r="AVR21" s="29">
        <f>'REG y VAL POE - AESR - ESR'!AH1569</f>
        <v>0</v>
      </c>
      <c r="AVS21" s="29">
        <f>'REG y VAL POE - AESR - ESR'!AI1569</f>
        <v>0</v>
      </c>
      <c r="AVT21" s="29">
        <f>'REG y VAL POE - AESR - ESR'!AJ1569</f>
        <v>0</v>
      </c>
      <c r="AVU21" s="28">
        <f>'REG y VAL POE - AESR - ESR'!AK1569</f>
        <v>0</v>
      </c>
      <c r="AVV21" s="29">
        <f>'REG y VAL POE - AESR - ESR'!AL1569</f>
        <v>0</v>
      </c>
      <c r="AVW21" s="29">
        <f>'REG y VAL POE - AESR - ESR'!AM1569</f>
        <v>0</v>
      </c>
      <c r="AVX21" s="28">
        <f>'REG y VAL POE - AESR - ESR'!AN1569</f>
        <v>0</v>
      </c>
      <c r="AVY21" s="29">
        <f>'REG y VAL POE - AESR - ESR'!AO1569</f>
        <v>0</v>
      </c>
      <c r="AVZ21" s="30">
        <f>'REG y VAL POE - AESR - ESR'!AP1569</f>
        <v>0</v>
      </c>
      <c r="AWA21" s="28">
        <f>'REG y VAL POE - AESR - ESR'!AQ1569</f>
        <v>0</v>
      </c>
      <c r="AWB21" s="29">
        <f>'REG y VAL POE - AESR - ESR'!AR1569</f>
        <v>0</v>
      </c>
      <c r="AWC21" s="29">
        <f>'REG y VAL POE - AESR - ESR'!AS1569</f>
        <v>0</v>
      </c>
      <c r="AWD21" s="29" t="str">
        <f>'REG y VAL POE - AESR - ESR'!B1570</f>
        <v xml:space="preserve">Sanchez De La Cruz Arturo </v>
      </c>
      <c r="AWE21" s="28" t="str">
        <f>'REG y VAL POE - AESR - ESR'!C1570</f>
        <v>Sin Registro</v>
      </c>
      <c r="AWF21" s="29">
        <f>'REG y VAL POE - AESR - ESR'!D1570</f>
        <v>23150255</v>
      </c>
      <c r="AWG21" s="29">
        <f>'REG y VAL POE - AESR - ESR'!E1570</f>
        <v>0</v>
      </c>
      <c r="AWH21" s="29">
        <f>'REG y VAL POE - AESR - ESR'!F1570</f>
        <v>0</v>
      </c>
      <c r="AWI21" s="29">
        <f>'REG y VAL POE - AESR - ESR'!G1570</f>
        <v>0</v>
      </c>
      <c r="AWJ21" s="29">
        <f>'REG y VAL POE - AESR - ESR'!H1570</f>
        <v>0</v>
      </c>
      <c r="AWK21" s="28">
        <f>'REG y VAL POE - AESR - ESR'!I1570</f>
        <v>0</v>
      </c>
      <c r="AWL21" s="29">
        <f>'REG y VAL POE - AESR - ESR'!J1570</f>
        <v>0</v>
      </c>
      <c r="AWM21" s="29">
        <f>'REG y VAL POE - AESR - ESR'!K1570</f>
        <v>0</v>
      </c>
      <c r="AWN21" s="28">
        <f>'REG y VAL POE - AESR - ESR'!L1570</f>
        <v>0</v>
      </c>
      <c r="AWO21" s="29">
        <f>'REG y VAL POE - AESR - ESR'!M1570</f>
        <v>0</v>
      </c>
      <c r="AWP21" s="30">
        <f>'REG y VAL POE - AESR - ESR'!N1570</f>
        <v>0</v>
      </c>
      <c r="AWQ21" s="28">
        <f>'REG y VAL POE - AESR - ESR'!O1570</f>
        <v>0</v>
      </c>
      <c r="AWR21" s="29">
        <f>'REG y VAL POE - AESR - ESR'!P1570</f>
        <v>0</v>
      </c>
      <c r="AWS21" s="29">
        <f>'REG y VAL POE - AESR - ESR'!Q1570</f>
        <v>0</v>
      </c>
      <c r="AWT21" s="29">
        <f>'REG y VAL POE - AESR - ESR'!R1570</f>
        <v>0</v>
      </c>
      <c r="AWU21" s="28">
        <f>'REG y VAL POE - AESR - ESR'!S1570</f>
        <v>0</v>
      </c>
      <c r="AWV21" s="29">
        <f>'REG y VAL POE - AESR - ESR'!T1570</f>
        <v>0</v>
      </c>
      <c r="AWW21" s="29">
        <f>'REG y VAL POE - AESR - ESR'!U1570</f>
        <v>0</v>
      </c>
      <c r="AWX21" s="28">
        <f>'REG y VAL POE - AESR - ESR'!V1570</f>
        <v>0</v>
      </c>
      <c r="AWY21" s="29">
        <f>'REG y VAL POE - AESR - ESR'!W1570</f>
        <v>0</v>
      </c>
      <c r="AWZ21" s="30">
        <f>'REG y VAL POE - AESR - ESR'!X1570</f>
        <v>0</v>
      </c>
      <c r="AXA21" s="28">
        <f>'REG y VAL POE - AESR - ESR'!Y1570</f>
        <v>0</v>
      </c>
      <c r="AXB21" s="29">
        <f>'REG y VAL POE - AESR - ESR'!Z1570</f>
        <v>0</v>
      </c>
      <c r="AXC21" s="29">
        <f>'REG y VAL POE - AESR - ESR'!AA1570</f>
        <v>0</v>
      </c>
      <c r="AXD21" s="29">
        <f>'REG y VAL POE - AESR - ESR'!AB1570</f>
        <v>0</v>
      </c>
      <c r="AXE21" s="28">
        <f>'REG y VAL POE - AESR - ESR'!AC1570</f>
        <v>0</v>
      </c>
      <c r="AXF21" s="29">
        <f>'REG y VAL POE - AESR - ESR'!AD1570</f>
        <v>0</v>
      </c>
      <c r="AXG21" s="29">
        <f>'REG y VAL POE - AESR - ESR'!AE1570</f>
        <v>0</v>
      </c>
      <c r="AXH21" s="29">
        <f>'REG y VAL POE - AESR - ESR'!AF1570</f>
        <v>0</v>
      </c>
      <c r="AXI21" s="29">
        <f>'REG y VAL POE - AESR - ESR'!AG1570</f>
        <v>0</v>
      </c>
      <c r="AXJ21" s="29">
        <f>'REG y VAL POE - AESR - ESR'!AH1570</f>
        <v>0</v>
      </c>
      <c r="AXK21" s="28">
        <f>'REG y VAL POE - AESR - ESR'!AI1570</f>
        <v>0</v>
      </c>
      <c r="AXL21" s="29">
        <f>'REG y VAL POE - AESR - ESR'!AJ1570</f>
        <v>0</v>
      </c>
      <c r="AXM21" s="29">
        <f>'REG y VAL POE - AESR - ESR'!AK1570</f>
        <v>0</v>
      </c>
      <c r="AXN21" s="28">
        <f>'REG y VAL POE - AESR - ESR'!AL1570</f>
        <v>0</v>
      </c>
      <c r="AXO21" s="29">
        <f>'REG y VAL POE - AESR - ESR'!AM1570</f>
        <v>0</v>
      </c>
      <c r="AXP21" s="30">
        <f>'REG y VAL POE - AESR - ESR'!AN1570</f>
        <v>0</v>
      </c>
      <c r="AXQ21" s="28">
        <f>'REG y VAL POE - AESR - ESR'!AO1570</f>
        <v>0</v>
      </c>
      <c r="AXR21" s="29">
        <f>'REG y VAL POE - AESR - ESR'!AP1570</f>
        <v>0</v>
      </c>
      <c r="AXS21" s="29">
        <f>'REG y VAL POE - AESR - ESR'!AQ1570</f>
        <v>0</v>
      </c>
      <c r="AXT21" s="29">
        <f>'REG y VAL POE - AESR - ESR'!AR1570</f>
        <v>0</v>
      </c>
      <c r="AXU21" s="28">
        <f>'REG y VAL POE - AESR - ESR'!AS1570</f>
        <v>0</v>
      </c>
      <c r="AXV21" s="29" t="str">
        <f>'REG y VAL POE - AESR - ESR'!B1571</f>
        <v xml:space="preserve">Vazquez Santacruz Francisco Javier </v>
      </c>
      <c r="AXW21" s="29" t="str">
        <f>'REG y VAL POE - AESR - ESR'!C1571</f>
        <v>Sin Registro</v>
      </c>
      <c r="AXX21" s="28">
        <f>'REG y VAL POE - AESR - ESR'!D1571</f>
        <v>23095208</v>
      </c>
      <c r="AXY21" s="29">
        <f>'REG y VAL POE - AESR - ESR'!E1571</f>
        <v>0</v>
      </c>
      <c r="AXZ21" s="30">
        <f>'REG y VAL POE - AESR - ESR'!F1571</f>
        <v>0</v>
      </c>
      <c r="AYA21" s="28">
        <f>'REG y VAL POE - AESR - ESR'!G1571</f>
        <v>0</v>
      </c>
      <c r="AYB21" s="29">
        <f>'REG y VAL POE - AESR - ESR'!H1571</f>
        <v>0</v>
      </c>
      <c r="AYC21" s="29">
        <f>'REG y VAL POE - AESR - ESR'!I1571</f>
        <v>0</v>
      </c>
      <c r="AYD21" s="29">
        <f>'REG y VAL POE - AESR - ESR'!J1571</f>
        <v>0</v>
      </c>
      <c r="AYE21" s="28">
        <f>'REG y VAL POE - AESR - ESR'!K1571</f>
        <v>0</v>
      </c>
      <c r="AYF21" s="29">
        <f>'REG y VAL POE - AESR - ESR'!L1571</f>
        <v>0</v>
      </c>
      <c r="AYG21" s="29">
        <f>'REG y VAL POE - AESR - ESR'!M1571</f>
        <v>0</v>
      </c>
      <c r="AYH21" s="29">
        <f>'REG y VAL POE - AESR - ESR'!N1571</f>
        <v>0</v>
      </c>
      <c r="AYI21" s="29">
        <f>'REG y VAL POE - AESR - ESR'!O1571</f>
        <v>0</v>
      </c>
      <c r="AYJ21" s="29">
        <f>'REG y VAL POE - AESR - ESR'!P1571</f>
        <v>0</v>
      </c>
      <c r="AYK21" s="28">
        <f>'REG y VAL POE - AESR - ESR'!Q1571</f>
        <v>0</v>
      </c>
      <c r="AYL21" s="29">
        <f>'REG y VAL POE - AESR - ESR'!R1571</f>
        <v>0</v>
      </c>
      <c r="AYM21" s="29">
        <f>'REG y VAL POE - AESR - ESR'!S1571</f>
        <v>0</v>
      </c>
      <c r="AYN21" s="28">
        <f>'REG y VAL POE - AESR - ESR'!T1571</f>
        <v>0</v>
      </c>
      <c r="AYO21" s="29">
        <f>'REG y VAL POE - AESR - ESR'!U1571</f>
        <v>0</v>
      </c>
      <c r="AYP21" s="30">
        <f>'REG y VAL POE - AESR - ESR'!V1571</f>
        <v>0</v>
      </c>
      <c r="AYQ21" s="28">
        <f>'REG y VAL POE - AESR - ESR'!W1571</f>
        <v>0</v>
      </c>
      <c r="AYR21" s="29">
        <f>'REG y VAL POE - AESR - ESR'!X1571</f>
        <v>0</v>
      </c>
      <c r="AYS21" s="29">
        <f>'REG y VAL POE - AESR - ESR'!Y1571</f>
        <v>0</v>
      </c>
      <c r="AYT21" s="29">
        <f>'REG y VAL POE - AESR - ESR'!Z1571</f>
        <v>0</v>
      </c>
      <c r="AYU21" s="28">
        <f>'REG y VAL POE - AESR - ESR'!AA1571</f>
        <v>0</v>
      </c>
      <c r="AYV21" s="29">
        <f>'REG y VAL POE - AESR - ESR'!AB1571</f>
        <v>0</v>
      </c>
      <c r="AYW21" s="29">
        <f>'REG y VAL POE - AESR - ESR'!AC1571</f>
        <v>0</v>
      </c>
      <c r="AYX21" s="28">
        <f>'REG y VAL POE - AESR - ESR'!AD1571</f>
        <v>0</v>
      </c>
      <c r="AYY21" s="29">
        <f>'REG y VAL POE - AESR - ESR'!AE1571</f>
        <v>0</v>
      </c>
      <c r="AYZ21" s="30">
        <f>'REG y VAL POE - AESR - ESR'!AF1571</f>
        <v>0</v>
      </c>
      <c r="AZA21" s="28">
        <f>'REG y VAL POE - AESR - ESR'!AG1571</f>
        <v>0</v>
      </c>
      <c r="AZB21" s="29">
        <f>'REG y VAL POE - AESR - ESR'!AH1571</f>
        <v>0</v>
      </c>
      <c r="AZC21" s="29">
        <f>'REG y VAL POE - AESR - ESR'!AI1571</f>
        <v>0</v>
      </c>
      <c r="AZD21" s="29">
        <f>'REG y VAL POE - AESR - ESR'!AJ1571</f>
        <v>0</v>
      </c>
      <c r="AZE21" s="28">
        <f>'REG y VAL POE - AESR - ESR'!AK1571</f>
        <v>0</v>
      </c>
      <c r="AZF21" s="29">
        <f>'REG y VAL POE - AESR - ESR'!AL1571</f>
        <v>0</v>
      </c>
      <c r="AZG21" s="29">
        <f>'REG y VAL POE - AESR - ESR'!AM1571</f>
        <v>0</v>
      </c>
      <c r="AZH21" s="29">
        <f>'REG y VAL POE - AESR - ESR'!AN1571</f>
        <v>0</v>
      </c>
      <c r="AZI21" s="29">
        <f>'REG y VAL POE - AESR - ESR'!AO1571</f>
        <v>0</v>
      </c>
      <c r="AZJ21" s="29">
        <f>'REG y VAL POE - AESR - ESR'!AP1571</f>
        <v>0</v>
      </c>
      <c r="AZK21" s="28">
        <f>'REG y VAL POE - AESR - ESR'!AQ1571</f>
        <v>0</v>
      </c>
      <c r="AZL21" s="29">
        <f>'REG y VAL POE - AESR - ESR'!AR1571</f>
        <v>0</v>
      </c>
      <c r="AZM21" s="29">
        <f>'REG y VAL POE - AESR - ESR'!AS1571</f>
        <v>0</v>
      </c>
      <c r="AZN21" s="28" t="str">
        <f>'REG y VAL POE - AESR - ESR'!B1572</f>
        <v xml:space="preserve">Villegas Valenzuela Juan Alberto </v>
      </c>
      <c r="AZO21" s="29" t="str">
        <f>'REG y VAL POE - AESR - ESR'!C1572</f>
        <v>Sin Registro</v>
      </c>
      <c r="AZP21" s="30">
        <f>'REG y VAL POE - AESR - ESR'!D1572</f>
        <v>23214736</v>
      </c>
      <c r="AZQ21" s="28">
        <f>'REG y VAL POE - AESR - ESR'!E1572</f>
        <v>0</v>
      </c>
      <c r="AZR21" s="29">
        <f>'REG y VAL POE - AESR - ESR'!F1572</f>
        <v>0</v>
      </c>
      <c r="AZS21" s="29">
        <f>'REG y VAL POE - AESR - ESR'!G1572</f>
        <v>0</v>
      </c>
      <c r="AZT21" s="29">
        <f>'REG y VAL POE - AESR - ESR'!H1572</f>
        <v>0</v>
      </c>
      <c r="AZU21" s="28">
        <f>'REG y VAL POE - AESR - ESR'!I1572</f>
        <v>0</v>
      </c>
      <c r="AZV21" s="29">
        <f>'REG y VAL POE - AESR - ESR'!J1572</f>
        <v>0</v>
      </c>
      <c r="AZW21" s="29">
        <f>'REG y VAL POE - AESR - ESR'!K1572</f>
        <v>0</v>
      </c>
      <c r="AZX21" s="28">
        <f>'REG y VAL POE - AESR - ESR'!L1572</f>
        <v>0</v>
      </c>
      <c r="AZY21" s="29">
        <f>'REG y VAL POE - AESR - ESR'!M1572</f>
        <v>0</v>
      </c>
      <c r="AZZ21" s="30">
        <f>'REG y VAL POE - AESR - ESR'!N1572</f>
        <v>0</v>
      </c>
      <c r="BAA21" s="28">
        <f>'REG y VAL POE - AESR - ESR'!O1572</f>
        <v>0</v>
      </c>
      <c r="BAB21" s="29">
        <f>'REG y VAL POE - AESR - ESR'!P1572</f>
        <v>0</v>
      </c>
      <c r="BAC21" s="29">
        <f>'REG y VAL POE - AESR - ESR'!Q1572</f>
        <v>0</v>
      </c>
      <c r="BAD21" s="29">
        <f>'REG y VAL POE - AESR - ESR'!R1572</f>
        <v>0</v>
      </c>
      <c r="BAE21" s="28">
        <f>'REG y VAL POE - AESR - ESR'!S1572</f>
        <v>0</v>
      </c>
      <c r="BAF21" s="29">
        <f>'REG y VAL POE - AESR - ESR'!T1572</f>
        <v>0</v>
      </c>
      <c r="BAG21" s="29">
        <f>'REG y VAL POE - AESR - ESR'!U1572</f>
        <v>0</v>
      </c>
      <c r="BAH21" s="29">
        <f>'REG y VAL POE - AESR - ESR'!V1572</f>
        <v>0</v>
      </c>
      <c r="BAI21" s="29">
        <f>'REG y VAL POE - AESR - ESR'!W1572</f>
        <v>0</v>
      </c>
      <c r="BAJ21" s="29">
        <f>'REG y VAL POE - AESR - ESR'!X1572</f>
        <v>0</v>
      </c>
      <c r="BAK21" s="28">
        <f>'REG y VAL POE - AESR - ESR'!Y1572</f>
        <v>0</v>
      </c>
      <c r="BAL21" s="29">
        <f>'REG y VAL POE - AESR - ESR'!Z1572</f>
        <v>0</v>
      </c>
      <c r="BAM21" s="29">
        <f>'REG y VAL POE - AESR - ESR'!AA1572</f>
        <v>0</v>
      </c>
      <c r="BAN21" s="28">
        <f>'REG y VAL POE - AESR - ESR'!AB1572</f>
        <v>0</v>
      </c>
      <c r="BAO21" s="29">
        <f>'REG y VAL POE - AESR - ESR'!AC1572</f>
        <v>0</v>
      </c>
      <c r="BAP21" s="30">
        <f>'REG y VAL POE - AESR - ESR'!AD1572</f>
        <v>0</v>
      </c>
      <c r="BAQ21" s="28">
        <f>'REG y VAL POE - AESR - ESR'!AE1572</f>
        <v>0</v>
      </c>
      <c r="BAR21" s="29">
        <f>'REG y VAL POE - AESR - ESR'!AF1572</f>
        <v>0</v>
      </c>
      <c r="BAS21" s="29">
        <f>'REG y VAL POE - AESR - ESR'!AG1572</f>
        <v>0</v>
      </c>
      <c r="BAT21" s="29">
        <f>'REG y VAL POE - AESR - ESR'!AH1572</f>
        <v>0</v>
      </c>
      <c r="BAU21" s="28">
        <f>'REG y VAL POE - AESR - ESR'!AI1572</f>
        <v>0</v>
      </c>
      <c r="BAV21" s="29">
        <f>'REG y VAL POE - AESR - ESR'!AJ1572</f>
        <v>0</v>
      </c>
      <c r="BAW21" s="29">
        <f>'REG y VAL POE - AESR - ESR'!AK1572</f>
        <v>0</v>
      </c>
      <c r="BAX21" s="28">
        <f>'REG y VAL POE - AESR - ESR'!AL1572</f>
        <v>0</v>
      </c>
      <c r="BAY21" s="29">
        <f>'REG y VAL POE - AESR - ESR'!AM1572</f>
        <v>0</v>
      </c>
      <c r="BAZ21" s="30">
        <f>'REG y VAL POE - AESR - ESR'!AN1572</f>
        <v>0</v>
      </c>
      <c r="BBA21" s="28">
        <f>'REG y VAL POE - AESR - ESR'!AO1572</f>
        <v>0</v>
      </c>
      <c r="BBB21" s="29">
        <f>'REG y VAL POE - AESR - ESR'!AP1572</f>
        <v>0</v>
      </c>
      <c r="BBC21" s="29">
        <f>'REG y VAL POE - AESR - ESR'!AQ1572</f>
        <v>0</v>
      </c>
      <c r="BBD21" s="29">
        <f>'REG y VAL POE - AESR - ESR'!AR1572</f>
        <v>0</v>
      </c>
      <c r="BBE21" s="28">
        <f>'REG y VAL POE - AESR - ESR'!AS1572</f>
        <v>0</v>
      </c>
      <c r="BBF21" s="29" t="str">
        <f>'REG y VAL POE - AESR - ESR'!B1573</f>
        <v xml:space="preserve">Virgen Palacios Leovigildo Israel </v>
      </c>
      <c r="BBG21" s="29" t="str">
        <f>'REG y VAL POE - AESR - ESR'!C1573</f>
        <v>Sin Registro</v>
      </c>
      <c r="BBH21" s="29">
        <f>'REG y VAL POE - AESR - ESR'!D1573</f>
        <v>23155879</v>
      </c>
      <c r="BBI21" s="29">
        <f>'REG y VAL POE - AESR - ESR'!E1573</f>
        <v>0</v>
      </c>
      <c r="BBJ21" s="29">
        <f>'REG y VAL POE - AESR - ESR'!F1573</f>
        <v>0</v>
      </c>
      <c r="BBK21" s="28">
        <f>'REG y VAL POE - AESR - ESR'!G1573</f>
        <v>0</v>
      </c>
      <c r="BBL21" s="29">
        <f>'REG y VAL POE - AESR - ESR'!H1573</f>
        <v>0</v>
      </c>
      <c r="BBM21" s="29">
        <f>'REG y VAL POE - AESR - ESR'!I1573</f>
        <v>0</v>
      </c>
      <c r="BBN21" s="28">
        <f>'REG y VAL POE - AESR - ESR'!J1573</f>
        <v>0</v>
      </c>
      <c r="BBO21" s="29">
        <f>'REG y VAL POE - AESR - ESR'!K1573</f>
        <v>0</v>
      </c>
      <c r="BBP21" s="30">
        <f>'REG y VAL POE - AESR - ESR'!L1573</f>
        <v>0</v>
      </c>
      <c r="BBQ21" s="28">
        <f>'REG y VAL POE - AESR - ESR'!M1573</f>
        <v>0</v>
      </c>
      <c r="BBR21" s="29">
        <f>'REG y VAL POE - AESR - ESR'!N1573</f>
        <v>0</v>
      </c>
      <c r="BBS21" s="29">
        <f>'REG y VAL POE - AESR - ESR'!O1573</f>
        <v>0</v>
      </c>
      <c r="BBT21" s="29">
        <f>'REG y VAL POE - AESR - ESR'!P1573</f>
        <v>0</v>
      </c>
      <c r="BBU21" s="28">
        <f>'REG y VAL POE - AESR - ESR'!Q1573</f>
        <v>0</v>
      </c>
      <c r="BBV21" s="29">
        <f>'REG y VAL POE - AESR - ESR'!R1573</f>
        <v>0</v>
      </c>
      <c r="BBW21" s="29">
        <f>'REG y VAL POE - AESR - ESR'!S1573</f>
        <v>0</v>
      </c>
      <c r="BBX21" s="28">
        <f>'REG y VAL POE - AESR - ESR'!T1573</f>
        <v>0</v>
      </c>
      <c r="BBY21" s="29">
        <f>'REG y VAL POE - AESR - ESR'!U1573</f>
        <v>0</v>
      </c>
      <c r="BBZ21" s="30">
        <f>'REG y VAL POE - AESR - ESR'!V1573</f>
        <v>0</v>
      </c>
      <c r="BCA21" s="28">
        <f>'REG y VAL POE - AESR - ESR'!W1573</f>
        <v>0</v>
      </c>
      <c r="BCB21" s="29">
        <f>'REG y VAL POE - AESR - ESR'!X1573</f>
        <v>0</v>
      </c>
      <c r="BCC21" s="29">
        <f>'REG y VAL POE - AESR - ESR'!Y1573</f>
        <v>0</v>
      </c>
      <c r="BCD21" s="29">
        <f>'REG y VAL POE - AESR - ESR'!Z1573</f>
        <v>0</v>
      </c>
      <c r="BCE21" s="28">
        <f>'REG y VAL POE - AESR - ESR'!AA1573</f>
        <v>0</v>
      </c>
      <c r="BCF21" s="29">
        <f>'REG y VAL POE - AESR - ESR'!AB1573</f>
        <v>0</v>
      </c>
      <c r="BCG21" s="29">
        <f>'REG y VAL POE - AESR - ESR'!AC1573</f>
        <v>0</v>
      </c>
      <c r="BCH21" s="29">
        <f>'REG y VAL POE - AESR - ESR'!AD1573</f>
        <v>0</v>
      </c>
      <c r="BCI21" s="29">
        <f>'REG y VAL POE - AESR - ESR'!AE1573</f>
        <v>0</v>
      </c>
      <c r="BCJ21" s="29">
        <f>'REG y VAL POE - AESR - ESR'!AF1573</f>
        <v>0</v>
      </c>
      <c r="BCK21" s="28">
        <f>'REG y VAL POE - AESR - ESR'!AG1573</f>
        <v>0</v>
      </c>
      <c r="BCL21" s="29">
        <f>'REG y VAL POE - AESR - ESR'!AH1573</f>
        <v>0</v>
      </c>
      <c r="BCM21" s="29">
        <f>'REG y VAL POE - AESR - ESR'!AI1573</f>
        <v>0</v>
      </c>
      <c r="BCN21" s="28">
        <f>'REG y VAL POE - AESR - ESR'!AJ1573</f>
        <v>0</v>
      </c>
      <c r="BCO21" s="29">
        <f>'REG y VAL POE - AESR - ESR'!AK1573</f>
        <v>0</v>
      </c>
      <c r="BCP21" s="30">
        <f>'REG y VAL POE - AESR - ESR'!AL1573</f>
        <v>0</v>
      </c>
      <c r="BCQ21" s="28">
        <f>'REG y VAL POE - AESR - ESR'!AM1573</f>
        <v>0</v>
      </c>
      <c r="BCR21" s="29">
        <f>'REG y VAL POE - AESR - ESR'!AN1573</f>
        <v>0</v>
      </c>
      <c r="BCS21" s="29">
        <f>'REG y VAL POE - AESR - ESR'!AO1573</f>
        <v>0</v>
      </c>
      <c r="BCT21" s="29">
        <f>'REG y VAL POE - AESR - ESR'!AP1573</f>
        <v>0</v>
      </c>
      <c r="BCU21" s="28">
        <f>'REG y VAL POE - AESR - ESR'!AQ1573</f>
        <v>0</v>
      </c>
      <c r="BCV21" s="29">
        <f>'REG y VAL POE - AESR - ESR'!AR1573</f>
        <v>0</v>
      </c>
      <c r="BCW21" s="29">
        <f>'REG y VAL POE - AESR - ESR'!AS1573</f>
        <v>0</v>
      </c>
      <c r="BCX21" s="28">
        <f>'REG y VAL POE - AESR - ESR'!B1574</f>
        <v>0</v>
      </c>
      <c r="BCY21" s="29">
        <f>'REG y VAL POE - AESR - ESR'!C1574</f>
        <v>0</v>
      </c>
      <c r="BCZ21" s="30">
        <f>'REG y VAL POE - AESR - ESR'!D1574</f>
        <v>0</v>
      </c>
      <c r="BDA21" s="28">
        <f>'REG y VAL POE - AESR - ESR'!E1574</f>
        <v>0</v>
      </c>
      <c r="BDB21" s="29">
        <f>'REG y VAL POE - AESR - ESR'!F1574</f>
        <v>0</v>
      </c>
      <c r="BDC21" s="29">
        <f>'REG y VAL POE - AESR - ESR'!G1574</f>
        <v>0</v>
      </c>
      <c r="BDD21" s="29">
        <f>'REG y VAL POE - AESR - ESR'!H1574</f>
        <v>0</v>
      </c>
      <c r="BDE21" s="28">
        <f>'REG y VAL POE - AESR - ESR'!I1574</f>
        <v>0</v>
      </c>
      <c r="BDF21" s="29">
        <f>'REG y VAL POE - AESR - ESR'!J1574</f>
        <v>0</v>
      </c>
      <c r="BDG21" s="29">
        <f>'REG y VAL POE - AESR - ESR'!K1574</f>
        <v>0</v>
      </c>
      <c r="BDH21" s="29">
        <f>'REG y VAL POE - AESR - ESR'!L1574</f>
        <v>0</v>
      </c>
      <c r="BDI21" s="29">
        <f>'REG y VAL POE - AESR - ESR'!M1574</f>
        <v>0</v>
      </c>
      <c r="BDJ21" s="29">
        <f>'REG y VAL POE - AESR - ESR'!N1574</f>
        <v>0</v>
      </c>
      <c r="BDK21" s="28">
        <f>'REG y VAL POE - AESR - ESR'!O1574</f>
        <v>0</v>
      </c>
      <c r="BDL21" s="29">
        <f>'REG y VAL POE - AESR - ESR'!P1574</f>
        <v>0</v>
      </c>
      <c r="BDM21" s="29">
        <f>'REG y VAL POE - AESR - ESR'!Q1574</f>
        <v>0</v>
      </c>
      <c r="BDN21" s="28">
        <f>'REG y VAL POE - AESR - ESR'!R1574</f>
        <v>0</v>
      </c>
      <c r="BDO21" s="29">
        <f>'REG y VAL POE - AESR - ESR'!S1574</f>
        <v>0</v>
      </c>
      <c r="BDP21" s="30">
        <f>'REG y VAL POE - AESR - ESR'!T1574</f>
        <v>0</v>
      </c>
      <c r="BDQ21" s="28">
        <f>'REG y VAL POE - AESR - ESR'!U1574</f>
        <v>0</v>
      </c>
      <c r="BDR21" s="29">
        <f>'REG y VAL POE - AESR - ESR'!V1574</f>
        <v>0</v>
      </c>
      <c r="BDS21" s="29">
        <f>'REG y VAL POE - AESR - ESR'!W1574</f>
        <v>0</v>
      </c>
      <c r="BDT21" s="29">
        <f>'REG y VAL POE - AESR - ESR'!X1574</f>
        <v>0</v>
      </c>
      <c r="BDU21" s="28">
        <f>'REG y VAL POE - AESR - ESR'!Y1574</f>
        <v>0</v>
      </c>
      <c r="BDV21" s="29">
        <f>'REG y VAL POE - AESR - ESR'!Z1574</f>
        <v>0</v>
      </c>
      <c r="BDW21" s="29">
        <f>'REG y VAL POE - AESR - ESR'!AA1574</f>
        <v>0</v>
      </c>
      <c r="BDX21" s="28">
        <f>'REG y VAL POE - AESR - ESR'!AB1574</f>
        <v>0</v>
      </c>
      <c r="BDY21" s="29">
        <f>'REG y VAL POE - AESR - ESR'!AC1574</f>
        <v>0</v>
      </c>
      <c r="BDZ21" s="30">
        <f>'REG y VAL POE - AESR - ESR'!AD1574</f>
        <v>0</v>
      </c>
      <c r="BEA21" s="28">
        <f>'REG y VAL POE - AESR - ESR'!AE1574</f>
        <v>0</v>
      </c>
      <c r="BEB21" s="29">
        <f>'REG y VAL POE - AESR - ESR'!AF1574</f>
        <v>0</v>
      </c>
      <c r="BEC21" s="29">
        <f>'REG y VAL POE - AESR - ESR'!AG1574</f>
        <v>0</v>
      </c>
      <c r="BED21" s="29">
        <f>'REG y VAL POE - AESR - ESR'!AH1574</f>
        <v>0</v>
      </c>
      <c r="BEE21" s="28">
        <f>'REG y VAL POE - AESR - ESR'!AI1574</f>
        <v>0</v>
      </c>
      <c r="BEF21" s="29">
        <f>'REG y VAL POE - AESR - ESR'!AJ1574</f>
        <v>0</v>
      </c>
      <c r="BEG21" s="29">
        <f>'REG y VAL POE - AESR - ESR'!AK1574</f>
        <v>0</v>
      </c>
      <c r="BEH21" s="29">
        <f>'REG y VAL POE - AESR - ESR'!AL1574</f>
        <v>0</v>
      </c>
      <c r="BEI21" s="29">
        <f>'REG y VAL POE - AESR - ESR'!AM1574</f>
        <v>0</v>
      </c>
      <c r="BEJ21" s="29">
        <f>'REG y VAL POE - AESR - ESR'!AN1574</f>
        <v>0</v>
      </c>
      <c r="BEK21" s="28">
        <f>'REG y VAL POE - AESR - ESR'!AO1574</f>
        <v>0</v>
      </c>
      <c r="BEL21" s="29">
        <f>'REG y VAL POE - AESR - ESR'!AP1574</f>
        <v>0</v>
      </c>
      <c r="BEM21" s="29">
        <f>'REG y VAL POE - AESR - ESR'!AQ1574</f>
        <v>0</v>
      </c>
      <c r="BEN21" s="28">
        <f>'REG y VAL POE - AESR - ESR'!AR1574</f>
        <v>0</v>
      </c>
      <c r="BEO21" s="29">
        <f>'REG y VAL POE - AESR - ESR'!AS1574</f>
        <v>0</v>
      </c>
      <c r="BEP21" s="30">
        <f>'REG y VAL POE - AESR - ESR'!B1575</f>
        <v>0</v>
      </c>
      <c r="BEQ21" s="28">
        <f>'REG y VAL POE - AESR - ESR'!C1575</f>
        <v>0</v>
      </c>
      <c r="BER21" s="29">
        <f>'REG y VAL POE - AESR - ESR'!D1575</f>
        <v>0</v>
      </c>
      <c r="BES21" s="29">
        <f>'REG y VAL POE - AESR - ESR'!E1575</f>
        <v>0</v>
      </c>
      <c r="BET21" s="29">
        <f>'REG y VAL POE - AESR - ESR'!F1575</f>
        <v>0</v>
      </c>
      <c r="BEU21" s="28">
        <f>'REG y VAL POE - AESR - ESR'!G1575</f>
        <v>0</v>
      </c>
      <c r="BEV21" s="29">
        <f>'REG y VAL POE - AESR - ESR'!H1575</f>
        <v>0</v>
      </c>
      <c r="BEW21" s="29">
        <f>'REG y VAL POE - AESR - ESR'!I1575</f>
        <v>0</v>
      </c>
      <c r="BEX21" s="28">
        <f>'REG y VAL POE - AESR - ESR'!J1575</f>
        <v>0</v>
      </c>
      <c r="BEY21" s="29">
        <f>'REG y VAL POE - AESR - ESR'!K1575</f>
        <v>0</v>
      </c>
      <c r="BEZ21" s="30">
        <f>'REG y VAL POE - AESR - ESR'!L1575</f>
        <v>0</v>
      </c>
      <c r="BFA21" s="28">
        <f>'REG y VAL POE - AESR - ESR'!M1575</f>
        <v>0</v>
      </c>
      <c r="BFB21" s="29">
        <f>'REG y VAL POE - AESR - ESR'!N1575</f>
        <v>0</v>
      </c>
      <c r="BFC21" s="29">
        <f>'REG y VAL POE - AESR - ESR'!O1575</f>
        <v>0</v>
      </c>
      <c r="BFD21" s="29">
        <f>'REG y VAL POE - AESR - ESR'!P1575</f>
        <v>0</v>
      </c>
      <c r="BFE21" s="28">
        <f>'REG y VAL POE - AESR - ESR'!Q1575</f>
        <v>0</v>
      </c>
      <c r="BFF21" s="29">
        <f>'REG y VAL POE - AESR - ESR'!R1575</f>
        <v>0</v>
      </c>
      <c r="BFG21" s="29">
        <f>'REG y VAL POE - AESR - ESR'!S1575</f>
        <v>0</v>
      </c>
      <c r="BFH21" s="29">
        <f>'REG y VAL POE - AESR - ESR'!T1575</f>
        <v>0</v>
      </c>
      <c r="BFI21" s="29">
        <f>'REG y VAL POE - AESR - ESR'!U1575</f>
        <v>0</v>
      </c>
      <c r="BFJ21" s="29">
        <f>'REG y VAL POE - AESR - ESR'!V1575</f>
        <v>0</v>
      </c>
      <c r="BFK21" s="28">
        <f>'REG y VAL POE - AESR - ESR'!W1575</f>
        <v>0</v>
      </c>
      <c r="BFL21" s="29">
        <f>'REG y VAL POE - AESR - ESR'!X1575</f>
        <v>0</v>
      </c>
      <c r="BFM21" s="29">
        <f>'REG y VAL POE - AESR - ESR'!Y1575</f>
        <v>0</v>
      </c>
      <c r="BFN21" s="28">
        <f>'REG y VAL POE - AESR - ESR'!Z1575</f>
        <v>0</v>
      </c>
      <c r="BFO21" s="29">
        <f>'REG y VAL POE - AESR - ESR'!AA1575</f>
        <v>0</v>
      </c>
      <c r="BFP21" s="30">
        <f>'REG y VAL POE - AESR - ESR'!AB1575</f>
        <v>0</v>
      </c>
      <c r="BFQ21" s="28">
        <f>'REG y VAL POE - AESR - ESR'!AC1575</f>
        <v>0</v>
      </c>
      <c r="BFR21" s="29">
        <f>'REG y VAL POE - AESR - ESR'!AD1575</f>
        <v>0</v>
      </c>
      <c r="BFS21" s="29">
        <f>'REG y VAL POE - AESR - ESR'!AE1575</f>
        <v>0</v>
      </c>
      <c r="BFT21" s="29">
        <f>'REG y VAL POE - AESR - ESR'!AF1575</f>
        <v>0</v>
      </c>
      <c r="BFU21" s="28">
        <f>'REG y VAL POE - AESR - ESR'!AG1575</f>
        <v>0</v>
      </c>
      <c r="BFV21" s="29">
        <f>'REG y VAL POE - AESR - ESR'!AH1575</f>
        <v>0</v>
      </c>
      <c r="BFW21" s="29">
        <f>'REG y VAL POE - AESR - ESR'!AI1575</f>
        <v>0</v>
      </c>
      <c r="BFX21" s="28">
        <f>'REG y VAL POE - AESR - ESR'!AJ1575</f>
        <v>0</v>
      </c>
      <c r="BFY21" s="29">
        <f>'REG y VAL POE - AESR - ESR'!AK1575</f>
        <v>0</v>
      </c>
      <c r="BFZ21" s="30">
        <f>'REG y VAL POE - AESR - ESR'!AL1575</f>
        <v>0</v>
      </c>
      <c r="BGA21" s="28">
        <f>'REG y VAL POE - AESR - ESR'!AM1575</f>
        <v>0</v>
      </c>
      <c r="BGB21" s="29">
        <f>'REG y VAL POE - AESR - ESR'!AN1575</f>
        <v>0</v>
      </c>
      <c r="BGC21" s="29">
        <f>'REG y VAL POE - AESR - ESR'!AO1575</f>
        <v>0</v>
      </c>
      <c r="BGD21" s="29">
        <f>'REG y VAL POE - AESR - ESR'!AP1575</f>
        <v>0</v>
      </c>
      <c r="BGE21" s="28">
        <f>'REG y VAL POE - AESR - ESR'!AQ1575</f>
        <v>0</v>
      </c>
      <c r="BGF21" s="29">
        <f>'REG y VAL POE - AESR - ESR'!AR1575</f>
        <v>0</v>
      </c>
      <c r="BGG21" s="29">
        <f>'REG y VAL POE - AESR - ESR'!AS1575</f>
        <v>0</v>
      </c>
      <c r="BGH21" s="29">
        <f>'REG y VAL POE - AESR - ESR'!B1576</f>
        <v>0</v>
      </c>
      <c r="BGI21" s="29">
        <f>'REG y VAL POE - AESR - ESR'!C1576</f>
        <v>0</v>
      </c>
      <c r="BGJ21" s="29">
        <f>'REG y VAL POE - AESR - ESR'!D1576</f>
        <v>0</v>
      </c>
      <c r="BGK21" s="28">
        <f>'REG y VAL POE - AESR - ESR'!E1576</f>
        <v>0</v>
      </c>
      <c r="BGL21" s="29">
        <f>'REG y VAL POE - AESR - ESR'!F1576</f>
        <v>0</v>
      </c>
      <c r="BGM21" s="29">
        <f>'REG y VAL POE - AESR - ESR'!G1576</f>
        <v>0</v>
      </c>
      <c r="BGN21" s="28">
        <f>'REG y VAL POE - AESR - ESR'!H1576</f>
        <v>0</v>
      </c>
      <c r="BGO21" s="29">
        <f>'REG y VAL POE - AESR - ESR'!I1576</f>
        <v>0</v>
      </c>
      <c r="BGP21" s="30">
        <f>'REG y VAL POE - AESR - ESR'!J1576</f>
        <v>0</v>
      </c>
      <c r="BGQ21" s="28">
        <f>'REG y VAL POE - AESR - ESR'!K1576</f>
        <v>0</v>
      </c>
      <c r="BGR21" s="29">
        <f>'REG y VAL POE - AESR - ESR'!L1576</f>
        <v>0</v>
      </c>
      <c r="BGS21" s="29">
        <f>'REG y VAL POE - AESR - ESR'!M1576</f>
        <v>0</v>
      </c>
      <c r="BGT21" s="29">
        <f>'REG y VAL POE - AESR - ESR'!N1576</f>
        <v>0</v>
      </c>
      <c r="BGU21" s="28">
        <f>'REG y VAL POE - AESR - ESR'!O1576</f>
        <v>0</v>
      </c>
      <c r="BGV21" s="29">
        <f>'REG y VAL POE - AESR - ESR'!P1576</f>
        <v>0</v>
      </c>
      <c r="BGW21" s="29">
        <f>'REG y VAL POE - AESR - ESR'!Q1576</f>
        <v>0</v>
      </c>
      <c r="BGX21" s="28">
        <f>'REG y VAL POE - AESR - ESR'!R1576</f>
        <v>0</v>
      </c>
      <c r="BGY21" s="29">
        <f>'REG y VAL POE - AESR - ESR'!S1576</f>
        <v>0</v>
      </c>
      <c r="BGZ21" s="30">
        <f>'REG y VAL POE - AESR - ESR'!T1576</f>
        <v>0</v>
      </c>
      <c r="BHA21" s="28">
        <f>'REG y VAL POE - AESR - ESR'!U1576</f>
        <v>0</v>
      </c>
      <c r="BHB21" s="29">
        <f>'REG y VAL POE - AESR - ESR'!V1576</f>
        <v>0</v>
      </c>
      <c r="BHC21" s="29">
        <f>'REG y VAL POE - AESR - ESR'!W1576</f>
        <v>0</v>
      </c>
      <c r="BHD21" s="29">
        <f>'REG y VAL POE - AESR - ESR'!X1576</f>
        <v>0</v>
      </c>
      <c r="BHE21" s="28">
        <f>'REG y VAL POE - AESR - ESR'!Y1576</f>
        <v>0</v>
      </c>
      <c r="BHF21" s="29">
        <f>'REG y VAL POE - AESR - ESR'!Z1576</f>
        <v>0</v>
      </c>
      <c r="BHG21" s="29">
        <f>'REG y VAL POE - AESR - ESR'!AA1576</f>
        <v>0</v>
      </c>
      <c r="BHH21" s="29">
        <f>'REG y VAL POE - AESR - ESR'!AB1576</f>
        <v>0</v>
      </c>
      <c r="BHI21" s="29">
        <f>'REG y VAL POE - AESR - ESR'!AC1576</f>
        <v>0</v>
      </c>
      <c r="BHJ21" s="29">
        <f>'REG y VAL POE - AESR - ESR'!AD1576</f>
        <v>0</v>
      </c>
      <c r="BHK21" s="28">
        <f>'REG y VAL POE - AESR - ESR'!AE1576</f>
        <v>0</v>
      </c>
      <c r="BHL21" s="29">
        <f>'REG y VAL POE - AESR - ESR'!AF1576</f>
        <v>0</v>
      </c>
      <c r="BHM21" s="29">
        <f>'REG y VAL POE - AESR - ESR'!AG1576</f>
        <v>0</v>
      </c>
      <c r="BHN21" s="28">
        <f>'REG y VAL POE - AESR - ESR'!AH1576</f>
        <v>0</v>
      </c>
      <c r="BHO21" s="29">
        <f>'REG y VAL POE - AESR - ESR'!AI1576</f>
        <v>0</v>
      </c>
      <c r="BHP21" s="30">
        <f>'REG y VAL POE - AESR - ESR'!AJ1576</f>
        <v>0</v>
      </c>
      <c r="BHQ21" s="28">
        <f>'REG y VAL POE - AESR - ESR'!AK1576</f>
        <v>0</v>
      </c>
      <c r="BHR21" s="29">
        <f>'REG y VAL POE - AESR - ESR'!AL1576</f>
        <v>0</v>
      </c>
      <c r="BHS21" s="29">
        <f>'REG y VAL POE - AESR - ESR'!AM1576</f>
        <v>0</v>
      </c>
      <c r="BHT21" s="29">
        <f>'REG y VAL POE - AESR - ESR'!AN1576</f>
        <v>0</v>
      </c>
      <c r="BHU21" s="28">
        <f>'REG y VAL POE - AESR - ESR'!AO1576</f>
        <v>0</v>
      </c>
      <c r="BHV21" s="29">
        <f>'REG y VAL POE - AESR - ESR'!AP1576</f>
        <v>0</v>
      </c>
      <c r="BHW21" s="29">
        <f>'REG y VAL POE - AESR - ESR'!AQ1576</f>
        <v>0</v>
      </c>
      <c r="BHX21" s="28">
        <f>'REG y VAL POE - AESR - ESR'!AR1576</f>
        <v>0</v>
      </c>
      <c r="BHY21" s="29">
        <f>'REG y VAL POE - AESR - ESR'!AS1576</f>
        <v>0</v>
      </c>
      <c r="BHZ21" s="30">
        <f>'REG y VAL POE - AESR - ESR'!B1577</f>
        <v>0</v>
      </c>
      <c r="BIA21" s="28">
        <f>'REG y VAL POE - AESR - ESR'!C1577</f>
        <v>0</v>
      </c>
      <c r="BIB21" s="29">
        <f>'REG y VAL POE - AESR - ESR'!D1577</f>
        <v>0</v>
      </c>
      <c r="BIC21" s="29">
        <f>'REG y VAL POE - AESR - ESR'!E1577</f>
        <v>0</v>
      </c>
      <c r="BID21" s="29">
        <f>'REG y VAL POE - AESR - ESR'!F1577</f>
        <v>0</v>
      </c>
      <c r="BIE21" s="28">
        <f>'REG y VAL POE - AESR - ESR'!G1577</f>
        <v>0</v>
      </c>
      <c r="BIF21" s="29">
        <f>'REG y VAL POE - AESR - ESR'!H1577</f>
        <v>0</v>
      </c>
      <c r="BIG21" s="29">
        <f>'REG y VAL POE - AESR - ESR'!I1577</f>
        <v>0</v>
      </c>
      <c r="BIH21" s="29">
        <f>'REG y VAL POE - AESR - ESR'!J1577</f>
        <v>0</v>
      </c>
      <c r="BII21" s="29">
        <f>'REG y VAL POE - AESR - ESR'!K1577</f>
        <v>0</v>
      </c>
      <c r="BIJ21" s="29">
        <f>'REG y VAL POE - AESR - ESR'!L1577</f>
        <v>0</v>
      </c>
      <c r="BIK21" s="28">
        <f>'REG y VAL POE - AESR - ESR'!M1577</f>
        <v>0</v>
      </c>
      <c r="BIL21" s="29">
        <f>'REG y VAL POE - AESR - ESR'!N1577</f>
        <v>0</v>
      </c>
      <c r="BIM21" s="29">
        <f>'REG y VAL POE - AESR - ESR'!O1577</f>
        <v>0</v>
      </c>
      <c r="BIN21" s="28">
        <f>'REG y VAL POE - AESR - ESR'!P1577</f>
        <v>0</v>
      </c>
      <c r="BIO21" s="29">
        <f>'REG y VAL POE - AESR - ESR'!Q1577</f>
        <v>0</v>
      </c>
      <c r="BIP21" s="30">
        <f>'REG y VAL POE - AESR - ESR'!R1577</f>
        <v>0</v>
      </c>
      <c r="BIQ21" s="28">
        <f>'REG y VAL POE - AESR - ESR'!S1577</f>
        <v>0</v>
      </c>
      <c r="BIR21" s="29">
        <f>'REG y VAL POE - AESR - ESR'!T1577</f>
        <v>0</v>
      </c>
      <c r="BIS21" s="29">
        <f>'REG y VAL POE - AESR - ESR'!U1577</f>
        <v>0</v>
      </c>
      <c r="BIT21" s="29">
        <f>'REG y VAL POE - AESR - ESR'!V1577</f>
        <v>0</v>
      </c>
      <c r="BIU21" s="28">
        <f>'REG y VAL POE - AESR - ESR'!W1577</f>
        <v>0</v>
      </c>
      <c r="BIV21" s="29">
        <f>'REG y VAL POE - AESR - ESR'!X1577</f>
        <v>0</v>
      </c>
      <c r="BIW21" s="29">
        <f>'REG y VAL POE - AESR - ESR'!Y1577</f>
        <v>0</v>
      </c>
      <c r="BIX21" s="28">
        <f>'REG y VAL POE - AESR - ESR'!Z1577</f>
        <v>0</v>
      </c>
      <c r="BIY21" s="29">
        <f>'REG y VAL POE - AESR - ESR'!AA1577</f>
        <v>0</v>
      </c>
      <c r="BIZ21" s="30">
        <f>'REG y VAL POE - AESR - ESR'!AB1577</f>
        <v>0</v>
      </c>
      <c r="BJA21" s="28">
        <f>'REG y VAL POE - AESR - ESR'!AC1577</f>
        <v>0</v>
      </c>
      <c r="BJB21" s="29">
        <f>'REG y VAL POE - AESR - ESR'!AD1577</f>
        <v>0</v>
      </c>
      <c r="BJC21" s="29">
        <f>'REG y VAL POE - AESR - ESR'!AE1577</f>
        <v>0</v>
      </c>
      <c r="BJD21" s="29">
        <f>'REG y VAL POE - AESR - ESR'!AF1577</f>
        <v>0</v>
      </c>
      <c r="BJE21" s="28">
        <f>'REG y VAL POE - AESR - ESR'!AG1577</f>
        <v>0</v>
      </c>
      <c r="BJF21" s="29">
        <f>'REG y VAL POE - AESR - ESR'!AH1577</f>
        <v>0</v>
      </c>
      <c r="BJG21" s="29">
        <f>'REG y VAL POE - AESR - ESR'!AI1577</f>
        <v>0</v>
      </c>
      <c r="BJH21" s="29">
        <f>'REG y VAL POE - AESR - ESR'!AJ1577</f>
        <v>0</v>
      </c>
      <c r="BJI21" s="29">
        <f>'REG y VAL POE - AESR - ESR'!AK1577</f>
        <v>0</v>
      </c>
      <c r="BJJ21" s="29">
        <f>'REG y VAL POE - AESR - ESR'!AL1577</f>
        <v>0</v>
      </c>
      <c r="BJK21" s="28">
        <f>'REG y VAL POE - AESR - ESR'!AM1577</f>
        <v>0</v>
      </c>
      <c r="BJL21" s="29">
        <f>'REG y VAL POE - AESR - ESR'!AN1577</f>
        <v>0</v>
      </c>
      <c r="BJM21" s="29">
        <f>'REG y VAL POE - AESR - ESR'!AO1577</f>
        <v>0</v>
      </c>
      <c r="BJN21" s="28">
        <f>'REG y VAL POE - AESR - ESR'!AP1577</f>
        <v>0</v>
      </c>
      <c r="BJO21" s="29">
        <f>'REG y VAL POE - AESR - ESR'!AQ1577</f>
        <v>0</v>
      </c>
      <c r="BJP21" s="30">
        <f>'REG y VAL POE - AESR - ESR'!AR1577</f>
        <v>0</v>
      </c>
      <c r="BJQ21" s="28">
        <f>'REG y VAL POE - AESR - ESR'!AS1577</f>
        <v>0</v>
      </c>
      <c r="BJR21" s="29">
        <f>'REG y VAL POE - AESR - ESR'!B1578</f>
        <v>0</v>
      </c>
      <c r="BJS21" s="29">
        <f>'REG y VAL POE - AESR - ESR'!C1578</f>
        <v>0</v>
      </c>
      <c r="BJT21" s="29">
        <f>'REG y VAL POE - AESR - ESR'!D1578</f>
        <v>0</v>
      </c>
      <c r="BJU21" s="28">
        <f>'REG y VAL POE - AESR - ESR'!E1578</f>
        <v>0</v>
      </c>
      <c r="BJV21" s="29">
        <f>'REG y VAL POE - AESR - ESR'!F1578</f>
        <v>0</v>
      </c>
      <c r="BJW21" s="29">
        <f>'REG y VAL POE - AESR - ESR'!G1578</f>
        <v>0</v>
      </c>
      <c r="BJX21" s="28">
        <f>'REG y VAL POE - AESR - ESR'!H1578</f>
        <v>0</v>
      </c>
      <c r="BJY21" s="29">
        <f>'REG y VAL POE - AESR - ESR'!I1578</f>
        <v>0</v>
      </c>
      <c r="BJZ21" s="30">
        <f>'REG y VAL POE - AESR - ESR'!J1578</f>
        <v>0</v>
      </c>
      <c r="BKA21" s="28">
        <f>'REG y VAL POE - AESR - ESR'!K1578</f>
        <v>0</v>
      </c>
      <c r="BKB21" s="29">
        <f>'REG y VAL POE - AESR - ESR'!L1578</f>
        <v>0</v>
      </c>
      <c r="BKC21" s="29">
        <f>'REG y VAL POE - AESR - ESR'!M1578</f>
        <v>0</v>
      </c>
      <c r="BKD21" s="29">
        <f>'REG y VAL POE - AESR - ESR'!N1578</f>
        <v>0</v>
      </c>
      <c r="BKE21" s="28">
        <f>'REG y VAL POE - AESR - ESR'!O1578</f>
        <v>0</v>
      </c>
      <c r="BKF21" s="29">
        <f>'REG y VAL POE - AESR - ESR'!P1578</f>
        <v>0</v>
      </c>
      <c r="BKG21" s="29">
        <f>'REG y VAL POE - AESR - ESR'!Q1578</f>
        <v>0</v>
      </c>
      <c r="BKH21" s="29">
        <f>'REG y VAL POE - AESR - ESR'!R1578</f>
        <v>0</v>
      </c>
      <c r="BKI21" s="29">
        <f>'REG y VAL POE - AESR - ESR'!S1578</f>
        <v>0</v>
      </c>
      <c r="BKJ21" s="29">
        <f>'REG y VAL POE - AESR - ESR'!T1578</f>
        <v>0</v>
      </c>
      <c r="BKK21" s="28">
        <f>'REG y VAL POE - AESR - ESR'!U1578</f>
        <v>0</v>
      </c>
      <c r="BKL21" s="29">
        <f>'REG y VAL POE - AESR - ESR'!V1578</f>
        <v>0</v>
      </c>
      <c r="BKM21" s="29">
        <f>'REG y VAL POE - AESR - ESR'!W1578</f>
        <v>0</v>
      </c>
      <c r="BKN21" s="28">
        <f>'REG y VAL POE - AESR - ESR'!X1578</f>
        <v>0</v>
      </c>
      <c r="BKO21" s="29">
        <f>'REG y VAL POE - AESR - ESR'!Y1578</f>
        <v>0</v>
      </c>
      <c r="BKP21" s="30">
        <f>'REG y VAL POE - AESR - ESR'!Z1578</f>
        <v>0</v>
      </c>
      <c r="BKQ21" s="28">
        <f>'REG y VAL POE - AESR - ESR'!AA1578</f>
        <v>0</v>
      </c>
      <c r="BKR21" s="29">
        <f>'REG y VAL POE - AESR - ESR'!AB1578</f>
        <v>0</v>
      </c>
      <c r="BKS21" s="29">
        <f>'REG y VAL POE - AESR - ESR'!AC1578</f>
        <v>0</v>
      </c>
      <c r="BKT21" s="29">
        <f>'REG y VAL POE - AESR - ESR'!AD1578</f>
        <v>0</v>
      </c>
      <c r="BKU21" s="28">
        <f>'REG y VAL POE - AESR - ESR'!AE1578</f>
        <v>0</v>
      </c>
      <c r="BKV21" s="29">
        <f>'REG y VAL POE - AESR - ESR'!AF1578</f>
        <v>0</v>
      </c>
      <c r="BKW21" s="29">
        <f>'REG y VAL POE - AESR - ESR'!AG1578</f>
        <v>0</v>
      </c>
      <c r="BKX21" s="28">
        <f>'REG y VAL POE - AESR - ESR'!AH1578</f>
        <v>0</v>
      </c>
      <c r="BKY21" s="29">
        <f>'REG y VAL POE - AESR - ESR'!AI1578</f>
        <v>0</v>
      </c>
      <c r="BKZ21" s="30">
        <f>'REG y VAL POE - AESR - ESR'!AJ1578</f>
        <v>0</v>
      </c>
      <c r="BLA21" s="28">
        <f>'REG y VAL POE - AESR - ESR'!AK1578</f>
        <v>0</v>
      </c>
      <c r="BLB21" s="29">
        <f>'REG y VAL POE - AESR - ESR'!AL1578</f>
        <v>0</v>
      </c>
      <c r="BLC21" s="29">
        <f>'REG y VAL POE - AESR - ESR'!AM1578</f>
        <v>0</v>
      </c>
      <c r="BLD21" s="29">
        <f>'REG y VAL POE - AESR - ESR'!AN1578</f>
        <v>0</v>
      </c>
      <c r="BLE21" s="28">
        <f>'REG y VAL POE - AESR - ESR'!AO1578</f>
        <v>0</v>
      </c>
      <c r="BLF21" s="29">
        <f>'REG y VAL POE - AESR - ESR'!AP1578</f>
        <v>0</v>
      </c>
      <c r="BLG21" s="29">
        <f>'REG y VAL POE - AESR - ESR'!AQ1578</f>
        <v>0</v>
      </c>
      <c r="BLH21" s="29">
        <f>'REG y VAL POE - AESR - ESR'!AR1578</f>
        <v>0</v>
      </c>
      <c r="BLI21" s="29">
        <f>'REG y VAL POE - AESR - ESR'!AS1578</f>
        <v>0</v>
      </c>
      <c r="BLJ21" s="29">
        <f>'REG y VAL POE - AESR - ESR'!B1579</f>
        <v>0</v>
      </c>
      <c r="BLK21" s="28">
        <f>'REG y VAL POE - AESR - ESR'!C1579</f>
        <v>0</v>
      </c>
      <c r="BLL21" s="29">
        <f>'REG y VAL POE - AESR - ESR'!D1579</f>
        <v>0</v>
      </c>
      <c r="BLM21" s="29">
        <f>'REG y VAL POE - AESR - ESR'!E1579</f>
        <v>0</v>
      </c>
      <c r="BLN21" s="28">
        <f>'REG y VAL POE - AESR - ESR'!F1579</f>
        <v>0</v>
      </c>
      <c r="BLO21" s="29">
        <f>'REG y VAL POE - AESR - ESR'!G1579</f>
        <v>0</v>
      </c>
      <c r="BLP21" s="30">
        <f>'REG y VAL POE - AESR - ESR'!H1579</f>
        <v>0</v>
      </c>
      <c r="BLQ21" s="28">
        <f>'REG y VAL POE - AESR - ESR'!I1579</f>
        <v>0</v>
      </c>
      <c r="BLR21" s="29">
        <f>'REG y VAL POE - AESR - ESR'!J1579</f>
        <v>0</v>
      </c>
      <c r="BLS21" s="29">
        <f>'REG y VAL POE - AESR - ESR'!K1579</f>
        <v>0</v>
      </c>
      <c r="BLT21" s="29">
        <f>'REG y VAL POE - AESR - ESR'!L1579</f>
        <v>0</v>
      </c>
      <c r="BLU21" s="28">
        <f>'REG y VAL POE - AESR - ESR'!M1579</f>
        <v>0</v>
      </c>
      <c r="BLV21" s="29">
        <f>'REG y VAL POE - AESR - ESR'!N1579</f>
        <v>0</v>
      </c>
      <c r="BLW21" s="29">
        <f>'REG y VAL POE - AESR - ESR'!O1579</f>
        <v>0</v>
      </c>
      <c r="BLX21" s="28">
        <f>'REG y VAL POE - AESR - ESR'!P1579</f>
        <v>0</v>
      </c>
      <c r="BLY21" s="29">
        <f>'REG y VAL POE - AESR - ESR'!Q1579</f>
        <v>0</v>
      </c>
      <c r="BLZ21" s="30">
        <f>'REG y VAL POE - AESR - ESR'!R1579</f>
        <v>0</v>
      </c>
      <c r="BMA21" s="28">
        <f>'REG y VAL POE - AESR - ESR'!S1579</f>
        <v>0</v>
      </c>
      <c r="BMB21" s="29">
        <f>'REG y VAL POE - AESR - ESR'!T1579</f>
        <v>0</v>
      </c>
      <c r="BMC21" s="29">
        <f>'REG y VAL POE - AESR - ESR'!U1579</f>
        <v>0</v>
      </c>
      <c r="BMD21" s="29">
        <f>'REG y VAL POE - AESR - ESR'!V1579</f>
        <v>0</v>
      </c>
      <c r="BME21" s="28">
        <f>'REG y VAL POE - AESR - ESR'!W1579</f>
        <v>0</v>
      </c>
      <c r="BMF21" s="29">
        <f>'REG y VAL POE - AESR - ESR'!X1579</f>
        <v>0</v>
      </c>
      <c r="BMG21" s="29">
        <f>'REG y VAL POE - AESR - ESR'!Y1579</f>
        <v>0</v>
      </c>
      <c r="BMH21" s="29">
        <f>'REG y VAL POE - AESR - ESR'!Z1579</f>
        <v>0</v>
      </c>
      <c r="BMI21" s="29">
        <f>'REG y VAL POE - AESR - ESR'!AA1579</f>
        <v>0</v>
      </c>
      <c r="BMJ21" s="29">
        <f>'REG y VAL POE - AESR - ESR'!AB1579</f>
        <v>0</v>
      </c>
      <c r="BMK21" s="28">
        <f>'REG y VAL POE - AESR - ESR'!AC1579</f>
        <v>0</v>
      </c>
      <c r="BML21" s="29">
        <f>'REG y VAL POE - AESR - ESR'!AD1579</f>
        <v>0</v>
      </c>
      <c r="BMM21" s="29">
        <f>'REG y VAL POE - AESR - ESR'!AE1579</f>
        <v>0</v>
      </c>
      <c r="BMN21" s="28">
        <f>'REG y VAL POE - AESR - ESR'!AF1579</f>
        <v>0</v>
      </c>
      <c r="BMO21" s="29">
        <f>'REG y VAL POE - AESR - ESR'!AG1579</f>
        <v>0</v>
      </c>
      <c r="BMP21" s="30">
        <f>'REG y VAL POE - AESR - ESR'!AH1579</f>
        <v>0</v>
      </c>
      <c r="BMQ21" s="28">
        <f>'REG y VAL POE - AESR - ESR'!AI1579</f>
        <v>0</v>
      </c>
      <c r="BMR21" s="29">
        <f>'REG y VAL POE - AESR - ESR'!AJ1579</f>
        <v>0</v>
      </c>
      <c r="BMS21" s="29">
        <f>'REG y VAL POE - AESR - ESR'!AK1579</f>
        <v>0</v>
      </c>
      <c r="BMT21" s="29">
        <f>'REG y VAL POE - AESR - ESR'!AL1579</f>
        <v>0</v>
      </c>
      <c r="BMU21" s="28">
        <f>'REG y VAL POE - AESR - ESR'!AM1579</f>
        <v>0</v>
      </c>
      <c r="BMV21" s="29">
        <f>'REG y VAL POE - AESR - ESR'!AN1579</f>
        <v>0</v>
      </c>
      <c r="BMW21" s="29">
        <f>'REG y VAL POE - AESR - ESR'!AO1579</f>
        <v>0</v>
      </c>
      <c r="BMX21" s="28">
        <f>'REG y VAL POE - AESR - ESR'!AP1579</f>
        <v>0</v>
      </c>
      <c r="BMY21" s="29">
        <f>'REG y VAL POE - AESR - ESR'!AQ1579</f>
        <v>0</v>
      </c>
      <c r="BMZ21" s="30">
        <f>'REG y VAL POE - AESR - ESR'!AR1579</f>
        <v>0</v>
      </c>
      <c r="BNA21" s="28">
        <f>'REG y VAL POE - AESR - ESR'!AS1579</f>
        <v>0</v>
      </c>
      <c r="BNB21" s="29">
        <f>'REG y VAL POE - AESR - ESR'!B1580</f>
        <v>0</v>
      </c>
      <c r="BNC21" s="29">
        <f>'REG y VAL POE - AESR - ESR'!C1580</f>
        <v>0</v>
      </c>
      <c r="BND21" s="29">
        <f>'REG y VAL POE - AESR - ESR'!D1580</f>
        <v>0</v>
      </c>
      <c r="BNE21" s="28">
        <f>'REG y VAL POE - AESR - ESR'!E1580</f>
        <v>0</v>
      </c>
      <c r="BNF21" s="29">
        <f>'REG y VAL POE - AESR - ESR'!F1580</f>
        <v>0</v>
      </c>
      <c r="BNG21" s="29">
        <f>'REG y VAL POE - AESR - ESR'!G1580</f>
        <v>0</v>
      </c>
      <c r="BNH21" s="29">
        <f>'REG y VAL POE - AESR - ESR'!H1580</f>
        <v>0</v>
      </c>
      <c r="BNI21" s="29">
        <f>'REG y VAL POE - AESR - ESR'!I1580</f>
        <v>0</v>
      </c>
      <c r="BNJ21" s="29">
        <f>'REG y VAL POE - AESR - ESR'!J1580</f>
        <v>0</v>
      </c>
      <c r="BNK21" s="28">
        <f>'REG y VAL POE - AESR - ESR'!K1580</f>
        <v>0</v>
      </c>
      <c r="BNL21" s="29">
        <f>'REG y VAL POE - AESR - ESR'!L1580</f>
        <v>0</v>
      </c>
      <c r="BNM21" s="29">
        <f>'REG y VAL POE - AESR - ESR'!M1580</f>
        <v>0</v>
      </c>
      <c r="BNN21" s="28">
        <f>'REG y VAL POE - AESR - ESR'!N1580</f>
        <v>0</v>
      </c>
      <c r="BNO21" s="29">
        <f>'REG y VAL POE - AESR - ESR'!O1580</f>
        <v>0</v>
      </c>
      <c r="BNP21" s="30">
        <f>'REG y VAL POE - AESR - ESR'!P1580</f>
        <v>0</v>
      </c>
      <c r="BNQ21" s="28">
        <f>'REG y VAL POE - AESR - ESR'!Q1580</f>
        <v>0</v>
      </c>
      <c r="BNR21" s="29">
        <f>'REG y VAL POE - AESR - ESR'!R1580</f>
        <v>0</v>
      </c>
      <c r="BNS21" s="29">
        <f>'REG y VAL POE - AESR - ESR'!S1580</f>
        <v>0</v>
      </c>
      <c r="BNT21" s="29">
        <f>'REG y VAL POE - AESR - ESR'!T1580</f>
        <v>0</v>
      </c>
      <c r="BNU21" s="28">
        <f>'REG y VAL POE - AESR - ESR'!U1580</f>
        <v>0</v>
      </c>
      <c r="BNV21" s="29">
        <f>'REG y VAL POE - AESR - ESR'!V1580</f>
        <v>0</v>
      </c>
      <c r="BNW21" s="29">
        <f>'REG y VAL POE - AESR - ESR'!W1580</f>
        <v>0</v>
      </c>
      <c r="BNX21" s="28">
        <f>'REG y VAL POE - AESR - ESR'!X1580</f>
        <v>0</v>
      </c>
      <c r="BNY21" s="29">
        <f>'REG y VAL POE - AESR - ESR'!Y1580</f>
        <v>0</v>
      </c>
      <c r="BNZ21" s="30">
        <f>'REG y VAL POE - AESR - ESR'!Z1580</f>
        <v>0</v>
      </c>
      <c r="BOA21" s="28">
        <f>'REG y VAL POE - AESR - ESR'!AA1580</f>
        <v>0</v>
      </c>
      <c r="BOB21" s="29">
        <f>'REG y VAL POE - AESR - ESR'!AB1580</f>
        <v>0</v>
      </c>
      <c r="BOC21" s="29">
        <f>'REG y VAL POE - AESR - ESR'!AC1580</f>
        <v>0</v>
      </c>
      <c r="BOD21" s="29">
        <f>'REG y VAL POE - AESR - ESR'!AD1580</f>
        <v>0</v>
      </c>
      <c r="BOE21" s="28">
        <f>'REG y VAL POE - AESR - ESR'!AE1580</f>
        <v>0</v>
      </c>
      <c r="BOF21" s="29">
        <f>'REG y VAL POE - AESR - ESR'!AF1580</f>
        <v>0</v>
      </c>
      <c r="BOG21" s="29">
        <f>'REG y VAL POE - AESR - ESR'!AG1580</f>
        <v>0</v>
      </c>
      <c r="BOH21" s="29">
        <f>'REG y VAL POE - AESR - ESR'!AH1580</f>
        <v>0</v>
      </c>
      <c r="BOI21" s="29">
        <f>'REG y VAL POE - AESR - ESR'!AI1580</f>
        <v>0</v>
      </c>
      <c r="BOJ21" s="29">
        <f>'REG y VAL POE - AESR - ESR'!AJ1580</f>
        <v>0</v>
      </c>
      <c r="BOK21" s="28">
        <f>'REG y VAL POE - AESR - ESR'!AK1580</f>
        <v>0</v>
      </c>
      <c r="BOL21" s="29">
        <f>'REG y VAL POE - AESR - ESR'!AL1580</f>
        <v>0</v>
      </c>
      <c r="BOM21" s="29">
        <f>'REG y VAL POE - AESR - ESR'!AM1580</f>
        <v>0</v>
      </c>
      <c r="BON21" s="28">
        <f>'REG y VAL POE - AESR - ESR'!AN1580</f>
        <v>0</v>
      </c>
      <c r="BOO21" s="29">
        <f>'REG y VAL POE - AESR - ESR'!AO1580</f>
        <v>0</v>
      </c>
      <c r="BOP21" s="30">
        <f>'REG y VAL POE - AESR - ESR'!AP1580</f>
        <v>0</v>
      </c>
      <c r="BOQ21" s="28">
        <f>'REG y VAL POE - AESR - ESR'!AQ1580</f>
        <v>0</v>
      </c>
      <c r="BOR21" s="29">
        <f>'REG y VAL POE - AESR - ESR'!AR1580</f>
        <v>0</v>
      </c>
      <c r="BOS21" s="29">
        <f>'REG y VAL POE - AESR - ESR'!AS1580</f>
        <v>0</v>
      </c>
      <c r="BOT21" s="29"/>
      <c r="BOU21" s="28"/>
      <c r="BOV21" s="29"/>
      <c r="BOW21" s="29"/>
      <c r="BOX21" s="28"/>
      <c r="BOY21" s="29"/>
      <c r="BOZ21" s="30"/>
      <c r="BPA21" s="28"/>
      <c r="BPB21" s="29"/>
      <c r="BPC21" s="29"/>
      <c r="BPD21" s="29"/>
      <c r="BPE21" s="28"/>
      <c r="BPF21" s="29"/>
      <c r="BPG21" s="29"/>
      <c r="BPH21" s="29"/>
      <c r="BPI21" s="29"/>
      <c r="BPJ21" s="29"/>
      <c r="BPK21" s="28"/>
      <c r="BPL21" s="29"/>
      <c r="BPM21" s="29"/>
      <c r="BPN21" s="28"/>
      <c r="BPO21" s="29"/>
      <c r="BPP21" s="30"/>
      <c r="BPQ21" s="28"/>
      <c r="BPR21" s="29"/>
      <c r="BPS21" s="29"/>
      <c r="BPT21" s="29"/>
      <c r="BPU21" s="28"/>
      <c r="BPV21" s="29"/>
      <c r="BPW21" s="29"/>
      <c r="BPX21" s="28"/>
      <c r="BPY21" s="29"/>
      <c r="BPZ21" s="30"/>
      <c r="BQA21" s="28"/>
      <c r="BQB21" s="29"/>
      <c r="BQC21" s="29"/>
      <c r="BQD21" s="29"/>
      <c r="BQE21" s="28"/>
      <c r="BQF21" s="29"/>
      <c r="BQG21" s="29"/>
      <c r="BQH21" s="29"/>
      <c r="BQI21" s="29"/>
      <c r="BQJ21" s="29"/>
      <c r="BQK21" s="28"/>
      <c r="BQL21" s="29"/>
      <c r="BQM21" s="29"/>
      <c r="BQN21" s="28"/>
      <c r="BQO21" s="29"/>
      <c r="BQP21" s="30"/>
      <c r="BQQ21" s="28"/>
      <c r="BQR21" s="29"/>
      <c r="BQS21" s="29"/>
      <c r="BQT21" s="29"/>
      <c r="BQU21" s="28"/>
      <c r="BQV21" s="29"/>
      <c r="BQW21" s="29"/>
      <c r="BQX21" s="28"/>
      <c r="BQY21" s="29"/>
      <c r="BQZ21" s="30"/>
      <c r="BRA21" s="28"/>
      <c r="BRB21" s="29"/>
      <c r="BRC21" s="29"/>
      <c r="BRD21" s="29"/>
      <c r="BRE21" s="28"/>
      <c r="BRF21" s="29"/>
      <c r="BRG21" s="29"/>
      <c r="BRH21" s="29"/>
      <c r="BRI21" s="29"/>
      <c r="BRJ21" s="29"/>
      <c r="BRK21" s="28"/>
      <c r="BRL21" s="29"/>
      <c r="BRM21" s="29"/>
      <c r="BRN21" s="28"/>
      <c r="BRO21" s="29"/>
      <c r="BRP21" s="30"/>
      <c r="BRQ21" s="28"/>
      <c r="BRR21" s="29"/>
      <c r="BRS21" s="29"/>
      <c r="BRT21" s="29"/>
      <c r="BRU21" s="28"/>
      <c r="BRV21" s="29"/>
      <c r="BRW21" s="29"/>
      <c r="BRX21" s="28"/>
      <c r="BRY21" s="29"/>
      <c r="BRZ21" s="30"/>
      <c r="BSA21" s="28"/>
      <c r="BSB21" s="29"/>
      <c r="BSC21" s="29"/>
      <c r="BSD21" s="29"/>
      <c r="BSE21" s="28"/>
      <c r="BSF21" s="29"/>
      <c r="BSG21" s="29"/>
      <c r="BSH21" s="29"/>
      <c r="BSI21" s="29"/>
      <c r="BSJ21" s="29"/>
      <c r="BSK21" s="28"/>
      <c r="BSL21" s="29"/>
      <c r="BSM21" s="29"/>
      <c r="BSN21" s="28"/>
      <c r="BSO21" s="29"/>
      <c r="BSP21" s="30"/>
      <c r="BSQ21" s="28"/>
      <c r="BSR21" s="29"/>
      <c r="BSS21" s="29"/>
      <c r="BST21" s="29"/>
      <c r="BSU21" s="28"/>
      <c r="BSV21" s="29"/>
      <c r="BSW21" s="29"/>
      <c r="BSX21" s="28"/>
      <c r="BSY21" s="29"/>
      <c r="BSZ21" s="30"/>
      <c r="BTA21" s="28"/>
      <c r="BTB21" s="29"/>
      <c r="BTC21" s="29"/>
      <c r="BTD21" s="29"/>
      <c r="BTE21" s="28"/>
      <c r="BTF21" s="29"/>
      <c r="BTG21" s="29"/>
      <c r="BTH21" s="29"/>
      <c r="BTI21" s="29"/>
      <c r="BTJ21" s="29"/>
      <c r="BTK21" s="28"/>
      <c r="BTL21" s="29"/>
      <c r="BTM21" s="29"/>
      <c r="BTN21" s="28"/>
      <c r="BTO21" s="29"/>
      <c r="BTP21" s="30"/>
      <c r="BTQ21" s="28"/>
      <c r="BTR21" s="29"/>
      <c r="BTS21" s="29"/>
      <c r="BTT21" s="29"/>
      <c r="BTU21" s="28"/>
      <c r="BTV21" s="29"/>
      <c r="BTW21" s="29"/>
      <c r="BTX21" s="28"/>
      <c r="BTY21" s="29"/>
      <c r="BTZ21" s="30"/>
      <c r="BUA21" s="28"/>
      <c r="BUB21" s="29"/>
      <c r="BUC21" s="29"/>
      <c r="BUD21" s="29"/>
      <c r="BUE21" s="28"/>
      <c r="BUF21" s="29"/>
      <c r="BUG21" s="29"/>
      <c r="BUH21" s="29"/>
      <c r="BUI21" s="29"/>
      <c r="BUJ21" s="29"/>
      <c r="BUK21" s="28"/>
      <c r="BUL21" s="29"/>
      <c r="BUM21" s="29"/>
      <c r="BUN21" s="28"/>
      <c r="BUO21" s="29"/>
      <c r="BUP21" s="30"/>
      <c r="BUQ21" s="28"/>
      <c r="BUR21" s="29"/>
      <c r="BUS21" s="29"/>
      <c r="BUT21" s="29"/>
      <c r="BUU21" s="28"/>
      <c r="BUV21" s="29"/>
      <c r="BUW21" s="29"/>
      <c r="BUX21" s="28"/>
      <c r="BUY21" s="29"/>
      <c r="BUZ21" s="30"/>
      <c r="BVA21" s="28"/>
      <c r="BVB21" s="29"/>
      <c r="BVC21" s="29"/>
      <c r="BVD21" s="29"/>
      <c r="BVE21" s="28"/>
      <c r="BVF21" s="29"/>
      <c r="BVG21" s="29"/>
      <c r="BVH21" s="29"/>
      <c r="BVI21" s="29"/>
      <c r="BVJ21" s="29"/>
      <c r="BVK21" s="28"/>
      <c r="BVL21" s="29"/>
      <c r="BVM21" s="29"/>
      <c r="BVN21" s="28"/>
      <c r="BVO21" s="29"/>
      <c r="BVP21" s="30"/>
      <c r="BVQ21" s="28"/>
      <c r="BVR21" s="29"/>
      <c r="BVS21" s="29"/>
      <c r="BVT21" s="29"/>
      <c r="BVU21" s="28"/>
      <c r="BVV21" s="29"/>
      <c r="BVW21" s="29"/>
      <c r="BVX21" s="28"/>
      <c r="BVY21" s="29"/>
      <c r="BVZ21" s="30"/>
      <c r="BWA21" s="28"/>
      <c r="BWB21" s="29"/>
      <c r="BWC21" s="29"/>
      <c r="BWD21" s="29"/>
      <c r="BWE21" s="28"/>
      <c r="BWF21" s="29"/>
      <c r="BWG21" s="29"/>
      <c r="BWH21" s="29"/>
      <c r="BWI21" s="29"/>
      <c r="BWJ21" s="29"/>
      <c r="BWK21" s="28"/>
      <c r="BWL21" s="29"/>
      <c r="BWM21" s="29"/>
      <c r="BWN21" s="28"/>
      <c r="BWO21" s="29"/>
      <c r="BWP21" s="30"/>
      <c r="BWQ21" s="28"/>
      <c r="BWR21" s="29"/>
      <c r="BWS21" s="29"/>
      <c r="BWT21" s="29"/>
      <c r="BWU21" s="28"/>
      <c r="BWV21" s="29"/>
      <c r="BWW21" s="29"/>
      <c r="BWX21" s="28"/>
      <c r="BWY21" s="29"/>
      <c r="BWZ21" s="30"/>
      <c r="BXA21" s="28"/>
      <c r="BXB21" s="29"/>
      <c r="BXC21" s="29"/>
      <c r="BXD21" s="29"/>
      <c r="BXE21" s="28"/>
      <c r="BXF21" s="29"/>
      <c r="BXG21" s="29"/>
      <c r="BXH21" s="29"/>
      <c r="BXI21" s="29"/>
      <c r="BXJ21" s="29"/>
      <c r="BXK21" s="28"/>
      <c r="BXL21" s="29"/>
      <c r="BXM21" s="29"/>
      <c r="BXN21" s="28"/>
      <c r="BXO21" s="29"/>
      <c r="BXP21" s="30"/>
      <c r="BXQ21" s="28"/>
      <c r="BXR21" s="29"/>
      <c r="BXS21" s="29"/>
      <c r="BXT21" s="29"/>
      <c r="BXU21" s="28"/>
      <c r="BXV21" s="29"/>
      <c r="BXW21" s="29"/>
      <c r="BXX21" s="28"/>
      <c r="BXY21" s="29"/>
      <c r="BXZ21" s="30"/>
      <c r="BYA21" s="28"/>
      <c r="BYB21" s="29"/>
      <c r="BYC21" s="29"/>
      <c r="BYD21" s="29"/>
      <c r="BYE21" s="28"/>
      <c r="BYF21" s="29"/>
      <c r="BYG21" s="29"/>
      <c r="BYH21" s="29"/>
      <c r="BYI21" s="29"/>
      <c r="BYJ21" s="29"/>
      <c r="BYK21" s="28"/>
      <c r="BYL21" s="29"/>
      <c r="BYM21" s="29"/>
      <c r="BYN21" s="28"/>
      <c r="BYO21" s="29"/>
      <c r="BYP21" s="30"/>
      <c r="BYQ21" s="28"/>
      <c r="BYR21" s="29"/>
      <c r="BYS21" s="29"/>
      <c r="BYT21" s="29"/>
      <c r="BYU21" s="28"/>
      <c r="BYV21" s="29"/>
      <c r="BYW21" s="29"/>
      <c r="BYX21" s="30"/>
      <c r="BYY21" s="29"/>
      <c r="BYZ21" s="28"/>
      <c r="BZA21" s="29"/>
      <c r="BZB21" s="28"/>
      <c r="BZC21" s="28"/>
      <c r="BZD21" s="28"/>
      <c r="BZE21" s="29"/>
      <c r="BZF21" s="385"/>
      <c r="BZG21" s="29"/>
      <c r="BZH21" s="385"/>
      <c r="BZI21" s="29"/>
      <c r="BZJ21" s="385"/>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30"/>
      <c r="CAQ21" s="28"/>
      <c r="CAR21" s="29"/>
      <c r="CAS21" s="30"/>
      <c r="CAT21" s="29"/>
      <c r="CAU21" s="29"/>
      <c r="CAV21" s="29"/>
      <c r="CAW21" s="28"/>
      <c r="CAX21" s="29"/>
      <c r="CAY21" s="29"/>
      <c r="CAZ21" s="28"/>
      <c r="CBA21" s="29"/>
      <c r="CBB21" s="30"/>
      <c r="CBC21" s="28"/>
      <c r="CBD21" s="29"/>
      <c r="CBE21" s="30"/>
      <c r="CBF21" s="29"/>
      <c r="CBG21" s="28"/>
      <c r="CBH21" s="29"/>
      <c r="CBI21" s="29"/>
      <c r="CBJ21" s="28"/>
      <c r="CBK21" s="29"/>
      <c r="CBL21" s="30"/>
      <c r="CBM21" s="28"/>
      <c r="CBN21" s="29"/>
      <c r="CBO21" s="30"/>
      <c r="CBP21" s="29"/>
      <c r="CBQ21" s="28"/>
      <c r="CBR21" s="29"/>
      <c r="CBS21" s="29"/>
      <c r="CBT21" s="28"/>
      <c r="CBU21" s="29"/>
      <c r="CBV21" s="30"/>
      <c r="CBW21" s="28"/>
      <c r="CBX21" s="29"/>
      <c r="CBY21" s="30"/>
      <c r="CBZ21" s="29"/>
      <c r="CCA21" s="28"/>
      <c r="CCB21" s="29"/>
      <c r="CCC21" s="29"/>
      <c r="CCD21" s="28"/>
      <c r="CCE21" s="29"/>
      <c r="CCF21" s="30"/>
      <c r="CCG21" s="28"/>
      <c r="CCH21" s="30"/>
      <c r="CCI21" s="29"/>
      <c r="CCJ21" s="28"/>
      <c r="CCK21" s="29"/>
      <c r="CCL21" s="28"/>
      <c r="CCM21" s="28"/>
      <c r="CCN21" s="28"/>
      <c r="CCO21" s="29"/>
      <c r="CCP21" s="385"/>
      <c r="CCQ21" s="29"/>
      <c r="CCR21" s="385"/>
      <c r="CCS21" s="29"/>
      <c r="CCT21" s="385"/>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30"/>
      <c r="CEA21" s="28"/>
      <c r="CEB21" s="29"/>
      <c r="CEC21" s="30"/>
      <c r="CED21" s="29"/>
      <c r="CEE21" s="29"/>
      <c r="CEF21" s="29"/>
      <c r="CEG21" s="28"/>
      <c r="CEH21" s="29"/>
      <c r="CEI21" s="29"/>
      <c r="CEJ21" s="28"/>
      <c r="CEK21" s="29"/>
      <c r="CEL21" s="30"/>
      <c r="CEM21" s="28"/>
      <c r="CEN21" s="29"/>
      <c r="CEO21" s="30"/>
      <c r="CEP21" s="29"/>
      <c r="CEQ21" s="28"/>
      <c r="CER21" s="29"/>
      <c r="CES21" s="29"/>
      <c r="CET21" s="28"/>
      <c r="CEU21" s="29"/>
      <c r="CEV21" s="30"/>
      <c r="CEW21" s="28"/>
      <c r="CEX21" s="29"/>
      <c r="CEY21" s="30"/>
      <c r="CEZ21" s="29"/>
      <c r="CFA21" s="28"/>
      <c r="CFB21" s="29"/>
      <c r="CFC21" s="29"/>
      <c r="CFD21" s="28"/>
      <c r="CFE21" s="29"/>
      <c r="CFF21" s="30"/>
      <c r="CFG21" s="28"/>
      <c r="CFH21" s="29"/>
      <c r="CFI21" s="30"/>
      <c r="CFJ21" s="29"/>
      <c r="CFK21" s="28"/>
      <c r="CFL21" s="29"/>
      <c r="CFM21" s="29"/>
      <c r="CFN21" s="28"/>
      <c r="CFO21" s="29"/>
      <c r="CFP21" s="30"/>
      <c r="CFQ21" s="28"/>
      <c r="CFR21" s="30"/>
      <c r="CFS21" s="29"/>
      <c r="CFT21" s="28"/>
      <c r="CFU21" s="29"/>
      <c r="CFV21" s="28"/>
      <c r="CFW21" s="28"/>
      <c r="CFX21" s="28"/>
      <c r="CFY21" s="29"/>
      <c r="CFZ21" s="385"/>
      <c r="CGA21" s="29"/>
      <c r="CGB21" s="385"/>
      <c r="CGC21" s="29"/>
      <c r="CGD21" s="385"/>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30"/>
      <c r="CHK21" s="28"/>
      <c r="CHL21" s="29"/>
      <c r="CHM21" s="30"/>
      <c r="CHN21" s="29"/>
      <c r="CHO21" s="29"/>
      <c r="CHP21" s="29"/>
      <c r="CHQ21" s="28"/>
      <c r="CHR21" s="29"/>
      <c r="CHS21" s="29"/>
      <c r="CHT21" s="28"/>
      <c r="CHU21" s="29"/>
      <c r="CHV21" s="30"/>
      <c r="CHW21" s="28"/>
      <c r="CHX21" s="29"/>
      <c r="CHY21" s="30"/>
      <c r="CHZ21" s="29"/>
      <c r="CIA21" s="28"/>
      <c r="CIB21" s="29"/>
      <c r="CIC21" s="29"/>
      <c r="CID21" s="28"/>
      <c r="CIE21" s="29"/>
      <c r="CIF21" s="30"/>
      <c r="CIG21" s="28"/>
      <c r="CIH21" s="29"/>
      <c r="CII21" s="30"/>
      <c r="CIJ21" s="29"/>
      <c r="CIK21" s="28"/>
      <c r="CIL21" s="29"/>
      <c r="CIM21" s="29"/>
      <c r="CIN21" s="28"/>
      <c r="CIO21" s="29"/>
      <c r="CIP21" s="30"/>
      <c r="CIQ21" s="28"/>
      <c r="CIR21" s="29"/>
      <c r="CIS21" s="30"/>
      <c r="CIT21" s="29"/>
      <c r="CIU21" s="28"/>
      <c r="CIV21" s="29"/>
      <c r="CIW21" s="29"/>
      <c r="CIX21" s="28"/>
      <c r="CIY21" s="29"/>
      <c r="CIZ21" s="30"/>
      <c r="CJA21" s="28"/>
      <c r="CJB21" s="30"/>
      <c r="CJC21" s="29"/>
      <c r="CJD21" s="28"/>
      <c r="CJE21" s="29"/>
      <c r="CJF21" s="28"/>
      <c r="CJG21" s="28"/>
      <c r="CJH21" s="28"/>
      <c r="CJI21" s="29"/>
      <c r="CJJ21" s="385"/>
      <c r="CJK21" s="29"/>
      <c r="CJL21" s="385"/>
      <c r="CJM21" s="29"/>
      <c r="CJN21" s="385"/>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30"/>
      <c r="CKU21" s="28"/>
      <c r="CKV21" s="29"/>
      <c r="CKW21" s="30"/>
      <c r="CKX21" s="29"/>
      <c r="CKY21" s="29"/>
      <c r="CKZ21" s="29"/>
      <c r="CLA21" s="28"/>
      <c r="CLB21" s="29"/>
      <c r="CLC21" s="29"/>
      <c r="CLD21" s="28"/>
      <c r="CLE21" s="29"/>
      <c r="CLF21" s="30"/>
      <c r="CLG21" s="28"/>
      <c r="CLH21" s="29"/>
      <c r="CLI21" s="30"/>
      <c r="CLJ21" s="29"/>
      <c r="CLK21" s="28"/>
      <c r="CLL21" s="29"/>
      <c r="CLM21" s="29"/>
      <c r="CLN21" s="28"/>
      <c r="CLO21" s="29"/>
      <c r="CLP21" s="30"/>
      <c r="CLQ21" s="28"/>
      <c r="CLR21" s="29"/>
      <c r="CLS21" s="30"/>
      <c r="CLT21" s="29"/>
      <c r="CLU21" s="28"/>
      <c r="CLV21" s="29"/>
      <c r="CLW21" s="29"/>
      <c r="CLX21" s="28"/>
      <c r="CLY21" s="29"/>
      <c r="CLZ21" s="30"/>
      <c r="CMA21" s="28"/>
      <c r="CMB21" s="29"/>
      <c r="CMC21" s="30"/>
      <c r="CMD21" s="29"/>
      <c r="CME21" s="28"/>
      <c r="CMF21" s="29"/>
      <c r="CMG21" s="29"/>
      <c r="CMH21" s="28"/>
      <c r="CMI21" s="29"/>
      <c r="CMJ21" s="30"/>
      <c r="CMK21" s="28"/>
      <c r="CML21" s="30"/>
      <c r="CMM21" s="29"/>
      <c r="CMN21" s="28"/>
      <c r="CMO21" s="29"/>
      <c r="CMP21" s="28"/>
      <c r="CMQ21" s="28"/>
      <c r="CMR21" s="28"/>
      <c r="CMS21" s="29"/>
      <c r="CMT21" s="385"/>
      <c r="CMU21" s="29"/>
      <c r="CMV21" s="385"/>
      <c r="CMW21" s="29"/>
      <c r="CMX21" s="385"/>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30"/>
      <c r="COE21" s="28"/>
      <c r="COF21" s="29"/>
      <c r="COG21" s="30"/>
      <c r="COH21" s="29"/>
      <c r="COI21" s="29"/>
      <c r="COJ21" s="29"/>
      <c r="COK21" s="28"/>
      <c r="COL21" s="29"/>
      <c r="COM21" s="29"/>
      <c r="CON21" s="28"/>
      <c r="COO21" s="29"/>
      <c r="COP21" s="30"/>
      <c r="COQ21" s="28"/>
      <c r="COR21" s="29"/>
      <c r="COS21" s="30"/>
      <c r="COT21" s="29"/>
      <c r="COU21" s="28"/>
      <c r="COV21" s="29"/>
      <c r="COW21" s="29"/>
      <c r="COX21" s="28"/>
      <c r="COY21" s="29"/>
      <c r="COZ21" s="30"/>
      <c r="CPA21" s="28"/>
      <c r="CPB21" s="29"/>
      <c r="CPC21" s="30"/>
      <c r="CPD21" s="29"/>
      <c r="CPE21" s="28"/>
      <c r="CPF21" s="29"/>
      <c r="CPG21" s="29"/>
      <c r="CPH21" s="28"/>
      <c r="CPI21" s="29"/>
      <c r="CPJ21" s="30"/>
      <c r="CPK21" s="28"/>
      <c r="CPL21" s="29"/>
      <c r="CPM21" s="30"/>
      <c r="CPN21" s="29"/>
      <c r="CPO21" s="28"/>
      <c r="CPP21" s="29"/>
      <c r="CPQ21" s="29"/>
      <c r="CPR21" s="28"/>
      <c r="CPS21" s="29"/>
      <c r="CPT21" s="30"/>
      <c r="CPU21" s="28"/>
      <c r="CPV21" s="30"/>
      <c r="CPW21" s="29"/>
      <c r="CPX21" s="28"/>
      <c r="CPY21" s="29"/>
      <c r="CPZ21" s="28"/>
      <c r="CQA21" s="28"/>
      <c r="CQB21" s="28"/>
      <c r="CQC21" s="29"/>
      <c r="CQD21" s="385"/>
      <c r="CQE21" s="29"/>
      <c r="CQF21" s="385"/>
      <c r="CQG21" s="29"/>
      <c r="CQH21" s="385"/>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30"/>
      <c r="CRO21" s="28"/>
      <c r="CRP21" s="29"/>
      <c r="CRQ21" s="30"/>
      <c r="CRR21" s="29"/>
      <c r="CRS21" s="29"/>
      <c r="CRT21" s="29"/>
      <c r="CRU21" s="28"/>
      <c r="CRV21" s="29"/>
      <c r="CRW21" s="29"/>
      <c r="CRX21" s="28"/>
      <c r="CRY21" s="29"/>
      <c r="CRZ21" s="30"/>
      <c r="CSA21" s="28"/>
      <c r="CSB21" s="29"/>
      <c r="CSC21" s="30"/>
      <c r="CSD21" s="29"/>
      <c r="CSE21" s="28"/>
      <c r="CSF21" s="29"/>
      <c r="CSG21" s="29"/>
      <c r="CSH21" s="28"/>
      <c r="CSI21" s="29"/>
      <c r="CSJ21" s="30"/>
      <c r="CSK21" s="28"/>
      <c r="CSL21" s="29"/>
      <c r="CSM21" s="30"/>
      <c r="CSN21" s="29"/>
      <c r="CSO21" s="28"/>
      <c r="CSP21" s="29"/>
      <c r="CSQ21" s="29"/>
      <c r="CSR21" s="28"/>
      <c r="CSS21" s="29"/>
      <c r="CST21" s="30"/>
      <c r="CSU21" s="28"/>
      <c r="CSV21" s="29"/>
      <c r="CSW21" s="30"/>
      <c r="CSX21" s="29"/>
      <c r="CSY21" s="28"/>
      <c r="CSZ21" s="29"/>
      <c r="CTA21" s="29"/>
      <c r="CTB21" s="28"/>
      <c r="CTC21" s="29"/>
      <c r="CTD21" s="30"/>
      <c r="CTE21" s="28"/>
      <c r="CTF21" s="30"/>
      <c r="CTG21" s="29"/>
      <c r="CTH21" s="28"/>
      <c r="CTI21" s="29"/>
      <c r="CTJ21" s="28"/>
      <c r="CTK21" s="28"/>
      <c r="CTL21" s="28"/>
      <c r="CTM21" s="29"/>
      <c r="CTN21" s="385"/>
      <c r="CTO21" s="29"/>
      <c r="CTP21" s="385"/>
      <c r="CTQ21" s="29"/>
      <c r="CTR21" s="385"/>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30"/>
      <c r="CUY21" s="28"/>
      <c r="CUZ21" s="29"/>
      <c r="CVA21" s="30"/>
      <c r="CVB21" s="29"/>
      <c r="CVC21" s="29"/>
      <c r="CVD21" s="29"/>
      <c r="CVE21" s="28"/>
      <c r="CVF21" s="29"/>
      <c r="CVG21" s="29"/>
      <c r="CVH21" s="28"/>
      <c r="CVI21" s="29"/>
      <c r="CVJ21" s="30"/>
      <c r="CVK21" s="28"/>
      <c r="CVL21" s="29"/>
      <c r="CVM21" s="30"/>
      <c r="CVN21" s="29"/>
      <c r="CVO21" s="28"/>
      <c r="CVP21" s="29"/>
      <c r="CVQ21" s="29"/>
      <c r="CVR21" s="28"/>
      <c r="CVS21" s="29"/>
      <c r="CVT21" s="30"/>
      <c r="CVU21" s="28"/>
      <c r="CVV21" s="29"/>
      <c r="CVW21" s="30"/>
      <c r="CVX21" s="29"/>
      <c r="CVY21" s="28"/>
      <c r="CVZ21" s="29"/>
      <c r="CWA21" s="29"/>
      <c r="CWB21" s="28"/>
      <c r="CWC21" s="29"/>
      <c r="CWD21" s="30"/>
      <c r="CWE21" s="28"/>
      <c r="CWF21" s="29"/>
      <c r="CWG21" s="30"/>
      <c r="CWH21" s="29"/>
      <c r="CWI21" s="28"/>
      <c r="CWJ21" s="29"/>
      <c r="CWK21" s="29"/>
      <c r="CWL21" s="28"/>
      <c r="CWM21" s="29"/>
      <c r="CWN21" s="30"/>
      <c r="CWO21" s="28"/>
      <c r="CWP21" s="30"/>
      <c r="CWQ21" s="29"/>
      <c r="CWR21" s="28"/>
      <c r="CWS21" s="29"/>
      <c r="CWT21" s="28"/>
      <c r="CWU21" s="28"/>
      <c r="CWV21" s="28"/>
      <c r="CWW21" s="29"/>
      <c r="CWX21" s="385"/>
      <c r="CWY21" s="29"/>
      <c r="CWZ21" s="385"/>
      <c r="CXA21" s="29"/>
      <c r="CXB21" s="385"/>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30"/>
      <c r="CYI21" s="28"/>
      <c r="CYJ21" s="29"/>
      <c r="CYK21" s="30"/>
      <c r="CYL21" s="29"/>
      <c r="CYM21" s="29"/>
      <c r="CYN21" s="29"/>
      <c r="CYO21" s="28"/>
      <c r="CYP21" s="29"/>
      <c r="CYQ21" s="29"/>
      <c r="CYR21" s="28"/>
      <c r="CYS21" s="29"/>
      <c r="CYT21" s="30"/>
      <c r="CYU21" s="28"/>
      <c r="CYV21" s="29"/>
      <c r="CYW21" s="30"/>
      <c r="CYX21" s="29"/>
      <c r="CYY21" s="28"/>
      <c r="CYZ21" s="29"/>
      <c r="CZA21" s="29"/>
      <c r="CZB21" s="28"/>
      <c r="CZC21" s="29"/>
      <c r="CZD21" s="30"/>
      <c r="CZE21" s="28"/>
      <c r="CZF21" s="29"/>
      <c r="CZG21" s="30"/>
      <c r="CZH21" s="29"/>
      <c r="CZI21" s="28"/>
      <c r="CZJ21" s="29"/>
      <c r="CZK21" s="29"/>
      <c r="CZL21" s="28"/>
      <c r="CZM21" s="29"/>
      <c r="CZN21" s="30"/>
      <c r="CZO21" s="28"/>
      <c r="CZP21" s="29"/>
      <c r="CZQ21" s="30"/>
      <c r="CZR21" s="29"/>
      <c r="CZS21" s="28"/>
      <c r="CZT21" s="29"/>
      <c r="CZU21" s="29"/>
      <c r="CZV21" s="28"/>
      <c r="CZW21" s="29"/>
      <c r="CZX21" s="30"/>
      <c r="CZY21" s="28"/>
      <c r="CZZ21" s="30"/>
      <c r="DAA21" s="29"/>
      <c r="DAB21" s="28"/>
      <c r="DAC21" s="29"/>
      <c r="DAD21" s="28"/>
      <c r="DAE21" s="28"/>
      <c r="DAF21" s="28"/>
      <c r="DAG21" s="29"/>
      <c r="DAH21" s="385"/>
      <c r="DAI21" s="29"/>
      <c r="DAJ21" s="385"/>
      <c r="DAK21" s="29"/>
      <c r="DAL21" s="385"/>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30"/>
      <c r="DBS21" s="28"/>
      <c r="DBT21" s="29"/>
      <c r="DBU21" s="30"/>
      <c r="DBV21" s="29"/>
      <c r="DBW21" s="29"/>
      <c r="DBX21" s="29"/>
      <c r="DBY21" s="28"/>
      <c r="DBZ21" s="29"/>
      <c r="DCA21" s="29"/>
      <c r="DCB21" s="28"/>
      <c r="DCC21" s="29"/>
      <c r="DCD21" s="30"/>
      <c r="DCE21" s="28"/>
      <c r="DCF21" s="29"/>
      <c r="DCG21" s="30"/>
      <c r="DCH21" s="29"/>
      <c r="DCI21" s="28"/>
      <c r="DCJ21" s="29"/>
      <c r="DCK21" s="29"/>
      <c r="DCL21" s="28"/>
      <c r="DCM21" s="29"/>
      <c r="DCN21" s="30"/>
      <c r="DCO21" s="28"/>
      <c r="DCP21" s="29"/>
      <c r="DCQ21" s="30"/>
      <c r="DCR21" s="29"/>
      <c r="DCS21" s="28"/>
      <c r="DCT21" s="29"/>
      <c r="DCU21" s="29"/>
      <c r="DCV21" s="28"/>
      <c r="DCW21" s="29"/>
      <c r="DCX21" s="30"/>
      <c r="DCY21" s="28"/>
      <c r="DCZ21" s="29"/>
      <c r="DDA21" s="30"/>
      <c r="DDB21" s="29"/>
      <c r="DDC21" s="28"/>
      <c r="DDD21" s="29"/>
      <c r="DDE21" s="29"/>
      <c r="DDF21" s="28"/>
      <c r="DDG21" s="29"/>
      <c r="DDH21" s="30"/>
      <c r="DDI21" s="28"/>
      <c r="DDJ21" s="30"/>
      <c r="DDK21" s="29"/>
      <c r="DDL21" s="28"/>
      <c r="DDM21" s="29"/>
      <c r="DDN21" s="28"/>
      <c r="DDO21" s="28"/>
      <c r="DDP21" s="28"/>
      <c r="DDQ21" s="29"/>
      <c r="DDR21" s="385"/>
      <c r="DDS21" s="29"/>
      <c r="DDT21" s="385"/>
      <c r="DDU21" s="29"/>
      <c r="DDV21" s="385"/>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30"/>
      <c r="DFC21" s="28"/>
      <c r="DFD21" s="29"/>
      <c r="DFE21" s="30"/>
      <c r="DFF21" s="29"/>
      <c r="DFG21" s="29"/>
      <c r="DFH21" s="29"/>
      <c r="DFI21" s="28"/>
      <c r="DFJ21" s="29"/>
      <c r="DFK21" s="29"/>
      <c r="DFL21" s="28"/>
      <c r="DFM21" s="29"/>
      <c r="DFN21" s="30"/>
      <c r="DFO21" s="28"/>
      <c r="DFP21" s="29"/>
      <c r="DFQ21" s="30"/>
      <c r="DFR21" s="29"/>
      <c r="DFS21" s="28"/>
      <c r="DFT21" s="29"/>
      <c r="DFU21" s="29"/>
      <c r="DFV21" s="28"/>
      <c r="DFW21" s="29"/>
      <c r="DFX21" s="30"/>
      <c r="DFY21" s="28"/>
      <c r="DFZ21" s="29"/>
      <c r="DGA21" s="30"/>
      <c r="DGB21" s="29"/>
      <c r="DGC21" s="28"/>
      <c r="DGD21" s="29"/>
      <c r="DGE21" s="29"/>
      <c r="DGF21" s="28"/>
      <c r="DGG21" s="29"/>
      <c r="DGH21" s="30"/>
      <c r="DGI21" s="28"/>
      <c r="DGJ21" s="29"/>
      <c r="DGK21" s="30"/>
      <c r="DGL21" s="29"/>
      <c r="DGM21" s="28"/>
      <c r="DGN21" s="29"/>
      <c r="DGO21" s="29"/>
      <c r="DGP21" s="28"/>
      <c r="DGQ21" s="29"/>
      <c r="DGR21" s="30"/>
      <c r="DGS21" s="28"/>
      <c r="DGT21" s="30"/>
      <c r="DGU21" s="29"/>
      <c r="DGV21" s="28"/>
      <c r="DGW21" s="29"/>
      <c r="DGX21" s="28"/>
      <c r="DGY21" s="28"/>
      <c r="DGZ21" s="28"/>
      <c r="DHA21" s="29"/>
      <c r="DHB21" s="385"/>
      <c r="DHC21" s="29"/>
      <c r="DHD21" s="385"/>
      <c r="DHE21" s="29"/>
      <c r="DHF21" s="385"/>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30"/>
      <c r="DIM21" s="28"/>
      <c r="DIN21" s="29"/>
      <c r="DIO21" s="30"/>
      <c r="DIP21" s="29"/>
      <c r="DIQ21" s="29"/>
      <c r="DIR21" s="29"/>
      <c r="DIS21" s="28"/>
      <c r="DIT21" s="29"/>
      <c r="DIU21" s="29"/>
      <c r="DIV21" s="28"/>
      <c r="DIW21" s="29"/>
      <c r="DIX21" s="30"/>
      <c r="DIY21" s="28"/>
      <c r="DIZ21" s="29"/>
      <c r="DJA21" s="30"/>
      <c r="DJB21" s="29"/>
      <c r="DJC21" s="28"/>
      <c r="DJD21" s="29"/>
      <c r="DJE21" s="29"/>
      <c r="DJF21" s="28"/>
      <c r="DJG21" s="29"/>
      <c r="DJH21" s="30"/>
      <c r="DJI21" s="28"/>
      <c r="DJJ21" s="29"/>
      <c r="DJK21" s="30"/>
      <c r="DJL21" s="29"/>
      <c r="DJM21" s="28"/>
      <c r="DJN21" s="29"/>
      <c r="DJO21" s="29"/>
      <c r="DJP21" s="28"/>
      <c r="DJQ21" s="29"/>
      <c r="DJR21" s="30"/>
      <c r="DJS21" s="28"/>
      <c r="DJT21" s="29"/>
      <c r="DJU21" s="30"/>
      <c r="DJV21" s="29"/>
      <c r="DJW21" s="28"/>
      <c r="DJX21" s="29"/>
      <c r="DJY21" s="29"/>
      <c r="DJZ21" s="28"/>
      <c r="DKA21" s="29"/>
      <c r="DKB21" s="30"/>
      <c r="DKC21" s="28"/>
      <c r="DKD21" s="30"/>
      <c r="DKE21" s="29"/>
      <c r="DKF21" s="28"/>
      <c r="DKG21" s="29"/>
      <c r="DKH21" s="28"/>
      <c r="DKI21" s="28"/>
      <c r="DKJ21" s="28"/>
      <c r="DKK21" s="29"/>
      <c r="DKL21" s="385"/>
      <c r="DKM21" s="29"/>
      <c r="DKN21" s="385"/>
      <c r="DKO21" s="29"/>
      <c r="DKP21" s="385"/>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30"/>
      <c r="DLW21" s="28"/>
      <c r="DLX21" s="29"/>
      <c r="DLY21" s="30"/>
      <c r="DLZ21" s="29"/>
      <c r="DMA21" s="29"/>
      <c r="DMB21" s="29"/>
      <c r="DMC21" s="28"/>
      <c r="DMD21" s="29"/>
      <c r="DME21" s="29"/>
      <c r="DMF21" s="28"/>
      <c r="DMG21" s="29"/>
      <c r="DMH21" s="30"/>
      <c r="DMI21" s="28"/>
      <c r="DMJ21" s="29"/>
      <c r="DMK21" s="30"/>
      <c r="DML21" s="29"/>
      <c r="DMM21" s="28"/>
      <c r="DMN21" s="29"/>
      <c r="DMO21" s="29"/>
      <c r="DMP21" s="28"/>
      <c r="DMQ21" s="29"/>
      <c r="DMR21" s="30"/>
      <c r="DMS21" s="28"/>
      <c r="DMT21" s="29"/>
      <c r="DMU21" s="30"/>
      <c r="DMV21" s="29"/>
      <c r="DMW21" s="28"/>
      <c r="DMX21" s="29"/>
      <c r="DMY21" s="29"/>
      <c r="DMZ21" s="28"/>
      <c r="DNA21" s="29"/>
      <c r="DNB21" s="30"/>
      <c r="DNC21" s="28"/>
      <c r="DND21" s="29"/>
      <c r="DNE21" s="30"/>
      <c r="DNF21" s="29"/>
      <c r="DNG21" s="28"/>
      <c r="DNH21" s="29"/>
      <c r="DNI21" s="29"/>
      <c r="DNJ21" s="28"/>
      <c r="DNK21" s="29"/>
      <c r="DNL21" s="30"/>
      <c r="DNM21" s="28"/>
      <c r="DNN21" s="30"/>
      <c r="DNO21" s="29"/>
      <c r="DNP21" s="28"/>
      <c r="DNQ21" s="29"/>
      <c r="DNR21" s="28"/>
      <c r="DNS21" s="28"/>
      <c r="DNT21" s="28"/>
      <c r="DNU21" s="29"/>
      <c r="DNV21" s="385"/>
      <c r="DNW21" s="29"/>
      <c r="DNX21" s="385"/>
      <c r="DNY21" s="29"/>
      <c r="DNZ21" s="385"/>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30"/>
      <c r="DPG21" s="28"/>
      <c r="DPH21" s="29"/>
      <c r="DPI21" s="30"/>
      <c r="DPJ21" s="29"/>
      <c r="DPK21" s="29"/>
      <c r="DPL21" s="29"/>
      <c r="DPM21" s="28"/>
      <c r="DPN21" s="29"/>
      <c r="DPO21" s="29"/>
      <c r="DPP21" s="28"/>
      <c r="DPQ21" s="29"/>
      <c r="DPR21" s="30"/>
      <c r="DPS21" s="28"/>
      <c r="DPT21" s="29"/>
      <c r="DPU21" s="30"/>
      <c r="DPV21" s="29"/>
      <c r="DPW21" s="28"/>
      <c r="DPX21" s="29"/>
      <c r="DPY21" s="29"/>
      <c r="DPZ21" s="28"/>
      <c r="DQA21" s="29"/>
      <c r="DQB21" s="30"/>
      <c r="DQC21" s="28"/>
      <c r="DQD21" s="29"/>
      <c r="DQE21" s="30"/>
      <c r="DQF21" s="29"/>
      <c r="DQG21" s="28"/>
      <c r="DQH21" s="29"/>
      <c r="DQI21" s="29"/>
      <c r="DQJ21" s="28"/>
      <c r="DQK21" s="29"/>
      <c r="DQL21" s="30"/>
      <c r="DQM21" s="28"/>
      <c r="DQN21" s="29"/>
      <c r="DQO21" s="30"/>
      <c r="DQP21" s="29"/>
      <c r="DQQ21" s="28"/>
      <c r="DQR21" s="29"/>
      <c r="DQS21" s="29"/>
      <c r="DQT21" s="28"/>
      <c r="DQU21" s="29"/>
      <c r="DQV21" s="30"/>
      <c r="DQW21" s="28"/>
      <c r="DQX21" s="30"/>
      <c r="DQY21" s="29"/>
      <c r="DQZ21" s="28"/>
      <c r="DRA21" s="29"/>
      <c r="DRB21" s="28"/>
      <c r="DRC21" s="28"/>
      <c r="DRD21" s="28"/>
      <c r="DRE21" s="29"/>
      <c r="DRF21" s="385"/>
      <c r="DRG21" s="29"/>
      <c r="DRH21" s="385"/>
      <c r="DRI21" s="29"/>
      <c r="DRJ21" s="385"/>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30"/>
      <c r="DSQ21" s="28"/>
      <c r="DSR21" s="29"/>
      <c r="DSS21" s="30"/>
      <c r="DST21" s="29"/>
      <c r="DSU21" s="29"/>
      <c r="DSV21" s="29"/>
      <c r="DSW21" s="28"/>
      <c r="DSX21" s="29"/>
      <c r="DSY21" s="29"/>
      <c r="DSZ21" s="28"/>
      <c r="DTA21" s="29"/>
      <c r="DTB21" s="30"/>
      <c r="DTC21" s="28"/>
      <c r="DTD21" s="29"/>
      <c r="DTE21" s="30"/>
      <c r="DTF21" s="29"/>
      <c r="DTG21" s="28"/>
      <c r="DTH21" s="29"/>
      <c r="DTI21" s="29"/>
      <c r="DTJ21" s="28"/>
      <c r="DTK21" s="29"/>
      <c r="DTL21" s="30"/>
      <c r="DTM21" s="28"/>
      <c r="DTN21" s="29"/>
      <c r="DTO21" s="30"/>
      <c r="DTP21" s="29"/>
      <c r="DTQ21" s="28"/>
      <c r="DTR21" s="29"/>
      <c r="DTS21" s="29"/>
      <c r="DTT21" s="28"/>
      <c r="DTU21" s="29"/>
      <c r="DTV21" s="30"/>
      <c r="DTW21" s="28"/>
      <c r="DTX21" s="29"/>
      <c r="DTY21" s="30"/>
      <c r="DTZ21" s="29"/>
      <c r="DUA21" s="28"/>
      <c r="DUB21" s="29"/>
      <c r="DUC21" s="29"/>
      <c r="DUD21" s="28"/>
      <c r="DUE21" s="29"/>
      <c r="DUF21" s="30"/>
      <c r="DUG21" s="28"/>
      <c r="DUH21" s="30"/>
      <c r="DUI21" s="29"/>
      <c r="DUJ21" s="28"/>
      <c r="DUK21" s="29"/>
      <c r="DUL21" s="28"/>
      <c r="DUM21" s="28"/>
      <c r="DUN21" s="28"/>
      <c r="DUO21" s="29"/>
      <c r="DUP21" s="385"/>
      <c r="DUQ21" s="29"/>
      <c r="DUR21" s="385"/>
      <c r="DUS21" s="29"/>
      <c r="DUT21" s="385"/>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30"/>
      <c r="DWA21" s="28"/>
      <c r="DWB21" s="29"/>
      <c r="DWC21" s="30"/>
      <c r="DWD21" s="29"/>
      <c r="DWE21" s="29"/>
      <c r="DWF21" s="29"/>
      <c r="DWG21" s="28"/>
      <c r="DWH21" s="29"/>
      <c r="DWI21" s="29"/>
      <c r="DWJ21" s="28"/>
      <c r="DWK21" s="29"/>
      <c r="DWL21" s="30"/>
      <c r="DWM21" s="28"/>
      <c r="DWN21" s="29"/>
      <c r="DWO21" s="30"/>
      <c r="DWP21" s="29"/>
      <c r="DWQ21" s="28"/>
      <c r="DWR21" s="29"/>
      <c r="DWS21" s="29"/>
      <c r="DWT21" s="28"/>
      <c r="DWU21" s="29"/>
      <c r="DWV21" s="30"/>
      <c r="DWW21" s="28"/>
      <c r="DWX21" s="29"/>
      <c r="DWY21" s="30"/>
      <c r="DWZ21" s="29"/>
      <c r="DXA21" s="28"/>
      <c r="DXB21" s="29"/>
      <c r="DXC21" s="29"/>
      <c r="DXD21" s="28"/>
      <c r="DXE21" s="29"/>
      <c r="DXF21" s="30"/>
      <c r="DXG21" s="28"/>
      <c r="DXH21" s="29"/>
      <c r="DXI21" s="30"/>
      <c r="DXJ21" s="29"/>
      <c r="DXK21" s="28"/>
      <c r="DXL21" s="29"/>
      <c r="DXM21" s="29"/>
      <c r="DXN21" s="28"/>
      <c r="DXO21" s="29"/>
      <c r="DXP21" s="30"/>
      <c r="DXQ21" s="28"/>
      <c r="DXR21" s="30"/>
      <c r="DXS21" s="29"/>
      <c r="DXT21" s="28"/>
      <c r="DXU21" s="29"/>
      <c r="DXV21" s="28"/>
      <c r="DXW21" s="28"/>
      <c r="DXX21" s="28"/>
      <c r="DXY21" s="29"/>
      <c r="DXZ21" s="385"/>
      <c r="DYA21" s="29"/>
      <c r="DYB21" s="385"/>
      <c r="DYC21" s="29"/>
      <c r="DYD21" s="385"/>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30"/>
      <c r="DZK21" s="28"/>
      <c r="DZL21" s="29"/>
      <c r="DZM21" s="30"/>
      <c r="DZN21" s="29"/>
      <c r="DZO21" s="29"/>
      <c r="DZP21" s="29"/>
      <c r="DZQ21" s="28"/>
      <c r="DZR21" s="29"/>
      <c r="DZS21" s="29"/>
      <c r="DZT21" s="28"/>
      <c r="DZU21" s="29"/>
      <c r="DZV21" s="30"/>
      <c r="DZW21" s="28"/>
      <c r="DZX21" s="29"/>
      <c r="DZY21" s="30"/>
      <c r="DZZ21" s="29"/>
      <c r="EAA21" s="28"/>
      <c r="EAB21" s="29"/>
      <c r="EAC21" s="29"/>
      <c r="EAD21" s="28"/>
      <c r="EAE21" s="29"/>
      <c r="EAF21" s="30"/>
      <c r="EAG21" s="28"/>
      <c r="EAH21" s="29"/>
      <c r="EAI21" s="30"/>
      <c r="EAJ21" s="29"/>
      <c r="EAK21" s="28"/>
      <c r="EAL21" s="29"/>
      <c r="EAM21" s="29"/>
      <c r="EAN21" s="28"/>
      <c r="EAO21" s="29"/>
      <c r="EAP21" s="30"/>
      <c r="EAQ21" s="28"/>
      <c r="EAR21" s="29"/>
      <c r="EAS21" s="30"/>
      <c r="EAT21" s="29"/>
      <c r="EAU21" s="28"/>
      <c r="EAV21" s="29"/>
      <c r="EAW21" s="29"/>
      <c r="EAX21" s="28"/>
      <c r="EAY21" s="29"/>
      <c r="EAZ21" s="30"/>
      <c r="EBA21" s="28"/>
      <c r="EBB21" s="30"/>
      <c r="EBC21" s="29"/>
      <c r="EBD21" s="28"/>
      <c r="EBE21" s="29"/>
      <c r="EBF21" s="28"/>
      <c r="EBG21" s="28"/>
      <c r="EBH21" s="28"/>
      <c r="EBI21" s="29"/>
      <c r="EBJ21" s="385"/>
      <c r="EBK21" s="29"/>
      <c r="EBL21" s="385"/>
      <c r="EBM21" s="29"/>
      <c r="EBN21" s="385"/>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30"/>
      <c r="ECU21" s="28"/>
      <c r="ECV21" s="29"/>
      <c r="ECW21" s="30"/>
      <c r="ECX21" s="29"/>
      <c r="ECY21" s="29"/>
      <c r="ECZ21" s="29"/>
      <c r="EDA21" s="28"/>
      <c r="EDB21" s="29"/>
      <c r="EDC21" s="29"/>
      <c r="EDD21" s="28"/>
      <c r="EDE21" s="29"/>
      <c r="EDF21" s="30"/>
      <c r="EDG21" s="28"/>
      <c r="EDH21" s="29"/>
      <c r="EDI21" s="30"/>
      <c r="EDJ21" s="29"/>
      <c r="EDK21" s="28"/>
      <c r="EDL21" s="29"/>
      <c r="EDM21" s="29"/>
      <c r="EDN21" s="28"/>
      <c r="EDO21" s="29"/>
      <c r="EDP21" s="30"/>
      <c r="EDQ21" s="28"/>
      <c r="EDR21" s="29"/>
      <c r="EDS21" s="30"/>
      <c r="EDT21" s="29"/>
      <c r="EDU21" s="28"/>
      <c r="EDV21" s="29"/>
      <c r="EDW21" s="29"/>
      <c r="EDX21" s="28"/>
      <c r="EDY21" s="29"/>
      <c r="EDZ21" s="30"/>
      <c r="EEA21" s="28"/>
      <c r="EEB21" s="29"/>
      <c r="EEC21" s="30"/>
      <c r="EED21" s="29"/>
      <c r="EEE21" s="28"/>
      <c r="EEF21" s="29"/>
      <c r="EEG21" s="29"/>
      <c r="EEH21" s="28"/>
      <c r="EEI21" s="29"/>
      <c r="EEJ21" s="30"/>
      <c r="EEK21" s="28"/>
      <c r="EEL21" s="30"/>
      <c r="EEM21" s="29"/>
      <c r="EEN21" s="28"/>
      <c r="EEO21" s="29"/>
      <c r="EEP21" s="28"/>
      <c r="EEQ21" s="28"/>
      <c r="EER21" s="28"/>
      <c r="EES21" s="29"/>
      <c r="EET21" s="385"/>
      <c r="EEU21" s="29"/>
      <c r="EEV21" s="385"/>
      <c r="EEW21" s="29"/>
      <c r="EEX21" s="385"/>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30"/>
      <c r="EGE21" s="28"/>
      <c r="EGF21" s="29"/>
      <c r="EGG21" s="30"/>
      <c r="EGH21" s="29"/>
      <c r="EGI21" s="29"/>
      <c r="EGJ21" s="29"/>
      <c r="EGK21" s="28"/>
      <c r="EGL21" s="29"/>
      <c r="EGM21" s="29"/>
      <c r="EGN21" s="28"/>
      <c r="EGO21" s="29"/>
      <c r="EGP21" s="30"/>
      <c r="EGQ21" s="28"/>
      <c r="EGR21" s="29"/>
      <c r="EGS21" s="30"/>
      <c r="EGT21" s="29"/>
      <c r="EGU21" s="28"/>
      <c r="EGV21" s="29"/>
      <c r="EGW21" s="29"/>
      <c r="EGX21" s="28"/>
      <c r="EGY21" s="29"/>
      <c r="EGZ21" s="30"/>
      <c r="EHA21" s="28"/>
      <c r="EHB21" s="29"/>
      <c r="EHC21" s="30"/>
      <c r="EHD21" s="29"/>
      <c r="EHE21" s="28"/>
      <c r="EHF21" s="29"/>
      <c r="EHG21" s="29"/>
      <c r="EHH21" s="28"/>
      <c r="EHI21" s="29"/>
      <c r="EHJ21" s="30"/>
      <c r="EHK21" s="28"/>
      <c r="EHL21" s="29"/>
      <c r="EHM21" s="30"/>
      <c r="EHN21" s="29"/>
      <c r="EHO21" s="28"/>
      <c r="EHP21" s="29"/>
      <c r="EHQ21" s="29"/>
      <c r="EHR21" s="28"/>
      <c r="EHS21" s="29"/>
      <c r="EHT21" s="30"/>
      <c r="EHU21" s="28"/>
      <c r="EHV21" s="30"/>
      <c r="EHW21" s="29"/>
      <c r="EHX21" s="28"/>
      <c r="EHY21" s="29"/>
      <c r="EHZ21" s="28"/>
      <c r="EIA21" s="28"/>
      <c r="EIB21" s="28"/>
      <c r="EIC21" s="29"/>
      <c r="EID21" s="385"/>
      <c r="EIE21" s="29"/>
      <c r="EIF21" s="385"/>
      <c r="EIG21" s="29"/>
      <c r="EIH21" s="385"/>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30"/>
      <c r="EJO21" s="28"/>
      <c r="EJP21" s="29"/>
      <c r="EJQ21" s="30"/>
      <c r="EJR21" s="29"/>
      <c r="EJS21" s="29"/>
      <c r="EJT21" s="29"/>
      <c r="EJU21" s="28"/>
      <c r="EJV21" s="29"/>
      <c r="EJW21" s="29"/>
      <c r="EJX21" s="28"/>
      <c r="EJY21" s="29"/>
      <c r="EJZ21" s="30"/>
      <c r="EKA21" s="28"/>
      <c r="EKB21" s="29"/>
      <c r="EKC21" s="30"/>
      <c r="EKD21" s="29"/>
      <c r="EKE21" s="28"/>
      <c r="EKF21" s="29"/>
      <c r="EKG21" s="29"/>
      <c r="EKH21" s="28"/>
      <c r="EKI21" s="29"/>
      <c r="EKJ21" s="30"/>
      <c r="EKK21" s="28"/>
      <c r="EKL21" s="29"/>
      <c r="EKM21" s="30"/>
      <c r="EKN21" s="29"/>
      <c r="EKO21" s="28"/>
      <c r="EKP21" s="29"/>
      <c r="EKQ21" s="29"/>
      <c r="EKR21" s="28"/>
      <c r="EKS21" s="29"/>
      <c r="EKT21" s="30"/>
      <c r="EKU21" s="28"/>
      <c r="EKV21" s="29"/>
      <c r="EKW21" s="30"/>
      <c r="EKX21" s="29"/>
      <c r="EKY21" s="28"/>
      <c r="EKZ21" s="29"/>
      <c r="ELA21" s="29"/>
      <c r="ELB21" s="28"/>
      <c r="ELC21" s="29"/>
      <c r="ELD21" s="30"/>
      <c r="ELE21" s="28"/>
      <c r="ELF21" s="30"/>
      <c r="ELG21" s="29"/>
      <c r="ELH21" s="28"/>
      <c r="ELI21" s="29"/>
      <c r="ELJ21" s="28"/>
      <c r="ELK21" s="28"/>
      <c r="ELL21" s="28"/>
      <c r="ELM21" s="29"/>
      <c r="ELN21" s="385"/>
      <c r="ELO21" s="29"/>
      <c r="ELP21" s="385"/>
      <c r="ELQ21" s="29"/>
      <c r="ELR21" s="385"/>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30"/>
      <c r="EMY21" s="28"/>
      <c r="EMZ21" s="29"/>
      <c r="ENA21" s="30"/>
      <c r="ENB21" s="29"/>
      <c r="ENC21" s="29"/>
      <c r="END21" s="29"/>
      <c r="ENE21" s="28"/>
      <c r="ENF21" s="29"/>
      <c r="ENG21" s="29"/>
      <c r="ENH21" s="28"/>
      <c r="ENI21" s="29"/>
      <c r="ENJ21" s="30"/>
      <c r="ENK21" s="28"/>
      <c r="ENL21" s="29"/>
      <c r="ENM21" s="30"/>
      <c r="ENN21" s="29"/>
      <c r="ENO21" s="28"/>
      <c r="ENP21" s="29"/>
      <c r="ENQ21" s="29"/>
      <c r="ENR21" s="28"/>
      <c r="ENS21" s="29"/>
      <c r="ENT21" s="30"/>
      <c r="ENU21" s="28"/>
      <c r="ENV21" s="29"/>
      <c r="ENW21" s="30"/>
      <c r="ENX21" s="29"/>
      <c r="ENY21" s="28"/>
      <c r="ENZ21" s="29"/>
      <c r="EOA21" s="29"/>
      <c r="EOB21" s="28"/>
      <c r="EOC21" s="29"/>
      <c r="EOD21" s="30"/>
      <c r="EOE21" s="28"/>
      <c r="EOF21" s="29"/>
      <c r="EOG21" s="30"/>
      <c r="EOH21" s="29"/>
      <c r="EOI21" s="28"/>
      <c r="EOJ21" s="29"/>
      <c r="EOK21" s="29"/>
      <c r="EOL21" s="28"/>
      <c r="EOM21" s="29"/>
      <c r="EON21" s="30"/>
      <c r="EOO21" s="28" t="str">
        <f t="shared" si="149"/>
        <v xml:space="preserve"> </v>
      </c>
      <c r="EOP21" s="30"/>
      <c r="EOQ21" s="29"/>
      <c r="EOR21" s="28"/>
      <c r="EOS21" s="29"/>
      <c r="EOT21" s="28"/>
      <c r="EOU21" s="28"/>
      <c r="EOV21" s="28"/>
      <c r="EOW21" s="29"/>
      <c r="EOX21" s="385"/>
      <c r="EOY21" s="29"/>
      <c r="EOZ21" s="385"/>
      <c r="EPA21" s="29"/>
      <c r="EPB21" s="385"/>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30"/>
      <c r="EQI21" s="28"/>
      <c r="EQJ21" s="29"/>
      <c r="EQK21" s="30"/>
      <c r="EQL21" s="29"/>
      <c r="EQM21" s="29"/>
      <c r="EQN21" s="29"/>
      <c r="EQO21" s="28"/>
      <c r="EQP21" s="29"/>
      <c r="EQQ21" s="29"/>
      <c r="EQR21" s="28"/>
      <c r="EQS21" s="29"/>
      <c r="EQT21" s="30"/>
      <c r="EQU21" s="28"/>
      <c r="EQV21" s="29"/>
      <c r="EQW21" s="30"/>
      <c r="EQX21" s="29"/>
      <c r="EQY21" s="28"/>
      <c r="EQZ21" s="29"/>
      <c r="ERA21" s="29"/>
      <c r="ERB21" s="28"/>
      <c r="ERC21" s="29"/>
      <c r="ERD21" s="30"/>
      <c r="ERE21" s="28"/>
      <c r="ERF21" s="29"/>
      <c r="ERG21" s="30"/>
      <c r="ERH21" s="29"/>
      <c r="ERI21" s="28"/>
      <c r="ERJ21" s="29"/>
      <c r="ERK21" s="29"/>
      <c r="ERL21" s="28"/>
      <c r="ERM21" s="29"/>
      <c r="ERN21" s="30"/>
      <c r="ERO21" s="28"/>
      <c r="ERP21" s="29"/>
      <c r="ERQ21" s="30"/>
      <c r="ERR21" s="29"/>
      <c r="ERS21" s="28"/>
      <c r="ERT21" s="29"/>
      <c r="ERU21" s="29"/>
      <c r="ERV21" s="28"/>
      <c r="ERW21" s="29"/>
      <c r="ERX21" s="30"/>
      <c r="ERY21" s="28" t="str">
        <f t="shared" si="150"/>
        <v xml:space="preserve"> </v>
      </c>
      <c r="ERZ21" s="30"/>
      <c r="ESA21" s="29"/>
      <c r="ESB21" s="28"/>
      <c r="ESC21" s="29"/>
      <c r="ESD21" s="28"/>
      <c r="ESE21" s="28"/>
      <c r="ESF21" s="28"/>
      <c r="ESG21" s="29"/>
      <c r="ESH21" s="385"/>
      <c r="ESI21" s="29"/>
      <c r="ESJ21" s="385"/>
      <c r="ESK21" s="29"/>
      <c r="ESL21" s="385"/>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30"/>
      <c r="ETS21" s="28"/>
      <c r="ETT21" s="29"/>
      <c r="ETU21" s="30"/>
      <c r="ETV21" s="29"/>
      <c r="ETW21" s="29"/>
      <c r="ETX21" s="29"/>
      <c r="ETY21" s="28"/>
      <c r="ETZ21" s="29"/>
      <c r="EUA21" s="29"/>
      <c r="EUB21" s="28"/>
      <c r="EUC21" s="29"/>
      <c r="EUD21" s="30"/>
      <c r="EUE21" s="28"/>
      <c r="EUF21" s="29"/>
      <c r="EUG21" s="30"/>
      <c r="EUH21" s="29"/>
      <c r="EUI21" s="28"/>
      <c r="EUJ21" s="29"/>
      <c r="EUK21" s="29"/>
      <c r="EUL21" s="28"/>
      <c r="EUM21" s="29"/>
      <c r="EUN21" s="30"/>
      <c r="EUO21" s="28"/>
      <c r="EUP21" s="29"/>
      <c r="EUQ21" s="30"/>
      <c r="EUR21" s="29"/>
      <c r="EUS21" s="28"/>
      <c r="EUT21" s="29"/>
      <c r="EUU21" s="29"/>
      <c r="EUV21" s="28"/>
      <c r="EUW21" s="29"/>
      <c r="EUX21" s="30"/>
      <c r="EUY21" s="28"/>
      <c r="EUZ21" s="29"/>
      <c r="EVA21" s="30"/>
      <c r="EVB21" s="29"/>
      <c r="EVC21" s="28"/>
      <c r="EVD21" s="29"/>
      <c r="EVE21" s="29"/>
      <c r="EVF21" s="28"/>
      <c r="EVG21" s="29"/>
      <c r="EVH21" s="30"/>
      <c r="EVI21" s="28" t="str">
        <f t="shared" si="151"/>
        <v xml:space="preserve"> </v>
      </c>
    </row>
    <row r="22" spans="1:3961" x14ac:dyDescent="0.3">
      <c r="A22" s="424" t="s">
        <v>138</v>
      </c>
      <c r="B22" s="55" t="str">
        <f>'REG y VAL POE - AESR - ESR'!B1622</f>
        <v xml:space="preserve">Reza Castaneda Roberto Alejandro </v>
      </c>
      <c r="C22" s="57">
        <f>'REG y VAL POE - AESR - ESR'!C1622</f>
        <v>0</v>
      </c>
      <c r="D22" s="56">
        <f>'REG y VAL POE - AESR - ESR'!D1622</f>
        <v>20090328</v>
      </c>
      <c r="E22" s="57">
        <f>'REG y VAL POE - AESR - ESR'!E1622</f>
        <v>0</v>
      </c>
      <c r="F22" s="56">
        <f>'REG y VAL POE - AESR - ESR'!F1622</f>
        <v>0</v>
      </c>
      <c r="G22" s="59">
        <f>'REG y VAL POE - AESR - ESR'!G1622</f>
        <v>0</v>
      </c>
      <c r="H22" s="59">
        <f>'REG y VAL POE - AESR - ESR'!H1622</f>
        <v>0</v>
      </c>
      <c r="I22" s="57">
        <f>'REG y VAL POE - AESR - ESR'!I1622</f>
        <v>0</v>
      </c>
      <c r="J22" s="57">
        <f>'REG y VAL POE - AESR - ESR'!J1622</f>
        <v>0</v>
      </c>
      <c r="K22" s="57">
        <f>'REG y VAL POE - AESR - ESR'!K1622</f>
        <v>0</v>
      </c>
      <c r="L22" s="57">
        <f>'REG y VAL POE - AESR - ESR'!L1622</f>
        <v>0</v>
      </c>
      <c r="M22" s="57">
        <f>'REG y VAL POE - AESR - ESR'!M1622</f>
        <v>0</v>
      </c>
      <c r="N22" s="57">
        <f>'REG y VAL POE - AESR - ESR'!N1622</f>
        <v>0</v>
      </c>
      <c r="O22" s="57">
        <f>'REG y VAL POE - AESR - ESR'!O1622</f>
        <v>0</v>
      </c>
      <c r="P22" s="57">
        <f>'REG y VAL POE - AESR - ESR'!P1622</f>
        <v>0</v>
      </c>
      <c r="Q22" s="57">
        <f>'REG y VAL POE - AESR - ESR'!Q1622</f>
        <v>0</v>
      </c>
      <c r="R22" s="57">
        <f>'REG y VAL POE - AESR - ESR'!R1622</f>
        <v>0</v>
      </c>
      <c r="S22" s="57">
        <f>'REG y VAL POE - AESR - ESR'!S1622</f>
        <v>0</v>
      </c>
      <c r="T22" s="57">
        <f>'REG y VAL POE - AESR - ESR'!T1622</f>
        <v>0</v>
      </c>
      <c r="U22" s="57">
        <f>'REG y VAL POE - AESR - ESR'!U1622</f>
        <v>0</v>
      </c>
      <c r="V22" s="57">
        <f>'REG y VAL POE - AESR - ESR'!V1622</f>
        <v>0</v>
      </c>
      <c r="W22" s="57">
        <f>'REG y VAL POE - AESR - ESR'!W1622</f>
        <v>0</v>
      </c>
      <c r="X22" s="57">
        <f>'REG y VAL POE - AESR - ESR'!X1622</f>
        <v>0</v>
      </c>
      <c r="Y22" s="57">
        <f>'REG y VAL POE - AESR - ESR'!Y1622</f>
        <v>0</v>
      </c>
      <c r="Z22" s="57">
        <f>'REG y VAL POE - AESR - ESR'!Z1622</f>
        <v>0</v>
      </c>
      <c r="AA22" s="57">
        <f>'REG y VAL POE - AESR - ESR'!AA1622</f>
        <v>0</v>
      </c>
      <c r="AB22" s="57">
        <f>'REG y VAL POE - AESR - ESR'!AB1622</f>
        <v>0</v>
      </c>
      <c r="AC22" s="57">
        <f>'REG y VAL POE - AESR - ESR'!AC1622</f>
        <v>0</v>
      </c>
      <c r="AD22" s="57">
        <f>'REG y VAL POE - AESR - ESR'!AD1622</f>
        <v>0</v>
      </c>
      <c r="AE22" s="57">
        <f>'REG y VAL POE - AESR - ESR'!AE1622</f>
        <v>0</v>
      </c>
      <c r="AF22" s="57">
        <f>'REG y VAL POE - AESR - ESR'!AF1622</f>
        <v>0</v>
      </c>
      <c r="AG22" s="57">
        <f>'REG y VAL POE - AESR - ESR'!AG1622</f>
        <v>0</v>
      </c>
      <c r="AH22" s="57">
        <f>'REG y VAL POE - AESR - ESR'!AH1622</f>
        <v>0</v>
      </c>
      <c r="AI22" s="57">
        <f>'REG y VAL POE - AESR - ESR'!AI1622</f>
        <v>0</v>
      </c>
      <c r="AJ22" s="57">
        <f>'REG y VAL POE - AESR - ESR'!AJ1622</f>
        <v>0</v>
      </c>
      <c r="AK22" s="57">
        <f>'REG y VAL POE - AESR - ESR'!AK1622</f>
        <v>0</v>
      </c>
      <c r="AL22" s="57">
        <f>'REG y VAL POE - AESR - ESR'!AL1622</f>
        <v>0</v>
      </c>
      <c r="AM22" s="57">
        <f>'REG y VAL POE - AESR - ESR'!AM1622</f>
        <v>0</v>
      </c>
      <c r="AN22" s="57">
        <f>'REG y VAL POE - AESR - ESR'!AN1622</f>
        <v>0</v>
      </c>
      <c r="AO22" s="57">
        <f>'REG y VAL POE - AESR - ESR'!AO1622</f>
        <v>0</v>
      </c>
      <c r="AP22" s="57">
        <f>'REG y VAL POE - AESR - ESR'!AP1622</f>
        <v>0</v>
      </c>
      <c r="AQ22" s="57">
        <f>'REG y VAL POE - AESR - ESR'!AQ1622</f>
        <v>0</v>
      </c>
      <c r="AR22" s="57">
        <f>'REG y VAL POE - AESR - ESR'!AR1622</f>
        <v>0</v>
      </c>
      <c r="AS22" s="57">
        <f>'REG y VAL POE - AESR - ESR'!AS1622</f>
        <v>0</v>
      </c>
      <c r="AT22" s="58">
        <f>'REG y VAL POE - AESR - ESR'!B1623</f>
        <v>0</v>
      </c>
      <c r="AU22" s="56">
        <f>'REG y VAL POE - AESR - ESR'!C1623</f>
        <v>0</v>
      </c>
      <c r="AV22" s="57">
        <f>'REG y VAL POE - AESR - ESR'!D1623</f>
        <v>0</v>
      </c>
      <c r="AW22" s="57">
        <f>'REG y VAL POE - AESR - ESR'!E1623</f>
        <v>0</v>
      </c>
      <c r="AX22" s="57">
        <f>'REG y VAL POE - AESR - ESR'!F1623</f>
        <v>0</v>
      </c>
      <c r="AY22" s="57">
        <f>'REG y VAL POE - AESR - ESR'!G1623</f>
        <v>0</v>
      </c>
      <c r="AZ22" s="57">
        <f>'REG y VAL POE - AESR - ESR'!H1623</f>
        <v>0</v>
      </c>
      <c r="BA22" s="56">
        <f>'REG y VAL POE - AESR - ESR'!I1623</f>
        <v>0</v>
      </c>
      <c r="BB22" s="57">
        <f>'REG y VAL POE - AESR - ESR'!J1623</f>
        <v>0</v>
      </c>
      <c r="BC22" s="57">
        <f>'REG y VAL POE - AESR - ESR'!K1623</f>
        <v>0</v>
      </c>
      <c r="BD22" s="56">
        <f>'REG y VAL POE - AESR - ESR'!L1623</f>
        <v>0</v>
      </c>
      <c r="BE22" s="57">
        <f>'REG y VAL POE - AESR - ESR'!M1623</f>
        <v>0</v>
      </c>
      <c r="BF22" s="58">
        <f>'REG y VAL POE - AESR - ESR'!N1623</f>
        <v>0</v>
      </c>
      <c r="BG22" s="56">
        <f>'REG y VAL POE - AESR - ESR'!O1623</f>
        <v>0</v>
      </c>
      <c r="BH22" s="57">
        <f>'REG y VAL POE - AESR - ESR'!P1623</f>
        <v>0</v>
      </c>
      <c r="BI22" s="57">
        <f>'REG y VAL POE - AESR - ESR'!Q1623</f>
        <v>0</v>
      </c>
      <c r="BJ22" s="57">
        <f>'REG y VAL POE - AESR - ESR'!R1623</f>
        <v>0</v>
      </c>
      <c r="BK22" s="56">
        <f>'REG y VAL POE - AESR - ESR'!S1623</f>
        <v>0</v>
      </c>
      <c r="BL22" s="57">
        <f>'REG y VAL POE - AESR - ESR'!T1623</f>
        <v>0</v>
      </c>
      <c r="BM22" s="57">
        <f>'REG y VAL POE - AESR - ESR'!U1623</f>
        <v>0</v>
      </c>
      <c r="BN22" s="56">
        <f>'REG y VAL POE - AESR - ESR'!V1623</f>
        <v>0</v>
      </c>
      <c r="BO22" s="57">
        <f>'REG y VAL POE - AESR - ESR'!W1623</f>
        <v>0</v>
      </c>
      <c r="BP22" s="58">
        <f>'REG y VAL POE - AESR - ESR'!X1623</f>
        <v>0</v>
      </c>
      <c r="BQ22" s="56">
        <f>'REG y VAL POE - AESR - ESR'!Y1623</f>
        <v>0</v>
      </c>
      <c r="BR22" s="57">
        <f>'REG y VAL POE - AESR - ESR'!Z1623</f>
        <v>0</v>
      </c>
      <c r="BS22" s="57">
        <f>'REG y VAL POE - AESR - ESR'!AA1623</f>
        <v>0</v>
      </c>
      <c r="BT22" s="57">
        <f>'REG y VAL POE - AESR - ESR'!AB1623</f>
        <v>0</v>
      </c>
      <c r="BU22" s="56">
        <f>'REG y VAL POE - AESR - ESR'!AC1623</f>
        <v>0</v>
      </c>
      <c r="BV22" s="57">
        <f>'REG y VAL POE - AESR - ESR'!AD1623</f>
        <v>0</v>
      </c>
      <c r="BW22" s="57">
        <f>'REG y VAL POE - AESR - ESR'!AE1623</f>
        <v>0</v>
      </c>
      <c r="BX22" s="56">
        <f>'REG y VAL POE - AESR - ESR'!AF1623</f>
        <v>0</v>
      </c>
      <c r="BY22" s="57">
        <f>'REG y VAL POE - AESR - ESR'!AG1623</f>
        <v>0</v>
      </c>
      <c r="BZ22" s="58">
        <f>'REG y VAL POE - AESR - ESR'!AH1623</f>
        <v>0</v>
      </c>
      <c r="CA22" s="56">
        <f>'REG y VAL POE - AESR - ESR'!AI1623</f>
        <v>0</v>
      </c>
      <c r="CB22" s="57">
        <f>'REG y VAL POE - AESR - ESR'!AJ1623</f>
        <v>0</v>
      </c>
      <c r="CC22" s="57">
        <f>'REG y VAL POE - AESR - ESR'!AK1623</f>
        <v>0</v>
      </c>
      <c r="CD22" s="57">
        <f>'REG y VAL POE - AESR - ESR'!AL1623</f>
        <v>0</v>
      </c>
      <c r="CE22" s="56">
        <f>'REG y VAL POE - AESR - ESR'!AM1623</f>
        <v>0</v>
      </c>
      <c r="CF22" s="57">
        <f>'REG y VAL POE - AESR - ESR'!AN1623</f>
        <v>0</v>
      </c>
      <c r="CG22" s="57">
        <f>'REG y VAL POE - AESR - ESR'!AO1623</f>
        <v>0</v>
      </c>
      <c r="CH22" s="56">
        <f>'REG y VAL POE - AESR - ESR'!AP1623</f>
        <v>0</v>
      </c>
      <c r="CI22" s="57">
        <f>'REG y VAL POE - AESR - ESR'!AQ1623</f>
        <v>0</v>
      </c>
      <c r="CJ22" s="58">
        <f>'REG y VAL POE - AESR - ESR'!AR1623</f>
        <v>0</v>
      </c>
      <c r="CK22" s="56">
        <f>'REG y VAL POE - AESR - ESR'!AS1623</f>
        <v>0</v>
      </c>
      <c r="CL22" s="57">
        <f>'REG y VAL POE - AESR - ESR'!B1624</f>
        <v>0</v>
      </c>
      <c r="CM22" s="57">
        <f>'REG y VAL POE - AESR - ESR'!C1624</f>
        <v>0</v>
      </c>
      <c r="CN22" s="57">
        <f>'REG y VAL POE - AESR - ESR'!D1624</f>
        <v>0</v>
      </c>
      <c r="CO22" s="56">
        <f>'REG y VAL POE - AESR - ESR'!E1624</f>
        <v>0</v>
      </c>
      <c r="CP22" s="57">
        <f>'REG y VAL POE - AESR - ESR'!F1624</f>
        <v>0</v>
      </c>
      <c r="CQ22" s="57">
        <f>'REG y VAL POE - AESR - ESR'!G1624</f>
        <v>0</v>
      </c>
      <c r="CR22" s="56">
        <f>'REG y VAL POE - AESR - ESR'!H1624</f>
        <v>0</v>
      </c>
      <c r="CS22" s="57">
        <f>'REG y VAL POE - AESR - ESR'!I1624</f>
        <v>0</v>
      </c>
      <c r="CT22" s="58">
        <f>'REG y VAL POE - AESR - ESR'!J1624</f>
        <v>0</v>
      </c>
      <c r="CU22" s="56">
        <f>'REG y VAL POE - AESR - ESR'!K1624</f>
        <v>0</v>
      </c>
      <c r="CV22" s="57">
        <f>'REG y VAL POE - AESR - ESR'!L1624</f>
        <v>0</v>
      </c>
      <c r="CW22" s="57">
        <f>'REG y VAL POE - AESR - ESR'!M1624</f>
        <v>0</v>
      </c>
      <c r="CX22" s="57">
        <f>'REG y VAL POE - AESR - ESR'!N1624</f>
        <v>0</v>
      </c>
      <c r="CY22" s="56">
        <f>'REG y VAL POE - AESR - ESR'!O1624</f>
        <v>0</v>
      </c>
      <c r="CZ22" s="57">
        <f>'REG y VAL POE - AESR - ESR'!P1624</f>
        <v>0</v>
      </c>
      <c r="DA22" s="57">
        <f>'REG y VAL POE - AESR - ESR'!Q1624</f>
        <v>0</v>
      </c>
      <c r="DB22" s="56">
        <f>'REG y VAL POE - AESR - ESR'!R1624</f>
        <v>0</v>
      </c>
      <c r="DC22" s="57">
        <f>'REG y VAL POE - AESR - ESR'!S1624</f>
        <v>0</v>
      </c>
      <c r="DD22" s="58">
        <f>'REG y VAL POE - AESR - ESR'!T1624</f>
        <v>0</v>
      </c>
      <c r="DE22" s="56">
        <f>'REG y VAL POE - AESR - ESR'!U1624</f>
        <v>0</v>
      </c>
      <c r="DF22" s="57">
        <f>'REG y VAL POE - AESR - ESR'!V1624</f>
        <v>0</v>
      </c>
      <c r="DG22" s="57">
        <f>'REG y VAL POE - AESR - ESR'!W1624</f>
        <v>0</v>
      </c>
      <c r="DH22" s="57">
        <f>'REG y VAL POE - AESR - ESR'!X1624</f>
        <v>0</v>
      </c>
      <c r="DI22" s="56">
        <f>'REG y VAL POE - AESR - ESR'!Y1624</f>
        <v>0</v>
      </c>
      <c r="DJ22" s="57">
        <f>'REG y VAL POE - AESR - ESR'!Z1624</f>
        <v>0</v>
      </c>
      <c r="DK22" s="57">
        <f>'REG y VAL POE - AESR - ESR'!AA1624</f>
        <v>0</v>
      </c>
      <c r="DL22" s="56">
        <f>'REG y VAL POE - AESR - ESR'!AB1624</f>
        <v>0</v>
      </c>
      <c r="DM22" s="57">
        <f>'REG y VAL POE - AESR - ESR'!AC1624</f>
        <v>0</v>
      </c>
      <c r="DN22" s="58">
        <f>'REG y VAL POE - AESR - ESR'!AD1624</f>
        <v>0</v>
      </c>
      <c r="DO22" s="56">
        <f>'REG y VAL POE - AESR - ESR'!AE1624</f>
        <v>0</v>
      </c>
      <c r="DP22" s="57">
        <f>'REG y VAL POE - AESR - ESR'!AF1624</f>
        <v>0</v>
      </c>
      <c r="DQ22" s="57">
        <f>'REG y VAL POE - AESR - ESR'!AG1624</f>
        <v>0</v>
      </c>
      <c r="DR22" s="57">
        <f>'REG y VAL POE - AESR - ESR'!AH1624</f>
        <v>0</v>
      </c>
      <c r="DS22" s="56">
        <f>'REG y VAL POE - AESR - ESR'!AI1624</f>
        <v>0</v>
      </c>
      <c r="DT22" s="57">
        <f>'REG y VAL POE - AESR - ESR'!AJ1624</f>
        <v>0</v>
      </c>
      <c r="DU22" s="57">
        <f>'REG y VAL POE - AESR - ESR'!AK1624</f>
        <v>0</v>
      </c>
      <c r="DV22" s="56">
        <f>'REG y VAL POE - AESR - ESR'!AL1624</f>
        <v>0</v>
      </c>
      <c r="DW22" s="57">
        <f>'REG y VAL POE - AESR - ESR'!AM1624</f>
        <v>0</v>
      </c>
      <c r="DX22" s="58">
        <f>'REG y VAL POE - AESR - ESR'!AN1624</f>
        <v>0</v>
      </c>
      <c r="DY22" s="56">
        <f>'REG y VAL POE - AESR - ESR'!AO1624</f>
        <v>0</v>
      </c>
      <c r="DZ22" s="57">
        <f>'REG y VAL POE - AESR - ESR'!AP1624</f>
        <v>0</v>
      </c>
      <c r="EA22" s="57">
        <f>'REG y VAL POE - AESR - ESR'!AQ1624</f>
        <v>0</v>
      </c>
      <c r="EB22" s="57">
        <f>'REG y VAL POE - AESR - ESR'!AR1624</f>
        <v>0</v>
      </c>
      <c r="EC22" s="56">
        <f>'REG y VAL POE - AESR - ESR'!AS1624</f>
        <v>0</v>
      </c>
      <c r="ED22" s="57">
        <f>'REG y VAL POE - AESR - ESR'!B1625</f>
        <v>0</v>
      </c>
      <c r="EE22" s="56">
        <f>'REG y VAL POE - AESR - ESR'!C1625</f>
        <v>0</v>
      </c>
      <c r="EF22" s="56">
        <f>'REG y VAL POE - AESR - ESR'!D1625</f>
        <v>0</v>
      </c>
      <c r="EG22" s="57">
        <f>'REG y VAL POE - AESR - ESR'!E1625</f>
        <v>0</v>
      </c>
      <c r="EH22" s="58">
        <f>'REG y VAL POE - AESR - ESR'!F1625</f>
        <v>0</v>
      </c>
      <c r="EI22" s="56">
        <f>'REG y VAL POE - AESR - ESR'!G1625</f>
        <v>0</v>
      </c>
      <c r="EJ22" s="57">
        <f>'REG y VAL POE - AESR - ESR'!H1625</f>
        <v>0</v>
      </c>
      <c r="EK22" s="57">
        <f>'REG y VAL POE - AESR - ESR'!I1625</f>
        <v>0</v>
      </c>
      <c r="EL22" s="57">
        <f>'REG y VAL POE - AESR - ESR'!J1625</f>
        <v>0</v>
      </c>
      <c r="EM22" s="56">
        <f>'REG y VAL POE - AESR - ESR'!K1625</f>
        <v>0</v>
      </c>
      <c r="EN22" s="57">
        <f>'REG y VAL POE - AESR - ESR'!L1625</f>
        <v>0</v>
      </c>
      <c r="EO22" s="57">
        <f>'REG y VAL POE - AESR - ESR'!M1625</f>
        <v>0</v>
      </c>
      <c r="EP22" s="56">
        <f>'REG y VAL POE - AESR - ESR'!N1625</f>
        <v>0</v>
      </c>
      <c r="EQ22" s="57">
        <f>'REG y VAL POE - AESR - ESR'!O1625</f>
        <v>0</v>
      </c>
      <c r="ER22" s="58">
        <f>'REG y VAL POE - AESR - ESR'!P1625</f>
        <v>0</v>
      </c>
      <c r="ES22" s="56">
        <f>'REG y VAL POE - AESR - ESR'!Q1625</f>
        <v>0</v>
      </c>
      <c r="ET22" s="57">
        <f>'REG y VAL POE - AESR - ESR'!R1625</f>
        <v>0</v>
      </c>
      <c r="EU22" s="57">
        <f>'REG y VAL POE - AESR - ESR'!S1625</f>
        <v>0</v>
      </c>
      <c r="EV22" s="57">
        <f>'REG y VAL POE - AESR - ESR'!T1625</f>
        <v>0</v>
      </c>
      <c r="EW22" s="56">
        <f>'REG y VAL POE - AESR - ESR'!U1625</f>
        <v>0</v>
      </c>
      <c r="EX22" s="57">
        <f>'REG y VAL POE - AESR - ESR'!V1625</f>
        <v>0</v>
      </c>
      <c r="EY22" s="57">
        <f>'REG y VAL POE - AESR - ESR'!W1625</f>
        <v>0</v>
      </c>
      <c r="EZ22" s="56">
        <f>'REG y VAL POE - AESR - ESR'!X1625</f>
        <v>0</v>
      </c>
      <c r="FA22" s="57">
        <f>'REG y VAL POE - AESR - ESR'!Y1625</f>
        <v>0</v>
      </c>
      <c r="FB22" s="58">
        <f>'REG y VAL POE - AESR - ESR'!Z1625</f>
        <v>0</v>
      </c>
      <c r="FC22" s="56">
        <f>'REG y VAL POE - AESR - ESR'!AA1625</f>
        <v>0</v>
      </c>
      <c r="FD22" s="57">
        <f>'REG y VAL POE - AESR - ESR'!AB1625</f>
        <v>0</v>
      </c>
      <c r="FE22" s="57">
        <f>'REG y VAL POE - AESR - ESR'!AC1625</f>
        <v>0</v>
      </c>
      <c r="FF22" s="57">
        <f>'REG y VAL POE - AESR - ESR'!AD1625</f>
        <v>0</v>
      </c>
      <c r="FG22" s="56">
        <f>'REG y VAL POE - AESR - ESR'!AE1625</f>
        <v>0</v>
      </c>
      <c r="FH22" s="57">
        <f>'REG y VAL POE - AESR - ESR'!AF1625</f>
        <v>0</v>
      </c>
      <c r="FI22" s="57">
        <f>'REG y VAL POE - AESR - ESR'!AG1625</f>
        <v>0</v>
      </c>
      <c r="FJ22" s="56">
        <f>'REG y VAL POE - AESR - ESR'!AH1625</f>
        <v>0</v>
      </c>
      <c r="FK22" s="57">
        <f>'REG y VAL POE - AESR - ESR'!AI1625</f>
        <v>0</v>
      </c>
      <c r="FL22" s="58">
        <f>'REG y VAL POE - AESR - ESR'!AJ1625</f>
        <v>0</v>
      </c>
      <c r="FM22" s="56">
        <f>'REG y VAL POE - AESR - ESR'!AK1625</f>
        <v>0</v>
      </c>
      <c r="FN22" s="57">
        <f>'REG y VAL POE - AESR - ESR'!AL1625</f>
        <v>0</v>
      </c>
      <c r="FO22" s="57">
        <f>'REG y VAL POE - AESR - ESR'!AM1625</f>
        <v>0</v>
      </c>
      <c r="FP22" s="57">
        <f>'REG y VAL POE - AESR - ESR'!AN1625</f>
        <v>0</v>
      </c>
      <c r="FQ22" s="56">
        <f>'REG y VAL POE - AESR - ESR'!AO1625</f>
        <v>0</v>
      </c>
      <c r="FR22" s="57">
        <f>'REG y VAL POE - AESR - ESR'!AP1625</f>
        <v>0</v>
      </c>
      <c r="FS22" s="57">
        <f>'REG y VAL POE - AESR - ESR'!AQ1625</f>
        <v>0</v>
      </c>
      <c r="FT22" s="56">
        <f>'REG y VAL POE - AESR - ESR'!AR1625</f>
        <v>0</v>
      </c>
      <c r="FU22" s="57">
        <f>'REG y VAL POE - AESR - ESR'!AS1625</f>
        <v>0</v>
      </c>
      <c r="FV22" s="58">
        <f>'REG y VAL POE - AESR - ESR'!B1626</f>
        <v>0</v>
      </c>
      <c r="FW22" s="56">
        <f>'REG y VAL POE - AESR - ESR'!C1626</f>
        <v>0</v>
      </c>
      <c r="FX22" s="57">
        <f>'REG y VAL POE - AESR - ESR'!D1626</f>
        <v>0</v>
      </c>
      <c r="FY22" s="57">
        <f>'REG y VAL POE - AESR - ESR'!E1626</f>
        <v>0</v>
      </c>
      <c r="FZ22" s="57">
        <f>'REG y VAL POE - AESR - ESR'!F1626</f>
        <v>0</v>
      </c>
      <c r="GA22" s="56">
        <f>'REG y VAL POE - AESR - ESR'!G1626</f>
        <v>0</v>
      </c>
      <c r="GB22" s="57">
        <f>'REG y VAL POE - AESR - ESR'!H1626</f>
        <v>0</v>
      </c>
      <c r="GC22" s="57">
        <f>'REG y VAL POE - AESR - ESR'!I1626</f>
        <v>0</v>
      </c>
      <c r="GD22" s="56">
        <f>'REG y VAL POE - AESR - ESR'!J1626</f>
        <v>0</v>
      </c>
      <c r="GE22" s="57">
        <f>'REG y VAL POE - AESR - ESR'!K1626</f>
        <v>0</v>
      </c>
      <c r="GF22" s="58">
        <f>'REG y VAL POE - AESR - ESR'!L1626</f>
        <v>0</v>
      </c>
      <c r="GG22" s="56">
        <f>'REG y VAL POE - AESR - ESR'!M1626</f>
        <v>0</v>
      </c>
      <c r="GH22" s="57">
        <f>'REG y VAL POE - AESR - ESR'!N1626</f>
        <v>0</v>
      </c>
      <c r="GI22" s="57">
        <f>'REG y VAL POE - AESR - ESR'!O1626</f>
        <v>0</v>
      </c>
      <c r="GJ22" s="57">
        <f>'REG y VAL POE - AESR - ESR'!P1626</f>
        <v>0</v>
      </c>
      <c r="GK22" s="56">
        <f>'REG y VAL POE - AESR - ESR'!Q1626</f>
        <v>0</v>
      </c>
      <c r="GL22" s="57">
        <f>'REG y VAL POE - AESR - ESR'!R1626</f>
        <v>0</v>
      </c>
      <c r="GM22" s="57">
        <f>'REG y VAL POE - AESR - ESR'!S1626</f>
        <v>0</v>
      </c>
      <c r="GN22" s="56">
        <f>'REG y VAL POE - AESR - ESR'!T1626</f>
        <v>0</v>
      </c>
      <c r="GO22" s="57">
        <f>'REG y VAL POE - AESR - ESR'!U1626</f>
        <v>0</v>
      </c>
      <c r="GP22" s="58">
        <f>'REG y VAL POE - AESR - ESR'!V1626</f>
        <v>0</v>
      </c>
      <c r="GQ22" s="56">
        <f>'REG y VAL POE - AESR - ESR'!W1626</f>
        <v>0</v>
      </c>
      <c r="GR22" s="57">
        <f>'REG y VAL POE - AESR - ESR'!X1626</f>
        <v>0</v>
      </c>
      <c r="GS22" s="57">
        <f>'REG y VAL POE - AESR - ESR'!Y1626</f>
        <v>0</v>
      </c>
      <c r="GT22" s="57">
        <f>'REG y VAL POE - AESR - ESR'!Z1626</f>
        <v>0</v>
      </c>
      <c r="GU22" s="56">
        <f>'REG y VAL POE - AESR - ESR'!AA1626</f>
        <v>0</v>
      </c>
      <c r="GV22" s="57">
        <f>'REG y VAL POE - AESR - ESR'!AB1626</f>
        <v>0</v>
      </c>
      <c r="GW22" s="57">
        <f>'REG y VAL POE - AESR - ESR'!AC1626</f>
        <v>0</v>
      </c>
      <c r="GX22" s="56">
        <f>'REG y VAL POE - AESR - ESR'!AD1626</f>
        <v>0</v>
      </c>
      <c r="GY22" s="57">
        <f>'REG y VAL POE - AESR - ESR'!AE1626</f>
        <v>0</v>
      </c>
      <c r="GZ22" s="58">
        <f>'REG y VAL POE - AESR - ESR'!AF1626</f>
        <v>0</v>
      </c>
      <c r="HA22" s="56">
        <f>'REG y VAL POE - AESR - ESR'!AG1626</f>
        <v>0</v>
      </c>
      <c r="HB22" s="57">
        <f>'REG y VAL POE - AESR - ESR'!AH1626</f>
        <v>0</v>
      </c>
      <c r="HC22" s="57">
        <f>'REG y VAL POE - AESR - ESR'!AI1626</f>
        <v>0</v>
      </c>
      <c r="HD22" s="57">
        <f>'REG y VAL POE - AESR - ESR'!AJ1626</f>
        <v>0</v>
      </c>
      <c r="HE22" s="56">
        <f>'REG y VAL POE - AESR - ESR'!AK1626</f>
        <v>0</v>
      </c>
      <c r="HF22" s="57">
        <f>'REG y VAL POE - AESR - ESR'!AL1626</f>
        <v>0</v>
      </c>
      <c r="HG22" s="57">
        <f>'REG y VAL POE - AESR - ESR'!AM1626</f>
        <v>0</v>
      </c>
      <c r="HH22" s="56">
        <f>'REG y VAL POE - AESR - ESR'!AN1626</f>
        <v>0</v>
      </c>
      <c r="HI22" s="57">
        <f>'REG y VAL POE - AESR - ESR'!AO1626</f>
        <v>0</v>
      </c>
      <c r="HJ22" s="58">
        <f>'REG y VAL POE - AESR - ESR'!AP1626</f>
        <v>0</v>
      </c>
      <c r="HK22" s="56">
        <f>'REG y VAL POE - AESR - ESR'!AQ1626</f>
        <v>0</v>
      </c>
      <c r="HL22" s="57">
        <f>'REG y VAL POE - AESR - ESR'!AR1626</f>
        <v>0</v>
      </c>
      <c r="HM22" s="57">
        <f>'REG y VAL POE - AESR - ESR'!AS1626</f>
        <v>0</v>
      </c>
      <c r="HN22" s="57">
        <f>'REG y VAL POE - AESR - ESR'!B1627</f>
        <v>0</v>
      </c>
      <c r="HO22" s="56">
        <f>'REG y VAL POE - AESR - ESR'!C1627</f>
        <v>0</v>
      </c>
      <c r="HP22" s="57">
        <f>'REG y VAL POE - AESR - ESR'!D1627</f>
        <v>0</v>
      </c>
      <c r="HQ22" s="57">
        <f>'REG y VAL POE - AESR - ESR'!E1627</f>
        <v>0</v>
      </c>
      <c r="HR22" s="56">
        <f>'REG y VAL POE - AESR - ESR'!F1627</f>
        <v>0</v>
      </c>
      <c r="HS22" s="57">
        <f>'REG y VAL POE - AESR - ESR'!G1627</f>
        <v>0</v>
      </c>
      <c r="HT22" s="58">
        <f>'REG y VAL POE - AESR - ESR'!H1627</f>
        <v>0</v>
      </c>
      <c r="HU22" s="56">
        <f>'REG y VAL POE - AESR - ESR'!I1627</f>
        <v>0</v>
      </c>
      <c r="HV22" s="57">
        <f>'REG y VAL POE - AESR - ESR'!J1627</f>
        <v>0</v>
      </c>
      <c r="HW22" s="57">
        <f>'REG y VAL POE - AESR - ESR'!K1627</f>
        <v>0</v>
      </c>
      <c r="HX22" s="57">
        <f>'REG y VAL POE - AESR - ESR'!L1627</f>
        <v>0</v>
      </c>
      <c r="HY22" s="56">
        <f>'REG y VAL POE - AESR - ESR'!M1627</f>
        <v>0</v>
      </c>
      <c r="HZ22" s="57">
        <f>'REG y VAL POE - AESR - ESR'!N1627</f>
        <v>0</v>
      </c>
      <c r="IA22" s="57">
        <f>'REG y VAL POE - AESR - ESR'!O1627</f>
        <v>0</v>
      </c>
      <c r="IB22" s="56">
        <f>'REG y VAL POE - AESR - ESR'!P1627</f>
        <v>0</v>
      </c>
      <c r="IC22" s="57">
        <f>'REG y VAL POE - AESR - ESR'!Q1627</f>
        <v>0</v>
      </c>
      <c r="ID22" s="58">
        <f>'REG y VAL POE - AESR - ESR'!R1627</f>
        <v>0</v>
      </c>
      <c r="IE22" s="56">
        <f>'REG y VAL POE - AESR - ESR'!S1627</f>
        <v>0</v>
      </c>
      <c r="IF22" s="57">
        <f>'REG y VAL POE - AESR - ESR'!T1627</f>
        <v>0</v>
      </c>
      <c r="IG22" s="57">
        <f>'REG y VAL POE - AESR - ESR'!U1627</f>
        <v>0</v>
      </c>
      <c r="IH22" s="57">
        <f>'REG y VAL POE - AESR - ESR'!V1627</f>
        <v>0</v>
      </c>
      <c r="II22" s="56">
        <f>'REG y VAL POE - AESR - ESR'!W1627</f>
        <v>0</v>
      </c>
      <c r="IJ22" s="57">
        <f>'REG y VAL POE - AESR - ESR'!X1627</f>
        <v>0</v>
      </c>
      <c r="IK22" s="57">
        <f>'REG y VAL POE - AESR - ESR'!Y1627</f>
        <v>0</v>
      </c>
      <c r="IL22" s="56">
        <f>'REG y VAL POE - AESR - ESR'!Z1627</f>
        <v>0</v>
      </c>
      <c r="IM22" s="57">
        <f>'REG y VAL POE - AESR - ESR'!AA1627</f>
        <v>0</v>
      </c>
      <c r="IN22" s="58">
        <f>'REG y VAL POE - AESR - ESR'!AB1627</f>
        <v>0</v>
      </c>
      <c r="IO22" s="56">
        <f>'REG y VAL POE - AESR - ESR'!AC1627</f>
        <v>0</v>
      </c>
      <c r="IP22" s="57">
        <f>'REG y VAL POE - AESR - ESR'!AD1627</f>
        <v>0</v>
      </c>
      <c r="IQ22" s="57">
        <f>'REG y VAL POE - AESR - ESR'!AE1627</f>
        <v>0</v>
      </c>
      <c r="IR22" s="57">
        <f>'REG y VAL POE - AESR - ESR'!AF1627</f>
        <v>0</v>
      </c>
      <c r="IS22" s="56">
        <f>'REG y VAL POE - AESR - ESR'!AG1627</f>
        <v>0</v>
      </c>
      <c r="IT22" s="57">
        <f>'REG y VAL POE - AESR - ESR'!AH1627</f>
        <v>0</v>
      </c>
      <c r="IU22" s="57">
        <f>'REG y VAL POE - AESR - ESR'!AI1627</f>
        <v>0</v>
      </c>
      <c r="IV22" s="56">
        <f>'REG y VAL POE - AESR - ESR'!AJ1627</f>
        <v>0</v>
      </c>
      <c r="IW22" s="57">
        <f>'REG y VAL POE - AESR - ESR'!AK1627</f>
        <v>0</v>
      </c>
      <c r="IX22" s="58">
        <f>'REG y VAL POE - AESR - ESR'!AL1627</f>
        <v>0</v>
      </c>
      <c r="IY22" s="56">
        <f>'REG y VAL POE - AESR - ESR'!AM1627</f>
        <v>0</v>
      </c>
      <c r="IZ22" s="57">
        <f>'REG y VAL POE - AESR - ESR'!AN1627</f>
        <v>0</v>
      </c>
      <c r="JA22" s="57">
        <f>'REG y VAL POE - AESR - ESR'!AO1627</f>
        <v>0</v>
      </c>
      <c r="JB22" s="57">
        <f>'REG y VAL POE - AESR - ESR'!AP1627</f>
        <v>0</v>
      </c>
      <c r="JC22" s="56">
        <f>'REG y VAL POE - AESR - ESR'!AQ1627</f>
        <v>0</v>
      </c>
      <c r="JD22" s="57">
        <f>'REG y VAL POE - AESR - ESR'!AR1627</f>
        <v>0</v>
      </c>
      <c r="JE22" s="57">
        <f>'REG y VAL POE - AESR - ESR'!AS1627</f>
        <v>0</v>
      </c>
      <c r="JF22" s="56">
        <f>'REG y VAL POE - AESR - ESR'!B1628</f>
        <v>0</v>
      </c>
      <c r="JG22" s="57">
        <f>'REG y VAL POE - AESR - ESR'!C1628</f>
        <v>0</v>
      </c>
      <c r="JH22" s="58">
        <f>'REG y VAL POE - AESR - ESR'!D1628</f>
        <v>0</v>
      </c>
      <c r="JI22" s="56">
        <f>'REG y VAL POE - AESR - ESR'!E1628</f>
        <v>0</v>
      </c>
      <c r="JJ22" s="57">
        <f>'REG y VAL POE - AESR - ESR'!F1628</f>
        <v>0</v>
      </c>
      <c r="JK22" s="57">
        <f>'REG y VAL POE - AESR - ESR'!G1628</f>
        <v>0</v>
      </c>
      <c r="JL22" s="57">
        <f>'REG y VAL POE - AESR - ESR'!H1628</f>
        <v>0</v>
      </c>
      <c r="JM22" s="56">
        <f>'REG y VAL POE - AESR - ESR'!I1628</f>
        <v>0</v>
      </c>
      <c r="JN22" s="57">
        <f>'REG y VAL POE - AESR - ESR'!J1628</f>
        <v>0</v>
      </c>
      <c r="JO22" s="57">
        <f>'REG y VAL POE - AESR - ESR'!K1628</f>
        <v>0</v>
      </c>
      <c r="JP22" s="56">
        <f>'REG y VAL POE - AESR - ESR'!L1628</f>
        <v>0</v>
      </c>
      <c r="JQ22" s="57">
        <f>'REG y VAL POE - AESR - ESR'!M1628</f>
        <v>0</v>
      </c>
      <c r="JR22" s="58">
        <f>'REG y VAL POE - AESR - ESR'!N1628</f>
        <v>0</v>
      </c>
      <c r="JS22" s="56">
        <f>'REG y VAL POE - AESR - ESR'!O1628</f>
        <v>0</v>
      </c>
      <c r="JT22" s="57">
        <f>'REG y VAL POE - AESR - ESR'!P1628</f>
        <v>0</v>
      </c>
      <c r="JU22" s="57">
        <f>'REG y VAL POE - AESR - ESR'!Q1628</f>
        <v>0</v>
      </c>
      <c r="JV22" s="57">
        <f>'REG y VAL POE - AESR - ESR'!R1628</f>
        <v>0</v>
      </c>
      <c r="JW22" s="56">
        <f>'REG y VAL POE - AESR - ESR'!S1628</f>
        <v>0</v>
      </c>
      <c r="JX22" s="57">
        <f>'REG y VAL POE - AESR - ESR'!T1628</f>
        <v>0</v>
      </c>
      <c r="JY22" s="57">
        <f>'REG y VAL POE - AESR - ESR'!U1628</f>
        <v>0</v>
      </c>
      <c r="JZ22" s="56">
        <f>'REG y VAL POE - AESR - ESR'!V1628</f>
        <v>0</v>
      </c>
      <c r="KA22" s="57">
        <f>'REG y VAL POE - AESR - ESR'!W1628</f>
        <v>0</v>
      </c>
      <c r="KB22" s="58">
        <f>'REG y VAL POE - AESR - ESR'!X1628</f>
        <v>0</v>
      </c>
      <c r="KC22" s="56">
        <f>'REG y VAL POE - AESR - ESR'!Y1628</f>
        <v>0</v>
      </c>
      <c r="KD22" s="57">
        <f>'REG y VAL POE - AESR - ESR'!Z1628</f>
        <v>0</v>
      </c>
      <c r="KE22" s="57">
        <f>'REG y VAL POE - AESR - ESR'!AA1628</f>
        <v>0</v>
      </c>
      <c r="KF22" s="57">
        <f>'REG y VAL POE - AESR - ESR'!AB1628</f>
        <v>0</v>
      </c>
      <c r="KG22" s="56">
        <f>'REG y VAL POE - AESR - ESR'!AC1628</f>
        <v>0</v>
      </c>
      <c r="KH22" s="57">
        <f>'REG y VAL POE - AESR - ESR'!AD1628</f>
        <v>0</v>
      </c>
      <c r="KI22" s="57">
        <f>'REG y VAL POE - AESR - ESR'!AE1628</f>
        <v>0</v>
      </c>
      <c r="KJ22" s="56">
        <f>'REG y VAL POE - AESR - ESR'!AF1628</f>
        <v>0</v>
      </c>
      <c r="KK22" s="57">
        <f>'REG y VAL POE - AESR - ESR'!AG1628</f>
        <v>0</v>
      </c>
      <c r="KL22" s="58">
        <f>'REG y VAL POE - AESR - ESR'!AH1628</f>
        <v>0</v>
      </c>
      <c r="KM22" s="56">
        <f>'REG y VAL POE - AESR - ESR'!AI1628</f>
        <v>0</v>
      </c>
      <c r="KN22" s="57">
        <f>'REG y VAL POE - AESR - ESR'!AJ1628</f>
        <v>0</v>
      </c>
      <c r="KO22" s="57">
        <f>'REG y VAL POE - AESR - ESR'!AK1628</f>
        <v>0</v>
      </c>
      <c r="KP22" s="57">
        <f>'REG y VAL POE - AESR - ESR'!AL1628</f>
        <v>0</v>
      </c>
      <c r="KQ22" s="56">
        <f>'REG y VAL POE - AESR - ESR'!AM1628</f>
        <v>0</v>
      </c>
      <c r="KR22" s="57">
        <f>'REG y VAL POE - AESR - ESR'!AN1628</f>
        <v>0</v>
      </c>
      <c r="KS22" s="57">
        <f>'REG y VAL POE - AESR - ESR'!AO1628</f>
        <v>0</v>
      </c>
      <c r="KT22" s="56">
        <f>'REG y VAL POE - AESR - ESR'!AP1628</f>
        <v>0</v>
      </c>
      <c r="KU22" s="57">
        <f>'REG y VAL POE - AESR - ESR'!AQ1628</f>
        <v>0</v>
      </c>
      <c r="KV22" s="58">
        <f>'REG y VAL POE - AESR - ESR'!AR1628</f>
        <v>0</v>
      </c>
      <c r="KW22" s="56">
        <f>'REG y VAL POE - AESR - ESR'!AS1628</f>
        <v>0</v>
      </c>
      <c r="KX22" s="57">
        <f>'REG y VAL POE - AESR - ESR'!B1629</f>
        <v>0</v>
      </c>
      <c r="KY22" s="57">
        <f>'REG y VAL POE - AESR - ESR'!C1629</f>
        <v>0</v>
      </c>
      <c r="KZ22" s="57">
        <f>'REG y VAL POE - AESR - ESR'!D1629</f>
        <v>0</v>
      </c>
      <c r="LA22" s="56">
        <f>'REG y VAL POE - AESR - ESR'!E1629</f>
        <v>0</v>
      </c>
      <c r="LB22" s="57">
        <f>'REG y VAL POE - AESR - ESR'!F1629</f>
        <v>0</v>
      </c>
      <c r="LC22" s="57">
        <f>'REG y VAL POE - AESR - ESR'!G1629</f>
        <v>0</v>
      </c>
      <c r="LD22" s="56">
        <f>'REG y VAL POE - AESR - ESR'!H1629</f>
        <v>0</v>
      </c>
      <c r="LE22" s="57">
        <f>'REG y VAL POE - AESR - ESR'!I1629</f>
        <v>0</v>
      </c>
      <c r="LF22" s="58">
        <f>'REG y VAL POE - AESR - ESR'!J1629</f>
        <v>0</v>
      </c>
      <c r="LG22" s="56">
        <f>'REG y VAL POE - AESR - ESR'!K1629</f>
        <v>0</v>
      </c>
      <c r="LH22" s="57">
        <f>'REG y VAL POE - AESR - ESR'!L1629</f>
        <v>0</v>
      </c>
      <c r="LI22" s="57">
        <f>'REG y VAL POE - AESR - ESR'!M1629</f>
        <v>0</v>
      </c>
      <c r="LJ22" s="57">
        <f>'REG y VAL POE - AESR - ESR'!N1629</f>
        <v>0</v>
      </c>
      <c r="LK22" s="56">
        <f>'REG y VAL POE - AESR - ESR'!O1629</f>
        <v>0</v>
      </c>
      <c r="LL22" s="57">
        <f>'REG y VAL POE - AESR - ESR'!P1629</f>
        <v>0</v>
      </c>
      <c r="LM22" s="57">
        <f>'REG y VAL POE - AESR - ESR'!Q1629</f>
        <v>0</v>
      </c>
      <c r="LN22" s="56">
        <f>'REG y VAL POE - AESR - ESR'!R1629</f>
        <v>0</v>
      </c>
      <c r="LO22" s="57">
        <f>'REG y VAL POE - AESR - ESR'!S1629</f>
        <v>0</v>
      </c>
      <c r="LP22" s="58">
        <f>'REG y VAL POE - AESR - ESR'!T1629</f>
        <v>0</v>
      </c>
      <c r="LQ22" s="56">
        <f>'REG y VAL POE - AESR - ESR'!U1629</f>
        <v>0</v>
      </c>
      <c r="LR22" s="57">
        <f>'REG y VAL POE - AESR - ESR'!V1629</f>
        <v>0</v>
      </c>
      <c r="LS22" s="57">
        <f>'REG y VAL POE - AESR - ESR'!W1629</f>
        <v>0</v>
      </c>
      <c r="LT22" s="57">
        <f>'REG y VAL POE - AESR - ESR'!X1629</f>
        <v>0</v>
      </c>
      <c r="LU22" s="56">
        <f>'REG y VAL POE - AESR - ESR'!Y1629</f>
        <v>0</v>
      </c>
      <c r="LV22" s="57">
        <f>'REG y VAL POE - AESR - ESR'!Z1629</f>
        <v>0</v>
      </c>
      <c r="LW22" s="57">
        <f>'REG y VAL POE - AESR - ESR'!AA1629</f>
        <v>0</v>
      </c>
      <c r="LX22" s="56">
        <f>'REG y VAL POE - AESR - ESR'!AB1629</f>
        <v>0</v>
      </c>
      <c r="LY22" s="57">
        <f>'REG y VAL POE - AESR - ESR'!AC1629</f>
        <v>0</v>
      </c>
      <c r="LZ22" s="58">
        <f>'REG y VAL POE - AESR - ESR'!AD1629</f>
        <v>0</v>
      </c>
      <c r="MA22" s="56">
        <f>'REG y VAL POE - AESR - ESR'!AE1629</f>
        <v>0</v>
      </c>
      <c r="MB22" s="57">
        <f>'REG y VAL POE - AESR - ESR'!AF1629</f>
        <v>0</v>
      </c>
      <c r="MC22" s="57">
        <f>'REG y VAL POE - AESR - ESR'!AG1629</f>
        <v>0</v>
      </c>
      <c r="MD22" s="57">
        <f>'REG y VAL POE - AESR - ESR'!AH1629</f>
        <v>0</v>
      </c>
      <c r="ME22" s="56">
        <f>'REG y VAL POE - AESR - ESR'!AI1629</f>
        <v>0</v>
      </c>
      <c r="MF22" s="57">
        <f>'REG y VAL POE - AESR - ESR'!AJ1629</f>
        <v>0</v>
      </c>
      <c r="MG22" s="57">
        <f>'REG y VAL POE - AESR - ESR'!AK1629</f>
        <v>0</v>
      </c>
      <c r="MH22" s="56">
        <f>'REG y VAL POE - AESR - ESR'!AL1629</f>
        <v>0</v>
      </c>
      <c r="MI22" s="57">
        <f>'REG y VAL POE - AESR - ESR'!AM1629</f>
        <v>0</v>
      </c>
      <c r="MJ22" s="58">
        <f>'REG y VAL POE - AESR - ESR'!AN1629</f>
        <v>0</v>
      </c>
      <c r="MK22" s="56">
        <f>'REG y VAL POE - AESR - ESR'!AO1629</f>
        <v>0</v>
      </c>
      <c r="ML22" s="57">
        <f>'REG y VAL POE - AESR - ESR'!AP1629</f>
        <v>0</v>
      </c>
      <c r="MM22" s="57">
        <f>'REG y VAL POE - AESR - ESR'!AQ1629</f>
        <v>0</v>
      </c>
      <c r="MN22" s="57">
        <f>'REG y VAL POE - AESR - ESR'!AR1629</f>
        <v>0</v>
      </c>
      <c r="MO22" s="56">
        <f>'REG y VAL POE - AESR - ESR'!AS1629</f>
        <v>0</v>
      </c>
      <c r="MP22" s="57">
        <f>'REG y VAL POE - AESR - ESR'!B1630</f>
        <v>0</v>
      </c>
      <c r="MQ22" s="57">
        <f>'REG y VAL POE - AESR - ESR'!C1630</f>
        <v>0</v>
      </c>
      <c r="MR22" s="56">
        <f>'REG y VAL POE - AESR - ESR'!D1630</f>
        <v>0</v>
      </c>
      <c r="MS22" s="57">
        <f>'REG y VAL POE - AESR - ESR'!E1630</f>
        <v>0</v>
      </c>
      <c r="MT22" s="58">
        <f>'REG y VAL POE - AESR - ESR'!F1630</f>
        <v>0</v>
      </c>
      <c r="MU22" s="56">
        <f>'REG y VAL POE - AESR - ESR'!G1630</f>
        <v>0</v>
      </c>
      <c r="MV22" s="57">
        <f>'REG y VAL POE - AESR - ESR'!H1630</f>
        <v>0</v>
      </c>
      <c r="MW22" s="57">
        <f>'REG y VAL POE - AESR - ESR'!I1630</f>
        <v>0</v>
      </c>
      <c r="MX22" s="57">
        <f>'REG y VAL POE - AESR - ESR'!J1630</f>
        <v>0</v>
      </c>
      <c r="MY22" s="56">
        <f>'REG y VAL POE - AESR - ESR'!K1630</f>
        <v>0</v>
      </c>
      <c r="MZ22" s="57">
        <f>'REG y VAL POE - AESR - ESR'!L1630</f>
        <v>0</v>
      </c>
      <c r="NA22" s="57">
        <f>'REG y VAL POE - AESR - ESR'!M1630</f>
        <v>0</v>
      </c>
      <c r="NB22" s="56">
        <f>'REG y VAL POE - AESR - ESR'!N1630</f>
        <v>0</v>
      </c>
      <c r="NC22" s="57">
        <f>'REG y VAL POE - AESR - ESR'!O1630</f>
        <v>0</v>
      </c>
      <c r="ND22" s="58">
        <f>'REG y VAL POE - AESR - ESR'!P1630</f>
        <v>0</v>
      </c>
      <c r="NE22" s="56">
        <f>'REG y VAL POE - AESR - ESR'!Q1630</f>
        <v>0</v>
      </c>
      <c r="NF22" s="57">
        <f>'REG y VAL POE - AESR - ESR'!R1630</f>
        <v>0</v>
      </c>
      <c r="NG22" s="57">
        <f>'REG y VAL POE - AESR - ESR'!S1630</f>
        <v>0</v>
      </c>
      <c r="NH22" s="57">
        <f>'REG y VAL POE - AESR - ESR'!T1630</f>
        <v>0</v>
      </c>
      <c r="NI22" s="56">
        <f>'REG y VAL POE - AESR - ESR'!U1630</f>
        <v>0</v>
      </c>
      <c r="NJ22" s="57">
        <f>'REG y VAL POE - AESR - ESR'!V1630</f>
        <v>0</v>
      </c>
      <c r="NK22" s="57">
        <f>'REG y VAL POE - AESR - ESR'!W1630</f>
        <v>0</v>
      </c>
      <c r="NL22" s="56">
        <f>'REG y VAL POE - AESR - ESR'!X1630</f>
        <v>0</v>
      </c>
      <c r="NM22" s="57">
        <f>'REG y VAL POE - AESR - ESR'!Y1630</f>
        <v>0</v>
      </c>
      <c r="NN22" s="58">
        <f>'REG y VAL POE - AESR - ESR'!Z1630</f>
        <v>0</v>
      </c>
      <c r="NO22" s="56">
        <f>'REG y VAL POE - AESR - ESR'!AA1630</f>
        <v>0</v>
      </c>
      <c r="NP22" s="57">
        <f>'REG y VAL POE - AESR - ESR'!AB1630</f>
        <v>0</v>
      </c>
      <c r="NQ22" s="57">
        <f>'REG y VAL POE - AESR - ESR'!AC1630</f>
        <v>0</v>
      </c>
      <c r="NR22" s="57">
        <f>'REG y VAL POE - AESR - ESR'!AD1630</f>
        <v>0</v>
      </c>
      <c r="NS22" s="56">
        <f>'REG y VAL POE - AESR - ESR'!AE1630</f>
        <v>0</v>
      </c>
      <c r="NT22" s="57">
        <f>'REG y VAL POE - AESR - ESR'!AF1630</f>
        <v>0</v>
      </c>
      <c r="NU22" s="57">
        <f>'REG y VAL POE - AESR - ESR'!AG1630</f>
        <v>0</v>
      </c>
      <c r="NV22" s="56">
        <f>'REG y VAL POE - AESR - ESR'!AH1630</f>
        <v>0</v>
      </c>
      <c r="NW22" s="57">
        <f>'REG y VAL POE - AESR - ESR'!AI1630</f>
        <v>0</v>
      </c>
      <c r="NX22" s="58">
        <f>'REG y VAL POE - AESR - ESR'!AJ1630</f>
        <v>0</v>
      </c>
      <c r="NY22" s="56">
        <f>'REG y VAL POE - AESR - ESR'!AK1630</f>
        <v>0</v>
      </c>
      <c r="NZ22" s="57">
        <f>'REG y VAL POE - AESR - ESR'!AL1630</f>
        <v>0</v>
      </c>
      <c r="OA22" s="57">
        <f>'REG y VAL POE - AESR - ESR'!AM1630</f>
        <v>0</v>
      </c>
      <c r="OB22" s="57">
        <f>'REG y VAL POE - AESR - ESR'!AN1630</f>
        <v>0</v>
      </c>
      <c r="OC22" s="56">
        <f>'REG y VAL POE - AESR - ESR'!AO1630</f>
        <v>0</v>
      </c>
      <c r="OD22" s="57">
        <f>'REG y VAL POE - AESR - ESR'!AP1630</f>
        <v>0</v>
      </c>
      <c r="OE22" s="57">
        <f>'REG y VAL POE - AESR - ESR'!AQ1630</f>
        <v>0</v>
      </c>
      <c r="OF22" s="58">
        <f>'REG y VAL POE - AESR - ESR'!AR1630</f>
        <v>0</v>
      </c>
      <c r="OG22" s="58">
        <f>'REG y VAL POE - AESR - ESR'!AS1630</f>
        <v>0</v>
      </c>
      <c r="OH22" s="58">
        <f>'REG y VAL POE - AESR - ESR'!B1631</f>
        <v>0</v>
      </c>
      <c r="OI22" s="56">
        <f>'REG y VAL POE - AESR - ESR'!C1631</f>
        <v>0</v>
      </c>
      <c r="OJ22" s="58">
        <f>'REG y VAL POE - AESR - ESR'!D1631</f>
        <v>0</v>
      </c>
      <c r="OK22" s="58">
        <f>'REG y VAL POE - AESR - ESR'!E1631</f>
        <v>0</v>
      </c>
      <c r="OL22" s="58">
        <f>'REG y VAL POE - AESR - ESR'!F1631</f>
        <v>0</v>
      </c>
      <c r="OM22" s="58">
        <f>'REG y VAL POE - AESR - ESR'!G1631</f>
        <v>0</v>
      </c>
      <c r="ON22" s="58">
        <f>'REG y VAL POE - AESR - ESR'!H1631</f>
        <v>0</v>
      </c>
      <c r="OO22" s="58">
        <f>'REG y VAL POE - AESR - ESR'!I1631</f>
        <v>0</v>
      </c>
      <c r="OP22" s="56">
        <f>'REG y VAL POE - AESR - ESR'!J1631</f>
        <v>0</v>
      </c>
      <c r="OQ22" s="57">
        <f>'REG y VAL POE - AESR - ESR'!K1631</f>
        <v>0</v>
      </c>
      <c r="OR22" s="58">
        <f>'REG y VAL POE - AESR - ESR'!L1631</f>
        <v>0</v>
      </c>
      <c r="OS22" s="56">
        <f>'REG y VAL POE - AESR - ESR'!M1631</f>
        <v>0</v>
      </c>
      <c r="OT22" s="57">
        <f>'REG y VAL POE - AESR - ESR'!N1631</f>
        <v>0</v>
      </c>
      <c r="OU22" s="57">
        <f>'REG y VAL POE - AESR - ESR'!O1631</f>
        <v>0</v>
      </c>
      <c r="OV22" s="57">
        <f>'REG y VAL POE - AESR - ESR'!P1631</f>
        <v>0</v>
      </c>
      <c r="OW22" s="56">
        <f>'REG y VAL POE - AESR - ESR'!Q1631</f>
        <v>0</v>
      </c>
      <c r="OX22" s="57">
        <f>'REG y VAL POE - AESR - ESR'!R1631</f>
        <v>0</v>
      </c>
      <c r="OY22" s="57">
        <f>'REG y VAL POE - AESR - ESR'!S1631</f>
        <v>0</v>
      </c>
      <c r="OZ22" s="56">
        <f>'REG y VAL POE - AESR - ESR'!T1631</f>
        <v>0</v>
      </c>
      <c r="PA22" s="57">
        <f>'REG y VAL POE - AESR - ESR'!U1631</f>
        <v>0</v>
      </c>
      <c r="PB22" s="58">
        <f>'REG y VAL POE - AESR - ESR'!V1631</f>
        <v>0</v>
      </c>
      <c r="PC22" s="56">
        <f>'REG y VAL POE - AESR - ESR'!W1631</f>
        <v>0</v>
      </c>
      <c r="PD22" s="57">
        <f>'REG y VAL POE - AESR - ESR'!X1631</f>
        <v>0</v>
      </c>
      <c r="PE22" s="57">
        <f>'REG y VAL POE - AESR - ESR'!Y1631</f>
        <v>0</v>
      </c>
      <c r="PF22" s="57">
        <f>'REG y VAL POE - AESR - ESR'!Z1631</f>
        <v>0</v>
      </c>
      <c r="PG22" s="56">
        <f>'REG y VAL POE - AESR - ESR'!AA1631</f>
        <v>0</v>
      </c>
      <c r="PH22" s="57">
        <f>'REG y VAL POE - AESR - ESR'!AB1631</f>
        <v>0</v>
      </c>
      <c r="PI22" s="57">
        <f>'REG y VAL POE - AESR - ESR'!AC1631</f>
        <v>0</v>
      </c>
      <c r="PJ22" s="56">
        <f>'REG y VAL POE - AESR - ESR'!AD1631</f>
        <v>0</v>
      </c>
      <c r="PK22" s="57">
        <f>'REG y VAL POE - AESR - ESR'!AE1631</f>
        <v>0</v>
      </c>
      <c r="PL22" s="58">
        <f>'REG y VAL POE - AESR - ESR'!AF1631</f>
        <v>0</v>
      </c>
      <c r="PM22" s="56">
        <f>'REG y VAL POE - AESR - ESR'!AG1631</f>
        <v>0</v>
      </c>
      <c r="PN22" s="57">
        <f>'REG y VAL POE - AESR - ESR'!AH1631</f>
        <v>0</v>
      </c>
      <c r="PO22" s="57">
        <f>'REG y VAL POE - AESR - ESR'!AI1631</f>
        <v>0</v>
      </c>
      <c r="PP22" s="57">
        <f>'REG y VAL POE - AESR - ESR'!AJ1631</f>
        <v>0</v>
      </c>
      <c r="PQ22" s="56">
        <f>'REG y VAL POE - AESR - ESR'!AK1631</f>
        <v>0</v>
      </c>
      <c r="PR22" s="57">
        <f>'REG y VAL POE - AESR - ESR'!AL1631</f>
        <v>0</v>
      </c>
      <c r="PS22" s="57">
        <f>'REG y VAL POE - AESR - ESR'!AM1631</f>
        <v>0</v>
      </c>
      <c r="PT22" s="56">
        <f>'REG y VAL POE - AESR - ESR'!AN1631</f>
        <v>0</v>
      </c>
      <c r="PU22" s="57">
        <f>'REG y VAL POE - AESR - ESR'!AO1631</f>
        <v>0</v>
      </c>
      <c r="PV22" s="58">
        <f>'REG y VAL POE - AESR - ESR'!AP1631</f>
        <v>0</v>
      </c>
      <c r="PW22" s="56">
        <f>'REG y VAL POE - AESR - ESR'!AQ1631</f>
        <v>0</v>
      </c>
      <c r="PX22" s="57">
        <f>'REG y VAL POE - AESR - ESR'!AR1631</f>
        <v>0</v>
      </c>
      <c r="PY22" s="57">
        <f>'REG y VAL POE - AESR - ESR'!AS1631</f>
        <v>0</v>
      </c>
      <c r="PZ22" s="57"/>
      <c r="QA22" s="56"/>
      <c r="QB22" s="57"/>
      <c r="QC22" s="57"/>
      <c r="QD22" s="56"/>
      <c r="QE22" s="57"/>
      <c r="QF22" s="58"/>
      <c r="QG22" s="56"/>
      <c r="QH22" s="57"/>
      <c r="QI22" s="57"/>
      <c r="QJ22" s="57"/>
      <c r="QK22" s="56"/>
      <c r="QL22" s="57"/>
      <c r="QM22" s="57"/>
      <c r="QN22" s="56"/>
      <c r="QO22" s="57"/>
      <c r="QP22" s="58"/>
      <c r="QQ22" s="56"/>
      <c r="QR22" s="57"/>
      <c r="QS22" s="57"/>
      <c r="QT22" s="57"/>
      <c r="QU22" s="56"/>
      <c r="QV22" s="57"/>
      <c r="QW22" s="57"/>
      <c r="QX22" s="56"/>
      <c r="QY22" s="57"/>
      <c r="QZ22" s="58"/>
      <c r="RA22" s="56"/>
      <c r="RB22" s="57"/>
      <c r="RC22" s="57"/>
      <c r="RD22" s="57"/>
      <c r="RE22" s="56"/>
      <c r="RF22" s="57"/>
      <c r="RG22" s="57"/>
      <c r="RH22" s="56"/>
      <c r="RI22" s="57"/>
      <c r="RJ22" s="58"/>
      <c r="RK22" s="56"/>
      <c r="RL22" s="57"/>
      <c r="RM22" s="57"/>
      <c r="RN22" s="57"/>
      <c r="RO22" s="56"/>
      <c r="RP22" s="57"/>
      <c r="RQ22" s="57"/>
      <c r="RR22" s="56"/>
      <c r="RS22" s="57"/>
      <c r="RT22" s="58"/>
      <c r="RU22" s="56"/>
      <c r="RV22" s="57"/>
      <c r="RW22" s="57"/>
      <c r="RX22" s="57"/>
      <c r="RY22" s="56"/>
      <c r="RZ22" s="57"/>
      <c r="SA22" s="57"/>
      <c r="SB22" s="56"/>
      <c r="SC22" s="57"/>
      <c r="SD22" s="58"/>
      <c r="SE22" s="56"/>
      <c r="SF22" s="57"/>
      <c r="SG22" s="57"/>
      <c r="SH22" s="57"/>
      <c r="SI22" s="56"/>
      <c r="SJ22" s="57"/>
      <c r="SK22" s="57"/>
      <c r="SL22" s="56"/>
      <c r="SM22" s="57"/>
      <c r="SN22" s="58"/>
      <c r="SO22" s="56"/>
      <c r="SP22" s="57"/>
      <c r="SQ22" s="57"/>
      <c r="SR22" s="57"/>
      <c r="SS22" s="56"/>
      <c r="ST22" s="57"/>
      <c r="SU22" s="57"/>
      <c r="SV22" s="56"/>
      <c r="SW22" s="57"/>
      <c r="SX22" s="58"/>
      <c r="SY22" s="56"/>
      <c r="SZ22" s="57"/>
      <c r="TA22" s="57"/>
      <c r="TB22" s="57"/>
      <c r="TC22" s="56"/>
      <c r="TD22" s="57"/>
      <c r="TE22" s="57"/>
      <c r="TF22" s="56"/>
      <c r="TG22" s="57"/>
      <c r="TH22" s="58"/>
      <c r="TI22" s="56"/>
      <c r="TJ22" s="57"/>
      <c r="TK22" s="57"/>
      <c r="TL22" s="57"/>
      <c r="TM22" s="56"/>
      <c r="TN22" s="57"/>
      <c r="TO22" s="57"/>
      <c r="TP22" s="56"/>
      <c r="TQ22" s="57"/>
      <c r="TR22" s="58"/>
      <c r="TS22" s="56"/>
      <c r="TT22" s="57"/>
      <c r="TU22" s="57"/>
      <c r="TV22" s="57"/>
      <c r="TW22" s="56"/>
      <c r="TX22" s="57"/>
      <c r="TY22" s="57"/>
      <c r="TZ22" s="56"/>
      <c r="UA22" s="57"/>
      <c r="UB22" s="58"/>
      <c r="UC22" s="56"/>
      <c r="UD22" s="57"/>
      <c r="UE22" s="57"/>
      <c r="UF22" s="57"/>
      <c r="UG22" s="56"/>
      <c r="UH22" s="57"/>
      <c r="UI22" s="57"/>
      <c r="UJ22" s="56"/>
      <c r="UK22" s="57"/>
      <c r="UL22" s="58"/>
      <c r="UM22" s="56"/>
      <c r="UN22" s="57"/>
      <c r="UO22" s="57"/>
      <c r="UP22" s="57"/>
      <c r="UQ22" s="56"/>
      <c r="UR22" s="57"/>
      <c r="US22" s="57"/>
      <c r="UT22" s="56"/>
      <c r="UU22" s="57"/>
      <c r="UV22" s="58"/>
      <c r="UW22" s="56"/>
      <c r="UX22" s="57"/>
      <c r="UY22" s="57"/>
      <c r="UZ22" s="57"/>
      <c r="VA22" s="56"/>
      <c r="VB22" s="57"/>
      <c r="VC22" s="57"/>
      <c r="VD22" s="56"/>
      <c r="VE22" s="57"/>
      <c r="VF22" s="58"/>
      <c r="VG22" s="56"/>
      <c r="VH22" s="57"/>
      <c r="VI22" s="57"/>
      <c r="VJ22" s="57"/>
      <c r="VK22" s="56"/>
      <c r="VL22" s="57"/>
      <c r="VM22" s="57"/>
      <c r="VN22" s="56"/>
      <c r="VO22" s="57"/>
      <c r="VP22" s="58"/>
      <c r="VQ22" s="56"/>
      <c r="VR22" s="57"/>
      <c r="VS22" s="57"/>
      <c r="VT22" s="57"/>
      <c r="VU22" s="56"/>
      <c r="VV22" s="57"/>
      <c r="VW22" s="57"/>
      <c r="VX22" s="56"/>
      <c r="VY22" s="57"/>
      <c r="VZ22" s="58"/>
      <c r="WA22" s="56"/>
      <c r="WB22" s="57"/>
      <c r="WC22" s="57"/>
      <c r="WD22" s="57"/>
      <c r="WE22" s="56"/>
      <c r="WF22" s="57"/>
      <c r="WG22" s="57"/>
      <c r="WH22" s="56"/>
      <c r="WI22" s="57"/>
      <c r="WJ22" s="58"/>
      <c r="WK22" s="56"/>
      <c r="WL22" s="57"/>
      <c r="WM22" s="57"/>
      <c r="WN22" s="57"/>
      <c r="WO22" s="56"/>
      <c r="WP22" s="57"/>
      <c r="WQ22" s="57"/>
      <c r="WR22" s="56"/>
      <c r="WS22" s="57"/>
      <c r="WT22" s="58"/>
      <c r="WU22" s="56"/>
      <c r="WV22" s="57"/>
      <c r="WW22" s="57"/>
      <c r="WX22" s="57"/>
      <c r="WY22" s="56"/>
      <c r="WZ22" s="57"/>
      <c r="XA22" s="57"/>
      <c r="XB22" s="56"/>
      <c r="XC22" s="57"/>
      <c r="XD22" s="58"/>
      <c r="XE22" s="56"/>
      <c r="XF22" s="57"/>
      <c r="XG22" s="57"/>
      <c r="XH22" s="57"/>
      <c r="XI22" s="56"/>
      <c r="XJ22" s="57"/>
      <c r="XK22" s="57"/>
      <c r="XL22" s="56"/>
      <c r="XM22" s="57"/>
      <c r="XN22" s="58"/>
      <c r="XO22" s="56"/>
      <c r="XP22" s="57"/>
      <c r="XQ22" s="57"/>
      <c r="XR22" s="57"/>
      <c r="XS22" s="56"/>
      <c r="XT22" s="57"/>
      <c r="XU22" s="57"/>
      <c r="XV22" s="56"/>
      <c r="XW22" s="57"/>
      <c r="XX22" s="58"/>
      <c r="XY22" s="56"/>
      <c r="XZ22" s="57"/>
      <c r="YA22" s="57"/>
      <c r="YB22" s="57"/>
      <c r="YC22" s="56"/>
      <c r="YD22" s="57"/>
      <c r="YE22" s="57"/>
      <c r="YF22" s="56"/>
      <c r="YG22" s="57"/>
      <c r="YH22" s="58"/>
      <c r="YI22" s="56"/>
      <c r="YJ22" s="57"/>
      <c r="YK22" s="57"/>
      <c r="YL22" s="57"/>
      <c r="YM22" s="56"/>
      <c r="YN22" s="57"/>
      <c r="YO22" s="57"/>
      <c r="YP22" s="56"/>
      <c r="YQ22" s="57"/>
      <c r="YR22" s="58"/>
      <c r="YS22" s="56"/>
      <c r="YT22" s="57"/>
      <c r="YU22" s="57"/>
      <c r="YV22" s="57"/>
      <c r="YW22" s="56"/>
      <c r="YX22" s="57"/>
      <c r="YY22" s="57"/>
      <c r="YZ22" s="56"/>
      <c r="ZA22" s="57"/>
      <c r="ZB22" s="58"/>
      <c r="ZC22" s="56"/>
      <c r="ZD22" s="57"/>
      <c r="ZE22" s="57"/>
      <c r="ZF22" s="57"/>
      <c r="ZG22" s="56"/>
      <c r="ZH22" s="57"/>
      <c r="ZI22" s="57"/>
      <c r="ZJ22" s="56"/>
      <c r="ZK22" s="57"/>
      <c r="ZL22" s="58"/>
      <c r="ZM22" s="56"/>
      <c r="ZN22" s="57"/>
      <c r="ZO22" s="57"/>
      <c r="ZP22" s="57"/>
      <c r="ZQ22" s="56"/>
      <c r="ZR22" s="57"/>
      <c r="ZS22" s="57"/>
      <c r="ZT22" s="56"/>
      <c r="ZU22" s="57"/>
      <c r="ZV22" s="58"/>
      <c r="ZW22" s="56"/>
      <c r="ZX22" s="57"/>
      <c r="ZY22" s="57"/>
      <c r="ZZ22" s="57"/>
      <c r="AAA22" s="56"/>
      <c r="AAB22" s="57"/>
      <c r="AAC22" s="57"/>
      <c r="AAD22" s="56"/>
      <c r="AAE22" s="57"/>
      <c r="AAF22" s="58"/>
      <c r="AAG22" s="56"/>
      <c r="AAH22" s="57"/>
      <c r="AAI22" s="57"/>
      <c r="AAJ22" s="57"/>
      <c r="AAK22" s="56"/>
      <c r="AAL22" s="57"/>
      <c r="AAM22" s="57"/>
      <c r="AAN22" s="56"/>
      <c r="AAO22" s="57"/>
      <c r="AAP22" s="58"/>
      <c r="AAQ22" s="56"/>
      <c r="AAR22" s="57"/>
      <c r="AAS22" s="57"/>
      <c r="AAT22" s="57"/>
      <c r="AAU22" s="56"/>
      <c r="AAV22" s="57"/>
      <c r="AAW22" s="57"/>
      <c r="AAX22" s="58"/>
      <c r="AAY22" s="58"/>
      <c r="AAZ22" s="58"/>
      <c r="ABA22" s="56"/>
      <c r="ABB22" s="58"/>
      <c r="ABC22" s="58"/>
      <c r="ABD22" s="58"/>
      <c r="ABE22" s="58"/>
      <c r="ABF22" s="58"/>
      <c r="ABG22" s="57"/>
      <c r="ABH22" s="56"/>
      <c r="ABI22" s="57"/>
      <c r="ABJ22" s="58"/>
      <c r="ABK22" s="56"/>
      <c r="ABL22" s="57"/>
      <c r="ABM22" s="57"/>
      <c r="ABN22" s="57"/>
      <c r="ABO22" s="56"/>
      <c r="ABP22" s="57"/>
      <c r="ABQ22" s="57"/>
      <c r="ABR22" s="56"/>
      <c r="ABS22" s="57"/>
      <c r="ABT22" s="58"/>
      <c r="ABU22" s="56"/>
      <c r="ABV22" s="57"/>
      <c r="ABW22" s="57"/>
      <c r="ABX22" s="57"/>
      <c r="ABY22" s="56"/>
      <c r="ABZ22" s="57"/>
      <c r="ACA22" s="57"/>
      <c r="ACB22" s="56"/>
      <c r="ACC22" s="57"/>
      <c r="ACD22" s="58"/>
      <c r="ACE22" s="56"/>
      <c r="ACF22" s="57"/>
      <c r="ACG22" s="57"/>
      <c r="ACH22" s="57"/>
      <c r="ACI22" s="56"/>
      <c r="ACJ22" s="57"/>
      <c r="ACK22" s="57"/>
      <c r="ACL22" s="56"/>
      <c r="ACM22" s="57"/>
      <c r="ACN22" s="58"/>
      <c r="ACO22" s="56"/>
      <c r="ACP22" s="57"/>
      <c r="ACQ22" s="57"/>
      <c r="ACR22" s="57"/>
      <c r="ACS22" s="56"/>
      <c r="ACT22" s="57"/>
      <c r="ACU22" s="57"/>
      <c r="ACV22" s="56"/>
      <c r="ACW22" s="57"/>
      <c r="ACX22" s="58"/>
      <c r="ACY22" s="56"/>
      <c r="ACZ22" s="57"/>
      <c r="ADA22" s="57"/>
      <c r="ADB22" s="57"/>
      <c r="ADC22" s="56"/>
      <c r="ADD22" s="57"/>
      <c r="ADE22" s="57"/>
      <c r="ADF22" s="56"/>
      <c r="ADG22" s="57"/>
      <c r="ADH22" s="58"/>
      <c r="ADI22" s="56"/>
      <c r="ADJ22" s="57"/>
      <c r="ADK22" s="57"/>
      <c r="ADL22" s="57"/>
      <c r="ADM22" s="56"/>
      <c r="ADN22" s="57"/>
      <c r="ADO22" s="57"/>
      <c r="ADP22" s="56"/>
      <c r="ADQ22" s="57"/>
      <c r="ADR22" s="58"/>
      <c r="ADS22" s="56"/>
      <c r="ADT22" s="57"/>
      <c r="ADU22" s="57"/>
      <c r="ADV22" s="57"/>
      <c r="ADW22" s="56"/>
      <c r="ADX22" s="57"/>
      <c r="ADY22" s="57"/>
      <c r="ADZ22" s="56"/>
      <c r="AEA22" s="57"/>
      <c r="AEB22" s="58"/>
      <c r="AEC22" s="56"/>
      <c r="AED22" s="57"/>
      <c r="AEE22" s="57"/>
      <c r="AEF22" s="57"/>
      <c r="AEG22" s="56"/>
      <c r="AEH22" s="57"/>
      <c r="AEI22" s="57"/>
      <c r="AEJ22" s="56"/>
      <c r="AEK22" s="57"/>
      <c r="AEL22" s="58"/>
      <c r="AEM22" s="56"/>
      <c r="AEN22" s="57"/>
      <c r="AEO22" s="57"/>
      <c r="AEP22" s="57"/>
      <c r="AEQ22" s="56"/>
      <c r="AER22" s="57"/>
      <c r="AES22" s="57"/>
      <c r="AET22" s="56"/>
      <c r="AEU22" s="57"/>
      <c r="AEV22" s="58"/>
      <c r="AEW22" s="56"/>
      <c r="AEX22" s="57"/>
      <c r="AEY22" s="57"/>
      <c r="AEZ22" s="57"/>
      <c r="AFA22" s="56"/>
      <c r="AFB22" s="57"/>
      <c r="AFC22" s="57"/>
      <c r="AFD22" s="56"/>
      <c r="AFE22" s="57"/>
      <c r="AFF22" s="58"/>
      <c r="AFG22" s="56"/>
      <c r="AFH22" s="57"/>
      <c r="AFI22" s="57"/>
      <c r="AFJ22" s="57"/>
      <c r="AFK22" s="56"/>
      <c r="AFL22" s="57"/>
      <c r="AFM22" s="57"/>
      <c r="AFN22" s="56"/>
      <c r="AFO22" s="57"/>
      <c r="AFP22" s="58"/>
      <c r="AFQ22" s="56"/>
      <c r="AFR22" s="57"/>
      <c r="AFS22" s="57"/>
      <c r="AFT22" s="57"/>
      <c r="AFU22" s="56"/>
      <c r="AFV22" s="57"/>
      <c r="AFW22" s="57"/>
      <c r="AFX22" s="56"/>
      <c r="AFY22" s="57"/>
      <c r="AFZ22" s="58"/>
      <c r="AGA22" s="56"/>
      <c r="AGB22" s="57"/>
      <c r="AGC22" s="57"/>
      <c r="AGD22" s="57"/>
      <c r="AGE22" s="56"/>
      <c r="AGF22" s="57"/>
      <c r="AGG22" s="57"/>
      <c r="AGH22" s="56"/>
      <c r="AGI22" s="57"/>
      <c r="AGJ22" s="58"/>
      <c r="AGK22" s="56"/>
      <c r="AGL22" s="57"/>
      <c r="AGM22" s="57"/>
      <c r="AGN22" s="57"/>
      <c r="AGO22" s="56"/>
      <c r="AGP22" s="57"/>
      <c r="AGQ22" s="57"/>
      <c r="AGR22" s="56"/>
      <c r="AGS22" s="57"/>
      <c r="AGT22" s="58"/>
      <c r="AGU22" s="56"/>
      <c r="AGV22" s="57"/>
      <c r="AGW22" s="57"/>
      <c r="AGX22" s="57"/>
      <c r="AGY22" s="56"/>
      <c r="AGZ22" s="57"/>
      <c r="AHA22" s="57"/>
      <c r="AHB22" s="56"/>
      <c r="AHC22" s="57"/>
      <c r="AHD22" s="58"/>
      <c r="AHE22" s="56"/>
      <c r="AHF22" s="57"/>
      <c r="AHG22" s="57"/>
      <c r="AHH22" s="57"/>
      <c r="AHI22" s="56"/>
      <c r="AHJ22" s="57"/>
      <c r="AHK22" s="57"/>
      <c r="AHL22" s="56"/>
      <c r="AHM22" s="57"/>
      <c r="AHN22" s="58"/>
      <c r="AHO22" s="56"/>
      <c r="AHP22" s="57"/>
      <c r="AHQ22" s="57"/>
      <c r="AHR22" s="57"/>
      <c r="AHS22" s="56"/>
      <c r="AHT22" s="57"/>
      <c r="AHU22" s="57"/>
      <c r="AHV22" s="56"/>
      <c r="AHW22" s="57"/>
      <c r="AHX22" s="58"/>
      <c r="AHY22" s="56"/>
      <c r="AHZ22" s="57"/>
      <c r="AIA22" s="57"/>
      <c r="AIB22" s="57"/>
      <c r="AIC22" s="56"/>
      <c r="AID22" s="57"/>
      <c r="AIE22" s="57"/>
      <c r="AIF22" s="56"/>
      <c r="AIG22" s="57"/>
      <c r="AIH22" s="58"/>
      <c r="AII22" s="56"/>
      <c r="AIJ22" s="57"/>
      <c r="AIK22" s="57"/>
      <c r="AIL22" s="57"/>
      <c r="AIM22" s="56"/>
      <c r="AIN22" s="57"/>
      <c r="AIO22" s="57"/>
      <c r="AIP22" s="56"/>
      <c r="AIQ22" s="57"/>
      <c r="AIR22" s="58"/>
      <c r="AIS22" s="56"/>
      <c r="AIT22" s="57"/>
      <c r="AIU22" s="57"/>
      <c r="AIV22" s="57"/>
      <c r="AIW22" s="56"/>
      <c r="AIX22" s="57"/>
      <c r="AIY22" s="57"/>
      <c r="AIZ22" s="56"/>
      <c r="AJA22" s="57"/>
      <c r="AJB22" s="58"/>
      <c r="AJC22" s="56"/>
      <c r="AJD22" s="57"/>
      <c r="AJE22" s="57"/>
      <c r="AJF22" s="57"/>
      <c r="AJG22" s="56"/>
      <c r="AJH22" s="57"/>
      <c r="AJI22" s="57"/>
      <c r="AJJ22" s="56"/>
      <c r="AJK22" s="57"/>
      <c r="AJL22" s="58"/>
      <c r="AJM22" s="56"/>
      <c r="AJN22" s="57"/>
      <c r="AJO22" s="57"/>
      <c r="AJP22" s="57"/>
      <c r="AJQ22" s="56"/>
      <c r="AJR22" s="57"/>
      <c r="AJS22" s="57"/>
      <c r="AJT22" s="56"/>
      <c r="AJU22" s="57"/>
      <c r="AJV22" s="58"/>
      <c r="AJW22" s="56"/>
      <c r="AJX22" s="57"/>
      <c r="AJY22" s="57"/>
      <c r="AJZ22" s="57"/>
      <c r="AKA22" s="56"/>
      <c r="AKB22" s="57"/>
      <c r="AKC22" s="57"/>
      <c r="AKD22" s="56"/>
      <c r="AKE22" s="57"/>
      <c r="AKF22" s="58"/>
      <c r="AKG22" s="56"/>
      <c r="AKH22" s="57"/>
      <c r="AKI22" s="57"/>
      <c r="AKJ22" s="57"/>
      <c r="AKK22" s="56"/>
      <c r="AKL22" s="57"/>
      <c r="AKM22" s="57"/>
      <c r="AKN22" s="56"/>
      <c r="AKO22" s="57"/>
      <c r="AKP22" s="58"/>
      <c r="AKQ22" s="56"/>
      <c r="AKR22" s="57"/>
      <c r="AKS22" s="57"/>
      <c r="AKT22" s="57"/>
      <c r="AKU22" s="56"/>
      <c r="AKV22" s="57"/>
      <c r="AKW22" s="57"/>
      <c r="AKX22" s="56"/>
      <c r="AKY22" s="57"/>
      <c r="AKZ22" s="58"/>
      <c r="ALA22" s="56"/>
      <c r="ALB22" s="57"/>
      <c r="ALC22" s="57"/>
      <c r="ALD22" s="57"/>
      <c r="ALE22" s="56"/>
      <c r="ALF22" s="57"/>
      <c r="ALG22" s="57"/>
      <c r="ALH22" s="57"/>
      <c r="ALI22" s="57"/>
      <c r="ALJ22" s="57"/>
      <c r="ALK22" s="56"/>
      <c r="ALL22" s="57"/>
      <c r="ALM22" s="57"/>
      <c r="ALN22" s="56"/>
      <c r="ALO22" s="57"/>
      <c r="ALP22" s="58"/>
      <c r="ALQ22" s="56"/>
      <c r="ALR22" s="57"/>
      <c r="ALS22" s="57"/>
      <c r="ALT22" s="57"/>
      <c r="ALU22" s="56"/>
      <c r="ALV22" s="57"/>
      <c r="ALW22" s="57"/>
      <c r="ALX22" s="56"/>
      <c r="ALY22" s="57"/>
      <c r="ALZ22" s="58"/>
      <c r="AMA22" s="56"/>
      <c r="AMB22" s="57"/>
      <c r="AMC22" s="57"/>
      <c r="AMD22" s="57"/>
      <c r="AME22" s="56"/>
      <c r="AMF22" s="57"/>
      <c r="AMG22" s="57"/>
      <c r="AMH22" s="57"/>
      <c r="AMI22" s="57"/>
      <c r="AMJ22" s="57"/>
      <c r="AMK22" s="56"/>
      <c r="AML22" s="57"/>
      <c r="AMM22" s="57"/>
      <c r="AMN22" s="56"/>
      <c r="AMO22" s="57"/>
      <c r="AMP22" s="58"/>
      <c r="AMQ22" s="56"/>
      <c r="AMR22" s="57"/>
      <c r="AMS22" s="57"/>
      <c r="AMT22" s="57"/>
      <c r="AMU22" s="56"/>
      <c r="AMV22" s="57"/>
      <c r="AMW22" s="57"/>
      <c r="AMX22" s="56"/>
      <c r="AMY22" s="57"/>
      <c r="AMZ22" s="58"/>
      <c r="ANA22" s="56"/>
      <c r="ANB22" s="57"/>
      <c r="ANC22" s="57"/>
      <c r="AND22" s="57"/>
      <c r="ANE22" s="56"/>
      <c r="ANF22" s="57"/>
      <c r="ANG22" s="57"/>
      <c r="ANH22" s="57"/>
      <c r="ANI22" s="57"/>
      <c r="ANJ22" s="57"/>
      <c r="ANK22" s="56"/>
      <c r="ANL22" s="57"/>
      <c r="ANM22" s="57"/>
      <c r="ANN22" s="56"/>
      <c r="ANO22" s="57"/>
      <c r="ANP22" s="58"/>
      <c r="ANQ22" s="56"/>
      <c r="ANR22" s="57"/>
      <c r="ANS22" s="57"/>
      <c r="ANT22" s="57"/>
      <c r="ANU22" s="56"/>
      <c r="ANV22" s="57"/>
      <c r="ANW22" s="57"/>
      <c r="ANX22" s="56"/>
      <c r="ANY22" s="57"/>
      <c r="ANZ22" s="58"/>
      <c r="AOA22" s="56"/>
      <c r="AOB22" s="57"/>
      <c r="AOC22" s="57"/>
      <c r="AOD22" s="57"/>
      <c r="AOE22" s="56"/>
      <c r="AOF22" s="57"/>
      <c r="AOG22" s="57"/>
      <c r="AOH22" s="57"/>
      <c r="AOI22" s="57"/>
      <c r="AOJ22" s="57"/>
      <c r="AOK22" s="56"/>
      <c r="AOL22" s="57"/>
      <c r="AOM22" s="57"/>
      <c r="AON22" s="56"/>
      <c r="AOO22" s="57"/>
      <c r="AOP22" s="58"/>
      <c r="AOQ22" s="56"/>
      <c r="AOR22" s="57"/>
      <c r="AOS22" s="57"/>
      <c r="AOT22" s="57"/>
      <c r="AOU22" s="56"/>
      <c r="AOV22" s="57"/>
      <c r="AOW22" s="57"/>
      <c r="AOX22" s="56"/>
      <c r="AOY22" s="57"/>
      <c r="AOZ22" s="58"/>
      <c r="APA22" s="56"/>
      <c r="APB22" s="57"/>
      <c r="APC22" s="57"/>
      <c r="APD22" s="57"/>
      <c r="APE22" s="56"/>
      <c r="APF22" s="57"/>
      <c r="APG22" s="57"/>
      <c r="APH22" s="57"/>
      <c r="API22" s="57"/>
      <c r="APJ22" s="57"/>
      <c r="APK22" s="56"/>
      <c r="APL22" s="57"/>
      <c r="APM22" s="57"/>
      <c r="APN22" s="56"/>
      <c r="APO22" s="57"/>
      <c r="APP22" s="58"/>
      <c r="APQ22" s="56"/>
      <c r="APR22" s="57"/>
      <c r="APS22" s="57"/>
      <c r="APT22" s="57"/>
      <c r="APU22" s="56"/>
      <c r="APV22" s="57"/>
      <c r="APW22" s="57"/>
      <c r="APX22" s="56"/>
      <c r="APY22" s="57"/>
      <c r="APZ22" s="58"/>
      <c r="AQA22" s="56"/>
      <c r="AQB22" s="57"/>
      <c r="AQC22" s="57"/>
      <c r="AQD22" s="57"/>
      <c r="AQE22" s="56"/>
      <c r="AQF22" s="57"/>
      <c r="AQG22" s="57"/>
      <c r="AQH22" s="57"/>
      <c r="AQI22" s="57"/>
      <c r="AQJ22" s="57"/>
      <c r="AQK22" s="56"/>
      <c r="AQL22" s="57"/>
      <c r="AQM22" s="57"/>
      <c r="AQN22" s="56"/>
      <c r="AQO22" s="57"/>
      <c r="AQP22" s="58"/>
      <c r="AQQ22" s="56"/>
      <c r="AQR22" s="57"/>
      <c r="AQS22" s="57"/>
      <c r="AQT22" s="57"/>
      <c r="AQU22" s="56"/>
      <c r="AQV22" s="57"/>
      <c r="AQW22" s="57"/>
      <c r="AQX22" s="56"/>
      <c r="AQY22" s="57"/>
      <c r="AQZ22" s="58"/>
      <c r="ARA22" s="56"/>
      <c r="ARB22" s="57"/>
      <c r="ARC22" s="57"/>
      <c r="ARD22" s="57"/>
      <c r="ARE22" s="56"/>
      <c r="ARF22" s="57"/>
      <c r="ARG22" s="57"/>
      <c r="ARH22" s="57"/>
      <c r="ARI22" s="57"/>
      <c r="ARJ22" s="57"/>
      <c r="ARK22" s="56"/>
      <c r="ARL22" s="57"/>
      <c r="ARM22" s="57"/>
      <c r="ARN22" s="56"/>
      <c r="ARO22" s="57"/>
      <c r="ARP22" s="58"/>
      <c r="ARQ22" s="56"/>
      <c r="ARR22" s="57"/>
      <c r="ARS22" s="57"/>
      <c r="ART22" s="57"/>
      <c r="ARU22" s="56"/>
      <c r="ARV22" s="57"/>
      <c r="ARW22" s="57"/>
      <c r="ARX22" s="56"/>
      <c r="ARY22" s="57"/>
      <c r="ARZ22" s="58"/>
      <c r="ASA22" s="56"/>
      <c r="ASB22" s="57"/>
      <c r="ASC22" s="57"/>
      <c r="ASD22" s="57"/>
      <c r="ASE22" s="56"/>
      <c r="ASF22" s="57"/>
      <c r="ASG22" s="57"/>
      <c r="ASH22" s="57"/>
      <c r="ASI22" s="57"/>
      <c r="ASJ22" s="57"/>
      <c r="ASK22" s="56"/>
      <c r="ASL22" s="57"/>
      <c r="ASM22" s="57"/>
      <c r="ASN22" s="56"/>
      <c r="ASO22" s="57"/>
      <c r="ASP22" s="58"/>
      <c r="ASQ22" s="56"/>
      <c r="ASR22" s="57"/>
      <c r="ASS22" s="57"/>
      <c r="AST22" s="57"/>
      <c r="ASU22" s="56"/>
      <c r="ASV22" s="57"/>
      <c r="ASW22" s="57"/>
      <c r="ASX22" s="56"/>
      <c r="ASY22" s="57"/>
      <c r="ASZ22" s="58"/>
      <c r="ATA22" s="56"/>
      <c r="ATB22" s="57"/>
      <c r="ATC22" s="57"/>
      <c r="ATD22" s="57"/>
      <c r="ATE22" s="56"/>
      <c r="ATF22" s="57"/>
      <c r="ATG22" s="57"/>
      <c r="ATH22" s="57"/>
      <c r="ATI22" s="57"/>
      <c r="ATJ22" s="57"/>
      <c r="ATK22" s="56"/>
      <c r="ATL22" s="57"/>
      <c r="ATM22" s="57"/>
      <c r="ATN22" s="56"/>
      <c r="ATO22" s="57"/>
      <c r="ATP22" s="58"/>
      <c r="ATQ22" s="56"/>
      <c r="ATR22" s="57"/>
      <c r="ATS22" s="57"/>
      <c r="ATT22" s="57"/>
      <c r="ATU22" s="56"/>
      <c r="ATV22" s="57"/>
      <c r="ATW22" s="57"/>
      <c r="ATX22" s="56"/>
      <c r="ATY22" s="57"/>
      <c r="ATZ22" s="58"/>
      <c r="AUA22" s="56"/>
      <c r="AUB22" s="57"/>
      <c r="AUC22" s="57"/>
      <c r="AUD22" s="57"/>
      <c r="AUE22" s="56"/>
      <c r="AUF22" s="57"/>
      <c r="AUG22" s="57"/>
      <c r="AUH22" s="57"/>
      <c r="AUI22" s="57"/>
      <c r="AUJ22" s="57"/>
      <c r="AUK22" s="56"/>
      <c r="AUL22" s="57"/>
      <c r="AUM22" s="57"/>
      <c r="AUN22" s="56"/>
      <c r="AUO22" s="57"/>
      <c r="AUP22" s="58"/>
      <c r="AUQ22" s="56"/>
      <c r="AUR22" s="57"/>
      <c r="AUS22" s="57"/>
      <c r="AUT22" s="57"/>
      <c r="AUU22" s="56"/>
      <c r="AUV22" s="57"/>
      <c r="AUW22" s="57"/>
      <c r="AUX22" s="56"/>
      <c r="AUY22" s="57"/>
      <c r="AUZ22" s="58"/>
      <c r="AVA22" s="56"/>
      <c r="AVB22" s="57"/>
      <c r="AVC22" s="57"/>
      <c r="AVD22" s="57"/>
      <c r="AVE22" s="56"/>
      <c r="AVF22" s="57"/>
      <c r="AVG22" s="57"/>
      <c r="AVH22" s="57"/>
      <c r="AVI22" s="57"/>
      <c r="AVJ22" s="57"/>
      <c r="AVK22" s="56"/>
      <c r="AVL22" s="57"/>
      <c r="AVM22" s="57"/>
      <c r="AVN22" s="56"/>
      <c r="AVO22" s="57"/>
      <c r="AVP22" s="58"/>
      <c r="AVQ22" s="56"/>
      <c r="AVR22" s="57"/>
      <c r="AVS22" s="57"/>
      <c r="AVT22" s="57"/>
      <c r="AVU22" s="56"/>
      <c r="AVV22" s="57"/>
      <c r="AVW22" s="57"/>
      <c r="AVX22" s="56"/>
      <c r="AVY22" s="57"/>
      <c r="AVZ22" s="58"/>
      <c r="AWA22" s="56"/>
      <c r="AWB22" s="57"/>
      <c r="AWC22" s="57"/>
      <c r="AWD22" s="57"/>
      <c r="AWE22" s="56"/>
      <c r="AWF22" s="57"/>
      <c r="AWG22" s="57"/>
      <c r="AWH22" s="57"/>
      <c r="AWI22" s="57"/>
      <c r="AWJ22" s="57"/>
      <c r="AWK22" s="56"/>
      <c r="AWL22" s="57"/>
      <c r="AWM22" s="57"/>
      <c r="AWN22" s="56"/>
      <c r="AWO22" s="57"/>
      <c r="AWP22" s="58"/>
      <c r="AWQ22" s="56"/>
      <c r="AWR22" s="57"/>
      <c r="AWS22" s="57"/>
      <c r="AWT22" s="57"/>
      <c r="AWU22" s="56"/>
      <c r="AWV22" s="57"/>
      <c r="AWW22" s="57"/>
      <c r="AWX22" s="56"/>
      <c r="AWY22" s="57"/>
      <c r="AWZ22" s="58"/>
      <c r="AXA22" s="56"/>
      <c r="AXB22" s="57"/>
      <c r="AXC22" s="57"/>
      <c r="AXD22" s="57"/>
      <c r="AXE22" s="56"/>
      <c r="AXF22" s="57"/>
      <c r="AXG22" s="57"/>
      <c r="AXH22" s="57"/>
      <c r="AXI22" s="57"/>
      <c r="AXJ22" s="57"/>
      <c r="AXK22" s="56"/>
      <c r="AXL22" s="57"/>
      <c r="AXM22" s="57"/>
      <c r="AXN22" s="56"/>
      <c r="AXO22" s="57"/>
      <c r="AXP22" s="58"/>
      <c r="AXQ22" s="56"/>
      <c r="AXR22" s="57"/>
      <c r="AXS22" s="57"/>
      <c r="AXT22" s="57"/>
      <c r="AXU22" s="56"/>
      <c r="AXV22" s="57"/>
      <c r="AXW22" s="57"/>
      <c r="AXX22" s="56"/>
      <c r="AXY22" s="57"/>
      <c r="AXZ22" s="58"/>
      <c r="AYA22" s="56"/>
      <c r="AYB22" s="57"/>
      <c r="AYC22" s="57"/>
      <c r="AYD22" s="57"/>
      <c r="AYE22" s="56"/>
      <c r="AYF22" s="57"/>
      <c r="AYG22" s="57"/>
      <c r="AYH22" s="57"/>
      <c r="AYI22" s="57"/>
      <c r="AYJ22" s="57"/>
      <c r="AYK22" s="56"/>
      <c r="AYL22" s="57"/>
      <c r="AYM22" s="57"/>
      <c r="AYN22" s="56"/>
      <c r="AYO22" s="57"/>
      <c r="AYP22" s="58"/>
      <c r="AYQ22" s="56"/>
      <c r="AYR22" s="57"/>
      <c r="AYS22" s="57"/>
      <c r="AYT22" s="57"/>
      <c r="AYU22" s="56"/>
      <c r="AYV22" s="57"/>
      <c r="AYW22" s="57"/>
      <c r="AYX22" s="56"/>
      <c r="AYY22" s="57"/>
      <c r="AYZ22" s="58"/>
      <c r="AZA22" s="56"/>
      <c r="AZB22" s="57"/>
      <c r="AZC22" s="57"/>
      <c r="AZD22" s="57"/>
      <c r="AZE22" s="56"/>
      <c r="AZF22" s="57"/>
      <c r="AZG22" s="57"/>
      <c r="AZH22" s="57"/>
      <c r="AZI22" s="57"/>
      <c r="AZJ22" s="57"/>
      <c r="AZK22" s="56"/>
      <c r="AZL22" s="57"/>
      <c r="AZM22" s="57"/>
      <c r="AZN22" s="56"/>
      <c r="AZO22" s="57"/>
      <c r="AZP22" s="58"/>
      <c r="AZQ22" s="56"/>
      <c r="AZR22" s="57"/>
      <c r="AZS22" s="57"/>
      <c r="AZT22" s="57"/>
      <c r="AZU22" s="56"/>
      <c r="AZV22" s="57"/>
      <c r="AZW22" s="57"/>
      <c r="AZX22" s="56"/>
      <c r="AZY22" s="57"/>
      <c r="AZZ22" s="58"/>
      <c r="BAA22" s="56"/>
      <c r="BAB22" s="57"/>
      <c r="BAC22" s="57"/>
      <c r="BAD22" s="57"/>
      <c r="BAE22" s="56"/>
      <c r="BAF22" s="57"/>
      <c r="BAG22" s="57"/>
      <c r="BAH22" s="57"/>
      <c r="BAI22" s="57"/>
      <c r="BAJ22" s="57"/>
      <c r="BAK22" s="56"/>
      <c r="BAL22" s="57"/>
      <c r="BAM22" s="57"/>
      <c r="BAN22" s="56"/>
      <c r="BAO22" s="57"/>
      <c r="BAP22" s="58"/>
      <c r="BAQ22" s="56"/>
      <c r="BAR22" s="57"/>
      <c r="BAS22" s="57"/>
      <c r="BAT22" s="57"/>
      <c r="BAU22" s="56"/>
      <c r="BAV22" s="57"/>
      <c r="BAW22" s="57"/>
      <c r="BAX22" s="56"/>
      <c r="BAY22" s="57"/>
      <c r="BAZ22" s="58"/>
      <c r="BBA22" s="56"/>
      <c r="BBB22" s="57"/>
      <c r="BBC22" s="57"/>
      <c r="BBD22" s="57"/>
      <c r="BBE22" s="56"/>
      <c r="BBF22" s="57"/>
      <c r="BBG22" s="57"/>
      <c r="BBH22" s="57"/>
      <c r="BBI22" s="57"/>
      <c r="BBJ22" s="57"/>
      <c r="BBK22" s="56"/>
      <c r="BBL22" s="57"/>
      <c r="BBM22" s="57"/>
      <c r="BBN22" s="56"/>
      <c r="BBO22" s="57"/>
      <c r="BBP22" s="58"/>
      <c r="BBQ22" s="56"/>
      <c r="BBR22" s="57"/>
      <c r="BBS22" s="57"/>
      <c r="BBT22" s="57"/>
      <c r="BBU22" s="56"/>
      <c r="BBV22" s="57"/>
      <c r="BBW22" s="57"/>
      <c r="BBX22" s="56"/>
      <c r="BBY22" s="57"/>
      <c r="BBZ22" s="58"/>
      <c r="BCA22" s="56"/>
      <c r="BCB22" s="57"/>
      <c r="BCC22" s="57"/>
      <c r="BCD22" s="57"/>
      <c r="BCE22" s="56"/>
      <c r="BCF22" s="57"/>
      <c r="BCG22" s="57"/>
      <c r="BCH22" s="57"/>
      <c r="BCI22" s="57"/>
      <c r="BCJ22" s="57"/>
      <c r="BCK22" s="56"/>
      <c r="BCL22" s="57"/>
      <c r="BCM22" s="57"/>
      <c r="BCN22" s="56"/>
      <c r="BCO22" s="57"/>
      <c r="BCP22" s="58"/>
      <c r="BCQ22" s="56"/>
      <c r="BCR22" s="57"/>
      <c r="BCS22" s="57"/>
      <c r="BCT22" s="57"/>
      <c r="BCU22" s="56"/>
      <c r="BCV22" s="57"/>
      <c r="BCW22" s="57"/>
      <c r="BCX22" s="56"/>
      <c r="BCY22" s="57"/>
      <c r="BCZ22" s="58"/>
      <c r="BDA22" s="56"/>
      <c r="BDB22" s="57"/>
      <c r="BDC22" s="57"/>
      <c r="BDD22" s="57"/>
      <c r="BDE22" s="56"/>
      <c r="BDF22" s="57"/>
      <c r="BDG22" s="57"/>
      <c r="BDH22" s="57"/>
      <c r="BDI22" s="57"/>
      <c r="BDJ22" s="57"/>
      <c r="BDK22" s="56"/>
      <c r="BDL22" s="57"/>
      <c r="BDM22" s="57"/>
      <c r="BDN22" s="56"/>
      <c r="BDO22" s="57"/>
      <c r="BDP22" s="58"/>
      <c r="BDQ22" s="56"/>
      <c r="BDR22" s="57"/>
      <c r="BDS22" s="57"/>
      <c r="BDT22" s="57"/>
      <c r="BDU22" s="56"/>
      <c r="BDV22" s="57"/>
      <c r="BDW22" s="57"/>
      <c r="BDX22" s="56"/>
      <c r="BDY22" s="57"/>
      <c r="BDZ22" s="58"/>
      <c r="BEA22" s="56"/>
      <c r="BEB22" s="57"/>
      <c r="BEC22" s="57"/>
      <c r="BED22" s="57"/>
      <c r="BEE22" s="56"/>
      <c r="BEF22" s="57"/>
      <c r="BEG22" s="57"/>
      <c r="BEH22" s="57"/>
      <c r="BEI22" s="57"/>
      <c r="BEJ22" s="57"/>
      <c r="BEK22" s="56"/>
      <c r="BEL22" s="57"/>
      <c r="BEM22" s="57"/>
      <c r="BEN22" s="56"/>
      <c r="BEO22" s="57"/>
      <c r="BEP22" s="58"/>
      <c r="BEQ22" s="56"/>
      <c r="BER22" s="57"/>
      <c r="BES22" s="57"/>
      <c r="BET22" s="57"/>
      <c r="BEU22" s="56"/>
      <c r="BEV22" s="57"/>
      <c r="BEW22" s="57"/>
      <c r="BEX22" s="56"/>
      <c r="BEY22" s="57"/>
      <c r="BEZ22" s="58"/>
      <c r="BFA22" s="56"/>
      <c r="BFB22" s="57"/>
      <c r="BFC22" s="57"/>
      <c r="BFD22" s="57"/>
      <c r="BFE22" s="56"/>
      <c r="BFF22" s="57"/>
      <c r="BFG22" s="57"/>
      <c r="BFH22" s="57"/>
      <c r="BFI22" s="57"/>
      <c r="BFJ22" s="57"/>
      <c r="BFK22" s="56"/>
      <c r="BFL22" s="57"/>
      <c r="BFM22" s="57"/>
      <c r="BFN22" s="56"/>
      <c r="BFO22" s="57"/>
      <c r="BFP22" s="58"/>
      <c r="BFQ22" s="56"/>
      <c r="BFR22" s="57"/>
      <c r="BFS22" s="57"/>
      <c r="BFT22" s="57"/>
      <c r="BFU22" s="56"/>
      <c r="BFV22" s="57"/>
      <c r="BFW22" s="57"/>
      <c r="BFX22" s="56"/>
      <c r="BFY22" s="57"/>
      <c r="BFZ22" s="58"/>
      <c r="BGA22" s="56"/>
      <c r="BGB22" s="57"/>
      <c r="BGC22" s="57"/>
      <c r="BGD22" s="57"/>
      <c r="BGE22" s="56"/>
      <c r="BGF22" s="57"/>
      <c r="BGG22" s="57"/>
      <c r="BGH22" s="57"/>
      <c r="BGI22" s="57"/>
      <c r="BGJ22" s="57"/>
      <c r="BGK22" s="56"/>
      <c r="BGL22" s="57"/>
      <c r="BGM22" s="57"/>
      <c r="BGN22" s="56"/>
      <c r="BGO22" s="57"/>
      <c r="BGP22" s="58"/>
      <c r="BGQ22" s="56"/>
      <c r="BGR22" s="57"/>
      <c r="BGS22" s="57"/>
      <c r="BGT22" s="57"/>
      <c r="BGU22" s="56"/>
      <c r="BGV22" s="57"/>
      <c r="BGW22" s="57"/>
      <c r="BGX22" s="56"/>
      <c r="BGY22" s="57"/>
      <c r="BGZ22" s="58"/>
      <c r="BHA22" s="56"/>
      <c r="BHB22" s="57"/>
      <c r="BHC22" s="57"/>
      <c r="BHD22" s="57"/>
      <c r="BHE22" s="56"/>
      <c r="BHF22" s="57"/>
      <c r="BHG22" s="57"/>
      <c r="BHH22" s="57"/>
      <c r="BHI22" s="57"/>
      <c r="BHJ22" s="57"/>
      <c r="BHK22" s="56"/>
      <c r="BHL22" s="57"/>
      <c r="BHM22" s="57"/>
      <c r="BHN22" s="56"/>
      <c r="BHO22" s="57"/>
      <c r="BHP22" s="58"/>
      <c r="BHQ22" s="56"/>
      <c r="BHR22" s="57"/>
      <c r="BHS22" s="57"/>
      <c r="BHT22" s="57"/>
      <c r="BHU22" s="56"/>
      <c r="BHV22" s="57"/>
      <c r="BHW22" s="57"/>
      <c r="BHX22" s="56"/>
      <c r="BHY22" s="57"/>
      <c r="BHZ22" s="58"/>
      <c r="BIA22" s="56"/>
      <c r="BIB22" s="57"/>
      <c r="BIC22" s="57"/>
      <c r="BID22" s="57"/>
      <c r="BIE22" s="56"/>
      <c r="BIF22" s="57"/>
      <c r="BIG22" s="57"/>
      <c r="BIH22" s="57"/>
      <c r="BII22" s="57"/>
      <c r="BIJ22" s="57"/>
      <c r="BIK22" s="56"/>
      <c r="BIL22" s="57"/>
      <c r="BIM22" s="57"/>
      <c r="BIN22" s="56"/>
      <c r="BIO22" s="57"/>
      <c r="BIP22" s="58"/>
      <c r="BIQ22" s="56"/>
      <c r="BIR22" s="57"/>
      <c r="BIS22" s="57"/>
      <c r="BIT22" s="57"/>
      <c r="BIU22" s="56"/>
      <c r="BIV22" s="57"/>
      <c r="BIW22" s="57"/>
      <c r="BIX22" s="56"/>
      <c r="BIY22" s="57"/>
      <c r="BIZ22" s="58"/>
      <c r="BJA22" s="56"/>
      <c r="BJB22" s="57"/>
      <c r="BJC22" s="57"/>
      <c r="BJD22" s="57"/>
      <c r="BJE22" s="56"/>
      <c r="BJF22" s="57"/>
      <c r="BJG22" s="57"/>
      <c r="BJH22" s="57"/>
      <c r="BJI22" s="57"/>
      <c r="BJJ22" s="57"/>
      <c r="BJK22" s="56"/>
      <c r="BJL22" s="57"/>
      <c r="BJM22" s="57"/>
      <c r="BJN22" s="56"/>
      <c r="BJO22" s="57"/>
      <c r="BJP22" s="58"/>
      <c r="BJQ22" s="56"/>
      <c r="BJR22" s="57"/>
      <c r="BJS22" s="57"/>
      <c r="BJT22" s="57"/>
      <c r="BJU22" s="56"/>
      <c r="BJV22" s="57"/>
      <c r="BJW22" s="57"/>
      <c r="BJX22" s="56"/>
      <c r="BJY22" s="57"/>
      <c r="BJZ22" s="58"/>
      <c r="BKA22" s="56"/>
      <c r="BKB22" s="57"/>
      <c r="BKC22" s="57"/>
      <c r="BKD22" s="57"/>
      <c r="BKE22" s="56"/>
      <c r="BKF22" s="57"/>
      <c r="BKG22" s="57"/>
      <c r="BKH22" s="57"/>
      <c r="BKI22" s="57"/>
      <c r="BKJ22" s="57"/>
      <c r="BKK22" s="56"/>
      <c r="BKL22" s="57"/>
      <c r="BKM22" s="57"/>
      <c r="BKN22" s="56"/>
      <c r="BKO22" s="57"/>
      <c r="BKP22" s="58"/>
      <c r="BKQ22" s="56"/>
      <c r="BKR22" s="57"/>
      <c r="BKS22" s="57"/>
      <c r="BKT22" s="57"/>
      <c r="BKU22" s="56"/>
      <c r="BKV22" s="57"/>
      <c r="BKW22" s="57"/>
      <c r="BKX22" s="56"/>
      <c r="BKY22" s="57"/>
      <c r="BKZ22" s="58"/>
      <c r="BLA22" s="56"/>
      <c r="BLB22" s="57"/>
      <c r="BLC22" s="57"/>
      <c r="BLD22" s="57"/>
      <c r="BLE22" s="56"/>
      <c r="BLF22" s="57"/>
      <c r="BLG22" s="57"/>
      <c r="BLH22" s="57"/>
      <c r="BLI22" s="57"/>
      <c r="BLJ22" s="57"/>
      <c r="BLK22" s="56"/>
      <c r="BLL22" s="57"/>
      <c r="BLM22" s="57"/>
      <c r="BLN22" s="56"/>
      <c r="BLO22" s="57"/>
      <c r="BLP22" s="58"/>
      <c r="BLQ22" s="56"/>
      <c r="BLR22" s="57"/>
      <c r="BLS22" s="57"/>
      <c r="BLT22" s="57"/>
      <c r="BLU22" s="56"/>
      <c r="BLV22" s="57"/>
      <c r="BLW22" s="57"/>
      <c r="BLX22" s="56"/>
      <c r="BLY22" s="57"/>
      <c r="BLZ22" s="58"/>
      <c r="BMA22" s="56"/>
      <c r="BMB22" s="57"/>
      <c r="BMC22" s="57"/>
      <c r="BMD22" s="57"/>
      <c r="BME22" s="56"/>
      <c r="BMF22" s="57"/>
      <c r="BMG22" s="57"/>
      <c r="BMH22" s="57"/>
      <c r="BMI22" s="57"/>
      <c r="BMJ22" s="57"/>
      <c r="BMK22" s="56"/>
      <c r="BML22" s="57"/>
      <c r="BMM22" s="57"/>
      <c r="BMN22" s="56"/>
      <c r="BMO22" s="57"/>
      <c r="BMP22" s="58"/>
      <c r="BMQ22" s="56"/>
      <c r="BMR22" s="57"/>
      <c r="BMS22" s="57"/>
      <c r="BMT22" s="57"/>
      <c r="BMU22" s="56"/>
      <c r="BMV22" s="57"/>
      <c r="BMW22" s="57"/>
      <c r="BMX22" s="56"/>
      <c r="BMY22" s="57"/>
      <c r="BMZ22" s="58"/>
      <c r="BNA22" s="56"/>
      <c r="BNB22" s="57"/>
      <c r="BNC22" s="57"/>
      <c r="BND22" s="57"/>
      <c r="BNE22" s="56"/>
      <c r="BNF22" s="57"/>
      <c r="BNG22" s="57"/>
      <c r="BNH22" s="57"/>
      <c r="BNI22" s="57"/>
      <c r="BNJ22" s="57"/>
      <c r="BNK22" s="56"/>
      <c r="BNL22" s="57"/>
      <c r="BNM22" s="57"/>
      <c r="BNN22" s="56"/>
      <c r="BNO22" s="57"/>
      <c r="BNP22" s="58"/>
      <c r="BNQ22" s="56"/>
      <c r="BNR22" s="57"/>
      <c r="BNS22" s="57"/>
      <c r="BNT22" s="57"/>
      <c r="BNU22" s="56"/>
      <c r="BNV22" s="57"/>
      <c r="BNW22" s="57"/>
      <c r="BNX22" s="56"/>
      <c r="BNY22" s="57"/>
      <c r="BNZ22" s="58"/>
      <c r="BOA22" s="56"/>
      <c r="BOB22" s="57"/>
      <c r="BOC22" s="57"/>
      <c r="BOD22" s="57"/>
      <c r="BOE22" s="56"/>
      <c r="BOF22" s="57"/>
      <c r="BOG22" s="57"/>
      <c r="BOH22" s="57"/>
      <c r="BOI22" s="57"/>
      <c r="BOJ22" s="57"/>
      <c r="BOK22" s="56"/>
      <c r="BOL22" s="57"/>
      <c r="BOM22" s="57"/>
      <c r="BON22" s="56"/>
      <c r="BOO22" s="57"/>
      <c r="BOP22" s="58"/>
      <c r="BOQ22" s="56"/>
      <c r="BOR22" s="57"/>
      <c r="BOS22" s="57"/>
      <c r="BOT22" s="57"/>
      <c r="BOU22" s="56"/>
      <c r="BOV22" s="57"/>
      <c r="BOW22" s="57"/>
      <c r="BOX22" s="56"/>
      <c r="BOY22" s="57"/>
      <c r="BOZ22" s="58"/>
      <c r="BPA22" s="56"/>
      <c r="BPB22" s="57"/>
      <c r="BPC22" s="57"/>
      <c r="BPD22" s="57"/>
      <c r="BPE22" s="56"/>
      <c r="BPF22" s="57"/>
      <c r="BPG22" s="57"/>
      <c r="BPH22" s="57"/>
      <c r="BPI22" s="57"/>
      <c r="BPJ22" s="57"/>
      <c r="BPK22" s="56"/>
      <c r="BPL22" s="57"/>
      <c r="BPM22" s="57"/>
      <c r="BPN22" s="56"/>
      <c r="BPO22" s="57"/>
      <c r="BPP22" s="58"/>
      <c r="BPQ22" s="56"/>
      <c r="BPR22" s="57"/>
      <c r="BPS22" s="57"/>
      <c r="BPT22" s="57"/>
      <c r="BPU22" s="56"/>
      <c r="BPV22" s="57"/>
      <c r="BPW22" s="57"/>
      <c r="BPX22" s="56"/>
      <c r="BPY22" s="57"/>
      <c r="BPZ22" s="58"/>
      <c r="BQA22" s="56"/>
      <c r="BQB22" s="57"/>
      <c r="BQC22" s="57"/>
      <c r="BQD22" s="57"/>
      <c r="BQE22" s="56"/>
      <c r="BQF22" s="57"/>
      <c r="BQG22" s="57"/>
      <c r="BQH22" s="57"/>
      <c r="BQI22" s="57"/>
      <c r="BQJ22" s="57"/>
      <c r="BQK22" s="56"/>
      <c r="BQL22" s="57"/>
      <c r="BQM22" s="57"/>
      <c r="BQN22" s="56"/>
      <c r="BQO22" s="57"/>
      <c r="BQP22" s="58"/>
      <c r="BQQ22" s="56"/>
      <c r="BQR22" s="57"/>
      <c r="BQS22" s="57"/>
      <c r="BQT22" s="57"/>
      <c r="BQU22" s="56"/>
      <c r="BQV22" s="57"/>
      <c r="BQW22" s="57"/>
      <c r="BQX22" s="56"/>
      <c r="BQY22" s="57"/>
      <c r="BQZ22" s="58"/>
      <c r="BRA22" s="56"/>
      <c r="BRB22" s="57"/>
      <c r="BRC22" s="57"/>
      <c r="BRD22" s="57"/>
      <c r="BRE22" s="56"/>
      <c r="BRF22" s="57"/>
      <c r="BRG22" s="57"/>
      <c r="BRH22" s="57"/>
      <c r="BRI22" s="57"/>
      <c r="BRJ22" s="57"/>
      <c r="BRK22" s="56"/>
      <c r="BRL22" s="57"/>
      <c r="BRM22" s="57"/>
      <c r="BRN22" s="56"/>
      <c r="BRO22" s="57"/>
      <c r="BRP22" s="58"/>
      <c r="BRQ22" s="56"/>
      <c r="BRR22" s="57"/>
      <c r="BRS22" s="57"/>
      <c r="BRT22" s="57"/>
      <c r="BRU22" s="56"/>
      <c r="BRV22" s="57"/>
      <c r="BRW22" s="57"/>
      <c r="BRX22" s="56"/>
      <c r="BRY22" s="57"/>
      <c r="BRZ22" s="58"/>
      <c r="BSA22" s="56"/>
      <c r="BSB22" s="57"/>
      <c r="BSC22" s="57"/>
      <c r="BSD22" s="57"/>
      <c r="BSE22" s="56"/>
      <c r="BSF22" s="57"/>
      <c r="BSG22" s="57"/>
      <c r="BSH22" s="57"/>
      <c r="BSI22" s="57"/>
      <c r="BSJ22" s="57"/>
      <c r="BSK22" s="56"/>
      <c r="BSL22" s="57"/>
      <c r="BSM22" s="57"/>
      <c r="BSN22" s="56"/>
      <c r="BSO22" s="57"/>
      <c r="BSP22" s="58"/>
      <c r="BSQ22" s="56"/>
      <c r="BSR22" s="57"/>
      <c r="BSS22" s="57"/>
      <c r="BST22" s="57"/>
      <c r="BSU22" s="56"/>
      <c r="BSV22" s="57"/>
      <c r="BSW22" s="57"/>
      <c r="BSX22" s="56"/>
      <c r="BSY22" s="57"/>
      <c r="BSZ22" s="58"/>
      <c r="BTA22" s="56"/>
      <c r="BTB22" s="57"/>
      <c r="BTC22" s="57"/>
      <c r="BTD22" s="57"/>
      <c r="BTE22" s="56"/>
      <c r="BTF22" s="57"/>
      <c r="BTG22" s="57"/>
      <c r="BTH22" s="57"/>
      <c r="BTI22" s="57"/>
      <c r="BTJ22" s="57"/>
      <c r="BTK22" s="56"/>
      <c r="BTL22" s="57"/>
      <c r="BTM22" s="57"/>
      <c r="BTN22" s="56"/>
      <c r="BTO22" s="57"/>
      <c r="BTP22" s="58"/>
      <c r="BTQ22" s="56"/>
      <c r="BTR22" s="57"/>
      <c r="BTS22" s="57"/>
      <c r="BTT22" s="57"/>
      <c r="BTU22" s="56"/>
      <c r="BTV22" s="57"/>
      <c r="BTW22" s="57"/>
      <c r="BTX22" s="56"/>
      <c r="BTY22" s="57"/>
      <c r="BTZ22" s="58"/>
      <c r="BUA22" s="56"/>
      <c r="BUB22" s="57"/>
      <c r="BUC22" s="57"/>
      <c r="BUD22" s="57"/>
      <c r="BUE22" s="56"/>
      <c r="BUF22" s="57"/>
      <c r="BUG22" s="57"/>
      <c r="BUH22" s="57"/>
      <c r="BUI22" s="57"/>
      <c r="BUJ22" s="57"/>
      <c r="BUK22" s="56"/>
      <c r="BUL22" s="57"/>
      <c r="BUM22" s="57"/>
      <c r="BUN22" s="56"/>
      <c r="BUO22" s="57"/>
      <c r="BUP22" s="58"/>
      <c r="BUQ22" s="56"/>
      <c r="BUR22" s="57"/>
      <c r="BUS22" s="57"/>
      <c r="BUT22" s="57"/>
      <c r="BUU22" s="56"/>
      <c r="BUV22" s="57"/>
      <c r="BUW22" s="57"/>
      <c r="BUX22" s="56"/>
      <c r="BUY22" s="57"/>
      <c r="BUZ22" s="58"/>
      <c r="BVA22" s="56"/>
      <c r="BVB22" s="57"/>
      <c r="BVC22" s="57"/>
      <c r="BVD22" s="57"/>
      <c r="BVE22" s="56"/>
      <c r="BVF22" s="57"/>
      <c r="BVG22" s="57"/>
      <c r="BVH22" s="57"/>
      <c r="BVI22" s="57"/>
      <c r="BVJ22" s="57"/>
      <c r="BVK22" s="56"/>
      <c r="BVL22" s="57"/>
      <c r="BVM22" s="57"/>
      <c r="BVN22" s="56"/>
      <c r="BVO22" s="57"/>
      <c r="BVP22" s="58"/>
      <c r="BVQ22" s="56"/>
      <c r="BVR22" s="57"/>
      <c r="BVS22" s="57"/>
      <c r="BVT22" s="57"/>
      <c r="BVU22" s="56"/>
      <c r="BVV22" s="57"/>
      <c r="BVW22" s="57"/>
      <c r="BVX22" s="56"/>
      <c r="BVY22" s="57"/>
      <c r="BVZ22" s="58"/>
      <c r="BWA22" s="56"/>
      <c r="BWB22" s="57"/>
      <c r="BWC22" s="57"/>
      <c r="BWD22" s="57"/>
      <c r="BWE22" s="56"/>
      <c r="BWF22" s="57"/>
      <c r="BWG22" s="57"/>
      <c r="BWH22" s="57"/>
      <c r="BWI22" s="57"/>
      <c r="BWJ22" s="57"/>
      <c r="BWK22" s="56"/>
      <c r="BWL22" s="57"/>
      <c r="BWM22" s="57"/>
      <c r="BWN22" s="56"/>
      <c r="BWO22" s="57"/>
      <c r="BWP22" s="58"/>
      <c r="BWQ22" s="56"/>
      <c r="BWR22" s="57"/>
      <c r="BWS22" s="57"/>
      <c r="BWT22" s="57"/>
      <c r="BWU22" s="56"/>
      <c r="BWV22" s="57"/>
      <c r="BWW22" s="57"/>
      <c r="BWX22" s="56"/>
      <c r="BWY22" s="57"/>
      <c r="BWZ22" s="58"/>
      <c r="BXA22" s="56"/>
      <c r="BXB22" s="57"/>
      <c r="BXC22" s="57"/>
      <c r="BXD22" s="57"/>
      <c r="BXE22" s="56"/>
      <c r="BXF22" s="57"/>
      <c r="BXG22" s="57"/>
      <c r="BXH22" s="57"/>
      <c r="BXI22" s="57"/>
      <c r="BXJ22" s="57"/>
      <c r="BXK22" s="56"/>
      <c r="BXL22" s="57"/>
      <c r="BXM22" s="57"/>
      <c r="BXN22" s="56"/>
      <c r="BXO22" s="57"/>
      <c r="BXP22" s="58"/>
      <c r="BXQ22" s="56"/>
      <c r="BXR22" s="57"/>
      <c r="BXS22" s="57"/>
      <c r="BXT22" s="57"/>
      <c r="BXU22" s="56"/>
      <c r="BXV22" s="57"/>
      <c r="BXW22" s="57"/>
      <c r="BXX22" s="56"/>
      <c r="BXY22" s="57"/>
      <c r="BXZ22" s="58"/>
      <c r="BYA22" s="56"/>
      <c r="BYB22" s="57"/>
      <c r="BYC22" s="57"/>
      <c r="BYD22" s="57"/>
      <c r="BYE22" s="56"/>
      <c r="BYF22" s="57"/>
      <c r="BYG22" s="57"/>
      <c r="BYH22" s="57"/>
      <c r="BYI22" s="57"/>
      <c r="BYJ22" s="57"/>
      <c r="BYK22" s="56"/>
      <c r="BYL22" s="57"/>
      <c r="BYM22" s="57"/>
      <c r="BYN22" s="56"/>
      <c r="BYO22" s="57"/>
      <c r="BYP22" s="58"/>
      <c r="BYQ22" s="56"/>
      <c r="BYR22" s="57"/>
      <c r="BYS22" s="57"/>
      <c r="BYT22" s="57"/>
      <c r="BYU22" s="56"/>
      <c r="BYV22" s="57"/>
      <c r="BYW22" s="57"/>
      <c r="BYX22" s="58"/>
      <c r="BYY22" s="57"/>
      <c r="BYZ22" s="56"/>
      <c r="BZA22" s="57"/>
      <c r="BZB22" s="56"/>
      <c r="BZC22" s="56"/>
      <c r="BZD22" s="56"/>
      <c r="BZE22" s="57"/>
      <c r="BZF22" s="387"/>
      <c r="BZG22" s="57"/>
      <c r="BZH22" s="387"/>
      <c r="BZI22" s="57"/>
      <c r="BZJ22" s="387"/>
      <c r="BZK22" s="57"/>
      <c r="BZL22" s="57"/>
      <c r="BZM22" s="57"/>
      <c r="BZN22" s="57"/>
      <c r="BZO22" s="57"/>
      <c r="BZP22" s="57"/>
      <c r="BZQ22" s="57"/>
      <c r="BZR22" s="57"/>
      <c r="BZS22" s="57"/>
      <c r="BZT22" s="57"/>
      <c r="BZU22" s="57"/>
      <c r="BZV22" s="57"/>
      <c r="BZW22" s="57"/>
      <c r="BZX22" s="57"/>
      <c r="BZY22" s="57"/>
      <c r="BZZ22" s="57"/>
      <c r="CAA22" s="57"/>
      <c r="CAB22" s="57"/>
      <c r="CAC22" s="57"/>
      <c r="CAD22" s="57"/>
      <c r="CAE22" s="57"/>
      <c r="CAF22" s="57"/>
      <c r="CAG22" s="57"/>
      <c r="CAH22" s="57"/>
      <c r="CAI22" s="57"/>
      <c r="CAJ22" s="57"/>
      <c r="CAK22" s="57"/>
      <c r="CAL22" s="57"/>
      <c r="CAM22" s="57"/>
      <c r="CAN22" s="57"/>
      <c r="CAO22" s="57"/>
      <c r="CAP22" s="58"/>
      <c r="CAQ22" s="56"/>
      <c r="CAR22" s="57"/>
      <c r="CAS22" s="57"/>
      <c r="CAT22" s="57"/>
      <c r="CAU22" s="57"/>
      <c r="CAV22" s="57"/>
      <c r="CAW22" s="56"/>
      <c r="CAX22" s="57"/>
      <c r="CAY22" s="57"/>
      <c r="CAZ22" s="56"/>
      <c r="CBA22" s="57"/>
      <c r="CBB22" s="58"/>
      <c r="CBC22" s="56"/>
      <c r="CBD22" s="57"/>
      <c r="CBE22" s="57"/>
      <c r="CBF22" s="57"/>
      <c r="CBG22" s="56"/>
      <c r="CBH22" s="57"/>
      <c r="CBI22" s="57"/>
      <c r="CBJ22" s="56"/>
      <c r="CBK22" s="57"/>
      <c r="CBL22" s="58"/>
      <c r="CBM22" s="56"/>
      <c r="CBN22" s="57"/>
      <c r="CBO22" s="57"/>
      <c r="CBP22" s="57"/>
      <c r="CBQ22" s="56"/>
      <c r="CBR22" s="57"/>
      <c r="CBS22" s="57"/>
      <c r="CBT22" s="56"/>
      <c r="CBU22" s="57"/>
      <c r="CBV22" s="58"/>
      <c r="CBW22" s="56"/>
      <c r="CBX22" s="57"/>
      <c r="CBY22" s="57"/>
      <c r="CBZ22" s="57"/>
      <c r="CCA22" s="56"/>
      <c r="CCB22" s="57"/>
      <c r="CCC22" s="57"/>
      <c r="CCD22" s="56"/>
      <c r="CCE22" s="57"/>
      <c r="CCF22" s="58"/>
      <c r="CCG22" s="56"/>
      <c r="CCH22" s="58"/>
      <c r="CCI22" s="57"/>
      <c r="CCJ22" s="56"/>
      <c r="CCK22" s="57"/>
      <c r="CCL22" s="56"/>
      <c r="CCM22" s="56"/>
      <c r="CCN22" s="56"/>
      <c r="CCO22" s="57"/>
      <c r="CCP22" s="387"/>
      <c r="CCQ22" s="57"/>
      <c r="CCR22" s="387"/>
      <c r="CCS22" s="57"/>
      <c r="CCT22" s="387"/>
      <c r="CCU22" s="57"/>
      <c r="CCV22" s="57"/>
      <c r="CCW22" s="57"/>
      <c r="CCX22" s="57"/>
      <c r="CCY22" s="57"/>
      <c r="CCZ22" s="57"/>
      <c r="CDA22" s="57"/>
      <c r="CDB22" s="57"/>
      <c r="CDC22" s="57"/>
      <c r="CDD22" s="57"/>
      <c r="CDE22" s="57"/>
      <c r="CDF22" s="57"/>
      <c r="CDG22" s="57"/>
      <c r="CDH22" s="57"/>
      <c r="CDI22" s="57"/>
      <c r="CDJ22" s="57"/>
      <c r="CDK22" s="57"/>
      <c r="CDL22" s="57"/>
      <c r="CDM22" s="57"/>
      <c r="CDN22" s="57"/>
      <c r="CDO22" s="57"/>
      <c r="CDP22" s="57"/>
      <c r="CDQ22" s="57"/>
      <c r="CDR22" s="57"/>
      <c r="CDS22" s="57"/>
      <c r="CDT22" s="57"/>
      <c r="CDU22" s="57"/>
      <c r="CDV22" s="57"/>
      <c r="CDW22" s="57"/>
      <c r="CDX22" s="57"/>
      <c r="CDY22" s="57"/>
      <c r="CDZ22" s="58"/>
      <c r="CEA22" s="56"/>
      <c r="CEB22" s="57"/>
      <c r="CEC22" s="57"/>
      <c r="CED22" s="57"/>
      <c r="CEE22" s="57"/>
      <c r="CEF22" s="57"/>
      <c r="CEG22" s="56"/>
      <c r="CEH22" s="57"/>
      <c r="CEI22" s="57"/>
      <c r="CEJ22" s="56"/>
      <c r="CEK22" s="57"/>
      <c r="CEL22" s="58"/>
      <c r="CEM22" s="56"/>
      <c r="CEN22" s="57"/>
      <c r="CEO22" s="57"/>
      <c r="CEP22" s="57"/>
      <c r="CEQ22" s="56"/>
      <c r="CER22" s="57"/>
      <c r="CES22" s="57"/>
      <c r="CET22" s="56"/>
      <c r="CEU22" s="57"/>
      <c r="CEV22" s="58"/>
      <c r="CEW22" s="56"/>
      <c r="CEX22" s="57"/>
      <c r="CEY22" s="57"/>
      <c r="CEZ22" s="57"/>
      <c r="CFA22" s="56"/>
      <c r="CFB22" s="57"/>
      <c r="CFC22" s="57"/>
      <c r="CFD22" s="56"/>
      <c r="CFE22" s="57"/>
      <c r="CFF22" s="58"/>
      <c r="CFG22" s="56"/>
      <c r="CFH22" s="57"/>
      <c r="CFI22" s="57"/>
      <c r="CFJ22" s="57"/>
      <c r="CFK22" s="56"/>
      <c r="CFL22" s="57"/>
      <c r="CFM22" s="57"/>
      <c r="CFN22" s="56"/>
      <c r="CFO22" s="57"/>
      <c r="CFP22" s="58"/>
      <c r="CFQ22" s="56"/>
      <c r="CFR22" s="58"/>
      <c r="CFS22" s="57"/>
      <c r="CFT22" s="56"/>
      <c r="CFU22" s="57"/>
      <c r="CFV22" s="56"/>
      <c r="CFW22" s="56"/>
      <c r="CFX22" s="56"/>
      <c r="CFY22" s="57"/>
      <c r="CFZ22" s="387"/>
      <c r="CGA22" s="57"/>
      <c r="CGB22" s="387"/>
      <c r="CGC22" s="57"/>
      <c r="CGD22" s="387"/>
      <c r="CGE22" s="57"/>
      <c r="CGF22" s="57"/>
      <c r="CGG22" s="57"/>
      <c r="CGH22" s="57"/>
      <c r="CGI22" s="57"/>
      <c r="CGJ22" s="57"/>
      <c r="CGK22" s="57"/>
      <c r="CGL22" s="57"/>
      <c r="CGM22" s="57"/>
      <c r="CGN22" s="57"/>
      <c r="CGO22" s="57"/>
      <c r="CGP22" s="57"/>
      <c r="CGQ22" s="57"/>
      <c r="CGR22" s="57"/>
      <c r="CGS22" s="57"/>
      <c r="CGT22" s="57"/>
      <c r="CGU22" s="57"/>
      <c r="CGV22" s="57"/>
      <c r="CGW22" s="57"/>
      <c r="CGX22" s="57"/>
      <c r="CGY22" s="57"/>
      <c r="CGZ22" s="57"/>
      <c r="CHA22" s="57"/>
      <c r="CHB22" s="57"/>
      <c r="CHC22" s="57"/>
      <c r="CHD22" s="57"/>
      <c r="CHE22" s="57"/>
      <c r="CHF22" s="57"/>
      <c r="CHG22" s="57"/>
      <c r="CHH22" s="57"/>
      <c r="CHI22" s="57"/>
      <c r="CHJ22" s="58"/>
      <c r="CHK22" s="56"/>
      <c r="CHL22" s="57"/>
      <c r="CHM22" s="57"/>
      <c r="CHN22" s="57"/>
      <c r="CHO22" s="57"/>
      <c r="CHP22" s="57"/>
      <c r="CHQ22" s="56"/>
      <c r="CHR22" s="57"/>
      <c r="CHS22" s="57"/>
      <c r="CHT22" s="56"/>
      <c r="CHU22" s="57"/>
      <c r="CHV22" s="58"/>
      <c r="CHW22" s="56"/>
      <c r="CHX22" s="57"/>
      <c r="CHY22" s="57"/>
      <c r="CHZ22" s="57"/>
      <c r="CIA22" s="56"/>
      <c r="CIB22" s="57"/>
      <c r="CIC22" s="57"/>
      <c r="CID22" s="56"/>
      <c r="CIE22" s="57"/>
      <c r="CIF22" s="58"/>
      <c r="CIG22" s="56"/>
      <c r="CIH22" s="57"/>
      <c r="CII22" s="57"/>
      <c r="CIJ22" s="57"/>
      <c r="CIK22" s="56"/>
      <c r="CIL22" s="57"/>
      <c r="CIM22" s="57"/>
      <c r="CIN22" s="56"/>
      <c r="CIO22" s="57"/>
      <c r="CIP22" s="58"/>
      <c r="CIQ22" s="56"/>
      <c r="CIR22" s="57"/>
      <c r="CIS22" s="57"/>
      <c r="CIT22" s="57"/>
      <c r="CIU22" s="56"/>
      <c r="CIV22" s="57"/>
      <c r="CIW22" s="57"/>
      <c r="CIX22" s="56"/>
      <c r="CIY22" s="57"/>
      <c r="CIZ22" s="58"/>
      <c r="CJA22" s="56"/>
      <c r="CJB22" s="58"/>
      <c r="CJC22" s="57"/>
      <c r="CJD22" s="56"/>
      <c r="CJE22" s="57"/>
      <c r="CJF22" s="56"/>
      <c r="CJG22" s="56"/>
      <c r="CJH22" s="56"/>
      <c r="CJI22" s="57"/>
      <c r="CJJ22" s="387"/>
      <c r="CJK22" s="57"/>
      <c r="CJL22" s="387"/>
      <c r="CJM22" s="57"/>
      <c r="CJN22" s="387"/>
      <c r="CJO22" s="57"/>
      <c r="CJP22" s="57"/>
      <c r="CJQ22" s="57"/>
      <c r="CJR22" s="57"/>
      <c r="CJS22" s="57"/>
      <c r="CJT22" s="57"/>
      <c r="CJU22" s="57"/>
      <c r="CJV22" s="57"/>
      <c r="CJW22" s="57"/>
      <c r="CJX22" s="57"/>
      <c r="CJY22" s="57"/>
      <c r="CJZ22" s="57"/>
      <c r="CKA22" s="57"/>
      <c r="CKB22" s="57"/>
      <c r="CKC22" s="57"/>
      <c r="CKD22" s="57"/>
      <c r="CKE22" s="57"/>
      <c r="CKF22" s="57"/>
      <c r="CKG22" s="57"/>
      <c r="CKH22" s="57"/>
      <c r="CKI22" s="57"/>
      <c r="CKJ22" s="57"/>
      <c r="CKK22" s="57"/>
      <c r="CKL22" s="57"/>
      <c r="CKM22" s="57"/>
      <c r="CKN22" s="57"/>
      <c r="CKO22" s="57"/>
      <c r="CKP22" s="57"/>
      <c r="CKQ22" s="57"/>
      <c r="CKR22" s="57"/>
      <c r="CKS22" s="57"/>
      <c r="CKT22" s="58"/>
      <c r="CKU22" s="56"/>
      <c r="CKV22" s="57"/>
      <c r="CKW22" s="57"/>
      <c r="CKX22" s="57"/>
      <c r="CKY22" s="57"/>
      <c r="CKZ22" s="57"/>
      <c r="CLA22" s="56"/>
      <c r="CLB22" s="57"/>
      <c r="CLC22" s="57"/>
      <c r="CLD22" s="56"/>
      <c r="CLE22" s="57"/>
      <c r="CLF22" s="58"/>
      <c r="CLG22" s="56"/>
      <c r="CLH22" s="57"/>
      <c r="CLI22" s="57"/>
      <c r="CLJ22" s="57"/>
      <c r="CLK22" s="56"/>
      <c r="CLL22" s="57"/>
      <c r="CLM22" s="57"/>
      <c r="CLN22" s="56"/>
      <c r="CLO22" s="57"/>
      <c r="CLP22" s="58"/>
      <c r="CLQ22" s="56"/>
      <c r="CLR22" s="57"/>
      <c r="CLS22" s="57"/>
      <c r="CLT22" s="57"/>
      <c r="CLU22" s="56"/>
      <c r="CLV22" s="57"/>
      <c r="CLW22" s="57"/>
      <c r="CLX22" s="56"/>
      <c r="CLY22" s="57"/>
      <c r="CLZ22" s="58"/>
      <c r="CMA22" s="56"/>
      <c r="CMB22" s="57"/>
      <c r="CMC22" s="57"/>
      <c r="CMD22" s="57"/>
      <c r="CME22" s="56"/>
      <c r="CMF22" s="57"/>
      <c r="CMG22" s="57"/>
      <c r="CMH22" s="56"/>
      <c r="CMI22" s="57"/>
      <c r="CMJ22" s="58"/>
      <c r="CMK22" s="56"/>
      <c r="CML22" s="58"/>
      <c r="CMM22" s="57"/>
      <c r="CMN22" s="56"/>
      <c r="CMO22" s="57"/>
      <c r="CMP22" s="56"/>
      <c r="CMQ22" s="56"/>
      <c r="CMR22" s="56"/>
      <c r="CMS22" s="57"/>
      <c r="CMT22" s="387"/>
      <c r="CMU22" s="57"/>
      <c r="CMV22" s="387"/>
      <c r="CMW22" s="57"/>
      <c r="CMX22" s="387"/>
      <c r="CMY22" s="57"/>
      <c r="CMZ22" s="57"/>
      <c r="CNA22" s="57"/>
      <c r="CNB22" s="57"/>
      <c r="CNC22" s="57"/>
      <c r="CND22" s="57"/>
      <c r="CNE22" s="57"/>
      <c r="CNF22" s="57"/>
      <c r="CNG22" s="57"/>
      <c r="CNH22" s="57"/>
      <c r="CNI22" s="57"/>
      <c r="CNJ22" s="57"/>
      <c r="CNK22" s="57"/>
      <c r="CNL22" s="57"/>
      <c r="CNM22" s="57"/>
      <c r="CNN22" s="57"/>
      <c r="CNO22" s="57"/>
      <c r="CNP22" s="57"/>
      <c r="CNQ22" s="57"/>
      <c r="CNR22" s="57"/>
      <c r="CNS22" s="57"/>
      <c r="CNT22" s="57"/>
      <c r="CNU22" s="57"/>
      <c r="CNV22" s="57"/>
      <c r="CNW22" s="57"/>
      <c r="CNX22" s="57"/>
      <c r="CNY22" s="57"/>
      <c r="CNZ22" s="57"/>
      <c r="COA22" s="57"/>
      <c r="COB22" s="57"/>
      <c r="COC22" s="57"/>
      <c r="COD22" s="58"/>
      <c r="COE22" s="56"/>
      <c r="COF22" s="57"/>
      <c r="COG22" s="57"/>
      <c r="COH22" s="57"/>
      <c r="COI22" s="57"/>
      <c r="COJ22" s="57"/>
      <c r="COK22" s="56"/>
      <c r="COL22" s="57"/>
      <c r="COM22" s="57"/>
      <c r="CON22" s="56"/>
      <c r="COO22" s="57"/>
      <c r="COP22" s="58"/>
      <c r="COQ22" s="56"/>
      <c r="COR22" s="57"/>
      <c r="COS22" s="57"/>
      <c r="COT22" s="57"/>
      <c r="COU22" s="56"/>
      <c r="COV22" s="57"/>
      <c r="COW22" s="57"/>
      <c r="COX22" s="56"/>
      <c r="COY22" s="57"/>
      <c r="COZ22" s="58"/>
      <c r="CPA22" s="56"/>
      <c r="CPB22" s="57"/>
      <c r="CPC22" s="57"/>
      <c r="CPD22" s="57"/>
      <c r="CPE22" s="56"/>
      <c r="CPF22" s="57"/>
      <c r="CPG22" s="57"/>
      <c r="CPH22" s="56"/>
      <c r="CPI22" s="57"/>
      <c r="CPJ22" s="58"/>
      <c r="CPK22" s="56"/>
      <c r="CPL22" s="57"/>
      <c r="CPM22" s="57"/>
      <c r="CPN22" s="57"/>
      <c r="CPO22" s="56"/>
      <c r="CPP22" s="57"/>
      <c r="CPQ22" s="57"/>
      <c r="CPR22" s="56"/>
      <c r="CPS22" s="57"/>
      <c r="CPT22" s="58"/>
      <c r="CPU22" s="56"/>
      <c r="CPV22" s="58"/>
      <c r="CPW22" s="57"/>
      <c r="CPX22" s="56"/>
      <c r="CPY22" s="57"/>
      <c r="CPZ22" s="56"/>
      <c r="CQA22" s="56"/>
      <c r="CQB22" s="56"/>
      <c r="CQC22" s="57"/>
      <c r="CQD22" s="387"/>
      <c r="CQE22" s="57"/>
      <c r="CQF22" s="387"/>
      <c r="CQG22" s="57"/>
      <c r="CQH22" s="387"/>
      <c r="CQI22" s="57"/>
      <c r="CQJ22" s="57"/>
      <c r="CQK22" s="57"/>
      <c r="CQL22" s="57"/>
      <c r="CQM22" s="57"/>
      <c r="CQN22" s="57"/>
      <c r="CQO22" s="57"/>
      <c r="CQP22" s="57"/>
      <c r="CQQ22" s="57"/>
      <c r="CQR22" s="57"/>
      <c r="CQS22" s="57"/>
      <c r="CQT22" s="57"/>
      <c r="CQU22" s="57"/>
      <c r="CQV22" s="57"/>
      <c r="CQW22" s="57"/>
      <c r="CQX22" s="57"/>
      <c r="CQY22" s="57"/>
      <c r="CQZ22" s="57"/>
      <c r="CRA22" s="57"/>
      <c r="CRB22" s="57"/>
      <c r="CRC22" s="57"/>
      <c r="CRD22" s="57"/>
      <c r="CRE22" s="57"/>
      <c r="CRF22" s="57"/>
      <c r="CRG22" s="57"/>
      <c r="CRH22" s="57"/>
      <c r="CRI22" s="57"/>
      <c r="CRJ22" s="57"/>
      <c r="CRK22" s="57"/>
      <c r="CRL22" s="57"/>
      <c r="CRM22" s="57"/>
      <c r="CRN22" s="58"/>
      <c r="CRO22" s="56"/>
      <c r="CRP22" s="57"/>
      <c r="CRQ22" s="57"/>
      <c r="CRR22" s="57"/>
      <c r="CRS22" s="57"/>
      <c r="CRT22" s="57"/>
      <c r="CRU22" s="56"/>
      <c r="CRV22" s="57"/>
      <c r="CRW22" s="57"/>
      <c r="CRX22" s="56"/>
      <c r="CRY22" s="57"/>
      <c r="CRZ22" s="58"/>
      <c r="CSA22" s="56"/>
      <c r="CSB22" s="57"/>
      <c r="CSC22" s="57"/>
      <c r="CSD22" s="57"/>
      <c r="CSE22" s="56"/>
      <c r="CSF22" s="57"/>
      <c r="CSG22" s="57"/>
      <c r="CSH22" s="56"/>
      <c r="CSI22" s="57"/>
      <c r="CSJ22" s="58"/>
      <c r="CSK22" s="56"/>
      <c r="CSL22" s="57"/>
      <c r="CSM22" s="57"/>
      <c r="CSN22" s="57"/>
      <c r="CSO22" s="56"/>
      <c r="CSP22" s="57"/>
      <c r="CSQ22" s="57"/>
      <c r="CSR22" s="56"/>
      <c r="CSS22" s="57"/>
      <c r="CST22" s="58"/>
      <c r="CSU22" s="56"/>
      <c r="CSV22" s="57"/>
      <c r="CSW22" s="57"/>
      <c r="CSX22" s="57"/>
      <c r="CSY22" s="56"/>
      <c r="CSZ22" s="57"/>
      <c r="CTA22" s="57"/>
      <c r="CTB22" s="56"/>
      <c r="CTC22" s="57"/>
      <c r="CTD22" s="58"/>
      <c r="CTE22" s="56"/>
      <c r="CTF22" s="58"/>
      <c r="CTG22" s="57"/>
      <c r="CTH22" s="56"/>
      <c r="CTI22" s="57"/>
      <c r="CTJ22" s="56"/>
      <c r="CTK22" s="56"/>
      <c r="CTL22" s="56"/>
      <c r="CTM22" s="57"/>
      <c r="CTN22" s="387"/>
      <c r="CTO22" s="57"/>
      <c r="CTP22" s="387"/>
      <c r="CTQ22" s="57"/>
      <c r="CTR22" s="387"/>
      <c r="CTS22" s="57"/>
      <c r="CTT22" s="57"/>
      <c r="CTU22" s="57"/>
      <c r="CTV22" s="57"/>
      <c r="CTW22" s="57"/>
      <c r="CTX22" s="57"/>
      <c r="CTY22" s="57"/>
      <c r="CTZ22" s="57"/>
      <c r="CUA22" s="57"/>
      <c r="CUB22" s="57"/>
      <c r="CUC22" s="57"/>
      <c r="CUD22" s="57"/>
      <c r="CUE22" s="57"/>
      <c r="CUF22" s="57"/>
      <c r="CUG22" s="57"/>
      <c r="CUH22" s="57"/>
      <c r="CUI22" s="57"/>
      <c r="CUJ22" s="57"/>
      <c r="CUK22" s="57"/>
      <c r="CUL22" s="57"/>
      <c r="CUM22" s="57"/>
      <c r="CUN22" s="57"/>
      <c r="CUO22" s="57"/>
      <c r="CUP22" s="57"/>
      <c r="CUQ22" s="57"/>
      <c r="CUR22" s="57"/>
      <c r="CUS22" s="57"/>
      <c r="CUT22" s="57"/>
      <c r="CUU22" s="57"/>
      <c r="CUV22" s="57"/>
      <c r="CUW22" s="57"/>
      <c r="CUX22" s="58"/>
      <c r="CUY22" s="56"/>
      <c r="CUZ22" s="57"/>
      <c r="CVA22" s="57"/>
      <c r="CVB22" s="57"/>
      <c r="CVC22" s="57"/>
      <c r="CVD22" s="57"/>
      <c r="CVE22" s="56"/>
      <c r="CVF22" s="57"/>
      <c r="CVG22" s="57"/>
      <c r="CVH22" s="56"/>
      <c r="CVI22" s="57"/>
      <c r="CVJ22" s="58"/>
      <c r="CVK22" s="56"/>
      <c r="CVL22" s="57"/>
      <c r="CVM22" s="57"/>
      <c r="CVN22" s="57"/>
      <c r="CVO22" s="56"/>
      <c r="CVP22" s="57"/>
      <c r="CVQ22" s="57"/>
      <c r="CVR22" s="56"/>
      <c r="CVS22" s="57"/>
      <c r="CVT22" s="58"/>
      <c r="CVU22" s="56"/>
      <c r="CVV22" s="57"/>
      <c r="CVW22" s="57"/>
      <c r="CVX22" s="57"/>
      <c r="CVY22" s="56"/>
      <c r="CVZ22" s="57"/>
      <c r="CWA22" s="57"/>
      <c r="CWB22" s="56"/>
      <c r="CWC22" s="57"/>
      <c r="CWD22" s="58"/>
      <c r="CWE22" s="56"/>
      <c r="CWF22" s="57"/>
      <c r="CWG22" s="57"/>
      <c r="CWH22" s="57"/>
      <c r="CWI22" s="56"/>
      <c r="CWJ22" s="57"/>
      <c r="CWK22" s="57"/>
      <c r="CWL22" s="56"/>
      <c r="CWM22" s="57"/>
      <c r="CWN22" s="58"/>
      <c r="CWO22" s="56"/>
      <c r="CWP22" s="58"/>
      <c r="CWQ22" s="57"/>
      <c r="CWR22" s="56"/>
      <c r="CWS22" s="57"/>
      <c r="CWT22" s="56"/>
      <c r="CWU22" s="56"/>
      <c r="CWV22" s="56"/>
      <c r="CWW22" s="57"/>
      <c r="CWX22" s="387"/>
      <c r="CWY22" s="57"/>
      <c r="CWZ22" s="387"/>
      <c r="CXA22" s="57"/>
      <c r="CXB22" s="387"/>
      <c r="CXC22" s="57"/>
      <c r="CXD22" s="57"/>
      <c r="CXE22" s="57"/>
      <c r="CXF22" s="57"/>
      <c r="CXG22" s="57"/>
      <c r="CXH22" s="57"/>
      <c r="CXI22" s="57"/>
      <c r="CXJ22" s="57"/>
      <c r="CXK22" s="57"/>
      <c r="CXL22" s="57"/>
      <c r="CXM22" s="57"/>
      <c r="CXN22" s="57"/>
      <c r="CXO22" s="57"/>
      <c r="CXP22" s="57"/>
      <c r="CXQ22" s="57"/>
      <c r="CXR22" s="57"/>
      <c r="CXS22" s="57"/>
      <c r="CXT22" s="57"/>
      <c r="CXU22" s="57"/>
      <c r="CXV22" s="57"/>
      <c r="CXW22" s="57"/>
      <c r="CXX22" s="57"/>
      <c r="CXY22" s="57"/>
      <c r="CXZ22" s="57"/>
      <c r="CYA22" s="57"/>
      <c r="CYB22" s="57"/>
      <c r="CYC22" s="57"/>
      <c r="CYD22" s="57"/>
      <c r="CYE22" s="57"/>
      <c r="CYF22" s="57"/>
      <c r="CYG22" s="57"/>
      <c r="CYH22" s="58"/>
      <c r="CYI22" s="56"/>
      <c r="CYJ22" s="57"/>
      <c r="CYK22" s="57"/>
      <c r="CYL22" s="57"/>
      <c r="CYM22" s="57"/>
      <c r="CYN22" s="57"/>
      <c r="CYO22" s="56"/>
      <c r="CYP22" s="57"/>
      <c r="CYQ22" s="57"/>
      <c r="CYR22" s="56"/>
      <c r="CYS22" s="57"/>
      <c r="CYT22" s="58"/>
      <c r="CYU22" s="56"/>
      <c r="CYV22" s="57"/>
      <c r="CYW22" s="57"/>
      <c r="CYX22" s="57"/>
      <c r="CYY22" s="56"/>
      <c r="CYZ22" s="57"/>
      <c r="CZA22" s="57"/>
      <c r="CZB22" s="56"/>
      <c r="CZC22" s="57"/>
      <c r="CZD22" s="58"/>
      <c r="CZE22" s="56"/>
      <c r="CZF22" s="57"/>
      <c r="CZG22" s="57"/>
      <c r="CZH22" s="57"/>
      <c r="CZI22" s="56"/>
      <c r="CZJ22" s="57"/>
      <c r="CZK22" s="57"/>
      <c r="CZL22" s="56"/>
      <c r="CZM22" s="57"/>
      <c r="CZN22" s="58"/>
      <c r="CZO22" s="56"/>
      <c r="CZP22" s="57"/>
      <c r="CZQ22" s="57"/>
      <c r="CZR22" s="57"/>
      <c r="CZS22" s="56"/>
      <c r="CZT22" s="57"/>
      <c r="CZU22" s="57"/>
      <c r="CZV22" s="56"/>
      <c r="CZW22" s="57"/>
      <c r="CZX22" s="58"/>
      <c r="CZY22" s="56"/>
      <c r="CZZ22" s="58"/>
      <c r="DAA22" s="57"/>
      <c r="DAB22" s="56"/>
      <c r="DAC22" s="57"/>
      <c r="DAD22" s="56"/>
      <c r="DAE22" s="56"/>
      <c r="DAF22" s="56"/>
      <c r="DAG22" s="57"/>
      <c r="DAH22" s="387"/>
      <c r="DAI22" s="57"/>
      <c r="DAJ22" s="387"/>
      <c r="DAK22" s="57"/>
      <c r="DAL22" s="387"/>
      <c r="DAM22" s="57"/>
      <c r="DAN22" s="57"/>
      <c r="DAO22" s="57"/>
      <c r="DAP22" s="57"/>
      <c r="DAQ22" s="57"/>
      <c r="DAR22" s="57"/>
      <c r="DAS22" s="57"/>
      <c r="DAT22" s="57"/>
      <c r="DAU22" s="57"/>
      <c r="DAV22" s="57"/>
      <c r="DAW22" s="57"/>
      <c r="DAX22" s="57"/>
      <c r="DAY22" s="57"/>
      <c r="DAZ22" s="57"/>
      <c r="DBA22" s="57"/>
      <c r="DBB22" s="57"/>
      <c r="DBC22" s="57"/>
      <c r="DBD22" s="57"/>
      <c r="DBE22" s="57"/>
      <c r="DBF22" s="57"/>
      <c r="DBG22" s="57"/>
      <c r="DBH22" s="57"/>
      <c r="DBI22" s="57"/>
      <c r="DBJ22" s="57"/>
      <c r="DBK22" s="57"/>
      <c r="DBL22" s="57"/>
      <c r="DBM22" s="57"/>
      <c r="DBN22" s="57"/>
      <c r="DBO22" s="57"/>
      <c r="DBP22" s="57"/>
      <c r="DBQ22" s="57"/>
      <c r="DBR22" s="58"/>
      <c r="DBS22" s="56"/>
      <c r="DBT22" s="57"/>
      <c r="DBU22" s="57"/>
      <c r="DBV22" s="57"/>
      <c r="DBW22" s="57"/>
      <c r="DBX22" s="57"/>
      <c r="DBY22" s="56"/>
      <c r="DBZ22" s="57"/>
      <c r="DCA22" s="57"/>
      <c r="DCB22" s="56"/>
      <c r="DCC22" s="57"/>
      <c r="DCD22" s="58"/>
      <c r="DCE22" s="56"/>
      <c r="DCF22" s="57"/>
      <c r="DCG22" s="57"/>
      <c r="DCH22" s="57"/>
      <c r="DCI22" s="56"/>
      <c r="DCJ22" s="57"/>
      <c r="DCK22" s="57"/>
      <c r="DCL22" s="56"/>
      <c r="DCM22" s="57"/>
      <c r="DCN22" s="58"/>
      <c r="DCO22" s="56"/>
      <c r="DCP22" s="57"/>
      <c r="DCQ22" s="57"/>
      <c r="DCR22" s="57"/>
      <c r="DCS22" s="56"/>
      <c r="DCT22" s="57"/>
      <c r="DCU22" s="57"/>
      <c r="DCV22" s="56"/>
      <c r="DCW22" s="57"/>
      <c r="DCX22" s="58"/>
      <c r="DCY22" s="56"/>
      <c r="DCZ22" s="57"/>
      <c r="DDA22" s="57"/>
      <c r="DDB22" s="57"/>
      <c r="DDC22" s="56"/>
      <c r="DDD22" s="57"/>
      <c r="DDE22" s="57"/>
      <c r="DDF22" s="56"/>
      <c r="DDG22" s="57"/>
      <c r="DDH22" s="58"/>
      <c r="DDI22" s="56"/>
      <c r="DDJ22" s="58"/>
      <c r="DDK22" s="57"/>
      <c r="DDL22" s="56"/>
      <c r="DDM22" s="57"/>
      <c r="DDN22" s="56"/>
      <c r="DDO22" s="56"/>
      <c r="DDP22" s="56"/>
      <c r="DDQ22" s="57"/>
      <c r="DDR22" s="387"/>
      <c r="DDS22" s="57"/>
      <c r="DDT22" s="387"/>
      <c r="DDU22" s="57"/>
      <c r="DDV22" s="387"/>
      <c r="DDW22" s="57"/>
      <c r="DDX22" s="57"/>
      <c r="DDY22" s="57"/>
      <c r="DDZ22" s="57"/>
      <c r="DEA22" s="57"/>
      <c r="DEB22" s="57"/>
      <c r="DEC22" s="57"/>
      <c r="DED22" s="57"/>
      <c r="DEE22" s="57"/>
      <c r="DEF22" s="57"/>
      <c r="DEG22" s="57"/>
      <c r="DEH22" s="57"/>
      <c r="DEI22" s="57"/>
      <c r="DEJ22" s="57"/>
      <c r="DEK22" s="57"/>
      <c r="DEL22" s="57"/>
      <c r="DEM22" s="57"/>
      <c r="DEN22" s="57"/>
      <c r="DEO22" s="57"/>
      <c r="DEP22" s="57"/>
      <c r="DEQ22" s="57"/>
      <c r="DER22" s="57"/>
      <c r="DES22" s="57"/>
      <c r="DET22" s="57"/>
      <c r="DEU22" s="57"/>
      <c r="DEV22" s="57"/>
      <c r="DEW22" s="57"/>
      <c r="DEX22" s="57"/>
      <c r="DEY22" s="57"/>
      <c r="DEZ22" s="57"/>
      <c r="DFA22" s="57"/>
      <c r="DFB22" s="58"/>
      <c r="DFC22" s="56"/>
      <c r="DFD22" s="57"/>
      <c r="DFE22" s="57"/>
      <c r="DFF22" s="57"/>
      <c r="DFG22" s="57"/>
      <c r="DFH22" s="57"/>
      <c r="DFI22" s="56"/>
      <c r="DFJ22" s="57"/>
      <c r="DFK22" s="57"/>
      <c r="DFL22" s="56"/>
      <c r="DFM22" s="57"/>
      <c r="DFN22" s="58"/>
      <c r="DFO22" s="56"/>
      <c r="DFP22" s="57"/>
      <c r="DFQ22" s="57"/>
      <c r="DFR22" s="57"/>
      <c r="DFS22" s="56"/>
      <c r="DFT22" s="57"/>
      <c r="DFU22" s="57"/>
      <c r="DFV22" s="56"/>
      <c r="DFW22" s="57"/>
      <c r="DFX22" s="58"/>
      <c r="DFY22" s="56"/>
      <c r="DFZ22" s="57"/>
      <c r="DGA22" s="57"/>
      <c r="DGB22" s="57"/>
      <c r="DGC22" s="56"/>
      <c r="DGD22" s="57"/>
      <c r="DGE22" s="57"/>
      <c r="DGF22" s="56"/>
      <c r="DGG22" s="57"/>
      <c r="DGH22" s="58"/>
      <c r="DGI22" s="56"/>
      <c r="DGJ22" s="57"/>
      <c r="DGK22" s="57"/>
      <c r="DGL22" s="57"/>
      <c r="DGM22" s="56"/>
      <c r="DGN22" s="57"/>
      <c r="DGO22" s="57"/>
      <c r="DGP22" s="56"/>
      <c r="DGQ22" s="57"/>
      <c r="DGR22" s="58"/>
      <c r="DGS22" s="56"/>
      <c r="DGT22" s="58"/>
      <c r="DGU22" s="57"/>
      <c r="DGV22" s="56"/>
      <c r="DGW22" s="57"/>
      <c r="DGX22" s="56"/>
      <c r="DGY22" s="56"/>
      <c r="DGZ22" s="56"/>
      <c r="DHA22" s="57"/>
      <c r="DHB22" s="387"/>
      <c r="DHC22" s="57"/>
      <c r="DHD22" s="387"/>
      <c r="DHE22" s="57"/>
      <c r="DHF22" s="387"/>
      <c r="DHG22" s="57"/>
      <c r="DHH22" s="57"/>
      <c r="DHI22" s="57"/>
      <c r="DHJ22" s="57"/>
      <c r="DHK22" s="57"/>
      <c r="DHL22" s="57"/>
      <c r="DHM22" s="57"/>
      <c r="DHN22" s="57"/>
      <c r="DHO22" s="57"/>
      <c r="DHP22" s="57"/>
      <c r="DHQ22" s="57"/>
      <c r="DHR22" s="57"/>
      <c r="DHS22" s="57"/>
      <c r="DHT22" s="57"/>
      <c r="DHU22" s="57"/>
      <c r="DHV22" s="57"/>
      <c r="DHW22" s="57"/>
      <c r="DHX22" s="57"/>
      <c r="DHY22" s="57"/>
      <c r="DHZ22" s="57"/>
      <c r="DIA22" s="57"/>
      <c r="DIB22" s="57"/>
      <c r="DIC22" s="57"/>
      <c r="DID22" s="57"/>
      <c r="DIE22" s="57"/>
      <c r="DIF22" s="57"/>
      <c r="DIG22" s="57"/>
      <c r="DIH22" s="57"/>
      <c r="DII22" s="57"/>
      <c r="DIJ22" s="57"/>
      <c r="DIK22" s="57"/>
      <c r="DIL22" s="58"/>
      <c r="DIM22" s="56"/>
      <c r="DIN22" s="57"/>
      <c r="DIO22" s="57"/>
      <c r="DIP22" s="57"/>
      <c r="DIQ22" s="57"/>
      <c r="DIR22" s="57"/>
      <c r="DIS22" s="56"/>
      <c r="DIT22" s="57"/>
      <c r="DIU22" s="57"/>
      <c r="DIV22" s="56"/>
      <c r="DIW22" s="57"/>
      <c r="DIX22" s="58"/>
      <c r="DIY22" s="56"/>
      <c r="DIZ22" s="57"/>
      <c r="DJA22" s="57"/>
      <c r="DJB22" s="57"/>
      <c r="DJC22" s="56"/>
      <c r="DJD22" s="57"/>
      <c r="DJE22" s="57"/>
      <c r="DJF22" s="56"/>
      <c r="DJG22" s="57"/>
      <c r="DJH22" s="58"/>
      <c r="DJI22" s="56"/>
      <c r="DJJ22" s="57"/>
      <c r="DJK22" s="57"/>
      <c r="DJL22" s="57"/>
      <c r="DJM22" s="56"/>
      <c r="DJN22" s="57"/>
      <c r="DJO22" s="57"/>
      <c r="DJP22" s="56"/>
      <c r="DJQ22" s="57"/>
      <c r="DJR22" s="58"/>
      <c r="DJS22" s="56"/>
      <c r="DJT22" s="57"/>
      <c r="DJU22" s="57"/>
      <c r="DJV22" s="57"/>
      <c r="DJW22" s="56"/>
      <c r="DJX22" s="57"/>
      <c r="DJY22" s="57"/>
      <c r="DJZ22" s="56"/>
      <c r="DKA22" s="57"/>
      <c r="DKB22" s="58"/>
      <c r="DKC22" s="56"/>
      <c r="DKD22" s="58"/>
      <c r="DKE22" s="57"/>
      <c r="DKF22" s="56"/>
      <c r="DKG22" s="57"/>
      <c r="DKH22" s="56"/>
      <c r="DKI22" s="56"/>
      <c r="DKJ22" s="56"/>
      <c r="DKK22" s="57"/>
      <c r="DKL22" s="387"/>
      <c r="DKM22" s="57"/>
      <c r="DKN22" s="387"/>
      <c r="DKO22" s="57"/>
      <c r="DKP22" s="387"/>
      <c r="DKQ22" s="57"/>
      <c r="DKR22" s="57"/>
      <c r="DKS22" s="57"/>
      <c r="DKT22" s="57"/>
      <c r="DKU22" s="57"/>
      <c r="DKV22" s="57"/>
      <c r="DKW22" s="57"/>
      <c r="DKX22" s="57"/>
      <c r="DKY22" s="57"/>
      <c r="DKZ22" s="57"/>
      <c r="DLA22" s="57"/>
      <c r="DLB22" s="57"/>
      <c r="DLC22" s="57"/>
      <c r="DLD22" s="57"/>
      <c r="DLE22" s="57"/>
      <c r="DLF22" s="57"/>
      <c r="DLG22" s="57"/>
      <c r="DLH22" s="57"/>
      <c r="DLI22" s="57"/>
      <c r="DLJ22" s="57"/>
      <c r="DLK22" s="57"/>
      <c r="DLL22" s="57"/>
      <c r="DLM22" s="57"/>
      <c r="DLN22" s="57"/>
      <c r="DLO22" s="57"/>
      <c r="DLP22" s="57"/>
      <c r="DLQ22" s="57"/>
      <c r="DLR22" s="57"/>
      <c r="DLS22" s="57"/>
      <c r="DLT22" s="57"/>
      <c r="DLU22" s="57"/>
      <c r="DLV22" s="58"/>
      <c r="DLW22" s="56"/>
      <c r="DLX22" s="57"/>
      <c r="DLY22" s="57"/>
      <c r="DLZ22" s="57"/>
      <c r="DMA22" s="57"/>
      <c r="DMB22" s="57"/>
      <c r="DMC22" s="56"/>
      <c r="DMD22" s="57"/>
      <c r="DME22" s="57"/>
      <c r="DMF22" s="56"/>
      <c r="DMG22" s="57"/>
      <c r="DMH22" s="58"/>
      <c r="DMI22" s="56"/>
      <c r="DMJ22" s="57"/>
      <c r="DMK22" s="57"/>
      <c r="DML22" s="57"/>
      <c r="DMM22" s="56"/>
      <c r="DMN22" s="57"/>
      <c r="DMO22" s="57"/>
      <c r="DMP22" s="56"/>
      <c r="DMQ22" s="57"/>
      <c r="DMR22" s="58"/>
      <c r="DMS22" s="56"/>
      <c r="DMT22" s="57"/>
      <c r="DMU22" s="57"/>
      <c r="DMV22" s="57"/>
      <c r="DMW22" s="56"/>
      <c r="DMX22" s="57"/>
      <c r="DMY22" s="57"/>
      <c r="DMZ22" s="56"/>
      <c r="DNA22" s="57"/>
      <c r="DNB22" s="58"/>
      <c r="DNC22" s="56"/>
      <c r="DND22" s="57"/>
      <c r="DNE22" s="57"/>
      <c r="DNF22" s="57"/>
      <c r="DNG22" s="56"/>
      <c r="DNH22" s="57"/>
      <c r="DNI22" s="57"/>
      <c r="DNJ22" s="56"/>
      <c r="DNK22" s="57"/>
      <c r="DNL22" s="58"/>
      <c r="DNM22" s="56"/>
      <c r="DNN22" s="58"/>
      <c r="DNO22" s="57"/>
      <c r="DNP22" s="56"/>
      <c r="DNQ22" s="57"/>
      <c r="DNR22" s="56"/>
      <c r="DNS22" s="56"/>
      <c r="DNT22" s="56"/>
      <c r="DNU22" s="57"/>
      <c r="DNV22" s="387"/>
      <c r="DNW22" s="57"/>
      <c r="DNX22" s="387"/>
      <c r="DNY22" s="57"/>
      <c r="DNZ22" s="387"/>
      <c r="DOA22" s="57"/>
      <c r="DOB22" s="57"/>
      <c r="DOC22" s="57"/>
      <c r="DOD22" s="57"/>
      <c r="DOE22" s="57"/>
      <c r="DOF22" s="57"/>
      <c r="DOG22" s="57"/>
      <c r="DOH22" s="57"/>
      <c r="DOI22" s="57"/>
      <c r="DOJ22" s="57"/>
      <c r="DOK22" s="57"/>
      <c r="DOL22" s="57"/>
      <c r="DOM22" s="57"/>
      <c r="DON22" s="57"/>
      <c r="DOO22" s="57"/>
      <c r="DOP22" s="57"/>
      <c r="DOQ22" s="57"/>
      <c r="DOR22" s="57"/>
      <c r="DOS22" s="57"/>
      <c r="DOT22" s="57"/>
      <c r="DOU22" s="57"/>
      <c r="DOV22" s="57"/>
      <c r="DOW22" s="57"/>
      <c r="DOX22" s="57"/>
      <c r="DOY22" s="57"/>
      <c r="DOZ22" s="57"/>
      <c r="DPA22" s="57"/>
      <c r="DPB22" s="57"/>
      <c r="DPC22" s="57"/>
      <c r="DPD22" s="57"/>
      <c r="DPE22" s="57"/>
      <c r="DPF22" s="58"/>
      <c r="DPG22" s="56"/>
      <c r="DPH22" s="57"/>
      <c r="DPI22" s="57"/>
      <c r="DPJ22" s="57"/>
      <c r="DPK22" s="57"/>
      <c r="DPL22" s="57"/>
      <c r="DPM22" s="56"/>
      <c r="DPN22" s="57"/>
      <c r="DPO22" s="57"/>
      <c r="DPP22" s="56"/>
      <c r="DPQ22" s="57"/>
      <c r="DPR22" s="58"/>
      <c r="DPS22" s="56"/>
      <c r="DPT22" s="57"/>
      <c r="DPU22" s="57"/>
      <c r="DPV22" s="57"/>
      <c r="DPW22" s="56"/>
      <c r="DPX22" s="57"/>
      <c r="DPY22" s="57"/>
      <c r="DPZ22" s="56"/>
      <c r="DQA22" s="57"/>
      <c r="DQB22" s="58"/>
      <c r="DQC22" s="56"/>
      <c r="DQD22" s="57"/>
      <c r="DQE22" s="57"/>
      <c r="DQF22" s="57"/>
      <c r="DQG22" s="56"/>
      <c r="DQH22" s="57"/>
      <c r="DQI22" s="57"/>
      <c r="DQJ22" s="56"/>
      <c r="DQK22" s="57"/>
      <c r="DQL22" s="58"/>
      <c r="DQM22" s="56"/>
      <c r="DQN22" s="57"/>
      <c r="DQO22" s="57"/>
      <c r="DQP22" s="57"/>
      <c r="DQQ22" s="56"/>
      <c r="DQR22" s="57"/>
      <c r="DQS22" s="57"/>
      <c r="DQT22" s="56"/>
      <c r="DQU22" s="57"/>
      <c r="DQV22" s="58"/>
      <c r="DQW22" s="56"/>
      <c r="DQX22" s="58"/>
      <c r="DQY22" s="57"/>
      <c r="DQZ22" s="56"/>
      <c r="DRA22" s="57"/>
      <c r="DRB22" s="56"/>
      <c r="DRC22" s="56"/>
      <c r="DRD22" s="56"/>
      <c r="DRE22" s="57"/>
      <c r="DRF22" s="387"/>
      <c r="DRG22" s="57"/>
      <c r="DRH22" s="387"/>
      <c r="DRI22" s="57"/>
      <c r="DRJ22" s="387"/>
      <c r="DRK22" s="57"/>
      <c r="DRL22" s="57"/>
      <c r="DRM22" s="57"/>
      <c r="DRN22" s="57"/>
      <c r="DRO22" s="57"/>
      <c r="DRP22" s="57"/>
      <c r="DRQ22" s="57"/>
      <c r="DRR22" s="57"/>
      <c r="DRS22" s="57"/>
      <c r="DRT22" s="57"/>
      <c r="DRU22" s="57"/>
      <c r="DRV22" s="57"/>
      <c r="DRW22" s="57"/>
      <c r="DRX22" s="57"/>
      <c r="DRY22" s="57"/>
      <c r="DRZ22" s="57"/>
      <c r="DSA22" s="57"/>
      <c r="DSB22" s="57"/>
      <c r="DSC22" s="57"/>
      <c r="DSD22" s="57"/>
      <c r="DSE22" s="57"/>
      <c r="DSF22" s="57"/>
      <c r="DSG22" s="57"/>
      <c r="DSH22" s="57"/>
      <c r="DSI22" s="57"/>
      <c r="DSJ22" s="57"/>
      <c r="DSK22" s="57"/>
      <c r="DSL22" s="57"/>
      <c r="DSM22" s="57"/>
      <c r="DSN22" s="57"/>
      <c r="DSO22" s="57"/>
      <c r="DSP22" s="58"/>
      <c r="DSQ22" s="56"/>
      <c r="DSR22" s="57"/>
      <c r="DSS22" s="57"/>
      <c r="DST22" s="57"/>
      <c r="DSU22" s="57"/>
      <c r="DSV22" s="57"/>
      <c r="DSW22" s="56"/>
      <c r="DSX22" s="57"/>
      <c r="DSY22" s="57"/>
      <c r="DSZ22" s="56"/>
      <c r="DTA22" s="57"/>
      <c r="DTB22" s="58"/>
      <c r="DTC22" s="56"/>
      <c r="DTD22" s="57"/>
      <c r="DTE22" s="57"/>
      <c r="DTF22" s="57"/>
      <c r="DTG22" s="56"/>
      <c r="DTH22" s="57"/>
      <c r="DTI22" s="57"/>
      <c r="DTJ22" s="56"/>
      <c r="DTK22" s="57"/>
      <c r="DTL22" s="58"/>
      <c r="DTM22" s="56"/>
      <c r="DTN22" s="57"/>
      <c r="DTO22" s="57"/>
      <c r="DTP22" s="57"/>
      <c r="DTQ22" s="56"/>
      <c r="DTR22" s="57"/>
      <c r="DTS22" s="57"/>
      <c r="DTT22" s="56"/>
      <c r="DTU22" s="57"/>
      <c r="DTV22" s="58"/>
      <c r="DTW22" s="56"/>
      <c r="DTX22" s="57"/>
      <c r="DTY22" s="57"/>
      <c r="DTZ22" s="57"/>
      <c r="DUA22" s="56"/>
      <c r="DUB22" s="57"/>
      <c r="DUC22" s="57"/>
      <c r="DUD22" s="56"/>
      <c r="DUE22" s="57"/>
      <c r="DUF22" s="58"/>
      <c r="DUG22" s="56"/>
      <c r="DUH22" s="58"/>
      <c r="DUI22" s="57"/>
      <c r="DUJ22" s="56"/>
      <c r="DUK22" s="57"/>
      <c r="DUL22" s="56"/>
      <c r="DUM22" s="56"/>
      <c r="DUN22" s="56"/>
      <c r="DUO22" s="57"/>
      <c r="DUP22" s="387"/>
      <c r="DUQ22" s="57"/>
      <c r="DUR22" s="387"/>
      <c r="DUS22" s="57"/>
      <c r="DUT22" s="387"/>
      <c r="DUU22" s="57"/>
      <c r="DUV22" s="57"/>
      <c r="DUW22" s="57"/>
      <c r="DUX22" s="57"/>
      <c r="DUY22" s="57"/>
      <c r="DUZ22" s="57"/>
      <c r="DVA22" s="57"/>
      <c r="DVB22" s="57"/>
      <c r="DVC22" s="57"/>
      <c r="DVD22" s="57"/>
      <c r="DVE22" s="57"/>
      <c r="DVF22" s="57"/>
      <c r="DVG22" s="57"/>
      <c r="DVH22" s="57"/>
      <c r="DVI22" s="57"/>
      <c r="DVJ22" s="57"/>
      <c r="DVK22" s="57"/>
      <c r="DVL22" s="57"/>
      <c r="DVM22" s="57"/>
      <c r="DVN22" s="57"/>
      <c r="DVO22" s="57"/>
      <c r="DVP22" s="57"/>
      <c r="DVQ22" s="57"/>
      <c r="DVR22" s="57"/>
      <c r="DVS22" s="57"/>
      <c r="DVT22" s="57"/>
      <c r="DVU22" s="57"/>
      <c r="DVV22" s="57"/>
      <c r="DVW22" s="57"/>
      <c r="DVX22" s="57"/>
      <c r="DVY22" s="57"/>
      <c r="DVZ22" s="58"/>
      <c r="DWA22" s="56"/>
      <c r="DWB22" s="57"/>
      <c r="DWC22" s="57"/>
      <c r="DWD22" s="57"/>
      <c r="DWE22" s="57"/>
      <c r="DWF22" s="57"/>
      <c r="DWG22" s="56"/>
      <c r="DWH22" s="57"/>
      <c r="DWI22" s="57"/>
      <c r="DWJ22" s="56"/>
      <c r="DWK22" s="57"/>
      <c r="DWL22" s="58"/>
      <c r="DWM22" s="56"/>
      <c r="DWN22" s="57"/>
      <c r="DWO22" s="57"/>
      <c r="DWP22" s="57"/>
      <c r="DWQ22" s="56"/>
      <c r="DWR22" s="57"/>
      <c r="DWS22" s="57"/>
      <c r="DWT22" s="56"/>
      <c r="DWU22" s="57"/>
      <c r="DWV22" s="58"/>
      <c r="DWW22" s="56"/>
      <c r="DWX22" s="57"/>
      <c r="DWY22" s="57"/>
      <c r="DWZ22" s="57"/>
      <c r="DXA22" s="56"/>
      <c r="DXB22" s="57"/>
      <c r="DXC22" s="57"/>
      <c r="DXD22" s="56"/>
      <c r="DXE22" s="57"/>
      <c r="DXF22" s="58"/>
      <c r="DXG22" s="56"/>
      <c r="DXH22" s="57"/>
      <c r="DXI22" s="57"/>
      <c r="DXJ22" s="57"/>
      <c r="DXK22" s="56"/>
      <c r="DXL22" s="57"/>
      <c r="DXM22" s="57"/>
      <c r="DXN22" s="56"/>
      <c r="DXO22" s="57"/>
      <c r="DXP22" s="58"/>
      <c r="DXQ22" s="56"/>
      <c r="DXR22" s="58"/>
      <c r="DXS22" s="57"/>
      <c r="DXT22" s="56"/>
      <c r="DXU22" s="57"/>
      <c r="DXV22" s="56"/>
      <c r="DXW22" s="56"/>
      <c r="DXX22" s="56"/>
      <c r="DXY22" s="57"/>
      <c r="DXZ22" s="387"/>
      <c r="DYA22" s="57"/>
      <c r="DYB22" s="387"/>
      <c r="DYC22" s="57"/>
      <c r="DYD22" s="387"/>
      <c r="DYE22" s="57"/>
      <c r="DYF22" s="57"/>
      <c r="DYG22" s="57"/>
      <c r="DYH22" s="57"/>
      <c r="DYI22" s="57"/>
      <c r="DYJ22" s="57"/>
      <c r="DYK22" s="57"/>
      <c r="DYL22" s="57"/>
      <c r="DYM22" s="57"/>
      <c r="DYN22" s="57"/>
      <c r="DYO22" s="57"/>
      <c r="DYP22" s="57"/>
      <c r="DYQ22" s="57"/>
      <c r="DYR22" s="57"/>
      <c r="DYS22" s="57"/>
      <c r="DYT22" s="57"/>
      <c r="DYU22" s="57"/>
      <c r="DYV22" s="57"/>
      <c r="DYW22" s="57"/>
      <c r="DYX22" s="57"/>
      <c r="DYY22" s="57"/>
      <c r="DYZ22" s="57"/>
      <c r="DZA22" s="57"/>
      <c r="DZB22" s="57"/>
      <c r="DZC22" s="57"/>
      <c r="DZD22" s="57"/>
      <c r="DZE22" s="57"/>
      <c r="DZF22" s="57"/>
      <c r="DZG22" s="57"/>
      <c r="DZH22" s="57"/>
      <c r="DZI22" s="57"/>
      <c r="DZJ22" s="58"/>
      <c r="DZK22" s="56"/>
      <c r="DZL22" s="57"/>
      <c r="DZM22" s="57"/>
      <c r="DZN22" s="57"/>
      <c r="DZO22" s="57"/>
      <c r="DZP22" s="57"/>
      <c r="DZQ22" s="56"/>
      <c r="DZR22" s="57"/>
      <c r="DZS22" s="57"/>
      <c r="DZT22" s="56"/>
      <c r="DZU22" s="57"/>
      <c r="DZV22" s="58"/>
      <c r="DZW22" s="56"/>
      <c r="DZX22" s="57"/>
      <c r="DZY22" s="57"/>
      <c r="DZZ22" s="57"/>
      <c r="EAA22" s="56"/>
      <c r="EAB22" s="57"/>
      <c r="EAC22" s="57"/>
      <c r="EAD22" s="56"/>
      <c r="EAE22" s="57"/>
      <c r="EAF22" s="58"/>
      <c r="EAG22" s="56"/>
      <c r="EAH22" s="57"/>
      <c r="EAI22" s="57"/>
      <c r="EAJ22" s="57"/>
      <c r="EAK22" s="56"/>
      <c r="EAL22" s="57"/>
      <c r="EAM22" s="57"/>
      <c r="EAN22" s="56"/>
      <c r="EAO22" s="57"/>
      <c r="EAP22" s="58"/>
      <c r="EAQ22" s="56"/>
      <c r="EAR22" s="57"/>
      <c r="EAS22" s="57"/>
      <c r="EAT22" s="57"/>
      <c r="EAU22" s="56"/>
      <c r="EAV22" s="57"/>
      <c r="EAW22" s="57"/>
      <c r="EAX22" s="56"/>
      <c r="EAY22" s="57"/>
      <c r="EAZ22" s="58"/>
      <c r="EBA22" s="56"/>
      <c r="EBB22" s="58"/>
      <c r="EBC22" s="57"/>
      <c r="EBD22" s="56"/>
      <c r="EBE22" s="57"/>
      <c r="EBF22" s="56"/>
      <c r="EBG22" s="56"/>
      <c r="EBH22" s="56"/>
      <c r="EBI22" s="57"/>
      <c r="EBJ22" s="387"/>
      <c r="EBK22" s="57"/>
      <c r="EBL22" s="387"/>
      <c r="EBM22" s="57"/>
      <c r="EBN22" s="387"/>
      <c r="EBO22" s="57"/>
      <c r="EBP22" s="57"/>
      <c r="EBQ22" s="57"/>
      <c r="EBR22" s="57"/>
      <c r="EBS22" s="57"/>
      <c r="EBT22" s="57"/>
      <c r="EBU22" s="57"/>
      <c r="EBV22" s="57"/>
      <c r="EBW22" s="57"/>
      <c r="EBX22" s="57"/>
      <c r="EBY22" s="57"/>
      <c r="EBZ22" s="57"/>
      <c r="ECA22" s="57"/>
      <c r="ECB22" s="57"/>
      <c r="ECC22" s="57"/>
      <c r="ECD22" s="57"/>
      <c r="ECE22" s="57"/>
      <c r="ECF22" s="57"/>
      <c r="ECG22" s="57"/>
      <c r="ECH22" s="57"/>
      <c r="ECI22" s="57"/>
      <c r="ECJ22" s="57"/>
      <c r="ECK22" s="57"/>
      <c r="ECL22" s="57"/>
      <c r="ECM22" s="57"/>
      <c r="ECN22" s="57"/>
      <c r="ECO22" s="57"/>
      <c r="ECP22" s="57"/>
      <c r="ECQ22" s="57"/>
      <c r="ECR22" s="57"/>
      <c r="ECS22" s="57"/>
      <c r="ECT22" s="58"/>
      <c r="ECU22" s="56"/>
      <c r="ECV22" s="57"/>
      <c r="ECW22" s="57"/>
      <c r="ECX22" s="57"/>
      <c r="ECY22" s="57"/>
      <c r="ECZ22" s="57"/>
      <c r="EDA22" s="56"/>
      <c r="EDB22" s="57"/>
      <c r="EDC22" s="57"/>
      <c r="EDD22" s="56"/>
      <c r="EDE22" s="57"/>
      <c r="EDF22" s="58"/>
      <c r="EDG22" s="56"/>
      <c r="EDH22" s="57"/>
      <c r="EDI22" s="57"/>
      <c r="EDJ22" s="57"/>
      <c r="EDK22" s="56"/>
      <c r="EDL22" s="57"/>
      <c r="EDM22" s="57"/>
      <c r="EDN22" s="56"/>
      <c r="EDO22" s="57"/>
      <c r="EDP22" s="58"/>
      <c r="EDQ22" s="56"/>
      <c r="EDR22" s="57"/>
      <c r="EDS22" s="57"/>
      <c r="EDT22" s="57"/>
      <c r="EDU22" s="56"/>
      <c r="EDV22" s="57"/>
      <c r="EDW22" s="57"/>
      <c r="EDX22" s="56"/>
      <c r="EDY22" s="57"/>
      <c r="EDZ22" s="58"/>
      <c r="EEA22" s="56"/>
      <c r="EEB22" s="57"/>
      <c r="EEC22" s="57"/>
      <c r="EED22" s="57"/>
      <c r="EEE22" s="56"/>
      <c r="EEF22" s="57"/>
      <c r="EEG22" s="57"/>
      <c r="EEH22" s="56"/>
      <c r="EEI22" s="57"/>
      <c r="EEJ22" s="58"/>
      <c r="EEK22" s="56"/>
      <c r="EEL22" s="58"/>
      <c r="EEM22" s="57"/>
      <c r="EEN22" s="56"/>
      <c r="EEO22" s="57"/>
      <c r="EEP22" s="56"/>
      <c r="EEQ22" s="56"/>
      <c r="EER22" s="56"/>
      <c r="EES22" s="57"/>
      <c r="EET22" s="387"/>
      <c r="EEU22" s="57"/>
      <c r="EEV22" s="387"/>
      <c r="EEW22" s="57"/>
      <c r="EEX22" s="387"/>
      <c r="EEY22" s="57"/>
      <c r="EEZ22" s="57"/>
      <c r="EFA22" s="57"/>
      <c r="EFB22" s="57"/>
      <c r="EFC22" s="57"/>
      <c r="EFD22" s="57"/>
      <c r="EFE22" s="57"/>
      <c r="EFF22" s="57"/>
      <c r="EFG22" s="57"/>
      <c r="EFH22" s="57"/>
      <c r="EFI22" s="57"/>
      <c r="EFJ22" s="57"/>
      <c r="EFK22" s="57"/>
      <c r="EFL22" s="57"/>
      <c r="EFM22" s="57"/>
      <c r="EFN22" s="57"/>
      <c r="EFO22" s="57"/>
      <c r="EFP22" s="57"/>
      <c r="EFQ22" s="57"/>
      <c r="EFR22" s="57"/>
      <c r="EFS22" s="57"/>
      <c r="EFT22" s="57"/>
      <c r="EFU22" s="57"/>
      <c r="EFV22" s="57"/>
      <c r="EFW22" s="57"/>
      <c r="EFX22" s="57"/>
      <c r="EFY22" s="57"/>
      <c r="EFZ22" s="57"/>
      <c r="EGA22" s="57"/>
      <c r="EGB22" s="57"/>
      <c r="EGC22" s="57"/>
      <c r="EGD22" s="58"/>
      <c r="EGE22" s="56"/>
      <c r="EGF22" s="57"/>
      <c r="EGG22" s="57"/>
      <c r="EGH22" s="57"/>
      <c r="EGI22" s="57"/>
      <c r="EGJ22" s="57"/>
      <c r="EGK22" s="56"/>
      <c r="EGL22" s="57"/>
      <c r="EGM22" s="57"/>
      <c r="EGN22" s="56"/>
      <c r="EGO22" s="57"/>
      <c r="EGP22" s="58"/>
      <c r="EGQ22" s="56"/>
      <c r="EGR22" s="57"/>
      <c r="EGS22" s="57"/>
      <c r="EGT22" s="57"/>
      <c r="EGU22" s="56"/>
      <c r="EGV22" s="57"/>
      <c r="EGW22" s="57"/>
      <c r="EGX22" s="56"/>
      <c r="EGY22" s="57"/>
      <c r="EGZ22" s="58"/>
      <c r="EHA22" s="56"/>
      <c r="EHB22" s="57"/>
      <c r="EHC22" s="57"/>
      <c r="EHD22" s="57"/>
      <c r="EHE22" s="56"/>
      <c r="EHF22" s="57"/>
      <c r="EHG22" s="57"/>
      <c r="EHH22" s="56"/>
      <c r="EHI22" s="57"/>
      <c r="EHJ22" s="58"/>
      <c r="EHK22" s="56"/>
      <c r="EHL22" s="57"/>
      <c r="EHM22" s="57"/>
      <c r="EHN22" s="57"/>
      <c r="EHO22" s="56"/>
      <c r="EHP22" s="57"/>
      <c r="EHQ22" s="57"/>
      <c r="EHR22" s="56"/>
      <c r="EHS22" s="57"/>
      <c r="EHT22" s="58"/>
      <c r="EHU22" s="56"/>
      <c r="EHV22" s="58"/>
      <c r="EHW22" s="57"/>
      <c r="EHX22" s="56"/>
      <c r="EHY22" s="57"/>
      <c r="EHZ22" s="56"/>
      <c r="EIA22" s="56"/>
      <c r="EIB22" s="56"/>
      <c r="EIC22" s="57"/>
      <c r="EID22" s="387"/>
      <c r="EIE22" s="57"/>
      <c r="EIF22" s="387"/>
      <c r="EIG22" s="57"/>
      <c r="EIH22" s="387"/>
      <c r="EII22" s="57"/>
      <c r="EIJ22" s="57"/>
      <c r="EIK22" s="57"/>
      <c r="EIL22" s="57"/>
      <c r="EIM22" s="57"/>
      <c r="EIN22" s="57"/>
      <c r="EIO22" s="57"/>
      <c r="EIP22" s="57"/>
      <c r="EIQ22" s="57"/>
      <c r="EIR22" s="57"/>
      <c r="EIS22" s="57"/>
      <c r="EIT22" s="57"/>
      <c r="EIU22" s="57"/>
      <c r="EIV22" s="57"/>
      <c r="EIW22" s="57"/>
      <c r="EIX22" s="57"/>
      <c r="EIY22" s="57"/>
      <c r="EIZ22" s="57"/>
      <c r="EJA22" s="57"/>
      <c r="EJB22" s="57"/>
      <c r="EJC22" s="57"/>
      <c r="EJD22" s="57"/>
      <c r="EJE22" s="57"/>
      <c r="EJF22" s="57"/>
      <c r="EJG22" s="57"/>
      <c r="EJH22" s="57"/>
      <c r="EJI22" s="57"/>
      <c r="EJJ22" s="57"/>
      <c r="EJK22" s="57"/>
      <c r="EJL22" s="57"/>
      <c r="EJM22" s="57"/>
      <c r="EJN22" s="58"/>
      <c r="EJO22" s="56"/>
      <c r="EJP22" s="57"/>
      <c r="EJQ22" s="57"/>
      <c r="EJR22" s="57"/>
      <c r="EJS22" s="57"/>
      <c r="EJT22" s="57"/>
      <c r="EJU22" s="56"/>
      <c r="EJV22" s="57"/>
      <c r="EJW22" s="57"/>
      <c r="EJX22" s="56"/>
      <c r="EJY22" s="57"/>
      <c r="EJZ22" s="58"/>
      <c r="EKA22" s="56"/>
      <c r="EKB22" s="57"/>
      <c r="EKC22" s="57"/>
      <c r="EKD22" s="57"/>
      <c r="EKE22" s="56"/>
      <c r="EKF22" s="57"/>
      <c r="EKG22" s="57"/>
      <c r="EKH22" s="56"/>
      <c r="EKI22" s="57"/>
      <c r="EKJ22" s="58"/>
      <c r="EKK22" s="56"/>
      <c r="EKL22" s="57"/>
      <c r="EKM22" s="57"/>
      <c r="EKN22" s="57"/>
      <c r="EKO22" s="56"/>
      <c r="EKP22" s="57"/>
      <c r="EKQ22" s="57"/>
      <c r="EKR22" s="56"/>
      <c r="EKS22" s="57"/>
      <c r="EKT22" s="58"/>
      <c r="EKU22" s="56"/>
      <c r="EKV22" s="57"/>
      <c r="EKW22" s="57"/>
      <c r="EKX22" s="57"/>
      <c r="EKY22" s="56"/>
      <c r="EKZ22" s="57"/>
      <c r="ELA22" s="57"/>
      <c r="ELB22" s="56"/>
      <c r="ELC22" s="57"/>
      <c r="ELD22" s="58"/>
      <c r="ELE22" s="56"/>
      <c r="ELF22" s="58"/>
      <c r="ELG22" s="57"/>
      <c r="ELH22" s="56"/>
      <c r="ELI22" s="57"/>
      <c r="ELJ22" s="56"/>
      <c r="ELK22" s="56"/>
      <c r="ELL22" s="56"/>
      <c r="ELM22" s="57"/>
      <c r="ELN22" s="387"/>
      <c r="ELO22" s="57"/>
      <c r="ELP22" s="387"/>
      <c r="ELQ22" s="57"/>
      <c r="ELR22" s="387"/>
      <c r="ELS22" s="57"/>
      <c r="ELT22" s="57"/>
      <c r="ELU22" s="57"/>
      <c r="ELV22" s="57"/>
      <c r="ELW22" s="57"/>
      <c r="ELX22" s="57"/>
      <c r="ELY22" s="57"/>
      <c r="ELZ22" s="57"/>
      <c r="EMA22" s="57"/>
      <c r="EMB22" s="57"/>
      <c r="EMC22" s="57"/>
      <c r="EMD22" s="57"/>
      <c r="EME22" s="57"/>
      <c r="EMF22" s="57"/>
      <c r="EMG22" s="57"/>
      <c r="EMH22" s="57"/>
      <c r="EMI22" s="57"/>
      <c r="EMJ22" s="57"/>
      <c r="EMK22" s="57"/>
      <c r="EML22" s="57"/>
      <c r="EMM22" s="57"/>
      <c r="EMN22" s="57"/>
      <c r="EMO22" s="57"/>
      <c r="EMP22" s="57"/>
      <c r="EMQ22" s="57"/>
      <c r="EMR22" s="57"/>
      <c r="EMS22" s="57"/>
      <c r="EMT22" s="57"/>
      <c r="EMU22" s="57"/>
      <c r="EMV22" s="57"/>
      <c r="EMW22" s="57"/>
      <c r="EMX22" s="58"/>
      <c r="EMY22" s="56"/>
      <c r="EMZ22" s="57"/>
      <c r="ENA22" s="57"/>
      <c r="ENB22" s="57"/>
      <c r="ENC22" s="57"/>
      <c r="END22" s="57"/>
      <c r="ENE22" s="56"/>
      <c r="ENF22" s="57"/>
      <c r="ENG22" s="57"/>
      <c r="ENH22" s="56"/>
      <c r="ENI22" s="57"/>
      <c r="ENJ22" s="58"/>
      <c r="ENK22" s="56"/>
      <c r="ENL22" s="57"/>
      <c r="ENM22" s="57"/>
      <c r="ENN22" s="57"/>
      <c r="ENO22" s="56"/>
      <c r="ENP22" s="57"/>
      <c r="ENQ22" s="57"/>
      <c r="ENR22" s="56"/>
      <c r="ENS22" s="57"/>
      <c r="ENT22" s="58"/>
      <c r="ENU22" s="56"/>
      <c r="ENV22" s="57"/>
      <c r="ENW22" s="57"/>
      <c r="ENX22" s="57"/>
      <c r="ENY22" s="56"/>
      <c r="ENZ22" s="57"/>
      <c r="EOA22" s="57"/>
      <c r="EOB22" s="56"/>
      <c r="EOC22" s="57"/>
      <c r="EOD22" s="58"/>
      <c r="EOE22" s="56"/>
      <c r="EOF22" s="57"/>
      <c r="EOG22" s="57"/>
      <c r="EOH22" s="57"/>
      <c r="EOI22" s="56"/>
      <c r="EOJ22" s="57"/>
      <c r="EOK22" s="57"/>
      <c r="EOL22" s="56"/>
      <c r="EOM22" s="57"/>
      <c r="EON22" s="58"/>
      <c r="EOO22" s="56" t="str">
        <f t="shared" si="149"/>
        <v xml:space="preserve"> </v>
      </c>
      <c r="EOP22" s="58"/>
      <c r="EOQ22" s="57"/>
      <c r="EOR22" s="56"/>
      <c r="EOS22" s="57"/>
      <c r="EOT22" s="56"/>
      <c r="EOU22" s="56"/>
      <c r="EOV22" s="56"/>
      <c r="EOW22" s="57"/>
      <c r="EOX22" s="387"/>
      <c r="EOY22" s="57"/>
      <c r="EOZ22" s="387"/>
      <c r="EPA22" s="57"/>
      <c r="EPB22" s="387"/>
      <c r="EPC22" s="57"/>
      <c r="EPD22" s="57"/>
      <c r="EPE22" s="57"/>
      <c r="EPF22" s="57"/>
      <c r="EPG22" s="57"/>
      <c r="EPH22" s="57"/>
      <c r="EPI22" s="57"/>
      <c r="EPJ22" s="57"/>
      <c r="EPK22" s="57"/>
      <c r="EPL22" s="57"/>
      <c r="EPM22" s="57"/>
      <c r="EPN22" s="57"/>
      <c r="EPO22" s="57"/>
      <c r="EPP22" s="57"/>
      <c r="EPQ22" s="57"/>
      <c r="EPR22" s="57"/>
      <c r="EPS22" s="57"/>
      <c r="EPT22" s="57"/>
      <c r="EPU22" s="57"/>
      <c r="EPV22" s="57"/>
      <c r="EPW22" s="57"/>
      <c r="EPX22" s="57"/>
      <c r="EPY22" s="57"/>
      <c r="EPZ22" s="57"/>
      <c r="EQA22" s="57"/>
      <c r="EQB22" s="57"/>
      <c r="EQC22" s="57"/>
      <c r="EQD22" s="57"/>
      <c r="EQE22" s="57"/>
      <c r="EQF22" s="57"/>
      <c r="EQG22" s="57"/>
      <c r="EQH22" s="58"/>
      <c r="EQI22" s="56"/>
      <c r="EQJ22" s="57"/>
      <c r="EQK22" s="57"/>
      <c r="EQL22" s="57"/>
      <c r="EQM22" s="57"/>
      <c r="EQN22" s="57"/>
      <c r="EQO22" s="56"/>
      <c r="EQP22" s="57"/>
      <c r="EQQ22" s="57"/>
      <c r="EQR22" s="56"/>
      <c r="EQS22" s="57"/>
      <c r="EQT22" s="58"/>
      <c r="EQU22" s="56"/>
      <c r="EQV22" s="57"/>
      <c r="EQW22" s="57"/>
      <c r="EQX22" s="57"/>
      <c r="EQY22" s="56"/>
      <c r="EQZ22" s="57"/>
      <c r="ERA22" s="57"/>
      <c r="ERB22" s="56"/>
      <c r="ERC22" s="57"/>
      <c r="ERD22" s="58"/>
      <c r="ERE22" s="56"/>
      <c r="ERF22" s="57"/>
      <c r="ERG22" s="57"/>
      <c r="ERH22" s="57"/>
      <c r="ERI22" s="56"/>
      <c r="ERJ22" s="57"/>
      <c r="ERK22" s="57"/>
      <c r="ERL22" s="56"/>
      <c r="ERM22" s="57"/>
      <c r="ERN22" s="58"/>
      <c r="ERO22" s="56"/>
      <c r="ERP22" s="57"/>
      <c r="ERQ22" s="57"/>
      <c r="ERR22" s="57"/>
      <c r="ERS22" s="56"/>
      <c r="ERT22" s="57"/>
      <c r="ERU22" s="57"/>
      <c r="ERV22" s="56"/>
      <c r="ERW22" s="57"/>
      <c r="ERX22" s="58"/>
      <c r="ERY22" s="56" t="str">
        <f t="shared" si="150"/>
        <v xml:space="preserve"> </v>
      </c>
      <c r="ERZ22" s="58"/>
      <c r="ESA22" s="57"/>
      <c r="ESB22" s="56"/>
      <c r="ESC22" s="57"/>
      <c r="ESD22" s="56"/>
      <c r="ESE22" s="56"/>
      <c r="ESF22" s="56"/>
      <c r="ESG22" s="57"/>
      <c r="ESH22" s="387"/>
      <c r="ESI22" s="57"/>
      <c r="ESJ22" s="387"/>
      <c r="ESK22" s="57"/>
      <c r="ESL22" s="387"/>
      <c r="ESM22" s="57"/>
      <c r="ESN22" s="57"/>
      <c r="ESO22" s="57"/>
      <c r="ESP22" s="57"/>
      <c r="ESQ22" s="57"/>
      <c r="ESR22" s="57"/>
      <c r="ESS22" s="57"/>
      <c r="EST22" s="57"/>
      <c r="ESU22" s="57"/>
      <c r="ESV22" s="57"/>
      <c r="ESW22" s="57"/>
      <c r="ESX22" s="57"/>
      <c r="ESY22" s="57"/>
      <c r="ESZ22" s="57"/>
      <c r="ETA22" s="57"/>
      <c r="ETB22" s="57"/>
      <c r="ETC22" s="57"/>
      <c r="ETD22" s="57"/>
      <c r="ETE22" s="57"/>
      <c r="ETF22" s="57"/>
      <c r="ETG22" s="57"/>
      <c r="ETH22" s="57"/>
      <c r="ETI22" s="57"/>
      <c r="ETJ22" s="57"/>
      <c r="ETK22" s="57"/>
      <c r="ETL22" s="57"/>
      <c r="ETM22" s="57"/>
      <c r="ETN22" s="57"/>
      <c r="ETO22" s="57"/>
      <c r="ETP22" s="57"/>
      <c r="ETQ22" s="57"/>
      <c r="ETR22" s="58"/>
      <c r="ETS22" s="56"/>
      <c r="ETT22" s="57"/>
      <c r="ETU22" s="57"/>
      <c r="ETV22" s="57"/>
      <c r="ETW22" s="57"/>
      <c r="ETX22" s="57"/>
      <c r="ETY22" s="56"/>
      <c r="ETZ22" s="57"/>
      <c r="EUA22" s="57"/>
      <c r="EUB22" s="56"/>
      <c r="EUC22" s="57"/>
      <c r="EUD22" s="58"/>
      <c r="EUE22" s="56"/>
      <c r="EUF22" s="57"/>
      <c r="EUG22" s="57"/>
      <c r="EUH22" s="57"/>
      <c r="EUI22" s="56"/>
      <c r="EUJ22" s="57"/>
      <c r="EUK22" s="57"/>
      <c r="EUL22" s="56"/>
      <c r="EUM22" s="57"/>
      <c r="EUN22" s="58"/>
      <c r="EUO22" s="56"/>
      <c r="EUP22" s="57"/>
      <c r="EUQ22" s="57"/>
      <c r="EUR22" s="57"/>
      <c r="EUS22" s="56"/>
      <c r="EUT22" s="57"/>
      <c r="EUU22" s="57"/>
      <c r="EUV22" s="56"/>
      <c r="EUW22" s="57"/>
      <c r="EUX22" s="58"/>
      <c r="EUY22" s="56"/>
      <c r="EUZ22" s="57"/>
      <c r="EVA22" s="57"/>
      <c r="EVB22" s="57"/>
      <c r="EVC22" s="56"/>
      <c r="EVD22" s="57"/>
      <c r="EVE22" s="57"/>
      <c r="EVF22" s="56"/>
      <c r="EVG22" s="57"/>
      <c r="EVH22" s="58"/>
      <c r="EVI22" s="56" t="str">
        <f t="shared" si="151"/>
        <v xml:space="preserve"> </v>
      </c>
    </row>
    <row r="23" spans="1:3961" x14ac:dyDescent="0.3">
      <c r="A23" s="423" t="s">
        <v>171</v>
      </c>
      <c r="B23" s="30" t="str">
        <f>'REG y VAL POE - AESR - ESR'!B1703</f>
        <v xml:space="preserve">Acosta Gutierrez Angel Eduardo </v>
      </c>
      <c r="C23" s="29" t="str">
        <f>'REG y VAL POE - AESR - ESR'!C1703</f>
        <v>Sin Registro</v>
      </c>
      <c r="D23" s="28">
        <f>'REG y VAL POE - AESR - ESR'!D1703</f>
        <v>23148036</v>
      </c>
      <c r="E23" s="29" t="str">
        <f>'REG y VAL POE - AESR - ESR'!E1703</f>
        <v xml:space="preserve">Acosta Gutierrez Angel Eduardo </v>
      </c>
      <c r="F23" s="28">
        <f>'REG y VAL POE - AESR - ESR'!F1703</f>
        <v>23148036</v>
      </c>
      <c r="G23" s="31">
        <f>'REG y VAL POE - AESR - ESR'!G1703</f>
        <v>0</v>
      </c>
      <c r="H23" s="31">
        <f>'REG y VAL POE - AESR - ESR'!H1703</f>
        <v>0</v>
      </c>
      <c r="I23" s="29">
        <f>'REG y VAL POE - AESR - ESR'!I1703</f>
        <v>0</v>
      </c>
      <c r="J23" s="29">
        <f>'REG y VAL POE - AESR - ESR'!J1703</f>
        <v>0</v>
      </c>
      <c r="K23" s="29">
        <f>'REG y VAL POE - AESR - ESR'!K1703</f>
        <v>0</v>
      </c>
      <c r="L23" s="29">
        <f>'REG y VAL POE - AESR - ESR'!L1703</f>
        <v>0</v>
      </c>
      <c r="M23" s="29">
        <f>'REG y VAL POE - AESR - ESR'!M1703</f>
        <v>0</v>
      </c>
      <c r="N23" s="29">
        <f>'REG y VAL POE - AESR - ESR'!N1703</f>
        <v>0</v>
      </c>
      <c r="O23" s="29">
        <f>'REG y VAL POE - AESR - ESR'!O1703</f>
        <v>0</v>
      </c>
      <c r="P23" s="29">
        <f>'REG y VAL POE - AESR - ESR'!P1703</f>
        <v>0</v>
      </c>
      <c r="Q23" s="29">
        <f>'REG y VAL POE - AESR - ESR'!Q1703</f>
        <v>0</v>
      </c>
      <c r="R23" s="29">
        <f>'REG y VAL POE - AESR - ESR'!R1703</f>
        <v>0</v>
      </c>
      <c r="S23" s="29">
        <f>'REG y VAL POE - AESR - ESR'!S1703</f>
        <v>0</v>
      </c>
      <c r="T23" s="29">
        <f>'REG y VAL POE - AESR - ESR'!T1703</f>
        <v>0</v>
      </c>
      <c r="U23" s="29">
        <f>'REG y VAL POE - AESR - ESR'!U1703</f>
        <v>0</v>
      </c>
      <c r="V23" s="29">
        <f>'REG y VAL POE - AESR - ESR'!V1703</f>
        <v>0</v>
      </c>
      <c r="W23" s="29">
        <f>'REG y VAL POE - AESR - ESR'!W1703</f>
        <v>0</v>
      </c>
      <c r="X23" s="29">
        <f>'REG y VAL POE - AESR - ESR'!X1703</f>
        <v>0</v>
      </c>
      <c r="Y23" s="29">
        <f>'REG y VAL POE - AESR - ESR'!Y1703</f>
        <v>0</v>
      </c>
      <c r="Z23" s="29">
        <f>'REG y VAL POE - AESR - ESR'!Z1703</f>
        <v>0</v>
      </c>
      <c r="AA23" s="29">
        <f>'REG y VAL POE - AESR - ESR'!AA1703</f>
        <v>0</v>
      </c>
      <c r="AB23" s="29">
        <f>'REG y VAL POE - AESR - ESR'!AB1703</f>
        <v>0</v>
      </c>
      <c r="AC23" s="29">
        <f>'REG y VAL POE - AESR - ESR'!AC1703</f>
        <v>0</v>
      </c>
      <c r="AD23" s="29">
        <f>'REG y VAL POE - AESR - ESR'!AD1703</f>
        <v>0</v>
      </c>
      <c r="AE23" s="29">
        <f>'REG y VAL POE - AESR - ESR'!AE1703</f>
        <v>0</v>
      </c>
      <c r="AF23" s="29">
        <f>'REG y VAL POE - AESR - ESR'!AF1703</f>
        <v>0</v>
      </c>
      <c r="AG23" s="29">
        <f>'REG y VAL POE - AESR - ESR'!AG1703</f>
        <v>0</v>
      </c>
      <c r="AH23" s="29">
        <f>'REG y VAL POE - AESR - ESR'!AH1703</f>
        <v>0</v>
      </c>
      <c r="AI23" s="29">
        <f>'REG y VAL POE - AESR - ESR'!AI1703</f>
        <v>0</v>
      </c>
      <c r="AJ23" s="29">
        <f>'REG y VAL POE - AESR - ESR'!AJ1703</f>
        <v>0</v>
      </c>
      <c r="AK23" s="29">
        <f>'REG y VAL POE - AESR - ESR'!AK1703</f>
        <v>0</v>
      </c>
      <c r="AL23" s="29">
        <f>'REG y VAL POE - AESR - ESR'!AL1703</f>
        <v>0</v>
      </c>
      <c r="AM23" s="29">
        <f>'REG y VAL POE - AESR - ESR'!AM1703</f>
        <v>0</v>
      </c>
      <c r="AN23" s="29">
        <f>'REG y VAL POE - AESR - ESR'!AN1703</f>
        <v>0</v>
      </c>
      <c r="AO23" s="29">
        <f>'REG y VAL POE - AESR - ESR'!AO1703</f>
        <v>0</v>
      </c>
      <c r="AP23" s="29">
        <f>'REG y VAL POE - AESR - ESR'!AP1703</f>
        <v>0</v>
      </c>
      <c r="AQ23" s="29">
        <f>'REG y VAL POE - AESR - ESR'!AQ1703</f>
        <v>0</v>
      </c>
      <c r="AR23" s="29">
        <f>'REG y VAL POE - AESR - ESR'!AR1703</f>
        <v>0</v>
      </c>
      <c r="AS23" s="29">
        <f>'REG y VAL POE - AESR - ESR'!AS1703</f>
        <v>0</v>
      </c>
      <c r="AT23" s="30" t="str">
        <f>'REG y VAL POE - AESR - ESR'!B1704</f>
        <v xml:space="preserve">Alfaro Galindo Yurintzi Del Rosari </v>
      </c>
      <c r="AU23" s="28" t="str">
        <f>'REG y VAL POE - AESR - ESR'!C1704</f>
        <v>Sin Registro</v>
      </c>
      <c r="AV23" s="29">
        <f>'REG y VAL POE - AESR - ESR'!D1704</f>
        <v>23196936</v>
      </c>
      <c r="AW23" s="29" t="str">
        <f>'REG y VAL POE - AESR - ESR'!E1704</f>
        <v xml:space="preserve">Alfaro Galindo Yurintzi Del Rosari </v>
      </c>
      <c r="AX23" s="29">
        <f>'REG y VAL POE - AESR - ESR'!F1704</f>
        <v>23196936</v>
      </c>
      <c r="AY23" s="29">
        <f>'REG y VAL POE - AESR - ESR'!G1704</f>
        <v>0</v>
      </c>
      <c r="AZ23" s="29">
        <f>'REG y VAL POE - AESR - ESR'!H1704</f>
        <v>0</v>
      </c>
      <c r="BA23" s="28">
        <f>'REG y VAL POE - AESR - ESR'!I1704</f>
        <v>0</v>
      </c>
      <c r="BB23" s="29">
        <f>'REG y VAL POE - AESR - ESR'!J1704</f>
        <v>0</v>
      </c>
      <c r="BC23" s="29">
        <f>'REG y VAL POE - AESR - ESR'!K1704</f>
        <v>0</v>
      </c>
      <c r="BD23" s="28">
        <f>'REG y VAL POE - AESR - ESR'!L1704</f>
        <v>0</v>
      </c>
      <c r="BE23" s="29">
        <f>'REG y VAL POE - AESR - ESR'!M1704</f>
        <v>0</v>
      </c>
      <c r="BF23" s="30">
        <f>'REG y VAL POE - AESR - ESR'!N1704</f>
        <v>0</v>
      </c>
      <c r="BG23" s="28">
        <f>'REG y VAL POE - AESR - ESR'!O1704</f>
        <v>0</v>
      </c>
      <c r="BH23" s="29">
        <f>'REG y VAL POE - AESR - ESR'!P1704</f>
        <v>0</v>
      </c>
      <c r="BI23" s="29">
        <f>'REG y VAL POE - AESR - ESR'!Q1704</f>
        <v>0</v>
      </c>
      <c r="BJ23" s="29">
        <f>'REG y VAL POE - AESR - ESR'!R1704</f>
        <v>0</v>
      </c>
      <c r="BK23" s="28">
        <f>'REG y VAL POE - AESR - ESR'!S1704</f>
        <v>0</v>
      </c>
      <c r="BL23" s="29">
        <f>'REG y VAL POE - AESR - ESR'!T1704</f>
        <v>0</v>
      </c>
      <c r="BM23" s="29">
        <f>'REG y VAL POE - AESR - ESR'!U1704</f>
        <v>0</v>
      </c>
      <c r="BN23" s="28">
        <f>'REG y VAL POE - AESR - ESR'!V1704</f>
        <v>0</v>
      </c>
      <c r="BO23" s="29">
        <f>'REG y VAL POE - AESR - ESR'!W1704</f>
        <v>0</v>
      </c>
      <c r="BP23" s="30">
        <f>'REG y VAL POE - AESR - ESR'!X1704</f>
        <v>0</v>
      </c>
      <c r="BQ23" s="28">
        <f>'REG y VAL POE - AESR - ESR'!Y1704</f>
        <v>0</v>
      </c>
      <c r="BR23" s="29">
        <f>'REG y VAL POE - AESR - ESR'!Z1704</f>
        <v>0</v>
      </c>
      <c r="BS23" s="29">
        <f>'REG y VAL POE - AESR - ESR'!AA1704</f>
        <v>0</v>
      </c>
      <c r="BT23" s="29">
        <f>'REG y VAL POE - AESR - ESR'!AB1704</f>
        <v>0</v>
      </c>
      <c r="BU23" s="28">
        <f>'REG y VAL POE - AESR - ESR'!AC1704</f>
        <v>0</v>
      </c>
      <c r="BV23" s="29">
        <f>'REG y VAL POE - AESR - ESR'!AD1704</f>
        <v>0</v>
      </c>
      <c r="BW23" s="29">
        <f>'REG y VAL POE - AESR - ESR'!AE1704</f>
        <v>0</v>
      </c>
      <c r="BX23" s="28">
        <f>'REG y VAL POE - AESR - ESR'!AF1704</f>
        <v>0</v>
      </c>
      <c r="BY23" s="29">
        <f>'REG y VAL POE - AESR - ESR'!AG1704</f>
        <v>0</v>
      </c>
      <c r="BZ23" s="30">
        <f>'REG y VAL POE - AESR - ESR'!AH1704</f>
        <v>0</v>
      </c>
      <c r="CA23" s="28">
        <f>'REG y VAL POE - AESR - ESR'!AI1704</f>
        <v>0</v>
      </c>
      <c r="CB23" s="29">
        <f>'REG y VAL POE - AESR - ESR'!AJ1704</f>
        <v>0</v>
      </c>
      <c r="CC23" s="29">
        <f>'REG y VAL POE - AESR - ESR'!AK1704</f>
        <v>0</v>
      </c>
      <c r="CD23" s="29">
        <f>'REG y VAL POE - AESR - ESR'!AL1704</f>
        <v>0</v>
      </c>
      <c r="CE23" s="28">
        <f>'REG y VAL POE - AESR - ESR'!AM1704</f>
        <v>0</v>
      </c>
      <c r="CF23" s="29">
        <f>'REG y VAL POE - AESR - ESR'!AN1704</f>
        <v>0</v>
      </c>
      <c r="CG23" s="29">
        <f>'REG y VAL POE - AESR - ESR'!AO1704</f>
        <v>0</v>
      </c>
      <c r="CH23" s="28">
        <f>'REG y VAL POE - AESR - ESR'!AP1704</f>
        <v>0</v>
      </c>
      <c r="CI23" s="29">
        <f>'REG y VAL POE - AESR - ESR'!AQ1704</f>
        <v>0</v>
      </c>
      <c r="CJ23" s="30">
        <f>'REG y VAL POE - AESR - ESR'!AR1704</f>
        <v>0</v>
      </c>
      <c r="CK23" s="28">
        <f>'REG y VAL POE - AESR - ESR'!AS1704</f>
        <v>0</v>
      </c>
      <c r="CL23" s="29" t="str">
        <f>'REG y VAL POE - AESR - ESR'!B1705</f>
        <v xml:space="preserve">Alvarez Burgos Francisco </v>
      </c>
      <c r="CM23" s="29" t="str">
        <f>'REG y VAL POE - AESR - ESR'!C1705</f>
        <v>Sin Registro</v>
      </c>
      <c r="CN23" s="29">
        <f>'REG y VAL POE - AESR - ESR'!D1705</f>
        <v>23175750</v>
      </c>
      <c r="CO23" s="28" t="str">
        <f>'REG y VAL POE - AESR - ESR'!E1705</f>
        <v xml:space="preserve">Alvarez Burgos Francisco </v>
      </c>
      <c r="CP23" s="29">
        <f>'REG y VAL POE - AESR - ESR'!F1705</f>
        <v>23175750</v>
      </c>
      <c r="CQ23" s="29">
        <f>'REG y VAL POE - AESR - ESR'!G1705</f>
        <v>0</v>
      </c>
      <c r="CR23" s="28">
        <f>'REG y VAL POE - AESR - ESR'!H1705</f>
        <v>0</v>
      </c>
      <c r="CS23" s="29">
        <f>'REG y VAL POE - AESR - ESR'!I1705</f>
        <v>0</v>
      </c>
      <c r="CT23" s="30">
        <f>'REG y VAL POE - AESR - ESR'!J1705</f>
        <v>0</v>
      </c>
      <c r="CU23" s="28">
        <f>'REG y VAL POE - AESR - ESR'!K1705</f>
        <v>0</v>
      </c>
      <c r="CV23" s="29">
        <f>'REG y VAL POE - AESR - ESR'!L1705</f>
        <v>0</v>
      </c>
      <c r="CW23" s="29">
        <f>'REG y VAL POE - AESR - ESR'!M1705</f>
        <v>0</v>
      </c>
      <c r="CX23" s="29">
        <f>'REG y VAL POE - AESR - ESR'!N1705</f>
        <v>0</v>
      </c>
      <c r="CY23" s="28">
        <f>'REG y VAL POE - AESR - ESR'!O1705</f>
        <v>0</v>
      </c>
      <c r="CZ23" s="29">
        <f>'REG y VAL POE - AESR - ESR'!P1705</f>
        <v>0</v>
      </c>
      <c r="DA23" s="29">
        <f>'REG y VAL POE - AESR - ESR'!Q1705</f>
        <v>0</v>
      </c>
      <c r="DB23" s="28">
        <f>'REG y VAL POE - AESR - ESR'!R1705</f>
        <v>0</v>
      </c>
      <c r="DC23" s="29">
        <f>'REG y VAL POE - AESR - ESR'!S1705</f>
        <v>0</v>
      </c>
      <c r="DD23" s="30">
        <f>'REG y VAL POE - AESR - ESR'!T1705</f>
        <v>0</v>
      </c>
      <c r="DE23" s="28">
        <f>'REG y VAL POE - AESR - ESR'!U1705</f>
        <v>0</v>
      </c>
      <c r="DF23" s="29">
        <f>'REG y VAL POE - AESR - ESR'!V1705</f>
        <v>0</v>
      </c>
      <c r="DG23" s="29">
        <f>'REG y VAL POE - AESR - ESR'!W1705</f>
        <v>0</v>
      </c>
      <c r="DH23" s="29">
        <f>'REG y VAL POE - AESR - ESR'!X1705</f>
        <v>0</v>
      </c>
      <c r="DI23" s="28">
        <f>'REG y VAL POE - AESR - ESR'!Y1705</f>
        <v>0</v>
      </c>
      <c r="DJ23" s="29">
        <f>'REG y VAL POE - AESR - ESR'!Z1705</f>
        <v>0</v>
      </c>
      <c r="DK23" s="29">
        <f>'REG y VAL POE - AESR - ESR'!AA1705</f>
        <v>0</v>
      </c>
      <c r="DL23" s="28">
        <f>'REG y VAL POE - AESR - ESR'!AB1705</f>
        <v>0</v>
      </c>
      <c r="DM23" s="29">
        <f>'REG y VAL POE - AESR - ESR'!AC1705</f>
        <v>0</v>
      </c>
      <c r="DN23" s="30">
        <f>'REG y VAL POE - AESR - ESR'!AD1705</f>
        <v>0</v>
      </c>
      <c r="DO23" s="28">
        <f>'REG y VAL POE - AESR - ESR'!AE1705</f>
        <v>0</v>
      </c>
      <c r="DP23" s="29">
        <f>'REG y VAL POE - AESR - ESR'!AF1705</f>
        <v>0</v>
      </c>
      <c r="DQ23" s="29">
        <f>'REG y VAL POE - AESR - ESR'!AG1705</f>
        <v>0</v>
      </c>
      <c r="DR23" s="29">
        <f>'REG y VAL POE - AESR - ESR'!AH1705</f>
        <v>0</v>
      </c>
      <c r="DS23" s="28">
        <f>'REG y VAL POE - AESR - ESR'!AI1705</f>
        <v>0</v>
      </c>
      <c r="DT23" s="29">
        <f>'REG y VAL POE - AESR - ESR'!AJ1705</f>
        <v>0</v>
      </c>
      <c r="DU23" s="29">
        <f>'REG y VAL POE - AESR - ESR'!AK1705</f>
        <v>0</v>
      </c>
      <c r="DV23" s="28">
        <f>'REG y VAL POE - AESR - ESR'!AL1705</f>
        <v>0</v>
      </c>
      <c r="DW23" s="29">
        <f>'REG y VAL POE - AESR - ESR'!AM1705</f>
        <v>0</v>
      </c>
      <c r="DX23" s="30">
        <f>'REG y VAL POE - AESR - ESR'!AN1705</f>
        <v>0</v>
      </c>
      <c r="DY23" s="28">
        <f>'REG y VAL POE - AESR - ESR'!AO1705</f>
        <v>0</v>
      </c>
      <c r="DZ23" s="29">
        <f>'REG y VAL POE - AESR - ESR'!AP1705</f>
        <v>0</v>
      </c>
      <c r="EA23" s="29">
        <f>'REG y VAL POE - AESR - ESR'!AQ1705</f>
        <v>0</v>
      </c>
      <c r="EB23" s="29">
        <f>'REG y VAL POE - AESR - ESR'!AR1705</f>
        <v>0</v>
      </c>
      <c r="EC23" s="28">
        <f>'REG y VAL POE - AESR - ESR'!AS1705</f>
        <v>0</v>
      </c>
      <c r="ED23" s="29" t="str">
        <f>'REG y VAL POE - AESR - ESR'!B1706</f>
        <v xml:space="preserve">Amaya Lopez Aaron </v>
      </c>
      <c r="EE23" s="28" t="str">
        <f>'REG y VAL POE - AESR - ESR'!C1706</f>
        <v>Sin Registro</v>
      </c>
      <c r="EF23" s="28">
        <f>'REG y VAL POE - AESR - ESR'!D1706</f>
        <v>23017713</v>
      </c>
      <c r="EG23" s="29" t="str">
        <f>'REG y VAL POE - AESR - ESR'!E1706</f>
        <v xml:space="preserve">Amaya Lopez Aaron </v>
      </c>
      <c r="EH23" s="30">
        <f>'REG y VAL POE - AESR - ESR'!F1706</f>
        <v>23017713</v>
      </c>
      <c r="EI23" s="28">
        <f>'REG y VAL POE - AESR - ESR'!G1706</f>
        <v>0</v>
      </c>
      <c r="EJ23" s="29">
        <f>'REG y VAL POE - AESR - ESR'!H1706</f>
        <v>0</v>
      </c>
      <c r="EK23" s="29">
        <f>'REG y VAL POE - AESR - ESR'!I1706</f>
        <v>0</v>
      </c>
      <c r="EL23" s="29">
        <f>'REG y VAL POE - AESR - ESR'!J1706</f>
        <v>0</v>
      </c>
      <c r="EM23" s="28">
        <f>'REG y VAL POE - AESR - ESR'!K1706</f>
        <v>0</v>
      </c>
      <c r="EN23" s="29">
        <f>'REG y VAL POE - AESR - ESR'!L1706</f>
        <v>0</v>
      </c>
      <c r="EO23" s="33">
        <f>'REG y VAL POE - AESR - ESR'!M1706</f>
        <v>0</v>
      </c>
      <c r="EP23" s="28">
        <f>'REG y VAL POE - AESR - ESR'!N1706</f>
        <v>0</v>
      </c>
      <c r="EQ23" s="29">
        <f>'REG y VAL POE - AESR - ESR'!O1706</f>
        <v>0</v>
      </c>
      <c r="ER23" s="30">
        <f>'REG y VAL POE - AESR - ESR'!P1706</f>
        <v>0</v>
      </c>
      <c r="ES23" s="28">
        <f>'REG y VAL POE - AESR - ESR'!Q1706</f>
        <v>0</v>
      </c>
      <c r="ET23" s="29">
        <f>'REG y VAL POE - AESR - ESR'!R1706</f>
        <v>0</v>
      </c>
      <c r="EU23" s="29">
        <f>'REG y VAL POE - AESR - ESR'!S1706</f>
        <v>0</v>
      </c>
      <c r="EV23" s="29">
        <f>'REG y VAL POE - AESR - ESR'!T1706</f>
        <v>0</v>
      </c>
      <c r="EW23" s="28">
        <f>'REG y VAL POE - AESR - ESR'!U1706</f>
        <v>0</v>
      </c>
      <c r="EX23" s="29">
        <f>'REG y VAL POE - AESR - ESR'!V1706</f>
        <v>0</v>
      </c>
      <c r="EY23" s="29">
        <f>'REG y VAL POE - AESR - ESR'!W1706</f>
        <v>0</v>
      </c>
      <c r="EZ23" s="28">
        <f>'REG y VAL POE - AESR - ESR'!X1706</f>
        <v>0</v>
      </c>
      <c r="FA23" s="29">
        <f>'REG y VAL POE - AESR - ESR'!Y1706</f>
        <v>0</v>
      </c>
      <c r="FB23" s="30">
        <f>'REG y VAL POE - AESR - ESR'!Z1706</f>
        <v>0</v>
      </c>
      <c r="FC23" s="28">
        <f>'REG y VAL POE - AESR - ESR'!AA1706</f>
        <v>0</v>
      </c>
      <c r="FD23" s="29">
        <f>'REG y VAL POE - AESR - ESR'!AB1706</f>
        <v>0</v>
      </c>
      <c r="FE23" s="29">
        <f>'REG y VAL POE - AESR - ESR'!AC1706</f>
        <v>0</v>
      </c>
      <c r="FF23" s="29">
        <f>'REG y VAL POE - AESR - ESR'!AD1706</f>
        <v>0</v>
      </c>
      <c r="FG23" s="28">
        <f>'REG y VAL POE - AESR - ESR'!AE1706</f>
        <v>0</v>
      </c>
      <c r="FH23" s="29">
        <f>'REG y VAL POE - AESR - ESR'!AF1706</f>
        <v>0</v>
      </c>
      <c r="FI23" s="29">
        <f>'REG y VAL POE - AESR - ESR'!AG1706</f>
        <v>0</v>
      </c>
      <c r="FJ23" s="28">
        <f>'REG y VAL POE - AESR - ESR'!AH1706</f>
        <v>0</v>
      </c>
      <c r="FK23" s="29">
        <f>'REG y VAL POE - AESR - ESR'!AI1706</f>
        <v>0</v>
      </c>
      <c r="FL23" s="30">
        <f>'REG y VAL POE - AESR - ESR'!AJ1706</f>
        <v>0</v>
      </c>
      <c r="FM23" s="28">
        <f>'REG y VAL POE - AESR - ESR'!AK1706</f>
        <v>0</v>
      </c>
      <c r="FN23" s="29">
        <f>'REG y VAL POE - AESR - ESR'!AL1706</f>
        <v>0</v>
      </c>
      <c r="FO23" s="29">
        <f>'REG y VAL POE - AESR - ESR'!AM1706</f>
        <v>0</v>
      </c>
      <c r="FP23" s="29">
        <f>'REG y VAL POE - AESR - ESR'!AN1706</f>
        <v>0</v>
      </c>
      <c r="FQ23" s="28">
        <f>'REG y VAL POE - AESR - ESR'!AO1706</f>
        <v>0</v>
      </c>
      <c r="FR23" s="29">
        <f>'REG y VAL POE - AESR - ESR'!AP1706</f>
        <v>0</v>
      </c>
      <c r="FS23" s="29">
        <f>'REG y VAL POE - AESR - ESR'!AQ1706</f>
        <v>0</v>
      </c>
      <c r="FT23" s="28">
        <f>'REG y VAL POE - AESR - ESR'!AR1706</f>
        <v>0</v>
      </c>
      <c r="FU23" s="29">
        <f>'REG y VAL POE - AESR - ESR'!AS1706</f>
        <v>0</v>
      </c>
      <c r="FV23" s="30" t="str">
        <f>'REG y VAL POE - AESR - ESR'!B1707</f>
        <v xml:space="preserve">Aramburo Lizarraga Cesar De Jesus </v>
      </c>
      <c r="FW23" s="28" t="str">
        <f>'REG y VAL POE - AESR - ESR'!C1707</f>
        <v>Sin Registro</v>
      </c>
      <c r="FX23" s="29">
        <f>'REG y VAL POE - AESR - ESR'!D1707</f>
        <v>23025898</v>
      </c>
      <c r="FY23" s="29" t="str">
        <f>'REG y VAL POE - AESR - ESR'!E1707</f>
        <v xml:space="preserve">Aramburo Lizarraga Cesar De Jesus </v>
      </c>
      <c r="FZ23" s="29">
        <f>'REG y VAL POE - AESR - ESR'!F1707</f>
        <v>23025898</v>
      </c>
      <c r="GA23" s="28">
        <f>'REG y VAL POE - AESR - ESR'!G1707</f>
        <v>0</v>
      </c>
      <c r="GB23" s="29">
        <f>'REG y VAL POE - AESR - ESR'!H1707</f>
        <v>0</v>
      </c>
      <c r="GC23" s="29">
        <f>'REG y VAL POE - AESR - ESR'!I1707</f>
        <v>0</v>
      </c>
      <c r="GD23" s="28">
        <f>'REG y VAL POE - AESR - ESR'!J1707</f>
        <v>0</v>
      </c>
      <c r="GE23" s="29">
        <f>'REG y VAL POE - AESR - ESR'!K1707</f>
        <v>0</v>
      </c>
      <c r="GF23" s="30">
        <f>'REG y VAL POE - AESR - ESR'!L1707</f>
        <v>0</v>
      </c>
      <c r="GG23" s="28">
        <f>'REG y VAL POE - AESR - ESR'!M1707</f>
        <v>0</v>
      </c>
      <c r="GH23" s="29">
        <f>'REG y VAL POE - AESR - ESR'!N1707</f>
        <v>0</v>
      </c>
      <c r="GI23" s="29">
        <f>'REG y VAL POE - AESR - ESR'!O1707</f>
        <v>0</v>
      </c>
      <c r="GJ23" s="29">
        <f>'REG y VAL POE - AESR - ESR'!P1707</f>
        <v>0</v>
      </c>
      <c r="GK23" s="28">
        <f>'REG y VAL POE - AESR - ESR'!Q1707</f>
        <v>0</v>
      </c>
      <c r="GL23" s="29">
        <f>'REG y VAL POE - AESR - ESR'!R1707</f>
        <v>0</v>
      </c>
      <c r="GM23" s="29">
        <f>'REG y VAL POE - AESR - ESR'!S1707</f>
        <v>0</v>
      </c>
      <c r="GN23" s="28">
        <f>'REG y VAL POE - AESR - ESR'!T1707</f>
        <v>0</v>
      </c>
      <c r="GO23" s="29">
        <f>'REG y VAL POE - AESR - ESR'!U1707</f>
        <v>0</v>
      </c>
      <c r="GP23" s="30">
        <f>'REG y VAL POE - AESR - ESR'!V1707</f>
        <v>0</v>
      </c>
      <c r="GQ23" s="28">
        <f>'REG y VAL POE - AESR - ESR'!W1707</f>
        <v>0</v>
      </c>
      <c r="GR23" s="29">
        <f>'REG y VAL POE - AESR - ESR'!X1707</f>
        <v>0</v>
      </c>
      <c r="GS23" s="29">
        <f>'REG y VAL POE - AESR - ESR'!Y1707</f>
        <v>0</v>
      </c>
      <c r="GT23" s="29">
        <f>'REG y VAL POE - AESR - ESR'!Z1707</f>
        <v>0</v>
      </c>
      <c r="GU23" s="28">
        <f>'REG y VAL POE - AESR - ESR'!AA1707</f>
        <v>0</v>
      </c>
      <c r="GV23" s="29">
        <f>'REG y VAL POE - AESR - ESR'!AB1707</f>
        <v>0</v>
      </c>
      <c r="GW23" s="29">
        <f>'REG y VAL POE - AESR - ESR'!AC1707</f>
        <v>0</v>
      </c>
      <c r="GX23" s="28">
        <f>'REG y VAL POE - AESR - ESR'!AD1707</f>
        <v>0</v>
      </c>
      <c r="GY23" s="29">
        <f>'REG y VAL POE - AESR - ESR'!AE1707</f>
        <v>0</v>
      </c>
      <c r="GZ23" s="30">
        <f>'REG y VAL POE - AESR - ESR'!AF1707</f>
        <v>0</v>
      </c>
      <c r="HA23" s="28">
        <f>'REG y VAL POE - AESR - ESR'!AG1707</f>
        <v>0</v>
      </c>
      <c r="HB23" s="29">
        <f>'REG y VAL POE - AESR - ESR'!AH1707</f>
        <v>0</v>
      </c>
      <c r="HC23" s="29">
        <f>'REG y VAL POE - AESR - ESR'!AI1707</f>
        <v>0</v>
      </c>
      <c r="HD23" s="29">
        <f>'REG y VAL POE - AESR - ESR'!AJ1707</f>
        <v>0</v>
      </c>
      <c r="HE23" s="28">
        <f>'REG y VAL POE - AESR - ESR'!AK1707</f>
        <v>0</v>
      </c>
      <c r="HF23" s="29">
        <f>'REG y VAL POE - AESR - ESR'!AL1707</f>
        <v>0</v>
      </c>
      <c r="HG23" s="29">
        <f>'REG y VAL POE - AESR - ESR'!AM1707</f>
        <v>0</v>
      </c>
      <c r="HH23" s="28">
        <f>'REG y VAL POE - AESR - ESR'!AN1707</f>
        <v>0</v>
      </c>
      <c r="HI23" s="29">
        <f>'REG y VAL POE - AESR - ESR'!AO1707</f>
        <v>0</v>
      </c>
      <c r="HJ23" s="30">
        <f>'REG y VAL POE - AESR - ESR'!AP1707</f>
        <v>0</v>
      </c>
      <c r="HK23" s="28">
        <f>'REG y VAL POE - AESR - ESR'!AQ1707</f>
        <v>0</v>
      </c>
      <c r="HL23" s="29">
        <f>'REG y VAL POE - AESR - ESR'!AR1707</f>
        <v>0</v>
      </c>
      <c r="HM23" s="29">
        <f>'REG y VAL POE - AESR - ESR'!AS1707</f>
        <v>0</v>
      </c>
      <c r="HN23" s="29" t="str">
        <f>'REG y VAL POE - AESR - ESR'!B1708</f>
        <v xml:space="preserve">Archila Solar Diana Abigail </v>
      </c>
      <c r="HO23" s="28">
        <f>'REG y VAL POE - AESR - ESR'!C1708</f>
        <v>0</v>
      </c>
      <c r="HP23" s="29">
        <f>'REG y VAL POE - AESR - ESR'!D1708</f>
        <v>23013608</v>
      </c>
      <c r="HQ23" s="29">
        <f>'REG y VAL POE - AESR - ESR'!E1708</f>
        <v>0</v>
      </c>
      <c r="HR23" s="28">
        <f>'REG y VAL POE - AESR - ESR'!F1708</f>
        <v>0</v>
      </c>
      <c r="HS23" s="29">
        <f>'REG y VAL POE - AESR - ESR'!G1708</f>
        <v>0</v>
      </c>
      <c r="HT23" s="30">
        <f>'REG y VAL POE - AESR - ESR'!H1708</f>
        <v>0</v>
      </c>
      <c r="HU23" s="28">
        <f>'REG y VAL POE - AESR - ESR'!I1708</f>
        <v>0</v>
      </c>
      <c r="HV23" s="29">
        <f>'REG y VAL POE - AESR - ESR'!J1708</f>
        <v>0</v>
      </c>
      <c r="HW23" s="29">
        <f>'REG y VAL POE - AESR - ESR'!K1708</f>
        <v>0</v>
      </c>
      <c r="HX23" s="29">
        <f>'REG y VAL POE - AESR - ESR'!L1708</f>
        <v>0</v>
      </c>
      <c r="HY23" s="28">
        <f>'REG y VAL POE - AESR - ESR'!M1708</f>
        <v>0</v>
      </c>
      <c r="HZ23" s="29">
        <f>'REG y VAL POE - AESR - ESR'!N1708</f>
        <v>0</v>
      </c>
      <c r="IA23" s="29">
        <f>'REG y VAL POE - AESR - ESR'!O1708</f>
        <v>0</v>
      </c>
      <c r="IB23" s="28">
        <f>'REG y VAL POE - AESR - ESR'!P1708</f>
        <v>0</v>
      </c>
      <c r="IC23" s="29">
        <f>'REG y VAL POE - AESR - ESR'!Q1708</f>
        <v>0</v>
      </c>
      <c r="ID23" s="30">
        <f>'REG y VAL POE - AESR - ESR'!R1708</f>
        <v>0</v>
      </c>
      <c r="IE23" s="28">
        <f>'REG y VAL POE - AESR - ESR'!S1708</f>
        <v>0</v>
      </c>
      <c r="IF23" s="29">
        <f>'REG y VAL POE - AESR - ESR'!T1708</f>
        <v>0</v>
      </c>
      <c r="IG23" s="29">
        <f>'REG y VAL POE - AESR - ESR'!U1708</f>
        <v>0</v>
      </c>
      <c r="IH23" s="29">
        <f>'REG y VAL POE - AESR - ESR'!V1708</f>
        <v>0</v>
      </c>
      <c r="II23" s="28">
        <f>'REG y VAL POE - AESR - ESR'!W1708</f>
        <v>0</v>
      </c>
      <c r="IJ23" s="29">
        <f>'REG y VAL POE - AESR - ESR'!X1708</f>
        <v>0</v>
      </c>
      <c r="IK23" s="29">
        <f>'REG y VAL POE - AESR - ESR'!Y1708</f>
        <v>0</v>
      </c>
      <c r="IL23" s="28">
        <f>'REG y VAL POE - AESR - ESR'!Z1708</f>
        <v>0</v>
      </c>
      <c r="IM23" s="29">
        <f>'REG y VAL POE - AESR - ESR'!AA1708</f>
        <v>0</v>
      </c>
      <c r="IN23" s="30">
        <f>'REG y VAL POE - AESR - ESR'!AB1708</f>
        <v>0</v>
      </c>
      <c r="IO23" s="28">
        <f>'REG y VAL POE - AESR - ESR'!AC1708</f>
        <v>0</v>
      </c>
      <c r="IP23" s="29">
        <f>'REG y VAL POE - AESR - ESR'!AD1708</f>
        <v>0</v>
      </c>
      <c r="IQ23" s="29">
        <f>'REG y VAL POE - AESR - ESR'!AE1708</f>
        <v>0</v>
      </c>
      <c r="IR23" s="29">
        <f>'REG y VAL POE - AESR - ESR'!AF1708</f>
        <v>0</v>
      </c>
      <c r="IS23" s="28">
        <f>'REG y VAL POE - AESR - ESR'!AG1708</f>
        <v>0</v>
      </c>
      <c r="IT23" s="29">
        <f>'REG y VAL POE - AESR - ESR'!AH1708</f>
        <v>0</v>
      </c>
      <c r="IU23" s="29">
        <f>'REG y VAL POE - AESR - ESR'!AI1708</f>
        <v>0</v>
      </c>
      <c r="IV23" s="28">
        <f>'REG y VAL POE - AESR - ESR'!AJ1708</f>
        <v>0</v>
      </c>
      <c r="IW23" s="29">
        <f>'REG y VAL POE - AESR - ESR'!AK1708</f>
        <v>0</v>
      </c>
      <c r="IX23" s="30">
        <f>'REG y VAL POE - AESR - ESR'!AL1708</f>
        <v>0</v>
      </c>
      <c r="IY23" s="28">
        <f>'REG y VAL POE - AESR - ESR'!AM1708</f>
        <v>0</v>
      </c>
      <c r="IZ23" s="29">
        <f>'REG y VAL POE - AESR - ESR'!AN1708</f>
        <v>0</v>
      </c>
      <c r="JA23" s="29">
        <f>'REG y VAL POE - AESR - ESR'!AO1708</f>
        <v>0</v>
      </c>
      <c r="JB23" s="29">
        <f>'REG y VAL POE - AESR - ESR'!AP1708</f>
        <v>0</v>
      </c>
      <c r="JC23" s="28">
        <f>'REG y VAL POE - AESR - ESR'!AQ1708</f>
        <v>0</v>
      </c>
      <c r="JD23" s="29">
        <f>'REG y VAL POE - AESR - ESR'!AR1708</f>
        <v>0</v>
      </c>
      <c r="JE23" s="29">
        <f>'REG y VAL POE - AESR - ESR'!AS1708</f>
        <v>0</v>
      </c>
      <c r="JF23" s="28" t="str">
        <f>'REG y VAL POE - AESR - ESR'!B1709</f>
        <v xml:space="preserve">Ayala Rochin Juan Felipe </v>
      </c>
      <c r="JG23" s="29" t="str">
        <f>'REG y VAL POE - AESR - ESR'!C1709</f>
        <v>Sin Registro</v>
      </c>
      <c r="JH23" s="30">
        <f>'REG y VAL POE - AESR - ESR'!D1709</f>
        <v>23189672</v>
      </c>
      <c r="JI23" s="28" t="str">
        <f>'REG y VAL POE - AESR - ESR'!E1709</f>
        <v xml:space="preserve">Ayala Rochin Juan Felipe </v>
      </c>
      <c r="JJ23" s="29">
        <f>'REG y VAL POE - AESR - ESR'!F1709</f>
        <v>23189672</v>
      </c>
      <c r="JK23" s="29">
        <f>'REG y VAL POE - AESR - ESR'!G1709</f>
        <v>0</v>
      </c>
      <c r="JL23" s="29">
        <f>'REG y VAL POE - AESR - ESR'!H1709</f>
        <v>0</v>
      </c>
      <c r="JM23" s="28">
        <f>'REG y VAL POE - AESR - ESR'!I1709</f>
        <v>0</v>
      </c>
      <c r="JN23" s="29">
        <f>'REG y VAL POE - AESR - ESR'!J1709</f>
        <v>0</v>
      </c>
      <c r="JO23" s="29">
        <f>'REG y VAL POE - AESR - ESR'!K1709</f>
        <v>0</v>
      </c>
      <c r="JP23" s="28">
        <f>'REG y VAL POE - AESR - ESR'!L1709</f>
        <v>0</v>
      </c>
      <c r="JQ23" s="29">
        <f>'REG y VAL POE - AESR - ESR'!M1709</f>
        <v>0</v>
      </c>
      <c r="JR23" s="30">
        <f>'REG y VAL POE - AESR - ESR'!N1709</f>
        <v>0</v>
      </c>
      <c r="JS23" s="28">
        <f>'REG y VAL POE - AESR - ESR'!O1709</f>
        <v>0</v>
      </c>
      <c r="JT23" s="29">
        <f>'REG y VAL POE - AESR - ESR'!P1709</f>
        <v>0</v>
      </c>
      <c r="JU23" s="29">
        <f>'REG y VAL POE - AESR - ESR'!Q1709</f>
        <v>0</v>
      </c>
      <c r="JV23" s="29">
        <f>'REG y VAL POE - AESR - ESR'!R1709</f>
        <v>0</v>
      </c>
      <c r="JW23" s="28">
        <f>'REG y VAL POE - AESR - ESR'!S1709</f>
        <v>0</v>
      </c>
      <c r="JX23" s="29">
        <f>'REG y VAL POE - AESR - ESR'!T1709</f>
        <v>0</v>
      </c>
      <c r="JY23" s="29">
        <f>'REG y VAL POE - AESR - ESR'!U1709</f>
        <v>0</v>
      </c>
      <c r="JZ23" s="28">
        <f>'REG y VAL POE - AESR - ESR'!V1709</f>
        <v>0</v>
      </c>
      <c r="KA23" s="29">
        <f>'REG y VAL POE - AESR - ESR'!W1709</f>
        <v>0</v>
      </c>
      <c r="KB23" s="30">
        <f>'REG y VAL POE - AESR - ESR'!X1709</f>
        <v>0</v>
      </c>
      <c r="KC23" s="28">
        <f>'REG y VAL POE - AESR - ESR'!Y1709</f>
        <v>0</v>
      </c>
      <c r="KD23" s="29">
        <f>'REG y VAL POE - AESR - ESR'!Z1709</f>
        <v>0</v>
      </c>
      <c r="KE23" s="29">
        <f>'REG y VAL POE - AESR - ESR'!AA1709</f>
        <v>0</v>
      </c>
      <c r="KF23" s="29">
        <f>'REG y VAL POE - AESR - ESR'!AB1709</f>
        <v>0</v>
      </c>
      <c r="KG23" s="28">
        <f>'REG y VAL POE - AESR - ESR'!AC1709</f>
        <v>0</v>
      </c>
      <c r="KH23" s="29">
        <f>'REG y VAL POE - AESR - ESR'!AD1709</f>
        <v>0</v>
      </c>
      <c r="KI23" s="29">
        <f>'REG y VAL POE - AESR - ESR'!AE1709</f>
        <v>0</v>
      </c>
      <c r="KJ23" s="28">
        <f>'REG y VAL POE - AESR - ESR'!AF1709</f>
        <v>0</v>
      </c>
      <c r="KK23" s="29">
        <f>'REG y VAL POE - AESR - ESR'!AG1709</f>
        <v>0</v>
      </c>
      <c r="KL23" s="30">
        <f>'REG y VAL POE - AESR - ESR'!AH1709</f>
        <v>0</v>
      </c>
      <c r="KM23" s="28">
        <f>'REG y VAL POE - AESR - ESR'!AI1709</f>
        <v>0</v>
      </c>
      <c r="KN23" s="29">
        <f>'REG y VAL POE - AESR - ESR'!AJ1709</f>
        <v>0</v>
      </c>
      <c r="KO23" s="29">
        <f>'REG y VAL POE - AESR - ESR'!AK1709</f>
        <v>0</v>
      </c>
      <c r="KP23" s="29">
        <f>'REG y VAL POE - AESR - ESR'!AL1709</f>
        <v>0</v>
      </c>
      <c r="KQ23" s="28">
        <f>'REG y VAL POE - AESR - ESR'!AM1709</f>
        <v>0</v>
      </c>
      <c r="KR23" s="29">
        <f>'REG y VAL POE - AESR - ESR'!AN1709</f>
        <v>0</v>
      </c>
      <c r="KS23" s="29">
        <f>'REG y VAL POE - AESR - ESR'!AO1709</f>
        <v>0</v>
      </c>
      <c r="KT23" s="28">
        <f>'REG y VAL POE - AESR - ESR'!AP1709</f>
        <v>0</v>
      </c>
      <c r="KU23" s="29">
        <f>'REG y VAL POE - AESR - ESR'!AQ1709</f>
        <v>0</v>
      </c>
      <c r="KV23" s="30">
        <f>'REG y VAL POE - AESR - ESR'!AR1709</f>
        <v>0</v>
      </c>
      <c r="KW23" s="28">
        <f>'REG y VAL POE - AESR - ESR'!AS1709</f>
        <v>0</v>
      </c>
      <c r="KX23" s="29" t="str">
        <f>'REG y VAL POE - AESR - ESR'!B1710</f>
        <v xml:space="preserve">Cabrera Morgan Stephanie </v>
      </c>
      <c r="KY23" s="29" t="str">
        <f>'REG y VAL POE - AESR - ESR'!C1710</f>
        <v>Sin Registro</v>
      </c>
      <c r="KZ23" s="29">
        <f>'REG y VAL POE - AESR - ESR'!D1710</f>
        <v>23196931</v>
      </c>
      <c r="LA23" s="28" t="str">
        <f>'REG y VAL POE - AESR - ESR'!E1710</f>
        <v xml:space="preserve">Cabrera Morgan Stephanie </v>
      </c>
      <c r="LB23" s="29">
        <f>'REG y VAL POE - AESR - ESR'!F1710</f>
        <v>23196931</v>
      </c>
      <c r="LC23" s="29">
        <f>'REG y VAL POE - AESR - ESR'!G1710</f>
        <v>0</v>
      </c>
      <c r="LD23" s="28">
        <f>'REG y VAL POE - AESR - ESR'!H1710</f>
        <v>0</v>
      </c>
      <c r="LE23" s="29">
        <f>'REG y VAL POE - AESR - ESR'!I1710</f>
        <v>0</v>
      </c>
      <c r="LF23" s="30">
        <f>'REG y VAL POE - AESR - ESR'!J1710</f>
        <v>0</v>
      </c>
      <c r="LG23" s="28">
        <f>'REG y VAL POE - AESR - ESR'!K1710</f>
        <v>0</v>
      </c>
      <c r="LH23" s="29">
        <f>'REG y VAL POE - AESR - ESR'!L1710</f>
        <v>0</v>
      </c>
      <c r="LI23" s="29">
        <f>'REG y VAL POE - AESR - ESR'!M1710</f>
        <v>0</v>
      </c>
      <c r="LJ23" s="29">
        <f>'REG y VAL POE - AESR - ESR'!N1710</f>
        <v>0</v>
      </c>
      <c r="LK23" s="28">
        <f>'REG y VAL POE - AESR - ESR'!O1710</f>
        <v>0</v>
      </c>
      <c r="LL23" s="29">
        <f>'REG y VAL POE - AESR - ESR'!P1710</f>
        <v>0</v>
      </c>
      <c r="LM23" s="29">
        <f>'REG y VAL POE - AESR - ESR'!Q1710</f>
        <v>0</v>
      </c>
      <c r="LN23" s="28">
        <f>'REG y VAL POE - AESR - ESR'!R1710</f>
        <v>0</v>
      </c>
      <c r="LO23" s="29">
        <f>'REG y VAL POE - AESR - ESR'!S1710</f>
        <v>0</v>
      </c>
      <c r="LP23" s="30">
        <f>'REG y VAL POE - AESR - ESR'!T1710</f>
        <v>0</v>
      </c>
      <c r="LQ23" s="28">
        <f>'REG y VAL POE - AESR - ESR'!U1710</f>
        <v>0</v>
      </c>
      <c r="LR23" s="29">
        <f>'REG y VAL POE - AESR - ESR'!V1710</f>
        <v>0</v>
      </c>
      <c r="LS23" s="29">
        <f>'REG y VAL POE - AESR - ESR'!W1710</f>
        <v>0</v>
      </c>
      <c r="LT23" s="29">
        <f>'REG y VAL POE - AESR - ESR'!X1710</f>
        <v>0</v>
      </c>
      <c r="LU23" s="28">
        <f>'REG y VAL POE - AESR - ESR'!Y1710</f>
        <v>0</v>
      </c>
      <c r="LV23" s="29">
        <f>'REG y VAL POE - AESR - ESR'!Z1710</f>
        <v>0</v>
      </c>
      <c r="LW23" s="29">
        <f>'REG y VAL POE - AESR - ESR'!AA1710</f>
        <v>0</v>
      </c>
      <c r="LX23" s="28">
        <f>'REG y VAL POE - AESR - ESR'!AB1710</f>
        <v>0</v>
      </c>
      <c r="LY23" s="29">
        <f>'REG y VAL POE - AESR - ESR'!AC1710</f>
        <v>0</v>
      </c>
      <c r="LZ23" s="30">
        <f>'REG y VAL POE - AESR - ESR'!AD1710</f>
        <v>0</v>
      </c>
      <c r="MA23" s="28">
        <f>'REG y VAL POE - AESR - ESR'!AE1710</f>
        <v>0</v>
      </c>
      <c r="MB23" s="29">
        <f>'REG y VAL POE - AESR - ESR'!AF1710</f>
        <v>0</v>
      </c>
      <c r="MC23" s="29">
        <f>'REG y VAL POE - AESR - ESR'!AG1710</f>
        <v>0</v>
      </c>
      <c r="MD23" s="29">
        <f>'REG y VAL POE - AESR - ESR'!AH1710</f>
        <v>0</v>
      </c>
      <c r="ME23" s="28">
        <f>'REG y VAL POE - AESR - ESR'!AI1710</f>
        <v>0</v>
      </c>
      <c r="MF23" s="29">
        <f>'REG y VAL POE - AESR - ESR'!AJ1710</f>
        <v>0</v>
      </c>
      <c r="MG23" s="29">
        <f>'REG y VAL POE - AESR - ESR'!AK1710</f>
        <v>0</v>
      </c>
      <c r="MH23" s="28">
        <f>'REG y VAL POE - AESR - ESR'!AL1710</f>
        <v>0</v>
      </c>
      <c r="MI23" s="29">
        <f>'REG y VAL POE - AESR - ESR'!AM1710</f>
        <v>0</v>
      </c>
      <c r="MJ23" s="30">
        <f>'REG y VAL POE - AESR - ESR'!AN1710</f>
        <v>0</v>
      </c>
      <c r="MK23" s="28">
        <f>'REG y VAL POE - AESR - ESR'!AO1710</f>
        <v>0</v>
      </c>
      <c r="ML23" s="29">
        <f>'REG y VAL POE - AESR - ESR'!AP1710</f>
        <v>0</v>
      </c>
      <c r="MM23" s="29">
        <f>'REG y VAL POE - AESR - ESR'!AQ1710</f>
        <v>0</v>
      </c>
      <c r="MN23" s="29">
        <f>'REG y VAL POE - AESR - ESR'!AR1710</f>
        <v>0</v>
      </c>
      <c r="MO23" s="28">
        <f>'REG y VAL POE - AESR - ESR'!AS1710</f>
        <v>0</v>
      </c>
      <c r="MP23" s="29" t="str">
        <f>'REG y VAL POE - AESR - ESR'!B1711</f>
        <v xml:space="preserve">Cardenas Salazar Cuauthemoc </v>
      </c>
      <c r="MQ23" s="29" t="str">
        <f>'REG y VAL POE - AESR - ESR'!C1711</f>
        <v>Sin Registro</v>
      </c>
      <c r="MR23" s="28">
        <f>'REG y VAL POE - AESR - ESR'!D1711</f>
        <v>23196934</v>
      </c>
      <c r="MS23" s="29" t="str">
        <f>'REG y VAL POE - AESR - ESR'!E1711</f>
        <v xml:space="preserve">Cardenas Salazar Cuauthemoc </v>
      </c>
      <c r="MT23" s="30">
        <f>'REG y VAL POE - AESR - ESR'!F1711</f>
        <v>23196934</v>
      </c>
      <c r="MU23" s="28">
        <f>'REG y VAL POE - AESR - ESR'!G1711</f>
        <v>0</v>
      </c>
      <c r="MV23" s="29">
        <f>'REG y VAL POE - AESR - ESR'!H1711</f>
        <v>0</v>
      </c>
      <c r="MW23" s="29">
        <f>'REG y VAL POE - AESR - ESR'!I1711</f>
        <v>0</v>
      </c>
      <c r="MX23" s="29">
        <f>'REG y VAL POE - AESR - ESR'!J1711</f>
        <v>0</v>
      </c>
      <c r="MY23" s="28">
        <f>'REG y VAL POE - AESR - ESR'!K1711</f>
        <v>0</v>
      </c>
      <c r="MZ23" s="29">
        <f>'REG y VAL POE - AESR - ESR'!L1711</f>
        <v>0</v>
      </c>
      <c r="NA23" s="29">
        <f>'REG y VAL POE - AESR - ESR'!M1711</f>
        <v>0</v>
      </c>
      <c r="NB23" s="28">
        <f>'REG y VAL POE - AESR - ESR'!N1711</f>
        <v>0</v>
      </c>
      <c r="NC23" s="29">
        <f>'REG y VAL POE - AESR - ESR'!O1711</f>
        <v>0</v>
      </c>
      <c r="ND23" s="30">
        <f>'REG y VAL POE - AESR - ESR'!P1711</f>
        <v>0</v>
      </c>
      <c r="NE23" s="28">
        <f>'REG y VAL POE - AESR - ESR'!Q1711</f>
        <v>0</v>
      </c>
      <c r="NF23" s="29">
        <f>'REG y VAL POE - AESR - ESR'!R1711</f>
        <v>0</v>
      </c>
      <c r="NG23" s="29">
        <f>'REG y VAL POE - AESR - ESR'!S1711</f>
        <v>0</v>
      </c>
      <c r="NH23" s="29">
        <f>'REG y VAL POE - AESR - ESR'!T1711</f>
        <v>0</v>
      </c>
      <c r="NI23" s="28">
        <f>'REG y VAL POE - AESR - ESR'!U1711</f>
        <v>0</v>
      </c>
      <c r="NJ23" s="29">
        <f>'REG y VAL POE - AESR - ESR'!V1711</f>
        <v>0</v>
      </c>
      <c r="NK23" s="29">
        <f>'REG y VAL POE - AESR - ESR'!W1711</f>
        <v>0</v>
      </c>
      <c r="NL23" s="28">
        <f>'REG y VAL POE - AESR - ESR'!X1711</f>
        <v>0</v>
      </c>
      <c r="NM23" s="29">
        <f>'REG y VAL POE - AESR - ESR'!Y1711</f>
        <v>0</v>
      </c>
      <c r="NN23" s="30">
        <f>'REG y VAL POE - AESR - ESR'!Z1711</f>
        <v>0</v>
      </c>
      <c r="NO23" s="28">
        <f>'REG y VAL POE - AESR - ESR'!AA1711</f>
        <v>0</v>
      </c>
      <c r="NP23" s="29">
        <f>'REG y VAL POE - AESR - ESR'!AB1711</f>
        <v>0</v>
      </c>
      <c r="NQ23" s="29">
        <f>'REG y VAL POE - AESR - ESR'!AC1711</f>
        <v>0</v>
      </c>
      <c r="NR23" s="29">
        <f>'REG y VAL POE - AESR - ESR'!AD1711</f>
        <v>0</v>
      </c>
      <c r="NS23" s="28">
        <f>'REG y VAL POE - AESR - ESR'!AE1711</f>
        <v>0</v>
      </c>
      <c r="NT23" s="29">
        <f>'REG y VAL POE - AESR - ESR'!AF1711</f>
        <v>0</v>
      </c>
      <c r="NU23" s="29">
        <f>'REG y VAL POE - AESR - ESR'!AG1711</f>
        <v>0</v>
      </c>
      <c r="NV23" s="28">
        <f>'REG y VAL POE - AESR - ESR'!AH1711</f>
        <v>0</v>
      </c>
      <c r="NW23" s="29">
        <f>'REG y VAL POE - AESR - ESR'!AI1711</f>
        <v>0</v>
      </c>
      <c r="NX23" s="30">
        <f>'REG y VAL POE - AESR - ESR'!AJ1711</f>
        <v>0</v>
      </c>
      <c r="NY23" s="28">
        <f>'REG y VAL POE - AESR - ESR'!AK1711</f>
        <v>0</v>
      </c>
      <c r="NZ23" s="29">
        <f>'REG y VAL POE - AESR - ESR'!AL1711</f>
        <v>0</v>
      </c>
      <c r="OA23" s="29">
        <f>'REG y VAL POE - AESR - ESR'!AM1711</f>
        <v>0</v>
      </c>
      <c r="OB23" s="29">
        <f>'REG y VAL POE - AESR - ESR'!AN1711</f>
        <v>0</v>
      </c>
      <c r="OC23" s="28">
        <f>'REG y VAL POE - AESR - ESR'!AO1711</f>
        <v>0</v>
      </c>
      <c r="OD23" s="29">
        <f>'REG y VAL POE - AESR - ESR'!AP1711</f>
        <v>0</v>
      </c>
      <c r="OE23" s="29">
        <f>'REG y VAL POE - AESR - ESR'!AQ1711</f>
        <v>0</v>
      </c>
      <c r="OF23" s="28">
        <f>'REG y VAL POE - AESR - ESR'!AR1711</f>
        <v>0</v>
      </c>
      <c r="OG23" s="29">
        <f>'REG y VAL POE - AESR - ESR'!AS1711</f>
        <v>0</v>
      </c>
      <c r="OH23" s="30" t="str">
        <f>'REG y VAL POE - AESR - ESR'!B1712</f>
        <v xml:space="preserve">Castillo Velasco Romeo </v>
      </c>
      <c r="OI23" s="28" t="str">
        <f>'REG y VAL POE - AESR - ESR'!C1712</f>
        <v>Sin Registro</v>
      </c>
      <c r="OJ23" s="29">
        <f>'REG y VAL POE - AESR - ESR'!D1712</f>
        <v>23004765</v>
      </c>
      <c r="OK23" s="29" t="str">
        <f>'REG y VAL POE - AESR - ESR'!E1712</f>
        <v xml:space="preserve">Castillo Velasco Romeo </v>
      </c>
      <c r="OL23" s="29">
        <f>'REG y VAL POE - AESR - ESR'!F1712</f>
        <v>23004765</v>
      </c>
      <c r="OM23" s="28">
        <f>'REG y VAL POE - AESR - ESR'!G1712</f>
        <v>0</v>
      </c>
      <c r="ON23" s="29">
        <f>'REG y VAL POE - AESR - ESR'!H1712</f>
        <v>0</v>
      </c>
      <c r="OO23" s="29">
        <f>'REG y VAL POE - AESR - ESR'!I1712</f>
        <v>0</v>
      </c>
      <c r="OP23" s="28">
        <f>'REG y VAL POE - AESR - ESR'!J1712</f>
        <v>0</v>
      </c>
      <c r="OQ23" s="29">
        <f>'REG y VAL POE - AESR - ESR'!K1712</f>
        <v>0</v>
      </c>
      <c r="OR23" s="30">
        <f>'REG y VAL POE - AESR - ESR'!L1712</f>
        <v>0</v>
      </c>
      <c r="OS23" s="28">
        <f>'REG y VAL POE - AESR - ESR'!M1712</f>
        <v>0</v>
      </c>
      <c r="OT23" s="29">
        <f>'REG y VAL POE - AESR - ESR'!N1712</f>
        <v>0</v>
      </c>
      <c r="OU23" s="29">
        <f>'REG y VAL POE - AESR - ESR'!O1712</f>
        <v>0</v>
      </c>
      <c r="OV23" s="29">
        <f>'REG y VAL POE - AESR - ESR'!P1712</f>
        <v>0</v>
      </c>
      <c r="OW23" s="28">
        <f>'REG y VAL POE - AESR - ESR'!Q1712</f>
        <v>0</v>
      </c>
      <c r="OX23" s="29">
        <f>'REG y VAL POE - AESR - ESR'!R1712</f>
        <v>0</v>
      </c>
      <c r="OY23" s="29">
        <f>'REG y VAL POE - AESR - ESR'!S1712</f>
        <v>0</v>
      </c>
      <c r="OZ23" s="28">
        <f>'REG y VAL POE - AESR - ESR'!T1712</f>
        <v>0</v>
      </c>
      <c r="PA23" s="29">
        <f>'REG y VAL POE - AESR - ESR'!U1712</f>
        <v>0</v>
      </c>
      <c r="PB23" s="30">
        <f>'REG y VAL POE - AESR - ESR'!V1712</f>
        <v>0</v>
      </c>
      <c r="PC23" s="28">
        <f>'REG y VAL POE - AESR - ESR'!W1712</f>
        <v>0</v>
      </c>
      <c r="PD23" s="29">
        <f>'REG y VAL POE - AESR - ESR'!X1712</f>
        <v>0</v>
      </c>
      <c r="PE23" s="29">
        <f>'REG y VAL POE - AESR - ESR'!Y1712</f>
        <v>0</v>
      </c>
      <c r="PF23" s="29">
        <f>'REG y VAL POE - AESR - ESR'!Z1712</f>
        <v>0</v>
      </c>
      <c r="PG23" s="28">
        <f>'REG y VAL POE - AESR - ESR'!AA1712</f>
        <v>0</v>
      </c>
      <c r="PH23" s="29">
        <f>'REG y VAL POE - AESR - ESR'!AB1712</f>
        <v>0</v>
      </c>
      <c r="PI23" s="29">
        <f>'REG y VAL POE - AESR - ESR'!AC1712</f>
        <v>0</v>
      </c>
      <c r="PJ23" s="28">
        <f>'REG y VAL POE - AESR - ESR'!AD1712</f>
        <v>0</v>
      </c>
      <c r="PK23" s="29">
        <f>'REG y VAL POE - AESR - ESR'!AE1712</f>
        <v>0</v>
      </c>
      <c r="PL23" s="30">
        <f>'REG y VAL POE - AESR - ESR'!AF1712</f>
        <v>0</v>
      </c>
      <c r="PM23" s="28">
        <f>'REG y VAL POE - AESR - ESR'!AG1712</f>
        <v>0</v>
      </c>
      <c r="PN23" s="29">
        <f>'REG y VAL POE - AESR - ESR'!AH1712</f>
        <v>0</v>
      </c>
      <c r="PO23" s="29">
        <f>'REG y VAL POE - AESR - ESR'!AI1712</f>
        <v>0</v>
      </c>
      <c r="PP23" s="29">
        <f>'REG y VAL POE - AESR - ESR'!AJ1712</f>
        <v>0</v>
      </c>
      <c r="PQ23" s="28">
        <f>'REG y VAL POE - AESR - ESR'!AK1712</f>
        <v>0</v>
      </c>
      <c r="PR23" s="29">
        <f>'REG y VAL POE - AESR - ESR'!AL1712</f>
        <v>0</v>
      </c>
      <c r="PS23" s="29">
        <f>'REG y VAL POE - AESR - ESR'!AM1712</f>
        <v>0</v>
      </c>
      <c r="PT23" s="28">
        <f>'REG y VAL POE - AESR - ESR'!AN1712</f>
        <v>0</v>
      </c>
      <c r="PU23" s="29">
        <f>'REG y VAL POE - AESR - ESR'!AO1712</f>
        <v>0</v>
      </c>
      <c r="PV23" s="30">
        <f>'REG y VAL POE - AESR - ESR'!AP1712</f>
        <v>0</v>
      </c>
      <c r="PW23" s="28">
        <f>'REG y VAL POE - AESR - ESR'!AQ1712</f>
        <v>0</v>
      </c>
      <c r="PX23" s="29">
        <f>'REG y VAL POE - AESR - ESR'!AR1712</f>
        <v>0</v>
      </c>
      <c r="PY23" s="29">
        <f>'REG y VAL POE - AESR - ESR'!AS1712</f>
        <v>0</v>
      </c>
      <c r="PZ23" s="29" t="str">
        <f>'REG y VAL POE - AESR - ESR'!B1713</f>
        <v xml:space="preserve">Castro Ramirez Raul </v>
      </c>
      <c r="QA23" s="28" t="str">
        <f>'REG y VAL POE - AESR - ESR'!C1713</f>
        <v>Sin Registro</v>
      </c>
      <c r="QB23" s="29">
        <f>'REG y VAL POE - AESR - ESR'!D1713</f>
        <v>23018758</v>
      </c>
      <c r="QC23" s="29" t="str">
        <f>'REG y VAL POE - AESR - ESR'!E1713</f>
        <v xml:space="preserve">Castro Ramirez Raul </v>
      </c>
      <c r="QD23" s="28">
        <f>'REG y VAL POE - AESR - ESR'!F1713</f>
        <v>23018758</v>
      </c>
      <c r="QE23" s="29">
        <f>'REG y VAL POE - AESR - ESR'!G1713</f>
        <v>0</v>
      </c>
      <c r="QF23" s="30">
        <f>'REG y VAL POE - AESR - ESR'!H1713</f>
        <v>0</v>
      </c>
      <c r="QG23" s="28">
        <f>'REG y VAL POE - AESR - ESR'!I1713</f>
        <v>0</v>
      </c>
      <c r="QH23" s="29">
        <f>'REG y VAL POE - AESR - ESR'!J1713</f>
        <v>0</v>
      </c>
      <c r="QI23" s="29">
        <f>'REG y VAL POE - AESR - ESR'!K1713</f>
        <v>0</v>
      </c>
      <c r="QJ23" s="29">
        <f>'REG y VAL POE - AESR - ESR'!L1713</f>
        <v>0</v>
      </c>
      <c r="QK23" s="28">
        <f>'REG y VAL POE - AESR - ESR'!M1713</f>
        <v>0</v>
      </c>
      <c r="QL23" s="29">
        <f>'REG y VAL POE - AESR - ESR'!N1713</f>
        <v>0</v>
      </c>
      <c r="QM23" s="29">
        <f>'REG y VAL POE - AESR - ESR'!O1713</f>
        <v>0</v>
      </c>
      <c r="QN23" s="28">
        <f>'REG y VAL POE - AESR - ESR'!P1713</f>
        <v>0</v>
      </c>
      <c r="QO23" s="29">
        <f>'REG y VAL POE - AESR - ESR'!Q1713</f>
        <v>0</v>
      </c>
      <c r="QP23" s="30">
        <f>'REG y VAL POE - AESR - ESR'!R1713</f>
        <v>0</v>
      </c>
      <c r="QQ23" s="28">
        <f>'REG y VAL POE - AESR - ESR'!S1713</f>
        <v>0</v>
      </c>
      <c r="QR23" s="29">
        <f>'REG y VAL POE - AESR - ESR'!T1713</f>
        <v>0</v>
      </c>
      <c r="QS23" s="29">
        <f>'REG y VAL POE - AESR - ESR'!U1713</f>
        <v>0</v>
      </c>
      <c r="QT23" s="29">
        <f>'REG y VAL POE - AESR - ESR'!V1713</f>
        <v>0</v>
      </c>
      <c r="QU23" s="28">
        <f>'REG y VAL POE - AESR - ESR'!W1713</f>
        <v>0</v>
      </c>
      <c r="QV23" s="29">
        <f>'REG y VAL POE - AESR - ESR'!X1713</f>
        <v>0</v>
      </c>
      <c r="QW23" s="29">
        <f>'REG y VAL POE - AESR - ESR'!Y1713</f>
        <v>0</v>
      </c>
      <c r="QX23" s="28">
        <f>'REG y VAL POE - AESR - ESR'!Z1713</f>
        <v>0</v>
      </c>
      <c r="QY23" s="29">
        <f>'REG y VAL POE - AESR - ESR'!AA1713</f>
        <v>0</v>
      </c>
      <c r="QZ23" s="30">
        <f>'REG y VAL POE - AESR - ESR'!AB1713</f>
        <v>0</v>
      </c>
      <c r="RA23" s="28">
        <f>'REG y VAL POE - AESR - ESR'!AC1713</f>
        <v>0</v>
      </c>
      <c r="RB23" s="29">
        <f>'REG y VAL POE - AESR - ESR'!AD1713</f>
        <v>0</v>
      </c>
      <c r="RC23" s="29">
        <f>'REG y VAL POE - AESR - ESR'!AE1713</f>
        <v>0</v>
      </c>
      <c r="RD23" s="29">
        <f>'REG y VAL POE - AESR - ESR'!AF1713</f>
        <v>0</v>
      </c>
      <c r="RE23" s="28">
        <f>'REG y VAL POE - AESR - ESR'!AG1713</f>
        <v>0</v>
      </c>
      <c r="RF23" s="29">
        <f>'REG y VAL POE - AESR - ESR'!AH1713</f>
        <v>0</v>
      </c>
      <c r="RG23" s="29">
        <f>'REG y VAL POE - AESR - ESR'!AI1713</f>
        <v>0</v>
      </c>
      <c r="RH23" s="28">
        <f>'REG y VAL POE - AESR - ESR'!AJ1713</f>
        <v>0</v>
      </c>
      <c r="RI23" s="29">
        <f>'REG y VAL POE - AESR - ESR'!AK1713</f>
        <v>0</v>
      </c>
      <c r="RJ23" s="30">
        <f>'REG y VAL POE - AESR - ESR'!AL1713</f>
        <v>0</v>
      </c>
      <c r="RK23" s="28">
        <f>'REG y VAL POE - AESR - ESR'!AM1713</f>
        <v>0</v>
      </c>
      <c r="RL23" s="29">
        <f>'REG y VAL POE - AESR - ESR'!AN1713</f>
        <v>0</v>
      </c>
      <c r="RM23" s="29">
        <f>'REG y VAL POE - AESR - ESR'!AO1713</f>
        <v>0</v>
      </c>
      <c r="RN23" s="29">
        <f>'REG y VAL POE - AESR - ESR'!AP1713</f>
        <v>0</v>
      </c>
      <c r="RO23" s="28">
        <f>'REG y VAL POE - AESR - ESR'!AQ1713</f>
        <v>0</v>
      </c>
      <c r="RP23" s="29">
        <f>'REG y VAL POE - AESR - ESR'!AR1713</f>
        <v>0</v>
      </c>
      <c r="RQ23" s="29">
        <f>'REG y VAL POE - AESR - ESR'!AS1713</f>
        <v>0</v>
      </c>
      <c r="RR23" s="28" t="str">
        <f>'REG y VAL POE - AESR - ESR'!B1714</f>
        <v xml:space="preserve">Chavez Lopez Carmen Alicia Guada </v>
      </c>
      <c r="RS23" s="29" t="str">
        <f>'REG y VAL POE - AESR - ESR'!C1714</f>
        <v>Sin Registro</v>
      </c>
      <c r="RT23" s="30">
        <f>'REG y VAL POE - AESR - ESR'!D1714</f>
        <v>23197118</v>
      </c>
      <c r="RU23" s="28" t="str">
        <f>'REG y VAL POE - AESR - ESR'!E1714</f>
        <v xml:space="preserve">Chavez Lopez Carmen Alicia Guada </v>
      </c>
      <c r="RV23" s="29">
        <f>'REG y VAL POE - AESR - ESR'!F1714</f>
        <v>23197118</v>
      </c>
      <c r="RW23" s="29">
        <f>'REG y VAL POE - AESR - ESR'!G1714</f>
        <v>0</v>
      </c>
      <c r="RX23" s="29">
        <f>'REG y VAL POE - AESR - ESR'!H1714</f>
        <v>0</v>
      </c>
      <c r="RY23" s="28">
        <f>'REG y VAL POE - AESR - ESR'!I1714</f>
        <v>0</v>
      </c>
      <c r="RZ23" s="29">
        <f>'REG y VAL POE - AESR - ESR'!J1714</f>
        <v>0</v>
      </c>
      <c r="SA23" s="29">
        <f>'REG y VAL POE - AESR - ESR'!K1714</f>
        <v>0</v>
      </c>
      <c r="SB23" s="28">
        <f>'REG y VAL POE - AESR - ESR'!L1714</f>
        <v>0</v>
      </c>
      <c r="SC23" s="29">
        <f>'REG y VAL POE - AESR - ESR'!M1714</f>
        <v>0</v>
      </c>
      <c r="SD23" s="30">
        <f>'REG y VAL POE - AESR - ESR'!N1714</f>
        <v>0</v>
      </c>
      <c r="SE23" s="28">
        <f>'REG y VAL POE - AESR - ESR'!O1714</f>
        <v>0</v>
      </c>
      <c r="SF23" s="29">
        <f>'REG y VAL POE - AESR - ESR'!P1714</f>
        <v>0</v>
      </c>
      <c r="SG23" s="29">
        <f>'REG y VAL POE - AESR - ESR'!Q1714</f>
        <v>0</v>
      </c>
      <c r="SH23" s="29">
        <f>'REG y VAL POE - AESR - ESR'!R1714</f>
        <v>0</v>
      </c>
      <c r="SI23" s="28">
        <f>'REG y VAL POE - AESR - ESR'!S1714</f>
        <v>0</v>
      </c>
      <c r="SJ23" s="29">
        <f>'REG y VAL POE - AESR - ESR'!T1714</f>
        <v>0</v>
      </c>
      <c r="SK23" s="29">
        <f>'REG y VAL POE - AESR - ESR'!U1714</f>
        <v>0</v>
      </c>
      <c r="SL23" s="28">
        <f>'REG y VAL POE - AESR - ESR'!V1714</f>
        <v>0</v>
      </c>
      <c r="SM23" s="29">
        <f>'REG y VAL POE - AESR - ESR'!W1714</f>
        <v>0</v>
      </c>
      <c r="SN23" s="30">
        <f>'REG y VAL POE - AESR - ESR'!X1714</f>
        <v>0</v>
      </c>
      <c r="SO23" s="28">
        <f>'REG y VAL POE - AESR - ESR'!Y1714</f>
        <v>0</v>
      </c>
      <c r="SP23" s="29">
        <f>'REG y VAL POE - AESR - ESR'!Z1714</f>
        <v>0</v>
      </c>
      <c r="SQ23" s="29">
        <f>'REG y VAL POE - AESR - ESR'!AA1714</f>
        <v>0</v>
      </c>
      <c r="SR23" s="29">
        <f>'REG y VAL POE - AESR - ESR'!AB1714</f>
        <v>0</v>
      </c>
      <c r="SS23" s="28">
        <f>'REG y VAL POE - AESR - ESR'!AC1714</f>
        <v>0</v>
      </c>
      <c r="ST23" s="29">
        <f>'REG y VAL POE - AESR - ESR'!AD1714</f>
        <v>0</v>
      </c>
      <c r="SU23" s="29">
        <f>'REG y VAL POE - AESR - ESR'!AE1714</f>
        <v>0</v>
      </c>
      <c r="SV23" s="28">
        <f>'REG y VAL POE - AESR - ESR'!AF1714</f>
        <v>0</v>
      </c>
      <c r="SW23" s="29">
        <f>'REG y VAL POE - AESR - ESR'!AG1714</f>
        <v>0</v>
      </c>
      <c r="SX23" s="30">
        <f>'REG y VAL POE - AESR - ESR'!AH1714</f>
        <v>0</v>
      </c>
      <c r="SY23" s="28">
        <f>'REG y VAL POE - AESR - ESR'!AI1714</f>
        <v>0</v>
      </c>
      <c r="SZ23" s="29">
        <f>'REG y VAL POE - AESR - ESR'!AJ1714</f>
        <v>0</v>
      </c>
      <c r="TA23" s="29">
        <f>'REG y VAL POE - AESR - ESR'!AK1714</f>
        <v>0</v>
      </c>
      <c r="TB23" s="29">
        <f>'REG y VAL POE - AESR - ESR'!AL1714</f>
        <v>0</v>
      </c>
      <c r="TC23" s="28">
        <f>'REG y VAL POE - AESR - ESR'!AM1714</f>
        <v>0</v>
      </c>
      <c r="TD23" s="29">
        <f>'REG y VAL POE - AESR - ESR'!AN1714</f>
        <v>0</v>
      </c>
      <c r="TE23" s="29">
        <f>'REG y VAL POE - AESR - ESR'!AO1714</f>
        <v>0</v>
      </c>
      <c r="TF23" s="28">
        <f>'REG y VAL POE - AESR - ESR'!AP1714</f>
        <v>0</v>
      </c>
      <c r="TG23" s="29">
        <f>'REG y VAL POE - AESR - ESR'!AQ1714</f>
        <v>0</v>
      </c>
      <c r="TH23" s="30">
        <f>'REG y VAL POE - AESR - ESR'!AR1714</f>
        <v>0</v>
      </c>
      <c r="TI23" s="28">
        <f>'REG y VAL POE - AESR - ESR'!AS1714</f>
        <v>0</v>
      </c>
      <c r="TJ23" s="29" t="str">
        <f>'REG y VAL POE - AESR - ESR'!B1715</f>
        <v xml:space="preserve">Chocoteco Hinojosa Ana Isabel </v>
      </c>
      <c r="TK23" s="29" t="str">
        <f>'REG y VAL POE - AESR - ESR'!C1715</f>
        <v>Sin Registro</v>
      </c>
      <c r="TL23" s="29">
        <f>'REG y VAL POE - AESR - ESR'!D1715</f>
        <v>23196935</v>
      </c>
      <c r="TM23" s="28" t="str">
        <f>'REG y VAL POE - AESR - ESR'!E1715</f>
        <v xml:space="preserve">Chocoteco Hinojosa Ana Isabel </v>
      </c>
      <c r="TN23" s="29">
        <f>'REG y VAL POE - AESR - ESR'!F1715</f>
        <v>23196935</v>
      </c>
      <c r="TO23" s="29">
        <f>'REG y VAL POE - AESR - ESR'!G1715</f>
        <v>0</v>
      </c>
      <c r="TP23" s="28">
        <f>'REG y VAL POE - AESR - ESR'!H1715</f>
        <v>0</v>
      </c>
      <c r="TQ23" s="29">
        <f>'REG y VAL POE - AESR - ESR'!I1715</f>
        <v>0</v>
      </c>
      <c r="TR23" s="30">
        <f>'REG y VAL POE - AESR - ESR'!J1715</f>
        <v>0</v>
      </c>
      <c r="TS23" s="28">
        <f>'REG y VAL POE - AESR - ESR'!K1715</f>
        <v>0</v>
      </c>
      <c r="TT23" s="29">
        <f>'REG y VAL POE - AESR - ESR'!L1715</f>
        <v>0</v>
      </c>
      <c r="TU23" s="29">
        <f>'REG y VAL POE - AESR - ESR'!M1715</f>
        <v>0</v>
      </c>
      <c r="TV23" s="29">
        <f>'REG y VAL POE - AESR - ESR'!N1715</f>
        <v>0</v>
      </c>
      <c r="TW23" s="28">
        <f>'REG y VAL POE - AESR - ESR'!O1715</f>
        <v>0</v>
      </c>
      <c r="TX23" s="29">
        <f>'REG y VAL POE - AESR - ESR'!P1715</f>
        <v>0</v>
      </c>
      <c r="TY23" s="29">
        <f>'REG y VAL POE - AESR - ESR'!Q1715</f>
        <v>0</v>
      </c>
      <c r="TZ23" s="28">
        <f>'REG y VAL POE - AESR - ESR'!R1715</f>
        <v>0</v>
      </c>
      <c r="UA23" s="29">
        <f>'REG y VAL POE - AESR - ESR'!S1715</f>
        <v>0</v>
      </c>
      <c r="UB23" s="30">
        <f>'REG y VAL POE - AESR - ESR'!T1715</f>
        <v>0</v>
      </c>
      <c r="UC23" s="28">
        <f>'REG y VAL POE - AESR - ESR'!U1715</f>
        <v>0</v>
      </c>
      <c r="UD23" s="29">
        <f>'REG y VAL POE - AESR - ESR'!V1715</f>
        <v>0</v>
      </c>
      <c r="UE23" s="29">
        <f>'REG y VAL POE - AESR - ESR'!W1715</f>
        <v>0</v>
      </c>
      <c r="UF23" s="29">
        <f>'REG y VAL POE - AESR - ESR'!X1715</f>
        <v>0</v>
      </c>
      <c r="UG23" s="28">
        <f>'REG y VAL POE - AESR - ESR'!Y1715</f>
        <v>0</v>
      </c>
      <c r="UH23" s="29">
        <f>'REG y VAL POE - AESR - ESR'!Z1715</f>
        <v>0</v>
      </c>
      <c r="UI23" s="29">
        <f>'REG y VAL POE - AESR - ESR'!AA1715</f>
        <v>0</v>
      </c>
      <c r="UJ23" s="28">
        <f>'REG y VAL POE - AESR - ESR'!AB1715</f>
        <v>0</v>
      </c>
      <c r="UK23" s="29">
        <f>'REG y VAL POE - AESR - ESR'!AC1715</f>
        <v>0</v>
      </c>
      <c r="UL23" s="30">
        <f>'REG y VAL POE - AESR - ESR'!AD1715</f>
        <v>0</v>
      </c>
      <c r="UM23" s="28">
        <f>'REG y VAL POE - AESR - ESR'!AE1715</f>
        <v>0</v>
      </c>
      <c r="UN23" s="29">
        <f>'REG y VAL POE - AESR - ESR'!AF1715</f>
        <v>0</v>
      </c>
      <c r="UO23" s="29">
        <f>'REG y VAL POE - AESR - ESR'!AG1715</f>
        <v>0</v>
      </c>
      <c r="UP23" s="29">
        <f>'REG y VAL POE - AESR - ESR'!AH1715</f>
        <v>0</v>
      </c>
      <c r="UQ23" s="28">
        <f>'REG y VAL POE - AESR - ESR'!AI1715</f>
        <v>0</v>
      </c>
      <c r="UR23" s="29">
        <f>'REG y VAL POE - AESR - ESR'!AJ1715</f>
        <v>0</v>
      </c>
      <c r="US23" s="29">
        <f>'REG y VAL POE - AESR - ESR'!AK1715</f>
        <v>0</v>
      </c>
      <c r="UT23" s="28">
        <f>'REG y VAL POE - AESR - ESR'!AL1715</f>
        <v>0</v>
      </c>
      <c r="UU23" s="29">
        <f>'REG y VAL POE - AESR - ESR'!AM1715</f>
        <v>0</v>
      </c>
      <c r="UV23" s="30">
        <f>'REG y VAL POE - AESR - ESR'!AN1715</f>
        <v>0</v>
      </c>
      <c r="UW23" s="28">
        <f>'REG y VAL POE - AESR - ESR'!AO1715</f>
        <v>0</v>
      </c>
      <c r="UX23" s="29">
        <f>'REG y VAL POE - AESR - ESR'!AP1715</f>
        <v>0</v>
      </c>
      <c r="UY23" s="29">
        <f>'REG y VAL POE - AESR - ESR'!AQ1715</f>
        <v>0</v>
      </c>
      <c r="UZ23" s="29">
        <f>'REG y VAL POE - AESR - ESR'!AR1715</f>
        <v>0</v>
      </c>
      <c r="VA23" s="28">
        <f>'REG y VAL POE - AESR - ESR'!AS1715</f>
        <v>0</v>
      </c>
      <c r="VB23" s="29" t="str">
        <f>'REG y VAL POE - AESR - ESR'!B1716</f>
        <v xml:space="preserve">Cruz Juarez Humberto Antonio </v>
      </c>
      <c r="VC23" s="29" t="str">
        <f>'REG y VAL POE - AESR - ESR'!C1716</f>
        <v>Sin Registro</v>
      </c>
      <c r="VD23" s="28">
        <f>'REG y VAL POE - AESR - ESR'!D1716</f>
        <v>23190778</v>
      </c>
      <c r="VE23" s="29" t="str">
        <f>'REG y VAL POE - AESR - ESR'!E1716</f>
        <v xml:space="preserve">Cruz Juarez Humberto Antonio </v>
      </c>
      <c r="VF23" s="30">
        <f>'REG y VAL POE - AESR - ESR'!F1716</f>
        <v>23190778</v>
      </c>
      <c r="VG23" s="28">
        <f>'REG y VAL POE - AESR - ESR'!G1716</f>
        <v>0</v>
      </c>
      <c r="VH23" s="29">
        <f>'REG y VAL POE - AESR - ESR'!H1716</f>
        <v>0</v>
      </c>
      <c r="VI23" s="29">
        <f>'REG y VAL POE - AESR - ESR'!I1716</f>
        <v>0</v>
      </c>
      <c r="VJ23" s="29">
        <f>'REG y VAL POE - AESR - ESR'!J1716</f>
        <v>0</v>
      </c>
      <c r="VK23" s="28">
        <f>'REG y VAL POE - AESR - ESR'!K1716</f>
        <v>0</v>
      </c>
      <c r="VL23" s="29">
        <f>'REG y VAL POE - AESR - ESR'!L1716</f>
        <v>0</v>
      </c>
      <c r="VM23" s="29">
        <f>'REG y VAL POE - AESR - ESR'!M1716</f>
        <v>0</v>
      </c>
      <c r="VN23" s="28">
        <f>'REG y VAL POE - AESR - ESR'!N1716</f>
        <v>0</v>
      </c>
      <c r="VO23" s="29">
        <f>'REG y VAL POE - AESR - ESR'!O1716</f>
        <v>0</v>
      </c>
      <c r="VP23" s="30">
        <f>'REG y VAL POE - AESR - ESR'!P1716</f>
        <v>0</v>
      </c>
      <c r="VQ23" s="28">
        <f>'REG y VAL POE - AESR - ESR'!Q1716</f>
        <v>0</v>
      </c>
      <c r="VR23" s="29">
        <f>'REG y VAL POE - AESR - ESR'!R1716</f>
        <v>0</v>
      </c>
      <c r="VS23" s="29">
        <f>'REG y VAL POE - AESR - ESR'!S1716</f>
        <v>0</v>
      </c>
      <c r="VT23" s="29">
        <f>'REG y VAL POE - AESR - ESR'!T1716</f>
        <v>0</v>
      </c>
      <c r="VU23" s="28">
        <f>'REG y VAL POE - AESR - ESR'!U1716</f>
        <v>0</v>
      </c>
      <c r="VV23" s="29">
        <f>'REG y VAL POE - AESR - ESR'!V1716</f>
        <v>0</v>
      </c>
      <c r="VW23" s="29">
        <f>'REG y VAL POE - AESR - ESR'!W1716</f>
        <v>0</v>
      </c>
      <c r="VX23" s="28">
        <f>'REG y VAL POE - AESR - ESR'!X1716</f>
        <v>0</v>
      </c>
      <c r="VY23" s="29">
        <f>'REG y VAL POE - AESR - ESR'!Y1716</f>
        <v>0</v>
      </c>
      <c r="VZ23" s="30">
        <f>'REG y VAL POE - AESR - ESR'!Z1716</f>
        <v>0</v>
      </c>
      <c r="WA23" s="28">
        <f>'REG y VAL POE - AESR - ESR'!AA1716</f>
        <v>0</v>
      </c>
      <c r="WB23" s="29">
        <f>'REG y VAL POE - AESR - ESR'!AB1716</f>
        <v>0</v>
      </c>
      <c r="WC23" s="29">
        <f>'REG y VAL POE - AESR - ESR'!AC1716</f>
        <v>0</v>
      </c>
      <c r="WD23" s="29">
        <f>'REG y VAL POE - AESR - ESR'!AD1716</f>
        <v>0</v>
      </c>
      <c r="WE23" s="28">
        <f>'REG y VAL POE - AESR - ESR'!AE1716</f>
        <v>0</v>
      </c>
      <c r="WF23" s="29">
        <f>'REG y VAL POE - AESR - ESR'!AF1716</f>
        <v>0</v>
      </c>
      <c r="WG23" s="29">
        <f>'REG y VAL POE - AESR - ESR'!AG1716</f>
        <v>0</v>
      </c>
      <c r="WH23" s="28">
        <f>'REG y VAL POE - AESR - ESR'!AH1716</f>
        <v>0</v>
      </c>
      <c r="WI23" s="29">
        <f>'REG y VAL POE - AESR - ESR'!AI1716</f>
        <v>0</v>
      </c>
      <c r="WJ23" s="30">
        <f>'REG y VAL POE - AESR - ESR'!AJ1716</f>
        <v>0</v>
      </c>
      <c r="WK23" s="28">
        <f>'REG y VAL POE - AESR - ESR'!AK1716</f>
        <v>0</v>
      </c>
      <c r="WL23" s="29">
        <f>'REG y VAL POE - AESR - ESR'!AL1716</f>
        <v>0</v>
      </c>
      <c r="WM23" s="29">
        <f>'REG y VAL POE - AESR - ESR'!AM1716</f>
        <v>0</v>
      </c>
      <c r="WN23" s="29">
        <f>'REG y VAL POE - AESR - ESR'!AN1716</f>
        <v>0</v>
      </c>
      <c r="WO23" s="28">
        <f>'REG y VAL POE - AESR - ESR'!AO1716</f>
        <v>0</v>
      </c>
      <c r="WP23" s="29">
        <f>'REG y VAL POE - AESR - ESR'!AP1716</f>
        <v>0</v>
      </c>
      <c r="WQ23" s="29">
        <f>'REG y VAL POE - AESR - ESR'!AQ1716</f>
        <v>0</v>
      </c>
      <c r="WR23" s="28">
        <f>'REG y VAL POE - AESR - ESR'!AR1716</f>
        <v>0</v>
      </c>
      <c r="WS23" s="29">
        <f>'REG y VAL POE - AESR - ESR'!AS1716</f>
        <v>0</v>
      </c>
      <c r="WT23" s="30" t="str">
        <f>'REG y VAL POE - AESR - ESR'!B1717</f>
        <v xml:space="preserve">Cruz Ramirez Nery Zuleyma </v>
      </c>
      <c r="WU23" s="28" t="str">
        <f>'REG y VAL POE - AESR - ESR'!C1717</f>
        <v>Sin Registro</v>
      </c>
      <c r="WV23" s="29">
        <f>'REG y VAL POE - AESR - ESR'!D1717</f>
        <v>23209021</v>
      </c>
      <c r="WW23" s="29" t="str">
        <f>'REG y VAL POE - AESR - ESR'!E1717</f>
        <v xml:space="preserve">Cruz Ramirez Nery Zuleyma </v>
      </c>
      <c r="WX23" s="29">
        <f>'REG y VAL POE - AESR - ESR'!F1717</f>
        <v>23209021</v>
      </c>
      <c r="WY23" s="28">
        <f>'REG y VAL POE - AESR - ESR'!G1717</f>
        <v>0</v>
      </c>
      <c r="WZ23" s="29">
        <f>'REG y VAL POE - AESR - ESR'!H1717</f>
        <v>0</v>
      </c>
      <c r="XA23" s="29">
        <f>'REG y VAL POE - AESR - ESR'!I1717</f>
        <v>0</v>
      </c>
      <c r="XB23" s="28">
        <f>'REG y VAL POE - AESR - ESR'!J1717</f>
        <v>0</v>
      </c>
      <c r="XC23" s="29">
        <f>'REG y VAL POE - AESR - ESR'!K1717</f>
        <v>0</v>
      </c>
      <c r="XD23" s="30">
        <f>'REG y VAL POE - AESR - ESR'!L1717</f>
        <v>0</v>
      </c>
      <c r="XE23" s="28">
        <f>'REG y VAL POE - AESR - ESR'!M1717</f>
        <v>0</v>
      </c>
      <c r="XF23" s="29">
        <f>'REG y VAL POE - AESR - ESR'!N1717</f>
        <v>0</v>
      </c>
      <c r="XG23" s="29">
        <f>'REG y VAL POE - AESR - ESR'!O1717</f>
        <v>0</v>
      </c>
      <c r="XH23" s="29">
        <f>'REG y VAL POE - AESR - ESR'!P1717</f>
        <v>0</v>
      </c>
      <c r="XI23" s="28">
        <f>'REG y VAL POE - AESR - ESR'!Q1717</f>
        <v>0</v>
      </c>
      <c r="XJ23" s="29">
        <f>'REG y VAL POE - AESR - ESR'!R1717</f>
        <v>0</v>
      </c>
      <c r="XK23" s="29">
        <f>'REG y VAL POE - AESR - ESR'!S1717</f>
        <v>0</v>
      </c>
      <c r="XL23" s="28">
        <f>'REG y VAL POE - AESR - ESR'!T1717</f>
        <v>0</v>
      </c>
      <c r="XM23" s="29">
        <f>'REG y VAL POE - AESR - ESR'!U1717</f>
        <v>0</v>
      </c>
      <c r="XN23" s="30">
        <f>'REG y VAL POE - AESR - ESR'!V1717</f>
        <v>0</v>
      </c>
      <c r="XO23" s="28">
        <f>'REG y VAL POE - AESR - ESR'!W1717</f>
        <v>0</v>
      </c>
      <c r="XP23" s="29">
        <f>'REG y VAL POE - AESR - ESR'!X1717</f>
        <v>0</v>
      </c>
      <c r="XQ23" s="29">
        <f>'REG y VAL POE - AESR - ESR'!Y1717</f>
        <v>0</v>
      </c>
      <c r="XR23" s="29">
        <f>'REG y VAL POE - AESR - ESR'!Z1717</f>
        <v>0</v>
      </c>
      <c r="XS23" s="28">
        <f>'REG y VAL POE - AESR - ESR'!AA1717</f>
        <v>0</v>
      </c>
      <c r="XT23" s="29">
        <f>'REG y VAL POE - AESR - ESR'!AB1717</f>
        <v>0</v>
      </c>
      <c r="XU23" s="29">
        <f>'REG y VAL POE - AESR - ESR'!AC1717</f>
        <v>0</v>
      </c>
      <c r="XV23" s="28">
        <f>'REG y VAL POE - AESR - ESR'!AD1717</f>
        <v>0</v>
      </c>
      <c r="XW23" s="29">
        <f>'REG y VAL POE - AESR - ESR'!AE1717</f>
        <v>0</v>
      </c>
      <c r="XX23" s="30">
        <f>'REG y VAL POE - AESR - ESR'!AF1717</f>
        <v>0</v>
      </c>
      <c r="XY23" s="28">
        <f>'REG y VAL POE - AESR - ESR'!AG1717</f>
        <v>0</v>
      </c>
      <c r="XZ23" s="29">
        <f>'REG y VAL POE - AESR - ESR'!AH1717</f>
        <v>0</v>
      </c>
      <c r="YA23" s="29">
        <f>'REG y VAL POE - AESR - ESR'!AI1717</f>
        <v>0</v>
      </c>
      <c r="YB23" s="29">
        <f>'REG y VAL POE - AESR - ESR'!AJ1717</f>
        <v>0</v>
      </c>
      <c r="YC23" s="28">
        <f>'REG y VAL POE - AESR - ESR'!AK1717</f>
        <v>0</v>
      </c>
      <c r="YD23" s="29">
        <f>'REG y VAL POE - AESR - ESR'!AL1717</f>
        <v>0</v>
      </c>
      <c r="YE23" s="29">
        <f>'REG y VAL POE - AESR - ESR'!AM1717</f>
        <v>0</v>
      </c>
      <c r="YF23" s="28">
        <f>'REG y VAL POE - AESR - ESR'!AN1717</f>
        <v>0</v>
      </c>
      <c r="YG23" s="29">
        <f>'REG y VAL POE - AESR - ESR'!AO1717</f>
        <v>0</v>
      </c>
      <c r="YH23" s="30">
        <f>'REG y VAL POE - AESR - ESR'!AP1717</f>
        <v>0</v>
      </c>
      <c r="YI23" s="28">
        <f>'REG y VAL POE - AESR - ESR'!AQ1717</f>
        <v>0</v>
      </c>
      <c r="YJ23" s="29">
        <f>'REG y VAL POE - AESR - ESR'!AR1717</f>
        <v>0</v>
      </c>
      <c r="YK23" s="29">
        <f>'REG y VAL POE - AESR - ESR'!AS1717</f>
        <v>0</v>
      </c>
      <c r="YL23" s="29" t="str">
        <f>'REG y VAL POE - AESR - ESR'!B1718</f>
        <v xml:space="preserve">Damian Vilorio Omar Alfredo </v>
      </c>
      <c r="YM23" s="28" t="str">
        <f>'REG y VAL POE - AESR - ESR'!C1718</f>
        <v>Sin Registro</v>
      </c>
      <c r="YN23" s="29">
        <f>'REG y VAL POE - AESR - ESR'!D1718</f>
        <v>23003245</v>
      </c>
      <c r="YO23" s="29" t="str">
        <f>'REG y VAL POE - AESR - ESR'!E1718</f>
        <v xml:space="preserve">Damian Vilorio Omar Alfredo </v>
      </c>
      <c r="YP23" s="28">
        <f>'REG y VAL POE - AESR - ESR'!F1718</f>
        <v>23003245</v>
      </c>
      <c r="YQ23" s="29">
        <f>'REG y VAL POE - AESR - ESR'!G1718</f>
        <v>0</v>
      </c>
      <c r="YR23" s="30">
        <f>'REG y VAL POE - AESR - ESR'!H1718</f>
        <v>0</v>
      </c>
      <c r="YS23" s="28">
        <f>'REG y VAL POE - AESR - ESR'!I1718</f>
        <v>0</v>
      </c>
      <c r="YT23" s="29">
        <f>'REG y VAL POE - AESR - ESR'!J1718</f>
        <v>0</v>
      </c>
      <c r="YU23" s="29">
        <f>'REG y VAL POE - AESR - ESR'!K1718</f>
        <v>0</v>
      </c>
      <c r="YV23" s="29">
        <f>'REG y VAL POE - AESR - ESR'!L1718</f>
        <v>0</v>
      </c>
      <c r="YW23" s="28">
        <f>'REG y VAL POE - AESR - ESR'!M1718</f>
        <v>0</v>
      </c>
      <c r="YX23" s="29">
        <f>'REG y VAL POE - AESR - ESR'!N1718</f>
        <v>0</v>
      </c>
      <c r="YY23" s="29">
        <f>'REG y VAL POE - AESR - ESR'!O1718</f>
        <v>0</v>
      </c>
      <c r="YZ23" s="28">
        <f>'REG y VAL POE - AESR - ESR'!P1718</f>
        <v>0</v>
      </c>
      <c r="ZA23" s="29">
        <f>'REG y VAL POE - AESR - ESR'!Q1718</f>
        <v>0</v>
      </c>
      <c r="ZB23" s="30">
        <f>'REG y VAL POE - AESR - ESR'!R1718</f>
        <v>0</v>
      </c>
      <c r="ZC23" s="28">
        <f>'REG y VAL POE - AESR - ESR'!S1718</f>
        <v>0</v>
      </c>
      <c r="ZD23" s="29">
        <f>'REG y VAL POE - AESR - ESR'!T1718</f>
        <v>0</v>
      </c>
      <c r="ZE23" s="29">
        <f>'REG y VAL POE - AESR - ESR'!U1718</f>
        <v>0</v>
      </c>
      <c r="ZF23" s="29">
        <f>'REG y VAL POE - AESR - ESR'!V1718</f>
        <v>0</v>
      </c>
      <c r="ZG23" s="28">
        <f>'REG y VAL POE - AESR - ESR'!W1718</f>
        <v>0</v>
      </c>
      <c r="ZH23" s="29">
        <f>'REG y VAL POE - AESR - ESR'!X1718</f>
        <v>0</v>
      </c>
      <c r="ZI23" s="29">
        <f>'REG y VAL POE - AESR - ESR'!Y1718</f>
        <v>0</v>
      </c>
      <c r="ZJ23" s="28">
        <f>'REG y VAL POE - AESR - ESR'!Z1718</f>
        <v>0</v>
      </c>
      <c r="ZK23" s="29">
        <f>'REG y VAL POE - AESR - ESR'!AA1718</f>
        <v>0</v>
      </c>
      <c r="ZL23" s="30">
        <f>'REG y VAL POE - AESR - ESR'!AB1718</f>
        <v>0</v>
      </c>
      <c r="ZM23" s="28">
        <f>'REG y VAL POE - AESR - ESR'!AC1718</f>
        <v>0</v>
      </c>
      <c r="ZN23" s="29">
        <f>'REG y VAL POE - AESR - ESR'!AD1718</f>
        <v>0</v>
      </c>
      <c r="ZO23" s="29">
        <f>'REG y VAL POE - AESR - ESR'!AE1718</f>
        <v>0</v>
      </c>
      <c r="ZP23" s="29">
        <f>'REG y VAL POE - AESR - ESR'!AF1718</f>
        <v>0</v>
      </c>
      <c r="ZQ23" s="28">
        <f>'REG y VAL POE - AESR - ESR'!AG1718</f>
        <v>0</v>
      </c>
      <c r="ZR23" s="29">
        <f>'REG y VAL POE - AESR - ESR'!AH1718</f>
        <v>0</v>
      </c>
      <c r="ZS23" s="29">
        <f>'REG y VAL POE - AESR - ESR'!AI1718</f>
        <v>0</v>
      </c>
      <c r="ZT23" s="28">
        <f>'REG y VAL POE - AESR - ESR'!AJ1718</f>
        <v>0</v>
      </c>
      <c r="ZU23" s="29">
        <f>'REG y VAL POE - AESR - ESR'!AK1718</f>
        <v>0</v>
      </c>
      <c r="ZV23" s="30">
        <f>'REG y VAL POE - AESR - ESR'!AL1718</f>
        <v>0</v>
      </c>
      <c r="ZW23" s="28">
        <f>'REG y VAL POE - AESR - ESR'!AM1718</f>
        <v>0</v>
      </c>
      <c r="ZX23" s="29">
        <f>'REG y VAL POE - AESR - ESR'!AN1718</f>
        <v>0</v>
      </c>
      <c r="ZY23" s="29">
        <f>'REG y VAL POE - AESR - ESR'!AO1718</f>
        <v>0</v>
      </c>
      <c r="ZZ23" s="29">
        <f>'REG y VAL POE - AESR - ESR'!AP1718</f>
        <v>0</v>
      </c>
      <c r="AAA23" s="28">
        <f>'REG y VAL POE - AESR - ESR'!AQ1718</f>
        <v>0</v>
      </c>
      <c r="AAB23" s="29">
        <f>'REG y VAL POE - AESR - ESR'!AR1718</f>
        <v>0</v>
      </c>
      <c r="AAC23" s="29">
        <f>'REG y VAL POE - AESR - ESR'!AS1718</f>
        <v>0</v>
      </c>
      <c r="AAD23" s="28" t="str">
        <f>'REG y VAL POE - AESR - ESR'!B1719</f>
        <v xml:space="preserve">De La Pena Rincon Daniel </v>
      </c>
      <c r="AAE23" s="29" t="str">
        <f>'REG y VAL POE - AESR - ESR'!C1719</f>
        <v>Sin Registro</v>
      </c>
      <c r="AAF23" s="30">
        <f>'REG y VAL POE - AESR - ESR'!D1719</f>
        <v>23215315</v>
      </c>
      <c r="AAG23" s="28" t="str">
        <f>'REG y VAL POE - AESR - ESR'!E1719</f>
        <v xml:space="preserve">De La Pena Rincon Daniel </v>
      </c>
      <c r="AAH23" s="29">
        <f>'REG y VAL POE - AESR - ESR'!F1719</f>
        <v>0</v>
      </c>
      <c r="AAI23" s="29">
        <f>'REG y VAL POE - AESR - ESR'!G1719</f>
        <v>0</v>
      </c>
      <c r="AAJ23" s="29">
        <f>'REG y VAL POE - AESR - ESR'!H1719</f>
        <v>0</v>
      </c>
      <c r="AAK23" s="28">
        <f>'REG y VAL POE - AESR - ESR'!I1719</f>
        <v>0</v>
      </c>
      <c r="AAL23" s="29">
        <f>'REG y VAL POE - AESR - ESR'!J1719</f>
        <v>0</v>
      </c>
      <c r="AAM23" s="29">
        <f>'REG y VAL POE - AESR - ESR'!K1719</f>
        <v>0</v>
      </c>
      <c r="AAN23" s="28">
        <f>'REG y VAL POE - AESR - ESR'!L1719</f>
        <v>0</v>
      </c>
      <c r="AAO23" s="29">
        <f>'REG y VAL POE - AESR - ESR'!M1719</f>
        <v>0</v>
      </c>
      <c r="AAP23" s="30">
        <f>'REG y VAL POE - AESR - ESR'!N1719</f>
        <v>0</v>
      </c>
      <c r="AAQ23" s="28">
        <f>'REG y VAL POE - AESR - ESR'!O1719</f>
        <v>0</v>
      </c>
      <c r="AAR23" s="29">
        <f>'REG y VAL POE - AESR - ESR'!P1719</f>
        <v>0</v>
      </c>
      <c r="AAS23" s="29">
        <f>'REG y VAL POE - AESR - ESR'!Q1719</f>
        <v>0</v>
      </c>
      <c r="AAT23" s="29">
        <f>'REG y VAL POE - AESR - ESR'!R1719</f>
        <v>0</v>
      </c>
      <c r="AAU23" s="28">
        <f>'REG y VAL POE - AESR - ESR'!S1719</f>
        <v>0</v>
      </c>
      <c r="AAV23" s="29">
        <f>'REG y VAL POE - AESR - ESR'!T1719</f>
        <v>0</v>
      </c>
      <c r="AAW23" s="29">
        <f>'REG y VAL POE - AESR - ESR'!U1719</f>
        <v>0</v>
      </c>
      <c r="AAX23" s="28">
        <f>'REG y VAL POE - AESR - ESR'!V1719</f>
        <v>0</v>
      </c>
      <c r="AAY23" s="29">
        <f>'REG y VAL POE - AESR - ESR'!W1719</f>
        <v>0</v>
      </c>
      <c r="AAZ23" s="30">
        <f>'REG y VAL POE - AESR - ESR'!X1719</f>
        <v>0</v>
      </c>
      <c r="ABA23" s="28">
        <f>'REG y VAL POE - AESR - ESR'!Y1719</f>
        <v>0</v>
      </c>
      <c r="ABB23" s="29">
        <f>'REG y VAL POE - AESR - ESR'!Z1719</f>
        <v>0</v>
      </c>
      <c r="ABC23" s="29">
        <f>'REG y VAL POE - AESR - ESR'!AA1719</f>
        <v>0</v>
      </c>
      <c r="ABD23" s="29">
        <f>'REG y VAL POE - AESR - ESR'!AB1719</f>
        <v>0</v>
      </c>
      <c r="ABE23" s="28">
        <f>'REG y VAL POE - AESR - ESR'!AC1719</f>
        <v>0</v>
      </c>
      <c r="ABF23" s="29">
        <f>'REG y VAL POE - AESR - ESR'!AD1719</f>
        <v>0</v>
      </c>
      <c r="ABG23" s="29">
        <f>'REG y VAL POE - AESR - ESR'!AE1719</f>
        <v>0</v>
      </c>
      <c r="ABH23" s="28">
        <f>'REG y VAL POE - AESR - ESR'!AF1719</f>
        <v>0</v>
      </c>
      <c r="ABI23" s="29">
        <f>'REG y VAL POE - AESR - ESR'!AG1719</f>
        <v>0</v>
      </c>
      <c r="ABJ23" s="30">
        <f>'REG y VAL POE - AESR - ESR'!AH1719</f>
        <v>0</v>
      </c>
      <c r="ABK23" s="28">
        <f>'REG y VAL POE - AESR - ESR'!AI1719</f>
        <v>0</v>
      </c>
      <c r="ABL23" s="29">
        <f>'REG y VAL POE - AESR - ESR'!AJ1719</f>
        <v>0</v>
      </c>
      <c r="ABM23" s="29">
        <f>'REG y VAL POE - AESR - ESR'!AK1719</f>
        <v>0</v>
      </c>
      <c r="ABN23" s="29">
        <f>'REG y VAL POE - AESR - ESR'!AL1719</f>
        <v>0</v>
      </c>
      <c r="ABO23" s="28">
        <f>'REG y VAL POE - AESR - ESR'!AM1719</f>
        <v>0</v>
      </c>
      <c r="ABP23" s="29">
        <f>'REG y VAL POE - AESR - ESR'!AN1719</f>
        <v>0</v>
      </c>
      <c r="ABQ23" s="29">
        <f>'REG y VAL POE - AESR - ESR'!AO1719</f>
        <v>0</v>
      </c>
      <c r="ABR23" s="28">
        <f>'REG y VAL POE - AESR - ESR'!AP1719</f>
        <v>0</v>
      </c>
      <c r="ABS23" s="29">
        <f>'REG y VAL POE - AESR - ESR'!AQ1719</f>
        <v>0</v>
      </c>
      <c r="ABT23" s="30">
        <f>'REG y VAL POE - AESR - ESR'!AR1719</f>
        <v>0</v>
      </c>
      <c r="ABU23" s="28">
        <f>'REG y VAL POE - AESR - ESR'!AS1719</f>
        <v>0</v>
      </c>
      <c r="ABV23" s="29" t="str">
        <f>'REG y VAL POE - AESR - ESR'!B1720</f>
        <v xml:space="preserve">Delgado Ventura Miriam Odette </v>
      </c>
      <c r="ABW23" s="29">
        <f>'REG y VAL POE - AESR - ESR'!C1720</f>
        <v>0</v>
      </c>
      <c r="ABX23" s="29">
        <f>'REG y VAL POE - AESR - ESR'!D1720</f>
        <v>23051290</v>
      </c>
      <c r="ABY23" s="28">
        <f>'REG y VAL POE - AESR - ESR'!E1720</f>
        <v>0</v>
      </c>
      <c r="ABZ23" s="29">
        <f>'REG y VAL POE - AESR - ESR'!F1720</f>
        <v>0</v>
      </c>
      <c r="ACA23" s="29">
        <f>'REG y VAL POE - AESR - ESR'!G1720</f>
        <v>0</v>
      </c>
      <c r="ACB23" s="28">
        <f>'REG y VAL POE - AESR - ESR'!H1720</f>
        <v>0</v>
      </c>
      <c r="ACC23" s="29">
        <f>'REG y VAL POE - AESR - ESR'!I1720</f>
        <v>0</v>
      </c>
      <c r="ACD23" s="30">
        <f>'REG y VAL POE - AESR - ESR'!J1720</f>
        <v>0</v>
      </c>
      <c r="ACE23" s="28">
        <f>'REG y VAL POE - AESR - ESR'!K1720</f>
        <v>0</v>
      </c>
      <c r="ACF23" s="29">
        <f>'REG y VAL POE - AESR - ESR'!L1720</f>
        <v>0</v>
      </c>
      <c r="ACG23" s="29">
        <f>'REG y VAL POE - AESR - ESR'!M1720</f>
        <v>0</v>
      </c>
      <c r="ACH23" s="29">
        <f>'REG y VAL POE - AESR - ESR'!N1720</f>
        <v>0</v>
      </c>
      <c r="ACI23" s="28">
        <f>'REG y VAL POE - AESR - ESR'!O1720</f>
        <v>0</v>
      </c>
      <c r="ACJ23" s="29">
        <f>'REG y VAL POE - AESR - ESR'!P1720</f>
        <v>0</v>
      </c>
      <c r="ACK23" s="29">
        <f>'REG y VAL POE - AESR - ESR'!Q1720</f>
        <v>0</v>
      </c>
      <c r="ACL23" s="28">
        <f>'REG y VAL POE - AESR - ESR'!R1720</f>
        <v>0</v>
      </c>
      <c r="ACM23" s="29">
        <f>'REG y VAL POE - AESR - ESR'!S1720</f>
        <v>0</v>
      </c>
      <c r="ACN23" s="30">
        <f>'REG y VAL POE - AESR - ESR'!T1720</f>
        <v>0</v>
      </c>
      <c r="ACO23" s="28">
        <f>'REG y VAL POE - AESR - ESR'!U1720</f>
        <v>0</v>
      </c>
      <c r="ACP23" s="29">
        <f>'REG y VAL POE - AESR - ESR'!V1720</f>
        <v>0</v>
      </c>
      <c r="ACQ23" s="29">
        <f>'REG y VAL POE - AESR - ESR'!W1720</f>
        <v>0</v>
      </c>
      <c r="ACR23" s="29">
        <f>'REG y VAL POE - AESR - ESR'!X1720</f>
        <v>0</v>
      </c>
      <c r="ACS23" s="28">
        <f>'REG y VAL POE - AESR - ESR'!Y1720</f>
        <v>0</v>
      </c>
      <c r="ACT23" s="29">
        <f>'REG y VAL POE - AESR - ESR'!Z1720</f>
        <v>0</v>
      </c>
      <c r="ACU23" s="29">
        <f>'REG y VAL POE - AESR - ESR'!AA1720</f>
        <v>0</v>
      </c>
      <c r="ACV23" s="28">
        <f>'REG y VAL POE - AESR - ESR'!AB1720</f>
        <v>0</v>
      </c>
      <c r="ACW23" s="29">
        <f>'REG y VAL POE - AESR - ESR'!AC1720</f>
        <v>0</v>
      </c>
      <c r="ACX23" s="30">
        <f>'REG y VAL POE - AESR - ESR'!AD1720</f>
        <v>0</v>
      </c>
      <c r="ACY23" s="28">
        <f>'REG y VAL POE - AESR - ESR'!AE1720</f>
        <v>0</v>
      </c>
      <c r="ACZ23" s="29">
        <f>'REG y VAL POE - AESR - ESR'!AF1720</f>
        <v>0</v>
      </c>
      <c r="ADA23" s="29">
        <f>'REG y VAL POE - AESR - ESR'!AG1720</f>
        <v>0</v>
      </c>
      <c r="ADB23" s="29">
        <f>'REG y VAL POE - AESR - ESR'!AH1720</f>
        <v>0</v>
      </c>
      <c r="ADC23" s="28">
        <f>'REG y VAL POE - AESR - ESR'!AI1720</f>
        <v>0</v>
      </c>
      <c r="ADD23" s="29">
        <f>'REG y VAL POE - AESR - ESR'!AJ1720</f>
        <v>0</v>
      </c>
      <c r="ADE23" s="29">
        <f>'REG y VAL POE - AESR - ESR'!AK1720</f>
        <v>0</v>
      </c>
      <c r="ADF23" s="28">
        <f>'REG y VAL POE - AESR - ESR'!AL1720</f>
        <v>0</v>
      </c>
      <c r="ADG23" s="29">
        <f>'REG y VAL POE - AESR - ESR'!AM1720</f>
        <v>0</v>
      </c>
      <c r="ADH23" s="30">
        <f>'REG y VAL POE - AESR - ESR'!AN1720</f>
        <v>0</v>
      </c>
      <c r="ADI23" s="28">
        <f>'REG y VAL POE - AESR - ESR'!AO1720</f>
        <v>0</v>
      </c>
      <c r="ADJ23" s="29">
        <f>'REG y VAL POE - AESR - ESR'!AP1720</f>
        <v>0</v>
      </c>
      <c r="ADK23" s="29">
        <f>'REG y VAL POE - AESR - ESR'!AQ1720</f>
        <v>0</v>
      </c>
      <c r="ADL23" s="29">
        <f>'REG y VAL POE - AESR - ESR'!AR1720</f>
        <v>0</v>
      </c>
      <c r="ADM23" s="28">
        <f>'REG y VAL POE - AESR - ESR'!AS1720</f>
        <v>0</v>
      </c>
      <c r="ADN23" s="29" t="str">
        <f>'REG y VAL POE - AESR - ESR'!B1721</f>
        <v xml:space="preserve">Diaz Vite Ulises </v>
      </c>
      <c r="ADO23" s="29" t="str">
        <f>'REG y VAL POE - AESR - ESR'!C1721</f>
        <v>Sin Registro</v>
      </c>
      <c r="ADP23" s="28">
        <f>'REG y VAL POE - AESR - ESR'!D1721</f>
        <v>23197335</v>
      </c>
      <c r="ADQ23" s="29" t="str">
        <f>'REG y VAL POE - AESR - ESR'!E1721</f>
        <v xml:space="preserve">Diaz Vite Ulises </v>
      </c>
      <c r="ADR23" s="30">
        <f>'REG y VAL POE - AESR - ESR'!F1721</f>
        <v>23197335</v>
      </c>
      <c r="ADS23" s="28">
        <f>'REG y VAL POE - AESR - ESR'!G1721</f>
        <v>0</v>
      </c>
      <c r="ADT23" s="29">
        <f>'REG y VAL POE - AESR - ESR'!H1721</f>
        <v>0</v>
      </c>
      <c r="ADU23" s="29">
        <f>'REG y VAL POE - AESR - ESR'!I1721</f>
        <v>0</v>
      </c>
      <c r="ADV23" s="29">
        <f>'REG y VAL POE - AESR - ESR'!J1721</f>
        <v>0</v>
      </c>
      <c r="ADW23" s="28">
        <f>'REG y VAL POE - AESR - ESR'!K1721</f>
        <v>0</v>
      </c>
      <c r="ADX23" s="29">
        <f>'REG y VAL POE - AESR - ESR'!L1721</f>
        <v>0</v>
      </c>
      <c r="ADY23" s="29">
        <f>'REG y VAL POE - AESR - ESR'!M1721</f>
        <v>0</v>
      </c>
      <c r="ADZ23" s="28">
        <f>'REG y VAL POE - AESR - ESR'!N1721</f>
        <v>0</v>
      </c>
      <c r="AEA23" s="29">
        <f>'REG y VAL POE - AESR - ESR'!O1721</f>
        <v>0</v>
      </c>
      <c r="AEB23" s="30">
        <f>'REG y VAL POE - AESR - ESR'!P1721</f>
        <v>0</v>
      </c>
      <c r="AEC23" s="28">
        <f>'REG y VAL POE - AESR - ESR'!Q1721</f>
        <v>0</v>
      </c>
      <c r="AED23" s="29">
        <f>'REG y VAL POE - AESR - ESR'!R1721</f>
        <v>0</v>
      </c>
      <c r="AEE23" s="29">
        <f>'REG y VAL POE - AESR - ESR'!S1721</f>
        <v>0</v>
      </c>
      <c r="AEF23" s="29">
        <f>'REG y VAL POE - AESR - ESR'!T1721</f>
        <v>0</v>
      </c>
      <c r="AEG23" s="28">
        <f>'REG y VAL POE - AESR - ESR'!U1721</f>
        <v>0</v>
      </c>
      <c r="AEH23" s="29">
        <f>'REG y VAL POE - AESR - ESR'!V1721</f>
        <v>0</v>
      </c>
      <c r="AEI23" s="29">
        <f>'REG y VAL POE - AESR - ESR'!W1721</f>
        <v>0</v>
      </c>
      <c r="AEJ23" s="28">
        <f>'REG y VAL POE - AESR - ESR'!X1721</f>
        <v>0</v>
      </c>
      <c r="AEK23" s="29">
        <f>'REG y VAL POE - AESR - ESR'!Y1721</f>
        <v>0</v>
      </c>
      <c r="AEL23" s="30">
        <f>'REG y VAL POE - AESR - ESR'!Z1721</f>
        <v>0</v>
      </c>
      <c r="AEM23" s="28">
        <f>'REG y VAL POE - AESR - ESR'!AA1721</f>
        <v>0</v>
      </c>
      <c r="AEN23" s="29">
        <f>'REG y VAL POE - AESR - ESR'!AB1721</f>
        <v>0</v>
      </c>
      <c r="AEO23" s="29">
        <f>'REG y VAL POE - AESR - ESR'!AC1721</f>
        <v>0</v>
      </c>
      <c r="AEP23" s="29">
        <f>'REG y VAL POE - AESR - ESR'!AD1721</f>
        <v>0</v>
      </c>
      <c r="AEQ23" s="28">
        <f>'REG y VAL POE - AESR - ESR'!AE1721</f>
        <v>0</v>
      </c>
      <c r="AER23" s="29">
        <f>'REG y VAL POE - AESR - ESR'!AF1721</f>
        <v>0</v>
      </c>
      <c r="AES23" s="29">
        <f>'REG y VAL POE - AESR - ESR'!AG1721</f>
        <v>0</v>
      </c>
      <c r="AET23" s="28">
        <f>'REG y VAL POE - AESR - ESR'!AH1721</f>
        <v>0</v>
      </c>
      <c r="AEU23" s="29">
        <f>'REG y VAL POE - AESR - ESR'!AI1721</f>
        <v>0</v>
      </c>
      <c r="AEV23" s="30">
        <f>'REG y VAL POE - AESR - ESR'!AJ1721</f>
        <v>0</v>
      </c>
      <c r="AEW23" s="28">
        <f>'REG y VAL POE - AESR - ESR'!AK1721</f>
        <v>0</v>
      </c>
      <c r="AEX23" s="29">
        <f>'REG y VAL POE - AESR - ESR'!AL1721</f>
        <v>0</v>
      </c>
      <c r="AEY23" s="29">
        <f>'REG y VAL POE - AESR - ESR'!AM1721</f>
        <v>0</v>
      </c>
      <c r="AEZ23" s="29">
        <f>'REG y VAL POE - AESR - ESR'!AN1721</f>
        <v>0</v>
      </c>
      <c r="AFA23" s="28">
        <f>'REG y VAL POE - AESR - ESR'!AO1721</f>
        <v>0</v>
      </c>
      <c r="AFB23" s="29">
        <f>'REG y VAL POE - AESR - ESR'!AP1721</f>
        <v>0</v>
      </c>
      <c r="AFC23" s="29">
        <f>'REG y VAL POE - AESR - ESR'!AQ1721</f>
        <v>0</v>
      </c>
      <c r="AFD23" s="28">
        <f>'REG y VAL POE - AESR - ESR'!AR1721</f>
        <v>0</v>
      </c>
      <c r="AFE23" s="29">
        <f>'REG y VAL POE - AESR - ESR'!AS1721</f>
        <v>0</v>
      </c>
      <c r="AFF23" s="30" t="str">
        <f>'REG y VAL POE - AESR - ESR'!B1722</f>
        <v xml:space="preserve">Elizaldi Benitez Alfredo </v>
      </c>
      <c r="AFG23" s="28" t="str">
        <f>'REG y VAL POE - AESR - ESR'!C1722</f>
        <v>Sin Registro</v>
      </c>
      <c r="AFH23" s="29">
        <f>'REG y VAL POE - AESR - ESR'!D1722</f>
        <v>23198208</v>
      </c>
      <c r="AFI23" s="29" t="str">
        <f>'REG y VAL POE - AESR - ESR'!E1722</f>
        <v xml:space="preserve">Elizaldi Benitez Alfredo </v>
      </c>
      <c r="AFJ23" s="29">
        <f>'REG y VAL POE - AESR - ESR'!F1722</f>
        <v>23198208</v>
      </c>
      <c r="AFK23" s="28">
        <f>'REG y VAL POE - AESR - ESR'!G1722</f>
        <v>0</v>
      </c>
      <c r="AFL23" s="29">
        <f>'REG y VAL POE - AESR - ESR'!H1722</f>
        <v>0</v>
      </c>
      <c r="AFM23" s="29">
        <f>'REG y VAL POE - AESR - ESR'!I1722</f>
        <v>0</v>
      </c>
      <c r="AFN23" s="28">
        <f>'REG y VAL POE - AESR - ESR'!J1722</f>
        <v>0</v>
      </c>
      <c r="AFO23" s="29">
        <f>'REG y VAL POE - AESR - ESR'!K1722</f>
        <v>0</v>
      </c>
      <c r="AFP23" s="30">
        <f>'REG y VAL POE - AESR - ESR'!L1722</f>
        <v>0</v>
      </c>
      <c r="AFQ23" s="28">
        <f>'REG y VAL POE - AESR - ESR'!M1722</f>
        <v>0</v>
      </c>
      <c r="AFR23" s="29">
        <f>'REG y VAL POE - AESR - ESR'!N1722</f>
        <v>0</v>
      </c>
      <c r="AFS23" s="29">
        <f>'REG y VAL POE - AESR - ESR'!O1722</f>
        <v>0</v>
      </c>
      <c r="AFT23" s="29">
        <f>'REG y VAL POE - AESR - ESR'!P1722</f>
        <v>0</v>
      </c>
      <c r="AFU23" s="28">
        <f>'REG y VAL POE - AESR - ESR'!Q1722</f>
        <v>0</v>
      </c>
      <c r="AFV23" s="29">
        <f>'REG y VAL POE - AESR - ESR'!R1722</f>
        <v>0</v>
      </c>
      <c r="AFW23" s="29">
        <f>'REG y VAL POE - AESR - ESR'!S1722</f>
        <v>0</v>
      </c>
      <c r="AFX23" s="28">
        <f>'REG y VAL POE - AESR - ESR'!T1722</f>
        <v>0</v>
      </c>
      <c r="AFY23" s="29">
        <f>'REG y VAL POE - AESR - ESR'!U1722</f>
        <v>0</v>
      </c>
      <c r="AFZ23" s="30">
        <f>'REG y VAL POE - AESR - ESR'!V1722</f>
        <v>0</v>
      </c>
      <c r="AGA23" s="28">
        <f>'REG y VAL POE - AESR - ESR'!W1722</f>
        <v>0</v>
      </c>
      <c r="AGB23" s="29">
        <f>'REG y VAL POE - AESR - ESR'!X1722</f>
        <v>0</v>
      </c>
      <c r="AGC23" s="29">
        <f>'REG y VAL POE - AESR - ESR'!Y1722</f>
        <v>0</v>
      </c>
      <c r="AGD23" s="29">
        <f>'REG y VAL POE - AESR - ESR'!Z1722</f>
        <v>0</v>
      </c>
      <c r="AGE23" s="28">
        <f>'REG y VAL POE - AESR - ESR'!AA1722</f>
        <v>0</v>
      </c>
      <c r="AGF23" s="29">
        <f>'REG y VAL POE - AESR - ESR'!AB1722</f>
        <v>0</v>
      </c>
      <c r="AGG23" s="29">
        <f>'REG y VAL POE - AESR - ESR'!AC1722</f>
        <v>0</v>
      </c>
      <c r="AGH23" s="28">
        <f>'REG y VAL POE - AESR - ESR'!AD1722</f>
        <v>0</v>
      </c>
      <c r="AGI23" s="29">
        <f>'REG y VAL POE - AESR - ESR'!AE1722</f>
        <v>0</v>
      </c>
      <c r="AGJ23" s="30">
        <f>'REG y VAL POE - AESR - ESR'!AF1722</f>
        <v>0</v>
      </c>
      <c r="AGK23" s="28">
        <f>'REG y VAL POE - AESR - ESR'!AG1722</f>
        <v>0</v>
      </c>
      <c r="AGL23" s="29">
        <f>'REG y VAL POE - AESR - ESR'!AH1722</f>
        <v>0</v>
      </c>
      <c r="AGM23" s="29">
        <f>'REG y VAL POE - AESR - ESR'!AI1722</f>
        <v>0</v>
      </c>
      <c r="AGN23" s="29">
        <f>'REG y VAL POE - AESR - ESR'!AJ1722</f>
        <v>0</v>
      </c>
      <c r="AGO23" s="28">
        <f>'REG y VAL POE - AESR - ESR'!AK1722</f>
        <v>0</v>
      </c>
      <c r="AGP23" s="29">
        <f>'REG y VAL POE - AESR - ESR'!AL1722</f>
        <v>0</v>
      </c>
      <c r="AGQ23" s="29">
        <f>'REG y VAL POE - AESR - ESR'!AM1722</f>
        <v>0</v>
      </c>
      <c r="AGR23" s="28">
        <f>'REG y VAL POE - AESR - ESR'!AN1722</f>
        <v>0</v>
      </c>
      <c r="AGS23" s="29">
        <f>'REG y VAL POE - AESR - ESR'!AO1722</f>
        <v>0</v>
      </c>
      <c r="AGT23" s="30">
        <f>'REG y VAL POE - AESR - ESR'!AP1722</f>
        <v>0</v>
      </c>
      <c r="AGU23" s="28">
        <f>'REG y VAL POE - AESR - ESR'!AQ1722</f>
        <v>0</v>
      </c>
      <c r="AGV23" s="29">
        <f>'REG y VAL POE - AESR - ESR'!AR1722</f>
        <v>0</v>
      </c>
      <c r="AGW23" s="29">
        <f>'REG y VAL POE - AESR - ESR'!AS1722</f>
        <v>0</v>
      </c>
      <c r="AGX23" s="29" t="str">
        <f>'REG y VAL POE - AESR - ESR'!B1723</f>
        <v xml:space="preserve">Figueroa Rivera Esmeralda Guadalupe </v>
      </c>
      <c r="AGY23" s="28" t="str">
        <f>'REG y VAL POE - AESR - ESR'!C1723</f>
        <v>Sin Registro</v>
      </c>
      <c r="AGZ23" s="29">
        <f>'REG y VAL POE - AESR - ESR'!D1723</f>
        <v>23200660</v>
      </c>
      <c r="AHA23" s="29" t="str">
        <f>'REG y VAL POE - AESR - ESR'!E1723</f>
        <v xml:space="preserve">Figueroa Rivera Esmeralda Guadalupe </v>
      </c>
      <c r="AHB23" s="28">
        <f>'REG y VAL POE - AESR - ESR'!F1723</f>
        <v>23200660</v>
      </c>
      <c r="AHC23" s="29">
        <f>'REG y VAL POE - AESR - ESR'!G1723</f>
        <v>0</v>
      </c>
      <c r="AHD23" s="30">
        <f>'REG y VAL POE - AESR - ESR'!H1723</f>
        <v>0</v>
      </c>
      <c r="AHE23" s="28">
        <f>'REG y VAL POE - AESR - ESR'!I1723</f>
        <v>0</v>
      </c>
      <c r="AHF23" s="29">
        <f>'REG y VAL POE - AESR - ESR'!J1723</f>
        <v>0</v>
      </c>
      <c r="AHG23" s="29">
        <f>'REG y VAL POE - AESR - ESR'!K1723</f>
        <v>0</v>
      </c>
      <c r="AHH23" s="29">
        <f>'REG y VAL POE - AESR - ESR'!L1723</f>
        <v>0</v>
      </c>
      <c r="AHI23" s="28">
        <f>'REG y VAL POE - AESR - ESR'!M1723</f>
        <v>0</v>
      </c>
      <c r="AHJ23" s="29">
        <f>'REG y VAL POE - AESR - ESR'!N1723</f>
        <v>0</v>
      </c>
      <c r="AHK23" s="29">
        <f>'REG y VAL POE - AESR - ESR'!O1723</f>
        <v>0</v>
      </c>
      <c r="AHL23" s="28">
        <f>'REG y VAL POE - AESR - ESR'!P1723</f>
        <v>0</v>
      </c>
      <c r="AHM23" s="29">
        <f>'REG y VAL POE - AESR - ESR'!Q1723</f>
        <v>0</v>
      </c>
      <c r="AHN23" s="30">
        <f>'REG y VAL POE - AESR - ESR'!R1723</f>
        <v>0</v>
      </c>
      <c r="AHO23" s="28">
        <f>'REG y VAL POE - AESR - ESR'!S1723</f>
        <v>0</v>
      </c>
      <c r="AHP23" s="29">
        <f>'REG y VAL POE - AESR - ESR'!T1723</f>
        <v>0</v>
      </c>
      <c r="AHQ23" s="29">
        <f>'REG y VAL POE - AESR - ESR'!U1723</f>
        <v>0</v>
      </c>
      <c r="AHR23" s="29">
        <f>'REG y VAL POE - AESR - ESR'!V1723</f>
        <v>0</v>
      </c>
      <c r="AHS23" s="28">
        <f>'REG y VAL POE - AESR - ESR'!W1723</f>
        <v>0</v>
      </c>
      <c r="AHT23" s="29">
        <f>'REG y VAL POE - AESR - ESR'!X1723</f>
        <v>0</v>
      </c>
      <c r="AHU23" s="29">
        <f>'REG y VAL POE - AESR - ESR'!Y1723</f>
        <v>0</v>
      </c>
      <c r="AHV23" s="28">
        <f>'REG y VAL POE - AESR - ESR'!Z1723</f>
        <v>0</v>
      </c>
      <c r="AHW23" s="29">
        <f>'REG y VAL POE - AESR - ESR'!AA1723</f>
        <v>0</v>
      </c>
      <c r="AHX23" s="30">
        <f>'REG y VAL POE - AESR - ESR'!AB1723</f>
        <v>0</v>
      </c>
      <c r="AHY23" s="28">
        <f>'REG y VAL POE - AESR - ESR'!AC1723</f>
        <v>0</v>
      </c>
      <c r="AHZ23" s="29">
        <f>'REG y VAL POE - AESR - ESR'!AD1723</f>
        <v>0</v>
      </c>
      <c r="AIA23" s="29">
        <f>'REG y VAL POE - AESR - ESR'!AE1723</f>
        <v>0</v>
      </c>
      <c r="AIB23" s="29">
        <f>'REG y VAL POE - AESR - ESR'!AF1723</f>
        <v>0</v>
      </c>
      <c r="AIC23" s="28">
        <f>'REG y VAL POE - AESR - ESR'!AG1723</f>
        <v>0</v>
      </c>
      <c r="AID23" s="29">
        <f>'REG y VAL POE - AESR - ESR'!AH1723</f>
        <v>0</v>
      </c>
      <c r="AIE23" s="29">
        <f>'REG y VAL POE - AESR - ESR'!AI1723</f>
        <v>0</v>
      </c>
      <c r="AIF23" s="28">
        <f>'REG y VAL POE - AESR - ESR'!AJ1723</f>
        <v>0</v>
      </c>
      <c r="AIG23" s="29">
        <f>'REG y VAL POE - AESR - ESR'!AK1723</f>
        <v>0</v>
      </c>
      <c r="AIH23" s="30">
        <f>'REG y VAL POE - AESR - ESR'!AL1723</f>
        <v>0</v>
      </c>
      <c r="AII23" s="28">
        <f>'REG y VAL POE - AESR - ESR'!AM1723</f>
        <v>0</v>
      </c>
      <c r="AIJ23" s="29">
        <f>'REG y VAL POE - AESR - ESR'!AN1723</f>
        <v>0</v>
      </c>
      <c r="AIK23" s="29">
        <f>'REG y VAL POE - AESR - ESR'!AO1723</f>
        <v>0</v>
      </c>
      <c r="AIL23" s="29">
        <f>'REG y VAL POE - AESR - ESR'!AP1723</f>
        <v>0</v>
      </c>
      <c r="AIM23" s="28">
        <f>'REG y VAL POE - AESR - ESR'!AQ1723</f>
        <v>0</v>
      </c>
      <c r="AIN23" s="29">
        <f>'REG y VAL POE - AESR - ESR'!AR1723</f>
        <v>0</v>
      </c>
      <c r="AIO23" s="29">
        <f>'REG y VAL POE - AESR - ESR'!AS1723</f>
        <v>0</v>
      </c>
      <c r="AIP23" s="28" t="str">
        <f>'REG y VAL POE - AESR - ESR'!B1724</f>
        <v xml:space="preserve">Flores Martinez Eli German </v>
      </c>
      <c r="AIQ23" s="29" t="str">
        <f>'REG y VAL POE - AESR - ESR'!C1724</f>
        <v>Sin Registro</v>
      </c>
      <c r="AIR23" s="30">
        <f>'REG y VAL POE - AESR - ESR'!D1724</f>
        <v>23202863</v>
      </c>
      <c r="AIS23" s="28" t="str">
        <f>'REG y VAL POE - AESR - ESR'!E1724</f>
        <v xml:space="preserve">Flores Martinez Eli German </v>
      </c>
      <c r="AIT23" s="29">
        <f>'REG y VAL POE - AESR - ESR'!F1724</f>
        <v>23202863</v>
      </c>
      <c r="AIU23" s="29">
        <f>'REG y VAL POE - AESR - ESR'!G1724</f>
        <v>0</v>
      </c>
      <c r="AIV23" s="29">
        <f>'REG y VAL POE - AESR - ESR'!H1724</f>
        <v>0</v>
      </c>
      <c r="AIW23" s="28">
        <f>'REG y VAL POE - AESR - ESR'!I1724</f>
        <v>0</v>
      </c>
      <c r="AIX23" s="29">
        <f>'REG y VAL POE - AESR - ESR'!J1724</f>
        <v>0</v>
      </c>
      <c r="AIY23" s="29">
        <f>'REG y VAL POE - AESR - ESR'!K1724</f>
        <v>0</v>
      </c>
      <c r="AIZ23" s="28">
        <f>'REG y VAL POE - AESR - ESR'!L1724</f>
        <v>0</v>
      </c>
      <c r="AJA23" s="29">
        <f>'REG y VAL POE - AESR - ESR'!M1724</f>
        <v>0</v>
      </c>
      <c r="AJB23" s="30">
        <f>'REG y VAL POE - AESR - ESR'!N1724</f>
        <v>0</v>
      </c>
      <c r="AJC23" s="28">
        <f>'REG y VAL POE - AESR - ESR'!O1724</f>
        <v>0</v>
      </c>
      <c r="AJD23" s="29">
        <f>'REG y VAL POE - AESR - ESR'!P1724</f>
        <v>0</v>
      </c>
      <c r="AJE23" s="29">
        <f>'REG y VAL POE - AESR - ESR'!Q1724</f>
        <v>0</v>
      </c>
      <c r="AJF23" s="29">
        <f>'REG y VAL POE - AESR - ESR'!R1724</f>
        <v>0</v>
      </c>
      <c r="AJG23" s="28">
        <f>'REG y VAL POE - AESR - ESR'!S1724</f>
        <v>0</v>
      </c>
      <c r="AJH23" s="29">
        <f>'REG y VAL POE - AESR - ESR'!T1724</f>
        <v>0</v>
      </c>
      <c r="AJI23" s="29">
        <f>'REG y VAL POE - AESR - ESR'!U1724</f>
        <v>0</v>
      </c>
      <c r="AJJ23" s="28">
        <f>'REG y VAL POE - AESR - ESR'!V1724</f>
        <v>0</v>
      </c>
      <c r="AJK23" s="29">
        <f>'REG y VAL POE - AESR - ESR'!W1724</f>
        <v>0</v>
      </c>
      <c r="AJL23" s="30">
        <f>'REG y VAL POE - AESR - ESR'!X1724</f>
        <v>0</v>
      </c>
      <c r="AJM23" s="28">
        <f>'REG y VAL POE - AESR - ESR'!Y1724</f>
        <v>0</v>
      </c>
      <c r="AJN23" s="29">
        <f>'REG y VAL POE - AESR - ESR'!Z1724</f>
        <v>0</v>
      </c>
      <c r="AJO23" s="29">
        <f>'REG y VAL POE - AESR - ESR'!AA1724</f>
        <v>0</v>
      </c>
      <c r="AJP23" s="29">
        <f>'REG y VAL POE - AESR - ESR'!AB1724</f>
        <v>0</v>
      </c>
      <c r="AJQ23" s="28">
        <f>'REG y VAL POE - AESR - ESR'!AC1724</f>
        <v>0</v>
      </c>
      <c r="AJR23" s="29">
        <f>'REG y VAL POE - AESR - ESR'!AD1724</f>
        <v>0</v>
      </c>
      <c r="AJS23" s="29">
        <f>'REG y VAL POE - AESR - ESR'!AE1724</f>
        <v>0</v>
      </c>
      <c r="AJT23" s="28">
        <f>'REG y VAL POE - AESR - ESR'!AF1724</f>
        <v>0</v>
      </c>
      <c r="AJU23" s="29">
        <f>'REG y VAL POE - AESR - ESR'!AG1724</f>
        <v>0</v>
      </c>
      <c r="AJV23" s="30">
        <f>'REG y VAL POE - AESR - ESR'!AH1724</f>
        <v>0</v>
      </c>
      <c r="AJW23" s="28">
        <f>'REG y VAL POE - AESR - ESR'!AI1724</f>
        <v>0</v>
      </c>
      <c r="AJX23" s="29">
        <f>'REG y VAL POE - AESR - ESR'!AJ1724</f>
        <v>0</v>
      </c>
      <c r="AJY23" s="29">
        <f>'REG y VAL POE - AESR - ESR'!AK1724</f>
        <v>0</v>
      </c>
      <c r="AJZ23" s="29">
        <f>'REG y VAL POE - AESR - ESR'!AL1724</f>
        <v>0</v>
      </c>
      <c r="AKA23" s="28">
        <f>'REG y VAL POE - AESR - ESR'!AM1724</f>
        <v>0</v>
      </c>
      <c r="AKB23" s="29">
        <f>'REG y VAL POE - AESR - ESR'!AN1724</f>
        <v>0</v>
      </c>
      <c r="AKC23" s="29">
        <f>'REG y VAL POE - AESR - ESR'!AO1724</f>
        <v>0</v>
      </c>
      <c r="AKD23" s="28">
        <f>'REG y VAL POE - AESR - ESR'!AP1724</f>
        <v>0</v>
      </c>
      <c r="AKE23" s="29">
        <f>'REG y VAL POE - AESR - ESR'!AQ1724</f>
        <v>0</v>
      </c>
      <c r="AKF23" s="30">
        <f>'REG y VAL POE - AESR - ESR'!AR1724</f>
        <v>0</v>
      </c>
      <c r="AKG23" s="28">
        <f>'REG y VAL POE - AESR - ESR'!AS1724</f>
        <v>0</v>
      </c>
      <c r="AKH23" s="29" t="str">
        <f>'REG y VAL POE - AESR - ESR'!B1725</f>
        <v xml:space="preserve">Garcia Ramirez Francisco Eduardo </v>
      </c>
      <c r="AKI23" s="29" t="str">
        <f>'REG y VAL POE - AESR - ESR'!C1725</f>
        <v>Sin Registro</v>
      </c>
      <c r="AKJ23" s="29">
        <f>'REG y VAL POE - AESR - ESR'!D1725</f>
        <v>23209234</v>
      </c>
      <c r="AKK23" s="28" t="str">
        <f>'REG y VAL POE - AESR - ESR'!E1725</f>
        <v xml:space="preserve">Garcia Ramirez Francisco Eduardo </v>
      </c>
      <c r="AKL23" s="29">
        <f>'REG y VAL POE - AESR - ESR'!F1725</f>
        <v>23209234</v>
      </c>
      <c r="AKM23" s="29">
        <f>'REG y VAL POE - AESR - ESR'!G1725</f>
        <v>0</v>
      </c>
      <c r="AKN23" s="28">
        <f>'REG y VAL POE - AESR - ESR'!H1725</f>
        <v>0</v>
      </c>
      <c r="AKO23" s="29">
        <f>'REG y VAL POE - AESR - ESR'!I1725</f>
        <v>0</v>
      </c>
      <c r="AKP23" s="30">
        <f>'REG y VAL POE - AESR - ESR'!J1725</f>
        <v>0</v>
      </c>
      <c r="AKQ23" s="28">
        <f>'REG y VAL POE - AESR - ESR'!K1725</f>
        <v>0</v>
      </c>
      <c r="AKR23" s="29">
        <f>'REG y VAL POE - AESR - ESR'!L1725</f>
        <v>0</v>
      </c>
      <c r="AKS23" s="29">
        <f>'REG y VAL POE - AESR - ESR'!M1725</f>
        <v>0</v>
      </c>
      <c r="AKT23" s="29">
        <f>'REG y VAL POE - AESR - ESR'!N1725</f>
        <v>0</v>
      </c>
      <c r="AKU23" s="28">
        <f>'REG y VAL POE - AESR - ESR'!O1725</f>
        <v>0</v>
      </c>
      <c r="AKV23" s="29">
        <f>'REG y VAL POE - AESR - ESR'!P1725</f>
        <v>0</v>
      </c>
      <c r="AKW23" s="29">
        <f>'REG y VAL POE - AESR - ESR'!Q1725</f>
        <v>0</v>
      </c>
      <c r="AKX23" s="28">
        <f>'REG y VAL POE - AESR - ESR'!R1725</f>
        <v>0</v>
      </c>
      <c r="AKY23" s="29">
        <f>'REG y VAL POE - AESR - ESR'!S1725</f>
        <v>0</v>
      </c>
      <c r="AKZ23" s="30">
        <f>'REG y VAL POE - AESR - ESR'!T1725</f>
        <v>0</v>
      </c>
      <c r="ALA23" s="28">
        <f>'REG y VAL POE - AESR - ESR'!U1725</f>
        <v>0</v>
      </c>
      <c r="ALB23" s="29">
        <f>'REG y VAL POE - AESR - ESR'!V1725</f>
        <v>0</v>
      </c>
      <c r="ALC23" s="29">
        <f>'REG y VAL POE - AESR - ESR'!W1725</f>
        <v>0</v>
      </c>
      <c r="ALD23" s="29">
        <f>'REG y VAL POE - AESR - ESR'!X1725</f>
        <v>0</v>
      </c>
      <c r="ALE23" s="28">
        <f>'REG y VAL POE - AESR - ESR'!Y1725</f>
        <v>0</v>
      </c>
      <c r="ALF23" s="29">
        <f>'REG y VAL POE - AESR - ESR'!Z1725</f>
        <v>0</v>
      </c>
      <c r="ALG23" s="29">
        <f>'REG y VAL POE - AESR - ESR'!AA1725</f>
        <v>0</v>
      </c>
      <c r="ALH23" s="29">
        <f>'REG y VAL POE - AESR - ESR'!AB1725</f>
        <v>0</v>
      </c>
      <c r="ALI23" s="29">
        <f>'REG y VAL POE - AESR - ESR'!AC1725</f>
        <v>0</v>
      </c>
      <c r="ALJ23" s="29">
        <f>'REG y VAL POE - AESR - ESR'!AD1725</f>
        <v>0</v>
      </c>
      <c r="ALK23" s="28">
        <f>'REG y VAL POE - AESR - ESR'!AE1725</f>
        <v>0</v>
      </c>
      <c r="ALL23" s="29">
        <f>'REG y VAL POE - AESR - ESR'!AF1725</f>
        <v>0</v>
      </c>
      <c r="ALM23" s="29">
        <f>'REG y VAL POE - AESR - ESR'!AG1725</f>
        <v>0</v>
      </c>
      <c r="ALN23" s="28">
        <f>'REG y VAL POE - AESR - ESR'!AH1725</f>
        <v>0</v>
      </c>
      <c r="ALO23" s="29">
        <f>'REG y VAL POE - AESR - ESR'!AI1725</f>
        <v>0</v>
      </c>
      <c r="ALP23" s="30">
        <f>'REG y VAL POE - AESR - ESR'!AJ1725</f>
        <v>0</v>
      </c>
      <c r="ALQ23" s="28">
        <f>'REG y VAL POE - AESR - ESR'!AK1725</f>
        <v>0</v>
      </c>
      <c r="ALR23" s="29">
        <f>'REG y VAL POE - AESR - ESR'!AL1725</f>
        <v>0</v>
      </c>
      <c r="ALS23" s="29">
        <f>'REG y VAL POE - AESR - ESR'!AM1725</f>
        <v>0</v>
      </c>
      <c r="ALT23" s="29">
        <f>'REG y VAL POE - AESR - ESR'!AN1725</f>
        <v>0</v>
      </c>
      <c r="ALU23" s="28">
        <f>'REG y VAL POE - AESR - ESR'!AO1725</f>
        <v>0</v>
      </c>
      <c r="ALV23" s="29">
        <f>'REG y VAL POE - AESR - ESR'!AP1725</f>
        <v>0</v>
      </c>
      <c r="ALW23" s="29">
        <f>'REG y VAL POE - AESR - ESR'!AQ1725</f>
        <v>0</v>
      </c>
      <c r="ALX23" s="28">
        <f>'REG y VAL POE - AESR - ESR'!AR1725</f>
        <v>0</v>
      </c>
      <c r="ALY23" s="29">
        <f>'REG y VAL POE - AESR - ESR'!AS1725</f>
        <v>0</v>
      </c>
      <c r="ALZ23" s="30" t="str">
        <f>'REG y VAL POE - AESR - ESR'!B1726</f>
        <v xml:space="preserve">Godinez Velazquez Karla Natali </v>
      </c>
      <c r="AMA23" s="28" t="str">
        <f>'REG y VAL POE - AESR - ESR'!C1726</f>
        <v>Sin Registro</v>
      </c>
      <c r="AMB23" s="29">
        <f>'REG y VAL POE - AESR - ESR'!D1726</f>
        <v>23001067</v>
      </c>
      <c r="AMC23" s="29" t="str">
        <f>'REG y VAL POE - AESR - ESR'!E1726</f>
        <v xml:space="preserve">Godinez Velazquez Karla Natali </v>
      </c>
      <c r="AMD23" s="29">
        <f>'REG y VAL POE - AESR - ESR'!F1726</f>
        <v>23001067</v>
      </c>
      <c r="AME23" s="28">
        <f>'REG y VAL POE - AESR - ESR'!G1726</f>
        <v>0</v>
      </c>
      <c r="AMF23" s="29">
        <f>'REG y VAL POE - AESR - ESR'!H1726</f>
        <v>0</v>
      </c>
      <c r="AMG23" s="29">
        <f>'REG y VAL POE - AESR - ESR'!I1726</f>
        <v>0</v>
      </c>
      <c r="AMH23" s="29">
        <f>'REG y VAL POE - AESR - ESR'!J1726</f>
        <v>0</v>
      </c>
      <c r="AMI23" s="29">
        <f>'REG y VAL POE - AESR - ESR'!K1726</f>
        <v>0</v>
      </c>
      <c r="AMJ23" s="29">
        <f>'REG y VAL POE - AESR - ESR'!L1726</f>
        <v>0</v>
      </c>
      <c r="AMK23" s="28">
        <f>'REG y VAL POE - AESR - ESR'!M1726</f>
        <v>0</v>
      </c>
      <c r="AML23" s="29">
        <f>'REG y VAL POE - AESR - ESR'!N1726</f>
        <v>0</v>
      </c>
      <c r="AMM23" s="29">
        <f>'REG y VAL POE - AESR - ESR'!O1726</f>
        <v>0</v>
      </c>
      <c r="AMN23" s="28">
        <f>'REG y VAL POE - AESR - ESR'!P1726</f>
        <v>0</v>
      </c>
      <c r="AMO23" s="29">
        <f>'REG y VAL POE - AESR - ESR'!Q1726</f>
        <v>0</v>
      </c>
      <c r="AMP23" s="30">
        <f>'REG y VAL POE - AESR - ESR'!R1726</f>
        <v>0</v>
      </c>
      <c r="AMQ23" s="28">
        <f>'REG y VAL POE - AESR - ESR'!S1726</f>
        <v>0</v>
      </c>
      <c r="AMR23" s="29">
        <f>'REG y VAL POE - AESR - ESR'!T1726</f>
        <v>0</v>
      </c>
      <c r="AMS23" s="29">
        <f>'REG y VAL POE - AESR - ESR'!U1726</f>
        <v>0</v>
      </c>
      <c r="AMT23" s="29">
        <f>'REG y VAL POE - AESR - ESR'!V1726</f>
        <v>0</v>
      </c>
      <c r="AMU23" s="28">
        <f>'REG y VAL POE - AESR - ESR'!W1726</f>
        <v>0</v>
      </c>
      <c r="AMV23" s="29">
        <f>'REG y VAL POE - AESR - ESR'!X1726</f>
        <v>0</v>
      </c>
      <c r="AMW23" s="29">
        <f>'REG y VAL POE - AESR - ESR'!Y1726</f>
        <v>0</v>
      </c>
      <c r="AMX23" s="28">
        <f>'REG y VAL POE - AESR - ESR'!Z1726</f>
        <v>0</v>
      </c>
      <c r="AMY23" s="29">
        <f>'REG y VAL POE - AESR - ESR'!AA1726</f>
        <v>0</v>
      </c>
      <c r="AMZ23" s="30">
        <f>'REG y VAL POE - AESR - ESR'!AB1726</f>
        <v>0</v>
      </c>
      <c r="ANA23" s="28">
        <f>'REG y VAL POE - AESR - ESR'!AC1726</f>
        <v>0</v>
      </c>
      <c r="ANB23" s="29">
        <f>'REG y VAL POE - AESR - ESR'!AD1726</f>
        <v>0</v>
      </c>
      <c r="ANC23" s="29">
        <f>'REG y VAL POE - AESR - ESR'!AE1726</f>
        <v>0</v>
      </c>
      <c r="AND23" s="29">
        <f>'REG y VAL POE - AESR - ESR'!AF1726</f>
        <v>0</v>
      </c>
      <c r="ANE23" s="28">
        <f>'REG y VAL POE - AESR - ESR'!AG1726</f>
        <v>0</v>
      </c>
      <c r="ANF23" s="29">
        <f>'REG y VAL POE - AESR - ESR'!AH1726</f>
        <v>0</v>
      </c>
      <c r="ANG23" s="29">
        <f>'REG y VAL POE - AESR - ESR'!AI1726</f>
        <v>0</v>
      </c>
      <c r="ANH23" s="29">
        <f>'REG y VAL POE - AESR - ESR'!AJ1726</f>
        <v>0</v>
      </c>
      <c r="ANI23" s="29">
        <f>'REG y VAL POE - AESR - ESR'!AK1726</f>
        <v>0</v>
      </c>
      <c r="ANJ23" s="29">
        <f>'REG y VAL POE - AESR - ESR'!AL1726</f>
        <v>0</v>
      </c>
      <c r="ANK23" s="28">
        <f>'REG y VAL POE - AESR - ESR'!AM1726</f>
        <v>0</v>
      </c>
      <c r="ANL23" s="29">
        <f>'REG y VAL POE - AESR - ESR'!AN1726</f>
        <v>0</v>
      </c>
      <c r="ANM23" s="29">
        <f>'REG y VAL POE - AESR - ESR'!AO1726</f>
        <v>0</v>
      </c>
      <c r="ANN23" s="28">
        <f>'REG y VAL POE - AESR - ESR'!AP1726</f>
        <v>0</v>
      </c>
      <c r="ANO23" s="29">
        <f>'REG y VAL POE - AESR - ESR'!AQ1726</f>
        <v>0</v>
      </c>
      <c r="ANP23" s="30">
        <f>'REG y VAL POE - AESR - ESR'!AR1726</f>
        <v>0</v>
      </c>
      <c r="ANQ23" s="28">
        <f>'REG y VAL POE - AESR - ESR'!AS1726</f>
        <v>0</v>
      </c>
      <c r="ANR23" s="29" t="str">
        <f>'REG y VAL POE - AESR - ESR'!B1727</f>
        <v xml:space="preserve">Gomez Eslava Lidia Saori </v>
      </c>
      <c r="ANS23" s="29" t="str">
        <f>'REG y VAL POE - AESR - ESR'!C1727</f>
        <v>Sin Registro</v>
      </c>
      <c r="ANT23" s="29">
        <f>'REG y VAL POE - AESR - ESR'!D1727</f>
        <v>23218083</v>
      </c>
      <c r="ANU23" s="28" t="str">
        <f>'REG y VAL POE - AESR - ESR'!E1727</f>
        <v xml:space="preserve">Gomez Eslava Lidia Saori </v>
      </c>
      <c r="ANV23" s="29">
        <f>'REG y VAL POE - AESR - ESR'!F1727</f>
        <v>23218083</v>
      </c>
      <c r="ANW23" s="29">
        <f>'REG y VAL POE - AESR - ESR'!G1727</f>
        <v>0</v>
      </c>
      <c r="ANX23" s="28">
        <f>'REG y VAL POE - AESR - ESR'!H1727</f>
        <v>0</v>
      </c>
      <c r="ANY23" s="29">
        <f>'REG y VAL POE - AESR - ESR'!I1727</f>
        <v>0</v>
      </c>
      <c r="ANZ23" s="30">
        <f>'REG y VAL POE - AESR - ESR'!J1727</f>
        <v>0</v>
      </c>
      <c r="AOA23" s="28">
        <f>'REG y VAL POE - AESR - ESR'!K1727</f>
        <v>0</v>
      </c>
      <c r="AOB23" s="29">
        <f>'REG y VAL POE - AESR - ESR'!L1727</f>
        <v>0</v>
      </c>
      <c r="AOC23" s="29">
        <f>'REG y VAL POE - AESR - ESR'!M1727</f>
        <v>0</v>
      </c>
      <c r="AOD23" s="29">
        <f>'REG y VAL POE - AESR - ESR'!N1727</f>
        <v>0</v>
      </c>
      <c r="AOE23" s="28">
        <f>'REG y VAL POE - AESR - ESR'!O1727</f>
        <v>0</v>
      </c>
      <c r="AOF23" s="29">
        <f>'REG y VAL POE - AESR - ESR'!P1727</f>
        <v>0</v>
      </c>
      <c r="AOG23" s="29">
        <f>'REG y VAL POE - AESR - ESR'!Q1727</f>
        <v>0</v>
      </c>
      <c r="AOH23" s="29">
        <f>'REG y VAL POE - AESR - ESR'!R1727</f>
        <v>0</v>
      </c>
      <c r="AOI23" s="29">
        <f>'REG y VAL POE - AESR - ESR'!S1727</f>
        <v>0</v>
      </c>
      <c r="AOJ23" s="29">
        <f>'REG y VAL POE - AESR - ESR'!T1727</f>
        <v>0</v>
      </c>
      <c r="AOK23" s="28">
        <f>'REG y VAL POE - AESR - ESR'!U1727</f>
        <v>0</v>
      </c>
      <c r="AOL23" s="29">
        <f>'REG y VAL POE - AESR - ESR'!V1727</f>
        <v>0</v>
      </c>
      <c r="AOM23" s="29">
        <f>'REG y VAL POE - AESR - ESR'!W1727</f>
        <v>0</v>
      </c>
      <c r="AON23" s="28">
        <f>'REG y VAL POE - AESR - ESR'!X1727</f>
        <v>0</v>
      </c>
      <c r="AOO23" s="29">
        <f>'REG y VAL POE - AESR - ESR'!Y1727</f>
        <v>0</v>
      </c>
      <c r="AOP23" s="30">
        <f>'REG y VAL POE - AESR - ESR'!Z1727</f>
        <v>0</v>
      </c>
      <c r="AOQ23" s="28">
        <f>'REG y VAL POE - AESR - ESR'!AA1727</f>
        <v>0</v>
      </c>
      <c r="AOR23" s="29">
        <f>'REG y VAL POE - AESR - ESR'!AB1727</f>
        <v>0</v>
      </c>
      <c r="AOS23" s="29">
        <f>'REG y VAL POE - AESR - ESR'!AC1727</f>
        <v>0</v>
      </c>
      <c r="AOT23" s="29">
        <f>'REG y VAL POE - AESR - ESR'!AD1727</f>
        <v>0</v>
      </c>
      <c r="AOU23" s="28">
        <f>'REG y VAL POE - AESR - ESR'!AE1727</f>
        <v>0</v>
      </c>
      <c r="AOV23" s="29">
        <f>'REG y VAL POE - AESR - ESR'!AF1727</f>
        <v>0</v>
      </c>
      <c r="AOW23" s="29">
        <f>'REG y VAL POE - AESR - ESR'!AG1727</f>
        <v>0</v>
      </c>
      <c r="AOX23" s="28">
        <f>'REG y VAL POE - AESR - ESR'!AH1727</f>
        <v>0</v>
      </c>
      <c r="AOY23" s="29">
        <f>'REG y VAL POE - AESR - ESR'!AI1727</f>
        <v>0</v>
      </c>
      <c r="AOZ23" s="30">
        <f>'REG y VAL POE - AESR - ESR'!AJ1727</f>
        <v>0</v>
      </c>
      <c r="APA23" s="28">
        <f>'REG y VAL POE - AESR - ESR'!AK1727</f>
        <v>0</v>
      </c>
      <c r="APB23" s="29">
        <f>'REG y VAL POE - AESR - ESR'!AL1727</f>
        <v>0</v>
      </c>
      <c r="APC23" s="29">
        <f>'REG y VAL POE - AESR - ESR'!AM1727</f>
        <v>0</v>
      </c>
      <c r="APD23" s="29">
        <f>'REG y VAL POE - AESR - ESR'!AN1727</f>
        <v>0</v>
      </c>
      <c r="APE23" s="28">
        <f>'REG y VAL POE - AESR - ESR'!AO1727</f>
        <v>0</v>
      </c>
      <c r="APF23" s="29">
        <f>'REG y VAL POE - AESR - ESR'!AP1727</f>
        <v>0</v>
      </c>
      <c r="APG23" s="29">
        <f>'REG y VAL POE - AESR - ESR'!AQ1727</f>
        <v>0</v>
      </c>
      <c r="APH23" s="29">
        <f>'REG y VAL POE - AESR - ESR'!AR1727</f>
        <v>0</v>
      </c>
      <c r="API23" s="29">
        <f>'REG y VAL POE - AESR - ESR'!AS1727</f>
        <v>0</v>
      </c>
      <c r="APJ23" s="29" t="str">
        <f>'REG y VAL POE - AESR - ESR'!B1728</f>
        <v xml:space="preserve">Gomez Perez Maria Elena </v>
      </c>
      <c r="APK23" s="28" t="str">
        <f>'REG y VAL POE - AESR - ESR'!C1728</f>
        <v>Sin Registro</v>
      </c>
      <c r="APL23" s="29">
        <f>'REG y VAL POE - AESR - ESR'!D1728</f>
        <v>23181564</v>
      </c>
      <c r="APM23" s="29" t="str">
        <f>'REG y VAL POE - AESR - ESR'!E1728</f>
        <v xml:space="preserve">Gomez Perez Maria Elena </v>
      </c>
      <c r="APN23" s="28">
        <f>'REG y VAL POE - AESR - ESR'!F1728</f>
        <v>23181564</v>
      </c>
      <c r="APO23" s="29">
        <f>'REG y VAL POE - AESR - ESR'!G1728</f>
        <v>0</v>
      </c>
      <c r="APP23" s="30">
        <f>'REG y VAL POE - AESR - ESR'!H1728</f>
        <v>0</v>
      </c>
      <c r="APQ23" s="28">
        <f>'REG y VAL POE - AESR - ESR'!I1728</f>
        <v>0</v>
      </c>
      <c r="APR23" s="29">
        <f>'REG y VAL POE - AESR - ESR'!J1728</f>
        <v>0</v>
      </c>
      <c r="APS23" s="29">
        <f>'REG y VAL POE - AESR - ESR'!K1728</f>
        <v>0</v>
      </c>
      <c r="APT23" s="29">
        <f>'REG y VAL POE - AESR - ESR'!L1728</f>
        <v>0</v>
      </c>
      <c r="APU23" s="28">
        <f>'REG y VAL POE - AESR - ESR'!M1728</f>
        <v>0</v>
      </c>
      <c r="APV23" s="29">
        <f>'REG y VAL POE - AESR - ESR'!N1728</f>
        <v>0</v>
      </c>
      <c r="APW23" s="29">
        <f>'REG y VAL POE - AESR - ESR'!O1728</f>
        <v>0</v>
      </c>
      <c r="APX23" s="28">
        <f>'REG y VAL POE - AESR - ESR'!P1728</f>
        <v>0</v>
      </c>
      <c r="APY23" s="29">
        <f>'REG y VAL POE - AESR - ESR'!Q1728</f>
        <v>0</v>
      </c>
      <c r="APZ23" s="30">
        <f>'REG y VAL POE - AESR - ESR'!R1728</f>
        <v>0</v>
      </c>
      <c r="AQA23" s="28">
        <f>'REG y VAL POE - AESR - ESR'!S1728</f>
        <v>0</v>
      </c>
      <c r="AQB23" s="29">
        <f>'REG y VAL POE - AESR - ESR'!T1728</f>
        <v>0</v>
      </c>
      <c r="AQC23" s="29">
        <f>'REG y VAL POE - AESR - ESR'!U1728</f>
        <v>0</v>
      </c>
      <c r="AQD23" s="29">
        <f>'REG y VAL POE - AESR - ESR'!V1728</f>
        <v>0</v>
      </c>
      <c r="AQE23" s="28">
        <f>'REG y VAL POE - AESR - ESR'!W1728</f>
        <v>0</v>
      </c>
      <c r="AQF23" s="29">
        <f>'REG y VAL POE - AESR - ESR'!X1728</f>
        <v>0</v>
      </c>
      <c r="AQG23" s="29">
        <f>'REG y VAL POE - AESR - ESR'!Y1728</f>
        <v>0</v>
      </c>
      <c r="AQH23" s="29">
        <f>'REG y VAL POE - AESR - ESR'!Z1728</f>
        <v>0</v>
      </c>
      <c r="AQI23" s="29">
        <f>'REG y VAL POE - AESR - ESR'!AA1728</f>
        <v>0</v>
      </c>
      <c r="AQJ23" s="29">
        <f>'REG y VAL POE - AESR - ESR'!AB1728</f>
        <v>0</v>
      </c>
      <c r="AQK23" s="28">
        <f>'REG y VAL POE - AESR - ESR'!AC1728</f>
        <v>0</v>
      </c>
      <c r="AQL23" s="29">
        <f>'REG y VAL POE - AESR - ESR'!AD1728</f>
        <v>0</v>
      </c>
      <c r="AQM23" s="29">
        <f>'REG y VAL POE - AESR - ESR'!AE1728</f>
        <v>0</v>
      </c>
      <c r="AQN23" s="28">
        <f>'REG y VAL POE - AESR - ESR'!AF1728</f>
        <v>0</v>
      </c>
      <c r="AQO23" s="29">
        <f>'REG y VAL POE - AESR - ESR'!AG1728</f>
        <v>0</v>
      </c>
      <c r="AQP23" s="30">
        <f>'REG y VAL POE - AESR - ESR'!AH1728</f>
        <v>0</v>
      </c>
      <c r="AQQ23" s="28">
        <f>'REG y VAL POE - AESR - ESR'!AI1728</f>
        <v>0</v>
      </c>
      <c r="AQR23" s="29">
        <f>'REG y VAL POE - AESR - ESR'!AJ1728</f>
        <v>0</v>
      </c>
      <c r="AQS23" s="29">
        <f>'REG y VAL POE - AESR - ESR'!AK1728</f>
        <v>0</v>
      </c>
      <c r="AQT23" s="29">
        <f>'REG y VAL POE - AESR - ESR'!AL1728</f>
        <v>0</v>
      </c>
      <c r="AQU23" s="28">
        <f>'REG y VAL POE - AESR - ESR'!AM1728</f>
        <v>0</v>
      </c>
      <c r="AQV23" s="29">
        <f>'REG y VAL POE - AESR - ESR'!AN1728</f>
        <v>0</v>
      </c>
      <c r="AQW23" s="29">
        <f>'REG y VAL POE - AESR - ESR'!AO1728</f>
        <v>0</v>
      </c>
      <c r="AQX23" s="28">
        <f>'REG y VAL POE - AESR - ESR'!AP1728</f>
        <v>0</v>
      </c>
      <c r="AQY23" s="29">
        <f>'REG y VAL POE - AESR - ESR'!AQ1728</f>
        <v>0</v>
      </c>
      <c r="AQZ23" s="30">
        <f>'REG y VAL POE - AESR - ESR'!AR1728</f>
        <v>0</v>
      </c>
      <c r="ARA23" s="28">
        <f>'REG y VAL POE - AESR - ESR'!AS1728</f>
        <v>0</v>
      </c>
      <c r="ARB23" s="29" t="str">
        <f>'REG y VAL POE - AESR - ESR'!B1729</f>
        <v xml:space="preserve">Gonzalez Larios Sergio </v>
      </c>
      <c r="ARC23" s="29" t="str">
        <f>'REG y VAL POE - AESR - ESR'!C1729</f>
        <v>Sin Registro</v>
      </c>
      <c r="ARD23" s="29">
        <f>'REG y VAL POE - AESR - ESR'!D1729</f>
        <v>22202247</v>
      </c>
      <c r="ARE23" s="28" t="str">
        <f>'REG y VAL POE - AESR - ESR'!E1729</f>
        <v xml:space="preserve">Gonzalez Larios Sergio </v>
      </c>
      <c r="ARF23" s="29">
        <f>'REG y VAL POE - AESR - ESR'!F1729</f>
        <v>22202247</v>
      </c>
      <c r="ARG23" s="29">
        <f>'REG y VAL POE - AESR - ESR'!G1729</f>
        <v>0</v>
      </c>
      <c r="ARH23" s="29">
        <f>'REG y VAL POE - AESR - ESR'!H1729</f>
        <v>0</v>
      </c>
      <c r="ARI23" s="29">
        <f>'REG y VAL POE - AESR - ESR'!I1729</f>
        <v>0</v>
      </c>
      <c r="ARJ23" s="29">
        <f>'REG y VAL POE - AESR - ESR'!J1729</f>
        <v>0</v>
      </c>
      <c r="ARK23" s="28">
        <f>'REG y VAL POE - AESR - ESR'!K1729</f>
        <v>0</v>
      </c>
      <c r="ARL23" s="29">
        <f>'REG y VAL POE - AESR - ESR'!L1729</f>
        <v>0</v>
      </c>
      <c r="ARM23" s="29">
        <f>'REG y VAL POE - AESR - ESR'!M1729</f>
        <v>0</v>
      </c>
      <c r="ARN23" s="28">
        <f>'REG y VAL POE - AESR - ESR'!N1729</f>
        <v>0</v>
      </c>
      <c r="ARO23" s="29">
        <f>'REG y VAL POE - AESR - ESR'!O1729</f>
        <v>0</v>
      </c>
      <c r="ARP23" s="30">
        <f>'REG y VAL POE - AESR - ESR'!P1729</f>
        <v>0</v>
      </c>
      <c r="ARQ23" s="28">
        <f>'REG y VAL POE - AESR - ESR'!Q1729</f>
        <v>0</v>
      </c>
      <c r="ARR23" s="29">
        <f>'REG y VAL POE - AESR - ESR'!R1729</f>
        <v>0</v>
      </c>
      <c r="ARS23" s="29">
        <f>'REG y VAL POE - AESR - ESR'!S1729</f>
        <v>0</v>
      </c>
      <c r="ART23" s="29">
        <f>'REG y VAL POE - AESR - ESR'!T1729</f>
        <v>0</v>
      </c>
      <c r="ARU23" s="28">
        <f>'REG y VAL POE - AESR - ESR'!U1729</f>
        <v>0</v>
      </c>
      <c r="ARV23" s="29">
        <f>'REG y VAL POE - AESR - ESR'!V1729</f>
        <v>0</v>
      </c>
      <c r="ARW23" s="29">
        <f>'REG y VAL POE - AESR - ESR'!W1729</f>
        <v>0</v>
      </c>
      <c r="ARX23" s="28">
        <f>'REG y VAL POE - AESR - ESR'!X1729</f>
        <v>0</v>
      </c>
      <c r="ARY23" s="29">
        <f>'REG y VAL POE - AESR - ESR'!Y1729</f>
        <v>0</v>
      </c>
      <c r="ARZ23" s="30">
        <f>'REG y VAL POE - AESR - ESR'!Z1729</f>
        <v>0</v>
      </c>
      <c r="ASA23" s="28">
        <f>'REG y VAL POE - AESR - ESR'!AA1729</f>
        <v>0</v>
      </c>
      <c r="ASB23" s="29">
        <f>'REG y VAL POE - AESR - ESR'!AB1729</f>
        <v>0</v>
      </c>
      <c r="ASC23" s="29">
        <f>'REG y VAL POE - AESR - ESR'!AC1729</f>
        <v>0</v>
      </c>
      <c r="ASD23" s="29">
        <f>'REG y VAL POE - AESR - ESR'!AD1729</f>
        <v>0</v>
      </c>
      <c r="ASE23" s="28">
        <f>'REG y VAL POE - AESR - ESR'!AE1729</f>
        <v>0</v>
      </c>
      <c r="ASF23" s="29">
        <f>'REG y VAL POE - AESR - ESR'!AF1729</f>
        <v>0</v>
      </c>
      <c r="ASG23" s="29">
        <f>'REG y VAL POE - AESR - ESR'!AG1729</f>
        <v>0</v>
      </c>
      <c r="ASH23" s="29">
        <f>'REG y VAL POE - AESR - ESR'!AH1729</f>
        <v>0</v>
      </c>
      <c r="ASI23" s="29">
        <f>'REG y VAL POE - AESR - ESR'!AI1729</f>
        <v>0</v>
      </c>
      <c r="ASJ23" s="29">
        <f>'REG y VAL POE - AESR - ESR'!AJ1729</f>
        <v>0</v>
      </c>
      <c r="ASK23" s="28">
        <f>'REG y VAL POE - AESR - ESR'!AK1729</f>
        <v>0</v>
      </c>
      <c r="ASL23" s="29">
        <f>'REG y VAL POE - AESR - ESR'!AL1729</f>
        <v>0</v>
      </c>
      <c r="ASM23" s="29">
        <f>'REG y VAL POE - AESR - ESR'!AM1729</f>
        <v>0</v>
      </c>
      <c r="ASN23" s="28">
        <f>'REG y VAL POE - AESR - ESR'!AN1729</f>
        <v>0</v>
      </c>
      <c r="ASO23" s="29">
        <f>'REG y VAL POE - AESR - ESR'!AO1729</f>
        <v>0</v>
      </c>
      <c r="ASP23" s="30">
        <f>'REG y VAL POE - AESR - ESR'!AP1729</f>
        <v>0</v>
      </c>
      <c r="ASQ23" s="28">
        <f>'REG y VAL POE - AESR - ESR'!AQ1729</f>
        <v>0</v>
      </c>
      <c r="ASR23" s="29">
        <f>'REG y VAL POE - AESR - ESR'!AR1729</f>
        <v>0</v>
      </c>
      <c r="ASS23" s="29">
        <f>'REG y VAL POE - AESR - ESR'!AS1729</f>
        <v>0</v>
      </c>
      <c r="AST23" s="29" t="str">
        <f>'REG y VAL POE - AESR - ESR'!B1730</f>
        <v xml:space="preserve">Guexpal Arana Ramon Efren </v>
      </c>
      <c r="ASU23" s="28" t="str">
        <f>'REG y VAL POE - AESR - ESR'!C1730</f>
        <v>Sin Registro</v>
      </c>
      <c r="ASV23" s="29">
        <f>'REG y VAL POE - AESR - ESR'!D1730</f>
        <v>23021021</v>
      </c>
      <c r="ASW23" s="29" t="str">
        <f>'REG y VAL POE - AESR - ESR'!E1730</f>
        <v xml:space="preserve">Guexpal Arana Ramon Efren </v>
      </c>
      <c r="ASX23" s="28">
        <f>'REG y VAL POE - AESR - ESR'!F1730</f>
        <v>23021021</v>
      </c>
      <c r="ASY23" s="29">
        <f>'REG y VAL POE - AESR - ESR'!G1730</f>
        <v>0</v>
      </c>
      <c r="ASZ23" s="30">
        <f>'REG y VAL POE - AESR - ESR'!H1730</f>
        <v>0</v>
      </c>
      <c r="ATA23" s="28">
        <f>'REG y VAL POE - AESR - ESR'!I1730</f>
        <v>0</v>
      </c>
      <c r="ATB23" s="29">
        <f>'REG y VAL POE - AESR - ESR'!J1730</f>
        <v>0</v>
      </c>
      <c r="ATC23" s="29">
        <f>'REG y VAL POE - AESR - ESR'!K1730</f>
        <v>0</v>
      </c>
      <c r="ATD23" s="29">
        <f>'REG y VAL POE - AESR - ESR'!L1730</f>
        <v>0</v>
      </c>
      <c r="ATE23" s="28">
        <f>'REG y VAL POE - AESR - ESR'!M1730</f>
        <v>0</v>
      </c>
      <c r="ATF23" s="29">
        <f>'REG y VAL POE - AESR - ESR'!N1730</f>
        <v>0</v>
      </c>
      <c r="ATG23" s="29">
        <f>'REG y VAL POE - AESR - ESR'!O1730</f>
        <v>0</v>
      </c>
      <c r="ATH23" s="29">
        <f>'REG y VAL POE - AESR - ESR'!P1730</f>
        <v>0</v>
      </c>
      <c r="ATI23" s="29">
        <f>'REG y VAL POE - AESR - ESR'!Q1730</f>
        <v>0</v>
      </c>
      <c r="ATJ23" s="29">
        <f>'REG y VAL POE - AESR - ESR'!R1730</f>
        <v>0</v>
      </c>
      <c r="ATK23" s="28">
        <f>'REG y VAL POE - AESR - ESR'!S1730</f>
        <v>0</v>
      </c>
      <c r="ATL23" s="29">
        <f>'REG y VAL POE - AESR - ESR'!T1730</f>
        <v>0</v>
      </c>
      <c r="ATM23" s="29">
        <f>'REG y VAL POE - AESR - ESR'!U1730</f>
        <v>0</v>
      </c>
      <c r="ATN23" s="28">
        <f>'REG y VAL POE - AESR - ESR'!V1730</f>
        <v>0</v>
      </c>
      <c r="ATO23" s="29">
        <f>'REG y VAL POE - AESR - ESR'!W1730</f>
        <v>0</v>
      </c>
      <c r="ATP23" s="30">
        <f>'REG y VAL POE - AESR - ESR'!X1730</f>
        <v>0</v>
      </c>
      <c r="ATQ23" s="28">
        <f>'REG y VAL POE - AESR - ESR'!Y1730</f>
        <v>0</v>
      </c>
      <c r="ATR23" s="29">
        <f>'REG y VAL POE - AESR - ESR'!Z1730</f>
        <v>0</v>
      </c>
      <c r="ATS23" s="29">
        <f>'REG y VAL POE - AESR - ESR'!AA1730</f>
        <v>0</v>
      </c>
      <c r="ATT23" s="29">
        <f>'REG y VAL POE - AESR - ESR'!AB1730</f>
        <v>0</v>
      </c>
      <c r="ATU23" s="28">
        <f>'REG y VAL POE - AESR - ESR'!AC1730</f>
        <v>0</v>
      </c>
      <c r="ATV23" s="29">
        <f>'REG y VAL POE - AESR - ESR'!AD1730</f>
        <v>0</v>
      </c>
      <c r="ATW23" s="29">
        <f>'REG y VAL POE - AESR - ESR'!AE1730</f>
        <v>0</v>
      </c>
      <c r="ATX23" s="28">
        <f>'REG y VAL POE - AESR - ESR'!AF1730</f>
        <v>0</v>
      </c>
      <c r="ATY23" s="29">
        <f>'REG y VAL POE - AESR - ESR'!AG1730</f>
        <v>0</v>
      </c>
      <c r="ATZ23" s="30">
        <f>'REG y VAL POE - AESR - ESR'!AH1730</f>
        <v>0</v>
      </c>
      <c r="AUA23" s="28">
        <f>'REG y VAL POE - AESR - ESR'!AI1730</f>
        <v>0</v>
      </c>
      <c r="AUB23" s="29">
        <f>'REG y VAL POE - AESR - ESR'!AJ1730</f>
        <v>0</v>
      </c>
      <c r="AUC23" s="29">
        <f>'REG y VAL POE - AESR - ESR'!AK1730</f>
        <v>0</v>
      </c>
      <c r="AUD23" s="29">
        <f>'REG y VAL POE - AESR - ESR'!AL1730</f>
        <v>0</v>
      </c>
      <c r="AUE23" s="28">
        <f>'REG y VAL POE - AESR - ESR'!AM1730</f>
        <v>0</v>
      </c>
      <c r="AUF23" s="29">
        <f>'REG y VAL POE - AESR - ESR'!AN1730</f>
        <v>0</v>
      </c>
      <c r="AUG23" s="29">
        <f>'REG y VAL POE - AESR - ESR'!AO1730</f>
        <v>0</v>
      </c>
      <c r="AUH23" s="29">
        <f>'REG y VAL POE - AESR - ESR'!AP1730</f>
        <v>0</v>
      </c>
      <c r="AUI23" s="29">
        <f>'REG y VAL POE - AESR - ESR'!AQ1730</f>
        <v>0</v>
      </c>
      <c r="AUJ23" s="29">
        <f>'REG y VAL POE - AESR - ESR'!AR1730</f>
        <v>0</v>
      </c>
      <c r="AUK23" s="28">
        <f>'REG y VAL POE - AESR - ESR'!AS1730</f>
        <v>0</v>
      </c>
      <c r="AUL23" s="29" t="str">
        <f>'REG y VAL POE - AESR - ESR'!B1731</f>
        <v xml:space="preserve">Guzman Gomez Sergio Maximiliano </v>
      </c>
      <c r="AUM23" s="29" t="str">
        <f>'REG y VAL POE - AESR - ESR'!C1731</f>
        <v>Sin Registro</v>
      </c>
      <c r="AUN23" s="28">
        <f>'REG y VAL POE - AESR - ESR'!D1731</f>
        <v>23198209</v>
      </c>
      <c r="AUO23" s="29" t="str">
        <f>'REG y VAL POE - AESR - ESR'!E1731</f>
        <v xml:space="preserve">Guzman Gomez Sergio Maximiliano </v>
      </c>
      <c r="AUP23" s="30">
        <f>'REG y VAL POE - AESR - ESR'!F1731</f>
        <v>23198209</v>
      </c>
      <c r="AUQ23" s="28">
        <f>'REG y VAL POE - AESR - ESR'!G1731</f>
        <v>0</v>
      </c>
      <c r="AUR23" s="29">
        <f>'REG y VAL POE - AESR - ESR'!H1731</f>
        <v>0</v>
      </c>
      <c r="AUS23" s="29">
        <f>'REG y VAL POE - AESR - ESR'!I1731</f>
        <v>0</v>
      </c>
      <c r="AUT23" s="29">
        <f>'REG y VAL POE - AESR - ESR'!J1731</f>
        <v>0</v>
      </c>
      <c r="AUU23" s="28">
        <f>'REG y VAL POE - AESR - ESR'!K1731</f>
        <v>0</v>
      </c>
      <c r="AUV23" s="29">
        <f>'REG y VAL POE - AESR - ESR'!L1731</f>
        <v>0</v>
      </c>
      <c r="AUW23" s="29">
        <f>'REG y VAL POE - AESR - ESR'!M1731</f>
        <v>0</v>
      </c>
      <c r="AUX23" s="28">
        <f>'REG y VAL POE - AESR - ESR'!N1731</f>
        <v>0</v>
      </c>
      <c r="AUY23" s="29">
        <f>'REG y VAL POE - AESR - ESR'!O1731</f>
        <v>0</v>
      </c>
      <c r="AUZ23" s="30">
        <f>'REG y VAL POE - AESR - ESR'!P1731</f>
        <v>0</v>
      </c>
      <c r="AVA23" s="28">
        <f>'REG y VAL POE - AESR - ESR'!Q1731</f>
        <v>0</v>
      </c>
      <c r="AVB23" s="29">
        <f>'REG y VAL POE - AESR - ESR'!R1731</f>
        <v>0</v>
      </c>
      <c r="AVC23" s="29">
        <f>'REG y VAL POE - AESR - ESR'!S1731</f>
        <v>0</v>
      </c>
      <c r="AVD23" s="29">
        <f>'REG y VAL POE - AESR - ESR'!T1731</f>
        <v>0</v>
      </c>
      <c r="AVE23" s="28">
        <f>'REG y VAL POE - AESR - ESR'!U1731</f>
        <v>0</v>
      </c>
      <c r="AVF23" s="29">
        <f>'REG y VAL POE - AESR - ESR'!V1731</f>
        <v>0</v>
      </c>
      <c r="AVG23" s="29">
        <f>'REG y VAL POE - AESR - ESR'!W1731</f>
        <v>0</v>
      </c>
      <c r="AVH23" s="29">
        <f>'REG y VAL POE - AESR - ESR'!X1731</f>
        <v>0</v>
      </c>
      <c r="AVI23" s="29">
        <f>'REG y VAL POE - AESR - ESR'!Y1731</f>
        <v>0</v>
      </c>
      <c r="AVJ23" s="29">
        <f>'REG y VAL POE - AESR - ESR'!Z1731</f>
        <v>0</v>
      </c>
      <c r="AVK23" s="28">
        <f>'REG y VAL POE - AESR - ESR'!AA1731</f>
        <v>0</v>
      </c>
      <c r="AVL23" s="29">
        <f>'REG y VAL POE - AESR - ESR'!AB1731</f>
        <v>0</v>
      </c>
      <c r="AVM23" s="29">
        <f>'REG y VAL POE - AESR - ESR'!AC1731</f>
        <v>0</v>
      </c>
      <c r="AVN23" s="28">
        <f>'REG y VAL POE - AESR - ESR'!AD1731</f>
        <v>0</v>
      </c>
      <c r="AVO23" s="29">
        <f>'REG y VAL POE - AESR - ESR'!AE1731</f>
        <v>0</v>
      </c>
      <c r="AVP23" s="30">
        <f>'REG y VAL POE - AESR - ESR'!AF1731</f>
        <v>0</v>
      </c>
      <c r="AVQ23" s="28">
        <f>'REG y VAL POE - AESR - ESR'!AG1731</f>
        <v>0</v>
      </c>
      <c r="AVR23" s="29">
        <f>'REG y VAL POE - AESR - ESR'!AH1731</f>
        <v>0</v>
      </c>
      <c r="AVS23" s="29">
        <f>'REG y VAL POE - AESR - ESR'!AI1731</f>
        <v>0</v>
      </c>
      <c r="AVT23" s="29">
        <f>'REG y VAL POE - AESR - ESR'!AJ1731</f>
        <v>0</v>
      </c>
      <c r="AVU23" s="28">
        <f>'REG y VAL POE - AESR - ESR'!AK1731</f>
        <v>0</v>
      </c>
      <c r="AVV23" s="29">
        <f>'REG y VAL POE - AESR - ESR'!AL1731</f>
        <v>0</v>
      </c>
      <c r="AVW23" s="29">
        <f>'REG y VAL POE - AESR - ESR'!AM1731</f>
        <v>0</v>
      </c>
      <c r="AVX23" s="28">
        <f>'REG y VAL POE - AESR - ESR'!AN1731</f>
        <v>0</v>
      </c>
      <c r="AVY23" s="29">
        <f>'REG y VAL POE - AESR - ESR'!AO1731</f>
        <v>0</v>
      </c>
      <c r="AVZ23" s="30">
        <f>'REG y VAL POE - AESR - ESR'!AP1731</f>
        <v>0</v>
      </c>
      <c r="AWA23" s="28">
        <f>'REG y VAL POE - AESR - ESR'!AQ1731</f>
        <v>0</v>
      </c>
      <c r="AWB23" s="29">
        <f>'REG y VAL POE - AESR - ESR'!AR1731</f>
        <v>0</v>
      </c>
      <c r="AWC23" s="29">
        <f>'REG y VAL POE - AESR - ESR'!AS1731</f>
        <v>0</v>
      </c>
      <c r="AWD23" s="29" t="str">
        <f>'REG y VAL POE - AESR - ESR'!B1732</f>
        <v xml:space="preserve">Hernandez Hernandez Veronica Natali </v>
      </c>
      <c r="AWE23" s="28" t="str">
        <f>'REG y VAL POE - AESR - ESR'!C1732</f>
        <v>Sin Registro</v>
      </c>
      <c r="AWF23" s="29">
        <f>'REG y VAL POE - AESR - ESR'!D1732</f>
        <v>23212994</v>
      </c>
      <c r="AWG23" s="29" t="str">
        <f>'REG y VAL POE - AESR - ESR'!E1732</f>
        <v xml:space="preserve">Hernandez Hernandez Veronica Natali </v>
      </c>
      <c r="AWH23" s="29">
        <f>'REG y VAL POE - AESR - ESR'!F1732</f>
        <v>23212994</v>
      </c>
      <c r="AWI23" s="29">
        <f>'REG y VAL POE - AESR - ESR'!G1732</f>
        <v>0</v>
      </c>
      <c r="AWJ23" s="29">
        <f>'REG y VAL POE - AESR - ESR'!H1732</f>
        <v>0</v>
      </c>
      <c r="AWK23" s="28">
        <f>'REG y VAL POE - AESR - ESR'!I1732</f>
        <v>0</v>
      </c>
      <c r="AWL23" s="29">
        <f>'REG y VAL POE - AESR - ESR'!J1732</f>
        <v>0</v>
      </c>
      <c r="AWM23" s="29">
        <f>'REG y VAL POE - AESR - ESR'!K1732</f>
        <v>0</v>
      </c>
      <c r="AWN23" s="28">
        <f>'REG y VAL POE - AESR - ESR'!L1732</f>
        <v>0</v>
      </c>
      <c r="AWO23" s="29">
        <f>'REG y VAL POE - AESR - ESR'!M1732</f>
        <v>0</v>
      </c>
      <c r="AWP23" s="30">
        <f>'REG y VAL POE - AESR - ESR'!N1732</f>
        <v>0</v>
      </c>
      <c r="AWQ23" s="28">
        <f>'REG y VAL POE - AESR - ESR'!O1732</f>
        <v>0</v>
      </c>
      <c r="AWR23" s="29">
        <f>'REG y VAL POE - AESR - ESR'!P1732</f>
        <v>0</v>
      </c>
      <c r="AWS23" s="29">
        <f>'REG y VAL POE - AESR - ESR'!Q1732</f>
        <v>0</v>
      </c>
      <c r="AWT23" s="29">
        <f>'REG y VAL POE - AESR - ESR'!R1732</f>
        <v>0</v>
      </c>
      <c r="AWU23" s="28">
        <f>'REG y VAL POE - AESR - ESR'!S1732</f>
        <v>0</v>
      </c>
      <c r="AWV23" s="29">
        <f>'REG y VAL POE - AESR - ESR'!T1732</f>
        <v>0</v>
      </c>
      <c r="AWW23" s="29">
        <f>'REG y VAL POE - AESR - ESR'!U1732</f>
        <v>0</v>
      </c>
      <c r="AWX23" s="28">
        <f>'REG y VAL POE - AESR - ESR'!V1732</f>
        <v>0</v>
      </c>
      <c r="AWY23" s="29">
        <f>'REG y VAL POE - AESR - ESR'!W1732</f>
        <v>0</v>
      </c>
      <c r="AWZ23" s="30">
        <f>'REG y VAL POE - AESR - ESR'!X1732</f>
        <v>0</v>
      </c>
      <c r="AXA23" s="28">
        <f>'REG y VAL POE - AESR - ESR'!Y1732</f>
        <v>0</v>
      </c>
      <c r="AXB23" s="29">
        <f>'REG y VAL POE - AESR - ESR'!Z1732</f>
        <v>0</v>
      </c>
      <c r="AXC23" s="29">
        <f>'REG y VAL POE - AESR - ESR'!AA1732</f>
        <v>0</v>
      </c>
      <c r="AXD23" s="29">
        <f>'REG y VAL POE - AESR - ESR'!AB1732</f>
        <v>0</v>
      </c>
      <c r="AXE23" s="28">
        <f>'REG y VAL POE - AESR - ESR'!AC1732</f>
        <v>0</v>
      </c>
      <c r="AXF23" s="29">
        <f>'REG y VAL POE - AESR - ESR'!AD1732</f>
        <v>0</v>
      </c>
      <c r="AXG23" s="29">
        <f>'REG y VAL POE - AESR - ESR'!AE1732</f>
        <v>0</v>
      </c>
      <c r="AXH23" s="29">
        <f>'REG y VAL POE - AESR - ESR'!AF1732</f>
        <v>0</v>
      </c>
      <c r="AXI23" s="29">
        <f>'REG y VAL POE - AESR - ESR'!AG1732</f>
        <v>0</v>
      </c>
      <c r="AXJ23" s="29">
        <f>'REG y VAL POE - AESR - ESR'!AH1732</f>
        <v>0</v>
      </c>
      <c r="AXK23" s="28">
        <f>'REG y VAL POE - AESR - ESR'!AI1732</f>
        <v>0</v>
      </c>
      <c r="AXL23" s="29">
        <f>'REG y VAL POE - AESR - ESR'!AJ1732</f>
        <v>0</v>
      </c>
      <c r="AXM23" s="29">
        <f>'REG y VAL POE - AESR - ESR'!AK1732</f>
        <v>0</v>
      </c>
      <c r="AXN23" s="28">
        <f>'REG y VAL POE - AESR - ESR'!AL1732</f>
        <v>0</v>
      </c>
      <c r="AXO23" s="29">
        <f>'REG y VAL POE - AESR - ESR'!AM1732</f>
        <v>0</v>
      </c>
      <c r="AXP23" s="30">
        <f>'REG y VAL POE - AESR - ESR'!AN1732</f>
        <v>0</v>
      </c>
      <c r="AXQ23" s="28">
        <f>'REG y VAL POE - AESR - ESR'!AO1732</f>
        <v>0</v>
      </c>
      <c r="AXR23" s="29">
        <f>'REG y VAL POE - AESR - ESR'!AP1732</f>
        <v>0</v>
      </c>
      <c r="AXS23" s="29">
        <f>'REG y VAL POE - AESR - ESR'!AQ1732</f>
        <v>0</v>
      </c>
      <c r="AXT23" s="29">
        <f>'REG y VAL POE - AESR - ESR'!AR1732</f>
        <v>0</v>
      </c>
      <c r="AXU23" s="28">
        <f>'REG y VAL POE - AESR - ESR'!AS1732</f>
        <v>0</v>
      </c>
      <c r="AXV23" s="29" t="str">
        <f>'REG y VAL POE - AESR - ESR'!B1733</f>
        <v xml:space="preserve">Hernandez Ramirez Myriam Esmeralda </v>
      </c>
      <c r="AXW23" s="29" t="str">
        <f>'REG y VAL POE - AESR - ESR'!C1733</f>
        <v>Sin Registro</v>
      </c>
      <c r="AXX23" s="28">
        <f>'REG y VAL POE - AESR - ESR'!D1733</f>
        <v>23054703</v>
      </c>
      <c r="AXY23" s="29" t="str">
        <f>'REG y VAL POE - AESR - ESR'!E1733</f>
        <v xml:space="preserve">Hernandez Ramirez Myriam Esmeralda </v>
      </c>
      <c r="AXZ23" s="30">
        <f>'REG y VAL POE - AESR - ESR'!F1733</f>
        <v>23054703</v>
      </c>
      <c r="AYA23" s="28">
        <f>'REG y VAL POE - AESR - ESR'!G1733</f>
        <v>0</v>
      </c>
      <c r="AYB23" s="29">
        <f>'REG y VAL POE - AESR - ESR'!H1733</f>
        <v>0</v>
      </c>
      <c r="AYC23" s="29">
        <f>'REG y VAL POE - AESR - ESR'!I1733</f>
        <v>0</v>
      </c>
      <c r="AYD23" s="29">
        <f>'REG y VAL POE - AESR - ESR'!J1733</f>
        <v>0</v>
      </c>
      <c r="AYE23" s="28">
        <f>'REG y VAL POE - AESR - ESR'!K1733</f>
        <v>0</v>
      </c>
      <c r="AYF23" s="29">
        <f>'REG y VAL POE - AESR - ESR'!L1733</f>
        <v>0</v>
      </c>
      <c r="AYG23" s="29">
        <f>'REG y VAL POE - AESR - ESR'!M1733</f>
        <v>0</v>
      </c>
      <c r="AYH23" s="29">
        <f>'REG y VAL POE - AESR - ESR'!N1733</f>
        <v>0</v>
      </c>
      <c r="AYI23" s="29">
        <f>'REG y VAL POE - AESR - ESR'!O1733</f>
        <v>0</v>
      </c>
      <c r="AYJ23" s="29">
        <f>'REG y VAL POE - AESR - ESR'!P1733</f>
        <v>0</v>
      </c>
      <c r="AYK23" s="28">
        <f>'REG y VAL POE - AESR - ESR'!Q1733</f>
        <v>0</v>
      </c>
      <c r="AYL23" s="29">
        <f>'REG y VAL POE - AESR - ESR'!R1733</f>
        <v>0</v>
      </c>
      <c r="AYM23" s="29">
        <f>'REG y VAL POE - AESR - ESR'!S1733</f>
        <v>0</v>
      </c>
      <c r="AYN23" s="28">
        <f>'REG y VAL POE - AESR - ESR'!T1733</f>
        <v>0</v>
      </c>
      <c r="AYO23" s="29">
        <f>'REG y VAL POE - AESR - ESR'!U1733</f>
        <v>0</v>
      </c>
      <c r="AYP23" s="30">
        <f>'REG y VAL POE - AESR - ESR'!V1733</f>
        <v>0</v>
      </c>
      <c r="AYQ23" s="28">
        <f>'REG y VAL POE - AESR - ESR'!W1733</f>
        <v>0</v>
      </c>
      <c r="AYR23" s="29">
        <f>'REG y VAL POE - AESR - ESR'!X1733</f>
        <v>0</v>
      </c>
      <c r="AYS23" s="29">
        <f>'REG y VAL POE - AESR - ESR'!Y1733</f>
        <v>0</v>
      </c>
      <c r="AYT23" s="29">
        <f>'REG y VAL POE - AESR - ESR'!Z1733</f>
        <v>0</v>
      </c>
      <c r="AYU23" s="28">
        <f>'REG y VAL POE - AESR - ESR'!AA1733</f>
        <v>0</v>
      </c>
      <c r="AYV23" s="29">
        <f>'REG y VAL POE - AESR - ESR'!AB1733</f>
        <v>0</v>
      </c>
      <c r="AYW23" s="29">
        <f>'REG y VAL POE - AESR - ESR'!AC1733</f>
        <v>0</v>
      </c>
      <c r="AYX23" s="28">
        <f>'REG y VAL POE - AESR - ESR'!AD1733</f>
        <v>0</v>
      </c>
      <c r="AYY23" s="29">
        <f>'REG y VAL POE - AESR - ESR'!AE1733</f>
        <v>0</v>
      </c>
      <c r="AYZ23" s="30">
        <f>'REG y VAL POE - AESR - ESR'!AF1733</f>
        <v>0</v>
      </c>
      <c r="AZA23" s="28">
        <f>'REG y VAL POE - AESR - ESR'!AG1733</f>
        <v>0</v>
      </c>
      <c r="AZB23" s="29">
        <f>'REG y VAL POE - AESR - ESR'!AH1733</f>
        <v>0</v>
      </c>
      <c r="AZC23" s="29">
        <f>'REG y VAL POE - AESR - ESR'!AI1733</f>
        <v>0</v>
      </c>
      <c r="AZD23" s="29">
        <f>'REG y VAL POE - AESR - ESR'!AJ1733</f>
        <v>0</v>
      </c>
      <c r="AZE23" s="28">
        <f>'REG y VAL POE - AESR - ESR'!AK1733</f>
        <v>0</v>
      </c>
      <c r="AZF23" s="29">
        <f>'REG y VAL POE - AESR - ESR'!AL1733</f>
        <v>0</v>
      </c>
      <c r="AZG23" s="29">
        <f>'REG y VAL POE - AESR - ESR'!AM1733</f>
        <v>0</v>
      </c>
      <c r="AZH23" s="29">
        <f>'REG y VAL POE - AESR - ESR'!AN1733</f>
        <v>0</v>
      </c>
      <c r="AZI23" s="29">
        <f>'REG y VAL POE - AESR - ESR'!AO1733</f>
        <v>0</v>
      </c>
      <c r="AZJ23" s="29">
        <f>'REG y VAL POE - AESR - ESR'!AP1733</f>
        <v>0</v>
      </c>
      <c r="AZK23" s="28">
        <f>'REG y VAL POE - AESR - ESR'!AQ1733</f>
        <v>0</v>
      </c>
      <c r="AZL23" s="29">
        <f>'REG y VAL POE - AESR - ESR'!AR1733</f>
        <v>0</v>
      </c>
      <c r="AZM23" s="29">
        <f>'REG y VAL POE - AESR - ESR'!AS1733</f>
        <v>0</v>
      </c>
      <c r="AZN23" s="28" t="str">
        <f>'REG y VAL POE - AESR - ESR'!B1734</f>
        <v xml:space="preserve">Hernandez Ruiz Ivan Erick </v>
      </c>
      <c r="AZO23" s="29" t="str">
        <f>'REG y VAL POE - AESR - ESR'!C1734</f>
        <v>Sin Registro</v>
      </c>
      <c r="AZP23" s="30">
        <f>'REG y VAL POE - AESR - ESR'!D1734</f>
        <v>23163350</v>
      </c>
      <c r="AZQ23" s="28" t="str">
        <f>'REG y VAL POE - AESR - ESR'!E1734</f>
        <v xml:space="preserve">Hernandez Ruiz Ivan Erick </v>
      </c>
      <c r="AZR23" s="29">
        <f>'REG y VAL POE - AESR - ESR'!F1734</f>
        <v>23163350</v>
      </c>
      <c r="AZS23" s="29">
        <f>'REG y VAL POE - AESR - ESR'!G1734</f>
        <v>0</v>
      </c>
      <c r="AZT23" s="29">
        <f>'REG y VAL POE - AESR - ESR'!H1734</f>
        <v>0</v>
      </c>
      <c r="AZU23" s="28">
        <f>'REG y VAL POE - AESR - ESR'!I1734</f>
        <v>0</v>
      </c>
      <c r="AZV23" s="29">
        <f>'REG y VAL POE - AESR - ESR'!J1734</f>
        <v>0</v>
      </c>
      <c r="AZW23" s="29">
        <f>'REG y VAL POE - AESR - ESR'!K1734</f>
        <v>0</v>
      </c>
      <c r="AZX23" s="28">
        <f>'REG y VAL POE - AESR - ESR'!L1734</f>
        <v>0</v>
      </c>
      <c r="AZY23" s="29">
        <f>'REG y VAL POE - AESR - ESR'!M1734</f>
        <v>0</v>
      </c>
      <c r="AZZ23" s="30">
        <f>'REG y VAL POE - AESR - ESR'!N1734</f>
        <v>0</v>
      </c>
      <c r="BAA23" s="28">
        <f>'REG y VAL POE - AESR - ESR'!O1734</f>
        <v>0</v>
      </c>
      <c r="BAB23" s="29">
        <f>'REG y VAL POE - AESR - ESR'!P1734</f>
        <v>0</v>
      </c>
      <c r="BAC23" s="29">
        <f>'REG y VAL POE - AESR - ESR'!Q1734</f>
        <v>0</v>
      </c>
      <c r="BAD23" s="29">
        <f>'REG y VAL POE - AESR - ESR'!R1734</f>
        <v>0</v>
      </c>
      <c r="BAE23" s="28">
        <f>'REG y VAL POE - AESR - ESR'!S1734</f>
        <v>0</v>
      </c>
      <c r="BAF23" s="29">
        <f>'REG y VAL POE - AESR - ESR'!T1734</f>
        <v>0</v>
      </c>
      <c r="BAG23" s="29">
        <f>'REG y VAL POE - AESR - ESR'!U1734</f>
        <v>0</v>
      </c>
      <c r="BAH23" s="29">
        <f>'REG y VAL POE - AESR - ESR'!V1734</f>
        <v>0</v>
      </c>
      <c r="BAI23" s="29">
        <f>'REG y VAL POE - AESR - ESR'!W1734</f>
        <v>0</v>
      </c>
      <c r="BAJ23" s="29">
        <f>'REG y VAL POE - AESR - ESR'!X1734</f>
        <v>0</v>
      </c>
      <c r="BAK23" s="28">
        <f>'REG y VAL POE - AESR - ESR'!Y1734</f>
        <v>0</v>
      </c>
      <c r="BAL23" s="29">
        <f>'REG y VAL POE - AESR - ESR'!Z1734</f>
        <v>0</v>
      </c>
      <c r="BAM23" s="29">
        <f>'REG y VAL POE - AESR - ESR'!AA1734</f>
        <v>0</v>
      </c>
      <c r="BAN23" s="28">
        <f>'REG y VAL POE - AESR - ESR'!AB1734</f>
        <v>0</v>
      </c>
      <c r="BAO23" s="29">
        <f>'REG y VAL POE - AESR - ESR'!AC1734</f>
        <v>0</v>
      </c>
      <c r="BAP23" s="30">
        <f>'REG y VAL POE - AESR - ESR'!AD1734</f>
        <v>0</v>
      </c>
      <c r="BAQ23" s="28">
        <f>'REG y VAL POE - AESR - ESR'!AE1734</f>
        <v>0</v>
      </c>
      <c r="BAR23" s="29">
        <f>'REG y VAL POE - AESR - ESR'!AF1734</f>
        <v>0</v>
      </c>
      <c r="BAS23" s="29">
        <f>'REG y VAL POE - AESR - ESR'!AG1734</f>
        <v>0</v>
      </c>
      <c r="BAT23" s="29">
        <f>'REG y VAL POE - AESR - ESR'!AH1734</f>
        <v>0</v>
      </c>
      <c r="BAU23" s="28">
        <f>'REG y VAL POE - AESR - ESR'!AI1734</f>
        <v>0</v>
      </c>
      <c r="BAV23" s="29">
        <f>'REG y VAL POE - AESR - ESR'!AJ1734</f>
        <v>0</v>
      </c>
      <c r="BAW23" s="29">
        <f>'REG y VAL POE - AESR - ESR'!AK1734</f>
        <v>0</v>
      </c>
      <c r="BAX23" s="28">
        <f>'REG y VAL POE - AESR - ESR'!AL1734</f>
        <v>0</v>
      </c>
      <c r="BAY23" s="29">
        <f>'REG y VAL POE - AESR - ESR'!AM1734</f>
        <v>0</v>
      </c>
      <c r="BAZ23" s="30">
        <f>'REG y VAL POE - AESR - ESR'!AN1734</f>
        <v>0</v>
      </c>
      <c r="BBA23" s="28">
        <f>'REG y VAL POE - AESR - ESR'!AO1734</f>
        <v>0</v>
      </c>
      <c r="BBB23" s="29">
        <f>'REG y VAL POE - AESR - ESR'!AP1734</f>
        <v>0</v>
      </c>
      <c r="BBC23" s="29">
        <f>'REG y VAL POE - AESR - ESR'!AQ1734</f>
        <v>0</v>
      </c>
      <c r="BBD23" s="29">
        <f>'REG y VAL POE - AESR - ESR'!AR1734</f>
        <v>0</v>
      </c>
      <c r="BBE23" s="28">
        <f>'REG y VAL POE - AESR - ESR'!AS1734</f>
        <v>0</v>
      </c>
      <c r="BBF23" s="29" t="str">
        <f>'REG y VAL POE - AESR - ESR'!B1735</f>
        <v xml:space="preserve">Labra Vargas Erasmo Noe </v>
      </c>
      <c r="BBG23" s="29" t="str">
        <f>'REG y VAL POE - AESR - ESR'!C1735</f>
        <v>Sin Registro</v>
      </c>
      <c r="BBH23" s="29">
        <f>'REG y VAL POE - AESR - ESR'!D1735</f>
        <v>23163160</v>
      </c>
      <c r="BBI23" s="29" t="str">
        <f>'REG y VAL POE - AESR - ESR'!E1735</f>
        <v xml:space="preserve">Labra Vargas Erasmo Noe </v>
      </c>
      <c r="BBJ23" s="29">
        <f>'REG y VAL POE - AESR - ESR'!F1735</f>
        <v>23163160</v>
      </c>
      <c r="BBK23" s="28">
        <f>'REG y VAL POE - AESR - ESR'!G1735</f>
        <v>0</v>
      </c>
      <c r="BBL23" s="29">
        <f>'REG y VAL POE - AESR - ESR'!H1735</f>
        <v>0</v>
      </c>
      <c r="BBM23" s="29">
        <f>'REG y VAL POE - AESR - ESR'!I1735</f>
        <v>0</v>
      </c>
      <c r="BBN23" s="28">
        <f>'REG y VAL POE - AESR - ESR'!J1735</f>
        <v>0</v>
      </c>
      <c r="BBO23" s="29">
        <f>'REG y VAL POE - AESR - ESR'!K1735</f>
        <v>0</v>
      </c>
      <c r="BBP23" s="30">
        <f>'REG y VAL POE - AESR - ESR'!L1735</f>
        <v>0</v>
      </c>
      <c r="BBQ23" s="28">
        <f>'REG y VAL POE - AESR - ESR'!M1735</f>
        <v>0</v>
      </c>
      <c r="BBR23" s="29">
        <f>'REG y VAL POE - AESR - ESR'!N1735</f>
        <v>0</v>
      </c>
      <c r="BBS23" s="29">
        <f>'REG y VAL POE - AESR - ESR'!O1735</f>
        <v>0</v>
      </c>
      <c r="BBT23" s="29">
        <f>'REG y VAL POE - AESR - ESR'!P1735</f>
        <v>0</v>
      </c>
      <c r="BBU23" s="28">
        <f>'REG y VAL POE - AESR - ESR'!Q1735</f>
        <v>0</v>
      </c>
      <c r="BBV23" s="29">
        <f>'REG y VAL POE - AESR - ESR'!R1735</f>
        <v>0</v>
      </c>
      <c r="BBW23" s="29">
        <f>'REG y VAL POE - AESR - ESR'!S1735</f>
        <v>0</v>
      </c>
      <c r="BBX23" s="28">
        <f>'REG y VAL POE - AESR - ESR'!T1735</f>
        <v>0</v>
      </c>
      <c r="BBY23" s="29">
        <f>'REG y VAL POE - AESR - ESR'!U1735</f>
        <v>0</v>
      </c>
      <c r="BBZ23" s="30">
        <f>'REG y VAL POE - AESR - ESR'!V1735</f>
        <v>0</v>
      </c>
      <c r="BCA23" s="28">
        <f>'REG y VAL POE - AESR - ESR'!W1735</f>
        <v>0</v>
      </c>
      <c r="BCB23" s="29">
        <f>'REG y VAL POE - AESR - ESR'!X1735</f>
        <v>0</v>
      </c>
      <c r="BCC23" s="29">
        <f>'REG y VAL POE - AESR - ESR'!Y1735</f>
        <v>0</v>
      </c>
      <c r="BCD23" s="29">
        <f>'REG y VAL POE - AESR - ESR'!Z1735</f>
        <v>0</v>
      </c>
      <c r="BCE23" s="28">
        <f>'REG y VAL POE - AESR - ESR'!AA1735</f>
        <v>0</v>
      </c>
      <c r="BCF23" s="29">
        <f>'REG y VAL POE - AESR - ESR'!AB1735</f>
        <v>0</v>
      </c>
      <c r="BCG23" s="29">
        <f>'REG y VAL POE - AESR - ESR'!AC1735</f>
        <v>0</v>
      </c>
      <c r="BCH23" s="29">
        <f>'REG y VAL POE - AESR - ESR'!AD1735</f>
        <v>0</v>
      </c>
      <c r="BCI23" s="29">
        <f>'REG y VAL POE - AESR - ESR'!AE1735</f>
        <v>0</v>
      </c>
      <c r="BCJ23" s="29">
        <f>'REG y VAL POE - AESR - ESR'!AF1735</f>
        <v>0</v>
      </c>
      <c r="BCK23" s="28">
        <f>'REG y VAL POE - AESR - ESR'!AG1735</f>
        <v>0</v>
      </c>
      <c r="BCL23" s="29">
        <f>'REG y VAL POE - AESR - ESR'!AH1735</f>
        <v>0</v>
      </c>
      <c r="BCM23" s="29">
        <f>'REG y VAL POE - AESR - ESR'!AI1735</f>
        <v>0</v>
      </c>
      <c r="BCN23" s="28">
        <f>'REG y VAL POE - AESR - ESR'!AJ1735</f>
        <v>0</v>
      </c>
      <c r="BCO23" s="29">
        <f>'REG y VAL POE - AESR - ESR'!AK1735</f>
        <v>0</v>
      </c>
      <c r="BCP23" s="30">
        <f>'REG y VAL POE - AESR - ESR'!AL1735</f>
        <v>0</v>
      </c>
      <c r="BCQ23" s="28">
        <f>'REG y VAL POE - AESR - ESR'!AM1735</f>
        <v>0</v>
      </c>
      <c r="BCR23" s="29">
        <f>'REG y VAL POE - AESR - ESR'!AN1735</f>
        <v>0</v>
      </c>
      <c r="BCS23" s="29">
        <f>'REG y VAL POE - AESR - ESR'!AO1735</f>
        <v>0</v>
      </c>
      <c r="BCT23" s="29">
        <f>'REG y VAL POE - AESR - ESR'!AP1735</f>
        <v>0</v>
      </c>
      <c r="BCU23" s="28">
        <f>'REG y VAL POE - AESR - ESR'!AQ1735</f>
        <v>0</v>
      </c>
      <c r="BCV23" s="29">
        <f>'REG y VAL POE - AESR - ESR'!AR1735</f>
        <v>0</v>
      </c>
      <c r="BCW23" s="29">
        <f>'REG y VAL POE - AESR - ESR'!AS1735</f>
        <v>0</v>
      </c>
      <c r="BCX23" s="28" t="str">
        <f>'REG y VAL POE - AESR - ESR'!B1736</f>
        <v xml:space="preserve">Lopez Galvez Esmeralda Del Rosio </v>
      </c>
      <c r="BCY23" s="29" t="str">
        <f>'REG y VAL POE - AESR - ESR'!C1736</f>
        <v>Sin Registro</v>
      </c>
      <c r="BCZ23" s="30">
        <f>'REG y VAL POE - AESR - ESR'!D1736</f>
        <v>23202830</v>
      </c>
      <c r="BDA23" s="28" t="str">
        <f>'REG y VAL POE - AESR - ESR'!E1736</f>
        <v xml:space="preserve">Lopez Galvez Esmeralda Del Rosio </v>
      </c>
      <c r="BDB23" s="29">
        <f>'REG y VAL POE - AESR - ESR'!F1736</f>
        <v>23202830</v>
      </c>
      <c r="BDC23" s="29">
        <f>'REG y VAL POE - AESR - ESR'!G1736</f>
        <v>0</v>
      </c>
      <c r="BDD23" s="29">
        <f>'REG y VAL POE - AESR - ESR'!H1736</f>
        <v>0</v>
      </c>
      <c r="BDE23" s="28">
        <f>'REG y VAL POE - AESR - ESR'!I1736</f>
        <v>0</v>
      </c>
      <c r="BDF23" s="29">
        <f>'REG y VAL POE - AESR - ESR'!J1736</f>
        <v>0</v>
      </c>
      <c r="BDG23" s="29">
        <f>'REG y VAL POE - AESR - ESR'!K1736</f>
        <v>0</v>
      </c>
      <c r="BDH23" s="29">
        <f>'REG y VAL POE - AESR - ESR'!L1736</f>
        <v>0</v>
      </c>
      <c r="BDI23" s="29">
        <f>'REG y VAL POE - AESR - ESR'!M1736</f>
        <v>0</v>
      </c>
      <c r="BDJ23" s="29">
        <f>'REG y VAL POE - AESR - ESR'!N1736</f>
        <v>0</v>
      </c>
      <c r="BDK23" s="28">
        <f>'REG y VAL POE - AESR - ESR'!O1736</f>
        <v>0</v>
      </c>
      <c r="BDL23" s="29">
        <f>'REG y VAL POE - AESR - ESR'!P1736</f>
        <v>0</v>
      </c>
      <c r="BDM23" s="29">
        <f>'REG y VAL POE - AESR - ESR'!Q1736</f>
        <v>0</v>
      </c>
      <c r="BDN23" s="28">
        <f>'REG y VAL POE - AESR - ESR'!R1736</f>
        <v>0</v>
      </c>
      <c r="BDO23" s="29">
        <f>'REG y VAL POE - AESR - ESR'!S1736</f>
        <v>0</v>
      </c>
      <c r="BDP23" s="30">
        <f>'REG y VAL POE - AESR - ESR'!T1736</f>
        <v>0</v>
      </c>
      <c r="BDQ23" s="28">
        <f>'REG y VAL POE - AESR - ESR'!U1736</f>
        <v>0</v>
      </c>
      <c r="BDR23" s="29">
        <f>'REG y VAL POE - AESR - ESR'!V1736</f>
        <v>0</v>
      </c>
      <c r="BDS23" s="29">
        <f>'REG y VAL POE - AESR - ESR'!W1736</f>
        <v>0</v>
      </c>
      <c r="BDT23" s="29">
        <f>'REG y VAL POE - AESR - ESR'!X1736</f>
        <v>0</v>
      </c>
      <c r="BDU23" s="28">
        <f>'REG y VAL POE - AESR - ESR'!Y1736</f>
        <v>0</v>
      </c>
      <c r="BDV23" s="29">
        <f>'REG y VAL POE - AESR - ESR'!Z1736</f>
        <v>0</v>
      </c>
      <c r="BDW23" s="29">
        <f>'REG y VAL POE - AESR - ESR'!AA1736</f>
        <v>0</v>
      </c>
      <c r="BDX23" s="28">
        <f>'REG y VAL POE - AESR - ESR'!AB1736</f>
        <v>0</v>
      </c>
      <c r="BDY23" s="29">
        <f>'REG y VAL POE - AESR - ESR'!AC1736</f>
        <v>0</v>
      </c>
      <c r="BDZ23" s="30">
        <f>'REG y VAL POE - AESR - ESR'!AD1736</f>
        <v>0</v>
      </c>
      <c r="BEA23" s="28">
        <f>'REG y VAL POE - AESR - ESR'!AE1736</f>
        <v>0</v>
      </c>
      <c r="BEB23" s="29">
        <f>'REG y VAL POE - AESR - ESR'!AF1736</f>
        <v>0</v>
      </c>
      <c r="BEC23" s="29">
        <f>'REG y VAL POE - AESR - ESR'!AG1736</f>
        <v>0</v>
      </c>
      <c r="BED23" s="29">
        <f>'REG y VAL POE - AESR - ESR'!AH1736</f>
        <v>0</v>
      </c>
      <c r="BEE23" s="28">
        <f>'REG y VAL POE - AESR - ESR'!AI1736</f>
        <v>0</v>
      </c>
      <c r="BEF23" s="29">
        <f>'REG y VAL POE - AESR - ESR'!AJ1736</f>
        <v>0</v>
      </c>
      <c r="BEG23" s="29">
        <f>'REG y VAL POE - AESR - ESR'!AK1736</f>
        <v>0</v>
      </c>
      <c r="BEH23" s="29">
        <f>'REG y VAL POE - AESR - ESR'!AL1736</f>
        <v>0</v>
      </c>
      <c r="BEI23" s="29">
        <f>'REG y VAL POE - AESR - ESR'!AM1736</f>
        <v>0</v>
      </c>
      <c r="BEJ23" s="29">
        <f>'REG y VAL POE - AESR - ESR'!AN1736</f>
        <v>0</v>
      </c>
      <c r="BEK23" s="28">
        <f>'REG y VAL POE - AESR - ESR'!AO1736</f>
        <v>0</v>
      </c>
      <c r="BEL23" s="29">
        <f>'REG y VAL POE - AESR - ESR'!AP1736</f>
        <v>0</v>
      </c>
      <c r="BEM23" s="29">
        <f>'REG y VAL POE - AESR - ESR'!AQ1736</f>
        <v>0</v>
      </c>
      <c r="BEN23" s="28">
        <f>'REG y VAL POE - AESR - ESR'!AR1736</f>
        <v>0</v>
      </c>
      <c r="BEO23" s="29">
        <f>'REG y VAL POE - AESR - ESR'!AS1736</f>
        <v>0</v>
      </c>
      <c r="BEP23" s="30" t="str">
        <f>'REG y VAL POE - AESR - ESR'!B1737</f>
        <v xml:space="preserve">Lopez Guillen Juan Carlos </v>
      </c>
      <c r="BEQ23" s="28" t="str">
        <f>'REG y VAL POE - AESR - ESR'!C1737</f>
        <v>Sin Registro</v>
      </c>
      <c r="BER23" s="29">
        <f>'REG y VAL POE - AESR - ESR'!D1737</f>
        <v>23020828</v>
      </c>
      <c r="BES23" s="29" t="str">
        <f>'REG y VAL POE - AESR - ESR'!E1737</f>
        <v xml:space="preserve">Lopez Guillen Juan Carlos </v>
      </c>
      <c r="BET23" s="29">
        <f>'REG y VAL POE - AESR - ESR'!F1737</f>
        <v>23020828</v>
      </c>
      <c r="BEU23" s="28">
        <f>'REG y VAL POE - AESR - ESR'!G1737</f>
        <v>0</v>
      </c>
      <c r="BEV23" s="29">
        <f>'REG y VAL POE - AESR - ESR'!H1737</f>
        <v>0</v>
      </c>
      <c r="BEW23" s="29">
        <f>'REG y VAL POE - AESR - ESR'!I1737</f>
        <v>0</v>
      </c>
      <c r="BEX23" s="28">
        <f>'REG y VAL POE - AESR - ESR'!J1737</f>
        <v>0</v>
      </c>
      <c r="BEY23" s="29">
        <f>'REG y VAL POE - AESR - ESR'!K1737</f>
        <v>0</v>
      </c>
      <c r="BEZ23" s="30">
        <f>'REG y VAL POE - AESR - ESR'!L1737</f>
        <v>0</v>
      </c>
      <c r="BFA23" s="28">
        <f>'REG y VAL POE - AESR - ESR'!M1737</f>
        <v>0</v>
      </c>
      <c r="BFB23" s="29">
        <f>'REG y VAL POE - AESR - ESR'!N1737</f>
        <v>0</v>
      </c>
      <c r="BFC23" s="29">
        <f>'REG y VAL POE - AESR - ESR'!O1737</f>
        <v>0</v>
      </c>
      <c r="BFD23" s="29">
        <f>'REG y VAL POE - AESR - ESR'!P1737</f>
        <v>0</v>
      </c>
      <c r="BFE23" s="28">
        <f>'REG y VAL POE - AESR - ESR'!Q1737</f>
        <v>0</v>
      </c>
      <c r="BFF23" s="29">
        <f>'REG y VAL POE - AESR - ESR'!R1737</f>
        <v>0</v>
      </c>
      <c r="BFG23" s="29">
        <f>'REG y VAL POE - AESR - ESR'!S1737</f>
        <v>0</v>
      </c>
      <c r="BFH23" s="29">
        <f>'REG y VAL POE - AESR - ESR'!T1737</f>
        <v>0</v>
      </c>
      <c r="BFI23" s="29">
        <f>'REG y VAL POE - AESR - ESR'!U1737</f>
        <v>0</v>
      </c>
      <c r="BFJ23" s="29">
        <f>'REG y VAL POE - AESR - ESR'!V1737</f>
        <v>0</v>
      </c>
      <c r="BFK23" s="28">
        <f>'REG y VAL POE - AESR - ESR'!W1737</f>
        <v>0</v>
      </c>
      <c r="BFL23" s="29">
        <f>'REG y VAL POE - AESR - ESR'!X1737</f>
        <v>0</v>
      </c>
      <c r="BFM23" s="29">
        <f>'REG y VAL POE - AESR - ESR'!Y1737</f>
        <v>0</v>
      </c>
      <c r="BFN23" s="28">
        <f>'REG y VAL POE - AESR - ESR'!Z1737</f>
        <v>0</v>
      </c>
      <c r="BFO23" s="29">
        <f>'REG y VAL POE - AESR - ESR'!AA1737</f>
        <v>0</v>
      </c>
      <c r="BFP23" s="30">
        <f>'REG y VAL POE - AESR - ESR'!AB1737</f>
        <v>0</v>
      </c>
      <c r="BFQ23" s="28">
        <f>'REG y VAL POE - AESR - ESR'!AC1737</f>
        <v>0</v>
      </c>
      <c r="BFR23" s="29">
        <f>'REG y VAL POE - AESR - ESR'!AD1737</f>
        <v>0</v>
      </c>
      <c r="BFS23" s="29">
        <f>'REG y VAL POE - AESR - ESR'!AE1737</f>
        <v>0</v>
      </c>
      <c r="BFT23" s="29">
        <f>'REG y VAL POE - AESR - ESR'!AF1737</f>
        <v>0</v>
      </c>
      <c r="BFU23" s="28">
        <f>'REG y VAL POE - AESR - ESR'!AG1737</f>
        <v>0</v>
      </c>
      <c r="BFV23" s="29">
        <f>'REG y VAL POE - AESR - ESR'!AH1737</f>
        <v>0</v>
      </c>
      <c r="BFW23" s="29">
        <f>'REG y VAL POE - AESR - ESR'!AI1737</f>
        <v>0</v>
      </c>
      <c r="BFX23" s="28">
        <f>'REG y VAL POE - AESR - ESR'!AJ1737</f>
        <v>0</v>
      </c>
      <c r="BFY23" s="29">
        <f>'REG y VAL POE - AESR - ESR'!AK1737</f>
        <v>0</v>
      </c>
      <c r="BFZ23" s="30">
        <f>'REG y VAL POE - AESR - ESR'!AL1737</f>
        <v>0</v>
      </c>
      <c r="BGA23" s="28">
        <f>'REG y VAL POE - AESR - ESR'!AM1737</f>
        <v>0</v>
      </c>
      <c r="BGB23" s="29">
        <f>'REG y VAL POE - AESR - ESR'!AN1737</f>
        <v>0</v>
      </c>
      <c r="BGC23" s="29">
        <f>'REG y VAL POE - AESR - ESR'!AO1737</f>
        <v>0</v>
      </c>
      <c r="BGD23" s="29">
        <f>'REG y VAL POE - AESR - ESR'!AP1737</f>
        <v>0</v>
      </c>
      <c r="BGE23" s="28">
        <f>'REG y VAL POE - AESR - ESR'!AQ1737</f>
        <v>0</v>
      </c>
      <c r="BGF23" s="29">
        <f>'REG y VAL POE - AESR - ESR'!AR1737</f>
        <v>0</v>
      </c>
      <c r="BGG23" s="29">
        <f>'REG y VAL POE - AESR - ESR'!AS1737</f>
        <v>0</v>
      </c>
      <c r="BGH23" s="29" t="str">
        <f>'REG y VAL POE - AESR - ESR'!B1738</f>
        <v xml:space="preserve">Lopez Juarez Yuridiana Hosiris </v>
      </c>
      <c r="BGI23" s="29" t="str">
        <f>'REG y VAL POE - AESR - ESR'!C1738</f>
        <v>Sin Registro</v>
      </c>
      <c r="BGJ23" s="29">
        <f>'REG y VAL POE - AESR - ESR'!D1738</f>
        <v>23193129</v>
      </c>
      <c r="BGK23" s="28" t="str">
        <f>'REG y VAL POE - AESR - ESR'!E1738</f>
        <v xml:space="preserve">Lopez Juarez Yuridiana Hosiris </v>
      </c>
      <c r="BGL23" s="29">
        <f>'REG y VAL POE - AESR - ESR'!F1738</f>
        <v>23193129</v>
      </c>
      <c r="BGM23" s="29">
        <f>'REG y VAL POE - AESR - ESR'!G1738</f>
        <v>0</v>
      </c>
      <c r="BGN23" s="28">
        <f>'REG y VAL POE - AESR - ESR'!H1738</f>
        <v>0</v>
      </c>
      <c r="BGO23" s="29">
        <f>'REG y VAL POE - AESR - ESR'!I1738</f>
        <v>0</v>
      </c>
      <c r="BGP23" s="30">
        <f>'REG y VAL POE - AESR - ESR'!J1738</f>
        <v>0</v>
      </c>
      <c r="BGQ23" s="28">
        <f>'REG y VAL POE - AESR - ESR'!K1738</f>
        <v>0</v>
      </c>
      <c r="BGR23" s="29">
        <f>'REG y VAL POE - AESR - ESR'!L1738</f>
        <v>0</v>
      </c>
      <c r="BGS23" s="29">
        <f>'REG y VAL POE - AESR - ESR'!M1738</f>
        <v>0</v>
      </c>
      <c r="BGT23" s="29">
        <f>'REG y VAL POE - AESR - ESR'!N1738</f>
        <v>0</v>
      </c>
      <c r="BGU23" s="28">
        <f>'REG y VAL POE - AESR - ESR'!O1738</f>
        <v>0</v>
      </c>
      <c r="BGV23" s="29">
        <f>'REG y VAL POE - AESR - ESR'!P1738</f>
        <v>0</v>
      </c>
      <c r="BGW23" s="29">
        <f>'REG y VAL POE - AESR - ESR'!Q1738</f>
        <v>0</v>
      </c>
      <c r="BGX23" s="28">
        <f>'REG y VAL POE - AESR - ESR'!R1738</f>
        <v>0</v>
      </c>
      <c r="BGY23" s="29">
        <f>'REG y VAL POE - AESR - ESR'!S1738</f>
        <v>0</v>
      </c>
      <c r="BGZ23" s="30">
        <f>'REG y VAL POE - AESR - ESR'!T1738</f>
        <v>0</v>
      </c>
      <c r="BHA23" s="28">
        <f>'REG y VAL POE - AESR - ESR'!U1738</f>
        <v>0</v>
      </c>
      <c r="BHB23" s="29">
        <f>'REG y VAL POE - AESR - ESR'!V1738</f>
        <v>0</v>
      </c>
      <c r="BHC23" s="29">
        <f>'REG y VAL POE - AESR - ESR'!W1738</f>
        <v>0</v>
      </c>
      <c r="BHD23" s="29">
        <f>'REG y VAL POE - AESR - ESR'!X1738</f>
        <v>0</v>
      </c>
      <c r="BHE23" s="28">
        <f>'REG y VAL POE - AESR - ESR'!Y1738</f>
        <v>0</v>
      </c>
      <c r="BHF23" s="29">
        <f>'REG y VAL POE - AESR - ESR'!Z1738</f>
        <v>0</v>
      </c>
      <c r="BHG23" s="29">
        <f>'REG y VAL POE - AESR - ESR'!AA1738</f>
        <v>0</v>
      </c>
      <c r="BHH23" s="29">
        <f>'REG y VAL POE - AESR - ESR'!AB1738</f>
        <v>0</v>
      </c>
      <c r="BHI23" s="29">
        <f>'REG y VAL POE - AESR - ESR'!AC1738</f>
        <v>0</v>
      </c>
      <c r="BHJ23" s="29">
        <f>'REG y VAL POE - AESR - ESR'!AD1738</f>
        <v>0</v>
      </c>
      <c r="BHK23" s="28">
        <f>'REG y VAL POE - AESR - ESR'!AE1738</f>
        <v>0</v>
      </c>
      <c r="BHL23" s="29">
        <f>'REG y VAL POE - AESR - ESR'!AF1738</f>
        <v>0</v>
      </c>
      <c r="BHM23" s="29">
        <f>'REG y VAL POE - AESR - ESR'!AG1738</f>
        <v>0</v>
      </c>
      <c r="BHN23" s="28">
        <f>'REG y VAL POE - AESR - ESR'!AH1738</f>
        <v>0</v>
      </c>
      <c r="BHO23" s="29">
        <f>'REG y VAL POE - AESR - ESR'!AI1738</f>
        <v>0</v>
      </c>
      <c r="BHP23" s="30">
        <f>'REG y VAL POE - AESR - ESR'!AJ1738</f>
        <v>0</v>
      </c>
      <c r="BHQ23" s="28">
        <f>'REG y VAL POE - AESR - ESR'!AK1738</f>
        <v>0</v>
      </c>
      <c r="BHR23" s="29">
        <f>'REG y VAL POE - AESR - ESR'!AL1738</f>
        <v>0</v>
      </c>
      <c r="BHS23" s="29">
        <f>'REG y VAL POE - AESR - ESR'!AM1738</f>
        <v>0</v>
      </c>
      <c r="BHT23" s="29">
        <f>'REG y VAL POE - AESR - ESR'!AN1738</f>
        <v>0</v>
      </c>
      <c r="BHU23" s="28">
        <f>'REG y VAL POE - AESR - ESR'!AO1738</f>
        <v>0</v>
      </c>
      <c r="BHV23" s="29">
        <f>'REG y VAL POE - AESR - ESR'!AP1738</f>
        <v>0</v>
      </c>
      <c r="BHW23" s="29">
        <f>'REG y VAL POE - AESR - ESR'!AQ1738</f>
        <v>0</v>
      </c>
      <c r="BHX23" s="28">
        <f>'REG y VAL POE - AESR - ESR'!AR1738</f>
        <v>0</v>
      </c>
      <c r="BHY23" s="29">
        <f>'REG y VAL POE - AESR - ESR'!AS1738</f>
        <v>0</v>
      </c>
      <c r="BHZ23" s="30" t="str">
        <f>'REG y VAL POE - AESR - ESR'!B1739</f>
        <v xml:space="preserve">Lopez Roman Daniel </v>
      </c>
      <c r="BIA23" s="28" t="str">
        <f>'REG y VAL POE - AESR - ESR'!C1739</f>
        <v>Sin Registro</v>
      </c>
      <c r="BIB23" s="29">
        <f>'REG y VAL POE - AESR - ESR'!D1739</f>
        <v>23197425</v>
      </c>
      <c r="BIC23" s="29" t="str">
        <f>'REG y VAL POE - AESR - ESR'!E1739</f>
        <v xml:space="preserve">Lopez Roman Daniel </v>
      </c>
      <c r="BID23" s="29">
        <f>'REG y VAL POE - AESR - ESR'!F1739</f>
        <v>23197425</v>
      </c>
      <c r="BIE23" s="28">
        <f>'REG y VAL POE - AESR - ESR'!G1739</f>
        <v>0</v>
      </c>
      <c r="BIF23" s="29">
        <f>'REG y VAL POE - AESR - ESR'!H1739</f>
        <v>0</v>
      </c>
      <c r="BIG23" s="29">
        <f>'REG y VAL POE - AESR - ESR'!I1739</f>
        <v>0</v>
      </c>
      <c r="BIH23" s="29">
        <f>'REG y VAL POE - AESR - ESR'!J1739</f>
        <v>0</v>
      </c>
      <c r="BII23" s="29">
        <f>'REG y VAL POE - AESR - ESR'!K1739</f>
        <v>0</v>
      </c>
      <c r="BIJ23" s="29">
        <f>'REG y VAL POE - AESR - ESR'!L1739</f>
        <v>0</v>
      </c>
      <c r="BIK23" s="28">
        <f>'REG y VAL POE - AESR - ESR'!M1739</f>
        <v>0</v>
      </c>
      <c r="BIL23" s="29">
        <f>'REG y VAL POE - AESR - ESR'!N1739</f>
        <v>0</v>
      </c>
      <c r="BIM23" s="29">
        <f>'REG y VAL POE - AESR - ESR'!O1739</f>
        <v>0</v>
      </c>
      <c r="BIN23" s="28">
        <f>'REG y VAL POE - AESR - ESR'!P1739</f>
        <v>0</v>
      </c>
      <c r="BIO23" s="29">
        <f>'REG y VAL POE - AESR - ESR'!Q1739</f>
        <v>0</v>
      </c>
      <c r="BIP23" s="30">
        <f>'REG y VAL POE - AESR - ESR'!R1739</f>
        <v>0</v>
      </c>
      <c r="BIQ23" s="28">
        <f>'REG y VAL POE - AESR - ESR'!S1739</f>
        <v>0</v>
      </c>
      <c r="BIR23" s="29">
        <f>'REG y VAL POE - AESR - ESR'!T1739</f>
        <v>0</v>
      </c>
      <c r="BIS23" s="29">
        <f>'REG y VAL POE - AESR - ESR'!U1739</f>
        <v>0</v>
      </c>
      <c r="BIT23" s="29">
        <f>'REG y VAL POE - AESR - ESR'!V1739</f>
        <v>0</v>
      </c>
      <c r="BIU23" s="28">
        <f>'REG y VAL POE - AESR - ESR'!W1739</f>
        <v>0</v>
      </c>
      <c r="BIV23" s="29">
        <f>'REG y VAL POE - AESR - ESR'!X1739</f>
        <v>0</v>
      </c>
      <c r="BIW23" s="29">
        <f>'REG y VAL POE - AESR - ESR'!Y1739</f>
        <v>0</v>
      </c>
      <c r="BIX23" s="28">
        <f>'REG y VAL POE - AESR - ESR'!Z1739</f>
        <v>0</v>
      </c>
      <c r="BIY23" s="29">
        <f>'REG y VAL POE - AESR - ESR'!AA1739</f>
        <v>0</v>
      </c>
      <c r="BIZ23" s="30">
        <f>'REG y VAL POE - AESR - ESR'!AB1739</f>
        <v>0</v>
      </c>
      <c r="BJA23" s="28">
        <f>'REG y VAL POE - AESR - ESR'!AC1739</f>
        <v>0</v>
      </c>
      <c r="BJB23" s="29">
        <f>'REG y VAL POE - AESR - ESR'!AD1739</f>
        <v>0</v>
      </c>
      <c r="BJC23" s="29">
        <f>'REG y VAL POE - AESR - ESR'!AE1739</f>
        <v>0</v>
      </c>
      <c r="BJD23" s="29">
        <f>'REG y VAL POE - AESR - ESR'!AF1739</f>
        <v>0</v>
      </c>
      <c r="BJE23" s="28">
        <f>'REG y VAL POE - AESR - ESR'!AG1739</f>
        <v>0</v>
      </c>
      <c r="BJF23" s="29">
        <f>'REG y VAL POE - AESR - ESR'!AH1739</f>
        <v>0</v>
      </c>
      <c r="BJG23" s="29">
        <f>'REG y VAL POE - AESR - ESR'!AI1739</f>
        <v>0</v>
      </c>
      <c r="BJH23" s="29">
        <f>'REG y VAL POE - AESR - ESR'!AJ1739</f>
        <v>0</v>
      </c>
      <c r="BJI23" s="29">
        <f>'REG y VAL POE - AESR - ESR'!AK1739</f>
        <v>0</v>
      </c>
      <c r="BJJ23" s="29">
        <f>'REG y VAL POE - AESR - ESR'!AL1739</f>
        <v>0</v>
      </c>
      <c r="BJK23" s="28">
        <f>'REG y VAL POE - AESR - ESR'!AM1739</f>
        <v>0</v>
      </c>
      <c r="BJL23" s="29">
        <f>'REG y VAL POE - AESR - ESR'!AN1739</f>
        <v>0</v>
      </c>
      <c r="BJM23" s="29">
        <f>'REG y VAL POE - AESR - ESR'!AO1739</f>
        <v>0</v>
      </c>
      <c r="BJN23" s="28">
        <f>'REG y VAL POE - AESR - ESR'!AP1739</f>
        <v>0</v>
      </c>
      <c r="BJO23" s="29">
        <f>'REG y VAL POE - AESR - ESR'!AQ1739</f>
        <v>0</v>
      </c>
      <c r="BJP23" s="30">
        <f>'REG y VAL POE - AESR - ESR'!AR1739</f>
        <v>0</v>
      </c>
      <c r="BJQ23" s="28">
        <f>'REG y VAL POE - AESR - ESR'!AS1739</f>
        <v>0</v>
      </c>
      <c r="BJR23" s="29" t="str">
        <f>'REG y VAL POE - AESR - ESR'!B1740</f>
        <v xml:space="preserve">Magana Espinoza Fabiola Del Carmen </v>
      </c>
      <c r="BJS23" s="29" t="str">
        <f>'REG y VAL POE - AESR - ESR'!C1740</f>
        <v>Sin Registro</v>
      </c>
      <c r="BJT23" s="29">
        <f>'REG y VAL POE - AESR - ESR'!D1740</f>
        <v>23202263</v>
      </c>
      <c r="BJU23" s="28" t="str">
        <f>'REG y VAL POE - AESR - ESR'!E1740</f>
        <v xml:space="preserve">Magana Espinoza Fabiola Del Carmen </v>
      </c>
      <c r="BJV23" s="29">
        <f>'REG y VAL POE - AESR - ESR'!F1740</f>
        <v>23202263</v>
      </c>
      <c r="BJW23" s="29">
        <f>'REG y VAL POE - AESR - ESR'!G1740</f>
        <v>0</v>
      </c>
      <c r="BJX23" s="28">
        <f>'REG y VAL POE - AESR - ESR'!H1740</f>
        <v>0</v>
      </c>
      <c r="BJY23" s="29">
        <f>'REG y VAL POE - AESR - ESR'!I1740</f>
        <v>0</v>
      </c>
      <c r="BJZ23" s="30">
        <f>'REG y VAL POE - AESR - ESR'!J1740</f>
        <v>0</v>
      </c>
      <c r="BKA23" s="28">
        <f>'REG y VAL POE - AESR - ESR'!K1740</f>
        <v>0</v>
      </c>
      <c r="BKB23" s="29">
        <f>'REG y VAL POE - AESR - ESR'!L1740</f>
        <v>0</v>
      </c>
      <c r="BKC23" s="29">
        <f>'REG y VAL POE - AESR - ESR'!M1740</f>
        <v>0</v>
      </c>
      <c r="BKD23" s="29">
        <f>'REG y VAL POE - AESR - ESR'!N1740</f>
        <v>0</v>
      </c>
      <c r="BKE23" s="28">
        <f>'REG y VAL POE - AESR - ESR'!O1740</f>
        <v>0</v>
      </c>
      <c r="BKF23" s="29">
        <f>'REG y VAL POE - AESR - ESR'!P1740</f>
        <v>0</v>
      </c>
      <c r="BKG23" s="29">
        <f>'REG y VAL POE - AESR - ESR'!Q1740</f>
        <v>0</v>
      </c>
      <c r="BKH23" s="29">
        <f>'REG y VAL POE - AESR - ESR'!R1740</f>
        <v>0</v>
      </c>
      <c r="BKI23" s="29">
        <f>'REG y VAL POE - AESR - ESR'!S1740</f>
        <v>0</v>
      </c>
      <c r="BKJ23" s="29">
        <f>'REG y VAL POE - AESR - ESR'!T1740</f>
        <v>0</v>
      </c>
      <c r="BKK23" s="28">
        <f>'REG y VAL POE - AESR - ESR'!U1740</f>
        <v>0</v>
      </c>
      <c r="BKL23" s="29">
        <f>'REG y VAL POE - AESR - ESR'!V1740</f>
        <v>0</v>
      </c>
      <c r="BKM23" s="29">
        <f>'REG y VAL POE - AESR - ESR'!W1740</f>
        <v>0</v>
      </c>
      <c r="BKN23" s="28">
        <f>'REG y VAL POE - AESR - ESR'!X1740</f>
        <v>0</v>
      </c>
      <c r="BKO23" s="29">
        <f>'REG y VAL POE - AESR - ESR'!Y1740</f>
        <v>0</v>
      </c>
      <c r="BKP23" s="30">
        <f>'REG y VAL POE - AESR - ESR'!Z1740</f>
        <v>0</v>
      </c>
      <c r="BKQ23" s="28">
        <f>'REG y VAL POE - AESR - ESR'!AA1740</f>
        <v>0</v>
      </c>
      <c r="BKR23" s="29">
        <f>'REG y VAL POE - AESR - ESR'!AB1740</f>
        <v>0</v>
      </c>
      <c r="BKS23" s="29">
        <f>'REG y VAL POE - AESR - ESR'!AC1740</f>
        <v>0</v>
      </c>
      <c r="BKT23" s="29">
        <f>'REG y VAL POE - AESR - ESR'!AD1740</f>
        <v>0</v>
      </c>
      <c r="BKU23" s="28">
        <f>'REG y VAL POE - AESR - ESR'!AE1740</f>
        <v>0</v>
      </c>
      <c r="BKV23" s="29">
        <f>'REG y VAL POE - AESR - ESR'!AF1740</f>
        <v>0</v>
      </c>
      <c r="BKW23" s="29">
        <f>'REG y VAL POE - AESR - ESR'!AG1740</f>
        <v>0</v>
      </c>
      <c r="BKX23" s="28">
        <f>'REG y VAL POE - AESR - ESR'!AH1740</f>
        <v>0</v>
      </c>
      <c r="BKY23" s="29">
        <f>'REG y VAL POE - AESR - ESR'!AI1740</f>
        <v>0</v>
      </c>
      <c r="BKZ23" s="30">
        <f>'REG y VAL POE - AESR - ESR'!AJ1740</f>
        <v>0</v>
      </c>
      <c r="BLA23" s="28">
        <f>'REG y VAL POE - AESR - ESR'!AK1740</f>
        <v>0</v>
      </c>
      <c r="BLB23" s="29">
        <f>'REG y VAL POE - AESR - ESR'!AL1740</f>
        <v>0</v>
      </c>
      <c r="BLC23" s="29">
        <f>'REG y VAL POE - AESR - ESR'!AM1740</f>
        <v>0</v>
      </c>
      <c r="BLD23" s="29">
        <f>'REG y VAL POE - AESR - ESR'!AN1740</f>
        <v>0</v>
      </c>
      <c r="BLE23" s="28">
        <f>'REG y VAL POE - AESR - ESR'!AO1740</f>
        <v>0</v>
      </c>
      <c r="BLF23" s="29">
        <f>'REG y VAL POE - AESR - ESR'!AP1740</f>
        <v>0</v>
      </c>
      <c r="BLG23" s="29">
        <f>'REG y VAL POE - AESR - ESR'!AQ1740</f>
        <v>0</v>
      </c>
      <c r="BLH23" s="29">
        <f>'REG y VAL POE - AESR - ESR'!AR1740</f>
        <v>0</v>
      </c>
      <c r="BLI23" s="29">
        <f>'REG y VAL POE - AESR - ESR'!AS1740</f>
        <v>0</v>
      </c>
      <c r="BLJ23" s="29" t="str">
        <f>'REG y VAL POE - AESR - ESR'!B1741</f>
        <v xml:space="preserve">Maldondo Arteaga Diego Abraham </v>
      </c>
      <c r="BLK23" s="28" t="str">
        <f>'REG y VAL POE - AESR - ESR'!C1741</f>
        <v>Sin Registro</v>
      </c>
      <c r="BLL23" s="29">
        <f>'REG y VAL POE - AESR - ESR'!D1741</f>
        <v>23217802</v>
      </c>
      <c r="BLM23" s="29" t="str">
        <f>'REG y VAL POE - AESR - ESR'!E1741</f>
        <v xml:space="preserve">Maldondo Arteaga Diego Abraham </v>
      </c>
      <c r="BLN23" s="28">
        <f>'REG y VAL POE - AESR - ESR'!F1741</f>
        <v>23217802</v>
      </c>
      <c r="BLO23" s="29">
        <f>'REG y VAL POE - AESR - ESR'!G1741</f>
        <v>0</v>
      </c>
      <c r="BLP23" s="30">
        <f>'REG y VAL POE - AESR - ESR'!H1741</f>
        <v>0</v>
      </c>
      <c r="BLQ23" s="28">
        <f>'REG y VAL POE - AESR - ESR'!I1741</f>
        <v>0</v>
      </c>
      <c r="BLR23" s="29">
        <f>'REG y VAL POE - AESR - ESR'!J1741</f>
        <v>0</v>
      </c>
      <c r="BLS23" s="29">
        <f>'REG y VAL POE - AESR - ESR'!K1741</f>
        <v>0</v>
      </c>
      <c r="BLT23" s="29">
        <f>'REG y VAL POE - AESR - ESR'!L1741</f>
        <v>0</v>
      </c>
      <c r="BLU23" s="28">
        <f>'REG y VAL POE - AESR - ESR'!M1741</f>
        <v>0</v>
      </c>
      <c r="BLV23" s="29">
        <f>'REG y VAL POE - AESR - ESR'!N1741</f>
        <v>0</v>
      </c>
      <c r="BLW23" s="29">
        <f>'REG y VAL POE - AESR - ESR'!O1741</f>
        <v>0</v>
      </c>
      <c r="BLX23" s="28">
        <f>'REG y VAL POE - AESR - ESR'!P1741</f>
        <v>0</v>
      </c>
      <c r="BLY23" s="29">
        <f>'REG y VAL POE - AESR - ESR'!Q1741</f>
        <v>0</v>
      </c>
      <c r="BLZ23" s="30">
        <f>'REG y VAL POE - AESR - ESR'!R1741</f>
        <v>0</v>
      </c>
      <c r="BMA23" s="28">
        <f>'REG y VAL POE - AESR - ESR'!S1741</f>
        <v>0</v>
      </c>
      <c r="BMB23" s="29">
        <f>'REG y VAL POE - AESR - ESR'!T1741</f>
        <v>0</v>
      </c>
      <c r="BMC23" s="29">
        <f>'REG y VAL POE - AESR - ESR'!U1741</f>
        <v>0</v>
      </c>
      <c r="BMD23" s="29">
        <f>'REG y VAL POE - AESR - ESR'!V1741</f>
        <v>0</v>
      </c>
      <c r="BME23" s="28">
        <f>'REG y VAL POE - AESR - ESR'!W1741</f>
        <v>0</v>
      </c>
      <c r="BMF23" s="29">
        <f>'REG y VAL POE - AESR - ESR'!X1741</f>
        <v>0</v>
      </c>
      <c r="BMG23" s="29">
        <f>'REG y VAL POE - AESR - ESR'!Y1741</f>
        <v>0</v>
      </c>
      <c r="BMH23" s="29">
        <f>'REG y VAL POE - AESR - ESR'!Z1741</f>
        <v>0</v>
      </c>
      <c r="BMI23" s="29">
        <f>'REG y VAL POE - AESR - ESR'!AA1741</f>
        <v>0</v>
      </c>
      <c r="BMJ23" s="29">
        <f>'REG y VAL POE - AESR - ESR'!AB1741</f>
        <v>0</v>
      </c>
      <c r="BMK23" s="28">
        <f>'REG y VAL POE - AESR - ESR'!AC1741</f>
        <v>0</v>
      </c>
      <c r="BML23" s="29">
        <f>'REG y VAL POE - AESR - ESR'!AD1741</f>
        <v>0</v>
      </c>
      <c r="BMM23" s="29">
        <f>'REG y VAL POE - AESR - ESR'!AE1741</f>
        <v>0</v>
      </c>
      <c r="BMN23" s="28">
        <f>'REG y VAL POE - AESR - ESR'!AF1741</f>
        <v>0</v>
      </c>
      <c r="BMO23" s="29">
        <f>'REG y VAL POE - AESR - ESR'!AG1741</f>
        <v>0</v>
      </c>
      <c r="BMP23" s="30">
        <f>'REG y VAL POE - AESR - ESR'!AH1741</f>
        <v>0</v>
      </c>
      <c r="BMQ23" s="28">
        <f>'REG y VAL POE - AESR - ESR'!AI1741</f>
        <v>0</v>
      </c>
      <c r="BMR23" s="29">
        <f>'REG y VAL POE - AESR - ESR'!AJ1741</f>
        <v>0</v>
      </c>
      <c r="BMS23" s="29">
        <f>'REG y VAL POE - AESR - ESR'!AK1741</f>
        <v>0</v>
      </c>
      <c r="BMT23" s="29">
        <f>'REG y VAL POE - AESR - ESR'!AL1741</f>
        <v>0</v>
      </c>
      <c r="BMU23" s="28">
        <f>'REG y VAL POE - AESR - ESR'!AM1741</f>
        <v>0</v>
      </c>
      <c r="BMV23" s="29">
        <f>'REG y VAL POE - AESR - ESR'!AN1741</f>
        <v>0</v>
      </c>
      <c r="BMW23" s="29">
        <f>'REG y VAL POE - AESR - ESR'!AO1741</f>
        <v>0</v>
      </c>
      <c r="BMX23" s="28">
        <f>'REG y VAL POE - AESR - ESR'!AP1741</f>
        <v>0</v>
      </c>
      <c r="BMY23" s="29">
        <f>'REG y VAL POE - AESR - ESR'!AQ1741</f>
        <v>0</v>
      </c>
      <c r="BMZ23" s="30">
        <f>'REG y VAL POE - AESR - ESR'!AR1741</f>
        <v>0</v>
      </c>
      <c r="BNA23" s="28">
        <f>'REG y VAL POE - AESR - ESR'!AS1741</f>
        <v>0</v>
      </c>
      <c r="BNB23" s="29" t="str">
        <f>'REG y VAL POE - AESR - ESR'!B1742</f>
        <v xml:space="preserve">Malvaez Rodriguez Antonio De Jesus </v>
      </c>
      <c r="BNC23" s="29" t="str">
        <f>'REG y VAL POE - AESR - ESR'!C1742</f>
        <v>Sin Registro</v>
      </c>
      <c r="BND23" s="29">
        <f>'REG y VAL POE - AESR - ESR'!D1742</f>
        <v>23198478</v>
      </c>
      <c r="BNE23" s="28" t="str">
        <f>'REG y VAL POE - AESR - ESR'!E1742</f>
        <v xml:space="preserve">Malvaez Rodriguez Antonio De Jesus </v>
      </c>
      <c r="BNF23" s="29">
        <f>'REG y VAL POE - AESR - ESR'!F1742</f>
        <v>23198478</v>
      </c>
      <c r="BNG23" s="29">
        <f>'REG y VAL POE - AESR - ESR'!G1742</f>
        <v>0</v>
      </c>
      <c r="BNH23" s="29">
        <f>'REG y VAL POE - AESR - ESR'!H1742</f>
        <v>0</v>
      </c>
      <c r="BNI23" s="29">
        <f>'REG y VAL POE - AESR - ESR'!I1742</f>
        <v>0</v>
      </c>
      <c r="BNJ23" s="29">
        <f>'REG y VAL POE - AESR - ESR'!J1742</f>
        <v>0</v>
      </c>
      <c r="BNK23" s="28">
        <f>'REG y VAL POE - AESR - ESR'!K1742</f>
        <v>0</v>
      </c>
      <c r="BNL23" s="29">
        <f>'REG y VAL POE - AESR - ESR'!L1742</f>
        <v>0</v>
      </c>
      <c r="BNM23" s="29">
        <f>'REG y VAL POE - AESR - ESR'!M1742</f>
        <v>0</v>
      </c>
      <c r="BNN23" s="28">
        <f>'REG y VAL POE - AESR - ESR'!N1742</f>
        <v>0</v>
      </c>
      <c r="BNO23" s="29">
        <f>'REG y VAL POE - AESR - ESR'!O1742</f>
        <v>0</v>
      </c>
      <c r="BNP23" s="30">
        <f>'REG y VAL POE - AESR - ESR'!P1742</f>
        <v>0</v>
      </c>
      <c r="BNQ23" s="28">
        <f>'REG y VAL POE - AESR - ESR'!Q1742</f>
        <v>0</v>
      </c>
      <c r="BNR23" s="29">
        <f>'REG y VAL POE - AESR - ESR'!R1742</f>
        <v>0</v>
      </c>
      <c r="BNS23" s="29">
        <f>'REG y VAL POE - AESR - ESR'!S1742</f>
        <v>0</v>
      </c>
      <c r="BNT23" s="29">
        <f>'REG y VAL POE - AESR - ESR'!T1742</f>
        <v>0</v>
      </c>
      <c r="BNU23" s="28">
        <f>'REG y VAL POE - AESR - ESR'!U1742</f>
        <v>0</v>
      </c>
      <c r="BNV23" s="29">
        <f>'REG y VAL POE - AESR - ESR'!V1742</f>
        <v>0</v>
      </c>
      <c r="BNW23" s="29">
        <f>'REG y VAL POE - AESR - ESR'!W1742</f>
        <v>0</v>
      </c>
      <c r="BNX23" s="28">
        <f>'REG y VAL POE - AESR - ESR'!X1742</f>
        <v>0</v>
      </c>
      <c r="BNY23" s="29">
        <f>'REG y VAL POE - AESR - ESR'!Y1742</f>
        <v>0</v>
      </c>
      <c r="BNZ23" s="30">
        <f>'REG y VAL POE - AESR - ESR'!Z1742</f>
        <v>0</v>
      </c>
      <c r="BOA23" s="28">
        <f>'REG y VAL POE - AESR - ESR'!AA1742</f>
        <v>0</v>
      </c>
      <c r="BOB23" s="29">
        <f>'REG y VAL POE - AESR - ESR'!AB1742</f>
        <v>0</v>
      </c>
      <c r="BOC23" s="29">
        <f>'REG y VAL POE - AESR - ESR'!AC1742</f>
        <v>0</v>
      </c>
      <c r="BOD23" s="29">
        <f>'REG y VAL POE - AESR - ESR'!AD1742</f>
        <v>0</v>
      </c>
      <c r="BOE23" s="28">
        <f>'REG y VAL POE - AESR - ESR'!AE1742</f>
        <v>0</v>
      </c>
      <c r="BOF23" s="29">
        <f>'REG y VAL POE - AESR - ESR'!AF1742</f>
        <v>0</v>
      </c>
      <c r="BOG23" s="29">
        <f>'REG y VAL POE - AESR - ESR'!AG1742</f>
        <v>0</v>
      </c>
      <c r="BOH23" s="29">
        <f>'REG y VAL POE - AESR - ESR'!AH1742</f>
        <v>0</v>
      </c>
      <c r="BOI23" s="29">
        <f>'REG y VAL POE - AESR - ESR'!AI1742</f>
        <v>0</v>
      </c>
      <c r="BOJ23" s="29">
        <f>'REG y VAL POE - AESR - ESR'!AJ1742</f>
        <v>0</v>
      </c>
      <c r="BOK23" s="28">
        <f>'REG y VAL POE - AESR - ESR'!AK1742</f>
        <v>0</v>
      </c>
      <c r="BOL23" s="29">
        <f>'REG y VAL POE - AESR - ESR'!AL1742</f>
        <v>0</v>
      </c>
      <c r="BOM23" s="29">
        <f>'REG y VAL POE - AESR - ESR'!AM1742</f>
        <v>0</v>
      </c>
      <c r="BON23" s="28">
        <f>'REG y VAL POE - AESR - ESR'!AN1742</f>
        <v>0</v>
      </c>
      <c r="BOO23" s="29">
        <f>'REG y VAL POE - AESR - ESR'!AO1742</f>
        <v>0</v>
      </c>
      <c r="BOP23" s="30">
        <f>'REG y VAL POE - AESR - ESR'!AP1742</f>
        <v>0</v>
      </c>
      <c r="BOQ23" s="28">
        <f>'REG y VAL POE - AESR - ESR'!AQ1742</f>
        <v>0</v>
      </c>
      <c r="BOR23" s="29">
        <f>'REG y VAL POE - AESR - ESR'!AR1742</f>
        <v>0</v>
      </c>
      <c r="BOS23" s="29">
        <f>'REG y VAL POE - AESR - ESR'!AS1742</f>
        <v>0</v>
      </c>
      <c r="BOT23" s="29" t="str">
        <f>'REG y VAL POE - AESR - ESR'!B1743</f>
        <v xml:space="preserve">Martinez Agudo Lourdes </v>
      </c>
      <c r="BOU23" s="28" t="str">
        <f>'REG y VAL POE - AESR - ESR'!C1743</f>
        <v>Sin Registro</v>
      </c>
      <c r="BOV23" s="29">
        <f>'REG y VAL POE - AESR - ESR'!D1743</f>
        <v>23198348</v>
      </c>
      <c r="BOW23" s="29" t="str">
        <f>'REG y VAL POE - AESR - ESR'!E1743</f>
        <v xml:space="preserve">Martinez Agudo Lourdes </v>
      </c>
      <c r="BOX23" s="28">
        <f>'REG y VAL POE - AESR - ESR'!F1743</f>
        <v>23198348</v>
      </c>
      <c r="BOY23" s="29">
        <f>'REG y VAL POE - AESR - ESR'!G1743</f>
        <v>0</v>
      </c>
      <c r="BOZ23" s="30">
        <f>'REG y VAL POE - AESR - ESR'!H1743</f>
        <v>0</v>
      </c>
      <c r="BPA23" s="28">
        <f>'REG y VAL POE - AESR - ESR'!I1743</f>
        <v>0</v>
      </c>
      <c r="BPB23" s="29">
        <f>'REG y VAL POE - AESR - ESR'!J1743</f>
        <v>0</v>
      </c>
      <c r="BPC23" s="29">
        <f>'REG y VAL POE - AESR - ESR'!K1743</f>
        <v>0</v>
      </c>
      <c r="BPD23" s="29">
        <f>'REG y VAL POE - AESR - ESR'!L1743</f>
        <v>0</v>
      </c>
      <c r="BPE23" s="28">
        <f>'REG y VAL POE - AESR - ESR'!M1743</f>
        <v>0</v>
      </c>
      <c r="BPF23" s="29">
        <f>'REG y VAL POE - AESR - ESR'!N1743</f>
        <v>0</v>
      </c>
      <c r="BPG23" s="29">
        <f>'REG y VAL POE - AESR - ESR'!O1743</f>
        <v>0</v>
      </c>
      <c r="BPH23" s="29">
        <f>'REG y VAL POE - AESR - ESR'!P1743</f>
        <v>0</v>
      </c>
      <c r="BPI23" s="29">
        <f>'REG y VAL POE - AESR - ESR'!Q1743</f>
        <v>0</v>
      </c>
      <c r="BPJ23" s="29">
        <f>'REG y VAL POE - AESR - ESR'!R1743</f>
        <v>0</v>
      </c>
      <c r="BPK23" s="28">
        <f>'REG y VAL POE - AESR - ESR'!S1743</f>
        <v>0</v>
      </c>
      <c r="BPL23" s="29">
        <f>'REG y VAL POE - AESR - ESR'!T1743</f>
        <v>0</v>
      </c>
      <c r="BPM23" s="29">
        <f>'REG y VAL POE - AESR - ESR'!U1743</f>
        <v>0</v>
      </c>
      <c r="BPN23" s="28">
        <f>'REG y VAL POE - AESR - ESR'!V1743</f>
        <v>0</v>
      </c>
      <c r="BPO23" s="29">
        <f>'REG y VAL POE - AESR - ESR'!W1743</f>
        <v>0</v>
      </c>
      <c r="BPP23" s="30">
        <f>'REG y VAL POE - AESR - ESR'!X1743</f>
        <v>0</v>
      </c>
      <c r="BPQ23" s="28">
        <f>'REG y VAL POE - AESR - ESR'!Y1743</f>
        <v>0</v>
      </c>
      <c r="BPR23" s="29">
        <f>'REG y VAL POE - AESR - ESR'!Z1743</f>
        <v>0</v>
      </c>
      <c r="BPS23" s="29">
        <f>'REG y VAL POE - AESR - ESR'!AA1743</f>
        <v>0</v>
      </c>
      <c r="BPT23" s="29">
        <f>'REG y VAL POE - AESR - ESR'!AB1743</f>
        <v>0</v>
      </c>
      <c r="BPU23" s="28">
        <f>'REG y VAL POE - AESR - ESR'!AC1743</f>
        <v>0</v>
      </c>
      <c r="BPV23" s="29">
        <f>'REG y VAL POE - AESR - ESR'!AD1743</f>
        <v>0</v>
      </c>
      <c r="BPW23" s="29">
        <f>'REG y VAL POE - AESR - ESR'!AE1743</f>
        <v>0</v>
      </c>
      <c r="BPX23" s="28">
        <f>'REG y VAL POE - AESR - ESR'!AF1743</f>
        <v>0</v>
      </c>
      <c r="BPY23" s="29">
        <f>'REG y VAL POE - AESR - ESR'!AG1743</f>
        <v>0</v>
      </c>
      <c r="BPZ23" s="30">
        <f>'REG y VAL POE - AESR - ESR'!AH1743</f>
        <v>0</v>
      </c>
      <c r="BQA23" s="28">
        <f>'REG y VAL POE - AESR - ESR'!AI1743</f>
        <v>0</v>
      </c>
      <c r="BQB23" s="29">
        <f>'REG y VAL POE - AESR - ESR'!AJ1743</f>
        <v>0</v>
      </c>
      <c r="BQC23" s="29">
        <f>'REG y VAL POE - AESR - ESR'!AK1743</f>
        <v>0</v>
      </c>
      <c r="BQD23" s="29">
        <f>'REG y VAL POE - AESR - ESR'!AL1743</f>
        <v>0</v>
      </c>
      <c r="BQE23" s="28">
        <f>'REG y VAL POE - AESR - ESR'!AM1743</f>
        <v>0</v>
      </c>
      <c r="BQF23" s="29">
        <f>'REG y VAL POE - AESR - ESR'!AN1743</f>
        <v>0</v>
      </c>
      <c r="BQG23" s="29">
        <f>'REG y VAL POE - AESR - ESR'!AO1743</f>
        <v>0</v>
      </c>
      <c r="BQH23" s="29">
        <f>'REG y VAL POE - AESR - ESR'!AP1743</f>
        <v>0</v>
      </c>
      <c r="BQI23" s="29">
        <f>'REG y VAL POE - AESR - ESR'!AQ1743</f>
        <v>0</v>
      </c>
      <c r="BQJ23" s="29">
        <f>'REG y VAL POE - AESR - ESR'!AR1743</f>
        <v>0</v>
      </c>
      <c r="BQK23" s="28">
        <f>'REG y VAL POE - AESR - ESR'!AS1743</f>
        <v>0</v>
      </c>
      <c r="BQL23" s="29" t="str">
        <f>'REG y VAL POE - AESR - ESR'!B1744</f>
        <v xml:space="preserve">Martinez Nogueda Rigoberto </v>
      </c>
      <c r="BQM23" s="29" t="str">
        <f>'REG y VAL POE - AESR - ESR'!C1744</f>
        <v>Sin Registro</v>
      </c>
      <c r="BQN23" s="28">
        <f>'REG y VAL POE - AESR - ESR'!D1744</f>
        <v>23198265</v>
      </c>
      <c r="BQO23" s="29" t="str">
        <f>'REG y VAL POE - AESR - ESR'!E1744</f>
        <v xml:space="preserve">Martinez Nogueda Rigoberto </v>
      </c>
      <c r="BQP23" s="30">
        <f>'REG y VAL POE - AESR - ESR'!F1744</f>
        <v>23198265</v>
      </c>
      <c r="BQQ23" s="28">
        <f>'REG y VAL POE - AESR - ESR'!G1744</f>
        <v>0</v>
      </c>
      <c r="BQR23" s="29">
        <f>'REG y VAL POE - AESR - ESR'!H1744</f>
        <v>0</v>
      </c>
      <c r="BQS23" s="29">
        <f>'REG y VAL POE - AESR - ESR'!I1744</f>
        <v>0</v>
      </c>
      <c r="BQT23" s="29">
        <f>'REG y VAL POE - AESR - ESR'!J1744</f>
        <v>0</v>
      </c>
      <c r="BQU23" s="28">
        <f>'REG y VAL POE - AESR - ESR'!K1744</f>
        <v>0</v>
      </c>
      <c r="BQV23" s="29">
        <f>'REG y VAL POE - AESR - ESR'!L1744</f>
        <v>0</v>
      </c>
      <c r="BQW23" s="29">
        <f>'REG y VAL POE - AESR - ESR'!M1744</f>
        <v>0</v>
      </c>
      <c r="BQX23" s="28">
        <f>'REG y VAL POE - AESR - ESR'!N1744</f>
        <v>0</v>
      </c>
      <c r="BQY23" s="29">
        <f>'REG y VAL POE - AESR - ESR'!O1744</f>
        <v>0</v>
      </c>
      <c r="BQZ23" s="30">
        <f>'REG y VAL POE - AESR - ESR'!P1744</f>
        <v>0</v>
      </c>
      <c r="BRA23" s="28">
        <f>'REG y VAL POE - AESR - ESR'!Q1744</f>
        <v>0</v>
      </c>
      <c r="BRB23" s="29">
        <f>'REG y VAL POE - AESR - ESR'!R1744</f>
        <v>0</v>
      </c>
      <c r="BRC23" s="29">
        <f>'REG y VAL POE - AESR - ESR'!S1744</f>
        <v>0</v>
      </c>
      <c r="BRD23" s="29">
        <f>'REG y VAL POE - AESR - ESR'!T1744</f>
        <v>0</v>
      </c>
      <c r="BRE23" s="28">
        <f>'REG y VAL POE - AESR - ESR'!U1744</f>
        <v>0</v>
      </c>
      <c r="BRF23" s="29">
        <f>'REG y VAL POE - AESR - ESR'!V1744</f>
        <v>0</v>
      </c>
      <c r="BRG23" s="29">
        <f>'REG y VAL POE - AESR - ESR'!W1744</f>
        <v>0</v>
      </c>
      <c r="BRH23" s="29">
        <f>'REG y VAL POE - AESR - ESR'!X1744</f>
        <v>0</v>
      </c>
      <c r="BRI23" s="29">
        <f>'REG y VAL POE - AESR - ESR'!Y1744</f>
        <v>0</v>
      </c>
      <c r="BRJ23" s="29">
        <f>'REG y VAL POE - AESR - ESR'!Z1744</f>
        <v>0</v>
      </c>
      <c r="BRK23" s="28">
        <f>'REG y VAL POE - AESR - ESR'!AA1744</f>
        <v>0</v>
      </c>
      <c r="BRL23" s="29">
        <f>'REG y VAL POE - AESR - ESR'!AB1744</f>
        <v>0</v>
      </c>
      <c r="BRM23" s="29">
        <f>'REG y VAL POE - AESR - ESR'!AC1744</f>
        <v>0</v>
      </c>
      <c r="BRN23" s="28">
        <f>'REG y VAL POE - AESR - ESR'!AD1744</f>
        <v>0</v>
      </c>
      <c r="BRO23" s="29">
        <f>'REG y VAL POE - AESR - ESR'!AE1744</f>
        <v>0</v>
      </c>
      <c r="BRP23" s="30">
        <f>'REG y VAL POE - AESR - ESR'!AF1744</f>
        <v>0</v>
      </c>
      <c r="BRQ23" s="28">
        <f>'REG y VAL POE - AESR - ESR'!AG1744</f>
        <v>0</v>
      </c>
      <c r="BRR23" s="29">
        <f>'REG y VAL POE - AESR - ESR'!AH1744</f>
        <v>0</v>
      </c>
      <c r="BRS23" s="29">
        <f>'REG y VAL POE - AESR - ESR'!AI1744</f>
        <v>0</v>
      </c>
      <c r="BRT23" s="29">
        <f>'REG y VAL POE - AESR - ESR'!AJ1744</f>
        <v>0</v>
      </c>
      <c r="BRU23" s="28">
        <f>'REG y VAL POE - AESR - ESR'!AK1744</f>
        <v>0</v>
      </c>
      <c r="BRV23" s="29">
        <f>'REG y VAL POE - AESR - ESR'!AL1744</f>
        <v>0</v>
      </c>
      <c r="BRW23" s="29">
        <f>'REG y VAL POE - AESR - ESR'!AM1744</f>
        <v>0</v>
      </c>
      <c r="BRX23" s="28">
        <f>'REG y VAL POE - AESR - ESR'!AN1744</f>
        <v>0</v>
      </c>
      <c r="BRY23" s="29">
        <f>'REG y VAL POE - AESR - ESR'!AO1744</f>
        <v>0</v>
      </c>
      <c r="BRZ23" s="30">
        <f>'REG y VAL POE - AESR - ESR'!AP1744</f>
        <v>0</v>
      </c>
      <c r="BSA23" s="28">
        <f>'REG y VAL POE - AESR - ESR'!AQ1744</f>
        <v>0</v>
      </c>
      <c r="BSB23" s="29">
        <f>'REG y VAL POE - AESR - ESR'!AR1744</f>
        <v>0</v>
      </c>
      <c r="BSC23" s="29">
        <f>'REG y VAL POE - AESR - ESR'!AS1744</f>
        <v>0</v>
      </c>
      <c r="BSD23" s="29" t="str">
        <f>'REG y VAL POE - AESR - ESR'!B1745</f>
        <v xml:space="preserve">Martinez Perez Jose Juan </v>
      </c>
      <c r="BSE23" s="28" t="str">
        <f>'REG y VAL POE - AESR - ESR'!C1745</f>
        <v>Sin Registro</v>
      </c>
      <c r="BSF23" s="29">
        <f>'REG y VAL POE - AESR - ESR'!D1745</f>
        <v>23116466</v>
      </c>
      <c r="BSG23" s="29" t="str">
        <f>'REG y VAL POE - AESR - ESR'!E1745</f>
        <v xml:space="preserve">Martinez Perez Jose Juan </v>
      </c>
      <c r="BSH23" s="29">
        <f>'REG y VAL POE - AESR - ESR'!F1745</f>
        <v>23116466</v>
      </c>
      <c r="BSI23" s="29">
        <f>'REG y VAL POE - AESR - ESR'!G1745</f>
        <v>0</v>
      </c>
      <c r="BSJ23" s="29">
        <f>'REG y VAL POE - AESR - ESR'!H1745</f>
        <v>0</v>
      </c>
      <c r="BSK23" s="28">
        <f>'REG y VAL POE - AESR - ESR'!I1745</f>
        <v>0</v>
      </c>
      <c r="BSL23" s="29">
        <f>'REG y VAL POE - AESR - ESR'!J1745</f>
        <v>0</v>
      </c>
      <c r="BSM23" s="29">
        <f>'REG y VAL POE - AESR - ESR'!K1745</f>
        <v>0</v>
      </c>
      <c r="BSN23" s="28">
        <f>'REG y VAL POE - AESR - ESR'!L1745</f>
        <v>0</v>
      </c>
      <c r="BSO23" s="29">
        <f>'REG y VAL POE - AESR - ESR'!M1745</f>
        <v>0</v>
      </c>
      <c r="BSP23" s="30">
        <f>'REG y VAL POE - AESR - ESR'!N1745</f>
        <v>0</v>
      </c>
      <c r="BSQ23" s="28">
        <f>'REG y VAL POE - AESR - ESR'!O1745</f>
        <v>0</v>
      </c>
      <c r="BSR23" s="29">
        <f>'REG y VAL POE - AESR - ESR'!P1745</f>
        <v>0</v>
      </c>
      <c r="BSS23" s="29">
        <f>'REG y VAL POE - AESR - ESR'!Q1745</f>
        <v>0</v>
      </c>
      <c r="BST23" s="29">
        <f>'REG y VAL POE - AESR - ESR'!R1745</f>
        <v>0</v>
      </c>
      <c r="BSU23" s="28">
        <f>'REG y VAL POE - AESR - ESR'!S1745</f>
        <v>0</v>
      </c>
      <c r="BSV23" s="29">
        <f>'REG y VAL POE - AESR - ESR'!T1745</f>
        <v>0</v>
      </c>
      <c r="BSW23" s="29">
        <f>'REG y VAL POE - AESR - ESR'!U1745</f>
        <v>0</v>
      </c>
      <c r="BSX23" s="28">
        <f>'REG y VAL POE - AESR - ESR'!V1745</f>
        <v>0</v>
      </c>
      <c r="BSY23" s="29">
        <f>'REG y VAL POE - AESR - ESR'!W1745</f>
        <v>0</v>
      </c>
      <c r="BSZ23" s="30">
        <f>'REG y VAL POE - AESR - ESR'!X1745</f>
        <v>0</v>
      </c>
      <c r="BTA23" s="28">
        <f>'REG y VAL POE - AESR - ESR'!Y1745</f>
        <v>0</v>
      </c>
      <c r="BTB23" s="29">
        <f>'REG y VAL POE - AESR - ESR'!Z1745</f>
        <v>0</v>
      </c>
      <c r="BTC23" s="29">
        <f>'REG y VAL POE - AESR - ESR'!AA1745</f>
        <v>0</v>
      </c>
      <c r="BTD23" s="29">
        <f>'REG y VAL POE - AESR - ESR'!AB1745</f>
        <v>0</v>
      </c>
      <c r="BTE23" s="28">
        <f>'REG y VAL POE - AESR - ESR'!AC1745</f>
        <v>0</v>
      </c>
      <c r="BTF23" s="29">
        <f>'REG y VAL POE - AESR - ESR'!AD1745</f>
        <v>0</v>
      </c>
      <c r="BTG23" s="29">
        <f>'REG y VAL POE - AESR - ESR'!AE1745</f>
        <v>0</v>
      </c>
      <c r="BTH23" s="29">
        <f>'REG y VAL POE - AESR - ESR'!AF1745</f>
        <v>0</v>
      </c>
      <c r="BTI23" s="29">
        <f>'REG y VAL POE - AESR - ESR'!AG1745</f>
        <v>0</v>
      </c>
      <c r="BTJ23" s="29">
        <f>'REG y VAL POE - AESR - ESR'!AH1745</f>
        <v>0</v>
      </c>
      <c r="BTK23" s="28">
        <f>'REG y VAL POE - AESR - ESR'!AI1745</f>
        <v>0</v>
      </c>
      <c r="BTL23" s="29">
        <f>'REG y VAL POE - AESR - ESR'!AJ1745</f>
        <v>0</v>
      </c>
      <c r="BTM23" s="29">
        <f>'REG y VAL POE - AESR - ESR'!AK1745</f>
        <v>0</v>
      </c>
      <c r="BTN23" s="28">
        <f>'REG y VAL POE - AESR - ESR'!AL1745</f>
        <v>0</v>
      </c>
      <c r="BTO23" s="29">
        <f>'REG y VAL POE - AESR - ESR'!AM1745</f>
        <v>0</v>
      </c>
      <c r="BTP23" s="30">
        <f>'REG y VAL POE - AESR - ESR'!AN1745</f>
        <v>0</v>
      </c>
      <c r="BTQ23" s="28">
        <f>'REG y VAL POE - AESR - ESR'!AO1745</f>
        <v>0</v>
      </c>
      <c r="BTR23" s="29">
        <f>'REG y VAL POE - AESR - ESR'!AP1745</f>
        <v>0</v>
      </c>
      <c r="BTS23" s="29">
        <f>'REG y VAL POE - AESR - ESR'!AQ1745</f>
        <v>0</v>
      </c>
      <c r="BTT23" s="29">
        <f>'REG y VAL POE - AESR - ESR'!AR1745</f>
        <v>0</v>
      </c>
      <c r="BTU23" s="28">
        <f>'REG y VAL POE - AESR - ESR'!AS1745</f>
        <v>0</v>
      </c>
      <c r="BTV23" s="29" t="str">
        <f>'REG y VAL POE - AESR - ESR'!B1746</f>
        <v xml:space="preserve">Martinez Torres Martin </v>
      </c>
      <c r="BTW23" s="29" t="str">
        <f>'REG y VAL POE - AESR - ESR'!C1746</f>
        <v>Sin Registro</v>
      </c>
      <c r="BTX23" s="28">
        <f>'REG y VAL POE - AESR - ESR'!D1746</f>
        <v>23201367</v>
      </c>
      <c r="BTY23" s="29" t="str">
        <f>'REG y VAL POE - AESR - ESR'!E1746</f>
        <v xml:space="preserve">Martinez Torres Martin </v>
      </c>
      <c r="BTZ23" s="30">
        <f>'REG y VAL POE - AESR - ESR'!F1746</f>
        <v>23201367</v>
      </c>
      <c r="BUA23" s="28">
        <f>'REG y VAL POE - AESR - ESR'!G1746</f>
        <v>0</v>
      </c>
      <c r="BUB23" s="29">
        <f>'REG y VAL POE - AESR - ESR'!H1746</f>
        <v>0</v>
      </c>
      <c r="BUC23" s="29">
        <f>'REG y VAL POE - AESR - ESR'!I1746</f>
        <v>0</v>
      </c>
      <c r="BUD23" s="29">
        <f>'REG y VAL POE - AESR - ESR'!J1746</f>
        <v>0</v>
      </c>
      <c r="BUE23" s="28">
        <f>'REG y VAL POE - AESR - ESR'!K1746</f>
        <v>0</v>
      </c>
      <c r="BUF23" s="29">
        <f>'REG y VAL POE - AESR - ESR'!L1746</f>
        <v>0</v>
      </c>
      <c r="BUG23" s="29">
        <f>'REG y VAL POE - AESR - ESR'!M1746</f>
        <v>0</v>
      </c>
      <c r="BUH23" s="29">
        <f>'REG y VAL POE - AESR - ESR'!N1746</f>
        <v>0</v>
      </c>
      <c r="BUI23" s="29">
        <f>'REG y VAL POE - AESR - ESR'!O1746</f>
        <v>0</v>
      </c>
      <c r="BUJ23" s="29">
        <f>'REG y VAL POE - AESR - ESR'!P1746</f>
        <v>0</v>
      </c>
      <c r="BUK23" s="28">
        <f>'REG y VAL POE - AESR - ESR'!Q1746</f>
        <v>0</v>
      </c>
      <c r="BUL23" s="29">
        <f>'REG y VAL POE - AESR - ESR'!R1746</f>
        <v>0</v>
      </c>
      <c r="BUM23" s="29">
        <f>'REG y VAL POE - AESR - ESR'!S1746</f>
        <v>0</v>
      </c>
      <c r="BUN23" s="28">
        <f>'REG y VAL POE - AESR - ESR'!T1746</f>
        <v>0</v>
      </c>
      <c r="BUO23" s="29">
        <f>'REG y VAL POE - AESR - ESR'!U1746</f>
        <v>0</v>
      </c>
      <c r="BUP23" s="30">
        <f>'REG y VAL POE - AESR - ESR'!V1746</f>
        <v>0</v>
      </c>
      <c r="BUQ23" s="28">
        <f>'REG y VAL POE - AESR - ESR'!W1746</f>
        <v>0</v>
      </c>
      <c r="BUR23" s="29">
        <f>'REG y VAL POE - AESR - ESR'!X1746</f>
        <v>0</v>
      </c>
      <c r="BUS23" s="29">
        <f>'REG y VAL POE - AESR - ESR'!Y1746</f>
        <v>0</v>
      </c>
      <c r="BUT23" s="29">
        <f>'REG y VAL POE - AESR - ESR'!Z1746</f>
        <v>0</v>
      </c>
      <c r="BUU23" s="28">
        <f>'REG y VAL POE - AESR - ESR'!AA1746</f>
        <v>0</v>
      </c>
      <c r="BUV23" s="29">
        <f>'REG y VAL POE - AESR - ESR'!AB1746</f>
        <v>0</v>
      </c>
      <c r="BUW23" s="29">
        <f>'REG y VAL POE - AESR - ESR'!AC1746</f>
        <v>0</v>
      </c>
      <c r="BUX23" s="28">
        <f>'REG y VAL POE - AESR - ESR'!AD1746</f>
        <v>0</v>
      </c>
      <c r="BUY23" s="29">
        <f>'REG y VAL POE - AESR - ESR'!AE1746</f>
        <v>0</v>
      </c>
      <c r="BUZ23" s="30">
        <f>'REG y VAL POE - AESR - ESR'!AF1746</f>
        <v>0</v>
      </c>
      <c r="BVA23" s="28">
        <f>'REG y VAL POE - AESR - ESR'!AG1746</f>
        <v>0</v>
      </c>
      <c r="BVB23" s="29">
        <f>'REG y VAL POE - AESR - ESR'!AH1746</f>
        <v>0</v>
      </c>
      <c r="BVC23" s="29">
        <f>'REG y VAL POE - AESR - ESR'!AI1746</f>
        <v>0</v>
      </c>
      <c r="BVD23" s="29">
        <f>'REG y VAL POE - AESR - ESR'!AJ1746</f>
        <v>0</v>
      </c>
      <c r="BVE23" s="28">
        <f>'REG y VAL POE - AESR - ESR'!AK1746</f>
        <v>0</v>
      </c>
      <c r="BVF23" s="29">
        <f>'REG y VAL POE - AESR - ESR'!AL1746</f>
        <v>0</v>
      </c>
      <c r="BVG23" s="29">
        <f>'REG y VAL POE - AESR - ESR'!AM1746</f>
        <v>0</v>
      </c>
      <c r="BVH23" s="29">
        <f>'REG y VAL POE - AESR - ESR'!AN1746</f>
        <v>0</v>
      </c>
      <c r="BVI23" s="29">
        <f>'REG y VAL POE - AESR - ESR'!AO1746</f>
        <v>0</v>
      </c>
      <c r="BVJ23" s="29">
        <f>'REG y VAL POE - AESR - ESR'!AP1746</f>
        <v>0</v>
      </c>
      <c r="BVK23" s="28">
        <f>'REG y VAL POE - AESR - ESR'!AQ1746</f>
        <v>0</v>
      </c>
      <c r="BVL23" s="29">
        <f>'REG y VAL POE - AESR - ESR'!AR1746</f>
        <v>0</v>
      </c>
      <c r="BVM23" s="29">
        <f>'REG y VAL POE - AESR - ESR'!AS1746</f>
        <v>0</v>
      </c>
      <c r="BVN23" s="28" t="str">
        <f>'REG y VAL POE - AESR - ESR'!B1747</f>
        <v xml:space="preserve">Martinez Valdez Julio Alejandro </v>
      </c>
      <c r="BVO23" s="29" t="str">
        <f>'REG y VAL POE - AESR - ESR'!C1747</f>
        <v>Sin Registro</v>
      </c>
      <c r="BVP23" s="30">
        <f>'REG y VAL POE - AESR - ESR'!D1747</f>
        <v>23138643</v>
      </c>
      <c r="BVQ23" s="28" t="str">
        <f>'REG y VAL POE - AESR - ESR'!E1747</f>
        <v xml:space="preserve">Martinez Valdez Julio Alejandro </v>
      </c>
      <c r="BVR23" s="29">
        <f>'REG y VAL POE - AESR - ESR'!F1747</f>
        <v>23138643</v>
      </c>
      <c r="BVS23" s="29">
        <f>'REG y VAL POE - AESR - ESR'!G1747</f>
        <v>0</v>
      </c>
      <c r="BVT23" s="29">
        <f>'REG y VAL POE - AESR - ESR'!H1747</f>
        <v>0</v>
      </c>
      <c r="BVU23" s="28">
        <f>'REG y VAL POE - AESR - ESR'!I1747</f>
        <v>0</v>
      </c>
      <c r="BVV23" s="29">
        <f>'REG y VAL POE - AESR - ESR'!J1747</f>
        <v>0</v>
      </c>
      <c r="BVW23" s="29">
        <f>'REG y VAL POE - AESR - ESR'!K1747</f>
        <v>0</v>
      </c>
      <c r="BVX23" s="28">
        <f>'REG y VAL POE - AESR - ESR'!L1747</f>
        <v>0</v>
      </c>
      <c r="BVY23" s="29">
        <f>'REG y VAL POE - AESR - ESR'!M1747</f>
        <v>0</v>
      </c>
      <c r="BVZ23" s="30">
        <f>'REG y VAL POE - AESR - ESR'!N1747</f>
        <v>0</v>
      </c>
      <c r="BWA23" s="28">
        <f>'REG y VAL POE - AESR - ESR'!O1747</f>
        <v>0</v>
      </c>
      <c r="BWB23" s="29">
        <f>'REG y VAL POE - AESR - ESR'!P1747</f>
        <v>0</v>
      </c>
      <c r="BWC23" s="29">
        <f>'REG y VAL POE - AESR - ESR'!Q1747</f>
        <v>0</v>
      </c>
      <c r="BWD23" s="29">
        <f>'REG y VAL POE - AESR - ESR'!R1747</f>
        <v>0</v>
      </c>
      <c r="BWE23" s="28">
        <f>'REG y VAL POE - AESR - ESR'!S1747</f>
        <v>0</v>
      </c>
      <c r="BWF23" s="29">
        <f>'REG y VAL POE - AESR - ESR'!T1747</f>
        <v>0</v>
      </c>
      <c r="BWG23" s="29">
        <f>'REG y VAL POE - AESR - ESR'!U1747</f>
        <v>0</v>
      </c>
      <c r="BWH23" s="29">
        <f>'REG y VAL POE - AESR - ESR'!V1747</f>
        <v>0</v>
      </c>
      <c r="BWI23" s="29">
        <f>'REG y VAL POE - AESR - ESR'!W1747</f>
        <v>0</v>
      </c>
      <c r="BWJ23" s="29">
        <f>'REG y VAL POE - AESR - ESR'!X1747</f>
        <v>0</v>
      </c>
      <c r="BWK23" s="28">
        <f>'REG y VAL POE - AESR - ESR'!Y1747</f>
        <v>0</v>
      </c>
      <c r="BWL23" s="29">
        <f>'REG y VAL POE - AESR - ESR'!Z1747</f>
        <v>0</v>
      </c>
      <c r="BWM23" s="29">
        <f>'REG y VAL POE - AESR - ESR'!AA1747</f>
        <v>0</v>
      </c>
      <c r="BWN23" s="28">
        <f>'REG y VAL POE - AESR - ESR'!AB1747</f>
        <v>0</v>
      </c>
      <c r="BWO23" s="29">
        <f>'REG y VAL POE - AESR - ESR'!AC1747</f>
        <v>0</v>
      </c>
      <c r="BWP23" s="30">
        <f>'REG y VAL POE - AESR - ESR'!AD1747</f>
        <v>0</v>
      </c>
      <c r="BWQ23" s="28">
        <f>'REG y VAL POE - AESR - ESR'!AE1747</f>
        <v>0</v>
      </c>
      <c r="BWR23" s="29">
        <f>'REG y VAL POE - AESR - ESR'!AF1747</f>
        <v>0</v>
      </c>
      <c r="BWS23" s="29">
        <f>'REG y VAL POE - AESR - ESR'!AG1747</f>
        <v>0</v>
      </c>
      <c r="BWT23" s="29">
        <f>'REG y VAL POE - AESR - ESR'!AH1747</f>
        <v>0</v>
      </c>
      <c r="BWU23" s="28">
        <f>'REG y VAL POE - AESR - ESR'!AI1747</f>
        <v>0</v>
      </c>
      <c r="BWV23" s="29">
        <f>'REG y VAL POE - AESR - ESR'!AJ1747</f>
        <v>0</v>
      </c>
      <c r="BWW23" s="29">
        <f>'REG y VAL POE - AESR - ESR'!AK1747</f>
        <v>0</v>
      </c>
      <c r="BWX23" s="28">
        <f>'REG y VAL POE - AESR - ESR'!AL1747</f>
        <v>0</v>
      </c>
      <c r="BWY23" s="29">
        <f>'REG y VAL POE - AESR - ESR'!AM1747</f>
        <v>0</v>
      </c>
      <c r="BWZ23" s="30">
        <f>'REG y VAL POE - AESR - ESR'!AN1747</f>
        <v>0</v>
      </c>
      <c r="BXA23" s="28">
        <f>'REG y VAL POE - AESR - ESR'!AO1747</f>
        <v>0</v>
      </c>
      <c r="BXB23" s="29">
        <f>'REG y VAL POE - AESR - ESR'!AP1747</f>
        <v>0</v>
      </c>
      <c r="BXC23" s="29">
        <f>'REG y VAL POE - AESR - ESR'!AQ1747</f>
        <v>0</v>
      </c>
      <c r="BXD23" s="29">
        <f>'REG y VAL POE - AESR - ESR'!AR1747</f>
        <v>0</v>
      </c>
      <c r="BXE23" s="28">
        <f>'REG y VAL POE - AESR - ESR'!AS1747</f>
        <v>0</v>
      </c>
      <c r="BXF23" s="29" t="str">
        <f>'REG y VAL POE - AESR - ESR'!B1748</f>
        <v xml:space="preserve">Monreal Estrada Magdalena </v>
      </c>
      <c r="BXG23" s="29" t="str">
        <f>'REG y VAL POE - AESR - ESR'!C1748</f>
        <v>Sin Registro</v>
      </c>
      <c r="BXH23" s="29">
        <f>'REG y VAL POE - AESR - ESR'!D1748</f>
        <v>23162179</v>
      </c>
      <c r="BXI23" s="29" t="str">
        <f>'REG y VAL POE - AESR - ESR'!E1748</f>
        <v xml:space="preserve">Monreal Estrada Magdalena </v>
      </c>
      <c r="BXJ23" s="29">
        <f>'REG y VAL POE - AESR - ESR'!F1748</f>
        <v>23162179</v>
      </c>
      <c r="BXK23" s="28">
        <f>'REG y VAL POE - AESR - ESR'!G1748</f>
        <v>0</v>
      </c>
      <c r="BXL23" s="29">
        <f>'REG y VAL POE - AESR - ESR'!H1748</f>
        <v>0</v>
      </c>
      <c r="BXM23" s="29">
        <f>'REG y VAL POE - AESR - ESR'!I1748</f>
        <v>0</v>
      </c>
      <c r="BXN23" s="28">
        <f>'REG y VAL POE - AESR - ESR'!J1748</f>
        <v>0</v>
      </c>
      <c r="BXO23" s="29">
        <f>'REG y VAL POE - AESR - ESR'!K1748</f>
        <v>0</v>
      </c>
      <c r="BXP23" s="30">
        <f>'REG y VAL POE - AESR - ESR'!L1748</f>
        <v>0</v>
      </c>
      <c r="BXQ23" s="28">
        <f>'REG y VAL POE - AESR - ESR'!M1748</f>
        <v>0</v>
      </c>
      <c r="BXR23" s="29">
        <f>'REG y VAL POE - AESR - ESR'!N1748</f>
        <v>0</v>
      </c>
      <c r="BXS23" s="29">
        <f>'REG y VAL POE - AESR - ESR'!O1748</f>
        <v>0</v>
      </c>
      <c r="BXT23" s="29">
        <f>'REG y VAL POE - AESR - ESR'!P1748</f>
        <v>0</v>
      </c>
      <c r="BXU23" s="28">
        <f>'REG y VAL POE - AESR - ESR'!Q1748</f>
        <v>0</v>
      </c>
      <c r="BXV23" s="29">
        <f>'REG y VAL POE - AESR - ESR'!R1748</f>
        <v>0</v>
      </c>
      <c r="BXW23" s="29">
        <f>'REG y VAL POE - AESR - ESR'!S1748</f>
        <v>0</v>
      </c>
      <c r="BXX23" s="28">
        <f>'REG y VAL POE - AESR - ESR'!T1748</f>
        <v>0</v>
      </c>
      <c r="BXY23" s="29">
        <f>'REG y VAL POE - AESR - ESR'!U1748</f>
        <v>0</v>
      </c>
      <c r="BXZ23" s="30">
        <f>'REG y VAL POE - AESR - ESR'!V1748</f>
        <v>0</v>
      </c>
      <c r="BYA23" s="28">
        <f>'REG y VAL POE - AESR - ESR'!W1748</f>
        <v>0</v>
      </c>
      <c r="BYB23" s="29">
        <f>'REG y VAL POE - AESR - ESR'!X1748</f>
        <v>0</v>
      </c>
      <c r="BYC23" s="29">
        <f>'REG y VAL POE - AESR - ESR'!Y1748</f>
        <v>0</v>
      </c>
      <c r="BYD23" s="29">
        <f>'REG y VAL POE - AESR - ESR'!Z1748</f>
        <v>0</v>
      </c>
      <c r="BYE23" s="28">
        <f>'REG y VAL POE - AESR - ESR'!AA1748</f>
        <v>0</v>
      </c>
      <c r="BYF23" s="29">
        <f>'REG y VAL POE - AESR - ESR'!AB1748</f>
        <v>0</v>
      </c>
      <c r="BYG23" s="29">
        <f>'REG y VAL POE - AESR - ESR'!AC1748</f>
        <v>0</v>
      </c>
      <c r="BYH23" s="29">
        <f>'REG y VAL POE - AESR - ESR'!AD1748</f>
        <v>0</v>
      </c>
      <c r="BYI23" s="29">
        <f>'REG y VAL POE - AESR - ESR'!AE1748</f>
        <v>0</v>
      </c>
      <c r="BYJ23" s="29">
        <f>'REG y VAL POE - AESR - ESR'!AF1748</f>
        <v>0</v>
      </c>
      <c r="BYK23" s="28">
        <f>'REG y VAL POE - AESR - ESR'!AG1748</f>
        <v>0</v>
      </c>
      <c r="BYL23" s="29">
        <f>'REG y VAL POE - AESR - ESR'!AH1748</f>
        <v>0</v>
      </c>
      <c r="BYM23" s="29">
        <f>'REG y VAL POE - AESR - ESR'!AI1748</f>
        <v>0</v>
      </c>
      <c r="BYN23" s="28">
        <f>'REG y VAL POE - AESR - ESR'!AJ1748</f>
        <v>0</v>
      </c>
      <c r="BYO23" s="29">
        <f>'REG y VAL POE - AESR - ESR'!AK1748</f>
        <v>0</v>
      </c>
      <c r="BYP23" s="30">
        <f>'REG y VAL POE - AESR - ESR'!AL1748</f>
        <v>0</v>
      </c>
      <c r="BYQ23" s="28">
        <f>'REG y VAL POE - AESR - ESR'!AM1748</f>
        <v>0</v>
      </c>
      <c r="BYR23" s="29">
        <f>'REG y VAL POE - AESR - ESR'!AN1748</f>
        <v>0</v>
      </c>
      <c r="BYS23" s="29">
        <f>'REG y VAL POE - AESR - ESR'!AO1748</f>
        <v>0</v>
      </c>
      <c r="BYT23" s="29">
        <f>'REG y VAL POE - AESR - ESR'!AP1748</f>
        <v>0</v>
      </c>
      <c r="BYU23" s="28">
        <f>'REG y VAL POE - AESR - ESR'!AQ1748</f>
        <v>0</v>
      </c>
      <c r="BYV23" s="29">
        <f>'REG y VAL POE - AESR - ESR'!AR1748</f>
        <v>0</v>
      </c>
      <c r="BYW23" s="29">
        <f>'REG y VAL POE - AESR - ESR'!AS1748</f>
        <v>0</v>
      </c>
      <c r="BYX23" s="30" t="str">
        <f>'REG y VAL POE - AESR - ESR'!B1749</f>
        <v xml:space="preserve">Montanez Cerdio Victor Esau </v>
      </c>
      <c r="BYY23" s="29" t="str">
        <f>'REG y VAL POE - AESR - ESR'!C1749</f>
        <v>Sin Registro</v>
      </c>
      <c r="BYZ23" s="28">
        <f>'REG y VAL POE - AESR - ESR'!D1749</f>
        <v>23213095</v>
      </c>
      <c r="BZA23" s="29" t="str">
        <f>'REG y VAL POE - AESR - ESR'!E1749</f>
        <v xml:space="preserve">Montanez Cerdio Victor Esau </v>
      </c>
      <c r="BZB23" s="28">
        <f>'REG y VAL POE - AESR - ESR'!F1749</f>
        <v>23213095</v>
      </c>
      <c r="BZC23" s="28">
        <f>'REG y VAL POE - AESR - ESR'!G1749</f>
        <v>0</v>
      </c>
      <c r="BZD23" s="28">
        <f>'REG y VAL POE - AESR - ESR'!H1749</f>
        <v>0</v>
      </c>
      <c r="BZE23" s="29">
        <f>'REG y VAL POE - AESR - ESR'!I1749</f>
        <v>0</v>
      </c>
      <c r="BZF23" s="385">
        <f>'REG y VAL POE - AESR - ESR'!J1749</f>
        <v>0</v>
      </c>
      <c r="BZG23" s="29">
        <f>'REG y VAL POE - AESR - ESR'!K1749</f>
        <v>0</v>
      </c>
      <c r="BZH23" s="385">
        <f>'REG y VAL POE - AESR - ESR'!L1749</f>
        <v>0</v>
      </c>
      <c r="BZI23" s="29">
        <f>'REG y VAL POE - AESR - ESR'!M1749</f>
        <v>0</v>
      </c>
      <c r="BZJ23" s="385">
        <f>'REG y VAL POE - AESR - ESR'!N1749</f>
        <v>0</v>
      </c>
      <c r="BZK23" s="29">
        <f>'REG y VAL POE - AESR - ESR'!O1749</f>
        <v>0</v>
      </c>
      <c r="BZL23" s="29">
        <f>'REG y VAL POE - AESR - ESR'!P1749</f>
        <v>0</v>
      </c>
      <c r="BZM23" s="29">
        <f>'REG y VAL POE - AESR - ESR'!Q1749</f>
        <v>0</v>
      </c>
      <c r="BZN23" s="29">
        <f>'REG y VAL POE - AESR - ESR'!R1749</f>
        <v>0</v>
      </c>
      <c r="BZO23" s="29">
        <f>'REG y VAL POE - AESR - ESR'!S1749</f>
        <v>0</v>
      </c>
      <c r="BZP23" s="29">
        <f>'REG y VAL POE - AESR - ESR'!T1749</f>
        <v>0</v>
      </c>
      <c r="BZQ23" s="29">
        <f>'REG y VAL POE - AESR - ESR'!U1749</f>
        <v>0</v>
      </c>
      <c r="BZR23" s="29">
        <f>'REG y VAL POE - AESR - ESR'!V1749</f>
        <v>0</v>
      </c>
      <c r="BZS23" s="29">
        <f>'REG y VAL POE - AESR - ESR'!W1749</f>
        <v>0</v>
      </c>
      <c r="BZT23" s="29">
        <f>'REG y VAL POE - AESR - ESR'!X1749</f>
        <v>0</v>
      </c>
      <c r="BZU23" s="29">
        <f>'REG y VAL POE - AESR - ESR'!Y1749</f>
        <v>0</v>
      </c>
      <c r="BZV23" s="29">
        <f>'REG y VAL POE - AESR - ESR'!Z1749</f>
        <v>0</v>
      </c>
      <c r="BZW23" s="29">
        <f>'REG y VAL POE - AESR - ESR'!AA1749</f>
        <v>0</v>
      </c>
      <c r="BZX23" s="29">
        <f>'REG y VAL POE - AESR - ESR'!AB1749</f>
        <v>0</v>
      </c>
      <c r="BZY23" s="29">
        <f>'REG y VAL POE - AESR - ESR'!AC1749</f>
        <v>0</v>
      </c>
      <c r="BZZ23" s="29">
        <f>'REG y VAL POE - AESR - ESR'!AD1749</f>
        <v>0</v>
      </c>
      <c r="CAA23" s="29">
        <f>'REG y VAL POE - AESR - ESR'!AE1749</f>
        <v>0</v>
      </c>
      <c r="CAB23" s="29">
        <f>'REG y VAL POE - AESR - ESR'!AF1749</f>
        <v>0</v>
      </c>
      <c r="CAC23" s="29">
        <f>'REG y VAL POE - AESR - ESR'!AG1749</f>
        <v>0</v>
      </c>
      <c r="CAD23" s="29">
        <f>'REG y VAL POE - AESR - ESR'!AH1749</f>
        <v>0</v>
      </c>
      <c r="CAE23" s="29">
        <f>'REG y VAL POE - AESR - ESR'!AI1749</f>
        <v>0</v>
      </c>
      <c r="CAF23" s="29">
        <f>'REG y VAL POE - AESR - ESR'!AJ1749</f>
        <v>0</v>
      </c>
      <c r="CAG23" s="29">
        <f>'REG y VAL POE - AESR - ESR'!AK1749</f>
        <v>0</v>
      </c>
      <c r="CAH23" s="29">
        <f>'REG y VAL POE - AESR - ESR'!AL1749</f>
        <v>0</v>
      </c>
      <c r="CAI23" s="29">
        <f>'REG y VAL POE - AESR - ESR'!AM1749</f>
        <v>0</v>
      </c>
      <c r="CAJ23" s="29">
        <f>'REG y VAL POE - AESR - ESR'!AN1749</f>
        <v>0</v>
      </c>
      <c r="CAK23" s="29">
        <f>'REG y VAL POE - AESR - ESR'!AO1749</f>
        <v>0</v>
      </c>
      <c r="CAL23" s="29">
        <f>'REG y VAL POE - AESR - ESR'!AP1749</f>
        <v>0</v>
      </c>
      <c r="CAM23" s="29">
        <f>'REG y VAL POE - AESR - ESR'!AQ1749</f>
        <v>0</v>
      </c>
      <c r="CAN23" s="29">
        <f>'REG y VAL POE - AESR - ESR'!AR1749</f>
        <v>0</v>
      </c>
      <c r="CAO23" s="29">
        <f>'REG y VAL POE - AESR - ESR'!AS1749</f>
        <v>0</v>
      </c>
      <c r="CAP23" s="30" t="str">
        <f>'REG y VAL POE - AESR - ESR'!B1750</f>
        <v xml:space="preserve">Ocana Peralta Isai </v>
      </c>
      <c r="CAQ23" s="28" t="str">
        <f>'REG y VAL POE - AESR - ESR'!C1750</f>
        <v>Sin Registro</v>
      </c>
      <c r="CAR23" s="29">
        <f>'REG y VAL POE - AESR - ESR'!D1750</f>
        <v>23201361</v>
      </c>
      <c r="CAS23" s="29" t="str">
        <f>'REG y VAL POE - AESR - ESR'!E1750</f>
        <v xml:space="preserve">Ocana Peralta Isai </v>
      </c>
      <c r="CAT23" s="29">
        <f>'REG y VAL POE - AESR - ESR'!F1750</f>
        <v>23201361</v>
      </c>
      <c r="CAU23" s="29">
        <f>'REG y VAL POE - AESR - ESR'!G1750</f>
        <v>0</v>
      </c>
      <c r="CAV23" s="29">
        <f>'REG y VAL POE - AESR - ESR'!H1750</f>
        <v>0</v>
      </c>
      <c r="CAW23" s="28">
        <f>'REG y VAL POE - AESR - ESR'!I1750</f>
        <v>0</v>
      </c>
      <c r="CAX23" s="29">
        <f>'REG y VAL POE - AESR - ESR'!J1750</f>
        <v>0</v>
      </c>
      <c r="CAY23" s="29">
        <f>'REG y VAL POE - AESR - ESR'!K1750</f>
        <v>0</v>
      </c>
      <c r="CAZ23" s="28">
        <f>'REG y VAL POE - AESR - ESR'!L1750</f>
        <v>0</v>
      </c>
      <c r="CBA23" s="29">
        <f>'REG y VAL POE - AESR - ESR'!M1750</f>
        <v>0</v>
      </c>
      <c r="CBB23" s="30">
        <f>'REG y VAL POE - AESR - ESR'!N1750</f>
        <v>0</v>
      </c>
      <c r="CBC23" s="28">
        <f>'REG y VAL POE - AESR - ESR'!O1750</f>
        <v>0</v>
      </c>
      <c r="CBD23" s="29">
        <f>'REG y VAL POE - AESR - ESR'!P1750</f>
        <v>0</v>
      </c>
      <c r="CBE23" s="29">
        <f>'REG y VAL POE - AESR - ESR'!Q1750</f>
        <v>0</v>
      </c>
      <c r="CBF23" s="29">
        <f>'REG y VAL POE - AESR - ESR'!R1750</f>
        <v>0</v>
      </c>
      <c r="CBG23" s="28">
        <f>'REG y VAL POE - AESR - ESR'!S1750</f>
        <v>0</v>
      </c>
      <c r="CBH23" s="29">
        <f>'REG y VAL POE - AESR - ESR'!T1750</f>
        <v>0</v>
      </c>
      <c r="CBI23" s="29">
        <f>'REG y VAL POE - AESR - ESR'!U1750</f>
        <v>0</v>
      </c>
      <c r="CBJ23" s="28">
        <f>'REG y VAL POE - AESR - ESR'!V1750</f>
        <v>0</v>
      </c>
      <c r="CBK23" s="29">
        <f>'REG y VAL POE - AESR - ESR'!W1750</f>
        <v>0</v>
      </c>
      <c r="CBL23" s="30">
        <f>'REG y VAL POE - AESR - ESR'!X1750</f>
        <v>0</v>
      </c>
      <c r="CBM23" s="28">
        <f>'REG y VAL POE - AESR - ESR'!Y1750</f>
        <v>0</v>
      </c>
      <c r="CBN23" s="29">
        <f>'REG y VAL POE - AESR - ESR'!Z1750</f>
        <v>0</v>
      </c>
      <c r="CBO23" s="29">
        <f>'REG y VAL POE - AESR - ESR'!AA1750</f>
        <v>0</v>
      </c>
      <c r="CBP23" s="29">
        <f>'REG y VAL POE - AESR - ESR'!AB1750</f>
        <v>0</v>
      </c>
      <c r="CBQ23" s="28">
        <f>'REG y VAL POE - AESR - ESR'!AC1750</f>
        <v>0</v>
      </c>
      <c r="CBR23" s="29">
        <f>'REG y VAL POE - AESR - ESR'!AD1750</f>
        <v>0</v>
      </c>
      <c r="CBS23" s="29">
        <f>'REG y VAL POE - AESR - ESR'!AE1750</f>
        <v>0</v>
      </c>
      <c r="CBT23" s="28">
        <f>'REG y VAL POE - AESR - ESR'!AF1750</f>
        <v>0</v>
      </c>
      <c r="CBU23" s="29">
        <f>'REG y VAL POE - AESR - ESR'!AG1750</f>
        <v>0</v>
      </c>
      <c r="CBV23" s="30">
        <f>'REG y VAL POE - AESR - ESR'!AH1750</f>
        <v>0</v>
      </c>
      <c r="CBW23" s="28">
        <f>'REG y VAL POE - AESR - ESR'!AI1750</f>
        <v>0</v>
      </c>
      <c r="CBX23" s="29">
        <f>'REG y VAL POE - AESR - ESR'!AJ1750</f>
        <v>0</v>
      </c>
      <c r="CBY23" s="29">
        <f>'REG y VAL POE - AESR - ESR'!AK1750</f>
        <v>0</v>
      </c>
      <c r="CBZ23" s="29">
        <f>'REG y VAL POE - AESR - ESR'!AL1750</f>
        <v>0</v>
      </c>
      <c r="CCA23" s="28">
        <f>'REG y VAL POE - AESR - ESR'!AM1750</f>
        <v>0</v>
      </c>
      <c r="CCB23" s="29">
        <f>'REG y VAL POE - AESR - ESR'!AN1750</f>
        <v>0</v>
      </c>
      <c r="CCC23" s="29">
        <f>'REG y VAL POE - AESR - ESR'!AO1750</f>
        <v>0</v>
      </c>
      <c r="CCD23" s="28">
        <f>'REG y VAL POE - AESR - ESR'!AP1750</f>
        <v>0</v>
      </c>
      <c r="CCE23" s="29">
        <f>'REG y VAL POE - AESR - ESR'!AQ1750</f>
        <v>0</v>
      </c>
      <c r="CCF23" s="30">
        <f>'REG y VAL POE - AESR - ESR'!AR1750</f>
        <v>0</v>
      </c>
      <c r="CCG23" s="28">
        <f>'REG y VAL POE - AESR - ESR'!AS1750</f>
        <v>0</v>
      </c>
      <c r="CCH23" s="30" t="str">
        <f>'REG y VAL POE - AESR - ESR'!B1751</f>
        <v xml:space="preserve">Orduno Zazueta German Ernesto </v>
      </c>
      <c r="CCI23" s="29" t="str">
        <f>'REG y VAL POE - AESR - ESR'!C1751</f>
        <v>Sin Registro</v>
      </c>
      <c r="CCJ23" s="28">
        <f>'REG y VAL POE - AESR - ESR'!D1751</f>
        <v>23162963</v>
      </c>
      <c r="CCK23" s="29" t="str">
        <f>'REG y VAL POE - AESR - ESR'!E1751</f>
        <v xml:space="preserve">Orduno Zazueta German Ernesto </v>
      </c>
      <c r="CCL23" s="28">
        <f>'REG y VAL POE - AESR - ESR'!F1751</f>
        <v>23162963</v>
      </c>
      <c r="CCM23" s="28">
        <f>'REG y VAL POE - AESR - ESR'!G1751</f>
        <v>0</v>
      </c>
      <c r="CCN23" s="28">
        <f>'REG y VAL POE - AESR - ESR'!H1751</f>
        <v>0</v>
      </c>
      <c r="CCO23" s="29">
        <f>'REG y VAL POE - AESR - ESR'!I1751</f>
        <v>0</v>
      </c>
      <c r="CCP23" s="385">
        <f>'REG y VAL POE - AESR - ESR'!J1751</f>
        <v>0</v>
      </c>
      <c r="CCQ23" s="29">
        <f>'REG y VAL POE - AESR - ESR'!K1751</f>
        <v>0</v>
      </c>
      <c r="CCR23" s="385">
        <f>'REG y VAL POE - AESR - ESR'!L1751</f>
        <v>0</v>
      </c>
      <c r="CCS23" s="29">
        <f>'REG y VAL POE - AESR - ESR'!M1751</f>
        <v>0</v>
      </c>
      <c r="CCT23" s="385">
        <f>'REG y VAL POE - AESR - ESR'!N1751</f>
        <v>0</v>
      </c>
      <c r="CCU23" s="29">
        <f>'REG y VAL POE - AESR - ESR'!O1751</f>
        <v>0</v>
      </c>
      <c r="CCV23" s="29">
        <f>'REG y VAL POE - AESR - ESR'!P1751</f>
        <v>0</v>
      </c>
      <c r="CCW23" s="29">
        <f>'REG y VAL POE - AESR - ESR'!Q1751</f>
        <v>0</v>
      </c>
      <c r="CCX23" s="29">
        <f>'REG y VAL POE - AESR - ESR'!R1751</f>
        <v>0</v>
      </c>
      <c r="CCY23" s="29">
        <f>'REG y VAL POE - AESR - ESR'!S1751</f>
        <v>0</v>
      </c>
      <c r="CCZ23" s="29">
        <f>'REG y VAL POE - AESR - ESR'!T1751</f>
        <v>0</v>
      </c>
      <c r="CDA23" s="29">
        <f>'REG y VAL POE - AESR - ESR'!U1751</f>
        <v>0</v>
      </c>
      <c r="CDB23" s="29">
        <f>'REG y VAL POE - AESR - ESR'!V1751</f>
        <v>0</v>
      </c>
      <c r="CDC23" s="29">
        <f>'REG y VAL POE - AESR - ESR'!W1751</f>
        <v>0</v>
      </c>
      <c r="CDD23" s="29">
        <f>'REG y VAL POE - AESR - ESR'!X1751</f>
        <v>0</v>
      </c>
      <c r="CDE23" s="29">
        <f>'REG y VAL POE - AESR - ESR'!Y1751</f>
        <v>0</v>
      </c>
      <c r="CDF23" s="29">
        <f>'REG y VAL POE - AESR - ESR'!Z1751</f>
        <v>0</v>
      </c>
      <c r="CDG23" s="29">
        <f>'REG y VAL POE - AESR - ESR'!AA1751</f>
        <v>0</v>
      </c>
      <c r="CDH23" s="29">
        <f>'REG y VAL POE - AESR - ESR'!AB1751</f>
        <v>0</v>
      </c>
      <c r="CDI23" s="29">
        <f>'REG y VAL POE - AESR - ESR'!AC1751</f>
        <v>0</v>
      </c>
      <c r="CDJ23" s="29">
        <f>'REG y VAL POE - AESR - ESR'!AD1751</f>
        <v>0</v>
      </c>
      <c r="CDK23" s="29">
        <f>'REG y VAL POE - AESR - ESR'!AE1751</f>
        <v>0</v>
      </c>
      <c r="CDL23" s="29">
        <f>'REG y VAL POE - AESR - ESR'!AF1751</f>
        <v>0</v>
      </c>
      <c r="CDM23" s="29">
        <f>'REG y VAL POE - AESR - ESR'!AG1751</f>
        <v>0</v>
      </c>
      <c r="CDN23" s="29">
        <f>'REG y VAL POE - AESR - ESR'!AH1751</f>
        <v>0</v>
      </c>
      <c r="CDO23" s="29">
        <f>'REG y VAL POE - AESR - ESR'!AI1751</f>
        <v>0</v>
      </c>
      <c r="CDP23" s="29">
        <f>'REG y VAL POE - AESR - ESR'!AJ1751</f>
        <v>0</v>
      </c>
      <c r="CDQ23" s="29">
        <f>'REG y VAL POE - AESR - ESR'!AK1751</f>
        <v>0</v>
      </c>
      <c r="CDR23" s="29">
        <f>'REG y VAL POE - AESR - ESR'!AL1751</f>
        <v>0</v>
      </c>
      <c r="CDS23" s="29">
        <f>'REG y VAL POE - AESR - ESR'!AM1751</f>
        <v>0</v>
      </c>
      <c r="CDT23" s="29">
        <f>'REG y VAL POE - AESR - ESR'!AN1751</f>
        <v>0</v>
      </c>
      <c r="CDU23" s="29">
        <f>'REG y VAL POE - AESR - ESR'!AO1751</f>
        <v>0</v>
      </c>
      <c r="CDV23" s="29">
        <f>'REG y VAL POE - AESR - ESR'!AP1751</f>
        <v>0</v>
      </c>
      <c r="CDW23" s="29">
        <f>'REG y VAL POE - AESR - ESR'!AQ1751</f>
        <v>0</v>
      </c>
      <c r="CDX23" s="29">
        <f>'REG y VAL POE - AESR - ESR'!AR1751</f>
        <v>0</v>
      </c>
      <c r="CDY23" s="29">
        <f>'REG y VAL POE - AESR - ESR'!AS1751</f>
        <v>0</v>
      </c>
      <c r="CDZ23" s="30" t="str">
        <f>'REG y VAL POE - AESR - ESR'!B1752</f>
        <v xml:space="preserve">Perez Contreras Hector Noe </v>
      </c>
      <c r="CEA23" s="28" t="str">
        <f>'REG y VAL POE - AESR - ESR'!C1752</f>
        <v>Sin Registro</v>
      </c>
      <c r="CEB23" s="29">
        <f>'REG y VAL POE - AESR - ESR'!D1752</f>
        <v>23161873</v>
      </c>
      <c r="CEC23" s="29" t="str">
        <f>'REG y VAL POE - AESR - ESR'!E1752</f>
        <v xml:space="preserve">Perez Contreras Hector Noe </v>
      </c>
      <c r="CED23" s="29">
        <f>'REG y VAL POE - AESR - ESR'!F1752</f>
        <v>23161873</v>
      </c>
      <c r="CEE23" s="29">
        <f>'REG y VAL POE - AESR - ESR'!G1752</f>
        <v>0</v>
      </c>
      <c r="CEF23" s="29">
        <f>'REG y VAL POE - AESR - ESR'!H1752</f>
        <v>0</v>
      </c>
      <c r="CEG23" s="28">
        <f>'REG y VAL POE - AESR - ESR'!I1752</f>
        <v>0</v>
      </c>
      <c r="CEH23" s="29">
        <f>'REG y VAL POE - AESR - ESR'!J1752</f>
        <v>0</v>
      </c>
      <c r="CEI23" s="29">
        <f>'REG y VAL POE - AESR - ESR'!K1752</f>
        <v>0</v>
      </c>
      <c r="CEJ23" s="28">
        <f>'REG y VAL POE - AESR - ESR'!L1752</f>
        <v>0</v>
      </c>
      <c r="CEK23" s="29">
        <f>'REG y VAL POE - AESR - ESR'!M1752</f>
        <v>0</v>
      </c>
      <c r="CEL23" s="30">
        <f>'REG y VAL POE - AESR - ESR'!N1752</f>
        <v>0</v>
      </c>
      <c r="CEM23" s="28">
        <f>'REG y VAL POE - AESR - ESR'!O1752</f>
        <v>0</v>
      </c>
      <c r="CEN23" s="29">
        <f>'REG y VAL POE - AESR - ESR'!P1752</f>
        <v>0</v>
      </c>
      <c r="CEO23" s="29">
        <f>'REG y VAL POE - AESR - ESR'!Q1752</f>
        <v>0</v>
      </c>
      <c r="CEP23" s="29">
        <f>'REG y VAL POE - AESR - ESR'!R1752</f>
        <v>0</v>
      </c>
      <c r="CEQ23" s="28">
        <f>'REG y VAL POE - AESR - ESR'!S1752</f>
        <v>0</v>
      </c>
      <c r="CER23" s="29">
        <f>'REG y VAL POE - AESR - ESR'!T1752</f>
        <v>0</v>
      </c>
      <c r="CES23" s="29">
        <f>'REG y VAL POE - AESR - ESR'!U1752</f>
        <v>0</v>
      </c>
      <c r="CET23" s="28">
        <f>'REG y VAL POE - AESR - ESR'!V1752</f>
        <v>0</v>
      </c>
      <c r="CEU23" s="29">
        <f>'REG y VAL POE - AESR - ESR'!W1752</f>
        <v>0</v>
      </c>
      <c r="CEV23" s="30">
        <f>'REG y VAL POE - AESR - ESR'!X1752</f>
        <v>0</v>
      </c>
      <c r="CEW23" s="28">
        <f>'REG y VAL POE - AESR - ESR'!Y1752</f>
        <v>0</v>
      </c>
      <c r="CEX23" s="29">
        <f>'REG y VAL POE - AESR - ESR'!Z1752</f>
        <v>0</v>
      </c>
      <c r="CEY23" s="29">
        <f>'REG y VAL POE - AESR - ESR'!AA1752</f>
        <v>0</v>
      </c>
      <c r="CEZ23" s="29">
        <f>'REG y VAL POE - AESR - ESR'!AB1752</f>
        <v>0</v>
      </c>
      <c r="CFA23" s="28">
        <f>'REG y VAL POE - AESR - ESR'!AC1752</f>
        <v>0</v>
      </c>
      <c r="CFB23" s="29">
        <f>'REG y VAL POE - AESR - ESR'!AD1752</f>
        <v>0</v>
      </c>
      <c r="CFC23" s="29">
        <f>'REG y VAL POE - AESR - ESR'!AE1752</f>
        <v>0</v>
      </c>
      <c r="CFD23" s="28">
        <f>'REG y VAL POE - AESR - ESR'!AF1752</f>
        <v>0</v>
      </c>
      <c r="CFE23" s="29">
        <f>'REG y VAL POE - AESR - ESR'!AG1752</f>
        <v>0</v>
      </c>
      <c r="CFF23" s="30">
        <f>'REG y VAL POE - AESR - ESR'!AH1752</f>
        <v>0</v>
      </c>
      <c r="CFG23" s="28">
        <f>'REG y VAL POE - AESR - ESR'!AI1752</f>
        <v>0</v>
      </c>
      <c r="CFH23" s="29">
        <f>'REG y VAL POE - AESR - ESR'!AJ1752</f>
        <v>0</v>
      </c>
      <c r="CFI23" s="29">
        <f>'REG y VAL POE - AESR - ESR'!AK1752</f>
        <v>0</v>
      </c>
      <c r="CFJ23" s="29">
        <f>'REG y VAL POE - AESR - ESR'!AL1752</f>
        <v>0</v>
      </c>
      <c r="CFK23" s="28">
        <f>'REG y VAL POE - AESR - ESR'!AM1752</f>
        <v>0</v>
      </c>
      <c r="CFL23" s="29">
        <f>'REG y VAL POE - AESR - ESR'!AN1752</f>
        <v>0</v>
      </c>
      <c r="CFM23" s="29">
        <f>'REG y VAL POE - AESR - ESR'!AO1752</f>
        <v>0</v>
      </c>
      <c r="CFN23" s="28">
        <f>'REG y VAL POE - AESR - ESR'!AP1752</f>
        <v>0</v>
      </c>
      <c r="CFO23" s="29">
        <f>'REG y VAL POE - AESR - ESR'!AQ1752</f>
        <v>0</v>
      </c>
      <c r="CFP23" s="30">
        <f>'REG y VAL POE - AESR - ESR'!AR1752</f>
        <v>0</v>
      </c>
      <c r="CFQ23" s="28">
        <f>'REG y VAL POE - AESR - ESR'!AS1752</f>
        <v>0</v>
      </c>
      <c r="CFR23" s="30" t="str">
        <f>'REG y VAL POE - AESR - ESR'!B1753</f>
        <v xml:space="preserve">Perez Montes Roberto </v>
      </c>
      <c r="CFS23" s="29" t="str">
        <f>'REG y VAL POE - AESR - ESR'!C1753</f>
        <v>Sin Registro</v>
      </c>
      <c r="CFT23" s="28">
        <f>'REG y VAL POE - AESR - ESR'!D1753</f>
        <v>23225422</v>
      </c>
      <c r="CFU23" s="29" t="str">
        <f>'REG y VAL POE - AESR - ESR'!E1753</f>
        <v xml:space="preserve">Perez Montes Roberto </v>
      </c>
      <c r="CFV23" s="28">
        <f>'REG y VAL POE - AESR - ESR'!F1753</f>
        <v>23225422</v>
      </c>
      <c r="CFW23" s="28">
        <f>'REG y VAL POE - AESR - ESR'!G1753</f>
        <v>0</v>
      </c>
      <c r="CFX23" s="28">
        <f>'REG y VAL POE - AESR - ESR'!H1753</f>
        <v>0</v>
      </c>
      <c r="CFY23" s="29">
        <f>'REG y VAL POE - AESR - ESR'!I1753</f>
        <v>0</v>
      </c>
      <c r="CFZ23" s="385">
        <f>'REG y VAL POE - AESR - ESR'!J1753</f>
        <v>0</v>
      </c>
      <c r="CGA23" s="29">
        <f>'REG y VAL POE - AESR - ESR'!K1753</f>
        <v>0</v>
      </c>
      <c r="CGB23" s="385">
        <f>'REG y VAL POE - AESR - ESR'!L1753</f>
        <v>0</v>
      </c>
      <c r="CGC23" s="29">
        <f>'REG y VAL POE - AESR - ESR'!M1753</f>
        <v>0</v>
      </c>
      <c r="CGD23" s="385">
        <f>'REG y VAL POE - AESR - ESR'!N1753</f>
        <v>0</v>
      </c>
      <c r="CGE23" s="29">
        <f>'REG y VAL POE - AESR - ESR'!O1753</f>
        <v>0</v>
      </c>
      <c r="CGF23" s="29">
        <f>'REG y VAL POE - AESR - ESR'!P1753</f>
        <v>0</v>
      </c>
      <c r="CGG23" s="29">
        <f>'REG y VAL POE - AESR - ESR'!Q1753</f>
        <v>0</v>
      </c>
      <c r="CGH23" s="29">
        <f>'REG y VAL POE - AESR - ESR'!R1753</f>
        <v>0</v>
      </c>
      <c r="CGI23" s="29">
        <f>'REG y VAL POE - AESR - ESR'!S1753</f>
        <v>0</v>
      </c>
      <c r="CGJ23" s="29">
        <f>'REG y VAL POE - AESR - ESR'!T1753</f>
        <v>0</v>
      </c>
      <c r="CGK23" s="29">
        <f>'REG y VAL POE - AESR - ESR'!U1753</f>
        <v>0</v>
      </c>
      <c r="CGL23" s="29">
        <f>'REG y VAL POE - AESR - ESR'!V1753</f>
        <v>0</v>
      </c>
      <c r="CGM23" s="29">
        <f>'REG y VAL POE - AESR - ESR'!W1753</f>
        <v>0</v>
      </c>
      <c r="CGN23" s="29">
        <f>'REG y VAL POE - AESR - ESR'!X1753</f>
        <v>0</v>
      </c>
      <c r="CGO23" s="29">
        <f>'REG y VAL POE - AESR - ESR'!Y1753</f>
        <v>0</v>
      </c>
      <c r="CGP23" s="29">
        <f>'REG y VAL POE - AESR - ESR'!Z1753</f>
        <v>0</v>
      </c>
      <c r="CGQ23" s="29">
        <f>'REG y VAL POE - AESR - ESR'!AA1753</f>
        <v>0</v>
      </c>
      <c r="CGR23" s="29">
        <f>'REG y VAL POE - AESR - ESR'!AB1753</f>
        <v>0</v>
      </c>
      <c r="CGS23" s="29">
        <f>'REG y VAL POE - AESR - ESR'!AC1753</f>
        <v>0</v>
      </c>
      <c r="CGT23" s="29">
        <f>'REG y VAL POE - AESR - ESR'!AD1753</f>
        <v>0</v>
      </c>
      <c r="CGU23" s="29">
        <f>'REG y VAL POE - AESR - ESR'!AE1753</f>
        <v>0</v>
      </c>
      <c r="CGV23" s="29">
        <f>'REG y VAL POE - AESR - ESR'!AF1753</f>
        <v>0</v>
      </c>
      <c r="CGW23" s="29">
        <f>'REG y VAL POE - AESR - ESR'!AG1753</f>
        <v>0</v>
      </c>
      <c r="CGX23" s="29">
        <f>'REG y VAL POE - AESR - ESR'!AH1753</f>
        <v>0</v>
      </c>
      <c r="CGY23" s="29">
        <f>'REG y VAL POE - AESR - ESR'!AI1753</f>
        <v>0</v>
      </c>
      <c r="CGZ23" s="29">
        <f>'REG y VAL POE - AESR - ESR'!AJ1753</f>
        <v>0</v>
      </c>
      <c r="CHA23" s="29">
        <f>'REG y VAL POE - AESR - ESR'!AK1753</f>
        <v>0</v>
      </c>
      <c r="CHB23" s="29">
        <f>'REG y VAL POE - AESR - ESR'!AL1753</f>
        <v>0</v>
      </c>
      <c r="CHC23" s="29">
        <f>'REG y VAL POE - AESR - ESR'!AM1753</f>
        <v>0</v>
      </c>
      <c r="CHD23" s="29">
        <f>'REG y VAL POE - AESR - ESR'!AN1753</f>
        <v>0</v>
      </c>
      <c r="CHE23" s="29">
        <f>'REG y VAL POE - AESR - ESR'!AO1753</f>
        <v>0</v>
      </c>
      <c r="CHF23" s="29">
        <f>'REG y VAL POE - AESR - ESR'!AP1753</f>
        <v>0</v>
      </c>
      <c r="CHG23" s="29">
        <f>'REG y VAL POE - AESR - ESR'!AQ1753</f>
        <v>0</v>
      </c>
      <c r="CHH23" s="29">
        <f>'REG y VAL POE - AESR - ESR'!AR1753</f>
        <v>0</v>
      </c>
      <c r="CHI23" s="29">
        <f>'REG y VAL POE - AESR - ESR'!AS1753</f>
        <v>0</v>
      </c>
      <c r="CHJ23" s="30" t="str">
        <f>'REG y VAL POE - AESR - ESR'!B1754</f>
        <v xml:space="preserve">Perez Uc Jose Efrain </v>
      </c>
      <c r="CHK23" s="28" t="str">
        <f>'REG y VAL POE - AESR - ESR'!C1754</f>
        <v>Sin Registro</v>
      </c>
      <c r="CHL23" s="29">
        <f>'REG y VAL POE - AESR - ESR'!D1754</f>
        <v>23210522</v>
      </c>
      <c r="CHM23" s="29" t="str">
        <f>'REG y VAL POE - AESR - ESR'!E1754</f>
        <v xml:space="preserve">Perez Uc Jose Efrain </v>
      </c>
      <c r="CHN23" s="29">
        <f>'REG y VAL POE - AESR - ESR'!F1754</f>
        <v>23210522</v>
      </c>
      <c r="CHO23" s="29">
        <f>'REG y VAL POE - AESR - ESR'!G1754</f>
        <v>0</v>
      </c>
      <c r="CHP23" s="29">
        <f>'REG y VAL POE - AESR - ESR'!H1754</f>
        <v>0</v>
      </c>
      <c r="CHQ23" s="28">
        <f>'REG y VAL POE - AESR - ESR'!I1754</f>
        <v>0</v>
      </c>
      <c r="CHR23" s="29">
        <f>'REG y VAL POE - AESR - ESR'!J1754</f>
        <v>0</v>
      </c>
      <c r="CHS23" s="29">
        <f>'REG y VAL POE - AESR - ESR'!K1754</f>
        <v>0</v>
      </c>
      <c r="CHT23" s="28">
        <f>'REG y VAL POE - AESR - ESR'!L1754</f>
        <v>0</v>
      </c>
      <c r="CHU23" s="29">
        <f>'REG y VAL POE - AESR - ESR'!M1754</f>
        <v>0</v>
      </c>
      <c r="CHV23" s="30">
        <f>'REG y VAL POE - AESR - ESR'!N1754</f>
        <v>0</v>
      </c>
      <c r="CHW23" s="28">
        <f>'REG y VAL POE - AESR - ESR'!O1754</f>
        <v>0</v>
      </c>
      <c r="CHX23" s="29">
        <f>'REG y VAL POE - AESR - ESR'!P1754</f>
        <v>0</v>
      </c>
      <c r="CHY23" s="29">
        <f>'REG y VAL POE - AESR - ESR'!Q1754</f>
        <v>0</v>
      </c>
      <c r="CHZ23" s="29">
        <f>'REG y VAL POE - AESR - ESR'!R1754</f>
        <v>0</v>
      </c>
      <c r="CIA23" s="28">
        <f>'REG y VAL POE - AESR - ESR'!S1754</f>
        <v>0</v>
      </c>
      <c r="CIB23" s="29">
        <f>'REG y VAL POE - AESR - ESR'!T1754</f>
        <v>0</v>
      </c>
      <c r="CIC23" s="29">
        <f>'REG y VAL POE - AESR - ESR'!U1754</f>
        <v>0</v>
      </c>
      <c r="CID23" s="28">
        <f>'REG y VAL POE - AESR - ESR'!V1754</f>
        <v>0</v>
      </c>
      <c r="CIE23" s="29">
        <f>'REG y VAL POE - AESR - ESR'!W1754</f>
        <v>0</v>
      </c>
      <c r="CIF23" s="30">
        <f>'REG y VAL POE - AESR - ESR'!X1754</f>
        <v>0</v>
      </c>
      <c r="CIG23" s="28">
        <f>'REG y VAL POE - AESR - ESR'!Y1754</f>
        <v>0</v>
      </c>
      <c r="CIH23" s="29">
        <f>'REG y VAL POE - AESR - ESR'!Z1754</f>
        <v>0</v>
      </c>
      <c r="CII23" s="29">
        <f>'REG y VAL POE - AESR - ESR'!AA1754</f>
        <v>0</v>
      </c>
      <c r="CIJ23" s="29">
        <f>'REG y VAL POE - AESR - ESR'!AB1754</f>
        <v>0</v>
      </c>
      <c r="CIK23" s="28">
        <f>'REG y VAL POE - AESR - ESR'!AC1754</f>
        <v>0</v>
      </c>
      <c r="CIL23" s="29">
        <f>'REG y VAL POE - AESR - ESR'!AD1754</f>
        <v>0</v>
      </c>
      <c r="CIM23" s="29">
        <f>'REG y VAL POE - AESR - ESR'!AE1754</f>
        <v>0</v>
      </c>
      <c r="CIN23" s="28">
        <f>'REG y VAL POE - AESR - ESR'!AF1754</f>
        <v>0</v>
      </c>
      <c r="CIO23" s="29">
        <f>'REG y VAL POE - AESR - ESR'!AG1754</f>
        <v>0</v>
      </c>
      <c r="CIP23" s="30">
        <f>'REG y VAL POE - AESR - ESR'!AH1754</f>
        <v>0</v>
      </c>
      <c r="CIQ23" s="28">
        <f>'REG y VAL POE - AESR - ESR'!AI1754</f>
        <v>0</v>
      </c>
      <c r="CIR23" s="29">
        <f>'REG y VAL POE - AESR - ESR'!AJ1754</f>
        <v>0</v>
      </c>
      <c r="CIS23" s="29">
        <f>'REG y VAL POE - AESR - ESR'!AK1754</f>
        <v>0</v>
      </c>
      <c r="CIT23" s="29">
        <f>'REG y VAL POE - AESR - ESR'!AL1754</f>
        <v>0</v>
      </c>
      <c r="CIU23" s="28">
        <f>'REG y VAL POE - AESR - ESR'!AM1754</f>
        <v>0</v>
      </c>
      <c r="CIV23" s="29">
        <f>'REG y VAL POE - AESR - ESR'!AN1754</f>
        <v>0</v>
      </c>
      <c r="CIW23" s="29">
        <f>'REG y VAL POE - AESR - ESR'!AO1754</f>
        <v>0</v>
      </c>
      <c r="CIX23" s="28">
        <f>'REG y VAL POE - AESR - ESR'!AP1754</f>
        <v>0</v>
      </c>
      <c r="CIY23" s="29">
        <f>'REG y VAL POE - AESR - ESR'!AQ1754</f>
        <v>0</v>
      </c>
      <c r="CIZ23" s="30">
        <f>'REG y VAL POE - AESR - ESR'!AR1754</f>
        <v>0</v>
      </c>
      <c r="CJA23" s="28">
        <f>'REG y VAL POE - AESR - ESR'!AS1754</f>
        <v>0</v>
      </c>
      <c r="CJB23" s="30" t="str">
        <f>'REG y VAL POE - AESR - ESR'!B1755</f>
        <v xml:space="preserve">Quinones Cabellos Noel Alejandro </v>
      </c>
      <c r="CJC23" s="29" t="str">
        <f>'REG y VAL POE - AESR - ESR'!C1755</f>
        <v>Sin Registro</v>
      </c>
      <c r="CJD23" s="28">
        <f>'REG y VAL POE - AESR - ESR'!D1755</f>
        <v>23020811</v>
      </c>
      <c r="CJE23" s="29" t="str">
        <f>'REG y VAL POE - AESR - ESR'!E1755</f>
        <v xml:space="preserve">Quinones Cabellos Noel Alejandro </v>
      </c>
      <c r="CJF23" s="28">
        <f>'REG y VAL POE - AESR - ESR'!F1755</f>
        <v>23020811</v>
      </c>
      <c r="CJG23" s="28">
        <f>'REG y VAL POE - AESR - ESR'!G1755</f>
        <v>0</v>
      </c>
      <c r="CJH23" s="28">
        <f>'REG y VAL POE - AESR - ESR'!H1755</f>
        <v>0</v>
      </c>
      <c r="CJI23" s="29">
        <f>'REG y VAL POE - AESR - ESR'!I1755</f>
        <v>0</v>
      </c>
      <c r="CJJ23" s="385">
        <f>'REG y VAL POE - AESR - ESR'!J1755</f>
        <v>0</v>
      </c>
      <c r="CJK23" s="29">
        <f>'REG y VAL POE - AESR - ESR'!K1755</f>
        <v>0</v>
      </c>
      <c r="CJL23" s="385">
        <f>'REG y VAL POE - AESR - ESR'!L1755</f>
        <v>0</v>
      </c>
      <c r="CJM23" s="29">
        <f>'REG y VAL POE - AESR - ESR'!M1755</f>
        <v>0</v>
      </c>
      <c r="CJN23" s="385">
        <f>'REG y VAL POE - AESR - ESR'!N1755</f>
        <v>0</v>
      </c>
      <c r="CJO23" s="29">
        <f>'REG y VAL POE - AESR - ESR'!O1755</f>
        <v>0</v>
      </c>
      <c r="CJP23" s="29">
        <f>'REG y VAL POE - AESR - ESR'!P1755</f>
        <v>0</v>
      </c>
      <c r="CJQ23" s="29">
        <f>'REG y VAL POE - AESR - ESR'!Q1755</f>
        <v>0</v>
      </c>
      <c r="CJR23" s="29">
        <f>'REG y VAL POE - AESR - ESR'!R1755</f>
        <v>0</v>
      </c>
      <c r="CJS23" s="29">
        <f>'REG y VAL POE - AESR - ESR'!S1755</f>
        <v>0</v>
      </c>
      <c r="CJT23" s="29">
        <f>'REG y VAL POE - AESR - ESR'!T1755</f>
        <v>0</v>
      </c>
      <c r="CJU23" s="29">
        <f>'REG y VAL POE - AESR - ESR'!U1755</f>
        <v>0</v>
      </c>
      <c r="CJV23" s="29">
        <f>'REG y VAL POE - AESR - ESR'!V1755</f>
        <v>0</v>
      </c>
      <c r="CJW23" s="29">
        <f>'REG y VAL POE - AESR - ESR'!W1755</f>
        <v>0</v>
      </c>
      <c r="CJX23" s="29">
        <f>'REG y VAL POE - AESR - ESR'!X1755</f>
        <v>0</v>
      </c>
      <c r="CJY23" s="29">
        <f>'REG y VAL POE - AESR - ESR'!Y1755</f>
        <v>0</v>
      </c>
      <c r="CJZ23" s="29">
        <f>'REG y VAL POE - AESR - ESR'!Z1755</f>
        <v>0</v>
      </c>
      <c r="CKA23" s="29">
        <f>'REG y VAL POE - AESR - ESR'!AA1755</f>
        <v>0</v>
      </c>
      <c r="CKB23" s="29">
        <f>'REG y VAL POE - AESR - ESR'!AB1755</f>
        <v>0</v>
      </c>
      <c r="CKC23" s="29">
        <f>'REG y VAL POE - AESR - ESR'!AC1755</f>
        <v>0</v>
      </c>
      <c r="CKD23" s="29">
        <f>'REG y VAL POE - AESR - ESR'!AD1755</f>
        <v>0</v>
      </c>
      <c r="CKE23" s="29">
        <f>'REG y VAL POE - AESR - ESR'!AE1755</f>
        <v>0</v>
      </c>
      <c r="CKF23" s="29">
        <f>'REG y VAL POE - AESR - ESR'!AF1755</f>
        <v>0</v>
      </c>
      <c r="CKG23" s="29">
        <f>'REG y VAL POE - AESR - ESR'!AG1755</f>
        <v>0</v>
      </c>
      <c r="CKH23" s="29">
        <f>'REG y VAL POE - AESR - ESR'!AH1755</f>
        <v>0</v>
      </c>
      <c r="CKI23" s="29">
        <f>'REG y VAL POE - AESR - ESR'!AI1755</f>
        <v>0</v>
      </c>
      <c r="CKJ23" s="29">
        <f>'REG y VAL POE - AESR - ESR'!AJ1755</f>
        <v>0</v>
      </c>
      <c r="CKK23" s="29">
        <f>'REG y VAL POE - AESR - ESR'!AK1755</f>
        <v>0</v>
      </c>
      <c r="CKL23" s="29">
        <f>'REG y VAL POE - AESR - ESR'!AL1755</f>
        <v>0</v>
      </c>
      <c r="CKM23" s="29">
        <f>'REG y VAL POE - AESR - ESR'!AM1755</f>
        <v>0</v>
      </c>
      <c r="CKN23" s="29">
        <f>'REG y VAL POE - AESR - ESR'!AN1755</f>
        <v>0</v>
      </c>
      <c r="CKO23" s="29">
        <f>'REG y VAL POE - AESR - ESR'!AO1755</f>
        <v>0</v>
      </c>
      <c r="CKP23" s="29">
        <f>'REG y VAL POE - AESR - ESR'!AP1755</f>
        <v>0</v>
      </c>
      <c r="CKQ23" s="29">
        <f>'REG y VAL POE - AESR - ESR'!AQ1755</f>
        <v>0</v>
      </c>
      <c r="CKR23" s="29">
        <f>'REG y VAL POE - AESR - ESR'!AR1755</f>
        <v>0</v>
      </c>
      <c r="CKS23" s="29">
        <f>'REG y VAL POE - AESR - ESR'!AS1755</f>
        <v>0</v>
      </c>
      <c r="CKT23" s="30" t="str">
        <f>'REG y VAL POE - AESR - ESR'!B1756</f>
        <v xml:space="preserve">Rafael Martinez Luis Angel </v>
      </c>
      <c r="CKU23" s="28" t="str">
        <f>'REG y VAL POE - AESR - ESR'!C1756</f>
        <v>Sin Registro</v>
      </c>
      <c r="CKV23" s="29">
        <f>'REG y VAL POE - AESR - ESR'!D1756</f>
        <v>23183079</v>
      </c>
      <c r="CKW23" s="29" t="str">
        <f>'REG y VAL POE - AESR - ESR'!E1756</f>
        <v xml:space="preserve">Rafael Martinez Luis Angel </v>
      </c>
      <c r="CKX23" s="29">
        <f>'REG y VAL POE - AESR - ESR'!F1756</f>
        <v>23183079</v>
      </c>
      <c r="CKY23" s="29">
        <f>'REG y VAL POE - AESR - ESR'!G1756</f>
        <v>0</v>
      </c>
      <c r="CKZ23" s="29">
        <f>'REG y VAL POE - AESR - ESR'!H1756</f>
        <v>0</v>
      </c>
      <c r="CLA23" s="28">
        <f>'REG y VAL POE - AESR - ESR'!I1756</f>
        <v>0</v>
      </c>
      <c r="CLB23" s="29">
        <f>'REG y VAL POE - AESR - ESR'!J1756</f>
        <v>0</v>
      </c>
      <c r="CLC23" s="29">
        <f>'REG y VAL POE - AESR - ESR'!K1756</f>
        <v>0</v>
      </c>
      <c r="CLD23" s="28">
        <f>'REG y VAL POE - AESR - ESR'!L1756</f>
        <v>0</v>
      </c>
      <c r="CLE23" s="29">
        <f>'REG y VAL POE - AESR - ESR'!M1756</f>
        <v>0</v>
      </c>
      <c r="CLF23" s="30">
        <f>'REG y VAL POE - AESR - ESR'!N1756</f>
        <v>0</v>
      </c>
      <c r="CLG23" s="28">
        <f>'REG y VAL POE - AESR - ESR'!O1756</f>
        <v>0</v>
      </c>
      <c r="CLH23" s="29">
        <f>'REG y VAL POE - AESR - ESR'!P1756</f>
        <v>0</v>
      </c>
      <c r="CLI23" s="29">
        <f>'REG y VAL POE - AESR - ESR'!Q1756</f>
        <v>0</v>
      </c>
      <c r="CLJ23" s="29">
        <f>'REG y VAL POE - AESR - ESR'!R1756</f>
        <v>0</v>
      </c>
      <c r="CLK23" s="28">
        <f>'REG y VAL POE - AESR - ESR'!S1756</f>
        <v>0</v>
      </c>
      <c r="CLL23" s="29">
        <f>'REG y VAL POE - AESR - ESR'!T1756</f>
        <v>0</v>
      </c>
      <c r="CLM23" s="29">
        <f>'REG y VAL POE - AESR - ESR'!U1756</f>
        <v>0</v>
      </c>
      <c r="CLN23" s="28">
        <f>'REG y VAL POE - AESR - ESR'!V1756</f>
        <v>0</v>
      </c>
      <c r="CLO23" s="29">
        <f>'REG y VAL POE - AESR - ESR'!W1756</f>
        <v>0</v>
      </c>
      <c r="CLP23" s="30">
        <f>'REG y VAL POE - AESR - ESR'!X1756</f>
        <v>0</v>
      </c>
      <c r="CLQ23" s="28">
        <f>'REG y VAL POE - AESR - ESR'!Y1756</f>
        <v>0</v>
      </c>
      <c r="CLR23" s="29">
        <f>'REG y VAL POE - AESR - ESR'!Z1756</f>
        <v>0</v>
      </c>
      <c r="CLS23" s="29">
        <f>'REG y VAL POE - AESR - ESR'!AA1756</f>
        <v>0</v>
      </c>
      <c r="CLT23" s="29">
        <f>'REG y VAL POE - AESR - ESR'!AB1756</f>
        <v>0</v>
      </c>
      <c r="CLU23" s="28">
        <f>'REG y VAL POE - AESR - ESR'!AC1756</f>
        <v>0</v>
      </c>
      <c r="CLV23" s="29">
        <f>'REG y VAL POE - AESR - ESR'!AD1756</f>
        <v>0</v>
      </c>
      <c r="CLW23" s="29">
        <f>'REG y VAL POE - AESR - ESR'!AE1756</f>
        <v>0</v>
      </c>
      <c r="CLX23" s="28">
        <f>'REG y VAL POE - AESR - ESR'!AF1756</f>
        <v>0</v>
      </c>
      <c r="CLY23" s="29">
        <f>'REG y VAL POE - AESR - ESR'!AG1756</f>
        <v>0</v>
      </c>
      <c r="CLZ23" s="30">
        <f>'REG y VAL POE - AESR - ESR'!AH1756</f>
        <v>0</v>
      </c>
      <c r="CMA23" s="28">
        <f>'REG y VAL POE - AESR - ESR'!AI1756</f>
        <v>0</v>
      </c>
      <c r="CMB23" s="29">
        <f>'REG y VAL POE - AESR - ESR'!AJ1756</f>
        <v>0</v>
      </c>
      <c r="CMC23" s="29">
        <f>'REG y VAL POE - AESR - ESR'!AK1756</f>
        <v>0</v>
      </c>
      <c r="CMD23" s="29">
        <f>'REG y VAL POE - AESR - ESR'!AL1756</f>
        <v>0</v>
      </c>
      <c r="CME23" s="28">
        <f>'REG y VAL POE - AESR - ESR'!AM1756</f>
        <v>0</v>
      </c>
      <c r="CMF23" s="29">
        <f>'REG y VAL POE - AESR - ESR'!AN1756</f>
        <v>0</v>
      </c>
      <c r="CMG23" s="29">
        <f>'REG y VAL POE - AESR - ESR'!AO1756</f>
        <v>0</v>
      </c>
      <c r="CMH23" s="28">
        <f>'REG y VAL POE - AESR - ESR'!AP1756</f>
        <v>0</v>
      </c>
      <c r="CMI23" s="29">
        <f>'REG y VAL POE - AESR - ESR'!AQ1756</f>
        <v>0</v>
      </c>
      <c r="CMJ23" s="30">
        <f>'REG y VAL POE - AESR - ESR'!AR1756</f>
        <v>0</v>
      </c>
      <c r="CMK23" s="28">
        <f>'REG y VAL POE - AESR - ESR'!AS1756</f>
        <v>0</v>
      </c>
      <c r="CML23" s="30" t="str">
        <f>'REG y VAL POE - AESR - ESR'!B1757</f>
        <v xml:space="preserve">Ramirez Mandujano Jose Francisco </v>
      </c>
      <c r="CMM23" s="29" t="str">
        <f>'REG y VAL POE - AESR - ESR'!C1757</f>
        <v>Sin Registro</v>
      </c>
      <c r="CMN23" s="28">
        <f>'REG y VAL POE - AESR - ESR'!D1757</f>
        <v>23189680</v>
      </c>
      <c r="CMO23" s="29" t="str">
        <f>'REG y VAL POE - AESR - ESR'!E1757</f>
        <v xml:space="preserve">Ramirez Mandujano Jose Francisco </v>
      </c>
      <c r="CMP23" s="28">
        <f>'REG y VAL POE - AESR - ESR'!F1757</f>
        <v>23189680</v>
      </c>
      <c r="CMQ23" s="28">
        <f>'REG y VAL POE - AESR - ESR'!G1757</f>
        <v>0</v>
      </c>
      <c r="CMR23" s="28">
        <f>'REG y VAL POE - AESR - ESR'!H1757</f>
        <v>0</v>
      </c>
      <c r="CMS23" s="29">
        <f>'REG y VAL POE - AESR - ESR'!I1757</f>
        <v>0</v>
      </c>
      <c r="CMT23" s="385">
        <f>'REG y VAL POE - AESR - ESR'!J1757</f>
        <v>0</v>
      </c>
      <c r="CMU23" s="29">
        <f>'REG y VAL POE - AESR - ESR'!K1757</f>
        <v>0</v>
      </c>
      <c r="CMV23" s="385">
        <f>'REG y VAL POE - AESR - ESR'!L1757</f>
        <v>0</v>
      </c>
      <c r="CMW23" s="29">
        <f>'REG y VAL POE - AESR - ESR'!M1757</f>
        <v>0</v>
      </c>
      <c r="CMX23" s="385">
        <f>'REG y VAL POE - AESR - ESR'!N1757</f>
        <v>0</v>
      </c>
      <c r="CMY23" s="29">
        <f>'REG y VAL POE - AESR - ESR'!O1757</f>
        <v>0</v>
      </c>
      <c r="CMZ23" s="29">
        <f>'REG y VAL POE - AESR - ESR'!P1757</f>
        <v>0</v>
      </c>
      <c r="CNA23" s="29">
        <f>'REG y VAL POE - AESR - ESR'!Q1757</f>
        <v>0</v>
      </c>
      <c r="CNB23" s="29">
        <f>'REG y VAL POE - AESR - ESR'!R1757</f>
        <v>0</v>
      </c>
      <c r="CNC23" s="29">
        <f>'REG y VAL POE - AESR - ESR'!S1757</f>
        <v>0</v>
      </c>
      <c r="CND23" s="29">
        <f>'REG y VAL POE - AESR - ESR'!T1757</f>
        <v>0</v>
      </c>
      <c r="CNE23" s="29">
        <f>'REG y VAL POE - AESR - ESR'!U1757</f>
        <v>0</v>
      </c>
      <c r="CNF23" s="29">
        <f>'REG y VAL POE - AESR - ESR'!V1757</f>
        <v>0</v>
      </c>
      <c r="CNG23" s="29">
        <f>'REG y VAL POE - AESR - ESR'!W1757</f>
        <v>0</v>
      </c>
      <c r="CNH23" s="29">
        <f>'REG y VAL POE - AESR - ESR'!X1757</f>
        <v>0</v>
      </c>
      <c r="CNI23" s="29">
        <f>'REG y VAL POE - AESR - ESR'!Y1757</f>
        <v>0</v>
      </c>
      <c r="CNJ23" s="29">
        <f>'REG y VAL POE - AESR - ESR'!Z1757</f>
        <v>0</v>
      </c>
      <c r="CNK23" s="29">
        <f>'REG y VAL POE - AESR - ESR'!AA1757</f>
        <v>0</v>
      </c>
      <c r="CNL23" s="29">
        <f>'REG y VAL POE - AESR - ESR'!AB1757</f>
        <v>0</v>
      </c>
      <c r="CNM23" s="29">
        <f>'REG y VAL POE - AESR - ESR'!AC1757</f>
        <v>0</v>
      </c>
      <c r="CNN23" s="29">
        <f>'REG y VAL POE - AESR - ESR'!AD1757</f>
        <v>0</v>
      </c>
      <c r="CNO23" s="29">
        <f>'REG y VAL POE - AESR - ESR'!AE1757</f>
        <v>0</v>
      </c>
      <c r="CNP23" s="29">
        <f>'REG y VAL POE - AESR - ESR'!AF1757</f>
        <v>0</v>
      </c>
      <c r="CNQ23" s="29">
        <f>'REG y VAL POE - AESR - ESR'!AG1757</f>
        <v>0</v>
      </c>
      <c r="CNR23" s="29">
        <f>'REG y VAL POE - AESR - ESR'!AH1757</f>
        <v>0</v>
      </c>
      <c r="CNS23" s="29">
        <f>'REG y VAL POE - AESR - ESR'!AI1757</f>
        <v>0</v>
      </c>
      <c r="CNT23" s="29">
        <f>'REG y VAL POE - AESR - ESR'!AJ1757</f>
        <v>0</v>
      </c>
      <c r="CNU23" s="29">
        <f>'REG y VAL POE - AESR - ESR'!AK1757</f>
        <v>0</v>
      </c>
      <c r="CNV23" s="29">
        <f>'REG y VAL POE - AESR - ESR'!AL1757</f>
        <v>0</v>
      </c>
      <c r="CNW23" s="29">
        <f>'REG y VAL POE - AESR - ESR'!AM1757</f>
        <v>0</v>
      </c>
      <c r="CNX23" s="29">
        <f>'REG y VAL POE - AESR - ESR'!AN1757</f>
        <v>0</v>
      </c>
      <c r="CNY23" s="29">
        <f>'REG y VAL POE - AESR - ESR'!AO1757</f>
        <v>0</v>
      </c>
      <c r="CNZ23" s="29">
        <f>'REG y VAL POE - AESR - ESR'!AP1757</f>
        <v>0</v>
      </c>
      <c r="COA23" s="29">
        <f>'REG y VAL POE - AESR - ESR'!AQ1757</f>
        <v>0</v>
      </c>
      <c r="COB23" s="29">
        <f>'REG y VAL POE - AESR - ESR'!AR1757</f>
        <v>0</v>
      </c>
      <c r="COC23" s="29">
        <f>'REG y VAL POE - AESR - ESR'!AS1757</f>
        <v>0</v>
      </c>
      <c r="COD23" s="30" t="str">
        <f>'REG y VAL POE - AESR - ESR'!B1758</f>
        <v xml:space="preserve">Ramos Garcia Alan Yozimar </v>
      </c>
      <c r="COE23" s="28" t="str">
        <f>'REG y VAL POE - AESR - ESR'!C1758</f>
        <v>Sin Registro</v>
      </c>
      <c r="COF23" s="29">
        <f>'REG y VAL POE - AESR - ESR'!D1758</f>
        <v>23217987</v>
      </c>
      <c r="COG23" s="29" t="str">
        <f>'REG y VAL POE - AESR - ESR'!E1758</f>
        <v xml:space="preserve">Ramos Garcia Alan Yozimar </v>
      </c>
      <c r="COH23" s="29">
        <f>'REG y VAL POE - AESR - ESR'!F1758</f>
        <v>23217987</v>
      </c>
      <c r="COI23" s="29">
        <f>'REG y VAL POE - AESR - ESR'!G1758</f>
        <v>0</v>
      </c>
      <c r="COJ23" s="29">
        <f>'REG y VAL POE - AESR - ESR'!H1758</f>
        <v>0</v>
      </c>
      <c r="COK23" s="28">
        <f>'REG y VAL POE - AESR - ESR'!I1758</f>
        <v>0</v>
      </c>
      <c r="COL23" s="29">
        <f>'REG y VAL POE - AESR - ESR'!J1758</f>
        <v>0</v>
      </c>
      <c r="COM23" s="29">
        <f>'REG y VAL POE - AESR - ESR'!K1758</f>
        <v>0</v>
      </c>
      <c r="CON23" s="28">
        <f>'REG y VAL POE - AESR - ESR'!L1758</f>
        <v>0</v>
      </c>
      <c r="COO23" s="29">
        <f>'REG y VAL POE - AESR - ESR'!M1758</f>
        <v>0</v>
      </c>
      <c r="COP23" s="30">
        <f>'REG y VAL POE - AESR - ESR'!N1758</f>
        <v>0</v>
      </c>
      <c r="COQ23" s="28">
        <f>'REG y VAL POE - AESR - ESR'!O1758</f>
        <v>0</v>
      </c>
      <c r="COR23" s="29">
        <f>'REG y VAL POE - AESR - ESR'!P1758</f>
        <v>0</v>
      </c>
      <c r="COS23" s="29">
        <f>'REG y VAL POE - AESR - ESR'!Q1758</f>
        <v>0</v>
      </c>
      <c r="COT23" s="29">
        <f>'REG y VAL POE - AESR - ESR'!R1758</f>
        <v>0</v>
      </c>
      <c r="COU23" s="28">
        <f>'REG y VAL POE - AESR - ESR'!S1758</f>
        <v>0</v>
      </c>
      <c r="COV23" s="29">
        <f>'REG y VAL POE - AESR - ESR'!T1758</f>
        <v>0</v>
      </c>
      <c r="COW23" s="29">
        <f>'REG y VAL POE - AESR - ESR'!U1758</f>
        <v>0</v>
      </c>
      <c r="COX23" s="28">
        <f>'REG y VAL POE - AESR - ESR'!V1758</f>
        <v>0</v>
      </c>
      <c r="COY23" s="29">
        <f>'REG y VAL POE - AESR - ESR'!W1758</f>
        <v>0</v>
      </c>
      <c r="COZ23" s="30">
        <f>'REG y VAL POE - AESR - ESR'!X1758</f>
        <v>0</v>
      </c>
      <c r="CPA23" s="28">
        <f>'REG y VAL POE - AESR - ESR'!Y1758</f>
        <v>0</v>
      </c>
      <c r="CPB23" s="29">
        <f>'REG y VAL POE - AESR - ESR'!Z1758</f>
        <v>0</v>
      </c>
      <c r="CPC23" s="29">
        <f>'REG y VAL POE - AESR - ESR'!AA1758</f>
        <v>0</v>
      </c>
      <c r="CPD23" s="29">
        <f>'REG y VAL POE - AESR - ESR'!AB1758</f>
        <v>0</v>
      </c>
      <c r="CPE23" s="28">
        <f>'REG y VAL POE - AESR - ESR'!AC1758</f>
        <v>0</v>
      </c>
      <c r="CPF23" s="29">
        <f>'REG y VAL POE - AESR - ESR'!AD1758</f>
        <v>0</v>
      </c>
      <c r="CPG23" s="29">
        <f>'REG y VAL POE - AESR - ESR'!AE1758</f>
        <v>0</v>
      </c>
      <c r="CPH23" s="28">
        <f>'REG y VAL POE - AESR - ESR'!AF1758</f>
        <v>0</v>
      </c>
      <c r="CPI23" s="29">
        <f>'REG y VAL POE - AESR - ESR'!AG1758</f>
        <v>0</v>
      </c>
      <c r="CPJ23" s="30">
        <f>'REG y VAL POE - AESR - ESR'!AH1758</f>
        <v>0</v>
      </c>
      <c r="CPK23" s="28">
        <f>'REG y VAL POE - AESR - ESR'!AI1758</f>
        <v>0</v>
      </c>
      <c r="CPL23" s="29">
        <f>'REG y VAL POE - AESR - ESR'!AJ1758</f>
        <v>0</v>
      </c>
      <c r="CPM23" s="29">
        <f>'REG y VAL POE - AESR - ESR'!AK1758</f>
        <v>0</v>
      </c>
      <c r="CPN23" s="29">
        <f>'REG y VAL POE - AESR - ESR'!AL1758</f>
        <v>0</v>
      </c>
      <c r="CPO23" s="28">
        <f>'REG y VAL POE - AESR - ESR'!AM1758</f>
        <v>0</v>
      </c>
      <c r="CPP23" s="29">
        <f>'REG y VAL POE - AESR - ESR'!AN1758</f>
        <v>0</v>
      </c>
      <c r="CPQ23" s="29">
        <f>'REG y VAL POE - AESR - ESR'!AO1758</f>
        <v>0</v>
      </c>
      <c r="CPR23" s="28">
        <f>'REG y VAL POE - AESR - ESR'!AP1758</f>
        <v>0</v>
      </c>
      <c r="CPS23" s="29">
        <f>'REG y VAL POE - AESR - ESR'!AQ1758</f>
        <v>0</v>
      </c>
      <c r="CPT23" s="30">
        <f>'REG y VAL POE - AESR - ESR'!AR1758</f>
        <v>0</v>
      </c>
      <c r="CPU23" s="28">
        <f>'REG y VAL POE - AESR - ESR'!AS1758</f>
        <v>0</v>
      </c>
      <c r="CPV23" s="30" t="str">
        <f>'REG y VAL POE - AESR - ESR'!B1759</f>
        <v xml:space="preserve">Rico Ruiz Glenda Elizabeth </v>
      </c>
      <c r="CPW23" s="29" t="str">
        <f>'REG y VAL POE - AESR - ESR'!C1759</f>
        <v>Sin Registro</v>
      </c>
      <c r="CPX23" s="28">
        <f>'REG y VAL POE - AESR - ESR'!D1759</f>
        <v>23189251</v>
      </c>
      <c r="CPY23" s="29" t="str">
        <f>'REG y VAL POE - AESR - ESR'!E1759</f>
        <v xml:space="preserve">Rico Ruiz Glenda Elizabeth </v>
      </c>
      <c r="CPZ23" s="28">
        <f>'REG y VAL POE - AESR - ESR'!F1759</f>
        <v>23189251</v>
      </c>
      <c r="CQA23" s="28">
        <f>'REG y VAL POE - AESR - ESR'!G1759</f>
        <v>0</v>
      </c>
      <c r="CQB23" s="28">
        <f>'REG y VAL POE - AESR - ESR'!H1759</f>
        <v>0</v>
      </c>
      <c r="CQC23" s="29">
        <f>'REG y VAL POE - AESR - ESR'!I1759</f>
        <v>0</v>
      </c>
      <c r="CQD23" s="385">
        <f>'REG y VAL POE - AESR - ESR'!J1759</f>
        <v>0</v>
      </c>
      <c r="CQE23" s="29">
        <f>'REG y VAL POE - AESR - ESR'!K1759</f>
        <v>0</v>
      </c>
      <c r="CQF23" s="385">
        <f>'REG y VAL POE - AESR - ESR'!L1759</f>
        <v>0</v>
      </c>
      <c r="CQG23" s="29">
        <f>'REG y VAL POE - AESR - ESR'!M1759</f>
        <v>0</v>
      </c>
      <c r="CQH23" s="385">
        <f>'REG y VAL POE - AESR - ESR'!N1759</f>
        <v>0</v>
      </c>
      <c r="CQI23" s="29">
        <f>'REG y VAL POE - AESR - ESR'!O1759</f>
        <v>0</v>
      </c>
      <c r="CQJ23" s="29">
        <f>'REG y VAL POE - AESR - ESR'!P1759</f>
        <v>0</v>
      </c>
      <c r="CQK23" s="29">
        <f>'REG y VAL POE - AESR - ESR'!Q1759</f>
        <v>0</v>
      </c>
      <c r="CQL23" s="29">
        <f>'REG y VAL POE - AESR - ESR'!R1759</f>
        <v>0</v>
      </c>
      <c r="CQM23" s="29">
        <f>'REG y VAL POE - AESR - ESR'!S1759</f>
        <v>0</v>
      </c>
      <c r="CQN23" s="29">
        <f>'REG y VAL POE - AESR - ESR'!T1759</f>
        <v>0</v>
      </c>
      <c r="CQO23" s="29">
        <f>'REG y VAL POE - AESR - ESR'!U1759</f>
        <v>0</v>
      </c>
      <c r="CQP23" s="29">
        <f>'REG y VAL POE - AESR - ESR'!V1759</f>
        <v>0</v>
      </c>
      <c r="CQQ23" s="29">
        <f>'REG y VAL POE - AESR - ESR'!W1759</f>
        <v>0</v>
      </c>
      <c r="CQR23" s="29">
        <f>'REG y VAL POE - AESR - ESR'!X1759</f>
        <v>0</v>
      </c>
      <c r="CQS23" s="29">
        <f>'REG y VAL POE - AESR - ESR'!Y1759</f>
        <v>0</v>
      </c>
      <c r="CQT23" s="29">
        <f>'REG y VAL POE - AESR - ESR'!Z1759</f>
        <v>0</v>
      </c>
      <c r="CQU23" s="29">
        <f>'REG y VAL POE - AESR - ESR'!AA1759</f>
        <v>0</v>
      </c>
      <c r="CQV23" s="29">
        <f>'REG y VAL POE - AESR - ESR'!AB1759</f>
        <v>0</v>
      </c>
      <c r="CQW23" s="29">
        <f>'REG y VAL POE - AESR - ESR'!AC1759</f>
        <v>0</v>
      </c>
      <c r="CQX23" s="29">
        <f>'REG y VAL POE - AESR - ESR'!AD1759</f>
        <v>0</v>
      </c>
      <c r="CQY23" s="29">
        <f>'REG y VAL POE - AESR - ESR'!AE1759</f>
        <v>0</v>
      </c>
      <c r="CQZ23" s="29">
        <f>'REG y VAL POE - AESR - ESR'!AF1759</f>
        <v>0</v>
      </c>
      <c r="CRA23" s="29">
        <f>'REG y VAL POE - AESR - ESR'!AG1759</f>
        <v>0</v>
      </c>
      <c r="CRB23" s="29">
        <f>'REG y VAL POE - AESR - ESR'!AH1759</f>
        <v>0</v>
      </c>
      <c r="CRC23" s="29">
        <f>'REG y VAL POE - AESR - ESR'!AI1759</f>
        <v>0</v>
      </c>
      <c r="CRD23" s="29">
        <f>'REG y VAL POE - AESR - ESR'!AJ1759</f>
        <v>0</v>
      </c>
      <c r="CRE23" s="29">
        <f>'REG y VAL POE - AESR - ESR'!AK1759</f>
        <v>0</v>
      </c>
      <c r="CRF23" s="29">
        <f>'REG y VAL POE - AESR - ESR'!AL1759</f>
        <v>0</v>
      </c>
      <c r="CRG23" s="29">
        <f>'REG y VAL POE - AESR - ESR'!AM1759</f>
        <v>0</v>
      </c>
      <c r="CRH23" s="29">
        <f>'REG y VAL POE - AESR - ESR'!AN1759</f>
        <v>0</v>
      </c>
      <c r="CRI23" s="29">
        <f>'REG y VAL POE - AESR - ESR'!AO1759</f>
        <v>0</v>
      </c>
      <c r="CRJ23" s="29">
        <f>'REG y VAL POE - AESR - ESR'!AP1759</f>
        <v>0</v>
      </c>
      <c r="CRK23" s="29">
        <f>'REG y VAL POE - AESR - ESR'!AQ1759</f>
        <v>0</v>
      </c>
      <c r="CRL23" s="29">
        <f>'REG y VAL POE - AESR - ESR'!AR1759</f>
        <v>0</v>
      </c>
      <c r="CRM23" s="29">
        <f>'REG y VAL POE - AESR - ESR'!AS1759</f>
        <v>0</v>
      </c>
      <c r="CRN23" s="30" t="str">
        <f>'REG y VAL POE - AESR - ESR'!B1760</f>
        <v xml:space="preserve">Rodriguez Avila Edgar </v>
      </c>
      <c r="CRO23" s="28" t="str">
        <f>'REG y VAL POE - AESR - ESR'!C1760</f>
        <v>Sin Registro</v>
      </c>
      <c r="CRP23" s="29">
        <f>'REG y VAL POE - AESR - ESR'!D1760</f>
        <v>23181231</v>
      </c>
      <c r="CRQ23" s="29" t="str">
        <f>'REG y VAL POE - AESR - ESR'!E1760</f>
        <v xml:space="preserve">Rodriguez Avila Edgar </v>
      </c>
      <c r="CRR23" s="29">
        <f>'REG y VAL POE - AESR - ESR'!F1760</f>
        <v>23181231</v>
      </c>
      <c r="CRS23" s="29">
        <f>'REG y VAL POE - AESR - ESR'!G1760</f>
        <v>0</v>
      </c>
      <c r="CRT23" s="29">
        <f>'REG y VAL POE - AESR - ESR'!H1760</f>
        <v>0</v>
      </c>
      <c r="CRU23" s="28">
        <f>'REG y VAL POE - AESR - ESR'!I1760</f>
        <v>0</v>
      </c>
      <c r="CRV23" s="29">
        <f>'REG y VAL POE - AESR - ESR'!J1760</f>
        <v>0</v>
      </c>
      <c r="CRW23" s="29">
        <f>'REG y VAL POE - AESR - ESR'!K1760</f>
        <v>0</v>
      </c>
      <c r="CRX23" s="28">
        <f>'REG y VAL POE - AESR - ESR'!L1760</f>
        <v>0</v>
      </c>
      <c r="CRY23" s="29">
        <f>'REG y VAL POE - AESR - ESR'!M1760</f>
        <v>0</v>
      </c>
      <c r="CRZ23" s="30">
        <f>'REG y VAL POE - AESR - ESR'!N1760</f>
        <v>0</v>
      </c>
      <c r="CSA23" s="28">
        <f>'REG y VAL POE - AESR - ESR'!O1760</f>
        <v>0</v>
      </c>
      <c r="CSB23" s="29">
        <f>'REG y VAL POE - AESR - ESR'!P1760</f>
        <v>0</v>
      </c>
      <c r="CSC23" s="29">
        <f>'REG y VAL POE - AESR - ESR'!Q1760</f>
        <v>0</v>
      </c>
      <c r="CSD23" s="29">
        <f>'REG y VAL POE - AESR - ESR'!R1760</f>
        <v>0</v>
      </c>
      <c r="CSE23" s="28">
        <f>'REG y VAL POE - AESR - ESR'!S1760</f>
        <v>0</v>
      </c>
      <c r="CSF23" s="29">
        <f>'REG y VAL POE - AESR - ESR'!T1760</f>
        <v>0</v>
      </c>
      <c r="CSG23" s="29">
        <f>'REG y VAL POE - AESR - ESR'!U1760</f>
        <v>0</v>
      </c>
      <c r="CSH23" s="28">
        <f>'REG y VAL POE - AESR - ESR'!V1760</f>
        <v>0</v>
      </c>
      <c r="CSI23" s="29">
        <f>'REG y VAL POE - AESR - ESR'!W1760</f>
        <v>0</v>
      </c>
      <c r="CSJ23" s="30">
        <f>'REG y VAL POE - AESR - ESR'!X1760</f>
        <v>0</v>
      </c>
      <c r="CSK23" s="28">
        <f>'REG y VAL POE - AESR - ESR'!Y1760</f>
        <v>0</v>
      </c>
      <c r="CSL23" s="29">
        <f>'REG y VAL POE - AESR - ESR'!Z1760</f>
        <v>0</v>
      </c>
      <c r="CSM23" s="29">
        <f>'REG y VAL POE - AESR - ESR'!AA1760</f>
        <v>0</v>
      </c>
      <c r="CSN23" s="29">
        <f>'REG y VAL POE - AESR - ESR'!AB1760</f>
        <v>0</v>
      </c>
      <c r="CSO23" s="28">
        <f>'REG y VAL POE - AESR - ESR'!AC1760</f>
        <v>0</v>
      </c>
      <c r="CSP23" s="29">
        <f>'REG y VAL POE - AESR - ESR'!AD1760</f>
        <v>0</v>
      </c>
      <c r="CSQ23" s="29">
        <f>'REG y VAL POE - AESR - ESR'!AE1760</f>
        <v>0</v>
      </c>
      <c r="CSR23" s="28">
        <f>'REG y VAL POE - AESR - ESR'!AF1760</f>
        <v>0</v>
      </c>
      <c r="CSS23" s="29">
        <f>'REG y VAL POE - AESR - ESR'!AG1760</f>
        <v>0</v>
      </c>
      <c r="CST23" s="30">
        <f>'REG y VAL POE - AESR - ESR'!AH1760</f>
        <v>0</v>
      </c>
      <c r="CSU23" s="28">
        <f>'REG y VAL POE - AESR - ESR'!AI1760</f>
        <v>0</v>
      </c>
      <c r="CSV23" s="29">
        <f>'REG y VAL POE - AESR - ESR'!AJ1760</f>
        <v>0</v>
      </c>
      <c r="CSW23" s="29">
        <f>'REG y VAL POE - AESR - ESR'!AK1760</f>
        <v>0</v>
      </c>
      <c r="CSX23" s="29">
        <f>'REG y VAL POE - AESR - ESR'!AL1760</f>
        <v>0</v>
      </c>
      <c r="CSY23" s="28">
        <f>'REG y VAL POE - AESR - ESR'!AM1760</f>
        <v>0</v>
      </c>
      <c r="CSZ23" s="29">
        <f>'REG y VAL POE - AESR - ESR'!AN1760</f>
        <v>0</v>
      </c>
      <c r="CTA23" s="29">
        <f>'REG y VAL POE - AESR - ESR'!AO1760</f>
        <v>0</v>
      </c>
      <c r="CTB23" s="28">
        <f>'REG y VAL POE - AESR - ESR'!AP1760</f>
        <v>0</v>
      </c>
      <c r="CTC23" s="29">
        <f>'REG y VAL POE - AESR - ESR'!AQ1760</f>
        <v>0</v>
      </c>
      <c r="CTD23" s="30">
        <f>'REG y VAL POE - AESR - ESR'!AR1760</f>
        <v>0</v>
      </c>
      <c r="CTE23" s="28">
        <f>'REG y VAL POE - AESR - ESR'!AS1760</f>
        <v>0</v>
      </c>
      <c r="CTF23" s="30" t="str">
        <f>'REG y VAL POE - AESR - ESR'!B1761</f>
        <v xml:space="preserve">Rodriguez Rodriguez Angel Mauricio </v>
      </c>
      <c r="CTG23" s="29" t="str">
        <f>'REG y VAL POE - AESR - ESR'!C1761</f>
        <v>Sin Registro</v>
      </c>
      <c r="CTH23" s="28">
        <f>'REG y VAL POE - AESR - ESR'!D1761</f>
        <v>23198474</v>
      </c>
      <c r="CTI23" s="29" t="str">
        <f>'REG y VAL POE - AESR - ESR'!E1761</f>
        <v xml:space="preserve">Rodriguez Rodriguez Angel Mauricio </v>
      </c>
      <c r="CTJ23" s="28">
        <f>'REG y VAL POE - AESR - ESR'!F1761</f>
        <v>23198474</v>
      </c>
      <c r="CTK23" s="28">
        <f>'REG y VAL POE - AESR - ESR'!G1761</f>
        <v>0</v>
      </c>
      <c r="CTL23" s="28">
        <f>'REG y VAL POE - AESR - ESR'!H1761</f>
        <v>0</v>
      </c>
      <c r="CTM23" s="29">
        <f>'REG y VAL POE - AESR - ESR'!I1761</f>
        <v>0</v>
      </c>
      <c r="CTN23" s="385">
        <f>'REG y VAL POE - AESR - ESR'!J1761</f>
        <v>0</v>
      </c>
      <c r="CTO23" s="29">
        <f>'REG y VAL POE - AESR - ESR'!K1761</f>
        <v>0</v>
      </c>
      <c r="CTP23" s="385">
        <f>'REG y VAL POE - AESR - ESR'!L1761</f>
        <v>0</v>
      </c>
      <c r="CTQ23" s="29">
        <f>'REG y VAL POE - AESR - ESR'!M1761</f>
        <v>0</v>
      </c>
      <c r="CTR23" s="385">
        <f>'REG y VAL POE - AESR - ESR'!N1761</f>
        <v>0</v>
      </c>
      <c r="CTS23" s="29">
        <f>'REG y VAL POE - AESR - ESR'!O1761</f>
        <v>0</v>
      </c>
      <c r="CTT23" s="29">
        <f>'REG y VAL POE - AESR - ESR'!P1761</f>
        <v>0</v>
      </c>
      <c r="CTU23" s="29">
        <f>'REG y VAL POE - AESR - ESR'!Q1761</f>
        <v>0</v>
      </c>
      <c r="CTV23" s="29">
        <f>'REG y VAL POE - AESR - ESR'!R1761</f>
        <v>0</v>
      </c>
      <c r="CTW23" s="29">
        <f>'REG y VAL POE - AESR - ESR'!S1761</f>
        <v>0</v>
      </c>
      <c r="CTX23" s="29">
        <f>'REG y VAL POE - AESR - ESR'!T1761</f>
        <v>0</v>
      </c>
      <c r="CTY23" s="29">
        <f>'REG y VAL POE - AESR - ESR'!U1761</f>
        <v>0</v>
      </c>
      <c r="CTZ23" s="29">
        <f>'REG y VAL POE - AESR - ESR'!V1761</f>
        <v>0</v>
      </c>
      <c r="CUA23" s="29">
        <f>'REG y VAL POE - AESR - ESR'!W1761</f>
        <v>0</v>
      </c>
      <c r="CUB23" s="29">
        <f>'REG y VAL POE - AESR - ESR'!X1761</f>
        <v>0</v>
      </c>
      <c r="CUC23" s="29">
        <f>'REG y VAL POE - AESR - ESR'!Y1761</f>
        <v>0</v>
      </c>
      <c r="CUD23" s="29">
        <f>'REG y VAL POE - AESR - ESR'!Z1761</f>
        <v>0</v>
      </c>
      <c r="CUE23" s="29">
        <f>'REG y VAL POE - AESR - ESR'!AA1761</f>
        <v>0</v>
      </c>
      <c r="CUF23" s="29">
        <f>'REG y VAL POE - AESR - ESR'!AB1761</f>
        <v>0</v>
      </c>
      <c r="CUG23" s="29">
        <f>'REG y VAL POE - AESR - ESR'!AC1761</f>
        <v>0</v>
      </c>
      <c r="CUH23" s="29">
        <f>'REG y VAL POE - AESR - ESR'!AD1761</f>
        <v>0</v>
      </c>
      <c r="CUI23" s="29">
        <f>'REG y VAL POE - AESR - ESR'!AE1761</f>
        <v>0</v>
      </c>
      <c r="CUJ23" s="29">
        <f>'REG y VAL POE - AESR - ESR'!AF1761</f>
        <v>0</v>
      </c>
      <c r="CUK23" s="29">
        <f>'REG y VAL POE - AESR - ESR'!AG1761</f>
        <v>0</v>
      </c>
      <c r="CUL23" s="29">
        <f>'REG y VAL POE - AESR - ESR'!AH1761</f>
        <v>0</v>
      </c>
      <c r="CUM23" s="29">
        <f>'REG y VAL POE - AESR - ESR'!AI1761</f>
        <v>0</v>
      </c>
      <c r="CUN23" s="29">
        <f>'REG y VAL POE - AESR - ESR'!AJ1761</f>
        <v>0</v>
      </c>
      <c r="CUO23" s="29">
        <f>'REG y VAL POE - AESR - ESR'!AK1761</f>
        <v>0</v>
      </c>
      <c r="CUP23" s="29">
        <f>'REG y VAL POE - AESR - ESR'!AL1761</f>
        <v>0</v>
      </c>
      <c r="CUQ23" s="29">
        <f>'REG y VAL POE - AESR - ESR'!AM1761</f>
        <v>0</v>
      </c>
      <c r="CUR23" s="29">
        <f>'REG y VAL POE - AESR - ESR'!AN1761</f>
        <v>0</v>
      </c>
      <c r="CUS23" s="29">
        <f>'REG y VAL POE - AESR - ESR'!AO1761</f>
        <v>0</v>
      </c>
      <c r="CUT23" s="29">
        <f>'REG y VAL POE - AESR - ESR'!AP1761</f>
        <v>0</v>
      </c>
      <c r="CUU23" s="29">
        <f>'REG y VAL POE - AESR - ESR'!AQ1761</f>
        <v>0</v>
      </c>
      <c r="CUV23" s="29">
        <f>'REG y VAL POE - AESR - ESR'!AR1761</f>
        <v>0</v>
      </c>
      <c r="CUW23" s="29">
        <f>'REG y VAL POE - AESR - ESR'!AS1761</f>
        <v>0</v>
      </c>
      <c r="CUX23" s="30" t="str">
        <f>'REG y VAL POE - AESR - ESR'!B1762</f>
        <v xml:space="preserve">Rodriguez Zambrano Arturo Cristaldi </v>
      </c>
      <c r="CUY23" s="28" t="str">
        <f>'REG y VAL POE - AESR - ESR'!C1762</f>
        <v>Sin Registro</v>
      </c>
      <c r="CUZ23" s="29">
        <f>'REG y VAL POE - AESR - ESR'!D1762</f>
        <v>23182587</v>
      </c>
      <c r="CVA23" s="29" t="str">
        <f>'REG y VAL POE - AESR - ESR'!E1762</f>
        <v xml:space="preserve">Rodriguez Zambrano Arturo Cristaldi </v>
      </c>
      <c r="CVB23" s="29">
        <f>'REG y VAL POE - AESR - ESR'!F1762</f>
        <v>23182587</v>
      </c>
      <c r="CVC23" s="29">
        <f>'REG y VAL POE - AESR - ESR'!G1762</f>
        <v>0</v>
      </c>
      <c r="CVD23" s="29">
        <f>'REG y VAL POE - AESR - ESR'!H1762</f>
        <v>0</v>
      </c>
      <c r="CVE23" s="28">
        <f>'REG y VAL POE - AESR - ESR'!I1762</f>
        <v>0</v>
      </c>
      <c r="CVF23" s="29">
        <f>'REG y VAL POE - AESR - ESR'!J1762</f>
        <v>0</v>
      </c>
      <c r="CVG23" s="29">
        <f>'REG y VAL POE - AESR - ESR'!K1762</f>
        <v>0</v>
      </c>
      <c r="CVH23" s="28">
        <f>'REG y VAL POE - AESR - ESR'!L1762</f>
        <v>0</v>
      </c>
      <c r="CVI23" s="29">
        <f>'REG y VAL POE - AESR - ESR'!M1762</f>
        <v>0</v>
      </c>
      <c r="CVJ23" s="30">
        <f>'REG y VAL POE - AESR - ESR'!N1762</f>
        <v>0</v>
      </c>
      <c r="CVK23" s="28">
        <f>'REG y VAL POE - AESR - ESR'!O1762</f>
        <v>0</v>
      </c>
      <c r="CVL23" s="29">
        <f>'REG y VAL POE - AESR - ESR'!P1762</f>
        <v>0</v>
      </c>
      <c r="CVM23" s="29">
        <f>'REG y VAL POE - AESR - ESR'!Q1762</f>
        <v>0</v>
      </c>
      <c r="CVN23" s="29">
        <f>'REG y VAL POE - AESR - ESR'!R1762</f>
        <v>0</v>
      </c>
      <c r="CVO23" s="28">
        <f>'REG y VAL POE - AESR - ESR'!S1762</f>
        <v>0</v>
      </c>
      <c r="CVP23" s="29">
        <f>'REG y VAL POE - AESR - ESR'!T1762</f>
        <v>0</v>
      </c>
      <c r="CVQ23" s="29">
        <f>'REG y VAL POE - AESR - ESR'!U1762</f>
        <v>0</v>
      </c>
      <c r="CVR23" s="28">
        <f>'REG y VAL POE - AESR - ESR'!V1762</f>
        <v>0</v>
      </c>
      <c r="CVS23" s="29">
        <f>'REG y VAL POE - AESR - ESR'!W1762</f>
        <v>0</v>
      </c>
      <c r="CVT23" s="30">
        <f>'REG y VAL POE - AESR - ESR'!X1762</f>
        <v>0</v>
      </c>
      <c r="CVU23" s="28">
        <f>'REG y VAL POE - AESR - ESR'!Y1762</f>
        <v>0</v>
      </c>
      <c r="CVV23" s="29">
        <f>'REG y VAL POE - AESR - ESR'!Z1762</f>
        <v>0</v>
      </c>
      <c r="CVW23" s="29">
        <f>'REG y VAL POE - AESR - ESR'!AA1762</f>
        <v>0</v>
      </c>
      <c r="CVX23" s="29">
        <f>'REG y VAL POE - AESR - ESR'!AB1762</f>
        <v>0</v>
      </c>
      <c r="CVY23" s="28">
        <f>'REG y VAL POE - AESR - ESR'!AC1762</f>
        <v>0</v>
      </c>
      <c r="CVZ23" s="29">
        <f>'REG y VAL POE - AESR - ESR'!AD1762</f>
        <v>0</v>
      </c>
      <c r="CWA23" s="29">
        <f>'REG y VAL POE - AESR - ESR'!AE1762</f>
        <v>0</v>
      </c>
      <c r="CWB23" s="28">
        <f>'REG y VAL POE - AESR - ESR'!AF1762</f>
        <v>0</v>
      </c>
      <c r="CWC23" s="29">
        <f>'REG y VAL POE - AESR - ESR'!AG1762</f>
        <v>0</v>
      </c>
      <c r="CWD23" s="30">
        <f>'REG y VAL POE - AESR - ESR'!AH1762</f>
        <v>0</v>
      </c>
      <c r="CWE23" s="28">
        <f>'REG y VAL POE - AESR - ESR'!AI1762</f>
        <v>0</v>
      </c>
      <c r="CWF23" s="29">
        <f>'REG y VAL POE - AESR - ESR'!AJ1762</f>
        <v>0</v>
      </c>
      <c r="CWG23" s="29">
        <f>'REG y VAL POE - AESR - ESR'!AK1762</f>
        <v>0</v>
      </c>
      <c r="CWH23" s="29">
        <f>'REG y VAL POE - AESR - ESR'!AL1762</f>
        <v>0</v>
      </c>
      <c r="CWI23" s="28">
        <f>'REG y VAL POE - AESR - ESR'!AM1762</f>
        <v>0</v>
      </c>
      <c r="CWJ23" s="29">
        <f>'REG y VAL POE - AESR - ESR'!AN1762</f>
        <v>0</v>
      </c>
      <c r="CWK23" s="29">
        <f>'REG y VAL POE - AESR - ESR'!AO1762</f>
        <v>0</v>
      </c>
      <c r="CWL23" s="28">
        <f>'REG y VAL POE - AESR - ESR'!AP1762</f>
        <v>0</v>
      </c>
      <c r="CWM23" s="29">
        <f>'REG y VAL POE - AESR - ESR'!AQ1762</f>
        <v>0</v>
      </c>
      <c r="CWN23" s="30">
        <f>'REG y VAL POE - AESR - ESR'!AR1762</f>
        <v>0</v>
      </c>
      <c r="CWO23" s="28">
        <f>'REG y VAL POE - AESR - ESR'!AS1762</f>
        <v>0</v>
      </c>
      <c r="CWP23" s="30" t="str">
        <f>'REG y VAL POE - AESR - ESR'!B1763</f>
        <v xml:space="preserve">Rojas Bautista Miguel Martin </v>
      </c>
      <c r="CWQ23" s="29" t="str">
        <f>'REG y VAL POE - AESR - ESR'!C1763</f>
        <v>Sin Registro</v>
      </c>
      <c r="CWR23" s="28">
        <f>'REG y VAL POE - AESR - ESR'!D1763</f>
        <v>23226024</v>
      </c>
      <c r="CWS23" s="29" t="str">
        <f>'REG y VAL POE - AESR - ESR'!E1763</f>
        <v xml:space="preserve">Rojas Bautista Miguel Martin </v>
      </c>
      <c r="CWT23" s="28">
        <f>'REG y VAL POE - AESR - ESR'!F1763</f>
        <v>23226024</v>
      </c>
      <c r="CWU23" s="28">
        <f>'REG y VAL POE - AESR - ESR'!G1763</f>
        <v>0</v>
      </c>
      <c r="CWV23" s="28">
        <f>'REG y VAL POE - AESR - ESR'!H1763</f>
        <v>0</v>
      </c>
      <c r="CWW23" s="29">
        <f>'REG y VAL POE - AESR - ESR'!I1763</f>
        <v>0</v>
      </c>
      <c r="CWX23" s="385">
        <f>'REG y VAL POE - AESR - ESR'!J1763</f>
        <v>0</v>
      </c>
      <c r="CWY23" s="29">
        <f>'REG y VAL POE - AESR - ESR'!K1763</f>
        <v>0</v>
      </c>
      <c r="CWZ23" s="385">
        <f>'REG y VAL POE - AESR - ESR'!L1763</f>
        <v>0</v>
      </c>
      <c r="CXA23" s="29">
        <f>'REG y VAL POE - AESR - ESR'!M1763</f>
        <v>0</v>
      </c>
      <c r="CXB23" s="385">
        <f>'REG y VAL POE - AESR - ESR'!N1763</f>
        <v>0</v>
      </c>
      <c r="CXC23" s="29">
        <f>'REG y VAL POE - AESR - ESR'!O1763</f>
        <v>0</v>
      </c>
      <c r="CXD23" s="29">
        <f>'REG y VAL POE - AESR - ESR'!P1763</f>
        <v>0</v>
      </c>
      <c r="CXE23" s="29">
        <f>'REG y VAL POE - AESR - ESR'!Q1763</f>
        <v>0</v>
      </c>
      <c r="CXF23" s="29">
        <f>'REG y VAL POE - AESR - ESR'!R1763</f>
        <v>0</v>
      </c>
      <c r="CXG23" s="29">
        <f>'REG y VAL POE - AESR - ESR'!S1763</f>
        <v>0</v>
      </c>
      <c r="CXH23" s="29">
        <f>'REG y VAL POE - AESR - ESR'!T1763</f>
        <v>0</v>
      </c>
      <c r="CXI23" s="29">
        <f>'REG y VAL POE - AESR - ESR'!U1763</f>
        <v>0</v>
      </c>
      <c r="CXJ23" s="29">
        <f>'REG y VAL POE - AESR - ESR'!V1763</f>
        <v>0</v>
      </c>
      <c r="CXK23" s="29">
        <f>'REG y VAL POE - AESR - ESR'!W1763</f>
        <v>0</v>
      </c>
      <c r="CXL23" s="29">
        <f>'REG y VAL POE - AESR - ESR'!X1763</f>
        <v>0</v>
      </c>
      <c r="CXM23" s="29">
        <f>'REG y VAL POE - AESR - ESR'!Y1763</f>
        <v>0</v>
      </c>
      <c r="CXN23" s="29">
        <f>'REG y VAL POE - AESR - ESR'!Z1763</f>
        <v>0</v>
      </c>
      <c r="CXO23" s="29">
        <f>'REG y VAL POE - AESR - ESR'!AA1763</f>
        <v>0</v>
      </c>
      <c r="CXP23" s="29">
        <f>'REG y VAL POE - AESR - ESR'!AB1763</f>
        <v>0</v>
      </c>
      <c r="CXQ23" s="29">
        <f>'REG y VAL POE - AESR - ESR'!AC1763</f>
        <v>0</v>
      </c>
      <c r="CXR23" s="29">
        <f>'REG y VAL POE - AESR - ESR'!AD1763</f>
        <v>0</v>
      </c>
      <c r="CXS23" s="29">
        <f>'REG y VAL POE - AESR - ESR'!AE1763</f>
        <v>0</v>
      </c>
      <c r="CXT23" s="29">
        <f>'REG y VAL POE - AESR - ESR'!AF1763</f>
        <v>0</v>
      </c>
      <c r="CXU23" s="29">
        <f>'REG y VAL POE - AESR - ESR'!AG1763</f>
        <v>0</v>
      </c>
      <c r="CXV23" s="29">
        <f>'REG y VAL POE - AESR - ESR'!AH1763</f>
        <v>0</v>
      </c>
      <c r="CXW23" s="29">
        <f>'REG y VAL POE - AESR - ESR'!AI1763</f>
        <v>0</v>
      </c>
      <c r="CXX23" s="29">
        <f>'REG y VAL POE - AESR - ESR'!AJ1763</f>
        <v>0</v>
      </c>
      <c r="CXY23" s="29">
        <f>'REG y VAL POE - AESR - ESR'!AK1763</f>
        <v>0</v>
      </c>
      <c r="CXZ23" s="29">
        <f>'REG y VAL POE - AESR - ESR'!AL1763</f>
        <v>0</v>
      </c>
      <c r="CYA23" s="29">
        <f>'REG y VAL POE - AESR - ESR'!AM1763</f>
        <v>0</v>
      </c>
      <c r="CYB23" s="29">
        <f>'REG y VAL POE - AESR - ESR'!AN1763</f>
        <v>0</v>
      </c>
      <c r="CYC23" s="29">
        <f>'REG y VAL POE - AESR - ESR'!AO1763</f>
        <v>0</v>
      </c>
      <c r="CYD23" s="29">
        <f>'REG y VAL POE - AESR - ESR'!AP1763</f>
        <v>0</v>
      </c>
      <c r="CYE23" s="29">
        <f>'REG y VAL POE - AESR - ESR'!AQ1763</f>
        <v>0</v>
      </c>
      <c r="CYF23" s="29">
        <f>'REG y VAL POE - AESR - ESR'!AR1763</f>
        <v>0</v>
      </c>
      <c r="CYG23" s="29">
        <f>'REG y VAL POE - AESR - ESR'!AS1763</f>
        <v>0</v>
      </c>
      <c r="CYH23" s="30" t="str">
        <f>'REG y VAL POE - AESR - ESR'!B1764</f>
        <v xml:space="preserve">Romero Diaz Erick </v>
      </c>
      <c r="CYI23" s="28" t="str">
        <f>'REG y VAL POE - AESR - ESR'!C1764</f>
        <v>Sin Registro</v>
      </c>
      <c r="CYJ23" s="29">
        <f>'REG y VAL POE - AESR - ESR'!D1764</f>
        <v>23198993</v>
      </c>
      <c r="CYK23" s="29" t="str">
        <f>'REG y VAL POE - AESR - ESR'!E1764</f>
        <v xml:space="preserve">Romero Diaz Erick </v>
      </c>
      <c r="CYL23" s="29">
        <f>'REG y VAL POE - AESR - ESR'!F1764</f>
        <v>23198993</v>
      </c>
      <c r="CYM23" s="29">
        <f>'REG y VAL POE - AESR - ESR'!G1764</f>
        <v>0</v>
      </c>
      <c r="CYN23" s="29">
        <f>'REG y VAL POE - AESR - ESR'!H1764</f>
        <v>0</v>
      </c>
      <c r="CYO23" s="28">
        <f>'REG y VAL POE - AESR - ESR'!I1764</f>
        <v>0</v>
      </c>
      <c r="CYP23" s="29">
        <f>'REG y VAL POE - AESR - ESR'!J1764</f>
        <v>0</v>
      </c>
      <c r="CYQ23" s="29">
        <f>'REG y VAL POE - AESR - ESR'!K1764</f>
        <v>0</v>
      </c>
      <c r="CYR23" s="28">
        <f>'REG y VAL POE - AESR - ESR'!L1764</f>
        <v>0</v>
      </c>
      <c r="CYS23" s="29">
        <f>'REG y VAL POE - AESR - ESR'!M1764</f>
        <v>0</v>
      </c>
      <c r="CYT23" s="30">
        <f>'REG y VAL POE - AESR - ESR'!N1764</f>
        <v>0</v>
      </c>
      <c r="CYU23" s="28">
        <f>'REG y VAL POE - AESR - ESR'!O1764</f>
        <v>0</v>
      </c>
      <c r="CYV23" s="29">
        <f>'REG y VAL POE - AESR - ESR'!P1764</f>
        <v>0</v>
      </c>
      <c r="CYW23" s="29">
        <f>'REG y VAL POE - AESR - ESR'!Q1764</f>
        <v>0</v>
      </c>
      <c r="CYX23" s="29">
        <f>'REG y VAL POE - AESR - ESR'!R1764</f>
        <v>0</v>
      </c>
      <c r="CYY23" s="28">
        <f>'REG y VAL POE - AESR - ESR'!S1764</f>
        <v>0</v>
      </c>
      <c r="CYZ23" s="29">
        <f>'REG y VAL POE - AESR - ESR'!T1764</f>
        <v>0</v>
      </c>
      <c r="CZA23" s="29">
        <f>'REG y VAL POE - AESR - ESR'!U1764</f>
        <v>0</v>
      </c>
      <c r="CZB23" s="28">
        <f>'REG y VAL POE - AESR - ESR'!V1764</f>
        <v>0</v>
      </c>
      <c r="CZC23" s="29">
        <f>'REG y VAL POE - AESR - ESR'!W1764</f>
        <v>0</v>
      </c>
      <c r="CZD23" s="30">
        <f>'REG y VAL POE - AESR - ESR'!X1764</f>
        <v>0</v>
      </c>
      <c r="CZE23" s="28">
        <f>'REG y VAL POE - AESR - ESR'!Y1764</f>
        <v>0</v>
      </c>
      <c r="CZF23" s="29">
        <f>'REG y VAL POE - AESR - ESR'!Z1764</f>
        <v>0</v>
      </c>
      <c r="CZG23" s="29">
        <f>'REG y VAL POE - AESR - ESR'!AA1764</f>
        <v>0</v>
      </c>
      <c r="CZH23" s="29">
        <f>'REG y VAL POE - AESR - ESR'!AB1764</f>
        <v>0</v>
      </c>
      <c r="CZI23" s="28">
        <f>'REG y VAL POE - AESR - ESR'!AC1764</f>
        <v>0</v>
      </c>
      <c r="CZJ23" s="29">
        <f>'REG y VAL POE - AESR - ESR'!AD1764</f>
        <v>0</v>
      </c>
      <c r="CZK23" s="29">
        <f>'REG y VAL POE - AESR - ESR'!AE1764</f>
        <v>0</v>
      </c>
      <c r="CZL23" s="28">
        <f>'REG y VAL POE - AESR - ESR'!AF1764</f>
        <v>0</v>
      </c>
      <c r="CZM23" s="29">
        <f>'REG y VAL POE - AESR - ESR'!AG1764</f>
        <v>0</v>
      </c>
      <c r="CZN23" s="30">
        <f>'REG y VAL POE - AESR - ESR'!AH1764</f>
        <v>0</v>
      </c>
      <c r="CZO23" s="28">
        <f>'REG y VAL POE - AESR - ESR'!AI1764</f>
        <v>0</v>
      </c>
      <c r="CZP23" s="29">
        <f>'REG y VAL POE - AESR - ESR'!AJ1764</f>
        <v>0</v>
      </c>
      <c r="CZQ23" s="29">
        <f>'REG y VAL POE - AESR - ESR'!AK1764</f>
        <v>0</v>
      </c>
      <c r="CZR23" s="29">
        <f>'REG y VAL POE - AESR - ESR'!AL1764</f>
        <v>0</v>
      </c>
      <c r="CZS23" s="28">
        <f>'REG y VAL POE - AESR - ESR'!AM1764</f>
        <v>0</v>
      </c>
      <c r="CZT23" s="29">
        <f>'REG y VAL POE - AESR - ESR'!AN1764</f>
        <v>0</v>
      </c>
      <c r="CZU23" s="29">
        <f>'REG y VAL POE - AESR - ESR'!AO1764</f>
        <v>0</v>
      </c>
      <c r="CZV23" s="28">
        <f>'REG y VAL POE - AESR - ESR'!AP1764</f>
        <v>0</v>
      </c>
      <c r="CZW23" s="29">
        <f>'REG y VAL POE - AESR - ESR'!AQ1764</f>
        <v>0</v>
      </c>
      <c r="CZX23" s="30">
        <f>'REG y VAL POE - AESR - ESR'!AR1764</f>
        <v>0</v>
      </c>
      <c r="CZY23" s="28">
        <f>'REG y VAL POE - AESR - ESR'!AS1764</f>
        <v>0</v>
      </c>
      <c r="CZZ23" s="30" t="str">
        <f>'REG y VAL POE - AESR - ESR'!B1765</f>
        <v xml:space="preserve">Romero Quevedo Diego Alberto </v>
      </c>
      <c r="DAA23" s="29" t="str">
        <f>'REG y VAL POE - AESR - ESR'!C1765</f>
        <v>Sin Registro</v>
      </c>
      <c r="DAB23" s="28">
        <f>'REG y VAL POE - AESR - ESR'!D1765</f>
        <v>23181588</v>
      </c>
      <c r="DAC23" s="29" t="str">
        <f>'REG y VAL POE - AESR - ESR'!E1765</f>
        <v xml:space="preserve">Romero Quevedo Diego Alberto </v>
      </c>
      <c r="DAD23" s="28">
        <f>'REG y VAL POE - AESR - ESR'!F1765</f>
        <v>23181588</v>
      </c>
      <c r="DAE23" s="28">
        <f>'REG y VAL POE - AESR - ESR'!G1765</f>
        <v>0</v>
      </c>
      <c r="DAF23" s="28">
        <f>'REG y VAL POE - AESR - ESR'!H1765</f>
        <v>0</v>
      </c>
      <c r="DAG23" s="29">
        <f>'REG y VAL POE - AESR - ESR'!I1765</f>
        <v>0</v>
      </c>
      <c r="DAH23" s="385">
        <f>'REG y VAL POE - AESR - ESR'!J1765</f>
        <v>0</v>
      </c>
      <c r="DAI23" s="29">
        <f>'REG y VAL POE - AESR - ESR'!K1765</f>
        <v>0</v>
      </c>
      <c r="DAJ23" s="385">
        <f>'REG y VAL POE - AESR - ESR'!L1765</f>
        <v>0</v>
      </c>
      <c r="DAK23" s="29">
        <f>'REG y VAL POE - AESR - ESR'!M1765</f>
        <v>0</v>
      </c>
      <c r="DAL23" s="385">
        <f>'REG y VAL POE - AESR - ESR'!N1765</f>
        <v>0</v>
      </c>
      <c r="DAM23" s="29">
        <f>'REG y VAL POE - AESR - ESR'!O1765</f>
        <v>0</v>
      </c>
      <c r="DAN23" s="29">
        <f>'REG y VAL POE - AESR - ESR'!P1765</f>
        <v>0</v>
      </c>
      <c r="DAO23" s="29">
        <f>'REG y VAL POE - AESR - ESR'!Q1765</f>
        <v>0</v>
      </c>
      <c r="DAP23" s="29">
        <f>'REG y VAL POE - AESR - ESR'!R1765</f>
        <v>0</v>
      </c>
      <c r="DAQ23" s="29">
        <f>'REG y VAL POE - AESR - ESR'!S1765</f>
        <v>0</v>
      </c>
      <c r="DAR23" s="29">
        <f>'REG y VAL POE - AESR - ESR'!T1765</f>
        <v>0</v>
      </c>
      <c r="DAS23" s="29">
        <f>'REG y VAL POE - AESR - ESR'!U1765</f>
        <v>0</v>
      </c>
      <c r="DAT23" s="29">
        <f>'REG y VAL POE - AESR - ESR'!V1765</f>
        <v>0</v>
      </c>
      <c r="DAU23" s="29">
        <f>'REG y VAL POE - AESR - ESR'!W1765</f>
        <v>0</v>
      </c>
      <c r="DAV23" s="29">
        <f>'REG y VAL POE - AESR - ESR'!X1765</f>
        <v>0</v>
      </c>
      <c r="DAW23" s="29">
        <f>'REG y VAL POE - AESR - ESR'!Y1765</f>
        <v>0</v>
      </c>
      <c r="DAX23" s="29">
        <f>'REG y VAL POE - AESR - ESR'!Z1765</f>
        <v>0</v>
      </c>
      <c r="DAY23" s="29">
        <f>'REG y VAL POE - AESR - ESR'!AA1765</f>
        <v>0</v>
      </c>
      <c r="DAZ23" s="29">
        <f>'REG y VAL POE - AESR - ESR'!AB1765</f>
        <v>0</v>
      </c>
      <c r="DBA23" s="29">
        <f>'REG y VAL POE - AESR - ESR'!AC1765</f>
        <v>0</v>
      </c>
      <c r="DBB23" s="29">
        <f>'REG y VAL POE - AESR - ESR'!AD1765</f>
        <v>0</v>
      </c>
      <c r="DBC23" s="29">
        <f>'REG y VAL POE - AESR - ESR'!AE1765</f>
        <v>0</v>
      </c>
      <c r="DBD23" s="29">
        <f>'REG y VAL POE - AESR - ESR'!AF1765</f>
        <v>0</v>
      </c>
      <c r="DBE23" s="29">
        <f>'REG y VAL POE - AESR - ESR'!AG1765</f>
        <v>0</v>
      </c>
      <c r="DBF23" s="29">
        <f>'REG y VAL POE - AESR - ESR'!AH1765</f>
        <v>0</v>
      </c>
      <c r="DBG23" s="29">
        <f>'REG y VAL POE - AESR - ESR'!AI1765</f>
        <v>0</v>
      </c>
      <c r="DBH23" s="29">
        <f>'REG y VAL POE - AESR - ESR'!AJ1765</f>
        <v>0</v>
      </c>
      <c r="DBI23" s="29">
        <f>'REG y VAL POE - AESR - ESR'!AK1765</f>
        <v>0</v>
      </c>
      <c r="DBJ23" s="29">
        <f>'REG y VAL POE - AESR - ESR'!AL1765</f>
        <v>0</v>
      </c>
      <c r="DBK23" s="29">
        <f>'REG y VAL POE - AESR - ESR'!AM1765</f>
        <v>0</v>
      </c>
      <c r="DBL23" s="29">
        <f>'REG y VAL POE - AESR - ESR'!AN1765</f>
        <v>0</v>
      </c>
      <c r="DBM23" s="29">
        <f>'REG y VAL POE - AESR - ESR'!AO1765</f>
        <v>0</v>
      </c>
      <c r="DBN23" s="29">
        <f>'REG y VAL POE - AESR - ESR'!AP1765</f>
        <v>0</v>
      </c>
      <c r="DBO23" s="29">
        <f>'REG y VAL POE - AESR - ESR'!AQ1765</f>
        <v>0</v>
      </c>
      <c r="DBP23" s="29">
        <f>'REG y VAL POE - AESR - ESR'!AR1765</f>
        <v>0</v>
      </c>
      <c r="DBQ23" s="29">
        <f>'REG y VAL POE - AESR - ESR'!AS1765</f>
        <v>0</v>
      </c>
      <c r="DBR23" s="30" t="str">
        <f>'REG y VAL POE - AESR - ESR'!B1766</f>
        <v xml:space="preserve">Rubio Cordero Adela Maria </v>
      </c>
      <c r="DBS23" s="28" t="str">
        <f>'REG y VAL POE - AESR - ESR'!C1766</f>
        <v>Sin Registro</v>
      </c>
      <c r="DBT23" s="29">
        <f>'REG y VAL POE - AESR - ESR'!D1766</f>
        <v>23198972</v>
      </c>
      <c r="DBU23" s="29" t="str">
        <f>'REG y VAL POE - AESR - ESR'!E1766</f>
        <v xml:space="preserve">Rubio Cordero Adela Maria </v>
      </c>
      <c r="DBV23" s="29">
        <f>'REG y VAL POE - AESR - ESR'!F1766</f>
        <v>23198972</v>
      </c>
      <c r="DBW23" s="29">
        <f>'REG y VAL POE - AESR - ESR'!G1766</f>
        <v>0</v>
      </c>
      <c r="DBX23" s="29">
        <f>'REG y VAL POE - AESR - ESR'!H1766</f>
        <v>0</v>
      </c>
      <c r="DBY23" s="28">
        <f>'REG y VAL POE - AESR - ESR'!I1766</f>
        <v>0</v>
      </c>
      <c r="DBZ23" s="29">
        <f>'REG y VAL POE - AESR - ESR'!J1766</f>
        <v>0</v>
      </c>
      <c r="DCA23" s="29">
        <f>'REG y VAL POE - AESR - ESR'!K1766</f>
        <v>0</v>
      </c>
      <c r="DCB23" s="28">
        <f>'REG y VAL POE - AESR - ESR'!L1766</f>
        <v>0</v>
      </c>
      <c r="DCC23" s="29">
        <f>'REG y VAL POE - AESR - ESR'!M1766</f>
        <v>0</v>
      </c>
      <c r="DCD23" s="30">
        <f>'REG y VAL POE - AESR - ESR'!N1766</f>
        <v>0</v>
      </c>
      <c r="DCE23" s="28">
        <f>'REG y VAL POE - AESR - ESR'!O1766</f>
        <v>0</v>
      </c>
      <c r="DCF23" s="29">
        <f>'REG y VAL POE - AESR - ESR'!P1766</f>
        <v>0</v>
      </c>
      <c r="DCG23" s="29">
        <f>'REG y VAL POE - AESR - ESR'!Q1766</f>
        <v>0</v>
      </c>
      <c r="DCH23" s="29">
        <f>'REG y VAL POE - AESR - ESR'!R1766</f>
        <v>0</v>
      </c>
      <c r="DCI23" s="28">
        <f>'REG y VAL POE - AESR - ESR'!S1766</f>
        <v>0</v>
      </c>
      <c r="DCJ23" s="29">
        <f>'REG y VAL POE - AESR - ESR'!T1766</f>
        <v>0</v>
      </c>
      <c r="DCK23" s="29">
        <f>'REG y VAL POE - AESR - ESR'!U1766</f>
        <v>0</v>
      </c>
      <c r="DCL23" s="28">
        <f>'REG y VAL POE - AESR - ESR'!V1766</f>
        <v>0</v>
      </c>
      <c r="DCM23" s="29">
        <f>'REG y VAL POE - AESR - ESR'!W1766</f>
        <v>0</v>
      </c>
      <c r="DCN23" s="30">
        <f>'REG y VAL POE - AESR - ESR'!X1766</f>
        <v>0</v>
      </c>
      <c r="DCO23" s="28">
        <f>'REG y VAL POE - AESR - ESR'!Y1766</f>
        <v>0</v>
      </c>
      <c r="DCP23" s="29">
        <f>'REG y VAL POE - AESR - ESR'!Z1766</f>
        <v>0</v>
      </c>
      <c r="DCQ23" s="29">
        <f>'REG y VAL POE - AESR - ESR'!AA1766</f>
        <v>0</v>
      </c>
      <c r="DCR23" s="29">
        <f>'REG y VAL POE - AESR - ESR'!AB1766</f>
        <v>0</v>
      </c>
      <c r="DCS23" s="28">
        <f>'REG y VAL POE - AESR - ESR'!AC1766</f>
        <v>0</v>
      </c>
      <c r="DCT23" s="29">
        <f>'REG y VAL POE - AESR - ESR'!AD1766</f>
        <v>0</v>
      </c>
      <c r="DCU23" s="29">
        <f>'REG y VAL POE - AESR - ESR'!AE1766</f>
        <v>0</v>
      </c>
      <c r="DCV23" s="28">
        <f>'REG y VAL POE - AESR - ESR'!AF1766</f>
        <v>0</v>
      </c>
      <c r="DCW23" s="29">
        <f>'REG y VAL POE - AESR - ESR'!AG1766</f>
        <v>0</v>
      </c>
      <c r="DCX23" s="30">
        <f>'REG y VAL POE - AESR - ESR'!AH1766</f>
        <v>0</v>
      </c>
      <c r="DCY23" s="28">
        <f>'REG y VAL POE - AESR - ESR'!AI1766</f>
        <v>0</v>
      </c>
      <c r="DCZ23" s="29">
        <f>'REG y VAL POE - AESR - ESR'!AJ1766</f>
        <v>0</v>
      </c>
      <c r="DDA23" s="29">
        <f>'REG y VAL POE - AESR - ESR'!AK1766</f>
        <v>0</v>
      </c>
      <c r="DDB23" s="29">
        <f>'REG y VAL POE - AESR - ESR'!AL1766</f>
        <v>0</v>
      </c>
      <c r="DDC23" s="28">
        <f>'REG y VAL POE - AESR - ESR'!AM1766</f>
        <v>0</v>
      </c>
      <c r="DDD23" s="29">
        <f>'REG y VAL POE - AESR - ESR'!AN1766</f>
        <v>0</v>
      </c>
      <c r="DDE23" s="29">
        <f>'REG y VAL POE - AESR - ESR'!AO1766</f>
        <v>0</v>
      </c>
      <c r="DDF23" s="28">
        <f>'REG y VAL POE - AESR - ESR'!AP1766</f>
        <v>0</v>
      </c>
      <c r="DDG23" s="29">
        <f>'REG y VAL POE - AESR - ESR'!AQ1766</f>
        <v>0</v>
      </c>
      <c r="DDH23" s="30">
        <f>'REG y VAL POE - AESR - ESR'!AR1766</f>
        <v>0</v>
      </c>
      <c r="DDI23" s="28">
        <f>'REG y VAL POE - AESR - ESR'!AS1766</f>
        <v>0</v>
      </c>
      <c r="DDJ23" s="30" t="str">
        <f>'REG y VAL POE - AESR - ESR'!B1767</f>
        <v xml:space="preserve">Rueda Guzman Jehovani David </v>
      </c>
      <c r="DDK23" s="29" t="str">
        <f>'REG y VAL POE - AESR - ESR'!C1767</f>
        <v>Sin Registro</v>
      </c>
      <c r="DDL23" s="28">
        <f>'REG y VAL POE - AESR - ESR'!D1767</f>
        <v>23163282</v>
      </c>
      <c r="DDM23" s="29" t="str">
        <f>'REG y VAL POE - AESR - ESR'!E1767</f>
        <v xml:space="preserve">Rueda Guzman Jehovani David </v>
      </c>
      <c r="DDN23" s="28">
        <f>'REG y VAL POE - AESR - ESR'!F1767</f>
        <v>23163282</v>
      </c>
      <c r="DDO23" s="28">
        <f>'REG y VAL POE - AESR - ESR'!G1767</f>
        <v>0</v>
      </c>
      <c r="DDP23" s="28">
        <f>'REG y VAL POE - AESR - ESR'!H1767</f>
        <v>0</v>
      </c>
      <c r="DDQ23" s="29">
        <f>'REG y VAL POE - AESR - ESR'!I1767</f>
        <v>0</v>
      </c>
      <c r="DDR23" s="385">
        <f>'REG y VAL POE - AESR - ESR'!J1767</f>
        <v>0</v>
      </c>
      <c r="DDS23" s="29">
        <f>'REG y VAL POE - AESR - ESR'!K1767</f>
        <v>0</v>
      </c>
      <c r="DDT23" s="385">
        <f>'REG y VAL POE - AESR - ESR'!L1767</f>
        <v>0</v>
      </c>
      <c r="DDU23" s="29">
        <f>'REG y VAL POE - AESR - ESR'!M1767</f>
        <v>0</v>
      </c>
      <c r="DDV23" s="385">
        <f>'REG y VAL POE - AESR - ESR'!N1767</f>
        <v>0</v>
      </c>
      <c r="DDW23" s="29">
        <f>'REG y VAL POE - AESR - ESR'!O1767</f>
        <v>0</v>
      </c>
      <c r="DDX23" s="29">
        <f>'REG y VAL POE - AESR - ESR'!P1767</f>
        <v>0</v>
      </c>
      <c r="DDY23" s="29">
        <f>'REG y VAL POE - AESR - ESR'!Q1767</f>
        <v>0</v>
      </c>
      <c r="DDZ23" s="29">
        <f>'REG y VAL POE - AESR - ESR'!R1767</f>
        <v>0</v>
      </c>
      <c r="DEA23" s="29">
        <f>'REG y VAL POE - AESR - ESR'!S1767</f>
        <v>0</v>
      </c>
      <c r="DEB23" s="29">
        <f>'REG y VAL POE - AESR - ESR'!T1767</f>
        <v>0</v>
      </c>
      <c r="DEC23" s="29">
        <f>'REG y VAL POE - AESR - ESR'!U1767</f>
        <v>0</v>
      </c>
      <c r="DED23" s="29">
        <f>'REG y VAL POE - AESR - ESR'!V1767</f>
        <v>0</v>
      </c>
      <c r="DEE23" s="29">
        <f>'REG y VAL POE - AESR - ESR'!W1767</f>
        <v>0</v>
      </c>
      <c r="DEF23" s="29">
        <f>'REG y VAL POE - AESR - ESR'!X1767</f>
        <v>0</v>
      </c>
      <c r="DEG23" s="29">
        <f>'REG y VAL POE - AESR - ESR'!Y1767</f>
        <v>0</v>
      </c>
      <c r="DEH23" s="29">
        <f>'REG y VAL POE - AESR - ESR'!Z1767</f>
        <v>0</v>
      </c>
      <c r="DEI23" s="29">
        <f>'REG y VAL POE - AESR - ESR'!AA1767</f>
        <v>0</v>
      </c>
      <c r="DEJ23" s="29">
        <f>'REG y VAL POE - AESR - ESR'!AB1767</f>
        <v>0</v>
      </c>
      <c r="DEK23" s="29">
        <f>'REG y VAL POE - AESR - ESR'!AC1767</f>
        <v>0</v>
      </c>
      <c r="DEL23" s="29">
        <f>'REG y VAL POE - AESR - ESR'!AD1767</f>
        <v>0</v>
      </c>
      <c r="DEM23" s="29">
        <f>'REG y VAL POE - AESR - ESR'!AE1767</f>
        <v>0</v>
      </c>
      <c r="DEN23" s="29">
        <f>'REG y VAL POE - AESR - ESR'!AF1767</f>
        <v>0</v>
      </c>
      <c r="DEO23" s="29">
        <f>'REG y VAL POE - AESR - ESR'!AG1767</f>
        <v>0</v>
      </c>
      <c r="DEP23" s="29">
        <f>'REG y VAL POE - AESR - ESR'!AH1767</f>
        <v>0</v>
      </c>
      <c r="DEQ23" s="29">
        <f>'REG y VAL POE - AESR - ESR'!AI1767</f>
        <v>0</v>
      </c>
      <c r="DER23" s="29">
        <f>'REG y VAL POE - AESR - ESR'!AJ1767</f>
        <v>0</v>
      </c>
      <c r="DES23" s="29">
        <f>'REG y VAL POE - AESR - ESR'!AK1767</f>
        <v>0</v>
      </c>
      <c r="DET23" s="29">
        <f>'REG y VAL POE - AESR - ESR'!AL1767</f>
        <v>0</v>
      </c>
      <c r="DEU23" s="29">
        <f>'REG y VAL POE - AESR - ESR'!AM1767</f>
        <v>0</v>
      </c>
      <c r="DEV23" s="29">
        <f>'REG y VAL POE - AESR - ESR'!AN1767</f>
        <v>0</v>
      </c>
      <c r="DEW23" s="29">
        <f>'REG y VAL POE - AESR - ESR'!AO1767</f>
        <v>0</v>
      </c>
      <c r="DEX23" s="29">
        <f>'REG y VAL POE - AESR - ESR'!AP1767</f>
        <v>0</v>
      </c>
      <c r="DEY23" s="29">
        <f>'REG y VAL POE - AESR - ESR'!AQ1767</f>
        <v>0</v>
      </c>
      <c r="DEZ23" s="29">
        <f>'REG y VAL POE - AESR - ESR'!AR1767</f>
        <v>0</v>
      </c>
      <c r="DFA23" s="29">
        <f>'REG y VAL POE - AESR - ESR'!AS1767</f>
        <v>0</v>
      </c>
      <c r="DFB23" s="30" t="str">
        <f>'REG y VAL POE - AESR - ESR'!B1768</f>
        <v xml:space="preserve">Ruiz Hernandez Rodolfo </v>
      </c>
      <c r="DFC23" s="28" t="str">
        <f>'REG y VAL POE - AESR - ESR'!C1768</f>
        <v>Sin Registro</v>
      </c>
      <c r="DFD23" s="29">
        <f>'REG y VAL POE - AESR - ESR'!D1768</f>
        <v>23198472</v>
      </c>
      <c r="DFE23" s="29" t="str">
        <f>'REG y VAL POE - AESR - ESR'!E1768</f>
        <v xml:space="preserve">Ruiz Hernandez Rodolfo </v>
      </c>
      <c r="DFF23" s="29">
        <f>'REG y VAL POE - AESR - ESR'!F1768</f>
        <v>23198472</v>
      </c>
      <c r="DFG23" s="29">
        <f>'REG y VAL POE - AESR - ESR'!G1768</f>
        <v>0</v>
      </c>
      <c r="DFH23" s="29">
        <f>'REG y VAL POE - AESR - ESR'!H1768</f>
        <v>0</v>
      </c>
      <c r="DFI23" s="28">
        <f>'REG y VAL POE - AESR - ESR'!I1768</f>
        <v>0</v>
      </c>
      <c r="DFJ23" s="29">
        <f>'REG y VAL POE - AESR - ESR'!J1768</f>
        <v>0</v>
      </c>
      <c r="DFK23" s="29">
        <f>'REG y VAL POE - AESR - ESR'!K1768</f>
        <v>0</v>
      </c>
      <c r="DFL23" s="28">
        <f>'REG y VAL POE - AESR - ESR'!L1768</f>
        <v>0</v>
      </c>
      <c r="DFM23" s="29">
        <f>'REG y VAL POE - AESR - ESR'!M1768</f>
        <v>0</v>
      </c>
      <c r="DFN23" s="30">
        <f>'REG y VAL POE - AESR - ESR'!N1768</f>
        <v>0</v>
      </c>
      <c r="DFO23" s="28">
        <f>'REG y VAL POE - AESR - ESR'!O1768</f>
        <v>0</v>
      </c>
      <c r="DFP23" s="29">
        <f>'REG y VAL POE - AESR - ESR'!P1768</f>
        <v>0</v>
      </c>
      <c r="DFQ23" s="29">
        <f>'REG y VAL POE - AESR - ESR'!Q1768</f>
        <v>0</v>
      </c>
      <c r="DFR23" s="29">
        <f>'REG y VAL POE - AESR - ESR'!R1768</f>
        <v>0</v>
      </c>
      <c r="DFS23" s="28">
        <f>'REG y VAL POE - AESR - ESR'!S1768</f>
        <v>0</v>
      </c>
      <c r="DFT23" s="29">
        <f>'REG y VAL POE - AESR - ESR'!T1768</f>
        <v>0</v>
      </c>
      <c r="DFU23" s="29">
        <f>'REG y VAL POE - AESR - ESR'!U1768</f>
        <v>0</v>
      </c>
      <c r="DFV23" s="28">
        <f>'REG y VAL POE - AESR - ESR'!V1768</f>
        <v>0</v>
      </c>
      <c r="DFW23" s="29">
        <f>'REG y VAL POE - AESR - ESR'!W1768</f>
        <v>0</v>
      </c>
      <c r="DFX23" s="30">
        <f>'REG y VAL POE - AESR - ESR'!X1768</f>
        <v>0</v>
      </c>
      <c r="DFY23" s="28">
        <f>'REG y VAL POE - AESR - ESR'!Y1768</f>
        <v>0</v>
      </c>
      <c r="DFZ23" s="29">
        <f>'REG y VAL POE - AESR - ESR'!Z1768</f>
        <v>0</v>
      </c>
      <c r="DGA23" s="29">
        <f>'REG y VAL POE - AESR - ESR'!AA1768</f>
        <v>0</v>
      </c>
      <c r="DGB23" s="29">
        <f>'REG y VAL POE - AESR - ESR'!AB1768</f>
        <v>0</v>
      </c>
      <c r="DGC23" s="28">
        <f>'REG y VAL POE - AESR - ESR'!AC1768</f>
        <v>0</v>
      </c>
      <c r="DGD23" s="29">
        <f>'REG y VAL POE - AESR - ESR'!AD1768</f>
        <v>0</v>
      </c>
      <c r="DGE23" s="29">
        <f>'REG y VAL POE - AESR - ESR'!AE1768</f>
        <v>0</v>
      </c>
      <c r="DGF23" s="28">
        <f>'REG y VAL POE - AESR - ESR'!AF1768</f>
        <v>0</v>
      </c>
      <c r="DGG23" s="29">
        <f>'REG y VAL POE - AESR - ESR'!AG1768</f>
        <v>0</v>
      </c>
      <c r="DGH23" s="30">
        <f>'REG y VAL POE - AESR - ESR'!AH1768</f>
        <v>0</v>
      </c>
      <c r="DGI23" s="28">
        <f>'REG y VAL POE - AESR - ESR'!AI1768</f>
        <v>0</v>
      </c>
      <c r="DGJ23" s="29">
        <f>'REG y VAL POE - AESR - ESR'!AJ1768</f>
        <v>0</v>
      </c>
      <c r="DGK23" s="29">
        <f>'REG y VAL POE - AESR - ESR'!AK1768</f>
        <v>0</v>
      </c>
      <c r="DGL23" s="29">
        <f>'REG y VAL POE - AESR - ESR'!AL1768</f>
        <v>0</v>
      </c>
      <c r="DGM23" s="28">
        <f>'REG y VAL POE - AESR - ESR'!AM1768</f>
        <v>0</v>
      </c>
      <c r="DGN23" s="29">
        <f>'REG y VAL POE - AESR - ESR'!AN1768</f>
        <v>0</v>
      </c>
      <c r="DGO23" s="29">
        <f>'REG y VAL POE - AESR - ESR'!AO1768</f>
        <v>0</v>
      </c>
      <c r="DGP23" s="28">
        <f>'REG y VAL POE - AESR - ESR'!AP1768</f>
        <v>0</v>
      </c>
      <c r="DGQ23" s="29">
        <f>'REG y VAL POE - AESR - ESR'!AQ1768</f>
        <v>0</v>
      </c>
      <c r="DGR23" s="30">
        <f>'REG y VAL POE - AESR - ESR'!AR1768</f>
        <v>0</v>
      </c>
      <c r="DGS23" s="28">
        <f>'REG y VAL POE - AESR - ESR'!AS1768</f>
        <v>0</v>
      </c>
      <c r="DGT23" s="30" t="str">
        <f>'REG y VAL POE - AESR - ESR'!B1769</f>
        <v xml:space="preserve">Ruiz Reynoso Jaime Rafael </v>
      </c>
      <c r="DGU23" s="29" t="str">
        <f>'REG y VAL POE - AESR - ESR'!C1769</f>
        <v>Sin Registro</v>
      </c>
      <c r="DGV23" s="28">
        <f>'REG y VAL POE - AESR - ESR'!D1769</f>
        <v>23182232</v>
      </c>
      <c r="DGW23" s="29" t="str">
        <f>'REG y VAL POE - AESR - ESR'!E1769</f>
        <v xml:space="preserve">Ruiz Reynoso Jaime Rafael </v>
      </c>
      <c r="DGX23" s="28">
        <f>'REG y VAL POE - AESR - ESR'!F1769</f>
        <v>23182232</v>
      </c>
      <c r="DGY23" s="28">
        <f>'REG y VAL POE - AESR - ESR'!G1769</f>
        <v>0</v>
      </c>
      <c r="DGZ23" s="28">
        <f>'REG y VAL POE - AESR - ESR'!H1769</f>
        <v>0</v>
      </c>
      <c r="DHA23" s="29">
        <f>'REG y VAL POE - AESR - ESR'!I1769</f>
        <v>0</v>
      </c>
      <c r="DHB23" s="385">
        <f>'REG y VAL POE - AESR - ESR'!J1769</f>
        <v>0</v>
      </c>
      <c r="DHC23" s="29">
        <f>'REG y VAL POE - AESR - ESR'!K1769</f>
        <v>0</v>
      </c>
      <c r="DHD23" s="385">
        <f>'REG y VAL POE - AESR - ESR'!L1769</f>
        <v>0</v>
      </c>
      <c r="DHE23" s="29">
        <f>'REG y VAL POE - AESR - ESR'!M1769</f>
        <v>0</v>
      </c>
      <c r="DHF23" s="385">
        <f>'REG y VAL POE - AESR - ESR'!N1769</f>
        <v>0</v>
      </c>
      <c r="DHG23" s="29">
        <f>'REG y VAL POE - AESR - ESR'!O1769</f>
        <v>0</v>
      </c>
      <c r="DHH23" s="29">
        <f>'REG y VAL POE - AESR - ESR'!P1769</f>
        <v>0</v>
      </c>
      <c r="DHI23" s="29">
        <f>'REG y VAL POE - AESR - ESR'!Q1769</f>
        <v>0</v>
      </c>
      <c r="DHJ23" s="29">
        <f>'REG y VAL POE - AESR - ESR'!R1769</f>
        <v>0</v>
      </c>
      <c r="DHK23" s="29">
        <f>'REG y VAL POE - AESR - ESR'!S1769</f>
        <v>0</v>
      </c>
      <c r="DHL23" s="29">
        <f>'REG y VAL POE - AESR - ESR'!T1769</f>
        <v>0</v>
      </c>
      <c r="DHM23" s="29">
        <f>'REG y VAL POE - AESR - ESR'!U1769</f>
        <v>0</v>
      </c>
      <c r="DHN23" s="29">
        <f>'REG y VAL POE - AESR - ESR'!V1769</f>
        <v>0</v>
      </c>
      <c r="DHO23" s="29">
        <f>'REG y VAL POE - AESR - ESR'!W1769</f>
        <v>0</v>
      </c>
      <c r="DHP23" s="29">
        <f>'REG y VAL POE - AESR - ESR'!X1769</f>
        <v>0</v>
      </c>
      <c r="DHQ23" s="29">
        <f>'REG y VAL POE - AESR - ESR'!Y1769</f>
        <v>0</v>
      </c>
      <c r="DHR23" s="29">
        <f>'REG y VAL POE - AESR - ESR'!Z1769</f>
        <v>0</v>
      </c>
      <c r="DHS23" s="29">
        <f>'REG y VAL POE - AESR - ESR'!AA1769</f>
        <v>0</v>
      </c>
      <c r="DHT23" s="29">
        <f>'REG y VAL POE - AESR - ESR'!AB1769</f>
        <v>0</v>
      </c>
      <c r="DHU23" s="29">
        <f>'REG y VAL POE - AESR - ESR'!AC1769</f>
        <v>0</v>
      </c>
      <c r="DHV23" s="29">
        <f>'REG y VAL POE - AESR - ESR'!AD1769</f>
        <v>0</v>
      </c>
      <c r="DHW23" s="29">
        <f>'REG y VAL POE - AESR - ESR'!AE1769</f>
        <v>0</v>
      </c>
      <c r="DHX23" s="29">
        <f>'REG y VAL POE - AESR - ESR'!AF1769</f>
        <v>0</v>
      </c>
      <c r="DHY23" s="29">
        <f>'REG y VAL POE - AESR - ESR'!AG1769</f>
        <v>0</v>
      </c>
      <c r="DHZ23" s="29">
        <f>'REG y VAL POE - AESR - ESR'!AH1769</f>
        <v>0</v>
      </c>
      <c r="DIA23" s="29">
        <f>'REG y VAL POE - AESR - ESR'!AI1769</f>
        <v>0</v>
      </c>
      <c r="DIB23" s="29">
        <f>'REG y VAL POE - AESR - ESR'!AJ1769</f>
        <v>0</v>
      </c>
      <c r="DIC23" s="29">
        <f>'REG y VAL POE - AESR - ESR'!AK1769</f>
        <v>0</v>
      </c>
      <c r="DID23" s="29">
        <f>'REG y VAL POE - AESR - ESR'!AL1769</f>
        <v>0</v>
      </c>
      <c r="DIE23" s="29">
        <f>'REG y VAL POE - AESR - ESR'!AM1769</f>
        <v>0</v>
      </c>
      <c r="DIF23" s="29">
        <f>'REG y VAL POE - AESR - ESR'!AN1769</f>
        <v>0</v>
      </c>
      <c r="DIG23" s="29">
        <f>'REG y VAL POE - AESR - ESR'!AO1769</f>
        <v>0</v>
      </c>
      <c r="DIH23" s="29">
        <f>'REG y VAL POE - AESR - ESR'!AP1769</f>
        <v>0</v>
      </c>
      <c r="DII23" s="29">
        <f>'REG y VAL POE - AESR - ESR'!AQ1769</f>
        <v>0</v>
      </c>
      <c r="DIJ23" s="29">
        <f>'REG y VAL POE - AESR - ESR'!AR1769</f>
        <v>0</v>
      </c>
      <c r="DIK23" s="29">
        <f>'REG y VAL POE - AESR - ESR'!AS1769</f>
        <v>0</v>
      </c>
      <c r="DIL23" s="30" t="str">
        <f>'REG y VAL POE - AESR - ESR'!B1770</f>
        <v xml:space="preserve">Salas Cortez Estrella </v>
      </c>
      <c r="DIM23" s="28" t="str">
        <f>'REG y VAL POE - AESR - ESR'!C1770</f>
        <v>Sin Registro</v>
      </c>
      <c r="DIN23" s="29">
        <f>'REG y VAL POE - AESR - ESR'!D1770</f>
        <v>23213328</v>
      </c>
      <c r="DIO23" s="29" t="str">
        <f>'REG y VAL POE - AESR - ESR'!E1770</f>
        <v xml:space="preserve">Salas Cortez Estrella </v>
      </c>
      <c r="DIP23" s="29">
        <f>'REG y VAL POE - AESR - ESR'!F1770</f>
        <v>23213328</v>
      </c>
      <c r="DIQ23" s="29">
        <f>'REG y VAL POE - AESR - ESR'!G1770</f>
        <v>0</v>
      </c>
      <c r="DIR23" s="29">
        <f>'REG y VAL POE - AESR - ESR'!H1770</f>
        <v>0</v>
      </c>
      <c r="DIS23" s="28">
        <f>'REG y VAL POE - AESR - ESR'!I1770</f>
        <v>0</v>
      </c>
      <c r="DIT23" s="29">
        <f>'REG y VAL POE - AESR - ESR'!J1770</f>
        <v>0</v>
      </c>
      <c r="DIU23" s="29">
        <f>'REG y VAL POE - AESR - ESR'!K1770</f>
        <v>0</v>
      </c>
      <c r="DIV23" s="28">
        <f>'REG y VAL POE - AESR - ESR'!L1770</f>
        <v>0</v>
      </c>
      <c r="DIW23" s="29">
        <f>'REG y VAL POE - AESR - ESR'!M1770</f>
        <v>0</v>
      </c>
      <c r="DIX23" s="30">
        <f>'REG y VAL POE - AESR - ESR'!N1770</f>
        <v>0</v>
      </c>
      <c r="DIY23" s="28">
        <f>'REG y VAL POE - AESR - ESR'!O1770</f>
        <v>0</v>
      </c>
      <c r="DIZ23" s="29">
        <f>'REG y VAL POE - AESR - ESR'!P1770</f>
        <v>0</v>
      </c>
      <c r="DJA23" s="29">
        <f>'REG y VAL POE - AESR - ESR'!Q1770</f>
        <v>0</v>
      </c>
      <c r="DJB23" s="29">
        <f>'REG y VAL POE - AESR - ESR'!R1770</f>
        <v>0</v>
      </c>
      <c r="DJC23" s="28">
        <f>'REG y VAL POE - AESR - ESR'!S1770</f>
        <v>0</v>
      </c>
      <c r="DJD23" s="29">
        <f>'REG y VAL POE - AESR - ESR'!T1770</f>
        <v>0</v>
      </c>
      <c r="DJE23" s="29">
        <f>'REG y VAL POE - AESR - ESR'!U1770</f>
        <v>0</v>
      </c>
      <c r="DJF23" s="28">
        <f>'REG y VAL POE - AESR - ESR'!V1770</f>
        <v>0</v>
      </c>
      <c r="DJG23" s="29">
        <f>'REG y VAL POE - AESR - ESR'!W1770</f>
        <v>0</v>
      </c>
      <c r="DJH23" s="30">
        <f>'REG y VAL POE - AESR - ESR'!X1770</f>
        <v>0</v>
      </c>
      <c r="DJI23" s="28">
        <f>'REG y VAL POE - AESR - ESR'!Y1770</f>
        <v>0</v>
      </c>
      <c r="DJJ23" s="29">
        <f>'REG y VAL POE - AESR - ESR'!Z1770</f>
        <v>0</v>
      </c>
      <c r="DJK23" s="29">
        <f>'REG y VAL POE - AESR - ESR'!AA1770</f>
        <v>0</v>
      </c>
      <c r="DJL23" s="29">
        <f>'REG y VAL POE - AESR - ESR'!AB1770</f>
        <v>0</v>
      </c>
      <c r="DJM23" s="28">
        <f>'REG y VAL POE - AESR - ESR'!AC1770</f>
        <v>0</v>
      </c>
      <c r="DJN23" s="29">
        <f>'REG y VAL POE - AESR - ESR'!AD1770</f>
        <v>0</v>
      </c>
      <c r="DJO23" s="29">
        <f>'REG y VAL POE - AESR - ESR'!AE1770</f>
        <v>0</v>
      </c>
      <c r="DJP23" s="28">
        <f>'REG y VAL POE - AESR - ESR'!AF1770</f>
        <v>0</v>
      </c>
      <c r="DJQ23" s="29">
        <f>'REG y VAL POE - AESR - ESR'!AG1770</f>
        <v>0</v>
      </c>
      <c r="DJR23" s="30">
        <f>'REG y VAL POE - AESR - ESR'!AH1770</f>
        <v>0</v>
      </c>
      <c r="DJS23" s="28">
        <f>'REG y VAL POE - AESR - ESR'!AI1770</f>
        <v>0</v>
      </c>
      <c r="DJT23" s="29">
        <f>'REG y VAL POE - AESR - ESR'!AJ1770</f>
        <v>0</v>
      </c>
      <c r="DJU23" s="29">
        <f>'REG y VAL POE - AESR - ESR'!AK1770</f>
        <v>0</v>
      </c>
      <c r="DJV23" s="29">
        <f>'REG y VAL POE - AESR - ESR'!AL1770</f>
        <v>0</v>
      </c>
      <c r="DJW23" s="28">
        <f>'REG y VAL POE - AESR - ESR'!AM1770</f>
        <v>0</v>
      </c>
      <c r="DJX23" s="29">
        <f>'REG y VAL POE - AESR - ESR'!AN1770</f>
        <v>0</v>
      </c>
      <c r="DJY23" s="29">
        <f>'REG y VAL POE - AESR - ESR'!AO1770</f>
        <v>0</v>
      </c>
      <c r="DJZ23" s="28">
        <f>'REG y VAL POE - AESR - ESR'!AP1770</f>
        <v>0</v>
      </c>
      <c r="DKA23" s="29">
        <f>'REG y VAL POE - AESR - ESR'!AQ1770</f>
        <v>0</v>
      </c>
      <c r="DKB23" s="30">
        <f>'REG y VAL POE - AESR - ESR'!AR1770</f>
        <v>0</v>
      </c>
      <c r="DKC23" s="28">
        <f>'REG y VAL POE - AESR - ESR'!AS1770</f>
        <v>0</v>
      </c>
      <c r="DKD23" s="30" t="str">
        <f>'REG y VAL POE - AESR - ESR'!B1771</f>
        <v xml:space="preserve">Sanchez Velez Jose Jorge </v>
      </c>
      <c r="DKE23" s="29" t="str">
        <f>'REG y VAL POE - AESR - ESR'!C1771</f>
        <v>Sin Registro</v>
      </c>
      <c r="DKF23" s="28">
        <f>'REG y VAL POE - AESR - ESR'!D1771</f>
        <v>23198450</v>
      </c>
      <c r="DKG23" s="29" t="str">
        <f>'REG y VAL POE - AESR - ESR'!E1771</f>
        <v xml:space="preserve">Sanchez Velez Jose Jorge </v>
      </c>
      <c r="DKH23" s="28">
        <f>'REG y VAL POE - AESR - ESR'!F1771</f>
        <v>23198450</v>
      </c>
      <c r="DKI23" s="28">
        <f>'REG y VAL POE - AESR - ESR'!G1771</f>
        <v>0</v>
      </c>
      <c r="DKJ23" s="28">
        <f>'REG y VAL POE - AESR - ESR'!H1771</f>
        <v>0</v>
      </c>
      <c r="DKK23" s="29">
        <f>'REG y VAL POE - AESR - ESR'!I1771</f>
        <v>0</v>
      </c>
      <c r="DKL23" s="385">
        <f>'REG y VAL POE - AESR - ESR'!J1771</f>
        <v>0</v>
      </c>
      <c r="DKM23" s="29">
        <f>'REG y VAL POE - AESR - ESR'!K1771</f>
        <v>0</v>
      </c>
      <c r="DKN23" s="385">
        <f>'REG y VAL POE - AESR - ESR'!L1771</f>
        <v>0</v>
      </c>
      <c r="DKO23" s="29">
        <f>'REG y VAL POE - AESR - ESR'!M1771</f>
        <v>0</v>
      </c>
      <c r="DKP23" s="385">
        <f>'REG y VAL POE - AESR - ESR'!N1771</f>
        <v>0</v>
      </c>
      <c r="DKQ23" s="29">
        <f>'REG y VAL POE - AESR - ESR'!O1771</f>
        <v>0</v>
      </c>
      <c r="DKR23" s="29">
        <f>'REG y VAL POE - AESR - ESR'!P1771</f>
        <v>0</v>
      </c>
      <c r="DKS23" s="29">
        <f>'REG y VAL POE - AESR - ESR'!Q1771</f>
        <v>0</v>
      </c>
      <c r="DKT23" s="29">
        <f>'REG y VAL POE - AESR - ESR'!R1771</f>
        <v>0</v>
      </c>
      <c r="DKU23" s="29">
        <f>'REG y VAL POE - AESR - ESR'!S1771</f>
        <v>0</v>
      </c>
      <c r="DKV23" s="29">
        <f>'REG y VAL POE - AESR - ESR'!T1771</f>
        <v>0</v>
      </c>
      <c r="DKW23" s="29">
        <f>'REG y VAL POE - AESR - ESR'!U1771</f>
        <v>0</v>
      </c>
      <c r="DKX23" s="29">
        <f>'REG y VAL POE - AESR - ESR'!V1771</f>
        <v>0</v>
      </c>
      <c r="DKY23" s="29">
        <f>'REG y VAL POE - AESR - ESR'!W1771</f>
        <v>0</v>
      </c>
      <c r="DKZ23" s="29">
        <f>'REG y VAL POE - AESR - ESR'!X1771</f>
        <v>0</v>
      </c>
      <c r="DLA23" s="29">
        <f>'REG y VAL POE - AESR - ESR'!Y1771</f>
        <v>0</v>
      </c>
      <c r="DLB23" s="29">
        <f>'REG y VAL POE - AESR - ESR'!Z1771</f>
        <v>0</v>
      </c>
      <c r="DLC23" s="29">
        <f>'REG y VAL POE - AESR - ESR'!AA1771</f>
        <v>0</v>
      </c>
      <c r="DLD23" s="29">
        <f>'REG y VAL POE - AESR - ESR'!AB1771</f>
        <v>0</v>
      </c>
      <c r="DLE23" s="29">
        <f>'REG y VAL POE - AESR - ESR'!AC1771</f>
        <v>0</v>
      </c>
      <c r="DLF23" s="29">
        <f>'REG y VAL POE - AESR - ESR'!AD1771</f>
        <v>0</v>
      </c>
      <c r="DLG23" s="29">
        <f>'REG y VAL POE - AESR - ESR'!AE1771</f>
        <v>0</v>
      </c>
      <c r="DLH23" s="29">
        <f>'REG y VAL POE - AESR - ESR'!AF1771</f>
        <v>0</v>
      </c>
      <c r="DLI23" s="29">
        <f>'REG y VAL POE - AESR - ESR'!AG1771</f>
        <v>0</v>
      </c>
      <c r="DLJ23" s="29">
        <f>'REG y VAL POE - AESR - ESR'!AH1771</f>
        <v>0</v>
      </c>
      <c r="DLK23" s="29">
        <f>'REG y VAL POE - AESR - ESR'!AI1771</f>
        <v>0</v>
      </c>
      <c r="DLL23" s="29">
        <f>'REG y VAL POE - AESR - ESR'!AJ1771</f>
        <v>0</v>
      </c>
      <c r="DLM23" s="29">
        <f>'REG y VAL POE - AESR - ESR'!AK1771</f>
        <v>0</v>
      </c>
      <c r="DLN23" s="29">
        <f>'REG y VAL POE - AESR - ESR'!AL1771</f>
        <v>0</v>
      </c>
      <c r="DLO23" s="29">
        <f>'REG y VAL POE - AESR - ESR'!AM1771</f>
        <v>0</v>
      </c>
      <c r="DLP23" s="29">
        <f>'REG y VAL POE - AESR - ESR'!AN1771</f>
        <v>0</v>
      </c>
      <c r="DLQ23" s="29">
        <f>'REG y VAL POE - AESR - ESR'!AO1771</f>
        <v>0</v>
      </c>
      <c r="DLR23" s="29">
        <f>'REG y VAL POE - AESR - ESR'!AP1771</f>
        <v>0</v>
      </c>
      <c r="DLS23" s="29">
        <f>'REG y VAL POE - AESR - ESR'!AQ1771</f>
        <v>0</v>
      </c>
      <c r="DLT23" s="29">
        <f>'REG y VAL POE - AESR - ESR'!AR1771</f>
        <v>0</v>
      </c>
      <c r="DLU23" s="29">
        <f>'REG y VAL POE - AESR - ESR'!AS1771</f>
        <v>0</v>
      </c>
      <c r="DLV23" s="30" t="str">
        <f>'REG y VAL POE - AESR - ESR'!B1772</f>
        <v xml:space="preserve">Santiago Lucas Miguel Angel </v>
      </c>
      <c r="DLW23" s="28" t="str">
        <f>'REG y VAL POE - AESR - ESR'!C1772</f>
        <v>Sin Registro</v>
      </c>
      <c r="DLX23" s="29">
        <f>'REG y VAL POE - AESR - ESR'!D1772</f>
        <v>23003694</v>
      </c>
      <c r="DLY23" s="29" t="str">
        <f>'REG y VAL POE - AESR - ESR'!E1772</f>
        <v xml:space="preserve">Santiago Lucas Miguel Angel </v>
      </c>
      <c r="DLZ23" s="29">
        <f>'REG y VAL POE - AESR - ESR'!F1772</f>
        <v>23003694</v>
      </c>
      <c r="DMA23" s="29">
        <f>'REG y VAL POE - AESR - ESR'!G1772</f>
        <v>0</v>
      </c>
      <c r="DMB23" s="29">
        <f>'REG y VAL POE - AESR - ESR'!H1772</f>
        <v>0</v>
      </c>
      <c r="DMC23" s="28">
        <f>'REG y VAL POE - AESR - ESR'!I1772</f>
        <v>0</v>
      </c>
      <c r="DMD23" s="29">
        <f>'REG y VAL POE - AESR - ESR'!J1772</f>
        <v>0</v>
      </c>
      <c r="DME23" s="29">
        <f>'REG y VAL POE - AESR - ESR'!K1772</f>
        <v>0</v>
      </c>
      <c r="DMF23" s="28">
        <f>'REG y VAL POE - AESR - ESR'!L1772</f>
        <v>0</v>
      </c>
      <c r="DMG23" s="29">
        <f>'REG y VAL POE - AESR - ESR'!M1772</f>
        <v>0</v>
      </c>
      <c r="DMH23" s="30">
        <f>'REG y VAL POE - AESR - ESR'!N1772</f>
        <v>0</v>
      </c>
      <c r="DMI23" s="28">
        <f>'REG y VAL POE - AESR - ESR'!O1772</f>
        <v>0</v>
      </c>
      <c r="DMJ23" s="29">
        <f>'REG y VAL POE - AESR - ESR'!P1772</f>
        <v>0</v>
      </c>
      <c r="DMK23" s="29">
        <f>'REG y VAL POE - AESR - ESR'!Q1772</f>
        <v>0</v>
      </c>
      <c r="DML23" s="29">
        <f>'REG y VAL POE - AESR - ESR'!R1772</f>
        <v>0</v>
      </c>
      <c r="DMM23" s="28">
        <f>'REG y VAL POE - AESR - ESR'!S1772</f>
        <v>0</v>
      </c>
      <c r="DMN23" s="29">
        <f>'REG y VAL POE - AESR - ESR'!T1772</f>
        <v>0</v>
      </c>
      <c r="DMO23" s="29">
        <f>'REG y VAL POE - AESR - ESR'!U1772</f>
        <v>0</v>
      </c>
      <c r="DMP23" s="28">
        <f>'REG y VAL POE - AESR - ESR'!V1772</f>
        <v>0</v>
      </c>
      <c r="DMQ23" s="29">
        <f>'REG y VAL POE - AESR - ESR'!W1772</f>
        <v>0</v>
      </c>
      <c r="DMR23" s="30">
        <f>'REG y VAL POE - AESR - ESR'!X1772</f>
        <v>0</v>
      </c>
      <c r="DMS23" s="28">
        <f>'REG y VAL POE - AESR - ESR'!Y1772</f>
        <v>0</v>
      </c>
      <c r="DMT23" s="29">
        <f>'REG y VAL POE - AESR - ESR'!Z1772</f>
        <v>0</v>
      </c>
      <c r="DMU23" s="29">
        <f>'REG y VAL POE - AESR - ESR'!AA1772</f>
        <v>0</v>
      </c>
      <c r="DMV23" s="29">
        <f>'REG y VAL POE - AESR - ESR'!AB1772</f>
        <v>0</v>
      </c>
      <c r="DMW23" s="28">
        <f>'REG y VAL POE - AESR - ESR'!AC1772</f>
        <v>0</v>
      </c>
      <c r="DMX23" s="29">
        <f>'REG y VAL POE - AESR - ESR'!AD1772</f>
        <v>0</v>
      </c>
      <c r="DMY23" s="29">
        <f>'REG y VAL POE - AESR - ESR'!AE1772</f>
        <v>0</v>
      </c>
      <c r="DMZ23" s="28">
        <f>'REG y VAL POE - AESR - ESR'!AF1772</f>
        <v>0</v>
      </c>
      <c r="DNA23" s="29">
        <f>'REG y VAL POE - AESR - ESR'!AG1772</f>
        <v>0</v>
      </c>
      <c r="DNB23" s="30">
        <f>'REG y VAL POE - AESR - ESR'!AH1772</f>
        <v>0</v>
      </c>
      <c r="DNC23" s="28">
        <f>'REG y VAL POE - AESR - ESR'!AI1772</f>
        <v>0</v>
      </c>
      <c r="DND23" s="29">
        <f>'REG y VAL POE - AESR - ESR'!AJ1772</f>
        <v>0</v>
      </c>
      <c r="DNE23" s="29">
        <f>'REG y VAL POE - AESR - ESR'!AK1772</f>
        <v>0</v>
      </c>
      <c r="DNF23" s="29">
        <f>'REG y VAL POE - AESR - ESR'!AL1772</f>
        <v>0</v>
      </c>
      <c r="DNG23" s="28">
        <f>'REG y VAL POE - AESR - ESR'!AM1772</f>
        <v>0</v>
      </c>
      <c r="DNH23" s="29">
        <f>'REG y VAL POE - AESR - ESR'!AN1772</f>
        <v>0</v>
      </c>
      <c r="DNI23" s="29">
        <f>'REG y VAL POE - AESR - ESR'!AO1772</f>
        <v>0</v>
      </c>
      <c r="DNJ23" s="28">
        <f>'REG y VAL POE - AESR - ESR'!AP1772</f>
        <v>0</v>
      </c>
      <c r="DNK23" s="29">
        <f>'REG y VAL POE - AESR - ESR'!AQ1772</f>
        <v>0</v>
      </c>
      <c r="DNL23" s="30">
        <f>'REG y VAL POE - AESR - ESR'!AR1772</f>
        <v>0</v>
      </c>
      <c r="DNM23" s="28">
        <f>'REG y VAL POE - AESR - ESR'!AS1772</f>
        <v>0</v>
      </c>
      <c r="DNN23" s="30" t="str">
        <f>'REG y VAL POE - AESR - ESR'!B1773</f>
        <v xml:space="preserve">Santiago Martinez Edwin De Jesus </v>
      </c>
      <c r="DNO23" s="29" t="str">
        <f>'REG y VAL POE - AESR - ESR'!C1773</f>
        <v>Sin Registro</v>
      </c>
      <c r="DNP23" s="28">
        <f>'REG y VAL POE - AESR - ESR'!D1773</f>
        <v>23157514</v>
      </c>
      <c r="DNQ23" s="29" t="str">
        <f>'REG y VAL POE - AESR - ESR'!E1773</f>
        <v xml:space="preserve">Santiago Martinez Edwin De Jesus </v>
      </c>
      <c r="DNR23" s="28">
        <f>'REG y VAL POE - AESR - ESR'!F1773</f>
        <v>23157514</v>
      </c>
      <c r="DNS23" s="28">
        <f>'REG y VAL POE - AESR - ESR'!G1773</f>
        <v>0</v>
      </c>
      <c r="DNT23" s="28">
        <f>'REG y VAL POE - AESR - ESR'!H1773</f>
        <v>0</v>
      </c>
      <c r="DNU23" s="29">
        <f>'REG y VAL POE - AESR - ESR'!I1773</f>
        <v>0</v>
      </c>
      <c r="DNV23" s="385">
        <f>'REG y VAL POE - AESR - ESR'!J1773</f>
        <v>0</v>
      </c>
      <c r="DNW23" s="29">
        <f>'REG y VAL POE - AESR - ESR'!K1773</f>
        <v>0</v>
      </c>
      <c r="DNX23" s="385">
        <f>'REG y VAL POE - AESR - ESR'!L1773</f>
        <v>0</v>
      </c>
      <c r="DNY23" s="29">
        <f>'REG y VAL POE - AESR - ESR'!M1773</f>
        <v>0</v>
      </c>
      <c r="DNZ23" s="385">
        <f>'REG y VAL POE - AESR - ESR'!N1773</f>
        <v>0</v>
      </c>
      <c r="DOA23" s="29">
        <f>'REG y VAL POE - AESR - ESR'!O1773</f>
        <v>0</v>
      </c>
      <c r="DOB23" s="29">
        <f>'REG y VAL POE - AESR - ESR'!P1773</f>
        <v>0</v>
      </c>
      <c r="DOC23" s="29">
        <f>'REG y VAL POE - AESR - ESR'!Q1773</f>
        <v>0</v>
      </c>
      <c r="DOD23" s="29">
        <f>'REG y VAL POE - AESR - ESR'!R1773</f>
        <v>0</v>
      </c>
      <c r="DOE23" s="29">
        <f>'REG y VAL POE - AESR - ESR'!S1773</f>
        <v>0</v>
      </c>
      <c r="DOF23" s="29">
        <f>'REG y VAL POE - AESR - ESR'!T1773</f>
        <v>0</v>
      </c>
      <c r="DOG23" s="29">
        <f>'REG y VAL POE - AESR - ESR'!U1773</f>
        <v>0</v>
      </c>
      <c r="DOH23" s="29">
        <f>'REG y VAL POE - AESR - ESR'!V1773</f>
        <v>0</v>
      </c>
      <c r="DOI23" s="29">
        <f>'REG y VAL POE - AESR - ESR'!W1773</f>
        <v>0</v>
      </c>
      <c r="DOJ23" s="29">
        <f>'REG y VAL POE - AESR - ESR'!X1773</f>
        <v>0</v>
      </c>
      <c r="DOK23" s="29">
        <f>'REG y VAL POE - AESR - ESR'!Y1773</f>
        <v>0</v>
      </c>
      <c r="DOL23" s="29">
        <f>'REG y VAL POE - AESR - ESR'!Z1773</f>
        <v>0</v>
      </c>
      <c r="DOM23" s="29">
        <f>'REG y VAL POE - AESR - ESR'!AA1773</f>
        <v>0</v>
      </c>
      <c r="DON23" s="29">
        <f>'REG y VAL POE - AESR - ESR'!AB1773</f>
        <v>0</v>
      </c>
      <c r="DOO23" s="29">
        <f>'REG y VAL POE - AESR - ESR'!AC1773</f>
        <v>0</v>
      </c>
      <c r="DOP23" s="29">
        <f>'REG y VAL POE - AESR - ESR'!AD1773</f>
        <v>0</v>
      </c>
      <c r="DOQ23" s="29">
        <f>'REG y VAL POE - AESR - ESR'!AE1773</f>
        <v>0</v>
      </c>
      <c r="DOR23" s="29">
        <f>'REG y VAL POE - AESR - ESR'!AF1773</f>
        <v>0</v>
      </c>
      <c r="DOS23" s="29">
        <f>'REG y VAL POE - AESR - ESR'!AG1773</f>
        <v>0</v>
      </c>
      <c r="DOT23" s="29">
        <f>'REG y VAL POE - AESR - ESR'!AH1773</f>
        <v>0</v>
      </c>
      <c r="DOU23" s="29">
        <f>'REG y VAL POE - AESR - ESR'!AI1773</f>
        <v>0</v>
      </c>
      <c r="DOV23" s="29">
        <f>'REG y VAL POE - AESR - ESR'!AJ1773</f>
        <v>0</v>
      </c>
      <c r="DOW23" s="29">
        <f>'REG y VAL POE - AESR - ESR'!AK1773</f>
        <v>0</v>
      </c>
      <c r="DOX23" s="29">
        <f>'REG y VAL POE - AESR - ESR'!AL1773</f>
        <v>0</v>
      </c>
      <c r="DOY23" s="29">
        <f>'REG y VAL POE - AESR - ESR'!AM1773</f>
        <v>0</v>
      </c>
      <c r="DOZ23" s="29">
        <f>'REG y VAL POE - AESR - ESR'!AN1773</f>
        <v>0</v>
      </c>
      <c r="DPA23" s="29">
        <f>'REG y VAL POE - AESR - ESR'!AO1773</f>
        <v>0</v>
      </c>
      <c r="DPB23" s="29">
        <f>'REG y VAL POE - AESR - ESR'!AP1773</f>
        <v>0</v>
      </c>
      <c r="DPC23" s="29">
        <f>'REG y VAL POE - AESR - ESR'!AQ1773</f>
        <v>0</v>
      </c>
      <c r="DPD23" s="29">
        <f>'REG y VAL POE - AESR - ESR'!AR1773</f>
        <v>0</v>
      </c>
      <c r="DPE23" s="29">
        <f>'REG y VAL POE - AESR - ESR'!AS1773</f>
        <v>0</v>
      </c>
      <c r="DPF23" s="30" t="str">
        <f>'REG y VAL POE - AESR - ESR'!B1774</f>
        <v xml:space="preserve">Sosa Orobio Jesus </v>
      </c>
      <c r="DPG23" s="28" t="str">
        <f>'REG y VAL POE - AESR - ESR'!C1774</f>
        <v>Sin Registro</v>
      </c>
      <c r="DPH23" s="29">
        <f>'REG y VAL POE - AESR - ESR'!D1774</f>
        <v>23199000</v>
      </c>
      <c r="DPI23" s="29" t="str">
        <f>'REG y VAL POE - AESR - ESR'!E1774</f>
        <v xml:space="preserve">Sosa Orobio Jesus </v>
      </c>
      <c r="DPJ23" s="29">
        <f>'REG y VAL POE - AESR - ESR'!F1774</f>
        <v>23199000</v>
      </c>
      <c r="DPK23" s="29">
        <f>'REG y VAL POE - AESR - ESR'!G1774</f>
        <v>0</v>
      </c>
      <c r="DPL23" s="29">
        <f>'REG y VAL POE - AESR - ESR'!H1774</f>
        <v>0</v>
      </c>
      <c r="DPM23" s="28">
        <f>'REG y VAL POE - AESR - ESR'!I1774</f>
        <v>0</v>
      </c>
      <c r="DPN23" s="29">
        <f>'REG y VAL POE - AESR - ESR'!J1774</f>
        <v>0</v>
      </c>
      <c r="DPO23" s="29">
        <f>'REG y VAL POE - AESR - ESR'!K1774</f>
        <v>0</v>
      </c>
      <c r="DPP23" s="28">
        <f>'REG y VAL POE - AESR - ESR'!L1774</f>
        <v>0</v>
      </c>
      <c r="DPQ23" s="29">
        <f>'REG y VAL POE - AESR - ESR'!M1774</f>
        <v>0</v>
      </c>
      <c r="DPR23" s="30">
        <f>'REG y VAL POE - AESR - ESR'!N1774</f>
        <v>0</v>
      </c>
      <c r="DPS23" s="28">
        <f>'REG y VAL POE - AESR - ESR'!O1774</f>
        <v>0</v>
      </c>
      <c r="DPT23" s="29">
        <f>'REG y VAL POE - AESR - ESR'!P1774</f>
        <v>0</v>
      </c>
      <c r="DPU23" s="29">
        <f>'REG y VAL POE - AESR - ESR'!Q1774</f>
        <v>0</v>
      </c>
      <c r="DPV23" s="29">
        <f>'REG y VAL POE - AESR - ESR'!R1774</f>
        <v>0</v>
      </c>
      <c r="DPW23" s="28">
        <f>'REG y VAL POE - AESR - ESR'!S1774</f>
        <v>0</v>
      </c>
      <c r="DPX23" s="29">
        <f>'REG y VAL POE - AESR - ESR'!T1774</f>
        <v>0</v>
      </c>
      <c r="DPY23" s="29">
        <f>'REG y VAL POE - AESR - ESR'!U1774</f>
        <v>0</v>
      </c>
      <c r="DPZ23" s="28">
        <f>'REG y VAL POE - AESR - ESR'!V1774</f>
        <v>0</v>
      </c>
      <c r="DQA23" s="29">
        <f>'REG y VAL POE - AESR - ESR'!W1774</f>
        <v>0</v>
      </c>
      <c r="DQB23" s="30">
        <f>'REG y VAL POE - AESR - ESR'!X1774</f>
        <v>0</v>
      </c>
      <c r="DQC23" s="28">
        <f>'REG y VAL POE - AESR - ESR'!Y1774</f>
        <v>0</v>
      </c>
      <c r="DQD23" s="29">
        <f>'REG y VAL POE - AESR - ESR'!Z1774</f>
        <v>0</v>
      </c>
      <c r="DQE23" s="29">
        <f>'REG y VAL POE - AESR - ESR'!AA1774</f>
        <v>0</v>
      </c>
      <c r="DQF23" s="29">
        <f>'REG y VAL POE - AESR - ESR'!AB1774</f>
        <v>0</v>
      </c>
      <c r="DQG23" s="28">
        <f>'REG y VAL POE - AESR - ESR'!AC1774</f>
        <v>0</v>
      </c>
      <c r="DQH23" s="29">
        <f>'REG y VAL POE - AESR - ESR'!AD1774</f>
        <v>0</v>
      </c>
      <c r="DQI23" s="29">
        <f>'REG y VAL POE - AESR - ESR'!AE1774</f>
        <v>0</v>
      </c>
      <c r="DQJ23" s="28">
        <f>'REG y VAL POE - AESR - ESR'!AF1774</f>
        <v>0</v>
      </c>
      <c r="DQK23" s="29">
        <f>'REG y VAL POE - AESR - ESR'!AG1774</f>
        <v>0</v>
      </c>
      <c r="DQL23" s="30">
        <f>'REG y VAL POE - AESR - ESR'!AH1774</f>
        <v>0</v>
      </c>
      <c r="DQM23" s="28">
        <f>'REG y VAL POE - AESR - ESR'!AI1774</f>
        <v>0</v>
      </c>
      <c r="DQN23" s="29">
        <f>'REG y VAL POE - AESR - ESR'!AJ1774</f>
        <v>0</v>
      </c>
      <c r="DQO23" s="29">
        <f>'REG y VAL POE - AESR - ESR'!AK1774</f>
        <v>0</v>
      </c>
      <c r="DQP23" s="29">
        <f>'REG y VAL POE - AESR - ESR'!AL1774</f>
        <v>0</v>
      </c>
      <c r="DQQ23" s="28">
        <f>'REG y VAL POE - AESR - ESR'!AM1774</f>
        <v>0</v>
      </c>
      <c r="DQR23" s="29">
        <f>'REG y VAL POE - AESR - ESR'!AN1774</f>
        <v>0</v>
      </c>
      <c r="DQS23" s="29">
        <f>'REG y VAL POE - AESR - ESR'!AO1774</f>
        <v>0</v>
      </c>
      <c r="DQT23" s="28">
        <f>'REG y VAL POE - AESR - ESR'!AP1774</f>
        <v>0</v>
      </c>
      <c r="DQU23" s="29">
        <f>'REG y VAL POE - AESR - ESR'!AQ1774</f>
        <v>0</v>
      </c>
      <c r="DQV23" s="30">
        <f>'REG y VAL POE - AESR - ESR'!AR1774</f>
        <v>0</v>
      </c>
      <c r="DQW23" s="28">
        <f>'REG y VAL POE - AESR - ESR'!AS1774</f>
        <v>0</v>
      </c>
      <c r="DQX23" s="30" t="str">
        <f>'REG y VAL POE - AESR - ESR'!B1775</f>
        <v xml:space="preserve">Soto Salazar Clara Isabel </v>
      </c>
      <c r="DQY23" s="29" t="str">
        <f>'REG y VAL POE - AESR - ESR'!C1775</f>
        <v>Sin Registro</v>
      </c>
      <c r="DQZ23" s="28">
        <f>'REG y VAL POE - AESR - ESR'!D1775</f>
        <v>23198207</v>
      </c>
      <c r="DRA23" s="29" t="str">
        <f>'REG y VAL POE - AESR - ESR'!E1775</f>
        <v xml:space="preserve">Soto Salazar Clara Isabel </v>
      </c>
      <c r="DRB23" s="28">
        <f>'REG y VAL POE - AESR - ESR'!F1775</f>
        <v>23198207</v>
      </c>
      <c r="DRC23" s="28">
        <f>'REG y VAL POE - AESR - ESR'!G1775</f>
        <v>0</v>
      </c>
      <c r="DRD23" s="28">
        <f>'REG y VAL POE - AESR - ESR'!H1775</f>
        <v>0</v>
      </c>
      <c r="DRE23" s="29">
        <f>'REG y VAL POE - AESR - ESR'!I1775</f>
        <v>0</v>
      </c>
      <c r="DRF23" s="385">
        <f>'REG y VAL POE - AESR - ESR'!J1775</f>
        <v>0</v>
      </c>
      <c r="DRG23" s="29">
        <f>'REG y VAL POE - AESR - ESR'!K1775</f>
        <v>0</v>
      </c>
      <c r="DRH23" s="385">
        <f>'REG y VAL POE - AESR - ESR'!L1775</f>
        <v>0</v>
      </c>
      <c r="DRI23" s="29">
        <f>'REG y VAL POE - AESR - ESR'!M1775</f>
        <v>0</v>
      </c>
      <c r="DRJ23" s="385">
        <f>'REG y VAL POE - AESR - ESR'!N1775</f>
        <v>0</v>
      </c>
      <c r="DRK23" s="29">
        <f>'REG y VAL POE - AESR - ESR'!O1775</f>
        <v>0</v>
      </c>
      <c r="DRL23" s="29">
        <f>'REG y VAL POE - AESR - ESR'!P1775</f>
        <v>0</v>
      </c>
      <c r="DRM23" s="29">
        <f>'REG y VAL POE - AESR - ESR'!Q1775</f>
        <v>0</v>
      </c>
      <c r="DRN23" s="29">
        <f>'REG y VAL POE - AESR - ESR'!R1775</f>
        <v>0</v>
      </c>
      <c r="DRO23" s="29">
        <f>'REG y VAL POE - AESR - ESR'!S1775</f>
        <v>0</v>
      </c>
      <c r="DRP23" s="29">
        <f>'REG y VAL POE - AESR - ESR'!T1775</f>
        <v>0</v>
      </c>
      <c r="DRQ23" s="29">
        <f>'REG y VAL POE - AESR - ESR'!U1775</f>
        <v>0</v>
      </c>
      <c r="DRR23" s="29">
        <f>'REG y VAL POE - AESR - ESR'!V1775</f>
        <v>0</v>
      </c>
      <c r="DRS23" s="29">
        <f>'REG y VAL POE - AESR - ESR'!W1775</f>
        <v>0</v>
      </c>
      <c r="DRT23" s="29">
        <f>'REG y VAL POE - AESR - ESR'!X1775</f>
        <v>0</v>
      </c>
      <c r="DRU23" s="29">
        <f>'REG y VAL POE - AESR - ESR'!Y1775</f>
        <v>0</v>
      </c>
      <c r="DRV23" s="29">
        <f>'REG y VAL POE - AESR - ESR'!Z1775</f>
        <v>0</v>
      </c>
      <c r="DRW23" s="29">
        <f>'REG y VAL POE - AESR - ESR'!AA1775</f>
        <v>0</v>
      </c>
      <c r="DRX23" s="29">
        <f>'REG y VAL POE - AESR - ESR'!AB1775</f>
        <v>0</v>
      </c>
      <c r="DRY23" s="29">
        <f>'REG y VAL POE - AESR - ESR'!AC1775</f>
        <v>0</v>
      </c>
      <c r="DRZ23" s="29">
        <f>'REG y VAL POE - AESR - ESR'!AD1775</f>
        <v>0</v>
      </c>
      <c r="DSA23" s="29">
        <f>'REG y VAL POE - AESR - ESR'!AE1775</f>
        <v>0</v>
      </c>
      <c r="DSB23" s="29">
        <f>'REG y VAL POE - AESR - ESR'!AF1775</f>
        <v>0</v>
      </c>
      <c r="DSC23" s="29">
        <f>'REG y VAL POE - AESR - ESR'!AG1775</f>
        <v>0</v>
      </c>
      <c r="DSD23" s="29">
        <f>'REG y VAL POE - AESR - ESR'!AH1775</f>
        <v>0</v>
      </c>
      <c r="DSE23" s="29">
        <f>'REG y VAL POE - AESR - ESR'!AI1775</f>
        <v>0</v>
      </c>
      <c r="DSF23" s="29">
        <f>'REG y VAL POE - AESR - ESR'!AJ1775</f>
        <v>0</v>
      </c>
      <c r="DSG23" s="29">
        <f>'REG y VAL POE - AESR - ESR'!AK1775</f>
        <v>0</v>
      </c>
      <c r="DSH23" s="29">
        <f>'REG y VAL POE - AESR - ESR'!AL1775</f>
        <v>0</v>
      </c>
      <c r="DSI23" s="29">
        <f>'REG y VAL POE - AESR - ESR'!AM1775</f>
        <v>0</v>
      </c>
      <c r="DSJ23" s="29">
        <f>'REG y VAL POE - AESR - ESR'!AN1775</f>
        <v>0</v>
      </c>
      <c r="DSK23" s="29">
        <f>'REG y VAL POE - AESR - ESR'!AO1775</f>
        <v>0</v>
      </c>
      <c r="DSL23" s="29">
        <f>'REG y VAL POE - AESR - ESR'!AP1775</f>
        <v>0</v>
      </c>
      <c r="DSM23" s="29">
        <f>'REG y VAL POE - AESR - ESR'!AQ1775</f>
        <v>0</v>
      </c>
      <c r="DSN23" s="29">
        <f>'REG y VAL POE - AESR - ESR'!AR1775</f>
        <v>0</v>
      </c>
      <c r="DSO23" s="29">
        <f>'REG y VAL POE - AESR - ESR'!AS1775</f>
        <v>0</v>
      </c>
      <c r="DSP23" s="30" t="str">
        <f>'REG y VAL POE - AESR - ESR'!B1776</f>
        <v xml:space="preserve">Tejeda Castaneda Jose Alfredo </v>
      </c>
      <c r="DSQ23" s="28" t="str">
        <f>'REG y VAL POE - AESR - ESR'!C1776</f>
        <v>Sin Registro</v>
      </c>
      <c r="DSR23" s="29">
        <f>'REG y VAL POE - AESR - ESR'!D1776</f>
        <v>23115582</v>
      </c>
      <c r="DSS23" s="29" t="str">
        <f>'REG y VAL POE - AESR - ESR'!E1776</f>
        <v xml:space="preserve">Tejeda Castaneda Jose Alfredo </v>
      </c>
      <c r="DST23" s="29">
        <f>'REG y VAL POE - AESR - ESR'!F1776</f>
        <v>23115582</v>
      </c>
      <c r="DSU23" s="29">
        <f>'REG y VAL POE - AESR - ESR'!G1776</f>
        <v>0</v>
      </c>
      <c r="DSV23" s="29">
        <f>'REG y VAL POE - AESR - ESR'!H1776</f>
        <v>0</v>
      </c>
      <c r="DSW23" s="28">
        <f>'REG y VAL POE - AESR - ESR'!I1776</f>
        <v>0</v>
      </c>
      <c r="DSX23" s="29">
        <f>'REG y VAL POE - AESR - ESR'!J1776</f>
        <v>0</v>
      </c>
      <c r="DSY23" s="29">
        <f>'REG y VAL POE - AESR - ESR'!K1776</f>
        <v>0</v>
      </c>
      <c r="DSZ23" s="28">
        <f>'REG y VAL POE - AESR - ESR'!L1776</f>
        <v>0</v>
      </c>
      <c r="DTA23" s="29">
        <f>'REG y VAL POE - AESR - ESR'!M1776</f>
        <v>0</v>
      </c>
      <c r="DTB23" s="30">
        <f>'REG y VAL POE - AESR - ESR'!N1776</f>
        <v>0</v>
      </c>
      <c r="DTC23" s="28">
        <f>'REG y VAL POE - AESR - ESR'!O1776</f>
        <v>0</v>
      </c>
      <c r="DTD23" s="29">
        <f>'REG y VAL POE - AESR - ESR'!P1776</f>
        <v>0</v>
      </c>
      <c r="DTE23" s="29">
        <f>'REG y VAL POE - AESR - ESR'!Q1776</f>
        <v>0</v>
      </c>
      <c r="DTF23" s="29">
        <f>'REG y VAL POE - AESR - ESR'!R1776</f>
        <v>0</v>
      </c>
      <c r="DTG23" s="28">
        <f>'REG y VAL POE - AESR - ESR'!S1776</f>
        <v>0</v>
      </c>
      <c r="DTH23" s="29">
        <f>'REG y VAL POE - AESR - ESR'!T1776</f>
        <v>0</v>
      </c>
      <c r="DTI23" s="29">
        <f>'REG y VAL POE - AESR - ESR'!U1776</f>
        <v>0</v>
      </c>
      <c r="DTJ23" s="28">
        <f>'REG y VAL POE - AESR - ESR'!V1776</f>
        <v>0</v>
      </c>
      <c r="DTK23" s="29">
        <f>'REG y VAL POE - AESR - ESR'!W1776</f>
        <v>0</v>
      </c>
      <c r="DTL23" s="30">
        <f>'REG y VAL POE - AESR - ESR'!X1776</f>
        <v>0</v>
      </c>
      <c r="DTM23" s="28">
        <f>'REG y VAL POE - AESR - ESR'!Y1776</f>
        <v>0</v>
      </c>
      <c r="DTN23" s="29">
        <f>'REG y VAL POE - AESR - ESR'!Z1776</f>
        <v>0</v>
      </c>
      <c r="DTO23" s="29">
        <f>'REG y VAL POE - AESR - ESR'!AA1776</f>
        <v>0</v>
      </c>
      <c r="DTP23" s="29">
        <f>'REG y VAL POE - AESR - ESR'!AB1776</f>
        <v>0</v>
      </c>
      <c r="DTQ23" s="28">
        <f>'REG y VAL POE - AESR - ESR'!AC1776</f>
        <v>0</v>
      </c>
      <c r="DTR23" s="29">
        <f>'REG y VAL POE - AESR - ESR'!AD1776</f>
        <v>0</v>
      </c>
      <c r="DTS23" s="29">
        <f>'REG y VAL POE - AESR - ESR'!AE1776</f>
        <v>0</v>
      </c>
      <c r="DTT23" s="28">
        <f>'REG y VAL POE - AESR - ESR'!AF1776</f>
        <v>0</v>
      </c>
      <c r="DTU23" s="29">
        <f>'REG y VAL POE - AESR - ESR'!AG1776</f>
        <v>0</v>
      </c>
      <c r="DTV23" s="30">
        <f>'REG y VAL POE - AESR - ESR'!AH1776</f>
        <v>0</v>
      </c>
      <c r="DTW23" s="28">
        <f>'REG y VAL POE - AESR - ESR'!AI1776</f>
        <v>0</v>
      </c>
      <c r="DTX23" s="29">
        <f>'REG y VAL POE - AESR - ESR'!AJ1776</f>
        <v>0</v>
      </c>
      <c r="DTY23" s="29">
        <f>'REG y VAL POE - AESR - ESR'!AK1776</f>
        <v>0</v>
      </c>
      <c r="DTZ23" s="29">
        <f>'REG y VAL POE - AESR - ESR'!AL1776</f>
        <v>0</v>
      </c>
      <c r="DUA23" s="28">
        <f>'REG y VAL POE - AESR - ESR'!AM1776</f>
        <v>0</v>
      </c>
      <c r="DUB23" s="29">
        <f>'REG y VAL POE - AESR - ESR'!AN1776</f>
        <v>0</v>
      </c>
      <c r="DUC23" s="29">
        <f>'REG y VAL POE - AESR - ESR'!AO1776</f>
        <v>0</v>
      </c>
      <c r="DUD23" s="28">
        <f>'REG y VAL POE - AESR - ESR'!AP1776</f>
        <v>0</v>
      </c>
      <c r="DUE23" s="29">
        <f>'REG y VAL POE - AESR - ESR'!AQ1776</f>
        <v>0</v>
      </c>
      <c r="DUF23" s="30">
        <f>'REG y VAL POE - AESR - ESR'!AR1776</f>
        <v>0</v>
      </c>
      <c r="DUG23" s="28">
        <f>'REG y VAL POE - AESR - ESR'!AS1776</f>
        <v>0</v>
      </c>
      <c r="DUH23" s="30" t="str">
        <f>'REG y VAL POE - AESR - ESR'!B1777</f>
        <v xml:space="preserve">Toledo Hernandez Maria Del Rocio </v>
      </c>
      <c r="DUI23" s="29" t="str">
        <f>'REG y VAL POE - AESR - ESR'!C1777</f>
        <v>Sin Registro</v>
      </c>
      <c r="DUJ23" s="28">
        <f>'REG y VAL POE - AESR - ESR'!D1777</f>
        <v>23223105</v>
      </c>
      <c r="DUK23" s="29" t="str">
        <f>'REG y VAL POE - AESR - ESR'!E1777</f>
        <v xml:space="preserve">Toledo Hernandez Maria Del Rocio </v>
      </c>
      <c r="DUL23" s="28">
        <f>'REG y VAL POE - AESR - ESR'!F1777</f>
        <v>23223105</v>
      </c>
      <c r="DUM23" s="28">
        <f>'REG y VAL POE - AESR - ESR'!G1777</f>
        <v>0</v>
      </c>
      <c r="DUN23" s="28">
        <f>'REG y VAL POE - AESR - ESR'!H1777</f>
        <v>0</v>
      </c>
      <c r="DUO23" s="29">
        <f>'REG y VAL POE - AESR - ESR'!I1777</f>
        <v>0</v>
      </c>
      <c r="DUP23" s="385">
        <f>'REG y VAL POE - AESR - ESR'!J1777</f>
        <v>0</v>
      </c>
      <c r="DUQ23" s="29">
        <f>'REG y VAL POE - AESR - ESR'!K1777</f>
        <v>0</v>
      </c>
      <c r="DUR23" s="385">
        <f>'REG y VAL POE - AESR - ESR'!L1777</f>
        <v>0</v>
      </c>
      <c r="DUS23" s="29">
        <f>'REG y VAL POE - AESR - ESR'!M1777</f>
        <v>0</v>
      </c>
      <c r="DUT23" s="385">
        <f>'REG y VAL POE - AESR - ESR'!N1777</f>
        <v>0</v>
      </c>
      <c r="DUU23" s="29">
        <f>'REG y VAL POE - AESR - ESR'!O1777</f>
        <v>0</v>
      </c>
      <c r="DUV23" s="29">
        <f>'REG y VAL POE - AESR - ESR'!P1777</f>
        <v>0</v>
      </c>
      <c r="DUW23" s="29">
        <f>'REG y VAL POE - AESR - ESR'!Q1777</f>
        <v>0</v>
      </c>
      <c r="DUX23" s="29">
        <f>'REG y VAL POE - AESR - ESR'!R1777</f>
        <v>0</v>
      </c>
      <c r="DUY23" s="29">
        <f>'REG y VAL POE - AESR - ESR'!S1777</f>
        <v>0</v>
      </c>
      <c r="DUZ23" s="29">
        <f>'REG y VAL POE - AESR - ESR'!T1777</f>
        <v>0</v>
      </c>
      <c r="DVA23" s="29">
        <f>'REG y VAL POE - AESR - ESR'!U1777</f>
        <v>0</v>
      </c>
      <c r="DVB23" s="29">
        <f>'REG y VAL POE - AESR - ESR'!V1777</f>
        <v>0</v>
      </c>
      <c r="DVC23" s="29">
        <f>'REG y VAL POE - AESR - ESR'!W1777</f>
        <v>0</v>
      </c>
      <c r="DVD23" s="29">
        <f>'REG y VAL POE - AESR - ESR'!X1777</f>
        <v>0</v>
      </c>
      <c r="DVE23" s="29">
        <f>'REG y VAL POE - AESR - ESR'!Y1777</f>
        <v>0</v>
      </c>
      <c r="DVF23" s="29">
        <f>'REG y VAL POE - AESR - ESR'!Z1777</f>
        <v>0</v>
      </c>
      <c r="DVG23" s="29">
        <f>'REG y VAL POE - AESR - ESR'!AA1777</f>
        <v>0</v>
      </c>
      <c r="DVH23" s="29">
        <f>'REG y VAL POE - AESR - ESR'!AB1777</f>
        <v>0</v>
      </c>
      <c r="DVI23" s="29">
        <f>'REG y VAL POE - AESR - ESR'!AC1777</f>
        <v>0</v>
      </c>
      <c r="DVJ23" s="29">
        <f>'REG y VAL POE - AESR - ESR'!AD1777</f>
        <v>0</v>
      </c>
      <c r="DVK23" s="29">
        <f>'REG y VAL POE - AESR - ESR'!AE1777</f>
        <v>0</v>
      </c>
      <c r="DVL23" s="29">
        <f>'REG y VAL POE - AESR - ESR'!AF1777</f>
        <v>0</v>
      </c>
      <c r="DVM23" s="29">
        <f>'REG y VAL POE - AESR - ESR'!AG1777</f>
        <v>0</v>
      </c>
      <c r="DVN23" s="29">
        <f>'REG y VAL POE - AESR - ESR'!AH1777</f>
        <v>0</v>
      </c>
      <c r="DVO23" s="29">
        <f>'REG y VAL POE - AESR - ESR'!AI1777</f>
        <v>0</v>
      </c>
      <c r="DVP23" s="29">
        <f>'REG y VAL POE - AESR - ESR'!AJ1777</f>
        <v>0</v>
      </c>
      <c r="DVQ23" s="29">
        <f>'REG y VAL POE - AESR - ESR'!AK1777</f>
        <v>0</v>
      </c>
      <c r="DVR23" s="29">
        <f>'REG y VAL POE - AESR - ESR'!AL1777</f>
        <v>0</v>
      </c>
      <c r="DVS23" s="29">
        <f>'REG y VAL POE - AESR - ESR'!AM1777</f>
        <v>0</v>
      </c>
      <c r="DVT23" s="29">
        <f>'REG y VAL POE - AESR - ESR'!AN1777</f>
        <v>0</v>
      </c>
      <c r="DVU23" s="29">
        <f>'REG y VAL POE - AESR - ESR'!AO1777</f>
        <v>0</v>
      </c>
      <c r="DVV23" s="29">
        <f>'REG y VAL POE - AESR - ESR'!AP1777</f>
        <v>0</v>
      </c>
      <c r="DVW23" s="29">
        <f>'REG y VAL POE - AESR - ESR'!AQ1777</f>
        <v>0</v>
      </c>
      <c r="DVX23" s="29">
        <f>'REG y VAL POE - AESR - ESR'!AR1777</f>
        <v>0</v>
      </c>
      <c r="DVY23" s="29">
        <f>'REG y VAL POE - AESR - ESR'!AS1777</f>
        <v>0</v>
      </c>
      <c r="DVZ23" s="30" t="str">
        <f>'REG y VAL POE - AESR - ESR'!B1778</f>
        <v xml:space="preserve">Torres Laguna Roberto </v>
      </c>
      <c r="DWA23" s="28" t="str">
        <f>'REG y VAL POE - AESR - ESR'!C1778</f>
        <v>Sin Registro</v>
      </c>
      <c r="DWB23" s="29">
        <f>'REG y VAL POE - AESR - ESR'!D1778</f>
        <v>23198262</v>
      </c>
      <c r="DWC23" s="29" t="str">
        <f>'REG y VAL POE - AESR - ESR'!E1778</f>
        <v xml:space="preserve">Torres Laguna Roberto </v>
      </c>
      <c r="DWD23" s="29">
        <f>'REG y VAL POE - AESR - ESR'!F1778</f>
        <v>23198262</v>
      </c>
      <c r="DWE23" s="29">
        <f>'REG y VAL POE - AESR - ESR'!G1778</f>
        <v>0</v>
      </c>
      <c r="DWF23" s="29">
        <f>'REG y VAL POE - AESR - ESR'!H1778</f>
        <v>0</v>
      </c>
      <c r="DWG23" s="28">
        <f>'REG y VAL POE - AESR - ESR'!I1778</f>
        <v>0</v>
      </c>
      <c r="DWH23" s="29">
        <f>'REG y VAL POE - AESR - ESR'!J1778</f>
        <v>0</v>
      </c>
      <c r="DWI23" s="29">
        <f>'REG y VAL POE - AESR - ESR'!K1778</f>
        <v>0</v>
      </c>
      <c r="DWJ23" s="28">
        <f>'REG y VAL POE - AESR - ESR'!L1778</f>
        <v>0</v>
      </c>
      <c r="DWK23" s="29">
        <f>'REG y VAL POE - AESR - ESR'!M1778</f>
        <v>0</v>
      </c>
      <c r="DWL23" s="30">
        <f>'REG y VAL POE - AESR - ESR'!N1778</f>
        <v>0</v>
      </c>
      <c r="DWM23" s="28">
        <f>'REG y VAL POE - AESR - ESR'!O1778</f>
        <v>0</v>
      </c>
      <c r="DWN23" s="29">
        <f>'REG y VAL POE - AESR - ESR'!P1778</f>
        <v>0</v>
      </c>
      <c r="DWO23" s="29">
        <f>'REG y VAL POE - AESR - ESR'!Q1778</f>
        <v>0</v>
      </c>
      <c r="DWP23" s="29">
        <f>'REG y VAL POE - AESR - ESR'!R1778</f>
        <v>0</v>
      </c>
      <c r="DWQ23" s="28">
        <f>'REG y VAL POE - AESR - ESR'!S1778</f>
        <v>0</v>
      </c>
      <c r="DWR23" s="29">
        <f>'REG y VAL POE - AESR - ESR'!T1778</f>
        <v>0</v>
      </c>
      <c r="DWS23" s="29">
        <f>'REG y VAL POE - AESR - ESR'!U1778</f>
        <v>0</v>
      </c>
      <c r="DWT23" s="28">
        <f>'REG y VAL POE - AESR - ESR'!V1778</f>
        <v>0</v>
      </c>
      <c r="DWU23" s="29">
        <f>'REG y VAL POE - AESR - ESR'!W1778</f>
        <v>0</v>
      </c>
      <c r="DWV23" s="30">
        <f>'REG y VAL POE - AESR - ESR'!X1778</f>
        <v>0</v>
      </c>
      <c r="DWW23" s="28">
        <f>'REG y VAL POE - AESR - ESR'!Y1778</f>
        <v>0</v>
      </c>
      <c r="DWX23" s="29">
        <f>'REG y VAL POE - AESR - ESR'!Z1778</f>
        <v>0</v>
      </c>
      <c r="DWY23" s="29">
        <f>'REG y VAL POE - AESR - ESR'!AA1778</f>
        <v>0</v>
      </c>
      <c r="DWZ23" s="29">
        <f>'REG y VAL POE - AESR - ESR'!AB1778</f>
        <v>0</v>
      </c>
      <c r="DXA23" s="28">
        <f>'REG y VAL POE - AESR - ESR'!AC1778</f>
        <v>0</v>
      </c>
      <c r="DXB23" s="29">
        <f>'REG y VAL POE - AESR - ESR'!AD1778</f>
        <v>0</v>
      </c>
      <c r="DXC23" s="29">
        <f>'REG y VAL POE - AESR - ESR'!AE1778</f>
        <v>0</v>
      </c>
      <c r="DXD23" s="28">
        <f>'REG y VAL POE - AESR - ESR'!AF1778</f>
        <v>0</v>
      </c>
      <c r="DXE23" s="29">
        <f>'REG y VAL POE - AESR - ESR'!AG1778</f>
        <v>0</v>
      </c>
      <c r="DXF23" s="30">
        <f>'REG y VAL POE - AESR - ESR'!AH1778</f>
        <v>0</v>
      </c>
      <c r="DXG23" s="28">
        <f>'REG y VAL POE - AESR - ESR'!AI1778</f>
        <v>0</v>
      </c>
      <c r="DXH23" s="29">
        <f>'REG y VAL POE - AESR - ESR'!AJ1778</f>
        <v>0</v>
      </c>
      <c r="DXI23" s="29">
        <f>'REG y VAL POE - AESR - ESR'!AK1778</f>
        <v>0</v>
      </c>
      <c r="DXJ23" s="29">
        <f>'REG y VAL POE - AESR - ESR'!AL1778</f>
        <v>0</v>
      </c>
      <c r="DXK23" s="28">
        <f>'REG y VAL POE - AESR - ESR'!AM1778</f>
        <v>0</v>
      </c>
      <c r="DXL23" s="29">
        <f>'REG y VAL POE - AESR - ESR'!AN1778</f>
        <v>0</v>
      </c>
      <c r="DXM23" s="29">
        <f>'REG y VAL POE - AESR - ESR'!AO1778</f>
        <v>0</v>
      </c>
      <c r="DXN23" s="28">
        <f>'REG y VAL POE - AESR - ESR'!AP1778</f>
        <v>0</v>
      </c>
      <c r="DXO23" s="29">
        <f>'REG y VAL POE - AESR - ESR'!AQ1778</f>
        <v>0</v>
      </c>
      <c r="DXP23" s="30">
        <f>'REG y VAL POE - AESR - ESR'!AR1778</f>
        <v>0</v>
      </c>
      <c r="DXQ23" s="28">
        <f>'REG y VAL POE - AESR - ESR'!AS1778</f>
        <v>0</v>
      </c>
      <c r="DXR23" s="30" t="str">
        <f>'REG y VAL POE - AESR - ESR'!B1779</f>
        <v xml:space="preserve">Torres Lugo Mirtha Berenice </v>
      </c>
      <c r="DXS23" s="29" t="str">
        <f>'REG y VAL POE - AESR - ESR'!C1779</f>
        <v>Sin Registro</v>
      </c>
      <c r="DXT23" s="28">
        <f>'REG y VAL POE - AESR - ESR'!D1779</f>
        <v>23199409</v>
      </c>
      <c r="DXU23" s="29" t="str">
        <f>'REG y VAL POE - AESR - ESR'!E1779</f>
        <v xml:space="preserve">Torres Lugo Mirtha Berenice </v>
      </c>
      <c r="DXV23" s="28">
        <f>'REG y VAL POE - AESR - ESR'!F1779</f>
        <v>23199409</v>
      </c>
      <c r="DXW23" s="28">
        <f>'REG y VAL POE - AESR - ESR'!G1779</f>
        <v>0</v>
      </c>
      <c r="DXX23" s="28">
        <f>'REG y VAL POE - AESR - ESR'!H1779</f>
        <v>0</v>
      </c>
      <c r="DXY23" s="29">
        <f>'REG y VAL POE - AESR - ESR'!I1779</f>
        <v>0</v>
      </c>
      <c r="DXZ23" s="385">
        <f>'REG y VAL POE - AESR - ESR'!J1779</f>
        <v>0</v>
      </c>
      <c r="DYA23" s="29">
        <f>'REG y VAL POE - AESR - ESR'!K1779</f>
        <v>0</v>
      </c>
      <c r="DYB23" s="385">
        <f>'REG y VAL POE - AESR - ESR'!L1779</f>
        <v>0</v>
      </c>
      <c r="DYC23" s="29">
        <f>'REG y VAL POE - AESR - ESR'!M1779</f>
        <v>0</v>
      </c>
      <c r="DYD23" s="385">
        <f>'REG y VAL POE - AESR - ESR'!N1779</f>
        <v>0</v>
      </c>
      <c r="DYE23" s="29">
        <f>'REG y VAL POE - AESR - ESR'!O1779</f>
        <v>0</v>
      </c>
      <c r="DYF23" s="29">
        <f>'REG y VAL POE - AESR - ESR'!P1779</f>
        <v>0</v>
      </c>
      <c r="DYG23" s="29">
        <f>'REG y VAL POE - AESR - ESR'!Q1779</f>
        <v>0</v>
      </c>
      <c r="DYH23" s="29">
        <f>'REG y VAL POE - AESR - ESR'!R1779</f>
        <v>0</v>
      </c>
      <c r="DYI23" s="29">
        <f>'REG y VAL POE - AESR - ESR'!S1779</f>
        <v>0</v>
      </c>
      <c r="DYJ23" s="29">
        <f>'REG y VAL POE - AESR - ESR'!T1779</f>
        <v>0</v>
      </c>
      <c r="DYK23" s="29">
        <f>'REG y VAL POE - AESR - ESR'!U1779</f>
        <v>0</v>
      </c>
      <c r="DYL23" s="29">
        <f>'REG y VAL POE - AESR - ESR'!V1779</f>
        <v>0</v>
      </c>
      <c r="DYM23" s="29">
        <f>'REG y VAL POE - AESR - ESR'!W1779</f>
        <v>0</v>
      </c>
      <c r="DYN23" s="29">
        <f>'REG y VAL POE - AESR - ESR'!X1779</f>
        <v>0</v>
      </c>
      <c r="DYO23" s="29">
        <f>'REG y VAL POE - AESR - ESR'!Y1779</f>
        <v>0</v>
      </c>
      <c r="DYP23" s="29">
        <f>'REG y VAL POE - AESR - ESR'!Z1779</f>
        <v>0</v>
      </c>
      <c r="DYQ23" s="29">
        <f>'REG y VAL POE - AESR - ESR'!AA1779</f>
        <v>0</v>
      </c>
      <c r="DYR23" s="29">
        <f>'REG y VAL POE - AESR - ESR'!AB1779</f>
        <v>0</v>
      </c>
      <c r="DYS23" s="29">
        <f>'REG y VAL POE - AESR - ESR'!AC1779</f>
        <v>0</v>
      </c>
      <c r="DYT23" s="29">
        <f>'REG y VAL POE - AESR - ESR'!AD1779</f>
        <v>0</v>
      </c>
      <c r="DYU23" s="29">
        <f>'REG y VAL POE - AESR - ESR'!AE1779</f>
        <v>0</v>
      </c>
      <c r="DYV23" s="29">
        <f>'REG y VAL POE - AESR - ESR'!AF1779</f>
        <v>0</v>
      </c>
      <c r="DYW23" s="29">
        <f>'REG y VAL POE - AESR - ESR'!AG1779</f>
        <v>0</v>
      </c>
      <c r="DYX23" s="29">
        <f>'REG y VAL POE - AESR - ESR'!AH1779</f>
        <v>0</v>
      </c>
      <c r="DYY23" s="29">
        <f>'REG y VAL POE - AESR - ESR'!AI1779</f>
        <v>0</v>
      </c>
      <c r="DYZ23" s="29">
        <f>'REG y VAL POE - AESR - ESR'!AJ1779</f>
        <v>0</v>
      </c>
      <c r="DZA23" s="29">
        <f>'REG y VAL POE - AESR - ESR'!AK1779</f>
        <v>0</v>
      </c>
      <c r="DZB23" s="29">
        <f>'REG y VAL POE - AESR - ESR'!AL1779</f>
        <v>0</v>
      </c>
      <c r="DZC23" s="29">
        <f>'REG y VAL POE - AESR - ESR'!AM1779</f>
        <v>0</v>
      </c>
      <c r="DZD23" s="29">
        <f>'REG y VAL POE - AESR - ESR'!AN1779</f>
        <v>0</v>
      </c>
      <c r="DZE23" s="29">
        <f>'REG y VAL POE - AESR - ESR'!AO1779</f>
        <v>0</v>
      </c>
      <c r="DZF23" s="29">
        <f>'REG y VAL POE - AESR - ESR'!AP1779</f>
        <v>0</v>
      </c>
      <c r="DZG23" s="29">
        <f>'REG y VAL POE - AESR - ESR'!AQ1779</f>
        <v>0</v>
      </c>
      <c r="DZH23" s="29">
        <f>'REG y VAL POE - AESR - ESR'!AR1779</f>
        <v>0</v>
      </c>
      <c r="DZI23" s="29">
        <f>'REG y VAL POE - AESR - ESR'!AS1779</f>
        <v>0</v>
      </c>
      <c r="DZJ23" s="30" t="str">
        <f>'REG y VAL POE - AESR - ESR'!B1780</f>
        <v xml:space="preserve">Valdez Gildo Raquel Alejandra </v>
      </c>
      <c r="DZK23" s="28" t="str">
        <f>'REG y VAL POE - AESR - ESR'!C1780</f>
        <v>Sin Registro</v>
      </c>
      <c r="DZL23" s="29">
        <f>'REG y VAL POE - AESR - ESR'!D1780</f>
        <v>23217156</v>
      </c>
      <c r="DZM23" s="29" t="str">
        <f>'REG y VAL POE - AESR - ESR'!E1780</f>
        <v xml:space="preserve">Valdez Gildo Raquel Alejandra </v>
      </c>
      <c r="DZN23" s="29">
        <f>'REG y VAL POE - AESR - ESR'!F1780</f>
        <v>23217156</v>
      </c>
      <c r="DZO23" s="29">
        <f>'REG y VAL POE - AESR - ESR'!G1780</f>
        <v>0</v>
      </c>
      <c r="DZP23" s="29">
        <f>'REG y VAL POE - AESR - ESR'!H1780</f>
        <v>0</v>
      </c>
      <c r="DZQ23" s="28">
        <f>'REG y VAL POE - AESR - ESR'!I1780</f>
        <v>0</v>
      </c>
      <c r="DZR23" s="29">
        <f>'REG y VAL POE - AESR - ESR'!J1780</f>
        <v>0</v>
      </c>
      <c r="DZS23" s="29">
        <f>'REG y VAL POE - AESR - ESR'!K1780</f>
        <v>0</v>
      </c>
      <c r="DZT23" s="28">
        <f>'REG y VAL POE - AESR - ESR'!L1780</f>
        <v>0</v>
      </c>
      <c r="DZU23" s="29">
        <f>'REG y VAL POE - AESR - ESR'!M1780</f>
        <v>0</v>
      </c>
      <c r="DZV23" s="30">
        <f>'REG y VAL POE - AESR - ESR'!N1780</f>
        <v>0</v>
      </c>
      <c r="DZW23" s="28">
        <f>'REG y VAL POE - AESR - ESR'!O1780</f>
        <v>0</v>
      </c>
      <c r="DZX23" s="29">
        <f>'REG y VAL POE - AESR - ESR'!P1780</f>
        <v>0</v>
      </c>
      <c r="DZY23" s="29">
        <f>'REG y VAL POE - AESR - ESR'!Q1780</f>
        <v>0</v>
      </c>
      <c r="DZZ23" s="29">
        <f>'REG y VAL POE - AESR - ESR'!R1780</f>
        <v>0</v>
      </c>
      <c r="EAA23" s="28">
        <f>'REG y VAL POE - AESR - ESR'!S1780</f>
        <v>0</v>
      </c>
      <c r="EAB23" s="29">
        <f>'REG y VAL POE - AESR - ESR'!T1780</f>
        <v>0</v>
      </c>
      <c r="EAC23" s="29">
        <f>'REG y VAL POE - AESR - ESR'!U1780</f>
        <v>0</v>
      </c>
      <c r="EAD23" s="28">
        <f>'REG y VAL POE - AESR - ESR'!V1780</f>
        <v>0</v>
      </c>
      <c r="EAE23" s="29">
        <f>'REG y VAL POE - AESR - ESR'!W1780</f>
        <v>0</v>
      </c>
      <c r="EAF23" s="30">
        <f>'REG y VAL POE - AESR - ESR'!X1780</f>
        <v>0</v>
      </c>
      <c r="EAG23" s="28">
        <f>'REG y VAL POE - AESR - ESR'!Y1780</f>
        <v>0</v>
      </c>
      <c r="EAH23" s="29">
        <f>'REG y VAL POE - AESR - ESR'!Z1780</f>
        <v>0</v>
      </c>
      <c r="EAI23" s="29">
        <f>'REG y VAL POE - AESR - ESR'!AA1780</f>
        <v>0</v>
      </c>
      <c r="EAJ23" s="29">
        <f>'REG y VAL POE - AESR - ESR'!AB1780</f>
        <v>0</v>
      </c>
      <c r="EAK23" s="28">
        <f>'REG y VAL POE - AESR - ESR'!AC1780</f>
        <v>0</v>
      </c>
      <c r="EAL23" s="29">
        <f>'REG y VAL POE - AESR - ESR'!AD1780</f>
        <v>0</v>
      </c>
      <c r="EAM23" s="29">
        <f>'REG y VAL POE - AESR - ESR'!AE1780</f>
        <v>0</v>
      </c>
      <c r="EAN23" s="28">
        <f>'REG y VAL POE - AESR - ESR'!AF1780</f>
        <v>0</v>
      </c>
      <c r="EAO23" s="29">
        <f>'REG y VAL POE - AESR - ESR'!AG1780</f>
        <v>0</v>
      </c>
      <c r="EAP23" s="30">
        <f>'REG y VAL POE - AESR - ESR'!AH1780</f>
        <v>0</v>
      </c>
      <c r="EAQ23" s="28">
        <f>'REG y VAL POE - AESR - ESR'!AI1780</f>
        <v>0</v>
      </c>
      <c r="EAR23" s="29">
        <f>'REG y VAL POE - AESR - ESR'!AJ1780</f>
        <v>0</v>
      </c>
      <c r="EAS23" s="29">
        <f>'REG y VAL POE - AESR - ESR'!AK1780</f>
        <v>0</v>
      </c>
      <c r="EAT23" s="29">
        <f>'REG y VAL POE - AESR - ESR'!AL1780</f>
        <v>0</v>
      </c>
      <c r="EAU23" s="28">
        <f>'REG y VAL POE - AESR - ESR'!AM1780</f>
        <v>0</v>
      </c>
      <c r="EAV23" s="29">
        <f>'REG y VAL POE - AESR - ESR'!AN1780</f>
        <v>0</v>
      </c>
      <c r="EAW23" s="29">
        <f>'REG y VAL POE - AESR - ESR'!AO1780</f>
        <v>0</v>
      </c>
      <c r="EAX23" s="28">
        <f>'REG y VAL POE - AESR - ESR'!AP1780</f>
        <v>0</v>
      </c>
      <c r="EAY23" s="29">
        <f>'REG y VAL POE - AESR - ESR'!AQ1780</f>
        <v>0</v>
      </c>
      <c r="EAZ23" s="30">
        <f>'REG y VAL POE - AESR - ESR'!AR1780</f>
        <v>0</v>
      </c>
      <c r="EBA23" s="28">
        <f>'REG y VAL POE - AESR - ESR'!AS1780</f>
        <v>0</v>
      </c>
      <c r="EBB23" s="30" t="str">
        <f>'REG y VAL POE - AESR - ESR'!B1781</f>
        <v xml:space="preserve">Vazquez Alvarado Jose De Jesus </v>
      </c>
      <c r="EBC23" s="29" t="str">
        <f>'REG y VAL POE - AESR - ESR'!C1781</f>
        <v>Sin Registro</v>
      </c>
      <c r="EBD23" s="28">
        <f>'REG y VAL POE - AESR - ESR'!D1781</f>
        <v>23190354</v>
      </c>
      <c r="EBE23" s="29" t="str">
        <f>'REG y VAL POE - AESR - ESR'!E1781</f>
        <v xml:space="preserve">Vazquez Alvarado Jose De Jesus </v>
      </c>
      <c r="EBF23" s="28">
        <f>'REG y VAL POE - AESR - ESR'!F1781</f>
        <v>23190354</v>
      </c>
      <c r="EBG23" s="28">
        <f>'REG y VAL POE - AESR - ESR'!G1781</f>
        <v>0</v>
      </c>
      <c r="EBH23" s="28">
        <f>'REG y VAL POE - AESR - ESR'!H1781</f>
        <v>0</v>
      </c>
      <c r="EBI23" s="29">
        <f>'REG y VAL POE - AESR - ESR'!I1781</f>
        <v>0</v>
      </c>
      <c r="EBJ23" s="385">
        <f>'REG y VAL POE - AESR - ESR'!J1781</f>
        <v>0</v>
      </c>
      <c r="EBK23" s="29">
        <f>'REG y VAL POE - AESR - ESR'!K1781</f>
        <v>0</v>
      </c>
      <c r="EBL23" s="385">
        <f>'REG y VAL POE - AESR - ESR'!L1781</f>
        <v>0</v>
      </c>
      <c r="EBM23" s="29">
        <f>'REG y VAL POE - AESR - ESR'!M1781</f>
        <v>0</v>
      </c>
      <c r="EBN23" s="385">
        <f>'REG y VAL POE - AESR - ESR'!N1781</f>
        <v>0</v>
      </c>
      <c r="EBO23" s="29">
        <f>'REG y VAL POE - AESR - ESR'!O1781</f>
        <v>0</v>
      </c>
      <c r="EBP23" s="29">
        <f>'REG y VAL POE - AESR - ESR'!P1781</f>
        <v>0</v>
      </c>
      <c r="EBQ23" s="29">
        <f>'REG y VAL POE - AESR - ESR'!Q1781</f>
        <v>0</v>
      </c>
      <c r="EBR23" s="29">
        <f>'REG y VAL POE - AESR - ESR'!R1781</f>
        <v>0</v>
      </c>
      <c r="EBS23" s="29">
        <f>'REG y VAL POE - AESR - ESR'!S1781</f>
        <v>0</v>
      </c>
      <c r="EBT23" s="29">
        <f>'REG y VAL POE - AESR - ESR'!T1781</f>
        <v>0</v>
      </c>
      <c r="EBU23" s="29">
        <f>'REG y VAL POE - AESR - ESR'!U1781</f>
        <v>0</v>
      </c>
      <c r="EBV23" s="29">
        <f>'REG y VAL POE - AESR - ESR'!V1781</f>
        <v>0</v>
      </c>
      <c r="EBW23" s="29">
        <f>'REG y VAL POE - AESR - ESR'!W1781</f>
        <v>0</v>
      </c>
      <c r="EBX23" s="29">
        <f>'REG y VAL POE - AESR - ESR'!X1781</f>
        <v>0</v>
      </c>
      <c r="EBY23" s="29">
        <f>'REG y VAL POE - AESR - ESR'!Y1781</f>
        <v>0</v>
      </c>
      <c r="EBZ23" s="29">
        <f>'REG y VAL POE - AESR - ESR'!Z1781</f>
        <v>0</v>
      </c>
      <c r="ECA23" s="29">
        <f>'REG y VAL POE - AESR - ESR'!AA1781</f>
        <v>0</v>
      </c>
      <c r="ECB23" s="29">
        <f>'REG y VAL POE - AESR - ESR'!AB1781</f>
        <v>0</v>
      </c>
      <c r="ECC23" s="29">
        <f>'REG y VAL POE - AESR - ESR'!AC1781</f>
        <v>0</v>
      </c>
      <c r="ECD23" s="29">
        <f>'REG y VAL POE - AESR - ESR'!AD1781</f>
        <v>0</v>
      </c>
      <c r="ECE23" s="29">
        <f>'REG y VAL POE - AESR - ESR'!AE1781</f>
        <v>0</v>
      </c>
      <c r="ECF23" s="29">
        <f>'REG y VAL POE - AESR - ESR'!AF1781</f>
        <v>0</v>
      </c>
      <c r="ECG23" s="29">
        <f>'REG y VAL POE - AESR - ESR'!AG1781</f>
        <v>0</v>
      </c>
      <c r="ECH23" s="29">
        <f>'REG y VAL POE - AESR - ESR'!AH1781</f>
        <v>0</v>
      </c>
      <c r="ECI23" s="29">
        <f>'REG y VAL POE - AESR - ESR'!AI1781</f>
        <v>0</v>
      </c>
      <c r="ECJ23" s="29">
        <f>'REG y VAL POE - AESR - ESR'!AJ1781</f>
        <v>0</v>
      </c>
      <c r="ECK23" s="29">
        <f>'REG y VAL POE - AESR - ESR'!AK1781</f>
        <v>0</v>
      </c>
      <c r="ECL23" s="29">
        <f>'REG y VAL POE - AESR - ESR'!AL1781</f>
        <v>0</v>
      </c>
      <c r="ECM23" s="29">
        <f>'REG y VAL POE - AESR - ESR'!AM1781</f>
        <v>0</v>
      </c>
      <c r="ECN23" s="29">
        <f>'REG y VAL POE - AESR - ESR'!AN1781</f>
        <v>0</v>
      </c>
      <c r="ECO23" s="29">
        <f>'REG y VAL POE - AESR - ESR'!AO1781</f>
        <v>0</v>
      </c>
      <c r="ECP23" s="29">
        <f>'REG y VAL POE - AESR - ESR'!AP1781</f>
        <v>0</v>
      </c>
      <c r="ECQ23" s="29">
        <f>'REG y VAL POE - AESR - ESR'!AQ1781</f>
        <v>0</v>
      </c>
      <c r="ECR23" s="29">
        <f>'REG y VAL POE - AESR - ESR'!AR1781</f>
        <v>0</v>
      </c>
      <c r="ECS23" s="29">
        <f>'REG y VAL POE - AESR - ESR'!AS1781</f>
        <v>0</v>
      </c>
      <c r="ECT23" s="30" t="str">
        <f>'REG y VAL POE - AESR - ESR'!B1782</f>
        <v xml:space="preserve">Villegas Cabezas Cesar Fabian </v>
      </c>
      <c r="ECU23" s="28" t="str">
        <f>'REG y VAL POE - AESR - ESR'!C1782</f>
        <v>Sin Registro</v>
      </c>
      <c r="ECV23" s="29">
        <f>'REG y VAL POE - AESR - ESR'!D1782</f>
        <v>23198930</v>
      </c>
      <c r="ECW23" s="29" t="str">
        <f>'REG y VAL POE - AESR - ESR'!E1782</f>
        <v xml:space="preserve">Villegas Cabezas Cesar Fabian </v>
      </c>
      <c r="ECX23" s="29">
        <f>'REG y VAL POE - AESR - ESR'!F1782</f>
        <v>23198930</v>
      </c>
      <c r="ECY23" s="29">
        <f>'REG y VAL POE - AESR - ESR'!G1782</f>
        <v>0</v>
      </c>
      <c r="ECZ23" s="29">
        <f>'REG y VAL POE - AESR - ESR'!H1782</f>
        <v>0</v>
      </c>
      <c r="EDA23" s="28">
        <f>'REG y VAL POE - AESR - ESR'!I1782</f>
        <v>0</v>
      </c>
      <c r="EDB23" s="29">
        <f>'REG y VAL POE - AESR - ESR'!J1782</f>
        <v>0</v>
      </c>
      <c r="EDC23" s="29">
        <f>'REG y VAL POE - AESR - ESR'!K1782</f>
        <v>0</v>
      </c>
      <c r="EDD23" s="28">
        <f>'REG y VAL POE - AESR - ESR'!L1782</f>
        <v>0</v>
      </c>
      <c r="EDE23" s="29">
        <f>'REG y VAL POE - AESR - ESR'!M1782</f>
        <v>0</v>
      </c>
      <c r="EDF23" s="30">
        <f>'REG y VAL POE - AESR - ESR'!N1782</f>
        <v>0</v>
      </c>
      <c r="EDG23" s="28">
        <f>'REG y VAL POE - AESR - ESR'!O1782</f>
        <v>0</v>
      </c>
      <c r="EDH23" s="29">
        <f>'REG y VAL POE - AESR - ESR'!P1782</f>
        <v>0</v>
      </c>
      <c r="EDI23" s="29">
        <f>'REG y VAL POE - AESR - ESR'!Q1782</f>
        <v>0</v>
      </c>
      <c r="EDJ23" s="29">
        <f>'REG y VAL POE - AESR - ESR'!R1782</f>
        <v>0</v>
      </c>
      <c r="EDK23" s="28">
        <f>'REG y VAL POE - AESR - ESR'!S1782</f>
        <v>0</v>
      </c>
      <c r="EDL23" s="29">
        <f>'REG y VAL POE - AESR - ESR'!T1782</f>
        <v>0</v>
      </c>
      <c r="EDM23" s="29">
        <f>'REG y VAL POE - AESR - ESR'!U1782</f>
        <v>0</v>
      </c>
      <c r="EDN23" s="28">
        <f>'REG y VAL POE - AESR - ESR'!V1782</f>
        <v>0</v>
      </c>
      <c r="EDO23" s="29">
        <f>'REG y VAL POE - AESR - ESR'!W1782</f>
        <v>0</v>
      </c>
      <c r="EDP23" s="30">
        <f>'REG y VAL POE - AESR - ESR'!X1782</f>
        <v>0</v>
      </c>
      <c r="EDQ23" s="28">
        <f>'REG y VAL POE - AESR - ESR'!Y1782</f>
        <v>0</v>
      </c>
      <c r="EDR23" s="29">
        <f>'REG y VAL POE - AESR - ESR'!Z1782</f>
        <v>0</v>
      </c>
      <c r="EDS23" s="29">
        <f>'REG y VAL POE - AESR - ESR'!AA1782</f>
        <v>0</v>
      </c>
      <c r="EDT23" s="29">
        <f>'REG y VAL POE - AESR - ESR'!AB1782</f>
        <v>0</v>
      </c>
      <c r="EDU23" s="28">
        <f>'REG y VAL POE - AESR - ESR'!AC1782</f>
        <v>0</v>
      </c>
      <c r="EDV23" s="29">
        <f>'REG y VAL POE - AESR - ESR'!AD1782</f>
        <v>0</v>
      </c>
      <c r="EDW23" s="29">
        <f>'REG y VAL POE - AESR - ESR'!AE1782</f>
        <v>0</v>
      </c>
      <c r="EDX23" s="28">
        <f>'REG y VAL POE - AESR - ESR'!AF1782</f>
        <v>0</v>
      </c>
      <c r="EDY23" s="29">
        <f>'REG y VAL POE - AESR - ESR'!AG1782</f>
        <v>0</v>
      </c>
      <c r="EDZ23" s="30">
        <f>'REG y VAL POE - AESR - ESR'!AH1782</f>
        <v>0</v>
      </c>
      <c r="EEA23" s="28">
        <f>'REG y VAL POE - AESR - ESR'!AI1782</f>
        <v>0</v>
      </c>
      <c r="EEB23" s="29">
        <f>'REG y VAL POE - AESR - ESR'!AJ1782</f>
        <v>0</v>
      </c>
      <c r="EEC23" s="29">
        <f>'REG y VAL POE - AESR - ESR'!AK1782</f>
        <v>0</v>
      </c>
      <c r="EED23" s="29">
        <f>'REG y VAL POE - AESR - ESR'!AL1782</f>
        <v>0</v>
      </c>
      <c r="EEE23" s="28">
        <f>'REG y VAL POE - AESR - ESR'!AM1782</f>
        <v>0</v>
      </c>
      <c r="EEF23" s="29">
        <f>'REG y VAL POE - AESR - ESR'!AN1782</f>
        <v>0</v>
      </c>
      <c r="EEG23" s="29">
        <f>'REG y VAL POE - AESR - ESR'!AO1782</f>
        <v>0</v>
      </c>
      <c r="EEH23" s="28">
        <f>'REG y VAL POE - AESR - ESR'!AP1782</f>
        <v>0</v>
      </c>
      <c r="EEI23" s="29">
        <f>'REG y VAL POE - AESR - ESR'!AQ1782</f>
        <v>0</v>
      </c>
      <c r="EEJ23" s="30">
        <f>'REG y VAL POE - AESR - ESR'!AR1782</f>
        <v>0</v>
      </c>
      <c r="EEK23" s="28">
        <f>'REG y VAL POE - AESR - ESR'!AS1782</f>
        <v>0</v>
      </c>
      <c r="EEL23" s="30" t="str">
        <f>'REG y VAL POE - AESR - ESR'!B1783</f>
        <v xml:space="preserve">Zarate Lopez Juan Francisco </v>
      </c>
      <c r="EEM23" s="29" t="str">
        <f>'REG y VAL POE - AESR - ESR'!C1783</f>
        <v>Sin Registro</v>
      </c>
      <c r="EEN23" s="28">
        <f>'REG y VAL POE - AESR - ESR'!D1783</f>
        <v>23117562</v>
      </c>
      <c r="EEO23" s="29" t="str">
        <f>'REG y VAL POE - AESR - ESR'!E1783</f>
        <v xml:space="preserve">Zarate Lopez Juan Francisco </v>
      </c>
      <c r="EEP23" s="28">
        <f>'REG y VAL POE - AESR - ESR'!F1783</f>
        <v>23117562</v>
      </c>
      <c r="EEQ23" s="28">
        <f>'REG y VAL POE - AESR - ESR'!G1783</f>
        <v>0</v>
      </c>
      <c r="EER23" s="28">
        <f>'REG y VAL POE - AESR - ESR'!H1783</f>
        <v>0</v>
      </c>
      <c r="EES23" s="29">
        <f>'REG y VAL POE - AESR - ESR'!I1783</f>
        <v>0</v>
      </c>
      <c r="EET23" s="385">
        <f>'REG y VAL POE - AESR - ESR'!J1783</f>
        <v>0</v>
      </c>
      <c r="EEU23" s="29">
        <f>'REG y VAL POE - AESR - ESR'!K1783</f>
        <v>0</v>
      </c>
      <c r="EEV23" s="385">
        <f>'REG y VAL POE - AESR - ESR'!L1783</f>
        <v>0</v>
      </c>
      <c r="EEW23" s="29">
        <f>'REG y VAL POE - AESR - ESR'!M1783</f>
        <v>0</v>
      </c>
      <c r="EEX23" s="385">
        <f>'REG y VAL POE - AESR - ESR'!N1783</f>
        <v>0</v>
      </c>
      <c r="EEY23" s="29">
        <f>'REG y VAL POE - AESR - ESR'!O1783</f>
        <v>0</v>
      </c>
      <c r="EEZ23" s="29">
        <f>'REG y VAL POE - AESR - ESR'!P1783</f>
        <v>0</v>
      </c>
      <c r="EFA23" s="29">
        <f>'REG y VAL POE - AESR - ESR'!Q1783</f>
        <v>0</v>
      </c>
      <c r="EFB23" s="29">
        <f>'REG y VAL POE - AESR - ESR'!R1783</f>
        <v>0</v>
      </c>
      <c r="EFC23" s="29">
        <f>'REG y VAL POE - AESR - ESR'!S1783</f>
        <v>0</v>
      </c>
      <c r="EFD23" s="29">
        <f>'REG y VAL POE - AESR - ESR'!T1783</f>
        <v>0</v>
      </c>
      <c r="EFE23" s="29">
        <f>'REG y VAL POE - AESR - ESR'!U1783</f>
        <v>0</v>
      </c>
      <c r="EFF23" s="29">
        <f>'REG y VAL POE - AESR - ESR'!V1783</f>
        <v>0</v>
      </c>
      <c r="EFG23" s="29">
        <f>'REG y VAL POE - AESR - ESR'!W1783</f>
        <v>0</v>
      </c>
      <c r="EFH23" s="29">
        <f>'REG y VAL POE - AESR - ESR'!X1783</f>
        <v>0</v>
      </c>
      <c r="EFI23" s="29">
        <f>'REG y VAL POE - AESR - ESR'!Y1783</f>
        <v>0</v>
      </c>
      <c r="EFJ23" s="29">
        <f>'REG y VAL POE - AESR - ESR'!Z1783</f>
        <v>0</v>
      </c>
      <c r="EFK23" s="29">
        <f>'REG y VAL POE - AESR - ESR'!AA1783</f>
        <v>0</v>
      </c>
      <c r="EFL23" s="29">
        <f>'REG y VAL POE - AESR - ESR'!AB1783</f>
        <v>0</v>
      </c>
      <c r="EFM23" s="29">
        <f>'REG y VAL POE - AESR - ESR'!AC1783</f>
        <v>0</v>
      </c>
      <c r="EFN23" s="29">
        <f>'REG y VAL POE - AESR - ESR'!AD1783</f>
        <v>0</v>
      </c>
      <c r="EFO23" s="29">
        <f>'REG y VAL POE - AESR - ESR'!AE1783</f>
        <v>0</v>
      </c>
      <c r="EFP23" s="29">
        <f>'REG y VAL POE - AESR - ESR'!AF1783</f>
        <v>0</v>
      </c>
      <c r="EFQ23" s="29">
        <f>'REG y VAL POE - AESR - ESR'!AG1783</f>
        <v>0</v>
      </c>
      <c r="EFR23" s="29">
        <f>'REG y VAL POE - AESR - ESR'!AH1783</f>
        <v>0</v>
      </c>
      <c r="EFS23" s="29">
        <f>'REG y VAL POE - AESR - ESR'!AI1783</f>
        <v>0</v>
      </c>
      <c r="EFT23" s="29">
        <f>'REG y VAL POE - AESR - ESR'!AJ1783</f>
        <v>0</v>
      </c>
      <c r="EFU23" s="29">
        <f>'REG y VAL POE - AESR - ESR'!AK1783</f>
        <v>0</v>
      </c>
      <c r="EFV23" s="29">
        <f>'REG y VAL POE - AESR - ESR'!AL1783</f>
        <v>0</v>
      </c>
      <c r="EFW23" s="29">
        <f>'REG y VAL POE - AESR - ESR'!AM1783</f>
        <v>0</v>
      </c>
      <c r="EFX23" s="29">
        <f>'REG y VAL POE - AESR - ESR'!AN1783</f>
        <v>0</v>
      </c>
      <c r="EFY23" s="29">
        <f>'REG y VAL POE - AESR - ESR'!AO1783</f>
        <v>0</v>
      </c>
      <c r="EFZ23" s="29">
        <f>'REG y VAL POE - AESR - ESR'!AP1783</f>
        <v>0</v>
      </c>
      <c r="EGA23" s="29">
        <f>'REG y VAL POE - AESR - ESR'!AQ1783</f>
        <v>0</v>
      </c>
      <c r="EGB23" s="29">
        <f>'REG y VAL POE - AESR - ESR'!AR1783</f>
        <v>0</v>
      </c>
      <c r="EGC23" s="29">
        <f>'REG y VAL POE - AESR - ESR'!AS1783</f>
        <v>0</v>
      </c>
      <c r="EGD23" s="30">
        <f>'REG y VAL POE - AESR - ESR'!B1784</f>
        <v>0</v>
      </c>
      <c r="EGE23" s="28">
        <f>'REG y VAL POE - AESR - ESR'!C1784</f>
        <v>0</v>
      </c>
      <c r="EGF23" s="29">
        <f>'REG y VAL POE - AESR - ESR'!D1784</f>
        <v>0</v>
      </c>
      <c r="EGG23" s="29">
        <f>'REG y VAL POE - AESR - ESR'!E1784</f>
        <v>0</v>
      </c>
      <c r="EGH23" s="29">
        <f>'REG y VAL POE - AESR - ESR'!F1784</f>
        <v>0</v>
      </c>
      <c r="EGI23" s="29">
        <f>'REG y VAL POE - AESR - ESR'!G1784</f>
        <v>0</v>
      </c>
      <c r="EGJ23" s="29">
        <f>'REG y VAL POE - AESR - ESR'!H1784</f>
        <v>0</v>
      </c>
      <c r="EGK23" s="28">
        <f>'REG y VAL POE - AESR - ESR'!I1784</f>
        <v>0</v>
      </c>
      <c r="EGL23" s="29">
        <f>'REG y VAL POE - AESR - ESR'!J1784</f>
        <v>0</v>
      </c>
      <c r="EGM23" s="29">
        <f>'REG y VAL POE - AESR - ESR'!K1784</f>
        <v>0</v>
      </c>
      <c r="EGN23" s="28">
        <f>'REG y VAL POE - AESR - ESR'!L1784</f>
        <v>0</v>
      </c>
      <c r="EGO23" s="29">
        <f>'REG y VAL POE - AESR - ESR'!M1784</f>
        <v>0</v>
      </c>
      <c r="EGP23" s="30">
        <f>'REG y VAL POE - AESR - ESR'!N1784</f>
        <v>0</v>
      </c>
      <c r="EGQ23" s="28">
        <f>'REG y VAL POE - AESR - ESR'!O1784</f>
        <v>0</v>
      </c>
      <c r="EGR23" s="29">
        <f>'REG y VAL POE - AESR - ESR'!P1784</f>
        <v>0</v>
      </c>
      <c r="EGS23" s="29">
        <f>'REG y VAL POE - AESR - ESR'!Q1784</f>
        <v>0</v>
      </c>
      <c r="EGT23" s="29">
        <f>'REG y VAL POE - AESR - ESR'!R1784</f>
        <v>0</v>
      </c>
      <c r="EGU23" s="28">
        <f>'REG y VAL POE - AESR - ESR'!S1784</f>
        <v>0</v>
      </c>
      <c r="EGV23" s="29">
        <f>'REG y VAL POE - AESR - ESR'!T1784</f>
        <v>0</v>
      </c>
      <c r="EGW23" s="29">
        <f>'REG y VAL POE - AESR - ESR'!U1784</f>
        <v>0</v>
      </c>
      <c r="EGX23" s="28">
        <f>'REG y VAL POE - AESR - ESR'!V1784</f>
        <v>0</v>
      </c>
      <c r="EGY23" s="29">
        <f>'REG y VAL POE - AESR - ESR'!W1784</f>
        <v>0</v>
      </c>
      <c r="EGZ23" s="30">
        <f>'REG y VAL POE - AESR - ESR'!X1784</f>
        <v>0</v>
      </c>
      <c r="EHA23" s="28">
        <f>'REG y VAL POE - AESR - ESR'!Y1784</f>
        <v>0</v>
      </c>
      <c r="EHB23" s="29">
        <f>'REG y VAL POE - AESR - ESR'!Z1784</f>
        <v>0</v>
      </c>
      <c r="EHC23" s="29">
        <f>'REG y VAL POE - AESR - ESR'!AA1784</f>
        <v>0</v>
      </c>
      <c r="EHD23" s="29">
        <f>'REG y VAL POE - AESR - ESR'!AB1784</f>
        <v>0</v>
      </c>
      <c r="EHE23" s="28">
        <f>'REG y VAL POE - AESR - ESR'!AC1784</f>
        <v>0</v>
      </c>
      <c r="EHF23" s="29">
        <f>'REG y VAL POE - AESR - ESR'!AD1784</f>
        <v>0</v>
      </c>
      <c r="EHG23" s="29">
        <f>'REG y VAL POE - AESR - ESR'!AE1784</f>
        <v>0</v>
      </c>
      <c r="EHH23" s="28">
        <f>'REG y VAL POE - AESR - ESR'!AF1784</f>
        <v>0</v>
      </c>
      <c r="EHI23" s="29">
        <f>'REG y VAL POE - AESR - ESR'!AG1784</f>
        <v>0</v>
      </c>
      <c r="EHJ23" s="30">
        <f>'REG y VAL POE - AESR - ESR'!AH1784</f>
        <v>0</v>
      </c>
      <c r="EHK23" s="28">
        <f>'REG y VAL POE - AESR - ESR'!AI1784</f>
        <v>0</v>
      </c>
      <c r="EHL23" s="29">
        <f>'REG y VAL POE - AESR - ESR'!AJ1784</f>
        <v>0</v>
      </c>
      <c r="EHM23" s="29">
        <f>'REG y VAL POE - AESR - ESR'!AK1784</f>
        <v>0</v>
      </c>
      <c r="EHN23" s="29">
        <f>'REG y VAL POE - AESR - ESR'!AL1784</f>
        <v>0</v>
      </c>
      <c r="EHO23" s="28">
        <f>'REG y VAL POE - AESR - ESR'!AM1784</f>
        <v>0</v>
      </c>
      <c r="EHP23" s="29">
        <f>'REG y VAL POE - AESR - ESR'!AN1784</f>
        <v>0</v>
      </c>
      <c r="EHQ23" s="29">
        <f>'REG y VAL POE - AESR - ESR'!AO1784</f>
        <v>0</v>
      </c>
      <c r="EHR23" s="28">
        <f>'REG y VAL POE - AESR - ESR'!AP1784</f>
        <v>0</v>
      </c>
      <c r="EHS23" s="29">
        <f>'REG y VAL POE - AESR - ESR'!AQ1784</f>
        <v>0</v>
      </c>
      <c r="EHT23" s="30">
        <f>'REG y VAL POE - AESR - ESR'!AR1784</f>
        <v>0</v>
      </c>
      <c r="EHU23" s="28">
        <f>'REG y VAL POE - AESR - ESR'!AS1784</f>
        <v>0</v>
      </c>
      <c r="EHV23" s="30">
        <f>'REG y VAL POE - AESR - ESR'!B1785</f>
        <v>0</v>
      </c>
      <c r="EHW23" s="29">
        <f>'REG y VAL POE - AESR - ESR'!C1785</f>
        <v>0</v>
      </c>
      <c r="EHX23" s="28">
        <f>'REG y VAL POE - AESR - ESR'!D1785</f>
        <v>0</v>
      </c>
      <c r="EHY23" s="29">
        <f>'REG y VAL POE - AESR - ESR'!E1785</f>
        <v>0</v>
      </c>
      <c r="EHZ23" s="28">
        <f>'REG y VAL POE - AESR - ESR'!F1785</f>
        <v>0</v>
      </c>
      <c r="EIA23" s="28">
        <f>'REG y VAL POE - AESR - ESR'!G1785</f>
        <v>0</v>
      </c>
      <c r="EIB23" s="28">
        <f>'REG y VAL POE - AESR - ESR'!H1785</f>
        <v>0</v>
      </c>
      <c r="EIC23" s="29">
        <f>'REG y VAL POE - AESR - ESR'!I1785</f>
        <v>0</v>
      </c>
      <c r="EID23" s="385">
        <f>'REG y VAL POE - AESR - ESR'!J1785</f>
        <v>0</v>
      </c>
      <c r="EIE23" s="29">
        <f>'REG y VAL POE - AESR - ESR'!K1785</f>
        <v>0</v>
      </c>
      <c r="EIF23" s="385">
        <f>'REG y VAL POE - AESR - ESR'!L1785</f>
        <v>0</v>
      </c>
      <c r="EIG23" s="29">
        <f>'REG y VAL POE - AESR - ESR'!M1785</f>
        <v>0</v>
      </c>
      <c r="EIH23" s="385">
        <f>'REG y VAL POE - AESR - ESR'!N1785</f>
        <v>0</v>
      </c>
      <c r="EII23" s="29">
        <f>'REG y VAL POE - AESR - ESR'!O1785</f>
        <v>0</v>
      </c>
      <c r="EIJ23" s="29">
        <f>'REG y VAL POE - AESR - ESR'!P1785</f>
        <v>0</v>
      </c>
      <c r="EIK23" s="29">
        <f>'REG y VAL POE - AESR - ESR'!Q1785</f>
        <v>0</v>
      </c>
      <c r="EIL23" s="29">
        <f>'REG y VAL POE - AESR - ESR'!R1785</f>
        <v>0</v>
      </c>
      <c r="EIM23" s="29">
        <f>'REG y VAL POE - AESR - ESR'!S1785</f>
        <v>0</v>
      </c>
      <c r="EIN23" s="29">
        <f>'REG y VAL POE - AESR - ESR'!T1785</f>
        <v>0</v>
      </c>
      <c r="EIO23" s="29">
        <f>'REG y VAL POE - AESR - ESR'!U1785</f>
        <v>0</v>
      </c>
      <c r="EIP23" s="29">
        <f>'REG y VAL POE - AESR - ESR'!V1785</f>
        <v>0</v>
      </c>
      <c r="EIQ23" s="29">
        <f>'REG y VAL POE - AESR - ESR'!W1785</f>
        <v>0</v>
      </c>
      <c r="EIR23" s="29">
        <f>'REG y VAL POE - AESR - ESR'!X1785</f>
        <v>0</v>
      </c>
      <c r="EIS23" s="29">
        <f>'REG y VAL POE - AESR - ESR'!Y1785</f>
        <v>0</v>
      </c>
      <c r="EIT23" s="29">
        <f>'REG y VAL POE - AESR - ESR'!Z1785</f>
        <v>0</v>
      </c>
      <c r="EIU23" s="29">
        <f>'REG y VAL POE - AESR - ESR'!AA1785</f>
        <v>0</v>
      </c>
      <c r="EIV23" s="29">
        <f>'REG y VAL POE - AESR - ESR'!AB1785</f>
        <v>0</v>
      </c>
      <c r="EIW23" s="29">
        <f>'REG y VAL POE - AESR - ESR'!AC1785</f>
        <v>0</v>
      </c>
      <c r="EIX23" s="29">
        <f>'REG y VAL POE - AESR - ESR'!AD1785</f>
        <v>0</v>
      </c>
      <c r="EIY23" s="29">
        <f>'REG y VAL POE - AESR - ESR'!AE1785</f>
        <v>0</v>
      </c>
      <c r="EIZ23" s="29">
        <f>'REG y VAL POE - AESR - ESR'!AF1785</f>
        <v>0</v>
      </c>
      <c r="EJA23" s="29">
        <f>'REG y VAL POE - AESR - ESR'!AG1785</f>
        <v>0</v>
      </c>
      <c r="EJB23" s="29">
        <f>'REG y VAL POE - AESR - ESR'!AH1785</f>
        <v>0</v>
      </c>
      <c r="EJC23" s="29">
        <f>'REG y VAL POE - AESR - ESR'!AI1785</f>
        <v>0</v>
      </c>
      <c r="EJD23" s="29">
        <f>'REG y VAL POE - AESR - ESR'!AJ1785</f>
        <v>0</v>
      </c>
      <c r="EJE23" s="29">
        <f>'REG y VAL POE - AESR - ESR'!AK1785</f>
        <v>0</v>
      </c>
      <c r="EJF23" s="29">
        <f>'REG y VAL POE - AESR - ESR'!AL1785</f>
        <v>0</v>
      </c>
      <c r="EJG23" s="29">
        <f>'REG y VAL POE - AESR - ESR'!AM1785</f>
        <v>0</v>
      </c>
      <c r="EJH23" s="29">
        <f>'REG y VAL POE - AESR - ESR'!AN1785</f>
        <v>0</v>
      </c>
      <c r="EJI23" s="29">
        <f>'REG y VAL POE - AESR - ESR'!AO1785</f>
        <v>0</v>
      </c>
      <c r="EJJ23" s="29">
        <f>'REG y VAL POE - AESR - ESR'!AP1785</f>
        <v>0</v>
      </c>
      <c r="EJK23" s="29">
        <f>'REG y VAL POE - AESR - ESR'!AQ1785</f>
        <v>0</v>
      </c>
      <c r="EJL23" s="29">
        <f>'REG y VAL POE - AESR - ESR'!AR1785</f>
        <v>0</v>
      </c>
      <c r="EJM23" s="29">
        <f>'REG y VAL POE - AESR - ESR'!AS1785</f>
        <v>0</v>
      </c>
      <c r="EJN23" s="30">
        <f>'REG y VAL POE - AESR - ESR'!B1786</f>
        <v>0</v>
      </c>
      <c r="EJO23" s="28">
        <f>'REG y VAL POE - AESR - ESR'!C1786</f>
        <v>0</v>
      </c>
      <c r="EJP23" s="29">
        <f>'REG y VAL POE - AESR - ESR'!D1786</f>
        <v>0</v>
      </c>
      <c r="EJQ23" s="29">
        <f>'REG y VAL POE - AESR - ESR'!E1786</f>
        <v>0</v>
      </c>
      <c r="EJR23" s="29">
        <f>'REG y VAL POE - AESR - ESR'!F1786</f>
        <v>0</v>
      </c>
      <c r="EJS23" s="29">
        <f>'REG y VAL POE - AESR - ESR'!G1786</f>
        <v>0</v>
      </c>
      <c r="EJT23" s="29">
        <f>'REG y VAL POE - AESR - ESR'!H1786</f>
        <v>0</v>
      </c>
      <c r="EJU23" s="28">
        <f>'REG y VAL POE - AESR - ESR'!I1786</f>
        <v>0</v>
      </c>
      <c r="EJV23" s="29">
        <f>'REG y VAL POE - AESR - ESR'!J1786</f>
        <v>0</v>
      </c>
      <c r="EJW23" s="29">
        <f>'REG y VAL POE - AESR - ESR'!K1786</f>
        <v>0</v>
      </c>
      <c r="EJX23" s="28">
        <f>'REG y VAL POE - AESR - ESR'!L1786</f>
        <v>0</v>
      </c>
      <c r="EJY23" s="29">
        <f>'REG y VAL POE - AESR - ESR'!M1786</f>
        <v>0</v>
      </c>
      <c r="EJZ23" s="30">
        <f>'REG y VAL POE - AESR - ESR'!N1786</f>
        <v>0</v>
      </c>
      <c r="EKA23" s="28">
        <f>'REG y VAL POE - AESR - ESR'!O1786</f>
        <v>0</v>
      </c>
      <c r="EKB23" s="29">
        <f>'REG y VAL POE - AESR - ESR'!P1786</f>
        <v>0</v>
      </c>
      <c r="EKC23" s="29">
        <f>'REG y VAL POE - AESR - ESR'!Q1786</f>
        <v>0</v>
      </c>
      <c r="EKD23" s="29">
        <f>'REG y VAL POE - AESR - ESR'!R1786</f>
        <v>0</v>
      </c>
      <c r="EKE23" s="28">
        <f>'REG y VAL POE - AESR - ESR'!S1786</f>
        <v>0</v>
      </c>
      <c r="EKF23" s="29">
        <f>'REG y VAL POE - AESR - ESR'!T1786</f>
        <v>0</v>
      </c>
      <c r="EKG23" s="29">
        <f>'REG y VAL POE - AESR - ESR'!U1786</f>
        <v>0</v>
      </c>
      <c r="EKH23" s="28">
        <f>'REG y VAL POE - AESR - ESR'!V1786</f>
        <v>0</v>
      </c>
      <c r="EKI23" s="29">
        <f>'REG y VAL POE - AESR - ESR'!W1786</f>
        <v>0</v>
      </c>
      <c r="EKJ23" s="30">
        <f>'REG y VAL POE - AESR - ESR'!X1786</f>
        <v>0</v>
      </c>
      <c r="EKK23" s="28">
        <f>'REG y VAL POE - AESR - ESR'!Y1786</f>
        <v>0</v>
      </c>
      <c r="EKL23" s="29">
        <f>'REG y VAL POE - AESR - ESR'!Z1786</f>
        <v>0</v>
      </c>
      <c r="EKM23" s="29">
        <f>'REG y VAL POE - AESR - ESR'!AA1786</f>
        <v>0</v>
      </c>
      <c r="EKN23" s="29">
        <f>'REG y VAL POE - AESR - ESR'!AB1786</f>
        <v>0</v>
      </c>
      <c r="EKO23" s="28">
        <f>'REG y VAL POE - AESR - ESR'!AC1786</f>
        <v>0</v>
      </c>
      <c r="EKP23" s="29">
        <f>'REG y VAL POE - AESR - ESR'!AD1786</f>
        <v>0</v>
      </c>
      <c r="EKQ23" s="29">
        <f>'REG y VAL POE - AESR - ESR'!AE1786</f>
        <v>0</v>
      </c>
      <c r="EKR23" s="28">
        <f>'REG y VAL POE - AESR - ESR'!AF1786</f>
        <v>0</v>
      </c>
      <c r="EKS23" s="29">
        <f>'REG y VAL POE - AESR - ESR'!AG1786</f>
        <v>0</v>
      </c>
      <c r="EKT23" s="30">
        <f>'REG y VAL POE - AESR - ESR'!AH1786</f>
        <v>0</v>
      </c>
      <c r="EKU23" s="28">
        <f>'REG y VAL POE - AESR - ESR'!AI1786</f>
        <v>0</v>
      </c>
      <c r="EKV23" s="29">
        <f>'REG y VAL POE - AESR - ESR'!AJ1786</f>
        <v>0</v>
      </c>
      <c r="EKW23" s="29">
        <f>'REG y VAL POE - AESR - ESR'!AK1786</f>
        <v>0</v>
      </c>
      <c r="EKX23" s="29">
        <f>'REG y VAL POE - AESR - ESR'!AL1786</f>
        <v>0</v>
      </c>
      <c r="EKY23" s="28">
        <f>'REG y VAL POE - AESR - ESR'!AM1786</f>
        <v>0</v>
      </c>
      <c r="EKZ23" s="29">
        <f>'REG y VAL POE - AESR - ESR'!AN1786</f>
        <v>0</v>
      </c>
      <c r="ELA23" s="29">
        <f>'REG y VAL POE - AESR - ESR'!AO1786</f>
        <v>0</v>
      </c>
      <c r="ELB23" s="28">
        <f>'REG y VAL POE - AESR - ESR'!AP1786</f>
        <v>0</v>
      </c>
      <c r="ELC23" s="29">
        <f>'REG y VAL POE - AESR - ESR'!AQ1786</f>
        <v>0</v>
      </c>
      <c r="ELD23" s="30">
        <f>'REG y VAL POE - AESR - ESR'!AR1786</f>
        <v>0</v>
      </c>
      <c r="ELE23" s="28">
        <f>'REG y VAL POE - AESR - ESR'!AS1786</f>
        <v>0</v>
      </c>
      <c r="ELF23" s="30">
        <f>'REG y VAL POE - AESR - ESR'!B1787</f>
        <v>0</v>
      </c>
      <c r="ELG23" s="29">
        <f>'REG y VAL POE - AESR - ESR'!C1787</f>
        <v>0</v>
      </c>
      <c r="ELH23" s="28">
        <f>'REG y VAL POE - AESR - ESR'!D1787</f>
        <v>0</v>
      </c>
      <c r="ELI23" s="29">
        <f>'REG y VAL POE - AESR - ESR'!E1787</f>
        <v>0</v>
      </c>
      <c r="ELJ23" s="28">
        <f>'REG y VAL POE - AESR - ESR'!F1787</f>
        <v>0</v>
      </c>
      <c r="ELK23" s="28">
        <f>'REG y VAL POE - AESR - ESR'!G1787</f>
        <v>0</v>
      </c>
      <c r="ELL23" s="28">
        <f>'REG y VAL POE - AESR - ESR'!H1787</f>
        <v>0</v>
      </c>
      <c r="ELM23" s="29">
        <f>'REG y VAL POE - AESR - ESR'!I1787</f>
        <v>0</v>
      </c>
      <c r="ELN23" s="385">
        <f>'REG y VAL POE - AESR - ESR'!J1787</f>
        <v>0</v>
      </c>
      <c r="ELO23" s="29">
        <f>'REG y VAL POE - AESR - ESR'!K1787</f>
        <v>0</v>
      </c>
      <c r="ELP23" s="385">
        <f>'REG y VAL POE - AESR - ESR'!L1787</f>
        <v>0</v>
      </c>
      <c r="ELQ23" s="29">
        <f>'REG y VAL POE - AESR - ESR'!M1787</f>
        <v>0</v>
      </c>
      <c r="ELR23" s="385">
        <f>'REG y VAL POE - AESR - ESR'!N1787</f>
        <v>0</v>
      </c>
      <c r="ELS23" s="29">
        <f>'REG y VAL POE - AESR - ESR'!O1787</f>
        <v>0</v>
      </c>
      <c r="ELT23" s="29">
        <f>'REG y VAL POE - AESR - ESR'!P1787</f>
        <v>0</v>
      </c>
      <c r="ELU23" s="29">
        <f>'REG y VAL POE - AESR - ESR'!Q1787</f>
        <v>0</v>
      </c>
      <c r="ELV23" s="29">
        <f>'REG y VAL POE - AESR - ESR'!R1787</f>
        <v>0</v>
      </c>
      <c r="ELW23" s="29">
        <f>'REG y VAL POE - AESR - ESR'!S1787</f>
        <v>0</v>
      </c>
      <c r="ELX23" s="29">
        <f>'REG y VAL POE - AESR - ESR'!T1787</f>
        <v>0</v>
      </c>
      <c r="ELY23" s="29">
        <f>'REG y VAL POE - AESR - ESR'!U1787</f>
        <v>0</v>
      </c>
      <c r="ELZ23" s="29">
        <f>'REG y VAL POE - AESR - ESR'!V1787</f>
        <v>0</v>
      </c>
      <c r="EMA23" s="29">
        <f>'REG y VAL POE - AESR - ESR'!W1787</f>
        <v>0</v>
      </c>
      <c r="EMB23" s="29">
        <f>'REG y VAL POE - AESR - ESR'!X1787</f>
        <v>0</v>
      </c>
      <c r="EMC23" s="29">
        <f>'REG y VAL POE - AESR - ESR'!Y1787</f>
        <v>0</v>
      </c>
      <c r="EMD23" s="29">
        <f>'REG y VAL POE - AESR - ESR'!Z1787</f>
        <v>0</v>
      </c>
      <c r="EME23" s="29">
        <f>'REG y VAL POE - AESR - ESR'!AA1787</f>
        <v>0</v>
      </c>
      <c r="EMF23" s="29">
        <f>'REG y VAL POE - AESR - ESR'!AB1787</f>
        <v>0</v>
      </c>
      <c r="EMG23" s="29">
        <f>'REG y VAL POE - AESR - ESR'!AC1787</f>
        <v>0</v>
      </c>
      <c r="EMH23" s="29">
        <f>'REG y VAL POE - AESR - ESR'!AD1787</f>
        <v>0</v>
      </c>
      <c r="EMI23" s="29">
        <f>'REG y VAL POE - AESR - ESR'!AE1787</f>
        <v>0</v>
      </c>
      <c r="EMJ23" s="29">
        <f>'REG y VAL POE - AESR - ESR'!AF1787</f>
        <v>0</v>
      </c>
      <c r="EMK23" s="29">
        <f>'REG y VAL POE - AESR - ESR'!AG1787</f>
        <v>0</v>
      </c>
      <c r="EML23" s="29">
        <f>'REG y VAL POE - AESR - ESR'!AH1787</f>
        <v>0</v>
      </c>
      <c r="EMM23" s="29">
        <f>'REG y VAL POE - AESR - ESR'!AI1787</f>
        <v>0</v>
      </c>
      <c r="EMN23" s="29">
        <f>'REG y VAL POE - AESR - ESR'!AJ1787</f>
        <v>0</v>
      </c>
      <c r="EMO23" s="29">
        <f>'REG y VAL POE - AESR - ESR'!AK1787</f>
        <v>0</v>
      </c>
      <c r="EMP23" s="29">
        <f>'REG y VAL POE - AESR - ESR'!AL1787</f>
        <v>0</v>
      </c>
      <c r="EMQ23" s="29">
        <f>'REG y VAL POE - AESR - ESR'!AM1787</f>
        <v>0</v>
      </c>
      <c r="EMR23" s="29">
        <f>'REG y VAL POE - AESR - ESR'!AN1787</f>
        <v>0</v>
      </c>
      <c r="EMS23" s="29">
        <f>'REG y VAL POE - AESR - ESR'!AO1787</f>
        <v>0</v>
      </c>
      <c r="EMT23" s="29">
        <f>'REG y VAL POE - AESR - ESR'!AP1787</f>
        <v>0</v>
      </c>
      <c r="EMU23" s="29">
        <f>'REG y VAL POE - AESR - ESR'!AQ1787</f>
        <v>0</v>
      </c>
      <c r="EMV23" s="29">
        <f>'REG y VAL POE - AESR - ESR'!AR1787</f>
        <v>0</v>
      </c>
      <c r="EMW23" s="29">
        <f>'REG y VAL POE - AESR - ESR'!AS1787</f>
        <v>0</v>
      </c>
      <c r="EMX23" s="30">
        <f>'REG y VAL POE - AESR - ESR'!B1788</f>
        <v>0</v>
      </c>
      <c r="EMY23" s="28">
        <f>'REG y VAL POE - AESR - ESR'!C1788</f>
        <v>0</v>
      </c>
      <c r="EMZ23" s="29">
        <f>'REG y VAL POE - AESR - ESR'!D1788</f>
        <v>0</v>
      </c>
      <c r="ENA23" s="29">
        <f>'REG y VAL POE - AESR - ESR'!E1788</f>
        <v>0</v>
      </c>
      <c r="ENB23" s="29">
        <f>'REG y VAL POE - AESR - ESR'!F1788</f>
        <v>0</v>
      </c>
      <c r="ENC23" s="29">
        <f>'REG y VAL POE - AESR - ESR'!G1788</f>
        <v>0</v>
      </c>
      <c r="END23" s="29">
        <f>'REG y VAL POE - AESR - ESR'!H1788</f>
        <v>0</v>
      </c>
      <c r="ENE23" s="28">
        <f>'REG y VAL POE - AESR - ESR'!I1788</f>
        <v>0</v>
      </c>
      <c r="ENF23" s="29">
        <f>'REG y VAL POE - AESR - ESR'!J1788</f>
        <v>0</v>
      </c>
      <c r="ENG23" s="29">
        <f>'REG y VAL POE - AESR - ESR'!K1788</f>
        <v>0</v>
      </c>
      <c r="ENH23" s="28">
        <f>'REG y VAL POE - AESR - ESR'!L1788</f>
        <v>0</v>
      </c>
      <c r="ENI23" s="29">
        <f>'REG y VAL POE - AESR - ESR'!M1788</f>
        <v>0</v>
      </c>
      <c r="ENJ23" s="30">
        <f>'REG y VAL POE - AESR - ESR'!N1788</f>
        <v>0</v>
      </c>
      <c r="ENK23" s="28">
        <f>'REG y VAL POE - AESR - ESR'!O1788</f>
        <v>0</v>
      </c>
      <c r="ENL23" s="29">
        <f>'REG y VAL POE - AESR - ESR'!P1788</f>
        <v>0</v>
      </c>
      <c r="ENM23" s="29">
        <f>'REG y VAL POE - AESR - ESR'!Q1788</f>
        <v>0</v>
      </c>
      <c r="ENN23" s="29">
        <f>'REG y VAL POE - AESR - ESR'!R1788</f>
        <v>0</v>
      </c>
      <c r="ENO23" s="28">
        <f>'REG y VAL POE - AESR - ESR'!S1788</f>
        <v>0</v>
      </c>
      <c r="ENP23" s="29">
        <f>'REG y VAL POE - AESR - ESR'!T1788</f>
        <v>0</v>
      </c>
      <c r="ENQ23" s="29">
        <f>'REG y VAL POE - AESR - ESR'!U1788</f>
        <v>0</v>
      </c>
      <c r="ENR23" s="28">
        <f>'REG y VAL POE - AESR - ESR'!V1788</f>
        <v>0</v>
      </c>
      <c r="ENS23" s="29">
        <f>'REG y VAL POE - AESR - ESR'!W1788</f>
        <v>0</v>
      </c>
      <c r="ENT23" s="30">
        <f>'REG y VAL POE - AESR - ESR'!X1788</f>
        <v>0</v>
      </c>
      <c r="ENU23" s="28">
        <f>'REG y VAL POE - AESR - ESR'!Y1788</f>
        <v>0</v>
      </c>
      <c r="ENV23" s="29">
        <f>'REG y VAL POE - AESR - ESR'!Z1788</f>
        <v>0</v>
      </c>
      <c r="ENW23" s="29">
        <f>'REG y VAL POE - AESR - ESR'!AA1788</f>
        <v>0</v>
      </c>
      <c r="ENX23" s="29">
        <f>'REG y VAL POE - AESR - ESR'!AB1788</f>
        <v>0</v>
      </c>
      <c r="ENY23" s="28">
        <f>'REG y VAL POE - AESR - ESR'!AC1788</f>
        <v>0</v>
      </c>
      <c r="ENZ23" s="29">
        <f>'REG y VAL POE - AESR - ESR'!AD1788</f>
        <v>0</v>
      </c>
      <c r="EOA23" s="29">
        <f>'REG y VAL POE - AESR - ESR'!AE1788</f>
        <v>0</v>
      </c>
      <c r="EOB23" s="28">
        <f>'REG y VAL POE - AESR - ESR'!AF1788</f>
        <v>0</v>
      </c>
      <c r="EOC23" s="29">
        <f>'REG y VAL POE - AESR - ESR'!AG1788</f>
        <v>0</v>
      </c>
      <c r="EOD23" s="30">
        <f>'REG y VAL POE - AESR - ESR'!AH1788</f>
        <v>0</v>
      </c>
      <c r="EOE23" s="28">
        <f>'REG y VAL POE - AESR - ESR'!AI1788</f>
        <v>0</v>
      </c>
      <c r="EOF23" s="29">
        <f>'REG y VAL POE - AESR - ESR'!AJ1788</f>
        <v>0</v>
      </c>
      <c r="EOG23" s="29">
        <f>'REG y VAL POE - AESR - ESR'!AK1788</f>
        <v>0</v>
      </c>
      <c r="EOH23" s="29">
        <f>'REG y VAL POE - AESR - ESR'!AL1788</f>
        <v>0</v>
      </c>
      <c r="EOI23" s="28">
        <f>'REG y VAL POE - AESR - ESR'!AM1788</f>
        <v>0</v>
      </c>
      <c r="EOJ23" s="29">
        <f>'REG y VAL POE - AESR - ESR'!AN1788</f>
        <v>0</v>
      </c>
      <c r="EOK23" s="29">
        <f>'REG y VAL POE - AESR - ESR'!AO1788</f>
        <v>0</v>
      </c>
      <c r="EOL23" s="28">
        <f>'REG y VAL POE - AESR - ESR'!AP1788</f>
        <v>0</v>
      </c>
      <c r="EOM23" s="29">
        <f>'REG y VAL POE - AESR - ESR'!AQ1788</f>
        <v>0</v>
      </c>
      <c r="EON23" s="30">
        <f>'REG y VAL POE - AESR - ESR'!AR1788</f>
        <v>0</v>
      </c>
      <c r="EOO23" s="28">
        <f>'REG y VAL POE - AESR - ESR'!AS1788</f>
        <v>0</v>
      </c>
      <c r="EOP23" s="30">
        <f>'REG y VAL POE - AESR - ESR'!B1789</f>
        <v>0</v>
      </c>
      <c r="EOQ23" s="29">
        <f>'REG y VAL POE - AESR - ESR'!C1789</f>
        <v>0</v>
      </c>
      <c r="EOR23" s="28">
        <f>'REG y VAL POE - AESR - ESR'!D1789</f>
        <v>0</v>
      </c>
      <c r="EOS23" s="29">
        <f>'REG y VAL POE - AESR - ESR'!E1789</f>
        <v>0</v>
      </c>
      <c r="EOT23" s="28">
        <f>'REG y VAL POE - AESR - ESR'!F1789</f>
        <v>0</v>
      </c>
      <c r="EOU23" s="28">
        <f>'REG y VAL POE - AESR - ESR'!G1789</f>
        <v>0</v>
      </c>
      <c r="EOV23" s="28">
        <f>'REG y VAL POE - AESR - ESR'!H1789</f>
        <v>0</v>
      </c>
      <c r="EOW23" s="29">
        <f>'REG y VAL POE - AESR - ESR'!I1789</f>
        <v>0</v>
      </c>
      <c r="EOX23" s="385">
        <f>'REG y VAL POE - AESR - ESR'!J1789</f>
        <v>0</v>
      </c>
      <c r="EOY23" s="29">
        <f>'REG y VAL POE - AESR - ESR'!K1789</f>
        <v>0</v>
      </c>
      <c r="EOZ23" s="385">
        <f>'REG y VAL POE - AESR - ESR'!L1789</f>
        <v>0</v>
      </c>
      <c r="EPA23" s="29">
        <f>'REG y VAL POE - AESR - ESR'!M1789</f>
        <v>0</v>
      </c>
      <c r="EPB23" s="385">
        <f>'REG y VAL POE - AESR - ESR'!N1789</f>
        <v>0</v>
      </c>
      <c r="EPC23" s="29">
        <f>'REG y VAL POE - AESR - ESR'!O1789</f>
        <v>0</v>
      </c>
      <c r="EPD23" s="29">
        <f>'REG y VAL POE - AESR - ESR'!P1789</f>
        <v>0</v>
      </c>
      <c r="EPE23" s="29">
        <f>'REG y VAL POE - AESR - ESR'!Q1789</f>
        <v>0</v>
      </c>
      <c r="EPF23" s="29">
        <f>'REG y VAL POE - AESR - ESR'!R1789</f>
        <v>0</v>
      </c>
      <c r="EPG23" s="29">
        <f>'REG y VAL POE - AESR - ESR'!S1789</f>
        <v>0</v>
      </c>
      <c r="EPH23" s="29">
        <f>'REG y VAL POE - AESR - ESR'!T1789</f>
        <v>0</v>
      </c>
      <c r="EPI23" s="29">
        <f>'REG y VAL POE - AESR - ESR'!U1789</f>
        <v>0</v>
      </c>
      <c r="EPJ23" s="29">
        <f>'REG y VAL POE - AESR - ESR'!V1789</f>
        <v>0</v>
      </c>
      <c r="EPK23" s="29">
        <f>'REG y VAL POE - AESR - ESR'!W1789</f>
        <v>0</v>
      </c>
      <c r="EPL23" s="29">
        <f>'REG y VAL POE - AESR - ESR'!X1789</f>
        <v>0</v>
      </c>
      <c r="EPM23" s="29">
        <f>'REG y VAL POE - AESR - ESR'!Y1789</f>
        <v>0</v>
      </c>
      <c r="EPN23" s="29">
        <f>'REG y VAL POE - AESR - ESR'!Z1789</f>
        <v>0</v>
      </c>
      <c r="EPO23" s="29">
        <f>'REG y VAL POE - AESR - ESR'!AA1789</f>
        <v>0</v>
      </c>
      <c r="EPP23" s="29">
        <f>'REG y VAL POE - AESR - ESR'!AB1789</f>
        <v>0</v>
      </c>
      <c r="EPQ23" s="29">
        <f>'REG y VAL POE - AESR - ESR'!AC1789</f>
        <v>0</v>
      </c>
      <c r="EPR23" s="29">
        <f>'REG y VAL POE - AESR - ESR'!AD1789</f>
        <v>0</v>
      </c>
      <c r="EPS23" s="29">
        <f>'REG y VAL POE - AESR - ESR'!AE1789</f>
        <v>0</v>
      </c>
      <c r="EPT23" s="29">
        <f>'REG y VAL POE - AESR - ESR'!AF1789</f>
        <v>0</v>
      </c>
      <c r="EPU23" s="29">
        <f>'REG y VAL POE - AESR - ESR'!AG1789</f>
        <v>0</v>
      </c>
      <c r="EPV23" s="29">
        <f>'REG y VAL POE - AESR - ESR'!AH1789</f>
        <v>0</v>
      </c>
      <c r="EPW23" s="29">
        <f>'REG y VAL POE - AESR - ESR'!AI1789</f>
        <v>0</v>
      </c>
      <c r="EPX23" s="29">
        <f>'REG y VAL POE - AESR - ESR'!AJ1789</f>
        <v>0</v>
      </c>
      <c r="EPY23" s="29">
        <f>'REG y VAL POE - AESR - ESR'!AK1789</f>
        <v>0</v>
      </c>
      <c r="EPZ23" s="29">
        <f>'REG y VAL POE - AESR - ESR'!AL1789</f>
        <v>0</v>
      </c>
      <c r="EQA23" s="29">
        <f>'REG y VAL POE - AESR - ESR'!AM1789</f>
        <v>0</v>
      </c>
      <c r="EQB23" s="29">
        <f>'REG y VAL POE - AESR - ESR'!AN1789</f>
        <v>0</v>
      </c>
      <c r="EQC23" s="29">
        <f>'REG y VAL POE - AESR - ESR'!AO1789</f>
        <v>0</v>
      </c>
      <c r="EQD23" s="29">
        <f>'REG y VAL POE - AESR - ESR'!AP1789</f>
        <v>0</v>
      </c>
      <c r="EQE23" s="29">
        <f>'REG y VAL POE - AESR - ESR'!AQ1789</f>
        <v>0</v>
      </c>
      <c r="EQF23" s="29">
        <f>'REG y VAL POE - AESR - ESR'!AR1789</f>
        <v>0</v>
      </c>
      <c r="EQG23" s="29">
        <f>'REG y VAL POE - AESR - ESR'!AS1789</f>
        <v>0</v>
      </c>
      <c r="EQH23" s="30">
        <f>'REG y VAL POE - AESR - ESR'!B1790</f>
        <v>0</v>
      </c>
      <c r="EQI23" s="28">
        <f>'REG y VAL POE - AESR - ESR'!C1790</f>
        <v>0</v>
      </c>
      <c r="EQJ23" s="29">
        <f>'REG y VAL POE - AESR - ESR'!D1790</f>
        <v>0</v>
      </c>
      <c r="EQK23" s="29">
        <f>'REG y VAL POE - AESR - ESR'!E1790</f>
        <v>0</v>
      </c>
      <c r="EQL23" s="29">
        <f>'REG y VAL POE - AESR - ESR'!F1790</f>
        <v>0</v>
      </c>
      <c r="EQM23" s="29">
        <f>'REG y VAL POE - AESR - ESR'!G1790</f>
        <v>0</v>
      </c>
      <c r="EQN23" s="29">
        <f>'REG y VAL POE - AESR - ESR'!H1790</f>
        <v>0</v>
      </c>
      <c r="EQO23" s="28">
        <f>'REG y VAL POE - AESR - ESR'!I1790</f>
        <v>0</v>
      </c>
      <c r="EQP23" s="29">
        <f>'REG y VAL POE - AESR - ESR'!J1790</f>
        <v>0</v>
      </c>
      <c r="EQQ23" s="29">
        <f>'REG y VAL POE - AESR - ESR'!K1790</f>
        <v>0</v>
      </c>
      <c r="EQR23" s="28">
        <f>'REG y VAL POE - AESR - ESR'!L1790</f>
        <v>0</v>
      </c>
      <c r="EQS23" s="29">
        <f>'REG y VAL POE - AESR - ESR'!M1790</f>
        <v>0</v>
      </c>
      <c r="EQT23" s="30">
        <f>'REG y VAL POE - AESR - ESR'!N1790</f>
        <v>0</v>
      </c>
      <c r="EQU23" s="28">
        <f>'REG y VAL POE - AESR - ESR'!O1790</f>
        <v>0</v>
      </c>
      <c r="EQV23" s="29">
        <f>'REG y VAL POE - AESR - ESR'!P1790</f>
        <v>0</v>
      </c>
      <c r="EQW23" s="29">
        <f>'REG y VAL POE - AESR - ESR'!Q1790</f>
        <v>0</v>
      </c>
      <c r="EQX23" s="29">
        <f>'REG y VAL POE - AESR - ESR'!R1790</f>
        <v>0</v>
      </c>
      <c r="EQY23" s="28">
        <f>'REG y VAL POE - AESR - ESR'!S1790</f>
        <v>0</v>
      </c>
      <c r="EQZ23" s="29">
        <f>'REG y VAL POE - AESR - ESR'!T1790</f>
        <v>0</v>
      </c>
      <c r="ERA23" s="29">
        <f>'REG y VAL POE - AESR - ESR'!U1790</f>
        <v>0</v>
      </c>
      <c r="ERB23" s="28">
        <f>'REG y VAL POE - AESR - ESR'!V1790</f>
        <v>0</v>
      </c>
      <c r="ERC23" s="29">
        <f>'REG y VAL POE - AESR - ESR'!W1790</f>
        <v>0</v>
      </c>
      <c r="ERD23" s="30">
        <f>'REG y VAL POE - AESR - ESR'!X1790</f>
        <v>0</v>
      </c>
      <c r="ERE23" s="28">
        <f>'REG y VAL POE - AESR - ESR'!Y1790</f>
        <v>0</v>
      </c>
      <c r="ERF23" s="29">
        <f>'REG y VAL POE - AESR - ESR'!Z1790</f>
        <v>0</v>
      </c>
      <c r="ERG23" s="29">
        <f>'REG y VAL POE - AESR - ESR'!AA1790</f>
        <v>0</v>
      </c>
      <c r="ERH23" s="29">
        <f>'REG y VAL POE - AESR - ESR'!AB1790</f>
        <v>0</v>
      </c>
      <c r="ERI23" s="28">
        <f>'REG y VAL POE - AESR - ESR'!AC1790</f>
        <v>0</v>
      </c>
      <c r="ERJ23" s="29">
        <f>'REG y VAL POE - AESR - ESR'!AD1790</f>
        <v>0</v>
      </c>
      <c r="ERK23" s="29">
        <f>'REG y VAL POE - AESR - ESR'!AE1790</f>
        <v>0</v>
      </c>
      <c r="ERL23" s="28">
        <f>'REG y VAL POE - AESR - ESR'!AF1790</f>
        <v>0</v>
      </c>
      <c r="ERM23" s="29">
        <f>'REG y VAL POE - AESR - ESR'!AG1790</f>
        <v>0</v>
      </c>
      <c r="ERN23" s="30">
        <f>'REG y VAL POE - AESR - ESR'!AH1790</f>
        <v>0</v>
      </c>
      <c r="ERO23" s="28">
        <f>'REG y VAL POE - AESR - ESR'!AI1790</f>
        <v>0</v>
      </c>
      <c r="ERP23" s="29">
        <f>'REG y VAL POE - AESR - ESR'!AJ1790</f>
        <v>0</v>
      </c>
      <c r="ERQ23" s="29">
        <f>'REG y VAL POE - AESR - ESR'!AK1790</f>
        <v>0</v>
      </c>
      <c r="ERR23" s="29">
        <f>'REG y VAL POE - AESR - ESR'!AL1790</f>
        <v>0</v>
      </c>
      <c r="ERS23" s="28">
        <f>'REG y VAL POE - AESR - ESR'!AM1790</f>
        <v>0</v>
      </c>
      <c r="ERT23" s="29">
        <f>'REG y VAL POE - AESR - ESR'!AN1790</f>
        <v>0</v>
      </c>
      <c r="ERU23" s="29">
        <f>'REG y VAL POE - AESR - ESR'!AO1790</f>
        <v>0</v>
      </c>
      <c r="ERV23" s="28">
        <f>'REG y VAL POE - AESR - ESR'!AP1790</f>
        <v>0</v>
      </c>
      <c r="ERW23" s="29">
        <f>'REG y VAL POE - AESR - ESR'!AQ1790</f>
        <v>0</v>
      </c>
      <c r="ERX23" s="30">
        <f>'REG y VAL POE - AESR - ESR'!AR1790</f>
        <v>0</v>
      </c>
      <c r="ERY23" s="28">
        <f>'REG y VAL POE - AESR - ESR'!AS1790</f>
        <v>0</v>
      </c>
      <c r="ERZ23" s="30">
        <f>'REG y VAL POE - AESR - ESR'!B1791</f>
        <v>0</v>
      </c>
      <c r="ESA23" s="29">
        <f>'REG y VAL POE - AESR - ESR'!C1791</f>
        <v>0</v>
      </c>
      <c r="ESB23" s="28">
        <f>'REG y VAL POE - AESR - ESR'!D1791</f>
        <v>0</v>
      </c>
      <c r="ESC23" s="29">
        <f>'REG y VAL POE - AESR - ESR'!E1791</f>
        <v>0</v>
      </c>
      <c r="ESD23" s="28">
        <f>'REG y VAL POE - AESR - ESR'!F1791</f>
        <v>0</v>
      </c>
      <c r="ESE23" s="28">
        <f>'REG y VAL POE - AESR - ESR'!G1791</f>
        <v>0</v>
      </c>
      <c r="ESF23" s="28">
        <f>'REG y VAL POE - AESR - ESR'!H1791</f>
        <v>0</v>
      </c>
      <c r="ESG23" s="29">
        <f>'REG y VAL POE - AESR - ESR'!I1791</f>
        <v>0</v>
      </c>
      <c r="ESH23" s="385">
        <f>'REG y VAL POE - AESR - ESR'!J1791</f>
        <v>0</v>
      </c>
      <c r="ESI23" s="29">
        <f>'REG y VAL POE - AESR - ESR'!K1791</f>
        <v>0</v>
      </c>
      <c r="ESJ23" s="385">
        <f>'REG y VAL POE - AESR - ESR'!L1791</f>
        <v>0</v>
      </c>
      <c r="ESK23" s="29">
        <f>'REG y VAL POE - AESR - ESR'!M1791</f>
        <v>0</v>
      </c>
      <c r="ESL23" s="385">
        <f>'REG y VAL POE - AESR - ESR'!N1791</f>
        <v>0</v>
      </c>
      <c r="ESM23" s="29">
        <f>'REG y VAL POE - AESR - ESR'!O1791</f>
        <v>0</v>
      </c>
      <c r="ESN23" s="29">
        <f>'REG y VAL POE - AESR - ESR'!P1791</f>
        <v>0</v>
      </c>
      <c r="ESO23" s="29">
        <f>'REG y VAL POE - AESR - ESR'!Q1791</f>
        <v>0</v>
      </c>
      <c r="ESP23" s="29">
        <f>'REG y VAL POE - AESR - ESR'!R1791</f>
        <v>0</v>
      </c>
      <c r="ESQ23" s="29">
        <f>'REG y VAL POE - AESR - ESR'!S1791</f>
        <v>0</v>
      </c>
      <c r="ESR23" s="29">
        <f>'REG y VAL POE - AESR - ESR'!T1791</f>
        <v>0</v>
      </c>
      <c r="ESS23" s="29">
        <f>'REG y VAL POE - AESR - ESR'!U1791</f>
        <v>0</v>
      </c>
      <c r="EST23" s="29">
        <f>'REG y VAL POE - AESR - ESR'!V1791</f>
        <v>0</v>
      </c>
      <c r="ESU23" s="29">
        <f>'REG y VAL POE - AESR - ESR'!W1791</f>
        <v>0</v>
      </c>
      <c r="ESV23" s="29">
        <f>'REG y VAL POE - AESR - ESR'!X1791</f>
        <v>0</v>
      </c>
      <c r="ESW23" s="29">
        <f>'REG y VAL POE - AESR - ESR'!Y1791</f>
        <v>0</v>
      </c>
      <c r="ESX23" s="29">
        <f>'REG y VAL POE - AESR - ESR'!Z1791</f>
        <v>0</v>
      </c>
      <c r="ESY23" s="29">
        <f>'REG y VAL POE - AESR - ESR'!AA1791</f>
        <v>0</v>
      </c>
      <c r="ESZ23" s="29">
        <f>'REG y VAL POE - AESR - ESR'!AB1791</f>
        <v>0</v>
      </c>
      <c r="ETA23" s="29">
        <f>'REG y VAL POE - AESR - ESR'!AC1791</f>
        <v>0</v>
      </c>
      <c r="ETB23" s="29">
        <f>'REG y VAL POE - AESR - ESR'!AD1791</f>
        <v>0</v>
      </c>
      <c r="ETC23" s="29">
        <f>'REG y VAL POE - AESR - ESR'!AE1791</f>
        <v>0</v>
      </c>
      <c r="ETD23" s="29">
        <f>'REG y VAL POE - AESR - ESR'!AF1791</f>
        <v>0</v>
      </c>
      <c r="ETE23" s="29">
        <f>'REG y VAL POE - AESR - ESR'!AG1791</f>
        <v>0</v>
      </c>
      <c r="ETF23" s="29">
        <f>'REG y VAL POE - AESR - ESR'!AH1791</f>
        <v>0</v>
      </c>
      <c r="ETG23" s="29">
        <f>'REG y VAL POE - AESR - ESR'!AI1791</f>
        <v>0</v>
      </c>
      <c r="ETH23" s="29">
        <f>'REG y VAL POE - AESR - ESR'!AJ1791</f>
        <v>0</v>
      </c>
      <c r="ETI23" s="29">
        <f>'REG y VAL POE - AESR - ESR'!AK1791</f>
        <v>0</v>
      </c>
      <c r="ETJ23" s="29">
        <f>'REG y VAL POE - AESR - ESR'!AL1791</f>
        <v>0</v>
      </c>
      <c r="ETK23" s="29">
        <f>'REG y VAL POE - AESR - ESR'!AM1791</f>
        <v>0</v>
      </c>
      <c r="ETL23" s="29">
        <f>'REG y VAL POE - AESR - ESR'!AN1791</f>
        <v>0</v>
      </c>
      <c r="ETM23" s="29">
        <f>'REG y VAL POE - AESR - ESR'!AO1791</f>
        <v>0</v>
      </c>
      <c r="ETN23" s="29">
        <f>'REG y VAL POE - AESR - ESR'!AP1791</f>
        <v>0</v>
      </c>
      <c r="ETO23" s="29">
        <f>'REG y VAL POE - AESR - ESR'!AQ1791</f>
        <v>0</v>
      </c>
      <c r="ETP23" s="29">
        <f>'REG y VAL POE - AESR - ESR'!AR1791</f>
        <v>0</v>
      </c>
      <c r="ETQ23" s="29">
        <f>'REG y VAL POE - AESR - ESR'!AS1791</f>
        <v>0</v>
      </c>
      <c r="ETR23" s="30">
        <f>'REG y VAL POE - AESR - ESR'!B1792</f>
        <v>0</v>
      </c>
      <c r="ETS23" s="28">
        <f>'REG y VAL POE - AESR - ESR'!C1792</f>
        <v>0</v>
      </c>
      <c r="ETT23" s="29">
        <f>'REG y VAL POE - AESR - ESR'!D1792</f>
        <v>0</v>
      </c>
      <c r="ETU23" s="29">
        <f>'REG y VAL POE - AESR - ESR'!E1792</f>
        <v>0</v>
      </c>
      <c r="ETV23" s="29">
        <f>'REG y VAL POE - AESR - ESR'!F1792</f>
        <v>0</v>
      </c>
      <c r="ETW23" s="29">
        <f>'REG y VAL POE - AESR - ESR'!G1792</f>
        <v>0</v>
      </c>
      <c r="ETX23" s="29">
        <f>'REG y VAL POE - AESR - ESR'!H1792</f>
        <v>0</v>
      </c>
      <c r="ETY23" s="28">
        <f>'REG y VAL POE - AESR - ESR'!I1792</f>
        <v>0</v>
      </c>
      <c r="ETZ23" s="29">
        <f>'REG y VAL POE - AESR - ESR'!J1792</f>
        <v>0</v>
      </c>
      <c r="EUA23" s="29">
        <f>'REG y VAL POE - AESR - ESR'!K1792</f>
        <v>0</v>
      </c>
      <c r="EUB23" s="28">
        <f>'REG y VAL POE - AESR - ESR'!L1792</f>
        <v>0</v>
      </c>
      <c r="EUC23" s="29">
        <f>'REG y VAL POE - AESR - ESR'!M1792</f>
        <v>0</v>
      </c>
      <c r="EUD23" s="30">
        <f>'REG y VAL POE - AESR - ESR'!N1792</f>
        <v>0</v>
      </c>
      <c r="EUE23" s="28">
        <f>'REG y VAL POE - AESR - ESR'!O1792</f>
        <v>0</v>
      </c>
      <c r="EUF23" s="29">
        <f>'REG y VAL POE - AESR - ESR'!P1792</f>
        <v>0</v>
      </c>
      <c r="EUG23" s="29">
        <f>'REG y VAL POE - AESR - ESR'!Q1792</f>
        <v>0</v>
      </c>
      <c r="EUH23" s="29">
        <f>'REG y VAL POE - AESR - ESR'!R1792</f>
        <v>0</v>
      </c>
      <c r="EUI23" s="28">
        <f>'REG y VAL POE - AESR - ESR'!S1792</f>
        <v>0</v>
      </c>
      <c r="EUJ23" s="29">
        <f>'REG y VAL POE - AESR - ESR'!T1792</f>
        <v>0</v>
      </c>
      <c r="EUK23" s="29">
        <f>'REG y VAL POE - AESR - ESR'!U1792</f>
        <v>0</v>
      </c>
      <c r="EUL23" s="28">
        <f>'REG y VAL POE - AESR - ESR'!V1792</f>
        <v>0</v>
      </c>
      <c r="EUM23" s="29">
        <f>'REG y VAL POE - AESR - ESR'!W1792</f>
        <v>0</v>
      </c>
      <c r="EUN23" s="30">
        <f>'REG y VAL POE - AESR - ESR'!X1792</f>
        <v>0</v>
      </c>
      <c r="EUO23" s="28">
        <f>'REG y VAL POE - AESR - ESR'!Y1792</f>
        <v>0</v>
      </c>
      <c r="EUP23" s="29">
        <f>'REG y VAL POE - AESR - ESR'!Z1792</f>
        <v>0</v>
      </c>
      <c r="EUQ23" s="29">
        <f>'REG y VAL POE - AESR - ESR'!AA1792</f>
        <v>0</v>
      </c>
      <c r="EUR23" s="29">
        <f>'REG y VAL POE - AESR - ESR'!AB1792</f>
        <v>0</v>
      </c>
      <c r="EUS23" s="28">
        <f>'REG y VAL POE - AESR - ESR'!AC1792</f>
        <v>0</v>
      </c>
      <c r="EUT23" s="29">
        <f>'REG y VAL POE - AESR - ESR'!AD1792</f>
        <v>0</v>
      </c>
      <c r="EUU23" s="29">
        <f>'REG y VAL POE - AESR - ESR'!AE1792</f>
        <v>0</v>
      </c>
      <c r="EUV23" s="28">
        <f>'REG y VAL POE - AESR - ESR'!AF1792</f>
        <v>0</v>
      </c>
      <c r="EUW23" s="29">
        <f>'REG y VAL POE - AESR - ESR'!AG1792</f>
        <v>0</v>
      </c>
      <c r="EUX23" s="30">
        <f>'REG y VAL POE - AESR - ESR'!AH1792</f>
        <v>0</v>
      </c>
      <c r="EUY23" s="28">
        <f>'REG y VAL POE - AESR - ESR'!AI1792</f>
        <v>0</v>
      </c>
      <c r="EUZ23" s="29">
        <f>'REG y VAL POE - AESR - ESR'!AJ1792</f>
        <v>0</v>
      </c>
      <c r="EVA23" s="29">
        <f>'REG y VAL POE - AESR - ESR'!AK1792</f>
        <v>0</v>
      </c>
      <c r="EVB23" s="29">
        <f>'REG y VAL POE - AESR - ESR'!AL1792</f>
        <v>0</v>
      </c>
      <c r="EVC23" s="28">
        <f>'REG y VAL POE - AESR - ESR'!AM1792</f>
        <v>0</v>
      </c>
      <c r="EVD23" s="29">
        <f>'REG y VAL POE - AESR - ESR'!AN1792</f>
        <v>0</v>
      </c>
      <c r="EVE23" s="29">
        <f>'REG y VAL POE - AESR - ESR'!AO1792</f>
        <v>0</v>
      </c>
      <c r="EVF23" s="28">
        <f>'REG y VAL POE - AESR - ESR'!AP1792</f>
        <v>0</v>
      </c>
      <c r="EVG23" s="29">
        <f>'REG y VAL POE - AESR - ESR'!AQ1792</f>
        <v>0</v>
      </c>
      <c r="EVH23" s="30">
        <f>'REG y VAL POE - AESR - ESR'!AR1792</f>
        <v>0</v>
      </c>
      <c r="EVI23" s="28">
        <f>'REG y VAL POE - AESR - ESR'!AS1792</f>
        <v>0</v>
      </c>
    </row>
    <row r="24" spans="1:3961" x14ac:dyDescent="0.3">
      <c r="A24" s="424" t="s">
        <v>175</v>
      </c>
      <c r="B24" s="58" t="str">
        <f>'REG y VAL POE - AESR - ESR'!B1794</f>
        <v>Bocanegra Cervantes Carlos Alberto</v>
      </c>
      <c r="C24" s="57" t="str">
        <f>'REG y VAL POE - AESR - ESR'!C1794</f>
        <v>POE</v>
      </c>
      <c r="D24" s="56">
        <f>'REG y VAL POE - AESR - ESR'!D1794</f>
        <v>23180324</v>
      </c>
      <c r="E24" s="57">
        <f>'REG y VAL POE - AESR - ESR'!E1794</f>
        <v>0</v>
      </c>
      <c r="F24" s="56">
        <f>'REG y VAL POE - AESR - ESR'!F1794</f>
        <v>0</v>
      </c>
      <c r="G24" s="59">
        <f>'REG y VAL POE - AESR - ESR'!G1794</f>
        <v>45008</v>
      </c>
      <c r="H24" s="59" t="str">
        <f>'REG y VAL POE - AESR - ESR'!H1794</f>
        <v>VENCIDA</v>
      </c>
      <c r="I24" s="57" t="str">
        <f>'REG y VAL POE - AESR - ESR'!I1794</f>
        <v>SI</v>
      </c>
      <c r="J24" s="57" t="str">
        <f>'REG y VAL POE - AESR - ESR'!J1794</f>
        <v>Vencida</v>
      </c>
      <c r="K24" s="57" t="str">
        <f>'REG y VAL POE - AESR - ESR'!K1794</f>
        <v>SI</v>
      </c>
      <c r="L24" s="57" t="str">
        <f>'REG y VAL POE - AESR - ESR'!L1794</f>
        <v>Vencida</v>
      </c>
      <c r="M24" s="57" t="str">
        <f>'REG y VAL POE - AESR - ESR'!M1794</f>
        <v>NO</v>
      </c>
      <c r="N24" s="57" t="str">
        <f>'REG y VAL POE - AESR - ESR'!N1794</f>
        <v>Apendice ByC no llenos-Histotial aparte</v>
      </c>
      <c r="O24" s="57" t="str">
        <f>'REG y VAL POE - AESR - ESR'!O1794</f>
        <v>SI</v>
      </c>
      <c r="P24" s="57" t="str">
        <f>'REG y VAL POE - AESR - ESR'!P1794</f>
        <v>SI</v>
      </c>
      <c r="Q24" s="57" t="str">
        <f>'REG y VAL POE - AESR - ESR'!Q1794</f>
        <v>SI</v>
      </c>
      <c r="R24" s="57" t="str">
        <f>'REG y VAL POE - AESR - ESR'!R1794</f>
        <v>SI</v>
      </c>
      <c r="S24" s="57" t="str">
        <f>'REG y VAL POE - AESR - ESR'!S1794</f>
        <v>SI</v>
      </c>
      <c r="T24" s="57" t="str">
        <f>'REG y VAL POE - AESR - ESR'!T1794</f>
        <v>NO</v>
      </c>
      <c r="U24" s="57" t="str">
        <f>'REG y VAL POE - AESR - ESR'!U1794</f>
        <v>SI</v>
      </c>
      <c r="V24" s="57" t="str">
        <f>'REG y VAL POE - AESR - ESR'!V1794</f>
        <v>SI</v>
      </c>
      <c r="W24" s="57">
        <f>'REG y VAL POE - AESR - ESR'!W1794</f>
        <v>0</v>
      </c>
      <c r="X24" s="57">
        <f>'REG y VAL POE - AESR - ESR'!X1794</f>
        <v>0</v>
      </c>
      <c r="Y24" s="57">
        <f>'REG y VAL POE - AESR - ESR'!Y1794</f>
        <v>0</v>
      </c>
      <c r="Z24" s="57" t="str">
        <f>'REG y VAL POE - AESR - ESR'!Z1794</f>
        <v>SI</v>
      </c>
      <c r="AA24" s="57">
        <f>'REG y VAL POE - AESR - ESR'!AA1794</f>
        <v>0</v>
      </c>
      <c r="AB24" s="57">
        <f>'REG y VAL POE - AESR - ESR'!AB1794</f>
        <v>0</v>
      </c>
      <c r="AC24" s="57">
        <f>'REG y VAL POE - AESR - ESR'!AC1794</f>
        <v>0</v>
      </c>
      <c r="AD24" s="57">
        <f>'REG y VAL POE - AESR - ESR'!AD1794</f>
        <v>0</v>
      </c>
      <c r="AE24" s="57">
        <f>'REG y VAL POE - AESR - ESR'!AE1794</f>
        <v>0</v>
      </c>
      <c r="AF24" s="57">
        <f>'REG y VAL POE - AESR - ESR'!AF1794</f>
        <v>0</v>
      </c>
      <c r="AG24" s="57" t="str">
        <f>'REG y VAL POE - AESR - ESR'!AG1794</f>
        <v>SI</v>
      </c>
      <c r="AH24" s="57">
        <f>'REG y VAL POE - AESR - ESR'!AH1794</f>
        <v>0</v>
      </c>
      <c r="AI24" s="57">
        <f>'REG y VAL POE - AESR - ESR'!AI1794</f>
        <v>0</v>
      </c>
      <c r="AJ24" s="57">
        <f>'REG y VAL POE - AESR - ESR'!AJ1794</f>
        <v>0</v>
      </c>
      <c r="AK24" s="57">
        <f>'REG y VAL POE - AESR - ESR'!AK1794</f>
        <v>0</v>
      </c>
      <c r="AL24" s="57" t="str">
        <f>'REG y VAL POE - AESR - ESR'!AL1794</f>
        <v>SI</v>
      </c>
      <c r="AM24" s="57" t="str">
        <f>'REG y VAL POE - AESR - ESR'!AM1794</f>
        <v>SI</v>
      </c>
      <c r="AN24" s="57">
        <f>'REG y VAL POE - AESR - ESR'!AN1794</f>
        <v>0</v>
      </c>
      <c r="AO24" s="57">
        <f>'REG y VAL POE - AESR - ESR'!AO1794</f>
        <v>0</v>
      </c>
      <c r="AP24" s="57">
        <f>'REG y VAL POE - AESR - ESR'!AP1794</f>
        <v>0</v>
      </c>
      <c r="AQ24" s="57">
        <f>'REG y VAL POE - AESR - ESR'!AQ1794</f>
        <v>0</v>
      </c>
      <c r="AR24" s="57">
        <f>'REG y VAL POE - AESR - ESR'!AR1794</f>
        <v>0</v>
      </c>
      <c r="AS24" s="57">
        <f>'REG y VAL POE - AESR - ESR'!AS1794</f>
        <v>0</v>
      </c>
      <c r="AT24" s="58" t="str">
        <f>'REG y VAL POE - AESR - ESR'!B1795</f>
        <v xml:space="preserve">Cordoba Guzman Lizet Yazmin </v>
      </c>
      <c r="AU24" s="57" t="str">
        <f>'REG y VAL POE - AESR - ESR'!C1795</f>
        <v>Sin Registro</v>
      </c>
      <c r="AV24" s="56">
        <f>'REG y VAL POE - AESR - ESR'!D1795</f>
        <v>23188466</v>
      </c>
      <c r="AW24" s="57">
        <f>'REG y VAL POE - AESR - ESR'!E1795</f>
        <v>0</v>
      </c>
      <c r="AX24" s="56">
        <f>'REG y VAL POE - AESR - ESR'!F1795</f>
        <v>0</v>
      </c>
      <c r="AY24" s="59">
        <f>'REG y VAL POE - AESR - ESR'!G1795</f>
        <v>0</v>
      </c>
      <c r="AZ24" s="59">
        <f>'REG y VAL POE - AESR - ESR'!H1795</f>
        <v>0</v>
      </c>
      <c r="BA24" s="57">
        <f>'REG y VAL POE - AESR - ESR'!I1795</f>
        <v>0</v>
      </c>
      <c r="BB24" s="57">
        <f>'REG y VAL POE - AESR - ESR'!J1795</f>
        <v>0</v>
      </c>
      <c r="BC24" s="57">
        <f>'REG y VAL POE - AESR - ESR'!K1795</f>
        <v>0</v>
      </c>
      <c r="BD24" s="57">
        <f>'REG y VAL POE - AESR - ESR'!L1795</f>
        <v>0</v>
      </c>
      <c r="BE24" s="57">
        <f>'REG y VAL POE - AESR - ESR'!M1795</f>
        <v>0</v>
      </c>
      <c r="BF24" s="29">
        <f>'REG y VAL POE - AESR - ESR'!N1795</f>
        <v>0</v>
      </c>
      <c r="BG24" s="57">
        <f>'REG y VAL POE - AESR - ESR'!O1795</f>
        <v>0</v>
      </c>
      <c r="BH24" s="57">
        <f>'REG y VAL POE - AESR - ESR'!P1795</f>
        <v>0</v>
      </c>
      <c r="BI24" s="57">
        <f>'REG y VAL POE - AESR - ESR'!Q1795</f>
        <v>0</v>
      </c>
      <c r="BJ24" s="57">
        <f>'REG y VAL POE - AESR - ESR'!R1795</f>
        <v>0</v>
      </c>
      <c r="BK24" s="57">
        <f>'REG y VAL POE - AESR - ESR'!S1795</f>
        <v>0</v>
      </c>
      <c r="BL24" s="57">
        <f>'REG y VAL POE - AESR - ESR'!T1795</f>
        <v>0</v>
      </c>
      <c r="BM24" s="57">
        <f>'REG y VAL POE - AESR - ESR'!U1795</f>
        <v>0</v>
      </c>
      <c r="BN24" s="57">
        <f>'REG y VAL POE - AESR - ESR'!V1795</f>
        <v>0</v>
      </c>
      <c r="BO24" s="57">
        <f>'REG y VAL POE - AESR - ESR'!W1795</f>
        <v>0</v>
      </c>
      <c r="BP24" s="57">
        <f>'REG y VAL POE - AESR - ESR'!X1795</f>
        <v>0</v>
      </c>
      <c r="BQ24" s="57">
        <f>'REG y VAL POE - AESR - ESR'!Y1795</f>
        <v>0</v>
      </c>
      <c r="BR24" s="57">
        <f>'REG y VAL POE - AESR - ESR'!Z1795</f>
        <v>0</v>
      </c>
      <c r="BS24" s="57">
        <f>'REG y VAL POE - AESR - ESR'!AA1795</f>
        <v>0</v>
      </c>
      <c r="BT24" s="57">
        <f>'REG y VAL POE - AESR - ESR'!AB1795</f>
        <v>0</v>
      </c>
      <c r="BU24" s="57">
        <f>'REG y VAL POE - AESR - ESR'!AC1795</f>
        <v>0</v>
      </c>
      <c r="BV24" s="57">
        <f>'REG y VAL POE - AESR - ESR'!AD1795</f>
        <v>0</v>
      </c>
      <c r="BW24" s="57">
        <f>'REG y VAL POE - AESR - ESR'!AE1795</f>
        <v>0</v>
      </c>
      <c r="BX24" s="57">
        <f>'REG y VAL POE - AESR - ESR'!AF1795</f>
        <v>0</v>
      </c>
      <c r="BY24" s="57">
        <f>'REG y VAL POE - AESR - ESR'!AG1795</f>
        <v>0</v>
      </c>
      <c r="BZ24" s="57">
        <f>'REG y VAL POE - AESR - ESR'!AH1795</f>
        <v>0</v>
      </c>
      <c r="CA24" s="57">
        <f>'REG y VAL POE - AESR - ESR'!AI1795</f>
        <v>0</v>
      </c>
      <c r="CB24" s="57">
        <f>'REG y VAL POE - AESR - ESR'!AJ1795</f>
        <v>0</v>
      </c>
      <c r="CC24" s="57">
        <f>'REG y VAL POE - AESR - ESR'!AK1795</f>
        <v>0</v>
      </c>
      <c r="CD24" s="57">
        <f>'REG y VAL POE - AESR - ESR'!AL1795</f>
        <v>0</v>
      </c>
      <c r="CE24" s="57">
        <f>'REG y VAL POE - AESR - ESR'!AM1795</f>
        <v>0</v>
      </c>
      <c r="CF24" s="57">
        <f>'REG y VAL POE - AESR - ESR'!AN1795</f>
        <v>0</v>
      </c>
      <c r="CG24" s="57">
        <f>'REG y VAL POE - AESR - ESR'!AO1795</f>
        <v>0</v>
      </c>
      <c r="CH24" s="57">
        <f>'REG y VAL POE - AESR - ESR'!AP1795</f>
        <v>0</v>
      </c>
      <c r="CI24" s="57">
        <f>'REG y VAL POE - AESR - ESR'!AQ1795</f>
        <v>0</v>
      </c>
      <c r="CJ24" s="57">
        <f>'REG y VAL POE - AESR - ESR'!AR1795</f>
        <v>0</v>
      </c>
      <c r="CK24" s="57">
        <f>'REG y VAL POE - AESR - ESR'!AS1795</f>
        <v>0</v>
      </c>
      <c r="CL24" s="58" t="str">
        <f>'REG y VAL POE - AESR - ESR'!B1796</f>
        <v>Delgado Ibarra Gerardo</v>
      </c>
      <c r="CM24" s="57" t="str">
        <f>'REG y VAL POE - AESR - ESR'!C1796</f>
        <v>POE</v>
      </c>
      <c r="CN24" s="56">
        <f>'REG y VAL POE - AESR - ESR'!D1796</f>
        <v>23179749</v>
      </c>
      <c r="CO24" s="57">
        <f>'REG y VAL POE - AESR - ESR'!E1796</f>
        <v>0</v>
      </c>
      <c r="CP24" s="56">
        <f>'REG y VAL POE - AESR - ESR'!F1796</f>
        <v>0</v>
      </c>
      <c r="CQ24" s="59">
        <f>'REG y VAL POE - AESR - ESR'!G1796</f>
        <v>45328</v>
      </c>
      <c r="CR24" s="59">
        <f>'REG y VAL POE - AESR - ESR'!H1796</f>
        <v>45693</v>
      </c>
      <c r="CS24" s="57" t="str">
        <f>'REG y VAL POE - AESR - ESR'!I1796</f>
        <v>SI</v>
      </c>
      <c r="CT24" s="57" t="str">
        <f>'REG y VAL POE - AESR - ESR'!J1796</f>
        <v>Vigente-error en nombre</v>
      </c>
      <c r="CU24" s="57" t="str">
        <f>'REG y VAL POE - AESR - ESR'!K1796</f>
        <v>SI</v>
      </c>
      <c r="CV24" s="57" t="str">
        <f>'REG y VAL POE - AESR - ESR'!L1796</f>
        <v>Vigente-error en nombre</v>
      </c>
      <c r="CW24" s="57" t="str">
        <f>'REG y VAL POE - AESR - ESR'!M1796</f>
        <v>NO</v>
      </c>
      <c r="CX24" s="57" t="str">
        <f>'REG y VAL POE - AESR - ESR'!N1796</f>
        <v>Apendice ByC no llenos-c/historial aparte-falta firma RL</v>
      </c>
      <c r="CY24" s="57" t="str">
        <f>'REG y VAL POE - AESR - ESR'!O1796</f>
        <v>SI</v>
      </c>
      <c r="CZ24" s="57" t="str">
        <f>'REG y VAL POE - AESR - ESR'!P1796</f>
        <v>SI</v>
      </c>
      <c r="DA24" s="57" t="str">
        <f>'REG y VAL POE - AESR - ESR'!Q1796</f>
        <v>SI</v>
      </c>
      <c r="DB24" s="57" t="str">
        <f>'REG y VAL POE - AESR - ESR'!R1796</f>
        <v>SI</v>
      </c>
      <c r="DC24" s="57" t="str">
        <f>'REG y VAL POE - AESR - ESR'!S1796</f>
        <v>SI</v>
      </c>
      <c r="DD24" s="57" t="str">
        <f>'REG y VAL POE - AESR - ESR'!T1796</f>
        <v>SI</v>
      </c>
      <c r="DE24" s="57" t="str">
        <f>'REG y VAL POE - AESR - ESR'!U1796</f>
        <v>SI</v>
      </c>
      <c r="DF24" s="57" t="str">
        <f>'REG y VAL POE - AESR - ESR'!V1796</f>
        <v>SI</v>
      </c>
      <c r="DG24" s="57">
        <f>'REG y VAL POE - AESR - ESR'!W1796</f>
        <v>0</v>
      </c>
      <c r="DH24" s="57">
        <f>'REG y VAL POE - AESR - ESR'!X1796</f>
        <v>0</v>
      </c>
      <c r="DI24" s="57">
        <f>'REG y VAL POE - AESR - ESR'!Y1796</f>
        <v>0</v>
      </c>
      <c r="DJ24" s="57" t="str">
        <f>'REG y VAL POE - AESR - ESR'!Z1796</f>
        <v>SI</v>
      </c>
      <c r="DK24" s="57">
        <f>'REG y VAL POE - AESR - ESR'!AA1796</f>
        <v>0</v>
      </c>
      <c r="DL24" s="57">
        <f>'REG y VAL POE - AESR - ESR'!AB1796</f>
        <v>0</v>
      </c>
      <c r="DM24" s="57">
        <f>'REG y VAL POE - AESR - ESR'!AC1796</f>
        <v>0</v>
      </c>
      <c r="DN24" s="57">
        <f>'REG y VAL POE - AESR - ESR'!AD1796</f>
        <v>0</v>
      </c>
      <c r="DO24" s="57">
        <f>'REG y VAL POE - AESR - ESR'!AE1796</f>
        <v>0</v>
      </c>
      <c r="DP24" s="57">
        <f>'REG y VAL POE - AESR - ESR'!AF1796</f>
        <v>0</v>
      </c>
      <c r="DQ24" s="57">
        <f>'REG y VAL POE - AESR - ESR'!AG1796</f>
        <v>0</v>
      </c>
      <c r="DR24" s="57">
        <f>'REG y VAL POE - AESR - ESR'!AH1796</f>
        <v>0</v>
      </c>
      <c r="DS24" s="57">
        <f>'REG y VAL POE - AESR - ESR'!AI1796</f>
        <v>0</v>
      </c>
      <c r="DT24" s="57">
        <f>'REG y VAL POE - AESR - ESR'!AJ1796</f>
        <v>0</v>
      </c>
      <c r="DU24" s="57">
        <f>'REG y VAL POE - AESR - ESR'!AK1796</f>
        <v>0</v>
      </c>
      <c r="DV24" s="57" t="str">
        <f>'REG y VAL POE - AESR - ESR'!AL1796</f>
        <v>SI</v>
      </c>
      <c r="DW24" s="57" t="str">
        <f>'REG y VAL POE - AESR - ESR'!AM1796</f>
        <v>SI</v>
      </c>
      <c r="DX24" s="57">
        <f>'REG y VAL POE - AESR - ESR'!AN1796</f>
        <v>0</v>
      </c>
      <c r="DY24" s="57">
        <f>'REG y VAL POE - AESR - ESR'!AO1796</f>
        <v>0</v>
      </c>
      <c r="DZ24" s="57">
        <f>'REG y VAL POE - AESR - ESR'!AP1796</f>
        <v>0</v>
      </c>
      <c r="EA24" s="57">
        <f>'REG y VAL POE - AESR - ESR'!AQ1796</f>
        <v>0</v>
      </c>
      <c r="EB24" s="57" t="str">
        <f>'REG y VAL POE - AESR - ESR'!AR1796</f>
        <v>THSCAN</v>
      </c>
      <c r="EC24" s="57">
        <f>'REG y VAL POE - AESR - ESR'!AS1796</f>
        <v>0</v>
      </c>
      <c r="ED24" s="394" t="str">
        <f>'REG y VAL POE - AESR - ESR'!B1797</f>
        <v>Lara Baez Jesus Javier</v>
      </c>
      <c r="EE24" s="57" t="str">
        <f>'REG y VAL POE - AESR - ESR'!C1797</f>
        <v>POE</v>
      </c>
      <c r="EF24" s="56">
        <f>'REG y VAL POE - AESR - ESR'!D1797</f>
        <v>23195980</v>
      </c>
      <c r="EG24" s="57">
        <f>'REG y VAL POE - AESR - ESR'!E1797</f>
        <v>0</v>
      </c>
      <c r="EH24" s="56">
        <f>'REG y VAL POE - AESR - ESR'!F1797</f>
        <v>0</v>
      </c>
      <c r="EI24" s="59">
        <f>'REG y VAL POE - AESR - ESR'!G1797</f>
        <v>45006</v>
      </c>
      <c r="EJ24" s="59" t="str">
        <f>'REG y VAL POE - AESR - ESR'!H1797</f>
        <v>VENCIDA</v>
      </c>
      <c r="EK24" s="57" t="str">
        <f>'REG y VAL POE - AESR - ESR'!I1797</f>
        <v>SI</v>
      </c>
      <c r="EL24" s="57" t="str">
        <f>'REG y VAL POE - AESR - ESR'!J1797</f>
        <v>Vencida</v>
      </c>
      <c r="EM24" s="57" t="str">
        <f>'REG y VAL POE - AESR - ESR'!K1797</f>
        <v>SI</v>
      </c>
      <c r="EN24" s="57" t="str">
        <f>'REG y VAL POE - AESR - ESR'!L1797</f>
        <v>Vencida</v>
      </c>
      <c r="EO24" s="57" t="str">
        <f>'REG y VAL POE - AESR - ESR'!M1797</f>
        <v>NO</v>
      </c>
      <c r="EP24" s="57" t="str">
        <f>'REG y VAL POE - AESR - ESR'!N1797</f>
        <v>Apendice ByC no llenos-HISTORIAL APARTE -falta firma RL</v>
      </c>
      <c r="EQ24" s="57">
        <f>'REG y VAL POE - AESR - ESR'!O1797</f>
        <v>0</v>
      </c>
      <c r="ER24" s="57" t="str">
        <f>'REG y VAL POE - AESR - ESR'!P1797</f>
        <v>SI</v>
      </c>
      <c r="ES24" s="57" t="str">
        <f>'REG y VAL POE - AESR - ESR'!Q1797</f>
        <v>SI</v>
      </c>
      <c r="ET24" s="57" t="str">
        <f>'REG y VAL POE - AESR - ESR'!R1797</f>
        <v>SI</v>
      </c>
      <c r="EU24" s="57" t="str">
        <f>'REG y VAL POE - AESR - ESR'!S1797</f>
        <v>SI</v>
      </c>
      <c r="EV24" s="57" t="str">
        <f>'REG y VAL POE - AESR - ESR'!T1797</f>
        <v>SI</v>
      </c>
      <c r="EW24" s="57" t="str">
        <f>'REG y VAL POE - AESR - ESR'!U1797</f>
        <v>SI</v>
      </c>
      <c r="EX24" s="57" t="str">
        <f>'REG y VAL POE - AESR - ESR'!V1797</f>
        <v>SI</v>
      </c>
      <c r="EY24" s="57">
        <f>'REG y VAL POE - AESR - ESR'!W1797</f>
        <v>0</v>
      </c>
      <c r="EZ24" s="57">
        <f>'REG y VAL POE - AESR - ESR'!X1797</f>
        <v>0</v>
      </c>
      <c r="FA24" s="57">
        <f>'REG y VAL POE - AESR - ESR'!Y1797</f>
        <v>0</v>
      </c>
      <c r="FB24" s="57">
        <f>'REG y VAL POE - AESR - ESR'!Z1797</f>
        <v>0</v>
      </c>
      <c r="FC24" s="57">
        <f>'REG y VAL POE - AESR - ESR'!AA1797</f>
        <v>0</v>
      </c>
      <c r="FD24" s="57">
        <f>'REG y VAL POE - AESR - ESR'!AB1797</f>
        <v>0</v>
      </c>
      <c r="FE24" s="57">
        <f>'REG y VAL POE - AESR - ESR'!AC1797</f>
        <v>0</v>
      </c>
      <c r="FF24" s="57">
        <f>'REG y VAL POE - AESR - ESR'!AD1797</f>
        <v>0</v>
      </c>
      <c r="FG24" s="57">
        <f>'REG y VAL POE - AESR - ESR'!AE1797</f>
        <v>0</v>
      </c>
      <c r="FH24" s="57" t="str">
        <f>'REG y VAL POE - AESR - ESR'!AF1797</f>
        <v>SI</v>
      </c>
      <c r="FI24" s="57">
        <f>'REG y VAL POE - AESR - ESR'!AG1797</f>
        <v>0</v>
      </c>
      <c r="FJ24" s="57">
        <f>'REG y VAL POE - AESR - ESR'!AH1797</f>
        <v>0</v>
      </c>
      <c r="FK24" s="57">
        <f>'REG y VAL POE - AESR - ESR'!AI1797</f>
        <v>0</v>
      </c>
      <c r="FL24" s="57">
        <f>'REG y VAL POE - AESR - ESR'!AJ1797</f>
        <v>0</v>
      </c>
      <c r="FM24" s="57">
        <f>'REG y VAL POE - AESR - ESR'!AK1797</f>
        <v>0</v>
      </c>
      <c r="FN24" s="57">
        <f>'REG y VAL POE - AESR - ESR'!AL1797</f>
        <v>0</v>
      </c>
      <c r="FO24" s="57" t="str">
        <f>'REG y VAL POE - AESR - ESR'!AM1797</f>
        <v>SI</v>
      </c>
      <c r="FP24" s="57">
        <f>'REG y VAL POE - AESR - ESR'!AN1797</f>
        <v>0</v>
      </c>
      <c r="FQ24" s="57">
        <f>'REG y VAL POE - AESR - ESR'!AO1797</f>
        <v>0</v>
      </c>
      <c r="FR24" s="57">
        <f>'REG y VAL POE - AESR - ESR'!AP1797</f>
        <v>0</v>
      </c>
      <c r="FS24" s="57">
        <f>'REG y VAL POE - AESR - ESR'!AQ1797</f>
        <v>0</v>
      </c>
      <c r="FT24" s="57" t="str">
        <f>'REG y VAL POE - AESR - ESR'!AR1797</f>
        <v>THSCAN</v>
      </c>
      <c r="FU24" s="57">
        <f>'REG y VAL POE - AESR - ESR'!AS1797</f>
        <v>0</v>
      </c>
      <c r="FV24" s="58" t="str">
        <f>'REG y VAL POE - AESR - ESR'!B1798</f>
        <v>Murillo Garza Julio Jaime</v>
      </c>
      <c r="FW24" s="57" t="str">
        <f>'REG y VAL POE - AESR - ESR'!C1798</f>
        <v>POE</v>
      </c>
      <c r="FX24" s="56">
        <f>'REG y VAL POE - AESR - ESR'!D1798</f>
        <v>23060059</v>
      </c>
      <c r="FY24" s="57">
        <f>'REG y VAL POE - AESR - ESR'!E1798</f>
        <v>0</v>
      </c>
      <c r="FZ24" s="56">
        <f>'REG y VAL POE - AESR - ESR'!F1798</f>
        <v>0</v>
      </c>
      <c r="GA24" s="59">
        <f>'REG y VAL POE - AESR - ESR'!G1798</f>
        <v>45322</v>
      </c>
      <c r="GB24" s="59">
        <f>'REG y VAL POE - AESR - ESR'!H1798</f>
        <v>45687</v>
      </c>
      <c r="GC24" s="57" t="str">
        <f>'REG y VAL POE - AESR - ESR'!I1798</f>
        <v>SI</v>
      </c>
      <c r="GD24" s="57" t="str">
        <f>'REG y VAL POE - AESR - ESR'!J1798</f>
        <v>Vigente</v>
      </c>
      <c r="GE24" s="57" t="str">
        <f>'REG y VAL POE - AESR - ESR'!K1798</f>
        <v>SI</v>
      </c>
      <c r="GF24" s="57" t="str">
        <f>'REG y VAL POE - AESR - ESR'!L1798</f>
        <v>Vigente</v>
      </c>
      <c r="GG24" s="57" t="str">
        <f>'REG y VAL POE - AESR - ESR'!M1798</f>
        <v>SI</v>
      </c>
      <c r="GH24" s="57" t="str">
        <f>'REG y VAL POE - AESR - ESR'!N1798</f>
        <v>Apendice ByC no llenos-c/historial aparte-falta firma RL</v>
      </c>
      <c r="GI24" s="57" t="str">
        <f>'REG y VAL POE - AESR - ESR'!O1798</f>
        <v>SI</v>
      </c>
      <c r="GJ24" s="57">
        <f>'REG y VAL POE - AESR - ESR'!P1798</f>
        <v>0</v>
      </c>
      <c r="GK24" s="57">
        <f>'REG y VAL POE - AESR - ESR'!Q1798</f>
        <v>0</v>
      </c>
      <c r="GL24" s="57" t="str">
        <f>'REG y VAL POE - AESR - ESR'!R1798</f>
        <v>SI</v>
      </c>
      <c r="GM24" s="57" t="str">
        <f>'REG y VAL POE - AESR - ESR'!S1798</f>
        <v>SI</v>
      </c>
      <c r="GN24" s="57" t="str">
        <f>'REG y VAL POE - AESR - ESR'!T1798</f>
        <v>SI</v>
      </c>
      <c r="GO24" s="57" t="str">
        <f>'REG y VAL POE - AESR - ESR'!U1798</f>
        <v>SI</v>
      </c>
      <c r="GP24" s="57" t="str">
        <f>'REG y VAL POE - AESR - ESR'!V1798</f>
        <v>SI</v>
      </c>
      <c r="GQ24" s="57">
        <f>'REG y VAL POE - AESR - ESR'!W1798</f>
        <v>0</v>
      </c>
      <c r="GR24" s="57">
        <f>'REG y VAL POE - AESR - ESR'!X1798</f>
        <v>0</v>
      </c>
      <c r="GS24" s="57">
        <f>'REG y VAL POE - AESR - ESR'!Y1798</f>
        <v>0</v>
      </c>
      <c r="GT24" s="57">
        <f>'REG y VAL POE - AESR - ESR'!Z1798</f>
        <v>0</v>
      </c>
      <c r="GU24" s="57">
        <f>'REG y VAL POE - AESR - ESR'!AA1798</f>
        <v>0</v>
      </c>
      <c r="GV24" s="57">
        <f>'REG y VAL POE - AESR - ESR'!AB1798</f>
        <v>0</v>
      </c>
      <c r="GW24" s="57">
        <f>'REG y VAL POE - AESR - ESR'!AC1798</f>
        <v>0</v>
      </c>
      <c r="GX24" s="57">
        <f>'REG y VAL POE - AESR - ESR'!AD1798</f>
        <v>0</v>
      </c>
      <c r="GY24" s="57">
        <f>'REG y VAL POE - AESR - ESR'!AE1798</f>
        <v>0</v>
      </c>
      <c r="GZ24" s="57">
        <f>'REG y VAL POE - AESR - ESR'!AF1798</f>
        <v>0</v>
      </c>
      <c r="HA24" s="57">
        <f>'REG y VAL POE - AESR - ESR'!AG1798</f>
        <v>0</v>
      </c>
      <c r="HB24" s="57">
        <f>'REG y VAL POE - AESR - ESR'!AH1798</f>
        <v>0</v>
      </c>
      <c r="HC24" s="57">
        <f>'REG y VAL POE - AESR - ESR'!AI1798</f>
        <v>0</v>
      </c>
      <c r="HD24" s="57">
        <f>'REG y VAL POE - AESR - ESR'!AJ1798</f>
        <v>0</v>
      </c>
      <c r="HE24" s="57">
        <f>'REG y VAL POE - AESR - ESR'!AK1798</f>
        <v>0</v>
      </c>
      <c r="HF24" s="57" t="str">
        <f>'REG y VAL POE - AESR - ESR'!AL1798</f>
        <v>SI</v>
      </c>
      <c r="HG24" s="57">
        <f>'REG y VAL POE - AESR - ESR'!AM1798</f>
        <v>0</v>
      </c>
      <c r="HH24" s="57">
        <f>'REG y VAL POE - AESR - ESR'!AN1798</f>
        <v>0</v>
      </c>
      <c r="HI24" s="57">
        <f>'REG y VAL POE - AESR - ESR'!AO1798</f>
        <v>0</v>
      </c>
      <c r="HJ24" s="57">
        <f>'REG y VAL POE - AESR - ESR'!AP1798</f>
        <v>0</v>
      </c>
      <c r="HK24" s="57">
        <f>'REG y VAL POE - AESR - ESR'!AQ1798</f>
        <v>0</v>
      </c>
      <c r="HL24" s="57" t="str">
        <f>'REG y VAL POE - AESR - ESR'!AR1798</f>
        <v>VACIS PORTAL</v>
      </c>
      <c r="HM24" s="57" t="str">
        <f>'REG y VAL POE - AESR - ESR'!AS1798</f>
        <v>THSCAN</v>
      </c>
      <c r="HN24" s="58" t="str">
        <f>'REG y VAL POE - AESR - ESR'!B1799</f>
        <v xml:space="preserve">Ortiz Yanez Miriam </v>
      </c>
      <c r="HO24" s="57" t="str">
        <f>'REG y VAL POE - AESR - ESR'!C1799</f>
        <v>Sin Registro</v>
      </c>
      <c r="HP24" s="56">
        <f>'REG y VAL POE - AESR - ESR'!D1799</f>
        <v>23205448</v>
      </c>
      <c r="HQ24" s="57">
        <f>'REG y VAL POE - AESR - ESR'!E1799</f>
        <v>0</v>
      </c>
      <c r="HR24" s="56">
        <f>'REG y VAL POE - AESR - ESR'!F1799</f>
        <v>0</v>
      </c>
      <c r="HS24" s="59">
        <f>'REG y VAL POE - AESR - ESR'!G1799</f>
        <v>0</v>
      </c>
      <c r="HT24" s="59">
        <f>'REG y VAL POE - AESR - ESR'!H1799</f>
        <v>0</v>
      </c>
      <c r="HU24" s="57">
        <f>'REG y VAL POE - AESR - ESR'!I1799</f>
        <v>0</v>
      </c>
      <c r="HV24" s="57">
        <f>'REG y VAL POE - AESR - ESR'!J1799</f>
        <v>0</v>
      </c>
      <c r="HW24" s="57">
        <f>'REG y VAL POE - AESR - ESR'!K1799</f>
        <v>0</v>
      </c>
      <c r="HX24" s="57">
        <f>'REG y VAL POE - AESR - ESR'!L1799</f>
        <v>0</v>
      </c>
      <c r="HY24" s="57">
        <f>'REG y VAL POE - AESR - ESR'!M1799</f>
        <v>0</v>
      </c>
      <c r="HZ24" s="57">
        <f>'REG y VAL POE - AESR - ESR'!N1799</f>
        <v>0</v>
      </c>
      <c r="IA24" s="57">
        <f>'REG y VAL POE - AESR - ESR'!O1799</f>
        <v>0</v>
      </c>
      <c r="IB24" s="57">
        <f>'REG y VAL POE - AESR - ESR'!P1799</f>
        <v>0</v>
      </c>
      <c r="IC24" s="57">
        <f>'REG y VAL POE - AESR - ESR'!Q1799</f>
        <v>0</v>
      </c>
      <c r="ID24" s="57">
        <f>'REG y VAL POE - AESR - ESR'!R1799</f>
        <v>0</v>
      </c>
      <c r="IE24" s="57">
        <f>'REG y VAL POE - AESR - ESR'!S1799</f>
        <v>0</v>
      </c>
      <c r="IF24" s="57">
        <f>'REG y VAL POE - AESR - ESR'!T1799</f>
        <v>0</v>
      </c>
      <c r="IG24" s="57">
        <f>'REG y VAL POE - AESR - ESR'!U1799</f>
        <v>0</v>
      </c>
      <c r="IH24" s="57">
        <f>'REG y VAL POE - AESR - ESR'!V1799</f>
        <v>0</v>
      </c>
      <c r="II24" s="57">
        <f>'REG y VAL POE - AESR - ESR'!W1799</f>
        <v>0</v>
      </c>
      <c r="IJ24" s="57">
        <f>'REG y VAL POE - AESR - ESR'!X1799</f>
        <v>0</v>
      </c>
      <c r="IK24" s="57">
        <f>'REG y VAL POE - AESR - ESR'!Y1799</f>
        <v>0</v>
      </c>
      <c r="IL24" s="57">
        <f>'REG y VAL POE - AESR - ESR'!Z1799</f>
        <v>0</v>
      </c>
      <c r="IM24" s="57">
        <f>'REG y VAL POE - AESR - ESR'!AA1799</f>
        <v>0</v>
      </c>
      <c r="IN24" s="57">
        <f>'REG y VAL POE - AESR - ESR'!AB1799</f>
        <v>0</v>
      </c>
      <c r="IO24" s="57">
        <f>'REG y VAL POE - AESR - ESR'!AC1799</f>
        <v>0</v>
      </c>
      <c r="IP24" s="57">
        <f>'REG y VAL POE - AESR - ESR'!AD1799</f>
        <v>0</v>
      </c>
      <c r="IQ24" s="57">
        <f>'REG y VAL POE - AESR - ESR'!AE1799</f>
        <v>0</v>
      </c>
      <c r="IR24" s="57">
        <f>'REG y VAL POE - AESR - ESR'!AF1799</f>
        <v>0</v>
      </c>
      <c r="IS24" s="57">
        <f>'REG y VAL POE - AESR - ESR'!AG1799</f>
        <v>0</v>
      </c>
      <c r="IT24" s="57">
        <f>'REG y VAL POE - AESR - ESR'!AH1799</f>
        <v>0</v>
      </c>
      <c r="IU24" s="57">
        <f>'REG y VAL POE - AESR - ESR'!AI1799</f>
        <v>0</v>
      </c>
      <c r="IV24" s="57">
        <f>'REG y VAL POE - AESR - ESR'!AJ1799</f>
        <v>0</v>
      </c>
      <c r="IW24" s="57">
        <f>'REG y VAL POE - AESR - ESR'!AK1799</f>
        <v>0</v>
      </c>
      <c r="IX24" s="57">
        <f>'REG y VAL POE - AESR - ESR'!AL1799</f>
        <v>0</v>
      </c>
      <c r="IY24" s="57">
        <f>'REG y VAL POE - AESR - ESR'!AM1799</f>
        <v>0</v>
      </c>
      <c r="IZ24" s="57">
        <f>'REG y VAL POE - AESR - ESR'!AN1799</f>
        <v>0</v>
      </c>
      <c r="JA24" s="57">
        <f>'REG y VAL POE - AESR - ESR'!AO1799</f>
        <v>0</v>
      </c>
      <c r="JB24" s="57">
        <f>'REG y VAL POE - AESR - ESR'!AP1799</f>
        <v>0</v>
      </c>
      <c r="JC24" s="57">
        <f>'REG y VAL POE - AESR - ESR'!AQ1799</f>
        <v>0</v>
      </c>
      <c r="JD24" s="57">
        <f>'REG y VAL POE - AESR - ESR'!AR1799</f>
        <v>0</v>
      </c>
      <c r="JE24" s="57">
        <f>'REG y VAL POE - AESR - ESR'!AS1799</f>
        <v>0</v>
      </c>
      <c r="JF24" s="58" t="str">
        <f>'REG y VAL POE - AESR - ESR'!B1800</f>
        <v>Ramirez Cruz Juan Carlos</v>
      </c>
      <c r="JG24" s="57" t="str">
        <f>'REG y VAL POE - AESR - ESR'!C1800</f>
        <v>POE</v>
      </c>
      <c r="JH24" s="56">
        <f>'REG y VAL POE - AESR - ESR'!D1800</f>
        <v>23212450</v>
      </c>
      <c r="JI24" s="57">
        <f>'REG y VAL POE - AESR - ESR'!E1800</f>
        <v>0</v>
      </c>
      <c r="JJ24" s="56">
        <f>'REG y VAL POE - AESR - ESR'!F1800</f>
        <v>0</v>
      </c>
      <c r="JK24" s="59">
        <f>'REG y VAL POE - AESR - ESR'!G1800</f>
        <v>44999</v>
      </c>
      <c r="JL24" s="59" t="str">
        <f>'REG y VAL POE - AESR - ESR'!H1800</f>
        <v>VENCIDA</v>
      </c>
      <c r="JM24" s="57" t="str">
        <f>'REG y VAL POE - AESR - ESR'!I1800</f>
        <v>SI</v>
      </c>
      <c r="JN24" s="57" t="str">
        <f>'REG y VAL POE - AESR - ESR'!J1800</f>
        <v>Vencida</v>
      </c>
      <c r="JO24" s="57" t="str">
        <f>'REG y VAL POE - AESR - ESR'!K1800</f>
        <v>SI</v>
      </c>
      <c r="JP24" s="57" t="str">
        <f>'REG y VAL POE - AESR - ESR'!L1800</f>
        <v>Vencida</v>
      </c>
      <c r="JQ24" s="57" t="str">
        <f>'REG y VAL POE - AESR - ESR'!M1800</f>
        <v>NO</v>
      </c>
      <c r="JR24" s="57" t="str">
        <f>'REG y VAL POE - AESR - ESR'!N1800</f>
        <v>Apendice ByC no llenos-HISTORIAL APARTE -falta firma RL</v>
      </c>
      <c r="JS24" s="57" t="str">
        <f>'REG y VAL POE - AESR - ESR'!O1800</f>
        <v>SI</v>
      </c>
      <c r="JT24" s="57">
        <f>'REG y VAL POE - AESR - ESR'!P1800</f>
        <v>0</v>
      </c>
      <c r="JU24" s="57">
        <f>'REG y VAL POE - AESR - ESR'!Q1800</f>
        <v>0</v>
      </c>
      <c r="JV24" s="57" t="str">
        <f>'REG y VAL POE - AESR - ESR'!R1800</f>
        <v>SI</v>
      </c>
      <c r="JW24" s="57" t="str">
        <f>'REG y VAL POE - AESR - ESR'!S1800</f>
        <v>SI</v>
      </c>
      <c r="JX24" s="57" t="str">
        <f>'REG y VAL POE - AESR - ESR'!T1800</f>
        <v>SI</v>
      </c>
      <c r="JY24" s="57" t="str">
        <f>'REG y VAL POE - AESR - ESR'!U1800</f>
        <v>NO</v>
      </c>
      <c r="JZ24" s="57" t="str">
        <f>'REG y VAL POE - AESR - ESR'!V1800</f>
        <v>SI</v>
      </c>
      <c r="KA24" s="57">
        <f>'REG y VAL POE - AESR - ESR'!W1800</f>
        <v>0</v>
      </c>
      <c r="KB24" s="57">
        <f>'REG y VAL POE - AESR - ESR'!X1800</f>
        <v>0</v>
      </c>
      <c r="KC24" s="57">
        <f>'REG y VAL POE - AESR - ESR'!Y1800</f>
        <v>0</v>
      </c>
      <c r="KD24" s="57" t="str">
        <f>'REG y VAL POE - AESR - ESR'!Z1800</f>
        <v>SI</v>
      </c>
      <c r="KE24" s="57">
        <f>'REG y VAL POE - AESR - ESR'!AA1800</f>
        <v>0</v>
      </c>
      <c r="KF24" s="57">
        <f>'REG y VAL POE - AESR - ESR'!AB1800</f>
        <v>0</v>
      </c>
      <c r="KG24" s="57">
        <f>'REG y VAL POE - AESR - ESR'!AC1800</f>
        <v>0</v>
      </c>
      <c r="KH24" s="57">
        <f>'REG y VAL POE - AESR - ESR'!AD1800</f>
        <v>0</v>
      </c>
      <c r="KI24" s="57">
        <f>'REG y VAL POE - AESR - ESR'!AE1800</f>
        <v>0</v>
      </c>
      <c r="KJ24" s="57">
        <f>'REG y VAL POE - AESR - ESR'!AF1800</f>
        <v>0</v>
      </c>
      <c r="KK24" s="57" t="str">
        <f>'REG y VAL POE - AESR - ESR'!AG1800</f>
        <v>SI</v>
      </c>
      <c r="KL24" s="57">
        <f>'REG y VAL POE - AESR - ESR'!AH1800</f>
        <v>0</v>
      </c>
      <c r="KM24" s="57">
        <f>'REG y VAL POE - AESR - ESR'!AI1800</f>
        <v>0</v>
      </c>
      <c r="KN24" s="57">
        <f>'REG y VAL POE - AESR - ESR'!AJ1800</f>
        <v>0</v>
      </c>
      <c r="KO24" s="57">
        <f>'REG y VAL POE - AESR - ESR'!AK1800</f>
        <v>0</v>
      </c>
      <c r="KP24" s="57" t="str">
        <f>'REG y VAL POE - AESR - ESR'!AL1800</f>
        <v>SI</v>
      </c>
      <c r="KQ24" s="57" t="str">
        <f>'REG y VAL POE - AESR - ESR'!AM1800</f>
        <v>SI</v>
      </c>
      <c r="KR24" s="57">
        <f>'REG y VAL POE - AESR - ESR'!AN1800</f>
        <v>0</v>
      </c>
      <c r="KS24" s="57">
        <f>'REG y VAL POE - AESR - ESR'!AO1800</f>
        <v>0</v>
      </c>
      <c r="KT24" s="57">
        <f>'REG y VAL POE - AESR - ESR'!AP1800</f>
        <v>0</v>
      </c>
      <c r="KU24" s="57">
        <f>'REG y VAL POE - AESR - ESR'!AQ1800</f>
        <v>0</v>
      </c>
      <c r="KV24" s="57" t="str">
        <f>'REG y VAL POE - AESR - ESR'!AR1800</f>
        <v>VACIS PORTAL</v>
      </c>
      <c r="KW24" s="57">
        <f>'REG y VAL POE - AESR - ESR'!AS1800</f>
        <v>0</v>
      </c>
      <c r="KX24" s="58" t="str">
        <f>'REG y VAL POE - AESR - ESR'!B1801</f>
        <v xml:space="preserve">Rivera Del Angel Marco Antonio </v>
      </c>
      <c r="KY24" s="57" t="str">
        <f>'REG y VAL POE - AESR - ESR'!C1801</f>
        <v>Sin Registro</v>
      </c>
      <c r="KZ24" s="56">
        <f>'REG y VAL POE - AESR - ESR'!D1801</f>
        <v>23206959</v>
      </c>
      <c r="LA24" s="57">
        <f>'REG y VAL POE - AESR - ESR'!E1801</f>
        <v>0</v>
      </c>
      <c r="LB24" s="56">
        <f>'REG y VAL POE - AESR - ESR'!F1801</f>
        <v>0</v>
      </c>
      <c r="LC24" s="59">
        <f>'REG y VAL POE - AESR - ESR'!G1801</f>
        <v>0</v>
      </c>
      <c r="LD24" s="59">
        <f>'REG y VAL POE - AESR - ESR'!H1801</f>
        <v>0</v>
      </c>
      <c r="LE24" s="57">
        <f>'REG y VAL POE - AESR - ESR'!I1801</f>
        <v>0</v>
      </c>
      <c r="LF24" s="57">
        <f>'REG y VAL POE - AESR - ESR'!J1801</f>
        <v>0</v>
      </c>
      <c r="LG24" s="57">
        <f>'REG y VAL POE - AESR - ESR'!K1801</f>
        <v>0</v>
      </c>
      <c r="LH24" s="57">
        <f>'REG y VAL POE - AESR - ESR'!L1801</f>
        <v>0</v>
      </c>
      <c r="LI24" s="57">
        <f>'REG y VAL POE - AESR - ESR'!M1801</f>
        <v>0</v>
      </c>
      <c r="LJ24" s="57">
        <f>'REG y VAL POE - AESR - ESR'!N1801</f>
        <v>0</v>
      </c>
      <c r="LK24" s="57">
        <f>'REG y VAL POE - AESR - ESR'!O1801</f>
        <v>0</v>
      </c>
      <c r="LL24" s="57">
        <f>'REG y VAL POE - AESR - ESR'!P1801</f>
        <v>0</v>
      </c>
      <c r="LM24" s="57">
        <f>'REG y VAL POE - AESR - ESR'!Q1801</f>
        <v>0</v>
      </c>
      <c r="LN24" s="57">
        <f>'REG y VAL POE - AESR - ESR'!R1801</f>
        <v>0</v>
      </c>
      <c r="LO24" s="57">
        <f>'REG y VAL POE - AESR - ESR'!S1801</f>
        <v>0</v>
      </c>
      <c r="LP24" s="57">
        <f>'REG y VAL POE - AESR - ESR'!T1801</f>
        <v>0</v>
      </c>
      <c r="LQ24" s="57">
        <f>'REG y VAL POE - AESR - ESR'!U1801</f>
        <v>0</v>
      </c>
      <c r="LR24" s="57">
        <f>'REG y VAL POE - AESR - ESR'!V1801</f>
        <v>0</v>
      </c>
      <c r="LS24" s="57">
        <f>'REG y VAL POE - AESR - ESR'!W1801</f>
        <v>0</v>
      </c>
      <c r="LT24" s="57">
        <f>'REG y VAL POE - AESR - ESR'!X1801</f>
        <v>0</v>
      </c>
      <c r="LU24" s="57">
        <f>'REG y VAL POE - AESR - ESR'!Y1801</f>
        <v>0</v>
      </c>
      <c r="LV24" s="57">
        <f>'REG y VAL POE - AESR - ESR'!Z1801</f>
        <v>0</v>
      </c>
      <c r="LW24" s="57">
        <f>'REG y VAL POE - AESR - ESR'!AA1801</f>
        <v>0</v>
      </c>
      <c r="LX24" s="57">
        <f>'REG y VAL POE - AESR - ESR'!AB1801</f>
        <v>0</v>
      </c>
      <c r="LY24" s="57">
        <f>'REG y VAL POE - AESR - ESR'!AC1801</f>
        <v>0</v>
      </c>
      <c r="LZ24" s="57">
        <f>'REG y VAL POE - AESR - ESR'!AD1801</f>
        <v>0</v>
      </c>
      <c r="MA24" s="57">
        <f>'REG y VAL POE - AESR - ESR'!AE1801</f>
        <v>0</v>
      </c>
      <c r="MB24" s="57">
        <f>'REG y VAL POE - AESR - ESR'!AF1801</f>
        <v>0</v>
      </c>
      <c r="MC24" s="57">
        <f>'REG y VAL POE - AESR - ESR'!AG1801</f>
        <v>0</v>
      </c>
      <c r="MD24" s="57">
        <f>'REG y VAL POE - AESR - ESR'!AH1801</f>
        <v>0</v>
      </c>
      <c r="ME24" s="57">
        <f>'REG y VAL POE - AESR - ESR'!AI1801</f>
        <v>0</v>
      </c>
      <c r="MF24" s="57">
        <f>'REG y VAL POE - AESR - ESR'!AJ1801</f>
        <v>0</v>
      </c>
      <c r="MG24" s="57">
        <f>'REG y VAL POE - AESR - ESR'!AK1801</f>
        <v>0</v>
      </c>
      <c r="MH24" s="57">
        <f>'REG y VAL POE - AESR - ESR'!AL1801</f>
        <v>0</v>
      </c>
      <c r="MI24" s="57">
        <f>'REG y VAL POE - AESR - ESR'!AM1801</f>
        <v>0</v>
      </c>
      <c r="MJ24" s="57">
        <f>'REG y VAL POE - AESR - ESR'!AN1801</f>
        <v>0</v>
      </c>
      <c r="MK24" s="57">
        <f>'REG y VAL POE - AESR - ESR'!AO1801</f>
        <v>0</v>
      </c>
      <c r="ML24" s="57">
        <f>'REG y VAL POE - AESR - ESR'!AP1801</f>
        <v>0</v>
      </c>
      <c r="MM24" s="57">
        <f>'REG y VAL POE - AESR - ESR'!AQ1801</f>
        <v>0</v>
      </c>
      <c r="MN24" s="57">
        <f>'REG y VAL POE - AESR - ESR'!AR1801</f>
        <v>0</v>
      </c>
      <c r="MO24" s="57">
        <f>'REG y VAL POE - AESR - ESR'!AS1801</f>
        <v>0</v>
      </c>
      <c r="MP24" s="58" t="str">
        <f>'REG y VAL POE - AESR - ESR'!B1802</f>
        <v>Salinas Zamarripa Julio Cesar</v>
      </c>
      <c r="MQ24" s="57" t="str">
        <f>'REG y VAL POE - AESR - ESR'!C1802</f>
        <v>ESR</v>
      </c>
      <c r="MR24" s="56">
        <f>'REG y VAL POE - AESR - ESR'!D1802</f>
        <v>23149272</v>
      </c>
      <c r="MS24" s="57">
        <f>'REG y VAL POE - AESR - ESR'!E1802</f>
        <v>0</v>
      </c>
      <c r="MT24" s="56">
        <f>'REG y VAL POE - AESR - ESR'!F1802</f>
        <v>0</v>
      </c>
      <c r="MU24" s="59">
        <f>'REG y VAL POE - AESR - ESR'!G1802</f>
        <v>44999</v>
      </c>
      <c r="MV24" s="59" t="str">
        <f>'REG y VAL POE - AESR - ESR'!H1802</f>
        <v>VENCIDA</v>
      </c>
      <c r="MW24" s="57" t="str">
        <f>'REG y VAL POE - AESR - ESR'!I1802</f>
        <v>SI</v>
      </c>
      <c r="MX24" s="57" t="str">
        <f>'REG y VAL POE - AESR - ESR'!J1802</f>
        <v>Vencida</v>
      </c>
      <c r="MY24" s="57" t="str">
        <f>'REG y VAL POE - AESR - ESR'!K1802</f>
        <v>SI</v>
      </c>
      <c r="MZ24" s="57" t="str">
        <f>'REG y VAL POE - AESR - ESR'!L1802</f>
        <v>Vencida</v>
      </c>
      <c r="NA24" s="57" t="str">
        <f>'REG y VAL POE - AESR - ESR'!M1802</f>
        <v>NO</v>
      </c>
      <c r="NB24" s="57" t="str">
        <f>'REG y VAL POE - AESR - ESR'!N1802</f>
        <v>Apendice ByC no llenos-HISTORIAL APARTE -falta firma RL</v>
      </c>
      <c r="NC24" s="57" t="str">
        <f>'REG y VAL POE - AESR - ESR'!O1802</f>
        <v>SI</v>
      </c>
      <c r="ND24" s="57" t="str">
        <f>'REG y VAL POE - AESR - ESR'!P1802</f>
        <v>SI</v>
      </c>
      <c r="NE24" s="57" t="str">
        <f>'REG y VAL POE - AESR - ESR'!Q1802</f>
        <v>SI</v>
      </c>
      <c r="NF24" s="57" t="str">
        <f>'REG y VAL POE - AESR - ESR'!R1802</f>
        <v>SI</v>
      </c>
      <c r="NG24" s="57" t="str">
        <f>'REG y VAL POE - AESR - ESR'!S1802</f>
        <v>SI</v>
      </c>
      <c r="NH24" s="57" t="str">
        <f>'REG y VAL POE - AESR - ESR'!T1802</f>
        <v>SI</v>
      </c>
      <c r="NI24" s="57" t="str">
        <f>'REG y VAL POE - AESR - ESR'!U1802</f>
        <v>SI</v>
      </c>
      <c r="NJ24" s="57">
        <f>'REG y VAL POE - AESR - ESR'!V1802</f>
        <v>0</v>
      </c>
      <c r="NK24" s="57">
        <f>'REG y VAL POE - AESR - ESR'!W1802</f>
        <v>0</v>
      </c>
      <c r="NL24" s="57">
        <f>'REG y VAL POE - AESR - ESR'!X1802</f>
        <v>0</v>
      </c>
      <c r="NM24" s="57">
        <f>'REG y VAL POE - AESR - ESR'!Y1802</f>
        <v>0</v>
      </c>
      <c r="NN24" s="57" t="str">
        <f>'REG y VAL POE - AESR - ESR'!Z1802</f>
        <v>SI</v>
      </c>
      <c r="NO24" s="57">
        <f>'REG y VAL POE - AESR - ESR'!AA1802</f>
        <v>0</v>
      </c>
      <c r="NP24" s="57">
        <f>'REG y VAL POE - AESR - ESR'!AB1802</f>
        <v>0</v>
      </c>
      <c r="NQ24" s="57">
        <f>'REG y VAL POE - AESR - ESR'!AC1802</f>
        <v>0</v>
      </c>
      <c r="NR24" s="57">
        <f>'REG y VAL POE - AESR - ESR'!AD1802</f>
        <v>0</v>
      </c>
      <c r="NS24" s="57">
        <f>'REG y VAL POE - AESR - ESR'!AE1802</f>
        <v>0</v>
      </c>
      <c r="NT24" s="57">
        <f>'REG y VAL POE - AESR - ESR'!AF1802</f>
        <v>0</v>
      </c>
      <c r="NU24" s="57" t="str">
        <f>'REG y VAL POE - AESR - ESR'!AG1802</f>
        <v>SI</v>
      </c>
      <c r="NV24" s="57">
        <f>'REG y VAL POE - AESR - ESR'!AH1802</f>
        <v>0</v>
      </c>
      <c r="NW24" s="57">
        <f>'REG y VAL POE - AESR - ESR'!AI1802</f>
        <v>0</v>
      </c>
      <c r="NX24" s="57">
        <f>'REG y VAL POE - AESR - ESR'!AJ1802</f>
        <v>0</v>
      </c>
      <c r="NY24" s="57">
        <f>'REG y VAL POE - AESR - ESR'!AK1802</f>
        <v>0</v>
      </c>
      <c r="NZ24" s="57" t="str">
        <f>'REG y VAL POE - AESR - ESR'!AL1802</f>
        <v>SI</v>
      </c>
      <c r="OA24" s="57" t="str">
        <f>'REG y VAL POE - AESR - ESR'!AM1802</f>
        <v>SI</v>
      </c>
      <c r="OB24" s="57">
        <f>'REG y VAL POE - AESR - ESR'!AN1802</f>
        <v>0</v>
      </c>
      <c r="OC24" s="57">
        <f>'REG y VAL POE - AESR - ESR'!AO1802</f>
        <v>0</v>
      </c>
      <c r="OD24" s="57">
        <f>'REG y VAL POE - AESR - ESR'!AP1802</f>
        <v>0</v>
      </c>
      <c r="OE24" s="57">
        <f>'REG y VAL POE - AESR - ESR'!AQ1802</f>
        <v>0</v>
      </c>
      <c r="OF24" s="57" t="str">
        <f>'REG y VAL POE - AESR - ESR'!AR1802</f>
        <v>VACIS PORTAL</v>
      </c>
      <c r="OG24" s="57">
        <f>'REG y VAL POE - AESR - ESR'!AS1802</f>
        <v>0</v>
      </c>
      <c r="OH24" s="58">
        <f>'REG y VAL POE - AESR - ESR'!B1803</f>
        <v>0</v>
      </c>
      <c r="OI24" s="56">
        <f>'REG y VAL POE - AESR - ESR'!C1803</f>
        <v>0</v>
      </c>
      <c r="OJ24" s="58">
        <f>'REG y VAL POE - AESR - ESR'!D1803</f>
        <v>0</v>
      </c>
      <c r="OK24" s="58">
        <f>'REG y VAL POE - AESR - ESR'!E1803</f>
        <v>0</v>
      </c>
      <c r="OL24" s="58">
        <f>'REG y VAL POE - AESR - ESR'!F1803</f>
        <v>0</v>
      </c>
      <c r="OM24" s="58">
        <f>'REG y VAL POE - AESR - ESR'!G1803</f>
        <v>0</v>
      </c>
      <c r="ON24" s="58">
        <f>'REG y VAL POE - AESR - ESR'!H1803</f>
        <v>0</v>
      </c>
      <c r="OO24" s="58">
        <f>'REG y VAL POE - AESR - ESR'!I1803</f>
        <v>0</v>
      </c>
      <c r="OP24" s="56">
        <f>'REG y VAL POE - AESR - ESR'!J1803</f>
        <v>0</v>
      </c>
      <c r="OQ24" s="57">
        <f>'REG y VAL POE - AESR - ESR'!K1803</f>
        <v>0</v>
      </c>
      <c r="OR24" s="58">
        <f>'REG y VAL POE - AESR - ESR'!L1803</f>
        <v>0</v>
      </c>
      <c r="OS24" s="56">
        <f>'REG y VAL POE - AESR - ESR'!M1803</f>
        <v>0</v>
      </c>
      <c r="OT24" s="57">
        <f>'REG y VAL POE - AESR - ESR'!N1803</f>
        <v>0</v>
      </c>
      <c r="OU24" s="57">
        <f>'REG y VAL POE - AESR - ESR'!O1803</f>
        <v>0</v>
      </c>
      <c r="OV24" s="57">
        <f>'REG y VAL POE - AESR - ESR'!P1803</f>
        <v>0</v>
      </c>
      <c r="OW24" s="56">
        <f>'REG y VAL POE - AESR - ESR'!Q1803</f>
        <v>0</v>
      </c>
      <c r="OX24" s="57">
        <f>'REG y VAL POE - AESR - ESR'!R1803</f>
        <v>0</v>
      </c>
      <c r="OY24" s="57">
        <f>'REG y VAL POE - AESR - ESR'!S1803</f>
        <v>0</v>
      </c>
      <c r="OZ24" s="56">
        <f>'REG y VAL POE - AESR - ESR'!T1803</f>
        <v>0</v>
      </c>
      <c r="PA24" s="57">
        <f>'REG y VAL POE - AESR - ESR'!U1803</f>
        <v>0</v>
      </c>
      <c r="PB24" s="58">
        <f>'REG y VAL POE - AESR - ESR'!V1803</f>
        <v>0</v>
      </c>
      <c r="PC24" s="56">
        <f>'REG y VAL POE - AESR - ESR'!W1803</f>
        <v>0</v>
      </c>
      <c r="PD24" s="57">
        <f>'REG y VAL POE - AESR - ESR'!X1803</f>
        <v>0</v>
      </c>
      <c r="PE24" s="57">
        <f>'REG y VAL POE - AESR - ESR'!Y1803</f>
        <v>0</v>
      </c>
      <c r="PF24" s="57">
        <f>'REG y VAL POE - AESR - ESR'!Z1803</f>
        <v>0</v>
      </c>
      <c r="PG24" s="56">
        <f>'REG y VAL POE - AESR - ESR'!AA1803</f>
        <v>0</v>
      </c>
      <c r="PH24" s="57">
        <f>'REG y VAL POE - AESR - ESR'!AB1803</f>
        <v>0</v>
      </c>
      <c r="PI24" s="57">
        <f>'REG y VAL POE - AESR - ESR'!AC1803</f>
        <v>0</v>
      </c>
      <c r="PJ24" s="56">
        <f>'REG y VAL POE - AESR - ESR'!AD1803</f>
        <v>0</v>
      </c>
      <c r="PK24" s="57">
        <f>'REG y VAL POE - AESR - ESR'!AE1803</f>
        <v>0</v>
      </c>
      <c r="PL24" s="58">
        <f>'REG y VAL POE - AESR - ESR'!AF1803</f>
        <v>0</v>
      </c>
      <c r="PM24" s="56">
        <f>'REG y VAL POE - AESR - ESR'!AG1803</f>
        <v>0</v>
      </c>
      <c r="PN24" s="57">
        <f>'REG y VAL POE - AESR - ESR'!AH1803</f>
        <v>0</v>
      </c>
      <c r="PO24" s="57">
        <f>'REG y VAL POE - AESR - ESR'!AI1803</f>
        <v>0</v>
      </c>
      <c r="PP24" s="57">
        <f>'REG y VAL POE - AESR - ESR'!AJ1803</f>
        <v>0</v>
      </c>
      <c r="PQ24" s="56">
        <f>'REG y VAL POE - AESR - ESR'!AK1803</f>
        <v>0</v>
      </c>
      <c r="PR24" s="57">
        <f>'REG y VAL POE - AESR - ESR'!AL1803</f>
        <v>0</v>
      </c>
      <c r="PS24" s="57">
        <f>'REG y VAL POE - AESR - ESR'!AM1803</f>
        <v>0</v>
      </c>
      <c r="PT24" s="56">
        <f>'REG y VAL POE - AESR - ESR'!AN1803</f>
        <v>0</v>
      </c>
      <c r="PU24" s="57">
        <f>'REG y VAL POE - AESR - ESR'!AO1803</f>
        <v>0</v>
      </c>
      <c r="PV24" s="58">
        <f>'REG y VAL POE - AESR - ESR'!AP1803</f>
        <v>0</v>
      </c>
      <c r="PW24" s="56">
        <f>'REG y VAL POE - AESR - ESR'!AQ1803</f>
        <v>0</v>
      </c>
      <c r="PX24" s="57">
        <f>'REG y VAL POE - AESR - ESR'!AR1803</f>
        <v>0</v>
      </c>
      <c r="PY24" s="57">
        <f>'REG y VAL POE - AESR - ESR'!AS1803</f>
        <v>0</v>
      </c>
      <c r="PZ24" s="57">
        <f>'REG y VAL POE - AESR - ESR'!B1804</f>
        <v>0</v>
      </c>
      <c r="QA24" s="56">
        <f>'REG y VAL POE - AESR - ESR'!C1804</f>
        <v>0</v>
      </c>
      <c r="QB24" s="57">
        <f>'REG y VAL POE - AESR - ESR'!D1804</f>
        <v>0</v>
      </c>
      <c r="QC24" s="57">
        <f>'REG y VAL POE - AESR - ESR'!E1804</f>
        <v>0</v>
      </c>
      <c r="QD24" s="56">
        <f>'REG y VAL POE - AESR - ESR'!F1804</f>
        <v>0</v>
      </c>
      <c r="QE24" s="57">
        <f>'REG y VAL POE - AESR - ESR'!G1804</f>
        <v>0</v>
      </c>
      <c r="QF24" s="58">
        <f>'REG y VAL POE - AESR - ESR'!H1804</f>
        <v>0</v>
      </c>
      <c r="QG24" s="56">
        <f>'REG y VAL POE - AESR - ESR'!I1804</f>
        <v>0</v>
      </c>
      <c r="QH24" s="57">
        <f>'REG y VAL POE - AESR - ESR'!J1804</f>
        <v>0</v>
      </c>
      <c r="QI24" s="57">
        <f>'REG y VAL POE - AESR - ESR'!K1804</f>
        <v>0</v>
      </c>
      <c r="QJ24" s="57">
        <f>'REG y VAL POE - AESR - ESR'!L1804</f>
        <v>0</v>
      </c>
      <c r="QK24" s="56">
        <f>'REG y VAL POE - AESR - ESR'!M1804</f>
        <v>0</v>
      </c>
      <c r="QL24" s="57">
        <f>'REG y VAL POE - AESR - ESR'!N1804</f>
        <v>0</v>
      </c>
      <c r="QM24" s="57">
        <f>'REG y VAL POE - AESR - ESR'!O1804</f>
        <v>0</v>
      </c>
      <c r="QN24" s="56">
        <f>'REG y VAL POE - AESR - ESR'!P1804</f>
        <v>0</v>
      </c>
      <c r="QO24" s="57">
        <f>'REG y VAL POE - AESR - ESR'!Q1804</f>
        <v>0</v>
      </c>
      <c r="QP24" s="58">
        <f>'REG y VAL POE - AESR - ESR'!R1804</f>
        <v>0</v>
      </c>
      <c r="QQ24" s="56">
        <f>'REG y VAL POE - AESR - ESR'!S1804</f>
        <v>0</v>
      </c>
      <c r="QR24" s="57">
        <f>'REG y VAL POE - AESR - ESR'!T1804</f>
        <v>0</v>
      </c>
      <c r="QS24" s="57">
        <f>'REG y VAL POE - AESR - ESR'!U1804</f>
        <v>0</v>
      </c>
      <c r="QT24" s="57">
        <f>'REG y VAL POE - AESR - ESR'!V1804</f>
        <v>0</v>
      </c>
      <c r="QU24" s="56">
        <f>'REG y VAL POE - AESR - ESR'!W1804</f>
        <v>0</v>
      </c>
      <c r="QV24" s="57">
        <f>'REG y VAL POE - AESR - ESR'!X1804</f>
        <v>0</v>
      </c>
      <c r="QW24" s="57">
        <f>'REG y VAL POE - AESR - ESR'!Y1804</f>
        <v>0</v>
      </c>
      <c r="QX24" s="56">
        <f>'REG y VAL POE - AESR - ESR'!Z1804</f>
        <v>0</v>
      </c>
      <c r="QY24" s="57">
        <f>'REG y VAL POE - AESR - ESR'!AA1804</f>
        <v>0</v>
      </c>
      <c r="QZ24" s="58">
        <f>'REG y VAL POE - AESR - ESR'!AB1804</f>
        <v>0</v>
      </c>
      <c r="RA24" s="56">
        <f>'REG y VAL POE - AESR - ESR'!AC1804</f>
        <v>0</v>
      </c>
      <c r="RB24" s="57">
        <f>'REG y VAL POE - AESR - ESR'!AD1804</f>
        <v>0</v>
      </c>
      <c r="RC24" s="57">
        <f>'REG y VAL POE - AESR - ESR'!AE1804</f>
        <v>0</v>
      </c>
      <c r="RD24" s="57">
        <f>'REG y VAL POE - AESR - ESR'!AF1804</f>
        <v>0</v>
      </c>
      <c r="RE24" s="56">
        <f>'REG y VAL POE - AESR - ESR'!AG1804</f>
        <v>0</v>
      </c>
      <c r="RF24" s="57">
        <f>'REG y VAL POE - AESR - ESR'!AH1804</f>
        <v>0</v>
      </c>
      <c r="RG24" s="57">
        <f>'REG y VAL POE - AESR - ESR'!AI1804</f>
        <v>0</v>
      </c>
      <c r="RH24" s="56">
        <f>'REG y VAL POE - AESR - ESR'!AJ1804</f>
        <v>0</v>
      </c>
      <c r="RI24" s="57">
        <f>'REG y VAL POE - AESR - ESR'!AK1804</f>
        <v>0</v>
      </c>
      <c r="RJ24" s="58">
        <f>'REG y VAL POE - AESR - ESR'!AL1804</f>
        <v>0</v>
      </c>
      <c r="RK24" s="56">
        <f>'REG y VAL POE - AESR - ESR'!AM1804</f>
        <v>0</v>
      </c>
      <c r="RL24" s="57">
        <f>'REG y VAL POE - AESR - ESR'!AN1804</f>
        <v>0</v>
      </c>
      <c r="RM24" s="57">
        <f>'REG y VAL POE - AESR - ESR'!AO1804</f>
        <v>0</v>
      </c>
      <c r="RN24" s="57">
        <f>'REG y VAL POE - AESR - ESR'!AP1804</f>
        <v>0</v>
      </c>
      <c r="RO24" s="56">
        <f>'REG y VAL POE - AESR - ESR'!AQ1804</f>
        <v>0</v>
      </c>
      <c r="RP24" s="57">
        <f>'REG y VAL POE - AESR - ESR'!AR1804</f>
        <v>0</v>
      </c>
      <c r="RQ24" s="57">
        <f>'REG y VAL POE - AESR - ESR'!AS1804</f>
        <v>0</v>
      </c>
      <c r="RR24" s="56">
        <f>'REG y VAL POE - AESR - ESR'!B1805</f>
        <v>0</v>
      </c>
      <c r="RS24" s="57">
        <f>'REG y VAL POE - AESR - ESR'!C1805</f>
        <v>0</v>
      </c>
      <c r="RT24" s="58">
        <f>'REG y VAL POE - AESR - ESR'!D1805</f>
        <v>0</v>
      </c>
      <c r="RU24" s="56">
        <f>'REG y VAL POE - AESR - ESR'!E1805</f>
        <v>0</v>
      </c>
      <c r="RV24" s="57">
        <f>'REG y VAL POE - AESR - ESR'!F1805</f>
        <v>0</v>
      </c>
      <c r="RW24" s="57">
        <f>'REG y VAL POE - AESR - ESR'!G1805</f>
        <v>0</v>
      </c>
      <c r="RX24" s="57">
        <f>'REG y VAL POE - AESR - ESR'!H1805</f>
        <v>0</v>
      </c>
      <c r="RY24" s="56">
        <f>'REG y VAL POE - AESR - ESR'!I1805</f>
        <v>0</v>
      </c>
      <c r="RZ24" s="57">
        <f>'REG y VAL POE - AESR - ESR'!J1805</f>
        <v>0</v>
      </c>
      <c r="SA24" s="57">
        <f>'REG y VAL POE - AESR - ESR'!K1805</f>
        <v>0</v>
      </c>
      <c r="SB24" s="56">
        <f>'REG y VAL POE - AESR - ESR'!L1805</f>
        <v>0</v>
      </c>
      <c r="SC24" s="57">
        <f>'REG y VAL POE - AESR - ESR'!M1805</f>
        <v>0</v>
      </c>
      <c r="SD24" s="58">
        <f>'REG y VAL POE - AESR - ESR'!N1805</f>
        <v>0</v>
      </c>
      <c r="SE24" s="56">
        <f>'REG y VAL POE - AESR - ESR'!O1805</f>
        <v>0</v>
      </c>
      <c r="SF24" s="57">
        <f>'REG y VAL POE - AESR - ESR'!P1805</f>
        <v>0</v>
      </c>
      <c r="SG24" s="57">
        <f>'REG y VAL POE - AESR - ESR'!Q1805</f>
        <v>0</v>
      </c>
      <c r="SH24" s="57">
        <f>'REG y VAL POE - AESR - ESR'!R1805</f>
        <v>0</v>
      </c>
      <c r="SI24" s="56">
        <f>'REG y VAL POE - AESR - ESR'!S1805</f>
        <v>0</v>
      </c>
      <c r="SJ24" s="57">
        <f>'REG y VAL POE - AESR - ESR'!T1805</f>
        <v>0</v>
      </c>
      <c r="SK24" s="57">
        <f>'REG y VAL POE - AESR - ESR'!U1805</f>
        <v>0</v>
      </c>
      <c r="SL24" s="56">
        <f>'REG y VAL POE - AESR - ESR'!V1805</f>
        <v>0</v>
      </c>
      <c r="SM24" s="57">
        <f>'REG y VAL POE - AESR - ESR'!W1805</f>
        <v>0</v>
      </c>
      <c r="SN24" s="58">
        <f>'REG y VAL POE - AESR - ESR'!X1805</f>
        <v>0</v>
      </c>
      <c r="SO24" s="56">
        <f>'REG y VAL POE - AESR - ESR'!Y1805</f>
        <v>0</v>
      </c>
      <c r="SP24" s="57">
        <f>'REG y VAL POE - AESR - ESR'!Z1805</f>
        <v>0</v>
      </c>
      <c r="SQ24" s="57">
        <f>'REG y VAL POE - AESR - ESR'!AA1805</f>
        <v>0</v>
      </c>
      <c r="SR24" s="57">
        <f>'REG y VAL POE - AESR - ESR'!AB1805</f>
        <v>0</v>
      </c>
      <c r="SS24" s="56">
        <f>'REG y VAL POE - AESR - ESR'!AC1805</f>
        <v>0</v>
      </c>
      <c r="ST24" s="57">
        <f>'REG y VAL POE - AESR - ESR'!AD1805</f>
        <v>0</v>
      </c>
      <c r="SU24" s="57">
        <f>'REG y VAL POE - AESR - ESR'!AE1805</f>
        <v>0</v>
      </c>
      <c r="SV24" s="56">
        <f>'REG y VAL POE - AESR - ESR'!AF1805</f>
        <v>0</v>
      </c>
      <c r="SW24" s="57">
        <f>'REG y VAL POE - AESR - ESR'!AG1805</f>
        <v>0</v>
      </c>
      <c r="SX24" s="58">
        <f>'REG y VAL POE - AESR - ESR'!AH1805</f>
        <v>0</v>
      </c>
      <c r="SY24" s="56">
        <f>'REG y VAL POE - AESR - ESR'!AI1805</f>
        <v>0</v>
      </c>
      <c r="SZ24" s="57">
        <f>'REG y VAL POE - AESR - ESR'!AJ1805</f>
        <v>0</v>
      </c>
      <c r="TA24" s="57">
        <f>'REG y VAL POE - AESR - ESR'!AK1805</f>
        <v>0</v>
      </c>
      <c r="TB24" s="57">
        <f>'REG y VAL POE - AESR - ESR'!AL1805</f>
        <v>0</v>
      </c>
      <c r="TC24" s="56">
        <f>'REG y VAL POE - AESR - ESR'!AM1805</f>
        <v>0</v>
      </c>
      <c r="TD24" s="57">
        <f>'REG y VAL POE - AESR - ESR'!AN1805</f>
        <v>0</v>
      </c>
      <c r="TE24" s="57">
        <f>'REG y VAL POE - AESR - ESR'!AO1805</f>
        <v>0</v>
      </c>
      <c r="TF24" s="56">
        <f>'REG y VAL POE - AESR - ESR'!AP1805</f>
        <v>0</v>
      </c>
      <c r="TG24" s="57">
        <f>'REG y VAL POE - AESR - ESR'!AQ1805</f>
        <v>0</v>
      </c>
      <c r="TH24" s="58">
        <f>'REG y VAL POE - AESR - ESR'!AR1805</f>
        <v>0</v>
      </c>
      <c r="TI24" s="56">
        <f>'REG y VAL POE - AESR - ESR'!AS1805</f>
        <v>0</v>
      </c>
      <c r="TJ24" s="57">
        <f>'REG y VAL POE - AESR - ESR'!B1806</f>
        <v>0</v>
      </c>
      <c r="TK24" s="57">
        <f>'REG y VAL POE - AESR - ESR'!C1806</f>
        <v>0</v>
      </c>
      <c r="TL24" s="57">
        <f>'REG y VAL POE - AESR - ESR'!D1806</f>
        <v>0</v>
      </c>
      <c r="TM24" s="56">
        <f>'REG y VAL POE - AESR - ESR'!E1806</f>
        <v>0</v>
      </c>
      <c r="TN24" s="57">
        <f>'REG y VAL POE - AESR - ESR'!F1806</f>
        <v>0</v>
      </c>
      <c r="TO24" s="57">
        <f>'REG y VAL POE - AESR - ESR'!G1806</f>
        <v>0</v>
      </c>
      <c r="TP24" s="56">
        <f>'REG y VAL POE - AESR - ESR'!H1806</f>
        <v>0</v>
      </c>
      <c r="TQ24" s="57">
        <f>'REG y VAL POE - AESR - ESR'!I1806</f>
        <v>0</v>
      </c>
      <c r="TR24" s="58">
        <f>'REG y VAL POE - AESR - ESR'!J1806</f>
        <v>0</v>
      </c>
      <c r="TS24" s="56">
        <f>'REG y VAL POE - AESR - ESR'!K1806</f>
        <v>0</v>
      </c>
      <c r="TT24" s="57">
        <f>'REG y VAL POE - AESR - ESR'!L1806</f>
        <v>0</v>
      </c>
      <c r="TU24" s="57">
        <f>'REG y VAL POE - AESR - ESR'!M1806</f>
        <v>0</v>
      </c>
      <c r="TV24" s="57">
        <f>'REG y VAL POE - AESR - ESR'!N1806</f>
        <v>0</v>
      </c>
      <c r="TW24" s="56">
        <f>'REG y VAL POE - AESR - ESR'!O1806</f>
        <v>0</v>
      </c>
      <c r="TX24" s="57">
        <f>'REG y VAL POE - AESR - ESR'!P1806</f>
        <v>0</v>
      </c>
      <c r="TY24" s="57">
        <f>'REG y VAL POE - AESR - ESR'!Q1806</f>
        <v>0</v>
      </c>
      <c r="TZ24" s="56">
        <f>'REG y VAL POE - AESR - ESR'!R1806</f>
        <v>0</v>
      </c>
      <c r="UA24" s="57">
        <f>'REG y VAL POE - AESR - ESR'!S1806</f>
        <v>0</v>
      </c>
      <c r="UB24" s="58">
        <f>'REG y VAL POE - AESR - ESR'!T1806</f>
        <v>0</v>
      </c>
      <c r="UC24" s="56">
        <f>'REG y VAL POE - AESR - ESR'!U1806</f>
        <v>0</v>
      </c>
      <c r="UD24" s="57">
        <f>'REG y VAL POE - AESR - ESR'!V1806</f>
        <v>0</v>
      </c>
      <c r="UE24" s="57">
        <f>'REG y VAL POE - AESR - ESR'!W1806</f>
        <v>0</v>
      </c>
      <c r="UF24" s="57">
        <f>'REG y VAL POE - AESR - ESR'!X1806</f>
        <v>0</v>
      </c>
      <c r="UG24" s="56">
        <f>'REG y VAL POE - AESR - ESR'!Y1806</f>
        <v>0</v>
      </c>
      <c r="UH24" s="57">
        <f>'REG y VAL POE - AESR - ESR'!Z1806</f>
        <v>0</v>
      </c>
      <c r="UI24" s="57">
        <f>'REG y VAL POE - AESR - ESR'!AA1806</f>
        <v>0</v>
      </c>
      <c r="UJ24" s="56">
        <f>'REG y VAL POE - AESR - ESR'!AB1806</f>
        <v>0</v>
      </c>
      <c r="UK24" s="57">
        <f>'REG y VAL POE - AESR - ESR'!AC1806</f>
        <v>0</v>
      </c>
      <c r="UL24" s="58">
        <f>'REG y VAL POE - AESR - ESR'!AD1806</f>
        <v>0</v>
      </c>
      <c r="UM24" s="56">
        <f>'REG y VAL POE - AESR - ESR'!AE1806</f>
        <v>0</v>
      </c>
      <c r="UN24" s="57">
        <f>'REG y VAL POE - AESR - ESR'!AF1806</f>
        <v>0</v>
      </c>
      <c r="UO24" s="57">
        <f>'REG y VAL POE - AESR - ESR'!AG1806</f>
        <v>0</v>
      </c>
      <c r="UP24" s="57">
        <f>'REG y VAL POE - AESR - ESR'!AH1806</f>
        <v>0</v>
      </c>
      <c r="UQ24" s="56">
        <f>'REG y VAL POE - AESR - ESR'!AI1806</f>
        <v>0</v>
      </c>
      <c r="UR24" s="57">
        <f>'REG y VAL POE - AESR - ESR'!AJ1806</f>
        <v>0</v>
      </c>
      <c r="US24" s="57">
        <f>'REG y VAL POE - AESR - ESR'!AK1806</f>
        <v>0</v>
      </c>
      <c r="UT24" s="56">
        <f>'REG y VAL POE - AESR - ESR'!AL1806</f>
        <v>0</v>
      </c>
      <c r="UU24" s="57">
        <f>'REG y VAL POE - AESR - ESR'!AM1806</f>
        <v>0</v>
      </c>
      <c r="UV24" s="58">
        <f>'REG y VAL POE - AESR - ESR'!AN1806</f>
        <v>0</v>
      </c>
      <c r="UW24" s="56">
        <f>'REG y VAL POE - AESR - ESR'!AO1806</f>
        <v>0</v>
      </c>
      <c r="UX24" s="57">
        <f>'REG y VAL POE - AESR - ESR'!AP1806</f>
        <v>0</v>
      </c>
      <c r="UY24" s="57">
        <f>'REG y VAL POE - AESR - ESR'!AQ1806</f>
        <v>0</v>
      </c>
      <c r="UZ24" s="57">
        <f>'REG y VAL POE - AESR - ESR'!AR1806</f>
        <v>0</v>
      </c>
      <c r="VA24" s="56">
        <f>'REG y VAL POE - AESR - ESR'!AS1806</f>
        <v>0</v>
      </c>
      <c r="VB24" s="57">
        <f>'REG y VAL POE - AESR - ESR'!B1807</f>
        <v>0</v>
      </c>
      <c r="VC24" s="57">
        <f>'REG y VAL POE - AESR - ESR'!C1807</f>
        <v>0</v>
      </c>
      <c r="VD24" s="56">
        <f>'REG y VAL POE - AESR - ESR'!D1807</f>
        <v>0</v>
      </c>
      <c r="VE24" s="57">
        <f>'REG y VAL POE - AESR - ESR'!E1807</f>
        <v>0</v>
      </c>
      <c r="VF24" s="58">
        <f>'REG y VAL POE - AESR - ESR'!F1807</f>
        <v>0</v>
      </c>
      <c r="VG24" s="56">
        <f>'REG y VAL POE - AESR - ESR'!G1807</f>
        <v>0</v>
      </c>
      <c r="VH24" s="57">
        <f>'REG y VAL POE - AESR - ESR'!H1807</f>
        <v>0</v>
      </c>
      <c r="VI24" s="57">
        <f>'REG y VAL POE - AESR - ESR'!I1807</f>
        <v>0</v>
      </c>
      <c r="VJ24" s="57">
        <f>'REG y VAL POE - AESR - ESR'!J1807</f>
        <v>0</v>
      </c>
      <c r="VK24" s="56">
        <f>'REG y VAL POE - AESR - ESR'!K1807</f>
        <v>0</v>
      </c>
      <c r="VL24" s="57">
        <f>'REG y VAL POE - AESR - ESR'!L1807</f>
        <v>0</v>
      </c>
      <c r="VM24" s="57">
        <f>'REG y VAL POE - AESR - ESR'!M1807</f>
        <v>0</v>
      </c>
      <c r="VN24" s="56">
        <f>'REG y VAL POE - AESR - ESR'!N1807</f>
        <v>0</v>
      </c>
      <c r="VO24" s="57">
        <f>'REG y VAL POE - AESR - ESR'!O1807</f>
        <v>0</v>
      </c>
      <c r="VP24" s="58">
        <f>'REG y VAL POE - AESR - ESR'!P1807</f>
        <v>0</v>
      </c>
      <c r="VQ24" s="56">
        <f>'REG y VAL POE - AESR - ESR'!Q1807</f>
        <v>0</v>
      </c>
      <c r="VR24" s="57">
        <f>'REG y VAL POE - AESR - ESR'!R1807</f>
        <v>0</v>
      </c>
      <c r="VS24" s="57">
        <f>'REG y VAL POE - AESR - ESR'!S1807</f>
        <v>0</v>
      </c>
      <c r="VT24" s="57">
        <f>'REG y VAL POE - AESR - ESR'!T1807</f>
        <v>0</v>
      </c>
      <c r="VU24" s="56">
        <f>'REG y VAL POE - AESR - ESR'!U1807</f>
        <v>0</v>
      </c>
      <c r="VV24" s="57">
        <f>'REG y VAL POE - AESR - ESR'!V1807</f>
        <v>0</v>
      </c>
      <c r="VW24" s="57">
        <f>'REG y VAL POE - AESR - ESR'!W1807</f>
        <v>0</v>
      </c>
      <c r="VX24" s="56">
        <f>'REG y VAL POE - AESR - ESR'!X1807</f>
        <v>0</v>
      </c>
      <c r="VY24" s="57">
        <f>'REG y VAL POE - AESR - ESR'!Y1807</f>
        <v>0</v>
      </c>
      <c r="VZ24" s="58">
        <f>'REG y VAL POE - AESR - ESR'!Z1807</f>
        <v>0</v>
      </c>
      <c r="WA24" s="56">
        <f>'REG y VAL POE - AESR - ESR'!AA1807</f>
        <v>0</v>
      </c>
      <c r="WB24" s="57">
        <f>'REG y VAL POE - AESR - ESR'!AB1807</f>
        <v>0</v>
      </c>
      <c r="WC24" s="57">
        <f>'REG y VAL POE - AESR - ESR'!AC1807</f>
        <v>0</v>
      </c>
      <c r="WD24" s="57">
        <f>'REG y VAL POE - AESR - ESR'!AD1807</f>
        <v>0</v>
      </c>
      <c r="WE24" s="56">
        <f>'REG y VAL POE - AESR - ESR'!AE1807</f>
        <v>0</v>
      </c>
      <c r="WF24" s="57">
        <f>'REG y VAL POE - AESR - ESR'!AF1807</f>
        <v>0</v>
      </c>
      <c r="WG24" s="57">
        <f>'REG y VAL POE - AESR - ESR'!AG1807</f>
        <v>0</v>
      </c>
      <c r="WH24" s="56">
        <f>'REG y VAL POE - AESR - ESR'!AH1807</f>
        <v>0</v>
      </c>
      <c r="WI24" s="57">
        <f>'REG y VAL POE - AESR - ESR'!AI1807</f>
        <v>0</v>
      </c>
      <c r="WJ24" s="58">
        <f>'REG y VAL POE - AESR - ESR'!AJ1807</f>
        <v>0</v>
      </c>
      <c r="WK24" s="56">
        <f>'REG y VAL POE - AESR - ESR'!AK1807</f>
        <v>0</v>
      </c>
      <c r="WL24" s="57">
        <f>'REG y VAL POE - AESR - ESR'!AL1807</f>
        <v>0</v>
      </c>
      <c r="WM24" s="57">
        <f>'REG y VAL POE - AESR - ESR'!AM1807</f>
        <v>0</v>
      </c>
      <c r="WN24" s="57">
        <f>'REG y VAL POE - AESR - ESR'!AN1807</f>
        <v>0</v>
      </c>
      <c r="WO24" s="56">
        <f>'REG y VAL POE - AESR - ESR'!AO1807</f>
        <v>0</v>
      </c>
      <c r="WP24" s="57">
        <f>'REG y VAL POE - AESR - ESR'!AP1807</f>
        <v>0</v>
      </c>
      <c r="WQ24" s="57">
        <f>'REG y VAL POE - AESR - ESR'!AQ1807</f>
        <v>0</v>
      </c>
      <c r="WR24" s="56">
        <f>'REG y VAL POE - AESR - ESR'!AR1807</f>
        <v>0</v>
      </c>
      <c r="WS24" s="57">
        <f>'REG y VAL POE - AESR - ESR'!AS1807</f>
        <v>0</v>
      </c>
      <c r="WT24" s="58">
        <f>'REG y VAL POE - AESR - ESR'!B1808</f>
        <v>0</v>
      </c>
      <c r="WU24" s="56">
        <f>'REG y VAL POE - AESR - ESR'!C1808</f>
        <v>0</v>
      </c>
      <c r="WV24" s="57">
        <f>'REG y VAL POE - AESR - ESR'!D1808</f>
        <v>0</v>
      </c>
      <c r="WW24" s="57">
        <f>'REG y VAL POE - AESR - ESR'!E1808</f>
        <v>0</v>
      </c>
      <c r="WX24" s="57">
        <f>'REG y VAL POE - AESR - ESR'!F1808</f>
        <v>0</v>
      </c>
      <c r="WY24" s="56">
        <f>'REG y VAL POE - AESR - ESR'!G1808</f>
        <v>0</v>
      </c>
      <c r="WZ24" s="57">
        <f>'REG y VAL POE - AESR - ESR'!H1808</f>
        <v>0</v>
      </c>
      <c r="XA24" s="57">
        <f>'REG y VAL POE - AESR - ESR'!I1808</f>
        <v>0</v>
      </c>
      <c r="XB24" s="56">
        <f>'REG y VAL POE - AESR - ESR'!J1808</f>
        <v>0</v>
      </c>
      <c r="XC24" s="57">
        <f>'REG y VAL POE - AESR - ESR'!K1808</f>
        <v>0</v>
      </c>
      <c r="XD24" s="58">
        <f>'REG y VAL POE - AESR - ESR'!L1808</f>
        <v>0</v>
      </c>
      <c r="XE24" s="56">
        <f>'REG y VAL POE - AESR - ESR'!M1808</f>
        <v>0</v>
      </c>
      <c r="XF24" s="57">
        <f>'REG y VAL POE - AESR - ESR'!N1808</f>
        <v>0</v>
      </c>
      <c r="XG24" s="57">
        <f>'REG y VAL POE - AESR - ESR'!O1808</f>
        <v>0</v>
      </c>
      <c r="XH24" s="57">
        <f>'REG y VAL POE - AESR - ESR'!P1808</f>
        <v>0</v>
      </c>
      <c r="XI24" s="56">
        <f>'REG y VAL POE - AESR - ESR'!Q1808</f>
        <v>0</v>
      </c>
      <c r="XJ24" s="57">
        <f>'REG y VAL POE - AESR - ESR'!R1808</f>
        <v>0</v>
      </c>
      <c r="XK24" s="57">
        <f>'REG y VAL POE - AESR - ESR'!S1808</f>
        <v>0</v>
      </c>
      <c r="XL24" s="56">
        <f>'REG y VAL POE - AESR - ESR'!T1808</f>
        <v>0</v>
      </c>
      <c r="XM24" s="57">
        <f>'REG y VAL POE - AESR - ESR'!U1808</f>
        <v>0</v>
      </c>
      <c r="XN24" s="58">
        <f>'REG y VAL POE - AESR - ESR'!V1808</f>
        <v>0</v>
      </c>
      <c r="XO24" s="56">
        <f>'REG y VAL POE - AESR - ESR'!W1808</f>
        <v>0</v>
      </c>
      <c r="XP24" s="57">
        <f>'REG y VAL POE - AESR - ESR'!X1808</f>
        <v>0</v>
      </c>
      <c r="XQ24" s="57">
        <f>'REG y VAL POE - AESR - ESR'!Y1808</f>
        <v>0</v>
      </c>
      <c r="XR24" s="57">
        <f>'REG y VAL POE - AESR - ESR'!Z1808</f>
        <v>0</v>
      </c>
      <c r="XS24" s="56">
        <f>'REG y VAL POE - AESR - ESR'!AA1808</f>
        <v>0</v>
      </c>
      <c r="XT24" s="57">
        <f>'REG y VAL POE - AESR - ESR'!AB1808</f>
        <v>0</v>
      </c>
      <c r="XU24" s="57">
        <f>'REG y VAL POE - AESR - ESR'!AC1808</f>
        <v>0</v>
      </c>
      <c r="XV24" s="56">
        <f>'REG y VAL POE - AESR - ESR'!AD1808</f>
        <v>0</v>
      </c>
      <c r="XW24" s="57">
        <f>'REG y VAL POE - AESR - ESR'!AE1808</f>
        <v>0</v>
      </c>
      <c r="XX24" s="58">
        <f>'REG y VAL POE - AESR - ESR'!AF1808</f>
        <v>0</v>
      </c>
      <c r="XY24" s="56">
        <f>'REG y VAL POE - AESR - ESR'!AG1808</f>
        <v>0</v>
      </c>
      <c r="XZ24" s="57">
        <f>'REG y VAL POE - AESR - ESR'!AH1808</f>
        <v>0</v>
      </c>
      <c r="YA24" s="57">
        <f>'REG y VAL POE - AESR - ESR'!AI1808</f>
        <v>0</v>
      </c>
      <c r="YB24" s="57">
        <f>'REG y VAL POE - AESR - ESR'!AJ1808</f>
        <v>0</v>
      </c>
      <c r="YC24" s="56">
        <f>'REG y VAL POE - AESR - ESR'!AK1808</f>
        <v>0</v>
      </c>
      <c r="YD24" s="57">
        <f>'REG y VAL POE - AESR - ESR'!AL1808</f>
        <v>0</v>
      </c>
      <c r="YE24" s="57">
        <f>'REG y VAL POE - AESR - ESR'!AM1808</f>
        <v>0</v>
      </c>
      <c r="YF24" s="56">
        <f>'REG y VAL POE - AESR - ESR'!AN1808</f>
        <v>0</v>
      </c>
      <c r="YG24" s="57">
        <f>'REG y VAL POE - AESR - ESR'!AO1808</f>
        <v>0</v>
      </c>
      <c r="YH24" s="58">
        <f>'REG y VAL POE - AESR - ESR'!AP1808</f>
        <v>0</v>
      </c>
      <c r="YI24" s="56">
        <f>'REG y VAL POE - AESR - ESR'!AQ1808</f>
        <v>0</v>
      </c>
      <c r="YJ24" s="57">
        <f>'REG y VAL POE - AESR - ESR'!AR1808</f>
        <v>0</v>
      </c>
      <c r="YK24" s="57">
        <f>'REG y VAL POE - AESR - ESR'!AS1808</f>
        <v>0</v>
      </c>
      <c r="YL24" s="57"/>
      <c r="YM24" s="56"/>
      <c r="YN24" s="57"/>
      <c r="YO24" s="57"/>
      <c r="YP24" s="56"/>
      <c r="YQ24" s="57"/>
      <c r="YR24" s="58"/>
      <c r="YS24" s="56"/>
      <c r="YT24" s="57"/>
      <c r="YU24" s="57"/>
      <c r="YV24" s="57"/>
      <c r="YW24" s="56"/>
      <c r="YX24" s="57"/>
      <c r="YY24" s="57"/>
      <c r="YZ24" s="56"/>
      <c r="ZA24" s="57"/>
      <c r="ZB24" s="58"/>
      <c r="ZC24" s="56"/>
      <c r="ZD24" s="57"/>
      <c r="ZE24" s="57"/>
      <c r="ZF24" s="57"/>
      <c r="ZG24" s="56"/>
      <c r="ZH24" s="57"/>
      <c r="ZI24" s="57"/>
      <c r="ZJ24" s="56"/>
      <c r="ZK24" s="57"/>
      <c r="ZL24" s="58"/>
      <c r="ZM24" s="56"/>
      <c r="ZN24" s="57"/>
      <c r="ZO24" s="57"/>
      <c r="ZP24" s="57"/>
      <c r="ZQ24" s="56"/>
      <c r="ZR24" s="57"/>
      <c r="ZS24" s="57"/>
      <c r="ZT24" s="56"/>
      <c r="ZU24" s="57"/>
      <c r="ZV24" s="58"/>
      <c r="ZW24" s="56"/>
      <c r="ZX24" s="57"/>
      <c r="ZY24" s="57"/>
      <c r="ZZ24" s="57"/>
      <c r="AAA24" s="56"/>
      <c r="AAB24" s="57"/>
      <c r="AAC24" s="57"/>
      <c r="AAD24" s="56"/>
      <c r="AAE24" s="57"/>
      <c r="AAF24" s="58"/>
      <c r="AAG24" s="56"/>
      <c r="AAH24" s="57"/>
      <c r="AAI24" s="57"/>
      <c r="AAJ24" s="57"/>
      <c r="AAK24" s="56"/>
      <c r="AAL24" s="57"/>
      <c r="AAM24" s="57"/>
      <c r="AAN24" s="56"/>
      <c r="AAO24" s="57"/>
      <c r="AAP24" s="58"/>
      <c r="AAQ24" s="56"/>
      <c r="AAR24" s="57"/>
      <c r="AAS24" s="57"/>
      <c r="AAT24" s="57"/>
      <c r="AAU24" s="56"/>
      <c r="AAV24" s="57"/>
      <c r="AAW24" s="57"/>
      <c r="AAX24" s="58"/>
      <c r="AAY24" s="58"/>
      <c r="AAZ24" s="58"/>
      <c r="ABA24" s="56"/>
      <c r="ABB24" s="58"/>
      <c r="ABC24" s="58"/>
      <c r="ABD24" s="58"/>
      <c r="ABE24" s="58"/>
      <c r="ABF24" s="58"/>
      <c r="ABG24" s="57"/>
      <c r="ABH24" s="56"/>
      <c r="ABI24" s="57"/>
      <c r="ABJ24" s="58"/>
      <c r="ABK24" s="56"/>
      <c r="ABL24" s="57"/>
      <c r="ABM24" s="57"/>
      <c r="ABN24" s="57"/>
      <c r="ABO24" s="56"/>
      <c r="ABP24" s="57"/>
      <c r="ABQ24" s="57"/>
      <c r="ABR24" s="56"/>
      <c r="ABS24" s="57"/>
      <c r="ABT24" s="58"/>
      <c r="ABU24" s="56"/>
      <c r="ABV24" s="57"/>
      <c r="ABW24" s="57"/>
      <c r="ABX24" s="57"/>
      <c r="ABY24" s="56"/>
      <c r="ABZ24" s="57"/>
      <c r="ACA24" s="57"/>
      <c r="ACB24" s="56"/>
      <c r="ACC24" s="57"/>
      <c r="ACD24" s="58"/>
      <c r="ACE24" s="56"/>
      <c r="ACF24" s="57"/>
      <c r="ACG24" s="57"/>
      <c r="ACH24" s="57"/>
      <c r="ACI24" s="56"/>
      <c r="ACJ24" s="57"/>
      <c r="ACK24" s="57"/>
      <c r="ACL24" s="56"/>
      <c r="ACM24" s="57"/>
      <c r="ACN24" s="58"/>
      <c r="ACO24" s="56"/>
      <c r="ACP24" s="57"/>
      <c r="ACQ24" s="57"/>
      <c r="ACR24" s="57"/>
      <c r="ACS24" s="56"/>
      <c r="ACT24" s="57"/>
      <c r="ACU24" s="57"/>
      <c r="ACV24" s="56"/>
      <c r="ACW24" s="57"/>
      <c r="ACX24" s="58"/>
      <c r="ACY24" s="56"/>
      <c r="ACZ24" s="57"/>
      <c r="ADA24" s="57"/>
      <c r="ADB24" s="57"/>
      <c r="ADC24" s="56"/>
      <c r="ADD24" s="57"/>
      <c r="ADE24" s="57"/>
      <c r="ADF24" s="56"/>
      <c r="ADG24" s="57"/>
      <c r="ADH24" s="58"/>
      <c r="ADI24" s="56"/>
      <c r="ADJ24" s="57"/>
      <c r="ADK24" s="57"/>
      <c r="ADL24" s="57"/>
      <c r="ADM24" s="56"/>
      <c r="ADN24" s="57"/>
      <c r="ADO24" s="57"/>
      <c r="ADP24" s="56"/>
      <c r="ADQ24" s="57"/>
      <c r="ADR24" s="58"/>
      <c r="ADS24" s="56"/>
      <c r="ADT24" s="57"/>
      <c r="ADU24" s="57"/>
      <c r="ADV24" s="57"/>
      <c r="ADW24" s="56"/>
      <c r="ADX24" s="57"/>
      <c r="ADY24" s="57"/>
      <c r="ADZ24" s="56"/>
      <c r="AEA24" s="57"/>
      <c r="AEB24" s="58"/>
      <c r="AEC24" s="56"/>
      <c r="AED24" s="57"/>
      <c r="AEE24" s="57"/>
      <c r="AEF24" s="57"/>
      <c r="AEG24" s="56"/>
      <c r="AEH24" s="57"/>
      <c r="AEI24" s="57"/>
      <c r="AEJ24" s="56"/>
      <c r="AEK24" s="57"/>
      <c r="AEL24" s="58"/>
      <c r="AEM24" s="56"/>
      <c r="AEN24" s="57"/>
      <c r="AEO24" s="57"/>
      <c r="AEP24" s="57"/>
      <c r="AEQ24" s="56"/>
      <c r="AER24" s="57"/>
      <c r="AES24" s="57"/>
      <c r="AET24" s="56"/>
      <c r="AEU24" s="57"/>
      <c r="AEV24" s="58"/>
      <c r="AEW24" s="56"/>
      <c r="AEX24" s="57"/>
      <c r="AEY24" s="57"/>
      <c r="AEZ24" s="57"/>
      <c r="AFA24" s="56"/>
      <c r="AFB24" s="57"/>
      <c r="AFC24" s="57"/>
      <c r="AFD24" s="56"/>
      <c r="AFE24" s="57"/>
      <c r="AFF24" s="58"/>
      <c r="AFG24" s="56"/>
      <c r="AFH24" s="57"/>
      <c r="AFI24" s="57"/>
      <c r="AFJ24" s="57"/>
      <c r="AFK24" s="56"/>
      <c r="AFL24" s="57"/>
      <c r="AFM24" s="57"/>
      <c r="AFN24" s="56"/>
      <c r="AFO24" s="57"/>
      <c r="AFP24" s="58"/>
      <c r="AFQ24" s="56"/>
      <c r="AFR24" s="57"/>
      <c r="AFS24" s="57"/>
      <c r="AFT24" s="57"/>
      <c r="AFU24" s="56"/>
      <c r="AFV24" s="57"/>
      <c r="AFW24" s="57"/>
      <c r="AFX24" s="56"/>
      <c r="AFY24" s="57"/>
      <c r="AFZ24" s="58"/>
      <c r="AGA24" s="56"/>
      <c r="AGB24" s="57"/>
      <c r="AGC24" s="57"/>
      <c r="AGD24" s="57"/>
      <c r="AGE24" s="56"/>
      <c r="AGF24" s="57"/>
      <c r="AGG24" s="57"/>
      <c r="AGH24" s="56"/>
      <c r="AGI24" s="57"/>
      <c r="AGJ24" s="58"/>
      <c r="AGK24" s="56"/>
      <c r="AGL24" s="57"/>
      <c r="AGM24" s="57"/>
      <c r="AGN24" s="57"/>
      <c r="AGO24" s="56"/>
      <c r="AGP24" s="57"/>
      <c r="AGQ24" s="57"/>
      <c r="AGR24" s="56"/>
      <c r="AGS24" s="57"/>
      <c r="AGT24" s="58"/>
      <c r="AGU24" s="56"/>
      <c r="AGV24" s="57"/>
      <c r="AGW24" s="57"/>
      <c r="AGX24" s="57"/>
      <c r="AGY24" s="56"/>
      <c r="AGZ24" s="57"/>
      <c r="AHA24" s="57"/>
      <c r="AHB24" s="56"/>
      <c r="AHC24" s="57"/>
      <c r="AHD24" s="58"/>
      <c r="AHE24" s="56"/>
      <c r="AHF24" s="57"/>
      <c r="AHG24" s="57"/>
      <c r="AHH24" s="57"/>
      <c r="AHI24" s="56"/>
      <c r="AHJ24" s="57"/>
      <c r="AHK24" s="57"/>
      <c r="AHL24" s="56"/>
      <c r="AHM24" s="57"/>
      <c r="AHN24" s="58"/>
      <c r="AHO24" s="56"/>
      <c r="AHP24" s="57"/>
      <c r="AHQ24" s="57"/>
      <c r="AHR24" s="57"/>
      <c r="AHS24" s="56"/>
      <c r="AHT24" s="57"/>
      <c r="AHU24" s="57"/>
      <c r="AHV24" s="56"/>
      <c r="AHW24" s="57"/>
      <c r="AHX24" s="58"/>
      <c r="AHY24" s="56"/>
      <c r="AHZ24" s="57"/>
      <c r="AIA24" s="57"/>
      <c r="AIB24" s="57"/>
      <c r="AIC24" s="56"/>
      <c r="AID24" s="57"/>
      <c r="AIE24" s="57"/>
      <c r="AIF24" s="56"/>
      <c r="AIG24" s="57"/>
      <c r="AIH24" s="58"/>
      <c r="AII24" s="56"/>
      <c r="AIJ24" s="57"/>
      <c r="AIK24" s="57"/>
      <c r="AIL24" s="57"/>
      <c r="AIM24" s="56"/>
      <c r="AIN24" s="57"/>
      <c r="AIO24" s="57"/>
      <c r="AIP24" s="56"/>
      <c r="AIQ24" s="57"/>
      <c r="AIR24" s="58"/>
      <c r="AIS24" s="56"/>
      <c r="AIT24" s="57"/>
      <c r="AIU24" s="57"/>
      <c r="AIV24" s="57"/>
      <c r="AIW24" s="56"/>
      <c r="AIX24" s="57"/>
      <c r="AIY24" s="57"/>
      <c r="AIZ24" s="56"/>
      <c r="AJA24" s="57"/>
      <c r="AJB24" s="58"/>
      <c r="AJC24" s="56"/>
      <c r="AJD24" s="57"/>
      <c r="AJE24" s="57"/>
      <c r="AJF24" s="57"/>
      <c r="AJG24" s="56"/>
      <c r="AJH24" s="57"/>
      <c r="AJI24" s="57"/>
      <c r="AJJ24" s="56"/>
      <c r="AJK24" s="57"/>
      <c r="AJL24" s="58"/>
      <c r="AJM24" s="56"/>
      <c r="AJN24" s="57"/>
      <c r="AJO24" s="57"/>
      <c r="AJP24" s="57"/>
      <c r="AJQ24" s="56"/>
      <c r="AJR24" s="57"/>
      <c r="AJS24" s="57"/>
      <c r="AJT24" s="56"/>
      <c r="AJU24" s="57"/>
      <c r="AJV24" s="58"/>
      <c r="AJW24" s="56"/>
      <c r="AJX24" s="57"/>
      <c r="AJY24" s="57"/>
      <c r="AJZ24" s="57"/>
      <c r="AKA24" s="56"/>
      <c r="AKB24" s="57"/>
      <c r="AKC24" s="57"/>
      <c r="AKD24" s="56"/>
      <c r="AKE24" s="57"/>
      <c r="AKF24" s="58"/>
      <c r="AKG24" s="56"/>
      <c r="AKH24" s="57"/>
      <c r="AKI24" s="57"/>
      <c r="AKJ24" s="57"/>
      <c r="AKK24" s="56"/>
      <c r="AKL24" s="57"/>
      <c r="AKM24" s="57"/>
      <c r="AKN24" s="56"/>
      <c r="AKO24" s="57"/>
      <c r="AKP24" s="58"/>
      <c r="AKQ24" s="56"/>
      <c r="AKR24" s="57"/>
      <c r="AKS24" s="57"/>
      <c r="AKT24" s="57"/>
      <c r="AKU24" s="56"/>
      <c r="AKV24" s="57"/>
      <c r="AKW24" s="57"/>
      <c r="AKX24" s="56"/>
      <c r="AKY24" s="57"/>
      <c r="AKZ24" s="58"/>
      <c r="ALA24" s="56"/>
      <c r="ALB24" s="57"/>
      <c r="ALC24" s="57"/>
      <c r="ALD24" s="57"/>
      <c r="ALE24" s="56"/>
      <c r="ALF24" s="57"/>
      <c r="ALG24" s="57"/>
      <c r="ALH24" s="57"/>
      <c r="ALI24" s="57"/>
      <c r="ALJ24" s="57"/>
      <c r="ALK24" s="56"/>
      <c r="ALL24" s="57"/>
      <c r="ALM24" s="57"/>
      <c r="ALN24" s="56"/>
      <c r="ALO24" s="57"/>
      <c r="ALP24" s="58"/>
      <c r="ALQ24" s="56"/>
      <c r="ALR24" s="57"/>
      <c r="ALS24" s="57"/>
      <c r="ALT24" s="57"/>
      <c r="ALU24" s="56"/>
      <c r="ALV24" s="57"/>
      <c r="ALW24" s="57"/>
      <c r="ALX24" s="56"/>
      <c r="ALY24" s="57"/>
      <c r="ALZ24" s="58"/>
      <c r="AMA24" s="56"/>
      <c r="AMB24" s="57"/>
      <c r="AMC24" s="57"/>
      <c r="AMD24" s="57"/>
      <c r="AME24" s="56"/>
      <c r="AMF24" s="57"/>
      <c r="AMG24" s="57"/>
      <c r="AMH24" s="57"/>
      <c r="AMI24" s="57"/>
      <c r="AMJ24" s="57"/>
      <c r="AMK24" s="56"/>
      <c r="AML24" s="57"/>
      <c r="AMM24" s="57"/>
      <c r="AMN24" s="56"/>
      <c r="AMO24" s="57"/>
      <c r="AMP24" s="58"/>
      <c r="AMQ24" s="56"/>
      <c r="AMR24" s="57"/>
      <c r="AMS24" s="57"/>
      <c r="AMT24" s="57"/>
      <c r="AMU24" s="56"/>
      <c r="AMV24" s="57"/>
      <c r="AMW24" s="57"/>
      <c r="AMX24" s="56"/>
      <c r="AMY24" s="57"/>
      <c r="AMZ24" s="58"/>
      <c r="ANA24" s="56"/>
      <c r="ANB24" s="57"/>
      <c r="ANC24" s="57"/>
      <c r="AND24" s="57"/>
      <c r="ANE24" s="56"/>
      <c r="ANF24" s="57"/>
      <c r="ANG24" s="57"/>
      <c r="ANH24" s="57"/>
      <c r="ANI24" s="57"/>
      <c r="ANJ24" s="57"/>
      <c r="ANK24" s="56"/>
      <c r="ANL24" s="57"/>
      <c r="ANM24" s="57"/>
      <c r="ANN24" s="56"/>
      <c r="ANO24" s="57"/>
      <c r="ANP24" s="58"/>
      <c r="ANQ24" s="56"/>
      <c r="ANR24" s="57"/>
      <c r="ANS24" s="57"/>
      <c r="ANT24" s="57"/>
      <c r="ANU24" s="56"/>
      <c r="ANV24" s="57"/>
      <c r="ANW24" s="57"/>
      <c r="ANX24" s="56"/>
      <c r="ANY24" s="57"/>
      <c r="ANZ24" s="58"/>
      <c r="AOA24" s="56"/>
      <c r="AOB24" s="57"/>
      <c r="AOC24" s="57"/>
      <c r="AOD24" s="57"/>
      <c r="AOE24" s="56"/>
      <c r="AOF24" s="57"/>
      <c r="AOG24" s="57"/>
      <c r="AOH24" s="57"/>
      <c r="AOI24" s="57"/>
      <c r="AOJ24" s="57"/>
      <c r="AOK24" s="56"/>
      <c r="AOL24" s="57"/>
      <c r="AOM24" s="57"/>
      <c r="AON24" s="56"/>
      <c r="AOO24" s="57"/>
      <c r="AOP24" s="58"/>
      <c r="AOQ24" s="56"/>
      <c r="AOR24" s="57"/>
      <c r="AOS24" s="57"/>
      <c r="AOT24" s="57"/>
      <c r="AOU24" s="56"/>
      <c r="AOV24" s="57"/>
      <c r="AOW24" s="57"/>
      <c r="AOX24" s="56"/>
      <c r="AOY24" s="57"/>
      <c r="AOZ24" s="58"/>
      <c r="APA24" s="56"/>
      <c r="APB24" s="57"/>
      <c r="APC24" s="57"/>
      <c r="APD24" s="57"/>
      <c r="APE24" s="56"/>
      <c r="APF24" s="57"/>
      <c r="APG24" s="57"/>
      <c r="APH24" s="57"/>
      <c r="API24" s="57"/>
      <c r="APJ24" s="57"/>
      <c r="APK24" s="56"/>
      <c r="APL24" s="57"/>
      <c r="APM24" s="57"/>
      <c r="APN24" s="56"/>
      <c r="APO24" s="57"/>
      <c r="APP24" s="58"/>
      <c r="APQ24" s="56"/>
      <c r="APR24" s="57"/>
      <c r="APS24" s="57"/>
      <c r="APT24" s="57"/>
      <c r="APU24" s="56"/>
      <c r="APV24" s="57"/>
      <c r="APW24" s="57"/>
      <c r="APX24" s="56"/>
      <c r="APY24" s="57"/>
      <c r="APZ24" s="58"/>
      <c r="AQA24" s="56"/>
      <c r="AQB24" s="57"/>
      <c r="AQC24" s="57"/>
      <c r="AQD24" s="57"/>
      <c r="AQE24" s="56"/>
      <c r="AQF24" s="57"/>
      <c r="AQG24" s="57"/>
      <c r="AQH24" s="57"/>
      <c r="AQI24" s="57"/>
      <c r="AQJ24" s="57"/>
      <c r="AQK24" s="56"/>
      <c r="AQL24" s="57"/>
      <c r="AQM24" s="57"/>
      <c r="AQN24" s="56"/>
      <c r="AQO24" s="57"/>
      <c r="AQP24" s="58"/>
      <c r="AQQ24" s="56"/>
      <c r="AQR24" s="57"/>
      <c r="AQS24" s="57"/>
      <c r="AQT24" s="57"/>
      <c r="AQU24" s="56"/>
      <c r="AQV24" s="57"/>
      <c r="AQW24" s="57"/>
      <c r="AQX24" s="56"/>
      <c r="AQY24" s="57"/>
      <c r="AQZ24" s="58"/>
      <c r="ARA24" s="56"/>
      <c r="ARB24" s="57"/>
      <c r="ARC24" s="57"/>
      <c r="ARD24" s="57"/>
      <c r="ARE24" s="56"/>
      <c r="ARF24" s="57"/>
      <c r="ARG24" s="57"/>
      <c r="ARH24" s="57"/>
      <c r="ARI24" s="57"/>
      <c r="ARJ24" s="57"/>
      <c r="ARK24" s="56"/>
      <c r="ARL24" s="57"/>
      <c r="ARM24" s="57"/>
      <c r="ARN24" s="56"/>
      <c r="ARO24" s="57"/>
      <c r="ARP24" s="58"/>
      <c r="ARQ24" s="56"/>
      <c r="ARR24" s="57"/>
      <c r="ARS24" s="57"/>
      <c r="ART24" s="57"/>
      <c r="ARU24" s="56"/>
      <c r="ARV24" s="57"/>
      <c r="ARW24" s="57"/>
      <c r="ARX24" s="56"/>
      <c r="ARY24" s="57"/>
      <c r="ARZ24" s="58"/>
      <c r="ASA24" s="56"/>
      <c r="ASB24" s="57"/>
      <c r="ASC24" s="57"/>
      <c r="ASD24" s="57"/>
      <c r="ASE24" s="56"/>
      <c r="ASF24" s="57"/>
      <c r="ASG24" s="57"/>
      <c r="ASH24" s="57"/>
      <c r="ASI24" s="57"/>
      <c r="ASJ24" s="57"/>
      <c r="ASK24" s="56"/>
      <c r="ASL24" s="57"/>
      <c r="ASM24" s="57"/>
      <c r="ASN24" s="56"/>
      <c r="ASO24" s="57"/>
      <c r="ASP24" s="58"/>
      <c r="ASQ24" s="56"/>
      <c r="ASR24" s="57"/>
      <c r="ASS24" s="57"/>
      <c r="AST24" s="57"/>
      <c r="ASU24" s="56"/>
      <c r="ASV24" s="57"/>
      <c r="ASW24" s="57"/>
      <c r="ASX24" s="56"/>
      <c r="ASY24" s="57"/>
      <c r="ASZ24" s="58"/>
      <c r="ATA24" s="56"/>
      <c r="ATB24" s="57"/>
      <c r="ATC24" s="57"/>
      <c r="ATD24" s="57"/>
      <c r="ATE24" s="56"/>
      <c r="ATF24" s="57"/>
      <c r="ATG24" s="57"/>
      <c r="ATH24" s="57"/>
      <c r="ATI24" s="57"/>
      <c r="ATJ24" s="57"/>
      <c r="ATK24" s="56"/>
      <c r="ATL24" s="57"/>
      <c r="ATM24" s="57"/>
      <c r="ATN24" s="56"/>
      <c r="ATO24" s="57"/>
      <c r="ATP24" s="58"/>
      <c r="ATQ24" s="56"/>
      <c r="ATR24" s="57"/>
      <c r="ATS24" s="57"/>
      <c r="ATT24" s="57"/>
      <c r="ATU24" s="56"/>
      <c r="ATV24" s="57"/>
      <c r="ATW24" s="57"/>
      <c r="ATX24" s="56"/>
      <c r="ATY24" s="57"/>
      <c r="ATZ24" s="58"/>
      <c r="AUA24" s="56"/>
      <c r="AUB24" s="57"/>
      <c r="AUC24" s="57"/>
      <c r="AUD24" s="57"/>
      <c r="AUE24" s="56"/>
      <c r="AUF24" s="57"/>
      <c r="AUG24" s="57"/>
      <c r="AUH24" s="57"/>
      <c r="AUI24" s="57"/>
      <c r="AUJ24" s="57"/>
      <c r="AUK24" s="56"/>
      <c r="AUL24" s="57"/>
      <c r="AUM24" s="57"/>
      <c r="AUN24" s="56"/>
      <c r="AUO24" s="57"/>
      <c r="AUP24" s="58"/>
      <c r="AUQ24" s="56"/>
      <c r="AUR24" s="57"/>
      <c r="AUS24" s="57"/>
      <c r="AUT24" s="57"/>
      <c r="AUU24" s="56"/>
      <c r="AUV24" s="57"/>
      <c r="AUW24" s="57"/>
      <c r="AUX24" s="56"/>
      <c r="AUY24" s="57"/>
      <c r="AUZ24" s="58"/>
      <c r="AVA24" s="56"/>
      <c r="AVB24" s="57"/>
      <c r="AVC24" s="57"/>
      <c r="AVD24" s="57"/>
      <c r="AVE24" s="56"/>
      <c r="AVF24" s="57"/>
      <c r="AVG24" s="57"/>
      <c r="AVH24" s="57"/>
      <c r="AVI24" s="57"/>
      <c r="AVJ24" s="57"/>
      <c r="AVK24" s="56"/>
      <c r="AVL24" s="57"/>
      <c r="AVM24" s="57"/>
      <c r="AVN24" s="56"/>
      <c r="AVO24" s="57"/>
      <c r="AVP24" s="58"/>
      <c r="AVQ24" s="56"/>
      <c r="AVR24" s="57"/>
      <c r="AVS24" s="57"/>
      <c r="AVT24" s="57"/>
      <c r="AVU24" s="56"/>
      <c r="AVV24" s="57"/>
      <c r="AVW24" s="57"/>
      <c r="AVX24" s="56"/>
      <c r="AVY24" s="57"/>
      <c r="AVZ24" s="58"/>
      <c r="AWA24" s="56"/>
      <c r="AWB24" s="57"/>
      <c r="AWC24" s="57"/>
      <c r="AWD24" s="57"/>
      <c r="AWE24" s="56"/>
      <c r="AWF24" s="57"/>
      <c r="AWG24" s="57"/>
      <c r="AWH24" s="57"/>
      <c r="AWI24" s="57"/>
      <c r="AWJ24" s="57"/>
      <c r="AWK24" s="56"/>
      <c r="AWL24" s="57"/>
      <c r="AWM24" s="57"/>
      <c r="AWN24" s="56"/>
      <c r="AWO24" s="57"/>
      <c r="AWP24" s="58"/>
      <c r="AWQ24" s="56"/>
      <c r="AWR24" s="57"/>
      <c r="AWS24" s="57"/>
      <c r="AWT24" s="57"/>
      <c r="AWU24" s="56"/>
      <c r="AWV24" s="57"/>
      <c r="AWW24" s="57"/>
      <c r="AWX24" s="56"/>
      <c r="AWY24" s="57"/>
      <c r="AWZ24" s="58"/>
      <c r="AXA24" s="56"/>
      <c r="AXB24" s="57"/>
      <c r="AXC24" s="57"/>
      <c r="AXD24" s="57"/>
      <c r="AXE24" s="56"/>
      <c r="AXF24" s="57"/>
      <c r="AXG24" s="57"/>
      <c r="AXH24" s="57"/>
      <c r="AXI24" s="57"/>
      <c r="AXJ24" s="57"/>
      <c r="AXK24" s="56"/>
      <c r="AXL24" s="57"/>
      <c r="AXM24" s="57"/>
      <c r="AXN24" s="56"/>
      <c r="AXO24" s="57"/>
      <c r="AXP24" s="58"/>
      <c r="AXQ24" s="56"/>
      <c r="AXR24" s="57"/>
      <c r="AXS24" s="57"/>
      <c r="AXT24" s="57"/>
      <c r="AXU24" s="56"/>
      <c r="AXV24" s="57"/>
      <c r="AXW24" s="57"/>
      <c r="AXX24" s="56"/>
      <c r="AXY24" s="57"/>
      <c r="AXZ24" s="58"/>
      <c r="AYA24" s="56"/>
      <c r="AYB24" s="57"/>
      <c r="AYC24" s="57"/>
      <c r="AYD24" s="57"/>
      <c r="AYE24" s="56"/>
      <c r="AYF24" s="57"/>
      <c r="AYG24" s="57"/>
      <c r="AYH24" s="57"/>
      <c r="AYI24" s="57"/>
      <c r="AYJ24" s="57"/>
      <c r="AYK24" s="56"/>
      <c r="AYL24" s="57"/>
      <c r="AYM24" s="57"/>
      <c r="AYN24" s="56"/>
      <c r="AYO24" s="57"/>
      <c r="AYP24" s="58"/>
      <c r="AYQ24" s="56"/>
      <c r="AYR24" s="57"/>
      <c r="AYS24" s="57"/>
      <c r="AYT24" s="57"/>
      <c r="AYU24" s="56"/>
      <c r="AYV24" s="57"/>
      <c r="AYW24" s="57"/>
      <c r="AYX24" s="56"/>
      <c r="AYY24" s="57"/>
      <c r="AYZ24" s="58"/>
      <c r="AZA24" s="56"/>
      <c r="AZB24" s="57"/>
      <c r="AZC24" s="57"/>
      <c r="AZD24" s="57"/>
      <c r="AZE24" s="56"/>
      <c r="AZF24" s="57"/>
      <c r="AZG24" s="57"/>
      <c r="AZH24" s="57"/>
      <c r="AZI24" s="57"/>
      <c r="AZJ24" s="57"/>
      <c r="AZK24" s="56"/>
      <c r="AZL24" s="57"/>
      <c r="AZM24" s="57"/>
      <c r="AZN24" s="56"/>
      <c r="AZO24" s="57"/>
      <c r="AZP24" s="58"/>
      <c r="AZQ24" s="56"/>
      <c r="AZR24" s="57"/>
      <c r="AZS24" s="57"/>
      <c r="AZT24" s="57"/>
      <c r="AZU24" s="56"/>
      <c r="AZV24" s="57"/>
      <c r="AZW24" s="57"/>
      <c r="AZX24" s="56"/>
      <c r="AZY24" s="57"/>
      <c r="AZZ24" s="58"/>
      <c r="BAA24" s="56"/>
      <c r="BAB24" s="57"/>
      <c r="BAC24" s="57"/>
      <c r="BAD24" s="57"/>
      <c r="BAE24" s="56"/>
      <c r="BAF24" s="57"/>
      <c r="BAG24" s="57"/>
      <c r="BAH24" s="57"/>
      <c r="BAI24" s="57"/>
      <c r="BAJ24" s="57"/>
      <c r="BAK24" s="56"/>
      <c r="BAL24" s="57"/>
      <c r="BAM24" s="57"/>
      <c r="BAN24" s="56"/>
      <c r="BAO24" s="57"/>
      <c r="BAP24" s="58"/>
      <c r="BAQ24" s="56"/>
      <c r="BAR24" s="57"/>
      <c r="BAS24" s="57"/>
      <c r="BAT24" s="57"/>
      <c r="BAU24" s="56"/>
      <c r="BAV24" s="57"/>
      <c r="BAW24" s="57"/>
      <c r="BAX24" s="56"/>
      <c r="BAY24" s="57"/>
      <c r="BAZ24" s="58"/>
      <c r="BBA24" s="56"/>
      <c r="BBB24" s="57"/>
      <c r="BBC24" s="57"/>
      <c r="BBD24" s="57"/>
      <c r="BBE24" s="56"/>
      <c r="BBF24" s="57"/>
      <c r="BBG24" s="57"/>
      <c r="BBH24" s="57"/>
      <c r="BBI24" s="57"/>
      <c r="BBJ24" s="57"/>
      <c r="BBK24" s="56"/>
      <c r="BBL24" s="57"/>
      <c r="BBM24" s="57"/>
      <c r="BBN24" s="56"/>
      <c r="BBO24" s="57"/>
      <c r="BBP24" s="58"/>
      <c r="BBQ24" s="56"/>
      <c r="BBR24" s="57"/>
      <c r="BBS24" s="57"/>
      <c r="BBT24" s="57"/>
      <c r="BBU24" s="56"/>
      <c r="BBV24" s="57"/>
      <c r="BBW24" s="57"/>
      <c r="BBX24" s="56"/>
      <c r="BBY24" s="57"/>
      <c r="BBZ24" s="58"/>
      <c r="BCA24" s="56"/>
      <c r="BCB24" s="57"/>
      <c r="BCC24" s="57"/>
      <c r="BCD24" s="57"/>
      <c r="BCE24" s="56"/>
      <c r="BCF24" s="57"/>
      <c r="BCG24" s="57"/>
      <c r="BCH24" s="57"/>
      <c r="BCI24" s="57"/>
      <c r="BCJ24" s="57"/>
      <c r="BCK24" s="56"/>
      <c r="BCL24" s="57"/>
      <c r="BCM24" s="57"/>
      <c r="BCN24" s="56"/>
      <c r="BCO24" s="57"/>
      <c r="BCP24" s="58"/>
      <c r="BCQ24" s="56"/>
      <c r="BCR24" s="57"/>
      <c r="BCS24" s="57"/>
      <c r="BCT24" s="57"/>
      <c r="BCU24" s="56"/>
      <c r="BCV24" s="57"/>
      <c r="BCW24" s="57"/>
      <c r="BCX24" s="56"/>
      <c r="BCY24" s="57"/>
      <c r="BCZ24" s="58"/>
      <c r="BDA24" s="56"/>
      <c r="BDB24" s="57"/>
      <c r="BDC24" s="57"/>
      <c r="BDD24" s="57"/>
      <c r="BDE24" s="56"/>
      <c r="BDF24" s="57"/>
      <c r="BDG24" s="57"/>
      <c r="BDH24" s="57"/>
      <c r="BDI24" s="57"/>
      <c r="BDJ24" s="57"/>
      <c r="BDK24" s="56"/>
      <c r="BDL24" s="57"/>
      <c r="BDM24" s="57"/>
      <c r="BDN24" s="56"/>
      <c r="BDO24" s="57"/>
      <c r="BDP24" s="58"/>
      <c r="BDQ24" s="56"/>
      <c r="BDR24" s="57"/>
      <c r="BDS24" s="57"/>
      <c r="BDT24" s="57"/>
      <c r="BDU24" s="56"/>
      <c r="BDV24" s="57"/>
      <c r="BDW24" s="57"/>
      <c r="BDX24" s="56"/>
      <c r="BDY24" s="57"/>
      <c r="BDZ24" s="58"/>
      <c r="BEA24" s="56"/>
      <c r="BEB24" s="57"/>
      <c r="BEC24" s="57"/>
      <c r="BED24" s="57"/>
      <c r="BEE24" s="56"/>
      <c r="BEF24" s="57"/>
      <c r="BEG24" s="57"/>
      <c r="BEH24" s="57"/>
      <c r="BEI24" s="57"/>
      <c r="BEJ24" s="57"/>
      <c r="BEK24" s="56"/>
      <c r="BEL24" s="57"/>
      <c r="BEM24" s="57"/>
      <c r="BEN24" s="56"/>
      <c r="BEO24" s="57"/>
      <c r="BEP24" s="58"/>
      <c r="BEQ24" s="56"/>
      <c r="BER24" s="57"/>
      <c r="BES24" s="57"/>
      <c r="BET24" s="57"/>
      <c r="BEU24" s="56"/>
      <c r="BEV24" s="57"/>
      <c r="BEW24" s="57"/>
      <c r="BEX24" s="56"/>
      <c r="BEY24" s="57"/>
      <c r="BEZ24" s="58"/>
      <c r="BFA24" s="56"/>
      <c r="BFB24" s="57"/>
      <c r="BFC24" s="57"/>
      <c r="BFD24" s="57"/>
      <c r="BFE24" s="56"/>
      <c r="BFF24" s="57"/>
      <c r="BFG24" s="57"/>
      <c r="BFH24" s="57"/>
      <c r="BFI24" s="57"/>
      <c r="BFJ24" s="57"/>
      <c r="BFK24" s="56"/>
      <c r="BFL24" s="57"/>
      <c r="BFM24" s="57"/>
      <c r="BFN24" s="56"/>
      <c r="BFO24" s="57"/>
      <c r="BFP24" s="58"/>
      <c r="BFQ24" s="56"/>
      <c r="BFR24" s="57"/>
      <c r="BFS24" s="57"/>
      <c r="BFT24" s="57"/>
      <c r="BFU24" s="56"/>
      <c r="BFV24" s="57"/>
      <c r="BFW24" s="57"/>
      <c r="BFX24" s="56"/>
      <c r="BFY24" s="57"/>
      <c r="BFZ24" s="58"/>
      <c r="BGA24" s="56"/>
      <c r="BGB24" s="57"/>
      <c r="BGC24" s="57"/>
      <c r="BGD24" s="57"/>
      <c r="BGE24" s="56"/>
      <c r="BGF24" s="57"/>
      <c r="BGG24" s="57"/>
      <c r="BGH24" s="57"/>
      <c r="BGI24" s="57"/>
      <c r="BGJ24" s="57"/>
      <c r="BGK24" s="56"/>
      <c r="BGL24" s="57"/>
      <c r="BGM24" s="57"/>
      <c r="BGN24" s="56"/>
      <c r="BGO24" s="57"/>
      <c r="BGP24" s="58"/>
      <c r="BGQ24" s="56"/>
      <c r="BGR24" s="57"/>
      <c r="BGS24" s="57"/>
      <c r="BGT24" s="57"/>
      <c r="BGU24" s="56"/>
      <c r="BGV24" s="57"/>
      <c r="BGW24" s="57"/>
      <c r="BGX24" s="56"/>
      <c r="BGY24" s="57"/>
      <c r="BGZ24" s="58"/>
      <c r="BHA24" s="56"/>
      <c r="BHB24" s="57"/>
      <c r="BHC24" s="57"/>
      <c r="BHD24" s="57"/>
      <c r="BHE24" s="56"/>
      <c r="BHF24" s="57"/>
      <c r="BHG24" s="57"/>
      <c r="BHH24" s="57"/>
      <c r="BHI24" s="57"/>
      <c r="BHJ24" s="57"/>
      <c r="BHK24" s="56"/>
      <c r="BHL24" s="57"/>
      <c r="BHM24" s="57"/>
      <c r="BHN24" s="56"/>
      <c r="BHO24" s="57"/>
      <c r="BHP24" s="58"/>
      <c r="BHQ24" s="56"/>
      <c r="BHR24" s="57"/>
      <c r="BHS24" s="57"/>
      <c r="BHT24" s="57"/>
      <c r="BHU24" s="56"/>
      <c r="BHV24" s="57"/>
      <c r="BHW24" s="57"/>
      <c r="BHX24" s="56"/>
      <c r="BHY24" s="57"/>
      <c r="BHZ24" s="58"/>
      <c r="BIA24" s="56"/>
      <c r="BIB24" s="57"/>
      <c r="BIC24" s="57"/>
      <c r="BID24" s="57"/>
      <c r="BIE24" s="56"/>
      <c r="BIF24" s="57"/>
      <c r="BIG24" s="57"/>
      <c r="BIH24" s="57"/>
      <c r="BII24" s="57"/>
      <c r="BIJ24" s="57"/>
      <c r="BIK24" s="56"/>
      <c r="BIL24" s="57"/>
      <c r="BIM24" s="57"/>
      <c r="BIN24" s="56"/>
      <c r="BIO24" s="57"/>
      <c r="BIP24" s="58"/>
      <c r="BIQ24" s="56"/>
      <c r="BIR24" s="57"/>
      <c r="BIS24" s="57"/>
      <c r="BIT24" s="57"/>
      <c r="BIU24" s="56"/>
      <c r="BIV24" s="57"/>
      <c r="BIW24" s="57"/>
      <c r="BIX24" s="56"/>
      <c r="BIY24" s="57"/>
      <c r="BIZ24" s="58"/>
      <c r="BJA24" s="56"/>
      <c r="BJB24" s="57"/>
      <c r="BJC24" s="57"/>
      <c r="BJD24" s="57"/>
      <c r="BJE24" s="56"/>
      <c r="BJF24" s="57"/>
      <c r="BJG24" s="57"/>
      <c r="BJH24" s="57"/>
      <c r="BJI24" s="57"/>
      <c r="BJJ24" s="57"/>
      <c r="BJK24" s="56"/>
      <c r="BJL24" s="57"/>
      <c r="BJM24" s="57"/>
      <c r="BJN24" s="56"/>
      <c r="BJO24" s="57"/>
      <c r="BJP24" s="58"/>
      <c r="BJQ24" s="56"/>
      <c r="BJR24" s="57"/>
      <c r="BJS24" s="57"/>
      <c r="BJT24" s="57"/>
      <c r="BJU24" s="56"/>
      <c r="BJV24" s="57"/>
      <c r="BJW24" s="57"/>
      <c r="BJX24" s="56"/>
      <c r="BJY24" s="57"/>
      <c r="BJZ24" s="58"/>
      <c r="BKA24" s="56"/>
      <c r="BKB24" s="57"/>
      <c r="BKC24" s="57"/>
      <c r="BKD24" s="57"/>
      <c r="BKE24" s="56"/>
      <c r="BKF24" s="57"/>
      <c r="BKG24" s="57"/>
      <c r="BKH24" s="57"/>
      <c r="BKI24" s="57"/>
      <c r="BKJ24" s="57"/>
      <c r="BKK24" s="56"/>
      <c r="BKL24" s="57"/>
      <c r="BKM24" s="57"/>
      <c r="BKN24" s="56"/>
      <c r="BKO24" s="57"/>
      <c r="BKP24" s="58"/>
      <c r="BKQ24" s="56"/>
      <c r="BKR24" s="57"/>
      <c r="BKS24" s="57"/>
      <c r="BKT24" s="57"/>
      <c r="BKU24" s="56"/>
      <c r="BKV24" s="57"/>
      <c r="BKW24" s="57"/>
      <c r="BKX24" s="56"/>
      <c r="BKY24" s="57"/>
      <c r="BKZ24" s="58"/>
      <c r="BLA24" s="56"/>
      <c r="BLB24" s="57"/>
      <c r="BLC24" s="57"/>
      <c r="BLD24" s="57"/>
      <c r="BLE24" s="56"/>
      <c r="BLF24" s="57"/>
      <c r="BLG24" s="57"/>
      <c r="BLH24" s="57"/>
      <c r="BLI24" s="57"/>
      <c r="BLJ24" s="57"/>
      <c r="BLK24" s="56"/>
      <c r="BLL24" s="57"/>
      <c r="BLM24" s="57"/>
      <c r="BLN24" s="56"/>
      <c r="BLO24" s="57"/>
      <c r="BLP24" s="58"/>
      <c r="BLQ24" s="56"/>
      <c r="BLR24" s="57"/>
      <c r="BLS24" s="57"/>
      <c r="BLT24" s="57"/>
      <c r="BLU24" s="56"/>
      <c r="BLV24" s="57"/>
      <c r="BLW24" s="57"/>
      <c r="BLX24" s="56"/>
      <c r="BLY24" s="57"/>
      <c r="BLZ24" s="58"/>
      <c r="BMA24" s="56"/>
      <c r="BMB24" s="57"/>
      <c r="BMC24" s="57"/>
      <c r="BMD24" s="57"/>
      <c r="BME24" s="56"/>
      <c r="BMF24" s="57"/>
      <c r="BMG24" s="57"/>
      <c r="BMH24" s="57"/>
      <c r="BMI24" s="57"/>
      <c r="BMJ24" s="57"/>
      <c r="BMK24" s="56"/>
      <c r="BML24" s="57"/>
      <c r="BMM24" s="57"/>
      <c r="BMN24" s="56"/>
      <c r="BMO24" s="57"/>
      <c r="BMP24" s="58"/>
      <c r="BMQ24" s="56"/>
      <c r="BMR24" s="57"/>
      <c r="BMS24" s="57"/>
      <c r="BMT24" s="57"/>
      <c r="BMU24" s="56"/>
      <c r="BMV24" s="57"/>
      <c r="BMW24" s="57"/>
      <c r="BMX24" s="56"/>
      <c r="BMY24" s="57"/>
      <c r="BMZ24" s="58"/>
      <c r="BNA24" s="56"/>
      <c r="BNB24" s="57"/>
      <c r="BNC24" s="57"/>
      <c r="BND24" s="57"/>
      <c r="BNE24" s="56"/>
      <c r="BNF24" s="57"/>
      <c r="BNG24" s="57"/>
      <c r="BNH24" s="57"/>
      <c r="BNI24" s="57"/>
      <c r="BNJ24" s="57"/>
      <c r="BNK24" s="56"/>
      <c r="BNL24" s="57"/>
      <c r="BNM24" s="57"/>
      <c r="BNN24" s="56"/>
      <c r="BNO24" s="57"/>
      <c r="BNP24" s="58"/>
      <c r="BNQ24" s="56"/>
      <c r="BNR24" s="57"/>
      <c r="BNS24" s="57"/>
      <c r="BNT24" s="57"/>
      <c r="BNU24" s="56"/>
      <c r="BNV24" s="57"/>
      <c r="BNW24" s="57"/>
      <c r="BNX24" s="56"/>
      <c r="BNY24" s="57"/>
      <c r="BNZ24" s="58"/>
      <c r="BOA24" s="56"/>
      <c r="BOB24" s="57"/>
      <c r="BOC24" s="57"/>
      <c r="BOD24" s="57"/>
      <c r="BOE24" s="56"/>
      <c r="BOF24" s="57"/>
      <c r="BOG24" s="57"/>
      <c r="BOH24" s="57"/>
      <c r="BOI24" s="57"/>
      <c r="BOJ24" s="57"/>
      <c r="BOK24" s="56"/>
      <c r="BOL24" s="57"/>
      <c r="BOM24" s="57"/>
      <c r="BON24" s="56"/>
      <c r="BOO24" s="57"/>
      <c r="BOP24" s="58"/>
      <c r="BOQ24" s="56"/>
      <c r="BOR24" s="57"/>
      <c r="BOS24" s="57"/>
      <c r="BOT24" s="57"/>
      <c r="BOU24" s="56"/>
      <c r="BOV24" s="57"/>
      <c r="BOW24" s="57"/>
      <c r="BOX24" s="56"/>
      <c r="BOY24" s="57"/>
      <c r="BOZ24" s="58"/>
      <c r="BPA24" s="56"/>
      <c r="BPB24" s="57"/>
      <c r="BPC24" s="57"/>
      <c r="BPD24" s="57"/>
      <c r="BPE24" s="56"/>
      <c r="BPF24" s="57"/>
      <c r="BPG24" s="57"/>
      <c r="BPH24" s="57"/>
      <c r="BPI24" s="57"/>
      <c r="BPJ24" s="57"/>
      <c r="BPK24" s="56"/>
      <c r="BPL24" s="57"/>
      <c r="BPM24" s="57"/>
      <c r="BPN24" s="56"/>
      <c r="BPO24" s="57"/>
      <c r="BPP24" s="58"/>
      <c r="BPQ24" s="56"/>
      <c r="BPR24" s="57"/>
      <c r="BPS24" s="57"/>
      <c r="BPT24" s="57"/>
      <c r="BPU24" s="56"/>
      <c r="BPV24" s="57"/>
      <c r="BPW24" s="57"/>
      <c r="BPX24" s="56"/>
      <c r="BPY24" s="57"/>
      <c r="BPZ24" s="58"/>
      <c r="BQA24" s="56"/>
      <c r="BQB24" s="57"/>
      <c r="BQC24" s="57"/>
      <c r="BQD24" s="57"/>
      <c r="BQE24" s="56"/>
      <c r="BQF24" s="57"/>
      <c r="BQG24" s="57"/>
      <c r="BQH24" s="57"/>
      <c r="BQI24" s="57"/>
      <c r="BQJ24" s="57"/>
      <c r="BQK24" s="56"/>
      <c r="BQL24" s="57"/>
      <c r="BQM24" s="57"/>
      <c r="BQN24" s="56"/>
      <c r="BQO24" s="57"/>
      <c r="BQP24" s="58"/>
      <c r="BQQ24" s="56"/>
      <c r="BQR24" s="57"/>
      <c r="BQS24" s="57"/>
      <c r="BQT24" s="57"/>
      <c r="BQU24" s="56"/>
      <c r="BQV24" s="57"/>
      <c r="BQW24" s="57"/>
      <c r="BQX24" s="56"/>
      <c r="BQY24" s="57"/>
      <c r="BQZ24" s="58"/>
      <c r="BRA24" s="56"/>
      <c r="BRB24" s="57"/>
      <c r="BRC24" s="57"/>
      <c r="BRD24" s="57"/>
      <c r="BRE24" s="56"/>
      <c r="BRF24" s="57"/>
      <c r="BRG24" s="57"/>
      <c r="BRH24" s="57"/>
      <c r="BRI24" s="57"/>
      <c r="BRJ24" s="57"/>
      <c r="BRK24" s="56"/>
      <c r="BRL24" s="57"/>
      <c r="BRM24" s="57"/>
      <c r="BRN24" s="56"/>
      <c r="BRO24" s="57"/>
      <c r="BRP24" s="58"/>
      <c r="BRQ24" s="56"/>
      <c r="BRR24" s="57"/>
      <c r="BRS24" s="57"/>
      <c r="BRT24" s="57"/>
      <c r="BRU24" s="56"/>
      <c r="BRV24" s="57"/>
      <c r="BRW24" s="57"/>
      <c r="BRX24" s="56"/>
      <c r="BRY24" s="57"/>
      <c r="BRZ24" s="58"/>
      <c r="BSA24" s="56"/>
      <c r="BSB24" s="57"/>
      <c r="BSC24" s="57"/>
      <c r="BSD24" s="57"/>
      <c r="BSE24" s="56"/>
      <c r="BSF24" s="57"/>
      <c r="BSG24" s="57"/>
      <c r="BSH24" s="57"/>
      <c r="BSI24" s="57"/>
      <c r="BSJ24" s="57"/>
      <c r="BSK24" s="56"/>
      <c r="BSL24" s="57"/>
      <c r="BSM24" s="57"/>
      <c r="BSN24" s="56"/>
      <c r="BSO24" s="57"/>
      <c r="BSP24" s="58"/>
      <c r="BSQ24" s="56"/>
      <c r="BSR24" s="57"/>
      <c r="BSS24" s="57"/>
      <c r="BST24" s="57"/>
      <c r="BSU24" s="56"/>
      <c r="BSV24" s="57"/>
      <c r="BSW24" s="57"/>
      <c r="BSX24" s="56"/>
      <c r="BSY24" s="57"/>
      <c r="BSZ24" s="58"/>
      <c r="BTA24" s="56"/>
      <c r="BTB24" s="57"/>
      <c r="BTC24" s="57"/>
      <c r="BTD24" s="57"/>
      <c r="BTE24" s="56"/>
      <c r="BTF24" s="57"/>
      <c r="BTG24" s="57"/>
      <c r="BTH24" s="57"/>
      <c r="BTI24" s="57"/>
      <c r="BTJ24" s="57"/>
      <c r="BTK24" s="56"/>
      <c r="BTL24" s="57"/>
      <c r="BTM24" s="57"/>
      <c r="BTN24" s="56"/>
      <c r="BTO24" s="57"/>
      <c r="BTP24" s="58"/>
      <c r="BTQ24" s="56"/>
      <c r="BTR24" s="57"/>
      <c r="BTS24" s="57"/>
      <c r="BTT24" s="57"/>
      <c r="BTU24" s="56"/>
      <c r="BTV24" s="57"/>
      <c r="BTW24" s="57"/>
      <c r="BTX24" s="56"/>
      <c r="BTY24" s="57"/>
      <c r="BTZ24" s="58"/>
      <c r="BUA24" s="56"/>
      <c r="BUB24" s="57"/>
      <c r="BUC24" s="57"/>
      <c r="BUD24" s="57"/>
      <c r="BUE24" s="56"/>
      <c r="BUF24" s="57"/>
      <c r="BUG24" s="57"/>
      <c r="BUH24" s="57"/>
      <c r="BUI24" s="57"/>
      <c r="BUJ24" s="57"/>
      <c r="BUK24" s="56"/>
      <c r="BUL24" s="57"/>
      <c r="BUM24" s="57"/>
      <c r="BUN24" s="56"/>
      <c r="BUO24" s="57"/>
      <c r="BUP24" s="58"/>
      <c r="BUQ24" s="56"/>
      <c r="BUR24" s="57"/>
      <c r="BUS24" s="57"/>
      <c r="BUT24" s="57"/>
      <c r="BUU24" s="56"/>
      <c r="BUV24" s="57"/>
      <c r="BUW24" s="57"/>
      <c r="BUX24" s="56"/>
      <c r="BUY24" s="57"/>
      <c r="BUZ24" s="58"/>
      <c r="BVA24" s="56"/>
      <c r="BVB24" s="57"/>
      <c r="BVC24" s="57"/>
      <c r="BVD24" s="57"/>
      <c r="BVE24" s="56"/>
      <c r="BVF24" s="57"/>
      <c r="BVG24" s="57"/>
      <c r="BVH24" s="57"/>
      <c r="BVI24" s="57"/>
      <c r="BVJ24" s="57"/>
      <c r="BVK24" s="56"/>
      <c r="BVL24" s="57"/>
      <c r="BVM24" s="57"/>
      <c r="BVN24" s="56"/>
      <c r="BVO24" s="57"/>
      <c r="BVP24" s="58"/>
      <c r="BVQ24" s="56"/>
      <c r="BVR24" s="57"/>
      <c r="BVS24" s="57"/>
      <c r="BVT24" s="57"/>
      <c r="BVU24" s="56"/>
      <c r="BVV24" s="57"/>
      <c r="BVW24" s="57"/>
      <c r="BVX24" s="56"/>
      <c r="BVY24" s="57"/>
      <c r="BVZ24" s="58"/>
      <c r="BWA24" s="56"/>
      <c r="BWB24" s="57"/>
      <c r="BWC24" s="57"/>
      <c r="BWD24" s="57"/>
      <c r="BWE24" s="56"/>
      <c r="BWF24" s="57"/>
      <c r="BWG24" s="57"/>
      <c r="BWH24" s="57"/>
      <c r="BWI24" s="57"/>
      <c r="BWJ24" s="57"/>
      <c r="BWK24" s="56"/>
      <c r="BWL24" s="57"/>
      <c r="BWM24" s="57"/>
      <c r="BWN24" s="56"/>
      <c r="BWO24" s="57"/>
      <c r="BWP24" s="58"/>
      <c r="BWQ24" s="56"/>
      <c r="BWR24" s="57"/>
      <c r="BWS24" s="57"/>
      <c r="BWT24" s="57"/>
      <c r="BWU24" s="56"/>
      <c r="BWV24" s="57"/>
      <c r="BWW24" s="57"/>
      <c r="BWX24" s="56"/>
      <c r="BWY24" s="57"/>
      <c r="BWZ24" s="58"/>
      <c r="BXA24" s="56"/>
      <c r="BXB24" s="57"/>
      <c r="BXC24" s="57"/>
      <c r="BXD24" s="57"/>
      <c r="BXE24" s="56"/>
      <c r="BXF24" s="57"/>
      <c r="BXG24" s="57"/>
      <c r="BXH24" s="57"/>
      <c r="BXI24" s="57"/>
      <c r="BXJ24" s="57"/>
      <c r="BXK24" s="56"/>
      <c r="BXL24" s="57"/>
      <c r="BXM24" s="57"/>
      <c r="BXN24" s="56"/>
      <c r="BXO24" s="57"/>
      <c r="BXP24" s="58"/>
      <c r="BXQ24" s="56"/>
      <c r="BXR24" s="57"/>
      <c r="BXS24" s="57"/>
      <c r="BXT24" s="57"/>
      <c r="BXU24" s="56"/>
      <c r="BXV24" s="57"/>
      <c r="BXW24" s="57"/>
      <c r="BXX24" s="56"/>
      <c r="BXY24" s="57"/>
      <c r="BXZ24" s="58"/>
      <c r="BYA24" s="56"/>
      <c r="BYB24" s="57"/>
      <c r="BYC24" s="57"/>
      <c r="BYD24" s="57"/>
      <c r="BYE24" s="56"/>
      <c r="BYF24" s="57"/>
      <c r="BYG24" s="57"/>
      <c r="BYH24" s="57"/>
      <c r="BYI24" s="57"/>
      <c r="BYJ24" s="57"/>
      <c r="BYK24" s="56"/>
      <c r="BYL24" s="57"/>
      <c r="BYM24" s="57"/>
      <c r="BYN24" s="56"/>
      <c r="BYO24" s="57"/>
      <c r="BYP24" s="58"/>
      <c r="BYQ24" s="56"/>
      <c r="BYR24" s="57"/>
      <c r="BYS24" s="57"/>
      <c r="BYT24" s="57"/>
      <c r="BYU24" s="56"/>
      <c r="BYV24" s="57"/>
      <c r="BYW24" s="57"/>
      <c r="BYX24" s="58"/>
      <c r="BYY24" s="57"/>
      <c r="BYZ24" s="56"/>
      <c r="BZA24" s="57"/>
      <c r="BZB24" s="56"/>
      <c r="BZC24" s="56"/>
      <c r="BZD24" s="56"/>
      <c r="BZE24" s="57"/>
      <c r="BZF24" s="387"/>
      <c r="BZG24" s="57"/>
      <c r="BZH24" s="387"/>
      <c r="BZI24" s="57"/>
      <c r="BZJ24" s="387"/>
      <c r="BZK24" s="57"/>
      <c r="BZL24" s="57"/>
      <c r="BZM24" s="57"/>
      <c r="BZN24" s="57"/>
      <c r="BZO24" s="57"/>
      <c r="BZP24" s="57"/>
      <c r="BZQ24" s="57"/>
      <c r="BZR24" s="57"/>
      <c r="BZS24" s="57"/>
      <c r="BZT24" s="57"/>
      <c r="BZU24" s="57"/>
      <c r="BZV24" s="57"/>
      <c r="BZW24" s="57"/>
      <c r="BZX24" s="57"/>
      <c r="BZY24" s="57"/>
      <c r="BZZ24" s="57"/>
      <c r="CAA24" s="57"/>
      <c r="CAB24" s="57"/>
      <c r="CAC24" s="57"/>
      <c r="CAD24" s="57"/>
      <c r="CAE24" s="57"/>
      <c r="CAF24" s="57"/>
      <c r="CAG24" s="57"/>
      <c r="CAH24" s="57"/>
      <c r="CAI24" s="57"/>
      <c r="CAJ24" s="57"/>
      <c r="CAK24" s="57"/>
      <c r="CAL24" s="57"/>
      <c r="CAM24" s="57"/>
      <c r="CAN24" s="57"/>
      <c r="CAO24" s="57"/>
      <c r="CAP24" s="58"/>
      <c r="CAQ24" s="56"/>
      <c r="CAR24" s="57"/>
      <c r="CAS24" s="57"/>
      <c r="CAT24" s="57"/>
      <c r="CAU24" s="57"/>
      <c r="CAV24" s="57"/>
      <c r="CAW24" s="56"/>
      <c r="CAX24" s="57"/>
      <c r="CAY24" s="57"/>
      <c r="CAZ24" s="56"/>
      <c r="CBA24" s="57"/>
      <c r="CBB24" s="58"/>
      <c r="CBC24" s="56"/>
      <c r="CBD24" s="57"/>
      <c r="CBE24" s="57"/>
      <c r="CBF24" s="57"/>
      <c r="CBG24" s="56"/>
      <c r="CBH24" s="57"/>
      <c r="CBI24" s="57"/>
      <c r="CBJ24" s="56"/>
      <c r="CBK24" s="57"/>
      <c r="CBL24" s="58"/>
      <c r="CBM24" s="56"/>
      <c r="CBN24" s="57"/>
      <c r="CBO24" s="57"/>
      <c r="CBP24" s="57"/>
      <c r="CBQ24" s="56"/>
      <c r="CBR24" s="57"/>
      <c r="CBS24" s="57"/>
      <c r="CBT24" s="56"/>
      <c r="CBU24" s="57"/>
      <c r="CBV24" s="58"/>
      <c r="CBW24" s="56"/>
      <c r="CBX24" s="57"/>
      <c r="CBY24" s="57"/>
      <c r="CBZ24" s="57"/>
      <c r="CCA24" s="56"/>
      <c r="CCB24" s="57"/>
      <c r="CCC24" s="57"/>
      <c r="CCD24" s="56"/>
      <c r="CCE24" s="57"/>
      <c r="CCF24" s="58"/>
      <c r="CCG24" s="56"/>
      <c r="CCH24" s="58"/>
      <c r="CCI24" s="57"/>
      <c r="CCJ24" s="56"/>
      <c r="CCK24" s="57"/>
      <c r="CCL24" s="56"/>
      <c r="CCM24" s="56"/>
      <c r="CCN24" s="56"/>
      <c r="CCO24" s="57"/>
      <c r="CCP24" s="387"/>
      <c r="CCQ24" s="57"/>
      <c r="CCR24" s="387"/>
      <c r="CCS24" s="57"/>
      <c r="CCT24" s="387"/>
      <c r="CCU24" s="57"/>
      <c r="CCV24" s="57"/>
      <c r="CCW24" s="57"/>
      <c r="CCX24" s="57"/>
      <c r="CCY24" s="57"/>
      <c r="CCZ24" s="57"/>
      <c r="CDA24" s="57"/>
      <c r="CDB24" s="57"/>
      <c r="CDC24" s="57"/>
      <c r="CDD24" s="57"/>
      <c r="CDE24" s="57"/>
      <c r="CDF24" s="57"/>
      <c r="CDG24" s="57"/>
      <c r="CDH24" s="57"/>
      <c r="CDI24" s="57"/>
      <c r="CDJ24" s="57"/>
      <c r="CDK24" s="57"/>
      <c r="CDL24" s="57"/>
      <c r="CDM24" s="57"/>
      <c r="CDN24" s="57"/>
      <c r="CDO24" s="57"/>
      <c r="CDP24" s="57"/>
      <c r="CDQ24" s="57"/>
      <c r="CDR24" s="57"/>
      <c r="CDS24" s="57"/>
      <c r="CDT24" s="57"/>
      <c r="CDU24" s="57"/>
      <c r="CDV24" s="57"/>
      <c r="CDW24" s="57"/>
      <c r="CDX24" s="57"/>
      <c r="CDY24" s="57"/>
      <c r="CDZ24" s="58"/>
      <c r="CEA24" s="56"/>
      <c r="CEB24" s="57"/>
      <c r="CEC24" s="57"/>
      <c r="CED24" s="57"/>
      <c r="CEE24" s="57"/>
      <c r="CEF24" s="57"/>
      <c r="CEG24" s="56"/>
      <c r="CEH24" s="57"/>
      <c r="CEI24" s="57"/>
      <c r="CEJ24" s="56"/>
      <c r="CEK24" s="57"/>
      <c r="CEL24" s="58"/>
      <c r="CEM24" s="56"/>
      <c r="CEN24" s="57"/>
      <c r="CEO24" s="57"/>
      <c r="CEP24" s="57"/>
      <c r="CEQ24" s="56"/>
      <c r="CER24" s="57"/>
      <c r="CES24" s="57"/>
      <c r="CET24" s="56"/>
      <c r="CEU24" s="57"/>
      <c r="CEV24" s="58"/>
      <c r="CEW24" s="56"/>
      <c r="CEX24" s="57"/>
      <c r="CEY24" s="57"/>
      <c r="CEZ24" s="57"/>
      <c r="CFA24" s="56"/>
      <c r="CFB24" s="57"/>
      <c r="CFC24" s="57"/>
      <c r="CFD24" s="56"/>
      <c r="CFE24" s="57"/>
      <c r="CFF24" s="58"/>
      <c r="CFG24" s="56"/>
      <c r="CFH24" s="57"/>
      <c r="CFI24" s="57"/>
      <c r="CFJ24" s="57"/>
      <c r="CFK24" s="56"/>
      <c r="CFL24" s="57"/>
      <c r="CFM24" s="57"/>
      <c r="CFN24" s="56"/>
      <c r="CFO24" s="57"/>
      <c r="CFP24" s="58"/>
      <c r="CFQ24" s="56"/>
      <c r="CFR24" s="58"/>
      <c r="CFS24" s="57"/>
      <c r="CFT24" s="56"/>
      <c r="CFU24" s="57"/>
      <c r="CFV24" s="56"/>
      <c r="CFW24" s="56"/>
      <c r="CFX24" s="56"/>
      <c r="CFY24" s="57"/>
      <c r="CFZ24" s="387"/>
      <c r="CGA24" s="57"/>
      <c r="CGB24" s="387"/>
      <c r="CGC24" s="57"/>
      <c r="CGD24" s="387"/>
      <c r="CGE24" s="57"/>
      <c r="CGF24" s="57"/>
      <c r="CGG24" s="57"/>
      <c r="CGH24" s="57"/>
      <c r="CGI24" s="57"/>
      <c r="CGJ24" s="57"/>
      <c r="CGK24" s="57"/>
      <c r="CGL24" s="57"/>
      <c r="CGM24" s="57"/>
      <c r="CGN24" s="57"/>
      <c r="CGO24" s="57"/>
      <c r="CGP24" s="57"/>
      <c r="CGQ24" s="57"/>
      <c r="CGR24" s="57"/>
      <c r="CGS24" s="57"/>
      <c r="CGT24" s="57"/>
      <c r="CGU24" s="57"/>
      <c r="CGV24" s="57"/>
      <c r="CGW24" s="57"/>
      <c r="CGX24" s="57"/>
      <c r="CGY24" s="57"/>
      <c r="CGZ24" s="57"/>
      <c r="CHA24" s="57"/>
      <c r="CHB24" s="57"/>
      <c r="CHC24" s="57"/>
      <c r="CHD24" s="57"/>
      <c r="CHE24" s="57"/>
      <c r="CHF24" s="57"/>
      <c r="CHG24" s="57"/>
      <c r="CHH24" s="57"/>
      <c r="CHI24" s="57"/>
      <c r="CHJ24" s="58"/>
      <c r="CHK24" s="56"/>
      <c r="CHL24" s="57"/>
      <c r="CHM24" s="57"/>
      <c r="CHN24" s="57"/>
      <c r="CHO24" s="57"/>
      <c r="CHP24" s="57"/>
      <c r="CHQ24" s="56"/>
      <c r="CHR24" s="57"/>
      <c r="CHS24" s="57"/>
      <c r="CHT24" s="56"/>
      <c r="CHU24" s="57"/>
      <c r="CHV24" s="58"/>
      <c r="CHW24" s="56"/>
      <c r="CHX24" s="57"/>
      <c r="CHY24" s="57"/>
      <c r="CHZ24" s="57"/>
      <c r="CIA24" s="56"/>
      <c r="CIB24" s="57"/>
      <c r="CIC24" s="57"/>
      <c r="CID24" s="56"/>
      <c r="CIE24" s="57"/>
      <c r="CIF24" s="58"/>
      <c r="CIG24" s="56"/>
      <c r="CIH24" s="57"/>
      <c r="CII24" s="57"/>
      <c r="CIJ24" s="57"/>
      <c r="CIK24" s="56"/>
      <c r="CIL24" s="57"/>
      <c r="CIM24" s="57"/>
      <c r="CIN24" s="56"/>
      <c r="CIO24" s="57"/>
      <c r="CIP24" s="58"/>
      <c r="CIQ24" s="56"/>
      <c r="CIR24" s="57"/>
      <c r="CIS24" s="57"/>
      <c r="CIT24" s="57"/>
      <c r="CIU24" s="56"/>
      <c r="CIV24" s="57"/>
      <c r="CIW24" s="57"/>
      <c r="CIX24" s="56"/>
      <c r="CIY24" s="57"/>
      <c r="CIZ24" s="58"/>
      <c r="CJA24" s="56"/>
      <c r="CJB24" s="58"/>
      <c r="CJC24" s="57"/>
      <c r="CJD24" s="56"/>
      <c r="CJE24" s="57"/>
      <c r="CJF24" s="56"/>
      <c r="CJG24" s="56"/>
      <c r="CJH24" s="56"/>
      <c r="CJI24" s="57"/>
      <c r="CJJ24" s="387"/>
      <c r="CJK24" s="57"/>
      <c r="CJL24" s="387"/>
      <c r="CJM24" s="57"/>
      <c r="CJN24" s="387"/>
      <c r="CJO24" s="57"/>
      <c r="CJP24" s="57"/>
      <c r="CJQ24" s="57"/>
      <c r="CJR24" s="57"/>
      <c r="CJS24" s="57"/>
      <c r="CJT24" s="57"/>
      <c r="CJU24" s="57"/>
      <c r="CJV24" s="57"/>
      <c r="CJW24" s="57"/>
      <c r="CJX24" s="57"/>
      <c r="CJY24" s="57"/>
      <c r="CJZ24" s="57"/>
      <c r="CKA24" s="57"/>
      <c r="CKB24" s="57"/>
      <c r="CKC24" s="57"/>
      <c r="CKD24" s="57"/>
      <c r="CKE24" s="57"/>
      <c r="CKF24" s="57"/>
      <c r="CKG24" s="57"/>
      <c r="CKH24" s="57"/>
      <c r="CKI24" s="57"/>
      <c r="CKJ24" s="57"/>
      <c r="CKK24" s="57"/>
      <c r="CKL24" s="57"/>
      <c r="CKM24" s="57"/>
      <c r="CKN24" s="57"/>
      <c r="CKO24" s="57"/>
      <c r="CKP24" s="57"/>
      <c r="CKQ24" s="57"/>
      <c r="CKR24" s="57"/>
      <c r="CKS24" s="57"/>
      <c r="CKT24" s="58"/>
      <c r="CKU24" s="56"/>
      <c r="CKV24" s="57"/>
      <c r="CKW24" s="57"/>
      <c r="CKX24" s="57"/>
      <c r="CKY24" s="57"/>
      <c r="CKZ24" s="57"/>
      <c r="CLA24" s="56"/>
      <c r="CLB24" s="57"/>
      <c r="CLC24" s="57"/>
      <c r="CLD24" s="56"/>
      <c r="CLE24" s="57"/>
      <c r="CLF24" s="58"/>
      <c r="CLG24" s="56"/>
      <c r="CLH24" s="57"/>
      <c r="CLI24" s="57"/>
      <c r="CLJ24" s="57"/>
      <c r="CLK24" s="56"/>
      <c r="CLL24" s="57"/>
      <c r="CLM24" s="57"/>
      <c r="CLN24" s="56"/>
      <c r="CLO24" s="57"/>
      <c r="CLP24" s="58"/>
      <c r="CLQ24" s="56"/>
      <c r="CLR24" s="57"/>
      <c r="CLS24" s="57"/>
      <c r="CLT24" s="57"/>
      <c r="CLU24" s="56"/>
      <c r="CLV24" s="57"/>
      <c r="CLW24" s="57"/>
      <c r="CLX24" s="56"/>
      <c r="CLY24" s="57"/>
      <c r="CLZ24" s="58"/>
      <c r="CMA24" s="56"/>
      <c r="CMB24" s="57"/>
      <c r="CMC24" s="57"/>
      <c r="CMD24" s="57"/>
      <c r="CME24" s="56"/>
      <c r="CMF24" s="57"/>
      <c r="CMG24" s="57"/>
      <c r="CMH24" s="56"/>
      <c r="CMI24" s="57"/>
      <c r="CMJ24" s="58"/>
      <c r="CMK24" s="56"/>
      <c r="CML24" s="58"/>
      <c r="CMM24" s="57"/>
      <c r="CMN24" s="56"/>
      <c r="CMO24" s="57"/>
      <c r="CMP24" s="56"/>
      <c r="CMQ24" s="56"/>
      <c r="CMR24" s="56"/>
      <c r="CMS24" s="57"/>
      <c r="CMT24" s="387"/>
      <c r="CMU24" s="57"/>
      <c r="CMV24" s="387"/>
      <c r="CMW24" s="57"/>
      <c r="CMX24" s="387"/>
      <c r="CMY24" s="57"/>
      <c r="CMZ24" s="57"/>
      <c r="CNA24" s="57"/>
      <c r="CNB24" s="57"/>
      <c r="CNC24" s="57"/>
      <c r="CND24" s="57"/>
      <c r="CNE24" s="57"/>
      <c r="CNF24" s="57"/>
      <c r="CNG24" s="57"/>
      <c r="CNH24" s="57"/>
      <c r="CNI24" s="57"/>
      <c r="CNJ24" s="57"/>
      <c r="CNK24" s="57"/>
      <c r="CNL24" s="57"/>
      <c r="CNM24" s="57"/>
      <c r="CNN24" s="57"/>
      <c r="CNO24" s="57"/>
      <c r="CNP24" s="57"/>
      <c r="CNQ24" s="57"/>
      <c r="CNR24" s="57"/>
      <c r="CNS24" s="57"/>
      <c r="CNT24" s="57"/>
      <c r="CNU24" s="57"/>
      <c r="CNV24" s="57"/>
      <c r="CNW24" s="57"/>
      <c r="CNX24" s="57"/>
      <c r="CNY24" s="57"/>
      <c r="CNZ24" s="57"/>
      <c r="COA24" s="57"/>
      <c r="COB24" s="57"/>
      <c r="COC24" s="57"/>
      <c r="COD24" s="58"/>
      <c r="COE24" s="56"/>
      <c r="COF24" s="57"/>
      <c r="COG24" s="57"/>
      <c r="COH24" s="57"/>
      <c r="COI24" s="57"/>
      <c r="COJ24" s="57"/>
      <c r="COK24" s="56"/>
      <c r="COL24" s="57"/>
      <c r="COM24" s="57"/>
      <c r="CON24" s="56"/>
      <c r="COO24" s="57"/>
      <c r="COP24" s="58"/>
      <c r="COQ24" s="56"/>
      <c r="COR24" s="57"/>
      <c r="COS24" s="57"/>
      <c r="COT24" s="57"/>
      <c r="COU24" s="56"/>
      <c r="COV24" s="57"/>
      <c r="COW24" s="57"/>
      <c r="COX24" s="56"/>
      <c r="COY24" s="57"/>
      <c r="COZ24" s="58"/>
      <c r="CPA24" s="56"/>
      <c r="CPB24" s="57"/>
      <c r="CPC24" s="57"/>
      <c r="CPD24" s="57"/>
      <c r="CPE24" s="56"/>
      <c r="CPF24" s="57"/>
      <c r="CPG24" s="57"/>
      <c r="CPH24" s="56"/>
      <c r="CPI24" s="57"/>
      <c r="CPJ24" s="58"/>
      <c r="CPK24" s="56"/>
      <c r="CPL24" s="57"/>
      <c r="CPM24" s="57"/>
      <c r="CPN24" s="57"/>
      <c r="CPO24" s="56"/>
      <c r="CPP24" s="57"/>
      <c r="CPQ24" s="57"/>
      <c r="CPR24" s="56"/>
      <c r="CPS24" s="57"/>
      <c r="CPT24" s="58"/>
      <c r="CPU24" s="56"/>
      <c r="CPV24" s="58"/>
      <c r="CPW24" s="57"/>
      <c r="CPX24" s="56"/>
      <c r="CPY24" s="57"/>
      <c r="CPZ24" s="56"/>
      <c r="CQA24" s="56"/>
      <c r="CQB24" s="56"/>
      <c r="CQC24" s="57"/>
      <c r="CQD24" s="387"/>
      <c r="CQE24" s="57"/>
      <c r="CQF24" s="387"/>
      <c r="CQG24" s="57"/>
      <c r="CQH24" s="387"/>
      <c r="CQI24" s="57"/>
      <c r="CQJ24" s="57"/>
      <c r="CQK24" s="57"/>
      <c r="CQL24" s="57"/>
      <c r="CQM24" s="57"/>
      <c r="CQN24" s="57"/>
      <c r="CQO24" s="57"/>
      <c r="CQP24" s="57"/>
      <c r="CQQ24" s="57"/>
      <c r="CQR24" s="57"/>
      <c r="CQS24" s="57"/>
      <c r="CQT24" s="57"/>
      <c r="CQU24" s="57"/>
      <c r="CQV24" s="57"/>
      <c r="CQW24" s="57"/>
      <c r="CQX24" s="57"/>
      <c r="CQY24" s="57"/>
      <c r="CQZ24" s="57"/>
      <c r="CRA24" s="57"/>
      <c r="CRB24" s="57"/>
      <c r="CRC24" s="57"/>
      <c r="CRD24" s="57"/>
      <c r="CRE24" s="57"/>
      <c r="CRF24" s="57"/>
      <c r="CRG24" s="57"/>
      <c r="CRH24" s="57"/>
      <c r="CRI24" s="57"/>
      <c r="CRJ24" s="57"/>
      <c r="CRK24" s="57"/>
      <c r="CRL24" s="57"/>
      <c r="CRM24" s="57"/>
      <c r="CRN24" s="58"/>
      <c r="CRO24" s="56"/>
      <c r="CRP24" s="57"/>
      <c r="CRQ24" s="57"/>
      <c r="CRR24" s="57"/>
      <c r="CRS24" s="57"/>
      <c r="CRT24" s="57"/>
      <c r="CRU24" s="56"/>
      <c r="CRV24" s="57"/>
      <c r="CRW24" s="57"/>
      <c r="CRX24" s="56"/>
      <c r="CRY24" s="57"/>
      <c r="CRZ24" s="58"/>
      <c r="CSA24" s="56"/>
      <c r="CSB24" s="57"/>
      <c r="CSC24" s="57"/>
      <c r="CSD24" s="57"/>
      <c r="CSE24" s="56"/>
      <c r="CSF24" s="57"/>
      <c r="CSG24" s="57"/>
      <c r="CSH24" s="56"/>
      <c r="CSI24" s="57"/>
      <c r="CSJ24" s="58"/>
      <c r="CSK24" s="56"/>
      <c r="CSL24" s="57"/>
      <c r="CSM24" s="57"/>
      <c r="CSN24" s="57"/>
      <c r="CSO24" s="56"/>
      <c r="CSP24" s="57"/>
      <c r="CSQ24" s="57"/>
      <c r="CSR24" s="56"/>
      <c r="CSS24" s="57"/>
      <c r="CST24" s="58"/>
      <c r="CSU24" s="56"/>
      <c r="CSV24" s="57"/>
      <c r="CSW24" s="57"/>
      <c r="CSX24" s="57"/>
      <c r="CSY24" s="56"/>
      <c r="CSZ24" s="57"/>
      <c r="CTA24" s="57"/>
      <c r="CTB24" s="56"/>
      <c r="CTC24" s="57"/>
      <c r="CTD24" s="58"/>
      <c r="CTE24" s="56"/>
      <c r="CTF24" s="58"/>
      <c r="CTG24" s="57"/>
      <c r="CTH24" s="56"/>
      <c r="CTI24" s="57"/>
      <c r="CTJ24" s="56"/>
      <c r="CTK24" s="56"/>
      <c r="CTL24" s="56"/>
      <c r="CTM24" s="57"/>
      <c r="CTN24" s="387"/>
      <c r="CTO24" s="57"/>
      <c r="CTP24" s="387"/>
      <c r="CTQ24" s="57"/>
      <c r="CTR24" s="387"/>
      <c r="CTS24" s="57"/>
      <c r="CTT24" s="57"/>
      <c r="CTU24" s="57"/>
      <c r="CTV24" s="57"/>
      <c r="CTW24" s="57"/>
      <c r="CTX24" s="57"/>
      <c r="CTY24" s="57"/>
      <c r="CTZ24" s="57"/>
      <c r="CUA24" s="57"/>
      <c r="CUB24" s="57"/>
      <c r="CUC24" s="57"/>
      <c r="CUD24" s="57"/>
      <c r="CUE24" s="57"/>
      <c r="CUF24" s="57"/>
      <c r="CUG24" s="57"/>
      <c r="CUH24" s="57"/>
      <c r="CUI24" s="57"/>
      <c r="CUJ24" s="57"/>
      <c r="CUK24" s="57"/>
      <c r="CUL24" s="57"/>
      <c r="CUM24" s="57"/>
      <c r="CUN24" s="57"/>
      <c r="CUO24" s="57"/>
      <c r="CUP24" s="57"/>
      <c r="CUQ24" s="57"/>
      <c r="CUR24" s="57"/>
      <c r="CUS24" s="57"/>
      <c r="CUT24" s="57"/>
      <c r="CUU24" s="57"/>
      <c r="CUV24" s="57"/>
      <c r="CUW24" s="57"/>
      <c r="CUX24" s="58"/>
      <c r="CUY24" s="56"/>
      <c r="CUZ24" s="57"/>
      <c r="CVA24" s="57"/>
      <c r="CVB24" s="57"/>
      <c r="CVC24" s="57"/>
      <c r="CVD24" s="57"/>
      <c r="CVE24" s="56"/>
      <c r="CVF24" s="57"/>
      <c r="CVG24" s="57"/>
      <c r="CVH24" s="56"/>
      <c r="CVI24" s="57"/>
      <c r="CVJ24" s="58"/>
      <c r="CVK24" s="56"/>
      <c r="CVL24" s="57"/>
      <c r="CVM24" s="57"/>
      <c r="CVN24" s="57"/>
      <c r="CVO24" s="56"/>
      <c r="CVP24" s="57"/>
      <c r="CVQ24" s="57"/>
      <c r="CVR24" s="56"/>
      <c r="CVS24" s="57"/>
      <c r="CVT24" s="58"/>
      <c r="CVU24" s="56"/>
      <c r="CVV24" s="57"/>
      <c r="CVW24" s="57"/>
      <c r="CVX24" s="57"/>
      <c r="CVY24" s="56"/>
      <c r="CVZ24" s="57"/>
      <c r="CWA24" s="57"/>
      <c r="CWB24" s="56"/>
      <c r="CWC24" s="57"/>
      <c r="CWD24" s="58"/>
      <c r="CWE24" s="56"/>
      <c r="CWF24" s="57"/>
      <c r="CWG24" s="57"/>
      <c r="CWH24" s="57"/>
      <c r="CWI24" s="56"/>
      <c r="CWJ24" s="57"/>
      <c r="CWK24" s="57"/>
      <c r="CWL24" s="56"/>
      <c r="CWM24" s="57"/>
      <c r="CWN24" s="58"/>
      <c r="CWO24" s="56"/>
      <c r="CWP24" s="58"/>
      <c r="CWQ24" s="57"/>
      <c r="CWR24" s="56"/>
      <c r="CWS24" s="57"/>
      <c r="CWT24" s="56"/>
      <c r="CWU24" s="56"/>
      <c r="CWV24" s="56"/>
      <c r="CWW24" s="57"/>
      <c r="CWX24" s="387"/>
      <c r="CWY24" s="57"/>
      <c r="CWZ24" s="387"/>
      <c r="CXA24" s="57"/>
      <c r="CXB24" s="387"/>
      <c r="CXC24" s="57"/>
      <c r="CXD24" s="57"/>
      <c r="CXE24" s="57"/>
      <c r="CXF24" s="57"/>
      <c r="CXG24" s="57"/>
      <c r="CXH24" s="57"/>
      <c r="CXI24" s="57"/>
      <c r="CXJ24" s="57"/>
      <c r="CXK24" s="57"/>
      <c r="CXL24" s="57"/>
      <c r="CXM24" s="57"/>
      <c r="CXN24" s="57"/>
      <c r="CXO24" s="57"/>
      <c r="CXP24" s="57"/>
      <c r="CXQ24" s="57"/>
      <c r="CXR24" s="57"/>
      <c r="CXS24" s="57"/>
      <c r="CXT24" s="57"/>
      <c r="CXU24" s="57"/>
      <c r="CXV24" s="57"/>
      <c r="CXW24" s="57"/>
      <c r="CXX24" s="57"/>
      <c r="CXY24" s="57"/>
      <c r="CXZ24" s="57"/>
      <c r="CYA24" s="57"/>
      <c r="CYB24" s="57"/>
      <c r="CYC24" s="57"/>
      <c r="CYD24" s="57"/>
      <c r="CYE24" s="57"/>
      <c r="CYF24" s="57"/>
      <c r="CYG24" s="57"/>
      <c r="CYH24" s="58"/>
      <c r="CYI24" s="56"/>
      <c r="CYJ24" s="57"/>
      <c r="CYK24" s="57"/>
      <c r="CYL24" s="57"/>
      <c r="CYM24" s="57"/>
      <c r="CYN24" s="57"/>
      <c r="CYO24" s="56"/>
      <c r="CYP24" s="57"/>
      <c r="CYQ24" s="57"/>
      <c r="CYR24" s="56"/>
      <c r="CYS24" s="57"/>
      <c r="CYT24" s="58"/>
      <c r="CYU24" s="56"/>
      <c r="CYV24" s="57"/>
      <c r="CYW24" s="57"/>
      <c r="CYX24" s="57"/>
      <c r="CYY24" s="56"/>
      <c r="CYZ24" s="57"/>
      <c r="CZA24" s="57"/>
      <c r="CZB24" s="56"/>
      <c r="CZC24" s="57"/>
      <c r="CZD24" s="58"/>
      <c r="CZE24" s="56"/>
      <c r="CZF24" s="57"/>
      <c r="CZG24" s="57"/>
      <c r="CZH24" s="57"/>
      <c r="CZI24" s="56"/>
      <c r="CZJ24" s="57"/>
      <c r="CZK24" s="57"/>
      <c r="CZL24" s="56"/>
      <c r="CZM24" s="57"/>
      <c r="CZN24" s="58"/>
      <c r="CZO24" s="56"/>
      <c r="CZP24" s="57"/>
      <c r="CZQ24" s="57"/>
      <c r="CZR24" s="57"/>
      <c r="CZS24" s="56"/>
      <c r="CZT24" s="57"/>
      <c r="CZU24" s="57"/>
      <c r="CZV24" s="56"/>
      <c r="CZW24" s="57"/>
      <c r="CZX24" s="58"/>
      <c r="CZY24" s="56"/>
      <c r="CZZ24" s="58"/>
      <c r="DAA24" s="57"/>
      <c r="DAB24" s="56"/>
      <c r="DAC24" s="57"/>
      <c r="DAD24" s="56"/>
      <c r="DAE24" s="56"/>
      <c r="DAF24" s="56"/>
      <c r="DAG24" s="57"/>
      <c r="DAH24" s="387"/>
      <c r="DAI24" s="57"/>
      <c r="DAJ24" s="387"/>
      <c r="DAK24" s="57"/>
      <c r="DAL24" s="387"/>
      <c r="DAM24" s="57"/>
      <c r="DAN24" s="57"/>
      <c r="DAO24" s="57"/>
      <c r="DAP24" s="57"/>
      <c r="DAQ24" s="57"/>
      <c r="DAR24" s="57"/>
      <c r="DAS24" s="57"/>
      <c r="DAT24" s="57"/>
      <c r="DAU24" s="57"/>
      <c r="DAV24" s="57"/>
      <c r="DAW24" s="57"/>
      <c r="DAX24" s="57"/>
      <c r="DAY24" s="57"/>
      <c r="DAZ24" s="57"/>
      <c r="DBA24" s="57"/>
      <c r="DBB24" s="57"/>
      <c r="DBC24" s="57"/>
      <c r="DBD24" s="57"/>
      <c r="DBE24" s="57"/>
      <c r="DBF24" s="57"/>
      <c r="DBG24" s="57"/>
      <c r="DBH24" s="57"/>
      <c r="DBI24" s="57"/>
      <c r="DBJ24" s="57"/>
      <c r="DBK24" s="57"/>
      <c r="DBL24" s="57"/>
      <c r="DBM24" s="57"/>
      <c r="DBN24" s="57"/>
      <c r="DBO24" s="57"/>
      <c r="DBP24" s="57"/>
      <c r="DBQ24" s="57"/>
      <c r="DBR24" s="58"/>
      <c r="DBS24" s="56"/>
      <c r="DBT24" s="57"/>
      <c r="DBU24" s="57"/>
      <c r="DBV24" s="57"/>
      <c r="DBW24" s="57"/>
      <c r="DBX24" s="57"/>
      <c r="DBY24" s="56"/>
      <c r="DBZ24" s="57"/>
      <c r="DCA24" s="57"/>
      <c r="DCB24" s="56"/>
      <c r="DCC24" s="57"/>
      <c r="DCD24" s="58"/>
      <c r="DCE24" s="56"/>
      <c r="DCF24" s="57"/>
      <c r="DCG24" s="57"/>
      <c r="DCH24" s="57"/>
      <c r="DCI24" s="56"/>
      <c r="DCJ24" s="57"/>
      <c r="DCK24" s="57"/>
      <c r="DCL24" s="56"/>
      <c r="DCM24" s="57"/>
      <c r="DCN24" s="58"/>
      <c r="DCO24" s="56"/>
      <c r="DCP24" s="57"/>
      <c r="DCQ24" s="57"/>
      <c r="DCR24" s="57"/>
      <c r="DCS24" s="56"/>
      <c r="DCT24" s="57"/>
      <c r="DCU24" s="57"/>
      <c r="DCV24" s="56"/>
      <c r="DCW24" s="57"/>
      <c r="DCX24" s="58"/>
      <c r="DCY24" s="56"/>
      <c r="DCZ24" s="57"/>
      <c r="DDA24" s="57"/>
      <c r="DDB24" s="57"/>
      <c r="DDC24" s="56"/>
      <c r="DDD24" s="57"/>
      <c r="DDE24" s="57"/>
      <c r="DDF24" s="56"/>
      <c r="DDG24" s="57"/>
      <c r="DDH24" s="58"/>
      <c r="DDI24" s="56"/>
      <c r="DDJ24" s="58"/>
      <c r="DDK24" s="57"/>
      <c r="DDL24" s="56"/>
      <c r="DDM24" s="57"/>
      <c r="DDN24" s="56"/>
      <c r="DDO24" s="56"/>
      <c r="DDP24" s="56"/>
      <c r="DDQ24" s="57"/>
      <c r="DDR24" s="387"/>
      <c r="DDS24" s="57"/>
      <c r="DDT24" s="387"/>
      <c r="DDU24" s="57"/>
      <c r="DDV24" s="387"/>
      <c r="DDW24" s="57"/>
      <c r="DDX24" s="57"/>
      <c r="DDY24" s="57"/>
      <c r="DDZ24" s="57"/>
      <c r="DEA24" s="57"/>
      <c r="DEB24" s="57"/>
      <c r="DEC24" s="57"/>
      <c r="DED24" s="57"/>
      <c r="DEE24" s="57"/>
      <c r="DEF24" s="57"/>
      <c r="DEG24" s="57"/>
      <c r="DEH24" s="57"/>
      <c r="DEI24" s="57"/>
      <c r="DEJ24" s="57"/>
      <c r="DEK24" s="57"/>
      <c r="DEL24" s="57"/>
      <c r="DEM24" s="57"/>
      <c r="DEN24" s="57"/>
      <c r="DEO24" s="57"/>
      <c r="DEP24" s="57"/>
      <c r="DEQ24" s="57"/>
      <c r="DER24" s="57"/>
      <c r="DES24" s="57"/>
      <c r="DET24" s="57"/>
      <c r="DEU24" s="57"/>
      <c r="DEV24" s="57"/>
      <c r="DEW24" s="57"/>
      <c r="DEX24" s="57"/>
      <c r="DEY24" s="57"/>
      <c r="DEZ24" s="57"/>
      <c r="DFA24" s="57"/>
      <c r="DFB24" s="58"/>
      <c r="DFC24" s="56"/>
      <c r="DFD24" s="57"/>
      <c r="DFE24" s="57"/>
      <c r="DFF24" s="57"/>
      <c r="DFG24" s="57"/>
      <c r="DFH24" s="57"/>
      <c r="DFI24" s="56"/>
      <c r="DFJ24" s="57"/>
      <c r="DFK24" s="57"/>
      <c r="DFL24" s="56"/>
      <c r="DFM24" s="57"/>
      <c r="DFN24" s="58"/>
      <c r="DFO24" s="56"/>
      <c r="DFP24" s="57"/>
      <c r="DFQ24" s="57"/>
      <c r="DFR24" s="57"/>
      <c r="DFS24" s="56"/>
      <c r="DFT24" s="57"/>
      <c r="DFU24" s="57"/>
      <c r="DFV24" s="56"/>
      <c r="DFW24" s="57"/>
      <c r="DFX24" s="58"/>
      <c r="DFY24" s="56"/>
      <c r="DFZ24" s="57"/>
      <c r="DGA24" s="57"/>
      <c r="DGB24" s="57"/>
      <c r="DGC24" s="56"/>
      <c r="DGD24" s="57"/>
      <c r="DGE24" s="57"/>
      <c r="DGF24" s="56"/>
      <c r="DGG24" s="57"/>
      <c r="DGH24" s="58"/>
      <c r="DGI24" s="56"/>
      <c r="DGJ24" s="57"/>
      <c r="DGK24" s="57"/>
      <c r="DGL24" s="57"/>
      <c r="DGM24" s="56"/>
      <c r="DGN24" s="57"/>
      <c r="DGO24" s="57"/>
      <c r="DGP24" s="56"/>
      <c r="DGQ24" s="57"/>
      <c r="DGR24" s="58"/>
      <c r="DGS24" s="56"/>
      <c r="DGT24" s="58"/>
      <c r="DGU24" s="57"/>
      <c r="DGV24" s="56"/>
      <c r="DGW24" s="57"/>
      <c r="DGX24" s="56"/>
      <c r="DGY24" s="56"/>
      <c r="DGZ24" s="56"/>
      <c r="DHA24" s="57"/>
      <c r="DHB24" s="387"/>
      <c r="DHC24" s="57"/>
      <c r="DHD24" s="387"/>
      <c r="DHE24" s="57"/>
      <c r="DHF24" s="387"/>
      <c r="DHG24" s="57"/>
      <c r="DHH24" s="57"/>
      <c r="DHI24" s="57"/>
      <c r="DHJ24" s="57"/>
      <c r="DHK24" s="57"/>
      <c r="DHL24" s="57"/>
      <c r="DHM24" s="57"/>
      <c r="DHN24" s="57"/>
      <c r="DHO24" s="57"/>
      <c r="DHP24" s="57"/>
      <c r="DHQ24" s="57"/>
      <c r="DHR24" s="57"/>
      <c r="DHS24" s="57"/>
      <c r="DHT24" s="57"/>
      <c r="DHU24" s="57"/>
      <c r="DHV24" s="57"/>
      <c r="DHW24" s="57"/>
      <c r="DHX24" s="57"/>
      <c r="DHY24" s="57"/>
      <c r="DHZ24" s="57"/>
      <c r="DIA24" s="57"/>
      <c r="DIB24" s="57"/>
      <c r="DIC24" s="57"/>
      <c r="DID24" s="57"/>
      <c r="DIE24" s="57"/>
      <c r="DIF24" s="57"/>
      <c r="DIG24" s="57"/>
      <c r="DIH24" s="57"/>
      <c r="DII24" s="57"/>
      <c r="DIJ24" s="57"/>
      <c r="DIK24" s="57"/>
      <c r="DIL24" s="58"/>
      <c r="DIM24" s="56"/>
      <c r="DIN24" s="57"/>
      <c r="DIO24" s="57"/>
      <c r="DIP24" s="57"/>
      <c r="DIQ24" s="57"/>
      <c r="DIR24" s="57"/>
      <c r="DIS24" s="56"/>
      <c r="DIT24" s="57"/>
      <c r="DIU24" s="57"/>
      <c r="DIV24" s="56"/>
      <c r="DIW24" s="57"/>
      <c r="DIX24" s="58"/>
      <c r="DIY24" s="56"/>
      <c r="DIZ24" s="57"/>
      <c r="DJA24" s="57"/>
      <c r="DJB24" s="57"/>
      <c r="DJC24" s="56"/>
      <c r="DJD24" s="57"/>
      <c r="DJE24" s="57"/>
      <c r="DJF24" s="56"/>
      <c r="DJG24" s="57"/>
      <c r="DJH24" s="58"/>
      <c r="DJI24" s="56"/>
      <c r="DJJ24" s="57"/>
      <c r="DJK24" s="57"/>
      <c r="DJL24" s="57"/>
      <c r="DJM24" s="56"/>
      <c r="DJN24" s="57"/>
      <c r="DJO24" s="57"/>
      <c r="DJP24" s="56"/>
      <c r="DJQ24" s="57"/>
      <c r="DJR24" s="58"/>
      <c r="DJS24" s="56"/>
      <c r="DJT24" s="57"/>
      <c r="DJU24" s="57"/>
      <c r="DJV24" s="57"/>
      <c r="DJW24" s="56"/>
      <c r="DJX24" s="57"/>
      <c r="DJY24" s="57"/>
      <c r="DJZ24" s="56"/>
      <c r="DKA24" s="57"/>
      <c r="DKB24" s="58"/>
      <c r="DKC24" s="56"/>
      <c r="DKD24" s="58"/>
      <c r="DKE24" s="57"/>
      <c r="DKF24" s="56"/>
      <c r="DKG24" s="57"/>
      <c r="DKH24" s="56"/>
      <c r="DKI24" s="56"/>
      <c r="DKJ24" s="56"/>
      <c r="DKK24" s="57"/>
      <c r="DKL24" s="387"/>
      <c r="DKM24" s="57"/>
      <c r="DKN24" s="387"/>
      <c r="DKO24" s="57"/>
      <c r="DKP24" s="387"/>
      <c r="DKQ24" s="57"/>
      <c r="DKR24" s="57"/>
      <c r="DKS24" s="57"/>
      <c r="DKT24" s="57"/>
      <c r="DKU24" s="57"/>
      <c r="DKV24" s="57"/>
      <c r="DKW24" s="57"/>
      <c r="DKX24" s="57"/>
      <c r="DKY24" s="57"/>
      <c r="DKZ24" s="57"/>
      <c r="DLA24" s="57"/>
      <c r="DLB24" s="57"/>
      <c r="DLC24" s="57"/>
      <c r="DLD24" s="57"/>
      <c r="DLE24" s="57"/>
      <c r="DLF24" s="57"/>
      <c r="DLG24" s="57"/>
      <c r="DLH24" s="57"/>
      <c r="DLI24" s="57"/>
      <c r="DLJ24" s="57"/>
      <c r="DLK24" s="57"/>
      <c r="DLL24" s="57"/>
      <c r="DLM24" s="57"/>
      <c r="DLN24" s="57"/>
      <c r="DLO24" s="57"/>
      <c r="DLP24" s="57"/>
      <c r="DLQ24" s="57"/>
      <c r="DLR24" s="57"/>
      <c r="DLS24" s="57"/>
      <c r="DLT24" s="57"/>
      <c r="DLU24" s="57"/>
      <c r="DLV24" s="58"/>
      <c r="DLW24" s="56"/>
      <c r="DLX24" s="57"/>
      <c r="DLY24" s="57"/>
      <c r="DLZ24" s="57"/>
      <c r="DMA24" s="57"/>
      <c r="DMB24" s="57"/>
      <c r="DMC24" s="56"/>
      <c r="DMD24" s="57"/>
      <c r="DME24" s="57"/>
      <c r="DMF24" s="56"/>
      <c r="DMG24" s="57"/>
      <c r="DMH24" s="58"/>
      <c r="DMI24" s="56"/>
      <c r="DMJ24" s="57"/>
      <c r="DMK24" s="57"/>
      <c r="DML24" s="57"/>
      <c r="DMM24" s="56"/>
      <c r="DMN24" s="57"/>
      <c r="DMO24" s="57"/>
      <c r="DMP24" s="56"/>
      <c r="DMQ24" s="57"/>
      <c r="DMR24" s="58"/>
      <c r="DMS24" s="56"/>
      <c r="DMT24" s="57"/>
      <c r="DMU24" s="57"/>
      <c r="DMV24" s="57"/>
      <c r="DMW24" s="56"/>
      <c r="DMX24" s="57"/>
      <c r="DMY24" s="57"/>
      <c r="DMZ24" s="56"/>
      <c r="DNA24" s="57"/>
      <c r="DNB24" s="58"/>
      <c r="DNC24" s="56"/>
      <c r="DND24" s="57"/>
      <c r="DNE24" s="57"/>
      <c r="DNF24" s="57"/>
      <c r="DNG24" s="56"/>
      <c r="DNH24" s="57"/>
      <c r="DNI24" s="57"/>
      <c r="DNJ24" s="56"/>
      <c r="DNK24" s="57"/>
      <c r="DNL24" s="58"/>
      <c r="DNM24" s="56"/>
      <c r="DNN24" s="58"/>
      <c r="DNO24" s="57"/>
      <c r="DNP24" s="56"/>
      <c r="DNQ24" s="57"/>
      <c r="DNR24" s="56"/>
      <c r="DNS24" s="56"/>
      <c r="DNT24" s="56"/>
      <c r="DNU24" s="57"/>
      <c r="DNV24" s="387"/>
      <c r="DNW24" s="57"/>
      <c r="DNX24" s="387"/>
      <c r="DNY24" s="57"/>
      <c r="DNZ24" s="387"/>
      <c r="DOA24" s="57"/>
      <c r="DOB24" s="57"/>
      <c r="DOC24" s="57"/>
      <c r="DOD24" s="57"/>
      <c r="DOE24" s="57"/>
      <c r="DOF24" s="57"/>
      <c r="DOG24" s="57"/>
      <c r="DOH24" s="57"/>
      <c r="DOI24" s="57"/>
      <c r="DOJ24" s="57"/>
      <c r="DOK24" s="57"/>
      <c r="DOL24" s="57"/>
      <c r="DOM24" s="57"/>
      <c r="DON24" s="57"/>
      <c r="DOO24" s="57"/>
      <c r="DOP24" s="57"/>
      <c r="DOQ24" s="57"/>
      <c r="DOR24" s="57"/>
      <c r="DOS24" s="57"/>
      <c r="DOT24" s="57"/>
      <c r="DOU24" s="57"/>
      <c r="DOV24" s="57"/>
      <c r="DOW24" s="57"/>
      <c r="DOX24" s="57"/>
      <c r="DOY24" s="57"/>
      <c r="DOZ24" s="57"/>
      <c r="DPA24" s="57"/>
      <c r="DPB24" s="57"/>
      <c r="DPC24" s="57"/>
      <c r="DPD24" s="57"/>
      <c r="DPE24" s="57"/>
      <c r="DPF24" s="58"/>
      <c r="DPG24" s="56"/>
      <c r="DPH24" s="57"/>
      <c r="DPI24" s="57"/>
      <c r="DPJ24" s="57"/>
      <c r="DPK24" s="57"/>
      <c r="DPL24" s="57"/>
      <c r="DPM24" s="56"/>
      <c r="DPN24" s="57"/>
      <c r="DPO24" s="57"/>
      <c r="DPP24" s="56"/>
      <c r="DPQ24" s="57"/>
      <c r="DPR24" s="58"/>
      <c r="DPS24" s="56"/>
      <c r="DPT24" s="57"/>
      <c r="DPU24" s="57"/>
      <c r="DPV24" s="57"/>
      <c r="DPW24" s="56"/>
      <c r="DPX24" s="57"/>
      <c r="DPY24" s="57"/>
      <c r="DPZ24" s="56"/>
      <c r="DQA24" s="57"/>
      <c r="DQB24" s="58"/>
      <c r="DQC24" s="56"/>
      <c r="DQD24" s="57"/>
      <c r="DQE24" s="57"/>
      <c r="DQF24" s="57"/>
      <c r="DQG24" s="56"/>
      <c r="DQH24" s="57"/>
      <c r="DQI24" s="57"/>
      <c r="DQJ24" s="56"/>
      <c r="DQK24" s="57"/>
      <c r="DQL24" s="58"/>
      <c r="DQM24" s="56"/>
      <c r="DQN24" s="57"/>
      <c r="DQO24" s="57"/>
      <c r="DQP24" s="57"/>
      <c r="DQQ24" s="56"/>
      <c r="DQR24" s="57"/>
      <c r="DQS24" s="57"/>
      <c r="DQT24" s="56"/>
      <c r="DQU24" s="57"/>
      <c r="DQV24" s="58"/>
      <c r="DQW24" s="56"/>
      <c r="DQX24" s="58"/>
      <c r="DQY24" s="57"/>
      <c r="DQZ24" s="56"/>
      <c r="DRA24" s="57"/>
      <c r="DRB24" s="56"/>
      <c r="DRC24" s="56"/>
      <c r="DRD24" s="56"/>
      <c r="DRE24" s="57"/>
      <c r="DRF24" s="387"/>
      <c r="DRG24" s="57"/>
      <c r="DRH24" s="387"/>
      <c r="DRI24" s="57"/>
      <c r="DRJ24" s="387"/>
      <c r="DRK24" s="57"/>
      <c r="DRL24" s="57"/>
      <c r="DRM24" s="57"/>
      <c r="DRN24" s="57"/>
      <c r="DRO24" s="57"/>
      <c r="DRP24" s="57"/>
      <c r="DRQ24" s="57"/>
      <c r="DRR24" s="57"/>
      <c r="DRS24" s="57"/>
      <c r="DRT24" s="57"/>
      <c r="DRU24" s="57"/>
      <c r="DRV24" s="57"/>
      <c r="DRW24" s="57"/>
      <c r="DRX24" s="57"/>
      <c r="DRY24" s="57"/>
      <c r="DRZ24" s="57"/>
      <c r="DSA24" s="57"/>
      <c r="DSB24" s="57"/>
      <c r="DSC24" s="57"/>
      <c r="DSD24" s="57"/>
      <c r="DSE24" s="57"/>
      <c r="DSF24" s="57"/>
      <c r="DSG24" s="57"/>
      <c r="DSH24" s="57"/>
      <c r="DSI24" s="57"/>
      <c r="DSJ24" s="57"/>
      <c r="DSK24" s="57"/>
      <c r="DSL24" s="57"/>
      <c r="DSM24" s="57"/>
      <c r="DSN24" s="57"/>
      <c r="DSO24" s="57"/>
      <c r="DSP24" s="58"/>
      <c r="DSQ24" s="56"/>
      <c r="DSR24" s="57"/>
      <c r="DSS24" s="57"/>
      <c r="DST24" s="57"/>
      <c r="DSU24" s="57"/>
      <c r="DSV24" s="57"/>
      <c r="DSW24" s="56"/>
      <c r="DSX24" s="57"/>
      <c r="DSY24" s="57"/>
      <c r="DSZ24" s="56"/>
      <c r="DTA24" s="57"/>
      <c r="DTB24" s="58"/>
      <c r="DTC24" s="56"/>
      <c r="DTD24" s="57"/>
      <c r="DTE24" s="57"/>
      <c r="DTF24" s="57"/>
      <c r="DTG24" s="56"/>
      <c r="DTH24" s="57"/>
      <c r="DTI24" s="57"/>
      <c r="DTJ24" s="56"/>
      <c r="DTK24" s="57"/>
      <c r="DTL24" s="58"/>
      <c r="DTM24" s="56"/>
      <c r="DTN24" s="57"/>
      <c r="DTO24" s="57"/>
      <c r="DTP24" s="57"/>
      <c r="DTQ24" s="56"/>
      <c r="DTR24" s="57"/>
      <c r="DTS24" s="57"/>
      <c r="DTT24" s="56"/>
      <c r="DTU24" s="57"/>
      <c r="DTV24" s="58"/>
      <c r="DTW24" s="56"/>
      <c r="DTX24" s="57"/>
      <c r="DTY24" s="57"/>
      <c r="DTZ24" s="57"/>
      <c r="DUA24" s="56"/>
      <c r="DUB24" s="57"/>
      <c r="DUC24" s="57"/>
      <c r="DUD24" s="56"/>
      <c r="DUE24" s="57"/>
      <c r="DUF24" s="58"/>
      <c r="DUG24" s="56"/>
      <c r="DUH24" s="58"/>
      <c r="DUI24" s="57"/>
      <c r="DUJ24" s="56"/>
      <c r="DUK24" s="57"/>
      <c r="DUL24" s="56"/>
      <c r="DUM24" s="56"/>
      <c r="DUN24" s="56"/>
      <c r="DUO24" s="57"/>
      <c r="DUP24" s="387"/>
      <c r="DUQ24" s="57"/>
      <c r="DUR24" s="387"/>
      <c r="DUS24" s="57"/>
      <c r="DUT24" s="387"/>
      <c r="DUU24" s="57"/>
      <c r="DUV24" s="57"/>
      <c r="DUW24" s="57"/>
      <c r="DUX24" s="57"/>
      <c r="DUY24" s="57"/>
      <c r="DUZ24" s="57"/>
      <c r="DVA24" s="57"/>
      <c r="DVB24" s="57"/>
      <c r="DVC24" s="57"/>
      <c r="DVD24" s="57"/>
      <c r="DVE24" s="57"/>
      <c r="DVF24" s="57"/>
      <c r="DVG24" s="57"/>
      <c r="DVH24" s="57"/>
      <c r="DVI24" s="57"/>
      <c r="DVJ24" s="57"/>
      <c r="DVK24" s="57"/>
      <c r="DVL24" s="57"/>
      <c r="DVM24" s="57"/>
      <c r="DVN24" s="57"/>
      <c r="DVO24" s="57"/>
      <c r="DVP24" s="57"/>
      <c r="DVQ24" s="57"/>
      <c r="DVR24" s="57"/>
      <c r="DVS24" s="57"/>
      <c r="DVT24" s="57"/>
      <c r="DVU24" s="57"/>
      <c r="DVV24" s="57"/>
      <c r="DVW24" s="57"/>
      <c r="DVX24" s="57"/>
      <c r="DVY24" s="57"/>
      <c r="DVZ24" s="58"/>
      <c r="DWA24" s="56"/>
      <c r="DWB24" s="57"/>
      <c r="DWC24" s="57"/>
      <c r="DWD24" s="57"/>
      <c r="DWE24" s="57"/>
      <c r="DWF24" s="57"/>
      <c r="DWG24" s="56"/>
      <c r="DWH24" s="57"/>
      <c r="DWI24" s="57"/>
      <c r="DWJ24" s="56"/>
      <c r="DWK24" s="57"/>
      <c r="DWL24" s="58"/>
      <c r="DWM24" s="56"/>
      <c r="DWN24" s="57"/>
      <c r="DWO24" s="57"/>
      <c r="DWP24" s="57"/>
      <c r="DWQ24" s="56"/>
      <c r="DWR24" s="57"/>
      <c r="DWS24" s="57"/>
      <c r="DWT24" s="56"/>
      <c r="DWU24" s="57"/>
      <c r="DWV24" s="58"/>
      <c r="DWW24" s="56"/>
      <c r="DWX24" s="57"/>
      <c r="DWY24" s="57"/>
      <c r="DWZ24" s="57"/>
      <c r="DXA24" s="56"/>
      <c r="DXB24" s="57"/>
      <c r="DXC24" s="57"/>
      <c r="DXD24" s="56"/>
      <c r="DXE24" s="57"/>
      <c r="DXF24" s="58"/>
      <c r="DXG24" s="56"/>
      <c r="DXH24" s="57"/>
      <c r="DXI24" s="57"/>
      <c r="DXJ24" s="57"/>
      <c r="DXK24" s="56"/>
      <c r="DXL24" s="57"/>
      <c r="DXM24" s="57"/>
      <c r="DXN24" s="56"/>
      <c r="DXO24" s="57"/>
      <c r="DXP24" s="58"/>
      <c r="DXQ24" s="56"/>
      <c r="DXR24" s="58"/>
      <c r="DXS24" s="57"/>
      <c r="DXT24" s="56"/>
      <c r="DXU24" s="57"/>
      <c r="DXV24" s="56"/>
      <c r="DXW24" s="56"/>
      <c r="DXX24" s="56"/>
      <c r="DXY24" s="57"/>
      <c r="DXZ24" s="387"/>
      <c r="DYA24" s="57"/>
      <c r="DYB24" s="387"/>
      <c r="DYC24" s="57"/>
      <c r="DYD24" s="387"/>
      <c r="DYE24" s="57"/>
      <c r="DYF24" s="57"/>
      <c r="DYG24" s="57"/>
      <c r="DYH24" s="57"/>
      <c r="DYI24" s="57"/>
      <c r="DYJ24" s="57"/>
      <c r="DYK24" s="57"/>
      <c r="DYL24" s="57"/>
      <c r="DYM24" s="57"/>
      <c r="DYN24" s="57"/>
      <c r="DYO24" s="57"/>
      <c r="DYP24" s="57"/>
      <c r="DYQ24" s="57"/>
      <c r="DYR24" s="57"/>
      <c r="DYS24" s="57"/>
      <c r="DYT24" s="57"/>
      <c r="DYU24" s="57"/>
      <c r="DYV24" s="57"/>
      <c r="DYW24" s="57"/>
      <c r="DYX24" s="57"/>
      <c r="DYY24" s="57"/>
      <c r="DYZ24" s="57"/>
      <c r="DZA24" s="57"/>
      <c r="DZB24" s="57"/>
      <c r="DZC24" s="57"/>
      <c r="DZD24" s="57"/>
      <c r="DZE24" s="57"/>
      <c r="DZF24" s="57"/>
      <c r="DZG24" s="57"/>
      <c r="DZH24" s="57"/>
      <c r="DZI24" s="57"/>
      <c r="DZJ24" s="58"/>
      <c r="DZK24" s="56"/>
      <c r="DZL24" s="57"/>
      <c r="DZM24" s="57"/>
      <c r="DZN24" s="57"/>
      <c r="DZO24" s="57"/>
      <c r="DZP24" s="57"/>
      <c r="DZQ24" s="56"/>
      <c r="DZR24" s="57"/>
      <c r="DZS24" s="57"/>
      <c r="DZT24" s="56"/>
      <c r="DZU24" s="57"/>
      <c r="DZV24" s="58"/>
      <c r="DZW24" s="56"/>
      <c r="DZX24" s="57"/>
      <c r="DZY24" s="57"/>
      <c r="DZZ24" s="57"/>
      <c r="EAA24" s="56"/>
      <c r="EAB24" s="57"/>
      <c r="EAC24" s="57"/>
      <c r="EAD24" s="56"/>
      <c r="EAE24" s="57"/>
      <c r="EAF24" s="58"/>
      <c r="EAG24" s="56"/>
      <c r="EAH24" s="57"/>
      <c r="EAI24" s="57"/>
      <c r="EAJ24" s="57"/>
      <c r="EAK24" s="56"/>
      <c r="EAL24" s="57"/>
      <c r="EAM24" s="57"/>
      <c r="EAN24" s="56"/>
      <c r="EAO24" s="57"/>
      <c r="EAP24" s="58"/>
      <c r="EAQ24" s="56"/>
      <c r="EAR24" s="57"/>
      <c r="EAS24" s="57"/>
      <c r="EAT24" s="57"/>
      <c r="EAU24" s="56"/>
      <c r="EAV24" s="57"/>
      <c r="EAW24" s="57"/>
      <c r="EAX24" s="56"/>
      <c r="EAY24" s="57"/>
      <c r="EAZ24" s="58"/>
      <c r="EBA24" s="56"/>
      <c r="EBB24" s="58"/>
      <c r="EBC24" s="57"/>
      <c r="EBD24" s="56"/>
      <c r="EBE24" s="57"/>
      <c r="EBF24" s="56"/>
      <c r="EBG24" s="56"/>
      <c r="EBH24" s="56"/>
      <c r="EBI24" s="57"/>
      <c r="EBJ24" s="387"/>
      <c r="EBK24" s="57"/>
      <c r="EBL24" s="387"/>
      <c r="EBM24" s="57"/>
      <c r="EBN24" s="387"/>
      <c r="EBO24" s="57"/>
      <c r="EBP24" s="57"/>
      <c r="EBQ24" s="57"/>
      <c r="EBR24" s="57"/>
      <c r="EBS24" s="57"/>
      <c r="EBT24" s="57"/>
      <c r="EBU24" s="57"/>
      <c r="EBV24" s="57"/>
      <c r="EBW24" s="57"/>
      <c r="EBX24" s="57"/>
      <c r="EBY24" s="57"/>
      <c r="EBZ24" s="57"/>
      <c r="ECA24" s="57"/>
      <c r="ECB24" s="57"/>
      <c r="ECC24" s="57"/>
      <c r="ECD24" s="57"/>
      <c r="ECE24" s="57"/>
      <c r="ECF24" s="57"/>
      <c r="ECG24" s="57"/>
      <c r="ECH24" s="57"/>
      <c r="ECI24" s="57"/>
      <c r="ECJ24" s="57"/>
      <c r="ECK24" s="57"/>
      <c r="ECL24" s="57"/>
      <c r="ECM24" s="57"/>
      <c r="ECN24" s="57"/>
      <c r="ECO24" s="57"/>
      <c r="ECP24" s="57"/>
      <c r="ECQ24" s="57"/>
      <c r="ECR24" s="57"/>
      <c r="ECS24" s="57"/>
      <c r="ECT24" s="58"/>
      <c r="ECU24" s="56"/>
      <c r="ECV24" s="57"/>
      <c r="ECW24" s="57"/>
      <c r="ECX24" s="57"/>
      <c r="ECY24" s="57"/>
      <c r="ECZ24" s="57"/>
      <c r="EDA24" s="56"/>
      <c r="EDB24" s="57"/>
      <c r="EDC24" s="57"/>
      <c r="EDD24" s="56"/>
      <c r="EDE24" s="57"/>
      <c r="EDF24" s="58"/>
      <c r="EDG24" s="56"/>
      <c r="EDH24" s="57"/>
      <c r="EDI24" s="57"/>
      <c r="EDJ24" s="57"/>
      <c r="EDK24" s="56"/>
      <c r="EDL24" s="57"/>
      <c r="EDM24" s="57"/>
      <c r="EDN24" s="56"/>
      <c r="EDO24" s="57"/>
      <c r="EDP24" s="58"/>
      <c r="EDQ24" s="56"/>
      <c r="EDR24" s="57"/>
      <c r="EDS24" s="57"/>
      <c r="EDT24" s="57"/>
      <c r="EDU24" s="56"/>
      <c r="EDV24" s="57"/>
      <c r="EDW24" s="57"/>
      <c r="EDX24" s="56"/>
      <c r="EDY24" s="57"/>
      <c r="EDZ24" s="58"/>
      <c r="EEA24" s="56"/>
      <c r="EEB24" s="57"/>
      <c r="EEC24" s="57"/>
      <c r="EED24" s="57"/>
      <c r="EEE24" s="56"/>
      <c r="EEF24" s="57"/>
      <c r="EEG24" s="57"/>
      <c r="EEH24" s="56"/>
      <c r="EEI24" s="57"/>
      <c r="EEJ24" s="58"/>
      <c r="EEK24" s="56"/>
      <c r="EEL24" s="58"/>
      <c r="EEM24" s="57"/>
      <c r="EEN24" s="56"/>
      <c r="EEO24" s="57"/>
      <c r="EEP24" s="56"/>
      <c r="EEQ24" s="56"/>
      <c r="EER24" s="56"/>
      <c r="EES24" s="57"/>
      <c r="EET24" s="387"/>
      <c r="EEU24" s="57"/>
      <c r="EEV24" s="387"/>
      <c r="EEW24" s="57"/>
      <c r="EEX24" s="387"/>
      <c r="EEY24" s="57"/>
      <c r="EEZ24" s="57"/>
      <c r="EFA24" s="57"/>
      <c r="EFB24" s="57"/>
      <c r="EFC24" s="57"/>
      <c r="EFD24" s="57"/>
      <c r="EFE24" s="57"/>
      <c r="EFF24" s="57"/>
      <c r="EFG24" s="57"/>
      <c r="EFH24" s="57"/>
      <c r="EFI24" s="57"/>
      <c r="EFJ24" s="57"/>
      <c r="EFK24" s="57"/>
      <c r="EFL24" s="57"/>
      <c r="EFM24" s="57"/>
      <c r="EFN24" s="57"/>
      <c r="EFO24" s="57"/>
      <c r="EFP24" s="57"/>
      <c r="EFQ24" s="57"/>
      <c r="EFR24" s="57"/>
      <c r="EFS24" s="57"/>
      <c r="EFT24" s="57"/>
      <c r="EFU24" s="57"/>
      <c r="EFV24" s="57"/>
      <c r="EFW24" s="57"/>
      <c r="EFX24" s="57"/>
      <c r="EFY24" s="57"/>
      <c r="EFZ24" s="57"/>
      <c r="EGA24" s="57"/>
      <c r="EGB24" s="57"/>
      <c r="EGC24" s="57"/>
      <c r="EGD24" s="58"/>
      <c r="EGE24" s="56"/>
      <c r="EGF24" s="57"/>
      <c r="EGG24" s="57"/>
      <c r="EGH24" s="57"/>
      <c r="EGI24" s="57"/>
      <c r="EGJ24" s="57"/>
      <c r="EGK24" s="56"/>
      <c r="EGL24" s="57"/>
      <c r="EGM24" s="57"/>
      <c r="EGN24" s="56"/>
      <c r="EGO24" s="57"/>
      <c r="EGP24" s="58"/>
      <c r="EGQ24" s="56"/>
      <c r="EGR24" s="57"/>
      <c r="EGS24" s="57"/>
      <c r="EGT24" s="57"/>
      <c r="EGU24" s="56"/>
      <c r="EGV24" s="57"/>
      <c r="EGW24" s="57"/>
      <c r="EGX24" s="56"/>
      <c r="EGY24" s="57"/>
      <c r="EGZ24" s="58"/>
      <c r="EHA24" s="56"/>
      <c r="EHB24" s="57"/>
      <c r="EHC24" s="57"/>
      <c r="EHD24" s="57"/>
      <c r="EHE24" s="56"/>
      <c r="EHF24" s="57"/>
      <c r="EHG24" s="57"/>
      <c r="EHH24" s="56"/>
      <c r="EHI24" s="57"/>
      <c r="EHJ24" s="58"/>
      <c r="EHK24" s="56"/>
      <c r="EHL24" s="57"/>
      <c r="EHM24" s="57"/>
      <c r="EHN24" s="57"/>
      <c r="EHO24" s="56"/>
      <c r="EHP24" s="57"/>
      <c r="EHQ24" s="57"/>
      <c r="EHR24" s="56"/>
      <c r="EHS24" s="57"/>
      <c r="EHT24" s="58"/>
      <c r="EHU24" s="56"/>
      <c r="EHV24" s="58"/>
      <c r="EHW24" s="57"/>
      <c r="EHX24" s="56"/>
      <c r="EHY24" s="57"/>
      <c r="EHZ24" s="56"/>
      <c r="EIA24" s="56"/>
      <c r="EIB24" s="56"/>
      <c r="EIC24" s="57"/>
      <c r="EID24" s="387"/>
      <c r="EIE24" s="57"/>
      <c r="EIF24" s="387"/>
      <c r="EIG24" s="57"/>
      <c r="EIH24" s="387"/>
      <c r="EII24" s="57"/>
      <c r="EIJ24" s="57"/>
      <c r="EIK24" s="57"/>
      <c r="EIL24" s="57"/>
      <c r="EIM24" s="57"/>
      <c r="EIN24" s="57"/>
      <c r="EIO24" s="57"/>
      <c r="EIP24" s="57"/>
      <c r="EIQ24" s="57"/>
      <c r="EIR24" s="57"/>
      <c r="EIS24" s="57"/>
      <c r="EIT24" s="57"/>
      <c r="EIU24" s="57"/>
      <c r="EIV24" s="57"/>
      <c r="EIW24" s="57"/>
      <c r="EIX24" s="57"/>
      <c r="EIY24" s="57"/>
      <c r="EIZ24" s="57"/>
      <c r="EJA24" s="57"/>
      <c r="EJB24" s="57"/>
      <c r="EJC24" s="57"/>
      <c r="EJD24" s="57"/>
      <c r="EJE24" s="57"/>
      <c r="EJF24" s="57"/>
      <c r="EJG24" s="57"/>
      <c r="EJH24" s="57"/>
      <c r="EJI24" s="57"/>
      <c r="EJJ24" s="57"/>
      <c r="EJK24" s="57"/>
      <c r="EJL24" s="57"/>
      <c r="EJM24" s="57"/>
      <c r="EJN24" s="58"/>
      <c r="EJO24" s="56"/>
      <c r="EJP24" s="57"/>
      <c r="EJQ24" s="57"/>
      <c r="EJR24" s="57"/>
      <c r="EJS24" s="57"/>
      <c r="EJT24" s="57"/>
      <c r="EJU24" s="56"/>
      <c r="EJV24" s="57"/>
      <c r="EJW24" s="57"/>
      <c r="EJX24" s="56"/>
      <c r="EJY24" s="57"/>
      <c r="EJZ24" s="58"/>
      <c r="EKA24" s="56"/>
      <c r="EKB24" s="57"/>
      <c r="EKC24" s="57"/>
      <c r="EKD24" s="57"/>
      <c r="EKE24" s="56"/>
      <c r="EKF24" s="57"/>
      <c r="EKG24" s="57"/>
      <c r="EKH24" s="56"/>
      <c r="EKI24" s="57"/>
      <c r="EKJ24" s="58"/>
      <c r="EKK24" s="56"/>
      <c r="EKL24" s="57"/>
      <c r="EKM24" s="57"/>
      <c r="EKN24" s="57"/>
      <c r="EKO24" s="56"/>
      <c r="EKP24" s="57"/>
      <c r="EKQ24" s="57"/>
      <c r="EKR24" s="56"/>
      <c r="EKS24" s="57"/>
      <c r="EKT24" s="58"/>
      <c r="EKU24" s="56"/>
      <c r="EKV24" s="57"/>
      <c r="EKW24" s="57"/>
      <c r="EKX24" s="57"/>
      <c r="EKY24" s="56"/>
      <c r="EKZ24" s="57"/>
      <c r="ELA24" s="57"/>
      <c r="ELB24" s="56"/>
      <c r="ELC24" s="57"/>
      <c r="ELD24" s="58"/>
      <c r="ELE24" s="56"/>
      <c r="ELF24" s="58"/>
      <c r="ELG24" s="57"/>
      <c r="ELH24" s="56"/>
      <c r="ELI24" s="57"/>
      <c r="ELJ24" s="56"/>
      <c r="ELK24" s="56"/>
      <c r="ELL24" s="56"/>
      <c r="ELM24" s="57"/>
      <c r="ELN24" s="387"/>
      <c r="ELO24" s="57"/>
      <c r="ELP24" s="387"/>
      <c r="ELQ24" s="57"/>
      <c r="ELR24" s="387"/>
      <c r="ELS24" s="57"/>
      <c r="ELT24" s="57"/>
      <c r="ELU24" s="57"/>
      <c r="ELV24" s="57"/>
      <c r="ELW24" s="57"/>
      <c r="ELX24" s="57"/>
      <c r="ELY24" s="57"/>
      <c r="ELZ24" s="57"/>
      <c r="EMA24" s="57"/>
      <c r="EMB24" s="57"/>
      <c r="EMC24" s="57"/>
      <c r="EMD24" s="57"/>
      <c r="EME24" s="57"/>
      <c r="EMF24" s="57"/>
      <c r="EMG24" s="57"/>
      <c r="EMH24" s="57"/>
      <c r="EMI24" s="57"/>
      <c r="EMJ24" s="57"/>
      <c r="EMK24" s="57"/>
      <c r="EML24" s="57"/>
      <c r="EMM24" s="57"/>
      <c r="EMN24" s="57"/>
      <c r="EMO24" s="57"/>
      <c r="EMP24" s="57"/>
      <c r="EMQ24" s="57"/>
      <c r="EMR24" s="57"/>
      <c r="EMS24" s="57"/>
      <c r="EMT24" s="57"/>
      <c r="EMU24" s="57"/>
      <c r="EMV24" s="57"/>
      <c r="EMW24" s="57"/>
      <c r="EMX24" s="58"/>
      <c r="EMY24" s="56"/>
      <c r="EMZ24" s="57"/>
      <c r="ENA24" s="57"/>
      <c r="ENB24" s="57"/>
      <c r="ENC24" s="57"/>
      <c r="END24" s="57"/>
      <c r="ENE24" s="56"/>
      <c r="ENF24" s="57"/>
      <c r="ENG24" s="57"/>
      <c r="ENH24" s="56"/>
      <c r="ENI24" s="57"/>
      <c r="ENJ24" s="58"/>
      <c r="ENK24" s="56"/>
      <c r="ENL24" s="57"/>
      <c r="ENM24" s="57"/>
      <c r="ENN24" s="57"/>
      <c r="ENO24" s="56"/>
      <c r="ENP24" s="57"/>
      <c r="ENQ24" s="57"/>
      <c r="ENR24" s="56"/>
      <c r="ENS24" s="57"/>
      <c r="ENT24" s="58"/>
      <c r="ENU24" s="56"/>
      <c r="ENV24" s="57"/>
      <c r="ENW24" s="57"/>
      <c r="ENX24" s="57"/>
      <c r="ENY24" s="56"/>
      <c r="ENZ24" s="57"/>
      <c r="EOA24" s="57"/>
      <c r="EOB24" s="56"/>
      <c r="EOC24" s="57"/>
      <c r="EOD24" s="58"/>
      <c r="EOE24" s="56"/>
      <c r="EOF24" s="57"/>
      <c r="EOG24" s="57"/>
      <c r="EOH24" s="57"/>
      <c r="EOI24" s="56"/>
      <c r="EOJ24" s="57"/>
      <c r="EOK24" s="57"/>
      <c r="EOL24" s="56"/>
      <c r="EOM24" s="57"/>
      <c r="EON24" s="58"/>
      <c r="EOO24" s="56" t="str">
        <f t="shared" si="149"/>
        <v xml:space="preserve"> </v>
      </c>
      <c r="EOP24" s="58"/>
      <c r="EOQ24" s="57"/>
      <c r="EOR24" s="56"/>
      <c r="EOS24" s="57"/>
      <c r="EOT24" s="56"/>
      <c r="EOU24" s="56"/>
      <c r="EOV24" s="56"/>
      <c r="EOW24" s="57"/>
      <c r="EOX24" s="387"/>
      <c r="EOY24" s="57"/>
      <c r="EOZ24" s="387"/>
      <c r="EPA24" s="57"/>
      <c r="EPB24" s="387"/>
      <c r="EPC24" s="57"/>
      <c r="EPD24" s="57"/>
      <c r="EPE24" s="57"/>
      <c r="EPF24" s="57"/>
      <c r="EPG24" s="57"/>
      <c r="EPH24" s="57"/>
      <c r="EPI24" s="57"/>
      <c r="EPJ24" s="57"/>
      <c r="EPK24" s="57"/>
      <c r="EPL24" s="57"/>
      <c r="EPM24" s="57"/>
      <c r="EPN24" s="57"/>
      <c r="EPO24" s="57"/>
      <c r="EPP24" s="57"/>
      <c r="EPQ24" s="57"/>
      <c r="EPR24" s="57"/>
      <c r="EPS24" s="57"/>
      <c r="EPT24" s="57"/>
      <c r="EPU24" s="57"/>
      <c r="EPV24" s="57"/>
      <c r="EPW24" s="57"/>
      <c r="EPX24" s="57"/>
      <c r="EPY24" s="57"/>
      <c r="EPZ24" s="57"/>
      <c r="EQA24" s="57"/>
      <c r="EQB24" s="57"/>
      <c r="EQC24" s="57"/>
      <c r="EQD24" s="57"/>
      <c r="EQE24" s="57"/>
      <c r="EQF24" s="57"/>
      <c r="EQG24" s="57"/>
      <c r="EQH24" s="58"/>
      <c r="EQI24" s="56"/>
      <c r="EQJ24" s="57"/>
      <c r="EQK24" s="57"/>
      <c r="EQL24" s="57"/>
      <c r="EQM24" s="57"/>
      <c r="EQN24" s="57"/>
      <c r="EQO24" s="56"/>
      <c r="EQP24" s="57"/>
      <c r="EQQ24" s="57"/>
      <c r="EQR24" s="56"/>
      <c r="EQS24" s="57"/>
      <c r="EQT24" s="58"/>
      <c r="EQU24" s="56"/>
      <c r="EQV24" s="57"/>
      <c r="EQW24" s="57"/>
      <c r="EQX24" s="57"/>
      <c r="EQY24" s="56"/>
      <c r="EQZ24" s="57"/>
      <c r="ERA24" s="57"/>
      <c r="ERB24" s="56"/>
      <c r="ERC24" s="57"/>
      <c r="ERD24" s="58"/>
      <c r="ERE24" s="56"/>
      <c r="ERF24" s="57"/>
      <c r="ERG24" s="57"/>
      <c r="ERH24" s="57"/>
      <c r="ERI24" s="56"/>
      <c r="ERJ24" s="57"/>
      <c r="ERK24" s="57"/>
      <c r="ERL24" s="56"/>
      <c r="ERM24" s="57"/>
      <c r="ERN24" s="58"/>
      <c r="ERO24" s="56"/>
      <c r="ERP24" s="57"/>
      <c r="ERQ24" s="57"/>
      <c r="ERR24" s="57"/>
      <c r="ERS24" s="56"/>
      <c r="ERT24" s="57"/>
      <c r="ERU24" s="57"/>
      <c r="ERV24" s="56"/>
      <c r="ERW24" s="57"/>
      <c r="ERX24" s="58"/>
      <c r="ERY24" s="56" t="str">
        <f t="shared" ref="ERY24:ERY47" si="152">IFERROR(VLOOKUP(ERX24,BASEPOE1,2,FALSE)," ")</f>
        <v xml:space="preserve"> </v>
      </c>
      <c r="ERZ24" s="58"/>
      <c r="ESA24" s="57"/>
      <c r="ESB24" s="56"/>
      <c r="ESC24" s="57"/>
      <c r="ESD24" s="56"/>
      <c r="ESE24" s="56"/>
      <c r="ESF24" s="56"/>
      <c r="ESG24" s="57"/>
      <c r="ESH24" s="387"/>
      <c r="ESI24" s="57"/>
      <c r="ESJ24" s="387"/>
      <c r="ESK24" s="57"/>
      <c r="ESL24" s="387"/>
      <c r="ESM24" s="57"/>
      <c r="ESN24" s="57"/>
      <c r="ESO24" s="57"/>
      <c r="ESP24" s="57"/>
      <c r="ESQ24" s="57"/>
      <c r="ESR24" s="57"/>
      <c r="ESS24" s="57"/>
      <c r="EST24" s="57"/>
      <c r="ESU24" s="57"/>
      <c r="ESV24" s="57"/>
      <c r="ESW24" s="57"/>
      <c r="ESX24" s="57"/>
      <c r="ESY24" s="57"/>
      <c r="ESZ24" s="57"/>
      <c r="ETA24" s="57"/>
      <c r="ETB24" s="57"/>
      <c r="ETC24" s="57"/>
      <c r="ETD24" s="57"/>
      <c r="ETE24" s="57"/>
      <c r="ETF24" s="57"/>
      <c r="ETG24" s="57"/>
      <c r="ETH24" s="57"/>
      <c r="ETI24" s="57"/>
      <c r="ETJ24" s="57"/>
      <c r="ETK24" s="57"/>
      <c r="ETL24" s="57"/>
      <c r="ETM24" s="57"/>
      <c r="ETN24" s="57"/>
      <c r="ETO24" s="57"/>
      <c r="ETP24" s="57"/>
      <c r="ETQ24" s="57"/>
      <c r="ETR24" s="58"/>
      <c r="ETS24" s="56"/>
      <c r="ETT24" s="57"/>
      <c r="ETU24" s="57"/>
      <c r="ETV24" s="57"/>
      <c r="ETW24" s="57"/>
      <c r="ETX24" s="57"/>
      <c r="ETY24" s="56"/>
      <c r="ETZ24" s="57"/>
      <c r="EUA24" s="57"/>
      <c r="EUB24" s="56"/>
      <c r="EUC24" s="57"/>
      <c r="EUD24" s="58"/>
      <c r="EUE24" s="56"/>
      <c r="EUF24" s="57"/>
      <c r="EUG24" s="57"/>
      <c r="EUH24" s="57"/>
      <c r="EUI24" s="56"/>
      <c r="EUJ24" s="57"/>
      <c r="EUK24" s="57"/>
      <c r="EUL24" s="56"/>
      <c r="EUM24" s="57"/>
      <c r="EUN24" s="58"/>
      <c r="EUO24" s="56"/>
      <c r="EUP24" s="57"/>
      <c r="EUQ24" s="57"/>
      <c r="EUR24" s="57"/>
      <c r="EUS24" s="56"/>
      <c r="EUT24" s="57"/>
      <c r="EUU24" s="57"/>
      <c r="EUV24" s="56"/>
      <c r="EUW24" s="57"/>
      <c r="EUX24" s="58"/>
      <c r="EUY24" s="56"/>
      <c r="EUZ24" s="57"/>
      <c r="EVA24" s="57"/>
      <c r="EVB24" s="57"/>
      <c r="EVC24" s="56"/>
      <c r="EVD24" s="57"/>
      <c r="EVE24" s="57"/>
      <c r="EVF24" s="56"/>
      <c r="EVG24" s="57"/>
      <c r="EVH24" s="58"/>
      <c r="EVI24" s="56" t="str">
        <f t="shared" ref="EVI24:EVI47" si="153">IFERROR(VLOOKUP(EVH24,BASEPOE1,2,FALSE)," ")</f>
        <v xml:space="preserve"> </v>
      </c>
    </row>
    <row r="25" spans="1:3961" x14ac:dyDescent="0.3">
      <c r="A25" s="423" t="s">
        <v>179</v>
      </c>
      <c r="B25" s="30" t="str">
        <f>'REG y VAL POE - AESR - ESR'!B1875</f>
        <v xml:space="preserve">Castillo Sinsel Oscar Francisco </v>
      </c>
      <c r="C25" s="29" t="str">
        <f>'REG y VAL POE - AESR - ESR'!C1875</f>
        <v>Sin Registro</v>
      </c>
      <c r="D25" s="28">
        <f>'REG y VAL POE - AESR - ESR'!D1875</f>
        <v>23226336</v>
      </c>
      <c r="E25" s="29">
        <f>'REG y VAL POE - AESR - ESR'!E1875</f>
        <v>0</v>
      </c>
      <c r="F25" s="28">
        <f>'REG y VAL POE - AESR - ESR'!F1875</f>
        <v>0</v>
      </c>
      <c r="G25" s="31">
        <f>'REG y VAL POE - AESR - ESR'!G1875</f>
        <v>0</v>
      </c>
      <c r="H25" s="31">
        <f>'REG y VAL POE - AESR - ESR'!H1875</f>
        <v>0</v>
      </c>
      <c r="I25" s="29">
        <f>'REG y VAL POE - AESR - ESR'!I1875</f>
        <v>0</v>
      </c>
      <c r="J25" s="29">
        <f>'REG y VAL POE - AESR - ESR'!J1875</f>
        <v>0</v>
      </c>
      <c r="K25" s="29">
        <f>'REG y VAL POE - AESR - ESR'!K1875</f>
        <v>0</v>
      </c>
      <c r="L25" s="29">
        <f>'REG y VAL POE - AESR - ESR'!L1875</f>
        <v>0</v>
      </c>
      <c r="M25" s="29">
        <f>'REG y VAL POE - AESR - ESR'!M1875</f>
        <v>0</v>
      </c>
      <c r="N25" s="29">
        <f>'REG y VAL POE - AESR - ESR'!N1875</f>
        <v>0</v>
      </c>
      <c r="O25" s="29">
        <f>'REG y VAL POE - AESR - ESR'!O1875</f>
        <v>0</v>
      </c>
      <c r="P25" s="29">
        <f>'REG y VAL POE - AESR - ESR'!P1875</f>
        <v>0</v>
      </c>
      <c r="Q25" s="29">
        <f>'REG y VAL POE - AESR - ESR'!Q1875</f>
        <v>0</v>
      </c>
      <c r="R25" s="29">
        <f>'REG y VAL POE - AESR - ESR'!R1875</f>
        <v>0</v>
      </c>
      <c r="S25" s="29">
        <f>'REG y VAL POE - AESR - ESR'!S1875</f>
        <v>0</v>
      </c>
      <c r="T25" s="29">
        <f>'REG y VAL POE - AESR - ESR'!T1875</f>
        <v>0</v>
      </c>
      <c r="U25" s="29">
        <f>'REG y VAL POE - AESR - ESR'!U1875</f>
        <v>0</v>
      </c>
      <c r="V25" s="29">
        <f>'REG y VAL POE - AESR - ESR'!V1875</f>
        <v>0</v>
      </c>
      <c r="W25" s="29">
        <f>'REG y VAL POE - AESR - ESR'!W1875</f>
        <v>0</v>
      </c>
      <c r="X25" s="29">
        <f>'REG y VAL POE - AESR - ESR'!X1875</f>
        <v>0</v>
      </c>
      <c r="Y25" s="29">
        <f>'REG y VAL POE - AESR - ESR'!Y1875</f>
        <v>0</v>
      </c>
      <c r="Z25" s="29">
        <f>'REG y VAL POE - AESR - ESR'!Z1875</f>
        <v>0</v>
      </c>
      <c r="AA25" s="29">
        <f>'REG y VAL POE - AESR - ESR'!AA1875</f>
        <v>0</v>
      </c>
      <c r="AB25" s="29">
        <f>'REG y VAL POE - AESR - ESR'!AB1875</f>
        <v>0</v>
      </c>
      <c r="AC25" s="29">
        <f>'REG y VAL POE - AESR - ESR'!AC1875</f>
        <v>0</v>
      </c>
      <c r="AD25" s="29">
        <f>'REG y VAL POE - AESR - ESR'!AD1875</f>
        <v>0</v>
      </c>
      <c r="AE25" s="29">
        <f>'REG y VAL POE - AESR - ESR'!AE1875</f>
        <v>0</v>
      </c>
      <c r="AF25" s="29">
        <f>'REG y VAL POE - AESR - ESR'!AF1875</f>
        <v>0</v>
      </c>
      <c r="AG25" s="29">
        <f>'REG y VAL POE - AESR - ESR'!AG1875</f>
        <v>0</v>
      </c>
      <c r="AH25" s="29">
        <f>'REG y VAL POE - AESR - ESR'!AH1875</f>
        <v>0</v>
      </c>
      <c r="AI25" s="29">
        <f>'REG y VAL POE - AESR - ESR'!AI1875</f>
        <v>0</v>
      </c>
      <c r="AJ25" s="29">
        <f>'REG y VAL POE - AESR - ESR'!AJ1875</f>
        <v>0</v>
      </c>
      <c r="AK25" s="29">
        <f>'REG y VAL POE - AESR - ESR'!AK1875</f>
        <v>0</v>
      </c>
      <c r="AL25" s="29">
        <f>'REG y VAL POE - AESR - ESR'!AL1875</f>
        <v>0</v>
      </c>
      <c r="AM25" s="29">
        <f>'REG y VAL POE - AESR - ESR'!AM1875</f>
        <v>0</v>
      </c>
      <c r="AN25" s="29">
        <f>'REG y VAL POE - AESR - ESR'!AN1875</f>
        <v>0</v>
      </c>
      <c r="AO25" s="29">
        <f>'REG y VAL POE - AESR - ESR'!AO1875</f>
        <v>0</v>
      </c>
      <c r="AP25" s="29">
        <f>'REG y VAL POE - AESR - ESR'!AP1875</f>
        <v>0</v>
      </c>
      <c r="AQ25" s="29">
        <f>'REG y VAL POE - AESR - ESR'!AQ1875</f>
        <v>0</v>
      </c>
      <c r="AR25" s="29">
        <f>'REG y VAL POE - AESR - ESR'!AR1875</f>
        <v>0</v>
      </c>
      <c r="AS25" s="29">
        <f>'REG y VAL POE - AESR - ESR'!AS1875</f>
        <v>0</v>
      </c>
      <c r="AT25" s="30" t="str">
        <f>'REG y VAL POE - AESR - ESR'!B1876</f>
        <v xml:space="preserve">Contreras Gutierrez Jose Alberto </v>
      </c>
      <c r="AU25" s="28" t="str">
        <f>'REG y VAL POE - AESR - ESR'!C1876</f>
        <v>Sin Registro</v>
      </c>
      <c r="AV25" s="29">
        <f>'REG y VAL POE - AESR - ESR'!D1876</f>
        <v>23157238</v>
      </c>
      <c r="AW25" s="29">
        <f>'REG y VAL POE - AESR - ESR'!E1876</f>
        <v>0</v>
      </c>
      <c r="AX25" s="29">
        <f>'REG y VAL POE - AESR - ESR'!F1876</f>
        <v>0</v>
      </c>
      <c r="AY25" s="29">
        <f>'REG y VAL POE - AESR - ESR'!G1876</f>
        <v>0</v>
      </c>
      <c r="AZ25" s="29">
        <f>'REG y VAL POE - AESR - ESR'!H1876</f>
        <v>0</v>
      </c>
      <c r="BA25" s="28">
        <f>'REG y VAL POE - AESR - ESR'!I1876</f>
        <v>0</v>
      </c>
      <c r="BB25" s="29">
        <f>'REG y VAL POE - AESR - ESR'!J1876</f>
        <v>0</v>
      </c>
      <c r="BC25" s="29">
        <f>'REG y VAL POE - AESR - ESR'!K1876</f>
        <v>0</v>
      </c>
      <c r="BD25" s="28">
        <f>'REG y VAL POE - AESR - ESR'!L1876</f>
        <v>0</v>
      </c>
      <c r="BE25" s="29">
        <f>'REG y VAL POE - AESR - ESR'!M1876</f>
        <v>0</v>
      </c>
      <c r="BF25" s="30">
        <f>'REG y VAL POE - AESR - ESR'!N1876</f>
        <v>0</v>
      </c>
      <c r="BG25" s="28">
        <f>'REG y VAL POE - AESR - ESR'!O1876</f>
        <v>0</v>
      </c>
      <c r="BH25" s="29">
        <f>'REG y VAL POE - AESR - ESR'!P1876</f>
        <v>0</v>
      </c>
      <c r="BI25" s="29">
        <f>'REG y VAL POE - AESR - ESR'!Q1876</f>
        <v>0</v>
      </c>
      <c r="BJ25" s="29">
        <f>'REG y VAL POE - AESR - ESR'!R1876</f>
        <v>0</v>
      </c>
      <c r="BK25" s="28">
        <f>'REG y VAL POE - AESR - ESR'!S1876</f>
        <v>0</v>
      </c>
      <c r="BL25" s="29">
        <f>'REG y VAL POE - AESR - ESR'!T1876</f>
        <v>0</v>
      </c>
      <c r="BM25" s="29">
        <f>'REG y VAL POE - AESR - ESR'!U1876</f>
        <v>0</v>
      </c>
      <c r="BN25" s="28">
        <f>'REG y VAL POE - AESR - ESR'!V1876</f>
        <v>0</v>
      </c>
      <c r="BO25" s="29">
        <f>'REG y VAL POE - AESR - ESR'!W1876</f>
        <v>0</v>
      </c>
      <c r="BP25" s="30">
        <f>'REG y VAL POE - AESR - ESR'!X1876</f>
        <v>0</v>
      </c>
      <c r="BQ25" s="28">
        <f>'REG y VAL POE - AESR - ESR'!Y1876</f>
        <v>0</v>
      </c>
      <c r="BR25" s="29">
        <f>'REG y VAL POE - AESR - ESR'!Z1876</f>
        <v>0</v>
      </c>
      <c r="BS25" s="29">
        <f>'REG y VAL POE - AESR - ESR'!AA1876</f>
        <v>0</v>
      </c>
      <c r="BT25" s="29">
        <f>'REG y VAL POE - AESR - ESR'!AB1876</f>
        <v>0</v>
      </c>
      <c r="BU25" s="28">
        <f>'REG y VAL POE - AESR - ESR'!AC1876</f>
        <v>0</v>
      </c>
      <c r="BV25" s="29">
        <f>'REG y VAL POE - AESR - ESR'!AD1876</f>
        <v>0</v>
      </c>
      <c r="BW25" s="29">
        <f>'REG y VAL POE - AESR - ESR'!AE1876</f>
        <v>0</v>
      </c>
      <c r="BX25" s="28">
        <f>'REG y VAL POE - AESR - ESR'!AF1876</f>
        <v>0</v>
      </c>
      <c r="BY25" s="29">
        <f>'REG y VAL POE - AESR - ESR'!AG1876</f>
        <v>0</v>
      </c>
      <c r="BZ25" s="30">
        <f>'REG y VAL POE - AESR - ESR'!AH1876</f>
        <v>0</v>
      </c>
      <c r="CA25" s="28">
        <f>'REG y VAL POE - AESR - ESR'!AI1876</f>
        <v>0</v>
      </c>
      <c r="CB25" s="29">
        <f>'REG y VAL POE - AESR - ESR'!AJ1876</f>
        <v>0</v>
      </c>
      <c r="CC25" s="29">
        <f>'REG y VAL POE - AESR - ESR'!AK1876</f>
        <v>0</v>
      </c>
      <c r="CD25" s="29">
        <f>'REG y VAL POE - AESR - ESR'!AL1876</f>
        <v>0</v>
      </c>
      <c r="CE25" s="28">
        <f>'REG y VAL POE - AESR - ESR'!AM1876</f>
        <v>0</v>
      </c>
      <c r="CF25" s="29">
        <f>'REG y VAL POE - AESR - ESR'!AN1876</f>
        <v>0</v>
      </c>
      <c r="CG25" s="29">
        <f>'REG y VAL POE - AESR - ESR'!AO1876</f>
        <v>0</v>
      </c>
      <c r="CH25" s="28">
        <f>'REG y VAL POE - AESR - ESR'!AP1876</f>
        <v>0</v>
      </c>
      <c r="CI25" s="29">
        <f>'REG y VAL POE - AESR - ESR'!AQ1876</f>
        <v>0</v>
      </c>
      <c r="CJ25" s="30">
        <f>'REG y VAL POE - AESR - ESR'!AR1876</f>
        <v>0</v>
      </c>
      <c r="CK25" s="28">
        <f>'REG y VAL POE - AESR - ESR'!AS1876</f>
        <v>0</v>
      </c>
      <c r="CL25" s="29" t="str">
        <f>'REG y VAL POE - AESR - ESR'!B1877</f>
        <v xml:space="preserve">Herrera Valenzuela Carlos Armando </v>
      </c>
      <c r="CM25" s="29" t="str">
        <f>'REG y VAL POE - AESR - ESR'!C1877</f>
        <v>Sin Registro</v>
      </c>
      <c r="CN25" s="29">
        <f>'REG y VAL POE - AESR - ESR'!D1877</f>
        <v>23147550</v>
      </c>
      <c r="CO25" s="28">
        <f>'REG y VAL POE - AESR - ESR'!E1877</f>
        <v>0</v>
      </c>
      <c r="CP25" s="29">
        <f>'REG y VAL POE - AESR - ESR'!F1877</f>
        <v>0</v>
      </c>
      <c r="CQ25" s="29">
        <f>'REG y VAL POE - AESR - ESR'!G1877</f>
        <v>0</v>
      </c>
      <c r="CR25" s="28">
        <f>'REG y VAL POE - AESR - ESR'!H1877</f>
        <v>0</v>
      </c>
      <c r="CS25" s="29">
        <f>'REG y VAL POE - AESR - ESR'!I1877</f>
        <v>0</v>
      </c>
      <c r="CT25" s="30">
        <f>'REG y VAL POE - AESR - ESR'!J1877</f>
        <v>0</v>
      </c>
      <c r="CU25" s="28">
        <f>'REG y VAL POE - AESR - ESR'!K1877</f>
        <v>0</v>
      </c>
      <c r="CV25" s="29">
        <f>'REG y VAL POE - AESR - ESR'!L1877</f>
        <v>0</v>
      </c>
      <c r="CW25" s="29">
        <f>'REG y VAL POE - AESR - ESR'!M1877</f>
        <v>0</v>
      </c>
      <c r="CX25" s="29">
        <f>'REG y VAL POE - AESR - ESR'!N1877</f>
        <v>0</v>
      </c>
      <c r="CY25" s="28">
        <f>'REG y VAL POE - AESR - ESR'!O1877</f>
        <v>0</v>
      </c>
      <c r="CZ25" s="29">
        <f>'REG y VAL POE - AESR - ESR'!P1877</f>
        <v>0</v>
      </c>
      <c r="DA25" s="29">
        <f>'REG y VAL POE - AESR - ESR'!Q1877</f>
        <v>0</v>
      </c>
      <c r="DB25" s="28">
        <f>'REG y VAL POE - AESR - ESR'!R1877</f>
        <v>0</v>
      </c>
      <c r="DC25" s="29">
        <f>'REG y VAL POE - AESR - ESR'!S1877</f>
        <v>0</v>
      </c>
      <c r="DD25" s="30">
        <f>'REG y VAL POE - AESR - ESR'!T1877</f>
        <v>0</v>
      </c>
      <c r="DE25" s="28">
        <f>'REG y VAL POE - AESR - ESR'!U1877</f>
        <v>0</v>
      </c>
      <c r="DF25" s="29">
        <f>'REG y VAL POE - AESR - ESR'!V1877</f>
        <v>0</v>
      </c>
      <c r="DG25" s="29">
        <f>'REG y VAL POE - AESR - ESR'!W1877</f>
        <v>0</v>
      </c>
      <c r="DH25" s="29">
        <f>'REG y VAL POE - AESR - ESR'!X1877</f>
        <v>0</v>
      </c>
      <c r="DI25" s="28">
        <f>'REG y VAL POE - AESR - ESR'!Y1877</f>
        <v>0</v>
      </c>
      <c r="DJ25" s="29">
        <f>'REG y VAL POE - AESR - ESR'!Z1877</f>
        <v>0</v>
      </c>
      <c r="DK25" s="29">
        <f>'REG y VAL POE - AESR - ESR'!AA1877</f>
        <v>0</v>
      </c>
      <c r="DL25" s="28">
        <f>'REG y VAL POE - AESR - ESR'!AB1877</f>
        <v>0</v>
      </c>
      <c r="DM25" s="29">
        <f>'REG y VAL POE - AESR - ESR'!AC1877</f>
        <v>0</v>
      </c>
      <c r="DN25" s="30">
        <f>'REG y VAL POE - AESR - ESR'!AD1877</f>
        <v>0</v>
      </c>
      <c r="DO25" s="28">
        <f>'REG y VAL POE - AESR - ESR'!AE1877</f>
        <v>0</v>
      </c>
      <c r="DP25" s="29">
        <f>'REG y VAL POE - AESR - ESR'!AF1877</f>
        <v>0</v>
      </c>
      <c r="DQ25" s="29">
        <f>'REG y VAL POE - AESR - ESR'!AG1877</f>
        <v>0</v>
      </c>
      <c r="DR25" s="29">
        <f>'REG y VAL POE - AESR - ESR'!AH1877</f>
        <v>0</v>
      </c>
      <c r="DS25" s="28">
        <f>'REG y VAL POE - AESR - ESR'!AI1877</f>
        <v>0</v>
      </c>
      <c r="DT25" s="29">
        <f>'REG y VAL POE - AESR - ESR'!AJ1877</f>
        <v>0</v>
      </c>
      <c r="DU25" s="29">
        <f>'REG y VAL POE - AESR - ESR'!AK1877</f>
        <v>0</v>
      </c>
      <c r="DV25" s="28">
        <f>'REG y VAL POE - AESR - ESR'!AL1877</f>
        <v>0</v>
      </c>
      <c r="DW25" s="29">
        <f>'REG y VAL POE - AESR - ESR'!AM1877</f>
        <v>0</v>
      </c>
      <c r="DX25" s="30">
        <f>'REG y VAL POE - AESR - ESR'!AN1877</f>
        <v>0</v>
      </c>
      <c r="DY25" s="28">
        <f>'REG y VAL POE - AESR - ESR'!AO1877</f>
        <v>0</v>
      </c>
      <c r="DZ25" s="29">
        <f>'REG y VAL POE - AESR - ESR'!AP1877</f>
        <v>0</v>
      </c>
      <c r="EA25" s="29">
        <f>'REG y VAL POE - AESR - ESR'!AQ1877</f>
        <v>0</v>
      </c>
      <c r="EB25" s="29">
        <f>'REG y VAL POE - AESR - ESR'!AR1877</f>
        <v>0</v>
      </c>
      <c r="EC25" s="28">
        <f>'REG y VAL POE - AESR - ESR'!AS1877</f>
        <v>0</v>
      </c>
      <c r="ED25" s="29" t="str">
        <f>'REG y VAL POE - AESR - ESR'!B1878</f>
        <v xml:space="preserve">Mac Butchart Avalos Maria Guadalupe </v>
      </c>
      <c r="EE25" s="28" t="str">
        <f>'REG y VAL POE - AESR - ESR'!C1878</f>
        <v>Sin Registro</v>
      </c>
      <c r="EF25" s="28">
        <f>'REG y VAL POE - AESR - ESR'!D1878</f>
        <v>23155536</v>
      </c>
      <c r="EG25" s="29">
        <f>'REG y VAL POE - AESR - ESR'!E1878</f>
        <v>0</v>
      </c>
      <c r="EH25" s="30">
        <f>'REG y VAL POE - AESR - ESR'!F1878</f>
        <v>0</v>
      </c>
      <c r="EI25" s="28">
        <f>'REG y VAL POE - AESR - ESR'!G1878</f>
        <v>0</v>
      </c>
      <c r="EJ25" s="29">
        <f>'REG y VAL POE - AESR - ESR'!H1878</f>
        <v>0</v>
      </c>
      <c r="EK25" s="29">
        <f>'REG y VAL POE - AESR - ESR'!I1878</f>
        <v>0</v>
      </c>
      <c r="EL25" s="29">
        <f>'REG y VAL POE - AESR - ESR'!J1878</f>
        <v>0</v>
      </c>
      <c r="EM25" s="28">
        <f>'REG y VAL POE - AESR - ESR'!K1878</f>
        <v>0</v>
      </c>
      <c r="EN25" s="29">
        <f>'REG y VAL POE - AESR - ESR'!L1878</f>
        <v>0</v>
      </c>
      <c r="EO25" s="33">
        <f>'REG y VAL POE - AESR - ESR'!M1878</f>
        <v>0</v>
      </c>
      <c r="EP25" s="28">
        <f>'REG y VAL POE - AESR - ESR'!N1878</f>
        <v>0</v>
      </c>
      <c r="EQ25" s="29">
        <f>'REG y VAL POE - AESR - ESR'!O1878</f>
        <v>0</v>
      </c>
      <c r="ER25" s="30">
        <f>'REG y VAL POE - AESR - ESR'!P1878</f>
        <v>0</v>
      </c>
      <c r="ES25" s="28">
        <f>'REG y VAL POE - AESR - ESR'!Q1878</f>
        <v>0</v>
      </c>
      <c r="ET25" s="29">
        <f>'REG y VAL POE - AESR - ESR'!R1878</f>
        <v>0</v>
      </c>
      <c r="EU25" s="29">
        <f>'REG y VAL POE - AESR - ESR'!S1878</f>
        <v>0</v>
      </c>
      <c r="EV25" s="29">
        <f>'REG y VAL POE - AESR - ESR'!T1878</f>
        <v>0</v>
      </c>
      <c r="EW25" s="28">
        <f>'REG y VAL POE - AESR - ESR'!U1878</f>
        <v>0</v>
      </c>
      <c r="EX25" s="29">
        <f>'REG y VAL POE - AESR - ESR'!V1878</f>
        <v>0</v>
      </c>
      <c r="EY25" s="29">
        <f>'REG y VAL POE - AESR - ESR'!W1878</f>
        <v>0</v>
      </c>
      <c r="EZ25" s="28">
        <f>'REG y VAL POE - AESR - ESR'!X1878</f>
        <v>0</v>
      </c>
      <c r="FA25" s="29">
        <f>'REG y VAL POE - AESR - ESR'!Y1878</f>
        <v>0</v>
      </c>
      <c r="FB25" s="30">
        <f>'REG y VAL POE - AESR - ESR'!Z1878</f>
        <v>0</v>
      </c>
      <c r="FC25" s="28">
        <f>'REG y VAL POE - AESR - ESR'!AA1878</f>
        <v>0</v>
      </c>
      <c r="FD25" s="29">
        <f>'REG y VAL POE - AESR - ESR'!AB1878</f>
        <v>0</v>
      </c>
      <c r="FE25" s="29">
        <f>'REG y VAL POE - AESR - ESR'!AC1878</f>
        <v>0</v>
      </c>
      <c r="FF25" s="29">
        <f>'REG y VAL POE - AESR - ESR'!AD1878</f>
        <v>0</v>
      </c>
      <c r="FG25" s="28">
        <f>'REG y VAL POE - AESR - ESR'!AE1878</f>
        <v>0</v>
      </c>
      <c r="FH25" s="29">
        <f>'REG y VAL POE - AESR - ESR'!AF1878</f>
        <v>0</v>
      </c>
      <c r="FI25" s="29">
        <f>'REG y VAL POE - AESR - ESR'!AG1878</f>
        <v>0</v>
      </c>
      <c r="FJ25" s="28">
        <f>'REG y VAL POE - AESR - ESR'!AH1878</f>
        <v>0</v>
      </c>
      <c r="FK25" s="29">
        <f>'REG y VAL POE - AESR - ESR'!AI1878</f>
        <v>0</v>
      </c>
      <c r="FL25" s="30">
        <f>'REG y VAL POE - AESR - ESR'!AJ1878</f>
        <v>0</v>
      </c>
      <c r="FM25" s="28">
        <f>'REG y VAL POE - AESR - ESR'!AK1878</f>
        <v>0</v>
      </c>
      <c r="FN25" s="29">
        <f>'REG y VAL POE - AESR - ESR'!AL1878</f>
        <v>0</v>
      </c>
      <c r="FO25" s="29">
        <f>'REG y VAL POE - AESR - ESR'!AM1878</f>
        <v>0</v>
      </c>
      <c r="FP25" s="29">
        <f>'REG y VAL POE - AESR - ESR'!AN1878</f>
        <v>0</v>
      </c>
      <c r="FQ25" s="28">
        <f>'REG y VAL POE - AESR - ESR'!AO1878</f>
        <v>0</v>
      </c>
      <c r="FR25" s="29">
        <f>'REG y VAL POE - AESR - ESR'!AP1878</f>
        <v>0</v>
      </c>
      <c r="FS25" s="29">
        <f>'REG y VAL POE - AESR - ESR'!AQ1878</f>
        <v>0</v>
      </c>
      <c r="FT25" s="28">
        <f>'REG y VAL POE - AESR - ESR'!AR1878</f>
        <v>0</v>
      </c>
      <c r="FU25" s="29">
        <f>'REG y VAL POE - AESR - ESR'!AS1878</f>
        <v>0</v>
      </c>
      <c r="FV25" s="30" t="str">
        <f>'REG y VAL POE - AESR - ESR'!B1879</f>
        <v xml:space="preserve">Mendoza Toribio Victor Alfonso </v>
      </c>
      <c r="FW25" s="28" t="str">
        <f>'REG y VAL POE - AESR - ESR'!C1879</f>
        <v>Sin Registro</v>
      </c>
      <c r="FX25" s="29">
        <f>'REG y VAL POE - AESR - ESR'!D1879</f>
        <v>23148118</v>
      </c>
      <c r="FY25" s="29">
        <f>'REG y VAL POE - AESR - ESR'!E1879</f>
        <v>0</v>
      </c>
      <c r="FZ25" s="29">
        <f>'REG y VAL POE - AESR - ESR'!F1879</f>
        <v>0</v>
      </c>
      <c r="GA25" s="28">
        <f>'REG y VAL POE - AESR - ESR'!G1879</f>
        <v>0</v>
      </c>
      <c r="GB25" s="29">
        <f>'REG y VAL POE - AESR - ESR'!H1879</f>
        <v>0</v>
      </c>
      <c r="GC25" s="29">
        <f>'REG y VAL POE - AESR - ESR'!I1879</f>
        <v>0</v>
      </c>
      <c r="GD25" s="28">
        <f>'REG y VAL POE - AESR - ESR'!J1879</f>
        <v>0</v>
      </c>
      <c r="GE25" s="29">
        <f>'REG y VAL POE - AESR - ESR'!K1879</f>
        <v>0</v>
      </c>
      <c r="GF25" s="30">
        <f>'REG y VAL POE - AESR - ESR'!L1879</f>
        <v>0</v>
      </c>
      <c r="GG25" s="28">
        <f>'REG y VAL POE - AESR - ESR'!M1879</f>
        <v>0</v>
      </c>
      <c r="GH25" s="29">
        <f>'REG y VAL POE - AESR - ESR'!N1879</f>
        <v>0</v>
      </c>
      <c r="GI25" s="29">
        <f>'REG y VAL POE - AESR - ESR'!O1879</f>
        <v>0</v>
      </c>
      <c r="GJ25" s="29">
        <f>'REG y VAL POE - AESR - ESR'!P1879</f>
        <v>0</v>
      </c>
      <c r="GK25" s="28">
        <f>'REG y VAL POE - AESR - ESR'!Q1879</f>
        <v>0</v>
      </c>
      <c r="GL25" s="29">
        <f>'REG y VAL POE - AESR - ESR'!R1879</f>
        <v>0</v>
      </c>
      <c r="GM25" s="29">
        <f>'REG y VAL POE - AESR - ESR'!S1879</f>
        <v>0</v>
      </c>
      <c r="GN25" s="28">
        <f>'REG y VAL POE - AESR - ESR'!T1879</f>
        <v>0</v>
      </c>
      <c r="GO25" s="29">
        <f>'REG y VAL POE - AESR - ESR'!U1879</f>
        <v>0</v>
      </c>
      <c r="GP25" s="30">
        <f>'REG y VAL POE - AESR - ESR'!V1879</f>
        <v>0</v>
      </c>
      <c r="GQ25" s="28">
        <f>'REG y VAL POE - AESR - ESR'!W1879</f>
        <v>0</v>
      </c>
      <c r="GR25" s="29">
        <f>'REG y VAL POE - AESR - ESR'!X1879</f>
        <v>0</v>
      </c>
      <c r="GS25" s="29">
        <f>'REG y VAL POE - AESR - ESR'!Y1879</f>
        <v>0</v>
      </c>
      <c r="GT25" s="29">
        <f>'REG y VAL POE - AESR - ESR'!Z1879</f>
        <v>0</v>
      </c>
      <c r="GU25" s="28">
        <f>'REG y VAL POE - AESR - ESR'!AA1879</f>
        <v>0</v>
      </c>
      <c r="GV25" s="29">
        <f>'REG y VAL POE - AESR - ESR'!AB1879</f>
        <v>0</v>
      </c>
      <c r="GW25" s="29">
        <f>'REG y VAL POE - AESR - ESR'!AC1879</f>
        <v>0</v>
      </c>
      <c r="GX25" s="28">
        <f>'REG y VAL POE - AESR - ESR'!AD1879</f>
        <v>0</v>
      </c>
      <c r="GY25" s="29">
        <f>'REG y VAL POE - AESR - ESR'!AE1879</f>
        <v>0</v>
      </c>
      <c r="GZ25" s="30">
        <f>'REG y VAL POE - AESR - ESR'!AF1879</f>
        <v>0</v>
      </c>
      <c r="HA25" s="28">
        <f>'REG y VAL POE - AESR - ESR'!AG1879</f>
        <v>0</v>
      </c>
      <c r="HB25" s="29">
        <f>'REG y VAL POE - AESR - ESR'!AH1879</f>
        <v>0</v>
      </c>
      <c r="HC25" s="29">
        <f>'REG y VAL POE - AESR - ESR'!AI1879</f>
        <v>0</v>
      </c>
      <c r="HD25" s="29">
        <f>'REG y VAL POE - AESR - ESR'!AJ1879</f>
        <v>0</v>
      </c>
      <c r="HE25" s="28">
        <f>'REG y VAL POE - AESR - ESR'!AK1879</f>
        <v>0</v>
      </c>
      <c r="HF25" s="29">
        <f>'REG y VAL POE - AESR - ESR'!AL1879</f>
        <v>0</v>
      </c>
      <c r="HG25" s="29">
        <f>'REG y VAL POE - AESR - ESR'!AM1879</f>
        <v>0</v>
      </c>
      <c r="HH25" s="28">
        <f>'REG y VAL POE - AESR - ESR'!AN1879</f>
        <v>0</v>
      </c>
      <c r="HI25" s="29">
        <f>'REG y VAL POE - AESR - ESR'!AO1879</f>
        <v>0</v>
      </c>
      <c r="HJ25" s="30">
        <f>'REG y VAL POE - AESR - ESR'!AP1879</f>
        <v>0</v>
      </c>
      <c r="HK25" s="28">
        <f>'REG y VAL POE - AESR - ESR'!AQ1879</f>
        <v>0</v>
      </c>
      <c r="HL25" s="29">
        <f>'REG y VAL POE - AESR - ESR'!AR1879</f>
        <v>0</v>
      </c>
      <c r="HM25" s="29">
        <f>'REG y VAL POE - AESR - ESR'!AS1879</f>
        <v>0</v>
      </c>
      <c r="HN25" s="29" t="str">
        <f>'REG y VAL POE - AESR - ESR'!B1880</f>
        <v xml:space="preserve">Morales Sanchez Porfirio </v>
      </c>
      <c r="HO25" s="28" t="str">
        <f>'REG y VAL POE - AESR - ESR'!C1880</f>
        <v>Sin Registro</v>
      </c>
      <c r="HP25" s="29">
        <f>'REG y VAL POE - AESR - ESR'!D1880</f>
        <v>23205261</v>
      </c>
      <c r="HQ25" s="29">
        <f>'REG y VAL POE - AESR - ESR'!E1880</f>
        <v>0</v>
      </c>
      <c r="HR25" s="28">
        <f>'REG y VAL POE - AESR - ESR'!F1880</f>
        <v>0</v>
      </c>
      <c r="HS25" s="29">
        <f>'REG y VAL POE - AESR - ESR'!G1880</f>
        <v>0</v>
      </c>
      <c r="HT25" s="30">
        <f>'REG y VAL POE - AESR - ESR'!H1880</f>
        <v>0</v>
      </c>
      <c r="HU25" s="28">
        <f>'REG y VAL POE - AESR - ESR'!I1880</f>
        <v>0</v>
      </c>
      <c r="HV25" s="29">
        <f>'REG y VAL POE - AESR - ESR'!J1880</f>
        <v>0</v>
      </c>
      <c r="HW25" s="29">
        <f>'REG y VAL POE - AESR - ESR'!K1880</f>
        <v>0</v>
      </c>
      <c r="HX25" s="29">
        <f>'REG y VAL POE - AESR - ESR'!L1880</f>
        <v>0</v>
      </c>
      <c r="HY25" s="28">
        <f>'REG y VAL POE - AESR - ESR'!M1880</f>
        <v>0</v>
      </c>
      <c r="HZ25" s="29">
        <f>'REG y VAL POE - AESR - ESR'!N1880</f>
        <v>0</v>
      </c>
      <c r="IA25" s="29">
        <f>'REG y VAL POE - AESR - ESR'!O1880</f>
        <v>0</v>
      </c>
      <c r="IB25" s="28">
        <f>'REG y VAL POE - AESR - ESR'!P1880</f>
        <v>0</v>
      </c>
      <c r="IC25" s="29">
        <f>'REG y VAL POE - AESR - ESR'!Q1880</f>
        <v>0</v>
      </c>
      <c r="ID25" s="30">
        <f>'REG y VAL POE - AESR - ESR'!R1880</f>
        <v>0</v>
      </c>
      <c r="IE25" s="28">
        <f>'REG y VAL POE - AESR - ESR'!S1880</f>
        <v>0</v>
      </c>
      <c r="IF25" s="29">
        <f>'REG y VAL POE - AESR - ESR'!T1880</f>
        <v>0</v>
      </c>
      <c r="IG25" s="29">
        <f>'REG y VAL POE - AESR - ESR'!U1880</f>
        <v>0</v>
      </c>
      <c r="IH25" s="29">
        <f>'REG y VAL POE - AESR - ESR'!V1880</f>
        <v>0</v>
      </c>
      <c r="II25" s="28">
        <f>'REG y VAL POE - AESR - ESR'!W1880</f>
        <v>0</v>
      </c>
      <c r="IJ25" s="29">
        <f>'REG y VAL POE - AESR - ESR'!X1880</f>
        <v>0</v>
      </c>
      <c r="IK25" s="29">
        <f>'REG y VAL POE - AESR - ESR'!Y1880</f>
        <v>0</v>
      </c>
      <c r="IL25" s="28">
        <f>'REG y VAL POE - AESR - ESR'!Z1880</f>
        <v>0</v>
      </c>
      <c r="IM25" s="29">
        <f>'REG y VAL POE - AESR - ESR'!AA1880</f>
        <v>0</v>
      </c>
      <c r="IN25" s="30">
        <f>'REG y VAL POE - AESR - ESR'!AB1880</f>
        <v>0</v>
      </c>
      <c r="IO25" s="28">
        <f>'REG y VAL POE - AESR - ESR'!AC1880</f>
        <v>0</v>
      </c>
      <c r="IP25" s="29">
        <f>'REG y VAL POE - AESR - ESR'!AD1880</f>
        <v>0</v>
      </c>
      <c r="IQ25" s="29">
        <f>'REG y VAL POE - AESR - ESR'!AE1880</f>
        <v>0</v>
      </c>
      <c r="IR25" s="29">
        <f>'REG y VAL POE - AESR - ESR'!AF1880</f>
        <v>0</v>
      </c>
      <c r="IS25" s="28">
        <f>'REG y VAL POE - AESR - ESR'!AG1880</f>
        <v>0</v>
      </c>
      <c r="IT25" s="29">
        <f>'REG y VAL POE - AESR - ESR'!AH1880</f>
        <v>0</v>
      </c>
      <c r="IU25" s="29">
        <f>'REG y VAL POE - AESR - ESR'!AI1880</f>
        <v>0</v>
      </c>
      <c r="IV25" s="28">
        <f>'REG y VAL POE - AESR - ESR'!AJ1880</f>
        <v>0</v>
      </c>
      <c r="IW25" s="29">
        <f>'REG y VAL POE - AESR - ESR'!AK1880</f>
        <v>0</v>
      </c>
      <c r="IX25" s="30">
        <f>'REG y VAL POE - AESR - ESR'!AL1880</f>
        <v>0</v>
      </c>
      <c r="IY25" s="28">
        <f>'REG y VAL POE - AESR - ESR'!AM1880</f>
        <v>0</v>
      </c>
      <c r="IZ25" s="29">
        <f>'REG y VAL POE - AESR - ESR'!AN1880</f>
        <v>0</v>
      </c>
      <c r="JA25" s="29">
        <f>'REG y VAL POE - AESR - ESR'!AO1880</f>
        <v>0</v>
      </c>
      <c r="JB25" s="29">
        <f>'REG y VAL POE - AESR - ESR'!AP1880</f>
        <v>0</v>
      </c>
      <c r="JC25" s="28">
        <f>'REG y VAL POE - AESR - ESR'!AQ1880</f>
        <v>0</v>
      </c>
      <c r="JD25" s="29">
        <f>'REG y VAL POE - AESR - ESR'!AR1880</f>
        <v>0</v>
      </c>
      <c r="JE25" s="29">
        <f>'REG y VAL POE - AESR - ESR'!AS1880</f>
        <v>0</v>
      </c>
      <c r="JF25" s="28" t="str">
        <f>'REG y VAL POE - AESR - ESR'!B1881</f>
        <v xml:space="preserve">Moreno Rivera Miguel Adolfo </v>
      </c>
      <c r="JG25" s="29" t="str">
        <f>'REG y VAL POE - AESR - ESR'!C1881</f>
        <v>Sin Registro</v>
      </c>
      <c r="JH25" s="30">
        <f>'REG y VAL POE - AESR - ESR'!D1881</f>
        <v>23149026</v>
      </c>
      <c r="JI25" s="28">
        <f>'REG y VAL POE - AESR - ESR'!E1881</f>
        <v>0</v>
      </c>
      <c r="JJ25" s="29">
        <f>'REG y VAL POE - AESR - ESR'!F1881</f>
        <v>0</v>
      </c>
      <c r="JK25" s="29">
        <f>'REG y VAL POE - AESR - ESR'!G1881</f>
        <v>0</v>
      </c>
      <c r="JL25" s="29">
        <f>'REG y VAL POE - AESR - ESR'!H1881</f>
        <v>0</v>
      </c>
      <c r="JM25" s="28">
        <f>'REG y VAL POE - AESR - ESR'!I1881</f>
        <v>0</v>
      </c>
      <c r="JN25" s="29">
        <f>'REG y VAL POE - AESR - ESR'!J1881</f>
        <v>0</v>
      </c>
      <c r="JO25" s="29">
        <f>'REG y VAL POE - AESR - ESR'!K1881</f>
        <v>0</v>
      </c>
      <c r="JP25" s="28">
        <f>'REG y VAL POE - AESR - ESR'!L1881</f>
        <v>0</v>
      </c>
      <c r="JQ25" s="29">
        <f>'REG y VAL POE - AESR - ESR'!M1881</f>
        <v>0</v>
      </c>
      <c r="JR25" s="30">
        <f>'REG y VAL POE - AESR - ESR'!N1881</f>
        <v>0</v>
      </c>
      <c r="JS25" s="28">
        <f>'REG y VAL POE - AESR - ESR'!O1881</f>
        <v>0</v>
      </c>
      <c r="JT25" s="29">
        <f>'REG y VAL POE - AESR - ESR'!P1881</f>
        <v>0</v>
      </c>
      <c r="JU25" s="29">
        <f>'REG y VAL POE - AESR - ESR'!Q1881</f>
        <v>0</v>
      </c>
      <c r="JV25" s="29">
        <f>'REG y VAL POE - AESR - ESR'!R1881</f>
        <v>0</v>
      </c>
      <c r="JW25" s="28">
        <f>'REG y VAL POE - AESR - ESR'!S1881</f>
        <v>0</v>
      </c>
      <c r="JX25" s="29">
        <f>'REG y VAL POE - AESR - ESR'!T1881</f>
        <v>0</v>
      </c>
      <c r="JY25" s="29">
        <f>'REG y VAL POE - AESR - ESR'!U1881</f>
        <v>0</v>
      </c>
      <c r="JZ25" s="28">
        <f>'REG y VAL POE - AESR - ESR'!V1881</f>
        <v>0</v>
      </c>
      <c r="KA25" s="29">
        <f>'REG y VAL POE - AESR - ESR'!W1881</f>
        <v>0</v>
      </c>
      <c r="KB25" s="30">
        <f>'REG y VAL POE - AESR - ESR'!X1881</f>
        <v>0</v>
      </c>
      <c r="KC25" s="28">
        <f>'REG y VAL POE - AESR - ESR'!Y1881</f>
        <v>0</v>
      </c>
      <c r="KD25" s="29">
        <f>'REG y VAL POE - AESR - ESR'!Z1881</f>
        <v>0</v>
      </c>
      <c r="KE25" s="29">
        <f>'REG y VAL POE - AESR - ESR'!AA1881</f>
        <v>0</v>
      </c>
      <c r="KF25" s="29">
        <f>'REG y VAL POE - AESR - ESR'!AB1881</f>
        <v>0</v>
      </c>
      <c r="KG25" s="28">
        <f>'REG y VAL POE - AESR - ESR'!AC1881</f>
        <v>0</v>
      </c>
      <c r="KH25" s="29">
        <f>'REG y VAL POE - AESR - ESR'!AD1881</f>
        <v>0</v>
      </c>
      <c r="KI25" s="29">
        <f>'REG y VAL POE - AESR - ESR'!AE1881</f>
        <v>0</v>
      </c>
      <c r="KJ25" s="28">
        <f>'REG y VAL POE - AESR - ESR'!AF1881</f>
        <v>0</v>
      </c>
      <c r="KK25" s="29">
        <f>'REG y VAL POE - AESR - ESR'!AG1881</f>
        <v>0</v>
      </c>
      <c r="KL25" s="30">
        <f>'REG y VAL POE - AESR - ESR'!AH1881</f>
        <v>0</v>
      </c>
      <c r="KM25" s="28">
        <f>'REG y VAL POE - AESR - ESR'!AI1881</f>
        <v>0</v>
      </c>
      <c r="KN25" s="29">
        <f>'REG y VAL POE - AESR - ESR'!AJ1881</f>
        <v>0</v>
      </c>
      <c r="KO25" s="29">
        <f>'REG y VAL POE - AESR - ESR'!AK1881</f>
        <v>0</v>
      </c>
      <c r="KP25" s="29">
        <f>'REG y VAL POE - AESR - ESR'!AL1881</f>
        <v>0</v>
      </c>
      <c r="KQ25" s="28">
        <f>'REG y VAL POE - AESR - ESR'!AM1881</f>
        <v>0</v>
      </c>
      <c r="KR25" s="29">
        <f>'REG y VAL POE - AESR - ESR'!AN1881</f>
        <v>0</v>
      </c>
      <c r="KS25" s="29">
        <f>'REG y VAL POE - AESR - ESR'!AO1881</f>
        <v>0</v>
      </c>
      <c r="KT25" s="28">
        <f>'REG y VAL POE - AESR - ESR'!AP1881</f>
        <v>0</v>
      </c>
      <c r="KU25" s="29">
        <f>'REG y VAL POE - AESR - ESR'!AQ1881</f>
        <v>0</v>
      </c>
      <c r="KV25" s="30">
        <f>'REG y VAL POE - AESR - ESR'!AR1881</f>
        <v>0</v>
      </c>
      <c r="KW25" s="28">
        <f>'REG y VAL POE - AESR - ESR'!AS1881</f>
        <v>0</v>
      </c>
      <c r="KX25" s="29" t="str">
        <f>'REG y VAL POE - AESR - ESR'!B1882</f>
        <v xml:space="preserve">Nuno Alvarez Perla Ingrid </v>
      </c>
      <c r="KY25" s="29" t="str">
        <f>'REG y VAL POE - AESR - ESR'!C1882</f>
        <v>Sin Registro</v>
      </c>
      <c r="KZ25" s="29">
        <f>'REG y VAL POE - AESR - ESR'!D1882</f>
        <v>23046630</v>
      </c>
      <c r="LA25" s="28">
        <f>'REG y VAL POE - AESR - ESR'!E1882</f>
        <v>0</v>
      </c>
      <c r="LB25" s="29">
        <f>'REG y VAL POE - AESR - ESR'!F1882</f>
        <v>0</v>
      </c>
      <c r="LC25" s="29">
        <f>'REG y VAL POE - AESR - ESR'!G1882</f>
        <v>0</v>
      </c>
      <c r="LD25" s="28">
        <f>'REG y VAL POE - AESR - ESR'!H1882</f>
        <v>0</v>
      </c>
      <c r="LE25" s="29">
        <f>'REG y VAL POE - AESR - ESR'!I1882</f>
        <v>0</v>
      </c>
      <c r="LF25" s="30">
        <f>'REG y VAL POE - AESR - ESR'!J1882</f>
        <v>0</v>
      </c>
      <c r="LG25" s="28">
        <f>'REG y VAL POE - AESR - ESR'!K1882</f>
        <v>0</v>
      </c>
      <c r="LH25" s="29">
        <f>'REG y VAL POE - AESR - ESR'!L1882</f>
        <v>0</v>
      </c>
      <c r="LI25" s="29">
        <f>'REG y VAL POE - AESR - ESR'!M1882</f>
        <v>0</v>
      </c>
      <c r="LJ25" s="29">
        <f>'REG y VAL POE - AESR - ESR'!N1882</f>
        <v>0</v>
      </c>
      <c r="LK25" s="28">
        <f>'REG y VAL POE - AESR - ESR'!O1882</f>
        <v>0</v>
      </c>
      <c r="LL25" s="29">
        <f>'REG y VAL POE - AESR - ESR'!P1882</f>
        <v>0</v>
      </c>
      <c r="LM25" s="29">
        <f>'REG y VAL POE - AESR - ESR'!Q1882</f>
        <v>0</v>
      </c>
      <c r="LN25" s="28">
        <f>'REG y VAL POE - AESR - ESR'!R1882</f>
        <v>0</v>
      </c>
      <c r="LO25" s="29">
        <f>'REG y VAL POE - AESR - ESR'!S1882</f>
        <v>0</v>
      </c>
      <c r="LP25" s="30">
        <f>'REG y VAL POE - AESR - ESR'!T1882</f>
        <v>0</v>
      </c>
      <c r="LQ25" s="28">
        <f>'REG y VAL POE - AESR - ESR'!U1882</f>
        <v>0</v>
      </c>
      <c r="LR25" s="29">
        <f>'REG y VAL POE - AESR - ESR'!V1882</f>
        <v>0</v>
      </c>
      <c r="LS25" s="29">
        <f>'REG y VAL POE - AESR - ESR'!W1882</f>
        <v>0</v>
      </c>
      <c r="LT25" s="29">
        <f>'REG y VAL POE - AESR - ESR'!X1882</f>
        <v>0</v>
      </c>
      <c r="LU25" s="28">
        <f>'REG y VAL POE - AESR - ESR'!Y1882</f>
        <v>0</v>
      </c>
      <c r="LV25" s="29">
        <f>'REG y VAL POE - AESR - ESR'!Z1882</f>
        <v>0</v>
      </c>
      <c r="LW25" s="29">
        <f>'REG y VAL POE - AESR - ESR'!AA1882</f>
        <v>0</v>
      </c>
      <c r="LX25" s="28">
        <f>'REG y VAL POE - AESR - ESR'!AB1882</f>
        <v>0</v>
      </c>
      <c r="LY25" s="29">
        <f>'REG y VAL POE - AESR - ESR'!AC1882</f>
        <v>0</v>
      </c>
      <c r="LZ25" s="30">
        <f>'REG y VAL POE - AESR - ESR'!AD1882</f>
        <v>0</v>
      </c>
      <c r="MA25" s="28">
        <f>'REG y VAL POE - AESR - ESR'!AE1882</f>
        <v>0</v>
      </c>
      <c r="MB25" s="29">
        <f>'REG y VAL POE - AESR - ESR'!AF1882</f>
        <v>0</v>
      </c>
      <c r="MC25" s="29">
        <f>'REG y VAL POE - AESR - ESR'!AG1882</f>
        <v>0</v>
      </c>
      <c r="MD25" s="29">
        <f>'REG y VAL POE - AESR - ESR'!AH1882</f>
        <v>0</v>
      </c>
      <c r="ME25" s="28">
        <f>'REG y VAL POE - AESR - ESR'!AI1882</f>
        <v>0</v>
      </c>
      <c r="MF25" s="29">
        <f>'REG y VAL POE - AESR - ESR'!AJ1882</f>
        <v>0</v>
      </c>
      <c r="MG25" s="29">
        <f>'REG y VAL POE - AESR - ESR'!AK1882</f>
        <v>0</v>
      </c>
      <c r="MH25" s="28">
        <f>'REG y VAL POE - AESR - ESR'!AL1882</f>
        <v>0</v>
      </c>
      <c r="MI25" s="29">
        <f>'REG y VAL POE - AESR - ESR'!AM1882</f>
        <v>0</v>
      </c>
      <c r="MJ25" s="30">
        <f>'REG y VAL POE - AESR - ESR'!AN1882</f>
        <v>0</v>
      </c>
      <c r="MK25" s="28">
        <f>'REG y VAL POE - AESR - ESR'!AO1882</f>
        <v>0</v>
      </c>
      <c r="ML25" s="29">
        <f>'REG y VAL POE - AESR - ESR'!AP1882</f>
        <v>0</v>
      </c>
      <c r="MM25" s="29">
        <f>'REG y VAL POE - AESR - ESR'!AQ1882</f>
        <v>0</v>
      </c>
      <c r="MN25" s="29">
        <f>'REG y VAL POE - AESR - ESR'!AR1882</f>
        <v>0</v>
      </c>
      <c r="MO25" s="28">
        <f>'REG y VAL POE - AESR - ESR'!AS1882</f>
        <v>0</v>
      </c>
      <c r="MP25" s="29" t="str">
        <f>'REG y VAL POE - AESR - ESR'!B1883</f>
        <v xml:space="preserve">Quinones Gonzalez Maria Del Socorro D </v>
      </c>
      <c r="MQ25" s="29" t="str">
        <f>'REG y VAL POE - AESR - ESR'!C1883</f>
        <v>Sin Registro</v>
      </c>
      <c r="MR25" s="28">
        <f>'REG y VAL POE - AESR - ESR'!D1883</f>
        <v>23157966</v>
      </c>
      <c r="MS25" s="29">
        <f>'REG y VAL POE - AESR - ESR'!E1883</f>
        <v>0</v>
      </c>
      <c r="MT25" s="30">
        <f>'REG y VAL POE - AESR - ESR'!F1883</f>
        <v>0</v>
      </c>
      <c r="MU25" s="28">
        <f>'REG y VAL POE - AESR - ESR'!G1883</f>
        <v>0</v>
      </c>
      <c r="MV25" s="29">
        <f>'REG y VAL POE - AESR - ESR'!H1883</f>
        <v>0</v>
      </c>
      <c r="MW25" s="29">
        <f>'REG y VAL POE - AESR - ESR'!I1883</f>
        <v>0</v>
      </c>
      <c r="MX25" s="29">
        <f>'REG y VAL POE - AESR - ESR'!J1883</f>
        <v>0</v>
      </c>
      <c r="MY25" s="28">
        <f>'REG y VAL POE - AESR - ESR'!K1883</f>
        <v>0</v>
      </c>
      <c r="MZ25" s="29">
        <f>'REG y VAL POE - AESR - ESR'!L1883</f>
        <v>0</v>
      </c>
      <c r="NA25" s="29">
        <f>'REG y VAL POE - AESR - ESR'!M1883</f>
        <v>0</v>
      </c>
      <c r="NB25" s="28">
        <f>'REG y VAL POE - AESR - ESR'!N1883</f>
        <v>0</v>
      </c>
      <c r="NC25" s="29">
        <f>'REG y VAL POE - AESR - ESR'!O1883</f>
        <v>0</v>
      </c>
      <c r="ND25" s="30">
        <f>'REG y VAL POE - AESR - ESR'!P1883</f>
        <v>0</v>
      </c>
      <c r="NE25" s="28">
        <f>'REG y VAL POE - AESR - ESR'!Q1883</f>
        <v>0</v>
      </c>
      <c r="NF25" s="29">
        <f>'REG y VAL POE - AESR - ESR'!R1883</f>
        <v>0</v>
      </c>
      <c r="NG25" s="29">
        <f>'REG y VAL POE - AESR - ESR'!S1883</f>
        <v>0</v>
      </c>
      <c r="NH25" s="29">
        <f>'REG y VAL POE - AESR - ESR'!T1883</f>
        <v>0</v>
      </c>
      <c r="NI25" s="28">
        <f>'REG y VAL POE - AESR - ESR'!U1883</f>
        <v>0</v>
      </c>
      <c r="NJ25" s="29">
        <f>'REG y VAL POE - AESR - ESR'!V1883</f>
        <v>0</v>
      </c>
      <c r="NK25" s="29">
        <f>'REG y VAL POE - AESR - ESR'!W1883</f>
        <v>0</v>
      </c>
      <c r="NL25" s="28">
        <f>'REG y VAL POE - AESR - ESR'!X1883</f>
        <v>0</v>
      </c>
      <c r="NM25" s="29">
        <f>'REG y VAL POE - AESR - ESR'!Y1883</f>
        <v>0</v>
      </c>
      <c r="NN25" s="30">
        <f>'REG y VAL POE - AESR - ESR'!Z1883</f>
        <v>0</v>
      </c>
      <c r="NO25" s="28">
        <f>'REG y VAL POE - AESR - ESR'!AA1883</f>
        <v>0</v>
      </c>
      <c r="NP25" s="29">
        <f>'REG y VAL POE - AESR - ESR'!AB1883</f>
        <v>0</v>
      </c>
      <c r="NQ25" s="29">
        <f>'REG y VAL POE - AESR - ESR'!AC1883</f>
        <v>0</v>
      </c>
      <c r="NR25" s="29">
        <f>'REG y VAL POE - AESR - ESR'!AD1883</f>
        <v>0</v>
      </c>
      <c r="NS25" s="28">
        <f>'REG y VAL POE - AESR - ESR'!AE1883</f>
        <v>0</v>
      </c>
      <c r="NT25" s="29">
        <f>'REG y VAL POE - AESR - ESR'!AF1883</f>
        <v>0</v>
      </c>
      <c r="NU25" s="29">
        <f>'REG y VAL POE - AESR - ESR'!AG1883</f>
        <v>0</v>
      </c>
      <c r="NV25" s="28">
        <f>'REG y VAL POE - AESR - ESR'!AH1883</f>
        <v>0</v>
      </c>
      <c r="NW25" s="29">
        <f>'REG y VAL POE - AESR - ESR'!AI1883</f>
        <v>0</v>
      </c>
      <c r="NX25" s="30">
        <f>'REG y VAL POE - AESR - ESR'!AJ1883</f>
        <v>0</v>
      </c>
      <c r="NY25" s="28">
        <f>'REG y VAL POE - AESR - ESR'!AK1883</f>
        <v>0</v>
      </c>
      <c r="NZ25" s="29">
        <f>'REG y VAL POE - AESR - ESR'!AL1883</f>
        <v>0</v>
      </c>
      <c r="OA25" s="29">
        <f>'REG y VAL POE - AESR - ESR'!AM1883</f>
        <v>0</v>
      </c>
      <c r="OB25" s="29">
        <f>'REG y VAL POE - AESR - ESR'!AN1883</f>
        <v>0</v>
      </c>
      <c r="OC25" s="28">
        <f>'REG y VAL POE - AESR - ESR'!AO1883</f>
        <v>0</v>
      </c>
      <c r="OD25" s="29">
        <f>'REG y VAL POE - AESR - ESR'!AP1883</f>
        <v>0</v>
      </c>
      <c r="OE25" s="29">
        <f>'REG y VAL POE - AESR - ESR'!AQ1883</f>
        <v>0</v>
      </c>
      <c r="OF25" s="30">
        <f>'REG y VAL POE - AESR - ESR'!AR1883</f>
        <v>0</v>
      </c>
      <c r="OG25" s="30">
        <f>'REG y VAL POE - AESR - ESR'!AS1883</f>
        <v>0</v>
      </c>
      <c r="OH25" s="30" t="str">
        <f>'REG y VAL POE - AESR - ESR'!B1884</f>
        <v xml:space="preserve">Ruelas Leal Margarita </v>
      </c>
      <c r="OI25" s="28" t="str">
        <f>'REG y VAL POE - AESR - ESR'!C1884</f>
        <v>Sin Registro</v>
      </c>
      <c r="OJ25" s="30">
        <f>'REG y VAL POE - AESR - ESR'!D1884</f>
        <v>23207916</v>
      </c>
      <c r="OK25" s="30">
        <f>'REG y VAL POE - AESR - ESR'!E1884</f>
        <v>0</v>
      </c>
      <c r="OL25" s="30">
        <f>'REG y VAL POE - AESR - ESR'!F1884</f>
        <v>0</v>
      </c>
      <c r="OM25" s="30">
        <f>'REG y VAL POE - AESR - ESR'!G1884</f>
        <v>0</v>
      </c>
      <c r="ON25" s="30">
        <f>'REG y VAL POE - AESR - ESR'!H1884</f>
        <v>0</v>
      </c>
      <c r="OO25" s="30">
        <f>'REG y VAL POE - AESR - ESR'!I1884</f>
        <v>0</v>
      </c>
      <c r="OP25" s="28">
        <f>'REG y VAL POE - AESR - ESR'!J1884</f>
        <v>0</v>
      </c>
      <c r="OQ25" s="29">
        <f>'REG y VAL POE - AESR - ESR'!K1884</f>
        <v>0</v>
      </c>
      <c r="OR25" s="30">
        <f>'REG y VAL POE - AESR - ESR'!L1884</f>
        <v>0</v>
      </c>
      <c r="OS25" s="28">
        <f>'REG y VAL POE - AESR - ESR'!M1884</f>
        <v>0</v>
      </c>
      <c r="OT25" s="29">
        <f>'REG y VAL POE - AESR - ESR'!N1884</f>
        <v>0</v>
      </c>
      <c r="OU25" s="29">
        <f>'REG y VAL POE - AESR - ESR'!O1884</f>
        <v>0</v>
      </c>
      <c r="OV25" s="29">
        <f>'REG y VAL POE - AESR - ESR'!P1884</f>
        <v>0</v>
      </c>
      <c r="OW25" s="28">
        <f>'REG y VAL POE - AESR - ESR'!Q1884</f>
        <v>0</v>
      </c>
      <c r="OX25" s="29">
        <f>'REG y VAL POE - AESR - ESR'!R1884</f>
        <v>0</v>
      </c>
      <c r="OY25" s="29">
        <f>'REG y VAL POE - AESR - ESR'!S1884</f>
        <v>0</v>
      </c>
      <c r="OZ25" s="28">
        <f>'REG y VAL POE - AESR - ESR'!T1884</f>
        <v>0</v>
      </c>
      <c r="PA25" s="29">
        <f>'REG y VAL POE - AESR - ESR'!U1884</f>
        <v>0</v>
      </c>
      <c r="PB25" s="30">
        <f>'REG y VAL POE - AESR - ESR'!V1884</f>
        <v>0</v>
      </c>
      <c r="PC25" s="28">
        <f>'REG y VAL POE - AESR - ESR'!W1884</f>
        <v>0</v>
      </c>
      <c r="PD25" s="29">
        <f>'REG y VAL POE - AESR - ESR'!X1884</f>
        <v>0</v>
      </c>
      <c r="PE25" s="29">
        <f>'REG y VAL POE - AESR - ESR'!Y1884</f>
        <v>0</v>
      </c>
      <c r="PF25" s="29">
        <f>'REG y VAL POE - AESR - ESR'!Z1884</f>
        <v>0</v>
      </c>
      <c r="PG25" s="28">
        <f>'REG y VAL POE - AESR - ESR'!AA1884</f>
        <v>0</v>
      </c>
      <c r="PH25" s="29">
        <f>'REG y VAL POE - AESR - ESR'!AB1884</f>
        <v>0</v>
      </c>
      <c r="PI25" s="29">
        <f>'REG y VAL POE - AESR - ESR'!AC1884</f>
        <v>0</v>
      </c>
      <c r="PJ25" s="28">
        <f>'REG y VAL POE - AESR - ESR'!AD1884</f>
        <v>0</v>
      </c>
      <c r="PK25" s="29">
        <f>'REG y VAL POE - AESR - ESR'!AE1884</f>
        <v>0</v>
      </c>
      <c r="PL25" s="30">
        <f>'REG y VAL POE - AESR - ESR'!AF1884</f>
        <v>0</v>
      </c>
      <c r="PM25" s="28">
        <f>'REG y VAL POE - AESR - ESR'!AG1884</f>
        <v>0</v>
      </c>
      <c r="PN25" s="29">
        <f>'REG y VAL POE - AESR - ESR'!AH1884</f>
        <v>0</v>
      </c>
      <c r="PO25" s="29">
        <f>'REG y VAL POE - AESR - ESR'!AI1884</f>
        <v>0</v>
      </c>
      <c r="PP25" s="29">
        <f>'REG y VAL POE - AESR - ESR'!AJ1884</f>
        <v>0</v>
      </c>
      <c r="PQ25" s="28">
        <f>'REG y VAL POE - AESR - ESR'!AK1884</f>
        <v>0</v>
      </c>
      <c r="PR25" s="29">
        <f>'REG y VAL POE - AESR - ESR'!AL1884</f>
        <v>0</v>
      </c>
      <c r="PS25" s="29">
        <f>'REG y VAL POE - AESR - ESR'!AM1884</f>
        <v>0</v>
      </c>
      <c r="PT25" s="28">
        <f>'REG y VAL POE - AESR - ESR'!AN1884</f>
        <v>0</v>
      </c>
      <c r="PU25" s="29">
        <f>'REG y VAL POE - AESR - ESR'!AO1884</f>
        <v>0</v>
      </c>
      <c r="PV25" s="30">
        <f>'REG y VAL POE - AESR - ESR'!AP1884</f>
        <v>0</v>
      </c>
      <c r="PW25" s="28">
        <f>'REG y VAL POE - AESR - ESR'!AQ1884</f>
        <v>0</v>
      </c>
      <c r="PX25" s="29">
        <f>'REG y VAL POE - AESR - ESR'!AR1884</f>
        <v>0</v>
      </c>
      <c r="PY25" s="29">
        <f>'REG y VAL POE - AESR - ESR'!AS1884</f>
        <v>0</v>
      </c>
      <c r="PZ25" s="29" t="str">
        <f>'REG y VAL POE - AESR - ESR'!B1885</f>
        <v xml:space="preserve">Sanchez Alatorre Oscar Fernando </v>
      </c>
      <c r="QA25" s="28" t="str">
        <f>'REG y VAL POE - AESR - ESR'!C1885</f>
        <v>Sin Registro</v>
      </c>
      <c r="QB25" s="29">
        <f>'REG y VAL POE - AESR - ESR'!D1885</f>
        <v>23157955</v>
      </c>
      <c r="QC25" s="29">
        <f>'REG y VAL POE - AESR - ESR'!E1885</f>
        <v>0</v>
      </c>
      <c r="QD25" s="28">
        <f>'REG y VAL POE - AESR - ESR'!F1885</f>
        <v>0</v>
      </c>
      <c r="QE25" s="29">
        <f>'REG y VAL POE - AESR - ESR'!G1885</f>
        <v>0</v>
      </c>
      <c r="QF25" s="30">
        <f>'REG y VAL POE - AESR - ESR'!H1885</f>
        <v>0</v>
      </c>
      <c r="QG25" s="28">
        <f>'REG y VAL POE - AESR - ESR'!I1885</f>
        <v>0</v>
      </c>
      <c r="QH25" s="29">
        <f>'REG y VAL POE - AESR - ESR'!J1885</f>
        <v>0</v>
      </c>
      <c r="QI25" s="29">
        <f>'REG y VAL POE - AESR - ESR'!K1885</f>
        <v>0</v>
      </c>
      <c r="QJ25" s="29">
        <f>'REG y VAL POE - AESR - ESR'!L1885</f>
        <v>0</v>
      </c>
      <c r="QK25" s="28">
        <f>'REG y VAL POE - AESR - ESR'!M1885</f>
        <v>0</v>
      </c>
      <c r="QL25" s="29">
        <f>'REG y VAL POE - AESR - ESR'!N1885</f>
        <v>0</v>
      </c>
      <c r="QM25" s="29">
        <f>'REG y VAL POE - AESR - ESR'!O1885</f>
        <v>0</v>
      </c>
      <c r="QN25" s="28">
        <f>'REG y VAL POE - AESR - ESR'!P1885</f>
        <v>0</v>
      </c>
      <c r="QO25" s="29">
        <f>'REG y VAL POE - AESR - ESR'!Q1885</f>
        <v>0</v>
      </c>
      <c r="QP25" s="30">
        <f>'REG y VAL POE - AESR - ESR'!R1885</f>
        <v>0</v>
      </c>
      <c r="QQ25" s="28">
        <f>'REG y VAL POE - AESR - ESR'!S1885</f>
        <v>0</v>
      </c>
      <c r="QR25" s="29">
        <f>'REG y VAL POE - AESR - ESR'!T1885</f>
        <v>0</v>
      </c>
      <c r="QS25" s="29">
        <f>'REG y VAL POE - AESR - ESR'!U1885</f>
        <v>0</v>
      </c>
      <c r="QT25" s="29">
        <f>'REG y VAL POE - AESR - ESR'!V1885</f>
        <v>0</v>
      </c>
      <c r="QU25" s="28">
        <f>'REG y VAL POE - AESR - ESR'!W1885</f>
        <v>0</v>
      </c>
      <c r="QV25" s="29">
        <f>'REG y VAL POE - AESR - ESR'!X1885</f>
        <v>0</v>
      </c>
      <c r="QW25" s="29">
        <f>'REG y VAL POE - AESR - ESR'!Y1885</f>
        <v>0</v>
      </c>
      <c r="QX25" s="28">
        <f>'REG y VAL POE - AESR - ESR'!Z1885</f>
        <v>0</v>
      </c>
      <c r="QY25" s="29">
        <f>'REG y VAL POE - AESR - ESR'!AA1885</f>
        <v>0</v>
      </c>
      <c r="QZ25" s="30">
        <f>'REG y VAL POE - AESR - ESR'!AB1885</f>
        <v>0</v>
      </c>
      <c r="RA25" s="28">
        <f>'REG y VAL POE - AESR - ESR'!AC1885</f>
        <v>0</v>
      </c>
      <c r="RB25" s="29">
        <f>'REG y VAL POE - AESR - ESR'!AD1885</f>
        <v>0</v>
      </c>
      <c r="RC25" s="29">
        <f>'REG y VAL POE - AESR - ESR'!AE1885</f>
        <v>0</v>
      </c>
      <c r="RD25" s="29">
        <f>'REG y VAL POE - AESR - ESR'!AF1885</f>
        <v>0</v>
      </c>
      <c r="RE25" s="28">
        <f>'REG y VAL POE - AESR - ESR'!AG1885</f>
        <v>0</v>
      </c>
      <c r="RF25" s="29">
        <f>'REG y VAL POE - AESR - ESR'!AH1885</f>
        <v>0</v>
      </c>
      <c r="RG25" s="29">
        <f>'REG y VAL POE - AESR - ESR'!AI1885</f>
        <v>0</v>
      </c>
      <c r="RH25" s="28">
        <f>'REG y VAL POE - AESR - ESR'!AJ1885</f>
        <v>0</v>
      </c>
      <c r="RI25" s="29">
        <f>'REG y VAL POE - AESR - ESR'!AK1885</f>
        <v>0</v>
      </c>
      <c r="RJ25" s="30">
        <f>'REG y VAL POE - AESR - ESR'!AL1885</f>
        <v>0</v>
      </c>
      <c r="RK25" s="28">
        <f>'REG y VAL POE - AESR - ESR'!AM1885</f>
        <v>0</v>
      </c>
      <c r="RL25" s="29">
        <f>'REG y VAL POE - AESR - ESR'!AN1885</f>
        <v>0</v>
      </c>
      <c r="RM25" s="29">
        <f>'REG y VAL POE - AESR - ESR'!AO1885</f>
        <v>0</v>
      </c>
      <c r="RN25" s="29">
        <f>'REG y VAL POE - AESR - ESR'!AP1885</f>
        <v>0</v>
      </c>
      <c r="RO25" s="28">
        <f>'REG y VAL POE - AESR - ESR'!AQ1885</f>
        <v>0</v>
      </c>
      <c r="RP25" s="29">
        <f>'REG y VAL POE - AESR - ESR'!AR1885</f>
        <v>0</v>
      </c>
      <c r="RQ25" s="29">
        <f>'REG y VAL POE - AESR - ESR'!AS1885</f>
        <v>0</v>
      </c>
      <c r="RR25" s="28" t="str">
        <f>'REG y VAL POE - AESR - ESR'!B1886</f>
        <v xml:space="preserve">Sarabia Cruz Edgar Eduardo </v>
      </c>
      <c r="RS25" s="29" t="str">
        <f>'REG y VAL POE - AESR - ESR'!C1886</f>
        <v>Sin Registro</v>
      </c>
      <c r="RT25" s="30">
        <f>'REG y VAL POE - AESR - ESR'!D1886</f>
        <v>23147504</v>
      </c>
      <c r="RU25" s="28">
        <f>'REG y VAL POE - AESR - ESR'!E1886</f>
        <v>0</v>
      </c>
      <c r="RV25" s="29">
        <f>'REG y VAL POE - AESR - ESR'!F1886</f>
        <v>0</v>
      </c>
      <c r="RW25" s="29">
        <f>'REG y VAL POE - AESR - ESR'!G1886</f>
        <v>0</v>
      </c>
      <c r="RX25" s="29">
        <f>'REG y VAL POE - AESR - ESR'!H1886</f>
        <v>0</v>
      </c>
      <c r="RY25" s="28">
        <f>'REG y VAL POE - AESR - ESR'!I1886</f>
        <v>0</v>
      </c>
      <c r="RZ25" s="29">
        <f>'REG y VAL POE - AESR - ESR'!J1886</f>
        <v>0</v>
      </c>
      <c r="SA25" s="29">
        <f>'REG y VAL POE - AESR - ESR'!K1886</f>
        <v>0</v>
      </c>
      <c r="SB25" s="28">
        <f>'REG y VAL POE - AESR - ESR'!L1886</f>
        <v>0</v>
      </c>
      <c r="SC25" s="29">
        <f>'REG y VAL POE - AESR - ESR'!M1886</f>
        <v>0</v>
      </c>
      <c r="SD25" s="30">
        <f>'REG y VAL POE - AESR - ESR'!N1886</f>
        <v>0</v>
      </c>
      <c r="SE25" s="28">
        <f>'REG y VAL POE - AESR - ESR'!O1886</f>
        <v>0</v>
      </c>
      <c r="SF25" s="29">
        <f>'REG y VAL POE - AESR - ESR'!P1886</f>
        <v>0</v>
      </c>
      <c r="SG25" s="29">
        <f>'REG y VAL POE - AESR - ESR'!Q1886</f>
        <v>0</v>
      </c>
      <c r="SH25" s="29">
        <f>'REG y VAL POE - AESR - ESR'!R1886</f>
        <v>0</v>
      </c>
      <c r="SI25" s="28">
        <f>'REG y VAL POE - AESR - ESR'!S1886</f>
        <v>0</v>
      </c>
      <c r="SJ25" s="29">
        <f>'REG y VAL POE - AESR - ESR'!T1886</f>
        <v>0</v>
      </c>
      <c r="SK25" s="29">
        <f>'REG y VAL POE - AESR - ESR'!U1886</f>
        <v>0</v>
      </c>
      <c r="SL25" s="28">
        <f>'REG y VAL POE - AESR - ESR'!V1886</f>
        <v>0</v>
      </c>
      <c r="SM25" s="29">
        <f>'REG y VAL POE - AESR - ESR'!W1886</f>
        <v>0</v>
      </c>
      <c r="SN25" s="30">
        <f>'REG y VAL POE - AESR - ESR'!X1886</f>
        <v>0</v>
      </c>
      <c r="SO25" s="28">
        <f>'REG y VAL POE - AESR - ESR'!Y1886</f>
        <v>0</v>
      </c>
      <c r="SP25" s="29">
        <f>'REG y VAL POE - AESR - ESR'!Z1886</f>
        <v>0</v>
      </c>
      <c r="SQ25" s="29">
        <f>'REG y VAL POE - AESR - ESR'!AA1886</f>
        <v>0</v>
      </c>
      <c r="SR25" s="29">
        <f>'REG y VAL POE - AESR - ESR'!AB1886</f>
        <v>0</v>
      </c>
      <c r="SS25" s="28">
        <f>'REG y VAL POE - AESR - ESR'!AC1886</f>
        <v>0</v>
      </c>
      <c r="ST25" s="29">
        <f>'REG y VAL POE - AESR - ESR'!AD1886</f>
        <v>0</v>
      </c>
      <c r="SU25" s="29">
        <f>'REG y VAL POE - AESR - ESR'!AE1886</f>
        <v>0</v>
      </c>
      <c r="SV25" s="28">
        <f>'REG y VAL POE - AESR - ESR'!AF1886</f>
        <v>0</v>
      </c>
      <c r="SW25" s="29">
        <f>'REG y VAL POE - AESR - ESR'!AG1886</f>
        <v>0</v>
      </c>
      <c r="SX25" s="30">
        <f>'REG y VAL POE - AESR - ESR'!AH1886</f>
        <v>0</v>
      </c>
      <c r="SY25" s="28">
        <f>'REG y VAL POE - AESR - ESR'!AI1886</f>
        <v>0</v>
      </c>
      <c r="SZ25" s="29">
        <f>'REG y VAL POE - AESR - ESR'!AJ1886</f>
        <v>0</v>
      </c>
      <c r="TA25" s="29">
        <f>'REG y VAL POE - AESR - ESR'!AK1886</f>
        <v>0</v>
      </c>
      <c r="TB25" s="29">
        <f>'REG y VAL POE - AESR - ESR'!AL1886</f>
        <v>0</v>
      </c>
      <c r="TC25" s="28">
        <f>'REG y VAL POE - AESR - ESR'!AM1886</f>
        <v>0</v>
      </c>
      <c r="TD25" s="29">
        <f>'REG y VAL POE - AESR - ESR'!AN1886</f>
        <v>0</v>
      </c>
      <c r="TE25" s="29">
        <f>'REG y VAL POE - AESR - ESR'!AO1886</f>
        <v>0</v>
      </c>
      <c r="TF25" s="28">
        <f>'REG y VAL POE - AESR - ESR'!AP1886</f>
        <v>0</v>
      </c>
      <c r="TG25" s="29">
        <f>'REG y VAL POE - AESR - ESR'!AQ1886</f>
        <v>0</v>
      </c>
      <c r="TH25" s="30">
        <f>'REG y VAL POE - AESR - ESR'!AR1886</f>
        <v>0</v>
      </c>
      <c r="TI25" s="28">
        <f>'REG y VAL POE - AESR - ESR'!AS1886</f>
        <v>0</v>
      </c>
      <c r="TJ25" s="29" t="str">
        <f>'REG y VAL POE - AESR - ESR'!B1887</f>
        <v xml:space="preserve">Sotelo Asuncion Natally Maricarmen </v>
      </c>
      <c r="TK25" s="29" t="str">
        <f>'REG y VAL POE - AESR - ESR'!C1887</f>
        <v>Sin Registro</v>
      </c>
      <c r="TL25" s="29">
        <f>'REG y VAL POE - AESR - ESR'!D1887</f>
        <v>23181853</v>
      </c>
      <c r="TM25" s="28">
        <f>'REG y VAL POE - AESR - ESR'!E1887</f>
        <v>0</v>
      </c>
      <c r="TN25" s="29">
        <f>'REG y VAL POE - AESR - ESR'!F1887</f>
        <v>0</v>
      </c>
      <c r="TO25" s="29">
        <f>'REG y VAL POE - AESR - ESR'!G1887</f>
        <v>0</v>
      </c>
      <c r="TP25" s="28">
        <f>'REG y VAL POE - AESR - ESR'!H1887</f>
        <v>0</v>
      </c>
      <c r="TQ25" s="29">
        <f>'REG y VAL POE - AESR - ESR'!I1887</f>
        <v>0</v>
      </c>
      <c r="TR25" s="30">
        <f>'REG y VAL POE - AESR - ESR'!J1887</f>
        <v>0</v>
      </c>
      <c r="TS25" s="28">
        <f>'REG y VAL POE - AESR - ESR'!K1887</f>
        <v>0</v>
      </c>
      <c r="TT25" s="29">
        <f>'REG y VAL POE - AESR - ESR'!L1887</f>
        <v>0</v>
      </c>
      <c r="TU25" s="29">
        <f>'REG y VAL POE - AESR - ESR'!M1887</f>
        <v>0</v>
      </c>
      <c r="TV25" s="29">
        <f>'REG y VAL POE - AESR - ESR'!N1887</f>
        <v>0</v>
      </c>
      <c r="TW25" s="28">
        <f>'REG y VAL POE - AESR - ESR'!O1887</f>
        <v>0</v>
      </c>
      <c r="TX25" s="29">
        <f>'REG y VAL POE - AESR - ESR'!P1887</f>
        <v>0</v>
      </c>
      <c r="TY25" s="29">
        <f>'REG y VAL POE - AESR - ESR'!Q1887</f>
        <v>0</v>
      </c>
      <c r="TZ25" s="28">
        <f>'REG y VAL POE - AESR - ESR'!R1887</f>
        <v>0</v>
      </c>
      <c r="UA25" s="29">
        <f>'REG y VAL POE - AESR - ESR'!S1887</f>
        <v>0</v>
      </c>
      <c r="UB25" s="30">
        <f>'REG y VAL POE - AESR - ESR'!T1887</f>
        <v>0</v>
      </c>
      <c r="UC25" s="28">
        <f>'REG y VAL POE - AESR - ESR'!U1887</f>
        <v>0</v>
      </c>
      <c r="UD25" s="29">
        <f>'REG y VAL POE - AESR - ESR'!V1887</f>
        <v>0</v>
      </c>
      <c r="UE25" s="29">
        <f>'REG y VAL POE - AESR - ESR'!W1887</f>
        <v>0</v>
      </c>
      <c r="UF25" s="29">
        <f>'REG y VAL POE - AESR - ESR'!X1887</f>
        <v>0</v>
      </c>
      <c r="UG25" s="28">
        <f>'REG y VAL POE - AESR - ESR'!Y1887</f>
        <v>0</v>
      </c>
      <c r="UH25" s="29">
        <f>'REG y VAL POE - AESR - ESR'!Z1887</f>
        <v>0</v>
      </c>
      <c r="UI25" s="29">
        <f>'REG y VAL POE - AESR - ESR'!AA1887</f>
        <v>0</v>
      </c>
      <c r="UJ25" s="28">
        <f>'REG y VAL POE - AESR - ESR'!AB1887</f>
        <v>0</v>
      </c>
      <c r="UK25" s="29">
        <f>'REG y VAL POE - AESR - ESR'!AC1887</f>
        <v>0</v>
      </c>
      <c r="UL25" s="30">
        <f>'REG y VAL POE - AESR - ESR'!AD1887</f>
        <v>0</v>
      </c>
      <c r="UM25" s="28">
        <f>'REG y VAL POE - AESR - ESR'!AE1887</f>
        <v>0</v>
      </c>
      <c r="UN25" s="29">
        <f>'REG y VAL POE - AESR - ESR'!AF1887</f>
        <v>0</v>
      </c>
      <c r="UO25" s="29">
        <f>'REG y VAL POE - AESR - ESR'!AG1887</f>
        <v>0</v>
      </c>
      <c r="UP25" s="29">
        <f>'REG y VAL POE - AESR - ESR'!AH1887</f>
        <v>0</v>
      </c>
      <c r="UQ25" s="28">
        <f>'REG y VAL POE - AESR - ESR'!AI1887</f>
        <v>0</v>
      </c>
      <c r="UR25" s="29">
        <f>'REG y VAL POE - AESR - ESR'!AJ1887</f>
        <v>0</v>
      </c>
      <c r="US25" s="29">
        <f>'REG y VAL POE - AESR - ESR'!AK1887</f>
        <v>0</v>
      </c>
      <c r="UT25" s="28">
        <f>'REG y VAL POE - AESR - ESR'!AL1887</f>
        <v>0</v>
      </c>
      <c r="UU25" s="29">
        <f>'REG y VAL POE - AESR - ESR'!AM1887</f>
        <v>0</v>
      </c>
      <c r="UV25" s="30">
        <f>'REG y VAL POE - AESR - ESR'!AN1887</f>
        <v>0</v>
      </c>
      <c r="UW25" s="28">
        <f>'REG y VAL POE - AESR - ESR'!AO1887</f>
        <v>0</v>
      </c>
      <c r="UX25" s="29">
        <f>'REG y VAL POE - AESR - ESR'!AP1887</f>
        <v>0</v>
      </c>
      <c r="UY25" s="29">
        <f>'REG y VAL POE - AESR - ESR'!AQ1887</f>
        <v>0</v>
      </c>
      <c r="UZ25" s="29">
        <f>'REG y VAL POE - AESR - ESR'!AR1887</f>
        <v>0</v>
      </c>
      <c r="VA25" s="28">
        <f>'REG y VAL POE - AESR - ESR'!AS1887</f>
        <v>0</v>
      </c>
      <c r="VB25" s="29" t="str">
        <f>'REG y VAL POE - AESR - ESR'!B1888</f>
        <v xml:space="preserve">Tamayo Rivas Jose Fernando </v>
      </c>
      <c r="VC25" s="29" t="str">
        <f>'REG y VAL POE - AESR - ESR'!C1888</f>
        <v>Sin Registro</v>
      </c>
      <c r="VD25" s="28">
        <f>'REG y VAL POE - AESR - ESR'!D1888</f>
        <v>23157333</v>
      </c>
      <c r="VE25" s="29">
        <f>'REG y VAL POE - AESR - ESR'!E1888</f>
        <v>0</v>
      </c>
      <c r="VF25" s="30">
        <f>'REG y VAL POE - AESR - ESR'!F1888</f>
        <v>0</v>
      </c>
      <c r="VG25" s="28">
        <f>'REG y VAL POE - AESR - ESR'!G1888</f>
        <v>0</v>
      </c>
      <c r="VH25" s="29">
        <f>'REG y VAL POE - AESR - ESR'!H1888</f>
        <v>0</v>
      </c>
      <c r="VI25" s="29">
        <f>'REG y VAL POE - AESR - ESR'!I1888</f>
        <v>0</v>
      </c>
      <c r="VJ25" s="29">
        <f>'REG y VAL POE - AESR - ESR'!J1888</f>
        <v>0</v>
      </c>
      <c r="VK25" s="28">
        <f>'REG y VAL POE - AESR - ESR'!K1888</f>
        <v>0</v>
      </c>
      <c r="VL25" s="29">
        <f>'REG y VAL POE - AESR - ESR'!L1888</f>
        <v>0</v>
      </c>
      <c r="VM25" s="29">
        <f>'REG y VAL POE - AESR - ESR'!M1888</f>
        <v>0</v>
      </c>
      <c r="VN25" s="28">
        <f>'REG y VAL POE - AESR - ESR'!N1888</f>
        <v>0</v>
      </c>
      <c r="VO25" s="29">
        <f>'REG y VAL POE - AESR - ESR'!O1888</f>
        <v>0</v>
      </c>
      <c r="VP25" s="30">
        <f>'REG y VAL POE - AESR - ESR'!P1888</f>
        <v>0</v>
      </c>
      <c r="VQ25" s="28">
        <f>'REG y VAL POE - AESR - ESR'!Q1888</f>
        <v>0</v>
      </c>
      <c r="VR25" s="29">
        <f>'REG y VAL POE - AESR - ESR'!R1888</f>
        <v>0</v>
      </c>
      <c r="VS25" s="29">
        <f>'REG y VAL POE - AESR - ESR'!S1888</f>
        <v>0</v>
      </c>
      <c r="VT25" s="29">
        <f>'REG y VAL POE - AESR - ESR'!T1888</f>
        <v>0</v>
      </c>
      <c r="VU25" s="28">
        <f>'REG y VAL POE - AESR - ESR'!U1888</f>
        <v>0</v>
      </c>
      <c r="VV25" s="29">
        <f>'REG y VAL POE - AESR - ESR'!V1888</f>
        <v>0</v>
      </c>
      <c r="VW25" s="29">
        <f>'REG y VAL POE - AESR - ESR'!W1888</f>
        <v>0</v>
      </c>
      <c r="VX25" s="28">
        <f>'REG y VAL POE - AESR - ESR'!X1888</f>
        <v>0</v>
      </c>
      <c r="VY25" s="29">
        <f>'REG y VAL POE - AESR - ESR'!Y1888</f>
        <v>0</v>
      </c>
      <c r="VZ25" s="30">
        <f>'REG y VAL POE - AESR - ESR'!Z1888</f>
        <v>0</v>
      </c>
      <c r="WA25" s="28">
        <f>'REG y VAL POE - AESR - ESR'!AA1888</f>
        <v>0</v>
      </c>
      <c r="WB25" s="29">
        <f>'REG y VAL POE - AESR - ESR'!AB1888</f>
        <v>0</v>
      </c>
      <c r="WC25" s="29">
        <f>'REG y VAL POE - AESR - ESR'!AC1888</f>
        <v>0</v>
      </c>
      <c r="WD25" s="29">
        <f>'REG y VAL POE - AESR - ESR'!AD1888</f>
        <v>0</v>
      </c>
      <c r="WE25" s="28">
        <f>'REG y VAL POE - AESR - ESR'!AE1888</f>
        <v>0</v>
      </c>
      <c r="WF25" s="29">
        <f>'REG y VAL POE - AESR - ESR'!AF1888</f>
        <v>0</v>
      </c>
      <c r="WG25" s="29">
        <f>'REG y VAL POE - AESR - ESR'!AG1888</f>
        <v>0</v>
      </c>
      <c r="WH25" s="28">
        <f>'REG y VAL POE - AESR - ESR'!AH1888</f>
        <v>0</v>
      </c>
      <c r="WI25" s="29">
        <f>'REG y VAL POE - AESR - ESR'!AI1888</f>
        <v>0</v>
      </c>
      <c r="WJ25" s="30">
        <f>'REG y VAL POE - AESR - ESR'!AJ1888</f>
        <v>0</v>
      </c>
      <c r="WK25" s="28">
        <f>'REG y VAL POE - AESR - ESR'!AK1888</f>
        <v>0</v>
      </c>
      <c r="WL25" s="29">
        <f>'REG y VAL POE - AESR - ESR'!AL1888</f>
        <v>0</v>
      </c>
      <c r="WM25" s="29">
        <f>'REG y VAL POE - AESR - ESR'!AM1888</f>
        <v>0</v>
      </c>
      <c r="WN25" s="29">
        <f>'REG y VAL POE - AESR - ESR'!AN1888</f>
        <v>0</v>
      </c>
      <c r="WO25" s="28">
        <f>'REG y VAL POE - AESR - ESR'!AO1888</f>
        <v>0</v>
      </c>
      <c r="WP25" s="29">
        <f>'REG y VAL POE - AESR - ESR'!AP1888</f>
        <v>0</v>
      </c>
      <c r="WQ25" s="29">
        <f>'REG y VAL POE - AESR - ESR'!AQ1888</f>
        <v>0</v>
      </c>
      <c r="WR25" s="28">
        <f>'REG y VAL POE - AESR - ESR'!AR1888</f>
        <v>0</v>
      </c>
      <c r="WS25" s="29">
        <f>'REG y VAL POE - AESR - ESR'!AS1888</f>
        <v>0</v>
      </c>
      <c r="WT25" s="30" t="str">
        <f>'REG y VAL POE - AESR - ESR'!B1889</f>
        <v xml:space="preserve">Zatarain Ortiz Rangel Urbano </v>
      </c>
      <c r="WU25" s="28" t="str">
        <f>'REG y VAL POE - AESR - ESR'!C1889</f>
        <v>Sin Registro</v>
      </c>
      <c r="WV25" s="29">
        <f>'REG y VAL POE - AESR - ESR'!D1889</f>
        <v>23217978</v>
      </c>
      <c r="WW25" s="29">
        <f>'REG y VAL POE - AESR - ESR'!E1889</f>
        <v>0</v>
      </c>
      <c r="WX25" s="29">
        <f>'REG y VAL POE - AESR - ESR'!F1889</f>
        <v>0</v>
      </c>
      <c r="WY25" s="28">
        <f>'REG y VAL POE - AESR - ESR'!G1889</f>
        <v>0</v>
      </c>
      <c r="WZ25" s="29">
        <f>'REG y VAL POE - AESR - ESR'!H1889</f>
        <v>0</v>
      </c>
      <c r="XA25" s="29">
        <f>'REG y VAL POE - AESR - ESR'!I1889</f>
        <v>0</v>
      </c>
      <c r="XB25" s="28">
        <f>'REG y VAL POE - AESR - ESR'!J1889</f>
        <v>0</v>
      </c>
      <c r="XC25" s="29">
        <f>'REG y VAL POE - AESR - ESR'!K1889</f>
        <v>0</v>
      </c>
      <c r="XD25" s="30">
        <f>'REG y VAL POE - AESR - ESR'!L1889</f>
        <v>0</v>
      </c>
      <c r="XE25" s="28">
        <f>'REG y VAL POE - AESR - ESR'!M1889</f>
        <v>0</v>
      </c>
      <c r="XF25" s="29">
        <f>'REG y VAL POE - AESR - ESR'!N1889</f>
        <v>0</v>
      </c>
      <c r="XG25" s="29">
        <f>'REG y VAL POE - AESR - ESR'!O1889</f>
        <v>0</v>
      </c>
      <c r="XH25" s="29">
        <f>'REG y VAL POE - AESR - ESR'!P1889</f>
        <v>0</v>
      </c>
      <c r="XI25" s="28">
        <f>'REG y VAL POE - AESR - ESR'!Q1889</f>
        <v>0</v>
      </c>
      <c r="XJ25" s="29">
        <f>'REG y VAL POE - AESR - ESR'!R1889</f>
        <v>0</v>
      </c>
      <c r="XK25" s="29">
        <f>'REG y VAL POE - AESR - ESR'!S1889</f>
        <v>0</v>
      </c>
      <c r="XL25" s="28">
        <f>'REG y VAL POE - AESR - ESR'!T1889</f>
        <v>0</v>
      </c>
      <c r="XM25" s="29">
        <f>'REG y VAL POE - AESR - ESR'!U1889</f>
        <v>0</v>
      </c>
      <c r="XN25" s="30">
        <f>'REG y VAL POE - AESR - ESR'!V1889</f>
        <v>0</v>
      </c>
      <c r="XO25" s="28">
        <f>'REG y VAL POE - AESR - ESR'!W1889</f>
        <v>0</v>
      </c>
      <c r="XP25" s="29">
        <f>'REG y VAL POE - AESR - ESR'!X1889</f>
        <v>0</v>
      </c>
      <c r="XQ25" s="29">
        <f>'REG y VAL POE - AESR - ESR'!Y1889</f>
        <v>0</v>
      </c>
      <c r="XR25" s="29">
        <f>'REG y VAL POE - AESR - ESR'!Z1889</f>
        <v>0</v>
      </c>
      <c r="XS25" s="28">
        <f>'REG y VAL POE - AESR - ESR'!AA1889</f>
        <v>0</v>
      </c>
      <c r="XT25" s="29">
        <f>'REG y VAL POE - AESR - ESR'!AB1889</f>
        <v>0</v>
      </c>
      <c r="XU25" s="29">
        <f>'REG y VAL POE - AESR - ESR'!AC1889</f>
        <v>0</v>
      </c>
      <c r="XV25" s="28">
        <f>'REG y VAL POE - AESR - ESR'!AD1889</f>
        <v>0</v>
      </c>
      <c r="XW25" s="29">
        <f>'REG y VAL POE - AESR - ESR'!AE1889</f>
        <v>0</v>
      </c>
      <c r="XX25" s="30">
        <f>'REG y VAL POE - AESR - ESR'!AF1889</f>
        <v>0</v>
      </c>
      <c r="XY25" s="28">
        <f>'REG y VAL POE - AESR - ESR'!AG1889</f>
        <v>0</v>
      </c>
      <c r="XZ25" s="29">
        <f>'REG y VAL POE - AESR - ESR'!AH1889</f>
        <v>0</v>
      </c>
      <c r="YA25" s="29">
        <f>'REG y VAL POE - AESR - ESR'!AI1889</f>
        <v>0</v>
      </c>
      <c r="YB25" s="29">
        <f>'REG y VAL POE - AESR - ESR'!AJ1889</f>
        <v>0</v>
      </c>
      <c r="YC25" s="28">
        <f>'REG y VAL POE - AESR - ESR'!AK1889</f>
        <v>0</v>
      </c>
      <c r="YD25" s="29">
        <f>'REG y VAL POE - AESR - ESR'!AL1889</f>
        <v>0</v>
      </c>
      <c r="YE25" s="29">
        <f>'REG y VAL POE - AESR - ESR'!AM1889</f>
        <v>0</v>
      </c>
      <c r="YF25" s="28">
        <f>'REG y VAL POE - AESR - ESR'!AN1889</f>
        <v>0</v>
      </c>
      <c r="YG25" s="29">
        <f>'REG y VAL POE - AESR - ESR'!AO1889</f>
        <v>0</v>
      </c>
      <c r="YH25" s="30">
        <f>'REG y VAL POE - AESR - ESR'!AP1889</f>
        <v>0</v>
      </c>
      <c r="YI25" s="28">
        <f>'REG y VAL POE - AESR - ESR'!AQ1889</f>
        <v>0</v>
      </c>
      <c r="YJ25" s="29">
        <f>'REG y VAL POE - AESR - ESR'!AR1889</f>
        <v>0</v>
      </c>
      <c r="YK25" s="29">
        <f>'REG y VAL POE - AESR - ESR'!AS1889</f>
        <v>0</v>
      </c>
      <c r="YL25" s="29">
        <f>'REG y VAL POE - AESR - ESR'!B1890</f>
        <v>0</v>
      </c>
      <c r="YM25" s="28">
        <f>'REG y VAL POE - AESR - ESR'!C1890</f>
        <v>0</v>
      </c>
      <c r="YN25" s="29">
        <f>'REG y VAL POE - AESR - ESR'!D1890</f>
        <v>0</v>
      </c>
      <c r="YO25" s="29">
        <f>'REG y VAL POE - AESR - ESR'!E1890</f>
        <v>0</v>
      </c>
      <c r="YP25" s="28">
        <f>'REG y VAL POE - AESR - ESR'!F1890</f>
        <v>0</v>
      </c>
      <c r="YQ25" s="29">
        <f>'REG y VAL POE - AESR - ESR'!G1890</f>
        <v>0</v>
      </c>
      <c r="YR25" s="30">
        <f>'REG y VAL POE - AESR - ESR'!H1890</f>
        <v>0</v>
      </c>
      <c r="YS25" s="28">
        <f>'REG y VAL POE - AESR - ESR'!I1890</f>
        <v>0</v>
      </c>
      <c r="YT25" s="29">
        <f>'REG y VAL POE - AESR - ESR'!J1890</f>
        <v>0</v>
      </c>
      <c r="YU25" s="29">
        <f>'REG y VAL POE - AESR - ESR'!K1890</f>
        <v>0</v>
      </c>
      <c r="YV25" s="29">
        <f>'REG y VAL POE - AESR - ESR'!L1890</f>
        <v>0</v>
      </c>
      <c r="YW25" s="28">
        <f>'REG y VAL POE - AESR - ESR'!M1890</f>
        <v>0</v>
      </c>
      <c r="YX25" s="29">
        <f>'REG y VAL POE - AESR - ESR'!N1890</f>
        <v>0</v>
      </c>
      <c r="YY25" s="29">
        <f>'REG y VAL POE - AESR - ESR'!O1890</f>
        <v>0</v>
      </c>
      <c r="YZ25" s="28">
        <f>'REG y VAL POE - AESR - ESR'!P1890</f>
        <v>0</v>
      </c>
      <c r="ZA25" s="29">
        <f>'REG y VAL POE - AESR - ESR'!Q1890</f>
        <v>0</v>
      </c>
      <c r="ZB25" s="30">
        <f>'REG y VAL POE - AESR - ESR'!R1890</f>
        <v>0</v>
      </c>
      <c r="ZC25" s="28">
        <f>'REG y VAL POE - AESR - ESR'!S1890</f>
        <v>0</v>
      </c>
      <c r="ZD25" s="29">
        <f>'REG y VAL POE - AESR - ESR'!T1890</f>
        <v>0</v>
      </c>
      <c r="ZE25" s="29">
        <f>'REG y VAL POE - AESR - ESR'!U1890</f>
        <v>0</v>
      </c>
      <c r="ZF25" s="29">
        <f>'REG y VAL POE - AESR - ESR'!V1890</f>
        <v>0</v>
      </c>
      <c r="ZG25" s="28">
        <f>'REG y VAL POE - AESR - ESR'!W1890</f>
        <v>0</v>
      </c>
      <c r="ZH25" s="29">
        <f>'REG y VAL POE - AESR - ESR'!X1890</f>
        <v>0</v>
      </c>
      <c r="ZI25" s="29">
        <f>'REG y VAL POE - AESR - ESR'!Y1890</f>
        <v>0</v>
      </c>
      <c r="ZJ25" s="28">
        <f>'REG y VAL POE - AESR - ESR'!Z1890</f>
        <v>0</v>
      </c>
      <c r="ZK25" s="29">
        <f>'REG y VAL POE - AESR - ESR'!AA1890</f>
        <v>0</v>
      </c>
      <c r="ZL25" s="30">
        <f>'REG y VAL POE - AESR - ESR'!AB1890</f>
        <v>0</v>
      </c>
      <c r="ZM25" s="28">
        <f>'REG y VAL POE - AESR - ESR'!AC1890</f>
        <v>0</v>
      </c>
      <c r="ZN25" s="29">
        <f>'REG y VAL POE - AESR - ESR'!AD1890</f>
        <v>0</v>
      </c>
      <c r="ZO25" s="29">
        <f>'REG y VAL POE - AESR - ESR'!AE1890</f>
        <v>0</v>
      </c>
      <c r="ZP25" s="29">
        <f>'REG y VAL POE - AESR - ESR'!AF1890</f>
        <v>0</v>
      </c>
      <c r="ZQ25" s="28">
        <f>'REG y VAL POE - AESR - ESR'!AG1890</f>
        <v>0</v>
      </c>
      <c r="ZR25" s="29">
        <f>'REG y VAL POE - AESR - ESR'!AH1890</f>
        <v>0</v>
      </c>
      <c r="ZS25" s="29">
        <f>'REG y VAL POE - AESR - ESR'!AI1890</f>
        <v>0</v>
      </c>
      <c r="ZT25" s="28">
        <f>'REG y VAL POE - AESR - ESR'!AJ1890</f>
        <v>0</v>
      </c>
      <c r="ZU25" s="29">
        <f>'REG y VAL POE - AESR - ESR'!AK1890</f>
        <v>0</v>
      </c>
      <c r="ZV25" s="30">
        <f>'REG y VAL POE - AESR - ESR'!AL1890</f>
        <v>0</v>
      </c>
      <c r="ZW25" s="28">
        <f>'REG y VAL POE - AESR - ESR'!AM1890</f>
        <v>0</v>
      </c>
      <c r="ZX25" s="29">
        <f>'REG y VAL POE - AESR - ESR'!AN1890</f>
        <v>0</v>
      </c>
      <c r="ZY25" s="29">
        <f>'REG y VAL POE - AESR - ESR'!AO1890</f>
        <v>0</v>
      </c>
      <c r="ZZ25" s="29">
        <f>'REG y VAL POE - AESR - ESR'!AP1890</f>
        <v>0</v>
      </c>
      <c r="AAA25" s="28">
        <f>'REG y VAL POE - AESR - ESR'!AQ1890</f>
        <v>0</v>
      </c>
      <c r="AAB25" s="29">
        <f>'REG y VAL POE - AESR - ESR'!AR1890</f>
        <v>0</v>
      </c>
      <c r="AAC25" s="29">
        <f>'REG y VAL POE - AESR - ESR'!AS1890</f>
        <v>0</v>
      </c>
      <c r="AAD25" s="28">
        <f>'REG y VAL POE - AESR - ESR'!B1891</f>
        <v>0</v>
      </c>
      <c r="AAE25" s="29">
        <f>'REG y VAL POE - AESR - ESR'!C1891</f>
        <v>0</v>
      </c>
      <c r="AAF25" s="30">
        <f>'REG y VAL POE - AESR - ESR'!D1891</f>
        <v>0</v>
      </c>
      <c r="AAG25" s="28">
        <f>'REG y VAL POE - AESR - ESR'!E1891</f>
        <v>0</v>
      </c>
      <c r="AAH25" s="29">
        <f>'REG y VAL POE - AESR - ESR'!F1891</f>
        <v>0</v>
      </c>
      <c r="AAI25" s="29">
        <f>'REG y VAL POE - AESR - ESR'!G1891</f>
        <v>0</v>
      </c>
      <c r="AAJ25" s="29">
        <f>'REG y VAL POE - AESR - ESR'!H1891</f>
        <v>0</v>
      </c>
      <c r="AAK25" s="28">
        <f>'REG y VAL POE - AESR - ESR'!I1891</f>
        <v>0</v>
      </c>
      <c r="AAL25" s="29">
        <f>'REG y VAL POE - AESR - ESR'!J1891</f>
        <v>0</v>
      </c>
      <c r="AAM25" s="29">
        <f>'REG y VAL POE - AESR - ESR'!K1891</f>
        <v>0</v>
      </c>
      <c r="AAN25" s="28">
        <f>'REG y VAL POE - AESR - ESR'!L1891</f>
        <v>0</v>
      </c>
      <c r="AAO25" s="29">
        <f>'REG y VAL POE - AESR - ESR'!M1891</f>
        <v>0</v>
      </c>
      <c r="AAP25" s="30">
        <f>'REG y VAL POE - AESR - ESR'!N1891</f>
        <v>0</v>
      </c>
      <c r="AAQ25" s="28">
        <f>'REG y VAL POE - AESR - ESR'!O1891</f>
        <v>0</v>
      </c>
      <c r="AAR25" s="29">
        <f>'REG y VAL POE - AESR - ESR'!P1891</f>
        <v>0</v>
      </c>
      <c r="AAS25" s="29">
        <f>'REG y VAL POE - AESR - ESR'!Q1891</f>
        <v>0</v>
      </c>
      <c r="AAT25" s="29">
        <f>'REG y VAL POE - AESR - ESR'!R1891</f>
        <v>0</v>
      </c>
      <c r="AAU25" s="28">
        <f>'REG y VAL POE - AESR - ESR'!S1891</f>
        <v>0</v>
      </c>
      <c r="AAV25" s="29">
        <f>'REG y VAL POE - AESR - ESR'!T1891</f>
        <v>0</v>
      </c>
      <c r="AAW25" s="29">
        <f>'REG y VAL POE - AESR - ESR'!U1891</f>
        <v>0</v>
      </c>
      <c r="AAX25" s="28">
        <f>'REG y VAL POE - AESR - ESR'!V1891</f>
        <v>0</v>
      </c>
      <c r="AAY25" s="29">
        <f>'REG y VAL POE - AESR - ESR'!W1891</f>
        <v>0</v>
      </c>
      <c r="AAZ25" s="30">
        <f>'REG y VAL POE - AESR - ESR'!X1891</f>
        <v>0</v>
      </c>
      <c r="ABA25" s="28">
        <f>'REG y VAL POE - AESR - ESR'!Y1891</f>
        <v>0</v>
      </c>
      <c r="ABB25" s="29">
        <f>'REG y VAL POE - AESR - ESR'!Z1891</f>
        <v>0</v>
      </c>
      <c r="ABC25" s="29">
        <f>'REG y VAL POE - AESR - ESR'!AA1891</f>
        <v>0</v>
      </c>
      <c r="ABD25" s="29">
        <f>'REG y VAL POE - AESR - ESR'!AB1891</f>
        <v>0</v>
      </c>
      <c r="ABE25" s="28">
        <f>'REG y VAL POE - AESR - ESR'!AC1891</f>
        <v>0</v>
      </c>
      <c r="ABF25" s="29">
        <f>'REG y VAL POE - AESR - ESR'!AD1891</f>
        <v>0</v>
      </c>
      <c r="ABG25" s="29">
        <f>'REG y VAL POE - AESR - ESR'!AE1891</f>
        <v>0</v>
      </c>
      <c r="ABH25" s="28">
        <f>'REG y VAL POE - AESR - ESR'!AF1891</f>
        <v>0</v>
      </c>
      <c r="ABI25" s="29">
        <f>'REG y VAL POE - AESR - ESR'!AG1891</f>
        <v>0</v>
      </c>
      <c r="ABJ25" s="30">
        <f>'REG y VAL POE - AESR - ESR'!AH1891</f>
        <v>0</v>
      </c>
      <c r="ABK25" s="28">
        <f>'REG y VAL POE - AESR - ESR'!AI1891</f>
        <v>0</v>
      </c>
      <c r="ABL25" s="29">
        <f>'REG y VAL POE - AESR - ESR'!AJ1891</f>
        <v>0</v>
      </c>
      <c r="ABM25" s="29">
        <f>'REG y VAL POE - AESR - ESR'!AK1891</f>
        <v>0</v>
      </c>
      <c r="ABN25" s="29">
        <f>'REG y VAL POE - AESR - ESR'!AL1891</f>
        <v>0</v>
      </c>
      <c r="ABO25" s="28">
        <f>'REG y VAL POE - AESR - ESR'!AM1891</f>
        <v>0</v>
      </c>
      <c r="ABP25" s="29">
        <f>'REG y VAL POE - AESR - ESR'!AN1891</f>
        <v>0</v>
      </c>
      <c r="ABQ25" s="29">
        <f>'REG y VAL POE - AESR - ESR'!AO1891</f>
        <v>0</v>
      </c>
      <c r="ABR25" s="28">
        <f>'REG y VAL POE - AESR - ESR'!AP1891</f>
        <v>0</v>
      </c>
      <c r="ABS25" s="29">
        <f>'REG y VAL POE - AESR - ESR'!AQ1891</f>
        <v>0</v>
      </c>
      <c r="ABT25" s="30">
        <f>'REG y VAL POE - AESR - ESR'!AR1891</f>
        <v>0</v>
      </c>
      <c r="ABU25" s="28">
        <f>'REG y VAL POE - AESR - ESR'!AS1891</f>
        <v>0</v>
      </c>
      <c r="ABV25" s="29">
        <f>'REG y VAL POE - AESR - ESR'!B1892</f>
        <v>0</v>
      </c>
      <c r="ABW25" s="29">
        <f>'REG y VAL POE - AESR - ESR'!C1892</f>
        <v>0</v>
      </c>
      <c r="ABX25" s="29">
        <f>'REG y VAL POE - AESR - ESR'!D1892</f>
        <v>0</v>
      </c>
      <c r="ABY25" s="28">
        <f>'REG y VAL POE - AESR - ESR'!E1892</f>
        <v>0</v>
      </c>
      <c r="ABZ25" s="29">
        <f>'REG y VAL POE - AESR - ESR'!F1892</f>
        <v>0</v>
      </c>
      <c r="ACA25" s="29">
        <f>'REG y VAL POE - AESR - ESR'!G1892</f>
        <v>0</v>
      </c>
      <c r="ACB25" s="28">
        <f>'REG y VAL POE - AESR - ESR'!H1892</f>
        <v>0</v>
      </c>
      <c r="ACC25" s="29">
        <f>'REG y VAL POE - AESR - ESR'!I1892</f>
        <v>0</v>
      </c>
      <c r="ACD25" s="30">
        <f>'REG y VAL POE - AESR - ESR'!J1892</f>
        <v>0</v>
      </c>
      <c r="ACE25" s="28">
        <f>'REG y VAL POE - AESR - ESR'!K1892</f>
        <v>0</v>
      </c>
      <c r="ACF25" s="29">
        <f>'REG y VAL POE - AESR - ESR'!L1892</f>
        <v>0</v>
      </c>
      <c r="ACG25" s="29">
        <f>'REG y VAL POE - AESR - ESR'!M1892</f>
        <v>0</v>
      </c>
      <c r="ACH25" s="29">
        <f>'REG y VAL POE - AESR - ESR'!N1892</f>
        <v>0</v>
      </c>
      <c r="ACI25" s="28">
        <f>'REG y VAL POE - AESR - ESR'!O1892</f>
        <v>0</v>
      </c>
      <c r="ACJ25" s="29">
        <f>'REG y VAL POE - AESR - ESR'!P1892</f>
        <v>0</v>
      </c>
      <c r="ACK25" s="29">
        <f>'REG y VAL POE - AESR - ESR'!Q1892</f>
        <v>0</v>
      </c>
      <c r="ACL25" s="28">
        <f>'REG y VAL POE - AESR - ESR'!R1892</f>
        <v>0</v>
      </c>
      <c r="ACM25" s="29">
        <f>'REG y VAL POE - AESR - ESR'!S1892</f>
        <v>0</v>
      </c>
      <c r="ACN25" s="30">
        <f>'REG y VAL POE - AESR - ESR'!T1892</f>
        <v>0</v>
      </c>
      <c r="ACO25" s="28">
        <f>'REG y VAL POE - AESR - ESR'!U1892</f>
        <v>0</v>
      </c>
      <c r="ACP25" s="29">
        <f>'REG y VAL POE - AESR - ESR'!V1892</f>
        <v>0</v>
      </c>
      <c r="ACQ25" s="29">
        <f>'REG y VAL POE - AESR - ESR'!W1892</f>
        <v>0</v>
      </c>
      <c r="ACR25" s="29">
        <f>'REG y VAL POE - AESR - ESR'!X1892</f>
        <v>0</v>
      </c>
      <c r="ACS25" s="28">
        <f>'REG y VAL POE - AESR - ESR'!Y1892</f>
        <v>0</v>
      </c>
      <c r="ACT25" s="29">
        <f>'REG y VAL POE - AESR - ESR'!Z1892</f>
        <v>0</v>
      </c>
      <c r="ACU25" s="29">
        <f>'REG y VAL POE - AESR - ESR'!AA1892</f>
        <v>0</v>
      </c>
      <c r="ACV25" s="28">
        <f>'REG y VAL POE - AESR - ESR'!AB1892</f>
        <v>0</v>
      </c>
      <c r="ACW25" s="29">
        <f>'REG y VAL POE - AESR - ESR'!AC1892</f>
        <v>0</v>
      </c>
      <c r="ACX25" s="30">
        <f>'REG y VAL POE - AESR - ESR'!AD1892</f>
        <v>0</v>
      </c>
      <c r="ACY25" s="28">
        <f>'REG y VAL POE - AESR - ESR'!AE1892</f>
        <v>0</v>
      </c>
      <c r="ACZ25" s="29">
        <f>'REG y VAL POE - AESR - ESR'!AF1892</f>
        <v>0</v>
      </c>
      <c r="ADA25" s="29">
        <f>'REG y VAL POE - AESR - ESR'!AG1892</f>
        <v>0</v>
      </c>
      <c r="ADB25" s="29">
        <f>'REG y VAL POE - AESR - ESR'!AH1892</f>
        <v>0</v>
      </c>
      <c r="ADC25" s="28">
        <f>'REG y VAL POE - AESR - ESR'!AI1892</f>
        <v>0</v>
      </c>
      <c r="ADD25" s="29">
        <f>'REG y VAL POE - AESR - ESR'!AJ1892</f>
        <v>0</v>
      </c>
      <c r="ADE25" s="29">
        <f>'REG y VAL POE - AESR - ESR'!AK1892</f>
        <v>0</v>
      </c>
      <c r="ADF25" s="28">
        <f>'REG y VAL POE - AESR - ESR'!AL1892</f>
        <v>0</v>
      </c>
      <c r="ADG25" s="29">
        <f>'REG y VAL POE - AESR - ESR'!AM1892</f>
        <v>0</v>
      </c>
      <c r="ADH25" s="30">
        <f>'REG y VAL POE - AESR - ESR'!AN1892</f>
        <v>0</v>
      </c>
      <c r="ADI25" s="28">
        <f>'REG y VAL POE - AESR - ESR'!AO1892</f>
        <v>0</v>
      </c>
      <c r="ADJ25" s="29">
        <f>'REG y VAL POE - AESR - ESR'!AP1892</f>
        <v>0</v>
      </c>
      <c r="ADK25" s="29">
        <f>'REG y VAL POE - AESR - ESR'!AQ1892</f>
        <v>0</v>
      </c>
      <c r="ADL25" s="29">
        <f>'REG y VAL POE - AESR - ESR'!AR1892</f>
        <v>0</v>
      </c>
      <c r="ADM25" s="28">
        <f>'REG y VAL POE - AESR - ESR'!AS1892</f>
        <v>0</v>
      </c>
      <c r="ADN25" s="29">
        <f>'REG y VAL POE - AESR - ESR'!B1893</f>
        <v>0</v>
      </c>
      <c r="ADO25" s="29">
        <f>'REG y VAL POE - AESR - ESR'!C1893</f>
        <v>0</v>
      </c>
      <c r="ADP25" s="28">
        <f>'REG y VAL POE - AESR - ESR'!D1893</f>
        <v>0</v>
      </c>
      <c r="ADQ25" s="29">
        <f>'REG y VAL POE - AESR - ESR'!E1893</f>
        <v>0</v>
      </c>
      <c r="ADR25" s="30">
        <f>'REG y VAL POE - AESR - ESR'!F1893</f>
        <v>0</v>
      </c>
      <c r="ADS25" s="28">
        <f>'REG y VAL POE - AESR - ESR'!G1893</f>
        <v>0</v>
      </c>
      <c r="ADT25" s="29">
        <f>'REG y VAL POE - AESR - ESR'!H1893</f>
        <v>0</v>
      </c>
      <c r="ADU25" s="29">
        <f>'REG y VAL POE - AESR - ESR'!I1893</f>
        <v>0</v>
      </c>
      <c r="ADV25" s="29">
        <f>'REG y VAL POE - AESR - ESR'!J1893</f>
        <v>0</v>
      </c>
      <c r="ADW25" s="28">
        <f>'REG y VAL POE - AESR - ESR'!K1893</f>
        <v>0</v>
      </c>
      <c r="ADX25" s="29">
        <f>'REG y VAL POE - AESR - ESR'!L1893</f>
        <v>0</v>
      </c>
      <c r="ADY25" s="29">
        <f>'REG y VAL POE - AESR - ESR'!M1893</f>
        <v>0</v>
      </c>
      <c r="ADZ25" s="28">
        <f>'REG y VAL POE - AESR - ESR'!N1893</f>
        <v>0</v>
      </c>
      <c r="AEA25" s="29">
        <f>'REG y VAL POE - AESR - ESR'!O1893</f>
        <v>0</v>
      </c>
      <c r="AEB25" s="30">
        <f>'REG y VAL POE - AESR - ESR'!P1893</f>
        <v>0</v>
      </c>
      <c r="AEC25" s="28">
        <f>'REG y VAL POE - AESR - ESR'!Q1893</f>
        <v>0</v>
      </c>
      <c r="AED25" s="29">
        <f>'REG y VAL POE - AESR - ESR'!R1893</f>
        <v>0</v>
      </c>
      <c r="AEE25" s="29">
        <f>'REG y VAL POE - AESR - ESR'!S1893</f>
        <v>0</v>
      </c>
      <c r="AEF25" s="29">
        <f>'REG y VAL POE - AESR - ESR'!T1893</f>
        <v>0</v>
      </c>
      <c r="AEG25" s="28">
        <f>'REG y VAL POE - AESR - ESR'!U1893</f>
        <v>0</v>
      </c>
      <c r="AEH25" s="29">
        <f>'REG y VAL POE - AESR - ESR'!V1893</f>
        <v>0</v>
      </c>
      <c r="AEI25" s="29">
        <f>'REG y VAL POE - AESR - ESR'!W1893</f>
        <v>0</v>
      </c>
      <c r="AEJ25" s="28">
        <f>'REG y VAL POE - AESR - ESR'!X1893</f>
        <v>0</v>
      </c>
      <c r="AEK25" s="29">
        <f>'REG y VAL POE - AESR - ESR'!Y1893</f>
        <v>0</v>
      </c>
      <c r="AEL25" s="30">
        <f>'REG y VAL POE - AESR - ESR'!Z1893</f>
        <v>0</v>
      </c>
      <c r="AEM25" s="28">
        <f>'REG y VAL POE - AESR - ESR'!AA1893</f>
        <v>0</v>
      </c>
      <c r="AEN25" s="29">
        <f>'REG y VAL POE - AESR - ESR'!AB1893</f>
        <v>0</v>
      </c>
      <c r="AEO25" s="29">
        <f>'REG y VAL POE - AESR - ESR'!AC1893</f>
        <v>0</v>
      </c>
      <c r="AEP25" s="29">
        <f>'REG y VAL POE - AESR - ESR'!AD1893</f>
        <v>0</v>
      </c>
      <c r="AEQ25" s="28">
        <f>'REG y VAL POE - AESR - ESR'!AE1893</f>
        <v>0</v>
      </c>
      <c r="AER25" s="29">
        <f>'REG y VAL POE - AESR - ESR'!AF1893</f>
        <v>0</v>
      </c>
      <c r="AES25" s="29">
        <f>'REG y VAL POE - AESR - ESR'!AG1893</f>
        <v>0</v>
      </c>
      <c r="AET25" s="28">
        <f>'REG y VAL POE - AESR - ESR'!AH1893</f>
        <v>0</v>
      </c>
      <c r="AEU25" s="29">
        <f>'REG y VAL POE - AESR - ESR'!AI1893</f>
        <v>0</v>
      </c>
      <c r="AEV25" s="30">
        <f>'REG y VAL POE - AESR - ESR'!AJ1893</f>
        <v>0</v>
      </c>
      <c r="AEW25" s="28">
        <f>'REG y VAL POE - AESR - ESR'!AK1893</f>
        <v>0</v>
      </c>
      <c r="AEX25" s="29">
        <f>'REG y VAL POE - AESR - ESR'!AL1893</f>
        <v>0</v>
      </c>
      <c r="AEY25" s="29">
        <f>'REG y VAL POE - AESR - ESR'!AM1893</f>
        <v>0</v>
      </c>
      <c r="AEZ25" s="29">
        <f>'REG y VAL POE - AESR - ESR'!AN1893</f>
        <v>0</v>
      </c>
      <c r="AFA25" s="28">
        <f>'REG y VAL POE - AESR - ESR'!AO1893</f>
        <v>0</v>
      </c>
      <c r="AFB25" s="29">
        <f>'REG y VAL POE - AESR - ESR'!AP1893</f>
        <v>0</v>
      </c>
      <c r="AFC25" s="29">
        <f>'REG y VAL POE - AESR - ESR'!AQ1893</f>
        <v>0</v>
      </c>
      <c r="AFD25" s="28">
        <f>'REG y VAL POE - AESR - ESR'!AR1893</f>
        <v>0</v>
      </c>
      <c r="AFE25" s="29">
        <f>'REG y VAL POE - AESR - ESR'!AS1893</f>
        <v>0</v>
      </c>
      <c r="AFF25" s="30">
        <f>'REG y VAL POE - AESR - ESR'!B1894</f>
        <v>0</v>
      </c>
      <c r="AFG25" s="28">
        <f>'REG y VAL POE - AESR - ESR'!C1894</f>
        <v>0</v>
      </c>
      <c r="AFH25" s="29">
        <f>'REG y VAL POE - AESR - ESR'!D1894</f>
        <v>0</v>
      </c>
      <c r="AFI25" s="29">
        <f>'REG y VAL POE - AESR - ESR'!E1894</f>
        <v>0</v>
      </c>
      <c r="AFJ25" s="29">
        <f>'REG y VAL POE - AESR - ESR'!F1894</f>
        <v>0</v>
      </c>
      <c r="AFK25" s="28">
        <f>'REG y VAL POE - AESR - ESR'!G1894</f>
        <v>0</v>
      </c>
      <c r="AFL25" s="29">
        <f>'REG y VAL POE - AESR - ESR'!H1894</f>
        <v>0</v>
      </c>
      <c r="AFM25" s="29">
        <f>'REG y VAL POE - AESR - ESR'!I1894</f>
        <v>0</v>
      </c>
      <c r="AFN25" s="28">
        <f>'REG y VAL POE - AESR - ESR'!J1894</f>
        <v>0</v>
      </c>
      <c r="AFO25" s="29">
        <f>'REG y VAL POE - AESR - ESR'!K1894</f>
        <v>0</v>
      </c>
      <c r="AFP25" s="30">
        <f>'REG y VAL POE - AESR - ESR'!L1894</f>
        <v>0</v>
      </c>
      <c r="AFQ25" s="28">
        <f>'REG y VAL POE - AESR - ESR'!M1894</f>
        <v>0</v>
      </c>
      <c r="AFR25" s="29">
        <f>'REG y VAL POE - AESR - ESR'!N1894</f>
        <v>0</v>
      </c>
      <c r="AFS25" s="29">
        <f>'REG y VAL POE - AESR - ESR'!O1894</f>
        <v>0</v>
      </c>
      <c r="AFT25" s="29">
        <f>'REG y VAL POE - AESR - ESR'!P1894</f>
        <v>0</v>
      </c>
      <c r="AFU25" s="28">
        <f>'REG y VAL POE - AESR - ESR'!Q1894</f>
        <v>0</v>
      </c>
      <c r="AFV25" s="29">
        <f>'REG y VAL POE - AESR - ESR'!R1894</f>
        <v>0</v>
      </c>
      <c r="AFW25" s="29">
        <f>'REG y VAL POE - AESR - ESR'!S1894</f>
        <v>0</v>
      </c>
      <c r="AFX25" s="28">
        <f>'REG y VAL POE - AESR - ESR'!T1894</f>
        <v>0</v>
      </c>
      <c r="AFY25" s="29">
        <f>'REG y VAL POE - AESR - ESR'!U1894</f>
        <v>0</v>
      </c>
      <c r="AFZ25" s="30">
        <f>'REG y VAL POE - AESR - ESR'!V1894</f>
        <v>0</v>
      </c>
      <c r="AGA25" s="28">
        <f>'REG y VAL POE - AESR - ESR'!W1894</f>
        <v>0</v>
      </c>
      <c r="AGB25" s="29">
        <f>'REG y VAL POE - AESR - ESR'!X1894</f>
        <v>0</v>
      </c>
      <c r="AGC25" s="29">
        <f>'REG y VAL POE - AESR - ESR'!Y1894</f>
        <v>0</v>
      </c>
      <c r="AGD25" s="29">
        <f>'REG y VAL POE - AESR - ESR'!Z1894</f>
        <v>0</v>
      </c>
      <c r="AGE25" s="28">
        <f>'REG y VAL POE - AESR - ESR'!AA1894</f>
        <v>0</v>
      </c>
      <c r="AGF25" s="29">
        <f>'REG y VAL POE - AESR - ESR'!AB1894</f>
        <v>0</v>
      </c>
      <c r="AGG25" s="29">
        <f>'REG y VAL POE - AESR - ESR'!AC1894</f>
        <v>0</v>
      </c>
      <c r="AGH25" s="28">
        <f>'REG y VAL POE - AESR - ESR'!AD1894</f>
        <v>0</v>
      </c>
      <c r="AGI25" s="29">
        <f>'REG y VAL POE - AESR - ESR'!AE1894</f>
        <v>0</v>
      </c>
      <c r="AGJ25" s="30">
        <f>'REG y VAL POE - AESR - ESR'!AF1894</f>
        <v>0</v>
      </c>
      <c r="AGK25" s="28">
        <f>'REG y VAL POE - AESR - ESR'!AG1894</f>
        <v>0</v>
      </c>
      <c r="AGL25" s="29">
        <f>'REG y VAL POE - AESR - ESR'!AH1894</f>
        <v>0</v>
      </c>
      <c r="AGM25" s="29">
        <f>'REG y VAL POE - AESR - ESR'!AI1894</f>
        <v>0</v>
      </c>
      <c r="AGN25" s="29">
        <f>'REG y VAL POE - AESR - ESR'!AJ1894</f>
        <v>0</v>
      </c>
      <c r="AGO25" s="28">
        <f>'REG y VAL POE - AESR - ESR'!AK1894</f>
        <v>0</v>
      </c>
      <c r="AGP25" s="29">
        <f>'REG y VAL POE - AESR - ESR'!AL1894</f>
        <v>0</v>
      </c>
      <c r="AGQ25" s="29">
        <f>'REG y VAL POE - AESR - ESR'!AM1894</f>
        <v>0</v>
      </c>
      <c r="AGR25" s="28">
        <f>'REG y VAL POE - AESR - ESR'!AN1894</f>
        <v>0</v>
      </c>
      <c r="AGS25" s="29">
        <f>'REG y VAL POE - AESR - ESR'!AO1894</f>
        <v>0</v>
      </c>
      <c r="AGT25" s="30">
        <f>'REG y VAL POE - AESR - ESR'!AP1894</f>
        <v>0</v>
      </c>
      <c r="AGU25" s="28">
        <f>'REG y VAL POE - AESR - ESR'!AQ1894</f>
        <v>0</v>
      </c>
      <c r="AGV25" s="29">
        <f>'REG y VAL POE - AESR - ESR'!AR1894</f>
        <v>0</v>
      </c>
      <c r="AGW25" s="29">
        <f>'REG y VAL POE - AESR - ESR'!AS1894</f>
        <v>0</v>
      </c>
      <c r="AGX25" s="29"/>
      <c r="AGY25" s="28"/>
      <c r="AGZ25" s="29"/>
      <c r="AHA25" s="29"/>
      <c r="AHB25" s="28"/>
      <c r="AHC25" s="29"/>
      <c r="AHD25" s="30"/>
      <c r="AHE25" s="28"/>
      <c r="AHF25" s="29"/>
      <c r="AHG25" s="29"/>
      <c r="AHH25" s="29"/>
      <c r="AHI25" s="28"/>
      <c r="AHJ25" s="29"/>
      <c r="AHK25" s="29"/>
      <c r="AHL25" s="28"/>
      <c r="AHM25" s="29"/>
      <c r="AHN25" s="30"/>
      <c r="AHO25" s="28"/>
      <c r="AHP25" s="29"/>
      <c r="AHQ25" s="29"/>
      <c r="AHR25" s="29"/>
      <c r="AHS25" s="28"/>
      <c r="AHT25" s="29"/>
      <c r="AHU25" s="29"/>
      <c r="AHV25" s="28"/>
      <c r="AHW25" s="29"/>
      <c r="AHX25" s="30"/>
      <c r="AHY25" s="28"/>
      <c r="AHZ25" s="29"/>
      <c r="AIA25" s="29"/>
      <c r="AIB25" s="29"/>
      <c r="AIC25" s="28"/>
      <c r="AID25" s="29"/>
      <c r="AIE25" s="29"/>
      <c r="AIF25" s="28"/>
      <c r="AIG25" s="29"/>
      <c r="AIH25" s="30"/>
      <c r="AII25" s="28"/>
      <c r="AIJ25" s="29"/>
      <c r="AIK25" s="29"/>
      <c r="AIL25" s="29"/>
      <c r="AIM25" s="28"/>
      <c r="AIN25" s="29"/>
      <c r="AIO25" s="29"/>
      <c r="AIP25" s="28"/>
      <c r="AIQ25" s="29"/>
      <c r="AIR25" s="30"/>
      <c r="AIS25" s="28"/>
      <c r="AIT25" s="29"/>
      <c r="AIU25" s="29"/>
      <c r="AIV25" s="29"/>
      <c r="AIW25" s="28"/>
      <c r="AIX25" s="29"/>
      <c r="AIY25" s="29"/>
      <c r="AIZ25" s="28"/>
      <c r="AJA25" s="29"/>
      <c r="AJB25" s="30"/>
      <c r="AJC25" s="28"/>
      <c r="AJD25" s="29"/>
      <c r="AJE25" s="29"/>
      <c r="AJF25" s="29"/>
      <c r="AJG25" s="28"/>
      <c r="AJH25" s="29"/>
      <c r="AJI25" s="29"/>
      <c r="AJJ25" s="28"/>
      <c r="AJK25" s="29"/>
      <c r="AJL25" s="30"/>
      <c r="AJM25" s="28"/>
      <c r="AJN25" s="29"/>
      <c r="AJO25" s="29"/>
      <c r="AJP25" s="29"/>
      <c r="AJQ25" s="28"/>
      <c r="AJR25" s="29"/>
      <c r="AJS25" s="29"/>
      <c r="AJT25" s="28"/>
      <c r="AJU25" s="29"/>
      <c r="AJV25" s="30"/>
      <c r="AJW25" s="28"/>
      <c r="AJX25" s="29"/>
      <c r="AJY25" s="29"/>
      <c r="AJZ25" s="29"/>
      <c r="AKA25" s="28"/>
      <c r="AKB25" s="29"/>
      <c r="AKC25" s="29"/>
      <c r="AKD25" s="28"/>
      <c r="AKE25" s="29"/>
      <c r="AKF25" s="30"/>
      <c r="AKG25" s="28"/>
      <c r="AKH25" s="29"/>
      <c r="AKI25" s="29"/>
      <c r="AKJ25" s="29"/>
      <c r="AKK25" s="28"/>
      <c r="AKL25" s="29"/>
      <c r="AKM25" s="29"/>
      <c r="AKN25" s="28"/>
      <c r="AKO25" s="29"/>
      <c r="AKP25" s="30"/>
      <c r="AKQ25" s="28"/>
      <c r="AKR25" s="29"/>
      <c r="AKS25" s="29"/>
      <c r="AKT25" s="29"/>
      <c r="AKU25" s="28"/>
      <c r="AKV25" s="29"/>
      <c r="AKW25" s="29"/>
      <c r="AKX25" s="28"/>
      <c r="AKY25" s="29"/>
      <c r="AKZ25" s="30"/>
      <c r="ALA25" s="28"/>
      <c r="ALB25" s="29"/>
      <c r="ALC25" s="29"/>
      <c r="ALD25" s="29"/>
      <c r="ALE25" s="28"/>
      <c r="ALF25" s="29"/>
      <c r="ALG25" s="29"/>
      <c r="ALH25" s="29"/>
      <c r="ALI25" s="29"/>
      <c r="ALJ25" s="29"/>
      <c r="ALK25" s="28"/>
      <c r="ALL25" s="29"/>
      <c r="ALM25" s="29"/>
      <c r="ALN25" s="28"/>
      <c r="ALO25" s="29"/>
      <c r="ALP25" s="30"/>
      <c r="ALQ25" s="28"/>
      <c r="ALR25" s="29"/>
      <c r="ALS25" s="29"/>
      <c r="ALT25" s="29"/>
      <c r="ALU25" s="28"/>
      <c r="ALV25" s="29"/>
      <c r="ALW25" s="29"/>
      <c r="ALX25" s="28"/>
      <c r="ALY25" s="29"/>
      <c r="ALZ25" s="30"/>
      <c r="AMA25" s="28"/>
      <c r="AMB25" s="29"/>
      <c r="AMC25" s="29"/>
      <c r="AMD25" s="29"/>
      <c r="AME25" s="28"/>
      <c r="AMF25" s="29"/>
      <c r="AMG25" s="29"/>
      <c r="AMH25" s="29"/>
      <c r="AMI25" s="29"/>
      <c r="AMJ25" s="29"/>
      <c r="AMK25" s="28"/>
      <c r="AML25" s="29"/>
      <c r="AMM25" s="29"/>
      <c r="AMN25" s="28"/>
      <c r="AMO25" s="29"/>
      <c r="AMP25" s="30"/>
      <c r="AMQ25" s="28"/>
      <c r="AMR25" s="29"/>
      <c r="AMS25" s="29"/>
      <c r="AMT25" s="29"/>
      <c r="AMU25" s="28"/>
      <c r="AMV25" s="29"/>
      <c r="AMW25" s="29"/>
      <c r="AMX25" s="28"/>
      <c r="AMY25" s="29"/>
      <c r="AMZ25" s="30"/>
      <c r="ANA25" s="28"/>
      <c r="ANB25" s="29"/>
      <c r="ANC25" s="29"/>
      <c r="AND25" s="29"/>
      <c r="ANE25" s="28"/>
      <c r="ANF25" s="29"/>
      <c r="ANG25" s="29"/>
      <c r="ANH25" s="29"/>
      <c r="ANI25" s="29"/>
      <c r="ANJ25" s="29"/>
      <c r="ANK25" s="28"/>
      <c r="ANL25" s="29"/>
      <c r="ANM25" s="29"/>
      <c r="ANN25" s="28"/>
      <c r="ANO25" s="29"/>
      <c r="ANP25" s="30"/>
      <c r="ANQ25" s="28"/>
      <c r="ANR25" s="29"/>
      <c r="ANS25" s="29"/>
      <c r="ANT25" s="29"/>
      <c r="ANU25" s="28"/>
      <c r="ANV25" s="29"/>
      <c r="ANW25" s="29"/>
      <c r="ANX25" s="28"/>
      <c r="ANY25" s="29"/>
      <c r="ANZ25" s="30"/>
      <c r="AOA25" s="28"/>
      <c r="AOB25" s="29"/>
      <c r="AOC25" s="29"/>
      <c r="AOD25" s="29"/>
      <c r="AOE25" s="28"/>
      <c r="AOF25" s="29"/>
      <c r="AOG25" s="29"/>
      <c r="AOH25" s="29"/>
      <c r="AOI25" s="29"/>
      <c r="AOJ25" s="29"/>
      <c r="AOK25" s="28"/>
      <c r="AOL25" s="29"/>
      <c r="AOM25" s="29"/>
      <c r="AON25" s="28"/>
      <c r="AOO25" s="29"/>
      <c r="AOP25" s="30"/>
      <c r="AOQ25" s="28"/>
      <c r="AOR25" s="29"/>
      <c r="AOS25" s="29"/>
      <c r="AOT25" s="29"/>
      <c r="AOU25" s="28"/>
      <c r="AOV25" s="29"/>
      <c r="AOW25" s="29"/>
      <c r="AOX25" s="28"/>
      <c r="AOY25" s="29"/>
      <c r="AOZ25" s="30"/>
      <c r="APA25" s="28"/>
      <c r="APB25" s="29"/>
      <c r="APC25" s="29"/>
      <c r="APD25" s="29"/>
      <c r="APE25" s="28"/>
      <c r="APF25" s="29"/>
      <c r="APG25" s="29"/>
      <c r="APH25" s="29"/>
      <c r="API25" s="29"/>
      <c r="APJ25" s="29"/>
      <c r="APK25" s="28"/>
      <c r="APL25" s="29"/>
      <c r="APM25" s="29"/>
      <c r="APN25" s="28"/>
      <c r="APO25" s="29"/>
      <c r="APP25" s="30"/>
      <c r="APQ25" s="28"/>
      <c r="APR25" s="29"/>
      <c r="APS25" s="29"/>
      <c r="APT25" s="29"/>
      <c r="APU25" s="28"/>
      <c r="APV25" s="29"/>
      <c r="APW25" s="29"/>
      <c r="APX25" s="28"/>
      <c r="APY25" s="29"/>
      <c r="APZ25" s="30"/>
      <c r="AQA25" s="28"/>
      <c r="AQB25" s="29"/>
      <c r="AQC25" s="29"/>
      <c r="AQD25" s="29"/>
      <c r="AQE25" s="28"/>
      <c r="AQF25" s="29"/>
      <c r="AQG25" s="29"/>
      <c r="AQH25" s="29"/>
      <c r="AQI25" s="29"/>
      <c r="AQJ25" s="29"/>
      <c r="AQK25" s="28"/>
      <c r="AQL25" s="29"/>
      <c r="AQM25" s="29"/>
      <c r="AQN25" s="28"/>
      <c r="AQO25" s="29"/>
      <c r="AQP25" s="30"/>
      <c r="AQQ25" s="28"/>
      <c r="AQR25" s="29"/>
      <c r="AQS25" s="29"/>
      <c r="AQT25" s="29"/>
      <c r="AQU25" s="28"/>
      <c r="AQV25" s="29"/>
      <c r="AQW25" s="29"/>
      <c r="AQX25" s="28"/>
      <c r="AQY25" s="29"/>
      <c r="AQZ25" s="30"/>
      <c r="ARA25" s="28"/>
      <c r="ARB25" s="29"/>
      <c r="ARC25" s="29"/>
      <c r="ARD25" s="29"/>
      <c r="ARE25" s="28"/>
      <c r="ARF25" s="29"/>
      <c r="ARG25" s="29"/>
      <c r="ARH25" s="29"/>
      <c r="ARI25" s="29"/>
      <c r="ARJ25" s="29"/>
      <c r="ARK25" s="28"/>
      <c r="ARL25" s="29"/>
      <c r="ARM25" s="29"/>
      <c r="ARN25" s="28"/>
      <c r="ARO25" s="29"/>
      <c r="ARP25" s="30"/>
      <c r="ARQ25" s="28"/>
      <c r="ARR25" s="29"/>
      <c r="ARS25" s="29"/>
      <c r="ART25" s="29"/>
      <c r="ARU25" s="28"/>
      <c r="ARV25" s="29"/>
      <c r="ARW25" s="29"/>
      <c r="ARX25" s="28"/>
      <c r="ARY25" s="29"/>
      <c r="ARZ25" s="30"/>
      <c r="ASA25" s="28"/>
      <c r="ASB25" s="29"/>
      <c r="ASC25" s="29"/>
      <c r="ASD25" s="29"/>
      <c r="ASE25" s="28"/>
      <c r="ASF25" s="29"/>
      <c r="ASG25" s="29"/>
      <c r="ASH25" s="29"/>
      <c r="ASI25" s="29"/>
      <c r="ASJ25" s="29"/>
      <c r="ASK25" s="28"/>
      <c r="ASL25" s="29"/>
      <c r="ASM25" s="29"/>
      <c r="ASN25" s="28"/>
      <c r="ASO25" s="29"/>
      <c r="ASP25" s="30"/>
      <c r="ASQ25" s="28"/>
      <c r="ASR25" s="29"/>
      <c r="ASS25" s="29"/>
      <c r="AST25" s="29"/>
      <c r="ASU25" s="28"/>
      <c r="ASV25" s="29"/>
      <c r="ASW25" s="29"/>
      <c r="ASX25" s="28"/>
      <c r="ASY25" s="29"/>
      <c r="ASZ25" s="30"/>
      <c r="ATA25" s="28"/>
      <c r="ATB25" s="29"/>
      <c r="ATC25" s="29"/>
      <c r="ATD25" s="29"/>
      <c r="ATE25" s="28"/>
      <c r="ATF25" s="29"/>
      <c r="ATG25" s="29"/>
      <c r="ATH25" s="29"/>
      <c r="ATI25" s="29"/>
      <c r="ATJ25" s="29"/>
      <c r="ATK25" s="28"/>
      <c r="ATL25" s="29"/>
      <c r="ATM25" s="29"/>
      <c r="ATN25" s="28"/>
      <c r="ATO25" s="29"/>
      <c r="ATP25" s="30"/>
      <c r="ATQ25" s="28"/>
      <c r="ATR25" s="29"/>
      <c r="ATS25" s="29"/>
      <c r="ATT25" s="29"/>
      <c r="ATU25" s="28"/>
      <c r="ATV25" s="29"/>
      <c r="ATW25" s="29"/>
      <c r="ATX25" s="28"/>
      <c r="ATY25" s="29"/>
      <c r="ATZ25" s="30"/>
      <c r="AUA25" s="28"/>
      <c r="AUB25" s="29"/>
      <c r="AUC25" s="29"/>
      <c r="AUD25" s="29"/>
      <c r="AUE25" s="28"/>
      <c r="AUF25" s="29"/>
      <c r="AUG25" s="29"/>
      <c r="AUH25" s="29"/>
      <c r="AUI25" s="29"/>
      <c r="AUJ25" s="29"/>
      <c r="AUK25" s="28"/>
      <c r="AUL25" s="29"/>
      <c r="AUM25" s="29"/>
      <c r="AUN25" s="28"/>
      <c r="AUO25" s="29"/>
      <c r="AUP25" s="30"/>
      <c r="AUQ25" s="28"/>
      <c r="AUR25" s="29"/>
      <c r="AUS25" s="29"/>
      <c r="AUT25" s="29"/>
      <c r="AUU25" s="28"/>
      <c r="AUV25" s="29"/>
      <c r="AUW25" s="29"/>
      <c r="AUX25" s="28"/>
      <c r="AUY25" s="29"/>
      <c r="AUZ25" s="30"/>
      <c r="AVA25" s="28"/>
      <c r="AVB25" s="29"/>
      <c r="AVC25" s="29"/>
      <c r="AVD25" s="29"/>
      <c r="AVE25" s="28"/>
      <c r="AVF25" s="29"/>
      <c r="AVG25" s="29"/>
      <c r="AVH25" s="29"/>
      <c r="AVI25" s="29"/>
      <c r="AVJ25" s="29"/>
      <c r="AVK25" s="28"/>
      <c r="AVL25" s="29"/>
      <c r="AVM25" s="29"/>
      <c r="AVN25" s="28"/>
      <c r="AVO25" s="29"/>
      <c r="AVP25" s="30"/>
      <c r="AVQ25" s="28"/>
      <c r="AVR25" s="29"/>
      <c r="AVS25" s="29"/>
      <c r="AVT25" s="29"/>
      <c r="AVU25" s="28"/>
      <c r="AVV25" s="29"/>
      <c r="AVW25" s="29"/>
      <c r="AVX25" s="28"/>
      <c r="AVY25" s="29"/>
      <c r="AVZ25" s="30"/>
      <c r="AWA25" s="28"/>
      <c r="AWB25" s="29"/>
      <c r="AWC25" s="29"/>
      <c r="AWD25" s="29"/>
      <c r="AWE25" s="28"/>
      <c r="AWF25" s="29"/>
      <c r="AWG25" s="29"/>
      <c r="AWH25" s="29"/>
      <c r="AWI25" s="29"/>
      <c r="AWJ25" s="29"/>
      <c r="AWK25" s="28"/>
      <c r="AWL25" s="29"/>
      <c r="AWM25" s="29"/>
      <c r="AWN25" s="28"/>
      <c r="AWO25" s="29"/>
      <c r="AWP25" s="30"/>
      <c r="AWQ25" s="28"/>
      <c r="AWR25" s="29"/>
      <c r="AWS25" s="29"/>
      <c r="AWT25" s="29"/>
      <c r="AWU25" s="28"/>
      <c r="AWV25" s="29"/>
      <c r="AWW25" s="29"/>
      <c r="AWX25" s="28"/>
      <c r="AWY25" s="29"/>
      <c r="AWZ25" s="30"/>
      <c r="AXA25" s="28"/>
      <c r="AXB25" s="29"/>
      <c r="AXC25" s="29"/>
      <c r="AXD25" s="29"/>
      <c r="AXE25" s="28"/>
      <c r="AXF25" s="29"/>
      <c r="AXG25" s="29"/>
      <c r="AXH25" s="29"/>
      <c r="AXI25" s="29"/>
      <c r="AXJ25" s="29"/>
      <c r="AXK25" s="28"/>
      <c r="AXL25" s="29"/>
      <c r="AXM25" s="29"/>
      <c r="AXN25" s="28"/>
      <c r="AXO25" s="29"/>
      <c r="AXP25" s="30"/>
      <c r="AXQ25" s="28"/>
      <c r="AXR25" s="29"/>
      <c r="AXS25" s="29"/>
      <c r="AXT25" s="29"/>
      <c r="AXU25" s="28"/>
      <c r="AXV25" s="29"/>
      <c r="AXW25" s="29"/>
      <c r="AXX25" s="28"/>
      <c r="AXY25" s="29"/>
      <c r="AXZ25" s="30"/>
      <c r="AYA25" s="28"/>
      <c r="AYB25" s="29"/>
      <c r="AYC25" s="29"/>
      <c r="AYD25" s="29"/>
      <c r="AYE25" s="28"/>
      <c r="AYF25" s="29"/>
      <c r="AYG25" s="29"/>
      <c r="AYH25" s="29"/>
      <c r="AYI25" s="29"/>
      <c r="AYJ25" s="29"/>
      <c r="AYK25" s="28"/>
      <c r="AYL25" s="29"/>
      <c r="AYM25" s="29"/>
      <c r="AYN25" s="28"/>
      <c r="AYO25" s="29"/>
      <c r="AYP25" s="30"/>
      <c r="AYQ25" s="28"/>
      <c r="AYR25" s="29"/>
      <c r="AYS25" s="29"/>
      <c r="AYT25" s="29"/>
      <c r="AYU25" s="28"/>
      <c r="AYV25" s="29"/>
      <c r="AYW25" s="29"/>
      <c r="AYX25" s="28"/>
      <c r="AYY25" s="29"/>
      <c r="AYZ25" s="30"/>
      <c r="AZA25" s="28"/>
      <c r="AZB25" s="29"/>
      <c r="AZC25" s="29"/>
      <c r="AZD25" s="29"/>
      <c r="AZE25" s="28"/>
      <c r="AZF25" s="29"/>
      <c r="AZG25" s="29"/>
      <c r="AZH25" s="29"/>
      <c r="AZI25" s="29"/>
      <c r="AZJ25" s="29"/>
      <c r="AZK25" s="28"/>
      <c r="AZL25" s="29"/>
      <c r="AZM25" s="29"/>
      <c r="AZN25" s="28"/>
      <c r="AZO25" s="29"/>
      <c r="AZP25" s="30"/>
      <c r="AZQ25" s="28"/>
      <c r="AZR25" s="29"/>
      <c r="AZS25" s="29"/>
      <c r="AZT25" s="29"/>
      <c r="AZU25" s="28"/>
      <c r="AZV25" s="29"/>
      <c r="AZW25" s="29"/>
      <c r="AZX25" s="28"/>
      <c r="AZY25" s="29"/>
      <c r="AZZ25" s="30"/>
      <c r="BAA25" s="28"/>
      <c r="BAB25" s="29"/>
      <c r="BAC25" s="29"/>
      <c r="BAD25" s="29"/>
      <c r="BAE25" s="28"/>
      <c r="BAF25" s="29"/>
      <c r="BAG25" s="29"/>
      <c r="BAH25" s="29"/>
      <c r="BAI25" s="29"/>
      <c r="BAJ25" s="29"/>
      <c r="BAK25" s="28"/>
      <c r="BAL25" s="29"/>
      <c r="BAM25" s="29"/>
      <c r="BAN25" s="28"/>
      <c r="BAO25" s="29"/>
      <c r="BAP25" s="30"/>
      <c r="BAQ25" s="28"/>
      <c r="BAR25" s="29"/>
      <c r="BAS25" s="29"/>
      <c r="BAT25" s="29"/>
      <c r="BAU25" s="28"/>
      <c r="BAV25" s="29"/>
      <c r="BAW25" s="29"/>
      <c r="BAX25" s="28"/>
      <c r="BAY25" s="29"/>
      <c r="BAZ25" s="30"/>
      <c r="BBA25" s="28"/>
      <c r="BBB25" s="29"/>
      <c r="BBC25" s="29"/>
      <c r="BBD25" s="29"/>
      <c r="BBE25" s="28"/>
      <c r="BBF25" s="29"/>
      <c r="BBG25" s="29"/>
      <c r="BBH25" s="29"/>
      <c r="BBI25" s="29"/>
      <c r="BBJ25" s="29"/>
      <c r="BBK25" s="28"/>
      <c r="BBL25" s="29"/>
      <c r="BBM25" s="29"/>
      <c r="BBN25" s="28"/>
      <c r="BBO25" s="29"/>
      <c r="BBP25" s="30"/>
      <c r="BBQ25" s="28"/>
      <c r="BBR25" s="29"/>
      <c r="BBS25" s="29"/>
      <c r="BBT25" s="29"/>
      <c r="BBU25" s="28"/>
      <c r="BBV25" s="29"/>
      <c r="BBW25" s="29"/>
      <c r="BBX25" s="28"/>
      <c r="BBY25" s="29"/>
      <c r="BBZ25" s="30"/>
      <c r="BCA25" s="28"/>
      <c r="BCB25" s="29"/>
      <c r="BCC25" s="29"/>
      <c r="BCD25" s="29"/>
      <c r="BCE25" s="28"/>
      <c r="BCF25" s="29"/>
      <c r="BCG25" s="29"/>
      <c r="BCH25" s="29"/>
      <c r="BCI25" s="29"/>
      <c r="BCJ25" s="29"/>
      <c r="BCK25" s="28"/>
      <c r="BCL25" s="29"/>
      <c r="BCM25" s="29"/>
      <c r="BCN25" s="28"/>
      <c r="BCO25" s="29"/>
      <c r="BCP25" s="30"/>
      <c r="BCQ25" s="28"/>
      <c r="BCR25" s="29"/>
      <c r="BCS25" s="29"/>
      <c r="BCT25" s="29"/>
      <c r="BCU25" s="28"/>
      <c r="BCV25" s="29"/>
      <c r="BCW25" s="29"/>
      <c r="BCX25" s="28"/>
      <c r="BCY25" s="29"/>
      <c r="BCZ25" s="30"/>
      <c r="BDA25" s="28"/>
      <c r="BDB25" s="29"/>
      <c r="BDC25" s="29"/>
      <c r="BDD25" s="29"/>
      <c r="BDE25" s="28"/>
      <c r="BDF25" s="29"/>
      <c r="BDG25" s="29"/>
      <c r="BDH25" s="29"/>
      <c r="BDI25" s="29"/>
      <c r="BDJ25" s="29"/>
      <c r="BDK25" s="28"/>
      <c r="BDL25" s="29"/>
      <c r="BDM25" s="29"/>
      <c r="BDN25" s="28"/>
      <c r="BDO25" s="29"/>
      <c r="BDP25" s="30"/>
      <c r="BDQ25" s="28"/>
      <c r="BDR25" s="29"/>
      <c r="BDS25" s="29"/>
      <c r="BDT25" s="29"/>
      <c r="BDU25" s="28"/>
      <c r="BDV25" s="29"/>
      <c r="BDW25" s="29"/>
      <c r="BDX25" s="28"/>
      <c r="BDY25" s="29"/>
      <c r="BDZ25" s="30"/>
      <c r="BEA25" s="28"/>
      <c r="BEB25" s="29"/>
      <c r="BEC25" s="29"/>
      <c r="BED25" s="29"/>
      <c r="BEE25" s="28"/>
      <c r="BEF25" s="29"/>
      <c r="BEG25" s="29"/>
      <c r="BEH25" s="29"/>
      <c r="BEI25" s="29"/>
      <c r="BEJ25" s="29"/>
      <c r="BEK25" s="28"/>
      <c r="BEL25" s="29"/>
      <c r="BEM25" s="29"/>
      <c r="BEN25" s="28"/>
      <c r="BEO25" s="29"/>
      <c r="BEP25" s="30"/>
      <c r="BEQ25" s="28"/>
      <c r="BER25" s="29"/>
      <c r="BES25" s="29"/>
      <c r="BET25" s="29"/>
      <c r="BEU25" s="28"/>
      <c r="BEV25" s="29"/>
      <c r="BEW25" s="29"/>
      <c r="BEX25" s="28"/>
      <c r="BEY25" s="29"/>
      <c r="BEZ25" s="30"/>
      <c r="BFA25" s="28"/>
      <c r="BFB25" s="29"/>
      <c r="BFC25" s="29"/>
      <c r="BFD25" s="29"/>
      <c r="BFE25" s="28"/>
      <c r="BFF25" s="29"/>
      <c r="BFG25" s="29"/>
      <c r="BFH25" s="29"/>
      <c r="BFI25" s="29"/>
      <c r="BFJ25" s="29"/>
      <c r="BFK25" s="28"/>
      <c r="BFL25" s="29"/>
      <c r="BFM25" s="29"/>
      <c r="BFN25" s="28"/>
      <c r="BFO25" s="29"/>
      <c r="BFP25" s="30"/>
      <c r="BFQ25" s="28"/>
      <c r="BFR25" s="29"/>
      <c r="BFS25" s="29"/>
      <c r="BFT25" s="29"/>
      <c r="BFU25" s="28"/>
      <c r="BFV25" s="29"/>
      <c r="BFW25" s="29"/>
      <c r="BFX25" s="28"/>
      <c r="BFY25" s="29"/>
      <c r="BFZ25" s="30"/>
      <c r="BGA25" s="28"/>
      <c r="BGB25" s="29"/>
      <c r="BGC25" s="29"/>
      <c r="BGD25" s="29"/>
      <c r="BGE25" s="28"/>
      <c r="BGF25" s="29"/>
      <c r="BGG25" s="29"/>
      <c r="BGH25" s="29"/>
      <c r="BGI25" s="29"/>
      <c r="BGJ25" s="29"/>
      <c r="BGK25" s="28"/>
      <c r="BGL25" s="29"/>
      <c r="BGM25" s="29"/>
      <c r="BGN25" s="28"/>
      <c r="BGO25" s="29"/>
      <c r="BGP25" s="30"/>
      <c r="BGQ25" s="28"/>
      <c r="BGR25" s="29"/>
      <c r="BGS25" s="29"/>
      <c r="BGT25" s="29"/>
      <c r="BGU25" s="28"/>
      <c r="BGV25" s="29"/>
      <c r="BGW25" s="29"/>
      <c r="BGX25" s="28"/>
      <c r="BGY25" s="29"/>
      <c r="BGZ25" s="30"/>
      <c r="BHA25" s="28"/>
      <c r="BHB25" s="29"/>
      <c r="BHC25" s="29"/>
      <c r="BHD25" s="29"/>
      <c r="BHE25" s="28"/>
      <c r="BHF25" s="29"/>
      <c r="BHG25" s="29"/>
      <c r="BHH25" s="29"/>
      <c r="BHI25" s="29"/>
      <c r="BHJ25" s="29"/>
      <c r="BHK25" s="28"/>
      <c r="BHL25" s="29"/>
      <c r="BHM25" s="29"/>
      <c r="BHN25" s="28"/>
      <c r="BHO25" s="29"/>
      <c r="BHP25" s="30"/>
      <c r="BHQ25" s="28"/>
      <c r="BHR25" s="29"/>
      <c r="BHS25" s="29"/>
      <c r="BHT25" s="29"/>
      <c r="BHU25" s="28"/>
      <c r="BHV25" s="29"/>
      <c r="BHW25" s="29"/>
      <c r="BHX25" s="28"/>
      <c r="BHY25" s="29"/>
      <c r="BHZ25" s="30"/>
      <c r="BIA25" s="28"/>
      <c r="BIB25" s="29"/>
      <c r="BIC25" s="29"/>
      <c r="BID25" s="29"/>
      <c r="BIE25" s="28"/>
      <c r="BIF25" s="29"/>
      <c r="BIG25" s="29"/>
      <c r="BIH25" s="29"/>
      <c r="BII25" s="29"/>
      <c r="BIJ25" s="29"/>
      <c r="BIK25" s="28"/>
      <c r="BIL25" s="29"/>
      <c r="BIM25" s="29"/>
      <c r="BIN25" s="28"/>
      <c r="BIO25" s="29"/>
      <c r="BIP25" s="30"/>
      <c r="BIQ25" s="28"/>
      <c r="BIR25" s="29"/>
      <c r="BIS25" s="29"/>
      <c r="BIT25" s="29"/>
      <c r="BIU25" s="28"/>
      <c r="BIV25" s="29"/>
      <c r="BIW25" s="29"/>
      <c r="BIX25" s="28"/>
      <c r="BIY25" s="29"/>
      <c r="BIZ25" s="30"/>
      <c r="BJA25" s="28"/>
      <c r="BJB25" s="29"/>
      <c r="BJC25" s="29"/>
      <c r="BJD25" s="29"/>
      <c r="BJE25" s="28"/>
      <c r="BJF25" s="29"/>
      <c r="BJG25" s="29"/>
      <c r="BJH25" s="29"/>
      <c r="BJI25" s="29"/>
      <c r="BJJ25" s="29"/>
      <c r="BJK25" s="28"/>
      <c r="BJL25" s="29"/>
      <c r="BJM25" s="29"/>
      <c r="BJN25" s="28"/>
      <c r="BJO25" s="29"/>
      <c r="BJP25" s="30"/>
      <c r="BJQ25" s="28"/>
      <c r="BJR25" s="29"/>
      <c r="BJS25" s="29"/>
      <c r="BJT25" s="29"/>
      <c r="BJU25" s="28"/>
      <c r="BJV25" s="29"/>
      <c r="BJW25" s="29"/>
      <c r="BJX25" s="28"/>
      <c r="BJY25" s="29"/>
      <c r="BJZ25" s="30"/>
      <c r="BKA25" s="28"/>
      <c r="BKB25" s="29"/>
      <c r="BKC25" s="29"/>
      <c r="BKD25" s="29"/>
      <c r="BKE25" s="28"/>
      <c r="BKF25" s="29"/>
      <c r="BKG25" s="29"/>
      <c r="BKH25" s="29"/>
      <c r="BKI25" s="29"/>
      <c r="BKJ25" s="29"/>
      <c r="BKK25" s="28"/>
      <c r="BKL25" s="29"/>
      <c r="BKM25" s="29"/>
      <c r="BKN25" s="28"/>
      <c r="BKO25" s="29"/>
      <c r="BKP25" s="30"/>
      <c r="BKQ25" s="28"/>
      <c r="BKR25" s="29"/>
      <c r="BKS25" s="29"/>
      <c r="BKT25" s="29"/>
      <c r="BKU25" s="28"/>
      <c r="BKV25" s="29"/>
      <c r="BKW25" s="29"/>
      <c r="BKX25" s="28"/>
      <c r="BKY25" s="29"/>
      <c r="BKZ25" s="30"/>
      <c r="BLA25" s="28"/>
      <c r="BLB25" s="29"/>
      <c r="BLC25" s="29"/>
      <c r="BLD25" s="29"/>
      <c r="BLE25" s="28"/>
      <c r="BLF25" s="29"/>
      <c r="BLG25" s="29"/>
      <c r="BLH25" s="29"/>
      <c r="BLI25" s="29"/>
      <c r="BLJ25" s="29"/>
      <c r="BLK25" s="28"/>
      <c r="BLL25" s="29"/>
      <c r="BLM25" s="29"/>
      <c r="BLN25" s="28"/>
      <c r="BLO25" s="29"/>
      <c r="BLP25" s="30"/>
      <c r="BLQ25" s="28"/>
      <c r="BLR25" s="29"/>
      <c r="BLS25" s="29"/>
      <c r="BLT25" s="29"/>
      <c r="BLU25" s="28"/>
      <c r="BLV25" s="29"/>
      <c r="BLW25" s="29"/>
      <c r="BLX25" s="28"/>
      <c r="BLY25" s="29"/>
      <c r="BLZ25" s="30"/>
      <c r="BMA25" s="28"/>
      <c r="BMB25" s="29"/>
      <c r="BMC25" s="29"/>
      <c r="BMD25" s="29"/>
      <c r="BME25" s="28"/>
      <c r="BMF25" s="29"/>
      <c r="BMG25" s="29"/>
      <c r="BMH25" s="29"/>
      <c r="BMI25" s="29"/>
      <c r="BMJ25" s="29"/>
      <c r="BMK25" s="28"/>
      <c r="BML25" s="29"/>
      <c r="BMM25" s="29"/>
      <c r="BMN25" s="28"/>
      <c r="BMO25" s="29"/>
      <c r="BMP25" s="30"/>
      <c r="BMQ25" s="28"/>
      <c r="BMR25" s="29"/>
      <c r="BMS25" s="29"/>
      <c r="BMT25" s="29"/>
      <c r="BMU25" s="28"/>
      <c r="BMV25" s="29"/>
      <c r="BMW25" s="29"/>
      <c r="BMX25" s="28"/>
      <c r="BMY25" s="29"/>
      <c r="BMZ25" s="30"/>
      <c r="BNA25" s="28"/>
      <c r="BNB25" s="29"/>
      <c r="BNC25" s="29"/>
      <c r="BND25" s="29"/>
      <c r="BNE25" s="28"/>
      <c r="BNF25" s="29"/>
      <c r="BNG25" s="29"/>
      <c r="BNH25" s="29"/>
      <c r="BNI25" s="29"/>
      <c r="BNJ25" s="29"/>
      <c r="BNK25" s="28"/>
      <c r="BNL25" s="29"/>
      <c r="BNM25" s="29"/>
      <c r="BNN25" s="28"/>
      <c r="BNO25" s="29"/>
      <c r="BNP25" s="30"/>
      <c r="BNQ25" s="28"/>
      <c r="BNR25" s="29"/>
      <c r="BNS25" s="29"/>
      <c r="BNT25" s="29"/>
      <c r="BNU25" s="28"/>
      <c r="BNV25" s="29"/>
      <c r="BNW25" s="29"/>
      <c r="BNX25" s="28"/>
      <c r="BNY25" s="29"/>
      <c r="BNZ25" s="30"/>
      <c r="BOA25" s="28"/>
      <c r="BOB25" s="29"/>
      <c r="BOC25" s="29"/>
      <c r="BOD25" s="29"/>
      <c r="BOE25" s="28"/>
      <c r="BOF25" s="29"/>
      <c r="BOG25" s="29"/>
      <c r="BOH25" s="29"/>
      <c r="BOI25" s="29"/>
      <c r="BOJ25" s="29"/>
      <c r="BOK25" s="28"/>
      <c r="BOL25" s="29"/>
      <c r="BOM25" s="29"/>
      <c r="BON25" s="28"/>
      <c r="BOO25" s="29"/>
      <c r="BOP25" s="30"/>
      <c r="BOQ25" s="28"/>
      <c r="BOR25" s="29"/>
      <c r="BOS25" s="29"/>
      <c r="BOT25" s="29"/>
      <c r="BOU25" s="28"/>
      <c r="BOV25" s="29"/>
      <c r="BOW25" s="29"/>
      <c r="BOX25" s="28"/>
      <c r="BOY25" s="29"/>
      <c r="BOZ25" s="30"/>
      <c r="BPA25" s="28"/>
      <c r="BPB25" s="29"/>
      <c r="BPC25" s="29"/>
      <c r="BPD25" s="29"/>
      <c r="BPE25" s="28"/>
      <c r="BPF25" s="29"/>
      <c r="BPG25" s="29"/>
      <c r="BPH25" s="29"/>
      <c r="BPI25" s="29"/>
      <c r="BPJ25" s="29"/>
      <c r="BPK25" s="28"/>
      <c r="BPL25" s="29"/>
      <c r="BPM25" s="29"/>
      <c r="BPN25" s="28"/>
      <c r="BPO25" s="29"/>
      <c r="BPP25" s="30"/>
      <c r="BPQ25" s="28"/>
      <c r="BPR25" s="29"/>
      <c r="BPS25" s="29"/>
      <c r="BPT25" s="29"/>
      <c r="BPU25" s="28"/>
      <c r="BPV25" s="29"/>
      <c r="BPW25" s="29"/>
      <c r="BPX25" s="28"/>
      <c r="BPY25" s="29"/>
      <c r="BPZ25" s="30"/>
      <c r="BQA25" s="28"/>
      <c r="BQB25" s="29"/>
      <c r="BQC25" s="29"/>
      <c r="BQD25" s="29"/>
      <c r="BQE25" s="28"/>
      <c r="BQF25" s="29"/>
      <c r="BQG25" s="29"/>
      <c r="BQH25" s="29"/>
      <c r="BQI25" s="29"/>
      <c r="BQJ25" s="29"/>
      <c r="BQK25" s="28"/>
      <c r="BQL25" s="29"/>
      <c r="BQM25" s="29"/>
      <c r="BQN25" s="28"/>
      <c r="BQO25" s="29"/>
      <c r="BQP25" s="30"/>
      <c r="BQQ25" s="28"/>
      <c r="BQR25" s="29"/>
      <c r="BQS25" s="29"/>
      <c r="BQT25" s="29"/>
      <c r="BQU25" s="28"/>
      <c r="BQV25" s="29"/>
      <c r="BQW25" s="29"/>
      <c r="BQX25" s="28"/>
      <c r="BQY25" s="29"/>
      <c r="BQZ25" s="30"/>
      <c r="BRA25" s="28"/>
      <c r="BRB25" s="29"/>
      <c r="BRC25" s="29"/>
      <c r="BRD25" s="29"/>
      <c r="BRE25" s="28"/>
      <c r="BRF25" s="29"/>
      <c r="BRG25" s="29"/>
      <c r="BRH25" s="29"/>
      <c r="BRI25" s="29"/>
      <c r="BRJ25" s="29"/>
      <c r="BRK25" s="28"/>
      <c r="BRL25" s="29"/>
      <c r="BRM25" s="29"/>
      <c r="BRN25" s="28"/>
      <c r="BRO25" s="29"/>
      <c r="BRP25" s="30"/>
      <c r="BRQ25" s="28"/>
      <c r="BRR25" s="29"/>
      <c r="BRS25" s="29"/>
      <c r="BRT25" s="29"/>
      <c r="BRU25" s="28"/>
      <c r="BRV25" s="29"/>
      <c r="BRW25" s="29"/>
      <c r="BRX25" s="28"/>
      <c r="BRY25" s="29"/>
      <c r="BRZ25" s="30"/>
      <c r="BSA25" s="28"/>
      <c r="BSB25" s="29"/>
      <c r="BSC25" s="29"/>
      <c r="BSD25" s="29"/>
      <c r="BSE25" s="28"/>
      <c r="BSF25" s="29"/>
      <c r="BSG25" s="29"/>
      <c r="BSH25" s="29"/>
      <c r="BSI25" s="29"/>
      <c r="BSJ25" s="29"/>
      <c r="BSK25" s="28"/>
      <c r="BSL25" s="29"/>
      <c r="BSM25" s="29"/>
      <c r="BSN25" s="28"/>
      <c r="BSO25" s="29"/>
      <c r="BSP25" s="30"/>
      <c r="BSQ25" s="28"/>
      <c r="BSR25" s="29"/>
      <c r="BSS25" s="29"/>
      <c r="BST25" s="29"/>
      <c r="BSU25" s="28"/>
      <c r="BSV25" s="29"/>
      <c r="BSW25" s="29"/>
      <c r="BSX25" s="28"/>
      <c r="BSY25" s="29"/>
      <c r="BSZ25" s="30"/>
      <c r="BTA25" s="28"/>
      <c r="BTB25" s="29"/>
      <c r="BTC25" s="29"/>
      <c r="BTD25" s="29"/>
      <c r="BTE25" s="28"/>
      <c r="BTF25" s="29"/>
      <c r="BTG25" s="29"/>
      <c r="BTH25" s="29"/>
      <c r="BTI25" s="29"/>
      <c r="BTJ25" s="29"/>
      <c r="BTK25" s="28"/>
      <c r="BTL25" s="29"/>
      <c r="BTM25" s="29"/>
      <c r="BTN25" s="28"/>
      <c r="BTO25" s="29"/>
      <c r="BTP25" s="30"/>
      <c r="BTQ25" s="28"/>
      <c r="BTR25" s="29"/>
      <c r="BTS25" s="29"/>
      <c r="BTT25" s="29"/>
      <c r="BTU25" s="28"/>
      <c r="BTV25" s="29"/>
      <c r="BTW25" s="29"/>
      <c r="BTX25" s="28"/>
      <c r="BTY25" s="29"/>
      <c r="BTZ25" s="30"/>
      <c r="BUA25" s="28"/>
      <c r="BUB25" s="29"/>
      <c r="BUC25" s="29"/>
      <c r="BUD25" s="29"/>
      <c r="BUE25" s="28"/>
      <c r="BUF25" s="29"/>
      <c r="BUG25" s="29"/>
      <c r="BUH25" s="29"/>
      <c r="BUI25" s="29"/>
      <c r="BUJ25" s="29"/>
      <c r="BUK25" s="28"/>
      <c r="BUL25" s="29"/>
      <c r="BUM25" s="29"/>
      <c r="BUN25" s="28"/>
      <c r="BUO25" s="29"/>
      <c r="BUP25" s="30"/>
      <c r="BUQ25" s="28"/>
      <c r="BUR25" s="29"/>
      <c r="BUS25" s="29"/>
      <c r="BUT25" s="29"/>
      <c r="BUU25" s="28"/>
      <c r="BUV25" s="29"/>
      <c r="BUW25" s="29"/>
      <c r="BUX25" s="28"/>
      <c r="BUY25" s="29"/>
      <c r="BUZ25" s="30"/>
      <c r="BVA25" s="28"/>
      <c r="BVB25" s="29"/>
      <c r="BVC25" s="29"/>
      <c r="BVD25" s="29"/>
      <c r="BVE25" s="28"/>
      <c r="BVF25" s="29"/>
      <c r="BVG25" s="29"/>
      <c r="BVH25" s="29"/>
      <c r="BVI25" s="29"/>
      <c r="BVJ25" s="29"/>
      <c r="BVK25" s="28"/>
      <c r="BVL25" s="29"/>
      <c r="BVM25" s="29"/>
      <c r="BVN25" s="28"/>
      <c r="BVO25" s="29"/>
      <c r="BVP25" s="30"/>
      <c r="BVQ25" s="28"/>
      <c r="BVR25" s="29"/>
      <c r="BVS25" s="29"/>
      <c r="BVT25" s="29"/>
      <c r="BVU25" s="28"/>
      <c r="BVV25" s="29"/>
      <c r="BVW25" s="29"/>
      <c r="BVX25" s="28"/>
      <c r="BVY25" s="29"/>
      <c r="BVZ25" s="30"/>
      <c r="BWA25" s="28"/>
      <c r="BWB25" s="29"/>
      <c r="BWC25" s="29"/>
      <c r="BWD25" s="29"/>
      <c r="BWE25" s="28"/>
      <c r="BWF25" s="29"/>
      <c r="BWG25" s="29"/>
      <c r="BWH25" s="29"/>
      <c r="BWI25" s="29"/>
      <c r="BWJ25" s="29"/>
      <c r="BWK25" s="28"/>
      <c r="BWL25" s="29"/>
      <c r="BWM25" s="29"/>
      <c r="BWN25" s="28"/>
      <c r="BWO25" s="29"/>
      <c r="BWP25" s="30"/>
      <c r="BWQ25" s="28"/>
      <c r="BWR25" s="29"/>
      <c r="BWS25" s="29"/>
      <c r="BWT25" s="29"/>
      <c r="BWU25" s="28"/>
      <c r="BWV25" s="29"/>
      <c r="BWW25" s="29"/>
      <c r="BWX25" s="28"/>
      <c r="BWY25" s="29"/>
      <c r="BWZ25" s="30"/>
      <c r="BXA25" s="28"/>
      <c r="BXB25" s="29"/>
      <c r="BXC25" s="29"/>
      <c r="BXD25" s="29"/>
      <c r="BXE25" s="28"/>
      <c r="BXF25" s="29"/>
      <c r="BXG25" s="29"/>
      <c r="BXH25" s="29"/>
      <c r="BXI25" s="29"/>
      <c r="BXJ25" s="29"/>
      <c r="BXK25" s="28"/>
      <c r="BXL25" s="29"/>
      <c r="BXM25" s="29"/>
      <c r="BXN25" s="28"/>
      <c r="BXO25" s="29"/>
      <c r="BXP25" s="30"/>
      <c r="BXQ25" s="28"/>
      <c r="BXR25" s="29"/>
      <c r="BXS25" s="29"/>
      <c r="BXT25" s="29"/>
      <c r="BXU25" s="28"/>
      <c r="BXV25" s="29"/>
      <c r="BXW25" s="29"/>
      <c r="BXX25" s="28"/>
      <c r="BXY25" s="29"/>
      <c r="BXZ25" s="30"/>
      <c r="BYA25" s="28"/>
      <c r="BYB25" s="29"/>
      <c r="BYC25" s="29"/>
      <c r="BYD25" s="29"/>
      <c r="BYE25" s="28"/>
      <c r="BYF25" s="29"/>
      <c r="BYG25" s="29"/>
      <c r="BYH25" s="29"/>
      <c r="BYI25" s="29"/>
      <c r="BYJ25" s="29"/>
      <c r="BYK25" s="28"/>
      <c r="BYL25" s="29"/>
      <c r="BYM25" s="29"/>
      <c r="BYN25" s="28"/>
      <c r="BYO25" s="29"/>
      <c r="BYP25" s="30"/>
      <c r="BYQ25" s="28"/>
      <c r="BYR25" s="29"/>
      <c r="BYS25" s="29"/>
      <c r="BYT25" s="29"/>
      <c r="BYU25" s="28"/>
      <c r="BYV25" s="29"/>
      <c r="BYW25" s="29"/>
      <c r="BYX25" s="30"/>
      <c r="BYY25" s="29"/>
      <c r="BYZ25" s="28"/>
      <c r="BZA25" s="29"/>
      <c r="BZB25" s="28"/>
      <c r="BZC25" s="28"/>
      <c r="BZD25" s="28"/>
      <c r="BZE25" s="29"/>
      <c r="BZF25" s="385"/>
      <c r="BZG25" s="29"/>
      <c r="BZH25" s="385"/>
      <c r="BZI25" s="29"/>
      <c r="BZJ25" s="385"/>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30"/>
      <c r="CAQ25" s="28"/>
      <c r="CAR25" s="29"/>
      <c r="CAS25" s="29"/>
      <c r="CAT25" s="29"/>
      <c r="CAU25" s="29"/>
      <c r="CAV25" s="29"/>
      <c r="CAW25" s="28"/>
      <c r="CAX25" s="29"/>
      <c r="CAY25" s="29"/>
      <c r="CAZ25" s="28"/>
      <c r="CBA25" s="29"/>
      <c r="CBB25" s="30"/>
      <c r="CBC25" s="28"/>
      <c r="CBD25" s="29"/>
      <c r="CBE25" s="29"/>
      <c r="CBF25" s="29"/>
      <c r="CBG25" s="28"/>
      <c r="CBH25" s="29"/>
      <c r="CBI25" s="29"/>
      <c r="CBJ25" s="28"/>
      <c r="CBK25" s="29"/>
      <c r="CBL25" s="30"/>
      <c r="CBM25" s="28"/>
      <c r="CBN25" s="29"/>
      <c r="CBO25" s="29"/>
      <c r="CBP25" s="29"/>
      <c r="CBQ25" s="28"/>
      <c r="CBR25" s="29"/>
      <c r="CBS25" s="29"/>
      <c r="CBT25" s="28"/>
      <c r="CBU25" s="29"/>
      <c r="CBV25" s="30"/>
      <c r="CBW25" s="28"/>
      <c r="CBX25" s="29"/>
      <c r="CBY25" s="29"/>
      <c r="CBZ25" s="29"/>
      <c r="CCA25" s="28"/>
      <c r="CCB25" s="29"/>
      <c r="CCC25" s="29"/>
      <c r="CCD25" s="28"/>
      <c r="CCE25" s="29"/>
      <c r="CCF25" s="30"/>
      <c r="CCG25" s="28"/>
      <c r="CCH25" s="30"/>
      <c r="CCI25" s="29"/>
      <c r="CCJ25" s="28"/>
      <c r="CCK25" s="29"/>
      <c r="CCL25" s="28"/>
      <c r="CCM25" s="28"/>
      <c r="CCN25" s="28"/>
      <c r="CCO25" s="29"/>
      <c r="CCP25" s="385"/>
      <c r="CCQ25" s="29"/>
      <c r="CCR25" s="385"/>
      <c r="CCS25" s="29"/>
      <c r="CCT25" s="385"/>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30"/>
      <c r="CEA25" s="28"/>
      <c r="CEB25" s="29"/>
      <c r="CEC25" s="29"/>
      <c r="CED25" s="29"/>
      <c r="CEE25" s="29"/>
      <c r="CEF25" s="29"/>
      <c r="CEG25" s="28"/>
      <c r="CEH25" s="29"/>
      <c r="CEI25" s="29"/>
      <c r="CEJ25" s="28"/>
      <c r="CEK25" s="29"/>
      <c r="CEL25" s="30"/>
      <c r="CEM25" s="28"/>
      <c r="CEN25" s="29"/>
      <c r="CEO25" s="29"/>
      <c r="CEP25" s="29"/>
      <c r="CEQ25" s="28"/>
      <c r="CER25" s="29"/>
      <c r="CES25" s="29"/>
      <c r="CET25" s="28"/>
      <c r="CEU25" s="29"/>
      <c r="CEV25" s="30"/>
      <c r="CEW25" s="28"/>
      <c r="CEX25" s="29"/>
      <c r="CEY25" s="29"/>
      <c r="CEZ25" s="29"/>
      <c r="CFA25" s="28"/>
      <c r="CFB25" s="29"/>
      <c r="CFC25" s="29"/>
      <c r="CFD25" s="28"/>
      <c r="CFE25" s="29"/>
      <c r="CFF25" s="30"/>
      <c r="CFG25" s="28"/>
      <c r="CFH25" s="29"/>
      <c r="CFI25" s="29"/>
      <c r="CFJ25" s="29"/>
      <c r="CFK25" s="28"/>
      <c r="CFL25" s="29"/>
      <c r="CFM25" s="29"/>
      <c r="CFN25" s="28"/>
      <c r="CFO25" s="29"/>
      <c r="CFP25" s="30"/>
      <c r="CFQ25" s="28"/>
      <c r="CFR25" s="30"/>
      <c r="CFS25" s="29"/>
      <c r="CFT25" s="28"/>
      <c r="CFU25" s="29"/>
      <c r="CFV25" s="28"/>
      <c r="CFW25" s="28"/>
      <c r="CFX25" s="28"/>
      <c r="CFY25" s="29"/>
      <c r="CFZ25" s="385"/>
      <c r="CGA25" s="29"/>
      <c r="CGB25" s="385"/>
      <c r="CGC25" s="29"/>
      <c r="CGD25" s="385"/>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30"/>
      <c r="CHK25" s="28"/>
      <c r="CHL25" s="29"/>
      <c r="CHM25" s="29"/>
      <c r="CHN25" s="29"/>
      <c r="CHO25" s="29"/>
      <c r="CHP25" s="29"/>
      <c r="CHQ25" s="28"/>
      <c r="CHR25" s="29"/>
      <c r="CHS25" s="29"/>
      <c r="CHT25" s="28"/>
      <c r="CHU25" s="29"/>
      <c r="CHV25" s="30"/>
      <c r="CHW25" s="28"/>
      <c r="CHX25" s="29"/>
      <c r="CHY25" s="29"/>
      <c r="CHZ25" s="29"/>
      <c r="CIA25" s="28"/>
      <c r="CIB25" s="29"/>
      <c r="CIC25" s="29"/>
      <c r="CID25" s="28"/>
      <c r="CIE25" s="29"/>
      <c r="CIF25" s="30"/>
      <c r="CIG25" s="28"/>
      <c r="CIH25" s="29"/>
      <c r="CII25" s="29"/>
      <c r="CIJ25" s="29"/>
      <c r="CIK25" s="28"/>
      <c r="CIL25" s="29"/>
      <c r="CIM25" s="29"/>
      <c r="CIN25" s="28"/>
      <c r="CIO25" s="29"/>
      <c r="CIP25" s="30"/>
      <c r="CIQ25" s="28"/>
      <c r="CIR25" s="29"/>
      <c r="CIS25" s="29"/>
      <c r="CIT25" s="29"/>
      <c r="CIU25" s="28"/>
      <c r="CIV25" s="29"/>
      <c r="CIW25" s="29"/>
      <c r="CIX25" s="28"/>
      <c r="CIY25" s="29"/>
      <c r="CIZ25" s="30"/>
      <c r="CJA25" s="28"/>
      <c r="CJB25" s="30"/>
      <c r="CJC25" s="29"/>
      <c r="CJD25" s="28"/>
      <c r="CJE25" s="29"/>
      <c r="CJF25" s="28"/>
      <c r="CJG25" s="28"/>
      <c r="CJH25" s="28"/>
      <c r="CJI25" s="29"/>
      <c r="CJJ25" s="385"/>
      <c r="CJK25" s="29"/>
      <c r="CJL25" s="385"/>
      <c r="CJM25" s="29"/>
      <c r="CJN25" s="385"/>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30"/>
      <c r="CKU25" s="28"/>
      <c r="CKV25" s="29"/>
      <c r="CKW25" s="29"/>
      <c r="CKX25" s="29"/>
      <c r="CKY25" s="29"/>
      <c r="CKZ25" s="29"/>
      <c r="CLA25" s="28"/>
      <c r="CLB25" s="29"/>
      <c r="CLC25" s="29"/>
      <c r="CLD25" s="28"/>
      <c r="CLE25" s="29"/>
      <c r="CLF25" s="30"/>
      <c r="CLG25" s="28"/>
      <c r="CLH25" s="29"/>
      <c r="CLI25" s="29"/>
      <c r="CLJ25" s="29"/>
      <c r="CLK25" s="28"/>
      <c r="CLL25" s="29"/>
      <c r="CLM25" s="29"/>
      <c r="CLN25" s="28"/>
      <c r="CLO25" s="29"/>
      <c r="CLP25" s="30"/>
      <c r="CLQ25" s="28"/>
      <c r="CLR25" s="29"/>
      <c r="CLS25" s="29"/>
      <c r="CLT25" s="29"/>
      <c r="CLU25" s="28"/>
      <c r="CLV25" s="29"/>
      <c r="CLW25" s="29"/>
      <c r="CLX25" s="28"/>
      <c r="CLY25" s="29"/>
      <c r="CLZ25" s="30"/>
      <c r="CMA25" s="28"/>
      <c r="CMB25" s="29"/>
      <c r="CMC25" s="29"/>
      <c r="CMD25" s="29"/>
      <c r="CME25" s="28"/>
      <c r="CMF25" s="29"/>
      <c r="CMG25" s="29"/>
      <c r="CMH25" s="28"/>
      <c r="CMI25" s="29"/>
      <c r="CMJ25" s="30"/>
      <c r="CMK25" s="28"/>
      <c r="CML25" s="30"/>
      <c r="CMM25" s="29"/>
      <c r="CMN25" s="28"/>
      <c r="CMO25" s="29"/>
      <c r="CMP25" s="28"/>
      <c r="CMQ25" s="28"/>
      <c r="CMR25" s="28"/>
      <c r="CMS25" s="29"/>
      <c r="CMT25" s="385"/>
      <c r="CMU25" s="29"/>
      <c r="CMV25" s="385"/>
      <c r="CMW25" s="29"/>
      <c r="CMX25" s="385"/>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30"/>
      <c r="COE25" s="28"/>
      <c r="COF25" s="29"/>
      <c r="COG25" s="29"/>
      <c r="COH25" s="29"/>
      <c r="COI25" s="29"/>
      <c r="COJ25" s="29"/>
      <c r="COK25" s="28"/>
      <c r="COL25" s="29"/>
      <c r="COM25" s="29"/>
      <c r="CON25" s="28"/>
      <c r="COO25" s="29"/>
      <c r="COP25" s="30"/>
      <c r="COQ25" s="28"/>
      <c r="COR25" s="29"/>
      <c r="COS25" s="29"/>
      <c r="COT25" s="29"/>
      <c r="COU25" s="28"/>
      <c r="COV25" s="29"/>
      <c r="COW25" s="29"/>
      <c r="COX25" s="28"/>
      <c r="COY25" s="29"/>
      <c r="COZ25" s="30"/>
      <c r="CPA25" s="28"/>
      <c r="CPB25" s="29"/>
      <c r="CPC25" s="29"/>
      <c r="CPD25" s="29"/>
      <c r="CPE25" s="28"/>
      <c r="CPF25" s="29"/>
      <c r="CPG25" s="29"/>
      <c r="CPH25" s="28"/>
      <c r="CPI25" s="29"/>
      <c r="CPJ25" s="30"/>
      <c r="CPK25" s="28"/>
      <c r="CPL25" s="29"/>
      <c r="CPM25" s="29"/>
      <c r="CPN25" s="29"/>
      <c r="CPO25" s="28"/>
      <c r="CPP25" s="29"/>
      <c r="CPQ25" s="29"/>
      <c r="CPR25" s="28"/>
      <c r="CPS25" s="29"/>
      <c r="CPT25" s="30"/>
      <c r="CPU25" s="28"/>
      <c r="CPV25" s="30"/>
      <c r="CPW25" s="29"/>
      <c r="CPX25" s="28"/>
      <c r="CPY25" s="29"/>
      <c r="CPZ25" s="28"/>
      <c r="CQA25" s="28"/>
      <c r="CQB25" s="28"/>
      <c r="CQC25" s="29"/>
      <c r="CQD25" s="385"/>
      <c r="CQE25" s="29"/>
      <c r="CQF25" s="385"/>
      <c r="CQG25" s="29"/>
      <c r="CQH25" s="385"/>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30"/>
      <c r="CRO25" s="28"/>
      <c r="CRP25" s="29"/>
      <c r="CRQ25" s="29"/>
      <c r="CRR25" s="29"/>
      <c r="CRS25" s="29"/>
      <c r="CRT25" s="29"/>
      <c r="CRU25" s="28"/>
      <c r="CRV25" s="29"/>
      <c r="CRW25" s="29"/>
      <c r="CRX25" s="28"/>
      <c r="CRY25" s="29"/>
      <c r="CRZ25" s="30"/>
      <c r="CSA25" s="28"/>
      <c r="CSB25" s="29"/>
      <c r="CSC25" s="29"/>
      <c r="CSD25" s="29"/>
      <c r="CSE25" s="28"/>
      <c r="CSF25" s="29"/>
      <c r="CSG25" s="29"/>
      <c r="CSH25" s="28"/>
      <c r="CSI25" s="29"/>
      <c r="CSJ25" s="30"/>
      <c r="CSK25" s="28"/>
      <c r="CSL25" s="29"/>
      <c r="CSM25" s="29"/>
      <c r="CSN25" s="29"/>
      <c r="CSO25" s="28"/>
      <c r="CSP25" s="29"/>
      <c r="CSQ25" s="29"/>
      <c r="CSR25" s="28"/>
      <c r="CSS25" s="29"/>
      <c r="CST25" s="30"/>
      <c r="CSU25" s="28"/>
      <c r="CSV25" s="29"/>
      <c r="CSW25" s="29"/>
      <c r="CSX25" s="29"/>
      <c r="CSY25" s="28"/>
      <c r="CSZ25" s="29"/>
      <c r="CTA25" s="29"/>
      <c r="CTB25" s="28"/>
      <c r="CTC25" s="29"/>
      <c r="CTD25" s="30"/>
      <c r="CTE25" s="28"/>
      <c r="CTF25" s="30"/>
      <c r="CTG25" s="29"/>
      <c r="CTH25" s="28"/>
      <c r="CTI25" s="29"/>
      <c r="CTJ25" s="28"/>
      <c r="CTK25" s="28"/>
      <c r="CTL25" s="28"/>
      <c r="CTM25" s="29"/>
      <c r="CTN25" s="385"/>
      <c r="CTO25" s="29"/>
      <c r="CTP25" s="385"/>
      <c r="CTQ25" s="29"/>
      <c r="CTR25" s="385"/>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30"/>
      <c r="CUY25" s="28"/>
      <c r="CUZ25" s="29"/>
      <c r="CVA25" s="29"/>
      <c r="CVB25" s="29"/>
      <c r="CVC25" s="29"/>
      <c r="CVD25" s="29"/>
      <c r="CVE25" s="28"/>
      <c r="CVF25" s="29"/>
      <c r="CVG25" s="29"/>
      <c r="CVH25" s="28"/>
      <c r="CVI25" s="29"/>
      <c r="CVJ25" s="30"/>
      <c r="CVK25" s="28"/>
      <c r="CVL25" s="29"/>
      <c r="CVM25" s="29"/>
      <c r="CVN25" s="29"/>
      <c r="CVO25" s="28"/>
      <c r="CVP25" s="29"/>
      <c r="CVQ25" s="29"/>
      <c r="CVR25" s="28"/>
      <c r="CVS25" s="29"/>
      <c r="CVT25" s="30"/>
      <c r="CVU25" s="28"/>
      <c r="CVV25" s="29"/>
      <c r="CVW25" s="29"/>
      <c r="CVX25" s="29"/>
      <c r="CVY25" s="28"/>
      <c r="CVZ25" s="29"/>
      <c r="CWA25" s="29"/>
      <c r="CWB25" s="28"/>
      <c r="CWC25" s="29"/>
      <c r="CWD25" s="30"/>
      <c r="CWE25" s="28"/>
      <c r="CWF25" s="29"/>
      <c r="CWG25" s="29"/>
      <c r="CWH25" s="29"/>
      <c r="CWI25" s="28"/>
      <c r="CWJ25" s="29"/>
      <c r="CWK25" s="29"/>
      <c r="CWL25" s="28"/>
      <c r="CWM25" s="29"/>
      <c r="CWN25" s="30"/>
      <c r="CWO25" s="28"/>
      <c r="CWP25" s="30"/>
      <c r="CWQ25" s="29"/>
      <c r="CWR25" s="28"/>
      <c r="CWS25" s="29"/>
      <c r="CWT25" s="28"/>
      <c r="CWU25" s="28"/>
      <c r="CWV25" s="28"/>
      <c r="CWW25" s="29"/>
      <c r="CWX25" s="385"/>
      <c r="CWY25" s="29"/>
      <c r="CWZ25" s="385"/>
      <c r="CXA25" s="29"/>
      <c r="CXB25" s="385"/>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30"/>
      <c r="CYI25" s="28"/>
      <c r="CYJ25" s="29"/>
      <c r="CYK25" s="29"/>
      <c r="CYL25" s="29"/>
      <c r="CYM25" s="29"/>
      <c r="CYN25" s="29"/>
      <c r="CYO25" s="28"/>
      <c r="CYP25" s="29"/>
      <c r="CYQ25" s="29"/>
      <c r="CYR25" s="28"/>
      <c r="CYS25" s="29"/>
      <c r="CYT25" s="30"/>
      <c r="CYU25" s="28"/>
      <c r="CYV25" s="29"/>
      <c r="CYW25" s="29"/>
      <c r="CYX25" s="29"/>
      <c r="CYY25" s="28"/>
      <c r="CYZ25" s="29"/>
      <c r="CZA25" s="29"/>
      <c r="CZB25" s="28"/>
      <c r="CZC25" s="29"/>
      <c r="CZD25" s="30"/>
      <c r="CZE25" s="28"/>
      <c r="CZF25" s="29"/>
      <c r="CZG25" s="29"/>
      <c r="CZH25" s="29"/>
      <c r="CZI25" s="28"/>
      <c r="CZJ25" s="29"/>
      <c r="CZK25" s="29"/>
      <c r="CZL25" s="28"/>
      <c r="CZM25" s="29"/>
      <c r="CZN25" s="30"/>
      <c r="CZO25" s="28"/>
      <c r="CZP25" s="29"/>
      <c r="CZQ25" s="29"/>
      <c r="CZR25" s="29"/>
      <c r="CZS25" s="28"/>
      <c r="CZT25" s="29"/>
      <c r="CZU25" s="29"/>
      <c r="CZV25" s="28"/>
      <c r="CZW25" s="29"/>
      <c r="CZX25" s="30"/>
      <c r="CZY25" s="28"/>
      <c r="CZZ25" s="30"/>
      <c r="DAA25" s="29"/>
      <c r="DAB25" s="28"/>
      <c r="DAC25" s="29"/>
      <c r="DAD25" s="28"/>
      <c r="DAE25" s="28"/>
      <c r="DAF25" s="28"/>
      <c r="DAG25" s="29"/>
      <c r="DAH25" s="385"/>
      <c r="DAI25" s="29"/>
      <c r="DAJ25" s="385"/>
      <c r="DAK25" s="29"/>
      <c r="DAL25" s="385"/>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30"/>
      <c r="DBS25" s="28"/>
      <c r="DBT25" s="29"/>
      <c r="DBU25" s="29"/>
      <c r="DBV25" s="29"/>
      <c r="DBW25" s="29"/>
      <c r="DBX25" s="29"/>
      <c r="DBY25" s="28"/>
      <c r="DBZ25" s="29"/>
      <c r="DCA25" s="29"/>
      <c r="DCB25" s="28"/>
      <c r="DCC25" s="29"/>
      <c r="DCD25" s="30"/>
      <c r="DCE25" s="28"/>
      <c r="DCF25" s="29"/>
      <c r="DCG25" s="29"/>
      <c r="DCH25" s="29"/>
      <c r="DCI25" s="28"/>
      <c r="DCJ25" s="29"/>
      <c r="DCK25" s="29"/>
      <c r="DCL25" s="28"/>
      <c r="DCM25" s="29"/>
      <c r="DCN25" s="30"/>
      <c r="DCO25" s="28"/>
      <c r="DCP25" s="29"/>
      <c r="DCQ25" s="29"/>
      <c r="DCR25" s="29"/>
      <c r="DCS25" s="28"/>
      <c r="DCT25" s="29"/>
      <c r="DCU25" s="29"/>
      <c r="DCV25" s="28"/>
      <c r="DCW25" s="29"/>
      <c r="DCX25" s="30"/>
      <c r="DCY25" s="28"/>
      <c r="DCZ25" s="29"/>
      <c r="DDA25" s="29"/>
      <c r="DDB25" s="29"/>
      <c r="DDC25" s="28"/>
      <c r="DDD25" s="29"/>
      <c r="DDE25" s="29"/>
      <c r="DDF25" s="28"/>
      <c r="DDG25" s="29"/>
      <c r="DDH25" s="30"/>
      <c r="DDI25" s="28"/>
      <c r="DDJ25" s="30"/>
      <c r="DDK25" s="29"/>
      <c r="DDL25" s="28"/>
      <c r="DDM25" s="29"/>
      <c r="DDN25" s="28"/>
      <c r="DDO25" s="28"/>
      <c r="DDP25" s="28"/>
      <c r="DDQ25" s="29"/>
      <c r="DDR25" s="385"/>
      <c r="DDS25" s="29"/>
      <c r="DDT25" s="385"/>
      <c r="DDU25" s="29"/>
      <c r="DDV25" s="385"/>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30"/>
      <c r="DFC25" s="28"/>
      <c r="DFD25" s="29"/>
      <c r="DFE25" s="29"/>
      <c r="DFF25" s="29"/>
      <c r="DFG25" s="29"/>
      <c r="DFH25" s="29"/>
      <c r="DFI25" s="28"/>
      <c r="DFJ25" s="29"/>
      <c r="DFK25" s="29"/>
      <c r="DFL25" s="28"/>
      <c r="DFM25" s="29"/>
      <c r="DFN25" s="30"/>
      <c r="DFO25" s="28"/>
      <c r="DFP25" s="29"/>
      <c r="DFQ25" s="29"/>
      <c r="DFR25" s="29"/>
      <c r="DFS25" s="28"/>
      <c r="DFT25" s="29"/>
      <c r="DFU25" s="29"/>
      <c r="DFV25" s="28"/>
      <c r="DFW25" s="29"/>
      <c r="DFX25" s="30"/>
      <c r="DFY25" s="28"/>
      <c r="DFZ25" s="29"/>
      <c r="DGA25" s="29"/>
      <c r="DGB25" s="29"/>
      <c r="DGC25" s="28"/>
      <c r="DGD25" s="29"/>
      <c r="DGE25" s="29"/>
      <c r="DGF25" s="28"/>
      <c r="DGG25" s="29"/>
      <c r="DGH25" s="30"/>
      <c r="DGI25" s="28"/>
      <c r="DGJ25" s="29"/>
      <c r="DGK25" s="29"/>
      <c r="DGL25" s="29"/>
      <c r="DGM25" s="28"/>
      <c r="DGN25" s="29"/>
      <c r="DGO25" s="29"/>
      <c r="DGP25" s="28"/>
      <c r="DGQ25" s="29"/>
      <c r="DGR25" s="30"/>
      <c r="DGS25" s="28"/>
      <c r="DGT25" s="30"/>
      <c r="DGU25" s="29"/>
      <c r="DGV25" s="28"/>
      <c r="DGW25" s="29"/>
      <c r="DGX25" s="28"/>
      <c r="DGY25" s="28"/>
      <c r="DGZ25" s="28"/>
      <c r="DHA25" s="29"/>
      <c r="DHB25" s="385"/>
      <c r="DHC25" s="29"/>
      <c r="DHD25" s="385"/>
      <c r="DHE25" s="29"/>
      <c r="DHF25" s="385"/>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30"/>
      <c r="DIM25" s="28"/>
      <c r="DIN25" s="29"/>
      <c r="DIO25" s="29"/>
      <c r="DIP25" s="29"/>
      <c r="DIQ25" s="29"/>
      <c r="DIR25" s="29"/>
      <c r="DIS25" s="28"/>
      <c r="DIT25" s="29"/>
      <c r="DIU25" s="29"/>
      <c r="DIV25" s="28"/>
      <c r="DIW25" s="29"/>
      <c r="DIX25" s="30"/>
      <c r="DIY25" s="28"/>
      <c r="DIZ25" s="29"/>
      <c r="DJA25" s="29"/>
      <c r="DJB25" s="29"/>
      <c r="DJC25" s="28"/>
      <c r="DJD25" s="29"/>
      <c r="DJE25" s="29"/>
      <c r="DJF25" s="28"/>
      <c r="DJG25" s="29"/>
      <c r="DJH25" s="30"/>
      <c r="DJI25" s="28"/>
      <c r="DJJ25" s="29"/>
      <c r="DJK25" s="29"/>
      <c r="DJL25" s="29"/>
      <c r="DJM25" s="28"/>
      <c r="DJN25" s="29"/>
      <c r="DJO25" s="29"/>
      <c r="DJP25" s="28"/>
      <c r="DJQ25" s="29"/>
      <c r="DJR25" s="30"/>
      <c r="DJS25" s="28"/>
      <c r="DJT25" s="29"/>
      <c r="DJU25" s="29"/>
      <c r="DJV25" s="29"/>
      <c r="DJW25" s="28"/>
      <c r="DJX25" s="29"/>
      <c r="DJY25" s="29"/>
      <c r="DJZ25" s="28"/>
      <c r="DKA25" s="29"/>
      <c r="DKB25" s="30"/>
      <c r="DKC25" s="28"/>
      <c r="DKD25" s="30"/>
      <c r="DKE25" s="29"/>
      <c r="DKF25" s="28"/>
      <c r="DKG25" s="29"/>
      <c r="DKH25" s="28"/>
      <c r="DKI25" s="28"/>
      <c r="DKJ25" s="28"/>
      <c r="DKK25" s="29"/>
      <c r="DKL25" s="385"/>
      <c r="DKM25" s="29"/>
      <c r="DKN25" s="385"/>
      <c r="DKO25" s="29"/>
      <c r="DKP25" s="385"/>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30"/>
      <c r="DLW25" s="28"/>
      <c r="DLX25" s="29"/>
      <c r="DLY25" s="29"/>
      <c r="DLZ25" s="29"/>
      <c r="DMA25" s="29"/>
      <c r="DMB25" s="29"/>
      <c r="DMC25" s="28"/>
      <c r="DMD25" s="29"/>
      <c r="DME25" s="29"/>
      <c r="DMF25" s="28"/>
      <c r="DMG25" s="29"/>
      <c r="DMH25" s="30"/>
      <c r="DMI25" s="28"/>
      <c r="DMJ25" s="29"/>
      <c r="DMK25" s="29"/>
      <c r="DML25" s="29"/>
      <c r="DMM25" s="28"/>
      <c r="DMN25" s="29"/>
      <c r="DMO25" s="29"/>
      <c r="DMP25" s="28"/>
      <c r="DMQ25" s="29"/>
      <c r="DMR25" s="30"/>
      <c r="DMS25" s="28"/>
      <c r="DMT25" s="29"/>
      <c r="DMU25" s="29"/>
      <c r="DMV25" s="29"/>
      <c r="DMW25" s="28"/>
      <c r="DMX25" s="29"/>
      <c r="DMY25" s="29"/>
      <c r="DMZ25" s="28"/>
      <c r="DNA25" s="29"/>
      <c r="DNB25" s="30"/>
      <c r="DNC25" s="28"/>
      <c r="DND25" s="29"/>
      <c r="DNE25" s="29"/>
      <c r="DNF25" s="29"/>
      <c r="DNG25" s="28"/>
      <c r="DNH25" s="29"/>
      <c r="DNI25" s="29"/>
      <c r="DNJ25" s="28"/>
      <c r="DNK25" s="29"/>
      <c r="DNL25" s="30"/>
      <c r="DNM25" s="28"/>
      <c r="DNN25" s="30"/>
      <c r="DNO25" s="29"/>
      <c r="DNP25" s="28"/>
      <c r="DNQ25" s="29"/>
      <c r="DNR25" s="28"/>
      <c r="DNS25" s="28"/>
      <c r="DNT25" s="28"/>
      <c r="DNU25" s="29"/>
      <c r="DNV25" s="385"/>
      <c r="DNW25" s="29"/>
      <c r="DNX25" s="385"/>
      <c r="DNY25" s="29"/>
      <c r="DNZ25" s="385"/>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30"/>
      <c r="DPG25" s="28"/>
      <c r="DPH25" s="29"/>
      <c r="DPI25" s="29"/>
      <c r="DPJ25" s="29"/>
      <c r="DPK25" s="29"/>
      <c r="DPL25" s="29"/>
      <c r="DPM25" s="28"/>
      <c r="DPN25" s="29"/>
      <c r="DPO25" s="29"/>
      <c r="DPP25" s="28"/>
      <c r="DPQ25" s="29"/>
      <c r="DPR25" s="30"/>
      <c r="DPS25" s="28"/>
      <c r="DPT25" s="29"/>
      <c r="DPU25" s="29"/>
      <c r="DPV25" s="29"/>
      <c r="DPW25" s="28"/>
      <c r="DPX25" s="29"/>
      <c r="DPY25" s="29"/>
      <c r="DPZ25" s="28"/>
      <c r="DQA25" s="29"/>
      <c r="DQB25" s="30"/>
      <c r="DQC25" s="28"/>
      <c r="DQD25" s="29"/>
      <c r="DQE25" s="29"/>
      <c r="DQF25" s="29"/>
      <c r="DQG25" s="28"/>
      <c r="DQH25" s="29"/>
      <c r="DQI25" s="29"/>
      <c r="DQJ25" s="28"/>
      <c r="DQK25" s="29"/>
      <c r="DQL25" s="30"/>
      <c r="DQM25" s="28"/>
      <c r="DQN25" s="29"/>
      <c r="DQO25" s="29"/>
      <c r="DQP25" s="29"/>
      <c r="DQQ25" s="28"/>
      <c r="DQR25" s="29"/>
      <c r="DQS25" s="29"/>
      <c r="DQT25" s="28"/>
      <c r="DQU25" s="29"/>
      <c r="DQV25" s="30"/>
      <c r="DQW25" s="28"/>
      <c r="DQX25" s="30"/>
      <c r="DQY25" s="29"/>
      <c r="DQZ25" s="28"/>
      <c r="DRA25" s="29"/>
      <c r="DRB25" s="28"/>
      <c r="DRC25" s="28"/>
      <c r="DRD25" s="28"/>
      <c r="DRE25" s="29"/>
      <c r="DRF25" s="385"/>
      <c r="DRG25" s="29"/>
      <c r="DRH25" s="385"/>
      <c r="DRI25" s="29"/>
      <c r="DRJ25" s="385"/>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30"/>
      <c r="DSQ25" s="28"/>
      <c r="DSR25" s="29"/>
      <c r="DSS25" s="29"/>
      <c r="DST25" s="29"/>
      <c r="DSU25" s="29"/>
      <c r="DSV25" s="29"/>
      <c r="DSW25" s="28"/>
      <c r="DSX25" s="29"/>
      <c r="DSY25" s="29"/>
      <c r="DSZ25" s="28"/>
      <c r="DTA25" s="29"/>
      <c r="DTB25" s="30"/>
      <c r="DTC25" s="28"/>
      <c r="DTD25" s="29"/>
      <c r="DTE25" s="29"/>
      <c r="DTF25" s="29"/>
      <c r="DTG25" s="28"/>
      <c r="DTH25" s="29"/>
      <c r="DTI25" s="29"/>
      <c r="DTJ25" s="28"/>
      <c r="DTK25" s="29"/>
      <c r="DTL25" s="30"/>
      <c r="DTM25" s="28"/>
      <c r="DTN25" s="29"/>
      <c r="DTO25" s="29"/>
      <c r="DTP25" s="29"/>
      <c r="DTQ25" s="28"/>
      <c r="DTR25" s="29"/>
      <c r="DTS25" s="29"/>
      <c r="DTT25" s="28"/>
      <c r="DTU25" s="29"/>
      <c r="DTV25" s="30"/>
      <c r="DTW25" s="28"/>
      <c r="DTX25" s="29"/>
      <c r="DTY25" s="29"/>
      <c r="DTZ25" s="29"/>
      <c r="DUA25" s="28"/>
      <c r="DUB25" s="29"/>
      <c r="DUC25" s="29"/>
      <c r="DUD25" s="28"/>
      <c r="DUE25" s="29"/>
      <c r="DUF25" s="30"/>
      <c r="DUG25" s="28"/>
      <c r="DUH25" s="30"/>
      <c r="DUI25" s="29"/>
      <c r="DUJ25" s="28"/>
      <c r="DUK25" s="29"/>
      <c r="DUL25" s="28"/>
      <c r="DUM25" s="28"/>
      <c r="DUN25" s="28"/>
      <c r="DUO25" s="29"/>
      <c r="DUP25" s="385"/>
      <c r="DUQ25" s="29"/>
      <c r="DUR25" s="385"/>
      <c r="DUS25" s="29"/>
      <c r="DUT25" s="385"/>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30"/>
      <c r="DWA25" s="28"/>
      <c r="DWB25" s="29"/>
      <c r="DWC25" s="29"/>
      <c r="DWD25" s="29"/>
      <c r="DWE25" s="29"/>
      <c r="DWF25" s="29"/>
      <c r="DWG25" s="28"/>
      <c r="DWH25" s="29"/>
      <c r="DWI25" s="29"/>
      <c r="DWJ25" s="28"/>
      <c r="DWK25" s="29"/>
      <c r="DWL25" s="30"/>
      <c r="DWM25" s="28"/>
      <c r="DWN25" s="29"/>
      <c r="DWO25" s="29"/>
      <c r="DWP25" s="29"/>
      <c r="DWQ25" s="28"/>
      <c r="DWR25" s="29"/>
      <c r="DWS25" s="29"/>
      <c r="DWT25" s="28"/>
      <c r="DWU25" s="29"/>
      <c r="DWV25" s="30"/>
      <c r="DWW25" s="28"/>
      <c r="DWX25" s="29"/>
      <c r="DWY25" s="29"/>
      <c r="DWZ25" s="29"/>
      <c r="DXA25" s="28"/>
      <c r="DXB25" s="29"/>
      <c r="DXC25" s="29"/>
      <c r="DXD25" s="28"/>
      <c r="DXE25" s="29"/>
      <c r="DXF25" s="30"/>
      <c r="DXG25" s="28"/>
      <c r="DXH25" s="29"/>
      <c r="DXI25" s="29"/>
      <c r="DXJ25" s="29"/>
      <c r="DXK25" s="28"/>
      <c r="DXL25" s="29"/>
      <c r="DXM25" s="29"/>
      <c r="DXN25" s="28"/>
      <c r="DXO25" s="29"/>
      <c r="DXP25" s="30"/>
      <c r="DXQ25" s="28"/>
      <c r="DXR25" s="30"/>
      <c r="DXS25" s="29"/>
      <c r="DXT25" s="28"/>
      <c r="DXU25" s="29"/>
      <c r="DXV25" s="28"/>
      <c r="DXW25" s="28"/>
      <c r="DXX25" s="28"/>
      <c r="DXY25" s="29"/>
      <c r="DXZ25" s="385"/>
      <c r="DYA25" s="29"/>
      <c r="DYB25" s="385"/>
      <c r="DYC25" s="29"/>
      <c r="DYD25" s="385"/>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30"/>
      <c r="DZK25" s="28"/>
      <c r="DZL25" s="29"/>
      <c r="DZM25" s="29"/>
      <c r="DZN25" s="29"/>
      <c r="DZO25" s="29"/>
      <c r="DZP25" s="29"/>
      <c r="DZQ25" s="28"/>
      <c r="DZR25" s="29"/>
      <c r="DZS25" s="29"/>
      <c r="DZT25" s="28"/>
      <c r="DZU25" s="29"/>
      <c r="DZV25" s="30"/>
      <c r="DZW25" s="28"/>
      <c r="DZX25" s="29"/>
      <c r="DZY25" s="29"/>
      <c r="DZZ25" s="29"/>
      <c r="EAA25" s="28"/>
      <c r="EAB25" s="29"/>
      <c r="EAC25" s="29"/>
      <c r="EAD25" s="28"/>
      <c r="EAE25" s="29"/>
      <c r="EAF25" s="30"/>
      <c r="EAG25" s="28"/>
      <c r="EAH25" s="29"/>
      <c r="EAI25" s="29"/>
      <c r="EAJ25" s="29"/>
      <c r="EAK25" s="28"/>
      <c r="EAL25" s="29"/>
      <c r="EAM25" s="29"/>
      <c r="EAN25" s="28"/>
      <c r="EAO25" s="29"/>
      <c r="EAP25" s="30"/>
      <c r="EAQ25" s="28"/>
      <c r="EAR25" s="29"/>
      <c r="EAS25" s="29"/>
      <c r="EAT25" s="29"/>
      <c r="EAU25" s="28"/>
      <c r="EAV25" s="29"/>
      <c r="EAW25" s="29"/>
      <c r="EAX25" s="28"/>
      <c r="EAY25" s="29"/>
      <c r="EAZ25" s="30"/>
      <c r="EBA25" s="28"/>
      <c r="EBB25" s="30"/>
      <c r="EBC25" s="29"/>
      <c r="EBD25" s="28"/>
      <c r="EBE25" s="29"/>
      <c r="EBF25" s="28"/>
      <c r="EBG25" s="28"/>
      <c r="EBH25" s="28"/>
      <c r="EBI25" s="29"/>
      <c r="EBJ25" s="385"/>
      <c r="EBK25" s="29"/>
      <c r="EBL25" s="385"/>
      <c r="EBM25" s="29"/>
      <c r="EBN25" s="385"/>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30"/>
      <c r="ECU25" s="28"/>
      <c r="ECV25" s="29"/>
      <c r="ECW25" s="29"/>
      <c r="ECX25" s="29"/>
      <c r="ECY25" s="29"/>
      <c r="ECZ25" s="29"/>
      <c r="EDA25" s="28"/>
      <c r="EDB25" s="29"/>
      <c r="EDC25" s="29"/>
      <c r="EDD25" s="28"/>
      <c r="EDE25" s="29"/>
      <c r="EDF25" s="30"/>
      <c r="EDG25" s="28"/>
      <c r="EDH25" s="29"/>
      <c r="EDI25" s="29"/>
      <c r="EDJ25" s="29"/>
      <c r="EDK25" s="28"/>
      <c r="EDL25" s="29"/>
      <c r="EDM25" s="29"/>
      <c r="EDN25" s="28"/>
      <c r="EDO25" s="29"/>
      <c r="EDP25" s="30"/>
      <c r="EDQ25" s="28"/>
      <c r="EDR25" s="29"/>
      <c r="EDS25" s="29"/>
      <c r="EDT25" s="29"/>
      <c r="EDU25" s="28"/>
      <c r="EDV25" s="29"/>
      <c r="EDW25" s="29"/>
      <c r="EDX25" s="28"/>
      <c r="EDY25" s="29"/>
      <c r="EDZ25" s="30"/>
      <c r="EEA25" s="28"/>
      <c r="EEB25" s="29"/>
      <c r="EEC25" s="29"/>
      <c r="EED25" s="29"/>
      <c r="EEE25" s="28"/>
      <c r="EEF25" s="29"/>
      <c r="EEG25" s="29"/>
      <c r="EEH25" s="28"/>
      <c r="EEI25" s="29"/>
      <c r="EEJ25" s="30"/>
      <c r="EEK25" s="28"/>
      <c r="EEL25" s="30"/>
      <c r="EEM25" s="29"/>
      <c r="EEN25" s="28"/>
      <c r="EEO25" s="29"/>
      <c r="EEP25" s="28"/>
      <c r="EEQ25" s="28"/>
      <c r="EER25" s="28"/>
      <c r="EES25" s="29"/>
      <c r="EET25" s="385"/>
      <c r="EEU25" s="29"/>
      <c r="EEV25" s="385"/>
      <c r="EEW25" s="29"/>
      <c r="EEX25" s="385"/>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30"/>
      <c r="EGE25" s="28"/>
      <c r="EGF25" s="29"/>
      <c r="EGG25" s="29"/>
      <c r="EGH25" s="29"/>
      <c r="EGI25" s="29"/>
      <c r="EGJ25" s="29"/>
      <c r="EGK25" s="28"/>
      <c r="EGL25" s="29"/>
      <c r="EGM25" s="29"/>
      <c r="EGN25" s="28"/>
      <c r="EGO25" s="29"/>
      <c r="EGP25" s="30"/>
      <c r="EGQ25" s="28"/>
      <c r="EGR25" s="29"/>
      <c r="EGS25" s="29"/>
      <c r="EGT25" s="29"/>
      <c r="EGU25" s="28"/>
      <c r="EGV25" s="29"/>
      <c r="EGW25" s="29"/>
      <c r="EGX25" s="28"/>
      <c r="EGY25" s="29"/>
      <c r="EGZ25" s="30"/>
      <c r="EHA25" s="28"/>
      <c r="EHB25" s="29"/>
      <c r="EHC25" s="29"/>
      <c r="EHD25" s="29"/>
      <c r="EHE25" s="28"/>
      <c r="EHF25" s="29"/>
      <c r="EHG25" s="29"/>
      <c r="EHH25" s="28"/>
      <c r="EHI25" s="29"/>
      <c r="EHJ25" s="30"/>
      <c r="EHK25" s="28"/>
      <c r="EHL25" s="29"/>
      <c r="EHM25" s="29"/>
      <c r="EHN25" s="29"/>
      <c r="EHO25" s="28"/>
      <c r="EHP25" s="29"/>
      <c r="EHQ25" s="29"/>
      <c r="EHR25" s="28"/>
      <c r="EHS25" s="29"/>
      <c r="EHT25" s="30"/>
      <c r="EHU25" s="28"/>
      <c r="EHV25" s="30"/>
      <c r="EHW25" s="29"/>
      <c r="EHX25" s="28"/>
      <c r="EHY25" s="29"/>
      <c r="EHZ25" s="28"/>
      <c r="EIA25" s="28"/>
      <c r="EIB25" s="28"/>
      <c r="EIC25" s="29"/>
      <c r="EID25" s="385"/>
      <c r="EIE25" s="29"/>
      <c r="EIF25" s="385"/>
      <c r="EIG25" s="29"/>
      <c r="EIH25" s="385"/>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30"/>
      <c r="EJO25" s="28"/>
      <c r="EJP25" s="29"/>
      <c r="EJQ25" s="29"/>
      <c r="EJR25" s="29"/>
      <c r="EJS25" s="29"/>
      <c r="EJT25" s="29"/>
      <c r="EJU25" s="28"/>
      <c r="EJV25" s="29"/>
      <c r="EJW25" s="29"/>
      <c r="EJX25" s="28"/>
      <c r="EJY25" s="29"/>
      <c r="EJZ25" s="30"/>
      <c r="EKA25" s="28"/>
      <c r="EKB25" s="29"/>
      <c r="EKC25" s="29"/>
      <c r="EKD25" s="29"/>
      <c r="EKE25" s="28"/>
      <c r="EKF25" s="29"/>
      <c r="EKG25" s="29"/>
      <c r="EKH25" s="28"/>
      <c r="EKI25" s="29"/>
      <c r="EKJ25" s="30"/>
      <c r="EKK25" s="28"/>
      <c r="EKL25" s="29"/>
      <c r="EKM25" s="29"/>
      <c r="EKN25" s="29"/>
      <c r="EKO25" s="28"/>
      <c r="EKP25" s="29"/>
      <c r="EKQ25" s="29"/>
      <c r="EKR25" s="28"/>
      <c r="EKS25" s="29"/>
      <c r="EKT25" s="30"/>
      <c r="EKU25" s="28"/>
      <c r="EKV25" s="29"/>
      <c r="EKW25" s="29"/>
      <c r="EKX25" s="29"/>
      <c r="EKY25" s="28"/>
      <c r="EKZ25" s="29"/>
      <c r="ELA25" s="29"/>
      <c r="ELB25" s="28"/>
      <c r="ELC25" s="29"/>
      <c r="ELD25" s="30"/>
      <c r="ELE25" s="28"/>
      <c r="ELF25" s="30"/>
      <c r="ELG25" s="29"/>
      <c r="ELH25" s="28"/>
      <c r="ELI25" s="29"/>
      <c r="ELJ25" s="28"/>
      <c r="ELK25" s="28"/>
      <c r="ELL25" s="28"/>
      <c r="ELM25" s="29"/>
      <c r="ELN25" s="385"/>
      <c r="ELO25" s="29"/>
      <c r="ELP25" s="385"/>
      <c r="ELQ25" s="29"/>
      <c r="ELR25" s="385"/>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30"/>
      <c r="EMY25" s="28"/>
      <c r="EMZ25" s="29"/>
      <c r="ENA25" s="29"/>
      <c r="ENB25" s="29"/>
      <c r="ENC25" s="29"/>
      <c r="END25" s="29"/>
      <c r="ENE25" s="28"/>
      <c r="ENF25" s="29"/>
      <c r="ENG25" s="29"/>
      <c r="ENH25" s="28"/>
      <c r="ENI25" s="29"/>
      <c r="ENJ25" s="30"/>
      <c r="ENK25" s="28"/>
      <c r="ENL25" s="29"/>
      <c r="ENM25" s="29"/>
      <c r="ENN25" s="29"/>
      <c r="ENO25" s="28"/>
      <c r="ENP25" s="29"/>
      <c r="ENQ25" s="29"/>
      <c r="ENR25" s="28"/>
      <c r="ENS25" s="29"/>
      <c r="ENT25" s="30"/>
      <c r="ENU25" s="28"/>
      <c r="ENV25" s="29"/>
      <c r="ENW25" s="29"/>
      <c r="ENX25" s="29"/>
      <c r="ENY25" s="28"/>
      <c r="ENZ25" s="29"/>
      <c r="EOA25" s="29"/>
      <c r="EOB25" s="28"/>
      <c r="EOC25" s="29"/>
      <c r="EOD25" s="30"/>
      <c r="EOE25" s="28"/>
      <c r="EOF25" s="29"/>
      <c r="EOG25" s="29"/>
      <c r="EOH25" s="29"/>
      <c r="EOI25" s="28"/>
      <c r="EOJ25" s="29"/>
      <c r="EOK25" s="29"/>
      <c r="EOL25" s="28"/>
      <c r="EOM25" s="29"/>
      <c r="EON25" s="30"/>
      <c r="EOO25" s="28" t="str">
        <f t="shared" si="149"/>
        <v xml:space="preserve"> </v>
      </c>
      <c r="EOP25" s="30"/>
      <c r="EOQ25" s="29"/>
      <c r="EOR25" s="28"/>
      <c r="EOS25" s="29"/>
      <c r="EOT25" s="28"/>
      <c r="EOU25" s="28"/>
      <c r="EOV25" s="28"/>
      <c r="EOW25" s="29"/>
      <c r="EOX25" s="385"/>
      <c r="EOY25" s="29"/>
      <c r="EOZ25" s="385"/>
      <c r="EPA25" s="29"/>
      <c r="EPB25" s="385"/>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30"/>
      <c r="EQI25" s="28"/>
      <c r="EQJ25" s="29"/>
      <c r="EQK25" s="29"/>
      <c r="EQL25" s="29"/>
      <c r="EQM25" s="29"/>
      <c r="EQN25" s="29"/>
      <c r="EQO25" s="28"/>
      <c r="EQP25" s="29"/>
      <c r="EQQ25" s="29"/>
      <c r="EQR25" s="28"/>
      <c r="EQS25" s="29"/>
      <c r="EQT25" s="30"/>
      <c r="EQU25" s="28"/>
      <c r="EQV25" s="29"/>
      <c r="EQW25" s="29"/>
      <c r="EQX25" s="29"/>
      <c r="EQY25" s="28"/>
      <c r="EQZ25" s="29"/>
      <c r="ERA25" s="29"/>
      <c r="ERB25" s="28"/>
      <c r="ERC25" s="29"/>
      <c r="ERD25" s="30"/>
      <c r="ERE25" s="28"/>
      <c r="ERF25" s="29"/>
      <c r="ERG25" s="29"/>
      <c r="ERH25" s="29"/>
      <c r="ERI25" s="28"/>
      <c r="ERJ25" s="29"/>
      <c r="ERK25" s="29"/>
      <c r="ERL25" s="28"/>
      <c r="ERM25" s="29"/>
      <c r="ERN25" s="30"/>
      <c r="ERO25" s="28"/>
      <c r="ERP25" s="29"/>
      <c r="ERQ25" s="29"/>
      <c r="ERR25" s="29"/>
      <c r="ERS25" s="28"/>
      <c r="ERT25" s="29"/>
      <c r="ERU25" s="29"/>
      <c r="ERV25" s="28"/>
      <c r="ERW25" s="29"/>
      <c r="ERX25" s="30"/>
      <c r="ERY25" s="28" t="str">
        <f t="shared" si="152"/>
        <v xml:space="preserve"> </v>
      </c>
      <c r="ERZ25" s="30"/>
      <c r="ESA25" s="29"/>
      <c r="ESB25" s="28"/>
      <c r="ESC25" s="29"/>
      <c r="ESD25" s="28"/>
      <c r="ESE25" s="28"/>
      <c r="ESF25" s="28"/>
      <c r="ESG25" s="29"/>
      <c r="ESH25" s="385"/>
      <c r="ESI25" s="29"/>
      <c r="ESJ25" s="385"/>
      <c r="ESK25" s="29"/>
      <c r="ESL25" s="385"/>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30"/>
      <c r="ETS25" s="28"/>
      <c r="ETT25" s="29"/>
      <c r="ETU25" s="29"/>
      <c r="ETV25" s="29"/>
      <c r="ETW25" s="29"/>
      <c r="ETX25" s="29"/>
      <c r="ETY25" s="28"/>
      <c r="ETZ25" s="29"/>
      <c r="EUA25" s="29"/>
      <c r="EUB25" s="28"/>
      <c r="EUC25" s="29"/>
      <c r="EUD25" s="30"/>
      <c r="EUE25" s="28"/>
      <c r="EUF25" s="29"/>
      <c r="EUG25" s="29"/>
      <c r="EUH25" s="29"/>
      <c r="EUI25" s="28"/>
      <c r="EUJ25" s="29"/>
      <c r="EUK25" s="29"/>
      <c r="EUL25" s="28"/>
      <c r="EUM25" s="29"/>
      <c r="EUN25" s="30"/>
      <c r="EUO25" s="28"/>
      <c r="EUP25" s="29"/>
      <c r="EUQ25" s="29"/>
      <c r="EUR25" s="29"/>
      <c r="EUS25" s="28"/>
      <c r="EUT25" s="29"/>
      <c r="EUU25" s="29"/>
      <c r="EUV25" s="28"/>
      <c r="EUW25" s="29"/>
      <c r="EUX25" s="30"/>
      <c r="EUY25" s="28"/>
      <c r="EUZ25" s="29"/>
      <c r="EVA25" s="29"/>
      <c r="EVB25" s="29"/>
      <c r="EVC25" s="28"/>
      <c r="EVD25" s="29"/>
      <c r="EVE25" s="29"/>
      <c r="EVF25" s="28"/>
      <c r="EVG25" s="29"/>
      <c r="EVH25" s="30"/>
      <c r="EVI25" s="28" t="str">
        <f t="shared" si="153"/>
        <v xml:space="preserve"> </v>
      </c>
    </row>
    <row r="26" spans="1:3961" x14ac:dyDescent="0.3">
      <c r="A26" s="424" t="s">
        <v>183</v>
      </c>
      <c r="B26" s="58" t="str">
        <f>'REG y VAL POE - AESR - ESR'!B1956</f>
        <v>Avila Mendoza Diego Abel</v>
      </c>
      <c r="C26" s="57" t="str">
        <f>'REG y VAL POE - AESR - ESR'!C1956</f>
        <v>AUX ESR</v>
      </c>
      <c r="D26" s="56">
        <f>'REG y VAL POE - AESR - ESR'!D1956</f>
        <v>23150403</v>
      </c>
      <c r="E26" s="57">
        <f>'REG y VAL POE - AESR - ESR'!E1956</f>
        <v>0</v>
      </c>
      <c r="F26" s="56">
        <f>'REG y VAL POE - AESR - ESR'!F1956</f>
        <v>0</v>
      </c>
      <c r="G26" s="59">
        <f>'REG y VAL POE - AESR - ESR'!G1956</f>
        <v>45162</v>
      </c>
      <c r="H26" s="59" t="str">
        <f>'REG y VAL POE - AESR - ESR'!H1956</f>
        <v>VENCIDA</v>
      </c>
      <c r="I26" s="57" t="str">
        <f>'REG y VAL POE - AESR - ESR'!I1956</f>
        <v>SI</v>
      </c>
      <c r="J26" s="57" t="str">
        <f>'REG y VAL POE - AESR - ESR'!J1956</f>
        <v>Vencida</v>
      </c>
      <c r="K26" s="57" t="str">
        <f>'REG y VAL POE - AESR - ESR'!K1956</f>
        <v>SI</v>
      </c>
      <c r="L26" s="57" t="str">
        <f>'REG y VAL POE - AESR - ESR'!L1956</f>
        <v>Vencida</v>
      </c>
      <c r="M26" s="57" t="str">
        <f>'REG y VAL POE - AESR - ESR'!M1956</f>
        <v>NO</v>
      </c>
      <c r="N26" s="57" t="str">
        <f>'REG y VAL POE - AESR - ESR'!N1956</f>
        <v>falta firma RL-VENCIDOS</v>
      </c>
      <c r="O26" s="57" t="str">
        <f>'REG y VAL POE - AESR - ESR'!O1956</f>
        <v>CERTIFICADO</v>
      </c>
      <c r="P26" s="57">
        <f>'REG y VAL POE - AESR - ESR'!P1956</f>
        <v>0</v>
      </c>
      <c r="Q26" s="57" t="str">
        <f>'REG y VAL POE - AESR - ESR'!Q1956</f>
        <v>SI</v>
      </c>
      <c r="R26" s="57" t="str">
        <f>'REG y VAL POE - AESR - ESR'!R1956</f>
        <v>CARTILLA MILITAR</v>
      </c>
      <c r="S26" s="57">
        <f>'REG y VAL POE - AESR - ESR'!S1956</f>
        <v>0</v>
      </c>
      <c r="T26" s="57">
        <f>'REG y VAL POE - AESR - ESR'!T1956</f>
        <v>0</v>
      </c>
      <c r="U26" s="57">
        <f>'REG y VAL POE - AESR - ESR'!U1956</f>
        <v>0</v>
      </c>
      <c r="V26" s="57">
        <f>'REG y VAL POE - AESR - ESR'!V1956</f>
        <v>0</v>
      </c>
      <c r="W26" s="57" t="str">
        <f>'REG y VAL POE - AESR - ESR'!W1956</f>
        <v>Si</v>
      </c>
      <c r="X26" s="57">
        <f>'REG y VAL POE - AESR - ESR'!X1956</f>
        <v>0</v>
      </c>
      <c r="Y26" s="57">
        <f>'REG y VAL POE - AESR - ESR'!Y1956</f>
        <v>0</v>
      </c>
      <c r="Z26" s="57">
        <f>'REG y VAL POE - AESR - ESR'!Z1956</f>
        <v>0</v>
      </c>
      <c r="AA26" s="57">
        <f>'REG y VAL POE - AESR - ESR'!AA1956</f>
        <v>0</v>
      </c>
      <c r="AB26" s="57">
        <f>'REG y VAL POE - AESR - ESR'!AB1956</f>
        <v>0</v>
      </c>
      <c r="AC26" s="57">
        <f>'REG y VAL POE - AESR - ESR'!AC1956</f>
        <v>0</v>
      </c>
      <c r="AD26" s="57">
        <f>'REG y VAL POE - AESR - ESR'!AD1956</f>
        <v>0</v>
      </c>
      <c r="AE26" s="57">
        <f>'REG y VAL POE - AESR - ESR'!AE1956</f>
        <v>0</v>
      </c>
      <c r="AF26" s="57">
        <f>'REG y VAL POE - AESR - ESR'!AF1956</f>
        <v>0</v>
      </c>
      <c r="AG26" s="57">
        <f>'REG y VAL POE - AESR - ESR'!AG1956</f>
        <v>0</v>
      </c>
      <c r="AH26" s="57">
        <f>'REG y VAL POE - AESR - ESR'!AH1956</f>
        <v>0</v>
      </c>
      <c r="AI26" s="57">
        <f>'REG y VAL POE - AESR - ESR'!AI1956</f>
        <v>0</v>
      </c>
      <c r="AJ26" s="57">
        <f>'REG y VAL POE - AESR - ESR'!AJ1956</f>
        <v>0</v>
      </c>
      <c r="AK26" s="57">
        <f>'REG y VAL POE - AESR - ESR'!AK1956</f>
        <v>0</v>
      </c>
      <c r="AL26" s="57">
        <f>'REG y VAL POE - AESR - ESR'!AL1956</f>
        <v>0</v>
      </c>
      <c r="AM26" s="57">
        <f>'REG y VAL POE - AESR - ESR'!AM1956</f>
        <v>0</v>
      </c>
      <c r="AN26" s="57">
        <f>'REG y VAL POE - AESR - ESR'!AN1956</f>
        <v>0</v>
      </c>
      <c r="AO26" s="57">
        <f>'REG y VAL POE - AESR - ESR'!AO1956</f>
        <v>0</v>
      </c>
      <c r="AP26" s="57">
        <f>'REG y VAL POE - AESR - ESR'!AP1956</f>
        <v>0</v>
      </c>
      <c r="AQ26" s="57">
        <f>'REG y VAL POE - AESR - ESR'!AQ1956</f>
        <v>0</v>
      </c>
      <c r="AR26" s="57">
        <f>'REG y VAL POE - AESR - ESR'!AR1956</f>
        <v>0</v>
      </c>
      <c r="AS26" s="57">
        <f>'REG y VAL POE - AESR - ESR'!AS1956</f>
        <v>0</v>
      </c>
      <c r="AT26" s="58" t="str">
        <f>'REG y VAL POE - AESR - ESR'!B1957</f>
        <v>Bermejo Garcia Hugo</v>
      </c>
      <c r="AU26" s="57" t="str">
        <f>'REG y VAL POE - AESR - ESR'!C1957</f>
        <v>ESR</v>
      </c>
      <c r="AV26" s="56">
        <f>'REG y VAL POE - AESR - ESR'!D1957</f>
        <v>23204287</v>
      </c>
      <c r="AW26" s="57">
        <f>'REG y VAL POE - AESR - ESR'!E1957</f>
        <v>0</v>
      </c>
      <c r="AX26" s="56">
        <f>'REG y VAL POE - AESR - ESR'!F1957</f>
        <v>0</v>
      </c>
      <c r="AY26" s="59" t="str">
        <f>'REG y VAL POE - AESR - ESR'!G1957</f>
        <v>22-AGO-23</v>
      </c>
      <c r="AZ26" s="59" t="str">
        <f>'REG y VAL POE - AESR - ESR'!H1957</f>
        <v>VENCIDA</v>
      </c>
      <c r="BA26" s="57" t="str">
        <f>'REG y VAL POE - AESR - ESR'!I1957</f>
        <v>SI</v>
      </c>
      <c r="BB26" s="57" t="str">
        <f>'REG y VAL POE - AESR - ESR'!J1957</f>
        <v>Vencida</v>
      </c>
      <c r="BC26" s="57" t="str">
        <f>'REG y VAL POE - AESR - ESR'!K1957</f>
        <v>SI</v>
      </c>
      <c r="BD26" s="57" t="str">
        <f>'REG y VAL POE - AESR - ESR'!L1957</f>
        <v>Vencida</v>
      </c>
      <c r="BE26" s="57" t="str">
        <f>'REG y VAL POE - AESR - ESR'!M1957</f>
        <v>NO</v>
      </c>
      <c r="BF26" s="57" t="str">
        <f>'REG y VAL POE - AESR - ESR'!N1957</f>
        <v>falta firma RL-VENCIDOS</v>
      </c>
      <c r="BG26" s="57" t="str">
        <f>'REG y VAL POE - AESR - ESR'!O1957</f>
        <v>SI</v>
      </c>
      <c r="BH26" s="57" t="str">
        <f>'REG y VAL POE - AESR - ESR'!P1957</f>
        <v>SI</v>
      </c>
      <c r="BI26" s="57" t="str">
        <f>'REG y VAL POE - AESR - ESR'!Q1957</f>
        <v>SI</v>
      </c>
      <c r="BJ26" s="395" t="str">
        <f>'REG y VAL POE - AESR - ESR'!R1957</f>
        <v>SI</v>
      </c>
      <c r="BK26" s="57" t="str">
        <f>'REG y VAL POE - AESR - ESR'!S1957</f>
        <v>SI</v>
      </c>
      <c r="BL26" s="57" t="str">
        <f>'REG y VAL POE - AESR - ESR'!T1957</f>
        <v>SI</v>
      </c>
      <c r="BM26" s="57" t="str">
        <f>'REG y VAL POE - AESR - ESR'!U1957</f>
        <v>SI</v>
      </c>
      <c r="BN26" s="57" t="str">
        <f>'REG y VAL POE - AESR - ESR'!V1957</f>
        <v>SI</v>
      </c>
      <c r="BO26" s="57">
        <f>'REG y VAL POE - AESR - ESR'!W1957</f>
        <v>0</v>
      </c>
      <c r="BP26" s="57">
        <f>'REG y VAL POE - AESR - ESR'!X1957</f>
        <v>0</v>
      </c>
      <c r="BQ26" s="57">
        <f>'REG y VAL POE - AESR - ESR'!Y1957</f>
        <v>0</v>
      </c>
      <c r="BR26" s="57" t="str">
        <f>'REG y VAL POE - AESR - ESR'!Z1957</f>
        <v>SI</v>
      </c>
      <c r="BS26" s="57">
        <f>'REG y VAL POE - AESR - ESR'!AA1957</f>
        <v>0</v>
      </c>
      <c r="BT26" s="57">
        <f>'REG y VAL POE - AESR - ESR'!AB1957</f>
        <v>0</v>
      </c>
      <c r="BU26" s="57">
        <f>'REG y VAL POE - AESR - ESR'!AC1957</f>
        <v>0</v>
      </c>
      <c r="BV26" s="57">
        <f>'REG y VAL POE - AESR - ESR'!AD1957</f>
        <v>0</v>
      </c>
      <c r="BW26" s="57">
        <f>'REG y VAL POE - AESR - ESR'!AE1957</f>
        <v>0</v>
      </c>
      <c r="BX26" s="57">
        <f>'REG y VAL POE - AESR - ESR'!AF1957</f>
        <v>0</v>
      </c>
      <c r="BY26" s="57" t="str">
        <f>'REG y VAL POE - AESR - ESR'!AG1957</f>
        <v>SI</v>
      </c>
      <c r="BZ26" s="57">
        <f>'REG y VAL POE - AESR - ESR'!AH1957</f>
        <v>0</v>
      </c>
      <c r="CA26" s="57">
        <f>'REG y VAL POE - AESR - ESR'!AI1957</f>
        <v>0</v>
      </c>
      <c r="CB26" s="57">
        <f>'REG y VAL POE - AESR - ESR'!AJ1957</f>
        <v>0</v>
      </c>
      <c r="CC26" s="57">
        <f>'REG y VAL POE - AESR - ESR'!AK1957</f>
        <v>0</v>
      </c>
      <c r="CD26" s="57">
        <f>'REG y VAL POE - AESR - ESR'!AL1957</f>
        <v>0</v>
      </c>
      <c r="CE26" s="57">
        <f>'REG y VAL POE - AESR - ESR'!AM1957</f>
        <v>0</v>
      </c>
      <c r="CF26" s="57">
        <f>'REG y VAL POE - AESR - ESR'!AN1957</f>
        <v>0</v>
      </c>
      <c r="CG26" s="57">
        <f>'REG y VAL POE - AESR - ESR'!AO1957</f>
        <v>0</v>
      </c>
      <c r="CH26" s="57">
        <f>'REG y VAL POE - AESR - ESR'!AP1957</f>
        <v>0</v>
      </c>
      <c r="CI26" s="57">
        <f>'REG y VAL POE - AESR - ESR'!AQ1957</f>
        <v>0</v>
      </c>
      <c r="CJ26" s="57">
        <f>'REG y VAL POE - AESR - ESR'!AR1957</f>
        <v>0</v>
      </c>
      <c r="CK26" s="57">
        <f>'REG y VAL POE - AESR - ESR'!AS1957</f>
        <v>0</v>
      </c>
      <c r="CL26" s="58" t="str">
        <f>'REG y VAL POE - AESR - ESR'!B1958</f>
        <v xml:space="preserve">Guerrero Orozco Maria Abigail </v>
      </c>
      <c r="CM26" s="57" t="str">
        <f>'REG y VAL POE - AESR - ESR'!C1958</f>
        <v>Sin Registro</v>
      </c>
      <c r="CN26" s="56">
        <f>'REG y VAL POE - AESR - ESR'!D1958</f>
        <v>23204235</v>
      </c>
      <c r="CO26" s="57">
        <f>'REG y VAL POE - AESR - ESR'!E1958</f>
        <v>0</v>
      </c>
      <c r="CP26" s="56">
        <f>'REG y VAL POE - AESR - ESR'!F1958</f>
        <v>0</v>
      </c>
      <c r="CQ26" s="59">
        <f>'REG y VAL POE - AESR - ESR'!G1958</f>
        <v>0</v>
      </c>
      <c r="CR26" s="59">
        <f>'REG y VAL POE - AESR - ESR'!H1958</f>
        <v>0</v>
      </c>
      <c r="CS26" s="57">
        <f>'REG y VAL POE - AESR - ESR'!I1958</f>
        <v>0</v>
      </c>
      <c r="CT26" s="57">
        <f>'REG y VAL POE - AESR - ESR'!J1958</f>
        <v>0</v>
      </c>
      <c r="CU26" s="57">
        <f>'REG y VAL POE - AESR - ESR'!K1958</f>
        <v>0</v>
      </c>
      <c r="CV26" s="57">
        <f>'REG y VAL POE - AESR - ESR'!L1958</f>
        <v>0</v>
      </c>
      <c r="CW26" s="57">
        <f>'REG y VAL POE - AESR - ESR'!M1958</f>
        <v>0</v>
      </c>
      <c r="CX26" s="57">
        <f>'REG y VAL POE - AESR - ESR'!N1958</f>
        <v>0</v>
      </c>
      <c r="CY26" s="57">
        <f>'REG y VAL POE - AESR - ESR'!O1958</f>
        <v>0</v>
      </c>
      <c r="CZ26" s="57">
        <f>'REG y VAL POE - AESR - ESR'!P1958</f>
        <v>0</v>
      </c>
      <c r="DA26" s="57">
        <f>'REG y VAL POE - AESR - ESR'!Q1958</f>
        <v>0</v>
      </c>
      <c r="DB26" s="57">
        <f>'REG y VAL POE - AESR - ESR'!R1958</f>
        <v>0</v>
      </c>
      <c r="DC26" s="57">
        <f>'REG y VAL POE - AESR - ESR'!S1958</f>
        <v>0</v>
      </c>
      <c r="DD26" s="57">
        <f>'REG y VAL POE - AESR - ESR'!T1958</f>
        <v>0</v>
      </c>
      <c r="DE26" s="57">
        <f>'REG y VAL POE - AESR - ESR'!U1958</f>
        <v>0</v>
      </c>
      <c r="DF26" s="57">
        <f>'REG y VAL POE - AESR - ESR'!V1958</f>
        <v>0</v>
      </c>
      <c r="DG26" s="57">
        <f>'REG y VAL POE - AESR - ESR'!W1958</f>
        <v>0</v>
      </c>
      <c r="DH26" s="57">
        <f>'REG y VAL POE - AESR - ESR'!X1958</f>
        <v>0</v>
      </c>
      <c r="DI26" s="57">
        <f>'REG y VAL POE - AESR - ESR'!Y1958</f>
        <v>0</v>
      </c>
      <c r="DJ26" s="57">
        <f>'REG y VAL POE - AESR - ESR'!Z1958</f>
        <v>0</v>
      </c>
      <c r="DK26" s="57">
        <f>'REG y VAL POE - AESR - ESR'!AA1958</f>
        <v>0</v>
      </c>
      <c r="DL26" s="57">
        <f>'REG y VAL POE - AESR - ESR'!AB1958</f>
        <v>0</v>
      </c>
      <c r="DM26" s="57">
        <f>'REG y VAL POE - AESR - ESR'!AC1958</f>
        <v>0</v>
      </c>
      <c r="DN26" s="57">
        <f>'REG y VAL POE - AESR - ESR'!AD1958</f>
        <v>0</v>
      </c>
      <c r="DO26" s="57">
        <f>'REG y VAL POE - AESR - ESR'!AE1958</f>
        <v>0</v>
      </c>
      <c r="DP26" s="57">
        <f>'REG y VAL POE - AESR - ESR'!AF1958</f>
        <v>0</v>
      </c>
      <c r="DQ26" s="57">
        <f>'REG y VAL POE - AESR - ESR'!AG1958</f>
        <v>0</v>
      </c>
      <c r="DR26" s="57">
        <f>'REG y VAL POE - AESR - ESR'!AH1958</f>
        <v>0</v>
      </c>
      <c r="DS26" s="57">
        <f>'REG y VAL POE - AESR - ESR'!AI1958</f>
        <v>0</v>
      </c>
      <c r="DT26" s="57">
        <f>'REG y VAL POE - AESR - ESR'!AJ1958</f>
        <v>0</v>
      </c>
      <c r="DU26" s="57">
        <f>'REG y VAL POE - AESR - ESR'!AK1958</f>
        <v>0</v>
      </c>
      <c r="DV26" s="57">
        <f>'REG y VAL POE - AESR - ESR'!AL1958</f>
        <v>0</v>
      </c>
      <c r="DW26" s="57">
        <f>'REG y VAL POE - AESR - ESR'!AM1958</f>
        <v>0</v>
      </c>
      <c r="DX26" s="57">
        <f>'REG y VAL POE - AESR - ESR'!AN1958</f>
        <v>0</v>
      </c>
      <c r="DY26" s="57">
        <f>'REG y VAL POE - AESR - ESR'!AO1958</f>
        <v>0</v>
      </c>
      <c r="DZ26" s="57">
        <f>'REG y VAL POE - AESR - ESR'!AP1958</f>
        <v>0</v>
      </c>
      <c r="EA26" s="57">
        <f>'REG y VAL POE - AESR - ESR'!AQ1958</f>
        <v>0</v>
      </c>
      <c r="EB26" s="57">
        <f>'REG y VAL POE - AESR - ESR'!AR1958</f>
        <v>0</v>
      </c>
      <c r="EC26" s="57">
        <f>'REG y VAL POE - AESR - ESR'!AS1958</f>
        <v>0</v>
      </c>
      <c r="ED26" s="58" t="str">
        <f>'REG y VAL POE - AESR - ESR'!B1959</f>
        <v xml:space="preserve">Lopez Cardona Rene </v>
      </c>
      <c r="EE26" s="57" t="str">
        <f>'REG y VAL POE - AESR - ESR'!C1959</f>
        <v>Sin Registro</v>
      </c>
      <c r="EF26" s="56">
        <f>'REG y VAL POE - AESR - ESR'!D1959</f>
        <v>23162970</v>
      </c>
      <c r="EG26" s="57">
        <f>'REG y VAL POE - AESR - ESR'!E1959</f>
        <v>0</v>
      </c>
      <c r="EH26" s="56">
        <f>'REG y VAL POE - AESR - ESR'!F1959</f>
        <v>0</v>
      </c>
      <c r="EI26" s="59">
        <f>'REG y VAL POE - AESR - ESR'!G1959</f>
        <v>0</v>
      </c>
      <c r="EJ26" s="59">
        <f>'REG y VAL POE - AESR - ESR'!H1959</f>
        <v>0</v>
      </c>
      <c r="EK26" s="57">
        <f>'REG y VAL POE - AESR - ESR'!I1959</f>
        <v>0</v>
      </c>
      <c r="EL26" s="57">
        <f>'REG y VAL POE - AESR - ESR'!J1959</f>
        <v>0</v>
      </c>
      <c r="EM26" s="57">
        <f>'REG y VAL POE - AESR - ESR'!K1959</f>
        <v>0</v>
      </c>
      <c r="EN26" s="57">
        <f>'REG y VAL POE - AESR - ESR'!L1959</f>
        <v>0</v>
      </c>
      <c r="EO26" s="57">
        <f>'REG y VAL POE - AESR - ESR'!M1959</f>
        <v>0</v>
      </c>
      <c r="EP26" s="57">
        <f>'REG y VAL POE - AESR - ESR'!N1959</f>
        <v>0</v>
      </c>
      <c r="EQ26" s="57">
        <f>'REG y VAL POE - AESR - ESR'!O1959</f>
        <v>0</v>
      </c>
      <c r="ER26" s="57">
        <f>'REG y VAL POE - AESR - ESR'!P1959</f>
        <v>0</v>
      </c>
      <c r="ES26" s="57">
        <f>'REG y VAL POE - AESR - ESR'!Q1959</f>
        <v>0</v>
      </c>
      <c r="ET26" s="57">
        <f>'REG y VAL POE - AESR - ESR'!R1959</f>
        <v>0</v>
      </c>
      <c r="EU26" s="57">
        <f>'REG y VAL POE - AESR - ESR'!S1959</f>
        <v>0</v>
      </c>
      <c r="EV26" s="57">
        <f>'REG y VAL POE - AESR - ESR'!T1959</f>
        <v>0</v>
      </c>
      <c r="EW26" s="57">
        <f>'REG y VAL POE - AESR - ESR'!U1959</f>
        <v>0</v>
      </c>
      <c r="EX26" s="57">
        <f>'REG y VAL POE - AESR - ESR'!V1959</f>
        <v>0</v>
      </c>
      <c r="EY26" s="57">
        <f>'REG y VAL POE - AESR - ESR'!W1959</f>
        <v>0</v>
      </c>
      <c r="EZ26" s="57">
        <f>'REG y VAL POE - AESR - ESR'!X1959</f>
        <v>0</v>
      </c>
      <c r="FA26" s="57">
        <f>'REG y VAL POE - AESR - ESR'!Y1959</f>
        <v>0</v>
      </c>
      <c r="FB26" s="57">
        <f>'REG y VAL POE - AESR - ESR'!Z1959</f>
        <v>0</v>
      </c>
      <c r="FC26" s="57">
        <f>'REG y VAL POE - AESR - ESR'!AA1959</f>
        <v>0</v>
      </c>
      <c r="FD26" s="57">
        <f>'REG y VAL POE - AESR - ESR'!AB1959</f>
        <v>0</v>
      </c>
      <c r="FE26" s="57">
        <f>'REG y VAL POE - AESR - ESR'!AC1959</f>
        <v>0</v>
      </c>
      <c r="FF26" s="57">
        <f>'REG y VAL POE - AESR - ESR'!AD1959</f>
        <v>0</v>
      </c>
      <c r="FG26" s="57">
        <f>'REG y VAL POE - AESR - ESR'!AE1959</f>
        <v>0</v>
      </c>
      <c r="FH26" s="57">
        <f>'REG y VAL POE - AESR - ESR'!AF1959</f>
        <v>0</v>
      </c>
      <c r="FI26" s="57">
        <f>'REG y VAL POE - AESR - ESR'!AG1959</f>
        <v>0</v>
      </c>
      <c r="FJ26" s="57">
        <f>'REG y VAL POE - AESR - ESR'!AH1959</f>
        <v>0</v>
      </c>
      <c r="FK26" s="57">
        <f>'REG y VAL POE - AESR - ESR'!AI1959</f>
        <v>0</v>
      </c>
      <c r="FL26" s="57">
        <f>'REG y VAL POE - AESR - ESR'!AJ1959</f>
        <v>0</v>
      </c>
      <c r="FM26" s="57">
        <f>'REG y VAL POE - AESR - ESR'!AK1959</f>
        <v>0</v>
      </c>
      <c r="FN26" s="57">
        <f>'REG y VAL POE - AESR - ESR'!AL1959</f>
        <v>0</v>
      </c>
      <c r="FO26" s="57">
        <f>'REG y VAL POE - AESR - ESR'!AM1959</f>
        <v>0</v>
      </c>
      <c r="FP26" s="57">
        <f>'REG y VAL POE - AESR - ESR'!AN1959</f>
        <v>0</v>
      </c>
      <c r="FQ26" s="57">
        <f>'REG y VAL POE - AESR - ESR'!AO1959</f>
        <v>0</v>
      </c>
      <c r="FR26" s="57">
        <f>'REG y VAL POE - AESR - ESR'!AP1959</f>
        <v>0</v>
      </c>
      <c r="FS26" s="57">
        <f>'REG y VAL POE - AESR - ESR'!AQ1959</f>
        <v>0</v>
      </c>
      <c r="FT26" s="57">
        <f>'REG y VAL POE - AESR - ESR'!AR1959</f>
        <v>0</v>
      </c>
      <c r="FU26" s="57">
        <f>'REG y VAL POE - AESR - ESR'!AS1959</f>
        <v>0</v>
      </c>
      <c r="FV26" s="58" t="str">
        <f>'REG y VAL POE - AESR - ESR'!B1960</f>
        <v xml:space="preserve">Lopez Robles Elizabeth </v>
      </c>
      <c r="FW26" s="57" t="str">
        <f>'REG y VAL POE - AESR - ESR'!C1960</f>
        <v>Sin Registro</v>
      </c>
      <c r="FX26" s="56">
        <f>'REG y VAL POE - AESR - ESR'!D1960</f>
        <v>22246911</v>
      </c>
      <c r="FY26" s="57">
        <f>'REG y VAL POE - AESR - ESR'!E1960</f>
        <v>0</v>
      </c>
      <c r="FZ26" s="56">
        <f>'REG y VAL POE - AESR - ESR'!F1960</f>
        <v>0</v>
      </c>
      <c r="GA26" s="59">
        <f>'REG y VAL POE - AESR - ESR'!G1960</f>
        <v>0</v>
      </c>
      <c r="GB26" s="59">
        <f>'REG y VAL POE - AESR - ESR'!H1960</f>
        <v>0</v>
      </c>
      <c r="GC26" s="57">
        <f>'REG y VAL POE - AESR - ESR'!I1960</f>
        <v>0</v>
      </c>
      <c r="GD26" s="57">
        <f>'REG y VAL POE - AESR - ESR'!J1960</f>
        <v>0</v>
      </c>
      <c r="GE26" s="57">
        <f>'REG y VAL POE - AESR - ESR'!K1960</f>
        <v>0</v>
      </c>
      <c r="GF26" s="57">
        <f>'REG y VAL POE - AESR - ESR'!L1960</f>
        <v>0</v>
      </c>
      <c r="GG26" s="57">
        <f>'REG y VAL POE - AESR - ESR'!M1960</f>
        <v>0</v>
      </c>
      <c r="GH26" s="57">
        <f>'REG y VAL POE - AESR - ESR'!N1960</f>
        <v>0</v>
      </c>
      <c r="GI26" s="57">
        <f>'REG y VAL POE - AESR - ESR'!O1960</f>
        <v>0</v>
      </c>
      <c r="GJ26" s="57">
        <f>'REG y VAL POE - AESR - ESR'!P1960</f>
        <v>0</v>
      </c>
      <c r="GK26" s="57">
        <f>'REG y VAL POE - AESR - ESR'!Q1960</f>
        <v>0</v>
      </c>
      <c r="GL26" s="57">
        <f>'REG y VAL POE - AESR - ESR'!R1960</f>
        <v>0</v>
      </c>
      <c r="GM26" s="57">
        <f>'REG y VAL POE - AESR - ESR'!S1960</f>
        <v>0</v>
      </c>
      <c r="GN26" s="57">
        <f>'REG y VAL POE - AESR - ESR'!T1960</f>
        <v>0</v>
      </c>
      <c r="GO26" s="57">
        <f>'REG y VAL POE - AESR - ESR'!U1960</f>
        <v>0</v>
      </c>
      <c r="GP26" s="57">
        <f>'REG y VAL POE - AESR - ESR'!V1960</f>
        <v>0</v>
      </c>
      <c r="GQ26" s="57">
        <f>'REG y VAL POE - AESR - ESR'!W1960</f>
        <v>0</v>
      </c>
      <c r="GR26" s="57">
        <f>'REG y VAL POE - AESR - ESR'!X1960</f>
        <v>0</v>
      </c>
      <c r="GS26" s="57">
        <f>'REG y VAL POE - AESR - ESR'!Y1960</f>
        <v>0</v>
      </c>
      <c r="GT26" s="57">
        <f>'REG y VAL POE - AESR - ESR'!Z1960</f>
        <v>0</v>
      </c>
      <c r="GU26" s="57">
        <f>'REG y VAL POE - AESR - ESR'!AA1960</f>
        <v>0</v>
      </c>
      <c r="GV26" s="57">
        <f>'REG y VAL POE - AESR - ESR'!AB1960</f>
        <v>0</v>
      </c>
      <c r="GW26" s="57">
        <f>'REG y VAL POE - AESR - ESR'!AC1960</f>
        <v>0</v>
      </c>
      <c r="GX26" s="57">
        <f>'REG y VAL POE - AESR - ESR'!AD1960</f>
        <v>0</v>
      </c>
      <c r="GY26" s="57">
        <f>'REG y VAL POE - AESR - ESR'!AE1960</f>
        <v>0</v>
      </c>
      <c r="GZ26" s="57">
        <f>'REG y VAL POE - AESR - ESR'!AF1960</f>
        <v>0</v>
      </c>
      <c r="HA26" s="57">
        <f>'REG y VAL POE - AESR - ESR'!AG1960</f>
        <v>0</v>
      </c>
      <c r="HB26" s="57">
        <f>'REG y VAL POE - AESR - ESR'!AH1960</f>
        <v>0</v>
      </c>
      <c r="HC26" s="57">
        <f>'REG y VAL POE - AESR - ESR'!AI1960</f>
        <v>0</v>
      </c>
      <c r="HD26" s="57">
        <f>'REG y VAL POE - AESR - ESR'!AJ1960</f>
        <v>0</v>
      </c>
      <c r="HE26" s="57">
        <f>'REG y VAL POE - AESR - ESR'!AK1960</f>
        <v>0</v>
      </c>
      <c r="HF26" s="57">
        <f>'REG y VAL POE - AESR - ESR'!AL1960</f>
        <v>0</v>
      </c>
      <c r="HG26" s="57">
        <f>'REG y VAL POE - AESR - ESR'!AM1960</f>
        <v>0</v>
      </c>
      <c r="HH26" s="57">
        <f>'REG y VAL POE - AESR - ESR'!AN1960</f>
        <v>0</v>
      </c>
      <c r="HI26" s="57">
        <f>'REG y VAL POE - AESR - ESR'!AO1960</f>
        <v>0</v>
      </c>
      <c r="HJ26" s="57">
        <f>'REG y VAL POE - AESR - ESR'!AP1960</f>
        <v>0</v>
      </c>
      <c r="HK26" s="57">
        <f>'REG y VAL POE - AESR - ESR'!AQ1960</f>
        <v>0</v>
      </c>
      <c r="HL26" s="57">
        <f>'REG y VAL POE - AESR - ESR'!AR1960</f>
        <v>0</v>
      </c>
      <c r="HM26" s="57">
        <f>'REG y VAL POE - AESR - ESR'!AS1960</f>
        <v>0</v>
      </c>
      <c r="HN26" s="58" t="str">
        <f>'REG y VAL POE - AESR - ESR'!B1961</f>
        <v xml:space="preserve">Melendez Sandoval Jose Eduardo </v>
      </c>
      <c r="HO26" s="57" t="str">
        <f>'REG y VAL POE - AESR - ESR'!C1961</f>
        <v>Sin Registro</v>
      </c>
      <c r="HP26" s="56">
        <f>'REG y VAL POE - AESR - ESR'!D1961</f>
        <v>23138611</v>
      </c>
      <c r="HQ26" s="57">
        <f>'REG y VAL POE - AESR - ESR'!E1961</f>
        <v>0</v>
      </c>
      <c r="HR26" s="56">
        <f>'REG y VAL POE - AESR - ESR'!F1961</f>
        <v>0</v>
      </c>
      <c r="HS26" s="59">
        <f>'REG y VAL POE - AESR - ESR'!G1961</f>
        <v>0</v>
      </c>
      <c r="HT26" s="59">
        <f>'REG y VAL POE - AESR - ESR'!H1961</f>
        <v>0</v>
      </c>
      <c r="HU26" s="57">
        <f>'REG y VAL POE - AESR - ESR'!I1961</f>
        <v>0</v>
      </c>
      <c r="HV26" s="57">
        <f>'REG y VAL POE - AESR - ESR'!J1961</f>
        <v>0</v>
      </c>
      <c r="HW26" s="57">
        <f>'REG y VAL POE - AESR - ESR'!K1961</f>
        <v>0</v>
      </c>
      <c r="HX26" s="57">
        <f>'REG y VAL POE - AESR - ESR'!L1961</f>
        <v>0</v>
      </c>
      <c r="HY26" s="57">
        <f>'REG y VAL POE - AESR - ESR'!M1961</f>
        <v>0</v>
      </c>
      <c r="HZ26" s="57">
        <f>'REG y VAL POE - AESR - ESR'!N1961</f>
        <v>0</v>
      </c>
      <c r="IA26" s="57">
        <f>'REG y VAL POE - AESR - ESR'!O1961</f>
        <v>0</v>
      </c>
      <c r="IB26" s="57">
        <f>'REG y VAL POE - AESR - ESR'!P1961</f>
        <v>0</v>
      </c>
      <c r="IC26" s="57">
        <f>'REG y VAL POE - AESR - ESR'!Q1961</f>
        <v>0</v>
      </c>
      <c r="ID26" s="57">
        <f>'REG y VAL POE - AESR - ESR'!R1961</f>
        <v>0</v>
      </c>
      <c r="IE26" s="57">
        <f>'REG y VAL POE - AESR - ESR'!S1961</f>
        <v>0</v>
      </c>
      <c r="IF26" s="57">
        <f>'REG y VAL POE - AESR - ESR'!T1961</f>
        <v>0</v>
      </c>
      <c r="IG26" s="57">
        <f>'REG y VAL POE - AESR - ESR'!U1961</f>
        <v>0</v>
      </c>
      <c r="IH26" s="57">
        <f>'REG y VAL POE - AESR - ESR'!V1961</f>
        <v>0</v>
      </c>
      <c r="II26" s="57">
        <f>'REG y VAL POE - AESR - ESR'!W1961</f>
        <v>0</v>
      </c>
      <c r="IJ26" s="57">
        <f>'REG y VAL POE - AESR - ESR'!X1961</f>
        <v>0</v>
      </c>
      <c r="IK26" s="57">
        <f>'REG y VAL POE - AESR - ESR'!Y1961</f>
        <v>0</v>
      </c>
      <c r="IL26" s="57">
        <f>'REG y VAL POE - AESR - ESR'!Z1961</f>
        <v>0</v>
      </c>
      <c r="IM26" s="57">
        <f>'REG y VAL POE - AESR - ESR'!AA1961</f>
        <v>0</v>
      </c>
      <c r="IN26" s="57">
        <f>'REG y VAL POE - AESR - ESR'!AB1961</f>
        <v>0</v>
      </c>
      <c r="IO26" s="57">
        <f>'REG y VAL POE - AESR - ESR'!AC1961</f>
        <v>0</v>
      </c>
      <c r="IP26" s="57">
        <f>'REG y VAL POE - AESR - ESR'!AD1961</f>
        <v>0</v>
      </c>
      <c r="IQ26" s="57">
        <f>'REG y VAL POE - AESR - ESR'!AE1961</f>
        <v>0</v>
      </c>
      <c r="IR26" s="57">
        <f>'REG y VAL POE - AESR - ESR'!AF1961</f>
        <v>0</v>
      </c>
      <c r="IS26" s="57">
        <f>'REG y VAL POE - AESR - ESR'!AG1961</f>
        <v>0</v>
      </c>
      <c r="IT26" s="57">
        <f>'REG y VAL POE - AESR - ESR'!AH1961</f>
        <v>0</v>
      </c>
      <c r="IU26" s="57">
        <f>'REG y VAL POE - AESR - ESR'!AI1961</f>
        <v>0</v>
      </c>
      <c r="IV26" s="57">
        <f>'REG y VAL POE - AESR - ESR'!AJ1961</f>
        <v>0</v>
      </c>
      <c r="IW26" s="57">
        <f>'REG y VAL POE - AESR - ESR'!AK1961</f>
        <v>0</v>
      </c>
      <c r="IX26" s="57">
        <f>'REG y VAL POE - AESR - ESR'!AL1961</f>
        <v>0</v>
      </c>
      <c r="IY26" s="57">
        <f>'REG y VAL POE - AESR - ESR'!AM1961</f>
        <v>0</v>
      </c>
      <c r="IZ26" s="57">
        <f>'REG y VAL POE - AESR - ESR'!AN1961</f>
        <v>0</v>
      </c>
      <c r="JA26" s="57">
        <f>'REG y VAL POE - AESR - ESR'!AO1961</f>
        <v>0</v>
      </c>
      <c r="JB26" s="57">
        <f>'REG y VAL POE - AESR - ESR'!AP1961</f>
        <v>0</v>
      </c>
      <c r="JC26" s="57">
        <f>'REG y VAL POE - AESR - ESR'!AQ1961</f>
        <v>0</v>
      </c>
      <c r="JD26" s="57">
        <f>'REG y VAL POE - AESR - ESR'!AR1961</f>
        <v>0</v>
      </c>
      <c r="JE26" s="57">
        <f>'REG y VAL POE - AESR - ESR'!AS1961</f>
        <v>0</v>
      </c>
      <c r="JF26" s="58" t="str">
        <f>'REG y VAL POE - AESR - ESR'!B1962</f>
        <v>Munoz Espindola Erick</v>
      </c>
      <c r="JG26" s="57" t="str">
        <f>'REG y VAL POE - AESR - ESR'!C1962</f>
        <v>POE</v>
      </c>
      <c r="JH26" s="56">
        <f>'REG y VAL POE - AESR - ESR'!D1962</f>
        <v>23112545</v>
      </c>
      <c r="JI26" s="57">
        <f>'REG y VAL POE - AESR - ESR'!E1962</f>
        <v>0</v>
      </c>
      <c r="JJ26" s="56">
        <f>'REG y VAL POE - AESR - ESR'!F1962</f>
        <v>0</v>
      </c>
      <c r="JK26" s="59">
        <f>'REG y VAL POE - AESR - ESR'!G1962</f>
        <v>45176</v>
      </c>
      <c r="JL26" s="59" t="str">
        <f>'REG y VAL POE - AESR - ESR'!H1962</f>
        <v>VENCIDA</v>
      </c>
      <c r="JM26" s="57" t="str">
        <f>'REG y VAL POE - AESR - ESR'!I1962</f>
        <v>SI</v>
      </c>
      <c r="JN26" s="57" t="str">
        <f>'REG y VAL POE - AESR - ESR'!J1962</f>
        <v>Vencida</v>
      </c>
      <c r="JO26" s="57" t="str">
        <f>'REG y VAL POE - AESR - ESR'!K1962</f>
        <v>SI</v>
      </c>
      <c r="JP26" s="57" t="str">
        <f>'REG y VAL POE - AESR - ESR'!L1962</f>
        <v>Vencida</v>
      </c>
      <c r="JQ26" s="57" t="str">
        <f>'REG y VAL POE - AESR - ESR'!M1962</f>
        <v>NO</v>
      </c>
      <c r="JR26" s="57" t="str">
        <f>'REG y VAL POE - AESR - ESR'!N1962</f>
        <v>falta firma RL-VENCIDOS</v>
      </c>
      <c r="JS26" s="57" t="str">
        <f>'REG y VAL POE - AESR - ESR'!O1962</f>
        <v>CERTIFICADO DE CALIFICACIONES</v>
      </c>
      <c r="JT26" s="57">
        <f>'REG y VAL POE - AESR - ESR'!P1962</f>
        <v>0</v>
      </c>
      <c r="JU26" s="57" t="str">
        <f>'REG y VAL POE - AESR - ESR'!Q1962</f>
        <v>SI</v>
      </c>
      <c r="JV26" s="57" t="str">
        <f>'REG y VAL POE - AESR - ESR'!R1962</f>
        <v>SI</v>
      </c>
      <c r="JW26" s="57" t="str">
        <f>'REG y VAL POE - AESR - ESR'!S1962</f>
        <v>SI</v>
      </c>
      <c r="JX26" s="57" t="str">
        <f>'REG y VAL POE - AESR - ESR'!T1962</f>
        <v>SI</v>
      </c>
      <c r="JY26" s="57" t="str">
        <f>'REG y VAL POE - AESR - ESR'!U1962</f>
        <v>SI</v>
      </c>
      <c r="JZ26" s="57" t="str">
        <f>'REG y VAL POE - AESR - ESR'!V1962</f>
        <v>SI</v>
      </c>
      <c r="KA26" s="57">
        <f>'REG y VAL POE - AESR - ESR'!W1962</f>
        <v>0</v>
      </c>
      <c r="KB26" s="57">
        <f>'REG y VAL POE - AESR - ESR'!X1962</f>
        <v>0</v>
      </c>
      <c r="KC26" s="57">
        <f>'REG y VAL POE - AESR - ESR'!Y1962</f>
        <v>0</v>
      </c>
      <c r="KD26" s="57" t="str">
        <f>'REG y VAL POE - AESR - ESR'!Z1962</f>
        <v>SI</v>
      </c>
      <c r="KE26" s="57">
        <f>'REG y VAL POE - AESR - ESR'!AA1962</f>
        <v>0</v>
      </c>
      <c r="KF26" s="57">
        <f>'REG y VAL POE - AESR - ESR'!AB1962</f>
        <v>0</v>
      </c>
      <c r="KG26" s="57">
        <f>'REG y VAL POE - AESR - ESR'!AC1962</f>
        <v>0</v>
      </c>
      <c r="KH26" s="57">
        <f>'REG y VAL POE - AESR - ESR'!AD1962</f>
        <v>0</v>
      </c>
      <c r="KI26" s="57">
        <f>'REG y VAL POE - AESR - ESR'!AE1962</f>
        <v>0</v>
      </c>
      <c r="KJ26" s="57" t="str">
        <f>'REG y VAL POE - AESR - ESR'!AF1962</f>
        <v>SI</v>
      </c>
      <c r="KK26" s="57">
        <f>'REG y VAL POE - AESR - ESR'!AG1962</f>
        <v>0</v>
      </c>
      <c r="KL26" s="57">
        <f>'REG y VAL POE - AESR - ESR'!AH1962</f>
        <v>0</v>
      </c>
      <c r="KM26" s="57">
        <f>'REG y VAL POE - AESR - ESR'!AI1962</f>
        <v>0</v>
      </c>
      <c r="KN26" s="57">
        <f>'REG y VAL POE - AESR - ESR'!AJ1962</f>
        <v>0</v>
      </c>
      <c r="KO26" s="57">
        <f>'REG y VAL POE - AESR - ESR'!AK1962</f>
        <v>0</v>
      </c>
      <c r="KP26" s="57">
        <f>'REG y VAL POE - AESR - ESR'!AL1962</f>
        <v>0</v>
      </c>
      <c r="KQ26" s="57">
        <f>'REG y VAL POE - AESR - ESR'!AM1962</f>
        <v>0</v>
      </c>
      <c r="KR26" s="57">
        <f>'REG y VAL POE - AESR - ESR'!AN1962</f>
        <v>0</v>
      </c>
      <c r="KS26" s="57">
        <f>'REG y VAL POE - AESR - ESR'!AO1962</f>
        <v>0</v>
      </c>
      <c r="KT26" s="57">
        <f>'REG y VAL POE - AESR - ESR'!AP1962</f>
        <v>0</v>
      </c>
      <c r="KU26" s="57">
        <f>'REG y VAL POE - AESR - ESR'!AQ1962</f>
        <v>0</v>
      </c>
      <c r="KV26" s="57" t="str">
        <f>'REG y VAL POE - AESR - ESR'!AR1962</f>
        <v>THSCAN</v>
      </c>
      <c r="KW26" s="57">
        <f>'REG y VAL POE - AESR - ESR'!AS1962</f>
        <v>0</v>
      </c>
      <c r="KX26" s="58" t="str">
        <f>'REG y VAL POE - AESR - ESR'!B1963</f>
        <v xml:space="preserve">Rescalvo Pena Christopher Hernan </v>
      </c>
      <c r="KY26" s="57" t="str">
        <f>'REG y VAL POE - AESR - ESR'!C1963</f>
        <v>Sin Registro</v>
      </c>
      <c r="KZ26" s="56">
        <f>'REG y VAL POE - AESR - ESR'!D1963</f>
        <v>23163281</v>
      </c>
      <c r="LA26" s="57">
        <f>'REG y VAL POE - AESR - ESR'!E1963</f>
        <v>0</v>
      </c>
      <c r="LB26" s="56">
        <f>'REG y VAL POE - AESR - ESR'!F1963</f>
        <v>0</v>
      </c>
      <c r="LC26" s="59">
        <f>'REG y VAL POE - AESR - ESR'!G1963</f>
        <v>0</v>
      </c>
      <c r="LD26" s="59">
        <f>'REG y VAL POE - AESR - ESR'!H1963</f>
        <v>0</v>
      </c>
      <c r="LE26" s="57">
        <f>'REG y VAL POE - AESR - ESR'!I1963</f>
        <v>0</v>
      </c>
      <c r="LF26" s="57">
        <f>'REG y VAL POE - AESR - ESR'!J1963</f>
        <v>0</v>
      </c>
      <c r="LG26" s="57">
        <f>'REG y VAL POE - AESR - ESR'!K1963</f>
        <v>0</v>
      </c>
      <c r="LH26" s="57">
        <f>'REG y VAL POE - AESR - ESR'!L1963</f>
        <v>0</v>
      </c>
      <c r="LI26" s="57">
        <f>'REG y VAL POE - AESR - ESR'!M1963</f>
        <v>0</v>
      </c>
      <c r="LJ26" s="57">
        <f>'REG y VAL POE - AESR - ESR'!N1963</f>
        <v>0</v>
      </c>
      <c r="LK26" s="57">
        <f>'REG y VAL POE - AESR - ESR'!O1963</f>
        <v>0</v>
      </c>
      <c r="LL26" s="57">
        <f>'REG y VAL POE - AESR - ESR'!P1963</f>
        <v>0</v>
      </c>
      <c r="LM26" s="57">
        <f>'REG y VAL POE - AESR - ESR'!Q1963</f>
        <v>0</v>
      </c>
      <c r="LN26" s="57">
        <f>'REG y VAL POE - AESR - ESR'!R1963</f>
        <v>0</v>
      </c>
      <c r="LO26" s="57">
        <f>'REG y VAL POE - AESR - ESR'!S1963</f>
        <v>0</v>
      </c>
      <c r="LP26" s="57">
        <f>'REG y VAL POE - AESR - ESR'!T1963</f>
        <v>0</v>
      </c>
      <c r="LQ26" s="57">
        <f>'REG y VAL POE - AESR - ESR'!U1963</f>
        <v>0</v>
      </c>
      <c r="LR26" s="57">
        <f>'REG y VAL POE - AESR - ESR'!V1963</f>
        <v>0</v>
      </c>
      <c r="LS26" s="57">
        <f>'REG y VAL POE - AESR - ESR'!W1963</f>
        <v>0</v>
      </c>
      <c r="LT26" s="57">
        <f>'REG y VAL POE - AESR - ESR'!X1963</f>
        <v>0</v>
      </c>
      <c r="LU26" s="57">
        <f>'REG y VAL POE - AESR - ESR'!Y1963</f>
        <v>0</v>
      </c>
      <c r="LV26" s="57">
        <f>'REG y VAL POE - AESR - ESR'!Z1963</f>
        <v>0</v>
      </c>
      <c r="LW26" s="57">
        <f>'REG y VAL POE - AESR - ESR'!AA1963</f>
        <v>0</v>
      </c>
      <c r="LX26" s="57">
        <f>'REG y VAL POE - AESR - ESR'!AB1963</f>
        <v>0</v>
      </c>
      <c r="LY26" s="57">
        <f>'REG y VAL POE - AESR - ESR'!AC1963</f>
        <v>0</v>
      </c>
      <c r="LZ26" s="57">
        <f>'REG y VAL POE - AESR - ESR'!AD1963</f>
        <v>0</v>
      </c>
      <c r="MA26" s="57">
        <f>'REG y VAL POE - AESR - ESR'!AE1963</f>
        <v>0</v>
      </c>
      <c r="MB26" s="57">
        <f>'REG y VAL POE - AESR - ESR'!AF1963</f>
        <v>0</v>
      </c>
      <c r="MC26" s="57">
        <f>'REG y VAL POE - AESR - ESR'!AG1963</f>
        <v>0</v>
      </c>
      <c r="MD26" s="57">
        <f>'REG y VAL POE - AESR - ESR'!AH1963</f>
        <v>0</v>
      </c>
      <c r="ME26" s="57">
        <f>'REG y VAL POE - AESR - ESR'!AI1963</f>
        <v>0</v>
      </c>
      <c r="MF26" s="57">
        <f>'REG y VAL POE - AESR - ESR'!AJ1963</f>
        <v>0</v>
      </c>
      <c r="MG26" s="57">
        <f>'REG y VAL POE - AESR - ESR'!AK1963</f>
        <v>0</v>
      </c>
      <c r="MH26" s="57">
        <f>'REG y VAL POE - AESR - ESR'!AL1963</f>
        <v>0</v>
      </c>
      <c r="MI26" s="57">
        <f>'REG y VAL POE - AESR - ESR'!AM1963</f>
        <v>0</v>
      </c>
      <c r="MJ26" s="57">
        <f>'REG y VAL POE - AESR - ESR'!AN1963</f>
        <v>0</v>
      </c>
      <c r="MK26" s="57">
        <f>'REG y VAL POE - AESR - ESR'!AO1963</f>
        <v>0</v>
      </c>
      <c r="ML26" s="57">
        <f>'REG y VAL POE - AESR - ESR'!AP1963</f>
        <v>0</v>
      </c>
      <c r="MM26" s="57">
        <f>'REG y VAL POE - AESR - ESR'!AQ1963</f>
        <v>0</v>
      </c>
      <c r="MN26" s="57">
        <f>'REG y VAL POE - AESR - ESR'!AR1963</f>
        <v>0</v>
      </c>
      <c r="MO26" s="57">
        <f>'REG y VAL POE - AESR - ESR'!AS1963</f>
        <v>0</v>
      </c>
      <c r="MP26" s="58" t="str">
        <f>'REG y VAL POE - AESR - ESR'!B1964</f>
        <v xml:space="preserve">Reyes Gonzales Leticia Isabel </v>
      </c>
      <c r="MQ26" s="57" t="str">
        <f>'REG y VAL POE - AESR - ESR'!C1964</f>
        <v>Sin Registro</v>
      </c>
      <c r="MR26" s="56">
        <f>'REG y VAL POE - AESR - ESR'!D1964</f>
        <v>23162213</v>
      </c>
      <c r="MS26" s="57">
        <f>'REG y VAL POE - AESR - ESR'!E1964</f>
        <v>0</v>
      </c>
      <c r="MT26" s="56">
        <f>'REG y VAL POE - AESR - ESR'!F1964</f>
        <v>0</v>
      </c>
      <c r="MU26" s="59">
        <f>'REG y VAL POE - AESR - ESR'!G1964</f>
        <v>0</v>
      </c>
      <c r="MV26" s="59">
        <f>'REG y VAL POE - AESR - ESR'!H1964</f>
        <v>0</v>
      </c>
      <c r="MW26" s="57">
        <f>'REG y VAL POE - AESR - ESR'!I1964</f>
        <v>0</v>
      </c>
      <c r="MX26" s="57">
        <f>'REG y VAL POE - AESR - ESR'!J1964</f>
        <v>0</v>
      </c>
      <c r="MY26" s="57">
        <f>'REG y VAL POE - AESR - ESR'!K1964</f>
        <v>0</v>
      </c>
      <c r="MZ26" s="57">
        <f>'REG y VAL POE - AESR - ESR'!L1964</f>
        <v>0</v>
      </c>
      <c r="NA26" s="57">
        <f>'REG y VAL POE - AESR - ESR'!M1964</f>
        <v>0</v>
      </c>
      <c r="NB26" s="57">
        <f>'REG y VAL POE - AESR - ESR'!N1964</f>
        <v>0</v>
      </c>
      <c r="NC26" s="57">
        <f>'REG y VAL POE - AESR - ESR'!O1964</f>
        <v>0</v>
      </c>
      <c r="ND26" s="57">
        <f>'REG y VAL POE - AESR - ESR'!P1964</f>
        <v>0</v>
      </c>
      <c r="NE26" s="57">
        <f>'REG y VAL POE - AESR - ESR'!Q1964</f>
        <v>0</v>
      </c>
      <c r="NF26" s="57">
        <f>'REG y VAL POE - AESR - ESR'!R1964</f>
        <v>0</v>
      </c>
      <c r="NG26" s="57">
        <f>'REG y VAL POE - AESR - ESR'!S1964</f>
        <v>0</v>
      </c>
      <c r="NH26" s="57">
        <f>'REG y VAL POE - AESR - ESR'!T1964</f>
        <v>0</v>
      </c>
      <c r="NI26" s="57">
        <f>'REG y VAL POE - AESR - ESR'!U1964</f>
        <v>0</v>
      </c>
      <c r="NJ26" s="57">
        <f>'REG y VAL POE - AESR - ESR'!V1964</f>
        <v>0</v>
      </c>
      <c r="NK26" s="57">
        <f>'REG y VAL POE - AESR - ESR'!W1964</f>
        <v>0</v>
      </c>
      <c r="NL26" s="57">
        <f>'REG y VAL POE - AESR - ESR'!X1964</f>
        <v>0</v>
      </c>
      <c r="NM26" s="57">
        <f>'REG y VAL POE - AESR - ESR'!Y1964</f>
        <v>0</v>
      </c>
      <c r="NN26" s="57">
        <f>'REG y VAL POE - AESR - ESR'!Z1964</f>
        <v>0</v>
      </c>
      <c r="NO26" s="57">
        <f>'REG y VAL POE - AESR - ESR'!AA1964</f>
        <v>0</v>
      </c>
      <c r="NP26" s="57">
        <f>'REG y VAL POE - AESR - ESR'!AB1964</f>
        <v>0</v>
      </c>
      <c r="NQ26" s="57">
        <f>'REG y VAL POE - AESR - ESR'!AC1964</f>
        <v>0</v>
      </c>
      <c r="NR26" s="57">
        <f>'REG y VAL POE - AESR - ESR'!AD1964</f>
        <v>0</v>
      </c>
      <c r="NS26" s="57">
        <f>'REG y VAL POE - AESR - ESR'!AE1964</f>
        <v>0</v>
      </c>
      <c r="NT26" s="57">
        <f>'REG y VAL POE - AESR - ESR'!AF1964</f>
        <v>0</v>
      </c>
      <c r="NU26" s="57">
        <f>'REG y VAL POE - AESR - ESR'!AG1964</f>
        <v>0</v>
      </c>
      <c r="NV26" s="57">
        <f>'REG y VAL POE - AESR - ESR'!AH1964</f>
        <v>0</v>
      </c>
      <c r="NW26" s="57">
        <f>'REG y VAL POE - AESR - ESR'!AI1964</f>
        <v>0</v>
      </c>
      <c r="NX26" s="57">
        <f>'REG y VAL POE - AESR - ESR'!AJ1964</f>
        <v>0</v>
      </c>
      <c r="NY26" s="57">
        <f>'REG y VAL POE - AESR - ESR'!AK1964</f>
        <v>0</v>
      </c>
      <c r="NZ26" s="57">
        <f>'REG y VAL POE - AESR - ESR'!AL1964</f>
        <v>0</v>
      </c>
      <c r="OA26" s="57">
        <f>'REG y VAL POE - AESR - ESR'!AM1964</f>
        <v>0</v>
      </c>
      <c r="OB26" s="57">
        <f>'REG y VAL POE - AESR - ESR'!AN1964</f>
        <v>0</v>
      </c>
      <c r="OC26" s="57">
        <f>'REG y VAL POE - AESR - ESR'!AO1964</f>
        <v>0</v>
      </c>
      <c r="OD26" s="57">
        <f>'REG y VAL POE - AESR - ESR'!AP1964</f>
        <v>0</v>
      </c>
      <c r="OE26" s="57">
        <f>'REG y VAL POE - AESR - ESR'!AQ1964</f>
        <v>0</v>
      </c>
      <c r="OF26" s="57">
        <f>'REG y VAL POE - AESR - ESR'!AR1964</f>
        <v>0</v>
      </c>
      <c r="OG26" s="57">
        <f>'REG y VAL POE - AESR - ESR'!AS1964</f>
        <v>0</v>
      </c>
      <c r="OH26" s="58" t="str">
        <f>'REG y VAL POE - AESR - ESR'!B1965</f>
        <v>Rodriguez Martinez Jazmin</v>
      </c>
      <c r="OI26" s="57" t="str">
        <f>'REG y VAL POE - AESR - ESR'!C1965</f>
        <v>POE</v>
      </c>
      <c r="OJ26" s="56">
        <f>'REG y VAL POE - AESR - ESR'!D1965</f>
        <v>23108946</v>
      </c>
      <c r="OK26" s="57">
        <f>'REG y VAL POE - AESR - ESR'!E1965</f>
        <v>0</v>
      </c>
      <c r="OL26" s="56">
        <f>'REG y VAL POE - AESR - ESR'!F1965</f>
        <v>0</v>
      </c>
      <c r="OM26" s="59">
        <f>'REG y VAL POE - AESR - ESR'!G1965</f>
        <v>45177</v>
      </c>
      <c r="ON26" s="59" t="str">
        <f>'REG y VAL POE - AESR - ESR'!H1965</f>
        <v>VENCIDA</v>
      </c>
      <c r="OO26" s="57" t="str">
        <f>'REG y VAL POE - AESR - ESR'!I1965</f>
        <v>SI</v>
      </c>
      <c r="OP26" s="57" t="str">
        <f>'REG y VAL POE - AESR - ESR'!J1965</f>
        <v>Vencida</v>
      </c>
      <c r="OQ26" s="57" t="str">
        <f>'REG y VAL POE - AESR - ESR'!K1965</f>
        <v>SI</v>
      </c>
      <c r="OR26" s="57" t="str">
        <f>'REG y VAL POE - AESR - ESR'!L1965</f>
        <v>Vencida</v>
      </c>
      <c r="OS26" s="57" t="str">
        <f>'REG y VAL POE - AESR - ESR'!M1965</f>
        <v>NO</v>
      </c>
      <c r="OT26" s="57" t="str">
        <f>'REG y VAL POE - AESR - ESR'!N1965</f>
        <v>falta firma RL-VENCIDOS</v>
      </c>
      <c r="OU26" s="57">
        <f>'REG y VAL POE - AESR - ESR'!O1965</f>
        <v>0</v>
      </c>
      <c r="OV26" s="57">
        <f>'REG y VAL POE - AESR - ESR'!P1965</f>
        <v>0</v>
      </c>
      <c r="OW26" s="57" t="str">
        <f>'REG y VAL POE - AESR - ESR'!Q1965</f>
        <v>SI</v>
      </c>
      <c r="OX26" s="57" t="str">
        <f>'REG y VAL POE - AESR - ESR'!R1965</f>
        <v>SI</v>
      </c>
      <c r="OY26" s="57" t="str">
        <f>'REG y VAL POE - AESR - ESR'!S1965</f>
        <v>SI</v>
      </c>
      <c r="OZ26" s="57" t="str">
        <f>'REG y VAL POE - AESR - ESR'!T1965</f>
        <v>SI</v>
      </c>
      <c r="PA26" s="57" t="str">
        <f>'REG y VAL POE - AESR - ESR'!U1965</f>
        <v>SI</v>
      </c>
      <c r="PB26" s="57" t="str">
        <f>'REG y VAL POE - AESR - ESR'!V1965</f>
        <v>SI</v>
      </c>
      <c r="PC26" s="57">
        <f>'REG y VAL POE - AESR - ESR'!W1965</f>
        <v>0</v>
      </c>
      <c r="PD26" s="57">
        <f>'REG y VAL POE - AESR - ESR'!X1965</f>
        <v>0</v>
      </c>
      <c r="PE26" s="57">
        <f>'REG y VAL POE - AESR - ESR'!Y1965</f>
        <v>0</v>
      </c>
      <c r="PF26" s="57" t="str">
        <f>'REG y VAL POE - AESR - ESR'!Z1965</f>
        <v>SI</v>
      </c>
      <c r="PG26" s="57">
        <f>'REG y VAL POE - AESR - ESR'!AA1965</f>
        <v>0</v>
      </c>
      <c r="PH26" s="57">
        <f>'REG y VAL POE - AESR - ESR'!AB1965</f>
        <v>0</v>
      </c>
      <c r="PI26" s="57">
        <f>'REG y VAL POE - AESR - ESR'!AC1965</f>
        <v>0</v>
      </c>
      <c r="PJ26" s="57">
        <f>'REG y VAL POE - AESR - ESR'!AD1965</f>
        <v>0</v>
      </c>
      <c r="PK26" s="57">
        <f>'REG y VAL POE - AESR - ESR'!AE1965</f>
        <v>0</v>
      </c>
      <c r="PL26" s="57">
        <f>'REG y VAL POE - AESR - ESR'!AF1965</f>
        <v>0</v>
      </c>
      <c r="PM26" s="57" t="str">
        <f>'REG y VAL POE - AESR - ESR'!AG1965</f>
        <v>SI</v>
      </c>
      <c r="PN26" s="57">
        <f>'REG y VAL POE - AESR - ESR'!AH1965</f>
        <v>0</v>
      </c>
      <c r="PO26" s="57">
        <f>'REG y VAL POE - AESR - ESR'!AI1965</f>
        <v>0</v>
      </c>
      <c r="PP26" s="57">
        <f>'REG y VAL POE - AESR - ESR'!AJ1965</f>
        <v>0</v>
      </c>
      <c r="PQ26" s="57">
        <f>'REG y VAL POE - AESR - ESR'!AK1965</f>
        <v>0</v>
      </c>
      <c r="PR26" s="57">
        <f>'REG y VAL POE - AESR - ESR'!AL1965</f>
        <v>0</v>
      </c>
      <c r="PS26" s="57">
        <f>'REG y VAL POE - AESR - ESR'!AM1965</f>
        <v>0</v>
      </c>
      <c r="PT26" s="57">
        <f>'REG y VAL POE - AESR - ESR'!AN1965</f>
        <v>0</v>
      </c>
      <c r="PU26" s="57">
        <f>'REG y VAL POE - AESR - ESR'!AO1965</f>
        <v>0</v>
      </c>
      <c r="PV26" s="57">
        <f>'REG y VAL POE - AESR - ESR'!AP1965</f>
        <v>0</v>
      </c>
      <c r="PW26" s="57">
        <f>'REG y VAL POE - AESR - ESR'!AQ1965</f>
        <v>0</v>
      </c>
      <c r="PX26" s="57">
        <f>'REG y VAL POE - AESR - ESR'!AR1965</f>
        <v>0</v>
      </c>
      <c r="PY26" s="57">
        <f>'REG y VAL POE - AESR - ESR'!AS1965</f>
        <v>0</v>
      </c>
      <c r="PZ26" s="58" t="str">
        <f>'REG y VAL POE - AESR - ESR'!B1966</f>
        <v>Seba Temich Miriam</v>
      </c>
      <c r="QA26" s="57" t="str">
        <f>'REG y VAL POE - AESR - ESR'!C1966</f>
        <v>POE</v>
      </c>
      <c r="QB26" s="56">
        <f>'REG y VAL POE - AESR - ESR'!D1966</f>
        <v>23163284</v>
      </c>
      <c r="QC26" s="57">
        <f>'REG y VAL POE - AESR - ESR'!E1966</f>
        <v>0</v>
      </c>
      <c r="QD26" s="56">
        <f>'REG y VAL POE - AESR - ESR'!F1966</f>
        <v>0</v>
      </c>
      <c r="QE26" s="59">
        <f>'REG y VAL POE - AESR - ESR'!G1966</f>
        <v>45006</v>
      </c>
      <c r="QF26" s="59" t="str">
        <f>'REG y VAL POE - AESR - ESR'!H1966</f>
        <v>VENCIDA</v>
      </c>
      <c r="QG26" s="57" t="str">
        <f>'REG y VAL POE - AESR - ESR'!I1966</f>
        <v>SI</v>
      </c>
      <c r="QH26" s="57" t="str">
        <f>'REG y VAL POE - AESR - ESR'!J1966</f>
        <v>Vencida</v>
      </c>
      <c r="QI26" s="57" t="str">
        <f>'REG y VAL POE - AESR - ESR'!K1966</f>
        <v>SI</v>
      </c>
      <c r="QJ26" s="57" t="str">
        <f>'REG y VAL POE - AESR - ESR'!L1966</f>
        <v>Vencida</v>
      </c>
      <c r="QK26" s="57" t="str">
        <f>'REG y VAL POE - AESR - ESR'!M1966</f>
        <v>NO</v>
      </c>
      <c r="QL26" s="57" t="str">
        <f>'REG y VAL POE - AESR - ESR'!N1966</f>
        <v>falta firma RL-VENCIDOS</v>
      </c>
      <c r="QM26" s="57">
        <f>'REG y VAL POE - AESR - ESR'!O1966</f>
        <v>0</v>
      </c>
      <c r="QN26" s="57" t="str">
        <f>'REG y VAL POE - AESR - ESR'!P1966</f>
        <v>CEDULA NO VISIBLE</v>
      </c>
      <c r="QO26" s="57" t="str">
        <f>'REG y VAL POE - AESR - ESR'!Q1966</f>
        <v>SI</v>
      </c>
      <c r="QP26" s="57" t="str">
        <f>'REG y VAL POE - AESR - ESR'!R1966</f>
        <v>SI</v>
      </c>
      <c r="QQ26" s="57" t="str">
        <f>'REG y VAL POE - AESR - ESR'!S1966</f>
        <v>SI</v>
      </c>
      <c r="QR26" s="57" t="str">
        <f>'REG y VAL POE - AESR - ESR'!T1966</f>
        <v>SI</v>
      </c>
      <c r="QS26" s="57" t="str">
        <f>'REG y VAL POE - AESR - ESR'!U1966</f>
        <v>NO</v>
      </c>
      <c r="QT26" s="57" t="str">
        <f>'REG y VAL POE - AESR - ESR'!V1966</f>
        <v>SI</v>
      </c>
      <c r="QU26" s="57">
        <f>'REG y VAL POE - AESR - ESR'!W1966</f>
        <v>0</v>
      </c>
      <c r="QV26" s="57">
        <f>'REG y VAL POE - AESR - ESR'!X1966</f>
        <v>0</v>
      </c>
      <c r="QW26" s="57">
        <f>'REG y VAL POE - AESR - ESR'!Y1966</f>
        <v>0</v>
      </c>
      <c r="QX26" s="57" t="str">
        <f>'REG y VAL POE - AESR - ESR'!Z1966</f>
        <v>SI</v>
      </c>
      <c r="QY26" s="57">
        <f>'REG y VAL POE - AESR - ESR'!AA1966</f>
        <v>0</v>
      </c>
      <c r="QZ26" s="57">
        <f>'REG y VAL POE - AESR - ESR'!AB1966</f>
        <v>0</v>
      </c>
      <c r="RA26" s="57">
        <f>'REG y VAL POE - AESR - ESR'!AC1966</f>
        <v>0</v>
      </c>
      <c r="RB26" s="57">
        <f>'REG y VAL POE - AESR - ESR'!AD1966</f>
        <v>0</v>
      </c>
      <c r="RC26" s="57">
        <f>'REG y VAL POE - AESR - ESR'!AE1966</f>
        <v>0</v>
      </c>
      <c r="RD26" s="57">
        <f>'REG y VAL POE - AESR - ESR'!AF1966</f>
        <v>0</v>
      </c>
      <c r="RE26" s="57">
        <f>'REG y VAL POE - AESR - ESR'!AG1966</f>
        <v>0</v>
      </c>
      <c r="RF26" s="57">
        <f>'REG y VAL POE - AESR - ESR'!AH1966</f>
        <v>0</v>
      </c>
      <c r="RG26" s="57">
        <f>'REG y VAL POE - AESR - ESR'!AI1966</f>
        <v>0</v>
      </c>
      <c r="RH26" s="57">
        <f>'REG y VAL POE - AESR - ESR'!AJ1966</f>
        <v>0</v>
      </c>
      <c r="RI26" s="57">
        <f>'REG y VAL POE - AESR - ESR'!AK1966</f>
        <v>0</v>
      </c>
      <c r="RJ26" s="57">
        <f>'REG y VAL POE - AESR - ESR'!AL1966</f>
        <v>0</v>
      </c>
      <c r="RK26" s="57">
        <f>'REG y VAL POE - AESR - ESR'!AM1966</f>
        <v>0</v>
      </c>
      <c r="RL26" s="57">
        <f>'REG y VAL POE - AESR - ESR'!AN1966</f>
        <v>0</v>
      </c>
      <c r="RM26" s="57">
        <f>'REG y VAL POE - AESR - ESR'!AO1966</f>
        <v>0</v>
      </c>
      <c r="RN26" s="57">
        <f>'REG y VAL POE - AESR - ESR'!AP1966</f>
        <v>0</v>
      </c>
      <c r="RO26" s="57">
        <f>'REG y VAL POE - AESR - ESR'!AQ1966</f>
        <v>0</v>
      </c>
      <c r="RP26" s="57">
        <f>'REG y VAL POE - AESR - ESR'!AR1966</f>
        <v>0</v>
      </c>
      <c r="RQ26" s="57">
        <f>'REG y VAL POE - AESR - ESR'!AS1966</f>
        <v>0</v>
      </c>
      <c r="RR26" s="58" t="str">
        <f>'REG y VAL POE - AESR - ESR'!B1967</f>
        <v>Valverde Buendia Luis Antonio</v>
      </c>
      <c r="RS26" s="57" t="str">
        <f>'REG y VAL POE - AESR - ESR'!C1967</f>
        <v>POE</v>
      </c>
      <c r="RT26" s="56">
        <f>'REG y VAL POE - AESR - ESR'!D1967</f>
        <v>23205816</v>
      </c>
      <c r="RU26" s="57">
        <f>'REG y VAL POE - AESR - ESR'!E1967</f>
        <v>0</v>
      </c>
      <c r="RV26" s="56">
        <f>'REG y VAL POE - AESR - ESR'!F1967</f>
        <v>0</v>
      </c>
      <c r="RW26" s="59">
        <f>'REG y VAL POE - AESR - ESR'!G1967</f>
        <v>45006</v>
      </c>
      <c r="RX26" s="59" t="str">
        <f>'REG y VAL POE - AESR - ESR'!H1967</f>
        <v>VENCIDA</v>
      </c>
      <c r="RY26" s="57" t="str">
        <f>'REG y VAL POE - AESR - ESR'!I1967</f>
        <v>SI</v>
      </c>
      <c r="RZ26" s="57" t="str">
        <f>'REG y VAL POE - AESR - ESR'!J1967</f>
        <v>Vencida</v>
      </c>
      <c r="SA26" s="57">
        <f>'REG y VAL POE - AESR - ESR'!K1967</f>
        <v>0</v>
      </c>
      <c r="SB26" s="57">
        <f>'REG y VAL POE - AESR - ESR'!L1967</f>
        <v>0</v>
      </c>
      <c r="SC26" s="57" t="str">
        <f>'REG y VAL POE - AESR - ESR'!M1967</f>
        <v>NO</v>
      </c>
      <c r="SD26" s="57" t="str">
        <f>'REG y VAL POE - AESR - ESR'!N1967</f>
        <v>falta firma RL-VENCIDOS</v>
      </c>
      <c r="SE26" s="57">
        <f>'REG y VAL POE - AESR - ESR'!O1967</f>
        <v>0</v>
      </c>
      <c r="SF26" s="57" t="str">
        <f>'REG y VAL POE - AESR - ESR'!P1967</f>
        <v>SI</v>
      </c>
      <c r="SG26" s="57" t="str">
        <f>'REG y VAL POE - AESR - ESR'!Q1967</f>
        <v>SI</v>
      </c>
      <c r="SH26" s="57" t="str">
        <f>'REG y VAL POE - AESR - ESR'!R1967</f>
        <v>INE SOLO POR UN LADO</v>
      </c>
      <c r="SI26" s="57" t="str">
        <f>'REG y VAL POE - AESR - ESR'!S1967</f>
        <v>SI</v>
      </c>
      <c r="SJ26" s="57" t="str">
        <f>'REG y VAL POE - AESR - ESR'!T1967</f>
        <v>SI</v>
      </c>
      <c r="SK26" s="57" t="str">
        <f>'REG y VAL POE - AESR - ESR'!U1967</f>
        <v>SI</v>
      </c>
      <c r="SL26" s="57" t="str">
        <f>'REG y VAL POE - AESR - ESR'!V1967</f>
        <v>SI</v>
      </c>
      <c r="SM26" s="57">
        <f>'REG y VAL POE - AESR - ESR'!W1967</f>
        <v>0</v>
      </c>
      <c r="SN26" s="57">
        <f>'REG y VAL POE - AESR - ESR'!X1967</f>
        <v>0</v>
      </c>
      <c r="SO26" s="57">
        <f>'REG y VAL POE - AESR - ESR'!Y1967</f>
        <v>0</v>
      </c>
      <c r="SP26" s="57" t="str">
        <f>'REG y VAL POE - AESR - ESR'!Z1967</f>
        <v>SI</v>
      </c>
      <c r="SQ26" s="57">
        <f>'REG y VAL POE - AESR - ESR'!AA1967</f>
        <v>0</v>
      </c>
      <c r="SR26" s="57">
        <f>'REG y VAL POE - AESR - ESR'!AB1967</f>
        <v>0</v>
      </c>
      <c r="SS26" s="57">
        <f>'REG y VAL POE - AESR - ESR'!AC1967</f>
        <v>0</v>
      </c>
      <c r="ST26" s="57">
        <f>'REG y VAL POE - AESR - ESR'!AD1967</f>
        <v>0</v>
      </c>
      <c r="SU26" s="57">
        <f>'REG y VAL POE - AESR - ESR'!AE1967</f>
        <v>0</v>
      </c>
      <c r="SV26" s="57" t="str">
        <f>'REG y VAL POE - AESR - ESR'!AF1967</f>
        <v>SI</v>
      </c>
      <c r="SW26" s="57" t="str">
        <f>'REG y VAL POE - AESR - ESR'!AG1967</f>
        <v>SI</v>
      </c>
      <c r="SX26" s="57">
        <f>'REG y VAL POE - AESR - ESR'!AH1967</f>
        <v>0</v>
      </c>
      <c r="SY26" s="57">
        <f>'REG y VAL POE - AESR - ESR'!AI1967</f>
        <v>0</v>
      </c>
      <c r="SZ26" s="57">
        <f>'REG y VAL POE - AESR - ESR'!AJ1967</f>
        <v>0</v>
      </c>
      <c r="TA26" s="57">
        <f>'REG y VAL POE - AESR - ESR'!AK1967</f>
        <v>0</v>
      </c>
      <c r="TB26" s="57">
        <f>'REG y VAL POE - AESR - ESR'!AL1967</f>
        <v>0</v>
      </c>
      <c r="TC26" s="57">
        <f>'REG y VAL POE - AESR - ESR'!AM1967</f>
        <v>0</v>
      </c>
      <c r="TD26" s="57">
        <f>'REG y VAL POE - AESR - ESR'!AN1967</f>
        <v>0</v>
      </c>
      <c r="TE26" s="57">
        <f>'REG y VAL POE - AESR - ESR'!AO1967</f>
        <v>0</v>
      </c>
      <c r="TF26" s="57">
        <f>'REG y VAL POE - AESR - ESR'!AP1967</f>
        <v>0</v>
      </c>
      <c r="TG26" s="57">
        <f>'REG y VAL POE - AESR - ESR'!AQ1967</f>
        <v>0</v>
      </c>
      <c r="TH26" s="57">
        <f>'REG y VAL POE - AESR - ESR'!AR1967</f>
        <v>0</v>
      </c>
      <c r="TI26" s="57">
        <f>'REG y VAL POE - AESR - ESR'!AS1967</f>
        <v>0</v>
      </c>
      <c r="TJ26" s="58" t="str">
        <f>'REG y VAL POE - AESR - ESR'!B1968</f>
        <v>Yllescas Angulo Ivan</v>
      </c>
      <c r="TK26" s="57" t="str">
        <f>'REG y VAL POE - AESR - ESR'!C1968</f>
        <v>POE</v>
      </c>
      <c r="TL26" s="56">
        <f>'REG y VAL POE - AESR - ESR'!D1968</f>
        <v>23147543</v>
      </c>
      <c r="TM26" s="57">
        <f>'REG y VAL POE - AESR - ESR'!E1968</f>
        <v>0</v>
      </c>
      <c r="TN26" s="56">
        <f>'REG y VAL POE - AESR - ESR'!F1968</f>
        <v>0</v>
      </c>
      <c r="TO26" s="59">
        <f>'REG y VAL POE - AESR - ESR'!G1968</f>
        <v>45006</v>
      </c>
      <c r="TP26" s="59" t="str">
        <f>'REG y VAL POE - AESR - ESR'!H1968</f>
        <v>VENCIDA</v>
      </c>
      <c r="TQ26" s="57" t="str">
        <f>'REG y VAL POE - AESR - ESR'!I1968</f>
        <v>SI</v>
      </c>
      <c r="TR26" s="57" t="str">
        <f>'REG y VAL POE - AESR - ESR'!J1968</f>
        <v>Vencida</v>
      </c>
      <c r="TS26" s="57" t="str">
        <f>'REG y VAL POE - AESR - ESR'!K1968</f>
        <v>SI</v>
      </c>
      <c r="TT26" s="57" t="str">
        <f>'REG y VAL POE - AESR - ESR'!L1968</f>
        <v>Vencida</v>
      </c>
      <c r="TU26" s="57" t="str">
        <f>'REG y VAL POE - AESR - ESR'!M1968</f>
        <v>NO</v>
      </c>
      <c r="TV26" s="57" t="str">
        <f>'REG y VAL POE - AESR - ESR'!N1968</f>
        <v>falta firma RL-VENCIDOS</v>
      </c>
      <c r="TW26" s="57" t="str">
        <f>'REG y VAL POE - AESR - ESR'!O1968</f>
        <v>SI</v>
      </c>
      <c r="TX26" s="57" t="str">
        <f>'REG y VAL POE - AESR - ESR'!P1968</f>
        <v>SI</v>
      </c>
      <c r="TY26" s="57" t="str">
        <f>'REG y VAL POE - AESR - ESR'!Q1968</f>
        <v>SI</v>
      </c>
      <c r="TZ26" s="57" t="str">
        <f>'REG y VAL POE - AESR - ESR'!R1968</f>
        <v>SI</v>
      </c>
      <c r="UA26" s="57" t="str">
        <f>'REG y VAL POE - AESR - ESR'!S1968</f>
        <v>SI</v>
      </c>
      <c r="UB26" s="57" t="str">
        <f>'REG y VAL POE - AESR - ESR'!T1968</f>
        <v>SI</v>
      </c>
      <c r="UC26" s="57" t="str">
        <f>'REG y VAL POE - AESR - ESR'!U1968</f>
        <v>SI</v>
      </c>
      <c r="UD26" s="57">
        <f>'REG y VAL POE - AESR - ESR'!V1968</f>
        <v>0</v>
      </c>
      <c r="UE26" s="57">
        <f>'REG y VAL POE - AESR - ESR'!W1968</f>
        <v>0</v>
      </c>
      <c r="UF26" s="57">
        <f>'REG y VAL POE - AESR - ESR'!X1968</f>
        <v>0</v>
      </c>
      <c r="UG26" s="57">
        <f>'REG y VAL POE - AESR - ESR'!Y1968</f>
        <v>0</v>
      </c>
      <c r="UH26" s="57" t="str">
        <f>'REG y VAL POE - AESR - ESR'!Z1968</f>
        <v>SI</v>
      </c>
      <c r="UI26" s="57">
        <f>'REG y VAL POE - AESR - ESR'!AA1968</f>
        <v>0</v>
      </c>
      <c r="UJ26" s="57">
        <f>'REG y VAL POE - AESR - ESR'!AB1968</f>
        <v>0</v>
      </c>
      <c r="UK26" s="57">
        <f>'REG y VAL POE - AESR - ESR'!AC1968</f>
        <v>0</v>
      </c>
      <c r="UL26" s="57">
        <f>'REG y VAL POE - AESR - ESR'!AD1968</f>
        <v>0</v>
      </c>
      <c r="UM26" s="57">
        <f>'REG y VAL POE - AESR - ESR'!AE1968</f>
        <v>0</v>
      </c>
      <c r="UN26" s="57">
        <f>'REG y VAL POE - AESR - ESR'!AF1968</f>
        <v>0</v>
      </c>
      <c r="UO26" s="57" t="str">
        <f>'REG y VAL POE - AESR - ESR'!AG1968</f>
        <v>SI</v>
      </c>
      <c r="UP26" s="57">
        <f>'REG y VAL POE - AESR - ESR'!AH1968</f>
        <v>0</v>
      </c>
      <c r="UQ26" s="57">
        <f>'REG y VAL POE - AESR - ESR'!AI1968</f>
        <v>0</v>
      </c>
      <c r="UR26" s="57">
        <f>'REG y VAL POE - AESR - ESR'!AJ1968</f>
        <v>0</v>
      </c>
      <c r="US26" s="57">
        <f>'REG y VAL POE - AESR - ESR'!AK1968</f>
        <v>0</v>
      </c>
      <c r="UT26" s="57">
        <f>'REG y VAL POE - AESR - ESR'!AL1968</f>
        <v>0</v>
      </c>
      <c r="UU26" s="57">
        <f>'REG y VAL POE - AESR - ESR'!AM1968</f>
        <v>0</v>
      </c>
      <c r="UV26" s="57">
        <f>'REG y VAL POE - AESR - ESR'!AN1968</f>
        <v>0</v>
      </c>
      <c r="UW26" s="57">
        <f>'REG y VAL POE - AESR - ESR'!AO1968</f>
        <v>0</v>
      </c>
      <c r="UX26" s="57">
        <f>'REG y VAL POE - AESR - ESR'!AP1968</f>
        <v>0</v>
      </c>
      <c r="UY26" s="57">
        <f>'REG y VAL POE - AESR - ESR'!AQ1968</f>
        <v>0</v>
      </c>
      <c r="UZ26" s="57">
        <f>'REG y VAL POE - AESR - ESR'!AR1968</f>
        <v>0</v>
      </c>
      <c r="VA26" s="57">
        <f>'REG y VAL POE - AESR - ESR'!AS1968</f>
        <v>0</v>
      </c>
      <c r="VB26" s="58">
        <f>'REG y VAL POE - AESR - ESR'!B1969</f>
        <v>0</v>
      </c>
      <c r="VC26" s="57">
        <f>'REG y VAL POE - AESR - ESR'!C1969</f>
        <v>0</v>
      </c>
      <c r="VD26" s="56">
        <f>'REG y VAL POE - AESR - ESR'!D1969</f>
        <v>0</v>
      </c>
      <c r="VE26" s="57">
        <f>'REG y VAL POE - AESR - ESR'!E1969</f>
        <v>0</v>
      </c>
      <c r="VF26" s="56">
        <f>'REG y VAL POE - AESR - ESR'!F1969</f>
        <v>0</v>
      </c>
      <c r="VG26" s="59">
        <f>'REG y VAL POE - AESR - ESR'!G1969</f>
        <v>0</v>
      </c>
      <c r="VH26" s="59">
        <f>'REG y VAL POE - AESR - ESR'!H1969</f>
        <v>0</v>
      </c>
      <c r="VI26" s="57">
        <f>'REG y VAL POE - AESR - ESR'!I1969</f>
        <v>0</v>
      </c>
      <c r="VJ26" s="57">
        <f>'REG y VAL POE - AESR - ESR'!J1969</f>
        <v>0</v>
      </c>
      <c r="VK26" s="57">
        <f>'REG y VAL POE - AESR - ESR'!K1969</f>
        <v>0</v>
      </c>
      <c r="VL26" s="57">
        <f>'REG y VAL POE - AESR - ESR'!L1969</f>
        <v>0</v>
      </c>
      <c r="VM26" s="57">
        <f>'REG y VAL POE - AESR - ESR'!M1969</f>
        <v>0</v>
      </c>
      <c r="VN26" s="57">
        <f>'REG y VAL POE - AESR - ESR'!N1969</f>
        <v>0</v>
      </c>
      <c r="VO26" s="57">
        <f>'REG y VAL POE - AESR - ESR'!O1969</f>
        <v>0</v>
      </c>
      <c r="VP26" s="57">
        <f>'REG y VAL POE - AESR - ESR'!P1969</f>
        <v>0</v>
      </c>
      <c r="VQ26" s="57">
        <f>'REG y VAL POE - AESR - ESR'!Q1969</f>
        <v>0</v>
      </c>
      <c r="VR26" s="57">
        <f>'REG y VAL POE - AESR - ESR'!R1969</f>
        <v>0</v>
      </c>
      <c r="VS26" s="57">
        <f>'REG y VAL POE - AESR - ESR'!S1969</f>
        <v>0</v>
      </c>
      <c r="VT26" s="57">
        <f>'REG y VAL POE - AESR - ESR'!T1969</f>
        <v>0</v>
      </c>
      <c r="VU26" s="57">
        <f>'REG y VAL POE - AESR - ESR'!U1969</f>
        <v>0</v>
      </c>
      <c r="VV26" s="57">
        <f>'REG y VAL POE - AESR - ESR'!V1969</f>
        <v>0</v>
      </c>
      <c r="VW26" s="57">
        <f>'REG y VAL POE - AESR - ESR'!W1969</f>
        <v>0</v>
      </c>
      <c r="VX26" s="57">
        <f>'REG y VAL POE - AESR - ESR'!X1969</f>
        <v>0</v>
      </c>
      <c r="VY26" s="57">
        <f>'REG y VAL POE - AESR - ESR'!Y1969</f>
        <v>0</v>
      </c>
      <c r="VZ26" s="57">
        <f>'REG y VAL POE - AESR - ESR'!Z1969</f>
        <v>0</v>
      </c>
      <c r="WA26" s="57">
        <f>'REG y VAL POE - AESR - ESR'!AA1969</f>
        <v>0</v>
      </c>
      <c r="WB26" s="57">
        <f>'REG y VAL POE - AESR - ESR'!AB1969</f>
        <v>0</v>
      </c>
      <c r="WC26" s="57">
        <f>'REG y VAL POE - AESR - ESR'!AC1969</f>
        <v>0</v>
      </c>
      <c r="WD26" s="57">
        <f>'REG y VAL POE - AESR - ESR'!AD1969</f>
        <v>0</v>
      </c>
      <c r="WE26" s="57">
        <f>'REG y VAL POE - AESR - ESR'!AE1969</f>
        <v>0</v>
      </c>
      <c r="WF26" s="57">
        <f>'REG y VAL POE - AESR - ESR'!AF1969</f>
        <v>0</v>
      </c>
      <c r="WG26" s="57">
        <f>'REG y VAL POE - AESR - ESR'!AG1969</f>
        <v>0</v>
      </c>
      <c r="WH26" s="57">
        <f>'REG y VAL POE - AESR - ESR'!AH1969</f>
        <v>0</v>
      </c>
      <c r="WI26" s="57">
        <f>'REG y VAL POE - AESR - ESR'!AI1969</f>
        <v>0</v>
      </c>
      <c r="WJ26" s="57">
        <f>'REG y VAL POE - AESR - ESR'!AJ1969</f>
        <v>0</v>
      </c>
      <c r="WK26" s="57">
        <f>'REG y VAL POE - AESR - ESR'!AK1969</f>
        <v>0</v>
      </c>
      <c r="WL26" s="57">
        <f>'REG y VAL POE - AESR - ESR'!AL1969</f>
        <v>0</v>
      </c>
      <c r="WM26" s="57">
        <f>'REG y VAL POE - AESR - ESR'!AM1969</f>
        <v>0</v>
      </c>
      <c r="WN26" s="57">
        <f>'REG y VAL POE - AESR - ESR'!AN1969</f>
        <v>0</v>
      </c>
      <c r="WO26" s="57">
        <f>'REG y VAL POE - AESR - ESR'!AO1969</f>
        <v>0</v>
      </c>
      <c r="WP26" s="57">
        <f>'REG y VAL POE - AESR - ESR'!AP1969</f>
        <v>0</v>
      </c>
      <c r="WQ26" s="57">
        <f>'REG y VAL POE - AESR - ESR'!AQ1969</f>
        <v>0</v>
      </c>
      <c r="WR26" s="57">
        <f>'REG y VAL POE - AESR - ESR'!AR1969</f>
        <v>0</v>
      </c>
      <c r="WS26" s="57">
        <f>'REG y VAL POE - AESR - ESR'!AS1969</f>
        <v>0</v>
      </c>
      <c r="WT26" s="58">
        <f>'REG y VAL POE - AESR - ESR'!B1970</f>
        <v>0</v>
      </c>
      <c r="WU26" s="56">
        <f>'REG y VAL POE - AESR - ESR'!C1970</f>
        <v>0</v>
      </c>
      <c r="WV26" s="57">
        <f>'REG y VAL POE - AESR - ESR'!D1970</f>
        <v>0</v>
      </c>
      <c r="WW26" s="57">
        <f>'REG y VAL POE - AESR - ESR'!E1970</f>
        <v>0</v>
      </c>
      <c r="WX26" s="57">
        <f>'REG y VAL POE - AESR - ESR'!F1970</f>
        <v>0</v>
      </c>
      <c r="WY26" s="56">
        <f>'REG y VAL POE - AESR - ESR'!G1970</f>
        <v>0</v>
      </c>
      <c r="WZ26" s="57">
        <f>'REG y VAL POE - AESR - ESR'!H1970</f>
        <v>0</v>
      </c>
      <c r="XA26" s="57">
        <f>'REG y VAL POE - AESR - ESR'!I1970</f>
        <v>0</v>
      </c>
      <c r="XB26" s="56">
        <f>'REG y VAL POE - AESR - ESR'!J1970</f>
        <v>0</v>
      </c>
      <c r="XC26" s="57">
        <f>'REG y VAL POE - AESR - ESR'!K1970</f>
        <v>0</v>
      </c>
      <c r="XD26" s="58">
        <f>'REG y VAL POE - AESR - ESR'!L1970</f>
        <v>0</v>
      </c>
      <c r="XE26" s="56">
        <f>'REG y VAL POE - AESR - ESR'!M1970</f>
        <v>0</v>
      </c>
      <c r="XF26" s="57">
        <f>'REG y VAL POE - AESR - ESR'!N1970</f>
        <v>0</v>
      </c>
      <c r="XG26" s="57">
        <f>'REG y VAL POE - AESR - ESR'!O1970</f>
        <v>0</v>
      </c>
      <c r="XH26" s="57">
        <f>'REG y VAL POE - AESR - ESR'!P1970</f>
        <v>0</v>
      </c>
      <c r="XI26" s="56">
        <f>'REG y VAL POE - AESR - ESR'!Q1970</f>
        <v>0</v>
      </c>
      <c r="XJ26" s="57">
        <f>'REG y VAL POE - AESR - ESR'!R1970</f>
        <v>0</v>
      </c>
      <c r="XK26" s="57">
        <f>'REG y VAL POE - AESR - ESR'!S1970</f>
        <v>0</v>
      </c>
      <c r="XL26" s="56">
        <f>'REG y VAL POE - AESR - ESR'!T1970</f>
        <v>0</v>
      </c>
      <c r="XM26" s="57">
        <f>'REG y VAL POE - AESR - ESR'!U1970</f>
        <v>0</v>
      </c>
      <c r="XN26" s="58">
        <f>'REG y VAL POE - AESR - ESR'!V1970</f>
        <v>0</v>
      </c>
      <c r="XO26" s="56">
        <f>'REG y VAL POE - AESR - ESR'!W1970</f>
        <v>0</v>
      </c>
      <c r="XP26" s="57">
        <f>'REG y VAL POE - AESR - ESR'!X1970</f>
        <v>0</v>
      </c>
      <c r="XQ26" s="57">
        <f>'REG y VAL POE - AESR - ESR'!Y1970</f>
        <v>0</v>
      </c>
      <c r="XR26" s="57">
        <f>'REG y VAL POE - AESR - ESR'!Z1970</f>
        <v>0</v>
      </c>
      <c r="XS26" s="56">
        <f>'REG y VAL POE - AESR - ESR'!AA1970</f>
        <v>0</v>
      </c>
      <c r="XT26" s="57">
        <f>'REG y VAL POE - AESR - ESR'!AB1970</f>
        <v>0</v>
      </c>
      <c r="XU26" s="57">
        <f>'REG y VAL POE - AESR - ESR'!AC1970</f>
        <v>0</v>
      </c>
      <c r="XV26" s="56">
        <f>'REG y VAL POE - AESR - ESR'!AD1970</f>
        <v>0</v>
      </c>
      <c r="XW26" s="57">
        <f>'REG y VAL POE - AESR - ESR'!AE1970</f>
        <v>0</v>
      </c>
      <c r="XX26" s="58">
        <f>'REG y VAL POE - AESR - ESR'!AF1970</f>
        <v>0</v>
      </c>
      <c r="XY26" s="56">
        <f>'REG y VAL POE - AESR - ESR'!AG1970</f>
        <v>0</v>
      </c>
      <c r="XZ26" s="57">
        <f>'REG y VAL POE - AESR - ESR'!AH1970</f>
        <v>0</v>
      </c>
      <c r="YA26" s="57">
        <f>'REG y VAL POE - AESR - ESR'!AI1970</f>
        <v>0</v>
      </c>
      <c r="YB26" s="57">
        <f>'REG y VAL POE - AESR - ESR'!AJ1970</f>
        <v>0</v>
      </c>
      <c r="YC26" s="56">
        <f>'REG y VAL POE - AESR - ESR'!AK1970</f>
        <v>0</v>
      </c>
      <c r="YD26" s="57">
        <f>'REG y VAL POE - AESR - ESR'!AL1970</f>
        <v>0</v>
      </c>
      <c r="YE26" s="57">
        <f>'REG y VAL POE - AESR - ESR'!AM1970</f>
        <v>0</v>
      </c>
      <c r="YF26" s="56">
        <f>'REG y VAL POE - AESR - ESR'!AN1970</f>
        <v>0</v>
      </c>
      <c r="YG26" s="57">
        <f>'REG y VAL POE - AESR - ESR'!AO1970</f>
        <v>0</v>
      </c>
      <c r="YH26" s="58">
        <f>'REG y VAL POE - AESR - ESR'!AP1970</f>
        <v>0</v>
      </c>
      <c r="YI26" s="56">
        <f>'REG y VAL POE - AESR - ESR'!AQ1970</f>
        <v>0</v>
      </c>
      <c r="YJ26" s="57">
        <f>'REG y VAL POE - AESR - ESR'!AR1970</f>
        <v>0</v>
      </c>
      <c r="YK26" s="57">
        <f>'REG y VAL POE - AESR - ESR'!AS1970</f>
        <v>0</v>
      </c>
      <c r="YL26" s="57">
        <f>'REG y VAL POE - AESR - ESR'!B1971</f>
        <v>0</v>
      </c>
      <c r="YM26" s="56">
        <f>'REG y VAL POE - AESR - ESR'!C1971</f>
        <v>0</v>
      </c>
      <c r="YN26" s="57">
        <f>'REG y VAL POE - AESR - ESR'!D1971</f>
        <v>0</v>
      </c>
      <c r="YO26" s="57">
        <f>'REG y VAL POE - AESR - ESR'!E1971</f>
        <v>0</v>
      </c>
      <c r="YP26" s="56">
        <f>'REG y VAL POE - AESR - ESR'!F1971</f>
        <v>0</v>
      </c>
      <c r="YQ26" s="57">
        <f>'REG y VAL POE - AESR - ESR'!G1971</f>
        <v>0</v>
      </c>
      <c r="YR26" s="58">
        <f>'REG y VAL POE - AESR - ESR'!H1971</f>
        <v>0</v>
      </c>
      <c r="YS26" s="56">
        <f>'REG y VAL POE - AESR - ESR'!I1971</f>
        <v>0</v>
      </c>
      <c r="YT26" s="57">
        <f>'REG y VAL POE - AESR - ESR'!J1971</f>
        <v>0</v>
      </c>
      <c r="YU26" s="57">
        <f>'REG y VAL POE - AESR - ESR'!K1971</f>
        <v>0</v>
      </c>
      <c r="YV26" s="57">
        <f>'REG y VAL POE - AESR - ESR'!L1971</f>
        <v>0</v>
      </c>
      <c r="YW26" s="56">
        <f>'REG y VAL POE - AESR - ESR'!M1971</f>
        <v>0</v>
      </c>
      <c r="YX26" s="57">
        <f>'REG y VAL POE - AESR - ESR'!N1971</f>
        <v>0</v>
      </c>
      <c r="YY26" s="57">
        <f>'REG y VAL POE - AESR - ESR'!O1971</f>
        <v>0</v>
      </c>
      <c r="YZ26" s="56">
        <f>'REG y VAL POE - AESR - ESR'!P1971</f>
        <v>0</v>
      </c>
      <c r="ZA26" s="57">
        <f>'REG y VAL POE - AESR - ESR'!Q1971</f>
        <v>0</v>
      </c>
      <c r="ZB26" s="58">
        <f>'REG y VAL POE - AESR - ESR'!R1971</f>
        <v>0</v>
      </c>
      <c r="ZC26" s="56">
        <f>'REG y VAL POE - AESR - ESR'!S1971</f>
        <v>0</v>
      </c>
      <c r="ZD26" s="57">
        <f>'REG y VAL POE - AESR - ESR'!T1971</f>
        <v>0</v>
      </c>
      <c r="ZE26" s="57">
        <f>'REG y VAL POE - AESR - ESR'!U1971</f>
        <v>0</v>
      </c>
      <c r="ZF26" s="57">
        <f>'REG y VAL POE - AESR - ESR'!V1971</f>
        <v>0</v>
      </c>
      <c r="ZG26" s="56">
        <f>'REG y VAL POE - AESR - ESR'!W1971</f>
        <v>0</v>
      </c>
      <c r="ZH26" s="57">
        <f>'REG y VAL POE - AESR - ESR'!X1971</f>
        <v>0</v>
      </c>
      <c r="ZI26" s="57">
        <f>'REG y VAL POE - AESR - ESR'!Y1971</f>
        <v>0</v>
      </c>
      <c r="ZJ26" s="56">
        <f>'REG y VAL POE - AESR - ESR'!Z1971</f>
        <v>0</v>
      </c>
      <c r="ZK26" s="57">
        <f>'REG y VAL POE - AESR - ESR'!AA1971</f>
        <v>0</v>
      </c>
      <c r="ZL26" s="58">
        <f>'REG y VAL POE - AESR - ESR'!AB1971</f>
        <v>0</v>
      </c>
      <c r="ZM26" s="56">
        <f>'REG y VAL POE - AESR - ESR'!AC1971</f>
        <v>0</v>
      </c>
      <c r="ZN26" s="57">
        <f>'REG y VAL POE - AESR - ESR'!AD1971</f>
        <v>0</v>
      </c>
      <c r="ZO26" s="57">
        <f>'REG y VAL POE - AESR - ESR'!AE1971</f>
        <v>0</v>
      </c>
      <c r="ZP26" s="57">
        <f>'REG y VAL POE - AESR - ESR'!AF1971</f>
        <v>0</v>
      </c>
      <c r="ZQ26" s="56">
        <f>'REG y VAL POE - AESR - ESR'!AG1971</f>
        <v>0</v>
      </c>
      <c r="ZR26" s="57">
        <f>'REG y VAL POE - AESR - ESR'!AH1971</f>
        <v>0</v>
      </c>
      <c r="ZS26" s="57">
        <f>'REG y VAL POE - AESR - ESR'!AI1971</f>
        <v>0</v>
      </c>
      <c r="ZT26" s="56">
        <f>'REG y VAL POE - AESR - ESR'!AJ1971</f>
        <v>0</v>
      </c>
      <c r="ZU26" s="57">
        <f>'REG y VAL POE - AESR - ESR'!AK1971</f>
        <v>0</v>
      </c>
      <c r="ZV26" s="58">
        <f>'REG y VAL POE - AESR - ESR'!AL1971</f>
        <v>0</v>
      </c>
      <c r="ZW26" s="56">
        <f>'REG y VAL POE - AESR - ESR'!AM1971</f>
        <v>0</v>
      </c>
      <c r="ZX26" s="57">
        <f>'REG y VAL POE - AESR - ESR'!AN1971</f>
        <v>0</v>
      </c>
      <c r="ZY26" s="57">
        <f>'REG y VAL POE - AESR - ESR'!AO1971</f>
        <v>0</v>
      </c>
      <c r="ZZ26" s="57">
        <f>'REG y VAL POE - AESR - ESR'!AP1971</f>
        <v>0</v>
      </c>
      <c r="AAA26" s="56">
        <f>'REG y VAL POE - AESR - ESR'!AQ1971</f>
        <v>0</v>
      </c>
      <c r="AAB26" s="57">
        <f>'REG y VAL POE - AESR - ESR'!AR1971</f>
        <v>0</v>
      </c>
      <c r="AAC26" s="57">
        <f>'REG y VAL POE - AESR - ESR'!AS1971</f>
        <v>0</v>
      </c>
      <c r="AAD26" s="56">
        <f>'REG y VAL POE - AESR - ESR'!B1972</f>
        <v>0</v>
      </c>
      <c r="AAE26" s="57">
        <f>'REG y VAL POE - AESR - ESR'!C1972</f>
        <v>0</v>
      </c>
      <c r="AAF26" s="58">
        <f>'REG y VAL POE - AESR - ESR'!D1972</f>
        <v>0</v>
      </c>
      <c r="AAG26" s="56">
        <f>'REG y VAL POE - AESR - ESR'!E1972</f>
        <v>0</v>
      </c>
      <c r="AAH26" s="57">
        <f>'REG y VAL POE - AESR - ESR'!F1972</f>
        <v>0</v>
      </c>
      <c r="AAI26" s="57">
        <f>'REG y VAL POE - AESR - ESR'!G1972</f>
        <v>0</v>
      </c>
      <c r="AAJ26" s="57">
        <f>'REG y VAL POE - AESR - ESR'!H1972</f>
        <v>0</v>
      </c>
      <c r="AAK26" s="56">
        <f>'REG y VAL POE - AESR - ESR'!I1972</f>
        <v>0</v>
      </c>
      <c r="AAL26" s="57">
        <f>'REG y VAL POE - AESR - ESR'!J1972</f>
        <v>0</v>
      </c>
      <c r="AAM26" s="57">
        <f>'REG y VAL POE - AESR - ESR'!K1972</f>
        <v>0</v>
      </c>
      <c r="AAN26" s="56">
        <f>'REG y VAL POE - AESR - ESR'!L1972</f>
        <v>0</v>
      </c>
      <c r="AAO26" s="57">
        <f>'REG y VAL POE - AESR - ESR'!M1972</f>
        <v>0</v>
      </c>
      <c r="AAP26" s="58">
        <f>'REG y VAL POE - AESR - ESR'!N1972</f>
        <v>0</v>
      </c>
      <c r="AAQ26" s="56">
        <f>'REG y VAL POE - AESR - ESR'!O1972</f>
        <v>0</v>
      </c>
      <c r="AAR26" s="57">
        <f>'REG y VAL POE - AESR - ESR'!P1972</f>
        <v>0</v>
      </c>
      <c r="AAS26" s="57">
        <f>'REG y VAL POE - AESR - ESR'!Q1972</f>
        <v>0</v>
      </c>
      <c r="AAT26" s="57">
        <f>'REG y VAL POE - AESR - ESR'!R1972</f>
        <v>0</v>
      </c>
      <c r="AAU26" s="56">
        <f>'REG y VAL POE - AESR - ESR'!S1972</f>
        <v>0</v>
      </c>
      <c r="AAV26" s="57">
        <f>'REG y VAL POE - AESR - ESR'!T1972</f>
        <v>0</v>
      </c>
      <c r="AAW26" s="57">
        <f>'REG y VAL POE - AESR - ESR'!U1972</f>
        <v>0</v>
      </c>
      <c r="AAX26" s="58">
        <f>'REG y VAL POE - AESR - ESR'!V1972</f>
        <v>0</v>
      </c>
      <c r="AAY26" s="58">
        <f>'REG y VAL POE - AESR - ESR'!W1972</f>
        <v>0</v>
      </c>
      <c r="AAZ26" s="58">
        <f>'REG y VAL POE - AESR - ESR'!X1972</f>
        <v>0</v>
      </c>
      <c r="ABA26" s="56">
        <f>'REG y VAL POE - AESR - ESR'!Y1972</f>
        <v>0</v>
      </c>
      <c r="ABB26" s="58">
        <f>'REG y VAL POE - AESR - ESR'!Z1972</f>
        <v>0</v>
      </c>
      <c r="ABC26" s="58">
        <f>'REG y VAL POE - AESR - ESR'!AA1972</f>
        <v>0</v>
      </c>
      <c r="ABD26" s="58">
        <f>'REG y VAL POE - AESR - ESR'!AB1972</f>
        <v>0</v>
      </c>
      <c r="ABE26" s="58">
        <f>'REG y VAL POE - AESR - ESR'!AC1972</f>
        <v>0</v>
      </c>
      <c r="ABF26" s="58">
        <f>'REG y VAL POE - AESR - ESR'!AD1972</f>
        <v>0</v>
      </c>
      <c r="ABG26" s="57">
        <f>'REG y VAL POE - AESR - ESR'!AE1972</f>
        <v>0</v>
      </c>
      <c r="ABH26" s="56">
        <f>'REG y VAL POE - AESR - ESR'!AF1972</f>
        <v>0</v>
      </c>
      <c r="ABI26" s="57">
        <f>'REG y VAL POE - AESR - ESR'!AG1972</f>
        <v>0</v>
      </c>
      <c r="ABJ26" s="58">
        <f>'REG y VAL POE - AESR - ESR'!AH1972</f>
        <v>0</v>
      </c>
      <c r="ABK26" s="56">
        <f>'REG y VAL POE - AESR - ESR'!AI1972</f>
        <v>0</v>
      </c>
      <c r="ABL26" s="57">
        <f>'REG y VAL POE - AESR - ESR'!AJ1972</f>
        <v>0</v>
      </c>
      <c r="ABM26" s="57">
        <f>'REG y VAL POE - AESR - ESR'!AK1972</f>
        <v>0</v>
      </c>
      <c r="ABN26" s="57">
        <f>'REG y VAL POE - AESR - ESR'!AL1972</f>
        <v>0</v>
      </c>
      <c r="ABO26" s="56">
        <f>'REG y VAL POE - AESR - ESR'!AM1972</f>
        <v>0</v>
      </c>
      <c r="ABP26" s="57">
        <f>'REG y VAL POE - AESR - ESR'!AN1972</f>
        <v>0</v>
      </c>
      <c r="ABQ26" s="57">
        <f>'REG y VAL POE - AESR - ESR'!AO1972</f>
        <v>0</v>
      </c>
      <c r="ABR26" s="56">
        <f>'REG y VAL POE - AESR - ESR'!AP1972</f>
        <v>0</v>
      </c>
      <c r="ABS26" s="57">
        <f>'REG y VAL POE - AESR - ESR'!AQ1972</f>
        <v>0</v>
      </c>
      <c r="ABT26" s="58">
        <f>'REG y VAL POE - AESR - ESR'!AR1972</f>
        <v>0</v>
      </c>
      <c r="ABU26" s="56">
        <f>'REG y VAL POE - AESR - ESR'!AS1972</f>
        <v>0</v>
      </c>
      <c r="ABV26" s="57">
        <f>'REG y VAL POE - AESR - ESR'!B1973</f>
        <v>0</v>
      </c>
      <c r="ABW26" s="57">
        <f>'REG y VAL POE - AESR - ESR'!C1973</f>
        <v>0</v>
      </c>
      <c r="ABX26" s="57">
        <f>'REG y VAL POE - AESR - ESR'!D1973</f>
        <v>0</v>
      </c>
      <c r="ABY26" s="56">
        <f>'REG y VAL POE - AESR - ESR'!E1973</f>
        <v>0</v>
      </c>
      <c r="ABZ26" s="57">
        <f>'REG y VAL POE - AESR - ESR'!F1973</f>
        <v>0</v>
      </c>
      <c r="ACA26" s="57">
        <f>'REG y VAL POE - AESR - ESR'!G1973</f>
        <v>0</v>
      </c>
      <c r="ACB26" s="56">
        <f>'REG y VAL POE - AESR - ESR'!H1973</f>
        <v>0</v>
      </c>
      <c r="ACC26" s="57">
        <f>'REG y VAL POE - AESR - ESR'!I1973</f>
        <v>0</v>
      </c>
      <c r="ACD26" s="58">
        <f>'REG y VAL POE - AESR - ESR'!J1973</f>
        <v>0</v>
      </c>
      <c r="ACE26" s="56">
        <f>'REG y VAL POE - AESR - ESR'!K1973</f>
        <v>0</v>
      </c>
      <c r="ACF26" s="57">
        <f>'REG y VAL POE - AESR - ESR'!L1973</f>
        <v>0</v>
      </c>
      <c r="ACG26" s="57">
        <f>'REG y VAL POE - AESR - ESR'!M1973</f>
        <v>0</v>
      </c>
      <c r="ACH26" s="57">
        <f>'REG y VAL POE - AESR - ESR'!N1973</f>
        <v>0</v>
      </c>
      <c r="ACI26" s="56">
        <f>'REG y VAL POE - AESR - ESR'!O1973</f>
        <v>0</v>
      </c>
      <c r="ACJ26" s="57">
        <f>'REG y VAL POE - AESR - ESR'!P1973</f>
        <v>0</v>
      </c>
      <c r="ACK26" s="57">
        <f>'REG y VAL POE - AESR - ESR'!Q1973</f>
        <v>0</v>
      </c>
      <c r="ACL26" s="56">
        <f>'REG y VAL POE - AESR - ESR'!R1973</f>
        <v>0</v>
      </c>
      <c r="ACM26" s="57">
        <f>'REG y VAL POE - AESR - ESR'!S1973</f>
        <v>0</v>
      </c>
      <c r="ACN26" s="58">
        <f>'REG y VAL POE - AESR - ESR'!T1973</f>
        <v>0</v>
      </c>
      <c r="ACO26" s="56">
        <f>'REG y VAL POE - AESR - ESR'!U1973</f>
        <v>0</v>
      </c>
      <c r="ACP26" s="57">
        <f>'REG y VAL POE - AESR - ESR'!V1973</f>
        <v>0</v>
      </c>
      <c r="ACQ26" s="57">
        <f>'REG y VAL POE - AESR - ESR'!W1973</f>
        <v>0</v>
      </c>
      <c r="ACR26" s="57">
        <f>'REG y VAL POE - AESR - ESR'!X1973</f>
        <v>0</v>
      </c>
      <c r="ACS26" s="56">
        <f>'REG y VAL POE - AESR - ESR'!Y1973</f>
        <v>0</v>
      </c>
      <c r="ACT26" s="57">
        <f>'REG y VAL POE - AESR - ESR'!Z1973</f>
        <v>0</v>
      </c>
      <c r="ACU26" s="57">
        <f>'REG y VAL POE - AESR - ESR'!AA1973</f>
        <v>0</v>
      </c>
      <c r="ACV26" s="56">
        <f>'REG y VAL POE - AESR - ESR'!AB1973</f>
        <v>0</v>
      </c>
      <c r="ACW26" s="57">
        <f>'REG y VAL POE - AESR - ESR'!AC1973</f>
        <v>0</v>
      </c>
      <c r="ACX26" s="58">
        <f>'REG y VAL POE - AESR - ESR'!AD1973</f>
        <v>0</v>
      </c>
      <c r="ACY26" s="56">
        <f>'REG y VAL POE - AESR - ESR'!AE1973</f>
        <v>0</v>
      </c>
      <c r="ACZ26" s="57">
        <f>'REG y VAL POE - AESR - ESR'!AF1973</f>
        <v>0</v>
      </c>
      <c r="ADA26" s="57">
        <f>'REG y VAL POE - AESR - ESR'!AG1973</f>
        <v>0</v>
      </c>
      <c r="ADB26" s="57">
        <f>'REG y VAL POE - AESR - ESR'!AH1973</f>
        <v>0</v>
      </c>
      <c r="ADC26" s="56">
        <f>'REG y VAL POE - AESR - ESR'!AI1973</f>
        <v>0</v>
      </c>
      <c r="ADD26" s="57">
        <f>'REG y VAL POE - AESR - ESR'!AJ1973</f>
        <v>0</v>
      </c>
      <c r="ADE26" s="57">
        <f>'REG y VAL POE - AESR - ESR'!AK1973</f>
        <v>0</v>
      </c>
      <c r="ADF26" s="56">
        <f>'REG y VAL POE - AESR - ESR'!AL1973</f>
        <v>0</v>
      </c>
      <c r="ADG26" s="57">
        <f>'REG y VAL POE - AESR - ESR'!AM1973</f>
        <v>0</v>
      </c>
      <c r="ADH26" s="58">
        <f>'REG y VAL POE - AESR - ESR'!AN1973</f>
        <v>0</v>
      </c>
      <c r="ADI26" s="56">
        <f>'REG y VAL POE - AESR - ESR'!AO1973</f>
        <v>0</v>
      </c>
      <c r="ADJ26" s="57">
        <f>'REG y VAL POE - AESR - ESR'!AP1973</f>
        <v>0</v>
      </c>
      <c r="ADK26" s="57">
        <f>'REG y VAL POE - AESR - ESR'!AQ1973</f>
        <v>0</v>
      </c>
      <c r="ADL26" s="57">
        <f>'REG y VAL POE - AESR - ESR'!AR1973</f>
        <v>0</v>
      </c>
      <c r="ADM26" s="56">
        <f>'REG y VAL POE - AESR - ESR'!AS1973</f>
        <v>0</v>
      </c>
      <c r="ADN26" s="57">
        <f>'REG y VAL POE - AESR - ESR'!B1974</f>
        <v>0</v>
      </c>
      <c r="ADO26" s="57">
        <f>'REG y VAL POE - AESR - ESR'!C1974</f>
        <v>0</v>
      </c>
      <c r="ADP26" s="56">
        <f>'REG y VAL POE - AESR - ESR'!D1974</f>
        <v>0</v>
      </c>
      <c r="ADQ26" s="57">
        <f>'REG y VAL POE - AESR - ESR'!E1974</f>
        <v>0</v>
      </c>
      <c r="ADR26" s="58">
        <f>'REG y VAL POE - AESR - ESR'!F1974</f>
        <v>0</v>
      </c>
      <c r="ADS26" s="56">
        <f>'REG y VAL POE - AESR - ESR'!G1974</f>
        <v>0</v>
      </c>
      <c r="ADT26" s="57">
        <f>'REG y VAL POE - AESR - ESR'!H1974</f>
        <v>0</v>
      </c>
      <c r="ADU26" s="57">
        <f>'REG y VAL POE - AESR - ESR'!I1974</f>
        <v>0</v>
      </c>
      <c r="ADV26" s="57">
        <f>'REG y VAL POE - AESR - ESR'!J1974</f>
        <v>0</v>
      </c>
      <c r="ADW26" s="56">
        <f>'REG y VAL POE - AESR - ESR'!K1974</f>
        <v>0</v>
      </c>
      <c r="ADX26" s="57">
        <f>'REG y VAL POE - AESR - ESR'!L1974</f>
        <v>0</v>
      </c>
      <c r="ADY26" s="57">
        <f>'REG y VAL POE - AESR - ESR'!M1974</f>
        <v>0</v>
      </c>
      <c r="ADZ26" s="56">
        <f>'REG y VAL POE - AESR - ESR'!N1974</f>
        <v>0</v>
      </c>
      <c r="AEA26" s="57">
        <f>'REG y VAL POE - AESR - ESR'!O1974</f>
        <v>0</v>
      </c>
      <c r="AEB26" s="58">
        <f>'REG y VAL POE - AESR - ESR'!P1974</f>
        <v>0</v>
      </c>
      <c r="AEC26" s="56">
        <f>'REG y VAL POE - AESR - ESR'!Q1974</f>
        <v>0</v>
      </c>
      <c r="AED26" s="57">
        <f>'REG y VAL POE - AESR - ESR'!R1974</f>
        <v>0</v>
      </c>
      <c r="AEE26" s="57">
        <f>'REG y VAL POE - AESR - ESR'!S1974</f>
        <v>0</v>
      </c>
      <c r="AEF26" s="57">
        <f>'REG y VAL POE - AESR - ESR'!T1974</f>
        <v>0</v>
      </c>
      <c r="AEG26" s="56">
        <f>'REG y VAL POE - AESR - ESR'!U1974</f>
        <v>0</v>
      </c>
      <c r="AEH26" s="57">
        <f>'REG y VAL POE - AESR - ESR'!V1974</f>
        <v>0</v>
      </c>
      <c r="AEI26" s="57">
        <f>'REG y VAL POE - AESR - ESR'!W1974</f>
        <v>0</v>
      </c>
      <c r="AEJ26" s="56">
        <f>'REG y VAL POE - AESR - ESR'!X1974</f>
        <v>0</v>
      </c>
      <c r="AEK26" s="57">
        <f>'REG y VAL POE - AESR - ESR'!Y1974</f>
        <v>0</v>
      </c>
      <c r="AEL26" s="58">
        <f>'REG y VAL POE - AESR - ESR'!Z1974</f>
        <v>0</v>
      </c>
      <c r="AEM26" s="56">
        <f>'REG y VAL POE - AESR - ESR'!AA1974</f>
        <v>0</v>
      </c>
      <c r="AEN26" s="57">
        <f>'REG y VAL POE - AESR - ESR'!AB1974</f>
        <v>0</v>
      </c>
      <c r="AEO26" s="57">
        <f>'REG y VAL POE - AESR - ESR'!AC1974</f>
        <v>0</v>
      </c>
      <c r="AEP26" s="57">
        <f>'REG y VAL POE - AESR - ESR'!AD1974</f>
        <v>0</v>
      </c>
      <c r="AEQ26" s="56">
        <f>'REG y VAL POE - AESR - ESR'!AE1974</f>
        <v>0</v>
      </c>
      <c r="AER26" s="57">
        <f>'REG y VAL POE - AESR - ESR'!AF1974</f>
        <v>0</v>
      </c>
      <c r="AES26" s="57">
        <f>'REG y VAL POE - AESR - ESR'!AG1974</f>
        <v>0</v>
      </c>
      <c r="AET26" s="56">
        <f>'REG y VAL POE - AESR - ESR'!AH1974</f>
        <v>0</v>
      </c>
      <c r="AEU26" s="57">
        <f>'REG y VAL POE - AESR - ESR'!AI1974</f>
        <v>0</v>
      </c>
      <c r="AEV26" s="58">
        <f>'REG y VAL POE - AESR - ESR'!AJ1974</f>
        <v>0</v>
      </c>
      <c r="AEW26" s="56">
        <f>'REG y VAL POE - AESR - ESR'!AK1974</f>
        <v>0</v>
      </c>
      <c r="AEX26" s="57">
        <f>'REG y VAL POE - AESR - ESR'!AL1974</f>
        <v>0</v>
      </c>
      <c r="AEY26" s="57">
        <f>'REG y VAL POE - AESR - ESR'!AM1974</f>
        <v>0</v>
      </c>
      <c r="AEZ26" s="57">
        <f>'REG y VAL POE - AESR - ESR'!AN1974</f>
        <v>0</v>
      </c>
      <c r="AFA26" s="56">
        <f>'REG y VAL POE - AESR - ESR'!AO1974</f>
        <v>0</v>
      </c>
      <c r="AFB26" s="57">
        <f>'REG y VAL POE - AESR - ESR'!AP1974</f>
        <v>0</v>
      </c>
      <c r="AFC26" s="57">
        <f>'REG y VAL POE - AESR - ESR'!AQ1974</f>
        <v>0</v>
      </c>
      <c r="AFD26" s="56">
        <f>'REG y VAL POE - AESR - ESR'!AR1974</f>
        <v>0</v>
      </c>
      <c r="AFE26" s="57">
        <f>'REG y VAL POE - AESR - ESR'!AS1974</f>
        <v>0</v>
      </c>
      <c r="AFF26" s="58">
        <f>'REG y VAL POE - AESR - ESR'!B1975</f>
        <v>0</v>
      </c>
      <c r="AFG26" s="56">
        <f>'REG y VAL POE - AESR - ESR'!C1975</f>
        <v>0</v>
      </c>
      <c r="AFH26" s="57">
        <f>'REG y VAL POE - AESR - ESR'!D1975</f>
        <v>0</v>
      </c>
      <c r="AFI26" s="57">
        <f>'REG y VAL POE - AESR - ESR'!E1975</f>
        <v>0</v>
      </c>
      <c r="AFJ26" s="57">
        <f>'REG y VAL POE - AESR - ESR'!F1975</f>
        <v>0</v>
      </c>
      <c r="AFK26" s="56">
        <f>'REG y VAL POE - AESR - ESR'!G1975</f>
        <v>0</v>
      </c>
      <c r="AFL26" s="57">
        <f>'REG y VAL POE - AESR - ESR'!H1975</f>
        <v>0</v>
      </c>
      <c r="AFM26" s="57">
        <f>'REG y VAL POE - AESR - ESR'!I1975</f>
        <v>0</v>
      </c>
      <c r="AFN26" s="56">
        <f>'REG y VAL POE - AESR - ESR'!J1975</f>
        <v>0</v>
      </c>
      <c r="AFO26" s="57">
        <f>'REG y VAL POE - AESR - ESR'!K1975</f>
        <v>0</v>
      </c>
      <c r="AFP26" s="58">
        <f>'REG y VAL POE - AESR - ESR'!L1975</f>
        <v>0</v>
      </c>
      <c r="AFQ26" s="56">
        <f>'REG y VAL POE - AESR - ESR'!M1975</f>
        <v>0</v>
      </c>
      <c r="AFR26" s="57">
        <f>'REG y VAL POE - AESR - ESR'!N1975</f>
        <v>0</v>
      </c>
      <c r="AFS26" s="57">
        <f>'REG y VAL POE - AESR - ESR'!O1975</f>
        <v>0</v>
      </c>
      <c r="AFT26" s="57">
        <f>'REG y VAL POE - AESR - ESR'!P1975</f>
        <v>0</v>
      </c>
      <c r="AFU26" s="56">
        <f>'REG y VAL POE - AESR - ESR'!Q1975</f>
        <v>0</v>
      </c>
      <c r="AFV26" s="57">
        <f>'REG y VAL POE - AESR - ESR'!R1975</f>
        <v>0</v>
      </c>
      <c r="AFW26" s="57">
        <f>'REG y VAL POE - AESR - ESR'!S1975</f>
        <v>0</v>
      </c>
      <c r="AFX26" s="56">
        <f>'REG y VAL POE - AESR - ESR'!T1975</f>
        <v>0</v>
      </c>
      <c r="AFY26" s="57">
        <f>'REG y VAL POE - AESR - ESR'!U1975</f>
        <v>0</v>
      </c>
      <c r="AFZ26" s="58">
        <f>'REG y VAL POE - AESR - ESR'!V1975</f>
        <v>0</v>
      </c>
      <c r="AGA26" s="56">
        <f>'REG y VAL POE - AESR - ESR'!W1975</f>
        <v>0</v>
      </c>
      <c r="AGB26" s="57">
        <f>'REG y VAL POE - AESR - ESR'!X1975</f>
        <v>0</v>
      </c>
      <c r="AGC26" s="57">
        <f>'REG y VAL POE - AESR - ESR'!Y1975</f>
        <v>0</v>
      </c>
      <c r="AGD26" s="57">
        <f>'REG y VAL POE - AESR - ESR'!Z1975</f>
        <v>0</v>
      </c>
      <c r="AGE26" s="56">
        <f>'REG y VAL POE - AESR - ESR'!AA1975</f>
        <v>0</v>
      </c>
      <c r="AGF26" s="57">
        <f>'REG y VAL POE - AESR - ESR'!AB1975</f>
        <v>0</v>
      </c>
      <c r="AGG26" s="57">
        <f>'REG y VAL POE - AESR - ESR'!AC1975</f>
        <v>0</v>
      </c>
      <c r="AGH26" s="56">
        <f>'REG y VAL POE - AESR - ESR'!AD1975</f>
        <v>0</v>
      </c>
      <c r="AGI26" s="57">
        <f>'REG y VAL POE - AESR - ESR'!AE1975</f>
        <v>0</v>
      </c>
      <c r="AGJ26" s="58">
        <f>'REG y VAL POE - AESR - ESR'!AF1975</f>
        <v>0</v>
      </c>
      <c r="AGK26" s="56">
        <f>'REG y VAL POE - AESR - ESR'!AG1975</f>
        <v>0</v>
      </c>
      <c r="AGL26" s="57">
        <f>'REG y VAL POE - AESR - ESR'!AH1975</f>
        <v>0</v>
      </c>
      <c r="AGM26" s="57">
        <f>'REG y VAL POE - AESR - ESR'!AI1975</f>
        <v>0</v>
      </c>
      <c r="AGN26" s="57">
        <f>'REG y VAL POE - AESR - ESR'!AJ1975</f>
        <v>0</v>
      </c>
      <c r="AGO26" s="56">
        <f>'REG y VAL POE - AESR - ESR'!AK1975</f>
        <v>0</v>
      </c>
      <c r="AGP26" s="57">
        <f>'REG y VAL POE - AESR - ESR'!AL1975</f>
        <v>0</v>
      </c>
      <c r="AGQ26" s="57">
        <f>'REG y VAL POE - AESR - ESR'!AM1975</f>
        <v>0</v>
      </c>
      <c r="AGR26" s="56">
        <f>'REG y VAL POE - AESR - ESR'!AN1975</f>
        <v>0</v>
      </c>
      <c r="AGS26" s="57">
        <f>'REG y VAL POE - AESR - ESR'!AO1975</f>
        <v>0</v>
      </c>
      <c r="AGT26" s="58">
        <f>'REG y VAL POE - AESR - ESR'!AP1975</f>
        <v>0</v>
      </c>
      <c r="AGU26" s="56">
        <f>'REG y VAL POE - AESR - ESR'!AQ1975</f>
        <v>0</v>
      </c>
      <c r="AGV26" s="57">
        <f>'REG y VAL POE - AESR - ESR'!AR1975</f>
        <v>0</v>
      </c>
      <c r="AGW26" s="57">
        <f>'REG y VAL POE - AESR - ESR'!AS1975</f>
        <v>0</v>
      </c>
      <c r="AGX26" s="57"/>
      <c r="AGY26" s="56"/>
      <c r="AGZ26" s="57"/>
      <c r="AHA26" s="57"/>
      <c r="AHB26" s="56"/>
      <c r="AHC26" s="57"/>
      <c r="AHD26" s="58"/>
      <c r="AHE26" s="56"/>
      <c r="AHF26" s="57"/>
      <c r="AHG26" s="57"/>
      <c r="AHH26" s="57"/>
      <c r="AHI26" s="56"/>
      <c r="AHJ26" s="57"/>
      <c r="AHK26" s="57"/>
      <c r="AHL26" s="56"/>
      <c r="AHM26" s="57"/>
      <c r="AHN26" s="58"/>
      <c r="AHO26" s="56"/>
      <c r="AHP26" s="57"/>
      <c r="AHQ26" s="57"/>
      <c r="AHR26" s="57"/>
      <c r="AHS26" s="56"/>
      <c r="AHT26" s="57"/>
      <c r="AHU26" s="57"/>
      <c r="AHV26" s="56"/>
      <c r="AHW26" s="57"/>
      <c r="AHX26" s="58"/>
      <c r="AHY26" s="56"/>
      <c r="AHZ26" s="57"/>
      <c r="AIA26" s="57"/>
      <c r="AIB26" s="57"/>
      <c r="AIC26" s="56"/>
      <c r="AID26" s="57"/>
      <c r="AIE26" s="57"/>
      <c r="AIF26" s="56"/>
      <c r="AIG26" s="57"/>
      <c r="AIH26" s="58"/>
      <c r="AII26" s="56"/>
      <c r="AIJ26" s="57"/>
      <c r="AIK26" s="57"/>
      <c r="AIL26" s="57"/>
      <c r="AIM26" s="56"/>
      <c r="AIN26" s="57"/>
      <c r="AIO26" s="57"/>
      <c r="AIP26" s="56"/>
      <c r="AIQ26" s="57"/>
      <c r="AIR26" s="58"/>
      <c r="AIS26" s="56"/>
      <c r="AIT26" s="57"/>
      <c r="AIU26" s="57"/>
      <c r="AIV26" s="57"/>
      <c r="AIW26" s="56"/>
      <c r="AIX26" s="57"/>
      <c r="AIY26" s="57"/>
      <c r="AIZ26" s="56"/>
      <c r="AJA26" s="57"/>
      <c r="AJB26" s="58"/>
      <c r="AJC26" s="56"/>
      <c r="AJD26" s="57"/>
      <c r="AJE26" s="57"/>
      <c r="AJF26" s="57"/>
      <c r="AJG26" s="56"/>
      <c r="AJH26" s="57"/>
      <c r="AJI26" s="57"/>
      <c r="AJJ26" s="56"/>
      <c r="AJK26" s="57"/>
      <c r="AJL26" s="58"/>
      <c r="AJM26" s="56"/>
      <c r="AJN26" s="57"/>
      <c r="AJO26" s="57"/>
      <c r="AJP26" s="57"/>
      <c r="AJQ26" s="56"/>
      <c r="AJR26" s="57"/>
      <c r="AJS26" s="57"/>
      <c r="AJT26" s="56"/>
      <c r="AJU26" s="57"/>
      <c r="AJV26" s="58"/>
      <c r="AJW26" s="56"/>
      <c r="AJX26" s="57"/>
      <c r="AJY26" s="57"/>
      <c r="AJZ26" s="57"/>
      <c r="AKA26" s="56"/>
      <c r="AKB26" s="57"/>
      <c r="AKC26" s="57"/>
      <c r="AKD26" s="56"/>
      <c r="AKE26" s="57"/>
      <c r="AKF26" s="58"/>
      <c r="AKG26" s="56"/>
      <c r="AKH26" s="57"/>
      <c r="AKI26" s="57"/>
      <c r="AKJ26" s="57"/>
      <c r="AKK26" s="56"/>
      <c r="AKL26" s="57"/>
      <c r="AKM26" s="57"/>
      <c r="AKN26" s="56"/>
      <c r="AKO26" s="57"/>
      <c r="AKP26" s="58"/>
      <c r="AKQ26" s="56"/>
      <c r="AKR26" s="57"/>
      <c r="AKS26" s="57"/>
      <c r="AKT26" s="57"/>
      <c r="AKU26" s="56"/>
      <c r="AKV26" s="57"/>
      <c r="AKW26" s="57"/>
      <c r="AKX26" s="56"/>
      <c r="AKY26" s="57"/>
      <c r="AKZ26" s="58"/>
      <c r="ALA26" s="56"/>
      <c r="ALB26" s="57"/>
      <c r="ALC26" s="57"/>
      <c r="ALD26" s="57"/>
      <c r="ALE26" s="56"/>
      <c r="ALF26" s="57"/>
      <c r="ALG26" s="57"/>
      <c r="ALH26" s="57"/>
      <c r="ALI26" s="57"/>
      <c r="ALJ26" s="57"/>
      <c r="ALK26" s="56"/>
      <c r="ALL26" s="57"/>
      <c r="ALM26" s="57"/>
      <c r="ALN26" s="56"/>
      <c r="ALO26" s="57"/>
      <c r="ALP26" s="58"/>
      <c r="ALQ26" s="56"/>
      <c r="ALR26" s="57"/>
      <c r="ALS26" s="57"/>
      <c r="ALT26" s="57"/>
      <c r="ALU26" s="56"/>
      <c r="ALV26" s="57"/>
      <c r="ALW26" s="57"/>
      <c r="ALX26" s="56"/>
      <c r="ALY26" s="57"/>
      <c r="ALZ26" s="58"/>
      <c r="AMA26" s="56"/>
      <c r="AMB26" s="57"/>
      <c r="AMC26" s="57"/>
      <c r="AMD26" s="57"/>
      <c r="AME26" s="56"/>
      <c r="AMF26" s="57"/>
      <c r="AMG26" s="57"/>
      <c r="AMH26" s="57"/>
      <c r="AMI26" s="57"/>
      <c r="AMJ26" s="57"/>
      <c r="AMK26" s="56"/>
      <c r="AML26" s="57"/>
      <c r="AMM26" s="57"/>
      <c r="AMN26" s="56"/>
      <c r="AMO26" s="57"/>
      <c r="AMP26" s="58"/>
      <c r="AMQ26" s="56"/>
      <c r="AMR26" s="57"/>
      <c r="AMS26" s="57"/>
      <c r="AMT26" s="57"/>
      <c r="AMU26" s="56"/>
      <c r="AMV26" s="57"/>
      <c r="AMW26" s="57"/>
      <c r="AMX26" s="56"/>
      <c r="AMY26" s="57"/>
      <c r="AMZ26" s="58"/>
      <c r="ANA26" s="56"/>
      <c r="ANB26" s="57"/>
      <c r="ANC26" s="57"/>
      <c r="AND26" s="57"/>
      <c r="ANE26" s="56"/>
      <c r="ANF26" s="57"/>
      <c r="ANG26" s="57"/>
      <c r="ANH26" s="57"/>
      <c r="ANI26" s="57"/>
      <c r="ANJ26" s="57"/>
      <c r="ANK26" s="56"/>
      <c r="ANL26" s="57"/>
      <c r="ANM26" s="57"/>
      <c r="ANN26" s="56"/>
      <c r="ANO26" s="57"/>
      <c r="ANP26" s="58"/>
      <c r="ANQ26" s="56"/>
      <c r="ANR26" s="57"/>
      <c r="ANS26" s="57"/>
      <c r="ANT26" s="57"/>
      <c r="ANU26" s="56"/>
      <c r="ANV26" s="57"/>
      <c r="ANW26" s="57"/>
      <c r="ANX26" s="56"/>
      <c r="ANY26" s="57"/>
      <c r="ANZ26" s="58"/>
      <c r="AOA26" s="56"/>
      <c r="AOB26" s="57"/>
      <c r="AOC26" s="57"/>
      <c r="AOD26" s="57"/>
      <c r="AOE26" s="56"/>
      <c r="AOF26" s="57"/>
      <c r="AOG26" s="57"/>
      <c r="AOH26" s="57"/>
      <c r="AOI26" s="57"/>
      <c r="AOJ26" s="57"/>
      <c r="AOK26" s="56"/>
      <c r="AOL26" s="57"/>
      <c r="AOM26" s="57"/>
      <c r="AON26" s="56"/>
      <c r="AOO26" s="57"/>
      <c r="AOP26" s="58"/>
      <c r="AOQ26" s="56"/>
      <c r="AOR26" s="57"/>
      <c r="AOS26" s="57"/>
      <c r="AOT26" s="57"/>
      <c r="AOU26" s="56"/>
      <c r="AOV26" s="57"/>
      <c r="AOW26" s="57"/>
      <c r="AOX26" s="56"/>
      <c r="AOY26" s="57"/>
      <c r="AOZ26" s="58"/>
      <c r="APA26" s="56"/>
      <c r="APB26" s="57"/>
      <c r="APC26" s="57"/>
      <c r="APD26" s="57"/>
      <c r="APE26" s="56"/>
      <c r="APF26" s="57"/>
      <c r="APG26" s="57"/>
      <c r="APH26" s="57"/>
      <c r="API26" s="57"/>
      <c r="APJ26" s="57"/>
      <c r="APK26" s="56"/>
      <c r="APL26" s="57"/>
      <c r="APM26" s="57"/>
      <c r="APN26" s="56"/>
      <c r="APO26" s="57"/>
      <c r="APP26" s="58"/>
      <c r="APQ26" s="56"/>
      <c r="APR26" s="57"/>
      <c r="APS26" s="57"/>
      <c r="APT26" s="57"/>
      <c r="APU26" s="56"/>
      <c r="APV26" s="57"/>
      <c r="APW26" s="57"/>
      <c r="APX26" s="56"/>
      <c r="APY26" s="57"/>
      <c r="APZ26" s="58"/>
      <c r="AQA26" s="56"/>
      <c r="AQB26" s="57"/>
      <c r="AQC26" s="57"/>
      <c r="AQD26" s="57"/>
      <c r="AQE26" s="56"/>
      <c r="AQF26" s="57"/>
      <c r="AQG26" s="57"/>
      <c r="AQH26" s="57"/>
      <c r="AQI26" s="57"/>
      <c r="AQJ26" s="57"/>
      <c r="AQK26" s="56"/>
      <c r="AQL26" s="57"/>
      <c r="AQM26" s="57"/>
      <c r="AQN26" s="56"/>
      <c r="AQO26" s="57"/>
      <c r="AQP26" s="58"/>
      <c r="AQQ26" s="56"/>
      <c r="AQR26" s="57"/>
      <c r="AQS26" s="57"/>
      <c r="AQT26" s="57"/>
      <c r="AQU26" s="56"/>
      <c r="AQV26" s="57"/>
      <c r="AQW26" s="57"/>
      <c r="AQX26" s="56"/>
      <c r="AQY26" s="57"/>
      <c r="AQZ26" s="58"/>
      <c r="ARA26" s="56"/>
      <c r="ARB26" s="57"/>
      <c r="ARC26" s="57"/>
      <c r="ARD26" s="57"/>
      <c r="ARE26" s="56"/>
      <c r="ARF26" s="57"/>
      <c r="ARG26" s="57"/>
      <c r="ARH26" s="57"/>
      <c r="ARI26" s="57"/>
      <c r="ARJ26" s="57"/>
      <c r="ARK26" s="56"/>
      <c r="ARL26" s="57"/>
      <c r="ARM26" s="57"/>
      <c r="ARN26" s="56"/>
      <c r="ARO26" s="57"/>
      <c r="ARP26" s="58"/>
      <c r="ARQ26" s="56"/>
      <c r="ARR26" s="57"/>
      <c r="ARS26" s="57"/>
      <c r="ART26" s="57"/>
      <c r="ARU26" s="56"/>
      <c r="ARV26" s="57"/>
      <c r="ARW26" s="57"/>
      <c r="ARX26" s="56"/>
      <c r="ARY26" s="57"/>
      <c r="ARZ26" s="58"/>
      <c r="ASA26" s="56"/>
      <c r="ASB26" s="57"/>
      <c r="ASC26" s="57"/>
      <c r="ASD26" s="57"/>
      <c r="ASE26" s="56"/>
      <c r="ASF26" s="57"/>
      <c r="ASG26" s="57"/>
      <c r="ASH26" s="57"/>
      <c r="ASI26" s="57"/>
      <c r="ASJ26" s="57"/>
      <c r="ASK26" s="56"/>
      <c r="ASL26" s="57"/>
      <c r="ASM26" s="57"/>
      <c r="ASN26" s="56"/>
      <c r="ASO26" s="57"/>
      <c r="ASP26" s="58"/>
      <c r="ASQ26" s="56"/>
      <c r="ASR26" s="57"/>
      <c r="ASS26" s="57"/>
      <c r="AST26" s="57"/>
      <c r="ASU26" s="56"/>
      <c r="ASV26" s="57"/>
      <c r="ASW26" s="57"/>
      <c r="ASX26" s="56"/>
      <c r="ASY26" s="57"/>
      <c r="ASZ26" s="58"/>
      <c r="ATA26" s="56"/>
      <c r="ATB26" s="57"/>
      <c r="ATC26" s="57"/>
      <c r="ATD26" s="57"/>
      <c r="ATE26" s="56"/>
      <c r="ATF26" s="57"/>
      <c r="ATG26" s="57"/>
      <c r="ATH26" s="57"/>
      <c r="ATI26" s="57"/>
      <c r="ATJ26" s="57"/>
      <c r="ATK26" s="56"/>
      <c r="ATL26" s="57"/>
      <c r="ATM26" s="57"/>
      <c r="ATN26" s="56"/>
      <c r="ATO26" s="57"/>
      <c r="ATP26" s="58"/>
      <c r="ATQ26" s="56"/>
      <c r="ATR26" s="57"/>
      <c r="ATS26" s="57"/>
      <c r="ATT26" s="57"/>
      <c r="ATU26" s="56"/>
      <c r="ATV26" s="57"/>
      <c r="ATW26" s="57"/>
      <c r="ATX26" s="56"/>
      <c r="ATY26" s="57"/>
      <c r="ATZ26" s="58"/>
      <c r="AUA26" s="56"/>
      <c r="AUB26" s="57"/>
      <c r="AUC26" s="57"/>
      <c r="AUD26" s="57"/>
      <c r="AUE26" s="56"/>
      <c r="AUF26" s="57"/>
      <c r="AUG26" s="57"/>
      <c r="AUH26" s="57"/>
      <c r="AUI26" s="57"/>
      <c r="AUJ26" s="57"/>
      <c r="AUK26" s="56"/>
      <c r="AUL26" s="57"/>
      <c r="AUM26" s="57"/>
      <c r="AUN26" s="56"/>
      <c r="AUO26" s="57"/>
      <c r="AUP26" s="58"/>
      <c r="AUQ26" s="56"/>
      <c r="AUR26" s="57"/>
      <c r="AUS26" s="57"/>
      <c r="AUT26" s="57"/>
      <c r="AUU26" s="56"/>
      <c r="AUV26" s="57"/>
      <c r="AUW26" s="57"/>
      <c r="AUX26" s="56"/>
      <c r="AUY26" s="57"/>
      <c r="AUZ26" s="58"/>
      <c r="AVA26" s="56"/>
      <c r="AVB26" s="57"/>
      <c r="AVC26" s="57"/>
      <c r="AVD26" s="57"/>
      <c r="AVE26" s="56"/>
      <c r="AVF26" s="57"/>
      <c r="AVG26" s="57"/>
      <c r="AVH26" s="57"/>
      <c r="AVI26" s="57"/>
      <c r="AVJ26" s="57"/>
      <c r="AVK26" s="56"/>
      <c r="AVL26" s="57"/>
      <c r="AVM26" s="57"/>
      <c r="AVN26" s="56"/>
      <c r="AVO26" s="57"/>
      <c r="AVP26" s="58"/>
      <c r="AVQ26" s="56"/>
      <c r="AVR26" s="57"/>
      <c r="AVS26" s="57"/>
      <c r="AVT26" s="57"/>
      <c r="AVU26" s="56"/>
      <c r="AVV26" s="57"/>
      <c r="AVW26" s="57"/>
      <c r="AVX26" s="56"/>
      <c r="AVY26" s="57"/>
      <c r="AVZ26" s="58"/>
      <c r="AWA26" s="56"/>
      <c r="AWB26" s="57"/>
      <c r="AWC26" s="57"/>
      <c r="AWD26" s="57"/>
      <c r="AWE26" s="56"/>
      <c r="AWF26" s="57"/>
      <c r="AWG26" s="57"/>
      <c r="AWH26" s="57"/>
      <c r="AWI26" s="57"/>
      <c r="AWJ26" s="57"/>
      <c r="AWK26" s="56"/>
      <c r="AWL26" s="57"/>
      <c r="AWM26" s="57"/>
      <c r="AWN26" s="56"/>
      <c r="AWO26" s="57"/>
      <c r="AWP26" s="58"/>
      <c r="AWQ26" s="56"/>
      <c r="AWR26" s="57"/>
      <c r="AWS26" s="57"/>
      <c r="AWT26" s="57"/>
      <c r="AWU26" s="56"/>
      <c r="AWV26" s="57"/>
      <c r="AWW26" s="57"/>
      <c r="AWX26" s="56"/>
      <c r="AWY26" s="57"/>
      <c r="AWZ26" s="58"/>
      <c r="AXA26" s="56"/>
      <c r="AXB26" s="57"/>
      <c r="AXC26" s="57"/>
      <c r="AXD26" s="57"/>
      <c r="AXE26" s="56"/>
      <c r="AXF26" s="57"/>
      <c r="AXG26" s="57"/>
      <c r="AXH26" s="57"/>
      <c r="AXI26" s="57"/>
      <c r="AXJ26" s="57"/>
      <c r="AXK26" s="56"/>
      <c r="AXL26" s="57"/>
      <c r="AXM26" s="57"/>
      <c r="AXN26" s="56"/>
      <c r="AXO26" s="57"/>
      <c r="AXP26" s="58"/>
      <c r="AXQ26" s="56"/>
      <c r="AXR26" s="57"/>
      <c r="AXS26" s="57"/>
      <c r="AXT26" s="57"/>
      <c r="AXU26" s="56"/>
      <c r="AXV26" s="57"/>
      <c r="AXW26" s="57"/>
      <c r="AXX26" s="56"/>
      <c r="AXY26" s="57"/>
      <c r="AXZ26" s="58"/>
      <c r="AYA26" s="56"/>
      <c r="AYB26" s="57"/>
      <c r="AYC26" s="57"/>
      <c r="AYD26" s="57"/>
      <c r="AYE26" s="56"/>
      <c r="AYF26" s="57"/>
      <c r="AYG26" s="57"/>
      <c r="AYH26" s="57"/>
      <c r="AYI26" s="57"/>
      <c r="AYJ26" s="57"/>
      <c r="AYK26" s="56"/>
      <c r="AYL26" s="57"/>
      <c r="AYM26" s="57"/>
      <c r="AYN26" s="56"/>
      <c r="AYO26" s="57"/>
      <c r="AYP26" s="58"/>
      <c r="AYQ26" s="56"/>
      <c r="AYR26" s="57"/>
      <c r="AYS26" s="57"/>
      <c r="AYT26" s="57"/>
      <c r="AYU26" s="56"/>
      <c r="AYV26" s="57"/>
      <c r="AYW26" s="57"/>
      <c r="AYX26" s="56"/>
      <c r="AYY26" s="57"/>
      <c r="AYZ26" s="58"/>
      <c r="AZA26" s="56"/>
      <c r="AZB26" s="57"/>
      <c r="AZC26" s="57"/>
      <c r="AZD26" s="57"/>
      <c r="AZE26" s="56"/>
      <c r="AZF26" s="57"/>
      <c r="AZG26" s="57"/>
      <c r="AZH26" s="57"/>
      <c r="AZI26" s="57"/>
      <c r="AZJ26" s="57"/>
      <c r="AZK26" s="56"/>
      <c r="AZL26" s="57"/>
      <c r="AZM26" s="57"/>
      <c r="AZN26" s="56"/>
      <c r="AZO26" s="57"/>
      <c r="AZP26" s="58"/>
      <c r="AZQ26" s="56"/>
      <c r="AZR26" s="57"/>
      <c r="AZS26" s="57"/>
      <c r="AZT26" s="57"/>
      <c r="AZU26" s="56"/>
      <c r="AZV26" s="57"/>
      <c r="AZW26" s="57"/>
      <c r="AZX26" s="56"/>
      <c r="AZY26" s="57"/>
      <c r="AZZ26" s="58"/>
      <c r="BAA26" s="56"/>
      <c r="BAB26" s="57"/>
      <c r="BAC26" s="57"/>
      <c r="BAD26" s="57"/>
      <c r="BAE26" s="56"/>
      <c r="BAF26" s="57"/>
      <c r="BAG26" s="57"/>
      <c r="BAH26" s="57"/>
      <c r="BAI26" s="57"/>
      <c r="BAJ26" s="57"/>
      <c r="BAK26" s="56"/>
      <c r="BAL26" s="57"/>
      <c r="BAM26" s="57"/>
      <c r="BAN26" s="56"/>
      <c r="BAO26" s="57"/>
      <c r="BAP26" s="58"/>
      <c r="BAQ26" s="56"/>
      <c r="BAR26" s="57"/>
      <c r="BAS26" s="57"/>
      <c r="BAT26" s="57"/>
      <c r="BAU26" s="56"/>
      <c r="BAV26" s="57"/>
      <c r="BAW26" s="57"/>
      <c r="BAX26" s="56"/>
      <c r="BAY26" s="57"/>
      <c r="BAZ26" s="58"/>
      <c r="BBA26" s="56"/>
      <c r="BBB26" s="57"/>
      <c r="BBC26" s="57"/>
      <c r="BBD26" s="57"/>
      <c r="BBE26" s="56"/>
      <c r="BBF26" s="57"/>
      <c r="BBG26" s="57"/>
      <c r="BBH26" s="57"/>
      <c r="BBI26" s="57"/>
      <c r="BBJ26" s="57"/>
      <c r="BBK26" s="56"/>
      <c r="BBL26" s="57"/>
      <c r="BBM26" s="57"/>
      <c r="BBN26" s="56"/>
      <c r="BBO26" s="57"/>
      <c r="BBP26" s="58"/>
      <c r="BBQ26" s="56"/>
      <c r="BBR26" s="57"/>
      <c r="BBS26" s="57"/>
      <c r="BBT26" s="57"/>
      <c r="BBU26" s="56"/>
      <c r="BBV26" s="57"/>
      <c r="BBW26" s="57"/>
      <c r="BBX26" s="56"/>
      <c r="BBY26" s="57"/>
      <c r="BBZ26" s="58"/>
      <c r="BCA26" s="56"/>
      <c r="BCB26" s="57"/>
      <c r="BCC26" s="57"/>
      <c r="BCD26" s="57"/>
      <c r="BCE26" s="56"/>
      <c r="BCF26" s="57"/>
      <c r="BCG26" s="57"/>
      <c r="BCH26" s="57"/>
      <c r="BCI26" s="57"/>
      <c r="BCJ26" s="57"/>
      <c r="BCK26" s="56"/>
      <c r="BCL26" s="57"/>
      <c r="BCM26" s="57"/>
      <c r="BCN26" s="56"/>
      <c r="BCO26" s="57"/>
      <c r="BCP26" s="58"/>
      <c r="BCQ26" s="56"/>
      <c r="BCR26" s="57"/>
      <c r="BCS26" s="57"/>
      <c r="BCT26" s="57"/>
      <c r="BCU26" s="56"/>
      <c r="BCV26" s="57"/>
      <c r="BCW26" s="57"/>
      <c r="BCX26" s="56"/>
      <c r="BCY26" s="57"/>
      <c r="BCZ26" s="58"/>
      <c r="BDA26" s="56"/>
      <c r="BDB26" s="57"/>
      <c r="BDC26" s="57"/>
      <c r="BDD26" s="57"/>
      <c r="BDE26" s="56"/>
      <c r="BDF26" s="57"/>
      <c r="BDG26" s="57"/>
      <c r="BDH26" s="57"/>
      <c r="BDI26" s="57"/>
      <c r="BDJ26" s="57"/>
      <c r="BDK26" s="56"/>
      <c r="BDL26" s="57"/>
      <c r="BDM26" s="57"/>
      <c r="BDN26" s="56"/>
      <c r="BDO26" s="57"/>
      <c r="BDP26" s="58"/>
      <c r="BDQ26" s="56"/>
      <c r="BDR26" s="57"/>
      <c r="BDS26" s="57"/>
      <c r="BDT26" s="57"/>
      <c r="BDU26" s="56"/>
      <c r="BDV26" s="57"/>
      <c r="BDW26" s="57"/>
      <c r="BDX26" s="56"/>
      <c r="BDY26" s="57"/>
      <c r="BDZ26" s="58"/>
      <c r="BEA26" s="56"/>
      <c r="BEB26" s="57"/>
      <c r="BEC26" s="57"/>
      <c r="BED26" s="57"/>
      <c r="BEE26" s="56"/>
      <c r="BEF26" s="57"/>
      <c r="BEG26" s="57"/>
      <c r="BEH26" s="57"/>
      <c r="BEI26" s="57"/>
      <c r="BEJ26" s="57"/>
      <c r="BEK26" s="56"/>
      <c r="BEL26" s="57"/>
      <c r="BEM26" s="57"/>
      <c r="BEN26" s="56"/>
      <c r="BEO26" s="57"/>
      <c r="BEP26" s="58"/>
      <c r="BEQ26" s="56"/>
      <c r="BER26" s="57"/>
      <c r="BES26" s="57"/>
      <c r="BET26" s="57"/>
      <c r="BEU26" s="56"/>
      <c r="BEV26" s="57"/>
      <c r="BEW26" s="57"/>
      <c r="BEX26" s="56"/>
      <c r="BEY26" s="57"/>
      <c r="BEZ26" s="58"/>
      <c r="BFA26" s="56"/>
      <c r="BFB26" s="57"/>
      <c r="BFC26" s="57"/>
      <c r="BFD26" s="57"/>
      <c r="BFE26" s="56"/>
      <c r="BFF26" s="57"/>
      <c r="BFG26" s="57"/>
      <c r="BFH26" s="57"/>
      <c r="BFI26" s="57"/>
      <c r="BFJ26" s="57"/>
      <c r="BFK26" s="56"/>
      <c r="BFL26" s="57"/>
      <c r="BFM26" s="57"/>
      <c r="BFN26" s="56"/>
      <c r="BFO26" s="57"/>
      <c r="BFP26" s="58"/>
      <c r="BFQ26" s="56"/>
      <c r="BFR26" s="57"/>
      <c r="BFS26" s="57"/>
      <c r="BFT26" s="57"/>
      <c r="BFU26" s="56"/>
      <c r="BFV26" s="57"/>
      <c r="BFW26" s="57"/>
      <c r="BFX26" s="56"/>
      <c r="BFY26" s="57"/>
      <c r="BFZ26" s="58"/>
      <c r="BGA26" s="56"/>
      <c r="BGB26" s="57"/>
      <c r="BGC26" s="57"/>
      <c r="BGD26" s="57"/>
      <c r="BGE26" s="56"/>
      <c r="BGF26" s="57"/>
      <c r="BGG26" s="57"/>
      <c r="BGH26" s="57"/>
      <c r="BGI26" s="57"/>
      <c r="BGJ26" s="57"/>
      <c r="BGK26" s="56"/>
      <c r="BGL26" s="57"/>
      <c r="BGM26" s="57"/>
      <c r="BGN26" s="56"/>
      <c r="BGO26" s="57"/>
      <c r="BGP26" s="58"/>
      <c r="BGQ26" s="56"/>
      <c r="BGR26" s="57"/>
      <c r="BGS26" s="57"/>
      <c r="BGT26" s="57"/>
      <c r="BGU26" s="56"/>
      <c r="BGV26" s="57"/>
      <c r="BGW26" s="57"/>
      <c r="BGX26" s="56"/>
      <c r="BGY26" s="57"/>
      <c r="BGZ26" s="58"/>
      <c r="BHA26" s="56"/>
      <c r="BHB26" s="57"/>
      <c r="BHC26" s="57"/>
      <c r="BHD26" s="57"/>
      <c r="BHE26" s="56"/>
      <c r="BHF26" s="57"/>
      <c r="BHG26" s="57"/>
      <c r="BHH26" s="57"/>
      <c r="BHI26" s="57"/>
      <c r="BHJ26" s="57"/>
      <c r="BHK26" s="56"/>
      <c r="BHL26" s="57"/>
      <c r="BHM26" s="57"/>
      <c r="BHN26" s="56"/>
      <c r="BHO26" s="57"/>
      <c r="BHP26" s="58"/>
      <c r="BHQ26" s="56"/>
      <c r="BHR26" s="57"/>
      <c r="BHS26" s="57"/>
      <c r="BHT26" s="57"/>
      <c r="BHU26" s="56"/>
      <c r="BHV26" s="57"/>
      <c r="BHW26" s="57"/>
      <c r="BHX26" s="56"/>
      <c r="BHY26" s="57"/>
      <c r="BHZ26" s="58"/>
      <c r="BIA26" s="56"/>
      <c r="BIB26" s="57"/>
      <c r="BIC26" s="57"/>
      <c r="BID26" s="57"/>
      <c r="BIE26" s="56"/>
      <c r="BIF26" s="57"/>
      <c r="BIG26" s="57"/>
      <c r="BIH26" s="57"/>
      <c r="BII26" s="57"/>
      <c r="BIJ26" s="57"/>
      <c r="BIK26" s="56"/>
      <c r="BIL26" s="57"/>
      <c r="BIM26" s="57"/>
      <c r="BIN26" s="56"/>
      <c r="BIO26" s="57"/>
      <c r="BIP26" s="58"/>
      <c r="BIQ26" s="56"/>
      <c r="BIR26" s="57"/>
      <c r="BIS26" s="57"/>
      <c r="BIT26" s="57"/>
      <c r="BIU26" s="56"/>
      <c r="BIV26" s="57"/>
      <c r="BIW26" s="57"/>
      <c r="BIX26" s="56"/>
      <c r="BIY26" s="57"/>
      <c r="BIZ26" s="58"/>
      <c r="BJA26" s="56"/>
      <c r="BJB26" s="57"/>
      <c r="BJC26" s="57"/>
      <c r="BJD26" s="57"/>
      <c r="BJE26" s="56"/>
      <c r="BJF26" s="57"/>
      <c r="BJG26" s="57"/>
      <c r="BJH26" s="57"/>
      <c r="BJI26" s="57"/>
      <c r="BJJ26" s="57"/>
      <c r="BJK26" s="56"/>
      <c r="BJL26" s="57"/>
      <c r="BJM26" s="57"/>
      <c r="BJN26" s="56"/>
      <c r="BJO26" s="57"/>
      <c r="BJP26" s="58"/>
      <c r="BJQ26" s="56"/>
      <c r="BJR26" s="57"/>
      <c r="BJS26" s="57"/>
      <c r="BJT26" s="57"/>
      <c r="BJU26" s="56"/>
      <c r="BJV26" s="57"/>
      <c r="BJW26" s="57"/>
      <c r="BJX26" s="56"/>
      <c r="BJY26" s="57"/>
      <c r="BJZ26" s="58"/>
      <c r="BKA26" s="56"/>
      <c r="BKB26" s="57"/>
      <c r="BKC26" s="57"/>
      <c r="BKD26" s="57"/>
      <c r="BKE26" s="56"/>
      <c r="BKF26" s="57"/>
      <c r="BKG26" s="57"/>
      <c r="BKH26" s="57"/>
      <c r="BKI26" s="57"/>
      <c r="BKJ26" s="57"/>
      <c r="BKK26" s="56"/>
      <c r="BKL26" s="57"/>
      <c r="BKM26" s="57"/>
      <c r="BKN26" s="56"/>
      <c r="BKO26" s="57"/>
      <c r="BKP26" s="58"/>
      <c r="BKQ26" s="56"/>
      <c r="BKR26" s="57"/>
      <c r="BKS26" s="57"/>
      <c r="BKT26" s="57"/>
      <c r="BKU26" s="56"/>
      <c r="BKV26" s="57"/>
      <c r="BKW26" s="57"/>
      <c r="BKX26" s="56"/>
      <c r="BKY26" s="57"/>
      <c r="BKZ26" s="58"/>
      <c r="BLA26" s="56"/>
      <c r="BLB26" s="57"/>
      <c r="BLC26" s="57"/>
      <c r="BLD26" s="57"/>
      <c r="BLE26" s="56"/>
      <c r="BLF26" s="57"/>
      <c r="BLG26" s="57"/>
      <c r="BLH26" s="57"/>
      <c r="BLI26" s="57"/>
      <c r="BLJ26" s="57"/>
      <c r="BLK26" s="56"/>
      <c r="BLL26" s="57"/>
      <c r="BLM26" s="57"/>
      <c r="BLN26" s="56"/>
      <c r="BLO26" s="57"/>
      <c r="BLP26" s="58"/>
      <c r="BLQ26" s="56"/>
      <c r="BLR26" s="57"/>
      <c r="BLS26" s="57"/>
      <c r="BLT26" s="57"/>
      <c r="BLU26" s="56"/>
      <c r="BLV26" s="57"/>
      <c r="BLW26" s="57"/>
      <c r="BLX26" s="56"/>
      <c r="BLY26" s="57"/>
      <c r="BLZ26" s="58"/>
      <c r="BMA26" s="56"/>
      <c r="BMB26" s="57"/>
      <c r="BMC26" s="57"/>
      <c r="BMD26" s="57"/>
      <c r="BME26" s="56"/>
      <c r="BMF26" s="57"/>
      <c r="BMG26" s="57"/>
      <c r="BMH26" s="57"/>
      <c r="BMI26" s="57"/>
      <c r="BMJ26" s="57"/>
      <c r="BMK26" s="56"/>
      <c r="BML26" s="57"/>
      <c r="BMM26" s="57"/>
      <c r="BMN26" s="56"/>
      <c r="BMO26" s="57"/>
      <c r="BMP26" s="58"/>
      <c r="BMQ26" s="56"/>
      <c r="BMR26" s="57"/>
      <c r="BMS26" s="57"/>
      <c r="BMT26" s="57"/>
      <c r="BMU26" s="56"/>
      <c r="BMV26" s="57"/>
      <c r="BMW26" s="57"/>
      <c r="BMX26" s="56"/>
      <c r="BMY26" s="57"/>
      <c r="BMZ26" s="58"/>
      <c r="BNA26" s="56"/>
      <c r="BNB26" s="57"/>
      <c r="BNC26" s="57"/>
      <c r="BND26" s="57"/>
      <c r="BNE26" s="56"/>
      <c r="BNF26" s="57"/>
      <c r="BNG26" s="57"/>
      <c r="BNH26" s="57"/>
      <c r="BNI26" s="57"/>
      <c r="BNJ26" s="57"/>
      <c r="BNK26" s="56"/>
      <c r="BNL26" s="57"/>
      <c r="BNM26" s="57"/>
      <c r="BNN26" s="56"/>
      <c r="BNO26" s="57"/>
      <c r="BNP26" s="58"/>
      <c r="BNQ26" s="56"/>
      <c r="BNR26" s="57"/>
      <c r="BNS26" s="57"/>
      <c r="BNT26" s="57"/>
      <c r="BNU26" s="56"/>
      <c r="BNV26" s="57"/>
      <c r="BNW26" s="57"/>
      <c r="BNX26" s="56"/>
      <c r="BNY26" s="57"/>
      <c r="BNZ26" s="58"/>
      <c r="BOA26" s="56"/>
      <c r="BOB26" s="57"/>
      <c r="BOC26" s="57"/>
      <c r="BOD26" s="57"/>
      <c r="BOE26" s="56"/>
      <c r="BOF26" s="57"/>
      <c r="BOG26" s="57"/>
      <c r="BOH26" s="57"/>
      <c r="BOI26" s="57"/>
      <c r="BOJ26" s="57"/>
      <c r="BOK26" s="56"/>
      <c r="BOL26" s="57"/>
      <c r="BOM26" s="57"/>
      <c r="BON26" s="56"/>
      <c r="BOO26" s="57"/>
      <c r="BOP26" s="58"/>
      <c r="BOQ26" s="56"/>
      <c r="BOR26" s="57"/>
      <c r="BOS26" s="57"/>
      <c r="BOT26" s="57"/>
      <c r="BOU26" s="56"/>
      <c r="BOV26" s="57"/>
      <c r="BOW26" s="57"/>
      <c r="BOX26" s="56"/>
      <c r="BOY26" s="57"/>
      <c r="BOZ26" s="58"/>
      <c r="BPA26" s="56"/>
      <c r="BPB26" s="57"/>
      <c r="BPC26" s="57"/>
      <c r="BPD26" s="57"/>
      <c r="BPE26" s="56"/>
      <c r="BPF26" s="57"/>
      <c r="BPG26" s="57"/>
      <c r="BPH26" s="57"/>
      <c r="BPI26" s="57"/>
      <c r="BPJ26" s="57"/>
      <c r="BPK26" s="56"/>
      <c r="BPL26" s="57"/>
      <c r="BPM26" s="57"/>
      <c r="BPN26" s="56"/>
      <c r="BPO26" s="57"/>
      <c r="BPP26" s="58"/>
      <c r="BPQ26" s="56"/>
      <c r="BPR26" s="57"/>
      <c r="BPS26" s="57"/>
      <c r="BPT26" s="57"/>
      <c r="BPU26" s="56"/>
      <c r="BPV26" s="57"/>
      <c r="BPW26" s="57"/>
      <c r="BPX26" s="56"/>
      <c r="BPY26" s="57"/>
      <c r="BPZ26" s="58"/>
      <c r="BQA26" s="56"/>
      <c r="BQB26" s="57"/>
      <c r="BQC26" s="57"/>
      <c r="BQD26" s="57"/>
      <c r="BQE26" s="56"/>
      <c r="BQF26" s="57"/>
      <c r="BQG26" s="57"/>
      <c r="BQH26" s="57"/>
      <c r="BQI26" s="57"/>
      <c r="BQJ26" s="57"/>
      <c r="BQK26" s="56"/>
      <c r="BQL26" s="57"/>
      <c r="BQM26" s="57"/>
      <c r="BQN26" s="56"/>
      <c r="BQO26" s="57"/>
      <c r="BQP26" s="58"/>
      <c r="BQQ26" s="56"/>
      <c r="BQR26" s="57"/>
      <c r="BQS26" s="57"/>
      <c r="BQT26" s="57"/>
      <c r="BQU26" s="56"/>
      <c r="BQV26" s="57"/>
      <c r="BQW26" s="57"/>
      <c r="BQX26" s="56"/>
      <c r="BQY26" s="57"/>
      <c r="BQZ26" s="58"/>
      <c r="BRA26" s="56"/>
      <c r="BRB26" s="57"/>
      <c r="BRC26" s="57"/>
      <c r="BRD26" s="57"/>
      <c r="BRE26" s="56"/>
      <c r="BRF26" s="57"/>
      <c r="BRG26" s="57"/>
      <c r="BRH26" s="57"/>
      <c r="BRI26" s="57"/>
      <c r="BRJ26" s="57"/>
      <c r="BRK26" s="56"/>
      <c r="BRL26" s="57"/>
      <c r="BRM26" s="57"/>
      <c r="BRN26" s="56"/>
      <c r="BRO26" s="57"/>
      <c r="BRP26" s="58"/>
      <c r="BRQ26" s="56"/>
      <c r="BRR26" s="57"/>
      <c r="BRS26" s="57"/>
      <c r="BRT26" s="57"/>
      <c r="BRU26" s="56"/>
      <c r="BRV26" s="57"/>
      <c r="BRW26" s="57"/>
      <c r="BRX26" s="56"/>
      <c r="BRY26" s="57"/>
      <c r="BRZ26" s="58"/>
      <c r="BSA26" s="56"/>
      <c r="BSB26" s="57"/>
      <c r="BSC26" s="57"/>
      <c r="BSD26" s="57"/>
      <c r="BSE26" s="56"/>
      <c r="BSF26" s="57"/>
      <c r="BSG26" s="57"/>
      <c r="BSH26" s="57"/>
      <c r="BSI26" s="57"/>
      <c r="BSJ26" s="57"/>
      <c r="BSK26" s="56"/>
      <c r="BSL26" s="57"/>
      <c r="BSM26" s="57"/>
      <c r="BSN26" s="56"/>
      <c r="BSO26" s="57"/>
      <c r="BSP26" s="58"/>
      <c r="BSQ26" s="56"/>
      <c r="BSR26" s="57"/>
      <c r="BSS26" s="57"/>
      <c r="BST26" s="57"/>
      <c r="BSU26" s="56"/>
      <c r="BSV26" s="57"/>
      <c r="BSW26" s="57"/>
      <c r="BSX26" s="56"/>
      <c r="BSY26" s="57"/>
      <c r="BSZ26" s="58"/>
      <c r="BTA26" s="56"/>
      <c r="BTB26" s="57"/>
      <c r="BTC26" s="57"/>
      <c r="BTD26" s="57"/>
      <c r="BTE26" s="56"/>
      <c r="BTF26" s="57"/>
      <c r="BTG26" s="57"/>
      <c r="BTH26" s="57"/>
      <c r="BTI26" s="57"/>
      <c r="BTJ26" s="57"/>
      <c r="BTK26" s="56"/>
      <c r="BTL26" s="57"/>
      <c r="BTM26" s="57"/>
      <c r="BTN26" s="56"/>
      <c r="BTO26" s="57"/>
      <c r="BTP26" s="58"/>
      <c r="BTQ26" s="56"/>
      <c r="BTR26" s="57"/>
      <c r="BTS26" s="57"/>
      <c r="BTT26" s="57"/>
      <c r="BTU26" s="56"/>
      <c r="BTV26" s="57"/>
      <c r="BTW26" s="57"/>
      <c r="BTX26" s="56"/>
      <c r="BTY26" s="57"/>
      <c r="BTZ26" s="58"/>
      <c r="BUA26" s="56"/>
      <c r="BUB26" s="57"/>
      <c r="BUC26" s="57"/>
      <c r="BUD26" s="57"/>
      <c r="BUE26" s="56"/>
      <c r="BUF26" s="57"/>
      <c r="BUG26" s="57"/>
      <c r="BUH26" s="57"/>
      <c r="BUI26" s="57"/>
      <c r="BUJ26" s="57"/>
      <c r="BUK26" s="56"/>
      <c r="BUL26" s="57"/>
      <c r="BUM26" s="57"/>
      <c r="BUN26" s="56"/>
      <c r="BUO26" s="57"/>
      <c r="BUP26" s="58"/>
      <c r="BUQ26" s="56"/>
      <c r="BUR26" s="57"/>
      <c r="BUS26" s="57"/>
      <c r="BUT26" s="57"/>
      <c r="BUU26" s="56"/>
      <c r="BUV26" s="57"/>
      <c r="BUW26" s="57"/>
      <c r="BUX26" s="56"/>
      <c r="BUY26" s="57"/>
      <c r="BUZ26" s="58"/>
      <c r="BVA26" s="56"/>
      <c r="BVB26" s="57"/>
      <c r="BVC26" s="57"/>
      <c r="BVD26" s="57"/>
      <c r="BVE26" s="56"/>
      <c r="BVF26" s="57"/>
      <c r="BVG26" s="57"/>
      <c r="BVH26" s="57"/>
      <c r="BVI26" s="57"/>
      <c r="BVJ26" s="57"/>
      <c r="BVK26" s="56"/>
      <c r="BVL26" s="57"/>
      <c r="BVM26" s="57"/>
      <c r="BVN26" s="56"/>
      <c r="BVO26" s="57"/>
      <c r="BVP26" s="58"/>
      <c r="BVQ26" s="56"/>
      <c r="BVR26" s="57"/>
      <c r="BVS26" s="57"/>
      <c r="BVT26" s="57"/>
      <c r="BVU26" s="56"/>
      <c r="BVV26" s="57"/>
      <c r="BVW26" s="57"/>
      <c r="BVX26" s="56"/>
      <c r="BVY26" s="57"/>
      <c r="BVZ26" s="58"/>
      <c r="BWA26" s="56"/>
      <c r="BWB26" s="57"/>
      <c r="BWC26" s="57"/>
      <c r="BWD26" s="57"/>
      <c r="BWE26" s="56"/>
      <c r="BWF26" s="57"/>
      <c r="BWG26" s="57"/>
      <c r="BWH26" s="57"/>
      <c r="BWI26" s="57"/>
      <c r="BWJ26" s="57"/>
      <c r="BWK26" s="56"/>
      <c r="BWL26" s="57"/>
      <c r="BWM26" s="57"/>
      <c r="BWN26" s="56"/>
      <c r="BWO26" s="57"/>
      <c r="BWP26" s="58"/>
      <c r="BWQ26" s="56"/>
      <c r="BWR26" s="57"/>
      <c r="BWS26" s="57"/>
      <c r="BWT26" s="57"/>
      <c r="BWU26" s="56"/>
      <c r="BWV26" s="57"/>
      <c r="BWW26" s="57"/>
      <c r="BWX26" s="56"/>
      <c r="BWY26" s="57"/>
      <c r="BWZ26" s="58"/>
      <c r="BXA26" s="56"/>
      <c r="BXB26" s="57"/>
      <c r="BXC26" s="57"/>
      <c r="BXD26" s="57"/>
      <c r="BXE26" s="56"/>
      <c r="BXF26" s="57"/>
      <c r="BXG26" s="57"/>
      <c r="BXH26" s="57"/>
      <c r="BXI26" s="57"/>
      <c r="BXJ26" s="57"/>
      <c r="BXK26" s="56"/>
      <c r="BXL26" s="57"/>
      <c r="BXM26" s="57"/>
      <c r="BXN26" s="56"/>
      <c r="BXO26" s="57"/>
      <c r="BXP26" s="58"/>
      <c r="BXQ26" s="56"/>
      <c r="BXR26" s="57"/>
      <c r="BXS26" s="57"/>
      <c r="BXT26" s="57"/>
      <c r="BXU26" s="56"/>
      <c r="BXV26" s="57"/>
      <c r="BXW26" s="57"/>
      <c r="BXX26" s="56"/>
      <c r="BXY26" s="57"/>
      <c r="BXZ26" s="58"/>
      <c r="BYA26" s="56"/>
      <c r="BYB26" s="57"/>
      <c r="BYC26" s="57"/>
      <c r="BYD26" s="57"/>
      <c r="BYE26" s="56"/>
      <c r="BYF26" s="57"/>
      <c r="BYG26" s="57"/>
      <c r="BYH26" s="57"/>
      <c r="BYI26" s="57"/>
      <c r="BYJ26" s="57"/>
      <c r="BYK26" s="56"/>
      <c r="BYL26" s="57"/>
      <c r="BYM26" s="57"/>
      <c r="BYN26" s="56"/>
      <c r="BYO26" s="57"/>
      <c r="BYP26" s="58"/>
      <c r="BYQ26" s="56"/>
      <c r="BYR26" s="57"/>
      <c r="BYS26" s="57"/>
      <c r="BYT26" s="57"/>
      <c r="BYU26" s="56"/>
      <c r="BYV26" s="57"/>
      <c r="BYW26" s="57"/>
      <c r="BYX26" s="58"/>
      <c r="BYY26" s="57"/>
      <c r="BYZ26" s="56"/>
      <c r="BZA26" s="57"/>
      <c r="BZB26" s="56"/>
      <c r="BZC26" s="56"/>
      <c r="BZD26" s="56"/>
      <c r="BZE26" s="57"/>
      <c r="BZF26" s="387"/>
      <c r="BZG26" s="57"/>
      <c r="BZH26" s="387"/>
      <c r="BZI26" s="57"/>
      <c r="BZJ26" s="387"/>
      <c r="BZK26" s="57"/>
      <c r="BZL26" s="57"/>
      <c r="BZM26" s="57"/>
      <c r="BZN26" s="57"/>
      <c r="BZO26" s="57"/>
      <c r="BZP26" s="57"/>
      <c r="BZQ26" s="57"/>
      <c r="BZR26" s="57"/>
      <c r="BZS26" s="57"/>
      <c r="BZT26" s="57"/>
      <c r="BZU26" s="57"/>
      <c r="BZV26" s="57"/>
      <c r="BZW26" s="57"/>
      <c r="BZX26" s="57"/>
      <c r="BZY26" s="57"/>
      <c r="BZZ26" s="57"/>
      <c r="CAA26" s="57"/>
      <c r="CAB26" s="57"/>
      <c r="CAC26" s="57"/>
      <c r="CAD26" s="57"/>
      <c r="CAE26" s="57"/>
      <c r="CAF26" s="57"/>
      <c r="CAG26" s="57"/>
      <c r="CAH26" s="57"/>
      <c r="CAI26" s="57"/>
      <c r="CAJ26" s="57"/>
      <c r="CAK26" s="57"/>
      <c r="CAL26" s="57"/>
      <c r="CAM26" s="57"/>
      <c r="CAN26" s="57"/>
      <c r="CAO26" s="57"/>
      <c r="CAP26" s="58"/>
      <c r="CAQ26" s="56"/>
      <c r="CAR26" s="57"/>
      <c r="CAS26" s="57"/>
      <c r="CAT26" s="57"/>
      <c r="CAU26" s="57"/>
      <c r="CAV26" s="57"/>
      <c r="CAW26" s="56"/>
      <c r="CAX26" s="57"/>
      <c r="CAY26" s="57"/>
      <c r="CAZ26" s="56"/>
      <c r="CBA26" s="57"/>
      <c r="CBB26" s="58"/>
      <c r="CBC26" s="56"/>
      <c r="CBD26" s="57"/>
      <c r="CBE26" s="57"/>
      <c r="CBF26" s="57"/>
      <c r="CBG26" s="56"/>
      <c r="CBH26" s="57"/>
      <c r="CBI26" s="57"/>
      <c r="CBJ26" s="56"/>
      <c r="CBK26" s="57"/>
      <c r="CBL26" s="58"/>
      <c r="CBM26" s="56"/>
      <c r="CBN26" s="57"/>
      <c r="CBO26" s="57"/>
      <c r="CBP26" s="57"/>
      <c r="CBQ26" s="56"/>
      <c r="CBR26" s="57"/>
      <c r="CBS26" s="57"/>
      <c r="CBT26" s="56"/>
      <c r="CBU26" s="57"/>
      <c r="CBV26" s="58"/>
      <c r="CBW26" s="56"/>
      <c r="CBX26" s="57"/>
      <c r="CBY26" s="57"/>
      <c r="CBZ26" s="57"/>
      <c r="CCA26" s="56"/>
      <c r="CCB26" s="57"/>
      <c r="CCC26" s="57"/>
      <c r="CCD26" s="56"/>
      <c r="CCE26" s="57"/>
      <c r="CCF26" s="58"/>
      <c r="CCG26" s="56"/>
      <c r="CCH26" s="58"/>
      <c r="CCI26" s="57"/>
      <c r="CCJ26" s="56"/>
      <c r="CCK26" s="57"/>
      <c r="CCL26" s="56"/>
      <c r="CCM26" s="56"/>
      <c r="CCN26" s="56"/>
      <c r="CCO26" s="57"/>
      <c r="CCP26" s="387"/>
      <c r="CCQ26" s="57"/>
      <c r="CCR26" s="387"/>
      <c r="CCS26" s="57"/>
      <c r="CCT26" s="387"/>
      <c r="CCU26" s="57"/>
      <c r="CCV26" s="57"/>
      <c r="CCW26" s="57"/>
      <c r="CCX26" s="57"/>
      <c r="CCY26" s="57"/>
      <c r="CCZ26" s="57"/>
      <c r="CDA26" s="57"/>
      <c r="CDB26" s="57"/>
      <c r="CDC26" s="57"/>
      <c r="CDD26" s="57"/>
      <c r="CDE26" s="57"/>
      <c r="CDF26" s="57"/>
      <c r="CDG26" s="57"/>
      <c r="CDH26" s="57"/>
      <c r="CDI26" s="57"/>
      <c r="CDJ26" s="57"/>
      <c r="CDK26" s="57"/>
      <c r="CDL26" s="57"/>
      <c r="CDM26" s="57"/>
      <c r="CDN26" s="57"/>
      <c r="CDO26" s="57"/>
      <c r="CDP26" s="57"/>
      <c r="CDQ26" s="57"/>
      <c r="CDR26" s="57"/>
      <c r="CDS26" s="57"/>
      <c r="CDT26" s="57"/>
      <c r="CDU26" s="57"/>
      <c r="CDV26" s="57"/>
      <c r="CDW26" s="57"/>
      <c r="CDX26" s="57"/>
      <c r="CDY26" s="57"/>
      <c r="CDZ26" s="58"/>
      <c r="CEA26" s="56"/>
      <c r="CEB26" s="57"/>
      <c r="CEC26" s="57"/>
      <c r="CED26" s="57"/>
      <c r="CEE26" s="57"/>
      <c r="CEF26" s="57"/>
      <c r="CEG26" s="56"/>
      <c r="CEH26" s="57"/>
      <c r="CEI26" s="57"/>
      <c r="CEJ26" s="56"/>
      <c r="CEK26" s="57"/>
      <c r="CEL26" s="58"/>
      <c r="CEM26" s="56"/>
      <c r="CEN26" s="57"/>
      <c r="CEO26" s="57"/>
      <c r="CEP26" s="57"/>
      <c r="CEQ26" s="56"/>
      <c r="CER26" s="57"/>
      <c r="CES26" s="57"/>
      <c r="CET26" s="56"/>
      <c r="CEU26" s="57"/>
      <c r="CEV26" s="58"/>
      <c r="CEW26" s="56"/>
      <c r="CEX26" s="57"/>
      <c r="CEY26" s="57"/>
      <c r="CEZ26" s="57"/>
      <c r="CFA26" s="56"/>
      <c r="CFB26" s="57"/>
      <c r="CFC26" s="57"/>
      <c r="CFD26" s="56"/>
      <c r="CFE26" s="57"/>
      <c r="CFF26" s="58"/>
      <c r="CFG26" s="56"/>
      <c r="CFH26" s="57"/>
      <c r="CFI26" s="57"/>
      <c r="CFJ26" s="57"/>
      <c r="CFK26" s="56"/>
      <c r="CFL26" s="57"/>
      <c r="CFM26" s="57"/>
      <c r="CFN26" s="56"/>
      <c r="CFO26" s="57"/>
      <c r="CFP26" s="58"/>
      <c r="CFQ26" s="56"/>
      <c r="CFR26" s="58"/>
      <c r="CFS26" s="57"/>
      <c r="CFT26" s="56"/>
      <c r="CFU26" s="57"/>
      <c r="CFV26" s="56"/>
      <c r="CFW26" s="56"/>
      <c r="CFX26" s="56"/>
      <c r="CFY26" s="57"/>
      <c r="CFZ26" s="387"/>
      <c r="CGA26" s="57"/>
      <c r="CGB26" s="387"/>
      <c r="CGC26" s="57"/>
      <c r="CGD26" s="387"/>
      <c r="CGE26" s="57"/>
      <c r="CGF26" s="57"/>
      <c r="CGG26" s="57"/>
      <c r="CGH26" s="57"/>
      <c r="CGI26" s="57"/>
      <c r="CGJ26" s="57"/>
      <c r="CGK26" s="57"/>
      <c r="CGL26" s="57"/>
      <c r="CGM26" s="57"/>
      <c r="CGN26" s="57"/>
      <c r="CGO26" s="57"/>
      <c r="CGP26" s="57"/>
      <c r="CGQ26" s="57"/>
      <c r="CGR26" s="57"/>
      <c r="CGS26" s="57"/>
      <c r="CGT26" s="57"/>
      <c r="CGU26" s="57"/>
      <c r="CGV26" s="57"/>
      <c r="CGW26" s="57"/>
      <c r="CGX26" s="57"/>
      <c r="CGY26" s="57"/>
      <c r="CGZ26" s="57"/>
      <c r="CHA26" s="57"/>
      <c r="CHB26" s="57"/>
      <c r="CHC26" s="57"/>
      <c r="CHD26" s="57"/>
      <c r="CHE26" s="57"/>
      <c r="CHF26" s="57"/>
      <c r="CHG26" s="57"/>
      <c r="CHH26" s="57"/>
      <c r="CHI26" s="57"/>
      <c r="CHJ26" s="58"/>
      <c r="CHK26" s="56"/>
      <c r="CHL26" s="57"/>
      <c r="CHM26" s="57"/>
      <c r="CHN26" s="57"/>
      <c r="CHO26" s="57"/>
      <c r="CHP26" s="57"/>
      <c r="CHQ26" s="56"/>
      <c r="CHR26" s="57"/>
      <c r="CHS26" s="57"/>
      <c r="CHT26" s="56"/>
      <c r="CHU26" s="57"/>
      <c r="CHV26" s="58"/>
      <c r="CHW26" s="56"/>
      <c r="CHX26" s="57"/>
      <c r="CHY26" s="57"/>
      <c r="CHZ26" s="57"/>
      <c r="CIA26" s="56"/>
      <c r="CIB26" s="57"/>
      <c r="CIC26" s="57"/>
      <c r="CID26" s="56"/>
      <c r="CIE26" s="57"/>
      <c r="CIF26" s="58"/>
      <c r="CIG26" s="56"/>
      <c r="CIH26" s="57"/>
      <c r="CII26" s="57"/>
      <c r="CIJ26" s="57"/>
      <c r="CIK26" s="56"/>
      <c r="CIL26" s="57"/>
      <c r="CIM26" s="57"/>
      <c r="CIN26" s="56"/>
      <c r="CIO26" s="57"/>
      <c r="CIP26" s="58"/>
      <c r="CIQ26" s="56"/>
      <c r="CIR26" s="57"/>
      <c r="CIS26" s="57"/>
      <c r="CIT26" s="57"/>
      <c r="CIU26" s="56"/>
      <c r="CIV26" s="57"/>
      <c r="CIW26" s="57"/>
      <c r="CIX26" s="56"/>
      <c r="CIY26" s="57"/>
      <c r="CIZ26" s="58"/>
      <c r="CJA26" s="56"/>
      <c r="CJB26" s="58"/>
      <c r="CJC26" s="57"/>
      <c r="CJD26" s="56"/>
      <c r="CJE26" s="57"/>
      <c r="CJF26" s="56"/>
      <c r="CJG26" s="56"/>
      <c r="CJH26" s="56"/>
      <c r="CJI26" s="57"/>
      <c r="CJJ26" s="387"/>
      <c r="CJK26" s="57"/>
      <c r="CJL26" s="387"/>
      <c r="CJM26" s="57"/>
      <c r="CJN26" s="387"/>
      <c r="CJO26" s="57"/>
      <c r="CJP26" s="57"/>
      <c r="CJQ26" s="57"/>
      <c r="CJR26" s="57"/>
      <c r="CJS26" s="57"/>
      <c r="CJT26" s="57"/>
      <c r="CJU26" s="57"/>
      <c r="CJV26" s="57"/>
      <c r="CJW26" s="57"/>
      <c r="CJX26" s="57"/>
      <c r="CJY26" s="57"/>
      <c r="CJZ26" s="57"/>
      <c r="CKA26" s="57"/>
      <c r="CKB26" s="57"/>
      <c r="CKC26" s="57"/>
      <c r="CKD26" s="57"/>
      <c r="CKE26" s="57"/>
      <c r="CKF26" s="57"/>
      <c r="CKG26" s="57"/>
      <c r="CKH26" s="57"/>
      <c r="CKI26" s="57"/>
      <c r="CKJ26" s="57"/>
      <c r="CKK26" s="57"/>
      <c r="CKL26" s="57"/>
      <c r="CKM26" s="57"/>
      <c r="CKN26" s="57"/>
      <c r="CKO26" s="57"/>
      <c r="CKP26" s="57"/>
      <c r="CKQ26" s="57"/>
      <c r="CKR26" s="57"/>
      <c r="CKS26" s="57"/>
      <c r="CKT26" s="58"/>
      <c r="CKU26" s="56"/>
      <c r="CKV26" s="57"/>
      <c r="CKW26" s="57"/>
      <c r="CKX26" s="57"/>
      <c r="CKY26" s="57"/>
      <c r="CKZ26" s="57"/>
      <c r="CLA26" s="56"/>
      <c r="CLB26" s="57"/>
      <c r="CLC26" s="57"/>
      <c r="CLD26" s="56"/>
      <c r="CLE26" s="57"/>
      <c r="CLF26" s="58"/>
      <c r="CLG26" s="56"/>
      <c r="CLH26" s="57"/>
      <c r="CLI26" s="57"/>
      <c r="CLJ26" s="57"/>
      <c r="CLK26" s="56"/>
      <c r="CLL26" s="57"/>
      <c r="CLM26" s="57"/>
      <c r="CLN26" s="56"/>
      <c r="CLO26" s="57"/>
      <c r="CLP26" s="58"/>
      <c r="CLQ26" s="56"/>
      <c r="CLR26" s="57"/>
      <c r="CLS26" s="57"/>
      <c r="CLT26" s="57"/>
      <c r="CLU26" s="56"/>
      <c r="CLV26" s="57"/>
      <c r="CLW26" s="57"/>
      <c r="CLX26" s="56"/>
      <c r="CLY26" s="57"/>
      <c r="CLZ26" s="58"/>
      <c r="CMA26" s="56"/>
      <c r="CMB26" s="57"/>
      <c r="CMC26" s="57"/>
      <c r="CMD26" s="57"/>
      <c r="CME26" s="56"/>
      <c r="CMF26" s="57"/>
      <c r="CMG26" s="57"/>
      <c r="CMH26" s="56"/>
      <c r="CMI26" s="57"/>
      <c r="CMJ26" s="58"/>
      <c r="CMK26" s="56"/>
      <c r="CML26" s="58"/>
      <c r="CMM26" s="57"/>
      <c r="CMN26" s="56"/>
      <c r="CMO26" s="57"/>
      <c r="CMP26" s="56"/>
      <c r="CMQ26" s="56"/>
      <c r="CMR26" s="56"/>
      <c r="CMS26" s="57"/>
      <c r="CMT26" s="387"/>
      <c r="CMU26" s="57"/>
      <c r="CMV26" s="387"/>
      <c r="CMW26" s="57"/>
      <c r="CMX26" s="387"/>
      <c r="CMY26" s="57"/>
      <c r="CMZ26" s="57"/>
      <c r="CNA26" s="57"/>
      <c r="CNB26" s="57"/>
      <c r="CNC26" s="57"/>
      <c r="CND26" s="57"/>
      <c r="CNE26" s="57"/>
      <c r="CNF26" s="57"/>
      <c r="CNG26" s="57"/>
      <c r="CNH26" s="57"/>
      <c r="CNI26" s="57"/>
      <c r="CNJ26" s="57"/>
      <c r="CNK26" s="57"/>
      <c r="CNL26" s="57"/>
      <c r="CNM26" s="57"/>
      <c r="CNN26" s="57"/>
      <c r="CNO26" s="57"/>
      <c r="CNP26" s="57"/>
      <c r="CNQ26" s="57"/>
      <c r="CNR26" s="57"/>
      <c r="CNS26" s="57"/>
      <c r="CNT26" s="57"/>
      <c r="CNU26" s="57"/>
      <c r="CNV26" s="57"/>
      <c r="CNW26" s="57"/>
      <c r="CNX26" s="57"/>
      <c r="CNY26" s="57"/>
      <c r="CNZ26" s="57"/>
      <c r="COA26" s="57"/>
      <c r="COB26" s="57"/>
      <c r="COC26" s="57"/>
      <c r="COD26" s="58"/>
      <c r="COE26" s="56"/>
      <c r="COF26" s="57"/>
      <c r="COG26" s="57"/>
      <c r="COH26" s="57"/>
      <c r="COI26" s="57"/>
      <c r="COJ26" s="57"/>
      <c r="COK26" s="56"/>
      <c r="COL26" s="57"/>
      <c r="COM26" s="57"/>
      <c r="CON26" s="56"/>
      <c r="COO26" s="57"/>
      <c r="COP26" s="58"/>
      <c r="COQ26" s="56"/>
      <c r="COR26" s="57"/>
      <c r="COS26" s="57"/>
      <c r="COT26" s="57"/>
      <c r="COU26" s="56"/>
      <c r="COV26" s="57"/>
      <c r="COW26" s="57"/>
      <c r="COX26" s="56"/>
      <c r="COY26" s="57"/>
      <c r="COZ26" s="58"/>
      <c r="CPA26" s="56"/>
      <c r="CPB26" s="57"/>
      <c r="CPC26" s="57"/>
      <c r="CPD26" s="57"/>
      <c r="CPE26" s="56"/>
      <c r="CPF26" s="57"/>
      <c r="CPG26" s="57"/>
      <c r="CPH26" s="56"/>
      <c r="CPI26" s="57"/>
      <c r="CPJ26" s="58"/>
      <c r="CPK26" s="56"/>
      <c r="CPL26" s="57"/>
      <c r="CPM26" s="57"/>
      <c r="CPN26" s="57"/>
      <c r="CPO26" s="56"/>
      <c r="CPP26" s="57"/>
      <c r="CPQ26" s="57"/>
      <c r="CPR26" s="56"/>
      <c r="CPS26" s="57"/>
      <c r="CPT26" s="58"/>
      <c r="CPU26" s="56"/>
      <c r="CPV26" s="58"/>
      <c r="CPW26" s="57"/>
      <c r="CPX26" s="56"/>
      <c r="CPY26" s="57"/>
      <c r="CPZ26" s="56"/>
      <c r="CQA26" s="56"/>
      <c r="CQB26" s="56"/>
      <c r="CQC26" s="57"/>
      <c r="CQD26" s="387"/>
      <c r="CQE26" s="57"/>
      <c r="CQF26" s="387"/>
      <c r="CQG26" s="57"/>
      <c r="CQH26" s="387"/>
      <c r="CQI26" s="57"/>
      <c r="CQJ26" s="57"/>
      <c r="CQK26" s="57"/>
      <c r="CQL26" s="57"/>
      <c r="CQM26" s="57"/>
      <c r="CQN26" s="57"/>
      <c r="CQO26" s="57"/>
      <c r="CQP26" s="57"/>
      <c r="CQQ26" s="57"/>
      <c r="CQR26" s="57"/>
      <c r="CQS26" s="57"/>
      <c r="CQT26" s="57"/>
      <c r="CQU26" s="57"/>
      <c r="CQV26" s="57"/>
      <c r="CQW26" s="57"/>
      <c r="CQX26" s="57"/>
      <c r="CQY26" s="57"/>
      <c r="CQZ26" s="57"/>
      <c r="CRA26" s="57"/>
      <c r="CRB26" s="57"/>
      <c r="CRC26" s="57"/>
      <c r="CRD26" s="57"/>
      <c r="CRE26" s="57"/>
      <c r="CRF26" s="57"/>
      <c r="CRG26" s="57"/>
      <c r="CRH26" s="57"/>
      <c r="CRI26" s="57"/>
      <c r="CRJ26" s="57"/>
      <c r="CRK26" s="57"/>
      <c r="CRL26" s="57"/>
      <c r="CRM26" s="57"/>
      <c r="CRN26" s="58"/>
      <c r="CRO26" s="56"/>
      <c r="CRP26" s="57"/>
      <c r="CRQ26" s="57"/>
      <c r="CRR26" s="57"/>
      <c r="CRS26" s="57"/>
      <c r="CRT26" s="57"/>
      <c r="CRU26" s="56"/>
      <c r="CRV26" s="57"/>
      <c r="CRW26" s="57"/>
      <c r="CRX26" s="56"/>
      <c r="CRY26" s="57"/>
      <c r="CRZ26" s="58"/>
      <c r="CSA26" s="56"/>
      <c r="CSB26" s="57"/>
      <c r="CSC26" s="57"/>
      <c r="CSD26" s="57"/>
      <c r="CSE26" s="56"/>
      <c r="CSF26" s="57"/>
      <c r="CSG26" s="57"/>
      <c r="CSH26" s="56"/>
      <c r="CSI26" s="57"/>
      <c r="CSJ26" s="58"/>
      <c r="CSK26" s="56"/>
      <c r="CSL26" s="57"/>
      <c r="CSM26" s="57"/>
      <c r="CSN26" s="57"/>
      <c r="CSO26" s="56"/>
      <c r="CSP26" s="57"/>
      <c r="CSQ26" s="57"/>
      <c r="CSR26" s="56"/>
      <c r="CSS26" s="57"/>
      <c r="CST26" s="58"/>
      <c r="CSU26" s="56"/>
      <c r="CSV26" s="57"/>
      <c r="CSW26" s="57"/>
      <c r="CSX26" s="57"/>
      <c r="CSY26" s="56"/>
      <c r="CSZ26" s="57"/>
      <c r="CTA26" s="57"/>
      <c r="CTB26" s="56"/>
      <c r="CTC26" s="57"/>
      <c r="CTD26" s="58"/>
      <c r="CTE26" s="56"/>
      <c r="CTF26" s="58"/>
      <c r="CTG26" s="57"/>
      <c r="CTH26" s="56"/>
      <c r="CTI26" s="57"/>
      <c r="CTJ26" s="56"/>
      <c r="CTK26" s="56"/>
      <c r="CTL26" s="56"/>
      <c r="CTM26" s="57"/>
      <c r="CTN26" s="387"/>
      <c r="CTO26" s="57"/>
      <c r="CTP26" s="387"/>
      <c r="CTQ26" s="57"/>
      <c r="CTR26" s="387"/>
      <c r="CTS26" s="57"/>
      <c r="CTT26" s="57"/>
      <c r="CTU26" s="57"/>
      <c r="CTV26" s="57"/>
      <c r="CTW26" s="57"/>
      <c r="CTX26" s="57"/>
      <c r="CTY26" s="57"/>
      <c r="CTZ26" s="57"/>
      <c r="CUA26" s="57"/>
      <c r="CUB26" s="57"/>
      <c r="CUC26" s="57"/>
      <c r="CUD26" s="57"/>
      <c r="CUE26" s="57"/>
      <c r="CUF26" s="57"/>
      <c r="CUG26" s="57"/>
      <c r="CUH26" s="57"/>
      <c r="CUI26" s="57"/>
      <c r="CUJ26" s="57"/>
      <c r="CUK26" s="57"/>
      <c r="CUL26" s="57"/>
      <c r="CUM26" s="57"/>
      <c r="CUN26" s="57"/>
      <c r="CUO26" s="57"/>
      <c r="CUP26" s="57"/>
      <c r="CUQ26" s="57"/>
      <c r="CUR26" s="57"/>
      <c r="CUS26" s="57"/>
      <c r="CUT26" s="57"/>
      <c r="CUU26" s="57"/>
      <c r="CUV26" s="57"/>
      <c r="CUW26" s="57"/>
      <c r="CUX26" s="58"/>
      <c r="CUY26" s="56"/>
      <c r="CUZ26" s="57"/>
      <c r="CVA26" s="57"/>
      <c r="CVB26" s="57"/>
      <c r="CVC26" s="57"/>
      <c r="CVD26" s="57"/>
      <c r="CVE26" s="56"/>
      <c r="CVF26" s="57"/>
      <c r="CVG26" s="57"/>
      <c r="CVH26" s="56"/>
      <c r="CVI26" s="57"/>
      <c r="CVJ26" s="58"/>
      <c r="CVK26" s="56"/>
      <c r="CVL26" s="57"/>
      <c r="CVM26" s="57"/>
      <c r="CVN26" s="57"/>
      <c r="CVO26" s="56"/>
      <c r="CVP26" s="57"/>
      <c r="CVQ26" s="57"/>
      <c r="CVR26" s="56"/>
      <c r="CVS26" s="57"/>
      <c r="CVT26" s="58"/>
      <c r="CVU26" s="56"/>
      <c r="CVV26" s="57"/>
      <c r="CVW26" s="57"/>
      <c r="CVX26" s="57"/>
      <c r="CVY26" s="56"/>
      <c r="CVZ26" s="57"/>
      <c r="CWA26" s="57"/>
      <c r="CWB26" s="56"/>
      <c r="CWC26" s="57"/>
      <c r="CWD26" s="58"/>
      <c r="CWE26" s="56"/>
      <c r="CWF26" s="57"/>
      <c r="CWG26" s="57"/>
      <c r="CWH26" s="57"/>
      <c r="CWI26" s="56"/>
      <c r="CWJ26" s="57"/>
      <c r="CWK26" s="57"/>
      <c r="CWL26" s="56"/>
      <c r="CWM26" s="57"/>
      <c r="CWN26" s="58"/>
      <c r="CWO26" s="56"/>
      <c r="CWP26" s="58"/>
      <c r="CWQ26" s="57"/>
      <c r="CWR26" s="56"/>
      <c r="CWS26" s="57"/>
      <c r="CWT26" s="56"/>
      <c r="CWU26" s="56"/>
      <c r="CWV26" s="56"/>
      <c r="CWW26" s="57"/>
      <c r="CWX26" s="387"/>
      <c r="CWY26" s="57"/>
      <c r="CWZ26" s="387"/>
      <c r="CXA26" s="57"/>
      <c r="CXB26" s="387"/>
      <c r="CXC26" s="57"/>
      <c r="CXD26" s="57"/>
      <c r="CXE26" s="57"/>
      <c r="CXF26" s="57"/>
      <c r="CXG26" s="57"/>
      <c r="CXH26" s="57"/>
      <c r="CXI26" s="57"/>
      <c r="CXJ26" s="57"/>
      <c r="CXK26" s="57"/>
      <c r="CXL26" s="57"/>
      <c r="CXM26" s="57"/>
      <c r="CXN26" s="57"/>
      <c r="CXO26" s="57"/>
      <c r="CXP26" s="57"/>
      <c r="CXQ26" s="57"/>
      <c r="CXR26" s="57"/>
      <c r="CXS26" s="57"/>
      <c r="CXT26" s="57"/>
      <c r="CXU26" s="57"/>
      <c r="CXV26" s="57"/>
      <c r="CXW26" s="57"/>
      <c r="CXX26" s="57"/>
      <c r="CXY26" s="57"/>
      <c r="CXZ26" s="57"/>
      <c r="CYA26" s="57"/>
      <c r="CYB26" s="57"/>
      <c r="CYC26" s="57"/>
      <c r="CYD26" s="57"/>
      <c r="CYE26" s="57"/>
      <c r="CYF26" s="57"/>
      <c r="CYG26" s="57"/>
      <c r="CYH26" s="58"/>
      <c r="CYI26" s="56"/>
      <c r="CYJ26" s="57"/>
      <c r="CYK26" s="57"/>
      <c r="CYL26" s="57"/>
      <c r="CYM26" s="57"/>
      <c r="CYN26" s="57"/>
      <c r="CYO26" s="56"/>
      <c r="CYP26" s="57"/>
      <c r="CYQ26" s="57"/>
      <c r="CYR26" s="56"/>
      <c r="CYS26" s="57"/>
      <c r="CYT26" s="58"/>
      <c r="CYU26" s="56"/>
      <c r="CYV26" s="57"/>
      <c r="CYW26" s="57"/>
      <c r="CYX26" s="57"/>
      <c r="CYY26" s="56"/>
      <c r="CYZ26" s="57"/>
      <c r="CZA26" s="57"/>
      <c r="CZB26" s="56"/>
      <c r="CZC26" s="57"/>
      <c r="CZD26" s="58"/>
      <c r="CZE26" s="56"/>
      <c r="CZF26" s="57"/>
      <c r="CZG26" s="57"/>
      <c r="CZH26" s="57"/>
      <c r="CZI26" s="56"/>
      <c r="CZJ26" s="57"/>
      <c r="CZK26" s="57"/>
      <c r="CZL26" s="56"/>
      <c r="CZM26" s="57"/>
      <c r="CZN26" s="58"/>
      <c r="CZO26" s="56"/>
      <c r="CZP26" s="57"/>
      <c r="CZQ26" s="57"/>
      <c r="CZR26" s="57"/>
      <c r="CZS26" s="56"/>
      <c r="CZT26" s="57"/>
      <c r="CZU26" s="57"/>
      <c r="CZV26" s="56"/>
      <c r="CZW26" s="57"/>
      <c r="CZX26" s="58"/>
      <c r="CZY26" s="56"/>
      <c r="CZZ26" s="58"/>
      <c r="DAA26" s="57"/>
      <c r="DAB26" s="56"/>
      <c r="DAC26" s="57"/>
      <c r="DAD26" s="56"/>
      <c r="DAE26" s="56"/>
      <c r="DAF26" s="56"/>
      <c r="DAG26" s="57"/>
      <c r="DAH26" s="387"/>
      <c r="DAI26" s="57"/>
      <c r="DAJ26" s="387"/>
      <c r="DAK26" s="57"/>
      <c r="DAL26" s="387"/>
      <c r="DAM26" s="57"/>
      <c r="DAN26" s="57"/>
      <c r="DAO26" s="57"/>
      <c r="DAP26" s="57"/>
      <c r="DAQ26" s="57"/>
      <c r="DAR26" s="57"/>
      <c r="DAS26" s="57"/>
      <c r="DAT26" s="57"/>
      <c r="DAU26" s="57"/>
      <c r="DAV26" s="57"/>
      <c r="DAW26" s="57"/>
      <c r="DAX26" s="57"/>
      <c r="DAY26" s="57"/>
      <c r="DAZ26" s="57"/>
      <c r="DBA26" s="57"/>
      <c r="DBB26" s="57"/>
      <c r="DBC26" s="57"/>
      <c r="DBD26" s="57"/>
      <c r="DBE26" s="57"/>
      <c r="DBF26" s="57"/>
      <c r="DBG26" s="57"/>
      <c r="DBH26" s="57"/>
      <c r="DBI26" s="57"/>
      <c r="DBJ26" s="57"/>
      <c r="DBK26" s="57"/>
      <c r="DBL26" s="57"/>
      <c r="DBM26" s="57"/>
      <c r="DBN26" s="57"/>
      <c r="DBO26" s="57"/>
      <c r="DBP26" s="57"/>
      <c r="DBQ26" s="57"/>
      <c r="DBR26" s="58"/>
      <c r="DBS26" s="56"/>
      <c r="DBT26" s="57"/>
      <c r="DBU26" s="57"/>
      <c r="DBV26" s="57"/>
      <c r="DBW26" s="57"/>
      <c r="DBX26" s="57"/>
      <c r="DBY26" s="56"/>
      <c r="DBZ26" s="57"/>
      <c r="DCA26" s="57"/>
      <c r="DCB26" s="56"/>
      <c r="DCC26" s="57"/>
      <c r="DCD26" s="58"/>
      <c r="DCE26" s="56"/>
      <c r="DCF26" s="57"/>
      <c r="DCG26" s="57"/>
      <c r="DCH26" s="57"/>
      <c r="DCI26" s="56"/>
      <c r="DCJ26" s="57"/>
      <c r="DCK26" s="57"/>
      <c r="DCL26" s="56"/>
      <c r="DCM26" s="57"/>
      <c r="DCN26" s="58"/>
      <c r="DCO26" s="56"/>
      <c r="DCP26" s="57"/>
      <c r="DCQ26" s="57"/>
      <c r="DCR26" s="57"/>
      <c r="DCS26" s="56"/>
      <c r="DCT26" s="57"/>
      <c r="DCU26" s="57"/>
      <c r="DCV26" s="56"/>
      <c r="DCW26" s="57"/>
      <c r="DCX26" s="58"/>
      <c r="DCY26" s="56"/>
      <c r="DCZ26" s="57"/>
      <c r="DDA26" s="57"/>
      <c r="DDB26" s="57"/>
      <c r="DDC26" s="56"/>
      <c r="DDD26" s="57"/>
      <c r="DDE26" s="57"/>
      <c r="DDF26" s="56"/>
      <c r="DDG26" s="57"/>
      <c r="DDH26" s="58"/>
      <c r="DDI26" s="56"/>
      <c r="DDJ26" s="58"/>
      <c r="DDK26" s="57"/>
      <c r="DDL26" s="56"/>
      <c r="DDM26" s="57"/>
      <c r="DDN26" s="56"/>
      <c r="DDO26" s="56"/>
      <c r="DDP26" s="56"/>
      <c r="DDQ26" s="57"/>
      <c r="DDR26" s="387"/>
      <c r="DDS26" s="57"/>
      <c r="DDT26" s="387"/>
      <c r="DDU26" s="57"/>
      <c r="DDV26" s="387"/>
      <c r="DDW26" s="57"/>
      <c r="DDX26" s="57"/>
      <c r="DDY26" s="57"/>
      <c r="DDZ26" s="57"/>
      <c r="DEA26" s="57"/>
      <c r="DEB26" s="57"/>
      <c r="DEC26" s="57"/>
      <c r="DED26" s="57"/>
      <c r="DEE26" s="57"/>
      <c r="DEF26" s="57"/>
      <c r="DEG26" s="57"/>
      <c r="DEH26" s="57"/>
      <c r="DEI26" s="57"/>
      <c r="DEJ26" s="57"/>
      <c r="DEK26" s="57"/>
      <c r="DEL26" s="57"/>
      <c r="DEM26" s="57"/>
      <c r="DEN26" s="57"/>
      <c r="DEO26" s="57"/>
      <c r="DEP26" s="57"/>
      <c r="DEQ26" s="57"/>
      <c r="DER26" s="57"/>
      <c r="DES26" s="57"/>
      <c r="DET26" s="57"/>
      <c r="DEU26" s="57"/>
      <c r="DEV26" s="57"/>
      <c r="DEW26" s="57"/>
      <c r="DEX26" s="57"/>
      <c r="DEY26" s="57"/>
      <c r="DEZ26" s="57"/>
      <c r="DFA26" s="57"/>
      <c r="DFB26" s="58"/>
      <c r="DFC26" s="56"/>
      <c r="DFD26" s="57"/>
      <c r="DFE26" s="57"/>
      <c r="DFF26" s="57"/>
      <c r="DFG26" s="57"/>
      <c r="DFH26" s="57"/>
      <c r="DFI26" s="56"/>
      <c r="DFJ26" s="57"/>
      <c r="DFK26" s="57"/>
      <c r="DFL26" s="56"/>
      <c r="DFM26" s="57"/>
      <c r="DFN26" s="58"/>
      <c r="DFO26" s="56"/>
      <c r="DFP26" s="57"/>
      <c r="DFQ26" s="57"/>
      <c r="DFR26" s="57"/>
      <c r="DFS26" s="56"/>
      <c r="DFT26" s="57"/>
      <c r="DFU26" s="57"/>
      <c r="DFV26" s="56"/>
      <c r="DFW26" s="57"/>
      <c r="DFX26" s="58"/>
      <c r="DFY26" s="56"/>
      <c r="DFZ26" s="57"/>
      <c r="DGA26" s="57"/>
      <c r="DGB26" s="57"/>
      <c r="DGC26" s="56"/>
      <c r="DGD26" s="57"/>
      <c r="DGE26" s="57"/>
      <c r="DGF26" s="56"/>
      <c r="DGG26" s="57"/>
      <c r="DGH26" s="58"/>
      <c r="DGI26" s="56"/>
      <c r="DGJ26" s="57"/>
      <c r="DGK26" s="57"/>
      <c r="DGL26" s="57"/>
      <c r="DGM26" s="56"/>
      <c r="DGN26" s="57"/>
      <c r="DGO26" s="57"/>
      <c r="DGP26" s="56"/>
      <c r="DGQ26" s="57"/>
      <c r="DGR26" s="58"/>
      <c r="DGS26" s="56"/>
      <c r="DGT26" s="58"/>
      <c r="DGU26" s="57"/>
      <c r="DGV26" s="56"/>
      <c r="DGW26" s="57"/>
      <c r="DGX26" s="56"/>
      <c r="DGY26" s="56"/>
      <c r="DGZ26" s="56"/>
      <c r="DHA26" s="57"/>
      <c r="DHB26" s="387"/>
      <c r="DHC26" s="57"/>
      <c r="DHD26" s="387"/>
      <c r="DHE26" s="57"/>
      <c r="DHF26" s="387"/>
      <c r="DHG26" s="57"/>
      <c r="DHH26" s="57"/>
      <c r="DHI26" s="57"/>
      <c r="DHJ26" s="57"/>
      <c r="DHK26" s="57"/>
      <c r="DHL26" s="57"/>
      <c r="DHM26" s="57"/>
      <c r="DHN26" s="57"/>
      <c r="DHO26" s="57"/>
      <c r="DHP26" s="57"/>
      <c r="DHQ26" s="57"/>
      <c r="DHR26" s="57"/>
      <c r="DHS26" s="57"/>
      <c r="DHT26" s="57"/>
      <c r="DHU26" s="57"/>
      <c r="DHV26" s="57"/>
      <c r="DHW26" s="57"/>
      <c r="DHX26" s="57"/>
      <c r="DHY26" s="57"/>
      <c r="DHZ26" s="57"/>
      <c r="DIA26" s="57"/>
      <c r="DIB26" s="57"/>
      <c r="DIC26" s="57"/>
      <c r="DID26" s="57"/>
      <c r="DIE26" s="57"/>
      <c r="DIF26" s="57"/>
      <c r="DIG26" s="57"/>
      <c r="DIH26" s="57"/>
      <c r="DII26" s="57"/>
      <c r="DIJ26" s="57"/>
      <c r="DIK26" s="57"/>
      <c r="DIL26" s="58"/>
      <c r="DIM26" s="56"/>
      <c r="DIN26" s="57"/>
      <c r="DIO26" s="57"/>
      <c r="DIP26" s="57"/>
      <c r="DIQ26" s="57"/>
      <c r="DIR26" s="57"/>
      <c r="DIS26" s="56"/>
      <c r="DIT26" s="57"/>
      <c r="DIU26" s="57"/>
      <c r="DIV26" s="56"/>
      <c r="DIW26" s="57"/>
      <c r="DIX26" s="58"/>
      <c r="DIY26" s="56"/>
      <c r="DIZ26" s="57"/>
      <c r="DJA26" s="57"/>
      <c r="DJB26" s="57"/>
      <c r="DJC26" s="56"/>
      <c r="DJD26" s="57"/>
      <c r="DJE26" s="57"/>
      <c r="DJF26" s="56"/>
      <c r="DJG26" s="57"/>
      <c r="DJH26" s="58"/>
      <c r="DJI26" s="56"/>
      <c r="DJJ26" s="57"/>
      <c r="DJK26" s="57"/>
      <c r="DJL26" s="57"/>
      <c r="DJM26" s="56"/>
      <c r="DJN26" s="57"/>
      <c r="DJO26" s="57"/>
      <c r="DJP26" s="56"/>
      <c r="DJQ26" s="57"/>
      <c r="DJR26" s="58"/>
      <c r="DJS26" s="56"/>
      <c r="DJT26" s="57"/>
      <c r="DJU26" s="57"/>
      <c r="DJV26" s="57"/>
      <c r="DJW26" s="56"/>
      <c r="DJX26" s="57"/>
      <c r="DJY26" s="57"/>
      <c r="DJZ26" s="56"/>
      <c r="DKA26" s="57"/>
      <c r="DKB26" s="58"/>
      <c r="DKC26" s="56"/>
      <c r="DKD26" s="58"/>
      <c r="DKE26" s="57"/>
      <c r="DKF26" s="56"/>
      <c r="DKG26" s="57"/>
      <c r="DKH26" s="56"/>
      <c r="DKI26" s="56"/>
      <c r="DKJ26" s="56"/>
      <c r="DKK26" s="57"/>
      <c r="DKL26" s="387"/>
      <c r="DKM26" s="57"/>
      <c r="DKN26" s="387"/>
      <c r="DKO26" s="57"/>
      <c r="DKP26" s="387"/>
      <c r="DKQ26" s="57"/>
      <c r="DKR26" s="57"/>
      <c r="DKS26" s="57"/>
      <c r="DKT26" s="57"/>
      <c r="DKU26" s="57"/>
      <c r="DKV26" s="57"/>
      <c r="DKW26" s="57"/>
      <c r="DKX26" s="57"/>
      <c r="DKY26" s="57"/>
      <c r="DKZ26" s="57"/>
      <c r="DLA26" s="57"/>
      <c r="DLB26" s="57"/>
      <c r="DLC26" s="57"/>
      <c r="DLD26" s="57"/>
      <c r="DLE26" s="57"/>
      <c r="DLF26" s="57"/>
      <c r="DLG26" s="57"/>
      <c r="DLH26" s="57"/>
      <c r="DLI26" s="57"/>
      <c r="DLJ26" s="57"/>
      <c r="DLK26" s="57"/>
      <c r="DLL26" s="57"/>
      <c r="DLM26" s="57"/>
      <c r="DLN26" s="57"/>
      <c r="DLO26" s="57"/>
      <c r="DLP26" s="57"/>
      <c r="DLQ26" s="57"/>
      <c r="DLR26" s="57"/>
      <c r="DLS26" s="57"/>
      <c r="DLT26" s="57"/>
      <c r="DLU26" s="57"/>
      <c r="DLV26" s="58"/>
      <c r="DLW26" s="56"/>
      <c r="DLX26" s="57"/>
      <c r="DLY26" s="57"/>
      <c r="DLZ26" s="57"/>
      <c r="DMA26" s="57"/>
      <c r="DMB26" s="57"/>
      <c r="DMC26" s="56"/>
      <c r="DMD26" s="57"/>
      <c r="DME26" s="57"/>
      <c r="DMF26" s="56"/>
      <c r="DMG26" s="57"/>
      <c r="DMH26" s="58"/>
      <c r="DMI26" s="56"/>
      <c r="DMJ26" s="57"/>
      <c r="DMK26" s="57"/>
      <c r="DML26" s="57"/>
      <c r="DMM26" s="56"/>
      <c r="DMN26" s="57"/>
      <c r="DMO26" s="57"/>
      <c r="DMP26" s="56"/>
      <c r="DMQ26" s="57"/>
      <c r="DMR26" s="58"/>
      <c r="DMS26" s="56"/>
      <c r="DMT26" s="57"/>
      <c r="DMU26" s="57"/>
      <c r="DMV26" s="57"/>
      <c r="DMW26" s="56"/>
      <c r="DMX26" s="57"/>
      <c r="DMY26" s="57"/>
      <c r="DMZ26" s="56"/>
      <c r="DNA26" s="57"/>
      <c r="DNB26" s="58"/>
      <c r="DNC26" s="56"/>
      <c r="DND26" s="57"/>
      <c r="DNE26" s="57"/>
      <c r="DNF26" s="57"/>
      <c r="DNG26" s="56"/>
      <c r="DNH26" s="57"/>
      <c r="DNI26" s="57"/>
      <c r="DNJ26" s="56"/>
      <c r="DNK26" s="57"/>
      <c r="DNL26" s="58"/>
      <c r="DNM26" s="56"/>
      <c r="DNN26" s="58"/>
      <c r="DNO26" s="57"/>
      <c r="DNP26" s="56"/>
      <c r="DNQ26" s="57"/>
      <c r="DNR26" s="56"/>
      <c r="DNS26" s="56"/>
      <c r="DNT26" s="56"/>
      <c r="DNU26" s="57"/>
      <c r="DNV26" s="387"/>
      <c r="DNW26" s="57"/>
      <c r="DNX26" s="387"/>
      <c r="DNY26" s="57"/>
      <c r="DNZ26" s="387"/>
      <c r="DOA26" s="57"/>
      <c r="DOB26" s="57"/>
      <c r="DOC26" s="57"/>
      <c r="DOD26" s="57"/>
      <c r="DOE26" s="57"/>
      <c r="DOF26" s="57"/>
      <c r="DOG26" s="57"/>
      <c r="DOH26" s="57"/>
      <c r="DOI26" s="57"/>
      <c r="DOJ26" s="57"/>
      <c r="DOK26" s="57"/>
      <c r="DOL26" s="57"/>
      <c r="DOM26" s="57"/>
      <c r="DON26" s="57"/>
      <c r="DOO26" s="57"/>
      <c r="DOP26" s="57"/>
      <c r="DOQ26" s="57"/>
      <c r="DOR26" s="57"/>
      <c r="DOS26" s="57"/>
      <c r="DOT26" s="57"/>
      <c r="DOU26" s="57"/>
      <c r="DOV26" s="57"/>
      <c r="DOW26" s="57"/>
      <c r="DOX26" s="57"/>
      <c r="DOY26" s="57"/>
      <c r="DOZ26" s="57"/>
      <c r="DPA26" s="57"/>
      <c r="DPB26" s="57"/>
      <c r="DPC26" s="57"/>
      <c r="DPD26" s="57"/>
      <c r="DPE26" s="57"/>
      <c r="DPF26" s="58"/>
      <c r="DPG26" s="56"/>
      <c r="DPH26" s="57"/>
      <c r="DPI26" s="57"/>
      <c r="DPJ26" s="57"/>
      <c r="DPK26" s="57"/>
      <c r="DPL26" s="57"/>
      <c r="DPM26" s="56"/>
      <c r="DPN26" s="57"/>
      <c r="DPO26" s="57"/>
      <c r="DPP26" s="56"/>
      <c r="DPQ26" s="57"/>
      <c r="DPR26" s="58"/>
      <c r="DPS26" s="56"/>
      <c r="DPT26" s="57"/>
      <c r="DPU26" s="57"/>
      <c r="DPV26" s="57"/>
      <c r="DPW26" s="56"/>
      <c r="DPX26" s="57"/>
      <c r="DPY26" s="57"/>
      <c r="DPZ26" s="56"/>
      <c r="DQA26" s="57"/>
      <c r="DQB26" s="58"/>
      <c r="DQC26" s="56"/>
      <c r="DQD26" s="57"/>
      <c r="DQE26" s="57"/>
      <c r="DQF26" s="57"/>
      <c r="DQG26" s="56"/>
      <c r="DQH26" s="57"/>
      <c r="DQI26" s="57"/>
      <c r="DQJ26" s="56"/>
      <c r="DQK26" s="57"/>
      <c r="DQL26" s="58"/>
      <c r="DQM26" s="56"/>
      <c r="DQN26" s="57"/>
      <c r="DQO26" s="57"/>
      <c r="DQP26" s="57"/>
      <c r="DQQ26" s="56"/>
      <c r="DQR26" s="57"/>
      <c r="DQS26" s="57"/>
      <c r="DQT26" s="56"/>
      <c r="DQU26" s="57"/>
      <c r="DQV26" s="58"/>
      <c r="DQW26" s="56"/>
      <c r="DQX26" s="58"/>
      <c r="DQY26" s="57"/>
      <c r="DQZ26" s="56"/>
      <c r="DRA26" s="57"/>
      <c r="DRB26" s="56"/>
      <c r="DRC26" s="56"/>
      <c r="DRD26" s="56"/>
      <c r="DRE26" s="57"/>
      <c r="DRF26" s="387"/>
      <c r="DRG26" s="57"/>
      <c r="DRH26" s="387"/>
      <c r="DRI26" s="57"/>
      <c r="DRJ26" s="387"/>
      <c r="DRK26" s="57"/>
      <c r="DRL26" s="57"/>
      <c r="DRM26" s="57"/>
      <c r="DRN26" s="57"/>
      <c r="DRO26" s="57"/>
      <c r="DRP26" s="57"/>
      <c r="DRQ26" s="57"/>
      <c r="DRR26" s="57"/>
      <c r="DRS26" s="57"/>
      <c r="DRT26" s="57"/>
      <c r="DRU26" s="57"/>
      <c r="DRV26" s="57"/>
      <c r="DRW26" s="57"/>
      <c r="DRX26" s="57"/>
      <c r="DRY26" s="57"/>
      <c r="DRZ26" s="57"/>
      <c r="DSA26" s="57"/>
      <c r="DSB26" s="57"/>
      <c r="DSC26" s="57"/>
      <c r="DSD26" s="57"/>
      <c r="DSE26" s="57"/>
      <c r="DSF26" s="57"/>
      <c r="DSG26" s="57"/>
      <c r="DSH26" s="57"/>
      <c r="DSI26" s="57"/>
      <c r="DSJ26" s="57"/>
      <c r="DSK26" s="57"/>
      <c r="DSL26" s="57"/>
      <c r="DSM26" s="57"/>
      <c r="DSN26" s="57"/>
      <c r="DSO26" s="57"/>
      <c r="DSP26" s="58"/>
      <c r="DSQ26" s="56"/>
      <c r="DSR26" s="57"/>
      <c r="DSS26" s="57"/>
      <c r="DST26" s="57"/>
      <c r="DSU26" s="57"/>
      <c r="DSV26" s="57"/>
      <c r="DSW26" s="56"/>
      <c r="DSX26" s="57"/>
      <c r="DSY26" s="57"/>
      <c r="DSZ26" s="56"/>
      <c r="DTA26" s="57"/>
      <c r="DTB26" s="58"/>
      <c r="DTC26" s="56"/>
      <c r="DTD26" s="57"/>
      <c r="DTE26" s="57"/>
      <c r="DTF26" s="57"/>
      <c r="DTG26" s="56"/>
      <c r="DTH26" s="57"/>
      <c r="DTI26" s="57"/>
      <c r="DTJ26" s="56"/>
      <c r="DTK26" s="57"/>
      <c r="DTL26" s="58"/>
      <c r="DTM26" s="56"/>
      <c r="DTN26" s="57"/>
      <c r="DTO26" s="57"/>
      <c r="DTP26" s="57"/>
      <c r="DTQ26" s="56"/>
      <c r="DTR26" s="57"/>
      <c r="DTS26" s="57"/>
      <c r="DTT26" s="56"/>
      <c r="DTU26" s="57"/>
      <c r="DTV26" s="58"/>
      <c r="DTW26" s="56"/>
      <c r="DTX26" s="57"/>
      <c r="DTY26" s="57"/>
      <c r="DTZ26" s="57"/>
      <c r="DUA26" s="56"/>
      <c r="DUB26" s="57"/>
      <c r="DUC26" s="57"/>
      <c r="DUD26" s="56"/>
      <c r="DUE26" s="57"/>
      <c r="DUF26" s="58"/>
      <c r="DUG26" s="56"/>
      <c r="DUH26" s="58"/>
      <c r="DUI26" s="57"/>
      <c r="DUJ26" s="56"/>
      <c r="DUK26" s="57"/>
      <c r="DUL26" s="56"/>
      <c r="DUM26" s="56"/>
      <c r="DUN26" s="56"/>
      <c r="DUO26" s="57"/>
      <c r="DUP26" s="387"/>
      <c r="DUQ26" s="57"/>
      <c r="DUR26" s="387"/>
      <c r="DUS26" s="57"/>
      <c r="DUT26" s="387"/>
      <c r="DUU26" s="57"/>
      <c r="DUV26" s="57"/>
      <c r="DUW26" s="57"/>
      <c r="DUX26" s="57"/>
      <c r="DUY26" s="57"/>
      <c r="DUZ26" s="57"/>
      <c r="DVA26" s="57"/>
      <c r="DVB26" s="57"/>
      <c r="DVC26" s="57"/>
      <c r="DVD26" s="57"/>
      <c r="DVE26" s="57"/>
      <c r="DVF26" s="57"/>
      <c r="DVG26" s="57"/>
      <c r="DVH26" s="57"/>
      <c r="DVI26" s="57"/>
      <c r="DVJ26" s="57"/>
      <c r="DVK26" s="57"/>
      <c r="DVL26" s="57"/>
      <c r="DVM26" s="57"/>
      <c r="DVN26" s="57"/>
      <c r="DVO26" s="57"/>
      <c r="DVP26" s="57"/>
      <c r="DVQ26" s="57"/>
      <c r="DVR26" s="57"/>
      <c r="DVS26" s="57"/>
      <c r="DVT26" s="57"/>
      <c r="DVU26" s="57"/>
      <c r="DVV26" s="57"/>
      <c r="DVW26" s="57"/>
      <c r="DVX26" s="57"/>
      <c r="DVY26" s="57"/>
      <c r="DVZ26" s="58"/>
      <c r="DWA26" s="56"/>
      <c r="DWB26" s="57"/>
      <c r="DWC26" s="57"/>
      <c r="DWD26" s="57"/>
      <c r="DWE26" s="57"/>
      <c r="DWF26" s="57"/>
      <c r="DWG26" s="56"/>
      <c r="DWH26" s="57"/>
      <c r="DWI26" s="57"/>
      <c r="DWJ26" s="56"/>
      <c r="DWK26" s="57"/>
      <c r="DWL26" s="58"/>
      <c r="DWM26" s="56"/>
      <c r="DWN26" s="57"/>
      <c r="DWO26" s="57"/>
      <c r="DWP26" s="57"/>
      <c r="DWQ26" s="56"/>
      <c r="DWR26" s="57"/>
      <c r="DWS26" s="57"/>
      <c r="DWT26" s="56"/>
      <c r="DWU26" s="57"/>
      <c r="DWV26" s="58"/>
      <c r="DWW26" s="56"/>
      <c r="DWX26" s="57"/>
      <c r="DWY26" s="57"/>
      <c r="DWZ26" s="57"/>
      <c r="DXA26" s="56"/>
      <c r="DXB26" s="57"/>
      <c r="DXC26" s="57"/>
      <c r="DXD26" s="56"/>
      <c r="DXE26" s="57"/>
      <c r="DXF26" s="58"/>
      <c r="DXG26" s="56"/>
      <c r="DXH26" s="57"/>
      <c r="DXI26" s="57"/>
      <c r="DXJ26" s="57"/>
      <c r="DXK26" s="56"/>
      <c r="DXL26" s="57"/>
      <c r="DXM26" s="57"/>
      <c r="DXN26" s="56"/>
      <c r="DXO26" s="57"/>
      <c r="DXP26" s="58"/>
      <c r="DXQ26" s="56"/>
      <c r="DXR26" s="58"/>
      <c r="DXS26" s="57"/>
      <c r="DXT26" s="56"/>
      <c r="DXU26" s="57"/>
      <c r="DXV26" s="56"/>
      <c r="DXW26" s="56"/>
      <c r="DXX26" s="56"/>
      <c r="DXY26" s="57"/>
      <c r="DXZ26" s="387"/>
      <c r="DYA26" s="57"/>
      <c r="DYB26" s="387"/>
      <c r="DYC26" s="57"/>
      <c r="DYD26" s="387"/>
      <c r="DYE26" s="57"/>
      <c r="DYF26" s="57"/>
      <c r="DYG26" s="57"/>
      <c r="DYH26" s="57"/>
      <c r="DYI26" s="57"/>
      <c r="DYJ26" s="57"/>
      <c r="DYK26" s="57"/>
      <c r="DYL26" s="57"/>
      <c r="DYM26" s="57"/>
      <c r="DYN26" s="57"/>
      <c r="DYO26" s="57"/>
      <c r="DYP26" s="57"/>
      <c r="DYQ26" s="57"/>
      <c r="DYR26" s="57"/>
      <c r="DYS26" s="57"/>
      <c r="DYT26" s="57"/>
      <c r="DYU26" s="57"/>
      <c r="DYV26" s="57"/>
      <c r="DYW26" s="57"/>
      <c r="DYX26" s="57"/>
      <c r="DYY26" s="57"/>
      <c r="DYZ26" s="57"/>
      <c r="DZA26" s="57"/>
      <c r="DZB26" s="57"/>
      <c r="DZC26" s="57"/>
      <c r="DZD26" s="57"/>
      <c r="DZE26" s="57"/>
      <c r="DZF26" s="57"/>
      <c r="DZG26" s="57"/>
      <c r="DZH26" s="57"/>
      <c r="DZI26" s="57"/>
      <c r="DZJ26" s="58"/>
      <c r="DZK26" s="56"/>
      <c r="DZL26" s="57"/>
      <c r="DZM26" s="57"/>
      <c r="DZN26" s="57"/>
      <c r="DZO26" s="57"/>
      <c r="DZP26" s="57"/>
      <c r="DZQ26" s="56"/>
      <c r="DZR26" s="57"/>
      <c r="DZS26" s="57"/>
      <c r="DZT26" s="56"/>
      <c r="DZU26" s="57"/>
      <c r="DZV26" s="58"/>
      <c r="DZW26" s="56"/>
      <c r="DZX26" s="57"/>
      <c r="DZY26" s="57"/>
      <c r="DZZ26" s="57"/>
      <c r="EAA26" s="56"/>
      <c r="EAB26" s="57"/>
      <c r="EAC26" s="57"/>
      <c r="EAD26" s="56"/>
      <c r="EAE26" s="57"/>
      <c r="EAF26" s="58"/>
      <c r="EAG26" s="56"/>
      <c r="EAH26" s="57"/>
      <c r="EAI26" s="57"/>
      <c r="EAJ26" s="57"/>
      <c r="EAK26" s="56"/>
      <c r="EAL26" s="57"/>
      <c r="EAM26" s="57"/>
      <c r="EAN26" s="56"/>
      <c r="EAO26" s="57"/>
      <c r="EAP26" s="58"/>
      <c r="EAQ26" s="56"/>
      <c r="EAR26" s="57"/>
      <c r="EAS26" s="57"/>
      <c r="EAT26" s="57"/>
      <c r="EAU26" s="56"/>
      <c r="EAV26" s="57"/>
      <c r="EAW26" s="57"/>
      <c r="EAX26" s="56"/>
      <c r="EAY26" s="57"/>
      <c r="EAZ26" s="58"/>
      <c r="EBA26" s="56"/>
      <c r="EBB26" s="58"/>
      <c r="EBC26" s="57"/>
      <c r="EBD26" s="56"/>
      <c r="EBE26" s="57"/>
      <c r="EBF26" s="56"/>
      <c r="EBG26" s="56"/>
      <c r="EBH26" s="56"/>
      <c r="EBI26" s="57"/>
      <c r="EBJ26" s="387"/>
      <c r="EBK26" s="57"/>
      <c r="EBL26" s="387"/>
      <c r="EBM26" s="57"/>
      <c r="EBN26" s="387"/>
      <c r="EBO26" s="57"/>
      <c r="EBP26" s="57"/>
      <c r="EBQ26" s="57"/>
      <c r="EBR26" s="57"/>
      <c r="EBS26" s="57"/>
      <c r="EBT26" s="57"/>
      <c r="EBU26" s="57"/>
      <c r="EBV26" s="57"/>
      <c r="EBW26" s="57"/>
      <c r="EBX26" s="57"/>
      <c r="EBY26" s="57"/>
      <c r="EBZ26" s="57"/>
      <c r="ECA26" s="57"/>
      <c r="ECB26" s="57"/>
      <c r="ECC26" s="57"/>
      <c r="ECD26" s="57"/>
      <c r="ECE26" s="57"/>
      <c r="ECF26" s="57"/>
      <c r="ECG26" s="57"/>
      <c r="ECH26" s="57"/>
      <c r="ECI26" s="57"/>
      <c r="ECJ26" s="57"/>
      <c r="ECK26" s="57"/>
      <c r="ECL26" s="57"/>
      <c r="ECM26" s="57"/>
      <c r="ECN26" s="57"/>
      <c r="ECO26" s="57"/>
      <c r="ECP26" s="57"/>
      <c r="ECQ26" s="57"/>
      <c r="ECR26" s="57"/>
      <c r="ECS26" s="57"/>
      <c r="ECT26" s="58"/>
      <c r="ECU26" s="56"/>
      <c r="ECV26" s="57"/>
      <c r="ECW26" s="57"/>
      <c r="ECX26" s="57"/>
      <c r="ECY26" s="57"/>
      <c r="ECZ26" s="57"/>
      <c r="EDA26" s="56"/>
      <c r="EDB26" s="57"/>
      <c r="EDC26" s="57"/>
      <c r="EDD26" s="56"/>
      <c r="EDE26" s="57"/>
      <c r="EDF26" s="58"/>
      <c r="EDG26" s="56"/>
      <c r="EDH26" s="57"/>
      <c r="EDI26" s="57"/>
      <c r="EDJ26" s="57"/>
      <c r="EDK26" s="56"/>
      <c r="EDL26" s="57"/>
      <c r="EDM26" s="57"/>
      <c r="EDN26" s="56"/>
      <c r="EDO26" s="57"/>
      <c r="EDP26" s="58"/>
      <c r="EDQ26" s="56"/>
      <c r="EDR26" s="57"/>
      <c r="EDS26" s="57"/>
      <c r="EDT26" s="57"/>
      <c r="EDU26" s="56"/>
      <c r="EDV26" s="57"/>
      <c r="EDW26" s="57"/>
      <c r="EDX26" s="56"/>
      <c r="EDY26" s="57"/>
      <c r="EDZ26" s="58"/>
      <c r="EEA26" s="56"/>
      <c r="EEB26" s="57"/>
      <c r="EEC26" s="57"/>
      <c r="EED26" s="57"/>
      <c r="EEE26" s="56"/>
      <c r="EEF26" s="57"/>
      <c r="EEG26" s="57"/>
      <c r="EEH26" s="56"/>
      <c r="EEI26" s="57"/>
      <c r="EEJ26" s="58"/>
      <c r="EEK26" s="56"/>
      <c r="EEL26" s="58"/>
      <c r="EEM26" s="57"/>
      <c r="EEN26" s="56"/>
      <c r="EEO26" s="57"/>
      <c r="EEP26" s="56"/>
      <c r="EEQ26" s="56"/>
      <c r="EER26" s="56"/>
      <c r="EES26" s="57"/>
      <c r="EET26" s="387"/>
      <c r="EEU26" s="57"/>
      <c r="EEV26" s="387"/>
      <c r="EEW26" s="57"/>
      <c r="EEX26" s="387"/>
      <c r="EEY26" s="57"/>
      <c r="EEZ26" s="57"/>
      <c r="EFA26" s="57"/>
      <c r="EFB26" s="57"/>
      <c r="EFC26" s="57"/>
      <c r="EFD26" s="57"/>
      <c r="EFE26" s="57"/>
      <c r="EFF26" s="57"/>
      <c r="EFG26" s="57"/>
      <c r="EFH26" s="57"/>
      <c r="EFI26" s="57"/>
      <c r="EFJ26" s="57"/>
      <c r="EFK26" s="57"/>
      <c r="EFL26" s="57"/>
      <c r="EFM26" s="57"/>
      <c r="EFN26" s="57"/>
      <c r="EFO26" s="57"/>
      <c r="EFP26" s="57"/>
      <c r="EFQ26" s="57"/>
      <c r="EFR26" s="57"/>
      <c r="EFS26" s="57"/>
      <c r="EFT26" s="57"/>
      <c r="EFU26" s="57"/>
      <c r="EFV26" s="57"/>
      <c r="EFW26" s="57"/>
      <c r="EFX26" s="57"/>
      <c r="EFY26" s="57"/>
      <c r="EFZ26" s="57"/>
      <c r="EGA26" s="57"/>
      <c r="EGB26" s="57"/>
      <c r="EGC26" s="57"/>
      <c r="EGD26" s="58"/>
      <c r="EGE26" s="56"/>
      <c r="EGF26" s="57"/>
      <c r="EGG26" s="57"/>
      <c r="EGH26" s="57"/>
      <c r="EGI26" s="57"/>
      <c r="EGJ26" s="57"/>
      <c r="EGK26" s="56"/>
      <c r="EGL26" s="57"/>
      <c r="EGM26" s="57"/>
      <c r="EGN26" s="56"/>
      <c r="EGO26" s="57"/>
      <c r="EGP26" s="58"/>
      <c r="EGQ26" s="56"/>
      <c r="EGR26" s="57"/>
      <c r="EGS26" s="57"/>
      <c r="EGT26" s="57"/>
      <c r="EGU26" s="56"/>
      <c r="EGV26" s="57"/>
      <c r="EGW26" s="57"/>
      <c r="EGX26" s="56"/>
      <c r="EGY26" s="57"/>
      <c r="EGZ26" s="58"/>
      <c r="EHA26" s="56"/>
      <c r="EHB26" s="57"/>
      <c r="EHC26" s="57"/>
      <c r="EHD26" s="57"/>
      <c r="EHE26" s="56"/>
      <c r="EHF26" s="57"/>
      <c r="EHG26" s="57"/>
      <c r="EHH26" s="56"/>
      <c r="EHI26" s="57"/>
      <c r="EHJ26" s="58"/>
      <c r="EHK26" s="56"/>
      <c r="EHL26" s="57"/>
      <c r="EHM26" s="57"/>
      <c r="EHN26" s="57"/>
      <c r="EHO26" s="56"/>
      <c r="EHP26" s="57"/>
      <c r="EHQ26" s="57"/>
      <c r="EHR26" s="56"/>
      <c r="EHS26" s="57"/>
      <c r="EHT26" s="58"/>
      <c r="EHU26" s="56"/>
      <c r="EHV26" s="58"/>
      <c r="EHW26" s="57"/>
      <c r="EHX26" s="56"/>
      <c r="EHY26" s="57"/>
      <c r="EHZ26" s="56"/>
      <c r="EIA26" s="56"/>
      <c r="EIB26" s="56"/>
      <c r="EIC26" s="57"/>
      <c r="EID26" s="387"/>
      <c r="EIE26" s="57"/>
      <c r="EIF26" s="387"/>
      <c r="EIG26" s="57"/>
      <c r="EIH26" s="387"/>
      <c r="EII26" s="57"/>
      <c r="EIJ26" s="57"/>
      <c r="EIK26" s="57"/>
      <c r="EIL26" s="57"/>
      <c r="EIM26" s="57"/>
      <c r="EIN26" s="57"/>
      <c r="EIO26" s="57"/>
      <c r="EIP26" s="57"/>
      <c r="EIQ26" s="57"/>
      <c r="EIR26" s="57"/>
      <c r="EIS26" s="57"/>
      <c r="EIT26" s="57"/>
      <c r="EIU26" s="57"/>
      <c r="EIV26" s="57"/>
      <c r="EIW26" s="57"/>
      <c r="EIX26" s="57"/>
      <c r="EIY26" s="57"/>
      <c r="EIZ26" s="57"/>
      <c r="EJA26" s="57"/>
      <c r="EJB26" s="57"/>
      <c r="EJC26" s="57"/>
      <c r="EJD26" s="57"/>
      <c r="EJE26" s="57"/>
      <c r="EJF26" s="57"/>
      <c r="EJG26" s="57"/>
      <c r="EJH26" s="57"/>
      <c r="EJI26" s="57"/>
      <c r="EJJ26" s="57"/>
      <c r="EJK26" s="57"/>
      <c r="EJL26" s="57"/>
      <c r="EJM26" s="57"/>
      <c r="EJN26" s="58"/>
      <c r="EJO26" s="56"/>
      <c r="EJP26" s="57"/>
      <c r="EJQ26" s="57"/>
      <c r="EJR26" s="57"/>
      <c r="EJS26" s="57"/>
      <c r="EJT26" s="57"/>
      <c r="EJU26" s="56"/>
      <c r="EJV26" s="57"/>
      <c r="EJW26" s="57"/>
      <c r="EJX26" s="56"/>
      <c r="EJY26" s="57"/>
      <c r="EJZ26" s="58"/>
      <c r="EKA26" s="56"/>
      <c r="EKB26" s="57"/>
      <c r="EKC26" s="57"/>
      <c r="EKD26" s="57"/>
      <c r="EKE26" s="56"/>
      <c r="EKF26" s="57"/>
      <c r="EKG26" s="57"/>
      <c r="EKH26" s="56"/>
      <c r="EKI26" s="57"/>
      <c r="EKJ26" s="58"/>
      <c r="EKK26" s="56"/>
      <c r="EKL26" s="57"/>
      <c r="EKM26" s="57"/>
      <c r="EKN26" s="57"/>
      <c r="EKO26" s="56"/>
      <c r="EKP26" s="57"/>
      <c r="EKQ26" s="57"/>
      <c r="EKR26" s="56"/>
      <c r="EKS26" s="57"/>
      <c r="EKT26" s="58"/>
      <c r="EKU26" s="56"/>
      <c r="EKV26" s="57"/>
      <c r="EKW26" s="57"/>
      <c r="EKX26" s="57"/>
      <c r="EKY26" s="56"/>
      <c r="EKZ26" s="57"/>
      <c r="ELA26" s="57"/>
      <c r="ELB26" s="56"/>
      <c r="ELC26" s="57"/>
      <c r="ELD26" s="58"/>
      <c r="ELE26" s="56"/>
      <c r="ELF26" s="58"/>
      <c r="ELG26" s="57"/>
      <c r="ELH26" s="56"/>
      <c r="ELI26" s="57"/>
      <c r="ELJ26" s="56"/>
      <c r="ELK26" s="56"/>
      <c r="ELL26" s="56"/>
      <c r="ELM26" s="57"/>
      <c r="ELN26" s="387"/>
      <c r="ELO26" s="57"/>
      <c r="ELP26" s="387"/>
      <c r="ELQ26" s="57"/>
      <c r="ELR26" s="387"/>
      <c r="ELS26" s="57"/>
      <c r="ELT26" s="57"/>
      <c r="ELU26" s="57"/>
      <c r="ELV26" s="57"/>
      <c r="ELW26" s="57"/>
      <c r="ELX26" s="57"/>
      <c r="ELY26" s="57"/>
      <c r="ELZ26" s="57"/>
      <c r="EMA26" s="57"/>
      <c r="EMB26" s="57"/>
      <c r="EMC26" s="57"/>
      <c r="EMD26" s="57"/>
      <c r="EME26" s="57"/>
      <c r="EMF26" s="57"/>
      <c r="EMG26" s="57"/>
      <c r="EMH26" s="57"/>
      <c r="EMI26" s="57"/>
      <c r="EMJ26" s="57"/>
      <c r="EMK26" s="57"/>
      <c r="EML26" s="57"/>
      <c r="EMM26" s="57"/>
      <c r="EMN26" s="57"/>
      <c r="EMO26" s="57"/>
      <c r="EMP26" s="57"/>
      <c r="EMQ26" s="57"/>
      <c r="EMR26" s="57"/>
      <c r="EMS26" s="57"/>
      <c r="EMT26" s="57"/>
      <c r="EMU26" s="57"/>
      <c r="EMV26" s="57"/>
      <c r="EMW26" s="57"/>
      <c r="EMX26" s="58"/>
      <c r="EMY26" s="56"/>
      <c r="EMZ26" s="57"/>
      <c r="ENA26" s="57"/>
      <c r="ENB26" s="57"/>
      <c r="ENC26" s="57"/>
      <c r="END26" s="57"/>
      <c r="ENE26" s="56"/>
      <c r="ENF26" s="57"/>
      <c r="ENG26" s="57"/>
      <c r="ENH26" s="56"/>
      <c r="ENI26" s="57"/>
      <c r="ENJ26" s="58"/>
      <c r="ENK26" s="56"/>
      <c r="ENL26" s="57"/>
      <c r="ENM26" s="57"/>
      <c r="ENN26" s="57"/>
      <c r="ENO26" s="56"/>
      <c r="ENP26" s="57"/>
      <c r="ENQ26" s="57"/>
      <c r="ENR26" s="56"/>
      <c r="ENS26" s="57"/>
      <c r="ENT26" s="58"/>
      <c r="ENU26" s="56"/>
      <c r="ENV26" s="57"/>
      <c r="ENW26" s="57"/>
      <c r="ENX26" s="57"/>
      <c r="ENY26" s="56"/>
      <c r="ENZ26" s="57"/>
      <c r="EOA26" s="57"/>
      <c r="EOB26" s="56"/>
      <c r="EOC26" s="57"/>
      <c r="EOD26" s="58"/>
      <c r="EOE26" s="56"/>
      <c r="EOF26" s="57"/>
      <c r="EOG26" s="57"/>
      <c r="EOH26" s="57"/>
      <c r="EOI26" s="56"/>
      <c r="EOJ26" s="57"/>
      <c r="EOK26" s="57"/>
      <c r="EOL26" s="56"/>
      <c r="EOM26" s="57"/>
      <c r="EON26" s="58"/>
      <c r="EOO26" s="56" t="str">
        <f t="shared" si="149"/>
        <v xml:space="preserve"> </v>
      </c>
      <c r="EOP26" s="58"/>
      <c r="EOQ26" s="57"/>
      <c r="EOR26" s="56"/>
      <c r="EOS26" s="57"/>
      <c r="EOT26" s="56"/>
      <c r="EOU26" s="56"/>
      <c r="EOV26" s="56"/>
      <c r="EOW26" s="57"/>
      <c r="EOX26" s="387"/>
      <c r="EOY26" s="57"/>
      <c r="EOZ26" s="387"/>
      <c r="EPA26" s="57"/>
      <c r="EPB26" s="387"/>
      <c r="EPC26" s="57"/>
      <c r="EPD26" s="57"/>
      <c r="EPE26" s="57"/>
      <c r="EPF26" s="57"/>
      <c r="EPG26" s="57"/>
      <c r="EPH26" s="57"/>
      <c r="EPI26" s="57"/>
      <c r="EPJ26" s="57"/>
      <c r="EPK26" s="57"/>
      <c r="EPL26" s="57"/>
      <c r="EPM26" s="57"/>
      <c r="EPN26" s="57"/>
      <c r="EPO26" s="57"/>
      <c r="EPP26" s="57"/>
      <c r="EPQ26" s="57"/>
      <c r="EPR26" s="57"/>
      <c r="EPS26" s="57"/>
      <c r="EPT26" s="57"/>
      <c r="EPU26" s="57"/>
      <c r="EPV26" s="57"/>
      <c r="EPW26" s="57"/>
      <c r="EPX26" s="57"/>
      <c r="EPY26" s="57"/>
      <c r="EPZ26" s="57"/>
      <c r="EQA26" s="57"/>
      <c r="EQB26" s="57"/>
      <c r="EQC26" s="57"/>
      <c r="EQD26" s="57"/>
      <c r="EQE26" s="57"/>
      <c r="EQF26" s="57"/>
      <c r="EQG26" s="57"/>
      <c r="EQH26" s="58"/>
      <c r="EQI26" s="56"/>
      <c r="EQJ26" s="57"/>
      <c r="EQK26" s="57"/>
      <c r="EQL26" s="57"/>
      <c r="EQM26" s="57"/>
      <c r="EQN26" s="57"/>
      <c r="EQO26" s="56"/>
      <c r="EQP26" s="57"/>
      <c r="EQQ26" s="57"/>
      <c r="EQR26" s="56"/>
      <c r="EQS26" s="57"/>
      <c r="EQT26" s="58"/>
      <c r="EQU26" s="56"/>
      <c r="EQV26" s="57"/>
      <c r="EQW26" s="57"/>
      <c r="EQX26" s="57"/>
      <c r="EQY26" s="56"/>
      <c r="EQZ26" s="57"/>
      <c r="ERA26" s="57"/>
      <c r="ERB26" s="56"/>
      <c r="ERC26" s="57"/>
      <c r="ERD26" s="58"/>
      <c r="ERE26" s="56"/>
      <c r="ERF26" s="57"/>
      <c r="ERG26" s="57"/>
      <c r="ERH26" s="57"/>
      <c r="ERI26" s="56"/>
      <c r="ERJ26" s="57"/>
      <c r="ERK26" s="57"/>
      <c r="ERL26" s="56"/>
      <c r="ERM26" s="57"/>
      <c r="ERN26" s="58"/>
      <c r="ERO26" s="56"/>
      <c r="ERP26" s="57"/>
      <c r="ERQ26" s="57"/>
      <c r="ERR26" s="57"/>
      <c r="ERS26" s="56"/>
      <c r="ERT26" s="57"/>
      <c r="ERU26" s="57"/>
      <c r="ERV26" s="56"/>
      <c r="ERW26" s="57"/>
      <c r="ERX26" s="58"/>
      <c r="ERY26" s="56" t="str">
        <f t="shared" si="152"/>
        <v xml:space="preserve"> </v>
      </c>
      <c r="ERZ26" s="58"/>
      <c r="ESA26" s="57"/>
      <c r="ESB26" s="56"/>
      <c r="ESC26" s="57"/>
      <c r="ESD26" s="56"/>
      <c r="ESE26" s="56"/>
      <c r="ESF26" s="56"/>
      <c r="ESG26" s="57"/>
      <c r="ESH26" s="387"/>
      <c r="ESI26" s="57"/>
      <c r="ESJ26" s="387"/>
      <c r="ESK26" s="57"/>
      <c r="ESL26" s="387"/>
      <c r="ESM26" s="57"/>
      <c r="ESN26" s="57"/>
      <c r="ESO26" s="57"/>
      <c r="ESP26" s="57"/>
      <c r="ESQ26" s="57"/>
      <c r="ESR26" s="57"/>
      <c r="ESS26" s="57"/>
      <c r="EST26" s="57"/>
      <c r="ESU26" s="57"/>
      <c r="ESV26" s="57"/>
      <c r="ESW26" s="57"/>
      <c r="ESX26" s="57"/>
      <c r="ESY26" s="57"/>
      <c r="ESZ26" s="57"/>
      <c r="ETA26" s="57"/>
      <c r="ETB26" s="57"/>
      <c r="ETC26" s="57"/>
      <c r="ETD26" s="57"/>
      <c r="ETE26" s="57"/>
      <c r="ETF26" s="57"/>
      <c r="ETG26" s="57"/>
      <c r="ETH26" s="57"/>
      <c r="ETI26" s="57"/>
      <c r="ETJ26" s="57"/>
      <c r="ETK26" s="57"/>
      <c r="ETL26" s="57"/>
      <c r="ETM26" s="57"/>
      <c r="ETN26" s="57"/>
      <c r="ETO26" s="57"/>
      <c r="ETP26" s="57"/>
      <c r="ETQ26" s="57"/>
      <c r="ETR26" s="58"/>
      <c r="ETS26" s="56"/>
      <c r="ETT26" s="57"/>
      <c r="ETU26" s="57"/>
      <c r="ETV26" s="57"/>
      <c r="ETW26" s="57"/>
      <c r="ETX26" s="57"/>
      <c r="ETY26" s="56"/>
      <c r="ETZ26" s="57"/>
      <c r="EUA26" s="57"/>
      <c r="EUB26" s="56"/>
      <c r="EUC26" s="57"/>
      <c r="EUD26" s="58"/>
      <c r="EUE26" s="56"/>
      <c r="EUF26" s="57"/>
      <c r="EUG26" s="57"/>
      <c r="EUH26" s="57"/>
      <c r="EUI26" s="56"/>
      <c r="EUJ26" s="57"/>
      <c r="EUK26" s="57"/>
      <c r="EUL26" s="56"/>
      <c r="EUM26" s="57"/>
      <c r="EUN26" s="58"/>
      <c r="EUO26" s="56"/>
      <c r="EUP26" s="57"/>
      <c r="EUQ26" s="57"/>
      <c r="EUR26" s="57"/>
      <c r="EUS26" s="56"/>
      <c r="EUT26" s="57"/>
      <c r="EUU26" s="57"/>
      <c r="EUV26" s="56"/>
      <c r="EUW26" s="57"/>
      <c r="EUX26" s="58"/>
      <c r="EUY26" s="56"/>
      <c r="EUZ26" s="57"/>
      <c r="EVA26" s="57"/>
      <c r="EVB26" s="57"/>
      <c r="EVC26" s="56"/>
      <c r="EVD26" s="57"/>
      <c r="EVE26" s="57"/>
      <c r="EVF26" s="56"/>
      <c r="EVG26" s="57"/>
      <c r="EVH26" s="58"/>
      <c r="EVI26" s="56" t="str">
        <f t="shared" si="153"/>
        <v xml:space="preserve"> </v>
      </c>
    </row>
    <row r="27" spans="1:3961" x14ac:dyDescent="0.3">
      <c r="A27" s="423" t="s">
        <v>187</v>
      </c>
      <c r="B27" s="30" t="str">
        <f>'REG y VAL POE - AESR - ESR'!B2037</f>
        <v xml:space="preserve">Alcantar Mendoza Rosa Yesenia </v>
      </c>
      <c r="C27" s="29" t="str">
        <f>'REG y VAL POE - AESR - ESR'!C2037</f>
        <v>Sin Registro</v>
      </c>
      <c r="D27" s="28">
        <f>'REG y VAL POE - AESR - ESR'!D2037</f>
        <v>22146017</v>
      </c>
      <c r="E27" s="29">
        <f>'REG y VAL POE - AESR - ESR'!E2037</f>
        <v>0</v>
      </c>
      <c r="F27" s="28">
        <f>'REG y VAL POE - AESR - ESR'!F2037</f>
        <v>0</v>
      </c>
      <c r="G27" s="31">
        <f>'REG y VAL POE - AESR - ESR'!G2037</f>
        <v>0</v>
      </c>
      <c r="H27" s="31">
        <f>'REG y VAL POE - AESR - ESR'!H2037</f>
        <v>0</v>
      </c>
      <c r="I27" s="29">
        <f>'REG y VAL POE - AESR - ESR'!I2037</f>
        <v>0</v>
      </c>
      <c r="J27" s="29">
        <f>'REG y VAL POE - AESR - ESR'!J2037</f>
        <v>0</v>
      </c>
      <c r="K27" s="29">
        <f>'REG y VAL POE - AESR - ESR'!K2037</f>
        <v>0</v>
      </c>
      <c r="L27" s="29">
        <f>'REG y VAL POE - AESR - ESR'!L2037</f>
        <v>0</v>
      </c>
      <c r="M27" s="29">
        <f>'REG y VAL POE - AESR - ESR'!M2037</f>
        <v>0</v>
      </c>
      <c r="N27" s="29">
        <f>'REG y VAL POE - AESR - ESR'!N2037</f>
        <v>0</v>
      </c>
      <c r="O27" s="29">
        <f>'REG y VAL POE - AESR - ESR'!O2037</f>
        <v>0</v>
      </c>
      <c r="P27" s="29">
        <f>'REG y VAL POE - AESR - ESR'!P2037</f>
        <v>0</v>
      </c>
      <c r="Q27" s="29">
        <f>'REG y VAL POE - AESR - ESR'!Q2037</f>
        <v>0</v>
      </c>
      <c r="R27" s="29">
        <f>'REG y VAL POE - AESR - ESR'!R2037</f>
        <v>0</v>
      </c>
      <c r="S27" s="29">
        <f>'REG y VAL POE - AESR - ESR'!S2037</f>
        <v>0</v>
      </c>
      <c r="T27" s="29">
        <f>'REG y VAL POE - AESR - ESR'!T2037</f>
        <v>0</v>
      </c>
      <c r="U27" s="29">
        <f>'REG y VAL POE - AESR - ESR'!U2037</f>
        <v>0</v>
      </c>
      <c r="V27" s="29">
        <f>'REG y VAL POE - AESR - ESR'!V2037</f>
        <v>0</v>
      </c>
      <c r="W27" s="29">
        <f>'REG y VAL POE - AESR - ESR'!W2037</f>
        <v>0</v>
      </c>
      <c r="X27" s="29">
        <f>'REG y VAL POE - AESR - ESR'!X2037</f>
        <v>0</v>
      </c>
      <c r="Y27" s="29">
        <f>'REG y VAL POE - AESR - ESR'!Y2037</f>
        <v>0</v>
      </c>
      <c r="Z27" s="29">
        <f>'REG y VAL POE - AESR - ESR'!Z2037</f>
        <v>0</v>
      </c>
      <c r="AA27" s="29">
        <f>'REG y VAL POE - AESR - ESR'!AA2037</f>
        <v>0</v>
      </c>
      <c r="AB27" s="29">
        <f>'REG y VAL POE - AESR - ESR'!AB2037</f>
        <v>0</v>
      </c>
      <c r="AC27" s="29">
        <f>'REG y VAL POE - AESR - ESR'!AC2037</f>
        <v>0</v>
      </c>
      <c r="AD27" s="29">
        <f>'REG y VAL POE - AESR - ESR'!AD2037</f>
        <v>0</v>
      </c>
      <c r="AE27" s="29">
        <f>'REG y VAL POE - AESR - ESR'!AE2037</f>
        <v>0</v>
      </c>
      <c r="AF27" s="29">
        <f>'REG y VAL POE - AESR - ESR'!AF2037</f>
        <v>0</v>
      </c>
      <c r="AG27" s="29">
        <f>'REG y VAL POE - AESR - ESR'!AG2037</f>
        <v>0</v>
      </c>
      <c r="AH27" s="29">
        <f>'REG y VAL POE - AESR - ESR'!AH2037</f>
        <v>0</v>
      </c>
      <c r="AI27" s="29">
        <f>'REG y VAL POE - AESR - ESR'!AI2037</f>
        <v>0</v>
      </c>
      <c r="AJ27" s="29">
        <f>'REG y VAL POE - AESR - ESR'!AJ2037</f>
        <v>0</v>
      </c>
      <c r="AK27" s="29">
        <f>'REG y VAL POE - AESR - ESR'!AK2037</f>
        <v>0</v>
      </c>
      <c r="AL27" s="29">
        <f>'REG y VAL POE - AESR - ESR'!AL2037</f>
        <v>0</v>
      </c>
      <c r="AM27" s="29">
        <f>'REG y VAL POE - AESR - ESR'!AM2037</f>
        <v>0</v>
      </c>
      <c r="AN27" s="29">
        <f>'REG y VAL POE - AESR - ESR'!AN2037</f>
        <v>0</v>
      </c>
      <c r="AO27" s="29">
        <f>'REG y VAL POE - AESR - ESR'!AO2037</f>
        <v>0</v>
      </c>
      <c r="AP27" s="29">
        <f>'REG y VAL POE - AESR - ESR'!AP2037</f>
        <v>0</v>
      </c>
      <c r="AQ27" s="29">
        <f>'REG y VAL POE - AESR - ESR'!AQ2037</f>
        <v>0</v>
      </c>
      <c r="AR27" s="29">
        <f>'REG y VAL POE - AESR - ESR'!AR2037</f>
        <v>0</v>
      </c>
      <c r="AS27" s="29">
        <f>'REG y VAL POE - AESR - ESR'!AS2037</f>
        <v>0</v>
      </c>
      <c r="AT27" s="30" t="str">
        <f>'REG y VAL POE - AESR - ESR'!B2038</f>
        <v xml:space="preserve">Ballesteros Espinosa Rosa Del Carmen </v>
      </c>
      <c r="AU27" s="28" t="str">
        <f>'REG y VAL POE - AESR - ESR'!C2038</f>
        <v>Sin Registro</v>
      </c>
      <c r="AV27" s="29">
        <f>'REG y VAL POE - AESR - ESR'!D2038</f>
        <v>22251283</v>
      </c>
      <c r="AW27" s="30">
        <f>'REG y VAL POE - AESR - ESR'!E2038</f>
        <v>0</v>
      </c>
      <c r="AX27" s="29">
        <f>'REG y VAL POE - AESR - ESR'!F2038</f>
        <v>0</v>
      </c>
      <c r="AY27" s="29">
        <f>'REG y VAL POE - AESR - ESR'!G2038</f>
        <v>0</v>
      </c>
      <c r="AZ27" s="29">
        <f>'REG y VAL POE - AESR - ESR'!H2038</f>
        <v>0</v>
      </c>
      <c r="BA27" s="28">
        <f>'REG y VAL POE - AESR - ESR'!I2038</f>
        <v>0</v>
      </c>
      <c r="BB27" s="29">
        <f>'REG y VAL POE - AESR - ESR'!J2038</f>
        <v>0</v>
      </c>
      <c r="BC27" s="29">
        <f>'REG y VAL POE - AESR - ESR'!K2038</f>
        <v>0</v>
      </c>
      <c r="BD27" s="28">
        <f>'REG y VAL POE - AESR - ESR'!L2038</f>
        <v>0</v>
      </c>
      <c r="BE27" s="29">
        <f>'REG y VAL POE - AESR - ESR'!M2038</f>
        <v>0</v>
      </c>
      <c r="BF27" s="30">
        <f>'REG y VAL POE - AESR - ESR'!N2038</f>
        <v>0</v>
      </c>
      <c r="BG27" s="28">
        <f>'REG y VAL POE - AESR - ESR'!O2038</f>
        <v>0</v>
      </c>
      <c r="BH27" s="29">
        <f>'REG y VAL POE - AESR - ESR'!P2038</f>
        <v>0</v>
      </c>
      <c r="BI27" s="30">
        <f>'REG y VAL POE - AESR - ESR'!Q2038</f>
        <v>0</v>
      </c>
      <c r="BJ27" s="29">
        <f>'REG y VAL POE - AESR - ESR'!R2038</f>
        <v>0</v>
      </c>
      <c r="BK27" s="28">
        <f>'REG y VAL POE - AESR - ESR'!S2038</f>
        <v>0</v>
      </c>
      <c r="BL27" s="29">
        <f>'REG y VAL POE - AESR - ESR'!T2038</f>
        <v>0</v>
      </c>
      <c r="BM27" s="29">
        <f>'REG y VAL POE - AESR - ESR'!U2038</f>
        <v>0</v>
      </c>
      <c r="BN27" s="28">
        <f>'REG y VAL POE - AESR - ESR'!V2038</f>
        <v>0</v>
      </c>
      <c r="BO27" s="29">
        <f>'REG y VAL POE - AESR - ESR'!W2038</f>
        <v>0</v>
      </c>
      <c r="BP27" s="30">
        <f>'REG y VAL POE - AESR - ESR'!X2038</f>
        <v>0</v>
      </c>
      <c r="BQ27" s="28">
        <f>'REG y VAL POE - AESR - ESR'!Y2038</f>
        <v>0</v>
      </c>
      <c r="BR27" s="29">
        <f>'REG y VAL POE - AESR - ESR'!Z2038</f>
        <v>0</v>
      </c>
      <c r="BS27" s="30">
        <f>'REG y VAL POE - AESR - ESR'!AA2038</f>
        <v>0</v>
      </c>
      <c r="BT27" s="29">
        <f>'REG y VAL POE - AESR - ESR'!AB2038</f>
        <v>0</v>
      </c>
      <c r="BU27" s="28">
        <f>'REG y VAL POE - AESR - ESR'!AC2038</f>
        <v>0</v>
      </c>
      <c r="BV27" s="29">
        <f>'REG y VAL POE - AESR - ESR'!AD2038</f>
        <v>0</v>
      </c>
      <c r="BW27" s="29">
        <f>'REG y VAL POE - AESR - ESR'!AE2038</f>
        <v>0</v>
      </c>
      <c r="BX27" s="28">
        <f>'REG y VAL POE - AESR - ESR'!AF2038</f>
        <v>0</v>
      </c>
      <c r="BY27" s="29">
        <f>'REG y VAL POE - AESR - ESR'!AG2038</f>
        <v>0</v>
      </c>
      <c r="BZ27" s="30">
        <f>'REG y VAL POE - AESR - ESR'!AH2038</f>
        <v>0</v>
      </c>
      <c r="CA27" s="28">
        <f>'REG y VAL POE - AESR - ESR'!AI2038</f>
        <v>0</v>
      </c>
      <c r="CB27" s="29">
        <f>'REG y VAL POE - AESR - ESR'!AJ2038</f>
        <v>0</v>
      </c>
      <c r="CC27" s="30">
        <f>'REG y VAL POE - AESR - ESR'!AK2038</f>
        <v>0</v>
      </c>
      <c r="CD27" s="29">
        <f>'REG y VAL POE - AESR - ESR'!AL2038</f>
        <v>0</v>
      </c>
      <c r="CE27" s="28">
        <f>'REG y VAL POE - AESR - ESR'!AM2038</f>
        <v>0</v>
      </c>
      <c r="CF27" s="29">
        <f>'REG y VAL POE - AESR - ESR'!AN2038</f>
        <v>0</v>
      </c>
      <c r="CG27" s="29">
        <f>'REG y VAL POE - AESR - ESR'!AO2038</f>
        <v>0</v>
      </c>
      <c r="CH27" s="28">
        <f>'REG y VAL POE - AESR - ESR'!AP2038</f>
        <v>0</v>
      </c>
      <c r="CI27" s="29">
        <f>'REG y VAL POE - AESR - ESR'!AQ2038</f>
        <v>0</v>
      </c>
      <c r="CJ27" s="30">
        <f>'REG y VAL POE - AESR - ESR'!AR2038</f>
        <v>0</v>
      </c>
      <c r="CK27" s="28">
        <f>'REG y VAL POE - AESR - ESR'!AS2038</f>
        <v>0</v>
      </c>
      <c r="CL27" s="29" t="str">
        <f>'REG y VAL POE - AESR - ESR'!B2039</f>
        <v xml:space="preserve">Castro Valdez Victor Manuel </v>
      </c>
      <c r="CM27" s="29" t="str">
        <f>'REG y VAL POE - AESR - ESR'!C2039</f>
        <v>Sin Registro</v>
      </c>
      <c r="CN27" s="29">
        <f>'REG y VAL POE - AESR - ESR'!D2039</f>
        <v>22251626</v>
      </c>
      <c r="CO27" s="28">
        <f>'REG y VAL POE - AESR - ESR'!E2039</f>
        <v>0</v>
      </c>
      <c r="CP27" s="29">
        <f>'REG y VAL POE - AESR - ESR'!F2039</f>
        <v>0</v>
      </c>
      <c r="CQ27" s="29">
        <f>'REG y VAL POE - AESR - ESR'!G2039</f>
        <v>0</v>
      </c>
      <c r="CR27" s="28">
        <f>'REG y VAL POE - AESR - ESR'!H2039</f>
        <v>0</v>
      </c>
      <c r="CS27" s="29">
        <f>'REG y VAL POE - AESR - ESR'!I2039</f>
        <v>0</v>
      </c>
      <c r="CT27" s="30">
        <f>'REG y VAL POE - AESR - ESR'!J2039</f>
        <v>0</v>
      </c>
      <c r="CU27" s="28">
        <f>'REG y VAL POE - AESR - ESR'!K2039</f>
        <v>0</v>
      </c>
      <c r="CV27" s="29">
        <f>'REG y VAL POE - AESR - ESR'!L2039</f>
        <v>0</v>
      </c>
      <c r="CW27" s="29">
        <f>'REG y VAL POE - AESR - ESR'!M2039</f>
        <v>0</v>
      </c>
      <c r="CX27" s="29">
        <f>'REG y VAL POE - AESR - ESR'!N2039</f>
        <v>0</v>
      </c>
      <c r="CY27" s="28">
        <f>'REG y VAL POE - AESR - ESR'!O2039</f>
        <v>0</v>
      </c>
      <c r="CZ27" s="29">
        <f>'REG y VAL POE - AESR - ESR'!P2039</f>
        <v>0</v>
      </c>
      <c r="DA27" s="29">
        <f>'REG y VAL POE - AESR - ESR'!Q2039</f>
        <v>0</v>
      </c>
      <c r="DB27" s="28">
        <f>'REG y VAL POE - AESR - ESR'!R2039</f>
        <v>0</v>
      </c>
      <c r="DC27" s="29">
        <f>'REG y VAL POE - AESR - ESR'!S2039</f>
        <v>0</v>
      </c>
      <c r="DD27" s="30">
        <f>'REG y VAL POE - AESR - ESR'!T2039</f>
        <v>0</v>
      </c>
      <c r="DE27" s="28">
        <f>'REG y VAL POE - AESR - ESR'!U2039</f>
        <v>0</v>
      </c>
      <c r="DF27" s="29">
        <f>'REG y VAL POE - AESR - ESR'!V2039</f>
        <v>0</v>
      </c>
      <c r="DG27" s="29">
        <f>'REG y VAL POE - AESR - ESR'!W2039</f>
        <v>0</v>
      </c>
      <c r="DH27" s="29">
        <f>'REG y VAL POE - AESR - ESR'!X2039</f>
        <v>0</v>
      </c>
      <c r="DI27" s="28">
        <f>'REG y VAL POE - AESR - ESR'!Y2039</f>
        <v>0</v>
      </c>
      <c r="DJ27" s="29">
        <f>'REG y VAL POE - AESR - ESR'!Z2039</f>
        <v>0</v>
      </c>
      <c r="DK27" s="29">
        <f>'REG y VAL POE - AESR - ESR'!AA2039</f>
        <v>0</v>
      </c>
      <c r="DL27" s="28">
        <f>'REG y VAL POE - AESR - ESR'!AB2039</f>
        <v>0</v>
      </c>
      <c r="DM27" s="29">
        <f>'REG y VAL POE - AESR - ESR'!AC2039</f>
        <v>0</v>
      </c>
      <c r="DN27" s="30">
        <f>'REG y VAL POE - AESR - ESR'!AD2039</f>
        <v>0</v>
      </c>
      <c r="DO27" s="28">
        <f>'REG y VAL POE - AESR - ESR'!AE2039</f>
        <v>0</v>
      </c>
      <c r="DP27" s="29">
        <f>'REG y VAL POE - AESR - ESR'!AF2039</f>
        <v>0</v>
      </c>
      <c r="DQ27" s="29">
        <f>'REG y VAL POE - AESR - ESR'!AG2039</f>
        <v>0</v>
      </c>
      <c r="DR27" s="29">
        <f>'REG y VAL POE - AESR - ESR'!AH2039</f>
        <v>0</v>
      </c>
      <c r="DS27" s="28">
        <f>'REG y VAL POE - AESR - ESR'!AI2039</f>
        <v>0</v>
      </c>
      <c r="DT27" s="29">
        <f>'REG y VAL POE - AESR - ESR'!AJ2039</f>
        <v>0</v>
      </c>
      <c r="DU27" s="29">
        <f>'REG y VAL POE - AESR - ESR'!AK2039</f>
        <v>0</v>
      </c>
      <c r="DV27" s="28">
        <f>'REG y VAL POE - AESR - ESR'!AL2039</f>
        <v>0</v>
      </c>
      <c r="DW27" s="29">
        <f>'REG y VAL POE - AESR - ESR'!AM2039</f>
        <v>0</v>
      </c>
      <c r="DX27" s="30">
        <f>'REG y VAL POE - AESR - ESR'!AN2039</f>
        <v>0</v>
      </c>
      <c r="DY27" s="28">
        <f>'REG y VAL POE - AESR - ESR'!AO2039</f>
        <v>0</v>
      </c>
      <c r="DZ27" s="29">
        <f>'REG y VAL POE - AESR - ESR'!AP2039</f>
        <v>0</v>
      </c>
      <c r="EA27" s="29">
        <f>'REG y VAL POE - AESR - ESR'!AQ2039</f>
        <v>0</v>
      </c>
      <c r="EB27" s="29">
        <f>'REG y VAL POE - AESR - ESR'!AR2039</f>
        <v>0</v>
      </c>
      <c r="EC27" s="28">
        <f>'REG y VAL POE - AESR - ESR'!AS2039</f>
        <v>0</v>
      </c>
      <c r="ED27" s="29" t="str">
        <f>'REG y VAL POE - AESR - ESR'!B2040</f>
        <v xml:space="preserve">Estrada Martinez Arcelia </v>
      </c>
      <c r="EE27" s="28" t="str">
        <f>'REG y VAL POE - AESR - ESR'!C2040</f>
        <v>Sin Registro</v>
      </c>
      <c r="EF27" s="28">
        <f>'REG y VAL POE - AESR - ESR'!D2040</f>
        <v>22251630</v>
      </c>
      <c r="EG27" s="29">
        <f>'REG y VAL POE - AESR - ESR'!E2040</f>
        <v>0</v>
      </c>
      <c r="EH27" s="30">
        <f>'REG y VAL POE - AESR - ESR'!F2040</f>
        <v>0</v>
      </c>
      <c r="EI27" s="28">
        <f>'REG y VAL POE - AESR - ESR'!G2040</f>
        <v>0</v>
      </c>
      <c r="EJ27" s="29">
        <f>'REG y VAL POE - AESR - ESR'!H2040</f>
        <v>0</v>
      </c>
      <c r="EK27" s="29">
        <f>'REG y VAL POE - AESR - ESR'!I2040</f>
        <v>0</v>
      </c>
      <c r="EL27" s="29">
        <f>'REG y VAL POE - AESR - ESR'!J2040</f>
        <v>0</v>
      </c>
      <c r="EM27" s="28">
        <f>'REG y VAL POE - AESR - ESR'!K2040</f>
        <v>0</v>
      </c>
      <c r="EN27" s="29">
        <f>'REG y VAL POE - AESR - ESR'!L2040</f>
        <v>0</v>
      </c>
      <c r="EO27" s="33">
        <f>'REG y VAL POE - AESR - ESR'!M2040</f>
        <v>0</v>
      </c>
      <c r="EP27" s="28">
        <f>'REG y VAL POE - AESR - ESR'!N2040</f>
        <v>0</v>
      </c>
      <c r="EQ27" s="29">
        <f>'REG y VAL POE - AESR - ESR'!O2040</f>
        <v>0</v>
      </c>
      <c r="ER27" s="30">
        <f>'REG y VAL POE - AESR - ESR'!P2040</f>
        <v>0</v>
      </c>
      <c r="ES27" s="28">
        <f>'REG y VAL POE - AESR - ESR'!Q2040</f>
        <v>0</v>
      </c>
      <c r="ET27" s="29">
        <f>'REG y VAL POE - AESR - ESR'!R2040</f>
        <v>0</v>
      </c>
      <c r="EU27" s="29">
        <f>'REG y VAL POE - AESR - ESR'!S2040</f>
        <v>0</v>
      </c>
      <c r="EV27" s="29">
        <f>'REG y VAL POE - AESR - ESR'!T2040</f>
        <v>0</v>
      </c>
      <c r="EW27" s="28">
        <f>'REG y VAL POE - AESR - ESR'!U2040</f>
        <v>0</v>
      </c>
      <c r="EX27" s="29">
        <f>'REG y VAL POE - AESR - ESR'!V2040</f>
        <v>0</v>
      </c>
      <c r="EY27" s="29">
        <f>'REG y VAL POE - AESR - ESR'!W2040</f>
        <v>0</v>
      </c>
      <c r="EZ27" s="28">
        <f>'REG y VAL POE - AESR - ESR'!X2040</f>
        <v>0</v>
      </c>
      <c r="FA27" s="29">
        <f>'REG y VAL POE - AESR - ESR'!Y2040</f>
        <v>0</v>
      </c>
      <c r="FB27" s="30">
        <f>'REG y VAL POE - AESR - ESR'!Z2040</f>
        <v>0</v>
      </c>
      <c r="FC27" s="28">
        <f>'REG y VAL POE - AESR - ESR'!AA2040</f>
        <v>0</v>
      </c>
      <c r="FD27" s="29">
        <f>'REG y VAL POE - AESR - ESR'!AB2040</f>
        <v>0</v>
      </c>
      <c r="FE27" s="29">
        <f>'REG y VAL POE - AESR - ESR'!AC2040</f>
        <v>0</v>
      </c>
      <c r="FF27" s="29">
        <f>'REG y VAL POE - AESR - ESR'!AD2040</f>
        <v>0</v>
      </c>
      <c r="FG27" s="28">
        <f>'REG y VAL POE - AESR - ESR'!AE2040</f>
        <v>0</v>
      </c>
      <c r="FH27" s="29">
        <f>'REG y VAL POE - AESR - ESR'!AF2040</f>
        <v>0</v>
      </c>
      <c r="FI27" s="29">
        <f>'REG y VAL POE - AESR - ESR'!AG2040</f>
        <v>0</v>
      </c>
      <c r="FJ27" s="28">
        <f>'REG y VAL POE - AESR - ESR'!AH2040</f>
        <v>0</v>
      </c>
      <c r="FK27" s="29">
        <f>'REG y VAL POE - AESR - ESR'!AI2040</f>
        <v>0</v>
      </c>
      <c r="FL27" s="30">
        <f>'REG y VAL POE - AESR - ESR'!AJ2040</f>
        <v>0</v>
      </c>
      <c r="FM27" s="28">
        <f>'REG y VAL POE - AESR - ESR'!AK2040</f>
        <v>0</v>
      </c>
      <c r="FN27" s="29">
        <f>'REG y VAL POE - AESR - ESR'!AL2040</f>
        <v>0</v>
      </c>
      <c r="FO27" s="29">
        <f>'REG y VAL POE - AESR - ESR'!AM2040</f>
        <v>0</v>
      </c>
      <c r="FP27" s="29">
        <f>'REG y VAL POE - AESR - ESR'!AN2040</f>
        <v>0</v>
      </c>
      <c r="FQ27" s="28">
        <f>'REG y VAL POE - AESR - ESR'!AO2040</f>
        <v>0</v>
      </c>
      <c r="FR27" s="29">
        <f>'REG y VAL POE - AESR - ESR'!AP2040</f>
        <v>0</v>
      </c>
      <c r="FS27" s="29">
        <f>'REG y VAL POE - AESR - ESR'!AQ2040</f>
        <v>0</v>
      </c>
      <c r="FT27" s="28">
        <f>'REG y VAL POE - AESR - ESR'!AR2040</f>
        <v>0</v>
      </c>
      <c r="FU27" s="29">
        <f>'REG y VAL POE - AESR - ESR'!AS2040</f>
        <v>0</v>
      </c>
      <c r="FV27" s="30" t="str">
        <f>'REG y VAL POE - AESR - ESR'!B2041</f>
        <v xml:space="preserve">Gonzalez Moreno Ofelia </v>
      </c>
      <c r="FW27" s="28" t="str">
        <f>'REG y VAL POE - AESR - ESR'!C2041</f>
        <v>Sin Registro</v>
      </c>
      <c r="FX27" s="29">
        <f>'REG y VAL POE - AESR - ESR'!D2041</f>
        <v>20179457</v>
      </c>
      <c r="FY27" s="29">
        <f>'REG y VAL POE - AESR - ESR'!E2041</f>
        <v>0</v>
      </c>
      <c r="FZ27" s="29">
        <f>'REG y VAL POE - AESR - ESR'!F2041</f>
        <v>0</v>
      </c>
      <c r="GA27" s="28">
        <f>'REG y VAL POE - AESR - ESR'!G2041</f>
        <v>0</v>
      </c>
      <c r="GB27" s="29">
        <f>'REG y VAL POE - AESR - ESR'!H2041</f>
        <v>0</v>
      </c>
      <c r="GC27" s="29">
        <f>'REG y VAL POE - AESR - ESR'!I2041</f>
        <v>0</v>
      </c>
      <c r="GD27" s="28">
        <f>'REG y VAL POE - AESR - ESR'!J2041</f>
        <v>0</v>
      </c>
      <c r="GE27" s="29">
        <f>'REG y VAL POE - AESR - ESR'!K2041</f>
        <v>0</v>
      </c>
      <c r="GF27" s="30">
        <f>'REG y VAL POE - AESR - ESR'!L2041</f>
        <v>0</v>
      </c>
      <c r="GG27" s="28">
        <f>'REG y VAL POE - AESR - ESR'!M2041</f>
        <v>0</v>
      </c>
      <c r="GH27" s="29">
        <f>'REG y VAL POE - AESR - ESR'!N2041</f>
        <v>0</v>
      </c>
      <c r="GI27" s="29">
        <f>'REG y VAL POE - AESR - ESR'!O2041</f>
        <v>0</v>
      </c>
      <c r="GJ27" s="29">
        <f>'REG y VAL POE - AESR - ESR'!P2041</f>
        <v>0</v>
      </c>
      <c r="GK27" s="28">
        <f>'REG y VAL POE - AESR - ESR'!Q2041</f>
        <v>0</v>
      </c>
      <c r="GL27" s="29">
        <f>'REG y VAL POE - AESR - ESR'!R2041</f>
        <v>0</v>
      </c>
      <c r="GM27" s="29">
        <f>'REG y VAL POE - AESR - ESR'!S2041</f>
        <v>0</v>
      </c>
      <c r="GN27" s="28">
        <f>'REG y VAL POE - AESR - ESR'!T2041</f>
        <v>0</v>
      </c>
      <c r="GO27" s="29">
        <f>'REG y VAL POE - AESR - ESR'!U2041</f>
        <v>0</v>
      </c>
      <c r="GP27" s="30">
        <f>'REG y VAL POE - AESR - ESR'!V2041</f>
        <v>0</v>
      </c>
      <c r="GQ27" s="28">
        <f>'REG y VAL POE - AESR - ESR'!W2041</f>
        <v>0</v>
      </c>
      <c r="GR27" s="29">
        <f>'REG y VAL POE - AESR - ESR'!X2041</f>
        <v>0</v>
      </c>
      <c r="GS27" s="29">
        <f>'REG y VAL POE - AESR - ESR'!Y2041</f>
        <v>0</v>
      </c>
      <c r="GT27" s="29">
        <f>'REG y VAL POE - AESR - ESR'!Z2041</f>
        <v>0</v>
      </c>
      <c r="GU27" s="28">
        <f>'REG y VAL POE - AESR - ESR'!AA2041</f>
        <v>0</v>
      </c>
      <c r="GV27" s="29">
        <f>'REG y VAL POE - AESR - ESR'!AB2041</f>
        <v>0</v>
      </c>
      <c r="GW27" s="29">
        <f>'REG y VAL POE - AESR - ESR'!AC2041</f>
        <v>0</v>
      </c>
      <c r="GX27" s="28">
        <f>'REG y VAL POE - AESR - ESR'!AD2041</f>
        <v>0</v>
      </c>
      <c r="GY27" s="29">
        <f>'REG y VAL POE - AESR - ESR'!AE2041</f>
        <v>0</v>
      </c>
      <c r="GZ27" s="30">
        <f>'REG y VAL POE - AESR - ESR'!AF2041</f>
        <v>0</v>
      </c>
      <c r="HA27" s="28">
        <f>'REG y VAL POE - AESR - ESR'!AG2041</f>
        <v>0</v>
      </c>
      <c r="HB27" s="29">
        <f>'REG y VAL POE - AESR - ESR'!AH2041</f>
        <v>0</v>
      </c>
      <c r="HC27" s="29">
        <f>'REG y VAL POE - AESR - ESR'!AI2041</f>
        <v>0</v>
      </c>
      <c r="HD27" s="29">
        <f>'REG y VAL POE - AESR - ESR'!AJ2041</f>
        <v>0</v>
      </c>
      <c r="HE27" s="28">
        <f>'REG y VAL POE - AESR - ESR'!AK2041</f>
        <v>0</v>
      </c>
      <c r="HF27" s="29">
        <f>'REG y VAL POE - AESR - ESR'!AL2041</f>
        <v>0</v>
      </c>
      <c r="HG27" s="29">
        <f>'REG y VAL POE - AESR - ESR'!AM2041</f>
        <v>0</v>
      </c>
      <c r="HH27" s="28">
        <f>'REG y VAL POE - AESR - ESR'!AN2041</f>
        <v>0</v>
      </c>
      <c r="HI27" s="29">
        <f>'REG y VAL POE - AESR - ESR'!AO2041</f>
        <v>0</v>
      </c>
      <c r="HJ27" s="30">
        <f>'REG y VAL POE - AESR - ESR'!AP2041</f>
        <v>0</v>
      </c>
      <c r="HK27" s="28">
        <f>'REG y VAL POE - AESR - ESR'!AQ2041</f>
        <v>0</v>
      </c>
      <c r="HL27" s="29">
        <f>'REG y VAL POE - AESR - ESR'!AR2041</f>
        <v>0</v>
      </c>
      <c r="HM27" s="29">
        <f>'REG y VAL POE - AESR - ESR'!AS2041</f>
        <v>0</v>
      </c>
      <c r="HN27" s="29" t="str">
        <f>'REG y VAL POE - AESR - ESR'!B2042</f>
        <v xml:space="preserve">Martinez Yriki Veronica Patricia </v>
      </c>
      <c r="HO27" s="28" t="str">
        <f>'REG y VAL POE - AESR - ESR'!C2042</f>
        <v>Sin Registro</v>
      </c>
      <c r="HP27" s="29">
        <f>'REG y VAL POE - AESR - ESR'!D2042</f>
        <v>20179452</v>
      </c>
      <c r="HQ27" s="29">
        <f>'REG y VAL POE - AESR - ESR'!E2042</f>
        <v>0</v>
      </c>
      <c r="HR27" s="28">
        <f>'REG y VAL POE - AESR - ESR'!F2042</f>
        <v>0</v>
      </c>
      <c r="HS27" s="29">
        <f>'REG y VAL POE - AESR - ESR'!G2042</f>
        <v>0</v>
      </c>
      <c r="HT27" s="30">
        <f>'REG y VAL POE - AESR - ESR'!H2042</f>
        <v>0</v>
      </c>
      <c r="HU27" s="28">
        <f>'REG y VAL POE - AESR - ESR'!I2042</f>
        <v>0</v>
      </c>
      <c r="HV27" s="29">
        <f>'REG y VAL POE - AESR - ESR'!J2042</f>
        <v>0</v>
      </c>
      <c r="HW27" s="29">
        <f>'REG y VAL POE - AESR - ESR'!K2042</f>
        <v>0</v>
      </c>
      <c r="HX27" s="29">
        <f>'REG y VAL POE - AESR - ESR'!L2042</f>
        <v>0</v>
      </c>
      <c r="HY27" s="28">
        <f>'REG y VAL POE - AESR - ESR'!M2042</f>
        <v>0</v>
      </c>
      <c r="HZ27" s="29">
        <f>'REG y VAL POE - AESR - ESR'!N2042</f>
        <v>0</v>
      </c>
      <c r="IA27" s="29">
        <f>'REG y VAL POE - AESR - ESR'!O2042</f>
        <v>0</v>
      </c>
      <c r="IB27" s="28">
        <f>'REG y VAL POE - AESR - ESR'!P2042</f>
        <v>0</v>
      </c>
      <c r="IC27" s="29">
        <f>'REG y VAL POE - AESR - ESR'!Q2042</f>
        <v>0</v>
      </c>
      <c r="ID27" s="30">
        <f>'REG y VAL POE - AESR - ESR'!R2042</f>
        <v>0</v>
      </c>
      <c r="IE27" s="28">
        <f>'REG y VAL POE - AESR - ESR'!S2042</f>
        <v>0</v>
      </c>
      <c r="IF27" s="29">
        <f>'REG y VAL POE - AESR - ESR'!T2042</f>
        <v>0</v>
      </c>
      <c r="IG27" s="29">
        <f>'REG y VAL POE - AESR - ESR'!U2042</f>
        <v>0</v>
      </c>
      <c r="IH27" s="29">
        <f>'REG y VAL POE - AESR - ESR'!V2042</f>
        <v>0</v>
      </c>
      <c r="II27" s="28">
        <f>'REG y VAL POE - AESR - ESR'!W2042</f>
        <v>0</v>
      </c>
      <c r="IJ27" s="29">
        <f>'REG y VAL POE - AESR - ESR'!X2042</f>
        <v>0</v>
      </c>
      <c r="IK27" s="29">
        <f>'REG y VAL POE - AESR - ESR'!Y2042</f>
        <v>0</v>
      </c>
      <c r="IL27" s="28">
        <f>'REG y VAL POE - AESR - ESR'!Z2042</f>
        <v>0</v>
      </c>
      <c r="IM27" s="29">
        <f>'REG y VAL POE - AESR - ESR'!AA2042</f>
        <v>0</v>
      </c>
      <c r="IN27" s="30">
        <f>'REG y VAL POE - AESR - ESR'!AB2042</f>
        <v>0</v>
      </c>
      <c r="IO27" s="28">
        <f>'REG y VAL POE - AESR - ESR'!AC2042</f>
        <v>0</v>
      </c>
      <c r="IP27" s="29">
        <f>'REG y VAL POE - AESR - ESR'!AD2042</f>
        <v>0</v>
      </c>
      <c r="IQ27" s="29">
        <f>'REG y VAL POE - AESR - ESR'!AE2042</f>
        <v>0</v>
      </c>
      <c r="IR27" s="29">
        <f>'REG y VAL POE - AESR - ESR'!AF2042</f>
        <v>0</v>
      </c>
      <c r="IS27" s="28">
        <f>'REG y VAL POE - AESR - ESR'!AG2042</f>
        <v>0</v>
      </c>
      <c r="IT27" s="29">
        <f>'REG y VAL POE - AESR - ESR'!AH2042</f>
        <v>0</v>
      </c>
      <c r="IU27" s="29">
        <f>'REG y VAL POE - AESR - ESR'!AI2042</f>
        <v>0</v>
      </c>
      <c r="IV27" s="28">
        <f>'REG y VAL POE - AESR - ESR'!AJ2042</f>
        <v>0</v>
      </c>
      <c r="IW27" s="29">
        <f>'REG y VAL POE - AESR - ESR'!AK2042</f>
        <v>0</v>
      </c>
      <c r="IX27" s="30">
        <f>'REG y VAL POE - AESR - ESR'!AL2042</f>
        <v>0</v>
      </c>
      <c r="IY27" s="28">
        <f>'REG y VAL POE - AESR - ESR'!AM2042</f>
        <v>0</v>
      </c>
      <c r="IZ27" s="29">
        <f>'REG y VAL POE - AESR - ESR'!AN2042</f>
        <v>0</v>
      </c>
      <c r="JA27" s="29">
        <f>'REG y VAL POE - AESR - ESR'!AO2042</f>
        <v>0</v>
      </c>
      <c r="JB27" s="29">
        <f>'REG y VAL POE - AESR - ESR'!AP2042</f>
        <v>0</v>
      </c>
      <c r="JC27" s="28">
        <f>'REG y VAL POE - AESR - ESR'!AQ2042</f>
        <v>0</v>
      </c>
      <c r="JD27" s="29">
        <f>'REG y VAL POE - AESR - ESR'!AR2042</f>
        <v>0</v>
      </c>
      <c r="JE27" s="29">
        <f>'REG y VAL POE - AESR - ESR'!AS2042</f>
        <v>0</v>
      </c>
      <c r="JF27" s="28" t="str">
        <f>'REG y VAL POE - AESR - ESR'!B2043</f>
        <v xml:space="preserve">Ojendiz Carbajal Luis Armando </v>
      </c>
      <c r="JG27" s="29" t="str">
        <f>'REG y VAL POE - AESR - ESR'!C2043</f>
        <v>Sin Registro</v>
      </c>
      <c r="JH27" s="30">
        <f>'REG y VAL POE - AESR - ESR'!D2043</f>
        <v>20164009</v>
      </c>
      <c r="JI27" s="28">
        <f>'REG y VAL POE - AESR - ESR'!E2043</f>
        <v>0</v>
      </c>
      <c r="JJ27" s="29">
        <f>'REG y VAL POE - AESR - ESR'!F2043</f>
        <v>0</v>
      </c>
      <c r="JK27" s="29">
        <f>'REG y VAL POE - AESR - ESR'!G2043</f>
        <v>0</v>
      </c>
      <c r="JL27" s="29">
        <f>'REG y VAL POE - AESR - ESR'!H2043</f>
        <v>0</v>
      </c>
      <c r="JM27" s="28">
        <f>'REG y VAL POE - AESR - ESR'!I2043</f>
        <v>0</v>
      </c>
      <c r="JN27" s="29">
        <f>'REG y VAL POE - AESR - ESR'!J2043</f>
        <v>0</v>
      </c>
      <c r="JO27" s="29">
        <f>'REG y VAL POE - AESR - ESR'!K2043</f>
        <v>0</v>
      </c>
      <c r="JP27" s="28">
        <f>'REG y VAL POE - AESR - ESR'!L2043</f>
        <v>0</v>
      </c>
      <c r="JQ27" s="29">
        <f>'REG y VAL POE - AESR - ESR'!M2043</f>
        <v>0</v>
      </c>
      <c r="JR27" s="30">
        <f>'REG y VAL POE - AESR - ESR'!N2043</f>
        <v>0</v>
      </c>
      <c r="JS27" s="28">
        <f>'REG y VAL POE - AESR - ESR'!O2043</f>
        <v>0</v>
      </c>
      <c r="JT27" s="29">
        <f>'REG y VAL POE - AESR - ESR'!P2043</f>
        <v>0</v>
      </c>
      <c r="JU27" s="29">
        <f>'REG y VAL POE - AESR - ESR'!Q2043</f>
        <v>0</v>
      </c>
      <c r="JV27" s="29">
        <f>'REG y VAL POE - AESR - ESR'!R2043</f>
        <v>0</v>
      </c>
      <c r="JW27" s="28">
        <f>'REG y VAL POE - AESR - ESR'!S2043</f>
        <v>0</v>
      </c>
      <c r="JX27" s="29">
        <f>'REG y VAL POE - AESR - ESR'!T2043</f>
        <v>0</v>
      </c>
      <c r="JY27" s="29">
        <f>'REG y VAL POE - AESR - ESR'!U2043</f>
        <v>0</v>
      </c>
      <c r="JZ27" s="28">
        <f>'REG y VAL POE - AESR - ESR'!V2043</f>
        <v>0</v>
      </c>
      <c r="KA27" s="29">
        <f>'REG y VAL POE - AESR - ESR'!W2043</f>
        <v>0</v>
      </c>
      <c r="KB27" s="30">
        <f>'REG y VAL POE - AESR - ESR'!X2043</f>
        <v>0</v>
      </c>
      <c r="KC27" s="28">
        <f>'REG y VAL POE - AESR - ESR'!Y2043</f>
        <v>0</v>
      </c>
      <c r="KD27" s="29">
        <f>'REG y VAL POE - AESR - ESR'!Z2043</f>
        <v>0</v>
      </c>
      <c r="KE27" s="29">
        <f>'REG y VAL POE - AESR - ESR'!AA2043</f>
        <v>0</v>
      </c>
      <c r="KF27" s="29">
        <f>'REG y VAL POE - AESR - ESR'!AB2043</f>
        <v>0</v>
      </c>
      <c r="KG27" s="28">
        <f>'REG y VAL POE - AESR - ESR'!AC2043</f>
        <v>0</v>
      </c>
      <c r="KH27" s="29">
        <f>'REG y VAL POE - AESR - ESR'!AD2043</f>
        <v>0</v>
      </c>
      <c r="KI27" s="29">
        <f>'REG y VAL POE - AESR - ESR'!AE2043</f>
        <v>0</v>
      </c>
      <c r="KJ27" s="28">
        <f>'REG y VAL POE - AESR - ESR'!AF2043</f>
        <v>0</v>
      </c>
      <c r="KK27" s="29">
        <f>'REG y VAL POE - AESR - ESR'!AG2043</f>
        <v>0</v>
      </c>
      <c r="KL27" s="30">
        <f>'REG y VAL POE - AESR - ESR'!AH2043</f>
        <v>0</v>
      </c>
      <c r="KM27" s="28">
        <f>'REG y VAL POE - AESR - ESR'!AI2043</f>
        <v>0</v>
      </c>
      <c r="KN27" s="29">
        <f>'REG y VAL POE - AESR - ESR'!AJ2043</f>
        <v>0</v>
      </c>
      <c r="KO27" s="29">
        <f>'REG y VAL POE - AESR - ESR'!AK2043</f>
        <v>0</v>
      </c>
      <c r="KP27" s="29">
        <f>'REG y VAL POE - AESR - ESR'!AL2043</f>
        <v>0</v>
      </c>
      <c r="KQ27" s="28">
        <f>'REG y VAL POE - AESR - ESR'!AM2043</f>
        <v>0</v>
      </c>
      <c r="KR27" s="29">
        <f>'REG y VAL POE - AESR - ESR'!AN2043</f>
        <v>0</v>
      </c>
      <c r="KS27" s="29">
        <f>'REG y VAL POE - AESR - ESR'!AO2043</f>
        <v>0</v>
      </c>
      <c r="KT27" s="28">
        <f>'REG y VAL POE - AESR - ESR'!AP2043</f>
        <v>0</v>
      </c>
      <c r="KU27" s="29">
        <f>'REG y VAL POE - AESR - ESR'!AQ2043</f>
        <v>0</v>
      </c>
      <c r="KV27" s="30">
        <f>'REG y VAL POE - AESR - ESR'!AR2043</f>
        <v>0</v>
      </c>
      <c r="KW27" s="28">
        <f>'REG y VAL POE - AESR - ESR'!AS2043</f>
        <v>0</v>
      </c>
      <c r="KX27" s="29" t="str">
        <f>'REG y VAL POE - AESR - ESR'!B2044</f>
        <v xml:space="preserve">Silva Vazquez Cesar </v>
      </c>
      <c r="KY27" s="29" t="str">
        <f>'REG y VAL POE - AESR - ESR'!C2044</f>
        <v>Sin Registro</v>
      </c>
      <c r="KZ27" s="29">
        <f>'REG y VAL POE - AESR - ESR'!D2044</f>
        <v>20244990</v>
      </c>
      <c r="LA27" s="28">
        <f>'REG y VAL POE - AESR - ESR'!E2044</f>
        <v>0</v>
      </c>
      <c r="LB27" s="29">
        <f>'REG y VAL POE - AESR - ESR'!F2044</f>
        <v>0</v>
      </c>
      <c r="LC27" s="29">
        <f>'REG y VAL POE - AESR - ESR'!G2044</f>
        <v>0</v>
      </c>
      <c r="LD27" s="28">
        <f>'REG y VAL POE - AESR - ESR'!H2044</f>
        <v>0</v>
      </c>
      <c r="LE27" s="29">
        <f>'REG y VAL POE - AESR - ESR'!I2044</f>
        <v>0</v>
      </c>
      <c r="LF27" s="30">
        <f>'REG y VAL POE - AESR - ESR'!J2044</f>
        <v>0</v>
      </c>
      <c r="LG27" s="28">
        <f>'REG y VAL POE - AESR - ESR'!K2044</f>
        <v>0</v>
      </c>
      <c r="LH27" s="29">
        <f>'REG y VAL POE - AESR - ESR'!L2044</f>
        <v>0</v>
      </c>
      <c r="LI27" s="29">
        <f>'REG y VAL POE - AESR - ESR'!M2044</f>
        <v>0</v>
      </c>
      <c r="LJ27" s="29">
        <f>'REG y VAL POE - AESR - ESR'!N2044</f>
        <v>0</v>
      </c>
      <c r="LK27" s="28">
        <f>'REG y VAL POE - AESR - ESR'!O2044</f>
        <v>0</v>
      </c>
      <c r="LL27" s="29">
        <f>'REG y VAL POE - AESR - ESR'!P2044</f>
        <v>0</v>
      </c>
      <c r="LM27" s="29">
        <f>'REG y VAL POE - AESR - ESR'!Q2044</f>
        <v>0</v>
      </c>
      <c r="LN27" s="28">
        <f>'REG y VAL POE - AESR - ESR'!R2044</f>
        <v>0</v>
      </c>
      <c r="LO27" s="29">
        <f>'REG y VAL POE - AESR - ESR'!S2044</f>
        <v>0</v>
      </c>
      <c r="LP27" s="30">
        <f>'REG y VAL POE - AESR - ESR'!T2044</f>
        <v>0</v>
      </c>
      <c r="LQ27" s="28">
        <f>'REG y VAL POE - AESR - ESR'!U2044</f>
        <v>0</v>
      </c>
      <c r="LR27" s="29">
        <f>'REG y VAL POE - AESR - ESR'!V2044</f>
        <v>0</v>
      </c>
      <c r="LS27" s="29">
        <f>'REG y VAL POE - AESR - ESR'!W2044</f>
        <v>0</v>
      </c>
      <c r="LT27" s="29">
        <f>'REG y VAL POE - AESR - ESR'!X2044</f>
        <v>0</v>
      </c>
      <c r="LU27" s="28">
        <f>'REG y VAL POE - AESR - ESR'!Y2044</f>
        <v>0</v>
      </c>
      <c r="LV27" s="29">
        <f>'REG y VAL POE - AESR - ESR'!Z2044</f>
        <v>0</v>
      </c>
      <c r="LW27" s="29">
        <f>'REG y VAL POE - AESR - ESR'!AA2044</f>
        <v>0</v>
      </c>
      <c r="LX27" s="28">
        <f>'REG y VAL POE - AESR - ESR'!AB2044</f>
        <v>0</v>
      </c>
      <c r="LY27" s="29">
        <f>'REG y VAL POE - AESR - ESR'!AC2044</f>
        <v>0</v>
      </c>
      <c r="LZ27" s="30">
        <f>'REG y VAL POE - AESR - ESR'!AD2044</f>
        <v>0</v>
      </c>
      <c r="MA27" s="28">
        <f>'REG y VAL POE - AESR - ESR'!AE2044</f>
        <v>0</v>
      </c>
      <c r="MB27" s="29">
        <f>'REG y VAL POE - AESR - ESR'!AF2044</f>
        <v>0</v>
      </c>
      <c r="MC27" s="29">
        <f>'REG y VAL POE - AESR - ESR'!AG2044</f>
        <v>0</v>
      </c>
      <c r="MD27" s="29">
        <f>'REG y VAL POE - AESR - ESR'!AH2044</f>
        <v>0</v>
      </c>
      <c r="ME27" s="28">
        <f>'REG y VAL POE - AESR - ESR'!AI2044</f>
        <v>0</v>
      </c>
      <c r="MF27" s="29">
        <f>'REG y VAL POE - AESR - ESR'!AJ2044</f>
        <v>0</v>
      </c>
      <c r="MG27" s="29">
        <f>'REG y VAL POE - AESR - ESR'!AK2044</f>
        <v>0</v>
      </c>
      <c r="MH27" s="28">
        <f>'REG y VAL POE - AESR - ESR'!AL2044</f>
        <v>0</v>
      </c>
      <c r="MI27" s="29">
        <f>'REG y VAL POE - AESR - ESR'!AM2044</f>
        <v>0</v>
      </c>
      <c r="MJ27" s="30">
        <f>'REG y VAL POE - AESR - ESR'!AN2044</f>
        <v>0</v>
      </c>
      <c r="MK27" s="28">
        <f>'REG y VAL POE - AESR - ESR'!AO2044</f>
        <v>0</v>
      </c>
      <c r="ML27" s="29">
        <f>'REG y VAL POE - AESR - ESR'!AP2044</f>
        <v>0</v>
      </c>
      <c r="MM27" s="29">
        <f>'REG y VAL POE - AESR - ESR'!AQ2044</f>
        <v>0</v>
      </c>
      <c r="MN27" s="29">
        <f>'REG y VAL POE - AESR - ESR'!AR2044</f>
        <v>0</v>
      </c>
      <c r="MO27" s="28">
        <f>'REG y VAL POE - AESR - ESR'!AS2044</f>
        <v>0</v>
      </c>
      <c r="MP27" s="29">
        <f>'REG y VAL POE - AESR - ESR'!B2045</f>
        <v>0</v>
      </c>
      <c r="MQ27" s="29">
        <f>'REG y VAL POE - AESR - ESR'!C2045</f>
        <v>0</v>
      </c>
      <c r="MR27" s="28">
        <f>'REG y VAL POE - AESR - ESR'!D2045</f>
        <v>0</v>
      </c>
      <c r="MS27" s="29">
        <f>'REG y VAL POE - AESR - ESR'!E2045</f>
        <v>0</v>
      </c>
      <c r="MT27" s="30">
        <f>'REG y VAL POE - AESR - ESR'!F2045</f>
        <v>0</v>
      </c>
      <c r="MU27" s="28">
        <f>'REG y VAL POE - AESR - ESR'!G2045</f>
        <v>0</v>
      </c>
      <c r="MV27" s="29">
        <f>'REG y VAL POE - AESR - ESR'!H2045</f>
        <v>0</v>
      </c>
      <c r="MW27" s="29">
        <f>'REG y VAL POE - AESR - ESR'!I2045</f>
        <v>0</v>
      </c>
      <c r="MX27" s="29">
        <f>'REG y VAL POE - AESR - ESR'!J2045</f>
        <v>0</v>
      </c>
      <c r="MY27" s="28">
        <f>'REG y VAL POE - AESR - ESR'!K2045</f>
        <v>0</v>
      </c>
      <c r="MZ27" s="29">
        <f>'REG y VAL POE - AESR - ESR'!L2045</f>
        <v>0</v>
      </c>
      <c r="NA27" s="29">
        <f>'REG y VAL POE - AESR - ESR'!M2045</f>
        <v>0</v>
      </c>
      <c r="NB27" s="28">
        <f>'REG y VAL POE - AESR - ESR'!N2045</f>
        <v>0</v>
      </c>
      <c r="NC27" s="29">
        <f>'REG y VAL POE - AESR - ESR'!O2045</f>
        <v>0</v>
      </c>
      <c r="ND27" s="30">
        <f>'REG y VAL POE - AESR - ESR'!P2045</f>
        <v>0</v>
      </c>
      <c r="NE27" s="28">
        <f>'REG y VAL POE - AESR - ESR'!Q2045</f>
        <v>0</v>
      </c>
      <c r="NF27" s="29">
        <f>'REG y VAL POE - AESR - ESR'!R2045</f>
        <v>0</v>
      </c>
      <c r="NG27" s="29">
        <f>'REG y VAL POE - AESR - ESR'!S2045</f>
        <v>0</v>
      </c>
      <c r="NH27" s="29">
        <f>'REG y VAL POE - AESR - ESR'!T2045</f>
        <v>0</v>
      </c>
      <c r="NI27" s="28">
        <f>'REG y VAL POE - AESR - ESR'!U2045</f>
        <v>0</v>
      </c>
      <c r="NJ27" s="29">
        <f>'REG y VAL POE - AESR - ESR'!V2045</f>
        <v>0</v>
      </c>
      <c r="NK27" s="29">
        <f>'REG y VAL POE - AESR - ESR'!W2045</f>
        <v>0</v>
      </c>
      <c r="NL27" s="28">
        <f>'REG y VAL POE - AESR - ESR'!X2045</f>
        <v>0</v>
      </c>
      <c r="NM27" s="29">
        <f>'REG y VAL POE - AESR - ESR'!Y2045</f>
        <v>0</v>
      </c>
      <c r="NN27" s="30">
        <f>'REG y VAL POE - AESR - ESR'!Z2045</f>
        <v>0</v>
      </c>
      <c r="NO27" s="28">
        <f>'REG y VAL POE - AESR - ESR'!AA2045</f>
        <v>0</v>
      </c>
      <c r="NP27" s="29">
        <f>'REG y VAL POE - AESR - ESR'!AB2045</f>
        <v>0</v>
      </c>
      <c r="NQ27" s="29">
        <f>'REG y VAL POE - AESR - ESR'!AC2045</f>
        <v>0</v>
      </c>
      <c r="NR27" s="29">
        <f>'REG y VAL POE - AESR - ESR'!AD2045</f>
        <v>0</v>
      </c>
      <c r="NS27" s="28">
        <f>'REG y VAL POE - AESR - ESR'!AE2045</f>
        <v>0</v>
      </c>
      <c r="NT27" s="29">
        <f>'REG y VAL POE - AESR - ESR'!AF2045</f>
        <v>0</v>
      </c>
      <c r="NU27" s="29">
        <f>'REG y VAL POE - AESR - ESR'!AG2045</f>
        <v>0</v>
      </c>
      <c r="NV27" s="28">
        <f>'REG y VAL POE - AESR - ESR'!AH2045</f>
        <v>0</v>
      </c>
      <c r="NW27" s="29">
        <f>'REG y VAL POE - AESR - ESR'!AI2045</f>
        <v>0</v>
      </c>
      <c r="NX27" s="30">
        <f>'REG y VAL POE - AESR - ESR'!AJ2045</f>
        <v>0</v>
      </c>
      <c r="NY27" s="28">
        <f>'REG y VAL POE - AESR - ESR'!AK2045</f>
        <v>0</v>
      </c>
      <c r="NZ27" s="29">
        <f>'REG y VAL POE - AESR - ESR'!AL2045</f>
        <v>0</v>
      </c>
      <c r="OA27" s="29">
        <f>'REG y VAL POE - AESR - ESR'!AM2045</f>
        <v>0</v>
      </c>
      <c r="OB27" s="29">
        <f>'REG y VAL POE - AESR - ESR'!AN2045</f>
        <v>0</v>
      </c>
      <c r="OC27" s="28">
        <f>'REG y VAL POE - AESR - ESR'!AO2045</f>
        <v>0</v>
      </c>
      <c r="OD27" s="29">
        <f>'REG y VAL POE - AESR - ESR'!AP2045</f>
        <v>0</v>
      </c>
      <c r="OE27" s="29">
        <f>'REG y VAL POE - AESR - ESR'!AQ2045</f>
        <v>0</v>
      </c>
      <c r="OF27" s="30">
        <f>'REG y VAL POE - AESR - ESR'!AR2045</f>
        <v>0</v>
      </c>
      <c r="OG27" s="30">
        <f>'REG y VAL POE - AESR - ESR'!AS2045</f>
        <v>0</v>
      </c>
      <c r="OH27" s="30">
        <f>'REG y VAL POE - AESR - ESR'!B2046</f>
        <v>0</v>
      </c>
      <c r="OI27" s="28">
        <f>'REG y VAL POE - AESR - ESR'!C2046</f>
        <v>0</v>
      </c>
      <c r="OJ27" s="30">
        <f>'REG y VAL POE - AESR - ESR'!D2046</f>
        <v>0</v>
      </c>
      <c r="OK27" s="30">
        <f>'REG y VAL POE - AESR - ESR'!E2046</f>
        <v>0</v>
      </c>
      <c r="OL27" s="30">
        <f>'REG y VAL POE - AESR - ESR'!F2046</f>
        <v>0</v>
      </c>
      <c r="OM27" s="30">
        <f>'REG y VAL POE - AESR - ESR'!G2046</f>
        <v>0</v>
      </c>
      <c r="ON27" s="30">
        <f>'REG y VAL POE - AESR - ESR'!H2046</f>
        <v>0</v>
      </c>
      <c r="OO27" s="30">
        <f>'REG y VAL POE - AESR - ESR'!I2046</f>
        <v>0</v>
      </c>
      <c r="OP27" s="28">
        <f>'REG y VAL POE - AESR - ESR'!J2046</f>
        <v>0</v>
      </c>
      <c r="OQ27" s="29">
        <f>'REG y VAL POE - AESR - ESR'!K2046</f>
        <v>0</v>
      </c>
      <c r="OR27" s="30">
        <f>'REG y VAL POE - AESR - ESR'!L2046</f>
        <v>0</v>
      </c>
      <c r="OS27" s="28">
        <f>'REG y VAL POE - AESR - ESR'!M2046</f>
        <v>0</v>
      </c>
      <c r="OT27" s="29">
        <f>'REG y VAL POE - AESR - ESR'!N2046</f>
        <v>0</v>
      </c>
      <c r="OU27" s="29">
        <f>'REG y VAL POE - AESR - ESR'!O2046</f>
        <v>0</v>
      </c>
      <c r="OV27" s="29">
        <f>'REG y VAL POE - AESR - ESR'!P2046</f>
        <v>0</v>
      </c>
      <c r="OW27" s="28">
        <f>'REG y VAL POE - AESR - ESR'!Q2046</f>
        <v>0</v>
      </c>
      <c r="OX27" s="29">
        <f>'REG y VAL POE - AESR - ESR'!R2046</f>
        <v>0</v>
      </c>
      <c r="OY27" s="29">
        <f>'REG y VAL POE - AESR - ESR'!S2046</f>
        <v>0</v>
      </c>
      <c r="OZ27" s="28">
        <f>'REG y VAL POE - AESR - ESR'!T2046</f>
        <v>0</v>
      </c>
      <c r="PA27" s="29">
        <f>'REG y VAL POE - AESR - ESR'!U2046</f>
        <v>0</v>
      </c>
      <c r="PB27" s="30">
        <f>'REG y VAL POE - AESR - ESR'!V2046</f>
        <v>0</v>
      </c>
      <c r="PC27" s="28">
        <f>'REG y VAL POE - AESR - ESR'!W2046</f>
        <v>0</v>
      </c>
      <c r="PD27" s="29">
        <f>'REG y VAL POE - AESR - ESR'!X2046</f>
        <v>0</v>
      </c>
      <c r="PE27" s="29">
        <f>'REG y VAL POE - AESR - ESR'!Y2046</f>
        <v>0</v>
      </c>
      <c r="PF27" s="29">
        <f>'REG y VAL POE - AESR - ESR'!Z2046</f>
        <v>0</v>
      </c>
      <c r="PG27" s="28">
        <f>'REG y VAL POE - AESR - ESR'!AA2046</f>
        <v>0</v>
      </c>
      <c r="PH27" s="29">
        <f>'REG y VAL POE - AESR - ESR'!AB2046</f>
        <v>0</v>
      </c>
      <c r="PI27" s="29">
        <f>'REG y VAL POE - AESR - ESR'!AC2046</f>
        <v>0</v>
      </c>
      <c r="PJ27" s="28">
        <f>'REG y VAL POE - AESR - ESR'!AD2046</f>
        <v>0</v>
      </c>
      <c r="PK27" s="29">
        <f>'REG y VAL POE - AESR - ESR'!AE2046</f>
        <v>0</v>
      </c>
      <c r="PL27" s="30">
        <f>'REG y VAL POE - AESR - ESR'!AF2046</f>
        <v>0</v>
      </c>
      <c r="PM27" s="28">
        <f>'REG y VAL POE - AESR - ESR'!AG2046</f>
        <v>0</v>
      </c>
      <c r="PN27" s="29">
        <f>'REG y VAL POE - AESR - ESR'!AH2046</f>
        <v>0</v>
      </c>
      <c r="PO27" s="29">
        <f>'REG y VAL POE - AESR - ESR'!AI2046</f>
        <v>0</v>
      </c>
      <c r="PP27" s="29">
        <f>'REG y VAL POE - AESR - ESR'!AJ2046</f>
        <v>0</v>
      </c>
      <c r="PQ27" s="28">
        <f>'REG y VAL POE - AESR - ESR'!AK2046</f>
        <v>0</v>
      </c>
      <c r="PR27" s="29">
        <f>'REG y VAL POE - AESR - ESR'!AL2046</f>
        <v>0</v>
      </c>
      <c r="PS27" s="29">
        <f>'REG y VAL POE - AESR - ESR'!AM2046</f>
        <v>0</v>
      </c>
      <c r="PT27" s="28">
        <f>'REG y VAL POE - AESR - ESR'!AN2046</f>
        <v>0</v>
      </c>
      <c r="PU27" s="29">
        <f>'REG y VAL POE - AESR - ESR'!AO2046</f>
        <v>0</v>
      </c>
      <c r="PV27" s="30">
        <f>'REG y VAL POE - AESR - ESR'!AP2046</f>
        <v>0</v>
      </c>
      <c r="PW27" s="28">
        <f>'REG y VAL POE - AESR - ESR'!AQ2046</f>
        <v>0</v>
      </c>
      <c r="PX27" s="29">
        <f>'REG y VAL POE - AESR - ESR'!AR2046</f>
        <v>0</v>
      </c>
      <c r="PY27" s="29">
        <f>'REG y VAL POE - AESR - ESR'!AS2046</f>
        <v>0</v>
      </c>
      <c r="PZ27" s="29">
        <f>'REG y VAL POE - AESR - ESR'!B2047</f>
        <v>0</v>
      </c>
      <c r="QA27" s="28">
        <f>'REG y VAL POE - AESR - ESR'!C2047</f>
        <v>0</v>
      </c>
      <c r="QB27" s="29">
        <f>'REG y VAL POE - AESR - ESR'!D2047</f>
        <v>0</v>
      </c>
      <c r="QC27" s="29">
        <f>'REG y VAL POE - AESR - ESR'!E2047</f>
        <v>0</v>
      </c>
      <c r="QD27" s="28">
        <f>'REG y VAL POE - AESR - ESR'!F2047</f>
        <v>0</v>
      </c>
      <c r="QE27" s="29">
        <f>'REG y VAL POE - AESR - ESR'!G2047</f>
        <v>0</v>
      </c>
      <c r="QF27" s="30">
        <f>'REG y VAL POE - AESR - ESR'!H2047</f>
        <v>0</v>
      </c>
      <c r="QG27" s="28">
        <f>'REG y VAL POE - AESR - ESR'!I2047</f>
        <v>0</v>
      </c>
      <c r="QH27" s="29">
        <f>'REG y VAL POE - AESR - ESR'!J2047</f>
        <v>0</v>
      </c>
      <c r="QI27" s="29">
        <f>'REG y VAL POE - AESR - ESR'!K2047</f>
        <v>0</v>
      </c>
      <c r="QJ27" s="29">
        <f>'REG y VAL POE - AESR - ESR'!L2047</f>
        <v>0</v>
      </c>
      <c r="QK27" s="28">
        <f>'REG y VAL POE - AESR - ESR'!M2047</f>
        <v>0</v>
      </c>
      <c r="QL27" s="29">
        <f>'REG y VAL POE - AESR - ESR'!N2047</f>
        <v>0</v>
      </c>
      <c r="QM27" s="29">
        <f>'REG y VAL POE - AESR - ESR'!O2047</f>
        <v>0</v>
      </c>
      <c r="QN27" s="28">
        <f>'REG y VAL POE - AESR - ESR'!P2047</f>
        <v>0</v>
      </c>
      <c r="QO27" s="29">
        <f>'REG y VAL POE - AESR - ESR'!Q2047</f>
        <v>0</v>
      </c>
      <c r="QP27" s="30">
        <f>'REG y VAL POE - AESR - ESR'!R2047</f>
        <v>0</v>
      </c>
      <c r="QQ27" s="28">
        <f>'REG y VAL POE - AESR - ESR'!S2047</f>
        <v>0</v>
      </c>
      <c r="QR27" s="29">
        <f>'REG y VAL POE - AESR - ESR'!T2047</f>
        <v>0</v>
      </c>
      <c r="QS27" s="29">
        <f>'REG y VAL POE - AESR - ESR'!U2047</f>
        <v>0</v>
      </c>
      <c r="QT27" s="29">
        <f>'REG y VAL POE - AESR - ESR'!V2047</f>
        <v>0</v>
      </c>
      <c r="QU27" s="28">
        <f>'REG y VAL POE - AESR - ESR'!W2047</f>
        <v>0</v>
      </c>
      <c r="QV27" s="29">
        <f>'REG y VAL POE - AESR - ESR'!X2047</f>
        <v>0</v>
      </c>
      <c r="QW27" s="29">
        <f>'REG y VAL POE - AESR - ESR'!Y2047</f>
        <v>0</v>
      </c>
      <c r="QX27" s="28">
        <f>'REG y VAL POE - AESR - ESR'!Z2047</f>
        <v>0</v>
      </c>
      <c r="QY27" s="29">
        <f>'REG y VAL POE - AESR - ESR'!AA2047</f>
        <v>0</v>
      </c>
      <c r="QZ27" s="30">
        <f>'REG y VAL POE - AESR - ESR'!AB2047</f>
        <v>0</v>
      </c>
      <c r="RA27" s="28">
        <f>'REG y VAL POE - AESR - ESR'!AC2047</f>
        <v>0</v>
      </c>
      <c r="RB27" s="29">
        <f>'REG y VAL POE - AESR - ESR'!AD2047</f>
        <v>0</v>
      </c>
      <c r="RC27" s="29">
        <f>'REG y VAL POE - AESR - ESR'!AE2047</f>
        <v>0</v>
      </c>
      <c r="RD27" s="29">
        <f>'REG y VAL POE - AESR - ESR'!AF2047</f>
        <v>0</v>
      </c>
      <c r="RE27" s="28">
        <f>'REG y VAL POE - AESR - ESR'!AG2047</f>
        <v>0</v>
      </c>
      <c r="RF27" s="29">
        <f>'REG y VAL POE - AESR - ESR'!AH2047</f>
        <v>0</v>
      </c>
      <c r="RG27" s="29">
        <f>'REG y VAL POE - AESR - ESR'!AI2047</f>
        <v>0</v>
      </c>
      <c r="RH27" s="28">
        <f>'REG y VAL POE - AESR - ESR'!AJ2047</f>
        <v>0</v>
      </c>
      <c r="RI27" s="29">
        <f>'REG y VAL POE - AESR - ESR'!AK2047</f>
        <v>0</v>
      </c>
      <c r="RJ27" s="30">
        <f>'REG y VAL POE - AESR - ESR'!AL2047</f>
        <v>0</v>
      </c>
      <c r="RK27" s="28">
        <f>'REG y VAL POE - AESR - ESR'!AM2047</f>
        <v>0</v>
      </c>
      <c r="RL27" s="29">
        <f>'REG y VAL POE - AESR - ESR'!AN2047</f>
        <v>0</v>
      </c>
      <c r="RM27" s="29">
        <f>'REG y VAL POE - AESR - ESR'!AO2047</f>
        <v>0</v>
      </c>
      <c r="RN27" s="29">
        <f>'REG y VAL POE - AESR - ESR'!AP2047</f>
        <v>0</v>
      </c>
      <c r="RO27" s="28">
        <f>'REG y VAL POE - AESR - ESR'!AQ2047</f>
        <v>0</v>
      </c>
      <c r="RP27" s="29">
        <f>'REG y VAL POE - AESR - ESR'!AR2047</f>
        <v>0</v>
      </c>
      <c r="RQ27" s="29">
        <f>'REG y VAL POE - AESR - ESR'!AS2047</f>
        <v>0</v>
      </c>
      <c r="RR27" s="28">
        <f>'REG y VAL POE - AESR - ESR'!B2048</f>
        <v>0</v>
      </c>
      <c r="RS27" s="29">
        <f>'REG y VAL POE - AESR - ESR'!C2048</f>
        <v>0</v>
      </c>
      <c r="RT27" s="30">
        <f>'REG y VAL POE - AESR - ESR'!D2048</f>
        <v>0</v>
      </c>
      <c r="RU27" s="28">
        <f>'REG y VAL POE - AESR - ESR'!E2048</f>
        <v>0</v>
      </c>
      <c r="RV27" s="29">
        <f>'REG y VAL POE - AESR - ESR'!F2048</f>
        <v>0</v>
      </c>
      <c r="RW27" s="29">
        <f>'REG y VAL POE - AESR - ESR'!G2048</f>
        <v>0</v>
      </c>
      <c r="RX27" s="29">
        <f>'REG y VAL POE - AESR - ESR'!H2048</f>
        <v>0</v>
      </c>
      <c r="RY27" s="28">
        <f>'REG y VAL POE - AESR - ESR'!I2048</f>
        <v>0</v>
      </c>
      <c r="RZ27" s="29">
        <f>'REG y VAL POE - AESR - ESR'!J2048</f>
        <v>0</v>
      </c>
      <c r="SA27" s="29">
        <f>'REG y VAL POE - AESR - ESR'!K2048</f>
        <v>0</v>
      </c>
      <c r="SB27" s="28">
        <f>'REG y VAL POE - AESR - ESR'!L2048</f>
        <v>0</v>
      </c>
      <c r="SC27" s="29">
        <f>'REG y VAL POE - AESR - ESR'!M2048</f>
        <v>0</v>
      </c>
      <c r="SD27" s="30">
        <f>'REG y VAL POE - AESR - ESR'!N2048</f>
        <v>0</v>
      </c>
      <c r="SE27" s="28">
        <f>'REG y VAL POE - AESR - ESR'!O2048</f>
        <v>0</v>
      </c>
      <c r="SF27" s="29">
        <f>'REG y VAL POE - AESR - ESR'!P2048</f>
        <v>0</v>
      </c>
      <c r="SG27" s="29">
        <f>'REG y VAL POE - AESR - ESR'!Q2048</f>
        <v>0</v>
      </c>
      <c r="SH27" s="29">
        <f>'REG y VAL POE - AESR - ESR'!R2048</f>
        <v>0</v>
      </c>
      <c r="SI27" s="28">
        <f>'REG y VAL POE - AESR - ESR'!S2048</f>
        <v>0</v>
      </c>
      <c r="SJ27" s="29">
        <f>'REG y VAL POE - AESR - ESR'!T2048</f>
        <v>0</v>
      </c>
      <c r="SK27" s="29">
        <f>'REG y VAL POE - AESR - ESR'!U2048</f>
        <v>0</v>
      </c>
      <c r="SL27" s="28">
        <f>'REG y VAL POE - AESR - ESR'!V2048</f>
        <v>0</v>
      </c>
      <c r="SM27" s="29">
        <f>'REG y VAL POE - AESR - ESR'!W2048</f>
        <v>0</v>
      </c>
      <c r="SN27" s="30">
        <f>'REG y VAL POE - AESR - ESR'!X2048</f>
        <v>0</v>
      </c>
      <c r="SO27" s="28">
        <f>'REG y VAL POE - AESR - ESR'!Y2048</f>
        <v>0</v>
      </c>
      <c r="SP27" s="29">
        <f>'REG y VAL POE - AESR - ESR'!Z2048</f>
        <v>0</v>
      </c>
      <c r="SQ27" s="29">
        <f>'REG y VAL POE - AESR - ESR'!AA2048</f>
        <v>0</v>
      </c>
      <c r="SR27" s="29">
        <f>'REG y VAL POE - AESR - ESR'!AB2048</f>
        <v>0</v>
      </c>
      <c r="SS27" s="28">
        <f>'REG y VAL POE - AESR - ESR'!AC2048</f>
        <v>0</v>
      </c>
      <c r="ST27" s="29">
        <f>'REG y VAL POE - AESR - ESR'!AD2048</f>
        <v>0</v>
      </c>
      <c r="SU27" s="29">
        <f>'REG y VAL POE - AESR - ESR'!AE2048</f>
        <v>0</v>
      </c>
      <c r="SV27" s="28">
        <f>'REG y VAL POE - AESR - ESR'!AF2048</f>
        <v>0</v>
      </c>
      <c r="SW27" s="29">
        <f>'REG y VAL POE - AESR - ESR'!AG2048</f>
        <v>0</v>
      </c>
      <c r="SX27" s="30">
        <f>'REG y VAL POE - AESR - ESR'!AH2048</f>
        <v>0</v>
      </c>
      <c r="SY27" s="28">
        <f>'REG y VAL POE - AESR - ESR'!AI2048</f>
        <v>0</v>
      </c>
      <c r="SZ27" s="29">
        <f>'REG y VAL POE - AESR - ESR'!AJ2048</f>
        <v>0</v>
      </c>
      <c r="TA27" s="29">
        <f>'REG y VAL POE - AESR - ESR'!AK2048</f>
        <v>0</v>
      </c>
      <c r="TB27" s="29">
        <f>'REG y VAL POE - AESR - ESR'!AL2048</f>
        <v>0</v>
      </c>
      <c r="TC27" s="28">
        <f>'REG y VAL POE - AESR - ESR'!AM2048</f>
        <v>0</v>
      </c>
      <c r="TD27" s="29">
        <f>'REG y VAL POE - AESR - ESR'!AN2048</f>
        <v>0</v>
      </c>
      <c r="TE27" s="29">
        <f>'REG y VAL POE - AESR - ESR'!AO2048</f>
        <v>0</v>
      </c>
      <c r="TF27" s="28">
        <f>'REG y VAL POE - AESR - ESR'!AP2048</f>
        <v>0</v>
      </c>
      <c r="TG27" s="29">
        <f>'REG y VAL POE - AESR - ESR'!AQ2048</f>
        <v>0</v>
      </c>
      <c r="TH27" s="30">
        <f>'REG y VAL POE - AESR - ESR'!AR2048</f>
        <v>0</v>
      </c>
      <c r="TI27" s="28">
        <f>'REG y VAL POE - AESR - ESR'!AS2048</f>
        <v>0</v>
      </c>
      <c r="TJ27" s="29">
        <f>'REG y VAL POE - AESR - ESR'!B2049</f>
        <v>0</v>
      </c>
      <c r="TK27" s="29">
        <f>'REG y VAL POE - AESR - ESR'!C2049</f>
        <v>0</v>
      </c>
      <c r="TL27" s="29">
        <f>'REG y VAL POE - AESR - ESR'!D2049</f>
        <v>0</v>
      </c>
      <c r="TM27" s="28">
        <f>'REG y VAL POE - AESR - ESR'!E2049</f>
        <v>0</v>
      </c>
      <c r="TN27" s="29">
        <f>'REG y VAL POE - AESR - ESR'!F2049</f>
        <v>0</v>
      </c>
      <c r="TO27" s="29">
        <f>'REG y VAL POE - AESR - ESR'!G2049</f>
        <v>0</v>
      </c>
      <c r="TP27" s="28">
        <f>'REG y VAL POE - AESR - ESR'!H2049</f>
        <v>0</v>
      </c>
      <c r="TQ27" s="29">
        <f>'REG y VAL POE - AESR - ESR'!I2049</f>
        <v>0</v>
      </c>
      <c r="TR27" s="30">
        <f>'REG y VAL POE - AESR - ESR'!J2049</f>
        <v>0</v>
      </c>
      <c r="TS27" s="28">
        <f>'REG y VAL POE - AESR - ESR'!K2049</f>
        <v>0</v>
      </c>
      <c r="TT27" s="29">
        <f>'REG y VAL POE - AESR - ESR'!L2049</f>
        <v>0</v>
      </c>
      <c r="TU27" s="29">
        <f>'REG y VAL POE - AESR - ESR'!M2049</f>
        <v>0</v>
      </c>
      <c r="TV27" s="29">
        <f>'REG y VAL POE - AESR - ESR'!N2049</f>
        <v>0</v>
      </c>
      <c r="TW27" s="28">
        <f>'REG y VAL POE - AESR - ESR'!O2049</f>
        <v>0</v>
      </c>
      <c r="TX27" s="29">
        <f>'REG y VAL POE - AESR - ESR'!P2049</f>
        <v>0</v>
      </c>
      <c r="TY27" s="29">
        <f>'REG y VAL POE - AESR - ESR'!Q2049</f>
        <v>0</v>
      </c>
      <c r="TZ27" s="28">
        <f>'REG y VAL POE - AESR - ESR'!R2049</f>
        <v>0</v>
      </c>
      <c r="UA27" s="29">
        <f>'REG y VAL POE - AESR - ESR'!S2049</f>
        <v>0</v>
      </c>
      <c r="UB27" s="30">
        <f>'REG y VAL POE - AESR - ESR'!T2049</f>
        <v>0</v>
      </c>
      <c r="UC27" s="28">
        <f>'REG y VAL POE - AESR - ESR'!U2049</f>
        <v>0</v>
      </c>
      <c r="UD27" s="29">
        <f>'REG y VAL POE - AESR - ESR'!V2049</f>
        <v>0</v>
      </c>
      <c r="UE27" s="29">
        <f>'REG y VAL POE - AESR - ESR'!W2049</f>
        <v>0</v>
      </c>
      <c r="UF27" s="29">
        <f>'REG y VAL POE - AESR - ESR'!X2049</f>
        <v>0</v>
      </c>
      <c r="UG27" s="28">
        <f>'REG y VAL POE - AESR - ESR'!Y2049</f>
        <v>0</v>
      </c>
      <c r="UH27" s="29">
        <f>'REG y VAL POE - AESR - ESR'!Z2049</f>
        <v>0</v>
      </c>
      <c r="UI27" s="29">
        <f>'REG y VAL POE - AESR - ESR'!AA2049</f>
        <v>0</v>
      </c>
      <c r="UJ27" s="28">
        <f>'REG y VAL POE - AESR - ESR'!AB2049</f>
        <v>0</v>
      </c>
      <c r="UK27" s="29">
        <f>'REG y VAL POE - AESR - ESR'!AC2049</f>
        <v>0</v>
      </c>
      <c r="UL27" s="30">
        <f>'REG y VAL POE - AESR - ESR'!AD2049</f>
        <v>0</v>
      </c>
      <c r="UM27" s="28">
        <f>'REG y VAL POE - AESR - ESR'!AE2049</f>
        <v>0</v>
      </c>
      <c r="UN27" s="29">
        <f>'REG y VAL POE - AESR - ESR'!AF2049</f>
        <v>0</v>
      </c>
      <c r="UO27" s="29">
        <f>'REG y VAL POE - AESR - ESR'!AG2049</f>
        <v>0</v>
      </c>
      <c r="UP27" s="29">
        <f>'REG y VAL POE - AESR - ESR'!AH2049</f>
        <v>0</v>
      </c>
      <c r="UQ27" s="28">
        <f>'REG y VAL POE - AESR - ESR'!AI2049</f>
        <v>0</v>
      </c>
      <c r="UR27" s="29">
        <f>'REG y VAL POE - AESR - ESR'!AJ2049</f>
        <v>0</v>
      </c>
      <c r="US27" s="29">
        <f>'REG y VAL POE - AESR - ESR'!AK2049</f>
        <v>0</v>
      </c>
      <c r="UT27" s="28">
        <f>'REG y VAL POE - AESR - ESR'!AL2049</f>
        <v>0</v>
      </c>
      <c r="UU27" s="29">
        <f>'REG y VAL POE - AESR - ESR'!AM2049</f>
        <v>0</v>
      </c>
      <c r="UV27" s="30">
        <f>'REG y VAL POE - AESR - ESR'!AN2049</f>
        <v>0</v>
      </c>
      <c r="UW27" s="28">
        <f>'REG y VAL POE - AESR - ESR'!AO2049</f>
        <v>0</v>
      </c>
      <c r="UX27" s="29">
        <f>'REG y VAL POE - AESR - ESR'!AP2049</f>
        <v>0</v>
      </c>
      <c r="UY27" s="29">
        <f>'REG y VAL POE - AESR - ESR'!AQ2049</f>
        <v>0</v>
      </c>
      <c r="UZ27" s="29">
        <f>'REG y VAL POE - AESR - ESR'!AR2049</f>
        <v>0</v>
      </c>
      <c r="VA27" s="28">
        <f>'REG y VAL POE - AESR - ESR'!AS2049</f>
        <v>0</v>
      </c>
      <c r="VB27" s="29">
        <f>'REG y VAL POE - AESR - ESR'!B2050</f>
        <v>0</v>
      </c>
      <c r="VC27" s="29">
        <f>'REG y VAL POE - AESR - ESR'!C2050</f>
        <v>0</v>
      </c>
      <c r="VD27" s="28">
        <f>'REG y VAL POE - AESR - ESR'!D2050</f>
        <v>0</v>
      </c>
      <c r="VE27" s="29">
        <f>'REG y VAL POE - AESR - ESR'!E2050</f>
        <v>0</v>
      </c>
      <c r="VF27" s="30">
        <f>'REG y VAL POE - AESR - ESR'!F2050</f>
        <v>0</v>
      </c>
      <c r="VG27" s="28">
        <f>'REG y VAL POE - AESR - ESR'!G2050</f>
        <v>0</v>
      </c>
      <c r="VH27" s="29">
        <f>'REG y VAL POE - AESR - ESR'!H2050</f>
        <v>0</v>
      </c>
      <c r="VI27" s="29">
        <f>'REG y VAL POE - AESR - ESR'!I2050</f>
        <v>0</v>
      </c>
      <c r="VJ27" s="29">
        <f>'REG y VAL POE - AESR - ESR'!J2050</f>
        <v>0</v>
      </c>
      <c r="VK27" s="28">
        <f>'REG y VAL POE - AESR - ESR'!K2050</f>
        <v>0</v>
      </c>
      <c r="VL27" s="29">
        <f>'REG y VAL POE - AESR - ESR'!L2050</f>
        <v>0</v>
      </c>
      <c r="VM27" s="29">
        <f>'REG y VAL POE - AESR - ESR'!M2050</f>
        <v>0</v>
      </c>
      <c r="VN27" s="28">
        <f>'REG y VAL POE - AESR - ESR'!N2050</f>
        <v>0</v>
      </c>
      <c r="VO27" s="29">
        <f>'REG y VAL POE - AESR - ESR'!O2050</f>
        <v>0</v>
      </c>
      <c r="VP27" s="30">
        <f>'REG y VAL POE - AESR - ESR'!P2050</f>
        <v>0</v>
      </c>
      <c r="VQ27" s="28">
        <f>'REG y VAL POE - AESR - ESR'!Q2050</f>
        <v>0</v>
      </c>
      <c r="VR27" s="29">
        <f>'REG y VAL POE - AESR - ESR'!R2050</f>
        <v>0</v>
      </c>
      <c r="VS27" s="29">
        <f>'REG y VAL POE - AESR - ESR'!S2050</f>
        <v>0</v>
      </c>
      <c r="VT27" s="29">
        <f>'REG y VAL POE - AESR - ESR'!T2050</f>
        <v>0</v>
      </c>
      <c r="VU27" s="28">
        <f>'REG y VAL POE - AESR - ESR'!U2050</f>
        <v>0</v>
      </c>
      <c r="VV27" s="29">
        <f>'REG y VAL POE - AESR - ESR'!V2050</f>
        <v>0</v>
      </c>
      <c r="VW27" s="29">
        <f>'REG y VAL POE - AESR - ESR'!W2050</f>
        <v>0</v>
      </c>
      <c r="VX27" s="28">
        <f>'REG y VAL POE - AESR - ESR'!X2050</f>
        <v>0</v>
      </c>
      <c r="VY27" s="29">
        <f>'REG y VAL POE - AESR - ESR'!Y2050</f>
        <v>0</v>
      </c>
      <c r="VZ27" s="30">
        <f>'REG y VAL POE - AESR - ESR'!Z2050</f>
        <v>0</v>
      </c>
      <c r="WA27" s="28">
        <f>'REG y VAL POE - AESR - ESR'!AA2050</f>
        <v>0</v>
      </c>
      <c r="WB27" s="29">
        <f>'REG y VAL POE - AESR - ESR'!AB2050</f>
        <v>0</v>
      </c>
      <c r="WC27" s="29">
        <f>'REG y VAL POE - AESR - ESR'!AC2050</f>
        <v>0</v>
      </c>
      <c r="WD27" s="29">
        <f>'REG y VAL POE - AESR - ESR'!AD2050</f>
        <v>0</v>
      </c>
      <c r="WE27" s="28">
        <f>'REG y VAL POE - AESR - ESR'!AE2050</f>
        <v>0</v>
      </c>
      <c r="WF27" s="29">
        <f>'REG y VAL POE - AESR - ESR'!AF2050</f>
        <v>0</v>
      </c>
      <c r="WG27" s="29">
        <f>'REG y VAL POE - AESR - ESR'!AG2050</f>
        <v>0</v>
      </c>
      <c r="WH27" s="28">
        <f>'REG y VAL POE - AESR - ESR'!AH2050</f>
        <v>0</v>
      </c>
      <c r="WI27" s="29">
        <f>'REG y VAL POE - AESR - ESR'!AI2050</f>
        <v>0</v>
      </c>
      <c r="WJ27" s="30">
        <f>'REG y VAL POE - AESR - ESR'!AJ2050</f>
        <v>0</v>
      </c>
      <c r="WK27" s="28">
        <f>'REG y VAL POE - AESR - ESR'!AK2050</f>
        <v>0</v>
      </c>
      <c r="WL27" s="29">
        <f>'REG y VAL POE - AESR - ESR'!AL2050</f>
        <v>0</v>
      </c>
      <c r="WM27" s="29">
        <f>'REG y VAL POE - AESR - ESR'!AM2050</f>
        <v>0</v>
      </c>
      <c r="WN27" s="29">
        <f>'REG y VAL POE - AESR - ESR'!AN2050</f>
        <v>0</v>
      </c>
      <c r="WO27" s="28">
        <f>'REG y VAL POE - AESR - ESR'!AO2050</f>
        <v>0</v>
      </c>
      <c r="WP27" s="29">
        <f>'REG y VAL POE - AESR - ESR'!AP2050</f>
        <v>0</v>
      </c>
      <c r="WQ27" s="29">
        <f>'REG y VAL POE - AESR - ESR'!AQ2050</f>
        <v>0</v>
      </c>
      <c r="WR27" s="28">
        <f>'REG y VAL POE - AESR - ESR'!AR2050</f>
        <v>0</v>
      </c>
      <c r="WS27" s="29">
        <f>'REG y VAL POE - AESR - ESR'!AS2050</f>
        <v>0</v>
      </c>
      <c r="WT27" s="30">
        <f>'REG y VAL POE - AESR - ESR'!B2051</f>
        <v>0</v>
      </c>
      <c r="WU27" s="28">
        <f>'REG y VAL POE - AESR - ESR'!C2051</f>
        <v>0</v>
      </c>
      <c r="WV27" s="29">
        <f>'REG y VAL POE - AESR - ESR'!D2051</f>
        <v>0</v>
      </c>
      <c r="WW27" s="29">
        <f>'REG y VAL POE - AESR - ESR'!E2051</f>
        <v>0</v>
      </c>
      <c r="WX27" s="29">
        <f>'REG y VAL POE - AESR - ESR'!F2051</f>
        <v>0</v>
      </c>
      <c r="WY27" s="28">
        <f>'REG y VAL POE - AESR - ESR'!G2051</f>
        <v>0</v>
      </c>
      <c r="WZ27" s="29">
        <f>'REG y VAL POE - AESR - ESR'!H2051</f>
        <v>0</v>
      </c>
      <c r="XA27" s="29">
        <f>'REG y VAL POE - AESR - ESR'!I2051</f>
        <v>0</v>
      </c>
      <c r="XB27" s="28">
        <f>'REG y VAL POE - AESR - ESR'!J2051</f>
        <v>0</v>
      </c>
      <c r="XC27" s="29">
        <f>'REG y VAL POE - AESR - ESR'!K2051</f>
        <v>0</v>
      </c>
      <c r="XD27" s="30">
        <f>'REG y VAL POE - AESR - ESR'!L2051</f>
        <v>0</v>
      </c>
      <c r="XE27" s="28">
        <f>'REG y VAL POE - AESR - ESR'!M2051</f>
        <v>0</v>
      </c>
      <c r="XF27" s="29">
        <f>'REG y VAL POE - AESR - ESR'!N2051</f>
        <v>0</v>
      </c>
      <c r="XG27" s="29">
        <f>'REG y VAL POE - AESR - ESR'!O2051</f>
        <v>0</v>
      </c>
      <c r="XH27" s="29">
        <f>'REG y VAL POE - AESR - ESR'!P2051</f>
        <v>0</v>
      </c>
      <c r="XI27" s="28">
        <f>'REG y VAL POE - AESR - ESR'!Q2051</f>
        <v>0</v>
      </c>
      <c r="XJ27" s="29">
        <f>'REG y VAL POE - AESR - ESR'!R2051</f>
        <v>0</v>
      </c>
      <c r="XK27" s="29">
        <f>'REG y VAL POE - AESR - ESR'!S2051</f>
        <v>0</v>
      </c>
      <c r="XL27" s="28">
        <f>'REG y VAL POE - AESR - ESR'!T2051</f>
        <v>0</v>
      </c>
      <c r="XM27" s="29">
        <f>'REG y VAL POE - AESR - ESR'!U2051</f>
        <v>0</v>
      </c>
      <c r="XN27" s="30">
        <f>'REG y VAL POE - AESR - ESR'!V2051</f>
        <v>0</v>
      </c>
      <c r="XO27" s="28">
        <f>'REG y VAL POE - AESR - ESR'!W2051</f>
        <v>0</v>
      </c>
      <c r="XP27" s="29">
        <f>'REG y VAL POE - AESR - ESR'!X2051</f>
        <v>0</v>
      </c>
      <c r="XQ27" s="29">
        <f>'REG y VAL POE - AESR - ESR'!Y2051</f>
        <v>0</v>
      </c>
      <c r="XR27" s="29">
        <f>'REG y VAL POE - AESR - ESR'!Z2051</f>
        <v>0</v>
      </c>
      <c r="XS27" s="28">
        <f>'REG y VAL POE - AESR - ESR'!AA2051</f>
        <v>0</v>
      </c>
      <c r="XT27" s="29">
        <f>'REG y VAL POE - AESR - ESR'!AB2051</f>
        <v>0</v>
      </c>
      <c r="XU27" s="29">
        <f>'REG y VAL POE - AESR - ESR'!AC2051</f>
        <v>0</v>
      </c>
      <c r="XV27" s="28">
        <f>'REG y VAL POE - AESR - ESR'!AD2051</f>
        <v>0</v>
      </c>
      <c r="XW27" s="29">
        <f>'REG y VAL POE - AESR - ESR'!AE2051</f>
        <v>0</v>
      </c>
      <c r="XX27" s="30">
        <f>'REG y VAL POE - AESR - ESR'!AF2051</f>
        <v>0</v>
      </c>
      <c r="XY27" s="28">
        <f>'REG y VAL POE - AESR - ESR'!AG2051</f>
        <v>0</v>
      </c>
      <c r="XZ27" s="29">
        <f>'REG y VAL POE - AESR - ESR'!AH2051</f>
        <v>0</v>
      </c>
      <c r="YA27" s="29">
        <f>'REG y VAL POE - AESR - ESR'!AI2051</f>
        <v>0</v>
      </c>
      <c r="YB27" s="29">
        <f>'REG y VAL POE - AESR - ESR'!AJ2051</f>
        <v>0</v>
      </c>
      <c r="YC27" s="28">
        <f>'REG y VAL POE - AESR - ESR'!AK2051</f>
        <v>0</v>
      </c>
      <c r="YD27" s="29">
        <f>'REG y VAL POE - AESR - ESR'!AL2051</f>
        <v>0</v>
      </c>
      <c r="YE27" s="29">
        <f>'REG y VAL POE - AESR - ESR'!AM2051</f>
        <v>0</v>
      </c>
      <c r="YF27" s="28">
        <f>'REG y VAL POE - AESR - ESR'!AN2051</f>
        <v>0</v>
      </c>
      <c r="YG27" s="29">
        <f>'REG y VAL POE - AESR - ESR'!AO2051</f>
        <v>0</v>
      </c>
      <c r="YH27" s="30">
        <f>'REG y VAL POE - AESR - ESR'!AP2051</f>
        <v>0</v>
      </c>
      <c r="YI27" s="28">
        <f>'REG y VAL POE - AESR - ESR'!AQ2051</f>
        <v>0</v>
      </c>
      <c r="YJ27" s="29">
        <f>'REG y VAL POE - AESR - ESR'!AR2051</f>
        <v>0</v>
      </c>
      <c r="YK27" s="29">
        <f>'REG y VAL POE - AESR - ESR'!AS2051</f>
        <v>0</v>
      </c>
      <c r="YL27" s="29"/>
      <c r="YM27" s="28"/>
      <c r="YN27" s="29"/>
      <c r="YO27" s="29"/>
      <c r="YP27" s="28"/>
      <c r="YQ27" s="29"/>
      <c r="YR27" s="30"/>
      <c r="YS27" s="28"/>
      <c r="YT27" s="29"/>
      <c r="YU27" s="29"/>
      <c r="YV27" s="29"/>
      <c r="YW27" s="28"/>
      <c r="YX27" s="29"/>
      <c r="YY27" s="29"/>
      <c r="YZ27" s="28"/>
      <c r="ZA27" s="29"/>
      <c r="ZB27" s="30"/>
      <c r="ZC27" s="28"/>
      <c r="ZD27" s="29"/>
      <c r="ZE27" s="29"/>
      <c r="ZF27" s="29"/>
      <c r="ZG27" s="28"/>
      <c r="ZH27" s="29"/>
      <c r="ZI27" s="29"/>
      <c r="ZJ27" s="28"/>
      <c r="ZK27" s="29"/>
      <c r="ZL27" s="30"/>
      <c r="ZM27" s="28"/>
      <c r="ZN27" s="29"/>
      <c r="ZO27" s="29"/>
      <c r="ZP27" s="29"/>
      <c r="ZQ27" s="28"/>
      <c r="ZR27" s="29"/>
      <c r="ZS27" s="29"/>
      <c r="ZT27" s="28"/>
      <c r="ZU27" s="29"/>
      <c r="ZV27" s="30"/>
      <c r="ZW27" s="28"/>
      <c r="ZX27" s="29"/>
      <c r="ZY27" s="29"/>
      <c r="ZZ27" s="29"/>
      <c r="AAA27" s="28"/>
      <c r="AAB27" s="29"/>
      <c r="AAC27" s="29"/>
      <c r="AAD27" s="28"/>
      <c r="AAE27" s="29"/>
      <c r="AAF27" s="30"/>
      <c r="AAG27" s="28"/>
      <c r="AAH27" s="29"/>
      <c r="AAI27" s="29"/>
      <c r="AAJ27" s="29"/>
      <c r="AAK27" s="28"/>
      <c r="AAL27" s="29"/>
      <c r="AAM27" s="29"/>
      <c r="AAN27" s="28"/>
      <c r="AAO27" s="29"/>
      <c r="AAP27" s="30"/>
      <c r="AAQ27" s="28"/>
      <c r="AAR27" s="29"/>
      <c r="AAS27" s="29"/>
      <c r="AAT27" s="29"/>
      <c r="AAU27" s="28"/>
      <c r="AAV27" s="29"/>
      <c r="AAW27" s="29"/>
      <c r="AAX27" s="28"/>
      <c r="AAY27" s="29"/>
      <c r="AAZ27" s="30"/>
      <c r="ABA27" s="28"/>
      <c r="ABB27" s="29"/>
      <c r="ABC27" s="29"/>
      <c r="ABD27" s="29"/>
      <c r="ABE27" s="28"/>
      <c r="ABF27" s="29"/>
      <c r="ABG27" s="29"/>
      <c r="ABH27" s="28"/>
      <c r="ABI27" s="29"/>
      <c r="ABJ27" s="30"/>
      <c r="ABK27" s="28"/>
      <c r="ABL27" s="29"/>
      <c r="ABM27" s="29"/>
      <c r="ABN27" s="29"/>
      <c r="ABO27" s="28"/>
      <c r="ABP27" s="29"/>
      <c r="ABQ27" s="29"/>
      <c r="ABR27" s="28"/>
      <c r="ABS27" s="29"/>
      <c r="ABT27" s="30"/>
      <c r="ABU27" s="28"/>
      <c r="ABV27" s="29"/>
      <c r="ABW27" s="29"/>
      <c r="ABX27" s="29"/>
      <c r="ABY27" s="28"/>
      <c r="ABZ27" s="29"/>
      <c r="ACA27" s="29"/>
      <c r="ACB27" s="28"/>
      <c r="ACC27" s="29"/>
      <c r="ACD27" s="30"/>
      <c r="ACE27" s="28"/>
      <c r="ACF27" s="29"/>
      <c r="ACG27" s="29"/>
      <c r="ACH27" s="29"/>
      <c r="ACI27" s="28"/>
      <c r="ACJ27" s="29"/>
      <c r="ACK27" s="29"/>
      <c r="ACL27" s="28"/>
      <c r="ACM27" s="29"/>
      <c r="ACN27" s="30"/>
      <c r="ACO27" s="28"/>
      <c r="ACP27" s="29"/>
      <c r="ACQ27" s="29"/>
      <c r="ACR27" s="29"/>
      <c r="ACS27" s="28"/>
      <c r="ACT27" s="29"/>
      <c r="ACU27" s="29"/>
      <c r="ACV27" s="28"/>
      <c r="ACW27" s="29"/>
      <c r="ACX27" s="30"/>
      <c r="ACY27" s="28"/>
      <c r="ACZ27" s="29"/>
      <c r="ADA27" s="29"/>
      <c r="ADB27" s="29"/>
      <c r="ADC27" s="28"/>
      <c r="ADD27" s="29"/>
      <c r="ADE27" s="29"/>
      <c r="ADF27" s="28"/>
      <c r="ADG27" s="29"/>
      <c r="ADH27" s="30"/>
      <c r="ADI27" s="28"/>
      <c r="ADJ27" s="29"/>
      <c r="ADK27" s="29"/>
      <c r="ADL27" s="29"/>
      <c r="ADM27" s="28"/>
      <c r="ADN27" s="29"/>
      <c r="ADO27" s="29"/>
      <c r="ADP27" s="28"/>
      <c r="ADQ27" s="29"/>
      <c r="ADR27" s="30"/>
      <c r="ADS27" s="28"/>
      <c r="ADT27" s="29"/>
      <c r="ADU27" s="29"/>
      <c r="ADV27" s="29"/>
      <c r="ADW27" s="28"/>
      <c r="ADX27" s="29"/>
      <c r="ADY27" s="29"/>
      <c r="ADZ27" s="28"/>
      <c r="AEA27" s="29"/>
      <c r="AEB27" s="30"/>
      <c r="AEC27" s="28"/>
      <c r="AED27" s="29"/>
      <c r="AEE27" s="29"/>
      <c r="AEF27" s="29"/>
      <c r="AEG27" s="28"/>
      <c r="AEH27" s="29"/>
      <c r="AEI27" s="29"/>
      <c r="AEJ27" s="28"/>
      <c r="AEK27" s="29"/>
      <c r="AEL27" s="30"/>
      <c r="AEM27" s="28"/>
      <c r="AEN27" s="29"/>
      <c r="AEO27" s="29"/>
      <c r="AEP27" s="29"/>
      <c r="AEQ27" s="28"/>
      <c r="AER27" s="29"/>
      <c r="AES27" s="29"/>
      <c r="AET27" s="28"/>
      <c r="AEU27" s="29"/>
      <c r="AEV27" s="30"/>
      <c r="AEW27" s="28"/>
      <c r="AEX27" s="29"/>
      <c r="AEY27" s="29"/>
      <c r="AEZ27" s="29"/>
      <c r="AFA27" s="28"/>
      <c r="AFB27" s="29"/>
      <c r="AFC27" s="29"/>
      <c r="AFD27" s="28"/>
      <c r="AFE27" s="29"/>
      <c r="AFF27" s="30"/>
      <c r="AFG27" s="28"/>
      <c r="AFH27" s="29"/>
      <c r="AFI27" s="29"/>
      <c r="AFJ27" s="29"/>
      <c r="AFK27" s="28"/>
      <c r="AFL27" s="29"/>
      <c r="AFM27" s="29"/>
      <c r="AFN27" s="28"/>
      <c r="AFO27" s="29"/>
      <c r="AFP27" s="30"/>
      <c r="AFQ27" s="28"/>
      <c r="AFR27" s="29"/>
      <c r="AFS27" s="29"/>
      <c r="AFT27" s="29"/>
      <c r="AFU27" s="28"/>
      <c r="AFV27" s="29"/>
      <c r="AFW27" s="29"/>
      <c r="AFX27" s="28"/>
      <c r="AFY27" s="29"/>
      <c r="AFZ27" s="30"/>
      <c r="AGA27" s="28"/>
      <c r="AGB27" s="29"/>
      <c r="AGC27" s="29"/>
      <c r="AGD27" s="29"/>
      <c r="AGE27" s="28"/>
      <c r="AGF27" s="29"/>
      <c r="AGG27" s="29"/>
      <c r="AGH27" s="28"/>
      <c r="AGI27" s="29"/>
      <c r="AGJ27" s="30"/>
      <c r="AGK27" s="28"/>
      <c r="AGL27" s="29"/>
      <c r="AGM27" s="29"/>
      <c r="AGN27" s="29"/>
      <c r="AGO27" s="28"/>
      <c r="AGP27" s="29"/>
      <c r="AGQ27" s="29"/>
      <c r="AGR27" s="28"/>
      <c r="AGS27" s="29"/>
      <c r="AGT27" s="30"/>
      <c r="AGU27" s="28"/>
      <c r="AGV27" s="29"/>
      <c r="AGW27" s="29"/>
      <c r="AGX27" s="29"/>
      <c r="AGY27" s="28"/>
      <c r="AGZ27" s="29"/>
      <c r="AHA27" s="29"/>
      <c r="AHB27" s="28"/>
      <c r="AHC27" s="29"/>
      <c r="AHD27" s="30"/>
      <c r="AHE27" s="28"/>
      <c r="AHF27" s="29"/>
      <c r="AHG27" s="29"/>
      <c r="AHH27" s="29"/>
      <c r="AHI27" s="28"/>
      <c r="AHJ27" s="29"/>
      <c r="AHK27" s="29"/>
      <c r="AHL27" s="28"/>
      <c r="AHM27" s="29"/>
      <c r="AHN27" s="30"/>
      <c r="AHO27" s="28"/>
      <c r="AHP27" s="29"/>
      <c r="AHQ27" s="29"/>
      <c r="AHR27" s="29"/>
      <c r="AHS27" s="28"/>
      <c r="AHT27" s="29"/>
      <c r="AHU27" s="29"/>
      <c r="AHV27" s="28"/>
      <c r="AHW27" s="29"/>
      <c r="AHX27" s="30"/>
      <c r="AHY27" s="28"/>
      <c r="AHZ27" s="29"/>
      <c r="AIA27" s="29"/>
      <c r="AIB27" s="29"/>
      <c r="AIC27" s="28"/>
      <c r="AID27" s="29"/>
      <c r="AIE27" s="29"/>
      <c r="AIF27" s="28"/>
      <c r="AIG27" s="29"/>
      <c r="AIH27" s="30"/>
      <c r="AII27" s="28"/>
      <c r="AIJ27" s="29"/>
      <c r="AIK27" s="29"/>
      <c r="AIL27" s="29"/>
      <c r="AIM27" s="28"/>
      <c r="AIN27" s="29"/>
      <c r="AIO27" s="29"/>
      <c r="AIP27" s="28"/>
      <c r="AIQ27" s="29"/>
      <c r="AIR27" s="30"/>
      <c r="AIS27" s="28"/>
      <c r="AIT27" s="29"/>
      <c r="AIU27" s="29"/>
      <c r="AIV27" s="29"/>
      <c r="AIW27" s="28"/>
      <c r="AIX27" s="29"/>
      <c r="AIY27" s="29"/>
      <c r="AIZ27" s="28"/>
      <c r="AJA27" s="29"/>
      <c r="AJB27" s="30"/>
      <c r="AJC27" s="28"/>
      <c r="AJD27" s="29"/>
      <c r="AJE27" s="29"/>
      <c r="AJF27" s="29"/>
      <c r="AJG27" s="28"/>
      <c r="AJH27" s="29"/>
      <c r="AJI27" s="29"/>
      <c r="AJJ27" s="28"/>
      <c r="AJK27" s="29"/>
      <c r="AJL27" s="30"/>
      <c r="AJM27" s="28"/>
      <c r="AJN27" s="29"/>
      <c r="AJO27" s="29"/>
      <c r="AJP27" s="29"/>
      <c r="AJQ27" s="28"/>
      <c r="AJR27" s="29"/>
      <c r="AJS27" s="29"/>
      <c r="AJT27" s="28"/>
      <c r="AJU27" s="29"/>
      <c r="AJV27" s="30"/>
      <c r="AJW27" s="28"/>
      <c r="AJX27" s="29"/>
      <c r="AJY27" s="29"/>
      <c r="AJZ27" s="29"/>
      <c r="AKA27" s="28"/>
      <c r="AKB27" s="29"/>
      <c r="AKC27" s="29"/>
      <c r="AKD27" s="28"/>
      <c r="AKE27" s="29"/>
      <c r="AKF27" s="30"/>
      <c r="AKG27" s="28"/>
      <c r="AKH27" s="29"/>
      <c r="AKI27" s="29"/>
      <c r="AKJ27" s="29"/>
      <c r="AKK27" s="28"/>
      <c r="AKL27" s="29"/>
      <c r="AKM27" s="29"/>
      <c r="AKN27" s="28"/>
      <c r="AKO27" s="29"/>
      <c r="AKP27" s="30"/>
      <c r="AKQ27" s="28"/>
      <c r="AKR27" s="29"/>
      <c r="AKS27" s="29"/>
      <c r="AKT27" s="29"/>
      <c r="AKU27" s="28"/>
      <c r="AKV27" s="29"/>
      <c r="AKW27" s="29"/>
      <c r="AKX27" s="28"/>
      <c r="AKY27" s="29"/>
      <c r="AKZ27" s="30"/>
      <c r="ALA27" s="28"/>
      <c r="ALB27" s="29"/>
      <c r="ALC27" s="29"/>
      <c r="ALD27" s="29"/>
      <c r="ALE27" s="28"/>
      <c r="ALF27" s="29"/>
      <c r="ALG27" s="29"/>
      <c r="ALH27" s="29"/>
      <c r="ALI27" s="29"/>
      <c r="ALJ27" s="29"/>
      <c r="ALK27" s="28"/>
      <c r="ALL27" s="29"/>
      <c r="ALM27" s="29"/>
      <c r="ALN27" s="28"/>
      <c r="ALO27" s="29"/>
      <c r="ALP27" s="30"/>
      <c r="ALQ27" s="28"/>
      <c r="ALR27" s="29"/>
      <c r="ALS27" s="29"/>
      <c r="ALT27" s="29"/>
      <c r="ALU27" s="28"/>
      <c r="ALV27" s="29"/>
      <c r="ALW27" s="29"/>
      <c r="ALX27" s="28"/>
      <c r="ALY27" s="29"/>
      <c r="ALZ27" s="30"/>
      <c r="AMA27" s="28"/>
      <c r="AMB27" s="29"/>
      <c r="AMC27" s="29"/>
      <c r="AMD27" s="29"/>
      <c r="AME27" s="28"/>
      <c r="AMF27" s="29"/>
      <c r="AMG27" s="29"/>
      <c r="AMH27" s="29"/>
      <c r="AMI27" s="29"/>
      <c r="AMJ27" s="29"/>
      <c r="AMK27" s="28"/>
      <c r="AML27" s="29"/>
      <c r="AMM27" s="29"/>
      <c r="AMN27" s="28"/>
      <c r="AMO27" s="29"/>
      <c r="AMP27" s="30"/>
      <c r="AMQ27" s="28"/>
      <c r="AMR27" s="29"/>
      <c r="AMS27" s="29"/>
      <c r="AMT27" s="29"/>
      <c r="AMU27" s="28"/>
      <c r="AMV27" s="29"/>
      <c r="AMW27" s="29"/>
      <c r="AMX27" s="28"/>
      <c r="AMY27" s="29"/>
      <c r="AMZ27" s="30"/>
      <c r="ANA27" s="28"/>
      <c r="ANB27" s="29"/>
      <c r="ANC27" s="29"/>
      <c r="AND27" s="29"/>
      <c r="ANE27" s="28"/>
      <c r="ANF27" s="29"/>
      <c r="ANG27" s="29"/>
      <c r="ANH27" s="29"/>
      <c r="ANI27" s="29"/>
      <c r="ANJ27" s="29"/>
      <c r="ANK27" s="28"/>
      <c r="ANL27" s="29"/>
      <c r="ANM27" s="29"/>
      <c r="ANN27" s="28"/>
      <c r="ANO27" s="29"/>
      <c r="ANP27" s="30"/>
      <c r="ANQ27" s="28"/>
      <c r="ANR27" s="29"/>
      <c r="ANS27" s="29"/>
      <c r="ANT27" s="29"/>
      <c r="ANU27" s="28"/>
      <c r="ANV27" s="29"/>
      <c r="ANW27" s="29"/>
      <c r="ANX27" s="28"/>
      <c r="ANY27" s="29"/>
      <c r="ANZ27" s="30"/>
      <c r="AOA27" s="28"/>
      <c r="AOB27" s="29"/>
      <c r="AOC27" s="29"/>
      <c r="AOD27" s="29"/>
      <c r="AOE27" s="28"/>
      <c r="AOF27" s="29"/>
      <c r="AOG27" s="29"/>
      <c r="AOH27" s="29"/>
      <c r="AOI27" s="29"/>
      <c r="AOJ27" s="29"/>
      <c r="AOK27" s="28"/>
      <c r="AOL27" s="29"/>
      <c r="AOM27" s="29"/>
      <c r="AON27" s="28"/>
      <c r="AOO27" s="29"/>
      <c r="AOP27" s="30"/>
      <c r="AOQ27" s="28"/>
      <c r="AOR27" s="29"/>
      <c r="AOS27" s="29"/>
      <c r="AOT27" s="29"/>
      <c r="AOU27" s="28"/>
      <c r="AOV27" s="29"/>
      <c r="AOW27" s="29"/>
      <c r="AOX27" s="28"/>
      <c r="AOY27" s="29"/>
      <c r="AOZ27" s="30"/>
      <c r="APA27" s="28"/>
      <c r="APB27" s="29"/>
      <c r="APC27" s="29"/>
      <c r="APD27" s="29"/>
      <c r="APE27" s="28"/>
      <c r="APF27" s="29"/>
      <c r="APG27" s="29"/>
      <c r="APH27" s="29"/>
      <c r="API27" s="29"/>
      <c r="APJ27" s="29"/>
      <c r="APK27" s="28"/>
      <c r="APL27" s="29"/>
      <c r="APM27" s="29"/>
      <c r="APN27" s="28"/>
      <c r="APO27" s="29"/>
      <c r="APP27" s="30"/>
      <c r="APQ27" s="28"/>
      <c r="APR27" s="29"/>
      <c r="APS27" s="29"/>
      <c r="APT27" s="29"/>
      <c r="APU27" s="28"/>
      <c r="APV27" s="29"/>
      <c r="APW27" s="29"/>
      <c r="APX27" s="28"/>
      <c r="APY27" s="29"/>
      <c r="APZ27" s="30"/>
      <c r="AQA27" s="28"/>
      <c r="AQB27" s="29"/>
      <c r="AQC27" s="29"/>
      <c r="AQD27" s="29"/>
      <c r="AQE27" s="28"/>
      <c r="AQF27" s="29"/>
      <c r="AQG27" s="29"/>
      <c r="AQH27" s="29"/>
      <c r="AQI27" s="29"/>
      <c r="AQJ27" s="29"/>
      <c r="AQK27" s="28"/>
      <c r="AQL27" s="29"/>
      <c r="AQM27" s="29"/>
      <c r="AQN27" s="28"/>
      <c r="AQO27" s="29"/>
      <c r="AQP27" s="30"/>
      <c r="AQQ27" s="28"/>
      <c r="AQR27" s="29"/>
      <c r="AQS27" s="29"/>
      <c r="AQT27" s="29"/>
      <c r="AQU27" s="28"/>
      <c r="AQV27" s="29"/>
      <c r="AQW27" s="29"/>
      <c r="AQX27" s="28"/>
      <c r="AQY27" s="29"/>
      <c r="AQZ27" s="30"/>
      <c r="ARA27" s="28"/>
      <c r="ARB27" s="29"/>
      <c r="ARC27" s="29"/>
      <c r="ARD27" s="29"/>
      <c r="ARE27" s="28"/>
      <c r="ARF27" s="29"/>
      <c r="ARG27" s="29"/>
      <c r="ARH27" s="29"/>
      <c r="ARI27" s="29"/>
      <c r="ARJ27" s="29"/>
      <c r="ARK27" s="28"/>
      <c r="ARL27" s="29"/>
      <c r="ARM27" s="29"/>
      <c r="ARN27" s="28"/>
      <c r="ARO27" s="29"/>
      <c r="ARP27" s="30"/>
      <c r="ARQ27" s="28"/>
      <c r="ARR27" s="29"/>
      <c r="ARS27" s="29"/>
      <c r="ART27" s="29"/>
      <c r="ARU27" s="28"/>
      <c r="ARV27" s="29"/>
      <c r="ARW27" s="29"/>
      <c r="ARX27" s="28"/>
      <c r="ARY27" s="29"/>
      <c r="ARZ27" s="30"/>
      <c r="ASA27" s="28"/>
      <c r="ASB27" s="29"/>
      <c r="ASC27" s="29"/>
      <c r="ASD27" s="29"/>
      <c r="ASE27" s="28"/>
      <c r="ASF27" s="29"/>
      <c r="ASG27" s="29"/>
      <c r="ASH27" s="29"/>
      <c r="ASI27" s="29"/>
      <c r="ASJ27" s="29"/>
      <c r="ASK27" s="28"/>
      <c r="ASL27" s="29"/>
      <c r="ASM27" s="29"/>
      <c r="ASN27" s="28"/>
      <c r="ASO27" s="29"/>
      <c r="ASP27" s="30"/>
      <c r="ASQ27" s="28"/>
      <c r="ASR27" s="29"/>
      <c r="ASS27" s="29"/>
      <c r="AST27" s="29"/>
      <c r="ASU27" s="28"/>
      <c r="ASV27" s="29"/>
      <c r="ASW27" s="29"/>
      <c r="ASX27" s="28"/>
      <c r="ASY27" s="29"/>
      <c r="ASZ27" s="30"/>
      <c r="ATA27" s="28"/>
      <c r="ATB27" s="29"/>
      <c r="ATC27" s="29"/>
      <c r="ATD27" s="29"/>
      <c r="ATE27" s="28"/>
      <c r="ATF27" s="29"/>
      <c r="ATG27" s="29"/>
      <c r="ATH27" s="29"/>
      <c r="ATI27" s="29"/>
      <c r="ATJ27" s="29"/>
      <c r="ATK27" s="28"/>
      <c r="ATL27" s="29"/>
      <c r="ATM27" s="29"/>
      <c r="ATN27" s="28"/>
      <c r="ATO27" s="29"/>
      <c r="ATP27" s="30"/>
      <c r="ATQ27" s="28"/>
      <c r="ATR27" s="29"/>
      <c r="ATS27" s="29"/>
      <c r="ATT27" s="29"/>
      <c r="ATU27" s="28"/>
      <c r="ATV27" s="29"/>
      <c r="ATW27" s="29"/>
      <c r="ATX27" s="28"/>
      <c r="ATY27" s="29"/>
      <c r="ATZ27" s="30"/>
      <c r="AUA27" s="28"/>
      <c r="AUB27" s="29"/>
      <c r="AUC27" s="29"/>
      <c r="AUD27" s="29"/>
      <c r="AUE27" s="28"/>
      <c r="AUF27" s="29"/>
      <c r="AUG27" s="29"/>
      <c r="AUH27" s="29"/>
      <c r="AUI27" s="29"/>
      <c r="AUJ27" s="29"/>
      <c r="AUK27" s="28"/>
      <c r="AUL27" s="29"/>
      <c r="AUM27" s="29"/>
      <c r="AUN27" s="28"/>
      <c r="AUO27" s="29"/>
      <c r="AUP27" s="30"/>
      <c r="AUQ27" s="28"/>
      <c r="AUR27" s="29"/>
      <c r="AUS27" s="29"/>
      <c r="AUT27" s="29"/>
      <c r="AUU27" s="28"/>
      <c r="AUV27" s="29"/>
      <c r="AUW27" s="29"/>
      <c r="AUX27" s="28"/>
      <c r="AUY27" s="29"/>
      <c r="AUZ27" s="30"/>
      <c r="AVA27" s="28"/>
      <c r="AVB27" s="29"/>
      <c r="AVC27" s="29"/>
      <c r="AVD27" s="29"/>
      <c r="AVE27" s="28"/>
      <c r="AVF27" s="29"/>
      <c r="AVG27" s="29"/>
      <c r="AVH27" s="29"/>
      <c r="AVI27" s="29"/>
      <c r="AVJ27" s="29"/>
      <c r="AVK27" s="28"/>
      <c r="AVL27" s="29"/>
      <c r="AVM27" s="29"/>
      <c r="AVN27" s="28"/>
      <c r="AVO27" s="29"/>
      <c r="AVP27" s="30"/>
      <c r="AVQ27" s="28"/>
      <c r="AVR27" s="29"/>
      <c r="AVS27" s="29"/>
      <c r="AVT27" s="29"/>
      <c r="AVU27" s="28"/>
      <c r="AVV27" s="29"/>
      <c r="AVW27" s="29"/>
      <c r="AVX27" s="28"/>
      <c r="AVY27" s="29"/>
      <c r="AVZ27" s="30"/>
      <c r="AWA27" s="28"/>
      <c r="AWB27" s="29"/>
      <c r="AWC27" s="29"/>
      <c r="AWD27" s="29"/>
      <c r="AWE27" s="28"/>
      <c r="AWF27" s="29"/>
      <c r="AWG27" s="29"/>
      <c r="AWH27" s="29"/>
      <c r="AWI27" s="29"/>
      <c r="AWJ27" s="29"/>
      <c r="AWK27" s="28"/>
      <c r="AWL27" s="29"/>
      <c r="AWM27" s="29"/>
      <c r="AWN27" s="28"/>
      <c r="AWO27" s="29"/>
      <c r="AWP27" s="30"/>
      <c r="AWQ27" s="28"/>
      <c r="AWR27" s="29"/>
      <c r="AWS27" s="29"/>
      <c r="AWT27" s="29"/>
      <c r="AWU27" s="28"/>
      <c r="AWV27" s="29"/>
      <c r="AWW27" s="29"/>
      <c r="AWX27" s="28"/>
      <c r="AWY27" s="29"/>
      <c r="AWZ27" s="30"/>
      <c r="AXA27" s="28"/>
      <c r="AXB27" s="29"/>
      <c r="AXC27" s="29"/>
      <c r="AXD27" s="29"/>
      <c r="AXE27" s="28"/>
      <c r="AXF27" s="29"/>
      <c r="AXG27" s="29"/>
      <c r="AXH27" s="29"/>
      <c r="AXI27" s="29"/>
      <c r="AXJ27" s="29"/>
      <c r="AXK27" s="28"/>
      <c r="AXL27" s="29"/>
      <c r="AXM27" s="29"/>
      <c r="AXN27" s="28"/>
      <c r="AXO27" s="29"/>
      <c r="AXP27" s="30"/>
      <c r="AXQ27" s="28"/>
      <c r="AXR27" s="29"/>
      <c r="AXS27" s="29"/>
      <c r="AXT27" s="29"/>
      <c r="AXU27" s="28"/>
      <c r="AXV27" s="29"/>
      <c r="AXW27" s="29"/>
      <c r="AXX27" s="28"/>
      <c r="AXY27" s="29"/>
      <c r="AXZ27" s="30"/>
      <c r="AYA27" s="28"/>
      <c r="AYB27" s="29"/>
      <c r="AYC27" s="29"/>
      <c r="AYD27" s="29"/>
      <c r="AYE27" s="28"/>
      <c r="AYF27" s="29"/>
      <c r="AYG27" s="29"/>
      <c r="AYH27" s="29"/>
      <c r="AYI27" s="29"/>
      <c r="AYJ27" s="29"/>
      <c r="AYK27" s="28"/>
      <c r="AYL27" s="29"/>
      <c r="AYM27" s="29"/>
      <c r="AYN27" s="28"/>
      <c r="AYO27" s="29"/>
      <c r="AYP27" s="30"/>
      <c r="AYQ27" s="28"/>
      <c r="AYR27" s="29"/>
      <c r="AYS27" s="29"/>
      <c r="AYT27" s="29"/>
      <c r="AYU27" s="28"/>
      <c r="AYV27" s="29"/>
      <c r="AYW27" s="29"/>
      <c r="AYX27" s="28"/>
      <c r="AYY27" s="29"/>
      <c r="AYZ27" s="30"/>
      <c r="AZA27" s="28"/>
      <c r="AZB27" s="29"/>
      <c r="AZC27" s="29"/>
      <c r="AZD27" s="29"/>
      <c r="AZE27" s="28"/>
      <c r="AZF27" s="29"/>
      <c r="AZG27" s="29"/>
      <c r="AZH27" s="29"/>
      <c r="AZI27" s="29"/>
      <c r="AZJ27" s="29"/>
      <c r="AZK27" s="28"/>
      <c r="AZL27" s="29"/>
      <c r="AZM27" s="29"/>
      <c r="AZN27" s="28"/>
      <c r="AZO27" s="29"/>
      <c r="AZP27" s="30"/>
      <c r="AZQ27" s="28"/>
      <c r="AZR27" s="29"/>
      <c r="AZS27" s="29"/>
      <c r="AZT27" s="29"/>
      <c r="AZU27" s="28"/>
      <c r="AZV27" s="29"/>
      <c r="AZW27" s="29"/>
      <c r="AZX27" s="28"/>
      <c r="AZY27" s="29"/>
      <c r="AZZ27" s="30"/>
      <c r="BAA27" s="28"/>
      <c r="BAB27" s="29"/>
      <c r="BAC27" s="29"/>
      <c r="BAD27" s="29"/>
      <c r="BAE27" s="28"/>
      <c r="BAF27" s="29"/>
      <c r="BAG27" s="29"/>
      <c r="BAH27" s="29"/>
      <c r="BAI27" s="29"/>
      <c r="BAJ27" s="29"/>
      <c r="BAK27" s="28"/>
      <c r="BAL27" s="29"/>
      <c r="BAM27" s="29"/>
      <c r="BAN27" s="28"/>
      <c r="BAO27" s="29"/>
      <c r="BAP27" s="30"/>
      <c r="BAQ27" s="28"/>
      <c r="BAR27" s="29"/>
      <c r="BAS27" s="29"/>
      <c r="BAT27" s="29"/>
      <c r="BAU27" s="28"/>
      <c r="BAV27" s="29"/>
      <c r="BAW27" s="29"/>
      <c r="BAX27" s="28"/>
      <c r="BAY27" s="29"/>
      <c r="BAZ27" s="30"/>
      <c r="BBA27" s="28"/>
      <c r="BBB27" s="29"/>
      <c r="BBC27" s="29"/>
      <c r="BBD27" s="29"/>
      <c r="BBE27" s="28"/>
      <c r="BBF27" s="29"/>
      <c r="BBG27" s="29"/>
      <c r="BBH27" s="29"/>
      <c r="BBI27" s="29"/>
      <c r="BBJ27" s="29"/>
      <c r="BBK27" s="28"/>
      <c r="BBL27" s="29"/>
      <c r="BBM27" s="29"/>
      <c r="BBN27" s="28"/>
      <c r="BBO27" s="29"/>
      <c r="BBP27" s="30"/>
      <c r="BBQ27" s="28"/>
      <c r="BBR27" s="29"/>
      <c r="BBS27" s="29"/>
      <c r="BBT27" s="29"/>
      <c r="BBU27" s="28"/>
      <c r="BBV27" s="29"/>
      <c r="BBW27" s="29"/>
      <c r="BBX27" s="28"/>
      <c r="BBY27" s="29"/>
      <c r="BBZ27" s="30"/>
      <c r="BCA27" s="28"/>
      <c r="BCB27" s="29"/>
      <c r="BCC27" s="29"/>
      <c r="BCD27" s="29"/>
      <c r="BCE27" s="28"/>
      <c r="BCF27" s="29"/>
      <c r="BCG27" s="29"/>
      <c r="BCH27" s="29"/>
      <c r="BCI27" s="29"/>
      <c r="BCJ27" s="29"/>
      <c r="BCK27" s="28"/>
      <c r="BCL27" s="29"/>
      <c r="BCM27" s="29"/>
      <c r="BCN27" s="28"/>
      <c r="BCO27" s="29"/>
      <c r="BCP27" s="30"/>
      <c r="BCQ27" s="28"/>
      <c r="BCR27" s="29"/>
      <c r="BCS27" s="29"/>
      <c r="BCT27" s="29"/>
      <c r="BCU27" s="28"/>
      <c r="BCV27" s="29"/>
      <c r="BCW27" s="29"/>
      <c r="BCX27" s="28"/>
      <c r="BCY27" s="29"/>
      <c r="BCZ27" s="30"/>
      <c r="BDA27" s="28"/>
      <c r="BDB27" s="29"/>
      <c r="BDC27" s="29"/>
      <c r="BDD27" s="29"/>
      <c r="BDE27" s="28"/>
      <c r="BDF27" s="29"/>
      <c r="BDG27" s="29"/>
      <c r="BDH27" s="29"/>
      <c r="BDI27" s="29"/>
      <c r="BDJ27" s="29"/>
      <c r="BDK27" s="28"/>
      <c r="BDL27" s="29"/>
      <c r="BDM27" s="29"/>
      <c r="BDN27" s="28"/>
      <c r="BDO27" s="29"/>
      <c r="BDP27" s="30"/>
      <c r="BDQ27" s="28"/>
      <c r="BDR27" s="29"/>
      <c r="BDS27" s="29"/>
      <c r="BDT27" s="29"/>
      <c r="BDU27" s="28"/>
      <c r="BDV27" s="29"/>
      <c r="BDW27" s="29"/>
      <c r="BDX27" s="28"/>
      <c r="BDY27" s="29"/>
      <c r="BDZ27" s="30"/>
      <c r="BEA27" s="28"/>
      <c r="BEB27" s="29"/>
      <c r="BEC27" s="29"/>
      <c r="BED27" s="29"/>
      <c r="BEE27" s="28"/>
      <c r="BEF27" s="29"/>
      <c r="BEG27" s="29"/>
      <c r="BEH27" s="29"/>
      <c r="BEI27" s="29"/>
      <c r="BEJ27" s="29"/>
      <c r="BEK27" s="28"/>
      <c r="BEL27" s="29"/>
      <c r="BEM27" s="29"/>
      <c r="BEN27" s="28"/>
      <c r="BEO27" s="29"/>
      <c r="BEP27" s="30"/>
      <c r="BEQ27" s="28"/>
      <c r="BER27" s="29"/>
      <c r="BES27" s="29"/>
      <c r="BET27" s="29"/>
      <c r="BEU27" s="28"/>
      <c r="BEV27" s="29"/>
      <c r="BEW27" s="29"/>
      <c r="BEX27" s="28"/>
      <c r="BEY27" s="29"/>
      <c r="BEZ27" s="30"/>
      <c r="BFA27" s="28"/>
      <c r="BFB27" s="29"/>
      <c r="BFC27" s="29"/>
      <c r="BFD27" s="29"/>
      <c r="BFE27" s="28"/>
      <c r="BFF27" s="29"/>
      <c r="BFG27" s="29"/>
      <c r="BFH27" s="29"/>
      <c r="BFI27" s="29"/>
      <c r="BFJ27" s="29"/>
      <c r="BFK27" s="28"/>
      <c r="BFL27" s="29"/>
      <c r="BFM27" s="29"/>
      <c r="BFN27" s="28"/>
      <c r="BFO27" s="29"/>
      <c r="BFP27" s="30"/>
      <c r="BFQ27" s="28"/>
      <c r="BFR27" s="29"/>
      <c r="BFS27" s="29"/>
      <c r="BFT27" s="29"/>
      <c r="BFU27" s="28"/>
      <c r="BFV27" s="29"/>
      <c r="BFW27" s="29"/>
      <c r="BFX27" s="28"/>
      <c r="BFY27" s="29"/>
      <c r="BFZ27" s="30"/>
      <c r="BGA27" s="28"/>
      <c r="BGB27" s="29"/>
      <c r="BGC27" s="29"/>
      <c r="BGD27" s="29"/>
      <c r="BGE27" s="28"/>
      <c r="BGF27" s="29"/>
      <c r="BGG27" s="29"/>
      <c r="BGH27" s="29"/>
      <c r="BGI27" s="29"/>
      <c r="BGJ27" s="29"/>
      <c r="BGK27" s="28"/>
      <c r="BGL27" s="29"/>
      <c r="BGM27" s="29"/>
      <c r="BGN27" s="28"/>
      <c r="BGO27" s="29"/>
      <c r="BGP27" s="30"/>
      <c r="BGQ27" s="28"/>
      <c r="BGR27" s="29"/>
      <c r="BGS27" s="29"/>
      <c r="BGT27" s="29"/>
      <c r="BGU27" s="28"/>
      <c r="BGV27" s="29"/>
      <c r="BGW27" s="29"/>
      <c r="BGX27" s="28"/>
      <c r="BGY27" s="29"/>
      <c r="BGZ27" s="30"/>
      <c r="BHA27" s="28"/>
      <c r="BHB27" s="29"/>
      <c r="BHC27" s="29"/>
      <c r="BHD27" s="29"/>
      <c r="BHE27" s="28"/>
      <c r="BHF27" s="29"/>
      <c r="BHG27" s="29"/>
      <c r="BHH27" s="29"/>
      <c r="BHI27" s="29"/>
      <c r="BHJ27" s="29"/>
      <c r="BHK27" s="28"/>
      <c r="BHL27" s="29"/>
      <c r="BHM27" s="29"/>
      <c r="BHN27" s="28"/>
      <c r="BHO27" s="29"/>
      <c r="BHP27" s="30"/>
      <c r="BHQ27" s="28"/>
      <c r="BHR27" s="29"/>
      <c r="BHS27" s="29"/>
      <c r="BHT27" s="29"/>
      <c r="BHU27" s="28"/>
      <c r="BHV27" s="29"/>
      <c r="BHW27" s="29"/>
      <c r="BHX27" s="28"/>
      <c r="BHY27" s="29"/>
      <c r="BHZ27" s="30"/>
      <c r="BIA27" s="28"/>
      <c r="BIB27" s="29"/>
      <c r="BIC27" s="29"/>
      <c r="BID27" s="29"/>
      <c r="BIE27" s="28"/>
      <c r="BIF27" s="29"/>
      <c r="BIG27" s="29"/>
      <c r="BIH27" s="29"/>
      <c r="BII27" s="29"/>
      <c r="BIJ27" s="29"/>
      <c r="BIK27" s="28"/>
      <c r="BIL27" s="29"/>
      <c r="BIM27" s="29"/>
      <c r="BIN27" s="28"/>
      <c r="BIO27" s="29"/>
      <c r="BIP27" s="30"/>
      <c r="BIQ27" s="28"/>
      <c r="BIR27" s="29"/>
      <c r="BIS27" s="29"/>
      <c r="BIT27" s="29"/>
      <c r="BIU27" s="28"/>
      <c r="BIV27" s="29"/>
      <c r="BIW27" s="29"/>
      <c r="BIX27" s="28"/>
      <c r="BIY27" s="29"/>
      <c r="BIZ27" s="30"/>
      <c r="BJA27" s="28"/>
      <c r="BJB27" s="29"/>
      <c r="BJC27" s="29"/>
      <c r="BJD27" s="29"/>
      <c r="BJE27" s="28"/>
      <c r="BJF27" s="29"/>
      <c r="BJG27" s="29"/>
      <c r="BJH27" s="29"/>
      <c r="BJI27" s="29"/>
      <c r="BJJ27" s="29"/>
      <c r="BJK27" s="28"/>
      <c r="BJL27" s="29"/>
      <c r="BJM27" s="29"/>
      <c r="BJN27" s="28"/>
      <c r="BJO27" s="29"/>
      <c r="BJP27" s="30"/>
      <c r="BJQ27" s="28"/>
      <c r="BJR27" s="29"/>
      <c r="BJS27" s="29"/>
      <c r="BJT27" s="29"/>
      <c r="BJU27" s="28"/>
      <c r="BJV27" s="29"/>
      <c r="BJW27" s="29"/>
      <c r="BJX27" s="28"/>
      <c r="BJY27" s="29"/>
      <c r="BJZ27" s="30"/>
      <c r="BKA27" s="28"/>
      <c r="BKB27" s="29"/>
      <c r="BKC27" s="29"/>
      <c r="BKD27" s="29"/>
      <c r="BKE27" s="28"/>
      <c r="BKF27" s="29"/>
      <c r="BKG27" s="29"/>
      <c r="BKH27" s="29"/>
      <c r="BKI27" s="29"/>
      <c r="BKJ27" s="29"/>
      <c r="BKK27" s="28"/>
      <c r="BKL27" s="29"/>
      <c r="BKM27" s="29"/>
      <c r="BKN27" s="28"/>
      <c r="BKO27" s="29"/>
      <c r="BKP27" s="30"/>
      <c r="BKQ27" s="28"/>
      <c r="BKR27" s="29"/>
      <c r="BKS27" s="29"/>
      <c r="BKT27" s="29"/>
      <c r="BKU27" s="28"/>
      <c r="BKV27" s="29"/>
      <c r="BKW27" s="29"/>
      <c r="BKX27" s="28"/>
      <c r="BKY27" s="29"/>
      <c r="BKZ27" s="30"/>
      <c r="BLA27" s="28"/>
      <c r="BLB27" s="29"/>
      <c r="BLC27" s="29"/>
      <c r="BLD27" s="29"/>
      <c r="BLE27" s="28"/>
      <c r="BLF27" s="29"/>
      <c r="BLG27" s="29"/>
      <c r="BLH27" s="29"/>
      <c r="BLI27" s="29"/>
      <c r="BLJ27" s="29"/>
      <c r="BLK27" s="28"/>
      <c r="BLL27" s="29"/>
      <c r="BLM27" s="29"/>
      <c r="BLN27" s="28"/>
      <c r="BLO27" s="29"/>
      <c r="BLP27" s="30"/>
      <c r="BLQ27" s="28"/>
      <c r="BLR27" s="29"/>
      <c r="BLS27" s="29"/>
      <c r="BLT27" s="29"/>
      <c r="BLU27" s="28"/>
      <c r="BLV27" s="29"/>
      <c r="BLW27" s="29"/>
      <c r="BLX27" s="28"/>
      <c r="BLY27" s="29"/>
      <c r="BLZ27" s="30"/>
      <c r="BMA27" s="28"/>
      <c r="BMB27" s="29"/>
      <c r="BMC27" s="29"/>
      <c r="BMD27" s="29"/>
      <c r="BME27" s="28"/>
      <c r="BMF27" s="29"/>
      <c r="BMG27" s="29"/>
      <c r="BMH27" s="29"/>
      <c r="BMI27" s="29"/>
      <c r="BMJ27" s="29"/>
      <c r="BMK27" s="28"/>
      <c r="BML27" s="29"/>
      <c r="BMM27" s="29"/>
      <c r="BMN27" s="28"/>
      <c r="BMO27" s="29"/>
      <c r="BMP27" s="30"/>
      <c r="BMQ27" s="28"/>
      <c r="BMR27" s="29"/>
      <c r="BMS27" s="29"/>
      <c r="BMT27" s="29"/>
      <c r="BMU27" s="28"/>
      <c r="BMV27" s="29"/>
      <c r="BMW27" s="29"/>
      <c r="BMX27" s="28"/>
      <c r="BMY27" s="29"/>
      <c r="BMZ27" s="30"/>
      <c r="BNA27" s="28"/>
      <c r="BNB27" s="29"/>
      <c r="BNC27" s="29"/>
      <c r="BND27" s="29"/>
      <c r="BNE27" s="28"/>
      <c r="BNF27" s="29"/>
      <c r="BNG27" s="29"/>
      <c r="BNH27" s="29"/>
      <c r="BNI27" s="29"/>
      <c r="BNJ27" s="29"/>
      <c r="BNK27" s="28"/>
      <c r="BNL27" s="29"/>
      <c r="BNM27" s="29"/>
      <c r="BNN27" s="28"/>
      <c r="BNO27" s="29"/>
      <c r="BNP27" s="30"/>
      <c r="BNQ27" s="28"/>
      <c r="BNR27" s="29"/>
      <c r="BNS27" s="29"/>
      <c r="BNT27" s="29"/>
      <c r="BNU27" s="28"/>
      <c r="BNV27" s="29"/>
      <c r="BNW27" s="29"/>
      <c r="BNX27" s="28"/>
      <c r="BNY27" s="29"/>
      <c r="BNZ27" s="30"/>
      <c r="BOA27" s="28"/>
      <c r="BOB27" s="29"/>
      <c r="BOC27" s="29"/>
      <c r="BOD27" s="29"/>
      <c r="BOE27" s="28"/>
      <c r="BOF27" s="29"/>
      <c r="BOG27" s="29"/>
      <c r="BOH27" s="29"/>
      <c r="BOI27" s="29"/>
      <c r="BOJ27" s="29"/>
      <c r="BOK27" s="28"/>
      <c r="BOL27" s="29"/>
      <c r="BOM27" s="29"/>
      <c r="BON27" s="28"/>
      <c r="BOO27" s="29"/>
      <c r="BOP27" s="30"/>
      <c r="BOQ27" s="28"/>
      <c r="BOR27" s="29"/>
      <c r="BOS27" s="29"/>
      <c r="BOT27" s="29"/>
      <c r="BOU27" s="28"/>
      <c r="BOV27" s="29"/>
      <c r="BOW27" s="29"/>
      <c r="BOX27" s="28"/>
      <c r="BOY27" s="29"/>
      <c r="BOZ27" s="30"/>
      <c r="BPA27" s="28"/>
      <c r="BPB27" s="29"/>
      <c r="BPC27" s="29"/>
      <c r="BPD27" s="29"/>
      <c r="BPE27" s="28"/>
      <c r="BPF27" s="29"/>
      <c r="BPG27" s="29"/>
      <c r="BPH27" s="29"/>
      <c r="BPI27" s="29"/>
      <c r="BPJ27" s="29"/>
      <c r="BPK27" s="28"/>
      <c r="BPL27" s="29"/>
      <c r="BPM27" s="29"/>
      <c r="BPN27" s="28"/>
      <c r="BPO27" s="29"/>
      <c r="BPP27" s="30"/>
      <c r="BPQ27" s="28"/>
      <c r="BPR27" s="29"/>
      <c r="BPS27" s="29"/>
      <c r="BPT27" s="29"/>
      <c r="BPU27" s="28"/>
      <c r="BPV27" s="29"/>
      <c r="BPW27" s="29"/>
      <c r="BPX27" s="28"/>
      <c r="BPY27" s="29"/>
      <c r="BPZ27" s="30"/>
      <c r="BQA27" s="28"/>
      <c r="BQB27" s="29"/>
      <c r="BQC27" s="29"/>
      <c r="BQD27" s="29"/>
      <c r="BQE27" s="28"/>
      <c r="BQF27" s="29"/>
      <c r="BQG27" s="29"/>
      <c r="BQH27" s="29"/>
      <c r="BQI27" s="29"/>
      <c r="BQJ27" s="29"/>
      <c r="BQK27" s="28"/>
      <c r="BQL27" s="29"/>
      <c r="BQM27" s="29"/>
      <c r="BQN27" s="28"/>
      <c r="BQO27" s="29"/>
      <c r="BQP27" s="30"/>
      <c r="BQQ27" s="28"/>
      <c r="BQR27" s="29"/>
      <c r="BQS27" s="29"/>
      <c r="BQT27" s="29"/>
      <c r="BQU27" s="28"/>
      <c r="BQV27" s="29"/>
      <c r="BQW27" s="29"/>
      <c r="BQX27" s="28"/>
      <c r="BQY27" s="29"/>
      <c r="BQZ27" s="30"/>
      <c r="BRA27" s="28"/>
      <c r="BRB27" s="29"/>
      <c r="BRC27" s="29"/>
      <c r="BRD27" s="29"/>
      <c r="BRE27" s="28"/>
      <c r="BRF27" s="29"/>
      <c r="BRG27" s="29"/>
      <c r="BRH27" s="29"/>
      <c r="BRI27" s="29"/>
      <c r="BRJ27" s="29"/>
      <c r="BRK27" s="28"/>
      <c r="BRL27" s="29"/>
      <c r="BRM27" s="29"/>
      <c r="BRN27" s="28"/>
      <c r="BRO27" s="29"/>
      <c r="BRP27" s="30"/>
      <c r="BRQ27" s="28"/>
      <c r="BRR27" s="29"/>
      <c r="BRS27" s="29"/>
      <c r="BRT27" s="29"/>
      <c r="BRU27" s="28"/>
      <c r="BRV27" s="29"/>
      <c r="BRW27" s="29"/>
      <c r="BRX27" s="28"/>
      <c r="BRY27" s="29"/>
      <c r="BRZ27" s="30"/>
      <c r="BSA27" s="28"/>
      <c r="BSB27" s="29"/>
      <c r="BSC27" s="29"/>
      <c r="BSD27" s="29"/>
      <c r="BSE27" s="28"/>
      <c r="BSF27" s="29"/>
      <c r="BSG27" s="29"/>
      <c r="BSH27" s="29"/>
      <c r="BSI27" s="29"/>
      <c r="BSJ27" s="29"/>
      <c r="BSK27" s="28"/>
      <c r="BSL27" s="29"/>
      <c r="BSM27" s="29"/>
      <c r="BSN27" s="28"/>
      <c r="BSO27" s="29"/>
      <c r="BSP27" s="30"/>
      <c r="BSQ27" s="28"/>
      <c r="BSR27" s="29"/>
      <c r="BSS27" s="29"/>
      <c r="BST27" s="29"/>
      <c r="BSU27" s="28"/>
      <c r="BSV27" s="29"/>
      <c r="BSW27" s="29"/>
      <c r="BSX27" s="28"/>
      <c r="BSY27" s="29"/>
      <c r="BSZ27" s="30"/>
      <c r="BTA27" s="28"/>
      <c r="BTB27" s="29"/>
      <c r="BTC27" s="29"/>
      <c r="BTD27" s="29"/>
      <c r="BTE27" s="28"/>
      <c r="BTF27" s="29"/>
      <c r="BTG27" s="29"/>
      <c r="BTH27" s="29"/>
      <c r="BTI27" s="29"/>
      <c r="BTJ27" s="29"/>
      <c r="BTK27" s="28"/>
      <c r="BTL27" s="29"/>
      <c r="BTM27" s="29"/>
      <c r="BTN27" s="28"/>
      <c r="BTO27" s="29"/>
      <c r="BTP27" s="30"/>
      <c r="BTQ27" s="28"/>
      <c r="BTR27" s="29"/>
      <c r="BTS27" s="29"/>
      <c r="BTT27" s="29"/>
      <c r="BTU27" s="28"/>
      <c r="BTV27" s="29"/>
      <c r="BTW27" s="29"/>
      <c r="BTX27" s="28"/>
      <c r="BTY27" s="29"/>
      <c r="BTZ27" s="30"/>
      <c r="BUA27" s="28"/>
      <c r="BUB27" s="29"/>
      <c r="BUC27" s="29"/>
      <c r="BUD27" s="29"/>
      <c r="BUE27" s="28"/>
      <c r="BUF27" s="29"/>
      <c r="BUG27" s="29"/>
      <c r="BUH27" s="29"/>
      <c r="BUI27" s="29"/>
      <c r="BUJ27" s="29"/>
      <c r="BUK27" s="28"/>
      <c r="BUL27" s="29"/>
      <c r="BUM27" s="29"/>
      <c r="BUN27" s="28"/>
      <c r="BUO27" s="29"/>
      <c r="BUP27" s="30"/>
      <c r="BUQ27" s="28"/>
      <c r="BUR27" s="29"/>
      <c r="BUS27" s="29"/>
      <c r="BUT27" s="29"/>
      <c r="BUU27" s="28"/>
      <c r="BUV27" s="29"/>
      <c r="BUW27" s="29"/>
      <c r="BUX27" s="28"/>
      <c r="BUY27" s="29"/>
      <c r="BUZ27" s="30"/>
      <c r="BVA27" s="28"/>
      <c r="BVB27" s="29"/>
      <c r="BVC27" s="29"/>
      <c r="BVD27" s="29"/>
      <c r="BVE27" s="28"/>
      <c r="BVF27" s="29"/>
      <c r="BVG27" s="29"/>
      <c r="BVH27" s="29"/>
      <c r="BVI27" s="29"/>
      <c r="BVJ27" s="29"/>
      <c r="BVK27" s="28"/>
      <c r="BVL27" s="29"/>
      <c r="BVM27" s="29"/>
      <c r="BVN27" s="28"/>
      <c r="BVO27" s="29"/>
      <c r="BVP27" s="30"/>
      <c r="BVQ27" s="28"/>
      <c r="BVR27" s="29"/>
      <c r="BVS27" s="29"/>
      <c r="BVT27" s="29"/>
      <c r="BVU27" s="28"/>
      <c r="BVV27" s="29"/>
      <c r="BVW27" s="29"/>
      <c r="BVX27" s="28"/>
      <c r="BVY27" s="29"/>
      <c r="BVZ27" s="30"/>
      <c r="BWA27" s="28"/>
      <c r="BWB27" s="29"/>
      <c r="BWC27" s="29"/>
      <c r="BWD27" s="29"/>
      <c r="BWE27" s="28"/>
      <c r="BWF27" s="29"/>
      <c r="BWG27" s="29"/>
      <c r="BWH27" s="29"/>
      <c r="BWI27" s="29"/>
      <c r="BWJ27" s="29"/>
      <c r="BWK27" s="28"/>
      <c r="BWL27" s="29"/>
      <c r="BWM27" s="29"/>
      <c r="BWN27" s="28"/>
      <c r="BWO27" s="29"/>
      <c r="BWP27" s="30"/>
      <c r="BWQ27" s="28"/>
      <c r="BWR27" s="29"/>
      <c r="BWS27" s="29"/>
      <c r="BWT27" s="29"/>
      <c r="BWU27" s="28"/>
      <c r="BWV27" s="29"/>
      <c r="BWW27" s="29"/>
      <c r="BWX27" s="28"/>
      <c r="BWY27" s="29"/>
      <c r="BWZ27" s="30"/>
      <c r="BXA27" s="28"/>
      <c r="BXB27" s="29"/>
      <c r="BXC27" s="29"/>
      <c r="BXD27" s="29"/>
      <c r="BXE27" s="28"/>
      <c r="BXF27" s="29"/>
      <c r="BXG27" s="29"/>
      <c r="BXH27" s="29"/>
      <c r="BXI27" s="29"/>
      <c r="BXJ27" s="29"/>
      <c r="BXK27" s="28"/>
      <c r="BXL27" s="29"/>
      <c r="BXM27" s="29"/>
      <c r="BXN27" s="28"/>
      <c r="BXO27" s="29"/>
      <c r="BXP27" s="30"/>
      <c r="BXQ27" s="28"/>
      <c r="BXR27" s="29"/>
      <c r="BXS27" s="29"/>
      <c r="BXT27" s="29"/>
      <c r="BXU27" s="28"/>
      <c r="BXV27" s="29"/>
      <c r="BXW27" s="29"/>
      <c r="BXX27" s="28"/>
      <c r="BXY27" s="29"/>
      <c r="BXZ27" s="30"/>
      <c r="BYA27" s="28"/>
      <c r="BYB27" s="29"/>
      <c r="BYC27" s="29"/>
      <c r="BYD27" s="29"/>
      <c r="BYE27" s="28"/>
      <c r="BYF27" s="29"/>
      <c r="BYG27" s="29"/>
      <c r="BYH27" s="29"/>
      <c r="BYI27" s="29"/>
      <c r="BYJ27" s="29"/>
      <c r="BYK27" s="28"/>
      <c r="BYL27" s="29"/>
      <c r="BYM27" s="29"/>
      <c r="BYN27" s="28"/>
      <c r="BYO27" s="29"/>
      <c r="BYP27" s="30"/>
      <c r="BYQ27" s="28"/>
      <c r="BYR27" s="29"/>
      <c r="BYS27" s="29"/>
      <c r="BYT27" s="29"/>
      <c r="BYU27" s="28"/>
      <c r="BYV27" s="29"/>
      <c r="BYW27" s="29"/>
      <c r="BYX27" s="30"/>
      <c r="BYY27" s="29"/>
      <c r="BYZ27" s="28"/>
      <c r="BZA27" s="29"/>
      <c r="BZB27" s="28"/>
      <c r="BZC27" s="28"/>
      <c r="BZD27" s="28"/>
      <c r="BZE27" s="29"/>
      <c r="BZF27" s="385"/>
      <c r="BZG27" s="29"/>
      <c r="BZH27" s="385"/>
      <c r="BZI27" s="29"/>
      <c r="BZJ27" s="385"/>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30"/>
      <c r="CAQ27" s="28"/>
      <c r="CAR27" s="29"/>
      <c r="CAS27" s="30"/>
      <c r="CAT27" s="29"/>
      <c r="CAU27" s="29"/>
      <c r="CAV27" s="29"/>
      <c r="CAW27" s="28"/>
      <c r="CAX27" s="29"/>
      <c r="CAY27" s="29"/>
      <c r="CAZ27" s="28"/>
      <c r="CBA27" s="29"/>
      <c r="CBB27" s="30"/>
      <c r="CBC27" s="28"/>
      <c r="CBD27" s="29"/>
      <c r="CBE27" s="30"/>
      <c r="CBF27" s="29"/>
      <c r="CBG27" s="28"/>
      <c r="CBH27" s="29"/>
      <c r="CBI27" s="29"/>
      <c r="CBJ27" s="28"/>
      <c r="CBK27" s="29"/>
      <c r="CBL27" s="30"/>
      <c r="CBM27" s="28"/>
      <c r="CBN27" s="29"/>
      <c r="CBO27" s="30"/>
      <c r="CBP27" s="29"/>
      <c r="CBQ27" s="28"/>
      <c r="CBR27" s="29"/>
      <c r="CBS27" s="29"/>
      <c r="CBT27" s="28"/>
      <c r="CBU27" s="29"/>
      <c r="CBV27" s="30"/>
      <c r="CBW27" s="28"/>
      <c r="CBX27" s="29"/>
      <c r="CBY27" s="30"/>
      <c r="CBZ27" s="29"/>
      <c r="CCA27" s="28"/>
      <c r="CCB27" s="29"/>
      <c r="CCC27" s="29"/>
      <c r="CCD27" s="28"/>
      <c r="CCE27" s="29"/>
      <c r="CCF27" s="30"/>
      <c r="CCG27" s="28"/>
      <c r="CCH27" s="30"/>
      <c r="CCI27" s="29"/>
      <c r="CCJ27" s="28"/>
      <c r="CCK27" s="29"/>
      <c r="CCL27" s="28"/>
      <c r="CCM27" s="28"/>
      <c r="CCN27" s="28"/>
      <c r="CCO27" s="29"/>
      <c r="CCP27" s="385"/>
      <c r="CCQ27" s="29"/>
      <c r="CCR27" s="385"/>
      <c r="CCS27" s="29"/>
      <c r="CCT27" s="385"/>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30"/>
      <c r="CEA27" s="28"/>
      <c r="CEB27" s="29"/>
      <c r="CEC27" s="30"/>
      <c r="CED27" s="29"/>
      <c r="CEE27" s="29"/>
      <c r="CEF27" s="29"/>
      <c r="CEG27" s="28"/>
      <c r="CEH27" s="29"/>
      <c r="CEI27" s="29"/>
      <c r="CEJ27" s="28"/>
      <c r="CEK27" s="29"/>
      <c r="CEL27" s="30"/>
      <c r="CEM27" s="28"/>
      <c r="CEN27" s="29"/>
      <c r="CEO27" s="30"/>
      <c r="CEP27" s="29"/>
      <c r="CEQ27" s="28"/>
      <c r="CER27" s="29"/>
      <c r="CES27" s="29"/>
      <c r="CET27" s="28"/>
      <c r="CEU27" s="29"/>
      <c r="CEV27" s="30"/>
      <c r="CEW27" s="28"/>
      <c r="CEX27" s="29"/>
      <c r="CEY27" s="30"/>
      <c r="CEZ27" s="29"/>
      <c r="CFA27" s="28"/>
      <c r="CFB27" s="29"/>
      <c r="CFC27" s="29"/>
      <c r="CFD27" s="28"/>
      <c r="CFE27" s="29"/>
      <c r="CFF27" s="30"/>
      <c r="CFG27" s="28"/>
      <c r="CFH27" s="29"/>
      <c r="CFI27" s="30"/>
      <c r="CFJ27" s="29"/>
      <c r="CFK27" s="28"/>
      <c r="CFL27" s="29"/>
      <c r="CFM27" s="29"/>
      <c r="CFN27" s="28"/>
      <c r="CFO27" s="29"/>
      <c r="CFP27" s="30"/>
      <c r="CFQ27" s="28"/>
      <c r="CFR27" s="30"/>
      <c r="CFS27" s="29"/>
      <c r="CFT27" s="28"/>
      <c r="CFU27" s="29"/>
      <c r="CFV27" s="28"/>
      <c r="CFW27" s="28"/>
      <c r="CFX27" s="28"/>
      <c r="CFY27" s="29"/>
      <c r="CFZ27" s="385"/>
      <c r="CGA27" s="29"/>
      <c r="CGB27" s="385"/>
      <c r="CGC27" s="29"/>
      <c r="CGD27" s="385"/>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30"/>
      <c r="CHK27" s="28"/>
      <c r="CHL27" s="29"/>
      <c r="CHM27" s="30"/>
      <c r="CHN27" s="29"/>
      <c r="CHO27" s="29"/>
      <c r="CHP27" s="29"/>
      <c r="CHQ27" s="28"/>
      <c r="CHR27" s="29"/>
      <c r="CHS27" s="29"/>
      <c r="CHT27" s="28"/>
      <c r="CHU27" s="29"/>
      <c r="CHV27" s="30"/>
      <c r="CHW27" s="28"/>
      <c r="CHX27" s="29"/>
      <c r="CHY27" s="30"/>
      <c r="CHZ27" s="29"/>
      <c r="CIA27" s="28"/>
      <c r="CIB27" s="29"/>
      <c r="CIC27" s="29"/>
      <c r="CID27" s="28"/>
      <c r="CIE27" s="29"/>
      <c r="CIF27" s="30"/>
      <c r="CIG27" s="28"/>
      <c r="CIH27" s="29"/>
      <c r="CII27" s="30"/>
      <c r="CIJ27" s="29"/>
      <c r="CIK27" s="28"/>
      <c r="CIL27" s="29"/>
      <c r="CIM27" s="29"/>
      <c r="CIN27" s="28"/>
      <c r="CIO27" s="29"/>
      <c r="CIP27" s="30"/>
      <c r="CIQ27" s="28"/>
      <c r="CIR27" s="29"/>
      <c r="CIS27" s="30"/>
      <c r="CIT27" s="29"/>
      <c r="CIU27" s="28"/>
      <c r="CIV27" s="29"/>
      <c r="CIW27" s="29"/>
      <c r="CIX27" s="28"/>
      <c r="CIY27" s="29"/>
      <c r="CIZ27" s="30"/>
      <c r="CJA27" s="28"/>
      <c r="CJB27" s="30"/>
      <c r="CJC27" s="29"/>
      <c r="CJD27" s="28"/>
      <c r="CJE27" s="29"/>
      <c r="CJF27" s="28"/>
      <c r="CJG27" s="28"/>
      <c r="CJH27" s="28"/>
      <c r="CJI27" s="29"/>
      <c r="CJJ27" s="385"/>
      <c r="CJK27" s="29"/>
      <c r="CJL27" s="385"/>
      <c r="CJM27" s="29"/>
      <c r="CJN27" s="385"/>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30"/>
      <c r="CKU27" s="28"/>
      <c r="CKV27" s="29"/>
      <c r="CKW27" s="30"/>
      <c r="CKX27" s="29"/>
      <c r="CKY27" s="29"/>
      <c r="CKZ27" s="29"/>
      <c r="CLA27" s="28"/>
      <c r="CLB27" s="29"/>
      <c r="CLC27" s="29"/>
      <c r="CLD27" s="28"/>
      <c r="CLE27" s="29"/>
      <c r="CLF27" s="30"/>
      <c r="CLG27" s="28"/>
      <c r="CLH27" s="29"/>
      <c r="CLI27" s="30"/>
      <c r="CLJ27" s="29"/>
      <c r="CLK27" s="28"/>
      <c r="CLL27" s="29"/>
      <c r="CLM27" s="29"/>
      <c r="CLN27" s="28"/>
      <c r="CLO27" s="29"/>
      <c r="CLP27" s="30"/>
      <c r="CLQ27" s="28"/>
      <c r="CLR27" s="29"/>
      <c r="CLS27" s="30"/>
      <c r="CLT27" s="29"/>
      <c r="CLU27" s="28"/>
      <c r="CLV27" s="29"/>
      <c r="CLW27" s="29"/>
      <c r="CLX27" s="28"/>
      <c r="CLY27" s="29"/>
      <c r="CLZ27" s="30"/>
      <c r="CMA27" s="28"/>
      <c r="CMB27" s="29"/>
      <c r="CMC27" s="30"/>
      <c r="CMD27" s="29"/>
      <c r="CME27" s="28"/>
      <c r="CMF27" s="29"/>
      <c r="CMG27" s="29"/>
      <c r="CMH27" s="28"/>
      <c r="CMI27" s="29"/>
      <c r="CMJ27" s="30"/>
      <c r="CMK27" s="28"/>
      <c r="CML27" s="30"/>
      <c r="CMM27" s="29"/>
      <c r="CMN27" s="28"/>
      <c r="CMO27" s="29"/>
      <c r="CMP27" s="28"/>
      <c r="CMQ27" s="28"/>
      <c r="CMR27" s="28"/>
      <c r="CMS27" s="29"/>
      <c r="CMT27" s="385"/>
      <c r="CMU27" s="29"/>
      <c r="CMV27" s="385"/>
      <c r="CMW27" s="29"/>
      <c r="CMX27" s="385"/>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30"/>
      <c r="COE27" s="28"/>
      <c r="COF27" s="29"/>
      <c r="COG27" s="30"/>
      <c r="COH27" s="29"/>
      <c r="COI27" s="29"/>
      <c r="COJ27" s="29"/>
      <c r="COK27" s="28"/>
      <c r="COL27" s="29"/>
      <c r="COM27" s="29"/>
      <c r="CON27" s="28"/>
      <c r="COO27" s="29"/>
      <c r="COP27" s="30"/>
      <c r="COQ27" s="28"/>
      <c r="COR27" s="29"/>
      <c r="COS27" s="30"/>
      <c r="COT27" s="29"/>
      <c r="COU27" s="28"/>
      <c r="COV27" s="29"/>
      <c r="COW27" s="29"/>
      <c r="COX27" s="28"/>
      <c r="COY27" s="29"/>
      <c r="COZ27" s="30"/>
      <c r="CPA27" s="28"/>
      <c r="CPB27" s="29"/>
      <c r="CPC27" s="30"/>
      <c r="CPD27" s="29"/>
      <c r="CPE27" s="28"/>
      <c r="CPF27" s="29"/>
      <c r="CPG27" s="29"/>
      <c r="CPH27" s="28"/>
      <c r="CPI27" s="29"/>
      <c r="CPJ27" s="30"/>
      <c r="CPK27" s="28"/>
      <c r="CPL27" s="29"/>
      <c r="CPM27" s="30"/>
      <c r="CPN27" s="29"/>
      <c r="CPO27" s="28"/>
      <c r="CPP27" s="29"/>
      <c r="CPQ27" s="29"/>
      <c r="CPR27" s="28"/>
      <c r="CPS27" s="29"/>
      <c r="CPT27" s="30"/>
      <c r="CPU27" s="28"/>
      <c r="CPV27" s="30"/>
      <c r="CPW27" s="29"/>
      <c r="CPX27" s="28"/>
      <c r="CPY27" s="29"/>
      <c r="CPZ27" s="28"/>
      <c r="CQA27" s="28"/>
      <c r="CQB27" s="28"/>
      <c r="CQC27" s="29"/>
      <c r="CQD27" s="385"/>
      <c r="CQE27" s="29"/>
      <c r="CQF27" s="385"/>
      <c r="CQG27" s="29"/>
      <c r="CQH27" s="385"/>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30"/>
      <c r="CRO27" s="28"/>
      <c r="CRP27" s="29"/>
      <c r="CRQ27" s="30"/>
      <c r="CRR27" s="29"/>
      <c r="CRS27" s="29"/>
      <c r="CRT27" s="29"/>
      <c r="CRU27" s="28"/>
      <c r="CRV27" s="29"/>
      <c r="CRW27" s="29"/>
      <c r="CRX27" s="28"/>
      <c r="CRY27" s="29"/>
      <c r="CRZ27" s="30"/>
      <c r="CSA27" s="28"/>
      <c r="CSB27" s="29"/>
      <c r="CSC27" s="30"/>
      <c r="CSD27" s="29"/>
      <c r="CSE27" s="28"/>
      <c r="CSF27" s="29"/>
      <c r="CSG27" s="29"/>
      <c r="CSH27" s="28"/>
      <c r="CSI27" s="29"/>
      <c r="CSJ27" s="30"/>
      <c r="CSK27" s="28"/>
      <c r="CSL27" s="29"/>
      <c r="CSM27" s="30"/>
      <c r="CSN27" s="29"/>
      <c r="CSO27" s="28"/>
      <c r="CSP27" s="29"/>
      <c r="CSQ27" s="29"/>
      <c r="CSR27" s="28"/>
      <c r="CSS27" s="29"/>
      <c r="CST27" s="30"/>
      <c r="CSU27" s="28"/>
      <c r="CSV27" s="29"/>
      <c r="CSW27" s="30"/>
      <c r="CSX27" s="29"/>
      <c r="CSY27" s="28"/>
      <c r="CSZ27" s="29"/>
      <c r="CTA27" s="29"/>
      <c r="CTB27" s="28"/>
      <c r="CTC27" s="29"/>
      <c r="CTD27" s="30"/>
      <c r="CTE27" s="28"/>
      <c r="CTF27" s="30"/>
      <c r="CTG27" s="29"/>
      <c r="CTH27" s="28"/>
      <c r="CTI27" s="29"/>
      <c r="CTJ27" s="28"/>
      <c r="CTK27" s="28"/>
      <c r="CTL27" s="28"/>
      <c r="CTM27" s="29"/>
      <c r="CTN27" s="385"/>
      <c r="CTO27" s="29"/>
      <c r="CTP27" s="385"/>
      <c r="CTQ27" s="29"/>
      <c r="CTR27" s="385"/>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30"/>
      <c r="CUY27" s="28"/>
      <c r="CUZ27" s="29"/>
      <c r="CVA27" s="30"/>
      <c r="CVB27" s="29"/>
      <c r="CVC27" s="29"/>
      <c r="CVD27" s="29"/>
      <c r="CVE27" s="28"/>
      <c r="CVF27" s="29"/>
      <c r="CVG27" s="29"/>
      <c r="CVH27" s="28"/>
      <c r="CVI27" s="29"/>
      <c r="CVJ27" s="30"/>
      <c r="CVK27" s="28"/>
      <c r="CVL27" s="29"/>
      <c r="CVM27" s="30"/>
      <c r="CVN27" s="29"/>
      <c r="CVO27" s="28"/>
      <c r="CVP27" s="29"/>
      <c r="CVQ27" s="29"/>
      <c r="CVR27" s="28"/>
      <c r="CVS27" s="29"/>
      <c r="CVT27" s="30"/>
      <c r="CVU27" s="28"/>
      <c r="CVV27" s="29"/>
      <c r="CVW27" s="30"/>
      <c r="CVX27" s="29"/>
      <c r="CVY27" s="28"/>
      <c r="CVZ27" s="29"/>
      <c r="CWA27" s="29"/>
      <c r="CWB27" s="28"/>
      <c r="CWC27" s="29"/>
      <c r="CWD27" s="30"/>
      <c r="CWE27" s="28"/>
      <c r="CWF27" s="29"/>
      <c r="CWG27" s="30"/>
      <c r="CWH27" s="29"/>
      <c r="CWI27" s="28"/>
      <c r="CWJ27" s="29"/>
      <c r="CWK27" s="29"/>
      <c r="CWL27" s="28"/>
      <c r="CWM27" s="29"/>
      <c r="CWN27" s="30"/>
      <c r="CWO27" s="28"/>
      <c r="CWP27" s="30"/>
      <c r="CWQ27" s="29"/>
      <c r="CWR27" s="28"/>
      <c r="CWS27" s="29"/>
      <c r="CWT27" s="28"/>
      <c r="CWU27" s="28"/>
      <c r="CWV27" s="28"/>
      <c r="CWW27" s="29"/>
      <c r="CWX27" s="385"/>
      <c r="CWY27" s="29"/>
      <c r="CWZ27" s="385"/>
      <c r="CXA27" s="29"/>
      <c r="CXB27" s="385"/>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30"/>
      <c r="CYI27" s="28"/>
      <c r="CYJ27" s="29"/>
      <c r="CYK27" s="30"/>
      <c r="CYL27" s="29"/>
      <c r="CYM27" s="29"/>
      <c r="CYN27" s="29"/>
      <c r="CYO27" s="28"/>
      <c r="CYP27" s="29"/>
      <c r="CYQ27" s="29"/>
      <c r="CYR27" s="28"/>
      <c r="CYS27" s="29"/>
      <c r="CYT27" s="30"/>
      <c r="CYU27" s="28"/>
      <c r="CYV27" s="29"/>
      <c r="CYW27" s="30"/>
      <c r="CYX27" s="29"/>
      <c r="CYY27" s="28"/>
      <c r="CYZ27" s="29"/>
      <c r="CZA27" s="29"/>
      <c r="CZB27" s="28"/>
      <c r="CZC27" s="29"/>
      <c r="CZD27" s="30"/>
      <c r="CZE27" s="28"/>
      <c r="CZF27" s="29"/>
      <c r="CZG27" s="30"/>
      <c r="CZH27" s="29"/>
      <c r="CZI27" s="28"/>
      <c r="CZJ27" s="29"/>
      <c r="CZK27" s="29"/>
      <c r="CZL27" s="28"/>
      <c r="CZM27" s="29"/>
      <c r="CZN27" s="30"/>
      <c r="CZO27" s="28"/>
      <c r="CZP27" s="29"/>
      <c r="CZQ27" s="30"/>
      <c r="CZR27" s="29"/>
      <c r="CZS27" s="28"/>
      <c r="CZT27" s="29"/>
      <c r="CZU27" s="29"/>
      <c r="CZV27" s="28"/>
      <c r="CZW27" s="29"/>
      <c r="CZX27" s="30"/>
      <c r="CZY27" s="28"/>
      <c r="CZZ27" s="30"/>
      <c r="DAA27" s="29"/>
      <c r="DAB27" s="28"/>
      <c r="DAC27" s="29"/>
      <c r="DAD27" s="28"/>
      <c r="DAE27" s="28"/>
      <c r="DAF27" s="28"/>
      <c r="DAG27" s="29"/>
      <c r="DAH27" s="385"/>
      <c r="DAI27" s="29"/>
      <c r="DAJ27" s="385"/>
      <c r="DAK27" s="29"/>
      <c r="DAL27" s="385"/>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30"/>
      <c r="DBS27" s="28"/>
      <c r="DBT27" s="29"/>
      <c r="DBU27" s="30"/>
      <c r="DBV27" s="29"/>
      <c r="DBW27" s="29"/>
      <c r="DBX27" s="29"/>
      <c r="DBY27" s="28"/>
      <c r="DBZ27" s="29"/>
      <c r="DCA27" s="29"/>
      <c r="DCB27" s="28"/>
      <c r="DCC27" s="29"/>
      <c r="DCD27" s="30"/>
      <c r="DCE27" s="28"/>
      <c r="DCF27" s="29"/>
      <c r="DCG27" s="30"/>
      <c r="DCH27" s="29"/>
      <c r="DCI27" s="28"/>
      <c r="DCJ27" s="29"/>
      <c r="DCK27" s="29"/>
      <c r="DCL27" s="28"/>
      <c r="DCM27" s="29"/>
      <c r="DCN27" s="30"/>
      <c r="DCO27" s="28"/>
      <c r="DCP27" s="29"/>
      <c r="DCQ27" s="30"/>
      <c r="DCR27" s="29"/>
      <c r="DCS27" s="28"/>
      <c r="DCT27" s="29"/>
      <c r="DCU27" s="29"/>
      <c r="DCV27" s="28"/>
      <c r="DCW27" s="29"/>
      <c r="DCX27" s="30"/>
      <c r="DCY27" s="28"/>
      <c r="DCZ27" s="29"/>
      <c r="DDA27" s="30"/>
      <c r="DDB27" s="29"/>
      <c r="DDC27" s="28"/>
      <c r="DDD27" s="29"/>
      <c r="DDE27" s="29"/>
      <c r="DDF27" s="28"/>
      <c r="DDG27" s="29"/>
      <c r="DDH27" s="30"/>
      <c r="DDI27" s="28"/>
      <c r="DDJ27" s="30"/>
      <c r="DDK27" s="29"/>
      <c r="DDL27" s="28"/>
      <c r="DDM27" s="29"/>
      <c r="DDN27" s="28"/>
      <c r="DDO27" s="28"/>
      <c r="DDP27" s="28"/>
      <c r="DDQ27" s="29"/>
      <c r="DDR27" s="385"/>
      <c r="DDS27" s="29"/>
      <c r="DDT27" s="385"/>
      <c r="DDU27" s="29"/>
      <c r="DDV27" s="385"/>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30"/>
      <c r="DFC27" s="28"/>
      <c r="DFD27" s="29"/>
      <c r="DFE27" s="30"/>
      <c r="DFF27" s="29"/>
      <c r="DFG27" s="29"/>
      <c r="DFH27" s="29"/>
      <c r="DFI27" s="28"/>
      <c r="DFJ27" s="29"/>
      <c r="DFK27" s="29"/>
      <c r="DFL27" s="28"/>
      <c r="DFM27" s="29"/>
      <c r="DFN27" s="30"/>
      <c r="DFO27" s="28"/>
      <c r="DFP27" s="29"/>
      <c r="DFQ27" s="30"/>
      <c r="DFR27" s="29"/>
      <c r="DFS27" s="28"/>
      <c r="DFT27" s="29"/>
      <c r="DFU27" s="29"/>
      <c r="DFV27" s="28"/>
      <c r="DFW27" s="29"/>
      <c r="DFX27" s="30"/>
      <c r="DFY27" s="28"/>
      <c r="DFZ27" s="29"/>
      <c r="DGA27" s="30"/>
      <c r="DGB27" s="29"/>
      <c r="DGC27" s="28"/>
      <c r="DGD27" s="29"/>
      <c r="DGE27" s="29"/>
      <c r="DGF27" s="28"/>
      <c r="DGG27" s="29"/>
      <c r="DGH27" s="30"/>
      <c r="DGI27" s="28"/>
      <c r="DGJ27" s="29"/>
      <c r="DGK27" s="30"/>
      <c r="DGL27" s="29"/>
      <c r="DGM27" s="28"/>
      <c r="DGN27" s="29"/>
      <c r="DGO27" s="29"/>
      <c r="DGP27" s="28"/>
      <c r="DGQ27" s="29"/>
      <c r="DGR27" s="30"/>
      <c r="DGS27" s="28"/>
      <c r="DGT27" s="30"/>
      <c r="DGU27" s="29"/>
      <c r="DGV27" s="28"/>
      <c r="DGW27" s="29"/>
      <c r="DGX27" s="28"/>
      <c r="DGY27" s="28"/>
      <c r="DGZ27" s="28"/>
      <c r="DHA27" s="29"/>
      <c r="DHB27" s="385"/>
      <c r="DHC27" s="29"/>
      <c r="DHD27" s="385"/>
      <c r="DHE27" s="29"/>
      <c r="DHF27" s="385"/>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30"/>
      <c r="DIM27" s="28"/>
      <c r="DIN27" s="29"/>
      <c r="DIO27" s="30"/>
      <c r="DIP27" s="29"/>
      <c r="DIQ27" s="29"/>
      <c r="DIR27" s="29"/>
      <c r="DIS27" s="28"/>
      <c r="DIT27" s="29"/>
      <c r="DIU27" s="29"/>
      <c r="DIV27" s="28"/>
      <c r="DIW27" s="29"/>
      <c r="DIX27" s="30"/>
      <c r="DIY27" s="28"/>
      <c r="DIZ27" s="29"/>
      <c r="DJA27" s="30"/>
      <c r="DJB27" s="29"/>
      <c r="DJC27" s="28"/>
      <c r="DJD27" s="29"/>
      <c r="DJE27" s="29"/>
      <c r="DJF27" s="28"/>
      <c r="DJG27" s="29"/>
      <c r="DJH27" s="30"/>
      <c r="DJI27" s="28"/>
      <c r="DJJ27" s="29"/>
      <c r="DJK27" s="30"/>
      <c r="DJL27" s="29"/>
      <c r="DJM27" s="28"/>
      <c r="DJN27" s="29"/>
      <c r="DJO27" s="29"/>
      <c r="DJP27" s="28"/>
      <c r="DJQ27" s="29"/>
      <c r="DJR27" s="30"/>
      <c r="DJS27" s="28"/>
      <c r="DJT27" s="29"/>
      <c r="DJU27" s="30"/>
      <c r="DJV27" s="29"/>
      <c r="DJW27" s="28"/>
      <c r="DJX27" s="29"/>
      <c r="DJY27" s="29"/>
      <c r="DJZ27" s="28"/>
      <c r="DKA27" s="29"/>
      <c r="DKB27" s="30"/>
      <c r="DKC27" s="28"/>
      <c r="DKD27" s="30"/>
      <c r="DKE27" s="29"/>
      <c r="DKF27" s="28"/>
      <c r="DKG27" s="29"/>
      <c r="DKH27" s="28"/>
      <c r="DKI27" s="28"/>
      <c r="DKJ27" s="28"/>
      <c r="DKK27" s="29"/>
      <c r="DKL27" s="385"/>
      <c r="DKM27" s="29"/>
      <c r="DKN27" s="385"/>
      <c r="DKO27" s="29"/>
      <c r="DKP27" s="385"/>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30"/>
      <c r="DLW27" s="28"/>
      <c r="DLX27" s="29"/>
      <c r="DLY27" s="30"/>
      <c r="DLZ27" s="29"/>
      <c r="DMA27" s="29"/>
      <c r="DMB27" s="29"/>
      <c r="DMC27" s="28"/>
      <c r="DMD27" s="29"/>
      <c r="DME27" s="29"/>
      <c r="DMF27" s="28"/>
      <c r="DMG27" s="29"/>
      <c r="DMH27" s="30"/>
      <c r="DMI27" s="28"/>
      <c r="DMJ27" s="29"/>
      <c r="DMK27" s="30"/>
      <c r="DML27" s="29"/>
      <c r="DMM27" s="28"/>
      <c r="DMN27" s="29"/>
      <c r="DMO27" s="29"/>
      <c r="DMP27" s="28"/>
      <c r="DMQ27" s="29"/>
      <c r="DMR27" s="30"/>
      <c r="DMS27" s="28"/>
      <c r="DMT27" s="29"/>
      <c r="DMU27" s="30"/>
      <c r="DMV27" s="29"/>
      <c r="DMW27" s="28"/>
      <c r="DMX27" s="29"/>
      <c r="DMY27" s="29"/>
      <c r="DMZ27" s="28"/>
      <c r="DNA27" s="29"/>
      <c r="DNB27" s="30"/>
      <c r="DNC27" s="28"/>
      <c r="DND27" s="29"/>
      <c r="DNE27" s="30"/>
      <c r="DNF27" s="29"/>
      <c r="DNG27" s="28"/>
      <c r="DNH27" s="29"/>
      <c r="DNI27" s="29"/>
      <c r="DNJ27" s="28"/>
      <c r="DNK27" s="29"/>
      <c r="DNL27" s="30"/>
      <c r="DNM27" s="28"/>
      <c r="DNN27" s="30"/>
      <c r="DNO27" s="29"/>
      <c r="DNP27" s="28"/>
      <c r="DNQ27" s="29"/>
      <c r="DNR27" s="28"/>
      <c r="DNS27" s="28"/>
      <c r="DNT27" s="28"/>
      <c r="DNU27" s="29"/>
      <c r="DNV27" s="385"/>
      <c r="DNW27" s="29"/>
      <c r="DNX27" s="385"/>
      <c r="DNY27" s="29"/>
      <c r="DNZ27" s="385"/>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30"/>
      <c r="DPG27" s="28"/>
      <c r="DPH27" s="29"/>
      <c r="DPI27" s="30"/>
      <c r="DPJ27" s="29"/>
      <c r="DPK27" s="29"/>
      <c r="DPL27" s="29"/>
      <c r="DPM27" s="28"/>
      <c r="DPN27" s="29"/>
      <c r="DPO27" s="29"/>
      <c r="DPP27" s="28"/>
      <c r="DPQ27" s="29"/>
      <c r="DPR27" s="30"/>
      <c r="DPS27" s="28"/>
      <c r="DPT27" s="29"/>
      <c r="DPU27" s="30"/>
      <c r="DPV27" s="29"/>
      <c r="DPW27" s="28"/>
      <c r="DPX27" s="29"/>
      <c r="DPY27" s="29"/>
      <c r="DPZ27" s="28"/>
      <c r="DQA27" s="29"/>
      <c r="DQB27" s="30"/>
      <c r="DQC27" s="28"/>
      <c r="DQD27" s="29"/>
      <c r="DQE27" s="30"/>
      <c r="DQF27" s="29"/>
      <c r="DQG27" s="28"/>
      <c r="DQH27" s="29"/>
      <c r="DQI27" s="29"/>
      <c r="DQJ27" s="28"/>
      <c r="DQK27" s="29"/>
      <c r="DQL27" s="30"/>
      <c r="DQM27" s="28"/>
      <c r="DQN27" s="29"/>
      <c r="DQO27" s="30"/>
      <c r="DQP27" s="29"/>
      <c r="DQQ27" s="28"/>
      <c r="DQR27" s="29"/>
      <c r="DQS27" s="29"/>
      <c r="DQT27" s="28"/>
      <c r="DQU27" s="29"/>
      <c r="DQV27" s="30"/>
      <c r="DQW27" s="28"/>
      <c r="DQX27" s="30"/>
      <c r="DQY27" s="29"/>
      <c r="DQZ27" s="28"/>
      <c r="DRA27" s="29"/>
      <c r="DRB27" s="28"/>
      <c r="DRC27" s="28"/>
      <c r="DRD27" s="28"/>
      <c r="DRE27" s="29"/>
      <c r="DRF27" s="385"/>
      <c r="DRG27" s="29"/>
      <c r="DRH27" s="385"/>
      <c r="DRI27" s="29"/>
      <c r="DRJ27" s="385"/>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30"/>
      <c r="DSQ27" s="28"/>
      <c r="DSR27" s="29"/>
      <c r="DSS27" s="30"/>
      <c r="DST27" s="29"/>
      <c r="DSU27" s="29"/>
      <c r="DSV27" s="29"/>
      <c r="DSW27" s="28"/>
      <c r="DSX27" s="29"/>
      <c r="DSY27" s="29"/>
      <c r="DSZ27" s="28"/>
      <c r="DTA27" s="29"/>
      <c r="DTB27" s="30"/>
      <c r="DTC27" s="28"/>
      <c r="DTD27" s="29"/>
      <c r="DTE27" s="30"/>
      <c r="DTF27" s="29"/>
      <c r="DTG27" s="28"/>
      <c r="DTH27" s="29"/>
      <c r="DTI27" s="29"/>
      <c r="DTJ27" s="28"/>
      <c r="DTK27" s="29"/>
      <c r="DTL27" s="30"/>
      <c r="DTM27" s="28"/>
      <c r="DTN27" s="29"/>
      <c r="DTO27" s="30"/>
      <c r="DTP27" s="29"/>
      <c r="DTQ27" s="28"/>
      <c r="DTR27" s="29"/>
      <c r="DTS27" s="29"/>
      <c r="DTT27" s="28"/>
      <c r="DTU27" s="29"/>
      <c r="DTV27" s="30"/>
      <c r="DTW27" s="28"/>
      <c r="DTX27" s="29"/>
      <c r="DTY27" s="30"/>
      <c r="DTZ27" s="29"/>
      <c r="DUA27" s="28"/>
      <c r="DUB27" s="29"/>
      <c r="DUC27" s="29"/>
      <c r="DUD27" s="28"/>
      <c r="DUE27" s="29"/>
      <c r="DUF27" s="30"/>
      <c r="DUG27" s="28"/>
      <c r="DUH27" s="30"/>
      <c r="DUI27" s="29"/>
      <c r="DUJ27" s="28"/>
      <c r="DUK27" s="29"/>
      <c r="DUL27" s="28"/>
      <c r="DUM27" s="28"/>
      <c r="DUN27" s="28"/>
      <c r="DUO27" s="29"/>
      <c r="DUP27" s="385"/>
      <c r="DUQ27" s="29"/>
      <c r="DUR27" s="385"/>
      <c r="DUS27" s="29"/>
      <c r="DUT27" s="385"/>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30"/>
      <c r="DWA27" s="28"/>
      <c r="DWB27" s="29"/>
      <c r="DWC27" s="30"/>
      <c r="DWD27" s="29"/>
      <c r="DWE27" s="29"/>
      <c r="DWF27" s="29"/>
      <c r="DWG27" s="28"/>
      <c r="DWH27" s="29"/>
      <c r="DWI27" s="29"/>
      <c r="DWJ27" s="28"/>
      <c r="DWK27" s="29"/>
      <c r="DWL27" s="30"/>
      <c r="DWM27" s="28"/>
      <c r="DWN27" s="29"/>
      <c r="DWO27" s="30"/>
      <c r="DWP27" s="29"/>
      <c r="DWQ27" s="28"/>
      <c r="DWR27" s="29"/>
      <c r="DWS27" s="29"/>
      <c r="DWT27" s="28"/>
      <c r="DWU27" s="29"/>
      <c r="DWV27" s="30"/>
      <c r="DWW27" s="28"/>
      <c r="DWX27" s="29"/>
      <c r="DWY27" s="30"/>
      <c r="DWZ27" s="29"/>
      <c r="DXA27" s="28"/>
      <c r="DXB27" s="29"/>
      <c r="DXC27" s="29"/>
      <c r="DXD27" s="28"/>
      <c r="DXE27" s="29"/>
      <c r="DXF27" s="30"/>
      <c r="DXG27" s="28"/>
      <c r="DXH27" s="29"/>
      <c r="DXI27" s="30"/>
      <c r="DXJ27" s="29"/>
      <c r="DXK27" s="28"/>
      <c r="DXL27" s="29"/>
      <c r="DXM27" s="29"/>
      <c r="DXN27" s="28"/>
      <c r="DXO27" s="29"/>
      <c r="DXP27" s="30"/>
      <c r="DXQ27" s="28"/>
      <c r="DXR27" s="30"/>
      <c r="DXS27" s="29"/>
      <c r="DXT27" s="28"/>
      <c r="DXU27" s="29"/>
      <c r="DXV27" s="28"/>
      <c r="DXW27" s="28"/>
      <c r="DXX27" s="28"/>
      <c r="DXY27" s="29"/>
      <c r="DXZ27" s="385"/>
      <c r="DYA27" s="29"/>
      <c r="DYB27" s="385"/>
      <c r="DYC27" s="29"/>
      <c r="DYD27" s="385"/>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30"/>
      <c r="DZK27" s="28"/>
      <c r="DZL27" s="29"/>
      <c r="DZM27" s="30"/>
      <c r="DZN27" s="29"/>
      <c r="DZO27" s="29"/>
      <c r="DZP27" s="29"/>
      <c r="DZQ27" s="28"/>
      <c r="DZR27" s="29"/>
      <c r="DZS27" s="29"/>
      <c r="DZT27" s="28"/>
      <c r="DZU27" s="29"/>
      <c r="DZV27" s="30"/>
      <c r="DZW27" s="28"/>
      <c r="DZX27" s="29"/>
      <c r="DZY27" s="30"/>
      <c r="DZZ27" s="29"/>
      <c r="EAA27" s="28"/>
      <c r="EAB27" s="29"/>
      <c r="EAC27" s="29"/>
      <c r="EAD27" s="28"/>
      <c r="EAE27" s="29"/>
      <c r="EAF27" s="30"/>
      <c r="EAG27" s="28"/>
      <c r="EAH27" s="29"/>
      <c r="EAI27" s="30"/>
      <c r="EAJ27" s="29"/>
      <c r="EAK27" s="28"/>
      <c r="EAL27" s="29"/>
      <c r="EAM27" s="29"/>
      <c r="EAN27" s="28"/>
      <c r="EAO27" s="29"/>
      <c r="EAP27" s="30"/>
      <c r="EAQ27" s="28"/>
      <c r="EAR27" s="29"/>
      <c r="EAS27" s="30"/>
      <c r="EAT27" s="29"/>
      <c r="EAU27" s="28"/>
      <c r="EAV27" s="29"/>
      <c r="EAW27" s="29"/>
      <c r="EAX27" s="28"/>
      <c r="EAY27" s="29"/>
      <c r="EAZ27" s="30"/>
      <c r="EBA27" s="28"/>
      <c r="EBB27" s="30"/>
      <c r="EBC27" s="29"/>
      <c r="EBD27" s="28"/>
      <c r="EBE27" s="29"/>
      <c r="EBF27" s="28"/>
      <c r="EBG27" s="28"/>
      <c r="EBH27" s="28"/>
      <c r="EBI27" s="29"/>
      <c r="EBJ27" s="385"/>
      <c r="EBK27" s="29"/>
      <c r="EBL27" s="385"/>
      <c r="EBM27" s="29"/>
      <c r="EBN27" s="385"/>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30"/>
      <c r="ECU27" s="28"/>
      <c r="ECV27" s="29"/>
      <c r="ECW27" s="30"/>
      <c r="ECX27" s="29"/>
      <c r="ECY27" s="29"/>
      <c r="ECZ27" s="29"/>
      <c r="EDA27" s="28"/>
      <c r="EDB27" s="29"/>
      <c r="EDC27" s="29"/>
      <c r="EDD27" s="28"/>
      <c r="EDE27" s="29"/>
      <c r="EDF27" s="30"/>
      <c r="EDG27" s="28"/>
      <c r="EDH27" s="29"/>
      <c r="EDI27" s="30"/>
      <c r="EDJ27" s="29"/>
      <c r="EDK27" s="28"/>
      <c r="EDL27" s="29"/>
      <c r="EDM27" s="29"/>
      <c r="EDN27" s="28"/>
      <c r="EDO27" s="29"/>
      <c r="EDP27" s="30"/>
      <c r="EDQ27" s="28"/>
      <c r="EDR27" s="29"/>
      <c r="EDS27" s="30"/>
      <c r="EDT27" s="29"/>
      <c r="EDU27" s="28"/>
      <c r="EDV27" s="29"/>
      <c r="EDW27" s="29"/>
      <c r="EDX27" s="28"/>
      <c r="EDY27" s="29"/>
      <c r="EDZ27" s="30"/>
      <c r="EEA27" s="28"/>
      <c r="EEB27" s="29"/>
      <c r="EEC27" s="30"/>
      <c r="EED27" s="29"/>
      <c r="EEE27" s="28"/>
      <c r="EEF27" s="29"/>
      <c r="EEG27" s="29"/>
      <c r="EEH27" s="28"/>
      <c r="EEI27" s="29"/>
      <c r="EEJ27" s="30"/>
      <c r="EEK27" s="28"/>
      <c r="EEL27" s="30"/>
      <c r="EEM27" s="29"/>
      <c r="EEN27" s="28"/>
      <c r="EEO27" s="29"/>
      <c r="EEP27" s="28"/>
      <c r="EEQ27" s="28"/>
      <c r="EER27" s="28"/>
      <c r="EES27" s="29"/>
      <c r="EET27" s="385"/>
      <c r="EEU27" s="29"/>
      <c r="EEV27" s="385"/>
      <c r="EEW27" s="29"/>
      <c r="EEX27" s="385"/>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30"/>
      <c r="EGE27" s="28"/>
      <c r="EGF27" s="29"/>
      <c r="EGG27" s="30"/>
      <c r="EGH27" s="29"/>
      <c r="EGI27" s="29"/>
      <c r="EGJ27" s="29"/>
      <c r="EGK27" s="28"/>
      <c r="EGL27" s="29"/>
      <c r="EGM27" s="29"/>
      <c r="EGN27" s="28"/>
      <c r="EGO27" s="29"/>
      <c r="EGP27" s="30"/>
      <c r="EGQ27" s="28"/>
      <c r="EGR27" s="29"/>
      <c r="EGS27" s="30"/>
      <c r="EGT27" s="29"/>
      <c r="EGU27" s="28"/>
      <c r="EGV27" s="29"/>
      <c r="EGW27" s="29"/>
      <c r="EGX27" s="28"/>
      <c r="EGY27" s="29"/>
      <c r="EGZ27" s="30"/>
      <c r="EHA27" s="28"/>
      <c r="EHB27" s="29"/>
      <c r="EHC27" s="30"/>
      <c r="EHD27" s="29"/>
      <c r="EHE27" s="28"/>
      <c r="EHF27" s="29"/>
      <c r="EHG27" s="29"/>
      <c r="EHH27" s="28"/>
      <c r="EHI27" s="29"/>
      <c r="EHJ27" s="30"/>
      <c r="EHK27" s="28"/>
      <c r="EHL27" s="29"/>
      <c r="EHM27" s="30"/>
      <c r="EHN27" s="29"/>
      <c r="EHO27" s="28"/>
      <c r="EHP27" s="29"/>
      <c r="EHQ27" s="29"/>
      <c r="EHR27" s="28"/>
      <c r="EHS27" s="29"/>
      <c r="EHT27" s="30"/>
      <c r="EHU27" s="28"/>
      <c r="EHV27" s="30"/>
      <c r="EHW27" s="29"/>
      <c r="EHX27" s="28"/>
      <c r="EHY27" s="29"/>
      <c r="EHZ27" s="28"/>
      <c r="EIA27" s="28"/>
      <c r="EIB27" s="28"/>
      <c r="EIC27" s="29"/>
      <c r="EID27" s="385"/>
      <c r="EIE27" s="29"/>
      <c r="EIF27" s="385"/>
      <c r="EIG27" s="29"/>
      <c r="EIH27" s="385"/>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30"/>
      <c r="EJO27" s="28"/>
      <c r="EJP27" s="29"/>
      <c r="EJQ27" s="30"/>
      <c r="EJR27" s="29"/>
      <c r="EJS27" s="29"/>
      <c r="EJT27" s="29"/>
      <c r="EJU27" s="28"/>
      <c r="EJV27" s="29"/>
      <c r="EJW27" s="29"/>
      <c r="EJX27" s="28"/>
      <c r="EJY27" s="29"/>
      <c r="EJZ27" s="30"/>
      <c r="EKA27" s="28"/>
      <c r="EKB27" s="29"/>
      <c r="EKC27" s="30"/>
      <c r="EKD27" s="29"/>
      <c r="EKE27" s="28"/>
      <c r="EKF27" s="29"/>
      <c r="EKG27" s="29"/>
      <c r="EKH27" s="28"/>
      <c r="EKI27" s="29"/>
      <c r="EKJ27" s="30"/>
      <c r="EKK27" s="28"/>
      <c r="EKL27" s="29"/>
      <c r="EKM27" s="30"/>
      <c r="EKN27" s="29"/>
      <c r="EKO27" s="28"/>
      <c r="EKP27" s="29"/>
      <c r="EKQ27" s="29"/>
      <c r="EKR27" s="28"/>
      <c r="EKS27" s="29"/>
      <c r="EKT27" s="30"/>
      <c r="EKU27" s="28"/>
      <c r="EKV27" s="29"/>
      <c r="EKW27" s="30"/>
      <c r="EKX27" s="29"/>
      <c r="EKY27" s="28"/>
      <c r="EKZ27" s="29"/>
      <c r="ELA27" s="29"/>
      <c r="ELB27" s="28"/>
      <c r="ELC27" s="29"/>
      <c r="ELD27" s="30"/>
      <c r="ELE27" s="28"/>
      <c r="ELF27" s="30"/>
      <c r="ELG27" s="29"/>
      <c r="ELH27" s="28"/>
      <c r="ELI27" s="29"/>
      <c r="ELJ27" s="28"/>
      <c r="ELK27" s="28"/>
      <c r="ELL27" s="28"/>
      <c r="ELM27" s="29"/>
      <c r="ELN27" s="385"/>
      <c r="ELO27" s="29"/>
      <c r="ELP27" s="385"/>
      <c r="ELQ27" s="29"/>
      <c r="ELR27" s="385"/>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30"/>
      <c r="EMY27" s="28"/>
      <c r="EMZ27" s="29"/>
      <c r="ENA27" s="30"/>
      <c r="ENB27" s="29"/>
      <c r="ENC27" s="29"/>
      <c r="END27" s="29"/>
      <c r="ENE27" s="28"/>
      <c r="ENF27" s="29"/>
      <c r="ENG27" s="29"/>
      <c r="ENH27" s="28"/>
      <c r="ENI27" s="29"/>
      <c r="ENJ27" s="30"/>
      <c r="ENK27" s="28"/>
      <c r="ENL27" s="29"/>
      <c r="ENM27" s="30"/>
      <c r="ENN27" s="29"/>
      <c r="ENO27" s="28"/>
      <c r="ENP27" s="29"/>
      <c r="ENQ27" s="29"/>
      <c r="ENR27" s="28"/>
      <c r="ENS27" s="29"/>
      <c r="ENT27" s="30"/>
      <c r="ENU27" s="28"/>
      <c r="ENV27" s="29"/>
      <c r="ENW27" s="30"/>
      <c r="ENX27" s="29"/>
      <c r="ENY27" s="28"/>
      <c r="ENZ27" s="29"/>
      <c r="EOA27" s="29"/>
      <c r="EOB27" s="28"/>
      <c r="EOC27" s="29"/>
      <c r="EOD27" s="30"/>
      <c r="EOE27" s="28"/>
      <c r="EOF27" s="29"/>
      <c r="EOG27" s="30"/>
      <c r="EOH27" s="29"/>
      <c r="EOI27" s="28"/>
      <c r="EOJ27" s="29"/>
      <c r="EOK27" s="29"/>
      <c r="EOL27" s="28"/>
      <c r="EOM27" s="29"/>
      <c r="EON27" s="30"/>
      <c r="EOO27" s="28" t="str">
        <f t="shared" si="149"/>
        <v xml:space="preserve"> </v>
      </c>
      <c r="EOP27" s="30"/>
      <c r="EOQ27" s="29"/>
      <c r="EOR27" s="28"/>
      <c r="EOS27" s="29"/>
      <c r="EOT27" s="28"/>
      <c r="EOU27" s="28"/>
      <c r="EOV27" s="28"/>
      <c r="EOW27" s="29"/>
      <c r="EOX27" s="385"/>
      <c r="EOY27" s="29"/>
      <c r="EOZ27" s="385"/>
      <c r="EPA27" s="29"/>
      <c r="EPB27" s="385"/>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30"/>
      <c r="EQI27" s="28"/>
      <c r="EQJ27" s="29"/>
      <c r="EQK27" s="30"/>
      <c r="EQL27" s="29"/>
      <c r="EQM27" s="29"/>
      <c r="EQN27" s="29"/>
      <c r="EQO27" s="28"/>
      <c r="EQP27" s="29"/>
      <c r="EQQ27" s="29"/>
      <c r="EQR27" s="28"/>
      <c r="EQS27" s="29"/>
      <c r="EQT27" s="30"/>
      <c r="EQU27" s="28"/>
      <c r="EQV27" s="29"/>
      <c r="EQW27" s="30"/>
      <c r="EQX27" s="29"/>
      <c r="EQY27" s="28"/>
      <c r="EQZ27" s="29"/>
      <c r="ERA27" s="29"/>
      <c r="ERB27" s="28"/>
      <c r="ERC27" s="29"/>
      <c r="ERD27" s="30"/>
      <c r="ERE27" s="28"/>
      <c r="ERF27" s="29"/>
      <c r="ERG27" s="30"/>
      <c r="ERH27" s="29"/>
      <c r="ERI27" s="28"/>
      <c r="ERJ27" s="29"/>
      <c r="ERK27" s="29"/>
      <c r="ERL27" s="28"/>
      <c r="ERM27" s="29"/>
      <c r="ERN27" s="30"/>
      <c r="ERO27" s="28"/>
      <c r="ERP27" s="29"/>
      <c r="ERQ27" s="30"/>
      <c r="ERR27" s="29"/>
      <c r="ERS27" s="28"/>
      <c r="ERT27" s="29"/>
      <c r="ERU27" s="29"/>
      <c r="ERV27" s="28"/>
      <c r="ERW27" s="29"/>
      <c r="ERX27" s="30"/>
      <c r="ERY27" s="28" t="str">
        <f t="shared" si="152"/>
        <v xml:space="preserve"> </v>
      </c>
      <c r="ERZ27" s="30"/>
      <c r="ESA27" s="29"/>
      <c r="ESB27" s="28"/>
      <c r="ESC27" s="29"/>
      <c r="ESD27" s="28"/>
      <c r="ESE27" s="28"/>
      <c r="ESF27" s="28"/>
      <c r="ESG27" s="29"/>
      <c r="ESH27" s="385"/>
      <c r="ESI27" s="29"/>
      <c r="ESJ27" s="385"/>
      <c r="ESK27" s="29"/>
      <c r="ESL27" s="385"/>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30"/>
      <c r="ETS27" s="28"/>
      <c r="ETT27" s="29"/>
      <c r="ETU27" s="30"/>
      <c r="ETV27" s="29"/>
      <c r="ETW27" s="29"/>
      <c r="ETX27" s="29"/>
      <c r="ETY27" s="28"/>
      <c r="ETZ27" s="29"/>
      <c r="EUA27" s="29"/>
      <c r="EUB27" s="28"/>
      <c r="EUC27" s="29"/>
      <c r="EUD27" s="30"/>
      <c r="EUE27" s="28"/>
      <c r="EUF27" s="29"/>
      <c r="EUG27" s="30"/>
      <c r="EUH27" s="29"/>
      <c r="EUI27" s="28"/>
      <c r="EUJ27" s="29"/>
      <c r="EUK27" s="29"/>
      <c r="EUL27" s="28"/>
      <c r="EUM27" s="29"/>
      <c r="EUN27" s="30"/>
      <c r="EUO27" s="28"/>
      <c r="EUP27" s="29"/>
      <c r="EUQ27" s="30"/>
      <c r="EUR27" s="29"/>
      <c r="EUS27" s="28"/>
      <c r="EUT27" s="29"/>
      <c r="EUU27" s="29"/>
      <c r="EUV27" s="28"/>
      <c r="EUW27" s="29"/>
      <c r="EUX27" s="30"/>
      <c r="EUY27" s="28"/>
      <c r="EUZ27" s="29"/>
      <c r="EVA27" s="30"/>
      <c r="EVB27" s="29"/>
      <c r="EVC27" s="28"/>
      <c r="EVD27" s="29"/>
      <c r="EVE27" s="29"/>
      <c r="EVF27" s="28"/>
      <c r="EVG27" s="29"/>
      <c r="EVH27" s="30"/>
      <c r="EVI27" s="28" t="str">
        <f t="shared" si="153"/>
        <v xml:space="preserve"> </v>
      </c>
    </row>
    <row r="28" spans="1:3961" x14ac:dyDescent="0.3">
      <c r="A28" s="424" t="s">
        <v>196</v>
      </c>
      <c r="B28" s="58" t="str">
        <f>'REG y VAL POE - AESR - ESR'!B2280</f>
        <v>Avila Flores Jesus Jose</v>
      </c>
      <c r="C28" s="57" t="str">
        <f>'REG y VAL POE - AESR - ESR'!C2280</f>
        <v>POE</v>
      </c>
      <c r="D28" s="56">
        <f>'REG y VAL POE - AESR - ESR'!D2280</f>
        <v>23148299</v>
      </c>
      <c r="E28" s="57">
        <f>'REG y VAL POE - AESR - ESR'!E2280</f>
        <v>0</v>
      </c>
      <c r="F28" s="56">
        <f>'REG y VAL POE - AESR - ESR'!F2280</f>
        <v>0</v>
      </c>
      <c r="G28" s="59">
        <f>'REG y VAL POE - AESR - ESR'!G2280</f>
        <v>45387</v>
      </c>
      <c r="H28" s="59">
        <f>'REG y VAL POE - AESR - ESR'!H2280</f>
        <v>45752</v>
      </c>
      <c r="I28" s="57" t="str">
        <f>'REG y VAL POE - AESR - ESR'!I2280</f>
        <v>SI</v>
      </c>
      <c r="J28" s="57" t="str">
        <f>'REG y VAL POE - AESR - ESR'!J2280</f>
        <v>Vigente</v>
      </c>
      <c r="K28" s="57" t="str">
        <f>'REG y VAL POE - AESR - ESR'!K2280</f>
        <v>SI</v>
      </c>
      <c r="L28" s="57" t="str">
        <f>'REG y VAL POE - AESR - ESR'!L2280</f>
        <v>Vigente</v>
      </c>
      <c r="M28" s="57" t="str">
        <f>'REG y VAL POE - AESR - ESR'!M2280</f>
        <v>NO</v>
      </c>
      <c r="N28" s="57" t="str">
        <f>'REG y VAL POE - AESR - ESR'!N2280</f>
        <v>falta firma RL</v>
      </c>
      <c r="O28" s="57" t="str">
        <f>'REG y VAL POE - AESR - ESR'!O2280</f>
        <v>SI</v>
      </c>
      <c r="P28" s="57">
        <f>'REG y VAL POE - AESR - ESR'!P2280</f>
        <v>0</v>
      </c>
      <c r="Q28" s="57" t="str">
        <f>'REG y VAL POE - AESR - ESR'!Q2280</f>
        <v>SI</v>
      </c>
      <c r="R28" s="57" t="str">
        <f>'REG y VAL POE - AESR - ESR'!R2280</f>
        <v>SI</v>
      </c>
      <c r="S28" s="57" t="str">
        <f>'REG y VAL POE - AESR - ESR'!S2280</f>
        <v>SI</v>
      </c>
      <c r="T28" s="57" t="str">
        <f>'REG y VAL POE - AESR - ESR'!T2280</f>
        <v>NO</v>
      </c>
      <c r="U28" s="57" t="str">
        <f>'REG y VAL POE - AESR - ESR'!U2280</f>
        <v>NO</v>
      </c>
      <c r="V28" s="57" t="str">
        <f>'REG y VAL POE - AESR - ESR'!V2280</f>
        <v>SI</v>
      </c>
      <c r="W28" s="57">
        <f>'REG y VAL POE - AESR - ESR'!W2280</f>
        <v>0</v>
      </c>
      <c r="X28" s="57">
        <f>'REG y VAL POE - AESR - ESR'!X2280</f>
        <v>0</v>
      </c>
      <c r="Y28" s="57">
        <f>'REG y VAL POE - AESR - ESR'!Y2280</f>
        <v>0</v>
      </c>
      <c r="Z28" s="57">
        <f>'REG y VAL POE - AESR - ESR'!Z2280</f>
        <v>0</v>
      </c>
      <c r="AA28" s="57">
        <f>'REG y VAL POE - AESR - ESR'!AA2280</f>
        <v>0</v>
      </c>
      <c r="AB28" s="57">
        <f>'REG y VAL POE - AESR - ESR'!AB2280</f>
        <v>0</v>
      </c>
      <c r="AC28" s="57">
        <f>'REG y VAL POE - AESR - ESR'!AC2280</f>
        <v>0</v>
      </c>
      <c r="AD28" s="57">
        <f>'REG y VAL POE - AESR - ESR'!AD2280</f>
        <v>0</v>
      </c>
      <c r="AE28" s="57">
        <f>'REG y VAL POE - AESR - ESR'!AE2280</f>
        <v>0</v>
      </c>
      <c r="AF28" s="57">
        <f>'REG y VAL POE - AESR - ESR'!AF2280</f>
        <v>0</v>
      </c>
      <c r="AG28" s="57">
        <f>'REG y VAL POE - AESR - ESR'!AG2280</f>
        <v>0</v>
      </c>
      <c r="AH28" s="57">
        <f>'REG y VAL POE - AESR - ESR'!AH2280</f>
        <v>0</v>
      </c>
      <c r="AI28" s="57">
        <f>'REG y VAL POE - AESR - ESR'!AI2280</f>
        <v>0</v>
      </c>
      <c r="AJ28" s="57">
        <f>'REG y VAL POE - AESR - ESR'!AJ2280</f>
        <v>0</v>
      </c>
      <c r="AK28" s="57">
        <f>'REG y VAL POE - AESR - ESR'!AK2280</f>
        <v>0</v>
      </c>
      <c r="AL28" s="57">
        <f>'REG y VAL POE - AESR - ESR'!AL2280</f>
        <v>0</v>
      </c>
      <c r="AM28" s="57" t="str">
        <f>'REG y VAL POE - AESR - ESR'!AM2280</f>
        <v>SI</v>
      </c>
      <c r="AN28" s="57">
        <f>'REG y VAL POE - AESR - ESR'!AN2280</f>
        <v>0</v>
      </c>
      <c r="AO28" s="57">
        <f>'REG y VAL POE - AESR - ESR'!AO2280</f>
        <v>0</v>
      </c>
      <c r="AP28" s="57">
        <f>'REG y VAL POE - AESR - ESR'!AP2280</f>
        <v>0</v>
      </c>
      <c r="AQ28" s="57">
        <f>'REG y VAL POE - AESR - ESR'!AQ2280</f>
        <v>0</v>
      </c>
      <c r="AR28" s="57">
        <f>'REG y VAL POE - AESR - ESR'!AR2280</f>
        <v>0</v>
      </c>
      <c r="AS28" s="57">
        <f>'REG y VAL POE - AESR - ESR'!AS2280</f>
        <v>0</v>
      </c>
      <c r="AT28" s="58" t="str">
        <f>'REG y VAL POE - AESR - ESR'!B2281</f>
        <v>Barrios Jurado Rocio</v>
      </c>
      <c r="AU28" s="57" t="str">
        <f>'REG y VAL POE - AESR - ESR'!C2281</f>
        <v>ESR</v>
      </c>
      <c r="AV28" s="56">
        <f>'REG y VAL POE - AESR - ESR'!D2281</f>
        <v>23148988</v>
      </c>
      <c r="AW28" s="57">
        <f>'REG y VAL POE - AESR - ESR'!E2281</f>
        <v>0</v>
      </c>
      <c r="AX28" s="56">
        <f>'REG y VAL POE - AESR - ESR'!F2281</f>
        <v>0</v>
      </c>
      <c r="AY28" s="59">
        <f>'REG y VAL POE - AESR - ESR'!G2281</f>
        <v>45394</v>
      </c>
      <c r="AZ28" s="59">
        <f>'REG y VAL POE - AESR - ESR'!H2281</f>
        <v>45759</v>
      </c>
      <c r="BA28" s="57" t="str">
        <f>'REG y VAL POE - AESR - ESR'!I2281</f>
        <v>SI</v>
      </c>
      <c r="BB28" s="57" t="str">
        <f>'REG y VAL POE - AESR - ESR'!J2281</f>
        <v>Vigente</v>
      </c>
      <c r="BC28" s="57" t="str">
        <f>'REG y VAL POE - AESR - ESR'!K2281</f>
        <v>SI</v>
      </c>
      <c r="BD28" s="57" t="str">
        <f>'REG y VAL POE - AESR - ESR'!L2281</f>
        <v>Vigente</v>
      </c>
      <c r="BE28" s="57" t="str">
        <f>'REG y VAL POE - AESR - ESR'!M2281</f>
        <v>SI</v>
      </c>
      <c r="BF28" s="57" t="str">
        <f>'REG y VAL POE - AESR - ESR'!N2281</f>
        <v>falta firma RL</v>
      </c>
      <c r="BG28" s="57" t="str">
        <f>'REG y VAL POE - AESR - ESR'!O2281</f>
        <v>CERTIFICADO</v>
      </c>
      <c r="BH28" s="57">
        <f>'REG y VAL POE - AESR - ESR'!P2281</f>
        <v>0</v>
      </c>
      <c r="BI28" s="57" t="str">
        <f>'REG y VAL POE - AESR - ESR'!Q2281</f>
        <v>SI</v>
      </c>
      <c r="BJ28" s="57" t="str">
        <f>'REG y VAL POE - AESR - ESR'!R2281</f>
        <v>SI</v>
      </c>
      <c r="BK28" s="57" t="str">
        <f>'REG y VAL POE - AESR - ESR'!S2281</f>
        <v>SI</v>
      </c>
      <c r="BL28" s="57" t="str">
        <f>'REG y VAL POE - AESR - ESR'!T2281</f>
        <v>NO</v>
      </c>
      <c r="BM28" s="57" t="str">
        <f>'REG y VAL POE - AESR - ESR'!U2281</f>
        <v>NO</v>
      </c>
      <c r="BN28" s="57">
        <f>'REG y VAL POE - AESR - ESR'!V2281</f>
        <v>0</v>
      </c>
      <c r="BO28" s="57" t="str">
        <f>'REG y VAL POE - AESR - ESR'!W2281</f>
        <v>Si</v>
      </c>
      <c r="BP28" s="57">
        <f>'REG y VAL POE - AESR - ESR'!X2281</f>
        <v>0</v>
      </c>
      <c r="BQ28" s="57">
        <f>'REG y VAL POE - AESR - ESR'!Y2281</f>
        <v>0</v>
      </c>
      <c r="BR28" s="57" t="str">
        <f>'REG y VAL POE - AESR - ESR'!Z2281</f>
        <v>SI</v>
      </c>
      <c r="BS28" s="57">
        <f>'REG y VAL POE - AESR - ESR'!AA2281</f>
        <v>0</v>
      </c>
      <c r="BT28" s="57">
        <f>'REG y VAL POE - AESR - ESR'!AB2281</f>
        <v>0</v>
      </c>
      <c r="BU28" s="57">
        <f>'REG y VAL POE - AESR - ESR'!AC2281</f>
        <v>0</v>
      </c>
      <c r="BV28" s="57">
        <f>'REG y VAL POE - AESR - ESR'!AD2281</f>
        <v>0</v>
      </c>
      <c r="BW28" s="57">
        <f>'REG y VAL POE - AESR - ESR'!AE2281</f>
        <v>0</v>
      </c>
      <c r="BX28" s="57">
        <f>'REG y VAL POE - AESR - ESR'!AF2281</f>
        <v>0</v>
      </c>
      <c r="BY28" s="57" t="str">
        <f>'REG y VAL POE - AESR - ESR'!AG2281</f>
        <v>SI</v>
      </c>
      <c r="BZ28" s="57">
        <f>'REG y VAL POE - AESR - ESR'!AH2281</f>
        <v>0</v>
      </c>
      <c r="CA28" s="57">
        <f>'REG y VAL POE - AESR - ESR'!AI2281</f>
        <v>0</v>
      </c>
      <c r="CB28" s="57">
        <f>'REG y VAL POE - AESR - ESR'!AJ2281</f>
        <v>0</v>
      </c>
      <c r="CC28" s="57">
        <f>'REG y VAL POE - AESR - ESR'!AK2281</f>
        <v>0</v>
      </c>
      <c r="CD28" s="57">
        <f>'REG y VAL POE - AESR - ESR'!AL2281</f>
        <v>0</v>
      </c>
      <c r="CE28" s="57">
        <f>'REG y VAL POE - AESR - ESR'!AM2281</f>
        <v>0</v>
      </c>
      <c r="CF28" s="57">
        <f>'REG y VAL POE - AESR - ESR'!AN2281</f>
        <v>0</v>
      </c>
      <c r="CG28" s="57">
        <f>'REG y VAL POE - AESR - ESR'!AO2281</f>
        <v>0</v>
      </c>
      <c r="CH28" s="57">
        <f>'REG y VAL POE - AESR - ESR'!AP2281</f>
        <v>0</v>
      </c>
      <c r="CI28" s="57">
        <f>'REG y VAL POE - AESR - ESR'!AQ2281</f>
        <v>0</v>
      </c>
      <c r="CJ28" s="57">
        <f>'REG y VAL POE - AESR - ESR'!AR2281</f>
        <v>0</v>
      </c>
      <c r="CK28" s="57">
        <f>'REG y VAL POE - AESR - ESR'!AS2281</f>
        <v>0</v>
      </c>
      <c r="CL28" s="58" t="str">
        <f>'REG y VAL POE - AESR - ESR'!B2282</f>
        <v>Olivas Castillo Diana Mariela</v>
      </c>
      <c r="CM28" s="57" t="str">
        <f>'REG y VAL POE - AESR - ESR'!C2282</f>
        <v>POE</v>
      </c>
      <c r="CN28" s="56" t="str">
        <f>'REG y VAL POE - AESR - ESR'!D2282</f>
        <v xml:space="preserve"> </v>
      </c>
      <c r="CO28" s="57">
        <f>'REG y VAL POE - AESR - ESR'!E2282</f>
        <v>0</v>
      </c>
      <c r="CP28" s="56">
        <f>'REG y VAL POE - AESR - ESR'!F2282</f>
        <v>0</v>
      </c>
      <c r="CQ28" s="59">
        <f>'REG y VAL POE - AESR - ESR'!G2282</f>
        <v>45391</v>
      </c>
      <c r="CR28" s="59">
        <f>'REG y VAL POE - AESR - ESR'!H2282</f>
        <v>45756</v>
      </c>
      <c r="CS28" s="57" t="str">
        <f>'REG y VAL POE - AESR - ESR'!I2282</f>
        <v>SI</v>
      </c>
      <c r="CT28" s="57" t="str">
        <f>'REG y VAL POE - AESR - ESR'!J2282</f>
        <v>Vigente</v>
      </c>
      <c r="CU28" s="57" t="str">
        <f>'REG y VAL POE - AESR - ESR'!K2282</f>
        <v>SI</v>
      </c>
      <c r="CV28" s="57" t="str">
        <f>'REG y VAL POE - AESR - ESR'!L2282</f>
        <v>Vigente</v>
      </c>
      <c r="CW28" s="57" t="str">
        <f>'REG y VAL POE - AESR - ESR'!M2282</f>
        <v>SI</v>
      </c>
      <c r="CX28" s="57" t="str">
        <f>'REG y VAL POE - AESR - ESR'!N2282</f>
        <v>falta firma RL</v>
      </c>
      <c r="CY28" s="57" t="str">
        <f>'REG y VAL POE - AESR - ESR'!O2282</f>
        <v>CERTIFICADO</v>
      </c>
      <c r="CZ28" s="57">
        <f>'REG y VAL POE - AESR - ESR'!P2282</f>
        <v>0</v>
      </c>
      <c r="DA28" s="57" t="str">
        <f>'REG y VAL POE - AESR - ESR'!Q2282</f>
        <v>SI</v>
      </c>
      <c r="DB28" s="57" t="str">
        <f>'REG y VAL POE - AESR - ESR'!R2282</f>
        <v>SI</v>
      </c>
      <c r="DC28" s="57" t="str">
        <f>'REG y VAL POE - AESR - ESR'!S2282</f>
        <v>SI</v>
      </c>
      <c r="DD28" s="57" t="str">
        <f>'REG y VAL POE - AESR - ESR'!T2282</f>
        <v>NO</v>
      </c>
      <c r="DE28" s="57" t="str">
        <f>'REG y VAL POE - AESR - ESR'!U2282</f>
        <v>NO</v>
      </c>
      <c r="DF28" s="57" t="str">
        <f>'REG y VAL POE - AESR - ESR'!V2282</f>
        <v>SI</v>
      </c>
      <c r="DG28" s="57">
        <f>'REG y VAL POE - AESR - ESR'!W2282</f>
        <v>0</v>
      </c>
      <c r="DH28" s="57">
        <f>'REG y VAL POE - AESR - ESR'!X2282</f>
        <v>0</v>
      </c>
      <c r="DI28" s="57">
        <f>'REG y VAL POE - AESR - ESR'!Y2282</f>
        <v>0</v>
      </c>
      <c r="DJ28" s="57" t="str">
        <f>'REG y VAL POE - AESR - ESR'!Z2282</f>
        <v>SI</v>
      </c>
      <c r="DK28" s="57">
        <f>'REG y VAL POE - AESR - ESR'!AA2282</f>
        <v>0</v>
      </c>
      <c r="DL28" s="57">
        <f>'REG y VAL POE - AESR - ESR'!AB2282</f>
        <v>0</v>
      </c>
      <c r="DM28" s="57">
        <f>'REG y VAL POE - AESR - ESR'!AC2282</f>
        <v>0</v>
      </c>
      <c r="DN28" s="57">
        <f>'REG y VAL POE - AESR - ESR'!AD2282</f>
        <v>0</v>
      </c>
      <c r="DO28" s="57">
        <f>'REG y VAL POE - AESR - ESR'!AE2282</f>
        <v>0</v>
      </c>
      <c r="DP28" s="57">
        <f>'REG y VAL POE - AESR - ESR'!AF2282</f>
        <v>0</v>
      </c>
      <c r="DQ28" s="57">
        <f>'REG y VAL POE - AESR - ESR'!AG2282</f>
        <v>0</v>
      </c>
      <c r="DR28" s="57">
        <f>'REG y VAL POE - AESR - ESR'!AH2282</f>
        <v>0</v>
      </c>
      <c r="DS28" s="57">
        <f>'REG y VAL POE - AESR - ESR'!AI2282</f>
        <v>0</v>
      </c>
      <c r="DT28" s="57">
        <f>'REG y VAL POE - AESR - ESR'!AJ2282</f>
        <v>0</v>
      </c>
      <c r="DU28" s="57">
        <f>'REG y VAL POE - AESR - ESR'!AK2282</f>
        <v>0</v>
      </c>
      <c r="DV28" s="57">
        <f>'REG y VAL POE - AESR - ESR'!AL2282</f>
        <v>0</v>
      </c>
      <c r="DW28" s="57" t="str">
        <f>'REG y VAL POE - AESR - ESR'!AM2282</f>
        <v>SI</v>
      </c>
      <c r="DX28" s="57">
        <f>'REG y VAL POE - AESR - ESR'!AN2282</f>
        <v>0</v>
      </c>
      <c r="DY28" s="57">
        <f>'REG y VAL POE - AESR - ESR'!AO2282</f>
        <v>0</v>
      </c>
      <c r="DZ28" s="57">
        <f>'REG y VAL POE - AESR - ESR'!AP2282</f>
        <v>0</v>
      </c>
      <c r="EA28" s="57">
        <f>'REG y VAL POE - AESR - ESR'!AQ2282</f>
        <v>0</v>
      </c>
      <c r="EB28" s="57">
        <f>'REG y VAL POE - AESR - ESR'!AR2282</f>
        <v>0</v>
      </c>
      <c r="EC28" s="57">
        <f>'REG y VAL POE - AESR - ESR'!AS2282</f>
        <v>0</v>
      </c>
      <c r="ED28" s="58">
        <f>'REG y VAL POE - AESR - ESR'!B2283</f>
        <v>0</v>
      </c>
      <c r="EE28" s="57">
        <f>'REG y VAL POE - AESR - ESR'!C2283</f>
        <v>0</v>
      </c>
      <c r="EF28" s="56">
        <f>'REG y VAL POE - AESR - ESR'!D2283</f>
        <v>0</v>
      </c>
      <c r="EG28" s="57">
        <f>'REG y VAL POE - AESR - ESR'!E2283</f>
        <v>0</v>
      </c>
      <c r="EH28" s="56">
        <f>'REG y VAL POE - AESR - ESR'!F2283</f>
        <v>0</v>
      </c>
      <c r="EI28" s="59">
        <f>'REG y VAL POE - AESR - ESR'!G2283</f>
        <v>0</v>
      </c>
      <c r="EJ28" s="59">
        <f>'REG y VAL POE - AESR - ESR'!H2283</f>
        <v>0</v>
      </c>
      <c r="EK28" s="57">
        <f>'REG y VAL POE - AESR - ESR'!I2283</f>
        <v>0</v>
      </c>
      <c r="EL28" s="57">
        <f>'REG y VAL POE - AESR - ESR'!J2283</f>
        <v>0</v>
      </c>
      <c r="EM28" s="57">
        <f>'REG y VAL POE - AESR - ESR'!K2283</f>
        <v>0</v>
      </c>
      <c r="EN28" s="57">
        <f>'REG y VAL POE - AESR - ESR'!L2283</f>
        <v>0</v>
      </c>
      <c r="EO28" s="57">
        <f>'REG y VAL POE - AESR - ESR'!M2283</f>
        <v>0</v>
      </c>
      <c r="EP28" s="57">
        <f>'REG y VAL POE - AESR - ESR'!N2283</f>
        <v>0</v>
      </c>
      <c r="EQ28" s="57">
        <f>'REG y VAL POE - AESR - ESR'!O2283</f>
        <v>0</v>
      </c>
      <c r="ER28" s="57">
        <f>'REG y VAL POE - AESR - ESR'!P2283</f>
        <v>0</v>
      </c>
      <c r="ES28" s="57">
        <f>'REG y VAL POE - AESR - ESR'!Q2283</f>
        <v>0</v>
      </c>
      <c r="ET28" s="57">
        <f>'REG y VAL POE - AESR - ESR'!R2283</f>
        <v>0</v>
      </c>
      <c r="EU28" s="57">
        <f>'REG y VAL POE - AESR - ESR'!S2283</f>
        <v>0</v>
      </c>
      <c r="EV28" s="57">
        <f>'REG y VAL POE - AESR - ESR'!T2283</f>
        <v>0</v>
      </c>
      <c r="EW28" s="57">
        <f>'REG y VAL POE - AESR - ESR'!U2283</f>
        <v>0</v>
      </c>
      <c r="EX28" s="57">
        <f>'REG y VAL POE - AESR - ESR'!V2283</f>
        <v>0</v>
      </c>
      <c r="EY28" s="57">
        <f>'REG y VAL POE - AESR - ESR'!W2283</f>
        <v>0</v>
      </c>
      <c r="EZ28" s="57">
        <f>'REG y VAL POE - AESR - ESR'!X2283</f>
        <v>0</v>
      </c>
      <c r="FA28" s="57">
        <f>'REG y VAL POE - AESR - ESR'!Y2283</f>
        <v>0</v>
      </c>
      <c r="FB28" s="57">
        <f>'REG y VAL POE - AESR - ESR'!Z2283</f>
        <v>0</v>
      </c>
      <c r="FC28" s="57">
        <f>'REG y VAL POE - AESR - ESR'!AA2283</f>
        <v>0</v>
      </c>
      <c r="FD28" s="57">
        <f>'REG y VAL POE - AESR - ESR'!AB2283</f>
        <v>0</v>
      </c>
      <c r="FE28" s="57">
        <f>'REG y VAL POE - AESR - ESR'!AC2283</f>
        <v>0</v>
      </c>
      <c r="FF28" s="57">
        <f>'REG y VAL POE - AESR - ESR'!AD2283</f>
        <v>0</v>
      </c>
      <c r="FG28" s="57">
        <f>'REG y VAL POE - AESR - ESR'!AE2283</f>
        <v>0</v>
      </c>
      <c r="FH28" s="57">
        <f>'REG y VAL POE - AESR - ESR'!AF2283</f>
        <v>0</v>
      </c>
      <c r="FI28" s="57">
        <f>'REG y VAL POE - AESR - ESR'!AG2283</f>
        <v>0</v>
      </c>
      <c r="FJ28" s="57">
        <f>'REG y VAL POE - AESR - ESR'!AH2283</f>
        <v>0</v>
      </c>
      <c r="FK28" s="57">
        <f>'REG y VAL POE - AESR - ESR'!AI2283</f>
        <v>0</v>
      </c>
      <c r="FL28" s="57">
        <f>'REG y VAL POE - AESR - ESR'!AJ2283</f>
        <v>0</v>
      </c>
      <c r="FM28" s="57">
        <f>'REG y VAL POE - AESR - ESR'!AK2283</f>
        <v>0</v>
      </c>
      <c r="FN28" s="57">
        <f>'REG y VAL POE - AESR - ESR'!AL2283</f>
        <v>0</v>
      </c>
      <c r="FO28" s="57">
        <f>'REG y VAL POE - AESR - ESR'!AM2283</f>
        <v>0</v>
      </c>
      <c r="FP28" s="57">
        <f>'REG y VAL POE - AESR - ESR'!AN2283</f>
        <v>0</v>
      </c>
      <c r="FQ28" s="57">
        <f>'REG y VAL POE - AESR - ESR'!AO2283</f>
        <v>0</v>
      </c>
      <c r="FR28" s="57">
        <f>'REG y VAL POE - AESR - ESR'!AP2283</f>
        <v>0</v>
      </c>
      <c r="FS28" s="57">
        <f>'REG y VAL POE - AESR - ESR'!AQ2283</f>
        <v>0</v>
      </c>
      <c r="FT28" s="57">
        <f>'REG y VAL POE - AESR - ESR'!AR2283</f>
        <v>0</v>
      </c>
      <c r="FU28" s="57">
        <f>'REG y VAL POE - AESR - ESR'!AS2283</f>
        <v>0</v>
      </c>
      <c r="FV28" s="58">
        <f>'REG y VAL POE - AESR - ESR'!B2284</f>
        <v>0</v>
      </c>
      <c r="FW28" s="57">
        <f>'REG y VAL POE - AESR - ESR'!C2284</f>
        <v>0</v>
      </c>
      <c r="FX28" s="56">
        <f>'REG y VAL POE - AESR - ESR'!D2284</f>
        <v>0</v>
      </c>
      <c r="FY28" s="57">
        <f>'REG y VAL POE - AESR - ESR'!E2284</f>
        <v>0</v>
      </c>
      <c r="FZ28" s="56">
        <f>'REG y VAL POE - AESR - ESR'!F2284</f>
        <v>0</v>
      </c>
      <c r="GA28" s="59">
        <f>'REG y VAL POE - AESR - ESR'!G2284</f>
        <v>0</v>
      </c>
      <c r="GB28" s="59">
        <f>'REG y VAL POE - AESR - ESR'!H2284</f>
        <v>0</v>
      </c>
      <c r="GC28" s="57">
        <f>'REG y VAL POE - AESR - ESR'!I2284</f>
        <v>0</v>
      </c>
      <c r="GD28" s="57">
        <f>'REG y VAL POE - AESR - ESR'!J2284</f>
        <v>0</v>
      </c>
      <c r="GE28" s="57">
        <f>'REG y VAL POE - AESR - ESR'!K2284</f>
        <v>0</v>
      </c>
      <c r="GF28" s="57">
        <f>'REG y VAL POE - AESR - ESR'!L2284</f>
        <v>0</v>
      </c>
      <c r="GG28" s="57">
        <f>'REG y VAL POE - AESR - ESR'!M2284</f>
        <v>0</v>
      </c>
      <c r="GH28" s="57">
        <f>'REG y VAL POE - AESR - ESR'!N2284</f>
        <v>0</v>
      </c>
      <c r="GI28" s="57">
        <f>'REG y VAL POE - AESR - ESR'!O2284</f>
        <v>0</v>
      </c>
      <c r="GJ28" s="57">
        <f>'REG y VAL POE - AESR - ESR'!P2284</f>
        <v>0</v>
      </c>
      <c r="GK28" s="57">
        <f>'REG y VAL POE - AESR - ESR'!Q2284</f>
        <v>0</v>
      </c>
      <c r="GL28" s="57">
        <f>'REG y VAL POE - AESR - ESR'!R2284</f>
        <v>0</v>
      </c>
      <c r="GM28" s="57">
        <f>'REG y VAL POE - AESR - ESR'!S2284</f>
        <v>0</v>
      </c>
      <c r="GN28" s="57">
        <f>'REG y VAL POE - AESR - ESR'!T2284</f>
        <v>0</v>
      </c>
      <c r="GO28" s="57">
        <f>'REG y VAL POE - AESR - ESR'!U2284</f>
        <v>0</v>
      </c>
      <c r="GP28" s="57">
        <f>'REG y VAL POE - AESR - ESR'!V2284</f>
        <v>0</v>
      </c>
      <c r="GQ28" s="57">
        <f>'REG y VAL POE - AESR - ESR'!W2284</f>
        <v>0</v>
      </c>
      <c r="GR28" s="57">
        <f>'REG y VAL POE - AESR - ESR'!X2284</f>
        <v>0</v>
      </c>
      <c r="GS28" s="57">
        <f>'REG y VAL POE - AESR - ESR'!Y2284</f>
        <v>0</v>
      </c>
      <c r="GT28" s="57">
        <f>'REG y VAL POE - AESR - ESR'!Z2284</f>
        <v>0</v>
      </c>
      <c r="GU28" s="57">
        <f>'REG y VAL POE - AESR - ESR'!AA2284</f>
        <v>0</v>
      </c>
      <c r="GV28" s="57">
        <f>'REG y VAL POE - AESR - ESR'!AB2284</f>
        <v>0</v>
      </c>
      <c r="GW28" s="57">
        <f>'REG y VAL POE - AESR - ESR'!AC2284</f>
        <v>0</v>
      </c>
      <c r="GX28" s="57">
        <f>'REG y VAL POE - AESR - ESR'!AD2284</f>
        <v>0</v>
      </c>
      <c r="GY28" s="57">
        <f>'REG y VAL POE - AESR - ESR'!AE2284</f>
        <v>0</v>
      </c>
      <c r="GZ28" s="57">
        <f>'REG y VAL POE - AESR - ESR'!AF2284</f>
        <v>0</v>
      </c>
      <c r="HA28" s="57">
        <f>'REG y VAL POE - AESR - ESR'!AG2284</f>
        <v>0</v>
      </c>
      <c r="HB28" s="57">
        <f>'REG y VAL POE - AESR - ESR'!AH2284</f>
        <v>0</v>
      </c>
      <c r="HC28" s="57">
        <f>'REG y VAL POE - AESR - ESR'!AI2284</f>
        <v>0</v>
      </c>
      <c r="HD28" s="57">
        <f>'REG y VAL POE - AESR - ESR'!AJ2284</f>
        <v>0</v>
      </c>
      <c r="HE28" s="57">
        <f>'REG y VAL POE - AESR - ESR'!AK2284</f>
        <v>0</v>
      </c>
      <c r="HF28" s="57">
        <f>'REG y VAL POE - AESR - ESR'!AL2284</f>
        <v>0</v>
      </c>
      <c r="HG28" s="57">
        <f>'REG y VAL POE - AESR - ESR'!AM2284</f>
        <v>0</v>
      </c>
      <c r="HH28" s="57">
        <f>'REG y VAL POE - AESR - ESR'!AN2284</f>
        <v>0</v>
      </c>
      <c r="HI28" s="57">
        <f>'REG y VAL POE - AESR - ESR'!AO2284</f>
        <v>0</v>
      </c>
      <c r="HJ28" s="57">
        <f>'REG y VAL POE - AESR - ESR'!AP2284</f>
        <v>0</v>
      </c>
      <c r="HK28" s="57">
        <f>'REG y VAL POE - AESR - ESR'!AQ2284</f>
        <v>0</v>
      </c>
      <c r="HL28" s="57">
        <f>'REG y VAL POE - AESR - ESR'!AR2284</f>
        <v>0</v>
      </c>
      <c r="HM28" s="57">
        <f>'REG y VAL POE - AESR - ESR'!AS2284</f>
        <v>0</v>
      </c>
      <c r="HN28" s="58">
        <f>'REG y VAL POE - AESR - ESR'!B2285</f>
        <v>0</v>
      </c>
      <c r="HO28" s="57">
        <f>'REG y VAL POE - AESR - ESR'!C2285</f>
        <v>0</v>
      </c>
      <c r="HP28" s="56">
        <f>'REG y VAL POE - AESR - ESR'!D2285</f>
        <v>0</v>
      </c>
      <c r="HQ28" s="57">
        <f>'REG y VAL POE - AESR - ESR'!E2285</f>
        <v>0</v>
      </c>
      <c r="HR28" s="56">
        <f>'REG y VAL POE - AESR - ESR'!F2285</f>
        <v>0</v>
      </c>
      <c r="HS28" s="59">
        <f>'REG y VAL POE - AESR - ESR'!G2285</f>
        <v>0</v>
      </c>
      <c r="HT28" s="59">
        <f>'REG y VAL POE - AESR - ESR'!H2285</f>
        <v>0</v>
      </c>
      <c r="HU28" s="57">
        <f>'REG y VAL POE - AESR - ESR'!I2285</f>
        <v>0</v>
      </c>
      <c r="HV28" s="57">
        <f>'REG y VAL POE - AESR - ESR'!J2285</f>
        <v>0</v>
      </c>
      <c r="HW28" s="57">
        <f>'REG y VAL POE - AESR - ESR'!K2285</f>
        <v>0</v>
      </c>
      <c r="HX28" s="57">
        <f>'REG y VAL POE - AESR - ESR'!L2285</f>
        <v>0</v>
      </c>
      <c r="HY28" s="57">
        <f>'REG y VAL POE - AESR - ESR'!M2285</f>
        <v>0</v>
      </c>
      <c r="HZ28" s="57">
        <f>'REG y VAL POE - AESR - ESR'!N2285</f>
        <v>0</v>
      </c>
      <c r="IA28" s="57">
        <f>'REG y VAL POE - AESR - ESR'!O2285</f>
        <v>0</v>
      </c>
      <c r="IB28" s="57">
        <f>'REG y VAL POE - AESR - ESR'!P2285</f>
        <v>0</v>
      </c>
      <c r="IC28" s="57">
        <f>'REG y VAL POE - AESR - ESR'!Q2285</f>
        <v>0</v>
      </c>
      <c r="ID28" s="57">
        <f>'REG y VAL POE - AESR - ESR'!R2285</f>
        <v>0</v>
      </c>
      <c r="IE28" s="57">
        <f>'REG y VAL POE - AESR - ESR'!S2285</f>
        <v>0</v>
      </c>
      <c r="IF28" s="57">
        <f>'REG y VAL POE - AESR - ESR'!T2285</f>
        <v>0</v>
      </c>
      <c r="IG28" s="57">
        <f>'REG y VAL POE - AESR - ESR'!U2285</f>
        <v>0</v>
      </c>
      <c r="IH28" s="57">
        <f>'REG y VAL POE - AESR - ESR'!V2285</f>
        <v>0</v>
      </c>
      <c r="II28" s="57">
        <f>'REG y VAL POE - AESR - ESR'!W2285</f>
        <v>0</v>
      </c>
      <c r="IJ28" s="57">
        <f>'REG y VAL POE - AESR - ESR'!X2285</f>
        <v>0</v>
      </c>
      <c r="IK28" s="57">
        <f>'REG y VAL POE - AESR - ESR'!Y2285</f>
        <v>0</v>
      </c>
      <c r="IL28" s="57">
        <f>'REG y VAL POE - AESR - ESR'!Z2285</f>
        <v>0</v>
      </c>
      <c r="IM28" s="57">
        <f>'REG y VAL POE - AESR - ESR'!AA2285</f>
        <v>0</v>
      </c>
      <c r="IN28" s="57">
        <f>'REG y VAL POE - AESR - ESR'!AB2285</f>
        <v>0</v>
      </c>
      <c r="IO28" s="57">
        <f>'REG y VAL POE - AESR - ESR'!AC2285</f>
        <v>0</v>
      </c>
      <c r="IP28" s="57">
        <f>'REG y VAL POE - AESR - ESR'!AD2285</f>
        <v>0</v>
      </c>
      <c r="IQ28" s="57">
        <f>'REG y VAL POE - AESR - ESR'!AE2285</f>
        <v>0</v>
      </c>
      <c r="IR28" s="57">
        <f>'REG y VAL POE - AESR - ESR'!AF2285</f>
        <v>0</v>
      </c>
      <c r="IS28" s="57">
        <f>'REG y VAL POE - AESR - ESR'!AG2285</f>
        <v>0</v>
      </c>
      <c r="IT28" s="57">
        <f>'REG y VAL POE - AESR - ESR'!AH2285</f>
        <v>0</v>
      </c>
      <c r="IU28" s="57">
        <f>'REG y VAL POE - AESR - ESR'!AI2285</f>
        <v>0</v>
      </c>
      <c r="IV28" s="57">
        <f>'REG y VAL POE - AESR - ESR'!AJ2285</f>
        <v>0</v>
      </c>
      <c r="IW28" s="57">
        <f>'REG y VAL POE - AESR - ESR'!AK2285</f>
        <v>0</v>
      </c>
      <c r="IX28" s="57">
        <f>'REG y VAL POE - AESR - ESR'!AL2285</f>
        <v>0</v>
      </c>
      <c r="IY28" s="57">
        <f>'REG y VAL POE - AESR - ESR'!AM2285</f>
        <v>0</v>
      </c>
      <c r="IZ28" s="57">
        <f>'REG y VAL POE - AESR - ESR'!AN2285</f>
        <v>0</v>
      </c>
      <c r="JA28" s="57">
        <f>'REG y VAL POE - AESR - ESR'!AO2285</f>
        <v>0</v>
      </c>
      <c r="JB28" s="57">
        <f>'REG y VAL POE - AESR - ESR'!AP2285</f>
        <v>0</v>
      </c>
      <c r="JC28" s="57">
        <f>'REG y VAL POE - AESR - ESR'!AQ2285</f>
        <v>0</v>
      </c>
      <c r="JD28" s="57">
        <f>'REG y VAL POE - AESR - ESR'!AR2285</f>
        <v>0</v>
      </c>
      <c r="JE28" s="57">
        <f>'REG y VAL POE - AESR - ESR'!AS2285</f>
        <v>0</v>
      </c>
      <c r="JF28" s="58">
        <f>'REG y VAL POE - AESR - ESR'!B2286</f>
        <v>0</v>
      </c>
      <c r="JG28" s="57">
        <f>'REG y VAL POE - AESR - ESR'!C2286</f>
        <v>0</v>
      </c>
      <c r="JH28" s="56">
        <f>'REG y VAL POE - AESR - ESR'!D2286</f>
        <v>0</v>
      </c>
      <c r="JI28" s="57">
        <f>'REG y VAL POE - AESR - ESR'!E2286</f>
        <v>0</v>
      </c>
      <c r="JJ28" s="56">
        <f>'REG y VAL POE - AESR - ESR'!F2286</f>
        <v>0</v>
      </c>
      <c r="JK28" s="59">
        <f>'REG y VAL POE - AESR - ESR'!G2286</f>
        <v>0</v>
      </c>
      <c r="JL28" s="59">
        <f>'REG y VAL POE - AESR - ESR'!H2286</f>
        <v>0</v>
      </c>
      <c r="JM28" s="57">
        <f>'REG y VAL POE - AESR - ESR'!I2286</f>
        <v>0</v>
      </c>
      <c r="JN28" s="57">
        <f>'REG y VAL POE - AESR - ESR'!J2286</f>
        <v>0</v>
      </c>
      <c r="JO28" s="57">
        <f>'REG y VAL POE - AESR - ESR'!K2286</f>
        <v>0</v>
      </c>
      <c r="JP28" s="57">
        <f>'REG y VAL POE - AESR - ESR'!L2286</f>
        <v>0</v>
      </c>
      <c r="JQ28" s="57">
        <f>'REG y VAL POE - AESR - ESR'!M2286</f>
        <v>0</v>
      </c>
      <c r="JR28" s="57">
        <f>'REG y VAL POE - AESR - ESR'!N2286</f>
        <v>0</v>
      </c>
      <c r="JS28" s="57">
        <f>'REG y VAL POE - AESR - ESR'!O2286</f>
        <v>0</v>
      </c>
      <c r="JT28" s="57">
        <f>'REG y VAL POE - AESR - ESR'!P2286</f>
        <v>0</v>
      </c>
      <c r="JU28" s="57">
        <f>'REG y VAL POE - AESR - ESR'!Q2286</f>
        <v>0</v>
      </c>
      <c r="JV28" s="57">
        <f>'REG y VAL POE - AESR - ESR'!R2286</f>
        <v>0</v>
      </c>
      <c r="JW28" s="57">
        <f>'REG y VAL POE - AESR - ESR'!S2286</f>
        <v>0</v>
      </c>
      <c r="JX28" s="57">
        <f>'REG y VAL POE - AESR - ESR'!T2286</f>
        <v>0</v>
      </c>
      <c r="JY28" s="57">
        <f>'REG y VAL POE - AESR - ESR'!U2286</f>
        <v>0</v>
      </c>
      <c r="JZ28" s="57">
        <f>'REG y VAL POE - AESR - ESR'!V2286</f>
        <v>0</v>
      </c>
      <c r="KA28" s="57">
        <f>'REG y VAL POE - AESR - ESR'!W2286</f>
        <v>0</v>
      </c>
      <c r="KB28" s="57">
        <f>'REG y VAL POE - AESR - ESR'!X2286</f>
        <v>0</v>
      </c>
      <c r="KC28" s="57">
        <f>'REG y VAL POE - AESR - ESR'!Y2286</f>
        <v>0</v>
      </c>
      <c r="KD28" s="57">
        <f>'REG y VAL POE - AESR - ESR'!Z2286</f>
        <v>0</v>
      </c>
      <c r="KE28" s="57">
        <f>'REG y VAL POE - AESR - ESR'!AA2286</f>
        <v>0</v>
      </c>
      <c r="KF28" s="57">
        <f>'REG y VAL POE - AESR - ESR'!AB2286</f>
        <v>0</v>
      </c>
      <c r="KG28" s="57">
        <f>'REG y VAL POE - AESR - ESR'!AC2286</f>
        <v>0</v>
      </c>
      <c r="KH28" s="57">
        <f>'REG y VAL POE - AESR - ESR'!AD2286</f>
        <v>0</v>
      </c>
      <c r="KI28" s="57">
        <f>'REG y VAL POE - AESR - ESR'!AE2286</f>
        <v>0</v>
      </c>
      <c r="KJ28" s="57">
        <f>'REG y VAL POE - AESR - ESR'!AF2286</f>
        <v>0</v>
      </c>
      <c r="KK28" s="57">
        <f>'REG y VAL POE - AESR - ESR'!AG2286</f>
        <v>0</v>
      </c>
      <c r="KL28" s="57">
        <f>'REG y VAL POE - AESR - ESR'!AH2286</f>
        <v>0</v>
      </c>
      <c r="KM28" s="57">
        <f>'REG y VAL POE - AESR - ESR'!AI2286</f>
        <v>0</v>
      </c>
      <c r="KN28" s="57">
        <f>'REG y VAL POE - AESR - ESR'!AJ2286</f>
        <v>0</v>
      </c>
      <c r="KO28" s="57">
        <f>'REG y VAL POE - AESR - ESR'!AK2286</f>
        <v>0</v>
      </c>
      <c r="KP28" s="57">
        <f>'REG y VAL POE - AESR - ESR'!AL2286</f>
        <v>0</v>
      </c>
      <c r="KQ28" s="57">
        <f>'REG y VAL POE - AESR - ESR'!AM2286</f>
        <v>0</v>
      </c>
      <c r="KR28" s="57">
        <f>'REG y VAL POE - AESR - ESR'!AN2286</f>
        <v>0</v>
      </c>
      <c r="KS28" s="57">
        <f>'REG y VAL POE - AESR - ESR'!AO2286</f>
        <v>0</v>
      </c>
      <c r="KT28" s="57">
        <f>'REG y VAL POE - AESR - ESR'!AP2286</f>
        <v>0</v>
      </c>
      <c r="KU28" s="57">
        <f>'REG y VAL POE - AESR - ESR'!AQ2286</f>
        <v>0</v>
      </c>
      <c r="KV28" s="57">
        <f>'REG y VAL POE - AESR - ESR'!AR2286</f>
        <v>0</v>
      </c>
      <c r="KW28" s="57">
        <f>'REG y VAL POE - AESR - ESR'!AS2286</f>
        <v>0</v>
      </c>
      <c r="KX28" s="58">
        <f>'REG y VAL POE - AESR - ESR'!B2287</f>
        <v>0</v>
      </c>
      <c r="KY28" s="57">
        <f>'REG y VAL POE - AESR - ESR'!C2287</f>
        <v>0</v>
      </c>
      <c r="KZ28" s="56">
        <f>'REG y VAL POE - AESR - ESR'!D2287</f>
        <v>0</v>
      </c>
      <c r="LA28" s="57">
        <f>'REG y VAL POE - AESR - ESR'!E2287</f>
        <v>0</v>
      </c>
      <c r="LB28" s="56">
        <f>'REG y VAL POE - AESR - ESR'!F2287</f>
        <v>0</v>
      </c>
      <c r="LC28" s="59">
        <f>'REG y VAL POE - AESR - ESR'!G2287</f>
        <v>0</v>
      </c>
      <c r="LD28" s="59">
        <f>'REG y VAL POE - AESR - ESR'!H2287</f>
        <v>0</v>
      </c>
      <c r="LE28" s="57">
        <f>'REG y VAL POE - AESR - ESR'!I2287</f>
        <v>0</v>
      </c>
      <c r="LF28" s="57">
        <f>'REG y VAL POE - AESR - ESR'!J2287</f>
        <v>0</v>
      </c>
      <c r="LG28" s="57">
        <f>'REG y VAL POE - AESR - ESR'!K2287</f>
        <v>0</v>
      </c>
      <c r="LH28" s="57">
        <f>'REG y VAL POE - AESR - ESR'!L2287</f>
        <v>0</v>
      </c>
      <c r="LI28" s="57">
        <f>'REG y VAL POE - AESR - ESR'!M2287</f>
        <v>0</v>
      </c>
      <c r="LJ28" s="57">
        <f>'REG y VAL POE - AESR - ESR'!N2287</f>
        <v>0</v>
      </c>
      <c r="LK28" s="57">
        <f>'REG y VAL POE - AESR - ESR'!O2287</f>
        <v>0</v>
      </c>
      <c r="LL28" s="57">
        <f>'REG y VAL POE - AESR - ESR'!P2287</f>
        <v>0</v>
      </c>
      <c r="LM28" s="57">
        <f>'REG y VAL POE - AESR - ESR'!Q2287</f>
        <v>0</v>
      </c>
      <c r="LN28" s="57">
        <f>'REG y VAL POE - AESR - ESR'!R2287</f>
        <v>0</v>
      </c>
      <c r="LO28" s="57">
        <f>'REG y VAL POE - AESR - ESR'!S2287</f>
        <v>0</v>
      </c>
      <c r="LP28" s="57">
        <f>'REG y VAL POE - AESR - ESR'!T2287</f>
        <v>0</v>
      </c>
      <c r="LQ28" s="57">
        <f>'REG y VAL POE - AESR - ESR'!U2287</f>
        <v>0</v>
      </c>
      <c r="LR28" s="57">
        <f>'REG y VAL POE - AESR - ESR'!V2287</f>
        <v>0</v>
      </c>
      <c r="LS28" s="57">
        <f>'REG y VAL POE - AESR - ESR'!W2287</f>
        <v>0</v>
      </c>
      <c r="LT28" s="57">
        <f>'REG y VAL POE - AESR - ESR'!X2287</f>
        <v>0</v>
      </c>
      <c r="LU28" s="57">
        <f>'REG y VAL POE - AESR - ESR'!Y2287</f>
        <v>0</v>
      </c>
      <c r="LV28" s="57">
        <f>'REG y VAL POE - AESR - ESR'!Z2287</f>
        <v>0</v>
      </c>
      <c r="LW28" s="57">
        <f>'REG y VAL POE - AESR - ESR'!AA2287</f>
        <v>0</v>
      </c>
      <c r="LX28" s="57">
        <f>'REG y VAL POE - AESR - ESR'!AB2287</f>
        <v>0</v>
      </c>
      <c r="LY28" s="57">
        <f>'REG y VAL POE - AESR - ESR'!AC2287</f>
        <v>0</v>
      </c>
      <c r="LZ28" s="57">
        <f>'REG y VAL POE - AESR - ESR'!AD2287</f>
        <v>0</v>
      </c>
      <c r="MA28" s="57">
        <f>'REG y VAL POE - AESR - ESR'!AE2287</f>
        <v>0</v>
      </c>
      <c r="MB28" s="57">
        <f>'REG y VAL POE - AESR - ESR'!AF2287</f>
        <v>0</v>
      </c>
      <c r="MC28" s="57">
        <f>'REG y VAL POE - AESR - ESR'!AG2287</f>
        <v>0</v>
      </c>
      <c r="MD28" s="57">
        <f>'REG y VAL POE - AESR - ESR'!AH2287</f>
        <v>0</v>
      </c>
      <c r="ME28" s="57">
        <f>'REG y VAL POE - AESR - ESR'!AI2287</f>
        <v>0</v>
      </c>
      <c r="MF28" s="57">
        <f>'REG y VAL POE - AESR - ESR'!AJ2287</f>
        <v>0</v>
      </c>
      <c r="MG28" s="57">
        <f>'REG y VAL POE - AESR - ESR'!AK2287</f>
        <v>0</v>
      </c>
      <c r="MH28" s="57">
        <f>'REG y VAL POE - AESR - ESR'!AL2287</f>
        <v>0</v>
      </c>
      <c r="MI28" s="57">
        <f>'REG y VAL POE - AESR - ESR'!AM2287</f>
        <v>0</v>
      </c>
      <c r="MJ28" s="57">
        <f>'REG y VAL POE - AESR - ESR'!AN2287</f>
        <v>0</v>
      </c>
      <c r="MK28" s="57">
        <f>'REG y VAL POE - AESR - ESR'!AO2287</f>
        <v>0</v>
      </c>
      <c r="ML28" s="57">
        <f>'REG y VAL POE - AESR - ESR'!AP2287</f>
        <v>0</v>
      </c>
      <c r="MM28" s="57">
        <f>'REG y VAL POE - AESR - ESR'!AQ2287</f>
        <v>0</v>
      </c>
      <c r="MN28" s="57">
        <f>'REG y VAL POE - AESR - ESR'!AR2287</f>
        <v>0</v>
      </c>
      <c r="MO28" s="57">
        <f>'REG y VAL POE - AESR - ESR'!AS2287</f>
        <v>0</v>
      </c>
      <c r="MP28" s="58">
        <f>'REG y VAL POE - AESR - ESR'!B2288</f>
        <v>0</v>
      </c>
      <c r="MQ28" s="57">
        <f>'REG y VAL POE - AESR - ESR'!C2288</f>
        <v>0</v>
      </c>
      <c r="MR28" s="56">
        <f>'REG y VAL POE - AESR - ESR'!D2288</f>
        <v>0</v>
      </c>
      <c r="MS28" s="57">
        <f>'REG y VAL POE - AESR - ESR'!E2288</f>
        <v>0</v>
      </c>
      <c r="MT28" s="56">
        <f>'REG y VAL POE - AESR - ESR'!F2288</f>
        <v>0</v>
      </c>
      <c r="MU28" s="59">
        <f>'REG y VAL POE - AESR - ESR'!G2288</f>
        <v>0</v>
      </c>
      <c r="MV28" s="59">
        <f>'REG y VAL POE - AESR - ESR'!H2288</f>
        <v>0</v>
      </c>
      <c r="MW28" s="57">
        <f>'REG y VAL POE - AESR - ESR'!I2288</f>
        <v>0</v>
      </c>
      <c r="MX28" s="57">
        <f>'REG y VAL POE - AESR - ESR'!J2288</f>
        <v>0</v>
      </c>
      <c r="MY28" s="57">
        <f>'REG y VAL POE - AESR - ESR'!K2288</f>
        <v>0</v>
      </c>
      <c r="MZ28" s="57">
        <f>'REG y VAL POE - AESR - ESR'!L2288</f>
        <v>0</v>
      </c>
      <c r="NA28" s="57">
        <f>'REG y VAL POE - AESR - ESR'!M2288</f>
        <v>0</v>
      </c>
      <c r="NB28" s="57">
        <f>'REG y VAL POE - AESR - ESR'!N2288</f>
        <v>0</v>
      </c>
      <c r="NC28" s="57">
        <f>'REG y VAL POE - AESR - ESR'!O2288</f>
        <v>0</v>
      </c>
      <c r="ND28" s="57">
        <f>'REG y VAL POE - AESR - ESR'!P2288</f>
        <v>0</v>
      </c>
      <c r="NE28" s="57">
        <f>'REG y VAL POE - AESR - ESR'!Q2288</f>
        <v>0</v>
      </c>
      <c r="NF28" s="57">
        <f>'REG y VAL POE - AESR - ESR'!R2288</f>
        <v>0</v>
      </c>
      <c r="NG28" s="57">
        <f>'REG y VAL POE - AESR - ESR'!S2288</f>
        <v>0</v>
      </c>
      <c r="NH28" s="57">
        <f>'REG y VAL POE - AESR - ESR'!T2288</f>
        <v>0</v>
      </c>
      <c r="NI28" s="57">
        <f>'REG y VAL POE - AESR - ESR'!U2288</f>
        <v>0</v>
      </c>
      <c r="NJ28" s="57">
        <f>'REG y VAL POE - AESR - ESR'!V2288</f>
        <v>0</v>
      </c>
      <c r="NK28" s="57">
        <f>'REG y VAL POE - AESR - ESR'!W2288</f>
        <v>0</v>
      </c>
      <c r="NL28" s="57">
        <f>'REG y VAL POE - AESR - ESR'!X2288</f>
        <v>0</v>
      </c>
      <c r="NM28" s="57">
        <f>'REG y VAL POE - AESR - ESR'!Y2288</f>
        <v>0</v>
      </c>
      <c r="NN28" s="57">
        <f>'REG y VAL POE - AESR - ESR'!Z2288</f>
        <v>0</v>
      </c>
      <c r="NO28" s="57">
        <f>'REG y VAL POE - AESR - ESR'!AA2288</f>
        <v>0</v>
      </c>
      <c r="NP28" s="57">
        <f>'REG y VAL POE - AESR - ESR'!AB2288</f>
        <v>0</v>
      </c>
      <c r="NQ28" s="57">
        <f>'REG y VAL POE - AESR - ESR'!AC2288</f>
        <v>0</v>
      </c>
      <c r="NR28" s="57">
        <f>'REG y VAL POE - AESR - ESR'!AD2288</f>
        <v>0</v>
      </c>
      <c r="NS28" s="57">
        <f>'REG y VAL POE - AESR - ESR'!AE2288</f>
        <v>0</v>
      </c>
      <c r="NT28" s="57">
        <f>'REG y VAL POE - AESR - ESR'!AF2288</f>
        <v>0</v>
      </c>
      <c r="NU28" s="57">
        <f>'REG y VAL POE - AESR - ESR'!AG2288</f>
        <v>0</v>
      </c>
      <c r="NV28" s="57">
        <f>'REG y VAL POE - AESR - ESR'!AH2288</f>
        <v>0</v>
      </c>
      <c r="NW28" s="57">
        <f>'REG y VAL POE - AESR - ESR'!AI2288</f>
        <v>0</v>
      </c>
      <c r="NX28" s="57">
        <f>'REG y VAL POE - AESR - ESR'!AJ2288</f>
        <v>0</v>
      </c>
      <c r="NY28" s="57">
        <f>'REG y VAL POE - AESR - ESR'!AK2288</f>
        <v>0</v>
      </c>
      <c r="NZ28" s="57">
        <f>'REG y VAL POE - AESR - ESR'!AL2288</f>
        <v>0</v>
      </c>
      <c r="OA28" s="57">
        <f>'REG y VAL POE - AESR - ESR'!AM2288</f>
        <v>0</v>
      </c>
      <c r="OB28" s="57">
        <f>'REG y VAL POE - AESR - ESR'!AN2288</f>
        <v>0</v>
      </c>
      <c r="OC28" s="57">
        <f>'REG y VAL POE - AESR - ESR'!AO2288</f>
        <v>0</v>
      </c>
      <c r="OD28" s="57">
        <f>'REG y VAL POE - AESR - ESR'!AP2288</f>
        <v>0</v>
      </c>
      <c r="OE28" s="57">
        <f>'REG y VAL POE - AESR - ESR'!AQ2288</f>
        <v>0</v>
      </c>
      <c r="OF28" s="57">
        <f>'REG y VAL POE - AESR - ESR'!AR2288</f>
        <v>0</v>
      </c>
      <c r="OG28" s="57">
        <f>'REG y VAL POE - AESR - ESR'!AS2288</f>
        <v>0</v>
      </c>
      <c r="OH28" s="58">
        <f>'REG y VAL POE - AESR - ESR'!B2289</f>
        <v>0</v>
      </c>
      <c r="OI28" s="57">
        <f>'REG y VAL POE - AESR - ESR'!C2289</f>
        <v>0</v>
      </c>
      <c r="OJ28" s="56">
        <f>'REG y VAL POE - AESR - ESR'!D2289</f>
        <v>0</v>
      </c>
      <c r="OK28" s="57">
        <f>'REG y VAL POE - AESR - ESR'!E2289</f>
        <v>0</v>
      </c>
      <c r="OL28" s="56">
        <f>'REG y VAL POE - AESR - ESR'!F2289</f>
        <v>0</v>
      </c>
      <c r="OM28" s="59">
        <f>'REG y VAL POE - AESR - ESR'!G2289</f>
        <v>0</v>
      </c>
      <c r="ON28" s="59">
        <f>'REG y VAL POE - AESR - ESR'!H2289</f>
        <v>0</v>
      </c>
      <c r="OO28" s="57">
        <f>'REG y VAL POE - AESR - ESR'!I2289</f>
        <v>0</v>
      </c>
      <c r="OP28" s="57">
        <f>'REG y VAL POE - AESR - ESR'!J2289</f>
        <v>0</v>
      </c>
      <c r="OQ28" s="57">
        <f>'REG y VAL POE - AESR - ESR'!K2289</f>
        <v>0</v>
      </c>
      <c r="OR28" s="57">
        <f>'REG y VAL POE - AESR - ESR'!L2289</f>
        <v>0</v>
      </c>
      <c r="OS28" s="57">
        <f>'REG y VAL POE - AESR - ESR'!M2289</f>
        <v>0</v>
      </c>
      <c r="OT28" s="57">
        <f>'REG y VAL POE - AESR - ESR'!N2289</f>
        <v>0</v>
      </c>
      <c r="OU28" s="57">
        <f>'REG y VAL POE - AESR - ESR'!O2289</f>
        <v>0</v>
      </c>
      <c r="OV28" s="57">
        <f>'REG y VAL POE - AESR - ESR'!P2289</f>
        <v>0</v>
      </c>
      <c r="OW28" s="57">
        <f>'REG y VAL POE - AESR - ESR'!Q2289</f>
        <v>0</v>
      </c>
      <c r="OX28" s="57">
        <f>'REG y VAL POE - AESR - ESR'!R2289</f>
        <v>0</v>
      </c>
      <c r="OY28" s="57">
        <f>'REG y VAL POE - AESR - ESR'!S2289</f>
        <v>0</v>
      </c>
      <c r="OZ28" s="57">
        <f>'REG y VAL POE - AESR - ESR'!T2289</f>
        <v>0</v>
      </c>
      <c r="PA28" s="57">
        <f>'REG y VAL POE - AESR - ESR'!U2289</f>
        <v>0</v>
      </c>
      <c r="PB28" s="57">
        <f>'REG y VAL POE - AESR - ESR'!V2289</f>
        <v>0</v>
      </c>
      <c r="PC28" s="57">
        <f>'REG y VAL POE - AESR - ESR'!W2289</f>
        <v>0</v>
      </c>
      <c r="PD28" s="57">
        <f>'REG y VAL POE - AESR - ESR'!X2289</f>
        <v>0</v>
      </c>
      <c r="PE28" s="57">
        <f>'REG y VAL POE - AESR - ESR'!Y2289</f>
        <v>0</v>
      </c>
      <c r="PF28" s="57">
        <f>'REG y VAL POE - AESR - ESR'!Z2289</f>
        <v>0</v>
      </c>
      <c r="PG28" s="57">
        <f>'REG y VAL POE - AESR - ESR'!AA2289</f>
        <v>0</v>
      </c>
      <c r="PH28" s="57">
        <f>'REG y VAL POE - AESR - ESR'!AB2289</f>
        <v>0</v>
      </c>
      <c r="PI28" s="57">
        <f>'REG y VAL POE - AESR - ESR'!AC2289</f>
        <v>0</v>
      </c>
      <c r="PJ28" s="57">
        <f>'REG y VAL POE - AESR - ESR'!AD2289</f>
        <v>0</v>
      </c>
      <c r="PK28" s="57">
        <f>'REG y VAL POE - AESR - ESR'!AE2289</f>
        <v>0</v>
      </c>
      <c r="PL28" s="57">
        <f>'REG y VAL POE - AESR - ESR'!AF2289</f>
        <v>0</v>
      </c>
      <c r="PM28" s="57">
        <f>'REG y VAL POE - AESR - ESR'!AG2289</f>
        <v>0</v>
      </c>
      <c r="PN28" s="57">
        <f>'REG y VAL POE - AESR - ESR'!AH2289</f>
        <v>0</v>
      </c>
      <c r="PO28" s="57">
        <f>'REG y VAL POE - AESR - ESR'!AI2289</f>
        <v>0</v>
      </c>
      <c r="PP28" s="57">
        <f>'REG y VAL POE - AESR - ESR'!AJ2289</f>
        <v>0</v>
      </c>
      <c r="PQ28" s="57">
        <f>'REG y VAL POE - AESR - ESR'!AK2289</f>
        <v>0</v>
      </c>
      <c r="PR28" s="57">
        <f>'REG y VAL POE - AESR - ESR'!AL2289</f>
        <v>0</v>
      </c>
      <c r="PS28" s="57">
        <f>'REG y VAL POE - AESR - ESR'!AM2289</f>
        <v>0</v>
      </c>
      <c r="PT28" s="57">
        <f>'REG y VAL POE - AESR - ESR'!AN2289</f>
        <v>0</v>
      </c>
      <c r="PU28" s="57">
        <f>'REG y VAL POE - AESR - ESR'!AO2289</f>
        <v>0</v>
      </c>
      <c r="PV28" s="57">
        <f>'REG y VAL POE - AESR - ESR'!AP2289</f>
        <v>0</v>
      </c>
      <c r="PW28" s="57">
        <f>'REG y VAL POE - AESR - ESR'!AQ2289</f>
        <v>0</v>
      </c>
      <c r="PX28" s="57">
        <f>'REG y VAL POE - AESR - ESR'!AR2289</f>
        <v>0</v>
      </c>
      <c r="PY28" s="57">
        <f>'REG y VAL POE - AESR - ESR'!AS2289</f>
        <v>0</v>
      </c>
      <c r="PZ28" s="58">
        <f>'REG y VAL POE - AESR - ESR'!B2290</f>
        <v>0</v>
      </c>
      <c r="QA28" s="57">
        <f>'REG y VAL POE - AESR - ESR'!C2290</f>
        <v>0</v>
      </c>
      <c r="QB28" s="56">
        <f>'REG y VAL POE - AESR - ESR'!D2290</f>
        <v>0</v>
      </c>
      <c r="QC28" s="57">
        <f>'REG y VAL POE - AESR - ESR'!E2290</f>
        <v>0</v>
      </c>
      <c r="QD28" s="56">
        <f>'REG y VAL POE - AESR - ESR'!F2290</f>
        <v>0</v>
      </c>
      <c r="QE28" s="59">
        <f>'REG y VAL POE - AESR - ESR'!G2290</f>
        <v>0</v>
      </c>
      <c r="QF28" s="59">
        <f>'REG y VAL POE - AESR - ESR'!H2290</f>
        <v>0</v>
      </c>
      <c r="QG28" s="57">
        <f>'REG y VAL POE - AESR - ESR'!I2290</f>
        <v>0</v>
      </c>
      <c r="QH28" s="57">
        <f>'REG y VAL POE - AESR - ESR'!J2290</f>
        <v>0</v>
      </c>
      <c r="QI28" s="57">
        <f>'REG y VAL POE - AESR - ESR'!K2290</f>
        <v>0</v>
      </c>
      <c r="QJ28" s="57">
        <f>'REG y VAL POE - AESR - ESR'!L2290</f>
        <v>0</v>
      </c>
      <c r="QK28" s="57">
        <f>'REG y VAL POE - AESR - ESR'!M2290</f>
        <v>0</v>
      </c>
      <c r="QL28" s="57">
        <f>'REG y VAL POE - AESR - ESR'!N2290</f>
        <v>0</v>
      </c>
      <c r="QM28" s="57">
        <f>'REG y VAL POE - AESR - ESR'!O2290</f>
        <v>0</v>
      </c>
      <c r="QN28" s="57">
        <f>'REG y VAL POE - AESR - ESR'!P2290</f>
        <v>0</v>
      </c>
      <c r="QO28" s="57">
        <f>'REG y VAL POE - AESR - ESR'!Q2290</f>
        <v>0</v>
      </c>
      <c r="QP28" s="57">
        <f>'REG y VAL POE - AESR - ESR'!R2290</f>
        <v>0</v>
      </c>
      <c r="QQ28" s="57">
        <f>'REG y VAL POE - AESR - ESR'!S2290</f>
        <v>0</v>
      </c>
      <c r="QR28" s="57">
        <f>'REG y VAL POE - AESR - ESR'!T2290</f>
        <v>0</v>
      </c>
      <c r="QS28" s="57">
        <f>'REG y VAL POE - AESR - ESR'!U2290</f>
        <v>0</v>
      </c>
      <c r="QT28" s="57">
        <f>'REG y VAL POE - AESR - ESR'!V2290</f>
        <v>0</v>
      </c>
      <c r="QU28" s="57">
        <f>'REG y VAL POE - AESR - ESR'!W2290</f>
        <v>0</v>
      </c>
      <c r="QV28" s="57">
        <f>'REG y VAL POE - AESR - ESR'!X2290</f>
        <v>0</v>
      </c>
      <c r="QW28" s="57">
        <f>'REG y VAL POE - AESR - ESR'!Y2290</f>
        <v>0</v>
      </c>
      <c r="QX28" s="57">
        <f>'REG y VAL POE - AESR - ESR'!Z2290</f>
        <v>0</v>
      </c>
      <c r="QY28" s="57">
        <f>'REG y VAL POE - AESR - ESR'!AA2290</f>
        <v>0</v>
      </c>
      <c r="QZ28" s="57">
        <f>'REG y VAL POE - AESR - ESR'!AB2290</f>
        <v>0</v>
      </c>
      <c r="RA28" s="57">
        <f>'REG y VAL POE - AESR - ESR'!AC2290</f>
        <v>0</v>
      </c>
      <c r="RB28" s="57">
        <f>'REG y VAL POE - AESR - ESR'!AD2290</f>
        <v>0</v>
      </c>
      <c r="RC28" s="57">
        <f>'REG y VAL POE - AESR - ESR'!AE2290</f>
        <v>0</v>
      </c>
      <c r="RD28" s="57">
        <f>'REG y VAL POE - AESR - ESR'!AF2290</f>
        <v>0</v>
      </c>
      <c r="RE28" s="57">
        <f>'REG y VAL POE - AESR - ESR'!AG2290</f>
        <v>0</v>
      </c>
      <c r="RF28" s="57">
        <f>'REG y VAL POE - AESR - ESR'!AH2290</f>
        <v>0</v>
      </c>
      <c r="RG28" s="57">
        <f>'REG y VAL POE - AESR - ESR'!AI2290</f>
        <v>0</v>
      </c>
      <c r="RH28" s="57">
        <f>'REG y VAL POE - AESR - ESR'!AJ2290</f>
        <v>0</v>
      </c>
      <c r="RI28" s="57">
        <f>'REG y VAL POE - AESR - ESR'!AK2290</f>
        <v>0</v>
      </c>
      <c r="RJ28" s="57">
        <f>'REG y VAL POE - AESR - ESR'!AL2290</f>
        <v>0</v>
      </c>
      <c r="RK28" s="57">
        <f>'REG y VAL POE - AESR - ESR'!AM2290</f>
        <v>0</v>
      </c>
      <c r="RL28" s="57">
        <f>'REG y VAL POE - AESR - ESR'!AN2290</f>
        <v>0</v>
      </c>
      <c r="RM28" s="57">
        <f>'REG y VAL POE - AESR - ESR'!AO2290</f>
        <v>0</v>
      </c>
      <c r="RN28" s="57">
        <f>'REG y VAL POE - AESR - ESR'!AP2290</f>
        <v>0</v>
      </c>
      <c r="RO28" s="57">
        <f>'REG y VAL POE - AESR - ESR'!AQ2290</f>
        <v>0</v>
      </c>
      <c r="RP28" s="57">
        <f>'REG y VAL POE - AESR - ESR'!AR2290</f>
        <v>0</v>
      </c>
      <c r="RQ28" s="57">
        <f>'REG y VAL POE - AESR - ESR'!AS2290</f>
        <v>0</v>
      </c>
      <c r="RR28" s="58">
        <f>'REG y VAL POE - AESR - ESR'!B2291</f>
        <v>0</v>
      </c>
      <c r="RS28" s="57">
        <f>'REG y VAL POE - AESR - ESR'!C2291</f>
        <v>0</v>
      </c>
      <c r="RT28" s="56">
        <f>'REG y VAL POE - AESR - ESR'!D2291</f>
        <v>0</v>
      </c>
      <c r="RU28" s="57">
        <f>'REG y VAL POE - AESR - ESR'!E2291</f>
        <v>0</v>
      </c>
      <c r="RV28" s="56">
        <f>'REG y VAL POE - AESR - ESR'!F2291</f>
        <v>0</v>
      </c>
      <c r="RW28" s="59">
        <f>'REG y VAL POE - AESR - ESR'!G2291</f>
        <v>0</v>
      </c>
      <c r="RX28" s="59">
        <f>'REG y VAL POE - AESR - ESR'!H2291</f>
        <v>0</v>
      </c>
      <c r="RY28" s="57">
        <f>'REG y VAL POE - AESR - ESR'!I2291</f>
        <v>0</v>
      </c>
      <c r="RZ28" s="57">
        <f>'REG y VAL POE - AESR - ESR'!J2291</f>
        <v>0</v>
      </c>
      <c r="SA28" s="57">
        <f>'REG y VAL POE - AESR - ESR'!K2291</f>
        <v>0</v>
      </c>
      <c r="SB28" s="57">
        <f>'REG y VAL POE - AESR - ESR'!L2291</f>
        <v>0</v>
      </c>
      <c r="SC28" s="57">
        <f>'REG y VAL POE - AESR - ESR'!M2291</f>
        <v>0</v>
      </c>
      <c r="SD28" s="57">
        <f>'REG y VAL POE - AESR - ESR'!N2291</f>
        <v>0</v>
      </c>
      <c r="SE28" s="57">
        <f>'REG y VAL POE - AESR - ESR'!O2291</f>
        <v>0</v>
      </c>
      <c r="SF28" s="57">
        <f>'REG y VAL POE - AESR - ESR'!P2291</f>
        <v>0</v>
      </c>
      <c r="SG28" s="57">
        <f>'REG y VAL POE - AESR - ESR'!Q2291</f>
        <v>0</v>
      </c>
      <c r="SH28" s="57">
        <f>'REG y VAL POE - AESR - ESR'!R2291</f>
        <v>0</v>
      </c>
      <c r="SI28" s="57">
        <f>'REG y VAL POE - AESR - ESR'!S2291</f>
        <v>0</v>
      </c>
      <c r="SJ28" s="57">
        <f>'REG y VAL POE - AESR - ESR'!T2291</f>
        <v>0</v>
      </c>
      <c r="SK28" s="57">
        <f>'REG y VAL POE - AESR - ESR'!U2291</f>
        <v>0</v>
      </c>
      <c r="SL28" s="57">
        <f>'REG y VAL POE - AESR - ESR'!V2291</f>
        <v>0</v>
      </c>
      <c r="SM28" s="57">
        <f>'REG y VAL POE - AESR - ESR'!W2291</f>
        <v>0</v>
      </c>
      <c r="SN28" s="57">
        <f>'REG y VAL POE - AESR - ESR'!X2291</f>
        <v>0</v>
      </c>
      <c r="SO28" s="57">
        <f>'REG y VAL POE - AESR - ESR'!Y2291</f>
        <v>0</v>
      </c>
      <c r="SP28" s="57">
        <f>'REG y VAL POE - AESR - ESR'!Z2291</f>
        <v>0</v>
      </c>
      <c r="SQ28" s="57">
        <f>'REG y VAL POE - AESR - ESR'!AA2291</f>
        <v>0</v>
      </c>
      <c r="SR28" s="57">
        <f>'REG y VAL POE - AESR - ESR'!AB2291</f>
        <v>0</v>
      </c>
      <c r="SS28" s="57">
        <f>'REG y VAL POE - AESR - ESR'!AC2291</f>
        <v>0</v>
      </c>
      <c r="ST28" s="57">
        <f>'REG y VAL POE - AESR - ESR'!AD2291</f>
        <v>0</v>
      </c>
      <c r="SU28" s="57">
        <f>'REG y VAL POE - AESR - ESR'!AE2291</f>
        <v>0</v>
      </c>
      <c r="SV28" s="57">
        <f>'REG y VAL POE - AESR - ESR'!AF2291</f>
        <v>0</v>
      </c>
      <c r="SW28" s="57">
        <f>'REG y VAL POE - AESR - ESR'!AG2291</f>
        <v>0</v>
      </c>
      <c r="SX28" s="57">
        <f>'REG y VAL POE - AESR - ESR'!AH2291</f>
        <v>0</v>
      </c>
      <c r="SY28" s="57">
        <f>'REG y VAL POE - AESR - ESR'!AI2291</f>
        <v>0</v>
      </c>
      <c r="SZ28" s="57">
        <f>'REG y VAL POE - AESR - ESR'!AJ2291</f>
        <v>0</v>
      </c>
      <c r="TA28" s="57">
        <f>'REG y VAL POE - AESR - ESR'!AK2291</f>
        <v>0</v>
      </c>
      <c r="TB28" s="57">
        <f>'REG y VAL POE - AESR - ESR'!AL2291</f>
        <v>0</v>
      </c>
      <c r="TC28" s="57">
        <f>'REG y VAL POE - AESR - ESR'!AM2291</f>
        <v>0</v>
      </c>
      <c r="TD28" s="57">
        <f>'REG y VAL POE - AESR - ESR'!AN2291</f>
        <v>0</v>
      </c>
      <c r="TE28" s="57">
        <f>'REG y VAL POE - AESR - ESR'!AO2291</f>
        <v>0</v>
      </c>
      <c r="TF28" s="57">
        <f>'REG y VAL POE - AESR - ESR'!AP2291</f>
        <v>0</v>
      </c>
      <c r="TG28" s="57">
        <f>'REG y VAL POE - AESR - ESR'!AQ2291</f>
        <v>0</v>
      </c>
      <c r="TH28" s="57">
        <f>'REG y VAL POE - AESR - ESR'!AR2291</f>
        <v>0</v>
      </c>
      <c r="TI28" s="57">
        <f>'REG y VAL POE - AESR - ESR'!AS2291</f>
        <v>0</v>
      </c>
      <c r="TJ28" s="57">
        <f>'REG y VAL POE - AESR - ESR'!B2292</f>
        <v>0</v>
      </c>
      <c r="TK28" s="57">
        <f>'REG y VAL POE - AESR - ESR'!C2292</f>
        <v>0</v>
      </c>
      <c r="TL28" s="57">
        <f>'REG y VAL POE - AESR - ESR'!D2292</f>
        <v>0</v>
      </c>
      <c r="TM28" s="56">
        <f>'REG y VAL POE - AESR - ESR'!E2292</f>
        <v>0</v>
      </c>
      <c r="TN28" s="57">
        <f>'REG y VAL POE - AESR - ESR'!F2292</f>
        <v>0</v>
      </c>
      <c r="TO28" s="390">
        <f>'REG y VAL POE - AESR - ESR'!G2292</f>
        <v>0</v>
      </c>
      <c r="TP28" s="59">
        <f>'REG y VAL POE - AESR - ESR'!H2292</f>
        <v>0</v>
      </c>
      <c r="TQ28" s="57">
        <f>'REG y VAL POE - AESR - ESR'!I2292</f>
        <v>0</v>
      </c>
      <c r="TR28" s="58">
        <f>'REG y VAL POE - AESR - ESR'!J2292</f>
        <v>0</v>
      </c>
      <c r="TS28" s="56">
        <f>'REG y VAL POE - AESR - ESR'!K2292</f>
        <v>0</v>
      </c>
      <c r="TT28" s="57">
        <f>'REG y VAL POE - AESR - ESR'!L2292</f>
        <v>0</v>
      </c>
      <c r="TU28" s="57">
        <f>'REG y VAL POE - AESR - ESR'!M2292</f>
        <v>0</v>
      </c>
      <c r="TV28" s="57">
        <f>'REG y VAL POE - AESR - ESR'!N2292</f>
        <v>0</v>
      </c>
      <c r="TW28" s="56">
        <f>'REG y VAL POE - AESR - ESR'!O2292</f>
        <v>0</v>
      </c>
      <c r="TX28" s="57">
        <f>'REG y VAL POE - AESR - ESR'!P2292</f>
        <v>0</v>
      </c>
      <c r="TY28" s="57">
        <f>'REG y VAL POE - AESR - ESR'!Q2292</f>
        <v>0</v>
      </c>
      <c r="TZ28" s="56">
        <f>'REG y VAL POE - AESR - ESR'!R2292</f>
        <v>0</v>
      </c>
      <c r="UA28" s="57">
        <f>'REG y VAL POE - AESR - ESR'!S2292</f>
        <v>0</v>
      </c>
      <c r="UB28" s="58">
        <f>'REG y VAL POE - AESR - ESR'!T2292</f>
        <v>0</v>
      </c>
      <c r="UC28" s="56">
        <f>'REG y VAL POE - AESR - ESR'!U2292</f>
        <v>0</v>
      </c>
      <c r="UD28" s="57">
        <f>'REG y VAL POE - AESR - ESR'!V2292</f>
        <v>0</v>
      </c>
      <c r="UE28" s="57">
        <f>'REG y VAL POE - AESR - ESR'!W2292</f>
        <v>0</v>
      </c>
      <c r="UF28" s="57">
        <f>'REG y VAL POE - AESR - ESR'!X2292</f>
        <v>0</v>
      </c>
      <c r="UG28" s="56">
        <f>'REG y VAL POE - AESR - ESR'!Y2292</f>
        <v>0</v>
      </c>
      <c r="UH28" s="57">
        <f>'REG y VAL POE - AESR - ESR'!Z2292</f>
        <v>0</v>
      </c>
      <c r="UI28" s="57">
        <f>'REG y VAL POE - AESR - ESR'!AA2292</f>
        <v>0</v>
      </c>
      <c r="UJ28" s="56">
        <f>'REG y VAL POE - AESR - ESR'!AB2292</f>
        <v>0</v>
      </c>
      <c r="UK28" s="57">
        <f>'REG y VAL POE - AESR - ESR'!AC2292</f>
        <v>0</v>
      </c>
      <c r="UL28" s="58">
        <f>'REG y VAL POE - AESR - ESR'!AD2292</f>
        <v>0</v>
      </c>
      <c r="UM28" s="56">
        <f>'REG y VAL POE - AESR - ESR'!AE2292</f>
        <v>0</v>
      </c>
      <c r="UN28" s="57">
        <f>'REG y VAL POE - AESR - ESR'!AF2292</f>
        <v>0</v>
      </c>
      <c r="UO28" s="57">
        <f>'REG y VAL POE - AESR - ESR'!AG2292</f>
        <v>0</v>
      </c>
      <c r="UP28" s="57">
        <f>'REG y VAL POE - AESR - ESR'!AH2292</f>
        <v>0</v>
      </c>
      <c r="UQ28" s="56">
        <f>'REG y VAL POE - AESR - ESR'!AI2292</f>
        <v>0</v>
      </c>
      <c r="UR28" s="57">
        <f>'REG y VAL POE - AESR - ESR'!AJ2292</f>
        <v>0</v>
      </c>
      <c r="US28" s="57">
        <f>'REG y VAL POE - AESR - ESR'!AK2292</f>
        <v>0</v>
      </c>
      <c r="UT28" s="56">
        <f>'REG y VAL POE - AESR - ESR'!AL2292</f>
        <v>0</v>
      </c>
      <c r="UU28" s="57">
        <f>'REG y VAL POE - AESR - ESR'!AM2292</f>
        <v>0</v>
      </c>
      <c r="UV28" s="58">
        <f>'REG y VAL POE - AESR - ESR'!AN2292</f>
        <v>0</v>
      </c>
      <c r="UW28" s="56">
        <f>'REG y VAL POE - AESR - ESR'!AO2292</f>
        <v>0</v>
      </c>
      <c r="UX28" s="57">
        <f>'REG y VAL POE - AESR - ESR'!AP2292</f>
        <v>0</v>
      </c>
      <c r="UY28" s="57">
        <f>'REG y VAL POE - AESR - ESR'!AQ2292</f>
        <v>0</v>
      </c>
      <c r="UZ28" s="57">
        <f>'REG y VAL POE - AESR - ESR'!AR2292</f>
        <v>0</v>
      </c>
      <c r="VA28" s="56">
        <f>'REG y VAL POE - AESR - ESR'!AS2292</f>
        <v>0</v>
      </c>
      <c r="VB28" s="57">
        <f>'REG y VAL POE - AESR - ESR'!B2293</f>
        <v>0</v>
      </c>
      <c r="VC28" s="57">
        <f>'REG y VAL POE - AESR - ESR'!C2293</f>
        <v>0</v>
      </c>
      <c r="VD28" s="56">
        <f>'REG y VAL POE - AESR - ESR'!D2293</f>
        <v>0</v>
      </c>
      <c r="VE28" s="57">
        <f>'REG y VAL POE - AESR - ESR'!E2293</f>
        <v>0</v>
      </c>
      <c r="VF28" s="58">
        <f>'REG y VAL POE - AESR - ESR'!F2293</f>
        <v>0</v>
      </c>
      <c r="VG28" s="56">
        <f>'REG y VAL POE - AESR - ESR'!G2293</f>
        <v>0</v>
      </c>
      <c r="VH28" s="57">
        <f>'REG y VAL POE - AESR - ESR'!H2293</f>
        <v>0</v>
      </c>
      <c r="VI28" s="57">
        <f>'REG y VAL POE - AESR - ESR'!I2293</f>
        <v>0</v>
      </c>
      <c r="VJ28" s="57">
        <f>'REG y VAL POE - AESR - ESR'!J2293</f>
        <v>0</v>
      </c>
      <c r="VK28" s="56">
        <f>'REG y VAL POE - AESR - ESR'!K2293</f>
        <v>0</v>
      </c>
      <c r="VL28" s="57">
        <f>'REG y VAL POE - AESR - ESR'!L2293</f>
        <v>0</v>
      </c>
      <c r="VM28" s="57">
        <f>'REG y VAL POE - AESR - ESR'!M2293</f>
        <v>0</v>
      </c>
      <c r="VN28" s="56">
        <f>'REG y VAL POE - AESR - ESR'!N2293</f>
        <v>0</v>
      </c>
      <c r="VO28" s="57">
        <f>'REG y VAL POE - AESR - ESR'!O2293</f>
        <v>0</v>
      </c>
      <c r="VP28" s="58">
        <f>'REG y VAL POE - AESR - ESR'!P2293</f>
        <v>0</v>
      </c>
      <c r="VQ28" s="56">
        <f>'REG y VAL POE - AESR - ESR'!Q2293</f>
        <v>0</v>
      </c>
      <c r="VR28" s="57">
        <f>'REG y VAL POE - AESR - ESR'!R2293</f>
        <v>0</v>
      </c>
      <c r="VS28" s="57">
        <f>'REG y VAL POE - AESR - ESR'!S2293</f>
        <v>0</v>
      </c>
      <c r="VT28" s="57">
        <f>'REG y VAL POE - AESR - ESR'!T2293</f>
        <v>0</v>
      </c>
      <c r="VU28" s="56">
        <f>'REG y VAL POE - AESR - ESR'!U2293</f>
        <v>0</v>
      </c>
      <c r="VV28" s="57">
        <f>'REG y VAL POE - AESR - ESR'!V2293</f>
        <v>0</v>
      </c>
      <c r="VW28" s="57">
        <f>'REG y VAL POE - AESR - ESR'!W2293</f>
        <v>0</v>
      </c>
      <c r="VX28" s="56">
        <f>'REG y VAL POE - AESR - ESR'!X2293</f>
        <v>0</v>
      </c>
      <c r="VY28" s="57">
        <f>'REG y VAL POE - AESR - ESR'!Y2293</f>
        <v>0</v>
      </c>
      <c r="VZ28" s="58">
        <f>'REG y VAL POE - AESR - ESR'!Z2293</f>
        <v>0</v>
      </c>
      <c r="WA28" s="56">
        <f>'REG y VAL POE - AESR - ESR'!AA2293</f>
        <v>0</v>
      </c>
      <c r="WB28" s="57">
        <f>'REG y VAL POE - AESR - ESR'!AB2293</f>
        <v>0</v>
      </c>
      <c r="WC28" s="57">
        <f>'REG y VAL POE - AESR - ESR'!AC2293</f>
        <v>0</v>
      </c>
      <c r="WD28" s="57">
        <f>'REG y VAL POE - AESR - ESR'!AD2293</f>
        <v>0</v>
      </c>
      <c r="WE28" s="56">
        <f>'REG y VAL POE - AESR - ESR'!AE2293</f>
        <v>0</v>
      </c>
      <c r="WF28" s="57">
        <f>'REG y VAL POE - AESR - ESR'!AF2293</f>
        <v>0</v>
      </c>
      <c r="WG28" s="57">
        <f>'REG y VAL POE - AESR - ESR'!AG2293</f>
        <v>0</v>
      </c>
      <c r="WH28" s="56">
        <f>'REG y VAL POE - AESR - ESR'!AH2293</f>
        <v>0</v>
      </c>
      <c r="WI28" s="57">
        <f>'REG y VAL POE - AESR - ESR'!AI2293</f>
        <v>0</v>
      </c>
      <c r="WJ28" s="58">
        <f>'REG y VAL POE - AESR - ESR'!AJ2293</f>
        <v>0</v>
      </c>
      <c r="WK28" s="56">
        <f>'REG y VAL POE - AESR - ESR'!AK2293</f>
        <v>0</v>
      </c>
      <c r="WL28" s="57">
        <f>'REG y VAL POE - AESR - ESR'!AL2293</f>
        <v>0</v>
      </c>
      <c r="WM28" s="57">
        <f>'REG y VAL POE - AESR - ESR'!AM2293</f>
        <v>0</v>
      </c>
      <c r="WN28" s="57">
        <f>'REG y VAL POE - AESR - ESR'!AN2293</f>
        <v>0</v>
      </c>
      <c r="WO28" s="56">
        <f>'REG y VAL POE - AESR - ESR'!AO2293</f>
        <v>0</v>
      </c>
      <c r="WP28" s="57">
        <f>'REG y VAL POE - AESR - ESR'!AP2293</f>
        <v>0</v>
      </c>
      <c r="WQ28" s="57">
        <f>'REG y VAL POE - AESR - ESR'!AQ2293</f>
        <v>0</v>
      </c>
      <c r="WR28" s="56">
        <f>'REG y VAL POE - AESR - ESR'!AR2293</f>
        <v>0</v>
      </c>
      <c r="WS28" s="57">
        <f>'REG y VAL POE - AESR - ESR'!AS2293</f>
        <v>0</v>
      </c>
      <c r="WT28" s="58">
        <f>'REG y VAL POE - AESR - ESR'!B2294</f>
        <v>0</v>
      </c>
      <c r="WU28" s="56">
        <f>'REG y VAL POE - AESR - ESR'!C2294</f>
        <v>0</v>
      </c>
      <c r="WV28" s="57">
        <f>'REG y VAL POE - AESR - ESR'!D2294</f>
        <v>0</v>
      </c>
      <c r="WW28" s="57">
        <f>'REG y VAL POE - AESR - ESR'!E2294</f>
        <v>0</v>
      </c>
      <c r="WX28" s="57">
        <f>'REG y VAL POE - AESR - ESR'!F2294</f>
        <v>0</v>
      </c>
      <c r="WY28" s="56">
        <f>'REG y VAL POE - AESR - ESR'!G2294</f>
        <v>0</v>
      </c>
      <c r="WZ28" s="57">
        <f>'REG y VAL POE - AESR - ESR'!H2294</f>
        <v>0</v>
      </c>
      <c r="XA28" s="57">
        <f>'REG y VAL POE - AESR - ESR'!I2294</f>
        <v>0</v>
      </c>
      <c r="XB28" s="56">
        <f>'REG y VAL POE - AESR - ESR'!J2294</f>
        <v>0</v>
      </c>
      <c r="XC28" s="57">
        <f>'REG y VAL POE - AESR - ESR'!K2294</f>
        <v>0</v>
      </c>
      <c r="XD28" s="58">
        <f>'REG y VAL POE - AESR - ESR'!L2294</f>
        <v>0</v>
      </c>
      <c r="XE28" s="56">
        <f>'REG y VAL POE - AESR - ESR'!M2294</f>
        <v>0</v>
      </c>
      <c r="XF28" s="57">
        <f>'REG y VAL POE - AESR - ESR'!N2294</f>
        <v>0</v>
      </c>
      <c r="XG28" s="57">
        <f>'REG y VAL POE - AESR - ESR'!O2294</f>
        <v>0</v>
      </c>
      <c r="XH28" s="57">
        <f>'REG y VAL POE - AESR - ESR'!P2294</f>
        <v>0</v>
      </c>
      <c r="XI28" s="56">
        <f>'REG y VAL POE - AESR - ESR'!Q2294</f>
        <v>0</v>
      </c>
      <c r="XJ28" s="57">
        <f>'REG y VAL POE - AESR - ESR'!R2294</f>
        <v>0</v>
      </c>
      <c r="XK28" s="57">
        <f>'REG y VAL POE - AESR - ESR'!S2294</f>
        <v>0</v>
      </c>
      <c r="XL28" s="56">
        <f>'REG y VAL POE - AESR - ESR'!T2294</f>
        <v>0</v>
      </c>
      <c r="XM28" s="57">
        <f>'REG y VAL POE - AESR - ESR'!U2294</f>
        <v>0</v>
      </c>
      <c r="XN28" s="58">
        <f>'REG y VAL POE - AESR - ESR'!V2294</f>
        <v>0</v>
      </c>
      <c r="XO28" s="56">
        <f>'REG y VAL POE - AESR - ESR'!W2294</f>
        <v>0</v>
      </c>
      <c r="XP28" s="57">
        <f>'REG y VAL POE - AESR - ESR'!X2294</f>
        <v>0</v>
      </c>
      <c r="XQ28" s="57">
        <f>'REG y VAL POE - AESR - ESR'!Y2294</f>
        <v>0</v>
      </c>
      <c r="XR28" s="57">
        <f>'REG y VAL POE - AESR - ESR'!Z2294</f>
        <v>0</v>
      </c>
      <c r="XS28" s="56">
        <f>'REG y VAL POE - AESR - ESR'!AA2294</f>
        <v>0</v>
      </c>
      <c r="XT28" s="57">
        <f>'REG y VAL POE - AESR - ESR'!AB2294</f>
        <v>0</v>
      </c>
      <c r="XU28" s="57">
        <f>'REG y VAL POE - AESR - ESR'!AC2294</f>
        <v>0</v>
      </c>
      <c r="XV28" s="56">
        <f>'REG y VAL POE - AESR - ESR'!AD2294</f>
        <v>0</v>
      </c>
      <c r="XW28" s="57">
        <f>'REG y VAL POE - AESR - ESR'!AE2294</f>
        <v>0</v>
      </c>
      <c r="XX28" s="58">
        <f>'REG y VAL POE - AESR - ESR'!AF2294</f>
        <v>0</v>
      </c>
      <c r="XY28" s="56">
        <f>'REG y VAL POE - AESR - ESR'!AG2294</f>
        <v>0</v>
      </c>
      <c r="XZ28" s="57">
        <f>'REG y VAL POE - AESR - ESR'!AH2294</f>
        <v>0</v>
      </c>
      <c r="YA28" s="57">
        <f>'REG y VAL POE - AESR - ESR'!AI2294</f>
        <v>0</v>
      </c>
      <c r="YB28" s="57">
        <f>'REG y VAL POE - AESR - ESR'!AJ2294</f>
        <v>0</v>
      </c>
      <c r="YC28" s="56">
        <f>'REG y VAL POE - AESR - ESR'!AK2294</f>
        <v>0</v>
      </c>
      <c r="YD28" s="57">
        <f>'REG y VAL POE - AESR - ESR'!AL2294</f>
        <v>0</v>
      </c>
      <c r="YE28" s="57">
        <f>'REG y VAL POE - AESR - ESR'!AM2294</f>
        <v>0</v>
      </c>
      <c r="YF28" s="56">
        <f>'REG y VAL POE - AESR - ESR'!AN2294</f>
        <v>0</v>
      </c>
      <c r="YG28" s="57">
        <f>'REG y VAL POE - AESR - ESR'!AO2294</f>
        <v>0</v>
      </c>
      <c r="YH28" s="58">
        <f>'REG y VAL POE - AESR - ESR'!AP2294</f>
        <v>0</v>
      </c>
      <c r="YI28" s="56">
        <f>'REG y VAL POE - AESR - ESR'!AQ2294</f>
        <v>0</v>
      </c>
      <c r="YJ28" s="57">
        <f>'REG y VAL POE - AESR - ESR'!AR2294</f>
        <v>0</v>
      </c>
      <c r="YK28" s="57">
        <f>'REG y VAL POE - AESR - ESR'!AS2294</f>
        <v>0</v>
      </c>
      <c r="YL28" s="57"/>
      <c r="YM28" s="56"/>
      <c r="YN28" s="57"/>
      <c r="YO28" s="57"/>
      <c r="YP28" s="56"/>
      <c r="YQ28" s="57"/>
      <c r="YR28" s="58"/>
      <c r="YS28" s="56"/>
      <c r="YT28" s="57"/>
      <c r="YU28" s="57"/>
      <c r="YV28" s="57"/>
      <c r="YW28" s="56"/>
      <c r="YX28" s="57"/>
      <c r="YY28" s="57"/>
      <c r="YZ28" s="56"/>
      <c r="ZA28" s="57"/>
      <c r="ZB28" s="58"/>
      <c r="ZC28" s="56"/>
      <c r="ZD28" s="57"/>
      <c r="ZE28" s="57"/>
      <c r="ZF28" s="57"/>
      <c r="ZG28" s="56"/>
      <c r="ZH28" s="57"/>
      <c r="ZI28" s="57"/>
      <c r="ZJ28" s="56"/>
      <c r="ZK28" s="57"/>
      <c r="ZL28" s="58"/>
      <c r="ZM28" s="56"/>
      <c r="ZN28" s="57"/>
      <c r="ZO28" s="57"/>
      <c r="ZP28" s="57"/>
      <c r="ZQ28" s="56"/>
      <c r="ZR28" s="57"/>
      <c r="ZS28" s="57"/>
      <c r="ZT28" s="56"/>
      <c r="ZU28" s="57"/>
      <c r="ZV28" s="58"/>
      <c r="ZW28" s="56"/>
      <c r="ZX28" s="57"/>
      <c r="ZY28" s="57"/>
      <c r="ZZ28" s="57"/>
      <c r="AAA28" s="56"/>
      <c r="AAB28" s="57"/>
      <c r="AAC28" s="57"/>
      <c r="AAD28" s="56"/>
      <c r="AAE28" s="57"/>
      <c r="AAF28" s="58"/>
      <c r="AAG28" s="56"/>
      <c r="AAH28" s="57"/>
      <c r="AAI28" s="57"/>
      <c r="AAJ28" s="57"/>
      <c r="AAK28" s="56"/>
      <c r="AAL28" s="57"/>
      <c r="AAM28" s="57"/>
      <c r="AAN28" s="56"/>
      <c r="AAO28" s="57"/>
      <c r="AAP28" s="58"/>
      <c r="AAQ28" s="56"/>
      <c r="AAR28" s="57"/>
      <c r="AAS28" s="57"/>
      <c r="AAT28" s="57"/>
      <c r="AAU28" s="56"/>
      <c r="AAV28" s="57"/>
      <c r="AAW28" s="57"/>
      <c r="AAX28" s="58"/>
      <c r="AAY28" s="58"/>
      <c r="AAZ28" s="58"/>
      <c r="ABA28" s="56"/>
      <c r="ABB28" s="58"/>
      <c r="ABC28" s="58"/>
      <c r="ABD28" s="58"/>
      <c r="ABE28" s="58"/>
      <c r="ABF28" s="58"/>
      <c r="ABG28" s="57"/>
      <c r="ABH28" s="56"/>
      <c r="ABI28" s="57"/>
      <c r="ABJ28" s="58"/>
      <c r="ABK28" s="56"/>
      <c r="ABL28" s="57"/>
      <c r="ABM28" s="57"/>
      <c r="ABN28" s="57"/>
      <c r="ABO28" s="56"/>
      <c r="ABP28" s="57"/>
      <c r="ABQ28" s="57"/>
      <c r="ABR28" s="56"/>
      <c r="ABS28" s="57"/>
      <c r="ABT28" s="58"/>
      <c r="ABU28" s="56"/>
      <c r="ABV28" s="57"/>
      <c r="ABW28" s="57"/>
      <c r="ABX28" s="57"/>
      <c r="ABY28" s="56"/>
      <c r="ABZ28" s="57"/>
      <c r="ACA28" s="57"/>
      <c r="ACB28" s="56"/>
      <c r="ACC28" s="57"/>
      <c r="ACD28" s="58"/>
      <c r="ACE28" s="56"/>
      <c r="ACF28" s="57"/>
      <c r="ACG28" s="57"/>
      <c r="ACH28" s="57"/>
      <c r="ACI28" s="56"/>
      <c r="ACJ28" s="57"/>
      <c r="ACK28" s="57"/>
      <c r="ACL28" s="56"/>
      <c r="ACM28" s="57"/>
      <c r="ACN28" s="58"/>
      <c r="ACO28" s="56"/>
      <c r="ACP28" s="57"/>
      <c r="ACQ28" s="57"/>
      <c r="ACR28" s="57"/>
      <c r="ACS28" s="56"/>
      <c r="ACT28" s="57"/>
      <c r="ACU28" s="57"/>
      <c r="ACV28" s="56"/>
      <c r="ACW28" s="57"/>
      <c r="ACX28" s="58"/>
      <c r="ACY28" s="56"/>
      <c r="ACZ28" s="57"/>
      <c r="ADA28" s="57"/>
      <c r="ADB28" s="57"/>
      <c r="ADC28" s="56"/>
      <c r="ADD28" s="57"/>
      <c r="ADE28" s="57"/>
      <c r="ADF28" s="56"/>
      <c r="ADG28" s="57"/>
      <c r="ADH28" s="58"/>
      <c r="ADI28" s="56"/>
      <c r="ADJ28" s="57"/>
      <c r="ADK28" s="57"/>
      <c r="ADL28" s="57"/>
      <c r="ADM28" s="56"/>
      <c r="ADN28" s="57"/>
      <c r="ADO28" s="57"/>
      <c r="ADP28" s="56"/>
      <c r="ADQ28" s="57"/>
      <c r="ADR28" s="58"/>
      <c r="ADS28" s="56"/>
      <c r="ADT28" s="57"/>
      <c r="ADU28" s="57"/>
      <c r="ADV28" s="57"/>
      <c r="ADW28" s="56"/>
      <c r="ADX28" s="57"/>
      <c r="ADY28" s="57"/>
      <c r="ADZ28" s="56"/>
      <c r="AEA28" s="57"/>
      <c r="AEB28" s="58"/>
      <c r="AEC28" s="56"/>
      <c r="AED28" s="57"/>
      <c r="AEE28" s="57"/>
      <c r="AEF28" s="57"/>
      <c r="AEG28" s="56"/>
      <c r="AEH28" s="57"/>
      <c r="AEI28" s="57"/>
      <c r="AEJ28" s="56"/>
      <c r="AEK28" s="57"/>
      <c r="AEL28" s="58"/>
      <c r="AEM28" s="56"/>
      <c r="AEN28" s="57"/>
      <c r="AEO28" s="57"/>
      <c r="AEP28" s="57"/>
      <c r="AEQ28" s="56"/>
      <c r="AER28" s="57"/>
      <c r="AES28" s="57"/>
      <c r="AET28" s="56"/>
      <c r="AEU28" s="57"/>
      <c r="AEV28" s="58"/>
      <c r="AEW28" s="56"/>
      <c r="AEX28" s="57"/>
      <c r="AEY28" s="57"/>
      <c r="AEZ28" s="57"/>
      <c r="AFA28" s="56"/>
      <c r="AFB28" s="57"/>
      <c r="AFC28" s="57"/>
      <c r="AFD28" s="56"/>
      <c r="AFE28" s="57"/>
      <c r="AFF28" s="58"/>
      <c r="AFG28" s="56"/>
      <c r="AFH28" s="57"/>
      <c r="AFI28" s="57"/>
      <c r="AFJ28" s="57"/>
      <c r="AFK28" s="56"/>
      <c r="AFL28" s="57"/>
      <c r="AFM28" s="57"/>
      <c r="AFN28" s="56"/>
      <c r="AFO28" s="57"/>
      <c r="AFP28" s="58"/>
      <c r="AFQ28" s="56"/>
      <c r="AFR28" s="57"/>
      <c r="AFS28" s="57"/>
      <c r="AFT28" s="57"/>
      <c r="AFU28" s="56"/>
      <c r="AFV28" s="57"/>
      <c r="AFW28" s="57"/>
      <c r="AFX28" s="56"/>
      <c r="AFY28" s="57"/>
      <c r="AFZ28" s="58"/>
      <c r="AGA28" s="56"/>
      <c r="AGB28" s="57"/>
      <c r="AGC28" s="57"/>
      <c r="AGD28" s="57"/>
      <c r="AGE28" s="56"/>
      <c r="AGF28" s="57"/>
      <c r="AGG28" s="57"/>
      <c r="AGH28" s="56"/>
      <c r="AGI28" s="57"/>
      <c r="AGJ28" s="58"/>
      <c r="AGK28" s="56"/>
      <c r="AGL28" s="57"/>
      <c r="AGM28" s="57"/>
      <c r="AGN28" s="57"/>
      <c r="AGO28" s="56"/>
      <c r="AGP28" s="57"/>
      <c r="AGQ28" s="57"/>
      <c r="AGR28" s="56"/>
      <c r="AGS28" s="57"/>
      <c r="AGT28" s="58"/>
      <c r="AGU28" s="56"/>
      <c r="AGV28" s="57"/>
      <c r="AGW28" s="57"/>
      <c r="AGX28" s="57"/>
      <c r="AGY28" s="56"/>
      <c r="AGZ28" s="57"/>
      <c r="AHA28" s="57"/>
      <c r="AHB28" s="56"/>
      <c r="AHC28" s="57"/>
      <c r="AHD28" s="58"/>
      <c r="AHE28" s="56"/>
      <c r="AHF28" s="57"/>
      <c r="AHG28" s="57"/>
      <c r="AHH28" s="57"/>
      <c r="AHI28" s="56"/>
      <c r="AHJ28" s="57"/>
      <c r="AHK28" s="57"/>
      <c r="AHL28" s="56"/>
      <c r="AHM28" s="57"/>
      <c r="AHN28" s="58"/>
      <c r="AHO28" s="56"/>
      <c r="AHP28" s="57"/>
      <c r="AHQ28" s="57"/>
      <c r="AHR28" s="57"/>
      <c r="AHS28" s="56"/>
      <c r="AHT28" s="57"/>
      <c r="AHU28" s="57"/>
      <c r="AHV28" s="56"/>
      <c r="AHW28" s="57"/>
      <c r="AHX28" s="58"/>
      <c r="AHY28" s="56"/>
      <c r="AHZ28" s="57"/>
      <c r="AIA28" s="57"/>
      <c r="AIB28" s="57"/>
      <c r="AIC28" s="56"/>
      <c r="AID28" s="57"/>
      <c r="AIE28" s="57"/>
      <c r="AIF28" s="56"/>
      <c r="AIG28" s="57"/>
      <c r="AIH28" s="58"/>
      <c r="AII28" s="56"/>
      <c r="AIJ28" s="57"/>
      <c r="AIK28" s="57"/>
      <c r="AIL28" s="57"/>
      <c r="AIM28" s="56"/>
      <c r="AIN28" s="57"/>
      <c r="AIO28" s="57"/>
      <c r="AIP28" s="56"/>
      <c r="AIQ28" s="57"/>
      <c r="AIR28" s="58"/>
      <c r="AIS28" s="56"/>
      <c r="AIT28" s="57"/>
      <c r="AIU28" s="57"/>
      <c r="AIV28" s="57"/>
      <c r="AIW28" s="56"/>
      <c r="AIX28" s="57"/>
      <c r="AIY28" s="57"/>
      <c r="AIZ28" s="56"/>
      <c r="AJA28" s="57"/>
      <c r="AJB28" s="58"/>
      <c r="AJC28" s="56"/>
      <c r="AJD28" s="57"/>
      <c r="AJE28" s="57"/>
      <c r="AJF28" s="57"/>
      <c r="AJG28" s="56"/>
      <c r="AJH28" s="57"/>
      <c r="AJI28" s="57"/>
      <c r="AJJ28" s="56"/>
      <c r="AJK28" s="57"/>
      <c r="AJL28" s="58"/>
      <c r="AJM28" s="56"/>
      <c r="AJN28" s="57"/>
      <c r="AJO28" s="57"/>
      <c r="AJP28" s="57"/>
      <c r="AJQ28" s="56"/>
      <c r="AJR28" s="57"/>
      <c r="AJS28" s="57"/>
      <c r="AJT28" s="56"/>
      <c r="AJU28" s="57"/>
      <c r="AJV28" s="58"/>
      <c r="AJW28" s="56"/>
      <c r="AJX28" s="57"/>
      <c r="AJY28" s="57"/>
      <c r="AJZ28" s="57"/>
      <c r="AKA28" s="56"/>
      <c r="AKB28" s="57"/>
      <c r="AKC28" s="57"/>
      <c r="AKD28" s="56"/>
      <c r="AKE28" s="57"/>
      <c r="AKF28" s="58"/>
      <c r="AKG28" s="56"/>
      <c r="AKH28" s="57"/>
      <c r="AKI28" s="57"/>
      <c r="AKJ28" s="57"/>
      <c r="AKK28" s="56"/>
      <c r="AKL28" s="57"/>
      <c r="AKM28" s="57"/>
      <c r="AKN28" s="56"/>
      <c r="AKO28" s="57"/>
      <c r="AKP28" s="58"/>
      <c r="AKQ28" s="56"/>
      <c r="AKR28" s="57"/>
      <c r="AKS28" s="57"/>
      <c r="AKT28" s="57"/>
      <c r="AKU28" s="56"/>
      <c r="AKV28" s="57"/>
      <c r="AKW28" s="57"/>
      <c r="AKX28" s="56"/>
      <c r="AKY28" s="57"/>
      <c r="AKZ28" s="58"/>
      <c r="ALA28" s="56"/>
      <c r="ALB28" s="57"/>
      <c r="ALC28" s="57"/>
      <c r="ALD28" s="57"/>
      <c r="ALE28" s="56"/>
      <c r="ALF28" s="57"/>
      <c r="ALG28" s="57"/>
      <c r="ALH28" s="57"/>
      <c r="ALI28" s="57"/>
      <c r="ALJ28" s="57"/>
      <c r="ALK28" s="56"/>
      <c r="ALL28" s="57"/>
      <c r="ALM28" s="57"/>
      <c r="ALN28" s="56"/>
      <c r="ALO28" s="57"/>
      <c r="ALP28" s="58"/>
      <c r="ALQ28" s="56"/>
      <c r="ALR28" s="57"/>
      <c r="ALS28" s="57"/>
      <c r="ALT28" s="57"/>
      <c r="ALU28" s="56"/>
      <c r="ALV28" s="57"/>
      <c r="ALW28" s="57"/>
      <c r="ALX28" s="56"/>
      <c r="ALY28" s="57"/>
      <c r="ALZ28" s="58"/>
      <c r="AMA28" s="56"/>
      <c r="AMB28" s="57"/>
      <c r="AMC28" s="57"/>
      <c r="AMD28" s="57"/>
      <c r="AME28" s="56"/>
      <c r="AMF28" s="57"/>
      <c r="AMG28" s="57"/>
      <c r="AMH28" s="57"/>
      <c r="AMI28" s="57"/>
      <c r="AMJ28" s="57"/>
      <c r="AMK28" s="56"/>
      <c r="AML28" s="57"/>
      <c r="AMM28" s="57"/>
      <c r="AMN28" s="56"/>
      <c r="AMO28" s="57"/>
      <c r="AMP28" s="58"/>
      <c r="AMQ28" s="56"/>
      <c r="AMR28" s="57"/>
      <c r="AMS28" s="57"/>
      <c r="AMT28" s="57"/>
      <c r="AMU28" s="56"/>
      <c r="AMV28" s="57"/>
      <c r="AMW28" s="57"/>
      <c r="AMX28" s="56"/>
      <c r="AMY28" s="57"/>
      <c r="AMZ28" s="58"/>
      <c r="ANA28" s="56"/>
      <c r="ANB28" s="57"/>
      <c r="ANC28" s="57"/>
      <c r="AND28" s="57"/>
      <c r="ANE28" s="56"/>
      <c r="ANF28" s="57"/>
      <c r="ANG28" s="57"/>
      <c r="ANH28" s="57"/>
      <c r="ANI28" s="57"/>
      <c r="ANJ28" s="57"/>
      <c r="ANK28" s="56"/>
      <c r="ANL28" s="57"/>
      <c r="ANM28" s="57"/>
      <c r="ANN28" s="56"/>
      <c r="ANO28" s="57"/>
      <c r="ANP28" s="58"/>
      <c r="ANQ28" s="56"/>
      <c r="ANR28" s="57"/>
      <c r="ANS28" s="57"/>
      <c r="ANT28" s="57"/>
      <c r="ANU28" s="56"/>
      <c r="ANV28" s="57"/>
      <c r="ANW28" s="57"/>
      <c r="ANX28" s="56"/>
      <c r="ANY28" s="57"/>
      <c r="ANZ28" s="58"/>
      <c r="AOA28" s="56"/>
      <c r="AOB28" s="57"/>
      <c r="AOC28" s="57"/>
      <c r="AOD28" s="57"/>
      <c r="AOE28" s="56"/>
      <c r="AOF28" s="57"/>
      <c r="AOG28" s="57"/>
      <c r="AOH28" s="57"/>
      <c r="AOI28" s="57"/>
      <c r="AOJ28" s="57"/>
      <c r="AOK28" s="56"/>
      <c r="AOL28" s="57"/>
      <c r="AOM28" s="57"/>
      <c r="AON28" s="56"/>
      <c r="AOO28" s="57"/>
      <c r="AOP28" s="58"/>
      <c r="AOQ28" s="56"/>
      <c r="AOR28" s="57"/>
      <c r="AOS28" s="57"/>
      <c r="AOT28" s="57"/>
      <c r="AOU28" s="56"/>
      <c r="AOV28" s="57"/>
      <c r="AOW28" s="57"/>
      <c r="AOX28" s="56"/>
      <c r="AOY28" s="57"/>
      <c r="AOZ28" s="58"/>
      <c r="APA28" s="56"/>
      <c r="APB28" s="57"/>
      <c r="APC28" s="57"/>
      <c r="APD28" s="57"/>
      <c r="APE28" s="56"/>
      <c r="APF28" s="57"/>
      <c r="APG28" s="57"/>
      <c r="APH28" s="57"/>
      <c r="API28" s="57"/>
      <c r="APJ28" s="57"/>
      <c r="APK28" s="56"/>
      <c r="APL28" s="57"/>
      <c r="APM28" s="57"/>
      <c r="APN28" s="56"/>
      <c r="APO28" s="57"/>
      <c r="APP28" s="58"/>
      <c r="APQ28" s="56"/>
      <c r="APR28" s="57"/>
      <c r="APS28" s="57"/>
      <c r="APT28" s="57"/>
      <c r="APU28" s="56"/>
      <c r="APV28" s="57"/>
      <c r="APW28" s="57"/>
      <c r="APX28" s="56"/>
      <c r="APY28" s="57"/>
      <c r="APZ28" s="58"/>
      <c r="AQA28" s="56"/>
      <c r="AQB28" s="57"/>
      <c r="AQC28" s="57"/>
      <c r="AQD28" s="57"/>
      <c r="AQE28" s="56"/>
      <c r="AQF28" s="57"/>
      <c r="AQG28" s="57"/>
      <c r="AQH28" s="57"/>
      <c r="AQI28" s="57"/>
      <c r="AQJ28" s="57"/>
      <c r="AQK28" s="56"/>
      <c r="AQL28" s="57"/>
      <c r="AQM28" s="57"/>
      <c r="AQN28" s="56"/>
      <c r="AQO28" s="57"/>
      <c r="AQP28" s="58"/>
      <c r="AQQ28" s="56"/>
      <c r="AQR28" s="57"/>
      <c r="AQS28" s="57"/>
      <c r="AQT28" s="57"/>
      <c r="AQU28" s="56"/>
      <c r="AQV28" s="57"/>
      <c r="AQW28" s="57"/>
      <c r="AQX28" s="56"/>
      <c r="AQY28" s="57"/>
      <c r="AQZ28" s="58"/>
      <c r="ARA28" s="56"/>
      <c r="ARB28" s="57"/>
      <c r="ARC28" s="57"/>
      <c r="ARD28" s="57"/>
      <c r="ARE28" s="56"/>
      <c r="ARF28" s="57"/>
      <c r="ARG28" s="57"/>
      <c r="ARH28" s="57"/>
      <c r="ARI28" s="57"/>
      <c r="ARJ28" s="57"/>
      <c r="ARK28" s="56"/>
      <c r="ARL28" s="57"/>
      <c r="ARM28" s="57"/>
      <c r="ARN28" s="56"/>
      <c r="ARO28" s="57"/>
      <c r="ARP28" s="58"/>
      <c r="ARQ28" s="56"/>
      <c r="ARR28" s="57"/>
      <c r="ARS28" s="57"/>
      <c r="ART28" s="57"/>
      <c r="ARU28" s="56"/>
      <c r="ARV28" s="57"/>
      <c r="ARW28" s="57"/>
      <c r="ARX28" s="56"/>
      <c r="ARY28" s="57"/>
      <c r="ARZ28" s="58"/>
      <c r="ASA28" s="56"/>
      <c r="ASB28" s="57"/>
      <c r="ASC28" s="57"/>
      <c r="ASD28" s="57"/>
      <c r="ASE28" s="56"/>
      <c r="ASF28" s="57"/>
      <c r="ASG28" s="57"/>
      <c r="ASH28" s="57"/>
      <c r="ASI28" s="57"/>
      <c r="ASJ28" s="57"/>
      <c r="ASK28" s="56"/>
      <c r="ASL28" s="57"/>
      <c r="ASM28" s="57"/>
      <c r="ASN28" s="56"/>
      <c r="ASO28" s="57"/>
      <c r="ASP28" s="58"/>
      <c r="ASQ28" s="56"/>
      <c r="ASR28" s="57"/>
      <c r="ASS28" s="57"/>
      <c r="AST28" s="57"/>
      <c r="ASU28" s="56"/>
      <c r="ASV28" s="57"/>
      <c r="ASW28" s="57"/>
      <c r="ASX28" s="56"/>
      <c r="ASY28" s="57"/>
      <c r="ASZ28" s="58"/>
      <c r="ATA28" s="56"/>
      <c r="ATB28" s="57"/>
      <c r="ATC28" s="57"/>
      <c r="ATD28" s="57"/>
      <c r="ATE28" s="56"/>
      <c r="ATF28" s="57"/>
      <c r="ATG28" s="57"/>
      <c r="ATH28" s="57"/>
      <c r="ATI28" s="57"/>
      <c r="ATJ28" s="57"/>
      <c r="ATK28" s="56"/>
      <c r="ATL28" s="57"/>
      <c r="ATM28" s="57"/>
      <c r="ATN28" s="56"/>
      <c r="ATO28" s="57"/>
      <c r="ATP28" s="58"/>
      <c r="ATQ28" s="56"/>
      <c r="ATR28" s="57"/>
      <c r="ATS28" s="57"/>
      <c r="ATT28" s="57"/>
      <c r="ATU28" s="56"/>
      <c r="ATV28" s="57"/>
      <c r="ATW28" s="57"/>
      <c r="ATX28" s="56"/>
      <c r="ATY28" s="57"/>
      <c r="ATZ28" s="58"/>
      <c r="AUA28" s="56"/>
      <c r="AUB28" s="57"/>
      <c r="AUC28" s="57"/>
      <c r="AUD28" s="57"/>
      <c r="AUE28" s="56"/>
      <c r="AUF28" s="57"/>
      <c r="AUG28" s="57"/>
      <c r="AUH28" s="57"/>
      <c r="AUI28" s="57"/>
      <c r="AUJ28" s="57"/>
      <c r="AUK28" s="56"/>
      <c r="AUL28" s="57"/>
      <c r="AUM28" s="57"/>
      <c r="AUN28" s="56"/>
      <c r="AUO28" s="57"/>
      <c r="AUP28" s="58"/>
      <c r="AUQ28" s="56"/>
      <c r="AUR28" s="57"/>
      <c r="AUS28" s="57"/>
      <c r="AUT28" s="57"/>
      <c r="AUU28" s="56"/>
      <c r="AUV28" s="57"/>
      <c r="AUW28" s="57"/>
      <c r="AUX28" s="56"/>
      <c r="AUY28" s="57"/>
      <c r="AUZ28" s="58"/>
      <c r="AVA28" s="56"/>
      <c r="AVB28" s="57"/>
      <c r="AVC28" s="57"/>
      <c r="AVD28" s="57"/>
      <c r="AVE28" s="56"/>
      <c r="AVF28" s="57"/>
      <c r="AVG28" s="57"/>
      <c r="AVH28" s="57"/>
      <c r="AVI28" s="57"/>
      <c r="AVJ28" s="57"/>
      <c r="AVK28" s="56"/>
      <c r="AVL28" s="57"/>
      <c r="AVM28" s="57"/>
      <c r="AVN28" s="56"/>
      <c r="AVO28" s="57"/>
      <c r="AVP28" s="58"/>
      <c r="AVQ28" s="56"/>
      <c r="AVR28" s="57"/>
      <c r="AVS28" s="57"/>
      <c r="AVT28" s="57"/>
      <c r="AVU28" s="56"/>
      <c r="AVV28" s="57"/>
      <c r="AVW28" s="57"/>
      <c r="AVX28" s="56"/>
      <c r="AVY28" s="57"/>
      <c r="AVZ28" s="58"/>
      <c r="AWA28" s="56"/>
      <c r="AWB28" s="57"/>
      <c r="AWC28" s="57"/>
      <c r="AWD28" s="57"/>
      <c r="AWE28" s="56"/>
      <c r="AWF28" s="57"/>
      <c r="AWG28" s="57"/>
      <c r="AWH28" s="57"/>
      <c r="AWI28" s="57"/>
      <c r="AWJ28" s="57"/>
      <c r="AWK28" s="56"/>
      <c r="AWL28" s="57"/>
      <c r="AWM28" s="57"/>
      <c r="AWN28" s="56"/>
      <c r="AWO28" s="57"/>
      <c r="AWP28" s="58"/>
      <c r="AWQ28" s="56"/>
      <c r="AWR28" s="57"/>
      <c r="AWS28" s="57"/>
      <c r="AWT28" s="57"/>
      <c r="AWU28" s="56"/>
      <c r="AWV28" s="57"/>
      <c r="AWW28" s="57"/>
      <c r="AWX28" s="56"/>
      <c r="AWY28" s="57"/>
      <c r="AWZ28" s="58"/>
      <c r="AXA28" s="56"/>
      <c r="AXB28" s="57"/>
      <c r="AXC28" s="57"/>
      <c r="AXD28" s="57"/>
      <c r="AXE28" s="56"/>
      <c r="AXF28" s="57"/>
      <c r="AXG28" s="57"/>
      <c r="AXH28" s="57"/>
      <c r="AXI28" s="57"/>
      <c r="AXJ28" s="57"/>
      <c r="AXK28" s="56"/>
      <c r="AXL28" s="57"/>
      <c r="AXM28" s="57"/>
      <c r="AXN28" s="56"/>
      <c r="AXO28" s="57"/>
      <c r="AXP28" s="58"/>
      <c r="AXQ28" s="56"/>
      <c r="AXR28" s="57"/>
      <c r="AXS28" s="57"/>
      <c r="AXT28" s="57"/>
      <c r="AXU28" s="56"/>
      <c r="AXV28" s="57"/>
      <c r="AXW28" s="57"/>
      <c r="AXX28" s="56"/>
      <c r="AXY28" s="57"/>
      <c r="AXZ28" s="58"/>
      <c r="AYA28" s="56"/>
      <c r="AYB28" s="57"/>
      <c r="AYC28" s="57"/>
      <c r="AYD28" s="57"/>
      <c r="AYE28" s="56"/>
      <c r="AYF28" s="57"/>
      <c r="AYG28" s="57"/>
      <c r="AYH28" s="57"/>
      <c r="AYI28" s="57"/>
      <c r="AYJ28" s="57"/>
      <c r="AYK28" s="56"/>
      <c r="AYL28" s="57"/>
      <c r="AYM28" s="57"/>
      <c r="AYN28" s="56"/>
      <c r="AYO28" s="57"/>
      <c r="AYP28" s="58"/>
      <c r="AYQ28" s="56"/>
      <c r="AYR28" s="57"/>
      <c r="AYS28" s="57"/>
      <c r="AYT28" s="57"/>
      <c r="AYU28" s="56"/>
      <c r="AYV28" s="57"/>
      <c r="AYW28" s="57"/>
      <c r="AYX28" s="56"/>
      <c r="AYY28" s="57"/>
      <c r="AYZ28" s="58"/>
      <c r="AZA28" s="56"/>
      <c r="AZB28" s="57"/>
      <c r="AZC28" s="57"/>
      <c r="AZD28" s="57"/>
      <c r="AZE28" s="56"/>
      <c r="AZF28" s="57"/>
      <c r="AZG28" s="57"/>
      <c r="AZH28" s="57"/>
      <c r="AZI28" s="57"/>
      <c r="AZJ28" s="57"/>
      <c r="AZK28" s="56"/>
      <c r="AZL28" s="57"/>
      <c r="AZM28" s="57"/>
      <c r="AZN28" s="56"/>
      <c r="AZO28" s="57"/>
      <c r="AZP28" s="58"/>
      <c r="AZQ28" s="56"/>
      <c r="AZR28" s="57"/>
      <c r="AZS28" s="57"/>
      <c r="AZT28" s="57"/>
      <c r="AZU28" s="56"/>
      <c r="AZV28" s="57"/>
      <c r="AZW28" s="57"/>
      <c r="AZX28" s="56"/>
      <c r="AZY28" s="57"/>
      <c r="AZZ28" s="58"/>
      <c r="BAA28" s="56"/>
      <c r="BAB28" s="57"/>
      <c r="BAC28" s="57"/>
      <c r="BAD28" s="57"/>
      <c r="BAE28" s="56"/>
      <c r="BAF28" s="57"/>
      <c r="BAG28" s="57"/>
      <c r="BAH28" s="57"/>
      <c r="BAI28" s="57"/>
      <c r="BAJ28" s="57"/>
      <c r="BAK28" s="56"/>
      <c r="BAL28" s="57"/>
      <c r="BAM28" s="57"/>
      <c r="BAN28" s="56"/>
      <c r="BAO28" s="57"/>
      <c r="BAP28" s="58"/>
      <c r="BAQ28" s="56"/>
      <c r="BAR28" s="57"/>
      <c r="BAS28" s="57"/>
      <c r="BAT28" s="57"/>
      <c r="BAU28" s="56"/>
      <c r="BAV28" s="57"/>
      <c r="BAW28" s="57"/>
      <c r="BAX28" s="56"/>
      <c r="BAY28" s="57"/>
      <c r="BAZ28" s="58"/>
      <c r="BBA28" s="56"/>
      <c r="BBB28" s="57"/>
      <c r="BBC28" s="57"/>
      <c r="BBD28" s="57"/>
      <c r="BBE28" s="56"/>
      <c r="BBF28" s="57"/>
      <c r="BBG28" s="57"/>
      <c r="BBH28" s="57"/>
      <c r="BBI28" s="57"/>
      <c r="BBJ28" s="57"/>
      <c r="BBK28" s="56"/>
      <c r="BBL28" s="57"/>
      <c r="BBM28" s="57"/>
      <c r="BBN28" s="56"/>
      <c r="BBO28" s="57"/>
      <c r="BBP28" s="58"/>
      <c r="BBQ28" s="56"/>
      <c r="BBR28" s="57"/>
      <c r="BBS28" s="57"/>
      <c r="BBT28" s="57"/>
      <c r="BBU28" s="56"/>
      <c r="BBV28" s="57"/>
      <c r="BBW28" s="57"/>
      <c r="BBX28" s="56"/>
      <c r="BBY28" s="57"/>
      <c r="BBZ28" s="58"/>
      <c r="BCA28" s="56"/>
      <c r="BCB28" s="57"/>
      <c r="BCC28" s="57"/>
      <c r="BCD28" s="57"/>
      <c r="BCE28" s="56"/>
      <c r="BCF28" s="57"/>
      <c r="BCG28" s="57"/>
      <c r="BCH28" s="57"/>
      <c r="BCI28" s="57"/>
      <c r="BCJ28" s="57"/>
      <c r="BCK28" s="56"/>
      <c r="BCL28" s="57"/>
      <c r="BCM28" s="57"/>
      <c r="BCN28" s="56"/>
      <c r="BCO28" s="57"/>
      <c r="BCP28" s="58"/>
      <c r="BCQ28" s="56"/>
      <c r="BCR28" s="57"/>
      <c r="BCS28" s="57"/>
      <c r="BCT28" s="57"/>
      <c r="BCU28" s="56"/>
      <c r="BCV28" s="57"/>
      <c r="BCW28" s="57"/>
      <c r="BCX28" s="56"/>
      <c r="BCY28" s="57"/>
      <c r="BCZ28" s="58"/>
      <c r="BDA28" s="56"/>
      <c r="BDB28" s="57"/>
      <c r="BDC28" s="57"/>
      <c r="BDD28" s="57"/>
      <c r="BDE28" s="56"/>
      <c r="BDF28" s="57"/>
      <c r="BDG28" s="57"/>
      <c r="BDH28" s="57"/>
      <c r="BDI28" s="57"/>
      <c r="BDJ28" s="57"/>
      <c r="BDK28" s="56"/>
      <c r="BDL28" s="57"/>
      <c r="BDM28" s="57"/>
      <c r="BDN28" s="56"/>
      <c r="BDO28" s="57"/>
      <c r="BDP28" s="58"/>
      <c r="BDQ28" s="56"/>
      <c r="BDR28" s="57"/>
      <c r="BDS28" s="57"/>
      <c r="BDT28" s="57"/>
      <c r="BDU28" s="56"/>
      <c r="BDV28" s="57"/>
      <c r="BDW28" s="57"/>
      <c r="BDX28" s="56"/>
      <c r="BDY28" s="57"/>
      <c r="BDZ28" s="58"/>
      <c r="BEA28" s="56"/>
      <c r="BEB28" s="57"/>
      <c r="BEC28" s="57"/>
      <c r="BED28" s="57"/>
      <c r="BEE28" s="56"/>
      <c r="BEF28" s="57"/>
      <c r="BEG28" s="57"/>
      <c r="BEH28" s="57"/>
      <c r="BEI28" s="57"/>
      <c r="BEJ28" s="57"/>
      <c r="BEK28" s="56"/>
      <c r="BEL28" s="57"/>
      <c r="BEM28" s="57"/>
      <c r="BEN28" s="56"/>
      <c r="BEO28" s="57"/>
      <c r="BEP28" s="58"/>
      <c r="BEQ28" s="56"/>
      <c r="BER28" s="57"/>
      <c r="BES28" s="57"/>
      <c r="BET28" s="57"/>
      <c r="BEU28" s="56"/>
      <c r="BEV28" s="57"/>
      <c r="BEW28" s="57"/>
      <c r="BEX28" s="56"/>
      <c r="BEY28" s="57"/>
      <c r="BEZ28" s="58"/>
      <c r="BFA28" s="56"/>
      <c r="BFB28" s="57"/>
      <c r="BFC28" s="57"/>
      <c r="BFD28" s="57"/>
      <c r="BFE28" s="56"/>
      <c r="BFF28" s="57"/>
      <c r="BFG28" s="57"/>
      <c r="BFH28" s="57"/>
      <c r="BFI28" s="57"/>
      <c r="BFJ28" s="57"/>
      <c r="BFK28" s="56"/>
      <c r="BFL28" s="57"/>
      <c r="BFM28" s="57"/>
      <c r="BFN28" s="56"/>
      <c r="BFO28" s="57"/>
      <c r="BFP28" s="58"/>
      <c r="BFQ28" s="56"/>
      <c r="BFR28" s="57"/>
      <c r="BFS28" s="57"/>
      <c r="BFT28" s="57"/>
      <c r="BFU28" s="56"/>
      <c r="BFV28" s="57"/>
      <c r="BFW28" s="57"/>
      <c r="BFX28" s="56"/>
      <c r="BFY28" s="57"/>
      <c r="BFZ28" s="58"/>
      <c r="BGA28" s="56"/>
      <c r="BGB28" s="57"/>
      <c r="BGC28" s="57"/>
      <c r="BGD28" s="57"/>
      <c r="BGE28" s="56"/>
      <c r="BGF28" s="57"/>
      <c r="BGG28" s="57"/>
      <c r="BGH28" s="57"/>
      <c r="BGI28" s="57"/>
      <c r="BGJ28" s="57"/>
      <c r="BGK28" s="56"/>
      <c r="BGL28" s="57"/>
      <c r="BGM28" s="57"/>
      <c r="BGN28" s="56"/>
      <c r="BGO28" s="57"/>
      <c r="BGP28" s="58"/>
      <c r="BGQ28" s="56"/>
      <c r="BGR28" s="57"/>
      <c r="BGS28" s="57"/>
      <c r="BGT28" s="57"/>
      <c r="BGU28" s="56"/>
      <c r="BGV28" s="57"/>
      <c r="BGW28" s="57"/>
      <c r="BGX28" s="56"/>
      <c r="BGY28" s="57"/>
      <c r="BGZ28" s="58"/>
      <c r="BHA28" s="56"/>
      <c r="BHB28" s="57"/>
      <c r="BHC28" s="57"/>
      <c r="BHD28" s="57"/>
      <c r="BHE28" s="56"/>
      <c r="BHF28" s="57"/>
      <c r="BHG28" s="57"/>
      <c r="BHH28" s="57"/>
      <c r="BHI28" s="57"/>
      <c r="BHJ28" s="57"/>
      <c r="BHK28" s="56"/>
      <c r="BHL28" s="57"/>
      <c r="BHM28" s="57"/>
      <c r="BHN28" s="56"/>
      <c r="BHO28" s="57"/>
      <c r="BHP28" s="58"/>
      <c r="BHQ28" s="56"/>
      <c r="BHR28" s="57"/>
      <c r="BHS28" s="57"/>
      <c r="BHT28" s="57"/>
      <c r="BHU28" s="56"/>
      <c r="BHV28" s="57"/>
      <c r="BHW28" s="57"/>
      <c r="BHX28" s="56"/>
      <c r="BHY28" s="57"/>
      <c r="BHZ28" s="58"/>
      <c r="BIA28" s="56"/>
      <c r="BIB28" s="57"/>
      <c r="BIC28" s="57"/>
      <c r="BID28" s="57"/>
      <c r="BIE28" s="56"/>
      <c r="BIF28" s="57"/>
      <c r="BIG28" s="57"/>
      <c r="BIH28" s="57"/>
      <c r="BII28" s="57"/>
      <c r="BIJ28" s="57"/>
      <c r="BIK28" s="56"/>
      <c r="BIL28" s="57"/>
      <c r="BIM28" s="57"/>
      <c r="BIN28" s="56"/>
      <c r="BIO28" s="57"/>
      <c r="BIP28" s="58"/>
      <c r="BIQ28" s="56"/>
      <c r="BIR28" s="57"/>
      <c r="BIS28" s="57"/>
      <c r="BIT28" s="57"/>
      <c r="BIU28" s="56"/>
      <c r="BIV28" s="57"/>
      <c r="BIW28" s="57"/>
      <c r="BIX28" s="56"/>
      <c r="BIY28" s="57"/>
      <c r="BIZ28" s="58"/>
      <c r="BJA28" s="56"/>
      <c r="BJB28" s="57"/>
      <c r="BJC28" s="57"/>
      <c r="BJD28" s="57"/>
      <c r="BJE28" s="56"/>
      <c r="BJF28" s="57"/>
      <c r="BJG28" s="57"/>
      <c r="BJH28" s="57"/>
      <c r="BJI28" s="57"/>
      <c r="BJJ28" s="57"/>
      <c r="BJK28" s="56"/>
      <c r="BJL28" s="57"/>
      <c r="BJM28" s="57"/>
      <c r="BJN28" s="56"/>
      <c r="BJO28" s="57"/>
      <c r="BJP28" s="58"/>
      <c r="BJQ28" s="56"/>
      <c r="BJR28" s="57"/>
      <c r="BJS28" s="57"/>
      <c r="BJT28" s="57"/>
      <c r="BJU28" s="56"/>
      <c r="BJV28" s="57"/>
      <c r="BJW28" s="57"/>
      <c r="BJX28" s="56"/>
      <c r="BJY28" s="57"/>
      <c r="BJZ28" s="58"/>
      <c r="BKA28" s="56"/>
      <c r="BKB28" s="57"/>
      <c r="BKC28" s="57"/>
      <c r="BKD28" s="57"/>
      <c r="BKE28" s="56"/>
      <c r="BKF28" s="57"/>
      <c r="BKG28" s="57"/>
      <c r="BKH28" s="57"/>
      <c r="BKI28" s="57"/>
      <c r="BKJ28" s="57"/>
      <c r="BKK28" s="56"/>
      <c r="BKL28" s="57"/>
      <c r="BKM28" s="57"/>
      <c r="BKN28" s="56"/>
      <c r="BKO28" s="57"/>
      <c r="BKP28" s="58"/>
      <c r="BKQ28" s="56"/>
      <c r="BKR28" s="57"/>
      <c r="BKS28" s="57"/>
      <c r="BKT28" s="57"/>
      <c r="BKU28" s="56"/>
      <c r="BKV28" s="57"/>
      <c r="BKW28" s="57"/>
      <c r="BKX28" s="56"/>
      <c r="BKY28" s="57"/>
      <c r="BKZ28" s="58"/>
      <c r="BLA28" s="56"/>
      <c r="BLB28" s="57"/>
      <c r="BLC28" s="57"/>
      <c r="BLD28" s="57"/>
      <c r="BLE28" s="56"/>
      <c r="BLF28" s="57"/>
      <c r="BLG28" s="57"/>
      <c r="BLH28" s="57"/>
      <c r="BLI28" s="57"/>
      <c r="BLJ28" s="57"/>
      <c r="BLK28" s="56"/>
      <c r="BLL28" s="57"/>
      <c r="BLM28" s="57"/>
      <c r="BLN28" s="56"/>
      <c r="BLO28" s="57"/>
      <c r="BLP28" s="58"/>
      <c r="BLQ28" s="56"/>
      <c r="BLR28" s="57"/>
      <c r="BLS28" s="57"/>
      <c r="BLT28" s="57"/>
      <c r="BLU28" s="56"/>
      <c r="BLV28" s="57"/>
      <c r="BLW28" s="57"/>
      <c r="BLX28" s="56"/>
      <c r="BLY28" s="57"/>
      <c r="BLZ28" s="58"/>
      <c r="BMA28" s="56"/>
      <c r="BMB28" s="57"/>
      <c r="BMC28" s="57"/>
      <c r="BMD28" s="57"/>
      <c r="BME28" s="56"/>
      <c r="BMF28" s="57"/>
      <c r="BMG28" s="57"/>
      <c r="BMH28" s="57"/>
      <c r="BMI28" s="57"/>
      <c r="BMJ28" s="57"/>
      <c r="BMK28" s="56"/>
      <c r="BML28" s="57"/>
      <c r="BMM28" s="57"/>
      <c r="BMN28" s="56"/>
      <c r="BMO28" s="57"/>
      <c r="BMP28" s="58"/>
      <c r="BMQ28" s="56"/>
      <c r="BMR28" s="57"/>
      <c r="BMS28" s="57"/>
      <c r="BMT28" s="57"/>
      <c r="BMU28" s="56"/>
      <c r="BMV28" s="57"/>
      <c r="BMW28" s="57"/>
      <c r="BMX28" s="56"/>
      <c r="BMY28" s="57"/>
      <c r="BMZ28" s="58"/>
      <c r="BNA28" s="56"/>
      <c r="BNB28" s="57"/>
      <c r="BNC28" s="57"/>
      <c r="BND28" s="57"/>
      <c r="BNE28" s="56"/>
      <c r="BNF28" s="57"/>
      <c r="BNG28" s="57"/>
      <c r="BNH28" s="57"/>
      <c r="BNI28" s="57"/>
      <c r="BNJ28" s="57"/>
      <c r="BNK28" s="56"/>
      <c r="BNL28" s="57"/>
      <c r="BNM28" s="57"/>
      <c r="BNN28" s="56"/>
      <c r="BNO28" s="57"/>
      <c r="BNP28" s="58"/>
      <c r="BNQ28" s="56"/>
      <c r="BNR28" s="57"/>
      <c r="BNS28" s="57"/>
      <c r="BNT28" s="57"/>
      <c r="BNU28" s="56"/>
      <c r="BNV28" s="57"/>
      <c r="BNW28" s="57"/>
      <c r="BNX28" s="56"/>
      <c r="BNY28" s="57"/>
      <c r="BNZ28" s="58"/>
      <c r="BOA28" s="56"/>
      <c r="BOB28" s="57"/>
      <c r="BOC28" s="57"/>
      <c r="BOD28" s="57"/>
      <c r="BOE28" s="56"/>
      <c r="BOF28" s="57"/>
      <c r="BOG28" s="57"/>
      <c r="BOH28" s="57"/>
      <c r="BOI28" s="57"/>
      <c r="BOJ28" s="57"/>
      <c r="BOK28" s="56"/>
      <c r="BOL28" s="57"/>
      <c r="BOM28" s="57"/>
      <c r="BON28" s="56"/>
      <c r="BOO28" s="57"/>
      <c r="BOP28" s="58"/>
      <c r="BOQ28" s="56"/>
      <c r="BOR28" s="57"/>
      <c r="BOS28" s="57"/>
      <c r="BOT28" s="57"/>
      <c r="BOU28" s="56"/>
      <c r="BOV28" s="57"/>
      <c r="BOW28" s="57"/>
      <c r="BOX28" s="56"/>
      <c r="BOY28" s="57"/>
      <c r="BOZ28" s="58"/>
      <c r="BPA28" s="56"/>
      <c r="BPB28" s="57"/>
      <c r="BPC28" s="57"/>
      <c r="BPD28" s="57"/>
      <c r="BPE28" s="56"/>
      <c r="BPF28" s="57"/>
      <c r="BPG28" s="57"/>
      <c r="BPH28" s="57"/>
      <c r="BPI28" s="57"/>
      <c r="BPJ28" s="57"/>
      <c r="BPK28" s="56"/>
      <c r="BPL28" s="57"/>
      <c r="BPM28" s="57"/>
      <c r="BPN28" s="56"/>
      <c r="BPO28" s="57"/>
      <c r="BPP28" s="58"/>
      <c r="BPQ28" s="56"/>
      <c r="BPR28" s="57"/>
      <c r="BPS28" s="57"/>
      <c r="BPT28" s="57"/>
      <c r="BPU28" s="56"/>
      <c r="BPV28" s="57"/>
      <c r="BPW28" s="57"/>
      <c r="BPX28" s="56"/>
      <c r="BPY28" s="57"/>
      <c r="BPZ28" s="58"/>
      <c r="BQA28" s="56"/>
      <c r="BQB28" s="57"/>
      <c r="BQC28" s="57"/>
      <c r="BQD28" s="57"/>
      <c r="BQE28" s="56"/>
      <c r="BQF28" s="57"/>
      <c r="BQG28" s="57"/>
      <c r="BQH28" s="57"/>
      <c r="BQI28" s="57"/>
      <c r="BQJ28" s="57"/>
      <c r="BQK28" s="56"/>
      <c r="BQL28" s="57"/>
      <c r="BQM28" s="57"/>
      <c r="BQN28" s="56"/>
      <c r="BQO28" s="57"/>
      <c r="BQP28" s="58"/>
      <c r="BQQ28" s="56"/>
      <c r="BQR28" s="57"/>
      <c r="BQS28" s="57"/>
      <c r="BQT28" s="57"/>
      <c r="BQU28" s="56"/>
      <c r="BQV28" s="57"/>
      <c r="BQW28" s="57"/>
      <c r="BQX28" s="56"/>
      <c r="BQY28" s="57"/>
      <c r="BQZ28" s="58"/>
      <c r="BRA28" s="56"/>
      <c r="BRB28" s="57"/>
      <c r="BRC28" s="57"/>
      <c r="BRD28" s="57"/>
      <c r="BRE28" s="56"/>
      <c r="BRF28" s="57"/>
      <c r="BRG28" s="57"/>
      <c r="BRH28" s="57"/>
      <c r="BRI28" s="57"/>
      <c r="BRJ28" s="57"/>
      <c r="BRK28" s="56"/>
      <c r="BRL28" s="57"/>
      <c r="BRM28" s="57"/>
      <c r="BRN28" s="56"/>
      <c r="BRO28" s="57"/>
      <c r="BRP28" s="58"/>
      <c r="BRQ28" s="56"/>
      <c r="BRR28" s="57"/>
      <c r="BRS28" s="57"/>
      <c r="BRT28" s="57"/>
      <c r="BRU28" s="56"/>
      <c r="BRV28" s="57"/>
      <c r="BRW28" s="57"/>
      <c r="BRX28" s="56"/>
      <c r="BRY28" s="57"/>
      <c r="BRZ28" s="58"/>
      <c r="BSA28" s="56"/>
      <c r="BSB28" s="57"/>
      <c r="BSC28" s="57"/>
      <c r="BSD28" s="57"/>
      <c r="BSE28" s="56"/>
      <c r="BSF28" s="57"/>
      <c r="BSG28" s="57"/>
      <c r="BSH28" s="57"/>
      <c r="BSI28" s="57"/>
      <c r="BSJ28" s="57"/>
      <c r="BSK28" s="56"/>
      <c r="BSL28" s="57"/>
      <c r="BSM28" s="57"/>
      <c r="BSN28" s="56"/>
      <c r="BSO28" s="57"/>
      <c r="BSP28" s="58"/>
      <c r="BSQ28" s="56"/>
      <c r="BSR28" s="57"/>
      <c r="BSS28" s="57"/>
      <c r="BST28" s="57"/>
      <c r="BSU28" s="56"/>
      <c r="BSV28" s="57"/>
      <c r="BSW28" s="57"/>
      <c r="BSX28" s="56"/>
      <c r="BSY28" s="57"/>
      <c r="BSZ28" s="58"/>
      <c r="BTA28" s="56"/>
      <c r="BTB28" s="57"/>
      <c r="BTC28" s="57"/>
      <c r="BTD28" s="57"/>
      <c r="BTE28" s="56"/>
      <c r="BTF28" s="57"/>
      <c r="BTG28" s="57"/>
      <c r="BTH28" s="57"/>
      <c r="BTI28" s="57"/>
      <c r="BTJ28" s="57"/>
      <c r="BTK28" s="56"/>
      <c r="BTL28" s="57"/>
      <c r="BTM28" s="57"/>
      <c r="BTN28" s="56"/>
      <c r="BTO28" s="57"/>
      <c r="BTP28" s="58"/>
      <c r="BTQ28" s="56"/>
      <c r="BTR28" s="57"/>
      <c r="BTS28" s="57"/>
      <c r="BTT28" s="57"/>
      <c r="BTU28" s="56"/>
      <c r="BTV28" s="57"/>
      <c r="BTW28" s="57"/>
      <c r="BTX28" s="56"/>
      <c r="BTY28" s="57"/>
      <c r="BTZ28" s="58"/>
      <c r="BUA28" s="56"/>
      <c r="BUB28" s="57"/>
      <c r="BUC28" s="57"/>
      <c r="BUD28" s="57"/>
      <c r="BUE28" s="56"/>
      <c r="BUF28" s="57"/>
      <c r="BUG28" s="57"/>
      <c r="BUH28" s="57"/>
      <c r="BUI28" s="57"/>
      <c r="BUJ28" s="57"/>
      <c r="BUK28" s="56"/>
      <c r="BUL28" s="57"/>
      <c r="BUM28" s="57"/>
      <c r="BUN28" s="56"/>
      <c r="BUO28" s="57"/>
      <c r="BUP28" s="58"/>
      <c r="BUQ28" s="56"/>
      <c r="BUR28" s="57"/>
      <c r="BUS28" s="57"/>
      <c r="BUT28" s="57"/>
      <c r="BUU28" s="56"/>
      <c r="BUV28" s="57"/>
      <c r="BUW28" s="57"/>
      <c r="BUX28" s="56"/>
      <c r="BUY28" s="57"/>
      <c r="BUZ28" s="58"/>
      <c r="BVA28" s="56"/>
      <c r="BVB28" s="57"/>
      <c r="BVC28" s="57"/>
      <c r="BVD28" s="57"/>
      <c r="BVE28" s="56"/>
      <c r="BVF28" s="57"/>
      <c r="BVG28" s="57"/>
      <c r="BVH28" s="57"/>
      <c r="BVI28" s="57"/>
      <c r="BVJ28" s="57"/>
      <c r="BVK28" s="56"/>
      <c r="BVL28" s="57"/>
      <c r="BVM28" s="57"/>
      <c r="BVN28" s="56"/>
      <c r="BVO28" s="57"/>
      <c r="BVP28" s="58"/>
      <c r="BVQ28" s="56"/>
      <c r="BVR28" s="57"/>
      <c r="BVS28" s="57"/>
      <c r="BVT28" s="57"/>
      <c r="BVU28" s="56"/>
      <c r="BVV28" s="57"/>
      <c r="BVW28" s="57"/>
      <c r="BVX28" s="56"/>
      <c r="BVY28" s="57"/>
      <c r="BVZ28" s="58"/>
      <c r="BWA28" s="56"/>
      <c r="BWB28" s="57"/>
      <c r="BWC28" s="57"/>
      <c r="BWD28" s="57"/>
      <c r="BWE28" s="56"/>
      <c r="BWF28" s="57"/>
      <c r="BWG28" s="57"/>
      <c r="BWH28" s="57"/>
      <c r="BWI28" s="57"/>
      <c r="BWJ28" s="57"/>
      <c r="BWK28" s="56"/>
      <c r="BWL28" s="57"/>
      <c r="BWM28" s="57"/>
      <c r="BWN28" s="56"/>
      <c r="BWO28" s="57"/>
      <c r="BWP28" s="58"/>
      <c r="BWQ28" s="56"/>
      <c r="BWR28" s="57"/>
      <c r="BWS28" s="57"/>
      <c r="BWT28" s="57"/>
      <c r="BWU28" s="56"/>
      <c r="BWV28" s="57"/>
      <c r="BWW28" s="57"/>
      <c r="BWX28" s="56"/>
      <c r="BWY28" s="57"/>
      <c r="BWZ28" s="58"/>
      <c r="BXA28" s="56"/>
      <c r="BXB28" s="57"/>
      <c r="BXC28" s="57"/>
      <c r="BXD28" s="57"/>
      <c r="BXE28" s="56"/>
      <c r="BXF28" s="57"/>
      <c r="BXG28" s="57"/>
      <c r="BXH28" s="57"/>
      <c r="BXI28" s="57"/>
      <c r="BXJ28" s="57"/>
      <c r="BXK28" s="56"/>
      <c r="BXL28" s="57"/>
      <c r="BXM28" s="57"/>
      <c r="BXN28" s="56"/>
      <c r="BXO28" s="57"/>
      <c r="BXP28" s="58"/>
      <c r="BXQ28" s="56"/>
      <c r="BXR28" s="57"/>
      <c r="BXS28" s="57"/>
      <c r="BXT28" s="57"/>
      <c r="BXU28" s="56"/>
      <c r="BXV28" s="57"/>
      <c r="BXW28" s="57"/>
      <c r="BXX28" s="56"/>
      <c r="BXY28" s="57"/>
      <c r="BXZ28" s="58"/>
      <c r="BYA28" s="56"/>
      <c r="BYB28" s="57"/>
      <c r="BYC28" s="57"/>
      <c r="BYD28" s="57"/>
      <c r="BYE28" s="56"/>
      <c r="BYF28" s="57"/>
      <c r="BYG28" s="57"/>
      <c r="BYH28" s="57"/>
      <c r="BYI28" s="57"/>
      <c r="BYJ28" s="57"/>
      <c r="BYK28" s="56"/>
      <c r="BYL28" s="57"/>
      <c r="BYM28" s="57"/>
      <c r="BYN28" s="56"/>
      <c r="BYO28" s="57"/>
      <c r="BYP28" s="58"/>
      <c r="BYQ28" s="56"/>
      <c r="BYR28" s="57"/>
      <c r="BYS28" s="57"/>
      <c r="BYT28" s="57"/>
      <c r="BYU28" s="56"/>
      <c r="BYV28" s="57"/>
      <c r="BYW28" s="57"/>
      <c r="BYX28" s="58"/>
      <c r="BYY28" s="57"/>
      <c r="BYZ28" s="56"/>
      <c r="BZA28" s="57"/>
      <c r="BZB28" s="56"/>
      <c r="BZC28" s="56"/>
      <c r="BZD28" s="56"/>
      <c r="BZE28" s="57"/>
      <c r="BZF28" s="387"/>
      <c r="BZG28" s="57"/>
      <c r="BZH28" s="387"/>
      <c r="BZI28" s="57"/>
      <c r="BZJ28" s="387"/>
      <c r="BZK28" s="57"/>
      <c r="BZL28" s="57"/>
      <c r="BZM28" s="57"/>
      <c r="BZN28" s="57"/>
      <c r="BZO28" s="57"/>
      <c r="BZP28" s="57"/>
      <c r="BZQ28" s="57"/>
      <c r="BZR28" s="57"/>
      <c r="BZS28" s="57"/>
      <c r="BZT28" s="57"/>
      <c r="BZU28" s="57"/>
      <c r="BZV28" s="57"/>
      <c r="BZW28" s="57"/>
      <c r="BZX28" s="57"/>
      <c r="BZY28" s="57"/>
      <c r="BZZ28" s="57"/>
      <c r="CAA28" s="57"/>
      <c r="CAB28" s="57"/>
      <c r="CAC28" s="57"/>
      <c r="CAD28" s="57"/>
      <c r="CAE28" s="57"/>
      <c r="CAF28" s="57"/>
      <c r="CAG28" s="57"/>
      <c r="CAH28" s="57"/>
      <c r="CAI28" s="57"/>
      <c r="CAJ28" s="57"/>
      <c r="CAK28" s="57"/>
      <c r="CAL28" s="57"/>
      <c r="CAM28" s="57"/>
      <c r="CAN28" s="57"/>
      <c r="CAO28" s="57"/>
      <c r="CAP28" s="58"/>
      <c r="CAQ28" s="56"/>
      <c r="CAR28" s="57"/>
      <c r="CAS28" s="57"/>
      <c r="CAT28" s="57"/>
      <c r="CAU28" s="57"/>
      <c r="CAV28" s="57"/>
      <c r="CAW28" s="56"/>
      <c r="CAX28" s="57"/>
      <c r="CAY28" s="57"/>
      <c r="CAZ28" s="56"/>
      <c r="CBA28" s="57"/>
      <c r="CBB28" s="58"/>
      <c r="CBC28" s="56"/>
      <c r="CBD28" s="57"/>
      <c r="CBE28" s="57"/>
      <c r="CBF28" s="57"/>
      <c r="CBG28" s="56"/>
      <c r="CBH28" s="57"/>
      <c r="CBI28" s="57"/>
      <c r="CBJ28" s="56"/>
      <c r="CBK28" s="57"/>
      <c r="CBL28" s="58"/>
      <c r="CBM28" s="56"/>
      <c r="CBN28" s="57"/>
      <c r="CBO28" s="57"/>
      <c r="CBP28" s="57"/>
      <c r="CBQ28" s="56"/>
      <c r="CBR28" s="57"/>
      <c r="CBS28" s="57"/>
      <c r="CBT28" s="56"/>
      <c r="CBU28" s="57"/>
      <c r="CBV28" s="58"/>
      <c r="CBW28" s="56"/>
      <c r="CBX28" s="57"/>
      <c r="CBY28" s="57"/>
      <c r="CBZ28" s="57"/>
      <c r="CCA28" s="56"/>
      <c r="CCB28" s="57"/>
      <c r="CCC28" s="57"/>
      <c r="CCD28" s="56"/>
      <c r="CCE28" s="57"/>
      <c r="CCF28" s="58"/>
      <c r="CCG28" s="56"/>
      <c r="CCH28" s="58"/>
      <c r="CCI28" s="57"/>
      <c r="CCJ28" s="56"/>
      <c r="CCK28" s="57"/>
      <c r="CCL28" s="56"/>
      <c r="CCM28" s="56"/>
      <c r="CCN28" s="56"/>
      <c r="CCO28" s="57"/>
      <c r="CCP28" s="387"/>
      <c r="CCQ28" s="57"/>
      <c r="CCR28" s="387"/>
      <c r="CCS28" s="57"/>
      <c r="CCT28" s="387"/>
      <c r="CCU28" s="57"/>
      <c r="CCV28" s="57"/>
      <c r="CCW28" s="57"/>
      <c r="CCX28" s="57"/>
      <c r="CCY28" s="57"/>
      <c r="CCZ28" s="57"/>
      <c r="CDA28" s="57"/>
      <c r="CDB28" s="57"/>
      <c r="CDC28" s="57"/>
      <c r="CDD28" s="57"/>
      <c r="CDE28" s="57"/>
      <c r="CDF28" s="57"/>
      <c r="CDG28" s="57"/>
      <c r="CDH28" s="57"/>
      <c r="CDI28" s="57"/>
      <c r="CDJ28" s="57"/>
      <c r="CDK28" s="57"/>
      <c r="CDL28" s="57"/>
      <c r="CDM28" s="57"/>
      <c r="CDN28" s="57"/>
      <c r="CDO28" s="57"/>
      <c r="CDP28" s="57"/>
      <c r="CDQ28" s="57"/>
      <c r="CDR28" s="57"/>
      <c r="CDS28" s="57"/>
      <c r="CDT28" s="57"/>
      <c r="CDU28" s="57"/>
      <c r="CDV28" s="57"/>
      <c r="CDW28" s="57"/>
      <c r="CDX28" s="57"/>
      <c r="CDY28" s="57"/>
      <c r="CDZ28" s="58"/>
      <c r="CEA28" s="56"/>
      <c r="CEB28" s="57"/>
      <c r="CEC28" s="57"/>
      <c r="CED28" s="57"/>
      <c r="CEE28" s="57"/>
      <c r="CEF28" s="57"/>
      <c r="CEG28" s="56"/>
      <c r="CEH28" s="57"/>
      <c r="CEI28" s="57"/>
      <c r="CEJ28" s="56"/>
      <c r="CEK28" s="57"/>
      <c r="CEL28" s="58"/>
      <c r="CEM28" s="56"/>
      <c r="CEN28" s="57"/>
      <c r="CEO28" s="57"/>
      <c r="CEP28" s="57"/>
      <c r="CEQ28" s="56"/>
      <c r="CER28" s="57"/>
      <c r="CES28" s="57"/>
      <c r="CET28" s="56"/>
      <c r="CEU28" s="57"/>
      <c r="CEV28" s="58"/>
      <c r="CEW28" s="56"/>
      <c r="CEX28" s="57"/>
      <c r="CEY28" s="57"/>
      <c r="CEZ28" s="57"/>
      <c r="CFA28" s="56"/>
      <c r="CFB28" s="57"/>
      <c r="CFC28" s="57"/>
      <c r="CFD28" s="56"/>
      <c r="CFE28" s="57"/>
      <c r="CFF28" s="58"/>
      <c r="CFG28" s="56"/>
      <c r="CFH28" s="57"/>
      <c r="CFI28" s="57"/>
      <c r="CFJ28" s="57"/>
      <c r="CFK28" s="56"/>
      <c r="CFL28" s="57"/>
      <c r="CFM28" s="57"/>
      <c r="CFN28" s="56"/>
      <c r="CFO28" s="57"/>
      <c r="CFP28" s="58"/>
      <c r="CFQ28" s="56"/>
      <c r="CFR28" s="58"/>
      <c r="CFS28" s="57"/>
      <c r="CFT28" s="56"/>
      <c r="CFU28" s="57"/>
      <c r="CFV28" s="56"/>
      <c r="CFW28" s="56"/>
      <c r="CFX28" s="56"/>
      <c r="CFY28" s="57"/>
      <c r="CFZ28" s="387"/>
      <c r="CGA28" s="57"/>
      <c r="CGB28" s="387"/>
      <c r="CGC28" s="57"/>
      <c r="CGD28" s="387"/>
      <c r="CGE28" s="57"/>
      <c r="CGF28" s="57"/>
      <c r="CGG28" s="57"/>
      <c r="CGH28" s="57"/>
      <c r="CGI28" s="57"/>
      <c r="CGJ28" s="57"/>
      <c r="CGK28" s="57"/>
      <c r="CGL28" s="57"/>
      <c r="CGM28" s="57"/>
      <c r="CGN28" s="57"/>
      <c r="CGO28" s="57"/>
      <c r="CGP28" s="57"/>
      <c r="CGQ28" s="57"/>
      <c r="CGR28" s="57"/>
      <c r="CGS28" s="57"/>
      <c r="CGT28" s="57"/>
      <c r="CGU28" s="57"/>
      <c r="CGV28" s="57"/>
      <c r="CGW28" s="57"/>
      <c r="CGX28" s="57"/>
      <c r="CGY28" s="57"/>
      <c r="CGZ28" s="57"/>
      <c r="CHA28" s="57"/>
      <c r="CHB28" s="57"/>
      <c r="CHC28" s="57"/>
      <c r="CHD28" s="57"/>
      <c r="CHE28" s="57"/>
      <c r="CHF28" s="57"/>
      <c r="CHG28" s="57"/>
      <c r="CHH28" s="57"/>
      <c r="CHI28" s="57"/>
      <c r="CHJ28" s="58"/>
      <c r="CHK28" s="56"/>
      <c r="CHL28" s="57"/>
      <c r="CHM28" s="57"/>
      <c r="CHN28" s="57"/>
      <c r="CHO28" s="57"/>
      <c r="CHP28" s="57"/>
      <c r="CHQ28" s="56"/>
      <c r="CHR28" s="57"/>
      <c r="CHS28" s="57"/>
      <c r="CHT28" s="56"/>
      <c r="CHU28" s="57"/>
      <c r="CHV28" s="58"/>
      <c r="CHW28" s="56"/>
      <c r="CHX28" s="57"/>
      <c r="CHY28" s="57"/>
      <c r="CHZ28" s="57"/>
      <c r="CIA28" s="56"/>
      <c r="CIB28" s="57"/>
      <c r="CIC28" s="57"/>
      <c r="CID28" s="56"/>
      <c r="CIE28" s="57"/>
      <c r="CIF28" s="58"/>
      <c r="CIG28" s="56"/>
      <c r="CIH28" s="57"/>
      <c r="CII28" s="57"/>
      <c r="CIJ28" s="57"/>
      <c r="CIK28" s="56"/>
      <c r="CIL28" s="57"/>
      <c r="CIM28" s="57"/>
      <c r="CIN28" s="56"/>
      <c r="CIO28" s="57"/>
      <c r="CIP28" s="58"/>
      <c r="CIQ28" s="56"/>
      <c r="CIR28" s="57"/>
      <c r="CIS28" s="57"/>
      <c r="CIT28" s="57"/>
      <c r="CIU28" s="56"/>
      <c r="CIV28" s="57"/>
      <c r="CIW28" s="57"/>
      <c r="CIX28" s="56"/>
      <c r="CIY28" s="57"/>
      <c r="CIZ28" s="58"/>
      <c r="CJA28" s="56"/>
      <c r="CJB28" s="58"/>
      <c r="CJC28" s="57"/>
      <c r="CJD28" s="56"/>
      <c r="CJE28" s="57"/>
      <c r="CJF28" s="56"/>
      <c r="CJG28" s="56"/>
      <c r="CJH28" s="56"/>
      <c r="CJI28" s="57"/>
      <c r="CJJ28" s="387"/>
      <c r="CJK28" s="57"/>
      <c r="CJL28" s="387"/>
      <c r="CJM28" s="57"/>
      <c r="CJN28" s="387"/>
      <c r="CJO28" s="57"/>
      <c r="CJP28" s="57"/>
      <c r="CJQ28" s="57"/>
      <c r="CJR28" s="57"/>
      <c r="CJS28" s="57"/>
      <c r="CJT28" s="57"/>
      <c r="CJU28" s="57"/>
      <c r="CJV28" s="57"/>
      <c r="CJW28" s="57"/>
      <c r="CJX28" s="57"/>
      <c r="CJY28" s="57"/>
      <c r="CJZ28" s="57"/>
      <c r="CKA28" s="57"/>
      <c r="CKB28" s="57"/>
      <c r="CKC28" s="57"/>
      <c r="CKD28" s="57"/>
      <c r="CKE28" s="57"/>
      <c r="CKF28" s="57"/>
      <c r="CKG28" s="57"/>
      <c r="CKH28" s="57"/>
      <c r="CKI28" s="57"/>
      <c r="CKJ28" s="57"/>
      <c r="CKK28" s="57"/>
      <c r="CKL28" s="57"/>
      <c r="CKM28" s="57"/>
      <c r="CKN28" s="57"/>
      <c r="CKO28" s="57"/>
      <c r="CKP28" s="57"/>
      <c r="CKQ28" s="57"/>
      <c r="CKR28" s="57"/>
      <c r="CKS28" s="57"/>
      <c r="CKT28" s="58"/>
      <c r="CKU28" s="56"/>
      <c r="CKV28" s="57"/>
      <c r="CKW28" s="57"/>
      <c r="CKX28" s="57"/>
      <c r="CKY28" s="57"/>
      <c r="CKZ28" s="57"/>
      <c r="CLA28" s="56"/>
      <c r="CLB28" s="57"/>
      <c r="CLC28" s="57"/>
      <c r="CLD28" s="56"/>
      <c r="CLE28" s="57"/>
      <c r="CLF28" s="58"/>
      <c r="CLG28" s="56"/>
      <c r="CLH28" s="57"/>
      <c r="CLI28" s="57"/>
      <c r="CLJ28" s="57"/>
      <c r="CLK28" s="56"/>
      <c r="CLL28" s="57"/>
      <c r="CLM28" s="57"/>
      <c r="CLN28" s="56"/>
      <c r="CLO28" s="57"/>
      <c r="CLP28" s="58"/>
      <c r="CLQ28" s="56"/>
      <c r="CLR28" s="57"/>
      <c r="CLS28" s="57"/>
      <c r="CLT28" s="57"/>
      <c r="CLU28" s="56"/>
      <c r="CLV28" s="57"/>
      <c r="CLW28" s="57"/>
      <c r="CLX28" s="56"/>
      <c r="CLY28" s="57"/>
      <c r="CLZ28" s="58"/>
      <c r="CMA28" s="56"/>
      <c r="CMB28" s="57"/>
      <c r="CMC28" s="57"/>
      <c r="CMD28" s="57"/>
      <c r="CME28" s="56"/>
      <c r="CMF28" s="57"/>
      <c r="CMG28" s="57"/>
      <c r="CMH28" s="56"/>
      <c r="CMI28" s="57"/>
      <c r="CMJ28" s="58"/>
      <c r="CMK28" s="56"/>
      <c r="CML28" s="58"/>
      <c r="CMM28" s="57"/>
      <c r="CMN28" s="56"/>
      <c r="CMO28" s="57"/>
      <c r="CMP28" s="56"/>
      <c r="CMQ28" s="56"/>
      <c r="CMR28" s="56"/>
      <c r="CMS28" s="57"/>
      <c r="CMT28" s="387"/>
      <c r="CMU28" s="57"/>
      <c r="CMV28" s="387"/>
      <c r="CMW28" s="57"/>
      <c r="CMX28" s="387"/>
      <c r="CMY28" s="57"/>
      <c r="CMZ28" s="57"/>
      <c r="CNA28" s="57"/>
      <c r="CNB28" s="57"/>
      <c r="CNC28" s="57"/>
      <c r="CND28" s="57"/>
      <c r="CNE28" s="57"/>
      <c r="CNF28" s="57"/>
      <c r="CNG28" s="57"/>
      <c r="CNH28" s="57"/>
      <c r="CNI28" s="57"/>
      <c r="CNJ28" s="57"/>
      <c r="CNK28" s="57"/>
      <c r="CNL28" s="57"/>
      <c r="CNM28" s="57"/>
      <c r="CNN28" s="57"/>
      <c r="CNO28" s="57"/>
      <c r="CNP28" s="57"/>
      <c r="CNQ28" s="57"/>
      <c r="CNR28" s="57"/>
      <c r="CNS28" s="57"/>
      <c r="CNT28" s="57"/>
      <c r="CNU28" s="57"/>
      <c r="CNV28" s="57"/>
      <c r="CNW28" s="57"/>
      <c r="CNX28" s="57"/>
      <c r="CNY28" s="57"/>
      <c r="CNZ28" s="57"/>
      <c r="COA28" s="57"/>
      <c r="COB28" s="57"/>
      <c r="COC28" s="57"/>
      <c r="COD28" s="58"/>
      <c r="COE28" s="56"/>
      <c r="COF28" s="57"/>
      <c r="COG28" s="57"/>
      <c r="COH28" s="57"/>
      <c r="COI28" s="57"/>
      <c r="COJ28" s="57"/>
      <c r="COK28" s="56"/>
      <c r="COL28" s="57"/>
      <c r="COM28" s="57"/>
      <c r="CON28" s="56"/>
      <c r="COO28" s="57"/>
      <c r="COP28" s="58"/>
      <c r="COQ28" s="56"/>
      <c r="COR28" s="57"/>
      <c r="COS28" s="57"/>
      <c r="COT28" s="57"/>
      <c r="COU28" s="56"/>
      <c r="COV28" s="57"/>
      <c r="COW28" s="57"/>
      <c r="COX28" s="56"/>
      <c r="COY28" s="57"/>
      <c r="COZ28" s="58"/>
      <c r="CPA28" s="56"/>
      <c r="CPB28" s="57"/>
      <c r="CPC28" s="57"/>
      <c r="CPD28" s="57"/>
      <c r="CPE28" s="56"/>
      <c r="CPF28" s="57"/>
      <c r="CPG28" s="57"/>
      <c r="CPH28" s="56"/>
      <c r="CPI28" s="57"/>
      <c r="CPJ28" s="58"/>
      <c r="CPK28" s="56"/>
      <c r="CPL28" s="57"/>
      <c r="CPM28" s="57"/>
      <c r="CPN28" s="57"/>
      <c r="CPO28" s="56"/>
      <c r="CPP28" s="57"/>
      <c r="CPQ28" s="57"/>
      <c r="CPR28" s="56"/>
      <c r="CPS28" s="57"/>
      <c r="CPT28" s="58"/>
      <c r="CPU28" s="56"/>
      <c r="CPV28" s="58"/>
      <c r="CPW28" s="57"/>
      <c r="CPX28" s="56"/>
      <c r="CPY28" s="57"/>
      <c r="CPZ28" s="56"/>
      <c r="CQA28" s="56"/>
      <c r="CQB28" s="56"/>
      <c r="CQC28" s="57"/>
      <c r="CQD28" s="387"/>
      <c r="CQE28" s="57"/>
      <c r="CQF28" s="387"/>
      <c r="CQG28" s="57"/>
      <c r="CQH28" s="387"/>
      <c r="CQI28" s="57"/>
      <c r="CQJ28" s="57"/>
      <c r="CQK28" s="57"/>
      <c r="CQL28" s="57"/>
      <c r="CQM28" s="57"/>
      <c r="CQN28" s="57"/>
      <c r="CQO28" s="57"/>
      <c r="CQP28" s="57"/>
      <c r="CQQ28" s="57"/>
      <c r="CQR28" s="57"/>
      <c r="CQS28" s="57"/>
      <c r="CQT28" s="57"/>
      <c r="CQU28" s="57"/>
      <c r="CQV28" s="57"/>
      <c r="CQW28" s="57"/>
      <c r="CQX28" s="57"/>
      <c r="CQY28" s="57"/>
      <c r="CQZ28" s="57"/>
      <c r="CRA28" s="57"/>
      <c r="CRB28" s="57"/>
      <c r="CRC28" s="57"/>
      <c r="CRD28" s="57"/>
      <c r="CRE28" s="57"/>
      <c r="CRF28" s="57"/>
      <c r="CRG28" s="57"/>
      <c r="CRH28" s="57"/>
      <c r="CRI28" s="57"/>
      <c r="CRJ28" s="57"/>
      <c r="CRK28" s="57"/>
      <c r="CRL28" s="57"/>
      <c r="CRM28" s="57"/>
      <c r="CRN28" s="58"/>
      <c r="CRO28" s="56"/>
      <c r="CRP28" s="57"/>
      <c r="CRQ28" s="57"/>
      <c r="CRR28" s="57"/>
      <c r="CRS28" s="57"/>
      <c r="CRT28" s="57"/>
      <c r="CRU28" s="56"/>
      <c r="CRV28" s="57"/>
      <c r="CRW28" s="57"/>
      <c r="CRX28" s="56"/>
      <c r="CRY28" s="57"/>
      <c r="CRZ28" s="58"/>
      <c r="CSA28" s="56"/>
      <c r="CSB28" s="57"/>
      <c r="CSC28" s="57"/>
      <c r="CSD28" s="57"/>
      <c r="CSE28" s="56"/>
      <c r="CSF28" s="57"/>
      <c r="CSG28" s="57"/>
      <c r="CSH28" s="56"/>
      <c r="CSI28" s="57"/>
      <c r="CSJ28" s="58"/>
      <c r="CSK28" s="56"/>
      <c r="CSL28" s="57"/>
      <c r="CSM28" s="57"/>
      <c r="CSN28" s="57"/>
      <c r="CSO28" s="56"/>
      <c r="CSP28" s="57"/>
      <c r="CSQ28" s="57"/>
      <c r="CSR28" s="56"/>
      <c r="CSS28" s="57"/>
      <c r="CST28" s="58"/>
      <c r="CSU28" s="56"/>
      <c r="CSV28" s="57"/>
      <c r="CSW28" s="57"/>
      <c r="CSX28" s="57"/>
      <c r="CSY28" s="56"/>
      <c r="CSZ28" s="57"/>
      <c r="CTA28" s="57"/>
      <c r="CTB28" s="56"/>
      <c r="CTC28" s="57"/>
      <c r="CTD28" s="58"/>
      <c r="CTE28" s="56"/>
      <c r="CTF28" s="58"/>
      <c r="CTG28" s="57"/>
      <c r="CTH28" s="56"/>
      <c r="CTI28" s="57"/>
      <c r="CTJ28" s="56"/>
      <c r="CTK28" s="56"/>
      <c r="CTL28" s="56"/>
      <c r="CTM28" s="57"/>
      <c r="CTN28" s="387"/>
      <c r="CTO28" s="57"/>
      <c r="CTP28" s="387"/>
      <c r="CTQ28" s="57"/>
      <c r="CTR28" s="387"/>
      <c r="CTS28" s="57"/>
      <c r="CTT28" s="57"/>
      <c r="CTU28" s="57"/>
      <c r="CTV28" s="57"/>
      <c r="CTW28" s="57"/>
      <c r="CTX28" s="57"/>
      <c r="CTY28" s="57"/>
      <c r="CTZ28" s="57"/>
      <c r="CUA28" s="57"/>
      <c r="CUB28" s="57"/>
      <c r="CUC28" s="57"/>
      <c r="CUD28" s="57"/>
      <c r="CUE28" s="57"/>
      <c r="CUF28" s="57"/>
      <c r="CUG28" s="57"/>
      <c r="CUH28" s="57"/>
      <c r="CUI28" s="57"/>
      <c r="CUJ28" s="57"/>
      <c r="CUK28" s="57"/>
      <c r="CUL28" s="57"/>
      <c r="CUM28" s="57"/>
      <c r="CUN28" s="57"/>
      <c r="CUO28" s="57"/>
      <c r="CUP28" s="57"/>
      <c r="CUQ28" s="57"/>
      <c r="CUR28" s="57"/>
      <c r="CUS28" s="57"/>
      <c r="CUT28" s="57"/>
      <c r="CUU28" s="57"/>
      <c r="CUV28" s="57"/>
      <c r="CUW28" s="57"/>
      <c r="CUX28" s="58"/>
      <c r="CUY28" s="56"/>
      <c r="CUZ28" s="57"/>
      <c r="CVA28" s="57"/>
      <c r="CVB28" s="57"/>
      <c r="CVC28" s="57"/>
      <c r="CVD28" s="57"/>
      <c r="CVE28" s="56"/>
      <c r="CVF28" s="57"/>
      <c r="CVG28" s="57"/>
      <c r="CVH28" s="56"/>
      <c r="CVI28" s="57"/>
      <c r="CVJ28" s="58"/>
      <c r="CVK28" s="56"/>
      <c r="CVL28" s="57"/>
      <c r="CVM28" s="57"/>
      <c r="CVN28" s="57"/>
      <c r="CVO28" s="56"/>
      <c r="CVP28" s="57"/>
      <c r="CVQ28" s="57"/>
      <c r="CVR28" s="56"/>
      <c r="CVS28" s="57"/>
      <c r="CVT28" s="58"/>
      <c r="CVU28" s="56"/>
      <c r="CVV28" s="57"/>
      <c r="CVW28" s="57"/>
      <c r="CVX28" s="57"/>
      <c r="CVY28" s="56"/>
      <c r="CVZ28" s="57"/>
      <c r="CWA28" s="57"/>
      <c r="CWB28" s="56"/>
      <c r="CWC28" s="57"/>
      <c r="CWD28" s="58"/>
      <c r="CWE28" s="56"/>
      <c r="CWF28" s="57"/>
      <c r="CWG28" s="57"/>
      <c r="CWH28" s="57"/>
      <c r="CWI28" s="56"/>
      <c r="CWJ28" s="57"/>
      <c r="CWK28" s="57"/>
      <c r="CWL28" s="56"/>
      <c r="CWM28" s="57"/>
      <c r="CWN28" s="58"/>
      <c r="CWO28" s="56"/>
      <c r="CWP28" s="58"/>
      <c r="CWQ28" s="57"/>
      <c r="CWR28" s="56"/>
      <c r="CWS28" s="57"/>
      <c r="CWT28" s="56"/>
      <c r="CWU28" s="56"/>
      <c r="CWV28" s="56"/>
      <c r="CWW28" s="57"/>
      <c r="CWX28" s="387"/>
      <c r="CWY28" s="57"/>
      <c r="CWZ28" s="387"/>
      <c r="CXA28" s="57"/>
      <c r="CXB28" s="387"/>
      <c r="CXC28" s="57"/>
      <c r="CXD28" s="57"/>
      <c r="CXE28" s="57"/>
      <c r="CXF28" s="57"/>
      <c r="CXG28" s="57"/>
      <c r="CXH28" s="57"/>
      <c r="CXI28" s="57"/>
      <c r="CXJ28" s="57"/>
      <c r="CXK28" s="57"/>
      <c r="CXL28" s="57"/>
      <c r="CXM28" s="57"/>
      <c r="CXN28" s="57"/>
      <c r="CXO28" s="57"/>
      <c r="CXP28" s="57"/>
      <c r="CXQ28" s="57"/>
      <c r="CXR28" s="57"/>
      <c r="CXS28" s="57"/>
      <c r="CXT28" s="57"/>
      <c r="CXU28" s="57"/>
      <c r="CXV28" s="57"/>
      <c r="CXW28" s="57"/>
      <c r="CXX28" s="57"/>
      <c r="CXY28" s="57"/>
      <c r="CXZ28" s="57"/>
      <c r="CYA28" s="57"/>
      <c r="CYB28" s="57"/>
      <c r="CYC28" s="57"/>
      <c r="CYD28" s="57"/>
      <c r="CYE28" s="57"/>
      <c r="CYF28" s="57"/>
      <c r="CYG28" s="57"/>
      <c r="CYH28" s="58"/>
      <c r="CYI28" s="56"/>
      <c r="CYJ28" s="57"/>
      <c r="CYK28" s="57"/>
      <c r="CYL28" s="57"/>
      <c r="CYM28" s="57"/>
      <c r="CYN28" s="57"/>
      <c r="CYO28" s="56"/>
      <c r="CYP28" s="57"/>
      <c r="CYQ28" s="57"/>
      <c r="CYR28" s="56"/>
      <c r="CYS28" s="57"/>
      <c r="CYT28" s="58"/>
      <c r="CYU28" s="56"/>
      <c r="CYV28" s="57"/>
      <c r="CYW28" s="57"/>
      <c r="CYX28" s="57"/>
      <c r="CYY28" s="56"/>
      <c r="CYZ28" s="57"/>
      <c r="CZA28" s="57"/>
      <c r="CZB28" s="56"/>
      <c r="CZC28" s="57"/>
      <c r="CZD28" s="58"/>
      <c r="CZE28" s="56"/>
      <c r="CZF28" s="57"/>
      <c r="CZG28" s="57"/>
      <c r="CZH28" s="57"/>
      <c r="CZI28" s="56"/>
      <c r="CZJ28" s="57"/>
      <c r="CZK28" s="57"/>
      <c r="CZL28" s="56"/>
      <c r="CZM28" s="57"/>
      <c r="CZN28" s="58"/>
      <c r="CZO28" s="56"/>
      <c r="CZP28" s="57"/>
      <c r="CZQ28" s="57"/>
      <c r="CZR28" s="57"/>
      <c r="CZS28" s="56"/>
      <c r="CZT28" s="57"/>
      <c r="CZU28" s="57"/>
      <c r="CZV28" s="56"/>
      <c r="CZW28" s="57"/>
      <c r="CZX28" s="58"/>
      <c r="CZY28" s="56"/>
      <c r="CZZ28" s="58"/>
      <c r="DAA28" s="57"/>
      <c r="DAB28" s="56"/>
      <c r="DAC28" s="57"/>
      <c r="DAD28" s="56"/>
      <c r="DAE28" s="56"/>
      <c r="DAF28" s="56"/>
      <c r="DAG28" s="57"/>
      <c r="DAH28" s="387"/>
      <c r="DAI28" s="57"/>
      <c r="DAJ28" s="387"/>
      <c r="DAK28" s="57"/>
      <c r="DAL28" s="387"/>
      <c r="DAM28" s="57"/>
      <c r="DAN28" s="57"/>
      <c r="DAO28" s="57"/>
      <c r="DAP28" s="57"/>
      <c r="DAQ28" s="57"/>
      <c r="DAR28" s="57"/>
      <c r="DAS28" s="57"/>
      <c r="DAT28" s="57"/>
      <c r="DAU28" s="57"/>
      <c r="DAV28" s="57"/>
      <c r="DAW28" s="57"/>
      <c r="DAX28" s="57"/>
      <c r="DAY28" s="57"/>
      <c r="DAZ28" s="57"/>
      <c r="DBA28" s="57"/>
      <c r="DBB28" s="57"/>
      <c r="DBC28" s="57"/>
      <c r="DBD28" s="57"/>
      <c r="DBE28" s="57"/>
      <c r="DBF28" s="57"/>
      <c r="DBG28" s="57"/>
      <c r="DBH28" s="57"/>
      <c r="DBI28" s="57"/>
      <c r="DBJ28" s="57"/>
      <c r="DBK28" s="57"/>
      <c r="DBL28" s="57"/>
      <c r="DBM28" s="57"/>
      <c r="DBN28" s="57"/>
      <c r="DBO28" s="57"/>
      <c r="DBP28" s="57"/>
      <c r="DBQ28" s="57"/>
      <c r="DBR28" s="58"/>
      <c r="DBS28" s="56"/>
      <c r="DBT28" s="57"/>
      <c r="DBU28" s="57"/>
      <c r="DBV28" s="57"/>
      <c r="DBW28" s="57"/>
      <c r="DBX28" s="57"/>
      <c r="DBY28" s="56"/>
      <c r="DBZ28" s="57"/>
      <c r="DCA28" s="57"/>
      <c r="DCB28" s="56"/>
      <c r="DCC28" s="57"/>
      <c r="DCD28" s="58"/>
      <c r="DCE28" s="56"/>
      <c r="DCF28" s="57"/>
      <c r="DCG28" s="57"/>
      <c r="DCH28" s="57"/>
      <c r="DCI28" s="56"/>
      <c r="DCJ28" s="57"/>
      <c r="DCK28" s="57"/>
      <c r="DCL28" s="56"/>
      <c r="DCM28" s="57"/>
      <c r="DCN28" s="58"/>
      <c r="DCO28" s="56"/>
      <c r="DCP28" s="57"/>
      <c r="DCQ28" s="57"/>
      <c r="DCR28" s="57"/>
      <c r="DCS28" s="56"/>
      <c r="DCT28" s="57"/>
      <c r="DCU28" s="57"/>
      <c r="DCV28" s="56"/>
      <c r="DCW28" s="57"/>
      <c r="DCX28" s="58"/>
      <c r="DCY28" s="56"/>
      <c r="DCZ28" s="57"/>
      <c r="DDA28" s="57"/>
      <c r="DDB28" s="57"/>
      <c r="DDC28" s="56"/>
      <c r="DDD28" s="57"/>
      <c r="DDE28" s="57"/>
      <c r="DDF28" s="56"/>
      <c r="DDG28" s="57"/>
      <c r="DDH28" s="58"/>
      <c r="DDI28" s="56"/>
      <c r="DDJ28" s="58"/>
      <c r="DDK28" s="57"/>
      <c r="DDL28" s="56"/>
      <c r="DDM28" s="57"/>
      <c r="DDN28" s="56"/>
      <c r="DDO28" s="56"/>
      <c r="DDP28" s="56"/>
      <c r="DDQ28" s="57"/>
      <c r="DDR28" s="387"/>
      <c r="DDS28" s="57"/>
      <c r="DDT28" s="387"/>
      <c r="DDU28" s="57"/>
      <c r="DDV28" s="387"/>
      <c r="DDW28" s="57"/>
      <c r="DDX28" s="57"/>
      <c r="DDY28" s="57"/>
      <c r="DDZ28" s="57"/>
      <c r="DEA28" s="57"/>
      <c r="DEB28" s="57"/>
      <c r="DEC28" s="57"/>
      <c r="DED28" s="57"/>
      <c r="DEE28" s="57"/>
      <c r="DEF28" s="57"/>
      <c r="DEG28" s="57"/>
      <c r="DEH28" s="57"/>
      <c r="DEI28" s="57"/>
      <c r="DEJ28" s="57"/>
      <c r="DEK28" s="57"/>
      <c r="DEL28" s="57"/>
      <c r="DEM28" s="57"/>
      <c r="DEN28" s="57"/>
      <c r="DEO28" s="57"/>
      <c r="DEP28" s="57"/>
      <c r="DEQ28" s="57"/>
      <c r="DER28" s="57"/>
      <c r="DES28" s="57"/>
      <c r="DET28" s="57"/>
      <c r="DEU28" s="57"/>
      <c r="DEV28" s="57"/>
      <c r="DEW28" s="57"/>
      <c r="DEX28" s="57"/>
      <c r="DEY28" s="57"/>
      <c r="DEZ28" s="57"/>
      <c r="DFA28" s="57"/>
      <c r="DFB28" s="58"/>
      <c r="DFC28" s="56"/>
      <c r="DFD28" s="57"/>
      <c r="DFE28" s="57"/>
      <c r="DFF28" s="57"/>
      <c r="DFG28" s="57"/>
      <c r="DFH28" s="57"/>
      <c r="DFI28" s="56"/>
      <c r="DFJ28" s="57"/>
      <c r="DFK28" s="57"/>
      <c r="DFL28" s="56"/>
      <c r="DFM28" s="57"/>
      <c r="DFN28" s="58"/>
      <c r="DFO28" s="56"/>
      <c r="DFP28" s="57"/>
      <c r="DFQ28" s="57"/>
      <c r="DFR28" s="57"/>
      <c r="DFS28" s="56"/>
      <c r="DFT28" s="57"/>
      <c r="DFU28" s="57"/>
      <c r="DFV28" s="56"/>
      <c r="DFW28" s="57"/>
      <c r="DFX28" s="58"/>
      <c r="DFY28" s="56"/>
      <c r="DFZ28" s="57"/>
      <c r="DGA28" s="57"/>
      <c r="DGB28" s="57"/>
      <c r="DGC28" s="56"/>
      <c r="DGD28" s="57"/>
      <c r="DGE28" s="57"/>
      <c r="DGF28" s="56"/>
      <c r="DGG28" s="57"/>
      <c r="DGH28" s="58"/>
      <c r="DGI28" s="56"/>
      <c r="DGJ28" s="57"/>
      <c r="DGK28" s="57"/>
      <c r="DGL28" s="57"/>
      <c r="DGM28" s="56"/>
      <c r="DGN28" s="57"/>
      <c r="DGO28" s="57"/>
      <c r="DGP28" s="56"/>
      <c r="DGQ28" s="57"/>
      <c r="DGR28" s="58"/>
      <c r="DGS28" s="56"/>
      <c r="DGT28" s="58"/>
      <c r="DGU28" s="57"/>
      <c r="DGV28" s="56"/>
      <c r="DGW28" s="57"/>
      <c r="DGX28" s="56"/>
      <c r="DGY28" s="56"/>
      <c r="DGZ28" s="56"/>
      <c r="DHA28" s="57"/>
      <c r="DHB28" s="387"/>
      <c r="DHC28" s="57"/>
      <c r="DHD28" s="387"/>
      <c r="DHE28" s="57"/>
      <c r="DHF28" s="387"/>
      <c r="DHG28" s="57"/>
      <c r="DHH28" s="57"/>
      <c r="DHI28" s="57"/>
      <c r="DHJ28" s="57"/>
      <c r="DHK28" s="57"/>
      <c r="DHL28" s="57"/>
      <c r="DHM28" s="57"/>
      <c r="DHN28" s="57"/>
      <c r="DHO28" s="57"/>
      <c r="DHP28" s="57"/>
      <c r="DHQ28" s="57"/>
      <c r="DHR28" s="57"/>
      <c r="DHS28" s="57"/>
      <c r="DHT28" s="57"/>
      <c r="DHU28" s="57"/>
      <c r="DHV28" s="57"/>
      <c r="DHW28" s="57"/>
      <c r="DHX28" s="57"/>
      <c r="DHY28" s="57"/>
      <c r="DHZ28" s="57"/>
      <c r="DIA28" s="57"/>
      <c r="DIB28" s="57"/>
      <c r="DIC28" s="57"/>
      <c r="DID28" s="57"/>
      <c r="DIE28" s="57"/>
      <c r="DIF28" s="57"/>
      <c r="DIG28" s="57"/>
      <c r="DIH28" s="57"/>
      <c r="DII28" s="57"/>
      <c r="DIJ28" s="57"/>
      <c r="DIK28" s="57"/>
      <c r="DIL28" s="58"/>
      <c r="DIM28" s="56"/>
      <c r="DIN28" s="57"/>
      <c r="DIO28" s="57"/>
      <c r="DIP28" s="57"/>
      <c r="DIQ28" s="57"/>
      <c r="DIR28" s="57"/>
      <c r="DIS28" s="56"/>
      <c r="DIT28" s="57"/>
      <c r="DIU28" s="57"/>
      <c r="DIV28" s="56"/>
      <c r="DIW28" s="57"/>
      <c r="DIX28" s="58"/>
      <c r="DIY28" s="56"/>
      <c r="DIZ28" s="57"/>
      <c r="DJA28" s="57"/>
      <c r="DJB28" s="57"/>
      <c r="DJC28" s="56"/>
      <c r="DJD28" s="57"/>
      <c r="DJE28" s="57"/>
      <c r="DJF28" s="56"/>
      <c r="DJG28" s="57"/>
      <c r="DJH28" s="58"/>
      <c r="DJI28" s="56"/>
      <c r="DJJ28" s="57"/>
      <c r="DJK28" s="57"/>
      <c r="DJL28" s="57"/>
      <c r="DJM28" s="56"/>
      <c r="DJN28" s="57"/>
      <c r="DJO28" s="57"/>
      <c r="DJP28" s="56"/>
      <c r="DJQ28" s="57"/>
      <c r="DJR28" s="58"/>
      <c r="DJS28" s="56"/>
      <c r="DJT28" s="57"/>
      <c r="DJU28" s="57"/>
      <c r="DJV28" s="57"/>
      <c r="DJW28" s="56"/>
      <c r="DJX28" s="57"/>
      <c r="DJY28" s="57"/>
      <c r="DJZ28" s="56"/>
      <c r="DKA28" s="57"/>
      <c r="DKB28" s="58"/>
      <c r="DKC28" s="56"/>
      <c r="DKD28" s="58"/>
      <c r="DKE28" s="57"/>
      <c r="DKF28" s="56"/>
      <c r="DKG28" s="57"/>
      <c r="DKH28" s="56"/>
      <c r="DKI28" s="56"/>
      <c r="DKJ28" s="56"/>
      <c r="DKK28" s="57"/>
      <c r="DKL28" s="387"/>
      <c r="DKM28" s="57"/>
      <c r="DKN28" s="387"/>
      <c r="DKO28" s="57"/>
      <c r="DKP28" s="387"/>
      <c r="DKQ28" s="57"/>
      <c r="DKR28" s="57"/>
      <c r="DKS28" s="57"/>
      <c r="DKT28" s="57"/>
      <c r="DKU28" s="57"/>
      <c r="DKV28" s="57"/>
      <c r="DKW28" s="57"/>
      <c r="DKX28" s="57"/>
      <c r="DKY28" s="57"/>
      <c r="DKZ28" s="57"/>
      <c r="DLA28" s="57"/>
      <c r="DLB28" s="57"/>
      <c r="DLC28" s="57"/>
      <c r="DLD28" s="57"/>
      <c r="DLE28" s="57"/>
      <c r="DLF28" s="57"/>
      <c r="DLG28" s="57"/>
      <c r="DLH28" s="57"/>
      <c r="DLI28" s="57"/>
      <c r="DLJ28" s="57"/>
      <c r="DLK28" s="57"/>
      <c r="DLL28" s="57"/>
      <c r="DLM28" s="57"/>
      <c r="DLN28" s="57"/>
      <c r="DLO28" s="57"/>
      <c r="DLP28" s="57"/>
      <c r="DLQ28" s="57"/>
      <c r="DLR28" s="57"/>
      <c r="DLS28" s="57"/>
      <c r="DLT28" s="57"/>
      <c r="DLU28" s="57"/>
      <c r="DLV28" s="58"/>
      <c r="DLW28" s="56"/>
      <c r="DLX28" s="57"/>
      <c r="DLY28" s="57"/>
      <c r="DLZ28" s="57"/>
      <c r="DMA28" s="57"/>
      <c r="DMB28" s="57"/>
      <c r="DMC28" s="56"/>
      <c r="DMD28" s="57"/>
      <c r="DME28" s="57"/>
      <c r="DMF28" s="56"/>
      <c r="DMG28" s="57"/>
      <c r="DMH28" s="58"/>
      <c r="DMI28" s="56"/>
      <c r="DMJ28" s="57"/>
      <c r="DMK28" s="57"/>
      <c r="DML28" s="57"/>
      <c r="DMM28" s="56"/>
      <c r="DMN28" s="57"/>
      <c r="DMO28" s="57"/>
      <c r="DMP28" s="56"/>
      <c r="DMQ28" s="57"/>
      <c r="DMR28" s="58"/>
      <c r="DMS28" s="56"/>
      <c r="DMT28" s="57"/>
      <c r="DMU28" s="57"/>
      <c r="DMV28" s="57"/>
      <c r="DMW28" s="56"/>
      <c r="DMX28" s="57"/>
      <c r="DMY28" s="57"/>
      <c r="DMZ28" s="56"/>
      <c r="DNA28" s="57"/>
      <c r="DNB28" s="58"/>
      <c r="DNC28" s="56"/>
      <c r="DND28" s="57"/>
      <c r="DNE28" s="57"/>
      <c r="DNF28" s="57"/>
      <c r="DNG28" s="56"/>
      <c r="DNH28" s="57"/>
      <c r="DNI28" s="57"/>
      <c r="DNJ28" s="56"/>
      <c r="DNK28" s="57"/>
      <c r="DNL28" s="58"/>
      <c r="DNM28" s="56"/>
      <c r="DNN28" s="58"/>
      <c r="DNO28" s="57"/>
      <c r="DNP28" s="56"/>
      <c r="DNQ28" s="57"/>
      <c r="DNR28" s="56"/>
      <c r="DNS28" s="56"/>
      <c r="DNT28" s="56"/>
      <c r="DNU28" s="57"/>
      <c r="DNV28" s="387"/>
      <c r="DNW28" s="57"/>
      <c r="DNX28" s="387"/>
      <c r="DNY28" s="57"/>
      <c r="DNZ28" s="387"/>
      <c r="DOA28" s="57"/>
      <c r="DOB28" s="57"/>
      <c r="DOC28" s="57"/>
      <c r="DOD28" s="57"/>
      <c r="DOE28" s="57"/>
      <c r="DOF28" s="57"/>
      <c r="DOG28" s="57"/>
      <c r="DOH28" s="57"/>
      <c r="DOI28" s="57"/>
      <c r="DOJ28" s="57"/>
      <c r="DOK28" s="57"/>
      <c r="DOL28" s="57"/>
      <c r="DOM28" s="57"/>
      <c r="DON28" s="57"/>
      <c r="DOO28" s="57"/>
      <c r="DOP28" s="57"/>
      <c r="DOQ28" s="57"/>
      <c r="DOR28" s="57"/>
      <c r="DOS28" s="57"/>
      <c r="DOT28" s="57"/>
      <c r="DOU28" s="57"/>
      <c r="DOV28" s="57"/>
      <c r="DOW28" s="57"/>
      <c r="DOX28" s="57"/>
      <c r="DOY28" s="57"/>
      <c r="DOZ28" s="57"/>
      <c r="DPA28" s="57"/>
      <c r="DPB28" s="57"/>
      <c r="DPC28" s="57"/>
      <c r="DPD28" s="57"/>
      <c r="DPE28" s="57"/>
      <c r="DPF28" s="58"/>
      <c r="DPG28" s="56"/>
      <c r="DPH28" s="57"/>
      <c r="DPI28" s="57"/>
      <c r="DPJ28" s="57"/>
      <c r="DPK28" s="57"/>
      <c r="DPL28" s="57"/>
      <c r="DPM28" s="56"/>
      <c r="DPN28" s="57"/>
      <c r="DPO28" s="57"/>
      <c r="DPP28" s="56"/>
      <c r="DPQ28" s="57"/>
      <c r="DPR28" s="58"/>
      <c r="DPS28" s="56"/>
      <c r="DPT28" s="57"/>
      <c r="DPU28" s="57"/>
      <c r="DPV28" s="57"/>
      <c r="DPW28" s="56"/>
      <c r="DPX28" s="57"/>
      <c r="DPY28" s="57"/>
      <c r="DPZ28" s="56"/>
      <c r="DQA28" s="57"/>
      <c r="DQB28" s="58"/>
      <c r="DQC28" s="56"/>
      <c r="DQD28" s="57"/>
      <c r="DQE28" s="57"/>
      <c r="DQF28" s="57"/>
      <c r="DQG28" s="56"/>
      <c r="DQH28" s="57"/>
      <c r="DQI28" s="57"/>
      <c r="DQJ28" s="56"/>
      <c r="DQK28" s="57"/>
      <c r="DQL28" s="58"/>
      <c r="DQM28" s="56"/>
      <c r="DQN28" s="57"/>
      <c r="DQO28" s="57"/>
      <c r="DQP28" s="57"/>
      <c r="DQQ28" s="56"/>
      <c r="DQR28" s="57"/>
      <c r="DQS28" s="57"/>
      <c r="DQT28" s="56"/>
      <c r="DQU28" s="57"/>
      <c r="DQV28" s="58"/>
      <c r="DQW28" s="56"/>
      <c r="DQX28" s="58"/>
      <c r="DQY28" s="57"/>
      <c r="DQZ28" s="56"/>
      <c r="DRA28" s="57"/>
      <c r="DRB28" s="56"/>
      <c r="DRC28" s="56"/>
      <c r="DRD28" s="56"/>
      <c r="DRE28" s="57"/>
      <c r="DRF28" s="387"/>
      <c r="DRG28" s="57"/>
      <c r="DRH28" s="387"/>
      <c r="DRI28" s="57"/>
      <c r="DRJ28" s="387"/>
      <c r="DRK28" s="57"/>
      <c r="DRL28" s="57"/>
      <c r="DRM28" s="57"/>
      <c r="DRN28" s="57"/>
      <c r="DRO28" s="57"/>
      <c r="DRP28" s="57"/>
      <c r="DRQ28" s="57"/>
      <c r="DRR28" s="57"/>
      <c r="DRS28" s="57"/>
      <c r="DRT28" s="57"/>
      <c r="DRU28" s="57"/>
      <c r="DRV28" s="57"/>
      <c r="DRW28" s="57"/>
      <c r="DRX28" s="57"/>
      <c r="DRY28" s="57"/>
      <c r="DRZ28" s="57"/>
      <c r="DSA28" s="57"/>
      <c r="DSB28" s="57"/>
      <c r="DSC28" s="57"/>
      <c r="DSD28" s="57"/>
      <c r="DSE28" s="57"/>
      <c r="DSF28" s="57"/>
      <c r="DSG28" s="57"/>
      <c r="DSH28" s="57"/>
      <c r="DSI28" s="57"/>
      <c r="DSJ28" s="57"/>
      <c r="DSK28" s="57"/>
      <c r="DSL28" s="57"/>
      <c r="DSM28" s="57"/>
      <c r="DSN28" s="57"/>
      <c r="DSO28" s="57"/>
      <c r="DSP28" s="58"/>
      <c r="DSQ28" s="56"/>
      <c r="DSR28" s="57"/>
      <c r="DSS28" s="57"/>
      <c r="DST28" s="57"/>
      <c r="DSU28" s="57"/>
      <c r="DSV28" s="57"/>
      <c r="DSW28" s="56"/>
      <c r="DSX28" s="57"/>
      <c r="DSY28" s="57"/>
      <c r="DSZ28" s="56"/>
      <c r="DTA28" s="57"/>
      <c r="DTB28" s="58"/>
      <c r="DTC28" s="56"/>
      <c r="DTD28" s="57"/>
      <c r="DTE28" s="57"/>
      <c r="DTF28" s="57"/>
      <c r="DTG28" s="56"/>
      <c r="DTH28" s="57"/>
      <c r="DTI28" s="57"/>
      <c r="DTJ28" s="56"/>
      <c r="DTK28" s="57"/>
      <c r="DTL28" s="58"/>
      <c r="DTM28" s="56"/>
      <c r="DTN28" s="57"/>
      <c r="DTO28" s="57"/>
      <c r="DTP28" s="57"/>
      <c r="DTQ28" s="56"/>
      <c r="DTR28" s="57"/>
      <c r="DTS28" s="57"/>
      <c r="DTT28" s="56"/>
      <c r="DTU28" s="57"/>
      <c r="DTV28" s="58"/>
      <c r="DTW28" s="56"/>
      <c r="DTX28" s="57"/>
      <c r="DTY28" s="57"/>
      <c r="DTZ28" s="57"/>
      <c r="DUA28" s="56"/>
      <c r="DUB28" s="57"/>
      <c r="DUC28" s="57"/>
      <c r="DUD28" s="56"/>
      <c r="DUE28" s="57"/>
      <c r="DUF28" s="58"/>
      <c r="DUG28" s="56"/>
      <c r="DUH28" s="58"/>
      <c r="DUI28" s="57"/>
      <c r="DUJ28" s="56"/>
      <c r="DUK28" s="57"/>
      <c r="DUL28" s="56"/>
      <c r="DUM28" s="56"/>
      <c r="DUN28" s="56"/>
      <c r="DUO28" s="57"/>
      <c r="DUP28" s="387"/>
      <c r="DUQ28" s="57"/>
      <c r="DUR28" s="387"/>
      <c r="DUS28" s="57"/>
      <c r="DUT28" s="387"/>
      <c r="DUU28" s="57"/>
      <c r="DUV28" s="57"/>
      <c r="DUW28" s="57"/>
      <c r="DUX28" s="57"/>
      <c r="DUY28" s="57"/>
      <c r="DUZ28" s="57"/>
      <c r="DVA28" s="57"/>
      <c r="DVB28" s="57"/>
      <c r="DVC28" s="57"/>
      <c r="DVD28" s="57"/>
      <c r="DVE28" s="57"/>
      <c r="DVF28" s="57"/>
      <c r="DVG28" s="57"/>
      <c r="DVH28" s="57"/>
      <c r="DVI28" s="57"/>
      <c r="DVJ28" s="57"/>
      <c r="DVK28" s="57"/>
      <c r="DVL28" s="57"/>
      <c r="DVM28" s="57"/>
      <c r="DVN28" s="57"/>
      <c r="DVO28" s="57"/>
      <c r="DVP28" s="57"/>
      <c r="DVQ28" s="57"/>
      <c r="DVR28" s="57"/>
      <c r="DVS28" s="57"/>
      <c r="DVT28" s="57"/>
      <c r="DVU28" s="57"/>
      <c r="DVV28" s="57"/>
      <c r="DVW28" s="57"/>
      <c r="DVX28" s="57"/>
      <c r="DVY28" s="57"/>
      <c r="DVZ28" s="58"/>
      <c r="DWA28" s="56"/>
      <c r="DWB28" s="57"/>
      <c r="DWC28" s="57"/>
      <c r="DWD28" s="57"/>
      <c r="DWE28" s="57"/>
      <c r="DWF28" s="57"/>
      <c r="DWG28" s="56"/>
      <c r="DWH28" s="57"/>
      <c r="DWI28" s="57"/>
      <c r="DWJ28" s="56"/>
      <c r="DWK28" s="57"/>
      <c r="DWL28" s="58"/>
      <c r="DWM28" s="56"/>
      <c r="DWN28" s="57"/>
      <c r="DWO28" s="57"/>
      <c r="DWP28" s="57"/>
      <c r="DWQ28" s="56"/>
      <c r="DWR28" s="57"/>
      <c r="DWS28" s="57"/>
      <c r="DWT28" s="56"/>
      <c r="DWU28" s="57"/>
      <c r="DWV28" s="58"/>
      <c r="DWW28" s="56"/>
      <c r="DWX28" s="57"/>
      <c r="DWY28" s="57"/>
      <c r="DWZ28" s="57"/>
      <c r="DXA28" s="56"/>
      <c r="DXB28" s="57"/>
      <c r="DXC28" s="57"/>
      <c r="DXD28" s="56"/>
      <c r="DXE28" s="57"/>
      <c r="DXF28" s="58"/>
      <c r="DXG28" s="56"/>
      <c r="DXH28" s="57"/>
      <c r="DXI28" s="57"/>
      <c r="DXJ28" s="57"/>
      <c r="DXK28" s="56"/>
      <c r="DXL28" s="57"/>
      <c r="DXM28" s="57"/>
      <c r="DXN28" s="56"/>
      <c r="DXO28" s="57"/>
      <c r="DXP28" s="58"/>
      <c r="DXQ28" s="56"/>
      <c r="DXR28" s="58"/>
      <c r="DXS28" s="57"/>
      <c r="DXT28" s="56"/>
      <c r="DXU28" s="57"/>
      <c r="DXV28" s="56"/>
      <c r="DXW28" s="56"/>
      <c r="DXX28" s="56"/>
      <c r="DXY28" s="57"/>
      <c r="DXZ28" s="387"/>
      <c r="DYA28" s="57"/>
      <c r="DYB28" s="387"/>
      <c r="DYC28" s="57"/>
      <c r="DYD28" s="387"/>
      <c r="DYE28" s="57"/>
      <c r="DYF28" s="57"/>
      <c r="DYG28" s="57"/>
      <c r="DYH28" s="57"/>
      <c r="DYI28" s="57"/>
      <c r="DYJ28" s="57"/>
      <c r="DYK28" s="57"/>
      <c r="DYL28" s="57"/>
      <c r="DYM28" s="57"/>
      <c r="DYN28" s="57"/>
      <c r="DYO28" s="57"/>
      <c r="DYP28" s="57"/>
      <c r="DYQ28" s="57"/>
      <c r="DYR28" s="57"/>
      <c r="DYS28" s="57"/>
      <c r="DYT28" s="57"/>
      <c r="DYU28" s="57"/>
      <c r="DYV28" s="57"/>
      <c r="DYW28" s="57"/>
      <c r="DYX28" s="57"/>
      <c r="DYY28" s="57"/>
      <c r="DYZ28" s="57"/>
      <c r="DZA28" s="57"/>
      <c r="DZB28" s="57"/>
      <c r="DZC28" s="57"/>
      <c r="DZD28" s="57"/>
      <c r="DZE28" s="57"/>
      <c r="DZF28" s="57"/>
      <c r="DZG28" s="57"/>
      <c r="DZH28" s="57"/>
      <c r="DZI28" s="57"/>
      <c r="DZJ28" s="58"/>
      <c r="DZK28" s="56"/>
      <c r="DZL28" s="57"/>
      <c r="DZM28" s="57"/>
      <c r="DZN28" s="57"/>
      <c r="DZO28" s="57"/>
      <c r="DZP28" s="57"/>
      <c r="DZQ28" s="56"/>
      <c r="DZR28" s="57"/>
      <c r="DZS28" s="57"/>
      <c r="DZT28" s="56"/>
      <c r="DZU28" s="57"/>
      <c r="DZV28" s="58"/>
      <c r="DZW28" s="56"/>
      <c r="DZX28" s="57"/>
      <c r="DZY28" s="57"/>
      <c r="DZZ28" s="57"/>
      <c r="EAA28" s="56"/>
      <c r="EAB28" s="57"/>
      <c r="EAC28" s="57"/>
      <c r="EAD28" s="56"/>
      <c r="EAE28" s="57"/>
      <c r="EAF28" s="58"/>
      <c r="EAG28" s="56"/>
      <c r="EAH28" s="57"/>
      <c r="EAI28" s="57"/>
      <c r="EAJ28" s="57"/>
      <c r="EAK28" s="56"/>
      <c r="EAL28" s="57"/>
      <c r="EAM28" s="57"/>
      <c r="EAN28" s="56"/>
      <c r="EAO28" s="57"/>
      <c r="EAP28" s="58"/>
      <c r="EAQ28" s="56"/>
      <c r="EAR28" s="57"/>
      <c r="EAS28" s="57"/>
      <c r="EAT28" s="57"/>
      <c r="EAU28" s="56"/>
      <c r="EAV28" s="57"/>
      <c r="EAW28" s="57"/>
      <c r="EAX28" s="56"/>
      <c r="EAY28" s="57"/>
      <c r="EAZ28" s="58"/>
      <c r="EBA28" s="56"/>
      <c r="EBB28" s="58"/>
      <c r="EBC28" s="57"/>
      <c r="EBD28" s="56"/>
      <c r="EBE28" s="57"/>
      <c r="EBF28" s="56"/>
      <c r="EBG28" s="56"/>
      <c r="EBH28" s="56"/>
      <c r="EBI28" s="57"/>
      <c r="EBJ28" s="387"/>
      <c r="EBK28" s="57"/>
      <c r="EBL28" s="387"/>
      <c r="EBM28" s="57"/>
      <c r="EBN28" s="387"/>
      <c r="EBO28" s="57"/>
      <c r="EBP28" s="57"/>
      <c r="EBQ28" s="57"/>
      <c r="EBR28" s="57"/>
      <c r="EBS28" s="57"/>
      <c r="EBT28" s="57"/>
      <c r="EBU28" s="57"/>
      <c r="EBV28" s="57"/>
      <c r="EBW28" s="57"/>
      <c r="EBX28" s="57"/>
      <c r="EBY28" s="57"/>
      <c r="EBZ28" s="57"/>
      <c r="ECA28" s="57"/>
      <c r="ECB28" s="57"/>
      <c r="ECC28" s="57"/>
      <c r="ECD28" s="57"/>
      <c r="ECE28" s="57"/>
      <c r="ECF28" s="57"/>
      <c r="ECG28" s="57"/>
      <c r="ECH28" s="57"/>
      <c r="ECI28" s="57"/>
      <c r="ECJ28" s="57"/>
      <c r="ECK28" s="57"/>
      <c r="ECL28" s="57"/>
      <c r="ECM28" s="57"/>
      <c r="ECN28" s="57"/>
      <c r="ECO28" s="57"/>
      <c r="ECP28" s="57"/>
      <c r="ECQ28" s="57"/>
      <c r="ECR28" s="57"/>
      <c r="ECS28" s="57"/>
      <c r="ECT28" s="58"/>
      <c r="ECU28" s="56"/>
      <c r="ECV28" s="57"/>
      <c r="ECW28" s="57"/>
      <c r="ECX28" s="57"/>
      <c r="ECY28" s="57"/>
      <c r="ECZ28" s="57"/>
      <c r="EDA28" s="56"/>
      <c r="EDB28" s="57"/>
      <c r="EDC28" s="57"/>
      <c r="EDD28" s="56"/>
      <c r="EDE28" s="57"/>
      <c r="EDF28" s="58"/>
      <c r="EDG28" s="56"/>
      <c r="EDH28" s="57"/>
      <c r="EDI28" s="57"/>
      <c r="EDJ28" s="57"/>
      <c r="EDK28" s="56"/>
      <c r="EDL28" s="57"/>
      <c r="EDM28" s="57"/>
      <c r="EDN28" s="56"/>
      <c r="EDO28" s="57"/>
      <c r="EDP28" s="58"/>
      <c r="EDQ28" s="56"/>
      <c r="EDR28" s="57"/>
      <c r="EDS28" s="57"/>
      <c r="EDT28" s="57"/>
      <c r="EDU28" s="56"/>
      <c r="EDV28" s="57"/>
      <c r="EDW28" s="57"/>
      <c r="EDX28" s="56"/>
      <c r="EDY28" s="57"/>
      <c r="EDZ28" s="58"/>
      <c r="EEA28" s="56"/>
      <c r="EEB28" s="57"/>
      <c r="EEC28" s="57"/>
      <c r="EED28" s="57"/>
      <c r="EEE28" s="56"/>
      <c r="EEF28" s="57"/>
      <c r="EEG28" s="57"/>
      <c r="EEH28" s="56"/>
      <c r="EEI28" s="57"/>
      <c r="EEJ28" s="58"/>
      <c r="EEK28" s="56"/>
      <c r="EEL28" s="58"/>
      <c r="EEM28" s="57"/>
      <c r="EEN28" s="56"/>
      <c r="EEO28" s="57"/>
      <c r="EEP28" s="56"/>
      <c r="EEQ28" s="56"/>
      <c r="EER28" s="56"/>
      <c r="EES28" s="57"/>
      <c r="EET28" s="387"/>
      <c r="EEU28" s="57"/>
      <c r="EEV28" s="387"/>
      <c r="EEW28" s="57"/>
      <c r="EEX28" s="387"/>
      <c r="EEY28" s="57"/>
      <c r="EEZ28" s="57"/>
      <c r="EFA28" s="57"/>
      <c r="EFB28" s="57"/>
      <c r="EFC28" s="57"/>
      <c r="EFD28" s="57"/>
      <c r="EFE28" s="57"/>
      <c r="EFF28" s="57"/>
      <c r="EFG28" s="57"/>
      <c r="EFH28" s="57"/>
      <c r="EFI28" s="57"/>
      <c r="EFJ28" s="57"/>
      <c r="EFK28" s="57"/>
      <c r="EFL28" s="57"/>
      <c r="EFM28" s="57"/>
      <c r="EFN28" s="57"/>
      <c r="EFO28" s="57"/>
      <c r="EFP28" s="57"/>
      <c r="EFQ28" s="57"/>
      <c r="EFR28" s="57"/>
      <c r="EFS28" s="57"/>
      <c r="EFT28" s="57"/>
      <c r="EFU28" s="57"/>
      <c r="EFV28" s="57"/>
      <c r="EFW28" s="57"/>
      <c r="EFX28" s="57"/>
      <c r="EFY28" s="57"/>
      <c r="EFZ28" s="57"/>
      <c r="EGA28" s="57"/>
      <c r="EGB28" s="57"/>
      <c r="EGC28" s="57"/>
      <c r="EGD28" s="58"/>
      <c r="EGE28" s="56"/>
      <c r="EGF28" s="57"/>
      <c r="EGG28" s="57"/>
      <c r="EGH28" s="57"/>
      <c r="EGI28" s="57"/>
      <c r="EGJ28" s="57"/>
      <c r="EGK28" s="56"/>
      <c r="EGL28" s="57"/>
      <c r="EGM28" s="57"/>
      <c r="EGN28" s="56"/>
      <c r="EGO28" s="57"/>
      <c r="EGP28" s="58"/>
      <c r="EGQ28" s="56"/>
      <c r="EGR28" s="57"/>
      <c r="EGS28" s="57"/>
      <c r="EGT28" s="57"/>
      <c r="EGU28" s="56"/>
      <c r="EGV28" s="57"/>
      <c r="EGW28" s="57"/>
      <c r="EGX28" s="56"/>
      <c r="EGY28" s="57"/>
      <c r="EGZ28" s="58"/>
      <c r="EHA28" s="56"/>
      <c r="EHB28" s="57"/>
      <c r="EHC28" s="57"/>
      <c r="EHD28" s="57"/>
      <c r="EHE28" s="56"/>
      <c r="EHF28" s="57"/>
      <c r="EHG28" s="57"/>
      <c r="EHH28" s="56"/>
      <c r="EHI28" s="57"/>
      <c r="EHJ28" s="58"/>
      <c r="EHK28" s="56"/>
      <c r="EHL28" s="57"/>
      <c r="EHM28" s="57"/>
      <c r="EHN28" s="57"/>
      <c r="EHO28" s="56"/>
      <c r="EHP28" s="57"/>
      <c r="EHQ28" s="57"/>
      <c r="EHR28" s="56"/>
      <c r="EHS28" s="57"/>
      <c r="EHT28" s="58"/>
      <c r="EHU28" s="56"/>
      <c r="EHV28" s="58"/>
      <c r="EHW28" s="57"/>
      <c r="EHX28" s="56"/>
      <c r="EHY28" s="57"/>
      <c r="EHZ28" s="56"/>
      <c r="EIA28" s="56"/>
      <c r="EIB28" s="56"/>
      <c r="EIC28" s="57"/>
      <c r="EID28" s="387"/>
      <c r="EIE28" s="57"/>
      <c r="EIF28" s="387"/>
      <c r="EIG28" s="57"/>
      <c r="EIH28" s="387"/>
      <c r="EII28" s="57"/>
      <c r="EIJ28" s="57"/>
      <c r="EIK28" s="57"/>
      <c r="EIL28" s="57"/>
      <c r="EIM28" s="57"/>
      <c r="EIN28" s="57"/>
      <c r="EIO28" s="57"/>
      <c r="EIP28" s="57"/>
      <c r="EIQ28" s="57"/>
      <c r="EIR28" s="57"/>
      <c r="EIS28" s="57"/>
      <c r="EIT28" s="57"/>
      <c r="EIU28" s="57"/>
      <c r="EIV28" s="57"/>
      <c r="EIW28" s="57"/>
      <c r="EIX28" s="57"/>
      <c r="EIY28" s="57"/>
      <c r="EIZ28" s="57"/>
      <c r="EJA28" s="57"/>
      <c r="EJB28" s="57"/>
      <c r="EJC28" s="57"/>
      <c r="EJD28" s="57"/>
      <c r="EJE28" s="57"/>
      <c r="EJF28" s="57"/>
      <c r="EJG28" s="57"/>
      <c r="EJH28" s="57"/>
      <c r="EJI28" s="57"/>
      <c r="EJJ28" s="57"/>
      <c r="EJK28" s="57"/>
      <c r="EJL28" s="57"/>
      <c r="EJM28" s="57"/>
      <c r="EJN28" s="58"/>
      <c r="EJO28" s="56"/>
      <c r="EJP28" s="57"/>
      <c r="EJQ28" s="57"/>
      <c r="EJR28" s="57"/>
      <c r="EJS28" s="57"/>
      <c r="EJT28" s="57"/>
      <c r="EJU28" s="56"/>
      <c r="EJV28" s="57"/>
      <c r="EJW28" s="57"/>
      <c r="EJX28" s="56"/>
      <c r="EJY28" s="57"/>
      <c r="EJZ28" s="58"/>
      <c r="EKA28" s="56"/>
      <c r="EKB28" s="57"/>
      <c r="EKC28" s="57"/>
      <c r="EKD28" s="57"/>
      <c r="EKE28" s="56"/>
      <c r="EKF28" s="57"/>
      <c r="EKG28" s="57"/>
      <c r="EKH28" s="56"/>
      <c r="EKI28" s="57"/>
      <c r="EKJ28" s="58"/>
      <c r="EKK28" s="56"/>
      <c r="EKL28" s="57"/>
      <c r="EKM28" s="57"/>
      <c r="EKN28" s="57"/>
      <c r="EKO28" s="56"/>
      <c r="EKP28" s="57"/>
      <c r="EKQ28" s="57"/>
      <c r="EKR28" s="56"/>
      <c r="EKS28" s="57"/>
      <c r="EKT28" s="58"/>
      <c r="EKU28" s="56"/>
      <c r="EKV28" s="57"/>
      <c r="EKW28" s="57"/>
      <c r="EKX28" s="57"/>
      <c r="EKY28" s="56"/>
      <c r="EKZ28" s="57"/>
      <c r="ELA28" s="57"/>
      <c r="ELB28" s="56"/>
      <c r="ELC28" s="57"/>
      <c r="ELD28" s="58"/>
      <c r="ELE28" s="56"/>
      <c r="ELF28" s="58"/>
      <c r="ELG28" s="57"/>
      <c r="ELH28" s="56"/>
      <c r="ELI28" s="57"/>
      <c r="ELJ28" s="56"/>
      <c r="ELK28" s="56"/>
      <c r="ELL28" s="56"/>
      <c r="ELM28" s="57"/>
      <c r="ELN28" s="387"/>
      <c r="ELO28" s="57"/>
      <c r="ELP28" s="387"/>
      <c r="ELQ28" s="57"/>
      <c r="ELR28" s="387"/>
      <c r="ELS28" s="57"/>
      <c r="ELT28" s="57"/>
      <c r="ELU28" s="57"/>
      <c r="ELV28" s="57"/>
      <c r="ELW28" s="57"/>
      <c r="ELX28" s="57"/>
      <c r="ELY28" s="57"/>
      <c r="ELZ28" s="57"/>
      <c r="EMA28" s="57"/>
      <c r="EMB28" s="57"/>
      <c r="EMC28" s="57"/>
      <c r="EMD28" s="57"/>
      <c r="EME28" s="57"/>
      <c r="EMF28" s="57"/>
      <c r="EMG28" s="57"/>
      <c r="EMH28" s="57"/>
      <c r="EMI28" s="57"/>
      <c r="EMJ28" s="57"/>
      <c r="EMK28" s="57"/>
      <c r="EML28" s="57"/>
      <c r="EMM28" s="57"/>
      <c r="EMN28" s="57"/>
      <c r="EMO28" s="57"/>
      <c r="EMP28" s="57"/>
      <c r="EMQ28" s="57"/>
      <c r="EMR28" s="57"/>
      <c r="EMS28" s="57"/>
      <c r="EMT28" s="57"/>
      <c r="EMU28" s="57"/>
      <c r="EMV28" s="57"/>
      <c r="EMW28" s="57"/>
      <c r="EMX28" s="58"/>
      <c r="EMY28" s="56"/>
      <c r="EMZ28" s="57"/>
      <c r="ENA28" s="57"/>
      <c r="ENB28" s="57"/>
      <c r="ENC28" s="57"/>
      <c r="END28" s="57"/>
      <c r="ENE28" s="56"/>
      <c r="ENF28" s="57"/>
      <c r="ENG28" s="57"/>
      <c r="ENH28" s="56"/>
      <c r="ENI28" s="57"/>
      <c r="ENJ28" s="58"/>
      <c r="ENK28" s="56"/>
      <c r="ENL28" s="57"/>
      <c r="ENM28" s="57"/>
      <c r="ENN28" s="57"/>
      <c r="ENO28" s="56"/>
      <c r="ENP28" s="57"/>
      <c r="ENQ28" s="57"/>
      <c r="ENR28" s="56"/>
      <c r="ENS28" s="57"/>
      <c r="ENT28" s="58"/>
      <c r="ENU28" s="56"/>
      <c r="ENV28" s="57"/>
      <c r="ENW28" s="57"/>
      <c r="ENX28" s="57"/>
      <c r="ENY28" s="56"/>
      <c r="ENZ28" s="57"/>
      <c r="EOA28" s="57"/>
      <c r="EOB28" s="56"/>
      <c r="EOC28" s="57"/>
      <c r="EOD28" s="58"/>
      <c r="EOE28" s="56"/>
      <c r="EOF28" s="57"/>
      <c r="EOG28" s="57"/>
      <c r="EOH28" s="57"/>
      <c r="EOI28" s="56"/>
      <c r="EOJ28" s="57"/>
      <c r="EOK28" s="57"/>
      <c r="EOL28" s="56"/>
      <c r="EOM28" s="57"/>
      <c r="EON28" s="58"/>
      <c r="EOO28" s="56" t="str">
        <f t="shared" si="149"/>
        <v xml:space="preserve"> </v>
      </c>
      <c r="EOP28" s="58"/>
      <c r="EOQ28" s="57"/>
      <c r="EOR28" s="56"/>
      <c r="EOS28" s="57"/>
      <c r="EOT28" s="56"/>
      <c r="EOU28" s="56"/>
      <c r="EOV28" s="56"/>
      <c r="EOW28" s="57"/>
      <c r="EOX28" s="387"/>
      <c r="EOY28" s="57"/>
      <c r="EOZ28" s="387"/>
      <c r="EPA28" s="57"/>
      <c r="EPB28" s="387"/>
      <c r="EPC28" s="57"/>
      <c r="EPD28" s="57"/>
      <c r="EPE28" s="57"/>
      <c r="EPF28" s="57"/>
      <c r="EPG28" s="57"/>
      <c r="EPH28" s="57"/>
      <c r="EPI28" s="57"/>
      <c r="EPJ28" s="57"/>
      <c r="EPK28" s="57"/>
      <c r="EPL28" s="57"/>
      <c r="EPM28" s="57"/>
      <c r="EPN28" s="57"/>
      <c r="EPO28" s="57"/>
      <c r="EPP28" s="57"/>
      <c r="EPQ28" s="57"/>
      <c r="EPR28" s="57"/>
      <c r="EPS28" s="57"/>
      <c r="EPT28" s="57"/>
      <c r="EPU28" s="57"/>
      <c r="EPV28" s="57"/>
      <c r="EPW28" s="57"/>
      <c r="EPX28" s="57"/>
      <c r="EPY28" s="57"/>
      <c r="EPZ28" s="57"/>
      <c r="EQA28" s="57"/>
      <c r="EQB28" s="57"/>
      <c r="EQC28" s="57"/>
      <c r="EQD28" s="57"/>
      <c r="EQE28" s="57"/>
      <c r="EQF28" s="57"/>
      <c r="EQG28" s="57"/>
      <c r="EQH28" s="58"/>
      <c r="EQI28" s="56"/>
      <c r="EQJ28" s="57"/>
      <c r="EQK28" s="57"/>
      <c r="EQL28" s="57"/>
      <c r="EQM28" s="57"/>
      <c r="EQN28" s="57"/>
      <c r="EQO28" s="56"/>
      <c r="EQP28" s="57"/>
      <c r="EQQ28" s="57"/>
      <c r="EQR28" s="56"/>
      <c r="EQS28" s="57"/>
      <c r="EQT28" s="58"/>
      <c r="EQU28" s="56"/>
      <c r="EQV28" s="57"/>
      <c r="EQW28" s="57"/>
      <c r="EQX28" s="57"/>
      <c r="EQY28" s="56"/>
      <c r="EQZ28" s="57"/>
      <c r="ERA28" s="57"/>
      <c r="ERB28" s="56"/>
      <c r="ERC28" s="57"/>
      <c r="ERD28" s="58"/>
      <c r="ERE28" s="56"/>
      <c r="ERF28" s="57"/>
      <c r="ERG28" s="57"/>
      <c r="ERH28" s="57"/>
      <c r="ERI28" s="56"/>
      <c r="ERJ28" s="57"/>
      <c r="ERK28" s="57"/>
      <c r="ERL28" s="56"/>
      <c r="ERM28" s="57"/>
      <c r="ERN28" s="58"/>
      <c r="ERO28" s="56"/>
      <c r="ERP28" s="57"/>
      <c r="ERQ28" s="57"/>
      <c r="ERR28" s="57"/>
      <c r="ERS28" s="56"/>
      <c r="ERT28" s="57"/>
      <c r="ERU28" s="57"/>
      <c r="ERV28" s="56"/>
      <c r="ERW28" s="57"/>
      <c r="ERX28" s="58"/>
      <c r="ERY28" s="56" t="str">
        <f t="shared" si="152"/>
        <v xml:space="preserve"> </v>
      </c>
      <c r="ERZ28" s="58"/>
      <c r="ESA28" s="57"/>
      <c r="ESB28" s="56"/>
      <c r="ESC28" s="57"/>
      <c r="ESD28" s="56"/>
      <c r="ESE28" s="56"/>
      <c r="ESF28" s="56"/>
      <c r="ESG28" s="57"/>
      <c r="ESH28" s="387"/>
      <c r="ESI28" s="57"/>
      <c r="ESJ28" s="387"/>
      <c r="ESK28" s="57"/>
      <c r="ESL28" s="387"/>
      <c r="ESM28" s="57"/>
      <c r="ESN28" s="57"/>
      <c r="ESO28" s="57"/>
      <c r="ESP28" s="57"/>
      <c r="ESQ28" s="57"/>
      <c r="ESR28" s="57"/>
      <c r="ESS28" s="57"/>
      <c r="EST28" s="57"/>
      <c r="ESU28" s="57"/>
      <c r="ESV28" s="57"/>
      <c r="ESW28" s="57"/>
      <c r="ESX28" s="57"/>
      <c r="ESY28" s="57"/>
      <c r="ESZ28" s="57"/>
      <c r="ETA28" s="57"/>
      <c r="ETB28" s="57"/>
      <c r="ETC28" s="57"/>
      <c r="ETD28" s="57"/>
      <c r="ETE28" s="57"/>
      <c r="ETF28" s="57"/>
      <c r="ETG28" s="57"/>
      <c r="ETH28" s="57"/>
      <c r="ETI28" s="57"/>
      <c r="ETJ28" s="57"/>
      <c r="ETK28" s="57"/>
      <c r="ETL28" s="57"/>
      <c r="ETM28" s="57"/>
      <c r="ETN28" s="57"/>
      <c r="ETO28" s="57"/>
      <c r="ETP28" s="57"/>
      <c r="ETQ28" s="57"/>
      <c r="ETR28" s="58"/>
      <c r="ETS28" s="56"/>
      <c r="ETT28" s="57"/>
      <c r="ETU28" s="57"/>
      <c r="ETV28" s="57"/>
      <c r="ETW28" s="57"/>
      <c r="ETX28" s="57"/>
      <c r="ETY28" s="56"/>
      <c r="ETZ28" s="57"/>
      <c r="EUA28" s="57"/>
      <c r="EUB28" s="56"/>
      <c r="EUC28" s="57"/>
      <c r="EUD28" s="58"/>
      <c r="EUE28" s="56"/>
      <c r="EUF28" s="57"/>
      <c r="EUG28" s="57"/>
      <c r="EUH28" s="57"/>
      <c r="EUI28" s="56"/>
      <c r="EUJ28" s="57"/>
      <c r="EUK28" s="57"/>
      <c r="EUL28" s="56"/>
      <c r="EUM28" s="57"/>
      <c r="EUN28" s="58"/>
      <c r="EUO28" s="56"/>
      <c r="EUP28" s="57"/>
      <c r="EUQ28" s="57"/>
      <c r="EUR28" s="57"/>
      <c r="EUS28" s="56"/>
      <c r="EUT28" s="57"/>
      <c r="EUU28" s="57"/>
      <c r="EUV28" s="56"/>
      <c r="EUW28" s="57"/>
      <c r="EUX28" s="58"/>
      <c r="EUY28" s="56"/>
      <c r="EUZ28" s="57"/>
      <c r="EVA28" s="57"/>
      <c r="EVB28" s="57"/>
      <c r="EVC28" s="56"/>
      <c r="EVD28" s="57"/>
      <c r="EVE28" s="57"/>
      <c r="EVF28" s="56"/>
      <c r="EVG28" s="57"/>
      <c r="EVH28" s="58"/>
      <c r="EVI28" s="56" t="str">
        <f t="shared" si="153"/>
        <v xml:space="preserve"> </v>
      </c>
    </row>
    <row r="29" spans="1:3961" x14ac:dyDescent="0.3">
      <c r="A29" s="423" t="s">
        <v>200</v>
      </c>
      <c r="B29" s="30" t="str">
        <f>'REG y VAL POE - AESR - ESR'!B2361</f>
        <v xml:space="preserve">Garcia Cruz Arturo </v>
      </c>
      <c r="C29" s="29" t="str">
        <f>'REG y VAL POE - AESR - ESR'!C2361</f>
        <v>Sin Registro</v>
      </c>
      <c r="D29" s="28">
        <f>'REG y VAL POE - AESR - ESR'!D2361</f>
        <v>20245681</v>
      </c>
      <c r="E29" s="29">
        <f>'REG y VAL POE - AESR - ESR'!E2361</f>
        <v>0</v>
      </c>
      <c r="F29" s="28">
        <f>'REG y VAL POE - AESR - ESR'!F2361</f>
        <v>0</v>
      </c>
      <c r="G29" s="31">
        <f>'REG y VAL POE - AESR - ESR'!G2361</f>
        <v>0</v>
      </c>
      <c r="H29" s="31">
        <f>'REG y VAL POE - AESR - ESR'!H2361</f>
        <v>0</v>
      </c>
      <c r="I29" s="29">
        <f>'REG y VAL POE - AESR - ESR'!I2361</f>
        <v>0</v>
      </c>
      <c r="J29" s="29">
        <f>'REG y VAL POE - AESR - ESR'!J2361</f>
        <v>0</v>
      </c>
      <c r="K29" s="29">
        <f>'REG y VAL POE - AESR - ESR'!K2361</f>
        <v>0</v>
      </c>
      <c r="L29" s="29">
        <f>'REG y VAL POE - AESR - ESR'!L2361</f>
        <v>0</v>
      </c>
      <c r="M29" s="29">
        <f>'REG y VAL POE - AESR - ESR'!M2361</f>
        <v>0</v>
      </c>
      <c r="N29" s="29">
        <f>'REG y VAL POE - AESR - ESR'!N2361</f>
        <v>0</v>
      </c>
      <c r="O29" s="29">
        <f>'REG y VAL POE - AESR - ESR'!O2361</f>
        <v>0</v>
      </c>
      <c r="P29" s="29">
        <f>'REG y VAL POE - AESR - ESR'!P2361</f>
        <v>0</v>
      </c>
      <c r="Q29" s="29">
        <f>'REG y VAL POE - AESR - ESR'!Q2361</f>
        <v>0</v>
      </c>
      <c r="R29" s="29">
        <f>'REG y VAL POE - AESR - ESR'!R2361</f>
        <v>0</v>
      </c>
      <c r="S29" s="29">
        <f>'REG y VAL POE - AESR - ESR'!S2361</f>
        <v>0</v>
      </c>
      <c r="T29" s="29">
        <f>'REG y VAL POE - AESR - ESR'!T2361</f>
        <v>0</v>
      </c>
      <c r="U29" s="29">
        <f>'REG y VAL POE - AESR - ESR'!U2361</f>
        <v>0</v>
      </c>
      <c r="V29" s="29">
        <f>'REG y VAL POE - AESR - ESR'!V2361</f>
        <v>0</v>
      </c>
      <c r="W29" s="29">
        <f>'REG y VAL POE - AESR - ESR'!W2361</f>
        <v>0</v>
      </c>
      <c r="X29" s="29">
        <f>'REG y VAL POE - AESR - ESR'!X2361</f>
        <v>0</v>
      </c>
      <c r="Y29" s="29">
        <f>'REG y VAL POE - AESR - ESR'!Y2361</f>
        <v>0</v>
      </c>
      <c r="Z29" s="29">
        <f>'REG y VAL POE - AESR - ESR'!Z2361</f>
        <v>0</v>
      </c>
      <c r="AA29" s="29">
        <f>'REG y VAL POE - AESR - ESR'!AA2361</f>
        <v>0</v>
      </c>
      <c r="AB29" s="29">
        <f>'REG y VAL POE - AESR - ESR'!AB2361</f>
        <v>0</v>
      </c>
      <c r="AC29" s="29">
        <f>'REG y VAL POE - AESR - ESR'!AC2361</f>
        <v>0</v>
      </c>
      <c r="AD29" s="29">
        <f>'REG y VAL POE - AESR - ESR'!AD2361</f>
        <v>0</v>
      </c>
      <c r="AE29" s="29">
        <f>'REG y VAL POE - AESR - ESR'!AE2361</f>
        <v>0</v>
      </c>
      <c r="AF29" s="29">
        <f>'REG y VAL POE - AESR - ESR'!AF2361</f>
        <v>0</v>
      </c>
      <c r="AG29" s="29">
        <f>'REG y VAL POE - AESR - ESR'!AG2361</f>
        <v>0</v>
      </c>
      <c r="AH29" s="29">
        <f>'REG y VAL POE - AESR - ESR'!AH2361</f>
        <v>0</v>
      </c>
      <c r="AI29" s="29">
        <f>'REG y VAL POE - AESR - ESR'!AI2361</f>
        <v>0</v>
      </c>
      <c r="AJ29" s="29">
        <f>'REG y VAL POE - AESR - ESR'!AJ2361</f>
        <v>0</v>
      </c>
      <c r="AK29" s="29">
        <f>'REG y VAL POE - AESR - ESR'!AK2361</f>
        <v>0</v>
      </c>
      <c r="AL29" s="29">
        <f>'REG y VAL POE - AESR - ESR'!AL2361</f>
        <v>0</v>
      </c>
      <c r="AM29" s="29">
        <f>'REG y VAL POE - AESR - ESR'!AM2361</f>
        <v>0</v>
      </c>
      <c r="AN29" s="29">
        <f>'REG y VAL POE - AESR - ESR'!AN2361</f>
        <v>0</v>
      </c>
      <c r="AO29" s="29">
        <f>'REG y VAL POE - AESR - ESR'!AO2361</f>
        <v>0</v>
      </c>
      <c r="AP29" s="29">
        <f>'REG y VAL POE - AESR - ESR'!AP2361</f>
        <v>0</v>
      </c>
      <c r="AQ29" s="29">
        <f>'REG y VAL POE - AESR - ESR'!AQ2361</f>
        <v>0</v>
      </c>
      <c r="AR29" s="29">
        <f>'REG y VAL POE - AESR - ESR'!AR2361</f>
        <v>0</v>
      </c>
      <c r="AS29" s="29">
        <f>'REG y VAL POE - AESR - ESR'!AS2361</f>
        <v>0</v>
      </c>
      <c r="AT29" s="30" t="str">
        <f>'REG y VAL POE - AESR - ESR'!B2362</f>
        <v xml:space="preserve">Garcia Hernandez Banais </v>
      </c>
      <c r="AU29" s="28" t="str">
        <f>'REG y VAL POE - AESR - ESR'!C2362</f>
        <v>Sin Registro</v>
      </c>
      <c r="AV29" s="29">
        <f>'REG y VAL POE - AESR - ESR'!D2362</f>
        <v>22157414</v>
      </c>
      <c r="AW29" s="29">
        <f>'REG y VAL POE - AESR - ESR'!E2362</f>
        <v>0</v>
      </c>
      <c r="AX29" s="29">
        <f>'REG y VAL POE - AESR - ESR'!F2362</f>
        <v>0</v>
      </c>
      <c r="AY29" s="29">
        <f>'REG y VAL POE - AESR - ESR'!G2362</f>
        <v>0</v>
      </c>
      <c r="AZ29" s="29">
        <f>'REG y VAL POE - AESR - ESR'!H2362</f>
        <v>0</v>
      </c>
      <c r="BA29" s="28">
        <f>'REG y VAL POE - AESR - ESR'!I2362</f>
        <v>0</v>
      </c>
      <c r="BB29" s="29">
        <f>'REG y VAL POE - AESR - ESR'!J2362</f>
        <v>0</v>
      </c>
      <c r="BC29" s="29">
        <f>'REG y VAL POE - AESR - ESR'!K2362</f>
        <v>0</v>
      </c>
      <c r="BD29" s="28">
        <f>'REG y VAL POE - AESR - ESR'!L2362</f>
        <v>0</v>
      </c>
      <c r="BE29" s="29">
        <f>'REG y VAL POE - AESR - ESR'!M2362</f>
        <v>0</v>
      </c>
      <c r="BF29" s="30">
        <f>'REG y VAL POE - AESR - ESR'!N2362</f>
        <v>0</v>
      </c>
      <c r="BG29" s="28">
        <f>'REG y VAL POE - AESR - ESR'!O2362</f>
        <v>0</v>
      </c>
      <c r="BH29" s="29">
        <f>'REG y VAL POE - AESR - ESR'!P2362</f>
        <v>0</v>
      </c>
      <c r="BI29" s="29">
        <f>'REG y VAL POE - AESR - ESR'!Q2362</f>
        <v>0</v>
      </c>
      <c r="BJ29" s="29">
        <f>'REG y VAL POE - AESR - ESR'!R2362</f>
        <v>0</v>
      </c>
      <c r="BK29" s="28">
        <f>'REG y VAL POE - AESR - ESR'!S2362</f>
        <v>0</v>
      </c>
      <c r="BL29" s="29">
        <f>'REG y VAL POE - AESR - ESR'!T2362</f>
        <v>0</v>
      </c>
      <c r="BM29" s="29">
        <f>'REG y VAL POE - AESR - ESR'!U2362</f>
        <v>0</v>
      </c>
      <c r="BN29" s="28">
        <f>'REG y VAL POE - AESR - ESR'!V2362</f>
        <v>0</v>
      </c>
      <c r="BO29" s="29">
        <f>'REG y VAL POE - AESR - ESR'!W2362</f>
        <v>0</v>
      </c>
      <c r="BP29" s="30">
        <f>'REG y VAL POE - AESR - ESR'!X2362</f>
        <v>0</v>
      </c>
      <c r="BQ29" s="28">
        <f>'REG y VAL POE - AESR - ESR'!Y2362</f>
        <v>0</v>
      </c>
      <c r="BR29" s="29">
        <f>'REG y VAL POE - AESR - ESR'!Z2362</f>
        <v>0</v>
      </c>
      <c r="BS29" s="29">
        <f>'REG y VAL POE - AESR - ESR'!AA2362</f>
        <v>0</v>
      </c>
      <c r="BT29" s="29">
        <f>'REG y VAL POE - AESR - ESR'!AB2362</f>
        <v>0</v>
      </c>
      <c r="BU29" s="28">
        <f>'REG y VAL POE - AESR - ESR'!AC2362</f>
        <v>0</v>
      </c>
      <c r="BV29" s="29">
        <f>'REG y VAL POE - AESR - ESR'!AD2362</f>
        <v>0</v>
      </c>
      <c r="BW29" s="29">
        <f>'REG y VAL POE - AESR - ESR'!AE2362</f>
        <v>0</v>
      </c>
      <c r="BX29" s="28">
        <f>'REG y VAL POE - AESR - ESR'!AF2362</f>
        <v>0</v>
      </c>
      <c r="BY29" s="29">
        <f>'REG y VAL POE - AESR - ESR'!AG2362</f>
        <v>0</v>
      </c>
      <c r="BZ29" s="30">
        <f>'REG y VAL POE - AESR - ESR'!AH2362</f>
        <v>0</v>
      </c>
      <c r="CA29" s="28">
        <f>'REG y VAL POE - AESR - ESR'!AI2362</f>
        <v>0</v>
      </c>
      <c r="CB29" s="29">
        <f>'REG y VAL POE - AESR - ESR'!AJ2362</f>
        <v>0</v>
      </c>
      <c r="CC29" s="29">
        <f>'REG y VAL POE - AESR - ESR'!AK2362</f>
        <v>0</v>
      </c>
      <c r="CD29" s="29">
        <f>'REG y VAL POE - AESR - ESR'!AL2362</f>
        <v>0</v>
      </c>
      <c r="CE29" s="28">
        <f>'REG y VAL POE - AESR - ESR'!AM2362</f>
        <v>0</v>
      </c>
      <c r="CF29" s="29">
        <f>'REG y VAL POE - AESR - ESR'!AN2362</f>
        <v>0</v>
      </c>
      <c r="CG29" s="29">
        <f>'REG y VAL POE - AESR - ESR'!AO2362</f>
        <v>0</v>
      </c>
      <c r="CH29" s="28">
        <f>'REG y VAL POE - AESR - ESR'!AP2362</f>
        <v>0</v>
      </c>
      <c r="CI29" s="29">
        <f>'REG y VAL POE - AESR - ESR'!AQ2362</f>
        <v>0</v>
      </c>
      <c r="CJ29" s="30">
        <f>'REG y VAL POE - AESR - ESR'!AR2362</f>
        <v>0</v>
      </c>
      <c r="CK29" s="28">
        <f>'REG y VAL POE - AESR - ESR'!AS2362</f>
        <v>0</v>
      </c>
      <c r="CL29" s="29" t="str">
        <f>'REG y VAL POE - AESR - ESR'!B2363</f>
        <v xml:space="preserve">Martinez Montalvo Pedro </v>
      </c>
      <c r="CM29" s="29" t="str">
        <f>'REG y VAL POE - AESR - ESR'!C2363</f>
        <v>Sin Registro</v>
      </c>
      <c r="CN29" s="29">
        <f>'REG y VAL POE - AESR - ESR'!D2363</f>
        <v>20180654</v>
      </c>
      <c r="CO29" s="28">
        <f>'REG y VAL POE - AESR - ESR'!E2363</f>
        <v>0</v>
      </c>
      <c r="CP29" s="29">
        <f>'REG y VAL POE - AESR - ESR'!F2363</f>
        <v>0</v>
      </c>
      <c r="CQ29" s="29">
        <f>'REG y VAL POE - AESR - ESR'!G2363</f>
        <v>0</v>
      </c>
      <c r="CR29" s="28">
        <f>'REG y VAL POE - AESR - ESR'!H2363</f>
        <v>0</v>
      </c>
      <c r="CS29" s="29">
        <f>'REG y VAL POE - AESR - ESR'!I2363</f>
        <v>0</v>
      </c>
      <c r="CT29" s="30">
        <f>'REG y VAL POE - AESR - ESR'!J2363</f>
        <v>0</v>
      </c>
      <c r="CU29" s="28">
        <f>'REG y VAL POE - AESR - ESR'!K2363</f>
        <v>0</v>
      </c>
      <c r="CV29" s="29">
        <f>'REG y VAL POE - AESR - ESR'!L2363</f>
        <v>0</v>
      </c>
      <c r="CW29" s="29">
        <f>'REG y VAL POE - AESR - ESR'!M2363</f>
        <v>0</v>
      </c>
      <c r="CX29" s="29">
        <f>'REG y VAL POE - AESR - ESR'!N2363</f>
        <v>0</v>
      </c>
      <c r="CY29" s="28">
        <f>'REG y VAL POE - AESR - ESR'!O2363</f>
        <v>0</v>
      </c>
      <c r="CZ29" s="29">
        <f>'REG y VAL POE - AESR - ESR'!P2363</f>
        <v>0</v>
      </c>
      <c r="DA29" s="29">
        <f>'REG y VAL POE - AESR - ESR'!Q2363</f>
        <v>0</v>
      </c>
      <c r="DB29" s="28">
        <f>'REG y VAL POE - AESR - ESR'!R2363</f>
        <v>0</v>
      </c>
      <c r="DC29" s="29">
        <f>'REG y VAL POE - AESR - ESR'!S2363</f>
        <v>0</v>
      </c>
      <c r="DD29" s="30">
        <f>'REG y VAL POE - AESR - ESR'!T2363</f>
        <v>0</v>
      </c>
      <c r="DE29" s="28">
        <f>'REG y VAL POE - AESR - ESR'!U2363</f>
        <v>0</v>
      </c>
      <c r="DF29" s="29">
        <f>'REG y VAL POE - AESR - ESR'!V2363</f>
        <v>0</v>
      </c>
      <c r="DG29" s="29">
        <f>'REG y VAL POE - AESR - ESR'!W2363</f>
        <v>0</v>
      </c>
      <c r="DH29" s="29">
        <f>'REG y VAL POE - AESR - ESR'!X2363</f>
        <v>0</v>
      </c>
      <c r="DI29" s="28">
        <f>'REG y VAL POE - AESR - ESR'!Y2363</f>
        <v>0</v>
      </c>
      <c r="DJ29" s="29">
        <f>'REG y VAL POE - AESR - ESR'!Z2363</f>
        <v>0</v>
      </c>
      <c r="DK29" s="29">
        <f>'REG y VAL POE - AESR - ESR'!AA2363</f>
        <v>0</v>
      </c>
      <c r="DL29" s="28">
        <f>'REG y VAL POE - AESR - ESR'!AB2363</f>
        <v>0</v>
      </c>
      <c r="DM29" s="29">
        <f>'REG y VAL POE - AESR - ESR'!AC2363</f>
        <v>0</v>
      </c>
      <c r="DN29" s="30">
        <f>'REG y VAL POE - AESR - ESR'!AD2363</f>
        <v>0</v>
      </c>
      <c r="DO29" s="28">
        <f>'REG y VAL POE - AESR - ESR'!AE2363</f>
        <v>0</v>
      </c>
      <c r="DP29" s="29">
        <f>'REG y VAL POE - AESR - ESR'!AF2363</f>
        <v>0</v>
      </c>
      <c r="DQ29" s="29">
        <f>'REG y VAL POE - AESR - ESR'!AG2363</f>
        <v>0</v>
      </c>
      <c r="DR29" s="29">
        <f>'REG y VAL POE - AESR - ESR'!AH2363</f>
        <v>0</v>
      </c>
      <c r="DS29" s="28">
        <f>'REG y VAL POE - AESR - ESR'!AI2363</f>
        <v>0</v>
      </c>
      <c r="DT29" s="29">
        <f>'REG y VAL POE - AESR - ESR'!AJ2363</f>
        <v>0</v>
      </c>
      <c r="DU29" s="29">
        <f>'REG y VAL POE - AESR - ESR'!AK2363</f>
        <v>0</v>
      </c>
      <c r="DV29" s="28">
        <f>'REG y VAL POE - AESR - ESR'!AL2363</f>
        <v>0</v>
      </c>
      <c r="DW29" s="29">
        <f>'REG y VAL POE - AESR - ESR'!AM2363</f>
        <v>0</v>
      </c>
      <c r="DX29" s="30">
        <f>'REG y VAL POE - AESR - ESR'!AN2363</f>
        <v>0</v>
      </c>
      <c r="DY29" s="28">
        <f>'REG y VAL POE - AESR - ESR'!AO2363</f>
        <v>0</v>
      </c>
      <c r="DZ29" s="29">
        <f>'REG y VAL POE - AESR - ESR'!AP2363</f>
        <v>0</v>
      </c>
      <c r="EA29" s="29">
        <f>'REG y VAL POE - AESR - ESR'!AQ2363</f>
        <v>0</v>
      </c>
      <c r="EB29" s="29">
        <f>'REG y VAL POE - AESR - ESR'!AR2363</f>
        <v>0</v>
      </c>
      <c r="EC29" s="28">
        <f>'REG y VAL POE - AESR - ESR'!AS2363</f>
        <v>0</v>
      </c>
      <c r="ED29" s="29">
        <f>'REG y VAL POE - AESR - ESR'!B2364</f>
        <v>0</v>
      </c>
      <c r="EE29" s="28">
        <f>'REG y VAL POE - AESR - ESR'!C2364</f>
        <v>0</v>
      </c>
      <c r="EF29" s="28">
        <f>'REG y VAL POE - AESR - ESR'!D2364</f>
        <v>0</v>
      </c>
      <c r="EG29" s="29">
        <f>'REG y VAL POE - AESR - ESR'!E2364</f>
        <v>0</v>
      </c>
      <c r="EH29" s="30">
        <f>'REG y VAL POE - AESR - ESR'!F2364</f>
        <v>0</v>
      </c>
      <c r="EI29" s="28">
        <f>'REG y VAL POE - AESR - ESR'!G2364</f>
        <v>0</v>
      </c>
      <c r="EJ29" s="29">
        <f>'REG y VAL POE - AESR - ESR'!H2364</f>
        <v>0</v>
      </c>
      <c r="EK29" s="29">
        <f>'REG y VAL POE - AESR - ESR'!I2364</f>
        <v>0</v>
      </c>
      <c r="EL29" s="29">
        <f>'REG y VAL POE - AESR - ESR'!J2364</f>
        <v>0</v>
      </c>
      <c r="EM29" s="28">
        <f>'REG y VAL POE - AESR - ESR'!K2364</f>
        <v>0</v>
      </c>
      <c r="EN29" s="29">
        <f>'REG y VAL POE - AESR - ESR'!L2364</f>
        <v>0</v>
      </c>
      <c r="EO29" s="33">
        <f>'REG y VAL POE - AESR - ESR'!M2364</f>
        <v>0</v>
      </c>
      <c r="EP29" s="28">
        <f>'REG y VAL POE - AESR - ESR'!N2364</f>
        <v>0</v>
      </c>
      <c r="EQ29" s="29">
        <f>'REG y VAL POE - AESR - ESR'!O2364</f>
        <v>0</v>
      </c>
      <c r="ER29" s="30">
        <f>'REG y VAL POE - AESR - ESR'!P2364</f>
        <v>0</v>
      </c>
      <c r="ES29" s="28">
        <f>'REG y VAL POE - AESR - ESR'!Q2364</f>
        <v>0</v>
      </c>
      <c r="ET29" s="29">
        <f>'REG y VAL POE - AESR - ESR'!R2364</f>
        <v>0</v>
      </c>
      <c r="EU29" s="29">
        <f>'REG y VAL POE - AESR - ESR'!S2364</f>
        <v>0</v>
      </c>
      <c r="EV29" s="29">
        <f>'REG y VAL POE - AESR - ESR'!T2364</f>
        <v>0</v>
      </c>
      <c r="EW29" s="28">
        <f>'REG y VAL POE - AESR - ESR'!U2364</f>
        <v>0</v>
      </c>
      <c r="EX29" s="29">
        <f>'REG y VAL POE - AESR - ESR'!V2364</f>
        <v>0</v>
      </c>
      <c r="EY29" s="29">
        <f>'REG y VAL POE - AESR - ESR'!W2364</f>
        <v>0</v>
      </c>
      <c r="EZ29" s="28">
        <f>'REG y VAL POE - AESR - ESR'!X2364</f>
        <v>0</v>
      </c>
      <c r="FA29" s="29">
        <f>'REG y VAL POE - AESR - ESR'!Y2364</f>
        <v>0</v>
      </c>
      <c r="FB29" s="30">
        <f>'REG y VAL POE - AESR - ESR'!Z2364</f>
        <v>0</v>
      </c>
      <c r="FC29" s="28">
        <f>'REG y VAL POE - AESR - ESR'!AA2364</f>
        <v>0</v>
      </c>
      <c r="FD29" s="29">
        <f>'REG y VAL POE - AESR - ESR'!AB2364</f>
        <v>0</v>
      </c>
      <c r="FE29" s="29">
        <f>'REG y VAL POE - AESR - ESR'!AC2364</f>
        <v>0</v>
      </c>
      <c r="FF29" s="29">
        <f>'REG y VAL POE - AESR - ESR'!AD2364</f>
        <v>0</v>
      </c>
      <c r="FG29" s="28">
        <f>'REG y VAL POE - AESR - ESR'!AE2364</f>
        <v>0</v>
      </c>
      <c r="FH29" s="29">
        <f>'REG y VAL POE - AESR - ESR'!AF2364</f>
        <v>0</v>
      </c>
      <c r="FI29" s="29">
        <f>'REG y VAL POE - AESR - ESR'!AG2364</f>
        <v>0</v>
      </c>
      <c r="FJ29" s="28">
        <f>'REG y VAL POE - AESR - ESR'!AH2364</f>
        <v>0</v>
      </c>
      <c r="FK29" s="29">
        <f>'REG y VAL POE - AESR - ESR'!AI2364</f>
        <v>0</v>
      </c>
      <c r="FL29" s="30">
        <f>'REG y VAL POE - AESR - ESR'!AJ2364</f>
        <v>0</v>
      </c>
      <c r="FM29" s="28">
        <f>'REG y VAL POE - AESR - ESR'!AK2364</f>
        <v>0</v>
      </c>
      <c r="FN29" s="29">
        <f>'REG y VAL POE - AESR - ESR'!AL2364</f>
        <v>0</v>
      </c>
      <c r="FO29" s="29">
        <f>'REG y VAL POE - AESR - ESR'!AM2364</f>
        <v>0</v>
      </c>
      <c r="FP29" s="29">
        <f>'REG y VAL POE - AESR - ESR'!AN2364</f>
        <v>0</v>
      </c>
      <c r="FQ29" s="28">
        <f>'REG y VAL POE - AESR - ESR'!AO2364</f>
        <v>0</v>
      </c>
      <c r="FR29" s="29">
        <f>'REG y VAL POE - AESR - ESR'!AP2364</f>
        <v>0</v>
      </c>
      <c r="FS29" s="29">
        <f>'REG y VAL POE - AESR - ESR'!AQ2364</f>
        <v>0</v>
      </c>
      <c r="FT29" s="28">
        <f>'REG y VAL POE - AESR - ESR'!AR2364</f>
        <v>0</v>
      </c>
      <c r="FU29" s="29">
        <f>'REG y VAL POE - AESR - ESR'!AS2364</f>
        <v>0</v>
      </c>
      <c r="FV29" s="30">
        <f>'REG y VAL POE - AESR - ESR'!B2365</f>
        <v>0</v>
      </c>
      <c r="FW29" s="28">
        <f>'REG y VAL POE - AESR - ESR'!C2365</f>
        <v>0</v>
      </c>
      <c r="FX29" s="29">
        <f>'REG y VAL POE - AESR - ESR'!D2365</f>
        <v>0</v>
      </c>
      <c r="FY29" s="29">
        <f>'REG y VAL POE - AESR - ESR'!E2365</f>
        <v>0</v>
      </c>
      <c r="FZ29" s="29">
        <f>'REG y VAL POE - AESR - ESR'!F2365</f>
        <v>0</v>
      </c>
      <c r="GA29" s="28">
        <f>'REG y VAL POE - AESR - ESR'!G2365</f>
        <v>0</v>
      </c>
      <c r="GB29" s="29">
        <f>'REG y VAL POE - AESR - ESR'!H2365</f>
        <v>0</v>
      </c>
      <c r="GC29" s="29">
        <f>'REG y VAL POE - AESR - ESR'!I2365</f>
        <v>0</v>
      </c>
      <c r="GD29" s="28">
        <f>'REG y VAL POE - AESR - ESR'!J2365</f>
        <v>0</v>
      </c>
      <c r="GE29" s="29">
        <f>'REG y VAL POE - AESR - ESR'!K2365</f>
        <v>0</v>
      </c>
      <c r="GF29" s="30">
        <f>'REG y VAL POE - AESR - ESR'!L2365</f>
        <v>0</v>
      </c>
      <c r="GG29" s="28">
        <f>'REG y VAL POE - AESR - ESR'!M2365</f>
        <v>0</v>
      </c>
      <c r="GH29" s="29">
        <f>'REG y VAL POE - AESR - ESR'!N2365</f>
        <v>0</v>
      </c>
      <c r="GI29" s="29">
        <f>'REG y VAL POE - AESR - ESR'!O2365</f>
        <v>0</v>
      </c>
      <c r="GJ29" s="29">
        <f>'REG y VAL POE - AESR - ESR'!P2365</f>
        <v>0</v>
      </c>
      <c r="GK29" s="28">
        <f>'REG y VAL POE - AESR - ESR'!Q2365</f>
        <v>0</v>
      </c>
      <c r="GL29" s="29">
        <f>'REG y VAL POE - AESR - ESR'!R2365</f>
        <v>0</v>
      </c>
      <c r="GM29" s="29">
        <f>'REG y VAL POE - AESR - ESR'!S2365</f>
        <v>0</v>
      </c>
      <c r="GN29" s="28">
        <f>'REG y VAL POE - AESR - ESR'!T2365</f>
        <v>0</v>
      </c>
      <c r="GO29" s="29">
        <f>'REG y VAL POE - AESR - ESR'!U2365</f>
        <v>0</v>
      </c>
      <c r="GP29" s="30">
        <f>'REG y VAL POE - AESR - ESR'!V2365</f>
        <v>0</v>
      </c>
      <c r="GQ29" s="28">
        <f>'REG y VAL POE - AESR - ESR'!W2365</f>
        <v>0</v>
      </c>
      <c r="GR29" s="29">
        <f>'REG y VAL POE - AESR - ESR'!X2365</f>
        <v>0</v>
      </c>
      <c r="GS29" s="29">
        <f>'REG y VAL POE - AESR - ESR'!Y2365</f>
        <v>0</v>
      </c>
      <c r="GT29" s="29">
        <f>'REG y VAL POE - AESR - ESR'!Z2365</f>
        <v>0</v>
      </c>
      <c r="GU29" s="28">
        <f>'REG y VAL POE - AESR - ESR'!AA2365</f>
        <v>0</v>
      </c>
      <c r="GV29" s="29">
        <f>'REG y VAL POE - AESR - ESR'!AB2365</f>
        <v>0</v>
      </c>
      <c r="GW29" s="29">
        <f>'REG y VAL POE - AESR - ESR'!AC2365</f>
        <v>0</v>
      </c>
      <c r="GX29" s="28">
        <f>'REG y VAL POE - AESR - ESR'!AD2365</f>
        <v>0</v>
      </c>
      <c r="GY29" s="29">
        <f>'REG y VAL POE - AESR - ESR'!AE2365</f>
        <v>0</v>
      </c>
      <c r="GZ29" s="30">
        <f>'REG y VAL POE - AESR - ESR'!AF2365</f>
        <v>0</v>
      </c>
      <c r="HA29" s="28">
        <f>'REG y VAL POE - AESR - ESR'!AG2365</f>
        <v>0</v>
      </c>
      <c r="HB29" s="29">
        <f>'REG y VAL POE - AESR - ESR'!AH2365</f>
        <v>0</v>
      </c>
      <c r="HC29" s="29">
        <f>'REG y VAL POE - AESR - ESR'!AI2365</f>
        <v>0</v>
      </c>
      <c r="HD29" s="29">
        <f>'REG y VAL POE - AESR - ESR'!AJ2365</f>
        <v>0</v>
      </c>
      <c r="HE29" s="28">
        <f>'REG y VAL POE - AESR - ESR'!AK2365</f>
        <v>0</v>
      </c>
      <c r="HF29" s="29">
        <f>'REG y VAL POE - AESR - ESR'!AL2365</f>
        <v>0</v>
      </c>
      <c r="HG29" s="29">
        <f>'REG y VAL POE - AESR - ESR'!AM2365</f>
        <v>0</v>
      </c>
      <c r="HH29" s="28">
        <f>'REG y VAL POE - AESR - ESR'!AN2365</f>
        <v>0</v>
      </c>
      <c r="HI29" s="29">
        <f>'REG y VAL POE - AESR - ESR'!AO2365</f>
        <v>0</v>
      </c>
      <c r="HJ29" s="30">
        <f>'REG y VAL POE - AESR - ESR'!AP2365</f>
        <v>0</v>
      </c>
      <c r="HK29" s="28">
        <f>'REG y VAL POE - AESR - ESR'!AQ2365</f>
        <v>0</v>
      </c>
      <c r="HL29" s="29">
        <f>'REG y VAL POE - AESR - ESR'!AR2365</f>
        <v>0</v>
      </c>
      <c r="HM29" s="29">
        <f>'REG y VAL POE - AESR - ESR'!AS2365</f>
        <v>0</v>
      </c>
      <c r="HN29" s="29">
        <f>'REG y VAL POE - AESR - ESR'!B2366</f>
        <v>0</v>
      </c>
      <c r="HO29" s="28">
        <f>'REG y VAL POE - AESR - ESR'!C2366</f>
        <v>0</v>
      </c>
      <c r="HP29" s="29">
        <f>'REG y VAL POE - AESR - ESR'!D2366</f>
        <v>0</v>
      </c>
      <c r="HQ29" s="29">
        <f>'REG y VAL POE - AESR - ESR'!E2366</f>
        <v>0</v>
      </c>
      <c r="HR29" s="28">
        <f>'REG y VAL POE - AESR - ESR'!F2366</f>
        <v>0</v>
      </c>
      <c r="HS29" s="29">
        <f>'REG y VAL POE - AESR - ESR'!G2366</f>
        <v>0</v>
      </c>
      <c r="HT29" s="30">
        <f>'REG y VAL POE - AESR - ESR'!H2366</f>
        <v>0</v>
      </c>
      <c r="HU29" s="28">
        <f>'REG y VAL POE - AESR - ESR'!I2366</f>
        <v>0</v>
      </c>
      <c r="HV29" s="29">
        <f>'REG y VAL POE - AESR - ESR'!J2366</f>
        <v>0</v>
      </c>
      <c r="HW29" s="29">
        <f>'REG y VAL POE - AESR - ESR'!K2366</f>
        <v>0</v>
      </c>
      <c r="HX29" s="29">
        <f>'REG y VAL POE - AESR - ESR'!L2366</f>
        <v>0</v>
      </c>
      <c r="HY29" s="28">
        <f>'REG y VAL POE - AESR - ESR'!M2366</f>
        <v>0</v>
      </c>
      <c r="HZ29" s="29">
        <f>'REG y VAL POE - AESR - ESR'!N2366</f>
        <v>0</v>
      </c>
      <c r="IA29" s="29">
        <f>'REG y VAL POE - AESR - ESR'!O2366</f>
        <v>0</v>
      </c>
      <c r="IB29" s="28">
        <f>'REG y VAL POE - AESR - ESR'!P2366</f>
        <v>0</v>
      </c>
      <c r="IC29" s="29">
        <f>'REG y VAL POE - AESR - ESR'!Q2366</f>
        <v>0</v>
      </c>
      <c r="ID29" s="30">
        <f>'REG y VAL POE - AESR - ESR'!R2366</f>
        <v>0</v>
      </c>
      <c r="IE29" s="28">
        <f>'REG y VAL POE - AESR - ESR'!S2366</f>
        <v>0</v>
      </c>
      <c r="IF29" s="29">
        <f>'REG y VAL POE - AESR - ESR'!T2366</f>
        <v>0</v>
      </c>
      <c r="IG29" s="29">
        <f>'REG y VAL POE - AESR - ESR'!U2366</f>
        <v>0</v>
      </c>
      <c r="IH29" s="29">
        <f>'REG y VAL POE - AESR - ESR'!V2366</f>
        <v>0</v>
      </c>
      <c r="II29" s="28">
        <f>'REG y VAL POE - AESR - ESR'!W2366</f>
        <v>0</v>
      </c>
      <c r="IJ29" s="29">
        <f>'REG y VAL POE - AESR - ESR'!X2366</f>
        <v>0</v>
      </c>
      <c r="IK29" s="29">
        <f>'REG y VAL POE - AESR - ESR'!Y2366</f>
        <v>0</v>
      </c>
      <c r="IL29" s="28">
        <f>'REG y VAL POE - AESR - ESR'!Z2366</f>
        <v>0</v>
      </c>
      <c r="IM29" s="29">
        <f>'REG y VAL POE - AESR - ESR'!AA2366</f>
        <v>0</v>
      </c>
      <c r="IN29" s="30">
        <f>'REG y VAL POE - AESR - ESR'!AB2366</f>
        <v>0</v>
      </c>
      <c r="IO29" s="28">
        <f>'REG y VAL POE - AESR - ESR'!AC2366</f>
        <v>0</v>
      </c>
      <c r="IP29" s="29">
        <f>'REG y VAL POE - AESR - ESR'!AD2366</f>
        <v>0</v>
      </c>
      <c r="IQ29" s="29">
        <f>'REG y VAL POE - AESR - ESR'!AE2366</f>
        <v>0</v>
      </c>
      <c r="IR29" s="29">
        <f>'REG y VAL POE - AESR - ESR'!AF2366</f>
        <v>0</v>
      </c>
      <c r="IS29" s="28">
        <f>'REG y VAL POE - AESR - ESR'!AG2366</f>
        <v>0</v>
      </c>
      <c r="IT29" s="29">
        <f>'REG y VAL POE - AESR - ESR'!AH2366</f>
        <v>0</v>
      </c>
      <c r="IU29" s="29">
        <f>'REG y VAL POE - AESR - ESR'!AI2366</f>
        <v>0</v>
      </c>
      <c r="IV29" s="28">
        <f>'REG y VAL POE - AESR - ESR'!AJ2366</f>
        <v>0</v>
      </c>
      <c r="IW29" s="29">
        <f>'REG y VAL POE - AESR - ESR'!AK2366</f>
        <v>0</v>
      </c>
      <c r="IX29" s="30">
        <f>'REG y VAL POE - AESR - ESR'!AL2366</f>
        <v>0</v>
      </c>
      <c r="IY29" s="28">
        <f>'REG y VAL POE - AESR - ESR'!AM2366</f>
        <v>0</v>
      </c>
      <c r="IZ29" s="29">
        <f>'REG y VAL POE - AESR - ESR'!AN2366</f>
        <v>0</v>
      </c>
      <c r="JA29" s="29">
        <f>'REG y VAL POE - AESR - ESR'!AO2366</f>
        <v>0</v>
      </c>
      <c r="JB29" s="29">
        <f>'REG y VAL POE - AESR - ESR'!AP2366</f>
        <v>0</v>
      </c>
      <c r="JC29" s="28">
        <f>'REG y VAL POE - AESR - ESR'!AQ2366</f>
        <v>0</v>
      </c>
      <c r="JD29" s="29">
        <f>'REG y VAL POE - AESR - ESR'!AR2366</f>
        <v>0</v>
      </c>
      <c r="JE29" s="29">
        <f>'REG y VAL POE - AESR - ESR'!AS2366</f>
        <v>0</v>
      </c>
      <c r="JF29" s="28">
        <f>'REG y VAL POE - AESR - ESR'!B2367</f>
        <v>0</v>
      </c>
      <c r="JG29" s="29">
        <f>'REG y VAL POE - AESR - ESR'!C2367</f>
        <v>0</v>
      </c>
      <c r="JH29" s="30">
        <f>'REG y VAL POE - AESR - ESR'!D2367</f>
        <v>0</v>
      </c>
      <c r="JI29" s="28">
        <f>'REG y VAL POE - AESR - ESR'!E2367</f>
        <v>0</v>
      </c>
      <c r="JJ29" s="29">
        <f>'REG y VAL POE - AESR - ESR'!F2367</f>
        <v>0</v>
      </c>
      <c r="JK29" s="29">
        <f>'REG y VAL POE - AESR - ESR'!G2367</f>
        <v>0</v>
      </c>
      <c r="JL29" s="29">
        <f>'REG y VAL POE - AESR - ESR'!H2367</f>
        <v>0</v>
      </c>
      <c r="JM29" s="28">
        <f>'REG y VAL POE - AESR - ESR'!I2367</f>
        <v>0</v>
      </c>
      <c r="JN29" s="29">
        <f>'REG y VAL POE - AESR - ESR'!J2367</f>
        <v>0</v>
      </c>
      <c r="JO29" s="29">
        <f>'REG y VAL POE - AESR - ESR'!K2367</f>
        <v>0</v>
      </c>
      <c r="JP29" s="28">
        <f>'REG y VAL POE - AESR - ESR'!L2367</f>
        <v>0</v>
      </c>
      <c r="JQ29" s="29">
        <f>'REG y VAL POE - AESR - ESR'!M2367</f>
        <v>0</v>
      </c>
      <c r="JR29" s="30">
        <f>'REG y VAL POE - AESR - ESR'!N2367</f>
        <v>0</v>
      </c>
      <c r="JS29" s="28">
        <f>'REG y VAL POE - AESR - ESR'!O2367</f>
        <v>0</v>
      </c>
      <c r="JT29" s="29">
        <f>'REG y VAL POE - AESR - ESR'!P2367</f>
        <v>0</v>
      </c>
      <c r="JU29" s="29">
        <f>'REG y VAL POE - AESR - ESR'!Q2367</f>
        <v>0</v>
      </c>
      <c r="JV29" s="29">
        <f>'REG y VAL POE - AESR - ESR'!R2367</f>
        <v>0</v>
      </c>
      <c r="JW29" s="28">
        <f>'REG y VAL POE - AESR - ESR'!S2367</f>
        <v>0</v>
      </c>
      <c r="JX29" s="29">
        <f>'REG y VAL POE - AESR - ESR'!T2367</f>
        <v>0</v>
      </c>
      <c r="JY29" s="29">
        <f>'REG y VAL POE - AESR - ESR'!U2367</f>
        <v>0</v>
      </c>
      <c r="JZ29" s="28">
        <f>'REG y VAL POE - AESR - ESR'!V2367</f>
        <v>0</v>
      </c>
      <c r="KA29" s="29">
        <f>'REG y VAL POE - AESR - ESR'!W2367</f>
        <v>0</v>
      </c>
      <c r="KB29" s="30">
        <f>'REG y VAL POE - AESR - ESR'!X2367</f>
        <v>0</v>
      </c>
      <c r="KC29" s="28">
        <f>'REG y VAL POE - AESR - ESR'!Y2367</f>
        <v>0</v>
      </c>
      <c r="KD29" s="29">
        <f>'REG y VAL POE - AESR - ESR'!Z2367</f>
        <v>0</v>
      </c>
      <c r="KE29" s="29">
        <f>'REG y VAL POE - AESR - ESR'!AA2367</f>
        <v>0</v>
      </c>
      <c r="KF29" s="29">
        <f>'REG y VAL POE - AESR - ESR'!AB2367</f>
        <v>0</v>
      </c>
      <c r="KG29" s="28">
        <f>'REG y VAL POE - AESR - ESR'!AC2367</f>
        <v>0</v>
      </c>
      <c r="KH29" s="29">
        <f>'REG y VAL POE - AESR - ESR'!AD2367</f>
        <v>0</v>
      </c>
      <c r="KI29" s="29">
        <f>'REG y VAL POE - AESR - ESR'!AE2367</f>
        <v>0</v>
      </c>
      <c r="KJ29" s="28">
        <f>'REG y VAL POE - AESR - ESR'!AF2367</f>
        <v>0</v>
      </c>
      <c r="KK29" s="29">
        <f>'REG y VAL POE - AESR - ESR'!AG2367</f>
        <v>0</v>
      </c>
      <c r="KL29" s="30">
        <f>'REG y VAL POE - AESR - ESR'!AH2367</f>
        <v>0</v>
      </c>
      <c r="KM29" s="28">
        <f>'REG y VAL POE - AESR - ESR'!AI2367</f>
        <v>0</v>
      </c>
      <c r="KN29" s="29">
        <f>'REG y VAL POE - AESR - ESR'!AJ2367</f>
        <v>0</v>
      </c>
      <c r="KO29" s="29">
        <f>'REG y VAL POE - AESR - ESR'!AK2367</f>
        <v>0</v>
      </c>
      <c r="KP29" s="29">
        <f>'REG y VAL POE - AESR - ESR'!AL2367</f>
        <v>0</v>
      </c>
      <c r="KQ29" s="28">
        <f>'REG y VAL POE - AESR - ESR'!AM2367</f>
        <v>0</v>
      </c>
      <c r="KR29" s="29">
        <f>'REG y VAL POE - AESR - ESR'!AN2367</f>
        <v>0</v>
      </c>
      <c r="KS29" s="29">
        <f>'REG y VAL POE - AESR - ESR'!AO2367</f>
        <v>0</v>
      </c>
      <c r="KT29" s="28">
        <f>'REG y VAL POE - AESR - ESR'!AP2367</f>
        <v>0</v>
      </c>
      <c r="KU29" s="29">
        <f>'REG y VAL POE - AESR - ESR'!AQ2367</f>
        <v>0</v>
      </c>
      <c r="KV29" s="30">
        <f>'REG y VAL POE - AESR - ESR'!AR2367</f>
        <v>0</v>
      </c>
      <c r="KW29" s="28">
        <f>'REG y VAL POE - AESR - ESR'!AS2367</f>
        <v>0</v>
      </c>
      <c r="KX29" s="29">
        <f>'REG y VAL POE - AESR - ESR'!B2368</f>
        <v>0</v>
      </c>
      <c r="KY29" s="29">
        <f>'REG y VAL POE - AESR - ESR'!C2368</f>
        <v>0</v>
      </c>
      <c r="KZ29" s="29">
        <f>'REG y VAL POE - AESR - ESR'!D2368</f>
        <v>0</v>
      </c>
      <c r="LA29" s="28">
        <f>'REG y VAL POE - AESR - ESR'!E2368</f>
        <v>0</v>
      </c>
      <c r="LB29" s="29">
        <f>'REG y VAL POE - AESR - ESR'!F2368</f>
        <v>0</v>
      </c>
      <c r="LC29" s="29">
        <f>'REG y VAL POE - AESR - ESR'!G2368</f>
        <v>0</v>
      </c>
      <c r="LD29" s="28">
        <f>'REG y VAL POE - AESR - ESR'!H2368</f>
        <v>0</v>
      </c>
      <c r="LE29" s="29">
        <f>'REG y VAL POE - AESR - ESR'!I2368</f>
        <v>0</v>
      </c>
      <c r="LF29" s="30">
        <f>'REG y VAL POE - AESR - ESR'!J2368</f>
        <v>0</v>
      </c>
      <c r="LG29" s="28">
        <f>'REG y VAL POE - AESR - ESR'!K2368</f>
        <v>0</v>
      </c>
      <c r="LH29" s="29">
        <f>'REG y VAL POE - AESR - ESR'!L2368</f>
        <v>0</v>
      </c>
      <c r="LI29" s="29">
        <f>'REG y VAL POE - AESR - ESR'!M2368</f>
        <v>0</v>
      </c>
      <c r="LJ29" s="29">
        <f>'REG y VAL POE - AESR - ESR'!N2368</f>
        <v>0</v>
      </c>
      <c r="LK29" s="28">
        <f>'REG y VAL POE - AESR - ESR'!O2368</f>
        <v>0</v>
      </c>
      <c r="LL29" s="29">
        <f>'REG y VAL POE - AESR - ESR'!P2368</f>
        <v>0</v>
      </c>
      <c r="LM29" s="29">
        <f>'REG y VAL POE - AESR - ESR'!Q2368</f>
        <v>0</v>
      </c>
      <c r="LN29" s="28">
        <f>'REG y VAL POE - AESR - ESR'!R2368</f>
        <v>0</v>
      </c>
      <c r="LO29" s="29">
        <f>'REG y VAL POE - AESR - ESR'!S2368</f>
        <v>0</v>
      </c>
      <c r="LP29" s="30">
        <f>'REG y VAL POE - AESR - ESR'!T2368</f>
        <v>0</v>
      </c>
      <c r="LQ29" s="28">
        <f>'REG y VAL POE - AESR - ESR'!U2368</f>
        <v>0</v>
      </c>
      <c r="LR29" s="29">
        <f>'REG y VAL POE - AESR - ESR'!V2368</f>
        <v>0</v>
      </c>
      <c r="LS29" s="29">
        <f>'REG y VAL POE - AESR - ESR'!W2368</f>
        <v>0</v>
      </c>
      <c r="LT29" s="29">
        <f>'REG y VAL POE - AESR - ESR'!X2368</f>
        <v>0</v>
      </c>
      <c r="LU29" s="28">
        <f>'REG y VAL POE - AESR - ESR'!Y2368</f>
        <v>0</v>
      </c>
      <c r="LV29" s="29">
        <f>'REG y VAL POE - AESR - ESR'!Z2368</f>
        <v>0</v>
      </c>
      <c r="LW29" s="29">
        <f>'REG y VAL POE - AESR - ESR'!AA2368</f>
        <v>0</v>
      </c>
      <c r="LX29" s="28">
        <f>'REG y VAL POE - AESR - ESR'!AB2368</f>
        <v>0</v>
      </c>
      <c r="LY29" s="29">
        <f>'REG y VAL POE - AESR - ESR'!AC2368</f>
        <v>0</v>
      </c>
      <c r="LZ29" s="30">
        <f>'REG y VAL POE - AESR - ESR'!AD2368</f>
        <v>0</v>
      </c>
      <c r="MA29" s="28">
        <f>'REG y VAL POE - AESR - ESR'!AE2368</f>
        <v>0</v>
      </c>
      <c r="MB29" s="29">
        <f>'REG y VAL POE - AESR - ESR'!AF2368</f>
        <v>0</v>
      </c>
      <c r="MC29" s="29">
        <f>'REG y VAL POE - AESR - ESR'!AG2368</f>
        <v>0</v>
      </c>
      <c r="MD29" s="29">
        <f>'REG y VAL POE - AESR - ESR'!AH2368</f>
        <v>0</v>
      </c>
      <c r="ME29" s="28">
        <f>'REG y VAL POE - AESR - ESR'!AI2368</f>
        <v>0</v>
      </c>
      <c r="MF29" s="29">
        <f>'REG y VAL POE - AESR - ESR'!AJ2368</f>
        <v>0</v>
      </c>
      <c r="MG29" s="29">
        <f>'REG y VAL POE - AESR - ESR'!AK2368</f>
        <v>0</v>
      </c>
      <c r="MH29" s="28">
        <f>'REG y VAL POE - AESR - ESR'!AL2368</f>
        <v>0</v>
      </c>
      <c r="MI29" s="29">
        <f>'REG y VAL POE - AESR - ESR'!AM2368</f>
        <v>0</v>
      </c>
      <c r="MJ29" s="30">
        <f>'REG y VAL POE - AESR - ESR'!AN2368</f>
        <v>0</v>
      </c>
      <c r="MK29" s="28">
        <f>'REG y VAL POE - AESR - ESR'!AO2368</f>
        <v>0</v>
      </c>
      <c r="ML29" s="29">
        <f>'REG y VAL POE - AESR - ESR'!AP2368</f>
        <v>0</v>
      </c>
      <c r="MM29" s="29">
        <f>'REG y VAL POE - AESR - ESR'!AQ2368</f>
        <v>0</v>
      </c>
      <c r="MN29" s="29">
        <f>'REG y VAL POE - AESR - ESR'!AR2368</f>
        <v>0</v>
      </c>
      <c r="MO29" s="28">
        <f>'REG y VAL POE - AESR - ESR'!AS2368</f>
        <v>0</v>
      </c>
      <c r="MP29" s="29">
        <f>'REG y VAL POE - AESR - ESR'!B2369</f>
        <v>0</v>
      </c>
      <c r="MQ29" s="29">
        <f>'REG y VAL POE - AESR - ESR'!C2369</f>
        <v>0</v>
      </c>
      <c r="MR29" s="28">
        <f>'REG y VAL POE - AESR - ESR'!D2369</f>
        <v>0</v>
      </c>
      <c r="MS29" s="29">
        <f>'REG y VAL POE - AESR - ESR'!E2369</f>
        <v>0</v>
      </c>
      <c r="MT29" s="30">
        <f>'REG y VAL POE - AESR - ESR'!F2369</f>
        <v>0</v>
      </c>
      <c r="MU29" s="28">
        <f>'REG y VAL POE - AESR - ESR'!G2369</f>
        <v>0</v>
      </c>
      <c r="MV29" s="29">
        <f>'REG y VAL POE - AESR - ESR'!H2369</f>
        <v>0</v>
      </c>
      <c r="MW29" s="29">
        <f>'REG y VAL POE - AESR - ESR'!I2369</f>
        <v>0</v>
      </c>
      <c r="MX29" s="29">
        <f>'REG y VAL POE - AESR - ESR'!J2369</f>
        <v>0</v>
      </c>
      <c r="MY29" s="28">
        <f>'REG y VAL POE - AESR - ESR'!K2369</f>
        <v>0</v>
      </c>
      <c r="MZ29" s="29">
        <f>'REG y VAL POE - AESR - ESR'!L2369</f>
        <v>0</v>
      </c>
      <c r="NA29" s="29">
        <f>'REG y VAL POE - AESR - ESR'!M2369</f>
        <v>0</v>
      </c>
      <c r="NB29" s="28">
        <f>'REG y VAL POE - AESR - ESR'!N2369</f>
        <v>0</v>
      </c>
      <c r="NC29" s="29">
        <f>'REG y VAL POE - AESR - ESR'!O2369</f>
        <v>0</v>
      </c>
      <c r="ND29" s="30">
        <f>'REG y VAL POE - AESR - ESR'!P2369</f>
        <v>0</v>
      </c>
      <c r="NE29" s="28">
        <f>'REG y VAL POE - AESR - ESR'!Q2369</f>
        <v>0</v>
      </c>
      <c r="NF29" s="29">
        <f>'REG y VAL POE - AESR - ESR'!R2369</f>
        <v>0</v>
      </c>
      <c r="NG29" s="29">
        <f>'REG y VAL POE - AESR - ESR'!S2369</f>
        <v>0</v>
      </c>
      <c r="NH29" s="29">
        <f>'REG y VAL POE - AESR - ESR'!T2369</f>
        <v>0</v>
      </c>
      <c r="NI29" s="28">
        <f>'REG y VAL POE - AESR - ESR'!U2369</f>
        <v>0</v>
      </c>
      <c r="NJ29" s="29">
        <f>'REG y VAL POE - AESR - ESR'!V2369</f>
        <v>0</v>
      </c>
      <c r="NK29" s="29">
        <f>'REG y VAL POE - AESR - ESR'!W2369</f>
        <v>0</v>
      </c>
      <c r="NL29" s="28">
        <f>'REG y VAL POE - AESR - ESR'!X2369</f>
        <v>0</v>
      </c>
      <c r="NM29" s="29">
        <f>'REG y VAL POE - AESR - ESR'!Y2369</f>
        <v>0</v>
      </c>
      <c r="NN29" s="30">
        <f>'REG y VAL POE - AESR - ESR'!Z2369</f>
        <v>0</v>
      </c>
      <c r="NO29" s="28">
        <f>'REG y VAL POE - AESR - ESR'!AA2369</f>
        <v>0</v>
      </c>
      <c r="NP29" s="29">
        <f>'REG y VAL POE - AESR - ESR'!AB2369</f>
        <v>0</v>
      </c>
      <c r="NQ29" s="29">
        <f>'REG y VAL POE - AESR - ESR'!AC2369</f>
        <v>0</v>
      </c>
      <c r="NR29" s="29">
        <f>'REG y VAL POE - AESR - ESR'!AD2369</f>
        <v>0</v>
      </c>
      <c r="NS29" s="28">
        <f>'REG y VAL POE - AESR - ESR'!AE2369</f>
        <v>0</v>
      </c>
      <c r="NT29" s="29">
        <f>'REG y VAL POE - AESR - ESR'!AF2369</f>
        <v>0</v>
      </c>
      <c r="NU29" s="29">
        <f>'REG y VAL POE - AESR - ESR'!AG2369</f>
        <v>0</v>
      </c>
      <c r="NV29" s="28">
        <f>'REG y VAL POE - AESR - ESR'!AH2369</f>
        <v>0</v>
      </c>
      <c r="NW29" s="29">
        <f>'REG y VAL POE - AESR - ESR'!AI2369</f>
        <v>0</v>
      </c>
      <c r="NX29" s="30">
        <f>'REG y VAL POE - AESR - ESR'!AJ2369</f>
        <v>0</v>
      </c>
      <c r="NY29" s="28">
        <f>'REG y VAL POE - AESR - ESR'!AK2369</f>
        <v>0</v>
      </c>
      <c r="NZ29" s="29">
        <f>'REG y VAL POE - AESR - ESR'!AL2369</f>
        <v>0</v>
      </c>
      <c r="OA29" s="29">
        <f>'REG y VAL POE - AESR - ESR'!AM2369</f>
        <v>0</v>
      </c>
      <c r="OB29" s="29">
        <f>'REG y VAL POE - AESR - ESR'!AN2369</f>
        <v>0</v>
      </c>
      <c r="OC29" s="28">
        <f>'REG y VAL POE - AESR - ESR'!AO2369</f>
        <v>0</v>
      </c>
      <c r="OD29" s="29">
        <f>'REG y VAL POE - AESR - ESR'!AP2369</f>
        <v>0</v>
      </c>
      <c r="OE29" s="29">
        <f>'REG y VAL POE - AESR - ESR'!AQ2369</f>
        <v>0</v>
      </c>
      <c r="OF29" s="30">
        <f>'REG y VAL POE - AESR - ESR'!AR2369</f>
        <v>0</v>
      </c>
      <c r="OG29" s="30">
        <f>'REG y VAL POE - AESR - ESR'!AS2369</f>
        <v>0</v>
      </c>
      <c r="OH29" s="30">
        <f>'REG y VAL POE - AESR - ESR'!B2370</f>
        <v>0</v>
      </c>
      <c r="OI29" s="28">
        <f>'REG y VAL POE - AESR - ESR'!C2370</f>
        <v>0</v>
      </c>
      <c r="OJ29" s="30">
        <f>'REG y VAL POE - AESR - ESR'!D2370</f>
        <v>0</v>
      </c>
      <c r="OK29" s="30">
        <f>'REG y VAL POE - AESR - ESR'!E2370</f>
        <v>0</v>
      </c>
      <c r="OL29" s="30">
        <f>'REG y VAL POE - AESR - ESR'!F2370</f>
        <v>0</v>
      </c>
      <c r="OM29" s="30">
        <f>'REG y VAL POE - AESR - ESR'!G2370</f>
        <v>0</v>
      </c>
      <c r="ON29" s="30">
        <f>'REG y VAL POE - AESR - ESR'!H2370</f>
        <v>0</v>
      </c>
      <c r="OO29" s="30">
        <f>'REG y VAL POE - AESR - ESR'!I2370</f>
        <v>0</v>
      </c>
      <c r="OP29" s="28">
        <f>'REG y VAL POE - AESR - ESR'!J2370</f>
        <v>0</v>
      </c>
      <c r="OQ29" s="29">
        <f>'REG y VAL POE - AESR - ESR'!K2370</f>
        <v>0</v>
      </c>
      <c r="OR29" s="30">
        <f>'REG y VAL POE - AESR - ESR'!L2370</f>
        <v>0</v>
      </c>
      <c r="OS29" s="28">
        <f>'REG y VAL POE - AESR - ESR'!M2370</f>
        <v>0</v>
      </c>
      <c r="OT29" s="29">
        <f>'REG y VAL POE - AESR - ESR'!N2370</f>
        <v>0</v>
      </c>
      <c r="OU29" s="29">
        <f>'REG y VAL POE - AESR - ESR'!O2370</f>
        <v>0</v>
      </c>
      <c r="OV29" s="29">
        <f>'REG y VAL POE - AESR - ESR'!P2370</f>
        <v>0</v>
      </c>
      <c r="OW29" s="28">
        <f>'REG y VAL POE - AESR - ESR'!Q2370</f>
        <v>0</v>
      </c>
      <c r="OX29" s="29">
        <f>'REG y VAL POE - AESR - ESR'!R2370</f>
        <v>0</v>
      </c>
      <c r="OY29" s="29">
        <f>'REG y VAL POE - AESR - ESR'!S2370</f>
        <v>0</v>
      </c>
      <c r="OZ29" s="28">
        <f>'REG y VAL POE - AESR - ESR'!T2370</f>
        <v>0</v>
      </c>
      <c r="PA29" s="29">
        <f>'REG y VAL POE - AESR - ESR'!U2370</f>
        <v>0</v>
      </c>
      <c r="PB29" s="30">
        <f>'REG y VAL POE - AESR - ESR'!V2370</f>
        <v>0</v>
      </c>
      <c r="PC29" s="28">
        <f>'REG y VAL POE - AESR - ESR'!W2370</f>
        <v>0</v>
      </c>
      <c r="PD29" s="29">
        <f>'REG y VAL POE - AESR - ESR'!X2370</f>
        <v>0</v>
      </c>
      <c r="PE29" s="29">
        <f>'REG y VAL POE - AESR - ESR'!Y2370</f>
        <v>0</v>
      </c>
      <c r="PF29" s="29">
        <f>'REG y VAL POE - AESR - ESR'!Z2370</f>
        <v>0</v>
      </c>
      <c r="PG29" s="28">
        <f>'REG y VAL POE - AESR - ESR'!AA2370</f>
        <v>0</v>
      </c>
      <c r="PH29" s="29">
        <f>'REG y VAL POE - AESR - ESR'!AB2370</f>
        <v>0</v>
      </c>
      <c r="PI29" s="29">
        <f>'REG y VAL POE - AESR - ESR'!AC2370</f>
        <v>0</v>
      </c>
      <c r="PJ29" s="28">
        <f>'REG y VAL POE - AESR - ESR'!AD2370</f>
        <v>0</v>
      </c>
      <c r="PK29" s="29">
        <f>'REG y VAL POE - AESR - ESR'!AE2370</f>
        <v>0</v>
      </c>
      <c r="PL29" s="30">
        <f>'REG y VAL POE - AESR - ESR'!AF2370</f>
        <v>0</v>
      </c>
      <c r="PM29" s="28">
        <f>'REG y VAL POE - AESR - ESR'!AG2370</f>
        <v>0</v>
      </c>
      <c r="PN29" s="29">
        <f>'REG y VAL POE - AESR - ESR'!AH2370</f>
        <v>0</v>
      </c>
      <c r="PO29" s="29">
        <f>'REG y VAL POE - AESR - ESR'!AI2370</f>
        <v>0</v>
      </c>
      <c r="PP29" s="29">
        <f>'REG y VAL POE - AESR - ESR'!AJ2370</f>
        <v>0</v>
      </c>
      <c r="PQ29" s="28">
        <f>'REG y VAL POE - AESR - ESR'!AK2370</f>
        <v>0</v>
      </c>
      <c r="PR29" s="29">
        <f>'REG y VAL POE - AESR - ESR'!AL2370</f>
        <v>0</v>
      </c>
      <c r="PS29" s="29">
        <f>'REG y VAL POE - AESR - ESR'!AM2370</f>
        <v>0</v>
      </c>
      <c r="PT29" s="28">
        <f>'REG y VAL POE - AESR - ESR'!AN2370</f>
        <v>0</v>
      </c>
      <c r="PU29" s="29">
        <f>'REG y VAL POE - AESR - ESR'!AO2370</f>
        <v>0</v>
      </c>
      <c r="PV29" s="30">
        <f>'REG y VAL POE - AESR - ESR'!AP2370</f>
        <v>0</v>
      </c>
      <c r="PW29" s="28">
        <f>'REG y VAL POE - AESR - ESR'!AQ2370</f>
        <v>0</v>
      </c>
      <c r="PX29" s="29">
        <f>'REG y VAL POE - AESR - ESR'!AR2370</f>
        <v>0</v>
      </c>
      <c r="PY29" s="29">
        <f>'REG y VAL POE - AESR - ESR'!AS2370</f>
        <v>0</v>
      </c>
      <c r="PZ29" s="29">
        <f>'REG y VAL POE - AESR - ESR'!B2371</f>
        <v>0</v>
      </c>
      <c r="QA29" s="28">
        <f>'REG y VAL POE - AESR - ESR'!C2371</f>
        <v>0</v>
      </c>
      <c r="QB29" s="29">
        <f>'REG y VAL POE - AESR - ESR'!D2371</f>
        <v>0</v>
      </c>
      <c r="QC29" s="29">
        <f>'REG y VAL POE - AESR - ESR'!E2371</f>
        <v>0</v>
      </c>
      <c r="QD29" s="28">
        <f>'REG y VAL POE - AESR - ESR'!F2371</f>
        <v>0</v>
      </c>
      <c r="QE29" s="29">
        <f>'REG y VAL POE - AESR - ESR'!G2371</f>
        <v>0</v>
      </c>
      <c r="QF29" s="30">
        <f>'REG y VAL POE - AESR - ESR'!H2371</f>
        <v>0</v>
      </c>
      <c r="QG29" s="28">
        <f>'REG y VAL POE - AESR - ESR'!I2371</f>
        <v>0</v>
      </c>
      <c r="QH29" s="29">
        <f>'REG y VAL POE - AESR - ESR'!J2371</f>
        <v>0</v>
      </c>
      <c r="QI29" s="29">
        <f>'REG y VAL POE - AESR - ESR'!K2371</f>
        <v>0</v>
      </c>
      <c r="QJ29" s="29">
        <f>'REG y VAL POE - AESR - ESR'!L2371</f>
        <v>0</v>
      </c>
      <c r="QK29" s="28">
        <f>'REG y VAL POE - AESR - ESR'!M2371</f>
        <v>0</v>
      </c>
      <c r="QL29" s="29">
        <f>'REG y VAL POE - AESR - ESR'!N2371</f>
        <v>0</v>
      </c>
      <c r="QM29" s="29">
        <f>'REG y VAL POE - AESR - ESR'!O2371</f>
        <v>0</v>
      </c>
      <c r="QN29" s="28">
        <f>'REG y VAL POE - AESR - ESR'!P2371</f>
        <v>0</v>
      </c>
      <c r="QO29" s="29">
        <f>'REG y VAL POE - AESR - ESR'!Q2371</f>
        <v>0</v>
      </c>
      <c r="QP29" s="30">
        <f>'REG y VAL POE - AESR - ESR'!R2371</f>
        <v>0</v>
      </c>
      <c r="QQ29" s="28">
        <f>'REG y VAL POE - AESR - ESR'!S2371</f>
        <v>0</v>
      </c>
      <c r="QR29" s="29">
        <f>'REG y VAL POE - AESR - ESR'!T2371</f>
        <v>0</v>
      </c>
      <c r="QS29" s="29">
        <f>'REG y VAL POE - AESR - ESR'!U2371</f>
        <v>0</v>
      </c>
      <c r="QT29" s="29">
        <f>'REG y VAL POE - AESR - ESR'!V2371</f>
        <v>0</v>
      </c>
      <c r="QU29" s="28">
        <f>'REG y VAL POE - AESR - ESR'!W2371</f>
        <v>0</v>
      </c>
      <c r="QV29" s="29">
        <f>'REG y VAL POE - AESR - ESR'!X2371</f>
        <v>0</v>
      </c>
      <c r="QW29" s="29">
        <f>'REG y VAL POE - AESR - ESR'!Y2371</f>
        <v>0</v>
      </c>
      <c r="QX29" s="28">
        <f>'REG y VAL POE - AESR - ESR'!Z2371</f>
        <v>0</v>
      </c>
      <c r="QY29" s="29">
        <f>'REG y VAL POE - AESR - ESR'!AA2371</f>
        <v>0</v>
      </c>
      <c r="QZ29" s="30">
        <f>'REG y VAL POE - AESR - ESR'!AB2371</f>
        <v>0</v>
      </c>
      <c r="RA29" s="28">
        <f>'REG y VAL POE - AESR - ESR'!AC2371</f>
        <v>0</v>
      </c>
      <c r="RB29" s="29">
        <f>'REG y VAL POE - AESR - ESR'!AD2371</f>
        <v>0</v>
      </c>
      <c r="RC29" s="29">
        <f>'REG y VAL POE - AESR - ESR'!AE2371</f>
        <v>0</v>
      </c>
      <c r="RD29" s="29">
        <f>'REG y VAL POE - AESR - ESR'!AF2371</f>
        <v>0</v>
      </c>
      <c r="RE29" s="28">
        <f>'REG y VAL POE - AESR - ESR'!AG2371</f>
        <v>0</v>
      </c>
      <c r="RF29" s="29">
        <f>'REG y VAL POE - AESR - ESR'!AH2371</f>
        <v>0</v>
      </c>
      <c r="RG29" s="29">
        <f>'REG y VAL POE - AESR - ESR'!AI2371</f>
        <v>0</v>
      </c>
      <c r="RH29" s="28">
        <f>'REG y VAL POE - AESR - ESR'!AJ2371</f>
        <v>0</v>
      </c>
      <c r="RI29" s="29">
        <f>'REG y VAL POE - AESR - ESR'!AK2371</f>
        <v>0</v>
      </c>
      <c r="RJ29" s="30">
        <f>'REG y VAL POE - AESR - ESR'!AL2371</f>
        <v>0</v>
      </c>
      <c r="RK29" s="28">
        <f>'REG y VAL POE - AESR - ESR'!AM2371</f>
        <v>0</v>
      </c>
      <c r="RL29" s="29">
        <f>'REG y VAL POE - AESR - ESR'!AN2371</f>
        <v>0</v>
      </c>
      <c r="RM29" s="29">
        <f>'REG y VAL POE - AESR - ESR'!AO2371</f>
        <v>0</v>
      </c>
      <c r="RN29" s="29">
        <f>'REG y VAL POE - AESR - ESR'!AP2371</f>
        <v>0</v>
      </c>
      <c r="RO29" s="28">
        <f>'REG y VAL POE - AESR - ESR'!AQ2371</f>
        <v>0</v>
      </c>
      <c r="RP29" s="29">
        <f>'REG y VAL POE - AESR - ESR'!AR2371</f>
        <v>0</v>
      </c>
      <c r="RQ29" s="29">
        <f>'REG y VAL POE - AESR - ESR'!AS2371</f>
        <v>0</v>
      </c>
      <c r="RR29" s="28">
        <f>'REG y VAL POE - AESR - ESR'!B2372</f>
        <v>0</v>
      </c>
      <c r="RS29" s="29">
        <f>'REG y VAL POE - AESR - ESR'!C2372</f>
        <v>0</v>
      </c>
      <c r="RT29" s="30">
        <f>'REG y VAL POE - AESR - ESR'!D2372</f>
        <v>0</v>
      </c>
      <c r="RU29" s="28">
        <f>'REG y VAL POE - AESR - ESR'!E2372</f>
        <v>0</v>
      </c>
      <c r="RV29" s="29">
        <f>'REG y VAL POE - AESR - ESR'!F2372</f>
        <v>0</v>
      </c>
      <c r="RW29" s="29">
        <f>'REG y VAL POE - AESR - ESR'!G2372</f>
        <v>0</v>
      </c>
      <c r="RX29" s="29">
        <f>'REG y VAL POE - AESR - ESR'!H2372</f>
        <v>0</v>
      </c>
      <c r="RY29" s="28">
        <f>'REG y VAL POE - AESR - ESR'!I2372</f>
        <v>0</v>
      </c>
      <c r="RZ29" s="29">
        <f>'REG y VAL POE - AESR - ESR'!J2372</f>
        <v>0</v>
      </c>
      <c r="SA29" s="29">
        <f>'REG y VAL POE - AESR - ESR'!K2372</f>
        <v>0</v>
      </c>
      <c r="SB29" s="28">
        <f>'REG y VAL POE - AESR - ESR'!L2372</f>
        <v>0</v>
      </c>
      <c r="SC29" s="29">
        <f>'REG y VAL POE - AESR - ESR'!M2372</f>
        <v>0</v>
      </c>
      <c r="SD29" s="30">
        <f>'REG y VAL POE - AESR - ESR'!N2372</f>
        <v>0</v>
      </c>
      <c r="SE29" s="28">
        <f>'REG y VAL POE - AESR - ESR'!O2372</f>
        <v>0</v>
      </c>
      <c r="SF29" s="29">
        <f>'REG y VAL POE - AESR - ESR'!P2372</f>
        <v>0</v>
      </c>
      <c r="SG29" s="29">
        <f>'REG y VAL POE - AESR - ESR'!Q2372</f>
        <v>0</v>
      </c>
      <c r="SH29" s="29">
        <f>'REG y VAL POE - AESR - ESR'!R2372</f>
        <v>0</v>
      </c>
      <c r="SI29" s="28">
        <f>'REG y VAL POE - AESR - ESR'!S2372</f>
        <v>0</v>
      </c>
      <c r="SJ29" s="29">
        <f>'REG y VAL POE - AESR - ESR'!T2372</f>
        <v>0</v>
      </c>
      <c r="SK29" s="29">
        <f>'REG y VAL POE - AESR - ESR'!U2372</f>
        <v>0</v>
      </c>
      <c r="SL29" s="28">
        <f>'REG y VAL POE - AESR - ESR'!V2372</f>
        <v>0</v>
      </c>
      <c r="SM29" s="29">
        <f>'REG y VAL POE - AESR - ESR'!W2372</f>
        <v>0</v>
      </c>
      <c r="SN29" s="30">
        <f>'REG y VAL POE - AESR - ESR'!X2372</f>
        <v>0</v>
      </c>
      <c r="SO29" s="28">
        <f>'REG y VAL POE - AESR - ESR'!Y2372</f>
        <v>0</v>
      </c>
      <c r="SP29" s="29">
        <f>'REG y VAL POE - AESR - ESR'!Z2372</f>
        <v>0</v>
      </c>
      <c r="SQ29" s="29">
        <f>'REG y VAL POE - AESR - ESR'!AA2372</f>
        <v>0</v>
      </c>
      <c r="SR29" s="29">
        <f>'REG y VAL POE - AESR - ESR'!AB2372</f>
        <v>0</v>
      </c>
      <c r="SS29" s="28">
        <f>'REG y VAL POE - AESR - ESR'!AC2372</f>
        <v>0</v>
      </c>
      <c r="ST29" s="29">
        <f>'REG y VAL POE - AESR - ESR'!AD2372</f>
        <v>0</v>
      </c>
      <c r="SU29" s="29">
        <f>'REG y VAL POE - AESR - ESR'!AE2372</f>
        <v>0</v>
      </c>
      <c r="SV29" s="28">
        <f>'REG y VAL POE - AESR - ESR'!AF2372</f>
        <v>0</v>
      </c>
      <c r="SW29" s="29">
        <f>'REG y VAL POE - AESR - ESR'!AG2372</f>
        <v>0</v>
      </c>
      <c r="SX29" s="30">
        <f>'REG y VAL POE - AESR - ESR'!AH2372</f>
        <v>0</v>
      </c>
      <c r="SY29" s="28">
        <f>'REG y VAL POE - AESR - ESR'!AI2372</f>
        <v>0</v>
      </c>
      <c r="SZ29" s="29">
        <f>'REG y VAL POE - AESR - ESR'!AJ2372</f>
        <v>0</v>
      </c>
      <c r="TA29" s="29">
        <f>'REG y VAL POE - AESR - ESR'!AK2372</f>
        <v>0</v>
      </c>
      <c r="TB29" s="29">
        <f>'REG y VAL POE - AESR - ESR'!AL2372</f>
        <v>0</v>
      </c>
      <c r="TC29" s="28">
        <f>'REG y VAL POE - AESR - ESR'!AM2372</f>
        <v>0</v>
      </c>
      <c r="TD29" s="29">
        <f>'REG y VAL POE - AESR - ESR'!AN2372</f>
        <v>0</v>
      </c>
      <c r="TE29" s="29">
        <f>'REG y VAL POE - AESR - ESR'!AO2372</f>
        <v>0</v>
      </c>
      <c r="TF29" s="28">
        <f>'REG y VAL POE - AESR - ESR'!AP2372</f>
        <v>0</v>
      </c>
      <c r="TG29" s="29">
        <f>'REG y VAL POE - AESR - ESR'!AQ2372</f>
        <v>0</v>
      </c>
      <c r="TH29" s="30">
        <f>'REG y VAL POE - AESR - ESR'!AR2372</f>
        <v>0</v>
      </c>
      <c r="TI29" s="28">
        <f>'REG y VAL POE - AESR - ESR'!AS2372</f>
        <v>0</v>
      </c>
      <c r="TJ29" s="29">
        <f>'REG y VAL POE - AESR - ESR'!B2373</f>
        <v>0</v>
      </c>
      <c r="TK29" s="29">
        <f>'REG y VAL POE - AESR - ESR'!C2373</f>
        <v>0</v>
      </c>
      <c r="TL29" s="29">
        <f>'REG y VAL POE - AESR - ESR'!D2373</f>
        <v>0</v>
      </c>
      <c r="TM29" s="28">
        <f>'REG y VAL POE - AESR - ESR'!E2373</f>
        <v>0</v>
      </c>
      <c r="TN29" s="29">
        <f>'REG y VAL POE - AESR - ESR'!F2373</f>
        <v>0</v>
      </c>
      <c r="TO29" s="29">
        <f>'REG y VAL POE - AESR - ESR'!G2373</f>
        <v>0</v>
      </c>
      <c r="TP29" s="28">
        <f>'REG y VAL POE - AESR - ESR'!H2373</f>
        <v>0</v>
      </c>
      <c r="TQ29" s="29">
        <f>'REG y VAL POE - AESR - ESR'!I2373</f>
        <v>0</v>
      </c>
      <c r="TR29" s="30">
        <f>'REG y VAL POE - AESR - ESR'!J2373</f>
        <v>0</v>
      </c>
      <c r="TS29" s="28">
        <f>'REG y VAL POE - AESR - ESR'!K2373</f>
        <v>0</v>
      </c>
      <c r="TT29" s="29">
        <f>'REG y VAL POE - AESR - ESR'!L2373</f>
        <v>0</v>
      </c>
      <c r="TU29" s="29">
        <f>'REG y VAL POE - AESR - ESR'!M2373</f>
        <v>0</v>
      </c>
      <c r="TV29" s="29">
        <f>'REG y VAL POE - AESR - ESR'!N2373</f>
        <v>0</v>
      </c>
      <c r="TW29" s="28">
        <f>'REG y VAL POE - AESR - ESR'!O2373</f>
        <v>0</v>
      </c>
      <c r="TX29" s="29">
        <f>'REG y VAL POE - AESR - ESR'!P2373</f>
        <v>0</v>
      </c>
      <c r="TY29" s="29">
        <f>'REG y VAL POE - AESR - ESR'!Q2373</f>
        <v>0</v>
      </c>
      <c r="TZ29" s="28">
        <f>'REG y VAL POE - AESR - ESR'!R2373</f>
        <v>0</v>
      </c>
      <c r="UA29" s="29">
        <f>'REG y VAL POE - AESR - ESR'!S2373</f>
        <v>0</v>
      </c>
      <c r="UB29" s="30">
        <f>'REG y VAL POE - AESR - ESR'!T2373</f>
        <v>0</v>
      </c>
      <c r="UC29" s="28">
        <f>'REG y VAL POE - AESR - ESR'!U2373</f>
        <v>0</v>
      </c>
      <c r="UD29" s="29">
        <f>'REG y VAL POE - AESR - ESR'!V2373</f>
        <v>0</v>
      </c>
      <c r="UE29" s="29">
        <f>'REG y VAL POE - AESR - ESR'!W2373</f>
        <v>0</v>
      </c>
      <c r="UF29" s="29">
        <f>'REG y VAL POE - AESR - ESR'!X2373</f>
        <v>0</v>
      </c>
      <c r="UG29" s="28">
        <f>'REG y VAL POE - AESR - ESR'!Y2373</f>
        <v>0</v>
      </c>
      <c r="UH29" s="29">
        <f>'REG y VAL POE - AESR - ESR'!Z2373</f>
        <v>0</v>
      </c>
      <c r="UI29" s="29">
        <f>'REG y VAL POE - AESR - ESR'!AA2373</f>
        <v>0</v>
      </c>
      <c r="UJ29" s="28">
        <f>'REG y VAL POE - AESR - ESR'!AB2373</f>
        <v>0</v>
      </c>
      <c r="UK29" s="29">
        <f>'REG y VAL POE - AESR - ESR'!AC2373</f>
        <v>0</v>
      </c>
      <c r="UL29" s="30">
        <f>'REG y VAL POE - AESR - ESR'!AD2373</f>
        <v>0</v>
      </c>
      <c r="UM29" s="28">
        <f>'REG y VAL POE - AESR - ESR'!AE2373</f>
        <v>0</v>
      </c>
      <c r="UN29" s="29">
        <f>'REG y VAL POE - AESR - ESR'!AF2373</f>
        <v>0</v>
      </c>
      <c r="UO29" s="29">
        <f>'REG y VAL POE - AESR - ESR'!AG2373</f>
        <v>0</v>
      </c>
      <c r="UP29" s="29">
        <f>'REG y VAL POE - AESR - ESR'!AH2373</f>
        <v>0</v>
      </c>
      <c r="UQ29" s="28">
        <f>'REG y VAL POE - AESR - ESR'!AI2373</f>
        <v>0</v>
      </c>
      <c r="UR29" s="29">
        <f>'REG y VAL POE - AESR - ESR'!AJ2373</f>
        <v>0</v>
      </c>
      <c r="US29" s="29">
        <f>'REG y VAL POE - AESR - ESR'!AK2373</f>
        <v>0</v>
      </c>
      <c r="UT29" s="28">
        <f>'REG y VAL POE - AESR - ESR'!AL2373</f>
        <v>0</v>
      </c>
      <c r="UU29" s="29">
        <f>'REG y VAL POE - AESR - ESR'!AM2373</f>
        <v>0</v>
      </c>
      <c r="UV29" s="30">
        <f>'REG y VAL POE - AESR - ESR'!AN2373</f>
        <v>0</v>
      </c>
      <c r="UW29" s="28">
        <f>'REG y VAL POE - AESR - ESR'!AO2373</f>
        <v>0</v>
      </c>
      <c r="UX29" s="29">
        <f>'REG y VAL POE - AESR - ESR'!AP2373</f>
        <v>0</v>
      </c>
      <c r="UY29" s="29">
        <f>'REG y VAL POE - AESR - ESR'!AQ2373</f>
        <v>0</v>
      </c>
      <c r="UZ29" s="29">
        <f>'REG y VAL POE - AESR - ESR'!AR2373</f>
        <v>0</v>
      </c>
      <c r="VA29" s="28">
        <f>'REG y VAL POE - AESR - ESR'!AS2373</f>
        <v>0</v>
      </c>
      <c r="VB29" s="29">
        <f>'REG y VAL POE - AESR - ESR'!B2374</f>
        <v>0</v>
      </c>
      <c r="VC29" s="29">
        <f>'REG y VAL POE - AESR - ESR'!C2374</f>
        <v>0</v>
      </c>
      <c r="VD29" s="28">
        <f>'REG y VAL POE - AESR - ESR'!D2374</f>
        <v>0</v>
      </c>
      <c r="VE29" s="29">
        <f>'REG y VAL POE - AESR - ESR'!E2374</f>
        <v>0</v>
      </c>
      <c r="VF29" s="30">
        <f>'REG y VAL POE - AESR - ESR'!F2374</f>
        <v>0</v>
      </c>
      <c r="VG29" s="28">
        <f>'REG y VAL POE - AESR - ESR'!G2374</f>
        <v>0</v>
      </c>
      <c r="VH29" s="29">
        <f>'REG y VAL POE - AESR - ESR'!H2374</f>
        <v>0</v>
      </c>
      <c r="VI29" s="29">
        <f>'REG y VAL POE - AESR - ESR'!I2374</f>
        <v>0</v>
      </c>
      <c r="VJ29" s="29">
        <f>'REG y VAL POE - AESR - ESR'!J2374</f>
        <v>0</v>
      </c>
      <c r="VK29" s="28">
        <f>'REG y VAL POE - AESR - ESR'!K2374</f>
        <v>0</v>
      </c>
      <c r="VL29" s="29">
        <f>'REG y VAL POE - AESR - ESR'!L2374</f>
        <v>0</v>
      </c>
      <c r="VM29" s="29">
        <f>'REG y VAL POE - AESR - ESR'!M2374</f>
        <v>0</v>
      </c>
      <c r="VN29" s="28">
        <f>'REG y VAL POE - AESR - ESR'!N2374</f>
        <v>0</v>
      </c>
      <c r="VO29" s="29">
        <f>'REG y VAL POE - AESR - ESR'!O2374</f>
        <v>0</v>
      </c>
      <c r="VP29" s="30">
        <f>'REG y VAL POE - AESR - ESR'!P2374</f>
        <v>0</v>
      </c>
      <c r="VQ29" s="28">
        <f>'REG y VAL POE - AESR - ESR'!Q2374</f>
        <v>0</v>
      </c>
      <c r="VR29" s="29">
        <f>'REG y VAL POE - AESR - ESR'!R2374</f>
        <v>0</v>
      </c>
      <c r="VS29" s="29">
        <f>'REG y VAL POE - AESR - ESR'!S2374</f>
        <v>0</v>
      </c>
      <c r="VT29" s="29">
        <f>'REG y VAL POE - AESR - ESR'!T2374</f>
        <v>0</v>
      </c>
      <c r="VU29" s="28">
        <f>'REG y VAL POE - AESR - ESR'!U2374</f>
        <v>0</v>
      </c>
      <c r="VV29" s="29">
        <f>'REG y VAL POE - AESR - ESR'!V2374</f>
        <v>0</v>
      </c>
      <c r="VW29" s="29">
        <f>'REG y VAL POE - AESR - ESR'!W2374</f>
        <v>0</v>
      </c>
      <c r="VX29" s="28">
        <f>'REG y VAL POE - AESR - ESR'!X2374</f>
        <v>0</v>
      </c>
      <c r="VY29" s="29">
        <f>'REG y VAL POE - AESR - ESR'!Y2374</f>
        <v>0</v>
      </c>
      <c r="VZ29" s="30">
        <f>'REG y VAL POE - AESR - ESR'!Z2374</f>
        <v>0</v>
      </c>
      <c r="WA29" s="28">
        <f>'REG y VAL POE - AESR - ESR'!AA2374</f>
        <v>0</v>
      </c>
      <c r="WB29" s="29">
        <f>'REG y VAL POE - AESR - ESR'!AB2374</f>
        <v>0</v>
      </c>
      <c r="WC29" s="29">
        <f>'REG y VAL POE - AESR - ESR'!AC2374</f>
        <v>0</v>
      </c>
      <c r="WD29" s="29">
        <f>'REG y VAL POE - AESR - ESR'!AD2374</f>
        <v>0</v>
      </c>
      <c r="WE29" s="28">
        <f>'REG y VAL POE - AESR - ESR'!AE2374</f>
        <v>0</v>
      </c>
      <c r="WF29" s="29">
        <f>'REG y VAL POE - AESR - ESR'!AF2374</f>
        <v>0</v>
      </c>
      <c r="WG29" s="29">
        <f>'REG y VAL POE - AESR - ESR'!AG2374</f>
        <v>0</v>
      </c>
      <c r="WH29" s="28">
        <f>'REG y VAL POE - AESR - ESR'!AH2374</f>
        <v>0</v>
      </c>
      <c r="WI29" s="29">
        <f>'REG y VAL POE - AESR - ESR'!AI2374</f>
        <v>0</v>
      </c>
      <c r="WJ29" s="30">
        <f>'REG y VAL POE - AESR - ESR'!AJ2374</f>
        <v>0</v>
      </c>
      <c r="WK29" s="28">
        <f>'REG y VAL POE - AESR - ESR'!AK2374</f>
        <v>0</v>
      </c>
      <c r="WL29" s="29">
        <f>'REG y VAL POE - AESR - ESR'!AL2374</f>
        <v>0</v>
      </c>
      <c r="WM29" s="29">
        <f>'REG y VAL POE - AESR - ESR'!AM2374</f>
        <v>0</v>
      </c>
      <c r="WN29" s="29">
        <f>'REG y VAL POE - AESR - ESR'!AN2374</f>
        <v>0</v>
      </c>
      <c r="WO29" s="28">
        <f>'REG y VAL POE - AESR - ESR'!AO2374</f>
        <v>0</v>
      </c>
      <c r="WP29" s="29">
        <f>'REG y VAL POE - AESR - ESR'!AP2374</f>
        <v>0</v>
      </c>
      <c r="WQ29" s="29">
        <f>'REG y VAL POE - AESR - ESR'!AQ2374</f>
        <v>0</v>
      </c>
      <c r="WR29" s="28">
        <f>'REG y VAL POE - AESR - ESR'!AR2374</f>
        <v>0</v>
      </c>
      <c r="WS29" s="29">
        <f>'REG y VAL POE - AESR - ESR'!AS2374</f>
        <v>0</v>
      </c>
      <c r="WT29" s="30">
        <f>'REG y VAL POE - AESR - ESR'!B2375</f>
        <v>0</v>
      </c>
      <c r="WU29" s="28">
        <f>'REG y VAL POE - AESR - ESR'!C2375</f>
        <v>0</v>
      </c>
      <c r="WV29" s="29">
        <f>'REG y VAL POE - AESR - ESR'!D2375</f>
        <v>0</v>
      </c>
      <c r="WW29" s="29">
        <f>'REG y VAL POE - AESR - ESR'!E2375</f>
        <v>0</v>
      </c>
      <c r="WX29" s="29">
        <f>'REG y VAL POE - AESR - ESR'!F2375</f>
        <v>0</v>
      </c>
      <c r="WY29" s="28">
        <f>'REG y VAL POE - AESR - ESR'!G2375</f>
        <v>0</v>
      </c>
      <c r="WZ29" s="29">
        <f>'REG y VAL POE - AESR - ESR'!H2375</f>
        <v>0</v>
      </c>
      <c r="XA29" s="29">
        <f>'REG y VAL POE - AESR - ESR'!I2375</f>
        <v>0</v>
      </c>
      <c r="XB29" s="28">
        <f>'REG y VAL POE - AESR - ESR'!J2375</f>
        <v>0</v>
      </c>
      <c r="XC29" s="29">
        <f>'REG y VAL POE - AESR - ESR'!K2375</f>
        <v>0</v>
      </c>
      <c r="XD29" s="30">
        <f>'REG y VAL POE - AESR - ESR'!L2375</f>
        <v>0</v>
      </c>
      <c r="XE29" s="28">
        <f>'REG y VAL POE - AESR - ESR'!M2375</f>
        <v>0</v>
      </c>
      <c r="XF29" s="29">
        <f>'REG y VAL POE - AESR - ESR'!N2375</f>
        <v>0</v>
      </c>
      <c r="XG29" s="29">
        <f>'REG y VAL POE - AESR - ESR'!O2375</f>
        <v>0</v>
      </c>
      <c r="XH29" s="29">
        <f>'REG y VAL POE - AESR - ESR'!P2375</f>
        <v>0</v>
      </c>
      <c r="XI29" s="28">
        <f>'REG y VAL POE - AESR - ESR'!Q2375</f>
        <v>0</v>
      </c>
      <c r="XJ29" s="29">
        <f>'REG y VAL POE - AESR - ESR'!R2375</f>
        <v>0</v>
      </c>
      <c r="XK29" s="29">
        <f>'REG y VAL POE - AESR - ESR'!S2375</f>
        <v>0</v>
      </c>
      <c r="XL29" s="28">
        <f>'REG y VAL POE - AESR - ESR'!T2375</f>
        <v>0</v>
      </c>
      <c r="XM29" s="29">
        <f>'REG y VAL POE - AESR - ESR'!U2375</f>
        <v>0</v>
      </c>
      <c r="XN29" s="30">
        <f>'REG y VAL POE - AESR - ESR'!V2375</f>
        <v>0</v>
      </c>
      <c r="XO29" s="28">
        <f>'REG y VAL POE - AESR - ESR'!W2375</f>
        <v>0</v>
      </c>
      <c r="XP29" s="29">
        <f>'REG y VAL POE - AESR - ESR'!X2375</f>
        <v>0</v>
      </c>
      <c r="XQ29" s="29">
        <f>'REG y VAL POE - AESR - ESR'!Y2375</f>
        <v>0</v>
      </c>
      <c r="XR29" s="29">
        <f>'REG y VAL POE - AESR - ESR'!Z2375</f>
        <v>0</v>
      </c>
      <c r="XS29" s="28">
        <f>'REG y VAL POE - AESR - ESR'!AA2375</f>
        <v>0</v>
      </c>
      <c r="XT29" s="29">
        <f>'REG y VAL POE - AESR - ESR'!AB2375</f>
        <v>0</v>
      </c>
      <c r="XU29" s="29">
        <f>'REG y VAL POE - AESR - ESR'!AC2375</f>
        <v>0</v>
      </c>
      <c r="XV29" s="28">
        <f>'REG y VAL POE - AESR - ESR'!AD2375</f>
        <v>0</v>
      </c>
      <c r="XW29" s="29">
        <f>'REG y VAL POE - AESR - ESR'!AE2375</f>
        <v>0</v>
      </c>
      <c r="XX29" s="30">
        <f>'REG y VAL POE - AESR - ESR'!AF2375</f>
        <v>0</v>
      </c>
      <c r="XY29" s="28">
        <f>'REG y VAL POE - AESR - ESR'!AG2375</f>
        <v>0</v>
      </c>
      <c r="XZ29" s="29">
        <f>'REG y VAL POE - AESR - ESR'!AH2375</f>
        <v>0</v>
      </c>
      <c r="YA29" s="29">
        <f>'REG y VAL POE - AESR - ESR'!AI2375</f>
        <v>0</v>
      </c>
      <c r="YB29" s="29">
        <f>'REG y VAL POE - AESR - ESR'!AJ2375</f>
        <v>0</v>
      </c>
      <c r="YC29" s="28">
        <f>'REG y VAL POE - AESR - ESR'!AK2375</f>
        <v>0</v>
      </c>
      <c r="YD29" s="29">
        <f>'REG y VAL POE - AESR - ESR'!AL2375</f>
        <v>0</v>
      </c>
      <c r="YE29" s="29">
        <f>'REG y VAL POE - AESR - ESR'!AM2375</f>
        <v>0</v>
      </c>
      <c r="YF29" s="28">
        <f>'REG y VAL POE - AESR - ESR'!AN2375</f>
        <v>0</v>
      </c>
      <c r="YG29" s="29">
        <f>'REG y VAL POE - AESR - ESR'!AO2375</f>
        <v>0</v>
      </c>
      <c r="YH29" s="30">
        <f>'REG y VAL POE - AESR - ESR'!AP2375</f>
        <v>0</v>
      </c>
      <c r="YI29" s="28">
        <f>'REG y VAL POE - AESR - ESR'!AQ2375</f>
        <v>0</v>
      </c>
      <c r="YJ29" s="29">
        <f>'REG y VAL POE - AESR - ESR'!AR2375</f>
        <v>0</v>
      </c>
      <c r="YK29" s="29">
        <f>'REG y VAL POE - AESR - ESR'!AS2375</f>
        <v>0</v>
      </c>
      <c r="YL29" s="29"/>
      <c r="YM29" s="28"/>
      <c r="YN29" s="29"/>
      <c r="YO29" s="29"/>
      <c r="YP29" s="28"/>
      <c r="YQ29" s="29"/>
      <c r="YR29" s="30"/>
      <c r="YS29" s="28"/>
      <c r="YT29" s="29"/>
      <c r="YU29" s="29"/>
      <c r="YV29" s="29"/>
      <c r="YW29" s="28"/>
      <c r="YX29" s="29"/>
      <c r="YY29" s="29"/>
      <c r="YZ29" s="28"/>
      <c r="ZA29" s="29"/>
      <c r="ZB29" s="30"/>
      <c r="ZC29" s="28"/>
      <c r="ZD29" s="29"/>
      <c r="ZE29" s="29"/>
      <c r="ZF29" s="29"/>
      <c r="ZG29" s="28"/>
      <c r="ZH29" s="29"/>
      <c r="ZI29" s="29"/>
      <c r="ZJ29" s="28"/>
      <c r="ZK29" s="29"/>
      <c r="ZL29" s="30"/>
      <c r="ZM29" s="28"/>
      <c r="ZN29" s="29"/>
      <c r="ZO29" s="29"/>
      <c r="ZP29" s="29"/>
      <c r="ZQ29" s="28"/>
      <c r="ZR29" s="29"/>
      <c r="ZS29" s="29"/>
      <c r="ZT29" s="28"/>
      <c r="ZU29" s="29"/>
      <c r="ZV29" s="30"/>
      <c r="ZW29" s="28"/>
      <c r="ZX29" s="29"/>
      <c r="ZY29" s="29"/>
      <c r="ZZ29" s="29"/>
      <c r="AAA29" s="28"/>
      <c r="AAB29" s="29"/>
      <c r="AAC29" s="29"/>
      <c r="AAD29" s="28"/>
      <c r="AAE29" s="29"/>
      <c r="AAF29" s="30"/>
      <c r="AAG29" s="28"/>
      <c r="AAH29" s="29"/>
      <c r="AAI29" s="29"/>
      <c r="AAJ29" s="29"/>
      <c r="AAK29" s="28"/>
      <c r="AAL29" s="29"/>
      <c r="AAM29" s="29"/>
      <c r="AAN29" s="28"/>
      <c r="AAO29" s="29"/>
      <c r="AAP29" s="30"/>
      <c r="AAQ29" s="28"/>
      <c r="AAR29" s="29"/>
      <c r="AAS29" s="29"/>
      <c r="AAT29" s="29"/>
      <c r="AAU29" s="28"/>
      <c r="AAV29" s="29"/>
      <c r="AAW29" s="29"/>
      <c r="AAX29" s="28"/>
      <c r="AAY29" s="29"/>
      <c r="AAZ29" s="30"/>
      <c r="ABA29" s="28"/>
      <c r="ABB29" s="29"/>
      <c r="ABC29" s="29"/>
      <c r="ABD29" s="29"/>
      <c r="ABE29" s="28"/>
      <c r="ABF29" s="29"/>
      <c r="ABG29" s="29"/>
      <c r="ABH29" s="28"/>
      <c r="ABI29" s="29"/>
      <c r="ABJ29" s="30"/>
      <c r="ABK29" s="28"/>
      <c r="ABL29" s="29"/>
      <c r="ABM29" s="29"/>
      <c r="ABN29" s="29"/>
      <c r="ABO29" s="28"/>
      <c r="ABP29" s="29"/>
      <c r="ABQ29" s="29"/>
      <c r="ABR29" s="28"/>
      <c r="ABS29" s="29"/>
      <c r="ABT29" s="30"/>
      <c r="ABU29" s="28"/>
      <c r="ABV29" s="29"/>
      <c r="ABW29" s="29"/>
      <c r="ABX29" s="29"/>
      <c r="ABY29" s="28"/>
      <c r="ABZ29" s="29"/>
      <c r="ACA29" s="29"/>
      <c r="ACB29" s="28"/>
      <c r="ACC29" s="29"/>
      <c r="ACD29" s="30"/>
      <c r="ACE29" s="28"/>
      <c r="ACF29" s="29"/>
      <c r="ACG29" s="29"/>
      <c r="ACH29" s="29"/>
      <c r="ACI29" s="28"/>
      <c r="ACJ29" s="29"/>
      <c r="ACK29" s="29"/>
      <c r="ACL29" s="28"/>
      <c r="ACM29" s="29"/>
      <c r="ACN29" s="30"/>
      <c r="ACO29" s="28"/>
      <c r="ACP29" s="29"/>
      <c r="ACQ29" s="29"/>
      <c r="ACR29" s="29"/>
      <c r="ACS29" s="28"/>
      <c r="ACT29" s="29"/>
      <c r="ACU29" s="29"/>
      <c r="ACV29" s="28"/>
      <c r="ACW29" s="29"/>
      <c r="ACX29" s="30"/>
      <c r="ACY29" s="28"/>
      <c r="ACZ29" s="29"/>
      <c r="ADA29" s="29"/>
      <c r="ADB29" s="29"/>
      <c r="ADC29" s="28"/>
      <c r="ADD29" s="29"/>
      <c r="ADE29" s="29"/>
      <c r="ADF29" s="28"/>
      <c r="ADG29" s="29"/>
      <c r="ADH29" s="30"/>
      <c r="ADI29" s="28"/>
      <c r="ADJ29" s="29"/>
      <c r="ADK29" s="29"/>
      <c r="ADL29" s="29"/>
      <c r="ADM29" s="28"/>
      <c r="ADN29" s="29"/>
      <c r="ADO29" s="29"/>
      <c r="ADP29" s="28"/>
      <c r="ADQ29" s="29"/>
      <c r="ADR29" s="30"/>
      <c r="ADS29" s="28"/>
      <c r="ADT29" s="29"/>
      <c r="ADU29" s="29"/>
      <c r="ADV29" s="29"/>
      <c r="ADW29" s="28"/>
      <c r="ADX29" s="29"/>
      <c r="ADY29" s="29"/>
      <c r="ADZ29" s="28"/>
      <c r="AEA29" s="29"/>
      <c r="AEB29" s="30"/>
      <c r="AEC29" s="28"/>
      <c r="AED29" s="29"/>
      <c r="AEE29" s="29"/>
      <c r="AEF29" s="29"/>
      <c r="AEG29" s="28"/>
      <c r="AEH29" s="29"/>
      <c r="AEI29" s="29"/>
      <c r="AEJ29" s="28"/>
      <c r="AEK29" s="29"/>
      <c r="AEL29" s="30"/>
      <c r="AEM29" s="28"/>
      <c r="AEN29" s="29"/>
      <c r="AEO29" s="29"/>
      <c r="AEP29" s="29"/>
      <c r="AEQ29" s="28"/>
      <c r="AER29" s="29"/>
      <c r="AES29" s="29"/>
      <c r="AET29" s="28"/>
      <c r="AEU29" s="29"/>
      <c r="AEV29" s="30"/>
      <c r="AEW29" s="28"/>
      <c r="AEX29" s="29"/>
      <c r="AEY29" s="29"/>
      <c r="AEZ29" s="29"/>
      <c r="AFA29" s="28"/>
      <c r="AFB29" s="29"/>
      <c r="AFC29" s="29"/>
      <c r="AFD29" s="28"/>
      <c r="AFE29" s="29"/>
      <c r="AFF29" s="30"/>
      <c r="AFG29" s="28"/>
      <c r="AFH29" s="29"/>
      <c r="AFI29" s="29"/>
      <c r="AFJ29" s="29"/>
      <c r="AFK29" s="28"/>
      <c r="AFL29" s="29"/>
      <c r="AFM29" s="29"/>
      <c r="AFN29" s="28"/>
      <c r="AFO29" s="29"/>
      <c r="AFP29" s="30"/>
      <c r="AFQ29" s="28"/>
      <c r="AFR29" s="29"/>
      <c r="AFS29" s="29"/>
      <c r="AFT29" s="29"/>
      <c r="AFU29" s="28"/>
      <c r="AFV29" s="29"/>
      <c r="AFW29" s="29"/>
      <c r="AFX29" s="28"/>
      <c r="AFY29" s="29"/>
      <c r="AFZ29" s="30"/>
      <c r="AGA29" s="28"/>
      <c r="AGB29" s="29"/>
      <c r="AGC29" s="29"/>
      <c r="AGD29" s="29"/>
      <c r="AGE29" s="28"/>
      <c r="AGF29" s="29"/>
      <c r="AGG29" s="29"/>
      <c r="AGH29" s="28"/>
      <c r="AGI29" s="29"/>
      <c r="AGJ29" s="30"/>
      <c r="AGK29" s="28"/>
      <c r="AGL29" s="29"/>
      <c r="AGM29" s="29"/>
      <c r="AGN29" s="29"/>
      <c r="AGO29" s="28"/>
      <c r="AGP29" s="29"/>
      <c r="AGQ29" s="29"/>
      <c r="AGR29" s="28"/>
      <c r="AGS29" s="29"/>
      <c r="AGT29" s="30"/>
      <c r="AGU29" s="28"/>
      <c r="AGV29" s="29"/>
      <c r="AGW29" s="29"/>
      <c r="AGX29" s="29"/>
      <c r="AGY29" s="28"/>
      <c r="AGZ29" s="29"/>
      <c r="AHA29" s="29"/>
      <c r="AHB29" s="28"/>
      <c r="AHC29" s="29"/>
      <c r="AHD29" s="30"/>
      <c r="AHE29" s="28"/>
      <c r="AHF29" s="29"/>
      <c r="AHG29" s="29"/>
      <c r="AHH29" s="29"/>
      <c r="AHI29" s="28"/>
      <c r="AHJ29" s="29"/>
      <c r="AHK29" s="29"/>
      <c r="AHL29" s="28"/>
      <c r="AHM29" s="29"/>
      <c r="AHN29" s="30"/>
      <c r="AHO29" s="28"/>
      <c r="AHP29" s="29"/>
      <c r="AHQ29" s="29"/>
      <c r="AHR29" s="29"/>
      <c r="AHS29" s="28"/>
      <c r="AHT29" s="29"/>
      <c r="AHU29" s="29"/>
      <c r="AHV29" s="28"/>
      <c r="AHW29" s="29"/>
      <c r="AHX29" s="30"/>
      <c r="AHY29" s="28"/>
      <c r="AHZ29" s="29"/>
      <c r="AIA29" s="29"/>
      <c r="AIB29" s="29"/>
      <c r="AIC29" s="28"/>
      <c r="AID29" s="29"/>
      <c r="AIE29" s="29"/>
      <c r="AIF29" s="28"/>
      <c r="AIG29" s="29"/>
      <c r="AIH29" s="30"/>
      <c r="AII29" s="28"/>
      <c r="AIJ29" s="29"/>
      <c r="AIK29" s="29"/>
      <c r="AIL29" s="29"/>
      <c r="AIM29" s="28"/>
      <c r="AIN29" s="29"/>
      <c r="AIO29" s="29"/>
      <c r="AIP29" s="28"/>
      <c r="AIQ29" s="29"/>
      <c r="AIR29" s="30"/>
      <c r="AIS29" s="28"/>
      <c r="AIT29" s="29"/>
      <c r="AIU29" s="29"/>
      <c r="AIV29" s="29"/>
      <c r="AIW29" s="28"/>
      <c r="AIX29" s="29"/>
      <c r="AIY29" s="29"/>
      <c r="AIZ29" s="28"/>
      <c r="AJA29" s="29"/>
      <c r="AJB29" s="30"/>
      <c r="AJC29" s="28"/>
      <c r="AJD29" s="29"/>
      <c r="AJE29" s="29"/>
      <c r="AJF29" s="29"/>
      <c r="AJG29" s="28"/>
      <c r="AJH29" s="29"/>
      <c r="AJI29" s="29"/>
      <c r="AJJ29" s="28"/>
      <c r="AJK29" s="29"/>
      <c r="AJL29" s="30"/>
      <c r="AJM29" s="28"/>
      <c r="AJN29" s="29"/>
      <c r="AJO29" s="29"/>
      <c r="AJP29" s="29"/>
      <c r="AJQ29" s="28"/>
      <c r="AJR29" s="29"/>
      <c r="AJS29" s="29"/>
      <c r="AJT29" s="28"/>
      <c r="AJU29" s="29"/>
      <c r="AJV29" s="30"/>
      <c r="AJW29" s="28"/>
      <c r="AJX29" s="29"/>
      <c r="AJY29" s="29"/>
      <c r="AJZ29" s="29"/>
      <c r="AKA29" s="28"/>
      <c r="AKB29" s="29"/>
      <c r="AKC29" s="29"/>
      <c r="AKD29" s="28"/>
      <c r="AKE29" s="29"/>
      <c r="AKF29" s="30"/>
      <c r="AKG29" s="28"/>
      <c r="AKH29" s="29"/>
      <c r="AKI29" s="29"/>
      <c r="AKJ29" s="29"/>
      <c r="AKK29" s="28"/>
      <c r="AKL29" s="29"/>
      <c r="AKM29" s="29"/>
      <c r="AKN29" s="28"/>
      <c r="AKO29" s="29"/>
      <c r="AKP29" s="30"/>
      <c r="AKQ29" s="28"/>
      <c r="AKR29" s="29"/>
      <c r="AKS29" s="29"/>
      <c r="AKT29" s="29"/>
      <c r="AKU29" s="28"/>
      <c r="AKV29" s="29"/>
      <c r="AKW29" s="29"/>
      <c r="AKX29" s="28"/>
      <c r="AKY29" s="29"/>
      <c r="AKZ29" s="30"/>
      <c r="ALA29" s="28"/>
      <c r="ALB29" s="29"/>
      <c r="ALC29" s="29"/>
      <c r="ALD29" s="29"/>
      <c r="ALE29" s="28"/>
      <c r="ALF29" s="29"/>
      <c r="ALG29" s="29"/>
      <c r="ALH29" s="29"/>
      <c r="ALI29" s="29"/>
      <c r="ALJ29" s="29"/>
      <c r="ALK29" s="28"/>
      <c r="ALL29" s="29"/>
      <c r="ALM29" s="29"/>
      <c r="ALN29" s="28"/>
      <c r="ALO29" s="29"/>
      <c r="ALP29" s="30"/>
      <c r="ALQ29" s="28"/>
      <c r="ALR29" s="29"/>
      <c r="ALS29" s="29"/>
      <c r="ALT29" s="29"/>
      <c r="ALU29" s="28"/>
      <c r="ALV29" s="29"/>
      <c r="ALW29" s="29"/>
      <c r="ALX29" s="28"/>
      <c r="ALY29" s="29"/>
      <c r="ALZ29" s="30"/>
      <c r="AMA29" s="28"/>
      <c r="AMB29" s="29"/>
      <c r="AMC29" s="29"/>
      <c r="AMD29" s="29"/>
      <c r="AME29" s="28"/>
      <c r="AMF29" s="29"/>
      <c r="AMG29" s="29"/>
      <c r="AMH29" s="29"/>
      <c r="AMI29" s="29"/>
      <c r="AMJ29" s="29"/>
      <c r="AMK29" s="28"/>
      <c r="AML29" s="29"/>
      <c r="AMM29" s="29"/>
      <c r="AMN29" s="28"/>
      <c r="AMO29" s="29"/>
      <c r="AMP29" s="30"/>
      <c r="AMQ29" s="28"/>
      <c r="AMR29" s="29"/>
      <c r="AMS29" s="29"/>
      <c r="AMT29" s="29"/>
      <c r="AMU29" s="28"/>
      <c r="AMV29" s="29"/>
      <c r="AMW29" s="29"/>
      <c r="AMX29" s="28"/>
      <c r="AMY29" s="29"/>
      <c r="AMZ29" s="30"/>
      <c r="ANA29" s="28"/>
      <c r="ANB29" s="29"/>
      <c r="ANC29" s="29"/>
      <c r="AND29" s="29"/>
      <c r="ANE29" s="28"/>
      <c r="ANF29" s="29"/>
      <c r="ANG29" s="29"/>
      <c r="ANH29" s="29"/>
      <c r="ANI29" s="29"/>
      <c r="ANJ29" s="29"/>
      <c r="ANK29" s="28"/>
      <c r="ANL29" s="29"/>
      <c r="ANM29" s="29"/>
      <c r="ANN29" s="28"/>
      <c r="ANO29" s="29"/>
      <c r="ANP29" s="30"/>
      <c r="ANQ29" s="28"/>
      <c r="ANR29" s="29"/>
      <c r="ANS29" s="29"/>
      <c r="ANT29" s="29"/>
      <c r="ANU29" s="28"/>
      <c r="ANV29" s="29"/>
      <c r="ANW29" s="29"/>
      <c r="ANX29" s="28"/>
      <c r="ANY29" s="29"/>
      <c r="ANZ29" s="30"/>
      <c r="AOA29" s="28"/>
      <c r="AOB29" s="29"/>
      <c r="AOC29" s="29"/>
      <c r="AOD29" s="29"/>
      <c r="AOE29" s="28"/>
      <c r="AOF29" s="29"/>
      <c r="AOG29" s="29"/>
      <c r="AOH29" s="29"/>
      <c r="AOI29" s="29"/>
      <c r="AOJ29" s="29"/>
      <c r="AOK29" s="28"/>
      <c r="AOL29" s="29"/>
      <c r="AOM29" s="29"/>
      <c r="AON29" s="28"/>
      <c r="AOO29" s="29"/>
      <c r="AOP29" s="30"/>
      <c r="AOQ29" s="28"/>
      <c r="AOR29" s="29"/>
      <c r="AOS29" s="29"/>
      <c r="AOT29" s="29"/>
      <c r="AOU29" s="28"/>
      <c r="AOV29" s="29"/>
      <c r="AOW29" s="29"/>
      <c r="AOX29" s="28"/>
      <c r="AOY29" s="29"/>
      <c r="AOZ29" s="30"/>
      <c r="APA29" s="28"/>
      <c r="APB29" s="29"/>
      <c r="APC29" s="29"/>
      <c r="APD29" s="29"/>
      <c r="APE29" s="28"/>
      <c r="APF29" s="29"/>
      <c r="APG29" s="29"/>
      <c r="APH29" s="29"/>
      <c r="API29" s="29"/>
      <c r="APJ29" s="29"/>
      <c r="APK29" s="28"/>
      <c r="APL29" s="29"/>
      <c r="APM29" s="29"/>
      <c r="APN29" s="28"/>
      <c r="APO29" s="29"/>
      <c r="APP29" s="30"/>
      <c r="APQ29" s="28"/>
      <c r="APR29" s="29"/>
      <c r="APS29" s="29"/>
      <c r="APT29" s="29"/>
      <c r="APU29" s="28"/>
      <c r="APV29" s="29"/>
      <c r="APW29" s="29"/>
      <c r="APX29" s="28"/>
      <c r="APY29" s="29"/>
      <c r="APZ29" s="30"/>
      <c r="AQA29" s="28"/>
      <c r="AQB29" s="29"/>
      <c r="AQC29" s="29"/>
      <c r="AQD29" s="29"/>
      <c r="AQE29" s="28"/>
      <c r="AQF29" s="29"/>
      <c r="AQG29" s="29"/>
      <c r="AQH29" s="29"/>
      <c r="AQI29" s="29"/>
      <c r="AQJ29" s="29"/>
      <c r="AQK29" s="28"/>
      <c r="AQL29" s="29"/>
      <c r="AQM29" s="29"/>
      <c r="AQN29" s="28"/>
      <c r="AQO29" s="29"/>
      <c r="AQP29" s="30"/>
      <c r="AQQ29" s="28"/>
      <c r="AQR29" s="29"/>
      <c r="AQS29" s="29"/>
      <c r="AQT29" s="29"/>
      <c r="AQU29" s="28"/>
      <c r="AQV29" s="29"/>
      <c r="AQW29" s="29"/>
      <c r="AQX29" s="28"/>
      <c r="AQY29" s="29"/>
      <c r="AQZ29" s="30"/>
      <c r="ARA29" s="28"/>
      <c r="ARB29" s="29"/>
      <c r="ARC29" s="29"/>
      <c r="ARD29" s="29"/>
      <c r="ARE29" s="28"/>
      <c r="ARF29" s="29"/>
      <c r="ARG29" s="29"/>
      <c r="ARH29" s="29"/>
      <c r="ARI29" s="29"/>
      <c r="ARJ29" s="29"/>
      <c r="ARK29" s="28"/>
      <c r="ARL29" s="29"/>
      <c r="ARM29" s="29"/>
      <c r="ARN29" s="28"/>
      <c r="ARO29" s="29"/>
      <c r="ARP29" s="30"/>
      <c r="ARQ29" s="28"/>
      <c r="ARR29" s="29"/>
      <c r="ARS29" s="29"/>
      <c r="ART29" s="29"/>
      <c r="ARU29" s="28"/>
      <c r="ARV29" s="29"/>
      <c r="ARW29" s="29"/>
      <c r="ARX29" s="28"/>
      <c r="ARY29" s="29"/>
      <c r="ARZ29" s="30"/>
      <c r="ASA29" s="28"/>
      <c r="ASB29" s="29"/>
      <c r="ASC29" s="29"/>
      <c r="ASD29" s="29"/>
      <c r="ASE29" s="28"/>
      <c r="ASF29" s="29"/>
      <c r="ASG29" s="29"/>
      <c r="ASH29" s="29"/>
      <c r="ASI29" s="29"/>
      <c r="ASJ29" s="29"/>
      <c r="ASK29" s="28"/>
      <c r="ASL29" s="29"/>
      <c r="ASM29" s="29"/>
      <c r="ASN29" s="28"/>
      <c r="ASO29" s="29"/>
      <c r="ASP29" s="30"/>
      <c r="ASQ29" s="28"/>
      <c r="ASR29" s="29"/>
      <c r="ASS29" s="29"/>
      <c r="AST29" s="29"/>
      <c r="ASU29" s="28"/>
      <c r="ASV29" s="29"/>
      <c r="ASW29" s="29"/>
      <c r="ASX29" s="28"/>
      <c r="ASY29" s="29"/>
      <c r="ASZ29" s="30"/>
      <c r="ATA29" s="28"/>
      <c r="ATB29" s="29"/>
      <c r="ATC29" s="29"/>
      <c r="ATD29" s="29"/>
      <c r="ATE29" s="28"/>
      <c r="ATF29" s="29"/>
      <c r="ATG29" s="29"/>
      <c r="ATH29" s="29"/>
      <c r="ATI29" s="29"/>
      <c r="ATJ29" s="29"/>
      <c r="ATK29" s="28"/>
      <c r="ATL29" s="29"/>
      <c r="ATM29" s="29"/>
      <c r="ATN29" s="28"/>
      <c r="ATO29" s="29"/>
      <c r="ATP29" s="30"/>
      <c r="ATQ29" s="28"/>
      <c r="ATR29" s="29"/>
      <c r="ATS29" s="29"/>
      <c r="ATT29" s="29"/>
      <c r="ATU29" s="28"/>
      <c r="ATV29" s="29"/>
      <c r="ATW29" s="29"/>
      <c r="ATX29" s="28"/>
      <c r="ATY29" s="29"/>
      <c r="ATZ29" s="30"/>
      <c r="AUA29" s="28"/>
      <c r="AUB29" s="29"/>
      <c r="AUC29" s="29"/>
      <c r="AUD29" s="29"/>
      <c r="AUE29" s="28"/>
      <c r="AUF29" s="29"/>
      <c r="AUG29" s="29"/>
      <c r="AUH29" s="29"/>
      <c r="AUI29" s="29"/>
      <c r="AUJ29" s="29"/>
      <c r="AUK29" s="28"/>
      <c r="AUL29" s="29"/>
      <c r="AUM29" s="29"/>
      <c r="AUN29" s="28"/>
      <c r="AUO29" s="29"/>
      <c r="AUP29" s="30"/>
      <c r="AUQ29" s="28"/>
      <c r="AUR29" s="29"/>
      <c r="AUS29" s="29"/>
      <c r="AUT29" s="29"/>
      <c r="AUU29" s="28"/>
      <c r="AUV29" s="29"/>
      <c r="AUW29" s="29"/>
      <c r="AUX29" s="28"/>
      <c r="AUY29" s="29"/>
      <c r="AUZ29" s="30"/>
      <c r="AVA29" s="28"/>
      <c r="AVB29" s="29"/>
      <c r="AVC29" s="29"/>
      <c r="AVD29" s="29"/>
      <c r="AVE29" s="28"/>
      <c r="AVF29" s="29"/>
      <c r="AVG29" s="29"/>
      <c r="AVH29" s="29"/>
      <c r="AVI29" s="29"/>
      <c r="AVJ29" s="29"/>
      <c r="AVK29" s="28"/>
      <c r="AVL29" s="29"/>
      <c r="AVM29" s="29"/>
      <c r="AVN29" s="28"/>
      <c r="AVO29" s="29"/>
      <c r="AVP29" s="30"/>
      <c r="AVQ29" s="28"/>
      <c r="AVR29" s="29"/>
      <c r="AVS29" s="29"/>
      <c r="AVT29" s="29"/>
      <c r="AVU29" s="28"/>
      <c r="AVV29" s="29"/>
      <c r="AVW29" s="29"/>
      <c r="AVX29" s="28"/>
      <c r="AVY29" s="29"/>
      <c r="AVZ29" s="30"/>
      <c r="AWA29" s="28"/>
      <c r="AWB29" s="29"/>
      <c r="AWC29" s="29"/>
      <c r="AWD29" s="29"/>
      <c r="AWE29" s="28"/>
      <c r="AWF29" s="29"/>
      <c r="AWG29" s="29"/>
      <c r="AWH29" s="29"/>
      <c r="AWI29" s="29"/>
      <c r="AWJ29" s="29"/>
      <c r="AWK29" s="28"/>
      <c r="AWL29" s="29"/>
      <c r="AWM29" s="29"/>
      <c r="AWN29" s="28"/>
      <c r="AWO29" s="29"/>
      <c r="AWP29" s="30"/>
      <c r="AWQ29" s="28"/>
      <c r="AWR29" s="29"/>
      <c r="AWS29" s="29"/>
      <c r="AWT29" s="29"/>
      <c r="AWU29" s="28"/>
      <c r="AWV29" s="29"/>
      <c r="AWW29" s="29"/>
      <c r="AWX29" s="28"/>
      <c r="AWY29" s="29"/>
      <c r="AWZ29" s="30"/>
      <c r="AXA29" s="28"/>
      <c r="AXB29" s="29"/>
      <c r="AXC29" s="29"/>
      <c r="AXD29" s="29"/>
      <c r="AXE29" s="28"/>
      <c r="AXF29" s="29"/>
      <c r="AXG29" s="29"/>
      <c r="AXH29" s="29"/>
      <c r="AXI29" s="29"/>
      <c r="AXJ29" s="29"/>
      <c r="AXK29" s="28"/>
      <c r="AXL29" s="29"/>
      <c r="AXM29" s="29"/>
      <c r="AXN29" s="28"/>
      <c r="AXO29" s="29"/>
      <c r="AXP29" s="30"/>
      <c r="AXQ29" s="28"/>
      <c r="AXR29" s="29"/>
      <c r="AXS29" s="29"/>
      <c r="AXT29" s="29"/>
      <c r="AXU29" s="28"/>
      <c r="AXV29" s="29"/>
      <c r="AXW29" s="29"/>
      <c r="AXX29" s="28"/>
      <c r="AXY29" s="29"/>
      <c r="AXZ29" s="30"/>
      <c r="AYA29" s="28"/>
      <c r="AYB29" s="29"/>
      <c r="AYC29" s="29"/>
      <c r="AYD29" s="29"/>
      <c r="AYE29" s="28"/>
      <c r="AYF29" s="29"/>
      <c r="AYG29" s="29"/>
      <c r="AYH29" s="29"/>
      <c r="AYI29" s="29"/>
      <c r="AYJ29" s="29"/>
      <c r="AYK29" s="28"/>
      <c r="AYL29" s="29"/>
      <c r="AYM29" s="29"/>
      <c r="AYN29" s="28"/>
      <c r="AYO29" s="29"/>
      <c r="AYP29" s="30"/>
      <c r="AYQ29" s="28"/>
      <c r="AYR29" s="29"/>
      <c r="AYS29" s="29"/>
      <c r="AYT29" s="29"/>
      <c r="AYU29" s="28"/>
      <c r="AYV29" s="29"/>
      <c r="AYW29" s="29"/>
      <c r="AYX29" s="28"/>
      <c r="AYY29" s="29"/>
      <c r="AYZ29" s="30"/>
      <c r="AZA29" s="28"/>
      <c r="AZB29" s="29"/>
      <c r="AZC29" s="29"/>
      <c r="AZD29" s="29"/>
      <c r="AZE29" s="28"/>
      <c r="AZF29" s="29"/>
      <c r="AZG29" s="29"/>
      <c r="AZH29" s="29"/>
      <c r="AZI29" s="29"/>
      <c r="AZJ29" s="29"/>
      <c r="AZK29" s="28"/>
      <c r="AZL29" s="29"/>
      <c r="AZM29" s="29"/>
      <c r="AZN29" s="28"/>
      <c r="AZO29" s="29"/>
      <c r="AZP29" s="30"/>
      <c r="AZQ29" s="28"/>
      <c r="AZR29" s="29"/>
      <c r="AZS29" s="29"/>
      <c r="AZT29" s="29"/>
      <c r="AZU29" s="28"/>
      <c r="AZV29" s="29"/>
      <c r="AZW29" s="29"/>
      <c r="AZX29" s="28"/>
      <c r="AZY29" s="29"/>
      <c r="AZZ29" s="30"/>
      <c r="BAA29" s="28"/>
      <c r="BAB29" s="29"/>
      <c r="BAC29" s="29"/>
      <c r="BAD29" s="29"/>
      <c r="BAE29" s="28"/>
      <c r="BAF29" s="29"/>
      <c r="BAG29" s="29"/>
      <c r="BAH29" s="29"/>
      <c r="BAI29" s="29"/>
      <c r="BAJ29" s="29"/>
      <c r="BAK29" s="28"/>
      <c r="BAL29" s="29"/>
      <c r="BAM29" s="29"/>
      <c r="BAN29" s="28"/>
      <c r="BAO29" s="29"/>
      <c r="BAP29" s="30"/>
      <c r="BAQ29" s="28"/>
      <c r="BAR29" s="29"/>
      <c r="BAS29" s="29"/>
      <c r="BAT29" s="29"/>
      <c r="BAU29" s="28"/>
      <c r="BAV29" s="29"/>
      <c r="BAW29" s="29"/>
      <c r="BAX29" s="28"/>
      <c r="BAY29" s="29"/>
      <c r="BAZ29" s="30"/>
      <c r="BBA29" s="28"/>
      <c r="BBB29" s="29"/>
      <c r="BBC29" s="29"/>
      <c r="BBD29" s="29"/>
      <c r="BBE29" s="28"/>
      <c r="BBF29" s="29"/>
      <c r="BBG29" s="29"/>
      <c r="BBH29" s="29"/>
      <c r="BBI29" s="29"/>
      <c r="BBJ29" s="29"/>
      <c r="BBK29" s="28"/>
      <c r="BBL29" s="29"/>
      <c r="BBM29" s="29"/>
      <c r="BBN29" s="28"/>
      <c r="BBO29" s="29"/>
      <c r="BBP29" s="30"/>
      <c r="BBQ29" s="28"/>
      <c r="BBR29" s="29"/>
      <c r="BBS29" s="29"/>
      <c r="BBT29" s="29"/>
      <c r="BBU29" s="28"/>
      <c r="BBV29" s="29"/>
      <c r="BBW29" s="29"/>
      <c r="BBX29" s="28"/>
      <c r="BBY29" s="29"/>
      <c r="BBZ29" s="30"/>
      <c r="BCA29" s="28"/>
      <c r="BCB29" s="29"/>
      <c r="BCC29" s="29"/>
      <c r="BCD29" s="29"/>
      <c r="BCE29" s="28"/>
      <c r="BCF29" s="29"/>
      <c r="BCG29" s="29"/>
      <c r="BCH29" s="29"/>
      <c r="BCI29" s="29"/>
      <c r="BCJ29" s="29"/>
      <c r="BCK29" s="28"/>
      <c r="BCL29" s="29"/>
      <c r="BCM29" s="29"/>
      <c r="BCN29" s="28"/>
      <c r="BCO29" s="29"/>
      <c r="BCP29" s="30"/>
      <c r="BCQ29" s="28"/>
      <c r="BCR29" s="29"/>
      <c r="BCS29" s="29"/>
      <c r="BCT29" s="29"/>
      <c r="BCU29" s="28"/>
      <c r="BCV29" s="29"/>
      <c r="BCW29" s="29"/>
      <c r="BCX29" s="28"/>
      <c r="BCY29" s="29"/>
      <c r="BCZ29" s="30"/>
      <c r="BDA29" s="28"/>
      <c r="BDB29" s="29"/>
      <c r="BDC29" s="29"/>
      <c r="BDD29" s="29"/>
      <c r="BDE29" s="28"/>
      <c r="BDF29" s="29"/>
      <c r="BDG29" s="29"/>
      <c r="BDH29" s="29"/>
      <c r="BDI29" s="29"/>
      <c r="BDJ29" s="29"/>
      <c r="BDK29" s="28"/>
      <c r="BDL29" s="29"/>
      <c r="BDM29" s="29"/>
      <c r="BDN29" s="28"/>
      <c r="BDO29" s="29"/>
      <c r="BDP29" s="30"/>
      <c r="BDQ29" s="28"/>
      <c r="BDR29" s="29"/>
      <c r="BDS29" s="29"/>
      <c r="BDT29" s="29"/>
      <c r="BDU29" s="28"/>
      <c r="BDV29" s="29"/>
      <c r="BDW29" s="29"/>
      <c r="BDX29" s="28"/>
      <c r="BDY29" s="29"/>
      <c r="BDZ29" s="30"/>
      <c r="BEA29" s="28"/>
      <c r="BEB29" s="29"/>
      <c r="BEC29" s="29"/>
      <c r="BED29" s="29"/>
      <c r="BEE29" s="28"/>
      <c r="BEF29" s="29"/>
      <c r="BEG29" s="29"/>
      <c r="BEH29" s="29"/>
      <c r="BEI29" s="29"/>
      <c r="BEJ29" s="29"/>
      <c r="BEK29" s="28"/>
      <c r="BEL29" s="29"/>
      <c r="BEM29" s="29"/>
      <c r="BEN29" s="28"/>
      <c r="BEO29" s="29"/>
      <c r="BEP29" s="30"/>
      <c r="BEQ29" s="28"/>
      <c r="BER29" s="29"/>
      <c r="BES29" s="29"/>
      <c r="BET29" s="29"/>
      <c r="BEU29" s="28"/>
      <c r="BEV29" s="29"/>
      <c r="BEW29" s="29"/>
      <c r="BEX29" s="28"/>
      <c r="BEY29" s="29"/>
      <c r="BEZ29" s="30"/>
      <c r="BFA29" s="28"/>
      <c r="BFB29" s="29"/>
      <c r="BFC29" s="29"/>
      <c r="BFD29" s="29"/>
      <c r="BFE29" s="28"/>
      <c r="BFF29" s="29"/>
      <c r="BFG29" s="29"/>
      <c r="BFH29" s="29"/>
      <c r="BFI29" s="29"/>
      <c r="BFJ29" s="29"/>
      <c r="BFK29" s="28"/>
      <c r="BFL29" s="29"/>
      <c r="BFM29" s="29"/>
      <c r="BFN29" s="28"/>
      <c r="BFO29" s="29"/>
      <c r="BFP29" s="30"/>
      <c r="BFQ29" s="28"/>
      <c r="BFR29" s="29"/>
      <c r="BFS29" s="29"/>
      <c r="BFT29" s="29"/>
      <c r="BFU29" s="28"/>
      <c r="BFV29" s="29"/>
      <c r="BFW29" s="29"/>
      <c r="BFX29" s="28"/>
      <c r="BFY29" s="29"/>
      <c r="BFZ29" s="30"/>
      <c r="BGA29" s="28"/>
      <c r="BGB29" s="29"/>
      <c r="BGC29" s="29"/>
      <c r="BGD29" s="29"/>
      <c r="BGE29" s="28"/>
      <c r="BGF29" s="29"/>
      <c r="BGG29" s="29"/>
      <c r="BGH29" s="29"/>
      <c r="BGI29" s="29"/>
      <c r="BGJ29" s="29"/>
      <c r="BGK29" s="28"/>
      <c r="BGL29" s="29"/>
      <c r="BGM29" s="29"/>
      <c r="BGN29" s="28"/>
      <c r="BGO29" s="29"/>
      <c r="BGP29" s="30"/>
      <c r="BGQ29" s="28"/>
      <c r="BGR29" s="29"/>
      <c r="BGS29" s="29"/>
      <c r="BGT29" s="29"/>
      <c r="BGU29" s="28"/>
      <c r="BGV29" s="29"/>
      <c r="BGW29" s="29"/>
      <c r="BGX29" s="28"/>
      <c r="BGY29" s="29"/>
      <c r="BGZ29" s="30"/>
      <c r="BHA29" s="28"/>
      <c r="BHB29" s="29"/>
      <c r="BHC29" s="29"/>
      <c r="BHD29" s="29"/>
      <c r="BHE29" s="28"/>
      <c r="BHF29" s="29"/>
      <c r="BHG29" s="29"/>
      <c r="BHH29" s="29"/>
      <c r="BHI29" s="29"/>
      <c r="BHJ29" s="29"/>
      <c r="BHK29" s="28"/>
      <c r="BHL29" s="29"/>
      <c r="BHM29" s="29"/>
      <c r="BHN29" s="28"/>
      <c r="BHO29" s="29"/>
      <c r="BHP29" s="30"/>
      <c r="BHQ29" s="28"/>
      <c r="BHR29" s="29"/>
      <c r="BHS29" s="29"/>
      <c r="BHT29" s="29"/>
      <c r="BHU29" s="28"/>
      <c r="BHV29" s="29"/>
      <c r="BHW29" s="29"/>
      <c r="BHX29" s="28"/>
      <c r="BHY29" s="29"/>
      <c r="BHZ29" s="30"/>
      <c r="BIA29" s="28"/>
      <c r="BIB29" s="29"/>
      <c r="BIC29" s="29"/>
      <c r="BID29" s="29"/>
      <c r="BIE29" s="28"/>
      <c r="BIF29" s="29"/>
      <c r="BIG29" s="29"/>
      <c r="BIH29" s="29"/>
      <c r="BII29" s="29"/>
      <c r="BIJ29" s="29"/>
      <c r="BIK29" s="28"/>
      <c r="BIL29" s="29"/>
      <c r="BIM29" s="29"/>
      <c r="BIN29" s="28"/>
      <c r="BIO29" s="29"/>
      <c r="BIP29" s="30"/>
      <c r="BIQ29" s="28"/>
      <c r="BIR29" s="29"/>
      <c r="BIS29" s="29"/>
      <c r="BIT29" s="29"/>
      <c r="BIU29" s="28"/>
      <c r="BIV29" s="29"/>
      <c r="BIW29" s="29"/>
      <c r="BIX29" s="28"/>
      <c r="BIY29" s="29"/>
      <c r="BIZ29" s="30"/>
      <c r="BJA29" s="28"/>
      <c r="BJB29" s="29"/>
      <c r="BJC29" s="29"/>
      <c r="BJD29" s="29"/>
      <c r="BJE29" s="28"/>
      <c r="BJF29" s="29"/>
      <c r="BJG29" s="29"/>
      <c r="BJH29" s="29"/>
      <c r="BJI29" s="29"/>
      <c r="BJJ29" s="29"/>
      <c r="BJK29" s="28"/>
      <c r="BJL29" s="29"/>
      <c r="BJM29" s="29"/>
      <c r="BJN29" s="28"/>
      <c r="BJO29" s="29"/>
      <c r="BJP29" s="30"/>
      <c r="BJQ29" s="28"/>
      <c r="BJR29" s="29"/>
      <c r="BJS29" s="29"/>
      <c r="BJT29" s="29"/>
      <c r="BJU29" s="28"/>
      <c r="BJV29" s="29"/>
      <c r="BJW29" s="29"/>
      <c r="BJX29" s="28"/>
      <c r="BJY29" s="29"/>
      <c r="BJZ29" s="30"/>
      <c r="BKA29" s="28"/>
      <c r="BKB29" s="29"/>
      <c r="BKC29" s="29"/>
      <c r="BKD29" s="29"/>
      <c r="BKE29" s="28"/>
      <c r="BKF29" s="29"/>
      <c r="BKG29" s="29"/>
      <c r="BKH29" s="29"/>
      <c r="BKI29" s="29"/>
      <c r="BKJ29" s="29"/>
      <c r="BKK29" s="28"/>
      <c r="BKL29" s="29"/>
      <c r="BKM29" s="29"/>
      <c r="BKN29" s="28"/>
      <c r="BKO29" s="29"/>
      <c r="BKP29" s="30"/>
      <c r="BKQ29" s="28"/>
      <c r="BKR29" s="29"/>
      <c r="BKS29" s="29"/>
      <c r="BKT29" s="29"/>
      <c r="BKU29" s="28"/>
      <c r="BKV29" s="29"/>
      <c r="BKW29" s="29"/>
      <c r="BKX29" s="28"/>
      <c r="BKY29" s="29"/>
      <c r="BKZ29" s="30"/>
      <c r="BLA29" s="28"/>
      <c r="BLB29" s="29"/>
      <c r="BLC29" s="29"/>
      <c r="BLD29" s="29"/>
      <c r="BLE29" s="28"/>
      <c r="BLF29" s="29"/>
      <c r="BLG29" s="29"/>
      <c r="BLH29" s="29"/>
      <c r="BLI29" s="29"/>
      <c r="BLJ29" s="29"/>
      <c r="BLK29" s="28"/>
      <c r="BLL29" s="29"/>
      <c r="BLM29" s="29"/>
      <c r="BLN29" s="28"/>
      <c r="BLO29" s="29"/>
      <c r="BLP29" s="30"/>
      <c r="BLQ29" s="28"/>
      <c r="BLR29" s="29"/>
      <c r="BLS29" s="29"/>
      <c r="BLT29" s="29"/>
      <c r="BLU29" s="28"/>
      <c r="BLV29" s="29"/>
      <c r="BLW29" s="29"/>
      <c r="BLX29" s="28"/>
      <c r="BLY29" s="29"/>
      <c r="BLZ29" s="30"/>
      <c r="BMA29" s="28"/>
      <c r="BMB29" s="29"/>
      <c r="BMC29" s="29"/>
      <c r="BMD29" s="29"/>
      <c r="BME29" s="28"/>
      <c r="BMF29" s="29"/>
      <c r="BMG29" s="29"/>
      <c r="BMH29" s="29"/>
      <c r="BMI29" s="29"/>
      <c r="BMJ29" s="29"/>
      <c r="BMK29" s="28"/>
      <c r="BML29" s="29"/>
      <c r="BMM29" s="29"/>
      <c r="BMN29" s="28"/>
      <c r="BMO29" s="29"/>
      <c r="BMP29" s="30"/>
      <c r="BMQ29" s="28"/>
      <c r="BMR29" s="29"/>
      <c r="BMS29" s="29"/>
      <c r="BMT29" s="29"/>
      <c r="BMU29" s="28"/>
      <c r="BMV29" s="29"/>
      <c r="BMW29" s="29"/>
      <c r="BMX29" s="28"/>
      <c r="BMY29" s="29"/>
      <c r="BMZ29" s="30"/>
      <c r="BNA29" s="28"/>
      <c r="BNB29" s="29"/>
      <c r="BNC29" s="29"/>
      <c r="BND29" s="29"/>
      <c r="BNE29" s="28"/>
      <c r="BNF29" s="29"/>
      <c r="BNG29" s="29"/>
      <c r="BNH29" s="29"/>
      <c r="BNI29" s="29"/>
      <c r="BNJ29" s="29"/>
      <c r="BNK29" s="28"/>
      <c r="BNL29" s="29"/>
      <c r="BNM29" s="29"/>
      <c r="BNN29" s="28"/>
      <c r="BNO29" s="29"/>
      <c r="BNP29" s="30"/>
      <c r="BNQ29" s="28"/>
      <c r="BNR29" s="29"/>
      <c r="BNS29" s="29"/>
      <c r="BNT29" s="29"/>
      <c r="BNU29" s="28"/>
      <c r="BNV29" s="29"/>
      <c r="BNW29" s="29"/>
      <c r="BNX29" s="28"/>
      <c r="BNY29" s="29"/>
      <c r="BNZ29" s="30"/>
      <c r="BOA29" s="28"/>
      <c r="BOB29" s="29"/>
      <c r="BOC29" s="29"/>
      <c r="BOD29" s="29"/>
      <c r="BOE29" s="28"/>
      <c r="BOF29" s="29"/>
      <c r="BOG29" s="29"/>
      <c r="BOH29" s="29"/>
      <c r="BOI29" s="29"/>
      <c r="BOJ29" s="29"/>
      <c r="BOK29" s="28"/>
      <c r="BOL29" s="29"/>
      <c r="BOM29" s="29"/>
      <c r="BON29" s="28"/>
      <c r="BOO29" s="29"/>
      <c r="BOP29" s="30"/>
      <c r="BOQ29" s="28"/>
      <c r="BOR29" s="29"/>
      <c r="BOS29" s="29"/>
      <c r="BOT29" s="29"/>
      <c r="BOU29" s="28"/>
      <c r="BOV29" s="29"/>
      <c r="BOW29" s="29"/>
      <c r="BOX29" s="28"/>
      <c r="BOY29" s="29"/>
      <c r="BOZ29" s="30"/>
      <c r="BPA29" s="28"/>
      <c r="BPB29" s="29"/>
      <c r="BPC29" s="29"/>
      <c r="BPD29" s="29"/>
      <c r="BPE29" s="28"/>
      <c r="BPF29" s="29"/>
      <c r="BPG29" s="29"/>
      <c r="BPH29" s="29"/>
      <c r="BPI29" s="29"/>
      <c r="BPJ29" s="29"/>
      <c r="BPK29" s="28"/>
      <c r="BPL29" s="29"/>
      <c r="BPM29" s="29"/>
      <c r="BPN29" s="28"/>
      <c r="BPO29" s="29"/>
      <c r="BPP29" s="30"/>
      <c r="BPQ29" s="28"/>
      <c r="BPR29" s="29"/>
      <c r="BPS29" s="29"/>
      <c r="BPT29" s="29"/>
      <c r="BPU29" s="28"/>
      <c r="BPV29" s="29"/>
      <c r="BPW29" s="29"/>
      <c r="BPX29" s="28"/>
      <c r="BPY29" s="29"/>
      <c r="BPZ29" s="30"/>
      <c r="BQA29" s="28"/>
      <c r="BQB29" s="29"/>
      <c r="BQC29" s="29"/>
      <c r="BQD29" s="29"/>
      <c r="BQE29" s="28"/>
      <c r="BQF29" s="29"/>
      <c r="BQG29" s="29"/>
      <c r="BQH29" s="29"/>
      <c r="BQI29" s="29"/>
      <c r="BQJ29" s="29"/>
      <c r="BQK29" s="28"/>
      <c r="BQL29" s="29"/>
      <c r="BQM29" s="29"/>
      <c r="BQN29" s="28"/>
      <c r="BQO29" s="29"/>
      <c r="BQP29" s="30"/>
      <c r="BQQ29" s="28"/>
      <c r="BQR29" s="29"/>
      <c r="BQS29" s="29"/>
      <c r="BQT29" s="29"/>
      <c r="BQU29" s="28"/>
      <c r="BQV29" s="29"/>
      <c r="BQW29" s="29"/>
      <c r="BQX29" s="28"/>
      <c r="BQY29" s="29"/>
      <c r="BQZ29" s="30"/>
      <c r="BRA29" s="28"/>
      <c r="BRB29" s="29"/>
      <c r="BRC29" s="29"/>
      <c r="BRD29" s="29"/>
      <c r="BRE29" s="28"/>
      <c r="BRF29" s="29"/>
      <c r="BRG29" s="29"/>
      <c r="BRH29" s="29"/>
      <c r="BRI29" s="29"/>
      <c r="BRJ29" s="29"/>
      <c r="BRK29" s="28"/>
      <c r="BRL29" s="29"/>
      <c r="BRM29" s="29"/>
      <c r="BRN29" s="28"/>
      <c r="BRO29" s="29"/>
      <c r="BRP29" s="30"/>
      <c r="BRQ29" s="28"/>
      <c r="BRR29" s="29"/>
      <c r="BRS29" s="29"/>
      <c r="BRT29" s="29"/>
      <c r="BRU29" s="28"/>
      <c r="BRV29" s="29"/>
      <c r="BRW29" s="29"/>
      <c r="BRX29" s="28"/>
      <c r="BRY29" s="29"/>
      <c r="BRZ29" s="30"/>
      <c r="BSA29" s="28"/>
      <c r="BSB29" s="29"/>
      <c r="BSC29" s="29"/>
      <c r="BSD29" s="29"/>
      <c r="BSE29" s="28"/>
      <c r="BSF29" s="29"/>
      <c r="BSG29" s="29"/>
      <c r="BSH29" s="29"/>
      <c r="BSI29" s="29"/>
      <c r="BSJ29" s="29"/>
      <c r="BSK29" s="28"/>
      <c r="BSL29" s="29"/>
      <c r="BSM29" s="29"/>
      <c r="BSN29" s="28"/>
      <c r="BSO29" s="29"/>
      <c r="BSP29" s="30"/>
      <c r="BSQ29" s="28"/>
      <c r="BSR29" s="29"/>
      <c r="BSS29" s="29"/>
      <c r="BST29" s="29"/>
      <c r="BSU29" s="28"/>
      <c r="BSV29" s="29"/>
      <c r="BSW29" s="29"/>
      <c r="BSX29" s="28"/>
      <c r="BSY29" s="29"/>
      <c r="BSZ29" s="30"/>
      <c r="BTA29" s="28"/>
      <c r="BTB29" s="29"/>
      <c r="BTC29" s="29"/>
      <c r="BTD29" s="29"/>
      <c r="BTE29" s="28"/>
      <c r="BTF29" s="29"/>
      <c r="BTG29" s="29"/>
      <c r="BTH29" s="29"/>
      <c r="BTI29" s="29"/>
      <c r="BTJ29" s="29"/>
      <c r="BTK29" s="28"/>
      <c r="BTL29" s="29"/>
      <c r="BTM29" s="29"/>
      <c r="BTN29" s="28"/>
      <c r="BTO29" s="29"/>
      <c r="BTP29" s="30"/>
      <c r="BTQ29" s="28"/>
      <c r="BTR29" s="29"/>
      <c r="BTS29" s="29"/>
      <c r="BTT29" s="29"/>
      <c r="BTU29" s="28"/>
      <c r="BTV29" s="29"/>
      <c r="BTW29" s="29"/>
      <c r="BTX29" s="28"/>
      <c r="BTY29" s="29"/>
      <c r="BTZ29" s="30"/>
      <c r="BUA29" s="28"/>
      <c r="BUB29" s="29"/>
      <c r="BUC29" s="29"/>
      <c r="BUD29" s="29"/>
      <c r="BUE29" s="28"/>
      <c r="BUF29" s="29"/>
      <c r="BUG29" s="29"/>
      <c r="BUH29" s="29"/>
      <c r="BUI29" s="29"/>
      <c r="BUJ29" s="29"/>
      <c r="BUK29" s="28"/>
      <c r="BUL29" s="29"/>
      <c r="BUM29" s="29"/>
      <c r="BUN29" s="28"/>
      <c r="BUO29" s="29"/>
      <c r="BUP29" s="30"/>
      <c r="BUQ29" s="28"/>
      <c r="BUR29" s="29"/>
      <c r="BUS29" s="29"/>
      <c r="BUT29" s="29"/>
      <c r="BUU29" s="28"/>
      <c r="BUV29" s="29"/>
      <c r="BUW29" s="29"/>
      <c r="BUX29" s="28"/>
      <c r="BUY29" s="29"/>
      <c r="BUZ29" s="30"/>
      <c r="BVA29" s="28"/>
      <c r="BVB29" s="29"/>
      <c r="BVC29" s="29"/>
      <c r="BVD29" s="29"/>
      <c r="BVE29" s="28"/>
      <c r="BVF29" s="29"/>
      <c r="BVG29" s="29"/>
      <c r="BVH29" s="29"/>
      <c r="BVI29" s="29"/>
      <c r="BVJ29" s="29"/>
      <c r="BVK29" s="28"/>
      <c r="BVL29" s="29"/>
      <c r="BVM29" s="29"/>
      <c r="BVN29" s="28"/>
      <c r="BVO29" s="29"/>
      <c r="BVP29" s="30"/>
      <c r="BVQ29" s="28"/>
      <c r="BVR29" s="29"/>
      <c r="BVS29" s="29"/>
      <c r="BVT29" s="29"/>
      <c r="BVU29" s="28"/>
      <c r="BVV29" s="29"/>
      <c r="BVW29" s="29"/>
      <c r="BVX29" s="28"/>
      <c r="BVY29" s="29"/>
      <c r="BVZ29" s="30"/>
      <c r="BWA29" s="28"/>
      <c r="BWB29" s="29"/>
      <c r="BWC29" s="29"/>
      <c r="BWD29" s="29"/>
      <c r="BWE29" s="28"/>
      <c r="BWF29" s="29"/>
      <c r="BWG29" s="29"/>
      <c r="BWH29" s="29"/>
      <c r="BWI29" s="29"/>
      <c r="BWJ29" s="29"/>
      <c r="BWK29" s="28"/>
      <c r="BWL29" s="29"/>
      <c r="BWM29" s="29"/>
      <c r="BWN29" s="28"/>
      <c r="BWO29" s="29"/>
      <c r="BWP29" s="30"/>
      <c r="BWQ29" s="28"/>
      <c r="BWR29" s="29"/>
      <c r="BWS29" s="29"/>
      <c r="BWT29" s="29"/>
      <c r="BWU29" s="28"/>
      <c r="BWV29" s="29"/>
      <c r="BWW29" s="29"/>
      <c r="BWX29" s="28"/>
      <c r="BWY29" s="29"/>
      <c r="BWZ29" s="30"/>
      <c r="BXA29" s="28"/>
      <c r="BXB29" s="29"/>
      <c r="BXC29" s="29"/>
      <c r="BXD29" s="29"/>
      <c r="BXE29" s="28"/>
      <c r="BXF29" s="29"/>
      <c r="BXG29" s="29"/>
      <c r="BXH29" s="29"/>
      <c r="BXI29" s="29"/>
      <c r="BXJ29" s="29"/>
      <c r="BXK29" s="28"/>
      <c r="BXL29" s="29"/>
      <c r="BXM29" s="29"/>
      <c r="BXN29" s="28"/>
      <c r="BXO29" s="29"/>
      <c r="BXP29" s="30"/>
      <c r="BXQ29" s="28"/>
      <c r="BXR29" s="29"/>
      <c r="BXS29" s="29"/>
      <c r="BXT29" s="29"/>
      <c r="BXU29" s="28"/>
      <c r="BXV29" s="29"/>
      <c r="BXW29" s="29"/>
      <c r="BXX29" s="28"/>
      <c r="BXY29" s="29"/>
      <c r="BXZ29" s="30"/>
      <c r="BYA29" s="28"/>
      <c r="BYB29" s="29"/>
      <c r="BYC29" s="29"/>
      <c r="BYD29" s="29"/>
      <c r="BYE29" s="28"/>
      <c r="BYF29" s="29"/>
      <c r="BYG29" s="29"/>
      <c r="BYH29" s="29"/>
      <c r="BYI29" s="29"/>
      <c r="BYJ29" s="29"/>
      <c r="BYK29" s="28"/>
      <c r="BYL29" s="29"/>
      <c r="BYM29" s="29"/>
      <c r="BYN29" s="28"/>
      <c r="BYO29" s="29"/>
      <c r="BYP29" s="30"/>
      <c r="BYQ29" s="28"/>
      <c r="BYR29" s="29"/>
      <c r="BYS29" s="29"/>
      <c r="BYT29" s="29"/>
      <c r="BYU29" s="28"/>
      <c r="BYV29" s="29"/>
      <c r="BYW29" s="29"/>
      <c r="BYX29" s="30"/>
      <c r="BYY29" s="29"/>
      <c r="BYZ29" s="28"/>
      <c r="BZA29" s="29"/>
      <c r="BZB29" s="28"/>
      <c r="BZC29" s="28"/>
      <c r="BZD29" s="28"/>
      <c r="BZE29" s="29"/>
      <c r="BZF29" s="385"/>
      <c r="BZG29" s="29"/>
      <c r="BZH29" s="385"/>
      <c r="BZI29" s="29"/>
      <c r="BZJ29" s="385"/>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30"/>
      <c r="CAQ29" s="28"/>
      <c r="CAR29" s="29"/>
      <c r="CAS29" s="29"/>
      <c r="CAT29" s="29"/>
      <c r="CAU29" s="29"/>
      <c r="CAV29" s="29"/>
      <c r="CAW29" s="28"/>
      <c r="CAX29" s="29"/>
      <c r="CAY29" s="29"/>
      <c r="CAZ29" s="28"/>
      <c r="CBA29" s="29"/>
      <c r="CBB29" s="30"/>
      <c r="CBC29" s="28"/>
      <c r="CBD29" s="29"/>
      <c r="CBE29" s="29"/>
      <c r="CBF29" s="29"/>
      <c r="CBG29" s="28"/>
      <c r="CBH29" s="29"/>
      <c r="CBI29" s="29"/>
      <c r="CBJ29" s="28"/>
      <c r="CBK29" s="29"/>
      <c r="CBL29" s="30"/>
      <c r="CBM29" s="28"/>
      <c r="CBN29" s="29"/>
      <c r="CBO29" s="29"/>
      <c r="CBP29" s="29"/>
      <c r="CBQ29" s="28"/>
      <c r="CBR29" s="29"/>
      <c r="CBS29" s="29"/>
      <c r="CBT29" s="28"/>
      <c r="CBU29" s="29"/>
      <c r="CBV29" s="30"/>
      <c r="CBW29" s="28"/>
      <c r="CBX29" s="29"/>
      <c r="CBY29" s="29"/>
      <c r="CBZ29" s="29"/>
      <c r="CCA29" s="28"/>
      <c r="CCB29" s="29"/>
      <c r="CCC29" s="29"/>
      <c r="CCD29" s="28"/>
      <c r="CCE29" s="29"/>
      <c r="CCF29" s="30"/>
      <c r="CCG29" s="28"/>
      <c r="CCH29" s="30"/>
      <c r="CCI29" s="29"/>
      <c r="CCJ29" s="28"/>
      <c r="CCK29" s="29"/>
      <c r="CCL29" s="28"/>
      <c r="CCM29" s="28"/>
      <c r="CCN29" s="28"/>
      <c r="CCO29" s="29"/>
      <c r="CCP29" s="385"/>
      <c r="CCQ29" s="29"/>
      <c r="CCR29" s="385"/>
      <c r="CCS29" s="29"/>
      <c r="CCT29" s="385"/>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30"/>
      <c r="CEA29" s="28"/>
      <c r="CEB29" s="29"/>
      <c r="CEC29" s="29"/>
      <c r="CED29" s="29"/>
      <c r="CEE29" s="29"/>
      <c r="CEF29" s="29"/>
      <c r="CEG29" s="28"/>
      <c r="CEH29" s="29"/>
      <c r="CEI29" s="29"/>
      <c r="CEJ29" s="28"/>
      <c r="CEK29" s="29"/>
      <c r="CEL29" s="30"/>
      <c r="CEM29" s="28"/>
      <c r="CEN29" s="29"/>
      <c r="CEO29" s="29"/>
      <c r="CEP29" s="29"/>
      <c r="CEQ29" s="28"/>
      <c r="CER29" s="29"/>
      <c r="CES29" s="29"/>
      <c r="CET29" s="28"/>
      <c r="CEU29" s="29"/>
      <c r="CEV29" s="30"/>
      <c r="CEW29" s="28"/>
      <c r="CEX29" s="29"/>
      <c r="CEY29" s="29"/>
      <c r="CEZ29" s="29"/>
      <c r="CFA29" s="28"/>
      <c r="CFB29" s="29"/>
      <c r="CFC29" s="29"/>
      <c r="CFD29" s="28"/>
      <c r="CFE29" s="29"/>
      <c r="CFF29" s="30"/>
      <c r="CFG29" s="28"/>
      <c r="CFH29" s="29"/>
      <c r="CFI29" s="29"/>
      <c r="CFJ29" s="29"/>
      <c r="CFK29" s="28"/>
      <c r="CFL29" s="29"/>
      <c r="CFM29" s="29"/>
      <c r="CFN29" s="28"/>
      <c r="CFO29" s="29"/>
      <c r="CFP29" s="30"/>
      <c r="CFQ29" s="28"/>
      <c r="CFR29" s="30"/>
      <c r="CFS29" s="29"/>
      <c r="CFT29" s="28"/>
      <c r="CFU29" s="29"/>
      <c r="CFV29" s="28"/>
      <c r="CFW29" s="28"/>
      <c r="CFX29" s="28"/>
      <c r="CFY29" s="29"/>
      <c r="CFZ29" s="385"/>
      <c r="CGA29" s="29"/>
      <c r="CGB29" s="385"/>
      <c r="CGC29" s="29"/>
      <c r="CGD29" s="385"/>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30"/>
      <c r="CHK29" s="28"/>
      <c r="CHL29" s="29"/>
      <c r="CHM29" s="29"/>
      <c r="CHN29" s="29"/>
      <c r="CHO29" s="29"/>
      <c r="CHP29" s="29"/>
      <c r="CHQ29" s="28"/>
      <c r="CHR29" s="29"/>
      <c r="CHS29" s="29"/>
      <c r="CHT29" s="28"/>
      <c r="CHU29" s="29"/>
      <c r="CHV29" s="30"/>
      <c r="CHW29" s="28"/>
      <c r="CHX29" s="29"/>
      <c r="CHY29" s="29"/>
      <c r="CHZ29" s="29"/>
      <c r="CIA29" s="28"/>
      <c r="CIB29" s="29"/>
      <c r="CIC29" s="29"/>
      <c r="CID29" s="28"/>
      <c r="CIE29" s="29"/>
      <c r="CIF29" s="30"/>
      <c r="CIG29" s="28"/>
      <c r="CIH29" s="29"/>
      <c r="CII29" s="29"/>
      <c r="CIJ29" s="29"/>
      <c r="CIK29" s="28"/>
      <c r="CIL29" s="29"/>
      <c r="CIM29" s="29"/>
      <c r="CIN29" s="28"/>
      <c r="CIO29" s="29"/>
      <c r="CIP29" s="30"/>
      <c r="CIQ29" s="28"/>
      <c r="CIR29" s="29"/>
      <c r="CIS29" s="29"/>
      <c r="CIT29" s="29"/>
      <c r="CIU29" s="28"/>
      <c r="CIV29" s="29"/>
      <c r="CIW29" s="29"/>
      <c r="CIX29" s="28"/>
      <c r="CIY29" s="29"/>
      <c r="CIZ29" s="30"/>
      <c r="CJA29" s="28"/>
      <c r="CJB29" s="30"/>
      <c r="CJC29" s="29"/>
      <c r="CJD29" s="28"/>
      <c r="CJE29" s="29"/>
      <c r="CJF29" s="28"/>
      <c r="CJG29" s="28"/>
      <c r="CJH29" s="28"/>
      <c r="CJI29" s="29"/>
      <c r="CJJ29" s="385"/>
      <c r="CJK29" s="29"/>
      <c r="CJL29" s="385"/>
      <c r="CJM29" s="29"/>
      <c r="CJN29" s="385"/>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30"/>
      <c r="CKU29" s="28"/>
      <c r="CKV29" s="29"/>
      <c r="CKW29" s="29"/>
      <c r="CKX29" s="29"/>
      <c r="CKY29" s="29"/>
      <c r="CKZ29" s="29"/>
      <c r="CLA29" s="28"/>
      <c r="CLB29" s="29"/>
      <c r="CLC29" s="29"/>
      <c r="CLD29" s="28"/>
      <c r="CLE29" s="29"/>
      <c r="CLF29" s="30"/>
      <c r="CLG29" s="28"/>
      <c r="CLH29" s="29"/>
      <c r="CLI29" s="29"/>
      <c r="CLJ29" s="29"/>
      <c r="CLK29" s="28"/>
      <c r="CLL29" s="29"/>
      <c r="CLM29" s="29"/>
      <c r="CLN29" s="28"/>
      <c r="CLO29" s="29"/>
      <c r="CLP29" s="30"/>
      <c r="CLQ29" s="28"/>
      <c r="CLR29" s="29"/>
      <c r="CLS29" s="29"/>
      <c r="CLT29" s="29"/>
      <c r="CLU29" s="28"/>
      <c r="CLV29" s="29"/>
      <c r="CLW29" s="29"/>
      <c r="CLX29" s="28"/>
      <c r="CLY29" s="29"/>
      <c r="CLZ29" s="30"/>
      <c r="CMA29" s="28"/>
      <c r="CMB29" s="29"/>
      <c r="CMC29" s="29"/>
      <c r="CMD29" s="29"/>
      <c r="CME29" s="28"/>
      <c r="CMF29" s="29"/>
      <c r="CMG29" s="29"/>
      <c r="CMH29" s="28"/>
      <c r="CMI29" s="29"/>
      <c r="CMJ29" s="30"/>
      <c r="CMK29" s="28"/>
      <c r="CML29" s="30"/>
      <c r="CMM29" s="29"/>
      <c r="CMN29" s="28"/>
      <c r="CMO29" s="29"/>
      <c r="CMP29" s="28"/>
      <c r="CMQ29" s="28"/>
      <c r="CMR29" s="28"/>
      <c r="CMS29" s="29"/>
      <c r="CMT29" s="385"/>
      <c r="CMU29" s="29"/>
      <c r="CMV29" s="385"/>
      <c r="CMW29" s="29"/>
      <c r="CMX29" s="385"/>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30"/>
      <c r="COE29" s="28"/>
      <c r="COF29" s="29"/>
      <c r="COG29" s="29"/>
      <c r="COH29" s="29"/>
      <c r="COI29" s="29"/>
      <c r="COJ29" s="29"/>
      <c r="COK29" s="28"/>
      <c r="COL29" s="29"/>
      <c r="COM29" s="29"/>
      <c r="CON29" s="28"/>
      <c r="COO29" s="29"/>
      <c r="COP29" s="30"/>
      <c r="COQ29" s="28"/>
      <c r="COR29" s="29"/>
      <c r="COS29" s="29"/>
      <c r="COT29" s="29"/>
      <c r="COU29" s="28"/>
      <c r="COV29" s="29"/>
      <c r="COW29" s="29"/>
      <c r="COX29" s="28"/>
      <c r="COY29" s="29"/>
      <c r="COZ29" s="30"/>
      <c r="CPA29" s="28"/>
      <c r="CPB29" s="29"/>
      <c r="CPC29" s="29"/>
      <c r="CPD29" s="29"/>
      <c r="CPE29" s="28"/>
      <c r="CPF29" s="29"/>
      <c r="CPG29" s="29"/>
      <c r="CPH29" s="28"/>
      <c r="CPI29" s="29"/>
      <c r="CPJ29" s="30"/>
      <c r="CPK29" s="28"/>
      <c r="CPL29" s="29"/>
      <c r="CPM29" s="29"/>
      <c r="CPN29" s="29"/>
      <c r="CPO29" s="28"/>
      <c r="CPP29" s="29"/>
      <c r="CPQ29" s="29"/>
      <c r="CPR29" s="28"/>
      <c r="CPS29" s="29"/>
      <c r="CPT29" s="30"/>
      <c r="CPU29" s="28"/>
      <c r="CPV29" s="30"/>
      <c r="CPW29" s="29"/>
      <c r="CPX29" s="28"/>
      <c r="CPY29" s="29"/>
      <c r="CPZ29" s="28"/>
      <c r="CQA29" s="28"/>
      <c r="CQB29" s="28"/>
      <c r="CQC29" s="29"/>
      <c r="CQD29" s="385"/>
      <c r="CQE29" s="29"/>
      <c r="CQF29" s="385"/>
      <c r="CQG29" s="29"/>
      <c r="CQH29" s="385"/>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30"/>
      <c r="CRO29" s="28"/>
      <c r="CRP29" s="29"/>
      <c r="CRQ29" s="29"/>
      <c r="CRR29" s="29"/>
      <c r="CRS29" s="29"/>
      <c r="CRT29" s="29"/>
      <c r="CRU29" s="28"/>
      <c r="CRV29" s="29"/>
      <c r="CRW29" s="29"/>
      <c r="CRX29" s="28"/>
      <c r="CRY29" s="29"/>
      <c r="CRZ29" s="30"/>
      <c r="CSA29" s="28"/>
      <c r="CSB29" s="29"/>
      <c r="CSC29" s="29"/>
      <c r="CSD29" s="29"/>
      <c r="CSE29" s="28"/>
      <c r="CSF29" s="29"/>
      <c r="CSG29" s="29"/>
      <c r="CSH29" s="28"/>
      <c r="CSI29" s="29"/>
      <c r="CSJ29" s="30"/>
      <c r="CSK29" s="28"/>
      <c r="CSL29" s="29"/>
      <c r="CSM29" s="29"/>
      <c r="CSN29" s="29"/>
      <c r="CSO29" s="28"/>
      <c r="CSP29" s="29"/>
      <c r="CSQ29" s="29"/>
      <c r="CSR29" s="28"/>
      <c r="CSS29" s="29"/>
      <c r="CST29" s="30"/>
      <c r="CSU29" s="28"/>
      <c r="CSV29" s="29"/>
      <c r="CSW29" s="29"/>
      <c r="CSX29" s="29"/>
      <c r="CSY29" s="28"/>
      <c r="CSZ29" s="29"/>
      <c r="CTA29" s="29"/>
      <c r="CTB29" s="28"/>
      <c r="CTC29" s="29"/>
      <c r="CTD29" s="30"/>
      <c r="CTE29" s="28"/>
      <c r="CTF29" s="30"/>
      <c r="CTG29" s="29"/>
      <c r="CTH29" s="28"/>
      <c r="CTI29" s="29"/>
      <c r="CTJ29" s="28"/>
      <c r="CTK29" s="28"/>
      <c r="CTL29" s="28"/>
      <c r="CTM29" s="29"/>
      <c r="CTN29" s="385"/>
      <c r="CTO29" s="29"/>
      <c r="CTP29" s="385"/>
      <c r="CTQ29" s="29"/>
      <c r="CTR29" s="385"/>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30"/>
      <c r="CUY29" s="28"/>
      <c r="CUZ29" s="29"/>
      <c r="CVA29" s="29"/>
      <c r="CVB29" s="29"/>
      <c r="CVC29" s="29"/>
      <c r="CVD29" s="29"/>
      <c r="CVE29" s="28"/>
      <c r="CVF29" s="29"/>
      <c r="CVG29" s="29"/>
      <c r="CVH29" s="28"/>
      <c r="CVI29" s="29"/>
      <c r="CVJ29" s="30"/>
      <c r="CVK29" s="28"/>
      <c r="CVL29" s="29"/>
      <c r="CVM29" s="29"/>
      <c r="CVN29" s="29"/>
      <c r="CVO29" s="28"/>
      <c r="CVP29" s="29"/>
      <c r="CVQ29" s="29"/>
      <c r="CVR29" s="28"/>
      <c r="CVS29" s="29"/>
      <c r="CVT29" s="30"/>
      <c r="CVU29" s="28"/>
      <c r="CVV29" s="29"/>
      <c r="CVW29" s="29"/>
      <c r="CVX29" s="29"/>
      <c r="CVY29" s="28"/>
      <c r="CVZ29" s="29"/>
      <c r="CWA29" s="29"/>
      <c r="CWB29" s="28"/>
      <c r="CWC29" s="29"/>
      <c r="CWD29" s="30"/>
      <c r="CWE29" s="28"/>
      <c r="CWF29" s="29"/>
      <c r="CWG29" s="29"/>
      <c r="CWH29" s="29"/>
      <c r="CWI29" s="28"/>
      <c r="CWJ29" s="29"/>
      <c r="CWK29" s="29"/>
      <c r="CWL29" s="28"/>
      <c r="CWM29" s="29"/>
      <c r="CWN29" s="30"/>
      <c r="CWO29" s="28"/>
      <c r="CWP29" s="30"/>
      <c r="CWQ29" s="29"/>
      <c r="CWR29" s="28"/>
      <c r="CWS29" s="29"/>
      <c r="CWT29" s="28"/>
      <c r="CWU29" s="28"/>
      <c r="CWV29" s="28"/>
      <c r="CWW29" s="29"/>
      <c r="CWX29" s="385"/>
      <c r="CWY29" s="29"/>
      <c r="CWZ29" s="385"/>
      <c r="CXA29" s="29"/>
      <c r="CXB29" s="385"/>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30"/>
      <c r="CYI29" s="28"/>
      <c r="CYJ29" s="29"/>
      <c r="CYK29" s="29"/>
      <c r="CYL29" s="29"/>
      <c r="CYM29" s="29"/>
      <c r="CYN29" s="29"/>
      <c r="CYO29" s="28"/>
      <c r="CYP29" s="29"/>
      <c r="CYQ29" s="29"/>
      <c r="CYR29" s="28"/>
      <c r="CYS29" s="29"/>
      <c r="CYT29" s="30"/>
      <c r="CYU29" s="28"/>
      <c r="CYV29" s="29"/>
      <c r="CYW29" s="29"/>
      <c r="CYX29" s="29"/>
      <c r="CYY29" s="28"/>
      <c r="CYZ29" s="29"/>
      <c r="CZA29" s="29"/>
      <c r="CZB29" s="28"/>
      <c r="CZC29" s="29"/>
      <c r="CZD29" s="30"/>
      <c r="CZE29" s="28"/>
      <c r="CZF29" s="29"/>
      <c r="CZG29" s="29"/>
      <c r="CZH29" s="29"/>
      <c r="CZI29" s="28"/>
      <c r="CZJ29" s="29"/>
      <c r="CZK29" s="29"/>
      <c r="CZL29" s="28"/>
      <c r="CZM29" s="29"/>
      <c r="CZN29" s="30"/>
      <c r="CZO29" s="28"/>
      <c r="CZP29" s="29"/>
      <c r="CZQ29" s="29"/>
      <c r="CZR29" s="29"/>
      <c r="CZS29" s="28"/>
      <c r="CZT29" s="29"/>
      <c r="CZU29" s="29"/>
      <c r="CZV29" s="28"/>
      <c r="CZW29" s="29"/>
      <c r="CZX29" s="30"/>
      <c r="CZY29" s="28"/>
      <c r="CZZ29" s="30"/>
      <c r="DAA29" s="29"/>
      <c r="DAB29" s="28"/>
      <c r="DAC29" s="29"/>
      <c r="DAD29" s="28"/>
      <c r="DAE29" s="28"/>
      <c r="DAF29" s="28"/>
      <c r="DAG29" s="29"/>
      <c r="DAH29" s="385"/>
      <c r="DAI29" s="29"/>
      <c r="DAJ29" s="385"/>
      <c r="DAK29" s="29"/>
      <c r="DAL29" s="385"/>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30"/>
      <c r="DBS29" s="28"/>
      <c r="DBT29" s="29"/>
      <c r="DBU29" s="29"/>
      <c r="DBV29" s="29"/>
      <c r="DBW29" s="29"/>
      <c r="DBX29" s="29"/>
      <c r="DBY29" s="28"/>
      <c r="DBZ29" s="29"/>
      <c r="DCA29" s="29"/>
      <c r="DCB29" s="28"/>
      <c r="DCC29" s="29"/>
      <c r="DCD29" s="30"/>
      <c r="DCE29" s="28"/>
      <c r="DCF29" s="29"/>
      <c r="DCG29" s="29"/>
      <c r="DCH29" s="29"/>
      <c r="DCI29" s="28"/>
      <c r="DCJ29" s="29"/>
      <c r="DCK29" s="29"/>
      <c r="DCL29" s="28"/>
      <c r="DCM29" s="29"/>
      <c r="DCN29" s="30"/>
      <c r="DCO29" s="28"/>
      <c r="DCP29" s="29"/>
      <c r="DCQ29" s="29"/>
      <c r="DCR29" s="29"/>
      <c r="DCS29" s="28"/>
      <c r="DCT29" s="29"/>
      <c r="DCU29" s="29"/>
      <c r="DCV29" s="28"/>
      <c r="DCW29" s="29"/>
      <c r="DCX29" s="30"/>
      <c r="DCY29" s="28"/>
      <c r="DCZ29" s="29"/>
      <c r="DDA29" s="29"/>
      <c r="DDB29" s="29"/>
      <c r="DDC29" s="28"/>
      <c r="DDD29" s="29"/>
      <c r="DDE29" s="29"/>
      <c r="DDF29" s="28"/>
      <c r="DDG29" s="29"/>
      <c r="DDH29" s="30"/>
      <c r="DDI29" s="28"/>
      <c r="DDJ29" s="30"/>
      <c r="DDK29" s="29"/>
      <c r="DDL29" s="28"/>
      <c r="DDM29" s="29"/>
      <c r="DDN29" s="28"/>
      <c r="DDO29" s="28"/>
      <c r="DDP29" s="28"/>
      <c r="DDQ29" s="29"/>
      <c r="DDR29" s="385"/>
      <c r="DDS29" s="29"/>
      <c r="DDT29" s="385"/>
      <c r="DDU29" s="29"/>
      <c r="DDV29" s="385"/>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30"/>
      <c r="DFC29" s="28"/>
      <c r="DFD29" s="29"/>
      <c r="DFE29" s="29"/>
      <c r="DFF29" s="29"/>
      <c r="DFG29" s="29"/>
      <c r="DFH29" s="29"/>
      <c r="DFI29" s="28"/>
      <c r="DFJ29" s="29"/>
      <c r="DFK29" s="29"/>
      <c r="DFL29" s="28"/>
      <c r="DFM29" s="29"/>
      <c r="DFN29" s="30"/>
      <c r="DFO29" s="28"/>
      <c r="DFP29" s="29"/>
      <c r="DFQ29" s="29"/>
      <c r="DFR29" s="29"/>
      <c r="DFS29" s="28"/>
      <c r="DFT29" s="29"/>
      <c r="DFU29" s="29"/>
      <c r="DFV29" s="28"/>
      <c r="DFW29" s="29"/>
      <c r="DFX29" s="30"/>
      <c r="DFY29" s="28"/>
      <c r="DFZ29" s="29"/>
      <c r="DGA29" s="29"/>
      <c r="DGB29" s="29"/>
      <c r="DGC29" s="28"/>
      <c r="DGD29" s="29"/>
      <c r="DGE29" s="29"/>
      <c r="DGF29" s="28"/>
      <c r="DGG29" s="29"/>
      <c r="DGH29" s="30"/>
      <c r="DGI29" s="28"/>
      <c r="DGJ29" s="29"/>
      <c r="DGK29" s="29"/>
      <c r="DGL29" s="29"/>
      <c r="DGM29" s="28"/>
      <c r="DGN29" s="29"/>
      <c r="DGO29" s="29"/>
      <c r="DGP29" s="28"/>
      <c r="DGQ29" s="29"/>
      <c r="DGR29" s="30"/>
      <c r="DGS29" s="28"/>
      <c r="DGT29" s="30"/>
      <c r="DGU29" s="29"/>
      <c r="DGV29" s="28"/>
      <c r="DGW29" s="29"/>
      <c r="DGX29" s="28"/>
      <c r="DGY29" s="28"/>
      <c r="DGZ29" s="28"/>
      <c r="DHA29" s="29"/>
      <c r="DHB29" s="385"/>
      <c r="DHC29" s="29"/>
      <c r="DHD29" s="385"/>
      <c r="DHE29" s="29"/>
      <c r="DHF29" s="385"/>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30"/>
      <c r="DIM29" s="28"/>
      <c r="DIN29" s="29"/>
      <c r="DIO29" s="29"/>
      <c r="DIP29" s="29"/>
      <c r="DIQ29" s="29"/>
      <c r="DIR29" s="29"/>
      <c r="DIS29" s="28"/>
      <c r="DIT29" s="29"/>
      <c r="DIU29" s="29"/>
      <c r="DIV29" s="28"/>
      <c r="DIW29" s="29"/>
      <c r="DIX29" s="30"/>
      <c r="DIY29" s="28"/>
      <c r="DIZ29" s="29"/>
      <c r="DJA29" s="29"/>
      <c r="DJB29" s="29"/>
      <c r="DJC29" s="28"/>
      <c r="DJD29" s="29"/>
      <c r="DJE29" s="29"/>
      <c r="DJF29" s="28"/>
      <c r="DJG29" s="29"/>
      <c r="DJH29" s="30"/>
      <c r="DJI29" s="28"/>
      <c r="DJJ29" s="29"/>
      <c r="DJK29" s="29"/>
      <c r="DJL29" s="29"/>
      <c r="DJM29" s="28"/>
      <c r="DJN29" s="29"/>
      <c r="DJO29" s="29"/>
      <c r="DJP29" s="28"/>
      <c r="DJQ29" s="29"/>
      <c r="DJR29" s="30"/>
      <c r="DJS29" s="28"/>
      <c r="DJT29" s="29"/>
      <c r="DJU29" s="29"/>
      <c r="DJV29" s="29"/>
      <c r="DJW29" s="28"/>
      <c r="DJX29" s="29"/>
      <c r="DJY29" s="29"/>
      <c r="DJZ29" s="28"/>
      <c r="DKA29" s="29"/>
      <c r="DKB29" s="30"/>
      <c r="DKC29" s="28"/>
      <c r="DKD29" s="30"/>
      <c r="DKE29" s="29"/>
      <c r="DKF29" s="28"/>
      <c r="DKG29" s="29"/>
      <c r="DKH29" s="28"/>
      <c r="DKI29" s="28"/>
      <c r="DKJ29" s="28"/>
      <c r="DKK29" s="29"/>
      <c r="DKL29" s="385"/>
      <c r="DKM29" s="29"/>
      <c r="DKN29" s="385"/>
      <c r="DKO29" s="29"/>
      <c r="DKP29" s="385"/>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30"/>
      <c r="DLW29" s="28"/>
      <c r="DLX29" s="29"/>
      <c r="DLY29" s="29"/>
      <c r="DLZ29" s="29"/>
      <c r="DMA29" s="29"/>
      <c r="DMB29" s="29"/>
      <c r="DMC29" s="28"/>
      <c r="DMD29" s="29"/>
      <c r="DME29" s="29"/>
      <c r="DMF29" s="28"/>
      <c r="DMG29" s="29"/>
      <c r="DMH29" s="30"/>
      <c r="DMI29" s="28"/>
      <c r="DMJ29" s="29"/>
      <c r="DMK29" s="29"/>
      <c r="DML29" s="29"/>
      <c r="DMM29" s="28"/>
      <c r="DMN29" s="29"/>
      <c r="DMO29" s="29"/>
      <c r="DMP29" s="28"/>
      <c r="DMQ29" s="29"/>
      <c r="DMR29" s="30"/>
      <c r="DMS29" s="28"/>
      <c r="DMT29" s="29"/>
      <c r="DMU29" s="29"/>
      <c r="DMV29" s="29"/>
      <c r="DMW29" s="28"/>
      <c r="DMX29" s="29"/>
      <c r="DMY29" s="29"/>
      <c r="DMZ29" s="28"/>
      <c r="DNA29" s="29"/>
      <c r="DNB29" s="30"/>
      <c r="DNC29" s="28"/>
      <c r="DND29" s="29"/>
      <c r="DNE29" s="29"/>
      <c r="DNF29" s="29"/>
      <c r="DNG29" s="28"/>
      <c r="DNH29" s="29"/>
      <c r="DNI29" s="29"/>
      <c r="DNJ29" s="28"/>
      <c r="DNK29" s="29"/>
      <c r="DNL29" s="30"/>
      <c r="DNM29" s="28"/>
      <c r="DNN29" s="30"/>
      <c r="DNO29" s="29"/>
      <c r="DNP29" s="28"/>
      <c r="DNQ29" s="29"/>
      <c r="DNR29" s="28"/>
      <c r="DNS29" s="28"/>
      <c r="DNT29" s="28"/>
      <c r="DNU29" s="29"/>
      <c r="DNV29" s="385"/>
      <c r="DNW29" s="29"/>
      <c r="DNX29" s="385"/>
      <c r="DNY29" s="29"/>
      <c r="DNZ29" s="385"/>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30"/>
      <c r="DPG29" s="28"/>
      <c r="DPH29" s="29"/>
      <c r="DPI29" s="29"/>
      <c r="DPJ29" s="29"/>
      <c r="DPK29" s="29"/>
      <c r="DPL29" s="29"/>
      <c r="DPM29" s="28"/>
      <c r="DPN29" s="29"/>
      <c r="DPO29" s="29"/>
      <c r="DPP29" s="28"/>
      <c r="DPQ29" s="29"/>
      <c r="DPR29" s="30"/>
      <c r="DPS29" s="28"/>
      <c r="DPT29" s="29"/>
      <c r="DPU29" s="29"/>
      <c r="DPV29" s="29"/>
      <c r="DPW29" s="28"/>
      <c r="DPX29" s="29"/>
      <c r="DPY29" s="29"/>
      <c r="DPZ29" s="28"/>
      <c r="DQA29" s="29"/>
      <c r="DQB29" s="30"/>
      <c r="DQC29" s="28"/>
      <c r="DQD29" s="29"/>
      <c r="DQE29" s="29"/>
      <c r="DQF29" s="29"/>
      <c r="DQG29" s="28"/>
      <c r="DQH29" s="29"/>
      <c r="DQI29" s="29"/>
      <c r="DQJ29" s="28"/>
      <c r="DQK29" s="29"/>
      <c r="DQL29" s="30"/>
      <c r="DQM29" s="28"/>
      <c r="DQN29" s="29"/>
      <c r="DQO29" s="29"/>
      <c r="DQP29" s="29"/>
      <c r="DQQ29" s="28"/>
      <c r="DQR29" s="29"/>
      <c r="DQS29" s="29"/>
      <c r="DQT29" s="28"/>
      <c r="DQU29" s="29"/>
      <c r="DQV29" s="30"/>
      <c r="DQW29" s="28"/>
      <c r="DQX29" s="30"/>
      <c r="DQY29" s="29"/>
      <c r="DQZ29" s="28"/>
      <c r="DRA29" s="29"/>
      <c r="DRB29" s="28"/>
      <c r="DRC29" s="28"/>
      <c r="DRD29" s="28"/>
      <c r="DRE29" s="29"/>
      <c r="DRF29" s="385"/>
      <c r="DRG29" s="29"/>
      <c r="DRH29" s="385"/>
      <c r="DRI29" s="29"/>
      <c r="DRJ29" s="385"/>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30"/>
      <c r="DSQ29" s="28"/>
      <c r="DSR29" s="29"/>
      <c r="DSS29" s="29"/>
      <c r="DST29" s="29"/>
      <c r="DSU29" s="29"/>
      <c r="DSV29" s="29"/>
      <c r="DSW29" s="28"/>
      <c r="DSX29" s="29"/>
      <c r="DSY29" s="29"/>
      <c r="DSZ29" s="28"/>
      <c r="DTA29" s="29"/>
      <c r="DTB29" s="30"/>
      <c r="DTC29" s="28"/>
      <c r="DTD29" s="29"/>
      <c r="DTE29" s="29"/>
      <c r="DTF29" s="29"/>
      <c r="DTG29" s="28"/>
      <c r="DTH29" s="29"/>
      <c r="DTI29" s="29"/>
      <c r="DTJ29" s="28"/>
      <c r="DTK29" s="29"/>
      <c r="DTL29" s="30"/>
      <c r="DTM29" s="28"/>
      <c r="DTN29" s="29"/>
      <c r="DTO29" s="29"/>
      <c r="DTP29" s="29"/>
      <c r="DTQ29" s="28"/>
      <c r="DTR29" s="29"/>
      <c r="DTS29" s="29"/>
      <c r="DTT29" s="28"/>
      <c r="DTU29" s="29"/>
      <c r="DTV29" s="30"/>
      <c r="DTW29" s="28"/>
      <c r="DTX29" s="29"/>
      <c r="DTY29" s="29"/>
      <c r="DTZ29" s="29"/>
      <c r="DUA29" s="28"/>
      <c r="DUB29" s="29"/>
      <c r="DUC29" s="29"/>
      <c r="DUD29" s="28"/>
      <c r="DUE29" s="29"/>
      <c r="DUF29" s="30"/>
      <c r="DUG29" s="28"/>
      <c r="DUH29" s="30"/>
      <c r="DUI29" s="29"/>
      <c r="DUJ29" s="28"/>
      <c r="DUK29" s="29"/>
      <c r="DUL29" s="28"/>
      <c r="DUM29" s="28"/>
      <c r="DUN29" s="28"/>
      <c r="DUO29" s="29"/>
      <c r="DUP29" s="385"/>
      <c r="DUQ29" s="29"/>
      <c r="DUR29" s="385"/>
      <c r="DUS29" s="29"/>
      <c r="DUT29" s="385"/>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30"/>
      <c r="DWA29" s="28"/>
      <c r="DWB29" s="29"/>
      <c r="DWC29" s="29"/>
      <c r="DWD29" s="29"/>
      <c r="DWE29" s="29"/>
      <c r="DWF29" s="29"/>
      <c r="DWG29" s="28"/>
      <c r="DWH29" s="29"/>
      <c r="DWI29" s="29"/>
      <c r="DWJ29" s="28"/>
      <c r="DWK29" s="29"/>
      <c r="DWL29" s="30"/>
      <c r="DWM29" s="28"/>
      <c r="DWN29" s="29"/>
      <c r="DWO29" s="29"/>
      <c r="DWP29" s="29"/>
      <c r="DWQ29" s="28"/>
      <c r="DWR29" s="29"/>
      <c r="DWS29" s="29"/>
      <c r="DWT29" s="28"/>
      <c r="DWU29" s="29"/>
      <c r="DWV29" s="30"/>
      <c r="DWW29" s="28"/>
      <c r="DWX29" s="29"/>
      <c r="DWY29" s="29"/>
      <c r="DWZ29" s="29"/>
      <c r="DXA29" s="28"/>
      <c r="DXB29" s="29"/>
      <c r="DXC29" s="29"/>
      <c r="DXD29" s="28"/>
      <c r="DXE29" s="29"/>
      <c r="DXF29" s="30"/>
      <c r="DXG29" s="28"/>
      <c r="DXH29" s="29"/>
      <c r="DXI29" s="29"/>
      <c r="DXJ29" s="29"/>
      <c r="DXK29" s="28"/>
      <c r="DXL29" s="29"/>
      <c r="DXM29" s="29"/>
      <c r="DXN29" s="28"/>
      <c r="DXO29" s="29"/>
      <c r="DXP29" s="30"/>
      <c r="DXQ29" s="28"/>
      <c r="DXR29" s="30"/>
      <c r="DXS29" s="29"/>
      <c r="DXT29" s="28"/>
      <c r="DXU29" s="29"/>
      <c r="DXV29" s="28"/>
      <c r="DXW29" s="28"/>
      <c r="DXX29" s="28"/>
      <c r="DXY29" s="29"/>
      <c r="DXZ29" s="385"/>
      <c r="DYA29" s="29"/>
      <c r="DYB29" s="385"/>
      <c r="DYC29" s="29"/>
      <c r="DYD29" s="385"/>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30"/>
      <c r="DZK29" s="28"/>
      <c r="DZL29" s="29"/>
      <c r="DZM29" s="29"/>
      <c r="DZN29" s="29"/>
      <c r="DZO29" s="29"/>
      <c r="DZP29" s="29"/>
      <c r="DZQ29" s="28"/>
      <c r="DZR29" s="29"/>
      <c r="DZS29" s="29"/>
      <c r="DZT29" s="28"/>
      <c r="DZU29" s="29"/>
      <c r="DZV29" s="30"/>
      <c r="DZW29" s="28"/>
      <c r="DZX29" s="29"/>
      <c r="DZY29" s="29"/>
      <c r="DZZ29" s="29"/>
      <c r="EAA29" s="28"/>
      <c r="EAB29" s="29"/>
      <c r="EAC29" s="29"/>
      <c r="EAD29" s="28"/>
      <c r="EAE29" s="29"/>
      <c r="EAF29" s="30"/>
      <c r="EAG29" s="28"/>
      <c r="EAH29" s="29"/>
      <c r="EAI29" s="29"/>
      <c r="EAJ29" s="29"/>
      <c r="EAK29" s="28"/>
      <c r="EAL29" s="29"/>
      <c r="EAM29" s="29"/>
      <c r="EAN29" s="28"/>
      <c r="EAO29" s="29"/>
      <c r="EAP29" s="30"/>
      <c r="EAQ29" s="28"/>
      <c r="EAR29" s="29"/>
      <c r="EAS29" s="29"/>
      <c r="EAT29" s="29"/>
      <c r="EAU29" s="28"/>
      <c r="EAV29" s="29"/>
      <c r="EAW29" s="29"/>
      <c r="EAX29" s="28"/>
      <c r="EAY29" s="29"/>
      <c r="EAZ29" s="30"/>
      <c r="EBA29" s="28"/>
      <c r="EBB29" s="30"/>
      <c r="EBC29" s="29"/>
      <c r="EBD29" s="28"/>
      <c r="EBE29" s="29"/>
      <c r="EBF29" s="28"/>
      <c r="EBG29" s="28"/>
      <c r="EBH29" s="28"/>
      <c r="EBI29" s="29"/>
      <c r="EBJ29" s="385"/>
      <c r="EBK29" s="29"/>
      <c r="EBL29" s="385"/>
      <c r="EBM29" s="29"/>
      <c r="EBN29" s="385"/>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30"/>
      <c r="ECU29" s="28"/>
      <c r="ECV29" s="29"/>
      <c r="ECW29" s="29"/>
      <c r="ECX29" s="29"/>
      <c r="ECY29" s="29"/>
      <c r="ECZ29" s="29"/>
      <c r="EDA29" s="28"/>
      <c r="EDB29" s="29"/>
      <c r="EDC29" s="29"/>
      <c r="EDD29" s="28"/>
      <c r="EDE29" s="29"/>
      <c r="EDF29" s="30"/>
      <c r="EDG29" s="28"/>
      <c r="EDH29" s="29"/>
      <c r="EDI29" s="29"/>
      <c r="EDJ29" s="29"/>
      <c r="EDK29" s="28"/>
      <c r="EDL29" s="29"/>
      <c r="EDM29" s="29"/>
      <c r="EDN29" s="28"/>
      <c r="EDO29" s="29"/>
      <c r="EDP29" s="30"/>
      <c r="EDQ29" s="28"/>
      <c r="EDR29" s="29"/>
      <c r="EDS29" s="29"/>
      <c r="EDT29" s="29"/>
      <c r="EDU29" s="28"/>
      <c r="EDV29" s="29"/>
      <c r="EDW29" s="29"/>
      <c r="EDX29" s="28"/>
      <c r="EDY29" s="29"/>
      <c r="EDZ29" s="30"/>
      <c r="EEA29" s="28"/>
      <c r="EEB29" s="29"/>
      <c r="EEC29" s="29"/>
      <c r="EED29" s="29"/>
      <c r="EEE29" s="28"/>
      <c r="EEF29" s="29"/>
      <c r="EEG29" s="29"/>
      <c r="EEH29" s="28"/>
      <c r="EEI29" s="29"/>
      <c r="EEJ29" s="30"/>
      <c r="EEK29" s="28"/>
      <c r="EEL29" s="30"/>
      <c r="EEM29" s="29"/>
      <c r="EEN29" s="28"/>
      <c r="EEO29" s="29"/>
      <c r="EEP29" s="28"/>
      <c r="EEQ29" s="28"/>
      <c r="EER29" s="28"/>
      <c r="EES29" s="29"/>
      <c r="EET29" s="385"/>
      <c r="EEU29" s="29"/>
      <c r="EEV29" s="385"/>
      <c r="EEW29" s="29"/>
      <c r="EEX29" s="385"/>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30"/>
      <c r="EGE29" s="28"/>
      <c r="EGF29" s="29"/>
      <c r="EGG29" s="29"/>
      <c r="EGH29" s="29"/>
      <c r="EGI29" s="29"/>
      <c r="EGJ29" s="29"/>
      <c r="EGK29" s="28"/>
      <c r="EGL29" s="29"/>
      <c r="EGM29" s="29"/>
      <c r="EGN29" s="28"/>
      <c r="EGO29" s="29"/>
      <c r="EGP29" s="30"/>
      <c r="EGQ29" s="28"/>
      <c r="EGR29" s="29"/>
      <c r="EGS29" s="29"/>
      <c r="EGT29" s="29"/>
      <c r="EGU29" s="28"/>
      <c r="EGV29" s="29"/>
      <c r="EGW29" s="29"/>
      <c r="EGX29" s="28"/>
      <c r="EGY29" s="29"/>
      <c r="EGZ29" s="30"/>
      <c r="EHA29" s="28"/>
      <c r="EHB29" s="29"/>
      <c r="EHC29" s="29"/>
      <c r="EHD29" s="29"/>
      <c r="EHE29" s="28"/>
      <c r="EHF29" s="29"/>
      <c r="EHG29" s="29"/>
      <c r="EHH29" s="28"/>
      <c r="EHI29" s="29"/>
      <c r="EHJ29" s="30"/>
      <c r="EHK29" s="28"/>
      <c r="EHL29" s="29"/>
      <c r="EHM29" s="29"/>
      <c r="EHN29" s="29"/>
      <c r="EHO29" s="28"/>
      <c r="EHP29" s="29"/>
      <c r="EHQ29" s="29"/>
      <c r="EHR29" s="28"/>
      <c r="EHS29" s="29"/>
      <c r="EHT29" s="30"/>
      <c r="EHU29" s="28"/>
      <c r="EHV29" s="30"/>
      <c r="EHW29" s="29"/>
      <c r="EHX29" s="28"/>
      <c r="EHY29" s="29"/>
      <c r="EHZ29" s="28"/>
      <c r="EIA29" s="28"/>
      <c r="EIB29" s="28"/>
      <c r="EIC29" s="29"/>
      <c r="EID29" s="385"/>
      <c r="EIE29" s="29"/>
      <c r="EIF29" s="385"/>
      <c r="EIG29" s="29"/>
      <c r="EIH29" s="385"/>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30"/>
      <c r="EJO29" s="28"/>
      <c r="EJP29" s="29"/>
      <c r="EJQ29" s="29"/>
      <c r="EJR29" s="29"/>
      <c r="EJS29" s="29"/>
      <c r="EJT29" s="29"/>
      <c r="EJU29" s="28"/>
      <c r="EJV29" s="29"/>
      <c r="EJW29" s="29"/>
      <c r="EJX29" s="28"/>
      <c r="EJY29" s="29"/>
      <c r="EJZ29" s="30"/>
      <c r="EKA29" s="28"/>
      <c r="EKB29" s="29"/>
      <c r="EKC29" s="29"/>
      <c r="EKD29" s="29"/>
      <c r="EKE29" s="28"/>
      <c r="EKF29" s="29"/>
      <c r="EKG29" s="29"/>
      <c r="EKH29" s="28"/>
      <c r="EKI29" s="29"/>
      <c r="EKJ29" s="30"/>
      <c r="EKK29" s="28"/>
      <c r="EKL29" s="29"/>
      <c r="EKM29" s="29"/>
      <c r="EKN29" s="29"/>
      <c r="EKO29" s="28"/>
      <c r="EKP29" s="29"/>
      <c r="EKQ29" s="29"/>
      <c r="EKR29" s="28"/>
      <c r="EKS29" s="29"/>
      <c r="EKT29" s="30"/>
      <c r="EKU29" s="28"/>
      <c r="EKV29" s="29"/>
      <c r="EKW29" s="29"/>
      <c r="EKX29" s="29"/>
      <c r="EKY29" s="28"/>
      <c r="EKZ29" s="29"/>
      <c r="ELA29" s="29"/>
      <c r="ELB29" s="28"/>
      <c r="ELC29" s="29"/>
      <c r="ELD29" s="30"/>
      <c r="ELE29" s="28"/>
      <c r="ELF29" s="30"/>
      <c r="ELG29" s="29"/>
      <c r="ELH29" s="28"/>
      <c r="ELI29" s="29"/>
      <c r="ELJ29" s="28"/>
      <c r="ELK29" s="28"/>
      <c r="ELL29" s="28"/>
      <c r="ELM29" s="29"/>
      <c r="ELN29" s="385"/>
      <c r="ELO29" s="29"/>
      <c r="ELP29" s="385"/>
      <c r="ELQ29" s="29"/>
      <c r="ELR29" s="385"/>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30"/>
      <c r="EMY29" s="28"/>
      <c r="EMZ29" s="29"/>
      <c r="ENA29" s="29"/>
      <c r="ENB29" s="29"/>
      <c r="ENC29" s="29"/>
      <c r="END29" s="29"/>
      <c r="ENE29" s="28"/>
      <c r="ENF29" s="29"/>
      <c r="ENG29" s="29"/>
      <c r="ENH29" s="28"/>
      <c r="ENI29" s="29"/>
      <c r="ENJ29" s="30"/>
      <c r="ENK29" s="28"/>
      <c r="ENL29" s="29"/>
      <c r="ENM29" s="29"/>
      <c r="ENN29" s="29"/>
      <c r="ENO29" s="28"/>
      <c r="ENP29" s="29"/>
      <c r="ENQ29" s="29"/>
      <c r="ENR29" s="28"/>
      <c r="ENS29" s="29"/>
      <c r="ENT29" s="30"/>
      <c r="ENU29" s="28"/>
      <c r="ENV29" s="29"/>
      <c r="ENW29" s="29"/>
      <c r="ENX29" s="29"/>
      <c r="ENY29" s="28"/>
      <c r="ENZ29" s="29"/>
      <c r="EOA29" s="29"/>
      <c r="EOB29" s="28"/>
      <c r="EOC29" s="29"/>
      <c r="EOD29" s="30"/>
      <c r="EOE29" s="28"/>
      <c r="EOF29" s="29"/>
      <c r="EOG29" s="29"/>
      <c r="EOH29" s="29"/>
      <c r="EOI29" s="28"/>
      <c r="EOJ29" s="29"/>
      <c r="EOK29" s="29"/>
      <c r="EOL29" s="28"/>
      <c r="EOM29" s="29"/>
      <c r="EON29" s="30"/>
      <c r="EOO29" s="28" t="str">
        <f t="shared" si="149"/>
        <v xml:space="preserve"> </v>
      </c>
      <c r="EOP29" s="30"/>
      <c r="EOQ29" s="29"/>
      <c r="EOR29" s="28"/>
      <c r="EOS29" s="29"/>
      <c r="EOT29" s="28"/>
      <c r="EOU29" s="28"/>
      <c r="EOV29" s="28"/>
      <c r="EOW29" s="29"/>
      <c r="EOX29" s="385"/>
      <c r="EOY29" s="29"/>
      <c r="EOZ29" s="385"/>
      <c r="EPA29" s="29"/>
      <c r="EPB29" s="385"/>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30"/>
      <c r="EQI29" s="28"/>
      <c r="EQJ29" s="29"/>
      <c r="EQK29" s="29"/>
      <c r="EQL29" s="29"/>
      <c r="EQM29" s="29"/>
      <c r="EQN29" s="29"/>
      <c r="EQO29" s="28"/>
      <c r="EQP29" s="29"/>
      <c r="EQQ29" s="29"/>
      <c r="EQR29" s="28"/>
      <c r="EQS29" s="29"/>
      <c r="EQT29" s="30"/>
      <c r="EQU29" s="28"/>
      <c r="EQV29" s="29"/>
      <c r="EQW29" s="29"/>
      <c r="EQX29" s="29"/>
      <c r="EQY29" s="28"/>
      <c r="EQZ29" s="29"/>
      <c r="ERA29" s="29"/>
      <c r="ERB29" s="28"/>
      <c r="ERC29" s="29"/>
      <c r="ERD29" s="30"/>
      <c r="ERE29" s="28"/>
      <c r="ERF29" s="29"/>
      <c r="ERG29" s="29"/>
      <c r="ERH29" s="29"/>
      <c r="ERI29" s="28"/>
      <c r="ERJ29" s="29"/>
      <c r="ERK29" s="29"/>
      <c r="ERL29" s="28"/>
      <c r="ERM29" s="29"/>
      <c r="ERN29" s="30"/>
      <c r="ERO29" s="28"/>
      <c r="ERP29" s="29"/>
      <c r="ERQ29" s="29"/>
      <c r="ERR29" s="29"/>
      <c r="ERS29" s="28"/>
      <c r="ERT29" s="29"/>
      <c r="ERU29" s="29"/>
      <c r="ERV29" s="28"/>
      <c r="ERW29" s="29"/>
      <c r="ERX29" s="30"/>
      <c r="ERY29" s="28" t="str">
        <f t="shared" si="152"/>
        <v xml:space="preserve"> </v>
      </c>
      <c r="ERZ29" s="30"/>
      <c r="ESA29" s="29"/>
      <c r="ESB29" s="28"/>
      <c r="ESC29" s="29"/>
      <c r="ESD29" s="28"/>
      <c r="ESE29" s="28"/>
      <c r="ESF29" s="28"/>
      <c r="ESG29" s="29"/>
      <c r="ESH29" s="385"/>
      <c r="ESI29" s="29"/>
      <c r="ESJ29" s="385"/>
      <c r="ESK29" s="29"/>
      <c r="ESL29" s="385"/>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30"/>
      <c r="ETS29" s="28"/>
      <c r="ETT29" s="29"/>
      <c r="ETU29" s="29"/>
      <c r="ETV29" s="29"/>
      <c r="ETW29" s="29"/>
      <c r="ETX29" s="29"/>
      <c r="ETY29" s="28"/>
      <c r="ETZ29" s="29"/>
      <c r="EUA29" s="29"/>
      <c r="EUB29" s="28"/>
      <c r="EUC29" s="29"/>
      <c r="EUD29" s="30"/>
      <c r="EUE29" s="28"/>
      <c r="EUF29" s="29"/>
      <c r="EUG29" s="29"/>
      <c r="EUH29" s="29"/>
      <c r="EUI29" s="28"/>
      <c r="EUJ29" s="29"/>
      <c r="EUK29" s="29"/>
      <c r="EUL29" s="28"/>
      <c r="EUM29" s="29"/>
      <c r="EUN29" s="30"/>
      <c r="EUO29" s="28"/>
      <c r="EUP29" s="29"/>
      <c r="EUQ29" s="29"/>
      <c r="EUR29" s="29"/>
      <c r="EUS29" s="28"/>
      <c r="EUT29" s="29"/>
      <c r="EUU29" s="29"/>
      <c r="EUV29" s="28"/>
      <c r="EUW29" s="29"/>
      <c r="EUX29" s="30"/>
      <c r="EUY29" s="28"/>
      <c r="EUZ29" s="29"/>
      <c r="EVA29" s="29"/>
      <c r="EVB29" s="29"/>
      <c r="EVC29" s="28"/>
      <c r="EVD29" s="29"/>
      <c r="EVE29" s="29"/>
      <c r="EVF29" s="28"/>
      <c r="EVG29" s="29"/>
      <c r="EVH29" s="30"/>
      <c r="EVI29" s="28" t="str">
        <f t="shared" si="153"/>
        <v xml:space="preserve"> </v>
      </c>
    </row>
    <row r="30" spans="1:3961" x14ac:dyDescent="0.3">
      <c r="A30" s="424" t="s">
        <v>208</v>
      </c>
      <c r="B30" s="58" t="str">
        <f>'REG y VAL POE - AESR - ESR'!B2442</f>
        <v>Aguilar Maza Jose Antonio</v>
      </c>
      <c r="C30" s="57">
        <f>'REG y VAL POE - AESR - ESR'!C2442</f>
        <v>0</v>
      </c>
      <c r="D30" s="56">
        <f>'REG y VAL POE - AESR - ESR'!D2442</f>
        <v>23163641</v>
      </c>
      <c r="E30" s="57">
        <f>'REG y VAL POE - AESR - ESR'!E2442</f>
        <v>0</v>
      </c>
      <c r="F30" s="56">
        <f>'REG y VAL POE - AESR - ESR'!F2442</f>
        <v>0</v>
      </c>
      <c r="G30" s="59">
        <f>'REG y VAL POE - AESR - ESR'!G2442</f>
        <v>45360</v>
      </c>
      <c r="H30" s="59">
        <f>'REG y VAL POE - AESR - ESR'!H2442</f>
        <v>45725</v>
      </c>
      <c r="I30" s="57" t="str">
        <f>'REG y VAL POE - AESR - ESR'!I2442</f>
        <v>SI</v>
      </c>
      <c r="J30" s="57" t="str">
        <f>'REG y VAL POE - AESR - ESR'!J2442</f>
        <v>Vigente</v>
      </c>
      <c r="K30" s="57" t="str">
        <f>'REG y VAL POE - AESR - ESR'!K2442</f>
        <v>NO TRAE EL TITULO DEL ESTUDIO</v>
      </c>
      <c r="L30" s="57" t="str">
        <f>'REG y VAL POE - AESR - ESR'!L2442</f>
        <v>Vigente</v>
      </c>
      <c r="M30" s="57" t="str">
        <f>'REG y VAL POE - AESR - ESR'!M2442</f>
        <v>Apendice B no llenos-falta firma RL-la firma el ESR CORREGIR</v>
      </c>
      <c r="N30" s="57">
        <f>'REG y VAL POE - AESR - ESR'!N2442</f>
        <v>0</v>
      </c>
      <c r="O30" s="57" t="str">
        <f>'REG y VAL POE - AESR - ESR'!O2442</f>
        <v>SI</v>
      </c>
      <c r="P30" s="57">
        <f>'REG y VAL POE - AESR - ESR'!P2442</f>
        <v>0</v>
      </c>
      <c r="Q30" s="57" t="str">
        <f>'REG y VAL POE - AESR - ESR'!Q2442</f>
        <v>SI</v>
      </c>
      <c r="R30" s="57" t="str">
        <f>'REG y VAL POE - AESR - ESR'!R2442</f>
        <v>SI</v>
      </c>
      <c r="S30" s="57" t="str">
        <f>'REG y VAL POE - AESR - ESR'!S2442</f>
        <v>SI</v>
      </c>
      <c r="T30" s="57" t="str">
        <f>'REG y VAL POE - AESR - ESR'!T2442</f>
        <v>SI</v>
      </c>
      <c r="U30" s="57" t="str">
        <f>'REG y VAL POE - AESR - ESR'!U2442</f>
        <v>SI</v>
      </c>
      <c r="V30" s="57" t="str">
        <f>'REG y VAL POE - AESR - ESR'!V2442</f>
        <v>SI</v>
      </c>
      <c r="W30" s="57">
        <f>'REG y VAL POE - AESR - ESR'!W2442</f>
        <v>0</v>
      </c>
      <c r="X30" s="57">
        <f>'REG y VAL POE - AESR - ESR'!X2442</f>
        <v>0</v>
      </c>
      <c r="Y30" s="57">
        <f>'REG y VAL POE - AESR - ESR'!Y2442</f>
        <v>0</v>
      </c>
      <c r="Z30" s="57" t="str">
        <f>'REG y VAL POE - AESR - ESR'!Z2442</f>
        <v>SI</v>
      </c>
      <c r="AA30" s="57">
        <f>'REG y VAL POE - AESR - ESR'!AA2442</f>
        <v>0</v>
      </c>
      <c r="AB30" s="57">
        <f>'REG y VAL POE - AESR - ESR'!AB2442</f>
        <v>0</v>
      </c>
      <c r="AC30" s="57">
        <f>'REG y VAL POE - AESR - ESR'!AC2442</f>
        <v>0</v>
      </c>
      <c r="AD30" s="57">
        <f>'REG y VAL POE - AESR - ESR'!AD2442</f>
        <v>0</v>
      </c>
      <c r="AE30" s="57">
        <f>'REG y VAL POE - AESR - ESR'!AE2442</f>
        <v>0</v>
      </c>
      <c r="AF30" s="57" t="str">
        <f>'REG y VAL POE - AESR - ESR'!AF2442</f>
        <v>SI</v>
      </c>
      <c r="AG30" s="57">
        <f>'REG y VAL POE - AESR - ESR'!AG2442</f>
        <v>0</v>
      </c>
      <c r="AH30" s="57">
        <f>'REG y VAL POE - AESR - ESR'!AH2442</f>
        <v>0</v>
      </c>
      <c r="AI30" s="57">
        <f>'REG y VAL POE - AESR - ESR'!AI2442</f>
        <v>0</v>
      </c>
      <c r="AJ30" s="57">
        <f>'REG y VAL POE - AESR - ESR'!AJ2442</f>
        <v>0</v>
      </c>
      <c r="AK30" s="57">
        <f>'REG y VAL POE - AESR - ESR'!AK2442</f>
        <v>0</v>
      </c>
      <c r="AL30" s="57">
        <f>'REG y VAL POE - AESR - ESR'!AL2442</f>
        <v>0</v>
      </c>
      <c r="AM30" s="57">
        <f>'REG y VAL POE - AESR - ESR'!AM2442</f>
        <v>0</v>
      </c>
      <c r="AN30" s="57">
        <f>'REG y VAL POE - AESR - ESR'!AN2442</f>
        <v>0</v>
      </c>
      <c r="AO30" s="57">
        <f>'REG y VAL POE - AESR - ESR'!AO2442</f>
        <v>0</v>
      </c>
      <c r="AP30" s="57" t="str">
        <f>'REG y VAL POE - AESR - ESR'!AP2442</f>
        <v>SI</v>
      </c>
      <c r="AQ30" s="57">
        <f>'REG y VAL POE - AESR - ESR'!AQ2442</f>
        <v>0</v>
      </c>
      <c r="AR30" s="57" t="str">
        <f>'REG y VAL POE - AESR - ESR'!AR2442</f>
        <v>VACIS PORTAL</v>
      </c>
      <c r="AS30" s="57">
        <f>'REG y VAL POE - AESR - ESR'!AS2442</f>
        <v>0</v>
      </c>
      <c r="AT30" s="58" t="str">
        <f>'REG y VAL POE - AESR - ESR'!B2443</f>
        <v>Aguilar Tomas Gustavo</v>
      </c>
      <c r="AU30" s="57">
        <f>'REG y VAL POE - AESR - ESR'!C2443</f>
        <v>0</v>
      </c>
      <c r="AV30" s="56">
        <f>'REG y VAL POE - AESR - ESR'!D2443</f>
        <v>23157954</v>
      </c>
      <c r="AW30" s="57">
        <f>'REG y VAL POE - AESR - ESR'!E2443</f>
        <v>0</v>
      </c>
      <c r="AX30" s="56">
        <f>'REG y VAL POE - AESR - ESR'!F2443</f>
        <v>0</v>
      </c>
      <c r="AY30" s="59">
        <f>'REG y VAL POE - AESR - ESR'!G2443</f>
        <v>45362</v>
      </c>
      <c r="AZ30" s="59">
        <f>'REG y VAL POE - AESR - ESR'!H2443</f>
        <v>45727</v>
      </c>
      <c r="BA30" s="57" t="str">
        <f>'REG y VAL POE - AESR - ESR'!I2443</f>
        <v>SI</v>
      </c>
      <c r="BB30" s="57" t="str">
        <f>'REG y VAL POE - AESR - ESR'!J2443</f>
        <v>Vigente</v>
      </c>
      <c r="BC30" s="57" t="str">
        <f>'REG y VAL POE - AESR - ESR'!K2443</f>
        <v>SI</v>
      </c>
      <c r="BD30" s="57" t="str">
        <f>'REG y VAL POE - AESR - ESR'!L2443</f>
        <v>Vigente</v>
      </c>
      <c r="BE30" s="57" t="str">
        <f>'REG y VAL POE - AESR - ESR'!M2443</f>
        <v>NO</v>
      </c>
      <c r="BF30" s="57" t="str">
        <f>'REG y VAL POE - AESR - ESR'!N2443</f>
        <v>Apendice B no llenos-falta firma RL-la firma el ESR CORREGIR</v>
      </c>
      <c r="BG30" s="57" t="str">
        <f>'REG y VAL POE - AESR - ESR'!O2443</f>
        <v>SI</v>
      </c>
      <c r="BH30" s="57">
        <f>'REG y VAL POE - AESR - ESR'!P2443</f>
        <v>0</v>
      </c>
      <c r="BI30" s="57" t="str">
        <f>'REG y VAL POE - AESR - ESR'!Q2443</f>
        <v>SI</v>
      </c>
      <c r="BJ30" s="57" t="str">
        <f>'REG y VAL POE - AESR - ESR'!R2443</f>
        <v>SI</v>
      </c>
      <c r="BK30" s="57" t="str">
        <f>'REG y VAL POE - AESR - ESR'!S2443</f>
        <v>SI</v>
      </c>
      <c r="BL30" s="57" t="str">
        <f>'REG y VAL POE - AESR - ESR'!T2443</f>
        <v>SI</v>
      </c>
      <c r="BM30" s="57">
        <f>'REG y VAL POE - AESR - ESR'!U2443</f>
        <v>0</v>
      </c>
      <c r="BN30" s="57" t="str">
        <f>'REG y VAL POE - AESR - ESR'!V2443</f>
        <v>SI</v>
      </c>
      <c r="BO30" s="57">
        <f>'REG y VAL POE - AESR - ESR'!W2443</f>
        <v>0</v>
      </c>
      <c r="BP30" s="57">
        <f>'REG y VAL POE - AESR - ESR'!X2443</f>
        <v>0</v>
      </c>
      <c r="BQ30" s="57">
        <f>'REG y VAL POE - AESR - ESR'!Y2443</f>
        <v>0</v>
      </c>
      <c r="BR30" s="57" t="str">
        <f>'REG y VAL POE - AESR - ESR'!Z2443</f>
        <v>SI</v>
      </c>
      <c r="BS30" s="57">
        <f>'REG y VAL POE - AESR - ESR'!AA2443</f>
        <v>0</v>
      </c>
      <c r="BT30" s="57">
        <f>'REG y VAL POE - AESR - ESR'!AB2443</f>
        <v>0</v>
      </c>
      <c r="BU30" s="57">
        <f>'REG y VAL POE - AESR - ESR'!AC2443</f>
        <v>0</v>
      </c>
      <c r="BV30" s="57">
        <f>'REG y VAL POE - AESR - ESR'!AD2443</f>
        <v>0</v>
      </c>
      <c r="BW30" s="57">
        <f>'REG y VAL POE - AESR - ESR'!AE2443</f>
        <v>0</v>
      </c>
      <c r="BX30" s="57" t="str">
        <f>'REG y VAL POE - AESR - ESR'!AF2443</f>
        <v>SI</v>
      </c>
      <c r="BY30" s="57">
        <f>'REG y VAL POE - AESR - ESR'!AG2443</f>
        <v>0</v>
      </c>
      <c r="BZ30" s="57">
        <f>'REG y VAL POE - AESR - ESR'!AH2443</f>
        <v>0</v>
      </c>
      <c r="CA30" s="57">
        <f>'REG y VAL POE - AESR - ESR'!AI2443</f>
        <v>0</v>
      </c>
      <c r="CB30" s="57">
        <f>'REG y VAL POE - AESR - ESR'!AJ2443</f>
        <v>0</v>
      </c>
      <c r="CC30" s="57">
        <f>'REG y VAL POE - AESR - ESR'!AK2443</f>
        <v>0</v>
      </c>
      <c r="CD30" s="57">
        <f>'REG y VAL POE - AESR - ESR'!AL2443</f>
        <v>0</v>
      </c>
      <c r="CE30" s="57" t="str">
        <f>'REG y VAL POE - AESR - ESR'!AM2443</f>
        <v>SI</v>
      </c>
      <c r="CF30" s="57">
        <f>'REG y VAL POE - AESR - ESR'!AN2443</f>
        <v>0</v>
      </c>
      <c r="CG30" s="57">
        <f>'REG y VAL POE - AESR - ESR'!AO2443</f>
        <v>0</v>
      </c>
      <c r="CH30" s="57" t="str">
        <f>'REG y VAL POE - AESR - ESR'!AP2443</f>
        <v>SI</v>
      </c>
      <c r="CI30" s="57">
        <f>'REG y VAL POE - AESR - ESR'!AQ2443</f>
        <v>0</v>
      </c>
      <c r="CJ30" s="57" t="str">
        <f>'REG y VAL POE - AESR - ESR'!AR2443</f>
        <v>THSCAN</v>
      </c>
      <c r="CK30" s="57">
        <f>'REG y VAL POE - AESR - ESR'!AS2443</f>
        <v>0</v>
      </c>
      <c r="CL30" s="58" t="str">
        <f>'REG y VAL POE - AESR - ESR'!B2444</f>
        <v>Gonzalez Lopez Jose Ivan</v>
      </c>
      <c r="CM30" s="57">
        <f>'REG y VAL POE - AESR - ESR'!C2444</f>
        <v>0</v>
      </c>
      <c r="CN30" s="56">
        <f>'REG y VAL POE - AESR - ESR'!D2444</f>
        <v>23212166</v>
      </c>
      <c r="CO30" s="57">
        <f>'REG y VAL POE - AESR - ESR'!E2444</f>
        <v>0</v>
      </c>
      <c r="CP30" s="56">
        <f>'REG y VAL POE - AESR - ESR'!F2444</f>
        <v>0</v>
      </c>
      <c r="CQ30" s="59">
        <f>'REG y VAL POE - AESR - ESR'!G2444</f>
        <v>45360</v>
      </c>
      <c r="CR30" s="59">
        <f>'REG y VAL POE - AESR - ESR'!H2444</f>
        <v>45725</v>
      </c>
      <c r="CS30" s="57" t="str">
        <f>'REG y VAL POE - AESR - ESR'!I2444</f>
        <v>SI</v>
      </c>
      <c r="CT30" s="57" t="str">
        <f>'REG y VAL POE - AESR - ESR'!J2444</f>
        <v>Vigente</v>
      </c>
      <c r="CU30" s="57" t="str">
        <f>'REG y VAL POE - AESR - ESR'!K2444</f>
        <v>SI</v>
      </c>
      <c r="CV30" s="57" t="str">
        <f>'REG y VAL POE - AESR - ESR'!L2444</f>
        <v>Vigente</v>
      </c>
      <c r="CW30" s="57" t="str">
        <f>'REG y VAL POE - AESR - ESR'!M2444</f>
        <v>NO</v>
      </c>
      <c r="CX30" s="57" t="str">
        <f>'REG y VAL POE - AESR - ESR'!N2444</f>
        <v>Apendice B no llenos-falta firma RL-la firma el ESR CORREGIR</v>
      </c>
      <c r="CY30" s="57" t="str">
        <f>'REG y VAL POE - AESR - ESR'!O2444</f>
        <v>SI</v>
      </c>
      <c r="CZ30" s="57">
        <f>'REG y VAL POE - AESR - ESR'!P2444</f>
        <v>0</v>
      </c>
      <c r="DA30" s="57" t="str">
        <f>'REG y VAL POE - AESR - ESR'!Q2444</f>
        <v>SI</v>
      </c>
      <c r="DB30" s="57" t="str">
        <f>'REG y VAL POE - AESR - ESR'!R2444</f>
        <v>SI</v>
      </c>
      <c r="DC30" s="57" t="str">
        <f>'REG y VAL POE - AESR - ESR'!S2444</f>
        <v>SI</v>
      </c>
      <c r="DD30" s="57" t="str">
        <f>'REG y VAL POE - AESR - ESR'!T2444</f>
        <v>SI</v>
      </c>
      <c r="DE30" s="57" t="str">
        <f>'REG y VAL POE - AESR - ESR'!U2444</f>
        <v>SI</v>
      </c>
      <c r="DF30" s="57" t="str">
        <f>'REG y VAL POE - AESR - ESR'!V2444</f>
        <v>SI</v>
      </c>
      <c r="DG30" s="57">
        <f>'REG y VAL POE - AESR - ESR'!W2444</f>
        <v>0</v>
      </c>
      <c r="DH30" s="57">
        <f>'REG y VAL POE - AESR - ESR'!X2444</f>
        <v>0</v>
      </c>
      <c r="DI30" s="57">
        <f>'REG y VAL POE - AESR - ESR'!Y2444</f>
        <v>0</v>
      </c>
      <c r="DJ30" s="57" t="str">
        <f>'REG y VAL POE - AESR - ESR'!Z2444</f>
        <v>SI</v>
      </c>
      <c r="DK30" s="57">
        <f>'REG y VAL POE - AESR - ESR'!AA2444</f>
        <v>0</v>
      </c>
      <c r="DL30" s="57">
        <f>'REG y VAL POE - AESR - ESR'!AB2444</f>
        <v>0</v>
      </c>
      <c r="DM30" s="57">
        <f>'REG y VAL POE - AESR - ESR'!AC2444</f>
        <v>0</v>
      </c>
      <c r="DN30" s="57">
        <f>'REG y VAL POE - AESR - ESR'!AD2444</f>
        <v>0</v>
      </c>
      <c r="DO30" s="57">
        <f>'REG y VAL POE - AESR - ESR'!AE2444</f>
        <v>0</v>
      </c>
      <c r="DP30" s="57" t="str">
        <f>'REG y VAL POE - AESR - ESR'!AF2444</f>
        <v>SI</v>
      </c>
      <c r="DQ30" s="57">
        <f>'REG y VAL POE - AESR - ESR'!AG2444</f>
        <v>0</v>
      </c>
      <c r="DR30" s="57">
        <f>'REG y VAL POE - AESR - ESR'!AH2444</f>
        <v>0</v>
      </c>
      <c r="DS30" s="57">
        <f>'REG y VAL POE - AESR - ESR'!AI2444</f>
        <v>0</v>
      </c>
      <c r="DT30" s="57">
        <f>'REG y VAL POE - AESR - ESR'!AJ2444</f>
        <v>0</v>
      </c>
      <c r="DU30" s="57">
        <f>'REG y VAL POE - AESR - ESR'!AK2444</f>
        <v>0</v>
      </c>
      <c r="DV30" s="57">
        <f>'REG y VAL POE - AESR - ESR'!AL2444</f>
        <v>0</v>
      </c>
      <c r="DW30" s="57" t="str">
        <f>'REG y VAL POE - AESR - ESR'!AM2444</f>
        <v>SI</v>
      </c>
      <c r="DX30" s="57">
        <f>'REG y VAL POE - AESR - ESR'!AN2444</f>
        <v>0</v>
      </c>
      <c r="DY30" s="57">
        <f>'REG y VAL POE - AESR - ESR'!AO2444</f>
        <v>0</v>
      </c>
      <c r="DZ30" s="57" t="str">
        <f>'REG y VAL POE - AESR - ESR'!AP2444</f>
        <v>SI</v>
      </c>
      <c r="EA30" s="57">
        <f>'REG y VAL POE - AESR - ESR'!AQ2444</f>
        <v>0</v>
      </c>
      <c r="EB30" s="57" t="str">
        <f>'REG y VAL POE - AESR - ESR'!AR2444</f>
        <v>SI</v>
      </c>
      <c r="EC30" s="57" t="str">
        <f>'REG y VAL POE - AESR - ESR'!AS2444</f>
        <v>THSCAN</v>
      </c>
      <c r="ED30" s="58" t="str">
        <f>'REG y VAL POE - AESR - ESR'!B2445</f>
        <v>Mota Hernandez Christian Eduardo</v>
      </c>
      <c r="EE30" s="57" t="str">
        <f>'REG y VAL POE - AESR - ESR'!C2445</f>
        <v>AESR</v>
      </c>
      <c r="EF30" s="56">
        <f>'REG y VAL POE - AESR - ESR'!D2445</f>
        <v>23163809</v>
      </c>
      <c r="EG30" s="57">
        <f>'REG y VAL POE - AESR - ESR'!E2445</f>
        <v>0</v>
      </c>
      <c r="EH30" s="56">
        <f>'REG y VAL POE - AESR - ESR'!F2445</f>
        <v>0</v>
      </c>
      <c r="EI30" s="59">
        <f>'REG y VAL POE - AESR - ESR'!G2445</f>
        <v>45361</v>
      </c>
      <c r="EJ30" s="59">
        <f>'REG y VAL POE - AESR - ESR'!H2445</f>
        <v>45726</v>
      </c>
      <c r="EK30" s="57" t="str">
        <f>'REG y VAL POE - AESR - ESR'!I2445</f>
        <v>SI</v>
      </c>
      <c r="EL30" s="57" t="str">
        <f>'REG y VAL POE - AESR - ESR'!J2445</f>
        <v>Vigente</v>
      </c>
      <c r="EM30" s="57" t="str">
        <f>'REG y VAL POE - AESR - ESR'!K2445</f>
        <v>SI</v>
      </c>
      <c r="EN30" s="57" t="str">
        <f>'REG y VAL POE - AESR - ESR'!L2445</f>
        <v>Vigente</v>
      </c>
      <c r="EO30" s="57">
        <f>'REG y VAL POE - AESR - ESR'!M2445</f>
        <v>0</v>
      </c>
      <c r="EP30" s="57">
        <f>'REG y VAL POE - AESR - ESR'!N2445</f>
        <v>0</v>
      </c>
      <c r="EQ30" s="57" t="str">
        <f>'REG y VAL POE - AESR - ESR'!O2445</f>
        <v>SI</v>
      </c>
      <c r="ER30" s="57">
        <f>'REG y VAL POE - AESR - ESR'!P2445</f>
        <v>0</v>
      </c>
      <c r="ES30" s="57" t="str">
        <f>'REG y VAL POE - AESR - ESR'!Q2445</f>
        <v>SI</v>
      </c>
      <c r="ET30" s="57" t="str">
        <f>'REG y VAL POE - AESR - ESR'!R2445</f>
        <v>SI</v>
      </c>
      <c r="EU30" s="57" t="str">
        <f>'REG y VAL POE - AESR - ESR'!S2445</f>
        <v>SI</v>
      </c>
      <c r="EV30" s="57" t="str">
        <f>'REG y VAL POE - AESR - ESR'!T2445</f>
        <v>SI</v>
      </c>
      <c r="EW30" s="57" t="str">
        <f>'REG y VAL POE - AESR - ESR'!U2445</f>
        <v>SI</v>
      </c>
      <c r="EX30" s="57" t="str">
        <f>'REG y VAL POE - AESR - ESR'!V2445</f>
        <v>SI</v>
      </c>
      <c r="EY30" s="57">
        <f>'REG y VAL POE - AESR - ESR'!W2445</f>
        <v>0</v>
      </c>
      <c r="EZ30" s="57">
        <f>'REG y VAL POE - AESR - ESR'!X2445</f>
        <v>0</v>
      </c>
      <c r="FA30" s="57">
        <f>'REG y VAL POE - AESR - ESR'!Y2445</f>
        <v>0</v>
      </c>
      <c r="FB30" s="57">
        <f>'REG y VAL POE - AESR - ESR'!Z2445</f>
        <v>0</v>
      </c>
      <c r="FC30" s="57">
        <f>'REG y VAL POE - AESR - ESR'!AA2445</f>
        <v>0</v>
      </c>
      <c r="FD30" s="57">
        <f>'REG y VAL POE - AESR - ESR'!AB2445</f>
        <v>0</v>
      </c>
      <c r="FE30" s="57">
        <f>'REG y VAL POE - AESR - ESR'!AC2445</f>
        <v>0</v>
      </c>
      <c r="FF30" s="57">
        <f>'REG y VAL POE - AESR - ESR'!AD2445</f>
        <v>0</v>
      </c>
      <c r="FG30" s="57">
        <f>'REG y VAL POE - AESR - ESR'!AE2445</f>
        <v>0</v>
      </c>
      <c r="FH30" s="57">
        <f>'REG y VAL POE - AESR - ESR'!AF2445</f>
        <v>0</v>
      </c>
      <c r="FI30" s="57">
        <f>'REG y VAL POE - AESR - ESR'!AG2445</f>
        <v>0</v>
      </c>
      <c r="FJ30" s="57">
        <f>'REG y VAL POE - AESR - ESR'!AH2445</f>
        <v>0</v>
      </c>
      <c r="FK30" s="57">
        <f>'REG y VAL POE - AESR - ESR'!AI2445</f>
        <v>0</v>
      </c>
      <c r="FL30" s="57">
        <f>'REG y VAL POE - AESR - ESR'!AJ2445</f>
        <v>0</v>
      </c>
      <c r="FM30" s="57">
        <f>'REG y VAL POE - AESR - ESR'!AK2445</f>
        <v>0</v>
      </c>
      <c r="FN30" s="57">
        <f>'REG y VAL POE - AESR - ESR'!AL2445</f>
        <v>0</v>
      </c>
      <c r="FO30" s="57">
        <f>'REG y VAL POE - AESR - ESR'!AM2445</f>
        <v>0</v>
      </c>
      <c r="FP30" s="57">
        <f>'REG y VAL POE - AESR - ESR'!AN2445</f>
        <v>0</v>
      </c>
      <c r="FQ30" s="57">
        <f>'REG y VAL POE - AESR - ESR'!AO2445</f>
        <v>0</v>
      </c>
      <c r="FR30" s="57">
        <f>'REG y VAL POE - AESR - ESR'!AP2445</f>
        <v>0</v>
      </c>
      <c r="FS30" s="57">
        <f>'REG y VAL POE - AESR - ESR'!AQ2445</f>
        <v>0</v>
      </c>
      <c r="FT30" s="57" t="str">
        <f>'REG y VAL POE - AESR - ESR'!AR2445</f>
        <v>THSCAN</v>
      </c>
      <c r="FU30" s="57">
        <f>'REG y VAL POE - AESR - ESR'!AS2445</f>
        <v>0</v>
      </c>
      <c r="FV30" s="58">
        <f>'REG y VAL POE - AESR - ESR'!B2446</f>
        <v>0</v>
      </c>
      <c r="FW30" s="57">
        <f>'REG y VAL POE - AESR - ESR'!C2446</f>
        <v>0</v>
      </c>
      <c r="FX30" s="56">
        <f>'REG y VAL POE - AESR - ESR'!D2446</f>
        <v>0</v>
      </c>
      <c r="FY30" s="57">
        <f>'REG y VAL POE - AESR - ESR'!E2446</f>
        <v>0</v>
      </c>
      <c r="FZ30" s="56">
        <f>'REG y VAL POE - AESR - ESR'!F2446</f>
        <v>0</v>
      </c>
      <c r="GA30" s="59">
        <f>'REG y VAL POE - AESR - ESR'!G2446</f>
        <v>0</v>
      </c>
      <c r="GB30" s="59">
        <f>'REG y VAL POE - AESR - ESR'!H2446</f>
        <v>0</v>
      </c>
      <c r="GC30" s="57">
        <f>'REG y VAL POE - AESR - ESR'!I2446</f>
        <v>0</v>
      </c>
      <c r="GD30" s="57">
        <f>'REG y VAL POE - AESR - ESR'!J2446</f>
        <v>0</v>
      </c>
      <c r="GE30" s="57">
        <f>'REG y VAL POE - AESR - ESR'!K2446</f>
        <v>0</v>
      </c>
      <c r="GF30" s="57">
        <f>'REG y VAL POE - AESR - ESR'!L2446</f>
        <v>0</v>
      </c>
      <c r="GG30" s="57">
        <f>'REG y VAL POE - AESR - ESR'!M2446</f>
        <v>0</v>
      </c>
      <c r="GH30" s="57">
        <f>'REG y VAL POE - AESR - ESR'!N2446</f>
        <v>0</v>
      </c>
      <c r="GI30" s="57">
        <f>'REG y VAL POE - AESR - ESR'!O2446</f>
        <v>0</v>
      </c>
      <c r="GJ30" s="57">
        <f>'REG y VAL POE - AESR - ESR'!P2446</f>
        <v>0</v>
      </c>
      <c r="GK30" s="57">
        <f>'REG y VAL POE - AESR - ESR'!Q2446</f>
        <v>0</v>
      </c>
      <c r="GL30" s="57">
        <f>'REG y VAL POE - AESR - ESR'!R2446</f>
        <v>0</v>
      </c>
      <c r="GM30" s="57">
        <f>'REG y VAL POE - AESR - ESR'!S2446</f>
        <v>0</v>
      </c>
      <c r="GN30" s="57">
        <f>'REG y VAL POE - AESR - ESR'!T2446</f>
        <v>0</v>
      </c>
      <c r="GO30" s="57">
        <f>'REG y VAL POE - AESR - ESR'!U2446</f>
        <v>0</v>
      </c>
      <c r="GP30" s="57">
        <f>'REG y VAL POE - AESR - ESR'!V2446</f>
        <v>0</v>
      </c>
      <c r="GQ30" s="57">
        <f>'REG y VAL POE - AESR - ESR'!W2446</f>
        <v>0</v>
      </c>
      <c r="GR30" s="57">
        <f>'REG y VAL POE - AESR - ESR'!X2446</f>
        <v>0</v>
      </c>
      <c r="GS30" s="57">
        <f>'REG y VAL POE - AESR - ESR'!Y2446</f>
        <v>0</v>
      </c>
      <c r="GT30" s="57">
        <f>'REG y VAL POE - AESR - ESR'!Z2446</f>
        <v>0</v>
      </c>
      <c r="GU30" s="57">
        <f>'REG y VAL POE - AESR - ESR'!AA2446</f>
        <v>0</v>
      </c>
      <c r="GV30" s="57">
        <f>'REG y VAL POE - AESR - ESR'!AB2446</f>
        <v>0</v>
      </c>
      <c r="GW30" s="57">
        <f>'REG y VAL POE - AESR - ESR'!AC2446</f>
        <v>0</v>
      </c>
      <c r="GX30" s="57">
        <f>'REG y VAL POE - AESR - ESR'!AD2446</f>
        <v>0</v>
      </c>
      <c r="GY30" s="57">
        <f>'REG y VAL POE - AESR - ESR'!AE2446</f>
        <v>0</v>
      </c>
      <c r="GZ30" s="57">
        <f>'REG y VAL POE - AESR - ESR'!AF2446</f>
        <v>0</v>
      </c>
      <c r="HA30" s="57">
        <f>'REG y VAL POE - AESR - ESR'!AG2446</f>
        <v>0</v>
      </c>
      <c r="HB30" s="57">
        <f>'REG y VAL POE - AESR - ESR'!AH2446</f>
        <v>0</v>
      </c>
      <c r="HC30" s="57">
        <f>'REG y VAL POE - AESR - ESR'!AI2446</f>
        <v>0</v>
      </c>
      <c r="HD30" s="57">
        <f>'REG y VAL POE - AESR - ESR'!AJ2446</f>
        <v>0</v>
      </c>
      <c r="HE30" s="57">
        <f>'REG y VAL POE - AESR - ESR'!AK2446</f>
        <v>0</v>
      </c>
      <c r="HF30" s="57">
        <f>'REG y VAL POE - AESR - ESR'!AL2446</f>
        <v>0</v>
      </c>
      <c r="HG30" s="57">
        <f>'REG y VAL POE - AESR - ESR'!AM2446</f>
        <v>0</v>
      </c>
      <c r="HH30" s="57">
        <f>'REG y VAL POE - AESR - ESR'!AN2446</f>
        <v>0</v>
      </c>
      <c r="HI30" s="57">
        <f>'REG y VAL POE - AESR - ESR'!AO2446</f>
        <v>0</v>
      </c>
      <c r="HJ30" s="57">
        <f>'REG y VAL POE - AESR - ESR'!AP2446</f>
        <v>0</v>
      </c>
      <c r="HK30" s="57">
        <f>'REG y VAL POE - AESR - ESR'!AQ2446</f>
        <v>0</v>
      </c>
      <c r="HL30" s="57">
        <f>'REG y VAL POE - AESR - ESR'!AR2446</f>
        <v>0</v>
      </c>
      <c r="HM30" s="57">
        <f>'REG y VAL POE - AESR - ESR'!AS2446</f>
        <v>0</v>
      </c>
      <c r="HN30" s="58">
        <f>'REG y VAL POE - AESR - ESR'!B2447</f>
        <v>0</v>
      </c>
      <c r="HO30" s="57">
        <f>'REG y VAL POE - AESR - ESR'!C2447</f>
        <v>0</v>
      </c>
      <c r="HP30" s="56">
        <f>'REG y VAL POE - AESR - ESR'!D2447</f>
        <v>0</v>
      </c>
      <c r="HQ30" s="57">
        <f>'REG y VAL POE - AESR - ESR'!E2447</f>
        <v>0</v>
      </c>
      <c r="HR30" s="56">
        <f>'REG y VAL POE - AESR - ESR'!F2447</f>
        <v>0</v>
      </c>
      <c r="HS30" s="59">
        <f>'REG y VAL POE - AESR - ESR'!G2447</f>
        <v>0</v>
      </c>
      <c r="HT30" s="59">
        <f>'REG y VAL POE - AESR - ESR'!H2447</f>
        <v>0</v>
      </c>
      <c r="HU30" s="57">
        <f>'REG y VAL POE - AESR - ESR'!I2447</f>
        <v>0</v>
      </c>
      <c r="HV30" s="57">
        <f>'REG y VAL POE - AESR - ESR'!J2447</f>
        <v>0</v>
      </c>
      <c r="HW30" s="57">
        <f>'REG y VAL POE - AESR - ESR'!K2447</f>
        <v>0</v>
      </c>
      <c r="HX30" s="57">
        <f>'REG y VAL POE - AESR - ESR'!L2447</f>
        <v>0</v>
      </c>
      <c r="HY30" s="57">
        <f>'REG y VAL POE - AESR - ESR'!M2447</f>
        <v>0</v>
      </c>
      <c r="HZ30" s="57">
        <f>'REG y VAL POE - AESR - ESR'!N2447</f>
        <v>0</v>
      </c>
      <c r="IA30" s="57">
        <f>'REG y VAL POE - AESR - ESR'!O2447</f>
        <v>0</v>
      </c>
      <c r="IB30" s="57">
        <f>'REG y VAL POE - AESR - ESR'!P2447</f>
        <v>0</v>
      </c>
      <c r="IC30" s="57">
        <f>'REG y VAL POE - AESR - ESR'!Q2447</f>
        <v>0</v>
      </c>
      <c r="ID30" s="57">
        <f>'REG y VAL POE - AESR - ESR'!R2447</f>
        <v>0</v>
      </c>
      <c r="IE30" s="57">
        <f>'REG y VAL POE - AESR - ESR'!S2447</f>
        <v>0</v>
      </c>
      <c r="IF30" s="57">
        <f>'REG y VAL POE - AESR - ESR'!T2447</f>
        <v>0</v>
      </c>
      <c r="IG30" s="57">
        <f>'REG y VAL POE - AESR - ESR'!U2447</f>
        <v>0</v>
      </c>
      <c r="IH30" s="57">
        <f>'REG y VAL POE - AESR - ESR'!V2447</f>
        <v>0</v>
      </c>
      <c r="II30" s="57">
        <f>'REG y VAL POE - AESR - ESR'!W2447</f>
        <v>0</v>
      </c>
      <c r="IJ30" s="57">
        <f>'REG y VAL POE - AESR - ESR'!X2447</f>
        <v>0</v>
      </c>
      <c r="IK30" s="57">
        <f>'REG y VAL POE - AESR - ESR'!Y2447</f>
        <v>0</v>
      </c>
      <c r="IL30" s="57">
        <f>'REG y VAL POE - AESR - ESR'!Z2447</f>
        <v>0</v>
      </c>
      <c r="IM30" s="57">
        <f>'REG y VAL POE - AESR - ESR'!AA2447</f>
        <v>0</v>
      </c>
      <c r="IN30" s="57">
        <f>'REG y VAL POE - AESR - ESR'!AB2447</f>
        <v>0</v>
      </c>
      <c r="IO30" s="57">
        <f>'REG y VAL POE - AESR - ESR'!AC2447</f>
        <v>0</v>
      </c>
      <c r="IP30" s="57">
        <f>'REG y VAL POE - AESR - ESR'!AD2447</f>
        <v>0</v>
      </c>
      <c r="IQ30" s="57">
        <f>'REG y VAL POE - AESR - ESR'!AE2447</f>
        <v>0</v>
      </c>
      <c r="IR30" s="57">
        <f>'REG y VAL POE - AESR - ESR'!AF2447</f>
        <v>0</v>
      </c>
      <c r="IS30" s="57">
        <f>'REG y VAL POE - AESR - ESR'!AG2447</f>
        <v>0</v>
      </c>
      <c r="IT30" s="57">
        <f>'REG y VAL POE - AESR - ESR'!AH2447</f>
        <v>0</v>
      </c>
      <c r="IU30" s="57">
        <f>'REG y VAL POE - AESR - ESR'!AI2447</f>
        <v>0</v>
      </c>
      <c r="IV30" s="57">
        <f>'REG y VAL POE - AESR - ESR'!AJ2447</f>
        <v>0</v>
      </c>
      <c r="IW30" s="57">
        <f>'REG y VAL POE - AESR - ESR'!AK2447</f>
        <v>0</v>
      </c>
      <c r="IX30" s="57">
        <f>'REG y VAL POE - AESR - ESR'!AL2447</f>
        <v>0</v>
      </c>
      <c r="IY30" s="57">
        <f>'REG y VAL POE - AESR - ESR'!AM2447</f>
        <v>0</v>
      </c>
      <c r="IZ30" s="57">
        <f>'REG y VAL POE - AESR - ESR'!AN2447</f>
        <v>0</v>
      </c>
      <c r="JA30" s="57">
        <f>'REG y VAL POE - AESR - ESR'!AO2447</f>
        <v>0</v>
      </c>
      <c r="JB30" s="57">
        <f>'REG y VAL POE - AESR - ESR'!AP2447</f>
        <v>0</v>
      </c>
      <c r="JC30" s="57">
        <f>'REG y VAL POE - AESR - ESR'!AQ2447</f>
        <v>0</v>
      </c>
      <c r="JD30" s="57">
        <f>'REG y VAL POE - AESR - ESR'!AR2447</f>
        <v>0</v>
      </c>
      <c r="JE30" s="57">
        <f>'REG y VAL POE - AESR - ESR'!AS2447</f>
        <v>0</v>
      </c>
      <c r="JF30" s="58">
        <f>'REG y VAL POE - AESR - ESR'!B2448</f>
        <v>0</v>
      </c>
      <c r="JG30" s="57">
        <f>'REG y VAL POE - AESR - ESR'!C2448</f>
        <v>0</v>
      </c>
      <c r="JH30" s="56">
        <f>'REG y VAL POE - AESR - ESR'!D2448</f>
        <v>0</v>
      </c>
      <c r="JI30" s="57">
        <f>'REG y VAL POE - AESR - ESR'!E2448</f>
        <v>0</v>
      </c>
      <c r="JJ30" s="56">
        <f>'REG y VAL POE - AESR - ESR'!F2448</f>
        <v>0</v>
      </c>
      <c r="JK30" s="59">
        <f>'REG y VAL POE - AESR - ESR'!G2448</f>
        <v>0</v>
      </c>
      <c r="JL30" s="59">
        <f>'REG y VAL POE - AESR - ESR'!H2448</f>
        <v>0</v>
      </c>
      <c r="JM30" s="57">
        <f>'REG y VAL POE - AESR - ESR'!I2448</f>
        <v>0</v>
      </c>
      <c r="JN30" s="57">
        <f>'REG y VAL POE - AESR - ESR'!J2448</f>
        <v>0</v>
      </c>
      <c r="JO30" s="57">
        <f>'REG y VAL POE - AESR - ESR'!K2448</f>
        <v>0</v>
      </c>
      <c r="JP30" s="57">
        <f>'REG y VAL POE - AESR - ESR'!L2448</f>
        <v>0</v>
      </c>
      <c r="JQ30" s="57">
        <f>'REG y VAL POE - AESR - ESR'!M2448</f>
        <v>0</v>
      </c>
      <c r="JR30" s="57">
        <f>'REG y VAL POE - AESR - ESR'!N2448</f>
        <v>0</v>
      </c>
      <c r="JS30" s="57">
        <f>'REG y VAL POE - AESR - ESR'!O2448</f>
        <v>0</v>
      </c>
      <c r="JT30" s="57">
        <f>'REG y VAL POE - AESR - ESR'!P2448</f>
        <v>0</v>
      </c>
      <c r="JU30" s="57">
        <f>'REG y VAL POE - AESR - ESR'!Q2448</f>
        <v>0</v>
      </c>
      <c r="JV30" s="57">
        <f>'REG y VAL POE - AESR - ESR'!R2448</f>
        <v>0</v>
      </c>
      <c r="JW30" s="57">
        <f>'REG y VAL POE - AESR - ESR'!S2448</f>
        <v>0</v>
      </c>
      <c r="JX30" s="57">
        <f>'REG y VAL POE - AESR - ESR'!T2448</f>
        <v>0</v>
      </c>
      <c r="JY30" s="57">
        <f>'REG y VAL POE - AESR - ESR'!U2448</f>
        <v>0</v>
      </c>
      <c r="JZ30" s="57">
        <f>'REG y VAL POE - AESR - ESR'!V2448</f>
        <v>0</v>
      </c>
      <c r="KA30" s="57">
        <f>'REG y VAL POE - AESR - ESR'!W2448</f>
        <v>0</v>
      </c>
      <c r="KB30" s="57">
        <f>'REG y VAL POE - AESR - ESR'!X2448</f>
        <v>0</v>
      </c>
      <c r="KC30" s="57">
        <f>'REG y VAL POE - AESR - ESR'!Y2448</f>
        <v>0</v>
      </c>
      <c r="KD30" s="57">
        <f>'REG y VAL POE - AESR - ESR'!Z2448</f>
        <v>0</v>
      </c>
      <c r="KE30" s="57">
        <f>'REG y VAL POE - AESR - ESR'!AA2448</f>
        <v>0</v>
      </c>
      <c r="KF30" s="57">
        <f>'REG y VAL POE - AESR - ESR'!AB2448</f>
        <v>0</v>
      </c>
      <c r="KG30" s="57">
        <f>'REG y VAL POE - AESR - ESR'!AC2448</f>
        <v>0</v>
      </c>
      <c r="KH30" s="57">
        <f>'REG y VAL POE - AESR - ESR'!AD2448</f>
        <v>0</v>
      </c>
      <c r="KI30" s="57">
        <f>'REG y VAL POE - AESR - ESR'!AE2448</f>
        <v>0</v>
      </c>
      <c r="KJ30" s="57">
        <f>'REG y VAL POE - AESR - ESR'!AF2448</f>
        <v>0</v>
      </c>
      <c r="KK30" s="57">
        <f>'REG y VAL POE - AESR - ESR'!AG2448</f>
        <v>0</v>
      </c>
      <c r="KL30" s="57">
        <f>'REG y VAL POE - AESR - ESR'!AH2448</f>
        <v>0</v>
      </c>
      <c r="KM30" s="57">
        <f>'REG y VAL POE - AESR - ESR'!AI2448</f>
        <v>0</v>
      </c>
      <c r="KN30" s="57">
        <f>'REG y VAL POE - AESR - ESR'!AJ2448</f>
        <v>0</v>
      </c>
      <c r="KO30" s="57">
        <f>'REG y VAL POE - AESR - ESR'!AK2448</f>
        <v>0</v>
      </c>
      <c r="KP30" s="57">
        <f>'REG y VAL POE - AESR - ESR'!AL2448</f>
        <v>0</v>
      </c>
      <c r="KQ30" s="57">
        <f>'REG y VAL POE - AESR - ESR'!AM2448</f>
        <v>0</v>
      </c>
      <c r="KR30" s="57">
        <f>'REG y VAL POE - AESR - ESR'!AN2448</f>
        <v>0</v>
      </c>
      <c r="KS30" s="57">
        <f>'REG y VAL POE - AESR - ESR'!AO2448</f>
        <v>0</v>
      </c>
      <c r="KT30" s="57">
        <f>'REG y VAL POE - AESR - ESR'!AP2448</f>
        <v>0</v>
      </c>
      <c r="KU30" s="57">
        <f>'REG y VAL POE - AESR - ESR'!AQ2448</f>
        <v>0</v>
      </c>
      <c r="KV30" s="57">
        <f>'REG y VAL POE - AESR - ESR'!AR2448</f>
        <v>0</v>
      </c>
      <c r="KW30" s="57">
        <f>'REG y VAL POE - AESR - ESR'!AS2448</f>
        <v>0</v>
      </c>
      <c r="KX30" s="58">
        <f>'REG y VAL POE - AESR - ESR'!B2449</f>
        <v>0</v>
      </c>
      <c r="KY30" s="57">
        <f>'REG y VAL POE - AESR - ESR'!C2449</f>
        <v>0</v>
      </c>
      <c r="KZ30" s="56">
        <f>'REG y VAL POE - AESR - ESR'!D2449</f>
        <v>0</v>
      </c>
      <c r="LA30" s="57">
        <f>'REG y VAL POE - AESR - ESR'!E2449</f>
        <v>0</v>
      </c>
      <c r="LB30" s="56">
        <f>'REG y VAL POE - AESR - ESR'!F2449</f>
        <v>0</v>
      </c>
      <c r="LC30" s="59">
        <f>'REG y VAL POE - AESR - ESR'!G2449</f>
        <v>0</v>
      </c>
      <c r="LD30" s="59">
        <f>'REG y VAL POE - AESR - ESR'!H2449</f>
        <v>0</v>
      </c>
      <c r="LE30" s="57">
        <f>'REG y VAL POE - AESR - ESR'!I2449</f>
        <v>0</v>
      </c>
      <c r="LF30" s="57">
        <f>'REG y VAL POE - AESR - ESR'!J2449</f>
        <v>0</v>
      </c>
      <c r="LG30" s="57">
        <f>'REG y VAL POE - AESR - ESR'!K2449</f>
        <v>0</v>
      </c>
      <c r="LH30" s="57">
        <f>'REG y VAL POE - AESR - ESR'!L2449</f>
        <v>0</v>
      </c>
      <c r="LI30" s="57">
        <f>'REG y VAL POE - AESR - ESR'!M2449</f>
        <v>0</v>
      </c>
      <c r="LJ30" s="57">
        <f>'REG y VAL POE - AESR - ESR'!N2449</f>
        <v>0</v>
      </c>
      <c r="LK30" s="57">
        <f>'REG y VAL POE - AESR - ESR'!O2449</f>
        <v>0</v>
      </c>
      <c r="LL30" s="57">
        <f>'REG y VAL POE - AESR - ESR'!P2449</f>
        <v>0</v>
      </c>
      <c r="LM30" s="57">
        <f>'REG y VAL POE - AESR - ESR'!Q2449</f>
        <v>0</v>
      </c>
      <c r="LN30" s="57">
        <f>'REG y VAL POE - AESR - ESR'!R2449</f>
        <v>0</v>
      </c>
      <c r="LO30" s="57">
        <f>'REG y VAL POE - AESR - ESR'!S2449</f>
        <v>0</v>
      </c>
      <c r="LP30" s="57">
        <f>'REG y VAL POE - AESR - ESR'!T2449</f>
        <v>0</v>
      </c>
      <c r="LQ30" s="57">
        <f>'REG y VAL POE - AESR - ESR'!U2449</f>
        <v>0</v>
      </c>
      <c r="LR30" s="57">
        <f>'REG y VAL POE - AESR - ESR'!V2449</f>
        <v>0</v>
      </c>
      <c r="LS30" s="57">
        <f>'REG y VAL POE - AESR - ESR'!W2449</f>
        <v>0</v>
      </c>
      <c r="LT30" s="57">
        <f>'REG y VAL POE - AESR - ESR'!X2449</f>
        <v>0</v>
      </c>
      <c r="LU30" s="57">
        <f>'REG y VAL POE - AESR - ESR'!Y2449</f>
        <v>0</v>
      </c>
      <c r="LV30" s="57">
        <f>'REG y VAL POE - AESR - ESR'!Z2449</f>
        <v>0</v>
      </c>
      <c r="LW30" s="57">
        <f>'REG y VAL POE - AESR - ESR'!AA2449</f>
        <v>0</v>
      </c>
      <c r="LX30" s="57">
        <f>'REG y VAL POE - AESR - ESR'!AB2449</f>
        <v>0</v>
      </c>
      <c r="LY30" s="57">
        <f>'REG y VAL POE - AESR - ESR'!AC2449</f>
        <v>0</v>
      </c>
      <c r="LZ30" s="57">
        <f>'REG y VAL POE - AESR - ESR'!AD2449</f>
        <v>0</v>
      </c>
      <c r="MA30" s="57">
        <f>'REG y VAL POE - AESR - ESR'!AE2449</f>
        <v>0</v>
      </c>
      <c r="MB30" s="57">
        <f>'REG y VAL POE - AESR - ESR'!AF2449</f>
        <v>0</v>
      </c>
      <c r="MC30" s="57">
        <f>'REG y VAL POE - AESR - ESR'!AG2449</f>
        <v>0</v>
      </c>
      <c r="MD30" s="57">
        <f>'REG y VAL POE - AESR - ESR'!AH2449</f>
        <v>0</v>
      </c>
      <c r="ME30" s="57">
        <f>'REG y VAL POE - AESR - ESR'!AI2449</f>
        <v>0</v>
      </c>
      <c r="MF30" s="57">
        <f>'REG y VAL POE - AESR - ESR'!AJ2449</f>
        <v>0</v>
      </c>
      <c r="MG30" s="57">
        <f>'REG y VAL POE - AESR - ESR'!AK2449</f>
        <v>0</v>
      </c>
      <c r="MH30" s="57">
        <f>'REG y VAL POE - AESR - ESR'!AL2449</f>
        <v>0</v>
      </c>
      <c r="MI30" s="57">
        <f>'REG y VAL POE - AESR - ESR'!AM2449</f>
        <v>0</v>
      </c>
      <c r="MJ30" s="57">
        <f>'REG y VAL POE - AESR - ESR'!AN2449</f>
        <v>0</v>
      </c>
      <c r="MK30" s="57">
        <f>'REG y VAL POE - AESR - ESR'!AO2449</f>
        <v>0</v>
      </c>
      <c r="ML30" s="57">
        <f>'REG y VAL POE - AESR - ESR'!AP2449</f>
        <v>0</v>
      </c>
      <c r="MM30" s="57">
        <f>'REG y VAL POE - AESR - ESR'!AQ2449</f>
        <v>0</v>
      </c>
      <c r="MN30" s="57">
        <f>'REG y VAL POE - AESR - ESR'!AR2449</f>
        <v>0</v>
      </c>
      <c r="MO30" s="57">
        <f>'REG y VAL POE - AESR - ESR'!AS2449</f>
        <v>0</v>
      </c>
      <c r="MP30" s="58">
        <f>'REG y VAL POE - AESR - ESR'!B2450</f>
        <v>0</v>
      </c>
      <c r="MQ30" s="57">
        <f>'REG y VAL POE - AESR - ESR'!C2450</f>
        <v>0</v>
      </c>
      <c r="MR30" s="56">
        <f>'REG y VAL POE - AESR - ESR'!D2450</f>
        <v>0</v>
      </c>
      <c r="MS30" s="57">
        <f>'REG y VAL POE - AESR - ESR'!E2450</f>
        <v>0</v>
      </c>
      <c r="MT30" s="56">
        <f>'REG y VAL POE - AESR - ESR'!F2450</f>
        <v>0</v>
      </c>
      <c r="MU30" s="59">
        <f>'REG y VAL POE - AESR - ESR'!G2450</f>
        <v>0</v>
      </c>
      <c r="MV30" s="59">
        <f>'REG y VAL POE - AESR - ESR'!H2450</f>
        <v>0</v>
      </c>
      <c r="MW30" s="57">
        <f>'REG y VAL POE - AESR - ESR'!I2450</f>
        <v>0</v>
      </c>
      <c r="MX30" s="57">
        <f>'REG y VAL POE - AESR - ESR'!J2450</f>
        <v>0</v>
      </c>
      <c r="MY30" s="57">
        <f>'REG y VAL POE - AESR - ESR'!K2450</f>
        <v>0</v>
      </c>
      <c r="MZ30" s="57">
        <f>'REG y VAL POE - AESR - ESR'!L2450</f>
        <v>0</v>
      </c>
      <c r="NA30" s="57">
        <f>'REG y VAL POE - AESR - ESR'!M2450</f>
        <v>0</v>
      </c>
      <c r="NB30" s="57">
        <f>'REG y VAL POE - AESR - ESR'!N2450</f>
        <v>0</v>
      </c>
      <c r="NC30" s="57">
        <f>'REG y VAL POE - AESR - ESR'!O2450</f>
        <v>0</v>
      </c>
      <c r="ND30" s="57">
        <f>'REG y VAL POE - AESR - ESR'!P2450</f>
        <v>0</v>
      </c>
      <c r="NE30" s="57">
        <f>'REG y VAL POE - AESR - ESR'!Q2450</f>
        <v>0</v>
      </c>
      <c r="NF30" s="57">
        <f>'REG y VAL POE - AESR - ESR'!R2450</f>
        <v>0</v>
      </c>
      <c r="NG30" s="57">
        <f>'REG y VAL POE - AESR - ESR'!S2450</f>
        <v>0</v>
      </c>
      <c r="NH30" s="57">
        <f>'REG y VAL POE - AESR - ESR'!T2450</f>
        <v>0</v>
      </c>
      <c r="NI30" s="57">
        <f>'REG y VAL POE - AESR - ESR'!U2450</f>
        <v>0</v>
      </c>
      <c r="NJ30" s="57">
        <f>'REG y VAL POE - AESR - ESR'!V2450</f>
        <v>0</v>
      </c>
      <c r="NK30" s="57">
        <f>'REG y VAL POE - AESR - ESR'!W2450</f>
        <v>0</v>
      </c>
      <c r="NL30" s="57">
        <f>'REG y VAL POE - AESR - ESR'!X2450</f>
        <v>0</v>
      </c>
      <c r="NM30" s="57">
        <f>'REG y VAL POE - AESR - ESR'!Y2450</f>
        <v>0</v>
      </c>
      <c r="NN30" s="57">
        <f>'REG y VAL POE - AESR - ESR'!Z2450</f>
        <v>0</v>
      </c>
      <c r="NO30" s="57">
        <f>'REG y VAL POE - AESR - ESR'!AA2450</f>
        <v>0</v>
      </c>
      <c r="NP30" s="57">
        <f>'REG y VAL POE - AESR - ESR'!AB2450</f>
        <v>0</v>
      </c>
      <c r="NQ30" s="57">
        <f>'REG y VAL POE - AESR - ESR'!AC2450</f>
        <v>0</v>
      </c>
      <c r="NR30" s="57">
        <f>'REG y VAL POE - AESR - ESR'!AD2450</f>
        <v>0</v>
      </c>
      <c r="NS30" s="57">
        <f>'REG y VAL POE - AESR - ESR'!AE2450</f>
        <v>0</v>
      </c>
      <c r="NT30" s="57">
        <f>'REG y VAL POE - AESR - ESR'!AF2450</f>
        <v>0</v>
      </c>
      <c r="NU30" s="57">
        <f>'REG y VAL POE - AESR - ESR'!AG2450</f>
        <v>0</v>
      </c>
      <c r="NV30" s="57">
        <f>'REG y VAL POE - AESR - ESR'!AH2450</f>
        <v>0</v>
      </c>
      <c r="NW30" s="57">
        <f>'REG y VAL POE - AESR - ESR'!AI2450</f>
        <v>0</v>
      </c>
      <c r="NX30" s="57">
        <f>'REG y VAL POE - AESR - ESR'!AJ2450</f>
        <v>0</v>
      </c>
      <c r="NY30" s="57">
        <f>'REG y VAL POE - AESR - ESR'!AK2450</f>
        <v>0</v>
      </c>
      <c r="NZ30" s="57">
        <f>'REG y VAL POE - AESR - ESR'!AL2450</f>
        <v>0</v>
      </c>
      <c r="OA30" s="57">
        <f>'REG y VAL POE - AESR - ESR'!AM2450</f>
        <v>0</v>
      </c>
      <c r="OB30" s="57">
        <f>'REG y VAL POE - AESR - ESR'!AN2450</f>
        <v>0</v>
      </c>
      <c r="OC30" s="57">
        <f>'REG y VAL POE - AESR - ESR'!AO2450</f>
        <v>0</v>
      </c>
      <c r="OD30" s="57">
        <f>'REG y VAL POE - AESR - ESR'!AP2450</f>
        <v>0</v>
      </c>
      <c r="OE30" s="57">
        <f>'REG y VAL POE - AESR - ESR'!AQ2450</f>
        <v>0</v>
      </c>
      <c r="OF30" s="57">
        <f>'REG y VAL POE - AESR - ESR'!AR2450</f>
        <v>0</v>
      </c>
      <c r="OG30" s="57">
        <f>'REG y VAL POE - AESR - ESR'!AS2450</f>
        <v>0</v>
      </c>
      <c r="OH30" s="58">
        <f>'REG y VAL POE - AESR - ESR'!B2451</f>
        <v>0</v>
      </c>
      <c r="OI30" s="57">
        <f>'REG y VAL POE - AESR - ESR'!C2451</f>
        <v>0</v>
      </c>
      <c r="OJ30" s="56">
        <f>'REG y VAL POE - AESR - ESR'!D2451</f>
        <v>0</v>
      </c>
      <c r="OK30" s="57">
        <f>'REG y VAL POE - AESR - ESR'!E2451</f>
        <v>0</v>
      </c>
      <c r="OL30" s="56">
        <f>'REG y VAL POE - AESR - ESR'!F2451</f>
        <v>0</v>
      </c>
      <c r="OM30" s="59">
        <f>'REG y VAL POE - AESR - ESR'!G2451</f>
        <v>0</v>
      </c>
      <c r="ON30" s="59">
        <f>'REG y VAL POE - AESR - ESR'!H2451</f>
        <v>0</v>
      </c>
      <c r="OO30" s="57">
        <f>'REG y VAL POE - AESR - ESR'!I2451</f>
        <v>0</v>
      </c>
      <c r="OP30" s="57">
        <f>'REG y VAL POE - AESR - ESR'!J2451</f>
        <v>0</v>
      </c>
      <c r="OQ30" s="57">
        <f>'REG y VAL POE - AESR - ESR'!K2451</f>
        <v>0</v>
      </c>
      <c r="OR30" s="57">
        <f>'REG y VAL POE - AESR - ESR'!L2451</f>
        <v>0</v>
      </c>
      <c r="OS30" s="57">
        <f>'REG y VAL POE - AESR - ESR'!M2451</f>
        <v>0</v>
      </c>
      <c r="OT30" s="57">
        <f>'REG y VAL POE - AESR - ESR'!N2451</f>
        <v>0</v>
      </c>
      <c r="OU30" s="57">
        <f>'REG y VAL POE - AESR - ESR'!O2451</f>
        <v>0</v>
      </c>
      <c r="OV30" s="57">
        <f>'REG y VAL POE - AESR - ESR'!P2451</f>
        <v>0</v>
      </c>
      <c r="OW30" s="57">
        <f>'REG y VAL POE - AESR - ESR'!Q2451</f>
        <v>0</v>
      </c>
      <c r="OX30" s="57">
        <f>'REG y VAL POE - AESR - ESR'!R2451</f>
        <v>0</v>
      </c>
      <c r="OY30" s="57">
        <f>'REG y VAL POE - AESR - ESR'!S2451</f>
        <v>0</v>
      </c>
      <c r="OZ30" s="57">
        <f>'REG y VAL POE - AESR - ESR'!T2451</f>
        <v>0</v>
      </c>
      <c r="PA30" s="57">
        <f>'REG y VAL POE - AESR - ESR'!U2451</f>
        <v>0</v>
      </c>
      <c r="PB30" s="57">
        <f>'REG y VAL POE - AESR - ESR'!V2451</f>
        <v>0</v>
      </c>
      <c r="PC30" s="57">
        <f>'REG y VAL POE - AESR - ESR'!W2451</f>
        <v>0</v>
      </c>
      <c r="PD30" s="57">
        <f>'REG y VAL POE - AESR - ESR'!X2451</f>
        <v>0</v>
      </c>
      <c r="PE30" s="57">
        <f>'REG y VAL POE - AESR - ESR'!Y2451</f>
        <v>0</v>
      </c>
      <c r="PF30" s="57">
        <f>'REG y VAL POE - AESR - ESR'!Z2451</f>
        <v>0</v>
      </c>
      <c r="PG30" s="57">
        <f>'REG y VAL POE - AESR - ESR'!AA2451</f>
        <v>0</v>
      </c>
      <c r="PH30" s="57">
        <f>'REG y VAL POE - AESR - ESR'!AB2451</f>
        <v>0</v>
      </c>
      <c r="PI30" s="57">
        <f>'REG y VAL POE - AESR - ESR'!AC2451</f>
        <v>0</v>
      </c>
      <c r="PJ30" s="57">
        <f>'REG y VAL POE - AESR - ESR'!AD2451</f>
        <v>0</v>
      </c>
      <c r="PK30" s="57">
        <f>'REG y VAL POE - AESR - ESR'!AE2451</f>
        <v>0</v>
      </c>
      <c r="PL30" s="57">
        <f>'REG y VAL POE - AESR - ESR'!AF2451</f>
        <v>0</v>
      </c>
      <c r="PM30" s="57">
        <f>'REG y VAL POE - AESR - ESR'!AG2451</f>
        <v>0</v>
      </c>
      <c r="PN30" s="57">
        <f>'REG y VAL POE - AESR - ESR'!AH2451</f>
        <v>0</v>
      </c>
      <c r="PO30" s="57">
        <f>'REG y VAL POE - AESR - ESR'!AI2451</f>
        <v>0</v>
      </c>
      <c r="PP30" s="57">
        <f>'REG y VAL POE - AESR - ESR'!AJ2451</f>
        <v>0</v>
      </c>
      <c r="PQ30" s="57">
        <f>'REG y VAL POE - AESR - ESR'!AK2451</f>
        <v>0</v>
      </c>
      <c r="PR30" s="57">
        <f>'REG y VAL POE - AESR - ESR'!AL2451</f>
        <v>0</v>
      </c>
      <c r="PS30" s="57">
        <f>'REG y VAL POE - AESR - ESR'!AM2451</f>
        <v>0</v>
      </c>
      <c r="PT30" s="57">
        <f>'REG y VAL POE - AESR - ESR'!AN2451</f>
        <v>0</v>
      </c>
      <c r="PU30" s="57">
        <f>'REG y VAL POE - AESR - ESR'!AO2451</f>
        <v>0</v>
      </c>
      <c r="PV30" s="57">
        <f>'REG y VAL POE - AESR - ESR'!AP2451</f>
        <v>0</v>
      </c>
      <c r="PW30" s="57">
        <f>'REG y VAL POE - AESR - ESR'!AQ2451</f>
        <v>0</v>
      </c>
      <c r="PX30" s="57">
        <f>'REG y VAL POE - AESR - ESR'!AR2451</f>
        <v>0</v>
      </c>
      <c r="PY30" s="57">
        <f>'REG y VAL POE - AESR - ESR'!AS2451</f>
        <v>0</v>
      </c>
      <c r="PZ30" s="58">
        <f>'REG y VAL POE - AESR - ESR'!B2452</f>
        <v>0</v>
      </c>
      <c r="QA30" s="57">
        <f>'REG y VAL POE - AESR - ESR'!C2452</f>
        <v>0</v>
      </c>
      <c r="QB30" s="56">
        <f>'REG y VAL POE - AESR - ESR'!D2452</f>
        <v>0</v>
      </c>
      <c r="QC30" s="57">
        <f>'REG y VAL POE - AESR - ESR'!E2452</f>
        <v>0</v>
      </c>
      <c r="QD30" s="56">
        <f>'REG y VAL POE - AESR - ESR'!F2452</f>
        <v>0</v>
      </c>
      <c r="QE30" s="59">
        <f>'REG y VAL POE - AESR - ESR'!G2452</f>
        <v>0</v>
      </c>
      <c r="QF30" s="59">
        <f>'REG y VAL POE - AESR - ESR'!H2452</f>
        <v>0</v>
      </c>
      <c r="QG30" s="57">
        <f>'REG y VAL POE - AESR - ESR'!I2452</f>
        <v>0</v>
      </c>
      <c r="QH30" s="57">
        <f>'REG y VAL POE - AESR - ESR'!J2452</f>
        <v>0</v>
      </c>
      <c r="QI30" s="57">
        <f>'REG y VAL POE - AESR - ESR'!K2452</f>
        <v>0</v>
      </c>
      <c r="QJ30" s="57">
        <f>'REG y VAL POE - AESR - ESR'!L2452</f>
        <v>0</v>
      </c>
      <c r="QK30" s="57">
        <f>'REG y VAL POE - AESR - ESR'!M2452</f>
        <v>0</v>
      </c>
      <c r="QL30" s="57">
        <f>'REG y VAL POE - AESR - ESR'!N2452</f>
        <v>0</v>
      </c>
      <c r="QM30" s="57">
        <f>'REG y VAL POE - AESR - ESR'!O2452</f>
        <v>0</v>
      </c>
      <c r="QN30" s="57">
        <f>'REG y VAL POE - AESR - ESR'!P2452</f>
        <v>0</v>
      </c>
      <c r="QO30" s="57">
        <f>'REG y VAL POE - AESR - ESR'!Q2452</f>
        <v>0</v>
      </c>
      <c r="QP30" s="57">
        <f>'REG y VAL POE - AESR - ESR'!R2452</f>
        <v>0</v>
      </c>
      <c r="QQ30" s="57">
        <f>'REG y VAL POE - AESR - ESR'!S2452</f>
        <v>0</v>
      </c>
      <c r="QR30" s="57">
        <f>'REG y VAL POE - AESR - ESR'!T2452</f>
        <v>0</v>
      </c>
      <c r="QS30" s="57">
        <f>'REG y VAL POE - AESR - ESR'!U2452</f>
        <v>0</v>
      </c>
      <c r="QT30" s="57">
        <f>'REG y VAL POE - AESR - ESR'!V2452</f>
        <v>0</v>
      </c>
      <c r="QU30" s="57">
        <f>'REG y VAL POE - AESR - ESR'!W2452</f>
        <v>0</v>
      </c>
      <c r="QV30" s="57">
        <f>'REG y VAL POE - AESR - ESR'!X2452</f>
        <v>0</v>
      </c>
      <c r="QW30" s="57">
        <f>'REG y VAL POE - AESR - ESR'!Y2452</f>
        <v>0</v>
      </c>
      <c r="QX30" s="57">
        <f>'REG y VAL POE - AESR - ESR'!Z2452</f>
        <v>0</v>
      </c>
      <c r="QY30" s="57">
        <f>'REG y VAL POE - AESR - ESR'!AA2452</f>
        <v>0</v>
      </c>
      <c r="QZ30" s="57">
        <f>'REG y VAL POE - AESR - ESR'!AB2452</f>
        <v>0</v>
      </c>
      <c r="RA30" s="57">
        <f>'REG y VAL POE - AESR - ESR'!AC2452</f>
        <v>0</v>
      </c>
      <c r="RB30" s="57">
        <f>'REG y VAL POE - AESR - ESR'!AD2452</f>
        <v>0</v>
      </c>
      <c r="RC30" s="57">
        <f>'REG y VAL POE - AESR - ESR'!AE2452</f>
        <v>0</v>
      </c>
      <c r="RD30" s="57">
        <f>'REG y VAL POE - AESR - ESR'!AF2452</f>
        <v>0</v>
      </c>
      <c r="RE30" s="57">
        <f>'REG y VAL POE - AESR - ESR'!AG2452</f>
        <v>0</v>
      </c>
      <c r="RF30" s="57">
        <f>'REG y VAL POE - AESR - ESR'!AH2452</f>
        <v>0</v>
      </c>
      <c r="RG30" s="57">
        <f>'REG y VAL POE - AESR - ESR'!AI2452</f>
        <v>0</v>
      </c>
      <c r="RH30" s="57">
        <f>'REG y VAL POE - AESR - ESR'!AJ2452</f>
        <v>0</v>
      </c>
      <c r="RI30" s="57">
        <f>'REG y VAL POE - AESR - ESR'!AK2452</f>
        <v>0</v>
      </c>
      <c r="RJ30" s="57">
        <f>'REG y VAL POE - AESR - ESR'!AL2452</f>
        <v>0</v>
      </c>
      <c r="RK30" s="57">
        <f>'REG y VAL POE - AESR - ESR'!AM2452</f>
        <v>0</v>
      </c>
      <c r="RL30" s="57">
        <f>'REG y VAL POE - AESR - ESR'!AN2452</f>
        <v>0</v>
      </c>
      <c r="RM30" s="57">
        <f>'REG y VAL POE - AESR - ESR'!AO2452</f>
        <v>0</v>
      </c>
      <c r="RN30" s="57">
        <f>'REG y VAL POE - AESR - ESR'!AP2452</f>
        <v>0</v>
      </c>
      <c r="RO30" s="57">
        <f>'REG y VAL POE - AESR - ESR'!AQ2452</f>
        <v>0</v>
      </c>
      <c r="RP30" s="57">
        <f>'REG y VAL POE - AESR - ESR'!AR2452</f>
        <v>0</v>
      </c>
      <c r="RQ30" s="57">
        <f>'REG y VAL POE - AESR - ESR'!AS2452</f>
        <v>0</v>
      </c>
      <c r="RR30" s="58">
        <f>'REG y VAL POE - AESR - ESR'!B2453</f>
        <v>0</v>
      </c>
      <c r="RS30" s="57">
        <f>'REG y VAL POE - AESR - ESR'!C2453</f>
        <v>0</v>
      </c>
      <c r="RT30" s="56">
        <f>'REG y VAL POE - AESR - ESR'!D2453</f>
        <v>0</v>
      </c>
      <c r="RU30" s="57">
        <f>'REG y VAL POE - AESR - ESR'!E2453</f>
        <v>0</v>
      </c>
      <c r="RV30" s="56">
        <f>'REG y VAL POE - AESR - ESR'!F2453</f>
        <v>0</v>
      </c>
      <c r="RW30" s="59">
        <f>'REG y VAL POE - AESR - ESR'!G2453</f>
        <v>0</v>
      </c>
      <c r="RX30" s="59">
        <f>'REG y VAL POE - AESR - ESR'!H2453</f>
        <v>0</v>
      </c>
      <c r="RY30" s="57">
        <f>'REG y VAL POE - AESR - ESR'!I2453</f>
        <v>0</v>
      </c>
      <c r="RZ30" s="57">
        <f>'REG y VAL POE - AESR - ESR'!J2453</f>
        <v>0</v>
      </c>
      <c r="SA30" s="57">
        <f>'REG y VAL POE - AESR - ESR'!K2453</f>
        <v>0</v>
      </c>
      <c r="SB30" s="57">
        <f>'REG y VAL POE - AESR - ESR'!L2453</f>
        <v>0</v>
      </c>
      <c r="SC30" s="57">
        <f>'REG y VAL POE - AESR - ESR'!M2453</f>
        <v>0</v>
      </c>
      <c r="SD30" s="57">
        <f>'REG y VAL POE - AESR - ESR'!N2453</f>
        <v>0</v>
      </c>
      <c r="SE30" s="57">
        <f>'REG y VAL POE - AESR - ESR'!O2453</f>
        <v>0</v>
      </c>
      <c r="SF30" s="57">
        <f>'REG y VAL POE - AESR - ESR'!P2453</f>
        <v>0</v>
      </c>
      <c r="SG30" s="57">
        <f>'REG y VAL POE - AESR - ESR'!Q2453</f>
        <v>0</v>
      </c>
      <c r="SH30" s="57">
        <f>'REG y VAL POE - AESR - ESR'!R2453</f>
        <v>0</v>
      </c>
      <c r="SI30" s="57">
        <f>'REG y VAL POE - AESR - ESR'!S2453</f>
        <v>0</v>
      </c>
      <c r="SJ30" s="57">
        <f>'REG y VAL POE - AESR - ESR'!T2453</f>
        <v>0</v>
      </c>
      <c r="SK30" s="57">
        <f>'REG y VAL POE - AESR - ESR'!U2453</f>
        <v>0</v>
      </c>
      <c r="SL30" s="57">
        <f>'REG y VAL POE - AESR - ESR'!V2453</f>
        <v>0</v>
      </c>
      <c r="SM30" s="57">
        <f>'REG y VAL POE - AESR - ESR'!W2453</f>
        <v>0</v>
      </c>
      <c r="SN30" s="57">
        <f>'REG y VAL POE - AESR - ESR'!X2453</f>
        <v>0</v>
      </c>
      <c r="SO30" s="57">
        <f>'REG y VAL POE - AESR - ESR'!Y2453</f>
        <v>0</v>
      </c>
      <c r="SP30" s="57">
        <f>'REG y VAL POE - AESR - ESR'!Z2453</f>
        <v>0</v>
      </c>
      <c r="SQ30" s="57">
        <f>'REG y VAL POE - AESR - ESR'!AA2453</f>
        <v>0</v>
      </c>
      <c r="SR30" s="57">
        <f>'REG y VAL POE - AESR - ESR'!AB2453</f>
        <v>0</v>
      </c>
      <c r="SS30" s="57">
        <f>'REG y VAL POE - AESR - ESR'!AC2453</f>
        <v>0</v>
      </c>
      <c r="ST30" s="57">
        <f>'REG y VAL POE - AESR - ESR'!AD2453</f>
        <v>0</v>
      </c>
      <c r="SU30" s="57">
        <f>'REG y VAL POE - AESR - ESR'!AE2453</f>
        <v>0</v>
      </c>
      <c r="SV30" s="57">
        <f>'REG y VAL POE - AESR - ESR'!AF2453</f>
        <v>0</v>
      </c>
      <c r="SW30" s="57">
        <f>'REG y VAL POE - AESR - ESR'!AG2453</f>
        <v>0</v>
      </c>
      <c r="SX30" s="57">
        <f>'REG y VAL POE - AESR - ESR'!AH2453</f>
        <v>0</v>
      </c>
      <c r="SY30" s="57">
        <f>'REG y VAL POE - AESR - ESR'!AI2453</f>
        <v>0</v>
      </c>
      <c r="SZ30" s="57">
        <f>'REG y VAL POE - AESR - ESR'!AJ2453</f>
        <v>0</v>
      </c>
      <c r="TA30" s="57">
        <f>'REG y VAL POE - AESR - ESR'!AK2453</f>
        <v>0</v>
      </c>
      <c r="TB30" s="57">
        <f>'REG y VAL POE - AESR - ESR'!AL2453</f>
        <v>0</v>
      </c>
      <c r="TC30" s="57">
        <f>'REG y VAL POE - AESR - ESR'!AM2453</f>
        <v>0</v>
      </c>
      <c r="TD30" s="57">
        <f>'REG y VAL POE - AESR - ESR'!AN2453</f>
        <v>0</v>
      </c>
      <c r="TE30" s="57">
        <f>'REG y VAL POE - AESR - ESR'!AO2453</f>
        <v>0</v>
      </c>
      <c r="TF30" s="57">
        <f>'REG y VAL POE - AESR - ESR'!AP2453</f>
        <v>0</v>
      </c>
      <c r="TG30" s="57">
        <f>'REG y VAL POE - AESR - ESR'!AQ2453</f>
        <v>0</v>
      </c>
      <c r="TH30" s="57">
        <f>'REG y VAL POE - AESR - ESR'!AR2453</f>
        <v>0</v>
      </c>
      <c r="TI30" s="57">
        <f>'REG y VAL POE - AESR - ESR'!AS2453</f>
        <v>0</v>
      </c>
      <c r="TJ30" s="58">
        <f>'REG y VAL POE - AESR - ESR'!B2454</f>
        <v>0</v>
      </c>
      <c r="TK30" s="57">
        <f>'REG y VAL POE - AESR - ESR'!C2454</f>
        <v>0</v>
      </c>
      <c r="TL30" s="56">
        <f>'REG y VAL POE - AESR - ESR'!D2454</f>
        <v>0</v>
      </c>
      <c r="TM30" s="57">
        <f>'REG y VAL POE - AESR - ESR'!E2454</f>
        <v>0</v>
      </c>
      <c r="TN30" s="56">
        <f>'REG y VAL POE - AESR - ESR'!F2454</f>
        <v>0</v>
      </c>
      <c r="TO30" s="59">
        <f>'REG y VAL POE - AESR - ESR'!G2454</f>
        <v>0</v>
      </c>
      <c r="TP30" s="59">
        <f>'REG y VAL POE - AESR - ESR'!H2454</f>
        <v>0</v>
      </c>
      <c r="TQ30" s="57">
        <f>'REG y VAL POE - AESR - ESR'!I2454</f>
        <v>0</v>
      </c>
      <c r="TR30" s="57">
        <f>'REG y VAL POE - AESR - ESR'!J2454</f>
        <v>0</v>
      </c>
      <c r="TS30" s="57">
        <f>'REG y VAL POE - AESR - ESR'!K2454</f>
        <v>0</v>
      </c>
      <c r="TT30" s="57">
        <f>'REG y VAL POE - AESR - ESR'!L2454</f>
        <v>0</v>
      </c>
      <c r="TU30" s="57">
        <f>'REG y VAL POE - AESR - ESR'!M2454</f>
        <v>0</v>
      </c>
      <c r="TV30" s="57">
        <f>'REG y VAL POE - AESR - ESR'!N2454</f>
        <v>0</v>
      </c>
      <c r="TW30" s="57">
        <f>'REG y VAL POE - AESR - ESR'!O2454</f>
        <v>0</v>
      </c>
      <c r="TX30" s="57">
        <f>'REG y VAL POE - AESR - ESR'!P2454</f>
        <v>0</v>
      </c>
      <c r="TY30" s="57">
        <f>'REG y VAL POE - AESR - ESR'!Q2454</f>
        <v>0</v>
      </c>
      <c r="TZ30" s="57">
        <f>'REG y VAL POE - AESR - ESR'!R2454</f>
        <v>0</v>
      </c>
      <c r="UA30" s="57">
        <f>'REG y VAL POE - AESR - ESR'!S2454</f>
        <v>0</v>
      </c>
      <c r="UB30" s="57">
        <f>'REG y VAL POE - AESR - ESR'!T2454</f>
        <v>0</v>
      </c>
      <c r="UC30" s="57">
        <f>'REG y VAL POE - AESR - ESR'!U2454</f>
        <v>0</v>
      </c>
      <c r="UD30" s="57">
        <f>'REG y VAL POE - AESR - ESR'!V2454</f>
        <v>0</v>
      </c>
      <c r="UE30" s="57">
        <f>'REG y VAL POE - AESR - ESR'!W2454</f>
        <v>0</v>
      </c>
      <c r="UF30" s="57">
        <f>'REG y VAL POE - AESR - ESR'!X2454</f>
        <v>0</v>
      </c>
      <c r="UG30" s="57">
        <f>'REG y VAL POE - AESR - ESR'!Y2454</f>
        <v>0</v>
      </c>
      <c r="UH30" s="57">
        <f>'REG y VAL POE - AESR - ESR'!Z2454</f>
        <v>0</v>
      </c>
      <c r="UI30" s="57">
        <f>'REG y VAL POE - AESR - ESR'!AA2454</f>
        <v>0</v>
      </c>
      <c r="UJ30" s="57">
        <f>'REG y VAL POE - AESR - ESR'!AB2454</f>
        <v>0</v>
      </c>
      <c r="UK30" s="57">
        <f>'REG y VAL POE - AESR - ESR'!AC2454</f>
        <v>0</v>
      </c>
      <c r="UL30" s="57">
        <f>'REG y VAL POE - AESR - ESR'!AD2454</f>
        <v>0</v>
      </c>
      <c r="UM30" s="57">
        <f>'REG y VAL POE - AESR - ESR'!AE2454</f>
        <v>0</v>
      </c>
      <c r="UN30" s="57">
        <f>'REG y VAL POE - AESR - ESR'!AF2454</f>
        <v>0</v>
      </c>
      <c r="UO30" s="57">
        <f>'REG y VAL POE - AESR - ESR'!AG2454</f>
        <v>0</v>
      </c>
      <c r="UP30" s="57">
        <f>'REG y VAL POE - AESR - ESR'!AH2454</f>
        <v>0</v>
      </c>
      <c r="UQ30" s="57">
        <f>'REG y VAL POE - AESR - ESR'!AI2454</f>
        <v>0</v>
      </c>
      <c r="UR30" s="57">
        <f>'REG y VAL POE - AESR - ESR'!AJ2454</f>
        <v>0</v>
      </c>
      <c r="US30" s="57">
        <f>'REG y VAL POE - AESR - ESR'!AK2454</f>
        <v>0</v>
      </c>
      <c r="UT30" s="57">
        <f>'REG y VAL POE - AESR - ESR'!AL2454</f>
        <v>0</v>
      </c>
      <c r="UU30" s="57">
        <f>'REG y VAL POE - AESR - ESR'!AM2454</f>
        <v>0</v>
      </c>
      <c r="UV30" s="57">
        <f>'REG y VAL POE - AESR - ESR'!AN2454</f>
        <v>0</v>
      </c>
      <c r="UW30" s="57">
        <f>'REG y VAL POE - AESR - ESR'!AO2454</f>
        <v>0</v>
      </c>
      <c r="UX30" s="57">
        <f>'REG y VAL POE - AESR - ESR'!AP2454</f>
        <v>0</v>
      </c>
      <c r="UY30" s="57">
        <f>'REG y VAL POE - AESR - ESR'!AQ2454</f>
        <v>0</v>
      </c>
      <c r="UZ30" s="57">
        <f>'REG y VAL POE - AESR - ESR'!AR2454</f>
        <v>0</v>
      </c>
      <c r="VA30" s="57">
        <f>'REG y VAL POE - AESR - ESR'!AS2454</f>
        <v>0</v>
      </c>
      <c r="VB30" s="58">
        <f>'REG y VAL POE - AESR - ESR'!B2455</f>
        <v>0</v>
      </c>
      <c r="VC30" s="57">
        <f>'REG y VAL POE - AESR - ESR'!C2455</f>
        <v>0</v>
      </c>
      <c r="VD30" s="56">
        <f>'REG y VAL POE - AESR - ESR'!D2455</f>
        <v>0</v>
      </c>
      <c r="VE30" s="57">
        <f>'REG y VAL POE - AESR - ESR'!E2455</f>
        <v>0</v>
      </c>
      <c r="VF30" s="56">
        <f>'REG y VAL POE - AESR - ESR'!F2455</f>
        <v>0</v>
      </c>
      <c r="VG30" s="59">
        <f>'REG y VAL POE - AESR - ESR'!G2455</f>
        <v>0</v>
      </c>
      <c r="VH30" s="59">
        <f>'REG y VAL POE - AESR - ESR'!H2455</f>
        <v>0</v>
      </c>
      <c r="VI30" s="57">
        <f>'REG y VAL POE - AESR - ESR'!I2455</f>
        <v>0</v>
      </c>
      <c r="VJ30" s="57">
        <f>'REG y VAL POE - AESR - ESR'!J2455</f>
        <v>0</v>
      </c>
      <c r="VK30" s="57">
        <f>'REG y VAL POE - AESR - ESR'!K2455</f>
        <v>0</v>
      </c>
      <c r="VL30" s="57">
        <f>'REG y VAL POE - AESR - ESR'!L2455</f>
        <v>0</v>
      </c>
      <c r="VM30" s="57">
        <f>'REG y VAL POE - AESR - ESR'!M2455</f>
        <v>0</v>
      </c>
      <c r="VN30" s="57">
        <f>'REG y VAL POE - AESR - ESR'!N2455</f>
        <v>0</v>
      </c>
      <c r="VO30" s="57">
        <f>'REG y VAL POE - AESR - ESR'!O2455</f>
        <v>0</v>
      </c>
      <c r="VP30" s="57">
        <f>'REG y VAL POE - AESR - ESR'!P2455</f>
        <v>0</v>
      </c>
      <c r="VQ30" s="57">
        <f>'REG y VAL POE - AESR - ESR'!Q2455</f>
        <v>0</v>
      </c>
      <c r="VR30" s="57">
        <f>'REG y VAL POE - AESR - ESR'!R2455</f>
        <v>0</v>
      </c>
      <c r="VS30" s="57">
        <f>'REG y VAL POE - AESR - ESR'!S2455</f>
        <v>0</v>
      </c>
      <c r="VT30" s="57">
        <f>'REG y VAL POE - AESR - ESR'!T2455</f>
        <v>0</v>
      </c>
      <c r="VU30" s="57">
        <f>'REG y VAL POE - AESR - ESR'!U2455</f>
        <v>0</v>
      </c>
      <c r="VV30" s="57">
        <f>'REG y VAL POE - AESR - ESR'!V2455</f>
        <v>0</v>
      </c>
      <c r="VW30" s="57">
        <f>'REG y VAL POE - AESR - ESR'!W2455</f>
        <v>0</v>
      </c>
      <c r="VX30" s="57">
        <f>'REG y VAL POE - AESR - ESR'!X2455</f>
        <v>0</v>
      </c>
      <c r="VY30" s="57">
        <f>'REG y VAL POE - AESR - ESR'!Y2455</f>
        <v>0</v>
      </c>
      <c r="VZ30" s="57">
        <f>'REG y VAL POE - AESR - ESR'!Z2455</f>
        <v>0</v>
      </c>
      <c r="WA30" s="57">
        <f>'REG y VAL POE - AESR - ESR'!AA2455</f>
        <v>0</v>
      </c>
      <c r="WB30" s="57">
        <f>'REG y VAL POE - AESR - ESR'!AB2455</f>
        <v>0</v>
      </c>
      <c r="WC30" s="57">
        <f>'REG y VAL POE - AESR - ESR'!AC2455</f>
        <v>0</v>
      </c>
      <c r="WD30" s="57">
        <f>'REG y VAL POE - AESR - ESR'!AD2455</f>
        <v>0</v>
      </c>
      <c r="WE30" s="57">
        <f>'REG y VAL POE - AESR - ESR'!AE2455</f>
        <v>0</v>
      </c>
      <c r="WF30" s="57">
        <f>'REG y VAL POE - AESR - ESR'!AF2455</f>
        <v>0</v>
      </c>
      <c r="WG30" s="57">
        <f>'REG y VAL POE - AESR - ESR'!AG2455</f>
        <v>0</v>
      </c>
      <c r="WH30" s="57">
        <f>'REG y VAL POE - AESR - ESR'!AH2455</f>
        <v>0</v>
      </c>
      <c r="WI30" s="57">
        <f>'REG y VAL POE - AESR - ESR'!AI2455</f>
        <v>0</v>
      </c>
      <c r="WJ30" s="57">
        <f>'REG y VAL POE - AESR - ESR'!AJ2455</f>
        <v>0</v>
      </c>
      <c r="WK30" s="57">
        <f>'REG y VAL POE - AESR - ESR'!AK2455</f>
        <v>0</v>
      </c>
      <c r="WL30" s="57">
        <f>'REG y VAL POE - AESR - ESR'!AL2455</f>
        <v>0</v>
      </c>
      <c r="WM30" s="57">
        <f>'REG y VAL POE - AESR - ESR'!AM2455</f>
        <v>0</v>
      </c>
      <c r="WN30" s="57">
        <f>'REG y VAL POE - AESR - ESR'!AN2455</f>
        <v>0</v>
      </c>
      <c r="WO30" s="57">
        <f>'REG y VAL POE - AESR - ESR'!AO2455</f>
        <v>0</v>
      </c>
      <c r="WP30" s="57">
        <f>'REG y VAL POE - AESR - ESR'!AP2455</f>
        <v>0</v>
      </c>
      <c r="WQ30" s="57">
        <f>'REG y VAL POE - AESR - ESR'!AQ2455</f>
        <v>0</v>
      </c>
      <c r="WR30" s="57">
        <f>'REG y VAL POE - AESR - ESR'!AR2455</f>
        <v>0</v>
      </c>
      <c r="WS30" s="57">
        <f>'REG y VAL POE - AESR - ESR'!AS2455</f>
        <v>0</v>
      </c>
      <c r="WT30" s="58">
        <f>'REG y VAL POE - AESR - ESR'!B2456</f>
        <v>0</v>
      </c>
      <c r="WU30" s="57">
        <f>'REG y VAL POE - AESR - ESR'!C2456</f>
        <v>0</v>
      </c>
      <c r="WV30" s="56">
        <f>'REG y VAL POE - AESR - ESR'!D2456</f>
        <v>0</v>
      </c>
      <c r="WW30" s="57">
        <f>'REG y VAL POE - AESR - ESR'!E2456</f>
        <v>0</v>
      </c>
      <c r="WX30" s="56">
        <f>'REG y VAL POE - AESR - ESR'!F2456</f>
        <v>0</v>
      </c>
      <c r="WY30" s="59">
        <f>'REG y VAL POE - AESR - ESR'!G2456</f>
        <v>0</v>
      </c>
      <c r="WZ30" s="59">
        <f>'REG y VAL POE - AESR - ESR'!H2456</f>
        <v>0</v>
      </c>
      <c r="XA30" s="57">
        <f>'REG y VAL POE - AESR - ESR'!I2456</f>
        <v>0</v>
      </c>
      <c r="XB30" s="57">
        <f>'REG y VAL POE - AESR - ESR'!J2456</f>
        <v>0</v>
      </c>
      <c r="XC30" s="57">
        <f>'REG y VAL POE - AESR - ESR'!K2456</f>
        <v>0</v>
      </c>
      <c r="XD30" s="57">
        <f>'REG y VAL POE - AESR - ESR'!L2456</f>
        <v>0</v>
      </c>
      <c r="XE30" s="57">
        <f>'REG y VAL POE - AESR - ESR'!M2456</f>
        <v>0</v>
      </c>
      <c r="XF30" s="57">
        <f>'REG y VAL POE - AESR - ESR'!N2456</f>
        <v>0</v>
      </c>
      <c r="XG30" s="57">
        <f>'REG y VAL POE - AESR - ESR'!O2456</f>
        <v>0</v>
      </c>
      <c r="XH30" s="57">
        <f>'REG y VAL POE - AESR - ESR'!P2456</f>
        <v>0</v>
      </c>
      <c r="XI30" s="57">
        <f>'REG y VAL POE - AESR - ESR'!Q2456</f>
        <v>0</v>
      </c>
      <c r="XJ30" s="57">
        <f>'REG y VAL POE - AESR - ESR'!R2456</f>
        <v>0</v>
      </c>
      <c r="XK30" s="57">
        <f>'REG y VAL POE - AESR - ESR'!S2456</f>
        <v>0</v>
      </c>
      <c r="XL30" s="57">
        <f>'REG y VAL POE - AESR - ESR'!T2456</f>
        <v>0</v>
      </c>
      <c r="XM30" s="57">
        <f>'REG y VAL POE - AESR - ESR'!U2456</f>
        <v>0</v>
      </c>
      <c r="XN30" s="57">
        <f>'REG y VAL POE - AESR - ESR'!V2456</f>
        <v>0</v>
      </c>
      <c r="XO30" s="57">
        <f>'REG y VAL POE - AESR - ESR'!W2456</f>
        <v>0</v>
      </c>
      <c r="XP30" s="57">
        <f>'REG y VAL POE - AESR - ESR'!X2456</f>
        <v>0</v>
      </c>
      <c r="XQ30" s="57">
        <f>'REG y VAL POE - AESR - ESR'!Y2456</f>
        <v>0</v>
      </c>
      <c r="XR30" s="57">
        <f>'REG y VAL POE - AESR - ESR'!Z2456</f>
        <v>0</v>
      </c>
      <c r="XS30" s="57">
        <f>'REG y VAL POE - AESR - ESR'!AA2456</f>
        <v>0</v>
      </c>
      <c r="XT30" s="57">
        <f>'REG y VAL POE - AESR - ESR'!AB2456</f>
        <v>0</v>
      </c>
      <c r="XU30" s="57">
        <f>'REG y VAL POE - AESR - ESR'!AC2456</f>
        <v>0</v>
      </c>
      <c r="XV30" s="57">
        <f>'REG y VAL POE - AESR - ESR'!AD2456</f>
        <v>0</v>
      </c>
      <c r="XW30" s="57">
        <f>'REG y VAL POE - AESR - ESR'!AE2456</f>
        <v>0</v>
      </c>
      <c r="XX30" s="57">
        <f>'REG y VAL POE - AESR - ESR'!AF2456</f>
        <v>0</v>
      </c>
      <c r="XY30" s="57">
        <f>'REG y VAL POE - AESR - ESR'!AG2456</f>
        <v>0</v>
      </c>
      <c r="XZ30" s="57">
        <f>'REG y VAL POE - AESR - ESR'!AH2456</f>
        <v>0</v>
      </c>
      <c r="YA30" s="57">
        <f>'REG y VAL POE - AESR - ESR'!AI2456</f>
        <v>0</v>
      </c>
      <c r="YB30" s="57">
        <f>'REG y VAL POE - AESR - ESR'!AJ2456</f>
        <v>0</v>
      </c>
      <c r="YC30" s="57">
        <f>'REG y VAL POE - AESR - ESR'!AK2456</f>
        <v>0</v>
      </c>
      <c r="YD30" s="57">
        <f>'REG y VAL POE - AESR - ESR'!AL2456</f>
        <v>0</v>
      </c>
      <c r="YE30" s="57">
        <f>'REG y VAL POE - AESR - ESR'!AM2456</f>
        <v>0</v>
      </c>
      <c r="YF30" s="57">
        <f>'REG y VAL POE - AESR - ESR'!AN2456</f>
        <v>0</v>
      </c>
      <c r="YG30" s="57">
        <f>'REG y VAL POE - AESR - ESR'!AO2456</f>
        <v>0</v>
      </c>
      <c r="YH30" s="57">
        <f>'REG y VAL POE - AESR - ESR'!AP2456</f>
        <v>0</v>
      </c>
      <c r="YI30" s="57">
        <f>'REG y VAL POE - AESR - ESR'!AQ2456</f>
        <v>0</v>
      </c>
      <c r="YJ30" s="57">
        <f>'REG y VAL POE - AESR - ESR'!AR2456</f>
        <v>0</v>
      </c>
      <c r="YK30" s="57">
        <f>'REG y VAL POE - AESR - ESR'!AS2456</f>
        <v>0</v>
      </c>
      <c r="YL30" s="58"/>
      <c r="YM30" s="57"/>
      <c r="YN30" s="56" t="str">
        <f t="shared" ref="YN30" si="154">IFERROR(VLOOKUP(YL30,BASEPOE1,2,FALSE)," ")</f>
        <v xml:space="preserve"> </v>
      </c>
      <c r="YO30" s="57"/>
      <c r="YP30" s="56"/>
      <c r="YQ30" s="59"/>
      <c r="YR30" s="59">
        <f>+YQ30+365</f>
        <v>365</v>
      </c>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8"/>
      <c r="AAE30" s="57"/>
      <c r="AAF30" s="56" t="str">
        <f t="shared" ref="AAF30" si="155">IFERROR(VLOOKUP(AAD30,BASEPOE1,2,FALSE)," ")</f>
        <v xml:space="preserve"> </v>
      </c>
      <c r="AAG30" s="57"/>
      <c r="AAH30" s="56"/>
      <c r="AAI30" s="59"/>
      <c r="AAJ30" s="59">
        <f>+AAI30+365</f>
        <v>365</v>
      </c>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8"/>
      <c r="ABW30" s="57"/>
      <c r="ABX30" s="56" t="str">
        <f t="shared" ref="ABX30" si="156">IFERROR(VLOOKUP(ABV30,BASEPOE1,2,FALSE)," ")</f>
        <v xml:space="preserve"> </v>
      </c>
      <c r="ABY30" s="57"/>
      <c r="ABZ30" s="56"/>
      <c r="ACA30" s="59"/>
      <c r="ACB30" s="59">
        <f>+ACA30+365</f>
        <v>365</v>
      </c>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8"/>
      <c r="ADO30" s="57"/>
      <c r="ADP30" s="56" t="str">
        <f t="shared" ref="ADP30" si="157">IFERROR(VLOOKUP(ADN30,BASEPOE1,2,FALSE)," ")</f>
        <v xml:space="preserve"> </v>
      </c>
      <c r="ADQ30" s="57"/>
      <c r="ADR30" s="56"/>
      <c r="ADS30" s="59"/>
      <c r="ADT30" s="59">
        <f>+ADS30+365</f>
        <v>365</v>
      </c>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8"/>
      <c r="AFG30" s="57"/>
      <c r="AFH30" s="56" t="str">
        <f t="shared" ref="AFH30" si="158">IFERROR(VLOOKUP(AFF30,BASEPOE1,2,FALSE)," ")</f>
        <v xml:space="preserve"> </v>
      </c>
      <c r="AFI30" s="57"/>
      <c r="AFJ30" s="56"/>
      <c r="AFK30" s="59"/>
      <c r="AFL30" s="59">
        <f>+AFK30+365</f>
        <v>365</v>
      </c>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8"/>
      <c r="AGY30" s="57"/>
      <c r="AGZ30" s="56" t="str">
        <f t="shared" ref="AGZ30" si="159">IFERROR(VLOOKUP(AGX30,BASEPOE1,2,FALSE)," ")</f>
        <v xml:space="preserve"> </v>
      </c>
      <c r="AHA30" s="57"/>
      <c r="AHB30" s="56"/>
      <c r="AHC30" s="59"/>
      <c r="AHD30" s="59">
        <f>+AHC30+365</f>
        <v>365</v>
      </c>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8"/>
      <c r="AIQ30" s="57"/>
      <c r="AIR30" s="56" t="str">
        <f t="shared" ref="AIR30" si="160">IFERROR(VLOOKUP(AIP30,BASEPOE1,2,FALSE)," ")</f>
        <v xml:space="preserve"> </v>
      </c>
      <c r="AIS30" s="57"/>
      <c r="AIT30" s="56"/>
      <c r="AIU30" s="59"/>
      <c r="AIV30" s="59">
        <f>+AIU30+365</f>
        <v>365</v>
      </c>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6"/>
      <c r="AKL30" s="57"/>
      <c r="AKM30" s="57"/>
      <c r="AKN30" s="56"/>
      <c r="AKO30" s="57"/>
      <c r="AKP30" s="58"/>
      <c r="AKQ30" s="56"/>
      <c r="AKR30" s="57"/>
      <c r="AKS30" s="57"/>
      <c r="AKT30" s="57"/>
      <c r="AKU30" s="56"/>
      <c r="AKV30" s="57"/>
      <c r="AKW30" s="57"/>
      <c r="AKX30" s="56"/>
      <c r="AKY30" s="57"/>
      <c r="AKZ30" s="58"/>
      <c r="ALA30" s="56"/>
      <c r="ALB30" s="57"/>
      <c r="ALC30" s="57"/>
      <c r="ALD30" s="57"/>
      <c r="ALE30" s="56"/>
      <c r="ALF30" s="57"/>
      <c r="ALG30" s="57"/>
      <c r="ALH30" s="57"/>
      <c r="ALI30" s="57"/>
      <c r="ALJ30" s="57"/>
      <c r="ALK30" s="56"/>
      <c r="ALL30" s="57"/>
      <c r="ALM30" s="57"/>
      <c r="ALN30" s="56"/>
      <c r="ALO30" s="57"/>
      <c r="ALP30" s="58"/>
      <c r="ALQ30" s="56"/>
      <c r="ALR30" s="57"/>
      <c r="ALS30" s="57"/>
      <c r="ALT30" s="57"/>
      <c r="ALU30" s="56"/>
      <c r="ALV30" s="57"/>
      <c r="ALW30" s="57"/>
      <c r="ALX30" s="56"/>
      <c r="ALY30" s="57"/>
      <c r="ALZ30" s="58"/>
      <c r="AMA30" s="56"/>
      <c r="AMB30" s="57"/>
      <c r="AMC30" s="57"/>
      <c r="AMD30" s="57"/>
      <c r="AME30" s="56"/>
      <c r="AMF30" s="57"/>
      <c r="AMG30" s="57"/>
      <c r="AMH30" s="57"/>
      <c r="AMI30" s="57"/>
      <c r="AMJ30" s="57"/>
      <c r="AMK30" s="56"/>
      <c r="AML30" s="57"/>
      <c r="AMM30" s="57"/>
      <c r="AMN30" s="56"/>
      <c r="AMO30" s="57"/>
      <c r="AMP30" s="58"/>
      <c r="AMQ30" s="56"/>
      <c r="AMR30" s="57"/>
      <c r="AMS30" s="57"/>
      <c r="AMT30" s="57"/>
      <c r="AMU30" s="56"/>
      <c r="AMV30" s="57"/>
      <c r="AMW30" s="57"/>
      <c r="AMX30" s="56"/>
      <c r="AMY30" s="57"/>
      <c r="AMZ30" s="58"/>
      <c r="ANA30" s="56"/>
      <c r="ANB30" s="57"/>
      <c r="ANC30" s="57"/>
      <c r="AND30" s="57"/>
      <c r="ANE30" s="56"/>
      <c r="ANF30" s="57"/>
      <c r="ANG30" s="57"/>
      <c r="ANH30" s="57"/>
      <c r="ANI30" s="57"/>
      <c r="ANJ30" s="57"/>
      <c r="ANK30" s="56"/>
      <c r="ANL30" s="57"/>
      <c r="ANM30" s="57"/>
      <c r="ANN30" s="56"/>
      <c r="ANO30" s="57"/>
      <c r="ANP30" s="58"/>
      <c r="ANQ30" s="56"/>
      <c r="ANR30" s="57"/>
      <c r="ANS30" s="57"/>
      <c r="ANT30" s="57"/>
      <c r="ANU30" s="56"/>
      <c r="ANV30" s="57"/>
      <c r="ANW30" s="57"/>
      <c r="ANX30" s="56"/>
      <c r="ANY30" s="57"/>
      <c r="ANZ30" s="58"/>
      <c r="AOA30" s="56"/>
      <c r="AOB30" s="57"/>
      <c r="AOC30" s="57"/>
      <c r="AOD30" s="57"/>
      <c r="AOE30" s="56"/>
      <c r="AOF30" s="57"/>
      <c r="AOG30" s="57"/>
      <c r="AOH30" s="57"/>
      <c r="AOI30" s="57"/>
      <c r="AOJ30" s="57"/>
      <c r="AOK30" s="56"/>
      <c r="AOL30" s="57"/>
      <c r="AOM30" s="57"/>
      <c r="AON30" s="56"/>
      <c r="AOO30" s="57"/>
      <c r="AOP30" s="58"/>
      <c r="AOQ30" s="56"/>
      <c r="AOR30" s="57"/>
      <c r="AOS30" s="57"/>
      <c r="AOT30" s="57"/>
      <c r="AOU30" s="56"/>
      <c r="AOV30" s="57"/>
      <c r="AOW30" s="57"/>
      <c r="AOX30" s="56"/>
      <c r="AOY30" s="57"/>
      <c r="AOZ30" s="58"/>
      <c r="APA30" s="56"/>
      <c r="APB30" s="57"/>
      <c r="APC30" s="57"/>
      <c r="APD30" s="57"/>
      <c r="APE30" s="56"/>
      <c r="APF30" s="57"/>
      <c r="APG30" s="57"/>
      <c r="APH30" s="57"/>
      <c r="API30" s="57"/>
      <c r="APJ30" s="57"/>
      <c r="APK30" s="56"/>
      <c r="APL30" s="57"/>
      <c r="APM30" s="57"/>
      <c r="APN30" s="56"/>
      <c r="APO30" s="57"/>
      <c r="APP30" s="58"/>
      <c r="APQ30" s="56"/>
      <c r="APR30" s="57"/>
      <c r="APS30" s="57"/>
      <c r="APT30" s="57"/>
      <c r="APU30" s="56"/>
      <c r="APV30" s="57"/>
      <c r="APW30" s="57"/>
      <c r="APX30" s="56"/>
      <c r="APY30" s="57"/>
      <c r="APZ30" s="58"/>
      <c r="AQA30" s="56"/>
      <c r="AQB30" s="57"/>
      <c r="AQC30" s="57"/>
      <c r="AQD30" s="57"/>
      <c r="AQE30" s="56"/>
      <c r="AQF30" s="57"/>
      <c r="AQG30" s="57"/>
      <c r="AQH30" s="57"/>
      <c r="AQI30" s="57"/>
      <c r="AQJ30" s="57"/>
      <c r="AQK30" s="56"/>
      <c r="AQL30" s="57"/>
      <c r="AQM30" s="57"/>
      <c r="AQN30" s="56"/>
      <c r="AQO30" s="57"/>
      <c r="AQP30" s="58"/>
      <c r="AQQ30" s="56"/>
      <c r="AQR30" s="57"/>
      <c r="AQS30" s="57"/>
      <c r="AQT30" s="57"/>
      <c r="AQU30" s="56"/>
      <c r="AQV30" s="57"/>
      <c r="AQW30" s="57"/>
      <c r="AQX30" s="56"/>
      <c r="AQY30" s="57"/>
      <c r="AQZ30" s="58"/>
      <c r="ARA30" s="56"/>
      <c r="ARB30" s="57"/>
      <c r="ARC30" s="57"/>
      <c r="ARD30" s="57"/>
      <c r="ARE30" s="56"/>
      <c r="ARF30" s="57"/>
      <c r="ARG30" s="57"/>
      <c r="ARH30" s="57"/>
      <c r="ARI30" s="57"/>
      <c r="ARJ30" s="57"/>
      <c r="ARK30" s="56"/>
      <c r="ARL30" s="57"/>
      <c r="ARM30" s="57"/>
      <c r="ARN30" s="56"/>
      <c r="ARO30" s="57"/>
      <c r="ARP30" s="58"/>
      <c r="ARQ30" s="56"/>
      <c r="ARR30" s="57"/>
      <c r="ARS30" s="57"/>
      <c r="ART30" s="57"/>
      <c r="ARU30" s="56"/>
      <c r="ARV30" s="57"/>
      <c r="ARW30" s="57"/>
      <c r="ARX30" s="56"/>
      <c r="ARY30" s="57"/>
      <c r="ARZ30" s="58"/>
      <c r="ASA30" s="56"/>
      <c r="ASB30" s="57"/>
      <c r="ASC30" s="57"/>
      <c r="ASD30" s="57"/>
      <c r="ASE30" s="56"/>
      <c r="ASF30" s="57"/>
      <c r="ASG30" s="57"/>
      <c r="ASH30" s="57"/>
      <c r="ASI30" s="57"/>
      <c r="ASJ30" s="57"/>
      <c r="ASK30" s="56"/>
      <c r="ASL30" s="57"/>
      <c r="ASM30" s="57"/>
      <c r="ASN30" s="56"/>
      <c r="ASO30" s="57"/>
      <c r="ASP30" s="58"/>
      <c r="ASQ30" s="56"/>
      <c r="ASR30" s="57"/>
      <c r="ASS30" s="57"/>
      <c r="AST30" s="57"/>
      <c r="ASU30" s="56"/>
      <c r="ASV30" s="57"/>
      <c r="ASW30" s="57"/>
      <c r="ASX30" s="56"/>
      <c r="ASY30" s="57"/>
      <c r="ASZ30" s="58"/>
      <c r="ATA30" s="56"/>
      <c r="ATB30" s="57"/>
      <c r="ATC30" s="57"/>
      <c r="ATD30" s="57"/>
      <c r="ATE30" s="56"/>
      <c r="ATF30" s="57"/>
      <c r="ATG30" s="57"/>
      <c r="ATH30" s="57"/>
      <c r="ATI30" s="57"/>
      <c r="ATJ30" s="57"/>
      <c r="ATK30" s="56"/>
      <c r="ATL30" s="57"/>
      <c r="ATM30" s="57"/>
      <c r="ATN30" s="56"/>
      <c r="ATO30" s="57"/>
      <c r="ATP30" s="58"/>
      <c r="ATQ30" s="56"/>
      <c r="ATR30" s="57"/>
      <c r="ATS30" s="57"/>
      <c r="ATT30" s="57"/>
      <c r="ATU30" s="56"/>
      <c r="ATV30" s="57"/>
      <c r="ATW30" s="57"/>
      <c r="ATX30" s="56"/>
      <c r="ATY30" s="57"/>
      <c r="ATZ30" s="58"/>
      <c r="AUA30" s="56"/>
      <c r="AUB30" s="57"/>
      <c r="AUC30" s="57"/>
      <c r="AUD30" s="57"/>
      <c r="AUE30" s="56"/>
      <c r="AUF30" s="57"/>
      <c r="AUG30" s="57"/>
      <c r="AUH30" s="57"/>
      <c r="AUI30" s="57"/>
      <c r="AUJ30" s="57"/>
      <c r="AUK30" s="56"/>
      <c r="AUL30" s="57"/>
      <c r="AUM30" s="57"/>
      <c r="AUN30" s="56"/>
      <c r="AUO30" s="57"/>
      <c r="AUP30" s="58"/>
      <c r="AUQ30" s="56"/>
      <c r="AUR30" s="57"/>
      <c r="AUS30" s="57"/>
      <c r="AUT30" s="57"/>
      <c r="AUU30" s="56"/>
      <c r="AUV30" s="57"/>
      <c r="AUW30" s="57"/>
      <c r="AUX30" s="56"/>
      <c r="AUY30" s="57"/>
      <c r="AUZ30" s="58"/>
      <c r="AVA30" s="56"/>
      <c r="AVB30" s="57"/>
      <c r="AVC30" s="57"/>
      <c r="AVD30" s="57"/>
      <c r="AVE30" s="56"/>
      <c r="AVF30" s="57"/>
      <c r="AVG30" s="57"/>
      <c r="AVH30" s="57"/>
      <c r="AVI30" s="57"/>
      <c r="AVJ30" s="57"/>
      <c r="AVK30" s="56"/>
      <c r="AVL30" s="57"/>
      <c r="AVM30" s="57"/>
      <c r="AVN30" s="56"/>
      <c r="AVO30" s="57"/>
      <c r="AVP30" s="58"/>
      <c r="AVQ30" s="56"/>
      <c r="AVR30" s="57"/>
      <c r="AVS30" s="57"/>
      <c r="AVT30" s="57"/>
      <c r="AVU30" s="56"/>
      <c r="AVV30" s="57"/>
      <c r="AVW30" s="57"/>
      <c r="AVX30" s="56"/>
      <c r="AVY30" s="57"/>
      <c r="AVZ30" s="58"/>
      <c r="AWA30" s="56"/>
      <c r="AWB30" s="57"/>
      <c r="AWC30" s="57"/>
      <c r="AWD30" s="57"/>
      <c r="AWE30" s="56"/>
      <c r="AWF30" s="57"/>
      <c r="AWG30" s="57"/>
      <c r="AWH30" s="57"/>
      <c r="AWI30" s="57"/>
      <c r="AWJ30" s="57"/>
      <c r="AWK30" s="56"/>
      <c r="AWL30" s="57"/>
      <c r="AWM30" s="57"/>
      <c r="AWN30" s="56"/>
      <c r="AWO30" s="57"/>
      <c r="AWP30" s="58"/>
      <c r="AWQ30" s="56"/>
      <c r="AWR30" s="57"/>
      <c r="AWS30" s="57"/>
      <c r="AWT30" s="57"/>
      <c r="AWU30" s="56"/>
      <c r="AWV30" s="57"/>
      <c r="AWW30" s="57"/>
      <c r="AWX30" s="56"/>
      <c r="AWY30" s="57"/>
      <c r="AWZ30" s="58"/>
      <c r="AXA30" s="56"/>
      <c r="AXB30" s="57"/>
      <c r="AXC30" s="57"/>
      <c r="AXD30" s="57"/>
      <c r="AXE30" s="56"/>
      <c r="AXF30" s="57"/>
      <c r="AXG30" s="57"/>
      <c r="AXH30" s="57"/>
      <c r="AXI30" s="57"/>
      <c r="AXJ30" s="57"/>
      <c r="AXK30" s="56"/>
      <c r="AXL30" s="57"/>
      <c r="AXM30" s="57"/>
      <c r="AXN30" s="56"/>
      <c r="AXO30" s="57"/>
      <c r="AXP30" s="58"/>
      <c r="AXQ30" s="56"/>
      <c r="AXR30" s="57"/>
      <c r="AXS30" s="57"/>
      <c r="AXT30" s="57"/>
      <c r="AXU30" s="56"/>
      <c r="AXV30" s="57"/>
      <c r="AXW30" s="57"/>
      <c r="AXX30" s="56"/>
      <c r="AXY30" s="57"/>
      <c r="AXZ30" s="58"/>
      <c r="AYA30" s="56"/>
      <c r="AYB30" s="57"/>
      <c r="AYC30" s="57"/>
      <c r="AYD30" s="57"/>
      <c r="AYE30" s="56"/>
      <c r="AYF30" s="57"/>
      <c r="AYG30" s="57"/>
      <c r="AYH30" s="57"/>
      <c r="AYI30" s="57"/>
      <c r="AYJ30" s="57"/>
      <c r="AYK30" s="56"/>
      <c r="AYL30" s="57"/>
      <c r="AYM30" s="57"/>
      <c r="AYN30" s="56"/>
      <c r="AYO30" s="57"/>
      <c r="AYP30" s="58"/>
      <c r="AYQ30" s="56"/>
      <c r="AYR30" s="57"/>
      <c r="AYS30" s="57"/>
      <c r="AYT30" s="57"/>
      <c r="AYU30" s="56"/>
      <c r="AYV30" s="57"/>
      <c r="AYW30" s="57"/>
      <c r="AYX30" s="56"/>
      <c r="AYY30" s="57"/>
      <c r="AYZ30" s="58"/>
      <c r="AZA30" s="56"/>
      <c r="AZB30" s="57"/>
      <c r="AZC30" s="57"/>
      <c r="AZD30" s="57"/>
      <c r="AZE30" s="56"/>
      <c r="AZF30" s="57"/>
      <c r="AZG30" s="57"/>
      <c r="AZH30" s="57"/>
      <c r="AZI30" s="57"/>
      <c r="AZJ30" s="57"/>
      <c r="AZK30" s="56"/>
      <c r="AZL30" s="57"/>
      <c r="AZM30" s="57"/>
      <c r="AZN30" s="56"/>
      <c r="AZO30" s="57"/>
      <c r="AZP30" s="58"/>
      <c r="AZQ30" s="56"/>
      <c r="AZR30" s="57"/>
      <c r="AZS30" s="57"/>
      <c r="AZT30" s="57"/>
      <c r="AZU30" s="56"/>
      <c r="AZV30" s="57"/>
      <c r="AZW30" s="57"/>
      <c r="AZX30" s="56"/>
      <c r="AZY30" s="57"/>
      <c r="AZZ30" s="58"/>
      <c r="BAA30" s="56"/>
      <c r="BAB30" s="57"/>
      <c r="BAC30" s="57"/>
      <c r="BAD30" s="57"/>
      <c r="BAE30" s="56"/>
      <c r="BAF30" s="57"/>
      <c r="BAG30" s="57"/>
      <c r="BAH30" s="57"/>
      <c r="BAI30" s="57"/>
      <c r="BAJ30" s="57"/>
      <c r="BAK30" s="56"/>
      <c r="BAL30" s="57"/>
      <c r="BAM30" s="57"/>
      <c r="BAN30" s="56"/>
      <c r="BAO30" s="57"/>
      <c r="BAP30" s="58"/>
      <c r="BAQ30" s="56"/>
      <c r="BAR30" s="57"/>
      <c r="BAS30" s="57"/>
      <c r="BAT30" s="57"/>
      <c r="BAU30" s="56"/>
      <c r="BAV30" s="57"/>
      <c r="BAW30" s="57"/>
      <c r="BAX30" s="56"/>
      <c r="BAY30" s="57"/>
      <c r="BAZ30" s="58"/>
      <c r="BBA30" s="56"/>
      <c r="BBB30" s="57"/>
      <c r="BBC30" s="57"/>
      <c r="BBD30" s="57"/>
      <c r="BBE30" s="56"/>
      <c r="BBF30" s="57"/>
      <c r="BBG30" s="57"/>
      <c r="BBH30" s="57"/>
      <c r="BBI30" s="57"/>
      <c r="BBJ30" s="57"/>
      <c r="BBK30" s="56"/>
      <c r="BBL30" s="57"/>
      <c r="BBM30" s="57"/>
      <c r="BBN30" s="56"/>
      <c r="BBO30" s="57"/>
      <c r="BBP30" s="58"/>
      <c r="BBQ30" s="56"/>
      <c r="BBR30" s="57"/>
      <c r="BBS30" s="57"/>
      <c r="BBT30" s="57"/>
      <c r="BBU30" s="56"/>
      <c r="BBV30" s="57"/>
      <c r="BBW30" s="57"/>
      <c r="BBX30" s="56"/>
      <c r="BBY30" s="57"/>
      <c r="BBZ30" s="58"/>
      <c r="BCA30" s="56"/>
      <c r="BCB30" s="57"/>
      <c r="BCC30" s="57"/>
      <c r="BCD30" s="57"/>
      <c r="BCE30" s="56"/>
      <c r="BCF30" s="57"/>
      <c r="BCG30" s="57"/>
      <c r="BCH30" s="57"/>
      <c r="BCI30" s="57"/>
      <c r="BCJ30" s="57"/>
      <c r="BCK30" s="56"/>
      <c r="BCL30" s="57"/>
      <c r="BCM30" s="57"/>
      <c r="BCN30" s="56"/>
      <c r="BCO30" s="57"/>
      <c r="BCP30" s="58"/>
      <c r="BCQ30" s="56"/>
      <c r="BCR30" s="57"/>
      <c r="BCS30" s="57"/>
      <c r="BCT30" s="57"/>
      <c r="BCU30" s="56"/>
      <c r="BCV30" s="57"/>
      <c r="BCW30" s="57"/>
      <c r="BCX30" s="56"/>
      <c r="BCY30" s="57"/>
      <c r="BCZ30" s="58"/>
      <c r="BDA30" s="56"/>
      <c r="BDB30" s="57"/>
      <c r="BDC30" s="57"/>
      <c r="BDD30" s="57"/>
      <c r="BDE30" s="56"/>
      <c r="BDF30" s="57"/>
      <c r="BDG30" s="57"/>
      <c r="BDH30" s="57"/>
      <c r="BDI30" s="57"/>
      <c r="BDJ30" s="57"/>
      <c r="BDK30" s="56"/>
      <c r="BDL30" s="57"/>
      <c r="BDM30" s="57"/>
      <c r="BDN30" s="56"/>
      <c r="BDO30" s="57"/>
      <c r="BDP30" s="58"/>
      <c r="BDQ30" s="56"/>
      <c r="BDR30" s="57"/>
      <c r="BDS30" s="57"/>
      <c r="BDT30" s="57"/>
      <c r="BDU30" s="56"/>
      <c r="BDV30" s="57"/>
      <c r="BDW30" s="57"/>
      <c r="BDX30" s="56"/>
      <c r="BDY30" s="57"/>
      <c r="BDZ30" s="58"/>
      <c r="BEA30" s="56"/>
      <c r="BEB30" s="57"/>
      <c r="BEC30" s="57"/>
      <c r="BED30" s="57"/>
      <c r="BEE30" s="56"/>
      <c r="BEF30" s="57"/>
      <c r="BEG30" s="57"/>
      <c r="BEH30" s="57"/>
      <c r="BEI30" s="57"/>
      <c r="BEJ30" s="57"/>
      <c r="BEK30" s="56"/>
      <c r="BEL30" s="57"/>
      <c r="BEM30" s="57"/>
      <c r="BEN30" s="56"/>
      <c r="BEO30" s="57"/>
      <c r="BEP30" s="58"/>
      <c r="BEQ30" s="56"/>
      <c r="BER30" s="57"/>
      <c r="BES30" s="57"/>
      <c r="BET30" s="57"/>
      <c r="BEU30" s="56"/>
      <c r="BEV30" s="57"/>
      <c r="BEW30" s="57"/>
      <c r="BEX30" s="56"/>
      <c r="BEY30" s="57"/>
      <c r="BEZ30" s="58"/>
      <c r="BFA30" s="56"/>
      <c r="BFB30" s="57"/>
      <c r="BFC30" s="57"/>
      <c r="BFD30" s="57"/>
      <c r="BFE30" s="56"/>
      <c r="BFF30" s="57"/>
      <c r="BFG30" s="57"/>
      <c r="BFH30" s="57"/>
      <c r="BFI30" s="57"/>
      <c r="BFJ30" s="57"/>
      <c r="BFK30" s="56"/>
      <c r="BFL30" s="57"/>
      <c r="BFM30" s="57"/>
      <c r="BFN30" s="56"/>
      <c r="BFO30" s="57"/>
      <c r="BFP30" s="58"/>
      <c r="BFQ30" s="56"/>
      <c r="BFR30" s="57"/>
      <c r="BFS30" s="57"/>
      <c r="BFT30" s="57"/>
      <c r="BFU30" s="56"/>
      <c r="BFV30" s="57"/>
      <c r="BFW30" s="57"/>
      <c r="BFX30" s="56"/>
      <c r="BFY30" s="57"/>
      <c r="BFZ30" s="58"/>
      <c r="BGA30" s="56"/>
      <c r="BGB30" s="57"/>
      <c r="BGC30" s="57"/>
      <c r="BGD30" s="57"/>
      <c r="BGE30" s="56"/>
      <c r="BGF30" s="57"/>
      <c r="BGG30" s="57"/>
      <c r="BGH30" s="57"/>
      <c r="BGI30" s="57"/>
      <c r="BGJ30" s="57"/>
      <c r="BGK30" s="56"/>
      <c r="BGL30" s="57"/>
      <c r="BGM30" s="57"/>
      <c r="BGN30" s="56"/>
      <c r="BGO30" s="57"/>
      <c r="BGP30" s="58"/>
      <c r="BGQ30" s="56"/>
      <c r="BGR30" s="57"/>
      <c r="BGS30" s="57"/>
      <c r="BGT30" s="57"/>
      <c r="BGU30" s="56"/>
      <c r="BGV30" s="57"/>
      <c r="BGW30" s="57"/>
      <c r="BGX30" s="56"/>
      <c r="BGY30" s="57"/>
      <c r="BGZ30" s="58"/>
      <c r="BHA30" s="56"/>
      <c r="BHB30" s="57"/>
      <c r="BHC30" s="57"/>
      <c r="BHD30" s="57"/>
      <c r="BHE30" s="56"/>
      <c r="BHF30" s="57"/>
      <c r="BHG30" s="57"/>
      <c r="BHH30" s="57"/>
      <c r="BHI30" s="57"/>
      <c r="BHJ30" s="57"/>
      <c r="BHK30" s="56"/>
      <c r="BHL30" s="57"/>
      <c r="BHM30" s="57"/>
      <c r="BHN30" s="56"/>
      <c r="BHO30" s="57"/>
      <c r="BHP30" s="58"/>
      <c r="BHQ30" s="56"/>
      <c r="BHR30" s="57"/>
      <c r="BHS30" s="57"/>
      <c r="BHT30" s="57"/>
      <c r="BHU30" s="56"/>
      <c r="BHV30" s="57"/>
      <c r="BHW30" s="57"/>
      <c r="BHX30" s="56"/>
      <c r="BHY30" s="57"/>
      <c r="BHZ30" s="58"/>
      <c r="BIA30" s="56"/>
      <c r="BIB30" s="57"/>
      <c r="BIC30" s="57"/>
      <c r="BID30" s="57"/>
      <c r="BIE30" s="56"/>
      <c r="BIF30" s="57"/>
      <c r="BIG30" s="57"/>
      <c r="BIH30" s="57"/>
      <c r="BII30" s="57"/>
      <c r="BIJ30" s="57"/>
      <c r="BIK30" s="56"/>
      <c r="BIL30" s="57"/>
      <c r="BIM30" s="57"/>
      <c r="BIN30" s="56"/>
      <c r="BIO30" s="57"/>
      <c r="BIP30" s="58"/>
      <c r="BIQ30" s="56"/>
      <c r="BIR30" s="57"/>
      <c r="BIS30" s="57"/>
      <c r="BIT30" s="57"/>
      <c r="BIU30" s="56"/>
      <c r="BIV30" s="57"/>
      <c r="BIW30" s="57"/>
      <c r="BIX30" s="56"/>
      <c r="BIY30" s="57"/>
      <c r="BIZ30" s="58"/>
      <c r="BJA30" s="56"/>
      <c r="BJB30" s="57"/>
      <c r="BJC30" s="57"/>
      <c r="BJD30" s="57"/>
      <c r="BJE30" s="56"/>
      <c r="BJF30" s="57"/>
      <c r="BJG30" s="57"/>
      <c r="BJH30" s="57"/>
      <c r="BJI30" s="57"/>
      <c r="BJJ30" s="57"/>
      <c r="BJK30" s="56"/>
      <c r="BJL30" s="57"/>
      <c r="BJM30" s="57"/>
      <c r="BJN30" s="56"/>
      <c r="BJO30" s="57"/>
      <c r="BJP30" s="58"/>
      <c r="BJQ30" s="56"/>
      <c r="BJR30" s="57"/>
      <c r="BJS30" s="57"/>
      <c r="BJT30" s="57"/>
      <c r="BJU30" s="56"/>
      <c r="BJV30" s="57"/>
      <c r="BJW30" s="57"/>
      <c r="BJX30" s="56"/>
      <c r="BJY30" s="57"/>
      <c r="BJZ30" s="58"/>
      <c r="BKA30" s="56"/>
      <c r="BKB30" s="57"/>
      <c r="BKC30" s="57"/>
      <c r="BKD30" s="57"/>
      <c r="BKE30" s="56"/>
      <c r="BKF30" s="57"/>
      <c r="BKG30" s="57"/>
      <c r="BKH30" s="57"/>
      <c r="BKI30" s="57"/>
      <c r="BKJ30" s="57"/>
      <c r="BKK30" s="56"/>
      <c r="BKL30" s="57"/>
      <c r="BKM30" s="57"/>
      <c r="BKN30" s="56"/>
      <c r="BKO30" s="57"/>
      <c r="BKP30" s="58"/>
      <c r="BKQ30" s="56"/>
      <c r="BKR30" s="57"/>
      <c r="BKS30" s="57"/>
      <c r="BKT30" s="57"/>
      <c r="BKU30" s="56"/>
      <c r="BKV30" s="57"/>
      <c r="BKW30" s="57"/>
      <c r="BKX30" s="56"/>
      <c r="BKY30" s="57"/>
      <c r="BKZ30" s="58"/>
      <c r="BLA30" s="56"/>
      <c r="BLB30" s="57"/>
      <c r="BLC30" s="57"/>
      <c r="BLD30" s="57"/>
      <c r="BLE30" s="56"/>
      <c r="BLF30" s="57"/>
      <c r="BLG30" s="57"/>
      <c r="BLH30" s="57"/>
      <c r="BLI30" s="57"/>
      <c r="BLJ30" s="57"/>
      <c r="BLK30" s="56"/>
      <c r="BLL30" s="57"/>
      <c r="BLM30" s="57"/>
      <c r="BLN30" s="56"/>
      <c r="BLO30" s="57"/>
      <c r="BLP30" s="58"/>
      <c r="BLQ30" s="56"/>
      <c r="BLR30" s="57"/>
      <c r="BLS30" s="57"/>
      <c r="BLT30" s="57"/>
      <c r="BLU30" s="56"/>
      <c r="BLV30" s="57"/>
      <c r="BLW30" s="57"/>
      <c r="BLX30" s="56"/>
      <c r="BLY30" s="57"/>
      <c r="BLZ30" s="58"/>
      <c r="BMA30" s="56"/>
      <c r="BMB30" s="57"/>
      <c r="BMC30" s="57"/>
      <c r="BMD30" s="57"/>
      <c r="BME30" s="56"/>
      <c r="BMF30" s="57"/>
      <c r="BMG30" s="57"/>
      <c r="BMH30" s="57"/>
      <c r="BMI30" s="57"/>
      <c r="BMJ30" s="57"/>
      <c r="BMK30" s="56"/>
      <c r="BML30" s="57"/>
      <c r="BMM30" s="57"/>
      <c r="BMN30" s="56"/>
      <c r="BMO30" s="57"/>
      <c r="BMP30" s="58"/>
      <c r="BMQ30" s="56"/>
      <c r="BMR30" s="57"/>
      <c r="BMS30" s="57"/>
      <c r="BMT30" s="57"/>
      <c r="BMU30" s="56"/>
      <c r="BMV30" s="57"/>
      <c r="BMW30" s="57"/>
      <c r="BMX30" s="56"/>
      <c r="BMY30" s="57"/>
      <c r="BMZ30" s="58"/>
      <c r="BNA30" s="56"/>
      <c r="BNB30" s="57"/>
      <c r="BNC30" s="57"/>
      <c r="BND30" s="57"/>
      <c r="BNE30" s="56"/>
      <c r="BNF30" s="57"/>
      <c r="BNG30" s="57"/>
      <c r="BNH30" s="57"/>
      <c r="BNI30" s="57"/>
      <c r="BNJ30" s="57"/>
      <c r="BNK30" s="56"/>
      <c r="BNL30" s="57"/>
      <c r="BNM30" s="57"/>
      <c r="BNN30" s="56"/>
      <c r="BNO30" s="57"/>
      <c r="BNP30" s="58"/>
      <c r="BNQ30" s="56"/>
      <c r="BNR30" s="57"/>
      <c r="BNS30" s="57"/>
      <c r="BNT30" s="57"/>
      <c r="BNU30" s="56"/>
      <c r="BNV30" s="57"/>
      <c r="BNW30" s="57"/>
      <c r="BNX30" s="56"/>
      <c r="BNY30" s="57"/>
      <c r="BNZ30" s="58"/>
      <c r="BOA30" s="56"/>
      <c r="BOB30" s="57"/>
      <c r="BOC30" s="57"/>
      <c r="BOD30" s="57"/>
      <c r="BOE30" s="56"/>
      <c r="BOF30" s="57"/>
      <c r="BOG30" s="57"/>
      <c r="BOH30" s="57"/>
      <c r="BOI30" s="57"/>
      <c r="BOJ30" s="57"/>
      <c r="BOK30" s="56"/>
      <c r="BOL30" s="57"/>
      <c r="BOM30" s="57"/>
      <c r="BON30" s="56"/>
      <c r="BOO30" s="57"/>
      <c r="BOP30" s="58"/>
      <c r="BOQ30" s="56"/>
      <c r="BOR30" s="57"/>
      <c r="BOS30" s="57"/>
      <c r="BOT30" s="57"/>
      <c r="BOU30" s="56"/>
      <c r="BOV30" s="57"/>
      <c r="BOW30" s="57"/>
      <c r="BOX30" s="56"/>
      <c r="BOY30" s="57"/>
      <c r="BOZ30" s="58"/>
      <c r="BPA30" s="56"/>
      <c r="BPB30" s="57"/>
      <c r="BPC30" s="57"/>
      <c r="BPD30" s="57"/>
      <c r="BPE30" s="56"/>
      <c r="BPF30" s="57"/>
      <c r="BPG30" s="57"/>
      <c r="BPH30" s="57"/>
      <c r="BPI30" s="57"/>
      <c r="BPJ30" s="57"/>
      <c r="BPK30" s="56"/>
      <c r="BPL30" s="57"/>
      <c r="BPM30" s="57"/>
      <c r="BPN30" s="56"/>
      <c r="BPO30" s="57"/>
      <c r="BPP30" s="58"/>
      <c r="BPQ30" s="56"/>
      <c r="BPR30" s="57"/>
      <c r="BPS30" s="57"/>
      <c r="BPT30" s="57"/>
      <c r="BPU30" s="56"/>
      <c r="BPV30" s="57"/>
      <c r="BPW30" s="57"/>
      <c r="BPX30" s="56"/>
      <c r="BPY30" s="57"/>
      <c r="BPZ30" s="58"/>
      <c r="BQA30" s="56"/>
      <c r="BQB30" s="57"/>
      <c r="BQC30" s="57"/>
      <c r="BQD30" s="57"/>
      <c r="BQE30" s="56"/>
      <c r="BQF30" s="57"/>
      <c r="BQG30" s="57"/>
      <c r="BQH30" s="57"/>
      <c r="BQI30" s="57"/>
      <c r="BQJ30" s="57"/>
      <c r="BQK30" s="56"/>
      <c r="BQL30" s="57"/>
      <c r="BQM30" s="57"/>
      <c r="BQN30" s="56"/>
      <c r="BQO30" s="57"/>
      <c r="BQP30" s="58"/>
      <c r="BQQ30" s="56"/>
      <c r="BQR30" s="57"/>
      <c r="BQS30" s="57"/>
      <c r="BQT30" s="57"/>
      <c r="BQU30" s="56"/>
      <c r="BQV30" s="57"/>
      <c r="BQW30" s="57"/>
      <c r="BQX30" s="56"/>
      <c r="BQY30" s="57"/>
      <c r="BQZ30" s="58"/>
      <c r="BRA30" s="56"/>
      <c r="BRB30" s="57"/>
      <c r="BRC30" s="57"/>
      <c r="BRD30" s="57"/>
      <c r="BRE30" s="56"/>
      <c r="BRF30" s="57"/>
      <c r="BRG30" s="57"/>
      <c r="BRH30" s="57"/>
      <c r="BRI30" s="57"/>
      <c r="BRJ30" s="57"/>
      <c r="BRK30" s="56"/>
      <c r="BRL30" s="57"/>
      <c r="BRM30" s="57"/>
      <c r="BRN30" s="56"/>
      <c r="BRO30" s="57"/>
      <c r="BRP30" s="58"/>
      <c r="BRQ30" s="56"/>
      <c r="BRR30" s="57"/>
      <c r="BRS30" s="57"/>
      <c r="BRT30" s="57"/>
      <c r="BRU30" s="56"/>
      <c r="BRV30" s="57"/>
      <c r="BRW30" s="57"/>
      <c r="BRX30" s="56"/>
      <c r="BRY30" s="57"/>
      <c r="BRZ30" s="58"/>
      <c r="BSA30" s="56"/>
      <c r="BSB30" s="57"/>
      <c r="BSC30" s="57"/>
      <c r="BSD30" s="57"/>
      <c r="BSE30" s="56"/>
      <c r="BSF30" s="57"/>
      <c r="BSG30" s="57"/>
      <c r="BSH30" s="57"/>
      <c r="BSI30" s="57"/>
      <c r="BSJ30" s="57"/>
      <c r="BSK30" s="56"/>
      <c r="BSL30" s="57"/>
      <c r="BSM30" s="57"/>
      <c r="BSN30" s="56"/>
      <c r="BSO30" s="57"/>
      <c r="BSP30" s="58"/>
      <c r="BSQ30" s="56"/>
      <c r="BSR30" s="57"/>
      <c r="BSS30" s="57"/>
      <c r="BST30" s="57"/>
      <c r="BSU30" s="56"/>
      <c r="BSV30" s="57"/>
      <c r="BSW30" s="57"/>
      <c r="BSX30" s="56"/>
      <c r="BSY30" s="57"/>
      <c r="BSZ30" s="58"/>
      <c r="BTA30" s="56"/>
      <c r="BTB30" s="57"/>
      <c r="BTC30" s="57"/>
      <c r="BTD30" s="57"/>
      <c r="BTE30" s="56"/>
      <c r="BTF30" s="57"/>
      <c r="BTG30" s="57"/>
      <c r="BTH30" s="57"/>
      <c r="BTI30" s="57"/>
      <c r="BTJ30" s="57"/>
      <c r="BTK30" s="56"/>
      <c r="BTL30" s="57"/>
      <c r="BTM30" s="57"/>
      <c r="BTN30" s="56"/>
      <c r="BTO30" s="57"/>
      <c r="BTP30" s="58"/>
      <c r="BTQ30" s="56"/>
      <c r="BTR30" s="57"/>
      <c r="BTS30" s="57"/>
      <c r="BTT30" s="57"/>
      <c r="BTU30" s="56"/>
      <c r="BTV30" s="57"/>
      <c r="BTW30" s="57"/>
      <c r="BTX30" s="56"/>
      <c r="BTY30" s="57"/>
      <c r="BTZ30" s="58"/>
      <c r="BUA30" s="56"/>
      <c r="BUB30" s="57"/>
      <c r="BUC30" s="57"/>
      <c r="BUD30" s="57"/>
      <c r="BUE30" s="56"/>
      <c r="BUF30" s="57"/>
      <c r="BUG30" s="57"/>
      <c r="BUH30" s="57"/>
      <c r="BUI30" s="57"/>
      <c r="BUJ30" s="57"/>
      <c r="BUK30" s="56"/>
      <c r="BUL30" s="57"/>
      <c r="BUM30" s="57"/>
      <c r="BUN30" s="56"/>
      <c r="BUO30" s="57"/>
      <c r="BUP30" s="58"/>
      <c r="BUQ30" s="56"/>
      <c r="BUR30" s="57"/>
      <c r="BUS30" s="57"/>
      <c r="BUT30" s="57"/>
      <c r="BUU30" s="56"/>
      <c r="BUV30" s="57"/>
      <c r="BUW30" s="57"/>
      <c r="BUX30" s="56"/>
      <c r="BUY30" s="57"/>
      <c r="BUZ30" s="58"/>
      <c r="BVA30" s="56"/>
      <c r="BVB30" s="57"/>
      <c r="BVC30" s="57"/>
      <c r="BVD30" s="57"/>
      <c r="BVE30" s="56"/>
      <c r="BVF30" s="57"/>
      <c r="BVG30" s="57"/>
      <c r="BVH30" s="57"/>
      <c r="BVI30" s="57"/>
      <c r="BVJ30" s="57"/>
      <c r="BVK30" s="56"/>
      <c r="BVL30" s="57"/>
      <c r="BVM30" s="57"/>
      <c r="BVN30" s="56"/>
      <c r="BVO30" s="57"/>
      <c r="BVP30" s="58"/>
      <c r="BVQ30" s="56"/>
      <c r="BVR30" s="57"/>
      <c r="BVS30" s="57"/>
      <c r="BVT30" s="57"/>
      <c r="BVU30" s="56"/>
      <c r="BVV30" s="57"/>
      <c r="BVW30" s="57"/>
      <c r="BVX30" s="56"/>
      <c r="BVY30" s="57"/>
      <c r="BVZ30" s="58"/>
      <c r="BWA30" s="56"/>
      <c r="BWB30" s="57"/>
      <c r="BWC30" s="57"/>
      <c r="BWD30" s="57"/>
      <c r="BWE30" s="56"/>
      <c r="BWF30" s="57"/>
      <c r="BWG30" s="57"/>
      <c r="BWH30" s="57"/>
      <c r="BWI30" s="57"/>
      <c r="BWJ30" s="57"/>
      <c r="BWK30" s="56"/>
      <c r="BWL30" s="57"/>
      <c r="BWM30" s="57"/>
      <c r="BWN30" s="56"/>
      <c r="BWO30" s="57"/>
      <c r="BWP30" s="58"/>
      <c r="BWQ30" s="56"/>
      <c r="BWR30" s="57"/>
      <c r="BWS30" s="57"/>
      <c r="BWT30" s="57"/>
      <c r="BWU30" s="56"/>
      <c r="BWV30" s="57"/>
      <c r="BWW30" s="57"/>
      <c r="BWX30" s="56"/>
      <c r="BWY30" s="57"/>
      <c r="BWZ30" s="58"/>
      <c r="BXA30" s="56"/>
      <c r="BXB30" s="57"/>
      <c r="BXC30" s="57"/>
      <c r="BXD30" s="57"/>
      <c r="BXE30" s="56"/>
      <c r="BXF30" s="57"/>
      <c r="BXG30" s="57"/>
      <c r="BXH30" s="57"/>
      <c r="BXI30" s="57"/>
      <c r="BXJ30" s="57"/>
      <c r="BXK30" s="56"/>
      <c r="BXL30" s="57"/>
      <c r="BXM30" s="57"/>
      <c r="BXN30" s="56"/>
      <c r="BXO30" s="57"/>
      <c r="BXP30" s="58"/>
      <c r="BXQ30" s="56"/>
      <c r="BXR30" s="57"/>
      <c r="BXS30" s="57"/>
      <c r="BXT30" s="57"/>
      <c r="BXU30" s="56"/>
      <c r="BXV30" s="57"/>
      <c r="BXW30" s="57"/>
      <c r="BXX30" s="56"/>
      <c r="BXY30" s="57"/>
      <c r="BXZ30" s="58"/>
      <c r="BYA30" s="56"/>
      <c r="BYB30" s="57"/>
      <c r="BYC30" s="57"/>
      <c r="BYD30" s="57"/>
      <c r="BYE30" s="56"/>
      <c r="BYF30" s="57"/>
      <c r="BYG30" s="57"/>
      <c r="BYH30" s="57"/>
      <c r="BYI30" s="57"/>
      <c r="BYJ30" s="57"/>
      <c r="BYK30" s="56"/>
      <c r="BYL30" s="57"/>
      <c r="BYM30" s="57"/>
      <c r="BYN30" s="56"/>
      <c r="BYO30" s="57"/>
      <c r="BYP30" s="58"/>
      <c r="BYQ30" s="56"/>
      <c r="BYR30" s="57"/>
      <c r="BYS30" s="57"/>
      <c r="BYT30" s="57"/>
      <c r="BYU30" s="56"/>
      <c r="BYV30" s="57"/>
      <c r="BYW30" s="57"/>
      <c r="BYX30" s="58"/>
      <c r="BYY30" s="57"/>
      <c r="BYZ30" s="56"/>
      <c r="BZA30" s="57"/>
      <c r="BZB30" s="56"/>
      <c r="BZC30" s="56"/>
      <c r="BZD30" s="56"/>
      <c r="BZE30" s="57"/>
      <c r="BZF30" s="387"/>
      <c r="BZG30" s="57"/>
      <c r="BZH30" s="387"/>
      <c r="BZI30" s="57"/>
      <c r="BZJ30" s="387"/>
      <c r="BZK30" s="57"/>
      <c r="BZL30" s="57"/>
      <c r="BZM30" s="57"/>
      <c r="BZN30" s="57"/>
      <c r="BZO30" s="57"/>
      <c r="BZP30" s="57"/>
      <c r="BZQ30" s="57"/>
      <c r="BZR30" s="57"/>
      <c r="BZS30" s="57"/>
      <c r="BZT30" s="57"/>
      <c r="BZU30" s="57"/>
      <c r="BZV30" s="57"/>
      <c r="BZW30" s="57"/>
      <c r="BZX30" s="57"/>
      <c r="BZY30" s="57"/>
      <c r="BZZ30" s="57"/>
      <c r="CAA30" s="57"/>
      <c r="CAB30" s="57"/>
      <c r="CAC30" s="57"/>
      <c r="CAD30" s="57"/>
      <c r="CAE30" s="57"/>
      <c r="CAF30" s="57"/>
      <c r="CAG30" s="57"/>
      <c r="CAH30" s="57"/>
      <c r="CAI30" s="57"/>
      <c r="CAJ30" s="57"/>
      <c r="CAK30" s="57"/>
      <c r="CAL30" s="57"/>
      <c r="CAM30" s="57"/>
      <c r="CAN30" s="57"/>
      <c r="CAO30" s="57"/>
      <c r="CAP30" s="58"/>
      <c r="CAQ30" s="56"/>
      <c r="CAR30" s="57"/>
      <c r="CAS30" s="57"/>
      <c r="CAT30" s="57"/>
      <c r="CAU30" s="57"/>
      <c r="CAV30" s="57"/>
      <c r="CAW30" s="56"/>
      <c r="CAX30" s="57"/>
      <c r="CAY30" s="57"/>
      <c r="CAZ30" s="56"/>
      <c r="CBA30" s="57"/>
      <c r="CBB30" s="58"/>
      <c r="CBC30" s="56"/>
      <c r="CBD30" s="57"/>
      <c r="CBE30" s="57"/>
      <c r="CBF30" s="57"/>
      <c r="CBG30" s="56"/>
      <c r="CBH30" s="57"/>
      <c r="CBI30" s="57"/>
      <c r="CBJ30" s="56"/>
      <c r="CBK30" s="57"/>
      <c r="CBL30" s="58"/>
      <c r="CBM30" s="56"/>
      <c r="CBN30" s="57"/>
      <c r="CBO30" s="57"/>
      <c r="CBP30" s="57"/>
      <c r="CBQ30" s="56"/>
      <c r="CBR30" s="57"/>
      <c r="CBS30" s="57"/>
      <c r="CBT30" s="56"/>
      <c r="CBU30" s="57"/>
      <c r="CBV30" s="58"/>
      <c r="CBW30" s="56"/>
      <c r="CBX30" s="57"/>
      <c r="CBY30" s="57"/>
      <c r="CBZ30" s="57"/>
      <c r="CCA30" s="56"/>
      <c r="CCB30" s="57"/>
      <c r="CCC30" s="57"/>
      <c r="CCD30" s="56"/>
      <c r="CCE30" s="57"/>
      <c r="CCF30" s="58"/>
      <c r="CCG30" s="56"/>
      <c r="CCH30" s="58"/>
      <c r="CCI30" s="57"/>
      <c r="CCJ30" s="56"/>
      <c r="CCK30" s="57"/>
      <c r="CCL30" s="56"/>
      <c r="CCM30" s="56"/>
      <c r="CCN30" s="56"/>
      <c r="CCO30" s="57"/>
      <c r="CCP30" s="387"/>
      <c r="CCQ30" s="57"/>
      <c r="CCR30" s="387"/>
      <c r="CCS30" s="57"/>
      <c r="CCT30" s="387"/>
      <c r="CCU30" s="57"/>
      <c r="CCV30" s="57"/>
      <c r="CCW30" s="57"/>
      <c r="CCX30" s="57"/>
      <c r="CCY30" s="57"/>
      <c r="CCZ30" s="57"/>
      <c r="CDA30" s="57"/>
      <c r="CDB30" s="57"/>
      <c r="CDC30" s="57"/>
      <c r="CDD30" s="57"/>
      <c r="CDE30" s="57"/>
      <c r="CDF30" s="57"/>
      <c r="CDG30" s="57"/>
      <c r="CDH30" s="57"/>
      <c r="CDI30" s="57"/>
      <c r="CDJ30" s="57"/>
      <c r="CDK30" s="57"/>
      <c r="CDL30" s="57"/>
      <c r="CDM30" s="57"/>
      <c r="CDN30" s="57"/>
      <c r="CDO30" s="57"/>
      <c r="CDP30" s="57"/>
      <c r="CDQ30" s="57"/>
      <c r="CDR30" s="57"/>
      <c r="CDS30" s="57"/>
      <c r="CDT30" s="57"/>
      <c r="CDU30" s="57"/>
      <c r="CDV30" s="57"/>
      <c r="CDW30" s="57"/>
      <c r="CDX30" s="57"/>
      <c r="CDY30" s="57"/>
      <c r="CDZ30" s="58"/>
      <c r="CEA30" s="56"/>
      <c r="CEB30" s="57"/>
      <c r="CEC30" s="57"/>
      <c r="CED30" s="57"/>
      <c r="CEE30" s="57"/>
      <c r="CEF30" s="57"/>
      <c r="CEG30" s="56"/>
      <c r="CEH30" s="57"/>
      <c r="CEI30" s="57"/>
      <c r="CEJ30" s="56"/>
      <c r="CEK30" s="57"/>
      <c r="CEL30" s="58"/>
      <c r="CEM30" s="56"/>
      <c r="CEN30" s="57"/>
      <c r="CEO30" s="57"/>
      <c r="CEP30" s="57"/>
      <c r="CEQ30" s="56"/>
      <c r="CER30" s="57"/>
      <c r="CES30" s="57"/>
      <c r="CET30" s="56"/>
      <c r="CEU30" s="57"/>
      <c r="CEV30" s="58"/>
      <c r="CEW30" s="56"/>
      <c r="CEX30" s="57"/>
      <c r="CEY30" s="57"/>
      <c r="CEZ30" s="57"/>
      <c r="CFA30" s="56"/>
      <c r="CFB30" s="57"/>
      <c r="CFC30" s="57"/>
      <c r="CFD30" s="56"/>
      <c r="CFE30" s="57"/>
      <c r="CFF30" s="58"/>
      <c r="CFG30" s="56"/>
      <c r="CFH30" s="57"/>
      <c r="CFI30" s="57"/>
      <c r="CFJ30" s="57"/>
      <c r="CFK30" s="56"/>
      <c r="CFL30" s="57"/>
      <c r="CFM30" s="57"/>
      <c r="CFN30" s="56"/>
      <c r="CFO30" s="57"/>
      <c r="CFP30" s="58"/>
      <c r="CFQ30" s="56"/>
      <c r="CFR30" s="58"/>
      <c r="CFS30" s="57"/>
      <c r="CFT30" s="56"/>
      <c r="CFU30" s="57"/>
      <c r="CFV30" s="56"/>
      <c r="CFW30" s="56"/>
      <c r="CFX30" s="56"/>
      <c r="CFY30" s="57"/>
      <c r="CFZ30" s="387"/>
      <c r="CGA30" s="57"/>
      <c r="CGB30" s="387"/>
      <c r="CGC30" s="57"/>
      <c r="CGD30" s="387"/>
      <c r="CGE30" s="57"/>
      <c r="CGF30" s="57"/>
      <c r="CGG30" s="57"/>
      <c r="CGH30" s="57"/>
      <c r="CGI30" s="57"/>
      <c r="CGJ30" s="57"/>
      <c r="CGK30" s="57"/>
      <c r="CGL30" s="57"/>
      <c r="CGM30" s="57"/>
      <c r="CGN30" s="57"/>
      <c r="CGO30" s="57"/>
      <c r="CGP30" s="57"/>
      <c r="CGQ30" s="57"/>
      <c r="CGR30" s="57"/>
      <c r="CGS30" s="57"/>
      <c r="CGT30" s="57"/>
      <c r="CGU30" s="57"/>
      <c r="CGV30" s="57"/>
      <c r="CGW30" s="57"/>
      <c r="CGX30" s="57"/>
      <c r="CGY30" s="57"/>
      <c r="CGZ30" s="57"/>
      <c r="CHA30" s="57"/>
      <c r="CHB30" s="57"/>
      <c r="CHC30" s="57"/>
      <c r="CHD30" s="57"/>
      <c r="CHE30" s="57"/>
      <c r="CHF30" s="57"/>
      <c r="CHG30" s="57"/>
      <c r="CHH30" s="57"/>
      <c r="CHI30" s="57"/>
      <c r="CHJ30" s="58"/>
      <c r="CHK30" s="56"/>
      <c r="CHL30" s="57"/>
      <c r="CHM30" s="57"/>
      <c r="CHN30" s="57"/>
      <c r="CHO30" s="57"/>
      <c r="CHP30" s="57"/>
      <c r="CHQ30" s="56"/>
      <c r="CHR30" s="57"/>
      <c r="CHS30" s="57"/>
      <c r="CHT30" s="56"/>
      <c r="CHU30" s="57"/>
      <c r="CHV30" s="58"/>
      <c r="CHW30" s="56"/>
      <c r="CHX30" s="57"/>
      <c r="CHY30" s="57"/>
      <c r="CHZ30" s="57"/>
      <c r="CIA30" s="56"/>
      <c r="CIB30" s="57"/>
      <c r="CIC30" s="57"/>
      <c r="CID30" s="56"/>
      <c r="CIE30" s="57"/>
      <c r="CIF30" s="58"/>
      <c r="CIG30" s="56"/>
      <c r="CIH30" s="57"/>
      <c r="CII30" s="57"/>
      <c r="CIJ30" s="57"/>
      <c r="CIK30" s="56"/>
      <c r="CIL30" s="57"/>
      <c r="CIM30" s="57"/>
      <c r="CIN30" s="56"/>
      <c r="CIO30" s="57"/>
      <c r="CIP30" s="58"/>
      <c r="CIQ30" s="56"/>
      <c r="CIR30" s="57"/>
      <c r="CIS30" s="57"/>
      <c r="CIT30" s="57"/>
      <c r="CIU30" s="56"/>
      <c r="CIV30" s="57"/>
      <c r="CIW30" s="57"/>
      <c r="CIX30" s="56"/>
      <c r="CIY30" s="57"/>
      <c r="CIZ30" s="58"/>
      <c r="CJA30" s="56"/>
      <c r="CJB30" s="58"/>
      <c r="CJC30" s="57"/>
      <c r="CJD30" s="56"/>
      <c r="CJE30" s="57"/>
      <c r="CJF30" s="56"/>
      <c r="CJG30" s="56"/>
      <c r="CJH30" s="56"/>
      <c r="CJI30" s="57"/>
      <c r="CJJ30" s="387"/>
      <c r="CJK30" s="57"/>
      <c r="CJL30" s="387"/>
      <c r="CJM30" s="57"/>
      <c r="CJN30" s="387"/>
      <c r="CJO30" s="57"/>
      <c r="CJP30" s="57"/>
      <c r="CJQ30" s="57"/>
      <c r="CJR30" s="57"/>
      <c r="CJS30" s="57"/>
      <c r="CJT30" s="57"/>
      <c r="CJU30" s="57"/>
      <c r="CJV30" s="57"/>
      <c r="CJW30" s="57"/>
      <c r="CJX30" s="57"/>
      <c r="CJY30" s="57"/>
      <c r="CJZ30" s="57"/>
      <c r="CKA30" s="57"/>
      <c r="CKB30" s="57"/>
      <c r="CKC30" s="57"/>
      <c r="CKD30" s="57"/>
      <c r="CKE30" s="57"/>
      <c r="CKF30" s="57"/>
      <c r="CKG30" s="57"/>
      <c r="CKH30" s="57"/>
      <c r="CKI30" s="57"/>
      <c r="CKJ30" s="57"/>
      <c r="CKK30" s="57"/>
      <c r="CKL30" s="57"/>
      <c r="CKM30" s="57"/>
      <c r="CKN30" s="57"/>
      <c r="CKO30" s="57"/>
      <c r="CKP30" s="57"/>
      <c r="CKQ30" s="57"/>
      <c r="CKR30" s="57"/>
      <c r="CKS30" s="57"/>
      <c r="CKT30" s="58"/>
      <c r="CKU30" s="56"/>
      <c r="CKV30" s="57"/>
      <c r="CKW30" s="57"/>
      <c r="CKX30" s="57"/>
      <c r="CKY30" s="57"/>
      <c r="CKZ30" s="57"/>
      <c r="CLA30" s="56"/>
      <c r="CLB30" s="57"/>
      <c r="CLC30" s="57"/>
      <c r="CLD30" s="56"/>
      <c r="CLE30" s="57"/>
      <c r="CLF30" s="58"/>
      <c r="CLG30" s="56"/>
      <c r="CLH30" s="57"/>
      <c r="CLI30" s="57"/>
      <c r="CLJ30" s="57"/>
      <c r="CLK30" s="56"/>
      <c r="CLL30" s="57"/>
      <c r="CLM30" s="57"/>
      <c r="CLN30" s="56"/>
      <c r="CLO30" s="57"/>
      <c r="CLP30" s="58"/>
      <c r="CLQ30" s="56"/>
      <c r="CLR30" s="57"/>
      <c r="CLS30" s="57"/>
      <c r="CLT30" s="57"/>
      <c r="CLU30" s="56"/>
      <c r="CLV30" s="57"/>
      <c r="CLW30" s="57"/>
      <c r="CLX30" s="56"/>
      <c r="CLY30" s="57"/>
      <c r="CLZ30" s="58"/>
      <c r="CMA30" s="56"/>
      <c r="CMB30" s="57"/>
      <c r="CMC30" s="57"/>
      <c r="CMD30" s="57"/>
      <c r="CME30" s="56"/>
      <c r="CMF30" s="57"/>
      <c r="CMG30" s="57"/>
      <c r="CMH30" s="56"/>
      <c r="CMI30" s="57"/>
      <c r="CMJ30" s="58"/>
      <c r="CMK30" s="56"/>
      <c r="CML30" s="58"/>
      <c r="CMM30" s="57"/>
      <c r="CMN30" s="56"/>
      <c r="CMO30" s="57"/>
      <c r="CMP30" s="56"/>
      <c r="CMQ30" s="56"/>
      <c r="CMR30" s="56"/>
      <c r="CMS30" s="57"/>
      <c r="CMT30" s="387"/>
      <c r="CMU30" s="57"/>
      <c r="CMV30" s="387"/>
      <c r="CMW30" s="57"/>
      <c r="CMX30" s="387"/>
      <c r="CMY30" s="57"/>
      <c r="CMZ30" s="57"/>
      <c r="CNA30" s="57"/>
      <c r="CNB30" s="57"/>
      <c r="CNC30" s="57"/>
      <c r="CND30" s="57"/>
      <c r="CNE30" s="57"/>
      <c r="CNF30" s="57"/>
      <c r="CNG30" s="57"/>
      <c r="CNH30" s="57"/>
      <c r="CNI30" s="57"/>
      <c r="CNJ30" s="57"/>
      <c r="CNK30" s="57"/>
      <c r="CNL30" s="57"/>
      <c r="CNM30" s="57"/>
      <c r="CNN30" s="57"/>
      <c r="CNO30" s="57"/>
      <c r="CNP30" s="57"/>
      <c r="CNQ30" s="57"/>
      <c r="CNR30" s="57"/>
      <c r="CNS30" s="57"/>
      <c r="CNT30" s="57"/>
      <c r="CNU30" s="57"/>
      <c r="CNV30" s="57"/>
      <c r="CNW30" s="57"/>
      <c r="CNX30" s="57"/>
      <c r="CNY30" s="57"/>
      <c r="CNZ30" s="57"/>
      <c r="COA30" s="57"/>
      <c r="COB30" s="57"/>
      <c r="COC30" s="57"/>
      <c r="COD30" s="58"/>
      <c r="COE30" s="56"/>
      <c r="COF30" s="57"/>
      <c r="COG30" s="57"/>
      <c r="COH30" s="57"/>
      <c r="COI30" s="57"/>
      <c r="COJ30" s="57"/>
      <c r="COK30" s="56"/>
      <c r="COL30" s="57"/>
      <c r="COM30" s="57"/>
      <c r="CON30" s="56"/>
      <c r="COO30" s="57"/>
      <c r="COP30" s="58"/>
      <c r="COQ30" s="56"/>
      <c r="COR30" s="57"/>
      <c r="COS30" s="57"/>
      <c r="COT30" s="57"/>
      <c r="COU30" s="56"/>
      <c r="COV30" s="57"/>
      <c r="COW30" s="57"/>
      <c r="COX30" s="56"/>
      <c r="COY30" s="57"/>
      <c r="COZ30" s="58"/>
      <c r="CPA30" s="56"/>
      <c r="CPB30" s="57"/>
      <c r="CPC30" s="57"/>
      <c r="CPD30" s="57"/>
      <c r="CPE30" s="56"/>
      <c r="CPF30" s="57"/>
      <c r="CPG30" s="57"/>
      <c r="CPH30" s="56"/>
      <c r="CPI30" s="57"/>
      <c r="CPJ30" s="58"/>
      <c r="CPK30" s="56"/>
      <c r="CPL30" s="57"/>
      <c r="CPM30" s="57"/>
      <c r="CPN30" s="57"/>
      <c r="CPO30" s="56"/>
      <c r="CPP30" s="57"/>
      <c r="CPQ30" s="57"/>
      <c r="CPR30" s="56"/>
      <c r="CPS30" s="57"/>
      <c r="CPT30" s="58"/>
      <c r="CPU30" s="56"/>
      <c r="CPV30" s="58"/>
      <c r="CPW30" s="57"/>
      <c r="CPX30" s="56"/>
      <c r="CPY30" s="57"/>
      <c r="CPZ30" s="56"/>
      <c r="CQA30" s="56"/>
      <c r="CQB30" s="56"/>
      <c r="CQC30" s="57"/>
      <c r="CQD30" s="387"/>
      <c r="CQE30" s="57"/>
      <c r="CQF30" s="387"/>
      <c r="CQG30" s="57"/>
      <c r="CQH30" s="387"/>
      <c r="CQI30" s="57"/>
      <c r="CQJ30" s="57"/>
      <c r="CQK30" s="57"/>
      <c r="CQL30" s="57"/>
      <c r="CQM30" s="57"/>
      <c r="CQN30" s="57"/>
      <c r="CQO30" s="57"/>
      <c r="CQP30" s="57"/>
      <c r="CQQ30" s="57"/>
      <c r="CQR30" s="57"/>
      <c r="CQS30" s="57"/>
      <c r="CQT30" s="57"/>
      <c r="CQU30" s="57"/>
      <c r="CQV30" s="57"/>
      <c r="CQW30" s="57"/>
      <c r="CQX30" s="57"/>
      <c r="CQY30" s="57"/>
      <c r="CQZ30" s="57"/>
      <c r="CRA30" s="57"/>
      <c r="CRB30" s="57"/>
      <c r="CRC30" s="57"/>
      <c r="CRD30" s="57"/>
      <c r="CRE30" s="57"/>
      <c r="CRF30" s="57"/>
      <c r="CRG30" s="57"/>
      <c r="CRH30" s="57"/>
      <c r="CRI30" s="57"/>
      <c r="CRJ30" s="57"/>
      <c r="CRK30" s="57"/>
      <c r="CRL30" s="57"/>
      <c r="CRM30" s="57"/>
      <c r="CRN30" s="58"/>
      <c r="CRO30" s="56"/>
      <c r="CRP30" s="57"/>
      <c r="CRQ30" s="57"/>
      <c r="CRR30" s="57"/>
      <c r="CRS30" s="57"/>
      <c r="CRT30" s="57"/>
      <c r="CRU30" s="56"/>
      <c r="CRV30" s="57"/>
      <c r="CRW30" s="57"/>
      <c r="CRX30" s="56"/>
      <c r="CRY30" s="57"/>
      <c r="CRZ30" s="58"/>
      <c r="CSA30" s="56"/>
      <c r="CSB30" s="57"/>
      <c r="CSC30" s="57"/>
      <c r="CSD30" s="57"/>
      <c r="CSE30" s="56"/>
      <c r="CSF30" s="57"/>
      <c r="CSG30" s="57"/>
      <c r="CSH30" s="56"/>
      <c r="CSI30" s="57"/>
      <c r="CSJ30" s="58"/>
      <c r="CSK30" s="56"/>
      <c r="CSL30" s="57"/>
      <c r="CSM30" s="57"/>
      <c r="CSN30" s="57"/>
      <c r="CSO30" s="56"/>
      <c r="CSP30" s="57"/>
      <c r="CSQ30" s="57"/>
      <c r="CSR30" s="56"/>
      <c r="CSS30" s="57"/>
      <c r="CST30" s="58"/>
      <c r="CSU30" s="56"/>
      <c r="CSV30" s="57"/>
      <c r="CSW30" s="57"/>
      <c r="CSX30" s="57"/>
      <c r="CSY30" s="56"/>
      <c r="CSZ30" s="57"/>
      <c r="CTA30" s="57"/>
      <c r="CTB30" s="56"/>
      <c r="CTC30" s="57"/>
      <c r="CTD30" s="58"/>
      <c r="CTE30" s="56"/>
      <c r="CTF30" s="58"/>
      <c r="CTG30" s="57"/>
      <c r="CTH30" s="56"/>
      <c r="CTI30" s="57"/>
      <c r="CTJ30" s="56"/>
      <c r="CTK30" s="56"/>
      <c r="CTL30" s="56"/>
      <c r="CTM30" s="57"/>
      <c r="CTN30" s="387"/>
      <c r="CTO30" s="57"/>
      <c r="CTP30" s="387"/>
      <c r="CTQ30" s="57"/>
      <c r="CTR30" s="387"/>
      <c r="CTS30" s="57"/>
      <c r="CTT30" s="57"/>
      <c r="CTU30" s="57"/>
      <c r="CTV30" s="57"/>
      <c r="CTW30" s="57"/>
      <c r="CTX30" s="57"/>
      <c r="CTY30" s="57"/>
      <c r="CTZ30" s="57"/>
      <c r="CUA30" s="57"/>
      <c r="CUB30" s="57"/>
      <c r="CUC30" s="57"/>
      <c r="CUD30" s="57"/>
      <c r="CUE30" s="57"/>
      <c r="CUF30" s="57"/>
      <c r="CUG30" s="57"/>
      <c r="CUH30" s="57"/>
      <c r="CUI30" s="57"/>
      <c r="CUJ30" s="57"/>
      <c r="CUK30" s="57"/>
      <c r="CUL30" s="57"/>
      <c r="CUM30" s="57"/>
      <c r="CUN30" s="57"/>
      <c r="CUO30" s="57"/>
      <c r="CUP30" s="57"/>
      <c r="CUQ30" s="57"/>
      <c r="CUR30" s="57"/>
      <c r="CUS30" s="57"/>
      <c r="CUT30" s="57"/>
      <c r="CUU30" s="57"/>
      <c r="CUV30" s="57"/>
      <c r="CUW30" s="57"/>
      <c r="CUX30" s="58"/>
      <c r="CUY30" s="56"/>
      <c r="CUZ30" s="57"/>
      <c r="CVA30" s="57"/>
      <c r="CVB30" s="57"/>
      <c r="CVC30" s="57"/>
      <c r="CVD30" s="57"/>
      <c r="CVE30" s="56"/>
      <c r="CVF30" s="57"/>
      <c r="CVG30" s="57"/>
      <c r="CVH30" s="56"/>
      <c r="CVI30" s="57"/>
      <c r="CVJ30" s="58"/>
      <c r="CVK30" s="56"/>
      <c r="CVL30" s="57"/>
      <c r="CVM30" s="57"/>
      <c r="CVN30" s="57"/>
      <c r="CVO30" s="56"/>
      <c r="CVP30" s="57"/>
      <c r="CVQ30" s="57"/>
      <c r="CVR30" s="56"/>
      <c r="CVS30" s="57"/>
      <c r="CVT30" s="58"/>
      <c r="CVU30" s="56"/>
      <c r="CVV30" s="57"/>
      <c r="CVW30" s="57"/>
      <c r="CVX30" s="57"/>
      <c r="CVY30" s="56"/>
      <c r="CVZ30" s="57"/>
      <c r="CWA30" s="57"/>
      <c r="CWB30" s="56"/>
      <c r="CWC30" s="57"/>
      <c r="CWD30" s="58"/>
      <c r="CWE30" s="56"/>
      <c r="CWF30" s="57"/>
      <c r="CWG30" s="57"/>
      <c r="CWH30" s="57"/>
      <c r="CWI30" s="56"/>
      <c r="CWJ30" s="57"/>
      <c r="CWK30" s="57"/>
      <c r="CWL30" s="56"/>
      <c r="CWM30" s="57"/>
      <c r="CWN30" s="58"/>
      <c r="CWO30" s="56"/>
      <c r="CWP30" s="58"/>
      <c r="CWQ30" s="57"/>
      <c r="CWR30" s="56"/>
      <c r="CWS30" s="57"/>
      <c r="CWT30" s="56"/>
      <c r="CWU30" s="56"/>
      <c r="CWV30" s="56"/>
      <c r="CWW30" s="57"/>
      <c r="CWX30" s="387"/>
      <c r="CWY30" s="57"/>
      <c r="CWZ30" s="387"/>
      <c r="CXA30" s="57"/>
      <c r="CXB30" s="387"/>
      <c r="CXC30" s="57"/>
      <c r="CXD30" s="57"/>
      <c r="CXE30" s="57"/>
      <c r="CXF30" s="57"/>
      <c r="CXG30" s="57"/>
      <c r="CXH30" s="57"/>
      <c r="CXI30" s="57"/>
      <c r="CXJ30" s="57"/>
      <c r="CXK30" s="57"/>
      <c r="CXL30" s="57"/>
      <c r="CXM30" s="57"/>
      <c r="CXN30" s="57"/>
      <c r="CXO30" s="57"/>
      <c r="CXP30" s="57"/>
      <c r="CXQ30" s="57"/>
      <c r="CXR30" s="57"/>
      <c r="CXS30" s="57"/>
      <c r="CXT30" s="57"/>
      <c r="CXU30" s="57"/>
      <c r="CXV30" s="57"/>
      <c r="CXW30" s="57"/>
      <c r="CXX30" s="57"/>
      <c r="CXY30" s="57"/>
      <c r="CXZ30" s="57"/>
      <c r="CYA30" s="57"/>
      <c r="CYB30" s="57"/>
      <c r="CYC30" s="57"/>
      <c r="CYD30" s="57"/>
      <c r="CYE30" s="57"/>
      <c r="CYF30" s="57"/>
      <c r="CYG30" s="57"/>
      <c r="CYH30" s="58"/>
      <c r="CYI30" s="56"/>
      <c r="CYJ30" s="57"/>
      <c r="CYK30" s="57"/>
      <c r="CYL30" s="57"/>
      <c r="CYM30" s="57"/>
      <c r="CYN30" s="57"/>
      <c r="CYO30" s="56"/>
      <c r="CYP30" s="57"/>
      <c r="CYQ30" s="57"/>
      <c r="CYR30" s="56"/>
      <c r="CYS30" s="57"/>
      <c r="CYT30" s="58"/>
      <c r="CYU30" s="56"/>
      <c r="CYV30" s="57"/>
      <c r="CYW30" s="57"/>
      <c r="CYX30" s="57"/>
      <c r="CYY30" s="56"/>
      <c r="CYZ30" s="57"/>
      <c r="CZA30" s="57"/>
      <c r="CZB30" s="56"/>
      <c r="CZC30" s="57"/>
      <c r="CZD30" s="58"/>
      <c r="CZE30" s="56"/>
      <c r="CZF30" s="57"/>
      <c r="CZG30" s="57"/>
      <c r="CZH30" s="57"/>
      <c r="CZI30" s="56"/>
      <c r="CZJ30" s="57"/>
      <c r="CZK30" s="57"/>
      <c r="CZL30" s="56"/>
      <c r="CZM30" s="57"/>
      <c r="CZN30" s="58"/>
      <c r="CZO30" s="56"/>
      <c r="CZP30" s="57"/>
      <c r="CZQ30" s="57"/>
      <c r="CZR30" s="57"/>
      <c r="CZS30" s="56"/>
      <c r="CZT30" s="57"/>
      <c r="CZU30" s="57"/>
      <c r="CZV30" s="56"/>
      <c r="CZW30" s="57"/>
      <c r="CZX30" s="58"/>
      <c r="CZY30" s="56"/>
      <c r="CZZ30" s="58"/>
      <c r="DAA30" s="57"/>
      <c r="DAB30" s="56"/>
      <c r="DAC30" s="57"/>
      <c r="DAD30" s="56"/>
      <c r="DAE30" s="56"/>
      <c r="DAF30" s="56"/>
      <c r="DAG30" s="57"/>
      <c r="DAH30" s="387"/>
      <c r="DAI30" s="57"/>
      <c r="DAJ30" s="387"/>
      <c r="DAK30" s="57"/>
      <c r="DAL30" s="387"/>
      <c r="DAM30" s="57"/>
      <c r="DAN30" s="57"/>
      <c r="DAO30" s="57"/>
      <c r="DAP30" s="57"/>
      <c r="DAQ30" s="57"/>
      <c r="DAR30" s="57"/>
      <c r="DAS30" s="57"/>
      <c r="DAT30" s="57"/>
      <c r="DAU30" s="57"/>
      <c r="DAV30" s="57"/>
      <c r="DAW30" s="57"/>
      <c r="DAX30" s="57"/>
      <c r="DAY30" s="57"/>
      <c r="DAZ30" s="57"/>
      <c r="DBA30" s="57"/>
      <c r="DBB30" s="57"/>
      <c r="DBC30" s="57"/>
      <c r="DBD30" s="57"/>
      <c r="DBE30" s="57"/>
      <c r="DBF30" s="57"/>
      <c r="DBG30" s="57"/>
      <c r="DBH30" s="57"/>
      <c r="DBI30" s="57"/>
      <c r="DBJ30" s="57"/>
      <c r="DBK30" s="57"/>
      <c r="DBL30" s="57"/>
      <c r="DBM30" s="57"/>
      <c r="DBN30" s="57"/>
      <c r="DBO30" s="57"/>
      <c r="DBP30" s="57"/>
      <c r="DBQ30" s="57"/>
      <c r="DBR30" s="58"/>
      <c r="DBS30" s="56"/>
      <c r="DBT30" s="57"/>
      <c r="DBU30" s="57"/>
      <c r="DBV30" s="57"/>
      <c r="DBW30" s="57"/>
      <c r="DBX30" s="57"/>
      <c r="DBY30" s="56"/>
      <c r="DBZ30" s="57"/>
      <c r="DCA30" s="57"/>
      <c r="DCB30" s="56"/>
      <c r="DCC30" s="57"/>
      <c r="DCD30" s="58"/>
      <c r="DCE30" s="56"/>
      <c r="DCF30" s="57"/>
      <c r="DCG30" s="57"/>
      <c r="DCH30" s="57"/>
      <c r="DCI30" s="56"/>
      <c r="DCJ30" s="57"/>
      <c r="DCK30" s="57"/>
      <c r="DCL30" s="56"/>
      <c r="DCM30" s="57"/>
      <c r="DCN30" s="58"/>
      <c r="DCO30" s="56"/>
      <c r="DCP30" s="57"/>
      <c r="DCQ30" s="57"/>
      <c r="DCR30" s="57"/>
      <c r="DCS30" s="56"/>
      <c r="DCT30" s="57"/>
      <c r="DCU30" s="57"/>
      <c r="DCV30" s="56"/>
      <c r="DCW30" s="57"/>
      <c r="DCX30" s="58"/>
      <c r="DCY30" s="56"/>
      <c r="DCZ30" s="57"/>
      <c r="DDA30" s="57"/>
      <c r="DDB30" s="57"/>
      <c r="DDC30" s="56"/>
      <c r="DDD30" s="57"/>
      <c r="DDE30" s="57"/>
      <c r="DDF30" s="56"/>
      <c r="DDG30" s="57"/>
      <c r="DDH30" s="58"/>
      <c r="DDI30" s="56"/>
      <c r="DDJ30" s="58"/>
      <c r="DDK30" s="57"/>
      <c r="DDL30" s="56"/>
      <c r="DDM30" s="57"/>
      <c r="DDN30" s="56"/>
      <c r="DDO30" s="56"/>
      <c r="DDP30" s="56"/>
      <c r="DDQ30" s="57"/>
      <c r="DDR30" s="387"/>
      <c r="DDS30" s="57"/>
      <c r="DDT30" s="387"/>
      <c r="DDU30" s="57"/>
      <c r="DDV30" s="387"/>
      <c r="DDW30" s="57"/>
      <c r="DDX30" s="57"/>
      <c r="DDY30" s="57"/>
      <c r="DDZ30" s="57"/>
      <c r="DEA30" s="57"/>
      <c r="DEB30" s="57"/>
      <c r="DEC30" s="57"/>
      <c r="DED30" s="57"/>
      <c r="DEE30" s="57"/>
      <c r="DEF30" s="57"/>
      <c r="DEG30" s="57"/>
      <c r="DEH30" s="57"/>
      <c r="DEI30" s="57"/>
      <c r="DEJ30" s="57"/>
      <c r="DEK30" s="57"/>
      <c r="DEL30" s="57"/>
      <c r="DEM30" s="57"/>
      <c r="DEN30" s="57"/>
      <c r="DEO30" s="57"/>
      <c r="DEP30" s="57"/>
      <c r="DEQ30" s="57"/>
      <c r="DER30" s="57"/>
      <c r="DES30" s="57"/>
      <c r="DET30" s="57"/>
      <c r="DEU30" s="57"/>
      <c r="DEV30" s="57"/>
      <c r="DEW30" s="57"/>
      <c r="DEX30" s="57"/>
      <c r="DEY30" s="57"/>
      <c r="DEZ30" s="57"/>
      <c r="DFA30" s="57"/>
      <c r="DFB30" s="58"/>
      <c r="DFC30" s="56"/>
      <c r="DFD30" s="57"/>
      <c r="DFE30" s="57"/>
      <c r="DFF30" s="57"/>
      <c r="DFG30" s="57"/>
      <c r="DFH30" s="57"/>
      <c r="DFI30" s="56"/>
      <c r="DFJ30" s="57"/>
      <c r="DFK30" s="57"/>
      <c r="DFL30" s="56"/>
      <c r="DFM30" s="57"/>
      <c r="DFN30" s="58"/>
      <c r="DFO30" s="56"/>
      <c r="DFP30" s="57"/>
      <c r="DFQ30" s="57"/>
      <c r="DFR30" s="57"/>
      <c r="DFS30" s="56"/>
      <c r="DFT30" s="57"/>
      <c r="DFU30" s="57"/>
      <c r="DFV30" s="56"/>
      <c r="DFW30" s="57"/>
      <c r="DFX30" s="58"/>
      <c r="DFY30" s="56"/>
      <c r="DFZ30" s="57"/>
      <c r="DGA30" s="57"/>
      <c r="DGB30" s="57"/>
      <c r="DGC30" s="56"/>
      <c r="DGD30" s="57"/>
      <c r="DGE30" s="57"/>
      <c r="DGF30" s="56"/>
      <c r="DGG30" s="57"/>
      <c r="DGH30" s="58"/>
      <c r="DGI30" s="56"/>
      <c r="DGJ30" s="57"/>
      <c r="DGK30" s="57"/>
      <c r="DGL30" s="57"/>
      <c r="DGM30" s="56"/>
      <c r="DGN30" s="57"/>
      <c r="DGO30" s="57"/>
      <c r="DGP30" s="56"/>
      <c r="DGQ30" s="57"/>
      <c r="DGR30" s="58"/>
      <c r="DGS30" s="56"/>
      <c r="DGT30" s="58"/>
      <c r="DGU30" s="57"/>
      <c r="DGV30" s="56"/>
      <c r="DGW30" s="57"/>
      <c r="DGX30" s="56"/>
      <c r="DGY30" s="56"/>
      <c r="DGZ30" s="56"/>
      <c r="DHA30" s="57"/>
      <c r="DHB30" s="387"/>
      <c r="DHC30" s="57"/>
      <c r="DHD30" s="387"/>
      <c r="DHE30" s="57"/>
      <c r="DHF30" s="387"/>
      <c r="DHG30" s="57"/>
      <c r="DHH30" s="57"/>
      <c r="DHI30" s="57"/>
      <c r="DHJ30" s="57"/>
      <c r="DHK30" s="57"/>
      <c r="DHL30" s="57"/>
      <c r="DHM30" s="57"/>
      <c r="DHN30" s="57"/>
      <c r="DHO30" s="57"/>
      <c r="DHP30" s="57"/>
      <c r="DHQ30" s="57"/>
      <c r="DHR30" s="57"/>
      <c r="DHS30" s="57"/>
      <c r="DHT30" s="57"/>
      <c r="DHU30" s="57"/>
      <c r="DHV30" s="57"/>
      <c r="DHW30" s="57"/>
      <c r="DHX30" s="57"/>
      <c r="DHY30" s="57"/>
      <c r="DHZ30" s="57"/>
      <c r="DIA30" s="57"/>
      <c r="DIB30" s="57"/>
      <c r="DIC30" s="57"/>
      <c r="DID30" s="57"/>
      <c r="DIE30" s="57"/>
      <c r="DIF30" s="57"/>
      <c r="DIG30" s="57"/>
      <c r="DIH30" s="57"/>
      <c r="DII30" s="57"/>
      <c r="DIJ30" s="57"/>
      <c r="DIK30" s="57"/>
      <c r="DIL30" s="58"/>
      <c r="DIM30" s="56"/>
      <c r="DIN30" s="57"/>
      <c r="DIO30" s="57"/>
      <c r="DIP30" s="57"/>
      <c r="DIQ30" s="57"/>
      <c r="DIR30" s="57"/>
      <c r="DIS30" s="56"/>
      <c r="DIT30" s="57"/>
      <c r="DIU30" s="57"/>
      <c r="DIV30" s="56"/>
      <c r="DIW30" s="57"/>
      <c r="DIX30" s="58"/>
      <c r="DIY30" s="56"/>
      <c r="DIZ30" s="57"/>
      <c r="DJA30" s="57"/>
      <c r="DJB30" s="57"/>
      <c r="DJC30" s="56"/>
      <c r="DJD30" s="57"/>
      <c r="DJE30" s="57"/>
      <c r="DJF30" s="56"/>
      <c r="DJG30" s="57"/>
      <c r="DJH30" s="58"/>
      <c r="DJI30" s="56"/>
      <c r="DJJ30" s="57"/>
      <c r="DJK30" s="57"/>
      <c r="DJL30" s="57"/>
      <c r="DJM30" s="56"/>
      <c r="DJN30" s="57"/>
      <c r="DJO30" s="57"/>
      <c r="DJP30" s="56"/>
      <c r="DJQ30" s="57"/>
      <c r="DJR30" s="58"/>
      <c r="DJS30" s="56"/>
      <c r="DJT30" s="57"/>
      <c r="DJU30" s="57"/>
      <c r="DJV30" s="57"/>
      <c r="DJW30" s="56"/>
      <c r="DJX30" s="57"/>
      <c r="DJY30" s="57"/>
      <c r="DJZ30" s="56"/>
      <c r="DKA30" s="57"/>
      <c r="DKB30" s="58"/>
      <c r="DKC30" s="56"/>
      <c r="DKD30" s="58"/>
      <c r="DKE30" s="57"/>
      <c r="DKF30" s="56"/>
      <c r="DKG30" s="57"/>
      <c r="DKH30" s="56"/>
      <c r="DKI30" s="56"/>
      <c r="DKJ30" s="56"/>
      <c r="DKK30" s="57"/>
      <c r="DKL30" s="387"/>
      <c r="DKM30" s="57"/>
      <c r="DKN30" s="387"/>
      <c r="DKO30" s="57"/>
      <c r="DKP30" s="387"/>
      <c r="DKQ30" s="57"/>
      <c r="DKR30" s="57"/>
      <c r="DKS30" s="57"/>
      <c r="DKT30" s="57"/>
      <c r="DKU30" s="57"/>
      <c r="DKV30" s="57"/>
      <c r="DKW30" s="57"/>
      <c r="DKX30" s="57"/>
      <c r="DKY30" s="57"/>
      <c r="DKZ30" s="57"/>
      <c r="DLA30" s="57"/>
      <c r="DLB30" s="57"/>
      <c r="DLC30" s="57"/>
      <c r="DLD30" s="57"/>
      <c r="DLE30" s="57"/>
      <c r="DLF30" s="57"/>
      <c r="DLG30" s="57"/>
      <c r="DLH30" s="57"/>
      <c r="DLI30" s="57"/>
      <c r="DLJ30" s="57"/>
      <c r="DLK30" s="57"/>
      <c r="DLL30" s="57"/>
      <c r="DLM30" s="57"/>
      <c r="DLN30" s="57"/>
      <c r="DLO30" s="57"/>
      <c r="DLP30" s="57"/>
      <c r="DLQ30" s="57"/>
      <c r="DLR30" s="57"/>
      <c r="DLS30" s="57"/>
      <c r="DLT30" s="57"/>
      <c r="DLU30" s="57"/>
      <c r="DLV30" s="58"/>
      <c r="DLW30" s="56"/>
      <c r="DLX30" s="57"/>
      <c r="DLY30" s="57"/>
      <c r="DLZ30" s="57"/>
      <c r="DMA30" s="57"/>
      <c r="DMB30" s="57"/>
      <c r="DMC30" s="56"/>
      <c r="DMD30" s="57"/>
      <c r="DME30" s="57"/>
      <c r="DMF30" s="56"/>
      <c r="DMG30" s="57"/>
      <c r="DMH30" s="58"/>
      <c r="DMI30" s="56"/>
      <c r="DMJ30" s="57"/>
      <c r="DMK30" s="57"/>
      <c r="DML30" s="57"/>
      <c r="DMM30" s="56"/>
      <c r="DMN30" s="57"/>
      <c r="DMO30" s="57"/>
      <c r="DMP30" s="56"/>
      <c r="DMQ30" s="57"/>
      <c r="DMR30" s="58"/>
      <c r="DMS30" s="56"/>
      <c r="DMT30" s="57"/>
      <c r="DMU30" s="57"/>
      <c r="DMV30" s="57"/>
      <c r="DMW30" s="56"/>
      <c r="DMX30" s="57"/>
      <c r="DMY30" s="57"/>
      <c r="DMZ30" s="56"/>
      <c r="DNA30" s="57"/>
      <c r="DNB30" s="58"/>
      <c r="DNC30" s="56"/>
      <c r="DND30" s="57"/>
      <c r="DNE30" s="57"/>
      <c r="DNF30" s="57"/>
      <c r="DNG30" s="56"/>
      <c r="DNH30" s="57"/>
      <c r="DNI30" s="57"/>
      <c r="DNJ30" s="56"/>
      <c r="DNK30" s="57"/>
      <c r="DNL30" s="58"/>
      <c r="DNM30" s="56"/>
      <c r="DNN30" s="58"/>
      <c r="DNO30" s="57"/>
      <c r="DNP30" s="56"/>
      <c r="DNQ30" s="57"/>
      <c r="DNR30" s="56"/>
      <c r="DNS30" s="56"/>
      <c r="DNT30" s="56"/>
      <c r="DNU30" s="57"/>
      <c r="DNV30" s="387"/>
      <c r="DNW30" s="57"/>
      <c r="DNX30" s="387"/>
      <c r="DNY30" s="57"/>
      <c r="DNZ30" s="387"/>
      <c r="DOA30" s="57"/>
      <c r="DOB30" s="57"/>
      <c r="DOC30" s="57"/>
      <c r="DOD30" s="57"/>
      <c r="DOE30" s="57"/>
      <c r="DOF30" s="57"/>
      <c r="DOG30" s="57"/>
      <c r="DOH30" s="57"/>
      <c r="DOI30" s="57"/>
      <c r="DOJ30" s="57"/>
      <c r="DOK30" s="57"/>
      <c r="DOL30" s="57"/>
      <c r="DOM30" s="57"/>
      <c r="DON30" s="57"/>
      <c r="DOO30" s="57"/>
      <c r="DOP30" s="57"/>
      <c r="DOQ30" s="57"/>
      <c r="DOR30" s="57"/>
      <c r="DOS30" s="57"/>
      <c r="DOT30" s="57"/>
      <c r="DOU30" s="57"/>
      <c r="DOV30" s="57"/>
      <c r="DOW30" s="57"/>
      <c r="DOX30" s="57"/>
      <c r="DOY30" s="57"/>
      <c r="DOZ30" s="57"/>
      <c r="DPA30" s="57"/>
      <c r="DPB30" s="57"/>
      <c r="DPC30" s="57"/>
      <c r="DPD30" s="57"/>
      <c r="DPE30" s="57"/>
      <c r="DPF30" s="58"/>
      <c r="DPG30" s="56"/>
      <c r="DPH30" s="57"/>
      <c r="DPI30" s="57"/>
      <c r="DPJ30" s="57"/>
      <c r="DPK30" s="57"/>
      <c r="DPL30" s="57"/>
      <c r="DPM30" s="56"/>
      <c r="DPN30" s="57"/>
      <c r="DPO30" s="57"/>
      <c r="DPP30" s="56"/>
      <c r="DPQ30" s="57"/>
      <c r="DPR30" s="58"/>
      <c r="DPS30" s="56"/>
      <c r="DPT30" s="57"/>
      <c r="DPU30" s="57"/>
      <c r="DPV30" s="57"/>
      <c r="DPW30" s="56"/>
      <c r="DPX30" s="57"/>
      <c r="DPY30" s="57"/>
      <c r="DPZ30" s="56"/>
      <c r="DQA30" s="57"/>
      <c r="DQB30" s="58"/>
      <c r="DQC30" s="56"/>
      <c r="DQD30" s="57"/>
      <c r="DQE30" s="57"/>
      <c r="DQF30" s="57"/>
      <c r="DQG30" s="56"/>
      <c r="DQH30" s="57"/>
      <c r="DQI30" s="57"/>
      <c r="DQJ30" s="56"/>
      <c r="DQK30" s="57"/>
      <c r="DQL30" s="58"/>
      <c r="DQM30" s="56"/>
      <c r="DQN30" s="57"/>
      <c r="DQO30" s="57"/>
      <c r="DQP30" s="57"/>
      <c r="DQQ30" s="56"/>
      <c r="DQR30" s="57"/>
      <c r="DQS30" s="57"/>
      <c r="DQT30" s="56"/>
      <c r="DQU30" s="57"/>
      <c r="DQV30" s="58"/>
      <c r="DQW30" s="56"/>
      <c r="DQX30" s="58"/>
      <c r="DQY30" s="57"/>
      <c r="DQZ30" s="56"/>
      <c r="DRA30" s="57"/>
      <c r="DRB30" s="56"/>
      <c r="DRC30" s="56"/>
      <c r="DRD30" s="56"/>
      <c r="DRE30" s="57"/>
      <c r="DRF30" s="387"/>
      <c r="DRG30" s="57"/>
      <c r="DRH30" s="387"/>
      <c r="DRI30" s="57"/>
      <c r="DRJ30" s="387"/>
      <c r="DRK30" s="57"/>
      <c r="DRL30" s="57"/>
      <c r="DRM30" s="57"/>
      <c r="DRN30" s="57"/>
      <c r="DRO30" s="57"/>
      <c r="DRP30" s="57"/>
      <c r="DRQ30" s="57"/>
      <c r="DRR30" s="57"/>
      <c r="DRS30" s="57"/>
      <c r="DRT30" s="57"/>
      <c r="DRU30" s="57"/>
      <c r="DRV30" s="57"/>
      <c r="DRW30" s="57"/>
      <c r="DRX30" s="57"/>
      <c r="DRY30" s="57"/>
      <c r="DRZ30" s="57"/>
      <c r="DSA30" s="57"/>
      <c r="DSB30" s="57"/>
      <c r="DSC30" s="57"/>
      <c r="DSD30" s="57"/>
      <c r="DSE30" s="57"/>
      <c r="DSF30" s="57"/>
      <c r="DSG30" s="57"/>
      <c r="DSH30" s="57"/>
      <c r="DSI30" s="57"/>
      <c r="DSJ30" s="57"/>
      <c r="DSK30" s="57"/>
      <c r="DSL30" s="57"/>
      <c r="DSM30" s="57"/>
      <c r="DSN30" s="57"/>
      <c r="DSO30" s="57"/>
      <c r="DSP30" s="58"/>
      <c r="DSQ30" s="56"/>
      <c r="DSR30" s="57"/>
      <c r="DSS30" s="57"/>
      <c r="DST30" s="57"/>
      <c r="DSU30" s="57"/>
      <c r="DSV30" s="57"/>
      <c r="DSW30" s="56"/>
      <c r="DSX30" s="57"/>
      <c r="DSY30" s="57"/>
      <c r="DSZ30" s="56"/>
      <c r="DTA30" s="57"/>
      <c r="DTB30" s="58"/>
      <c r="DTC30" s="56"/>
      <c r="DTD30" s="57"/>
      <c r="DTE30" s="57"/>
      <c r="DTF30" s="57"/>
      <c r="DTG30" s="56"/>
      <c r="DTH30" s="57"/>
      <c r="DTI30" s="57"/>
      <c r="DTJ30" s="56"/>
      <c r="DTK30" s="57"/>
      <c r="DTL30" s="58"/>
      <c r="DTM30" s="56"/>
      <c r="DTN30" s="57"/>
      <c r="DTO30" s="57"/>
      <c r="DTP30" s="57"/>
      <c r="DTQ30" s="56"/>
      <c r="DTR30" s="57"/>
      <c r="DTS30" s="57"/>
      <c r="DTT30" s="56"/>
      <c r="DTU30" s="57"/>
      <c r="DTV30" s="58"/>
      <c r="DTW30" s="56"/>
      <c r="DTX30" s="57"/>
      <c r="DTY30" s="57"/>
      <c r="DTZ30" s="57"/>
      <c r="DUA30" s="56"/>
      <c r="DUB30" s="57"/>
      <c r="DUC30" s="57"/>
      <c r="DUD30" s="56"/>
      <c r="DUE30" s="57"/>
      <c r="DUF30" s="58"/>
      <c r="DUG30" s="56"/>
      <c r="DUH30" s="58"/>
      <c r="DUI30" s="57"/>
      <c r="DUJ30" s="56"/>
      <c r="DUK30" s="57"/>
      <c r="DUL30" s="56"/>
      <c r="DUM30" s="56"/>
      <c r="DUN30" s="56"/>
      <c r="DUO30" s="57"/>
      <c r="DUP30" s="387"/>
      <c r="DUQ30" s="57"/>
      <c r="DUR30" s="387"/>
      <c r="DUS30" s="57"/>
      <c r="DUT30" s="387"/>
      <c r="DUU30" s="57"/>
      <c r="DUV30" s="57"/>
      <c r="DUW30" s="57"/>
      <c r="DUX30" s="57"/>
      <c r="DUY30" s="57"/>
      <c r="DUZ30" s="57"/>
      <c r="DVA30" s="57"/>
      <c r="DVB30" s="57"/>
      <c r="DVC30" s="57"/>
      <c r="DVD30" s="57"/>
      <c r="DVE30" s="57"/>
      <c r="DVF30" s="57"/>
      <c r="DVG30" s="57"/>
      <c r="DVH30" s="57"/>
      <c r="DVI30" s="57"/>
      <c r="DVJ30" s="57"/>
      <c r="DVK30" s="57"/>
      <c r="DVL30" s="57"/>
      <c r="DVM30" s="57"/>
      <c r="DVN30" s="57"/>
      <c r="DVO30" s="57"/>
      <c r="DVP30" s="57"/>
      <c r="DVQ30" s="57"/>
      <c r="DVR30" s="57"/>
      <c r="DVS30" s="57"/>
      <c r="DVT30" s="57"/>
      <c r="DVU30" s="57"/>
      <c r="DVV30" s="57"/>
      <c r="DVW30" s="57"/>
      <c r="DVX30" s="57"/>
      <c r="DVY30" s="57"/>
      <c r="DVZ30" s="58"/>
      <c r="DWA30" s="56"/>
      <c r="DWB30" s="57"/>
      <c r="DWC30" s="57"/>
      <c r="DWD30" s="57"/>
      <c r="DWE30" s="57"/>
      <c r="DWF30" s="57"/>
      <c r="DWG30" s="56"/>
      <c r="DWH30" s="57"/>
      <c r="DWI30" s="57"/>
      <c r="DWJ30" s="56"/>
      <c r="DWK30" s="57"/>
      <c r="DWL30" s="58"/>
      <c r="DWM30" s="56"/>
      <c r="DWN30" s="57"/>
      <c r="DWO30" s="57"/>
      <c r="DWP30" s="57"/>
      <c r="DWQ30" s="56"/>
      <c r="DWR30" s="57"/>
      <c r="DWS30" s="57"/>
      <c r="DWT30" s="56"/>
      <c r="DWU30" s="57"/>
      <c r="DWV30" s="58"/>
      <c r="DWW30" s="56"/>
      <c r="DWX30" s="57"/>
      <c r="DWY30" s="57"/>
      <c r="DWZ30" s="57"/>
      <c r="DXA30" s="56"/>
      <c r="DXB30" s="57"/>
      <c r="DXC30" s="57"/>
      <c r="DXD30" s="56"/>
      <c r="DXE30" s="57"/>
      <c r="DXF30" s="58"/>
      <c r="DXG30" s="56"/>
      <c r="DXH30" s="57"/>
      <c r="DXI30" s="57"/>
      <c r="DXJ30" s="57"/>
      <c r="DXK30" s="56"/>
      <c r="DXL30" s="57"/>
      <c r="DXM30" s="57"/>
      <c r="DXN30" s="56"/>
      <c r="DXO30" s="57"/>
      <c r="DXP30" s="58"/>
      <c r="DXQ30" s="56"/>
      <c r="DXR30" s="58"/>
      <c r="DXS30" s="57"/>
      <c r="DXT30" s="56"/>
      <c r="DXU30" s="57"/>
      <c r="DXV30" s="56"/>
      <c r="DXW30" s="56"/>
      <c r="DXX30" s="56"/>
      <c r="DXY30" s="57"/>
      <c r="DXZ30" s="387"/>
      <c r="DYA30" s="57"/>
      <c r="DYB30" s="387"/>
      <c r="DYC30" s="57"/>
      <c r="DYD30" s="387"/>
      <c r="DYE30" s="57"/>
      <c r="DYF30" s="57"/>
      <c r="DYG30" s="57"/>
      <c r="DYH30" s="57"/>
      <c r="DYI30" s="57"/>
      <c r="DYJ30" s="57"/>
      <c r="DYK30" s="57"/>
      <c r="DYL30" s="57"/>
      <c r="DYM30" s="57"/>
      <c r="DYN30" s="57"/>
      <c r="DYO30" s="57"/>
      <c r="DYP30" s="57"/>
      <c r="DYQ30" s="57"/>
      <c r="DYR30" s="57"/>
      <c r="DYS30" s="57"/>
      <c r="DYT30" s="57"/>
      <c r="DYU30" s="57"/>
      <c r="DYV30" s="57"/>
      <c r="DYW30" s="57"/>
      <c r="DYX30" s="57"/>
      <c r="DYY30" s="57"/>
      <c r="DYZ30" s="57"/>
      <c r="DZA30" s="57"/>
      <c r="DZB30" s="57"/>
      <c r="DZC30" s="57"/>
      <c r="DZD30" s="57"/>
      <c r="DZE30" s="57"/>
      <c r="DZF30" s="57"/>
      <c r="DZG30" s="57"/>
      <c r="DZH30" s="57"/>
      <c r="DZI30" s="57"/>
      <c r="DZJ30" s="58"/>
      <c r="DZK30" s="56"/>
      <c r="DZL30" s="57"/>
      <c r="DZM30" s="57"/>
      <c r="DZN30" s="57"/>
      <c r="DZO30" s="57"/>
      <c r="DZP30" s="57"/>
      <c r="DZQ30" s="56"/>
      <c r="DZR30" s="57"/>
      <c r="DZS30" s="57"/>
      <c r="DZT30" s="56"/>
      <c r="DZU30" s="57"/>
      <c r="DZV30" s="58"/>
      <c r="DZW30" s="56"/>
      <c r="DZX30" s="57"/>
      <c r="DZY30" s="57"/>
      <c r="DZZ30" s="57"/>
      <c r="EAA30" s="56"/>
      <c r="EAB30" s="57"/>
      <c r="EAC30" s="57"/>
      <c r="EAD30" s="56"/>
      <c r="EAE30" s="57"/>
      <c r="EAF30" s="58"/>
      <c r="EAG30" s="56"/>
      <c r="EAH30" s="57"/>
      <c r="EAI30" s="57"/>
      <c r="EAJ30" s="57"/>
      <c r="EAK30" s="56"/>
      <c r="EAL30" s="57"/>
      <c r="EAM30" s="57"/>
      <c r="EAN30" s="56"/>
      <c r="EAO30" s="57"/>
      <c r="EAP30" s="58"/>
      <c r="EAQ30" s="56"/>
      <c r="EAR30" s="57"/>
      <c r="EAS30" s="57"/>
      <c r="EAT30" s="57"/>
      <c r="EAU30" s="56"/>
      <c r="EAV30" s="57"/>
      <c r="EAW30" s="57"/>
      <c r="EAX30" s="56"/>
      <c r="EAY30" s="57"/>
      <c r="EAZ30" s="58"/>
      <c r="EBA30" s="56"/>
      <c r="EBB30" s="58"/>
      <c r="EBC30" s="57"/>
      <c r="EBD30" s="56"/>
      <c r="EBE30" s="57"/>
      <c r="EBF30" s="56"/>
      <c r="EBG30" s="56"/>
      <c r="EBH30" s="56"/>
      <c r="EBI30" s="57"/>
      <c r="EBJ30" s="387"/>
      <c r="EBK30" s="57"/>
      <c r="EBL30" s="387"/>
      <c r="EBM30" s="57"/>
      <c r="EBN30" s="387"/>
      <c r="EBO30" s="57"/>
      <c r="EBP30" s="57"/>
      <c r="EBQ30" s="57"/>
      <c r="EBR30" s="57"/>
      <c r="EBS30" s="57"/>
      <c r="EBT30" s="57"/>
      <c r="EBU30" s="57"/>
      <c r="EBV30" s="57"/>
      <c r="EBW30" s="57"/>
      <c r="EBX30" s="57"/>
      <c r="EBY30" s="57"/>
      <c r="EBZ30" s="57"/>
      <c r="ECA30" s="57"/>
      <c r="ECB30" s="57"/>
      <c r="ECC30" s="57"/>
      <c r="ECD30" s="57"/>
      <c r="ECE30" s="57"/>
      <c r="ECF30" s="57"/>
      <c r="ECG30" s="57"/>
      <c r="ECH30" s="57"/>
      <c r="ECI30" s="57"/>
      <c r="ECJ30" s="57"/>
      <c r="ECK30" s="57"/>
      <c r="ECL30" s="57"/>
      <c r="ECM30" s="57"/>
      <c r="ECN30" s="57"/>
      <c r="ECO30" s="57"/>
      <c r="ECP30" s="57"/>
      <c r="ECQ30" s="57"/>
      <c r="ECR30" s="57"/>
      <c r="ECS30" s="57"/>
      <c r="ECT30" s="58"/>
      <c r="ECU30" s="56"/>
      <c r="ECV30" s="57"/>
      <c r="ECW30" s="57"/>
      <c r="ECX30" s="57"/>
      <c r="ECY30" s="57"/>
      <c r="ECZ30" s="57"/>
      <c r="EDA30" s="56"/>
      <c r="EDB30" s="57"/>
      <c r="EDC30" s="57"/>
      <c r="EDD30" s="56"/>
      <c r="EDE30" s="57"/>
      <c r="EDF30" s="58"/>
      <c r="EDG30" s="56"/>
      <c r="EDH30" s="57"/>
      <c r="EDI30" s="57"/>
      <c r="EDJ30" s="57"/>
      <c r="EDK30" s="56"/>
      <c r="EDL30" s="57"/>
      <c r="EDM30" s="57"/>
      <c r="EDN30" s="56"/>
      <c r="EDO30" s="57"/>
      <c r="EDP30" s="58"/>
      <c r="EDQ30" s="56"/>
      <c r="EDR30" s="57"/>
      <c r="EDS30" s="57"/>
      <c r="EDT30" s="57"/>
      <c r="EDU30" s="56"/>
      <c r="EDV30" s="57"/>
      <c r="EDW30" s="57"/>
      <c r="EDX30" s="56"/>
      <c r="EDY30" s="57"/>
      <c r="EDZ30" s="58"/>
      <c r="EEA30" s="56"/>
      <c r="EEB30" s="57"/>
      <c r="EEC30" s="57"/>
      <c r="EED30" s="57"/>
      <c r="EEE30" s="56"/>
      <c r="EEF30" s="57"/>
      <c r="EEG30" s="57"/>
      <c r="EEH30" s="56"/>
      <c r="EEI30" s="57"/>
      <c r="EEJ30" s="58"/>
      <c r="EEK30" s="56"/>
      <c r="EEL30" s="58"/>
      <c r="EEM30" s="57"/>
      <c r="EEN30" s="56"/>
      <c r="EEO30" s="57"/>
      <c r="EEP30" s="56"/>
      <c r="EEQ30" s="56"/>
      <c r="EER30" s="56"/>
      <c r="EES30" s="57"/>
      <c r="EET30" s="387"/>
      <c r="EEU30" s="57"/>
      <c r="EEV30" s="387"/>
      <c r="EEW30" s="57"/>
      <c r="EEX30" s="387"/>
      <c r="EEY30" s="57"/>
      <c r="EEZ30" s="57"/>
      <c r="EFA30" s="57"/>
      <c r="EFB30" s="57"/>
      <c r="EFC30" s="57"/>
      <c r="EFD30" s="57"/>
      <c r="EFE30" s="57"/>
      <c r="EFF30" s="57"/>
      <c r="EFG30" s="57"/>
      <c r="EFH30" s="57"/>
      <c r="EFI30" s="57"/>
      <c r="EFJ30" s="57"/>
      <c r="EFK30" s="57"/>
      <c r="EFL30" s="57"/>
      <c r="EFM30" s="57"/>
      <c r="EFN30" s="57"/>
      <c r="EFO30" s="57"/>
      <c r="EFP30" s="57"/>
      <c r="EFQ30" s="57"/>
      <c r="EFR30" s="57"/>
      <c r="EFS30" s="57"/>
      <c r="EFT30" s="57"/>
      <c r="EFU30" s="57"/>
      <c r="EFV30" s="57"/>
      <c r="EFW30" s="57"/>
      <c r="EFX30" s="57"/>
      <c r="EFY30" s="57"/>
      <c r="EFZ30" s="57"/>
      <c r="EGA30" s="57"/>
      <c r="EGB30" s="57"/>
      <c r="EGC30" s="57"/>
      <c r="EGD30" s="58"/>
      <c r="EGE30" s="56"/>
      <c r="EGF30" s="57"/>
      <c r="EGG30" s="57"/>
      <c r="EGH30" s="57"/>
      <c r="EGI30" s="57"/>
      <c r="EGJ30" s="57"/>
      <c r="EGK30" s="56"/>
      <c r="EGL30" s="57"/>
      <c r="EGM30" s="57"/>
      <c r="EGN30" s="56"/>
      <c r="EGO30" s="57"/>
      <c r="EGP30" s="58"/>
      <c r="EGQ30" s="56"/>
      <c r="EGR30" s="57"/>
      <c r="EGS30" s="57"/>
      <c r="EGT30" s="57"/>
      <c r="EGU30" s="56"/>
      <c r="EGV30" s="57"/>
      <c r="EGW30" s="57"/>
      <c r="EGX30" s="56"/>
      <c r="EGY30" s="57"/>
      <c r="EGZ30" s="58"/>
      <c r="EHA30" s="56"/>
      <c r="EHB30" s="57"/>
      <c r="EHC30" s="57"/>
      <c r="EHD30" s="57"/>
      <c r="EHE30" s="56"/>
      <c r="EHF30" s="57"/>
      <c r="EHG30" s="57"/>
      <c r="EHH30" s="56"/>
      <c r="EHI30" s="57"/>
      <c r="EHJ30" s="58"/>
      <c r="EHK30" s="56"/>
      <c r="EHL30" s="57"/>
      <c r="EHM30" s="57"/>
      <c r="EHN30" s="57"/>
      <c r="EHO30" s="56"/>
      <c r="EHP30" s="57"/>
      <c r="EHQ30" s="57"/>
      <c r="EHR30" s="56"/>
      <c r="EHS30" s="57"/>
      <c r="EHT30" s="58"/>
      <c r="EHU30" s="56"/>
      <c r="EHV30" s="58"/>
      <c r="EHW30" s="57"/>
      <c r="EHX30" s="56"/>
      <c r="EHY30" s="57"/>
      <c r="EHZ30" s="56"/>
      <c r="EIA30" s="56"/>
      <c r="EIB30" s="56"/>
      <c r="EIC30" s="57"/>
      <c r="EID30" s="387"/>
      <c r="EIE30" s="57"/>
      <c r="EIF30" s="387"/>
      <c r="EIG30" s="57"/>
      <c r="EIH30" s="387"/>
      <c r="EII30" s="57"/>
      <c r="EIJ30" s="57"/>
      <c r="EIK30" s="57"/>
      <c r="EIL30" s="57"/>
      <c r="EIM30" s="57"/>
      <c r="EIN30" s="57"/>
      <c r="EIO30" s="57"/>
      <c r="EIP30" s="57"/>
      <c r="EIQ30" s="57"/>
      <c r="EIR30" s="57"/>
      <c r="EIS30" s="57"/>
      <c r="EIT30" s="57"/>
      <c r="EIU30" s="57"/>
      <c r="EIV30" s="57"/>
      <c r="EIW30" s="57"/>
      <c r="EIX30" s="57"/>
      <c r="EIY30" s="57"/>
      <c r="EIZ30" s="57"/>
      <c r="EJA30" s="57"/>
      <c r="EJB30" s="57"/>
      <c r="EJC30" s="57"/>
      <c r="EJD30" s="57"/>
      <c r="EJE30" s="57"/>
      <c r="EJF30" s="57"/>
      <c r="EJG30" s="57"/>
      <c r="EJH30" s="57"/>
      <c r="EJI30" s="57"/>
      <c r="EJJ30" s="57"/>
      <c r="EJK30" s="57"/>
      <c r="EJL30" s="57"/>
      <c r="EJM30" s="57"/>
      <c r="EJN30" s="58"/>
      <c r="EJO30" s="56"/>
      <c r="EJP30" s="57"/>
      <c r="EJQ30" s="57"/>
      <c r="EJR30" s="57"/>
      <c r="EJS30" s="57"/>
      <c r="EJT30" s="57"/>
      <c r="EJU30" s="56"/>
      <c r="EJV30" s="57"/>
      <c r="EJW30" s="57"/>
      <c r="EJX30" s="56"/>
      <c r="EJY30" s="57"/>
      <c r="EJZ30" s="58"/>
      <c r="EKA30" s="56"/>
      <c r="EKB30" s="57"/>
      <c r="EKC30" s="57"/>
      <c r="EKD30" s="57"/>
      <c r="EKE30" s="56"/>
      <c r="EKF30" s="57"/>
      <c r="EKG30" s="57"/>
      <c r="EKH30" s="56"/>
      <c r="EKI30" s="57"/>
      <c r="EKJ30" s="58"/>
      <c r="EKK30" s="56"/>
      <c r="EKL30" s="57"/>
      <c r="EKM30" s="57"/>
      <c r="EKN30" s="57"/>
      <c r="EKO30" s="56"/>
      <c r="EKP30" s="57"/>
      <c r="EKQ30" s="57"/>
      <c r="EKR30" s="56"/>
      <c r="EKS30" s="57"/>
      <c r="EKT30" s="58"/>
      <c r="EKU30" s="56"/>
      <c r="EKV30" s="57"/>
      <c r="EKW30" s="57"/>
      <c r="EKX30" s="57"/>
      <c r="EKY30" s="56"/>
      <c r="EKZ30" s="57"/>
      <c r="ELA30" s="57"/>
      <c r="ELB30" s="56"/>
      <c r="ELC30" s="57"/>
      <c r="ELD30" s="58"/>
      <c r="ELE30" s="56"/>
      <c r="ELF30" s="58"/>
      <c r="ELG30" s="57"/>
      <c r="ELH30" s="56"/>
      <c r="ELI30" s="57"/>
      <c r="ELJ30" s="56"/>
      <c r="ELK30" s="56"/>
      <c r="ELL30" s="56"/>
      <c r="ELM30" s="57"/>
      <c r="ELN30" s="387"/>
      <c r="ELO30" s="57"/>
      <c r="ELP30" s="387"/>
      <c r="ELQ30" s="57"/>
      <c r="ELR30" s="387"/>
      <c r="ELS30" s="57"/>
      <c r="ELT30" s="57"/>
      <c r="ELU30" s="57"/>
      <c r="ELV30" s="57"/>
      <c r="ELW30" s="57"/>
      <c r="ELX30" s="57"/>
      <c r="ELY30" s="57"/>
      <c r="ELZ30" s="57"/>
      <c r="EMA30" s="57"/>
      <c r="EMB30" s="57"/>
      <c r="EMC30" s="57"/>
      <c r="EMD30" s="57"/>
      <c r="EME30" s="57"/>
      <c r="EMF30" s="57"/>
      <c r="EMG30" s="57"/>
      <c r="EMH30" s="57"/>
      <c r="EMI30" s="57"/>
      <c r="EMJ30" s="57"/>
      <c r="EMK30" s="57"/>
      <c r="EML30" s="57"/>
      <c r="EMM30" s="57"/>
      <c r="EMN30" s="57"/>
      <c r="EMO30" s="57"/>
      <c r="EMP30" s="57"/>
      <c r="EMQ30" s="57"/>
      <c r="EMR30" s="57"/>
      <c r="EMS30" s="57"/>
      <c r="EMT30" s="57"/>
      <c r="EMU30" s="57"/>
      <c r="EMV30" s="57"/>
      <c r="EMW30" s="57"/>
      <c r="EMX30" s="58"/>
      <c r="EMY30" s="56"/>
      <c r="EMZ30" s="57"/>
      <c r="ENA30" s="57"/>
      <c r="ENB30" s="57"/>
      <c r="ENC30" s="57"/>
      <c r="END30" s="57"/>
      <c r="ENE30" s="56"/>
      <c r="ENF30" s="57"/>
      <c r="ENG30" s="57"/>
      <c r="ENH30" s="56"/>
      <c r="ENI30" s="57"/>
      <c r="ENJ30" s="58"/>
      <c r="ENK30" s="56"/>
      <c r="ENL30" s="57"/>
      <c r="ENM30" s="57"/>
      <c r="ENN30" s="57"/>
      <c r="ENO30" s="56"/>
      <c r="ENP30" s="57"/>
      <c r="ENQ30" s="57"/>
      <c r="ENR30" s="56"/>
      <c r="ENS30" s="57"/>
      <c r="ENT30" s="58"/>
      <c r="ENU30" s="56"/>
      <c r="ENV30" s="57"/>
      <c r="ENW30" s="57"/>
      <c r="ENX30" s="57"/>
      <c r="ENY30" s="56"/>
      <c r="ENZ30" s="57"/>
      <c r="EOA30" s="57"/>
      <c r="EOB30" s="56"/>
      <c r="EOC30" s="57"/>
      <c r="EOD30" s="58"/>
      <c r="EOE30" s="56"/>
      <c r="EOF30" s="57"/>
      <c r="EOG30" s="57"/>
      <c r="EOH30" s="57"/>
      <c r="EOI30" s="56"/>
      <c r="EOJ30" s="57"/>
      <c r="EOK30" s="57"/>
      <c r="EOL30" s="56"/>
      <c r="EOM30" s="57"/>
      <c r="EON30" s="58"/>
      <c r="EOO30" s="56" t="str">
        <f t="shared" si="149"/>
        <v xml:space="preserve"> </v>
      </c>
      <c r="EOP30" s="58"/>
      <c r="EOQ30" s="57"/>
      <c r="EOR30" s="56"/>
      <c r="EOS30" s="57"/>
      <c r="EOT30" s="56"/>
      <c r="EOU30" s="56"/>
      <c r="EOV30" s="56"/>
      <c r="EOW30" s="57"/>
      <c r="EOX30" s="387"/>
      <c r="EOY30" s="57"/>
      <c r="EOZ30" s="387"/>
      <c r="EPA30" s="57"/>
      <c r="EPB30" s="387"/>
      <c r="EPC30" s="57"/>
      <c r="EPD30" s="57"/>
      <c r="EPE30" s="57"/>
      <c r="EPF30" s="57"/>
      <c r="EPG30" s="57"/>
      <c r="EPH30" s="57"/>
      <c r="EPI30" s="57"/>
      <c r="EPJ30" s="57"/>
      <c r="EPK30" s="57"/>
      <c r="EPL30" s="57"/>
      <c r="EPM30" s="57"/>
      <c r="EPN30" s="57"/>
      <c r="EPO30" s="57"/>
      <c r="EPP30" s="57"/>
      <c r="EPQ30" s="57"/>
      <c r="EPR30" s="57"/>
      <c r="EPS30" s="57"/>
      <c r="EPT30" s="57"/>
      <c r="EPU30" s="57"/>
      <c r="EPV30" s="57"/>
      <c r="EPW30" s="57"/>
      <c r="EPX30" s="57"/>
      <c r="EPY30" s="57"/>
      <c r="EPZ30" s="57"/>
      <c r="EQA30" s="57"/>
      <c r="EQB30" s="57"/>
      <c r="EQC30" s="57"/>
      <c r="EQD30" s="57"/>
      <c r="EQE30" s="57"/>
      <c r="EQF30" s="57"/>
      <c r="EQG30" s="57"/>
      <c r="EQH30" s="58"/>
      <c r="EQI30" s="56"/>
      <c r="EQJ30" s="57"/>
      <c r="EQK30" s="57"/>
      <c r="EQL30" s="57"/>
      <c r="EQM30" s="57"/>
      <c r="EQN30" s="57"/>
      <c r="EQO30" s="56"/>
      <c r="EQP30" s="57"/>
      <c r="EQQ30" s="57"/>
      <c r="EQR30" s="56"/>
      <c r="EQS30" s="57"/>
      <c r="EQT30" s="58"/>
      <c r="EQU30" s="56"/>
      <c r="EQV30" s="57"/>
      <c r="EQW30" s="57"/>
      <c r="EQX30" s="57"/>
      <c r="EQY30" s="56"/>
      <c r="EQZ30" s="57"/>
      <c r="ERA30" s="57"/>
      <c r="ERB30" s="56"/>
      <c r="ERC30" s="57"/>
      <c r="ERD30" s="58"/>
      <c r="ERE30" s="56"/>
      <c r="ERF30" s="57"/>
      <c r="ERG30" s="57"/>
      <c r="ERH30" s="57"/>
      <c r="ERI30" s="56"/>
      <c r="ERJ30" s="57"/>
      <c r="ERK30" s="57"/>
      <c r="ERL30" s="56"/>
      <c r="ERM30" s="57"/>
      <c r="ERN30" s="58"/>
      <c r="ERO30" s="56"/>
      <c r="ERP30" s="57"/>
      <c r="ERQ30" s="57"/>
      <c r="ERR30" s="57"/>
      <c r="ERS30" s="56"/>
      <c r="ERT30" s="57"/>
      <c r="ERU30" s="57"/>
      <c r="ERV30" s="56"/>
      <c r="ERW30" s="57"/>
      <c r="ERX30" s="58"/>
      <c r="ERY30" s="56" t="str">
        <f t="shared" si="152"/>
        <v xml:space="preserve"> </v>
      </c>
      <c r="ERZ30" s="58"/>
      <c r="ESA30" s="57"/>
      <c r="ESB30" s="56"/>
      <c r="ESC30" s="57"/>
      <c r="ESD30" s="56"/>
      <c r="ESE30" s="56"/>
      <c r="ESF30" s="56"/>
      <c r="ESG30" s="57"/>
      <c r="ESH30" s="387"/>
      <c r="ESI30" s="57"/>
      <c r="ESJ30" s="387"/>
      <c r="ESK30" s="57"/>
      <c r="ESL30" s="387"/>
      <c r="ESM30" s="57"/>
      <c r="ESN30" s="57"/>
      <c r="ESO30" s="57"/>
      <c r="ESP30" s="57"/>
      <c r="ESQ30" s="57"/>
      <c r="ESR30" s="57"/>
      <c r="ESS30" s="57"/>
      <c r="EST30" s="57"/>
      <c r="ESU30" s="57"/>
      <c r="ESV30" s="57"/>
      <c r="ESW30" s="57"/>
      <c r="ESX30" s="57"/>
      <c r="ESY30" s="57"/>
      <c r="ESZ30" s="57"/>
      <c r="ETA30" s="57"/>
      <c r="ETB30" s="57"/>
      <c r="ETC30" s="57"/>
      <c r="ETD30" s="57"/>
      <c r="ETE30" s="57"/>
      <c r="ETF30" s="57"/>
      <c r="ETG30" s="57"/>
      <c r="ETH30" s="57"/>
      <c r="ETI30" s="57"/>
      <c r="ETJ30" s="57"/>
      <c r="ETK30" s="57"/>
      <c r="ETL30" s="57"/>
      <c r="ETM30" s="57"/>
      <c r="ETN30" s="57"/>
      <c r="ETO30" s="57"/>
      <c r="ETP30" s="57"/>
      <c r="ETQ30" s="57"/>
      <c r="ETR30" s="58"/>
      <c r="ETS30" s="56"/>
      <c r="ETT30" s="57"/>
      <c r="ETU30" s="57"/>
      <c r="ETV30" s="57"/>
      <c r="ETW30" s="57"/>
      <c r="ETX30" s="57"/>
      <c r="ETY30" s="56"/>
      <c r="ETZ30" s="57"/>
      <c r="EUA30" s="57"/>
      <c r="EUB30" s="56"/>
      <c r="EUC30" s="57"/>
      <c r="EUD30" s="58"/>
      <c r="EUE30" s="56"/>
      <c r="EUF30" s="57"/>
      <c r="EUG30" s="57"/>
      <c r="EUH30" s="57"/>
      <c r="EUI30" s="56"/>
      <c r="EUJ30" s="57"/>
      <c r="EUK30" s="57"/>
      <c r="EUL30" s="56"/>
      <c r="EUM30" s="57"/>
      <c r="EUN30" s="58"/>
      <c r="EUO30" s="56"/>
      <c r="EUP30" s="57"/>
      <c r="EUQ30" s="57"/>
      <c r="EUR30" s="57"/>
      <c r="EUS30" s="56"/>
      <c r="EUT30" s="57"/>
      <c r="EUU30" s="57"/>
      <c r="EUV30" s="56"/>
      <c r="EUW30" s="57"/>
      <c r="EUX30" s="58"/>
      <c r="EUY30" s="56"/>
      <c r="EUZ30" s="57"/>
      <c r="EVA30" s="57"/>
      <c r="EVB30" s="57"/>
      <c r="EVC30" s="56"/>
      <c r="EVD30" s="57"/>
      <c r="EVE30" s="57"/>
      <c r="EVF30" s="56"/>
      <c r="EVG30" s="57"/>
      <c r="EVH30" s="58"/>
      <c r="EVI30" s="56" t="str">
        <f t="shared" si="153"/>
        <v xml:space="preserve"> </v>
      </c>
    </row>
    <row r="31" spans="1:3961" x14ac:dyDescent="0.3">
      <c r="A31" s="423" t="s">
        <v>192</v>
      </c>
      <c r="B31" s="30" t="str">
        <f>'REG y VAL POE - AESR - ESR'!B2118</f>
        <v xml:space="preserve">Acosta Ramos Catalina </v>
      </c>
      <c r="C31" s="29" t="str">
        <f>'REG y VAL POE - AESR - ESR'!C2118</f>
        <v>Sin Registro</v>
      </c>
      <c r="D31" s="28">
        <f>'REG y VAL POE - AESR - ESR'!D2118</f>
        <v>23092006</v>
      </c>
      <c r="E31" s="29">
        <f>'REG y VAL POE - AESR - ESR'!E2118</f>
        <v>0</v>
      </c>
      <c r="F31" s="28">
        <f>'REG y VAL POE - AESR - ESR'!F2118</f>
        <v>0</v>
      </c>
      <c r="G31" s="31">
        <f>'REG y VAL POE - AESR - ESR'!G2118</f>
        <v>0</v>
      </c>
      <c r="H31" s="31">
        <f>'REG y VAL POE - AESR - ESR'!H2118</f>
        <v>0</v>
      </c>
      <c r="I31" s="29">
        <f>'REG y VAL POE - AESR - ESR'!I2118</f>
        <v>0</v>
      </c>
      <c r="J31" s="29">
        <f>'REG y VAL POE - AESR - ESR'!J2118</f>
        <v>0</v>
      </c>
      <c r="K31" s="29">
        <f>'REG y VAL POE - AESR - ESR'!K2118</f>
        <v>0</v>
      </c>
      <c r="L31" s="29">
        <f>'REG y VAL POE - AESR - ESR'!L2118</f>
        <v>0</v>
      </c>
      <c r="M31" s="29">
        <f>'REG y VAL POE - AESR - ESR'!M2118</f>
        <v>0</v>
      </c>
      <c r="N31" s="32">
        <f>'REG y VAL POE - AESR - ESR'!N2118</f>
        <v>0</v>
      </c>
      <c r="O31" s="29">
        <f>'REG y VAL POE - AESR - ESR'!O2118</f>
        <v>0</v>
      </c>
      <c r="P31" s="29">
        <f>'REG y VAL POE - AESR - ESR'!P2118</f>
        <v>0</v>
      </c>
      <c r="Q31" s="29">
        <f>'REG y VAL POE - AESR - ESR'!Q2118</f>
        <v>0</v>
      </c>
      <c r="R31" s="29">
        <f>'REG y VAL POE - AESR - ESR'!R2118</f>
        <v>0</v>
      </c>
      <c r="S31" s="29">
        <f>'REG y VAL POE - AESR - ESR'!S2118</f>
        <v>0</v>
      </c>
      <c r="T31" s="29">
        <f>'REG y VAL POE - AESR - ESR'!T2118</f>
        <v>0</v>
      </c>
      <c r="U31" s="29">
        <f>'REG y VAL POE - AESR - ESR'!U2118</f>
        <v>0</v>
      </c>
      <c r="V31" s="29">
        <f>'REG y VAL POE - AESR - ESR'!V2118</f>
        <v>0</v>
      </c>
      <c r="W31" s="29">
        <f>'REG y VAL POE - AESR - ESR'!W2118</f>
        <v>0</v>
      </c>
      <c r="X31" s="29">
        <f>'REG y VAL POE - AESR - ESR'!X2118</f>
        <v>0</v>
      </c>
      <c r="Y31" s="29">
        <f>'REG y VAL POE - AESR - ESR'!Y2118</f>
        <v>0</v>
      </c>
      <c r="Z31" s="29">
        <f>'REG y VAL POE - AESR - ESR'!Z2118</f>
        <v>0</v>
      </c>
      <c r="AA31" s="29">
        <f>'REG y VAL POE - AESR - ESR'!AA2118</f>
        <v>0</v>
      </c>
      <c r="AB31" s="29">
        <f>'REG y VAL POE - AESR - ESR'!AB2118</f>
        <v>0</v>
      </c>
      <c r="AC31" s="29">
        <f>'REG y VAL POE - AESR - ESR'!AC2118</f>
        <v>0</v>
      </c>
      <c r="AD31" s="29">
        <f>'REG y VAL POE - AESR - ESR'!AD2118</f>
        <v>0</v>
      </c>
      <c r="AE31" s="29">
        <f>'REG y VAL POE - AESR - ESR'!AE2118</f>
        <v>0</v>
      </c>
      <c r="AF31" s="29">
        <f>'REG y VAL POE - AESR - ESR'!AF2118</f>
        <v>0</v>
      </c>
      <c r="AG31" s="29">
        <f>'REG y VAL POE - AESR - ESR'!AG2118</f>
        <v>0</v>
      </c>
      <c r="AH31" s="29">
        <f>'REG y VAL POE - AESR - ESR'!AH2118</f>
        <v>0</v>
      </c>
      <c r="AI31" s="29">
        <f>'REG y VAL POE - AESR - ESR'!AI2118</f>
        <v>0</v>
      </c>
      <c r="AJ31" s="29">
        <f>'REG y VAL POE - AESR - ESR'!AJ2118</f>
        <v>0</v>
      </c>
      <c r="AK31" s="29">
        <f>'REG y VAL POE - AESR - ESR'!AK2118</f>
        <v>0</v>
      </c>
      <c r="AL31" s="29">
        <f>'REG y VAL POE - AESR - ESR'!AL2118</f>
        <v>0</v>
      </c>
      <c r="AM31" s="29">
        <f>'REG y VAL POE - AESR - ESR'!AM2118</f>
        <v>0</v>
      </c>
      <c r="AN31" s="29">
        <f>'REG y VAL POE - AESR - ESR'!AN2118</f>
        <v>0</v>
      </c>
      <c r="AO31" s="29">
        <f>'REG y VAL POE - AESR - ESR'!AO2118</f>
        <v>0</v>
      </c>
      <c r="AP31" s="29">
        <f>'REG y VAL POE - AESR - ESR'!AP2118</f>
        <v>0</v>
      </c>
      <c r="AQ31" s="29">
        <f>'REG y VAL POE - AESR - ESR'!AQ2118</f>
        <v>0</v>
      </c>
      <c r="AR31" s="29">
        <f>'REG y VAL POE - AESR - ESR'!AR2118</f>
        <v>0</v>
      </c>
      <c r="AS31" s="29">
        <f>'REG y VAL POE - AESR - ESR'!AS2118</f>
        <v>0</v>
      </c>
      <c r="AT31" s="30" t="str">
        <f>'REG y VAL POE - AESR - ESR'!B2119</f>
        <v xml:space="preserve">Aguilera Nohpal Rocio </v>
      </c>
      <c r="AU31" s="29" t="str">
        <f>'REG y VAL POE - AESR - ESR'!C2119</f>
        <v>Sin Registro</v>
      </c>
      <c r="AV31" s="28">
        <f>'REG y VAL POE - AESR - ESR'!D2119</f>
        <v>23139080</v>
      </c>
      <c r="AW31" s="29">
        <f>'REG y VAL POE - AESR - ESR'!E2119</f>
        <v>0</v>
      </c>
      <c r="AX31" s="28">
        <f>'REG y VAL POE - AESR - ESR'!F2119</f>
        <v>0</v>
      </c>
      <c r="AY31" s="31">
        <f>'REG y VAL POE - AESR - ESR'!G2119</f>
        <v>0</v>
      </c>
      <c r="AZ31" s="31">
        <f>'REG y VAL POE - AESR - ESR'!H2119</f>
        <v>0</v>
      </c>
      <c r="BA31" s="29">
        <f>'REG y VAL POE - AESR - ESR'!I2119</f>
        <v>0</v>
      </c>
      <c r="BB31" s="29">
        <f>'REG y VAL POE - AESR - ESR'!J2119</f>
        <v>0</v>
      </c>
      <c r="BC31" s="29">
        <f>'REG y VAL POE - AESR - ESR'!K2119</f>
        <v>0</v>
      </c>
      <c r="BD31" s="29">
        <f>'REG y VAL POE - AESR - ESR'!L2119</f>
        <v>0</v>
      </c>
      <c r="BE31" s="29">
        <f>'REG y VAL POE - AESR - ESR'!M2119</f>
        <v>0</v>
      </c>
      <c r="BF31" s="388">
        <f>'REG y VAL POE - AESR - ESR'!N2119</f>
        <v>0</v>
      </c>
      <c r="BG31" s="29">
        <f>'REG y VAL POE - AESR - ESR'!O2119</f>
        <v>0</v>
      </c>
      <c r="BH31" s="29">
        <f>'REG y VAL POE - AESR - ESR'!P2119</f>
        <v>0</v>
      </c>
      <c r="BI31" s="29">
        <f>'REG y VAL POE - AESR - ESR'!Q2119</f>
        <v>0</v>
      </c>
      <c r="BJ31" s="29">
        <f>'REG y VAL POE - AESR - ESR'!R2119</f>
        <v>0</v>
      </c>
      <c r="BK31" s="29">
        <f>'REG y VAL POE - AESR - ESR'!S2119</f>
        <v>0</v>
      </c>
      <c r="BL31" s="29">
        <f>'REG y VAL POE - AESR - ESR'!T2119</f>
        <v>0</v>
      </c>
      <c r="BM31" s="29">
        <f>'REG y VAL POE - AESR - ESR'!U2119</f>
        <v>0</v>
      </c>
      <c r="BN31" s="29">
        <f>'REG y VAL POE - AESR - ESR'!V2119</f>
        <v>0</v>
      </c>
      <c r="BO31" s="29">
        <f>'REG y VAL POE - AESR - ESR'!W2119</f>
        <v>0</v>
      </c>
      <c r="BP31" s="29">
        <f>'REG y VAL POE - AESR - ESR'!X2119</f>
        <v>0</v>
      </c>
      <c r="BQ31" s="29">
        <f>'REG y VAL POE - AESR - ESR'!Y2119</f>
        <v>0</v>
      </c>
      <c r="BR31" s="29">
        <f>'REG y VAL POE - AESR - ESR'!Z2119</f>
        <v>0</v>
      </c>
      <c r="BS31" s="29">
        <f>'REG y VAL POE - AESR - ESR'!AA2119</f>
        <v>0</v>
      </c>
      <c r="BT31" s="29">
        <f>'REG y VAL POE - AESR - ESR'!AB2119</f>
        <v>0</v>
      </c>
      <c r="BU31" s="29">
        <f>'REG y VAL POE - AESR - ESR'!AC2119</f>
        <v>0</v>
      </c>
      <c r="BV31" s="29">
        <f>'REG y VAL POE - AESR - ESR'!AD2119</f>
        <v>0</v>
      </c>
      <c r="BW31" s="29">
        <f>'REG y VAL POE - AESR - ESR'!AE2119</f>
        <v>0</v>
      </c>
      <c r="BX31" s="29">
        <f>'REG y VAL POE - AESR - ESR'!AF2119</f>
        <v>0</v>
      </c>
      <c r="BY31" s="29">
        <f>'REG y VAL POE - AESR - ESR'!AG2119</f>
        <v>0</v>
      </c>
      <c r="BZ31" s="29">
        <f>'REG y VAL POE - AESR - ESR'!AH2119</f>
        <v>0</v>
      </c>
      <c r="CA31" s="29">
        <f>'REG y VAL POE - AESR - ESR'!AI2119</f>
        <v>0</v>
      </c>
      <c r="CB31" s="29">
        <f>'REG y VAL POE - AESR - ESR'!AJ2119</f>
        <v>0</v>
      </c>
      <c r="CC31" s="29">
        <f>'REG y VAL POE - AESR - ESR'!AK2119</f>
        <v>0</v>
      </c>
      <c r="CD31" s="29">
        <f>'REG y VAL POE - AESR - ESR'!AL2119</f>
        <v>0</v>
      </c>
      <c r="CE31" s="29">
        <f>'REG y VAL POE - AESR - ESR'!AM2119</f>
        <v>0</v>
      </c>
      <c r="CF31" s="29">
        <f>'REG y VAL POE - AESR - ESR'!AN2119</f>
        <v>0</v>
      </c>
      <c r="CG31" s="29">
        <f>'REG y VAL POE - AESR - ESR'!AO2119</f>
        <v>0</v>
      </c>
      <c r="CH31" s="29">
        <f>'REG y VAL POE - AESR - ESR'!AP2119</f>
        <v>0</v>
      </c>
      <c r="CI31" s="29">
        <f>'REG y VAL POE - AESR - ESR'!AQ2119</f>
        <v>0</v>
      </c>
      <c r="CJ31" s="29">
        <f>'REG y VAL POE - AESR - ESR'!AR2119</f>
        <v>0</v>
      </c>
      <c r="CK31" s="29">
        <f>'REG y VAL POE - AESR - ESR'!AS2119</f>
        <v>0</v>
      </c>
      <c r="CL31" s="29" t="str">
        <f>'REG y VAL POE - AESR - ESR'!B2120</f>
        <v xml:space="preserve">Alvarado Venegas Martin </v>
      </c>
      <c r="CM31" s="29" t="str">
        <f>'REG y VAL POE - AESR - ESR'!C2120</f>
        <v>Sin Registro</v>
      </c>
      <c r="CN31" s="29">
        <f>'REG y VAL POE - AESR - ESR'!D2120</f>
        <v>23095222</v>
      </c>
      <c r="CO31" s="31">
        <f>'REG y VAL POE - AESR - ESR'!E2120</f>
        <v>0</v>
      </c>
      <c r="CP31" s="32">
        <f>'REG y VAL POE - AESR - ESR'!F2120</f>
        <v>0</v>
      </c>
      <c r="CQ31" s="32">
        <f>'REG y VAL POE - AESR - ESR'!G2120</f>
        <v>0</v>
      </c>
      <c r="CR31" s="28">
        <f>'REG y VAL POE - AESR - ESR'!H2120</f>
        <v>0</v>
      </c>
      <c r="CS31" s="29">
        <f>'REG y VAL POE - AESR - ESR'!I2120</f>
        <v>0</v>
      </c>
      <c r="CT31" s="30">
        <f>'REG y VAL POE - AESR - ESR'!J2120</f>
        <v>0</v>
      </c>
      <c r="CU31" s="28">
        <f>'REG y VAL POE - AESR - ESR'!K2120</f>
        <v>0</v>
      </c>
      <c r="CV31" s="29">
        <f>'REG y VAL POE - AESR - ESR'!L2120</f>
        <v>0</v>
      </c>
      <c r="CW31" s="29">
        <f>'REG y VAL POE - AESR - ESR'!M2120</f>
        <v>0</v>
      </c>
      <c r="CX31" s="29">
        <f>'REG y VAL POE - AESR - ESR'!N2120</f>
        <v>0</v>
      </c>
      <c r="CY31" s="31">
        <f>'REG y VAL POE - AESR - ESR'!O2120</f>
        <v>0</v>
      </c>
      <c r="CZ31" s="32">
        <f>'REG y VAL POE - AESR - ESR'!P2120</f>
        <v>0</v>
      </c>
      <c r="DA31" s="32">
        <f>'REG y VAL POE - AESR - ESR'!Q2120</f>
        <v>0</v>
      </c>
      <c r="DB31" s="28">
        <f>'REG y VAL POE - AESR - ESR'!R2120</f>
        <v>0</v>
      </c>
      <c r="DC31" s="29">
        <f>'REG y VAL POE - AESR - ESR'!S2120</f>
        <v>0</v>
      </c>
      <c r="DD31" s="30">
        <f>'REG y VAL POE - AESR - ESR'!T2120</f>
        <v>0</v>
      </c>
      <c r="DE31" s="28">
        <f>'REG y VAL POE - AESR - ESR'!U2120</f>
        <v>0</v>
      </c>
      <c r="DF31" s="29">
        <f>'REG y VAL POE - AESR - ESR'!V2120</f>
        <v>0</v>
      </c>
      <c r="DG31" s="29">
        <f>'REG y VAL POE - AESR - ESR'!W2120</f>
        <v>0</v>
      </c>
      <c r="DH31" s="29">
        <f>'REG y VAL POE - AESR - ESR'!X2120</f>
        <v>0</v>
      </c>
      <c r="DI31" s="31">
        <f>'REG y VAL POE - AESR - ESR'!Y2120</f>
        <v>0</v>
      </c>
      <c r="DJ31" s="32">
        <f>'REG y VAL POE - AESR - ESR'!Z2120</f>
        <v>0</v>
      </c>
      <c r="DK31" s="32">
        <f>'REG y VAL POE - AESR - ESR'!AA2120</f>
        <v>0</v>
      </c>
      <c r="DL31" s="28">
        <f>'REG y VAL POE - AESR - ESR'!AB2120</f>
        <v>0</v>
      </c>
      <c r="DM31" s="29">
        <f>'REG y VAL POE - AESR - ESR'!AC2120</f>
        <v>0</v>
      </c>
      <c r="DN31" s="30">
        <f>'REG y VAL POE - AESR - ESR'!AD2120</f>
        <v>0</v>
      </c>
      <c r="DO31" s="28">
        <f>'REG y VAL POE - AESR - ESR'!AE2120</f>
        <v>0</v>
      </c>
      <c r="DP31" s="29">
        <f>'REG y VAL POE - AESR - ESR'!AF2120</f>
        <v>0</v>
      </c>
      <c r="DQ31" s="29">
        <f>'REG y VAL POE - AESR - ESR'!AG2120</f>
        <v>0</v>
      </c>
      <c r="DR31" s="29">
        <f>'REG y VAL POE - AESR - ESR'!AH2120</f>
        <v>0</v>
      </c>
      <c r="DS31" s="31">
        <f>'REG y VAL POE - AESR - ESR'!AI2120</f>
        <v>0</v>
      </c>
      <c r="DT31" s="32">
        <f>'REG y VAL POE - AESR - ESR'!AJ2120</f>
        <v>0</v>
      </c>
      <c r="DU31" s="32">
        <f>'REG y VAL POE - AESR - ESR'!AK2120</f>
        <v>0</v>
      </c>
      <c r="DV31" s="28">
        <f>'REG y VAL POE - AESR - ESR'!AL2120</f>
        <v>0</v>
      </c>
      <c r="DW31" s="29">
        <f>'REG y VAL POE - AESR - ESR'!AM2120</f>
        <v>0</v>
      </c>
      <c r="DX31" s="30">
        <f>'REG y VAL POE - AESR - ESR'!AN2120</f>
        <v>0</v>
      </c>
      <c r="DY31" s="28">
        <f>'REG y VAL POE - AESR - ESR'!AO2120</f>
        <v>0</v>
      </c>
      <c r="DZ31" s="29">
        <f>'REG y VAL POE - AESR - ESR'!AP2120</f>
        <v>0</v>
      </c>
      <c r="EA31" s="29">
        <f>'REG y VAL POE - AESR - ESR'!AQ2120</f>
        <v>0</v>
      </c>
      <c r="EB31" s="29">
        <f>'REG y VAL POE - AESR - ESR'!AR2120</f>
        <v>0</v>
      </c>
      <c r="EC31" s="31">
        <f>'REG y VAL POE - AESR - ESR'!AS2120</f>
        <v>0</v>
      </c>
      <c r="ED31" s="32" t="str">
        <f>'REG y VAL POE - AESR - ESR'!B2121</f>
        <v xml:space="preserve">Azuara Hernandez Edgardo Antonio </v>
      </c>
      <c r="EE31" s="28" t="str">
        <f>'REG y VAL POE - AESR - ESR'!C2121</f>
        <v>Sin Registro</v>
      </c>
      <c r="EF31" s="28">
        <f>'REG y VAL POE - AESR - ESR'!D2121</f>
        <v>23089278</v>
      </c>
      <c r="EG31" s="29">
        <f>'REG y VAL POE - AESR - ESR'!E2121</f>
        <v>0</v>
      </c>
      <c r="EH31" s="30">
        <f>'REG y VAL POE - AESR - ESR'!F2121</f>
        <v>0</v>
      </c>
      <c r="EI31" s="28">
        <f>'REG y VAL POE - AESR - ESR'!G2121</f>
        <v>0</v>
      </c>
      <c r="EJ31" s="29">
        <f>'REG y VAL POE - AESR - ESR'!H2121</f>
        <v>0</v>
      </c>
      <c r="EK31" s="29">
        <f>'REG y VAL POE - AESR - ESR'!I2121</f>
        <v>0</v>
      </c>
      <c r="EL31" s="29">
        <f>'REG y VAL POE - AESR - ESR'!J2121</f>
        <v>0</v>
      </c>
      <c r="EM31" s="31">
        <f>'REG y VAL POE - AESR - ESR'!K2121</f>
        <v>0</v>
      </c>
      <c r="EN31" s="32">
        <f>'REG y VAL POE - AESR - ESR'!L2121</f>
        <v>0</v>
      </c>
      <c r="EO31" s="33">
        <f>'REG y VAL POE - AESR - ESR'!M2121</f>
        <v>0</v>
      </c>
      <c r="EP31" s="28">
        <f>'REG y VAL POE - AESR - ESR'!N2121</f>
        <v>0</v>
      </c>
      <c r="EQ31" s="29">
        <f>'REG y VAL POE - AESR - ESR'!O2121</f>
        <v>0</v>
      </c>
      <c r="ER31" s="30">
        <f>'REG y VAL POE - AESR - ESR'!P2121</f>
        <v>0</v>
      </c>
      <c r="ES31" s="28">
        <f>'REG y VAL POE - AESR - ESR'!Q2121</f>
        <v>0</v>
      </c>
      <c r="ET31" s="29">
        <f>'REG y VAL POE - AESR - ESR'!R2121</f>
        <v>0</v>
      </c>
      <c r="EU31" s="29">
        <f>'REG y VAL POE - AESR - ESR'!S2121</f>
        <v>0</v>
      </c>
      <c r="EV31" s="29">
        <f>'REG y VAL POE - AESR - ESR'!T2121</f>
        <v>0</v>
      </c>
      <c r="EW31" s="31">
        <f>'REG y VAL POE - AESR - ESR'!U2121</f>
        <v>0</v>
      </c>
      <c r="EX31" s="32">
        <f>'REG y VAL POE - AESR - ESR'!V2121</f>
        <v>0</v>
      </c>
      <c r="EY31" s="32">
        <f>'REG y VAL POE - AESR - ESR'!W2121</f>
        <v>0</v>
      </c>
      <c r="EZ31" s="28">
        <f>'REG y VAL POE - AESR - ESR'!X2121</f>
        <v>0</v>
      </c>
      <c r="FA31" s="29">
        <f>'REG y VAL POE - AESR - ESR'!Y2121</f>
        <v>0</v>
      </c>
      <c r="FB31" s="30">
        <f>'REG y VAL POE - AESR - ESR'!Z2121</f>
        <v>0</v>
      </c>
      <c r="FC31" s="28">
        <f>'REG y VAL POE - AESR - ESR'!AA2121</f>
        <v>0</v>
      </c>
      <c r="FD31" s="29">
        <f>'REG y VAL POE - AESR - ESR'!AB2121</f>
        <v>0</v>
      </c>
      <c r="FE31" s="29">
        <f>'REG y VAL POE - AESR - ESR'!AC2121</f>
        <v>0</v>
      </c>
      <c r="FF31" s="29">
        <f>'REG y VAL POE - AESR - ESR'!AD2121</f>
        <v>0</v>
      </c>
      <c r="FG31" s="31">
        <f>'REG y VAL POE - AESR - ESR'!AE2121</f>
        <v>0</v>
      </c>
      <c r="FH31" s="32">
        <f>'REG y VAL POE - AESR - ESR'!AF2121</f>
        <v>0</v>
      </c>
      <c r="FI31" s="32">
        <f>'REG y VAL POE - AESR - ESR'!AG2121</f>
        <v>0</v>
      </c>
      <c r="FJ31" s="28">
        <f>'REG y VAL POE - AESR - ESR'!AH2121</f>
        <v>0</v>
      </c>
      <c r="FK31" s="29">
        <f>'REG y VAL POE - AESR - ESR'!AI2121</f>
        <v>0</v>
      </c>
      <c r="FL31" s="30">
        <f>'REG y VAL POE - AESR - ESR'!AJ2121</f>
        <v>0</v>
      </c>
      <c r="FM31" s="28">
        <f>'REG y VAL POE - AESR - ESR'!AK2121</f>
        <v>0</v>
      </c>
      <c r="FN31" s="29">
        <f>'REG y VAL POE - AESR - ESR'!AL2121</f>
        <v>0</v>
      </c>
      <c r="FO31" s="29">
        <f>'REG y VAL POE - AESR - ESR'!AM2121</f>
        <v>0</v>
      </c>
      <c r="FP31" s="29">
        <f>'REG y VAL POE - AESR - ESR'!AN2121</f>
        <v>0</v>
      </c>
      <c r="FQ31" s="31">
        <f>'REG y VAL POE - AESR - ESR'!AO2121</f>
        <v>0</v>
      </c>
      <c r="FR31" s="32">
        <f>'REG y VAL POE - AESR - ESR'!AP2121</f>
        <v>0</v>
      </c>
      <c r="FS31" s="32">
        <f>'REG y VAL POE - AESR - ESR'!AQ2121</f>
        <v>0</v>
      </c>
      <c r="FT31" s="28">
        <f>'REG y VAL POE - AESR - ESR'!AR2121</f>
        <v>0</v>
      </c>
      <c r="FU31" s="29">
        <f>'REG y VAL POE - AESR - ESR'!AS2121</f>
        <v>0</v>
      </c>
      <c r="FV31" s="30" t="str">
        <f>'REG y VAL POE - AESR - ESR'!B2122</f>
        <v xml:space="preserve">Bautista Vasquez Jorge Alberto </v>
      </c>
      <c r="FW31" s="28" t="str">
        <f>'REG y VAL POE - AESR - ESR'!C2122</f>
        <v>Sin Registro</v>
      </c>
      <c r="FX31" s="29">
        <f>'REG y VAL POE - AESR - ESR'!D2122</f>
        <v>23096011</v>
      </c>
      <c r="FY31" s="29">
        <f>'REG y VAL POE - AESR - ESR'!E2122</f>
        <v>0</v>
      </c>
      <c r="FZ31" s="29">
        <f>'REG y VAL POE - AESR - ESR'!F2122</f>
        <v>0</v>
      </c>
      <c r="GA31" s="31">
        <f>'REG y VAL POE - AESR - ESR'!G2122</f>
        <v>0</v>
      </c>
      <c r="GB31" s="32">
        <f>'REG y VAL POE - AESR - ESR'!H2122</f>
        <v>0</v>
      </c>
      <c r="GC31" s="32">
        <f>'REG y VAL POE - AESR - ESR'!I2122</f>
        <v>0</v>
      </c>
      <c r="GD31" s="28">
        <f>'REG y VAL POE - AESR - ESR'!J2122</f>
        <v>0</v>
      </c>
      <c r="GE31" s="29">
        <f>'REG y VAL POE - AESR - ESR'!K2122</f>
        <v>0</v>
      </c>
      <c r="GF31" s="30">
        <f>'REG y VAL POE - AESR - ESR'!L2122</f>
        <v>0</v>
      </c>
      <c r="GG31" s="28">
        <f>'REG y VAL POE - AESR - ESR'!M2122</f>
        <v>0</v>
      </c>
      <c r="GH31" s="29">
        <f>'REG y VAL POE - AESR - ESR'!N2122</f>
        <v>0</v>
      </c>
      <c r="GI31" s="29">
        <f>'REG y VAL POE - AESR - ESR'!O2122</f>
        <v>0</v>
      </c>
      <c r="GJ31" s="29">
        <f>'REG y VAL POE - AESR - ESR'!P2122</f>
        <v>0</v>
      </c>
      <c r="GK31" s="31">
        <f>'REG y VAL POE - AESR - ESR'!Q2122</f>
        <v>0</v>
      </c>
      <c r="GL31" s="32">
        <f>'REG y VAL POE - AESR - ESR'!R2122</f>
        <v>0</v>
      </c>
      <c r="GM31" s="32">
        <f>'REG y VAL POE - AESR - ESR'!S2122</f>
        <v>0</v>
      </c>
      <c r="GN31" s="28">
        <f>'REG y VAL POE - AESR - ESR'!T2122</f>
        <v>0</v>
      </c>
      <c r="GO31" s="29">
        <f>'REG y VAL POE - AESR - ESR'!U2122</f>
        <v>0</v>
      </c>
      <c r="GP31" s="30">
        <f>'REG y VAL POE - AESR - ESR'!V2122</f>
        <v>0</v>
      </c>
      <c r="GQ31" s="28">
        <f>'REG y VAL POE - AESR - ESR'!W2122</f>
        <v>0</v>
      </c>
      <c r="GR31" s="29">
        <f>'REG y VAL POE - AESR - ESR'!X2122</f>
        <v>0</v>
      </c>
      <c r="GS31" s="29">
        <f>'REG y VAL POE - AESR - ESR'!Y2122</f>
        <v>0</v>
      </c>
      <c r="GT31" s="29">
        <f>'REG y VAL POE - AESR - ESR'!Z2122</f>
        <v>0</v>
      </c>
      <c r="GU31" s="31">
        <f>'REG y VAL POE - AESR - ESR'!AA2122</f>
        <v>0</v>
      </c>
      <c r="GV31" s="32">
        <f>'REG y VAL POE - AESR - ESR'!AB2122</f>
        <v>0</v>
      </c>
      <c r="GW31" s="32">
        <f>'REG y VAL POE - AESR - ESR'!AC2122</f>
        <v>0</v>
      </c>
      <c r="GX31" s="28">
        <f>'REG y VAL POE - AESR - ESR'!AD2122</f>
        <v>0</v>
      </c>
      <c r="GY31" s="29">
        <f>'REG y VAL POE - AESR - ESR'!AE2122</f>
        <v>0</v>
      </c>
      <c r="GZ31" s="30">
        <f>'REG y VAL POE - AESR - ESR'!AF2122</f>
        <v>0</v>
      </c>
      <c r="HA31" s="28">
        <f>'REG y VAL POE - AESR - ESR'!AG2122</f>
        <v>0</v>
      </c>
      <c r="HB31" s="29">
        <f>'REG y VAL POE - AESR - ESR'!AH2122</f>
        <v>0</v>
      </c>
      <c r="HC31" s="29">
        <f>'REG y VAL POE - AESR - ESR'!AI2122</f>
        <v>0</v>
      </c>
      <c r="HD31" s="29">
        <f>'REG y VAL POE - AESR - ESR'!AJ2122</f>
        <v>0</v>
      </c>
      <c r="HE31" s="31">
        <f>'REG y VAL POE - AESR - ESR'!AK2122</f>
        <v>0</v>
      </c>
      <c r="HF31" s="32">
        <f>'REG y VAL POE - AESR - ESR'!AL2122</f>
        <v>0</v>
      </c>
      <c r="HG31" s="32">
        <f>'REG y VAL POE - AESR - ESR'!AM2122</f>
        <v>0</v>
      </c>
      <c r="HH31" s="28">
        <f>'REG y VAL POE - AESR - ESR'!AN2122</f>
        <v>0</v>
      </c>
      <c r="HI31" s="29">
        <f>'REG y VAL POE - AESR - ESR'!AO2122</f>
        <v>0</v>
      </c>
      <c r="HJ31" s="30">
        <f>'REG y VAL POE - AESR - ESR'!AP2122</f>
        <v>0</v>
      </c>
      <c r="HK31" s="28">
        <f>'REG y VAL POE - AESR - ESR'!AQ2122</f>
        <v>0</v>
      </c>
      <c r="HL31" s="29">
        <f>'REG y VAL POE - AESR - ESR'!AR2122</f>
        <v>0</v>
      </c>
      <c r="HM31" s="29">
        <f>'REG y VAL POE - AESR - ESR'!AS2122</f>
        <v>0</v>
      </c>
      <c r="HN31" s="29" t="str">
        <f>'REG y VAL POE - AESR - ESR'!B2123</f>
        <v xml:space="preserve">Beltran Valencia Krisbel </v>
      </c>
      <c r="HO31" s="31" t="str">
        <f>'REG y VAL POE - AESR - ESR'!C2123</f>
        <v>Sin Registro</v>
      </c>
      <c r="HP31" s="32">
        <f>'REG y VAL POE - AESR - ESR'!D2123</f>
        <v>23143108</v>
      </c>
      <c r="HQ31" s="32">
        <f>'REG y VAL POE - AESR - ESR'!E2123</f>
        <v>0</v>
      </c>
      <c r="HR31" s="28">
        <f>'REG y VAL POE - AESR - ESR'!F2123</f>
        <v>0</v>
      </c>
      <c r="HS31" s="29">
        <f>'REG y VAL POE - AESR - ESR'!G2123</f>
        <v>0</v>
      </c>
      <c r="HT31" s="30">
        <f>'REG y VAL POE - AESR - ESR'!H2123</f>
        <v>0</v>
      </c>
      <c r="HU31" s="28">
        <f>'REG y VAL POE - AESR - ESR'!I2123</f>
        <v>0</v>
      </c>
      <c r="HV31" s="29">
        <f>'REG y VAL POE - AESR - ESR'!J2123</f>
        <v>0</v>
      </c>
      <c r="HW31" s="29">
        <f>'REG y VAL POE - AESR - ESR'!K2123</f>
        <v>0</v>
      </c>
      <c r="HX31" s="29">
        <f>'REG y VAL POE - AESR - ESR'!L2123</f>
        <v>0</v>
      </c>
      <c r="HY31" s="31">
        <f>'REG y VAL POE - AESR - ESR'!M2123</f>
        <v>0</v>
      </c>
      <c r="HZ31" s="32">
        <f>'REG y VAL POE - AESR - ESR'!N2123</f>
        <v>0</v>
      </c>
      <c r="IA31" s="32">
        <f>'REG y VAL POE - AESR - ESR'!O2123</f>
        <v>0</v>
      </c>
      <c r="IB31" s="28">
        <f>'REG y VAL POE - AESR - ESR'!P2123</f>
        <v>0</v>
      </c>
      <c r="IC31" s="29">
        <f>'REG y VAL POE - AESR - ESR'!Q2123</f>
        <v>0</v>
      </c>
      <c r="ID31" s="30">
        <f>'REG y VAL POE - AESR - ESR'!R2123</f>
        <v>0</v>
      </c>
      <c r="IE31" s="28">
        <f>'REG y VAL POE - AESR - ESR'!S2123</f>
        <v>0</v>
      </c>
      <c r="IF31" s="29">
        <f>'REG y VAL POE - AESR - ESR'!T2123</f>
        <v>0</v>
      </c>
      <c r="IG31" s="29">
        <f>'REG y VAL POE - AESR - ESR'!U2123</f>
        <v>0</v>
      </c>
      <c r="IH31" s="29">
        <f>'REG y VAL POE - AESR - ESR'!V2123</f>
        <v>0</v>
      </c>
      <c r="II31" s="31">
        <f>'REG y VAL POE - AESR - ESR'!W2123</f>
        <v>0</v>
      </c>
      <c r="IJ31" s="32">
        <f>'REG y VAL POE - AESR - ESR'!X2123</f>
        <v>0</v>
      </c>
      <c r="IK31" s="32">
        <f>'REG y VAL POE - AESR - ESR'!Y2123</f>
        <v>0</v>
      </c>
      <c r="IL31" s="28">
        <f>'REG y VAL POE - AESR - ESR'!Z2123</f>
        <v>0</v>
      </c>
      <c r="IM31" s="29">
        <f>'REG y VAL POE - AESR - ESR'!AA2123</f>
        <v>0</v>
      </c>
      <c r="IN31" s="30">
        <f>'REG y VAL POE - AESR - ESR'!AB2123</f>
        <v>0</v>
      </c>
      <c r="IO31" s="28">
        <f>'REG y VAL POE - AESR - ESR'!AC2123</f>
        <v>0</v>
      </c>
      <c r="IP31" s="29">
        <f>'REG y VAL POE - AESR - ESR'!AD2123</f>
        <v>0</v>
      </c>
      <c r="IQ31" s="29">
        <f>'REG y VAL POE - AESR - ESR'!AE2123</f>
        <v>0</v>
      </c>
      <c r="IR31" s="29">
        <f>'REG y VAL POE - AESR - ESR'!AF2123</f>
        <v>0</v>
      </c>
      <c r="IS31" s="31">
        <f>'REG y VAL POE - AESR - ESR'!AG2123</f>
        <v>0</v>
      </c>
      <c r="IT31" s="32">
        <f>'REG y VAL POE - AESR - ESR'!AH2123</f>
        <v>0</v>
      </c>
      <c r="IU31" s="32">
        <f>'REG y VAL POE - AESR - ESR'!AI2123</f>
        <v>0</v>
      </c>
      <c r="IV31" s="28">
        <f>'REG y VAL POE - AESR - ESR'!AJ2123</f>
        <v>0</v>
      </c>
      <c r="IW31" s="29">
        <f>'REG y VAL POE - AESR - ESR'!AK2123</f>
        <v>0</v>
      </c>
      <c r="IX31" s="30">
        <f>'REG y VAL POE - AESR - ESR'!AL2123</f>
        <v>0</v>
      </c>
      <c r="IY31" s="28">
        <f>'REG y VAL POE - AESR - ESR'!AM2123</f>
        <v>0</v>
      </c>
      <c r="IZ31" s="29">
        <f>'REG y VAL POE - AESR - ESR'!AN2123</f>
        <v>0</v>
      </c>
      <c r="JA31" s="29">
        <f>'REG y VAL POE - AESR - ESR'!AO2123</f>
        <v>0</v>
      </c>
      <c r="JB31" s="29">
        <f>'REG y VAL POE - AESR - ESR'!AP2123</f>
        <v>0</v>
      </c>
      <c r="JC31" s="31">
        <f>'REG y VAL POE - AESR - ESR'!AQ2123</f>
        <v>0</v>
      </c>
      <c r="JD31" s="32">
        <f>'REG y VAL POE - AESR - ESR'!AR2123</f>
        <v>0</v>
      </c>
      <c r="JE31" s="32">
        <f>'REG y VAL POE - AESR - ESR'!AS2123</f>
        <v>0</v>
      </c>
      <c r="JF31" s="28" t="str">
        <f>'REG y VAL POE - AESR - ESR'!B2124</f>
        <v xml:space="preserve">Carrera Guzman Maria Cristina </v>
      </c>
      <c r="JG31" s="29" t="str">
        <f>'REG y VAL POE - AESR - ESR'!C2124</f>
        <v>Sin Registro</v>
      </c>
      <c r="JH31" s="30">
        <f>'REG y VAL POE - AESR - ESR'!D2124</f>
        <v>20241319</v>
      </c>
      <c r="JI31" s="28">
        <f>'REG y VAL POE - AESR - ESR'!E2124</f>
        <v>0</v>
      </c>
      <c r="JJ31" s="29">
        <f>'REG y VAL POE - AESR - ESR'!F2124</f>
        <v>0</v>
      </c>
      <c r="JK31" s="29">
        <f>'REG y VAL POE - AESR - ESR'!G2124</f>
        <v>0</v>
      </c>
      <c r="JL31" s="29">
        <f>'REG y VAL POE - AESR - ESR'!H2124</f>
        <v>0</v>
      </c>
      <c r="JM31" s="31">
        <f>'REG y VAL POE - AESR - ESR'!I2124</f>
        <v>0</v>
      </c>
      <c r="JN31" s="32">
        <f>'REG y VAL POE - AESR - ESR'!J2124</f>
        <v>0</v>
      </c>
      <c r="JO31" s="32">
        <f>'REG y VAL POE - AESR - ESR'!K2124</f>
        <v>0</v>
      </c>
      <c r="JP31" s="28">
        <f>'REG y VAL POE - AESR - ESR'!L2124</f>
        <v>0</v>
      </c>
      <c r="JQ31" s="29">
        <f>'REG y VAL POE - AESR - ESR'!M2124</f>
        <v>0</v>
      </c>
      <c r="JR31" s="30">
        <f>'REG y VAL POE - AESR - ESR'!N2124</f>
        <v>0</v>
      </c>
      <c r="JS31" s="28">
        <f>'REG y VAL POE - AESR - ESR'!O2124</f>
        <v>0</v>
      </c>
      <c r="JT31" s="29">
        <f>'REG y VAL POE - AESR - ESR'!P2124</f>
        <v>0</v>
      </c>
      <c r="JU31" s="29">
        <f>'REG y VAL POE - AESR - ESR'!Q2124</f>
        <v>0</v>
      </c>
      <c r="JV31" s="29">
        <f>'REG y VAL POE - AESR - ESR'!R2124</f>
        <v>0</v>
      </c>
      <c r="JW31" s="31">
        <f>'REG y VAL POE - AESR - ESR'!S2124</f>
        <v>0</v>
      </c>
      <c r="JX31" s="32">
        <f>'REG y VAL POE - AESR - ESR'!T2124</f>
        <v>0</v>
      </c>
      <c r="JY31" s="32">
        <f>'REG y VAL POE - AESR - ESR'!U2124</f>
        <v>0</v>
      </c>
      <c r="JZ31" s="28">
        <f>'REG y VAL POE - AESR - ESR'!V2124</f>
        <v>0</v>
      </c>
      <c r="KA31" s="29">
        <f>'REG y VAL POE - AESR - ESR'!W2124</f>
        <v>0</v>
      </c>
      <c r="KB31" s="30">
        <f>'REG y VAL POE - AESR - ESR'!X2124</f>
        <v>0</v>
      </c>
      <c r="KC31" s="28">
        <f>'REG y VAL POE - AESR - ESR'!Y2124</f>
        <v>0</v>
      </c>
      <c r="KD31" s="29">
        <f>'REG y VAL POE - AESR - ESR'!Z2124</f>
        <v>0</v>
      </c>
      <c r="KE31" s="29">
        <f>'REG y VAL POE - AESR - ESR'!AA2124</f>
        <v>0</v>
      </c>
      <c r="KF31" s="29">
        <f>'REG y VAL POE - AESR - ESR'!AB2124</f>
        <v>0</v>
      </c>
      <c r="KG31" s="31">
        <f>'REG y VAL POE - AESR - ESR'!AC2124</f>
        <v>0</v>
      </c>
      <c r="KH31" s="32">
        <f>'REG y VAL POE - AESR - ESR'!AD2124</f>
        <v>0</v>
      </c>
      <c r="KI31" s="32">
        <f>'REG y VAL POE - AESR - ESR'!AE2124</f>
        <v>0</v>
      </c>
      <c r="KJ31" s="28">
        <f>'REG y VAL POE - AESR - ESR'!AF2124</f>
        <v>0</v>
      </c>
      <c r="KK31" s="29">
        <f>'REG y VAL POE - AESR - ESR'!AG2124</f>
        <v>0</v>
      </c>
      <c r="KL31" s="30">
        <f>'REG y VAL POE - AESR - ESR'!AH2124</f>
        <v>0</v>
      </c>
      <c r="KM31" s="28">
        <f>'REG y VAL POE - AESR - ESR'!AI2124</f>
        <v>0</v>
      </c>
      <c r="KN31" s="29">
        <f>'REG y VAL POE - AESR - ESR'!AJ2124</f>
        <v>0</v>
      </c>
      <c r="KO31" s="29">
        <f>'REG y VAL POE - AESR - ESR'!AK2124</f>
        <v>0</v>
      </c>
      <c r="KP31" s="29">
        <f>'REG y VAL POE - AESR - ESR'!AL2124</f>
        <v>0</v>
      </c>
      <c r="KQ31" s="31">
        <f>'REG y VAL POE - AESR - ESR'!AM2124</f>
        <v>0</v>
      </c>
      <c r="KR31" s="32">
        <f>'REG y VAL POE - AESR - ESR'!AN2124</f>
        <v>0</v>
      </c>
      <c r="KS31" s="32">
        <f>'REG y VAL POE - AESR - ESR'!AO2124</f>
        <v>0</v>
      </c>
      <c r="KT31" s="28">
        <f>'REG y VAL POE - AESR - ESR'!AP2124</f>
        <v>0</v>
      </c>
      <c r="KU31" s="29">
        <f>'REG y VAL POE - AESR - ESR'!AQ2124</f>
        <v>0</v>
      </c>
      <c r="KV31" s="30">
        <f>'REG y VAL POE - AESR - ESR'!AR2124</f>
        <v>0</v>
      </c>
      <c r="KW31" s="28">
        <f>'REG y VAL POE - AESR - ESR'!AS2124</f>
        <v>0</v>
      </c>
      <c r="KX31" s="29" t="str">
        <f>'REG y VAL POE - AESR - ESR'!B2125</f>
        <v xml:space="preserve">Castillo Resendiz Edelmira Walkiria </v>
      </c>
      <c r="KY31" s="29" t="str">
        <f>'REG y VAL POE - AESR - ESR'!C2125</f>
        <v>Sin Registro</v>
      </c>
      <c r="KZ31" s="29">
        <f>'REG y VAL POE - AESR - ESR'!D2125</f>
        <v>23087864</v>
      </c>
      <c r="LA31" s="31">
        <f>'REG y VAL POE - AESR - ESR'!E2125</f>
        <v>0</v>
      </c>
      <c r="LB31" s="32">
        <f>'REG y VAL POE - AESR - ESR'!F2125</f>
        <v>0</v>
      </c>
      <c r="LC31" s="32">
        <f>'REG y VAL POE - AESR - ESR'!G2125</f>
        <v>0</v>
      </c>
      <c r="LD31" s="28">
        <f>'REG y VAL POE - AESR - ESR'!H2125</f>
        <v>0</v>
      </c>
      <c r="LE31" s="29">
        <f>'REG y VAL POE - AESR - ESR'!I2125</f>
        <v>0</v>
      </c>
      <c r="LF31" s="30">
        <f>'REG y VAL POE - AESR - ESR'!J2125</f>
        <v>0</v>
      </c>
      <c r="LG31" s="28">
        <f>'REG y VAL POE - AESR - ESR'!K2125</f>
        <v>0</v>
      </c>
      <c r="LH31" s="29">
        <f>'REG y VAL POE - AESR - ESR'!L2125</f>
        <v>0</v>
      </c>
      <c r="LI31" s="29">
        <f>'REG y VAL POE - AESR - ESR'!M2125</f>
        <v>0</v>
      </c>
      <c r="LJ31" s="29">
        <f>'REG y VAL POE - AESR - ESR'!N2125</f>
        <v>0</v>
      </c>
      <c r="LK31" s="31">
        <f>'REG y VAL POE - AESR - ESR'!O2125</f>
        <v>0</v>
      </c>
      <c r="LL31" s="32">
        <f>'REG y VAL POE - AESR - ESR'!P2125</f>
        <v>0</v>
      </c>
      <c r="LM31" s="32">
        <f>'REG y VAL POE - AESR - ESR'!Q2125</f>
        <v>0</v>
      </c>
      <c r="LN31" s="28">
        <f>'REG y VAL POE - AESR - ESR'!R2125</f>
        <v>0</v>
      </c>
      <c r="LO31" s="29">
        <f>'REG y VAL POE - AESR - ESR'!S2125</f>
        <v>0</v>
      </c>
      <c r="LP31" s="30">
        <f>'REG y VAL POE - AESR - ESR'!T2125</f>
        <v>0</v>
      </c>
      <c r="LQ31" s="28">
        <f>'REG y VAL POE - AESR - ESR'!U2125</f>
        <v>0</v>
      </c>
      <c r="LR31" s="29">
        <f>'REG y VAL POE - AESR - ESR'!V2125</f>
        <v>0</v>
      </c>
      <c r="LS31" s="29">
        <f>'REG y VAL POE - AESR - ESR'!W2125</f>
        <v>0</v>
      </c>
      <c r="LT31" s="29">
        <f>'REG y VAL POE - AESR - ESR'!X2125</f>
        <v>0</v>
      </c>
      <c r="LU31" s="31">
        <f>'REG y VAL POE - AESR - ESR'!Y2125</f>
        <v>0</v>
      </c>
      <c r="LV31" s="32">
        <f>'REG y VAL POE - AESR - ESR'!Z2125</f>
        <v>0</v>
      </c>
      <c r="LW31" s="32">
        <f>'REG y VAL POE - AESR - ESR'!AA2125</f>
        <v>0</v>
      </c>
      <c r="LX31" s="28">
        <f>'REG y VAL POE - AESR - ESR'!AB2125</f>
        <v>0</v>
      </c>
      <c r="LY31" s="29">
        <f>'REG y VAL POE - AESR - ESR'!AC2125</f>
        <v>0</v>
      </c>
      <c r="LZ31" s="30">
        <f>'REG y VAL POE - AESR - ESR'!AD2125</f>
        <v>0</v>
      </c>
      <c r="MA31" s="28">
        <f>'REG y VAL POE - AESR - ESR'!AE2125</f>
        <v>0</v>
      </c>
      <c r="MB31" s="29">
        <f>'REG y VAL POE - AESR - ESR'!AF2125</f>
        <v>0</v>
      </c>
      <c r="MC31" s="29">
        <f>'REG y VAL POE - AESR - ESR'!AG2125</f>
        <v>0</v>
      </c>
      <c r="MD31" s="29">
        <f>'REG y VAL POE - AESR - ESR'!AH2125</f>
        <v>0</v>
      </c>
      <c r="ME31" s="31">
        <f>'REG y VAL POE - AESR - ESR'!AI2125</f>
        <v>0</v>
      </c>
      <c r="MF31" s="32">
        <f>'REG y VAL POE - AESR - ESR'!AJ2125</f>
        <v>0</v>
      </c>
      <c r="MG31" s="32">
        <f>'REG y VAL POE - AESR - ESR'!AK2125</f>
        <v>0</v>
      </c>
      <c r="MH31" s="28">
        <f>'REG y VAL POE - AESR - ESR'!AL2125</f>
        <v>0</v>
      </c>
      <c r="MI31" s="29">
        <f>'REG y VAL POE - AESR - ESR'!AM2125</f>
        <v>0</v>
      </c>
      <c r="MJ31" s="30">
        <f>'REG y VAL POE - AESR - ESR'!AN2125</f>
        <v>0</v>
      </c>
      <c r="MK31" s="28">
        <f>'REG y VAL POE - AESR - ESR'!AO2125</f>
        <v>0</v>
      </c>
      <c r="ML31" s="29">
        <f>'REG y VAL POE - AESR - ESR'!AP2125</f>
        <v>0</v>
      </c>
      <c r="MM31" s="29">
        <f>'REG y VAL POE - AESR - ESR'!AQ2125</f>
        <v>0</v>
      </c>
      <c r="MN31" s="29">
        <f>'REG y VAL POE - AESR - ESR'!AR2125</f>
        <v>0</v>
      </c>
      <c r="MO31" s="31">
        <f>'REG y VAL POE - AESR - ESR'!AS2125</f>
        <v>0</v>
      </c>
      <c r="MP31" s="32" t="str">
        <f>'REG y VAL POE - AESR - ESR'!B2126</f>
        <v xml:space="preserve">Cayetano Rosas Lohicel </v>
      </c>
      <c r="MQ31" s="32" t="str">
        <f>'REG y VAL POE - AESR - ESR'!C2126</f>
        <v>Sin Registro</v>
      </c>
      <c r="MR31" s="28">
        <f>'REG y VAL POE - AESR - ESR'!D2126</f>
        <v>23092457</v>
      </c>
      <c r="MS31" s="29">
        <f>'REG y VAL POE - AESR - ESR'!E2126</f>
        <v>0</v>
      </c>
      <c r="MT31" s="30">
        <f>'REG y VAL POE - AESR - ESR'!F2126</f>
        <v>0</v>
      </c>
      <c r="MU31" s="28">
        <f>'REG y VAL POE - AESR - ESR'!G2126</f>
        <v>0</v>
      </c>
      <c r="MV31" s="29">
        <f>'REG y VAL POE - AESR - ESR'!H2126</f>
        <v>0</v>
      </c>
      <c r="MW31" s="29">
        <f>'REG y VAL POE - AESR - ESR'!I2126</f>
        <v>0</v>
      </c>
      <c r="MX31" s="29">
        <f>'REG y VAL POE - AESR - ESR'!J2126</f>
        <v>0</v>
      </c>
      <c r="MY31" s="31">
        <f>'REG y VAL POE - AESR - ESR'!K2126</f>
        <v>0</v>
      </c>
      <c r="MZ31" s="32">
        <f>'REG y VAL POE - AESR - ESR'!L2126</f>
        <v>0</v>
      </c>
      <c r="NA31" s="32">
        <f>'REG y VAL POE - AESR - ESR'!M2126</f>
        <v>0</v>
      </c>
      <c r="NB31" s="28">
        <f>'REG y VAL POE - AESR - ESR'!N2126</f>
        <v>0</v>
      </c>
      <c r="NC31" s="29">
        <f>'REG y VAL POE - AESR - ESR'!O2126</f>
        <v>0</v>
      </c>
      <c r="ND31" s="30">
        <f>'REG y VAL POE - AESR - ESR'!P2126</f>
        <v>0</v>
      </c>
      <c r="NE31" s="28">
        <f>'REG y VAL POE - AESR - ESR'!Q2126</f>
        <v>0</v>
      </c>
      <c r="NF31" s="29">
        <f>'REG y VAL POE - AESR - ESR'!R2126</f>
        <v>0</v>
      </c>
      <c r="NG31" s="29">
        <f>'REG y VAL POE - AESR - ESR'!S2126</f>
        <v>0</v>
      </c>
      <c r="NH31" s="29">
        <f>'REG y VAL POE - AESR - ESR'!T2126</f>
        <v>0</v>
      </c>
      <c r="NI31" s="31">
        <f>'REG y VAL POE - AESR - ESR'!U2126</f>
        <v>0</v>
      </c>
      <c r="NJ31" s="32">
        <f>'REG y VAL POE - AESR - ESR'!V2126</f>
        <v>0</v>
      </c>
      <c r="NK31" s="32">
        <f>'REG y VAL POE - AESR - ESR'!W2126</f>
        <v>0</v>
      </c>
      <c r="NL31" s="28">
        <f>'REG y VAL POE - AESR - ESR'!X2126</f>
        <v>0</v>
      </c>
      <c r="NM31" s="29">
        <f>'REG y VAL POE - AESR - ESR'!Y2126</f>
        <v>0</v>
      </c>
      <c r="NN31" s="30">
        <f>'REG y VAL POE - AESR - ESR'!Z2126</f>
        <v>0</v>
      </c>
      <c r="NO31" s="28">
        <f>'REG y VAL POE - AESR - ESR'!AA2126</f>
        <v>0</v>
      </c>
      <c r="NP31" s="29">
        <f>'REG y VAL POE - AESR - ESR'!AB2126</f>
        <v>0</v>
      </c>
      <c r="NQ31" s="29">
        <f>'REG y VAL POE - AESR - ESR'!AC2126</f>
        <v>0</v>
      </c>
      <c r="NR31" s="29">
        <f>'REG y VAL POE - AESR - ESR'!AD2126</f>
        <v>0</v>
      </c>
      <c r="NS31" s="31">
        <f>'REG y VAL POE - AESR - ESR'!AE2126</f>
        <v>0</v>
      </c>
      <c r="NT31" s="32">
        <f>'REG y VAL POE - AESR - ESR'!AF2126</f>
        <v>0</v>
      </c>
      <c r="NU31" s="32">
        <f>'REG y VAL POE - AESR - ESR'!AG2126</f>
        <v>0</v>
      </c>
      <c r="NV31" s="28">
        <f>'REG y VAL POE - AESR - ESR'!AH2126</f>
        <v>0</v>
      </c>
      <c r="NW31" s="29">
        <f>'REG y VAL POE - AESR - ESR'!AI2126</f>
        <v>0</v>
      </c>
      <c r="NX31" s="30">
        <f>'REG y VAL POE - AESR - ESR'!AJ2126</f>
        <v>0</v>
      </c>
      <c r="NY31" s="28">
        <f>'REG y VAL POE - AESR - ESR'!AK2126</f>
        <v>0</v>
      </c>
      <c r="NZ31" s="29">
        <f>'REG y VAL POE - AESR - ESR'!AL2126</f>
        <v>0</v>
      </c>
      <c r="OA31" s="29">
        <f>'REG y VAL POE - AESR - ESR'!AM2126</f>
        <v>0</v>
      </c>
      <c r="OB31" s="29">
        <f>'REG y VAL POE - AESR - ESR'!AN2126</f>
        <v>0</v>
      </c>
      <c r="OC31" s="31">
        <f>'REG y VAL POE - AESR - ESR'!AO2126</f>
        <v>0</v>
      </c>
      <c r="OD31" s="32">
        <f>'REG y VAL POE - AESR - ESR'!AP2126</f>
        <v>0</v>
      </c>
      <c r="OE31" s="32">
        <f>'REG y VAL POE - AESR - ESR'!AQ2126</f>
        <v>0</v>
      </c>
      <c r="OF31" s="28">
        <f>'REG y VAL POE - AESR - ESR'!AR2126</f>
        <v>0</v>
      </c>
      <c r="OG31" s="29">
        <f>'REG y VAL POE - AESR - ESR'!AS2126</f>
        <v>0</v>
      </c>
      <c r="OH31" s="30" t="str">
        <f>'REG y VAL POE - AESR - ESR'!B2127</f>
        <v xml:space="preserve">Chong Avila Miguel Angel </v>
      </c>
      <c r="OI31" s="28" t="str">
        <f>'REG y VAL POE - AESR - ESR'!C2127</f>
        <v>Sin Registro</v>
      </c>
      <c r="OJ31" s="29">
        <f>'REG y VAL POE - AESR - ESR'!D2127</f>
        <v>23202301</v>
      </c>
      <c r="OK31" s="29">
        <f>'REG y VAL POE - AESR - ESR'!E2127</f>
        <v>0</v>
      </c>
      <c r="OL31" s="29">
        <f>'REG y VAL POE - AESR - ESR'!F2127</f>
        <v>0</v>
      </c>
      <c r="OM31" s="31">
        <f>'REG y VAL POE - AESR - ESR'!G2127</f>
        <v>0</v>
      </c>
      <c r="ON31" s="32">
        <f>'REG y VAL POE - AESR - ESR'!H2127</f>
        <v>0</v>
      </c>
      <c r="OO31" s="32">
        <f>'REG y VAL POE - AESR - ESR'!I2127</f>
        <v>0</v>
      </c>
      <c r="OP31" s="28">
        <f>'REG y VAL POE - AESR - ESR'!J2127</f>
        <v>0</v>
      </c>
      <c r="OQ31" s="29">
        <f>'REG y VAL POE - AESR - ESR'!K2127</f>
        <v>0</v>
      </c>
      <c r="OR31" s="30">
        <f>'REG y VAL POE - AESR - ESR'!L2127</f>
        <v>0</v>
      </c>
      <c r="OS31" s="28">
        <f>'REG y VAL POE - AESR - ESR'!M2127</f>
        <v>0</v>
      </c>
      <c r="OT31" s="29">
        <f>'REG y VAL POE - AESR - ESR'!N2127</f>
        <v>0</v>
      </c>
      <c r="OU31" s="29">
        <f>'REG y VAL POE - AESR - ESR'!O2127</f>
        <v>0</v>
      </c>
      <c r="OV31" s="29">
        <f>'REG y VAL POE - AESR - ESR'!P2127</f>
        <v>0</v>
      </c>
      <c r="OW31" s="31">
        <f>'REG y VAL POE - AESR - ESR'!Q2127</f>
        <v>0</v>
      </c>
      <c r="OX31" s="32">
        <f>'REG y VAL POE - AESR - ESR'!R2127</f>
        <v>0</v>
      </c>
      <c r="OY31" s="32">
        <f>'REG y VAL POE - AESR - ESR'!S2127</f>
        <v>0</v>
      </c>
      <c r="OZ31" s="28">
        <f>'REG y VAL POE - AESR - ESR'!T2127</f>
        <v>0</v>
      </c>
      <c r="PA31" s="29">
        <f>'REG y VAL POE - AESR - ESR'!U2127</f>
        <v>0</v>
      </c>
      <c r="PB31" s="30">
        <f>'REG y VAL POE - AESR - ESR'!V2127</f>
        <v>0</v>
      </c>
      <c r="PC31" s="28">
        <f>'REG y VAL POE - AESR - ESR'!W2127</f>
        <v>0</v>
      </c>
      <c r="PD31" s="29">
        <f>'REG y VAL POE - AESR - ESR'!X2127</f>
        <v>0</v>
      </c>
      <c r="PE31" s="29">
        <f>'REG y VAL POE - AESR - ESR'!Y2127</f>
        <v>0</v>
      </c>
      <c r="PF31" s="29">
        <f>'REG y VAL POE - AESR - ESR'!Z2127</f>
        <v>0</v>
      </c>
      <c r="PG31" s="31">
        <f>'REG y VAL POE - AESR - ESR'!AA2127</f>
        <v>0</v>
      </c>
      <c r="PH31" s="32">
        <f>'REG y VAL POE - AESR - ESR'!AB2127</f>
        <v>0</v>
      </c>
      <c r="PI31" s="32">
        <f>'REG y VAL POE - AESR - ESR'!AC2127</f>
        <v>0</v>
      </c>
      <c r="PJ31" s="28">
        <f>'REG y VAL POE - AESR - ESR'!AD2127</f>
        <v>0</v>
      </c>
      <c r="PK31" s="29">
        <f>'REG y VAL POE - AESR - ESR'!AE2127</f>
        <v>0</v>
      </c>
      <c r="PL31" s="30">
        <f>'REG y VAL POE - AESR - ESR'!AF2127</f>
        <v>0</v>
      </c>
      <c r="PM31" s="28">
        <f>'REG y VAL POE - AESR - ESR'!AG2127</f>
        <v>0</v>
      </c>
      <c r="PN31" s="29">
        <f>'REG y VAL POE - AESR - ESR'!AH2127</f>
        <v>0</v>
      </c>
      <c r="PO31" s="29">
        <f>'REG y VAL POE - AESR - ESR'!AI2127</f>
        <v>0</v>
      </c>
      <c r="PP31" s="29">
        <f>'REG y VAL POE - AESR - ESR'!AJ2127</f>
        <v>0</v>
      </c>
      <c r="PQ31" s="31">
        <f>'REG y VAL POE - AESR - ESR'!AK2127</f>
        <v>0</v>
      </c>
      <c r="PR31" s="32">
        <f>'REG y VAL POE - AESR - ESR'!AL2127</f>
        <v>0</v>
      </c>
      <c r="PS31" s="32">
        <f>'REG y VAL POE - AESR - ESR'!AM2127</f>
        <v>0</v>
      </c>
      <c r="PT31" s="28">
        <f>'REG y VAL POE - AESR - ESR'!AN2127</f>
        <v>0</v>
      </c>
      <c r="PU31" s="29">
        <f>'REG y VAL POE - AESR - ESR'!AO2127</f>
        <v>0</v>
      </c>
      <c r="PV31" s="30">
        <f>'REG y VAL POE - AESR - ESR'!AP2127</f>
        <v>0</v>
      </c>
      <c r="PW31" s="28">
        <f>'REG y VAL POE - AESR - ESR'!AQ2127</f>
        <v>0</v>
      </c>
      <c r="PX31" s="29">
        <f>'REG y VAL POE - AESR - ESR'!AR2127</f>
        <v>0</v>
      </c>
      <c r="PY31" s="29">
        <f>'REG y VAL POE - AESR - ESR'!AS2127</f>
        <v>0</v>
      </c>
      <c r="PZ31" s="29" t="str">
        <f>'REG y VAL POE - AESR - ESR'!B2128</f>
        <v xml:space="preserve">Cortez Hernandez Fatima </v>
      </c>
      <c r="QA31" s="28" t="str">
        <f>'REG y VAL POE - AESR - ESR'!C2128</f>
        <v>Sin Registro</v>
      </c>
      <c r="QB31" s="29">
        <f>'REG y VAL POE - AESR - ESR'!D2128</f>
        <v>23202637</v>
      </c>
      <c r="QC31" s="29">
        <f>'REG y VAL POE - AESR - ESR'!E2128</f>
        <v>0</v>
      </c>
      <c r="QD31" s="28">
        <f>'REG y VAL POE - AESR - ESR'!F2128</f>
        <v>0</v>
      </c>
      <c r="QE31" s="29">
        <f>'REG y VAL POE - AESR - ESR'!G2128</f>
        <v>0</v>
      </c>
      <c r="QF31" s="30">
        <f>'REG y VAL POE - AESR - ESR'!H2128</f>
        <v>0</v>
      </c>
      <c r="QG31" s="28">
        <f>'REG y VAL POE - AESR - ESR'!I2128</f>
        <v>0</v>
      </c>
      <c r="QH31" s="29">
        <f>'REG y VAL POE - AESR - ESR'!J2128</f>
        <v>0</v>
      </c>
      <c r="QI31" s="29">
        <f>'REG y VAL POE - AESR - ESR'!K2128</f>
        <v>0</v>
      </c>
      <c r="QJ31" s="29">
        <f>'REG y VAL POE - AESR - ESR'!L2128</f>
        <v>0</v>
      </c>
      <c r="QK31" s="28">
        <f>'REG y VAL POE - AESR - ESR'!M2128</f>
        <v>0</v>
      </c>
      <c r="QL31" s="29">
        <f>'REG y VAL POE - AESR - ESR'!N2128</f>
        <v>0</v>
      </c>
      <c r="QM31" s="29">
        <f>'REG y VAL POE - AESR - ESR'!O2128</f>
        <v>0</v>
      </c>
      <c r="QN31" s="28">
        <f>'REG y VAL POE - AESR - ESR'!P2128</f>
        <v>0</v>
      </c>
      <c r="QO31" s="29">
        <f>'REG y VAL POE - AESR - ESR'!Q2128</f>
        <v>0</v>
      </c>
      <c r="QP31" s="30">
        <f>'REG y VAL POE - AESR - ESR'!R2128</f>
        <v>0</v>
      </c>
      <c r="QQ31" s="28">
        <f>'REG y VAL POE - AESR - ESR'!S2128</f>
        <v>0</v>
      </c>
      <c r="QR31" s="29">
        <f>'REG y VAL POE - AESR - ESR'!T2128</f>
        <v>0</v>
      </c>
      <c r="QS31" s="29">
        <f>'REG y VAL POE - AESR - ESR'!U2128</f>
        <v>0</v>
      </c>
      <c r="QT31" s="29">
        <f>'REG y VAL POE - AESR - ESR'!V2128</f>
        <v>0</v>
      </c>
      <c r="QU31" s="28">
        <f>'REG y VAL POE - AESR - ESR'!W2128</f>
        <v>0</v>
      </c>
      <c r="QV31" s="29">
        <f>'REG y VAL POE - AESR - ESR'!X2128</f>
        <v>0</v>
      </c>
      <c r="QW31" s="29">
        <f>'REG y VAL POE - AESR - ESR'!Y2128</f>
        <v>0</v>
      </c>
      <c r="QX31" s="28">
        <f>'REG y VAL POE - AESR - ESR'!Z2128</f>
        <v>0</v>
      </c>
      <c r="QY31" s="29">
        <f>'REG y VAL POE - AESR - ESR'!AA2128</f>
        <v>0</v>
      </c>
      <c r="QZ31" s="30">
        <f>'REG y VAL POE - AESR - ESR'!AB2128</f>
        <v>0</v>
      </c>
      <c r="RA31" s="28">
        <f>'REG y VAL POE - AESR - ESR'!AC2128</f>
        <v>0</v>
      </c>
      <c r="RB31" s="29">
        <f>'REG y VAL POE - AESR - ESR'!AD2128</f>
        <v>0</v>
      </c>
      <c r="RC31" s="29">
        <f>'REG y VAL POE - AESR - ESR'!AE2128</f>
        <v>0</v>
      </c>
      <c r="RD31" s="29">
        <f>'REG y VAL POE - AESR - ESR'!AF2128</f>
        <v>0</v>
      </c>
      <c r="RE31" s="28">
        <f>'REG y VAL POE - AESR - ESR'!AG2128</f>
        <v>0</v>
      </c>
      <c r="RF31" s="29">
        <f>'REG y VAL POE - AESR - ESR'!AH2128</f>
        <v>0</v>
      </c>
      <c r="RG31" s="29">
        <f>'REG y VAL POE - AESR - ESR'!AI2128</f>
        <v>0</v>
      </c>
      <c r="RH31" s="28">
        <f>'REG y VAL POE - AESR - ESR'!AJ2128</f>
        <v>0</v>
      </c>
      <c r="RI31" s="29">
        <f>'REG y VAL POE - AESR - ESR'!AK2128</f>
        <v>0</v>
      </c>
      <c r="RJ31" s="30">
        <f>'REG y VAL POE - AESR - ESR'!AL2128</f>
        <v>0</v>
      </c>
      <c r="RK31" s="28">
        <f>'REG y VAL POE - AESR - ESR'!AM2128</f>
        <v>0</v>
      </c>
      <c r="RL31" s="29">
        <f>'REG y VAL POE - AESR - ESR'!AN2128</f>
        <v>0</v>
      </c>
      <c r="RM31" s="29">
        <f>'REG y VAL POE - AESR - ESR'!AO2128</f>
        <v>0</v>
      </c>
      <c r="RN31" s="29">
        <f>'REG y VAL POE - AESR - ESR'!AP2128</f>
        <v>0</v>
      </c>
      <c r="RO31" s="28">
        <f>'REG y VAL POE - AESR - ESR'!AQ2128</f>
        <v>0</v>
      </c>
      <c r="RP31" s="29">
        <f>'REG y VAL POE - AESR - ESR'!AR2128</f>
        <v>0</v>
      </c>
      <c r="RQ31" s="29">
        <f>'REG y VAL POE - AESR - ESR'!AS2128</f>
        <v>0</v>
      </c>
      <c r="RR31" s="28" t="str">
        <f>'REG y VAL POE - AESR - ESR'!B2129</f>
        <v>Dominguez Flores Jorge</v>
      </c>
      <c r="RS31" s="29" t="str">
        <f>'REG y VAL POE - AESR - ESR'!C2129</f>
        <v>POE</v>
      </c>
      <c r="RT31" s="30">
        <f>'REG y VAL POE - AESR - ESR'!D2129</f>
        <v>23036426</v>
      </c>
      <c r="RU31" s="28">
        <f>'REG y VAL POE - AESR - ESR'!E2129</f>
        <v>0</v>
      </c>
      <c r="RV31" s="29">
        <f>'REG y VAL POE - AESR - ESR'!F2129</f>
        <v>0</v>
      </c>
      <c r="RW31" s="29">
        <f>'REG y VAL POE - AESR - ESR'!G2129</f>
        <v>45313</v>
      </c>
      <c r="RX31" s="29">
        <f>'REG y VAL POE - AESR - ESR'!H2129</f>
        <v>45678</v>
      </c>
      <c r="RY31" s="28" t="str">
        <f>'REG y VAL POE - AESR - ESR'!I2129</f>
        <v>SI</v>
      </c>
      <c r="RZ31" s="29" t="str">
        <f>'REG y VAL POE - AESR - ESR'!J2129</f>
        <v>Vigente</v>
      </c>
      <c r="SA31" s="29" t="str">
        <f>'REG y VAL POE - AESR - ESR'!K2129</f>
        <v>SI</v>
      </c>
      <c r="SB31" s="28" t="str">
        <f>'REG y VAL POE - AESR - ESR'!L2129</f>
        <v>Vigente</v>
      </c>
      <c r="SC31" s="29" t="str">
        <f>'REG y VAL POE - AESR - ESR'!M2129</f>
        <v>NO</v>
      </c>
      <c r="SD31" s="30" t="str">
        <f>'REG y VAL POE - AESR - ESR'!N2129</f>
        <v>FALTA APENDICE B-NO TIENE- FIRMA RL</v>
      </c>
      <c r="SE31" s="28" t="str">
        <f>'REG y VAL POE - AESR - ESR'!O2129</f>
        <v>CERTIFICADO</v>
      </c>
      <c r="SF31" s="29">
        <f>'REG y VAL POE - AESR - ESR'!P2129</f>
        <v>0</v>
      </c>
      <c r="SG31" s="29" t="str">
        <f>'REG y VAL POE - AESR - ESR'!Q2129</f>
        <v>SI</v>
      </c>
      <c r="SH31" s="29" t="str">
        <f>'REG y VAL POE - AESR - ESR'!R2129</f>
        <v>SI</v>
      </c>
      <c r="SI31" s="28" t="str">
        <f>'REG y VAL POE - AESR - ESR'!S2129</f>
        <v>SI</v>
      </c>
      <c r="SJ31" s="29" t="str">
        <f>'REG y VAL POE - AESR - ESR'!T2129</f>
        <v>SI</v>
      </c>
      <c r="SK31" s="29" t="str">
        <f>'REG y VAL POE - AESR - ESR'!U2129</f>
        <v>SI</v>
      </c>
      <c r="SL31" s="28" t="str">
        <f>'REG y VAL POE - AESR - ESR'!V2129</f>
        <v>SI</v>
      </c>
      <c r="SM31" s="29">
        <f>'REG y VAL POE - AESR - ESR'!W2129</f>
        <v>0</v>
      </c>
      <c r="SN31" s="30">
        <f>'REG y VAL POE - AESR - ESR'!X2129</f>
        <v>0</v>
      </c>
      <c r="SO31" s="28">
        <f>'REG y VAL POE - AESR - ESR'!Y2129</f>
        <v>0</v>
      </c>
      <c r="SP31" s="29" t="str">
        <f>'REG y VAL POE - AESR - ESR'!Z2129</f>
        <v>SI</v>
      </c>
      <c r="SQ31" s="29">
        <f>'REG y VAL POE - AESR - ESR'!AA2129</f>
        <v>0</v>
      </c>
      <c r="SR31" s="29">
        <f>'REG y VAL POE - AESR - ESR'!AB2129</f>
        <v>0</v>
      </c>
      <c r="SS31" s="28">
        <f>'REG y VAL POE - AESR - ESR'!AC2129</f>
        <v>0</v>
      </c>
      <c r="ST31" s="29">
        <f>'REG y VAL POE - AESR - ESR'!AD2129</f>
        <v>0</v>
      </c>
      <c r="SU31" s="29">
        <f>'REG y VAL POE - AESR - ESR'!AE2129</f>
        <v>0</v>
      </c>
      <c r="SV31" s="28" t="str">
        <f>'REG y VAL POE - AESR - ESR'!AF2129</f>
        <v>SI</v>
      </c>
      <c r="SW31" s="29">
        <f>'REG y VAL POE - AESR - ESR'!AG2129</f>
        <v>0</v>
      </c>
      <c r="SX31" s="30">
        <f>'REG y VAL POE - AESR - ESR'!AH2129</f>
        <v>0</v>
      </c>
      <c r="SY31" s="28">
        <f>'REG y VAL POE - AESR - ESR'!AI2129</f>
        <v>0</v>
      </c>
      <c r="SZ31" s="29">
        <f>'REG y VAL POE - AESR - ESR'!AJ2129</f>
        <v>0</v>
      </c>
      <c r="TA31" s="29">
        <f>'REG y VAL POE - AESR - ESR'!AK2129</f>
        <v>0</v>
      </c>
      <c r="TB31" s="29">
        <f>'REG y VAL POE - AESR - ESR'!AL2129</f>
        <v>0</v>
      </c>
      <c r="TC31" s="28">
        <f>'REG y VAL POE - AESR - ESR'!AM2129</f>
        <v>0</v>
      </c>
      <c r="TD31" s="29">
        <f>'REG y VAL POE - AESR - ESR'!AN2129</f>
        <v>0</v>
      </c>
      <c r="TE31" s="29">
        <f>'REG y VAL POE - AESR - ESR'!AO2129</f>
        <v>0</v>
      </c>
      <c r="TF31" s="28">
        <f>'REG y VAL POE - AESR - ESR'!AP2129</f>
        <v>0</v>
      </c>
      <c r="TG31" s="29">
        <f>'REG y VAL POE - AESR - ESR'!AQ2129</f>
        <v>0</v>
      </c>
      <c r="TH31" s="30">
        <f>'REG y VAL POE - AESR - ESR'!AR2129</f>
        <v>0</v>
      </c>
      <c r="TI31" s="28" t="str">
        <f>'REG y VAL POE - AESR - ESR'!AS2129</f>
        <v>THSCAN</v>
      </c>
      <c r="TJ31" s="29" t="str">
        <f>'REG y VAL POE - AESR - ESR'!B2130</f>
        <v xml:space="preserve">Duenez Canela Rosa Maria </v>
      </c>
      <c r="TK31" s="29" t="str">
        <f>'REG y VAL POE - AESR - ESR'!C2130</f>
        <v>Sin Registro</v>
      </c>
      <c r="TL31" s="29">
        <f>'REG y VAL POE - AESR - ESR'!D2130</f>
        <v>23086982</v>
      </c>
      <c r="TM31" s="28">
        <f>'REG y VAL POE - AESR - ESR'!E2130</f>
        <v>0</v>
      </c>
      <c r="TN31" s="29">
        <f>'REG y VAL POE - AESR - ESR'!F2130</f>
        <v>0</v>
      </c>
      <c r="TO31" s="29">
        <f>'REG y VAL POE - AESR - ESR'!G2130</f>
        <v>0</v>
      </c>
      <c r="TP31" s="28">
        <f>'REG y VAL POE - AESR - ESR'!H2130</f>
        <v>0</v>
      </c>
      <c r="TQ31" s="29">
        <f>'REG y VAL POE - AESR - ESR'!I2130</f>
        <v>0</v>
      </c>
      <c r="TR31" s="30">
        <f>'REG y VAL POE - AESR - ESR'!J2130</f>
        <v>0</v>
      </c>
      <c r="TS31" s="28">
        <f>'REG y VAL POE - AESR - ESR'!K2130</f>
        <v>0</v>
      </c>
      <c r="TT31" s="29">
        <f>'REG y VAL POE - AESR - ESR'!L2130</f>
        <v>0</v>
      </c>
      <c r="TU31" s="29">
        <f>'REG y VAL POE - AESR - ESR'!M2130</f>
        <v>0</v>
      </c>
      <c r="TV31" s="29">
        <f>'REG y VAL POE - AESR - ESR'!N2130</f>
        <v>0</v>
      </c>
      <c r="TW31" s="28">
        <f>'REG y VAL POE - AESR - ESR'!O2130</f>
        <v>0</v>
      </c>
      <c r="TX31" s="29">
        <f>'REG y VAL POE - AESR - ESR'!P2130</f>
        <v>0</v>
      </c>
      <c r="TY31" s="29">
        <f>'REG y VAL POE - AESR - ESR'!Q2130</f>
        <v>0</v>
      </c>
      <c r="TZ31" s="28">
        <f>'REG y VAL POE - AESR - ESR'!R2130</f>
        <v>0</v>
      </c>
      <c r="UA31" s="29">
        <f>'REG y VAL POE - AESR - ESR'!S2130</f>
        <v>0</v>
      </c>
      <c r="UB31" s="30">
        <f>'REG y VAL POE - AESR - ESR'!T2130</f>
        <v>0</v>
      </c>
      <c r="UC31" s="28">
        <f>'REG y VAL POE - AESR - ESR'!U2130</f>
        <v>0</v>
      </c>
      <c r="UD31" s="29">
        <f>'REG y VAL POE - AESR - ESR'!V2130</f>
        <v>0</v>
      </c>
      <c r="UE31" s="29">
        <f>'REG y VAL POE - AESR - ESR'!W2130</f>
        <v>0</v>
      </c>
      <c r="UF31" s="29">
        <f>'REG y VAL POE - AESR - ESR'!X2130</f>
        <v>0</v>
      </c>
      <c r="UG31" s="28">
        <f>'REG y VAL POE - AESR - ESR'!Y2130</f>
        <v>0</v>
      </c>
      <c r="UH31" s="29">
        <f>'REG y VAL POE - AESR - ESR'!Z2130</f>
        <v>0</v>
      </c>
      <c r="UI31" s="29">
        <f>'REG y VAL POE - AESR - ESR'!AA2130</f>
        <v>0</v>
      </c>
      <c r="UJ31" s="28">
        <f>'REG y VAL POE - AESR - ESR'!AB2130</f>
        <v>0</v>
      </c>
      <c r="UK31" s="29">
        <f>'REG y VAL POE - AESR - ESR'!AC2130</f>
        <v>0</v>
      </c>
      <c r="UL31" s="30">
        <f>'REG y VAL POE - AESR - ESR'!AD2130</f>
        <v>0</v>
      </c>
      <c r="UM31" s="28">
        <f>'REG y VAL POE - AESR - ESR'!AE2130</f>
        <v>0</v>
      </c>
      <c r="UN31" s="29">
        <f>'REG y VAL POE - AESR - ESR'!AF2130</f>
        <v>0</v>
      </c>
      <c r="UO31" s="29">
        <f>'REG y VAL POE - AESR - ESR'!AG2130</f>
        <v>0</v>
      </c>
      <c r="UP31" s="29">
        <f>'REG y VAL POE - AESR - ESR'!AH2130</f>
        <v>0</v>
      </c>
      <c r="UQ31" s="28">
        <f>'REG y VAL POE - AESR - ESR'!AI2130</f>
        <v>0</v>
      </c>
      <c r="UR31" s="29">
        <f>'REG y VAL POE - AESR - ESR'!AJ2130</f>
        <v>0</v>
      </c>
      <c r="US31" s="29">
        <f>'REG y VAL POE - AESR - ESR'!AK2130</f>
        <v>0</v>
      </c>
      <c r="UT31" s="28">
        <f>'REG y VAL POE - AESR - ESR'!AL2130</f>
        <v>0</v>
      </c>
      <c r="UU31" s="29">
        <f>'REG y VAL POE - AESR - ESR'!AM2130</f>
        <v>0</v>
      </c>
      <c r="UV31" s="30">
        <f>'REG y VAL POE - AESR - ESR'!AN2130</f>
        <v>0</v>
      </c>
      <c r="UW31" s="28">
        <f>'REG y VAL POE - AESR - ESR'!AO2130</f>
        <v>0</v>
      </c>
      <c r="UX31" s="29">
        <f>'REG y VAL POE - AESR - ESR'!AP2130</f>
        <v>0</v>
      </c>
      <c r="UY31" s="29">
        <f>'REG y VAL POE - AESR - ESR'!AQ2130</f>
        <v>0</v>
      </c>
      <c r="UZ31" s="29">
        <f>'REG y VAL POE - AESR - ESR'!AR2130</f>
        <v>0</v>
      </c>
      <c r="VA31" s="28">
        <f>'REG y VAL POE - AESR - ESR'!AS2130</f>
        <v>0</v>
      </c>
      <c r="VB31" s="29" t="str">
        <f>'REG y VAL POE - AESR - ESR'!B2131</f>
        <v xml:space="preserve">Eligio Gonzalez Julio Adrian </v>
      </c>
      <c r="VC31" s="29" t="str">
        <f>'REG y VAL POE - AESR - ESR'!C2131</f>
        <v>Sin Registro</v>
      </c>
      <c r="VD31" s="28">
        <f>'REG y VAL POE - AESR - ESR'!D2131</f>
        <v>23089935</v>
      </c>
      <c r="VE31" s="29">
        <f>'REG y VAL POE - AESR - ESR'!E2131</f>
        <v>0</v>
      </c>
      <c r="VF31" s="30">
        <f>'REG y VAL POE - AESR - ESR'!F2131</f>
        <v>0</v>
      </c>
      <c r="VG31" s="28">
        <f>'REG y VAL POE - AESR - ESR'!G2131</f>
        <v>0</v>
      </c>
      <c r="VH31" s="29">
        <f>'REG y VAL POE - AESR - ESR'!H2131</f>
        <v>0</v>
      </c>
      <c r="VI31" s="29">
        <f>'REG y VAL POE - AESR - ESR'!I2131</f>
        <v>0</v>
      </c>
      <c r="VJ31" s="29">
        <f>'REG y VAL POE - AESR - ESR'!J2131</f>
        <v>0</v>
      </c>
      <c r="VK31" s="28">
        <f>'REG y VAL POE - AESR - ESR'!K2131</f>
        <v>0</v>
      </c>
      <c r="VL31" s="29">
        <f>'REG y VAL POE - AESR - ESR'!L2131</f>
        <v>0</v>
      </c>
      <c r="VM31" s="29">
        <f>'REG y VAL POE - AESR - ESR'!M2131</f>
        <v>0</v>
      </c>
      <c r="VN31" s="28">
        <f>'REG y VAL POE - AESR - ESR'!N2131</f>
        <v>0</v>
      </c>
      <c r="VO31" s="29">
        <f>'REG y VAL POE - AESR - ESR'!O2131</f>
        <v>0</v>
      </c>
      <c r="VP31" s="30">
        <f>'REG y VAL POE - AESR - ESR'!P2131</f>
        <v>0</v>
      </c>
      <c r="VQ31" s="28">
        <f>'REG y VAL POE - AESR - ESR'!Q2131</f>
        <v>0</v>
      </c>
      <c r="VR31" s="29">
        <f>'REG y VAL POE - AESR - ESR'!R2131</f>
        <v>0</v>
      </c>
      <c r="VS31" s="29">
        <f>'REG y VAL POE - AESR - ESR'!S2131</f>
        <v>0</v>
      </c>
      <c r="VT31" s="29">
        <f>'REG y VAL POE - AESR - ESR'!T2131</f>
        <v>0</v>
      </c>
      <c r="VU31" s="28">
        <f>'REG y VAL POE - AESR - ESR'!U2131</f>
        <v>0</v>
      </c>
      <c r="VV31" s="29">
        <f>'REG y VAL POE - AESR - ESR'!V2131</f>
        <v>0</v>
      </c>
      <c r="VW31" s="29">
        <f>'REG y VAL POE - AESR - ESR'!W2131</f>
        <v>0</v>
      </c>
      <c r="VX31" s="28">
        <f>'REG y VAL POE - AESR - ESR'!X2131</f>
        <v>0</v>
      </c>
      <c r="VY31" s="29">
        <f>'REG y VAL POE - AESR - ESR'!Y2131</f>
        <v>0</v>
      </c>
      <c r="VZ31" s="30">
        <f>'REG y VAL POE - AESR - ESR'!Z2131</f>
        <v>0</v>
      </c>
      <c r="WA31" s="28">
        <f>'REG y VAL POE - AESR - ESR'!AA2131</f>
        <v>0</v>
      </c>
      <c r="WB31" s="29">
        <f>'REG y VAL POE - AESR - ESR'!AB2131</f>
        <v>0</v>
      </c>
      <c r="WC31" s="29">
        <f>'REG y VAL POE - AESR - ESR'!AC2131</f>
        <v>0</v>
      </c>
      <c r="WD31" s="29">
        <f>'REG y VAL POE - AESR - ESR'!AD2131</f>
        <v>0</v>
      </c>
      <c r="WE31" s="28">
        <f>'REG y VAL POE - AESR - ESR'!AE2131</f>
        <v>0</v>
      </c>
      <c r="WF31" s="29">
        <f>'REG y VAL POE - AESR - ESR'!AF2131</f>
        <v>0</v>
      </c>
      <c r="WG31" s="29">
        <f>'REG y VAL POE - AESR - ESR'!AG2131</f>
        <v>0</v>
      </c>
      <c r="WH31" s="28">
        <f>'REG y VAL POE - AESR - ESR'!AH2131</f>
        <v>0</v>
      </c>
      <c r="WI31" s="29">
        <f>'REG y VAL POE - AESR - ESR'!AI2131</f>
        <v>0</v>
      </c>
      <c r="WJ31" s="30">
        <f>'REG y VAL POE - AESR - ESR'!AJ2131</f>
        <v>0</v>
      </c>
      <c r="WK31" s="28">
        <f>'REG y VAL POE - AESR - ESR'!AK2131</f>
        <v>0</v>
      </c>
      <c r="WL31" s="29">
        <f>'REG y VAL POE - AESR - ESR'!AL2131</f>
        <v>0</v>
      </c>
      <c r="WM31" s="29">
        <f>'REG y VAL POE - AESR - ESR'!AM2131</f>
        <v>0</v>
      </c>
      <c r="WN31" s="29">
        <f>'REG y VAL POE - AESR - ESR'!AN2131</f>
        <v>0</v>
      </c>
      <c r="WO31" s="28">
        <f>'REG y VAL POE - AESR - ESR'!AO2131</f>
        <v>0</v>
      </c>
      <c r="WP31" s="29">
        <f>'REG y VAL POE - AESR - ESR'!AP2131</f>
        <v>0</v>
      </c>
      <c r="WQ31" s="29">
        <f>'REG y VAL POE - AESR - ESR'!AQ2131</f>
        <v>0</v>
      </c>
      <c r="WR31" s="28">
        <f>'REG y VAL POE - AESR - ESR'!AR2131</f>
        <v>0</v>
      </c>
      <c r="WS31" s="29">
        <f>'REG y VAL POE - AESR - ESR'!AS2131</f>
        <v>0</v>
      </c>
      <c r="WT31" s="30" t="str">
        <f>'REG y VAL POE - AESR - ESR'!B2132</f>
        <v xml:space="preserve">Espinoza Rodriguez Nancy Rocio </v>
      </c>
      <c r="WU31" s="28" t="str">
        <f>'REG y VAL POE - AESR - ESR'!C2132</f>
        <v>Sin Registro</v>
      </c>
      <c r="WV31" s="29">
        <f>'REG y VAL POE - AESR - ESR'!D2132</f>
        <v>23198973</v>
      </c>
      <c r="WW31" s="29">
        <f>'REG y VAL POE - AESR - ESR'!E2132</f>
        <v>0</v>
      </c>
      <c r="WX31" s="29">
        <f>'REG y VAL POE - AESR - ESR'!F2132</f>
        <v>0</v>
      </c>
      <c r="WY31" s="28">
        <f>'REG y VAL POE - AESR - ESR'!G2132</f>
        <v>0</v>
      </c>
      <c r="WZ31" s="29">
        <f>'REG y VAL POE - AESR - ESR'!H2132</f>
        <v>0</v>
      </c>
      <c r="XA31" s="29">
        <f>'REG y VAL POE - AESR - ESR'!I2132</f>
        <v>0</v>
      </c>
      <c r="XB31" s="28">
        <f>'REG y VAL POE - AESR - ESR'!J2132</f>
        <v>0</v>
      </c>
      <c r="XC31" s="29">
        <f>'REG y VAL POE - AESR - ESR'!K2132</f>
        <v>0</v>
      </c>
      <c r="XD31" s="30">
        <f>'REG y VAL POE - AESR - ESR'!L2132</f>
        <v>0</v>
      </c>
      <c r="XE31" s="28">
        <f>'REG y VAL POE - AESR - ESR'!M2132</f>
        <v>0</v>
      </c>
      <c r="XF31" s="29">
        <f>'REG y VAL POE - AESR - ESR'!N2132</f>
        <v>0</v>
      </c>
      <c r="XG31" s="29">
        <f>'REG y VAL POE - AESR - ESR'!O2132</f>
        <v>0</v>
      </c>
      <c r="XH31" s="29">
        <f>'REG y VAL POE - AESR - ESR'!P2132</f>
        <v>0</v>
      </c>
      <c r="XI31" s="28">
        <f>'REG y VAL POE - AESR - ESR'!Q2132</f>
        <v>0</v>
      </c>
      <c r="XJ31" s="29">
        <f>'REG y VAL POE - AESR - ESR'!R2132</f>
        <v>0</v>
      </c>
      <c r="XK31" s="29">
        <f>'REG y VAL POE - AESR - ESR'!S2132</f>
        <v>0</v>
      </c>
      <c r="XL31" s="28">
        <f>'REG y VAL POE - AESR - ESR'!T2132</f>
        <v>0</v>
      </c>
      <c r="XM31" s="29">
        <f>'REG y VAL POE - AESR - ESR'!U2132</f>
        <v>0</v>
      </c>
      <c r="XN31" s="30">
        <f>'REG y VAL POE - AESR - ESR'!V2132</f>
        <v>0</v>
      </c>
      <c r="XO31" s="28">
        <f>'REG y VAL POE - AESR - ESR'!W2132</f>
        <v>0</v>
      </c>
      <c r="XP31" s="29">
        <f>'REG y VAL POE - AESR - ESR'!X2132</f>
        <v>0</v>
      </c>
      <c r="XQ31" s="29">
        <f>'REG y VAL POE - AESR - ESR'!Y2132</f>
        <v>0</v>
      </c>
      <c r="XR31" s="29">
        <f>'REG y VAL POE - AESR - ESR'!Z2132</f>
        <v>0</v>
      </c>
      <c r="XS31" s="28">
        <f>'REG y VAL POE - AESR - ESR'!AA2132</f>
        <v>0</v>
      </c>
      <c r="XT31" s="29">
        <f>'REG y VAL POE - AESR - ESR'!AB2132</f>
        <v>0</v>
      </c>
      <c r="XU31" s="29">
        <f>'REG y VAL POE - AESR - ESR'!AC2132</f>
        <v>0</v>
      </c>
      <c r="XV31" s="28">
        <f>'REG y VAL POE - AESR - ESR'!AD2132</f>
        <v>0</v>
      </c>
      <c r="XW31" s="29">
        <f>'REG y VAL POE - AESR - ESR'!AE2132</f>
        <v>0</v>
      </c>
      <c r="XX31" s="30">
        <f>'REG y VAL POE - AESR - ESR'!AF2132</f>
        <v>0</v>
      </c>
      <c r="XY31" s="28">
        <f>'REG y VAL POE - AESR - ESR'!AG2132</f>
        <v>0</v>
      </c>
      <c r="XZ31" s="29">
        <f>'REG y VAL POE - AESR - ESR'!AH2132</f>
        <v>0</v>
      </c>
      <c r="YA31" s="29">
        <f>'REG y VAL POE - AESR - ESR'!AI2132</f>
        <v>0</v>
      </c>
      <c r="YB31" s="29">
        <f>'REG y VAL POE - AESR - ESR'!AJ2132</f>
        <v>0</v>
      </c>
      <c r="YC31" s="28">
        <f>'REG y VAL POE - AESR - ESR'!AK2132</f>
        <v>0</v>
      </c>
      <c r="YD31" s="29">
        <f>'REG y VAL POE - AESR - ESR'!AL2132</f>
        <v>0</v>
      </c>
      <c r="YE31" s="29">
        <f>'REG y VAL POE - AESR - ESR'!AM2132</f>
        <v>0</v>
      </c>
      <c r="YF31" s="28">
        <f>'REG y VAL POE - AESR - ESR'!AN2132</f>
        <v>0</v>
      </c>
      <c r="YG31" s="29">
        <f>'REG y VAL POE - AESR - ESR'!AO2132</f>
        <v>0</v>
      </c>
      <c r="YH31" s="30">
        <f>'REG y VAL POE - AESR - ESR'!AP2132</f>
        <v>0</v>
      </c>
      <c r="YI31" s="28">
        <f>'REG y VAL POE - AESR - ESR'!AQ2132</f>
        <v>0</v>
      </c>
      <c r="YJ31" s="29">
        <f>'REG y VAL POE - AESR - ESR'!AR2132</f>
        <v>0</v>
      </c>
      <c r="YK31" s="29">
        <f>'REG y VAL POE - AESR - ESR'!AS2132</f>
        <v>0</v>
      </c>
      <c r="YL31" s="29" t="str">
        <f>'REG y VAL POE - AESR - ESR'!B2133</f>
        <v xml:space="preserve">Garcia Melchor Omar </v>
      </c>
      <c r="YM31" s="28" t="str">
        <f>'REG y VAL POE - AESR - ESR'!C2133</f>
        <v>Sin Registro</v>
      </c>
      <c r="YN31" s="29">
        <f>'REG y VAL POE - AESR - ESR'!D2133</f>
        <v>23096018</v>
      </c>
      <c r="YO31" s="29">
        <f>'REG y VAL POE - AESR - ESR'!E2133</f>
        <v>0</v>
      </c>
      <c r="YP31" s="28">
        <f>'REG y VAL POE - AESR - ESR'!F2133</f>
        <v>0</v>
      </c>
      <c r="YQ31" s="29">
        <f>'REG y VAL POE - AESR - ESR'!G2133</f>
        <v>0</v>
      </c>
      <c r="YR31" s="30">
        <f>'REG y VAL POE - AESR - ESR'!H2133</f>
        <v>0</v>
      </c>
      <c r="YS31" s="28">
        <f>'REG y VAL POE - AESR - ESR'!I2133</f>
        <v>0</v>
      </c>
      <c r="YT31" s="29">
        <f>'REG y VAL POE - AESR - ESR'!J2133</f>
        <v>0</v>
      </c>
      <c r="YU31" s="29">
        <f>'REG y VAL POE - AESR - ESR'!K2133</f>
        <v>0</v>
      </c>
      <c r="YV31" s="29">
        <f>'REG y VAL POE - AESR - ESR'!L2133</f>
        <v>0</v>
      </c>
      <c r="YW31" s="28">
        <f>'REG y VAL POE - AESR - ESR'!M2133</f>
        <v>0</v>
      </c>
      <c r="YX31" s="29">
        <f>'REG y VAL POE - AESR - ESR'!N2133</f>
        <v>0</v>
      </c>
      <c r="YY31" s="29">
        <f>'REG y VAL POE - AESR - ESR'!O2133</f>
        <v>0</v>
      </c>
      <c r="YZ31" s="28">
        <f>'REG y VAL POE - AESR - ESR'!P2133</f>
        <v>0</v>
      </c>
      <c r="ZA31" s="29">
        <f>'REG y VAL POE - AESR - ESR'!Q2133</f>
        <v>0</v>
      </c>
      <c r="ZB31" s="30">
        <f>'REG y VAL POE - AESR - ESR'!R2133</f>
        <v>0</v>
      </c>
      <c r="ZC31" s="28">
        <f>'REG y VAL POE - AESR - ESR'!S2133</f>
        <v>0</v>
      </c>
      <c r="ZD31" s="29">
        <f>'REG y VAL POE - AESR - ESR'!T2133</f>
        <v>0</v>
      </c>
      <c r="ZE31" s="29">
        <f>'REG y VAL POE - AESR - ESR'!U2133</f>
        <v>0</v>
      </c>
      <c r="ZF31" s="29">
        <f>'REG y VAL POE - AESR - ESR'!V2133</f>
        <v>0</v>
      </c>
      <c r="ZG31" s="28">
        <f>'REG y VAL POE - AESR - ESR'!W2133</f>
        <v>0</v>
      </c>
      <c r="ZH31" s="29">
        <f>'REG y VAL POE - AESR - ESR'!X2133</f>
        <v>0</v>
      </c>
      <c r="ZI31" s="29">
        <f>'REG y VAL POE - AESR - ESR'!Y2133</f>
        <v>0</v>
      </c>
      <c r="ZJ31" s="28">
        <f>'REG y VAL POE - AESR - ESR'!Z2133</f>
        <v>0</v>
      </c>
      <c r="ZK31" s="29">
        <f>'REG y VAL POE - AESR - ESR'!AA2133</f>
        <v>0</v>
      </c>
      <c r="ZL31" s="30">
        <f>'REG y VAL POE - AESR - ESR'!AB2133</f>
        <v>0</v>
      </c>
      <c r="ZM31" s="28">
        <f>'REG y VAL POE - AESR - ESR'!AC2133</f>
        <v>0</v>
      </c>
      <c r="ZN31" s="29">
        <f>'REG y VAL POE - AESR - ESR'!AD2133</f>
        <v>0</v>
      </c>
      <c r="ZO31" s="29">
        <f>'REG y VAL POE - AESR - ESR'!AE2133</f>
        <v>0</v>
      </c>
      <c r="ZP31" s="29">
        <f>'REG y VAL POE - AESR - ESR'!AF2133</f>
        <v>0</v>
      </c>
      <c r="ZQ31" s="28">
        <f>'REG y VAL POE - AESR - ESR'!AG2133</f>
        <v>0</v>
      </c>
      <c r="ZR31" s="29">
        <f>'REG y VAL POE - AESR - ESR'!AH2133</f>
        <v>0</v>
      </c>
      <c r="ZS31" s="29">
        <f>'REG y VAL POE - AESR - ESR'!AI2133</f>
        <v>0</v>
      </c>
      <c r="ZT31" s="28">
        <f>'REG y VAL POE - AESR - ESR'!AJ2133</f>
        <v>0</v>
      </c>
      <c r="ZU31" s="29">
        <f>'REG y VAL POE - AESR - ESR'!AK2133</f>
        <v>0</v>
      </c>
      <c r="ZV31" s="30">
        <f>'REG y VAL POE - AESR - ESR'!AL2133</f>
        <v>0</v>
      </c>
      <c r="ZW31" s="28">
        <f>'REG y VAL POE - AESR - ESR'!AM2133</f>
        <v>0</v>
      </c>
      <c r="ZX31" s="29">
        <f>'REG y VAL POE - AESR - ESR'!AN2133</f>
        <v>0</v>
      </c>
      <c r="ZY31" s="29">
        <f>'REG y VAL POE - AESR - ESR'!AO2133</f>
        <v>0</v>
      </c>
      <c r="ZZ31" s="29">
        <f>'REG y VAL POE - AESR - ESR'!AP2133</f>
        <v>0</v>
      </c>
      <c r="AAA31" s="28">
        <f>'REG y VAL POE - AESR - ESR'!AQ2133</f>
        <v>0</v>
      </c>
      <c r="AAB31" s="29">
        <f>'REG y VAL POE - AESR - ESR'!AR2133</f>
        <v>0</v>
      </c>
      <c r="AAC31" s="29">
        <f>'REG y VAL POE - AESR - ESR'!AS2133</f>
        <v>0</v>
      </c>
      <c r="AAD31" s="28" t="str">
        <f>'REG y VAL POE - AESR - ESR'!B2134</f>
        <v xml:space="preserve">Garcia Roger Luis Alberto </v>
      </c>
      <c r="AAE31" s="29" t="str">
        <f>'REG y VAL POE - AESR - ESR'!C2134</f>
        <v>Sin Registro</v>
      </c>
      <c r="AAF31" s="30">
        <f>'REG y VAL POE - AESR - ESR'!D2134</f>
        <v>23095419</v>
      </c>
      <c r="AAG31" s="28">
        <f>'REG y VAL POE - AESR - ESR'!E2134</f>
        <v>0</v>
      </c>
      <c r="AAH31" s="29">
        <f>'REG y VAL POE - AESR - ESR'!F2134</f>
        <v>0</v>
      </c>
      <c r="AAI31" s="29">
        <f>'REG y VAL POE - AESR - ESR'!G2134</f>
        <v>0</v>
      </c>
      <c r="AAJ31" s="29">
        <f>'REG y VAL POE - AESR - ESR'!H2134</f>
        <v>0</v>
      </c>
      <c r="AAK31" s="28">
        <f>'REG y VAL POE - AESR - ESR'!I2134</f>
        <v>0</v>
      </c>
      <c r="AAL31" s="29">
        <f>'REG y VAL POE - AESR - ESR'!J2134</f>
        <v>0</v>
      </c>
      <c r="AAM31" s="29">
        <f>'REG y VAL POE - AESR - ESR'!K2134</f>
        <v>0</v>
      </c>
      <c r="AAN31" s="28">
        <f>'REG y VAL POE - AESR - ESR'!L2134</f>
        <v>0</v>
      </c>
      <c r="AAO31" s="29">
        <f>'REG y VAL POE - AESR - ESR'!M2134</f>
        <v>0</v>
      </c>
      <c r="AAP31" s="30">
        <f>'REG y VAL POE - AESR - ESR'!N2134</f>
        <v>0</v>
      </c>
      <c r="AAQ31" s="28">
        <f>'REG y VAL POE - AESR - ESR'!O2134</f>
        <v>0</v>
      </c>
      <c r="AAR31" s="29">
        <f>'REG y VAL POE - AESR - ESR'!P2134</f>
        <v>0</v>
      </c>
      <c r="AAS31" s="29">
        <f>'REG y VAL POE - AESR - ESR'!Q2134</f>
        <v>0</v>
      </c>
      <c r="AAT31" s="29">
        <f>'REG y VAL POE - AESR - ESR'!R2134</f>
        <v>0</v>
      </c>
      <c r="AAU31" s="28">
        <f>'REG y VAL POE - AESR - ESR'!S2134</f>
        <v>0</v>
      </c>
      <c r="AAV31" s="29">
        <f>'REG y VAL POE - AESR - ESR'!T2134</f>
        <v>0</v>
      </c>
      <c r="AAW31" s="29">
        <f>'REG y VAL POE - AESR - ESR'!U2134</f>
        <v>0</v>
      </c>
      <c r="AAX31" s="28">
        <f>'REG y VAL POE - AESR - ESR'!V2134</f>
        <v>0</v>
      </c>
      <c r="AAY31" s="29">
        <f>'REG y VAL POE - AESR - ESR'!W2134</f>
        <v>0</v>
      </c>
      <c r="AAZ31" s="30">
        <f>'REG y VAL POE - AESR - ESR'!X2134</f>
        <v>0</v>
      </c>
      <c r="ABA31" s="28">
        <f>'REG y VAL POE - AESR - ESR'!Y2134</f>
        <v>0</v>
      </c>
      <c r="ABB31" s="29">
        <f>'REG y VAL POE - AESR - ESR'!Z2134</f>
        <v>0</v>
      </c>
      <c r="ABC31" s="29">
        <f>'REG y VAL POE - AESR - ESR'!AA2134</f>
        <v>0</v>
      </c>
      <c r="ABD31" s="29">
        <f>'REG y VAL POE - AESR - ESR'!AB2134</f>
        <v>0</v>
      </c>
      <c r="ABE31" s="28">
        <f>'REG y VAL POE - AESR - ESR'!AC2134</f>
        <v>0</v>
      </c>
      <c r="ABF31" s="29">
        <f>'REG y VAL POE - AESR - ESR'!AD2134</f>
        <v>0</v>
      </c>
      <c r="ABG31" s="29">
        <f>'REG y VAL POE - AESR - ESR'!AE2134</f>
        <v>0</v>
      </c>
      <c r="ABH31" s="28">
        <f>'REG y VAL POE - AESR - ESR'!AF2134</f>
        <v>0</v>
      </c>
      <c r="ABI31" s="29">
        <f>'REG y VAL POE - AESR - ESR'!AG2134</f>
        <v>0</v>
      </c>
      <c r="ABJ31" s="30">
        <f>'REG y VAL POE - AESR - ESR'!AH2134</f>
        <v>0</v>
      </c>
      <c r="ABK31" s="28">
        <f>'REG y VAL POE - AESR - ESR'!AI2134</f>
        <v>0</v>
      </c>
      <c r="ABL31" s="29">
        <f>'REG y VAL POE - AESR - ESR'!AJ2134</f>
        <v>0</v>
      </c>
      <c r="ABM31" s="29">
        <f>'REG y VAL POE - AESR - ESR'!AK2134</f>
        <v>0</v>
      </c>
      <c r="ABN31" s="29">
        <f>'REG y VAL POE - AESR - ESR'!AL2134</f>
        <v>0</v>
      </c>
      <c r="ABO31" s="28">
        <f>'REG y VAL POE - AESR - ESR'!AM2134</f>
        <v>0</v>
      </c>
      <c r="ABP31" s="29">
        <f>'REG y VAL POE - AESR - ESR'!AN2134</f>
        <v>0</v>
      </c>
      <c r="ABQ31" s="29">
        <f>'REG y VAL POE - AESR - ESR'!AO2134</f>
        <v>0</v>
      </c>
      <c r="ABR31" s="28">
        <f>'REG y VAL POE - AESR - ESR'!AP2134</f>
        <v>0</v>
      </c>
      <c r="ABS31" s="29">
        <f>'REG y VAL POE - AESR - ESR'!AQ2134</f>
        <v>0</v>
      </c>
      <c r="ABT31" s="30">
        <f>'REG y VAL POE - AESR - ESR'!AR2134</f>
        <v>0</v>
      </c>
      <c r="ABU31" s="28">
        <f>'REG y VAL POE - AESR - ESR'!AS2134</f>
        <v>0</v>
      </c>
      <c r="ABV31" s="29" t="str">
        <f>'REG y VAL POE - AESR - ESR'!B2135</f>
        <v xml:space="preserve">Geronimo Jeronimo Jesus Alejandro </v>
      </c>
      <c r="ABW31" s="29" t="str">
        <f>'REG y VAL POE - AESR - ESR'!C2135</f>
        <v>Sin Registro</v>
      </c>
      <c r="ABX31" s="29">
        <f>'REG y VAL POE - AESR - ESR'!D2135</f>
        <v>23194284</v>
      </c>
      <c r="ABY31" s="28">
        <f>'REG y VAL POE - AESR - ESR'!E2135</f>
        <v>0</v>
      </c>
      <c r="ABZ31" s="29">
        <f>'REG y VAL POE - AESR - ESR'!F2135</f>
        <v>0</v>
      </c>
      <c r="ACA31" s="29">
        <f>'REG y VAL POE - AESR - ESR'!G2135</f>
        <v>0</v>
      </c>
      <c r="ACB31" s="28">
        <f>'REG y VAL POE - AESR - ESR'!H2135</f>
        <v>0</v>
      </c>
      <c r="ACC31" s="29">
        <f>'REG y VAL POE - AESR - ESR'!I2135</f>
        <v>0</v>
      </c>
      <c r="ACD31" s="30">
        <f>'REG y VAL POE - AESR - ESR'!J2135</f>
        <v>0</v>
      </c>
      <c r="ACE31" s="28">
        <f>'REG y VAL POE - AESR - ESR'!K2135</f>
        <v>0</v>
      </c>
      <c r="ACF31" s="29">
        <f>'REG y VAL POE - AESR - ESR'!L2135</f>
        <v>0</v>
      </c>
      <c r="ACG31" s="29">
        <f>'REG y VAL POE - AESR - ESR'!M2135</f>
        <v>0</v>
      </c>
      <c r="ACH31" s="29">
        <f>'REG y VAL POE - AESR - ESR'!N2135</f>
        <v>0</v>
      </c>
      <c r="ACI31" s="28">
        <f>'REG y VAL POE - AESR - ESR'!O2135</f>
        <v>0</v>
      </c>
      <c r="ACJ31" s="29">
        <f>'REG y VAL POE - AESR - ESR'!P2135</f>
        <v>0</v>
      </c>
      <c r="ACK31" s="29">
        <f>'REG y VAL POE - AESR - ESR'!Q2135</f>
        <v>0</v>
      </c>
      <c r="ACL31" s="28">
        <f>'REG y VAL POE - AESR - ESR'!R2135</f>
        <v>0</v>
      </c>
      <c r="ACM31" s="29">
        <f>'REG y VAL POE - AESR - ESR'!S2135</f>
        <v>0</v>
      </c>
      <c r="ACN31" s="30">
        <f>'REG y VAL POE - AESR - ESR'!T2135</f>
        <v>0</v>
      </c>
      <c r="ACO31" s="28">
        <f>'REG y VAL POE - AESR - ESR'!U2135</f>
        <v>0</v>
      </c>
      <c r="ACP31" s="29">
        <f>'REG y VAL POE - AESR - ESR'!V2135</f>
        <v>0</v>
      </c>
      <c r="ACQ31" s="29">
        <f>'REG y VAL POE - AESR - ESR'!W2135</f>
        <v>0</v>
      </c>
      <c r="ACR31" s="29">
        <f>'REG y VAL POE - AESR - ESR'!X2135</f>
        <v>0</v>
      </c>
      <c r="ACS31" s="28">
        <f>'REG y VAL POE - AESR - ESR'!Y2135</f>
        <v>0</v>
      </c>
      <c r="ACT31" s="29">
        <f>'REG y VAL POE - AESR - ESR'!Z2135</f>
        <v>0</v>
      </c>
      <c r="ACU31" s="29">
        <f>'REG y VAL POE - AESR - ESR'!AA2135</f>
        <v>0</v>
      </c>
      <c r="ACV31" s="28">
        <f>'REG y VAL POE - AESR - ESR'!AB2135</f>
        <v>0</v>
      </c>
      <c r="ACW31" s="29">
        <f>'REG y VAL POE - AESR - ESR'!AC2135</f>
        <v>0</v>
      </c>
      <c r="ACX31" s="30">
        <f>'REG y VAL POE - AESR - ESR'!AD2135</f>
        <v>0</v>
      </c>
      <c r="ACY31" s="28">
        <f>'REG y VAL POE - AESR - ESR'!AE2135</f>
        <v>0</v>
      </c>
      <c r="ACZ31" s="29">
        <f>'REG y VAL POE - AESR - ESR'!AF2135</f>
        <v>0</v>
      </c>
      <c r="ADA31" s="29">
        <f>'REG y VAL POE - AESR - ESR'!AG2135</f>
        <v>0</v>
      </c>
      <c r="ADB31" s="29">
        <f>'REG y VAL POE - AESR - ESR'!AH2135</f>
        <v>0</v>
      </c>
      <c r="ADC31" s="28">
        <f>'REG y VAL POE - AESR - ESR'!AI2135</f>
        <v>0</v>
      </c>
      <c r="ADD31" s="29">
        <f>'REG y VAL POE - AESR - ESR'!AJ2135</f>
        <v>0</v>
      </c>
      <c r="ADE31" s="29">
        <f>'REG y VAL POE - AESR - ESR'!AK2135</f>
        <v>0</v>
      </c>
      <c r="ADF31" s="28">
        <f>'REG y VAL POE - AESR - ESR'!AL2135</f>
        <v>0</v>
      </c>
      <c r="ADG31" s="29">
        <f>'REG y VAL POE - AESR - ESR'!AM2135</f>
        <v>0</v>
      </c>
      <c r="ADH31" s="30">
        <f>'REG y VAL POE - AESR - ESR'!AN2135</f>
        <v>0</v>
      </c>
      <c r="ADI31" s="28">
        <f>'REG y VAL POE - AESR - ESR'!AO2135</f>
        <v>0</v>
      </c>
      <c r="ADJ31" s="29">
        <f>'REG y VAL POE - AESR - ESR'!AP2135</f>
        <v>0</v>
      </c>
      <c r="ADK31" s="29">
        <f>'REG y VAL POE - AESR - ESR'!AQ2135</f>
        <v>0</v>
      </c>
      <c r="ADL31" s="29">
        <f>'REG y VAL POE - AESR - ESR'!AR2135</f>
        <v>0</v>
      </c>
      <c r="ADM31" s="28">
        <f>'REG y VAL POE - AESR - ESR'!AS2135</f>
        <v>0</v>
      </c>
      <c r="ADN31" s="29" t="str">
        <f>'REG y VAL POE - AESR - ESR'!B2136</f>
        <v xml:space="preserve">Giron Perez Emiliano </v>
      </c>
      <c r="ADO31" s="29" t="str">
        <f>'REG y VAL POE - AESR - ESR'!C2136</f>
        <v>Sin Registro</v>
      </c>
      <c r="ADP31" s="28">
        <f>'REG y VAL POE - AESR - ESR'!D2136</f>
        <v>23198115</v>
      </c>
      <c r="ADQ31" s="29">
        <f>'REG y VAL POE - AESR - ESR'!E2136</f>
        <v>0</v>
      </c>
      <c r="ADR31" s="30">
        <f>'REG y VAL POE - AESR - ESR'!F2136</f>
        <v>0</v>
      </c>
      <c r="ADS31" s="28">
        <f>'REG y VAL POE - AESR - ESR'!G2136</f>
        <v>0</v>
      </c>
      <c r="ADT31" s="29">
        <f>'REG y VAL POE - AESR - ESR'!H2136</f>
        <v>0</v>
      </c>
      <c r="ADU31" s="29">
        <f>'REG y VAL POE - AESR - ESR'!I2136</f>
        <v>0</v>
      </c>
      <c r="ADV31" s="29">
        <f>'REG y VAL POE - AESR - ESR'!J2136</f>
        <v>0</v>
      </c>
      <c r="ADW31" s="28">
        <f>'REG y VAL POE - AESR - ESR'!K2136</f>
        <v>0</v>
      </c>
      <c r="ADX31" s="29">
        <f>'REG y VAL POE - AESR - ESR'!L2136</f>
        <v>0</v>
      </c>
      <c r="ADY31" s="29">
        <f>'REG y VAL POE - AESR - ESR'!M2136</f>
        <v>0</v>
      </c>
      <c r="ADZ31" s="28">
        <f>'REG y VAL POE - AESR - ESR'!N2136</f>
        <v>0</v>
      </c>
      <c r="AEA31" s="29">
        <f>'REG y VAL POE - AESR - ESR'!O2136</f>
        <v>0</v>
      </c>
      <c r="AEB31" s="30">
        <f>'REG y VAL POE - AESR - ESR'!P2136</f>
        <v>0</v>
      </c>
      <c r="AEC31" s="28">
        <f>'REG y VAL POE - AESR - ESR'!Q2136</f>
        <v>0</v>
      </c>
      <c r="AED31" s="29">
        <f>'REG y VAL POE - AESR - ESR'!R2136</f>
        <v>0</v>
      </c>
      <c r="AEE31" s="29">
        <f>'REG y VAL POE - AESR - ESR'!S2136</f>
        <v>0</v>
      </c>
      <c r="AEF31" s="29">
        <f>'REG y VAL POE - AESR - ESR'!T2136</f>
        <v>0</v>
      </c>
      <c r="AEG31" s="28">
        <f>'REG y VAL POE - AESR - ESR'!U2136</f>
        <v>0</v>
      </c>
      <c r="AEH31" s="29">
        <f>'REG y VAL POE - AESR - ESR'!V2136</f>
        <v>0</v>
      </c>
      <c r="AEI31" s="29">
        <f>'REG y VAL POE - AESR - ESR'!W2136</f>
        <v>0</v>
      </c>
      <c r="AEJ31" s="28">
        <f>'REG y VAL POE - AESR - ESR'!X2136</f>
        <v>0</v>
      </c>
      <c r="AEK31" s="29">
        <f>'REG y VAL POE - AESR - ESR'!Y2136</f>
        <v>0</v>
      </c>
      <c r="AEL31" s="30">
        <f>'REG y VAL POE - AESR - ESR'!Z2136</f>
        <v>0</v>
      </c>
      <c r="AEM31" s="28">
        <f>'REG y VAL POE - AESR - ESR'!AA2136</f>
        <v>0</v>
      </c>
      <c r="AEN31" s="29">
        <f>'REG y VAL POE - AESR - ESR'!AB2136</f>
        <v>0</v>
      </c>
      <c r="AEO31" s="29">
        <f>'REG y VAL POE - AESR - ESR'!AC2136</f>
        <v>0</v>
      </c>
      <c r="AEP31" s="29">
        <f>'REG y VAL POE - AESR - ESR'!AD2136</f>
        <v>0</v>
      </c>
      <c r="AEQ31" s="28">
        <f>'REG y VAL POE - AESR - ESR'!AE2136</f>
        <v>0</v>
      </c>
      <c r="AER31" s="29">
        <f>'REG y VAL POE - AESR - ESR'!AF2136</f>
        <v>0</v>
      </c>
      <c r="AES31" s="29">
        <f>'REG y VAL POE - AESR - ESR'!AG2136</f>
        <v>0</v>
      </c>
      <c r="AET31" s="28">
        <f>'REG y VAL POE - AESR - ESR'!AH2136</f>
        <v>0</v>
      </c>
      <c r="AEU31" s="29">
        <f>'REG y VAL POE - AESR - ESR'!AI2136</f>
        <v>0</v>
      </c>
      <c r="AEV31" s="30">
        <f>'REG y VAL POE - AESR - ESR'!AJ2136</f>
        <v>0</v>
      </c>
      <c r="AEW31" s="28">
        <f>'REG y VAL POE - AESR - ESR'!AK2136</f>
        <v>0</v>
      </c>
      <c r="AEX31" s="29">
        <f>'REG y VAL POE - AESR - ESR'!AL2136</f>
        <v>0</v>
      </c>
      <c r="AEY31" s="29">
        <f>'REG y VAL POE - AESR - ESR'!AM2136</f>
        <v>0</v>
      </c>
      <c r="AEZ31" s="29">
        <f>'REG y VAL POE - AESR - ESR'!AN2136</f>
        <v>0</v>
      </c>
      <c r="AFA31" s="28">
        <f>'REG y VAL POE - AESR - ESR'!AO2136</f>
        <v>0</v>
      </c>
      <c r="AFB31" s="29">
        <f>'REG y VAL POE - AESR - ESR'!AP2136</f>
        <v>0</v>
      </c>
      <c r="AFC31" s="29">
        <f>'REG y VAL POE - AESR - ESR'!AQ2136</f>
        <v>0</v>
      </c>
      <c r="AFD31" s="28">
        <f>'REG y VAL POE - AESR - ESR'!AR2136</f>
        <v>0</v>
      </c>
      <c r="AFE31" s="29">
        <f>'REG y VAL POE - AESR - ESR'!AS2136</f>
        <v>0</v>
      </c>
      <c r="AFF31" s="30" t="str">
        <f>'REG y VAL POE - AESR - ESR'!B2137</f>
        <v xml:space="preserve">Gomez Vazquez Adrian </v>
      </c>
      <c r="AFG31" s="28" t="str">
        <f>'REG y VAL POE - AESR - ESR'!C2137</f>
        <v>Sin Registro</v>
      </c>
      <c r="AFH31" s="29">
        <f>'REG y VAL POE - AESR - ESR'!D2137</f>
        <v>23197457</v>
      </c>
      <c r="AFI31" s="29">
        <f>'REG y VAL POE - AESR - ESR'!E2137</f>
        <v>0</v>
      </c>
      <c r="AFJ31" s="29">
        <f>'REG y VAL POE - AESR - ESR'!F2137</f>
        <v>0</v>
      </c>
      <c r="AFK31" s="28">
        <f>'REG y VAL POE - AESR - ESR'!G2137</f>
        <v>0</v>
      </c>
      <c r="AFL31" s="29">
        <f>'REG y VAL POE - AESR - ESR'!H2137</f>
        <v>0</v>
      </c>
      <c r="AFM31" s="29">
        <f>'REG y VAL POE - AESR - ESR'!I2137</f>
        <v>0</v>
      </c>
      <c r="AFN31" s="28">
        <f>'REG y VAL POE - AESR - ESR'!J2137</f>
        <v>0</v>
      </c>
      <c r="AFO31" s="29">
        <f>'REG y VAL POE - AESR - ESR'!K2137</f>
        <v>0</v>
      </c>
      <c r="AFP31" s="30">
        <f>'REG y VAL POE - AESR - ESR'!L2137</f>
        <v>0</v>
      </c>
      <c r="AFQ31" s="28">
        <f>'REG y VAL POE - AESR - ESR'!M2137</f>
        <v>0</v>
      </c>
      <c r="AFR31" s="29">
        <f>'REG y VAL POE - AESR - ESR'!N2137</f>
        <v>0</v>
      </c>
      <c r="AFS31" s="29">
        <f>'REG y VAL POE - AESR - ESR'!O2137</f>
        <v>0</v>
      </c>
      <c r="AFT31" s="29">
        <f>'REG y VAL POE - AESR - ESR'!P2137</f>
        <v>0</v>
      </c>
      <c r="AFU31" s="28">
        <f>'REG y VAL POE - AESR - ESR'!Q2137</f>
        <v>0</v>
      </c>
      <c r="AFV31" s="29">
        <f>'REG y VAL POE - AESR - ESR'!R2137</f>
        <v>0</v>
      </c>
      <c r="AFW31" s="29">
        <f>'REG y VAL POE - AESR - ESR'!S2137</f>
        <v>0</v>
      </c>
      <c r="AFX31" s="28">
        <f>'REG y VAL POE - AESR - ESR'!T2137</f>
        <v>0</v>
      </c>
      <c r="AFY31" s="29">
        <f>'REG y VAL POE - AESR - ESR'!U2137</f>
        <v>0</v>
      </c>
      <c r="AFZ31" s="30">
        <f>'REG y VAL POE - AESR - ESR'!V2137</f>
        <v>0</v>
      </c>
      <c r="AGA31" s="28">
        <f>'REG y VAL POE - AESR - ESR'!W2137</f>
        <v>0</v>
      </c>
      <c r="AGB31" s="29">
        <f>'REG y VAL POE - AESR - ESR'!X2137</f>
        <v>0</v>
      </c>
      <c r="AGC31" s="29">
        <f>'REG y VAL POE - AESR - ESR'!Y2137</f>
        <v>0</v>
      </c>
      <c r="AGD31" s="29">
        <f>'REG y VAL POE - AESR - ESR'!Z2137</f>
        <v>0</v>
      </c>
      <c r="AGE31" s="28">
        <f>'REG y VAL POE - AESR - ESR'!AA2137</f>
        <v>0</v>
      </c>
      <c r="AGF31" s="29">
        <f>'REG y VAL POE - AESR - ESR'!AB2137</f>
        <v>0</v>
      </c>
      <c r="AGG31" s="29">
        <f>'REG y VAL POE - AESR - ESR'!AC2137</f>
        <v>0</v>
      </c>
      <c r="AGH31" s="28">
        <f>'REG y VAL POE - AESR - ESR'!AD2137</f>
        <v>0</v>
      </c>
      <c r="AGI31" s="29">
        <f>'REG y VAL POE - AESR - ESR'!AE2137</f>
        <v>0</v>
      </c>
      <c r="AGJ31" s="30">
        <f>'REG y VAL POE - AESR - ESR'!AF2137</f>
        <v>0</v>
      </c>
      <c r="AGK31" s="28">
        <f>'REG y VAL POE - AESR - ESR'!AG2137</f>
        <v>0</v>
      </c>
      <c r="AGL31" s="29">
        <f>'REG y VAL POE - AESR - ESR'!AH2137</f>
        <v>0</v>
      </c>
      <c r="AGM31" s="29">
        <f>'REG y VAL POE - AESR - ESR'!AI2137</f>
        <v>0</v>
      </c>
      <c r="AGN31" s="29">
        <f>'REG y VAL POE - AESR - ESR'!AJ2137</f>
        <v>0</v>
      </c>
      <c r="AGO31" s="28">
        <f>'REG y VAL POE - AESR - ESR'!AK2137</f>
        <v>0</v>
      </c>
      <c r="AGP31" s="29">
        <f>'REG y VAL POE - AESR - ESR'!AL2137</f>
        <v>0</v>
      </c>
      <c r="AGQ31" s="29">
        <f>'REG y VAL POE - AESR - ESR'!AM2137</f>
        <v>0</v>
      </c>
      <c r="AGR31" s="28">
        <f>'REG y VAL POE - AESR - ESR'!AN2137</f>
        <v>0</v>
      </c>
      <c r="AGS31" s="29">
        <f>'REG y VAL POE - AESR - ESR'!AO2137</f>
        <v>0</v>
      </c>
      <c r="AGT31" s="30">
        <f>'REG y VAL POE - AESR - ESR'!AP2137</f>
        <v>0</v>
      </c>
      <c r="AGU31" s="28">
        <f>'REG y VAL POE - AESR - ESR'!AQ2137</f>
        <v>0</v>
      </c>
      <c r="AGV31" s="29">
        <f>'REG y VAL POE - AESR - ESR'!AR2137</f>
        <v>0</v>
      </c>
      <c r="AGW31" s="29">
        <f>'REG y VAL POE - AESR - ESR'!AS2137</f>
        <v>0</v>
      </c>
      <c r="AGX31" s="29" t="str">
        <f>'REG y VAL POE - AESR - ESR'!B2138</f>
        <v xml:space="preserve">Guzman Alvarado Erick Jesus </v>
      </c>
      <c r="AGY31" s="28">
        <f>'REG y VAL POE - AESR - ESR'!C2138</f>
        <v>0</v>
      </c>
      <c r="AGZ31" s="29">
        <f>'REG y VAL POE - AESR - ESR'!D2138</f>
        <v>23202594</v>
      </c>
      <c r="AHA31" s="29">
        <f>'REG y VAL POE - AESR - ESR'!E2138</f>
        <v>0</v>
      </c>
      <c r="AHB31" s="28">
        <f>'REG y VAL POE - AESR - ESR'!F2138</f>
        <v>0</v>
      </c>
      <c r="AHC31" s="29">
        <f>'REG y VAL POE - AESR - ESR'!G2138</f>
        <v>0</v>
      </c>
      <c r="AHD31" s="30">
        <f>'REG y VAL POE - AESR - ESR'!H2138</f>
        <v>0</v>
      </c>
      <c r="AHE31" s="28">
        <f>'REG y VAL POE - AESR - ESR'!I2138</f>
        <v>0</v>
      </c>
      <c r="AHF31" s="29">
        <f>'REG y VAL POE - AESR - ESR'!J2138</f>
        <v>0</v>
      </c>
      <c r="AHG31" s="29">
        <f>'REG y VAL POE - AESR - ESR'!K2138</f>
        <v>0</v>
      </c>
      <c r="AHH31" s="29">
        <f>'REG y VAL POE - AESR - ESR'!L2138</f>
        <v>0</v>
      </c>
      <c r="AHI31" s="28">
        <f>'REG y VAL POE - AESR - ESR'!M2138</f>
        <v>0</v>
      </c>
      <c r="AHJ31" s="29">
        <f>'REG y VAL POE - AESR - ESR'!N2138</f>
        <v>0</v>
      </c>
      <c r="AHK31" s="29">
        <f>'REG y VAL POE - AESR - ESR'!O2138</f>
        <v>0</v>
      </c>
      <c r="AHL31" s="28">
        <f>'REG y VAL POE - AESR - ESR'!P2138</f>
        <v>0</v>
      </c>
      <c r="AHM31" s="29">
        <f>'REG y VAL POE - AESR - ESR'!Q2138</f>
        <v>0</v>
      </c>
      <c r="AHN31" s="30">
        <f>'REG y VAL POE - AESR - ESR'!R2138</f>
        <v>0</v>
      </c>
      <c r="AHO31" s="28">
        <f>'REG y VAL POE - AESR - ESR'!S2138</f>
        <v>0</v>
      </c>
      <c r="AHP31" s="29">
        <f>'REG y VAL POE - AESR - ESR'!T2138</f>
        <v>0</v>
      </c>
      <c r="AHQ31" s="29">
        <f>'REG y VAL POE - AESR - ESR'!U2138</f>
        <v>0</v>
      </c>
      <c r="AHR31" s="29">
        <f>'REG y VAL POE - AESR - ESR'!V2138</f>
        <v>0</v>
      </c>
      <c r="AHS31" s="28">
        <f>'REG y VAL POE - AESR - ESR'!W2138</f>
        <v>0</v>
      </c>
      <c r="AHT31" s="29">
        <f>'REG y VAL POE - AESR - ESR'!X2138</f>
        <v>0</v>
      </c>
      <c r="AHU31" s="29">
        <f>'REG y VAL POE - AESR - ESR'!Y2138</f>
        <v>0</v>
      </c>
      <c r="AHV31" s="28">
        <f>'REG y VAL POE - AESR - ESR'!Z2138</f>
        <v>0</v>
      </c>
      <c r="AHW31" s="29">
        <f>'REG y VAL POE - AESR - ESR'!AA2138</f>
        <v>0</v>
      </c>
      <c r="AHX31" s="30">
        <f>'REG y VAL POE - AESR - ESR'!AB2138</f>
        <v>0</v>
      </c>
      <c r="AHY31" s="28">
        <f>'REG y VAL POE - AESR - ESR'!AC2138</f>
        <v>0</v>
      </c>
      <c r="AHZ31" s="29">
        <f>'REG y VAL POE - AESR - ESR'!AD2138</f>
        <v>0</v>
      </c>
      <c r="AIA31" s="29">
        <f>'REG y VAL POE - AESR - ESR'!AE2138</f>
        <v>0</v>
      </c>
      <c r="AIB31" s="29">
        <f>'REG y VAL POE - AESR - ESR'!AF2138</f>
        <v>0</v>
      </c>
      <c r="AIC31" s="28">
        <f>'REG y VAL POE - AESR - ESR'!AG2138</f>
        <v>0</v>
      </c>
      <c r="AID31" s="29">
        <f>'REG y VAL POE - AESR - ESR'!AH2138</f>
        <v>0</v>
      </c>
      <c r="AIE31" s="29">
        <f>'REG y VAL POE - AESR - ESR'!AI2138</f>
        <v>0</v>
      </c>
      <c r="AIF31" s="28">
        <f>'REG y VAL POE - AESR - ESR'!AJ2138</f>
        <v>0</v>
      </c>
      <c r="AIG31" s="29">
        <f>'REG y VAL POE - AESR - ESR'!AK2138</f>
        <v>0</v>
      </c>
      <c r="AIH31" s="30">
        <f>'REG y VAL POE - AESR - ESR'!AL2138</f>
        <v>0</v>
      </c>
      <c r="AII31" s="28">
        <f>'REG y VAL POE - AESR - ESR'!AM2138</f>
        <v>0</v>
      </c>
      <c r="AIJ31" s="29">
        <f>'REG y VAL POE - AESR - ESR'!AN2138</f>
        <v>0</v>
      </c>
      <c r="AIK31" s="29">
        <f>'REG y VAL POE - AESR - ESR'!AO2138</f>
        <v>0</v>
      </c>
      <c r="AIL31" s="29">
        <f>'REG y VAL POE - AESR - ESR'!AP2138</f>
        <v>0</v>
      </c>
      <c r="AIM31" s="28">
        <f>'REG y VAL POE - AESR - ESR'!AQ2138</f>
        <v>0</v>
      </c>
      <c r="AIN31" s="29">
        <f>'REG y VAL POE - AESR - ESR'!AR2138</f>
        <v>0</v>
      </c>
      <c r="AIO31" s="29">
        <f>'REG y VAL POE - AESR - ESR'!AS2138</f>
        <v>0</v>
      </c>
      <c r="AIP31" s="28" t="str">
        <f>'REG y VAL POE - AESR - ESR'!B2139</f>
        <v xml:space="preserve">Hernandez Bustos Antonio </v>
      </c>
      <c r="AIQ31" s="29" t="str">
        <f>'REG y VAL POE - AESR - ESR'!C2139</f>
        <v>Sin Registro</v>
      </c>
      <c r="AIR31" s="30">
        <f>'REG y VAL POE - AESR - ESR'!D2139</f>
        <v>23094001</v>
      </c>
      <c r="AIS31" s="28">
        <f>'REG y VAL POE - AESR - ESR'!E2139</f>
        <v>0</v>
      </c>
      <c r="AIT31" s="29">
        <f>'REG y VAL POE - AESR - ESR'!F2139</f>
        <v>0</v>
      </c>
      <c r="AIU31" s="29">
        <f>'REG y VAL POE - AESR - ESR'!G2139</f>
        <v>0</v>
      </c>
      <c r="AIV31" s="29">
        <f>'REG y VAL POE - AESR - ESR'!H2139</f>
        <v>0</v>
      </c>
      <c r="AIW31" s="28">
        <f>'REG y VAL POE - AESR - ESR'!I2139</f>
        <v>0</v>
      </c>
      <c r="AIX31" s="29">
        <f>'REG y VAL POE - AESR - ESR'!J2139</f>
        <v>0</v>
      </c>
      <c r="AIY31" s="29">
        <f>'REG y VAL POE - AESR - ESR'!K2139</f>
        <v>0</v>
      </c>
      <c r="AIZ31" s="28">
        <f>'REG y VAL POE - AESR - ESR'!L2139</f>
        <v>0</v>
      </c>
      <c r="AJA31" s="29">
        <f>'REG y VAL POE - AESR - ESR'!M2139</f>
        <v>0</v>
      </c>
      <c r="AJB31" s="30">
        <f>'REG y VAL POE - AESR - ESR'!N2139</f>
        <v>0</v>
      </c>
      <c r="AJC31" s="28">
        <f>'REG y VAL POE - AESR - ESR'!O2139</f>
        <v>0</v>
      </c>
      <c r="AJD31" s="29">
        <f>'REG y VAL POE - AESR - ESR'!P2139</f>
        <v>0</v>
      </c>
      <c r="AJE31" s="29">
        <f>'REG y VAL POE - AESR - ESR'!Q2139</f>
        <v>0</v>
      </c>
      <c r="AJF31" s="29">
        <f>'REG y VAL POE - AESR - ESR'!R2139</f>
        <v>0</v>
      </c>
      <c r="AJG31" s="28">
        <f>'REG y VAL POE - AESR - ESR'!S2139</f>
        <v>0</v>
      </c>
      <c r="AJH31" s="29">
        <f>'REG y VAL POE - AESR - ESR'!T2139</f>
        <v>0</v>
      </c>
      <c r="AJI31" s="29">
        <f>'REG y VAL POE - AESR - ESR'!U2139</f>
        <v>0</v>
      </c>
      <c r="AJJ31" s="28">
        <f>'REG y VAL POE - AESR - ESR'!V2139</f>
        <v>0</v>
      </c>
      <c r="AJK31" s="29">
        <f>'REG y VAL POE - AESR - ESR'!W2139</f>
        <v>0</v>
      </c>
      <c r="AJL31" s="30">
        <f>'REG y VAL POE - AESR - ESR'!X2139</f>
        <v>0</v>
      </c>
      <c r="AJM31" s="28">
        <f>'REG y VAL POE - AESR - ESR'!Y2139</f>
        <v>0</v>
      </c>
      <c r="AJN31" s="29">
        <f>'REG y VAL POE - AESR - ESR'!Z2139</f>
        <v>0</v>
      </c>
      <c r="AJO31" s="29">
        <f>'REG y VAL POE - AESR - ESR'!AA2139</f>
        <v>0</v>
      </c>
      <c r="AJP31" s="29">
        <f>'REG y VAL POE - AESR - ESR'!AB2139</f>
        <v>0</v>
      </c>
      <c r="AJQ31" s="28">
        <f>'REG y VAL POE - AESR - ESR'!AC2139</f>
        <v>0</v>
      </c>
      <c r="AJR31" s="29">
        <f>'REG y VAL POE - AESR - ESR'!AD2139</f>
        <v>0</v>
      </c>
      <c r="AJS31" s="29">
        <f>'REG y VAL POE - AESR - ESR'!AE2139</f>
        <v>0</v>
      </c>
      <c r="AJT31" s="28">
        <f>'REG y VAL POE - AESR - ESR'!AF2139</f>
        <v>0</v>
      </c>
      <c r="AJU31" s="29">
        <f>'REG y VAL POE - AESR - ESR'!AG2139</f>
        <v>0</v>
      </c>
      <c r="AJV31" s="30">
        <f>'REG y VAL POE - AESR - ESR'!AH2139</f>
        <v>0</v>
      </c>
      <c r="AJW31" s="28">
        <f>'REG y VAL POE - AESR - ESR'!AI2139</f>
        <v>0</v>
      </c>
      <c r="AJX31" s="29">
        <f>'REG y VAL POE - AESR - ESR'!AJ2139</f>
        <v>0</v>
      </c>
      <c r="AJY31" s="29">
        <f>'REG y VAL POE - AESR - ESR'!AK2139</f>
        <v>0</v>
      </c>
      <c r="AJZ31" s="29">
        <f>'REG y VAL POE - AESR - ESR'!AL2139</f>
        <v>0</v>
      </c>
      <c r="AKA31" s="28">
        <f>'REG y VAL POE - AESR - ESR'!AM2139</f>
        <v>0</v>
      </c>
      <c r="AKB31" s="29">
        <f>'REG y VAL POE - AESR - ESR'!AN2139</f>
        <v>0</v>
      </c>
      <c r="AKC31" s="29">
        <f>'REG y VAL POE - AESR - ESR'!AO2139</f>
        <v>0</v>
      </c>
      <c r="AKD31" s="28">
        <f>'REG y VAL POE - AESR - ESR'!AP2139</f>
        <v>0</v>
      </c>
      <c r="AKE31" s="29">
        <f>'REG y VAL POE - AESR - ESR'!AQ2139</f>
        <v>0</v>
      </c>
      <c r="AKF31" s="30">
        <f>'REG y VAL POE - AESR - ESR'!AR2139</f>
        <v>0</v>
      </c>
      <c r="AKG31" s="28">
        <f>'REG y VAL POE - AESR - ESR'!AS2139</f>
        <v>0</v>
      </c>
      <c r="AKH31" s="29" t="str">
        <f>'REG y VAL POE - AESR - ESR'!B2140</f>
        <v xml:space="preserve">Hernandez Pineda Francisco </v>
      </c>
      <c r="AKI31" s="29" t="str">
        <f>'REG y VAL POE - AESR - ESR'!C2140</f>
        <v>Sin Registro</v>
      </c>
      <c r="AKJ31" s="29">
        <f>'REG y VAL POE - AESR - ESR'!D2140</f>
        <v>23091076</v>
      </c>
      <c r="AKK31" s="28">
        <f>'REG y VAL POE - AESR - ESR'!E2140</f>
        <v>0</v>
      </c>
      <c r="AKL31" s="29">
        <f>'REG y VAL POE - AESR - ESR'!F2140</f>
        <v>0</v>
      </c>
      <c r="AKM31" s="29">
        <f>'REG y VAL POE - AESR - ESR'!G2140</f>
        <v>0</v>
      </c>
      <c r="AKN31" s="28">
        <f>'REG y VAL POE - AESR - ESR'!H2140</f>
        <v>0</v>
      </c>
      <c r="AKO31" s="29">
        <f>'REG y VAL POE - AESR - ESR'!I2140</f>
        <v>0</v>
      </c>
      <c r="AKP31" s="30">
        <f>'REG y VAL POE - AESR - ESR'!J2140</f>
        <v>0</v>
      </c>
      <c r="AKQ31" s="28">
        <f>'REG y VAL POE - AESR - ESR'!K2140</f>
        <v>0</v>
      </c>
      <c r="AKR31" s="29">
        <f>'REG y VAL POE - AESR - ESR'!L2140</f>
        <v>0</v>
      </c>
      <c r="AKS31" s="29">
        <f>'REG y VAL POE - AESR - ESR'!M2140</f>
        <v>0</v>
      </c>
      <c r="AKT31" s="29">
        <f>'REG y VAL POE - AESR - ESR'!N2140</f>
        <v>0</v>
      </c>
      <c r="AKU31" s="28">
        <f>'REG y VAL POE - AESR - ESR'!O2140</f>
        <v>0</v>
      </c>
      <c r="AKV31" s="29">
        <f>'REG y VAL POE - AESR - ESR'!P2140</f>
        <v>0</v>
      </c>
      <c r="AKW31" s="29">
        <f>'REG y VAL POE - AESR - ESR'!Q2140</f>
        <v>0</v>
      </c>
      <c r="AKX31" s="28">
        <f>'REG y VAL POE - AESR - ESR'!R2140</f>
        <v>0</v>
      </c>
      <c r="AKY31" s="29">
        <f>'REG y VAL POE - AESR - ESR'!S2140</f>
        <v>0</v>
      </c>
      <c r="AKZ31" s="30">
        <f>'REG y VAL POE - AESR - ESR'!T2140</f>
        <v>0</v>
      </c>
      <c r="ALA31" s="28">
        <f>'REG y VAL POE - AESR - ESR'!U2140</f>
        <v>0</v>
      </c>
      <c r="ALB31" s="29">
        <f>'REG y VAL POE - AESR - ESR'!V2140</f>
        <v>0</v>
      </c>
      <c r="ALC31" s="29">
        <f>'REG y VAL POE - AESR - ESR'!W2140</f>
        <v>0</v>
      </c>
      <c r="ALD31" s="29">
        <f>'REG y VAL POE - AESR - ESR'!X2140</f>
        <v>0</v>
      </c>
      <c r="ALE31" s="28">
        <f>'REG y VAL POE - AESR - ESR'!Y2140</f>
        <v>0</v>
      </c>
      <c r="ALF31" s="29">
        <f>'REG y VAL POE - AESR - ESR'!Z2140</f>
        <v>0</v>
      </c>
      <c r="ALG31" s="29">
        <f>'REG y VAL POE - AESR - ESR'!AA2140</f>
        <v>0</v>
      </c>
      <c r="ALH31" s="29">
        <f>'REG y VAL POE - AESR - ESR'!AB2140</f>
        <v>0</v>
      </c>
      <c r="ALI31" s="29">
        <f>'REG y VAL POE - AESR - ESR'!AC2140</f>
        <v>0</v>
      </c>
      <c r="ALJ31" s="29">
        <f>'REG y VAL POE - AESR - ESR'!AD2140</f>
        <v>0</v>
      </c>
      <c r="ALK31" s="28">
        <f>'REG y VAL POE - AESR - ESR'!AE2140</f>
        <v>0</v>
      </c>
      <c r="ALL31" s="29">
        <f>'REG y VAL POE - AESR - ESR'!AF2140</f>
        <v>0</v>
      </c>
      <c r="ALM31" s="29">
        <f>'REG y VAL POE - AESR - ESR'!AG2140</f>
        <v>0</v>
      </c>
      <c r="ALN31" s="28">
        <f>'REG y VAL POE - AESR - ESR'!AH2140</f>
        <v>0</v>
      </c>
      <c r="ALO31" s="29">
        <f>'REG y VAL POE - AESR - ESR'!AI2140</f>
        <v>0</v>
      </c>
      <c r="ALP31" s="30">
        <f>'REG y VAL POE - AESR - ESR'!AJ2140</f>
        <v>0</v>
      </c>
      <c r="ALQ31" s="28">
        <f>'REG y VAL POE - AESR - ESR'!AK2140</f>
        <v>0</v>
      </c>
      <c r="ALR31" s="29">
        <f>'REG y VAL POE - AESR - ESR'!AL2140</f>
        <v>0</v>
      </c>
      <c r="ALS31" s="29">
        <f>'REG y VAL POE - AESR - ESR'!AM2140</f>
        <v>0</v>
      </c>
      <c r="ALT31" s="29">
        <f>'REG y VAL POE - AESR - ESR'!AN2140</f>
        <v>0</v>
      </c>
      <c r="ALU31" s="28">
        <f>'REG y VAL POE - AESR - ESR'!AO2140</f>
        <v>0</v>
      </c>
      <c r="ALV31" s="29">
        <f>'REG y VAL POE - AESR - ESR'!AP2140</f>
        <v>0</v>
      </c>
      <c r="ALW31" s="29">
        <f>'REG y VAL POE - AESR - ESR'!AQ2140</f>
        <v>0</v>
      </c>
      <c r="ALX31" s="28">
        <f>'REG y VAL POE - AESR - ESR'!AR2140</f>
        <v>0</v>
      </c>
      <c r="ALY31" s="29">
        <f>'REG y VAL POE - AESR - ESR'!AS2140</f>
        <v>0</v>
      </c>
      <c r="ALZ31" s="30" t="str">
        <f>'REG y VAL POE - AESR - ESR'!B2141</f>
        <v xml:space="preserve">Hernandez Abel Antonio </v>
      </c>
      <c r="AMA31" s="28" t="str">
        <f>'REG y VAL POE - AESR - ESR'!C2141</f>
        <v>Sin Registro</v>
      </c>
      <c r="AMB31" s="29">
        <f>'REG y VAL POE - AESR - ESR'!D2141</f>
        <v>23191034</v>
      </c>
      <c r="AMC31" s="29">
        <f>'REG y VAL POE - AESR - ESR'!E2141</f>
        <v>0</v>
      </c>
      <c r="AMD31" s="29">
        <f>'REG y VAL POE - AESR - ESR'!F2141</f>
        <v>0</v>
      </c>
      <c r="AME31" s="28">
        <f>'REG y VAL POE - AESR - ESR'!G2141</f>
        <v>0</v>
      </c>
      <c r="AMF31" s="29">
        <f>'REG y VAL POE - AESR - ESR'!H2141</f>
        <v>0</v>
      </c>
      <c r="AMG31" s="29">
        <f>'REG y VAL POE - AESR - ESR'!I2141</f>
        <v>0</v>
      </c>
      <c r="AMH31" s="29">
        <f>'REG y VAL POE - AESR - ESR'!J2141</f>
        <v>0</v>
      </c>
      <c r="AMI31" s="29">
        <f>'REG y VAL POE - AESR - ESR'!K2141</f>
        <v>0</v>
      </c>
      <c r="AMJ31" s="29">
        <f>'REG y VAL POE - AESR - ESR'!L2141</f>
        <v>0</v>
      </c>
      <c r="AMK31" s="28">
        <f>'REG y VAL POE - AESR - ESR'!M2141</f>
        <v>0</v>
      </c>
      <c r="AML31" s="29">
        <f>'REG y VAL POE - AESR - ESR'!N2141</f>
        <v>0</v>
      </c>
      <c r="AMM31" s="29">
        <f>'REG y VAL POE - AESR - ESR'!O2141</f>
        <v>0</v>
      </c>
      <c r="AMN31" s="28">
        <f>'REG y VAL POE - AESR - ESR'!P2141</f>
        <v>0</v>
      </c>
      <c r="AMO31" s="29">
        <f>'REG y VAL POE - AESR - ESR'!Q2141</f>
        <v>0</v>
      </c>
      <c r="AMP31" s="30">
        <f>'REG y VAL POE - AESR - ESR'!R2141</f>
        <v>0</v>
      </c>
      <c r="AMQ31" s="28">
        <f>'REG y VAL POE - AESR - ESR'!S2141</f>
        <v>0</v>
      </c>
      <c r="AMR31" s="29">
        <f>'REG y VAL POE - AESR - ESR'!T2141</f>
        <v>0</v>
      </c>
      <c r="AMS31" s="29">
        <f>'REG y VAL POE - AESR - ESR'!U2141</f>
        <v>0</v>
      </c>
      <c r="AMT31" s="29">
        <f>'REG y VAL POE - AESR - ESR'!V2141</f>
        <v>0</v>
      </c>
      <c r="AMU31" s="28">
        <f>'REG y VAL POE - AESR - ESR'!W2141</f>
        <v>0</v>
      </c>
      <c r="AMV31" s="29">
        <f>'REG y VAL POE - AESR - ESR'!X2141</f>
        <v>0</v>
      </c>
      <c r="AMW31" s="29">
        <f>'REG y VAL POE - AESR - ESR'!Y2141</f>
        <v>0</v>
      </c>
      <c r="AMX31" s="28">
        <f>'REG y VAL POE - AESR - ESR'!Z2141</f>
        <v>0</v>
      </c>
      <c r="AMY31" s="29">
        <f>'REG y VAL POE - AESR - ESR'!AA2141</f>
        <v>0</v>
      </c>
      <c r="AMZ31" s="30">
        <f>'REG y VAL POE - AESR - ESR'!AB2141</f>
        <v>0</v>
      </c>
      <c r="ANA31" s="28">
        <f>'REG y VAL POE - AESR - ESR'!AC2141</f>
        <v>0</v>
      </c>
      <c r="ANB31" s="29">
        <f>'REG y VAL POE - AESR - ESR'!AD2141</f>
        <v>0</v>
      </c>
      <c r="ANC31" s="29">
        <f>'REG y VAL POE - AESR - ESR'!AE2141</f>
        <v>0</v>
      </c>
      <c r="AND31" s="29">
        <f>'REG y VAL POE - AESR - ESR'!AF2141</f>
        <v>0</v>
      </c>
      <c r="ANE31" s="28">
        <f>'REG y VAL POE - AESR - ESR'!AG2141</f>
        <v>0</v>
      </c>
      <c r="ANF31" s="29">
        <f>'REG y VAL POE - AESR - ESR'!AH2141</f>
        <v>0</v>
      </c>
      <c r="ANG31" s="29">
        <f>'REG y VAL POE - AESR - ESR'!AI2141</f>
        <v>0</v>
      </c>
      <c r="ANH31" s="29">
        <f>'REG y VAL POE - AESR - ESR'!AJ2141</f>
        <v>0</v>
      </c>
      <c r="ANI31" s="29">
        <f>'REG y VAL POE - AESR - ESR'!AK2141</f>
        <v>0</v>
      </c>
      <c r="ANJ31" s="29">
        <f>'REG y VAL POE - AESR - ESR'!AL2141</f>
        <v>0</v>
      </c>
      <c r="ANK31" s="28">
        <f>'REG y VAL POE - AESR - ESR'!AM2141</f>
        <v>0</v>
      </c>
      <c r="ANL31" s="29">
        <f>'REG y VAL POE - AESR - ESR'!AN2141</f>
        <v>0</v>
      </c>
      <c r="ANM31" s="29">
        <f>'REG y VAL POE - AESR - ESR'!AO2141</f>
        <v>0</v>
      </c>
      <c r="ANN31" s="28">
        <f>'REG y VAL POE - AESR - ESR'!AP2141</f>
        <v>0</v>
      </c>
      <c r="ANO31" s="29">
        <f>'REG y VAL POE - AESR - ESR'!AQ2141</f>
        <v>0</v>
      </c>
      <c r="ANP31" s="30">
        <f>'REG y VAL POE - AESR - ESR'!AR2141</f>
        <v>0</v>
      </c>
      <c r="ANQ31" s="28">
        <f>'REG y VAL POE - AESR - ESR'!AS2141</f>
        <v>0</v>
      </c>
      <c r="ANR31" s="29" t="str">
        <f>'REG y VAL POE - AESR - ESR'!B2142</f>
        <v xml:space="preserve">Isai Serrano Dan </v>
      </c>
      <c r="ANS31" s="29">
        <f>'REG y VAL POE - AESR - ESR'!C2142</f>
        <v>0</v>
      </c>
      <c r="ANT31" s="29">
        <f>'REG y VAL POE - AESR - ESR'!D2142</f>
        <v>23157969</v>
      </c>
      <c r="ANU31" s="28">
        <f>'REG y VAL POE - AESR - ESR'!E2142</f>
        <v>0</v>
      </c>
      <c r="ANV31" s="29">
        <f>'REG y VAL POE - AESR - ESR'!F2142</f>
        <v>0</v>
      </c>
      <c r="ANW31" s="29">
        <f>'REG y VAL POE - AESR - ESR'!G2142</f>
        <v>0</v>
      </c>
      <c r="ANX31" s="28">
        <f>'REG y VAL POE - AESR - ESR'!H2142</f>
        <v>0</v>
      </c>
      <c r="ANY31" s="29">
        <f>'REG y VAL POE - AESR - ESR'!I2142</f>
        <v>0</v>
      </c>
      <c r="ANZ31" s="30">
        <f>'REG y VAL POE - AESR - ESR'!J2142</f>
        <v>0</v>
      </c>
      <c r="AOA31" s="28">
        <f>'REG y VAL POE - AESR - ESR'!K2142</f>
        <v>0</v>
      </c>
      <c r="AOB31" s="29">
        <f>'REG y VAL POE - AESR - ESR'!L2142</f>
        <v>0</v>
      </c>
      <c r="AOC31" s="29">
        <f>'REG y VAL POE - AESR - ESR'!M2142</f>
        <v>0</v>
      </c>
      <c r="AOD31" s="29">
        <f>'REG y VAL POE - AESR - ESR'!N2142</f>
        <v>0</v>
      </c>
      <c r="AOE31" s="28">
        <f>'REG y VAL POE - AESR - ESR'!O2142</f>
        <v>0</v>
      </c>
      <c r="AOF31" s="29">
        <f>'REG y VAL POE - AESR - ESR'!P2142</f>
        <v>0</v>
      </c>
      <c r="AOG31" s="29">
        <f>'REG y VAL POE - AESR - ESR'!Q2142</f>
        <v>0</v>
      </c>
      <c r="AOH31" s="29">
        <f>'REG y VAL POE - AESR - ESR'!R2142</f>
        <v>0</v>
      </c>
      <c r="AOI31" s="29">
        <f>'REG y VAL POE - AESR - ESR'!S2142</f>
        <v>0</v>
      </c>
      <c r="AOJ31" s="29">
        <f>'REG y VAL POE - AESR - ESR'!T2142</f>
        <v>0</v>
      </c>
      <c r="AOK31" s="28">
        <f>'REG y VAL POE - AESR - ESR'!U2142</f>
        <v>0</v>
      </c>
      <c r="AOL31" s="29">
        <f>'REG y VAL POE - AESR - ESR'!V2142</f>
        <v>0</v>
      </c>
      <c r="AOM31" s="29">
        <f>'REG y VAL POE - AESR - ESR'!W2142</f>
        <v>0</v>
      </c>
      <c r="AON31" s="28">
        <f>'REG y VAL POE - AESR - ESR'!X2142</f>
        <v>0</v>
      </c>
      <c r="AOO31" s="29">
        <f>'REG y VAL POE - AESR - ESR'!Y2142</f>
        <v>0</v>
      </c>
      <c r="AOP31" s="30">
        <f>'REG y VAL POE - AESR - ESR'!Z2142</f>
        <v>0</v>
      </c>
      <c r="AOQ31" s="28">
        <f>'REG y VAL POE - AESR - ESR'!AA2142</f>
        <v>0</v>
      </c>
      <c r="AOR31" s="29">
        <f>'REG y VAL POE - AESR - ESR'!AB2142</f>
        <v>0</v>
      </c>
      <c r="AOS31" s="29">
        <f>'REG y VAL POE - AESR - ESR'!AC2142</f>
        <v>0</v>
      </c>
      <c r="AOT31" s="29">
        <f>'REG y VAL POE - AESR - ESR'!AD2142</f>
        <v>0</v>
      </c>
      <c r="AOU31" s="28">
        <f>'REG y VAL POE - AESR - ESR'!AE2142</f>
        <v>0</v>
      </c>
      <c r="AOV31" s="29">
        <f>'REG y VAL POE - AESR - ESR'!AF2142</f>
        <v>0</v>
      </c>
      <c r="AOW31" s="29">
        <f>'REG y VAL POE - AESR - ESR'!AG2142</f>
        <v>0</v>
      </c>
      <c r="AOX31" s="28">
        <f>'REG y VAL POE - AESR - ESR'!AH2142</f>
        <v>0</v>
      </c>
      <c r="AOY31" s="29">
        <f>'REG y VAL POE - AESR - ESR'!AI2142</f>
        <v>0</v>
      </c>
      <c r="AOZ31" s="30">
        <f>'REG y VAL POE - AESR - ESR'!AJ2142</f>
        <v>0</v>
      </c>
      <c r="APA31" s="28">
        <f>'REG y VAL POE - AESR - ESR'!AK2142</f>
        <v>0</v>
      </c>
      <c r="APB31" s="29">
        <f>'REG y VAL POE - AESR - ESR'!AL2142</f>
        <v>0</v>
      </c>
      <c r="APC31" s="29">
        <f>'REG y VAL POE - AESR - ESR'!AM2142</f>
        <v>0</v>
      </c>
      <c r="APD31" s="29">
        <f>'REG y VAL POE - AESR - ESR'!AN2142</f>
        <v>0</v>
      </c>
      <c r="APE31" s="28">
        <f>'REG y VAL POE - AESR - ESR'!AO2142</f>
        <v>0</v>
      </c>
      <c r="APF31" s="29">
        <f>'REG y VAL POE - AESR - ESR'!AP2142</f>
        <v>0</v>
      </c>
      <c r="APG31" s="29">
        <f>'REG y VAL POE - AESR - ESR'!AQ2142</f>
        <v>0</v>
      </c>
      <c r="APH31" s="29">
        <f>'REG y VAL POE - AESR - ESR'!AR2142</f>
        <v>0</v>
      </c>
      <c r="API31" s="29">
        <f>'REG y VAL POE - AESR - ESR'!AS2142</f>
        <v>0</v>
      </c>
      <c r="APJ31" s="29" t="str">
        <f>'REG y VAL POE - AESR - ESR'!B2143</f>
        <v xml:space="preserve">Islas Salayez Audalberto </v>
      </c>
      <c r="APK31" s="28" t="str">
        <f>'REG y VAL POE - AESR - ESR'!C2143</f>
        <v>Sin Registro</v>
      </c>
      <c r="APL31" s="29">
        <f>'REG y VAL POE - AESR - ESR'!D2143</f>
        <v>23220833</v>
      </c>
      <c r="APM31" s="29">
        <f>'REG y VAL POE - AESR - ESR'!E2143</f>
        <v>0</v>
      </c>
      <c r="APN31" s="28">
        <f>'REG y VAL POE - AESR - ESR'!F2143</f>
        <v>0</v>
      </c>
      <c r="APO31" s="29">
        <f>'REG y VAL POE - AESR - ESR'!G2143</f>
        <v>0</v>
      </c>
      <c r="APP31" s="30">
        <f>'REG y VAL POE - AESR - ESR'!H2143</f>
        <v>0</v>
      </c>
      <c r="APQ31" s="28">
        <f>'REG y VAL POE - AESR - ESR'!I2143</f>
        <v>0</v>
      </c>
      <c r="APR31" s="29">
        <f>'REG y VAL POE - AESR - ESR'!J2143</f>
        <v>0</v>
      </c>
      <c r="APS31" s="29">
        <f>'REG y VAL POE - AESR - ESR'!K2143</f>
        <v>0</v>
      </c>
      <c r="APT31" s="29">
        <f>'REG y VAL POE - AESR - ESR'!L2143</f>
        <v>0</v>
      </c>
      <c r="APU31" s="28">
        <f>'REG y VAL POE - AESR - ESR'!M2143</f>
        <v>0</v>
      </c>
      <c r="APV31" s="29">
        <f>'REG y VAL POE - AESR - ESR'!N2143</f>
        <v>0</v>
      </c>
      <c r="APW31" s="29">
        <f>'REG y VAL POE - AESR - ESR'!O2143</f>
        <v>0</v>
      </c>
      <c r="APX31" s="28">
        <f>'REG y VAL POE - AESR - ESR'!P2143</f>
        <v>0</v>
      </c>
      <c r="APY31" s="29">
        <f>'REG y VAL POE - AESR - ESR'!Q2143</f>
        <v>0</v>
      </c>
      <c r="APZ31" s="30">
        <f>'REG y VAL POE - AESR - ESR'!R2143</f>
        <v>0</v>
      </c>
      <c r="AQA31" s="28">
        <f>'REG y VAL POE - AESR - ESR'!S2143</f>
        <v>0</v>
      </c>
      <c r="AQB31" s="29">
        <f>'REG y VAL POE - AESR - ESR'!T2143</f>
        <v>0</v>
      </c>
      <c r="AQC31" s="29">
        <f>'REG y VAL POE - AESR - ESR'!U2143</f>
        <v>0</v>
      </c>
      <c r="AQD31" s="29">
        <f>'REG y VAL POE - AESR - ESR'!V2143</f>
        <v>0</v>
      </c>
      <c r="AQE31" s="28">
        <f>'REG y VAL POE - AESR - ESR'!W2143</f>
        <v>0</v>
      </c>
      <c r="AQF31" s="29">
        <f>'REG y VAL POE - AESR - ESR'!X2143</f>
        <v>0</v>
      </c>
      <c r="AQG31" s="29">
        <f>'REG y VAL POE - AESR - ESR'!Y2143</f>
        <v>0</v>
      </c>
      <c r="AQH31" s="29">
        <f>'REG y VAL POE - AESR - ESR'!Z2143</f>
        <v>0</v>
      </c>
      <c r="AQI31" s="29">
        <f>'REG y VAL POE - AESR - ESR'!AA2143</f>
        <v>0</v>
      </c>
      <c r="AQJ31" s="29">
        <f>'REG y VAL POE - AESR - ESR'!AB2143</f>
        <v>0</v>
      </c>
      <c r="AQK31" s="28">
        <f>'REG y VAL POE - AESR - ESR'!AC2143</f>
        <v>0</v>
      </c>
      <c r="AQL31" s="29">
        <f>'REG y VAL POE - AESR - ESR'!AD2143</f>
        <v>0</v>
      </c>
      <c r="AQM31" s="29">
        <f>'REG y VAL POE - AESR - ESR'!AE2143</f>
        <v>0</v>
      </c>
      <c r="AQN31" s="28">
        <f>'REG y VAL POE - AESR - ESR'!AF2143</f>
        <v>0</v>
      </c>
      <c r="AQO31" s="29">
        <f>'REG y VAL POE - AESR - ESR'!AG2143</f>
        <v>0</v>
      </c>
      <c r="AQP31" s="30">
        <f>'REG y VAL POE - AESR - ESR'!AH2143</f>
        <v>0</v>
      </c>
      <c r="AQQ31" s="28">
        <f>'REG y VAL POE - AESR - ESR'!AI2143</f>
        <v>0</v>
      </c>
      <c r="AQR31" s="29">
        <f>'REG y VAL POE - AESR - ESR'!AJ2143</f>
        <v>0</v>
      </c>
      <c r="AQS31" s="29">
        <f>'REG y VAL POE - AESR - ESR'!AK2143</f>
        <v>0</v>
      </c>
      <c r="AQT31" s="29">
        <f>'REG y VAL POE - AESR - ESR'!AL2143</f>
        <v>0</v>
      </c>
      <c r="AQU31" s="28">
        <f>'REG y VAL POE - AESR - ESR'!AM2143</f>
        <v>0</v>
      </c>
      <c r="AQV31" s="29">
        <f>'REG y VAL POE - AESR - ESR'!AN2143</f>
        <v>0</v>
      </c>
      <c r="AQW31" s="29">
        <f>'REG y VAL POE - AESR - ESR'!AO2143</f>
        <v>0</v>
      </c>
      <c r="AQX31" s="28">
        <f>'REG y VAL POE - AESR - ESR'!AP2143</f>
        <v>0</v>
      </c>
      <c r="AQY31" s="29">
        <f>'REG y VAL POE - AESR - ESR'!AQ2143</f>
        <v>0</v>
      </c>
      <c r="AQZ31" s="30">
        <f>'REG y VAL POE - AESR - ESR'!AR2143</f>
        <v>0</v>
      </c>
      <c r="ARA31" s="28">
        <f>'REG y VAL POE - AESR - ESR'!AS2143</f>
        <v>0</v>
      </c>
      <c r="ARB31" s="29" t="str">
        <f>'REG y VAL POE - AESR - ESR'!B2144</f>
        <v xml:space="preserve">Lopez Escobar Cinthya Ivette </v>
      </c>
      <c r="ARC31" s="29" t="str">
        <f>'REG y VAL POE - AESR - ESR'!C2144</f>
        <v>Sin Registro</v>
      </c>
      <c r="ARD31" s="29">
        <f>'REG y VAL POE - AESR - ESR'!D2144</f>
        <v>23092517</v>
      </c>
      <c r="ARE31" s="28">
        <f>'REG y VAL POE - AESR - ESR'!E2144</f>
        <v>0</v>
      </c>
      <c r="ARF31" s="29">
        <f>'REG y VAL POE - AESR - ESR'!F2144</f>
        <v>0</v>
      </c>
      <c r="ARG31" s="29">
        <f>'REG y VAL POE - AESR - ESR'!G2144</f>
        <v>0</v>
      </c>
      <c r="ARH31" s="29">
        <f>'REG y VAL POE - AESR - ESR'!H2144</f>
        <v>0</v>
      </c>
      <c r="ARI31" s="29">
        <f>'REG y VAL POE - AESR - ESR'!I2144</f>
        <v>0</v>
      </c>
      <c r="ARJ31" s="29">
        <f>'REG y VAL POE - AESR - ESR'!J2144</f>
        <v>0</v>
      </c>
      <c r="ARK31" s="28">
        <f>'REG y VAL POE - AESR - ESR'!K2144</f>
        <v>0</v>
      </c>
      <c r="ARL31" s="29">
        <f>'REG y VAL POE - AESR - ESR'!L2144</f>
        <v>0</v>
      </c>
      <c r="ARM31" s="29">
        <f>'REG y VAL POE - AESR - ESR'!M2144</f>
        <v>0</v>
      </c>
      <c r="ARN31" s="28">
        <f>'REG y VAL POE - AESR - ESR'!N2144</f>
        <v>0</v>
      </c>
      <c r="ARO31" s="29">
        <f>'REG y VAL POE - AESR - ESR'!O2144</f>
        <v>0</v>
      </c>
      <c r="ARP31" s="30">
        <f>'REG y VAL POE - AESR - ESR'!P2144</f>
        <v>0</v>
      </c>
      <c r="ARQ31" s="28">
        <f>'REG y VAL POE - AESR - ESR'!Q2144</f>
        <v>0</v>
      </c>
      <c r="ARR31" s="29">
        <f>'REG y VAL POE - AESR - ESR'!R2144</f>
        <v>0</v>
      </c>
      <c r="ARS31" s="29">
        <f>'REG y VAL POE - AESR - ESR'!S2144</f>
        <v>0</v>
      </c>
      <c r="ART31" s="29">
        <f>'REG y VAL POE - AESR - ESR'!T2144</f>
        <v>0</v>
      </c>
      <c r="ARU31" s="28">
        <f>'REG y VAL POE - AESR - ESR'!U2144</f>
        <v>0</v>
      </c>
      <c r="ARV31" s="29">
        <f>'REG y VAL POE - AESR - ESR'!V2144</f>
        <v>0</v>
      </c>
      <c r="ARW31" s="29">
        <f>'REG y VAL POE - AESR - ESR'!W2144</f>
        <v>0</v>
      </c>
      <c r="ARX31" s="28">
        <f>'REG y VAL POE - AESR - ESR'!X2144</f>
        <v>0</v>
      </c>
      <c r="ARY31" s="29">
        <f>'REG y VAL POE - AESR - ESR'!Y2144</f>
        <v>0</v>
      </c>
      <c r="ARZ31" s="30">
        <f>'REG y VAL POE - AESR - ESR'!Z2144</f>
        <v>0</v>
      </c>
      <c r="ASA31" s="28">
        <f>'REG y VAL POE - AESR - ESR'!AA2144</f>
        <v>0</v>
      </c>
      <c r="ASB31" s="29">
        <f>'REG y VAL POE - AESR - ESR'!AB2144</f>
        <v>0</v>
      </c>
      <c r="ASC31" s="29">
        <f>'REG y VAL POE - AESR - ESR'!AC2144</f>
        <v>0</v>
      </c>
      <c r="ASD31" s="29">
        <f>'REG y VAL POE - AESR - ESR'!AD2144</f>
        <v>0</v>
      </c>
      <c r="ASE31" s="28">
        <f>'REG y VAL POE - AESR - ESR'!AE2144</f>
        <v>0</v>
      </c>
      <c r="ASF31" s="29">
        <f>'REG y VAL POE - AESR - ESR'!AF2144</f>
        <v>0</v>
      </c>
      <c r="ASG31" s="29">
        <f>'REG y VAL POE - AESR - ESR'!AG2144</f>
        <v>0</v>
      </c>
      <c r="ASH31" s="29">
        <f>'REG y VAL POE - AESR - ESR'!AH2144</f>
        <v>0</v>
      </c>
      <c r="ASI31" s="29">
        <f>'REG y VAL POE - AESR - ESR'!AI2144</f>
        <v>0</v>
      </c>
      <c r="ASJ31" s="29">
        <f>'REG y VAL POE - AESR - ESR'!AJ2144</f>
        <v>0</v>
      </c>
      <c r="ASK31" s="28">
        <f>'REG y VAL POE - AESR - ESR'!AK2144</f>
        <v>0</v>
      </c>
      <c r="ASL31" s="29">
        <f>'REG y VAL POE - AESR - ESR'!AL2144</f>
        <v>0</v>
      </c>
      <c r="ASM31" s="29">
        <f>'REG y VAL POE - AESR - ESR'!AM2144</f>
        <v>0</v>
      </c>
      <c r="ASN31" s="28">
        <f>'REG y VAL POE - AESR - ESR'!AN2144</f>
        <v>0</v>
      </c>
      <c r="ASO31" s="29">
        <f>'REG y VAL POE - AESR - ESR'!AO2144</f>
        <v>0</v>
      </c>
      <c r="ASP31" s="30">
        <f>'REG y VAL POE - AESR - ESR'!AP2144</f>
        <v>0</v>
      </c>
      <c r="ASQ31" s="28">
        <f>'REG y VAL POE - AESR - ESR'!AQ2144</f>
        <v>0</v>
      </c>
      <c r="ASR31" s="29">
        <f>'REG y VAL POE - AESR - ESR'!AR2144</f>
        <v>0</v>
      </c>
      <c r="ASS31" s="29">
        <f>'REG y VAL POE - AESR - ESR'!AS2144</f>
        <v>0</v>
      </c>
      <c r="AST31" s="29" t="str">
        <f>'REG y VAL POE - AESR - ESR'!B2145</f>
        <v xml:space="preserve">Lopez Soto William </v>
      </c>
      <c r="ASU31" s="28" t="str">
        <f>'REG y VAL POE - AESR - ESR'!C2145</f>
        <v>Sin Registro</v>
      </c>
      <c r="ASV31" s="29">
        <f>'REG y VAL POE - AESR - ESR'!D2145</f>
        <v>23094883</v>
      </c>
      <c r="ASW31" s="29">
        <f>'REG y VAL POE - AESR - ESR'!E2145</f>
        <v>0</v>
      </c>
      <c r="ASX31" s="28">
        <f>'REG y VAL POE - AESR - ESR'!F2145</f>
        <v>0</v>
      </c>
      <c r="ASY31" s="29">
        <f>'REG y VAL POE - AESR - ESR'!G2145</f>
        <v>0</v>
      </c>
      <c r="ASZ31" s="30">
        <f>'REG y VAL POE - AESR - ESR'!H2145</f>
        <v>0</v>
      </c>
      <c r="ATA31" s="28">
        <f>'REG y VAL POE - AESR - ESR'!I2145</f>
        <v>0</v>
      </c>
      <c r="ATB31" s="29">
        <f>'REG y VAL POE - AESR - ESR'!J2145</f>
        <v>0</v>
      </c>
      <c r="ATC31" s="29">
        <f>'REG y VAL POE - AESR - ESR'!K2145</f>
        <v>0</v>
      </c>
      <c r="ATD31" s="29">
        <f>'REG y VAL POE - AESR - ESR'!L2145</f>
        <v>0</v>
      </c>
      <c r="ATE31" s="28">
        <f>'REG y VAL POE - AESR - ESR'!M2145</f>
        <v>0</v>
      </c>
      <c r="ATF31" s="29">
        <f>'REG y VAL POE - AESR - ESR'!N2145</f>
        <v>0</v>
      </c>
      <c r="ATG31" s="29">
        <f>'REG y VAL POE - AESR - ESR'!O2145</f>
        <v>0</v>
      </c>
      <c r="ATH31" s="29">
        <f>'REG y VAL POE - AESR - ESR'!P2145</f>
        <v>0</v>
      </c>
      <c r="ATI31" s="29">
        <f>'REG y VAL POE - AESR - ESR'!Q2145</f>
        <v>0</v>
      </c>
      <c r="ATJ31" s="29">
        <f>'REG y VAL POE - AESR - ESR'!R2145</f>
        <v>0</v>
      </c>
      <c r="ATK31" s="28">
        <f>'REG y VAL POE - AESR - ESR'!S2145</f>
        <v>0</v>
      </c>
      <c r="ATL31" s="29">
        <f>'REG y VAL POE - AESR - ESR'!T2145</f>
        <v>0</v>
      </c>
      <c r="ATM31" s="29">
        <f>'REG y VAL POE - AESR - ESR'!U2145</f>
        <v>0</v>
      </c>
      <c r="ATN31" s="28">
        <f>'REG y VAL POE - AESR - ESR'!V2145</f>
        <v>0</v>
      </c>
      <c r="ATO31" s="29">
        <f>'REG y VAL POE - AESR - ESR'!W2145</f>
        <v>0</v>
      </c>
      <c r="ATP31" s="30">
        <f>'REG y VAL POE - AESR - ESR'!X2145</f>
        <v>0</v>
      </c>
      <c r="ATQ31" s="28">
        <f>'REG y VAL POE - AESR - ESR'!Y2145</f>
        <v>0</v>
      </c>
      <c r="ATR31" s="29">
        <f>'REG y VAL POE - AESR - ESR'!Z2145</f>
        <v>0</v>
      </c>
      <c r="ATS31" s="29">
        <f>'REG y VAL POE - AESR - ESR'!AA2145</f>
        <v>0</v>
      </c>
      <c r="ATT31" s="29">
        <f>'REG y VAL POE - AESR - ESR'!AB2145</f>
        <v>0</v>
      </c>
      <c r="ATU31" s="28">
        <f>'REG y VAL POE - AESR - ESR'!AC2145</f>
        <v>0</v>
      </c>
      <c r="ATV31" s="29">
        <f>'REG y VAL POE - AESR - ESR'!AD2145</f>
        <v>0</v>
      </c>
      <c r="ATW31" s="29">
        <f>'REG y VAL POE - AESR - ESR'!AE2145</f>
        <v>0</v>
      </c>
      <c r="ATX31" s="28">
        <f>'REG y VAL POE - AESR - ESR'!AF2145</f>
        <v>0</v>
      </c>
      <c r="ATY31" s="29">
        <f>'REG y VAL POE - AESR - ESR'!AG2145</f>
        <v>0</v>
      </c>
      <c r="ATZ31" s="30">
        <f>'REG y VAL POE - AESR - ESR'!AH2145</f>
        <v>0</v>
      </c>
      <c r="AUA31" s="28">
        <f>'REG y VAL POE - AESR - ESR'!AI2145</f>
        <v>0</v>
      </c>
      <c r="AUB31" s="29">
        <f>'REG y VAL POE - AESR - ESR'!AJ2145</f>
        <v>0</v>
      </c>
      <c r="AUC31" s="29">
        <f>'REG y VAL POE - AESR - ESR'!AK2145</f>
        <v>0</v>
      </c>
      <c r="AUD31" s="29">
        <f>'REG y VAL POE - AESR - ESR'!AL2145</f>
        <v>0</v>
      </c>
      <c r="AUE31" s="28">
        <f>'REG y VAL POE - AESR - ESR'!AM2145</f>
        <v>0</v>
      </c>
      <c r="AUF31" s="29">
        <f>'REG y VAL POE - AESR - ESR'!AN2145</f>
        <v>0</v>
      </c>
      <c r="AUG31" s="29">
        <f>'REG y VAL POE - AESR - ESR'!AO2145</f>
        <v>0</v>
      </c>
      <c r="AUH31" s="29">
        <f>'REG y VAL POE - AESR - ESR'!AP2145</f>
        <v>0</v>
      </c>
      <c r="AUI31" s="29">
        <f>'REG y VAL POE - AESR - ESR'!AQ2145</f>
        <v>0</v>
      </c>
      <c r="AUJ31" s="29">
        <f>'REG y VAL POE - AESR - ESR'!AR2145</f>
        <v>0</v>
      </c>
      <c r="AUK31" s="28">
        <f>'REG y VAL POE - AESR - ESR'!AS2145</f>
        <v>0</v>
      </c>
      <c r="AUL31" s="29" t="str">
        <f>'REG y VAL POE - AESR - ESR'!B2146</f>
        <v xml:space="preserve">Martinez Estrada Cristian Jovany </v>
      </c>
      <c r="AUM31" s="29" t="str">
        <f>'REG y VAL POE - AESR - ESR'!C2146</f>
        <v>Sin Registro</v>
      </c>
      <c r="AUN31" s="28">
        <f>'REG y VAL POE - AESR - ESR'!D2146</f>
        <v>23124222</v>
      </c>
      <c r="AUO31" s="29">
        <f>'REG y VAL POE - AESR - ESR'!E2146</f>
        <v>0</v>
      </c>
      <c r="AUP31" s="30">
        <f>'REG y VAL POE - AESR - ESR'!F2146</f>
        <v>0</v>
      </c>
      <c r="AUQ31" s="28">
        <f>'REG y VAL POE - AESR - ESR'!G2146</f>
        <v>0</v>
      </c>
      <c r="AUR31" s="29">
        <f>'REG y VAL POE - AESR - ESR'!H2146</f>
        <v>0</v>
      </c>
      <c r="AUS31" s="29">
        <f>'REG y VAL POE - AESR - ESR'!I2146</f>
        <v>0</v>
      </c>
      <c r="AUT31" s="29">
        <f>'REG y VAL POE - AESR - ESR'!J2146</f>
        <v>0</v>
      </c>
      <c r="AUU31" s="28">
        <f>'REG y VAL POE - AESR - ESR'!K2146</f>
        <v>0</v>
      </c>
      <c r="AUV31" s="29">
        <f>'REG y VAL POE - AESR - ESR'!L2146</f>
        <v>0</v>
      </c>
      <c r="AUW31" s="29">
        <f>'REG y VAL POE - AESR - ESR'!M2146</f>
        <v>0</v>
      </c>
      <c r="AUX31" s="28">
        <f>'REG y VAL POE - AESR - ESR'!N2146</f>
        <v>0</v>
      </c>
      <c r="AUY31" s="29">
        <f>'REG y VAL POE - AESR - ESR'!O2146</f>
        <v>0</v>
      </c>
      <c r="AUZ31" s="30">
        <f>'REG y VAL POE - AESR - ESR'!P2146</f>
        <v>0</v>
      </c>
      <c r="AVA31" s="28">
        <f>'REG y VAL POE - AESR - ESR'!Q2146</f>
        <v>0</v>
      </c>
      <c r="AVB31" s="29">
        <f>'REG y VAL POE - AESR - ESR'!R2146</f>
        <v>0</v>
      </c>
      <c r="AVC31" s="29">
        <f>'REG y VAL POE - AESR - ESR'!S2146</f>
        <v>0</v>
      </c>
      <c r="AVD31" s="29">
        <f>'REG y VAL POE - AESR - ESR'!T2146</f>
        <v>0</v>
      </c>
      <c r="AVE31" s="28">
        <f>'REG y VAL POE - AESR - ESR'!U2146</f>
        <v>0</v>
      </c>
      <c r="AVF31" s="29">
        <f>'REG y VAL POE - AESR - ESR'!V2146</f>
        <v>0</v>
      </c>
      <c r="AVG31" s="29">
        <f>'REG y VAL POE - AESR - ESR'!W2146</f>
        <v>0</v>
      </c>
      <c r="AVH31" s="29">
        <f>'REG y VAL POE - AESR - ESR'!X2146</f>
        <v>0</v>
      </c>
      <c r="AVI31" s="29">
        <f>'REG y VAL POE - AESR - ESR'!Y2146</f>
        <v>0</v>
      </c>
      <c r="AVJ31" s="29">
        <f>'REG y VAL POE - AESR - ESR'!Z2146</f>
        <v>0</v>
      </c>
      <c r="AVK31" s="28">
        <f>'REG y VAL POE - AESR - ESR'!AA2146</f>
        <v>0</v>
      </c>
      <c r="AVL31" s="29">
        <f>'REG y VAL POE - AESR - ESR'!AB2146</f>
        <v>0</v>
      </c>
      <c r="AVM31" s="29">
        <f>'REG y VAL POE - AESR - ESR'!AC2146</f>
        <v>0</v>
      </c>
      <c r="AVN31" s="28">
        <f>'REG y VAL POE - AESR - ESR'!AD2146</f>
        <v>0</v>
      </c>
      <c r="AVO31" s="29">
        <f>'REG y VAL POE - AESR - ESR'!AE2146</f>
        <v>0</v>
      </c>
      <c r="AVP31" s="30">
        <f>'REG y VAL POE - AESR - ESR'!AF2146</f>
        <v>0</v>
      </c>
      <c r="AVQ31" s="28">
        <f>'REG y VAL POE - AESR - ESR'!AG2146</f>
        <v>0</v>
      </c>
      <c r="AVR31" s="29">
        <f>'REG y VAL POE - AESR - ESR'!AH2146</f>
        <v>0</v>
      </c>
      <c r="AVS31" s="29">
        <f>'REG y VAL POE - AESR - ESR'!AI2146</f>
        <v>0</v>
      </c>
      <c r="AVT31" s="29">
        <f>'REG y VAL POE - AESR - ESR'!AJ2146</f>
        <v>0</v>
      </c>
      <c r="AVU31" s="28">
        <f>'REG y VAL POE - AESR - ESR'!AK2146</f>
        <v>0</v>
      </c>
      <c r="AVV31" s="29">
        <f>'REG y VAL POE - AESR - ESR'!AL2146</f>
        <v>0</v>
      </c>
      <c r="AVW31" s="29">
        <f>'REG y VAL POE - AESR - ESR'!AM2146</f>
        <v>0</v>
      </c>
      <c r="AVX31" s="28">
        <f>'REG y VAL POE - AESR - ESR'!AN2146</f>
        <v>0</v>
      </c>
      <c r="AVY31" s="29">
        <f>'REG y VAL POE - AESR - ESR'!AO2146</f>
        <v>0</v>
      </c>
      <c r="AVZ31" s="30">
        <f>'REG y VAL POE - AESR - ESR'!AP2146</f>
        <v>0</v>
      </c>
      <c r="AWA31" s="28">
        <f>'REG y VAL POE - AESR - ESR'!AQ2146</f>
        <v>0</v>
      </c>
      <c r="AWB31" s="29">
        <f>'REG y VAL POE - AESR - ESR'!AR2146</f>
        <v>0</v>
      </c>
      <c r="AWC31" s="29">
        <f>'REG y VAL POE - AESR - ESR'!AS2146</f>
        <v>0</v>
      </c>
      <c r="AWD31" s="29" t="str">
        <f>'REG y VAL POE - AESR - ESR'!B2147</f>
        <v xml:space="preserve">Martinez Gonzalez Miguel </v>
      </c>
      <c r="AWE31" s="28" t="str">
        <f>'REG y VAL POE - AESR - ESR'!C2147</f>
        <v>Sin Registro</v>
      </c>
      <c r="AWF31" s="29">
        <f>'REG y VAL POE - AESR - ESR'!D2147</f>
        <v>23089746</v>
      </c>
      <c r="AWG31" s="29">
        <f>'REG y VAL POE - AESR - ESR'!E2147</f>
        <v>0</v>
      </c>
      <c r="AWH31" s="29">
        <f>'REG y VAL POE - AESR - ESR'!F2147</f>
        <v>0</v>
      </c>
      <c r="AWI31" s="29">
        <f>'REG y VAL POE - AESR - ESR'!G2147</f>
        <v>0</v>
      </c>
      <c r="AWJ31" s="29">
        <f>'REG y VAL POE - AESR - ESR'!H2147</f>
        <v>0</v>
      </c>
      <c r="AWK31" s="28">
        <f>'REG y VAL POE - AESR - ESR'!I2147</f>
        <v>0</v>
      </c>
      <c r="AWL31" s="29">
        <f>'REG y VAL POE - AESR - ESR'!J2147</f>
        <v>0</v>
      </c>
      <c r="AWM31" s="29">
        <f>'REG y VAL POE - AESR - ESR'!K2147</f>
        <v>0</v>
      </c>
      <c r="AWN31" s="28">
        <f>'REG y VAL POE - AESR - ESR'!L2147</f>
        <v>0</v>
      </c>
      <c r="AWO31" s="29">
        <f>'REG y VAL POE - AESR - ESR'!M2147</f>
        <v>0</v>
      </c>
      <c r="AWP31" s="30">
        <f>'REG y VAL POE - AESR - ESR'!N2147</f>
        <v>0</v>
      </c>
      <c r="AWQ31" s="28">
        <f>'REG y VAL POE - AESR - ESR'!O2147</f>
        <v>0</v>
      </c>
      <c r="AWR31" s="29">
        <f>'REG y VAL POE - AESR - ESR'!P2147</f>
        <v>0</v>
      </c>
      <c r="AWS31" s="29">
        <f>'REG y VAL POE - AESR - ESR'!Q2147</f>
        <v>0</v>
      </c>
      <c r="AWT31" s="29">
        <f>'REG y VAL POE - AESR - ESR'!R2147</f>
        <v>0</v>
      </c>
      <c r="AWU31" s="28">
        <f>'REG y VAL POE - AESR - ESR'!S2147</f>
        <v>0</v>
      </c>
      <c r="AWV31" s="29">
        <f>'REG y VAL POE - AESR - ESR'!T2147</f>
        <v>0</v>
      </c>
      <c r="AWW31" s="29">
        <f>'REG y VAL POE - AESR - ESR'!U2147</f>
        <v>0</v>
      </c>
      <c r="AWX31" s="28">
        <f>'REG y VAL POE - AESR - ESR'!V2147</f>
        <v>0</v>
      </c>
      <c r="AWY31" s="29">
        <f>'REG y VAL POE - AESR - ESR'!W2147</f>
        <v>0</v>
      </c>
      <c r="AWZ31" s="30">
        <f>'REG y VAL POE - AESR - ESR'!X2147</f>
        <v>0</v>
      </c>
      <c r="AXA31" s="28">
        <f>'REG y VAL POE - AESR - ESR'!Y2147</f>
        <v>0</v>
      </c>
      <c r="AXB31" s="29">
        <f>'REG y VAL POE - AESR - ESR'!Z2147</f>
        <v>0</v>
      </c>
      <c r="AXC31" s="29">
        <f>'REG y VAL POE - AESR - ESR'!AA2147</f>
        <v>0</v>
      </c>
      <c r="AXD31" s="29">
        <f>'REG y VAL POE - AESR - ESR'!AB2147</f>
        <v>0</v>
      </c>
      <c r="AXE31" s="28">
        <f>'REG y VAL POE - AESR - ESR'!AC2147</f>
        <v>0</v>
      </c>
      <c r="AXF31" s="29">
        <f>'REG y VAL POE - AESR - ESR'!AD2147</f>
        <v>0</v>
      </c>
      <c r="AXG31" s="29">
        <f>'REG y VAL POE - AESR - ESR'!AE2147</f>
        <v>0</v>
      </c>
      <c r="AXH31" s="29">
        <f>'REG y VAL POE - AESR - ESR'!AF2147</f>
        <v>0</v>
      </c>
      <c r="AXI31" s="29">
        <f>'REG y VAL POE - AESR - ESR'!AG2147</f>
        <v>0</v>
      </c>
      <c r="AXJ31" s="29">
        <f>'REG y VAL POE - AESR - ESR'!AH2147</f>
        <v>0</v>
      </c>
      <c r="AXK31" s="28">
        <f>'REG y VAL POE - AESR - ESR'!AI2147</f>
        <v>0</v>
      </c>
      <c r="AXL31" s="29">
        <f>'REG y VAL POE - AESR - ESR'!AJ2147</f>
        <v>0</v>
      </c>
      <c r="AXM31" s="29">
        <f>'REG y VAL POE - AESR - ESR'!AK2147</f>
        <v>0</v>
      </c>
      <c r="AXN31" s="28">
        <f>'REG y VAL POE - AESR - ESR'!AL2147</f>
        <v>0</v>
      </c>
      <c r="AXO31" s="29">
        <f>'REG y VAL POE - AESR - ESR'!AM2147</f>
        <v>0</v>
      </c>
      <c r="AXP31" s="30">
        <f>'REG y VAL POE - AESR - ESR'!AN2147</f>
        <v>0</v>
      </c>
      <c r="AXQ31" s="28">
        <f>'REG y VAL POE - AESR - ESR'!AO2147</f>
        <v>0</v>
      </c>
      <c r="AXR31" s="29">
        <f>'REG y VAL POE - AESR - ESR'!AP2147</f>
        <v>0</v>
      </c>
      <c r="AXS31" s="29">
        <f>'REG y VAL POE - AESR - ESR'!AQ2147</f>
        <v>0</v>
      </c>
      <c r="AXT31" s="29">
        <f>'REG y VAL POE - AESR - ESR'!AR2147</f>
        <v>0</v>
      </c>
      <c r="AXU31" s="28">
        <f>'REG y VAL POE - AESR - ESR'!AS2147</f>
        <v>0</v>
      </c>
      <c r="AXV31" s="29" t="str">
        <f>'REG y VAL POE - AESR - ESR'!B2148</f>
        <v xml:space="preserve">Martinez Rodriguez Jose Maria </v>
      </c>
      <c r="AXW31" s="29" t="str">
        <f>'REG y VAL POE - AESR - ESR'!C2148</f>
        <v>Sin Registro</v>
      </c>
      <c r="AXX31" s="28">
        <f>'REG y VAL POE - AESR - ESR'!D2148</f>
        <v>23198927</v>
      </c>
      <c r="AXY31" s="29">
        <f>'REG y VAL POE - AESR - ESR'!E2148</f>
        <v>0</v>
      </c>
      <c r="AXZ31" s="30">
        <f>'REG y VAL POE - AESR - ESR'!F2148</f>
        <v>0</v>
      </c>
      <c r="AYA31" s="28">
        <f>'REG y VAL POE - AESR - ESR'!G2148</f>
        <v>0</v>
      </c>
      <c r="AYB31" s="29">
        <f>'REG y VAL POE - AESR - ESR'!H2148</f>
        <v>0</v>
      </c>
      <c r="AYC31" s="29">
        <f>'REG y VAL POE - AESR - ESR'!I2148</f>
        <v>0</v>
      </c>
      <c r="AYD31" s="29">
        <f>'REG y VAL POE - AESR - ESR'!J2148</f>
        <v>0</v>
      </c>
      <c r="AYE31" s="28">
        <f>'REG y VAL POE - AESR - ESR'!K2148</f>
        <v>0</v>
      </c>
      <c r="AYF31" s="29">
        <f>'REG y VAL POE - AESR - ESR'!L2148</f>
        <v>0</v>
      </c>
      <c r="AYG31" s="29">
        <f>'REG y VAL POE - AESR - ESR'!M2148</f>
        <v>0</v>
      </c>
      <c r="AYH31" s="29">
        <f>'REG y VAL POE - AESR - ESR'!N2148</f>
        <v>0</v>
      </c>
      <c r="AYI31" s="29">
        <f>'REG y VAL POE - AESR - ESR'!O2148</f>
        <v>0</v>
      </c>
      <c r="AYJ31" s="29">
        <f>'REG y VAL POE - AESR - ESR'!P2148</f>
        <v>0</v>
      </c>
      <c r="AYK31" s="28">
        <f>'REG y VAL POE - AESR - ESR'!Q2148</f>
        <v>0</v>
      </c>
      <c r="AYL31" s="29">
        <f>'REG y VAL POE - AESR - ESR'!R2148</f>
        <v>0</v>
      </c>
      <c r="AYM31" s="29">
        <f>'REG y VAL POE - AESR - ESR'!S2148</f>
        <v>0</v>
      </c>
      <c r="AYN31" s="28">
        <f>'REG y VAL POE - AESR - ESR'!T2148</f>
        <v>0</v>
      </c>
      <c r="AYO31" s="29">
        <f>'REG y VAL POE - AESR - ESR'!U2148</f>
        <v>0</v>
      </c>
      <c r="AYP31" s="30">
        <f>'REG y VAL POE - AESR - ESR'!V2148</f>
        <v>0</v>
      </c>
      <c r="AYQ31" s="28">
        <f>'REG y VAL POE - AESR - ESR'!W2148</f>
        <v>0</v>
      </c>
      <c r="AYR31" s="29">
        <f>'REG y VAL POE - AESR - ESR'!X2148</f>
        <v>0</v>
      </c>
      <c r="AYS31" s="29">
        <f>'REG y VAL POE - AESR - ESR'!Y2148</f>
        <v>0</v>
      </c>
      <c r="AYT31" s="29">
        <f>'REG y VAL POE - AESR - ESR'!Z2148</f>
        <v>0</v>
      </c>
      <c r="AYU31" s="28">
        <f>'REG y VAL POE - AESR - ESR'!AA2148</f>
        <v>0</v>
      </c>
      <c r="AYV31" s="29">
        <f>'REG y VAL POE - AESR - ESR'!AB2148</f>
        <v>0</v>
      </c>
      <c r="AYW31" s="29">
        <f>'REG y VAL POE - AESR - ESR'!AC2148</f>
        <v>0</v>
      </c>
      <c r="AYX31" s="28">
        <f>'REG y VAL POE - AESR - ESR'!AD2148</f>
        <v>0</v>
      </c>
      <c r="AYY31" s="29">
        <f>'REG y VAL POE - AESR - ESR'!AE2148</f>
        <v>0</v>
      </c>
      <c r="AYZ31" s="30">
        <f>'REG y VAL POE - AESR - ESR'!AF2148</f>
        <v>0</v>
      </c>
      <c r="AZA31" s="28">
        <f>'REG y VAL POE - AESR - ESR'!AG2148</f>
        <v>0</v>
      </c>
      <c r="AZB31" s="29">
        <f>'REG y VAL POE - AESR - ESR'!AH2148</f>
        <v>0</v>
      </c>
      <c r="AZC31" s="29">
        <f>'REG y VAL POE - AESR - ESR'!AI2148</f>
        <v>0</v>
      </c>
      <c r="AZD31" s="29">
        <f>'REG y VAL POE - AESR - ESR'!AJ2148</f>
        <v>0</v>
      </c>
      <c r="AZE31" s="28">
        <f>'REG y VAL POE - AESR - ESR'!AK2148</f>
        <v>0</v>
      </c>
      <c r="AZF31" s="29">
        <f>'REG y VAL POE - AESR - ESR'!AL2148</f>
        <v>0</v>
      </c>
      <c r="AZG31" s="29">
        <f>'REG y VAL POE - AESR - ESR'!AM2148</f>
        <v>0</v>
      </c>
      <c r="AZH31" s="29">
        <f>'REG y VAL POE - AESR - ESR'!AN2148</f>
        <v>0</v>
      </c>
      <c r="AZI31" s="29">
        <f>'REG y VAL POE - AESR - ESR'!AO2148</f>
        <v>0</v>
      </c>
      <c r="AZJ31" s="29">
        <f>'REG y VAL POE - AESR - ESR'!AP2148</f>
        <v>0</v>
      </c>
      <c r="AZK31" s="28">
        <f>'REG y VAL POE - AESR - ESR'!AQ2148</f>
        <v>0</v>
      </c>
      <c r="AZL31" s="29">
        <f>'REG y VAL POE - AESR - ESR'!AR2148</f>
        <v>0</v>
      </c>
      <c r="AZM31" s="29">
        <f>'REG y VAL POE - AESR - ESR'!AS2148</f>
        <v>0</v>
      </c>
      <c r="AZN31" s="28" t="str">
        <f>'REG y VAL POE - AESR - ESR'!B2149</f>
        <v xml:space="preserve">Martinez Santoya Luis Daniel </v>
      </c>
      <c r="AZO31" s="29" t="str">
        <f>'REG y VAL POE - AESR - ESR'!C2149</f>
        <v>Sin Registro</v>
      </c>
      <c r="AZP31" s="30">
        <f>'REG y VAL POE - AESR - ESR'!D2149</f>
        <v>23094396</v>
      </c>
      <c r="AZQ31" s="28">
        <f>'REG y VAL POE - AESR - ESR'!E2149</f>
        <v>0</v>
      </c>
      <c r="AZR31" s="29">
        <f>'REG y VAL POE - AESR - ESR'!F2149</f>
        <v>0</v>
      </c>
      <c r="AZS31" s="29">
        <f>'REG y VAL POE - AESR - ESR'!G2149</f>
        <v>0</v>
      </c>
      <c r="AZT31" s="29">
        <f>'REG y VAL POE - AESR - ESR'!H2149</f>
        <v>0</v>
      </c>
      <c r="AZU31" s="28">
        <f>'REG y VAL POE - AESR - ESR'!I2149</f>
        <v>0</v>
      </c>
      <c r="AZV31" s="29">
        <f>'REG y VAL POE - AESR - ESR'!J2149</f>
        <v>0</v>
      </c>
      <c r="AZW31" s="29">
        <f>'REG y VAL POE - AESR - ESR'!K2149</f>
        <v>0</v>
      </c>
      <c r="AZX31" s="28">
        <f>'REG y VAL POE - AESR - ESR'!L2149</f>
        <v>0</v>
      </c>
      <c r="AZY31" s="29">
        <f>'REG y VAL POE - AESR - ESR'!M2149</f>
        <v>0</v>
      </c>
      <c r="AZZ31" s="30">
        <f>'REG y VAL POE - AESR - ESR'!N2149</f>
        <v>0</v>
      </c>
      <c r="BAA31" s="28">
        <f>'REG y VAL POE - AESR - ESR'!O2149</f>
        <v>0</v>
      </c>
      <c r="BAB31" s="29">
        <f>'REG y VAL POE - AESR - ESR'!P2149</f>
        <v>0</v>
      </c>
      <c r="BAC31" s="29">
        <f>'REG y VAL POE - AESR - ESR'!Q2149</f>
        <v>0</v>
      </c>
      <c r="BAD31" s="29">
        <f>'REG y VAL POE - AESR - ESR'!R2149</f>
        <v>0</v>
      </c>
      <c r="BAE31" s="28">
        <f>'REG y VAL POE - AESR - ESR'!S2149</f>
        <v>0</v>
      </c>
      <c r="BAF31" s="29">
        <f>'REG y VAL POE - AESR - ESR'!T2149</f>
        <v>0</v>
      </c>
      <c r="BAG31" s="29">
        <f>'REG y VAL POE - AESR - ESR'!U2149</f>
        <v>0</v>
      </c>
      <c r="BAH31" s="29">
        <f>'REG y VAL POE - AESR - ESR'!V2149</f>
        <v>0</v>
      </c>
      <c r="BAI31" s="29">
        <f>'REG y VAL POE - AESR - ESR'!W2149</f>
        <v>0</v>
      </c>
      <c r="BAJ31" s="29">
        <f>'REG y VAL POE - AESR - ESR'!X2149</f>
        <v>0</v>
      </c>
      <c r="BAK31" s="28">
        <f>'REG y VAL POE - AESR - ESR'!Y2149</f>
        <v>0</v>
      </c>
      <c r="BAL31" s="29">
        <f>'REG y VAL POE - AESR - ESR'!Z2149</f>
        <v>0</v>
      </c>
      <c r="BAM31" s="29">
        <f>'REG y VAL POE - AESR - ESR'!AA2149</f>
        <v>0</v>
      </c>
      <c r="BAN31" s="28">
        <f>'REG y VAL POE - AESR - ESR'!AB2149</f>
        <v>0</v>
      </c>
      <c r="BAO31" s="29">
        <f>'REG y VAL POE - AESR - ESR'!AC2149</f>
        <v>0</v>
      </c>
      <c r="BAP31" s="30">
        <f>'REG y VAL POE - AESR - ESR'!AD2149</f>
        <v>0</v>
      </c>
      <c r="BAQ31" s="28">
        <f>'REG y VAL POE - AESR - ESR'!AE2149</f>
        <v>0</v>
      </c>
      <c r="BAR31" s="29">
        <f>'REG y VAL POE - AESR - ESR'!AF2149</f>
        <v>0</v>
      </c>
      <c r="BAS31" s="29">
        <f>'REG y VAL POE - AESR - ESR'!AG2149</f>
        <v>0</v>
      </c>
      <c r="BAT31" s="29">
        <f>'REG y VAL POE - AESR - ESR'!AH2149</f>
        <v>0</v>
      </c>
      <c r="BAU31" s="28">
        <f>'REG y VAL POE - AESR - ESR'!AI2149</f>
        <v>0</v>
      </c>
      <c r="BAV31" s="29">
        <f>'REG y VAL POE - AESR - ESR'!AJ2149</f>
        <v>0</v>
      </c>
      <c r="BAW31" s="29">
        <f>'REG y VAL POE - AESR - ESR'!AK2149</f>
        <v>0</v>
      </c>
      <c r="BAX31" s="28">
        <f>'REG y VAL POE - AESR - ESR'!AL2149</f>
        <v>0</v>
      </c>
      <c r="BAY31" s="29">
        <f>'REG y VAL POE - AESR - ESR'!AM2149</f>
        <v>0</v>
      </c>
      <c r="BAZ31" s="30">
        <f>'REG y VAL POE - AESR - ESR'!AN2149</f>
        <v>0</v>
      </c>
      <c r="BBA31" s="28">
        <f>'REG y VAL POE - AESR - ESR'!AO2149</f>
        <v>0</v>
      </c>
      <c r="BBB31" s="29">
        <f>'REG y VAL POE - AESR - ESR'!AP2149</f>
        <v>0</v>
      </c>
      <c r="BBC31" s="29">
        <f>'REG y VAL POE - AESR - ESR'!AQ2149</f>
        <v>0</v>
      </c>
      <c r="BBD31" s="29">
        <f>'REG y VAL POE - AESR - ESR'!AR2149</f>
        <v>0</v>
      </c>
      <c r="BBE31" s="28">
        <f>'REG y VAL POE - AESR - ESR'!AS2149</f>
        <v>0</v>
      </c>
      <c r="BBF31" s="29" t="str">
        <f>'REG y VAL POE - AESR - ESR'!B2150</f>
        <v>Mendiola Cepeda Hilda Yolanda</v>
      </c>
      <c r="BBG31" s="29">
        <f>'REG y VAL POE - AESR - ESR'!C2150</f>
        <v>0</v>
      </c>
      <c r="BBH31" s="29">
        <f>'REG y VAL POE - AESR - ESR'!D2150</f>
        <v>23196940</v>
      </c>
      <c r="BBI31" s="29">
        <f>'REG y VAL POE - AESR - ESR'!E2150</f>
        <v>0</v>
      </c>
      <c r="BBJ31" s="29">
        <f>'REG y VAL POE - AESR - ESR'!F2150</f>
        <v>0</v>
      </c>
      <c r="BBK31" s="28">
        <f>'REG y VAL POE - AESR - ESR'!G2150</f>
        <v>45313</v>
      </c>
      <c r="BBL31" s="29">
        <f>'REG y VAL POE - AESR - ESR'!H2150</f>
        <v>45678</v>
      </c>
      <c r="BBM31" s="29" t="str">
        <f>'REG y VAL POE - AESR - ESR'!I2150</f>
        <v>SI</v>
      </c>
      <c r="BBN31" s="28" t="str">
        <f>'REG y VAL POE - AESR - ESR'!J2150</f>
        <v>Vigente</v>
      </c>
      <c r="BBO31" s="29" t="str">
        <f>'REG y VAL POE - AESR - ESR'!K2150</f>
        <v>SI</v>
      </c>
      <c r="BBP31" s="30" t="str">
        <f>'REG y VAL POE - AESR - ESR'!L2150</f>
        <v>Vigente</v>
      </c>
      <c r="BBQ31" s="28" t="str">
        <f>'REG y VAL POE - AESR - ESR'!M2150</f>
        <v>NO</v>
      </c>
      <c r="BBR31" s="29" t="str">
        <f>'REG y VAL POE - AESR - ESR'!N2150</f>
        <v>FALTA APENDICE B-NO TIENE FIRMA RL-TACHON EN FECHA APEND A</v>
      </c>
      <c r="BBS31" s="29">
        <f>'REG y VAL POE - AESR - ESR'!O2150</f>
        <v>0</v>
      </c>
      <c r="BBT31" s="29" t="str">
        <f>'REG y VAL POE - AESR - ESR'!P2150</f>
        <v>SI</v>
      </c>
      <c r="BBU31" s="28" t="str">
        <f>'REG y VAL POE - AESR - ESR'!Q2150</f>
        <v>SI</v>
      </c>
      <c r="BBV31" s="29" t="str">
        <f>'REG y VAL POE - AESR - ESR'!R2150</f>
        <v>SI</v>
      </c>
      <c r="BBW31" s="29" t="str">
        <f>'REG y VAL POE - AESR - ESR'!S2150</f>
        <v>SI</v>
      </c>
      <c r="BBX31" s="28" t="str">
        <f>'REG y VAL POE - AESR - ESR'!T2150</f>
        <v>SI</v>
      </c>
      <c r="BBY31" s="29" t="str">
        <f>'REG y VAL POE - AESR - ESR'!U2150</f>
        <v>SI</v>
      </c>
      <c r="BBZ31" s="30" t="str">
        <f>'REG y VAL POE - AESR - ESR'!V2150</f>
        <v>SI</v>
      </c>
      <c r="BCA31" s="28">
        <f>'REG y VAL POE - AESR - ESR'!W2150</f>
        <v>0</v>
      </c>
      <c r="BCB31" s="29">
        <f>'REG y VAL POE - AESR - ESR'!X2150</f>
        <v>0</v>
      </c>
      <c r="BCC31" s="29">
        <f>'REG y VAL POE - AESR - ESR'!Y2150</f>
        <v>0</v>
      </c>
      <c r="BCD31" s="29" t="str">
        <f>'REG y VAL POE - AESR - ESR'!Z2150</f>
        <v>SI</v>
      </c>
      <c r="BCE31" s="28">
        <f>'REG y VAL POE - AESR - ESR'!AA2150</f>
        <v>0</v>
      </c>
      <c r="BCF31" s="29">
        <f>'REG y VAL POE - AESR - ESR'!AB2150</f>
        <v>0</v>
      </c>
      <c r="BCG31" s="29">
        <f>'REG y VAL POE - AESR - ESR'!AC2150</f>
        <v>0</v>
      </c>
      <c r="BCH31" s="29">
        <f>'REG y VAL POE - AESR - ESR'!AD2150</f>
        <v>0</v>
      </c>
      <c r="BCI31" s="29">
        <f>'REG y VAL POE - AESR - ESR'!AE2150</f>
        <v>0</v>
      </c>
      <c r="BCJ31" s="29" t="str">
        <f>'REG y VAL POE - AESR - ESR'!AF2150</f>
        <v>SI</v>
      </c>
      <c r="BCK31" s="28" t="str">
        <f>'REG y VAL POE - AESR - ESR'!AG2150</f>
        <v>SI</v>
      </c>
      <c r="BCL31" s="29">
        <f>'REG y VAL POE - AESR - ESR'!AH2150</f>
        <v>0</v>
      </c>
      <c r="BCM31" s="29">
        <f>'REG y VAL POE - AESR - ESR'!AI2150</f>
        <v>0</v>
      </c>
      <c r="BCN31" s="28">
        <f>'REG y VAL POE - AESR - ESR'!AJ2150</f>
        <v>0</v>
      </c>
      <c r="BCO31" s="29">
        <f>'REG y VAL POE - AESR - ESR'!AK2150</f>
        <v>0</v>
      </c>
      <c r="BCP31" s="30" t="str">
        <f>'REG y VAL POE - AESR - ESR'!AL2150</f>
        <v>SI</v>
      </c>
      <c r="BCQ31" s="28" t="str">
        <f>'REG y VAL POE - AESR - ESR'!AM2150</f>
        <v>SI</v>
      </c>
      <c r="BCR31" s="29">
        <f>'REG y VAL POE - AESR - ESR'!AN2150</f>
        <v>0</v>
      </c>
      <c r="BCS31" s="29">
        <f>'REG y VAL POE - AESR - ESR'!AO2150</f>
        <v>0</v>
      </c>
      <c r="BCT31" s="29" t="str">
        <f>'REG y VAL POE - AESR - ESR'!AP2150</f>
        <v>SI</v>
      </c>
      <c r="BCU31" s="28">
        <f>'REG y VAL POE - AESR - ESR'!AQ2150</f>
        <v>0</v>
      </c>
      <c r="BCV31" s="29" t="str">
        <f>'REG y VAL POE - AESR - ESR'!AR2150</f>
        <v>VACIS PORTAL</v>
      </c>
      <c r="BCW31" s="29">
        <f>'REG y VAL POE - AESR - ESR'!AS2150</f>
        <v>0</v>
      </c>
      <c r="BCX31" s="28" t="str">
        <f>'REG y VAL POE - AESR - ESR'!B2151</f>
        <v xml:space="preserve">Morales Meza Juan Jose </v>
      </c>
      <c r="BCY31" s="29" t="str">
        <f>'REG y VAL POE - AESR - ESR'!C2151</f>
        <v>Sin Registro</v>
      </c>
      <c r="BCZ31" s="30">
        <f>'REG y VAL POE - AESR - ESR'!D2151</f>
        <v>23095457</v>
      </c>
      <c r="BDA31" s="28">
        <f>'REG y VAL POE - AESR - ESR'!E2151</f>
        <v>0</v>
      </c>
      <c r="BDB31" s="29">
        <f>'REG y VAL POE - AESR - ESR'!F2151</f>
        <v>0</v>
      </c>
      <c r="BDC31" s="29">
        <f>'REG y VAL POE - AESR - ESR'!G2151</f>
        <v>0</v>
      </c>
      <c r="BDD31" s="29">
        <f>'REG y VAL POE - AESR - ESR'!H2151</f>
        <v>0</v>
      </c>
      <c r="BDE31" s="28">
        <f>'REG y VAL POE - AESR - ESR'!I2151</f>
        <v>0</v>
      </c>
      <c r="BDF31" s="29">
        <f>'REG y VAL POE - AESR - ESR'!J2151</f>
        <v>0</v>
      </c>
      <c r="BDG31" s="29">
        <f>'REG y VAL POE - AESR - ESR'!K2151</f>
        <v>0</v>
      </c>
      <c r="BDH31" s="29">
        <f>'REG y VAL POE - AESR - ESR'!L2151</f>
        <v>0</v>
      </c>
      <c r="BDI31" s="29">
        <f>'REG y VAL POE - AESR - ESR'!M2151</f>
        <v>0</v>
      </c>
      <c r="BDJ31" s="29">
        <f>'REG y VAL POE - AESR - ESR'!N2151</f>
        <v>0</v>
      </c>
      <c r="BDK31" s="28">
        <f>'REG y VAL POE - AESR - ESR'!O2151</f>
        <v>0</v>
      </c>
      <c r="BDL31" s="29">
        <f>'REG y VAL POE - AESR - ESR'!P2151</f>
        <v>0</v>
      </c>
      <c r="BDM31" s="29">
        <f>'REG y VAL POE - AESR - ESR'!Q2151</f>
        <v>0</v>
      </c>
      <c r="BDN31" s="28">
        <f>'REG y VAL POE - AESR - ESR'!R2151</f>
        <v>0</v>
      </c>
      <c r="BDO31" s="29">
        <f>'REG y VAL POE - AESR - ESR'!S2151</f>
        <v>0</v>
      </c>
      <c r="BDP31" s="30">
        <f>'REG y VAL POE - AESR - ESR'!T2151</f>
        <v>0</v>
      </c>
      <c r="BDQ31" s="28">
        <f>'REG y VAL POE - AESR - ESR'!U2151</f>
        <v>0</v>
      </c>
      <c r="BDR31" s="29">
        <f>'REG y VAL POE - AESR - ESR'!V2151</f>
        <v>0</v>
      </c>
      <c r="BDS31" s="29">
        <f>'REG y VAL POE - AESR - ESR'!W2151</f>
        <v>0</v>
      </c>
      <c r="BDT31" s="29">
        <f>'REG y VAL POE - AESR - ESR'!X2151</f>
        <v>0</v>
      </c>
      <c r="BDU31" s="28">
        <f>'REG y VAL POE - AESR - ESR'!Y2151</f>
        <v>0</v>
      </c>
      <c r="BDV31" s="29">
        <f>'REG y VAL POE - AESR - ESR'!Z2151</f>
        <v>0</v>
      </c>
      <c r="BDW31" s="29">
        <f>'REG y VAL POE - AESR - ESR'!AA2151</f>
        <v>0</v>
      </c>
      <c r="BDX31" s="28">
        <f>'REG y VAL POE - AESR - ESR'!AB2151</f>
        <v>0</v>
      </c>
      <c r="BDY31" s="29">
        <f>'REG y VAL POE - AESR - ESR'!AC2151</f>
        <v>0</v>
      </c>
      <c r="BDZ31" s="30">
        <f>'REG y VAL POE - AESR - ESR'!AD2151</f>
        <v>0</v>
      </c>
      <c r="BEA31" s="28">
        <f>'REG y VAL POE - AESR - ESR'!AE2151</f>
        <v>0</v>
      </c>
      <c r="BEB31" s="29">
        <f>'REG y VAL POE - AESR - ESR'!AF2151</f>
        <v>0</v>
      </c>
      <c r="BEC31" s="29">
        <f>'REG y VAL POE - AESR - ESR'!AG2151</f>
        <v>0</v>
      </c>
      <c r="BED31" s="29">
        <f>'REG y VAL POE - AESR - ESR'!AH2151</f>
        <v>0</v>
      </c>
      <c r="BEE31" s="28">
        <f>'REG y VAL POE - AESR - ESR'!AI2151</f>
        <v>0</v>
      </c>
      <c r="BEF31" s="29">
        <f>'REG y VAL POE - AESR - ESR'!AJ2151</f>
        <v>0</v>
      </c>
      <c r="BEG31" s="29">
        <f>'REG y VAL POE - AESR - ESR'!AK2151</f>
        <v>0</v>
      </c>
      <c r="BEH31" s="29">
        <f>'REG y VAL POE - AESR - ESR'!AL2151</f>
        <v>0</v>
      </c>
      <c r="BEI31" s="29">
        <f>'REG y VAL POE - AESR - ESR'!AM2151</f>
        <v>0</v>
      </c>
      <c r="BEJ31" s="29">
        <f>'REG y VAL POE - AESR - ESR'!AN2151</f>
        <v>0</v>
      </c>
      <c r="BEK31" s="28">
        <f>'REG y VAL POE - AESR - ESR'!AO2151</f>
        <v>0</v>
      </c>
      <c r="BEL31" s="29">
        <f>'REG y VAL POE - AESR - ESR'!AP2151</f>
        <v>0</v>
      </c>
      <c r="BEM31" s="29">
        <f>'REG y VAL POE - AESR - ESR'!AQ2151</f>
        <v>0</v>
      </c>
      <c r="BEN31" s="28">
        <f>'REG y VAL POE - AESR - ESR'!AR2151</f>
        <v>0</v>
      </c>
      <c r="BEO31" s="29">
        <f>'REG y VAL POE - AESR - ESR'!AS2151</f>
        <v>0</v>
      </c>
      <c r="BEP31" s="30" t="str">
        <f>'REG y VAL POE - AESR - ESR'!B2152</f>
        <v xml:space="preserve">Navarrete Santos Juan Carlos </v>
      </c>
      <c r="BEQ31" s="28" t="str">
        <f>'REG y VAL POE - AESR - ESR'!C2152</f>
        <v>Sin Registro</v>
      </c>
      <c r="BER31" s="29">
        <f>'REG y VAL POE - AESR - ESR'!D2152</f>
        <v>23094416</v>
      </c>
      <c r="BES31" s="29">
        <f>'REG y VAL POE - AESR - ESR'!E2152</f>
        <v>0</v>
      </c>
      <c r="BET31" s="29">
        <f>'REG y VAL POE - AESR - ESR'!F2152</f>
        <v>0</v>
      </c>
      <c r="BEU31" s="28">
        <f>'REG y VAL POE - AESR - ESR'!G2152</f>
        <v>0</v>
      </c>
      <c r="BEV31" s="29">
        <f>'REG y VAL POE - AESR - ESR'!H2152</f>
        <v>0</v>
      </c>
      <c r="BEW31" s="29">
        <f>'REG y VAL POE - AESR - ESR'!I2152</f>
        <v>0</v>
      </c>
      <c r="BEX31" s="28">
        <f>'REG y VAL POE - AESR - ESR'!J2152</f>
        <v>0</v>
      </c>
      <c r="BEY31" s="29">
        <f>'REG y VAL POE - AESR - ESR'!K2152</f>
        <v>0</v>
      </c>
      <c r="BEZ31" s="30">
        <f>'REG y VAL POE - AESR - ESR'!L2152</f>
        <v>0</v>
      </c>
      <c r="BFA31" s="28">
        <f>'REG y VAL POE - AESR - ESR'!M2152</f>
        <v>0</v>
      </c>
      <c r="BFB31" s="29">
        <f>'REG y VAL POE - AESR - ESR'!N2152</f>
        <v>0</v>
      </c>
      <c r="BFC31" s="29">
        <f>'REG y VAL POE - AESR - ESR'!O2152</f>
        <v>0</v>
      </c>
      <c r="BFD31" s="29">
        <f>'REG y VAL POE - AESR - ESR'!P2152</f>
        <v>0</v>
      </c>
      <c r="BFE31" s="28">
        <f>'REG y VAL POE - AESR - ESR'!Q2152</f>
        <v>0</v>
      </c>
      <c r="BFF31" s="29">
        <f>'REG y VAL POE - AESR - ESR'!R2152</f>
        <v>0</v>
      </c>
      <c r="BFG31" s="29">
        <f>'REG y VAL POE - AESR - ESR'!S2152</f>
        <v>0</v>
      </c>
      <c r="BFH31" s="29">
        <f>'REG y VAL POE - AESR - ESR'!T2152</f>
        <v>0</v>
      </c>
      <c r="BFI31" s="29">
        <f>'REG y VAL POE - AESR - ESR'!U2152</f>
        <v>0</v>
      </c>
      <c r="BFJ31" s="29">
        <f>'REG y VAL POE - AESR - ESR'!V2152</f>
        <v>0</v>
      </c>
      <c r="BFK31" s="28">
        <f>'REG y VAL POE - AESR - ESR'!W2152</f>
        <v>0</v>
      </c>
      <c r="BFL31" s="29">
        <f>'REG y VAL POE - AESR - ESR'!X2152</f>
        <v>0</v>
      </c>
      <c r="BFM31" s="29">
        <f>'REG y VAL POE - AESR - ESR'!Y2152</f>
        <v>0</v>
      </c>
      <c r="BFN31" s="28">
        <f>'REG y VAL POE - AESR - ESR'!Z2152</f>
        <v>0</v>
      </c>
      <c r="BFO31" s="29">
        <f>'REG y VAL POE - AESR - ESR'!AA2152</f>
        <v>0</v>
      </c>
      <c r="BFP31" s="30">
        <f>'REG y VAL POE - AESR - ESR'!AB2152</f>
        <v>0</v>
      </c>
      <c r="BFQ31" s="28">
        <f>'REG y VAL POE - AESR - ESR'!AC2152</f>
        <v>0</v>
      </c>
      <c r="BFR31" s="29">
        <f>'REG y VAL POE - AESR - ESR'!AD2152</f>
        <v>0</v>
      </c>
      <c r="BFS31" s="29">
        <f>'REG y VAL POE - AESR - ESR'!AE2152</f>
        <v>0</v>
      </c>
      <c r="BFT31" s="29">
        <f>'REG y VAL POE - AESR - ESR'!AF2152</f>
        <v>0</v>
      </c>
      <c r="BFU31" s="28">
        <f>'REG y VAL POE - AESR - ESR'!AG2152</f>
        <v>0</v>
      </c>
      <c r="BFV31" s="29">
        <f>'REG y VAL POE - AESR - ESR'!AH2152</f>
        <v>0</v>
      </c>
      <c r="BFW31" s="29">
        <f>'REG y VAL POE - AESR - ESR'!AI2152</f>
        <v>0</v>
      </c>
      <c r="BFX31" s="28">
        <f>'REG y VAL POE - AESR - ESR'!AJ2152</f>
        <v>0</v>
      </c>
      <c r="BFY31" s="29">
        <f>'REG y VAL POE - AESR - ESR'!AK2152</f>
        <v>0</v>
      </c>
      <c r="BFZ31" s="30">
        <f>'REG y VAL POE - AESR - ESR'!AL2152</f>
        <v>0</v>
      </c>
      <c r="BGA31" s="28">
        <f>'REG y VAL POE - AESR - ESR'!AM2152</f>
        <v>0</v>
      </c>
      <c r="BGB31" s="29">
        <f>'REG y VAL POE - AESR - ESR'!AN2152</f>
        <v>0</v>
      </c>
      <c r="BGC31" s="29">
        <f>'REG y VAL POE - AESR - ESR'!AO2152</f>
        <v>0</v>
      </c>
      <c r="BGD31" s="29">
        <f>'REG y VAL POE - AESR - ESR'!AP2152</f>
        <v>0</v>
      </c>
      <c r="BGE31" s="28">
        <f>'REG y VAL POE - AESR - ESR'!AQ2152</f>
        <v>0</v>
      </c>
      <c r="BGF31" s="29">
        <f>'REG y VAL POE - AESR - ESR'!AR2152</f>
        <v>0</v>
      </c>
      <c r="BGG31" s="29">
        <f>'REG y VAL POE - AESR - ESR'!AS2152</f>
        <v>0</v>
      </c>
      <c r="BGH31" s="29" t="str">
        <f>'REG y VAL POE - AESR - ESR'!B2153</f>
        <v xml:space="preserve">Palacio Estrada Grendy Yareth </v>
      </c>
      <c r="BGI31" s="29" t="str">
        <f>'REG y VAL POE - AESR - ESR'!C2153</f>
        <v>Sin Registro</v>
      </c>
      <c r="BGJ31" s="29">
        <f>'REG y VAL POE - AESR - ESR'!D2153</f>
        <v>23089277</v>
      </c>
      <c r="BGK31" s="28">
        <f>'REG y VAL POE - AESR - ESR'!E2153</f>
        <v>0</v>
      </c>
      <c r="BGL31" s="29">
        <f>'REG y VAL POE - AESR - ESR'!F2153</f>
        <v>0</v>
      </c>
      <c r="BGM31" s="29">
        <f>'REG y VAL POE - AESR - ESR'!G2153</f>
        <v>0</v>
      </c>
      <c r="BGN31" s="28">
        <f>'REG y VAL POE - AESR - ESR'!H2153</f>
        <v>0</v>
      </c>
      <c r="BGO31" s="29">
        <f>'REG y VAL POE - AESR - ESR'!I2153</f>
        <v>0</v>
      </c>
      <c r="BGP31" s="30">
        <f>'REG y VAL POE - AESR - ESR'!J2153</f>
        <v>0</v>
      </c>
      <c r="BGQ31" s="28">
        <f>'REG y VAL POE - AESR - ESR'!K2153</f>
        <v>0</v>
      </c>
      <c r="BGR31" s="29">
        <f>'REG y VAL POE - AESR - ESR'!L2153</f>
        <v>0</v>
      </c>
      <c r="BGS31" s="29">
        <f>'REG y VAL POE - AESR - ESR'!M2153</f>
        <v>0</v>
      </c>
      <c r="BGT31" s="29">
        <f>'REG y VAL POE - AESR - ESR'!N2153</f>
        <v>0</v>
      </c>
      <c r="BGU31" s="28">
        <f>'REG y VAL POE - AESR - ESR'!O2153</f>
        <v>0</v>
      </c>
      <c r="BGV31" s="29">
        <f>'REG y VAL POE - AESR - ESR'!P2153</f>
        <v>0</v>
      </c>
      <c r="BGW31" s="29">
        <f>'REG y VAL POE - AESR - ESR'!Q2153</f>
        <v>0</v>
      </c>
      <c r="BGX31" s="28">
        <f>'REG y VAL POE - AESR - ESR'!R2153</f>
        <v>0</v>
      </c>
      <c r="BGY31" s="29">
        <f>'REG y VAL POE - AESR - ESR'!S2153</f>
        <v>0</v>
      </c>
      <c r="BGZ31" s="30">
        <f>'REG y VAL POE - AESR - ESR'!T2153</f>
        <v>0</v>
      </c>
      <c r="BHA31" s="28">
        <f>'REG y VAL POE - AESR - ESR'!U2153</f>
        <v>0</v>
      </c>
      <c r="BHB31" s="29">
        <f>'REG y VAL POE - AESR - ESR'!V2153</f>
        <v>0</v>
      </c>
      <c r="BHC31" s="29">
        <f>'REG y VAL POE - AESR - ESR'!W2153</f>
        <v>0</v>
      </c>
      <c r="BHD31" s="29">
        <f>'REG y VAL POE - AESR - ESR'!X2153</f>
        <v>0</v>
      </c>
      <c r="BHE31" s="28">
        <f>'REG y VAL POE - AESR - ESR'!Y2153</f>
        <v>0</v>
      </c>
      <c r="BHF31" s="29">
        <f>'REG y VAL POE - AESR - ESR'!Z2153</f>
        <v>0</v>
      </c>
      <c r="BHG31" s="29">
        <f>'REG y VAL POE - AESR - ESR'!AA2153</f>
        <v>0</v>
      </c>
      <c r="BHH31" s="29">
        <f>'REG y VAL POE - AESR - ESR'!AB2153</f>
        <v>0</v>
      </c>
      <c r="BHI31" s="29">
        <f>'REG y VAL POE - AESR - ESR'!AC2153</f>
        <v>0</v>
      </c>
      <c r="BHJ31" s="29">
        <f>'REG y VAL POE - AESR - ESR'!AD2153</f>
        <v>0</v>
      </c>
      <c r="BHK31" s="28">
        <f>'REG y VAL POE - AESR - ESR'!AE2153</f>
        <v>0</v>
      </c>
      <c r="BHL31" s="29">
        <f>'REG y VAL POE - AESR - ESR'!AF2153</f>
        <v>0</v>
      </c>
      <c r="BHM31" s="29">
        <f>'REG y VAL POE - AESR - ESR'!AG2153</f>
        <v>0</v>
      </c>
      <c r="BHN31" s="28">
        <f>'REG y VAL POE - AESR - ESR'!AH2153</f>
        <v>0</v>
      </c>
      <c r="BHO31" s="29">
        <f>'REG y VAL POE - AESR - ESR'!AI2153</f>
        <v>0</v>
      </c>
      <c r="BHP31" s="30">
        <f>'REG y VAL POE - AESR - ESR'!AJ2153</f>
        <v>0</v>
      </c>
      <c r="BHQ31" s="28">
        <f>'REG y VAL POE - AESR - ESR'!AK2153</f>
        <v>0</v>
      </c>
      <c r="BHR31" s="29">
        <f>'REG y VAL POE - AESR - ESR'!AL2153</f>
        <v>0</v>
      </c>
      <c r="BHS31" s="29">
        <f>'REG y VAL POE - AESR - ESR'!AM2153</f>
        <v>0</v>
      </c>
      <c r="BHT31" s="29">
        <f>'REG y VAL POE - AESR - ESR'!AN2153</f>
        <v>0</v>
      </c>
      <c r="BHU31" s="28">
        <f>'REG y VAL POE - AESR - ESR'!AO2153</f>
        <v>0</v>
      </c>
      <c r="BHV31" s="29">
        <f>'REG y VAL POE - AESR - ESR'!AP2153</f>
        <v>0</v>
      </c>
      <c r="BHW31" s="29">
        <f>'REG y VAL POE - AESR - ESR'!AQ2153</f>
        <v>0</v>
      </c>
      <c r="BHX31" s="28">
        <f>'REG y VAL POE - AESR - ESR'!AR2153</f>
        <v>0</v>
      </c>
      <c r="BHY31" s="29">
        <f>'REG y VAL POE - AESR - ESR'!AS2153</f>
        <v>0</v>
      </c>
      <c r="BHZ31" s="30" t="str">
        <f>'REG y VAL POE - AESR - ESR'!B2154</f>
        <v xml:space="preserve">Perez Garcia Claudia Gabriela </v>
      </c>
      <c r="BIA31" s="28" t="str">
        <f>'REG y VAL POE - AESR - ESR'!C2154</f>
        <v>Sin Registro</v>
      </c>
      <c r="BIB31" s="29">
        <f>'REG y VAL POE - AESR - ESR'!D2154</f>
        <v>23189676</v>
      </c>
      <c r="BIC31" s="29">
        <f>'REG y VAL POE - AESR - ESR'!E2154</f>
        <v>0</v>
      </c>
      <c r="BID31" s="29">
        <f>'REG y VAL POE - AESR - ESR'!F2154</f>
        <v>0</v>
      </c>
      <c r="BIE31" s="28">
        <f>'REG y VAL POE - AESR - ESR'!G2154</f>
        <v>0</v>
      </c>
      <c r="BIF31" s="29">
        <f>'REG y VAL POE - AESR - ESR'!H2154</f>
        <v>0</v>
      </c>
      <c r="BIG31" s="29">
        <f>'REG y VAL POE - AESR - ESR'!I2154</f>
        <v>0</v>
      </c>
      <c r="BIH31" s="29">
        <f>'REG y VAL POE - AESR - ESR'!J2154</f>
        <v>0</v>
      </c>
      <c r="BII31" s="29">
        <f>'REG y VAL POE - AESR - ESR'!K2154</f>
        <v>0</v>
      </c>
      <c r="BIJ31" s="29">
        <f>'REG y VAL POE - AESR - ESR'!L2154</f>
        <v>0</v>
      </c>
      <c r="BIK31" s="28">
        <f>'REG y VAL POE - AESR - ESR'!M2154</f>
        <v>0</v>
      </c>
      <c r="BIL31" s="29">
        <f>'REG y VAL POE - AESR - ESR'!N2154</f>
        <v>0</v>
      </c>
      <c r="BIM31" s="29">
        <f>'REG y VAL POE - AESR - ESR'!O2154</f>
        <v>0</v>
      </c>
      <c r="BIN31" s="28">
        <f>'REG y VAL POE - AESR - ESR'!P2154</f>
        <v>0</v>
      </c>
      <c r="BIO31" s="29">
        <f>'REG y VAL POE - AESR - ESR'!Q2154</f>
        <v>0</v>
      </c>
      <c r="BIP31" s="30">
        <f>'REG y VAL POE - AESR - ESR'!R2154</f>
        <v>0</v>
      </c>
      <c r="BIQ31" s="28">
        <f>'REG y VAL POE - AESR - ESR'!S2154</f>
        <v>0</v>
      </c>
      <c r="BIR31" s="29">
        <f>'REG y VAL POE - AESR - ESR'!T2154</f>
        <v>0</v>
      </c>
      <c r="BIS31" s="29">
        <f>'REG y VAL POE - AESR - ESR'!U2154</f>
        <v>0</v>
      </c>
      <c r="BIT31" s="29">
        <f>'REG y VAL POE - AESR - ESR'!V2154</f>
        <v>0</v>
      </c>
      <c r="BIU31" s="28">
        <f>'REG y VAL POE - AESR - ESR'!W2154</f>
        <v>0</v>
      </c>
      <c r="BIV31" s="29">
        <f>'REG y VAL POE - AESR - ESR'!X2154</f>
        <v>0</v>
      </c>
      <c r="BIW31" s="29">
        <f>'REG y VAL POE - AESR - ESR'!Y2154</f>
        <v>0</v>
      </c>
      <c r="BIX31" s="28">
        <f>'REG y VAL POE - AESR - ESR'!Z2154</f>
        <v>0</v>
      </c>
      <c r="BIY31" s="29">
        <f>'REG y VAL POE - AESR - ESR'!AA2154</f>
        <v>0</v>
      </c>
      <c r="BIZ31" s="30">
        <f>'REG y VAL POE - AESR - ESR'!AB2154</f>
        <v>0</v>
      </c>
      <c r="BJA31" s="28">
        <f>'REG y VAL POE - AESR - ESR'!AC2154</f>
        <v>0</v>
      </c>
      <c r="BJB31" s="29">
        <f>'REG y VAL POE - AESR - ESR'!AD2154</f>
        <v>0</v>
      </c>
      <c r="BJC31" s="29">
        <f>'REG y VAL POE - AESR - ESR'!AE2154</f>
        <v>0</v>
      </c>
      <c r="BJD31" s="29">
        <f>'REG y VAL POE - AESR - ESR'!AF2154</f>
        <v>0</v>
      </c>
      <c r="BJE31" s="28">
        <f>'REG y VAL POE - AESR - ESR'!AG2154</f>
        <v>0</v>
      </c>
      <c r="BJF31" s="29">
        <f>'REG y VAL POE - AESR - ESR'!AH2154</f>
        <v>0</v>
      </c>
      <c r="BJG31" s="29">
        <f>'REG y VAL POE - AESR - ESR'!AI2154</f>
        <v>0</v>
      </c>
      <c r="BJH31" s="29">
        <f>'REG y VAL POE - AESR - ESR'!AJ2154</f>
        <v>0</v>
      </c>
      <c r="BJI31" s="29">
        <f>'REG y VAL POE - AESR - ESR'!AK2154</f>
        <v>0</v>
      </c>
      <c r="BJJ31" s="29">
        <f>'REG y VAL POE - AESR - ESR'!AL2154</f>
        <v>0</v>
      </c>
      <c r="BJK31" s="28">
        <f>'REG y VAL POE - AESR - ESR'!AM2154</f>
        <v>0</v>
      </c>
      <c r="BJL31" s="29">
        <f>'REG y VAL POE - AESR - ESR'!AN2154</f>
        <v>0</v>
      </c>
      <c r="BJM31" s="29">
        <f>'REG y VAL POE - AESR - ESR'!AO2154</f>
        <v>0</v>
      </c>
      <c r="BJN31" s="28">
        <f>'REG y VAL POE - AESR - ESR'!AP2154</f>
        <v>0</v>
      </c>
      <c r="BJO31" s="29">
        <f>'REG y VAL POE - AESR - ESR'!AQ2154</f>
        <v>0</v>
      </c>
      <c r="BJP31" s="30">
        <f>'REG y VAL POE - AESR - ESR'!AR2154</f>
        <v>0</v>
      </c>
      <c r="BJQ31" s="28">
        <f>'REG y VAL POE - AESR - ESR'!AS2154</f>
        <v>0</v>
      </c>
      <c r="BJR31" s="29" t="str">
        <f>'REG y VAL POE - AESR - ESR'!B2155</f>
        <v xml:space="preserve">Ramirez Garcia Joel </v>
      </c>
      <c r="BJS31" s="29" t="str">
        <f>'REG y VAL POE - AESR - ESR'!C2155</f>
        <v>Sin Registro</v>
      </c>
      <c r="BJT31" s="29">
        <f>'REG y VAL POE - AESR - ESR'!D2155</f>
        <v>23091072</v>
      </c>
      <c r="BJU31" s="28">
        <f>'REG y VAL POE - AESR - ESR'!E2155</f>
        <v>0</v>
      </c>
      <c r="BJV31" s="29">
        <f>'REG y VAL POE - AESR - ESR'!F2155</f>
        <v>0</v>
      </c>
      <c r="BJW31" s="29">
        <f>'REG y VAL POE - AESR - ESR'!G2155</f>
        <v>0</v>
      </c>
      <c r="BJX31" s="28">
        <f>'REG y VAL POE - AESR - ESR'!H2155</f>
        <v>0</v>
      </c>
      <c r="BJY31" s="29">
        <f>'REG y VAL POE - AESR - ESR'!I2155</f>
        <v>0</v>
      </c>
      <c r="BJZ31" s="30">
        <f>'REG y VAL POE - AESR - ESR'!J2155</f>
        <v>0</v>
      </c>
      <c r="BKA31" s="28">
        <f>'REG y VAL POE - AESR - ESR'!K2155</f>
        <v>0</v>
      </c>
      <c r="BKB31" s="29">
        <f>'REG y VAL POE - AESR - ESR'!L2155</f>
        <v>0</v>
      </c>
      <c r="BKC31" s="29">
        <f>'REG y VAL POE - AESR - ESR'!M2155</f>
        <v>0</v>
      </c>
      <c r="BKD31" s="29">
        <f>'REG y VAL POE - AESR - ESR'!N2155</f>
        <v>0</v>
      </c>
      <c r="BKE31" s="28">
        <f>'REG y VAL POE - AESR - ESR'!O2155</f>
        <v>0</v>
      </c>
      <c r="BKF31" s="29">
        <f>'REG y VAL POE - AESR - ESR'!P2155</f>
        <v>0</v>
      </c>
      <c r="BKG31" s="29">
        <f>'REG y VAL POE - AESR - ESR'!Q2155</f>
        <v>0</v>
      </c>
      <c r="BKH31" s="29">
        <f>'REG y VAL POE - AESR - ESR'!R2155</f>
        <v>0</v>
      </c>
      <c r="BKI31" s="29">
        <f>'REG y VAL POE - AESR - ESR'!S2155</f>
        <v>0</v>
      </c>
      <c r="BKJ31" s="29">
        <f>'REG y VAL POE - AESR - ESR'!T2155</f>
        <v>0</v>
      </c>
      <c r="BKK31" s="28">
        <f>'REG y VAL POE - AESR - ESR'!U2155</f>
        <v>0</v>
      </c>
      <c r="BKL31" s="29">
        <f>'REG y VAL POE - AESR - ESR'!V2155</f>
        <v>0</v>
      </c>
      <c r="BKM31" s="29">
        <f>'REG y VAL POE - AESR - ESR'!W2155</f>
        <v>0</v>
      </c>
      <c r="BKN31" s="28">
        <f>'REG y VAL POE - AESR - ESR'!X2155</f>
        <v>0</v>
      </c>
      <c r="BKO31" s="29">
        <f>'REG y VAL POE - AESR - ESR'!Y2155</f>
        <v>0</v>
      </c>
      <c r="BKP31" s="30">
        <f>'REG y VAL POE - AESR - ESR'!Z2155</f>
        <v>0</v>
      </c>
      <c r="BKQ31" s="28">
        <f>'REG y VAL POE - AESR - ESR'!AA2155</f>
        <v>0</v>
      </c>
      <c r="BKR31" s="29">
        <f>'REG y VAL POE - AESR - ESR'!AB2155</f>
        <v>0</v>
      </c>
      <c r="BKS31" s="29">
        <f>'REG y VAL POE - AESR - ESR'!AC2155</f>
        <v>0</v>
      </c>
      <c r="BKT31" s="29">
        <f>'REG y VAL POE - AESR - ESR'!AD2155</f>
        <v>0</v>
      </c>
      <c r="BKU31" s="28">
        <f>'REG y VAL POE - AESR - ESR'!AE2155</f>
        <v>0</v>
      </c>
      <c r="BKV31" s="29">
        <f>'REG y VAL POE - AESR - ESR'!AF2155</f>
        <v>0</v>
      </c>
      <c r="BKW31" s="29">
        <f>'REG y VAL POE - AESR - ESR'!AG2155</f>
        <v>0</v>
      </c>
      <c r="BKX31" s="28">
        <f>'REG y VAL POE - AESR - ESR'!AH2155</f>
        <v>0</v>
      </c>
      <c r="BKY31" s="29">
        <f>'REG y VAL POE - AESR - ESR'!AI2155</f>
        <v>0</v>
      </c>
      <c r="BKZ31" s="30">
        <f>'REG y VAL POE - AESR - ESR'!AJ2155</f>
        <v>0</v>
      </c>
      <c r="BLA31" s="28">
        <f>'REG y VAL POE - AESR - ESR'!AK2155</f>
        <v>0</v>
      </c>
      <c r="BLB31" s="29">
        <f>'REG y VAL POE - AESR - ESR'!AL2155</f>
        <v>0</v>
      </c>
      <c r="BLC31" s="29">
        <f>'REG y VAL POE - AESR - ESR'!AM2155</f>
        <v>0</v>
      </c>
      <c r="BLD31" s="29">
        <f>'REG y VAL POE - AESR - ESR'!AN2155</f>
        <v>0</v>
      </c>
      <c r="BLE31" s="28">
        <f>'REG y VAL POE - AESR - ESR'!AO2155</f>
        <v>0</v>
      </c>
      <c r="BLF31" s="29">
        <f>'REG y VAL POE - AESR - ESR'!AP2155</f>
        <v>0</v>
      </c>
      <c r="BLG31" s="29">
        <f>'REG y VAL POE - AESR - ESR'!AQ2155</f>
        <v>0</v>
      </c>
      <c r="BLH31" s="29">
        <f>'REG y VAL POE - AESR - ESR'!AR2155</f>
        <v>0</v>
      </c>
      <c r="BLI31" s="29">
        <f>'REG y VAL POE - AESR - ESR'!AS2155</f>
        <v>0</v>
      </c>
      <c r="BLJ31" s="29" t="str">
        <f>'REG y VAL POE - AESR - ESR'!B2156</f>
        <v xml:space="preserve">Rodriguez Diaz Maria Aline </v>
      </c>
      <c r="BLK31" s="28" t="str">
        <f>'REG y VAL POE - AESR - ESR'!C2156</f>
        <v>Sin Registro</v>
      </c>
      <c r="BLL31" s="29">
        <f>'REG y VAL POE - AESR - ESR'!D2156</f>
        <v>23086890</v>
      </c>
      <c r="BLM31" s="29">
        <f>'REG y VAL POE - AESR - ESR'!E2156</f>
        <v>0</v>
      </c>
      <c r="BLN31" s="28">
        <f>'REG y VAL POE - AESR - ESR'!F2156</f>
        <v>0</v>
      </c>
      <c r="BLO31" s="29">
        <f>'REG y VAL POE - AESR - ESR'!G2156</f>
        <v>0</v>
      </c>
      <c r="BLP31" s="30">
        <f>'REG y VAL POE - AESR - ESR'!H2156</f>
        <v>0</v>
      </c>
      <c r="BLQ31" s="28">
        <f>'REG y VAL POE - AESR - ESR'!I2156</f>
        <v>0</v>
      </c>
      <c r="BLR31" s="29">
        <f>'REG y VAL POE - AESR - ESR'!J2156</f>
        <v>0</v>
      </c>
      <c r="BLS31" s="29">
        <f>'REG y VAL POE - AESR - ESR'!K2156</f>
        <v>0</v>
      </c>
      <c r="BLT31" s="29">
        <f>'REG y VAL POE - AESR - ESR'!L2156</f>
        <v>0</v>
      </c>
      <c r="BLU31" s="28">
        <f>'REG y VAL POE - AESR - ESR'!M2156</f>
        <v>0</v>
      </c>
      <c r="BLV31" s="29">
        <f>'REG y VAL POE - AESR - ESR'!N2156</f>
        <v>0</v>
      </c>
      <c r="BLW31" s="29">
        <f>'REG y VAL POE - AESR - ESR'!O2156</f>
        <v>0</v>
      </c>
      <c r="BLX31" s="28">
        <f>'REG y VAL POE - AESR - ESR'!P2156</f>
        <v>0</v>
      </c>
      <c r="BLY31" s="29">
        <f>'REG y VAL POE - AESR - ESR'!Q2156</f>
        <v>0</v>
      </c>
      <c r="BLZ31" s="30">
        <f>'REG y VAL POE - AESR - ESR'!R2156</f>
        <v>0</v>
      </c>
      <c r="BMA31" s="28">
        <f>'REG y VAL POE - AESR - ESR'!S2156</f>
        <v>0</v>
      </c>
      <c r="BMB31" s="29">
        <f>'REG y VAL POE - AESR - ESR'!T2156</f>
        <v>0</v>
      </c>
      <c r="BMC31" s="29">
        <f>'REG y VAL POE - AESR - ESR'!U2156</f>
        <v>0</v>
      </c>
      <c r="BMD31" s="29">
        <f>'REG y VAL POE - AESR - ESR'!V2156</f>
        <v>0</v>
      </c>
      <c r="BME31" s="28">
        <f>'REG y VAL POE - AESR - ESR'!W2156</f>
        <v>0</v>
      </c>
      <c r="BMF31" s="29">
        <f>'REG y VAL POE - AESR - ESR'!X2156</f>
        <v>0</v>
      </c>
      <c r="BMG31" s="29">
        <f>'REG y VAL POE - AESR - ESR'!Y2156</f>
        <v>0</v>
      </c>
      <c r="BMH31" s="29">
        <f>'REG y VAL POE - AESR - ESR'!Z2156</f>
        <v>0</v>
      </c>
      <c r="BMI31" s="29">
        <f>'REG y VAL POE - AESR - ESR'!AA2156</f>
        <v>0</v>
      </c>
      <c r="BMJ31" s="29">
        <f>'REG y VAL POE - AESR - ESR'!AB2156</f>
        <v>0</v>
      </c>
      <c r="BMK31" s="28">
        <f>'REG y VAL POE - AESR - ESR'!AC2156</f>
        <v>0</v>
      </c>
      <c r="BML31" s="29">
        <f>'REG y VAL POE - AESR - ESR'!AD2156</f>
        <v>0</v>
      </c>
      <c r="BMM31" s="29">
        <f>'REG y VAL POE - AESR - ESR'!AE2156</f>
        <v>0</v>
      </c>
      <c r="BMN31" s="28">
        <f>'REG y VAL POE - AESR - ESR'!AF2156</f>
        <v>0</v>
      </c>
      <c r="BMO31" s="29">
        <f>'REG y VAL POE - AESR - ESR'!AG2156</f>
        <v>0</v>
      </c>
      <c r="BMP31" s="30">
        <f>'REG y VAL POE - AESR - ESR'!AH2156</f>
        <v>0</v>
      </c>
      <c r="BMQ31" s="28">
        <f>'REG y VAL POE - AESR - ESR'!AI2156</f>
        <v>0</v>
      </c>
      <c r="BMR31" s="29">
        <f>'REG y VAL POE - AESR - ESR'!AJ2156</f>
        <v>0</v>
      </c>
      <c r="BMS31" s="29">
        <f>'REG y VAL POE - AESR - ESR'!AK2156</f>
        <v>0</v>
      </c>
      <c r="BMT31" s="29">
        <f>'REG y VAL POE - AESR - ESR'!AL2156</f>
        <v>0</v>
      </c>
      <c r="BMU31" s="28">
        <f>'REG y VAL POE - AESR - ESR'!AM2156</f>
        <v>0</v>
      </c>
      <c r="BMV31" s="29">
        <f>'REG y VAL POE - AESR - ESR'!AN2156</f>
        <v>0</v>
      </c>
      <c r="BMW31" s="29">
        <f>'REG y VAL POE - AESR - ESR'!AO2156</f>
        <v>0</v>
      </c>
      <c r="BMX31" s="28">
        <f>'REG y VAL POE - AESR - ESR'!AP2156</f>
        <v>0</v>
      </c>
      <c r="BMY31" s="29">
        <f>'REG y VAL POE - AESR - ESR'!AQ2156</f>
        <v>0</v>
      </c>
      <c r="BMZ31" s="30">
        <f>'REG y VAL POE - AESR - ESR'!AR2156</f>
        <v>0</v>
      </c>
      <c r="BNA31" s="28">
        <f>'REG y VAL POE - AESR - ESR'!AS2156</f>
        <v>0</v>
      </c>
      <c r="BNB31" s="29" t="str">
        <f>'REG y VAL POE - AESR - ESR'!B2157</f>
        <v xml:space="preserve">Rojas Peralta Fernando </v>
      </c>
      <c r="BNC31" s="29" t="str">
        <f>'REG y VAL POE - AESR - ESR'!C2157</f>
        <v>Sin Registro</v>
      </c>
      <c r="BND31" s="29">
        <f>'REG y VAL POE - AESR - ESR'!D2157</f>
        <v>23086887</v>
      </c>
      <c r="BNE31" s="28">
        <f>'REG y VAL POE - AESR - ESR'!E2157</f>
        <v>0</v>
      </c>
      <c r="BNF31" s="29">
        <f>'REG y VAL POE - AESR - ESR'!F2157</f>
        <v>0</v>
      </c>
      <c r="BNG31" s="29">
        <f>'REG y VAL POE - AESR - ESR'!G2157</f>
        <v>0</v>
      </c>
      <c r="BNH31" s="29">
        <f>'REG y VAL POE - AESR - ESR'!H2157</f>
        <v>0</v>
      </c>
      <c r="BNI31" s="29">
        <f>'REG y VAL POE - AESR - ESR'!I2157</f>
        <v>0</v>
      </c>
      <c r="BNJ31" s="29">
        <f>'REG y VAL POE - AESR - ESR'!J2157</f>
        <v>0</v>
      </c>
      <c r="BNK31" s="28">
        <f>'REG y VAL POE - AESR - ESR'!K2157</f>
        <v>0</v>
      </c>
      <c r="BNL31" s="29">
        <f>'REG y VAL POE - AESR - ESR'!L2157</f>
        <v>0</v>
      </c>
      <c r="BNM31" s="29">
        <f>'REG y VAL POE - AESR - ESR'!M2157</f>
        <v>0</v>
      </c>
      <c r="BNN31" s="28">
        <f>'REG y VAL POE - AESR - ESR'!N2157</f>
        <v>0</v>
      </c>
      <c r="BNO31" s="29">
        <f>'REG y VAL POE - AESR - ESR'!O2157</f>
        <v>0</v>
      </c>
      <c r="BNP31" s="30">
        <f>'REG y VAL POE - AESR - ESR'!P2157</f>
        <v>0</v>
      </c>
      <c r="BNQ31" s="28">
        <f>'REG y VAL POE - AESR - ESR'!Q2157</f>
        <v>0</v>
      </c>
      <c r="BNR31" s="29">
        <f>'REG y VAL POE - AESR - ESR'!R2157</f>
        <v>0</v>
      </c>
      <c r="BNS31" s="29">
        <f>'REG y VAL POE - AESR - ESR'!S2157</f>
        <v>0</v>
      </c>
      <c r="BNT31" s="29">
        <f>'REG y VAL POE - AESR - ESR'!T2157</f>
        <v>0</v>
      </c>
      <c r="BNU31" s="28">
        <f>'REG y VAL POE - AESR - ESR'!U2157</f>
        <v>0</v>
      </c>
      <c r="BNV31" s="29">
        <f>'REG y VAL POE - AESR - ESR'!V2157</f>
        <v>0</v>
      </c>
      <c r="BNW31" s="29">
        <f>'REG y VAL POE - AESR - ESR'!W2157</f>
        <v>0</v>
      </c>
      <c r="BNX31" s="28">
        <f>'REG y VAL POE - AESR - ESR'!X2157</f>
        <v>0</v>
      </c>
      <c r="BNY31" s="29">
        <f>'REG y VAL POE - AESR - ESR'!Y2157</f>
        <v>0</v>
      </c>
      <c r="BNZ31" s="30">
        <f>'REG y VAL POE - AESR - ESR'!Z2157</f>
        <v>0</v>
      </c>
      <c r="BOA31" s="28">
        <f>'REG y VAL POE - AESR - ESR'!AA2157</f>
        <v>0</v>
      </c>
      <c r="BOB31" s="29">
        <f>'REG y VAL POE - AESR - ESR'!AB2157</f>
        <v>0</v>
      </c>
      <c r="BOC31" s="29">
        <f>'REG y VAL POE - AESR - ESR'!AC2157</f>
        <v>0</v>
      </c>
      <c r="BOD31" s="29">
        <f>'REG y VAL POE - AESR - ESR'!AD2157</f>
        <v>0</v>
      </c>
      <c r="BOE31" s="28">
        <f>'REG y VAL POE - AESR - ESR'!AE2157</f>
        <v>0</v>
      </c>
      <c r="BOF31" s="29">
        <f>'REG y VAL POE - AESR - ESR'!AF2157</f>
        <v>0</v>
      </c>
      <c r="BOG31" s="29">
        <f>'REG y VAL POE - AESR - ESR'!AG2157</f>
        <v>0</v>
      </c>
      <c r="BOH31" s="29">
        <f>'REG y VAL POE - AESR - ESR'!AH2157</f>
        <v>0</v>
      </c>
      <c r="BOI31" s="29">
        <f>'REG y VAL POE - AESR - ESR'!AI2157</f>
        <v>0</v>
      </c>
      <c r="BOJ31" s="29">
        <f>'REG y VAL POE - AESR - ESR'!AJ2157</f>
        <v>0</v>
      </c>
      <c r="BOK31" s="28">
        <f>'REG y VAL POE - AESR - ESR'!AK2157</f>
        <v>0</v>
      </c>
      <c r="BOL31" s="29">
        <f>'REG y VAL POE - AESR - ESR'!AL2157</f>
        <v>0</v>
      </c>
      <c r="BOM31" s="29">
        <f>'REG y VAL POE - AESR - ESR'!AM2157</f>
        <v>0</v>
      </c>
      <c r="BON31" s="28">
        <f>'REG y VAL POE - AESR - ESR'!AN2157</f>
        <v>0</v>
      </c>
      <c r="BOO31" s="29">
        <f>'REG y VAL POE - AESR - ESR'!AO2157</f>
        <v>0</v>
      </c>
      <c r="BOP31" s="30">
        <f>'REG y VAL POE - AESR - ESR'!AP2157</f>
        <v>0</v>
      </c>
      <c r="BOQ31" s="28">
        <f>'REG y VAL POE - AESR - ESR'!AQ2157</f>
        <v>0</v>
      </c>
      <c r="BOR31" s="29">
        <f>'REG y VAL POE - AESR - ESR'!AR2157</f>
        <v>0</v>
      </c>
      <c r="BOS31" s="29">
        <f>'REG y VAL POE - AESR - ESR'!AS2157</f>
        <v>0</v>
      </c>
      <c r="BOT31" s="29" t="str">
        <f>'REG y VAL POE - AESR - ESR'!B2158</f>
        <v xml:space="preserve">Sanchez Godines Adan </v>
      </c>
      <c r="BOU31" s="28" t="str">
        <f>'REG y VAL POE - AESR - ESR'!C2158</f>
        <v>Sin Registro</v>
      </c>
      <c r="BOV31" s="29">
        <f>'REG y VAL POE - AESR - ESR'!D2158</f>
        <v>23096026</v>
      </c>
      <c r="BOW31" s="29">
        <f>'REG y VAL POE - AESR - ESR'!E2158</f>
        <v>0</v>
      </c>
      <c r="BOX31" s="28">
        <f>'REG y VAL POE - AESR - ESR'!F2158</f>
        <v>0</v>
      </c>
      <c r="BOY31" s="29">
        <f>'REG y VAL POE - AESR - ESR'!G2158</f>
        <v>0</v>
      </c>
      <c r="BOZ31" s="30">
        <f>'REG y VAL POE - AESR - ESR'!H2158</f>
        <v>0</v>
      </c>
      <c r="BPA31" s="28">
        <f>'REG y VAL POE - AESR - ESR'!I2158</f>
        <v>0</v>
      </c>
      <c r="BPB31" s="29">
        <f>'REG y VAL POE - AESR - ESR'!J2158</f>
        <v>0</v>
      </c>
      <c r="BPC31" s="29">
        <f>'REG y VAL POE - AESR - ESR'!K2158</f>
        <v>0</v>
      </c>
      <c r="BPD31" s="29">
        <f>'REG y VAL POE - AESR - ESR'!L2158</f>
        <v>0</v>
      </c>
      <c r="BPE31" s="28">
        <f>'REG y VAL POE - AESR - ESR'!M2158</f>
        <v>0</v>
      </c>
      <c r="BPF31" s="29">
        <f>'REG y VAL POE - AESR - ESR'!N2158</f>
        <v>0</v>
      </c>
      <c r="BPG31" s="29">
        <f>'REG y VAL POE - AESR - ESR'!O2158</f>
        <v>0</v>
      </c>
      <c r="BPH31" s="29">
        <f>'REG y VAL POE - AESR - ESR'!P2158</f>
        <v>0</v>
      </c>
      <c r="BPI31" s="29">
        <f>'REG y VAL POE - AESR - ESR'!Q2158</f>
        <v>0</v>
      </c>
      <c r="BPJ31" s="29">
        <f>'REG y VAL POE - AESR - ESR'!R2158</f>
        <v>0</v>
      </c>
      <c r="BPK31" s="28">
        <f>'REG y VAL POE - AESR - ESR'!S2158</f>
        <v>0</v>
      </c>
      <c r="BPL31" s="29">
        <f>'REG y VAL POE - AESR - ESR'!T2158</f>
        <v>0</v>
      </c>
      <c r="BPM31" s="29">
        <f>'REG y VAL POE - AESR - ESR'!U2158</f>
        <v>0</v>
      </c>
      <c r="BPN31" s="28">
        <f>'REG y VAL POE - AESR - ESR'!V2158</f>
        <v>0</v>
      </c>
      <c r="BPO31" s="29">
        <f>'REG y VAL POE - AESR - ESR'!W2158</f>
        <v>0</v>
      </c>
      <c r="BPP31" s="30">
        <f>'REG y VAL POE - AESR - ESR'!X2158</f>
        <v>0</v>
      </c>
      <c r="BPQ31" s="28">
        <f>'REG y VAL POE - AESR - ESR'!Y2158</f>
        <v>0</v>
      </c>
      <c r="BPR31" s="29">
        <f>'REG y VAL POE - AESR - ESR'!Z2158</f>
        <v>0</v>
      </c>
      <c r="BPS31" s="29">
        <f>'REG y VAL POE - AESR - ESR'!AA2158</f>
        <v>0</v>
      </c>
      <c r="BPT31" s="29">
        <f>'REG y VAL POE - AESR - ESR'!AB2158</f>
        <v>0</v>
      </c>
      <c r="BPU31" s="28">
        <f>'REG y VAL POE - AESR - ESR'!AC2158</f>
        <v>0</v>
      </c>
      <c r="BPV31" s="29">
        <f>'REG y VAL POE - AESR - ESR'!AD2158</f>
        <v>0</v>
      </c>
      <c r="BPW31" s="29">
        <f>'REG y VAL POE - AESR - ESR'!AE2158</f>
        <v>0</v>
      </c>
      <c r="BPX31" s="28">
        <f>'REG y VAL POE - AESR - ESR'!AF2158</f>
        <v>0</v>
      </c>
      <c r="BPY31" s="29">
        <f>'REG y VAL POE - AESR - ESR'!AG2158</f>
        <v>0</v>
      </c>
      <c r="BPZ31" s="30">
        <f>'REG y VAL POE - AESR - ESR'!AH2158</f>
        <v>0</v>
      </c>
      <c r="BQA31" s="28">
        <f>'REG y VAL POE - AESR - ESR'!AI2158</f>
        <v>0</v>
      </c>
      <c r="BQB31" s="29">
        <f>'REG y VAL POE - AESR - ESR'!AJ2158</f>
        <v>0</v>
      </c>
      <c r="BQC31" s="29">
        <f>'REG y VAL POE - AESR - ESR'!AK2158</f>
        <v>0</v>
      </c>
      <c r="BQD31" s="29">
        <f>'REG y VAL POE - AESR - ESR'!AL2158</f>
        <v>0</v>
      </c>
      <c r="BQE31" s="28">
        <f>'REG y VAL POE - AESR - ESR'!AM2158</f>
        <v>0</v>
      </c>
      <c r="BQF31" s="29">
        <f>'REG y VAL POE - AESR - ESR'!AN2158</f>
        <v>0</v>
      </c>
      <c r="BQG31" s="29">
        <f>'REG y VAL POE - AESR - ESR'!AO2158</f>
        <v>0</v>
      </c>
      <c r="BQH31" s="29">
        <f>'REG y VAL POE - AESR - ESR'!AP2158</f>
        <v>0</v>
      </c>
      <c r="BQI31" s="29">
        <f>'REG y VAL POE - AESR - ESR'!AQ2158</f>
        <v>0</v>
      </c>
      <c r="BQJ31" s="29">
        <f>'REG y VAL POE - AESR - ESR'!AR2158</f>
        <v>0</v>
      </c>
      <c r="BQK31" s="28">
        <f>'REG y VAL POE - AESR - ESR'!AS2158</f>
        <v>0</v>
      </c>
      <c r="BQL31" s="29" t="str">
        <f>'REG y VAL POE - AESR - ESR'!B2159</f>
        <v xml:space="preserve">Santiago Torres Jose Adrian </v>
      </c>
      <c r="BQM31" s="29" t="str">
        <f>'REG y VAL POE - AESR - ESR'!C2159</f>
        <v>Sin Registro</v>
      </c>
      <c r="BQN31" s="28">
        <f>'REG y VAL POE - AESR - ESR'!D2159</f>
        <v>23207721</v>
      </c>
      <c r="BQO31" s="29">
        <f>'REG y VAL POE - AESR - ESR'!E2159</f>
        <v>0</v>
      </c>
      <c r="BQP31" s="30">
        <f>'REG y VAL POE - AESR - ESR'!F2159</f>
        <v>0</v>
      </c>
      <c r="BQQ31" s="28">
        <f>'REG y VAL POE - AESR - ESR'!G2159</f>
        <v>0</v>
      </c>
      <c r="BQR31" s="29">
        <f>'REG y VAL POE - AESR - ESR'!H2159</f>
        <v>0</v>
      </c>
      <c r="BQS31" s="29">
        <f>'REG y VAL POE - AESR - ESR'!I2159</f>
        <v>0</v>
      </c>
      <c r="BQT31" s="29">
        <f>'REG y VAL POE - AESR - ESR'!J2159</f>
        <v>0</v>
      </c>
      <c r="BQU31" s="28">
        <f>'REG y VAL POE - AESR - ESR'!K2159</f>
        <v>0</v>
      </c>
      <c r="BQV31" s="29">
        <f>'REG y VAL POE - AESR - ESR'!L2159</f>
        <v>0</v>
      </c>
      <c r="BQW31" s="29">
        <f>'REG y VAL POE - AESR - ESR'!M2159</f>
        <v>0</v>
      </c>
      <c r="BQX31" s="28">
        <f>'REG y VAL POE - AESR - ESR'!N2159</f>
        <v>0</v>
      </c>
      <c r="BQY31" s="29">
        <f>'REG y VAL POE - AESR - ESR'!O2159</f>
        <v>0</v>
      </c>
      <c r="BQZ31" s="30">
        <f>'REG y VAL POE - AESR - ESR'!P2159</f>
        <v>0</v>
      </c>
      <c r="BRA31" s="28">
        <f>'REG y VAL POE - AESR - ESR'!Q2159</f>
        <v>0</v>
      </c>
      <c r="BRB31" s="29">
        <f>'REG y VAL POE - AESR - ESR'!R2159</f>
        <v>0</v>
      </c>
      <c r="BRC31" s="29">
        <f>'REG y VAL POE - AESR - ESR'!S2159</f>
        <v>0</v>
      </c>
      <c r="BRD31" s="29">
        <f>'REG y VAL POE - AESR - ESR'!T2159</f>
        <v>0</v>
      </c>
      <c r="BRE31" s="28">
        <f>'REG y VAL POE - AESR - ESR'!U2159</f>
        <v>0</v>
      </c>
      <c r="BRF31" s="29">
        <f>'REG y VAL POE - AESR - ESR'!V2159</f>
        <v>0</v>
      </c>
      <c r="BRG31" s="29">
        <f>'REG y VAL POE - AESR - ESR'!W2159</f>
        <v>0</v>
      </c>
      <c r="BRH31" s="29">
        <f>'REG y VAL POE - AESR - ESR'!X2159</f>
        <v>0</v>
      </c>
      <c r="BRI31" s="29">
        <f>'REG y VAL POE - AESR - ESR'!Y2159</f>
        <v>0</v>
      </c>
      <c r="BRJ31" s="29">
        <f>'REG y VAL POE - AESR - ESR'!Z2159</f>
        <v>0</v>
      </c>
      <c r="BRK31" s="28">
        <f>'REG y VAL POE - AESR - ESR'!AA2159</f>
        <v>0</v>
      </c>
      <c r="BRL31" s="29">
        <f>'REG y VAL POE - AESR - ESR'!AB2159</f>
        <v>0</v>
      </c>
      <c r="BRM31" s="29">
        <f>'REG y VAL POE - AESR - ESR'!AC2159</f>
        <v>0</v>
      </c>
      <c r="BRN31" s="28">
        <f>'REG y VAL POE - AESR - ESR'!AD2159</f>
        <v>0</v>
      </c>
      <c r="BRO31" s="29">
        <f>'REG y VAL POE - AESR - ESR'!AE2159</f>
        <v>0</v>
      </c>
      <c r="BRP31" s="30">
        <f>'REG y VAL POE - AESR - ESR'!AF2159</f>
        <v>0</v>
      </c>
      <c r="BRQ31" s="28">
        <f>'REG y VAL POE - AESR - ESR'!AG2159</f>
        <v>0</v>
      </c>
      <c r="BRR31" s="29">
        <f>'REG y VAL POE - AESR - ESR'!AH2159</f>
        <v>0</v>
      </c>
      <c r="BRS31" s="29">
        <f>'REG y VAL POE - AESR - ESR'!AI2159</f>
        <v>0</v>
      </c>
      <c r="BRT31" s="29">
        <f>'REG y VAL POE - AESR - ESR'!AJ2159</f>
        <v>0</v>
      </c>
      <c r="BRU31" s="28">
        <f>'REG y VAL POE - AESR - ESR'!AK2159</f>
        <v>0</v>
      </c>
      <c r="BRV31" s="29">
        <f>'REG y VAL POE - AESR - ESR'!AL2159</f>
        <v>0</v>
      </c>
      <c r="BRW31" s="29">
        <f>'REG y VAL POE - AESR - ESR'!AM2159</f>
        <v>0</v>
      </c>
      <c r="BRX31" s="28">
        <f>'REG y VAL POE - AESR - ESR'!AN2159</f>
        <v>0</v>
      </c>
      <c r="BRY31" s="29">
        <f>'REG y VAL POE - AESR - ESR'!AO2159</f>
        <v>0</v>
      </c>
      <c r="BRZ31" s="30">
        <f>'REG y VAL POE - AESR - ESR'!AP2159</f>
        <v>0</v>
      </c>
      <c r="BSA31" s="28">
        <f>'REG y VAL POE - AESR - ESR'!AQ2159</f>
        <v>0</v>
      </c>
      <c r="BSB31" s="29">
        <f>'REG y VAL POE - AESR - ESR'!AR2159</f>
        <v>0</v>
      </c>
      <c r="BSC31" s="29">
        <f>'REG y VAL POE - AESR - ESR'!AS2159</f>
        <v>0</v>
      </c>
      <c r="BSD31" s="29" t="str">
        <f>'REG y VAL POE - AESR - ESR'!B2160</f>
        <v xml:space="preserve">Tehuitzin Visca Adolfo Uriel </v>
      </c>
      <c r="BSE31" s="28" t="str">
        <f>'REG y VAL POE - AESR - ESR'!C2160</f>
        <v>Sin Registro</v>
      </c>
      <c r="BSF31" s="29">
        <f>'REG y VAL POE - AESR - ESR'!D2160</f>
        <v>23096016</v>
      </c>
      <c r="BSG31" s="29">
        <f>'REG y VAL POE - AESR - ESR'!E2160</f>
        <v>0</v>
      </c>
      <c r="BSH31" s="29">
        <f>'REG y VAL POE - AESR - ESR'!F2160</f>
        <v>0</v>
      </c>
      <c r="BSI31" s="29">
        <f>'REG y VAL POE - AESR - ESR'!G2160</f>
        <v>0</v>
      </c>
      <c r="BSJ31" s="29">
        <f>'REG y VAL POE - AESR - ESR'!H2160</f>
        <v>0</v>
      </c>
      <c r="BSK31" s="28">
        <f>'REG y VAL POE - AESR - ESR'!I2160</f>
        <v>0</v>
      </c>
      <c r="BSL31" s="29">
        <f>'REG y VAL POE - AESR - ESR'!J2160</f>
        <v>0</v>
      </c>
      <c r="BSM31" s="29">
        <f>'REG y VAL POE - AESR - ESR'!K2160</f>
        <v>0</v>
      </c>
      <c r="BSN31" s="28">
        <f>'REG y VAL POE - AESR - ESR'!L2160</f>
        <v>0</v>
      </c>
      <c r="BSO31" s="29">
        <f>'REG y VAL POE - AESR - ESR'!M2160</f>
        <v>0</v>
      </c>
      <c r="BSP31" s="30">
        <f>'REG y VAL POE - AESR - ESR'!N2160</f>
        <v>0</v>
      </c>
      <c r="BSQ31" s="28">
        <f>'REG y VAL POE - AESR - ESR'!O2160</f>
        <v>0</v>
      </c>
      <c r="BSR31" s="29">
        <f>'REG y VAL POE - AESR - ESR'!P2160</f>
        <v>0</v>
      </c>
      <c r="BSS31" s="29">
        <f>'REG y VAL POE - AESR - ESR'!Q2160</f>
        <v>0</v>
      </c>
      <c r="BST31" s="29">
        <f>'REG y VAL POE - AESR - ESR'!R2160</f>
        <v>0</v>
      </c>
      <c r="BSU31" s="28">
        <f>'REG y VAL POE - AESR - ESR'!S2160</f>
        <v>0</v>
      </c>
      <c r="BSV31" s="29">
        <f>'REG y VAL POE - AESR - ESR'!T2160</f>
        <v>0</v>
      </c>
      <c r="BSW31" s="29">
        <f>'REG y VAL POE - AESR - ESR'!U2160</f>
        <v>0</v>
      </c>
      <c r="BSX31" s="28">
        <f>'REG y VAL POE - AESR - ESR'!V2160</f>
        <v>0</v>
      </c>
      <c r="BSY31" s="29">
        <f>'REG y VAL POE - AESR - ESR'!W2160</f>
        <v>0</v>
      </c>
      <c r="BSZ31" s="30">
        <f>'REG y VAL POE - AESR - ESR'!X2160</f>
        <v>0</v>
      </c>
      <c r="BTA31" s="28">
        <f>'REG y VAL POE - AESR - ESR'!Y2160</f>
        <v>0</v>
      </c>
      <c r="BTB31" s="29">
        <f>'REG y VAL POE - AESR - ESR'!Z2160</f>
        <v>0</v>
      </c>
      <c r="BTC31" s="29">
        <f>'REG y VAL POE - AESR - ESR'!AA2160</f>
        <v>0</v>
      </c>
      <c r="BTD31" s="29">
        <f>'REG y VAL POE - AESR - ESR'!AB2160</f>
        <v>0</v>
      </c>
      <c r="BTE31" s="28">
        <f>'REG y VAL POE - AESR - ESR'!AC2160</f>
        <v>0</v>
      </c>
      <c r="BTF31" s="29">
        <f>'REG y VAL POE - AESR - ESR'!AD2160</f>
        <v>0</v>
      </c>
      <c r="BTG31" s="29">
        <f>'REG y VAL POE - AESR - ESR'!AE2160</f>
        <v>0</v>
      </c>
      <c r="BTH31" s="29">
        <f>'REG y VAL POE - AESR - ESR'!AF2160</f>
        <v>0</v>
      </c>
      <c r="BTI31" s="29">
        <f>'REG y VAL POE - AESR - ESR'!AG2160</f>
        <v>0</v>
      </c>
      <c r="BTJ31" s="29">
        <f>'REG y VAL POE - AESR - ESR'!AH2160</f>
        <v>0</v>
      </c>
      <c r="BTK31" s="28">
        <f>'REG y VAL POE - AESR - ESR'!AI2160</f>
        <v>0</v>
      </c>
      <c r="BTL31" s="29">
        <f>'REG y VAL POE - AESR - ESR'!AJ2160</f>
        <v>0</v>
      </c>
      <c r="BTM31" s="29">
        <f>'REG y VAL POE - AESR - ESR'!AK2160</f>
        <v>0</v>
      </c>
      <c r="BTN31" s="28">
        <f>'REG y VAL POE - AESR - ESR'!AL2160</f>
        <v>0</v>
      </c>
      <c r="BTO31" s="29">
        <f>'REG y VAL POE - AESR - ESR'!AM2160</f>
        <v>0</v>
      </c>
      <c r="BTP31" s="30">
        <f>'REG y VAL POE - AESR - ESR'!AN2160</f>
        <v>0</v>
      </c>
      <c r="BTQ31" s="28">
        <f>'REG y VAL POE - AESR - ESR'!AO2160</f>
        <v>0</v>
      </c>
      <c r="BTR31" s="29">
        <f>'REG y VAL POE - AESR - ESR'!AP2160</f>
        <v>0</v>
      </c>
      <c r="BTS31" s="29">
        <f>'REG y VAL POE - AESR - ESR'!AQ2160</f>
        <v>0</v>
      </c>
      <c r="BTT31" s="29">
        <f>'REG y VAL POE - AESR - ESR'!AR2160</f>
        <v>0</v>
      </c>
      <c r="BTU31" s="28">
        <f>'REG y VAL POE - AESR - ESR'!AS2160</f>
        <v>0</v>
      </c>
      <c r="BTV31" s="29" t="str">
        <f>'REG y VAL POE - AESR - ESR'!B2161</f>
        <v xml:space="preserve">Torres Garcia Daniela Monserratt </v>
      </c>
      <c r="BTW31" s="29" t="str">
        <f>'REG y VAL POE - AESR - ESR'!C2161</f>
        <v>Sin Registro</v>
      </c>
      <c r="BTX31" s="28">
        <f>'REG y VAL POE - AESR - ESR'!D2161</f>
        <v>23089744</v>
      </c>
      <c r="BTY31" s="29">
        <f>'REG y VAL POE - AESR - ESR'!E2161</f>
        <v>0</v>
      </c>
      <c r="BTZ31" s="30">
        <f>'REG y VAL POE - AESR - ESR'!F2161</f>
        <v>0</v>
      </c>
      <c r="BUA31" s="28">
        <f>'REG y VAL POE - AESR - ESR'!G2161</f>
        <v>0</v>
      </c>
      <c r="BUB31" s="29">
        <f>'REG y VAL POE - AESR - ESR'!H2161</f>
        <v>0</v>
      </c>
      <c r="BUC31" s="29">
        <f>'REG y VAL POE - AESR - ESR'!I2161</f>
        <v>0</v>
      </c>
      <c r="BUD31" s="29">
        <f>'REG y VAL POE - AESR - ESR'!J2161</f>
        <v>0</v>
      </c>
      <c r="BUE31" s="28">
        <f>'REG y VAL POE - AESR - ESR'!K2161</f>
        <v>0</v>
      </c>
      <c r="BUF31" s="29">
        <f>'REG y VAL POE - AESR - ESR'!L2161</f>
        <v>0</v>
      </c>
      <c r="BUG31" s="29">
        <f>'REG y VAL POE - AESR - ESR'!M2161</f>
        <v>0</v>
      </c>
      <c r="BUH31" s="29">
        <f>'REG y VAL POE - AESR - ESR'!N2161</f>
        <v>0</v>
      </c>
      <c r="BUI31" s="29">
        <f>'REG y VAL POE - AESR - ESR'!O2161</f>
        <v>0</v>
      </c>
      <c r="BUJ31" s="29">
        <f>'REG y VAL POE - AESR - ESR'!P2161</f>
        <v>0</v>
      </c>
      <c r="BUK31" s="28">
        <f>'REG y VAL POE - AESR - ESR'!Q2161</f>
        <v>0</v>
      </c>
      <c r="BUL31" s="29">
        <f>'REG y VAL POE - AESR - ESR'!R2161</f>
        <v>0</v>
      </c>
      <c r="BUM31" s="29">
        <f>'REG y VAL POE - AESR - ESR'!S2161</f>
        <v>0</v>
      </c>
      <c r="BUN31" s="28">
        <f>'REG y VAL POE - AESR - ESR'!T2161</f>
        <v>0</v>
      </c>
      <c r="BUO31" s="29">
        <f>'REG y VAL POE - AESR - ESR'!U2161</f>
        <v>0</v>
      </c>
      <c r="BUP31" s="30">
        <f>'REG y VAL POE - AESR - ESR'!V2161</f>
        <v>0</v>
      </c>
      <c r="BUQ31" s="28">
        <f>'REG y VAL POE - AESR - ESR'!W2161</f>
        <v>0</v>
      </c>
      <c r="BUR31" s="29">
        <f>'REG y VAL POE - AESR - ESR'!X2161</f>
        <v>0</v>
      </c>
      <c r="BUS31" s="29">
        <f>'REG y VAL POE - AESR - ESR'!Y2161</f>
        <v>0</v>
      </c>
      <c r="BUT31" s="29">
        <f>'REG y VAL POE - AESR - ESR'!Z2161</f>
        <v>0</v>
      </c>
      <c r="BUU31" s="28">
        <f>'REG y VAL POE - AESR - ESR'!AA2161</f>
        <v>0</v>
      </c>
      <c r="BUV31" s="29">
        <f>'REG y VAL POE - AESR - ESR'!AB2161</f>
        <v>0</v>
      </c>
      <c r="BUW31" s="29">
        <f>'REG y VAL POE - AESR - ESR'!AC2161</f>
        <v>0</v>
      </c>
      <c r="BUX31" s="28">
        <f>'REG y VAL POE - AESR - ESR'!AD2161</f>
        <v>0</v>
      </c>
      <c r="BUY31" s="29">
        <f>'REG y VAL POE - AESR - ESR'!AE2161</f>
        <v>0</v>
      </c>
      <c r="BUZ31" s="30">
        <f>'REG y VAL POE - AESR - ESR'!AF2161</f>
        <v>0</v>
      </c>
      <c r="BVA31" s="28">
        <f>'REG y VAL POE - AESR - ESR'!AG2161</f>
        <v>0</v>
      </c>
      <c r="BVB31" s="29">
        <f>'REG y VAL POE - AESR - ESR'!AH2161</f>
        <v>0</v>
      </c>
      <c r="BVC31" s="29">
        <f>'REG y VAL POE - AESR - ESR'!AI2161</f>
        <v>0</v>
      </c>
      <c r="BVD31" s="29">
        <f>'REG y VAL POE - AESR - ESR'!AJ2161</f>
        <v>0</v>
      </c>
      <c r="BVE31" s="28">
        <f>'REG y VAL POE - AESR - ESR'!AK2161</f>
        <v>0</v>
      </c>
      <c r="BVF31" s="29">
        <f>'REG y VAL POE - AESR - ESR'!AL2161</f>
        <v>0</v>
      </c>
      <c r="BVG31" s="29">
        <f>'REG y VAL POE - AESR - ESR'!AM2161</f>
        <v>0</v>
      </c>
      <c r="BVH31" s="29">
        <f>'REG y VAL POE - AESR - ESR'!AN2161</f>
        <v>0</v>
      </c>
      <c r="BVI31" s="29">
        <f>'REG y VAL POE - AESR - ESR'!AO2161</f>
        <v>0</v>
      </c>
      <c r="BVJ31" s="29">
        <f>'REG y VAL POE - AESR - ESR'!AP2161</f>
        <v>0</v>
      </c>
      <c r="BVK31" s="28">
        <f>'REG y VAL POE - AESR - ESR'!AQ2161</f>
        <v>0</v>
      </c>
      <c r="BVL31" s="29">
        <f>'REG y VAL POE - AESR - ESR'!AR2161</f>
        <v>0</v>
      </c>
      <c r="BVM31" s="29">
        <f>'REG y VAL POE - AESR - ESR'!AS2161</f>
        <v>0</v>
      </c>
      <c r="BVN31" s="28" t="str">
        <f>'REG y VAL POE - AESR - ESR'!B2162</f>
        <v xml:space="preserve">Tovilla Lopez Cesar Augusto </v>
      </c>
      <c r="BVO31" s="29" t="str">
        <f>'REG y VAL POE - AESR - ESR'!C2162</f>
        <v>Sin Registro</v>
      </c>
      <c r="BVP31" s="30">
        <f>'REG y VAL POE - AESR - ESR'!D2162</f>
        <v>23194281</v>
      </c>
      <c r="BVQ31" s="28">
        <f>'REG y VAL POE - AESR - ESR'!E2162</f>
        <v>0</v>
      </c>
      <c r="BVR31" s="29">
        <f>'REG y VAL POE - AESR - ESR'!F2162</f>
        <v>0</v>
      </c>
      <c r="BVS31" s="29">
        <f>'REG y VAL POE - AESR - ESR'!G2162</f>
        <v>0</v>
      </c>
      <c r="BVT31" s="29">
        <f>'REG y VAL POE - AESR - ESR'!H2162</f>
        <v>0</v>
      </c>
      <c r="BVU31" s="28">
        <f>'REG y VAL POE - AESR - ESR'!I2162</f>
        <v>0</v>
      </c>
      <c r="BVV31" s="29">
        <f>'REG y VAL POE - AESR - ESR'!J2162</f>
        <v>0</v>
      </c>
      <c r="BVW31" s="29">
        <f>'REG y VAL POE - AESR - ESR'!K2162</f>
        <v>0</v>
      </c>
      <c r="BVX31" s="28">
        <f>'REG y VAL POE - AESR - ESR'!L2162</f>
        <v>0</v>
      </c>
      <c r="BVY31" s="29">
        <f>'REG y VAL POE - AESR - ESR'!M2162</f>
        <v>0</v>
      </c>
      <c r="BVZ31" s="30">
        <f>'REG y VAL POE - AESR - ESR'!N2162</f>
        <v>0</v>
      </c>
      <c r="BWA31" s="28">
        <f>'REG y VAL POE - AESR - ESR'!O2162</f>
        <v>0</v>
      </c>
      <c r="BWB31" s="29">
        <f>'REG y VAL POE - AESR - ESR'!P2162</f>
        <v>0</v>
      </c>
      <c r="BWC31" s="29">
        <f>'REG y VAL POE - AESR - ESR'!Q2162</f>
        <v>0</v>
      </c>
      <c r="BWD31" s="29">
        <f>'REG y VAL POE - AESR - ESR'!R2162</f>
        <v>0</v>
      </c>
      <c r="BWE31" s="28">
        <f>'REG y VAL POE - AESR - ESR'!S2162</f>
        <v>0</v>
      </c>
      <c r="BWF31" s="29">
        <f>'REG y VAL POE - AESR - ESR'!T2162</f>
        <v>0</v>
      </c>
      <c r="BWG31" s="29">
        <f>'REG y VAL POE - AESR - ESR'!U2162</f>
        <v>0</v>
      </c>
      <c r="BWH31" s="29">
        <f>'REG y VAL POE - AESR - ESR'!V2162</f>
        <v>0</v>
      </c>
      <c r="BWI31" s="29">
        <f>'REG y VAL POE - AESR - ESR'!W2162</f>
        <v>0</v>
      </c>
      <c r="BWJ31" s="29">
        <f>'REG y VAL POE - AESR - ESR'!X2162</f>
        <v>0</v>
      </c>
      <c r="BWK31" s="28">
        <f>'REG y VAL POE - AESR - ESR'!Y2162</f>
        <v>0</v>
      </c>
      <c r="BWL31" s="29">
        <f>'REG y VAL POE - AESR - ESR'!Z2162</f>
        <v>0</v>
      </c>
      <c r="BWM31" s="29">
        <f>'REG y VAL POE - AESR - ESR'!AA2162</f>
        <v>0</v>
      </c>
      <c r="BWN31" s="28">
        <f>'REG y VAL POE - AESR - ESR'!AB2162</f>
        <v>0</v>
      </c>
      <c r="BWO31" s="29">
        <f>'REG y VAL POE - AESR - ESR'!AC2162</f>
        <v>0</v>
      </c>
      <c r="BWP31" s="30">
        <f>'REG y VAL POE - AESR - ESR'!AD2162</f>
        <v>0</v>
      </c>
      <c r="BWQ31" s="28">
        <f>'REG y VAL POE - AESR - ESR'!AE2162</f>
        <v>0</v>
      </c>
      <c r="BWR31" s="29">
        <f>'REG y VAL POE - AESR - ESR'!AF2162</f>
        <v>0</v>
      </c>
      <c r="BWS31" s="29">
        <f>'REG y VAL POE - AESR - ESR'!AG2162</f>
        <v>0</v>
      </c>
      <c r="BWT31" s="29">
        <f>'REG y VAL POE - AESR - ESR'!AH2162</f>
        <v>0</v>
      </c>
      <c r="BWU31" s="28">
        <f>'REG y VAL POE - AESR - ESR'!AI2162</f>
        <v>0</v>
      </c>
      <c r="BWV31" s="29">
        <f>'REG y VAL POE - AESR - ESR'!AJ2162</f>
        <v>0</v>
      </c>
      <c r="BWW31" s="29">
        <f>'REG y VAL POE - AESR - ESR'!AK2162</f>
        <v>0</v>
      </c>
      <c r="BWX31" s="28">
        <f>'REG y VAL POE - AESR - ESR'!AL2162</f>
        <v>0</v>
      </c>
      <c r="BWY31" s="29">
        <f>'REG y VAL POE - AESR - ESR'!AM2162</f>
        <v>0</v>
      </c>
      <c r="BWZ31" s="30">
        <f>'REG y VAL POE - AESR - ESR'!AN2162</f>
        <v>0</v>
      </c>
      <c r="BXA31" s="28">
        <f>'REG y VAL POE - AESR - ESR'!AO2162</f>
        <v>0</v>
      </c>
      <c r="BXB31" s="29">
        <f>'REG y VAL POE - AESR - ESR'!AP2162</f>
        <v>0</v>
      </c>
      <c r="BXC31" s="29">
        <f>'REG y VAL POE - AESR - ESR'!AQ2162</f>
        <v>0</v>
      </c>
      <c r="BXD31" s="29">
        <f>'REG y VAL POE - AESR - ESR'!AR2162</f>
        <v>0</v>
      </c>
      <c r="BXE31" s="28">
        <f>'REG y VAL POE - AESR - ESR'!AS2162</f>
        <v>0</v>
      </c>
      <c r="BXF31" s="29">
        <f>'REG y VAL POE - AESR - ESR'!B2163</f>
        <v>0</v>
      </c>
      <c r="BXG31" s="29">
        <f>'REG y VAL POE - AESR - ESR'!C2163</f>
        <v>0</v>
      </c>
      <c r="BXH31" s="29">
        <f>'REG y VAL POE - AESR - ESR'!D2163</f>
        <v>0</v>
      </c>
      <c r="BXI31" s="29">
        <f>'REG y VAL POE - AESR - ESR'!E2163</f>
        <v>0</v>
      </c>
      <c r="BXJ31" s="29">
        <f>'REG y VAL POE - AESR - ESR'!F2163</f>
        <v>0</v>
      </c>
      <c r="BXK31" s="28">
        <f>'REG y VAL POE - AESR - ESR'!G2163</f>
        <v>0</v>
      </c>
      <c r="BXL31" s="29">
        <f>'REG y VAL POE - AESR - ESR'!H2163</f>
        <v>0</v>
      </c>
      <c r="BXM31" s="29">
        <f>'REG y VAL POE - AESR - ESR'!I2163</f>
        <v>0</v>
      </c>
      <c r="BXN31" s="28">
        <f>'REG y VAL POE - AESR - ESR'!J2163</f>
        <v>0</v>
      </c>
      <c r="BXO31" s="29">
        <f>'REG y VAL POE - AESR - ESR'!K2163</f>
        <v>0</v>
      </c>
      <c r="BXP31" s="30">
        <f>'REG y VAL POE - AESR - ESR'!L2163</f>
        <v>0</v>
      </c>
      <c r="BXQ31" s="28">
        <f>'REG y VAL POE - AESR - ESR'!M2163</f>
        <v>0</v>
      </c>
      <c r="BXR31" s="29">
        <f>'REG y VAL POE - AESR - ESR'!N2163</f>
        <v>0</v>
      </c>
      <c r="BXS31" s="29">
        <f>'REG y VAL POE - AESR - ESR'!O2163</f>
        <v>0</v>
      </c>
      <c r="BXT31" s="29">
        <f>'REG y VAL POE - AESR - ESR'!P2163</f>
        <v>0</v>
      </c>
      <c r="BXU31" s="28">
        <f>'REG y VAL POE - AESR - ESR'!Q2163</f>
        <v>0</v>
      </c>
      <c r="BXV31" s="29">
        <f>'REG y VAL POE - AESR - ESR'!R2163</f>
        <v>0</v>
      </c>
      <c r="BXW31" s="29">
        <f>'REG y VAL POE - AESR - ESR'!S2163</f>
        <v>0</v>
      </c>
      <c r="BXX31" s="28">
        <f>'REG y VAL POE - AESR - ESR'!T2163</f>
        <v>0</v>
      </c>
      <c r="BXY31" s="29">
        <f>'REG y VAL POE - AESR - ESR'!U2163</f>
        <v>0</v>
      </c>
      <c r="BXZ31" s="30">
        <f>'REG y VAL POE - AESR - ESR'!V2163</f>
        <v>0</v>
      </c>
      <c r="BYA31" s="28">
        <f>'REG y VAL POE - AESR - ESR'!W2163</f>
        <v>0</v>
      </c>
      <c r="BYB31" s="29">
        <f>'REG y VAL POE - AESR - ESR'!X2163</f>
        <v>0</v>
      </c>
      <c r="BYC31" s="29">
        <f>'REG y VAL POE - AESR - ESR'!Y2163</f>
        <v>0</v>
      </c>
      <c r="BYD31" s="29">
        <f>'REG y VAL POE - AESR - ESR'!Z2163</f>
        <v>0</v>
      </c>
      <c r="BYE31" s="28">
        <f>'REG y VAL POE - AESR - ESR'!AA2163</f>
        <v>0</v>
      </c>
      <c r="BYF31" s="29">
        <f>'REG y VAL POE - AESR - ESR'!AB2163</f>
        <v>0</v>
      </c>
      <c r="BYG31" s="29">
        <f>'REG y VAL POE - AESR - ESR'!AC2163</f>
        <v>0</v>
      </c>
      <c r="BYH31" s="29">
        <f>'REG y VAL POE - AESR - ESR'!AD2163</f>
        <v>0</v>
      </c>
      <c r="BYI31" s="29">
        <f>'REG y VAL POE - AESR - ESR'!AE2163</f>
        <v>0</v>
      </c>
      <c r="BYJ31" s="29">
        <f>'REG y VAL POE - AESR - ESR'!AF2163</f>
        <v>0</v>
      </c>
      <c r="BYK31" s="28">
        <f>'REG y VAL POE - AESR - ESR'!AG2163</f>
        <v>0</v>
      </c>
      <c r="BYL31" s="29">
        <f>'REG y VAL POE - AESR - ESR'!AH2163</f>
        <v>0</v>
      </c>
      <c r="BYM31" s="29">
        <f>'REG y VAL POE - AESR - ESR'!AI2163</f>
        <v>0</v>
      </c>
      <c r="BYN31" s="28">
        <f>'REG y VAL POE - AESR - ESR'!AJ2163</f>
        <v>0</v>
      </c>
      <c r="BYO31" s="29">
        <f>'REG y VAL POE - AESR - ESR'!AK2163</f>
        <v>0</v>
      </c>
      <c r="BYP31" s="30">
        <f>'REG y VAL POE - AESR - ESR'!AL2163</f>
        <v>0</v>
      </c>
      <c r="BYQ31" s="28">
        <f>'REG y VAL POE - AESR - ESR'!AM2163</f>
        <v>0</v>
      </c>
      <c r="BYR31" s="29">
        <f>'REG y VAL POE - AESR - ESR'!AN2163</f>
        <v>0</v>
      </c>
      <c r="BYS31" s="29">
        <f>'REG y VAL POE - AESR - ESR'!AO2163</f>
        <v>0</v>
      </c>
      <c r="BYT31" s="29">
        <f>'REG y VAL POE - AESR - ESR'!AP2163</f>
        <v>0</v>
      </c>
      <c r="BYU31" s="28">
        <f>'REG y VAL POE - AESR - ESR'!AQ2163</f>
        <v>0</v>
      </c>
      <c r="BYV31" s="29">
        <f>'REG y VAL POE - AESR - ESR'!AR2163</f>
        <v>0</v>
      </c>
      <c r="BYW31" s="29">
        <f>'REG y VAL POE - AESR - ESR'!AS2163</f>
        <v>0</v>
      </c>
      <c r="BYX31" s="30">
        <f>'REG y VAL POE - AESR - ESR'!B2164</f>
        <v>0</v>
      </c>
      <c r="BYY31" s="29">
        <f>'REG y VAL POE - AESR - ESR'!C2164</f>
        <v>0</v>
      </c>
      <c r="BYZ31" s="28">
        <f>'REG y VAL POE - AESR - ESR'!D2164</f>
        <v>0</v>
      </c>
      <c r="BZA31" s="29">
        <f>'REG y VAL POE - AESR - ESR'!E2164</f>
        <v>0</v>
      </c>
      <c r="BZB31" s="28">
        <f>'REG y VAL POE - AESR - ESR'!F2164</f>
        <v>0</v>
      </c>
      <c r="BZC31" s="28">
        <f>'REG y VAL POE - AESR - ESR'!G2164</f>
        <v>0</v>
      </c>
      <c r="BZD31" s="28">
        <f>'REG y VAL POE - AESR - ESR'!H2164</f>
        <v>0</v>
      </c>
      <c r="BZE31" s="29">
        <f>'REG y VAL POE - AESR - ESR'!I2164</f>
        <v>0</v>
      </c>
      <c r="BZF31" s="385">
        <f>'REG y VAL POE - AESR - ESR'!J2164</f>
        <v>0</v>
      </c>
      <c r="BZG31" s="29">
        <f>'REG y VAL POE - AESR - ESR'!K2164</f>
        <v>0</v>
      </c>
      <c r="BZH31" s="385">
        <f>'REG y VAL POE - AESR - ESR'!L2164</f>
        <v>0</v>
      </c>
      <c r="BZI31" s="29">
        <f>'REG y VAL POE - AESR - ESR'!M2164</f>
        <v>0</v>
      </c>
      <c r="BZJ31" s="385">
        <f>'REG y VAL POE - AESR - ESR'!N2164</f>
        <v>0</v>
      </c>
      <c r="BZK31" s="29">
        <f>'REG y VAL POE - AESR - ESR'!O2164</f>
        <v>0</v>
      </c>
      <c r="BZL31" s="29">
        <f>'REG y VAL POE - AESR - ESR'!P2164</f>
        <v>0</v>
      </c>
      <c r="BZM31" s="29">
        <f>'REG y VAL POE - AESR - ESR'!Q2164</f>
        <v>0</v>
      </c>
      <c r="BZN31" s="29">
        <f>'REG y VAL POE - AESR - ESR'!R2164</f>
        <v>0</v>
      </c>
      <c r="BZO31" s="29">
        <f>'REG y VAL POE - AESR - ESR'!S2164</f>
        <v>0</v>
      </c>
      <c r="BZP31" s="29">
        <f>'REG y VAL POE - AESR - ESR'!T2164</f>
        <v>0</v>
      </c>
      <c r="BZQ31" s="29">
        <f>'REG y VAL POE - AESR - ESR'!U2164</f>
        <v>0</v>
      </c>
      <c r="BZR31" s="29">
        <f>'REG y VAL POE - AESR - ESR'!V2164</f>
        <v>0</v>
      </c>
      <c r="BZS31" s="29">
        <f>'REG y VAL POE - AESR - ESR'!W2164</f>
        <v>0</v>
      </c>
      <c r="BZT31" s="29">
        <f>'REG y VAL POE - AESR - ESR'!X2164</f>
        <v>0</v>
      </c>
      <c r="BZU31" s="29">
        <f>'REG y VAL POE - AESR - ESR'!Y2164</f>
        <v>0</v>
      </c>
      <c r="BZV31" s="29">
        <f>'REG y VAL POE - AESR - ESR'!Z2164</f>
        <v>0</v>
      </c>
      <c r="BZW31" s="29">
        <f>'REG y VAL POE - AESR - ESR'!AA2164</f>
        <v>0</v>
      </c>
      <c r="BZX31" s="29">
        <f>'REG y VAL POE - AESR - ESR'!AB2164</f>
        <v>0</v>
      </c>
      <c r="BZY31" s="29">
        <f>'REG y VAL POE - AESR - ESR'!AC2164</f>
        <v>0</v>
      </c>
      <c r="BZZ31" s="29">
        <f>'REG y VAL POE - AESR - ESR'!AD2164</f>
        <v>0</v>
      </c>
      <c r="CAA31" s="29">
        <f>'REG y VAL POE - AESR - ESR'!AE2164</f>
        <v>0</v>
      </c>
      <c r="CAB31" s="29">
        <f>'REG y VAL POE - AESR - ESR'!AF2164</f>
        <v>0</v>
      </c>
      <c r="CAC31" s="29">
        <f>'REG y VAL POE - AESR - ESR'!AG2164</f>
        <v>0</v>
      </c>
      <c r="CAD31" s="29">
        <f>'REG y VAL POE - AESR - ESR'!AH2164</f>
        <v>0</v>
      </c>
      <c r="CAE31" s="29">
        <f>'REG y VAL POE - AESR - ESR'!AI2164</f>
        <v>0</v>
      </c>
      <c r="CAF31" s="29">
        <f>'REG y VAL POE - AESR - ESR'!AJ2164</f>
        <v>0</v>
      </c>
      <c r="CAG31" s="29">
        <f>'REG y VAL POE - AESR - ESR'!AK2164</f>
        <v>0</v>
      </c>
      <c r="CAH31" s="29">
        <f>'REG y VAL POE - AESR - ESR'!AL2164</f>
        <v>0</v>
      </c>
      <c r="CAI31" s="29">
        <f>'REG y VAL POE - AESR - ESR'!AM2164</f>
        <v>0</v>
      </c>
      <c r="CAJ31" s="29">
        <f>'REG y VAL POE - AESR - ESR'!AN2164</f>
        <v>0</v>
      </c>
      <c r="CAK31" s="29">
        <f>'REG y VAL POE - AESR - ESR'!AO2164</f>
        <v>0</v>
      </c>
      <c r="CAL31" s="29">
        <f>'REG y VAL POE - AESR - ESR'!AP2164</f>
        <v>0</v>
      </c>
      <c r="CAM31" s="29">
        <f>'REG y VAL POE - AESR - ESR'!AQ2164</f>
        <v>0</v>
      </c>
      <c r="CAN31" s="29">
        <f>'REG y VAL POE - AESR - ESR'!AR2164</f>
        <v>0</v>
      </c>
      <c r="CAO31" s="29">
        <f>'REG y VAL POE - AESR - ESR'!AS2164</f>
        <v>0</v>
      </c>
      <c r="CAP31" s="30">
        <f>'REG y VAL POE - AESR - ESR'!B2165</f>
        <v>0</v>
      </c>
      <c r="CAQ31" s="28">
        <f>'REG y VAL POE - AESR - ESR'!C2165</f>
        <v>0</v>
      </c>
      <c r="CAR31" s="29">
        <f>'REG y VAL POE - AESR - ESR'!D2165</f>
        <v>0</v>
      </c>
      <c r="CAS31" s="29">
        <f>'REG y VAL POE - AESR - ESR'!E2165</f>
        <v>0</v>
      </c>
      <c r="CAT31" s="29">
        <f>'REG y VAL POE - AESR - ESR'!F2165</f>
        <v>0</v>
      </c>
      <c r="CAU31" s="29">
        <f>'REG y VAL POE - AESR - ESR'!G2165</f>
        <v>0</v>
      </c>
      <c r="CAV31" s="29">
        <f>'REG y VAL POE - AESR - ESR'!H2165</f>
        <v>0</v>
      </c>
      <c r="CAW31" s="31">
        <f>'REG y VAL POE - AESR - ESR'!I2165</f>
        <v>0</v>
      </c>
      <c r="CAX31" s="32">
        <f>'REG y VAL POE - AESR - ESR'!J2165</f>
        <v>0</v>
      </c>
      <c r="CAY31" s="32">
        <f>'REG y VAL POE - AESR - ESR'!K2165</f>
        <v>0</v>
      </c>
      <c r="CAZ31" s="28">
        <f>'REG y VAL POE - AESR - ESR'!L2165</f>
        <v>0</v>
      </c>
      <c r="CBA31" s="29">
        <f>'REG y VAL POE - AESR - ESR'!M2165</f>
        <v>0</v>
      </c>
      <c r="CBB31" s="30">
        <f>'REG y VAL POE - AESR - ESR'!N2165</f>
        <v>0</v>
      </c>
      <c r="CBC31" s="28">
        <f>'REG y VAL POE - AESR - ESR'!O2165</f>
        <v>0</v>
      </c>
      <c r="CBD31" s="29">
        <f>'REG y VAL POE - AESR - ESR'!P2165</f>
        <v>0</v>
      </c>
      <c r="CBE31" s="29">
        <f>'REG y VAL POE - AESR - ESR'!Q2165</f>
        <v>0</v>
      </c>
      <c r="CBF31" s="29">
        <f>'REG y VAL POE - AESR - ESR'!R2165</f>
        <v>0</v>
      </c>
      <c r="CBG31" s="31">
        <f>'REG y VAL POE - AESR - ESR'!S2165</f>
        <v>0</v>
      </c>
      <c r="CBH31" s="32">
        <f>'REG y VAL POE - AESR - ESR'!T2165</f>
        <v>0</v>
      </c>
      <c r="CBI31" s="32">
        <f>'REG y VAL POE - AESR - ESR'!U2165</f>
        <v>0</v>
      </c>
      <c r="CBJ31" s="28">
        <f>'REG y VAL POE - AESR - ESR'!V2165</f>
        <v>0</v>
      </c>
      <c r="CBK31" s="29">
        <f>'REG y VAL POE - AESR - ESR'!W2165</f>
        <v>0</v>
      </c>
      <c r="CBL31" s="30">
        <f>'REG y VAL POE - AESR - ESR'!X2165</f>
        <v>0</v>
      </c>
      <c r="CBM31" s="28">
        <f>'REG y VAL POE - AESR - ESR'!Y2165</f>
        <v>0</v>
      </c>
      <c r="CBN31" s="29">
        <f>'REG y VAL POE - AESR - ESR'!Z2165</f>
        <v>0</v>
      </c>
      <c r="CBO31" s="29">
        <f>'REG y VAL POE - AESR - ESR'!AA2165</f>
        <v>0</v>
      </c>
      <c r="CBP31" s="29">
        <f>'REG y VAL POE - AESR - ESR'!AB2165</f>
        <v>0</v>
      </c>
      <c r="CBQ31" s="31">
        <f>'REG y VAL POE - AESR - ESR'!AC2165</f>
        <v>0</v>
      </c>
      <c r="CBR31" s="32">
        <f>'REG y VAL POE - AESR - ESR'!AD2165</f>
        <v>0</v>
      </c>
      <c r="CBS31" s="32">
        <f>'REG y VAL POE - AESR - ESR'!AE2165</f>
        <v>0</v>
      </c>
      <c r="CBT31" s="28">
        <f>'REG y VAL POE - AESR - ESR'!AF2165</f>
        <v>0</v>
      </c>
      <c r="CBU31" s="29">
        <f>'REG y VAL POE - AESR - ESR'!AG2165</f>
        <v>0</v>
      </c>
      <c r="CBV31" s="30">
        <f>'REG y VAL POE - AESR - ESR'!AH2165</f>
        <v>0</v>
      </c>
      <c r="CBW31" s="28">
        <f>'REG y VAL POE - AESR - ESR'!AI2165</f>
        <v>0</v>
      </c>
      <c r="CBX31" s="29">
        <f>'REG y VAL POE - AESR - ESR'!AJ2165</f>
        <v>0</v>
      </c>
      <c r="CBY31" s="29">
        <f>'REG y VAL POE - AESR - ESR'!AK2165</f>
        <v>0</v>
      </c>
      <c r="CBZ31" s="29">
        <f>'REG y VAL POE - AESR - ESR'!AL2165</f>
        <v>0</v>
      </c>
      <c r="CCA31" s="31">
        <f>'REG y VAL POE - AESR - ESR'!AM2165</f>
        <v>0</v>
      </c>
      <c r="CCB31" s="32">
        <f>'REG y VAL POE - AESR - ESR'!AN2165</f>
        <v>0</v>
      </c>
      <c r="CCC31" s="32">
        <f>'REG y VAL POE - AESR - ESR'!AO2165</f>
        <v>0</v>
      </c>
      <c r="CCD31" s="28">
        <f>'REG y VAL POE - AESR - ESR'!AP2165</f>
        <v>0</v>
      </c>
      <c r="CCE31" s="29">
        <f>'REG y VAL POE - AESR - ESR'!AQ2165</f>
        <v>0</v>
      </c>
      <c r="CCF31" s="30">
        <f>'REG y VAL POE - AESR - ESR'!AR2165</f>
        <v>0</v>
      </c>
      <c r="CCG31" s="28">
        <f>'REG y VAL POE - AESR - ESR'!AS2165</f>
        <v>0</v>
      </c>
      <c r="CCH31" s="30">
        <f>'REG y VAL POE - AESR - ESR'!B2166</f>
        <v>0</v>
      </c>
      <c r="CCI31" s="29">
        <f>'REG y VAL POE - AESR - ESR'!C2166</f>
        <v>0</v>
      </c>
      <c r="CCJ31" s="28">
        <f>'REG y VAL POE - AESR - ESR'!D2166</f>
        <v>0</v>
      </c>
      <c r="CCK31" s="29">
        <f>'REG y VAL POE - AESR - ESR'!E2166</f>
        <v>0</v>
      </c>
      <c r="CCL31" s="28">
        <f>'REG y VAL POE - AESR - ESR'!F2166</f>
        <v>0</v>
      </c>
      <c r="CCM31" s="28">
        <f>'REG y VAL POE - AESR - ESR'!G2166</f>
        <v>0</v>
      </c>
      <c r="CCN31" s="28">
        <f>'REG y VAL POE - AESR - ESR'!H2166</f>
        <v>0</v>
      </c>
      <c r="CCO31" s="29">
        <f>'REG y VAL POE - AESR - ESR'!I2166</f>
        <v>0</v>
      </c>
      <c r="CCP31" s="385">
        <f>'REG y VAL POE - AESR - ESR'!J2166</f>
        <v>0</v>
      </c>
      <c r="CCQ31" s="29">
        <f>'REG y VAL POE - AESR - ESR'!K2166</f>
        <v>0</v>
      </c>
      <c r="CCR31" s="385">
        <f>'REG y VAL POE - AESR - ESR'!L2166</f>
        <v>0</v>
      </c>
      <c r="CCS31" s="29">
        <f>'REG y VAL POE - AESR - ESR'!M2166</f>
        <v>0</v>
      </c>
      <c r="CCT31" s="385">
        <f>'REG y VAL POE - AESR - ESR'!N2166</f>
        <v>0</v>
      </c>
      <c r="CCU31" s="29">
        <f>'REG y VAL POE - AESR - ESR'!O2166</f>
        <v>0</v>
      </c>
      <c r="CCV31" s="29">
        <f>'REG y VAL POE - AESR - ESR'!P2166</f>
        <v>0</v>
      </c>
      <c r="CCW31" s="29">
        <f>'REG y VAL POE - AESR - ESR'!Q2166</f>
        <v>0</v>
      </c>
      <c r="CCX31" s="29">
        <f>'REG y VAL POE - AESR - ESR'!R2166</f>
        <v>0</v>
      </c>
      <c r="CCY31" s="29">
        <f>'REG y VAL POE - AESR - ESR'!S2166</f>
        <v>0</v>
      </c>
      <c r="CCZ31" s="29">
        <f>'REG y VAL POE - AESR - ESR'!T2166</f>
        <v>0</v>
      </c>
      <c r="CDA31" s="29">
        <f>'REG y VAL POE - AESR - ESR'!U2166</f>
        <v>0</v>
      </c>
      <c r="CDB31" s="29">
        <f>'REG y VAL POE - AESR - ESR'!V2166</f>
        <v>0</v>
      </c>
      <c r="CDC31" s="29">
        <f>'REG y VAL POE - AESR - ESR'!W2166</f>
        <v>0</v>
      </c>
      <c r="CDD31" s="29">
        <f>'REG y VAL POE - AESR - ESR'!X2166</f>
        <v>0</v>
      </c>
      <c r="CDE31" s="29">
        <f>'REG y VAL POE - AESR - ESR'!Y2166</f>
        <v>0</v>
      </c>
      <c r="CDF31" s="29">
        <f>'REG y VAL POE - AESR - ESR'!Z2166</f>
        <v>0</v>
      </c>
      <c r="CDG31" s="29">
        <f>'REG y VAL POE - AESR - ESR'!AA2166</f>
        <v>0</v>
      </c>
      <c r="CDH31" s="29">
        <f>'REG y VAL POE - AESR - ESR'!AB2166</f>
        <v>0</v>
      </c>
      <c r="CDI31" s="29">
        <f>'REG y VAL POE - AESR - ESR'!AC2166</f>
        <v>0</v>
      </c>
      <c r="CDJ31" s="29">
        <f>'REG y VAL POE - AESR - ESR'!AD2166</f>
        <v>0</v>
      </c>
      <c r="CDK31" s="29">
        <f>'REG y VAL POE - AESR - ESR'!AE2166</f>
        <v>0</v>
      </c>
      <c r="CDL31" s="29">
        <f>'REG y VAL POE - AESR - ESR'!AF2166</f>
        <v>0</v>
      </c>
      <c r="CDM31" s="29">
        <f>'REG y VAL POE - AESR - ESR'!AG2166</f>
        <v>0</v>
      </c>
      <c r="CDN31" s="29">
        <f>'REG y VAL POE - AESR - ESR'!AH2166</f>
        <v>0</v>
      </c>
      <c r="CDO31" s="29">
        <f>'REG y VAL POE - AESR - ESR'!AI2166</f>
        <v>0</v>
      </c>
      <c r="CDP31" s="29">
        <f>'REG y VAL POE - AESR - ESR'!AJ2166</f>
        <v>0</v>
      </c>
      <c r="CDQ31" s="29">
        <f>'REG y VAL POE - AESR - ESR'!AK2166</f>
        <v>0</v>
      </c>
      <c r="CDR31" s="29">
        <f>'REG y VAL POE - AESR - ESR'!AL2166</f>
        <v>0</v>
      </c>
      <c r="CDS31" s="29">
        <f>'REG y VAL POE - AESR - ESR'!AM2166</f>
        <v>0</v>
      </c>
      <c r="CDT31" s="29">
        <f>'REG y VAL POE - AESR - ESR'!AN2166</f>
        <v>0</v>
      </c>
      <c r="CDU31" s="29">
        <f>'REG y VAL POE - AESR - ESR'!AO2166</f>
        <v>0</v>
      </c>
      <c r="CDV31" s="29">
        <f>'REG y VAL POE - AESR - ESR'!AP2166</f>
        <v>0</v>
      </c>
      <c r="CDW31" s="29">
        <f>'REG y VAL POE - AESR - ESR'!AQ2166</f>
        <v>0</v>
      </c>
      <c r="CDX31" s="29">
        <f>'REG y VAL POE - AESR - ESR'!AR2166</f>
        <v>0</v>
      </c>
      <c r="CDY31" s="29">
        <f>'REG y VAL POE - AESR - ESR'!AS2166</f>
        <v>0</v>
      </c>
      <c r="CDZ31" s="30">
        <f>'REG y VAL POE - AESR - ESR'!B2167</f>
        <v>0</v>
      </c>
      <c r="CEA31" s="28">
        <f>'REG y VAL POE - AESR - ESR'!C2167</f>
        <v>0</v>
      </c>
      <c r="CEB31" s="29">
        <f>'REG y VAL POE - AESR - ESR'!D2167</f>
        <v>0</v>
      </c>
      <c r="CEC31" s="29">
        <f>'REG y VAL POE - AESR - ESR'!E2167</f>
        <v>0</v>
      </c>
      <c r="CED31" s="29">
        <f>'REG y VAL POE - AESR - ESR'!F2167</f>
        <v>0</v>
      </c>
      <c r="CEE31" s="29">
        <f>'REG y VAL POE - AESR - ESR'!G2167</f>
        <v>0</v>
      </c>
      <c r="CEF31" s="29">
        <f>'REG y VAL POE - AESR - ESR'!H2167</f>
        <v>0</v>
      </c>
      <c r="CEG31" s="31">
        <f>'REG y VAL POE - AESR - ESR'!I2167</f>
        <v>0</v>
      </c>
      <c r="CEH31" s="32">
        <f>'REG y VAL POE - AESR - ESR'!J2167</f>
        <v>0</v>
      </c>
      <c r="CEI31" s="32">
        <f>'REG y VAL POE - AESR - ESR'!K2167</f>
        <v>0</v>
      </c>
      <c r="CEJ31" s="28">
        <f>'REG y VAL POE - AESR - ESR'!L2167</f>
        <v>0</v>
      </c>
      <c r="CEK31" s="29">
        <f>'REG y VAL POE - AESR - ESR'!M2167</f>
        <v>0</v>
      </c>
      <c r="CEL31" s="30">
        <f>'REG y VAL POE - AESR - ESR'!N2167</f>
        <v>0</v>
      </c>
      <c r="CEM31" s="28">
        <f>'REG y VAL POE - AESR - ESR'!O2167</f>
        <v>0</v>
      </c>
      <c r="CEN31" s="29">
        <f>'REG y VAL POE - AESR - ESR'!P2167</f>
        <v>0</v>
      </c>
      <c r="CEO31" s="29">
        <f>'REG y VAL POE - AESR - ESR'!Q2167</f>
        <v>0</v>
      </c>
      <c r="CEP31" s="29">
        <f>'REG y VAL POE - AESR - ESR'!R2167</f>
        <v>0</v>
      </c>
      <c r="CEQ31" s="31">
        <f>'REG y VAL POE - AESR - ESR'!S2167</f>
        <v>0</v>
      </c>
      <c r="CER31" s="32">
        <f>'REG y VAL POE - AESR - ESR'!T2167</f>
        <v>0</v>
      </c>
      <c r="CES31" s="32">
        <f>'REG y VAL POE - AESR - ESR'!U2167</f>
        <v>0</v>
      </c>
      <c r="CET31" s="28">
        <f>'REG y VAL POE - AESR - ESR'!V2167</f>
        <v>0</v>
      </c>
      <c r="CEU31" s="29">
        <f>'REG y VAL POE - AESR - ESR'!W2167</f>
        <v>0</v>
      </c>
      <c r="CEV31" s="30">
        <f>'REG y VAL POE - AESR - ESR'!X2167</f>
        <v>0</v>
      </c>
      <c r="CEW31" s="28">
        <f>'REG y VAL POE - AESR - ESR'!Y2167</f>
        <v>0</v>
      </c>
      <c r="CEX31" s="29">
        <f>'REG y VAL POE - AESR - ESR'!Z2167</f>
        <v>0</v>
      </c>
      <c r="CEY31" s="29">
        <f>'REG y VAL POE - AESR - ESR'!AA2167</f>
        <v>0</v>
      </c>
      <c r="CEZ31" s="29">
        <f>'REG y VAL POE - AESR - ESR'!AB2167</f>
        <v>0</v>
      </c>
      <c r="CFA31" s="31">
        <f>'REG y VAL POE - AESR - ESR'!AC2167</f>
        <v>0</v>
      </c>
      <c r="CFB31" s="32">
        <f>'REG y VAL POE - AESR - ESR'!AD2167</f>
        <v>0</v>
      </c>
      <c r="CFC31" s="32">
        <f>'REG y VAL POE - AESR - ESR'!AE2167</f>
        <v>0</v>
      </c>
      <c r="CFD31" s="28">
        <f>'REG y VAL POE - AESR - ESR'!AF2167</f>
        <v>0</v>
      </c>
      <c r="CFE31" s="29">
        <f>'REG y VAL POE - AESR - ESR'!AG2167</f>
        <v>0</v>
      </c>
      <c r="CFF31" s="30">
        <f>'REG y VAL POE - AESR - ESR'!AH2167</f>
        <v>0</v>
      </c>
      <c r="CFG31" s="28">
        <f>'REG y VAL POE - AESR - ESR'!AI2167</f>
        <v>0</v>
      </c>
      <c r="CFH31" s="29">
        <f>'REG y VAL POE - AESR - ESR'!AJ2167</f>
        <v>0</v>
      </c>
      <c r="CFI31" s="29">
        <f>'REG y VAL POE - AESR - ESR'!AK2167</f>
        <v>0</v>
      </c>
      <c r="CFJ31" s="29">
        <f>'REG y VAL POE - AESR - ESR'!AL2167</f>
        <v>0</v>
      </c>
      <c r="CFK31" s="31">
        <f>'REG y VAL POE - AESR - ESR'!AM2167</f>
        <v>0</v>
      </c>
      <c r="CFL31" s="32">
        <f>'REG y VAL POE - AESR - ESR'!AN2167</f>
        <v>0</v>
      </c>
      <c r="CFM31" s="32">
        <f>'REG y VAL POE - AESR - ESR'!AO2167</f>
        <v>0</v>
      </c>
      <c r="CFN31" s="28">
        <f>'REG y VAL POE - AESR - ESR'!AP2167</f>
        <v>0</v>
      </c>
      <c r="CFO31" s="29">
        <f>'REG y VAL POE - AESR - ESR'!AQ2167</f>
        <v>0</v>
      </c>
      <c r="CFP31" s="30">
        <f>'REG y VAL POE - AESR - ESR'!AR2167</f>
        <v>0</v>
      </c>
      <c r="CFQ31" s="28">
        <f>'REG y VAL POE - AESR - ESR'!AS2167</f>
        <v>0</v>
      </c>
      <c r="CFR31" s="30"/>
      <c r="CFS31" s="29"/>
      <c r="CFT31" s="28"/>
      <c r="CFU31" s="29"/>
      <c r="CFV31" s="28"/>
      <c r="CFW31" s="28"/>
      <c r="CFX31" s="28"/>
      <c r="CFY31" s="29"/>
      <c r="CFZ31" s="385"/>
      <c r="CGA31" s="29"/>
      <c r="CGB31" s="385"/>
      <c r="CGC31" s="29"/>
      <c r="CGD31" s="385"/>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30"/>
      <c r="CHK31" s="28"/>
      <c r="CHL31" s="29"/>
      <c r="CHM31" s="29"/>
      <c r="CHN31" s="29"/>
      <c r="CHO31" s="29"/>
      <c r="CHP31" s="29"/>
      <c r="CHQ31" s="31"/>
      <c r="CHR31" s="32"/>
      <c r="CHS31" s="32"/>
      <c r="CHT31" s="28"/>
      <c r="CHU31" s="29"/>
      <c r="CHV31" s="30"/>
      <c r="CHW31" s="28"/>
      <c r="CHX31" s="29"/>
      <c r="CHY31" s="29"/>
      <c r="CHZ31" s="29"/>
      <c r="CIA31" s="31"/>
      <c r="CIB31" s="32"/>
      <c r="CIC31" s="32"/>
      <c r="CID31" s="28"/>
      <c r="CIE31" s="29"/>
      <c r="CIF31" s="30"/>
      <c r="CIG31" s="28"/>
      <c r="CIH31" s="29"/>
      <c r="CII31" s="29"/>
      <c r="CIJ31" s="29"/>
      <c r="CIK31" s="31"/>
      <c r="CIL31" s="32"/>
      <c r="CIM31" s="32"/>
      <c r="CIN31" s="28"/>
      <c r="CIO31" s="29"/>
      <c r="CIP31" s="30"/>
      <c r="CIQ31" s="28"/>
      <c r="CIR31" s="29"/>
      <c r="CIS31" s="29"/>
      <c r="CIT31" s="29"/>
      <c r="CIU31" s="31"/>
      <c r="CIV31" s="32"/>
      <c r="CIW31" s="32"/>
      <c r="CIX31" s="28"/>
      <c r="CIY31" s="29"/>
      <c r="CIZ31" s="30"/>
      <c r="CJA31" s="28"/>
      <c r="CJB31" s="30"/>
      <c r="CJC31" s="29"/>
      <c r="CJD31" s="28"/>
      <c r="CJE31" s="29"/>
      <c r="CJF31" s="28"/>
      <c r="CJG31" s="28"/>
      <c r="CJH31" s="28"/>
      <c r="CJI31" s="29"/>
      <c r="CJJ31" s="385"/>
      <c r="CJK31" s="29"/>
      <c r="CJL31" s="385"/>
      <c r="CJM31" s="29"/>
      <c r="CJN31" s="385"/>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30"/>
      <c r="CKU31" s="28"/>
      <c r="CKV31" s="29"/>
      <c r="CKW31" s="29"/>
      <c r="CKX31" s="29"/>
      <c r="CKY31" s="29"/>
      <c r="CKZ31" s="29"/>
      <c r="CLA31" s="31"/>
      <c r="CLB31" s="32"/>
      <c r="CLC31" s="32"/>
      <c r="CLD31" s="28"/>
      <c r="CLE31" s="29"/>
      <c r="CLF31" s="30"/>
      <c r="CLG31" s="28"/>
      <c r="CLH31" s="29"/>
      <c r="CLI31" s="29"/>
      <c r="CLJ31" s="29"/>
      <c r="CLK31" s="31"/>
      <c r="CLL31" s="32"/>
      <c r="CLM31" s="32"/>
      <c r="CLN31" s="28"/>
      <c r="CLO31" s="29"/>
      <c r="CLP31" s="30"/>
      <c r="CLQ31" s="28"/>
      <c r="CLR31" s="29"/>
      <c r="CLS31" s="29"/>
      <c r="CLT31" s="29"/>
      <c r="CLU31" s="31"/>
      <c r="CLV31" s="32"/>
      <c r="CLW31" s="32"/>
      <c r="CLX31" s="28"/>
      <c r="CLY31" s="29"/>
      <c r="CLZ31" s="30"/>
      <c r="CMA31" s="28"/>
      <c r="CMB31" s="29"/>
      <c r="CMC31" s="29"/>
      <c r="CMD31" s="29"/>
      <c r="CME31" s="31"/>
      <c r="CMF31" s="32"/>
      <c r="CMG31" s="32"/>
      <c r="CMH31" s="28"/>
      <c r="CMI31" s="29"/>
      <c r="CMJ31" s="30"/>
      <c r="CMK31" s="28"/>
      <c r="CML31" s="30"/>
      <c r="CMM31" s="29"/>
      <c r="CMN31" s="28"/>
      <c r="CMO31" s="29"/>
      <c r="CMP31" s="28"/>
      <c r="CMQ31" s="28"/>
      <c r="CMR31" s="28"/>
      <c r="CMS31" s="29"/>
      <c r="CMT31" s="385"/>
      <c r="CMU31" s="29"/>
      <c r="CMV31" s="385"/>
      <c r="CMW31" s="29"/>
      <c r="CMX31" s="385"/>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30"/>
      <c r="COE31" s="28"/>
      <c r="COF31" s="29"/>
      <c r="COG31" s="29"/>
      <c r="COH31" s="29"/>
      <c r="COI31" s="29"/>
      <c r="COJ31" s="29"/>
      <c r="COK31" s="31"/>
      <c r="COL31" s="32"/>
      <c r="COM31" s="32"/>
      <c r="CON31" s="28"/>
      <c r="COO31" s="29"/>
      <c r="COP31" s="30"/>
      <c r="COQ31" s="28"/>
      <c r="COR31" s="29"/>
      <c r="COS31" s="29"/>
      <c r="COT31" s="29"/>
      <c r="COU31" s="31"/>
      <c r="COV31" s="32"/>
      <c r="COW31" s="32"/>
      <c r="COX31" s="28"/>
      <c r="COY31" s="29"/>
      <c r="COZ31" s="30"/>
      <c r="CPA31" s="28"/>
      <c r="CPB31" s="29"/>
      <c r="CPC31" s="29"/>
      <c r="CPD31" s="29"/>
      <c r="CPE31" s="31"/>
      <c r="CPF31" s="32"/>
      <c r="CPG31" s="32"/>
      <c r="CPH31" s="28"/>
      <c r="CPI31" s="29"/>
      <c r="CPJ31" s="30"/>
      <c r="CPK31" s="28"/>
      <c r="CPL31" s="29"/>
      <c r="CPM31" s="29"/>
      <c r="CPN31" s="29"/>
      <c r="CPO31" s="31"/>
      <c r="CPP31" s="32"/>
      <c r="CPQ31" s="32"/>
      <c r="CPR31" s="28"/>
      <c r="CPS31" s="29"/>
      <c r="CPT31" s="30"/>
      <c r="CPU31" s="28"/>
      <c r="CPV31" s="30"/>
      <c r="CPW31" s="29"/>
      <c r="CPX31" s="28"/>
      <c r="CPY31" s="29"/>
      <c r="CPZ31" s="28"/>
      <c r="CQA31" s="28"/>
      <c r="CQB31" s="28"/>
      <c r="CQC31" s="29"/>
      <c r="CQD31" s="385"/>
      <c r="CQE31" s="29"/>
      <c r="CQF31" s="385"/>
      <c r="CQG31" s="29"/>
      <c r="CQH31" s="385"/>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30"/>
      <c r="CRO31" s="28"/>
      <c r="CRP31" s="29"/>
      <c r="CRQ31" s="29"/>
      <c r="CRR31" s="29"/>
      <c r="CRS31" s="29"/>
      <c r="CRT31" s="29"/>
      <c r="CRU31" s="31"/>
      <c r="CRV31" s="32"/>
      <c r="CRW31" s="32"/>
      <c r="CRX31" s="28"/>
      <c r="CRY31" s="29"/>
      <c r="CRZ31" s="30"/>
      <c r="CSA31" s="28"/>
      <c r="CSB31" s="29"/>
      <c r="CSC31" s="29"/>
      <c r="CSD31" s="29"/>
      <c r="CSE31" s="31"/>
      <c r="CSF31" s="32"/>
      <c r="CSG31" s="32"/>
      <c r="CSH31" s="28"/>
      <c r="CSI31" s="29"/>
      <c r="CSJ31" s="30"/>
      <c r="CSK31" s="28"/>
      <c r="CSL31" s="29"/>
      <c r="CSM31" s="29"/>
      <c r="CSN31" s="29"/>
      <c r="CSO31" s="31"/>
      <c r="CSP31" s="32"/>
      <c r="CSQ31" s="32"/>
      <c r="CSR31" s="28"/>
      <c r="CSS31" s="29"/>
      <c r="CST31" s="30"/>
      <c r="CSU31" s="28"/>
      <c r="CSV31" s="29"/>
      <c r="CSW31" s="29"/>
      <c r="CSX31" s="29"/>
      <c r="CSY31" s="31"/>
      <c r="CSZ31" s="32"/>
      <c r="CTA31" s="32"/>
      <c r="CTB31" s="28"/>
      <c r="CTC31" s="29"/>
      <c r="CTD31" s="30"/>
      <c r="CTE31" s="28"/>
      <c r="CTF31" s="30"/>
      <c r="CTG31" s="29"/>
      <c r="CTH31" s="28"/>
      <c r="CTI31" s="29"/>
      <c r="CTJ31" s="28"/>
      <c r="CTK31" s="28"/>
      <c r="CTL31" s="28"/>
      <c r="CTM31" s="29"/>
      <c r="CTN31" s="385"/>
      <c r="CTO31" s="29"/>
      <c r="CTP31" s="385"/>
      <c r="CTQ31" s="29"/>
      <c r="CTR31" s="385"/>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30"/>
      <c r="CUY31" s="28"/>
      <c r="CUZ31" s="29"/>
      <c r="CVA31" s="29"/>
      <c r="CVB31" s="29"/>
      <c r="CVC31" s="29"/>
      <c r="CVD31" s="29"/>
      <c r="CVE31" s="31"/>
      <c r="CVF31" s="32"/>
      <c r="CVG31" s="32"/>
      <c r="CVH31" s="28"/>
      <c r="CVI31" s="29"/>
      <c r="CVJ31" s="30"/>
      <c r="CVK31" s="28"/>
      <c r="CVL31" s="29"/>
      <c r="CVM31" s="29"/>
      <c r="CVN31" s="29"/>
      <c r="CVO31" s="31"/>
      <c r="CVP31" s="32"/>
      <c r="CVQ31" s="32"/>
      <c r="CVR31" s="28"/>
      <c r="CVS31" s="29"/>
      <c r="CVT31" s="30"/>
      <c r="CVU31" s="28"/>
      <c r="CVV31" s="29"/>
      <c r="CVW31" s="29"/>
      <c r="CVX31" s="29"/>
      <c r="CVY31" s="31"/>
      <c r="CVZ31" s="32"/>
      <c r="CWA31" s="32"/>
      <c r="CWB31" s="28"/>
      <c r="CWC31" s="29"/>
      <c r="CWD31" s="30"/>
      <c r="CWE31" s="28"/>
      <c r="CWF31" s="29"/>
      <c r="CWG31" s="29"/>
      <c r="CWH31" s="29"/>
      <c r="CWI31" s="31"/>
      <c r="CWJ31" s="32"/>
      <c r="CWK31" s="32"/>
      <c r="CWL31" s="28"/>
      <c r="CWM31" s="29"/>
      <c r="CWN31" s="30"/>
      <c r="CWO31" s="28"/>
      <c r="CWP31" s="30"/>
      <c r="CWQ31" s="29"/>
      <c r="CWR31" s="28"/>
      <c r="CWS31" s="29"/>
      <c r="CWT31" s="28"/>
      <c r="CWU31" s="28"/>
      <c r="CWV31" s="28"/>
      <c r="CWW31" s="29"/>
      <c r="CWX31" s="385"/>
      <c r="CWY31" s="29"/>
      <c r="CWZ31" s="385"/>
      <c r="CXA31" s="29"/>
      <c r="CXB31" s="385"/>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30"/>
      <c r="CYI31" s="28"/>
      <c r="CYJ31" s="29"/>
      <c r="CYK31" s="29"/>
      <c r="CYL31" s="29"/>
      <c r="CYM31" s="29"/>
      <c r="CYN31" s="29"/>
      <c r="CYO31" s="31"/>
      <c r="CYP31" s="32"/>
      <c r="CYQ31" s="32"/>
      <c r="CYR31" s="28"/>
      <c r="CYS31" s="29"/>
      <c r="CYT31" s="30"/>
      <c r="CYU31" s="28"/>
      <c r="CYV31" s="29"/>
      <c r="CYW31" s="29"/>
      <c r="CYX31" s="29"/>
      <c r="CYY31" s="31"/>
      <c r="CYZ31" s="32"/>
      <c r="CZA31" s="32"/>
      <c r="CZB31" s="28"/>
      <c r="CZC31" s="29"/>
      <c r="CZD31" s="30"/>
      <c r="CZE31" s="28"/>
      <c r="CZF31" s="29"/>
      <c r="CZG31" s="29"/>
      <c r="CZH31" s="29"/>
      <c r="CZI31" s="31"/>
      <c r="CZJ31" s="32"/>
      <c r="CZK31" s="32"/>
      <c r="CZL31" s="28"/>
      <c r="CZM31" s="29"/>
      <c r="CZN31" s="30"/>
      <c r="CZO31" s="28"/>
      <c r="CZP31" s="29"/>
      <c r="CZQ31" s="29"/>
      <c r="CZR31" s="29"/>
      <c r="CZS31" s="31"/>
      <c r="CZT31" s="32"/>
      <c r="CZU31" s="32"/>
      <c r="CZV31" s="28"/>
      <c r="CZW31" s="29"/>
      <c r="CZX31" s="30"/>
      <c r="CZY31" s="28"/>
      <c r="CZZ31" s="30"/>
      <c r="DAA31" s="29"/>
      <c r="DAB31" s="28"/>
      <c r="DAC31" s="29"/>
      <c r="DAD31" s="28"/>
      <c r="DAE31" s="28"/>
      <c r="DAF31" s="28"/>
      <c r="DAG31" s="29"/>
      <c r="DAH31" s="385"/>
      <c r="DAI31" s="29"/>
      <c r="DAJ31" s="385"/>
      <c r="DAK31" s="29"/>
      <c r="DAL31" s="385"/>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30"/>
      <c r="DBS31" s="28"/>
      <c r="DBT31" s="29"/>
      <c r="DBU31" s="29"/>
      <c r="DBV31" s="29"/>
      <c r="DBW31" s="29"/>
      <c r="DBX31" s="29"/>
      <c r="DBY31" s="31"/>
      <c r="DBZ31" s="32"/>
      <c r="DCA31" s="32"/>
      <c r="DCB31" s="28"/>
      <c r="DCC31" s="29"/>
      <c r="DCD31" s="30"/>
      <c r="DCE31" s="28"/>
      <c r="DCF31" s="29"/>
      <c r="DCG31" s="29"/>
      <c r="DCH31" s="29"/>
      <c r="DCI31" s="31"/>
      <c r="DCJ31" s="32"/>
      <c r="DCK31" s="32"/>
      <c r="DCL31" s="28"/>
      <c r="DCM31" s="29"/>
      <c r="DCN31" s="30"/>
      <c r="DCO31" s="28"/>
      <c r="DCP31" s="29"/>
      <c r="DCQ31" s="29"/>
      <c r="DCR31" s="29"/>
      <c r="DCS31" s="31"/>
      <c r="DCT31" s="32"/>
      <c r="DCU31" s="32"/>
      <c r="DCV31" s="28"/>
      <c r="DCW31" s="29"/>
      <c r="DCX31" s="30"/>
      <c r="DCY31" s="28"/>
      <c r="DCZ31" s="29"/>
      <c r="DDA31" s="29"/>
      <c r="DDB31" s="29"/>
      <c r="DDC31" s="31"/>
      <c r="DDD31" s="32"/>
      <c r="DDE31" s="32"/>
      <c r="DDF31" s="28"/>
      <c r="DDG31" s="29"/>
      <c r="DDH31" s="30"/>
      <c r="DDI31" s="28"/>
      <c r="DDJ31" s="30"/>
      <c r="DDK31" s="29"/>
      <c r="DDL31" s="28"/>
      <c r="DDM31" s="29"/>
      <c r="DDN31" s="28"/>
      <c r="DDO31" s="28"/>
      <c r="DDP31" s="28"/>
      <c r="DDQ31" s="29"/>
      <c r="DDR31" s="385"/>
      <c r="DDS31" s="29"/>
      <c r="DDT31" s="385"/>
      <c r="DDU31" s="29"/>
      <c r="DDV31" s="385"/>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30"/>
      <c r="DFC31" s="28"/>
      <c r="DFD31" s="29"/>
      <c r="DFE31" s="29"/>
      <c r="DFF31" s="29"/>
      <c r="DFG31" s="29"/>
      <c r="DFH31" s="29"/>
      <c r="DFI31" s="31"/>
      <c r="DFJ31" s="32"/>
      <c r="DFK31" s="32"/>
      <c r="DFL31" s="28"/>
      <c r="DFM31" s="29"/>
      <c r="DFN31" s="30"/>
      <c r="DFO31" s="28"/>
      <c r="DFP31" s="29"/>
      <c r="DFQ31" s="29"/>
      <c r="DFR31" s="29"/>
      <c r="DFS31" s="31"/>
      <c r="DFT31" s="32"/>
      <c r="DFU31" s="32"/>
      <c r="DFV31" s="28"/>
      <c r="DFW31" s="29"/>
      <c r="DFX31" s="30"/>
      <c r="DFY31" s="28"/>
      <c r="DFZ31" s="29"/>
      <c r="DGA31" s="29"/>
      <c r="DGB31" s="29"/>
      <c r="DGC31" s="31"/>
      <c r="DGD31" s="32"/>
      <c r="DGE31" s="32"/>
      <c r="DGF31" s="28"/>
      <c r="DGG31" s="29"/>
      <c r="DGH31" s="30"/>
      <c r="DGI31" s="28"/>
      <c r="DGJ31" s="29"/>
      <c r="DGK31" s="29"/>
      <c r="DGL31" s="29"/>
      <c r="DGM31" s="31"/>
      <c r="DGN31" s="32"/>
      <c r="DGO31" s="32"/>
      <c r="DGP31" s="28"/>
      <c r="DGQ31" s="29"/>
      <c r="DGR31" s="30"/>
      <c r="DGS31" s="28"/>
      <c r="DGT31" s="30"/>
      <c r="DGU31" s="29"/>
      <c r="DGV31" s="28"/>
      <c r="DGW31" s="29"/>
      <c r="DGX31" s="28"/>
      <c r="DGY31" s="28"/>
      <c r="DGZ31" s="28"/>
      <c r="DHA31" s="29"/>
      <c r="DHB31" s="385"/>
      <c r="DHC31" s="29"/>
      <c r="DHD31" s="385"/>
      <c r="DHE31" s="29"/>
      <c r="DHF31" s="385"/>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30"/>
      <c r="DIM31" s="28"/>
      <c r="DIN31" s="29"/>
      <c r="DIO31" s="29"/>
      <c r="DIP31" s="29"/>
      <c r="DIQ31" s="29"/>
      <c r="DIR31" s="29"/>
      <c r="DIS31" s="31"/>
      <c r="DIT31" s="32"/>
      <c r="DIU31" s="32"/>
      <c r="DIV31" s="28"/>
      <c r="DIW31" s="29"/>
      <c r="DIX31" s="30"/>
      <c r="DIY31" s="28"/>
      <c r="DIZ31" s="29"/>
      <c r="DJA31" s="29"/>
      <c r="DJB31" s="29"/>
      <c r="DJC31" s="31"/>
      <c r="DJD31" s="32"/>
      <c r="DJE31" s="32"/>
      <c r="DJF31" s="28"/>
      <c r="DJG31" s="29"/>
      <c r="DJH31" s="30"/>
      <c r="DJI31" s="28"/>
      <c r="DJJ31" s="29"/>
      <c r="DJK31" s="29"/>
      <c r="DJL31" s="29"/>
      <c r="DJM31" s="31"/>
      <c r="DJN31" s="32"/>
      <c r="DJO31" s="32"/>
      <c r="DJP31" s="28"/>
      <c r="DJQ31" s="29"/>
      <c r="DJR31" s="30"/>
      <c r="DJS31" s="28"/>
      <c r="DJT31" s="29"/>
      <c r="DJU31" s="29"/>
      <c r="DJV31" s="29"/>
      <c r="DJW31" s="31"/>
      <c r="DJX31" s="32"/>
      <c r="DJY31" s="32"/>
      <c r="DJZ31" s="28"/>
      <c r="DKA31" s="29"/>
      <c r="DKB31" s="30"/>
      <c r="DKC31" s="28"/>
      <c r="DKD31" s="30"/>
      <c r="DKE31" s="29"/>
      <c r="DKF31" s="28"/>
      <c r="DKG31" s="29"/>
      <c r="DKH31" s="28"/>
      <c r="DKI31" s="28"/>
      <c r="DKJ31" s="28"/>
      <c r="DKK31" s="29"/>
      <c r="DKL31" s="385"/>
      <c r="DKM31" s="29"/>
      <c r="DKN31" s="385"/>
      <c r="DKO31" s="29"/>
      <c r="DKP31" s="385"/>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30"/>
      <c r="DLW31" s="28"/>
      <c r="DLX31" s="29"/>
      <c r="DLY31" s="29"/>
      <c r="DLZ31" s="29"/>
      <c r="DMA31" s="29"/>
      <c r="DMB31" s="29"/>
      <c r="DMC31" s="31"/>
      <c r="DMD31" s="32"/>
      <c r="DME31" s="32"/>
      <c r="DMF31" s="28"/>
      <c r="DMG31" s="29"/>
      <c r="DMH31" s="30"/>
      <c r="DMI31" s="28"/>
      <c r="DMJ31" s="29"/>
      <c r="DMK31" s="29"/>
      <c r="DML31" s="29"/>
      <c r="DMM31" s="31"/>
      <c r="DMN31" s="32"/>
      <c r="DMO31" s="32"/>
      <c r="DMP31" s="28"/>
      <c r="DMQ31" s="29"/>
      <c r="DMR31" s="30"/>
      <c r="DMS31" s="28"/>
      <c r="DMT31" s="29"/>
      <c r="DMU31" s="29"/>
      <c r="DMV31" s="29"/>
      <c r="DMW31" s="31"/>
      <c r="DMX31" s="32"/>
      <c r="DMY31" s="32"/>
      <c r="DMZ31" s="28"/>
      <c r="DNA31" s="29"/>
      <c r="DNB31" s="30"/>
      <c r="DNC31" s="28"/>
      <c r="DND31" s="29"/>
      <c r="DNE31" s="29"/>
      <c r="DNF31" s="29"/>
      <c r="DNG31" s="31"/>
      <c r="DNH31" s="32"/>
      <c r="DNI31" s="32"/>
      <c r="DNJ31" s="28"/>
      <c r="DNK31" s="29"/>
      <c r="DNL31" s="30"/>
      <c r="DNM31" s="28"/>
      <c r="DNN31" s="30"/>
      <c r="DNO31" s="29"/>
      <c r="DNP31" s="28"/>
      <c r="DNQ31" s="29"/>
      <c r="DNR31" s="28"/>
      <c r="DNS31" s="28"/>
      <c r="DNT31" s="28"/>
      <c r="DNU31" s="29"/>
      <c r="DNV31" s="385"/>
      <c r="DNW31" s="29"/>
      <c r="DNX31" s="385"/>
      <c r="DNY31" s="29"/>
      <c r="DNZ31" s="385"/>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30"/>
      <c r="DPG31" s="28"/>
      <c r="DPH31" s="29"/>
      <c r="DPI31" s="29"/>
      <c r="DPJ31" s="29"/>
      <c r="DPK31" s="29"/>
      <c r="DPL31" s="29"/>
      <c r="DPM31" s="31"/>
      <c r="DPN31" s="32"/>
      <c r="DPO31" s="32"/>
      <c r="DPP31" s="28"/>
      <c r="DPQ31" s="29"/>
      <c r="DPR31" s="30"/>
      <c r="DPS31" s="28"/>
      <c r="DPT31" s="29"/>
      <c r="DPU31" s="29"/>
      <c r="DPV31" s="29"/>
      <c r="DPW31" s="31"/>
      <c r="DPX31" s="32"/>
      <c r="DPY31" s="32"/>
      <c r="DPZ31" s="28"/>
      <c r="DQA31" s="29"/>
      <c r="DQB31" s="30"/>
      <c r="DQC31" s="28"/>
      <c r="DQD31" s="29"/>
      <c r="DQE31" s="29"/>
      <c r="DQF31" s="29"/>
      <c r="DQG31" s="31"/>
      <c r="DQH31" s="32"/>
      <c r="DQI31" s="32"/>
      <c r="DQJ31" s="28"/>
      <c r="DQK31" s="29"/>
      <c r="DQL31" s="30"/>
      <c r="DQM31" s="28"/>
      <c r="DQN31" s="29"/>
      <c r="DQO31" s="29"/>
      <c r="DQP31" s="29"/>
      <c r="DQQ31" s="31"/>
      <c r="DQR31" s="32"/>
      <c r="DQS31" s="32"/>
      <c r="DQT31" s="28"/>
      <c r="DQU31" s="29"/>
      <c r="DQV31" s="30"/>
      <c r="DQW31" s="28"/>
      <c r="DQX31" s="30"/>
      <c r="DQY31" s="29"/>
      <c r="DQZ31" s="28"/>
      <c r="DRA31" s="29"/>
      <c r="DRB31" s="28"/>
      <c r="DRC31" s="28"/>
      <c r="DRD31" s="28"/>
      <c r="DRE31" s="29"/>
      <c r="DRF31" s="385"/>
      <c r="DRG31" s="29"/>
      <c r="DRH31" s="385"/>
      <c r="DRI31" s="29"/>
      <c r="DRJ31" s="385"/>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30"/>
      <c r="DSQ31" s="28"/>
      <c r="DSR31" s="29"/>
      <c r="DSS31" s="29"/>
      <c r="DST31" s="29"/>
      <c r="DSU31" s="29"/>
      <c r="DSV31" s="29"/>
      <c r="DSW31" s="31"/>
      <c r="DSX31" s="32"/>
      <c r="DSY31" s="32"/>
      <c r="DSZ31" s="28"/>
      <c r="DTA31" s="29"/>
      <c r="DTB31" s="30"/>
      <c r="DTC31" s="28"/>
      <c r="DTD31" s="29"/>
      <c r="DTE31" s="29"/>
      <c r="DTF31" s="29"/>
      <c r="DTG31" s="31"/>
      <c r="DTH31" s="32"/>
      <c r="DTI31" s="32"/>
      <c r="DTJ31" s="28"/>
      <c r="DTK31" s="29"/>
      <c r="DTL31" s="30"/>
      <c r="DTM31" s="28"/>
      <c r="DTN31" s="29"/>
      <c r="DTO31" s="29"/>
      <c r="DTP31" s="29"/>
      <c r="DTQ31" s="31"/>
      <c r="DTR31" s="32"/>
      <c r="DTS31" s="32"/>
      <c r="DTT31" s="28"/>
      <c r="DTU31" s="29"/>
      <c r="DTV31" s="30"/>
      <c r="DTW31" s="28"/>
      <c r="DTX31" s="29"/>
      <c r="DTY31" s="29"/>
      <c r="DTZ31" s="29"/>
      <c r="DUA31" s="31"/>
      <c r="DUB31" s="32"/>
      <c r="DUC31" s="32"/>
      <c r="DUD31" s="28"/>
      <c r="DUE31" s="29"/>
      <c r="DUF31" s="30"/>
      <c r="DUG31" s="28"/>
      <c r="DUH31" s="30"/>
      <c r="DUI31" s="29"/>
      <c r="DUJ31" s="28"/>
      <c r="DUK31" s="29"/>
      <c r="DUL31" s="28"/>
      <c r="DUM31" s="28"/>
      <c r="DUN31" s="28"/>
      <c r="DUO31" s="29"/>
      <c r="DUP31" s="385"/>
      <c r="DUQ31" s="29"/>
      <c r="DUR31" s="385"/>
      <c r="DUS31" s="29"/>
      <c r="DUT31" s="385"/>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30"/>
      <c r="DWA31" s="28"/>
      <c r="DWB31" s="29"/>
      <c r="DWC31" s="29"/>
      <c r="DWD31" s="29"/>
      <c r="DWE31" s="29"/>
      <c r="DWF31" s="29"/>
      <c r="DWG31" s="31"/>
      <c r="DWH31" s="32"/>
      <c r="DWI31" s="32"/>
      <c r="DWJ31" s="28"/>
      <c r="DWK31" s="29"/>
      <c r="DWL31" s="30"/>
      <c r="DWM31" s="28"/>
      <c r="DWN31" s="29"/>
      <c r="DWO31" s="29"/>
      <c r="DWP31" s="29"/>
      <c r="DWQ31" s="31"/>
      <c r="DWR31" s="32"/>
      <c r="DWS31" s="32"/>
      <c r="DWT31" s="28"/>
      <c r="DWU31" s="29"/>
      <c r="DWV31" s="30"/>
      <c r="DWW31" s="28"/>
      <c r="DWX31" s="29"/>
      <c r="DWY31" s="29"/>
      <c r="DWZ31" s="29"/>
      <c r="DXA31" s="31"/>
      <c r="DXB31" s="32"/>
      <c r="DXC31" s="32"/>
      <c r="DXD31" s="28"/>
      <c r="DXE31" s="29"/>
      <c r="DXF31" s="30"/>
      <c r="DXG31" s="28"/>
      <c r="DXH31" s="29"/>
      <c r="DXI31" s="29"/>
      <c r="DXJ31" s="29"/>
      <c r="DXK31" s="31"/>
      <c r="DXL31" s="32"/>
      <c r="DXM31" s="32"/>
      <c r="DXN31" s="28"/>
      <c r="DXO31" s="29"/>
      <c r="DXP31" s="30"/>
      <c r="DXQ31" s="28"/>
      <c r="DXR31" s="30"/>
      <c r="DXS31" s="29"/>
      <c r="DXT31" s="28"/>
      <c r="DXU31" s="29"/>
      <c r="DXV31" s="28"/>
      <c r="DXW31" s="28"/>
      <c r="DXX31" s="28"/>
      <c r="DXY31" s="29"/>
      <c r="DXZ31" s="385"/>
      <c r="DYA31" s="29"/>
      <c r="DYB31" s="385"/>
      <c r="DYC31" s="29"/>
      <c r="DYD31" s="385"/>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30"/>
      <c r="DZK31" s="28"/>
      <c r="DZL31" s="29"/>
      <c r="DZM31" s="29"/>
      <c r="DZN31" s="29"/>
      <c r="DZO31" s="29"/>
      <c r="DZP31" s="29"/>
      <c r="DZQ31" s="31"/>
      <c r="DZR31" s="32"/>
      <c r="DZS31" s="32"/>
      <c r="DZT31" s="28"/>
      <c r="DZU31" s="29"/>
      <c r="DZV31" s="30"/>
      <c r="DZW31" s="28"/>
      <c r="DZX31" s="29"/>
      <c r="DZY31" s="29"/>
      <c r="DZZ31" s="29"/>
      <c r="EAA31" s="31"/>
      <c r="EAB31" s="32"/>
      <c r="EAC31" s="32"/>
      <c r="EAD31" s="28"/>
      <c r="EAE31" s="29"/>
      <c r="EAF31" s="30"/>
      <c r="EAG31" s="28"/>
      <c r="EAH31" s="29"/>
      <c r="EAI31" s="29"/>
      <c r="EAJ31" s="29"/>
      <c r="EAK31" s="31"/>
      <c r="EAL31" s="32"/>
      <c r="EAM31" s="32"/>
      <c r="EAN31" s="28"/>
      <c r="EAO31" s="29"/>
      <c r="EAP31" s="30"/>
      <c r="EAQ31" s="28"/>
      <c r="EAR31" s="29"/>
      <c r="EAS31" s="29"/>
      <c r="EAT31" s="29"/>
      <c r="EAU31" s="31"/>
      <c r="EAV31" s="32"/>
      <c r="EAW31" s="32"/>
      <c r="EAX31" s="28"/>
      <c r="EAY31" s="29"/>
      <c r="EAZ31" s="30"/>
      <c r="EBA31" s="28"/>
      <c r="EBB31" s="30"/>
      <c r="EBC31" s="29"/>
      <c r="EBD31" s="28"/>
      <c r="EBE31" s="29"/>
      <c r="EBF31" s="28"/>
      <c r="EBG31" s="28"/>
      <c r="EBH31" s="28"/>
      <c r="EBI31" s="29"/>
      <c r="EBJ31" s="385"/>
      <c r="EBK31" s="29"/>
      <c r="EBL31" s="385"/>
      <c r="EBM31" s="29"/>
      <c r="EBN31" s="385"/>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30"/>
      <c r="ECU31" s="28"/>
      <c r="ECV31" s="29"/>
      <c r="ECW31" s="29"/>
      <c r="ECX31" s="29"/>
      <c r="ECY31" s="29"/>
      <c r="ECZ31" s="29"/>
      <c r="EDA31" s="31"/>
      <c r="EDB31" s="32"/>
      <c r="EDC31" s="32"/>
      <c r="EDD31" s="28"/>
      <c r="EDE31" s="29"/>
      <c r="EDF31" s="30"/>
      <c r="EDG31" s="28"/>
      <c r="EDH31" s="29"/>
      <c r="EDI31" s="29"/>
      <c r="EDJ31" s="29"/>
      <c r="EDK31" s="31"/>
      <c r="EDL31" s="32"/>
      <c r="EDM31" s="32"/>
      <c r="EDN31" s="28"/>
      <c r="EDO31" s="29"/>
      <c r="EDP31" s="30"/>
      <c r="EDQ31" s="28"/>
      <c r="EDR31" s="29"/>
      <c r="EDS31" s="29"/>
      <c r="EDT31" s="29"/>
      <c r="EDU31" s="31"/>
      <c r="EDV31" s="32"/>
      <c r="EDW31" s="32"/>
      <c r="EDX31" s="28"/>
      <c r="EDY31" s="29"/>
      <c r="EDZ31" s="30"/>
      <c r="EEA31" s="28"/>
      <c r="EEB31" s="29"/>
      <c r="EEC31" s="29"/>
      <c r="EED31" s="29"/>
      <c r="EEE31" s="31"/>
      <c r="EEF31" s="32"/>
      <c r="EEG31" s="32"/>
      <c r="EEH31" s="28"/>
      <c r="EEI31" s="29"/>
      <c r="EEJ31" s="30"/>
      <c r="EEK31" s="28"/>
      <c r="EEL31" s="30"/>
      <c r="EEM31" s="29"/>
      <c r="EEN31" s="28"/>
      <c r="EEO31" s="29"/>
      <c r="EEP31" s="28"/>
      <c r="EEQ31" s="28"/>
      <c r="EER31" s="28"/>
      <c r="EES31" s="29"/>
      <c r="EET31" s="385"/>
      <c r="EEU31" s="29"/>
      <c r="EEV31" s="385"/>
      <c r="EEW31" s="29"/>
      <c r="EEX31" s="385"/>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30"/>
      <c r="EGE31" s="28"/>
      <c r="EGF31" s="29"/>
      <c r="EGG31" s="29"/>
      <c r="EGH31" s="29"/>
      <c r="EGI31" s="29"/>
      <c r="EGJ31" s="29"/>
      <c r="EGK31" s="31"/>
      <c r="EGL31" s="32"/>
      <c r="EGM31" s="32"/>
      <c r="EGN31" s="28"/>
      <c r="EGO31" s="29"/>
      <c r="EGP31" s="30"/>
      <c r="EGQ31" s="28"/>
      <c r="EGR31" s="29"/>
      <c r="EGS31" s="29"/>
      <c r="EGT31" s="29"/>
      <c r="EGU31" s="31"/>
      <c r="EGV31" s="32"/>
      <c r="EGW31" s="32"/>
      <c r="EGX31" s="28"/>
      <c r="EGY31" s="29"/>
      <c r="EGZ31" s="30"/>
      <c r="EHA31" s="28"/>
      <c r="EHB31" s="29"/>
      <c r="EHC31" s="29"/>
      <c r="EHD31" s="29"/>
      <c r="EHE31" s="31"/>
      <c r="EHF31" s="32"/>
      <c r="EHG31" s="32"/>
      <c r="EHH31" s="28"/>
      <c r="EHI31" s="29"/>
      <c r="EHJ31" s="30"/>
      <c r="EHK31" s="28"/>
      <c r="EHL31" s="29"/>
      <c r="EHM31" s="29"/>
      <c r="EHN31" s="29"/>
      <c r="EHO31" s="31"/>
      <c r="EHP31" s="32"/>
      <c r="EHQ31" s="32"/>
      <c r="EHR31" s="28"/>
      <c r="EHS31" s="29"/>
      <c r="EHT31" s="30"/>
      <c r="EHU31" s="28"/>
      <c r="EHV31" s="30"/>
      <c r="EHW31" s="29"/>
      <c r="EHX31" s="28"/>
      <c r="EHY31" s="29"/>
      <c r="EHZ31" s="28"/>
      <c r="EIA31" s="28"/>
      <c r="EIB31" s="28"/>
      <c r="EIC31" s="29"/>
      <c r="EID31" s="385"/>
      <c r="EIE31" s="29"/>
      <c r="EIF31" s="385"/>
      <c r="EIG31" s="29"/>
      <c r="EIH31" s="385"/>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30"/>
      <c r="EJO31" s="28"/>
      <c r="EJP31" s="29"/>
      <c r="EJQ31" s="29"/>
      <c r="EJR31" s="29"/>
      <c r="EJS31" s="29"/>
      <c r="EJT31" s="29"/>
      <c r="EJU31" s="31"/>
      <c r="EJV31" s="32"/>
      <c r="EJW31" s="32"/>
      <c r="EJX31" s="28"/>
      <c r="EJY31" s="29"/>
      <c r="EJZ31" s="30"/>
      <c r="EKA31" s="28"/>
      <c r="EKB31" s="29"/>
      <c r="EKC31" s="29"/>
      <c r="EKD31" s="29"/>
      <c r="EKE31" s="31"/>
      <c r="EKF31" s="32"/>
      <c r="EKG31" s="32"/>
      <c r="EKH31" s="28"/>
      <c r="EKI31" s="29"/>
      <c r="EKJ31" s="30"/>
      <c r="EKK31" s="28"/>
      <c r="EKL31" s="29"/>
      <c r="EKM31" s="29"/>
      <c r="EKN31" s="29"/>
      <c r="EKO31" s="31"/>
      <c r="EKP31" s="32"/>
      <c r="EKQ31" s="32"/>
      <c r="EKR31" s="28"/>
      <c r="EKS31" s="29"/>
      <c r="EKT31" s="30"/>
      <c r="EKU31" s="28"/>
      <c r="EKV31" s="29"/>
      <c r="EKW31" s="29"/>
      <c r="EKX31" s="29"/>
      <c r="EKY31" s="31"/>
      <c r="EKZ31" s="32"/>
      <c r="ELA31" s="32"/>
      <c r="ELB31" s="28"/>
      <c r="ELC31" s="29"/>
      <c r="ELD31" s="30"/>
      <c r="ELE31" s="28"/>
      <c r="ELF31" s="30"/>
      <c r="ELG31" s="29"/>
      <c r="ELH31" s="28"/>
      <c r="ELI31" s="29"/>
      <c r="ELJ31" s="28"/>
      <c r="ELK31" s="28"/>
      <c r="ELL31" s="28"/>
      <c r="ELM31" s="29"/>
      <c r="ELN31" s="385"/>
      <c r="ELO31" s="29"/>
      <c r="ELP31" s="385"/>
      <c r="ELQ31" s="29"/>
      <c r="ELR31" s="385"/>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30"/>
      <c r="EMY31" s="28"/>
      <c r="EMZ31" s="29"/>
      <c r="ENA31" s="29"/>
      <c r="ENB31" s="29"/>
      <c r="ENC31" s="29"/>
      <c r="END31" s="29"/>
      <c r="ENE31" s="31"/>
      <c r="ENF31" s="32"/>
      <c r="ENG31" s="32"/>
      <c r="ENH31" s="28"/>
      <c r="ENI31" s="29"/>
      <c r="ENJ31" s="30"/>
      <c r="ENK31" s="28"/>
      <c r="ENL31" s="29"/>
      <c r="ENM31" s="29"/>
      <c r="ENN31" s="29"/>
      <c r="ENO31" s="31"/>
      <c r="ENP31" s="32"/>
      <c r="ENQ31" s="32"/>
      <c r="ENR31" s="28"/>
      <c r="ENS31" s="29"/>
      <c r="ENT31" s="30"/>
      <c r="ENU31" s="28"/>
      <c r="ENV31" s="29"/>
      <c r="ENW31" s="29"/>
      <c r="ENX31" s="29"/>
      <c r="ENY31" s="31"/>
      <c r="ENZ31" s="32"/>
      <c r="EOA31" s="32"/>
      <c r="EOB31" s="28"/>
      <c r="EOC31" s="29"/>
      <c r="EOD31" s="30"/>
      <c r="EOE31" s="28"/>
      <c r="EOF31" s="29"/>
      <c r="EOG31" s="29"/>
      <c r="EOH31" s="29"/>
      <c r="EOI31" s="31"/>
      <c r="EOJ31" s="32"/>
      <c r="EOK31" s="32"/>
      <c r="EOL31" s="28"/>
      <c r="EOM31" s="29"/>
      <c r="EON31" s="30"/>
      <c r="EOO31" s="28" t="str">
        <f t="shared" si="149"/>
        <v xml:space="preserve"> </v>
      </c>
      <c r="EOP31" s="30"/>
      <c r="EOQ31" s="29"/>
      <c r="EOR31" s="28"/>
      <c r="EOS31" s="29"/>
      <c r="EOT31" s="28"/>
      <c r="EOU31" s="28"/>
      <c r="EOV31" s="28"/>
      <c r="EOW31" s="29"/>
      <c r="EOX31" s="385"/>
      <c r="EOY31" s="29"/>
      <c r="EOZ31" s="385"/>
      <c r="EPA31" s="29"/>
      <c r="EPB31" s="385"/>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30"/>
      <c r="EQI31" s="28"/>
      <c r="EQJ31" s="29"/>
      <c r="EQK31" s="29"/>
      <c r="EQL31" s="29"/>
      <c r="EQM31" s="29"/>
      <c r="EQN31" s="29"/>
      <c r="EQO31" s="31"/>
      <c r="EQP31" s="32"/>
      <c r="EQQ31" s="32"/>
      <c r="EQR31" s="28"/>
      <c r="EQS31" s="29"/>
      <c r="EQT31" s="30"/>
      <c r="EQU31" s="28"/>
      <c r="EQV31" s="29"/>
      <c r="EQW31" s="29"/>
      <c r="EQX31" s="29"/>
      <c r="EQY31" s="31"/>
      <c r="EQZ31" s="32"/>
      <c r="ERA31" s="32"/>
      <c r="ERB31" s="28"/>
      <c r="ERC31" s="29"/>
      <c r="ERD31" s="30"/>
      <c r="ERE31" s="28"/>
      <c r="ERF31" s="29"/>
      <c r="ERG31" s="29"/>
      <c r="ERH31" s="29"/>
      <c r="ERI31" s="31"/>
      <c r="ERJ31" s="32"/>
      <c r="ERK31" s="32"/>
      <c r="ERL31" s="28"/>
      <c r="ERM31" s="29"/>
      <c r="ERN31" s="30"/>
      <c r="ERO31" s="28"/>
      <c r="ERP31" s="29"/>
      <c r="ERQ31" s="29"/>
      <c r="ERR31" s="29"/>
      <c r="ERS31" s="31"/>
      <c r="ERT31" s="32"/>
      <c r="ERU31" s="32"/>
      <c r="ERV31" s="28"/>
      <c r="ERW31" s="29"/>
      <c r="ERX31" s="30"/>
      <c r="ERY31" s="28" t="str">
        <f t="shared" si="152"/>
        <v xml:space="preserve"> </v>
      </c>
      <c r="ERZ31" s="30"/>
      <c r="ESA31" s="29"/>
      <c r="ESB31" s="28"/>
      <c r="ESC31" s="29"/>
      <c r="ESD31" s="28"/>
      <c r="ESE31" s="28"/>
      <c r="ESF31" s="28"/>
      <c r="ESG31" s="29"/>
      <c r="ESH31" s="385"/>
      <c r="ESI31" s="29"/>
      <c r="ESJ31" s="385"/>
      <c r="ESK31" s="29"/>
      <c r="ESL31" s="385"/>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30"/>
      <c r="ETS31" s="28"/>
      <c r="ETT31" s="29"/>
      <c r="ETU31" s="29"/>
      <c r="ETV31" s="29"/>
      <c r="ETW31" s="29"/>
      <c r="ETX31" s="29"/>
      <c r="ETY31" s="31"/>
      <c r="ETZ31" s="32"/>
      <c r="EUA31" s="32"/>
      <c r="EUB31" s="28"/>
      <c r="EUC31" s="29"/>
      <c r="EUD31" s="30"/>
      <c r="EUE31" s="28"/>
      <c r="EUF31" s="29"/>
      <c r="EUG31" s="29"/>
      <c r="EUH31" s="29"/>
      <c r="EUI31" s="31"/>
      <c r="EUJ31" s="32"/>
      <c r="EUK31" s="32"/>
      <c r="EUL31" s="28"/>
      <c r="EUM31" s="29"/>
      <c r="EUN31" s="30"/>
      <c r="EUO31" s="28"/>
      <c r="EUP31" s="29"/>
      <c r="EUQ31" s="29"/>
      <c r="EUR31" s="29"/>
      <c r="EUS31" s="31"/>
      <c r="EUT31" s="32"/>
      <c r="EUU31" s="32"/>
      <c r="EUV31" s="28"/>
      <c r="EUW31" s="29"/>
      <c r="EUX31" s="30"/>
      <c r="EUY31" s="28"/>
      <c r="EUZ31" s="29"/>
      <c r="EVA31" s="29"/>
      <c r="EVB31" s="29"/>
      <c r="EVC31" s="31"/>
      <c r="EVD31" s="32"/>
      <c r="EVE31" s="32"/>
      <c r="EVF31" s="28"/>
      <c r="EVG31" s="29"/>
      <c r="EVH31" s="30"/>
      <c r="EVI31" s="28" t="str">
        <f t="shared" si="153"/>
        <v xml:space="preserve"> </v>
      </c>
    </row>
    <row r="32" spans="1:3961" x14ac:dyDescent="0.3">
      <c r="A32" s="424" t="s">
        <v>188</v>
      </c>
      <c r="B32" s="58" t="str">
        <f>'REG y VAL POE - AESR - ESR'!B2199</f>
        <v xml:space="preserve">Carpio Ramirez Nancy </v>
      </c>
      <c r="C32" s="57" t="str">
        <f>'REG y VAL POE - AESR - ESR'!C2199</f>
        <v>Sin Registro</v>
      </c>
      <c r="D32" s="56">
        <f>'REG y VAL POE - AESR - ESR'!D2199</f>
        <v>23024116</v>
      </c>
      <c r="E32" s="57">
        <f>'REG y VAL POE - AESR - ESR'!E2199</f>
        <v>0</v>
      </c>
      <c r="F32" s="56">
        <f>'REG y VAL POE - AESR - ESR'!F2199</f>
        <v>0</v>
      </c>
      <c r="G32" s="59">
        <f>'REG y VAL POE - AESR - ESR'!G2199</f>
        <v>0</v>
      </c>
      <c r="H32" s="59">
        <f>'REG y VAL POE - AESR - ESR'!H2199</f>
        <v>0</v>
      </c>
      <c r="I32" s="57">
        <f>'REG y VAL POE - AESR - ESR'!I2199</f>
        <v>0</v>
      </c>
      <c r="J32" s="57">
        <f>'REG y VAL POE - AESR - ESR'!J2199</f>
        <v>0</v>
      </c>
      <c r="K32" s="57">
        <f>'REG y VAL POE - AESR - ESR'!K2199</f>
        <v>0</v>
      </c>
      <c r="L32" s="57">
        <f>'REG y VAL POE - AESR - ESR'!L2199</f>
        <v>0</v>
      </c>
      <c r="M32" s="57">
        <f>'REG y VAL POE - AESR - ESR'!M2199</f>
        <v>0</v>
      </c>
      <c r="N32" s="57">
        <f>'REG y VAL POE - AESR - ESR'!N2199</f>
        <v>0</v>
      </c>
      <c r="O32" s="57">
        <f>'REG y VAL POE - AESR - ESR'!O2199</f>
        <v>0</v>
      </c>
      <c r="P32" s="57">
        <f>'REG y VAL POE - AESR - ESR'!P2199</f>
        <v>0</v>
      </c>
      <c r="Q32" s="57">
        <f>'REG y VAL POE - AESR - ESR'!Q2199</f>
        <v>0</v>
      </c>
      <c r="R32" s="57">
        <f>'REG y VAL POE - AESR - ESR'!R2199</f>
        <v>0</v>
      </c>
      <c r="S32" s="57">
        <f>'REG y VAL POE - AESR - ESR'!S2199</f>
        <v>0</v>
      </c>
      <c r="T32" s="57">
        <f>'REG y VAL POE - AESR - ESR'!T2199</f>
        <v>0</v>
      </c>
      <c r="U32" s="57">
        <f>'REG y VAL POE - AESR - ESR'!U2199</f>
        <v>0</v>
      </c>
      <c r="V32" s="57">
        <f>'REG y VAL POE - AESR - ESR'!V2199</f>
        <v>0</v>
      </c>
      <c r="W32" s="57">
        <f>'REG y VAL POE - AESR - ESR'!W2199</f>
        <v>0</v>
      </c>
      <c r="X32" s="57">
        <f>'REG y VAL POE - AESR - ESR'!X2199</f>
        <v>0</v>
      </c>
      <c r="Y32" s="57">
        <f>'REG y VAL POE - AESR - ESR'!Y2199</f>
        <v>0</v>
      </c>
      <c r="Z32" s="57">
        <f>'REG y VAL POE - AESR - ESR'!Z2199</f>
        <v>0</v>
      </c>
      <c r="AA32" s="57">
        <f>'REG y VAL POE - AESR - ESR'!AA2199</f>
        <v>0</v>
      </c>
      <c r="AB32" s="57">
        <f>'REG y VAL POE - AESR - ESR'!AB2199</f>
        <v>0</v>
      </c>
      <c r="AC32" s="57">
        <f>'REG y VAL POE - AESR - ESR'!AC2199</f>
        <v>0</v>
      </c>
      <c r="AD32" s="57">
        <f>'REG y VAL POE - AESR - ESR'!AD2199</f>
        <v>0</v>
      </c>
      <c r="AE32" s="57">
        <f>'REG y VAL POE - AESR - ESR'!AE2199</f>
        <v>0</v>
      </c>
      <c r="AF32" s="57">
        <f>'REG y VAL POE - AESR - ESR'!AF2199</f>
        <v>0</v>
      </c>
      <c r="AG32" s="57">
        <f>'REG y VAL POE - AESR - ESR'!AG2199</f>
        <v>0</v>
      </c>
      <c r="AH32" s="57">
        <f>'REG y VAL POE - AESR - ESR'!AH2199</f>
        <v>0</v>
      </c>
      <c r="AI32" s="57">
        <f>'REG y VAL POE - AESR - ESR'!AI2199</f>
        <v>0</v>
      </c>
      <c r="AJ32" s="57">
        <f>'REG y VAL POE - AESR - ESR'!AJ2199</f>
        <v>0</v>
      </c>
      <c r="AK32" s="57">
        <f>'REG y VAL POE - AESR - ESR'!AK2199</f>
        <v>0</v>
      </c>
      <c r="AL32" s="57">
        <f>'REG y VAL POE - AESR - ESR'!AL2199</f>
        <v>0</v>
      </c>
      <c r="AM32" s="57">
        <f>'REG y VAL POE - AESR - ESR'!AM2199</f>
        <v>0</v>
      </c>
      <c r="AN32" s="57">
        <f>'REG y VAL POE - AESR - ESR'!AN2199</f>
        <v>0</v>
      </c>
      <c r="AO32" s="57">
        <f>'REG y VAL POE - AESR - ESR'!AO2199</f>
        <v>0</v>
      </c>
      <c r="AP32" s="57">
        <f>'REG y VAL POE - AESR - ESR'!AP2199</f>
        <v>0</v>
      </c>
      <c r="AQ32" s="57">
        <f>'REG y VAL POE - AESR - ESR'!AQ2199</f>
        <v>0</v>
      </c>
      <c r="AR32" s="57">
        <f>'REG y VAL POE - AESR - ESR'!AR2199</f>
        <v>0</v>
      </c>
      <c r="AS32" s="57">
        <f>'REG y VAL POE - AESR - ESR'!AS2199</f>
        <v>0</v>
      </c>
      <c r="AT32" s="58" t="str">
        <f>'REG y VAL POE - AESR - ESR'!B2200</f>
        <v xml:space="preserve">Ceja Sauceda Javier </v>
      </c>
      <c r="AU32" s="56" t="str">
        <f>'REG y VAL POE - AESR - ESR'!C2200</f>
        <v>Sin Registro</v>
      </c>
      <c r="AV32" s="57">
        <f>'REG y VAL POE - AESR - ESR'!D2200</f>
        <v>23138646</v>
      </c>
      <c r="AW32" s="57">
        <f>'REG y VAL POE - AESR - ESR'!E2200</f>
        <v>0</v>
      </c>
      <c r="AX32" s="57">
        <f>'REG y VAL POE - AESR - ESR'!F2200</f>
        <v>0</v>
      </c>
      <c r="AY32" s="57">
        <f>'REG y VAL POE - AESR - ESR'!G2200</f>
        <v>0</v>
      </c>
      <c r="AZ32" s="57">
        <f>'REG y VAL POE - AESR - ESR'!H2200</f>
        <v>0</v>
      </c>
      <c r="BA32" s="56">
        <f>'REG y VAL POE - AESR - ESR'!I2200</f>
        <v>0</v>
      </c>
      <c r="BB32" s="57">
        <f>'REG y VAL POE - AESR - ESR'!J2200</f>
        <v>0</v>
      </c>
      <c r="BC32" s="57">
        <f>'REG y VAL POE - AESR - ESR'!K2200</f>
        <v>0</v>
      </c>
      <c r="BD32" s="56">
        <f>'REG y VAL POE - AESR - ESR'!L2200</f>
        <v>0</v>
      </c>
      <c r="BE32" s="57">
        <f>'REG y VAL POE - AESR - ESR'!M2200</f>
        <v>0</v>
      </c>
      <c r="BF32" s="58">
        <f>'REG y VAL POE - AESR - ESR'!N2200</f>
        <v>0</v>
      </c>
      <c r="BG32" s="56">
        <f>'REG y VAL POE - AESR - ESR'!O2200</f>
        <v>0</v>
      </c>
      <c r="BH32" s="57">
        <f>'REG y VAL POE - AESR - ESR'!P2200</f>
        <v>0</v>
      </c>
      <c r="BI32" s="57">
        <f>'REG y VAL POE - AESR - ESR'!Q2200</f>
        <v>0</v>
      </c>
      <c r="BJ32" s="57">
        <f>'REG y VAL POE - AESR - ESR'!R2200</f>
        <v>0</v>
      </c>
      <c r="BK32" s="56">
        <f>'REG y VAL POE - AESR - ESR'!S2200</f>
        <v>0</v>
      </c>
      <c r="BL32" s="57">
        <f>'REG y VAL POE - AESR - ESR'!T2200</f>
        <v>0</v>
      </c>
      <c r="BM32" s="57">
        <f>'REG y VAL POE - AESR - ESR'!U2200</f>
        <v>0</v>
      </c>
      <c r="BN32" s="56">
        <f>'REG y VAL POE - AESR - ESR'!V2200</f>
        <v>0</v>
      </c>
      <c r="BO32" s="57">
        <f>'REG y VAL POE - AESR - ESR'!W2200</f>
        <v>0</v>
      </c>
      <c r="BP32" s="58">
        <f>'REG y VAL POE - AESR - ESR'!X2200</f>
        <v>0</v>
      </c>
      <c r="BQ32" s="56">
        <f>'REG y VAL POE - AESR - ESR'!Y2200</f>
        <v>0</v>
      </c>
      <c r="BR32" s="57">
        <f>'REG y VAL POE - AESR - ESR'!Z2200</f>
        <v>0</v>
      </c>
      <c r="BS32" s="57">
        <f>'REG y VAL POE - AESR - ESR'!AA2200</f>
        <v>0</v>
      </c>
      <c r="BT32" s="57">
        <f>'REG y VAL POE - AESR - ESR'!AB2200</f>
        <v>0</v>
      </c>
      <c r="BU32" s="56">
        <f>'REG y VAL POE - AESR - ESR'!AC2200</f>
        <v>0</v>
      </c>
      <c r="BV32" s="57">
        <f>'REG y VAL POE - AESR - ESR'!AD2200</f>
        <v>0</v>
      </c>
      <c r="BW32" s="57">
        <f>'REG y VAL POE - AESR - ESR'!AE2200</f>
        <v>0</v>
      </c>
      <c r="BX32" s="56">
        <f>'REG y VAL POE - AESR - ESR'!AF2200</f>
        <v>0</v>
      </c>
      <c r="BY32" s="57">
        <f>'REG y VAL POE - AESR - ESR'!AG2200</f>
        <v>0</v>
      </c>
      <c r="BZ32" s="58">
        <f>'REG y VAL POE - AESR - ESR'!AH2200</f>
        <v>0</v>
      </c>
      <c r="CA32" s="56">
        <f>'REG y VAL POE - AESR - ESR'!AI2200</f>
        <v>0</v>
      </c>
      <c r="CB32" s="57">
        <f>'REG y VAL POE - AESR - ESR'!AJ2200</f>
        <v>0</v>
      </c>
      <c r="CC32" s="57">
        <f>'REG y VAL POE - AESR - ESR'!AK2200</f>
        <v>0</v>
      </c>
      <c r="CD32" s="57">
        <f>'REG y VAL POE - AESR - ESR'!AL2200</f>
        <v>0</v>
      </c>
      <c r="CE32" s="56">
        <f>'REG y VAL POE - AESR - ESR'!AM2200</f>
        <v>0</v>
      </c>
      <c r="CF32" s="57">
        <f>'REG y VAL POE - AESR - ESR'!AN2200</f>
        <v>0</v>
      </c>
      <c r="CG32" s="57">
        <f>'REG y VAL POE - AESR - ESR'!AO2200</f>
        <v>0</v>
      </c>
      <c r="CH32" s="56">
        <f>'REG y VAL POE - AESR - ESR'!AP2200</f>
        <v>0</v>
      </c>
      <c r="CI32" s="57">
        <f>'REG y VAL POE - AESR - ESR'!AQ2200</f>
        <v>0</v>
      </c>
      <c r="CJ32" s="58">
        <f>'REG y VAL POE - AESR - ESR'!AR2200</f>
        <v>0</v>
      </c>
      <c r="CK32" s="56">
        <f>'REG y VAL POE - AESR - ESR'!AS2200</f>
        <v>0</v>
      </c>
      <c r="CL32" s="57" t="str">
        <f>'REG y VAL POE - AESR - ESR'!B2201</f>
        <v xml:space="preserve">Cruz Miron Mayte </v>
      </c>
      <c r="CM32" s="57" t="str">
        <f>'REG y VAL POE - AESR - ESR'!C2201</f>
        <v>Sin Registro</v>
      </c>
      <c r="CN32" s="57">
        <f>'REG y VAL POE - AESR - ESR'!D2201</f>
        <v>23139016</v>
      </c>
      <c r="CO32" s="59">
        <f>'REG y VAL POE - AESR - ESR'!E2201</f>
        <v>0</v>
      </c>
      <c r="CP32" s="177">
        <f>'REG y VAL POE - AESR - ESR'!F2201</f>
        <v>0</v>
      </c>
      <c r="CQ32" s="177">
        <f>'REG y VAL POE - AESR - ESR'!G2201</f>
        <v>0</v>
      </c>
      <c r="CR32" s="56">
        <f>'REG y VAL POE - AESR - ESR'!H2201</f>
        <v>0</v>
      </c>
      <c r="CS32" s="57">
        <f>'REG y VAL POE - AESR - ESR'!I2201</f>
        <v>0</v>
      </c>
      <c r="CT32" s="58">
        <f>'REG y VAL POE - AESR - ESR'!J2201</f>
        <v>0</v>
      </c>
      <c r="CU32" s="56">
        <f>'REG y VAL POE - AESR - ESR'!K2201</f>
        <v>0</v>
      </c>
      <c r="CV32" s="57">
        <f>'REG y VAL POE - AESR - ESR'!L2201</f>
        <v>0</v>
      </c>
      <c r="CW32" s="57">
        <f>'REG y VAL POE - AESR - ESR'!M2201</f>
        <v>0</v>
      </c>
      <c r="CX32" s="57">
        <f>'REG y VAL POE - AESR - ESR'!N2201</f>
        <v>0</v>
      </c>
      <c r="CY32" s="56">
        <f>'REG y VAL POE - AESR - ESR'!O2201</f>
        <v>0</v>
      </c>
      <c r="CZ32" s="57">
        <f>'REG y VAL POE - AESR - ESR'!P2201</f>
        <v>0</v>
      </c>
      <c r="DA32" s="57">
        <f>'REG y VAL POE - AESR - ESR'!Q2201</f>
        <v>0</v>
      </c>
      <c r="DB32" s="56">
        <f>'REG y VAL POE - AESR - ESR'!R2201</f>
        <v>0</v>
      </c>
      <c r="DC32" s="57">
        <f>'REG y VAL POE - AESR - ESR'!S2201</f>
        <v>0</v>
      </c>
      <c r="DD32" s="58">
        <f>'REG y VAL POE - AESR - ESR'!T2201</f>
        <v>0</v>
      </c>
      <c r="DE32" s="56">
        <f>'REG y VAL POE - AESR - ESR'!U2201</f>
        <v>0</v>
      </c>
      <c r="DF32" s="57">
        <f>'REG y VAL POE - AESR - ESR'!V2201</f>
        <v>0</v>
      </c>
      <c r="DG32" s="57">
        <f>'REG y VAL POE - AESR - ESR'!W2201</f>
        <v>0</v>
      </c>
      <c r="DH32" s="57">
        <f>'REG y VAL POE - AESR - ESR'!X2201</f>
        <v>0</v>
      </c>
      <c r="DI32" s="56">
        <f>'REG y VAL POE - AESR - ESR'!Y2201</f>
        <v>0</v>
      </c>
      <c r="DJ32" s="57">
        <f>'REG y VAL POE - AESR - ESR'!Z2201</f>
        <v>0</v>
      </c>
      <c r="DK32" s="57">
        <f>'REG y VAL POE - AESR - ESR'!AA2201</f>
        <v>0</v>
      </c>
      <c r="DL32" s="56">
        <f>'REG y VAL POE - AESR - ESR'!AB2201</f>
        <v>0</v>
      </c>
      <c r="DM32" s="57">
        <f>'REG y VAL POE - AESR - ESR'!AC2201</f>
        <v>0</v>
      </c>
      <c r="DN32" s="58">
        <f>'REG y VAL POE - AESR - ESR'!AD2201</f>
        <v>0</v>
      </c>
      <c r="DO32" s="56">
        <f>'REG y VAL POE - AESR - ESR'!AE2201</f>
        <v>0</v>
      </c>
      <c r="DP32" s="57">
        <f>'REG y VAL POE - AESR - ESR'!AF2201</f>
        <v>0</v>
      </c>
      <c r="DQ32" s="57">
        <f>'REG y VAL POE - AESR - ESR'!AG2201</f>
        <v>0</v>
      </c>
      <c r="DR32" s="57">
        <f>'REG y VAL POE - AESR - ESR'!AH2201</f>
        <v>0</v>
      </c>
      <c r="DS32" s="56">
        <f>'REG y VAL POE - AESR - ESR'!AI2201</f>
        <v>0</v>
      </c>
      <c r="DT32" s="57">
        <f>'REG y VAL POE - AESR - ESR'!AJ2201</f>
        <v>0</v>
      </c>
      <c r="DU32" s="57">
        <f>'REG y VAL POE - AESR - ESR'!AK2201</f>
        <v>0</v>
      </c>
      <c r="DV32" s="56">
        <f>'REG y VAL POE - AESR - ESR'!AL2201</f>
        <v>0</v>
      </c>
      <c r="DW32" s="57">
        <f>'REG y VAL POE - AESR - ESR'!AM2201</f>
        <v>0</v>
      </c>
      <c r="DX32" s="58">
        <f>'REG y VAL POE - AESR - ESR'!AN2201</f>
        <v>0</v>
      </c>
      <c r="DY32" s="56">
        <f>'REG y VAL POE - AESR - ESR'!AO2201</f>
        <v>0</v>
      </c>
      <c r="DZ32" s="57">
        <f>'REG y VAL POE - AESR - ESR'!AP2201</f>
        <v>0</v>
      </c>
      <c r="EA32" s="57">
        <f>'REG y VAL POE - AESR - ESR'!AQ2201</f>
        <v>0</v>
      </c>
      <c r="EB32" s="57">
        <f>'REG y VAL POE - AESR - ESR'!AR2201</f>
        <v>0</v>
      </c>
      <c r="EC32" s="56">
        <f>'REG y VAL POE - AESR - ESR'!AS2201</f>
        <v>0</v>
      </c>
      <c r="ED32" s="57" t="str">
        <f>'REG y VAL POE - AESR - ESR'!B2202</f>
        <v xml:space="preserve">De La Cruz Velazquez Juan Jesus </v>
      </c>
      <c r="EE32" s="56" t="str">
        <f>'REG y VAL POE - AESR - ESR'!C2202</f>
        <v>Sin Registro</v>
      </c>
      <c r="EF32" s="56">
        <f>'REG y VAL POE - AESR - ESR'!D2202</f>
        <v>23137992</v>
      </c>
      <c r="EG32" s="57">
        <f>'REG y VAL POE - AESR - ESR'!E2202</f>
        <v>0</v>
      </c>
      <c r="EH32" s="58">
        <f>'REG y VAL POE - AESR - ESR'!F2202</f>
        <v>0</v>
      </c>
      <c r="EI32" s="56">
        <f>'REG y VAL POE - AESR - ESR'!G2202</f>
        <v>0</v>
      </c>
      <c r="EJ32" s="57">
        <f>'REG y VAL POE - AESR - ESR'!H2202</f>
        <v>0</v>
      </c>
      <c r="EK32" s="57">
        <f>'REG y VAL POE - AESR - ESR'!I2202</f>
        <v>0</v>
      </c>
      <c r="EL32" s="57">
        <f>'REG y VAL POE - AESR - ESR'!J2202</f>
        <v>0</v>
      </c>
      <c r="EM32" s="56">
        <f>'REG y VAL POE - AESR - ESR'!K2202</f>
        <v>0</v>
      </c>
      <c r="EN32" s="57">
        <f>'REG y VAL POE - AESR - ESR'!L2202</f>
        <v>0</v>
      </c>
      <c r="EO32" s="57">
        <f>'REG y VAL POE - AESR - ESR'!M2202</f>
        <v>0</v>
      </c>
      <c r="EP32" s="56">
        <f>'REG y VAL POE - AESR - ESR'!N2202</f>
        <v>0</v>
      </c>
      <c r="EQ32" s="57">
        <f>'REG y VAL POE - AESR - ESR'!O2202</f>
        <v>0</v>
      </c>
      <c r="ER32" s="58">
        <f>'REG y VAL POE - AESR - ESR'!P2202</f>
        <v>0</v>
      </c>
      <c r="ES32" s="56">
        <f>'REG y VAL POE - AESR - ESR'!Q2202</f>
        <v>0</v>
      </c>
      <c r="ET32" s="57">
        <f>'REG y VAL POE - AESR - ESR'!R2202</f>
        <v>0</v>
      </c>
      <c r="EU32" s="57">
        <f>'REG y VAL POE - AESR - ESR'!S2202</f>
        <v>0</v>
      </c>
      <c r="EV32" s="57">
        <f>'REG y VAL POE - AESR - ESR'!T2202</f>
        <v>0</v>
      </c>
      <c r="EW32" s="56">
        <f>'REG y VAL POE - AESR - ESR'!U2202</f>
        <v>0</v>
      </c>
      <c r="EX32" s="57">
        <f>'REG y VAL POE - AESR - ESR'!V2202</f>
        <v>0</v>
      </c>
      <c r="EY32" s="57">
        <f>'REG y VAL POE - AESR - ESR'!W2202</f>
        <v>0</v>
      </c>
      <c r="EZ32" s="56">
        <f>'REG y VAL POE - AESR - ESR'!X2202</f>
        <v>0</v>
      </c>
      <c r="FA32" s="57">
        <f>'REG y VAL POE - AESR - ESR'!Y2202</f>
        <v>0</v>
      </c>
      <c r="FB32" s="58">
        <f>'REG y VAL POE - AESR - ESR'!Z2202</f>
        <v>0</v>
      </c>
      <c r="FC32" s="56">
        <f>'REG y VAL POE - AESR - ESR'!AA2202</f>
        <v>0</v>
      </c>
      <c r="FD32" s="57">
        <f>'REG y VAL POE - AESR - ESR'!AB2202</f>
        <v>0</v>
      </c>
      <c r="FE32" s="57">
        <f>'REG y VAL POE - AESR - ESR'!AC2202</f>
        <v>0</v>
      </c>
      <c r="FF32" s="57">
        <f>'REG y VAL POE - AESR - ESR'!AD2202</f>
        <v>0</v>
      </c>
      <c r="FG32" s="56">
        <f>'REG y VAL POE - AESR - ESR'!AE2202</f>
        <v>0</v>
      </c>
      <c r="FH32" s="57">
        <f>'REG y VAL POE - AESR - ESR'!AF2202</f>
        <v>0</v>
      </c>
      <c r="FI32" s="57">
        <f>'REG y VAL POE - AESR - ESR'!AG2202</f>
        <v>0</v>
      </c>
      <c r="FJ32" s="56">
        <f>'REG y VAL POE - AESR - ESR'!AH2202</f>
        <v>0</v>
      </c>
      <c r="FK32" s="57">
        <f>'REG y VAL POE - AESR - ESR'!AI2202</f>
        <v>0</v>
      </c>
      <c r="FL32" s="58">
        <f>'REG y VAL POE - AESR - ESR'!AJ2202</f>
        <v>0</v>
      </c>
      <c r="FM32" s="56">
        <f>'REG y VAL POE - AESR - ESR'!AK2202</f>
        <v>0</v>
      </c>
      <c r="FN32" s="57">
        <f>'REG y VAL POE - AESR - ESR'!AL2202</f>
        <v>0</v>
      </c>
      <c r="FO32" s="57">
        <f>'REG y VAL POE - AESR - ESR'!AM2202</f>
        <v>0</v>
      </c>
      <c r="FP32" s="57">
        <f>'REG y VAL POE - AESR - ESR'!AN2202</f>
        <v>0</v>
      </c>
      <c r="FQ32" s="56">
        <f>'REG y VAL POE - AESR - ESR'!AO2202</f>
        <v>0</v>
      </c>
      <c r="FR32" s="57">
        <f>'REG y VAL POE - AESR - ESR'!AP2202</f>
        <v>0</v>
      </c>
      <c r="FS32" s="57">
        <f>'REG y VAL POE - AESR - ESR'!AQ2202</f>
        <v>0</v>
      </c>
      <c r="FT32" s="56">
        <f>'REG y VAL POE - AESR - ESR'!AR2202</f>
        <v>0</v>
      </c>
      <c r="FU32" s="57">
        <f>'REG y VAL POE - AESR - ESR'!AS2202</f>
        <v>0</v>
      </c>
      <c r="FV32" s="58" t="str">
        <f>'REG y VAL POE - AESR - ESR'!B2203</f>
        <v xml:space="preserve">Encinas Portillo Diana Marcela </v>
      </c>
      <c r="FW32" s="56" t="str">
        <f>'REG y VAL POE - AESR - ESR'!C2203</f>
        <v>Sin Registro</v>
      </c>
      <c r="FX32" s="57">
        <f>'REG y VAL POE - AESR - ESR'!D2203</f>
        <v>23137773</v>
      </c>
      <c r="FY32" s="57">
        <f>'REG y VAL POE - AESR - ESR'!E2203</f>
        <v>0</v>
      </c>
      <c r="FZ32" s="57">
        <f>'REG y VAL POE - AESR - ESR'!F2203</f>
        <v>0</v>
      </c>
      <c r="GA32" s="56">
        <f>'REG y VAL POE - AESR - ESR'!G2203</f>
        <v>0</v>
      </c>
      <c r="GB32" s="57">
        <f>'REG y VAL POE - AESR - ESR'!H2203</f>
        <v>0</v>
      </c>
      <c r="GC32" s="57">
        <f>'REG y VAL POE - AESR - ESR'!I2203</f>
        <v>0</v>
      </c>
      <c r="GD32" s="56">
        <f>'REG y VAL POE - AESR - ESR'!J2203</f>
        <v>0</v>
      </c>
      <c r="GE32" s="57">
        <f>'REG y VAL POE - AESR - ESR'!K2203</f>
        <v>0</v>
      </c>
      <c r="GF32" s="58">
        <f>'REG y VAL POE - AESR - ESR'!L2203</f>
        <v>0</v>
      </c>
      <c r="GG32" s="56">
        <f>'REG y VAL POE - AESR - ESR'!M2203</f>
        <v>0</v>
      </c>
      <c r="GH32" s="57">
        <f>'REG y VAL POE - AESR - ESR'!N2203</f>
        <v>0</v>
      </c>
      <c r="GI32" s="57">
        <f>'REG y VAL POE - AESR - ESR'!O2203</f>
        <v>0</v>
      </c>
      <c r="GJ32" s="57">
        <f>'REG y VAL POE - AESR - ESR'!P2203</f>
        <v>0</v>
      </c>
      <c r="GK32" s="56">
        <f>'REG y VAL POE - AESR - ESR'!Q2203</f>
        <v>0</v>
      </c>
      <c r="GL32" s="57">
        <f>'REG y VAL POE - AESR - ESR'!R2203</f>
        <v>0</v>
      </c>
      <c r="GM32" s="57">
        <f>'REG y VAL POE - AESR - ESR'!S2203</f>
        <v>0</v>
      </c>
      <c r="GN32" s="56">
        <f>'REG y VAL POE - AESR - ESR'!T2203</f>
        <v>0</v>
      </c>
      <c r="GO32" s="57">
        <f>'REG y VAL POE - AESR - ESR'!U2203</f>
        <v>0</v>
      </c>
      <c r="GP32" s="58">
        <f>'REG y VAL POE - AESR - ESR'!V2203</f>
        <v>0</v>
      </c>
      <c r="GQ32" s="56">
        <f>'REG y VAL POE - AESR - ESR'!W2203</f>
        <v>0</v>
      </c>
      <c r="GR32" s="57">
        <f>'REG y VAL POE - AESR - ESR'!X2203</f>
        <v>0</v>
      </c>
      <c r="GS32" s="57">
        <f>'REG y VAL POE - AESR - ESR'!Y2203</f>
        <v>0</v>
      </c>
      <c r="GT32" s="57">
        <f>'REG y VAL POE - AESR - ESR'!Z2203</f>
        <v>0</v>
      </c>
      <c r="GU32" s="56">
        <f>'REG y VAL POE - AESR - ESR'!AA2203</f>
        <v>0</v>
      </c>
      <c r="GV32" s="57">
        <f>'REG y VAL POE - AESR - ESR'!AB2203</f>
        <v>0</v>
      </c>
      <c r="GW32" s="57">
        <f>'REG y VAL POE - AESR - ESR'!AC2203</f>
        <v>0</v>
      </c>
      <c r="GX32" s="56">
        <f>'REG y VAL POE - AESR - ESR'!AD2203</f>
        <v>0</v>
      </c>
      <c r="GY32" s="57">
        <f>'REG y VAL POE - AESR - ESR'!AE2203</f>
        <v>0</v>
      </c>
      <c r="GZ32" s="58">
        <f>'REG y VAL POE - AESR - ESR'!AF2203</f>
        <v>0</v>
      </c>
      <c r="HA32" s="56">
        <f>'REG y VAL POE - AESR - ESR'!AG2203</f>
        <v>0</v>
      </c>
      <c r="HB32" s="57">
        <f>'REG y VAL POE - AESR - ESR'!AH2203</f>
        <v>0</v>
      </c>
      <c r="HC32" s="57">
        <f>'REG y VAL POE - AESR - ESR'!AI2203</f>
        <v>0</v>
      </c>
      <c r="HD32" s="57">
        <f>'REG y VAL POE - AESR - ESR'!AJ2203</f>
        <v>0</v>
      </c>
      <c r="HE32" s="56">
        <f>'REG y VAL POE - AESR - ESR'!AK2203</f>
        <v>0</v>
      </c>
      <c r="HF32" s="57">
        <f>'REG y VAL POE - AESR - ESR'!AL2203</f>
        <v>0</v>
      </c>
      <c r="HG32" s="57">
        <f>'REG y VAL POE - AESR - ESR'!AM2203</f>
        <v>0</v>
      </c>
      <c r="HH32" s="56">
        <f>'REG y VAL POE - AESR - ESR'!AN2203</f>
        <v>0</v>
      </c>
      <c r="HI32" s="57">
        <f>'REG y VAL POE - AESR - ESR'!AO2203</f>
        <v>0</v>
      </c>
      <c r="HJ32" s="58">
        <f>'REG y VAL POE - AESR - ESR'!AP2203</f>
        <v>0</v>
      </c>
      <c r="HK32" s="56">
        <f>'REG y VAL POE - AESR - ESR'!AQ2203</f>
        <v>0</v>
      </c>
      <c r="HL32" s="57">
        <f>'REG y VAL POE - AESR - ESR'!AR2203</f>
        <v>0</v>
      </c>
      <c r="HM32" s="57">
        <f>'REG y VAL POE - AESR - ESR'!AS2203</f>
        <v>0</v>
      </c>
      <c r="HN32" s="57" t="str">
        <f>'REG y VAL POE - AESR - ESR'!B2204</f>
        <v xml:space="preserve">Flores Esparza Wendi Calletana </v>
      </c>
      <c r="HO32" s="56" t="str">
        <f>'REG y VAL POE - AESR - ESR'!C2204</f>
        <v>Sin Registro</v>
      </c>
      <c r="HP32" s="57">
        <f>'REG y VAL POE - AESR - ESR'!D2204</f>
        <v>23006133</v>
      </c>
      <c r="HQ32" s="57">
        <f>'REG y VAL POE - AESR - ESR'!E2204</f>
        <v>0</v>
      </c>
      <c r="HR32" s="56">
        <f>'REG y VAL POE - AESR - ESR'!F2204</f>
        <v>0</v>
      </c>
      <c r="HS32" s="57">
        <f>'REG y VAL POE - AESR - ESR'!G2204</f>
        <v>0</v>
      </c>
      <c r="HT32" s="58">
        <f>'REG y VAL POE - AESR - ESR'!H2204</f>
        <v>0</v>
      </c>
      <c r="HU32" s="56">
        <f>'REG y VAL POE - AESR - ESR'!I2204</f>
        <v>0</v>
      </c>
      <c r="HV32" s="57">
        <f>'REG y VAL POE - AESR - ESR'!J2204</f>
        <v>0</v>
      </c>
      <c r="HW32" s="57">
        <f>'REG y VAL POE - AESR - ESR'!K2204</f>
        <v>0</v>
      </c>
      <c r="HX32" s="57">
        <f>'REG y VAL POE - AESR - ESR'!L2204</f>
        <v>0</v>
      </c>
      <c r="HY32" s="56">
        <f>'REG y VAL POE - AESR - ESR'!M2204</f>
        <v>0</v>
      </c>
      <c r="HZ32" s="57">
        <f>'REG y VAL POE - AESR - ESR'!N2204</f>
        <v>0</v>
      </c>
      <c r="IA32" s="57">
        <f>'REG y VAL POE - AESR - ESR'!O2204</f>
        <v>0</v>
      </c>
      <c r="IB32" s="56">
        <f>'REG y VAL POE - AESR - ESR'!P2204</f>
        <v>0</v>
      </c>
      <c r="IC32" s="57">
        <f>'REG y VAL POE - AESR - ESR'!Q2204</f>
        <v>0</v>
      </c>
      <c r="ID32" s="58">
        <f>'REG y VAL POE - AESR - ESR'!R2204</f>
        <v>0</v>
      </c>
      <c r="IE32" s="56">
        <f>'REG y VAL POE - AESR - ESR'!S2204</f>
        <v>0</v>
      </c>
      <c r="IF32" s="57">
        <f>'REG y VAL POE - AESR - ESR'!T2204</f>
        <v>0</v>
      </c>
      <c r="IG32" s="57">
        <f>'REG y VAL POE - AESR - ESR'!U2204</f>
        <v>0</v>
      </c>
      <c r="IH32" s="57">
        <f>'REG y VAL POE - AESR - ESR'!V2204</f>
        <v>0</v>
      </c>
      <c r="II32" s="56">
        <f>'REG y VAL POE - AESR - ESR'!W2204</f>
        <v>0</v>
      </c>
      <c r="IJ32" s="57">
        <f>'REG y VAL POE - AESR - ESR'!X2204</f>
        <v>0</v>
      </c>
      <c r="IK32" s="57">
        <f>'REG y VAL POE - AESR - ESR'!Y2204</f>
        <v>0</v>
      </c>
      <c r="IL32" s="56">
        <f>'REG y VAL POE - AESR - ESR'!Z2204</f>
        <v>0</v>
      </c>
      <c r="IM32" s="57">
        <f>'REG y VAL POE - AESR - ESR'!AA2204</f>
        <v>0</v>
      </c>
      <c r="IN32" s="58">
        <f>'REG y VAL POE - AESR - ESR'!AB2204</f>
        <v>0</v>
      </c>
      <c r="IO32" s="56">
        <f>'REG y VAL POE - AESR - ESR'!AC2204</f>
        <v>0</v>
      </c>
      <c r="IP32" s="57">
        <f>'REG y VAL POE - AESR - ESR'!AD2204</f>
        <v>0</v>
      </c>
      <c r="IQ32" s="57">
        <f>'REG y VAL POE - AESR - ESR'!AE2204</f>
        <v>0</v>
      </c>
      <c r="IR32" s="57">
        <f>'REG y VAL POE - AESR - ESR'!AF2204</f>
        <v>0</v>
      </c>
      <c r="IS32" s="56">
        <f>'REG y VAL POE - AESR - ESR'!AG2204</f>
        <v>0</v>
      </c>
      <c r="IT32" s="57">
        <f>'REG y VAL POE - AESR - ESR'!AH2204</f>
        <v>0</v>
      </c>
      <c r="IU32" s="57">
        <f>'REG y VAL POE - AESR - ESR'!AI2204</f>
        <v>0</v>
      </c>
      <c r="IV32" s="56">
        <f>'REG y VAL POE - AESR - ESR'!AJ2204</f>
        <v>0</v>
      </c>
      <c r="IW32" s="57">
        <f>'REG y VAL POE - AESR - ESR'!AK2204</f>
        <v>0</v>
      </c>
      <c r="IX32" s="58">
        <f>'REG y VAL POE - AESR - ESR'!AL2204</f>
        <v>0</v>
      </c>
      <c r="IY32" s="56">
        <f>'REG y VAL POE - AESR - ESR'!AM2204</f>
        <v>0</v>
      </c>
      <c r="IZ32" s="57">
        <f>'REG y VAL POE - AESR - ESR'!AN2204</f>
        <v>0</v>
      </c>
      <c r="JA32" s="57">
        <f>'REG y VAL POE - AESR - ESR'!AO2204</f>
        <v>0</v>
      </c>
      <c r="JB32" s="57">
        <f>'REG y VAL POE - AESR - ESR'!AP2204</f>
        <v>0</v>
      </c>
      <c r="JC32" s="56">
        <f>'REG y VAL POE - AESR - ESR'!AQ2204</f>
        <v>0</v>
      </c>
      <c r="JD32" s="57">
        <f>'REG y VAL POE - AESR - ESR'!AR2204</f>
        <v>0</v>
      </c>
      <c r="JE32" s="57">
        <f>'REG y VAL POE - AESR - ESR'!AS2204</f>
        <v>0</v>
      </c>
      <c r="JF32" s="56" t="str">
        <f>'REG y VAL POE - AESR - ESR'!B2205</f>
        <v xml:space="preserve">Flores Esparza Wendi Calletana </v>
      </c>
      <c r="JG32" s="57" t="str">
        <f>'REG y VAL POE - AESR - ESR'!C2205</f>
        <v>Sin Registro</v>
      </c>
      <c r="JH32" s="58">
        <f>'REG y VAL POE - AESR - ESR'!D2205</f>
        <v>23006133</v>
      </c>
      <c r="JI32" s="56">
        <f>'REG y VAL POE - AESR - ESR'!E2205</f>
        <v>0</v>
      </c>
      <c r="JJ32" s="57">
        <f>'REG y VAL POE - AESR - ESR'!F2205</f>
        <v>0</v>
      </c>
      <c r="JK32" s="57">
        <f>'REG y VAL POE - AESR - ESR'!G2205</f>
        <v>0</v>
      </c>
      <c r="JL32" s="57">
        <f>'REG y VAL POE - AESR - ESR'!H2205</f>
        <v>0</v>
      </c>
      <c r="JM32" s="56">
        <f>'REG y VAL POE - AESR - ESR'!I2205</f>
        <v>0</v>
      </c>
      <c r="JN32" s="57">
        <f>'REG y VAL POE - AESR - ESR'!J2205</f>
        <v>0</v>
      </c>
      <c r="JO32" s="57">
        <f>'REG y VAL POE - AESR - ESR'!K2205</f>
        <v>0</v>
      </c>
      <c r="JP32" s="56">
        <f>'REG y VAL POE - AESR - ESR'!L2205</f>
        <v>0</v>
      </c>
      <c r="JQ32" s="57">
        <f>'REG y VAL POE - AESR - ESR'!M2205</f>
        <v>0</v>
      </c>
      <c r="JR32" s="58">
        <f>'REG y VAL POE - AESR - ESR'!N2205</f>
        <v>0</v>
      </c>
      <c r="JS32" s="56">
        <f>'REG y VAL POE - AESR - ESR'!O2205</f>
        <v>0</v>
      </c>
      <c r="JT32" s="57">
        <f>'REG y VAL POE - AESR - ESR'!P2205</f>
        <v>0</v>
      </c>
      <c r="JU32" s="57">
        <f>'REG y VAL POE - AESR - ESR'!Q2205</f>
        <v>0</v>
      </c>
      <c r="JV32" s="57">
        <f>'REG y VAL POE - AESR - ESR'!R2205</f>
        <v>0</v>
      </c>
      <c r="JW32" s="56">
        <f>'REG y VAL POE - AESR - ESR'!S2205</f>
        <v>0</v>
      </c>
      <c r="JX32" s="57">
        <f>'REG y VAL POE - AESR - ESR'!T2205</f>
        <v>0</v>
      </c>
      <c r="JY32" s="57">
        <f>'REG y VAL POE - AESR - ESR'!U2205</f>
        <v>0</v>
      </c>
      <c r="JZ32" s="56">
        <f>'REG y VAL POE - AESR - ESR'!V2205</f>
        <v>0</v>
      </c>
      <c r="KA32" s="57">
        <f>'REG y VAL POE - AESR - ESR'!W2205</f>
        <v>0</v>
      </c>
      <c r="KB32" s="58">
        <f>'REG y VAL POE - AESR - ESR'!X2205</f>
        <v>0</v>
      </c>
      <c r="KC32" s="56">
        <f>'REG y VAL POE - AESR - ESR'!Y2205</f>
        <v>0</v>
      </c>
      <c r="KD32" s="57">
        <f>'REG y VAL POE - AESR - ESR'!Z2205</f>
        <v>0</v>
      </c>
      <c r="KE32" s="57">
        <f>'REG y VAL POE - AESR - ESR'!AA2205</f>
        <v>0</v>
      </c>
      <c r="KF32" s="57">
        <f>'REG y VAL POE - AESR - ESR'!AB2205</f>
        <v>0</v>
      </c>
      <c r="KG32" s="56">
        <f>'REG y VAL POE - AESR - ESR'!AC2205</f>
        <v>0</v>
      </c>
      <c r="KH32" s="57">
        <f>'REG y VAL POE - AESR - ESR'!AD2205</f>
        <v>0</v>
      </c>
      <c r="KI32" s="57">
        <f>'REG y VAL POE - AESR - ESR'!AE2205</f>
        <v>0</v>
      </c>
      <c r="KJ32" s="56">
        <f>'REG y VAL POE - AESR - ESR'!AF2205</f>
        <v>0</v>
      </c>
      <c r="KK32" s="57">
        <f>'REG y VAL POE - AESR - ESR'!AG2205</f>
        <v>0</v>
      </c>
      <c r="KL32" s="58">
        <f>'REG y VAL POE - AESR - ESR'!AH2205</f>
        <v>0</v>
      </c>
      <c r="KM32" s="56">
        <f>'REG y VAL POE - AESR - ESR'!AI2205</f>
        <v>0</v>
      </c>
      <c r="KN32" s="57">
        <f>'REG y VAL POE - AESR - ESR'!AJ2205</f>
        <v>0</v>
      </c>
      <c r="KO32" s="57">
        <f>'REG y VAL POE - AESR - ESR'!AK2205</f>
        <v>0</v>
      </c>
      <c r="KP32" s="57">
        <f>'REG y VAL POE - AESR - ESR'!AL2205</f>
        <v>0</v>
      </c>
      <c r="KQ32" s="56">
        <f>'REG y VAL POE - AESR - ESR'!AM2205</f>
        <v>0</v>
      </c>
      <c r="KR32" s="57">
        <f>'REG y VAL POE - AESR - ESR'!AN2205</f>
        <v>0</v>
      </c>
      <c r="KS32" s="57">
        <f>'REG y VAL POE - AESR - ESR'!AO2205</f>
        <v>0</v>
      </c>
      <c r="KT32" s="56">
        <f>'REG y VAL POE - AESR - ESR'!AP2205</f>
        <v>0</v>
      </c>
      <c r="KU32" s="57">
        <f>'REG y VAL POE - AESR - ESR'!AQ2205</f>
        <v>0</v>
      </c>
      <c r="KV32" s="58">
        <f>'REG y VAL POE - AESR - ESR'!AR2205</f>
        <v>0</v>
      </c>
      <c r="KW32" s="56">
        <f>'REG y VAL POE - AESR - ESR'!AS2205</f>
        <v>0</v>
      </c>
      <c r="KX32" s="57" t="str">
        <f>'REG y VAL POE - AESR - ESR'!B2206</f>
        <v xml:space="preserve">Garcia Zamora Darwi Jhovanny </v>
      </c>
      <c r="KY32" s="57" t="str">
        <f>'REG y VAL POE - AESR - ESR'!C2206</f>
        <v>Sin Registro</v>
      </c>
      <c r="KZ32" s="57">
        <f>'REG y VAL POE - AESR - ESR'!D2206</f>
        <v>23163648</v>
      </c>
      <c r="LA32" s="56">
        <f>'REG y VAL POE - AESR - ESR'!E2206</f>
        <v>0</v>
      </c>
      <c r="LB32" s="57">
        <f>'REG y VAL POE - AESR - ESR'!F2206</f>
        <v>0</v>
      </c>
      <c r="LC32" s="57">
        <f>'REG y VAL POE - AESR - ESR'!G2206</f>
        <v>0</v>
      </c>
      <c r="LD32" s="56">
        <f>'REG y VAL POE - AESR - ESR'!H2206</f>
        <v>0</v>
      </c>
      <c r="LE32" s="57">
        <f>'REG y VAL POE - AESR - ESR'!I2206</f>
        <v>0</v>
      </c>
      <c r="LF32" s="58">
        <f>'REG y VAL POE - AESR - ESR'!J2206</f>
        <v>0</v>
      </c>
      <c r="LG32" s="56">
        <f>'REG y VAL POE - AESR - ESR'!K2206</f>
        <v>0</v>
      </c>
      <c r="LH32" s="57">
        <f>'REG y VAL POE - AESR - ESR'!L2206</f>
        <v>0</v>
      </c>
      <c r="LI32" s="57">
        <f>'REG y VAL POE - AESR - ESR'!M2206</f>
        <v>0</v>
      </c>
      <c r="LJ32" s="57">
        <f>'REG y VAL POE - AESR - ESR'!N2206</f>
        <v>0</v>
      </c>
      <c r="LK32" s="56">
        <f>'REG y VAL POE - AESR - ESR'!O2206</f>
        <v>0</v>
      </c>
      <c r="LL32" s="57">
        <f>'REG y VAL POE - AESR - ESR'!P2206</f>
        <v>0</v>
      </c>
      <c r="LM32" s="57">
        <f>'REG y VAL POE - AESR - ESR'!Q2206</f>
        <v>0</v>
      </c>
      <c r="LN32" s="56">
        <f>'REG y VAL POE - AESR - ESR'!R2206</f>
        <v>0</v>
      </c>
      <c r="LO32" s="57">
        <f>'REG y VAL POE - AESR - ESR'!S2206</f>
        <v>0</v>
      </c>
      <c r="LP32" s="58">
        <f>'REG y VAL POE - AESR - ESR'!T2206</f>
        <v>0</v>
      </c>
      <c r="LQ32" s="56">
        <f>'REG y VAL POE - AESR - ESR'!U2206</f>
        <v>0</v>
      </c>
      <c r="LR32" s="57">
        <f>'REG y VAL POE - AESR - ESR'!V2206</f>
        <v>0</v>
      </c>
      <c r="LS32" s="57">
        <f>'REG y VAL POE - AESR - ESR'!W2206</f>
        <v>0</v>
      </c>
      <c r="LT32" s="57">
        <f>'REG y VAL POE - AESR - ESR'!X2206</f>
        <v>0</v>
      </c>
      <c r="LU32" s="56">
        <f>'REG y VAL POE - AESR - ESR'!Y2206</f>
        <v>0</v>
      </c>
      <c r="LV32" s="57">
        <f>'REG y VAL POE - AESR - ESR'!Z2206</f>
        <v>0</v>
      </c>
      <c r="LW32" s="57">
        <f>'REG y VAL POE - AESR - ESR'!AA2206</f>
        <v>0</v>
      </c>
      <c r="LX32" s="56">
        <f>'REG y VAL POE - AESR - ESR'!AB2206</f>
        <v>0</v>
      </c>
      <c r="LY32" s="57">
        <f>'REG y VAL POE - AESR - ESR'!AC2206</f>
        <v>0</v>
      </c>
      <c r="LZ32" s="58">
        <f>'REG y VAL POE - AESR - ESR'!AD2206</f>
        <v>0</v>
      </c>
      <c r="MA32" s="56">
        <f>'REG y VAL POE - AESR - ESR'!AE2206</f>
        <v>0</v>
      </c>
      <c r="MB32" s="57">
        <f>'REG y VAL POE - AESR - ESR'!AF2206</f>
        <v>0</v>
      </c>
      <c r="MC32" s="57">
        <f>'REG y VAL POE - AESR - ESR'!AG2206</f>
        <v>0</v>
      </c>
      <c r="MD32" s="57">
        <f>'REG y VAL POE - AESR - ESR'!AH2206</f>
        <v>0</v>
      </c>
      <c r="ME32" s="56">
        <f>'REG y VAL POE - AESR - ESR'!AI2206</f>
        <v>0</v>
      </c>
      <c r="MF32" s="57">
        <f>'REG y VAL POE - AESR - ESR'!AJ2206</f>
        <v>0</v>
      </c>
      <c r="MG32" s="57">
        <f>'REG y VAL POE - AESR - ESR'!AK2206</f>
        <v>0</v>
      </c>
      <c r="MH32" s="56">
        <f>'REG y VAL POE - AESR - ESR'!AL2206</f>
        <v>0</v>
      </c>
      <c r="MI32" s="57">
        <f>'REG y VAL POE - AESR - ESR'!AM2206</f>
        <v>0</v>
      </c>
      <c r="MJ32" s="58">
        <f>'REG y VAL POE - AESR - ESR'!AN2206</f>
        <v>0</v>
      </c>
      <c r="MK32" s="56">
        <f>'REG y VAL POE - AESR - ESR'!AO2206</f>
        <v>0</v>
      </c>
      <c r="ML32" s="57">
        <f>'REG y VAL POE - AESR - ESR'!AP2206</f>
        <v>0</v>
      </c>
      <c r="MM32" s="57">
        <f>'REG y VAL POE - AESR - ESR'!AQ2206</f>
        <v>0</v>
      </c>
      <c r="MN32" s="57">
        <f>'REG y VAL POE - AESR - ESR'!AR2206</f>
        <v>0</v>
      </c>
      <c r="MO32" s="56">
        <f>'REG y VAL POE - AESR - ESR'!AS2206</f>
        <v>0</v>
      </c>
      <c r="MP32" s="57" t="str">
        <f>'REG y VAL POE - AESR - ESR'!B2207</f>
        <v xml:space="preserve">Luis Jimenez Moises </v>
      </c>
      <c r="MQ32" s="57" t="str">
        <f>'REG y VAL POE - AESR - ESR'!C2207</f>
        <v>Sin Registro</v>
      </c>
      <c r="MR32" s="56">
        <f>'REG y VAL POE - AESR - ESR'!D2207</f>
        <v>23137790</v>
      </c>
      <c r="MS32" s="57">
        <f>'REG y VAL POE - AESR - ESR'!E2207</f>
        <v>0</v>
      </c>
      <c r="MT32" s="58">
        <f>'REG y VAL POE - AESR - ESR'!F2207</f>
        <v>0</v>
      </c>
      <c r="MU32" s="56">
        <f>'REG y VAL POE - AESR - ESR'!G2207</f>
        <v>0</v>
      </c>
      <c r="MV32" s="57">
        <f>'REG y VAL POE - AESR - ESR'!H2207</f>
        <v>0</v>
      </c>
      <c r="MW32" s="57">
        <f>'REG y VAL POE - AESR - ESR'!I2207</f>
        <v>0</v>
      </c>
      <c r="MX32" s="57">
        <f>'REG y VAL POE - AESR - ESR'!J2207</f>
        <v>0</v>
      </c>
      <c r="MY32" s="56">
        <f>'REG y VAL POE - AESR - ESR'!K2207</f>
        <v>0</v>
      </c>
      <c r="MZ32" s="57">
        <f>'REG y VAL POE - AESR - ESR'!L2207</f>
        <v>0</v>
      </c>
      <c r="NA32" s="57">
        <f>'REG y VAL POE - AESR - ESR'!M2207</f>
        <v>0</v>
      </c>
      <c r="NB32" s="56">
        <f>'REG y VAL POE - AESR - ESR'!N2207</f>
        <v>0</v>
      </c>
      <c r="NC32" s="57">
        <f>'REG y VAL POE - AESR - ESR'!O2207</f>
        <v>0</v>
      </c>
      <c r="ND32" s="58">
        <f>'REG y VAL POE - AESR - ESR'!P2207</f>
        <v>0</v>
      </c>
      <c r="NE32" s="56">
        <f>'REG y VAL POE - AESR - ESR'!Q2207</f>
        <v>0</v>
      </c>
      <c r="NF32" s="57">
        <f>'REG y VAL POE - AESR - ESR'!R2207</f>
        <v>0</v>
      </c>
      <c r="NG32" s="57">
        <f>'REG y VAL POE - AESR - ESR'!S2207</f>
        <v>0</v>
      </c>
      <c r="NH32" s="57">
        <f>'REG y VAL POE - AESR - ESR'!T2207</f>
        <v>0</v>
      </c>
      <c r="NI32" s="56">
        <f>'REG y VAL POE - AESR - ESR'!U2207</f>
        <v>0</v>
      </c>
      <c r="NJ32" s="57">
        <f>'REG y VAL POE - AESR - ESR'!V2207</f>
        <v>0</v>
      </c>
      <c r="NK32" s="57">
        <f>'REG y VAL POE - AESR - ESR'!W2207</f>
        <v>0</v>
      </c>
      <c r="NL32" s="56">
        <f>'REG y VAL POE - AESR - ESR'!X2207</f>
        <v>0</v>
      </c>
      <c r="NM32" s="57">
        <f>'REG y VAL POE - AESR - ESR'!Y2207</f>
        <v>0</v>
      </c>
      <c r="NN32" s="58">
        <f>'REG y VAL POE - AESR - ESR'!Z2207</f>
        <v>0</v>
      </c>
      <c r="NO32" s="56">
        <f>'REG y VAL POE - AESR - ESR'!AA2207</f>
        <v>0</v>
      </c>
      <c r="NP32" s="57">
        <f>'REG y VAL POE - AESR - ESR'!AB2207</f>
        <v>0</v>
      </c>
      <c r="NQ32" s="57">
        <f>'REG y VAL POE - AESR - ESR'!AC2207</f>
        <v>0</v>
      </c>
      <c r="NR32" s="57">
        <f>'REG y VAL POE - AESR - ESR'!AD2207</f>
        <v>0</v>
      </c>
      <c r="NS32" s="56">
        <f>'REG y VAL POE - AESR - ESR'!AE2207</f>
        <v>0</v>
      </c>
      <c r="NT32" s="57">
        <f>'REG y VAL POE - AESR - ESR'!AF2207</f>
        <v>0</v>
      </c>
      <c r="NU32" s="57">
        <f>'REG y VAL POE - AESR - ESR'!AG2207</f>
        <v>0</v>
      </c>
      <c r="NV32" s="56">
        <f>'REG y VAL POE - AESR - ESR'!AH2207</f>
        <v>0</v>
      </c>
      <c r="NW32" s="57">
        <f>'REG y VAL POE - AESR - ESR'!AI2207</f>
        <v>0</v>
      </c>
      <c r="NX32" s="58">
        <f>'REG y VAL POE - AESR - ESR'!AJ2207</f>
        <v>0</v>
      </c>
      <c r="NY32" s="56">
        <f>'REG y VAL POE - AESR - ESR'!AK2207</f>
        <v>0</v>
      </c>
      <c r="NZ32" s="57">
        <f>'REG y VAL POE - AESR - ESR'!AL2207</f>
        <v>0</v>
      </c>
      <c r="OA32" s="57">
        <f>'REG y VAL POE - AESR - ESR'!AM2207</f>
        <v>0</v>
      </c>
      <c r="OB32" s="57">
        <f>'REG y VAL POE - AESR - ESR'!AN2207</f>
        <v>0</v>
      </c>
      <c r="OC32" s="56">
        <f>'REG y VAL POE - AESR - ESR'!AO2207</f>
        <v>0</v>
      </c>
      <c r="OD32" s="57">
        <f>'REG y VAL POE - AESR - ESR'!AP2207</f>
        <v>0</v>
      </c>
      <c r="OE32" s="57">
        <f>'REG y VAL POE - AESR - ESR'!AQ2207</f>
        <v>0</v>
      </c>
      <c r="OF32" s="58">
        <f>'REG y VAL POE - AESR - ESR'!AR2207</f>
        <v>0</v>
      </c>
      <c r="OG32" s="58">
        <f>'REG y VAL POE - AESR - ESR'!AS2207</f>
        <v>0</v>
      </c>
      <c r="OH32" s="58" t="str">
        <f>'REG y VAL POE - AESR - ESR'!B2208</f>
        <v xml:space="preserve">Mariles Ruiz Francisco Adolfo </v>
      </c>
      <c r="OI32" s="56" t="str">
        <f>'REG y VAL POE - AESR - ESR'!C2208</f>
        <v>Sin Registro</v>
      </c>
      <c r="OJ32" s="58">
        <f>'REG y VAL POE - AESR - ESR'!D2208</f>
        <v>23139410</v>
      </c>
      <c r="OK32" s="58">
        <f>'REG y VAL POE - AESR - ESR'!E2208</f>
        <v>0</v>
      </c>
      <c r="OL32" s="58">
        <f>'REG y VAL POE - AESR - ESR'!F2208</f>
        <v>0</v>
      </c>
      <c r="OM32" s="58">
        <f>'REG y VAL POE - AESR - ESR'!G2208</f>
        <v>0</v>
      </c>
      <c r="ON32" s="58">
        <f>'REG y VAL POE - AESR - ESR'!H2208</f>
        <v>0</v>
      </c>
      <c r="OO32" s="58">
        <f>'REG y VAL POE - AESR - ESR'!I2208</f>
        <v>0</v>
      </c>
      <c r="OP32" s="56">
        <f>'REG y VAL POE - AESR - ESR'!J2208</f>
        <v>0</v>
      </c>
      <c r="OQ32" s="57">
        <f>'REG y VAL POE - AESR - ESR'!K2208</f>
        <v>0</v>
      </c>
      <c r="OR32" s="58">
        <f>'REG y VAL POE - AESR - ESR'!L2208</f>
        <v>0</v>
      </c>
      <c r="OS32" s="56">
        <f>'REG y VAL POE - AESR - ESR'!M2208</f>
        <v>0</v>
      </c>
      <c r="OT32" s="57">
        <f>'REG y VAL POE - AESR - ESR'!N2208</f>
        <v>0</v>
      </c>
      <c r="OU32" s="57">
        <f>'REG y VAL POE - AESR - ESR'!O2208</f>
        <v>0</v>
      </c>
      <c r="OV32" s="57">
        <f>'REG y VAL POE - AESR - ESR'!P2208</f>
        <v>0</v>
      </c>
      <c r="OW32" s="56">
        <f>'REG y VAL POE - AESR - ESR'!Q2208</f>
        <v>0</v>
      </c>
      <c r="OX32" s="57">
        <f>'REG y VAL POE - AESR - ESR'!R2208</f>
        <v>0</v>
      </c>
      <c r="OY32" s="57">
        <f>'REG y VAL POE - AESR - ESR'!S2208</f>
        <v>0</v>
      </c>
      <c r="OZ32" s="56">
        <f>'REG y VAL POE - AESR - ESR'!T2208</f>
        <v>0</v>
      </c>
      <c r="PA32" s="57">
        <f>'REG y VAL POE - AESR - ESR'!U2208</f>
        <v>0</v>
      </c>
      <c r="PB32" s="58">
        <f>'REG y VAL POE - AESR - ESR'!V2208</f>
        <v>0</v>
      </c>
      <c r="PC32" s="56">
        <f>'REG y VAL POE - AESR - ESR'!W2208</f>
        <v>0</v>
      </c>
      <c r="PD32" s="57">
        <f>'REG y VAL POE - AESR - ESR'!X2208</f>
        <v>0</v>
      </c>
      <c r="PE32" s="57">
        <f>'REG y VAL POE - AESR - ESR'!Y2208</f>
        <v>0</v>
      </c>
      <c r="PF32" s="57">
        <f>'REG y VAL POE - AESR - ESR'!Z2208</f>
        <v>0</v>
      </c>
      <c r="PG32" s="56">
        <f>'REG y VAL POE - AESR - ESR'!AA2208</f>
        <v>0</v>
      </c>
      <c r="PH32" s="57">
        <f>'REG y VAL POE - AESR - ESR'!AB2208</f>
        <v>0</v>
      </c>
      <c r="PI32" s="57">
        <f>'REG y VAL POE - AESR - ESR'!AC2208</f>
        <v>0</v>
      </c>
      <c r="PJ32" s="56">
        <f>'REG y VAL POE - AESR - ESR'!AD2208</f>
        <v>0</v>
      </c>
      <c r="PK32" s="57">
        <f>'REG y VAL POE - AESR - ESR'!AE2208</f>
        <v>0</v>
      </c>
      <c r="PL32" s="58">
        <f>'REG y VAL POE - AESR - ESR'!AF2208</f>
        <v>0</v>
      </c>
      <c r="PM32" s="56">
        <f>'REG y VAL POE - AESR - ESR'!AG2208</f>
        <v>0</v>
      </c>
      <c r="PN32" s="57">
        <f>'REG y VAL POE - AESR - ESR'!AH2208</f>
        <v>0</v>
      </c>
      <c r="PO32" s="57">
        <f>'REG y VAL POE - AESR - ESR'!AI2208</f>
        <v>0</v>
      </c>
      <c r="PP32" s="57">
        <f>'REG y VAL POE - AESR - ESR'!AJ2208</f>
        <v>0</v>
      </c>
      <c r="PQ32" s="56">
        <f>'REG y VAL POE - AESR - ESR'!AK2208</f>
        <v>0</v>
      </c>
      <c r="PR32" s="57">
        <f>'REG y VAL POE - AESR - ESR'!AL2208</f>
        <v>0</v>
      </c>
      <c r="PS32" s="57">
        <f>'REG y VAL POE - AESR - ESR'!AM2208</f>
        <v>0</v>
      </c>
      <c r="PT32" s="56">
        <f>'REG y VAL POE - AESR - ESR'!AN2208</f>
        <v>0</v>
      </c>
      <c r="PU32" s="57">
        <f>'REG y VAL POE - AESR - ESR'!AO2208</f>
        <v>0</v>
      </c>
      <c r="PV32" s="58">
        <f>'REG y VAL POE - AESR - ESR'!AP2208</f>
        <v>0</v>
      </c>
      <c r="PW32" s="56">
        <f>'REG y VAL POE - AESR - ESR'!AQ2208</f>
        <v>0</v>
      </c>
      <c r="PX32" s="57">
        <f>'REG y VAL POE - AESR - ESR'!AR2208</f>
        <v>0</v>
      </c>
      <c r="PY32" s="57">
        <f>'REG y VAL POE - AESR - ESR'!AS2208</f>
        <v>0</v>
      </c>
      <c r="PZ32" s="57" t="str">
        <f>'REG y VAL POE - AESR - ESR'!B2209</f>
        <v xml:space="preserve">Maximo Francisco Abril Citlali </v>
      </c>
      <c r="QA32" s="56" t="str">
        <f>'REG y VAL POE - AESR - ESR'!C2209</f>
        <v>Sin Registro</v>
      </c>
      <c r="QB32" s="57">
        <f>'REG y VAL POE - AESR - ESR'!D2209</f>
        <v>23149643</v>
      </c>
      <c r="QC32" s="57">
        <f>'REG y VAL POE - AESR - ESR'!E2209</f>
        <v>0</v>
      </c>
      <c r="QD32" s="56">
        <f>'REG y VAL POE - AESR - ESR'!F2209</f>
        <v>0</v>
      </c>
      <c r="QE32" s="57">
        <f>'REG y VAL POE - AESR - ESR'!G2209</f>
        <v>0</v>
      </c>
      <c r="QF32" s="58">
        <f>'REG y VAL POE - AESR - ESR'!H2209</f>
        <v>0</v>
      </c>
      <c r="QG32" s="56">
        <f>'REG y VAL POE - AESR - ESR'!I2209</f>
        <v>0</v>
      </c>
      <c r="QH32" s="57">
        <f>'REG y VAL POE - AESR - ESR'!J2209</f>
        <v>0</v>
      </c>
      <c r="QI32" s="57">
        <f>'REG y VAL POE - AESR - ESR'!K2209</f>
        <v>0</v>
      </c>
      <c r="QJ32" s="57">
        <f>'REG y VAL POE - AESR - ESR'!L2209</f>
        <v>0</v>
      </c>
      <c r="QK32" s="56">
        <f>'REG y VAL POE - AESR - ESR'!M2209</f>
        <v>0</v>
      </c>
      <c r="QL32" s="57">
        <f>'REG y VAL POE - AESR - ESR'!N2209</f>
        <v>0</v>
      </c>
      <c r="QM32" s="57">
        <f>'REG y VAL POE - AESR - ESR'!O2209</f>
        <v>0</v>
      </c>
      <c r="QN32" s="56">
        <f>'REG y VAL POE - AESR - ESR'!P2209</f>
        <v>0</v>
      </c>
      <c r="QO32" s="57">
        <f>'REG y VAL POE - AESR - ESR'!Q2209</f>
        <v>0</v>
      </c>
      <c r="QP32" s="58">
        <f>'REG y VAL POE - AESR - ESR'!R2209</f>
        <v>0</v>
      </c>
      <c r="QQ32" s="56">
        <f>'REG y VAL POE - AESR - ESR'!S2209</f>
        <v>0</v>
      </c>
      <c r="QR32" s="57">
        <f>'REG y VAL POE - AESR - ESR'!T2209</f>
        <v>0</v>
      </c>
      <c r="QS32" s="57">
        <f>'REG y VAL POE - AESR - ESR'!U2209</f>
        <v>0</v>
      </c>
      <c r="QT32" s="57">
        <f>'REG y VAL POE - AESR - ESR'!V2209</f>
        <v>0</v>
      </c>
      <c r="QU32" s="56">
        <f>'REG y VAL POE - AESR - ESR'!W2209</f>
        <v>0</v>
      </c>
      <c r="QV32" s="57">
        <f>'REG y VAL POE - AESR - ESR'!X2209</f>
        <v>0</v>
      </c>
      <c r="QW32" s="57">
        <f>'REG y VAL POE - AESR - ESR'!Y2209</f>
        <v>0</v>
      </c>
      <c r="QX32" s="56">
        <f>'REG y VAL POE - AESR - ESR'!Z2209</f>
        <v>0</v>
      </c>
      <c r="QY32" s="57">
        <f>'REG y VAL POE - AESR - ESR'!AA2209</f>
        <v>0</v>
      </c>
      <c r="QZ32" s="58">
        <f>'REG y VAL POE - AESR - ESR'!AB2209</f>
        <v>0</v>
      </c>
      <c r="RA32" s="56">
        <f>'REG y VAL POE - AESR - ESR'!AC2209</f>
        <v>0</v>
      </c>
      <c r="RB32" s="57">
        <f>'REG y VAL POE - AESR - ESR'!AD2209</f>
        <v>0</v>
      </c>
      <c r="RC32" s="57">
        <f>'REG y VAL POE - AESR - ESR'!AE2209</f>
        <v>0</v>
      </c>
      <c r="RD32" s="57">
        <f>'REG y VAL POE - AESR - ESR'!AF2209</f>
        <v>0</v>
      </c>
      <c r="RE32" s="56">
        <f>'REG y VAL POE - AESR - ESR'!AG2209</f>
        <v>0</v>
      </c>
      <c r="RF32" s="57">
        <f>'REG y VAL POE - AESR - ESR'!AH2209</f>
        <v>0</v>
      </c>
      <c r="RG32" s="57">
        <f>'REG y VAL POE - AESR - ESR'!AI2209</f>
        <v>0</v>
      </c>
      <c r="RH32" s="56">
        <f>'REG y VAL POE - AESR - ESR'!AJ2209</f>
        <v>0</v>
      </c>
      <c r="RI32" s="57">
        <f>'REG y VAL POE - AESR - ESR'!AK2209</f>
        <v>0</v>
      </c>
      <c r="RJ32" s="58">
        <f>'REG y VAL POE - AESR - ESR'!AL2209</f>
        <v>0</v>
      </c>
      <c r="RK32" s="56">
        <f>'REG y VAL POE - AESR - ESR'!AM2209</f>
        <v>0</v>
      </c>
      <c r="RL32" s="57">
        <f>'REG y VAL POE - AESR - ESR'!AN2209</f>
        <v>0</v>
      </c>
      <c r="RM32" s="57">
        <f>'REG y VAL POE - AESR - ESR'!AO2209</f>
        <v>0</v>
      </c>
      <c r="RN32" s="57">
        <f>'REG y VAL POE - AESR - ESR'!AP2209</f>
        <v>0</v>
      </c>
      <c r="RO32" s="56">
        <f>'REG y VAL POE - AESR - ESR'!AQ2209</f>
        <v>0</v>
      </c>
      <c r="RP32" s="57">
        <f>'REG y VAL POE - AESR - ESR'!AR2209</f>
        <v>0</v>
      </c>
      <c r="RQ32" s="57">
        <f>'REG y VAL POE - AESR - ESR'!AS2209</f>
        <v>0</v>
      </c>
      <c r="RR32" s="56" t="str">
        <f>'REG y VAL POE - AESR - ESR'!B2210</f>
        <v xml:space="preserve">Rodriguez Ventura Luis Alberto </v>
      </c>
      <c r="RS32" s="57" t="str">
        <f>'REG y VAL POE - AESR - ESR'!C2210</f>
        <v>Sin Registro</v>
      </c>
      <c r="RT32" s="58">
        <f>'REG y VAL POE - AESR - ESR'!D2210</f>
        <v>23137448</v>
      </c>
      <c r="RU32" s="56">
        <f>'REG y VAL POE - AESR - ESR'!E2210</f>
        <v>0</v>
      </c>
      <c r="RV32" s="57">
        <f>'REG y VAL POE - AESR - ESR'!F2210</f>
        <v>0</v>
      </c>
      <c r="RW32" s="57">
        <f>'REG y VAL POE - AESR - ESR'!G2210</f>
        <v>0</v>
      </c>
      <c r="RX32" s="57">
        <f>'REG y VAL POE - AESR - ESR'!H2210</f>
        <v>0</v>
      </c>
      <c r="RY32" s="56">
        <f>'REG y VAL POE - AESR - ESR'!I2210</f>
        <v>0</v>
      </c>
      <c r="RZ32" s="57">
        <f>'REG y VAL POE - AESR - ESR'!J2210</f>
        <v>0</v>
      </c>
      <c r="SA32" s="57">
        <f>'REG y VAL POE - AESR - ESR'!K2210</f>
        <v>0</v>
      </c>
      <c r="SB32" s="56">
        <f>'REG y VAL POE - AESR - ESR'!L2210</f>
        <v>0</v>
      </c>
      <c r="SC32" s="57">
        <f>'REG y VAL POE - AESR - ESR'!M2210</f>
        <v>0</v>
      </c>
      <c r="SD32" s="58">
        <f>'REG y VAL POE - AESR - ESR'!N2210</f>
        <v>0</v>
      </c>
      <c r="SE32" s="56">
        <f>'REG y VAL POE - AESR - ESR'!O2210</f>
        <v>0</v>
      </c>
      <c r="SF32" s="57">
        <f>'REG y VAL POE - AESR - ESR'!P2210</f>
        <v>0</v>
      </c>
      <c r="SG32" s="57">
        <f>'REG y VAL POE - AESR - ESR'!Q2210</f>
        <v>0</v>
      </c>
      <c r="SH32" s="57">
        <f>'REG y VAL POE - AESR - ESR'!R2210</f>
        <v>0</v>
      </c>
      <c r="SI32" s="56">
        <f>'REG y VAL POE - AESR - ESR'!S2210</f>
        <v>0</v>
      </c>
      <c r="SJ32" s="57">
        <f>'REG y VAL POE - AESR - ESR'!T2210</f>
        <v>0</v>
      </c>
      <c r="SK32" s="57">
        <f>'REG y VAL POE - AESR - ESR'!U2210</f>
        <v>0</v>
      </c>
      <c r="SL32" s="56">
        <f>'REG y VAL POE - AESR - ESR'!V2210</f>
        <v>0</v>
      </c>
      <c r="SM32" s="57">
        <f>'REG y VAL POE - AESR - ESR'!W2210</f>
        <v>0</v>
      </c>
      <c r="SN32" s="58">
        <f>'REG y VAL POE - AESR - ESR'!X2210</f>
        <v>0</v>
      </c>
      <c r="SO32" s="56">
        <f>'REG y VAL POE - AESR - ESR'!Y2210</f>
        <v>0</v>
      </c>
      <c r="SP32" s="57">
        <f>'REG y VAL POE - AESR - ESR'!Z2210</f>
        <v>0</v>
      </c>
      <c r="SQ32" s="57">
        <f>'REG y VAL POE - AESR - ESR'!AA2210</f>
        <v>0</v>
      </c>
      <c r="SR32" s="57">
        <f>'REG y VAL POE - AESR - ESR'!AB2210</f>
        <v>0</v>
      </c>
      <c r="SS32" s="56">
        <f>'REG y VAL POE - AESR - ESR'!AC2210</f>
        <v>0</v>
      </c>
      <c r="ST32" s="57">
        <f>'REG y VAL POE - AESR - ESR'!AD2210</f>
        <v>0</v>
      </c>
      <c r="SU32" s="57">
        <f>'REG y VAL POE - AESR - ESR'!AE2210</f>
        <v>0</v>
      </c>
      <c r="SV32" s="56">
        <f>'REG y VAL POE - AESR - ESR'!AF2210</f>
        <v>0</v>
      </c>
      <c r="SW32" s="57">
        <f>'REG y VAL POE - AESR - ESR'!AG2210</f>
        <v>0</v>
      </c>
      <c r="SX32" s="58">
        <f>'REG y VAL POE - AESR - ESR'!AH2210</f>
        <v>0</v>
      </c>
      <c r="SY32" s="56">
        <f>'REG y VAL POE - AESR - ESR'!AI2210</f>
        <v>0</v>
      </c>
      <c r="SZ32" s="57">
        <f>'REG y VAL POE - AESR - ESR'!AJ2210</f>
        <v>0</v>
      </c>
      <c r="TA32" s="57">
        <f>'REG y VAL POE - AESR - ESR'!AK2210</f>
        <v>0</v>
      </c>
      <c r="TB32" s="57">
        <f>'REG y VAL POE - AESR - ESR'!AL2210</f>
        <v>0</v>
      </c>
      <c r="TC32" s="56">
        <f>'REG y VAL POE - AESR - ESR'!AM2210</f>
        <v>0</v>
      </c>
      <c r="TD32" s="57">
        <f>'REG y VAL POE - AESR - ESR'!AN2210</f>
        <v>0</v>
      </c>
      <c r="TE32" s="57">
        <f>'REG y VAL POE - AESR - ESR'!AO2210</f>
        <v>0</v>
      </c>
      <c r="TF32" s="56">
        <f>'REG y VAL POE - AESR - ESR'!AP2210</f>
        <v>0</v>
      </c>
      <c r="TG32" s="57">
        <f>'REG y VAL POE - AESR - ESR'!AQ2210</f>
        <v>0</v>
      </c>
      <c r="TH32" s="58">
        <f>'REG y VAL POE - AESR - ESR'!AR2210</f>
        <v>0</v>
      </c>
      <c r="TI32" s="56">
        <f>'REG y VAL POE - AESR - ESR'!AS2210</f>
        <v>0</v>
      </c>
      <c r="TJ32" s="57" t="str">
        <f>'REG y VAL POE - AESR - ESR'!B2211</f>
        <v xml:space="preserve">Rosas Garcia Cinthia Stephania </v>
      </c>
      <c r="TK32" s="57" t="str">
        <f>'REG y VAL POE - AESR - ESR'!C2211</f>
        <v>Sin Registro</v>
      </c>
      <c r="TL32" s="57">
        <f>'REG y VAL POE - AESR - ESR'!D2211</f>
        <v>23150036</v>
      </c>
      <c r="TM32" s="56">
        <f>'REG y VAL POE - AESR - ESR'!E2211</f>
        <v>0</v>
      </c>
      <c r="TN32" s="57">
        <f>'REG y VAL POE - AESR - ESR'!F2211</f>
        <v>0</v>
      </c>
      <c r="TO32" s="57">
        <f>'REG y VAL POE - AESR - ESR'!G2211</f>
        <v>0</v>
      </c>
      <c r="TP32" s="56">
        <f>'REG y VAL POE - AESR - ESR'!H2211</f>
        <v>0</v>
      </c>
      <c r="TQ32" s="57">
        <f>'REG y VAL POE - AESR - ESR'!I2211</f>
        <v>0</v>
      </c>
      <c r="TR32" s="58">
        <f>'REG y VAL POE - AESR - ESR'!J2211</f>
        <v>0</v>
      </c>
      <c r="TS32" s="56">
        <f>'REG y VAL POE - AESR - ESR'!K2211</f>
        <v>0</v>
      </c>
      <c r="TT32" s="57">
        <f>'REG y VAL POE - AESR - ESR'!L2211</f>
        <v>0</v>
      </c>
      <c r="TU32" s="57">
        <f>'REG y VAL POE - AESR - ESR'!M2211</f>
        <v>0</v>
      </c>
      <c r="TV32" s="57">
        <f>'REG y VAL POE - AESR - ESR'!N2211</f>
        <v>0</v>
      </c>
      <c r="TW32" s="56">
        <f>'REG y VAL POE - AESR - ESR'!O2211</f>
        <v>0</v>
      </c>
      <c r="TX32" s="57">
        <f>'REG y VAL POE - AESR - ESR'!P2211</f>
        <v>0</v>
      </c>
      <c r="TY32" s="57">
        <f>'REG y VAL POE - AESR - ESR'!Q2211</f>
        <v>0</v>
      </c>
      <c r="TZ32" s="56">
        <f>'REG y VAL POE - AESR - ESR'!R2211</f>
        <v>0</v>
      </c>
      <c r="UA32" s="57">
        <f>'REG y VAL POE - AESR - ESR'!S2211</f>
        <v>0</v>
      </c>
      <c r="UB32" s="58">
        <f>'REG y VAL POE - AESR - ESR'!T2211</f>
        <v>0</v>
      </c>
      <c r="UC32" s="56">
        <f>'REG y VAL POE - AESR - ESR'!U2211</f>
        <v>0</v>
      </c>
      <c r="UD32" s="57">
        <f>'REG y VAL POE - AESR - ESR'!V2211</f>
        <v>0</v>
      </c>
      <c r="UE32" s="57">
        <f>'REG y VAL POE - AESR - ESR'!W2211</f>
        <v>0</v>
      </c>
      <c r="UF32" s="57">
        <f>'REG y VAL POE - AESR - ESR'!X2211</f>
        <v>0</v>
      </c>
      <c r="UG32" s="56">
        <f>'REG y VAL POE - AESR - ESR'!Y2211</f>
        <v>0</v>
      </c>
      <c r="UH32" s="57">
        <f>'REG y VAL POE - AESR - ESR'!Z2211</f>
        <v>0</v>
      </c>
      <c r="UI32" s="57">
        <f>'REG y VAL POE - AESR - ESR'!AA2211</f>
        <v>0</v>
      </c>
      <c r="UJ32" s="56">
        <f>'REG y VAL POE - AESR - ESR'!AB2211</f>
        <v>0</v>
      </c>
      <c r="UK32" s="57">
        <f>'REG y VAL POE - AESR - ESR'!AC2211</f>
        <v>0</v>
      </c>
      <c r="UL32" s="58">
        <f>'REG y VAL POE - AESR - ESR'!AD2211</f>
        <v>0</v>
      </c>
      <c r="UM32" s="56">
        <f>'REG y VAL POE - AESR - ESR'!AE2211</f>
        <v>0</v>
      </c>
      <c r="UN32" s="57">
        <f>'REG y VAL POE - AESR - ESR'!AF2211</f>
        <v>0</v>
      </c>
      <c r="UO32" s="57">
        <f>'REG y VAL POE - AESR - ESR'!AG2211</f>
        <v>0</v>
      </c>
      <c r="UP32" s="57">
        <f>'REG y VAL POE - AESR - ESR'!AH2211</f>
        <v>0</v>
      </c>
      <c r="UQ32" s="56">
        <f>'REG y VAL POE - AESR - ESR'!AI2211</f>
        <v>0</v>
      </c>
      <c r="UR32" s="57">
        <f>'REG y VAL POE - AESR - ESR'!AJ2211</f>
        <v>0</v>
      </c>
      <c r="US32" s="57">
        <f>'REG y VAL POE - AESR - ESR'!AK2211</f>
        <v>0</v>
      </c>
      <c r="UT32" s="56">
        <f>'REG y VAL POE - AESR - ESR'!AL2211</f>
        <v>0</v>
      </c>
      <c r="UU32" s="57">
        <f>'REG y VAL POE - AESR - ESR'!AM2211</f>
        <v>0</v>
      </c>
      <c r="UV32" s="58">
        <f>'REG y VAL POE - AESR - ESR'!AN2211</f>
        <v>0</v>
      </c>
      <c r="UW32" s="56">
        <f>'REG y VAL POE - AESR - ESR'!AO2211</f>
        <v>0</v>
      </c>
      <c r="UX32" s="57">
        <f>'REG y VAL POE - AESR - ESR'!AP2211</f>
        <v>0</v>
      </c>
      <c r="UY32" s="57">
        <f>'REG y VAL POE - AESR - ESR'!AQ2211</f>
        <v>0</v>
      </c>
      <c r="UZ32" s="57">
        <f>'REG y VAL POE - AESR - ESR'!AR2211</f>
        <v>0</v>
      </c>
      <c r="VA32" s="56">
        <f>'REG y VAL POE - AESR - ESR'!AS2211</f>
        <v>0</v>
      </c>
      <c r="VB32" s="57" t="str">
        <f>'REG y VAL POE - AESR - ESR'!B2212</f>
        <v xml:space="preserve">Solano Garcia Kenny Melesio </v>
      </c>
      <c r="VC32" s="57" t="str">
        <f>'REG y VAL POE - AESR - ESR'!C2212</f>
        <v>Sin Registro</v>
      </c>
      <c r="VD32" s="56">
        <f>'REG y VAL POE - AESR - ESR'!D2212</f>
        <v>23137520</v>
      </c>
      <c r="VE32" s="57">
        <f>'REG y VAL POE - AESR - ESR'!E2212</f>
        <v>0</v>
      </c>
      <c r="VF32" s="58">
        <f>'REG y VAL POE - AESR - ESR'!F2212</f>
        <v>0</v>
      </c>
      <c r="VG32" s="56">
        <f>'REG y VAL POE - AESR - ESR'!G2212</f>
        <v>0</v>
      </c>
      <c r="VH32" s="57">
        <f>'REG y VAL POE - AESR - ESR'!H2212</f>
        <v>0</v>
      </c>
      <c r="VI32" s="57">
        <f>'REG y VAL POE - AESR - ESR'!I2212</f>
        <v>0</v>
      </c>
      <c r="VJ32" s="57">
        <f>'REG y VAL POE - AESR - ESR'!J2212</f>
        <v>0</v>
      </c>
      <c r="VK32" s="56">
        <f>'REG y VAL POE - AESR - ESR'!K2212</f>
        <v>0</v>
      </c>
      <c r="VL32" s="57">
        <f>'REG y VAL POE - AESR - ESR'!L2212</f>
        <v>0</v>
      </c>
      <c r="VM32" s="57">
        <f>'REG y VAL POE - AESR - ESR'!M2212</f>
        <v>0</v>
      </c>
      <c r="VN32" s="56">
        <f>'REG y VAL POE - AESR - ESR'!N2212</f>
        <v>0</v>
      </c>
      <c r="VO32" s="57">
        <f>'REG y VAL POE - AESR - ESR'!O2212</f>
        <v>0</v>
      </c>
      <c r="VP32" s="58">
        <f>'REG y VAL POE - AESR - ESR'!P2212</f>
        <v>0</v>
      </c>
      <c r="VQ32" s="56">
        <f>'REG y VAL POE - AESR - ESR'!Q2212</f>
        <v>0</v>
      </c>
      <c r="VR32" s="57">
        <f>'REG y VAL POE - AESR - ESR'!R2212</f>
        <v>0</v>
      </c>
      <c r="VS32" s="57">
        <f>'REG y VAL POE - AESR - ESR'!S2212</f>
        <v>0</v>
      </c>
      <c r="VT32" s="57">
        <f>'REG y VAL POE - AESR - ESR'!T2212</f>
        <v>0</v>
      </c>
      <c r="VU32" s="56">
        <f>'REG y VAL POE - AESR - ESR'!U2212</f>
        <v>0</v>
      </c>
      <c r="VV32" s="57">
        <f>'REG y VAL POE - AESR - ESR'!V2212</f>
        <v>0</v>
      </c>
      <c r="VW32" s="57">
        <f>'REG y VAL POE - AESR - ESR'!W2212</f>
        <v>0</v>
      </c>
      <c r="VX32" s="56">
        <f>'REG y VAL POE - AESR - ESR'!X2212</f>
        <v>0</v>
      </c>
      <c r="VY32" s="57">
        <f>'REG y VAL POE - AESR - ESR'!Y2212</f>
        <v>0</v>
      </c>
      <c r="VZ32" s="58">
        <f>'REG y VAL POE - AESR - ESR'!Z2212</f>
        <v>0</v>
      </c>
      <c r="WA32" s="56">
        <f>'REG y VAL POE - AESR - ESR'!AA2212</f>
        <v>0</v>
      </c>
      <c r="WB32" s="57">
        <f>'REG y VAL POE - AESR - ESR'!AB2212</f>
        <v>0</v>
      </c>
      <c r="WC32" s="57">
        <f>'REG y VAL POE - AESR - ESR'!AC2212</f>
        <v>0</v>
      </c>
      <c r="WD32" s="57">
        <f>'REG y VAL POE - AESR - ESR'!AD2212</f>
        <v>0</v>
      </c>
      <c r="WE32" s="56">
        <f>'REG y VAL POE - AESR - ESR'!AE2212</f>
        <v>0</v>
      </c>
      <c r="WF32" s="57">
        <f>'REG y VAL POE - AESR - ESR'!AF2212</f>
        <v>0</v>
      </c>
      <c r="WG32" s="57">
        <f>'REG y VAL POE - AESR - ESR'!AG2212</f>
        <v>0</v>
      </c>
      <c r="WH32" s="56">
        <f>'REG y VAL POE - AESR - ESR'!AH2212</f>
        <v>0</v>
      </c>
      <c r="WI32" s="57">
        <f>'REG y VAL POE - AESR - ESR'!AI2212</f>
        <v>0</v>
      </c>
      <c r="WJ32" s="58">
        <f>'REG y VAL POE - AESR - ESR'!AJ2212</f>
        <v>0</v>
      </c>
      <c r="WK32" s="56">
        <f>'REG y VAL POE - AESR - ESR'!AK2212</f>
        <v>0</v>
      </c>
      <c r="WL32" s="57">
        <f>'REG y VAL POE - AESR - ESR'!AL2212</f>
        <v>0</v>
      </c>
      <c r="WM32" s="57">
        <f>'REG y VAL POE - AESR - ESR'!AM2212</f>
        <v>0</v>
      </c>
      <c r="WN32" s="57">
        <f>'REG y VAL POE - AESR - ESR'!AN2212</f>
        <v>0</v>
      </c>
      <c r="WO32" s="56">
        <f>'REG y VAL POE - AESR - ESR'!AO2212</f>
        <v>0</v>
      </c>
      <c r="WP32" s="57">
        <f>'REG y VAL POE - AESR - ESR'!AP2212</f>
        <v>0</v>
      </c>
      <c r="WQ32" s="57">
        <f>'REG y VAL POE - AESR - ESR'!AQ2212</f>
        <v>0</v>
      </c>
      <c r="WR32" s="56">
        <f>'REG y VAL POE - AESR - ESR'!AR2212</f>
        <v>0</v>
      </c>
      <c r="WS32" s="57">
        <f>'REG y VAL POE - AESR - ESR'!AS2212</f>
        <v>0</v>
      </c>
      <c r="WT32" s="58" t="str">
        <f>'REG y VAL POE - AESR - ESR'!B2213</f>
        <v xml:space="preserve">Soto Duarte Jose Luis </v>
      </c>
      <c r="WU32" s="56" t="str">
        <f>'REG y VAL POE - AESR - ESR'!C2213</f>
        <v>Sin Registro</v>
      </c>
      <c r="WV32" s="57">
        <f>'REG y VAL POE - AESR - ESR'!D2213</f>
        <v>23113753</v>
      </c>
      <c r="WW32" s="57">
        <f>'REG y VAL POE - AESR - ESR'!E2213</f>
        <v>0</v>
      </c>
      <c r="WX32" s="57">
        <f>'REG y VAL POE - AESR - ESR'!F2213</f>
        <v>0</v>
      </c>
      <c r="WY32" s="56">
        <f>'REG y VAL POE - AESR - ESR'!G2213</f>
        <v>0</v>
      </c>
      <c r="WZ32" s="57">
        <f>'REG y VAL POE - AESR - ESR'!H2213</f>
        <v>0</v>
      </c>
      <c r="XA32" s="57">
        <f>'REG y VAL POE - AESR - ESR'!I2213</f>
        <v>0</v>
      </c>
      <c r="XB32" s="56">
        <f>'REG y VAL POE - AESR - ESR'!J2213</f>
        <v>0</v>
      </c>
      <c r="XC32" s="57">
        <f>'REG y VAL POE - AESR - ESR'!K2213</f>
        <v>0</v>
      </c>
      <c r="XD32" s="58">
        <f>'REG y VAL POE - AESR - ESR'!L2213</f>
        <v>0</v>
      </c>
      <c r="XE32" s="56">
        <f>'REG y VAL POE - AESR - ESR'!M2213</f>
        <v>0</v>
      </c>
      <c r="XF32" s="57">
        <f>'REG y VAL POE - AESR - ESR'!N2213</f>
        <v>0</v>
      </c>
      <c r="XG32" s="57">
        <f>'REG y VAL POE - AESR - ESR'!O2213</f>
        <v>0</v>
      </c>
      <c r="XH32" s="57">
        <f>'REG y VAL POE - AESR - ESR'!P2213</f>
        <v>0</v>
      </c>
      <c r="XI32" s="56">
        <f>'REG y VAL POE - AESR - ESR'!Q2213</f>
        <v>0</v>
      </c>
      <c r="XJ32" s="57">
        <f>'REG y VAL POE - AESR - ESR'!R2213</f>
        <v>0</v>
      </c>
      <c r="XK32" s="57">
        <f>'REG y VAL POE - AESR - ESR'!S2213</f>
        <v>0</v>
      </c>
      <c r="XL32" s="56">
        <f>'REG y VAL POE - AESR - ESR'!T2213</f>
        <v>0</v>
      </c>
      <c r="XM32" s="57">
        <f>'REG y VAL POE - AESR - ESR'!U2213</f>
        <v>0</v>
      </c>
      <c r="XN32" s="58">
        <f>'REG y VAL POE - AESR - ESR'!V2213</f>
        <v>0</v>
      </c>
      <c r="XO32" s="56">
        <f>'REG y VAL POE - AESR - ESR'!W2213</f>
        <v>0</v>
      </c>
      <c r="XP32" s="57">
        <f>'REG y VAL POE - AESR - ESR'!X2213</f>
        <v>0</v>
      </c>
      <c r="XQ32" s="57">
        <f>'REG y VAL POE - AESR - ESR'!Y2213</f>
        <v>0</v>
      </c>
      <c r="XR32" s="57">
        <f>'REG y VAL POE - AESR - ESR'!Z2213</f>
        <v>0</v>
      </c>
      <c r="XS32" s="56">
        <f>'REG y VAL POE - AESR - ESR'!AA2213</f>
        <v>0</v>
      </c>
      <c r="XT32" s="57">
        <f>'REG y VAL POE - AESR - ESR'!AB2213</f>
        <v>0</v>
      </c>
      <c r="XU32" s="57">
        <f>'REG y VAL POE - AESR - ESR'!AC2213</f>
        <v>0</v>
      </c>
      <c r="XV32" s="56">
        <f>'REG y VAL POE - AESR - ESR'!AD2213</f>
        <v>0</v>
      </c>
      <c r="XW32" s="57">
        <f>'REG y VAL POE - AESR - ESR'!AE2213</f>
        <v>0</v>
      </c>
      <c r="XX32" s="58">
        <f>'REG y VAL POE - AESR - ESR'!AF2213</f>
        <v>0</v>
      </c>
      <c r="XY32" s="56">
        <f>'REG y VAL POE - AESR - ESR'!AG2213</f>
        <v>0</v>
      </c>
      <c r="XZ32" s="57">
        <f>'REG y VAL POE - AESR - ESR'!AH2213</f>
        <v>0</v>
      </c>
      <c r="YA32" s="57">
        <f>'REG y VAL POE - AESR - ESR'!AI2213</f>
        <v>0</v>
      </c>
      <c r="YB32" s="57">
        <f>'REG y VAL POE - AESR - ESR'!AJ2213</f>
        <v>0</v>
      </c>
      <c r="YC32" s="56">
        <f>'REG y VAL POE - AESR - ESR'!AK2213</f>
        <v>0</v>
      </c>
      <c r="YD32" s="57">
        <f>'REG y VAL POE - AESR - ESR'!AL2213</f>
        <v>0</v>
      </c>
      <c r="YE32" s="57">
        <f>'REG y VAL POE - AESR - ESR'!AM2213</f>
        <v>0</v>
      </c>
      <c r="YF32" s="56">
        <f>'REG y VAL POE - AESR - ESR'!AN2213</f>
        <v>0</v>
      </c>
      <c r="YG32" s="57">
        <f>'REG y VAL POE - AESR - ESR'!AO2213</f>
        <v>0</v>
      </c>
      <c r="YH32" s="58">
        <f>'REG y VAL POE - AESR - ESR'!AP2213</f>
        <v>0</v>
      </c>
      <c r="YI32" s="56">
        <f>'REG y VAL POE - AESR - ESR'!AQ2213</f>
        <v>0</v>
      </c>
      <c r="YJ32" s="57">
        <f>'REG y VAL POE - AESR - ESR'!AR2213</f>
        <v>0</v>
      </c>
      <c r="YK32" s="57">
        <f>'REG y VAL POE - AESR - ESR'!AS2213</f>
        <v>0</v>
      </c>
      <c r="YL32" s="57"/>
      <c r="YM32" s="56"/>
      <c r="YN32" s="57"/>
      <c r="YO32" s="57"/>
      <c r="YP32" s="56"/>
      <c r="YQ32" s="57"/>
      <c r="YR32" s="58"/>
      <c r="YS32" s="56"/>
      <c r="YT32" s="57"/>
      <c r="YU32" s="57"/>
      <c r="YV32" s="57"/>
      <c r="YW32" s="56"/>
      <c r="YX32" s="57"/>
      <c r="YY32" s="57"/>
      <c r="YZ32" s="56"/>
      <c r="ZA32" s="57"/>
      <c r="ZB32" s="58"/>
      <c r="ZC32" s="56"/>
      <c r="ZD32" s="57"/>
      <c r="ZE32" s="57"/>
      <c r="ZF32" s="57"/>
      <c r="ZG32" s="56"/>
      <c r="ZH32" s="57"/>
      <c r="ZI32" s="57"/>
      <c r="ZJ32" s="56"/>
      <c r="ZK32" s="57"/>
      <c r="ZL32" s="58"/>
      <c r="ZM32" s="56"/>
      <c r="ZN32" s="57"/>
      <c r="ZO32" s="57"/>
      <c r="ZP32" s="57"/>
      <c r="ZQ32" s="56"/>
      <c r="ZR32" s="57"/>
      <c r="ZS32" s="57"/>
      <c r="ZT32" s="56"/>
      <c r="ZU32" s="57"/>
      <c r="ZV32" s="58"/>
      <c r="ZW32" s="56"/>
      <c r="ZX32" s="57"/>
      <c r="ZY32" s="57"/>
      <c r="ZZ32" s="57"/>
      <c r="AAA32" s="56"/>
      <c r="AAB32" s="57"/>
      <c r="AAC32" s="57"/>
      <c r="AAD32" s="56"/>
      <c r="AAE32" s="57"/>
      <c r="AAF32" s="58"/>
      <c r="AAG32" s="56"/>
      <c r="AAH32" s="57"/>
      <c r="AAI32" s="57"/>
      <c r="AAJ32" s="57"/>
      <c r="AAK32" s="56"/>
      <c r="AAL32" s="57"/>
      <c r="AAM32" s="57"/>
      <c r="AAN32" s="56"/>
      <c r="AAO32" s="57"/>
      <c r="AAP32" s="58"/>
      <c r="AAQ32" s="56"/>
      <c r="AAR32" s="57"/>
      <c r="AAS32" s="57"/>
      <c r="AAT32" s="57"/>
      <c r="AAU32" s="56"/>
      <c r="AAV32" s="57"/>
      <c r="AAW32" s="57"/>
      <c r="AAX32" s="58"/>
      <c r="AAY32" s="58"/>
      <c r="AAZ32" s="58"/>
      <c r="ABA32" s="56"/>
      <c r="ABB32" s="58"/>
      <c r="ABC32" s="58"/>
      <c r="ABD32" s="58"/>
      <c r="ABE32" s="58"/>
      <c r="ABF32" s="58"/>
      <c r="ABG32" s="57"/>
      <c r="ABH32" s="56"/>
      <c r="ABI32" s="57"/>
      <c r="ABJ32" s="58"/>
      <c r="ABK32" s="56"/>
      <c r="ABL32" s="57"/>
      <c r="ABM32" s="57"/>
      <c r="ABN32" s="57"/>
      <c r="ABO32" s="56"/>
      <c r="ABP32" s="57"/>
      <c r="ABQ32" s="57"/>
      <c r="ABR32" s="56"/>
      <c r="ABS32" s="57"/>
      <c r="ABT32" s="58"/>
      <c r="ABU32" s="56"/>
      <c r="ABV32" s="57"/>
      <c r="ABW32" s="57"/>
      <c r="ABX32" s="57"/>
      <c r="ABY32" s="56"/>
      <c r="ABZ32" s="57"/>
      <c r="ACA32" s="57"/>
      <c r="ACB32" s="56"/>
      <c r="ACC32" s="57"/>
      <c r="ACD32" s="58"/>
      <c r="ACE32" s="56"/>
      <c r="ACF32" s="57"/>
      <c r="ACG32" s="57"/>
      <c r="ACH32" s="57"/>
      <c r="ACI32" s="56"/>
      <c r="ACJ32" s="57"/>
      <c r="ACK32" s="57"/>
      <c r="ACL32" s="56"/>
      <c r="ACM32" s="57"/>
      <c r="ACN32" s="58"/>
      <c r="ACO32" s="56"/>
      <c r="ACP32" s="57"/>
      <c r="ACQ32" s="57"/>
      <c r="ACR32" s="57"/>
      <c r="ACS32" s="56"/>
      <c r="ACT32" s="57"/>
      <c r="ACU32" s="57"/>
      <c r="ACV32" s="56"/>
      <c r="ACW32" s="57"/>
      <c r="ACX32" s="58"/>
      <c r="ACY32" s="56"/>
      <c r="ACZ32" s="57"/>
      <c r="ADA32" s="57"/>
      <c r="ADB32" s="57"/>
      <c r="ADC32" s="56"/>
      <c r="ADD32" s="57"/>
      <c r="ADE32" s="57"/>
      <c r="ADF32" s="56"/>
      <c r="ADG32" s="57"/>
      <c r="ADH32" s="58"/>
      <c r="ADI32" s="56"/>
      <c r="ADJ32" s="57"/>
      <c r="ADK32" s="57"/>
      <c r="ADL32" s="57"/>
      <c r="ADM32" s="56"/>
      <c r="ADN32" s="57"/>
      <c r="ADO32" s="57"/>
      <c r="ADP32" s="56"/>
      <c r="ADQ32" s="57"/>
      <c r="ADR32" s="58"/>
      <c r="ADS32" s="56"/>
      <c r="ADT32" s="57"/>
      <c r="ADU32" s="57"/>
      <c r="ADV32" s="57"/>
      <c r="ADW32" s="56"/>
      <c r="ADX32" s="57"/>
      <c r="ADY32" s="57"/>
      <c r="ADZ32" s="56"/>
      <c r="AEA32" s="57"/>
      <c r="AEB32" s="58"/>
      <c r="AEC32" s="56"/>
      <c r="AED32" s="57"/>
      <c r="AEE32" s="57"/>
      <c r="AEF32" s="57"/>
      <c r="AEG32" s="56"/>
      <c r="AEH32" s="57"/>
      <c r="AEI32" s="57"/>
      <c r="AEJ32" s="56"/>
      <c r="AEK32" s="57"/>
      <c r="AEL32" s="58"/>
      <c r="AEM32" s="56"/>
      <c r="AEN32" s="57"/>
      <c r="AEO32" s="57"/>
      <c r="AEP32" s="57"/>
      <c r="AEQ32" s="56"/>
      <c r="AER32" s="57"/>
      <c r="AES32" s="57"/>
      <c r="AET32" s="56"/>
      <c r="AEU32" s="57"/>
      <c r="AEV32" s="58"/>
      <c r="AEW32" s="56"/>
      <c r="AEX32" s="57"/>
      <c r="AEY32" s="57"/>
      <c r="AEZ32" s="57"/>
      <c r="AFA32" s="56"/>
      <c r="AFB32" s="57"/>
      <c r="AFC32" s="57"/>
      <c r="AFD32" s="56"/>
      <c r="AFE32" s="57"/>
      <c r="AFF32" s="58"/>
      <c r="AFG32" s="56"/>
      <c r="AFH32" s="57"/>
      <c r="AFI32" s="57"/>
      <c r="AFJ32" s="57"/>
      <c r="AFK32" s="56"/>
      <c r="AFL32" s="57"/>
      <c r="AFM32" s="57"/>
      <c r="AFN32" s="56"/>
      <c r="AFO32" s="57"/>
      <c r="AFP32" s="58"/>
      <c r="AFQ32" s="56"/>
      <c r="AFR32" s="57"/>
      <c r="AFS32" s="57"/>
      <c r="AFT32" s="57"/>
      <c r="AFU32" s="56"/>
      <c r="AFV32" s="57"/>
      <c r="AFW32" s="57"/>
      <c r="AFX32" s="56"/>
      <c r="AFY32" s="57"/>
      <c r="AFZ32" s="58"/>
      <c r="AGA32" s="56"/>
      <c r="AGB32" s="57"/>
      <c r="AGC32" s="57"/>
      <c r="AGD32" s="57"/>
      <c r="AGE32" s="56"/>
      <c r="AGF32" s="57"/>
      <c r="AGG32" s="57"/>
      <c r="AGH32" s="56"/>
      <c r="AGI32" s="57"/>
      <c r="AGJ32" s="58"/>
      <c r="AGK32" s="56"/>
      <c r="AGL32" s="57"/>
      <c r="AGM32" s="57"/>
      <c r="AGN32" s="57"/>
      <c r="AGO32" s="56"/>
      <c r="AGP32" s="57"/>
      <c r="AGQ32" s="57"/>
      <c r="AGR32" s="56"/>
      <c r="AGS32" s="57"/>
      <c r="AGT32" s="58"/>
      <c r="AGU32" s="56"/>
      <c r="AGV32" s="57"/>
      <c r="AGW32" s="57"/>
      <c r="AGX32" s="57"/>
      <c r="AGY32" s="56"/>
      <c r="AGZ32" s="57"/>
      <c r="AHA32" s="57"/>
      <c r="AHB32" s="56"/>
      <c r="AHC32" s="57"/>
      <c r="AHD32" s="58"/>
      <c r="AHE32" s="56"/>
      <c r="AHF32" s="57"/>
      <c r="AHG32" s="57"/>
      <c r="AHH32" s="57"/>
      <c r="AHI32" s="56"/>
      <c r="AHJ32" s="57"/>
      <c r="AHK32" s="57"/>
      <c r="AHL32" s="56"/>
      <c r="AHM32" s="57"/>
      <c r="AHN32" s="58"/>
      <c r="AHO32" s="56"/>
      <c r="AHP32" s="57"/>
      <c r="AHQ32" s="57"/>
      <c r="AHR32" s="57"/>
      <c r="AHS32" s="56"/>
      <c r="AHT32" s="57"/>
      <c r="AHU32" s="57"/>
      <c r="AHV32" s="56"/>
      <c r="AHW32" s="57"/>
      <c r="AHX32" s="58"/>
      <c r="AHY32" s="56"/>
      <c r="AHZ32" s="57"/>
      <c r="AIA32" s="57"/>
      <c r="AIB32" s="57"/>
      <c r="AIC32" s="56"/>
      <c r="AID32" s="57"/>
      <c r="AIE32" s="57"/>
      <c r="AIF32" s="56"/>
      <c r="AIG32" s="57"/>
      <c r="AIH32" s="58"/>
      <c r="AII32" s="56"/>
      <c r="AIJ32" s="57"/>
      <c r="AIK32" s="57"/>
      <c r="AIL32" s="57"/>
      <c r="AIM32" s="56"/>
      <c r="AIN32" s="57"/>
      <c r="AIO32" s="57"/>
      <c r="AIP32" s="56"/>
      <c r="AIQ32" s="57"/>
      <c r="AIR32" s="58"/>
      <c r="AIS32" s="56"/>
      <c r="AIT32" s="57"/>
      <c r="AIU32" s="57"/>
      <c r="AIV32" s="57"/>
      <c r="AIW32" s="56"/>
      <c r="AIX32" s="57"/>
      <c r="AIY32" s="57"/>
      <c r="AIZ32" s="56"/>
      <c r="AJA32" s="57"/>
      <c r="AJB32" s="58"/>
      <c r="AJC32" s="56"/>
      <c r="AJD32" s="57"/>
      <c r="AJE32" s="57"/>
      <c r="AJF32" s="57"/>
      <c r="AJG32" s="56"/>
      <c r="AJH32" s="57"/>
      <c r="AJI32" s="57"/>
      <c r="AJJ32" s="56"/>
      <c r="AJK32" s="57"/>
      <c r="AJL32" s="58"/>
      <c r="AJM32" s="56"/>
      <c r="AJN32" s="57"/>
      <c r="AJO32" s="57"/>
      <c r="AJP32" s="57"/>
      <c r="AJQ32" s="56"/>
      <c r="AJR32" s="57"/>
      <c r="AJS32" s="57"/>
      <c r="AJT32" s="56"/>
      <c r="AJU32" s="57"/>
      <c r="AJV32" s="58"/>
      <c r="AJW32" s="56"/>
      <c r="AJX32" s="57"/>
      <c r="AJY32" s="57"/>
      <c r="AJZ32" s="57"/>
      <c r="AKA32" s="56"/>
      <c r="AKB32" s="57"/>
      <c r="AKC32" s="57"/>
      <c r="AKD32" s="56"/>
      <c r="AKE32" s="57"/>
      <c r="AKF32" s="58"/>
      <c r="AKG32" s="56"/>
      <c r="AKH32" s="57"/>
      <c r="AKI32" s="57"/>
      <c r="AKJ32" s="57"/>
      <c r="AKK32" s="56"/>
      <c r="AKL32" s="57"/>
      <c r="AKM32" s="57"/>
      <c r="AKN32" s="56"/>
      <c r="AKO32" s="57"/>
      <c r="AKP32" s="58"/>
      <c r="AKQ32" s="56"/>
      <c r="AKR32" s="57"/>
      <c r="AKS32" s="57"/>
      <c r="AKT32" s="57"/>
      <c r="AKU32" s="56"/>
      <c r="AKV32" s="57"/>
      <c r="AKW32" s="57"/>
      <c r="AKX32" s="56"/>
      <c r="AKY32" s="57"/>
      <c r="AKZ32" s="58"/>
      <c r="ALA32" s="56"/>
      <c r="ALB32" s="57"/>
      <c r="ALC32" s="57"/>
      <c r="ALD32" s="57"/>
      <c r="ALE32" s="56"/>
      <c r="ALF32" s="57"/>
      <c r="ALG32" s="57"/>
      <c r="ALH32" s="57"/>
      <c r="ALI32" s="57"/>
      <c r="ALJ32" s="57"/>
      <c r="ALK32" s="56"/>
      <c r="ALL32" s="57"/>
      <c r="ALM32" s="57"/>
      <c r="ALN32" s="56"/>
      <c r="ALO32" s="57"/>
      <c r="ALP32" s="58"/>
      <c r="ALQ32" s="56"/>
      <c r="ALR32" s="57"/>
      <c r="ALS32" s="57"/>
      <c r="ALT32" s="57"/>
      <c r="ALU32" s="56"/>
      <c r="ALV32" s="57"/>
      <c r="ALW32" s="57"/>
      <c r="ALX32" s="56"/>
      <c r="ALY32" s="57"/>
      <c r="ALZ32" s="58"/>
      <c r="AMA32" s="56"/>
      <c r="AMB32" s="57"/>
      <c r="AMC32" s="57"/>
      <c r="AMD32" s="57"/>
      <c r="AME32" s="56"/>
      <c r="AMF32" s="57"/>
      <c r="AMG32" s="57"/>
      <c r="AMH32" s="57"/>
      <c r="AMI32" s="57"/>
      <c r="AMJ32" s="57"/>
      <c r="AMK32" s="56"/>
      <c r="AML32" s="57"/>
      <c r="AMM32" s="57"/>
      <c r="AMN32" s="56"/>
      <c r="AMO32" s="57"/>
      <c r="AMP32" s="58"/>
      <c r="AMQ32" s="56"/>
      <c r="AMR32" s="57"/>
      <c r="AMS32" s="57"/>
      <c r="AMT32" s="57"/>
      <c r="AMU32" s="56"/>
      <c r="AMV32" s="57"/>
      <c r="AMW32" s="57"/>
      <c r="AMX32" s="56"/>
      <c r="AMY32" s="57"/>
      <c r="AMZ32" s="58"/>
      <c r="ANA32" s="56"/>
      <c r="ANB32" s="57"/>
      <c r="ANC32" s="57"/>
      <c r="AND32" s="57"/>
      <c r="ANE32" s="56"/>
      <c r="ANF32" s="57"/>
      <c r="ANG32" s="57"/>
      <c r="ANH32" s="57"/>
      <c r="ANI32" s="57"/>
      <c r="ANJ32" s="57"/>
      <c r="ANK32" s="56"/>
      <c r="ANL32" s="57"/>
      <c r="ANM32" s="57"/>
      <c r="ANN32" s="56"/>
      <c r="ANO32" s="57"/>
      <c r="ANP32" s="58"/>
      <c r="ANQ32" s="56"/>
      <c r="ANR32" s="57"/>
      <c r="ANS32" s="57"/>
      <c r="ANT32" s="57"/>
      <c r="ANU32" s="56"/>
      <c r="ANV32" s="57"/>
      <c r="ANW32" s="57"/>
      <c r="ANX32" s="56"/>
      <c r="ANY32" s="57"/>
      <c r="ANZ32" s="58"/>
      <c r="AOA32" s="56"/>
      <c r="AOB32" s="57"/>
      <c r="AOC32" s="57"/>
      <c r="AOD32" s="57"/>
      <c r="AOE32" s="56"/>
      <c r="AOF32" s="57"/>
      <c r="AOG32" s="57"/>
      <c r="AOH32" s="57"/>
      <c r="AOI32" s="57"/>
      <c r="AOJ32" s="57"/>
      <c r="AOK32" s="56"/>
      <c r="AOL32" s="57"/>
      <c r="AOM32" s="57"/>
      <c r="AON32" s="56"/>
      <c r="AOO32" s="57"/>
      <c r="AOP32" s="58"/>
      <c r="AOQ32" s="56"/>
      <c r="AOR32" s="57"/>
      <c r="AOS32" s="57"/>
      <c r="AOT32" s="57"/>
      <c r="AOU32" s="56"/>
      <c r="AOV32" s="57"/>
      <c r="AOW32" s="57"/>
      <c r="AOX32" s="56"/>
      <c r="AOY32" s="57"/>
      <c r="AOZ32" s="58"/>
      <c r="APA32" s="56"/>
      <c r="APB32" s="57"/>
      <c r="APC32" s="57"/>
      <c r="APD32" s="57"/>
      <c r="APE32" s="56"/>
      <c r="APF32" s="57"/>
      <c r="APG32" s="57"/>
      <c r="APH32" s="57"/>
      <c r="API32" s="57"/>
      <c r="APJ32" s="57"/>
      <c r="APK32" s="56"/>
      <c r="APL32" s="57"/>
      <c r="APM32" s="57"/>
      <c r="APN32" s="56"/>
      <c r="APO32" s="57"/>
      <c r="APP32" s="58"/>
      <c r="APQ32" s="56"/>
      <c r="APR32" s="57"/>
      <c r="APS32" s="57"/>
      <c r="APT32" s="57"/>
      <c r="APU32" s="56"/>
      <c r="APV32" s="57"/>
      <c r="APW32" s="57"/>
      <c r="APX32" s="56"/>
      <c r="APY32" s="57"/>
      <c r="APZ32" s="58"/>
      <c r="AQA32" s="56"/>
      <c r="AQB32" s="57"/>
      <c r="AQC32" s="57"/>
      <c r="AQD32" s="57"/>
      <c r="AQE32" s="56"/>
      <c r="AQF32" s="57"/>
      <c r="AQG32" s="57"/>
      <c r="AQH32" s="57"/>
      <c r="AQI32" s="57"/>
      <c r="AQJ32" s="57"/>
      <c r="AQK32" s="56"/>
      <c r="AQL32" s="57"/>
      <c r="AQM32" s="57"/>
      <c r="AQN32" s="56"/>
      <c r="AQO32" s="57"/>
      <c r="AQP32" s="58"/>
      <c r="AQQ32" s="56"/>
      <c r="AQR32" s="57"/>
      <c r="AQS32" s="57"/>
      <c r="AQT32" s="57"/>
      <c r="AQU32" s="56"/>
      <c r="AQV32" s="57"/>
      <c r="AQW32" s="57"/>
      <c r="AQX32" s="56"/>
      <c r="AQY32" s="57"/>
      <c r="AQZ32" s="58"/>
      <c r="ARA32" s="56"/>
      <c r="ARB32" s="57"/>
      <c r="ARC32" s="57"/>
      <c r="ARD32" s="57"/>
      <c r="ARE32" s="56"/>
      <c r="ARF32" s="57"/>
      <c r="ARG32" s="57"/>
      <c r="ARH32" s="57"/>
      <c r="ARI32" s="57"/>
      <c r="ARJ32" s="57"/>
      <c r="ARK32" s="56"/>
      <c r="ARL32" s="57"/>
      <c r="ARM32" s="57"/>
      <c r="ARN32" s="56"/>
      <c r="ARO32" s="57"/>
      <c r="ARP32" s="58"/>
      <c r="ARQ32" s="56"/>
      <c r="ARR32" s="57"/>
      <c r="ARS32" s="57"/>
      <c r="ART32" s="57"/>
      <c r="ARU32" s="56"/>
      <c r="ARV32" s="57"/>
      <c r="ARW32" s="57"/>
      <c r="ARX32" s="56"/>
      <c r="ARY32" s="57"/>
      <c r="ARZ32" s="58"/>
      <c r="ASA32" s="56"/>
      <c r="ASB32" s="57"/>
      <c r="ASC32" s="57"/>
      <c r="ASD32" s="57"/>
      <c r="ASE32" s="56"/>
      <c r="ASF32" s="57"/>
      <c r="ASG32" s="57"/>
      <c r="ASH32" s="57"/>
      <c r="ASI32" s="57"/>
      <c r="ASJ32" s="57"/>
      <c r="ASK32" s="56"/>
      <c r="ASL32" s="57"/>
      <c r="ASM32" s="57"/>
      <c r="ASN32" s="56"/>
      <c r="ASO32" s="57"/>
      <c r="ASP32" s="58"/>
      <c r="ASQ32" s="56"/>
      <c r="ASR32" s="57"/>
      <c r="ASS32" s="57"/>
      <c r="AST32" s="57"/>
      <c r="ASU32" s="56"/>
      <c r="ASV32" s="57"/>
      <c r="ASW32" s="57"/>
      <c r="ASX32" s="56"/>
      <c r="ASY32" s="57"/>
      <c r="ASZ32" s="58"/>
      <c r="ATA32" s="56"/>
      <c r="ATB32" s="57"/>
      <c r="ATC32" s="57"/>
      <c r="ATD32" s="57"/>
      <c r="ATE32" s="56"/>
      <c r="ATF32" s="57"/>
      <c r="ATG32" s="57"/>
      <c r="ATH32" s="57"/>
      <c r="ATI32" s="57"/>
      <c r="ATJ32" s="57"/>
      <c r="ATK32" s="56"/>
      <c r="ATL32" s="57"/>
      <c r="ATM32" s="57"/>
      <c r="ATN32" s="56"/>
      <c r="ATO32" s="57"/>
      <c r="ATP32" s="58"/>
      <c r="ATQ32" s="56"/>
      <c r="ATR32" s="57"/>
      <c r="ATS32" s="57"/>
      <c r="ATT32" s="57"/>
      <c r="ATU32" s="56"/>
      <c r="ATV32" s="57"/>
      <c r="ATW32" s="57"/>
      <c r="ATX32" s="56"/>
      <c r="ATY32" s="57"/>
      <c r="ATZ32" s="58"/>
      <c r="AUA32" s="56"/>
      <c r="AUB32" s="57"/>
      <c r="AUC32" s="57"/>
      <c r="AUD32" s="57"/>
      <c r="AUE32" s="56"/>
      <c r="AUF32" s="57"/>
      <c r="AUG32" s="57"/>
      <c r="AUH32" s="57"/>
      <c r="AUI32" s="57"/>
      <c r="AUJ32" s="57"/>
      <c r="AUK32" s="56"/>
      <c r="AUL32" s="57"/>
      <c r="AUM32" s="57"/>
      <c r="AUN32" s="56"/>
      <c r="AUO32" s="57"/>
      <c r="AUP32" s="58"/>
      <c r="AUQ32" s="56"/>
      <c r="AUR32" s="57"/>
      <c r="AUS32" s="57"/>
      <c r="AUT32" s="57"/>
      <c r="AUU32" s="56"/>
      <c r="AUV32" s="57"/>
      <c r="AUW32" s="57"/>
      <c r="AUX32" s="56"/>
      <c r="AUY32" s="57"/>
      <c r="AUZ32" s="58"/>
      <c r="AVA32" s="56"/>
      <c r="AVB32" s="57"/>
      <c r="AVC32" s="57"/>
      <c r="AVD32" s="57"/>
      <c r="AVE32" s="56"/>
      <c r="AVF32" s="57"/>
      <c r="AVG32" s="57"/>
      <c r="AVH32" s="57"/>
      <c r="AVI32" s="57"/>
      <c r="AVJ32" s="57"/>
      <c r="AVK32" s="56"/>
      <c r="AVL32" s="57"/>
      <c r="AVM32" s="57"/>
      <c r="AVN32" s="56"/>
      <c r="AVO32" s="57"/>
      <c r="AVP32" s="58"/>
      <c r="AVQ32" s="56"/>
      <c r="AVR32" s="57"/>
      <c r="AVS32" s="57"/>
      <c r="AVT32" s="57"/>
      <c r="AVU32" s="56"/>
      <c r="AVV32" s="57"/>
      <c r="AVW32" s="57"/>
      <c r="AVX32" s="56"/>
      <c r="AVY32" s="57"/>
      <c r="AVZ32" s="58"/>
      <c r="AWA32" s="56"/>
      <c r="AWB32" s="57"/>
      <c r="AWC32" s="57"/>
      <c r="AWD32" s="57"/>
      <c r="AWE32" s="56"/>
      <c r="AWF32" s="57"/>
      <c r="AWG32" s="57"/>
      <c r="AWH32" s="57"/>
      <c r="AWI32" s="57"/>
      <c r="AWJ32" s="57"/>
      <c r="AWK32" s="56"/>
      <c r="AWL32" s="57"/>
      <c r="AWM32" s="57"/>
      <c r="AWN32" s="56"/>
      <c r="AWO32" s="57"/>
      <c r="AWP32" s="58"/>
      <c r="AWQ32" s="56"/>
      <c r="AWR32" s="57"/>
      <c r="AWS32" s="57"/>
      <c r="AWT32" s="57"/>
      <c r="AWU32" s="56"/>
      <c r="AWV32" s="57"/>
      <c r="AWW32" s="57"/>
      <c r="AWX32" s="56"/>
      <c r="AWY32" s="57"/>
      <c r="AWZ32" s="58"/>
      <c r="AXA32" s="56"/>
      <c r="AXB32" s="57"/>
      <c r="AXC32" s="57"/>
      <c r="AXD32" s="57"/>
      <c r="AXE32" s="56"/>
      <c r="AXF32" s="57"/>
      <c r="AXG32" s="57"/>
      <c r="AXH32" s="57"/>
      <c r="AXI32" s="57"/>
      <c r="AXJ32" s="57"/>
      <c r="AXK32" s="56"/>
      <c r="AXL32" s="57"/>
      <c r="AXM32" s="57"/>
      <c r="AXN32" s="56"/>
      <c r="AXO32" s="57"/>
      <c r="AXP32" s="58"/>
      <c r="AXQ32" s="56"/>
      <c r="AXR32" s="57"/>
      <c r="AXS32" s="57"/>
      <c r="AXT32" s="57"/>
      <c r="AXU32" s="56"/>
      <c r="AXV32" s="57"/>
      <c r="AXW32" s="57"/>
      <c r="AXX32" s="56"/>
      <c r="AXY32" s="57"/>
      <c r="AXZ32" s="58"/>
      <c r="AYA32" s="56"/>
      <c r="AYB32" s="57"/>
      <c r="AYC32" s="57"/>
      <c r="AYD32" s="57"/>
      <c r="AYE32" s="56"/>
      <c r="AYF32" s="57"/>
      <c r="AYG32" s="57"/>
      <c r="AYH32" s="57"/>
      <c r="AYI32" s="57"/>
      <c r="AYJ32" s="57"/>
      <c r="AYK32" s="56"/>
      <c r="AYL32" s="57"/>
      <c r="AYM32" s="57"/>
      <c r="AYN32" s="56"/>
      <c r="AYO32" s="57"/>
      <c r="AYP32" s="58"/>
      <c r="AYQ32" s="56"/>
      <c r="AYR32" s="57"/>
      <c r="AYS32" s="57"/>
      <c r="AYT32" s="57"/>
      <c r="AYU32" s="56"/>
      <c r="AYV32" s="57"/>
      <c r="AYW32" s="57"/>
      <c r="AYX32" s="56"/>
      <c r="AYY32" s="57"/>
      <c r="AYZ32" s="58"/>
      <c r="AZA32" s="56"/>
      <c r="AZB32" s="57"/>
      <c r="AZC32" s="57"/>
      <c r="AZD32" s="57"/>
      <c r="AZE32" s="56"/>
      <c r="AZF32" s="57"/>
      <c r="AZG32" s="57"/>
      <c r="AZH32" s="57"/>
      <c r="AZI32" s="57"/>
      <c r="AZJ32" s="57"/>
      <c r="AZK32" s="56"/>
      <c r="AZL32" s="57"/>
      <c r="AZM32" s="57"/>
      <c r="AZN32" s="56"/>
      <c r="AZO32" s="57"/>
      <c r="AZP32" s="58"/>
      <c r="AZQ32" s="56"/>
      <c r="AZR32" s="57"/>
      <c r="AZS32" s="57"/>
      <c r="AZT32" s="57"/>
      <c r="AZU32" s="56"/>
      <c r="AZV32" s="57"/>
      <c r="AZW32" s="57"/>
      <c r="AZX32" s="56"/>
      <c r="AZY32" s="57"/>
      <c r="AZZ32" s="58"/>
      <c r="BAA32" s="56"/>
      <c r="BAB32" s="57"/>
      <c r="BAC32" s="57"/>
      <c r="BAD32" s="57"/>
      <c r="BAE32" s="56"/>
      <c r="BAF32" s="57"/>
      <c r="BAG32" s="57"/>
      <c r="BAH32" s="57"/>
      <c r="BAI32" s="57"/>
      <c r="BAJ32" s="57"/>
      <c r="BAK32" s="56"/>
      <c r="BAL32" s="57"/>
      <c r="BAM32" s="57"/>
      <c r="BAN32" s="56"/>
      <c r="BAO32" s="57"/>
      <c r="BAP32" s="58"/>
      <c r="BAQ32" s="56"/>
      <c r="BAR32" s="57"/>
      <c r="BAS32" s="57"/>
      <c r="BAT32" s="57"/>
      <c r="BAU32" s="56"/>
      <c r="BAV32" s="57"/>
      <c r="BAW32" s="57"/>
      <c r="BAX32" s="56"/>
      <c r="BAY32" s="57"/>
      <c r="BAZ32" s="58"/>
      <c r="BBA32" s="56"/>
      <c r="BBB32" s="57"/>
      <c r="BBC32" s="57"/>
      <c r="BBD32" s="57"/>
      <c r="BBE32" s="56"/>
      <c r="BBF32" s="57"/>
      <c r="BBG32" s="57"/>
      <c r="BBH32" s="57"/>
      <c r="BBI32" s="57"/>
      <c r="BBJ32" s="57"/>
      <c r="BBK32" s="56"/>
      <c r="BBL32" s="57"/>
      <c r="BBM32" s="57"/>
      <c r="BBN32" s="56"/>
      <c r="BBO32" s="57"/>
      <c r="BBP32" s="58"/>
      <c r="BBQ32" s="56"/>
      <c r="BBR32" s="57"/>
      <c r="BBS32" s="57"/>
      <c r="BBT32" s="57"/>
      <c r="BBU32" s="56"/>
      <c r="BBV32" s="57"/>
      <c r="BBW32" s="57"/>
      <c r="BBX32" s="56"/>
      <c r="BBY32" s="57"/>
      <c r="BBZ32" s="58"/>
      <c r="BCA32" s="56"/>
      <c r="BCB32" s="57"/>
      <c r="BCC32" s="57"/>
      <c r="BCD32" s="57"/>
      <c r="BCE32" s="56"/>
      <c r="BCF32" s="57"/>
      <c r="BCG32" s="57"/>
      <c r="BCH32" s="57"/>
      <c r="BCI32" s="57"/>
      <c r="BCJ32" s="57"/>
      <c r="BCK32" s="56"/>
      <c r="BCL32" s="57"/>
      <c r="BCM32" s="57"/>
      <c r="BCN32" s="56"/>
      <c r="BCO32" s="57"/>
      <c r="BCP32" s="58"/>
      <c r="BCQ32" s="56"/>
      <c r="BCR32" s="57"/>
      <c r="BCS32" s="57"/>
      <c r="BCT32" s="57"/>
      <c r="BCU32" s="56"/>
      <c r="BCV32" s="57"/>
      <c r="BCW32" s="57"/>
      <c r="BCX32" s="56"/>
      <c r="BCY32" s="57"/>
      <c r="BCZ32" s="58"/>
      <c r="BDA32" s="56"/>
      <c r="BDB32" s="57"/>
      <c r="BDC32" s="57"/>
      <c r="BDD32" s="57"/>
      <c r="BDE32" s="56"/>
      <c r="BDF32" s="57"/>
      <c r="BDG32" s="57"/>
      <c r="BDH32" s="57"/>
      <c r="BDI32" s="57"/>
      <c r="BDJ32" s="57"/>
      <c r="BDK32" s="56"/>
      <c r="BDL32" s="57"/>
      <c r="BDM32" s="57"/>
      <c r="BDN32" s="56"/>
      <c r="BDO32" s="57"/>
      <c r="BDP32" s="58"/>
      <c r="BDQ32" s="56"/>
      <c r="BDR32" s="57"/>
      <c r="BDS32" s="57"/>
      <c r="BDT32" s="57"/>
      <c r="BDU32" s="56"/>
      <c r="BDV32" s="57"/>
      <c r="BDW32" s="57"/>
      <c r="BDX32" s="56"/>
      <c r="BDY32" s="57"/>
      <c r="BDZ32" s="58"/>
      <c r="BEA32" s="56"/>
      <c r="BEB32" s="57"/>
      <c r="BEC32" s="57"/>
      <c r="BED32" s="57"/>
      <c r="BEE32" s="56"/>
      <c r="BEF32" s="57"/>
      <c r="BEG32" s="57"/>
      <c r="BEH32" s="57"/>
      <c r="BEI32" s="57"/>
      <c r="BEJ32" s="57"/>
      <c r="BEK32" s="56"/>
      <c r="BEL32" s="57"/>
      <c r="BEM32" s="57"/>
      <c r="BEN32" s="56"/>
      <c r="BEO32" s="57"/>
      <c r="BEP32" s="58"/>
      <c r="BEQ32" s="56"/>
      <c r="BER32" s="57"/>
      <c r="BES32" s="57"/>
      <c r="BET32" s="57"/>
      <c r="BEU32" s="56"/>
      <c r="BEV32" s="57"/>
      <c r="BEW32" s="57"/>
      <c r="BEX32" s="56"/>
      <c r="BEY32" s="57"/>
      <c r="BEZ32" s="58"/>
      <c r="BFA32" s="56"/>
      <c r="BFB32" s="57"/>
      <c r="BFC32" s="57"/>
      <c r="BFD32" s="57"/>
      <c r="BFE32" s="56"/>
      <c r="BFF32" s="57"/>
      <c r="BFG32" s="57"/>
      <c r="BFH32" s="57"/>
      <c r="BFI32" s="57"/>
      <c r="BFJ32" s="57"/>
      <c r="BFK32" s="56"/>
      <c r="BFL32" s="57"/>
      <c r="BFM32" s="57"/>
      <c r="BFN32" s="56"/>
      <c r="BFO32" s="57"/>
      <c r="BFP32" s="58"/>
      <c r="BFQ32" s="56"/>
      <c r="BFR32" s="57"/>
      <c r="BFS32" s="57"/>
      <c r="BFT32" s="57"/>
      <c r="BFU32" s="56"/>
      <c r="BFV32" s="57"/>
      <c r="BFW32" s="57"/>
      <c r="BFX32" s="56"/>
      <c r="BFY32" s="57"/>
      <c r="BFZ32" s="58"/>
      <c r="BGA32" s="56"/>
      <c r="BGB32" s="57"/>
      <c r="BGC32" s="57"/>
      <c r="BGD32" s="57"/>
      <c r="BGE32" s="56"/>
      <c r="BGF32" s="57"/>
      <c r="BGG32" s="57"/>
      <c r="BGH32" s="57"/>
      <c r="BGI32" s="57"/>
      <c r="BGJ32" s="57"/>
      <c r="BGK32" s="56"/>
      <c r="BGL32" s="57"/>
      <c r="BGM32" s="57"/>
      <c r="BGN32" s="56"/>
      <c r="BGO32" s="57"/>
      <c r="BGP32" s="58"/>
      <c r="BGQ32" s="56"/>
      <c r="BGR32" s="57"/>
      <c r="BGS32" s="57"/>
      <c r="BGT32" s="57"/>
      <c r="BGU32" s="56"/>
      <c r="BGV32" s="57"/>
      <c r="BGW32" s="57"/>
      <c r="BGX32" s="56"/>
      <c r="BGY32" s="57"/>
      <c r="BGZ32" s="58"/>
      <c r="BHA32" s="56"/>
      <c r="BHB32" s="57"/>
      <c r="BHC32" s="57"/>
      <c r="BHD32" s="57"/>
      <c r="BHE32" s="56"/>
      <c r="BHF32" s="57"/>
      <c r="BHG32" s="57"/>
      <c r="BHH32" s="57"/>
      <c r="BHI32" s="57"/>
      <c r="BHJ32" s="57"/>
      <c r="BHK32" s="56"/>
      <c r="BHL32" s="57"/>
      <c r="BHM32" s="57"/>
      <c r="BHN32" s="56"/>
      <c r="BHO32" s="57"/>
      <c r="BHP32" s="58"/>
      <c r="BHQ32" s="56"/>
      <c r="BHR32" s="57"/>
      <c r="BHS32" s="57"/>
      <c r="BHT32" s="57"/>
      <c r="BHU32" s="56"/>
      <c r="BHV32" s="57"/>
      <c r="BHW32" s="57"/>
      <c r="BHX32" s="56"/>
      <c r="BHY32" s="57"/>
      <c r="BHZ32" s="58"/>
      <c r="BIA32" s="56"/>
      <c r="BIB32" s="57"/>
      <c r="BIC32" s="57"/>
      <c r="BID32" s="57"/>
      <c r="BIE32" s="56"/>
      <c r="BIF32" s="57"/>
      <c r="BIG32" s="57"/>
      <c r="BIH32" s="57"/>
      <c r="BII32" s="57"/>
      <c r="BIJ32" s="57"/>
      <c r="BIK32" s="56"/>
      <c r="BIL32" s="57"/>
      <c r="BIM32" s="57"/>
      <c r="BIN32" s="56"/>
      <c r="BIO32" s="57"/>
      <c r="BIP32" s="58"/>
      <c r="BIQ32" s="56"/>
      <c r="BIR32" s="57"/>
      <c r="BIS32" s="57"/>
      <c r="BIT32" s="57"/>
      <c r="BIU32" s="56"/>
      <c r="BIV32" s="57"/>
      <c r="BIW32" s="57"/>
      <c r="BIX32" s="56"/>
      <c r="BIY32" s="57"/>
      <c r="BIZ32" s="58"/>
      <c r="BJA32" s="56"/>
      <c r="BJB32" s="57"/>
      <c r="BJC32" s="57"/>
      <c r="BJD32" s="57"/>
      <c r="BJE32" s="56"/>
      <c r="BJF32" s="57"/>
      <c r="BJG32" s="57"/>
      <c r="BJH32" s="57"/>
      <c r="BJI32" s="57"/>
      <c r="BJJ32" s="57"/>
      <c r="BJK32" s="56"/>
      <c r="BJL32" s="57"/>
      <c r="BJM32" s="57"/>
      <c r="BJN32" s="56"/>
      <c r="BJO32" s="57"/>
      <c r="BJP32" s="58"/>
      <c r="BJQ32" s="56"/>
      <c r="BJR32" s="57"/>
      <c r="BJS32" s="57"/>
      <c r="BJT32" s="57"/>
      <c r="BJU32" s="56"/>
      <c r="BJV32" s="57"/>
      <c r="BJW32" s="57"/>
      <c r="BJX32" s="56"/>
      <c r="BJY32" s="57"/>
      <c r="BJZ32" s="58"/>
      <c r="BKA32" s="56"/>
      <c r="BKB32" s="57"/>
      <c r="BKC32" s="57"/>
      <c r="BKD32" s="57"/>
      <c r="BKE32" s="56"/>
      <c r="BKF32" s="57"/>
      <c r="BKG32" s="57"/>
      <c r="BKH32" s="57"/>
      <c r="BKI32" s="57"/>
      <c r="BKJ32" s="57"/>
      <c r="BKK32" s="56"/>
      <c r="BKL32" s="57"/>
      <c r="BKM32" s="57"/>
      <c r="BKN32" s="56"/>
      <c r="BKO32" s="57"/>
      <c r="BKP32" s="58"/>
      <c r="BKQ32" s="56"/>
      <c r="BKR32" s="57"/>
      <c r="BKS32" s="57"/>
      <c r="BKT32" s="57"/>
      <c r="BKU32" s="56"/>
      <c r="BKV32" s="57"/>
      <c r="BKW32" s="57"/>
      <c r="BKX32" s="56"/>
      <c r="BKY32" s="57"/>
      <c r="BKZ32" s="58"/>
      <c r="BLA32" s="56"/>
      <c r="BLB32" s="57"/>
      <c r="BLC32" s="57"/>
      <c r="BLD32" s="57"/>
      <c r="BLE32" s="56"/>
      <c r="BLF32" s="57"/>
      <c r="BLG32" s="57"/>
      <c r="BLH32" s="57"/>
      <c r="BLI32" s="57"/>
      <c r="BLJ32" s="57"/>
      <c r="BLK32" s="56"/>
      <c r="BLL32" s="57"/>
      <c r="BLM32" s="57"/>
      <c r="BLN32" s="56"/>
      <c r="BLO32" s="57"/>
      <c r="BLP32" s="58"/>
      <c r="BLQ32" s="56"/>
      <c r="BLR32" s="57"/>
      <c r="BLS32" s="57"/>
      <c r="BLT32" s="57"/>
      <c r="BLU32" s="56"/>
      <c r="BLV32" s="57"/>
      <c r="BLW32" s="57"/>
      <c r="BLX32" s="56"/>
      <c r="BLY32" s="57"/>
      <c r="BLZ32" s="58"/>
      <c r="BMA32" s="56"/>
      <c r="BMB32" s="57"/>
      <c r="BMC32" s="57"/>
      <c r="BMD32" s="57"/>
      <c r="BME32" s="56"/>
      <c r="BMF32" s="57"/>
      <c r="BMG32" s="57"/>
      <c r="BMH32" s="57"/>
      <c r="BMI32" s="57"/>
      <c r="BMJ32" s="57"/>
      <c r="BMK32" s="56"/>
      <c r="BML32" s="57"/>
      <c r="BMM32" s="57"/>
      <c r="BMN32" s="56"/>
      <c r="BMO32" s="57"/>
      <c r="BMP32" s="58"/>
      <c r="BMQ32" s="56"/>
      <c r="BMR32" s="57"/>
      <c r="BMS32" s="57"/>
      <c r="BMT32" s="57"/>
      <c r="BMU32" s="56"/>
      <c r="BMV32" s="57"/>
      <c r="BMW32" s="57"/>
      <c r="BMX32" s="56"/>
      <c r="BMY32" s="57"/>
      <c r="BMZ32" s="58"/>
      <c r="BNA32" s="56"/>
      <c r="BNB32" s="57"/>
      <c r="BNC32" s="57"/>
      <c r="BND32" s="57"/>
      <c r="BNE32" s="56"/>
      <c r="BNF32" s="57"/>
      <c r="BNG32" s="57"/>
      <c r="BNH32" s="57"/>
      <c r="BNI32" s="57"/>
      <c r="BNJ32" s="57"/>
      <c r="BNK32" s="56"/>
      <c r="BNL32" s="57"/>
      <c r="BNM32" s="57"/>
      <c r="BNN32" s="56"/>
      <c r="BNO32" s="57"/>
      <c r="BNP32" s="58"/>
      <c r="BNQ32" s="56"/>
      <c r="BNR32" s="57"/>
      <c r="BNS32" s="57"/>
      <c r="BNT32" s="57"/>
      <c r="BNU32" s="56"/>
      <c r="BNV32" s="57"/>
      <c r="BNW32" s="57"/>
      <c r="BNX32" s="56"/>
      <c r="BNY32" s="57"/>
      <c r="BNZ32" s="58"/>
      <c r="BOA32" s="56"/>
      <c r="BOB32" s="57"/>
      <c r="BOC32" s="57"/>
      <c r="BOD32" s="57"/>
      <c r="BOE32" s="56"/>
      <c r="BOF32" s="57"/>
      <c r="BOG32" s="57"/>
      <c r="BOH32" s="57"/>
      <c r="BOI32" s="57"/>
      <c r="BOJ32" s="57"/>
      <c r="BOK32" s="56"/>
      <c r="BOL32" s="57"/>
      <c r="BOM32" s="57"/>
      <c r="BON32" s="56"/>
      <c r="BOO32" s="57"/>
      <c r="BOP32" s="58"/>
      <c r="BOQ32" s="56"/>
      <c r="BOR32" s="57"/>
      <c r="BOS32" s="57"/>
      <c r="BOT32" s="57"/>
      <c r="BOU32" s="56"/>
      <c r="BOV32" s="57"/>
      <c r="BOW32" s="57"/>
      <c r="BOX32" s="56"/>
      <c r="BOY32" s="57"/>
      <c r="BOZ32" s="58"/>
      <c r="BPA32" s="56"/>
      <c r="BPB32" s="57"/>
      <c r="BPC32" s="57"/>
      <c r="BPD32" s="57"/>
      <c r="BPE32" s="56"/>
      <c r="BPF32" s="57"/>
      <c r="BPG32" s="57"/>
      <c r="BPH32" s="57"/>
      <c r="BPI32" s="57"/>
      <c r="BPJ32" s="57"/>
      <c r="BPK32" s="56"/>
      <c r="BPL32" s="57"/>
      <c r="BPM32" s="57"/>
      <c r="BPN32" s="56"/>
      <c r="BPO32" s="57"/>
      <c r="BPP32" s="58"/>
      <c r="BPQ32" s="56"/>
      <c r="BPR32" s="57"/>
      <c r="BPS32" s="57"/>
      <c r="BPT32" s="57"/>
      <c r="BPU32" s="56"/>
      <c r="BPV32" s="57"/>
      <c r="BPW32" s="57"/>
      <c r="BPX32" s="56"/>
      <c r="BPY32" s="57"/>
      <c r="BPZ32" s="58"/>
      <c r="BQA32" s="56"/>
      <c r="BQB32" s="57"/>
      <c r="BQC32" s="57"/>
      <c r="BQD32" s="57"/>
      <c r="BQE32" s="56"/>
      <c r="BQF32" s="57"/>
      <c r="BQG32" s="57"/>
      <c r="BQH32" s="57"/>
      <c r="BQI32" s="57"/>
      <c r="BQJ32" s="57"/>
      <c r="BQK32" s="56"/>
      <c r="BQL32" s="57"/>
      <c r="BQM32" s="57"/>
      <c r="BQN32" s="56"/>
      <c r="BQO32" s="57"/>
      <c r="BQP32" s="58"/>
      <c r="BQQ32" s="56"/>
      <c r="BQR32" s="57"/>
      <c r="BQS32" s="57"/>
      <c r="BQT32" s="57"/>
      <c r="BQU32" s="56"/>
      <c r="BQV32" s="57"/>
      <c r="BQW32" s="57"/>
      <c r="BQX32" s="56"/>
      <c r="BQY32" s="57"/>
      <c r="BQZ32" s="58"/>
      <c r="BRA32" s="56"/>
      <c r="BRB32" s="57"/>
      <c r="BRC32" s="57"/>
      <c r="BRD32" s="57"/>
      <c r="BRE32" s="56"/>
      <c r="BRF32" s="57"/>
      <c r="BRG32" s="57"/>
      <c r="BRH32" s="57"/>
      <c r="BRI32" s="57"/>
      <c r="BRJ32" s="57"/>
      <c r="BRK32" s="56"/>
      <c r="BRL32" s="57"/>
      <c r="BRM32" s="57"/>
      <c r="BRN32" s="56"/>
      <c r="BRO32" s="57"/>
      <c r="BRP32" s="58"/>
      <c r="BRQ32" s="56"/>
      <c r="BRR32" s="57"/>
      <c r="BRS32" s="57"/>
      <c r="BRT32" s="57"/>
      <c r="BRU32" s="56"/>
      <c r="BRV32" s="57"/>
      <c r="BRW32" s="57"/>
      <c r="BRX32" s="56"/>
      <c r="BRY32" s="57"/>
      <c r="BRZ32" s="58"/>
      <c r="BSA32" s="56"/>
      <c r="BSB32" s="57"/>
      <c r="BSC32" s="57"/>
      <c r="BSD32" s="57"/>
      <c r="BSE32" s="56"/>
      <c r="BSF32" s="57"/>
      <c r="BSG32" s="57"/>
      <c r="BSH32" s="57"/>
      <c r="BSI32" s="57"/>
      <c r="BSJ32" s="57"/>
      <c r="BSK32" s="56"/>
      <c r="BSL32" s="57"/>
      <c r="BSM32" s="57"/>
      <c r="BSN32" s="56"/>
      <c r="BSO32" s="57"/>
      <c r="BSP32" s="58"/>
      <c r="BSQ32" s="56"/>
      <c r="BSR32" s="57"/>
      <c r="BSS32" s="57"/>
      <c r="BST32" s="57"/>
      <c r="BSU32" s="56"/>
      <c r="BSV32" s="57"/>
      <c r="BSW32" s="57"/>
      <c r="BSX32" s="56"/>
      <c r="BSY32" s="57"/>
      <c r="BSZ32" s="58"/>
      <c r="BTA32" s="56"/>
      <c r="BTB32" s="57"/>
      <c r="BTC32" s="57"/>
      <c r="BTD32" s="57"/>
      <c r="BTE32" s="56"/>
      <c r="BTF32" s="57"/>
      <c r="BTG32" s="57"/>
      <c r="BTH32" s="57"/>
      <c r="BTI32" s="57"/>
      <c r="BTJ32" s="57"/>
      <c r="BTK32" s="56"/>
      <c r="BTL32" s="57"/>
      <c r="BTM32" s="57"/>
      <c r="BTN32" s="56"/>
      <c r="BTO32" s="57"/>
      <c r="BTP32" s="58"/>
      <c r="BTQ32" s="56"/>
      <c r="BTR32" s="57"/>
      <c r="BTS32" s="57"/>
      <c r="BTT32" s="57"/>
      <c r="BTU32" s="56"/>
      <c r="BTV32" s="57"/>
      <c r="BTW32" s="57"/>
      <c r="BTX32" s="56"/>
      <c r="BTY32" s="57"/>
      <c r="BTZ32" s="58"/>
      <c r="BUA32" s="56"/>
      <c r="BUB32" s="57"/>
      <c r="BUC32" s="57"/>
      <c r="BUD32" s="57"/>
      <c r="BUE32" s="56"/>
      <c r="BUF32" s="57"/>
      <c r="BUG32" s="57"/>
      <c r="BUH32" s="57"/>
      <c r="BUI32" s="57"/>
      <c r="BUJ32" s="57"/>
      <c r="BUK32" s="56"/>
      <c r="BUL32" s="57"/>
      <c r="BUM32" s="57"/>
      <c r="BUN32" s="56"/>
      <c r="BUO32" s="57"/>
      <c r="BUP32" s="58"/>
      <c r="BUQ32" s="56"/>
      <c r="BUR32" s="57"/>
      <c r="BUS32" s="57"/>
      <c r="BUT32" s="57"/>
      <c r="BUU32" s="56"/>
      <c r="BUV32" s="57"/>
      <c r="BUW32" s="57"/>
      <c r="BUX32" s="56"/>
      <c r="BUY32" s="57"/>
      <c r="BUZ32" s="58"/>
      <c r="BVA32" s="56"/>
      <c r="BVB32" s="57"/>
      <c r="BVC32" s="57"/>
      <c r="BVD32" s="57"/>
      <c r="BVE32" s="56"/>
      <c r="BVF32" s="57"/>
      <c r="BVG32" s="57"/>
      <c r="BVH32" s="57"/>
      <c r="BVI32" s="57"/>
      <c r="BVJ32" s="57"/>
      <c r="BVK32" s="56"/>
      <c r="BVL32" s="57"/>
      <c r="BVM32" s="57"/>
      <c r="BVN32" s="56"/>
      <c r="BVO32" s="57"/>
      <c r="BVP32" s="58"/>
      <c r="BVQ32" s="56"/>
      <c r="BVR32" s="57"/>
      <c r="BVS32" s="57"/>
      <c r="BVT32" s="57"/>
      <c r="BVU32" s="56"/>
      <c r="BVV32" s="57"/>
      <c r="BVW32" s="57"/>
      <c r="BVX32" s="56"/>
      <c r="BVY32" s="57"/>
      <c r="BVZ32" s="58"/>
      <c r="BWA32" s="56"/>
      <c r="BWB32" s="57"/>
      <c r="BWC32" s="57"/>
      <c r="BWD32" s="57"/>
      <c r="BWE32" s="56"/>
      <c r="BWF32" s="57"/>
      <c r="BWG32" s="57"/>
      <c r="BWH32" s="57"/>
      <c r="BWI32" s="57"/>
      <c r="BWJ32" s="57"/>
      <c r="BWK32" s="56"/>
      <c r="BWL32" s="57"/>
      <c r="BWM32" s="57"/>
      <c r="BWN32" s="56"/>
      <c r="BWO32" s="57"/>
      <c r="BWP32" s="58"/>
      <c r="BWQ32" s="56"/>
      <c r="BWR32" s="57"/>
      <c r="BWS32" s="57"/>
      <c r="BWT32" s="57"/>
      <c r="BWU32" s="56"/>
      <c r="BWV32" s="57"/>
      <c r="BWW32" s="57"/>
      <c r="BWX32" s="56"/>
      <c r="BWY32" s="57"/>
      <c r="BWZ32" s="58"/>
      <c r="BXA32" s="56"/>
      <c r="BXB32" s="57"/>
      <c r="BXC32" s="57"/>
      <c r="BXD32" s="57"/>
      <c r="BXE32" s="56"/>
      <c r="BXF32" s="57"/>
      <c r="BXG32" s="57"/>
      <c r="BXH32" s="57"/>
      <c r="BXI32" s="57"/>
      <c r="BXJ32" s="57"/>
      <c r="BXK32" s="56"/>
      <c r="BXL32" s="57"/>
      <c r="BXM32" s="57"/>
      <c r="BXN32" s="56"/>
      <c r="BXO32" s="57"/>
      <c r="BXP32" s="58"/>
      <c r="BXQ32" s="56"/>
      <c r="BXR32" s="57"/>
      <c r="BXS32" s="57"/>
      <c r="BXT32" s="57"/>
      <c r="BXU32" s="56"/>
      <c r="BXV32" s="57"/>
      <c r="BXW32" s="57"/>
      <c r="BXX32" s="56"/>
      <c r="BXY32" s="57"/>
      <c r="BXZ32" s="58"/>
      <c r="BYA32" s="56"/>
      <c r="BYB32" s="57"/>
      <c r="BYC32" s="57"/>
      <c r="BYD32" s="57"/>
      <c r="BYE32" s="56"/>
      <c r="BYF32" s="57"/>
      <c r="BYG32" s="57"/>
      <c r="BYH32" s="57"/>
      <c r="BYI32" s="57"/>
      <c r="BYJ32" s="57"/>
      <c r="BYK32" s="56"/>
      <c r="BYL32" s="57"/>
      <c r="BYM32" s="57"/>
      <c r="BYN32" s="56"/>
      <c r="BYO32" s="57"/>
      <c r="BYP32" s="58"/>
      <c r="BYQ32" s="56"/>
      <c r="BYR32" s="57"/>
      <c r="BYS32" s="57"/>
      <c r="BYT32" s="57"/>
      <c r="BYU32" s="56"/>
      <c r="BYV32" s="57"/>
      <c r="BYW32" s="57"/>
      <c r="BYX32" s="58"/>
      <c r="BYY32" s="57"/>
      <c r="BYZ32" s="56"/>
      <c r="BZA32" s="57"/>
      <c r="BZB32" s="56"/>
      <c r="BZC32" s="56"/>
      <c r="BZD32" s="56"/>
      <c r="BZE32" s="57"/>
      <c r="BZF32" s="57"/>
      <c r="BZG32" s="57"/>
      <c r="BZH32" s="57"/>
      <c r="BZI32" s="57"/>
      <c r="BZJ32" s="57"/>
      <c r="BZK32" s="57"/>
      <c r="BZL32" s="57"/>
      <c r="BZM32" s="57"/>
      <c r="BZN32" s="57"/>
      <c r="BZO32" s="57"/>
      <c r="BZP32" s="57"/>
      <c r="BZQ32" s="57"/>
      <c r="BZR32" s="57"/>
      <c r="BZS32" s="57"/>
      <c r="BZT32" s="57"/>
      <c r="BZU32" s="57"/>
      <c r="BZV32" s="57"/>
      <c r="BZW32" s="57"/>
      <c r="BZX32" s="57"/>
      <c r="BZY32" s="57"/>
      <c r="BZZ32" s="57"/>
      <c r="CAA32" s="57"/>
      <c r="CAB32" s="57"/>
      <c r="CAC32" s="57"/>
      <c r="CAD32" s="57"/>
      <c r="CAE32" s="57"/>
      <c r="CAF32" s="57"/>
      <c r="CAG32" s="57"/>
      <c r="CAH32" s="57"/>
      <c r="CAI32" s="57"/>
      <c r="CAJ32" s="57"/>
      <c r="CAK32" s="57"/>
      <c r="CAL32" s="57"/>
      <c r="CAM32" s="57"/>
      <c r="CAN32" s="57"/>
      <c r="CAO32" s="57"/>
      <c r="CAP32" s="58"/>
      <c r="CAQ32" s="56"/>
      <c r="CAR32" s="57"/>
      <c r="CAS32" s="57"/>
      <c r="CAT32" s="57"/>
      <c r="CAU32" s="57"/>
      <c r="CAV32" s="57"/>
      <c r="CAW32" s="56"/>
      <c r="CAX32" s="57"/>
      <c r="CAY32" s="57"/>
      <c r="CAZ32" s="56"/>
      <c r="CBA32" s="57"/>
      <c r="CBB32" s="58"/>
      <c r="CBC32" s="56"/>
      <c r="CBD32" s="57"/>
      <c r="CBE32" s="57"/>
      <c r="CBF32" s="57"/>
      <c r="CBG32" s="56"/>
      <c r="CBH32" s="57"/>
      <c r="CBI32" s="57"/>
      <c r="CBJ32" s="56"/>
      <c r="CBK32" s="57"/>
      <c r="CBL32" s="58"/>
      <c r="CBM32" s="56"/>
      <c r="CBN32" s="57"/>
      <c r="CBO32" s="57"/>
      <c r="CBP32" s="57"/>
      <c r="CBQ32" s="56"/>
      <c r="CBR32" s="57"/>
      <c r="CBS32" s="57"/>
      <c r="CBT32" s="56"/>
      <c r="CBU32" s="57"/>
      <c r="CBV32" s="58"/>
      <c r="CBW32" s="56"/>
      <c r="CBX32" s="57"/>
      <c r="CBY32" s="57"/>
      <c r="CBZ32" s="57"/>
      <c r="CCA32" s="56"/>
      <c r="CCB32" s="57"/>
      <c r="CCC32" s="57"/>
      <c r="CCD32" s="56"/>
      <c r="CCE32" s="57"/>
      <c r="CCF32" s="58"/>
      <c r="CCG32" s="56"/>
      <c r="CCH32" s="58"/>
      <c r="CCI32" s="57"/>
      <c r="CCJ32" s="56"/>
      <c r="CCK32" s="57"/>
      <c r="CCL32" s="56"/>
      <c r="CCM32" s="56"/>
      <c r="CCN32" s="56"/>
      <c r="CCO32" s="57"/>
      <c r="CCP32" s="57"/>
      <c r="CCQ32" s="57"/>
      <c r="CCR32" s="57"/>
      <c r="CCS32" s="57"/>
      <c r="CCT32" s="57"/>
      <c r="CCU32" s="57"/>
      <c r="CCV32" s="57"/>
      <c r="CCW32" s="57"/>
      <c r="CCX32" s="57"/>
      <c r="CCY32" s="57"/>
      <c r="CCZ32" s="57"/>
      <c r="CDA32" s="57"/>
      <c r="CDB32" s="57"/>
      <c r="CDC32" s="57"/>
      <c r="CDD32" s="57"/>
      <c r="CDE32" s="57"/>
      <c r="CDF32" s="57"/>
      <c r="CDG32" s="57"/>
      <c r="CDH32" s="57"/>
      <c r="CDI32" s="57"/>
      <c r="CDJ32" s="57"/>
      <c r="CDK32" s="57"/>
      <c r="CDL32" s="57"/>
      <c r="CDM32" s="57"/>
      <c r="CDN32" s="57"/>
      <c r="CDO32" s="57"/>
      <c r="CDP32" s="57"/>
      <c r="CDQ32" s="57"/>
      <c r="CDR32" s="57"/>
      <c r="CDS32" s="57"/>
      <c r="CDT32" s="57"/>
      <c r="CDU32" s="57"/>
      <c r="CDV32" s="57"/>
      <c r="CDW32" s="57"/>
      <c r="CDX32" s="57"/>
      <c r="CDY32" s="57"/>
      <c r="CDZ32" s="58"/>
      <c r="CEA32" s="56"/>
      <c r="CEB32" s="57"/>
      <c r="CEC32" s="57"/>
      <c r="CED32" s="57"/>
      <c r="CEE32" s="57"/>
      <c r="CEF32" s="57"/>
      <c r="CEG32" s="56"/>
      <c r="CEH32" s="57"/>
      <c r="CEI32" s="57"/>
      <c r="CEJ32" s="56"/>
      <c r="CEK32" s="57"/>
      <c r="CEL32" s="58"/>
      <c r="CEM32" s="56"/>
      <c r="CEN32" s="57"/>
      <c r="CEO32" s="57"/>
      <c r="CEP32" s="57"/>
      <c r="CEQ32" s="56"/>
      <c r="CER32" s="57"/>
      <c r="CES32" s="57"/>
      <c r="CET32" s="56"/>
      <c r="CEU32" s="57"/>
      <c r="CEV32" s="58"/>
      <c r="CEW32" s="56"/>
      <c r="CEX32" s="57"/>
      <c r="CEY32" s="57"/>
      <c r="CEZ32" s="57"/>
      <c r="CFA32" s="56"/>
      <c r="CFB32" s="57"/>
      <c r="CFC32" s="57"/>
      <c r="CFD32" s="56"/>
      <c r="CFE32" s="57"/>
      <c r="CFF32" s="58"/>
      <c r="CFG32" s="56"/>
      <c r="CFH32" s="57"/>
      <c r="CFI32" s="57"/>
      <c r="CFJ32" s="57"/>
      <c r="CFK32" s="56"/>
      <c r="CFL32" s="57"/>
      <c r="CFM32" s="57"/>
      <c r="CFN32" s="56"/>
      <c r="CFO32" s="57"/>
      <c r="CFP32" s="58"/>
      <c r="CFQ32" s="56"/>
      <c r="CFR32" s="58"/>
      <c r="CFS32" s="57"/>
      <c r="CFT32" s="56"/>
      <c r="CFU32" s="57"/>
      <c r="CFV32" s="56"/>
      <c r="CFW32" s="56"/>
      <c r="CFX32" s="56"/>
      <c r="CFY32" s="57"/>
      <c r="CFZ32" s="57"/>
      <c r="CGA32" s="57"/>
      <c r="CGB32" s="57"/>
      <c r="CGC32" s="57"/>
      <c r="CGD32" s="57"/>
      <c r="CGE32" s="57"/>
      <c r="CGF32" s="57"/>
      <c r="CGG32" s="57"/>
      <c r="CGH32" s="57"/>
      <c r="CGI32" s="57"/>
      <c r="CGJ32" s="57"/>
      <c r="CGK32" s="57"/>
      <c r="CGL32" s="57"/>
      <c r="CGM32" s="57"/>
      <c r="CGN32" s="57"/>
      <c r="CGO32" s="57"/>
      <c r="CGP32" s="57"/>
      <c r="CGQ32" s="57"/>
      <c r="CGR32" s="57"/>
      <c r="CGS32" s="57"/>
      <c r="CGT32" s="57"/>
      <c r="CGU32" s="57"/>
      <c r="CGV32" s="57"/>
      <c r="CGW32" s="57"/>
      <c r="CGX32" s="57"/>
      <c r="CGY32" s="57"/>
      <c r="CGZ32" s="57"/>
      <c r="CHA32" s="57"/>
      <c r="CHB32" s="57"/>
      <c r="CHC32" s="57"/>
      <c r="CHD32" s="57"/>
      <c r="CHE32" s="57"/>
      <c r="CHF32" s="57"/>
      <c r="CHG32" s="57"/>
      <c r="CHH32" s="57"/>
      <c r="CHI32" s="57"/>
      <c r="CHJ32" s="58"/>
      <c r="CHK32" s="56"/>
      <c r="CHL32" s="57"/>
      <c r="CHM32" s="57"/>
      <c r="CHN32" s="57"/>
      <c r="CHO32" s="57"/>
      <c r="CHP32" s="57"/>
      <c r="CHQ32" s="56"/>
      <c r="CHR32" s="57"/>
      <c r="CHS32" s="57"/>
      <c r="CHT32" s="56"/>
      <c r="CHU32" s="57"/>
      <c r="CHV32" s="58"/>
      <c r="CHW32" s="56"/>
      <c r="CHX32" s="57"/>
      <c r="CHY32" s="57"/>
      <c r="CHZ32" s="57"/>
      <c r="CIA32" s="56"/>
      <c r="CIB32" s="57"/>
      <c r="CIC32" s="57"/>
      <c r="CID32" s="56"/>
      <c r="CIE32" s="57"/>
      <c r="CIF32" s="58"/>
      <c r="CIG32" s="56"/>
      <c r="CIH32" s="57"/>
      <c r="CII32" s="57"/>
      <c r="CIJ32" s="57"/>
      <c r="CIK32" s="56"/>
      <c r="CIL32" s="57"/>
      <c r="CIM32" s="57"/>
      <c r="CIN32" s="56"/>
      <c r="CIO32" s="57"/>
      <c r="CIP32" s="58"/>
      <c r="CIQ32" s="56"/>
      <c r="CIR32" s="57"/>
      <c r="CIS32" s="57"/>
      <c r="CIT32" s="57"/>
      <c r="CIU32" s="56"/>
      <c r="CIV32" s="57"/>
      <c r="CIW32" s="57"/>
      <c r="CIX32" s="56"/>
      <c r="CIY32" s="57"/>
      <c r="CIZ32" s="58"/>
      <c r="CJA32" s="56"/>
      <c r="CJB32" s="58"/>
      <c r="CJC32" s="57"/>
      <c r="CJD32" s="56"/>
      <c r="CJE32" s="57"/>
      <c r="CJF32" s="56"/>
      <c r="CJG32" s="56"/>
      <c r="CJH32" s="56"/>
      <c r="CJI32" s="57"/>
      <c r="CJJ32" s="57"/>
      <c r="CJK32" s="57"/>
      <c r="CJL32" s="57"/>
      <c r="CJM32" s="57"/>
      <c r="CJN32" s="57"/>
      <c r="CJO32" s="57"/>
      <c r="CJP32" s="57"/>
      <c r="CJQ32" s="57"/>
      <c r="CJR32" s="57"/>
      <c r="CJS32" s="57"/>
      <c r="CJT32" s="57"/>
      <c r="CJU32" s="57"/>
      <c r="CJV32" s="57"/>
      <c r="CJW32" s="57"/>
      <c r="CJX32" s="57"/>
      <c r="CJY32" s="57"/>
      <c r="CJZ32" s="57"/>
      <c r="CKA32" s="57"/>
      <c r="CKB32" s="57"/>
      <c r="CKC32" s="57"/>
      <c r="CKD32" s="57"/>
      <c r="CKE32" s="57"/>
      <c r="CKF32" s="57"/>
      <c r="CKG32" s="57"/>
      <c r="CKH32" s="57"/>
      <c r="CKI32" s="57"/>
      <c r="CKJ32" s="57"/>
      <c r="CKK32" s="57"/>
      <c r="CKL32" s="57"/>
      <c r="CKM32" s="57"/>
      <c r="CKN32" s="57"/>
      <c r="CKO32" s="57"/>
      <c r="CKP32" s="57"/>
      <c r="CKQ32" s="57"/>
      <c r="CKR32" s="57"/>
      <c r="CKS32" s="57"/>
      <c r="CKT32" s="58"/>
      <c r="CKU32" s="56"/>
      <c r="CKV32" s="57"/>
      <c r="CKW32" s="57"/>
      <c r="CKX32" s="57"/>
      <c r="CKY32" s="57"/>
      <c r="CKZ32" s="57"/>
      <c r="CLA32" s="56"/>
      <c r="CLB32" s="57"/>
      <c r="CLC32" s="57"/>
      <c r="CLD32" s="56"/>
      <c r="CLE32" s="57"/>
      <c r="CLF32" s="58"/>
      <c r="CLG32" s="56"/>
      <c r="CLH32" s="57"/>
      <c r="CLI32" s="57"/>
      <c r="CLJ32" s="57"/>
      <c r="CLK32" s="56"/>
      <c r="CLL32" s="57"/>
      <c r="CLM32" s="57"/>
      <c r="CLN32" s="56"/>
      <c r="CLO32" s="57"/>
      <c r="CLP32" s="58"/>
      <c r="CLQ32" s="56"/>
      <c r="CLR32" s="57"/>
      <c r="CLS32" s="57"/>
      <c r="CLT32" s="57"/>
      <c r="CLU32" s="56"/>
      <c r="CLV32" s="57"/>
      <c r="CLW32" s="57"/>
      <c r="CLX32" s="56"/>
      <c r="CLY32" s="57"/>
      <c r="CLZ32" s="58"/>
      <c r="CMA32" s="56"/>
      <c r="CMB32" s="57"/>
      <c r="CMC32" s="57"/>
      <c r="CMD32" s="57"/>
      <c r="CME32" s="56"/>
      <c r="CMF32" s="57"/>
      <c r="CMG32" s="57"/>
      <c r="CMH32" s="56"/>
      <c r="CMI32" s="57"/>
      <c r="CMJ32" s="58"/>
      <c r="CMK32" s="56"/>
      <c r="CML32" s="58"/>
      <c r="CMM32" s="57"/>
      <c r="CMN32" s="56"/>
      <c r="CMO32" s="57"/>
      <c r="CMP32" s="56"/>
      <c r="CMQ32" s="56"/>
      <c r="CMR32" s="56"/>
      <c r="CMS32" s="57"/>
      <c r="CMT32" s="57"/>
      <c r="CMU32" s="57"/>
      <c r="CMV32" s="57"/>
      <c r="CMW32" s="57"/>
      <c r="CMX32" s="57"/>
      <c r="CMY32" s="57"/>
      <c r="CMZ32" s="57"/>
      <c r="CNA32" s="57"/>
      <c r="CNB32" s="57"/>
      <c r="CNC32" s="57"/>
      <c r="CND32" s="57"/>
      <c r="CNE32" s="57"/>
      <c r="CNF32" s="57"/>
      <c r="CNG32" s="57"/>
      <c r="CNH32" s="57"/>
      <c r="CNI32" s="57"/>
      <c r="CNJ32" s="57"/>
      <c r="CNK32" s="57"/>
      <c r="CNL32" s="57"/>
      <c r="CNM32" s="57"/>
      <c r="CNN32" s="57"/>
      <c r="CNO32" s="57"/>
      <c r="CNP32" s="57"/>
      <c r="CNQ32" s="57"/>
      <c r="CNR32" s="57"/>
      <c r="CNS32" s="57"/>
      <c r="CNT32" s="57"/>
      <c r="CNU32" s="57"/>
      <c r="CNV32" s="57"/>
      <c r="CNW32" s="57"/>
      <c r="CNX32" s="57"/>
      <c r="CNY32" s="57"/>
      <c r="CNZ32" s="57"/>
      <c r="COA32" s="57"/>
      <c r="COB32" s="57"/>
      <c r="COC32" s="57"/>
      <c r="COD32" s="58"/>
      <c r="COE32" s="56"/>
      <c r="COF32" s="57"/>
      <c r="COG32" s="57"/>
      <c r="COH32" s="57"/>
      <c r="COI32" s="57"/>
      <c r="COJ32" s="57"/>
      <c r="COK32" s="56"/>
      <c r="COL32" s="57"/>
      <c r="COM32" s="57"/>
      <c r="CON32" s="56"/>
      <c r="COO32" s="57"/>
      <c r="COP32" s="58"/>
      <c r="COQ32" s="56"/>
      <c r="COR32" s="57"/>
      <c r="COS32" s="57"/>
      <c r="COT32" s="57"/>
      <c r="COU32" s="56"/>
      <c r="COV32" s="57"/>
      <c r="COW32" s="57"/>
      <c r="COX32" s="56"/>
      <c r="COY32" s="57"/>
      <c r="COZ32" s="58"/>
      <c r="CPA32" s="56"/>
      <c r="CPB32" s="57"/>
      <c r="CPC32" s="57"/>
      <c r="CPD32" s="57"/>
      <c r="CPE32" s="56"/>
      <c r="CPF32" s="57"/>
      <c r="CPG32" s="57"/>
      <c r="CPH32" s="56"/>
      <c r="CPI32" s="57"/>
      <c r="CPJ32" s="58"/>
      <c r="CPK32" s="56"/>
      <c r="CPL32" s="57"/>
      <c r="CPM32" s="57"/>
      <c r="CPN32" s="57"/>
      <c r="CPO32" s="56"/>
      <c r="CPP32" s="57"/>
      <c r="CPQ32" s="57"/>
      <c r="CPR32" s="56"/>
      <c r="CPS32" s="57"/>
      <c r="CPT32" s="58"/>
      <c r="CPU32" s="56"/>
      <c r="CPV32" s="58"/>
      <c r="CPW32" s="57"/>
      <c r="CPX32" s="56"/>
      <c r="CPY32" s="57"/>
      <c r="CPZ32" s="56"/>
      <c r="CQA32" s="56"/>
      <c r="CQB32" s="56"/>
      <c r="CQC32" s="57"/>
      <c r="CQD32" s="57"/>
      <c r="CQE32" s="57"/>
      <c r="CQF32" s="57"/>
      <c r="CQG32" s="57"/>
      <c r="CQH32" s="57"/>
      <c r="CQI32" s="57"/>
      <c r="CQJ32" s="57"/>
      <c r="CQK32" s="57"/>
      <c r="CQL32" s="57"/>
      <c r="CQM32" s="57"/>
      <c r="CQN32" s="57"/>
      <c r="CQO32" s="57"/>
      <c r="CQP32" s="57"/>
      <c r="CQQ32" s="57"/>
      <c r="CQR32" s="57"/>
      <c r="CQS32" s="57"/>
      <c r="CQT32" s="57"/>
      <c r="CQU32" s="57"/>
      <c r="CQV32" s="57"/>
      <c r="CQW32" s="57"/>
      <c r="CQX32" s="57"/>
      <c r="CQY32" s="57"/>
      <c r="CQZ32" s="57"/>
      <c r="CRA32" s="57"/>
      <c r="CRB32" s="57"/>
      <c r="CRC32" s="57"/>
      <c r="CRD32" s="57"/>
      <c r="CRE32" s="57"/>
      <c r="CRF32" s="57"/>
      <c r="CRG32" s="57"/>
      <c r="CRH32" s="57"/>
      <c r="CRI32" s="57"/>
      <c r="CRJ32" s="57"/>
      <c r="CRK32" s="57"/>
      <c r="CRL32" s="57"/>
      <c r="CRM32" s="57"/>
      <c r="CRN32" s="58"/>
      <c r="CRO32" s="56"/>
      <c r="CRP32" s="57"/>
      <c r="CRQ32" s="57"/>
      <c r="CRR32" s="57"/>
      <c r="CRS32" s="57"/>
      <c r="CRT32" s="57"/>
      <c r="CRU32" s="56"/>
      <c r="CRV32" s="57"/>
      <c r="CRW32" s="57"/>
      <c r="CRX32" s="56"/>
      <c r="CRY32" s="57"/>
      <c r="CRZ32" s="58"/>
      <c r="CSA32" s="56"/>
      <c r="CSB32" s="57"/>
      <c r="CSC32" s="57"/>
      <c r="CSD32" s="57"/>
      <c r="CSE32" s="56"/>
      <c r="CSF32" s="57"/>
      <c r="CSG32" s="57"/>
      <c r="CSH32" s="56"/>
      <c r="CSI32" s="57"/>
      <c r="CSJ32" s="58"/>
      <c r="CSK32" s="56"/>
      <c r="CSL32" s="57"/>
      <c r="CSM32" s="57"/>
      <c r="CSN32" s="57"/>
      <c r="CSO32" s="56"/>
      <c r="CSP32" s="57"/>
      <c r="CSQ32" s="57"/>
      <c r="CSR32" s="56"/>
      <c r="CSS32" s="57"/>
      <c r="CST32" s="58"/>
      <c r="CSU32" s="56"/>
      <c r="CSV32" s="57"/>
      <c r="CSW32" s="57"/>
      <c r="CSX32" s="57"/>
      <c r="CSY32" s="56"/>
      <c r="CSZ32" s="57"/>
      <c r="CTA32" s="57"/>
      <c r="CTB32" s="56"/>
      <c r="CTC32" s="57"/>
      <c r="CTD32" s="58"/>
      <c r="CTE32" s="56"/>
      <c r="CTF32" s="58"/>
      <c r="CTG32" s="57"/>
      <c r="CTH32" s="56"/>
      <c r="CTI32" s="57"/>
      <c r="CTJ32" s="56"/>
      <c r="CTK32" s="56"/>
      <c r="CTL32" s="56"/>
      <c r="CTM32" s="57"/>
      <c r="CTN32" s="57"/>
      <c r="CTO32" s="57"/>
      <c r="CTP32" s="57"/>
      <c r="CTQ32" s="57"/>
      <c r="CTR32" s="57"/>
      <c r="CTS32" s="57"/>
      <c r="CTT32" s="57"/>
      <c r="CTU32" s="57"/>
      <c r="CTV32" s="57"/>
      <c r="CTW32" s="57"/>
      <c r="CTX32" s="57"/>
      <c r="CTY32" s="57"/>
      <c r="CTZ32" s="57"/>
      <c r="CUA32" s="57"/>
      <c r="CUB32" s="57"/>
      <c r="CUC32" s="57"/>
      <c r="CUD32" s="57"/>
      <c r="CUE32" s="57"/>
      <c r="CUF32" s="57"/>
      <c r="CUG32" s="57"/>
      <c r="CUH32" s="57"/>
      <c r="CUI32" s="57"/>
      <c r="CUJ32" s="57"/>
      <c r="CUK32" s="57"/>
      <c r="CUL32" s="57"/>
      <c r="CUM32" s="57"/>
      <c r="CUN32" s="57"/>
      <c r="CUO32" s="57"/>
      <c r="CUP32" s="57"/>
      <c r="CUQ32" s="57"/>
      <c r="CUR32" s="57"/>
      <c r="CUS32" s="57"/>
      <c r="CUT32" s="57"/>
      <c r="CUU32" s="57"/>
      <c r="CUV32" s="57"/>
      <c r="CUW32" s="57"/>
      <c r="CUX32" s="58"/>
      <c r="CUY32" s="56"/>
      <c r="CUZ32" s="57"/>
      <c r="CVA32" s="57"/>
      <c r="CVB32" s="57"/>
      <c r="CVC32" s="57"/>
      <c r="CVD32" s="57"/>
      <c r="CVE32" s="56"/>
      <c r="CVF32" s="57"/>
      <c r="CVG32" s="57"/>
      <c r="CVH32" s="56"/>
      <c r="CVI32" s="57"/>
      <c r="CVJ32" s="58"/>
      <c r="CVK32" s="56"/>
      <c r="CVL32" s="57"/>
      <c r="CVM32" s="57"/>
      <c r="CVN32" s="57"/>
      <c r="CVO32" s="56"/>
      <c r="CVP32" s="57"/>
      <c r="CVQ32" s="57"/>
      <c r="CVR32" s="56"/>
      <c r="CVS32" s="57"/>
      <c r="CVT32" s="58"/>
      <c r="CVU32" s="56"/>
      <c r="CVV32" s="57"/>
      <c r="CVW32" s="57"/>
      <c r="CVX32" s="57"/>
      <c r="CVY32" s="56"/>
      <c r="CVZ32" s="57"/>
      <c r="CWA32" s="57"/>
      <c r="CWB32" s="56"/>
      <c r="CWC32" s="57"/>
      <c r="CWD32" s="58"/>
      <c r="CWE32" s="56"/>
      <c r="CWF32" s="57"/>
      <c r="CWG32" s="57"/>
      <c r="CWH32" s="57"/>
      <c r="CWI32" s="56"/>
      <c r="CWJ32" s="57"/>
      <c r="CWK32" s="57"/>
      <c r="CWL32" s="56"/>
      <c r="CWM32" s="57"/>
      <c r="CWN32" s="58"/>
      <c r="CWO32" s="56"/>
      <c r="CWP32" s="58"/>
      <c r="CWQ32" s="57"/>
      <c r="CWR32" s="56"/>
      <c r="CWS32" s="57"/>
      <c r="CWT32" s="56"/>
      <c r="CWU32" s="56"/>
      <c r="CWV32" s="56"/>
      <c r="CWW32" s="57"/>
      <c r="CWX32" s="57"/>
      <c r="CWY32" s="57"/>
      <c r="CWZ32" s="57"/>
      <c r="CXA32" s="57"/>
      <c r="CXB32" s="57"/>
      <c r="CXC32" s="57"/>
      <c r="CXD32" s="57"/>
      <c r="CXE32" s="57"/>
      <c r="CXF32" s="57"/>
      <c r="CXG32" s="57"/>
      <c r="CXH32" s="57"/>
      <c r="CXI32" s="57"/>
      <c r="CXJ32" s="57"/>
      <c r="CXK32" s="57"/>
      <c r="CXL32" s="57"/>
      <c r="CXM32" s="57"/>
      <c r="CXN32" s="57"/>
      <c r="CXO32" s="57"/>
      <c r="CXP32" s="57"/>
      <c r="CXQ32" s="57"/>
      <c r="CXR32" s="57"/>
      <c r="CXS32" s="57"/>
      <c r="CXT32" s="57"/>
      <c r="CXU32" s="57"/>
      <c r="CXV32" s="57"/>
      <c r="CXW32" s="57"/>
      <c r="CXX32" s="57"/>
      <c r="CXY32" s="57"/>
      <c r="CXZ32" s="57"/>
      <c r="CYA32" s="57"/>
      <c r="CYB32" s="57"/>
      <c r="CYC32" s="57"/>
      <c r="CYD32" s="57"/>
      <c r="CYE32" s="57"/>
      <c r="CYF32" s="57"/>
      <c r="CYG32" s="57"/>
      <c r="CYH32" s="58"/>
      <c r="CYI32" s="56"/>
      <c r="CYJ32" s="57"/>
      <c r="CYK32" s="57"/>
      <c r="CYL32" s="57"/>
      <c r="CYM32" s="57"/>
      <c r="CYN32" s="57"/>
      <c r="CYO32" s="56"/>
      <c r="CYP32" s="57"/>
      <c r="CYQ32" s="57"/>
      <c r="CYR32" s="56"/>
      <c r="CYS32" s="57"/>
      <c r="CYT32" s="58"/>
      <c r="CYU32" s="56"/>
      <c r="CYV32" s="57"/>
      <c r="CYW32" s="57"/>
      <c r="CYX32" s="57"/>
      <c r="CYY32" s="56"/>
      <c r="CYZ32" s="57"/>
      <c r="CZA32" s="57"/>
      <c r="CZB32" s="56"/>
      <c r="CZC32" s="57"/>
      <c r="CZD32" s="58"/>
      <c r="CZE32" s="56"/>
      <c r="CZF32" s="57"/>
      <c r="CZG32" s="57"/>
      <c r="CZH32" s="57"/>
      <c r="CZI32" s="56"/>
      <c r="CZJ32" s="57"/>
      <c r="CZK32" s="57"/>
      <c r="CZL32" s="56"/>
      <c r="CZM32" s="57"/>
      <c r="CZN32" s="58"/>
      <c r="CZO32" s="56"/>
      <c r="CZP32" s="57"/>
      <c r="CZQ32" s="57"/>
      <c r="CZR32" s="57"/>
      <c r="CZS32" s="56"/>
      <c r="CZT32" s="57"/>
      <c r="CZU32" s="57"/>
      <c r="CZV32" s="56"/>
      <c r="CZW32" s="57"/>
      <c r="CZX32" s="58"/>
      <c r="CZY32" s="56"/>
      <c r="CZZ32" s="58"/>
      <c r="DAA32" s="57"/>
      <c r="DAB32" s="56"/>
      <c r="DAC32" s="57"/>
      <c r="DAD32" s="56"/>
      <c r="DAE32" s="56"/>
      <c r="DAF32" s="56"/>
      <c r="DAG32" s="57"/>
      <c r="DAH32" s="57"/>
      <c r="DAI32" s="57"/>
      <c r="DAJ32" s="57"/>
      <c r="DAK32" s="57"/>
      <c r="DAL32" s="57"/>
      <c r="DAM32" s="57"/>
      <c r="DAN32" s="57"/>
      <c r="DAO32" s="57"/>
      <c r="DAP32" s="57"/>
      <c r="DAQ32" s="57"/>
      <c r="DAR32" s="57"/>
      <c r="DAS32" s="57"/>
      <c r="DAT32" s="57"/>
      <c r="DAU32" s="57"/>
      <c r="DAV32" s="57"/>
      <c r="DAW32" s="57"/>
      <c r="DAX32" s="57"/>
      <c r="DAY32" s="57"/>
      <c r="DAZ32" s="57"/>
      <c r="DBA32" s="57"/>
      <c r="DBB32" s="57"/>
      <c r="DBC32" s="57"/>
      <c r="DBD32" s="57"/>
      <c r="DBE32" s="57"/>
      <c r="DBF32" s="57"/>
      <c r="DBG32" s="57"/>
      <c r="DBH32" s="57"/>
      <c r="DBI32" s="57"/>
      <c r="DBJ32" s="57"/>
      <c r="DBK32" s="57"/>
      <c r="DBL32" s="57"/>
      <c r="DBM32" s="57"/>
      <c r="DBN32" s="57"/>
      <c r="DBO32" s="57"/>
      <c r="DBP32" s="57"/>
      <c r="DBQ32" s="57"/>
      <c r="DBR32" s="58"/>
      <c r="DBS32" s="56"/>
      <c r="DBT32" s="57"/>
      <c r="DBU32" s="57"/>
      <c r="DBV32" s="57"/>
      <c r="DBW32" s="57"/>
      <c r="DBX32" s="57"/>
      <c r="DBY32" s="56"/>
      <c r="DBZ32" s="57"/>
      <c r="DCA32" s="57"/>
      <c r="DCB32" s="56"/>
      <c r="DCC32" s="57"/>
      <c r="DCD32" s="58"/>
      <c r="DCE32" s="56"/>
      <c r="DCF32" s="57"/>
      <c r="DCG32" s="57"/>
      <c r="DCH32" s="57"/>
      <c r="DCI32" s="56"/>
      <c r="DCJ32" s="57"/>
      <c r="DCK32" s="57"/>
      <c r="DCL32" s="56"/>
      <c r="DCM32" s="57"/>
      <c r="DCN32" s="58"/>
      <c r="DCO32" s="56"/>
      <c r="DCP32" s="57"/>
      <c r="DCQ32" s="57"/>
      <c r="DCR32" s="57"/>
      <c r="DCS32" s="56"/>
      <c r="DCT32" s="57"/>
      <c r="DCU32" s="57"/>
      <c r="DCV32" s="56"/>
      <c r="DCW32" s="57"/>
      <c r="DCX32" s="58"/>
      <c r="DCY32" s="56"/>
      <c r="DCZ32" s="57"/>
      <c r="DDA32" s="57"/>
      <c r="DDB32" s="57"/>
      <c r="DDC32" s="56"/>
      <c r="DDD32" s="57"/>
      <c r="DDE32" s="57"/>
      <c r="DDF32" s="56"/>
      <c r="DDG32" s="57"/>
      <c r="DDH32" s="58"/>
      <c r="DDI32" s="56"/>
      <c r="DDJ32" s="58"/>
      <c r="DDK32" s="57"/>
      <c r="DDL32" s="56"/>
      <c r="DDM32" s="57"/>
      <c r="DDN32" s="56"/>
      <c r="DDO32" s="56"/>
      <c r="DDP32" s="56"/>
      <c r="DDQ32" s="57"/>
      <c r="DDR32" s="57"/>
      <c r="DDS32" s="57"/>
      <c r="DDT32" s="57"/>
      <c r="DDU32" s="57"/>
      <c r="DDV32" s="57"/>
      <c r="DDW32" s="57"/>
      <c r="DDX32" s="57"/>
      <c r="DDY32" s="57"/>
      <c r="DDZ32" s="57"/>
      <c r="DEA32" s="57"/>
      <c r="DEB32" s="57"/>
      <c r="DEC32" s="57"/>
      <c r="DED32" s="57"/>
      <c r="DEE32" s="57"/>
      <c r="DEF32" s="57"/>
      <c r="DEG32" s="57"/>
      <c r="DEH32" s="57"/>
      <c r="DEI32" s="57"/>
      <c r="DEJ32" s="57"/>
      <c r="DEK32" s="57"/>
      <c r="DEL32" s="57"/>
      <c r="DEM32" s="57"/>
      <c r="DEN32" s="57"/>
      <c r="DEO32" s="57"/>
      <c r="DEP32" s="57"/>
      <c r="DEQ32" s="57"/>
      <c r="DER32" s="57"/>
      <c r="DES32" s="57"/>
      <c r="DET32" s="57"/>
      <c r="DEU32" s="57"/>
      <c r="DEV32" s="57"/>
      <c r="DEW32" s="57"/>
      <c r="DEX32" s="57"/>
      <c r="DEY32" s="57"/>
      <c r="DEZ32" s="57"/>
      <c r="DFA32" s="57"/>
      <c r="DFB32" s="58"/>
      <c r="DFC32" s="56"/>
      <c r="DFD32" s="57"/>
      <c r="DFE32" s="57"/>
      <c r="DFF32" s="57"/>
      <c r="DFG32" s="57"/>
      <c r="DFH32" s="57"/>
      <c r="DFI32" s="56"/>
      <c r="DFJ32" s="57"/>
      <c r="DFK32" s="57"/>
      <c r="DFL32" s="56"/>
      <c r="DFM32" s="57"/>
      <c r="DFN32" s="58"/>
      <c r="DFO32" s="56"/>
      <c r="DFP32" s="57"/>
      <c r="DFQ32" s="57"/>
      <c r="DFR32" s="57"/>
      <c r="DFS32" s="56"/>
      <c r="DFT32" s="57"/>
      <c r="DFU32" s="57"/>
      <c r="DFV32" s="56"/>
      <c r="DFW32" s="57"/>
      <c r="DFX32" s="58"/>
      <c r="DFY32" s="56"/>
      <c r="DFZ32" s="57"/>
      <c r="DGA32" s="57"/>
      <c r="DGB32" s="57"/>
      <c r="DGC32" s="56"/>
      <c r="DGD32" s="57"/>
      <c r="DGE32" s="57"/>
      <c r="DGF32" s="56"/>
      <c r="DGG32" s="57"/>
      <c r="DGH32" s="58"/>
      <c r="DGI32" s="56"/>
      <c r="DGJ32" s="57"/>
      <c r="DGK32" s="57"/>
      <c r="DGL32" s="57"/>
      <c r="DGM32" s="56"/>
      <c r="DGN32" s="57"/>
      <c r="DGO32" s="57"/>
      <c r="DGP32" s="56"/>
      <c r="DGQ32" s="57"/>
      <c r="DGR32" s="58"/>
      <c r="DGS32" s="56"/>
      <c r="DGT32" s="58"/>
      <c r="DGU32" s="57"/>
      <c r="DGV32" s="56"/>
      <c r="DGW32" s="57"/>
      <c r="DGX32" s="56"/>
      <c r="DGY32" s="56"/>
      <c r="DGZ32" s="56"/>
      <c r="DHA32" s="57"/>
      <c r="DHB32" s="57"/>
      <c r="DHC32" s="57"/>
      <c r="DHD32" s="57"/>
      <c r="DHE32" s="57"/>
      <c r="DHF32" s="57"/>
      <c r="DHG32" s="57"/>
      <c r="DHH32" s="57"/>
      <c r="DHI32" s="57"/>
      <c r="DHJ32" s="57"/>
      <c r="DHK32" s="57"/>
      <c r="DHL32" s="57"/>
      <c r="DHM32" s="57"/>
      <c r="DHN32" s="57"/>
      <c r="DHO32" s="57"/>
      <c r="DHP32" s="57"/>
      <c r="DHQ32" s="57"/>
      <c r="DHR32" s="57"/>
      <c r="DHS32" s="57"/>
      <c r="DHT32" s="57"/>
      <c r="DHU32" s="57"/>
      <c r="DHV32" s="57"/>
      <c r="DHW32" s="57"/>
      <c r="DHX32" s="57"/>
      <c r="DHY32" s="57"/>
      <c r="DHZ32" s="57"/>
      <c r="DIA32" s="57"/>
      <c r="DIB32" s="57"/>
      <c r="DIC32" s="57"/>
      <c r="DID32" s="57"/>
      <c r="DIE32" s="57"/>
      <c r="DIF32" s="57"/>
      <c r="DIG32" s="57"/>
      <c r="DIH32" s="57"/>
      <c r="DII32" s="57"/>
      <c r="DIJ32" s="57"/>
      <c r="DIK32" s="57"/>
      <c r="DIL32" s="58"/>
      <c r="DIM32" s="56"/>
      <c r="DIN32" s="57"/>
      <c r="DIO32" s="57"/>
      <c r="DIP32" s="57"/>
      <c r="DIQ32" s="57"/>
      <c r="DIR32" s="57"/>
      <c r="DIS32" s="56"/>
      <c r="DIT32" s="57"/>
      <c r="DIU32" s="57"/>
      <c r="DIV32" s="56"/>
      <c r="DIW32" s="57"/>
      <c r="DIX32" s="58"/>
      <c r="DIY32" s="56"/>
      <c r="DIZ32" s="57"/>
      <c r="DJA32" s="57"/>
      <c r="DJB32" s="57"/>
      <c r="DJC32" s="56"/>
      <c r="DJD32" s="57"/>
      <c r="DJE32" s="57"/>
      <c r="DJF32" s="56"/>
      <c r="DJG32" s="57"/>
      <c r="DJH32" s="58"/>
      <c r="DJI32" s="56"/>
      <c r="DJJ32" s="57"/>
      <c r="DJK32" s="57"/>
      <c r="DJL32" s="57"/>
      <c r="DJM32" s="56"/>
      <c r="DJN32" s="57"/>
      <c r="DJO32" s="57"/>
      <c r="DJP32" s="56"/>
      <c r="DJQ32" s="57"/>
      <c r="DJR32" s="58"/>
      <c r="DJS32" s="56"/>
      <c r="DJT32" s="57"/>
      <c r="DJU32" s="57"/>
      <c r="DJV32" s="57"/>
      <c r="DJW32" s="56"/>
      <c r="DJX32" s="57"/>
      <c r="DJY32" s="57"/>
      <c r="DJZ32" s="56"/>
      <c r="DKA32" s="57"/>
      <c r="DKB32" s="58"/>
      <c r="DKC32" s="56"/>
      <c r="DKD32" s="58"/>
      <c r="DKE32" s="57"/>
      <c r="DKF32" s="56"/>
      <c r="DKG32" s="57"/>
      <c r="DKH32" s="56"/>
      <c r="DKI32" s="56"/>
      <c r="DKJ32" s="56"/>
      <c r="DKK32" s="57"/>
      <c r="DKL32" s="57"/>
      <c r="DKM32" s="57"/>
      <c r="DKN32" s="57"/>
      <c r="DKO32" s="57"/>
      <c r="DKP32" s="57"/>
      <c r="DKQ32" s="57"/>
      <c r="DKR32" s="57"/>
      <c r="DKS32" s="57"/>
      <c r="DKT32" s="57"/>
      <c r="DKU32" s="57"/>
      <c r="DKV32" s="57"/>
      <c r="DKW32" s="57"/>
      <c r="DKX32" s="57"/>
      <c r="DKY32" s="57"/>
      <c r="DKZ32" s="57"/>
      <c r="DLA32" s="57"/>
      <c r="DLB32" s="57"/>
      <c r="DLC32" s="57"/>
      <c r="DLD32" s="57"/>
      <c r="DLE32" s="57"/>
      <c r="DLF32" s="57"/>
      <c r="DLG32" s="57"/>
      <c r="DLH32" s="57"/>
      <c r="DLI32" s="57"/>
      <c r="DLJ32" s="57"/>
      <c r="DLK32" s="57"/>
      <c r="DLL32" s="57"/>
      <c r="DLM32" s="57"/>
      <c r="DLN32" s="57"/>
      <c r="DLO32" s="57"/>
      <c r="DLP32" s="57"/>
      <c r="DLQ32" s="57"/>
      <c r="DLR32" s="57"/>
      <c r="DLS32" s="57"/>
      <c r="DLT32" s="57"/>
      <c r="DLU32" s="57"/>
      <c r="DLV32" s="58"/>
      <c r="DLW32" s="56"/>
      <c r="DLX32" s="57"/>
      <c r="DLY32" s="57"/>
      <c r="DLZ32" s="57"/>
      <c r="DMA32" s="57"/>
      <c r="DMB32" s="57"/>
      <c r="DMC32" s="56"/>
      <c r="DMD32" s="57"/>
      <c r="DME32" s="57"/>
      <c r="DMF32" s="56"/>
      <c r="DMG32" s="57"/>
      <c r="DMH32" s="58"/>
      <c r="DMI32" s="56"/>
      <c r="DMJ32" s="57"/>
      <c r="DMK32" s="57"/>
      <c r="DML32" s="57"/>
      <c r="DMM32" s="56"/>
      <c r="DMN32" s="57"/>
      <c r="DMO32" s="57"/>
      <c r="DMP32" s="56"/>
      <c r="DMQ32" s="57"/>
      <c r="DMR32" s="58"/>
      <c r="DMS32" s="56"/>
      <c r="DMT32" s="57"/>
      <c r="DMU32" s="57"/>
      <c r="DMV32" s="57"/>
      <c r="DMW32" s="56"/>
      <c r="DMX32" s="57"/>
      <c r="DMY32" s="57"/>
      <c r="DMZ32" s="56"/>
      <c r="DNA32" s="57"/>
      <c r="DNB32" s="58"/>
      <c r="DNC32" s="56"/>
      <c r="DND32" s="57"/>
      <c r="DNE32" s="57"/>
      <c r="DNF32" s="57"/>
      <c r="DNG32" s="56"/>
      <c r="DNH32" s="57"/>
      <c r="DNI32" s="57"/>
      <c r="DNJ32" s="56"/>
      <c r="DNK32" s="57"/>
      <c r="DNL32" s="58"/>
      <c r="DNM32" s="56"/>
      <c r="DNN32" s="58"/>
      <c r="DNO32" s="57"/>
      <c r="DNP32" s="56"/>
      <c r="DNQ32" s="57"/>
      <c r="DNR32" s="56"/>
      <c r="DNS32" s="56"/>
      <c r="DNT32" s="56"/>
      <c r="DNU32" s="57"/>
      <c r="DNV32" s="57"/>
      <c r="DNW32" s="57"/>
      <c r="DNX32" s="57"/>
      <c r="DNY32" s="57"/>
      <c r="DNZ32" s="57"/>
      <c r="DOA32" s="57"/>
      <c r="DOB32" s="57"/>
      <c r="DOC32" s="57"/>
      <c r="DOD32" s="57"/>
      <c r="DOE32" s="57"/>
      <c r="DOF32" s="57"/>
      <c r="DOG32" s="57"/>
      <c r="DOH32" s="57"/>
      <c r="DOI32" s="57"/>
      <c r="DOJ32" s="57"/>
      <c r="DOK32" s="57"/>
      <c r="DOL32" s="57"/>
      <c r="DOM32" s="57"/>
      <c r="DON32" s="57"/>
      <c r="DOO32" s="57"/>
      <c r="DOP32" s="57"/>
      <c r="DOQ32" s="57"/>
      <c r="DOR32" s="57"/>
      <c r="DOS32" s="57"/>
      <c r="DOT32" s="57"/>
      <c r="DOU32" s="57"/>
      <c r="DOV32" s="57"/>
      <c r="DOW32" s="57"/>
      <c r="DOX32" s="57"/>
      <c r="DOY32" s="57"/>
      <c r="DOZ32" s="57"/>
      <c r="DPA32" s="57"/>
      <c r="DPB32" s="57"/>
      <c r="DPC32" s="57"/>
      <c r="DPD32" s="57"/>
      <c r="DPE32" s="57"/>
      <c r="DPF32" s="58"/>
      <c r="DPG32" s="56"/>
      <c r="DPH32" s="57"/>
      <c r="DPI32" s="57"/>
      <c r="DPJ32" s="57"/>
      <c r="DPK32" s="57"/>
      <c r="DPL32" s="57"/>
      <c r="DPM32" s="56"/>
      <c r="DPN32" s="57"/>
      <c r="DPO32" s="57"/>
      <c r="DPP32" s="56"/>
      <c r="DPQ32" s="57"/>
      <c r="DPR32" s="58"/>
      <c r="DPS32" s="56"/>
      <c r="DPT32" s="57"/>
      <c r="DPU32" s="57"/>
      <c r="DPV32" s="57"/>
      <c r="DPW32" s="56"/>
      <c r="DPX32" s="57"/>
      <c r="DPY32" s="57"/>
      <c r="DPZ32" s="56"/>
      <c r="DQA32" s="57"/>
      <c r="DQB32" s="58"/>
      <c r="DQC32" s="56"/>
      <c r="DQD32" s="57"/>
      <c r="DQE32" s="57"/>
      <c r="DQF32" s="57"/>
      <c r="DQG32" s="56"/>
      <c r="DQH32" s="57"/>
      <c r="DQI32" s="57"/>
      <c r="DQJ32" s="56"/>
      <c r="DQK32" s="57"/>
      <c r="DQL32" s="58"/>
      <c r="DQM32" s="56"/>
      <c r="DQN32" s="57"/>
      <c r="DQO32" s="57"/>
      <c r="DQP32" s="57"/>
      <c r="DQQ32" s="56"/>
      <c r="DQR32" s="57"/>
      <c r="DQS32" s="57"/>
      <c r="DQT32" s="56"/>
      <c r="DQU32" s="57"/>
      <c r="DQV32" s="58"/>
      <c r="DQW32" s="56"/>
      <c r="DQX32" s="58"/>
      <c r="DQY32" s="57"/>
      <c r="DQZ32" s="56"/>
      <c r="DRA32" s="57"/>
      <c r="DRB32" s="56"/>
      <c r="DRC32" s="56"/>
      <c r="DRD32" s="56"/>
      <c r="DRE32" s="57"/>
      <c r="DRF32" s="57"/>
      <c r="DRG32" s="57"/>
      <c r="DRH32" s="57"/>
      <c r="DRI32" s="57"/>
      <c r="DRJ32" s="57"/>
      <c r="DRK32" s="57"/>
      <c r="DRL32" s="57"/>
      <c r="DRM32" s="57"/>
      <c r="DRN32" s="57"/>
      <c r="DRO32" s="57"/>
      <c r="DRP32" s="57"/>
      <c r="DRQ32" s="57"/>
      <c r="DRR32" s="57"/>
      <c r="DRS32" s="57"/>
      <c r="DRT32" s="57"/>
      <c r="DRU32" s="57"/>
      <c r="DRV32" s="57"/>
      <c r="DRW32" s="57"/>
      <c r="DRX32" s="57"/>
      <c r="DRY32" s="57"/>
      <c r="DRZ32" s="57"/>
      <c r="DSA32" s="57"/>
      <c r="DSB32" s="57"/>
      <c r="DSC32" s="57"/>
      <c r="DSD32" s="57"/>
      <c r="DSE32" s="57"/>
      <c r="DSF32" s="57"/>
      <c r="DSG32" s="57"/>
      <c r="DSH32" s="57"/>
      <c r="DSI32" s="57"/>
      <c r="DSJ32" s="57"/>
      <c r="DSK32" s="57"/>
      <c r="DSL32" s="57"/>
      <c r="DSM32" s="57"/>
      <c r="DSN32" s="57"/>
      <c r="DSO32" s="57"/>
      <c r="DSP32" s="58"/>
      <c r="DSQ32" s="56"/>
      <c r="DSR32" s="57"/>
      <c r="DSS32" s="57"/>
      <c r="DST32" s="57"/>
      <c r="DSU32" s="57"/>
      <c r="DSV32" s="57"/>
      <c r="DSW32" s="56"/>
      <c r="DSX32" s="57"/>
      <c r="DSY32" s="57"/>
      <c r="DSZ32" s="56"/>
      <c r="DTA32" s="57"/>
      <c r="DTB32" s="58"/>
      <c r="DTC32" s="56"/>
      <c r="DTD32" s="57"/>
      <c r="DTE32" s="57"/>
      <c r="DTF32" s="57"/>
      <c r="DTG32" s="56"/>
      <c r="DTH32" s="57"/>
      <c r="DTI32" s="57"/>
      <c r="DTJ32" s="56"/>
      <c r="DTK32" s="57"/>
      <c r="DTL32" s="58"/>
      <c r="DTM32" s="56"/>
      <c r="DTN32" s="57"/>
      <c r="DTO32" s="57"/>
      <c r="DTP32" s="57"/>
      <c r="DTQ32" s="56"/>
      <c r="DTR32" s="57"/>
      <c r="DTS32" s="57"/>
      <c r="DTT32" s="56"/>
      <c r="DTU32" s="57"/>
      <c r="DTV32" s="58"/>
      <c r="DTW32" s="56"/>
      <c r="DTX32" s="57"/>
      <c r="DTY32" s="57"/>
      <c r="DTZ32" s="57"/>
      <c r="DUA32" s="56"/>
      <c r="DUB32" s="57"/>
      <c r="DUC32" s="57"/>
      <c r="DUD32" s="56"/>
      <c r="DUE32" s="57"/>
      <c r="DUF32" s="58"/>
      <c r="DUG32" s="56"/>
      <c r="DUH32" s="58"/>
      <c r="DUI32" s="57"/>
      <c r="DUJ32" s="56"/>
      <c r="DUK32" s="57"/>
      <c r="DUL32" s="56"/>
      <c r="DUM32" s="56"/>
      <c r="DUN32" s="56"/>
      <c r="DUO32" s="57"/>
      <c r="DUP32" s="57"/>
      <c r="DUQ32" s="57"/>
      <c r="DUR32" s="57"/>
      <c r="DUS32" s="57"/>
      <c r="DUT32" s="57"/>
      <c r="DUU32" s="57"/>
      <c r="DUV32" s="57"/>
      <c r="DUW32" s="57"/>
      <c r="DUX32" s="57"/>
      <c r="DUY32" s="57"/>
      <c r="DUZ32" s="57"/>
      <c r="DVA32" s="57"/>
      <c r="DVB32" s="57"/>
      <c r="DVC32" s="57"/>
      <c r="DVD32" s="57"/>
      <c r="DVE32" s="57"/>
      <c r="DVF32" s="57"/>
      <c r="DVG32" s="57"/>
      <c r="DVH32" s="57"/>
      <c r="DVI32" s="57"/>
      <c r="DVJ32" s="57"/>
      <c r="DVK32" s="57"/>
      <c r="DVL32" s="57"/>
      <c r="DVM32" s="57"/>
      <c r="DVN32" s="57"/>
      <c r="DVO32" s="57"/>
      <c r="DVP32" s="57"/>
      <c r="DVQ32" s="57"/>
      <c r="DVR32" s="57"/>
      <c r="DVS32" s="57"/>
      <c r="DVT32" s="57"/>
      <c r="DVU32" s="57"/>
      <c r="DVV32" s="57"/>
      <c r="DVW32" s="57"/>
      <c r="DVX32" s="57"/>
      <c r="DVY32" s="57"/>
      <c r="DVZ32" s="58"/>
      <c r="DWA32" s="56"/>
      <c r="DWB32" s="57"/>
      <c r="DWC32" s="57"/>
      <c r="DWD32" s="57"/>
      <c r="DWE32" s="57"/>
      <c r="DWF32" s="57"/>
      <c r="DWG32" s="56"/>
      <c r="DWH32" s="57"/>
      <c r="DWI32" s="57"/>
      <c r="DWJ32" s="56"/>
      <c r="DWK32" s="57"/>
      <c r="DWL32" s="58"/>
      <c r="DWM32" s="56"/>
      <c r="DWN32" s="57"/>
      <c r="DWO32" s="57"/>
      <c r="DWP32" s="57"/>
      <c r="DWQ32" s="56"/>
      <c r="DWR32" s="57"/>
      <c r="DWS32" s="57"/>
      <c r="DWT32" s="56"/>
      <c r="DWU32" s="57"/>
      <c r="DWV32" s="58"/>
      <c r="DWW32" s="56"/>
      <c r="DWX32" s="57"/>
      <c r="DWY32" s="57"/>
      <c r="DWZ32" s="57"/>
      <c r="DXA32" s="56"/>
      <c r="DXB32" s="57"/>
      <c r="DXC32" s="57"/>
      <c r="DXD32" s="56"/>
      <c r="DXE32" s="57"/>
      <c r="DXF32" s="58"/>
      <c r="DXG32" s="56"/>
      <c r="DXH32" s="57"/>
      <c r="DXI32" s="57"/>
      <c r="DXJ32" s="57"/>
      <c r="DXK32" s="56"/>
      <c r="DXL32" s="57"/>
      <c r="DXM32" s="57"/>
      <c r="DXN32" s="56"/>
      <c r="DXO32" s="57"/>
      <c r="DXP32" s="58"/>
      <c r="DXQ32" s="56"/>
      <c r="DXR32" s="58"/>
      <c r="DXS32" s="57"/>
      <c r="DXT32" s="56"/>
      <c r="DXU32" s="57"/>
      <c r="DXV32" s="56"/>
      <c r="DXW32" s="56"/>
      <c r="DXX32" s="56"/>
      <c r="DXY32" s="57"/>
      <c r="DXZ32" s="57"/>
      <c r="DYA32" s="57"/>
      <c r="DYB32" s="57"/>
      <c r="DYC32" s="57"/>
      <c r="DYD32" s="57"/>
      <c r="DYE32" s="57"/>
      <c r="DYF32" s="57"/>
      <c r="DYG32" s="57"/>
      <c r="DYH32" s="57"/>
      <c r="DYI32" s="57"/>
      <c r="DYJ32" s="57"/>
      <c r="DYK32" s="57"/>
      <c r="DYL32" s="57"/>
      <c r="DYM32" s="57"/>
      <c r="DYN32" s="57"/>
      <c r="DYO32" s="57"/>
      <c r="DYP32" s="57"/>
      <c r="DYQ32" s="57"/>
      <c r="DYR32" s="57"/>
      <c r="DYS32" s="57"/>
      <c r="DYT32" s="57"/>
      <c r="DYU32" s="57"/>
      <c r="DYV32" s="57"/>
      <c r="DYW32" s="57"/>
      <c r="DYX32" s="57"/>
      <c r="DYY32" s="57"/>
      <c r="DYZ32" s="57"/>
      <c r="DZA32" s="57"/>
      <c r="DZB32" s="57"/>
      <c r="DZC32" s="57"/>
      <c r="DZD32" s="57"/>
      <c r="DZE32" s="57"/>
      <c r="DZF32" s="57"/>
      <c r="DZG32" s="57"/>
      <c r="DZH32" s="57"/>
      <c r="DZI32" s="57"/>
      <c r="DZJ32" s="58"/>
      <c r="DZK32" s="56"/>
      <c r="DZL32" s="57"/>
      <c r="DZM32" s="57"/>
      <c r="DZN32" s="57"/>
      <c r="DZO32" s="57"/>
      <c r="DZP32" s="57"/>
      <c r="DZQ32" s="56"/>
      <c r="DZR32" s="57"/>
      <c r="DZS32" s="57"/>
      <c r="DZT32" s="56"/>
      <c r="DZU32" s="57"/>
      <c r="DZV32" s="58"/>
      <c r="DZW32" s="56"/>
      <c r="DZX32" s="57"/>
      <c r="DZY32" s="57"/>
      <c r="DZZ32" s="57"/>
      <c r="EAA32" s="56"/>
      <c r="EAB32" s="57"/>
      <c r="EAC32" s="57"/>
      <c r="EAD32" s="56"/>
      <c r="EAE32" s="57"/>
      <c r="EAF32" s="58"/>
      <c r="EAG32" s="56"/>
      <c r="EAH32" s="57"/>
      <c r="EAI32" s="57"/>
      <c r="EAJ32" s="57"/>
      <c r="EAK32" s="56"/>
      <c r="EAL32" s="57"/>
      <c r="EAM32" s="57"/>
      <c r="EAN32" s="56"/>
      <c r="EAO32" s="57"/>
      <c r="EAP32" s="58"/>
      <c r="EAQ32" s="56"/>
      <c r="EAR32" s="57"/>
      <c r="EAS32" s="57"/>
      <c r="EAT32" s="57"/>
      <c r="EAU32" s="56"/>
      <c r="EAV32" s="57"/>
      <c r="EAW32" s="57"/>
      <c r="EAX32" s="56"/>
      <c r="EAY32" s="57"/>
      <c r="EAZ32" s="58"/>
      <c r="EBA32" s="56"/>
      <c r="EBB32" s="58"/>
      <c r="EBC32" s="57"/>
      <c r="EBD32" s="56"/>
      <c r="EBE32" s="57"/>
      <c r="EBF32" s="56"/>
      <c r="EBG32" s="56"/>
      <c r="EBH32" s="56"/>
      <c r="EBI32" s="57"/>
      <c r="EBJ32" s="57"/>
      <c r="EBK32" s="57"/>
      <c r="EBL32" s="57"/>
      <c r="EBM32" s="57"/>
      <c r="EBN32" s="57"/>
      <c r="EBO32" s="57"/>
      <c r="EBP32" s="57"/>
      <c r="EBQ32" s="57"/>
      <c r="EBR32" s="57"/>
      <c r="EBS32" s="57"/>
      <c r="EBT32" s="57"/>
      <c r="EBU32" s="57"/>
      <c r="EBV32" s="57"/>
      <c r="EBW32" s="57"/>
      <c r="EBX32" s="57"/>
      <c r="EBY32" s="57"/>
      <c r="EBZ32" s="57"/>
      <c r="ECA32" s="57"/>
      <c r="ECB32" s="57"/>
      <c r="ECC32" s="57"/>
      <c r="ECD32" s="57"/>
      <c r="ECE32" s="57"/>
      <c r="ECF32" s="57"/>
      <c r="ECG32" s="57"/>
      <c r="ECH32" s="57"/>
      <c r="ECI32" s="57"/>
      <c r="ECJ32" s="57"/>
      <c r="ECK32" s="57"/>
      <c r="ECL32" s="57"/>
      <c r="ECM32" s="57"/>
      <c r="ECN32" s="57"/>
      <c r="ECO32" s="57"/>
      <c r="ECP32" s="57"/>
      <c r="ECQ32" s="57"/>
      <c r="ECR32" s="57"/>
      <c r="ECS32" s="57"/>
      <c r="ECT32" s="58"/>
      <c r="ECU32" s="56"/>
      <c r="ECV32" s="57"/>
      <c r="ECW32" s="57"/>
      <c r="ECX32" s="57"/>
      <c r="ECY32" s="57"/>
      <c r="ECZ32" s="57"/>
      <c r="EDA32" s="56"/>
      <c r="EDB32" s="57"/>
      <c r="EDC32" s="57"/>
      <c r="EDD32" s="56"/>
      <c r="EDE32" s="57"/>
      <c r="EDF32" s="58"/>
      <c r="EDG32" s="56"/>
      <c r="EDH32" s="57"/>
      <c r="EDI32" s="57"/>
      <c r="EDJ32" s="57"/>
      <c r="EDK32" s="56"/>
      <c r="EDL32" s="57"/>
      <c r="EDM32" s="57"/>
      <c r="EDN32" s="56"/>
      <c r="EDO32" s="57"/>
      <c r="EDP32" s="58"/>
      <c r="EDQ32" s="56"/>
      <c r="EDR32" s="57"/>
      <c r="EDS32" s="57"/>
      <c r="EDT32" s="57"/>
      <c r="EDU32" s="56"/>
      <c r="EDV32" s="57"/>
      <c r="EDW32" s="57"/>
      <c r="EDX32" s="56"/>
      <c r="EDY32" s="57"/>
      <c r="EDZ32" s="58"/>
      <c r="EEA32" s="56"/>
      <c r="EEB32" s="57"/>
      <c r="EEC32" s="57"/>
      <c r="EED32" s="57"/>
      <c r="EEE32" s="56"/>
      <c r="EEF32" s="57"/>
      <c r="EEG32" s="57"/>
      <c r="EEH32" s="56"/>
      <c r="EEI32" s="57"/>
      <c r="EEJ32" s="58"/>
      <c r="EEK32" s="56"/>
      <c r="EEL32" s="58"/>
      <c r="EEM32" s="57"/>
      <c r="EEN32" s="56"/>
      <c r="EEO32" s="57"/>
      <c r="EEP32" s="56"/>
      <c r="EEQ32" s="56"/>
      <c r="EER32" s="56"/>
      <c r="EES32" s="57"/>
      <c r="EET32" s="57"/>
      <c r="EEU32" s="57"/>
      <c r="EEV32" s="57"/>
      <c r="EEW32" s="57"/>
      <c r="EEX32" s="57"/>
      <c r="EEY32" s="57"/>
      <c r="EEZ32" s="57"/>
      <c r="EFA32" s="57"/>
      <c r="EFB32" s="57"/>
      <c r="EFC32" s="57"/>
      <c r="EFD32" s="57"/>
      <c r="EFE32" s="57"/>
      <c r="EFF32" s="57"/>
      <c r="EFG32" s="57"/>
      <c r="EFH32" s="57"/>
      <c r="EFI32" s="57"/>
      <c r="EFJ32" s="57"/>
      <c r="EFK32" s="57"/>
      <c r="EFL32" s="57"/>
      <c r="EFM32" s="57"/>
      <c r="EFN32" s="57"/>
      <c r="EFO32" s="57"/>
      <c r="EFP32" s="57"/>
      <c r="EFQ32" s="57"/>
      <c r="EFR32" s="57"/>
      <c r="EFS32" s="57"/>
      <c r="EFT32" s="57"/>
      <c r="EFU32" s="57"/>
      <c r="EFV32" s="57"/>
      <c r="EFW32" s="57"/>
      <c r="EFX32" s="57"/>
      <c r="EFY32" s="57"/>
      <c r="EFZ32" s="57"/>
      <c r="EGA32" s="57"/>
      <c r="EGB32" s="57"/>
      <c r="EGC32" s="57"/>
      <c r="EGD32" s="58"/>
      <c r="EGE32" s="56"/>
      <c r="EGF32" s="57"/>
      <c r="EGG32" s="57"/>
      <c r="EGH32" s="57"/>
      <c r="EGI32" s="57"/>
      <c r="EGJ32" s="57"/>
      <c r="EGK32" s="56"/>
      <c r="EGL32" s="57"/>
      <c r="EGM32" s="57"/>
      <c r="EGN32" s="56"/>
      <c r="EGO32" s="57"/>
      <c r="EGP32" s="58"/>
      <c r="EGQ32" s="56"/>
      <c r="EGR32" s="57"/>
      <c r="EGS32" s="57"/>
      <c r="EGT32" s="57"/>
      <c r="EGU32" s="56"/>
      <c r="EGV32" s="57"/>
      <c r="EGW32" s="57"/>
      <c r="EGX32" s="56"/>
      <c r="EGY32" s="57"/>
      <c r="EGZ32" s="58"/>
      <c r="EHA32" s="56"/>
      <c r="EHB32" s="57"/>
      <c r="EHC32" s="57"/>
      <c r="EHD32" s="57"/>
      <c r="EHE32" s="56"/>
      <c r="EHF32" s="57"/>
      <c r="EHG32" s="57"/>
      <c r="EHH32" s="56"/>
      <c r="EHI32" s="57"/>
      <c r="EHJ32" s="58"/>
      <c r="EHK32" s="56"/>
      <c r="EHL32" s="57"/>
      <c r="EHM32" s="57"/>
      <c r="EHN32" s="57"/>
      <c r="EHO32" s="56"/>
      <c r="EHP32" s="57"/>
      <c r="EHQ32" s="57"/>
      <c r="EHR32" s="56"/>
      <c r="EHS32" s="57"/>
      <c r="EHT32" s="58"/>
      <c r="EHU32" s="56"/>
      <c r="EHV32" s="58"/>
      <c r="EHW32" s="57"/>
      <c r="EHX32" s="56"/>
      <c r="EHY32" s="57"/>
      <c r="EHZ32" s="56"/>
      <c r="EIA32" s="56"/>
      <c r="EIB32" s="56"/>
      <c r="EIC32" s="57"/>
      <c r="EID32" s="57"/>
      <c r="EIE32" s="57"/>
      <c r="EIF32" s="57"/>
      <c r="EIG32" s="57"/>
      <c r="EIH32" s="57"/>
      <c r="EII32" s="57"/>
      <c r="EIJ32" s="57"/>
      <c r="EIK32" s="57"/>
      <c r="EIL32" s="57"/>
      <c r="EIM32" s="57"/>
      <c r="EIN32" s="57"/>
      <c r="EIO32" s="57"/>
      <c r="EIP32" s="57"/>
      <c r="EIQ32" s="57"/>
      <c r="EIR32" s="57"/>
      <c r="EIS32" s="57"/>
      <c r="EIT32" s="57"/>
      <c r="EIU32" s="57"/>
      <c r="EIV32" s="57"/>
      <c r="EIW32" s="57"/>
      <c r="EIX32" s="57"/>
      <c r="EIY32" s="57"/>
      <c r="EIZ32" s="57"/>
      <c r="EJA32" s="57"/>
      <c r="EJB32" s="57"/>
      <c r="EJC32" s="57"/>
      <c r="EJD32" s="57"/>
      <c r="EJE32" s="57"/>
      <c r="EJF32" s="57"/>
      <c r="EJG32" s="57"/>
      <c r="EJH32" s="57"/>
      <c r="EJI32" s="57"/>
      <c r="EJJ32" s="57"/>
      <c r="EJK32" s="57"/>
      <c r="EJL32" s="57"/>
      <c r="EJM32" s="57"/>
      <c r="EJN32" s="58"/>
      <c r="EJO32" s="56"/>
      <c r="EJP32" s="57"/>
      <c r="EJQ32" s="57"/>
      <c r="EJR32" s="57"/>
      <c r="EJS32" s="57"/>
      <c r="EJT32" s="57"/>
      <c r="EJU32" s="56"/>
      <c r="EJV32" s="57"/>
      <c r="EJW32" s="57"/>
      <c r="EJX32" s="56"/>
      <c r="EJY32" s="57"/>
      <c r="EJZ32" s="58"/>
      <c r="EKA32" s="56"/>
      <c r="EKB32" s="57"/>
      <c r="EKC32" s="57"/>
      <c r="EKD32" s="57"/>
      <c r="EKE32" s="56"/>
      <c r="EKF32" s="57"/>
      <c r="EKG32" s="57"/>
      <c r="EKH32" s="56"/>
      <c r="EKI32" s="57"/>
      <c r="EKJ32" s="58"/>
      <c r="EKK32" s="56"/>
      <c r="EKL32" s="57"/>
      <c r="EKM32" s="57"/>
      <c r="EKN32" s="57"/>
      <c r="EKO32" s="56"/>
      <c r="EKP32" s="57"/>
      <c r="EKQ32" s="57"/>
      <c r="EKR32" s="56"/>
      <c r="EKS32" s="57"/>
      <c r="EKT32" s="58"/>
      <c r="EKU32" s="56"/>
      <c r="EKV32" s="57"/>
      <c r="EKW32" s="57"/>
      <c r="EKX32" s="57"/>
      <c r="EKY32" s="56"/>
      <c r="EKZ32" s="57"/>
      <c r="ELA32" s="57"/>
      <c r="ELB32" s="56"/>
      <c r="ELC32" s="57"/>
      <c r="ELD32" s="58"/>
      <c r="ELE32" s="56"/>
      <c r="ELF32" s="58"/>
      <c r="ELG32" s="57"/>
      <c r="ELH32" s="56"/>
      <c r="ELI32" s="57"/>
      <c r="ELJ32" s="56"/>
      <c r="ELK32" s="56"/>
      <c r="ELL32" s="56"/>
      <c r="ELM32" s="57"/>
      <c r="ELN32" s="57"/>
      <c r="ELO32" s="57"/>
      <c r="ELP32" s="57"/>
      <c r="ELQ32" s="57"/>
      <c r="ELR32" s="57"/>
      <c r="ELS32" s="57"/>
      <c r="ELT32" s="57"/>
      <c r="ELU32" s="57"/>
      <c r="ELV32" s="57"/>
      <c r="ELW32" s="57"/>
      <c r="ELX32" s="57"/>
      <c r="ELY32" s="57"/>
      <c r="ELZ32" s="57"/>
      <c r="EMA32" s="57"/>
      <c r="EMB32" s="57"/>
      <c r="EMC32" s="57"/>
      <c r="EMD32" s="57"/>
      <c r="EME32" s="57"/>
      <c r="EMF32" s="57"/>
      <c r="EMG32" s="57"/>
      <c r="EMH32" s="57"/>
      <c r="EMI32" s="57"/>
      <c r="EMJ32" s="57"/>
      <c r="EMK32" s="57"/>
      <c r="EML32" s="57"/>
      <c r="EMM32" s="57"/>
      <c r="EMN32" s="57"/>
      <c r="EMO32" s="57"/>
      <c r="EMP32" s="57"/>
      <c r="EMQ32" s="57"/>
      <c r="EMR32" s="57"/>
      <c r="EMS32" s="57"/>
      <c r="EMT32" s="57"/>
      <c r="EMU32" s="57"/>
      <c r="EMV32" s="57"/>
      <c r="EMW32" s="57"/>
      <c r="EMX32" s="58"/>
      <c r="EMY32" s="56"/>
      <c r="EMZ32" s="57"/>
      <c r="ENA32" s="57"/>
      <c r="ENB32" s="57"/>
      <c r="ENC32" s="57"/>
      <c r="END32" s="57"/>
      <c r="ENE32" s="56"/>
      <c r="ENF32" s="57"/>
      <c r="ENG32" s="57"/>
      <c r="ENH32" s="56"/>
      <c r="ENI32" s="57"/>
      <c r="ENJ32" s="58"/>
      <c r="ENK32" s="56"/>
      <c r="ENL32" s="57"/>
      <c r="ENM32" s="57"/>
      <c r="ENN32" s="57"/>
      <c r="ENO32" s="56"/>
      <c r="ENP32" s="57"/>
      <c r="ENQ32" s="57"/>
      <c r="ENR32" s="56"/>
      <c r="ENS32" s="57"/>
      <c r="ENT32" s="58"/>
      <c r="ENU32" s="56"/>
      <c r="ENV32" s="57"/>
      <c r="ENW32" s="57"/>
      <c r="ENX32" s="57"/>
      <c r="ENY32" s="56"/>
      <c r="ENZ32" s="57"/>
      <c r="EOA32" s="57"/>
      <c r="EOB32" s="56"/>
      <c r="EOC32" s="57"/>
      <c r="EOD32" s="58"/>
      <c r="EOE32" s="56"/>
      <c r="EOF32" s="57"/>
      <c r="EOG32" s="57"/>
      <c r="EOH32" s="57"/>
      <c r="EOI32" s="56"/>
      <c r="EOJ32" s="57"/>
      <c r="EOK32" s="57"/>
      <c r="EOL32" s="56"/>
      <c r="EOM32" s="57"/>
      <c r="EON32" s="58"/>
      <c r="EOO32" s="56" t="str">
        <f t="shared" si="149"/>
        <v xml:space="preserve"> </v>
      </c>
      <c r="EOP32" s="58"/>
      <c r="EOQ32" s="57"/>
      <c r="EOR32" s="56"/>
      <c r="EOS32" s="57"/>
      <c r="EOT32" s="56"/>
      <c r="EOU32" s="56"/>
      <c r="EOV32" s="56"/>
      <c r="EOW32" s="57"/>
      <c r="EOX32" s="57"/>
      <c r="EOY32" s="57"/>
      <c r="EOZ32" s="57"/>
      <c r="EPA32" s="57"/>
      <c r="EPB32" s="57"/>
      <c r="EPC32" s="57"/>
      <c r="EPD32" s="57"/>
      <c r="EPE32" s="57"/>
      <c r="EPF32" s="57"/>
      <c r="EPG32" s="57"/>
      <c r="EPH32" s="57"/>
      <c r="EPI32" s="57"/>
      <c r="EPJ32" s="57"/>
      <c r="EPK32" s="57"/>
      <c r="EPL32" s="57"/>
      <c r="EPM32" s="57"/>
      <c r="EPN32" s="57"/>
      <c r="EPO32" s="57"/>
      <c r="EPP32" s="57"/>
      <c r="EPQ32" s="57"/>
      <c r="EPR32" s="57"/>
      <c r="EPS32" s="57"/>
      <c r="EPT32" s="57"/>
      <c r="EPU32" s="57"/>
      <c r="EPV32" s="57"/>
      <c r="EPW32" s="57"/>
      <c r="EPX32" s="57"/>
      <c r="EPY32" s="57"/>
      <c r="EPZ32" s="57"/>
      <c r="EQA32" s="57"/>
      <c r="EQB32" s="57"/>
      <c r="EQC32" s="57"/>
      <c r="EQD32" s="57"/>
      <c r="EQE32" s="57"/>
      <c r="EQF32" s="57"/>
      <c r="EQG32" s="57"/>
      <c r="EQH32" s="58"/>
      <c r="EQI32" s="56"/>
      <c r="EQJ32" s="57"/>
      <c r="EQK32" s="57"/>
      <c r="EQL32" s="57"/>
      <c r="EQM32" s="57"/>
      <c r="EQN32" s="57"/>
      <c r="EQO32" s="56"/>
      <c r="EQP32" s="57"/>
      <c r="EQQ32" s="57"/>
      <c r="EQR32" s="56"/>
      <c r="EQS32" s="57"/>
      <c r="EQT32" s="58"/>
      <c r="EQU32" s="56"/>
      <c r="EQV32" s="57"/>
      <c r="EQW32" s="57"/>
      <c r="EQX32" s="57"/>
      <c r="EQY32" s="56"/>
      <c r="EQZ32" s="57"/>
      <c r="ERA32" s="57"/>
      <c r="ERB32" s="56"/>
      <c r="ERC32" s="57"/>
      <c r="ERD32" s="58"/>
      <c r="ERE32" s="56"/>
      <c r="ERF32" s="57"/>
      <c r="ERG32" s="57"/>
      <c r="ERH32" s="57"/>
      <c r="ERI32" s="56"/>
      <c r="ERJ32" s="57"/>
      <c r="ERK32" s="57"/>
      <c r="ERL32" s="56"/>
      <c r="ERM32" s="57"/>
      <c r="ERN32" s="58"/>
      <c r="ERO32" s="56"/>
      <c r="ERP32" s="57"/>
      <c r="ERQ32" s="57"/>
      <c r="ERR32" s="57"/>
      <c r="ERS32" s="56"/>
      <c r="ERT32" s="57"/>
      <c r="ERU32" s="57"/>
      <c r="ERV32" s="56"/>
      <c r="ERW32" s="57"/>
      <c r="ERX32" s="58"/>
      <c r="ERY32" s="56" t="str">
        <f t="shared" si="152"/>
        <v xml:space="preserve"> </v>
      </c>
      <c r="ERZ32" s="58"/>
      <c r="ESA32" s="57"/>
      <c r="ESB32" s="56"/>
      <c r="ESC32" s="57"/>
      <c r="ESD32" s="56"/>
      <c r="ESE32" s="56"/>
      <c r="ESF32" s="56"/>
      <c r="ESG32" s="57"/>
      <c r="ESH32" s="57"/>
      <c r="ESI32" s="57"/>
      <c r="ESJ32" s="57"/>
      <c r="ESK32" s="57"/>
      <c r="ESL32" s="57"/>
      <c r="ESM32" s="57"/>
      <c r="ESN32" s="57"/>
      <c r="ESO32" s="57"/>
      <c r="ESP32" s="57"/>
      <c r="ESQ32" s="57"/>
      <c r="ESR32" s="57"/>
      <c r="ESS32" s="57"/>
      <c r="EST32" s="57"/>
      <c r="ESU32" s="57"/>
      <c r="ESV32" s="57"/>
      <c r="ESW32" s="57"/>
      <c r="ESX32" s="57"/>
      <c r="ESY32" s="57"/>
      <c r="ESZ32" s="57"/>
      <c r="ETA32" s="57"/>
      <c r="ETB32" s="57"/>
      <c r="ETC32" s="57"/>
      <c r="ETD32" s="57"/>
      <c r="ETE32" s="57"/>
      <c r="ETF32" s="57"/>
      <c r="ETG32" s="57"/>
      <c r="ETH32" s="57"/>
      <c r="ETI32" s="57"/>
      <c r="ETJ32" s="57"/>
      <c r="ETK32" s="57"/>
      <c r="ETL32" s="57"/>
      <c r="ETM32" s="57"/>
      <c r="ETN32" s="57"/>
      <c r="ETO32" s="57"/>
      <c r="ETP32" s="57"/>
      <c r="ETQ32" s="57"/>
      <c r="ETR32" s="58"/>
      <c r="ETS32" s="56"/>
      <c r="ETT32" s="57"/>
      <c r="ETU32" s="57"/>
      <c r="ETV32" s="57"/>
      <c r="ETW32" s="57"/>
      <c r="ETX32" s="57"/>
      <c r="ETY32" s="56"/>
      <c r="ETZ32" s="57"/>
      <c r="EUA32" s="57"/>
      <c r="EUB32" s="56"/>
      <c r="EUC32" s="57"/>
      <c r="EUD32" s="58"/>
      <c r="EUE32" s="56"/>
      <c r="EUF32" s="57"/>
      <c r="EUG32" s="57"/>
      <c r="EUH32" s="57"/>
      <c r="EUI32" s="56"/>
      <c r="EUJ32" s="57"/>
      <c r="EUK32" s="57"/>
      <c r="EUL32" s="56"/>
      <c r="EUM32" s="57"/>
      <c r="EUN32" s="58"/>
      <c r="EUO32" s="56"/>
      <c r="EUP32" s="57"/>
      <c r="EUQ32" s="57"/>
      <c r="EUR32" s="57"/>
      <c r="EUS32" s="56"/>
      <c r="EUT32" s="57"/>
      <c r="EUU32" s="57"/>
      <c r="EUV32" s="56"/>
      <c r="EUW32" s="57"/>
      <c r="EUX32" s="58"/>
      <c r="EUY32" s="56"/>
      <c r="EUZ32" s="57"/>
      <c r="EVA32" s="57"/>
      <c r="EVB32" s="57"/>
      <c r="EVC32" s="56"/>
      <c r="EVD32" s="57"/>
      <c r="EVE32" s="57"/>
      <c r="EVF32" s="56"/>
      <c r="EVG32" s="57"/>
      <c r="EVH32" s="58"/>
      <c r="EVI32" s="56" t="str">
        <f t="shared" si="153"/>
        <v xml:space="preserve"> </v>
      </c>
    </row>
    <row r="33" spans="1:3961" x14ac:dyDescent="0.3">
      <c r="A33" s="423" t="s">
        <v>211</v>
      </c>
      <c r="B33" s="30" t="str">
        <f>'REG y VAL POE - AESR - ESR'!B2604</f>
        <v xml:space="preserve">Carmona Gaytan Jaime Omar </v>
      </c>
      <c r="C33" s="29" t="str">
        <f>'REG y VAL POE - AESR - ESR'!C2604</f>
        <v>Sin Registro</v>
      </c>
      <c r="D33" s="28">
        <f>'REG y VAL POE - AESR - ESR'!D2604</f>
        <v>22180768</v>
      </c>
      <c r="E33" s="29">
        <f>'REG y VAL POE - AESR - ESR'!E2604</f>
        <v>0</v>
      </c>
      <c r="F33" s="28">
        <f>'REG y VAL POE - AESR - ESR'!F2604</f>
        <v>0</v>
      </c>
      <c r="G33" s="31">
        <f>'REG y VAL POE - AESR - ESR'!G2604</f>
        <v>0</v>
      </c>
      <c r="H33" s="31">
        <f>'REG y VAL POE - AESR - ESR'!H2604</f>
        <v>0</v>
      </c>
      <c r="I33" s="29">
        <f>'REG y VAL POE - AESR - ESR'!I2604</f>
        <v>0</v>
      </c>
      <c r="J33" s="29">
        <f>'REG y VAL POE - AESR - ESR'!J2604</f>
        <v>0</v>
      </c>
      <c r="K33" s="29">
        <f>'REG y VAL POE - AESR - ESR'!K2604</f>
        <v>0</v>
      </c>
      <c r="L33" s="29">
        <f>'REG y VAL POE - AESR - ESR'!L2604</f>
        <v>0</v>
      </c>
      <c r="M33" s="29">
        <f>'REG y VAL POE - AESR - ESR'!M2604</f>
        <v>0</v>
      </c>
      <c r="N33" s="29">
        <f>'REG y VAL POE - AESR - ESR'!N2604</f>
        <v>0</v>
      </c>
      <c r="O33" s="29">
        <f>'REG y VAL POE - AESR - ESR'!O2604</f>
        <v>0</v>
      </c>
      <c r="P33" s="29">
        <f>'REG y VAL POE - AESR - ESR'!P2604</f>
        <v>0</v>
      </c>
      <c r="Q33" s="29">
        <f>'REG y VAL POE - AESR - ESR'!Q2604</f>
        <v>0</v>
      </c>
      <c r="R33" s="29">
        <f>'REG y VAL POE - AESR - ESR'!R2604</f>
        <v>0</v>
      </c>
      <c r="S33" s="29">
        <f>'REG y VAL POE - AESR - ESR'!S2604</f>
        <v>0</v>
      </c>
      <c r="T33" s="29">
        <f>'REG y VAL POE - AESR - ESR'!T2604</f>
        <v>0</v>
      </c>
      <c r="U33" s="29">
        <f>'REG y VAL POE - AESR - ESR'!U2604</f>
        <v>0</v>
      </c>
      <c r="V33" s="29">
        <f>'REG y VAL POE - AESR - ESR'!V2604</f>
        <v>0</v>
      </c>
      <c r="W33" s="29">
        <f>'REG y VAL POE - AESR - ESR'!W2604</f>
        <v>0</v>
      </c>
      <c r="X33" s="29">
        <f>'REG y VAL POE - AESR - ESR'!X2604</f>
        <v>0</v>
      </c>
      <c r="Y33" s="29">
        <f>'REG y VAL POE - AESR - ESR'!Y2604</f>
        <v>0</v>
      </c>
      <c r="Z33" s="29">
        <f>'REG y VAL POE - AESR - ESR'!Z2604</f>
        <v>0</v>
      </c>
      <c r="AA33" s="29">
        <f>'REG y VAL POE - AESR - ESR'!AA2604</f>
        <v>0</v>
      </c>
      <c r="AB33" s="29">
        <f>'REG y VAL POE - AESR - ESR'!AB2604</f>
        <v>0</v>
      </c>
      <c r="AC33" s="29">
        <f>'REG y VAL POE - AESR - ESR'!AC2604</f>
        <v>0</v>
      </c>
      <c r="AD33" s="29">
        <f>'REG y VAL POE - AESR - ESR'!AD2604</f>
        <v>0</v>
      </c>
      <c r="AE33" s="29">
        <f>'REG y VAL POE - AESR - ESR'!AE2604</f>
        <v>0</v>
      </c>
      <c r="AF33" s="29">
        <f>'REG y VAL POE - AESR - ESR'!AF2604</f>
        <v>0</v>
      </c>
      <c r="AG33" s="29">
        <f>'REG y VAL POE - AESR - ESR'!AG2604</f>
        <v>0</v>
      </c>
      <c r="AH33" s="29">
        <f>'REG y VAL POE - AESR - ESR'!AH2604</f>
        <v>0</v>
      </c>
      <c r="AI33" s="29">
        <f>'REG y VAL POE - AESR - ESR'!AI2604</f>
        <v>0</v>
      </c>
      <c r="AJ33" s="29">
        <f>'REG y VAL POE - AESR - ESR'!AJ2604</f>
        <v>0</v>
      </c>
      <c r="AK33" s="29">
        <f>'REG y VAL POE - AESR - ESR'!AK2604</f>
        <v>0</v>
      </c>
      <c r="AL33" s="29">
        <f>'REG y VAL POE - AESR - ESR'!AL2604</f>
        <v>0</v>
      </c>
      <c r="AM33" s="29">
        <f>'REG y VAL POE - AESR - ESR'!AM2604</f>
        <v>0</v>
      </c>
      <c r="AN33" s="29">
        <f>'REG y VAL POE - AESR - ESR'!AN2604</f>
        <v>0</v>
      </c>
      <c r="AO33" s="29">
        <f>'REG y VAL POE - AESR - ESR'!AO2604</f>
        <v>0</v>
      </c>
      <c r="AP33" s="29">
        <f>'REG y VAL POE - AESR - ESR'!AP2604</f>
        <v>0</v>
      </c>
      <c r="AQ33" s="29">
        <f>'REG y VAL POE - AESR - ESR'!AQ2604</f>
        <v>0</v>
      </c>
      <c r="AR33" s="29">
        <f>'REG y VAL POE - AESR - ESR'!AR2604</f>
        <v>0</v>
      </c>
      <c r="AS33" s="29">
        <f>'REG y VAL POE - AESR - ESR'!AS2604</f>
        <v>0</v>
      </c>
      <c r="AT33" s="30" t="str">
        <f>'REG y VAL POE - AESR - ESR'!B2605</f>
        <v xml:space="preserve">Grande Diaz Josue Ivan </v>
      </c>
      <c r="AU33" s="28" t="str">
        <f>'REG y VAL POE - AESR - ESR'!C2605</f>
        <v>Sin Registro</v>
      </c>
      <c r="AV33" s="29">
        <f>'REG y VAL POE - AESR - ESR'!D2605</f>
        <v>22181357</v>
      </c>
      <c r="AW33" s="29">
        <f>'REG y VAL POE - AESR - ESR'!E2605</f>
        <v>0</v>
      </c>
      <c r="AX33" s="29">
        <f>'REG y VAL POE - AESR - ESR'!F2605</f>
        <v>0</v>
      </c>
      <c r="AY33" s="29">
        <f>'REG y VAL POE - AESR - ESR'!G2605</f>
        <v>0</v>
      </c>
      <c r="AZ33" s="29">
        <f>'REG y VAL POE - AESR - ESR'!H2605</f>
        <v>0</v>
      </c>
      <c r="BA33" s="28">
        <f>'REG y VAL POE - AESR - ESR'!I2605</f>
        <v>0</v>
      </c>
      <c r="BB33" s="29">
        <f>'REG y VAL POE - AESR - ESR'!J2605</f>
        <v>0</v>
      </c>
      <c r="BC33" s="29">
        <f>'REG y VAL POE - AESR - ESR'!K2605</f>
        <v>0</v>
      </c>
      <c r="BD33" s="28">
        <f>'REG y VAL POE - AESR - ESR'!L2605</f>
        <v>0</v>
      </c>
      <c r="BE33" s="29">
        <f>'REG y VAL POE - AESR - ESR'!M2605</f>
        <v>0</v>
      </c>
      <c r="BF33" s="30">
        <f>'REG y VAL POE - AESR - ESR'!N2605</f>
        <v>0</v>
      </c>
      <c r="BG33" s="28">
        <f>'REG y VAL POE - AESR - ESR'!O2605</f>
        <v>0</v>
      </c>
      <c r="BH33" s="29">
        <f>'REG y VAL POE - AESR - ESR'!P2605</f>
        <v>0</v>
      </c>
      <c r="BI33" s="29">
        <f>'REG y VAL POE - AESR - ESR'!Q2605</f>
        <v>0</v>
      </c>
      <c r="BJ33" s="29">
        <f>'REG y VAL POE - AESR - ESR'!R2605</f>
        <v>0</v>
      </c>
      <c r="BK33" s="28">
        <f>'REG y VAL POE - AESR - ESR'!S2605</f>
        <v>0</v>
      </c>
      <c r="BL33" s="29">
        <f>'REG y VAL POE - AESR - ESR'!T2605</f>
        <v>0</v>
      </c>
      <c r="BM33" s="29">
        <f>'REG y VAL POE - AESR - ESR'!U2605</f>
        <v>0</v>
      </c>
      <c r="BN33" s="28">
        <f>'REG y VAL POE - AESR - ESR'!V2605</f>
        <v>0</v>
      </c>
      <c r="BO33" s="29">
        <f>'REG y VAL POE - AESR - ESR'!W2605</f>
        <v>0</v>
      </c>
      <c r="BP33" s="30">
        <f>'REG y VAL POE - AESR - ESR'!X2605</f>
        <v>0</v>
      </c>
      <c r="BQ33" s="28">
        <f>'REG y VAL POE - AESR - ESR'!Y2605</f>
        <v>0</v>
      </c>
      <c r="BR33" s="29">
        <f>'REG y VAL POE - AESR - ESR'!Z2605</f>
        <v>0</v>
      </c>
      <c r="BS33" s="29">
        <f>'REG y VAL POE - AESR - ESR'!AA2605</f>
        <v>0</v>
      </c>
      <c r="BT33" s="29">
        <f>'REG y VAL POE - AESR - ESR'!AB2605</f>
        <v>0</v>
      </c>
      <c r="BU33" s="28">
        <f>'REG y VAL POE - AESR - ESR'!AC2605</f>
        <v>0</v>
      </c>
      <c r="BV33" s="29">
        <f>'REG y VAL POE - AESR - ESR'!AD2605</f>
        <v>0</v>
      </c>
      <c r="BW33" s="29">
        <f>'REG y VAL POE - AESR - ESR'!AE2605</f>
        <v>0</v>
      </c>
      <c r="BX33" s="28">
        <f>'REG y VAL POE - AESR - ESR'!AF2605</f>
        <v>0</v>
      </c>
      <c r="BY33" s="29">
        <f>'REG y VAL POE - AESR - ESR'!AG2605</f>
        <v>0</v>
      </c>
      <c r="BZ33" s="30">
        <f>'REG y VAL POE - AESR - ESR'!AH2605</f>
        <v>0</v>
      </c>
      <c r="CA33" s="28">
        <f>'REG y VAL POE - AESR - ESR'!AI2605</f>
        <v>0</v>
      </c>
      <c r="CB33" s="29">
        <f>'REG y VAL POE - AESR - ESR'!AJ2605</f>
        <v>0</v>
      </c>
      <c r="CC33" s="29">
        <f>'REG y VAL POE - AESR - ESR'!AK2605</f>
        <v>0</v>
      </c>
      <c r="CD33" s="29">
        <f>'REG y VAL POE - AESR - ESR'!AL2605</f>
        <v>0</v>
      </c>
      <c r="CE33" s="28">
        <f>'REG y VAL POE - AESR - ESR'!AM2605</f>
        <v>0</v>
      </c>
      <c r="CF33" s="29">
        <f>'REG y VAL POE - AESR - ESR'!AN2605</f>
        <v>0</v>
      </c>
      <c r="CG33" s="29">
        <f>'REG y VAL POE - AESR - ESR'!AO2605</f>
        <v>0</v>
      </c>
      <c r="CH33" s="28">
        <f>'REG y VAL POE - AESR - ESR'!AP2605</f>
        <v>0</v>
      </c>
      <c r="CI33" s="29">
        <f>'REG y VAL POE - AESR - ESR'!AQ2605</f>
        <v>0</v>
      </c>
      <c r="CJ33" s="30">
        <f>'REG y VAL POE - AESR - ESR'!AR2605</f>
        <v>0</v>
      </c>
      <c r="CK33" s="28">
        <f>'REG y VAL POE - AESR - ESR'!AS2605</f>
        <v>0</v>
      </c>
      <c r="CL33" s="29" t="str">
        <f>'REG y VAL POE - AESR - ESR'!B2606</f>
        <v xml:space="preserve">Hurtado Villafan Manuel Enrique </v>
      </c>
      <c r="CM33" s="29" t="str">
        <f>'REG y VAL POE - AESR - ESR'!C2606</f>
        <v>Sin Registro</v>
      </c>
      <c r="CN33" s="29">
        <f>'REG y VAL POE - AESR - ESR'!D2606</f>
        <v>22180728</v>
      </c>
      <c r="CO33" s="28">
        <f>'REG y VAL POE - AESR - ESR'!E2606</f>
        <v>0</v>
      </c>
      <c r="CP33" s="29">
        <f>'REG y VAL POE - AESR - ESR'!F2606</f>
        <v>0</v>
      </c>
      <c r="CQ33" s="29">
        <f>'REG y VAL POE - AESR - ESR'!G2606</f>
        <v>0</v>
      </c>
      <c r="CR33" s="28">
        <f>'REG y VAL POE - AESR - ESR'!H2606</f>
        <v>0</v>
      </c>
      <c r="CS33" s="29">
        <f>'REG y VAL POE - AESR - ESR'!I2606</f>
        <v>0</v>
      </c>
      <c r="CT33" s="30">
        <f>'REG y VAL POE - AESR - ESR'!J2606</f>
        <v>0</v>
      </c>
      <c r="CU33" s="28">
        <f>'REG y VAL POE - AESR - ESR'!K2606</f>
        <v>0</v>
      </c>
      <c r="CV33" s="29">
        <f>'REG y VAL POE - AESR - ESR'!L2606</f>
        <v>0</v>
      </c>
      <c r="CW33" s="29">
        <f>'REG y VAL POE - AESR - ESR'!M2606</f>
        <v>0</v>
      </c>
      <c r="CX33" s="29">
        <f>'REG y VAL POE - AESR - ESR'!N2606</f>
        <v>0</v>
      </c>
      <c r="CY33" s="28">
        <f>'REG y VAL POE - AESR - ESR'!O2606</f>
        <v>0</v>
      </c>
      <c r="CZ33" s="29">
        <f>'REG y VAL POE - AESR - ESR'!P2606</f>
        <v>0</v>
      </c>
      <c r="DA33" s="29">
        <f>'REG y VAL POE - AESR - ESR'!Q2606</f>
        <v>0</v>
      </c>
      <c r="DB33" s="28">
        <f>'REG y VAL POE - AESR - ESR'!R2606</f>
        <v>0</v>
      </c>
      <c r="DC33" s="29">
        <f>'REG y VAL POE - AESR - ESR'!S2606</f>
        <v>0</v>
      </c>
      <c r="DD33" s="30">
        <f>'REG y VAL POE - AESR - ESR'!T2606</f>
        <v>0</v>
      </c>
      <c r="DE33" s="28">
        <f>'REG y VAL POE - AESR - ESR'!U2606</f>
        <v>0</v>
      </c>
      <c r="DF33" s="29">
        <f>'REG y VAL POE - AESR - ESR'!V2606</f>
        <v>0</v>
      </c>
      <c r="DG33" s="29">
        <f>'REG y VAL POE - AESR - ESR'!W2606</f>
        <v>0</v>
      </c>
      <c r="DH33" s="29">
        <f>'REG y VAL POE - AESR - ESR'!X2606</f>
        <v>0</v>
      </c>
      <c r="DI33" s="28">
        <f>'REG y VAL POE - AESR - ESR'!Y2606</f>
        <v>0</v>
      </c>
      <c r="DJ33" s="29">
        <f>'REG y VAL POE - AESR - ESR'!Z2606</f>
        <v>0</v>
      </c>
      <c r="DK33" s="29">
        <f>'REG y VAL POE - AESR - ESR'!AA2606</f>
        <v>0</v>
      </c>
      <c r="DL33" s="28">
        <f>'REG y VAL POE - AESR - ESR'!AB2606</f>
        <v>0</v>
      </c>
      <c r="DM33" s="29">
        <f>'REG y VAL POE - AESR - ESR'!AC2606</f>
        <v>0</v>
      </c>
      <c r="DN33" s="30">
        <f>'REG y VAL POE - AESR - ESR'!AD2606</f>
        <v>0</v>
      </c>
      <c r="DO33" s="28">
        <f>'REG y VAL POE - AESR - ESR'!AE2606</f>
        <v>0</v>
      </c>
      <c r="DP33" s="29">
        <f>'REG y VAL POE - AESR - ESR'!AF2606</f>
        <v>0</v>
      </c>
      <c r="DQ33" s="29">
        <f>'REG y VAL POE - AESR - ESR'!AG2606</f>
        <v>0</v>
      </c>
      <c r="DR33" s="29">
        <f>'REG y VAL POE - AESR - ESR'!AH2606</f>
        <v>0</v>
      </c>
      <c r="DS33" s="28">
        <f>'REG y VAL POE - AESR - ESR'!AI2606</f>
        <v>0</v>
      </c>
      <c r="DT33" s="29">
        <f>'REG y VAL POE - AESR - ESR'!AJ2606</f>
        <v>0</v>
      </c>
      <c r="DU33" s="29">
        <f>'REG y VAL POE - AESR - ESR'!AK2606</f>
        <v>0</v>
      </c>
      <c r="DV33" s="28">
        <f>'REG y VAL POE - AESR - ESR'!AL2606</f>
        <v>0</v>
      </c>
      <c r="DW33" s="29">
        <f>'REG y VAL POE - AESR - ESR'!AM2606</f>
        <v>0</v>
      </c>
      <c r="DX33" s="30">
        <f>'REG y VAL POE - AESR - ESR'!AN2606</f>
        <v>0</v>
      </c>
      <c r="DY33" s="28">
        <f>'REG y VAL POE - AESR - ESR'!AO2606</f>
        <v>0</v>
      </c>
      <c r="DZ33" s="29">
        <f>'REG y VAL POE - AESR - ESR'!AP2606</f>
        <v>0</v>
      </c>
      <c r="EA33" s="29">
        <f>'REG y VAL POE - AESR - ESR'!AQ2606</f>
        <v>0</v>
      </c>
      <c r="EB33" s="29">
        <f>'REG y VAL POE - AESR - ESR'!AR2606</f>
        <v>0</v>
      </c>
      <c r="EC33" s="28">
        <f>'REG y VAL POE - AESR - ESR'!AS2606</f>
        <v>0</v>
      </c>
      <c r="ED33" s="29" t="str">
        <f>'REG y VAL POE - AESR - ESR'!B2607</f>
        <v xml:space="preserve">Mondragon Calderon Amada Rubi </v>
      </c>
      <c r="EE33" s="28" t="str">
        <f>'REG y VAL POE - AESR - ESR'!C2607</f>
        <v>Sin Registro</v>
      </c>
      <c r="EF33" s="28">
        <f>'REG y VAL POE - AESR - ESR'!D2607</f>
        <v>22180763</v>
      </c>
      <c r="EG33" s="29">
        <f>'REG y VAL POE - AESR - ESR'!E2607</f>
        <v>0</v>
      </c>
      <c r="EH33" s="30">
        <f>'REG y VAL POE - AESR - ESR'!F2607</f>
        <v>0</v>
      </c>
      <c r="EI33" s="28">
        <f>'REG y VAL POE - AESR - ESR'!G2607</f>
        <v>0</v>
      </c>
      <c r="EJ33" s="29">
        <f>'REG y VAL POE - AESR - ESR'!H2607</f>
        <v>0</v>
      </c>
      <c r="EK33" s="29">
        <f>'REG y VAL POE - AESR - ESR'!I2607</f>
        <v>0</v>
      </c>
      <c r="EL33" s="29">
        <f>'REG y VAL POE - AESR - ESR'!J2607</f>
        <v>0</v>
      </c>
      <c r="EM33" s="28">
        <f>'REG y VAL POE - AESR - ESR'!K2607</f>
        <v>0</v>
      </c>
      <c r="EN33" s="29">
        <f>'REG y VAL POE - AESR - ESR'!L2607</f>
        <v>0</v>
      </c>
      <c r="EO33" s="33">
        <f>'REG y VAL POE - AESR - ESR'!M2607</f>
        <v>0</v>
      </c>
      <c r="EP33" s="28">
        <f>'REG y VAL POE - AESR - ESR'!N2607</f>
        <v>0</v>
      </c>
      <c r="EQ33" s="29">
        <f>'REG y VAL POE - AESR - ESR'!O2607</f>
        <v>0</v>
      </c>
      <c r="ER33" s="30">
        <f>'REG y VAL POE - AESR - ESR'!P2607</f>
        <v>0</v>
      </c>
      <c r="ES33" s="28">
        <f>'REG y VAL POE - AESR - ESR'!Q2607</f>
        <v>0</v>
      </c>
      <c r="ET33" s="29">
        <f>'REG y VAL POE - AESR - ESR'!R2607</f>
        <v>0</v>
      </c>
      <c r="EU33" s="29">
        <f>'REG y VAL POE - AESR - ESR'!S2607</f>
        <v>0</v>
      </c>
      <c r="EV33" s="29">
        <f>'REG y VAL POE - AESR - ESR'!T2607</f>
        <v>0</v>
      </c>
      <c r="EW33" s="28">
        <f>'REG y VAL POE - AESR - ESR'!U2607</f>
        <v>0</v>
      </c>
      <c r="EX33" s="29">
        <f>'REG y VAL POE - AESR - ESR'!V2607</f>
        <v>0</v>
      </c>
      <c r="EY33" s="29">
        <f>'REG y VAL POE - AESR - ESR'!W2607</f>
        <v>0</v>
      </c>
      <c r="EZ33" s="28">
        <f>'REG y VAL POE - AESR - ESR'!X2607</f>
        <v>0</v>
      </c>
      <c r="FA33" s="29">
        <f>'REG y VAL POE - AESR - ESR'!Y2607</f>
        <v>0</v>
      </c>
      <c r="FB33" s="30">
        <f>'REG y VAL POE - AESR - ESR'!Z2607</f>
        <v>0</v>
      </c>
      <c r="FC33" s="28">
        <f>'REG y VAL POE - AESR - ESR'!AA2607</f>
        <v>0</v>
      </c>
      <c r="FD33" s="29">
        <f>'REG y VAL POE - AESR - ESR'!AB2607</f>
        <v>0</v>
      </c>
      <c r="FE33" s="29">
        <f>'REG y VAL POE - AESR - ESR'!AC2607</f>
        <v>0</v>
      </c>
      <c r="FF33" s="29">
        <f>'REG y VAL POE - AESR - ESR'!AD2607</f>
        <v>0</v>
      </c>
      <c r="FG33" s="28">
        <f>'REG y VAL POE - AESR - ESR'!AE2607</f>
        <v>0</v>
      </c>
      <c r="FH33" s="29">
        <f>'REG y VAL POE - AESR - ESR'!AF2607</f>
        <v>0</v>
      </c>
      <c r="FI33" s="29">
        <f>'REG y VAL POE - AESR - ESR'!AG2607</f>
        <v>0</v>
      </c>
      <c r="FJ33" s="28">
        <f>'REG y VAL POE - AESR - ESR'!AH2607</f>
        <v>0</v>
      </c>
      <c r="FK33" s="29">
        <f>'REG y VAL POE - AESR - ESR'!AI2607</f>
        <v>0</v>
      </c>
      <c r="FL33" s="30">
        <f>'REG y VAL POE - AESR - ESR'!AJ2607</f>
        <v>0</v>
      </c>
      <c r="FM33" s="28">
        <f>'REG y VAL POE - AESR - ESR'!AK2607</f>
        <v>0</v>
      </c>
      <c r="FN33" s="29">
        <f>'REG y VAL POE - AESR - ESR'!AL2607</f>
        <v>0</v>
      </c>
      <c r="FO33" s="29">
        <f>'REG y VAL POE - AESR - ESR'!AM2607</f>
        <v>0</v>
      </c>
      <c r="FP33" s="29">
        <f>'REG y VAL POE - AESR - ESR'!AN2607</f>
        <v>0</v>
      </c>
      <c r="FQ33" s="28">
        <f>'REG y VAL POE - AESR - ESR'!AO2607</f>
        <v>0</v>
      </c>
      <c r="FR33" s="29">
        <f>'REG y VAL POE - AESR - ESR'!AP2607</f>
        <v>0</v>
      </c>
      <c r="FS33" s="29">
        <f>'REG y VAL POE - AESR - ESR'!AQ2607</f>
        <v>0</v>
      </c>
      <c r="FT33" s="28">
        <f>'REG y VAL POE - AESR - ESR'!AR2607</f>
        <v>0</v>
      </c>
      <c r="FU33" s="29">
        <f>'REG y VAL POE - AESR - ESR'!AS2607</f>
        <v>0</v>
      </c>
      <c r="FV33" s="30" t="str">
        <f>'REG y VAL POE - AESR - ESR'!B2608</f>
        <v xml:space="preserve">Renteria Ramos Ulises </v>
      </c>
      <c r="FW33" s="28" t="str">
        <f>'REG y VAL POE - AESR - ESR'!C2608</f>
        <v>Sin Registro</v>
      </c>
      <c r="FX33" s="29">
        <f>'REG y VAL POE - AESR - ESR'!D2608</f>
        <v>22181428</v>
      </c>
      <c r="FY33" s="29">
        <f>'REG y VAL POE - AESR - ESR'!E2608</f>
        <v>0</v>
      </c>
      <c r="FZ33" s="29">
        <f>'REG y VAL POE - AESR - ESR'!F2608</f>
        <v>0</v>
      </c>
      <c r="GA33" s="28">
        <f>'REG y VAL POE - AESR - ESR'!G2608</f>
        <v>0</v>
      </c>
      <c r="GB33" s="29">
        <f>'REG y VAL POE - AESR - ESR'!H2608</f>
        <v>0</v>
      </c>
      <c r="GC33" s="29">
        <f>'REG y VAL POE - AESR - ESR'!I2608</f>
        <v>0</v>
      </c>
      <c r="GD33" s="28">
        <f>'REG y VAL POE - AESR - ESR'!J2608</f>
        <v>0</v>
      </c>
      <c r="GE33" s="29">
        <f>'REG y VAL POE - AESR - ESR'!K2608</f>
        <v>0</v>
      </c>
      <c r="GF33" s="30">
        <f>'REG y VAL POE - AESR - ESR'!L2608</f>
        <v>0</v>
      </c>
      <c r="GG33" s="28">
        <f>'REG y VAL POE - AESR - ESR'!M2608</f>
        <v>0</v>
      </c>
      <c r="GH33" s="29">
        <f>'REG y VAL POE - AESR - ESR'!N2608</f>
        <v>0</v>
      </c>
      <c r="GI33" s="29">
        <f>'REG y VAL POE - AESR - ESR'!O2608</f>
        <v>0</v>
      </c>
      <c r="GJ33" s="29">
        <f>'REG y VAL POE - AESR - ESR'!P2608</f>
        <v>0</v>
      </c>
      <c r="GK33" s="28">
        <f>'REG y VAL POE - AESR - ESR'!Q2608</f>
        <v>0</v>
      </c>
      <c r="GL33" s="29">
        <f>'REG y VAL POE - AESR - ESR'!R2608</f>
        <v>0</v>
      </c>
      <c r="GM33" s="29">
        <f>'REG y VAL POE - AESR - ESR'!S2608</f>
        <v>0</v>
      </c>
      <c r="GN33" s="28">
        <f>'REG y VAL POE - AESR - ESR'!T2608</f>
        <v>0</v>
      </c>
      <c r="GO33" s="29">
        <f>'REG y VAL POE - AESR - ESR'!U2608</f>
        <v>0</v>
      </c>
      <c r="GP33" s="30">
        <f>'REG y VAL POE - AESR - ESR'!V2608</f>
        <v>0</v>
      </c>
      <c r="GQ33" s="28">
        <f>'REG y VAL POE - AESR - ESR'!W2608</f>
        <v>0</v>
      </c>
      <c r="GR33" s="29">
        <f>'REG y VAL POE - AESR - ESR'!X2608</f>
        <v>0</v>
      </c>
      <c r="GS33" s="29">
        <f>'REG y VAL POE - AESR - ESR'!Y2608</f>
        <v>0</v>
      </c>
      <c r="GT33" s="29">
        <f>'REG y VAL POE - AESR - ESR'!Z2608</f>
        <v>0</v>
      </c>
      <c r="GU33" s="28">
        <f>'REG y VAL POE - AESR - ESR'!AA2608</f>
        <v>0</v>
      </c>
      <c r="GV33" s="29">
        <f>'REG y VAL POE - AESR - ESR'!AB2608</f>
        <v>0</v>
      </c>
      <c r="GW33" s="29">
        <f>'REG y VAL POE - AESR - ESR'!AC2608</f>
        <v>0</v>
      </c>
      <c r="GX33" s="28">
        <f>'REG y VAL POE - AESR - ESR'!AD2608</f>
        <v>0</v>
      </c>
      <c r="GY33" s="29">
        <f>'REG y VAL POE - AESR - ESR'!AE2608</f>
        <v>0</v>
      </c>
      <c r="GZ33" s="30">
        <f>'REG y VAL POE - AESR - ESR'!AF2608</f>
        <v>0</v>
      </c>
      <c r="HA33" s="28">
        <f>'REG y VAL POE - AESR - ESR'!AG2608</f>
        <v>0</v>
      </c>
      <c r="HB33" s="29">
        <f>'REG y VAL POE - AESR - ESR'!AH2608</f>
        <v>0</v>
      </c>
      <c r="HC33" s="29">
        <f>'REG y VAL POE - AESR - ESR'!AI2608</f>
        <v>0</v>
      </c>
      <c r="HD33" s="29">
        <f>'REG y VAL POE - AESR - ESR'!AJ2608</f>
        <v>0</v>
      </c>
      <c r="HE33" s="28">
        <f>'REG y VAL POE - AESR - ESR'!AK2608</f>
        <v>0</v>
      </c>
      <c r="HF33" s="29">
        <f>'REG y VAL POE - AESR - ESR'!AL2608</f>
        <v>0</v>
      </c>
      <c r="HG33" s="29">
        <f>'REG y VAL POE - AESR - ESR'!AM2608</f>
        <v>0</v>
      </c>
      <c r="HH33" s="28">
        <f>'REG y VAL POE - AESR - ESR'!AN2608</f>
        <v>0</v>
      </c>
      <c r="HI33" s="29">
        <f>'REG y VAL POE - AESR - ESR'!AO2608</f>
        <v>0</v>
      </c>
      <c r="HJ33" s="30">
        <f>'REG y VAL POE - AESR - ESR'!AP2608</f>
        <v>0</v>
      </c>
      <c r="HK33" s="28">
        <f>'REG y VAL POE - AESR - ESR'!AQ2608</f>
        <v>0</v>
      </c>
      <c r="HL33" s="29">
        <f>'REG y VAL POE - AESR - ESR'!AR2608</f>
        <v>0</v>
      </c>
      <c r="HM33" s="29">
        <f>'REG y VAL POE - AESR - ESR'!AS2608</f>
        <v>0</v>
      </c>
      <c r="HN33" s="29" t="str">
        <f>'REG y VAL POE - AESR - ESR'!B2609</f>
        <v xml:space="preserve">Resendis Corona Rene </v>
      </c>
      <c r="HO33" s="28" t="str">
        <f>'REG y VAL POE - AESR - ESR'!C2609</f>
        <v>Sin Registro</v>
      </c>
      <c r="HP33" s="29">
        <f>'REG y VAL POE - AESR - ESR'!D2609</f>
        <v>22180759</v>
      </c>
      <c r="HQ33" s="29">
        <f>'REG y VAL POE - AESR - ESR'!E2609</f>
        <v>0</v>
      </c>
      <c r="HR33" s="28">
        <f>'REG y VAL POE - AESR - ESR'!F2609</f>
        <v>0</v>
      </c>
      <c r="HS33" s="29">
        <f>'REG y VAL POE - AESR - ESR'!G2609</f>
        <v>0</v>
      </c>
      <c r="HT33" s="30">
        <f>'REG y VAL POE - AESR - ESR'!H2609</f>
        <v>0</v>
      </c>
      <c r="HU33" s="28">
        <f>'REG y VAL POE - AESR - ESR'!I2609</f>
        <v>0</v>
      </c>
      <c r="HV33" s="29">
        <f>'REG y VAL POE - AESR - ESR'!J2609</f>
        <v>0</v>
      </c>
      <c r="HW33" s="29">
        <f>'REG y VAL POE - AESR - ESR'!K2609</f>
        <v>0</v>
      </c>
      <c r="HX33" s="29">
        <f>'REG y VAL POE - AESR - ESR'!L2609</f>
        <v>0</v>
      </c>
      <c r="HY33" s="28">
        <f>'REG y VAL POE - AESR - ESR'!M2609</f>
        <v>0</v>
      </c>
      <c r="HZ33" s="29">
        <f>'REG y VAL POE - AESR - ESR'!N2609</f>
        <v>0</v>
      </c>
      <c r="IA33" s="29">
        <f>'REG y VAL POE - AESR - ESR'!O2609</f>
        <v>0</v>
      </c>
      <c r="IB33" s="28">
        <f>'REG y VAL POE - AESR - ESR'!P2609</f>
        <v>0</v>
      </c>
      <c r="IC33" s="29">
        <f>'REG y VAL POE - AESR - ESR'!Q2609</f>
        <v>0</v>
      </c>
      <c r="ID33" s="30">
        <f>'REG y VAL POE - AESR - ESR'!R2609</f>
        <v>0</v>
      </c>
      <c r="IE33" s="28">
        <f>'REG y VAL POE - AESR - ESR'!S2609</f>
        <v>0</v>
      </c>
      <c r="IF33" s="29">
        <f>'REG y VAL POE - AESR - ESR'!T2609</f>
        <v>0</v>
      </c>
      <c r="IG33" s="29">
        <f>'REG y VAL POE - AESR - ESR'!U2609</f>
        <v>0</v>
      </c>
      <c r="IH33" s="29">
        <f>'REG y VAL POE - AESR - ESR'!V2609</f>
        <v>0</v>
      </c>
      <c r="II33" s="28">
        <f>'REG y VAL POE - AESR - ESR'!W2609</f>
        <v>0</v>
      </c>
      <c r="IJ33" s="29">
        <f>'REG y VAL POE - AESR - ESR'!X2609</f>
        <v>0</v>
      </c>
      <c r="IK33" s="29">
        <f>'REG y VAL POE - AESR - ESR'!Y2609</f>
        <v>0</v>
      </c>
      <c r="IL33" s="28">
        <f>'REG y VAL POE - AESR - ESR'!Z2609</f>
        <v>0</v>
      </c>
      <c r="IM33" s="29">
        <f>'REG y VAL POE - AESR - ESR'!AA2609</f>
        <v>0</v>
      </c>
      <c r="IN33" s="30">
        <f>'REG y VAL POE - AESR - ESR'!AB2609</f>
        <v>0</v>
      </c>
      <c r="IO33" s="28">
        <f>'REG y VAL POE - AESR - ESR'!AC2609</f>
        <v>0</v>
      </c>
      <c r="IP33" s="29">
        <f>'REG y VAL POE - AESR - ESR'!AD2609</f>
        <v>0</v>
      </c>
      <c r="IQ33" s="29">
        <f>'REG y VAL POE - AESR - ESR'!AE2609</f>
        <v>0</v>
      </c>
      <c r="IR33" s="29">
        <f>'REG y VAL POE - AESR - ESR'!AF2609</f>
        <v>0</v>
      </c>
      <c r="IS33" s="28">
        <f>'REG y VAL POE - AESR - ESR'!AG2609</f>
        <v>0</v>
      </c>
      <c r="IT33" s="29">
        <f>'REG y VAL POE - AESR - ESR'!AH2609</f>
        <v>0</v>
      </c>
      <c r="IU33" s="29">
        <f>'REG y VAL POE - AESR - ESR'!AI2609</f>
        <v>0</v>
      </c>
      <c r="IV33" s="28">
        <f>'REG y VAL POE - AESR - ESR'!AJ2609</f>
        <v>0</v>
      </c>
      <c r="IW33" s="29">
        <f>'REG y VAL POE - AESR - ESR'!AK2609</f>
        <v>0</v>
      </c>
      <c r="IX33" s="30">
        <f>'REG y VAL POE - AESR - ESR'!AL2609</f>
        <v>0</v>
      </c>
      <c r="IY33" s="28">
        <f>'REG y VAL POE - AESR - ESR'!AM2609</f>
        <v>0</v>
      </c>
      <c r="IZ33" s="29">
        <f>'REG y VAL POE - AESR - ESR'!AN2609</f>
        <v>0</v>
      </c>
      <c r="JA33" s="29">
        <f>'REG y VAL POE - AESR - ESR'!AO2609</f>
        <v>0</v>
      </c>
      <c r="JB33" s="29">
        <f>'REG y VAL POE - AESR - ESR'!AP2609</f>
        <v>0</v>
      </c>
      <c r="JC33" s="28">
        <f>'REG y VAL POE - AESR - ESR'!AQ2609</f>
        <v>0</v>
      </c>
      <c r="JD33" s="29">
        <f>'REG y VAL POE - AESR - ESR'!AR2609</f>
        <v>0</v>
      </c>
      <c r="JE33" s="29">
        <f>'REG y VAL POE - AESR - ESR'!AS2609</f>
        <v>0</v>
      </c>
      <c r="JF33" s="28" t="str">
        <f>'REG y VAL POE - AESR - ESR'!B2610</f>
        <v xml:space="preserve">Tellez Jacobo Jose Alberto </v>
      </c>
      <c r="JG33" s="29" t="str">
        <f>'REG y VAL POE - AESR - ESR'!C2610</f>
        <v>Sin Registro</v>
      </c>
      <c r="JH33" s="30">
        <f>'REG y VAL POE - AESR - ESR'!D2610</f>
        <v>22180758</v>
      </c>
      <c r="JI33" s="28">
        <f>'REG y VAL POE - AESR - ESR'!E2610</f>
        <v>0</v>
      </c>
      <c r="JJ33" s="29">
        <f>'REG y VAL POE - AESR - ESR'!F2610</f>
        <v>0</v>
      </c>
      <c r="JK33" s="29">
        <f>'REG y VAL POE - AESR - ESR'!G2610</f>
        <v>0</v>
      </c>
      <c r="JL33" s="29">
        <f>'REG y VAL POE - AESR - ESR'!H2610</f>
        <v>0</v>
      </c>
      <c r="JM33" s="28">
        <f>'REG y VAL POE - AESR - ESR'!I2610</f>
        <v>0</v>
      </c>
      <c r="JN33" s="29">
        <f>'REG y VAL POE - AESR - ESR'!J2610</f>
        <v>0</v>
      </c>
      <c r="JO33" s="29">
        <f>'REG y VAL POE - AESR - ESR'!K2610</f>
        <v>0</v>
      </c>
      <c r="JP33" s="28">
        <f>'REG y VAL POE - AESR - ESR'!L2610</f>
        <v>0</v>
      </c>
      <c r="JQ33" s="29">
        <f>'REG y VAL POE - AESR - ESR'!M2610</f>
        <v>0</v>
      </c>
      <c r="JR33" s="30">
        <f>'REG y VAL POE - AESR - ESR'!N2610</f>
        <v>0</v>
      </c>
      <c r="JS33" s="28">
        <f>'REG y VAL POE - AESR - ESR'!O2610</f>
        <v>0</v>
      </c>
      <c r="JT33" s="29">
        <f>'REG y VAL POE - AESR - ESR'!P2610</f>
        <v>0</v>
      </c>
      <c r="JU33" s="29">
        <f>'REG y VAL POE - AESR - ESR'!Q2610</f>
        <v>0</v>
      </c>
      <c r="JV33" s="29">
        <f>'REG y VAL POE - AESR - ESR'!R2610</f>
        <v>0</v>
      </c>
      <c r="JW33" s="28">
        <f>'REG y VAL POE - AESR - ESR'!S2610</f>
        <v>0</v>
      </c>
      <c r="JX33" s="29">
        <f>'REG y VAL POE - AESR - ESR'!T2610</f>
        <v>0</v>
      </c>
      <c r="JY33" s="29">
        <f>'REG y VAL POE - AESR - ESR'!U2610</f>
        <v>0</v>
      </c>
      <c r="JZ33" s="28">
        <f>'REG y VAL POE - AESR - ESR'!V2610</f>
        <v>0</v>
      </c>
      <c r="KA33" s="29">
        <f>'REG y VAL POE - AESR - ESR'!W2610</f>
        <v>0</v>
      </c>
      <c r="KB33" s="30">
        <f>'REG y VAL POE - AESR - ESR'!X2610</f>
        <v>0</v>
      </c>
      <c r="KC33" s="28">
        <f>'REG y VAL POE - AESR - ESR'!Y2610</f>
        <v>0</v>
      </c>
      <c r="KD33" s="29">
        <f>'REG y VAL POE - AESR - ESR'!Z2610</f>
        <v>0</v>
      </c>
      <c r="KE33" s="29">
        <f>'REG y VAL POE - AESR - ESR'!AA2610</f>
        <v>0</v>
      </c>
      <c r="KF33" s="29">
        <f>'REG y VAL POE - AESR - ESR'!AB2610</f>
        <v>0</v>
      </c>
      <c r="KG33" s="28">
        <f>'REG y VAL POE - AESR - ESR'!AC2610</f>
        <v>0</v>
      </c>
      <c r="KH33" s="29">
        <f>'REG y VAL POE - AESR - ESR'!AD2610</f>
        <v>0</v>
      </c>
      <c r="KI33" s="29">
        <f>'REG y VAL POE - AESR - ESR'!AE2610</f>
        <v>0</v>
      </c>
      <c r="KJ33" s="28">
        <f>'REG y VAL POE - AESR - ESR'!AF2610</f>
        <v>0</v>
      </c>
      <c r="KK33" s="29">
        <f>'REG y VAL POE - AESR - ESR'!AG2610</f>
        <v>0</v>
      </c>
      <c r="KL33" s="30">
        <f>'REG y VAL POE - AESR - ESR'!AH2610</f>
        <v>0</v>
      </c>
      <c r="KM33" s="28">
        <f>'REG y VAL POE - AESR - ESR'!AI2610</f>
        <v>0</v>
      </c>
      <c r="KN33" s="29">
        <f>'REG y VAL POE - AESR - ESR'!AJ2610</f>
        <v>0</v>
      </c>
      <c r="KO33" s="29">
        <f>'REG y VAL POE - AESR - ESR'!AK2610</f>
        <v>0</v>
      </c>
      <c r="KP33" s="29">
        <f>'REG y VAL POE - AESR - ESR'!AL2610</f>
        <v>0</v>
      </c>
      <c r="KQ33" s="28">
        <f>'REG y VAL POE - AESR - ESR'!AM2610</f>
        <v>0</v>
      </c>
      <c r="KR33" s="29">
        <f>'REG y VAL POE - AESR - ESR'!AN2610</f>
        <v>0</v>
      </c>
      <c r="KS33" s="29">
        <f>'REG y VAL POE - AESR - ESR'!AO2610</f>
        <v>0</v>
      </c>
      <c r="KT33" s="28">
        <f>'REG y VAL POE - AESR - ESR'!AP2610</f>
        <v>0</v>
      </c>
      <c r="KU33" s="29">
        <f>'REG y VAL POE - AESR - ESR'!AQ2610</f>
        <v>0</v>
      </c>
      <c r="KV33" s="30">
        <f>'REG y VAL POE - AESR - ESR'!AR2610</f>
        <v>0</v>
      </c>
      <c r="KW33" s="28">
        <f>'REG y VAL POE - AESR - ESR'!AS2610</f>
        <v>0</v>
      </c>
      <c r="KX33" s="29">
        <f>'REG y VAL POE - AESR - ESR'!B2611</f>
        <v>0</v>
      </c>
      <c r="KY33" s="29">
        <f>'REG y VAL POE - AESR - ESR'!C2611</f>
        <v>0</v>
      </c>
      <c r="KZ33" s="29">
        <f>'REG y VAL POE - AESR - ESR'!D2611</f>
        <v>0</v>
      </c>
      <c r="LA33" s="28">
        <f>'REG y VAL POE - AESR - ESR'!E2611</f>
        <v>0</v>
      </c>
      <c r="LB33" s="29">
        <f>'REG y VAL POE - AESR - ESR'!F2611</f>
        <v>0</v>
      </c>
      <c r="LC33" s="29">
        <f>'REG y VAL POE - AESR - ESR'!G2611</f>
        <v>0</v>
      </c>
      <c r="LD33" s="28">
        <f>'REG y VAL POE - AESR - ESR'!H2611</f>
        <v>0</v>
      </c>
      <c r="LE33" s="29">
        <f>'REG y VAL POE - AESR - ESR'!I2611</f>
        <v>0</v>
      </c>
      <c r="LF33" s="30">
        <f>'REG y VAL POE - AESR - ESR'!J2611</f>
        <v>0</v>
      </c>
      <c r="LG33" s="28">
        <f>'REG y VAL POE - AESR - ESR'!K2611</f>
        <v>0</v>
      </c>
      <c r="LH33" s="29">
        <f>'REG y VAL POE - AESR - ESR'!L2611</f>
        <v>0</v>
      </c>
      <c r="LI33" s="29">
        <f>'REG y VAL POE - AESR - ESR'!M2611</f>
        <v>0</v>
      </c>
      <c r="LJ33" s="29">
        <f>'REG y VAL POE - AESR - ESR'!N2611</f>
        <v>0</v>
      </c>
      <c r="LK33" s="28">
        <f>'REG y VAL POE - AESR - ESR'!O2611</f>
        <v>0</v>
      </c>
      <c r="LL33" s="29">
        <f>'REG y VAL POE - AESR - ESR'!P2611</f>
        <v>0</v>
      </c>
      <c r="LM33" s="29">
        <f>'REG y VAL POE - AESR - ESR'!Q2611</f>
        <v>0</v>
      </c>
      <c r="LN33" s="28">
        <f>'REG y VAL POE - AESR - ESR'!R2611</f>
        <v>0</v>
      </c>
      <c r="LO33" s="29">
        <f>'REG y VAL POE - AESR - ESR'!S2611</f>
        <v>0</v>
      </c>
      <c r="LP33" s="30">
        <f>'REG y VAL POE - AESR - ESR'!T2611</f>
        <v>0</v>
      </c>
      <c r="LQ33" s="28">
        <f>'REG y VAL POE - AESR - ESR'!U2611</f>
        <v>0</v>
      </c>
      <c r="LR33" s="29">
        <f>'REG y VAL POE - AESR - ESR'!V2611</f>
        <v>0</v>
      </c>
      <c r="LS33" s="29">
        <f>'REG y VAL POE - AESR - ESR'!W2611</f>
        <v>0</v>
      </c>
      <c r="LT33" s="29">
        <f>'REG y VAL POE - AESR - ESR'!X2611</f>
        <v>0</v>
      </c>
      <c r="LU33" s="28">
        <f>'REG y VAL POE - AESR - ESR'!Y2611</f>
        <v>0</v>
      </c>
      <c r="LV33" s="29">
        <f>'REG y VAL POE - AESR - ESR'!Z2611</f>
        <v>0</v>
      </c>
      <c r="LW33" s="29">
        <f>'REG y VAL POE - AESR - ESR'!AA2611</f>
        <v>0</v>
      </c>
      <c r="LX33" s="28">
        <f>'REG y VAL POE - AESR - ESR'!AB2611</f>
        <v>0</v>
      </c>
      <c r="LY33" s="29">
        <f>'REG y VAL POE - AESR - ESR'!AC2611</f>
        <v>0</v>
      </c>
      <c r="LZ33" s="30">
        <f>'REG y VAL POE - AESR - ESR'!AD2611</f>
        <v>0</v>
      </c>
      <c r="MA33" s="28">
        <f>'REG y VAL POE - AESR - ESR'!AE2611</f>
        <v>0</v>
      </c>
      <c r="MB33" s="29">
        <f>'REG y VAL POE - AESR - ESR'!AF2611</f>
        <v>0</v>
      </c>
      <c r="MC33" s="29">
        <f>'REG y VAL POE - AESR - ESR'!AG2611</f>
        <v>0</v>
      </c>
      <c r="MD33" s="29">
        <f>'REG y VAL POE - AESR - ESR'!AH2611</f>
        <v>0</v>
      </c>
      <c r="ME33" s="28">
        <f>'REG y VAL POE - AESR - ESR'!AI2611</f>
        <v>0</v>
      </c>
      <c r="MF33" s="29">
        <f>'REG y VAL POE - AESR - ESR'!AJ2611</f>
        <v>0</v>
      </c>
      <c r="MG33" s="29">
        <f>'REG y VAL POE - AESR - ESR'!AK2611</f>
        <v>0</v>
      </c>
      <c r="MH33" s="28">
        <f>'REG y VAL POE - AESR - ESR'!AL2611</f>
        <v>0</v>
      </c>
      <c r="MI33" s="29">
        <f>'REG y VAL POE - AESR - ESR'!AM2611</f>
        <v>0</v>
      </c>
      <c r="MJ33" s="30">
        <f>'REG y VAL POE - AESR - ESR'!AN2611</f>
        <v>0</v>
      </c>
      <c r="MK33" s="28">
        <f>'REG y VAL POE - AESR - ESR'!AO2611</f>
        <v>0</v>
      </c>
      <c r="ML33" s="29">
        <f>'REG y VAL POE - AESR - ESR'!AP2611</f>
        <v>0</v>
      </c>
      <c r="MM33" s="29">
        <f>'REG y VAL POE - AESR - ESR'!AQ2611</f>
        <v>0</v>
      </c>
      <c r="MN33" s="29">
        <f>'REG y VAL POE - AESR - ESR'!AR2611</f>
        <v>0</v>
      </c>
      <c r="MO33" s="28">
        <f>'REG y VAL POE - AESR - ESR'!AS2611</f>
        <v>0</v>
      </c>
      <c r="MP33" s="29">
        <f>'REG y VAL POE - AESR - ESR'!B2612</f>
        <v>0</v>
      </c>
      <c r="MQ33" s="29">
        <f>'REG y VAL POE - AESR - ESR'!C2612</f>
        <v>0</v>
      </c>
      <c r="MR33" s="28">
        <f>'REG y VAL POE - AESR - ESR'!D2612</f>
        <v>0</v>
      </c>
      <c r="MS33" s="29">
        <f>'REG y VAL POE - AESR - ESR'!E2612</f>
        <v>0</v>
      </c>
      <c r="MT33" s="30">
        <f>'REG y VAL POE - AESR - ESR'!F2612</f>
        <v>0</v>
      </c>
      <c r="MU33" s="28">
        <f>'REG y VAL POE - AESR - ESR'!G2612</f>
        <v>0</v>
      </c>
      <c r="MV33" s="29">
        <f>'REG y VAL POE - AESR - ESR'!H2612</f>
        <v>0</v>
      </c>
      <c r="MW33" s="29">
        <f>'REG y VAL POE - AESR - ESR'!I2612</f>
        <v>0</v>
      </c>
      <c r="MX33" s="29">
        <f>'REG y VAL POE - AESR - ESR'!J2612</f>
        <v>0</v>
      </c>
      <c r="MY33" s="28">
        <f>'REG y VAL POE - AESR - ESR'!K2612</f>
        <v>0</v>
      </c>
      <c r="MZ33" s="29">
        <f>'REG y VAL POE - AESR - ESR'!L2612</f>
        <v>0</v>
      </c>
      <c r="NA33" s="29">
        <f>'REG y VAL POE - AESR - ESR'!M2612</f>
        <v>0</v>
      </c>
      <c r="NB33" s="28">
        <f>'REG y VAL POE - AESR - ESR'!N2612</f>
        <v>0</v>
      </c>
      <c r="NC33" s="29">
        <f>'REG y VAL POE - AESR - ESR'!O2612</f>
        <v>0</v>
      </c>
      <c r="ND33" s="30">
        <f>'REG y VAL POE - AESR - ESR'!P2612</f>
        <v>0</v>
      </c>
      <c r="NE33" s="28">
        <f>'REG y VAL POE - AESR - ESR'!Q2612</f>
        <v>0</v>
      </c>
      <c r="NF33" s="29">
        <f>'REG y VAL POE - AESR - ESR'!R2612</f>
        <v>0</v>
      </c>
      <c r="NG33" s="29">
        <f>'REG y VAL POE - AESR - ESR'!S2612</f>
        <v>0</v>
      </c>
      <c r="NH33" s="29">
        <f>'REG y VAL POE - AESR - ESR'!T2612</f>
        <v>0</v>
      </c>
      <c r="NI33" s="28">
        <f>'REG y VAL POE - AESR - ESR'!U2612</f>
        <v>0</v>
      </c>
      <c r="NJ33" s="29">
        <f>'REG y VAL POE - AESR - ESR'!V2612</f>
        <v>0</v>
      </c>
      <c r="NK33" s="29">
        <f>'REG y VAL POE - AESR - ESR'!W2612</f>
        <v>0</v>
      </c>
      <c r="NL33" s="28">
        <f>'REG y VAL POE - AESR - ESR'!X2612</f>
        <v>0</v>
      </c>
      <c r="NM33" s="29">
        <f>'REG y VAL POE - AESR - ESR'!Y2612</f>
        <v>0</v>
      </c>
      <c r="NN33" s="30">
        <f>'REG y VAL POE - AESR - ESR'!Z2612</f>
        <v>0</v>
      </c>
      <c r="NO33" s="28">
        <f>'REG y VAL POE - AESR - ESR'!AA2612</f>
        <v>0</v>
      </c>
      <c r="NP33" s="29">
        <f>'REG y VAL POE - AESR - ESR'!AB2612</f>
        <v>0</v>
      </c>
      <c r="NQ33" s="29">
        <f>'REG y VAL POE - AESR - ESR'!AC2612</f>
        <v>0</v>
      </c>
      <c r="NR33" s="29">
        <f>'REG y VAL POE - AESR - ESR'!AD2612</f>
        <v>0</v>
      </c>
      <c r="NS33" s="28">
        <f>'REG y VAL POE - AESR - ESR'!AE2612</f>
        <v>0</v>
      </c>
      <c r="NT33" s="29">
        <f>'REG y VAL POE - AESR - ESR'!AF2612</f>
        <v>0</v>
      </c>
      <c r="NU33" s="29">
        <f>'REG y VAL POE - AESR - ESR'!AG2612</f>
        <v>0</v>
      </c>
      <c r="NV33" s="28">
        <f>'REG y VAL POE - AESR - ESR'!AH2612</f>
        <v>0</v>
      </c>
      <c r="NW33" s="29">
        <f>'REG y VAL POE - AESR - ESR'!AI2612</f>
        <v>0</v>
      </c>
      <c r="NX33" s="30">
        <f>'REG y VAL POE - AESR - ESR'!AJ2612</f>
        <v>0</v>
      </c>
      <c r="NY33" s="28">
        <f>'REG y VAL POE - AESR - ESR'!AK2612</f>
        <v>0</v>
      </c>
      <c r="NZ33" s="29">
        <f>'REG y VAL POE - AESR - ESR'!AL2612</f>
        <v>0</v>
      </c>
      <c r="OA33" s="29">
        <f>'REG y VAL POE - AESR - ESR'!AM2612</f>
        <v>0</v>
      </c>
      <c r="OB33" s="29">
        <f>'REG y VAL POE - AESR - ESR'!AN2612</f>
        <v>0</v>
      </c>
      <c r="OC33" s="28">
        <f>'REG y VAL POE - AESR - ESR'!AO2612</f>
        <v>0</v>
      </c>
      <c r="OD33" s="29">
        <f>'REG y VAL POE - AESR - ESR'!AP2612</f>
        <v>0</v>
      </c>
      <c r="OE33" s="29">
        <f>'REG y VAL POE - AESR - ESR'!AQ2612</f>
        <v>0</v>
      </c>
      <c r="OF33" s="30">
        <f>'REG y VAL POE - AESR - ESR'!AR2612</f>
        <v>0</v>
      </c>
      <c r="OG33" s="30">
        <f>'REG y VAL POE - AESR - ESR'!AS2612</f>
        <v>0</v>
      </c>
      <c r="OH33" s="30">
        <f>'REG y VAL POE - AESR - ESR'!B2613</f>
        <v>0</v>
      </c>
      <c r="OI33" s="28">
        <f>'REG y VAL POE - AESR - ESR'!C2613</f>
        <v>0</v>
      </c>
      <c r="OJ33" s="30">
        <f>'REG y VAL POE - AESR - ESR'!D2613</f>
        <v>0</v>
      </c>
      <c r="OK33" s="30">
        <f>'REG y VAL POE - AESR - ESR'!E2613</f>
        <v>0</v>
      </c>
      <c r="OL33" s="30">
        <f>'REG y VAL POE - AESR - ESR'!F2613</f>
        <v>0</v>
      </c>
      <c r="OM33" s="30">
        <f>'REG y VAL POE - AESR - ESR'!G2613</f>
        <v>0</v>
      </c>
      <c r="ON33" s="30">
        <f>'REG y VAL POE - AESR - ESR'!H2613</f>
        <v>0</v>
      </c>
      <c r="OO33" s="30">
        <f>'REG y VAL POE - AESR - ESR'!I2613</f>
        <v>0</v>
      </c>
      <c r="OP33" s="28">
        <f>'REG y VAL POE - AESR - ESR'!J2613</f>
        <v>0</v>
      </c>
      <c r="OQ33" s="29">
        <f>'REG y VAL POE - AESR - ESR'!K2613</f>
        <v>0</v>
      </c>
      <c r="OR33" s="30">
        <f>'REG y VAL POE - AESR - ESR'!L2613</f>
        <v>0</v>
      </c>
      <c r="OS33" s="28">
        <f>'REG y VAL POE - AESR - ESR'!M2613</f>
        <v>0</v>
      </c>
      <c r="OT33" s="29">
        <f>'REG y VAL POE - AESR - ESR'!N2613</f>
        <v>0</v>
      </c>
      <c r="OU33" s="29">
        <f>'REG y VAL POE - AESR - ESR'!O2613</f>
        <v>0</v>
      </c>
      <c r="OV33" s="29">
        <f>'REG y VAL POE - AESR - ESR'!P2613</f>
        <v>0</v>
      </c>
      <c r="OW33" s="28">
        <f>'REG y VAL POE - AESR - ESR'!Q2613</f>
        <v>0</v>
      </c>
      <c r="OX33" s="29">
        <f>'REG y VAL POE - AESR - ESR'!R2613</f>
        <v>0</v>
      </c>
      <c r="OY33" s="29">
        <f>'REG y VAL POE - AESR - ESR'!S2613</f>
        <v>0</v>
      </c>
      <c r="OZ33" s="28">
        <f>'REG y VAL POE - AESR - ESR'!T2613</f>
        <v>0</v>
      </c>
      <c r="PA33" s="29">
        <f>'REG y VAL POE - AESR - ESR'!U2613</f>
        <v>0</v>
      </c>
      <c r="PB33" s="30">
        <f>'REG y VAL POE - AESR - ESR'!V2613</f>
        <v>0</v>
      </c>
      <c r="PC33" s="28">
        <f>'REG y VAL POE - AESR - ESR'!W2613</f>
        <v>0</v>
      </c>
      <c r="PD33" s="29">
        <f>'REG y VAL POE - AESR - ESR'!X2613</f>
        <v>0</v>
      </c>
      <c r="PE33" s="29">
        <f>'REG y VAL POE - AESR - ESR'!Y2613</f>
        <v>0</v>
      </c>
      <c r="PF33" s="29">
        <f>'REG y VAL POE - AESR - ESR'!Z2613</f>
        <v>0</v>
      </c>
      <c r="PG33" s="28">
        <f>'REG y VAL POE - AESR - ESR'!AA2613</f>
        <v>0</v>
      </c>
      <c r="PH33" s="29">
        <f>'REG y VAL POE - AESR - ESR'!AB2613</f>
        <v>0</v>
      </c>
      <c r="PI33" s="29">
        <f>'REG y VAL POE - AESR - ESR'!AC2613</f>
        <v>0</v>
      </c>
      <c r="PJ33" s="28">
        <f>'REG y VAL POE - AESR - ESR'!AD2613</f>
        <v>0</v>
      </c>
      <c r="PK33" s="29">
        <f>'REG y VAL POE - AESR - ESR'!AE2613</f>
        <v>0</v>
      </c>
      <c r="PL33" s="30">
        <f>'REG y VAL POE - AESR - ESR'!AF2613</f>
        <v>0</v>
      </c>
      <c r="PM33" s="28">
        <f>'REG y VAL POE - AESR - ESR'!AG2613</f>
        <v>0</v>
      </c>
      <c r="PN33" s="29">
        <f>'REG y VAL POE - AESR - ESR'!AH2613</f>
        <v>0</v>
      </c>
      <c r="PO33" s="29">
        <f>'REG y VAL POE - AESR - ESR'!AI2613</f>
        <v>0</v>
      </c>
      <c r="PP33" s="29">
        <f>'REG y VAL POE - AESR - ESR'!AJ2613</f>
        <v>0</v>
      </c>
      <c r="PQ33" s="28">
        <f>'REG y VAL POE - AESR - ESR'!AK2613</f>
        <v>0</v>
      </c>
      <c r="PR33" s="29">
        <f>'REG y VAL POE - AESR - ESR'!AL2613</f>
        <v>0</v>
      </c>
      <c r="PS33" s="29">
        <f>'REG y VAL POE - AESR - ESR'!AM2613</f>
        <v>0</v>
      </c>
      <c r="PT33" s="28">
        <f>'REG y VAL POE - AESR - ESR'!AN2613</f>
        <v>0</v>
      </c>
      <c r="PU33" s="29">
        <f>'REG y VAL POE - AESR - ESR'!AO2613</f>
        <v>0</v>
      </c>
      <c r="PV33" s="30">
        <f>'REG y VAL POE - AESR - ESR'!AP2613</f>
        <v>0</v>
      </c>
      <c r="PW33" s="28">
        <f>'REG y VAL POE - AESR - ESR'!AQ2613</f>
        <v>0</v>
      </c>
      <c r="PX33" s="29">
        <f>'REG y VAL POE - AESR - ESR'!AR2613</f>
        <v>0</v>
      </c>
      <c r="PY33" s="29">
        <f>'REG y VAL POE - AESR - ESR'!AS2613</f>
        <v>0</v>
      </c>
      <c r="PZ33" s="29">
        <f>'REG y VAL POE - AESR - ESR'!B2614</f>
        <v>0</v>
      </c>
      <c r="QA33" s="28">
        <f>'REG y VAL POE - AESR - ESR'!C2614</f>
        <v>0</v>
      </c>
      <c r="QB33" s="29">
        <f>'REG y VAL POE - AESR - ESR'!D2614</f>
        <v>0</v>
      </c>
      <c r="QC33" s="29">
        <f>'REG y VAL POE - AESR - ESR'!E2614</f>
        <v>0</v>
      </c>
      <c r="QD33" s="28">
        <f>'REG y VAL POE - AESR - ESR'!F2614</f>
        <v>0</v>
      </c>
      <c r="QE33" s="29">
        <f>'REG y VAL POE - AESR - ESR'!G2614</f>
        <v>0</v>
      </c>
      <c r="QF33" s="30">
        <f>'REG y VAL POE - AESR - ESR'!H2614</f>
        <v>0</v>
      </c>
      <c r="QG33" s="28">
        <f>'REG y VAL POE - AESR - ESR'!I2614</f>
        <v>0</v>
      </c>
      <c r="QH33" s="29">
        <f>'REG y VAL POE - AESR - ESR'!J2614</f>
        <v>0</v>
      </c>
      <c r="QI33" s="29">
        <f>'REG y VAL POE - AESR - ESR'!K2614</f>
        <v>0</v>
      </c>
      <c r="QJ33" s="29">
        <f>'REG y VAL POE - AESR - ESR'!L2614</f>
        <v>0</v>
      </c>
      <c r="QK33" s="28">
        <f>'REG y VAL POE - AESR - ESR'!M2614</f>
        <v>0</v>
      </c>
      <c r="QL33" s="29">
        <f>'REG y VAL POE - AESR - ESR'!N2614</f>
        <v>0</v>
      </c>
      <c r="QM33" s="29">
        <f>'REG y VAL POE - AESR - ESR'!O2614</f>
        <v>0</v>
      </c>
      <c r="QN33" s="28">
        <f>'REG y VAL POE - AESR - ESR'!P2614</f>
        <v>0</v>
      </c>
      <c r="QO33" s="29">
        <f>'REG y VAL POE - AESR - ESR'!Q2614</f>
        <v>0</v>
      </c>
      <c r="QP33" s="30">
        <f>'REG y VAL POE - AESR - ESR'!R2614</f>
        <v>0</v>
      </c>
      <c r="QQ33" s="28">
        <f>'REG y VAL POE - AESR - ESR'!S2614</f>
        <v>0</v>
      </c>
      <c r="QR33" s="29">
        <f>'REG y VAL POE - AESR - ESR'!T2614</f>
        <v>0</v>
      </c>
      <c r="QS33" s="29">
        <f>'REG y VAL POE - AESR - ESR'!U2614</f>
        <v>0</v>
      </c>
      <c r="QT33" s="29">
        <f>'REG y VAL POE - AESR - ESR'!V2614</f>
        <v>0</v>
      </c>
      <c r="QU33" s="28">
        <f>'REG y VAL POE - AESR - ESR'!W2614</f>
        <v>0</v>
      </c>
      <c r="QV33" s="29">
        <f>'REG y VAL POE - AESR - ESR'!X2614</f>
        <v>0</v>
      </c>
      <c r="QW33" s="29">
        <f>'REG y VAL POE - AESR - ESR'!Y2614</f>
        <v>0</v>
      </c>
      <c r="QX33" s="28">
        <f>'REG y VAL POE - AESR - ESR'!Z2614</f>
        <v>0</v>
      </c>
      <c r="QY33" s="29">
        <f>'REG y VAL POE - AESR - ESR'!AA2614</f>
        <v>0</v>
      </c>
      <c r="QZ33" s="30">
        <f>'REG y VAL POE - AESR - ESR'!AB2614</f>
        <v>0</v>
      </c>
      <c r="RA33" s="28">
        <f>'REG y VAL POE - AESR - ESR'!AC2614</f>
        <v>0</v>
      </c>
      <c r="RB33" s="29">
        <f>'REG y VAL POE - AESR - ESR'!AD2614</f>
        <v>0</v>
      </c>
      <c r="RC33" s="29">
        <f>'REG y VAL POE - AESR - ESR'!AE2614</f>
        <v>0</v>
      </c>
      <c r="RD33" s="29">
        <f>'REG y VAL POE - AESR - ESR'!AF2614</f>
        <v>0</v>
      </c>
      <c r="RE33" s="28">
        <f>'REG y VAL POE - AESR - ESR'!AG2614</f>
        <v>0</v>
      </c>
      <c r="RF33" s="29">
        <f>'REG y VAL POE - AESR - ESR'!AH2614</f>
        <v>0</v>
      </c>
      <c r="RG33" s="29">
        <f>'REG y VAL POE - AESR - ESR'!AI2614</f>
        <v>0</v>
      </c>
      <c r="RH33" s="28">
        <f>'REG y VAL POE - AESR - ESR'!AJ2614</f>
        <v>0</v>
      </c>
      <c r="RI33" s="29">
        <f>'REG y VAL POE - AESR - ESR'!AK2614</f>
        <v>0</v>
      </c>
      <c r="RJ33" s="30">
        <f>'REG y VAL POE - AESR - ESR'!AL2614</f>
        <v>0</v>
      </c>
      <c r="RK33" s="28">
        <f>'REG y VAL POE - AESR - ESR'!AM2614</f>
        <v>0</v>
      </c>
      <c r="RL33" s="29">
        <f>'REG y VAL POE - AESR - ESR'!AN2614</f>
        <v>0</v>
      </c>
      <c r="RM33" s="29">
        <f>'REG y VAL POE - AESR - ESR'!AO2614</f>
        <v>0</v>
      </c>
      <c r="RN33" s="29">
        <f>'REG y VAL POE - AESR - ESR'!AP2614</f>
        <v>0</v>
      </c>
      <c r="RO33" s="28">
        <f>'REG y VAL POE - AESR - ESR'!AQ2614</f>
        <v>0</v>
      </c>
      <c r="RP33" s="29">
        <f>'REG y VAL POE - AESR - ESR'!AR2614</f>
        <v>0</v>
      </c>
      <c r="RQ33" s="29">
        <f>'REG y VAL POE - AESR - ESR'!AS2614</f>
        <v>0</v>
      </c>
      <c r="RR33" s="28">
        <f>'REG y VAL POE - AESR - ESR'!B2615</f>
        <v>0</v>
      </c>
      <c r="RS33" s="29">
        <f>'REG y VAL POE - AESR - ESR'!C2615</f>
        <v>0</v>
      </c>
      <c r="RT33" s="30">
        <f>'REG y VAL POE - AESR - ESR'!D2615</f>
        <v>0</v>
      </c>
      <c r="RU33" s="28">
        <f>'REG y VAL POE - AESR - ESR'!E2615</f>
        <v>0</v>
      </c>
      <c r="RV33" s="29">
        <f>'REG y VAL POE - AESR - ESR'!F2615</f>
        <v>0</v>
      </c>
      <c r="RW33" s="29">
        <f>'REG y VAL POE - AESR - ESR'!G2615</f>
        <v>0</v>
      </c>
      <c r="RX33" s="29">
        <f>'REG y VAL POE - AESR - ESR'!H2615</f>
        <v>0</v>
      </c>
      <c r="RY33" s="28">
        <f>'REG y VAL POE - AESR - ESR'!I2615</f>
        <v>0</v>
      </c>
      <c r="RZ33" s="29">
        <f>'REG y VAL POE - AESR - ESR'!J2615</f>
        <v>0</v>
      </c>
      <c r="SA33" s="29">
        <f>'REG y VAL POE - AESR - ESR'!K2615</f>
        <v>0</v>
      </c>
      <c r="SB33" s="28">
        <f>'REG y VAL POE - AESR - ESR'!L2615</f>
        <v>0</v>
      </c>
      <c r="SC33" s="29">
        <f>'REG y VAL POE - AESR - ESR'!M2615</f>
        <v>0</v>
      </c>
      <c r="SD33" s="30">
        <f>'REG y VAL POE - AESR - ESR'!N2615</f>
        <v>0</v>
      </c>
      <c r="SE33" s="28">
        <f>'REG y VAL POE - AESR - ESR'!O2615</f>
        <v>0</v>
      </c>
      <c r="SF33" s="29">
        <f>'REG y VAL POE - AESR - ESR'!P2615</f>
        <v>0</v>
      </c>
      <c r="SG33" s="29">
        <f>'REG y VAL POE - AESR - ESR'!Q2615</f>
        <v>0</v>
      </c>
      <c r="SH33" s="29">
        <f>'REG y VAL POE - AESR - ESR'!R2615</f>
        <v>0</v>
      </c>
      <c r="SI33" s="28">
        <f>'REG y VAL POE - AESR - ESR'!S2615</f>
        <v>0</v>
      </c>
      <c r="SJ33" s="29">
        <f>'REG y VAL POE - AESR - ESR'!T2615</f>
        <v>0</v>
      </c>
      <c r="SK33" s="29">
        <f>'REG y VAL POE - AESR - ESR'!U2615</f>
        <v>0</v>
      </c>
      <c r="SL33" s="28">
        <f>'REG y VAL POE - AESR - ESR'!V2615</f>
        <v>0</v>
      </c>
      <c r="SM33" s="29">
        <f>'REG y VAL POE - AESR - ESR'!W2615</f>
        <v>0</v>
      </c>
      <c r="SN33" s="30">
        <f>'REG y VAL POE - AESR - ESR'!X2615</f>
        <v>0</v>
      </c>
      <c r="SO33" s="28">
        <f>'REG y VAL POE - AESR - ESR'!Y2615</f>
        <v>0</v>
      </c>
      <c r="SP33" s="29">
        <f>'REG y VAL POE - AESR - ESR'!Z2615</f>
        <v>0</v>
      </c>
      <c r="SQ33" s="29">
        <f>'REG y VAL POE - AESR - ESR'!AA2615</f>
        <v>0</v>
      </c>
      <c r="SR33" s="29">
        <f>'REG y VAL POE - AESR - ESR'!AB2615</f>
        <v>0</v>
      </c>
      <c r="SS33" s="28">
        <f>'REG y VAL POE - AESR - ESR'!AC2615</f>
        <v>0</v>
      </c>
      <c r="ST33" s="29">
        <f>'REG y VAL POE - AESR - ESR'!AD2615</f>
        <v>0</v>
      </c>
      <c r="SU33" s="29">
        <f>'REG y VAL POE - AESR - ESR'!AE2615</f>
        <v>0</v>
      </c>
      <c r="SV33" s="28">
        <f>'REG y VAL POE - AESR - ESR'!AF2615</f>
        <v>0</v>
      </c>
      <c r="SW33" s="29">
        <f>'REG y VAL POE - AESR - ESR'!AG2615</f>
        <v>0</v>
      </c>
      <c r="SX33" s="30">
        <f>'REG y VAL POE - AESR - ESR'!AH2615</f>
        <v>0</v>
      </c>
      <c r="SY33" s="28">
        <f>'REG y VAL POE - AESR - ESR'!AI2615</f>
        <v>0</v>
      </c>
      <c r="SZ33" s="29">
        <f>'REG y VAL POE - AESR - ESR'!AJ2615</f>
        <v>0</v>
      </c>
      <c r="TA33" s="29">
        <f>'REG y VAL POE - AESR - ESR'!AK2615</f>
        <v>0</v>
      </c>
      <c r="TB33" s="29">
        <f>'REG y VAL POE - AESR - ESR'!AL2615</f>
        <v>0</v>
      </c>
      <c r="TC33" s="28">
        <f>'REG y VAL POE - AESR - ESR'!AM2615</f>
        <v>0</v>
      </c>
      <c r="TD33" s="29">
        <f>'REG y VAL POE - AESR - ESR'!AN2615</f>
        <v>0</v>
      </c>
      <c r="TE33" s="29">
        <f>'REG y VAL POE - AESR - ESR'!AO2615</f>
        <v>0</v>
      </c>
      <c r="TF33" s="28">
        <f>'REG y VAL POE - AESR - ESR'!AP2615</f>
        <v>0</v>
      </c>
      <c r="TG33" s="29">
        <f>'REG y VAL POE - AESR - ESR'!AQ2615</f>
        <v>0</v>
      </c>
      <c r="TH33" s="30">
        <f>'REG y VAL POE - AESR - ESR'!AR2615</f>
        <v>0</v>
      </c>
      <c r="TI33" s="28">
        <f>'REG y VAL POE - AESR - ESR'!AS2615</f>
        <v>0</v>
      </c>
      <c r="TJ33" s="29">
        <f>'REG y VAL POE - AESR - ESR'!B2616</f>
        <v>0</v>
      </c>
      <c r="TK33" s="29">
        <f>'REG y VAL POE - AESR - ESR'!C2616</f>
        <v>0</v>
      </c>
      <c r="TL33" s="29">
        <f>'REG y VAL POE - AESR - ESR'!D2616</f>
        <v>0</v>
      </c>
      <c r="TM33" s="28">
        <f>'REG y VAL POE - AESR - ESR'!E2616</f>
        <v>0</v>
      </c>
      <c r="TN33" s="29">
        <f>'REG y VAL POE - AESR - ESR'!F2616</f>
        <v>0</v>
      </c>
      <c r="TO33" s="29">
        <f>'REG y VAL POE - AESR - ESR'!G2616</f>
        <v>0</v>
      </c>
      <c r="TP33" s="28">
        <f>'REG y VAL POE - AESR - ESR'!H2616</f>
        <v>0</v>
      </c>
      <c r="TQ33" s="29">
        <f>'REG y VAL POE - AESR - ESR'!I2616</f>
        <v>0</v>
      </c>
      <c r="TR33" s="30">
        <f>'REG y VAL POE - AESR - ESR'!J2616</f>
        <v>0</v>
      </c>
      <c r="TS33" s="28">
        <f>'REG y VAL POE - AESR - ESR'!K2616</f>
        <v>0</v>
      </c>
      <c r="TT33" s="29">
        <f>'REG y VAL POE - AESR - ESR'!L2616</f>
        <v>0</v>
      </c>
      <c r="TU33" s="29">
        <f>'REG y VAL POE - AESR - ESR'!M2616</f>
        <v>0</v>
      </c>
      <c r="TV33" s="29">
        <f>'REG y VAL POE - AESR - ESR'!N2616</f>
        <v>0</v>
      </c>
      <c r="TW33" s="28">
        <f>'REG y VAL POE - AESR - ESR'!O2616</f>
        <v>0</v>
      </c>
      <c r="TX33" s="29">
        <f>'REG y VAL POE - AESR - ESR'!P2616</f>
        <v>0</v>
      </c>
      <c r="TY33" s="29">
        <f>'REG y VAL POE - AESR - ESR'!Q2616</f>
        <v>0</v>
      </c>
      <c r="TZ33" s="28">
        <f>'REG y VAL POE - AESR - ESR'!R2616</f>
        <v>0</v>
      </c>
      <c r="UA33" s="29">
        <f>'REG y VAL POE - AESR - ESR'!S2616</f>
        <v>0</v>
      </c>
      <c r="UB33" s="30">
        <f>'REG y VAL POE - AESR - ESR'!T2616</f>
        <v>0</v>
      </c>
      <c r="UC33" s="28">
        <f>'REG y VAL POE - AESR - ESR'!U2616</f>
        <v>0</v>
      </c>
      <c r="UD33" s="29">
        <f>'REG y VAL POE - AESR - ESR'!V2616</f>
        <v>0</v>
      </c>
      <c r="UE33" s="29">
        <f>'REG y VAL POE - AESR - ESR'!W2616</f>
        <v>0</v>
      </c>
      <c r="UF33" s="29">
        <f>'REG y VAL POE - AESR - ESR'!X2616</f>
        <v>0</v>
      </c>
      <c r="UG33" s="28">
        <f>'REG y VAL POE - AESR - ESR'!Y2616</f>
        <v>0</v>
      </c>
      <c r="UH33" s="29">
        <f>'REG y VAL POE - AESR - ESR'!Z2616</f>
        <v>0</v>
      </c>
      <c r="UI33" s="29">
        <f>'REG y VAL POE - AESR - ESR'!AA2616</f>
        <v>0</v>
      </c>
      <c r="UJ33" s="28">
        <f>'REG y VAL POE - AESR - ESR'!AB2616</f>
        <v>0</v>
      </c>
      <c r="UK33" s="29">
        <f>'REG y VAL POE - AESR - ESR'!AC2616</f>
        <v>0</v>
      </c>
      <c r="UL33" s="30">
        <f>'REG y VAL POE - AESR - ESR'!AD2616</f>
        <v>0</v>
      </c>
      <c r="UM33" s="28">
        <f>'REG y VAL POE - AESR - ESR'!AE2616</f>
        <v>0</v>
      </c>
      <c r="UN33" s="29">
        <f>'REG y VAL POE - AESR - ESR'!AF2616</f>
        <v>0</v>
      </c>
      <c r="UO33" s="29">
        <f>'REG y VAL POE - AESR - ESR'!AG2616</f>
        <v>0</v>
      </c>
      <c r="UP33" s="29">
        <f>'REG y VAL POE - AESR - ESR'!AH2616</f>
        <v>0</v>
      </c>
      <c r="UQ33" s="28">
        <f>'REG y VAL POE - AESR - ESR'!AI2616</f>
        <v>0</v>
      </c>
      <c r="UR33" s="29">
        <f>'REG y VAL POE - AESR - ESR'!AJ2616</f>
        <v>0</v>
      </c>
      <c r="US33" s="29">
        <f>'REG y VAL POE - AESR - ESR'!AK2616</f>
        <v>0</v>
      </c>
      <c r="UT33" s="28">
        <f>'REG y VAL POE - AESR - ESR'!AL2616</f>
        <v>0</v>
      </c>
      <c r="UU33" s="29">
        <f>'REG y VAL POE - AESR - ESR'!AM2616</f>
        <v>0</v>
      </c>
      <c r="UV33" s="30">
        <f>'REG y VAL POE - AESR - ESR'!AN2616</f>
        <v>0</v>
      </c>
      <c r="UW33" s="28">
        <f>'REG y VAL POE - AESR - ESR'!AO2616</f>
        <v>0</v>
      </c>
      <c r="UX33" s="29">
        <f>'REG y VAL POE - AESR - ESR'!AP2616</f>
        <v>0</v>
      </c>
      <c r="UY33" s="29">
        <f>'REG y VAL POE - AESR - ESR'!AQ2616</f>
        <v>0</v>
      </c>
      <c r="UZ33" s="29">
        <f>'REG y VAL POE - AESR - ESR'!AR2616</f>
        <v>0</v>
      </c>
      <c r="VA33" s="28">
        <f>'REG y VAL POE - AESR - ESR'!AS2616</f>
        <v>0</v>
      </c>
      <c r="VB33" s="29">
        <f>'REG y VAL POE - AESR - ESR'!B2617</f>
        <v>0</v>
      </c>
      <c r="VC33" s="29">
        <f>'REG y VAL POE - AESR - ESR'!C2617</f>
        <v>0</v>
      </c>
      <c r="VD33" s="28">
        <f>'REG y VAL POE - AESR - ESR'!D2617</f>
        <v>0</v>
      </c>
      <c r="VE33" s="29">
        <f>'REG y VAL POE - AESR - ESR'!E2617</f>
        <v>0</v>
      </c>
      <c r="VF33" s="30">
        <f>'REG y VAL POE - AESR - ESR'!F2617</f>
        <v>0</v>
      </c>
      <c r="VG33" s="28">
        <f>'REG y VAL POE - AESR - ESR'!G2617</f>
        <v>0</v>
      </c>
      <c r="VH33" s="29">
        <f>'REG y VAL POE - AESR - ESR'!H2617</f>
        <v>0</v>
      </c>
      <c r="VI33" s="29">
        <f>'REG y VAL POE - AESR - ESR'!I2617</f>
        <v>0</v>
      </c>
      <c r="VJ33" s="29">
        <f>'REG y VAL POE - AESR - ESR'!J2617</f>
        <v>0</v>
      </c>
      <c r="VK33" s="28">
        <f>'REG y VAL POE - AESR - ESR'!K2617</f>
        <v>0</v>
      </c>
      <c r="VL33" s="29">
        <f>'REG y VAL POE - AESR - ESR'!L2617</f>
        <v>0</v>
      </c>
      <c r="VM33" s="29">
        <f>'REG y VAL POE - AESR - ESR'!M2617</f>
        <v>0</v>
      </c>
      <c r="VN33" s="28">
        <f>'REG y VAL POE - AESR - ESR'!N2617</f>
        <v>0</v>
      </c>
      <c r="VO33" s="29">
        <f>'REG y VAL POE - AESR - ESR'!O2617</f>
        <v>0</v>
      </c>
      <c r="VP33" s="30">
        <f>'REG y VAL POE - AESR - ESR'!P2617</f>
        <v>0</v>
      </c>
      <c r="VQ33" s="28">
        <f>'REG y VAL POE - AESR - ESR'!Q2617</f>
        <v>0</v>
      </c>
      <c r="VR33" s="29">
        <f>'REG y VAL POE - AESR - ESR'!R2617</f>
        <v>0</v>
      </c>
      <c r="VS33" s="29">
        <f>'REG y VAL POE - AESR - ESR'!S2617</f>
        <v>0</v>
      </c>
      <c r="VT33" s="29">
        <f>'REG y VAL POE - AESR - ESR'!T2617</f>
        <v>0</v>
      </c>
      <c r="VU33" s="28">
        <f>'REG y VAL POE - AESR - ESR'!U2617</f>
        <v>0</v>
      </c>
      <c r="VV33" s="29">
        <f>'REG y VAL POE - AESR - ESR'!V2617</f>
        <v>0</v>
      </c>
      <c r="VW33" s="29">
        <f>'REG y VAL POE - AESR - ESR'!W2617</f>
        <v>0</v>
      </c>
      <c r="VX33" s="28">
        <f>'REG y VAL POE - AESR - ESR'!X2617</f>
        <v>0</v>
      </c>
      <c r="VY33" s="29">
        <f>'REG y VAL POE - AESR - ESR'!Y2617</f>
        <v>0</v>
      </c>
      <c r="VZ33" s="30">
        <f>'REG y VAL POE - AESR - ESR'!Z2617</f>
        <v>0</v>
      </c>
      <c r="WA33" s="28">
        <f>'REG y VAL POE - AESR - ESR'!AA2617</f>
        <v>0</v>
      </c>
      <c r="WB33" s="29">
        <f>'REG y VAL POE - AESR - ESR'!AB2617</f>
        <v>0</v>
      </c>
      <c r="WC33" s="29">
        <f>'REG y VAL POE - AESR - ESR'!AC2617</f>
        <v>0</v>
      </c>
      <c r="WD33" s="29">
        <f>'REG y VAL POE - AESR - ESR'!AD2617</f>
        <v>0</v>
      </c>
      <c r="WE33" s="28">
        <f>'REG y VAL POE - AESR - ESR'!AE2617</f>
        <v>0</v>
      </c>
      <c r="WF33" s="29">
        <f>'REG y VAL POE - AESR - ESR'!AF2617</f>
        <v>0</v>
      </c>
      <c r="WG33" s="29">
        <f>'REG y VAL POE - AESR - ESR'!AG2617</f>
        <v>0</v>
      </c>
      <c r="WH33" s="28">
        <f>'REG y VAL POE - AESR - ESR'!AH2617</f>
        <v>0</v>
      </c>
      <c r="WI33" s="29">
        <f>'REG y VAL POE - AESR - ESR'!AI2617</f>
        <v>0</v>
      </c>
      <c r="WJ33" s="30">
        <f>'REG y VAL POE - AESR - ESR'!AJ2617</f>
        <v>0</v>
      </c>
      <c r="WK33" s="28">
        <f>'REG y VAL POE - AESR - ESR'!AK2617</f>
        <v>0</v>
      </c>
      <c r="WL33" s="29">
        <f>'REG y VAL POE - AESR - ESR'!AL2617</f>
        <v>0</v>
      </c>
      <c r="WM33" s="29">
        <f>'REG y VAL POE - AESR - ESR'!AM2617</f>
        <v>0</v>
      </c>
      <c r="WN33" s="29">
        <f>'REG y VAL POE - AESR - ESR'!AN2617</f>
        <v>0</v>
      </c>
      <c r="WO33" s="28">
        <f>'REG y VAL POE - AESR - ESR'!AO2617</f>
        <v>0</v>
      </c>
      <c r="WP33" s="29">
        <f>'REG y VAL POE - AESR - ESR'!AP2617</f>
        <v>0</v>
      </c>
      <c r="WQ33" s="29">
        <f>'REG y VAL POE - AESR - ESR'!AQ2617</f>
        <v>0</v>
      </c>
      <c r="WR33" s="28">
        <f>'REG y VAL POE - AESR - ESR'!AR2617</f>
        <v>0</v>
      </c>
      <c r="WS33" s="29">
        <f>'REG y VAL POE - AESR - ESR'!AS2617</f>
        <v>0</v>
      </c>
      <c r="WT33" s="30">
        <f>'REG y VAL POE - AESR - ESR'!B2618</f>
        <v>0</v>
      </c>
      <c r="WU33" s="28">
        <f>'REG y VAL POE - AESR - ESR'!C2618</f>
        <v>0</v>
      </c>
      <c r="WV33" s="29">
        <f>'REG y VAL POE - AESR - ESR'!D2618</f>
        <v>0</v>
      </c>
      <c r="WW33" s="29">
        <f>'REG y VAL POE - AESR - ESR'!E2618</f>
        <v>0</v>
      </c>
      <c r="WX33" s="29">
        <f>'REG y VAL POE - AESR - ESR'!F2618</f>
        <v>0</v>
      </c>
      <c r="WY33" s="28">
        <f>'REG y VAL POE - AESR - ESR'!G2618</f>
        <v>0</v>
      </c>
      <c r="WZ33" s="29">
        <f>'REG y VAL POE - AESR - ESR'!H2618</f>
        <v>0</v>
      </c>
      <c r="XA33" s="29">
        <f>'REG y VAL POE - AESR - ESR'!I2618</f>
        <v>0</v>
      </c>
      <c r="XB33" s="28">
        <f>'REG y VAL POE - AESR - ESR'!J2618</f>
        <v>0</v>
      </c>
      <c r="XC33" s="29">
        <f>'REG y VAL POE - AESR - ESR'!K2618</f>
        <v>0</v>
      </c>
      <c r="XD33" s="30">
        <f>'REG y VAL POE - AESR - ESR'!L2618</f>
        <v>0</v>
      </c>
      <c r="XE33" s="28">
        <f>'REG y VAL POE - AESR - ESR'!M2618</f>
        <v>0</v>
      </c>
      <c r="XF33" s="29">
        <f>'REG y VAL POE - AESR - ESR'!N2618</f>
        <v>0</v>
      </c>
      <c r="XG33" s="29">
        <f>'REG y VAL POE - AESR - ESR'!O2618</f>
        <v>0</v>
      </c>
      <c r="XH33" s="29">
        <f>'REG y VAL POE - AESR - ESR'!P2618</f>
        <v>0</v>
      </c>
      <c r="XI33" s="28">
        <f>'REG y VAL POE - AESR - ESR'!Q2618</f>
        <v>0</v>
      </c>
      <c r="XJ33" s="29">
        <f>'REG y VAL POE - AESR - ESR'!R2618</f>
        <v>0</v>
      </c>
      <c r="XK33" s="29">
        <f>'REG y VAL POE - AESR - ESR'!S2618</f>
        <v>0</v>
      </c>
      <c r="XL33" s="28">
        <f>'REG y VAL POE - AESR - ESR'!T2618</f>
        <v>0</v>
      </c>
      <c r="XM33" s="29">
        <f>'REG y VAL POE - AESR - ESR'!U2618</f>
        <v>0</v>
      </c>
      <c r="XN33" s="30">
        <f>'REG y VAL POE - AESR - ESR'!V2618</f>
        <v>0</v>
      </c>
      <c r="XO33" s="28">
        <f>'REG y VAL POE - AESR - ESR'!W2618</f>
        <v>0</v>
      </c>
      <c r="XP33" s="29">
        <f>'REG y VAL POE - AESR - ESR'!X2618</f>
        <v>0</v>
      </c>
      <c r="XQ33" s="29">
        <f>'REG y VAL POE - AESR - ESR'!Y2618</f>
        <v>0</v>
      </c>
      <c r="XR33" s="29">
        <f>'REG y VAL POE - AESR - ESR'!Z2618</f>
        <v>0</v>
      </c>
      <c r="XS33" s="28">
        <f>'REG y VAL POE - AESR - ESR'!AA2618</f>
        <v>0</v>
      </c>
      <c r="XT33" s="29">
        <f>'REG y VAL POE - AESR - ESR'!AB2618</f>
        <v>0</v>
      </c>
      <c r="XU33" s="29">
        <f>'REG y VAL POE - AESR - ESR'!AC2618</f>
        <v>0</v>
      </c>
      <c r="XV33" s="28">
        <f>'REG y VAL POE - AESR - ESR'!AD2618</f>
        <v>0</v>
      </c>
      <c r="XW33" s="29">
        <f>'REG y VAL POE - AESR - ESR'!AE2618</f>
        <v>0</v>
      </c>
      <c r="XX33" s="30">
        <f>'REG y VAL POE - AESR - ESR'!AF2618</f>
        <v>0</v>
      </c>
      <c r="XY33" s="28">
        <f>'REG y VAL POE - AESR - ESR'!AG2618</f>
        <v>0</v>
      </c>
      <c r="XZ33" s="29">
        <f>'REG y VAL POE - AESR - ESR'!AH2618</f>
        <v>0</v>
      </c>
      <c r="YA33" s="29">
        <f>'REG y VAL POE - AESR - ESR'!AI2618</f>
        <v>0</v>
      </c>
      <c r="YB33" s="29">
        <f>'REG y VAL POE - AESR - ESR'!AJ2618</f>
        <v>0</v>
      </c>
      <c r="YC33" s="28">
        <f>'REG y VAL POE - AESR - ESR'!AK2618</f>
        <v>0</v>
      </c>
      <c r="YD33" s="29">
        <f>'REG y VAL POE - AESR - ESR'!AL2618</f>
        <v>0</v>
      </c>
      <c r="YE33" s="29">
        <f>'REG y VAL POE - AESR - ESR'!AM2618</f>
        <v>0</v>
      </c>
      <c r="YF33" s="28">
        <f>'REG y VAL POE - AESR - ESR'!AN2618</f>
        <v>0</v>
      </c>
      <c r="YG33" s="29">
        <f>'REG y VAL POE - AESR - ESR'!AO2618</f>
        <v>0</v>
      </c>
      <c r="YH33" s="30">
        <f>'REG y VAL POE - AESR - ESR'!AP2618</f>
        <v>0</v>
      </c>
      <c r="YI33" s="28">
        <f>'REG y VAL POE - AESR - ESR'!AQ2618</f>
        <v>0</v>
      </c>
      <c r="YJ33" s="29">
        <f>'REG y VAL POE - AESR - ESR'!AR2618</f>
        <v>0</v>
      </c>
      <c r="YK33" s="29">
        <f>'REG y VAL POE - AESR - ESR'!AS2618</f>
        <v>0</v>
      </c>
      <c r="YL33" s="29"/>
      <c r="YM33" s="28"/>
      <c r="YN33" s="29"/>
      <c r="YO33" s="29"/>
      <c r="YP33" s="28"/>
      <c r="YQ33" s="29"/>
      <c r="YR33" s="30"/>
      <c r="YS33" s="28"/>
      <c r="YT33" s="29"/>
      <c r="YU33" s="29"/>
      <c r="YV33" s="29"/>
      <c r="YW33" s="28"/>
      <c r="YX33" s="29"/>
      <c r="YY33" s="29"/>
      <c r="YZ33" s="28"/>
      <c r="ZA33" s="29"/>
      <c r="ZB33" s="30"/>
      <c r="ZC33" s="28"/>
      <c r="ZD33" s="29"/>
      <c r="ZE33" s="29"/>
      <c r="ZF33" s="29"/>
      <c r="ZG33" s="28"/>
      <c r="ZH33" s="29"/>
      <c r="ZI33" s="29"/>
      <c r="ZJ33" s="28"/>
      <c r="ZK33" s="29"/>
      <c r="ZL33" s="30"/>
      <c r="ZM33" s="28"/>
      <c r="ZN33" s="29"/>
      <c r="ZO33" s="29"/>
      <c r="ZP33" s="29"/>
      <c r="ZQ33" s="28"/>
      <c r="ZR33" s="29"/>
      <c r="ZS33" s="29"/>
      <c r="ZT33" s="28"/>
      <c r="ZU33" s="29"/>
      <c r="ZV33" s="30"/>
      <c r="ZW33" s="28"/>
      <c r="ZX33" s="29"/>
      <c r="ZY33" s="29"/>
      <c r="ZZ33" s="29"/>
      <c r="AAA33" s="28"/>
      <c r="AAB33" s="29"/>
      <c r="AAC33" s="29"/>
      <c r="AAD33" s="28"/>
      <c r="AAE33" s="29"/>
      <c r="AAF33" s="30"/>
      <c r="AAG33" s="28"/>
      <c r="AAH33" s="29"/>
      <c r="AAI33" s="29"/>
      <c r="AAJ33" s="29"/>
      <c r="AAK33" s="28"/>
      <c r="AAL33" s="29"/>
      <c r="AAM33" s="29"/>
      <c r="AAN33" s="28"/>
      <c r="AAO33" s="29"/>
      <c r="AAP33" s="30"/>
      <c r="AAQ33" s="28"/>
      <c r="AAR33" s="29"/>
      <c r="AAS33" s="29"/>
      <c r="AAT33" s="29"/>
      <c r="AAU33" s="28"/>
      <c r="AAV33" s="29"/>
      <c r="AAW33" s="29"/>
      <c r="AAX33" s="28"/>
      <c r="AAY33" s="29"/>
      <c r="AAZ33" s="30"/>
      <c r="ABA33" s="28"/>
      <c r="ABB33" s="29"/>
      <c r="ABC33" s="29"/>
      <c r="ABD33" s="29"/>
      <c r="ABE33" s="28"/>
      <c r="ABF33" s="29"/>
      <c r="ABG33" s="29"/>
      <c r="ABH33" s="28"/>
      <c r="ABI33" s="29"/>
      <c r="ABJ33" s="30"/>
      <c r="ABK33" s="28"/>
      <c r="ABL33" s="29"/>
      <c r="ABM33" s="29"/>
      <c r="ABN33" s="29"/>
      <c r="ABO33" s="28"/>
      <c r="ABP33" s="29"/>
      <c r="ABQ33" s="29"/>
      <c r="ABR33" s="28"/>
      <c r="ABS33" s="29"/>
      <c r="ABT33" s="30"/>
      <c r="ABU33" s="28"/>
      <c r="ABV33" s="29"/>
      <c r="ABW33" s="29"/>
      <c r="ABX33" s="29"/>
      <c r="ABY33" s="28"/>
      <c r="ABZ33" s="29"/>
      <c r="ACA33" s="29"/>
      <c r="ACB33" s="28"/>
      <c r="ACC33" s="29"/>
      <c r="ACD33" s="30"/>
      <c r="ACE33" s="28"/>
      <c r="ACF33" s="29"/>
      <c r="ACG33" s="29"/>
      <c r="ACH33" s="29"/>
      <c r="ACI33" s="28"/>
      <c r="ACJ33" s="29"/>
      <c r="ACK33" s="29"/>
      <c r="ACL33" s="28"/>
      <c r="ACM33" s="29"/>
      <c r="ACN33" s="30"/>
      <c r="ACO33" s="28"/>
      <c r="ACP33" s="29"/>
      <c r="ACQ33" s="29"/>
      <c r="ACR33" s="29"/>
      <c r="ACS33" s="28"/>
      <c r="ACT33" s="29"/>
      <c r="ACU33" s="29"/>
      <c r="ACV33" s="28"/>
      <c r="ACW33" s="29"/>
      <c r="ACX33" s="30"/>
      <c r="ACY33" s="28"/>
      <c r="ACZ33" s="29"/>
      <c r="ADA33" s="29"/>
      <c r="ADB33" s="29"/>
      <c r="ADC33" s="28"/>
      <c r="ADD33" s="29"/>
      <c r="ADE33" s="29"/>
      <c r="ADF33" s="28"/>
      <c r="ADG33" s="29"/>
      <c r="ADH33" s="30"/>
      <c r="ADI33" s="28"/>
      <c r="ADJ33" s="29"/>
      <c r="ADK33" s="29"/>
      <c r="ADL33" s="29"/>
      <c r="ADM33" s="28"/>
      <c r="ADN33" s="29"/>
      <c r="ADO33" s="29"/>
      <c r="ADP33" s="28"/>
      <c r="ADQ33" s="29"/>
      <c r="ADR33" s="30"/>
      <c r="ADS33" s="28"/>
      <c r="ADT33" s="29"/>
      <c r="ADU33" s="29"/>
      <c r="ADV33" s="29"/>
      <c r="ADW33" s="28"/>
      <c r="ADX33" s="29"/>
      <c r="ADY33" s="29"/>
      <c r="ADZ33" s="28"/>
      <c r="AEA33" s="29"/>
      <c r="AEB33" s="30"/>
      <c r="AEC33" s="28"/>
      <c r="AED33" s="29"/>
      <c r="AEE33" s="29"/>
      <c r="AEF33" s="29"/>
      <c r="AEG33" s="28"/>
      <c r="AEH33" s="29"/>
      <c r="AEI33" s="29"/>
      <c r="AEJ33" s="28"/>
      <c r="AEK33" s="29"/>
      <c r="AEL33" s="30"/>
      <c r="AEM33" s="28"/>
      <c r="AEN33" s="29"/>
      <c r="AEO33" s="29"/>
      <c r="AEP33" s="29"/>
      <c r="AEQ33" s="28"/>
      <c r="AER33" s="29"/>
      <c r="AES33" s="29"/>
      <c r="AET33" s="28"/>
      <c r="AEU33" s="29"/>
      <c r="AEV33" s="30"/>
      <c r="AEW33" s="28"/>
      <c r="AEX33" s="29"/>
      <c r="AEY33" s="29"/>
      <c r="AEZ33" s="29"/>
      <c r="AFA33" s="28"/>
      <c r="AFB33" s="29"/>
      <c r="AFC33" s="29"/>
      <c r="AFD33" s="28"/>
      <c r="AFE33" s="29"/>
      <c r="AFF33" s="30"/>
      <c r="AFG33" s="28"/>
      <c r="AFH33" s="29"/>
      <c r="AFI33" s="29"/>
      <c r="AFJ33" s="29"/>
      <c r="AFK33" s="28"/>
      <c r="AFL33" s="29"/>
      <c r="AFM33" s="29"/>
      <c r="AFN33" s="28"/>
      <c r="AFO33" s="29"/>
      <c r="AFP33" s="30"/>
      <c r="AFQ33" s="28"/>
      <c r="AFR33" s="29"/>
      <c r="AFS33" s="29"/>
      <c r="AFT33" s="29"/>
      <c r="AFU33" s="28"/>
      <c r="AFV33" s="29"/>
      <c r="AFW33" s="29"/>
      <c r="AFX33" s="28"/>
      <c r="AFY33" s="29"/>
      <c r="AFZ33" s="30"/>
      <c r="AGA33" s="28"/>
      <c r="AGB33" s="29"/>
      <c r="AGC33" s="29"/>
      <c r="AGD33" s="29"/>
      <c r="AGE33" s="28"/>
      <c r="AGF33" s="29"/>
      <c r="AGG33" s="29"/>
      <c r="AGH33" s="28"/>
      <c r="AGI33" s="29"/>
      <c r="AGJ33" s="30"/>
      <c r="AGK33" s="28"/>
      <c r="AGL33" s="29"/>
      <c r="AGM33" s="29"/>
      <c r="AGN33" s="29"/>
      <c r="AGO33" s="28"/>
      <c r="AGP33" s="29"/>
      <c r="AGQ33" s="29"/>
      <c r="AGR33" s="28"/>
      <c r="AGS33" s="29"/>
      <c r="AGT33" s="30"/>
      <c r="AGU33" s="28"/>
      <c r="AGV33" s="29"/>
      <c r="AGW33" s="29"/>
      <c r="AGX33" s="29"/>
      <c r="AGY33" s="28"/>
      <c r="AGZ33" s="29"/>
      <c r="AHA33" s="29"/>
      <c r="AHB33" s="28"/>
      <c r="AHC33" s="29"/>
      <c r="AHD33" s="30"/>
      <c r="AHE33" s="28"/>
      <c r="AHF33" s="29"/>
      <c r="AHG33" s="29"/>
      <c r="AHH33" s="29"/>
      <c r="AHI33" s="28"/>
      <c r="AHJ33" s="29"/>
      <c r="AHK33" s="29"/>
      <c r="AHL33" s="28"/>
      <c r="AHM33" s="29"/>
      <c r="AHN33" s="30"/>
      <c r="AHO33" s="28"/>
      <c r="AHP33" s="29"/>
      <c r="AHQ33" s="29"/>
      <c r="AHR33" s="29"/>
      <c r="AHS33" s="28"/>
      <c r="AHT33" s="29"/>
      <c r="AHU33" s="29"/>
      <c r="AHV33" s="28"/>
      <c r="AHW33" s="29"/>
      <c r="AHX33" s="30"/>
      <c r="AHY33" s="28"/>
      <c r="AHZ33" s="29"/>
      <c r="AIA33" s="29"/>
      <c r="AIB33" s="29"/>
      <c r="AIC33" s="28"/>
      <c r="AID33" s="29"/>
      <c r="AIE33" s="29"/>
      <c r="AIF33" s="28"/>
      <c r="AIG33" s="29"/>
      <c r="AIH33" s="30"/>
      <c r="AII33" s="28"/>
      <c r="AIJ33" s="29"/>
      <c r="AIK33" s="29"/>
      <c r="AIL33" s="29"/>
      <c r="AIM33" s="28"/>
      <c r="AIN33" s="29"/>
      <c r="AIO33" s="29"/>
      <c r="AIP33" s="28"/>
      <c r="AIQ33" s="29"/>
      <c r="AIR33" s="30"/>
      <c r="AIS33" s="28"/>
      <c r="AIT33" s="29"/>
      <c r="AIU33" s="29"/>
      <c r="AIV33" s="29"/>
      <c r="AIW33" s="28"/>
      <c r="AIX33" s="29"/>
      <c r="AIY33" s="29"/>
      <c r="AIZ33" s="28"/>
      <c r="AJA33" s="29"/>
      <c r="AJB33" s="30"/>
      <c r="AJC33" s="28"/>
      <c r="AJD33" s="29"/>
      <c r="AJE33" s="29"/>
      <c r="AJF33" s="29"/>
      <c r="AJG33" s="28"/>
      <c r="AJH33" s="29"/>
      <c r="AJI33" s="29"/>
      <c r="AJJ33" s="28"/>
      <c r="AJK33" s="29"/>
      <c r="AJL33" s="30"/>
      <c r="AJM33" s="28"/>
      <c r="AJN33" s="29"/>
      <c r="AJO33" s="29"/>
      <c r="AJP33" s="29"/>
      <c r="AJQ33" s="28"/>
      <c r="AJR33" s="29"/>
      <c r="AJS33" s="29"/>
      <c r="AJT33" s="28"/>
      <c r="AJU33" s="29"/>
      <c r="AJV33" s="30"/>
      <c r="AJW33" s="28"/>
      <c r="AJX33" s="29"/>
      <c r="AJY33" s="29"/>
      <c r="AJZ33" s="29"/>
      <c r="AKA33" s="28"/>
      <c r="AKB33" s="29"/>
      <c r="AKC33" s="29"/>
      <c r="AKD33" s="28"/>
      <c r="AKE33" s="29"/>
      <c r="AKF33" s="30"/>
      <c r="AKG33" s="28"/>
      <c r="AKH33" s="29"/>
      <c r="AKI33" s="29"/>
      <c r="AKJ33" s="29"/>
      <c r="AKK33" s="28"/>
      <c r="AKL33" s="29"/>
      <c r="AKM33" s="29"/>
      <c r="AKN33" s="28"/>
      <c r="AKO33" s="29"/>
      <c r="AKP33" s="30"/>
      <c r="AKQ33" s="28"/>
      <c r="AKR33" s="29"/>
      <c r="AKS33" s="29"/>
      <c r="AKT33" s="29"/>
      <c r="AKU33" s="28"/>
      <c r="AKV33" s="29"/>
      <c r="AKW33" s="29"/>
      <c r="AKX33" s="28"/>
      <c r="AKY33" s="29"/>
      <c r="AKZ33" s="30"/>
      <c r="ALA33" s="28"/>
      <c r="ALB33" s="29"/>
      <c r="ALC33" s="29"/>
      <c r="ALD33" s="29"/>
      <c r="ALE33" s="28"/>
      <c r="ALF33" s="29"/>
      <c r="ALG33" s="29"/>
      <c r="ALH33" s="29"/>
      <c r="ALI33" s="29"/>
      <c r="ALJ33" s="29"/>
      <c r="ALK33" s="28"/>
      <c r="ALL33" s="29"/>
      <c r="ALM33" s="29"/>
      <c r="ALN33" s="28"/>
      <c r="ALO33" s="29"/>
      <c r="ALP33" s="30"/>
      <c r="ALQ33" s="28"/>
      <c r="ALR33" s="29"/>
      <c r="ALS33" s="29"/>
      <c r="ALT33" s="29"/>
      <c r="ALU33" s="28"/>
      <c r="ALV33" s="29"/>
      <c r="ALW33" s="29"/>
      <c r="ALX33" s="28"/>
      <c r="ALY33" s="29"/>
      <c r="ALZ33" s="30"/>
      <c r="AMA33" s="28"/>
      <c r="AMB33" s="29"/>
      <c r="AMC33" s="29"/>
      <c r="AMD33" s="29"/>
      <c r="AME33" s="28"/>
      <c r="AMF33" s="29"/>
      <c r="AMG33" s="29"/>
      <c r="AMH33" s="29"/>
      <c r="AMI33" s="29"/>
      <c r="AMJ33" s="29"/>
      <c r="AMK33" s="28"/>
      <c r="AML33" s="29"/>
      <c r="AMM33" s="29"/>
      <c r="AMN33" s="28"/>
      <c r="AMO33" s="29"/>
      <c r="AMP33" s="30"/>
      <c r="AMQ33" s="28"/>
      <c r="AMR33" s="29"/>
      <c r="AMS33" s="29"/>
      <c r="AMT33" s="29"/>
      <c r="AMU33" s="28"/>
      <c r="AMV33" s="29"/>
      <c r="AMW33" s="29"/>
      <c r="AMX33" s="28"/>
      <c r="AMY33" s="29"/>
      <c r="AMZ33" s="30"/>
      <c r="ANA33" s="28"/>
      <c r="ANB33" s="29"/>
      <c r="ANC33" s="29"/>
      <c r="AND33" s="29"/>
      <c r="ANE33" s="28"/>
      <c r="ANF33" s="29"/>
      <c r="ANG33" s="29"/>
      <c r="ANH33" s="29"/>
      <c r="ANI33" s="29"/>
      <c r="ANJ33" s="29"/>
      <c r="ANK33" s="28"/>
      <c r="ANL33" s="29"/>
      <c r="ANM33" s="29"/>
      <c r="ANN33" s="28"/>
      <c r="ANO33" s="29"/>
      <c r="ANP33" s="30"/>
      <c r="ANQ33" s="28"/>
      <c r="ANR33" s="29"/>
      <c r="ANS33" s="29"/>
      <c r="ANT33" s="29"/>
      <c r="ANU33" s="28"/>
      <c r="ANV33" s="29"/>
      <c r="ANW33" s="29"/>
      <c r="ANX33" s="28"/>
      <c r="ANY33" s="29"/>
      <c r="ANZ33" s="30"/>
      <c r="AOA33" s="28"/>
      <c r="AOB33" s="29"/>
      <c r="AOC33" s="29"/>
      <c r="AOD33" s="29"/>
      <c r="AOE33" s="28"/>
      <c r="AOF33" s="29"/>
      <c r="AOG33" s="29"/>
      <c r="AOH33" s="29"/>
      <c r="AOI33" s="29"/>
      <c r="AOJ33" s="29"/>
      <c r="AOK33" s="28"/>
      <c r="AOL33" s="29"/>
      <c r="AOM33" s="29"/>
      <c r="AON33" s="28"/>
      <c r="AOO33" s="29"/>
      <c r="AOP33" s="30"/>
      <c r="AOQ33" s="28"/>
      <c r="AOR33" s="29"/>
      <c r="AOS33" s="29"/>
      <c r="AOT33" s="29"/>
      <c r="AOU33" s="28"/>
      <c r="AOV33" s="29"/>
      <c r="AOW33" s="29"/>
      <c r="AOX33" s="28"/>
      <c r="AOY33" s="29"/>
      <c r="AOZ33" s="30"/>
      <c r="APA33" s="28"/>
      <c r="APB33" s="29"/>
      <c r="APC33" s="29"/>
      <c r="APD33" s="29"/>
      <c r="APE33" s="28"/>
      <c r="APF33" s="29"/>
      <c r="APG33" s="29"/>
      <c r="APH33" s="29"/>
      <c r="API33" s="29"/>
      <c r="APJ33" s="29"/>
      <c r="APK33" s="28"/>
      <c r="APL33" s="29"/>
      <c r="APM33" s="29"/>
      <c r="APN33" s="28"/>
      <c r="APO33" s="29"/>
      <c r="APP33" s="30"/>
      <c r="APQ33" s="28"/>
      <c r="APR33" s="29"/>
      <c r="APS33" s="29"/>
      <c r="APT33" s="29"/>
      <c r="APU33" s="28"/>
      <c r="APV33" s="29"/>
      <c r="APW33" s="29"/>
      <c r="APX33" s="28"/>
      <c r="APY33" s="29"/>
      <c r="APZ33" s="30"/>
      <c r="AQA33" s="28"/>
      <c r="AQB33" s="29"/>
      <c r="AQC33" s="29"/>
      <c r="AQD33" s="29"/>
      <c r="AQE33" s="28"/>
      <c r="AQF33" s="29"/>
      <c r="AQG33" s="29"/>
      <c r="AQH33" s="29"/>
      <c r="AQI33" s="29"/>
      <c r="AQJ33" s="29"/>
      <c r="AQK33" s="28"/>
      <c r="AQL33" s="29"/>
      <c r="AQM33" s="29"/>
      <c r="AQN33" s="28"/>
      <c r="AQO33" s="29"/>
      <c r="AQP33" s="30"/>
      <c r="AQQ33" s="28"/>
      <c r="AQR33" s="29"/>
      <c r="AQS33" s="29"/>
      <c r="AQT33" s="29"/>
      <c r="AQU33" s="28"/>
      <c r="AQV33" s="29"/>
      <c r="AQW33" s="29"/>
      <c r="AQX33" s="28"/>
      <c r="AQY33" s="29"/>
      <c r="AQZ33" s="30"/>
      <c r="ARA33" s="28"/>
      <c r="ARB33" s="29"/>
      <c r="ARC33" s="29"/>
      <c r="ARD33" s="29"/>
      <c r="ARE33" s="28"/>
      <c r="ARF33" s="29"/>
      <c r="ARG33" s="29"/>
      <c r="ARH33" s="29"/>
      <c r="ARI33" s="29"/>
      <c r="ARJ33" s="29"/>
      <c r="ARK33" s="28"/>
      <c r="ARL33" s="29"/>
      <c r="ARM33" s="29"/>
      <c r="ARN33" s="28"/>
      <c r="ARO33" s="29"/>
      <c r="ARP33" s="30"/>
      <c r="ARQ33" s="28"/>
      <c r="ARR33" s="29"/>
      <c r="ARS33" s="29"/>
      <c r="ART33" s="29"/>
      <c r="ARU33" s="28"/>
      <c r="ARV33" s="29"/>
      <c r="ARW33" s="29"/>
      <c r="ARX33" s="28"/>
      <c r="ARY33" s="29"/>
      <c r="ARZ33" s="30"/>
      <c r="ASA33" s="28"/>
      <c r="ASB33" s="29"/>
      <c r="ASC33" s="29"/>
      <c r="ASD33" s="29"/>
      <c r="ASE33" s="28"/>
      <c r="ASF33" s="29"/>
      <c r="ASG33" s="29"/>
      <c r="ASH33" s="29"/>
      <c r="ASI33" s="29"/>
      <c r="ASJ33" s="29"/>
      <c r="ASK33" s="28"/>
      <c r="ASL33" s="29"/>
      <c r="ASM33" s="29"/>
      <c r="ASN33" s="28"/>
      <c r="ASO33" s="29"/>
      <c r="ASP33" s="30"/>
      <c r="ASQ33" s="28"/>
      <c r="ASR33" s="29"/>
      <c r="ASS33" s="29"/>
      <c r="AST33" s="29"/>
      <c r="ASU33" s="28"/>
      <c r="ASV33" s="29"/>
      <c r="ASW33" s="29"/>
      <c r="ASX33" s="28"/>
      <c r="ASY33" s="29"/>
      <c r="ASZ33" s="30"/>
      <c r="ATA33" s="28"/>
      <c r="ATB33" s="29"/>
      <c r="ATC33" s="29"/>
      <c r="ATD33" s="29"/>
      <c r="ATE33" s="28"/>
      <c r="ATF33" s="29"/>
      <c r="ATG33" s="29"/>
      <c r="ATH33" s="29"/>
      <c r="ATI33" s="29"/>
      <c r="ATJ33" s="29"/>
      <c r="ATK33" s="28"/>
      <c r="ATL33" s="29"/>
      <c r="ATM33" s="29"/>
      <c r="ATN33" s="28"/>
      <c r="ATO33" s="29"/>
      <c r="ATP33" s="30"/>
      <c r="ATQ33" s="28"/>
      <c r="ATR33" s="29"/>
      <c r="ATS33" s="29"/>
      <c r="ATT33" s="29"/>
      <c r="ATU33" s="28"/>
      <c r="ATV33" s="29"/>
      <c r="ATW33" s="29"/>
      <c r="ATX33" s="28"/>
      <c r="ATY33" s="29"/>
      <c r="ATZ33" s="30"/>
      <c r="AUA33" s="28"/>
      <c r="AUB33" s="29"/>
      <c r="AUC33" s="29"/>
      <c r="AUD33" s="29"/>
      <c r="AUE33" s="28"/>
      <c r="AUF33" s="29"/>
      <c r="AUG33" s="29"/>
      <c r="AUH33" s="29"/>
      <c r="AUI33" s="29"/>
      <c r="AUJ33" s="29"/>
      <c r="AUK33" s="28"/>
      <c r="AUL33" s="29"/>
      <c r="AUM33" s="29"/>
      <c r="AUN33" s="28"/>
      <c r="AUO33" s="29"/>
      <c r="AUP33" s="30"/>
      <c r="AUQ33" s="28"/>
      <c r="AUR33" s="29"/>
      <c r="AUS33" s="29"/>
      <c r="AUT33" s="29"/>
      <c r="AUU33" s="28"/>
      <c r="AUV33" s="29"/>
      <c r="AUW33" s="29"/>
      <c r="AUX33" s="28"/>
      <c r="AUY33" s="29"/>
      <c r="AUZ33" s="30"/>
      <c r="AVA33" s="28"/>
      <c r="AVB33" s="29"/>
      <c r="AVC33" s="29"/>
      <c r="AVD33" s="29"/>
      <c r="AVE33" s="28"/>
      <c r="AVF33" s="29"/>
      <c r="AVG33" s="29"/>
      <c r="AVH33" s="29"/>
      <c r="AVI33" s="29"/>
      <c r="AVJ33" s="29"/>
      <c r="AVK33" s="28"/>
      <c r="AVL33" s="29"/>
      <c r="AVM33" s="29"/>
      <c r="AVN33" s="28"/>
      <c r="AVO33" s="29"/>
      <c r="AVP33" s="30"/>
      <c r="AVQ33" s="28"/>
      <c r="AVR33" s="29"/>
      <c r="AVS33" s="29"/>
      <c r="AVT33" s="29"/>
      <c r="AVU33" s="28"/>
      <c r="AVV33" s="29"/>
      <c r="AVW33" s="29"/>
      <c r="AVX33" s="28"/>
      <c r="AVY33" s="29"/>
      <c r="AVZ33" s="30"/>
      <c r="AWA33" s="28"/>
      <c r="AWB33" s="29"/>
      <c r="AWC33" s="29"/>
      <c r="AWD33" s="29"/>
      <c r="AWE33" s="28"/>
      <c r="AWF33" s="29"/>
      <c r="AWG33" s="29"/>
      <c r="AWH33" s="29"/>
      <c r="AWI33" s="29"/>
      <c r="AWJ33" s="29"/>
      <c r="AWK33" s="28"/>
      <c r="AWL33" s="29"/>
      <c r="AWM33" s="29"/>
      <c r="AWN33" s="28"/>
      <c r="AWO33" s="29"/>
      <c r="AWP33" s="30"/>
      <c r="AWQ33" s="28"/>
      <c r="AWR33" s="29"/>
      <c r="AWS33" s="29"/>
      <c r="AWT33" s="29"/>
      <c r="AWU33" s="28"/>
      <c r="AWV33" s="29"/>
      <c r="AWW33" s="29"/>
      <c r="AWX33" s="28"/>
      <c r="AWY33" s="29"/>
      <c r="AWZ33" s="30"/>
      <c r="AXA33" s="28"/>
      <c r="AXB33" s="29"/>
      <c r="AXC33" s="29"/>
      <c r="AXD33" s="29"/>
      <c r="AXE33" s="28"/>
      <c r="AXF33" s="29"/>
      <c r="AXG33" s="29"/>
      <c r="AXH33" s="29"/>
      <c r="AXI33" s="29"/>
      <c r="AXJ33" s="29"/>
      <c r="AXK33" s="28"/>
      <c r="AXL33" s="29"/>
      <c r="AXM33" s="29"/>
      <c r="AXN33" s="28"/>
      <c r="AXO33" s="29"/>
      <c r="AXP33" s="30"/>
      <c r="AXQ33" s="28"/>
      <c r="AXR33" s="29"/>
      <c r="AXS33" s="29"/>
      <c r="AXT33" s="29"/>
      <c r="AXU33" s="28"/>
      <c r="AXV33" s="29"/>
      <c r="AXW33" s="29"/>
      <c r="AXX33" s="28"/>
      <c r="AXY33" s="29"/>
      <c r="AXZ33" s="30"/>
      <c r="AYA33" s="28"/>
      <c r="AYB33" s="29"/>
      <c r="AYC33" s="29"/>
      <c r="AYD33" s="29"/>
      <c r="AYE33" s="28"/>
      <c r="AYF33" s="29"/>
      <c r="AYG33" s="29"/>
      <c r="AYH33" s="29"/>
      <c r="AYI33" s="29"/>
      <c r="AYJ33" s="29"/>
      <c r="AYK33" s="28"/>
      <c r="AYL33" s="29"/>
      <c r="AYM33" s="29"/>
      <c r="AYN33" s="28"/>
      <c r="AYO33" s="29"/>
      <c r="AYP33" s="30"/>
      <c r="AYQ33" s="28"/>
      <c r="AYR33" s="29"/>
      <c r="AYS33" s="29"/>
      <c r="AYT33" s="29"/>
      <c r="AYU33" s="28"/>
      <c r="AYV33" s="29"/>
      <c r="AYW33" s="29"/>
      <c r="AYX33" s="28"/>
      <c r="AYY33" s="29"/>
      <c r="AYZ33" s="30"/>
      <c r="AZA33" s="28"/>
      <c r="AZB33" s="29"/>
      <c r="AZC33" s="29"/>
      <c r="AZD33" s="29"/>
      <c r="AZE33" s="28"/>
      <c r="AZF33" s="29"/>
      <c r="AZG33" s="29"/>
      <c r="AZH33" s="29"/>
      <c r="AZI33" s="29"/>
      <c r="AZJ33" s="29"/>
      <c r="AZK33" s="28"/>
      <c r="AZL33" s="29"/>
      <c r="AZM33" s="29"/>
      <c r="AZN33" s="28"/>
      <c r="AZO33" s="29"/>
      <c r="AZP33" s="30"/>
      <c r="AZQ33" s="28"/>
      <c r="AZR33" s="29"/>
      <c r="AZS33" s="29"/>
      <c r="AZT33" s="29"/>
      <c r="AZU33" s="28"/>
      <c r="AZV33" s="29"/>
      <c r="AZW33" s="29"/>
      <c r="AZX33" s="28"/>
      <c r="AZY33" s="29"/>
      <c r="AZZ33" s="30"/>
      <c r="BAA33" s="28"/>
      <c r="BAB33" s="29"/>
      <c r="BAC33" s="29"/>
      <c r="BAD33" s="29"/>
      <c r="BAE33" s="28"/>
      <c r="BAF33" s="29"/>
      <c r="BAG33" s="29"/>
      <c r="BAH33" s="29"/>
      <c r="BAI33" s="29"/>
      <c r="BAJ33" s="29"/>
      <c r="BAK33" s="28"/>
      <c r="BAL33" s="29"/>
      <c r="BAM33" s="29"/>
      <c r="BAN33" s="28"/>
      <c r="BAO33" s="29"/>
      <c r="BAP33" s="30"/>
      <c r="BAQ33" s="28"/>
      <c r="BAR33" s="29"/>
      <c r="BAS33" s="29"/>
      <c r="BAT33" s="29"/>
      <c r="BAU33" s="28"/>
      <c r="BAV33" s="29"/>
      <c r="BAW33" s="29"/>
      <c r="BAX33" s="28"/>
      <c r="BAY33" s="29"/>
      <c r="BAZ33" s="30"/>
      <c r="BBA33" s="28"/>
      <c r="BBB33" s="29"/>
      <c r="BBC33" s="29"/>
      <c r="BBD33" s="29"/>
      <c r="BBE33" s="28"/>
      <c r="BBF33" s="29"/>
      <c r="BBG33" s="29"/>
      <c r="BBH33" s="29"/>
      <c r="BBI33" s="29"/>
      <c r="BBJ33" s="29"/>
      <c r="BBK33" s="28"/>
      <c r="BBL33" s="29"/>
      <c r="BBM33" s="29"/>
      <c r="BBN33" s="28"/>
      <c r="BBO33" s="29"/>
      <c r="BBP33" s="30"/>
      <c r="BBQ33" s="28"/>
      <c r="BBR33" s="29"/>
      <c r="BBS33" s="29"/>
      <c r="BBT33" s="29"/>
      <c r="BBU33" s="28"/>
      <c r="BBV33" s="29"/>
      <c r="BBW33" s="29"/>
      <c r="BBX33" s="28"/>
      <c r="BBY33" s="29"/>
      <c r="BBZ33" s="30"/>
      <c r="BCA33" s="28"/>
      <c r="BCB33" s="29"/>
      <c r="BCC33" s="29"/>
      <c r="BCD33" s="29"/>
      <c r="BCE33" s="28"/>
      <c r="BCF33" s="29"/>
      <c r="BCG33" s="29"/>
      <c r="BCH33" s="29"/>
      <c r="BCI33" s="29"/>
      <c r="BCJ33" s="29"/>
      <c r="BCK33" s="28"/>
      <c r="BCL33" s="29"/>
      <c r="BCM33" s="29"/>
      <c r="BCN33" s="28"/>
      <c r="BCO33" s="29"/>
      <c r="BCP33" s="30"/>
      <c r="BCQ33" s="28"/>
      <c r="BCR33" s="29"/>
      <c r="BCS33" s="29"/>
      <c r="BCT33" s="29"/>
      <c r="BCU33" s="28"/>
      <c r="BCV33" s="29"/>
      <c r="BCW33" s="29"/>
      <c r="BCX33" s="28"/>
      <c r="BCY33" s="29"/>
      <c r="BCZ33" s="30"/>
      <c r="BDA33" s="28"/>
      <c r="BDB33" s="29"/>
      <c r="BDC33" s="29"/>
      <c r="BDD33" s="29"/>
      <c r="BDE33" s="28"/>
      <c r="BDF33" s="29"/>
      <c r="BDG33" s="29"/>
      <c r="BDH33" s="29"/>
      <c r="BDI33" s="29"/>
      <c r="BDJ33" s="29"/>
      <c r="BDK33" s="28"/>
      <c r="BDL33" s="29"/>
      <c r="BDM33" s="29"/>
      <c r="BDN33" s="28"/>
      <c r="BDO33" s="29"/>
      <c r="BDP33" s="30"/>
      <c r="BDQ33" s="28"/>
      <c r="BDR33" s="29"/>
      <c r="BDS33" s="29"/>
      <c r="BDT33" s="29"/>
      <c r="BDU33" s="28"/>
      <c r="BDV33" s="29"/>
      <c r="BDW33" s="29"/>
      <c r="BDX33" s="28"/>
      <c r="BDY33" s="29"/>
      <c r="BDZ33" s="30"/>
      <c r="BEA33" s="28"/>
      <c r="BEB33" s="29"/>
      <c r="BEC33" s="29"/>
      <c r="BED33" s="29"/>
      <c r="BEE33" s="28"/>
      <c r="BEF33" s="29"/>
      <c r="BEG33" s="29"/>
      <c r="BEH33" s="29"/>
      <c r="BEI33" s="29"/>
      <c r="BEJ33" s="29"/>
      <c r="BEK33" s="28"/>
      <c r="BEL33" s="29"/>
      <c r="BEM33" s="29"/>
      <c r="BEN33" s="28"/>
      <c r="BEO33" s="29"/>
      <c r="BEP33" s="30"/>
      <c r="BEQ33" s="28"/>
      <c r="BER33" s="29"/>
      <c r="BES33" s="29"/>
      <c r="BET33" s="29"/>
      <c r="BEU33" s="28"/>
      <c r="BEV33" s="29"/>
      <c r="BEW33" s="29"/>
      <c r="BEX33" s="28"/>
      <c r="BEY33" s="29"/>
      <c r="BEZ33" s="30"/>
      <c r="BFA33" s="28"/>
      <c r="BFB33" s="29"/>
      <c r="BFC33" s="29"/>
      <c r="BFD33" s="29"/>
      <c r="BFE33" s="28"/>
      <c r="BFF33" s="29"/>
      <c r="BFG33" s="29"/>
      <c r="BFH33" s="29"/>
      <c r="BFI33" s="29"/>
      <c r="BFJ33" s="29"/>
      <c r="BFK33" s="28"/>
      <c r="BFL33" s="29"/>
      <c r="BFM33" s="29"/>
      <c r="BFN33" s="28"/>
      <c r="BFO33" s="29"/>
      <c r="BFP33" s="30"/>
      <c r="BFQ33" s="28"/>
      <c r="BFR33" s="29"/>
      <c r="BFS33" s="29"/>
      <c r="BFT33" s="29"/>
      <c r="BFU33" s="28"/>
      <c r="BFV33" s="29"/>
      <c r="BFW33" s="29"/>
      <c r="BFX33" s="28"/>
      <c r="BFY33" s="29"/>
      <c r="BFZ33" s="30"/>
      <c r="BGA33" s="28"/>
      <c r="BGB33" s="29"/>
      <c r="BGC33" s="29"/>
      <c r="BGD33" s="29"/>
      <c r="BGE33" s="28"/>
      <c r="BGF33" s="29"/>
      <c r="BGG33" s="29"/>
      <c r="BGH33" s="29"/>
      <c r="BGI33" s="29"/>
      <c r="BGJ33" s="29"/>
      <c r="BGK33" s="28"/>
      <c r="BGL33" s="29"/>
      <c r="BGM33" s="29"/>
      <c r="BGN33" s="28"/>
      <c r="BGO33" s="29"/>
      <c r="BGP33" s="30"/>
      <c r="BGQ33" s="28"/>
      <c r="BGR33" s="29"/>
      <c r="BGS33" s="29"/>
      <c r="BGT33" s="29"/>
      <c r="BGU33" s="28"/>
      <c r="BGV33" s="29"/>
      <c r="BGW33" s="29"/>
      <c r="BGX33" s="28"/>
      <c r="BGY33" s="29"/>
      <c r="BGZ33" s="30"/>
      <c r="BHA33" s="28"/>
      <c r="BHB33" s="29"/>
      <c r="BHC33" s="29"/>
      <c r="BHD33" s="29"/>
      <c r="BHE33" s="28"/>
      <c r="BHF33" s="29"/>
      <c r="BHG33" s="29"/>
      <c r="BHH33" s="29"/>
      <c r="BHI33" s="29"/>
      <c r="BHJ33" s="29"/>
      <c r="BHK33" s="28"/>
      <c r="BHL33" s="29"/>
      <c r="BHM33" s="29"/>
      <c r="BHN33" s="28"/>
      <c r="BHO33" s="29"/>
      <c r="BHP33" s="30"/>
      <c r="BHQ33" s="28"/>
      <c r="BHR33" s="29"/>
      <c r="BHS33" s="29"/>
      <c r="BHT33" s="29"/>
      <c r="BHU33" s="28"/>
      <c r="BHV33" s="29"/>
      <c r="BHW33" s="29"/>
      <c r="BHX33" s="28"/>
      <c r="BHY33" s="29"/>
      <c r="BHZ33" s="30"/>
      <c r="BIA33" s="28"/>
      <c r="BIB33" s="29"/>
      <c r="BIC33" s="29"/>
      <c r="BID33" s="29"/>
      <c r="BIE33" s="28"/>
      <c r="BIF33" s="29"/>
      <c r="BIG33" s="29"/>
      <c r="BIH33" s="29"/>
      <c r="BII33" s="29"/>
      <c r="BIJ33" s="29"/>
      <c r="BIK33" s="28"/>
      <c r="BIL33" s="29"/>
      <c r="BIM33" s="29"/>
      <c r="BIN33" s="28"/>
      <c r="BIO33" s="29"/>
      <c r="BIP33" s="30"/>
      <c r="BIQ33" s="28"/>
      <c r="BIR33" s="29"/>
      <c r="BIS33" s="29"/>
      <c r="BIT33" s="29"/>
      <c r="BIU33" s="28"/>
      <c r="BIV33" s="29"/>
      <c r="BIW33" s="29"/>
      <c r="BIX33" s="28"/>
      <c r="BIY33" s="29"/>
      <c r="BIZ33" s="30"/>
      <c r="BJA33" s="28"/>
      <c r="BJB33" s="29"/>
      <c r="BJC33" s="29"/>
      <c r="BJD33" s="29"/>
      <c r="BJE33" s="28"/>
      <c r="BJF33" s="29"/>
      <c r="BJG33" s="29"/>
      <c r="BJH33" s="29"/>
      <c r="BJI33" s="29"/>
      <c r="BJJ33" s="29"/>
      <c r="BJK33" s="28"/>
      <c r="BJL33" s="29"/>
      <c r="BJM33" s="29"/>
      <c r="BJN33" s="28"/>
      <c r="BJO33" s="29"/>
      <c r="BJP33" s="30"/>
      <c r="BJQ33" s="28"/>
      <c r="BJR33" s="29"/>
      <c r="BJS33" s="29"/>
      <c r="BJT33" s="29"/>
      <c r="BJU33" s="28"/>
      <c r="BJV33" s="29"/>
      <c r="BJW33" s="29"/>
      <c r="BJX33" s="28"/>
      <c r="BJY33" s="29"/>
      <c r="BJZ33" s="30"/>
      <c r="BKA33" s="28"/>
      <c r="BKB33" s="29"/>
      <c r="BKC33" s="29"/>
      <c r="BKD33" s="29"/>
      <c r="BKE33" s="28"/>
      <c r="BKF33" s="29"/>
      <c r="BKG33" s="29"/>
      <c r="BKH33" s="29"/>
      <c r="BKI33" s="29"/>
      <c r="BKJ33" s="29"/>
      <c r="BKK33" s="28"/>
      <c r="BKL33" s="29"/>
      <c r="BKM33" s="29"/>
      <c r="BKN33" s="28"/>
      <c r="BKO33" s="29"/>
      <c r="BKP33" s="30"/>
      <c r="BKQ33" s="28"/>
      <c r="BKR33" s="29"/>
      <c r="BKS33" s="29"/>
      <c r="BKT33" s="29"/>
      <c r="BKU33" s="28"/>
      <c r="BKV33" s="29"/>
      <c r="BKW33" s="29"/>
      <c r="BKX33" s="28"/>
      <c r="BKY33" s="29"/>
      <c r="BKZ33" s="30"/>
      <c r="BLA33" s="28"/>
      <c r="BLB33" s="29"/>
      <c r="BLC33" s="29"/>
      <c r="BLD33" s="29"/>
      <c r="BLE33" s="28"/>
      <c r="BLF33" s="29"/>
      <c r="BLG33" s="29"/>
      <c r="BLH33" s="29"/>
      <c r="BLI33" s="29"/>
      <c r="BLJ33" s="29"/>
      <c r="BLK33" s="28"/>
      <c r="BLL33" s="29"/>
      <c r="BLM33" s="29"/>
      <c r="BLN33" s="28"/>
      <c r="BLO33" s="29"/>
      <c r="BLP33" s="30"/>
      <c r="BLQ33" s="28"/>
      <c r="BLR33" s="29"/>
      <c r="BLS33" s="29"/>
      <c r="BLT33" s="29"/>
      <c r="BLU33" s="28"/>
      <c r="BLV33" s="29"/>
      <c r="BLW33" s="29"/>
      <c r="BLX33" s="28"/>
      <c r="BLY33" s="29"/>
      <c r="BLZ33" s="30"/>
      <c r="BMA33" s="28"/>
      <c r="BMB33" s="29"/>
      <c r="BMC33" s="29"/>
      <c r="BMD33" s="29"/>
      <c r="BME33" s="28"/>
      <c r="BMF33" s="29"/>
      <c r="BMG33" s="29"/>
      <c r="BMH33" s="29"/>
      <c r="BMI33" s="29"/>
      <c r="BMJ33" s="29"/>
      <c r="BMK33" s="28"/>
      <c r="BML33" s="29"/>
      <c r="BMM33" s="29"/>
      <c r="BMN33" s="28"/>
      <c r="BMO33" s="29"/>
      <c r="BMP33" s="30"/>
      <c r="BMQ33" s="28"/>
      <c r="BMR33" s="29"/>
      <c r="BMS33" s="29"/>
      <c r="BMT33" s="29"/>
      <c r="BMU33" s="28"/>
      <c r="BMV33" s="29"/>
      <c r="BMW33" s="29"/>
      <c r="BMX33" s="28"/>
      <c r="BMY33" s="29"/>
      <c r="BMZ33" s="30"/>
      <c r="BNA33" s="28"/>
      <c r="BNB33" s="29"/>
      <c r="BNC33" s="29"/>
      <c r="BND33" s="29"/>
      <c r="BNE33" s="28"/>
      <c r="BNF33" s="29"/>
      <c r="BNG33" s="29"/>
      <c r="BNH33" s="29"/>
      <c r="BNI33" s="29"/>
      <c r="BNJ33" s="29"/>
      <c r="BNK33" s="28"/>
      <c r="BNL33" s="29"/>
      <c r="BNM33" s="29"/>
      <c r="BNN33" s="28"/>
      <c r="BNO33" s="29"/>
      <c r="BNP33" s="30"/>
      <c r="BNQ33" s="28"/>
      <c r="BNR33" s="29"/>
      <c r="BNS33" s="29"/>
      <c r="BNT33" s="29"/>
      <c r="BNU33" s="28"/>
      <c r="BNV33" s="29"/>
      <c r="BNW33" s="29"/>
      <c r="BNX33" s="28"/>
      <c r="BNY33" s="29"/>
      <c r="BNZ33" s="30"/>
      <c r="BOA33" s="28"/>
      <c r="BOB33" s="29"/>
      <c r="BOC33" s="29"/>
      <c r="BOD33" s="29"/>
      <c r="BOE33" s="28"/>
      <c r="BOF33" s="29"/>
      <c r="BOG33" s="29"/>
      <c r="BOH33" s="29"/>
      <c r="BOI33" s="29"/>
      <c r="BOJ33" s="29"/>
      <c r="BOK33" s="28"/>
      <c r="BOL33" s="29"/>
      <c r="BOM33" s="29"/>
      <c r="BON33" s="28"/>
      <c r="BOO33" s="29"/>
      <c r="BOP33" s="30"/>
      <c r="BOQ33" s="28"/>
      <c r="BOR33" s="29"/>
      <c r="BOS33" s="29"/>
      <c r="BOT33" s="29"/>
      <c r="BOU33" s="28"/>
      <c r="BOV33" s="29"/>
      <c r="BOW33" s="29"/>
      <c r="BOX33" s="28"/>
      <c r="BOY33" s="29"/>
      <c r="BOZ33" s="30"/>
      <c r="BPA33" s="28"/>
      <c r="BPB33" s="29"/>
      <c r="BPC33" s="29"/>
      <c r="BPD33" s="29"/>
      <c r="BPE33" s="28"/>
      <c r="BPF33" s="29"/>
      <c r="BPG33" s="29"/>
      <c r="BPH33" s="29"/>
      <c r="BPI33" s="29"/>
      <c r="BPJ33" s="29"/>
      <c r="BPK33" s="28"/>
      <c r="BPL33" s="29"/>
      <c r="BPM33" s="29"/>
      <c r="BPN33" s="28"/>
      <c r="BPO33" s="29"/>
      <c r="BPP33" s="30"/>
      <c r="BPQ33" s="28"/>
      <c r="BPR33" s="29"/>
      <c r="BPS33" s="29"/>
      <c r="BPT33" s="29"/>
      <c r="BPU33" s="28"/>
      <c r="BPV33" s="29"/>
      <c r="BPW33" s="29"/>
      <c r="BPX33" s="28"/>
      <c r="BPY33" s="29"/>
      <c r="BPZ33" s="30"/>
      <c r="BQA33" s="28"/>
      <c r="BQB33" s="29"/>
      <c r="BQC33" s="29"/>
      <c r="BQD33" s="29"/>
      <c r="BQE33" s="28"/>
      <c r="BQF33" s="29"/>
      <c r="BQG33" s="29"/>
      <c r="BQH33" s="29"/>
      <c r="BQI33" s="29"/>
      <c r="BQJ33" s="29"/>
      <c r="BQK33" s="28"/>
      <c r="BQL33" s="29"/>
      <c r="BQM33" s="29"/>
      <c r="BQN33" s="28"/>
      <c r="BQO33" s="29"/>
      <c r="BQP33" s="30"/>
      <c r="BQQ33" s="28"/>
      <c r="BQR33" s="29"/>
      <c r="BQS33" s="29"/>
      <c r="BQT33" s="29"/>
      <c r="BQU33" s="28"/>
      <c r="BQV33" s="29"/>
      <c r="BQW33" s="29"/>
      <c r="BQX33" s="28"/>
      <c r="BQY33" s="29"/>
      <c r="BQZ33" s="30"/>
      <c r="BRA33" s="28"/>
      <c r="BRB33" s="29"/>
      <c r="BRC33" s="29"/>
      <c r="BRD33" s="29"/>
      <c r="BRE33" s="28"/>
      <c r="BRF33" s="29"/>
      <c r="BRG33" s="29"/>
      <c r="BRH33" s="29"/>
      <c r="BRI33" s="29"/>
      <c r="BRJ33" s="29"/>
      <c r="BRK33" s="28"/>
      <c r="BRL33" s="29"/>
      <c r="BRM33" s="29"/>
      <c r="BRN33" s="28"/>
      <c r="BRO33" s="29"/>
      <c r="BRP33" s="30"/>
      <c r="BRQ33" s="28"/>
      <c r="BRR33" s="29"/>
      <c r="BRS33" s="29"/>
      <c r="BRT33" s="29"/>
      <c r="BRU33" s="28"/>
      <c r="BRV33" s="29"/>
      <c r="BRW33" s="29"/>
      <c r="BRX33" s="28"/>
      <c r="BRY33" s="29"/>
      <c r="BRZ33" s="30"/>
      <c r="BSA33" s="28"/>
      <c r="BSB33" s="29"/>
      <c r="BSC33" s="29"/>
      <c r="BSD33" s="29"/>
      <c r="BSE33" s="28"/>
      <c r="BSF33" s="29"/>
      <c r="BSG33" s="29"/>
      <c r="BSH33" s="29"/>
      <c r="BSI33" s="29"/>
      <c r="BSJ33" s="29"/>
      <c r="BSK33" s="28"/>
      <c r="BSL33" s="29"/>
      <c r="BSM33" s="29"/>
      <c r="BSN33" s="28"/>
      <c r="BSO33" s="29"/>
      <c r="BSP33" s="30"/>
      <c r="BSQ33" s="28"/>
      <c r="BSR33" s="29"/>
      <c r="BSS33" s="29"/>
      <c r="BST33" s="29"/>
      <c r="BSU33" s="28"/>
      <c r="BSV33" s="29"/>
      <c r="BSW33" s="29"/>
      <c r="BSX33" s="28"/>
      <c r="BSY33" s="29"/>
      <c r="BSZ33" s="30"/>
      <c r="BTA33" s="28"/>
      <c r="BTB33" s="29"/>
      <c r="BTC33" s="29"/>
      <c r="BTD33" s="29"/>
      <c r="BTE33" s="28"/>
      <c r="BTF33" s="29"/>
      <c r="BTG33" s="29"/>
      <c r="BTH33" s="29"/>
      <c r="BTI33" s="29"/>
      <c r="BTJ33" s="29"/>
      <c r="BTK33" s="28"/>
      <c r="BTL33" s="29"/>
      <c r="BTM33" s="29"/>
      <c r="BTN33" s="28"/>
      <c r="BTO33" s="29"/>
      <c r="BTP33" s="30"/>
      <c r="BTQ33" s="28"/>
      <c r="BTR33" s="29"/>
      <c r="BTS33" s="29"/>
      <c r="BTT33" s="29"/>
      <c r="BTU33" s="28"/>
      <c r="BTV33" s="29"/>
      <c r="BTW33" s="29"/>
      <c r="BTX33" s="28"/>
      <c r="BTY33" s="29"/>
      <c r="BTZ33" s="30"/>
      <c r="BUA33" s="28"/>
      <c r="BUB33" s="29"/>
      <c r="BUC33" s="29"/>
      <c r="BUD33" s="29"/>
      <c r="BUE33" s="28"/>
      <c r="BUF33" s="29"/>
      <c r="BUG33" s="29"/>
      <c r="BUH33" s="29"/>
      <c r="BUI33" s="29"/>
      <c r="BUJ33" s="29"/>
      <c r="BUK33" s="28"/>
      <c r="BUL33" s="29"/>
      <c r="BUM33" s="29"/>
      <c r="BUN33" s="28"/>
      <c r="BUO33" s="29"/>
      <c r="BUP33" s="30"/>
      <c r="BUQ33" s="28"/>
      <c r="BUR33" s="29"/>
      <c r="BUS33" s="29"/>
      <c r="BUT33" s="29"/>
      <c r="BUU33" s="28"/>
      <c r="BUV33" s="29"/>
      <c r="BUW33" s="29"/>
      <c r="BUX33" s="28"/>
      <c r="BUY33" s="29"/>
      <c r="BUZ33" s="30"/>
      <c r="BVA33" s="28"/>
      <c r="BVB33" s="29"/>
      <c r="BVC33" s="29"/>
      <c r="BVD33" s="29"/>
      <c r="BVE33" s="28"/>
      <c r="BVF33" s="29"/>
      <c r="BVG33" s="29"/>
      <c r="BVH33" s="29"/>
      <c r="BVI33" s="29"/>
      <c r="BVJ33" s="29"/>
      <c r="BVK33" s="28"/>
      <c r="BVL33" s="29"/>
      <c r="BVM33" s="29"/>
      <c r="BVN33" s="28"/>
      <c r="BVO33" s="29"/>
      <c r="BVP33" s="30"/>
      <c r="BVQ33" s="28"/>
      <c r="BVR33" s="29"/>
      <c r="BVS33" s="29"/>
      <c r="BVT33" s="29"/>
      <c r="BVU33" s="28"/>
      <c r="BVV33" s="29"/>
      <c r="BVW33" s="29"/>
      <c r="BVX33" s="28"/>
      <c r="BVY33" s="29"/>
      <c r="BVZ33" s="30"/>
      <c r="BWA33" s="28"/>
      <c r="BWB33" s="29"/>
      <c r="BWC33" s="29"/>
      <c r="BWD33" s="29"/>
      <c r="BWE33" s="28"/>
      <c r="BWF33" s="29"/>
      <c r="BWG33" s="29"/>
      <c r="BWH33" s="29"/>
      <c r="BWI33" s="29"/>
      <c r="BWJ33" s="29"/>
      <c r="BWK33" s="28"/>
      <c r="BWL33" s="29"/>
      <c r="BWM33" s="29"/>
      <c r="BWN33" s="28"/>
      <c r="BWO33" s="29"/>
      <c r="BWP33" s="30"/>
      <c r="BWQ33" s="28"/>
      <c r="BWR33" s="29"/>
      <c r="BWS33" s="29"/>
      <c r="BWT33" s="29"/>
      <c r="BWU33" s="28"/>
      <c r="BWV33" s="29"/>
      <c r="BWW33" s="29"/>
      <c r="BWX33" s="28"/>
      <c r="BWY33" s="29"/>
      <c r="BWZ33" s="30"/>
      <c r="BXA33" s="28"/>
      <c r="BXB33" s="29"/>
      <c r="BXC33" s="29"/>
      <c r="BXD33" s="29"/>
      <c r="BXE33" s="28"/>
      <c r="BXF33" s="29"/>
      <c r="BXG33" s="29"/>
      <c r="BXH33" s="29"/>
      <c r="BXI33" s="29"/>
      <c r="BXJ33" s="29"/>
      <c r="BXK33" s="28"/>
      <c r="BXL33" s="29"/>
      <c r="BXM33" s="29"/>
      <c r="BXN33" s="28"/>
      <c r="BXO33" s="29"/>
      <c r="BXP33" s="30"/>
      <c r="BXQ33" s="28"/>
      <c r="BXR33" s="29"/>
      <c r="BXS33" s="29"/>
      <c r="BXT33" s="29"/>
      <c r="BXU33" s="28"/>
      <c r="BXV33" s="29"/>
      <c r="BXW33" s="29"/>
      <c r="BXX33" s="28"/>
      <c r="BXY33" s="29"/>
      <c r="BXZ33" s="30"/>
      <c r="BYA33" s="28"/>
      <c r="BYB33" s="29"/>
      <c r="BYC33" s="29"/>
      <c r="BYD33" s="29"/>
      <c r="BYE33" s="28"/>
      <c r="BYF33" s="29"/>
      <c r="BYG33" s="29"/>
      <c r="BYH33" s="29"/>
      <c r="BYI33" s="29"/>
      <c r="BYJ33" s="29"/>
      <c r="BYK33" s="28"/>
      <c r="BYL33" s="29"/>
      <c r="BYM33" s="29"/>
      <c r="BYN33" s="28"/>
      <c r="BYO33" s="29"/>
      <c r="BYP33" s="30"/>
      <c r="BYQ33" s="28"/>
      <c r="BYR33" s="29"/>
      <c r="BYS33" s="29"/>
      <c r="BYT33" s="29"/>
      <c r="BYU33" s="28"/>
      <c r="BYV33" s="29"/>
      <c r="BYW33" s="29"/>
      <c r="BYX33" s="30"/>
      <c r="BYY33" s="29"/>
      <c r="BYZ33" s="28"/>
      <c r="BZA33" s="29"/>
      <c r="BZB33" s="28"/>
      <c r="BZC33" s="28"/>
      <c r="BZD33" s="28"/>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30"/>
      <c r="CAQ33" s="28"/>
      <c r="CAR33" s="29"/>
      <c r="CAS33" s="29"/>
      <c r="CAT33" s="29"/>
      <c r="CAU33" s="29"/>
      <c r="CAV33" s="29"/>
      <c r="CAW33" s="28"/>
      <c r="CAX33" s="29"/>
      <c r="CAY33" s="29"/>
      <c r="CAZ33" s="28"/>
      <c r="CBA33" s="29"/>
      <c r="CBB33" s="30"/>
      <c r="CBC33" s="28"/>
      <c r="CBD33" s="29"/>
      <c r="CBE33" s="29"/>
      <c r="CBF33" s="29"/>
      <c r="CBG33" s="28"/>
      <c r="CBH33" s="29"/>
      <c r="CBI33" s="29"/>
      <c r="CBJ33" s="28"/>
      <c r="CBK33" s="29"/>
      <c r="CBL33" s="30"/>
      <c r="CBM33" s="28"/>
      <c r="CBN33" s="29"/>
      <c r="CBO33" s="29"/>
      <c r="CBP33" s="29"/>
      <c r="CBQ33" s="28"/>
      <c r="CBR33" s="29"/>
      <c r="CBS33" s="29"/>
      <c r="CBT33" s="28"/>
      <c r="CBU33" s="29"/>
      <c r="CBV33" s="30"/>
      <c r="CBW33" s="28"/>
      <c r="CBX33" s="29"/>
      <c r="CBY33" s="29"/>
      <c r="CBZ33" s="29"/>
      <c r="CCA33" s="28"/>
      <c r="CCB33" s="29"/>
      <c r="CCC33" s="29"/>
      <c r="CCD33" s="28"/>
      <c r="CCE33" s="29"/>
      <c r="CCF33" s="30"/>
      <c r="CCG33" s="28"/>
      <c r="CCH33" s="30"/>
      <c r="CCI33" s="29"/>
      <c r="CCJ33" s="28"/>
      <c r="CCK33" s="29"/>
      <c r="CCL33" s="28"/>
      <c r="CCM33" s="28"/>
      <c r="CCN33" s="28"/>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30"/>
      <c r="CEA33" s="28"/>
      <c r="CEB33" s="29"/>
      <c r="CEC33" s="29"/>
      <c r="CED33" s="29"/>
      <c r="CEE33" s="29"/>
      <c r="CEF33" s="29"/>
      <c r="CEG33" s="28"/>
      <c r="CEH33" s="29"/>
      <c r="CEI33" s="29"/>
      <c r="CEJ33" s="28"/>
      <c r="CEK33" s="29"/>
      <c r="CEL33" s="30"/>
      <c r="CEM33" s="28"/>
      <c r="CEN33" s="29"/>
      <c r="CEO33" s="29"/>
      <c r="CEP33" s="29"/>
      <c r="CEQ33" s="28"/>
      <c r="CER33" s="29"/>
      <c r="CES33" s="29"/>
      <c r="CET33" s="28"/>
      <c r="CEU33" s="29"/>
      <c r="CEV33" s="30"/>
      <c r="CEW33" s="28"/>
      <c r="CEX33" s="29"/>
      <c r="CEY33" s="29"/>
      <c r="CEZ33" s="29"/>
      <c r="CFA33" s="28"/>
      <c r="CFB33" s="29"/>
      <c r="CFC33" s="29"/>
      <c r="CFD33" s="28"/>
      <c r="CFE33" s="29"/>
      <c r="CFF33" s="30"/>
      <c r="CFG33" s="28"/>
      <c r="CFH33" s="29"/>
      <c r="CFI33" s="29"/>
      <c r="CFJ33" s="29"/>
      <c r="CFK33" s="28"/>
      <c r="CFL33" s="29"/>
      <c r="CFM33" s="29"/>
      <c r="CFN33" s="28"/>
      <c r="CFO33" s="29"/>
      <c r="CFP33" s="30"/>
      <c r="CFQ33" s="28"/>
      <c r="CFR33" s="30"/>
      <c r="CFS33" s="29"/>
      <c r="CFT33" s="28"/>
      <c r="CFU33" s="29"/>
      <c r="CFV33" s="28"/>
      <c r="CFW33" s="28"/>
      <c r="CFX33" s="28"/>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30"/>
      <c r="CHK33" s="28"/>
      <c r="CHL33" s="29"/>
      <c r="CHM33" s="29"/>
      <c r="CHN33" s="29"/>
      <c r="CHO33" s="29"/>
      <c r="CHP33" s="29"/>
      <c r="CHQ33" s="28"/>
      <c r="CHR33" s="29"/>
      <c r="CHS33" s="29"/>
      <c r="CHT33" s="28"/>
      <c r="CHU33" s="29"/>
      <c r="CHV33" s="30"/>
      <c r="CHW33" s="28"/>
      <c r="CHX33" s="29"/>
      <c r="CHY33" s="29"/>
      <c r="CHZ33" s="29"/>
      <c r="CIA33" s="28"/>
      <c r="CIB33" s="29"/>
      <c r="CIC33" s="29"/>
      <c r="CID33" s="28"/>
      <c r="CIE33" s="29"/>
      <c r="CIF33" s="30"/>
      <c r="CIG33" s="28"/>
      <c r="CIH33" s="29"/>
      <c r="CII33" s="29"/>
      <c r="CIJ33" s="29"/>
      <c r="CIK33" s="28"/>
      <c r="CIL33" s="29"/>
      <c r="CIM33" s="29"/>
      <c r="CIN33" s="28"/>
      <c r="CIO33" s="29"/>
      <c r="CIP33" s="30"/>
      <c r="CIQ33" s="28"/>
      <c r="CIR33" s="29"/>
      <c r="CIS33" s="29"/>
      <c r="CIT33" s="29"/>
      <c r="CIU33" s="28"/>
      <c r="CIV33" s="29"/>
      <c r="CIW33" s="29"/>
      <c r="CIX33" s="28"/>
      <c r="CIY33" s="29"/>
      <c r="CIZ33" s="30"/>
      <c r="CJA33" s="28"/>
      <c r="CJB33" s="30"/>
      <c r="CJC33" s="29"/>
      <c r="CJD33" s="28"/>
      <c r="CJE33" s="29"/>
      <c r="CJF33" s="28"/>
      <c r="CJG33" s="28"/>
      <c r="CJH33" s="28"/>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30"/>
      <c r="CKU33" s="28"/>
      <c r="CKV33" s="29"/>
      <c r="CKW33" s="29"/>
      <c r="CKX33" s="29"/>
      <c r="CKY33" s="29"/>
      <c r="CKZ33" s="29"/>
      <c r="CLA33" s="28"/>
      <c r="CLB33" s="29"/>
      <c r="CLC33" s="29"/>
      <c r="CLD33" s="28"/>
      <c r="CLE33" s="29"/>
      <c r="CLF33" s="30"/>
      <c r="CLG33" s="28"/>
      <c r="CLH33" s="29"/>
      <c r="CLI33" s="29"/>
      <c r="CLJ33" s="29"/>
      <c r="CLK33" s="28"/>
      <c r="CLL33" s="29"/>
      <c r="CLM33" s="29"/>
      <c r="CLN33" s="28"/>
      <c r="CLO33" s="29"/>
      <c r="CLP33" s="30"/>
      <c r="CLQ33" s="28"/>
      <c r="CLR33" s="29"/>
      <c r="CLS33" s="29"/>
      <c r="CLT33" s="29"/>
      <c r="CLU33" s="28"/>
      <c r="CLV33" s="29"/>
      <c r="CLW33" s="29"/>
      <c r="CLX33" s="28"/>
      <c r="CLY33" s="29"/>
      <c r="CLZ33" s="30"/>
      <c r="CMA33" s="28"/>
      <c r="CMB33" s="29"/>
      <c r="CMC33" s="29"/>
      <c r="CMD33" s="29"/>
      <c r="CME33" s="28"/>
      <c r="CMF33" s="29"/>
      <c r="CMG33" s="29"/>
      <c r="CMH33" s="28"/>
      <c r="CMI33" s="29"/>
      <c r="CMJ33" s="30"/>
      <c r="CMK33" s="28"/>
      <c r="CML33" s="30"/>
      <c r="CMM33" s="29"/>
      <c r="CMN33" s="28"/>
      <c r="CMO33" s="29"/>
      <c r="CMP33" s="28"/>
      <c r="CMQ33" s="28"/>
      <c r="CMR33" s="28"/>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30"/>
      <c r="COE33" s="28"/>
      <c r="COF33" s="29"/>
      <c r="COG33" s="29"/>
      <c r="COH33" s="29"/>
      <c r="COI33" s="29"/>
      <c r="COJ33" s="29"/>
      <c r="COK33" s="28"/>
      <c r="COL33" s="29"/>
      <c r="COM33" s="29"/>
      <c r="CON33" s="28"/>
      <c r="COO33" s="29"/>
      <c r="COP33" s="30"/>
      <c r="COQ33" s="28"/>
      <c r="COR33" s="29"/>
      <c r="COS33" s="29"/>
      <c r="COT33" s="29"/>
      <c r="COU33" s="28"/>
      <c r="COV33" s="29"/>
      <c r="COW33" s="29"/>
      <c r="COX33" s="28"/>
      <c r="COY33" s="29"/>
      <c r="COZ33" s="30"/>
      <c r="CPA33" s="28"/>
      <c r="CPB33" s="29"/>
      <c r="CPC33" s="29"/>
      <c r="CPD33" s="29"/>
      <c r="CPE33" s="28"/>
      <c r="CPF33" s="29"/>
      <c r="CPG33" s="29"/>
      <c r="CPH33" s="28"/>
      <c r="CPI33" s="29"/>
      <c r="CPJ33" s="30"/>
      <c r="CPK33" s="28"/>
      <c r="CPL33" s="29"/>
      <c r="CPM33" s="29"/>
      <c r="CPN33" s="29"/>
      <c r="CPO33" s="28"/>
      <c r="CPP33" s="29"/>
      <c r="CPQ33" s="29"/>
      <c r="CPR33" s="28"/>
      <c r="CPS33" s="29"/>
      <c r="CPT33" s="30"/>
      <c r="CPU33" s="28"/>
      <c r="CPV33" s="30"/>
      <c r="CPW33" s="29"/>
      <c r="CPX33" s="28"/>
      <c r="CPY33" s="29"/>
      <c r="CPZ33" s="28"/>
      <c r="CQA33" s="28"/>
      <c r="CQB33" s="28"/>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30"/>
      <c r="CRO33" s="28"/>
      <c r="CRP33" s="29"/>
      <c r="CRQ33" s="29"/>
      <c r="CRR33" s="29"/>
      <c r="CRS33" s="29"/>
      <c r="CRT33" s="29"/>
      <c r="CRU33" s="28"/>
      <c r="CRV33" s="29"/>
      <c r="CRW33" s="29"/>
      <c r="CRX33" s="28"/>
      <c r="CRY33" s="29"/>
      <c r="CRZ33" s="30"/>
      <c r="CSA33" s="28"/>
      <c r="CSB33" s="29"/>
      <c r="CSC33" s="29"/>
      <c r="CSD33" s="29"/>
      <c r="CSE33" s="28"/>
      <c r="CSF33" s="29"/>
      <c r="CSG33" s="29"/>
      <c r="CSH33" s="28"/>
      <c r="CSI33" s="29"/>
      <c r="CSJ33" s="30"/>
      <c r="CSK33" s="28"/>
      <c r="CSL33" s="29"/>
      <c r="CSM33" s="29"/>
      <c r="CSN33" s="29"/>
      <c r="CSO33" s="28"/>
      <c r="CSP33" s="29"/>
      <c r="CSQ33" s="29"/>
      <c r="CSR33" s="28"/>
      <c r="CSS33" s="29"/>
      <c r="CST33" s="30"/>
      <c r="CSU33" s="28"/>
      <c r="CSV33" s="29"/>
      <c r="CSW33" s="29"/>
      <c r="CSX33" s="29"/>
      <c r="CSY33" s="28"/>
      <c r="CSZ33" s="29"/>
      <c r="CTA33" s="29"/>
      <c r="CTB33" s="28"/>
      <c r="CTC33" s="29"/>
      <c r="CTD33" s="30"/>
      <c r="CTE33" s="28"/>
      <c r="CTF33" s="30"/>
      <c r="CTG33" s="29"/>
      <c r="CTH33" s="28"/>
      <c r="CTI33" s="29"/>
      <c r="CTJ33" s="28"/>
      <c r="CTK33" s="28"/>
      <c r="CTL33" s="28"/>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30"/>
      <c r="CUY33" s="28"/>
      <c r="CUZ33" s="29"/>
      <c r="CVA33" s="29"/>
      <c r="CVB33" s="29"/>
      <c r="CVC33" s="29"/>
      <c r="CVD33" s="29"/>
      <c r="CVE33" s="28"/>
      <c r="CVF33" s="29"/>
      <c r="CVG33" s="29"/>
      <c r="CVH33" s="28"/>
      <c r="CVI33" s="29"/>
      <c r="CVJ33" s="30"/>
      <c r="CVK33" s="28"/>
      <c r="CVL33" s="29"/>
      <c r="CVM33" s="29"/>
      <c r="CVN33" s="29"/>
      <c r="CVO33" s="28"/>
      <c r="CVP33" s="29"/>
      <c r="CVQ33" s="29"/>
      <c r="CVR33" s="28"/>
      <c r="CVS33" s="29"/>
      <c r="CVT33" s="30"/>
      <c r="CVU33" s="28"/>
      <c r="CVV33" s="29"/>
      <c r="CVW33" s="29"/>
      <c r="CVX33" s="29"/>
      <c r="CVY33" s="28"/>
      <c r="CVZ33" s="29"/>
      <c r="CWA33" s="29"/>
      <c r="CWB33" s="28"/>
      <c r="CWC33" s="29"/>
      <c r="CWD33" s="30"/>
      <c r="CWE33" s="28"/>
      <c r="CWF33" s="29"/>
      <c r="CWG33" s="29"/>
      <c r="CWH33" s="29"/>
      <c r="CWI33" s="28"/>
      <c r="CWJ33" s="29"/>
      <c r="CWK33" s="29"/>
      <c r="CWL33" s="28"/>
      <c r="CWM33" s="29"/>
      <c r="CWN33" s="30"/>
      <c r="CWO33" s="28"/>
      <c r="CWP33" s="30"/>
      <c r="CWQ33" s="29"/>
      <c r="CWR33" s="28"/>
      <c r="CWS33" s="29"/>
      <c r="CWT33" s="28"/>
      <c r="CWU33" s="28"/>
      <c r="CWV33" s="28"/>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30"/>
      <c r="CYI33" s="28"/>
      <c r="CYJ33" s="29"/>
      <c r="CYK33" s="29"/>
      <c r="CYL33" s="29"/>
      <c r="CYM33" s="29"/>
      <c r="CYN33" s="29"/>
      <c r="CYO33" s="28"/>
      <c r="CYP33" s="29"/>
      <c r="CYQ33" s="29"/>
      <c r="CYR33" s="28"/>
      <c r="CYS33" s="29"/>
      <c r="CYT33" s="30"/>
      <c r="CYU33" s="28"/>
      <c r="CYV33" s="29"/>
      <c r="CYW33" s="29"/>
      <c r="CYX33" s="29"/>
      <c r="CYY33" s="28"/>
      <c r="CYZ33" s="29"/>
      <c r="CZA33" s="29"/>
      <c r="CZB33" s="28"/>
      <c r="CZC33" s="29"/>
      <c r="CZD33" s="30"/>
      <c r="CZE33" s="28"/>
      <c r="CZF33" s="29"/>
      <c r="CZG33" s="29"/>
      <c r="CZH33" s="29"/>
      <c r="CZI33" s="28"/>
      <c r="CZJ33" s="29"/>
      <c r="CZK33" s="29"/>
      <c r="CZL33" s="28"/>
      <c r="CZM33" s="29"/>
      <c r="CZN33" s="30"/>
      <c r="CZO33" s="28"/>
      <c r="CZP33" s="29"/>
      <c r="CZQ33" s="29"/>
      <c r="CZR33" s="29"/>
      <c r="CZS33" s="28"/>
      <c r="CZT33" s="29"/>
      <c r="CZU33" s="29"/>
      <c r="CZV33" s="28"/>
      <c r="CZW33" s="29"/>
      <c r="CZX33" s="30"/>
      <c r="CZY33" s="28"/>
      <c r="CZZ33" s="30"/>
      <c r="DAA33" s="29"/>
      <c r="DAB33" s="28"/>
      <c r="DAC33" s="29"/>
      <c r="DAD33" s="28"/>
      <c r="DAE33" s="28"/>
      <c r="DAF33" s="28"/>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30"/>
      <c r="DBS33" s="28"/>
      <c r="DBT33" s="29"/>
      <c r="DBU33" s="29"/>
      <c r="DBV33" s="29"/>
      <c r="DBW33" s="29"/>
      <c r="DBX33" s="29"/>
      <c r="DBY33" s="28"/>
      <c r="DBZ33" s="29"/>
      <c r="DCA33" s="29"/>
      <c r="DCB33" s="28"/>
      <c r="DCC33" s="29"/>
      <c r="DCD33" s="30"/>
      <c r="DCE33" s="28"/>
      <c r="DCF33" s="29"/>
      <c r="DCG33" s="29"/>
      <c r="DCH33" s="29"/>
      <c r="DCI33" s="28"/>
      <c r="DCJ33" s="29"/>
      <c r="DCK33" s="29"/>
      <c r="DCL33" s="28"/>
      <c r="DCM33" s="29"/>
      <c r="DCN33" s="30"/>
      <c r="DCO33" s="28"/>
      <c r="DCP33" s="29"/>
      <c r="DCQ33" s="29"/>
      <c r="DCR33" s="29"/>
      <c r="DCS33" s="28"/>
      <c r="DCT33" s="29"/>
      <c r="DCU33" s="29"/>
      <c r="DCV33" s="28"/>
      <c r="DCW33" s="29"/>
      <c r="DCX33" s="30"/>
      <c r="DCY33" s="28"/>
      <c r="DCZ33" s="29"/>
      <c r="DDA33" s="29"/>
      <c r="DDB33" s="29"/>
      <c r="DDC33" s="28"/>
      <c r="DDD33" s="29"/>
      <c r="DDE33" s="29"/>
      <c r="DDF33" s="28"/>
      <c r="DDG33" s="29"/>
      <c r="DDH33" s="30"/>
      <c r="DDI33" s="28"/>
      <c r="DDJ33" s="30"/>
      <c r="DDK33" s="29"/>
      <c r="DDL33" s="28"/>
      <c r="DDM33" s="29"/>
      <c r="DDN33" s="28"/>
      <c r="DDO33" s="28"/>
      <c r="DDP33" s="28"/>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30"/>
      <c r="DFC33" s="28"/>
      <c r="DFD33" s="29"/>
      <c r="DFE33" s="29"/>
      <c r="DFF33" s="29"/>
      <c r="DFG33" s="29"/>
      <c r="DFH33" s="29"/>
      <c r="DFI33" s="28"/>
      <c r="DFJ33" s="29"/>
      <c r="DFK33" s="29"/>
      <c r="DFL33" s="28"/>
      <c r="DFM33" s="29"/>
      <c r="DFN33" s="30"/>
      <c r="DFO33" s="28"/>
      <c r="DFP33" s="29"/>
      <c r="DFQ33" s="29"/>
      <c r="DFR33" s="29"/>
      <c r="DFS33" s="28"/>
      <c r="DFT33" s="29"/>
      <c r="DFU33" s="29"/>
      <c r="DFV33" s="28"/>
      <c r="DFW33" s="29"/>
      <c r="DFX33" s="30"/>
      <c r="DFY33" s="28"/>
      <c r="DFZ33" s="29"/>
      <c r="DGA33" s="29"/>
      <c r="DGB33" s="29"/>
      <c r="DGC33" s="28"/>
      <c r="DGD33" s="29"/>
      <c r="DGE33" s="29"/>
      <c r="DGF33" s="28"/>
      <c r="DGG33" s="29"/>
      <c r="DGH33" s="30"/>
      <c r="DGI33" s="28"/>
      <c r="DGJ33" s="29"/>
      <c r="DGK33" s="29"/>
      <c r="DGL33" s="29"/>
      <c r="DGM33" s="28"/>
      <c r="DGN33" s="29"/>
      <c r="DGO33" s="29"/>
      <c r="DGP33" s="28"/>
      <c r="DGQ33" s="29"/>
      <c r="DGR33" s="30"/>
      <c r="DGS33" s="28"/>
      <c r="DGT33" s="30"/>
      <c r="DGU33" s="29"/>
      <c r="DGV33" s="28"/>
      <c r="DGW33" s="29"/>
      <c r="DGX33" s="28"/>
      <c r="DGY33" s="28"/>
      <c r="DGZ33" s="28"/>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30"/>
      <c r="DIM33" s="28"/>
      <c r="DIN33" s="29"/>
      <c r="DIO33" s="29"/>
      <c r="DIP33" s="29"/>
      <c r="DIQ33" s="29"/>
      <c r="DIR33" s="29"/>
      <c r="DIS33" s="28"/>
      <c r="DIT33" s="29"/>
      <c r="DIU33" s="29"/>
      <c r="DIV33" s="28"/>
      <c r="DIW33" s="29"/>
      <c r="DIX33" s="30"/>
      <c r="DIY33" s="28"/>
      <c r="DIZ33" s="29"/>
      <c r="DJA33" s="29"/>
      <c r="DJB33" s="29"/>
      <c r="DJC33" s="28"/>
      <c r="DJD33" s="29"/>
      <c r="DJE33" s="29"/>
      <c r="DJF33" s="28"/>
      <c r="DJG33" s="29"/>
      <c r="DJH33" s="30"/>
      <c r="DJI33" s="28"/>
      <c r="DJJ33" s="29"/>
      <c r="DJK33" s="29"/>
      <c r="DJL33" s="29"/>
      <c r="DJM33" s="28"/>
      <c r="DJN33" s="29"/>
      <c r="DJO33" s="29"/>
      <c r="DJP33" s="28"/>
      <c r="DJQ33" s="29"/>
      <c r="DJR33" s="30"/>
      <c r="DJS33" s="28"/>
      <c r="DJT33" s="29"/>
      <c r="DJU33" s="29"/>
      <c r="DJV33" s="29"/>
      <c r="DJW33" s="28"/>
      <c r="DJX33" s="29"/>
      <c r="DJY33" s="29"/>
      <c r="DJZ33" s="28"/>
      <c r="DKA33" s="29"/>
      <c r="DKB33" s="30"/>
      <c r="DKC33" s="28"/>
      <c r="DKD33" s="30"/>
      <c r="DKE33" s="29"/>
      <c r="DKF33" s="28"/>
      <c r="DKG33" s="29"/>
      <c r="DKH33" s="28"/>
      <c r="DKI33" s="28"/>
      <c r="DKJ33" s="28"/>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30"/>
      <c r="DLW33" s="28"/>
      <c r="DLX33" s="29"/>
      <c r="DLY33" s="29"/>
      <c r="DLZ33" s="29"/>
      <c r="DMA33" s="29"/>
      <c r="DMB33" s="29"/>
      <c r="DMC33" s="28"/>
      <c r="DMD33" s="29"/>
      <c r="DME33" s="29"/>
      <c r="DMF33" s="28"/>
      <c r="DMG33" s="29"/>
      <c r="DMH33" s="30"/>
      <c r="DMI33" s="28"/>
      <c r="DMJ33" s="29"/>
      <c r="DMK33" s="29"/>
      <c r="DML33" s="29"/>
      <c r="DMM33" s="28"/>
      <c r="DMN33" s="29"/>
      <c r="DMO33" s="29"/>
      <c r="DMP33" s="28"/>
      <c r="DMQ33" s="29"/>
      <c r="DMR33" s="30"/>
      <c r="DMS33" s="28"/>
      <c r="DMT33" s="29"/>
      <c r="DMU33" s="29"/>
      <c r="DMV33" s="29"/>
      <c r="DMW33" s="28"/>
      <c r="DMX33" s="29"/>
      <c r="DMY33" s="29"/>
      <c r="DMZ33" s="28"/>
      <c r="DNA33" s="29"/>
      <c r="DNB33" s="30"/>
      <c r="DNC33" s="28"/>
      <c r="DND33" s="29"/>
      <c r="DNE33" s="29"/>
      <c r="DNF33" s="29"/>
      <c r="DNG33" s="28"/>
      <c r="DNH33" s="29"/>
      <c r="DNI33" s="29"/>
      <c r="DNJ33" s="28"/>
      <c r="DNK33" s="29"/>
      <c r="DNL33" s="30"/>
      <c r="DNM33" s="28"/>
      <c r="DNN33" s="30"/>
      <c r="DNO33" s="29"/>
      <c r="DNP33" s="28"/>
      <c r="DNQ33" s="29"/>
      <c r="DNR33" s="28"/>
      <c r="DNS33" s="28"/>
      <c r="DNT33" s="28"/>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30"/>
      <c r="DPG33" s="28"/>
      <c r="DPH33" s="29"/>
      <c r="DPI33" s="29"/>
      <c r="DPJ33" s="29"/>
      <c r="DPK33" s="29"/>
      <c r="DPL33" s="29"/>
      <c r="DPM33" s="28"/>
      <c r="DPN33" s="29"/>
      <c r="DPO33" s="29"/>
      <c r="DPP33" s="28"/>
      <c r="DPQ33" s="29"/>
      <c r="DPR33" s="30"/>
      <c r="DPS33" s="28"/>
      <c r="DPT33" s="29"/>
      <c r="DPU33" s="29"/>
      <c r="DPV33" s="29"/>
      <c r="DPW33" s="28"/>
      <c r="DPX33" s="29"/>
      <c r="DPY33" s="29"/>
      <c r="DPZ33" s="28"/>
      <c r="DQA33" s="29"/>
      <c r="DQB33" s="30"/>
      <c r="DQC33" s="28"/>
      <c r="DQD33" s="29"/>
      <c r="DQE33" s="29"/>
      <c r="DQF33" s="29"/>
      <c r="DQG33" s="28"/>
      <c r="DQH33" s="29"/>
      <c r="DQI33" s="29"/>
      <c r="DQJ33" s="28"/>
      <c r="DQK33" s="29"/>
      <c r="DQL33" s="30"/>
      <c r="DQM33" s="28"/>
      <c r="DQN33" s="29"/>
      <c r="DQO33" s="29"/>
      <c r="DQP33" s="29"/>
      <c r="DQQ33" s="28"/>
      <c r="DQR33" s="29"/>
      <c r="DQS33" s="29"/>
      <c r="DQT33" s="28"/>
      <c r="DQU33" s="29"/>
      <c r="DQV33" s="30"/>
      <c r="DQW33" s="28"/>
      <c r="DQX33" s="30"/>
      <c r="DQY33" s="29"/>
      <c r="DQZ33" s="28"/>
      <c r="DRA33" s="29"/>
      <c r="DRB33" s="28"/>
      <c r="DRC33" s="28"/>
      <c r="DRD33" s="28"/>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30"/>
      <c r="DSQ33" s="28"/>
      <c r="DSR33" s="29"/>
      <c r="DSS33" s="29"/>
      <c r="DST33" s="29"/>
      <c r="DSU33" s="29"/>
      <c r="DSV33" s="29"/>
      <c r="DSW33" s="28"/>
      <c r="DSX33" s="29"/>
      <c r="DSY33" s="29"/>
      <c r="DSZ33" s="28"/>
      <c r="DTA33" s="29"/>
      <c r="DTB33" s="30"/>
      <c r="DTC33" s="28"/>
      <c r="DTD33" s="29"/>
      <c r="DTE33" s="29"/>
      <c r="DTF33" s="29"/>
      <c r="DTG33" s="28"/>
      <c r="DTH33" s="29"/>
      <c r="DTI33" s="29"/>
      <c r="DTJ33" s="28"/>
      <c r="DTK33" s="29"/>
      <c r="DTL33" s="30"/>
      <c r="DTM33" s="28"/>
      <c r="DTN33" s="29"/>
      <c r="DTO33" s="29"/>
      <c r="DTP33" s="29"/>
      <c r="DTQ33" s="28"/>
      <c r="DTR33" s="29"/>
      <c r="DTS33" s="29"/>
      <c r="DTT33" s="28"/>
      <c r="DTU33" s="29"/>
      <c r="DTV33" s="30"/>
      <c r="DTW33" s="28"/>
      <c r="DTX33" s="29"/>
      <c r="DTY33" s="29"/>
      <c r="DTZ33" s="29"/>
      <c r="DUA33" s="28"/>
      <c r="DUB33" s="29"/>
      <c r="DUC33" s="29"/>
      <c r="DUD33" s="28"/>
      <c r="DUE33" s="29"/>
      <c r="DUF33" s="30"/>
      <c r="DUG33" s="28"/>
      <c r="DUH33" s="30"/>
      <c r="DUI33" s="29"/>
      <c r="DUJ33" s="28"/>
      <c r="DUK33" s="29"/>
      <c r="DUL33" s="28"/>
      <c r="DUM33" s="28"/>
      <c r="DUN33" s="28"/>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30"/>
      <c r="DWA33" s="28"/>
      <c r="DWB33" s="29"/>
      <c r="DWC33" s="29"/>
      <c r="DWD33" s="29"/>
      <c r="DWE33" s="29"/>
      <c r="DWF33" s="29"/>
      <c r="DWG33" s="28"/>
      <c r="DWH33" s="29"/>
      <c r="DWI33" s="29"/>
      <c r="DWJ33" s="28"/>
      <c r="DWK33" s="29"/>
      <c r="DWL33" s="30"/>
      <c r="DWM33" s="28"/>
      <c r="DWN33" s="29"/>
      <c r="DWO33" s="29"/>
      <c r="DWP33" s="29"/>
      <c r="DWQ33" s="28"/>
      <c r="DWR33" s="29"/>
      <c r="DWS33" s="29"/>
      <c r="DWT33" s="28"/>
      <c r="DWU33" s="29"/>
      <c r="DWV33" s="30"/>
      <c r="DWW33" s="28"/>
      <c r="DWX33" s="29"/>
      <c r="DWY33" s="29"/>
      <c r="DWZ33" s="29"/>
      <c r="DXA33" s="28"/>
      <c r="DXB33" s="29"/>
      <c r="DXC33" s="29"/>
      <c r="DXD33" s="28"/>
      <c r="DXE33" s="29"/>
      <c r="DXF33" s="30"/>
      <c r="DXG33" s="28"/>
      <c r="DXH33" s="29"/>
      <c r="DXI33" s="29"/>
      <c r="DXJ33" s="29"/>
      <c r="DXK33" s="28"/>
      <c r="DXL33" s="29"/>
      <c r="DXM33" s="29"/>
      <c r="DXN33" s="28"/>
      <c r="DXO33" s="29"/>
      <c r="DXP33" s="30"/>
      <c r="DXQ33" s="28"/>
      <c r="DXR33" s="30"/>
      <c r="DXS33" s="29"/>
      <c r="DXT33" s="28"/>
      <c r="DXU33" s="29"/>
      <c r="DXV33" s="28"/>
      <c r="DXW33" s="28"/>
      <c r="DXX33" s="28"/>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30"/>
      <c r="DZK33" s="28"/>
      <c r="DZL33" s="29"/>
      <c r="DZM33" s="29"/>
      <c r="DZN33" s="29"/>
      <c r="DZO33" s="29"/>
      <c r="DZP33" s="29"/>
      <c r="DZQ33" s="28"/>
      <c r="DZR33" s="29"/>
      <c r="DZS33" s="29"/>
      <c r="DZT33" s="28"/>
      <c r="DZU33" s="29"/>
      <c r="DZV33" s="30"/>
      <c r="DZW33" s="28"/>
      <c r="DZX33" s="29"/>
      <c r="DZY33" s="29"/>
      <c r="DZZ33" s="29"/>
      <c r="EAA33" s="28"/>
      <c r="EAB33" s="29"/>
      <c r="EAC33" s="29"/>
      <c r="EAD33" s="28"/>
      <c r="EAE33" s="29"/>
      <c r="EAF33" s="30"/>
      <c r="EAG33" s="28"/>
      <c r="EAH33" s="29"/>
      <c r="EAI33" s="29"/>
      <c r="EAJ33" s="29"/>
      <c r="EAK33" s="28"/>
      <c r="EAL33" s="29"/>
      <c r="EAM33" s="29"/>
      <c r="EAN33" s="28"/>
      <c r="EAO33" s="29"/>
      <c r="EAP33" s="30"/>
      <c r="EAQ33" s="28"/>
      <c r="EAR33" s="29"/>
      <c r="EAS33" s="29"/>
      <c r="EAT33" s="29"/>
      <c r="EAU33" s="28"/>
      <c r="EAV33" s="29"/>
      <c r="EAW33" s="29"/>
      <c r="EAX33" s="28"/>
      <c r="EAY33" s="29"/>
      <c r="EAZ33" s="30"/>
      <c r="EBA33" s="28"/>
      <c r="EBB33" s="30"/>
      <c r="EBC33" s="29"/>
      <c r="EBD33" s="28"/>
      <c r="EBE33" s="29"/>
      <c r="EBF33" s="28"/>
      <c r="EBG33" s="28"/>
      <c r="EBH33" s="28"/>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30"/>
      <c r="ECU33" s="28"/>
      <c r="ECV33" s="29"/>
      <c r="ECW33" s="29"/>
      <c r="ECX33" s="29"/>
      <c r="ECY33" s="29"/>
      <c r="ECZ33" s="29"/>
      <c r="EDA33" s="28"/>
      <c r="EDB33" s="29"/>
      <c r="EDC33" s="29"/>
      <c r="EDD33" s="28"/>
      <c r="EDE33" s="29"/>
      <c r="EDF33" s="30"/>
      <c r="EDG33" s="28"/>
      <c r="EDH33" s="29"/>
      <c r="EDI33" s="29"/>
      <c r="EDJ33" s="29"/>
      <c r="EDK33" s="28"/>
      <c r="EDL33" s="29"/>
      <c r="EDM33" s="29"/>
      <c r="EDN33" s="28"/>
      <c r="EDO33" s="29"/>
      <c r="EDP33" s="30"/>
      <c r="EDQ33" s="28"/>
      <c r="EDR33" s="29"/>
      <c r="EDS33" s="29"/>
      <c r="EDT33" s="29"/>
      <c r="EDU33" s="28"/>
      <c r="EDV33" s="29"/>
      <c r="EDW33" s="29"/>
      <c r="EDX33" s="28"/>
      <c r="EDY33" s="29"/>
      <c r="EDZ33" s="30"/>
      <c r="EEA33" s="28"/>
      <c r="EEB33" s="29"/>
      <c r="EEC33" s="29"/>
      <c r="EED33" s="29"/>
      <c r="EEE33" s="28"/>
      <c r="EEF33" s="29"/>
      <c r="EEG33" s="29"/>
      <c r="EEH33" s="28"/>
      <c r="EEI33" s="29"/>
      <c r="EEJ33" s="30"/>
      <c r="EEK33" s="28"/>
      <c r="EEL33" s="30"/>
      <c r="EEM33" s="29"/>
      <c r="EEN33" s="28"/>
      <c r="EEO33" s="29"/>
      <c r="EEP33" s="28"/>
      <c r="EEQ33" s="28"/>
      <c r="EER33" s="28"/>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30"/>
      <c r="EGE33" s="28"/>
      <c r="EGF33" s="29"/>
      <c r="EGG33" s="29"/>
      <c r="EGH33" s="29"/>
      <c r="EGI33" s="29"/>
      <c r="EGJ33" s="29"/>
      <c r="EGK33" s="28"/>
      <c r="EGL33" s="29"/>
      <c r="EGM33" s="29"/>
      <c r="EGN33" s="28"/>
      <c r="EGO33" s="29"/>
      <c r="EGP33" s="30"/>
      <c r="EGQ33" s="28"/>
      <c r="EGR33" s="29"/>
      <c r="EGS33" s="29"/>
      <c r="EGT33" s="29"/>
      <c r="EGU33" s="28"/>
      <c r="EGV33" s="29"/>
      <c r="EGW33" s="29"/>
      <c r="EGX33" s="28"/>
      <c r="EGY33" s="29"/>
      <c r="EGZ33" s="30"/>
      <c r="EHA33" s="28"/>
      <c r="EHB33" s="29"/>
      <c r="EHC33" s="29"/>
      <c r="EHD33" s="29"/>
      <c r="EHE33" s="28"/>
      <c r="EHF33" s="29"/>
      <c r="EHG33" s="29"/>
      <c r="EHH33" s="28"/>
      <c r="EHI33" s="29"/>
      <c r="EHJ33" s="30"/>
      <c r="EHK33" s="28"/>
      <c r="EHL33" s="29"/>
      <c r="EHM33" s="29"/>
      <c r="EHN33" s="29"/>
      <c r="EHO33" s="28"/>
      <c r="EHP33" s="29"/>
      <c r="EHQ33" s="29"/>
      <c r="EHR33" s="28"/>
      <c r="EHS33" s="29"/>
      <c r="EHT33" s="30"/>
      <c r="EHU33" s="28"/>
      <c r="EHV33" s="30"/>
      <c r="EHW33" s="29"/>
      <c r="EHX33" s="28"/>
      <c r="EHY33" s="29"/>
      <c r="EHZ33" s="28"/>
      <c r="EIA33" s="28"/>
      <c r="EIB33" s="28"/>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30"/>
      <c r="EJO33" s="28"/>
      <c r="EJP33" s="29"/>
      <c r="EJQ33" s="29"/>
      <c r="EJR33" s="29"/>
      <c r="EJS33" s="29"/>
      <c r="EJT33" s="29"/>
      <c r="EJU33" s="28"/>
      <c r="EJV33" s="29"/>
      <c r="EJW33" s="29"/>
      <c r="EJX33" s="28"/>
      <c r="EJY33" s="29"/>
      <c r="EJZ33" s="30"/>
      <c r="EKA33" s="28"/>
      <c r="EKB33" s="29"/>
      <c r="EKC33" s="29"/>
      <c r="EKD33" s="29"/>
      <c r="EKE33" s="28"/>
      <c r="EKF33" s="29"/>
      <c r="EKG33" s="29"/>
      <c r="EKH33" s="28"/>
      <c r="EKI33" s="29"/>
      <c r="EKJ33" s="30"/>
      <c r="EKK33" s="28"/>
      <c r="EKL33" s="29"/>
      <c r="EKM33" s="29"/>
      <c r="EKN33" s="29"/>
      <c r="EKO33" s="28"/>
      <c r="EKP33" s="29"/>
      <c r="EKQ33" s="29"/>
      <c r="EKR33" s="28"/>
      <c r="EKS33" s="29"/>
      <c r="EKT33" s="30"/>
      <c r="EKU33" s="28"/>
      <c r="EKV33" s="29"/>
      <c r="EKW33" s="29"/>
      <c r="EKX33" s="29"/>
      <c r="EKY33" s="28"/>
      <c r="EKZ33" s="29"/>
      <c r="ELA33" s="29"/>
      <c r="ELB33" s="28"/>
      <c r="ELC33" s="29"/>
      <c r="ELD33" s="30"/>
      <c r="ELE33" s="28"/>
      <c r="ELF33" s="30"/>
      <c r="ELG33" s="29"/>
      <c r="ELH33" s="28"/>
      <c r="ELI33" s="29"/>
      <c r="ELJ33" s="28"/>
      <c r="ELK33" s="28"/>
      <c r="ELL33" s="28"/>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30"/>
      <c r="EMY33" s="28"/>
      <c r="EMZ33" s="29"/>
      <c r="ENA33" s="29"/>
      <c r="ENB33" s="29"/>
      <c r="ENC33" s="29"/>
      <c r="END33" s="29"/>
      <c r="ENE33" s="28"/>
      <c r="ENF33" s="29"/>
      <c r="ENG33" s="29"/>
      <c r="ENH33" s="28"/>
      <c r="ENI33" s="29"/>
      <c r="ENJ33" s="30"/>
      <c r="ENK33" s="28"/>
      <c r="ENL33" s="29"/>
      <c r="ENM33" s="29"/>
      <c r="ENN33" s="29"/>
      <c r="ENO33" s="28"/>
      <c r="ENP33" s="29"/>
      <c r="ENQ33" s="29"/>
      <c r="ENR33" s="28"/>
      <c r="ENS33" s="29"/>
      <c r="ENT33" s="30"/>
      <c r="ENU33" s="28"/>
      <c r="ENV33" s="29"/>
      <c r="ENW33" s="29"/>
      <c r="ENX33" s="29"/>
      <c r="ENY33" s="28"/>
      <c r="ENZ33" s="29"/>
      <c r="EOA33" s="29"/>
      <c r="EOB33" s="28"/>
      <c r="EOC33" s="29"/>
      <c r="EOD33" s="30"/>
      <c r="EOE33" s="28"/>
      <c r="EOF33" s="29"/>
      <c r="EOG33" s="29"/>
      <c r="EOH33" s="29"/>
      <c r="EOI33" s="28"/>
      <c r="EOJ33" s="29"/>
      <c r="EOK33" s="29"/>
      <c r="EOL33" s="28"/>
      <c r="EOM33" s="29"/>
      <c r="EON33" s="30"/>
      <c r="EOO33" s="28" t="str">
        <f t="shared" si="149"/>
        <v xml:space="preserve"> </v>
      </c>
      <c r="EOP33" s="30"/>
      <c r="EOQ33" s="29"/>
      <c r="EOR33" s="28"/>
      <c r="EOS33" s="29"/>
      <c r="EOT33" s="28"/>
      <c r="EOU33" s="28"/>
      <c r="EOV33" s="28"/>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30"/>
      <c r="EQI33" s="28"/>
      <c r="EQJ33" s="29"/>
      <c r="EQK33" s="29"/>
      <c r="EQL33" s="29"/>
      <c r="EQM33" s="29"/>
      <c r="EQN33" s="29"/>
      <c r="EQO33" s="28"/>
      <c r="EQP33" s="29"/>
      <c r="EQQ33" s="29"/>
      <c r="EQR33" s="28"/>
      <c r="EQS33" s="29"/>
      <c r="EQT33" s="30"/>
      <c r="EQU33" s="28"/>
      <c r="EQV33" s="29"/>
      <c r="EQW33" s="29"/>
      <c r="EQX33" s="29"/>
      <c r="EQY33" s="28"/>
      <c r="EQZ33" s="29"/>
      <c r="ERA33" s="29"/>
      <c r="ERB33" s="28"/>
      <c r="ERC33" s="29"/>
      <c r="ERD33" s="30"/>
      <c r="ERE33" s="28"/>
      <c r="ERF33" s="29"/>
      <c r="ERG33" s="29"/>
      <c r="ERH33" s="29"/>
      <c r="ERI33" s="28"/>
      <c r="ERJ33" s="29"/>
      <c r="ERK33" s="29"/>
      <c r="ERL33" s="28"/>
      <c r="ERM33" s="29"/>
      <c r="ERN33" s="30"/>
      <c r="ERO33" s="28"/>
      <c r="ERP33" s="29"/>
      <c r="ERQ33" s="29"/>
      <c r="ERR33" s="29"/>
      <c r="ERS33" s="28"/>
      <c r="ERT33" s="29"/>
      <c r="ERU33" s="29"/>
      <c r="ERV33" s="28"/>
      <c r="ERW33" s="29"/>
      <c r="ERX33" s="30"/>
      <c r="ERY33" s="28" t="str">
        <f t="shared" si="152"/>
        <v xml:space="preserve"> </v>
      </c>
      <c r="ERZ33" s="30"/>
      <c r="ESA33" s="29"/>
      <c r="ESB33" s="28"/>
      <c r="ESC33" s="29"/>
      <c r="ESD33" s="28"/>
      <c r="ESE33" s="28"/>
      <c r="ESF33" s="28"/>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30"/>
      <c r="ETS33" s="28"/>
      <c r="ETT33" s="29"/>
      <c r="ETU33" s="29"/>
      <c r="ETV33" s="29"/>
      <c r="ETW33" s="29"/>
      <c r="ETX33" s="29"/>
      <c r="ETY33" s="28"/>
      <c r="ETZ33" s="29"/>
      <c r="EUA33" s="29"/>
      <c r="EUB33" s="28"/>
      <c r="EUC33" s="29"/>
      <c r="EUD33" s="30"/>
      <c r="EUE33" s="28"/>
      <c r="EUF33" s="29"/>
      <c r="EUG33" s="29"/>
      <c r="EUH33" s="29"/>
      <c r="EUI33" s="28"/>
      <c r="EUJ33" s="29"/>
      <c r="EUK33" s="29"/>
      <c r="EUL33" s="28"/>
      <c r="EUM33" s="29"/>
      <c r="EUN33" s="30"/>
      <c r="EUO33" s="28"/>
      <c r="EUP33" s="29"/>
      <c r="EUQ33" s="29"/>
      <c r="EUR33" s="29"/>
      <c r="EUS33" s="28"/>
      <c r="EUT33" s="29"/>
      <c r="EUU33" s="29"/>
      <c r="EUV33" s="28"/>
      <c r="EUW33" s="29"/>
      <c r="EUX33" s="30"/>
      <c r="EUY33" s="28"/>
      <c r="EUZ33" s="29"/>
      <c r="EVA33" s="29"/>
      <c r="EVB33" s="29"/>
      <c r="EVC33" s="28"/>
      <c r="EVD33" s="29"/>
      <c r="EVE33" s="29"/>
      <c r="EVF33" s="28"/>
      <c r="EVG33" s="29"/>
      <c r="EVH33" s="30"/>
      <c r="EVI33" s="28" t="str">
        <f t="shared" si="153"/>
        <v xml:space="preserve"> </v>
      </c>
    </row>
    <row r="34" spans="1:3961" x14ac:dyDescent="0.3">
      <c r="A34" s="424" t="s">
        <v>209</v>
      </c>
      <c r="B34" s="58" t="str">
        <f>'REG y VAL POE - AESR - ESR'!B2523</f>
        <v xml:space="preserve">Gutierrez Sotelo Diana Laura </v>
      </c>
      <c r="C34" s="57" t="str">
        <f>'REG y VAL POE - AESR - ESR'!C2523</f>
        <v>Sin Registro</v>
      </c>
      <c r="D34" s="56">
        <f>'REG y VAL POE - AESR - ESR'!D2523</f>
        <v>22234271</v>
      </c>
      <c r="E34" s="57">
        <f>'REG y VAL POE - AESR - ESR'!E2523</f>
        <v>0</v>
      </c>
      <c r="F34" s="56">
        <f>'REG y VAL POE - AESR - ESR'!F2523</f>
        <v>0</v>
      </c>
      <c r="G34" s="59">
        <f>'REG y VAL POE - AESR - ESR'!G2523</f>
        <v>0</v>
      </c>
      <c r="H34" s="59">
        <f>'REG y VAL POE - AESR - ESR'!H2523</f>
        <v>0</v>
      </c>
      <c r="I34" s="57">
        <f>'REG y VAL POE - AESR - ESR'!I2523</f>
        <v>0</v>
      </c>
      <c r="J34" s="57">
        <f>'REG y VAL POE - AESR - ESR'!J2523</f>
        <v>0</v>
      </c>
      <c r="K34" s="57">
        <f>'REG y VAL POE - AESR - ESR'!K2523</f>
        <v>0</v>
      </c>
      <c r="L34" s="57">
        <f>'REG y VAL POE - AESR - ESR'!L2523</f>
        <v>0</v>
      </c>
      <c r="M34" s="57">
        <f>'REG y VAL POE - AESR - ESR'!M2523</f>
        <v>0</v>
      </c>
      <c r="N34" s="57">
        <f>'REG y VAL POE - AESR - ESR'!N2523</f>
        <v>0</v>
      </c>
      <c r="O34" s="57">
        <f>'REG y VAL POE - AESR - ESR'!O2523</f>
        <v>0</v>
      </c>
      <c r="P34" s="57">
        <f>'REG y VAL POE - AESR - ESR'!P2523</f>
        <v>0</v>
      </c>
      <c r="Q34" s="57">
        <f>'REG y VAL POE - AESR - ESR'!Q2523</f>
        <v>0</v>
      </c>
      <c r="R34" s="57">
        <f>'REG y VAL POE - AESR - ESR'!R2523</f>
        <v>0</v>
      </c>
      <c r="S34" s="57">
        <f>'REG y VAL POE - AESR - ESR'!S2523</f>
        <v>0</v>
      </c>
      <c r="T34" s="57">
        <f>'REG y VAL POE - AESR - ESR'!T2523</f>
        <v>0</v>
      </c>
      <c r="U34" s="57">
        <f>'REG y VAL POE - AESR - ESR'!U2523</f>
        <v>0</v>
      </c>
      <c r="V34" s="57">
        <f>'REG y VAL POE - AESR - ESR'!V2523</f>
        <v>0</v>
      </c>
      <c r="W34" s="57">
        <f>'REG y VAL POE - AESR - ESR'!W2523</f>
        <v>0</v>
      </c>
      <c r="X34" s="57">
        <f>'REG y VAL POE - AESR - ESR'!X2523</f>
        <v>0</v>
      </c>
      <c r="Y34" s="57">
        <f>'REG y VAL POE - AESR - ESR'!Y2523</f>
        <v>0</v>
      </c>
      <c r="Z34" s="57">
        <f>'REG y VAL POE - AESR - ESR'!Z2523</f>
        <v>0</v>
      </c>
      <c r="AA34" s="57">
        <f>'REG y VAL POE - AESR - ESR'!AA2523</f>
        <v>0</v>
      </c>
      <c r="AB34" s="57">
        <f>'REG y VAL POE - AESR - ESR'!AB2523</f>
        <v>0</v>
      </c>
      <c r="AC34" s="57">
        <f>'REG y VAL POE - AESR - ESR'!AC2523</f>
        <v>0</v>
      </c>
      <c r="AD34" s="57">
        <f>'REG y VAL POE - AESR - ESR'!AD2523</f>
        <v>0</v>
      </c>
      <c r="AE34" s="57">
        <f>'REG y VAL POE - AESR - ESR'!AE2523</f>
        <v>0</v>
      </c>
      <c r="AF34" s="57">
        <f>'REG y VAL POE - AESR - ESR'!AF2523</f>
        <v>0</v>
      </c>
      <c r="AG34" s="57">
        <f>'REG y VAL POE - AESR - ESR'!AG2523</f>
        <v>0</v>
      </c>
      <c r="AH34" s="57">
        <f>'REG y VAL POE - AESR - ESR'!AH2523</f>
        <v>0</v>
      </c>
      <c r="AI34" s="57">
        <f>'REG y VAL POE - AESR - ESR'!AI2523</f>
        <v>0</v>
      </c>
      <c r="AJ34" s="57">
        <f>'REG y VAL POE - AESR - ESR'!AJ2523</f>
        <v>0</v>
      </c>
      <c r="AK34" s="57">
        <f>'REG y VAL POE - AESR - ESR'!AK2523</f>
        <v>0</v>
      </c>
      <c r="AL34" s="57">
        <f>'REG y VAL POE - AESR - ESR'!AL2523</f>
        <v>0</v>
      </c>
      <c r="AM34" s="57">
        <f>'REG y VAL POE - AESR - ESR'!AM2523</f>
        <v>0</v>
      </c>
      <c r="AN34" s="57">
        <f>'REG y VAL POE - AESR - ESR'!AN2523</f>
        <v>0</v>
      </c>
      <c r="AO34" s="57">
        <f>'REG y VAL POE - AESR - ESR'!AO2523</f>
        <v>0</v>
      </c>
      <c r="AP34" s="57">
        <f>'REG y VAL POE - AESR - ESR'!AP2523</f>
        <v>0</v>
      </c>
      <c r="AQ34" s="57">
        <f>'REG y VAL POE - AESR - ESR'!AQ2523</f>
        <v>0</v>
      </c>
      <c r="AR34" s="57">
        <f>'REG y VAL POE - AESR - ESR'!AR2523</f>
        <v>0</v>
      </c>
      <c r="AS34" s="57">
        <f>'REG y VAL POE - AESR - ESR'!AS2523</f>
        <v>0</v>
      </c>
      <c r="AT34" s="58" t="str">
        <f>'REG y VAL POE - AESR - ESR'!B2524</f>
        <v xml:space="preserve">Hernandez Gonzalez Agustin </v>
      </c>
      <c r="AU34" s="56" t="str">
        <f>'REG y VAL POE - AESR - ESR'!C2524</f>
        <v>Sin Registro</v>
      </c>
      <c r="AV34" s="57">
        <f>'REG y VAL POE - AESR - ESR'!D2524</f>
        <v>23176120</v>
      </c>
      <c r="AW34" s="57">
        <f>'REG y VAL POE - AESR - ESR'!E2524</f>
        <v>0</v>
      </c>
      <c r="AX34" s="57">
        <f>'REG y VAL POE - AESR - ESR'!F2524</f>
        <v>0</v>
      </c>
      <c r="AY34" s="57">
        <f>'REG y VAL POE - AESR - ESR'!G2524</f>
        <v>0</v>
      </c>
      <c r="AZ34" s="57">
        <f>'REG y VAL POE - AESR - ESR'!H2524</f>
        <v>0</v>
      </c>
      <c r="BA34" s="56">
        <f>'REG y VAL POE - AESR - ESR'!I2524</f>
        <v>0</v>
      </c>
      <c r="BB34" s="57">
        <f>'REG y VAL POE - AESR - ESR'!J2524</f>
        <v>0</v>
      </c>
      <c r="BC34" s="57">
        <f>'REG y VAL POE - AESR - ESR'!K2524</f>
        <v>0</v>
      </c>
      <c r="BD34" s="56">
        <f>'REG y VAL POE - AESR - ESR'!L2524</f>
        <v>0</v>
      </c>
      <c r="BE34" s="57">
        <f>'REG y VAL POE - AESR - ESR'!M2524</f>
        <v>0</v>
      </c>
      <c r="BF34" s="58">
        <f>'REG y VAL POE - AESR - ESR'!N2524</f>
        <v>0</v>
      </c>
      <c r="BG34" s="56">
        <f>'REG y VAL POE - AESR - ESR'!O2524</f>
        <v>0</v>
      </c>
      <c r="BH34" s="57">
        <f>'REG y VAL POE - AESR - ESR'!P2524</f>
        <v>0</v>
      </c>
      <c r="BI34" s="57">
        <f>'REG y VAL POE - AESR - ESR'!Q2524</f>
        <v>0</v>
      </c>
      <c r="BJ34" s="57">
        <f>'REG y VAL POE - AESR - ESR'!R2524</f>
        <v>0</v>
      </c>
      <c r="BK34" s="56">
        <f>'REG y VAL POE - AESR - ESR'!S2524</f>
        <v>0</v>
      </c>
      <c r="BL34" s="57">
        <f>'REG y VAL POE - AESR - ESR'!T2524</f>
        <v>0</v>
      </c>
      <c r="BM34" s="57">
        <f>'REG y VAL POE - AESR - ESR'!U2524</f>
        <v>0</v>
      </c>
      <c r="BN34" s="56">
        <f>'REG y VAL POE - AESR - ESR'!V2524</f>
        <v>0</v>
      </c>
      <c r="BO34" s="57">
        <f>'REG y VAL POE - AESR - ESR'!W2524</f>
        <v>0</v>
      </c>
      <c r="BP34" s="58">
        <f>'REG y VAL POE - AESR - ESR'!X2524</f>
        <v>0</v>
      </c>
      <c r="BQ34" s="56">
        <f>'REG y VAL POE - AESR - ESR'!Y2524</f>
        <v>0</v>
      </c>
      <c r="BR34" s="57">
        <f>'REG y VAL POE - AESR - ESR'!Z2524</f>
        <v>0</v>
      </c>
      <c r="BS34" s="57">
        <f>'REG y VAL POE - AESR - ESR'!AA2524</f>
        <v>0</v>
      </c>
      <c r="BT34" s="57">
        <f>'REG y VAL POE - AESR - ESR'!AB2524</f>
        <v>0</v>
      </c>
      <c r="BU34" s="56">
        <f>'REG y VAL POE - AESR - ESR'!AC2524</f>
        <v>0</v>
      </c>
      <c r="BV34" s="57">
        <f>'REG y VAL POE - AESR - ESR'!AD2524</f>
        <v>0</v>
      </c>
      <c r="BW34" s="57">
        <f>'REG y VAL POE - AESR - ESR'!AE2524</f>
        <v>0</v>
      </c>
      <c r="BX34" s="56">
        <f>'REG y VAL POE - AESR - ESR'!AF2524</f>
        <v>0</v>
      </c>
      <c r="BY34" s="57">
        <f>'REG y VAL POE - AESR - ESR'!AG2524</f>
        <v>0</v>
      </c>
      <c r="BZ34" s="58">
        <f>'REG y VAL POE - AESR - ESR'!AH2524</f>
        <v>0</v>
      </c>
      <c r="CA34" s="56">
        <f>'REG y VAL POE - AESR - ESR'!AI2524</f>
        <v>0</v>
      </c>
      <c r="CB34" s="57">
        <f>'REG y VAL POE - AESR - ESR'!AJ2524</f>
        <v>0</v>
      </c>
      <c r="CC34" s="57">
        <f>'REG y VAL POE - AESR - ESR'!AK2524</f>
        <v>0</v>
      </c>
      <c r="CD34" s="57">
        <f>'REG y VAL POE - AESR - ESR'!AL2524</f>
        <v>0</v>
      </c>
      <c r="CE34" s="56">
        <f>'REG y VAL POE - AESR - ESR'!AM2524</f>
        <v>0</v>
      </c>
      <c r="CF34" s="57">
        <f>'REG y VAL POE - AESR - ESR'!AN2524</f>
        <v>0</v>
      </c>
      <c r="CG34" s="57">
        <f>'REG y VAL POE - AESR - ESR'!AO2524</f>
        <v>0</v>
      </c>
      <c r="CH34" s="56">
        <f>'REG y VAL POE - AESR - ESR'!AP2524</f>
        <v>0</v>
      </c>
      <c r="CI34" s="57">
        <f>'REG y VAL POE - AESR - ESR'!AQ2524</f>
        <v>0</v>
      </c>
      <c r="CJ34" s="58">
        <f>'REG y VAL POE - AESR - ESR'!AR2524</f>
        <v>0</v>
      </c>
      <c r="CK34" s="56">
        <f>'REG y VAL POE - AESR - ESR'!AS2524</f>
        <v>0</v>
      </c>
      <c r="CL34" s="57">
        <f>'REG y VAL POE - AESR - ESR'!B2525</f>
        <v>0</v>
      </c>
      <c r="CM34" s="57">
        <f>'REG y VAL POE - AESR - ESR'!C2525</f>
        <v>0</v>
      </c>
      <c r="CN34" s="57">
        <f>'REG y VAL POE - AESR - ESR'!D2525</f>
        <v>0</v>
      </c>
      <c r="CO34" s="56">
        <f>'REG y VAL POE - AESR - ESR'!E2525</f>
        <v>0</v>
      </c>
      <c r="CP34" s="57">
        <f>'REG y VAL POE - AESR - ESR'!F2525</f>
        <v>0</v>
      </c>
      <c r="CQ34" s="57">
        <f>'REG y VAL POE - AESR - ESR'!G2525</f>
        <v>0</v>
      </c>
      <c r="CR34" s="56">
        <f>'REG y VAL POE - AESR - ESR'!H2525</f>
        <v>0</v>
      </c>
      <c r="CS34" s="57">
        <f>'REG y VAL POE - AESR - ESR'!I2525</f>
        <v>0</v>
      </c>
      <c r="CT34" s="58">
        <f>'REG y VAL POE - AESR - ESR'!J2525</f>
        <v>0</v>
      </c>
      <c r="CU34" s="56">
        <f>'REG y VAL POE - AESR - ESR'!K2525</f>
        <v>0</v>
      </c>
      <c r="CV34" s="57">
        <f>'REG y VAL POE - AESR - ESR'!L2525</f>
        <v>0</v>
      </c>
      <c r="CW34" s="57">
        <f>'REG y VAL POE - AESR - ESR'!M2525</f>
        <v>0</v>
      </c>
      <c r="CX34" s="57">
        <f>'REG y VAL POE - AESR - ESR'!N2525</f>
        <v>0</v>
      </c>
      <c r="CY34" s="56">
        <f>'REG y VAL POE - AESR - ESR'!O2525</f>
        <v>0</v>
      </c>
      <c r="CZ34" s="57">
        <f>'REG y VAL POE - AESR - ESR'!P2525</f>
        <v>0</v>
      </c>
      <c r="DA34" s="57">
        <f>'REG y VAL POE - AESR - ESR'!Q2525</f>
        <v>0</v>
      </c>
      <c r="DB34" s="56">
        <f>'REG y VAL POE - AESR - ESR'!R2525</f>
        <v>0</v>
      </c>
      <c r="DC34" s="57">
        <f>'REG y VAL POE - AESR - ESR'!S2525</f>
        <v>0</v>
      </c>
      <c r="DD34" s="58">
        <f>'REG y VAL POE - AESR - ESR'!T2525</f>
        <v>0</v>
      </c>
      <c r="DE34" s="56">
        <f>'REG y VAL POE - AESR - ESR'!U2525</f>
        <v>0</v>
      </c>
      <c r="DF34" s="57">
        <f>'REG y VAL POE - AESR - ESR'!V2525</f>
        <v>0</v>
      </c>
      <c r="DG34" s="57">
        <f>'REG y VAL POE - AESR - ESR'!W2525</f>
        <v>0</v>
      </c>
      <c r="DH34" s="57">
        <f>'REG y VAL POE - AESR - ESR'!X2525</f>
        <v>0</v>
      </c>
      <c r="DI34" s="56">
        <f>'REG y VAL POE - AESR - ESR'!Y2525</f>
        <v>0</v>
      </c>
      <c r="DJ34" s="57">
        <f>'REG y VAL POE - AESR - ESR'!Z2525</f>
        <v>0</v>
      </c>
      <c r="DK34" s="57">
        <f>'REG y VAL POE - AESR - ESR'!AA2525</f>
        <v>0</v>
      </c>
      <c r="DL34" s="56">
        <f>'REG y VAL POE - AESR - ESR'!AB2525</f>
        <v>0</v>
      </c>
      <c r="DM34" s="57">
        <f>'REG y VAL POE - AESR - ESR'!AC2525</f>
        <v>0</v>
      </c>
      <c r="DN34" s="58">
        <f>'REG y VAL POE - AESR - ESR'!AD2525</f>
        <v>0</v>
      </c>
      <c r="DO34" s="56">
        <f>'REG y VAL POE - AESR - ESR'!AE2525</f>
        <v>0</v>
      </c>
      <c r="DP34" s="57">
        <f>'REG y VAL POE - AESR - ESR'!AF2525</f>
        <v>0</v>
      </c>
      <c r="DQ34" s="57">
        <f>'REG y VAL POE - AESR - ESR'!AG2525</f>
        <v>0</v>
      </c>
      <c r="DR34" s="57">
        <f>'REG y VAL POE - AESR - ESR'!AH2525</f>
        <v>0</v>
      </c>
      <c r="DS34" s="56">
        <f>'REG y VAL POE - AESR - ESR'!AI2525</f>
        <v>0</v>
      </c>
      <c r="DT34" s="57">
        <f>'REG y VAL POE - AESR - ESR'!AJ2525</f>
        <v>0</v>
      </c>
      <c r="DU34" s="57">
        <f>'REG y VAL POE - AESR - ESR'!AK2525</f>
        <v>0</v>
      </c>
      <c r="DV34" s="56">
        <f>'REG y VAL POE - AESR - ESR'!AL2525</f>
        <v>0</v>
      </c>
      <c r="DW34" s="57">
        <f>'REG y VAL POE - AESR - ESR'!AM2525</f>
        <v>0</v>
      </c>
      <c r="DX34" s="58">
        <f>'REG y VAL POE - AESR - ESR'!AN2525</f>
        <v>0</v>
      </c>
      <c r="DY34" s="56">
        <f>'REG y VAL POE - AESR - ESR'!AO2525</f>
        <v>0</v>
      </c>
      <c r="DZ34" s="57">
        <f>'REG y VAL POE - AESR - ESR'!AP2525</f>
        <v>0</v>
      </c>
      <c r="EA34" s="57">
        <f>'REG y VAL POE - AESR - ESR'!AQ2525</f>
        <v>0</v>
      </c>
      <c r="EB34" s="57">
        <f>'REG y VAL POE - AESR - ESR'!AR2525</f>
        <v>0</v>
      </c>
      <c r="EC34" s="56">
        <f>'REG y VAL POE - AESR - ESR'!AS2525</f>
        <v>0</v>
      </c>
      <c r="ED34" s="57">
        <f>'REG y VAL POE - AESR - ESR'!B2526</f>
        <v>0</v>
      </c>
      <c r="EE34" s="56">
        <f>'REG y VAL POE - AESR - ESR'!C2526</f>
        <v>0</v>
      </c>
      <c r="EF34" s="56">
        <f>'REG y VAL POE - AESR - ESR'!D2526</f>
        <v>0</v>
      </c>
      <c r="EG34" s="57">
        <f>'REG y VAL POE - AESR - ESR'!E2526</f>
        <v>0</v>
      </c>
      <c r="EH34" s="58">
        <f>'REG y VAL POE - AESR - ESR'!F2526</f>
        <v>0</v>
      </c>
      <c r="EI34" s="56">
        <f>'REG y VAL POE - AESR - ESR'!G2526</f>
        <v>0</v>
      </c>
      <c r="EJ34" s="57">
        <f>'REG y VAL POE - AESR - ESR'!H2526</f>
        <v>0</v>
      </c>
      <c r="EK34" s="57">
        <f>'REG y VAL POE - AESR - ESR'!I2526</f>
        <v>0</v>
      </c>
      <c r="EL34" s="57">
        <f>'REG y VAL POE - AESR - ESR'!J2526</f>
        <v>0</v>
      </c>
      <c r="EM34" s="56">
        <f>'REG y VAL POE - AESR - ESR'!K2526</f>
        <v>0</v>
      </c>
      <c r="EN34" s="57">
        <f>'REG y VAL POE - AESR - ESR'!L2526</f>
        <v>0</v>
      </c>
      <c r="EO34" s="57">
        <f>'REG y VAL POE - AESR - ESR'!M2526</f>
        <v>0</v>
      </c>
      <c r="EP34" s="56">
        <f>'REG y VAL POE - AESR - ESR'!N2526</f>
        <v>0</v>
      </c>
      <c r="EQ34" s="57">
        <f>'REG y VAL POE - AESR - ESR'!O2526</f>
        <v>0</v>
      </c>
      <c r="ER34" s="58">
        <f>'REG y VAL POE - AESR - ESR'!P2526</f>
        <v>0</v>
      </c>
      <c r="ES34" s="56">
        <f>'REG y VAL POE - AESR - ESR'!Q2526</f>
        <v>0</v>
      </c>
      <c r="ET34" s="57">
        <f>'REG y VAL POE - AESR - ESR'!R2526</f>
        <v>0</v>
      </c>
      <c r="EU34" s="57">
        <f>'REG y VAL POE - AESR - ESR'!S2526</f>
        <v>0</v>
      </c>
      <c r="EV34" s="57">
        <f>'REG y VAL POE - AESR - ESR'!T2526</f>
        <v>0</v>
      </c>
      <c r="EW34" s="56">
        <f>'REG y VAL POE - AESR - ESR'!U2526</f>
        <v>0</v>
      </c>
      <c r="EX34" s="57">
        <f>'REG y VAL POE - AESR - ESR'!V2526</f>
        <v>0</v>
      </c>
      <c r="EY34" s="57">
        <f>'REG y VAL POE - AESR - ESR'!W2526</f>
        <v>0</v>
      </c>
      <c r="EZ34" s="56">
        <f>'REG y VAL POE - AESR - ESR'!X2526</f>
        <v>0</v>
      </c>
      <c r="FA34" s="57">
        <f>'REG y VAL POE - AESR - ESR'!Y2526</f>
        <v>0</v>
      </c>
      <c r="FB34" s="58">
        <f>'REG y VAL POE - AESR - ESR'!Z2526</f>
        <v>0</v>
      </c>
      <c r="FC34" s="56">
        <f>'REG y VAL POE - AESR - ESR'!AA2526</f>
        <v>0</v>
      </c>
      <c r="FD34" s="57">
        <f>'REG y VAL POE - AESR - ESR'!AB2526</f>
        <v>0</v>
      </c>
      <c r="FE34" s="57">
        <f>'REG y VAL POE - AESR - ESR'!AC2526</f>
        <v>0</v>
      </c>
      <c r="FF34" s="57">
        <f>'REG y VAL POE - AESR - ESR'!AD2526</f>
        <v>0</v>
      </c>
      <c r="FG34" s="56">
        <f>'REG y VAL POE - AESR - ESR'!AE2526</f>
        <v>0</v>
      </c>
      <c r="FH34" s="57">
        <f>'REG y VAL POE - AESR - ESR'!AF2526</f>
        <v>0</v>
      </c>
      <c r="FI34" s="57">
        <f>'REG y VAL POE - AESR - ESR'!AG2526</f>
        <v>0</v>
      </c>
      <c r="FJ34" s="56">
        <f>'REG y VAL POE - AESR - ESR'!AH2526</f>
        <v>0</v>
      </c>
      <c r="FK34" s="57">
        <f>'REG y VAL POE - AESR - ESR'!AI2526</f>
        <v>0</v>
      </c>
      <c r="FL34" s="58">
        <f>'REG y VAL POE - AESR - ESR'!AJ2526</f>
        <v>0</v>
      </c>
      <c r="FM34" s="56">
        <f>'REG y VAL POE - AESR - ESR'!AK2526</f>
        <v>0</v>
      </c>
      <c r="FN34" s="57">
        <f>'REG y VAL POE - AESR - ESR'!AL2526</f>
        <v>0</v>
      </c>
      <c r="FO34" s="57">
        <f>'REG y VAL POE - AESR - ESR'!AM2526</f>
        <v>0</v>
      </c>
      <c r="FP34" s="57">
        <f>'REG y VAL POE - AESR - ESR'!AN2526</f>
        <v>0</v>
      </c>
      <c r="FQ34" s="56">
        <f>'REG y VAL POE - AESR - ESR'!AO2526</f>
        <v>0</v>
      </c>
      <c r="FR34" s="57">
        <f>'REG y VAL POE - AESR - ESR'!AP2526</f>
        <v>0</v>
      </c>
      <c r="FS34" s="57">
        <f>'REG y VAL POE - AESR - ESR'!AQ2526</f>
        <v>0</v>
      </c>
      <c r="FT34" s="56">
        <f>'REG y VAL POE - AESR - ESR'!AR2526</f>
        <v>0</v>
      </c>
      <c r="FU34" s="57">
        <f>'REG y VAL POE - AESR - ESR'!AS2526</f>
        <v>0</v>
      </c>
      <c r="FV34" s="58">
        <f>'REG y VAL POE - AESR - ESR'!B2527</f>
        <v>0</v>
      </c>
      <c r="FW34" s="56">
        <f>'REG y VAL POE - AESR - ESR'!C2527</f>
        <v>0</v>
      </c>
      <c r="FX34" s="57">
        <f>'REG y VAL POE - AESR - ESR'!D2527</f>
        <v>0</v>
      </c>
      <c r="FY34" s="57">
        <f>'REG y VAL POE - AESR - ESR'!E2527</f>
        <v>0</v>
      </c>
      <c r="FZ34" s="57">
        <f>'REG y VAL POE - AESR - ESR'!F2527</f>
        <v>0</v>
      </c>
      <c r="GA34" s="56">
        <f>'REG y VAL POE - AESR - ESR'!G2527</f>
        <v>0</v>
      </c>
      <c r="GB34" s="57">
        <f>'REG y VAL POE - AESR - ESR'!H2527</f>
        <v>0</v>
      </c>
      <c r="GC34" s="57">
        <f>'REG y VAL POE - AESR - ESR'!I2527</f>
        <v>0</v>
      </c>
      <c r="GD34" s="56">
        <f>'REG y VAL POE - AESR - ESR'!J2527</f>
        <v>0</v>
      </c>
      <c r="GE34" s="57">
        <f>'REG y VAL POE - AESR - ESR'!K2527</f>
        <v>0</v>
      </c>
      <c r="GF34" s="58">
        <f>'REG y VAL POE - AESR - ESR'!L2527</f>
        <v>0</v>
      </c>
      <c r="GG34" s="56">
        <f>'REG y VAL POE - AESR - ESR'!M2527</f>
        <v>0</v>
      </c>
      <c r="GH34" s="57">
        <f>'REG y VAL POE - AESR - ESR'!N2527</f>
        <v>0</v>
      </c>
      <c r="GI34" s="57">
        <f>'REG y VAL POE - AESR - ESR'!O2527</f>
        <v>0</v>
      </c>
      <c r="GJ34" s="57">
        <f>'REG y VAL POE - AESR - ESR'!P2527</f>
        <v>0</v>
      </c>
      <c r="GK34" s="56">
        <f>'REG y VAL POE - AESR - ESR'!Q2527</f>
        <v>0</v>
      </c>
      <c r="GL34" s="57">
        <f>'REG y VAL POE - AESR - ESR'!R2527</f>
        <v>0</v>
      </c>
      <c r="GM34" s="57">
        <f>'REG y VAL POE - AESR - ESR'!S2527</f>
        <v>0</v>
      </c>
      <c r="GN34" s="56">
        <f>'REG y VAL POE - AESR - ESR'!T2527</f>
        <v>0</v>
      </c>
      <c r="GO34" s="57">
        <f>'REG y VAL POE - AESR - ESR'!U2527</f>
        <v>0</v>
      </c>
      <c r="GP34" s="58">
        <f>'REG y VAL POE - AESR - ESR'!V2527</f>
        <v>0</v>
      </c>
      <c r="GQ34" s="56">
        <f>'REG y VAL POE - AESR - ESR'!W2527</f>
        <v>0</v>
      </c>
      <c r="GR34" s="57">
        <f>'REG y VAL POE - AESR - ESR'!X2527</f>
        <v>0</v>
      </c>
      <c r="GS34" s="57">
        <f>'REG y VAL POE - AESR - ESR'!Y2527</f>
        <v>0</v>
      </c>
      <c r="GT34" s="57">
        <f>'REG y VAL POE - AESR - ESR'!Z2527</f>
        <v>0</v>
      </c>
      <c r="GU34" s="56">
        <f>'REG y VAL POE - AESR - ESR'!AA2527</f>
        <v>0</v>
      </c>
      <c r="GV34" s="57">
        <f>'REG y VAL POE - AESR - ESR'!AB2527</f>
        <v>0</v>
      </c>
      <c r="GW34" s="57">
        <f>'REG y VAL POE - AESR - ESR'!AC2527</f>
        <v>0</v>
      </c>
      <c r="GX34" s="56">
        <f>'REG y VAL POE - AESR - ESR'!AD2527</f>
        <v>0</v>
      </c>
      <c r="GY34" s="57">
        <f>'REG y VAL POE - AESR - ESR'!AE2527</f>
        <v>0</v>
      </c>
      <c r="GZ34" s="58">
        <f>'REG y VAL POE - AESR - ESR'!AF2527</f>
        <v>0</v>
      </c>
      <c r="HA34" s="56">
        <f>'REG y VAL POE - AESR - ESR'!AG2527</f>
        <v>0</v>
      </c>
      <c r="HB34" s="57">
        <f>'REG y VAL POE - AESR - ESR'!AH2527</f>
        <v>0</v>
      </c>
      <c r="HC34" s="57">
        <f>'REG y VAL POE - AESR - ESR'!AI2527</f>
        <v>0</v>
      </c>
      <c r="HD34" s="57">
        <f>'REG y VAL POE - AESR - ESR'!AJ2527</f>
        <v>0</v>
      </c>
      <c r="HE34" s="56">
        <f>'REG y VAL POE - AESR - ESR'!AK2527</f>
        <v>0</v>
      </c>
      <c r="HF34" s="57">
        <f>'REG y VAL POE - AESR - ESR'!AL2527</f>
        <v>0</v>
      </c>
      <c r="HG34" s="57">
        <f>'REG y VAL POE - AESR - ESR'!AM2527</f>
        <v>0</v>
      </c>
      <c r="HH34" s="56">
        <f>'REG y VAL POE - AESR - ESR'!AN2527</f>
        <v>0</v>
      </c>
      <c r="HI34" s="57">
        <f>'REG y VAL POE - AESR - ESR'!AO2527</f>
        <v>0</v>
      </c>
      <c r="HJ34" s="58">
        <f>'REG y VAL POE - AESR - ESR'!AP2527</f>
        <v>0</v>
      </c>
      <c r="HK34" s="56">
        <f>'REG y VAL POE - AESR - ESR'!AQ2527</f>
        <v>0</v>
      </c>
      <c r="HL34" s="57">
        <f>'REG y VAL POE - AESR - ESR'!AR2527</f>
        <v>0</v>
      </c>
      <c r="HM34" s="57">
        <f>'REG y VAL POE - AESR - ESR'!AS2527</f>
        <v>0</v>
      </c>
      <c r="HN34" s="57">
        <f>'REG y VAL POE - AESR - ESR'!B2528</f>
        <v>0</v>
      </c>
      <c r="HO34" s="56">
        <f>'REG y VAL POE - AESR - ESR'!C2528</f>
        <v>0</v>
      </c>
      <c r="HP34" s="57">
        <f>'REG y VAL POE - AESR - ESR'!D2528</f>
        <v>0</v>
      </c>
      <c r="HQ34" s="57">
        <f>'REG y VAL POE - AESR - ESR'!E2528</f>
        <v>0</v>
      </c>
      <c r="HR34" s="56">
        <f>'REG y VAL POE - AESR - ESR'!F2528</f>
        <v>0</v>
      </c>
      <c r="HS34" s="57">
        <f>'REG y VAL POE - AESR - ESR'!G2528</f>
        <v>0</v>
      </c>
      <c r="HT34" s="58">
        <f>'REG y VAL POE - AESR - ESR'!H2528</f>
        <v>0</v>
      </c>
      <c r="HU34" s="56">
        <f>'REG y VAL POE - AESR - ESR'!I2528</f>
        <v>0</v>
      </c>
      <c r="HV34" s="57">
        <f>'REG y VAL POE - AESR - ESR'!J2528</f>
        <v>0</v>
      </c>
      <c r="HW34" s="57">
        <f>'REG y VAL POE - AESR - ESR'!K2528</f>
        <v>0</v>
      </c>
      <c r="HX34" s="57">
        <f>'REG y VAL POE - AESR - ESR'!L2528</f>
        <v>0</v>
      </c>
      <c r="HY34" s="56">
        <f>'REG y VAL POE - AESR - ESR'!M2528</f>
        <v>0</v>
      </c>
      <c r="HZ34" s="57">
        <f>'REG y VAL POE - AESR - ESR'!N2528</f>
        <v>0</v>
      </c>
      <c r="IA34" s="57">
        <f>'REG y VAL POE - AESR - ESR'!O2528</f>
        <v>0</v>
      </c>
      <c r="IB34" s="56">
        <f>'REG y VAL POE - AESR - ESR'!P2528</f>
        <v>0</v>
      </c>
      <c r="IC34" s="57">
        <f>'REG y VAL POE - AESR - ESR'!Q2528</f>
        <v>0</v>
      </c>
      <c r="ID34" s="58">
        <f>'REG y VAL POE - AESR - ESR'!R2528</f>
        <v>0</v>
      </c>
      <c r="IE34" s="56">
        <f>'REG y VAL POE - AESR - ESR'!S2528</f>
        <v>0</v>
      </c>
      <c r="IF34" s="57">
        <f>'REG y VAL POE - AESR - ESR'!T2528</f>
        <v>0</v>
      </c>
      <c r="IG34" s="57">
        <f>'REG y VAL POE - AESR - ESR'!U2528</f>
        <v>0</v>
      </c>
      <c r="IH34" s="57">
        <f>'REG y VAL POE - AESR - ESR'!V2528</f>
        <v>0</v>
      </c>
      <c r="II34" s="56">
        <f>'REG y VAL POE - AESR - ESR'!W2528</f>
        <v>0</v>
      </c>
      <c r="IJ34" s="57">
        <f>'REG y VAL POE - AESR - ESR'!X2528</f>
        <v>0</v>
      </c>
      <c r="IK34" s="57">
        <f>'REG y VAL POE - AESR - ESR'!Y2528</f>
        <v>0</v>
      </c>
      <c r="IL34" s="56">
        <f>'REG y VAL POE - AESR - ESR'!Z2528</f>
        <v>0</v>
      </c>
      <c r="IM34" s="57">
        <f>'REG y VAL POE - AESR - ESR'!AA2528</f>
        <v>0</v>
      </c>
      <c r="IN34" s="58">
        <f>'REG y VAL POE - AESR - ESR'!AB2528</f>
        <v>0</v>
      </c>
      <c r="IO34" s="56">
        <f>'REG y VAL POE - AESR - ESR'!AC2528</f>
        <v>0</v>
      </c>
      <c r="IP34" s="57">
        <f>'REG y VAL POE - AESR - ESR'!AD2528</f>
        <v>0</v>
      </c>
      <c r="IQ34" s="57">
        <f>'REG y VAL POE - AESR - ESR'!AE2528</f>
        <v>0</v>
      </c>
      <c r="IR34" s="57">
        <f>'REG y VAL POE - AESR - ESR'!AF2528</f>
        <v>0</v>
      </c>
      <c r="IS34" s="56">
        <f>'REG y VAL POE - AESR - ESR'!AG2528</f>
        <v>0</v>
      </c>
      <c r="IT34" s="57">
        <f>'REG y VAL POE - AESR - ESR'!AH2528</f>
        <v>0</v>
      </c>
      <c r="IU34" s="57">
        <f>'REG y VAL POE - AESR - ESR'!AI2528</f>
        <v>0</v>
      </c>
      <c r="IV34" s="56">
        <f>'REG y VAL POE - AESR - ESR'!AJ2528</f>
        <v>0</v>
      </c>
      <c r="IW34" s="57">
        <f>'REG y VAL POE - AESR - ESR'!AK2528</f>
        <v>0</v>
      </c>
      <c r="IX34" s="58">
        <f>'REG y VAL POE - AESR - ESR'!AL2528</f>
        <v>0</v>
      </c>
      <c r="IY34" s="56">
        <f>'REG y VAL POE - AESR - ESR'!AM2528</f>
        <v>0</v>
      </c>
      <c r="IZ34" s="57">
        <f>'REG y VAL POE - AESR - ESR'!AN2528</f>
        <v>0</v>
      </c>
      <c r="JA34" s="57">
        <f>'REG y VAL POE - AESR - ESR'!AO2528</f>
        <v>0</v>
      </c>
      <c r="JB34" s="57">
        <f>'REG y VAL POE - AESR - ESR'!AP2528</f>
        <v>0</v>
      </c>
      <c r="JC34" s="56">
        <f>'REG y VAL POE - AESR - ESR'!AQ2528</f>
        <v>0</v>
      </c>
      <c r="JD34" s="57">
        <f>'REG y VAL POE - AESR - ESR'!AR2528</f>
        <v>0</v>
      </c>
      <c r="JE34" s="57">
        <f>'REG y VAL POE - AESR - ESR'!AS2528</f>
        <v>0</v>
      </c>
      <c r="JF34" s="56">
        <f>'REG y VAL POE - AESR - ESR'!B2529</f>
        <v>0</v>
      </c>
      <c r="JG34" s="57">
        <f>'REG y VAL POE - AESR - ESR'!C2529</f>
        <v>0</v>
      </c>
      <c r="JH34" s="58">
        <f>'REG y VAL POE - AESR - ESR'!D2529</f>
        <v>0</v>
      </c>
      <c r="JI34" s="56">
        <f>'REG y VAL POE - AESR - ESR'!E2529</f>
        <v>0</v>
      </c>
      <c r="JJ34" s="57">
        <f>'REG y VAL POE - AESR - ESR'!F2529</f>
        <v>0</v>
      </c>
      <c r="JK34" s="57">
        <f>'REG y VAL POE - AESR - ESR'!G2529</f>
        <v>0</v>
      </c>
      <c r="JL34" s="57">
        <f>'REG y VAL POE - AESR - ESR'!H2529</f>
        <v>0</v>
      </c>
      <c r="JM34" s="56">
        <f>'REG y VAL POE - AESR - ESR'!I2529</f>
        <v>0</v>
      </c>
      <c r="JN34" s="57">
        <f>'REG y VAL POE - AESR - ESR'!J2529</f>
        <v>0</v>
      </c>
      <c r="JO34" s="57">
        <f>'REG y VAL POE - AESR - ESR'!K2529</f>
        <v>0</v>
      </c>
      <c r="JP34" s="56">
        <f>'REG y VAL POE - AESR - ESR'!L2529</f>
        <v>0</v>
      </c>
      <c r="JQ34" s="57">
        <f>'REG y VAL POE - AESR - ESR'!M2529</f>
        <v>0</v>
      </c>
      <c r="JR34" s="58">
        <f>'REG y VAL POE - AESR - ESR'!N2529</f>
        <v>0</v>
      </c>
      <c r="JS34" s="56">
        <f>'REG y VAL POE - AESR - ESR'!O2529</f>
        <v>0</v>
      </c>
      <c r="JT34" s="57">
        <f>'REG y VAL POE - AESR - ESR'!P2529</f>
        <v>0</v>
      </c>
      <c r="JU34" s="57">
        <f>'REG y VAL POE - AESR - ESR'!Q2529</f>
        <v>0</v>
      </c>
      <c r="JV34" s="57">
        <f>'REG y VAL POE - AESR - ESR'!R2529</f>
        <v>0</v>
      </c>
      <c r="JW34" s="56">
        <f>'REG y VAL POE - AESR - ESR'!S2529</f>
        <v>0</v>
      </c>
      <c r="JX34" s="57">
        <f>'REG y VAL POE - AESR - ESR'!T2529</f>
        <v>0</v>
      </c>
      <c r="JY34" s="57">
        <f>'REG y VAL POE - AESR - ESR'!U2529</f>
        <v>0</v>
      </c>
      <c r="JZ34" s="56">
        <f>'REG y VAL POE - AESR - ESR'!V2529</f>
        <v>0</v>
      </c>
      <c r="KA34" s="57">
        <f>'REG y VAL POE - AESR - ESR'!W2529</f>
        <v>0</v>
      </c>
      <c r="KB34" s="58">
        <f>'REG y VAL POE - AESR - ESR'!X2529</f>
        <v>0</v>
      </c>
      <c r="KC34" s="56">
        <f>'REG y VAL POE - AESR - ESR'!Y2529</f>
        <v>0</v>
      </c>
      <c r="KD34" s="57">
        <f>'REG y VAL POE - AESR - ESR'!Z2529</f>
        <v>0</v>
      </c>
      <c r="KE34" s="57">
        <f>'REG y VAL POE - AESR - ESR'!AA2529</f>
        <v>0</v>
      </c>
      <c r="KF34" s="57">
        <f>'REG y VAL POE - AESR - ESR'!AB2529</f>
        <v>0</v>
      </c>
      <c r="KG34" s="56">
        <f>'REG y VAL POE - AESR - ESR'!AC2529</f>
        <v>0</v>
      </c>
      <c r="KH34" s="57">
        <f>'REG y VAL POE - AESR - ESR'!AD2529</f>
        <v>0</v>
      </c>
      <c r="KI34" s="57">
        <f>'REG y VAL POE - AESR - ESR'!AE2529</f>
        <v>0</v>
      </c>
      <c r="KJ34" s="56">
        <f>'REG y VAL POE - AESR - ESR'!AF2529</f>
        <v>0</v>
      </c>
      <c r="KK34" s="57">
        <f>'REG y VAL POE - AESR - ESR'!AG2529</f>
        <v>0</v>
      </c>
      <c r="KL34" s="58">
        <f>'REG y VAL POE - AESR - ESR'!AH2529</f>
        <v>0</v>
      </c>
      <c r="KM34" s="56">
        <f>'REG y VAL POE - AESR - ESR'!AI2529</f>
        <v>0</v>
      </c>
      <c r="KN34" s="57">
        <f>'REG y VAL POE - AESR - ESR'!AJ2529</f>
        <v>0</v>
      </c>
      <c r="KO34" s="57">
        <f>'REG y VAL POE - AESR - ESR'!AK2529</f>
        <v>0</v>
      </c>
      <c r="KP34" s="57">
        <f>'REG y VAL POE - AESR - ESR'!AL2529</f>
        <v>0</v>
      </c>
      <c r="KQ34" s="56">
        <f>'REG y VAL POE - AESR - ESR'!AM2529</f>
        <v>0</v>
      </c>
      <c r="KR34" s="57">
        <f>'REG y VAL POE - AESR - ESR'!AN2529</f>
        <v>0</v>
      </c>
      <c r="KS34" s="57">
        <f>'REG y VAL POE - AESR - ESR'!AO2529</f>
        <v>0</v>
      </c>
      <c r="KT34" s="56">
        <f>'REG y VAL POE - AESR - ESR'!AP2529</f>
        <v>0</v>
      </c>
      <c r="KU34" s="57">
        <f>'REG y VAL POE - AESR - ESR'!AQ2529</f>
        <v>0</v>
      </c>
      <c r="KV34" s="58">
        <f>'REG y VAL POE - AESR - ESR'!AR2529</f>
        <v>0</v>
      </c>
      <c r="KW34" s="56">
        <f>'REG y VAL POE - AESR - ESR'!AS2529</f>
        <v>0</v>
      </c>
      <c r="KX34" s="57">
        <f>'REG y VAL POE - AESR - ESR'!B2530</f>
        <v>0</v>
      </c>
      <c r="KY34" s="57">
        <f>'REG y VAL POE - AESR - ESR'!C2530</f>
        <v>0</v>
      </c>
      <c r="KZ34" s="57">
        <f>'REG y VAL POE - AESR - ESR'!D2530</f>
        <v>0</v>
      </c>
      <c r="LA34" s="56">
        <f>'REG y VAL POE - AESR - ESR'!E2530</f>
        <v>0</v>
      </c>
      <c r="LB34" s="57">
        <f>'REG y VAL POE - AESR - ESR'!F2530</f>
        <v>0</v>
      </c>
      <c r="LC34" s="57">
        <f>'REG y VAL POE - AESR - ESR'!G2530</f>
        <v>0</v>
      </c>
      <c r="LD34" s="56">
        <f>'REG y VAL POE - AESR - ESR'!H2530</f>
        <v>0</v>
      </c>
      <c r="LE34" s="57">
        <f>'REG y VAL POE - AESR - ESR'!I2530</f>
        <v>0</v>
      </c>
      <c r="LF34" s="58">
        <f>'REG y VAL POE - AESR - ESR'!J2530</f>
        <v>0</v>
      </c>
      <c r="LG34" s="56">
        <f>'REG y VAL POE - AESR - ESR'!K2530</f>
        <v>0</v>
      </c>
      <c r="LH34" s="57">
        <f>'REG y VAL POE - AESR - ESR'!L2530</f>
        <v>0</v>
      </c>
      <c r="LI34" s="57">
        <f>'REG y VAL POE - AESR - ESR'!M2530</f>
        <v>0</v>
      </c>
      <c r="LJ34" s="57">
        <f>'REG y VAL POE - AESR - ESR'!N2530</f>
        <v>0</v>
      </c>
      <c r="LK34" s="56">
        <f>'REG y VAL POE - AESR - ESR'!O2530</f>
        <v>0</v>
      </c>
      <c r="LL34" s="57">
        <f>'REG y VAL POE - AESR - ESR'!P2530</f>
        <v>0</v>
      </c>
      <c r="LM34" s="57">
        <f>'REG y VAL POE - AESR - ESR'!Q2530</f>
        <v>0</v>
      </c>
      <c r="LN34" s="56">
        <f>'REG y VAL POE - AESR - ESR'!R2530</f>
        <v>0</v>
      </c>
      <c r="LO34" s="57">
        <f>'REG y VAL POE - AESR - ESR'!S2530</f>
        <v>0</v>
      </c>
      <c r="LP34" s="58">
        <f>'REG y VAL POE - AESR - ESR'!T2530</f>
        <v>0</v>
      </c>
      <c r="LQ34" s="56">
        <f>'REG y VAL POE - AESR - ESR'!U2530</f>
        <v>0</v>
      </c>
      <c r="LR34" s="57">
        <f>'REG y VAL POE - AESR - ESR'!V2530</f>
        <v>0</v>
      </c>
      <c r="LS34" s="57">
        <f>'REG y VAL POE - AESR - ESR'!W2530</f>
        <v>0</v>
      </c>
      <c r="LT34" s="57">
        <f>'REG y VAL POE - AESR - ESR'!X2530</f>
        <v>0</v>
      </c>
      <c r="LU34" s="56">
        <f>'REG y VAL POE - AESR - ESR'!Y2530</f>
        <v>0</v>
      </c>
      <c r="LV34" s="57">
        <f>'REG y VAL POE - AESR - ESR'!Z2530</f>
        <v>0</v>
      </c>
      <c r="LW34" s="57">
        <f>'REG y VAL POE - AESR - ESR'!AA2530</f>
        <v>0</v>
      </c>
      <c r="LX34" s="56">
        <f>'REG y VAL POE - AESR - ESR'!AB2530</f>
        <v>0</v>
      </c>
      <c r="LY34" s="57">
        <f>'REG y VAL POE - AESR - ESR'!AC2530</f>
        <v>0</v>
      </c>
      <c r="LZ34" s="58">
        <f>'REG y VAL POE - AESR - ESR'!AD2530</f>
        <v>0</v>
      </c>
      <c r="MA34" s="56">
        <f>'REG y VAL POE - AESR - ESR'!AE2530</f>
        <v>0</v>
      </c>
      <c r="MB34" s="57">
        <f>'REG y VAL POE - AESR - ESR'!AF2530</f>
        <v>0</v>
      </c>
      <c r="MC34" s="57">
        <f>'REG y VAL POE - AESR - ESR'!AG2530</f>
        <v>0</v>
      </c>
      <c r="MD34" s="57">
        <f>'REG y VAL POE - AESR - ESR'!AH2530</f>
        <v>0</v>
      </c>
      <c r="ME34" s="56">
        <f>'REG y VAL POE - AESR - ESR'!AI2530</f>
        <v>0</v>
      </c>
      <c r="MF34" s="57">
        <f>'REG y VAL POE - AESR - ESR'!AJ2530</f>
        <v>0</v>
      </c>
      <c r="MG34" s="57">
        <f>'REG y VAL POE - AESR - ESR'!AK2530</f>
        <v>0</v>
      </c>
      <c r="MH34" s="56">
        <f>'REG y VAL POE - AESR - ESR'!AL2530</f>
        <v>0</v>
      </c>
      <c r="MI34" s="57">
        <f>'REG y VAL POE - AESR - ESR'!AM2530</f>
        <v>0</v>
      </c>
      <c r="MJ34" s="58">
        <f>'REG y VAL POE - AESR - ESR'!AN2530</f>
        <v>0</v>
      </c>
      <c r="MK34" s="56">
        <f>'REG y VAL POE - AESR - ESR'!AO2530</f>
        <v>0</v>
      </c>
      <c r="ML34" s="57">
        <f>'REG y VAL POE - AESR - ESR'!AP2530</f>
        <v>0</v>
      </c>
      <c r="MM34" s="57">
        <f>'REG y VAL POE - AESR - ESR'!AQ2530</f>
        <v>0</v>
      </c>
      <c r="MN34" s="57">
        <f>'REG y VAL POE - AESR - ESR'!AR2530</f>
        <v>0</v>
      </c>
      <c r="MO34" s="56">
        <f>'REG y VAL POE - AESR - ESR'!AS2530</f>
        <v>0</v>
      </c>
      <c r="MP34" s="57">
        <f>'REG y VAL POE - AESR - ESR'!B2531</f>
        <v>0</v>
      </c>
      <c r="MQ34" s="57">
        <f>'REG y VAL POE - AESR - ESR'!C2531</f>
        <v>0</v>
      </c>
      <c r="MR34" s="56">
        <f>'REG y VAL POE - AESR - ESR'!D2531</f>
        <v>0</v>
      </c>
      <c r="MS34" s="57">
        <f>'REG y VAL POE - AESR - ESR'!E2531</f>
        <v>0</v>
      </c>
      <c r="MT34" s="58">
        <f>'REG y VAL POE - AESR - ESR'!F2531</f>
        <v>0</v>
      </c>
      <c r="MU34" s="56">
        <f>'REG y VAL POE - AESR - ESR'!G2531</f>
        <v>0</v>
      </c>
      <c r="MV34" s="57">
        <f>'REG y VAL POE - AESR - ESR'!H2531</f>
        <v>0</v>
      </c>
      <c r="MW34" s="57">
        <f>'REG y VAL POE - AESR - ESR'!I2531</f>
        <v>0</v>
      </c>
      <c r="MX34" s="57">
        <f>'REG y VAL POE - AESR - ESR'!J2531</f>
        <v>0</v>
      </c>
      <c r="MY34" s="56">
        <f>'REG y VAL POE - AESR - ESR'!K2531</f>
        <v>0</v>
      </c>
      <c r="MZ34" s="57">
        <f>'REG y VAL POE - AESR - ESR'!L2531</f>
        <v>0</v>
      </c>
      <c r="NA34" s="57">
        <f>'REG y VAL POE - AESR - ESR'!M2531</f>
        <v>0</v>
      </c>
      <c r="NB34" s="56">
        <f>'REG y VAL POE - AESR - ESR'!N2531</f>
        <v>0</v>
      </c>
      <c r="NC34" s="57">
        <f>'REG y VAL POE - AESR - ESR'!O2531</f>
        <v>0</v>
      </c>
      <c r="ND34" s="58">
        <f>'REG y VAL POE - AESR - ESR'!P2531</f>
        <v>0</v>
      </c>
      <c r="NE34" s="56">
        <f>'REG y VAL POE - AESR - ESR'!Q2531</f>
        <v>0</v>
      </c>
      <c r="NF34" s="57">
        <f>'REG y VAL POE - AESR - ESR'!R2531</f>
        <v>0</v>
      </c>
      <c r="NG34" s="57">
        <f>'REG y VAL POE - AESR - ESR'!S2531</f>
        <v>0</v>
      </c>
      <c r="NH34" s="57">
        <f>'REG y VAL POE - AESR - ESR'!T2531</f>
        <v>0</v>
      </c>
      <c r="NI34" s="56">
        <f>'REG y VAL POE - AESR - ESR'!U2531</f>
        <v>0</v>
      </c>
      <c r="NJ34" s="57">
        <f>'REG y VAL POE - AESR - ESR'!V2531</f>
        <v>0</v>
      </c>
      <c r="NK34" s="57">
        <f>'REG y VAL POE - AESR - ESR'!W2531</f>
        <v>0</v>
      </c>
      <c r="NL34" s="56">
        <f>'REG y VAL POE - AESR - ESR'!X2531</f>
        <v>0</v>
      </c>
      <c r="NM34" s="57">
        <f>'REG y VAL POE - AESR - ESR'!Y2531</f>
        <v>0</v>
      </c>
      <c r="NN34" s="58">
        <f>'REG y VAL POE - AESR - ESR'!Z2531</f>
        <v>0</v>
      </c>
      <c r="NO34" s="56">
        <f>'REG y VAL POE - AESR - ESR'!AA2531</f>
        <v>0</v>
      </c>
      <c r="NP34" s="57">
        <f>'REG y VAL POE - AESR - ESR'!AB2531</f>
        <v>0</v>
      </c>
      <c r="NQ34" s="57">
        <f>'REG y VAL POE - AESR - ESR'!AC2531</f>
        <v>0</v>
      </c>
      <c r="NR34" s="57">
        <f>'REG y VAL POE - AESR - ESR'!AD2531</f>
        <v>0</v>
      </c>
      <c r="NS34" s="56">
        <f>'REG y VAL POE - AESR - ESR'!AE2531</f>
        <v>0</v>
      </c>
      <c r="NT34" s="57">
        <f>'REG y VAL POE - AESR - ESR'!AF2531</f>
        <v>0</v>
      </c>
      <c r="NU34" s="57">
        <f>'REG y VAL POE - AESR - ESR'!AG2531</f>
        <v>0</v>
      </c>
      <c r="NV34" s="56">
        <f>'REG y VAL POE - AESR - ESR'!AH2531</f>
        <v>0</v>
      </c>
      <c r="NW34" s="57">
        <f>'REG y VAL POE - AESR - ESR'!AI2531</f>
        <v>0</v>
      </c>
      <c r="NX34" s="58">
        <f>'REG y VAL POE - AESR - ESR'!AJ2531</f>
        <v>0</v>
      </c>
      <c r="NY34" s="56">
        <f>'REG y VAL POE - AESR - ESR'!AK2531</f>
        <v>0</v>
      </c>
      <c r="NZ34" s="57">
        <f>'REG y VAL POE - AESR - ESR'!AL2531</f>
        <v>0</v>
      </c>
      <c r="OA34" s="57">
        <f>'REG y VAL POE - AESR - ESR'!AM2531</f>
        <v>0</v>
      </c>
      <c r="OB34" s="57">
        <f>'REG y VAL POE - AESR - ESR'!AN2531</f>
        <v>0</v>
      </c>
      <c r="OC34" s="56">
        <f>'REG y VAL POE - AESR - ESR'!AO2531</f>
        <v>0</v>
      </c>
      <c r="OD34" s="57">
        <f>'REG y VAL POE - AESR - ESR'!AP2531</f>
        <v>0</v>
      </c>
      <c r="OE34" s="57">
        <f>'REG y VAL POE - AESR - ESR'!AQ2531</f>
        <v>0</v>
      </c>
      <c r="OF34" s="58">
        <f>'REG y VAL POE - AESR - ESR'!AR2531</f>
        <v>0</v>
      </c>
      <c r="OG34" s="58">
        <f>'REG y VAL POE - AESR - ESR'!AS2531</f>
        <v>0</v>
      </c>
      <c r="OH34" s="58">
        <f>'REG y VAL POE - AESR - ESR'!B2532</f>
        <v>0</v>
      </c>
      <c r="OI34" s="56">
        <f>'REG y VAL POE - AESR - ESR'!C2532</f>
        <v>0</v>
      </c>
      <c r="OJ34" s="58">
        <f>'REG y VAL POE - AESR - ESR'!D2532</f>
        <v>0</v>
      </c>
      <c r="OK34" s="58">
        <f>'REG y VAL POE - AESR - ESR'!E2532</f>
        <v>0</v>
      </c>
      <c r="OL34" s="58">
        <f>'REG y VAL POE - AESR - ESR'!F2532</f>
        <v>0</v>
      </c>
      <c r="OM34" s="58">
        <f>'REG y VAL POE - AESR - ESR'!G2532</f>
        <v>0</v>
      </c>
      <c r="ON34" s="58">
        <f>'REG y VAL POE - AESR - ESR'!H2532</f>
        <v>0</v>
      </c>
      <c r="OO34" s="58">
        <f>'REG y VAL POE - AESR - ESR'!I2532</f>
        <v>0</v>
      </c>
      <c r="OP34" s="56">
        <f>'REG y VAL POE - AESR - ESR'!J2532</f>
        <v>0</v>
      </c>
      <c r="OQ34" s="57">
        <f>'REG y VAL POE - AESR - ESR'!K2532</f>
        <v>0</v>
      </c>
      <c r="OR34" s="58">
        <f>'REG y VAL POE - AESR - ESR'!L2532</f>
        <v>0</v>
      </c>
      <c r="OS34" s="56">
        <f>'REG y VAL POE - AESR - ESR'!M2532</f>
        <v>0</v>
      </c>
      <c r="OT34" s="57">
        <f>'REG y VAL POE - AESR - ESR'!N2532</f>
        <v>0</v>
      </c>
      <c r="OU34" s="57">
        <f>'REG y VAL POE - AESR - ESR'!O2532</f>
        <v>0</v>
      </c>
      <c r="OV34" s="57">
        <f>'REG y VAL POE - AESR - ESR'!P2532</f>
        <v>0</v>
      </c>
      <c r="OW34" s="56">
        <f>'REG y VAL POE - AESR - ESR'!Q2532</f>
        <v>0</v>
      </c>
      <c r="OX34" s="57">
        <f>'REG y VAL POE - AESR - ESR'!R2532</f>
        <v>0</v>
      </c>
      <c r="OY34" s="57">
        <f>'REG y VAL POE - AESR - ESR'!S2532</f>
        <v>0</v>
      </c>
      <c r="OZ34" s="56">
        <f>'REG y VAL POE - AESR - ESR'!T2532</f>
        <v>0</v>
      </c>
      <c r="PA34" s="57">
        <f>'REG y VAL POE - AESR - ESR'!U2532</f>
        <v>0</v>
      </c>
      <c r="PB34" s="58">
        <f>'REG y VAL POE - AESR - ESR'!V2532</f>
        <v>0</v>
      </c>
      <c r="PC34" s="56">
        <f>'REG y VAL POE - AESR - ESR'!W2532</f>
        <v>0</v>
      </c>
      <c r="PD34" s="57">
        <f>'REG y VAL POE - AESR - ESR'!X2532</f>
        <v>0</v>
      </c>
      <c r="PE34" s="57">
        <f>'REG y VAL POE - AESR - ESR'!Y2532</f>
        <v>0</v>
      </c>
      <c r="PF34" s="57">
        <f>'REG y VAL POE - AESR - ESR'!Z2532</f>
        <v>0</v>
      </c>
      <c r="PG34" s="56">
        <f>'REG y VAL POE - AESR - ESR'!AA2532</f>
        <v>0</v>
      </c>
      <c r="PH34" s="57">
        <f>'REG y VAL POE - AESR - ESR'!AB2532</f>
        <v>0</v>
      </c>
      <c r="PI34" s="57">
        <f>'REG y VAL POE - AESR - ESR'!AC2532</f>
        <v>0</v>
      </c>
      <c r="PJ34" s="56">
        <f>'REG y VAL POE - AESR - ESR'!AD2532</f>
        <v>0</v>
      </c>
      <c r="PK34" s="57">
        <f>'REG y VAL POE - AESR - ESR'!AE2532</f>
        <v>0</v>
      </c>
      <c r="PL34" s="58">
        <f>'REG y VAL POE - AESR - ESR'!AF2532</f>
        <v>0</v>
      </c>
      <c r="PM34" s="56">
        <f>'REG y VAL POE - AESR - ESR'!AG2532</f>
        <v>0</v>
      </c>
      <c r="PN34" s="57">
        <f>'REG y VAL POE - AESR - ESR'!AH2532</f>
        <v>0</v>
      </c>
      <c r="PO34" s="57">
        <f>'REG y VAL POE - AESR - ESR'!AI2532</f>
        <v>0</v>
      </c>
      <c r="PP34" s="57">
        <f>'REG y VAL POE - AESR - ESR'!AJ2532</f>
        <v>0</v>
      </c>
      <c r="PQ34" s="56">
        <f>'REG y VAL POE - AESR - ESR'!AK2532</f>
        <v>0</v>
      </c>
      <c r="PR34" s="57">
        <f>'REG y VAL POE - AESR - ESR'!AL2532</f>
        <v>0</v>
      </c>
      <c r="PS34" s="57">
        <f>'REG y VAL POE - AESR - ESR'!AM2532</f>
        <v>0</v>
      </c>
      <c r="PT34" s="56">
        <f>'REG y VAL POE - AESR - ESR'!AN2532</f>
        <v>0</v>
      </c>
      <c r="PU34" s="57">
        <f>'REG y VAL POE - AESR - ESR'!AO2532</f>
        <v>0</v>
      </c>
      <c r="PV34" s="58">
        <f>'REG y VAL POE - AESR - ESR'!AP2532</f>
        <v>0</v>
      </c>
      <c r="PW34" s="56">
        <f>'REG y VAL POE - AESR - ESR'!AQ2532</f>
        <v>0</v>
      </c>
      <c r="PX34" s="57">
        <f>'REG y VAL POE - AESR - ESR'!AR2532</f>
        <v>0</v>
      </c>
      <c r="PY34" s="57">
        <f>'REG y VAL POE - AESR - ESR'!AS2532</f>
        <v>0</v>
      </c>
      <c r="PZ34" s="57"/>
      <c r="QA34" s="56"/>
      <c r="QB34" s="57"/>
      <c r="QC34" s="57"/>
      <c r="QD34" s="56"/>
      <c r="QE34" s="57"/>
      <c r="QF34" s="58"/>
      <c r="QG34" s="56"/>
      <c r="QH34" s="57"/>
      <c r="QI34" s="57"/>
      <c r="QJ34" s="57"/>
      <c r="QK34" s="56"/>
      <c r="QL34" s="57"/>
      <c r="QM34" s="57"/>
      <c r="QN34" s="56"/>
      <c r="QO34" s="57"/>
      <c r="QP34" s="58"/>
      <c r="QQ34" s="56"/>
      <c r="QR34" s="57"/>
      <c r="QS34" s="57"/>
      <c r="QT34" s="57"/>
      <c r="QU34" s="56"/>
      <c r="QV34" s="57"/>
      <c r="QW34" s="57"/>
      <c r="QX34" s="56"/>
      <c r="QY34" s="57"/>
      <c r="QZ34" s="58"/>
      <c r="RA34" s="56"/>
      <c r="RB34" s="57"/>
      <c r="RC34" s="57"/>
      <c r="RD34" s="57"/>
      <c r="RE34" s="56"/>
      <c r="RF34" s="57"/>
      <c r="RG34" s="57"/>
      <c r="RH34" s="56"/>
      <c r="RI34" s="57"/>
      <c r="RJ34" s="58"/>
      <c r="RK34" s="56"/>
      <c r="RL34" s="57"/>
      <c r="RM34" s="57"/>
      <c r="RN34" s="57"/>
      <c r="RO34" s="56"/>
      <c r="RP34" s="57"/>
      <c r="RQ34" s="57"/>
      <c r="RR34" s="56"/>
      <c r="RS34" s="57"/>
      <c r="RT34" s="58"/>
      <c r="RU34" s="56"/>
      <c r="RV34" s="57"/>
      <c r="RW34" s="57"/>
      <c r="RX34" s="57"/>
      <c r="RY34" s="56"/>
      <c r="RZ34" s="57"/>
      <c r="SA34" s="57"/>
      <c r="SB34" s="56"/>
      <c r="SC34" s="57"/>
      <c r="SD34" s="58"/>
      <c r="SE34" s="56"/>
      <c r="SF34" s="57"/>
      <c r="SG34" s="57"/>
      <c r="SH34" s="57"/>
      <c r="SI34" s="56"/>
      <c r="SJ34" s="57"/>
      <c r="SK34" s="57"/>
      <c r="SL34" s="56"/>
      <c r="SM34" s="57"/>
      <c r="SN34" s="58"/>
      <c r="SO34" s="56"/>
      <c r="SP34" s="57"/>
      <c r="SQ34" s="57"/>
      <c r="SR34" s="57"/>
      <c r="SS34" s="56"/>
      <c r="ST34" s="57"/>
      <c r="SU34" s="57"/>
      <c r="SV34" s="56"/>
      <c r="SW34" s="57"/>
      <c r="SX34" s="58"/>
      <c r="SY34" s="56"/>
      <c r="SZ34" s="57"/>
      <c r="TA34" s="57"/>
      <c r="TB34" s="57"/>
      <c r="TC34" s="56"/>
      <c r="TD34" s="57"/>
      <c r="TE34" s="57"/>
      <c r="TF34" s="56"/>
      <c r="TG34" s="57"/>
      <c r="TH34" s="58"/>
      <c r="TI34" s="56"/>
      <c r="TJ34" s="57"/>
      <c r="TK34" s="57"/>
      <c r="TL34" s="57"/>
      <c r="TM34" s="56"/>
      <c r="TN34" s="57"/>
      <c r="TO34" s="57"/>
      <c r="TP34" s="56"/>
      <c r="TQ34" s="57"/>
      <c r="TR34" s="58"/>
      <c r="TS34" s="56"/>
      <c r="TT34" s="57"/>
      <c r="TU34" s="57"/>
      <c r="TV34" s="57"/>
      <c r="TW34" s="56"/>
      <c r="TX34" s="57"/>
      <c r="TY34" s="57"/>
      <c r="TZ34" s="56"/>
      <c r="UA34" s="57"/>
      <c r="UB34" s="58"/>
      <c r="UC34" s="56"/>
      <c r="UD34" s="57"/>
      <c r="UE34" s="57"/>
      <c r="UF34" s="57"/>
      <c r="UG34" s="56"/>
      <c r="UH34" s="57"/>
      <c r="UI34" s="57"/>
      <c r="UJ34" s="56"/>
      <c r="UK34" s="57"/>
      <c r="UL34" s="58"/>
      <c r="UM34" s="56"/>
      <c r="UN34" s="57"/>
      <c r="UO34" s="57"/>
      <c r="UP34" s="57"/>
      <c r="UQ34" s="56"/>
      <c r="UR34" s="57"/>
      <c r="US34" s="57"/>
      <c r="UT34" s="56"/>
      <c r="UU34" s="57"/>
      <c r="UV34" s="58"/>
      <c r="UW34" s="56"/>
      <c r="UX34" s="57"/>
      <c r="UY34" s="57"/>
      <c r="UZ34" s="57"/>
      <c r="VA34" s="56"/>
      <c r="VB34" s="57"/>
      <c r="VC34" s="57"/>
      <c r="VD34" s="56"/>
      <c r="VE34" s="57"/>
      <c r="VF34" s="58"/>
      <c r="VG34" s="56"/>
      <c r="VH34" s="57"/>
      <c r="VI34" s="57"/>
      <c r="VJ34" s="57"/>
      <c r="VK34" s="56"/>
      <c r="VL34" s="57"/>
      <c r="VM34" s="57"/>
      <c r="VN34" s="56"/>
      <c r="VO34" s="57"/>
      <c r="VP34" s="58"/>
      <c r="VQ34" s="56"/>
      <c r="VR34" s="57"/>
      <c r="VS34" s="57"/>
      <c r="VT34" s="57"/>
      <c r="VU34" s="56"/>
      <c r="VV34" s="57"/>
      <c r="VW34" s="57"/>
      <c r="VX34" s="56"/>
      <c r="VY34" s="57"/>
      <c r="VZ34" s="58"/>
      <c r="WA34" s="56"/>
      <c r="WB34" s="57"/>
      <c r="WC34" s="57"/>
      <c r="WD34" s="57"/>
      <c r="WE34" s="56"/>
      <c r="WF34" s="57"/>
      <c r="WG34" s="57"/>
      <c r="WH34" s="56"/>
      <c r="WI34" s="57"/>
      <c r="WJ34" s="58"/>
      <c r="WK34" s="56"/>
      <c r="WL34" s="57"/>
      <c r="WM34" s="57"/>
      <c r="WN34" s="57"/>
      <c r="WO34" s="56"/>
      <c r="WP34" s="57"/>
      <c r="WQ34" s="57"/>
      <c r="WR34" s="56"/>
      <c r="WS34" s="57"/>
      <c r="WT34" s="58"/>
      <c r="WU34" s="56"/>
      <c r="WV34" s="57"/>
      <c r="WW34" s="57"/>
      <c r="WX34" s="57"/>
      <c r="WY34" s="56"/>
      <c r="WZ34" s="57"/>
      <c r="XA34" s="57"/>
      <c r="XB34" s="56"/>
      <c r="XC34" s="57"/>
      <c r="XD34" s="58"/>
      <c r="XE34" s="56"/>
      <c r="XF34" s="57"/>
      <c r="XG34" s="57"/>
      <c r="XH34" s="57"/>
      <c r="XI34" s="56"/>
      <c r="XJ34" s="57"/>
      <c r="XK34" s="57"/>
      <c r="XL34" s="56"/>
      <c r="XM34" s="57"/>
      <c r="XN34" s="58"/>
      <c r="XO34" s="56"/>
      <c r="XP34" s="57"/>
      <c r="XQ34" s="57"/>
      <c r="XR34" s="57"/>
      <c r="XS34" s="56"/>
      <c r="XT34" s="57"/>
      <c r="XU34" s="57"/>
      <c r="XV34" s="56"/>
      <c r="XW34" s="57"/>
      <c r="XX34" s="58"/>
      <c r="XY34" s="56"/>
      <c r="XZ34" s="57"/>
      <c r="YA34" s="57"/>
      <c r="YB34" s="57"/>
      <c r="YC34" s="56"/>
      <c r="YD34" s="57"/>
      <c r="YE34" s="57"/>
      <c r="YF34" s="56"/>
      <c r="YG34" s="57"/>
      <c r="YH34" s="58"/>
      <c r="YI34" s="56"/>
      <c r="YJ34" s="57"/>
      <c r="YK34" s="57"/>
      <c r="YL34" s="57"/>
      <c r="YM34" s="56"/>
      <c r="YN34" s="57"/>
      <c r="YO34" s="57"/>
      <c r="YP34" s="56"/>
      <c r="YQ34" s="57"/>
      <c r="YR34" s="58"/>
      <c r="YS34" s="56"/>
      <c r="YT34" s="57"/>
      <c r="YU34" s="57"/>
      <c r="YV34" s="57"/>
      <c r="YW34" s="56"/>
      <c r="YX34" s="57"/>
      <c r="YY34" s="57"/>
      <c r="YZ34" s="56"/>
      <c r="ZA34" s="57"/>
      <c r="ZB34" s="58"/>
      <c r="ZC34" s="56"/>
      <c r="ZD34" s="57"/>
      <c r="ZE34" s="57"/>
      <c r="ZF34" s="57"/>
      <c r="ZG34" s="56"/>
      <c r="ZH34" s="57"/>
      <c r="ZI34" s="57"/>
      <c r="ZJ34" s="56"/>
      <c r="ZK34" s="57"/>
      <c r="ZL34" s="58"/>
      <c r="ZM34" s="56"/>
      <c r="ZN34" s="57"/>
      <c r="ZO34" s="57"/>
      <c r="ZP34" s="57"/>
      <c r="ZQ34" s="56"/>
      <c r="ZR34" s="57"/>
      <c r="ZS34" s="57"/>
      <c r="ZT34" s="56"/>
      <c r="ZU34" s="57"/>
      <c r="ZV34" s="58"/>
      <c r="ZW34" s="56"/>
      <c r="ZX34" s="57"/>
      <c r="ZY34" s="57"/>
      <c r="ZZ34" s="57"/>
      <c r="AAA34" s="56"/>
      <c r="AAB34" s="57"/>
      <c r="AAC34" s="57"/>
      <c r="AAD34" s="56"/>
      <c r="AAE34" s="57"/>
      <c r="AAF34" s="58"/>
      <c r="AAG34" s="56"/>
      <c r="AAH34" s="57"/>
      <c r="AAI34" s="57"/>
      <c r="AAJ34" s="57"/>
      <c r="AAK34" s="56"/>
      <c r="AAL34" s="57"/>
      <c r="AAM34" s="57"/>
      <c r="AAN34" s="56"/>
      <c r="AAO34" s="57"/>
      <c r="AAP34" s="58"/>
      <c r="AAQ34" s="56"/>
      <c r="AAR34" s="57"/>
      <c r="AAS34" s="57"/>
      <c r="AAT34" s="57"/>
      <c r="AAU34" s="56"/>
      <c r="AAV34" s="57"/>
      <c r="AAW34" s="57"/>
      <c r="AAX34" s="58"/>
      <c r="AAY34" s="58"/>
      <c r="AAZ34" s="58"/>
      <c r="ABA34" s="56"/>
      <c r="ABB34" s="58"/>
      <c r="ABC34" s="58"/>
      <c r="ABD34" s="58"/>
      <c r="ABE34" s="58"/>
      <c r="ABF34" s="58"/>
      <c r="ABG34" s="57"/>
      <c r="ABH34" s="56"/>
      <c r="ABI34" s="57"/>
      <c r="ABJ34" s="58"/>
      <c r="ABK34" s="56"/>
      <c r="ABL34" s="57"/>
      <c r="ABM34" s="57"/>
      <c r="ABN34" s="57"/>
      <c r="ABO34" s="56"/>
      <c r="ABP34" s="57"/>
      <c r="ABQ34" s="57"/>
      <c r="ABR34" s="56"/>
      <c r="ABS34" s="57"/>
      <c r="ABT34" s="58"/>
      <c r="ABU34" s="56"/>
      <c r="ABV34" s="57"/>
      <c r="ABW34" s="57"/>
      <c r="ABX34" s="57"/>
      <c r="ABY34" s="56"/>
      <c r="ABZ34" s="57"/>
      <c r="ACA34" s="57"/>
      <c r="ACB34" s="56"/>
      <c r="ACC34" s="57"/>
      <c r="ACD34" s="58"/>
      <c r="ACE34" s="56"/>
      <c r="ACF34" s="57"/>
      <c r="ACG34" s="57"/>
      <c r="ACH34" s="57"/>
      <c r="ACI34" s="56"/>
      <c r="ACJ34" s="57"/>
      <c r="ACK34" s="57"/>
      <c r="ACL34" s="56"/>
      <c r="ACM34" s="57"/>
      <c r="ACN34" s="58"/>
      <c r="ACO34" s="56"/>
      <c r="ACP34" s="57"/>
      <c r="ACQ34" s="57"/>
      <c r="ACR34" s="57"/>
      <c r="ACS34" s="56"/>
      <c r="ACT34" s="57"/>
      <c r="ACU34" s="57"/>
      <c r="ACV34" s="56"/>
      <c r="ACW34" s="57"/>
      <c r="ACX34" s="58"/>
      <c r="ACY34" s="56"/>
      <c r="ACZ34" s="57"/>
      <c r="ADA34" s="57"/>
      <c r="ADB34" s="57"/>
      <c r="ADC34" s="56"/>
      <c r="ADD34" s="57"/>
      <c r="ADE34" s="57"/>
      <c r="ADF34" s="56"/>
      <c r="ADG34" s="57"/>
      <c r="ADH34" s="58"/>
      <c r="ADI34" s="56"/>
      <c r="ADJ34" s="57"/>
      <c r="ADK34" s="57"/>
      <c r="ADL34" s="57"/>
      <c r="ADM34" s="56"/>
      <c r="ADN34" s="57"/>
      <c r="ADO34" s="57"/>
      <c r="ADP34" s="56"/>
      <c r="ADQ34" s="57"/>
      <c r="ADR34" s="58"/>
      <c r="ADS34" s="56"/>
      <c r="ADT34" s="57"/>
      <c r="ADU34" s="57"/>
      <c r="ADV34" s="57"/>
      <c r="ADW34" s="56"/>
      <c r="ADX34" s="57"/>
      <c r="ADY34" s="57"/>
      <c r="ADZ34" s="56"/>
      <c r="AEA34" s="57"/>
      <c r="AEB34" s="58"/>
      <c r="AEC34" s="56"/>
      <c r="AED34" s="57"/>
      <c r="AEE34" s="57"/>
      <c r="AEF34" s="57"/>
      <c r="AEG34" s="56"/>
      <c r="AEH34" s="57"/>
      <c r="AEI34" s="57"/>
      <c r="AEJ34" s="56"/>
      <c r="AEK34" s="57"/>
      <c r="AEL34" s="58"/>
      <c r="AEM34" s="56"/>
      <c r="AEN34" s="57"/>
      <c r="AEO34" s="57"/>
      <c r="AEP34" s="57"/>
      <c r="AEQ34" s="56"/>
      <c r="AER34" s="57"/>
      <c r="AES34" s="57"/>
      <c r="AET34" s="56"/>
      <c r="AEU34" s="57"/>
      <c r="AEV34" s="58"/>
      <c r="AEW34" s="56"/>
      <c r="AEX34" s="57"/>
      <c r="AEY34" s="57"/>
      <c r="AEZ34" s="57"/>
      <c r="AFA34" s="56"/>
      <c r="AFB34" s="57"/>
      <c r="AFC34" s="57"/>
      <c r="AFD34" s="56"/>
      <c r="AFE34" s="57"/>
      <c r="AFF34" s="58"/>
      <c r="AFG34" s="56"/>
      <c r="AFH34" s="57"/>
      <c r="AFI34" s="57"/>
      <c r="AFJ34" s="57"/>
      <c r="AFK34" s="56"/>
      <c r="AFL34" s="57"/>
      <c r="AFM34" s="57"/>
      <c r="AFN34" s="56"/>
      <c r="AFO34" s="57"/>
      <c r="AFP34" s="58"/>
      <c r="AFQ34" s="56"/>
      <c r="AFR34" s="57"/>
      <c r="AFS34" s="57"/>
      <c r="AFT34" s="57"/>
      <c r="AFU34" s="56"/>
      <c r="AFV34" s="57"/>
      <c r="AFW34" s="57"/>
      <c r="AFX34" s="56"/>
      <c r="AFY34" s="57"/>
      <c r="AFZ34" s="58"/>
      <c r="AGA34" s="56"/>
      <c r="AGB34" s="57"/>
      <c r="AGC34" s="57"/>
      <c r="AGD34" s="57"/>
      <c r="AGE34" s="56"/>
      <c r="AGF34" s="57"/>
      <c r="AGG34" s="57"/>
      <c r="AGH34" s="56"/>
      <c r="AGI34" s="57"/>
      <c r="AGJ34" s="58"/>
      <c r="AGK34" s="56"/>
      <c r="AGL34" s="57"/>
      <c r="AGM34" s="57"/>
      <c r="AGN34" s="57"/>
      <c r="AGO34" s="56"/>
      <c r="AGP34" s="57"/>
      <c r="AGQ34" s="57"/>
      <c r="AGR34" s="56"/>
      <c r="AGS34" s="57"/>
      <c r="AGT34" s="58"/>
      <c r="AGU34" s="56"/>
      <c r="AGV34" s="57"/>
      <c r="AGW34" s="57"/>
      <c r="AGX34" s="57"/>
      <c r="AGY34" s="56"/>
      <c r="AGZ34" s="57"/>
      <c r="AHA34" s="57"/>
      <c r="AHB34" s="56"/>
      <c r="AHC34" s="57"/>
      <c r="AHD34" s="58"/>
      <c r="AHE34" s="56"/>
      <c r="AHF34" s="57"/>
      <c r="AHG34" s="57"/>
      <c r="AHH34" s="57"/>
      <c r="AHI34" s="56"/>
      <c r="AHJ34" s="57"/>
      <c r="AHK34" s="57"/>
      <c r="AHL34" s="56"/>
      <c r="AHM34" s="57"/>
      <c r="AHN34" s="58"/>
      <c r="AHO34" s="56"/>
      <c r="AHP34" s="57"/>
      <c r="AHQ34" s="57"/>
      <c r="AHR34" s="57"/>
      <c r="AHS34" s="56"/>
      <c r="AHT34" s="57"/>
      <c r="AHU34" s="57"/>
      <c r="AHV34" s="56"/>
      <c r="AHW34" s="57"/>
      <c r="AHX34" s="58"/>
      <c r="AHY34" s="56"/>
      <c r="AHZ34" s="57"/>
      <c r="AIA34" s="57"/>
      <c r="AIB34" s="57"/>
      <c r="AIC34" s="56"/>
      <c r="AID34" s="57"/>
      <c r="AIE34" s="57"/>
      <c r="AIF34" s="56"/>
      <c r="AIG34" s="57"/>
      <c r="AIH34" s="58"/>
      <c r="AII34" s="56"/>
      <c r="AIJ34" s="57"/>
      <c r="AIK34" s="57"/>
      <c r="AIL34" s="57"/>
      <c r="AIM34" s="56"/>
      <c r="AIN34" s="57"/>
      <c r="AIO34" s="57"/>
      <c r="AIP34" s="56"/>
      <c r="AIQ34" s="57"/>
      <c r="AIR34" s="58"/>
      <c r="AIS34" s="56"/>
      <c r="AIT34" s="57"/>
      <c r="AIU34" s="57"/>
      <c r="AIV34" s="57"/>
      <c r="AIW34" s="56"/>
      <c r="AIX34" s="57"/>
      <c r="AIY34" s="57"/>
      <c r="AIZ34" s="56"/>
      <c r="AJA34" s="57"/>
      <c r="AJB34" s="58"/>
      <c r="AJC34" s="56"/>
      <c r="AJD34" s="57"/>
      <c r="AJE34" s="57"/>
      <c r="AJF34" s="57"/>
      <c r="AJG34" s="56"/>
      <c r="AJH34" s="57"/>
      <c r="AJI34" s="57"/>
      <c r="AJJ34" s="56"/>
      <c r="AJK34" s="57"/>
      <c r="AJL34" s="58"/>
      <c r="AJM34" s="56"/>
      <c r="AJN34" s="57"/>
      <c r="AJO34" s="57"/>
      <c r="AJP34" s="57"/>
      <c r="AJQ34" s="56"/>
      <c r="AJR34" s="57"/>
      <c r="AJS34" s="57"/>
      <c r="AJT34" s="56"/>
      <c r="AJU34" s="57"/>
      <c r="AJV34" s="58"/>
      <c r="AJW34" s="56"/>
      <c r="AJX34" s="57"/>
      <c r="AJY34" s="57"/>
      <c r="AJZ34" s="57"/>
      <c r="AKA34" s="56"/>
      <c r="AKB34" s="57"/>
      <c r="AKC34" s="57"/>
      <c r="AKD34" s="56"/>
      <c r="AKE34" s="57"/>
      <c r="AKF34" s="58"/>
      <c r="AKG34" s="56"/>
      <c r="AKH34" s="57"/>
      <c r="AKI34" s="57"/>
      <c r="AKJ34" s="57"/>
      <c r="AKK34" s="56"/>
      <c r="AKL34" s="57"/>
      <c r="AKM34" s="57"/>
      <c r="AKN34" s="56"/>
      <c r="AKO34" s="57"/>
      <c r="AKP34" s="58"/>
      <c r="AKQ34" s="56"/>
      <c r="AKR34" s="57"/>
      <c r="AKS34" s="57"/>
      <c r="AKT34" s="57"/>
      <c r="AKU34" s="56"/>
      <c r="AKV34" s="57"/>
      <c r="AKW34" s="57"/>
      <c r="AKX34" s="56"/>
      <c r="AKY34" s="57"/>
      <c r="AKZ34" s="58"/>
      <c r="ALA34" s="56"/>
      <c r="ALB34" s="57"/>
      <c r="ALC34" s="57"/>
      <c r="ALD34" s="57"/>
      <c r="ALE34" s="56"/>
      <c r="ALF34" s="57"/>
      <c r="ALG34" s="57"/>
      <c r="ALH34" s="57"/>
      <c r="ALI34" s="57"/>
      <c r="ALJ34" s="57"/>
      <c r="ALK34" s="56"/>
      <c r="ALL34" s="57"/>
      <c r="ALM34" s="57"/>
      <c r="ALN34" s="56"/>
      <c r="ALO34" s="57"/>
      <c r="ALP34" s="58"/>
      <c r="ALQ34" s="56"/>
      <c r="ALR34" s="57"/>
      <c r="ALS34" s="57"/>
      <c r="ALT34" s="57"/>
      <c r="ALU34" s="56"/>
      <c r="ALV34" s="57"/>
      <c r="ALW34" s="57"/>
      <c r="ALX34" s="56"/>
      <c r="ALY34" s="57"/>
      <c r="ALZ34" s="58"/>
      <c r="AMA34" s="56"/>
      <c r="AMB34" s="57"/>
      <c r="AMC34" s="57"/>
      <c r="AMD34" s="57"/>
      <c r="AME34" s="56"/>
      <c r="AMF34" s="57"/>
      <c r="AMG34" s="57"/>
      <c r="AMH34" s="57"/>
      <c r="AMI34" s="57"/>
      <c r="AMJ34" s="57"/>
      <c r="AMK34" s="56"/>
      <c r="AML34" s="57"/>
      <c r="AMM34" s="57"/>
      <c r="AMN34" s="56"/>
      <c r="AMO34" s="57"/>
      <c r="AMP34" s="58"/>
      <c r="AMQ34" s="56"/>
      <c r="AMR34" s="57"/>
      <c r="AMS34" s="57"/>
      <c r="AMT34" s="57"/>
      <c r="AMU34" s="56"/>
      <c r="AMV34" s="57"/>
      <c r="AMW34" s="57"/>
      <c r="AMX34" s="56"/>
      <c r="AMY34" s="57"/>
      <c r="AMZ34" s="58"/>
      <c r="ANA34" s="56"/>
      <c r="ANB34" s="57"/>
      <c r="ANC34" s="57"/>
      <c r="AND34" s="57"/>
      <c r="ANE34" s="56"/>
      <c r="ANF34" s="57"/>
      <c r="ANG34" s="57"/>
      <c r="ANH34" s="57"/>
      <c r="ANI34" s="57"/>
      <c r="ANJ34" s="57"/>
      <c r="ANK34" s="56"/>
      <c r="ANL34" s="57"/>
      <c r="ANM34" s="57"/>
      <c r="ANN34" s="56"/>
      <c r="ANO34" s="57"/>
      <c r="ANP34" s="58"/>
      <c r="ANQ34" s="56"/>
      <c r="ANR34" s="57"/>
      <c r="ANS34" s="57"/>
      <c r="ANT34" s="57"/>
      <c r="ANU34" s="56"/>
      <c r="ANV34" s="57"/>
      <c r="ANW34" s="57"/>
      <c r="ANX34" s="56"/>
      <c r="ANY34" s="57"/>
      <c r="ANZ34" s="58"/>
      <c r="AOA34" s="56"/>
      <c r="AOB34" s="57"/>
      <c r="AOC34" s="57"/>
      <c r="AOD34" s="57"/>
      <c r="AOE34" s="56"/>
      <c r="AOF34" s="57"/>
      <c r="AOG34" s="57"/>
      <c r="AOH34" s="57"/>
      <c r="AOI34" s="57"/>
      <c r="AOJ34" s="57"/>
      <c r="AOK34" s="56"/>
      <c r="AOL34" s="57"/>
      <c r="AOM34" s="57"/>
      <c r="AON34" s="56"/>
      <c r="AOO34" s="57"/>
      <c r="AOP34" s="58"/>
      <c r="AOQ34" s="56"/>
      <c r="AOR34" s="57"/>
      <c r="AOS34" s="57"/>
      <c r="AOT34" s="57"/>
      <c r="AOU34" s="56"/>
      <c r="AOV34" s="57"/>
      <c r="AOW34" s="57"/>
      <c r="AOX34" s="56"/>
      <c r="AOY34" s="57"/>
      <c r="AOZ34" s="58"/>
      <c r="APA34" s="56"/>
      <c r="APB34" s="57"/>
      <c r="APC34" s="57"/>
      <c r="APD34" s="57"/>
      <c r="APE34" s="56"/>
      <c r="APF34" s="57"/>
      <c r="APG34" s="57"/>
      <c r="APH34" s="57"/>
      <c r="API34" s="57"/>
      <c r="APJ34" s="57"/>
      <c r="APK34" s="56"/>
      <c r="APL34" s="57"/>
      <c r="APM34" s="57"/>
      <c r="APN34" s="56"/>
      <c r="APO34" s="57"/>
      <c r="APP34" s="58"/>
      <c r="APQ34" s="56"/>
      <c r="APR34" s="57"/>
      <c r="APS34" s="57"/>
      <c r="APT34" s="57"/>
      <c r="APU34" s="56"/>
      <c r="APV34" s="57"/>
      <c r="APW34" s="57"/>
      <c r="APX34" s="56"/>
      <c r="APY34" s="57"/>
      <c r="APZ34" s="58"/>
      <c r="AQA34" s="56"/>
      <c r="AQB34" s="57"/>
      <c r="AQC34" s="57"/>
      <c r="AQD34" s="57"/>
      <c r="AQE34" s="56"/>
      <c r="AQF34" s="57"/>
      <c r="AQG34" s="57"/>
      <c r="AQH34" s="57"/>
      <c r="AQI34" s="57"/>
      <c r="AQJ34" s="57"/>
      <c r="AQK34" s="56"/>
      <c r="AQL34" s="57"/>
      <c r="AQM34" s="57"/>
      <c r="AQN34" s="56"/>
      <c r="AQO34" s="57"/>
      <c r="AQP34" s="58"/>
      <c r="AQQ34" s="56"/>
      <c r="AQR34" s="57"/>
      <c r="AQS34" s="57"/>
      <c r="AQT34" s="57"/>
      <c r="AQU34" s="56"/>
      <c r="AQV34" s="57"/>
      <c r="AQW34" s="57"/>
      <c r="AQX34" s="56"/>
      <c r="AQY34" s="57"/>
      <c r="AQZ34" s="58"/>
      <c r="ARA34" s="56"/>
      <c r="ARB34" s="57"/>
      <c r="ARC34" s="57"/>
      <c r="ARD34" s="57"/>
      <c r="ARE34" s="56"/>
      <c r="ARF34" s="57"/>
      <c r="ARG34" s="57"/>
      <c r="ARH34" s="57"/>
      <c r="ARI34" s="57"/>
      <c r="ARJ34" s="57"/>
      <c r="ARK34" s="56"/>
      <c r="ARL34" s="57"/>
      <c r="ARM34" s="57"/>
      <c r="ARN34" s="56"/>
      <c r="ARO34" s="57"/>
      <c r="ARP34" s="58"/>
      <c r="ARQ34" s="56"/>
      <c r="ARR34" s="57"/>
      <c r="ARS34" s="57"/>
      <c r="ART34" s="57"/>
      <c r="ARU34" s="56"/>
      <c r="ARV34" s="57"/>
      <c r="ARW34" s="57"/>
      <c r="ARX34" s="56"/>
      <c r="ARY34" s="57"/>
      <c r="ARZ34" s="58"/>
      <c r="ASA34" s="56"/>
      <c r="ASB34" s="57"/>
      <c r="ASC34" s="57"/>
      <c r="ASD34" s="57"/>
      <c r="ASE34" s="56"/>
      <c r="ASF34" s="57"/>
      <c r="ASG34" s="57"/>
      <c r="ASH34" s="57"/>
      <c r="ASI34" s="57"/>
      <c r="ASJ34" s="57"/>
      <c r="ASK34" s="56"/>
      <c r="ASL34" s="57"/>
      <c r="ASM34" s="57"/>
      <c r="ASN34" s="56"/>
      <c r="ASO34" s="57"/>
      <c r="ASP34" s="58"/>
      <c r="ASQ34" s="56"/>
      <c r="ASR34" s="57"/>
      <c r="ASS34" s="57"/>
      <c r="AST34" s="57"/>
      <c r="ASU34" s="56"/>
      <c r="ASV34" s="57"/>
      <c r="ASW34" s="57"/>
      <c r="ASX34" s="56"/>
      <c r="ASY34" s="57"/>
      <c r="ASZ34" s="58"/>
      <c r="ATA34" s="56"/>
      <c r="ATB34" s="57"/>
      <c r="ATC34" s="57"/>
      <c r="ATD34" s="57"/>
      <c r="ATE34" s="56"/>
      <c r="ATF34" s="57"/>
      <c r="ATG34" s="57"/>
      <c r="ATH34" s="57"/>
      <c r="ATI34" s="57"/>
      <c r="ATJ34" s="57"/>
      <c r="ATK34" s="56"/>
      <c r="ATL34" s="57"/>
      <c r="ATM34" s="57"/>
      <c r="ATN34" s="56"/>
      <c r="ATO34" s="57"/>
      <c r="ATP34" s="58"/>
      <c r="ATQ34" s="56"/>
      <c r="ATR34" s="57"/>
      <c r="ATS34" s="57"/>
      <c r="ATT34" s="57"/>
      <c r="ATU34" s="56"/>
      <c r="ATV34" s="57"/>
      <c r="ATW34" s="57"/>
      <c r="ATX34" s="56"/>
      <c r="ATY34" s="57"/>
      <c r="ATZ34" s="58"/>
      <c r="AUA34" s="56"/>
      <c r="AUB34" s="57"/>
      <c r="AUC34" s="57"/>
      <c r="AUD34" s="57"/>
      <c r="AUE34" s="56"/>
      <c r="AUF34" s="57"/>
      <c r="AUG34" s="57"/>
      <c r="AUH34" s="57"/>
      <c r="AUI34" s="57"/>
      <c r="AUJ34" s="57"/>
      <c r="AUK34" s="56"/>
      <c r="AUL34" s="57"/>
      <c r="AUM34" s="57"/>
      <c r="AUN34" s="56"/>
      <c r="AUO34" s="57"/>
      <c r="AUP34" s="58"/>
      <c r="AUQ34" s="56"/>
      <c r="AUR34" s="57"/>
      <c r="AUS34" s="57"/>
      <c r="AUT34" s="57"/>
      <c r="AUU34" s="56"/>
      <c r="AUV34" s="57"/>
      <c r="AUW34" s="57"/>
      <c r="AUX34" s="56"/>
      <c r="AUY34" s="57"/>
      <c r="AUZ34" s="58"/>
      <c r="AVA34" s="56"/>
      <c r="AVB34" s="57"/>
      <c r="AVC34" s="57"/>
      <c r="AVD34" s="57"/>
      <c r="AVE34" s="56"/>
      <c r="AVF34" s="57"/>
      <c r="AVG34" s="57"/>
      <c r="AVH34" s="57"/>
      <c r="AVI34" s="57"/>
      <c r="AVJ34" s="57"/>
      <c r="AVK34" s="56"/>
      <c r="AVL34" s="57"/>
      <c r="AVM34" s="57"/>
      <c r="AVN34" s="56"/>
      <c r="AVO34" s="57"/>
      <c r="AVP34" s="58"/>
      <c r="AVQ34" s="56"/>
      <c r="AVR34" s="57"/>
      <c r="AVS34" s="57"/>
      <c r="AVT34" s="57"/>
      <c r="AVU34" s="56"/>
      <c r="AVV34" s="57"/>
      <c r="AVW34" s="57"/>
      <c r="AVX34" s="56"/>
      <c r="AVY34" s="57"/>
      <c r="AVZ34" s="58"/>
      <c r="AWA34" s="56"/>
      <c r="AWB34" s="57"/>
      <c r="AWC34" s="57"/>
      <c r="AWD34" s="57"/>
      <c r="AWE34" s="56"/>
      <c r="AWF34" s="57"/>
      <c r="AWG34" s="57"/>
      <c r="AWH34" s="57"/>
      <c r="AWI34" s="57"/>
      <c r="AWJ34" s="57"/>
      <c r="AWK34" s="56"/>
      <c r="AWL34" s="57"/>
      <c r="AWM34" s="57"/>
      <c r="AWN34" s="56"/>
      <c r="AWO34" s="57"/>
      <c r="AWP34" s="58"/>
      <c r="AWQ34" s="56"/>
      <c r="AWR34" s="57"/>
      <c r="AWS34" s="57"/>
      <c r="AWT34" s="57"/>
      <c r="AWU34" s="56"/>
      <c r="AWV34" s="57"/>
      <c r="AWW34" s="57"/>
      <c r="AWX34" s="56"/>
      <c r="AWY34" s="57"/>
      <c r="AWZ34" s="58"/>
      <c r="AXA34" s="56"/>
      <c r="AXB34" s="57"/>
      <c r="AXC34" s="57"/>
      <c r="AXD34" s="57"/>
      <c r="AXE34" s="56"/>
      <c r="AXF34" s="57"/>
      <c r="AXG34" s="57"/>
      <c r="AXH34" s="57"/>
      <c r="AXI34" s="57"/>
      <c r="AXJ34" s="57"/>
      <c r="AXK34" s="56"/>
      <c r="AXL34" s="57"/>
      <c r="AXM34" s="57"/>
      <c r="AXN34" s="56"/>
      <c r="AXO34" s="57"/>
      <c r="AXP34" s="58"/>
      <c r="AXQ34" s="56"/>
      <c r="AXR34" s="57"/>
      <c r="AXS34" s="57"/>
      <c r="AXT34" s="57"/>
      <c r="AXU34" s="56"/>
      <c r="AXV34" s="57"/>
      <c r="AXW34" s="57"/>
      <c r="AXX34" s="56"/>
      <c r="AXY34" s="57"/>
      <c r="AXZ34" s="58"/>
      <c r="AYA34" s="56"/>
      <c r="AYB34" s="57"/>
      <c r="AYC34" s="57"/>
      <c r="AYD34" s="57"/>
      <c r="AYE34" s="56"/>
      <c r="AYF34" s="57"/>
      <c r="AYG34" s="57"/>
      <c r="AYH34" s="57"/>
      <c r="AYI34" s="57"/>
      <c r="AYJ34" s="57"/>
      <c r="AYK34" s="56"/>
      <c r="AYL34" s="57"/>
      <c r="AYM34" s="57"/>
      <c r="AYN34" s="56"/>
      <c r="AYO34" s="57"/>
      <c r="AYP34" s="58"/>
      <c r="AYQ34" s="56"/>
      <c r="AYR34" s="57"/>
      <c r="AYS34" s="57"/>
      <c r="AYT34" s="57"/>
      <c r="AYU34" s="56"/>
      <c r="AYV34" s="57"/>
      <c r="AYW34" s="57"/>
      <c r="AYX34" s="56"/>
      <c r="AYY34" s="57"/>
      <c r="AYZ34" s="58"/>
      <c r="AZA34" s="56"/>
      <c r="AZB34" s="57"/>
      <c r="AZC34" s="57"/>
      <c r="AZD34" s="57"/>
      <c r="AZE34" s="56"/>
      <c r="AZF34" s="57"/>
      <c r="AZG34" s="57"/>
      <c r="AZH34" s="57"/>
      <c r="AZI34" s="57"/>
      <c r="AZJ34" s="57"/>
      <c r="AZK34" s="56"/>
      <c r="AZL34" s="57"/>
      <c r="AZM34" s="57"/>
      <c r="AZN34" s="56"/>
      <c r="AZO34" s="57"/>
      <c r="AZP34" s="58"/>
      <c r="AZQ34" s="56"/>
      <c r="AZR34" s="57"/>
      <c r="AZS34" s="57"/>
      <c r="AZT34" s="57"/>
      <c r="AZU34" s="56"/>
      <c r="AZV34" s="57"/>
      <c r="AZW34" s="57"/>
      <c r="AZX34" s="56"/>
      <c r="AZY34" s="57"/>
      <c r="AZZ34" s="58"/>
      <c r="BAA34" s="56"/>
      <c r="BAB34" s="57"/>
      <c r="BAC34" s="57"/>
      <c r="BAD34" s="57"/>
      <c r="BAE34" s="56"/>
      <c r="BAF34" s="57"/>
      <c r="BAG34" s="57"/>
      <c r="BAH34" s="57"/>
      <c r="BAI34" s="57"/>
      <c r="BAJ34" s="57"/>
      <c r="BAK34" s="56"/>
      <c r="BAL34" s="57"/>
      <c r="BAM34" s="57"/>
      <c r="BAN34" s="56"/>
      <c r="BAO34" s="57"/>
      <c r="BAP34" s="58"/>
      <c r="BAQ34" s="56"/>
      <c r="BAR34" s="57"/>
      <c r="BAS34" s="57"/>
      <c r="BAT34" s="57"/>
      <c r="BAU34" s="56"/>
      <c r="BAV34" s="57"/>
      <c r="BAW34" s="57"/>
      <c r="BAX34" s="56"/>
      <c r="BAY34" s="57"/>
      <c r="BAZ34" s="58"/>
      <c r="BBA34" s="56"/>
      <c r="BBB34" s="57"/>
      <c r="BBC34" s="57"/>
      <c r="BBD34" s="57"/>
      <c r="BBE34" s="56"/>
      <c r="BBF34" s="57"/>
      <c r="BBG34" s="57"/>
      <c r="BBH34" s="57"/>
      <c r="BBI34" s="57"/>
      <c r="BBJ34" s="57"/>
      <c r="BBK34" s="56"/>
      <c r="BBL34" s="57"/>
      <c r="BBM34" s="57"/>
      <c r="BBN34" s="56"/>
      <c r="BBO34" s="57"/>
      <c r="BBP34" s="58"/>
      <c r="BBQ34" s="56"/>
      <c r="BBR34" s="57"/>
      <c r="BBS34" s="57"/>
      <c r="BBT34" s="57"/>
      <c r="BBU34" s="56"/>
      <c r="BBV34" s="57"/>
      <c r="BBW34" s="57"/>
      <c r="BBX34" s="56"/>
      <c r="BBY34" s="57"/>
      <c r="BBZ34" s="58"/>
      <c r="BCA34" s="56"/>
      <c r="BCB34" s="57"/>
      <c r="BCC34" s="57"/>
      <c r="BCD34" s="57"/>
      <c r="BCE34" s="56"/>
      <c r="BCF34" s="57"/>
      <c r="BCG34" s="57"/>
      <c r="BCH34" s="57"/>
      <c r="BCI34" s="57"/>
      <c r="BCJ34" s="57"/>
      <c r="BCK34" s="56"/>
      <c r="BCL34" s="57"/>
      <c r="BCM34" s="57"/>
      <c r="BCN34" s="56"/>
      <c r="BCO34" s="57"/>
      <c r="BCP34" s="58"/>
      <c r="BCQ34" s="56"/>
      <c r="BCR34" s="57"/>
      <c r="BCS34" s="57"/>
      <c r="BCT34" s="57"/>
      <c r="BCU34" s="56"/>
      <c r="BCV34" s="57"/>
      <c r="BCW34" s="57"/>
      <c r="BCX34" s="56"/>
      <c r="BCY34" s="57"/>
      <c r="BCZ34" s="58"/>
      <c r="BDA34" s="56"/>
      <c r="BDB34" s="57"/>
      <c r="BDC34" s="57"/>
      <c r="BDD34" s="57"/>
      <c r="BDE34" s="56"/>
      <c r="BDF34" s="57"/>
      <c r="BDG34" s="57"/>
      <c r="BDH34" s="57"/>
      <c r="BDI34" s="57"/>
      <c r="BDJ34" s="57"/>
      <c r="BDK34" s="56"/>
      <c r="BDL34" s="57"/>
      <c r="BDM34" s="57"/>
      <c r="BDN34" s="56"/>
      <c r="BDO34" s="57"/>
      <c r="BDP34" s="58"/>
      <c r="BDQ34" s="56"/>
      <c r="BDR34" s="57"/>
      <c r="BDS34" s="57"/>
      <c r="BDT34" s="57"/>
      <c r="BDU34" s="56"/>
      <c r="BDV34" s="57"/>
      <c r="BDW34" s="57"/>
      <c r="BDX34" s="56"/>
      <c r="BDY34" s="57"/>
      <c r="BDZ34" s="58"/>
      <c r="BEA34" s="56"/>
      <c r="BEB34" s="57"/>
      <c r="BEC34" s="57"/>
      <c r="BED34" s="57"/>
      <c r="BEE34" s="56"/>
      <c r="BEF34" s="57"/>
      <c r="BEG34" s="57"/>
      <c r="BEH34" s="57"/>
      <c r="BEI34" s="57"/>
      <c r="BEJ34" s="57"/>
      <c r="BEK34" s="56"/>
      <c r="BEL34" s="57"/>
      <c r="BEM34" s="57"/>
      <c r="BEN34" s="56"/>
      <c r="BEO34" s="57"/>
      <c r="BEP34" s="58"/>
      <c r="BEQ34" s="56"/>
      <c r="BER34" s="57"/>
      <c r="BES34" s="57"/>
      <c r="BET34" s="57"/>
      <c r="BEU34" s="56"/>
      <c r="BEV34" s="57"/>
      <c r="BEW34" s="57"/>
      <c r="BEX34" s="56"/>
      <c r="BEY34" s="57"/>
      <c r="BEZ34" s="58"/>
      <c r="BFA34" s="56"/>
      <c r="BFB34" s="57"/>
      <c r="BFC34" s="57"/>
      <c r="BFD34" s="57"/>
      <c r="BFE34" s="56"/>
      <c r="BFF34" s="57"/>
      <c r="BFG34" s="57"/>
      <c r="BFH34" s="57"/>
      <c r="BFI34" s="57"/>
      <c r="BFJ34" s="57"/>
      <c r="BFK34" s="56"/>
      <c r="BFL34" s="57"/>
      <c r="BFM34" s="57"/>
      <c r="BFN34" s="56"/>
      <c r="BFO34" s="57"/>
      <c r="BFP34" s="58"/>
      <c r="BFQ34" s="56"/>
      <c r="BFR34" s="57"/>
      <c r="BFS34" s="57"/>
      <c r="BFT34" s="57"/>
      <c r="BFU34" s="56"/>
      <c r="BFV34" s="57"/>
      <c r="BFW34" s="57"/>
      <c r="BFX34" s="56"/>
      <c r="BFY34" s="57"/>
      <c r="BFZ34" s="58"/>
      <c r="BGA34" s="56"/>
      <c r="BGB34" s="57"/>
      <c r="BGC34" s="57"/>
      <c r="BGD34" s="57"/>
      <c r="BGE34" s="56"/>
      <c r="BGF34" s="57"/>
      <c r="BGG34" s="57"/>
      <c r="BGH34" s="57"/>
      <c r="BGI34" s="57"/>
      <c r="BGJ34" s="57"/>
      <c r="BGK34" s="56"/>
      <c r="BGL34" s="57"/>
      <c r="BGM34" s="57"/>
      <c r="BGN34" s="56"/>
      <c r="BGO34" s="57"/>
      <c r="BGP34" s="58"/>
      <c r="BGQ34" s="56"/>
      <c r="BGR34" s="57"/>
      <c r="BGS34" s="57"/>
      <c r="BGT34" s="57"/>
      <c r="BGU34" s="56"/>
      <c r="BGV34" s="57"/>
      <c r="BGW34" s="57"/>
      <c r="BGX34" s="56"/>
      <c r="BGY34" s="57"/>
      <c r="BGZ34" s="58"/>
      <c r="BHA34" s="56"/>
      <c r="BHB34" s="57"/>
      <c r="BHC34" s="57"/>
      <c r="BHD34" s="57"/>
      <c r="BHE34" s="56"/>
      <c r="BHF34" s="57"/>
      <c r="BHG34" s="57"/>
      <c r="BHH34" s="57"/>
      <c r="BHI34" s="57"/>
      <c r="BHJ34" s="57"/>
      <c r="BHK34" s="56"/>
      <c r="BHL34" s="57"/>
      <c r="BHM34" s="57"/>
      <c r="BHN34" s="56"/>
      <c r="BHO34" s="57"/>
      <c r="BHP34" s="58"/>
      <c r="BHQ34" s="56"/>
      <c r="BHR34" s="57"/>
      <c r="BHS34" s="57"/>
      <c r="BHT34" s="57"/>
      <c r="BHU34" s="56"/>
      <c r="BHV34" s="57"/>
      <c r="BHW34" s="57"/>
      <c r="BHX34" s="56"/>
      <c r="BHY34" s="57"/>
      <c r="BHZ34" s="58"/>
      <c r="BIA34" s="56"/>
      <c r="BIB34" s="57"/>
      <c r="BIC34" s="57"/>
      <c r="BID34" s="57"/>
      <c r="BIE34" s="56"/>
      <c r="BIF34" s="57"/>
      <c r="BIG34" s="57"/>
      <c r="BIH34" s="57"/>
      <c r="BII34" s="57"/>
      <c r="BIJ34" s="57"/>
      <c r="BIK34" s="56"/>
      <c r="BIL34" s="57"/>
      <c r="BIM34" s="57"/>
      <c r="BIN34" s="56"/>
      <c r="BIO34" s="57"/>
      <c r="BIP34" s="58"/>
      <c r="BIQ34" s="56"/>
      <c r="BIR34" s="57"/>
      <c r="BIS34" s="57"/>
      <c r="BIT34" s="57"/>
      <c r="BIU34" s="56"/>
      <c r="BIV34" s="57"/>
      <c r="BIW34" s="57"/>
      <c r="BIX34" s="56"/>
      <c r="BIY34" s="57"/>
      <c r="BIZ34" s="58"/>
      <c r="BJA34" s="56"/>
      <c r="BJB34" s="57"/>
      <c r="BJC34" s="57"/>
      <c r="BJD34" s="57"/>
      <c r="BJE34" s="56"/>
      <c r="BJF34" s="57"/>
      <c r="BJG34" s="57"/>
      <c r="BJH34" s="57"/>
      <c r="BJI34" s="57"/>
      <c r="BJJ34" s="57"/>
      <c r="BJK34" s="56"/>
      <c r="BJL34" s="57"/>
      <c r="BJM34" s="57"/>
      <c r="BJN34" s="56"/>
      <c r="BJO34" s="57"/>
      <c r="BJP34" s="58"/>
      <c r="BJQ34" s="56"/>
      <c r="BJR34" s="57"/>
      <c r="BJS34" s="57"/>
      <c r="BJT34" s="57"/>
      <c r="BJU34" s="56"/>
      <c r="BJV34" s="57"/>
      <c r="BJW34" s="57"/>
      <c r="BJX34" s="56"/>
      <c r="BJY34" s="57"/>
      <c r="BJZ34" s="58"/>
      <c r="BKA34" s="56"/>
      <c r="BKB34" s="57"/>
      <c r="BKC34" s="57"/>
      <c r="BKD34" s="57"/>
      <c r="BKE34" s="56"/>
      <c r="BKF34" s="57"/>
      <c r="BKG34" s="57"/>
      <c r="BKH34" s="57"/>
      <c r="BKI34" s="57"/>
      <c r="BKJ34" s="57"/>
      <c r="BKK34" s="56"/>
      <c r="BKL34" s="57"/>
      <c r="BKM34" s="57"/>
      <c r="BKN34" s="56"/>
      <c r="BKO34" s="57"/>
      <c r="BKP34" s="58"/>
      <c r="BKQ34" s="56"/>
      <c r="BKR34" s="57"/>
      <c r="BKS34" s="57"/>
      <c r="BKT34" s="57"/>
      <c r="BKU34" s="56"/>
      <c r="BKV34" s="57"/>
      <c r="BKW34" s="57"/>
      <c r="BKX34" s="56"/>
      <c r="BKY34" s="57"/>
      <c r="BKZ34" s="58"/>
      <c r="BLA34" s="56"/>
      <c r="BLB34" s="57"/>
      <c r="BLC34" s="57"/>
      <c r="BLD34" s="57"/>
      <c r="BLE34" s="56"/>
      <c r="BLF34" s="57"/>
      <c r="BLG34" s="57"/>
      <c r="BLH34" s="57"/>
      <c r="BLI34" s="57"/>
      <c r="BLJ34" s="57"/>
      <c r="BLK34" s="56"/>
      <c r="BLL34" s="57"/>
      <c r="BLM34" s="57"/>
      <c r="BLN34" s="56"/>
      <c r="BLO34" s="57"/>
      <c r="BLP34" s="58"/>
      <c r="BLQ34" s="56"/>
      <c r="BLR34" s="57"/>
      <c r="BLS34" s="57"/>
      <c r="BLT34" s="57"/>
      <c r="BLU34" s="56"/>
      <c r="BLV34" s="57"/>
      <c r="BLW34" s="57"/>
      <c r="BLX34" s="56"/>
      <c r="BLY34" s="57"/>
      <c r="BLZ34" s="58"/>
      <c r="BMA34" s="56"/>
      <c r="BMB34" s="57"/>
      <c r="BMC34" s="57"/>
      <c r="BMD34" s="57"/>
      <c r="BME34" s="56"/>
      <c r="BMF34" s="57"/>
      <c r="BMG34" s="57"/>
      <c r="BMH34" s="57"/>
      <c r="BMI34" s="57"/>
      <c r="BMJ34" s="57"/>
      <c r="BMK34" s="56"/>
      <c r="BML34" s="57"/>
      <c r="BMM34" s="57"/>
      <c r="BMN34" s="56"/>
      <c r="BMO34" s="57"/>
      <c r="BMP34" s="58"/>
      <c r="BMQ34" s="56"/>
      <c r="BMR34" s="57"/>
      <c r="BMS34" s="57"/>
      <c r="BMT34" s="57"/>
      <c r="BMU34" s="56"/>
      <c r="BMV34" s="57"/>
      <c r="BMW34" s="57"/>
      <c r="BMX34" s="56"/>
      <c r="BMY34" s="57"/>
      <c r="BMZ34" s="58"/>
      <c r="BNA34" s="56"/>
      <c r="BNB34" s="57"/>
      <c r="BNC34" s="57"/>
      <c r="BND34" s="57"/>
      <c r="BNE34" s="56"/>
      <c r="BNF34" s="57"/>
      <c r="BNG34" s="57"/>
      <c r="BNH34" s="57"/>
      <c r="BNI34" s="57"/>
      <c r="BNJ34" s="57"/>
      <c r="BNK34" s="56"/>
      <c r="BNL34" s="57"/>
      <c r="BNM34" s="57"/>
      <c r="BNN34" s="56"/>
      <c r="BNO34" s="57"/>
      <c r="BNP34" s="58"/>
      <c r="BNQ34" s="56"/>
      <c r="BNR34" s="57"/>
      <c r="BNS34" s="57"/>
      <c r="BNT34" s="57"/>
      <c r="BNU34" s="56"/>
      <c r="BNV34" s="57"/>
      <c r="BNW34" s="57"/>
      <c r="BNX34" s="56"/>
      <c r="BNY34" s="57"/>
      <c r="BNZ34" s="58"/>
      <c r="BOA34" s="56"/>
      <c r="BOB34" s="57"/>
      <c r="BOC34" s="57"/>
      <c r="BOD34" s="57"/>
      <c r="BOE34" s="56"/>
      <c r="BOF34" s="57"/>
      <c r="BOG34" s="57"/>
      <c r="BOH34" s="57"/>
      <c r="BOI34" s="57"/>
      <c r="BOJ34" s="57"/>
      <c r="BOK34" s="56"/>
      <c r="BOL34" s="57"/>
      <c r="BOM34" s="57"/>
      <c r="BON34" s="56"/>
      <c r="BOO34" s="57"/>
      <c r="BOP34" s="58"/>
      <c r="BOQ34" s="56"/>
      <c r="BOR34" s="57"/>
      <c r="BOS34" s="57"/>
      <c r="BOT34" s="57"/>
      <c r="BOU34" s="56"/>
      <c r="BOV34" s="57"/>
      <c r="BOW34" s="57"/>
      <c r="BOX34" s="56"/>
      <c r="BOY34" s="57"/>
      <c r="BOZ34" s="58"/>
      <c r="BPA34" s="56"/>
      <c r="BPB34" s="57"/>
      <c r="BPC34" s="57"/>
      <c r="BPD34" s="57"/>
      <c r="BPE34" s="56"/>
      <c r="BPF34" s="57"/>
      <c r="BPG34" s="57"/>
      <c r="BPH34" s="57"/>
      <c r="BPI34" s="57"/>
      <c r="BPJ34" s="57"/>
      <c r="BPK34" s="56"/>
      <c r="BPL34" s="57"/>
      <c r="BPM34" s="57"/>
      <c r="BPN34" s="56"/>
      <c r="BPO34" s="57"/>
      <c r="BPP34" s="58"/>
      <c r="BPQ34" s="56"/>
      <c r="BPR34" s="57"/>
      <c r="BPS34" s="57"/>
      <c r="BPT34" s="57"/>
      <c r="BPU34" s="56"/>
      <c r="BPV34" s="57"/>
      <c r="BPW34" s="57"/>
      <c r="BPX34" s="56"/>
      <c r="BPY34" s="57"/>
      <c r="BPZ34" s="58"/>
      <c r="BQA34" s="56"/>
      <c r="BQB34" s="57"/>
      <c r="BQC34" s="57"/>
      <c r="BQD34" s="57"/>
      <c r="BQE34" s="56"/>
      <c r="BQF34" s="57"/>
      <c r="BQG34" s="57"/>
      <c r="BQH34" s="57"/>
      <c r="BQI34" s="57"/>
      <c r="BQJ34" s="57"/>
      <c r="BQK34" s="56"/>
      <c r="BQL34" s="57"/>
      <c r="BQM34" s="57"/>
      <c r="BQN34" s="56"/>
      <c r="BQO34" s="57"/>
      <c r="BQP34" s="58"/>
      <c r="BQQ34" s="56"/>
      <c r="BQR34" s="57"/>
      <c r="BQS34" s="57"/>
      <c r="BQT34" s="57"/>
      <c r="BQU34" s="56"/>
      <c r="BQV34" s="57"/>
      <c r="BQW34" s="57"/>
      <c r="BQX34" s="56"/>
      <c r="BQY34" s="57"/>
      <c r="BQZ34" s="58"/>
      <c r="BRA34" s="56"/>
      <c r="BRB34" s="57"/>
      <c r="BRC34" s="57"/>
      <c r="BRD34" s="57"/>
      <c r="BRE34" s="56"/>
      <c r="BRF34" s="57"/>
      <c r="BRG34" s="57"/>
      <c r="BRH34" s="57"/>
      <c r="BRI34" s="57"/>
      <c r="BRJ34" s="57"/>
      <c r="BRK34" s="56"/>
      <c r="BRL34" s="57"/>
      <c r="BRM34" s="57"/>
      <c r="BRN34" s="56"/>
      <c r="BRO34" s="57"/>
      <c r="BRP34" s="58"/>
      <c r="BRQ34" s="56"/>
      <c r="BRR34" s="57"/>
      <c r="BRS34" s="57"/>
      <c r="BRT34" s="57"/>
      <c r="BRU34" s="56"/>
      <c r="BRV34" s="57"/>
      <c r="BRW34" s="57"/>
      <c r="BRX34" s="56"/>
      <c r="BRY34" s="57"/>
      <c r="BRZ34" s="58"/>
      <c r="BSA34" s="56"/>
      <c r="BSB34" s="57"/>
      <c r="BSC34" s="57"/>
      <c r="BSD34" s="57"/>
      <c r="BSE34" s="56"/>
      <c r="BSF34" s="57"/>
      <c r="BSG34" s="57"/>
      <c r="BSH34" s="57"/>
      <c r="BSI34" s="57"/>
      <c r="BSJ34" s="57"/>
      <c r="BSK34" s="56"/>
      <c r="BSL34" s="57"/>
      <c r="BSM34" s="57"/>
      <c r="BSN34" s="56"/>
      <c r="BSO34" s="57"/>
      <c r="BSP34" s="58"/>
      <c r="BSQ34" s="56"/>
      <c r="BSR34" s="57"/>
      <c r="BSS34" s="57"/>
      <c r="BST34" s="57"/>
      <c r="BSU34" s="56"/>
      <c r="BSV34" s="57"/>
      <c r="BSW34" s="57"/>
      <c r="BSX34" s="56"/>
      <c r="BSY34" s="57"/>
      <c r="BSZ34" s="58"/>
      <c r="BTA34" s="56"/>
      <c r="BTB34" s="57"/>
      <c r="BTC34" s="57"/>
      <c r="BTD34" s="57"/>
      <c r="BTE34" s="56"/>
      <c r="BTF34" s="57"/>
      <c r="BTG34" s="57"/>
      <c r="BTH34" s="57"/>
      <c r="BTI34" s="57"/>
      <c r="BTJ34" s="57"/>
      <c r="BTK34" s="56"/>
      <c r="BTL34" s="57"/>
      <c r="BTM34" s="57"/>
      <c r="BTN34" s="56"/>
      <c r="BTO34" s="57"/>
      <c r="BTP34" s="58"/>
      <c r="BTQ34" s="56"/>
      <c r="BTR34" s="57"/>
      <c r="BTS34" s="57"/>
      <c r="BTT34" s="57"/>
      <c r="BTU34" s="56"/>
      <c r="BTV34" s="57"/>
      <c r="BTW34" s="57"/>
      <c r="BTX34" s="56"/>
      <c r="BTY34" s="57"/>
      <c r="BTZ34" s="58"/>
      <c r="BUA34" s="56"/>
      <c r="BUB34" s="57"/>
      <c r="BUC34" s="57"/>
      <c r="BUD34" s="57"/>
      <c r="BUE34" s="56"/>
      <c r="BUF34" s="57"/>
      <c r="BUG34" s="57"/>
      <c r="BUH34" s="57"/>
      <c r="BUI34" s="57"/>
      <c r="BUJ34" s="57"/>
      <c r="BUK34" s="56"/>
      <c r="BUL34" s="57"/>
      <c r="BUM34" s="57"/>
      <c r="BUN34" s="56"/>
      <c r="BUO34" s="57"/>
      <c r="BUP34" s="58"/>
      <c r="BUQ34" s="56"/>
      <c r="BUR34" s="57"/>
      <c r="BUS34" s="57"/>
      <c r="BUT34" s="57"/>
      <c r="BUU34" s="56"/>
      <c r="BUV34" s="57"/>
      <c r="BUW34" s="57"/>
      <c r="BUX34" s="56"/>
      <c r="BUY34" s="57"/>
      <c r="BUZ34" s="58"/>
      <c r="BVA34" s="56"/>
      <c r="BVB34" s="57"/>
      <c r="BVC34" s="57"/>
      <c r="BVD34" s="57"/>
      <c r="BVE34" s="56"/>
      <c r="BVF34" s="57"/>
      <c r="BVG34" s="57"/>
      <c r="BVH34" s="57"/>
      <c r="BVI34" s="57"/>
      <c r="BVJ34" s="57"/>
      <c r="BVK34" s="56"/>
      <c r="BVL34" s="57"/>
      <c r="BVM34" s="57"/>
      <c r="BVN34" s="56"/>
      <c r="BVO34" s="57"/>
      <c r="BVP34" s="58"/>
      <c r="BVQ34" s="56"/>
      <c r="BVR34" s="57"/>
      <c r="BVS34" s="57"/>
      <c r="BVT34" s="57"/>
      <c r="BVU34" s="56"/>
      <c r="BVV34" s="57"/>
      <c r="BVW34" s="57"/>
      <c r="BVX34" s="56"/>
      <c r="BVY34" s="57"/>
      <c r="BVZ34" s="58"/>
      <c r="BWA34" s="56"/>
      <c r="BWB34" s="57"/>
      <c r="BWC34" s="57"/>
      <c r="BWD34" s="57"/>
      <c r="BWE34" s="56"/>
      <c r="BWF34" s="57"/>
      <c r="BWG34" s="57"/>
      <c r="BWH34" s="57"/>
      <c r="BWI34" s="57"/>
      <c r="BWJ34" s="57"/>
      <c r="BWK34" s="56"/>
      <c r="BWL34" s="57"/>
      <c r="BWM34" s="57"/>
      <c r="BWN34" s="56"/>
      <c r="BWO34" s="57"/>
      <c r="BWP34" s="58"/>
      <c r="BWQ34" s="56"/>
      <c r="BWR34" s="57"/>
      <c r="BWS34" s="57"/>
      <c r="BWT34" s="57"/>
      <c r="BWU34" s="56"/>
      <c r="BWV34" s="57"/>
      <c r="BWW34" s="57"/>
      <c r="BWX34" s="56"/>
      <c r="BWY34" s="57"/>
      <c r="BWZ34" s="58"/>
      <c r="BXA34" s="56"/>
      <c r="BXB34" s="57"/>
      <c r="BXC34" s="57"/>
      <c r="BXD34" s="57"/>
      <c r="BXE34" s="56"/>
      <c r="BXF34" s="57"/>
      <c r="BXG34" s="57"/>
      <c r="BXH34" s="57"/>
      <c r="BXI34" s="57"/>
      <c r="BXJ34" s="57"/>
      <c r="BXK34" s="56"/>
      <c r="BXL34" s="57"/>
      <c r="BXM34" s="57"/>
      <c r="BXN34" s="56"/>
      <c r="BXO34" s="57"/>
      <c r="BXP34" s="58"/>
      <c r="BXQ34" s="56"/>
      <c r="BXR34" s="57"/>
      <c r="BXS34" s="57"/>
      <c r="BXT34" s="57"/>
      <c r="BXU34" s="56"/>
      <c r="BXV34" s="57"/>
      <c r="BXW34" s="57"/>
      <c r="BXX34" s="56"/>
      <c r="BXY34" s="57"/>
      <c r="BXZ34" s="58"/>
      <c r="BYA34" s="56"/>
      <c r="BYB34" s="57"/>
      <c r="BYC34" s="57"/>
      <c r="BYD34" s="57"/>
      <c r="BYE34" s="56"/>
      <c r="BYF34" s="57"/>
      <c r="BYG34" s="57"/>
      <c r="BYH34" s="57"/>
      <c r="BYI34" s="57"/>
      <c r="BYJ34" s="57"/>
      <c r="BYK34" s="56"/>
      <c r="BYL34" s="57"/>
      <c r="BYM34" s="57"/>
      <c r="BYN34" s="56"/>
      <c r="BYO34" s="57"/>
      <c r="BYP34" s="58"/>
      <c r="BYQ34" s="56"/>
      <c r="BYR34" s="57"/>
      <c r="BYS34" s="57"/>
      <c r="BYT34" s="57"/>
      <c r="BYU34" s="56"/>
      <c r="BYV34" s="57"/>
      <c r="BYW34" s="57"/>
      <c r="BYX34" s="58"/>
      <c r="BYY34" s="57"/>
      <c r="BYZ34" s="56"/>
      <c r="BZA34" s="57"/>
      <c r="BZB34" s="56"/>
      <c r="BZC34" s="56"/>
      <c r="BZD34" s="56"/>
      <c r="BZE34" s="57"/>
      <c r="BZF34" s="57"/>
      <c r="BZG34" s="57"/>
      <c r="BZH34" s="57"/>
      <c r="BZI34" s="57"/>
      <c r="BZJ34" s="57"/>
      <c r="BZK34" s="57"/>
      <c r="BZL34" s="57"/>
      <c r="BZM34" s="57"/>
      <c r="BZN34" s="57"/>
      <c r="BZO34" s="57"/>
      <c r="BZP34" s="57"/>
      <c r="BZQ34" s="57"/>
      <c r="BZR34" s="57"/>
      <c r="BZS34" s="57"/>
      <c r="BZT34" s="57"/>
      <c r="BZU34" s="57"/>
      <c r="BZV34" s="57"/>
      <c r="BZW34" s="57"/>
      <c r="BZX34" s="57"/>
      <c r="BZY34" s="57"/>
      <c r="BZZ34" s="57"/>
      <c r="CAA34" s="57"/>
      <c r="CAB34" s="57"/>
      <c r="CAC34" s="57"/>
      <c r="CAD34" s="57"/>
      <c r="CAE34" s="57"/>
      <c r="CAF34" s="57"/>
      <c r="CAG34" s="57"/>
      <c r="CAH34" s="57"/>
      <c r="CAI34" s="57"/>
      <c r="CAJ34" s="57"/>
      <c r="CAK34" s="57"/>
      <c r="CAL34" s="57"/>
      <c r="CAM34" s="57"/>
      <c r="CAN34" s="57"/>
      <c r="CAO34" s="57"/>
      <c r="CAP34" s="58"/>
      <c r="CAQ34" s="56"/>
      <c r="CAR34" s="57"/>
      <c r="CAS34" s="57"/>
      <c r="CAT34" s="57"/>
      <c r="CAU34" s="57"/>
      <c r="CAV34" s="57"/>
      <c r="CAW34" s="56"/>
      <c r="CAX34" s="57"/>
      <c r="CAY34" s="57"/>
      <c r="CAZ34" s="56"/>
      <c r="CBA34" s="57"/>
      <c r="CBB34" s="58"/>
      <c r="CBC34" s="56"/>
      <c r="CBD34" s="57"/>
      <c r="CBE34" s="57"/>
      <c r="CBF34" s="57"/>
      <c r="CBG34" s="56"/>
      <c r="CBH34" s="57"/>
      <c r="CBI34" s="57"/>
      <c r="CBJ34" s="56"/>
      <c r="CBK34" s="57"/>
      <c r="CBL34" s="58"/>
      <c r="CBM34" s="56"/>
      <c r="CBN34" s="57"/>
      <c r="CBO34" s="57"/>
      <c r="CBP34" s="57"/>
      <c r="CBQ34" s="56"/>
      <c r="CBR34" s="57"/>
      <c r="CBS34" s="57"/>
      <c r="CBT34" s="56"/>
      <c r="CBU34" s="57"/>
      <c r="CBV34" s="58"/>
      <c r="CBW34" s="56"/>
      <c r="CBX34" s="57"/>
      <c r="CBY34" s="57"/>
      <c r="CBZ34" s="57"/>
      <c r="CCA34" s="56"/>
      <c r="CCB34" s="57"/>
      <c r="CCC34" s="57"/>
      <c r="CCD34" s="56"/>
      <c r="CCE34" s="57"/>
      <c r="CCF34" s="58"/>
      <c r="CCG34" s="56"/>
      <c r="CCH34" s="58"/>
      <c r="CCI34" s="57"/>
      <c r="CCJ34" s="56"/>
      <c r="CCK34" s="57"/>
      <c r="CCL34" s="56"/>
      <c r="CCM34" s="56"/>
      <c r="CCN34" s="56"/>
      <c r="CCO34" s="57"/>
      <c r="CCP34" s="57"/>
      <c r="CCQ34" s="57"/>
      <c r="CCR34" s="57"/>
      <c r="CCS34" s="57"/>
      <c r="CCT34" s="57"/>
      <c r="CCU34" s="57"/>
      <c r="CCV34" s="57"/>
      <c r="CCW34" s="57"/>
      <c r="CCX34" s="57"/>
      <c r="CCY34" s="57"/>
      <c r="CCZ34" s="57"/>
      <c r="CDA34" s="57"/>
      <c r="CDB34" s="57"/>
      <c r="CDC34" s="57"/>
      <c r="CDD34" s="57"/>
      <c r="CDE34" s="57"/>
      <c r="CDF34" s="57"/>
      <c r="CDG34" s="57"/>
      <c r="CDH34" s="57"/>
      <c r="CDI34" s="57"/>
      <c r="CDJ34" s="57"/>
      <c r="CDK34" s="57"/>
      <c r="CDL34" s="57"/>
      <c r="CDM34" s="57"/>
      <c r="CDN34" s="57"/>
      <c r="CDO34" s="57"/>
      <c r="CDP34" s="57"/>
      <c r="CDQ34" s="57"/>
      <c r="CDR34" s="57"/>
      <c r="CDS34" s="57"/>
      <c r="CDT34" s="57"/>
      <c r="CDU34" s="57"/>
      <c r="CDV34" s="57"/>
      <c r="CDW34" s="57"/>
      <c r="CDX34" s="57"/>
      <c r="CDY34" s="57"/>
      <c r="CDZ34" s="58"/>
      <c r="CEA34" s="56"/>
      <c r="CEB34" s="57"/>
      <c r="CEC34" s="57"/>
      <c r="CED34" s="57"/>
      <c r="CEE34" s="57"/>
      <c r="CEF34" s="57"/>
      <c r="CEG34" s="56"/>
      <c r="CEH34" s="57"/>
      <c r="CEI34" s="57"/>
      <c r="CEJ34" s="56"/>
      <c r="CEK34" s="57"/>
      <c r="CEL34" s="58"/>
      <c r="CEM34" s="56"/>
      <c r="CEN34" s="57"/>
      <c r="CEO34" s="57"/>
      <c r="CEP34" s="57"/>
      <c r="CEQ34" s="56"/>
      <c r="CER34" s="57"/>
      <c r="CES34" s="57"/>
      <c r="CET34" s="56"/>
      <c r="CEU34" s="57"/>
      <c r="CEV34" s="58"/>
      <c r="CEW34" s="56"/>
      <c r="CEX34" s="57"/>
      <c r="CEY34" s="57"/>
      <c r="CEZ34" s="57"/>
      <c r="CFA34" s="56"/>
      <c r="CFB34" s="57"/>
      <c r="CFC34" s="57"/>
      <c r="CFD34" s="56"/>
      <c r="CFE34" s="57"/>
      <c r="CFF34" s="58"/>
      <c r="CFG34" s="56"/>
      <c r="CFH34" s="57"/>
      <c r="CFI34" s="57"/>
      <c r="CFJ34" s="57"/>
      <c r="CFK34" s="56"/>
      <c r="CFL34" s="57"/>
      <c r="CFM34" s="57"/>
      <c r="CFN34" s="56"/>
      <c r="CFO34" s="57"/>
      <c r="CFP34" s="58"/>
      <c r="CFQ34" s="56"/>
      <c r="CFR34" s="58"/>
      <c r="CFS34" s="57"/>
      <c r="CFT34" s="56"/>
      <c r="CFU34" s="57"/>
      <c r="CFV34" s="56"/>
      <c r="CFW34" s="56"/>
      <c r="CFX34" s="56"/>
      <c r="CFY34" s="57"/>
      <c r="CFZ34" s="57"/>
      <c r="CGA34" s="57"/>
      <c r="CGB34" s="57"/>
      <c r="CGC34" s="57"/>
      <c r="CGD34" s="57"/>
      <c r="CGE34" s="57"/>
      <c r="CGF34" s="57"/>
      <c r="CGG34" s="57"/>
      <c r="CGH34" s="57"/>
      <c r="CGI34" s="57"/>
      <c r="CGJ34" s="57"/>
      <c r="CGK34" s="57"/>
      <c r="CGL34" s="57"/>
      <c r="CGM34" s="57"/>
      <c r="CGN34" s="57"/>
      <c r="CGO34" s="57"/>
      <c r="CGP34" s="57"/>
      <c r="CGQ34" s="57"/>
      <c r="CGR34" s="57"/>
      <c r="CGS34" s="57"/>
      <c r="CGT34" s="57"/>
      <c r="CGU34" s="57"/>
      <c r="CGV34" s="57"/>
      <c r="CGW34" s="57"/>
      <c r="CGX34" s="57"/>
      <c r="CGY34" s="57"/>
      <c r="CGZ34" s="57"/>
      <c r="CHA34" s="57"/>
      <c r="CHB34" s="57"/>
      <c r="CHC34" s="57"/>
      <c r="CHD34" s="57"/>
      <c r="CHE34" s="57"/>
      <c r="CHF34" s="57"/>
      <c r="CHG34" s="57"/>
      <c r="CHH34" s="57"/>
      <c r="CHI34" s="57"/>
      <c r="CHJ34" s="58"/>
      <c r="CHK34" s="56"/>
      <c r="CHL34" s="57"/>
      <c r="CHM34" s="57"/>
      <c r="CHN34" s="57"/>
      <c r="CHO34" s="57"/>
      <c r="CHP34" s="57"/>
      <c r="CHQ34" s="56"/>
      <c r="CHR34" s="57"/>
      <c r="CHS34" s="57"/>
      <c r="CHT34" s="56"/>
      <c r="CHU34" s="57"/>
      <c r="CHV34" s="58"/>
      <c r="CHW34" s="56"/>
      <c r="CHX34" s="57"/>
      <c r="CHY34" s="57"/>
      <c r="CHZ34" s="57"/>
      <c r="CIA34" s="56"/>
      <c r="CIB34" s="57"/>
      <c r="CIC34" s="57"/>
      <c r="CID34" s="56"/>
      <c r="CIE34" s="57"/>
      <c r="CIF34" s="58"/>
      <c r="CIG34" s="56"/>
      <c r="CIH34" s="57"/>
      <c r="CII34" s="57"/>
      <c r="CIJ34" s="57"/>
      <c r="CIK34" s="56"/>
      <c r="CIL34" s="57"/>
      <c r="CIM34" s="57"/>
      <c r="CIN34" s="56"/>
      <c r="CIO34" s="57"/>
      <c r="CIP34" s="58"/>
      <c r="CIQ34" s="56"/>
      <c r="CIR34" s="57"/>
      <c r="CIS34" s="57"/>
      <c r="CIT34" s="57"/>
      <c r="CIU34" s="56"/>
      <c r="CIV34" s="57"/>
      <c r="CIW34" s="57"/>
      <c r="CIX34" s="56"/>
      <c r="CIY34" s="57"/>
      <c r="CIZ34" s="58"/>
      <c r="CJA34" s="56"/>
      <c r="CJB34" s="58"/>
      <c r="CJC34" s="57"/>
      <c r="CJD34" s="56"/>
      <c r="CJE34" s="57"/>
      <c r="CJF34" s="56"/>
      <c r="CJG34" s="56"/>
      <c r="CJH34" s="56"/>
      <c r="CJI34" s="57"/>
      <c r="CJJ34" s="57"/>
      <c r="CJK34" s="57"/>
      <c r="CJL34" s="57"/>
      <c r="CJM34" s="57"/>
      <c r="CJN34" s="57"/>
      <c r="CJO34" s="57"/>
      <c r="CJP34" s="57"/>
      <c r="CJQ34" s="57"/>
      <c r="CJR34" s="57"/>
      <c r="CJS34" s="57"/>
      <c r="CJT34" s="57"/>
      <c r="CJU34" s="57"/>
      <c r="CJV34" s="57"/>
      <c r="CJW34" s="57"/>
      <c r="CJX34" s="57"/>
      <c r="CJY34" s="57"/>
      <c r="CJZ34" s="57"/>
      <c r="CKA34" s="57"/>
      <c r="CKB34" s="57"/>
      <c r="CKC34" s="57"/>
      <c r="CKD34" s="57"/>
      <c r="CKE34" s="57"/>
      <c r="CKF34" s="57"/>
      <c r="CKG34" s="57"/>
      <c r="CKH34" s="57"/>
      <c r="CKI34" s="57"/>
      <c r="CKJ34" s="57"/>
      <c r="CKK34" s="57"/>
      <c r="CKL34" s="57"/>
      <c r="CKM34" s="57"/>
      <c r="CKN34" s="57"/>
      <c r="CKO34" s="57"/>
      <c r="CKP34" s="57"/>
      <c r="CKQ34" s="57"/>
      <c r="CKR34" s="57"/>
      <c r="CKS34" s="57"/>
      <c r="CKT34" s="58"/>
      <c r="CKU34" s="56"/>
      <c r="CKV34" s="57"/>
      <c r="CKW34" s="57"/>
      <c r="CKX34" s="57"/>
      <c r="CKY34" s="57"/>
      <c r="CKZ34" s="57"/>
      <c r="CLA34" s="56"/>
      <c r="CLB34" s="57"/>
      <c r="CLC34" s="57"/>
      <c r="CLD34" s="56"/>
      <c r="CLE34" s="57"/>
      <c r="CLF34" s="58"/>
      <c r="CLG34" s="56"/>
      <c r="CLH34" s="57"/>
      <c r="CLI34" s="57"/>
      <c r="CLJ34" s="57"/>
      <c r="CLK34" s="56"/>
      <c r="CLL34" s="57"/>
      <c r="CLM34" s="57"/>
      <c r="CLN34" s="56"/>
      <c r="CLO34" s="57"/>
      <c r="CLP34" s="58"/>
      <c r="CLQ34" s="56"/>
      <c r="CLR34" s="57"/>
      <c r="CLS34" s="57"/>
      <c r="CLT34" s="57"/>
      <c r="CLU34" s="56"/>
      <c r="CLV34" s="57"/>
      <c r="CLW34" s="57"/>
      <c r="CLX34" s="56"/>
      <c r="CLY34" s="57"/>
      <c r="CLZ34" s="58"/>
      <c r="CMA34" s="56"/>
      <c r="CMB34" s="57"/>
      <c r="CMC34" s="57"/>
      <c r="CMD34" s="57"/>
      <c r="CME34" s="56"/>
      <c r="CMF34" s="57"/>
      <c r="CMG34" s="57"/>
      <c r="CMH34" s="56"/>
      <c r="CMI34" s="57"/>
      <c r="CMJ34" s="58"/>
      <c r="CMK34" s="56"/>
      <c r="CML34" s="58"/>
      <c r="CMM34" s="57"/>
      <c r="CMN34" s="56"/>
      <c r="CMO34" s="57"/>
      <c r="CMP34" s="56"/>
      <c r="CMQ34" s="56"/>
      <c r="CMR34" s="56"/>
      <c r="CMS34" s="57"/>
      <c r="CMT34" s="57"/>
      <c r="CMU34" s="57"/>
      <c r="CMV34" s="57"/>
      <c r="CMW34" s="57"/>
      <c r="CMX34" s="57"/>
      <c r="CMY34" s="57"/>
      <c r="CMZ34" s="57"/>
      <c r="CNA34" s="57"/>
      <c r="CNB34" s="57"/>
      <c r="CNC34" s="57"/>
      <c r="CND34" s="57"/>
      <c r="CNE34" s="57"/>
      <c r="CNF34" s="57"/>
      <c r="CNG34" s="57"/>
      <c r="CNH34" s="57"/>
      <c r="CNI34" s="57"/>
      <c r="CNJ34" s="57"/>
      <c r="CNK34" s="57"/>
      <c r="CNL34" s="57"/>
      <c r="CNM34" s="57"/>
      <c r="CNN34" s="57"/>
      <c r="CNO34" s="57"/>
      <c r="CNP34" s="57"/>
      <c r="CNQ34" s="57"/>
      <c r="CNR34" s="57"/>
      <c r="CNS34" s="57"/>
      <c r="CNT34" s="57"/>
      <c r="CNU34" s="57"/>
      <c r="CNV34" s="57"/>
      <c r="CNW34" s="57"/>
      <c r="CNX34" s="57"/>
      <c r="CNY34" s="57"/>
      <c r="CNZ34" s="57"/>
      <c r="COA34" s="57"/>
      <c r="COB34" s="57"/>
      <c r="COC34" s="57"/>
      <c r="COD34" s="58"/>
      <c r="COE34" s="56"/>
      <c r="COF34" s="57"/>
      <c r="COG34" s="57"/>
      <c r="COH34" s="57"/>
      <c r="COI34" s="57"/>
      <c r="COJ34" s="57"/>
      <c r="COK34" s="56"/>
      <c r="COL34" s="57"/>
      <c r="COM34" s="57"/>
      <c r="CON34" s="56"/>
      <c r="COO34" s="57"/>
      <c r="COP34" s="58"/>
      <c r="COQ34" s="56"/>
      <c r="COR34" s="57"/>
      <c r="COS34" s="57"/>
      <c r="COT34" s="57"/>
      <c r="COU34" s="56"/>
      <c r="COV34" s="57"/>
      <c r="COW34" s="57"/>
      <c r="COX34" s="56"/>
      <c r="COY34" s="57"/>
      <c r="COZ34" s="58"/>
      <c r="CPA34" s="56"/>
      <c r="CPB34" s="57"/>
      <c r="CPC34" s="57"/>
      <c r="CPD34" s="57"/>
      <c r="CPE34" s="56"/>
      <c r="CPF34" s="57"/>
      <c r="CPG34" s="57"/>
      <c r="CPH34" s="56"/>
      <c r="CPI34" s="57"/>
      <c r="CPJ34" s="58"/>
      <c r="CPK34" s="56"/>
      <c r="CPL34" s="57"/>
      <c r="CPM34" s="57"/>
      <c r="CPN34" s="57"/>
      <c r="CPO34" s="56"/>
      <c r="CPP34" s="57"/>
      <c r="CPQ34" s="57"/>
      <c r="CPR34" s="56"/>
      <c r="CPS34" s="57"/>
      <c r="CPT34" s="58"/>
      <c r="CPU34" s="56"/>
      <c r="CPV34" s="58"/>
      <c r="CPW34" s="57"/>
      <c r="CPX34" s="56"/>
      <c r="CPY34" s="57"/>
      <c r="CPZ34" s="56"/>
      <c r="CQA34" s="56"/>
      <c r="CQB34" s="56"/>
      <c r="CQC34" s="57"/>
      <c r="CQD34" s="57"/>
      <c r="CQE34" s="57"/>
      <c r="CQF34" s="57"/>
      <c r="CQG34" s="57"/>
      <c r="CQH34" s="57"/>
      <c r="CQI34" s="57"/>
      <c r="CQJ34" s="57"/>
      <c r="CQK34" s="57"/>
      <c r="CQL34" s="57"/>
      <c r="CQM34" s="57"/>
      <c r="CQN34" s="57"/>
      <c r="CQO34" s="57"/>
      <c r="CQP34" s="57"/>
      <c r="CQQ34" s="57"/>
      <c r="CQR34" s="57"/>
      <c r="CQS34" s="57"/>
      <c r="CQT34" s="57"/>
      <c r="CQU34" s="57"/>
      <c r="CQV34" s="57"/>
      <c r="CQW34" s="57"/>
      <c r="CQX34" s="57"/>
      <c r="CQY34" s="57"/>
      <c r="CQZ34" s="57"/>
      <c r="CRA34" s="57"/>
      <c r="CRB34" s="57"/>
      <c r="CRC34" s="57"/>
      <c r="CRD34" s="57"/>
      <c r="CRE34" s="57"/>
      <c r="CRF34" s="57"/>
      <c r="CRG34" s="57"/>
      <c r="CRH34" s="57"/>
      <c r="CRI34" s="57"/>
      <c r="CRJ34" s="57"/>
      <c r="CRK34" s="57"/>
      <c r="CRL34" s="57"/>
      <c r="CRM34" s="57"/>
      <c r="CRN34" s="58"/>
      <c r="CRO34" s="56"/>
      <c r="CRP34" s="57"/>
      <c r="CRQ34" s="57"/>
      <c r="CRR34" s="57"/>
      <c r="CRS34" s="57"/>
      <c r="CRT34" s="57"/>
      <c r="CRU34" s="56"/>
      <c r="CRV34" s="57"/>
      <c r="CRW34" s="57"/>
      <c r="CRX34" s="56"/>
      <c r="CRY34" s="57"/>
      <c r="CRZ34" s="58"/>
      <c r="CSA34" s="56"/>
      <c r="CSB34" s="57"/>
      <c r="CSC34" s="57"/>
      <c r="CSD34" s="57"/>
      <c r="CSE34" s="56"/>
      <c r="CSF34" s="57"/>
      <c r="CSG34" s="57"/>
      <c r="CSH34" s="56"/>
      <c r="CSI34" s="57"/>
      <c r="CSJ34" s="58"/>
      <c r="CSK34" s="56"/>
      <c r="CSL34" s="57"/>
      <c r="CSM34" s="57"/>
      <c r="CSN34" s="57"/>
      <c r="CSO34" s="56"/>
      <c r="CSP34" s="57"/>
      <c r="CSQ34" s="57"/>
      <c r="CSR34" s="56"/>
      <c r="CSS34" s="57"/>
      <c r="CST34" s="58"/>
      <c r="CSU34" s="56"/>
      <c r="CSV34" s="57"/>
      <c r="CSW34" s="57"/>
      <c r="CSX34" s="57"/>
      <c r="CSY34" s="56"/>
      <c r="CSZ34" s="57"/>
      <c r="CTA34" s="57"/>
      <c r="CTB34" s="56"/>
      <c r="CTC34" s="57"/>
      <c r="CTD34" s="58"/>
      <c r="CTE34" s="56"/>
      <c r="CTF34" s="58"/>
      <c r="CTG34" s="57"/>
      <c r="CTH34" s="56"/>
      <c r="CTI34" s="57"/>
      <c r="CTJ34" s="56"/>
      <c r="CTK34" s="56"/>
      <c r="CTL34" s="56"/>
      <c r="CTM34" s="57"/>
      <c r="CTN34" s="57"/>
      <c r="CTO34" s="57"/>
      <c r="CTP34" s="57"/>
      <c r="CTQ34" s="57"/>
      <c r="CTR34" s="57"/>
      <c r="CTS34" s="57"/>
      <c r="CTT34" s="57"/>
      <c r="CTU34" s="57"/>
      <c r="CTV34" s="57"/>
      <c r="CTW34" s="57"/>
      <c r="CTX34" s="57"/>
      <c r="CTY34" s="57"/>
      <c r="CTZ34" s="57"/>
      <c r="CUA34" s="57"/>
      <c r="CUB34" s="57"/>
      <c r="CUC34" s="57"/>
      <c r="CUD34" s="57"/>
      <c r="CUE34" s="57"/>
      <c r="CUF34" s="57"/>
      <c r="CUG34" s="57"/>
      <c r="CUH34" s="57"/>
      <c r="CUI34" s="57"/>
      <c r="CUJ34" s="57"/>
      <c r="CUK34" s="57"/>
      <c r="CUL34" s="57"/>
      <c r="CUM34" s="57"/>
      <c r="CUN34" s="57"/>
      <c r="CUO34" s="57"/>
      <c r="CUP34" s="57"/>
      <c r="CUQ34" s="57"/>
      <c r="CUR34" s="57"/>
      <c r="CUS34" s="57"/>
      <c r="CUT34" s="57"/>
      <c r="CUU34" s="57"/>
      <c r="CUV34" s="57"/>
      <c r="CUW34" s="57"/>
      <c r="CUX34" s="58"/>
      <c r="CUY34" s="56"/>
      <c r="CUZ34" s="57"/>
      <c r="CVA34" s="57"/>
      <c r="CVB34" s="57"/>
      <c r="CVC34" s="57"/>
      <c r="CVD34" s="57"/>
      <c r="CVE34" s="56"/>
      <c r="CVF34" s="57"/>
      <c r="CVG34" s="57"/>
      <c r="CVH34" s="56"/>
      <c r="CVI34" s="57"/>
      <c r="CVJ34" s="58"/>
      <c r="CVK34" s="56"/>
      <c r="CVL34" s="57"/>
      <c r="CVM34" s="57"/>
      <c r="CVN34" s="57"/>
      <c r="CVO34" s="56"/>
      <c r="CVP34" s="57"/>
      <c r="CVQ34" s="57"/>
      <c r="CVR34" s="56"/>
      <c r="CVS34" s="57"/>
      <c r="CVT34" s="58"/>
      <c r="CVU34" s="56"/>
      <c r="CVV34" s="57"/>
      <c r="CVW34" s="57"/>
      <c r="CVX34" s="57"/>
      <c r="CVY34" s="56"/>
      <c r="CVZ34" s="57"/>
      <c r="CWA34" s="57"/>
      <c r="CWB34" s="56"/>
      <c r="CWC34" s="57"/>
      <c r="CWD34" s="58"/>
      <c r="CWE34" s="56"/>
      <c r="CWF34" s="57"/>
      <c r="CWG34" s="57"/>
      <c r="CWH34" s="57"/>
      <c r="CWI34" s="56"/>
      <c r="CWJ34" s="57"/>
      <c r="CWK34" s="57"/>
      <c r="CWL34" s="56"/>
      <c r="CWM34" s="57"/>
      <c r="CWN34" s="58"/>
      <c r="CWO34" s="56"/>
      <c r="CWP34" s="58"/>
      <c r="CWQ34" s="57"/>
      <c r="CWR34" s="56"/>
      <c r="CWS34" s="57"/>
      <c r="CWT34" s="56"/>
      <c r="CWU34" s="56"/>
      <c r="CWV34" s="56"/>
      <c r="CWW34" s="57"/>
      <c r="CWX34" s="57"/>
      <c r="CWY34" s="57"/>
      <c r="CWZ34" s="57"/>
      <c r="CXA34" s="57"/>
      <c r="CXB34" s="57"/>
      <c r="CXC34" s="57"/>
      <c r="CXD34" s="57"/>
      <c r="CXE34" s="57"/>
      <c r="CXF34" s="57"/>
      <c r="CXG34" s="57"/>
      <c r="CXH34" s="57"/>
      <c r="CXI34" s="57"/>
      <c r="CXJ34" s="57"/>
      <c r="CXK34" s="57"/>
      <c r="CXL34" s="57"/>
      <c r="CXM34" s="57"/>
      <c r="CXN34" s="57"/>
      <c r="CXO34" s="57"/>
      <c r="CXP34" s="57"/>
      <c r="CXQ34" s="57"/>
      <c r="CXR34" s="57"/>
      <c r="CXS34" s="57"/>
      <c r="CXT34" s="57"/>
      <c r="CXU34" s="57"/>
      <c r="CXV34" s="57"/>
      <c r="CXW34" s="57"/>
      <c r="CXX34" s="57"/>
      <c r="CXY34" s="57"/>
      <c r="CXZ34" s="57"/>
      <c r="CYA34" s="57"/>
      <c r="CYB34" s="57"/>
      <c r="CYC34" s="57"/>
      <c r="CYD34" s="57"/>
      <c r="CYE34" s="57"/>
      <c r="CYF34" s="57"/>
      <c r="CYG34" s="57"/>
      <c r="CYH34" s="58"/>
      <c r="CYI34" s="56"/>
      <c r="CYJ34" s="57"/>
      <c r="CYK34" s="57"/>
      <c r="CYL34" s="57"/>
      <c r="CYM34" s="57"/>
      <c r="CYN34" s="57"/>
      <c r="CYO34" s="56"/>
      <c r="CYP34" s="57"/>
      <c r="CYQ34" s="57"/>
      <c r="CYR34" s="56"/>
      <c r="CYS34" s="57"/>
      <c r="CYT34" s="58"/>
      <c r="CYU34" s="56"/>
      <c r="CYV34" s="57"/>
      <c r="CYW34" s="57"/>
      <c r="CYX34" s="57"/>
      <c r="CYY34" s="56"/>
      <c r="CYZ34" s="57"/>
      <c r="CZA34" s="57"/>
      <c r="CZB34" s="56"/>
      <c r="CZC34" s="57"/>
      <c r="CZD34" s="58"/>
      <c r="CZE34" s="56"/>
      <c r="CZF34" s="57"/>
      <c r="CZG34" s="57"/>
      <c r="CZH34" s="57"/>
      <c r="CZI34" s="56"/>
      <c r="CZJ34" s="57"/>
      <c r="CZK34" s="57"/>
      <c r="CZL34" s="56"/>
      <c r="CZM34" s="57"/>
      <c r="CZN34" s="58"/>
      <c r="CZO34" s="56"/>
      <c r="CZP34" s="57"/>
      <c r="CZQ34" s="57"/>
      <c r="CZR34" s="57"/>
      <c r="CZS34" s="56"/>
      <c r="CZT34" s="57"/>
      <c r="CZU34" s="57"/>
      <c r="CZV34" s="56"/>
      <c r="CZW34" s="57"/>
      <c r="CZX34" s="58"/>
      <c r="CZY34" s="56"/>
      <c r="CZZ34" s="58"/>
      <c r="DAA34" s="57"/>
      <c r="DAB34" s="56"/>
      <c r="DAC34" s="57"/>
      <c r="DAD34" s="56"/>
      <c r="DAE34" s="56"/>
      <c r="DAF34" s="56"/>
      <c r="DAG34" s="57"/>
      <c r="DAH34" s="57"/>
      <c r="DAI34" s="57"/>
      <c r="DAJ34" s="57"/>
      <c r="DAK34" s="57"/>
      <c r="DAL34" s="57"/>
      <c r="DAM34" s="57"/>
      <c r="DAN34" s="57"/>
      <c r="DAO34" s="57"/>
      <c r="DAP34" s="57"/>
      <c r="DAQ34" s="57"/>
      <c r="DAR34" s="57"/>
      <c r="DAS34" s="57"/>
      <c r="DAT34" s="57"/>
      <c r="DAU34" s="57"/>
      <c r="DAV34" s="57"/>
      <c r="DAW34" s="57"/>
      <c r="DAX34" s="57"/>
      <c r="DAY34" s="57"/>
      <c r="DAZ34" s="57"/>
      <c r="DBA34" s="57"/>
      <c r="DBB34" s="57"/>
      <c r="DBC34" s="57"/>
      <c r="DBD34" s="57"/>
      <c r="DBE34" s="57"/>
      <c r="DBF34" s="57"/>
      <c r="DBG34" s="57"/>
      <c r="DBH34" s="57"/>
      <c r="DBI34" s="57"/>
      <c r="DBJ34" s="57"/>
      <c r="DBK34" s="57"/>
      <c r="DBL34" s="57"/>
      <c r="DBM34" s="57"/>
      <c r="DBN34" s="57"/>
      <c r="DBO34" s="57"/>
      <c r="DBP34" s="57"/>
      <c r="DBQ34" s="57"/>
      <c r="DBR34" s="58"/>
      <c r="DBS34" s="56"/>
      <c r="DBT34" s="57"/>
      <c r="DBU34" s="57"/>
      <c r="DBV34" s="57"/>
      <c r="DBW34" s="57"/>
      <c r="DBX34" s="57"/>
      <c r="DBY34" s="56"/>
      <c r="DBZ34" s="57"/>
      <c r="DCA34" s="57"/>
      <c r="DCB34" s="56"/>
      <c r="DCC34" s="57"/>
      <c r="DCD34" s="58"/>
      <c r="DCE34" s="56"/>
      <c r="DCF34" s="57"/>
      <c r="DCG34" s="57"/>
      <c r="DCH34" s="57"/>
      <c r="DCI34" s="56"/>
      <c r="DCJ34" s="57"/>
      <c r="DCK34" s="57"/>
      <c r="DCL34" s="56"/>
      <c r="DCM34" s="57"/>
      <c r="DCN34" s="58"/>
      <c r="DCO34" s="56"/>
      <c r="DCP34" s="57"/>
      <c r="DCQ34" s="57"/>
      <c r="DCR34" s="57"/>
      <c r="DCS34" s="56"/>
      <c r="DCT34" s="57"/>
      <c r="DCU34" s="57"/>
      <c r="DCV34" s="56"/>
      <c r="DCW34" s="57"/>
      <c r="DCX34" s="58"/>
      <c r="DCY34" s="56"/>
      <c r="DCZ34" s="57"/>
      <c r="DDA34" s="57"/>
      <c r="DDB34" s="57"/>
      <c r="DDC34" s="56"/>
      <c r="DDD34" s="57"/>
      <c r="DDE34" s="57"/>
      <c r="DDF34" s="56"/>
      <c r="DDG34" s="57"/>
      <c r="DDH34" s="58"/>
      <c r="DDI34" s="56"/>
      <c r="DDJ34" s="58"/>
      <c r="DDK34" s="57"/>
      <c r="DDL34" s="56"/>
      <c r="DDM34" s="57"/>
      <c r="DDN34" s="56"/>
      <c r="DDO34" s="56"/>
      <c r="DDP34" s="56"/>
      <c r="DDQ34" s="57"/>
      <c r="DDR34" s="57"/>
      <c r="DDS34" s="57"/>
      <c r="DDT34" s="57"/>
      <c r="DDU34" s="57"/>
      <c r="DDV34" s="57"/>
      <c r="DDW34" s="57"/>
      <c r="DDX34" s="57"/>
      <c r="DDY34" s="57"/>
      <c r="DDZ34" s="57"/>
      <c r="DEA34" s="57"/>
      <c r="DEB34" s="57"/>
      <c r="DEC34" s="57"/>
      <c r="DED34" s="57"/>
      <c r="DEE34" s="57"/>
      <c r="DEF34" s="57"/>
      <c r="DEG34" s="57"/>
      <c r="DEH34" s="57"/>
      <c r="DEI34" s="57"/>
      <c r="DEJ34" s="57"/>
      <c r="DEK34" s="57"/>
      <c r="DEL34" s="57"/>
      <c r="DEM34" s="57"/>
      <c r="DEN34" s="57"/>
      <c r="DEO34" s="57"/>
      <c r="DEP34" s="57"/>
      <c r="DEQ34" s="57"/>
      <c r="DER34" s="57"/>
      <c r="DES34" s="57"/>
      <c r="DET34" s="57"/>
      <c r="DEU34" s="57"/>
      <c r="DEV34" s="57"/>
      <c r="DEW34" s="57"/>
      <c r="DEX34" s="57"/>
      <c r="DEY34" s="57"/>
      <c r="DEZ34" s="57"/>
      <c r="DFA34" s="57"/>
      <c r="DFB34" s="58"/>
      <c r="DFC34" s="56"/>
      <c r="DFD34" s="57"/>
      <c r="DFE34" s="57"/>
      <c r="DFF34" s="57"/>
      <c r="DFG34" s="57"/>
      <c r="DFH34" s="57"/>
      <c r="DFI34" s="56"/>
      <c r="DFJ34" s="57"/>
      <c r="DFK34" s="57"/>
      <c r="DFL34" s="56"/>
      <c r="DFM34" s="57"/>
      <c r="DFN34" s="58"/>
      <c r="DFO34" s="56"/>
      <c r="DFP34" s="57"/>
      <c r="DFQ34" s="57"/>
      <c r="DFR34" s="57"/>
      <c r="DFS34" s="56"/>
      <c r="DFT34" s="57"/>
      <c r="DFU34" s="57"/>
      <c r="DFV34" s="56"/>
      <c r="DFW34" s="57"/>
      <c r="DFX34" s="58"/>
      <c r="DFY34" s="56"/>
      <c r="DFZ34" s="57"/>
      <c r="DGA34" s="57"/>
      <c r="DGB34" s="57"/>
      <c r="DGC34" s="56"/>
      <c r="DGD34" s="57"/>
      <c r="DGE34" s="57"/>
      <c r="DGF34" s="56"/>
      <c r="DGG34" s="57"/>
      <c r="DGH34" s="58"/>
      <c r="DGI34" s="56"/>
      <c r="DGJ34" s="57"/>
      <c r="DGK34" s="57"/>
      <c r="DGL34" s="57"/>
      <c r="DGM34" s="56"/>
      <c r="DGN34" s="57"/>
      <c r="DGO34" s="57"/>
      <c r="DGP34" s="56"/>
      <c r="DGQ34" s="57"/>
      <c r="DGR34" s="58"/>
      <c r="DGS34" s="56"/>
      <c r="DGT34" s="58"/>
      <c r="DGU34" s="57"/>
      <c r="DGV34" s="56"/>
      <c r="DGW34" s="57"/>
      <c r="DGX34" s="56"/>
      <c r="DGY34" s="56"/>
      <c r="DGZ34" s="56"/>
      <c r="DHA34" s="57"/>
      <c r="DHB34" s="57"/>
      <c r="DHC34" s="57"/>
      <c r="DHD34" s="57"/>
      <c r="DHE34" s="57"/>
      <c r="DHF34" s="57"/>
      <c r="DHG34" s="57"/>
      <c r="DHH34" s="57"/>
      <c r="DHI34" s="57"/>
      <c r="DHJ34" s="57"/>
      <c r="DHK34" s="57"/>
      <c r="DHL34" s="57"/>
      <c r="DHM34" s="57"/>
      <c r="DHN34" s="57"/>
      <c r="DHO34" s="57"/>
      <c r="DHP34" s="57"/>
      <c r="DHQ34" s="57"/>
      <c r="DHR34" s="57"/>
      <c r="DHS34" s="57"/>
      <c r="DHT34" s="57"/>
      <c r="DHU34" s="57"/>
      <c r="DHV34" s="57"/>
      <c r="DHW34" s="57"/>
      <c r="DHX34" s="57"/>
      <c r="DHY34" s="57"/>
      <c r="DHZ34" s="57"/>
      <c r="DIA34" s="57"/>
      <c r="DIB34" s="57"/>
      <c r="DIC34" s="57"/>
      <c r="DID34" s="57"/>
      <c r="DIE34" s="57"/>
      <c r="DIF34" s="57"/>
      <c r="DIG34" s="57"/>
      <c r="DIH34" s="57"/>
      <c r="DII34" s="57"/>
      <c r="DIJ34" s="57"/>
      <c r="DIK34" s="57"/>
      <c r="DIL34" s="58"/>
      <c r="DIM34" s="56"/>
      <c r="DIN34" s="57"/>
      <c r="DIO34" s="57"/>
      <c r="DIP34" s="57"/>
      <c r="DIQ34" s="57"/>
      <c r="DIR34" s="57"/>
      <c r="DIS34" s="56"/>
      <c r="DIT34" s="57"/>
      <c r="DIU34" s="57"/>
      <c r="DIV34" s="56"/>
      <c r="DIW34" s="57"/>
      <c r="DIX34" s="58"/>
      <c r="DIY34" s="56"/>
      <c r="DIZ34" s="57"/>
      <c r="DJA34" s="57"/>
      <c r="DJB34" s="57"/>
      <c r="DJC34" s="56"/>
      <c r="DJD34" s="57"/>
      <c r="DJE34" s="57"/>
      <c r="DJF34" s="56"/>
      <c r="DJG34" s="57"/>
      <c r="DJH34" s="58"/>
      <c r="DJI34" s="56"/>
      <c r="DJJ34" s="57"/>
      <c r="DJK34" s="57"/>
      <c r="DJL34" s="57"/>
      <c r="DJM34" s="56"/>
      <c r="DJN34" s="57"/>
      <c r="DJO34" s="57"/>
      <c r="DJP34" s="56"/>
      <c r="DJQ34" s="57"/>
      <c r="DJR34" s="58"/>
      <c r="DJS34" s="56"/>
      <c r="DJT34" s="57"/>
      <c r="DJU34" s="57"/>
      <c r="DJV34" s="57"/>
      <c r="DJW34" s="56"/>
      <c r="DJX34" s="57"/>
      <c r="DJY34" s="57"/>
      <c r="DJZ34" s="56"/>
      <c r="DKA34" s="57"/>
      <c r="DKB34" s="58"/>
      <c r="DKC34" s="56"/>
      <c r="DKD34" s="58"/>
      <c r="DKE34" s="57"/>
      <c r="DKF34" s="56"/>
      <c r="DKG34" s="57"/>
      <c r="DKH34" s="56"/>
      <c r="DKI34" s="56"/>
      <c r="DKJ34" s="56"/>
      <c r="DKK34" s="57"/>
      <c r="DKL34" s="57"/>
      <c r="DKM34" s="57"/>
      <c r="DKN34" s="57"/>
      <c r="DKO34" s="57"/>
      <c r="DKP34" s="57"/>
      <c r="DKQ34" s="57"/>
      <c r="DKR34" s="57"/>
      <c r="DKS34" s="57"/>
      <c r="DKT34" s="57"/>
      <c r="DKU34" s="57"/>
      <c r="DKV34" s="57"/>
      <c r="DKW34" s="57"/>
      <c r="DKX34" s="57"/>
      <c r="DKY34" s="57"/>
      <c r="DKZ34" s="57"/>
      <c r="DLA34" s="57"/>
      <c r="DLB34" s="57"/>
      <c r="DLC34" s="57"/>
      <c r="DLD34" s="57"/>
      <c r="DLE34" s="57"/>
      <c r="DLF34" s="57"/>
      <c r="DLG34" s="57"/>
      <c r="DLH34" s="57"/>
      <c r="DLI34" s="57"/>
      <c r="DLJ34" s="57"/>
      <c r="DLK34" s="57"/>
      <c r="DLL34" s="57"/>
      <c r="DLM34" s="57"/>
      <c r="DLN34" s="57"/>
      <c r="DLO34" s="57"/>
      <c r="DLP34" s="57"/>
      <c r="DLQ34" s="57"/>
      <c r="DLR34" s="57"/>
      <c r="DLS34" s="57"/>
      <c r="DLT34" s="57"/>
      <c r="DLU34" s="57"/>
      <c r="DLV34" s="58"/>
      <c r="DLW34" s="56"/>
      <c r="DLX34" s="57"/>
      <c r="DLY34" s="57"/>
      <c r="DLZ34" s="57"/>
      <c r="DMA34" s="57"/>
      <c r="DMB34" s="57"/>
      <c r="DMC34" s="56"/>
      <c r="DMD34" s="57"/>
      <c r="DME34" s="57"/>
      <c r="DMF34" s="56"/>
      <c r="DMG34" s="57"/>
      <c r="DMH34" s="58"/>
      <c r="DMI34" s="56"/>
      <c r="DMJ34" s="57"/>
      <c r="DMK34" s="57"/>
      <c r="DML34" s="57"/>
      <c r="DMM34" s="56"/>
      <c r="DMN34" s="57"/>
      <c r="DMO34" s="57"/>
      <c r="DMP34" s="56"/>
      <c r="DMQ34" s="57"/>
      <c r="DMR34" s="58"/>
      <c r="DMS34" s="56"/>
      <c r="DMT34" s="57"/>
      <c r="DMU34" s="57"/>
      <c r="DMV34" s="57"/>
      <c r="DMW34" s="56"/>
      <c r="DMX34" s="57"/>
      <c r="DMY34" s="57"/>
      <c r="DMZ34" s="56"/>
      <c r="DNA34" s="57"/>
      <c r="DNB34" s="58"/>
      <c r="DNC34" s="56"/>
      <c r="DND34" s="57"/>
      <c r="DNE34" s="57"/>
      <c r="DNF34" s="57"/>
      <c r="DNG34" s="56"/>
      <c r="DNH34" s="57"/>
      <c r="DNI34" s="57"/>
      <c r="DNJ34" s="56"/>
      <c r="DNK34" s="57"/>
      <c r="DNL34" s="58"/>
      <c r="DNM34" s="56"/>
      <c r="DNN34" s="58"/>
      <c r="DNO34" s="57"/>
      <c r="DNP34" s="56"/>
      <c r="DNQ34" s="57"/>
      <c r="DNR34" s="56"/>
      <c r="DNS34" s="56"/>
      <c r="DNT34" s="56"/>
      <c r="DNU34" s="57"/>
      <c r="DNV34" s="57"/>
      <c r="DNW34" s="57"/>
      <c r="DNX34" s="57"/>
      <c r="DNY34" s="57"/>
      <c r="DNZ34" s="57"/>
      <c r="DOA34" s="57"/>
      <c r="DOB34" s="57"/>
      <c r="DOC34" s="57"/>
      <c r="DOD34" s="57"/>
      <c r="DOE34" s="57"/>
      <c r="DOF34" s="57"/>
      <c r="DOG34" s="57"/>
      <c r="DOH34" s="57"/>
      <c r="DOI34" s="57"/>
      <c r="DOJ34" s="57"/>
      <c r="DOK34" s="57"/>
      <c r="DOL34" s="57"/>
      <c r="DOM34" s="57"/>
      <c r="DON34" s="57"/>
      <c r="DOO34" s="57"/>
      <c r="DOP34" s="57"/>
      <c r="DOQ34" s="57"/>
      <c r="DOR34" s="57"/>
      <c r="DOS34" s="57"/>
      <c r="DOT34" s="57"/>
      <c r="DOU34" s="57"/>
      <c r="DOV34" s="57"/>
      <c r="DOW34" s="57"/>
      <c r="DOX34" s="57"/>
      <c r="DOY34" s="57"/>
      <c r="DOZ34" s="57"/>
      <c r="DPA34" s="57"/>
      <c r="DPB34" s="57"/>
      <c r="DPC34" s="57"/>
      <c r="DPD34" s="57"/>
      <c r="DPE34" s="57"/>
      <c r="DPF34" s="58"/>
      <c r="DPG34" s="56"/>
      <c r="DPH34" s="57"/>
      <c r="DPI34" s="57"/>
      <c r="DPJ34" s="57"/>
      <c r="DPK34" s="57"/>
      <c r="DPL34" s="57"/>
      <c r="DPM34" s="56"/>
      <c r="DPN34" s="57"/>
      <c r="DPO34" s="57"/>
      <c r="DPP34" s="56"/>
      <c r="DPQ34" s="57"/>
      <c r="DPR34" s="58"/>
      <c r="DPS34" s="56"/>
      <c r="DPT34" s="57"/>
      <c r="DPU34" s="57"/>
      <c r="DPV34" s="57"/>
      <c r="DPW34" s="56"/>
      <c r="DPX34" s="57"/>
      <c r="DPY34" s="57"/>
      <c r="DPZ34" s="56"/>
      <c r="DQA34" s="57"/>
      <c r="DQB34" s="58"/>
      <c r="DQC34" s="56"/>
      <c r="DQD34" s="57"/>
      <c r="DQE34" s="57"/>
      <c r="DQF34" s="57"/>
      <c r="DQG34" s="56"/>
      <c r="DQH34" s="57"/>
      <c r="DQI34" s="57"/>
      <c r="DQJ34" s="56"/>
      <c r="DQK34" s="57"/>
      <c r="DQL34" s="58"/>
      <c r="DQM34" s="56"/>
      <c r="DQN34" s="57"/>
      <c r="DQO34" s="57"/>
      <c r="DQP34" s="57"/>
      <c r="DQQ34" s="56"/>
      <c r="DQR34" s="57"/>
      <c r="DQS34" s="57"/>
      <c r="DQT34" s="56"/>
      <c r="DQU34" s="57"/>
      <c r="DQV34" s="58"/>
      <c r="DQW34" s="56"/>
      <c r="DQX34" s="58"/>
      <c r="DQY34" s="57"/>
      <c r="DQZ34" s="56"/>
      <c r="DRA34" s="57"/>
      <c r="DRB34" s="56"/>
      <c r="DRC34" s="56"/>
      <c r="DRD34" s="56"/>
      <c r="DRE34" s="57"/>
      <c r="DRF34" s="57"/>
      <c r="DRG34" s="57"/>
      <c r="DRH34" s="57"/>
      <c r="DRI34" s="57"/>
      <c r="DRJ34" s="57"/>
      <c r="DRK34" s="57"/>
      <c r="DRL34" s="57"/>
      <c r="DRM34" s="57"/>
      <c r="DRN34" s="57"/>
      <c r="DRO34" s="57"/>
      <c r="DRP34" s="57"/>
      <c r="DRQ34" s="57"/>
      <c r="DRR34" s="57"/>
      <c r="DRS34" s="57"/>
      <c r="DRT34" s="57"/>
      <c r="DRU34" s="57"/>
      <c r="DRV34" s="57"/>
      <c r="DRW34" s="57"/>
      <c r="DRX34" s="57"/>
      <c r="DRY34" s="57"/>
      <c r="DRZ34" s="57"/>
      <c r="DSA34" s="57"/>
      <c r="DSB34" s="57"/>
      <c r="DSC34" s="57"/>
      <c r="DSD34" s="57"/>
      <c r="DSE34" s="57"/>
      <c r="DSF34" s="57"/>
      <c r="DSG34" s="57"/>
      <c r="DSH34" s="57"/>
      <c r="DSI34" s="57"/>
      <c r="DSJ34" s="57"/>
      <c r="DSK34" s="57"/>
      <c r="DSL34" s="57"/>
      <c r="DSM34" s="57"/>
      <c r="DSN34" s="57"/>
      <c r="DSO34" s="57"/>
      <c r="DSP34" s="58"/>
      <c r="DSQ34" s="56"/>
      <c r="DSR34" s="57"/>
      <c r="DSS34" s="57"/>
      <c r="DST34" s="57"/>
      <c r="DSU34" s="57"/>
      <c r="DSV34" s="57"/>
      <c r="DSW34" s="56"/>
      <c r="DSX34" s="57"/>
      <c r="DSY34" s="57"/>
      <c r="DSZ34" s="56"/>
      <c r="DTA34" s="57"/>
      <c r="DTB34" s="58"/>
      <c r="DTC34" s="56"/>
      <c r="DTD34" s="57"/>
      <c r="DTE34" s="57"/>
      <c r="DTF34" s="57"/>
      <c r="DTG34" s="56"/>
      <c r="DTH34" s="57"/>
      <c r="DTI34" s="57"/>
      <c r="DTJ34" s="56"/>
      <c r="DTK34" s="57"/>
      <c r="DTL34" s="58"/>
      <c r="DTM34" s="56"/>
      <c r="DTN34" s="57"/>
      <c r="DTO34" s="57"/>
      <c r="DTP34" s="57"/>
      <c r="DTQ34" s="56"/>
      <c r="DTR34" s="57"/>
      <c r="DTS34" s="57"/>
      <c r="DTT34" s="56"/>
      <c r="DTU34" s="57"/>
      <c r="DTV34" s="58"/>
      <c r="DTW34" s="56"/>
      <c r="DTX34" s="57"/>
      <c r="DTY34" s="57"/>
      <c r="DTZ34" s="57"/>
      <c r="DUA34" s="56"/>
      <c r="DUB34" s="57"/>
      <c r="DUC34" s="57"/>
      <c r="DUD34" s="56"/>
      <c r="DUE34" s="57"/>
      <c r="DUF34" s="58"/>
      <c r="DUG34" s="56"/>
      <c r="DUH34" s="58"/>
      <c r="DUI34" s="57"/>
      <c r="DUJ34" s="56"/>
      <c r="DUK34" s="57"/>
      <c r="DUL34" s="56"/>
      <c r="DUM34" s="56"/>
      <c r="DUN34" s="56"/>
      <c r="DUO34" s="57"/>
      <c r="DUP34" s="57"/>
      <c r="DUQ34" s="57"/>
      <c r="DUR34" s="57"/>
      <c r="DUS34" s="57"/>
      <c r="DUT34" s="57"/>
      <c r="DUU34" s="57"/>
      <c r="DUV34" s="57"/>
      <c r="DUW34" s="57"/>
      <c r="DUX34" s="57"/>
      <c r="DUY34" s="57"/>
      <c r="DUZ34" s="57"/>
      <c r="DVA34" s="57"/>
      <c r="DVB34" s="57"/>
      <c r="DVC34" s="57"/>
      <c r="DVD34" s="57"/>
      <c r="DVE34" s="57"/>
      <c r="DVF34" s="57"/>
      <c r="DVG34" s="57"/>
      <c r="DVH34" s="57"/>
      <c r="DVI34" s="57"/>
      <c r="DVJ34" s="57"/>
      <c r="DVK34" s="57"/>
      <c r="DVL34" s="57"/>
      <c r="DVM34" s="57"/>
      <c r="DVN34" s="57"/>
      <c r="DVO34" s="57"/>
      <c r="DVP34" s="57"/>
      <c r="DVQ34" s="57"/>
      <c r="DVR34" s="57"/>
      <c r="DVS34" s="57"/>
      <c r="DVT34" s="57"/>
      <c r="DVU34" s="57"/>
      <c r="DVV34" s="57"/>
      <c r="DVW34" s="57"/>
      <c r="DVX34" s="57"/>
      <c r="DVY34" s="57"/>
      <c r="DVZ34" s="58"/>
      <c r="DWA34" s="56"/>
      <c r="DWB34" s="57"/>
      <c r="DWC34" s="57"/>
      <c r="DWD34" s="57"/>
      <c r="DWE34" s="57"/>
      <c r="DWF34" s="57"/>
      <c r="DWG34" s="56"/>
      <c r="DWH34" s="57"/>
      <c r="DWI34" s="57"/>
      <c r="DWJ34" s="56"/>
      <c r="DWK34" s="57"/>
      <c r="DWL34" s="58"/>
      <c r="DWM34" s="56"/>
      <c r="DWN34" s="57"/>
      <c r="DWO34" s="57"/>
      <c r="DWP34" s="57"/>
      <c r="DWQ34" s="56"/>
      <c r="DWR34" s="57"/>
      <c r="DWS34" s="57"/>
      <c r="DWT34" s="56"/>
      <c r="DWU34" s="57"/>
      <c r="DWV34" s="58"/>
      <c r="DWW34" s="56"/>
      <c r="DWX34" s="57"/>
      <c r="DWY34" s="57"/>
      <c r="DWZ34" s="57"/>
      <c r="DXA34" s="56"/>
      <c r="DXB34" s="57"/>
      <c r="DXC34" s="57"/>
      <c r="DXD34" s="56"/>
      <c r="DXE34" s="57"/>
      <c r="DXF34" s="58"/>
      <c r="DXG34" s="56"/>
      <c r="DXH34" s="57"/>
      <c r="DXI34" s="57"/>
      <c r="DXJ34" s="57"/>
      <c r="DXK34" s="56"/>
      <c r="DXL34" s="57"/>
      <c r="DXM34" s="57"/>
      <c r="DXN34" s="56"/>
      <c r="DXO34" s="57"/>
      <c r="DXP34" s="58"/>
      <c r="DXQ34" s="56"/>
      <c r="DXR34" s="58"/>
      <c r="DXS34" s="57"/>
      <c r="DXT34" s="56"/>
      <c r="DXU34" s="57"/>
      <c r="DXV34" s="56"/>
      <c r="DXW34" s="56"/>
      <c r="DXX34" s="56"/>
      <c r="DXY34" s="57"/>
      <c r="DXZ34" s="57"/>
      <c r="DYA34" s="57"/>
      <c r="DYB34" s="57"/>
      <c r="DYC34" s="57"/>
      <c r="DYD34" s="57"/>
      <c r="DYE34" s="57"/>
      <c r="DYF34" s="57"/>
      <c r="DYG34" s="57"/>
      <c r="DYH34" s="57"/>
      <c r="DYI34" s="57"/>
      <c r="DYJ34" s="57"/>
      <c r="DYK34" s="57"/>
      <c r="DYL34" s="57"/>
      <c r="DYM34" s="57"/>
      <c r="DYN34" s="57"/>
      <c r="DYO34" s="57"/>
      <c r="DYP34" s="57"/>
      <c r="DYQ34" s="57"/>
      <c r="DYR34" s="57"/>
      <c r="DYS34" s="57"/>
      <c r="DYT34" s="57"/>
      <c r="DYU34" s="57"/>
      <c r="DYV34" s="57"/>
      <c r="DYW34" s="57"/>
      <c r="DYX34" s="57"/>
      <c r="DYY34" s="57"/>
      <c r="DYZ34" s="57"/>
      <c r="DZA34" s="57"/>
      <c r="DZB34" s="57"/>
      <c r="DZC34" s="57"/>
      <c r="DZD34" s="57"/>
      <c r="DZE34" s="57"/>
      <c r="DZF34" s="57"/>
      <c r="DZG34" s="57"/>
      <c r="DZH34" s="57"/>
      <c r="DZI34" s="57"/>
      <c r="DZJ34" s="58"/>
      <c r="DZK34" s="56"/>
      <c r="DZL34" s="57"/>
      <c r="DZM34" s="57"/>
      <c r="DZN34" s="57"/>
      <c r="DZO34" s="57"/>
      <c r="DZP34" s="57"/>
      <c r="DZQ34" s="56"/>
      <c r="DZR34" s="57"/>
      <c r="DZS34" s="57"/>
      <c r="DZT34" s="56"/>
      <c r="DZU34" s="57"/>
      <c r="DZV34" s="58"/>
      <c r="DZW34" s="56"/>
      <c r="DZX34" s="57"/>
      <c r="DZY34" s="57"/>
      <c r="DZZ34" s="57"/>
      <c r="EAA34" s="56"/>
      <c r="EAB34" s="57"/>
      <c r="EAC34" s="57"/>
      <c r="EAD34" s="56"/>
      <c r="EAE34" s="57"/>
      <c r="EAF34" s="58"/>
      <c r="EAG34" s="56"/>
      <c r="EAH34" s="57"/>
      <c r="EAI34" s="57"/>
      <c r="EAJ34" s="57"/>
      <c r="EAK34" s="56"/>
      <c r="EAL34" s="57"/>
      <c r="EAM34" s="57"/>
      <c r="EAN34" s="56"/>
      <c r="EAO34" s="57"/>
      <c r="EAP34" s="58"/>
      <c r="EAQ34" s="56"/>
      <c r="EAR34" s="57"/>
      <c r="EAS34" s="57"/>
      <c r="EAT34" s="57"/>
      <c r="EAU34" s="56"/>
      <c r="EAV34" s="57"/>
      <c r="EAW34" s="57"/>
      <c r="EAX34" s="56"/>
      <c r="EAY34" s="57"/>
      <c r="EAZ34" s="58"/>
      <c r="EBA34" s="56"/>
      <c r="EBB34" s="58"/>
      <c r="EBC34" s="57"/>
      <c r="EBD34" s="56"/>
      <c r="EBE34" s="57"/>
      <c r="EBF34" s="56"/>
      <c r="EBG34" s="56"/>
      <c r="EBH34" s="56"/>
      <c r="EBI34" s="57"/>
      <c r="EBJ34" s="57"/>
      <c r="EBK34" s="57"/>
      <c r="EBL34" s="57"/>
      <c r="EBM34" s="57"/>
      <c r="EBN34" s="57"/>
      <c r="EBO34" s="57"/>
      <c r="EBP34" s="57"/>
      <c r="EBQ34" s="57"/>
      <c r="EBR34" s="57"/>
      <c r="EBS34" s="57"/>
      <c r="EBT34" s="57"/>
      <c r="EBU34" s="57"/>
      <c r="EBV34" s="57"/>
      <c r="EBW34" s="57"/>
      <c r="EBX34" s="57"/>
      <c r="EBY34" s="57"/>
      <c r="EBZ34" s="57"/>
      <c r="ECA34" s="57"/>
      <c r="ECB34" s="57"/>
      <c r="ECC34" s="57"/>
      <c r="ECD34" s="57"/>
      <c r="ECE34" s="57"/>
      <c r="ECF34" s="57"/>
      <c r="ECG34" s="57"/>
      <c r="ECH34" s="57"/>
      <c r="ECI34" s="57"/>
      <c r="ECJ34" s="57"/>
      <c r="ECK34" s="57"/>
      <c r="ECL34" s="57"/>
      <c r="ECM34" s="57"/>
      <c r="ECN34" s="57"/>
      <c r="ECO34" s="57"/>
      <c r="ECP34" s="57"/>
      <c r="ECQ34" s="57"/>
      <c r="ECR34" s="57"/>
      <c r="ECS34" s="57"/>
      <c r="ECT34" s="58"/>
      <c r="ECU34" s="56"/>
      <c r="ECV34" s="57"/>
      <c r="ECW34" s="57"/>
      <c r="ECX34" s="57"/>
      <c r="ECY34" s="57"/>
      <c r="ECZ34" s="57"/>
      <c r="EDA34" s="56"/>
      <c r="EDB34" s="57"/>
      <c r="EDC34" s="57"/>
      <c r="EDD34" s="56"/>
      <c r="EDE34" s="57"/>
      <c r="EDF34" s="58"/>
      <c r="EDG34" s="56"/>
      <c r="EDH34" s="57"/>
      <c r="EDI34" s="57"/>
      <c r="EDJ34" s="57"/>
      <c r="EDK34" s="56"/>
      <c r="EDL34" s="57"/>
      <c r="EDM34" s="57"/>
      <c r="EDN34" s="56"/>
      <c r="EDO34" s="57"/>
      <c r="EDP34" s="58"/>
      <c r="EDQ34" s="56"/>
      <c r="EDR34" s="57"/>
      <c r="EDS34" s="57"/>
      <c r="EDT34" s="57"/>
      <c r="EDU34" s="56"/>
      <c r="EDV34" s="57"/>
      <c r="EDW34" s="57"/>
      <c r="EDX34" s="56"/>
      <c r="EDY34" s="57"/>
      <c r="EDZ34" s="58"/>
      <c r="EEA34" s="56"/>
      <c r="EEB34" s="57"/>
      <c r="EEC34" s="57"/>
      <c r="EED34" s="57"/>
      <c r="EEE34" s="56"/>
      <c r="EEF34" s="57"/>
      <c r="EEG34" s="57"/>
      <c r="EEH34" s="56"/>
      <c r="EEI34" s="57"/>
      <c r="EEJ34" s="58"/>
      <c r="EEK34" s="56"/>
      <c r="EEL34" s="58"/>
      <c r="EEM34" s="57"/>
      <c r="EEN34" s="56"/>
      <c r="EEO34" s="57"/>
      <c r="EEP34" s="56"/>
      <c r="EEQ34" s="56"/>
      <c r="EER34" s="56"/>
      <c r="EES34" s="57"/>
      <c r="EET34" s="57"/>
      <c r="EEU34" s="57"/>
      <c r="EEV34" s="57"/>
      <c r="EEW34" s="57"/>
      <c r="EEX34" s="57"/>
      <c r="EEY34" s="57"/>
      <c r="EEZ34" s="57"/>
      <c r="EFA34" s="57"/>
      <c r="EFB34" s="57"/>
      <c r="EFC34" s="57"/>
      <c r="EFD34" s="57"/>
      <c r="EFE34" s="57"/>
      <c r="EFF34" s="57"/>
      <c r="EFG34" s="57"/>
      <c r="EFH34" s="57"/>
      <c r="EFI34" s="57"/>
      <c r="EFJ34" s="57"/>
      <c r="EFK34" s="57"/>
      <c r="EFL34" s="57"/>
      <c r="EFM34" s="57"/>
      <c r="EFN34" s="57"/>
      <c r="EFO34" s="57"/>
      <c r="EFP34" s="57"/>
      <c r="EFQ34" s="57"/>
      <c r="EFR34" s="57"/>
      <c r="EFS34" s="57"/>
      <c r="EFT34" s="57"/>
      <c r="EFU34" s="57"/>
      <c r="EFV34" s="57"/>
      <c r="EFW34" s="57"/>
      <c r="EFX34" s="57"/>
      <c r="EFY34" s="57"/>
      <c r="EFZ34" s="57"/>
      <c r="EGA34" s="57"/>
      <c r="EGB34" s="57"/>
      <c r="EGC34" s="57"/>
      <c r="EGD34" s="58"/>
      <c r="EGE34" s="56"/>
      <c r="EGF34" s="57"/>
      <c r="EGG34" s="57"/>
      <c r="EGH34" s="57"/>
      <c r="EGI34" s="57"/>
      <c r="EGJ34" s="57"/>
      <c r="EGK34" s="56"/>
      <c r="EGL34" s="57"/>
      <c r="EGM34" s="57"/>
      <c r="EGN34" s="56"/>
      <c r="EGO34" s="57"/>
      <c r="EGP34" s="58"/>
      <c r="EGQ34" s="56"/>
      <c r="EGR34" s="57"/>
      <c r="EGS34" s="57"/>
      <c r="EGT34" s="57"/>
      <c r="EGU34" s="56"/>
      <c r="EGV34" s="57"/>
      <c r="EGW34" s="57"/>
      <c r="EGX34" s="56"/>
      <c r="EGY34" s="57"/>
      <c r="EGZ34" s="58"/>
      <c r="EHA34" s="56"/>
      <c r="EHB34" s="57"/>
      <c r="EHC34" s="57"/>
      <c r="EHD34" s="57"/>
      <c r="EHE34" s="56"/>
      <c r="EHF34" s="57"/>
      <c r="EHG34" s="57"/>
      <c r="EHH34" s="56"/>
      <c r="EHI34" s="57"/>
      <c r="EHJ34" s="58"/>
      <c r="EHK34" s="56"/>
      <c r="EHL34" s="57"/>
      <c r="EHM34" s="57"/>
      <c r="EHN34" s="57"/>
      <c r="EHO34" s="56"/>
      <c r="EHP34" s="57"/>
      <c r="EHQ34" s="57"/>
      <c r="EHR34" s="56"/>
      <c r="EHS34" s="57"/>
      <c r="EHT34" s="58"/>
      <c r="EHU34" s="56"/>
      <c r="EHV34" s="58"/>
      <c r="EHW34" s="57"/>
      <c r="EHX34" s="56"/>
      <c r="EHY34" s="57"/>
      <c r="EHZ34" s="56"/>
      <c r="EIA34" s="56"/>
      <c r="EIB34" s="56"/>
      <c r="EIC34" s="57"/>
      <c r="EID34" s="57"/>
      <c r="EIE34" s="57"/>
      <c r="EIF34" s="57"/>
      <c r="EIG34" s="57"/>
      <c r="EIH34" s="57"/>
      <c r="EII34" s="57"/>
      <c r="EIJ34" s="57"/>
      <c r="EIK34" s="57"/>
      <c r="EIL34" s="57"/>
      <c r="EIM34" s="57"/>
      <c r="EIN34" s="57"/>
      <c r="EIO34" s="57"/>
      <c r="EIP34" s="57"/>
      <c r="EIQ34" s="57"/>
      <c r="EIR34" s="57"/>
      <c r="EIS34" s="57"/>
      <c r="EIT34" s="57"/>
      <c r="EIU34" s="57"/>
      <c r="EIV34" s="57"/>
      <c r="EIW34" s="57"/>
      <c r="EIX34" s="57"/>
      <c r="EIY34" s="57"/>
      <c r="EIZ34" s="57"/>
      <c r="EJA34" s="57"/>
      <c r="EJB34" s="57"/>
      <c r="EJC34" s="57"/>
      <c r="EJD34" s="57"/>
      <c r="EJE34" s="57"/>
      <c r="EJF34" s="57"/>
      <c r="EJG34" s="57"/>
      <c r="EJH34" s="57"/>
      <c r="EJI34" s="57"/>
      <c r="EJJ34" s="57"/>
      <c r="EJK34" s="57"/>
      <c r="EJL34" s="57"/>
      <c r="EJM34" s="57"/>
      <c r="EJN34" s="58"/>
      <c r="EJO34" s="56"/>
      <c r="EJP34" s="57"/>
      <c r="EJQ34" s="57"/>
      <c r="EJR34" s="57"/>
      <c r="EJS34" s="57"/>
      <c r="EJT34" s="57"/>
      <c r="EJU34" s="56"/>
      <c r="EJV34" s="57"/>
      <c r="EJW34" s="57"/>
      <c r="EJX34" s="56"/>
      <c r="EJY34" s="57"/>
      <c r="EJZ34" s="58"/>
      <c r="EKA34" s="56"/>
      <c r="EKB34" s="57"/>
      <c r="EKC34" s="57"/>
      <c r="EKD34" s="57"/>
      <c r="EKE34" s="56"/>
      <c r="EKF34" s="57"/>
      <c r="EKG34" s="57"/>
      <c r="EKH34" s="56"/>
      <c r="EKI34" s="57"/>
      <c r="EKJ34" s="58"/>
      <c r="EKK34" s="56"/>
      <c r="EKL34" s="57"/>
      <c r="EKM34" s="57"/>
      <c r="EKN34" s="57"/>
      <c r="EKO34" s="56"/>
      <c r="EKP34" s="57"/>
      <c r="EKQ34" s="57"/>
      <c r="EKR34" s="56"/>
      <c r="EKS34" s="57"/>
      <c r="EKT34" s="58"/>
      <c r="EKU34" s="56"/>
      <c r="EKV34" s="57"/>
      <c r="EKW34" s="57"/>
      <c r="EKX34" s="57"/>
      <c r="EKY34" s="56"/>
      <c r="EKZ34" s="57"/>
      <c r="ELA34" s="57"/>
      <c r="ELB34" s="56"/>
      <c r="ELC34" s="57"/>
      <c r="ELD34" s="58"/>
      <c r="ELE34" s="56"/>
      <c r="ELF34" s="58"/>
      <c r="ELG34" s="57"/>
      <c r="ELH34" s="56"/>
      <c r="ELI34" s="57"/>
      <c r="ELJ34" s="56"/>
      <c r="ELK34" s="56"/>
      <c r="ELL34" s="56"/>
      <c r="ELM34" s="57"/>
      <c r="ELN34" s="57"/>
      <c r="ELO34" s="57"/>
      <c r="ELP34" s="57"/>
      <c r="ELQ34" s="57"/>
      <c r="ELR34" s="57"/>
      <c r="ELS34" s="57"/>
      <c r="ELT34" s="57"/>
      <c r="ELU34" s="57"/>
      <c r="ELV34" s="57"/>
      <c r="ELW34" s="57"/>
      <c r="ELX34" s="57"/>
      <c r="ELY34" s="57"/>
      <c r="ELZ34" s="57"/>
      <c r="EMA34" s="57"/>
      <c r="EMB34" s="57"/>
      <c r="EMC34" s="57"/>
      <c r="EMD34" s="57"/>
      <c r="EME34" s="57"/>
      <c r="EMF34" s="57"/>
      <c r="EMG34" s="57"/>
      <c r="EMH34" s="57"/>
      <c r="EMI34" s="57"/>
      <c r="EMJ34" s="57"/>
      <c r="EMK34" s="57"/>
      <c r="EML34" s="57"/>
      <c r="EMM34" s="57"/>
      <c r="EMN34" s="57"/>
      <c r="EMO34" s="57"/>
      <c r="EMP34" s="57"/>
      <c r="EMQ34" s="57"/>
      <c r="EMR34" s="57"/>
      <c r="EMS34" s="57"/>
      <c r="EMT34" s="57"/>
      <c r="EMU34" s="57"/>
      <c r="EMV34" s="57"/>
      <c r="EMW34" s="57"/>
      <c r="EMX34" s="58"/>
      <c r="EMY34" s="56"/>
      <c r="EMZ34" s="57"/>
      <c r="ENA34" s="57"/>
      <c r="ENB34" s="57"/>
      <c r="ENC34" s="57"/>
      <c r="END34" s="57"/>
      <c r="ENE34" s="56"/>
      <c r="ENF34" s="57"/>
      <c r="ENG34" s="57"/>
      <c r="ENH34" s="56"/>
      <c r="ENI34" s="57"/>
      <c r="ENJ34" s="58"/>
      <c r="ENK34" s="56"/>
      <c r="ENL34" s="57"/>
      <c r="ENM34" s="57"/>
      <c r="ENN34" s="57"/>
      <c r="ENO34" s="56"/>
      <c r="ENP34" s="57"/>
      <c r="ENQ34" s="57"/>
      <c r="ENR34" s="56"/>
      <c r="ENS34" s="57"/>
      <c r="ENT34" s="58"/>
      <c r="ENU34" s="56"/>
      <c r="ENV34" s="57"/>
      <c r="ENW34" s="57"/>
      <c r="ENX34" s="57"/>
      <c r="ENY34" s="56"/>
      <c r="ENZ34" s="57"/>
      <c r="EOA34" s="57"/>
      <c r="EOB34" s="56"/>
      <c r="EOC34" s="57"/>
      <c r="EOD34" s="58"/>
      <c r="EOE34" s="56"/>
      <c r="EOF34" s="57"/>
      <c r="EOG34" s="57"/>
      <c r="EOH34" s="57"/>
      <c r="EOI34" s="56"/>
      <c r="EOJ34" s="57"/>
      <c r="EOK34" s="57"/>
      <c r="EOL34" s="56"/>
      <c r="EOM34" s="57"/>
      <c r="EON34" s="58"/>
      <c r="EOO34" s="56" t="str">
        <f t="shared" si="149"/>
        <v xml:space="preserve"> </v>
      </c>
      <c r="EOP34" s="58"/>
      <c r="EOQ34" s="57"/>
      <c r="EOR34" s="56"/>
      <c r="EOS34" s="57"/>
      <c r="EOT34" s="56"/>
      <c r="EOU34" s="56"/>
      <c r="EOV34" s="56"/>
      <c r="EOW34" s="57"/>
      <c r="EOX34" s="57"/>
      <c r="EOY34" s="57"/>
      <c r="EOZ34" s="57"/>
      <c r="EPA34" s="57"/>
      <c r="EPB34" s="57"/>
      <c r="EPC34" s="57"/>
      <c r="EPD34" s="57"/>
      <c r="EPE34" s="57"/>
      <c r="EPF34" s="57"/>
      <c r="EPG34" s="57"/>
      <c r="EPH34" s="57"/>
      <c r="EPI34" s="57"/>
      <c r="EPJ34" s="57"/>
      <c r="EPK34" s="57"/>
      <c r="EPL34" s="57"/>
      <c r="EPM34" s="57"/>
      <c r="EPN34" s="57"/>
      <c r="EPO34" s="57"/>
      <c r="EPP34" s="57"/>
      <c r="EPQ34" s="57"/>
      <c r="EPR34" s="57"/>
      <c r="EPS34" s="57"/>
      <c r="EPT34" s="57"/>
      <c r="EPU34" s="57"/>
      <c r="EPV34" s="57"/>
      <c r="EPW34" s="57"/>
      <c r="EPX34" s="57"/>
      <c r="EPY34" s="57"/>
      <c r="EPZ34" s="57"/>
      <c r="EQA34" s="57"/>
      <c r="EQB34" s="57"/>
      <c r="EQC34" s="57"/>
      <c r="EQD34" s="57"/>
      <c r="EQE34" s="57"/>
      <c r="EQF34" s="57"/>
      <c r="EQG34" s="57"/>
      <c r="EQH34" s="58"/>
      <c r="EQI34" s="56"/>
      <c r="EQJ34" s="57"/>
      <c r="EQK34" s="57"/>
      <c r="EQL34" s="57"/>
      <c r="EQM34" s="57"/>
      <c r="EQN34" s="57"/>
      <c r="EQO34" s="56"/>
      <c r="EQP34" s="57"/>
      <c r="EQQ34" s="57"/>
      <c r="EQR34" s="56"/>
      <c r="EQS34" s="57"/>
      <c r="EQT34" s="58"/>
      <c r="EQU34" s="56"/>
      <c r="EQV34" s="57"/>
      <c r="EQW34" s="57"/>
      <c r="EQX34" s="57"/>
      <c r="EQY34" s="56"/>
      <c r="EQZ34" s="57"/>
      <c r="ERA34" s="57"/>
      <c r="ERB34" s="56"/>
      <c r="ERC34" s="57"/>
      <c r="ERD34" s="58"/>
      <c r="ERE34" s="56"/>
      <c r="ERF34" s="57"/>
      <c r="ERG34" s="57"/>
      <c r="ERH34" s="57"/>
      <c r="ERI34" s="56"/>
      <c r="ERJ34" s="57"/>
      <c r="ERK34" s="57"/>
      <c r="ERL34" s="56"/>
      <c r="ERM34" s="57"/>
      <c r="ERN34" s="58"/>
      <c r="ERO34" s="56"/>
      <c r="ERP34" s="57"/>
      <c r="ERQ34" s="57"/>
      <c r="ERR34" s="57"/>
      <c r="ERS34" s="56"/>
      <c r="ERT34" s="57"/>
      <c r="ERU34" s="57"/>
      <c r="ERV34" s="56"/>
      <c r="ERW34" s="57"/>
      <c r="ERX34" s="58"/>
      <c r="ERY34" s="56" t="str">
        <f t="shared" si="152"/>
        <v xml:space="preserve"> </v>
      </c>
      <c r="ERZ34" s="58"/>
      <c r="ESA34" s="57"/>
      <c r="ESB34" s="56"/>
      <c r="ESC34" s="57"/>
      <c r="ESD34" s="56"/>
      <c r="ESE34" s="56"/>
      <c r="ESF34" s="56"/>
      <c r="ESG34" s="57"/>
      <c r="ESH34" s="57"/>
      <c r="ESI34" s="57"/>
      <c r="ESJ34" s="57"/>
      <c r="ESK34" s="57"/>
      <c r="ESL34" s="57"/>
      <c r="ESM34" s="57"/>
      <c r="ESN34" s="57"/>
      <c r="ESO34" s="57"/>
      <c r="ESP34" s="57"/>
      <c r="ESQ34" s="57"/>
      <c r="ESR34" s="57"/>
      <c r="ESS34" s="57"/>
      <c r="EST34" s="57"/>
      <c r="ESU34" s="57"/>
      <c r="ESV34" s="57"/>
      <c r="ESW34" s="57"/>
      <c r="ESX34" s="57"/>
      <c r="ESY34" s="57"/>
      <c r="ESZ34" s="57"/>
      <c r="ETA34" s="57"/>
      <c r="ETB34" s="57"/>
      <c r="ETC34" s="57"/>
      <c r="ETD34" s="57"/>
      <c r="ETE34" s="57"/>
      <c r="ETF34" s="57"/>
      <c r="ETG34" s="57"/>
      <c r="ETH34" s="57"/>
      <c r="ETI34" s="57"/>
      <c r="ETJ34" s="57"/>
      <c r="ETK34" s="57"/>
      <c r="ETL34" s="57"/>
      <c r="ETM34" s="57"/>
      <c r="ETN34" s="57"/>
      <c r="ETO34" s="57"/>
      <c r="ETP34" s="57"/>
      <c r="ETQ34" s="57"/>
      <c r="ETR34" s="58"/>
      <c r="ETS34" s="56"/>
      <c r="ETT34" s="57"/>
      <c r="ETU34" s="57"/>
      <c r="ETV34" s="57"/>
      <c r="ETW34" s="57"/>
      <c r="ETX34" s="57"/>
      <c r="ETY34" s="56"/>
      <c r="ETZ34" s="57"/>
      <c r="EUA34" s="57"/>
      <c r="EUB34" s="56"/>
      <c r="EUC34" s="57"/>
      <c r="EUD34" s="58"/>
      <c r="EUE34" s="56"/>
      <c r="EUF34" s="57"/>
      <c r="EUG34" s="57"/>
      <c r="EUH34" s="57"/>
      <c r="EUI34" s="56"/>
      <c r="EUJ34" s="57"/>
      <c r="EUK34" s="57"/>
      <c r="EUL34" s="56"/>
      <c r="EUM34" s="57"/>
      <c r="EUN34" s="58"/>
      <c r="EUO34" s="56"/>
      <c r="EUP34" s="57"/>
      <c r="EUQ34" s="57"/>
      <c r="EUR34" s="57"/>
      <c r="EUS34" s="56"/>
      <c r="EUT34" s="57"/>
      <c r="EUU34" s="57"/>
      <c r="EUV34" s="56"/>
      <c r="EUW34" s="57"/>
      <c r="EUX34" s="58"/>
      <c r="EUY34" s="56"/>
      <c r="EUZ34" s="57"/>
      <c r="EVA34" s="57"/>
      <c r="EVB34" s="57"/>
      <c r="EVC34" s="56"/>
      <c r="EVD34" s="57"/>
      <c r="EVE34" s="57"/>
      <c r="EVF34" s="56"/>
      <c r="EVG34" s="57"/>
      <c r="EVH34" s="58"/>
      <c r="EVI34" s="56" t="str">
        <f t="shared" si="153"/>
        <v xml:space="preserve"> </v>
      </c>
    </row>
    <row r="35" spans="1:3961" x14ac:dyDescent="0.3">
      <c r="A35" s="423" t="s">
        <v>204</v>
      </c>
      <c r="B35" s="30" t="str">
        <f>'REG y VAL POE - AESR - ESR'!B2685</f>
        <v xml:space="preserve">Alvarez Hernandez Salvador </v>
      </c>
      <c r="C35" s="29">
        <f>'REG y VAL POE - AESR - ESR'!C2685</f>
        <v>0</v>
      </c>
      <c r="D35" s="28">
        <f>'REG y VAL POE - AESR - ESR'!D2685</f>
        <v>23142251</v>
      </c>
      <c r="E35" s="29">
        <f>'REG y VAL POE - AESR - ESR'!E2685</f>
        <v>0</v>
      </c>
      <c r="F35" s="28">
        <f>'REG y VAL POE - AESR - ESR'!F2685</f>
        <v>0</v>
      </c>
      <c r="G35" s="31">
        <f>'REG y VAL POE - AESR - ESR'!G2685</f>
        <v>0</v>
      </c>
      <c r="H35" s="31">
        <f>'REG y VAL POE - AESR - ESR'!H2685</f>
        <v>0</v>
      </c>
      <c r="I35" s="29">
        <f>'REG y VAL POE - AESR - ESR'!I2685</f>
        <v>0</v>
      </c>
      <c r="J35" s="29">
        <f>'REG y VAL POE - AESR - ESR'!J2685</f>
        <v>0</v>
      </c>
      <c r="K35" s="29">
        <f>'REG y VAL POE - AESR - ESR'!K2685</f>
        <v>0</v>
      </c>
      <c r="L35" s="29">
        <f>'REG y VAL POE - AESR - ESR'!L2685</f>
        <v>0</v>
      </c>
      <c r="M35" s="29">
        <f>'REG y VAL POE - AESR - ESR'!M2685</f>
        <v>0</v>
      </c>
      <c r="N35" s="32">
        <f>'REG y VAL POE - AESR - ESR'!N2685</f>
        <v>0</v>
      </c>
      <c r="O35" s="29">
        <f>'REG y VAL POE - AESR - ESR'!O2685</f>
        <v>0</v>
      </c>
      <c r="P35" s="29">
        <f>'REG y VAL POE - AESR - ESR'!P2685</f>
        <v>0</v>
      </c>
      <c r="Q35" s="29">
        <f>'REG y VAL POE - AESR - ESR'!Q2685</f>
        <v>0</v>
      </c>
      <c r="R35" s="29">
        <f>'REG y VAL POE - AESR - ESR'!R2685</f>
        <v>0</v>
      </c>
      <c r="S35" s="29">
        <f>'REG y VAL POE - AESR - ESR'!S2685</f>
        <v>0</v>
      </c>
      <c r="T35" s="29">
        <f>'REG y VAL POE - AESR - ESR'!T2685</f>
        <v>0</v>
      </c>
      <c r="U35" s="29">
        <f>'REG y VAL POE - AESR - ESR'!U2685</f>
        <v>0</v>
      </c>
      <c r="V35" s="29">
        <f>'REG y VAL POE - AESR - ESR'!V2685</f>
        <v>0</v>
      </c>
      <c r="W35" s="29">
        <f>'REG y VAL POE - AESR - ESR'!W2685</f>
        <v>0</v>
      </c>
      <c r="X35" s="29">
        <f>'REG y VAL POE - AESR - ESR'!X2685</f>
        <v>0</v>
      </c>
      <c r="Y35" s="29">
        <f>'REG y VAL POE - AESR - ESR'!Y2685</f>
        <v>0</v>
      </c>
      <c r="Z35" s="29">
        <f>'REG y VAL POE - AESR - ESR'!Z2685</f>
        <v>0</v>
      </c>
      <c r="AA35" s="29">
        <f>'REG y VAL POE - AESR - ESR'!AA2685</f>
        <v>0</v>
      </c>
      <c r="AB35" s="29">
        <f>'REG y VAL POE - AESR - ESR'!AB2685</f>
        <v>0</v>
      </c>
      <c r="AC35" s="29">
        <f>'REG y VAL POE - AESR - ESR'!AC2685</f>
        <v>0</v>
      </c>
      <c r="AD35" s="29">
        <f>'REG y VAL POE - AESR - ESR'!AD2685</f>
        <v>0</v>
      </c>
      <c r="AE35" s="29">
        <f>'REG y VAL POE - AESR - ESR'!AE2685</f>
        <v>0</v>
      </c>
      <c r="AF35" s="29">
        <f>'REG y VAL POE - AESR - ESR'!AF2685</f>
        <v>0</v>
      </c>
      <c r="AG35" s="29">
        <f>'REG y VAL POE - AESR - ESR'!AG2685</f>
        <v>0</v>
      </c>
      <c r="AH35" s="29">
        <f>'REG y VAL POE - AESR - ESR'!AH2685</f>
        <v>0</v>
      </c>
      <c r="AI35" s="29">
        <f>'REG y VAL POE - AESR - ESR'!AI2685</f>
        <v>0</v>
      </c>
      <c r="AJ35" s="29">
        <f>'REG y VAL POE - AESR - ESR'!AJ2685</f>
        <v>0</v>
      </c>
      <c r="AK35" s="29">
        <f>'REG y VAL POE - AESR - ESR'!AK2685</f>
        <v>0</v>
      </c>
      <c r="AL35" s="29">
        <f>'REG y VAL POE - AESR - ESR'!AL2685</f>
        <v>0</v>
      </c>
      <c r="AM35" s="29">
        <f>'REG y VAL POE - AESR - ESR'!AM2685</f>
        <v>0</v>
      </c>
      <c r="AN35" s="29">
        <f>'REG y VAL POE - AESR - ESR'!AN2685</f>
        <v>0</v>
      </c>
      <c r="AO35" s="29">
        <f>'REG y VAL POE - AESR - ESR'!AO2685</f>
        <v>0</v>
      </c>
      <c r="AP35" s="29">
        <f>'REG y VAL POE - AESR - ESR'!AP2685</f>
        <v>0</v>
      </c>
      <c r="AQ35" s="29">
        <f>'REG y VAL POE - AESR - ESR'!AQ2685</f>
        <v>0</v>
      </c>
      <c r="AR35" s="29">
        <f>'REG y VAL POE - AESR - ESR'!AR2685</f>
        <v>0</v>
      </c>
      <c r="AS35" s="29">
        <f>'REG y VAL POE - AESR - ESR'!AS2685</f>
        <v>0</v>
      </c>
      <c r="AT35" s="30" t="str">
        <f>'REG y VAL POE - AESR - ESR'!B2686</f>
        <v xml:space="preserve">Arriaga Reyes Rusell </v>
      </c>
      <c r="AU35" s="29" t="str">
        <f>'REG y VAL POE - AESR - ESR'!C2686</f>
        <v>Sin Registro</v>
      </c>
      <c r="AV35" s="28">
        <f>'REG y VAL POE - AESR - ESR'!D2686</f>
        <v>23162203</v>
      </c>
      <c r="AW35" s="29" t="str">
        <f>'REG y VAL POE - AESR - ESR'!E2686</f>
        <v xml:space="preserve">Arriaga Reyes Rusell </v>
      </c>
      <c r="AX35" s="28">
        <f>'REG y VAL POE - AESR - ESR'!F2686</f>
        <v>23162203</v>
      </c>
      <c r="AY35" s="31">
        <f>'REG y VAL POE - AESR - ESR'!G2686</f>
        <v>0</v>
      </c>
      <c r="AZ35" s="31">
        <f>'REG y VAL POE - AESR - ESR'!H2686</f>
        <v>0</v>
      </c>
      <c r="BA35" s="29">
        <f>'REG y VAL POE - AESR - ESR'!I2686</f>
        <v>0</v>
      </c>
      <c r="BB35" s="29">
        <f>'REG y VAL POE - AESR - ESR'!J2686</f>
        <v>0</v>
      </c>
      <c r="BC35" s="29">
        <f>'REG y VAL POE - AESR - ESR'!K2686</f>
        <v>0</v>
      </c>
      <c r="BD35" s="29">
        <f>'REG y VAL POE - AESR - ESR'!L2686</f>
        <v>0</v>
      </c>
      <c r="BE35" s="29">
        <f>'REG y VAL POE - AESR - ESR'!M2686</f>
        <v>0</v>
      </c>
      <c r="BF35" s="388">
        <f>'REG y VAL POE - AESR - ESR'!N2686</f>
        <v>0</v>
      </c>
      <c r="BG35" s="29">
        <f>'REG y VAL POE - AESR - ESR'!O2686</f>
        <v>0</v>
      </c>
      <c r="BH35" s="29">
        <f>'REG y VAL POE - AESR - ESR'!P2686</f>
        <v>0</v>
      </c>
      <c r="BI35" s="29">
        <f>'REG y VAL POE - AESR - ESR'!Q2686</f>
        <v>0</v>
      </c>
      <c r="BJ35" s="29">
        <f>'REG y VAL POE - AESR - ESR'!R2686</f>
        <v>0</v>
      </c>
      <c r="BK35" s="29">
        <f>'REG y VAL POE - AESR - ESR'!S2686</f>
        <v>0</v>
      </c>
      <c r="BL35" s="29">
        <f>'REG y VAL POE - AESR - ESR'!T2686</f>
        <v>0</v>
      </c>
      <c r="BM35" s="29">
        <f>'REG y VAL POE - AESR - ESR'!U2686</f>
        <v>0</v>
      </c>
      <c r="BN35" s="29">
        <f>'REG y VAL POE - AESR - ESR'!V2686</f>
        <v>0</v>
      </c>
      <c r="BO35" s="29">
        <f>'REG y VAL POE - AESR - ESR'!W2686</f>
        <v>0</v>
      </c>
      <c r="BP35" s="29">
        <f>'REG y VAL POE - AESR - ESR'!X2686</f>
        <v>0</v>
      </c>
      <c r="BQ35" s="29">
        <f>'REG y VAL POE - AESR - ESR'!Y2686</f>
        <v>0</v>
      </c>
      <c r="BR35" s="29">
        <f>'REG y VAL POE - AESR - ESR'!Z2686</f>
        <v>0</v>
      </c>
      <c r="BS35" s="29">
        <f>'REG y VAL POE - AESR - ESR'!AA2686</f>
        <v>0</v>
      </c>
      <c r="BT35" s="29">
        <f>'REG y VAL POE - AESR - ESR'!AB2686</f>
        <v>0</v>
      </c>
      <c r="BU35" s="29">
        <f>'REG y VAL POE - AESR - ESR'!AC2686</f>
        <v>0</v>
      </c>
      <c r="BV35" s="29">
        <f>'REG y VAL POE - AESR - ESR'!AD2686</f>
        <v>0</v>
      </c>
      <c r="BW35" s="29">
        <f>'REG y VAL POE - AESR - ESR'!AE2686</f>
        <v>0</v>
      </c>
      <c r="BX35" s="29">
        <f>'REG y VAL POE - AESR - ESR'!AF2686</f>
        <v>0</v>
      </c>
      <c r="BY35" s="29">
        <f>'REG y VAL POE - AESR - ESR'!AG2686</f>
        <v>0</v>
      </c>
      <c r="BZ35" s="29">
        <f>'REG y VAL POE - AESR - ESR'!AH2686</f>
        <v>0</v>
      </c>
      <c r="CA35" s="29">
        <f>'REG y VAL POE - AESR - ESR'!AI2686</f>
        <v>0</v>
      </c>
      <c r="CB35" s="29">
        <f>'REG y VAL POE - AESR - ESR'!AJ2686</f>
        <v>0</v>
      </c>
      <c r="CC35" s="29">
        <f>'REG y VAL POE - AESR - ESR'!AK2686</f>
        <v>0</v>
      </c>
      <c r="CD35" s="29">
        <f>'REG y VAL POE - AESR - ESR'!AL2686</f>
        <v>0</v>
      </c>
      <c r="CE35" s="29">
        <f>'REG y VAL POE - AESR - ESR'!AM2686</f>
        <v>0</v>
      </c>
      <c r="CF35" s="29">
        <f>'REG y VAL POE - AESR - ESR'!AN2686</f>
        <v>0</v>
      </c>
      <c r="CG35" s="29">
        <f>'REG y VAL POE - AESR - ESR'!AO2686</f>
        <v>0</v>
      </c>
      <c r="CH35" s="29">
        <f>'REG y VAL POE - AESR - ESR'!AP2686</f>
        <v>0</v>
      </c>
      <c r="CI35" s="29">
        <f>'REG y VAL POE - AESR - ESR'!AQ2686</f>
        <v>0</v>
      </c>
      <c r="CJ35" s="29">
        <f>'REG y VAL POE - AESR - ESR'!AR2686</f>
        <v>0</v>
      </c>
      <c r="CK35" s="29">
        <f>'REG y VAL POE - AESR - ESR'!AS2686</f>
        <v>0</v>
      </c>
      <c r="CL35" s="30" t="str">
        <f>'REG y VAL POE - AESR - ESR'!B2687</f>
        <v xml:space="preserve">Carrizosa Gonzalez Miguel </v>
      </c>
      <c r="CM35" s="29">
        <f>'REG y VAL POE - AESR - ESR'!C2687</f>
        <v>0</v>
      </c>
      <c r="CN35" s="28">
        <f>'REG y VAL POE - AESR - ESR'!D2687</f>
        <v>23147609</v>
      </c>
      <c r="CO35" s="29">
        <f>'REG y VAL POE - AESR - ESR'!E2687</f>
        <v>0</v>
      </c>
      <c r="CP35" s="28">
        <f>'REG y VAL POE - AESR - ESR'!F2687</f>
        <v>0</v>
      </c>
      <c r="CQ35" s="31">
        <f>'REG y VAL POE - AESR - ESR'!G2687</f>
        <v>0</v>
      </c>
      <c r="CR35" s="31">
        <f>'REG y VAL POE - AESR - ESR'!H2687</f>
        <v>0</v>
      </c>
      <c r="CS35" s="29">
        <f>'REG y VAL POE - AESR - ESR'!I2687</f>
        <v>0</v>
      </c>
      <c r="CT35" s="29">
        <f>'REG y VAL POE - AESR - ESR'!J2687</f>
        <v>0</v>
      </c>
      <c r="CU35" s="29">
        <f>'REG y VAL POE - AESR - ESR'!K2687</f>
        <v>0</v>
      </c>
      <c r="CV35" s="29">
        <f>'REG y VAL POE - AESR - ESR'!L2687</f>
        <v>0</v>
      </c>
      <c r="CW35" s="29">
        <f>'REG y VAL POE - AESR - ESR'!M2687</f>
        <v>0</v>
      </c>
      <c r="CX35" s="388">
        <f>'REG y VAL POE - AESR - ESR'!N2687</f>
        <v>0</v>
      </c>
      <c r="CY35" s="29">
        <f>'REG y VAL POE - AESR - ESR'!O2687</f>
        <v>0</v>
      </c>
      <c r="CZ35" s="29">
        <f>'REG y VAL POE - AESR - ESR'!P2687</f>
        <v>0</v>
      </c>
      <c r="DA35" s="29">
        <f>'REG y VAL POE - AESR - ESR'!Q2687</f>
        <v>0</v>
      </c>
      <c r="DB35" s="29">
        <f>'REG y VAL POE - AESR - ESR'!R2687</f>
        <v>0</v>
      </c>
      <c r="DC35" s="29">
        <f>'REG y VAL POE - AESR - ESR'!S2687</f>
        <v>0</v>
      </c>
      <c r="DD35" s="29">
        <f>'REG y VAL POE - AESR - ESR'!T2687</f>
        <v>0</v>
      </c>
      <c r="DE35" s="29">
        <f>'REG y VAL POE - AESR - ESR'!U2687</f>
        <v>0</v>
      </c>
      <c r="DF35" s="29">
        <f>'REG y VAL POE - AESR - ESR'!V2687</f>
        <v>0</v>
      </c>
      <c r="DG35" s="29">
        <f>'REG y VAL POE - AESR - ESR'!W2687</f>
        <v>0</v>
      </c>
      <c r="DH35" s="29">
        <f>'REG y VAL POE - AESR - ESR'!X2687</f>
        <v>0</v>
      </c>
      <c r="DI35" s="29">
        <f>'REG y VAL POE - AESR - ESR'!Y2687</f>
        <v>0</v>
      </c>
      <c r="DJ35" s="29">
        <f>'REG y VAL POE - AESR - ESR'!Z2687</f>
        <v>0</v>
      </c>
      <c r="DK35" s="29">
        <f>'REG y VAL POE - AESR - ESR'!AA2687</f>
        <v>0</v>
      </c>
      <c r="DL35" s="29">
        <f>'REG y VAL POE - AESR - ESR'!AB2687</f>
        <v>0</v>
      </c>
      <c r="DM35" s="29">
        <f>'REG y VAL POE - AESR - ESR'!AC2687</f>
        <v>0</v>
      </c>
      <c r="DN35" s="29">
        <f>'REG y VAL POE - AESR - ESR'!AD2687</f>
        <v>0</v>
      </c>
      <c r="DO35" s="29">
        <f>'REG y VAL POE - AESR - ESR'!AE2687</f>
        <v>0</v>
      </c>
      <c r="DP35" s="29">
        <f>'REG y VAL POE - AESR - ESR'!AF2687</f>
        <v>0</v>
      </c>
      <c r="DQ35" s="29">
        <f>'REG y VAL POE - AESR - ESR'!AG2687</f>
        <v>0</v>
      </c>
      <c r="DR35" s="29">
        <f>'REG y VAL POE - AESR - ESR'!AH2687</f>
        <v>0</v>
      </c>
      <c r="DS35" s="29">
        <f>'REG y VAL POE - AESR - ESR'!AI2687</f>
        <v>0</v>
      </c>
      <c r="DT35" s="29">
        <f>'REG y VAL POE - AESR - ESR'!AJ2687</f>
        <v>0</v>
      </c>
      <c r="DU35" s="29">
        <f>'REG y VAL POE - AESR - ESR'!AK2687</f>
        <v>0</v>
      </c>
      <c r="DV35" s="29">
        <f>'REG y VAL POE - AESR - ESR'!AL2687</f>
        <v>0</v>
      </c>
      <c r="DW35" s="29">
        <f>'REG y VAL POE - AESR - ESR'!AM2687</f>
        <v>0</v>
      </c>
      <c r="DX35" s="29">
        <f>'REG y VAL POE - AESR - ESR'!AN2687</f>
        <v>0</v>
      </c>
      <c r="DY35" s="29">
        <f>'REG y VAL POE - AESR - ESR'!AO2687</f>
        <v>0</v>
      </c>
      <c r="DZ35" s="29">
        <f>'REG y VAL POE - AESR - ESR'!AP2687</f>
        <v>0</v>
      </c>
      <c r="EA35" s="29">
        <f>'REG y VAL POE - AESR - ESR'!AQ2687</f>
        <v>0</v>
      </c>
      <c r="EB35" s="29">
        <f>'REG y VAL POE - AESR - ESR'!AR2687</f>
        <v>0</v>
      </c>
      <c r="EC35" s="29">
        <f>'REG y VAL POE - AESR - ESR'!AS2687</f>
        <v>0</v>
      </c>
      <c r="ED35" s="30" t="str">
        <f>'REG y VAL POE - AESR - ESR'!B2688</f>
        <v xml:space="preserve">Castro Alvarez Antonio </v>
      </c>
      <c r="EE35" s="29">
        <f>'REG y VAL POE - AESR - ESR'!C2688</f>
        <v>0</v>
      </c>
      <c r="EF35" s="28">
        <f>'REG y VAL POE - AESR - ESR'!D2688</f>
        <v>23139038</v>
      </c>
      <c r="EG35" s="29">
        <f>'REG y VAL POE - AESR - ESR'!E2688</f>
        <v>0</v>
      </c>
      <c r="EH35" s="28">
        <f>'REG y VAL POE - AESR - ESR'!F2688</f>
        <v>0</v>
      </c>
      <c r="EI35" s="31">
        <f>'REG y VAL POE - AESR - ESR'!G2688</f>
        <v>0</v>
      </c>
      <c r="EJ35" s="31">
        <f>'REG y VAL POE - AESR - ESR'!H2688</f>
        <v>0</v>
      </c>
      <c r="EK35" s="29">
        <f>'REG y VAL POE - AESR - ESR'!I2688</f>
        <v>0</v>
      </c>
      <c r="EL35" s="29">
        <f>'REG y VAL POE - AESR - ESR'!J2688</f>
        <v>0</v>
      </c>
      <c r="EM35" s="29">
        <f>'REG y VAL POE - AESR - ESR'!K2688</f>
        <v>0</v>
      </c>
      <c r="EN35" s="29">
        <f>'REG y VAL POE - AESR - ESR'!L2688</f>
        <v>0</v>
      </c>
      <c r="EO35" s="29">
        <f>'REG y VAL POE - AESR - ESR'!M2688</f>
        <v>0</v>
      </c>
      <c r="EP35" s="388">
        <f>'REG y VAL POE - AESR - ESR'!N2688</f>
        <v>0</v>
      </c>
      <c r="EQ35" s="29">
        <f>'REG y VAL POE - AESR - ESR'!O2688</f>
        <v>0</v>
      </c>
      <c r="ER35" s="29">
        <f>'REG y VAL POE - AESR - ESR'!P2688</f>
        <v>0</v>
      </c>
      <c r="ES35" s="29">
        <f>'REG y VAL POE - AESR - ESR'!Q2688</f>
        <v>0</v>
      </c>
      <c r="ET35" s="29">
        <f>'REG y VAL POE - AESR - ESR'!R2688</f>
        <v>0</v>
      </c>
      <c r="EU35" s="29">
        <f>'REG y VAL POE - AESR - ESR'!S2688</f>
        <v>0</v>
      </c>
      <c r="EV35" s="29">
        <f>'REG y VAL POE - AESR - ESR'!T2688</f>
        <v>0</v>
      </c>
      <c r="EW35" s="29">
        <f>'REG y VAL POE - AESR - ESR'!U2688</f>
        <v>0</v>
      </c>
      <c r="EX35" s="29">
        <f>'REG y VAL POE - AESR - ESR'!V2688</f>
        <v>0</v>
      </c>
      <c r="EY35" s="29">
        <f>'REG y VAL POE - AESR - ESR'!W2688</f>
        <v>0</v>
      </c>
      <c r="EZ35" s="29">
        <f>'REG y VAL POE - AESR - ESR'!X2688</f>
        <v>0</v>
      </c>
      <c r="FA35" s="29">
        <f>'REG y VAL POE - AESR - ESR'!Y2688</f>
        <v>0</v>
      </c>
      <c r="FB35" s="29">
        <f>'REG y VAL POE - AESR - ESR'!Z2688</f>
        <v>0</v>
      </c>
      <c r="FC35" s="29">
        <f>'REG y VAL POE - AESR - ESR'!AA2688</f>
        <v>0</v>
      </c>
      <c r="FD35" s="29">
        <f>'REG y VAL POE - AESR - ESR'!AB2688</f>
        <v>0</v>
      </c>
      <c r="FE35" s="29">
        <f>'REG y VAL POE - AESR - ESR'!AC2688</f>
        <v>0</v>
      </c>
      <c r="FF35" s="29">
        <f>'REG y VAL POE - AESR - ESR'!AD2688</f>
        <v>0</v>
      </c>
      <c r="FG35" s="29">
        <f>'REG y VAL POE - AESR - ESR'!AE2688</f>
        <v>0</v>
      </c>
      <c r="FH35" s="29">
        <f>'REG y VAL POE - AESR - ESR'!AF2688</f>
        <v>0</v>
      </c>
      <c r="FI35" s="29">
        <f>'REG y VAL POE - AESR - ESR'!AG2688</f>
        <v>0</v>
      </c>
      <c r="FJ35" s="29">
        <f>'REG y VAL POE - AESR - ESR'!AH2688</f>
        <v>0</v>
      </c>
      <c r="FK35" s="29">
        <f>'REG y VAL POE - AESR - ESR'!AI2688</f>
        <v>0</v>
      </c>
      <c r="FL35" s="29">
        <f>'REG y VAL POE - AESR - ESR'!AJ2688</f>
        <v>0</v>
      </c>
      <c r="FM35" s="29">
        <f>'REG y VAL POE - AESR - ESR'!AK2688</f>
        <v>0</v>
      </c>
      <c r="FN35" s="29">
        <f>'REG y VAL POE - AESR - ESR'!AL2688</f>
        <v>0</v>
      </c>
      <c r="FO35" s="29">
        <f>'REG y VAL POE - AESR - ESR'!AM2688</f>
        <v>0</v>
      </c>
      <c r="FP35" s="29">
        <f>'REG y VAL POE - AESR - ESR'!AN2688</f>
        <v>0</v>
      </c>
      <c r="FQ35" s="29">
        <f>'REG y VAL POE - AESR - ESR'!AO2688</f>
        <v>0</v>
      </c>
      <c r="FR35" s="29">
        <f>'REG y VAL POE - AESR - ESR'!AP2688</f>
        <v>0</v>
      </c>
      <c r="FS35" s="29">
        <f>'REG y VAL POE - AESR - ESR'!AQ2688</f>
        <v>0</v>
      </c>
      <c r="FT35" s="29">
        <f>'REG y VAL POE - AESR - ESR'!AR2688</f>
        <v>0</v>
      </c>
      <c r="FU35" s="29">
        <f>'REG y VAL POE - AESR - ESR'!AS2688</f>
        <v>0</v>
      </c>
      <c r="FV35" s="30" t="str">
        <f>'REG y VAL POE - AESR - ESR'!B2689</f>
        <v>Cid Vargas Jesus Adrian</v>
      </c>
      <c r="FW35" s="29" t="str">
        <f>'REG y VAL POE - AESR - ESR'!C2689</f>
        <v>POE</v>
      </c>
      <c r="FX35" s="28">
        <f>'REG y VAL POE - AESR - ESR'!D2689</f>
        <v>23163285</v>
      </c>
      <c r="FY35" s="29" t="str">
        <f>'REG y VAL POE - AESR - ESR'!E2689</f>
        <v xml:space="preserve">Cid Vargas Jesus Adrian </v>
      </c>
      <c r="FZ35" s="28">
        <f>'REG y VAL POE - AESR - ESR'!F2689</f>
        <v>23163285</v>
      </c>
      <c r="GA35" s="31">
        <f>'REG y VAL POE - AESR - ESR'!G2689</f>
        <v>45267</v>
      </c>
      <c r="GB35" s="31">
        <f>'REG y VAL POE - AESR - ESR'!H2689</f>
        <v>45632</v>
      </c>
      <c r="GC35" s="29" t="str">
        <f>'REG y VAL POE - AESR - ESR'!I2689</f>
        <v>SI</v>
      </c>
      <c r="GD35" s="29" t="str">
        <f>'REG y VAL POE - AESR - ESR'!J2689</f>
        <v>Vigente</v>
      </c>
      <c r="GE35" s="29" t="str">
        <f>'REG y VAL POE - AESR - ESR'!K2689</f>
        <v>SI</v>
      </c>
      <c r="GF35" s="29" t="str">
        <f>'REG y VAL POE - AESR - ESR'!L2689</f>
        <v>Vigente</v>
      </c>
      <c r="GG35" s="29" t="str">
        <f>'REG y VAL POE - AESR - ESR'!M2689</f>
        <v>NO</v>
      </c>
      <c r="GH35" s="388" t="str">
        <f>'REG y VAL POE - AESR - ESR'!N2689</f>
        <v>SIN FIRMA DE RL</v>
      </c>
      <c r="GI35" s="29" t="str">
        <f>'REG y VAL POE - AESR - ESR'!O2689</f>
        <v>CERTIFICADO</v>
      </c>
      <c r="GJ35" s="29">
        <f>'REG y VAL POE - AESR - ESR'!P2689</f>
        <v>0</v>
      </c>
      <c r="GK35" s="29" t="str">
        <f>'REG y VAL POE - AESR - ESR'!Q2689</f>
        <v>SI</v>
      </c>
      <c r="GL35" s="29" t="str">
        <f>'REG y VAL POE - AESR - ESR'!R2689</f>
        <v>SI</v>
      </c>
      <c r="GM35" s="29" t="str">
        <f>'REG y VAL POE - AESR - ESR'!S2689</f>
        <v>SI</v>
      </c>
      <c r="GN35" s="29" t="str">
        <f>'REG y VAL POE - AESR - ESR'!T2689</f>
        <v>NO</v>
      </c>
      <c r="GO35" s="29" t="str">
        <f>'REG y VAL POE - AESR - ESR'!U2689</f>
        <v>NO</v>
      </c>
      <c r="GP35" s="29" t="str">
        <f>'REG y VAL POE - AESR - ESR'!V2689</f>
        <v>SI</v>
      </c>
      <c r="GQ35" s="29">
        <f>'REG y VAL POE - AESR - ESR'!W2689</f>
        <v>0</v>
      </c>
      <c r="GR35" s="29">
        <f>'REG y VAL POE - AESR - ESR'!X2689</f>
        <v>0</v>
      </c>
      <c r="GS35" s="29">
        <f>'REG y VAL POE - AESR - ESR'!Y2689</f>
        <v>0</v>
      </c>
      <c r="GT35" s="29" t="str">
        <f>'REG y VAL POE - AESR - ESR'!Z2689</f>
        <v>SI</v>
      </c>
      <c r="GU35" s="29">
        <f>'REG y VAL POE - AESR - ESR'!AA2689</f>
        <v>0</v>
      </c>
      <c r="GV35" s="29">
        <f>'REG y VAL POE - AESR - ESR'!AB2689</f>
        <v>0</v>
      </c>
      <c r="GW35" s="29">
        <f>'REG y VAL POE - AESR - ESR'!AC2689</f>
        <v>0</v>
      </c>
      <c r="GX35" s="29">
        <f>'REG y VAL POE - AESR - ESR'!AD2689</f>
        <v>0</v>
      </c>
      <c r="GY35" s="29">
        <f>'REG y VAL POE - AESR - ESR'!AE2689</f>
        <v>0</v>
      </c>
      <c r="GZ35" s="29" t="str">
        <f>'REG y VAL POE - AESR - ESR'!AF2689</f>
        <v>SI</v>
      </c>
      <c r="HA35" s="29">
        <f>'REG y VAL POE - AESR - ESR'!AG2689</f>
        <v>0</v>
      </c>
      <c r="HB35" s="29">
        <f>'REG y VAL POE - AESR - ESR'!AH2689</f>
        <v>0</v>
      </c>
      <c r="HC35" s="29">
        <f>'REG y VAL POE - AESR - ESR'!AI2689</f>
        <v>0</v>
      </c>
      <c r="HD35" s="29">
        <f>'REG y VAL POE - AESR - ESR'!AJ2689</f>
        <v>0</v>
      </c>
      <c r="HE35" s="29">
        <f>'REG y VAL POE - AESR - ESR'!AK2689</f>
        <v>0</v>
      </c>
      <c r="HF35" s="29" t="str">
        <f>'REG y VAL POE - AESR - ESR'!AL2689</f>
        <v>SI</v>
      </c>
      <c r="HG35" s="29" t="str">
        <f>'REG y VAL POE - AESR - ESR'!AM2689</f>
        <v>SI</v>
      </c>
      <c r="HH35" s="29">
        <f>'REG y VAL POE - AESR - ESR'!AN2689</f>
        <v>0</v>
      </c>
      <c r="HI35" s="29">
        <f>'REG y VAL POE - AESR - ESR'!AO2689</f>
        <v>0</v>
      </c>
      <c r="HJ35" s="29">
        <f>'REG y VAL POE - AESR - ESR'!AP2689</f>
        <v>0</v>
      </c>
      <c r="HK35" s="29">
        <f>'REG y VAL POE - AESR - ESR'!AQ2689</f>
        <v>0</v>
      </c>
      <c r="HL35" s="29">
        <f>'REG y VAL POE - AESR - ESR'!AR2689</f>
        <v>0</v>
      </c>
      <c r="HM35" s="29">
        <f>'REG y VAL POE - AESR - ESR'!AS2689</f>
        <v>0</v>
      </c>
      <c r="HN35" s="30" t="str">
        <f>'REG y VAL POE - AESR - ESR'!B2690</f>
        <v>De La O Sandoval Maria Isabel</v>
      </c>
      <c r="HO35" s="29" t="str">
        <f>'REG y VAL POE - AESR - ESR'!C2690</f>
        <v>POE</v>
      </c>
      <c r="HP35" s="28">
        <f>'REG y VAL POE - AESR - ESR'!D2690</f>
        <v>23143235</v>
      </c>
      <c r="HQ35" s="29" t="str">
        <f>'REG y VAL POE - AESR - ESR'!E2690</f>
        <v xml:space="preserve">De La O Sandoval Maria Isabel </v>
      </c>
      <c r="HR35" s="28">
        <f>'REG y VAL POE - AESR - ESR'!F2690</f>
        <v>23143235</v>
      </c>
      <c r="HS35" s="31">
        <f>'REG y VAL POE - AESR - ESR'!G2690</f>
        <v>45271</v>
      </c>
      <c r="HT35" s="31">
        <f>'REG y VAL POE - AESR - ESR'!H2690</f>
        <v>45636</v>
      </c>
      <c r="HU35" s="29" t="str">
        <f>'REG y VAL POE - AESR - ESR'!I2690</f>
        <v>SI</v>
      </c>
      <c r="HV35" s="29" t="str">
        <f>'REG y VAL POE - AESR - ESR'!J2690</f>
        <v>Vigente</v>
      </c>
      <c r="HW35" s="29" t="str">
        <f>'REG y VAL POE - AESR - ESR'!K2690</f>
        <v>SI</v>
      </c>
      <c r="HX35" s="29" t="str">
        <f>'REG y VAL POE - AESR - ESR'!L2690</f>
        <v>Vigente</v>
      </c>
      <c r="HY35" s="29" t="str">
        <f>'REG y VAL POE - AESR - ESR'!M2690</f>
        <v>NO</v>
      </c>
      <c r="HZ35" s="388" t="str">
        <f>'REG y VAL POE - AESR - ESR'!N2690</f>
        <v>falta firma RL</v>
      </c>
      <c r="IA35" s="29">
        <f>'REG y VAL POE - AESR - ESR'!O2690</f>
        <v>0</v>
      </c>
      <c r="IB35" s="29">
        <f>'REG y VAL POE - AESR - ESR'!P2690</f>
        <v>0</v>
      </c>
      <c r="IC35" s="29" t="str">
        <f>'REG y VAL POE - AESR - ESR'!Q2690</f>
        <v>SI</v>
      </c>
      <c r="ID35" s="29" t="str">
        <f>'REG y VAL POE - AESR - ESR'!R2690</f>
        <v>SI</v>
      </c>
      <c r="IE35" s="29" t="str">
        <f>'REG y VAL POE - AESR - ESR'!S2690</f>
        <v>SI</v>
      </c>
      <c r="IF35" s="29" t="str">
        <f>'REG y VAL POE - AESR - ESR'!T2690</f>
        <v>NO</v>
      </c>
      <c r="IG35" s="29" t="str">
        <f>'REG y VAL POE - AESR - ESR'!U2690</f>
        <v>NO</v>
      </c>
      <c r="IH35" s="29" t="str">
        <f>'REG y VAL POE - AESR - ESR'!V2690</f>
        <v>SI</v>
      </c>
      <c r="II35" s="29">
        <f>'REG y VAL POE - AESR - ESR'!W2690</f>
        <v>0</v>
      </c>
      <c r="IJ35" s="29">
        <f>'REG y VAL POE - AESR - ESR'!X2690</f>
        <v>0</v>
      </c>
      <c r="IK35" s="29">
        <f>'REG y VAL POE - AESR - ESR'!Y2690</f>
        <v>0</v>
      </c>
      <c r="IL35" s="29" t="str">
        <f>'REG y VAL POE - AESR - ESR'!Z2690</f>
        <v>SI</v>
      </c>
      <c r="IM35" s="29">
        <f>'REG y VAL POE - AESR - ESR'!AA2690</f>
        <v>0</v>
      </c>
      <c r="IN35" s="29">
        <f>'REG y VAL POE - AESR - ESR'!AB2690</f>
        <v>0</v>
      </c>
      <c r="IO35" s="29">
        <f>'REG y VAL POE - AESR - ESR'!AC2690</f>
        <v>0</v>
      </c>
      <c r="IP35" s="29">
        <f>'REG y VAL POE - AESR - ESR'!AD2690</f>
        <v>0</v>
      </c>
      <c r="IQ35" s="29">
        <f>'REG y VAL POE - AESR - ESR'!AE2690</f>
        <v>0</v>
      </c>
      <c r="IR35" s="29" t="str">
        <f>'REG y VAL POE - AESR - ESR'!AF2690</f>
        <v>SI</v>
      </c>
      <c r="IS35" s="29">
        <f>'REG y VAL POE - AESR - ESR'!AG2690</f>
        <v>0</v>
      </c>
      <c r="IT35" s="29">
        <f>'REG y VAL POE - AESR - ESR'!AH2690</f>
        <v>0</v>
      </c>
      <c r="IU35" s="29">
        <f>'REG y VAL POE - AESR - ESR'!AI2690</f>
        <v>0</v>
      </c>
      <c r="IV35" s="29">
        <f>'REG y VAL POE - AESR - ESR'!AJ2690</f>
        <v>0</v>
      </c>
      <c r="IW35" s="29">
        <f>'REG y VAL POE - AESR - ESR'!AK2690</f>
        <v>0</v>
      </c>
      <c r="IX35" s="29" t="str">
        <f>'REG y VAL POE - AESR - ESR'!AL2690</f>
        <v>SI</v>
      </c>
      <c r="IY35" s="29" t="str">
        <f>'REG y VAL POE - AESR - ESR'!AM2690</f>
        <v>SI</v>
      </c>
      <c r="IZ35" s="29">
        <f>'REG y VAL POE - AESR - ESR'!AN2690</f>
        <v>0</v>
      </c>
      <c r="JA35" s="29">
        <f>'REG y VAL POE - AESR - ESR'!AO2690</f>
        <v>0</v>
      </c>
      <c r="JB35" s="29">
        <f>'REG y VAL POE - AESR - ESR'!AP2690</f>
        <v>0</v>
      </c>
      <c r="JC35" s="29">
        <f>'REG y VAL POE - AESR - ESR'!AQ2690</f>
        <v>0</v>
      </c>
      <c r="JD35" s="29">
        <f>'REG y VAL POE - AESR - ESR'!AR2690</f>
        <v>0</v>
      </c>
      <c r="JE35" s="29">
        <f>'REG y VAL POE - AESR - ESR'!AS2690</f>
        <v>0</v>
      </c>
      <c r="JF35" s="30" t="str">
        <f>'REG y VAL POE - AESR - ESR'!B2691</f>
        <v xml:space="preserve">Diaz Baruch Abner Merari </v>
      </c>
      <c r="JG35" s="29">
        <f>'REG y VAL POE - AESR - ESR'!C2691</f>
        <v>0</v>
      </c>
      <c r="JH35" s="28">
        <f>'REG y VAL POE - AESR - ESR'!D2691</f>
        <v>23143942</v>
      </c>
      <c r="JI35" s="29">
        <f>'REG y VAL POE - AESR - ESR'!E2691</f>
        <v>0</v>
      </c>
      <c r="JJ35" s="28">
        <f>'REG y VAL POE - AESR - ESR'!F2691</f>
        <v>0</v>
      </c>
      <c r="JK35" s="31">
        <f>'REG y VAL POE - AESR - ESR'!G2691</f>
        <v>0</v>
      </c>
      <c r="JL35" s="31">
        <f>'REG y VAL POE - AESR - ESR'!H2691</f>
        <v>0</v>
      </c>
      <c r="JM35" s="29">
        <f>'REG y VAL POE - AESR - ESR'!I2691</f>
        <v>0</v>
      </c>
      <c r="JN35" s="29">
        <f>'REG y VAL POE - AESR - ESR'!J2691</f>
        <v>0</v>
      </c>
      <c r="JO35" s="29">
        <f>'REG y VAL POE - AESR - ESR'!K2691</f>
        <v>0</v>
      </c>
      <c r="JP35" s="29">
        <f>'REG y VAL POE - AESR - ESR'!L2691</f>
        <v>0</v>
      </c>
      <c r="JQ35" s="29">
        <f>'REG y VAL POE - AESR - ESR'!M2691</f>
        <v>0</v>
      </c>
      <c r="JR35" s="388">
        <f>'REG y VAL POE - AESR - ESR'!N2691</f>
        <v>0</v>
      </c>
      <c r="JS35" s="29">
        <f>'REG y VAL POE - AESR - ESR'!O2691</f>
        <v>0</v>
      </c>
      <c r="JT35" s="29">
        <f>'REG y VAL POE - AESR - ESR'!P2691</f>
        <v>0</v>
      </c>
      <c r="JU35" s="29">
        <f>'REG y VAL POE - AESR - ESR'!Q2691</f>
        <v>0</v>
      </c>
      <c r="JV35" s="29">
        <f>'REG y VAL POE - AESR - ESR'!R2691</f>
        <v>0</v>
      </c>
      <c r="JW35" s="29">
        <f>'REG y VAL POE - AESR - ESR'!S2691</f>
        <v>0</v>
      </c>
      <c r="JX35" s="29">
        <f>'REG y VAL POE - AESR - ESR'!T2691</f>
        <v>0</v>
      </c>
      <c r="JY35" s="29">
        <f>'REG y VAL POE - AESR - ESR'!U2691</f>
        <v>0</v>
      </c>
      <c r="JZ35" s="29">
        <f>'REG y VAL POE - AESR - ESR'!V2691</f>
        <v>0</v>
      </c>
      <c r="KA35" s="29">
        <f>'REG y VAL POE - AESR - ESR'!W2691</f>
        <v>0</v>
      </c>
      <c r="KB35" s="29">
        <f>'REG y VAL POE - AESR - ESR'!X2691</f>
        <v>0</v>
      </c>
      <c r="KC35" s="29">
        <f>'REG y VAL POE - AESR - ESR'!Y2691</f>
        <v>0</v>
      </c>
      <c r="KD35" s="29">
        <f>'REG y VAL POE - AESR - ESR'!Z2691</f>
        <v>0</v>
      </c>
      <c r="KE35" s="29">
        <f>'REG y VAL POE - AESR - ESR'!AA2691</f>
        <v>0</v>
      </c>
      <c r="KF35" s="29">
        <f>'REG y VAL POE - AESR - ESR'!AB2691</f>
        <v>0</v>
      </c>
      <c r="KG35" s="29">
        <f>'REG y VAL POE - AESR - ESR'!AC2691</f>
        <v>0</v>
      </c>
      <c r="KH35" s="29">
        <f>'REG y VAL POE - AESR - ESR'!AD2691</f>
        <v>0</v>
      </c>
      <c r="KI35" s="29">
        <f>'REG y VAL POE - AESR - ESR'!AE2691</f>
        <v>0</v>
      </c>
      <c r="KJ35" s="29">
        <f>'REG y VAL POE - AESR - ESR'!AF2691</f>
        <v>0</v>
      </c>
      <c r="KK35" s="29">
        <f>'REG y VAL POE - AESR - ESR'!AG2691</f>
        <v>0</v>
      </c>
      <c r="KL35" s="29">
        <f>'REG y VAL POE - AESR - ESR'!AH2691</f>
        <v>0</v>
      </c>
      <c r="KM35" s="29">
        <f>'REG y VAL POE - AESR - ESR'!AI2691</f>
        <v>0</v>
      </c>
      <c r="KN35" s="29">
        <f>'REG y VAL POE - AESR - ESR'!AJ2691</f>
        <v>0</v>
      </c>
      <c r="KO35" s="29">
        <f>'REG y VAL POE - AESR - ESR'!AK2691</f>
        <v>0</v>
      </c>
      <c r="KP35" s="29">
        <f>'REG y VAL POE - AESR - ESR'!AL2691</f>
        <v>0</v>
      </c>
      <c r="KQ35" s="29">
        <f>'REG y VAL POE - AESR - ESR'!AM2691</f>
        <v>0</v>
      </c>
      <c r="KR35" s="29">
        <f>'REG y VAL POE - AESR - ESR'!AN2691</f>
        <v>0</v>
      </c>
      <c r="KS35" s="29">
        <f>'REG y VAL POE - AESR - ESR'!AO2691</f>
        <v>0</v>
      </c>
      <c r="KT35" s="29">
        <f>'REG y VAL POE - AESR - ESR'!AP2691</f>
        <v>0</v>
      </c>
      <c r="KU35" s="29">
        <f>'REG y VAL POE - AESR - ESR'!AQ2691</f>
        <v>0</v>
      </c>
      <c r="KV35" s="29">
        <f>'REG y VAL POE - AESR - ESR'!AR2691</f>
        <v>0</v>
      </c>
      <c r="KW35" s="29">
        <f>'REG y VAL POE - AESR - ESR'!AS2691</f>
        <v>0</v>
      </c>
      <c r="KX35" s="30" t="str">
        <f>'REG y VAL POE - AESR - ESR'!B2692</f>
        <v xml:space="preserve">Diaz Sanchez Jorge </v>
      </c>
      <c r="KY35" s="29">
        <f>'REG y VAL POE - AESR - ESR'!C2692</f>
        <v>0</v>
      </c>
      <c r="KZ35" s="28">
        <f>'REG y VAL POE - AESR - ESR'!D2692</f>
        <v>23182509</v>
      </c>
      <c r="LA35" s="29">
        <f>'REG y VAL POE - AESR - ESR'!E2692</f>
        <v>0</v>
      </c>
      <c r="LB35" s="28">
        <f>'REG y VAL POE - AESR - ESR'!F2692</f>
        <v>0</v>
      </c>
      <c r="LC35" s="31">
        <f>'REG y VAL POE - AESR - ESR'!G2692</f>
        <v>0</v>
      </c>
      <c r="LD35" s="31">
        <f>'REG y VAL POE - AESR - ESR'!H2692</f>
        <v>0</v>
      </c>
      <c r="LE35" s="29">
        <f>'REG y VAL POE - AESR - ESR'!I2692</f>
        <v>0</v>
      </c>
      <c r="LF35" s="29">
        <f>'REG y VAL POE - AESR - ESR'!J2692</f>
        <v>0</v>
      </c>
      <c r="LG35" s="29">
        <f>'REG y VAL POE - AESR - ESR'!K2692</f>
        <v>0</v>
      </c>
      <c r="LH35" s="29">
        <f>'REG y VAL POE - AESR - ESR'!L2692</f>
        <v>0</v>
      </c>
      <c r="LI35" s="29">
        <f>'REG y VAL POE - AESR - ESR'!M2692</f>
        <v>0</v>
      </c>
      <c r="LJ35" s="388">
        <f>'REG y VAL POE - AESR - ESR'!N2692</f>
        <v>0</v>
      </c>
      <c r="LK35" s="29">
        <f>'REG y VAL POE - AESR - ESR'!O2692</f>
        <v>0</v>
      </c>
      <c r="LL35" s="29">
        <f>'REG y VAL POE - AESR - ESR'!P2692</f>
        <v>0</v>
      </c>
      <c r="LM35" s="29">
        <f>'REG y VAL POE - AESR - ESR'!Q2692</f>
        <v>0</v>
      </c>
      <c r="LN35" s="29">
        <f>'REG y VAL POE - AESR - ESR'!R2692</f>
        <v>0</v>
      </c>
      <c r="LO35" s="29">
        <f>'REG y VAL POE - AESR - ESR'!S2692</f>
        <v>0</v>
      </c>
      <c r="LP35" s="29">
        <f>'REG y VAL POE - AESR - ESR'!T2692</f>
        <v>0</v>
      </c>
      <c r="LQ35" s="29">
        <f>'REG y VAL POE - AESR - ESR'!U2692</f>
        <v>0</v>
      </c>
      <c r="LR35" s="29">
        <f>'REG y VAL POE - AESR - ESR'!V2692</f>
        <v>0</v>
      </c>
      <c r="LS35" s="29">
        <f>'REG y VAL POE - AESR - ESR'!W2692</f>
        <v>0</v>
      </c>
      <c r="LT35" s="29">
        <f>'REG y VAL POE - AESR - ESR'!X2692</f>
        <v>0</v>
      </c>
      <c r="LU35" s="29">
        <f>'REG y VAL POE - AESR - ESR'!Y2692</f>
        <v>0</v>
      </c>
      <c r="LV35" s="29">
        <f>'REG y VAL POE - AESR - ESR'!Z2692</f>
        <v>0</v>
      </c>
      <c r="LW35" s="29">
        <f>'REG y VAL POE - AESR - ESR'!AA2692</f>
        <v>0</v>
      </c>
      <c r="LX35" s="29">
        <f>'REG y VAL POE - AESR - ESR'!AB2692</f>
        <v>0</v>
      </c>
      <c r="LY35" s="29">
        <f>'REG y VAL POE - AESR - ESR'!AC2692</f>
        <v>0</v>
      </c>
      <c r="LZ35" s="29">
        <f>'REG y VAL POE - AESR - ESR'!AD2692</f>
        <v>0</v>
      </c>
      <c r="MA35" s="29">
        <f>'REG y VAL POE - AESR - ESR'!AE2692</f>
        <v>0</v>
      </c>
      <c r="MB35" s="29">
        <f>'REG y VAL POE - AESR - ESR'!AF2692</f>
        <v>0</v>
      </c>
      <c r="MC35" s="29">
        <f>'REG y VAL POE - AESR - ESR'!AG2692</f>
        <v>0</v>
      </c>
      <c r="MD35" s="29">
        <f>'REG y VAL POE - AESR - ESR'!AH2692</f>
        <v>0</v>
      </c>
      <c r="ME35" s="29">
        <f>'REG y VAL POE - AESR - ESR'!AI2692</f>
        <v>0</v>
      </c>
      <c r="MF35" s="29">
        <f>'REG y VAL POE - AESR - ESR'!AJ2692</f>
        <v>0</v>
      </c>
      <c r="MG35" s="29">
        <f>'REG y VAL POE - AESR - ESR'!AK2692</f>
        <v>0</v>
      </c>
      <c r="MH35" s="29">
        <f>'REG y VAL POE - AESR - ESR'!AL2692</f>
        <v>0</v>
      </c>
      <c r="MI35" s="29">
        <f>'REG y VAL POE - AESR - ESR'!AM2692</f>
        <v>0</v>
      </c>
      <c r="MJ35" s="29">
        <f>'REG y VAL POE - AESR - ESR'!AN2692</f>
        <v>0</v>
      </c>
      <c r="MK35" s="29">
        <f>'REG y VAL POE - AESR - ESR'!AO2692</f>
        <v>0</v>
      </c>
      <c r="ML35" s="29">
        <f>'REG y VAL POE - AESR - ESR'!AP2692</f>
        <v>0</v>
      </c>
      <c r="MM35" s="29">
        <f>'REG y VAL POE - AESR - ESR'!AQ2692</f>
        <v>0</v>
      </c>
      <c r="MN35" s="29">
        <f>'REG y VAL POE - AESR - ESR'!AR2692</f>
        <v>0</v>
      </c>
      <c r="MO35" s="29">
        <f>'REG y VAL POE - AESR - ESR'!AS2692</f>
        <v>0</v>
      </c>
      <c r="MP35" s="30" t="str">
        <f>'REG y VAL POE - AESR - ESR'!B2693</f>
        <v xml:space="preserve">Eb Varguez Emir Stifen </v>
      </c>
      <c r="MQ35" s="29" t="str">
        <f>'REG y VAL POE - AESR - ESR'!C2693</f>
        <v>Sin Registro</v>
      </c>
      <c r="MR35" s="28">
        <f>'REG y VAL POE - AESR - ESR'!D2693</f>
        <v>23185649</v>
      </c>
      <c r="MS35" s="29" t="str">
        <f>'REG y VAL POE - AESR - ESR'!E2693</f>
        <v xml:space="preserve">Eb Varguez Emir Stifen </v>
      </c>
      <c r="MT35" s="28">
        <f>'REG y VAL POE - AESR - ESR'!F2693</f>
        <v>23185649</v>
      </c>
      <c r="MU35" s="31">
        <f>'REG y VAL POE - AESR - ESR'!G2693</f>
        <v>0</v>
      </c>
      <c r="MV35" s="31">
        <f>'REG y VAL POE - AESR - ESR'!H2693</f>
        <v>0</v>
      </c>
      <c r="MW35" s="29">
        <f>'REG y VAL POE - AESR - ESR'!I2693</f>
        <v>0</v>
      </c>
      <c r="MX35" s="29">
        <f>'REG y VAL POE - AESR - ESR'!J2693</f>
        <v>0</v>
      </c>
      <c r="MY35" s="29">
        <f>'REG y VAL POE - AESR - ESR'!K2693</f>
        <v>0</v>
      </c>
      <c r="MZ35" s="29">
        <f>'REG y VAL POE - AESR - ESR'!L2693</f>
        <v>0</v>
      </c>
      <c r="NA35" s="29">
        <f>'REG y VAL POE - AESR - ESR'!M2693</f>
        <v>0</v>
      </c>
      <c r="NB35" s="388">
        <f>'REG y VAL POE - AESR - ESR'!N2693</f>
        <v>0</v>
      </c>
      <c r="NC35" s="29">
        <f>'REG y VAL POE - AESR - ESR'!O2693</f>
        <v>0</v>
      </c>
      <c r="ND35" s="29">
        <f>'REG y VAL POE - AESR - ESR'!P2693</f>
        <v>0</v>
      </c>
      <c r="NE35" s="29">
        <f>'REG y VAL POE - AESR - ESR'!Q2693</f>
        <v>0</v>
      </c>
      <c r="NF35" s="29">
        <f>'REG y VAL POE - AESR - ESR'!R2693</f>
        <v>0</v>
      </c>
      <c r="NG35" s="29">
        <f>'REG y VAL POE - AESR - ESR'!S2693</f>
        <v>0</v>
      </c>
      <c r="NH35" s="29">
        <f>'REG y VAL POE - AESR - ESR'!T2693</f>
        <v>0</v>
      </c>
      <c r="NI35" s="29">
        <f>'REG y VAL POE - AESR - ESR'!U2693</f>
        <v>0</v>
      </c>
      <c r="NJ35" s="29">
        <f>'REG y VAL POE - AESR - ESR'!V2693</f>
        <v>0</v>
      </c>
      <c r="NK35" s="29">
        <f>'REG y VAL POE - AESR - ESR'!W2693</f>
        <v>0</v>
      </c>
      <c r="NL35" s="29">
        <f>'REG y VAL POE - AESR - ESR'!X2693</f>
        <v>0</v>
      </c>
      <c r="NM35" s="29">
        <f>'REG y VAL POE - AESR - ESR'!Y2693</f>
        <v>0</v>
      </c>
      <c r="NN35" s="29">
        <f>'REG y VAL POE - AESR - ESR'!Z2693</f>
        <v>0</v>
      </c>
      <c r="NO35" s="29">
        <f>'REG y VAL POE - AESR - ESR'!AA2693</f>
        <v>0</v>
      </c>
      <c r="NP35" s="29">
        <f>'REG y VAL POE - AESR - ESR'!AB2693</f>
        <v>0</v>
      </c>
      <c r="NQ35" s="29">
        <f>'REG y VAL POE - AESR - ESR'!AC2693</f>
        <v>0</v>
      </c>
      <c r="NR35" s="29">
        <f>'REG y VAL POE - AESR - ESR'!AD2693</f>
        <v>0</v>
      </c>
      <c r="NS35" s="29">
        <f>'REG y VAL POE - AESR - ESR'!AE2693</f>
        <v>0</v>
      </c>
      <c r="NT35" s="29">
        <f>'REG y VAL POE - AESR - ESR'!AF2693</f>
        <v>0</v>
      </c>
      <c r="NU35" s="29">
        <f>'REG y VAL POE - AESR - ESR'!AG2693</f>
        <v>0</v>
      </c>
      <c r="NV35" s="29">
        <f>'REG y VAL POE - AESR - ESR'!AH2693</f>
        <v>0</v>
      </c>
      <c r="NW35" s="29">
        <f>'REG y VAL POE - AESR - ESR'!AI2693</f>
        <v>0</v>
      </c>
      <c r="NX35" s="29">
        <f>'REG y VAL POE - AESR - ESR'!AJ2693</f>
        <v>0</v>
      </c>
      <c r="NY35" s="29">
        <f>'REG y VAL POE - AESR - ESR'!AK2693</f>
        <v>0</v>
      </c>
      <c r="NZ35" s="29">
        <f>'REG y VAL POE - AESR - ESR'!AL2693</f>
        <v>0</v>
      </c>
      <c r="OA35" s="29">
        <f>'REG y VAL POE - AESR - ESR'!AM2693</f>
        <v>0</v>
      </c>
      <c r="OB35" s="29">
        <f>'REG y VAL POE - AESR - ESR'!AN2693</f>
        <v>0</v>
      </c>
      <c r="OC35" s="29">
        <f>'REG y VAL POE - AESR - ESR'!AO2693</f>
        <v>0</v>
      </c>
      <c r="OD35" s="29">
        <f>'REG y VAL POE - AESR - ESR'!AP2693</f>
        <v>0</v>
      </c>
      <c r="OE35" s="29">
        <f>'REG y VAL POE - AESR - ESR'!AQ2693</f>
        <v>0</v>
      </c>
      <c r="OF35" s="29">
        <f>'REG y VAL POE - AESR - ESR'!AR2693</f>
        <v>0</v>
      </c>
      <c r="OG35" s="29">
        <f>'REG y VAL POE - AESR - ESR'!AS2693</f>
        <v>0</v>
      </c>
      <c r="OH35" s="30" t="str">
        <f>'REG y VAL POE - AESR - ESR'!B2694</f>
        <v>Gomez Olvera Yessica Marcela</v>
      </c>
      <c r="OI35" s="29" t="str">
        <f>'REG y VAL POE - AESR - ESR'!C2694</f>
        <v>POE</v>
      </c>
      <c r="OJ35" s="28">
        <f>'REG y VAL POE - AESR - ESR'!D2694</f>
        <v>23105570</v>
      </c>
      <c r="OK35" s="29" t="str">
        <f>'REG y VAL POE - AESR - ESR'!E2694</f>
        <v xml:space="preserve">Gomez Olvera Yessica Marcela </v>
      </c>
      <c r="OL35" s="28">
        <f>'REG y VAL POE - AESR - ESR'!F2694</f>
        <v>23105570</v>
      </c>
      <c r="OM35" s="31" t="str">
        <f>'REG y VAL POE - AESR - ESR'!G2694</f>
        <v>SIN FECHA</v>
      </c>
      <c r="ON35" s="31" t="str">
        <f>'REG y VAL POE - AESR - ESR'!H2694</f>
        <v>SIN FECHA</v>
      </c>
      <c r="OO35" s="29" t="str">
        <f>'REG y VAL POE - AESR - ESR'!I2694</f>
        <v>SI</v>
      </c>
      <c r="OP35" s="29" t="str">
        <f>'REG y VAL POE - AESR - ESR'!J2694</f>
        <v>Vigente</v>
      </c>
      <c r="OQ35" s="29" t="str">
        <f>'REG y VAL POE - AESR - ESR'!K2694</f>
        <v>SI</v>
      </c>
      <c r="OR35" s="29" t="str">
        <f>'REG y VAL POE - AESR - ESR'!L2694</f>
        <v>Vigente</v>
      </c>
      <c r="OS35" s="29" t="str">
        <f>'REG y VAL POE - AESR - ESR'!M2694</f>
        <v>NO</v>
      </c>
      <c r="OT35" s="388" t="str">
        <f>'REG y VAL POE - AESR - ESR'!N2694</f>
        <v xml:space="preserve">SIN FIRMA DE RL-SIN FECHA </v>
      </c>
      <c r="OU35" s="29" t="str">
        <f>'REG y VAL POE - AESR - ESR'!O2694</f>
        <v>SI</v>
      </c>
      <c r="OV35" s="29">
        <f>'REG y VAL POE - AESR - ESR'!P2694</f>
        <v>0</v>
      </c>
      <c r="OW35" s="29" t="str">
        <f>'REG y VAL POE - AESR - ESR'!Q2694</f>
        <v>SI</v>
      </c>
      <c r="OX35" s="29" t="str">
        <f>'REG y VAL POE - AESR - ESR'!R2694</f>
        <v>NO</v>
      </c>
      <c r="OY35" s="29" t="str">
        <f>'REG y VAL POE - AESR - ESR'!S2694</f>
        <v>SI</v>
      </c>
      <c r="OZ35" s="29" t="str">
        <f>'REG y VAL POE - AESR - ESR'!T2694</f>
        <v>NO</v>
      </c>
      <c r="PA35" s="29" t="str">
        <f>'REG y VAL POE - AESR - ESR'!U2694</f>
        <v>NO</v>
      </c>
      <c r="PB35" s="29" t="str">
        <f>'REG y VAL POE - AESR - ESR'!V2694</f>
        <v>SI</v>
      </c>
      <c r="PC35" s="29">
        <f>'REG y VAL POE - AESR - ESR'!W2694</f>
        <v>0</v>
      </c>
      <c r="PD35" s="29">
        <f>'REG y VAL POE - AESR - ESR'!X2694</f>
        <v>0</v>
      </c>
      <c r="PE35" s="29">
        <f>'REG y VAL POE - AESR - ESR'!Y2694</f>
        <v>0</v>
      </c>
      <c r="PF35" s="29" t="str">
        <f>'REG y VAL POE - AESR - ESR'!Z2694</f>
        <v>SI</v>
      </c>
      <c r="PG35" s="29">
        <f>'REG y VAL POE - AESR - ESR'!AA2694</f>
        <v>0</v>
      </c>
      <c r="PH35" s="29">
        <f>'REG y VAL POE - AESR - ESR'!AB2694</f>
        <v>0</v>
      </c>
      <c r="PI35" s="29">
        <f>'REG y VAL POE - AESR - ESR'!AC2694</f>
        <v>0</v>
      </c>
      <c r="PJ35" s="29">
        <f>'REG y VAL POE - AESR - ESR'!AD2694</f>
        <v>0</v>
      </c>
      <c r="PK35" s="29">
        <f>'REG y VAL POE - AESR - ESR'!AE2694</f>
        <v>0</v>
      </c>
      <c r="PL35" s="29" t="str">
        <f>'REG y VAL POE - AESR - ESR'!AF2694</f>
        <v>SI</v>
      </c>
      <c r="PM35" s="29">
        <f>'REG y VAL POE - AESR - ESR'!AG2694</f>
        <v>0</v>
      </c>
      <c r="PN35" s="29">
        <f>'REG y VAL POE - AESR - ESR'!AH2694</f>
        <v>0</v>
      </c>
      <c r="PO35" s="29">
        <f>'REG y VAL POE - AESR - ESR'!AI2694</f>
        <v>0</v>
      </c>
      <c r="PP35" s="29">
        <f>'REG y VAL POE - AESR - ESR'!AJ2694</f>
        <v>0</v>
      </c>
      <c r="PQ35" s="29">
        <f>'REG y VAL POE - AESR - ESR'!AK2694</f>
        <v>0</v>
      </c>
      <c r="PR35" s="29" t="str">
        <f>'REG y VAL POE - AESR - ESR'!AL2694</f>
        <v>SI</v>
      </c>
      <c r="PS35" s="29" t="str">
        <f>'REG y VAL POE - AESR - ESR'!AM2694</f>
        <v>SI</v>
      </c>
      <c r="PT35" s="29">
        <f>'REG y VAL POE - AESR - ESR'!AN2694</f>
        <v>0</v>
      </c>
      <c r="PU35" s="29">
        <f>'REG y VAL POE - AESR - ESR'!AO2694</f>
        <v>0</v>
      </c>
      <c r="PV35" s="29">
        <f>'REG y VAL POE - AESR - ESR'!AP2694</f>
        <v>0</v>
      </c>
      <c r="PW35" s="29">
        <f>'REG y VAL POE - AESR - ESR'!AQ2694</f>
        <v>0</v>
      </c>
      <c r="PX35" s="29" t="str">
        <f>'REG y VAL POE - AESR - ESR'!AR2694</f>
        <v>VACIS PORTAL</v>
      </c>
      <c r="PY35" s="29">
        <f>'REG y VAL POE - AESR - ESR'!AS2694</f>
        <v>0</v>
      </c>
      <c r="PZ35" s="30" t="str">
        <f>'REG y VAL POE - AESR - ESR'!B2695</f>
        <v xml:space="preserve">Hernandez Barron Sebastian Adolfo </v>
      </c>
      <c r="QA35" s="29" t="str">
        <f>'REG y VAL POE - AESR - ESR'!C2695</f>
        <v>Sin Registro</v>
      </c>
      <c r="QB35" s="28">
        <f>'REG y VAL POE - AESR - ESR'!D2695</f>
        <v>23182886</v>
      </c>
      <c r="QC35" s="29" t="str">
        <f>'REG y VAL POE - AESR - ESR'!E2695</f>
        <v xml:space="preserve">Hernandez Barron Sebastian Adolfo </v>
      </c>
      <c r="QD35" s="28">
        <f>'REG y VAL POE - AESR - ESR'!F2695</f>
        <v>23182886</v>
      </c>
      <c r="QE35" s="31">
        <f>'REG y VAL POE - AESR - ESR'!G2695</f>
        <v>0</v>
      </c>
      <c r="QF35" s="31">
        <f>'REG y VAL POE - AESR - ESR'!H2695</f>
        <v>0</v>
      </c>
      <c r="QG35" s="29">
        <f>'REG y VAL POE - AESR - ESR'!I2695</f>
        <v>0</v>
      </c>
      <c r="QH35" s="29">
        <f>'REG y VAL POE - AESR - ESR'!J2695</f>
        <v>0</v>
      </c>
      <c r="QI35" s="29">
        <f>'REG y VAL POE - AESR - ESR'!K2695</f>
        <v>0</v>
      </c>
      <c r="QJ35" s="29">
        <f>'REG y VAL POE - AESR - ESR'!L2695</f>
        <v>0</v>
      </c>
      <c r="QK35" s="29">
        <f>'REG y VAL POE - AESR - ESR'!M2695</f>
        <v>0</v>
      </c>
      <c r="QL35" s="388">
        <f>'REG y VAL POE - AESR - ESR'!N2695</f>
        <v>0</v>
      </c>
      <c r="QM35" s="29">
        <f>'REG y VAL POE - AESR - ESR'!O2695</f>
        <v>0</v>
      </c>
      <c r="QN35" s="29">
        <f>'REG y VAL POE - AESR - ESR'!P2695</f>
        <v>0</v>
      </c>
      <c r="QO35" s="29">
        <f>'REG y VAL POE - AESR - ESR'!Q2695</f>
        <v>0</v>
      </c>
      <c r="QP35" s="29">
        <f>'REG y VAL POE - AESR - ESR'!R2695</f>
        <v>0</v>
      </c>
      <c r="QQ35" s="29">
        <f>'REG y VAL POE - AESR - ESR'!S2695</f>
        <v>0</v>
      </c>
      <c r="QR35" s="29">
        <f>'REG y VAL POE - AESR - ESR'!T2695</f>
        <v>0</v>
      </c>
      <c r="QS35" s="29">
        <f>'REG y VAL POE - AESR - ESR'!U2695</f>
        <v>0</v>
      </c>
      <c r="QT35" s="29">
        <f>'REG y VAL POE - AESR - ESR'!V2695</f>
        <v>0</v>
      </c>
      <c r="QU35" s="29">
        <f>'REG y VAL POE - AESR - ESR'!W2695</f>
        <v>0</v>
      </c>
      <c r="QV35" s="29">
        <f>'REG y VAL POE - AESR - ESR'!X2695</f>
        <v>0</v>
      </c>
      <c r="QW35" s="29">
        <f>'REG y VAL POE - AESR - ESR'!Y2695</f>
        <v>0</v>
      </c>
      <c r="QX35" s="29">
        <f>'REG y VAL POE - AESR - ESR'!Z2695</f>
        <v>0</v>
      </c>
      <c r="QY35" s="29">
        <f>'REG y VAL POE - AESR - ESR'!AA2695</f>
        <v>0</v>
      </c>
      <c r="QZ35" s="29">
        <f>'REG y VAL POE - AESR - ESR'!AB2695</f>
        <v>0</v>
      </c>
      <c r="RA35" s="29">
        <f>'REG y VAL POE - AESR - ESR'!AC2695</f>
        <v>0</v>
      </c>
      <c r="RB35" s="29">
        <f>'REG y VAL POE - AESR - ESR'!AD2695</f>
        <v>0</v>
      </c>
      <c r="RC35" s="29">
        <f>'REG y VAL POE - AESR - ESR'!AE2695</f>
        <v>0</v>
      </c>
      <c r="RD35" s="29">
        <f>'REG y VAL POE - AESR - ESR'!AF2695</f>
        <v>0</v>
      </c>
      <c r="RE35" s="29">
        <f>'REG y VAL POE - AESR - ESR'!AG2695</f>
        <v>0</v>
      </c>
      <c r="RF35" s="29">
        <f>'REG y VAL POE - AESR - ESR'!AH2695</f>
        <v>0</v>
      </c>
      <c r="RG35" s="29">
        <f>'REG y VAL POE - AESR - ESR'!AI2695</f>
        <v>0</v>
      </c>
      <c r="RH35" s="29">
        <f>'REG y VAL POE - AESR - ESR'!AJ2695</f>
        <v>0</v>
      </c>
      <c r="RI35" s="29">
        <f>'REG y VAL POE - AESR - ESR'!AK2695</f>
        <v>0</v>
      </c>
      <c r="RJ35" s="29">
        <f>'REG y VAL POE - AESR - ESR'!AL2695</f>
        <v>0</v>
      </c>
      <c r="RK35" s="29">
        <f>'REG y VAL POE - AESR - ESR'!AM2695</f>
        <v>0</v>
      </c>
      <c r="RL35" s="29">
        <f>'REG y VAL POE - AESR - ESR'!AN2695</f>
        <v>0</v>
      </c>
      <c r="RM35" s="29">
        <f>'REG y VAL POE - AESR - ESR'!AO2695</f>
        <v>0</v>
      </c>
      <c r="RN35" s="29">
        <f>'REG y VAL POE - AESR - ESR'!AP2695</f>
        <v>0</v>
      </c>
      <c r="RO35" s="29">
        <f>'REG y VAL POE - AESR - ESR'!AQ2695</f>
        <v>0</v>
      </c>
      <c r="RP35" s="29">
        <f>'REG y VAL POE - AESR - ESR'!AR2695</f>
        <v>0</v>
      </c>
      <c r="RQ35" s="29">
        <f>'REG y VAL POE - AESR - ESR'!AS2695</f>
        <v>0</v>
      </c>
      <c r="RR35" s="30" t="str">
        <f>'REG y VAL POE - AESR - ESR'!B2696</f>
        <v>Hernandez Cruz Adilene</v>
      </c>
      <c r="RS35" s="29" t="str">
        <f>'REG y VAL POE - AESR - ESR'!C2696</f>
        <v>POE</v>
      </c>
      <c r="RT35" s="28">
        <f>'REG y VAL POE - AESR - ESR'!D2696</f>
        <v>23143233</v>
      </c>
      <c r="RU35" s="29" t="str">
        <f>'REG y VAL POE - AESR - ESR'!E2696</f>
        <v xml:space="preserve">Hernandez Cruz Adilene </v>
      </c>
      <c r="RV35" s="28">
        <f>'REG y VAL POE - AESR - ESR'!F2696</f>
        <v>23143233</v>
      </c>
      <c r="RW35" s="31">
        <f>'REG y VAL POE - AESR - ESR'!G2696</f>
        <v>45268</v>
      </c>
      <c r="RX35" s="31">
        <f>'REG y VAL POE - AESR - ESR'!H2696</f>
        <v>45633</v>
      </c>
      <c r="RY35" s="29" t="str">
        <f>'REG y VAL POE - AESR - ESR'!I2696</f>
        <v>SI</v>
      </c>
      <c r="RZ35" s="29" t="str">
        <f>'REG y VAL POE - AESR - ESR'!J2696</f>
        <v>Vigente</v>
      </c>
      <c r="SA35" s="29" t="str">
        <f>'REG y VAL POE - AESR - ESR'!K2696</f>
        <v>SI</v>
      </c>
      <c r="SB35" s="29" t="str">
        <f>'REG y VAL POE - AESR - ESR'!L2696</f>
        <v>Vigente</v>
      </c>
      <c r="SC35" s="29" t="str">
        <f>'REG y VAL POE - AESR - ESR'!M2696</f>
        <v>NO</v>
      </c>
      <c r="SD35" s="388" t="str">
        <f>'REG y VAL POE - AESR - ESR'!N2696</f>
        <v>FALTA FIRMA RL</v>
      </c>
      <c r="SE35" s="29" t="str">
        <f>'REG y VAL POE - AESR - ESR'!O2696</f>
        <v>SI</v>
      </c>
      <c r="SF35" s="29">
        <f>'REG y VAL POE - AESR - ESR'!P2696</f>
        <v>0</v>
      </c>
      <c r="SG35" s="29" t="str">
        <f>'REG y VAL POE - AESR - ESR'!Q2696</f>
        <v>SI</v>
      </c>
      <c r="SH35" s="29" t="str">
        <f>'REG y VAL POE - AESR - ESR'!R2696</f>
        <v>SI</v>
      </c>
      <c r="SI35" s="29" t="str">
        <f>'REG y VAL POE - AESR - ESR'!S2696</f>
        <v>SI</v>
      </c>
      <c r="SJ35" s="29" t="str">
        <f>'REG y VAL POE - AESR - ESR'!T2696</f>
        <v>NO</v>
      </c>
      <c r="SK35" s="29" t="str">
        <f>'REG y VAL POE - AESR - ESR'!U2696</f>
        <v>NO</v>
      </c>
      <c r="SL35" s="29" t="str">
        <f>'REG y VAL POE - AESR - ESR'!V2696</f>
        <v>SI</v>
      </c>
      <c r="SM35" s="29">
        <f>'REG y VAL POE - AESR - ESR'!W2696</f>
        <v>0</v>
      </c>
      <c r="SN35" s="29">
        <f>'REG y VAL POE - AESR - ESR'!X2696</f>
        <v>0</v>
      </c>
      <c r="SO35" s="29">
        <f>'REG y VAL POE - AESR - ESR'!Y2696</f>
        <v>0</v>
      </c>
      <c r="SP35" s="29" t="str">
        <f>'REG y VAL POE - AESR - ESR'!Z2696</f>
        <v>SI</v>
      </c>
      <c r="SQ35" s="29">
        <f>'REG y VAL POE - AESR - ESR'!AA2696</f>
        <v>0</v>
      </c>
      <c r="SR35" s="29">
        <f>'REG y VAL POE - AESR - ESR'!AB2696</f>
        <v>0</v>
      </c>
      <c r="SS35" s="29">
        <f>'REG y VAL POE - AESR - ESR'!AC2696</f>
        <v>0</v>
      </c>
      <c r="ST35" s="29">
        <f>'REG y VAL POE - AESR - ESR'!AD2696</f>
        <v>0</v>
      </c>
      <c r="SU35" s="29">
        <f>'REG y VAL POE - AESR - ESR'!AE2696</f>
        <v>0</v>
      </c>
      <c r="SV35" s="29" t="str">
        <f>'REG y VAL POE - AESR - ESR'!AF2696</f>
        <v>SI</v>
      </c>
      <c r="SW35" s="29">
        <f>'REG y VAL POE - AESR - ESR'!AG2696</f>
        <v>0</v>
      </c>
      <c r="SX35" s="29">
        <f>'REG y VAL POE - AESR - ESR'!AH2696</f>
        <v>0</v>
      </c>
      <c r="SY35" s="29">
        <f>'REG y VAL POE - AESR - ESR'!AI2696</f>
        <v>0</v>
      </c>
      <c r="SZ35" s="29">
        <f>'REG y VAL POE - AESR - ESR'!AJ2696</f>
        <v>0</v>
      </c>
      <c r="TA35" s="29">
        <f>'REG y VAL POE - AESR - ESR'!AK2696</f>
        <v>0</v>
      </c>
      <c r="TB35" s="29">
        <f>'REG y VAL POE - AESR - ESR'!AL2696</f>
        <v>0</v>
      </c>
      <c r="TC35" s="29" t="str">
        <f>'REG y VAL POE - AESR - ESR'!AM2696</f>
        <v>SI</v>
      </c>
      <c r="TD35" s="29">
        <f>'REG y VAL POE - AESR - ESR'!AN2696</f>
        <v>0</v>
      </c>
      <c r="TE35" s="29">
        <f>'REG y VAL POE - AESR - ESR'!AO2696</f>
        <v>0</v>
      </c>
      <c r="TF35" s="29">
        <f>'REG y VAL POE - AESR - ESR'!AP2696</f>
        <v>0</v>
      </c>
      <c r="TG35" s="29">
        <f>'REG y VAL POE - AESR - ESR'!AQ2696</f>
        <v>0</v>
      </c>
      <c r="TH35" s="29" t="str">
        <f>'REG y VAL POE - AESR - ESR'!AR2696</f>
        <v>VACIS PORTAL</v>
      </c>
      <c r="TI35" s="29">
        <f>'REG y VAL POE - AESR - ESR'!AS2696</f>
        <v>0</v>
      </c>
      <c r="TJ35" s="30" t="str">
        <f>'REG y VAL POE - AESR - ESR'!B2697</f>
        <v>Hernandez Garcia Manuel</v>
      </c>
      <c r="TK35" s="29" t="str">
        <f>'REG y VAL POE - AESR - ESR'!C2697</f>
        <v>Sin Registro</v>
      </c>
      <c r="TL35" s="28">
        <f>'REG y VAL POE - AESR - ESR'!D2697</f>
        <v>22227436</v>
      </c>
      <c r="TM35" s="29" t="str">
        <f>'REG y VAL POE - AESR - ESR'!E2697</f>
        <v xml:space="preserve">Hernandez Garcia Manuel </v>
      </c>
      <c r="TN35" s="28">
        <f>'REG y VAL POE - AESR - ESR'!F2697</f>
        <v>22227436</v>
      </c>
      <c r="TO35" s="31">
        <f>'REG y VAL POE - AESR - ESR'!G2697</f>
        <v>45274</v>
      </c>
      <c r="TP35" s="31">
        <f>'REG y VAL POE - AESR - ESR'!H2697</f>
        <v>45639</v>
      </c>
      <c r="TQ35" s="29" t="str">
        <f>'REG y VAL POE - AESR - ESR'!I2697</f>
        <v>SI</v>
      </c>
      <c r="TR35" s="29" t="str">
        <f>'REG y VAL POE - AESR - ESR'!J2697</f>
        <v>Vigente</v>
      </c>
      <c r="TS35" s="29" t="str">
        <f>'REG y VAL POE - AESR - ESR'!K2697</f>
        <v>SI</v>
      </c>
      <c r="TT35" s="29" t="str">
        <f>'REG y VAL POE - AESR - ESR'!L2697</f>
        <v>Vigente</v>
      </c>
      <c r="TU35" s="29" t="str">
        <f>'REG y VAL POE - AESR - ESR'!M2697</f>
        <v>SI</v>
      </c>
      <c r="TV35" s="388" t="str">
        <f>'REG y VAL POE - AESR - ESR'!N2697</f>
        <v>falta firma RL</v>
      </c>
      <c r="TW35" s="29" t="str">
        <f>'REG y VAL POE - AESR - ESR'!O2697</f>
        <v>SI</v>
      </c>
      <c r="TX35" s="29">
        <f>'REG y VAL POE - AESR - ESR'!P2697</f>
        <v>0</v>
      </c>
      <c r="TY35" s="29" t="str">
        <f>'REG y VAL POE - AESR - ESR'!Q2697</f>
        <v>SI</v>
      </c>
      <c r="TZ35" s="29" t="str">
        <f>'REG y VAL POE - AESR - ESR'!R2697</f>
        <v>SI</v>
      </c>
      <c r="UA35" s="29" t="str">
        <f>'REG y VAL POE - AESR - ESR'!S2697</f>
        <v>SI</v>
      </c>
      <c r="UB35" s="29" t="str">
        <f>'REG y VAL POE - AESR - ESR'!T2697</f>
        <v>NO</v>
      </c>
      <c r="UC35" s="29" t="str">
        <f>'REG y VAL POE - AESR - ESR'!U2697</f>
        <v>NO</v>
      </c>
      <c r="UD35" s="29" t="str">
        <f>'REG y VAL POE - AESR - ESR'!V2697</f>
        <v>SI</v>
      </c>
      <c r="UE35" s="29">
        <f>'REG y VAL POE - AESR - ESR'!W2697</f>
        <v>0</v>
      </c>
      <c r="UF35" s="29">
        <f>'REG y VAL POE - AESR - ESR'!X2697</f>
        <v>0</v>
      </c>
      <c r="UG35" s="29">
        <f>'REG y VAL POE - AESR - ESR'!Y2697</f>
        <v>0</v>
      </c>
      <c r="UH35" s="29" t="str">
        <f>'REG y VAL POE - AESR - ESR'!Z2697</f>
        <v>SI</v>
      </c>
      <c r="UI35" s="29">
        <f>'REG y VAL POE - AESR - ESR'!AA2697</f>
        <v>0</v>
      </c>
      <c r="UJ35" s="29">
        <f>'REG y VAL POE - AESR - ESR'!AB2697</f>
        <v>0</v>
      </c>
      <c r="UK35" s="29">
        <f>'REG y VAL POE - AESR - ESR'!AC2697</f>
        <v>0</v>
      </c>
      <c r="UL35" s="29">
        <f>'REG y VAL POE - AESR - ESR'!AD2697</f>
        <v>0</v>
      </c>
      <c r="UM35" s="29">
        <f>'REG y VAL POE - AESR - ESR'!AE2697</f>
        <v>0</v>
      </c>
      <c r="UN35" s="29" t="str">
        <f>'REG y VAL POE - AESR - ESR'!AF2697</f>
        <v>SI</v>
      </c>
      <c r="UO35" s="29">
        <f>'REG y VAL POE - AESR - ESR'!AG2697</f>
        <v>0</v>
      </c>
      <c r="UP35" s="29">
        <f>'REG y VAL POE - AESR - ESR'!AH2697</f>
        <v>0</v>
      </c>
      <c r="UQ35" s="29">
        <f>'REG y VAL POE - AESR - ESR'!AI2697</f>
        <v>0</v>
      </c>
      <c r="UR35" s="29">
        <f>'REG y VAL POE - AESR - ESR'!AJ2697</f>
        <v>0</v>
      </c>
      <c r="US35" s="29">
        <f>'REG y VAL POE - AESR - ESR'!AK2697</f>
        <v>0</v>
      </c>
      <c r="UT35" s="29" t="str">
        <f>'REG y VAL POE - AESR - ESR'!AL2697</f>
        <v>SI</v>
      </c>
      <c r="UU35" s="29" t="str">
        <f>'REG y VAL POE - AESR - ESR'!AM2697</f>
        <v>SI</v>
      </c>
      <c r="UV35" s="29">
        <f>'REG y VAL POE - AESR - ESR'!AN2697</f>
        <v>0</v>
      </c>
      <c r="UW35" s="29">
        <f>'REG y VAL POE - AESR - ESR'!AO2697</f>
        <v>0</v>
      </c>
      <c r="UX35" s="29">
        <f>'REG y VAL POE - AESR - ESR'!AP2697</f>
        <v>0</v>
      </c>
      <c r="UY35" s="29">
        <f>'REG y VAL POE - AESR - ESR'!AQ2697</f>
        <v>0</v>
      </c>
      <c r="UZ35" s="29" t="str">
        <f>'REG y VAL POE - AESR - ESR'!AR2697</f>
        <v>VACIS PORTAL</v>
      </c>
      <c r="VA35" s="29">
        <f>'REG y VAL POE - AESR - ESR'!AS2697</f>
        <v>0</v>
      </c>
      <c r="VB35" s="30" t="str">
        <f>'REG y VAL POE - AESR - ESR'!B2698</f>
        <v xml:space="preserve">Hernandez Rodas Ruben Ivan </v>
      </c>
      <c r="VC35" s="29">
        <f>'REG y VAL POE - AESR - ESR'!C2698</f>
        <v>0</v>
      </c>
      <c r="VD35" s="28">
        <f>'REG y VAL POE - AESR - ESR'!D2698</f>
        <v>23030977</v>
      </c>
      <c r="VE35" s="29">
        <f>'REG y VAL POE - AESR - ESR'!E2698</f>
        <v>0</v>
      </c>
      <c r="VF35" s="28">
        <f>'REG y VAL POE - AESR - ESR'!F2698</f>
        <v>0</v>
      </c>
      <c r="VG35" s="31">
        <f>'REG y VAL POE - AESR - ESR'!G2698</f>
        <v>0</v>
      </c>
      <c r="VH35" s="31">
        <f>'REG y VAL POE - AESR - ESR'!H2698</f>
        <v>0</v>
      </c>
      <c r="VI35" s="29">
        <f>'REG y VAL POE - AESR - ESR'!I2698</f>
        <v>0</v>
      </c>
      <c r="VJ35" s="29">
        <f>'REG y VAL POE - AESR - ESR'!J2698</f>
        <v>0</v>
      </c>
      <c r="VK35" s="29">
        <f>'REG y VAL POE - AESR - ESR'!K2698</f>
        <v>0</v>
      </c>
      <c r="VL35" s="29">
        <f>'REG y VAL POE - AESR - ESR'!L2698</f>
        <v>0</v>
      </c>
      <c r="VM35" s="29">
        <f>'REG y VAL POE - AESR - ESR'!M2698</f>
        <v>0</v>
      </c>
      <c r="VN35" s="388">
        <f>'REG y VAL POE - AESR - ESR'!N2698</f>
        <v>0</v>
      </c>
      <c r="VO35" s="29">
        <f>'REG y VAL POE - AESR - ESR'!O2698</f>
        <v>0</v>
      </c>
      <c r="VP35" s="29">
        <f>'REG y VAL POE - AESR - ESR'!P2698</f>
        <v>0</v>
      </c>
      <c r="VQ35" s="29">
        <f>'REG y VAL POE - AESR - ESR'!Q2698</f>
        <v>0</v>
      </c>
      <c r="VR35" s="29">
        <f>'REG y VAL POE - AESR - ESR'!R2698</f>
        <v>0</v>
      </c>
      <c r="VS35" s="29">
        <f>'REG y VAL POE - AESR - ESR'!S2698</f>
        <v>0</v>
      </c>
      <c r="VT35" s="29">
        <f>'REG y VAL POE - AESR - ESR'!T2698</f>
        <v>0</v>
      </c>
      <c r="VU35" s="29">
        <f>'REG y VAL POE - AESR - ESR'!U2698</f>
        <v>0</v>
      </c>
      <c r="VV35" s="29">
        <f>'REG y VAL POE - AESR - ESR'!V2698</f>
        <v>0</v>
      </c>
      <c r="VW35" s="29">
        <f>'REG y VAL POE - AESR - ESR'!W2698</f>
        <v>0</v>
      </c>
      <c r="VX35" s="29">
        <f>'REG y VAL POE - AESR - ESR'!X2698</f>
        <v>0</v>
      </c>
      <c r="VY35" s="29">
        <f>'REG y VAL POE - AESR - ESR'!Y2698</f>
        <v>0</v>
      </c>
      <c r="VZ35" s="29">
        <f>'REG y VAL POE - AESR - ESR'!Z2698</f>
        <v>0</v>
      </c>
      <c r="WA35" s="29">
        <f>'REG y VAL POE - AESR - ESR'!AA2698</f>
        <v>0</v>
      </c>
      <c r="WB35" s="29">
        <f>'REG y VAL POE - AESR - ESR'!AB2698</f>
        <v>0</v>
      </c>
      <c r="WC35" s="29">
        <f>'REG y VAL POE - AESR - ESR'!AC2698</f>
        <v>0</v>
      </c>
      <c r="WD35" s="29">
        <f>'REG y VAL POE - AESR - ESR'!AD2698</f>
        <v>0</v>
      </c>
      <c r="WE35" s="29">
        <f>'REG y VAL POE - AESR - ESR'!AE2698</f>
        <v>0</v>
      </c>
      <c r="WF35" s="29">
        <f>'REG y VAL POE - AESR - ESR'!AF2698</f>
        <v>0</v>
      </c>
      <c r="WG35" s="29">
        <f>'REG y VAL POE - AESR - ESR'!AG2698</f>
        <v>0</v>
      </c>
      <c r="WH35" s="29">
        <f>'REG y VAL POE - AESR - ESR'!AH2698</f>
        <v>0</v>
      </c>
      <c r="WI35" s="29">
        <f>'REG y VAL POE - AESR - ESR'!AI2698</f>
        <v>0</v>
      </c>
      <c r="WJ35" s="29">
        <f>'REG y VAL POE - AESR - ESR'!AJ2698</f>
        <v>0</v>
      </c>
      <c r="WK35" s="29">
        <f>'REG y VAL POE - AESR - ESR'!AK2698</f>
        <v>0</v>
      </c>
      <c r="WL35" s="29">
        <f>'REG y VAL POE - AESR - ESR'!AL2698</f>
        <v>0</v>
      </c>
      <c r="WM35" s="29">
        <f>'REG y VAL POE - AESR - ESR'!AM2698</f>
        <v>0</v>
      </c>
      <c r="WN35" s="29">
        <f>'REG y VAL POE - AESR - ESR'!AN2698</f>
        <v>0</v>
      </c>
      <c r="WO35" s="29">
        <f>'REG y VAL POE - AESR - ESR'!AO2698</f>
        <v>0</v>
      </c>
      <c r="WP35" s="29">
        <f>'REG y VAL POE - AESR - ESR'!AP2698</f>
        <v>0</v>
      </c>
      <c r="WQ35" s="29">
        <f>'REG y VAL POE - AESR - ESR'!AQ2698</f>
        <v>0</v>
      </c>
      <c r="WR35" s="29">
        <f>'REG y VAL POE - AESR - ESR'!AR2698</f>
        <v>0</v>
      </c>
      <c r="WS35" s="29">
        <f>'REG y VAL POE - AESR - ESR'!AS2698</f>
        <v>0</v>
      </c>
      <c r="WT35" s="30" t="str">
        <f>'REG y VAL POE - AESR - ESR'!B2699</f>
        <v xml:space="preserve">Islas Baez Marco Antonio </v>
      </c>
      <c r="WU35" s="29">
        <f>'REG y VAL POE - AESR - ESR'!C2699</f>
        <v>0</v>
      </c>
      <c r="WV35" s="28">
        <f>'REG y VAL POE - AESR - ESR'!D2699</f>
        <v>23047735</v>
      </c>
      <c r="WW35" s="29">
        <f>'REG y VAL POE - AESR - ESR'!E2699</f>
        <v>0</v>
      </c>
      <c r="WX35" s="28">
        <f>'REG y VAL POE - AESR - ESR'!F2699</f>
        <v>0</v>
      </c>
      <c r="WY35" s="31">
        <f>'REG y VAL POE - AESR - ESR'!G2699</f>
        <v>0</v>
      </c>
      <c r="WZ35" s="31">
        <f>'REG y VAL POE - AESR - ESR'!H2699</f>
        <v>0</v>
      </c>
      <c r="XA35" s="29">
        <f>'REG y VAL POE - AESR - ESR'!I2699</f>
        <v>0</v>
      </c>
      <c r="XB35" s="29">
        <f>'REG y VAL POE - AESR - ESR'!J2699</f>
        <v>0</v>
      </c>
      <c r="XC35" s="29">
        <f>'REG y VAL POE - AESR - ESR'!K2699</f>
        <v>0</v>
      </c>
      <c r="XD35" s="29">
        <f>'REG y VAL POE - AESR - ESR'!L2699</f>
        <v>0</v>
      </c>
      <c r="XE35" s="29">
        <f>'REG y VAL POE - AESR - ESR'!M2699</f>
        <v>0</v>
      </c>
      <c r="XF35" s="388">
        <f>'REG y VAL POE - AESR - ESR'!N2699</f>
        <v>0</v>
      </c>
      <c r="XG35" s="29">
        <f>'REG y VAL POE - AESR - ESR'!O2699</f>
        <v>0</v>
      </c>
      <c r="XH35" s="29">
        <f>'REG y VAL POE - AESR - ESR'!P2699</f>
        <v>0</v>
      </c>
      <c r="XI35" s="29">
        <f>'REG y VAL POE - AESR - ESR'!Q2699</f>
        <v>0</v>
      </c>
      <c r="XJ35" s="29">
        <f>'REG y VAL POE - AESR - ESR'!R2699</f>
        <v>0</v>
      </c>
      <c r="XK35" s="29">
        <f>'REG y VAL POE - AESR - ESR'!S2699</f>
        <v>0</v>
      </c>
      <c r="XL35" s="29">
        <f>'REG y VAL POE - AESR - ESR'!T2699</f>
        <v>0</v>
      </c>
      <c r="XM35" s="29">
        <f>'REG y VAL POE - AESR - ESR'!U2699</f>
        <v>0</v>
      </c>
      <c r="XN35" s="29">
        <f>'REG y VAL POE - AESR - ESR'!V2699</f>
        <v>0</v>
      </c>
      <c r="XO35" s="29">
        <f>'REG y VAL POE - AESR - ESR'!W2699</f>
        <v>0</v>
      </c>
      <c r="XP35" s="29">
        <f>'REG y VAL POE - AESR - ESR'!X2699</f>
        <v>0</v>
      </c>
      <c r="XQ35" s="29">
        <f>'REG y VAL POE - AESR - ESR'!Y2699</f>
        <v>0</v>
      </c>
      <c r="XR35" s="29">
        <f>'REG y VAL POE - AESR - ESR'!Z2699</f>
        <v>0</v>
      </c>
      <c r="XS35" s="29">
        <f>'REG y VAL POE - AESR - ESR'!AA2699</f>
        <v>0</v>
      </c>
      <c r="XT35" s="29">
        <f>'REG y VAL POE - AESR - ESR'!AB2699</f>
        <v>0</v>
      </c>
      <c r="XU35" s="29">
        <f>'REG y VAL POE - AESR - ESR'!AC2699</f>
        <v>0</v>
      </c>
      <c r="XV35" s="29">
        <f>'REG y VAL POE - AESR - ESR'!AD2699</f>
        <v>0</v>
      </c>
      <c r="XW35" s="29">
        <f>'REG y VAL POE - AESR - ESR'!AE2699</f>
        <v>0</v>
      </c>
      <c r="XX35" s="29">
        <f>'REG y VAL POE - AESR - ESR'!AF2699</f>
        <v>0</v>
      </c>
      <c r="XY35" s="29">
        <f>'REG y VAL POE - AESR - ESR'!AG2699</f>
        <v>0</v>
      </c>
      <c r="XZ35" s="29">
        <f>'REG y VAL POE - AESR - ESR'!AH2699</f>
        <v>0</v>
      </c>
      <c r="YA35" s="29">
        <f>'REG y VAL POE - AESR - ESR'!AI2699</f>
        <v>0</v>
      </c>
      <c r="YB35" s="29">
        <f>'REG y VAL POE - AESR - ESR'!AJ2699</f>
        <v>0</v>
      </c>
      <c r="YC35" s="29">
        <f>'REG y VAL POE - AESR - ESR'!AK2699</f>
        <v>0</v>
      </c>
      <c r="YD35" s="29">
        <f>'REG y VAL POE - AESR - ESR'!AL2699</f>
        <v>0</v>
      </c>
      <c r="YE35" s="29">
        <f>'REG y VAL POE - AESR - ESR'!AM2699</f>
        <v>0</v>
      </c>
      <c r="YF35" s="29">
        <f>'REG y VAL POE - AESR - ESR'!AN2699</f>
        <v>0</v>
      </c>
      <c r="YG35" s="29">
        <f>'REG y VAL POE - AESR - ESR'!AO2699</f>
        <v>0</v>
      </c>
      <c r="YH35" s="29">
        <f>'REG y VAL POE - AESR - ESR'!AP2699</f>
        <v>0</v>
      </c>
      <c r="YI35" s="29">
        <f>'REG y VAL POE - AESR - ESR'!AQ2699</f>
        <v>0</v>
      </c>
      <c r="YJ35" s="29">
        <f>'REG y VAL POE - AESR - ESR'!AR2699</f>
        <v>0</v>
      </c>
      <c r="YK35" s="29">
        <f>'REG y VAL POE - AESR - ESR'!AS2699</f>
        <v>0</v>
      </c>
      <c r="YL35" s="30" t="str">
        <f>'REG y VAL POE - AESR - ESR'!B2700</f>
        <v>Lopez Santos Emmanuel</v>
      </c>
      <c r="YM35" s="29" t="str">
        <f>'REG y VAL POE - AESR - ESR'!C2700</f>
        <v>Sin Registro</v>
      </c>
      <c r="YN35" s="28">
        <f>'REG y VAL POE - AESR - ESR'!D2700</f>
        <v>23158800</v>
      </c>
      <c r="YO35" s="29" t="str">
        <f>'REG y VAL POE - AESR - ESR'!E2700</f>
        <v xml:space="preserve">Lopez Santos Emmanuel </v>
      </c>
      <c r="YP35" s="28">
        <f>'REG y VAL POE - AESR - ESR'!F2700</f>
        <v>23158800</v>
      </c>
      <c r="YQ35" s="31">
        <f>'REG y VAL POE - AESR - ESR'!G2700</f>
        <v>45049</v>
      </c>
      <c r="YR35" s="31" t="str">
        <f>'REG y VAL POE - AESR - ESR'!H2700</f>
        <v>VENCIDA</v>
      </c>
      <c r="YS35" s="29" t="str">
        <f>'REG y VAL POE - AESR - ESR'!I2700</f>
        <v>SI</v>
      </c>
      <c r="YT35" s="29" t="str">
        <f>'REG y VAL POE - AESR - ESR'!J2700</f>
        <v>VENCIDA</v>
      </c>
      <c r="YU35" s="29" t="str">
        <f>'REG y VAL POE - AESR - ESR'!K2700</f>
        <v>SI</v>
      </c>
      <c r="YV35" s="29" t="str">
        <f>'REG y VAL POE - AESR - ESR'!L2700</f>
        <v>VENCIDA</v>
      </c>
      <c r="YW35" s="29" t="str">
        <f>'REG y VAL POE - AESR - ESR'!M2700</f>
        <v>NO</v>
      </c>
      <c r="YX35" s="388" t="str">
        <f>'REG y VAL POE - AESR - ESR'!N2700</f>
        <v>VENCIDOS SIN FECHA- SIN FIRMA DE RL</v>
      </c>
      <c r="YY35" s="29">
        <f>'REG y VAL POE - AESR - ESR'!O2700</f>
        <v>0</v>
      </c>
      <c r="YZ35" s="29" t="str">
        <f>'REG y VAL POE - AESR - ESR'!P2700</f>
        <v>SI</v>
      </c>
      <c r="ZA35" s="29" t="str">
        <f>'REG y VAL POE - AESR - ESR'!Q2700</f>
        <v>SI</v>
      </c>
      <c r="ZB35" s="29" t="str">
        <f>'REG y VAL POE - AESR - ESR'!R2700</f>
        <v>SI</v>
      </c>
      <c r="ZC35" s="29" t="str">
        <f>'REG y VAL POE - AESR - ESR'!S2700</f>
        <v>SI</v>
      </c>
      <c r="ZD35" s="29" t="str">
        <f>'REG y VAL POE - AESR - ESR'!T2700</f>
        <v>NO</v>
      </c>
      <c r="ZE35" s="29" t="str">
        <f>'REG y VAL POE - AESR - ESR'!U2700</f>
        <v>NO</v>
      </c>
      <c r="ZF35" s="29">
        <f>'REG y VAL POE - AESR - ESR'!V2700</f>
        <v>0</v>
      </c>
      <c r="ZG35" s="29" t="str">
        <f>'REG y VAL POE - AESR - ESR'!W2700</f>
        <v>Si</v>
      </c>
      <c r="ZH35" s="29">
        <f>'REG y VAL POE - AESR - ESR'!X2700</f>
        <v>0</v>
      </c>
      <c r="ZI35" s="29">
        <f>'REG y VAL POE - AESR - ESR'!Y2700</f>
        <v>0</v>
      </c>
      <c r="ZJ35" s="29" t="str">
        <f>'REG y VAL POE - AESR - ESR'!Z2700</f>
        <v>SI</v>
      </c>
      <c r="ZK35" s="29">
        <f>'REG y VAL POE - AESR - ESR'!AA2700</f>
        <v>0</v>
      </c>
      <c r="ZL35" s="29">
        <f>'REG y VAL POE - AESR - ESR'!AB2700</f>
        <v>0</v>
      </c>
      <c r="ZM35" s="29">
        <f>'REG y VAL POE - AESR - ESR'!AC2700</f>
        <v>0</v>
      </c>
      <c r="ZN35" s="29">
        <f>'REG y VAL POE - AESR - ESR'!AD2700</f>
        <v>0</v>
      </c>
      <c r="ZO35" s="29">
        <f>'REG y VAL POE - AESR - ESR'!AE2700</f>
        <v>0</v>
      </c>
      <c r="ZP35" s="29" t="str">
        <f>'REG y VAL POE - AESR - ESR'!AF2700</f>
        <v>SI</v>
      </c>
      <c r="ZQ35" s="29">
        <f>'REG y VAL POE - AESR - ESR'!AG2700</f>
        <v>0</v>
      </c>
      <c r="ZR35" s="29">
        <f>'REG y VAL POE - AESR - ESR'!AH2700</f>
        <v>0</v>
      </c>
      <c r="ZS35" s="29">
        <f>'REG y VAL POE - AESR - ESR'!AI2700</f>
        <v>0</v>
      </c>
      <c r="ZT35" s="29">
        <f>'REG y VAL POE - AESR - ESR'!AJ2700</f>
        <v>0</v>
      </c>
      <c r="ZU35" s="29">
        <f>'REG y VAL POE - AESR - ESR'!AK2700</f>
        <v>0</v>
      </c>
      <c r="ZV35" s="29" t="str">
        <f>'REG y VAL POE - AESR - ESR'!AL2700</f>
        <v>SI</v>
      </c>
      <c r="ZW35" s="29" t="str">
        <f>'REG y VAL POE - AESR - ESR'!AM2700</f>
        <v>SI</v>
      </c>
      <c r="ZX35" s="29">
        <f>'REG y VAL POE - AESR - ESR'!AN2700</f>
        <v>0</v>
      </c>
      <c r="ZY35" s="29">
        <f>'REG y VAL POE - AESR - ESR'!AO2700</f>
        <v>0</v>
      </c>
      <c r="ZZ35" s="29">
        <f>'REG y VAL POE - AESR - ESR'!AP2700</f>
        <v>0</v>
      </c>
      <c r="AAA35" s="29">
        <f>'REG y VAL POE - AESR - ESR'!AQ2700</f>
        <v>0</v>
      </c>
      <c r="AAB35" s="29" t="str">
        <f>'REG y VAL POE - AESR - ESR'!AR2700</f>
        <v>VACIS PORTAL</v>
      </c>
      <c r="AAC35" s="29">
        <f>'REG y VAL POE - AESR - ESR'!AS2700</f>
        <v>0</v>
      </c>
      <c r="AAD35" s="30" t="str">
        <f>'REG y VAL POE - AESR - ESR'!B2701</f>
        <v xml:space="preserve">Ramirez Alcantara Samuel </v>
      </c>
      <c r="AAE35" s="29" t="str">
        <f>'REG y VAL POE - AESR - ESR'!C2701</f>
        <v>Sin Registro</v>
      </c>
      <c r="AAF35" s="28">
        <f>'REG y VAL POE - AESR - ESR'!D2701</f>
        <v>23186659</v>
      </c>
      <c r="AAG35" s="29" t="str">
        <f>'REG y VAL POE - AESR - ESR'!E2701</f>
        <v xml:space="preserve">Ramirez Alcantara Samuel </v>
      </c>
      <c r="AAH35" s="28">
        <f>'REG y VAL POE - AESR - ESR'!F2701</f>
        <v>23186659</v>
      </c>
      <c r="AAI35" s="31">
        <f>'REG y VAL POE - AESR - ESR'!G2701</f>
        <v>0</v>
      </c>
      <c r="AAJ35" s="31">
        <f>'REG y VAL POE - AESR - ESR'!H2701</f>
        <v>0</v>
      </c>
      <c r="AAK35" s="29">
        <f>'REG y VAL POE - AESR - ESR'!I2701</f>
        <v>0</v>
      </c>
      <c r="AAL35" s="29">
        <f>'REG y VAL POE - AESR - ESR'!J2701</f>
        <v>0</v>
      </c>
      <c r="AAM35" s="29">
        <f>'REG y VAL POE - AESR - ESR'!K2701</f>
        <v>0</v>
      </c>
      <c r="AAN35" s="29">
        <f>'REG y VAL POE - AESR - ESR'!L2701</f>
        <v>0</v>
      </c>
      <c r="AAO35" s="29">
        <f>'REG y VAL POE - AESR - ESR'!M2701</f>
        <v>0</v>
      </c>
      <c r="AAP35" s="388">
        <f>'REG y VAL POE - AESR - ESR'!N2701</f>
        <v>0</v>
      </c>
      <c r="AAQ35" s="29">
        <f>'REG y VAL POE - AESR - ESR'!O2701</f>
        <v>0</v>
      </c>
      <c r="AAR35" s="29">
        <f>'REG y VAL POE - AESR - ESR'!P2701</f>
        <v>0</v>
      </c>
      <c r="AAS35" s="29">
        <f>'REG y VAL POE - AESR - ESR'!Q2701</f>
        <v>0</v>
      </c>
      <c r="AAT35" s="29">
        <f>'REG y VAL POE - AESR - ESR'!R2701</f>
        <v>0</v>
      </c>
      <c r="AAU35" s="29">
        <f>'REG y VAL POE - AESR - ESR'!S2701</f>
        <v>0</v>
      </c>
      <c r="AAV35" s="29">
        <f>'REG y VAL POE - AESR - ESR'!T2701</f>
        <v>0</v>
      </c>
      <c r="AAW35" s="29">
        <f>'REG y VAL POE - AESR - ESR'!U2701</f>
        <v>0</v>
      </c>
      <c r="AAX35" s="29">
        <f>'REG y VAL POE - AESR - ESR'!V2701</f>
        <v>0</v>
      </c>
      <c r="AAY35" s="29">
        <f>'REG y VAL POE - AESR - ESR'!W2701</f>
        <v>0</v>
      </c>
      <c r="AAZ35" s="29">
        <f>'REG y VAL POE - AESR - ESR'!X2701</f>
        <v>0</v>
      </c>
      <c r="ABA35" s="29">
        <f>'REG y VAL POE - AESR - ESR'!Y2701</f>
        <v>0</v>
      </c>
      <c r="ABB35" s="29">
        <f>'REG y VAL POE - AESR - ESR'!Z2701</f>
        <v>0</v>
      </c>
      <c r="ABC35" s="29">
        <f>'REG y VAL POE - AESR - ESR'!AA2701</f>
        <v>0</v>
      </c>
      <c r="ABD35" s="29">
        <f>'REG y VAL POE - AESR - ESR'!AB2701</f>
        <v>0</v>
      </c>
      <c r="ABE35" s="29">
        <f>'REG y VAL POE - AESR - ESR'!AC2701</f>
        <v>0</v>
      </c>
      <c r="ABF35" s="29">
        <f>'REG y VAL POE - AESR - ESR'!AD2701</f>
        <v>0</v>
      </c>
      <c r="ABG35" s="29">
        <f>'REG y VAL POE - AESR - ESR'!AE2701</f>
        <v>0</v>
      </c>
      <c r="ABH35" s="29">
        <f>'REG y VAL POE - AESR - ESR'!AF2701</f>
        <v>0</v>
      </c>
      <c r="ABI35" s="29">
        <f>'REG y VAL POE - AESR - ESR'!AG2701</f>
        <v>0</v>
      </c>
      <c r="ABJ35" s="29">
        <f>'REG y VAL POE - AESR - ESR'!AH2701</f>
        <v>0</v>
      </c>
      <c r="ABK35" s="29">
        <f>'REG y VAL POE - AESR - ESR'!AI2701</f>
        <v>0</v>
      </c>
      <c r="ABL35" s="29">
        <f>'REG y VAL POE - AESR - ESR'!AJ2701</f>
        <v>0</v>
      </c>
      <c r="ABM35" s="29">
        <f>'REG y VAL POE - AESR - ESR'!AK2701</f>
        <v>0</v>
      </c>
      <c r="ABN35" s="29">
        <f>'REG y VAL POE - AESR - ESR'!AL2701</f>
        <v>0</v>
      </c>
      <c r="ABO35" s="29">
        <f>'REG y VAL POE - AESR - ESR'!AM2701</f>
        <v>0</v>
      </c>
      <c r="ABP35" s="29">
        <f>'REG y VAL POE - AESR - ESR'!AN2701</f>
        <v>0</v>
      </c>
      <c r="ABQ35" s="29">
        <f>'REG y VAL POE - AESR - ESR'!AO2701</f>
        <v>0</v>
      </c>
      <c r="ABR35" s="29">
        <f>'REG y VAL POE - AESR - ESR'!AP2701</f>
        <v>0</v>
      </c>
      <c r="ABS35" s="29">
        <f>'REG y VAL POE - AESR - ESR'!AQ2701</f>
        <v>0</v>
      </c>
      <c r="ABT35" s="29">
        <f>'REG y VAL POE - AESR - ESR'!AR2701</f>
        <v>0</v>
      </c>
      <c r="ABU35" s="29">
        <f>'REG y VAL POE - AESR - ESR'!AS2701</f>
        <v>0</v>
      </c>
      <c r="ABV35" s="30" t="str">
        <f>'REG y VAL POE - AESR - ESR'!B2702</f>
        <v>Ramirez Navarrete Jorge</v>
      </c>
      <c r="ABW35" s="29" t="str">
        <f>'REG y VAL POE - AESR - ESR'!C2702</f>
        <v>POE</v>
      </c>
      <c r="ABX35" s="28">
        <f>'REG y VAL POE - AESR - ESR'!D2702</f>
        <v>23139653</v>
      </c>
      <c r="ABY35" s="29" t="str">
        <f>'REG y VAL POE - AESR - ESR'!E2702</f>
        <v xml:space="preserve">Ramirez Navarrete Jorge </v>
      </c>
      <c r="ABZ35" s="28">
        <f>'REG y VAL POE - AESR - ESR'!F2702</f>
        <v>23139653</v>
      </c>
      <c r="ACA35" s="31">
        <f>'REG y VAL POE - AESR - ESR'!G2702</f>
        <v>45274</v>
      </c>
      <c r="ACB35" s="31">
        <f>'REG y VAL POE - AESR - ESR'!H2702</f>
        <v>45639</v>
      </c>
      <c r="ACC35" s="29" t="str">
        <f>'REG y VAL POE - AESR - ESR'!I2702</f>
        <v>SI</v>
      </c>
      <c r="ACD35" s="29" t="str">
        <f>'REG y VAL POE - AESR - ESR'!J2702</f>
        <v>Vigente</v>
      </c>
      <c r="ACE35" s="29" t="str">
        <f>'REG y VAL POE - AESR - ESR'!K2702</f>
        <v>SI</v>
      </c>
      <c r="ACF35" s="29" t="str">
        <f>'REG y VAL POE - AESR - ESR'!L2702</f>
        <v>Vigente</v>
      </c>
      <c r="ACG35" s="29" t="str">
        <f>'REG y VAL POE - AESR - ESR'!M2702</f>
        <v>NO</v>
      </c>
      <c r="ACH35" s="388" t="str">
        <f>'REG y VAL POE - AESR - ESR'!N2702</f>
        <v>SIN FIRMA DE RL</v>
      </c>
      <c r="ACI35" s="29" t="str">
        <f>'REG y VAL POE - AESR - ESR'!O2702</f>
        <v>SI</v>
      </c>
      <c r="ACJ35" s="29">
        <f>'REG y VAL POE - AESR - ESR'!P2702</f>
        <v>0</v>
      </c>
      <c r="ACK35" s="29" t="str">
        <f>'REG y VAL POE - AESR - ESR'!Q2702</f>
        <v>SI</v>
      </c>
      <c r="ACL35" s="29" t="str">
        <f>'REG y VAL POE - AESR - ESR'!R2702</f>
        <v>SI</v>
      </c>
      <c r="ACM35" s="29" t="str">
        <f>'REG y VAL POE - AESR - ESR'!S2702</f>
        <v>SI</v>
      </c>
      <c r="ACN35" s="29" t="str">
        <f>'REG y VAL POE - AESR - ESR'!T2702</f>
        <v>NO</v>
      </c>
      <c r="ACO35" s="29" t="str">
        <f>'REG y VAL POE - AESR - ESR'!U2702</f>
        <v>NO</v>
      </c>
      <c r="ACP35" s="29" t="str">
        <f>'REG y VAL POE - AESR - ESR'!V2702</f>
        <v>SI</v>
      </c>
      <c r="ACQ35" s="29">
        <f>'REG y VAL POE - AESR - ESR'!W2702</f>
        <v>0</v>
      </c>
      <c r="ACR35" s="29">
        <f>'REG y VAL POE - AESR - ESR'!X2702</f>
        <v>0</v>
      </c>
      <c r="ACS35" s="29">
        <f>'REG y VAL POE - AESR - ESR'!Y2702</f>
        <v>0</v>
      </c>
      <c r="ACT35" s="29" t="str">
        <f>'REG y VAL POE - AESR - ESR'!Z2702</f>
        <v>SI</v>
      </c>
      <c r="ACU35" s="29">
        <f>'REG y VAL POE - AESR - ESR'!AA2702</f>
        <v>0</v>
      </c>
      <c r="ACV35" s="29">
        <f>'REG y VAL POE - AESR - ESR'!AB2702</f>
        <v>0</v>
      </c>
      <c r="ACW35" s="29">
        <f>'REG y VAL POE - AESR - ESR'!AC2702</f>
        <v>0</v>
      </c>
      <c r="ACX35" s="29">
        <f>'REG y VAL POE - AESR - ESR'!AD2702</f>
        <v>0</v>
      </c>
      <c r="ACY35" s="29">
        <f>'REG y VAL POE - AESR - ESR'!AE2702</f>
        <v>0</v>
      </c>
      <c r="ACZ35" s="29" t="str">
        <f>'REG y VAL POE - AESR - ESR'!AF2702</f>
        <v>SI</v>
      </c>
      <c r="ADA35" s="29">
        <f>'REG y VAL POE - AESR - ESR'!AG2702</f>
        <v>0</v>
      </c>
      <c r="ADB35" s="29">
        <f>'REG y VAL POE - AESR - ESR'!AH2702</f>
        <v>0</v>
      </c>
      <c r="ADC35" s="29">
        <f>'REG y VAL POE - AESR - ESR'!AI2702</f>
        <v>0</v>
      </c>
      <c r="ADD35" s="29">
        <f>'REG y VAL POE - AESR - ESR'!AJ2702</f>
        <v>0</v>
      </c>
      <c r="ADE35" s="29">
        <f>'REG y VAL POE - AESR - ESR'!AK2702</f>
        <v>0</v>
      </c>
      <c r="ADF35" s="29" t="str">
        <f>'REG y VAL POE - AESR - ESR'!AL2702</f>
        <v>SI</v>
      </c>
      <c r="ADG35" s="29" t="str">
        <f>'REG y VAL POE - AESR - ESR'!AM2702</f>
        <v>SI</v>
      </c>
      <c r="ADH35" s="29">
        <f>'REG y VAL POE - AESR - ESR'!AN2702</f>
        <v>0</v>
      </c>
      <c r="ADI35" s="29">
        <f>'REG y VAL POE - AESR - ESR'!AO2702</f>
        <v>0</v>
      </c>
      <c r="ADJ35" s="29">
        <f>'REG y VAL POE - AESR - ESR'!AP2702</f>
        <v>0</v>
      </c>
      <c r="ADK35" s="29">
        <f>'REG y VAL POE - AESR - ESR'!AQ2702</f>
        <v>0</v>
      </c>
      <c r="ADL35" s="29" t="str">
        <f>'REG y VAL POE - AESR - ESR'!AR2702</f>
        <v>VACIS PORTAL</v>
      </c>
      <c r="ADM35" s="29">
        <f>'REG y VAL POE - AESR - ESR'!AS2702</f>
        <v>0</v>
      </c>
      <c r="ADN35" s="30" t="str">
        <f>'REG y VAL POE - AESR - ESR'!B2703</f>
        <v xml:space="preserve">Sanchez Padilla Angel Gerardo </v>
      </c>
      <c r="ADO35" s="29">
        <f>'REG y VAL POE - AESR - ESR'!C2703</f>
        <v>0</v>
      </c>
      <c r="ADP35" s="28">
        <f>'REG y VAL POE - AESR - ESR'!D2703</f>
        <v>23138362</v>
      </c>
      <c r="ADQ35" s="29">
        <f>'REG y VAL POE - AESR - ESR'!E2703</f>
        <v>0</v>
      </c>
      <c r="ADR35" s="28">
        <f>'REG y VAL POE - AESR - ESR'!F2703</f>
        <v>0</v>
      </c>
      <c r="ADS35" s="31">
        <f>'REG y VAL POE - AESR - ESR'!G2703</f>
        <v>0</v>
      </c>
      <c r="ADT35" s="31">
        <f>'REG y VAL POE - AESR - ESR'!H2703</f>
        <v>0</v>
      </c>
      <c r="ADU35" s="29">
        <f>'REG y VAL POE - AESR - ESR'!I2703</f>
        <v>0</v>
      </c>
      <c r="ADV35" s="29">
        <f>'REG y VAL POE - AESR - ESR'!J2703</f>
        <v>0</v>
      </c>
      <c r="ADW35" s="29">
        <f>'REG y VAL POE - AESR - ESR'!K2703</f>
        <v>0</v>
      </c>
      <c r="ADX35" s="29">
        <f>'REG y VAL POE - AESR - ESR'!L2703</f>
        <v>0</v>
      </c>
      <c r="ADY35" s="29">
        <f>'REG y VAL POE - AESR - ESR'!M2703</f>
        <v>0</v>
      </c>
      <c r="ADZ35" s="388">
        <f>'REG y VAL POE - AESR - ESR'!N2703</f>
        <v>0</v>
      </c>
      <c r="AEA35" s="29">
        <f>'REG y VAL POE - AESR - ESR'!O2703</f>
        <v>0</v>
      </c>
      <c r="AEB35" s="29">
        <f>'REG y VAL POE - AESR - ESR'!P2703</f>
        <v>0</v>
      </c>
      <c r="AEC35" s="29">
        <f>'REG y VAL POE - AESR - ESR'!Q2703</f>
        <v>0</v>
      </c>
      <c r="AED35" s="29">
        <f>'REG y VAL POE - AESR - ESR'!R2703</f>
        <v>0</v>
      </c>
      <c r="AEE35" s="29">
        <f>'REG y VAL POE - AESR - ESR'!S2703</f>
        <v>0</v>
      </c>
      <c r="AEF35" s="29">
        <f>'REG y VAL POE - AESR - ESR'!T2703</f>
        <v>0</v>
      </c>
      <c r="AEG35" s="29">
        <f>'REG y VAL POE - AESR - ESR'!U2703</f>
        <v>0</v>
      </c>
      <c r="AEH35" s="29">
        <f>'REG y VAL POE - AESR - ESR'!V2703</f>
        <v>0</v>
      </c>
      <c r="AEI35" s="29">
        <f>'REG y VAL POE - AESR - ESR'!W2703</f>
        <v>0</v>
      </c>
      <c r="AEJ35" s="29">
        <f>'REG y VAL POE - AESR - ESR'!X2703</f>
        <v>0</v>
      </c>
      <c r="AEK35" s="29">
        <f>'REG y VAL POE - AESR - ESR'!Y2703</f>
        <v>0</v>
      </c>
      <c r="AEL35" s="29">
        <f>'REG y VAL POE - AESR - ESR'!Z2703</f>
        <v>0</v>
      </c>
      <c r="AEM35" s="29">
        <f>'REG y VAL POE - AESR - ESR'!AA2703</f>
        <v>0</v>
      </c>
      <c r="AEN35" s="29">
        <f>'REG y VAL POE - AESR - ESR'!AB2703</f>
        <v>0</v>
      </c>
      <c r="AEO35" s="29">
        <f>'REG y VAL POE - AESR - ESR'!AC2703</f>
        <v>0</v>
      </c>
      <c r="AEP35" s="29">
        <f>'REG y VAL POE - AESR - ESR'!AD2703</f>
        <v>0</v>
      </c>
      <c r="AEQ35" s="29">
        <f>'REG y VAL POE - AESR - ESR'!AE2703</f>
        <v>0</v>
      </c>
      <c r="AER35" s="29">
        <f>'REG y VAL POE - AESR - ESR'!AF2703</f>
        <v>0</v>
      </c>
      <c r="AES35" s="29">
        <f>'REG y VAL POE - AESR - ESR'!AG2703</f>
        <v>0</v>
      </c>
      <c r="AET35" s="29">
        <f>'REG y VAL POE - AESR - ESR'!AH2703</f>
        <v>0</v>
      </c>
      <c r="AEU35" s="29">
        <f>'REG y VAL POE - AESR - ESR'!AI2703</f>
        <v>0</v>
      </c>
      <c r="AEV35" s="29">
        <f>'REG y VAL POE - AESR - ESR'!AJ2703</f>
        <v>0</v>
      </c>
      <c r="AEW35" s="29">
        <f>'REG y VAL POE - AESR - ESR'!AK2703</f>
        <v>0</v>
      </c>
      <c r="AEX35" s="29">
        <f>'REG y VAL POE - AESR - ESR'!AL2703</f>
        <v>0</v>
      </c>
      <c r="AEY35" s="29">
        <f>'REG y VAL POE - AESR - ESR'!AM2703</f>
        <v>0</v>
      </c>
      <c r="AEZ35" s="29">
        <f>'REG y VAL POE - AESR - ESR'!AN2703</f>
        <v>0</v>
      </c>
      <c r="AFA35" s="29">
        <f>'REG y VAL POE - AESR - ESR'!AO2703</f>
        <v>0</v>
      </c>
      <c r="AFB35" s="29">
        <f>'REG y VAL POE - AESR - ESR'!AP2703</f>
        <v>0</v>
      </c>
      <c r="AFC35" s="29">
        <f>'REG y VAL POE - AESR - ESR'!AQ2703</f>
        <v>0</v>
      </c>
      <c r="AFD35" s="29">
        <f>'REG y VAL POE - AESR - ESR'!AR2703</f>
        <v>0</v>
      </c>
      <c r="AFE35" s="29">
        <f>'REG y VAL POE - AESR - ESR'!AS2703</f>
        <v>0</v>
      </c>
      <c r="AFF35" s="30" t="str">
        <f>'REG y VAL POE - AESR - ESR'!B2704</f>
        <v xml:space="preserve">Santiz Lopez Jacinto </v>
      </c>
      <c r="AFG35" s="29">
        <f>'REG y VAL POE - AESR - ESR'!C2704</f>
        <v>0</v>
      </c>
      <c r="AFH35" s="28">
        <f>'REG y VAL POE - AESR - ESR'!D2704</f>
        <v>23047556</v>
      </c>
      <c r="AFI35" s="29">
        <f>'REG y VAL POE - AESR - ESR'!E2704</f>
        <v>0</v>
      </c>
      <c r="AFJ35" s="28">
        <f>'REG y VAL POE - AESR - ESR'!F2704</f>
        <v>0</v>
      </c>
      <c r="AFK35" s="31">
        <f>'REG y VAL POE - AESR - ESR'!G2704</f>
        <v>0</v>
      </c>
      <c r="AFL35" s="31">
        <f>'REG y VAL POE - AESR - ESR'!H2704</f>
        <v>0</v>
      </c>
      <c r="AFM35" s="29">
        <f>'REG y VAL POE - AESR - ESR'!I2704</f>
        <v>0</v>
      </c>
      <c r="AFN35" s="29">
        <f>'REG y VAL POE - AESR - ESR'!J2704</f>
        <v>0</v>
      </c>
      <c r="AFO35" s="29">
        <f>'REG y VAL POE - AESR - ESR'!K2704</f>
        <v>0</v>
      </c>
      <c r="AFP35" s="29">
        <f>'REG y VAL POE - AESR - ESR'!L2704</f>
        <v>0</v>
      </c>
      <c r="AFQ35" s="29">
        <f>'REG y VAL POE - AESR - ESR'!M2704</f>
        <v>0</v>
      </c>
      <c r="AFR35" s="388">
        <f>'REG y VAL POE - AESR - ESR'!N2704</f>
        <v>0</v>
      </c>
      <c r="AFS35" s="29">
        <f>'REG y VAL POE - AESR - ESR'!O2704</f>
        <v>0</v>
      </c>
      <c r="AFT35" s="29">
        <f>'REG y VAL POE - AESR - ESR'!P2704</f>
        <v>0</v>
      </c>
      <c r="AFU35" s="29">
        <f>'REG y VAL POE - AESR - ESR'!Q2704</f>
        <v>0</v>
      </c>
      <c r="AFV35" s="29">
        <f>'REG y VAL POE - AESR - ESR'!R2704</f>
        <v>0</v>
      </c>
      <c r="AFW35" s="29">
        <f>'REG y VAL POE - AESR - ESR'!S2704</f>
        <v>0</v>
      </c>
      <c r="AFX35" s="29">
        <f>'REG y VAL POE - AESR - ESR'!T2704</f>
        <v>0</v>
      </c>
      <c r="AFY35" s="29">
        <f>'REG y VAL POE - AESR - ESR'!U2704</f>
        <v>0</v>
      </c>
      <c r="AFZ35" s="29">
        <f>'REG y VAL POE - AESR - ESR'!V2704</f>
        <v>0</v>
      </c>
      <c r="AGA35" s="29">
        <f>'REG y VAL POE - AESR - ESR'!W2704</f>
        <v>0</v>
      </c>
      <c r="AGB35" s="29">
        <f>'REG y VAL POE - AESR - ESR'!X2704</f>
        <v>0</v>
      </c>
      <c r="AGC35" s="29">
        <f>'REG y VAL POE - AESR - ESR'!Y2704</f>
        <v>0</v>
      </c>
      <c r="AGD35" s="29">
        <f>'REG y VAL POE - AESR - ESR'!Z2704</f>
        <v>0</v>
      </c>
      <c r="AGE35" s="29">
        <f>'REG y VAL POE - AESR - ESR'!AA2704</f>
        <v>0</v>
      </c>
      <c r="AGF35" s="29">
        <f>'REG y VAL POE - AESR - ESR'!AB2704</f>
        <v>0</v>
      </c>
      <c r="AGG35" s="29">
        <f>'REG y VAL POE - AESR - ESR'!AC2704</f>
        <v>0</v>
      </c>
      <c r="AGH35" s="29">
        <f>'REG y VAL POE - AESR - ESR'!AD2704</f>
        <v>0</v>
      </c>
      <c r="AGI35" s="29">
        <f>'REG y VAL POE - AESR - ESR'!AE2704</f>
        <v>0</v>
      </c>
      <c r="AGJ35" s="29">
        <f>'REG y VAL POE - AESR - ESR'!AF2704</f>
        <v>0</v>
      </c>
      <c r="AGK35" s="29">
        <f>'REG y VAL POE - AESR - ESR'!AG2704</f>
        <v>0</v>
      </c>
      <c r="AGL35" s="29">
        <f>'REG y VAL POE - AESR - ESR'!AH2704</f>
        <v>0</v>
      </c>
      <c r="AGM35" s="29">
        <f>'REG y VAL POE - AESR - ESR'!AI2704</f>
        <v>0</v>
      </c>
      <c r="AGN35" s="29">
        <f>'REG y VAL POE - AESR - ESR'!AJ2704</f>
        <v>0</v>
      </c>
      <c r="AGO35" s="29">
        <f>'REG y VAL POE - AESR - ESR'!AK2704</f>
        <v>0</v>
      </c>
      <c r="AGP35" s="29">
        <f>'REG y VAL POE - AESR - ESR'!AL2704</f>
        <v>0</v>
      </c>
      <c r="AGQ35" s="29">
        <f>'REG y VAL POE - AESR - ESR'!AM2704</f>
        <v>0</v>
      </c>
      <c r="AGR35" s="29">
        <f>'REG y VAL POE - AESR - ESR'!AN2704</f>
        <v>0</v>
      </c>
      <c r="AGS35" s="29">
        <f>'REG y VAL POE - AESR - ESR'!AO2704</f>
        <v>0</v>
      </c>
      <c r="AGT35" s="29">
        <f>'REG y VAL POE - AESR - ESR'!AP2704</f>
        <v>0</v>
      </c>
      <c r="AGU35" s="29">
        <f>'REG y VAL POE - AESR - ESR'!AQ2704</f>
        <v>0</v>
      </c>
      <c r="AGV35" s="29">
        <f>'REG y VAL POE - AESR - ESR'!AR2704</f>
        <v>0</v>
      </c>
      <c r="AGW35" s="29">
        <f>'REG y VAL POE - AESR - ESR'!AS2704</f>
        <v>0</v>
      </c>
      <c r="AGX35" s="30"/>
      <c r="AGY35" s="29"/>
      <c r="AGZ35" s="28" t="str">
        <f t="shared" ref="AGZ35" si="161">IFERROR(VLOOKUP(AGX35,BASEPOE1,2,FALSE)," ")</f>
        <v xml:space="preserve"> </v>
      </c>
      <c r="AHA35" s="29"/>
      <c r="AHB35" s="28"/>
      <c r="AHC35" s="31"/>
      <c r="AHD35" s="31">
        <f>+AHC35+365</f>
        <v>365</v>
      </c>
      <c r="AHE35" s="29"/>
      <c r="AHF35" s="29"/>
      <c r="AHG35" s="29"/>
      <c r="AHH35" s="29"/>
      <c r="AHI35" s="29"/>
      <c r="AHJ35" s="388"/>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30"/>
      <c r="AIQ35" s="29"/>
      <c r="AIR35" s="28" t="str">
        <f t="shared" ref="AIR35" si="162">IFERROR(VLOOKUP(AIP35,BASEPOE1,2,FALSE)," ")</f>
        <v xml:space="preserve"> </v>
      </c>
      <c r="AIS35" s="29"/>
      <c r="AIT35" s="28"/>
      <c r="AIU35" s="31"/>
      <c r="AIV35" s="31">
        <f>+AIU35+365</f>
        <v>365</v>
      </c>
      <c r="AIW35" s="29"/>
      <c r="AIX35" s="29"/>
      <c r="AIY35" s="29"/>
      <c r="AIZ35" s="29"/>
      <c r="AJA35" s="29"/>
      <c r="AJB35" s="388"/>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8"/>
      <c r="AKL35" s="29"/>
      <c r="AKM35" s="29"/>
      <c r="AKN35" s="28"/>
      <c r="AKO35" s="29"/>
      <c r="AKP35" s="30"/>
      <c r="AKQ35" s="28"/>
      <c r="AKR35" s="29"/>
      <c r="AKS35" s="29"/>
      <c r="AKT35" s="29"/>
      <c r="AKU35" s="28"/>
      <c r="AKV35" s="29"/>
      <c r="AKW35" s="29"/>
      <c r="AKX35" s="28"/>
      <c r="AKY35" s="29"/>
      <c r="AKZ35" s="30"/>
      <c r="ALA35" s="28"/>
      <c r="ALB35" s="29"/>
      <c r="ALC35" s="29"/>
      <c r="ALD35" s="29"/>
      <c r="ALE35" s="28"/>
      <c r="ALF35" s="29"/>
      <c r="ALG35" s="29"/>
      <c r="ALH35" s="29"/>
      <c r="ALI35" s="29"/>
      <c r="ALJ35" s="29"/>
      <c r="ALK35" s="28"/>
      <c r="ALL35" s="29"/>
      <c r="ALM35" s="29"/>
      <c r="ALN35" s="28"/>
      <c r="ALO35" s="29"/>
      <c r="ALP35" s="30"/>
      <c r="ALQ35" s="28"/>
      <c r="ALR35" s="29"/>
      <c r="ALS35" s="29"/>
      <c r="ALT35" s="29"/>
      <c r="ALU35" s="28"/>
      <c r="ALV35" s="29"/>
      <c r="ALW35" s="29"/>
      <c r="ALX35" s="28"/>
      <c r="ALY35" s="29"/>
      <c r="ALZ35" s="30"/>
      <c r="AMA35" s="28"/>
      <c r="AMB35" s="29"/>
      <c r="AMC35" s="29"/>
      <c r="AMD35" s="29"/>
      <c r="AME35" s="28"/>
      <c r="AMF35" s="29"/>
      <c r="AMG35" s="29"/>
      <c r="AMH35" s="29"/>
      <c r="AMI35" s="29"/>
      <c r="AMJ35" s="29"/>
      <c r="AMK35" s="28"/>
      <c r="AML35" s="29"/>
      <c r="AMM35" s="29"/>
      <c r="AMN35" s="28"/>
      <c r="AMO35" s="29"/>
      <c r="AMP35" s="30"/>
      <c r="AMQ35" s="28"/>
      <c r="AMR35" s="29"/>
      <c r="AMS35" s="29"/>
      <c r="AMT35" s="29"/>
      <c r="AMU35" s="28"/>
      <c r="AMV35" s="29"/>
      <c r="AMW35" s="29"/>
      <c r="AMX35" s="28"/>
      <c r="AMY35" s="29"/>
      <c r="AMZ35" s="30"/>
      <c r="ANA35" s="28"/>
      <c r="ANB35" s="29"/>
      <c r="ANC35" s="29"/>
      <c r="AND35" s="29"/>
      <c r="ANE35" s="28"/>
      <c r="ANF35" s="29"/>
      <c r="ANG35" s="29"/>
      <c r="ANH35" s="29"/>
      <c r="ANI35" s="29"/>
      <c r="ANJ35" s="29"/>
      <c r="ANK35" s="28"/>
      <c r="ANL35" s="29"/>
      <c r="ANM35" s="29"/>
      <c r="ANN35" s="28"/>
      <c r="ANO35" s="29"/>
      <c r="ANP35" s="30"/>
      <c r="ANQ35" s="28"/>
      <c r="ANR35" s="29"/>
      <c r="ANS35" s="29"/>
      <c r="ANT35" s="29"/>
      <c r="ANU35" s="28"/>
      <c r="ANV35" s="29"/>
      <c r="ANW35" s="29"/>
      <c r="ANX35" s="28"/>
      <c r="ANY35" s="29"/>
      <c r="ANZ35" s="30"/>
      <c r="AOA35" s="28"/>
      <c r="AOB35" s="29"/>
      <c r="AOC35" s="29"/>
      <c r="AOD35" s="29"/>
      <c r="AOE35" s="28"/>
      <c r="AOF35" s="29"/>
      <c r="AOG35" s="29"/>
      <c r="AOH35" s="29"/>
      <c r="AOI35" s="29"/>
      <c r="AOJ35" s="29"/>
      <c r="AOK35" s="28"/>
      <c r="AOL35" s="29"/>
      <c r="AOM35" s="29"/>
      <c r="AON35" s="28"/>
      <c r="AOO35" s="29"/>
      <c r="AOP35" s="30"/>
      <c r="AOQ35" s="28"/>
      <c r="AOR35" s="29"/>
      <c r="AOS35" s="29"/>
      <c r="AOT35" s="29"/>
      <c r="AOU35" s="28"/>
      <c r="AOV35" s="29"/>
      <c r="AOW35" s="29"/>
      <c r="AOX35" s="28"/>
      <c r="AOY35" s="29"/>
      <c r="AOZ35" s="30"/>
      <c r="APA35" s="28"/>
      <c r="APB35" s="29"/>
      <c r="APC35" s="29"/>
      <c r="APD35" s="29"/>
      <c r="APE35" s="28"/>
      <c r="APF35" s="29"/>
      <c r="APG35" s="29"/>
      <c r="APH35" s="29"/>
      <c r="API35" s="29"/>
      <c r="APJ35" s="29"/>
      <c r="APK35" s="28"/>
      <c r="APL35" s="29"/>
      <c r="APM35" s="29"/>
      <c r="APN35" s="28"/>
      <c r="APO35" s="29"/>
      <c r="APP35" s="30"/>
      <c r="APQ35" s="28"/>
      <c r="APR35" s="29"/>
      <c r="APS35" s="29"/>
      <c r="APT35" s="29"/>
      <c r="APU35" s="28"/>
      <c r="APV35" s="29"/>
      <c r="APW35" s="29"/>
      <c r="APX35" s="28"/>
      <c r="APY35" s="29"/>
      <c r="APZ35" s="30"/>
      <c r="AQA35" s="28"/>
      <c r="AQB35" s="29"/>
      <c r="AQC35" s="29"/>
      <c r="AQD35" s="29"/>
      <c r="AQE35" s="28"/>
      <c r="AQF35" s="29"/>
      <c r="AQG35" s="29"/>
      <c r="AQH35" s="29"/>
      <c r="AQI35" s="29"/>
      <c r="AQJ35" s="29"/>
      <c r="AQK35" s="28"/>
      <c r="AQL35" s="29"/>
      <c r="AQM35" s="29"/>
      <c r="AQN35" s="28"/>
      <c r="AQO35" s="29"/>
      <c r="AQP35" s="30"/>
      <c r="AQQ35" s="28"/>
      <c r="AQR35" s="29"/>
      <c r="AQS35" s="29"/>
      <c r="AQT35" s="29"/>
      <c r="AQU35" s="28"/>
      <c r="AQV35" s="29"/>
      <c r="AQW35" s="29"/>
      <c r="AQX35" s="28"/>
      <c r="AQY35" s="29"/>
      <c r="AQZ35" s="30"/>
      <c r="ARA35" s="28"/>
      <c r="ARB35" s="29"/>
      <c r="ARC35" s="29"/>
      <c r="ARD35" s="29"/>
      <c r="ARE35" s="28"/>
      <c r="ARF35" s="29"/>
      <c r="ARG35" s="29"/>
      <c r="ARH35" s="29"/>
      <c r="ARI35" s="29"/>
      <c r="ARJ35" s="29"/>
      <c r="ARK35" s="28"/>
      <c r="ARL35" s="29"/>
      <c r="ARM35" s="29"/>
      <c r="ARN35" s="28"/>
      <c r="ARO35" s="29"/>
      <c r="ARP35" s="30"/>
      <c r="ARQ35" s="28"/>
      <c r="ARR35" s="29"/>
      <c r="ARS35" s="29"/>
      <c r="ART35" s="29"/>
      <c r="ARU35" s="28"/>
      <c r="ARV35" s="29"/>
      <c r="ARW35" s="29"/>
      <c r="ARX35" s="28"/>
      <c r="ARY35" s="29"/>
      <c r="ARZ35" s="30"/>
      <c r="ASA35" s="28"/>
      <c r="ASB35" s="29"/>
      <c r="ASC35" s="29"/>
      <c r="ASD35" s="29"/>
      <c r="ASE35" s="28"/>
      <c r="ASF35" s="29"/>
      <c r="ASG35" s="29"/>
      <c r="ASH35" s="29"/>
      <c r="ASI35" s="29"/>
      <c r="ASJ35" s="29"/>
      <c r="ASK35" s="28"/>
      <c r="ASL35" s="29"/>
      <c r="ASM35" s="29"/>
      <c r="ASN35" s="28"/>
      <c r="ASO35" s="29"/>
      <c r="ASP35" s="30"/>
      <c r="ASQ35" s="28"/>
      <c r="ASR35" s="29"/>
      <c r="ASS35" s="29"/>
      <c r="AST35" s="29"/>
      <c r="ASU35" s="28"/>
      <c r="ASV35" s="29"/>
      <c r="ASW35" s="29"/>
      <c r="ASX35" s="28"/>
      <c r="ASY35" s="29"/>
      <c r="ASZ35" s="30"/>
      <c r="ATA35" s="28"/>
      <c r="ATB35" s="29"/>
      <c r="ATC35" s="29"/>
      <c r="ATD35" s="29"/>
      <c r="ATE35" s="28"/>
      <c r="ATF35" s="29"/>
      <c r="ATG35" s="29"/>
      <c r="ATH35" s="29"/>
      <c r="ATI35" s="29"/>
      <c r="ATJ35" s="29"/>
      <c r="ATK35" s="28"/>
      <c r="ATL35" s="29"/>
      <c r="ATM35" s="29"/>
      <c r="ATN35" s="28"/>
      <c r="ATO35" s="29"/>
      <c r="ATP35" s="30"/>
      <c r="ATQ35" s="28"/>
      <c r="ATR35" s="29"/>
      <c r="ATS35" s="29"/>
      <c r="ATT35" s="29"/>
      <c r="ATU35" s="28"/>
      <c r="ATV35" s="29"/>
      <c r="ATW35" s="29"/>
      <c r="ATX35" s="28"/>
      <c r="ATY35" s="29"/>
      <c r="ATZ35" s="30"/>
      <c r="AUA35" s="28"/>
      <c r="AUB35" s="29"/>
      <c r="AUC35" s="29"/>
      <c r="AUD35" s="29"/>
      <c r="AUE35" s="28"/>
      <c r="AUF35" s="29"/>
      <c r="AUG35" s="29"/>
      <c r="AUH35" s="29"/>
      <c r="AUI35" s="29"/>
      <c r="AUJ35" s="29"/>
      <c r="AUK35" s="28"/>
      <c r="AUL35" s="29"/>
      <c r="AUM35" s="29"/>
      <c r="AUN35" s="28"/>
      <c r="AUO35" s="29"/>
      <c r="AUP35" s="30"/>
      <c r="AUQ35" s="28"/>
      <c r="AUR35" s="29"/>
      <c r="AUS35" s="29"/>
      <c r="AUT35" s="29"/>
      <c r="AUU35" s="28"/>
      <c r="AUV35" s="29"/>
      <c r="AUW35" s="29"/>
      <c r="AUX35" s="28"/>
      <c r="AUY35" s="29"/>
      <c r="AUZ35" s="30"/>
      <c r="AVA35" s="28"/>
      <c r="AVB35" s="29"/>
      <c r="AVC35" s="29"/>
      <c r="AVD35" s="29"/>
      <c r="AVE35" s="28"/>
      <c r="AVF35" s="29"/>
      <c r="AVG35" s="29"/>
      <c r="AVH35" s="29"/>
      <c r="AVI35" s="29"/>
      <c r="AVJ35" s="29"/>
      <c r="AVK35" s="28"/>
      <c r="AVL35" s="29"/>
      <c r="AVM35" s="29"/>
      <c r="AVN35" s="28"/>
      <c r="AVO35" s="29"/>
      <c r="AVP35" s="30"/>
      <c r="AVQ35" s="28"/>
      <c r="AVR35" s="29"/>
      <c r="AVS35" s="29"/>
      <c r="AVT35" s="29"/>
      <c r="AVU35" s="28"/>
      <c r="AVV35" s="29"/>
      <c r="AVW35" s="29"/>
      <c r="AVX35" s="28"/>
      <c r="AVY35" s="29"/>
      <c r="AVZ35" s="30"/>
      <c r="AWA35" s="28"/>
      <c r="AWB35" s="29"/>
      <c r="AWC35" s="29"/>
      <c r="AWD35" s="29"/>
      <c r="AWE35" s="28"/>
      <c r="AWF35" s="29"/>
      <c r="AWG35" s="29"/>
      <c r="AWH35" s="29"/>
      <c r="AWI35" s="29"/>
      <c r="AWJ35" s="29"/>
      <c r="AWK35" s="28"/>
      <c r="AWL35" s="29"/>
      <c r="AWM35" s="29"/>
      <c r="AWN35" s="28"/>
      <c r="AWO35" s="29"/>
      <c r="AWP35" s="30"/>
      <c r="AWQ35" s="28"/>
      <c r="AWR35" s="29"/>
      <c r="AWS35" s="29"/>
      <c r="AWT35" s="29"/>
      <c r="AWU35" s="28"/>
      <c r="AWV35" s="29"/>
      <c r="AWW35" s="29"/>
      <c r="AWX35" s="28"/>
      <c r="AWY35" s="29"/>
      <c r="AWZ35" s="30"/>
      <c r="AXA35" s="28"/>
      <c r="AXB35" s="29"/>
      <c r="AXC35" s="29"/>
      <c r="AXD35" s="29"/>
      <c r="AXE35" s="28"/>
      <c r="AXF35" s="29"/>
      <c r="AXG35" s="29"/>
      <c r="AXH35" s="29"/>
      <c r="AXI35" s="29"/>
      <c r="AXJ35" s="29"/>
      <c r="AXK35" s="28"/>
      <c r="AXL35" s="29"/>
      <c r="AXM35" s="29"/>
      <c r="AXN35" s="28"/>
      <c r="AXO35" s="29"/>
      <c r="AXP35" s="30"/>
      <c r="AXQ35" s="28"/>
      <c r="AXR35" s="29"/>
      <c r="AXS35" s="29"/>
      <c r="AXT35" s="29"/>
      <c r="AXU35" s="28"/>
      <c r="AXV35" s="29"/>
      <c r="AXW35" s="29"/>
      <c r="AXX35" s="28"/>
      <c r="AXY35" s="29"/>
      <c r="AXZ35" s="30"/>
      <c r="AYA35" s="28"/>
      <c r="AYB35" s="29"/>
      <c r="AYC35" s="29"/>
      <c r="AYD35" s="29"/>
      <c r="AYE35" s="28"/>
      <c r="AYF35" s="29"/>
      <c r="AYG35" s="29"/>
      <c r="AYH35" s="29"/>
      <c r="AYI35" s="29"/>
      <c r="AYJ35" s="29"/>
      <c r="AYK35" s="28"/>
      <c r="AYL35" s="29"/>
      <c r="AYM35" s="29"/>
      <c r="AYN35" s="28"/>
      <c r="AYO35" s="29"/>
      <c r="AYP35" s="30"/>
      <c r="AYQ35" s="28"/>
      <c r="AYR35" s="29"/>
      <c r="AYS35" s="29"/>
      <c r="AYT35" s="29"/>
      <c r="AYU35" s="28"/>
      <c r="AYV35" s="29"/>
      <c r="AYW35" s="29"/>
      <c r="AYX35" s="28"/>
      <c r="AYY35" s="29"/>
      <c r="AYZ35" s="30"/>
      <c r="AZA35" s="28"/>
      <c r="AZB35" s="29"/>
      <c r="AZC35" s="29"/>
      <c r="AZD35" s="29"/>
      <c r="AZE35" s="28"/>
      <c r="AZF35" s="29"/>
      <c r="AZG35" s="29"/>
      <c r="AZH35" s="29"/>
      <c r="AZI35" s="29"/>
      <c r="AZJ35" s="29"/>
      <c r="AZK35" s="28"/>
      <c r="AZL35" s="29"/>
      <c r="AZM35" s="29"/>
      <c r="AZN35" s="28"/>
      <c r="AZO35" s="29"/>
      <c r="AZP35" s="30"/>
      <c r="AZQ35" s="28"/>
      <c r="AZR35" s="29"/>
      <c r="AZS35" s="29"/>
      <c r="AZT35" s="29"/>
      <c r="AZU35" s="28"/>
      <c r="AZV35" s="29"/>
      <c r="AZW35" s="29"/>
      <c r="AZX35" s="28"/>
      <c r="AZY35" s="29"/>
      <c r="AZZ35" s="30"/>
      <c r="BAA35" s="28"/>
      <c r="BAB35" s="29"/>
      <c r="BAC35" s="29"/>
      <c r="BAD35" s="29"/>
      <c r="BAE35" s="28"/>
      <c r="BAF35" s="29"/>
      <c r="BAG35" s="29"/>
      <c r="BAH35" s="29"/>
      <c r="BAI35" s="29"/>
      <c r="BAJ35" s="29"/>
      <c r="BAK35" s="28"/>
      <c r="BAL35" s="29"/>
      <c r="BAM35" s="29"/>
      <c r="BAN35" s="28"/>
      <c r="BAO35" s="29"/>
      <c r="BAP35" s="30"/>
      <c r="BAQ35" s="28"/>
      <c r="BAR35" s="29"/>
      <c r="BAS35" s="29"/>
      <c r="BAT35" s="29"/>
      <c r="BAU35" s="28"/>
      <c r="BAV35" s="29"/>
      <c r="BAW35" s="29"/>
      <c r="BAX35" s="28"/>
      <c r="BAY35" s="29"/>
      <c r="BAZ35" s="30"/>
      <c r="BBA35" s="28"/>
      <c r="BBB35" s="29"/>
      <c r="BBC35" s="29"/>
      <c r="BBD35" s="29"/>
      <c r="BBE35" s="28"/>
      <c r="BBF35" s="29"/>
      <c r="BBG35" s="29"/>
      <c r="BBH35" s="29"/>
      <c r="BBI35" s="29"/>
      <c r="BBJ35" s="29"/>
      <c r="BBK35" s="28"/>
      <c r="BBL35" s="29"/>
      <c r="BBM35" s="29"/>
      <c r="BBN35" s="28"/>
      <c r="BBO35" s="29"/>
      <c r="BBP35" s="30"/>
      <c r="BBQ35" s="28"/>
      <c r="BBR35" s="29"/>
      <c r="BBS35" s="29"/>
      <c r="BBT35" s="29"/>
      <c r="BBU35" s="28"/>
      <c r="BBV35" s="29"/>
      <c r="BBW35" s="29"/>
      <c r="BBX35" s="28"/>
      <c r="BBY35" s="29"/>
      <c r="BBZ35" s="30"/>
      <c r="BCA35" s="28"/>
      <c r="BCB35" s="29"/>
      <c r="BCC35" s="29"/>
      <c r="BCD35" s="29"/>
      <c r="BCE35" s="28"/>
      <c r="BCF35" s="29"/>
      <c r="BCG35" s="29"/>
      <c r="BCH35" s="29"/>
      <c r="BCI35" s="29"/>
      <c r="BCJ35" s="29"/>
      <c r="BCK35" s="28"/>
      <c r="BCL35" s="29"/>
      <c r="BCM35" s="29"/>
      <c r="BCN35" s="28"/>
      <c r="BCO35" s="29"/>
      <c r="BCP35" s="30"/>
      <c r="BCQ35" s="28"/>
      <c r="BCR35" s="29"/>
      <c r="BCS35" s="29"/>
      <c r="BCT35" s="29"/>
      <c r="BCU35" s="28"/>
      <c r="BCV35" s="29"/>
      <c r="BCW35" s="29"/>
      <c r="BCX35" s="28"/>
      <c r="BCY35" s="29"/>
      <c r="BCZ35" s="30"/>
      <c r="BDA35" s="28"/>
      <c r="BDB35" s="29"/>
      <c r="BDC35" s="29"/>
      <c r="BDD35" s="29"/>
      <c r="BDE35" s="28"/>
      <c r="BDF35" s="29"/>
      <c r="BDG35" s="29"/>
      <c r="BDH35" s="29"/>
      <c r="BDI35" s="29"/>
      <c r="BDJ35" s="29"/>
      <c r="BDK35" s="28"/>
      <c r="BDL35" s="29"/>
      <c r="BDM35" s="29"/>
      <c r="BDN35" s="28"/>
      <c r="BDO35" s="29"/>
      <c r="BDP35" s="30"/>
      <c r="BDQ35" s="28"/>
      <c r="BDR35" s="29"/>
      <c r="BDS35" s="29"/>
      <c r="BDT35" s="29"/>
      <c r="BDU35" s="28"/>
      <c r="BDV35" s="29"/>
      <c r="BDW35" s="29"/>
      <c r="BDX35" s="28"/>
      <c r="BDY35" s="29"/>
      <c r="BDZ35" s="30"/>
      <c r="BEA35" s="28"/>
      <c r="BEB35" s="29"/>
      <c r="BEC35" s="29"/>
      <c r="BED35" s="29"/>
      <c r="BEE35" s="28"/>
      <c r="BEF35" s="29"/>
      <c r="BEG35" s="29"/>
      <c r="BEH35" s="29"/>
      <c r="BEI35" s="29"/>
      <c r="BEJ35" s="29"/>
      <c r="BEK35" s="28"/>
      <c r="BEL35" s="29"/>
      <c r="BEM35" s="29"/>
      <c r="BEN35" s="28"/>
      <c r="BEO35" s="29"/>
      <c r="BEP35" s="30"/>
      <c r="BEQ35" s="28"/>
      <c r="BER35" s="29"/>
      <c r="BES35" s="29"/>
      <c r="BET35" s="29"/>
      <c r="BEU35" s="28"/>
      <c r="BEV35" s="29"/>
      <c r="BEW35" s="29"/>
      <c r="BEX35" s="28"/>
      <c r="BEY35" s="29"/>
      <c r="BEZ35" s="30"/>
      <c r="BFA35" s="28"/>
      <c r="BFB35" s="29"/>
      <c r="BFC35" s="29"/>
      <c r="BFD35" s="29"/>
      <c r="BFE35" s="28"/>
      <c r="BFF35" s="29"/>
      <c r="BFG35" s="29"/>
      <c r="BFH35" s="29"/>
      <c r="BFI35" s="29"/>
      <c r="BFJ35" s="29"/>
      <c r="BFK35" s="28"/>
      <c r="BFL35" s="29"/>
      <c r="BFM35" s="29"/>
      <c r="BFN35" s="28"/>
      <c r="BFO35" s="29"/>
      <c r="BFP35" s="30"/>
      <c r="BFQ35" s="28"/>
      <c r="BFR35" s="29"/>
      <c r="BFS35" s="29"/>
      <c r="BFT35" s="29"/>
      <c r="BFU35" s="28"/>
      <c r="BFV35" s="29"/>
      <c r="BFW35" s="29"/>
      <c r="BFX35" s="28"/>
      <c r="BFY35" s="29"/>
      <c r="BFZ35" s="30"/>
      <c r="BGA35" s="28"/>
      <c r="BGB35" s="29"/>
      <c r="BGC35" s="29"/>
      <c r="BGD35" s="29"/>
      <c r="BGE35" s="28"/>
      <c r="BGF35" s="29"/>
      <c r="BGG35" s="29"/>
      <c r="BGH35" s="29"/>
      <c r="BGI35" s="29"/>
      <c r="BGJ35" s="29"/>
      <c r="BGK35" s="28"/>
      <c r="BGL35" s="29"/>
      <c r="BGM35" s="29"/>
      <c r="BGN35" s="28"/>
      <c r="BGO35" s="29"/>
      <c r="BGP35" s="30"/>
      <c r="BGQ35" s="28"/>
      <c r="BGR35" s="29"/>
      <c r="BGS35" s="29"/>
      <c r="BGT35" s="29"/>
      <c r="BGU35" s="28"/>
      <c r="BGV35" s="29"/>
      <c r="BGW35" s="29"/>
      <c r="BGX35" s="28"/>
      <c r="BGY35" s="29"/>
      <c r="BGZ35" s="30"/>
      <c r="BHA35" s="28"/>
      <c r="BHB35" s="29"/>
      <c r="BHC35" s="29"/>
      <c r="BHD35" s="29"/>
      <c r="BHE35" s="28"/>
      <c r="BHF35" s="29"/>
      <c r="BHG35" s="29"/>
      <c r="BHH35" s="29"/>
      <c r="BHI35" s="29"/>
      <c r="BHJ35" s="29"/>
      <c r="BHK35" s="28"/>
      <c r="BHL35" s="29"/>
      <c r="BHM35" s="29"/>
      <c r="BHN35" s="28"/>
      <c r="BHO35" s="29"/>
      <c r="BHP35" s="30"/>
      <c r="BHQ35" s="28"/>
      <c r="BHR35" s="29"/>
      <c r="BHS35" s="29"/>
      <c r="BHT35" s="29"/>
      <c r="BHU35" s="28"/>
      <c r="BHV35" s="29"/>
      <c r="BHW35" s="29"/>
      <c r="BHX35" s="28"/>
      <c r="BHY35" s="29"/>
      <c r="BHZ35" s="30"/>
      <c r="BIA35" s="28"/>
      <c r="BIB35" s="29"/>
      <c r="BIC35" s="29"/>
      <c r="BID35" s="29"/>
      <c r="BIE35" s="28"/>
      <c r="BIF35" s="29"/>
      <c r="BIG35" s="29"/>
      <c r="BIH35" s="29"/>
      <c r="BII35" s="29"/>
      <c r="BIJ35" s="29"/>
      <c r="BIK35" s="28"/>
      <c r="BIL35" s="29"/>
      <c r="BIM35" s="29"/>
      <c r="BIN35" s="28"/>
      <c r="BIO35" s="29"/>
      <c r="BIP35" s="30"/>
      <c r="BIQ35" s="28"/>
      <c r="BIR35" s="29"/>
      <c r="BIS35" s="29"/>
      <c r="BIT35" s="29"/>
      <c r="BIU35" s="28"/>
      <c r="BIV35" s="29"/>
      <c r="BIW35" s="29"/>
      <c r="BIX35" s="28"/>
      <c r="BIY35" s="29"/>
      <c r="BIZ35" s="30"/>
      <c r="BJA35" s="28"/>
      <c r="BJB35" s="29"/>
      <c r="BJC35" s="29"/>
      <c r="BJD35" s="29"/>
      <c r="BJE35" s="28"/>
      <c r="BJF35" s="29"/>
      <c r="BJG35" s="29"/>
      <c r="BJH35" s="29"/>
      <c r="BJI35" s="29"/>
      <c r="BJJ35" s="29"/>
      <c r="BJK35" s="28"/>
      <c r="BJL35" s="29"/>
      <c r="BJM35" s="29"/>
      <c r="BJN35" s="28"/>
      <c r="BJO35" s="29"/>
      <c r="BJP35" s="30"/>
      <c r="BJQ35" s="28"/>
      <c r="BJR35" s="29"/>
      <c r="BJS35" s="29"/>
      <c r="BJT35" s="29"/>
      <c r="BJU35" s="28"/>
      <c r="BJV35" s="29"/>
      <c r="BJW35" s="29"/>
      <c r="BJX35" s="28"/>
      <c r="BJY35" s="29"/>
      <c r="BJZ35" s="30"/>
      <c r="BKA35" s="28"/>
      <c r="BKB35" s="29"/>
      <c r="BKC35" s="29"/>
      <c r="BKD35" s="29"/>
      <c r="BKE35" s="28"/>
      <c r="BKF35" s="29"/>
      <c r="BKG35" s="29"/>
      <c r="BKH35" s="29"/>
      <c r="BKI35" s="29"/>
      <c r="BKJ35" s="29"/>
      <c r="BKK35" s="28"/>
      <c r="BKL35" s="29"/>
      <c r="BKM35" s="29"/>
      <c r="BKN35" s="28"/>
      <c r="BKO35" s="29"/>
      <c r="BKP35" s="30"/>
      <c r="BKQ35" s="28"/>
      <c r="BKR35" s="29"/>
      <c r="BKS35" s="29"/>
      <c r="BKT35" s="29"/>
      <c r="BKU35" s="28"/>
      <c r="BKV35" s="29"/>
      <c r="BKW35" s="29"/>
      <c r="BKX35" s="28"/>
      <c r="BKY35" s="29"/>
      <c r="BKZ35" s="30"/>
      <c r="BLA35" s="28"/>
      <c r="BLB35" s="29"/>
      <c r="BLC35" s="29"/>
      <c r="BLD35" s="29"/>
      <c r="BLE35" s="28"/>
      <c r="BLF35" s="29"/>
      <c r="BLG35" s="29"/>
      <c r="BLH35" s="29"/>
      <c r="BLI35" s="29"/>
      <c r="BLJ35" s="29"/>
      <c r="BLK35" s="28"/>
      <c r="BLL35" s="29"/>
      <c r="BLM35" s="29"/>
      <c r="BLN35" s="28"/>
      <c r="BLO35" s="29"/>
      <c r="BLP35" s="30"/>
      <c r="BLQ35" s="28"/>
      <c r="BLR35" s="29"/>
      <c r="BLS35" s="29"/>
      <c r="BLT35" s="29"/>
      <c r="BLU35" s="28"/>
      <c r="BLV35" s="29"/>
      <c r="BLW35" s="29"/>
      <c r="BLX35" s="28"/>
      <c r="BLY35" s="29"/>
      <c r="BLZ35" s="30"/>
      <c r="BMA35" s="28"/>
      <c r="BMB35" s="29"/>
      <c r="BMC35" s="29"/>
      <c r="BMD35" s="29"/>
      <c r="BME35" s="28"/>
      <c r="BMF35" s="29"/>
      <c r="BMG35" s="29"/>
      <c r="BMH35" s="29"/>
      <c r="BMI35" s="29"/>
      <c r="BMJ35" s="29"/>
      <c r="BMK35" s="28"/>
      <c r="BML35" s="29"/>
      <c r="BMM35" s="29"/>
      <c r="BMN35" s="28"/>
      <c r="BMO35" s="29"/>
      <c r="BMP35" s="30"/>
      <c r="BMQ35" s="28"/>
      <c r="BMR35" s="29"/>
      <c r="BMS35" s="29"/>
      <c r="BMT35" s="29"/>
      <c r="BMU35" s="28"/>
      <c r="BMV35" s="29"/>
      <c r="BMW35" s="29"/>
      <c r="BMX35" s="28"/>
      <c r="BMY35" s="29"/>
      <c r="BMZ35" s="30"/>
      <c r="BNA35" s="28"/>
      <c r="BNB35" s="29"/>
      <c r="BNC35" s="29"/>
      <c r="BND35" s="29"/>
      <c r="BNE35" s="28"/>
      <c r="BNF35" s="29"/>
      <c r="BNG35" s="29"/>
      <c r="BNH35" s="29"/>
      <c r="BNI35" s="29"/>
      <c r="BNJ35" s="29"/>
      <c r="BNK35" s="28"/>
      <c r="BNL35" s="29"/>
      <c r="BNM35" s="29"/>
      <c r="BNN35" s="28"/>
      <c r="BNO35" s="29"/>
      <c r="BNP35" s="30"/>
      <c r="BNQ35" s="28"/>
      <c r="BNR35" s="29"/>
      <c r="BNS35" s="29"/>
      <c r="BNT35" s="29"/>
      <c r="BNU35" s="28"/>
      <c r="BNV35" s="29"/>
      <c r="BNW35" s="29"/>
      <c r="BNX35" s="28"/>
      <c r="BNY35" s="29"/>
      <c r="BNZ35" s="30"/>
      <c r="BOA35" s="28"/>
      <c r="BOB35" s="29"/>
      <c r="BOC35" s="29"/>
      <c r="BOD35" s="29"/>
      <c r="BOE35" s="28"/>
      <c r="BOF35" s="29"/>
      <c r="BOG35" s="29"/>
      <c r="BOH35" s="29"/>
      <c r="BOI35" s="29"/>
      <c r="BOJ35" s="29"/>
      <c r="BOK35" s="28"/>
      <c r="BOL35" s="29"/>
      <c r="BOM35" s="29"/>
      <c r="BON35" s="28"/>
      <c r="BOO35" s="29"/>
      <c r="BOP35" s="30"/>
      <c r="BOQ35" s="28"/>
      <c r="BOR35" s="29"/>
      <c r="BOS35" s="29"/>
      <c r="BOT35" s="29"/>
      <c r="BOU35" s="28"/>
      <c r="BOV35" s="29"/>
      <c r="BOW35" s="29"/>
      <c r="BOX35" s="28"/>
      <c r="BOY35" s="29"/>
      <c r="BOZ35" s="30"/>
      <c r="BPA35" s="28"/>
      <c r="BPB35" s="29"/>
      <c r="BPC35" s="29"/>
      <c r="BPD35" s="29"/>
      <c r="BPE35" s="28"/>
      <c r="BPF35" s="29"/>
      <c r="BPG35" s="29"/>
      <c r="BPH35" s="29"/>
      <c r="BPI35" s="29"/>
      <c r="BPJ35" s="29"/>
      <c r="BPK35" s="28"/>
      <c r="BPL35" s="29"/>
      <c r="BPM35" s="29"/>
      <c r="BPN35" s="28"/>
      <c r="BPO35" s="29"/>
      <c r="BPP35" s="30"/>
      <c r="BPQ35" s="28"/>
      <c r="BPR35" s="29"/>
      <c r="BPS35" s="29"/>
      <c r="BPT35" s="29"/>
      <c r="BPU35" s="28"/>
      <c r="BPV35" s="29"/>
      <c r="BPW35" s="29"/>
      <c r="BPX35" s="28"/>
      <c r="BPY35" s="29"/>
      <c r="BPZ35" s="30"/>
      <c r="BQA35" s="28"/>
      <c r="BQB35" s="29"/>
      <c r="BQC35" s="29"/>
      <c r="BQD35" s="29"/>
      <c r="BQE35" s="28"/>
      <c r="BQF35" s="29"/>
      <c r="BQG35" s="29"/>
      <c r="BQH35" s="29"/>
      <c r="BQI35" s="29"/>
      <c r="BQJ35" s="29"/>
      <c r="BQK35" s="28"/>
      <c r="BQL35" s="29"/>
      <c r="BQM35" s="29"/>
      <c r="BQN35" s="28"/>
      <c r="BQO35" s="29"/>
      <c r="BQP35" s="30"/>
      <c r="BQQ35" s="28"/>
      <c r="BQR35" s="29"/>
      <c r="BQS35" s="29"/>
      <c r="BQT35" s="29"/>
      <c r="BQU35" s="28"/>
      <c r="BQV35" s="29"/>
      <c r="BQW35" s="29"/>
      <c r="BQX35" s="28"/>
      <c r="BQY35" s="29"/>
      <c r="BQZ35" s="30"/>
      <c r="BRA35" s="28"/>
      <c r="BRB35" s="29"/>
      <c r="BRC35" s="29"/>
      <c r="BRD35" s="29"/>
      <c r="BRE35" s="28"/>
      <c r="BRF35" s="29"/>
      <c r="BRG35" s="29"/>
      <c r="BRH35" s="29"/>
      <c r="BRI35" s="29"/>
      <c r="BRJ35" s="29"/>
      <c r="BRK35" s="28"/>
      <c r="BRL35" s="29"/>
      <c r="BRM35" s="29"/>
      <c r="BRN35" s="28"/>
      <c r="BRO35" s="29"/>
      <c r="BRP35" s="30"/>
      <c r="BRQ35" s="28"/>
      <c r="BRR35" s="29"/>
      <c r="BRS35" s="29"/>
      <c r="BRT35" s="29"/>
      <c r="BRU35" s="28"/>
      <c r="BRV35" s="29"/>
      <c r="BRW35" s="29"/>
      <c r="BRX35" s="28"/>
      <c r="BRY35" s="29"/>
      <c r="BRZ35" s="30"/>
      <c r="BSA35" s="28"/>
      <c r="BSB35" s="29"/>
      <c r="BSC35" s="29"/>
      <c r="BSD35" s="29"/>
      <c r="BSE35" s="28"/>
      <c r="BSF35" s="29"/>
      <c r="BSG35" s="29"/>
      <c r="BSH35" s="29"/>
      <c r="BSI35" s="29"/>
      <c r="BSJ35" s="29"/>
      <c r="BSK35" s="28"/>
      <c r="BSL35" s="29"/>
      <c r="BSM35" s="29"/>
      <c r="BSN35" s="28"/>
      <c r="BSO35" s="29"/>
      <c r="BSP35" s="30"/>
      <c r="BSQ35" s="28"/>
      <c r="BSR35" s="29"/>
      <c r="BSS35" s="29"/>
      <c r="BST35" s="29"/>
      <c r="BSU35" s="28"/>
      <c r="BSV35" s="29"/>
      <c r="BSW35" s="29"/>
      <c r="BSX35" s="28"/>
      <c r="BSY35" s="29"/>
      <c r="BSZ35" s="30"/>
      <c r="BTA35" s="28"/>
      <c r="BTB35" s="29"/>
      <c r="BTC35" s="29"/>
      <c r="BTD35" s="29"/>
      <c r="BTE35" s="28"/>
      <c r="BTF35" s="29"/>
      <c r="BTG35" s="29"/>
      <c r="BTH35" s="29"/>
      <c r="BTI35" s="29"/>
      <c r="BTJ35" s="29"/>
      <c r="BTK35" s="28"/>
      <c r="BTL35" s="29"/>
      <c r="BTM35" s="29"/>
      <c r="BTN35" s="28"/>
      <c r="BTO35" s="29"/>
      <c r="BTP35" s="30"/>
      <c r="BTQ35" s="28"/>
      <c r="BTR35" s="29"/>
      <c r="BTS35" s="29"/>
      <c r="BTT35" s="29"/>
      <c r="BTU35" s="28"/>
      <c r="BTV35" s="29"/>
      <c r="BTW35" s="29"/>
      <c r="BTX35" s="28"/>
      <c r="BTY35" s="29"/>
      <c r="BTZ35" s="30"/>
      <c r="BUA35" s="28"/>
      <c r="BUB35" s="29"/>
      <c r="BUC35" s="29"/>
      <c r="BUD35" s="29"/>
      <c r="BUE35" s="28"/>
      <c r="BUF35" s="29"/>
      <c r="BUG35" s="29"/>
      <c r="BUH35" s="29"/>
      <c r="BUI35" s="29"/>
      <c r="BUJ35" s="29"/>
      <c r="BUK35" s="28"/>
      <c r="BUL35" s="29"/>
      <c r="BUM35" s="29"/>
      <c r="BUN35" s="28"/>
      <c r="BUO35" s="29"/>
      <c r="BUP35" s="30"/>
      <c r="BUQ35" s="28"/>
      <c r="BUR35" s="29"/>
      <c r="BUS35" s="29"/>
      <c r="BUT35" s="29"/>
      <c r="BUU35" s="28"/>
      <c r="BUV35" s="29"/>
      <c r="BUW35" s="29"/>
      <c r="BUX35" s="28"/>
      <c r="BUY35" s="29"/>
      <c r="BUZ35" s="30"/>
      <c r="BVA35" s="28"/>
      <c r="BVB35" s="29"/>
      <c r="BVC35" s="29"/>
      <c r="BVD35" s="29"/>
      <c r="BVE35" s="28"/>
      <c r="BVF35" s="29"/>
      <c r="BVG35" s="29"/>
      <c r="BVH35" s="29"/>
      <c r="BVI35" s="29"/>
      <c r="BVJ35" s="29"/>
      <c r="BVK35" s="28"/>
      <c r="BVL35" s="29"/>
      <c r="BVM35" s="29"/>
      <c r="BVN35" s="28"/>
      <c r="BVO35" s="29"/>
      <c r="BVP35" s="30"/>
      <c r="BVQ35" s="28"/>
      <c r="BVR35" s="29"/>
      <c r="BVS35" s="29"/>
      <c r="BVT35" s="29"/>
      <c r="BVU35" s="28"/>
      <c r="BVV35" s="29"/>
      <c r="BVW35" s="29"/>
      <c r="BVX35" s="28"/>
      <c r="BVY35" s="29"/>
      <c r="BVZ35" s="30"/>
      <c r="BWA35" s="28"/>
      <c r="BWB35" s="29"/>
      <c r="BWC35" s="29"/>
      <c r="BWD35" s="29"/>
      <c r="BWE35" s="28"/>
      <c r="BWF35" s="29"/>
      <c r="BWG35" s="29"/>
      <c r="BWH35" s="29"/>
      <c r="BWI35" s="29"/>
      <c r="BWJ35" s="29"/>
      <c r="BWK35" s="28"/>
      <c r="BWL35" s="29"/>
      <c r="BWM35" s="29"/>
      <c r="BWN35" s="28"/>
      <c r="BWO35" s="29"/>
      <c r="BWP35" s="30"/>
      <c r="BWQ35" s="28"/>
      <c r="BWR35" s="29"/>
      <c r="BWS35" s="29"/>
      <c r="BWT35" s="29"/>
      <c r="BWU35" s="28"/>
      <c r="BWV35" s="29"/>
      <c r="BWW35" s="29"/>
      <c r="BWX35" s="28"/>
      <c r="BWY35" s="29"/>
      <c r="BWZ35" s="30"/>
      <c r="BXA35" s="28"/>
      <c r="BXB35" s="29"/>
      <c r="BXC35" s="29"/>
      <c r="BXD35" s="29"/>
      <c r="BXE35" s="28"/>
      <c r="BXF35" s="29"/>
      <c r="BXG35" s="29"/>
      <c r="BXH35" s="29"/>
      <c r="BXI35" s="29"/>
      <c r="BXJ35" s="29"/>
      <c r="BXK35" s="28"/>
      <c r="BXL35" s="29"/>
      <c r="BXM35" s="29"/>
      <c r="BXN35" s="28"/>
      <c r="BXO35" s="29"/>
      <c r="BXP35" s="30"/>
      <c r="BXQ35" s="28"/>
      <c r="BXR35" s="29"/>
      <c r="BXS35" s="29"/>
      <c r="BXT35" s="29"/>
      <c r="BXU35" s="28"/>
      <c r="BXV35" s="29"/>
      <c r="BXW35" s="29"/>
      <c r="BXX35" s="28"/>
      <c r="BXY35" s="29"/>
      <c r="BXZ35" s="30"/>
      <c r="BYA35" s="28"/>
      <c r="BYB35" s="29"/>
      <c r="BYC35" s="29"/>
      <c r="BYD35" s="29"/>
      <c r="BYE35" s="28"/>
      <c r="BYF35" s="29"/>
      <c r="BYG35" s="29"/>
      <c r="BYH35" s="29"/>
      <c r="BYI35" s="29"/>
      <c r="BYJ35" s="29"/>
      <c r="BYK35" s="28"/>
      <c r="BYL35" s="29"/>
      <c r="BYM35" s="29"/>
      <c r="BYN35" s="28"/>
      <c r="BYO35" s="29"/>
      <c r="BYP35" s="30"/>
      <c r="BYQ35" s="28"/>
      <c r="BYR35" s="29"/>
      <c r="BYS35" s="29"/>
      <c r="BYT35" s="29"/>
      <c r="BYU35" s="28"/>
      <c r="BYV35" s="29"/>
      <c r="BYW35" s="29"/>
      <c r="BYX35" s="30"/>
      <c r="BYY35" s="29"/>
      <c r="BYZ35" s="28"/>
      <c r="BZA35" s="29"/>
      <c r="BZB35" s="28"/>
      <c r="BZC35" s="28"/>
      <c r="BZD35" s="28"/>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30"/>
      <c r="CAQ35" s="28"/>
      <c r="CAR35" s="29"/>
      <c r="CAS35" s="30"/>
      <c r="CAT35" s="29"/>
      <c r="CAU35" s="29"/>
      <c r="CAV35" s="29"/>
      <c r="CAW35" s="28"/>
      <c r="CAX35" s="29"/>
      <c r="CAY35" s="29"/>
      <c r="CAZ35" s="28"/>
      <c r="CBA35" s="29"/>
      <c r="CBB35" s="30"/>
      <c r="CBC35" s="28"/>
      <c r="CBD35" s="29"/>
      <c r="CBE35" s="30"/>
      <c r="CBF35" s="29"/>
      <c r="CBG35" s="28"/>
      <c r="CBH35" s="29"/>
      <c r="CBI35" s="29"/>
      <c r="CBJ35" s="28"/>
      <c r="CBK35" s="29"/>
      <c r="CBL35" s="30"/>
      <c r="CBM35" s="28"/>
      <c r="CBN35" s="29"/>
      <c r="CBO35" s="30"/>
      <c r="CBP35" s="29"/>
      <c r="CBQ35" s="28"/>
      <c r="CBR35" s="29"/>
      <c r="CBS35" s="29"/>
      <c r="CBT35" s="28"/>
      <c r="CBU35" s="29"/>
      <c r="CBV35" s="30"/>
      <c r="CBW35" s="28"/>
      <c r="CBX35" s="29"/>
      <c r="CBY35" s="30"/>
      <c r="CBZ35" s="29"/>
      <c r="CCA35" s="28"/>
      <c r="CCB35" s="29"/>
      <c r="CCC35" s="29"/>
      <c r="CCD35" s="28"/>
      <c r="CCE35" s="29"/>
      <c r="CCF35" s="30"/>
      <c r="CCG35" s="28"/>
      <c r="CCH35" s="30"/>
      <c r="CCI35" s="29"/>
      <c r="CCJ35" s="28"/>
      <c r="CCK35" s="29"/>
      <c r="CCL35" s="28"/>
      <c r="CCM35" s="28"/>
      <c r="CCN35" s="28"/>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30"/>
      <c r="CEA35" s="28"/>
      <c r="CEB35" s="29"/>
      <c r="CEC35" s="30"/>
      <c r="CED35" s="29"/>
      <c r="CEE35" s="29"/>
      <c r="CEF35" s="29"/>
      <c r="CEG35" s="28"/>
      <c r="CEH35" s="29"/>
      <c r="CEI35" s="29"/>
      <c r="CEJ35" s="28"/>
      <c r="CEK35" s="29"/>
      <c r="CEL35" s="30"/>
      <c r="CEM35" s="28"/>
      <c r="CEN35" s="29"/>
      <c r="CEO35" s="30"/>
      <c r="CEP35" s="29"/>
      <c r="CEQ35" s="28"/>
      <c r="CER35" s="29"/>
      <c r="CES35" s="29"/>
      <c r="CET35" s="28"/>
      <c r="CEU35" s="29"/>
      <c r="CEV35" s="30"/>
      <c r="CEW35" s="28"/>
      <c r="CEX35" s="29"/>
      <c r="CEY35" s="30"/>
      <c r="CEZ35" s="29"/>
      <c r="CFA35" s="28"/>
      <c r="CFB35" s="29"/>
      <c r="CFC35" s="29"/>
      <c r="CFD35" s="28"/>
      <c r="CFE35" s="29"/>
      <c r="CFF35" s="30"/>
      <c r="CFG35" s="28"/>
      <c r="CFH35" s="29"/>
      <c r="CFI35" s="30"/>
      <c r="CFJ35" s="29"/>
      <c r="CFK35" s="28"/>
      <c r="CFL35" s="29"/>
      <c r="CFM35" s="29"/>
      <c r="CFN35" s="28"/>
      <c r="CFO35" s="29"/>
      <c r="CFP35" s="30"/>
      <c r="CFQ35" s="28"/>
      <c r="CFR35" s="30"/>
      <c r="CFS35" s="29"/>
      <c r="CFT35" s="28"/>
      <c r="CFU35" s="29"/>
      <c r="CFV35" s="28"/>
      <c r="CFW35" s="28"/>
      <c r="CFX35" s="28"/>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30"/>
      <c r="CHK35" s="28"/>
      <c r="CHL35" s="29"/>
      <c r="CHM35" s="30"/>
      <c r="CHN35" s="29"/>
      <c r="CHO35" s="29"/>
      <c r="CHP35" s="29"/>
      <c r="CHQ35" s="28"/>
      <c r="CHR35" s="29"/>
      <c r="CHS35" s="29"/>
      <c r="CHT35" s="28"/>
      <c r="CHU35" s="29"/>
      <c r="CHV35" s="30"/>
      <c r="CHW35" s="28"/>
      <c r="CHX35" s="29"/>
      <c r="CHY35" s="30"/>
      <c r="CHZ35" s="29"/>
      <c r="CIA35" s="28"/>
      <c r="CIB35" s="29"/>
      <c r="CIC35" s="29"/>
      <c r="CID35" s="28"/>
      <c r="CIE35" s="29"/>
      <c r="CIF35" s="30"/>
      <c r="CIG35" s="28"/>
      <c r="CIH35" s="29"/>
      <c r="CII35" s="30"/>
      <c r="CIJ35" s="29"/>
      <c r="CIK35" s="28"/>
      <c r="CIL35" s="29"/>
      <c r="CIM35" s="29"/>
      <c r="CIN35" s="28"/>
      <c r="CIO35" s="29"/>
      <c r="CIP35" s="30"/>
      <c r="CIQ35" s="28"/>
      <c r="CIR35" s="29"/>
      <c r="CIS35" s="30"/>
      <c r="CIT35" s="29"/>
      <c r="CIU35" s="28"/>
      <c r="CIV35" s="29"/>
      <c r="CIW35" s="29"/>
      <c r="CIX35" s="28"/>
      <c r="CIY35" s="29"/>
      <c r="CIZ35" s="30"/>
      <c r="CJA35" s="28"/>
      <c r="CJB35" s="30"/>
      <c r="CJC35" s="29"/>
      <c r="CJD35" s="28"/>
      <c r="CJE35" s="29"/>
      <c r="CJF35" s="28"/>
      <c r="CJG35" s="28"/>
      <c r="CJH35" s="28"/>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30"/>
      <c r="CKU35" s="28"/>
      <c r="CKV35" s="29"/>
      <c r="CKW35" s="30"/>
      <c r="CKX35" s="29"/>
      <c r="CKY35" s="29"/>
      <c r="CKZ35" s="29"/>
      <c r="CLA35" s="28"/>
      <c r="CLB35" s="29"/>
      <c r="CLC35" s="29"/>
      <c r="CLD35" s="28"/>
      <c r="CLE35" s="29"/>
      <c r="CLF35" s="30"/>
      <c r="CLG35" s="28"/>
      <c r="CLH35" s="29"/>
      <c r="CLI35" s="30"/>
      <c r="CLJ35" s="29"/>
      <c r="CLK35" s="28"/>
      <c r="CLL35" s="29"/>
      <c r="CLM35" s="29"/>
      <c r="CLN35" s="28"/>
      <c r="CLO35" s="29"/>
      <c r="CLP35" s="30"/>
      <c r="CLQ35" s="28"/>
      <c r="CLR35" s="29"/>
      <c r="CLS35" s="30"/>
      <c r="CLT35" s="29"/>
      <c r="CLU35" s="28"/>
      <c r="CLV35" s="29"/>
      <c r="CLW35" s="29"/>
      <c r="CLX35" s="28"/>
      <c r="CLY35" s="29"/>
      <c r="CLZ35" s="30"/>
      <c r="CMA35" s="28"/>
      <c r="CMB35" s="29"/>
      <c r="CMC35" s="30"/>
      <c r="CMD35" s="29"/>
      <c r="CME35" s="28"/>
      <c r="CMF35" s="29"/>
      <c r="CMG35" s="29"/>
      <c r="CMH35" s="28"/>
      <c r="CMI35" s="29"/>
      <c r="CMJ35" s="30"/>
      <c r="CMK35" s="28"/>
      <c r="CML35" s="30"/>
      <c r="CMM35" s="29"/>
      <c r="CMN35" s="28"/>
      <c r="CMO35" s="29"/>
      <c r="CMP35" s="28"/>
      <c r="CMQ35" s="28"/>
      <c r="CMR35" s="28"/>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30"/>
      <c r="COE35" s="28"/>
      <c r="COF35" s="29"/>
      <c r="COG35" s="30"/>
      <c r="COH35" s="29"/>
      <c r="COI35" s="29"/>
      <c r="COJ35" s="29"/>
      <c r="COK35" s="28"/>
      <c r="COL35" s="29"/>
      <c r="COM35" s="29"/>
      <c r="CON35" s="28"/>
      <c r="COO35" s="29"/>
      <c r="COP35" s="30"/>
      <c r="COQ35" s="28"/>
      <c r="COR35" s="29"/>
      <c r="COS35" s="30"/>
      <c r="COT35" s="29"/>
      <c r="COU35" s="28"/>
      <c r="COV35" s="29"/>
      <c r="COW35" s="29"/>
      <c r="COX35" s="28"/>
      <c r="COY35" s="29"/>
      <c r="COZ35" s="30"/>
      <c r="CPA35" s="28"/>
      <c r="CPB35" s="29"/>
      <c r="CPC35" s="30"/>
      <c r="CPD35" s="29"/>
      <c r="CPE35" s="28"/>
      <c r="CPF35" s="29"/>
      <c r="CPG35" s="29"/>
      <c r="CPH35" s="28"/>
      <c r="CPI35" s="29"/>
      <c r="CPJ35" s="30"/>
      <c r="CPK35" s="28"/>
      <c r="CPL35" s="29"/>
      <c r="CPM35" s="30"/>
      <c r="CPN35" s="29"/>
      <c r="CPO35" s="28"/>
      <c r="CPP35" s="29"/>
      <c r="CPQ35" s="29"/>
      <c r="CPR35" s="28"/>
      <c r="CPS35" s="29"/>
      <c r="CPT35" s="30"/>
      <c r="CPU35" s="28"/>
      <c r="CPV35" s="30"/>
      <c r="CPW35" s="29"/>
      <c r="CPX35" s="28"/>
      <c r="CPY35" s="29"/>
      <c r="CPZ35" s="28"/>
      <c r="CQA35" s="28"/>
      <c r="CQB35" s="28"/>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30"/>
      <c r="CRO35" s="28"/>
      <c r="CRP35" s="29"/>
      <c r="CRQ35" s="30"/>
      <c r="CRR35" s="29"/>
      <c r="CRS35" s="29"/>
      <c r="CRT35" s="29"/>
      <c r="CRU35" s="28"/>
      <c r="CRV35" s="29"/>
      <c r="CRW35" s="29"/>
      <c r="CRX35" s="28"/>
      <c r="CRY35" s="29"/>
      <c r="CRZ35" s="30"/>
      <c r="CSA35" s="28"/>
      <c r="CSB35" s="29"/>
      <c r="CSC35" s="30"/>
      <c r="CSD35" s="29"/>
      <c r="CSE35" s="28"/>
      <c r="CSF35" s="29"/>
      <c r="CSG35" s="29"/>
      <c r="CSH35" s="28"/>
      <c r="CSI35" s="29"/>
      <c r="CSJ35" s="30"/>
      <c r="CSK35" s="28"/>
      <c r="CSL35" s="29"/>
      <c r="CSM35" s="30"/>
      <c r="CSN35" s="29"/>
      <c r="CSO35" s="28"/>
      <c r="CSP35" s="29"/>
      <c r="CSQ35" s="29"/>
      <c r="CSR35" s="28"/>
      <c r="CSS35" s="29"/>
      <c r="CST35" s="30"/>
      <c r="CSU35" s="28"/>
      <c r="CSV35" s="29"/>
      <c r="CSW35" s="30"/>
      <c r="CSX35" s="29"/>
      <c r="CSY35" s="28"/>
      <c r="CSZ35" s="29"/>
      <c r="CTA35" s="29"/>
      <c r="CTB35" s="28"/>
      <c r="CTC35" s="29"/>
      <c r="CTD35" s="30"/>
      <c r="CTE35" s="28"/>
      <c r="CTF35" s="30"/>
      <c r="CTG35" s="29"/>
      <c r="CTH35" s="28"/>
      <c r="CTI35" s="29"/>
      <c r="CTJ35" s="28"/>
      <c r="CTK35" s="28"/>
      <c r="CTL35" s="28"/>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30"/>
      <c r="CUY35" s="28"/>
      <c r="CUZ35" s="29"/>
      <c r="CVA35" s="30"/>
      <c r="CVB35" s="29"/>
      <c r="CVC35" s="29"/>
      <c r="CVD35" s="29"/>
      <c r="CVE35" s="28"/>
      <c r="CVF35" s="29"/>
      <c r="CVG35" s="29"/>
      <c r="CVH35" s="28"/>
      <c r="CVI35" s="29"/>
      <c r="CVJ35" s="30"/>
      <c r="CVK35" s="28"/>
      <c r="CVL35" s="29"/>
      <c r="CVM35" s="30"/>
      <c r="CVN35" s="29"/>
      <c r="CVO35" s="28"/>
      <c r="CVP35" s="29"/>
      <c r="CVQ35" s="29"/>
      <c r="CVR35" s="28"/>
      <c r="CVS35" s="29"/>
      <c r="CVT35" s="30"/>
      <c r="CVU35" s="28"/>
      <c r="CVV35" s="29"/>
      <c r="CVW35" s="30"/>
      <c r="CVX35" s="29"/>
      <c r="CVY35" s="28"/>
      <c r="CVZ35" s="29"/>
      <c r="CWA35" s="29"/>
      <c r="CWB35" s="28"/>
      <c r="CWC35" s="29"/>
      <c r="CWD35" s="30"/>
      <c r="CWE35" s="28"/>
      <c r="CWF35" s="29"/>
      <c r="CWG35" s="30"/>
      <c r="CWH35" s="29"/>
      <c r="CWI35" s="28"/>
      <c r="CWJ35" s="29"/>
      <c r="CWK35" s="29"/>
      <c r="CWL35" s="28"/>
      <c r="CWM35" s="29"/>
      <c r="CWN35" s="30"/>
      <c r="CWO35" s="28"/>
      <c r="CWP35" s="30"/>
      <c r="CWQ35" s="29"/>
      <c r="CWR35" s="28"/>
      <c r="CWS35" s="29"/>
      <c r="CWT35" s="28"/>
      <c r="CWU35" s="28"/>
      <c r="CWV35" s="28"/>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30"/>
      <c r="CYI35" s="28"/>
      <c r="CYJ35" s="29"/>
      <c r="CYK35" s="30"/>
      <c r="CYL35" s="29"/>
      <c r="CYM35" s="29"/>
      <c r="CYN35" s="29"/>
      <c r="CYO35" s="28"/>
      <c r="CYP35" s="29"/>
      <c r="CYQ35" s="29"/>
      <c r="CYR35" s="28"/>
      <c r="CYS35" s="29"/>
      <c r="CYT35" s="30"/>
      <c r="CYU35" s="28"/>
      <c r="CYV35" s="29"/>
      <c r="CYW35" s="30"/>
      <c r="CYX35" s="29"/>
      <c r="CYY35" s="28"/>
      <c r="CYZ35" s="29"/>
      <c r="CZA35" s="29"/>
      <c r="CZB35" s="28"/>
      <c r="CZC35" s="29"/>
      <c r="CZD35" s="30"/>
      <c r="CZE35" s="28"/>
      <c r="CZF35" s="29"/>
      <c r="CZG35" s="30"/>
      <c r="CZH35" s="29"/>
      <c r="CZI35" s="28"/>
      <c r="CZJ35" s="29"/>
      <c r="CZK35" s="29"/>
      <c r="CZL35" s="28"/>
      <c r="CZM35" s="29"/>
      <c r="CZN35" s="30"/>
      <c r="CZO35" s="28"/>
      <c r="CZP35" s="29"/>
      <c r="CZQ35" s="30"/>
      <c r="CZR35" s="29"/>
      <c r="CZS35" s="28"/>
      <c r="CZT35" s="29"/>
      <c r="CZU35" s="29"/>
      <c r="CZV35" s="28"/>
      <c r="CZW35" s="29"/>
      <c r="CZX35" s="30"/>
      <c r="CZY35" s="28"/>
      <c r="CZZ35" s="30"/>
      <c r="DAA35" s="29"/>
      <c r="DAB35" s="28"/>
      <c r="DAC35" s="29"/>
      <c r="DAD35" s="28"/>
      <c r="DAE35" s="28"/>
      <c r="DAF35" s="28"/>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30"/>
      <c r="DBS35" s="28"/>
      <c r="DBT35" s="29"/>
      <c r="DBU35" s="30"/>
      <c r="DBV35" s="29"/>
      <c r="DBW35" s="29"/>
      <c r="DBX35" s="29"/>
      <c r="DBY35" s="28"/>
      <c r="DBZ35" s="29"/>
      <c r="DCA35" s="29"/>
      <c r="DCB35" s="28"/>
      <c r="DCC35" s="29"/>
      <c r="DCD35" s="30"/>
      <c r="DCE35" s="28"/>
      <c r="DCF35" s="29"/>
      <c r="DCG35" s="30"/>
      <c r="DCH35" s="29"/>
      <c r="DCI35" s="28"/>
      <c r="DCJ35" s="29"/>
      <c r="DCK35" s="29"/>
      <c r="DCL35" s="28"/>
      <c r="DCM35" s="29"/>
      <c r="DCN35" s="30"/>
      <c r="DCO35" s="28"/>
      <c r="DCP35" s="29"/>
      <c r="DCQ35" s="30"/>
      <c r="DCR35" s="29"/>
      <c r="DCS35" s="28"/>
      <c r="DCT35" s="29"/>
      <c r="DCU35" s="29"/>
      <c r="DCV35" s="28"/>
      <c r="DCW35" s="29"/>
      <c r="DCX35" s="30"/>
      <c r="DCY35" s="28"/>
      <c r="DCZ35" s="29"/>
      <c r="DDA35" s="30"/>
      <c r="DDB35" s="29"/>
      <c r="DDC35" s="28"/>
      <c r="DDD35" s="29"/>
      <c r="DDE35" s="29"/>
      <c r="DDF35" s="28"/>
      <c r="DDG35" s="29"/>
      <c r="DDH35" s="30"/>
      <c r="DDI35" s="28"/>
      <c r="DDJ35" s="30"/>
      <c r="DDK35" s="29"/>
      <c r="DDL35" s="28"/>
      <c r="DDM35" s="29"/>
      <c r="DDN35" s="28"/>
      <c r="DDO35" s="28"/>
      <c r="DDP35" s="28"/>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30"/>
      <c r="DFC35" s="28"/>
      <c r="DFD35" s="29"/>
      <c r="DFE35" s="30"/>
      <c r="DFF35" s="29"/>
      <c r="DFG35" s="29"/>
      <c r="DFH35" s="29"/>
      <c r="DFI35" s="28"/>
      <c r="DFJ35" s="29"/>
      <c r="DFK35" s="29"/>
      <c r="DFL35" s="28"/>
      <c r="DFM35" s="29"/>
      <c r="DFN35" s="30"/>
      <c r="DFO35" s="28"/>
      <c r="DFP35" s="29"/>
      <c r="DFQ35" s="30"/>
      <c r="DFR35" s="29"/>
      <c r="DFS35" s="28"/>
      <c r="DFT35" s="29"/>
      <c r="DFU35" s="29"/>
      <c r="DFV35" s="28"/>
      <c r="DFW35" s="29"/>
      <c r="DFX35" s="30"/>
      <c r="DFY35" s="28"/>
      <c r="DFZ35" s="29"/>
      <c r="DGA35" s="30"/>
      <c r="DGB35" s="29"/>
      <c r="DGC35" s="28"/>
      <c r="DGD35" s="29"/>
      <c r="DGE35" s="29"/>
      <c r="DGF35" s="28"/>
      <c r="DGG35" s="29"/>
      <c r="DGH35" s="30"/>
      <c r="DGI35" s="28"/>
      <c r="DGJ35" s="29"/>
      <c r="DGK35" s="30"/>
      <c r="DGL35" s="29"/>
      <c r="DGM35" s="28"/>
      <c r="DGN35" s="29"/>
      <c r="DGO35" s="29"/>
      <c r="DGP35" s="28"/>
      <c r="DGQ35" s="29"/>
      <c r="DGR35" s="30"/>
      <c r="DGS35" s="28"/>
      <c r="DGT35" s="30"/>
      <c r="DGU35" s="29"/>
      <c r="DGV35" s="28"/>
      <c r="DGW35" s="29"/>
      <c r="DGX35" s="28"/>
      <c r="DGY35" s="28"/>
      <c r="DGZ35" s="28"/>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30"/>
      <c r="DIM35" s="28"/>
      <c r="DIN35" s="29"/>
      <c r="DIO35" s="30"/>
      <c r="DIP35" s="29"/>
      <c r="DIQ35" s="29"/>
      <c r="DIR35" s="29"/>
      <c r="DIS35" s="28"/>
      <c r="DIT35" s="29"/>
      <c r="DIU35" s="29"/>
      <c r="DIV35" s="28"/>
      <c r="DIW35" s="29"/>
      <c r="DIX35" s="30"/>
      <c r="DIY35" s="28"/>
      <c r="DIZ35" s="29"/>
      <c r="DJA35" s="30"/>
      <c r="DJB35" s="29"/>
      <c r="DJC35" s="28"/>
      <c r="DJD35" s="29"/>
      <c r="DJE35" s="29"/>
      <c r="DJF35" s="28"/>
      <c r="DJG35" s="29"/>
      <c r="DJH35" s="30"/>
      <c r="DJI35" s="28"/>
      <c r="DJJ35" s="29"/>
      <c r="DJK35" s="30"/>
      <c r="DJL35" s="29"/>
      <c r="DJM35" s="28"/>
      <c r="DJN35" s="29"/>
      <c r="DJO35" s="29"/>
      <c r="DJP35" s="28"/>
      <c r="DJQ35" s="29"/>
      <c r="DJR35" s="30"/>
      <c r="DJS35" s="28"/>
      <c r="DJT35" s="29"/>
      <c r="DJU35" s="30"/>
      <c r="DJV35" s="29"/>
      <c r="DJW35" s="28"/>
      <c r="DJX35" s="29"/>
      <c r="DJY35" s="29"/>
      <c r="DJZ35" s="28"/>
      <c r="DKA35" s="29"/>
      <c r="DKB35" s="30"/>
      <c r="DKC35" s="28"/>
      <c r="DKD35" s="30"/>
      <c r="DKE35" s="29"/>
      <c r="DKF35" s="28"/>
      <c r="DKG35" s="29"/>
      <c r="DKH35" s="28"/>
      <c r="DKI35" s="28"/>
      <c r="DKJ35" s="28"/>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30"/>
      <c r="DLW35" s="28"/>
      <c r="DLX35" s="29"/>
      <c r="DLY35" s="30"/>
      <c r="DLZ35" s="29"/>
      <c r="DMA35" s="29"/>
      <c r="DMB35" s="29"/>
      <c r="DMC35" s="28"/>
      <c r="DMD35" s="29"/>
      <c r="DME35" s="29"/>
      <c r="DMF35" s="28"/>
      <c r="DMG35" s="29"/>
      <c r="DMH35" s="30"/>
      <c r="DMI35" s="28"/>
      <c r="DMJ35" s="29"/>
      <c r="DMK35" s="30"/>
      <c r="DML35" s="29"/>
      <c r="DMM35" s="28"/>
      <c r="DMN35" s="29"/>
      <c r="DMO35" s="29"/>
      <c r="DMP35" s="28"/>
      <c r="DMQ35" s="29"/>
      <c r="DMR35" s="30"/>
      <c r="DMS35" s="28"/>
      <c r="DMT35" s="29"/>
      <c r="DMU35" s="30"/>
      <c r="DMV35" s="29"/>
      <c r="DMW35" s="28"/>
      <c r="DMX35" s="29"/>
      <c r="DMY35" s="29"/>
      <c r="DMZ35" s="28"/>
      <c r="DNA35" s="29"/>
      <c r="DNB35" s="30"/>
      <c r="DNC35" s="28"/>
      <c r="DND35" s="29"/>
      <c r="DNE35" s="30"/>
      <c r="DNF35" s="29"/>
      <c r="DNG35" s="28"/>
      <c r="DNH35" s="29"/>
      <c r="DNI35" s="29"/>
      <c r="DNJ35" s="28"/>
      <c r="DNK35" s="29"/>
      <c r="DNL35" s="30"/>
      <c r="DNM35" s="28"/>
      <c r="DNN35" s="30"/>
      <c r="DNO35" s="29"/>
      <c r="DNP35" s="28"/>
      <c r="DNQ35" s="29"/>
      <c r="DNR35" s="28"/>
      <c r="DNS35" s="28"/>
      <c r="DNT35" s="28"/>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30"/>
      <c r="DPG35" s="28"/>
      <c r="DPH35" s="29"/>
      <c r="DPI35" s="30"/>
      <c r="DPJ35" s="29"/>
      <c r="DPK35" s="29"/>
      <c r="DPL35" s="29"/>
      <c r="DPM35" s="28"/>
      <c r="DPN35" s="29"/>
      <c r="DPO35" s="29"/>
      <c r="DPP35" s="28"/>
      <c r="DPQ35" s="29"/>
      <c r="DPR35" s="30"/>
      <c r="DPS35" s="28"/>
      <c r="DPT35" s="29"/>
      <c r="DPU35" s="30"/>
      <c r="DPV35" s="29"/>
      <c r="DPW35" s="28"/>
      <c r="DPX35" s="29"/>
      <c r="DPY35" s="29"/>
      <c r="DPZ35" s="28"/>
      <c r="DQA35" s="29"/>
      <c r="DQB35" s="30"/>
      <c r="DQC35" s="28"/>
      <c r="DQD35" s="29"/>
      <c r="DQE35" s="30"/>
      <c r="DQF35" s="29"/>
      <c r="DQG35" s="28"/>
      <c r="DQH35" s="29"/>
      <c r="DQI35" s="29"/>
      <c r="DQJ35" s="28"/>
      <c r="DQK35" s="29"/>
      <c r="DQL35" s="30"/>
      <c r="DQM35" s="28"/>
      <c r="DQN35" s="29"/>
      <c r="DQO35" s="30"/>
      <c r="DQP35" s="29"/>
      <c r="DQQ35" s="28"/>
      <c r="DQR35" s="29"/>
      <c r="DQS35" s="29"/>
      <c r="DQT35" s="28"/>
      <c r="DQU35" s="29"/>
      <c r="DQV35" s="30"/>
      <c r="DQW35" s="28"/>
      <c r="DQX35" s="30"/>
      <c r="DQY35" s="29"/>
      <c r="DQZ35" s="28"/>
      <c r="DRA35" s="29"/>
      <c r="DRB35" s="28"/>
      <c r="DRC35" s="28"/>
      <c r="DRD35" s="28"/>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30"/>
      <c r="DSQ35" s="28"/>
      <c r="DSR35" s="29"/>
      <c r="DSS35" s="30"/>
      <c r="DST35" s="29"/>
      <c r="DSU35" s="29"/>
      <c r="DSV35" s="29"/>
      <c r="DSW35" s="28"/>
      <c r="DSX35" s="29"/>
      <c r="DSY35" s="29"/>
      <c r="DSZ35" s="28"/>
      <c r="DTA35" s="29"/>
      <c r="DTB35" s="30"/>
      <c r="DTC35" s="28"/>
      <c r="DTD35" s="29"/>
      <c r="DTE35" s="30"/>
      <c r="DTF35" s="29"/>
      <c r="DTG35" s="28"/>
      <c r="DTH35" s="29"/>
      <c r="DTI35" s="29"/>
      <c r="DTJ35" s="28"/>
      <c r="DTK35" s="29"/>
      <c r="DTL35" s="30"/>
      <c r="DTM35" s="28"/>
      <c r="DTN35" s="29"/>
      <c r="DTO35" s="30"/>
      <c r="DTP35" s="29"/>
      <c r="DTQ35" s="28"/>
      <c r="DTR35" s="29"/>
      <c r="DTS35" s="29"/>
      <c r="DTT35" s="28"/>
      <c r="DTU35" s="29"/>
      <c r="DTV35" s="30"/>
      <c r="DTW35" s="28"/>
      <c r="DTX35" s="29"/>
      <c r="DTY35" s="30"/>
      <c r="DTZ35" s="29"/>
      <c r="DUA35" s="28"/>
      <c r="DUB35" s="29"/>
      <c r="DUC35" s="29"/>
      <c r="DUD35" s="28"/>
      <c r="DUE35" s="29"/>
      <c r="DUF35" s="30"/>
      <c r="DUG35" s="28"/>
      <c r="DUH35" s="30"/>
      <c r="DUI35" s="29"/>
      <c r="DUJ35" s="28"/>
      <c r="DUK35" s="29"/>
      <c r="DUL35" s="28"/>
      <c r="DUM35" s="28"/>
      <c r="DUN35" s="28"/>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30"/>
      <c r="DWA35" s="28"/>
      <c r="DWB35" s="29"/>
      <c r="DWC35" s="30"/>
      <c r="DWD35" s="29"/>
      <c r="DWE35" s="29"/>
      <c r="DWF35" s="29"/>
      <c r="DWG35" s="28"/>
      <c r="DWH35" s="29"/>
      <c r="DWI35" s="29"/>
      <c r="DWJ35" s="28"/>
      <c r="DWK35" s="29"/>
      <c r="DWL35" s="30"/>
      <c r="DWM35" s="28"/>
      <c r="DWN35" s="29"/>
      <c r="DWO35" s="30"/>
      <c r="DWP35" s="29"/>
      <c r="DWQ35" s="28"/>
      <c r="DWR35" s="29"/>
      <c r="DWS35" s="29"/>
      <c r="DWT35" s="28"/>
      <c r="DWU35" s="29"/>
      <c r="DWV35" s="30"/>
      <c r="DWW35" s="28"/>
      <c r="DWX35" s="29"/>
      <c r="DWY35" s="30"/>
      <c r="DWZ35" s="29"/>
      <c r="DXA35" s="28"/>
      <c r="DXB35" s="29"/>
      <c r="DXC35" s="29"/>
      <c r="DXD35" s="28"/>
      <c r="DXE35" s="29"/>
      <c r="DXF35" s="30"/>
      <c r="DXG35" s="28"/>
      <c r="DXH35" s="29"/>
      <c r="DXI35" s="30"/>
      <c r="DXJ35" s="29"/>
      <c r="DXK35" s="28"/>
      <c r="DXL35" s="29"/>
      <c r="DXM35" s="29"/>
      <c r="DXN35" s="28"/>
      <c r="DXO35" s="29"/>
      <c r="DXP35" s="30"/>
      <c r="DXQ35" s="28"/>
      <c r="DXR35" s="30"/>
      <c r="DXS35" s="29"/>
      <c r="DXT35" s="28"/>
      <c r="DXU35" s="29"/>
      <c r="DXV35" s="28"/>
      <c r="DXW35" s="28"/>
      <c r="DXX35" s="28"/>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30"/>
      <c r="DZK35" s="28"/>
      <c r="DZL35" s="29"/>
      <c r="DZM35" s="30"/>
      <c r="DZN35" s="29"/>
      <c r="DZO35" s="29"/>
      <c r="DZP35" s="29"/>
      <c r="DZQ35" s="28"/>
      <c r="DZR35" s="29"/>
      <c r="DZS35" s="29"/>
      <c r="DZT35" s="28"/>
      <c r="DZU35" s="29"/>
      <c r="DZV35" s="30"/>
      <c r="DZW35" s="28"/>
      <c r="DZX35" s="29"/>
      <c r="DZY35" s="30"/>
      <c r="DZZ35" s="29"/>
      <c r="EAA35" s="28"/>
      <c r="EAB35" s="29"/>
      <c r="EAC35" s="29"/>
      <c r="EAD35" s="28"/>
      <c r="EAE35" s="29"/>
      <c r="EAF35" s="30"/>
      <c r="EAG35" s="28"/>
      <c r="EAH35" s="29"/>
      <c r="EAI35" s="30"/>
      <c r="EAJ35" s="29"/>
      <c r="EAK35" s="28"/>
      <c r="EAL35" s="29"/>
      <c r="EAM35" s="29"/>
      <c r="EAN35" s="28"/>
      <c r="EAO35" s="29"/>
      <c r="EAP35" s="30"/>
      <c r="EAQ35" s="28"/>
      <c r="EAR35" s="29"/>
      <c r="EAS35" s="30"/>
      <c r="EAT35" s="29"/>
      <c r="EAU35" s="28"/>
      <c r="EAV35" s="29"/>
      <c r="EAW35" s="29"/>
      <c r="EAX35" s="28"/>
      <c r="EAY35" s="29"/>
      <c r="EAZ35" s="30"/>
      <c r="EBA35" s="28"/>
      <c r="EBB35" s="30"/>
      <c r="EBC35" s="29"/>
      <c r="EBD35" s="28"/>
      <c r="EBE35" s="29"/>
      <c r="EBF35" s="28"/>
      <c r="EBG35" s="28"/>
      <c r="EBH35" s="28"/>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30"/>
      <c r="ECU35" s="28"/>
      <c r="ECV35" s="29"/>
      <c r="ECW35" s="30"/>
      <c r="ECX35" s="29"/>
      <c r="ECY35" s="29"/>
      <c r="ECZ35" s="29"/>
      <c r="EDA35" s="28"/>
      <c r="EDB35" s="29"/>
      <c r="EDC35" s="29"/>
      <c r="EDD35" s="28"/>
      <c r="EDE35" s="29"/>
      <c r="EDF35" s="30"/>
      <c r="EDG35" s="28"/>
      <c r="EDH35" s="29"/>
      <c r="EDI35" s="30"/>
      <c r="EDJ35" s="29"/>
      <c r="EDK35" s="28"/>
      <c r="EDL35" s="29"/>
      <c r="EDM35" s="29"/>
      <c r="EDN35" s="28"/>
      <c r="EDO35" s="29"/>
      <c r="EDP35" s="30"/>
      <c r="EDQ35" s="28"/>
      <c r="EDR35" s="29"/>
      <c r="EDS35" s="30"/>
      <c r="EDT35" s="29"/>
      <c r="EDU35" s="28"/>
      <c r="EDV35" s="29"/>
      <c r="EDW35" s="29"/>
      <c r="EDX35" s="28"/>
      <c r="EDY35" s="29"/>
      <c r="EDZ35" s="30"/>
      <c r="EEA35" s="28"/>
      <c r="EEB35" s="29"/>
      <c r="EEC35" s="30"/>
      <c r="EED35" s="29"/>
      <c r="EEE35" s="28"/>
      <c r="EEF35" s="29"/>
      <c r="EEG35" s="29"/>
      <c r="EEH35" s="28"/>
      <c r="EEI35" s="29"/>
      <c r="EEJ35" s="30"/>
      <c r="EEK35" s="28"/>
      <c r="EEL35" s="30"/>
      <c r="EEM35" s="29"/>
      <c r="EEN35" s="28"/>
      <c r="EEO35" s="29"/>
      <c r="EEP35" s="28"/>
      <c r="EEQ35" s="28"/>
      <c r="EER35" s="28"/>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30"/>
      <c r="EGE35" s="28"/>
      <c r="EGF35" s="29"/>
      <c r="EGG35" s="30"/>
      <c r="EGH35" s="29"/>
      <c r="EGI35" s="29"/>
      <c r="EGJ35" s="29"/>
      <c r="EGK35" s="28"/>
      <c r="EGL35" s="29"/>
      <c r="EGM35" s="29"/>
      <c r="EGN35" s="28"/>
      <c r="EGO35" s="29"/>
      <c r="EGP35" s="30"/>
      <c r="EGQ35" s="28"/>
      <c r="EGR35" s="29"/>
      <c r="EGS35" s="30"/>
      <c r="EGT35" s="29"/>
      <c r="EGU35" s="28"/>
      <c r="EGV35" s="29"/>
      <c r="EGW35" s="29"/>
      <c r="EGX35" s="28"/>
      <c r="EGY35" s="29"/>
      <c r="EGZ35" s="30"/>
      <c r="EHA35" s="28"/>
      <c r="EHB35" s="29"/>
      <c r="EHC35" s="30"/>
      <c r="EHD35" s="29"/>
      <c r="EHE35" s="28"/>
      <c r="EHF35" s="29"/>
      <c r="EHG35" s="29"/>
      <c r="EHH35" s="28"/>
      <c r="EHI35" s="29"/>
      <c r="EHJ35" s="30"/>
      <c r="EHK35" s="28"/>
      <c r="EHL35" s="29"/>
      <c r="EHM35" s="30"/>
      <c r="EHN35" s="29"/>
      <c r="EHO35" s="28"/>
      <c r="EHP35" s="29"/>
      <c r="EHQ35" s="29"/>
      <c r="EHR35" s="28"/>
      <c r="EHS35" s="29"/>
      <c r="EHT35" s="30"/>
      <c r="EHU35" s="28"/>
      <c r="EHV35" s="30"/>
      <c r="EHW35" s="29"/>
      <c r="EHX35" s="28"/>
      <c r="EHY35" s="29"/>
      <c r="EHZ35" s="28"/>
      <c r="EIA35" s="28"/>
      <c r="EIB35" s="28"/>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30"/>
      <c r="EJO35" s="28"/>
      <c r="EJP35" s="29"/>
      <c r="EJQ35" s="30"/>
      <c r="EJR35" s="29"/>
      <c r="EJS35" s="29"/>
      <c r="EJT35" s="29"/>
      <c r="EJU35" s="28"/>
      <c r="EJV35" s="29"/>
      <c r="EJW35" s="29"/>
      <c r="EJX35" s="28"/>
      <c r="EJY35" s="29"/>
      <c r="EJZ35" s="30"/>
      <c r="EKA35" s="28"/>
      <c r="EKB35" s="29"/>
      <c r="EKC35" s="30"/>
      <c r="EKD35" s="29"/>
      <c r="EKE35" s="28"/>
      <c r="EKF35" s="29"/>
      <c r="EKG35" s="29"/>
      <c r="EKH35" s="28"/>
      <c r="EKI35" s="29"/>
      <c r="EKJ35" s="30"/>
      <c r="EKK35" s="28"/>
      <c r="EKL35" s="29"/>
      <c r="EKM35" s="30"/>
      <c r="EKN35" s="29"/>
      <c r="EKO35" s="28"/>
      <c r="EKP35" s="29"/>
      <c r="EKQ35" s="29"/>
      <c r="EKR35" s="28"/>
      <c r="EKS35" s="29"/>
      <c r="EKT35" s="30"/>
      <c r="EKU35" s="28"/>
      <c r="EKV35" s="29"/>
      <c r="EKW35" s="30"/>
      <c r="EKX35" s="29"/>
      <c r="EKY35" s="28"/>
      <c r="EKZ35" s="29"/>
      <c r="ELA35" s="29"/>
      <c r="ELB35" s="28"/>
      <c r="ELC35" s="29"/>
      <c r="ELD35" s="30"/>
      <c r="ELE35" s="28"/>
      <c r="ELF35" s="30"/>
      <c r="ELG35" s="29"/>
      <c r="ELH35" s="28"/>
      <c r="ELI35" s="29"/>
      <c r="ELJ35" s="28"/>
      <c r="ELK35" s="28"/>
      <c r="ELL35" s="28"/>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30"/>
      <c r="EMY35" s="28"/>
      <c r="EMZ35" s="29"/>
      <c r="ENA35" s="30"/>
      <c r="ENB35" s="29"/>
      <c r="ENC35" s="29"/>
      <c r="END35" s="29"/>
      <c r="ENE35" s="28"/>
      <c r="ENF35" s="29"/>
      <c r="ENG35" s="29"/>
      <c r="ENH35" s="28"/>
      <c r="ENI35" s="29"/>
      <c r="ENJ35" s="30"/>
      <c r="ENK35" s="28"/>
      <c r="ENL35" s="29"/>
      <c r="ENM35" s="30"/>
      <c r="ENN35" s="29"/>
      <c r="ENO35" s="28"/>
      <c r="ENP35" s="29"/>
      <c r="ENQ35" s="29"/>
      <c r="ENR35" s="28"/>
      <c r="ENS35" s="29"/>
      <c r="ENT35" s="30"/>
      <c r="ENU35" s="28"/>
      <c r="ENV35" s="29"/>
      <c r="ENW35" s="30"/>
      <c r="ENX35" s="29"/>
      <c r="ENY35" s="28"/>
      <c r="ENZ35" s="29"/>
      <c r="EOA35" s="29"/>
      <c r="EOB35" s="28"/>
      <c r="EOC35" s="29"/>
      <c r="EOD35" s="30"/>
      <c r="EOE35" s="28"/>
      <c r="EOF35" s="29"/>
      <c r="EOG35" s="30"/>
      <c r="EOH35" s="29"/>
      <c r="EOI35" s="28"/>
      <c r="EOJ35" s="29"/>
      <c r="EOK35" s="29"/>
      <c r="EOL35" s="28"/>
      <c r="EOM35" s="29"/>
      <c r="EON35" s="30"/>
      <c r="EOO35" s="28" t="str">
        <f t="shared" si="149"/>
        <v xml:space="preserve"> </v>
      </c>
      <c r="EOP35" s="30"/>
      <c r="EOQ35" s="29"/>
      <c r="EOR35" s="28"/>
      <c r="EOS35" s="29"/>
      <c r="EOT35" s="28"/>
      <c r="EOU35" s="28"/>
      <c r="EOV35" s="28"/>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30"/>
      <c r="EQI35" s="28"/>
      <c r="EQJ35" s="29"/>
      <c r="EQK35" s="30"/>
      <c r="EQL35" s="29"/>
      <c r="EQM35" s="29"/>
      <c r="EQN35" s="29"/>
      <c r="EQO35" s="28"/>
      <c r="EQP35" s="29"/>
      <c r="EQQ35" s="29"/>
      <c r="EQR35" s="28"/>
      <c r="EQS35" s="29"/>
      <c r="EQT35" s="30"/>
      <c r="EQU35" s="28"/>
      <c r="EQV35" s="29"/>
      <c r="EQW35" s="30"/>
      <c r="EQX35" s="29"/>
      <c r="EQY35" s="28"/>
      <c r="EQZ35" s="29"/>
      <c r="ERA35" s="29"/>
      <c r="ERB35" s="28"/>
      <c r="ERC35" s="29"/>
      <c r="ERD35" s="30"/>
      <c r="ERE35" s="28"/>
      <c r="ERF35" s="29"/>
      <c r="ERG35" s="30"/>
      <c r="ERH35" s="29"/>
      <c r="ERI35" s="28"/>
      <c r="ERJ35" s="29"/>
      <c r="ERK35" s="29"/>
      <c r="ERL35" s="28"/>
      <c r="ERM35" s="29"/>
      <c r="ERN35" s="30"/>
      <c r="ERO35" s="28"/>
      <c r="ERP35" s="29"/>
      <c r="ERQ35" s="30"/>
      <c r="ERR35" s="29"/>
      <c r="ERS35" s="28"/>
      <c r="ERT35" s="29"/>
      <c r="ERU35" s="29"/>
      <c r="ERV35" s="28"/>
      <c r="ERW35" s="29"/>
      <c r="ERX35" s="30"/>
      <c r="ERY35" s="28" t="str">
        <f t="shared" si="152"/>
        <v xml:space="preserve"> </v>
      </c>
      <c r="ERZ35" s="30"/>
      <c r="ESA35" s="29"/>
      <c r="ESB35" s="28"/>
      <c r="ESC35" s="29"/>
      <c r="ESD35" s="28"/>
      <c r="ESE35" s="28"/>
      <c r="ESF35" s="28"/>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30"/>
      <c r="ETS35" s="28"/>
      <c r="ETT35" s="29"/>
      <c r="ETU35" s="30"/>
      <c r="ETV35" s="29"/>
      <c r="ETW35" s="29"/>
      <c r="ETX35" s="29"/>
      <c r="ETY35" s="28"/>
      <c r="ETZ35" s="29"/>
      <c r="EUA35" s="29"/>
      <c r="EUB35" s="28"/>
      <c r="EUC35" s="29"/>
      <c r="EUD35" s="30"/>
      <c r="EUE35" s="28"/>
      <c r="EUF35" s="29"/>
      <c r="EUG35" s="30"/>
      <c r="EUH35" s="29"/>
      <c r="EUI35" s="28"/>
      <c r="EUJ35" s="29"/>
      <c r="EUK35" s="29"/>
      <c r="EUL35" s="28"/>
      <c r="EUM35" s="29"/>
      <c r="EUN35" s="30"/>
      <c r="EUO35" s="28"/>
      <c r="EUP35" s="29"/>
      <c r="EUQ35" s="30"/>
      <c r="EUR35" s="29"/>
      <c r="EUS35" s="28"/>
      <c r="EUT35" s="29"/>
      <c r="EUU35" s="29"/>
      <c r="EUV35" s="28"/>
      <c r="EUW35" s="29"/>
      <c r="EUX35" s="30"/>
      <c r="EUY35" s="28"/>
      <c r="EUZ35" s="29"/>
      <c r="EVA35" s="30"/>
      <c r="EVB35" s="29"/>
      <c r="EVC35" s="28"/>
      <c r="EVD35" s="29"/>
      <c r="EVE35" s="29"/>
      <c r="EVF35" s="28"/>
      <c r="EVG35" s="29"/>
      <c r="EVH35" s="30"/>
      <c r="EVI35" s="28" t="str">
        <f t="shared" si="153"/>
        <v xml:space="preserve"> </v>
      </c>
    </row>
    <row r="36" spans="1:3961" x14ac:dyDescent="0.3">
      <c r="A36" s="424" t="s">
        <v>212</v>
      </c>
      <c r="B36" s="58" t="str">
        <f>'REG y VAL POE - AESR - ESR'!B2766</f>
        <v xml:space="preserve">Cab Nah Yuli Ines </v>
      </c>
      <c r="C36" s="57" t="str">
        <f>'REG y VAL POE - AESR - ESR'!C2766</f>
        <v>Sin Registro</v>
      </c>
      <c r="D36" s="56">
        <f>'REG y VAL POE - AESR - ESR'!D2766</f>
        <v>20251121</v>
      </c>
      <c r="E36" s="57">
        <f>'REG y VAL POE - AESR - ESR'!E2766</f>
        <v>0</v>
      </c>
      <c r="F36" s="56">
        <f>'REG y VAL POE - AESR - ESR'!F2766</f>
        <v>0</v>
      </c>
      <c r="G36" s="59">
        <f>'REG y VAL POE - AESR - ESR'!G2766</f>
        <v>0</v>
      </c>
      <c r="H36" s="59">
        <f>'REG y VAL POE - AESR - ESR'!H2766</f>
        <v>0</v>
      </c>
      <c r="I36" s="57">
        <f>'REG y VAL POE - AESR - ESR'!I2766</f>
        <v>0</v>
      </c>
      <c r="J36" s="57">
        <f>'REG y VAL POE - AESR - ESR'!J2766</f>
        <v>0</v>
      </c>
      <c r="K36" s="57">
        <f>'REG y VAL POE - AESR - ESR'!K2766</f>
        <v>0</v>
      </c>
      <c r="L36" s="57">
        <f>'REG y VAL POE - AESR - ESR'!L2766</f>
        <v>0</v>
      </c>
      <c r="M36" s="57">
        <f>'REG y VAL POE - AESR - ESR'!M2766</f>
        <v>0</v>
      </c>
      <c r="N36" s="57">
        <f>'REG y VAL POE - AESR - ESR'!N2766</f>
        <v>0</v>
      </c>
      <c r="O36" s="57">
        <f>'REG y VAL POE - AESR - ESR'!O2766</f>
        <v>0</v>
      </c>
      <c r="P36" s="57">
        <f>'REG y VAL POE - AESR - ESR'!P2766</f>
        <v>0</v>
      </c>
      <c r="Q36" s="57">
        <f>'REG y VAL POE - AESR - ESR'!Q2766</f>
        <v>0</v>
      </c>
      <c r="R36" s="57">
        <f>'REG y VAL POE - AESR - ESR'!R2766</f>
        <v>0</v>
      </c>
      <c r="S36" s="57">
        <f>'REG y VAL POE - AESR - ESR'!S2766</f>
        <v>0</v>
      </c>
      <c r="T36" s="57">
        <f>'REG y VAL POE - AESR - ESR'!T2766</f>
        <v>0</v>
      </c>
      <c r="U36" s="57">
        <f>'REG y VAL POE - AESR - ESR'!U2766</f>
        <v>0</v>
      </c>
      <c r="V36" s="57">
        <f>'REG y VAL POE - AESR - ESR'!V2766</f>
        <v>0</v>
      </c>
      <c r="W36" s="57">
        <f>'REG y VAL POE - AESR - ESR'!W2766</f>
        <v>0</v>
      </c>
      <c r="X36" s="57">
        <f>'REG y VAL POE - AESR - ESR'!X2766</f>
        <v>0</v>
      </c>
      <c r="Y36" s="57">
        <f>'REG y VAL POE - AESR - ESR'!Y2766</f>
        <v>0</v>
      </c>
      <c r="Z36" s="57">
        <f>'REG y VAL POE - AESR - ESR'!Z2766</f>
        <v>0</v>
      </c>
      <c r="AA36" s="57">
        <f>'REG y VAL POE - AESR - ESR'!AA2766</f>
        <v>0</v>
      </c>
      <c r="AB36" s="57">
        <f>'REG y VAL POE - AESR - ESR'!AB2766</f>
        <v>0</v>
      </c>
      <c r="AC36" s="57">
        <f>'REG y VAL POE - AESR - ESR'!AC2766</f>
        <v>0</v>
      </c>
      <c r="AD36" s="57">
        <f>'REG y VAL POE - AESR - ESR'!AD2766</f>
        <v>0</v>
      </c>
      <c r="AE36" s="57">
        <f>'REG y VAL POE - AESR - ESR'!AE2766</f>
        <v>0</v>
      </c>
      <c r="AF36" s="57">
        <f>'REG y VAL POE - AESR - ESR'!AF2766</f>
        <v>0</v>
      </c>
      <c r="AG36" s="57">
        <f>'REG y VAL POE - AESR - ESR'!AG2766</f>
        <v>0</v>
      </c>
      <c r="AH36" s="57">
        <f>'REG y VAL POE - AESR - ESR'!AH2766</f>
        <v>0</v>
      </c>
      <c r="AI36" s="57">
        <f>'REG y VAL POE - AESR - ESR'!AI2766</f>
        <v>0</v>
      </c>
      <c r="AJ36" s="57">
        <f>'REG y VAL POE - AESR - ESR'!AJ2766</f>
        <v>0</v>
      </c>
      <c r="AK36" s="57">
        <f>'REG y VAL POE - AESR - ESR'!AK2766</f>
        <v>0</v>
      </c>
      <c r="AL36" s="57">
        <f>'REG y VAL POE - AESR - ESR'!AL2766</f>
        <v>0</v>
      </c>
      <c r="AM36" s="57">
        <f>'REG y VAL POE - AESR - ESR'!AM2766</f>
        <v>0</v>
      </c>
      <c r="AN36" s="57">
        <f>'REG y VAL POE - AESR - ESR'!AN2766</f>
        <v>0</v>
      </c>
      <c r="AO36" s="57">
        <f>'REG y VAL POE - AESR - ESR'!AO2766</f>
        <v>0</v>
      </c>
      <c r="AP36" s="57">
        <f>'REG y VAL POE - AESR - ESR'!AP2766</f>
        <v>0</v>
      </c>
      <c r="AQ36" s="57">
        <f>'REG y VAL POE - AESR - ESR'!AQ2766</f>
        <v>0</v>
      </c>
      <c r="AR36" s="57">
        <f>'REG y VAL POE - AESR - ESR'!AR2766</f>
        <v>0</v>
      </c>
      <c r="AS36" s="57">
        <f>'REG y VAL POE - AESR - ESR'!AS2766</f>
        <v>0</v>
      </c>
      <c r="AT36" s="58" t="str">
        <f>'REG y VAL POE - AESR - ESR'!B2767</f>
        <v xml:space="preserve">De La Cruz Cordova Armando </v>
      </c>
      <c r="AU36" s="56" t="str">
        <f>'REG y VAL POE - AESR - ESR'!C2767</f>
        <v>Sin Registro</v>
      </c>
      <c r="AV36" s="57">
        <f>'REG y VAL POE - AESR - ESR'!D2767</f>
        <v>23177628</v>
      </c>
      <c r="AW36" s="57">
        <f>'REG y VAL POE - AESR - ESR'!E2767</f>
        <v>0</v>
      </c>
      <c r="AX36" s="57">
        <f>'REG y VAL POE - AESR - ESR'!F2767</f>
        <v>0</v>
      </c>
      <c r="AY36" s="57">
        <f>'REG y VAL POE - AESR - ESR'!G2767</f>
        <v>0</v>
      </c>
      <c r="AZ36" s="57">
        <f>'REG y VAL POE - AESR - ESR'!H2767</f>
        <v>0</v>
      </c>
      <c r="BA36" s="56">
        <f>'REG y VAL POE - AESR - ESR'!I2767</f>
        <v>0</v>
      </c>
      <c r="BB36" s="57">
        <f>'REG y VAL POE - AESR - ESR'!J2767</f>
        <v>0</v>
      </c>
      <c r="BC36" s="57">
        <f>'REG y VAL POE - AESR - ESR'!K2767</f>
        <v>0</v>
      </c>
      <c r="BD36" s="56">
        <f>'REG y VAL POE - AESR - ESR'!L2767</f>
        <v>0</v>
      </c>
      <c r="BE36" s="57">
        <f>'REG y VAL POE - AESR - ESR'!M2767</f>
        <v>0</v>
      </c>
      <c r="BF36" s="58">
        <f>'REG y VAL POE - AESR - ESR'!N2767</f>
        <v>0</v>
      </c>
      <c r="BG36" s="56">
        <f>'REG y VAL POE - AESR - ESR'!O2767</f>
        <v>0</v>
      </c>
      <c r="BH36" s="57">
        <f>'REG y VAL POE - AESR - ESR'!P2767</f>
        <v>0</v>
      </c>
      <c r="BI36" s="57">
        <f>'REG y VAL POE - AESR - ESR'!Q2767</f>
        <v>0</v>
      </c>
      <c r="BJ36" s="57">
        <f>'REG y VAL POE - AESR - ESR'!R2767</f>
        <v>0</v>
      </c>
      <c r="BK36" s="56">
        <f>'REG y VAL POE - AESR - ESR'!S2767</f>
        <v>0</v>
      </c>
      <c r="BL36" s="57">
        <f>'REG y VAL POE - AESR - ESR'!T2767</f>
        <v>0</v>
      </c>
      <c r="BM36" s="57">
        <f>'REG y VAL POE - AESR - ESR'!U2767</f>
        <v>0</v>
      </c>
      <c r="BN36" s="56">
        <f>'REG y VAL POE - AESR - ESR'!V2767</f>
        <v>0</v>
      </c>
      <c r="BO36" s="57">
        <f>'REG y VAL POE - AESR - ESR'!W2767</f>
        <v>0</v>
      </c>
      <c r="BP36" s="58">
        <f>'REG y VAL POE - AESR - ESR'!X2767</f>
        <v>0</v>
      </c>
      <c r="BQ36" s="56">
        <f>'REG y VAL POE - AESR - ESR'!Y2767</f>
        <v>0</v>
      </c>
      <c r="BR36" s="57">
        <f>'REG y VAL POE - AESR - ESR'!Z2767</f>
        <v>0</v>
      </c>
      <c r="BS36" s="57">
        <f>'REG y VAL POE - AESR - ESR'!AA2767</f>
        <v>0</v>
      </c>
      <c r="BT36" s="57">
        <f>'REG y VAL POE - AESR - ESR'!AB2767</f>
        <v>0</v>
      </c>
      <c r="BU36" s="56">
        <f>'REG y VAL POE - AESR - ESR'!AC2767</f>
        <v>0</v>
      </c>
      <c r="BV36" s="57">
        <f>'REG y VAL POE - AESR - ESR'!AD2767</f>
        <v>0</v>
      </c>
      <c r="BW36" s="57">
        <f>'REG y VAL POE - AESR - ESR'!AE2767</f>
        <v>0</v>
      </c>
      <c r="BX36" s="56">
        <f>'REG y VAL POE - AESR - ESR'!AF2767</f>
        <v>0</v>
      </c>
      <c r="BY36" s="57">
        <f>'REG y VAL POE - AESR - ESR'!AG2767</f>
        <v>0</v>
      </c>
      <c r="BZ36" s="58">
        <f>'REG y VAL POE - AESR - ESR'!AH2767</f>
        <v>0</v>
      </c>
      <c r="CA36" s="56">
        <f>'REG y VAL POE - AESR - ESR'!AI2767</f>
        <v>0</v>
      </c>
      <c r="CB36" s="57">
        <f>'REG y VAL POE - AESR - ESR'!AJ2767</f>
        <v>0</v>
      </c>
      <c r="CC36" s="57">
        <f>'REG y VAL POE - AESR - ESR'!AK2767</f>
        <v>0</v>
      </c>
      <c r="CD36" s="57">
        <f>'REG y VAL POE - AESR - ESR'!AL2767</f>
        <v>0</v>
      </c>
      <c r="CE36" s="56">
        <f>'REG y VAL POE - AESR - ESR'!AM2767</f>
        <v>0</v>
      </c>
      <c r="CF36" s="57">
        <f>'REG y VAL POE - AESR - ESR'!AN2767</f>
        <v>0</v>
      </c>
      <c r="CG36" s="57">
        <f>'REG y VAL POE - AESR - ESR'!AO2767</f>
        <v>0</v>
      </c>
      <c r="CH36" s="56">
        <f>'REG y VAL POE - AESR - ESR'!AP2767</f>
        <v>0</v>
      </c>
      <c r="CI36" s="57">
        <f>'REG y VAL POE - AESR - ESR'!AQ2767</f>
        <v>0</v>
      </c>
      <c r="CJ36" s="58">
        <f>'REG y VAL POE - AESR - ESR'!AR2767</f>
        <v>0</v>
      </c>
      <c r="CK36" s="56">
        <f>'REG y VAL POE - AESR - ESR'!AS2767</f>
        <v>0</v>
      </c>
      <c r="CL36" s="57" t="str">
        <f>'REG y VAL POE - AESR - ESR'!B2768</f>
        <v xml:space="preserve">Duarte Garcia Carlos Ismael </v>
      </c>
      <c r="CM36" s="57" t="str">
        <f>'REG y VAL POE - AESR - ESR'!C2768</f>
        <v>Sin Registro</v>
      </c>
      <c r="CN36" s="57">
        <f>'REG y VAL POE - AESR - ESR'!D2768</f>
        <v>22149740</v>
      </c>
      <c r="CO36" s="56">
        <f>'REG y VAL POE - AESR - ESR'!E2768</f>
        <v>0</v>
      </c>
      <c r="CP36" s="57">
        <f>'REG y VAL POE - AESR - ESR'!F2768</f>
        <v>0</v>
      </c>
      <c r="CQ36" s="57">
        <f>'REG y VAL POE - AESR - ESR'!G2768</f>
        <v>0</v>
      </c>
      <c r="CR36" s="56">
        <f>'REG y VAL POE - AESR - ESR'!H2768</f>
        <v>0</v>
      </c>
      <c r="CS36" s="57">
        <f>'REG y VAL POE - AESR - ESR'!I2768</f>
        <v>0</v>
      </c>
      <c r="CT36" s="58">
        <f>'REG y VAL POE - AESR - ESR'!J2768</f>
        <v>0</v>
      </c>
      <c r="CU36" s="56">
        <f>'REG y VAL POE - AESR - ESR'!K2768</f>
        <v>0</v>
      </c>
      <c r="CV36" s="57">
        <f>'REG y VAL POE - AESR - ESR'!L2768</f>
        <v>0</v>
      </c>
      <c r="CW36" s="57">
        <f>'REG y VAL POE - AESR - ESR'!M2768</f>
        <v>0</v>
      </c>
      <c r="CX36" s="57">
        <f>'REG y VAL POE - AESR - ESR'!N2768</f>
        <v>0</v>
      </c>
      <c r="CY36" s="56">
        <f>'REG y VAL POE - AESR - ESR'!O2768</f>
        <v>0</v>
      </c>
      <c r="CZ36" s="57">
        <f>'REG y VAL POE - AESR - ESR'!P2768</f>
        <v>0</v>
      </c>
      <c r="DA36" s="57">
        <f>'REG y VAL POE - AESR - ESR'!Q2768</f>
        <v>0</v>
      </c>
      <c r="DB36" s="56">
        <f>'REG y VAL POE - AESR - ESR'!R2768</f>
        <v>0</v>
      </c>
      <c r="DC36" s="57">
        <f>'REG y VAL POE - AESR - ESR'!S2768</f>
        <v>0</v>
      </c>
      <c r="DD36" s="58">
        <f>'REG y VAL POE - AESR - ESR'!T2768</f>
        <v>0</v>
      </c>
      <c r="DE36" s="56">
        <f>'REG y VAL POE - AESR - ESR'!U2768</f>
        <v>0</v>
      </c>
      <c r="DF36" s="57">
        <f>'REG y VAL POE - AESR - ESR'!V2768</f>
        <v>0</v>
      </c>
      <c r="DG36" s="57">
        <f>'REG y VAL POE - AESR - ESR'!W2768</f>
        <v>0</v>
      </c>
      <c r="DH36" s="57">
        <f>'REG y VAL POE - AESR - ESR'!X2768</f>
        <v>0</v>
      </c>
      <c r="DI36" s="56">
        <f>'REG y VAL POE - AESR - ESR'!Y2768</f>
        <v>0</v>
      </c>
      <c r="DJ36" s="57">
        <f>'REG y VAL POE - AESR - ESR'!Z2768</f>
        <v>0</v>
      </c>
      <c r="DK36" s="57">
        <f>'REG y VAL POE - AESR - ESR'!AA2768</f>
        <v>0</v>
      </c>
      <c r="DL36" s="56">
        <f>'REG y VAL POE - AESR - ESR'!AB2768</f>
        <v>0</v>
      </c>
      <c r="DM36" s="57">
        <f>'REG y VAL POE - AESR - ESR'!AC2768</f>
        <v>0</v>
      </c>
      <c r="DN36" s="58">
        <f>'REG y VAL POE - AESR - ESR'!AD2768</f>
        <v>0</v>
      </c>
      <c r="DO36" s="56">
        <f>'REG y VAL POE - AESR - ESR'!AE2768</f>
        <v>0</v>
      </c>
      <c r="DP36" s="57">
        <f>'REG y VAL POE - AESR - ESR'!AF2768</f>
        <v>0</v>
      </c>
      <c r="DQ36" s="57">
        <f>'REG y VAL POE - AESR - ESR'!AG2768</f>
        <v>0</v>
      </c>
      <c r="DR36" s="57">
        <f>'REG y VAL POE - AESR - ESR'!AH2768</f>
        <v>0</v>
      </c>
      <c r="DS36" s="56">
        <f>'REG y VAL POE - AESR - ESR'!AI2768</f>
        <v>0</v>
      </c>
      <c r="DT36" s="57">
        <f>'REG y VAL POE - AESR - ESR'!AJ2768</f>
        <v>0</v>
      </c>
      <c r="DU36" s="57">
        <f>'REG y VAL POE - AESR - ESR'!AK2768</f>
        <v>0</v>
      </c>
      <c r="DV36" s="56">
        <f>'REG y VAL POE - AESR - ESR'!AL2768</f>
        <v>0</v>
      </c>
      <c r="DW36" s="57">
        <f>'REG y VAL POE - AESR - ESR'!AM2768</f>
        <v>0</v>
      </c>
      <c r="DX36" s="58">
        <f>'REG y VAL POE - AESR - ESR'!AN2768</f>
        <v>0</v>
      </c>
      <c r="DY36" s="56">
        <f>'REG y VAL POE - AESR - ESR'!AO2768</f>
        <v>0</v>
      </c>
      <c r="DZ36" s="57">
        <f>'REG y VAL POE - AESR - ESR'!AP2768</f>
        <v>0</v>
      </c>
      <c r="EA36" s="57">
        <f>'REG y VAL POE - AESR - ESR'!AQ2768</f>
        <v>0</v>
      </c>
      <c r="EB36" s="57">
        <f>'REG y VAL POE - AESR - ESR'!AR2768</f>
        <v>0</v>
      </c>
      <c r="EC36" s="56">
        <f>'REG y VAL POE - AESR - ESR'!AS2768</f>
        <v>0</v>
      </c>
      <c r="ED36" s="57" t="str">
        <f>'REG y VAL POE - AESR - ESR'!B2769</f>
        <v xml:space="preserve">Martin Del Campo Nicolas </v>
      </c>
      <c r="EE36" s="56" t="str">
        <f>'REG y VAL POE - AESR - ESR'!C2769</f>
        <v>Sin Registro</v>
      </c>
      <c r="EF36" s="56">
        <f>'REG y VAL POE - AESR - ESR'!D2769</f>
        <v>20240914</v>
      </c>
      <c r="EG36" s="57">
        <f>'REG y VAL POE - AESR - ESR'!E2769</f>
        <v>0</v>
      </c>
      <c r="EH36" s="58">
        <f>'REG y VAL POE - AESR - ESR'!F2769</f>
        <v>0</v>
      </c>
      <c r="EI36" s="56">
        <f>'REG y VAL POE - AESR - ESR'!G2769</f>
        <v>0</v>
      </c>
      <c r="EJ36" s="57">
        <f>'REG y VAL POE - AESR - ESR'!H2769</f>
        <v>0</v>
      </c>
      <c r="EK36" s="57">
        <f>'REG y VAL POE - AESR - ESR'!I2769</f>
        <v>0</v>
      </c>
      <c r="EL36" s="57">
        <f>'REG y VAL POE - AESR - ESR'!J2769</f>
        <v>0</v>
      </c>
      <c r="EM36" s="56">
        <f>'REG y VAL POE - AESR - ESR'!K2769</f>
        <v>0</v>
      </c>
      <c r="EN36" s="57">
        <f>'REG y VAL POE - AESR - ESR'!L2769</f>
        <v>0</v>
      </c>
      <c r="EO36" s="57">
        <f>'REG y VAL POE - AESR - ESR'!M2769</f>
        <v>0</v>
      </c>
      <c r="EP36" s="56">
        <f>'REG y VAL POE - AESR - ESR'!N2769</f>
        <v>0</v>
      </c>
      <c r="EQ36" s="57">
        <f>'REG y VAL POE - AESR - ESR'!O2769</f>
        <v>0</v>
      </c>
      <c r="ER36" s="58">
        <f>'REG y VAL POE - AESR - ESR'!P2769</f>
        <v>0</v>
      </c>
      <c r="ES36" s="56">
        <f>'REG y VAL POE - AESR - ESR'!Q2769</f>
        <v>0</v>
      </c>
      <c r="ET36" s="57">
        <f>'REG y VAL POE - AESR - ESR'!R2769</f>
        <v>0</v>
      </c>
      <c r="EU36" s="57">
        <f>'REG y VAL POE - AESR - ESR'!S2769</f>
        <v>0</v>
      </c>
      <c r="EV36" s="57">
        <f>'REG y VAL POE - AESR - ESR'!T2769</f>
        <v>0</v>
      </c>
      <c r="EW36" s="56">
        <f>'REG y VAL POE - AESR - ESR'!U2769</f>
        <v>0</v>
      </c>
      <c r="EX36" s="57">
        <f>'REG y VAL POE - AESR - ESR'!V2769</f>
        <v>0</v>
      </c>
      <c r="EY36" s="57">
        <f>'REG y VAL POE - AESR - ESR'!W2769</f>
        <v>0</v>
      </c>
      <c r="EZ36" s="56">
        <f>'REG y VAL POE - AESR - ESR'!X2769</f>
        <v>0</v>
      </c>
      <c r="FA36" s="57">
        <f>'REG y VAL POE - AESR - ESR'!Y2769</f>
        <v>0</v>
      </c>
      <c r="FB36" s="58">
        <f>'REG y VAL POE - AESR - ESR'!Z2769</f>
        <v>0</v>
      </c>
      <c r="FC36" s="56">
        <f>'REG y VAL POE - AESR - ESR'!AA2769</f>
        <v>0</v>
      </c>
      <c r="FD36" s="57">
        <f>'REG y VAL POE - AESR - ESR'!AB2769</f>
        <v>0</v>
      </c>
      <c r="FE36" s="57">
        <f>'REG y VAL POE - AESR - ESR'!AC2769</f>
        <v>0</v>
      </c>
      <c r="FF36" s="57">
        <f>'REG y VAL POE - AESR - ESR'!AD2769</f>
        <v>0</v>
      </c>
      <c r="FG36" s="56">
        <f>'REG y VAL POE - AESR - ESR'!AE2769</f>
        <v>0</v>
      </c>
      <c r="FH36" s="57">
        <f>'REG y VAL POE - AESR - ESR'!AF2769</f>
        <v>0</v>
      </c>
      <c r="FI36" s="57">
        <f>'REG y VAL POE - AESR - ESR'!AG2769</f>
        <v>0</v>
      </c>
      <c r="FJ36" s="56">
        <f>'REG y VAL POE - AESR - ESR'!AH2769</f>
        <v>0</v>
      </c>
      <c r="FK36" s="57">
        <f>'REG y VAL POE - AESR - ESR'!AI2769</f>
        <v>0</v>
      </c>
      <c r="FL36" s="58">
        <f>'REG y VAL POE - AESR - ESR'!AJ2769</f>
        <v>0</v>
      </c>
      <c r="FM36" s="56">
        <f>'REG y VAL POE - AESR - ESR'!AK2769</f>
        <v>0</v>
      </c>
      <c r="FN36" s="57">
        <f>'REG y VAL POE - AESR - ESR'!AL2769</f>
        <v>0</v>
      </c>
      <c r="FO36" s="57">
        <f>'REG y VAL POE - AESR - ESR'!AM2769</f>
        <v>0</v>
      </c>
      <c r="FP36" s="57">
        <f>'REG y VAL POE - AESR - ESR'!AN2769</f>
        <v>0</v>
      </c>
      <c r="FQ36" s="56">
        <f>'REG y VAL POE - AESR - ESR'!AO2769</f>
        <v>0</v>
      </c>
      <c r="FR36" s="57">
        <f>'REG y VAL POE - AESR - ESR'!AP2769</f>
        <v>0</v>
      </c>
      <c r="FS36" s="57">
        <f>'REG y VAL POE - AESR - ESR'!AQ2769</f>
        <v>0</v>
      </c>
      <c r="FT36" s="56">
        <f>'REG y VAL POE - AESR - ESR'!AR2769</f>
        <v>0</v>
      </c>
      <c r="FU36" s="57">
        <f>'REG y VAL POE - AESR - ESR'!AS2769</f>
        <v>0</v>
      </c>
      <c r="FV36" s="58" t="str">
        <f>'REG y VAL POE - AESR - ESR'!B2770</f>
        <v>Meza Rodriguez Enrique Alfonso</v>
      </c>
      <c r="FW36" s="56" t="str">
        <f>'REG y VAL POE - AESR - ESR'!C2770</f>
        <v>ESR</v>
      </c>
      <c r="FX36" s="57">
        <f>'REG y VAL POE - AESR - ESR'!D2770</f>
        <v>0</v>
      </c>
      <c r="FY36" s="57">
        <f>'REG y VAL POE - AESR - ESR'!E2770</f>
        <v>0</v>
      </c>
      <c r="FZ36" s="57">
        <f>'REG y VAL POE - AESR - ESR'!F2770</f>
        <v>0</v>
      </c>
      <c r="GA36" s="56">
        <f>'REG y VAL POE - AESR - ESR'!G2770</f>
        <v>0</v>
      </c>
      <c r="GB36" s="57">
        <f>'REG y VAL POE - AESR - ESR'!H2770</f>
        <v>0</v>
      </c>
      <c r="GC36" s="57">
        <f>'REG y VAL POE - AESR - ESR'!I2770</f>
        <v>0</v>
      </c>
      <c r="GD36" s="56">
        <f>'REG y VAL POE - AESR - ESR'!J2770</f>
        <v>0</v>
      </c>
      <c r="GE36" s="57">
        <f>'REG y VAL POE - AESR - ESR'!K2770</f>
        <v>0</v>
      </c>
      <c r="GF36" s="58">
        <f>'REG y VAL POE - AESR - ESR'!L2770</f>
        <v>0</v>
      </c>
      <c r="GG36" s="56">
        <f>'REG y VAL POE - AESR - ESR'!M2770</f>
        <v>0</v>
      </c>
      <c r="GH36" s="57">
        <f>'REG y VAL POE - AESR - ESR'!N2770</f>
        <v>0</v>
      </c>
      <c r="GI36" s="57">
        <f>'REG y VAL POE - AESR - ESR'!O2770</f>
        <v>0</v>
      </c>
      <c r="GJ36" s="57">
        <f>'REG y VAL POE - AESR - ESR'!P2770</f>
        <v>0</v>
      </c>
      <c r="GK36" s="56">
        <f>'REG y VAL POE - AESR - ESR'!Q2770</f>
        <v>0</v>
      </c>
      <c r="GL36" s="57">
        <f>'REG y VAL POE - AESR - ESR'!R2770</f>
        <v>0</v>
      </c>
      <c r="GM36" s="57">
        <f>'REG y VAL POE - AESR - ESR'!S2770</f>
        <v>0</v>
      </c>
      <c r="GN36" s="56">
        <f>'REG y VAL POE - AESR - ESR'!T2770</f>
        <v>0</v>
      </c>
      <c r="GO36" s="57">
        <f>'REG y VAL POE - AESR - ESR'!U2770</f>
        <v>0</v>
      </c>
      <c r="GP36" s="58">
        <f>'REG y VAL POE - AESR - ESR'!V2770</f>
        <v>0</v>
      </c>
      <c r="GQ36" s="56">
        <f>'REG y VAL POE - AESR - ESR'!W2770</f>
        <v>0</v>
      </c>
      <c r="GR36" s="57">
        <f>'REG y VAL POE - AESR - ESR'!X2770</f>
        <v>0</v>
      </c>
      <c r="GS36" s="57">
        <f>'REG y VAL POE - AESR - ESR'!Y2770</f>
        <v>0</v>
      </c>
      <c r="GT36" s="57">
        <f>'REG y VAL POE - AESR - ESR'!Z2770</f>
        <v>0</v>
      </c>
      <c r="GU36" s="56">
        <f>'REG y VAL POE - AESR - ESR'!AA2770</f>
        <v>0</v>
      </c>
      <c r="GV36" s="57">
        <f>'REG y VAL POE - AESR - ESR'!AB2770</f>
        <v>0</v>
      </c>
      <c r="GW36" s="57">
        <f>'REG y VAL POE - AESR - ESR'!AC2770</f>
        <v>0</v>
      </c>
      <c r="GX36" s="56">
        <f>'REG y VAL POE - AESR - ESR'!AD2770</f>
        <v>0</v>
      </c>
      <c r="GY36" s="57">
        <f>'REG y VAL POE - AESR - ESR'!AE2770</f>
        <v>0</v>
      </c>
      <c r="GZ36" s="58">
        <f>'REG y VAL POE - AESR - ESR'!AF2770</f>
        <v>0</v>
      </c>
      <c r="HA36" s="56">
        <f>'REG y VAL POE - AESR - ESR'!AG2770</f>
        <v>0</v>
      </c>
      <c r="HB36" s="57">
        <f>'REG y VAL POE - AESR - ESR'!AH2770</f>
        <v>0</v>
      </c>
      <c r="HC36" s="57">
        <f>'REG y VAL POE - AESR - ESR'!AI2770</f>
        <v>0</v>
      </c>
      <c r="HD36" s="57">
        <f>'REG y VAL POE - AESR - ESR'!AJ2770</f>
        <v>0</v>
      </c>
      <c r="HE36" s="56">
        <f>'REG y VAL POE - AESR - ESR'!AK2770</f>
        <v>0</v>
      </c>
      <c r="HF36" s="57">
        <f>'REG y VAL POE - AESR - ESR'!AL2770</f>
        <v>0</v>
      </c>
      <c r="HG36" s="57">
        <f>'REG y VAL POE - AESR - ESR'!AM2770</f>
        <v>0</v>
      </c>
      <c r="HH36" s="56">
        <f>'REG y VAL POE - AESR - ESR'!AN2770</f>
        <v>0</v>
      </c>
      <c r="HI36" s="57">
        <f>'REG y VAL POE - AESR - ESR'!AO2770</f>
        <v>0</v>
      </c>
      <c r="HJ36" s="58">
        <f>'REG y VAL POE - AESR - ESR'!AP2770</f>
        <v>0</v>
      </c>
      <c r="HK36" s="56">
        <f>'REG y VAL POE - AESR - ESR'!AQ2770</f>
        <v>0</v>
      </c>
      <c r="HL36" s="57">
        <f>'REG y VAL POE - AESR - ESR'!AR2770</f>
        <v>0</v>
      </c>
      <c r="HM36" s="57">
        <f>'REG y VAL POE - AESR - ESR'!AS2770</f>
        <v>0</v>
      </c>
      <c r="HN36" s="57">
        <f>'REG y VAL POE - AESR - ESR'!B2771</f>
        <v>0</v>
      </c>
      <c r="HO36" s="56">
        <f>'REG y VAL POE - AESR - ESR'!C2771</f>
        <v>0</v>
      </c>
      <c r="HP36" s="57">
        <f>'REG y VAL POE - AESR - ESR'!D2771</f>
        <v>0</v>
      </c>
      <c r="HQ36" s="57">
        <f>'REG y VAL POE - AESR - ESR'!E2771</f>
        <v>0</v>
      </c>
      <c r="HR36" s="56">
        <f>'REG y VAL POE - AESR - ESR'!F2771</f>
        <v>0</v>
      </c>
      <c r="HS36" s="57">
        <f>'REG y VAL POE - AESR - ESR'!G2771</f>
        <v>0</v>
      </c>
      <c r="HT36" s="58">
        <f>'REG y VAL POE - AESR - ESR'!H2771</f>
        <v>0</v>
      </c>
      <c r="HU36" s="56">
        <f>'REG y VAL POE - AESR - ESR'!I2771</f>
        <v>0</v>
      </c>
      <c r="HV36" s="57">
        <f>'REG y VAL POE - AESR - ESR'!J2771</f>
        <v>0</v>
      </c>
      <c r="HW36" s="57">
        <f>'REG y VAL POE - AESR - ESR'!K2771</f>
        <v>0</v>
      </c>
      <c r="HX36" s="57">
        <f>'REG y VAL POE - AESR - ESR'!L2771</f>
        <v>0</v>
      </c>
      <c r="HY36" s="56">
        <f>'REG y VAL POE - AESR - ESR'!M2771</f>
        <v>0</v>
      </c>
      <c r="HZ36" s="57">
        <f>'REG y VAL POE - AESR - ESR'!N2771</f>
        <v>0</v>
      </c>
      <c r="IA36" s="57">
        <f>'REG y VAL POE - AESR - ESR'!O2771</f>
        <v>0</v>
      </c>
      <c r="IB36" s="56">
        <f>'REG y VAL POE - AESR - ESR'!P2771</f>
        <v>0</v>
      </c>
      <c r="IC36" s="57">
        <f>'REG y VAL POE - AESR - ESR'!Q2771</f>
        <v>0</v>
      </c>
      <c r="ID36" s="58">
        <f>'REG y VAL POE - AESR - ESR'!R2771</f>
        <v>0</v>
      </c>
      <c r="IE36" s="56">
        <f>'REG y VAL POE - AESR - ESR'!S2771</f>
        <v>0</v>
      </c>
      <c r="IF36" s="57">
        <f>'REG y VAL POE - AESR - ESR'!T2771</f>
        <v>0</v>
      </c>
      <c r="IG36" s="57">
        <f>'REG y VAL POE - AESR - ESR'!U2771</f>
        <v>0</v>
      </c>
      <c r="IH36" s="57">
        <f>'REG y VAL POE - AESR - ESR'!V2771</f>
        <v>0</v>
      </c>
      <c r="II36" s="56">
        <f>'REG y VAL POE - AESR - ESR'!W2771</f>
        <v>0</v>
      </c>
      <c r="IJ36" s="57">
        <f>'REG y VAL POE - AESR - ESR'!X2771</f>
        <v>0</v>
      </c>
      <c r="IK36" s="57">
        <f>'REG y VAL POE - AESR - ESR'!Y2771</f>
        <v>0</v>
      </c>
      <c r="IL36" s="56">
        <f>'REG y VAL POE - AESR - ESR'!Z2771</f>
        <v>0</v>
      </c>
      <c r="IM36" s="57">
        <f>'REG y VAL POE - AESR - ESR'!AA2771</f>
        <v>0</v>
      </c>
      <c r="IN36" s="58">
        <f>'REG y VAL POE - AESR - ESR'!AB2771</f>
        <v>0</v>
      </c>
      <c r="IO36" s="56">
        <f>'REG y VAL POE - AESR - ESR'!AC2771</f>
        <v>0</v>
      </c>
      <c r="IP36" s="57">
        <f>'REG y VAL POE - AESR - ESR'!AD2771</f>
        <v>0</v>
      </c>
      <c r="IQ36" s="57">
        <f>'REG y VAL POE - AESR - ESR'!AE2771</f>
        <v>0</v>
      </c>
      <c r="IR36" s="57">
        <f>'REG y VAL POE - AESR - ESR'!AF2771</f>
        <v>0</v>
      </c>
      <c r="IS36" s="56">
        <f>'REG y VAL POE - AESR - ESR'!AG2771</f>
        <v>0</v>
      </c>
      <c r="IT36" s="57">
        <f>'REG y VAL POE - AESR - ESR'!AH2771</f>
        <v>0</v>
      </c>
      <c r="IU36" s="57">
        <f>'REG y VAL POE - AESR - ESR'!AI2771</f>
        <v>0</v>
      </c>
      <c r="IV36" s="56">
        <f>'REG y VAL POE - AESR - ESR'!AJ2771</f>
        <v>0</v>
      </c>
      <c r="IW36" s="57">
        <f>'REG y VAL POE - AESR - ESR'!AK2771</f>
        <v>0</v>
      </c>
      <c r="IX36" s="58">
        <f>'REG y VAL POE - AESR - ESR'!AL2771</f>
        <v>0</v>
      </c>
      <c r="IY36" s="56">
        <f>'REG y VAL POE - AESR - ESR'!AM2771</f>
        <v>0</v>
      </c>
      <c r="IZ36" s="57">
        <f>'REG y VAL POE - AESR - ESR'!AN2771</f>
        <v>0</v>
      </c>
      <c r="JA36" s="57">
        <f>'REG y VAL POE - AESR - ESR'!AO2771</f>
        <v>0</v>
      </c>
      <c r="JB36" s="57">
        <f>'REG y VAL POE - AESR - ESR'!AP2771</f>
        <v>0</v>
      </c>
      <c r="JC36" s="56">
        <f>'REG y VAL POE - AESR - ESR'!AQ2771</f>
        <v>0</v>
      </c>
      <c r="JD36" s="57">
        <f>'REG y VAL POE - AESR - ESR'!AR2771</f>
        <v>0</v>
      </c>
      <c r="JE36" s="57">
        <f>'REG y VAL POE - AESR - ESR'!AS2771</f>
        <v>0</v>
      </c>
      <c r="JF36" s="56">
        <f>'REG y VAL POE - AESR - ESR'!B2772</f>
        <v>0</v>
      </c>
      <c r="JG36" s="57">
        <f>'REG y VAL POE - AESR - ESR'!C2772</f>
        <v>0</v>
      </c>
      <c r="JH36" s="58">
        <f>'REG y VAL POE - AESR - ESR'!D2772</f>
        <v>0</v>
      </c>
      <c r="JI36" s="56">
        <f>'REG y VAL POE - AESR - ESR'!E2772</f>
        <v>0</v>
      </c>
      <c r="JJ36" s="57">
        <f>'REG y VAL POE - AESR - ESR'!F2772</f>
        <v>0</v>
      </c>
      <c r="JK36" s="57">
        <f>'REG y VAL POE - AESR - ESR'!G2772</f>
        <v>0</v>
      </c>
      <c r="JL36" s="57">
        <f>'REG y VAL POE - AESR - ESR'!H2772</f>
        <v>0</v>
      </c>
      <c r="JM36" s="56">
        <f>'REG y VAL POE - AESR - ESR'!I2772</f>
        <v>0</v>
      </c>
      <c r="JN36" s="57">
        <f>'REG y VAL POE - AESR - ESR'!J2772</f>
        <v>0</v>
      </c>
      <c r="JO36" s="57">
        <f>'REG y VAL POE - AESR - ESR'!K2772</f>
        <v>0</v>
      </c>
      <c r="JP36" s="56">
        <f>'REG y VAL POE - AESR - ESR'!L2772</f>
        <v>0</v>
      </c>
      <c r="JQ36" s="57">
        <f>'REG y VAL POE - AESR - ESR'!M2772</f>
        <v>0</v>
      </c>
      <c r="JR36" s="58">
        <f>'REG y VAL POE - AESR - ESR'!N2772</f>
        <v>0</v>
      </c>
      <c r="JS36" s="56">
        <f>'REG y VAL POE - AESR - ESR'!O2772</f>
        <v>0</v>
      </c>
      <c r="JT36" s="57">
        <f>'REG y VAL POE - AESR - ESR'!P2772</f>
        <v>0</v>
      </c>
      <c r="JU36" s="57">
        <f>'REG y VAL POE - AESR - ESR'!Q2772</f>
        <v>0</v>
      </c>
      <c r="JV36" s="57">
        <f>'REG y VAL POE - AESR - ESR'!R2772</f>
        <v>0</v>
      </c>
      <c r="JW36" s="56">
        <f>'REG y VAL POE - AESR - ESR'!S2772</f>
        <v>0</v>
      </c>
      <c r="JX36" s="57">
        <f>'REG y VAL POE - AESR - ESR'!T2772</f>
        <v>0</v>
      </c>
      <c r="JY36" s="57">
        <f>'REG y VAL POE - AESR - ESR'!U2772</f>
        <v>0</v>
      </c>
      <c r="JZ36" s="56">
        <f>'REG y VAL POE - AESR - ESR'!V2772</f>
        <v>0</v>
      </c>
      <c r="KA36" s="57">
        <f>'REG y VAL POE - AESR - ESR'!W2772</f>
        <v>0</v>
      </c>
      <c r="KB36" s="58">
        <f>'REG y VAL POE - AESR - ESR'!X2772</f>
        <v>0</v>
      </c>
      <c r="KC36" s="56">
        <f>'REG y VAL POE - AESR - ESR'!Y2772</f>
        <v>0</v>
      </c>
      <c r="KD36" s="57">
        <f>'REG y VAL POE - AESR - ESR'!Z2772</f>
        <v>0</v>
      </c>
      <c r="KE36" s="57">
        <f>'REG y VAL POE - AESR - ESR'!AA2772</f>
        <v>0</v>
      </c>
      <c r="KF36" s="57">
        <f>'REG y VAL POE - AESR - ESR'!AB2772</f>
        <v>0</v>
      </c>
      <c r="KG36" s="56">
        <f>'REG y VAL POE - AESR - ESR'!AC2772</f>
        <v>0</v>
      </c>
      <c r="KH36" s="57">
        <f>'REG y VAL POE - AESR - ESR'!AD2772</f>
        <v>0</v>
      </c>
      <c r="KI36" s="57">
        <f>'REG y VAL POE - AESR - ESR'!AE2772</f>
        <v>0</v>
      </c>
      <c r="KJ36" s="56">
        <f>'REG y VAL POE - AESR - ESR'!AF2772</f>
        <v>0</v>
      </c>
      <c r="KK36" s="57">
        <f>'REG y VAL POE - AESR - ESR'!AG2772</f>
        <v>0</v>
      </c>
      <c r="KL36" s="58">
        <f>'REG y VAL POE - AESR - ESR'!AH2772</f>
        <v>0</v>
      </c>
      <c r="KM36" s="56">
        <f>'REG y VAL POE - AESR - ESR'!AI2772</f>
        <v>0</v>
      </c>
      <c r="KN36" s="57">
        <f>'REG y VAL POE - AESR - ESR'!AJ2772</f>
        <v>0</v>
      </c>
      <c r="KO36" s="57">
        <f>'REG y VAL POE - AESR - ESR'!AK2772</f>
        <v>0</v>
      </c>
      <c r="KP36" s="57">
        <f>'REG y VAL POE - AESR - ESR'!AL2772</f>
        <v>0</v>
      </c>
      <c r="KQ36" s="56">
        <f>'REG y VAL POE - AESR - ESR'!AM2772</f>
        <v>0</v>
      </c>
      <c r="KR36" s="57">
        <f>'REG y VAL POE - AESR - ESR'!AN2772</f>
        <v>0</v>
      </c>
      <c r="KS36" s="57">
        <f>'REG y VAL POE - AESR - ESR'!AO2772</f>
        <v>0</v>
      </c>
      <c r="KT36" s="56">
        <f>'REG y VAL POE - AESR - ESR'!AP2772</f>
        <v>0</v>
      </c>
      <c r="KU36" s="57">
        <f>'REG y VAL POE - AESR - ESR'!AQ2772</f>
        <v>0</v>
      </c>
      <c r="KV36" s="58">
        <f>'REG y VAL POE - AESR - ESR'!AR2772</f>
        <v>0</v>
      </c>
      <c r="KW36" s="56">
        <f>'REG y VAL POE - AESR - ESR'!AS2772</f>
        <v>0</v>
      </c>
      <c r="KX36" s="57">
        <f>'REG y VAL POE - AESR - ESR'!B2773</f>
        <v>0</v>
      </c>
      <c r="KY36" s="57">
        <f>'REG y VAL POE - AESR - ESR'!C2773</f>
        <v>0</v>
      </c>
      <c r="KZ36" s="57">
        <f>'REG y VAL POE - AESR - ESR'!D2773</f>
        <v>0</v>
      </c>
      <c r="LA36" s="56">
        <f>'REG y VAL POE - AESR - ESR'!E2773</f>
        <v>0</v>
      </c>
      <c r="LB36" s="57">
        <f>'REG y VAL POE - AESR - ESR'!F2773</f>
        <v>0</v>
      </c>
      <c r="LC36" s="57">
        <f>'REG y VAL POE - AESR - ESR'!G2773</f>
        <v>0</v>
      </c>
      <c r="LD36" s="56">
        <f>'REG y VAL POE - AESR - ESR'!H2773</f>
        <v>0</v>
      </c>
      <c r="LE36" s="57">
        <f>'REG y VAL POE - AESR - ESR'!I2773</f>
        <v>0</v>
      </c>
      <c r="LF36" s="58">
        <f>'REG y VAL POE - AESR - ESR'!J2773</f>
        <v>0</v>
      </c>
      <c r="LG36" s="56">
        <f>'REG y VAL POE - AESR - ESR'!K2773</f>
        <v>0</v>
      </c>
      <c r="LH36" s="57">
        <f>'REG y VAL POE - AESR - ESR'!L2773</f>
        <v>0</v>
      </c>
      <c r="LI36" s="57">
        <f>'REG y VAL POE - AESR - ESR'!M2773</f>
        <v>0</v>
      </c>
      <c r="LJ36" s="57">
        <f>'REG y VAL POE - AESR - ESR'!N2773</f>
        <v>0</v>
      </c>
      <c r="LK36" s="56">
        <f>'REG y VAL POE - AESR - ESR'!O2773</f>
        <v>0</v>
      </c>
      <c r="LL36" s="57">
        <f>'REG y VAL POE - AESR - ESR'!P2773</f>
        <v>0</v>
      </c>
      <c r="LM36" s="57">
        <f>'REG y VAL POE - AESR - ESR'!Q2773</f>
        <v>0</v>
      </c>
      <c r="LN36" s="56">
        <f>'REG y VAL POE - AESR - ESR'!R2773</f>
        <v>0</v>
      </c>
      <c r="LO36" s="57">
        <f>'REG y VAL POE - AESR - ESR'!S2773</f>
        <v>0</v>
      </c>
      <c r="LP36" s="58">
        <f>'REG y VAL POE - AESR - ESR'!T2773</f>
        <v>0</v>
      </c>
      <c r="LQ36" s="56">
        <f>'REG y VAL POE - AESR - ESR'!U2773</f>
        <v>0</v>
      </c>
      <c r="LR36" s="57">
        <f>'REG y VAL POE - AESR - ESR'!V2773</f>
        <v>0</v>
      </c>
      <c r="LS36" s="57">
        <f>'REG y VAL POE - AESR - ESR'!W2773</f>
        <v>0</v>
      </c>
      <c r="LT36" s="57">
        <f>'REG y VAL POE - AESR - ESR'!X2773</f>
        <v>0</v>
      </c>
      <c r="LU36" s="56">
        <f>'REG y VAL POE - AESR - ESR'!Y2773</f>
        <v>0</v>
      </c>
      <c r="LV36" s="57">
        <f>'REG y VAL POE - AESR - ESR'!Z2773</f>
        <v>0</v>
      </c>
      <c r="LW36" s="57">
        <f>'REG y VAL POE - AESR - ESR'!AA2773</f>
        <v>0</v>
      </c>
      <c r="LX36" s="56">
        <f>'REG y VAL POE - AESR - ESR'!AB2773</f>
        <v>0</v>
      </c>
      <c r="LY36" s="57">
        <f>'REG y VAL POE - AESR - ESR'!AC2773</f>
        <v>0</v>
      </c>
      <c r="LZ36" s="58">
        <f>'REG y VAL POE - AESR - ESR'!AD2773</f>
        <v>0</v>
      </c>
      <c r="MA36" s="56">
        <f>'REG y VAL POE - AESR - ESR'!AE2773</f>
        <v>0</v>
      </c>
      <c r="MB36" s="57">
        <f>'REG y VAL POE - AESR - ESR'!AF2773</f>
        <v>0</v>
      </c>
      <c r="MC36" s="57">
        <f>'REG y VAL POE - AESR - ESR'!AG2773</f>
        <v>0</v>
      </c>
      <c r="MD36" s="57">
        <f>'REG y VAL POE - AESR - ESR'!AH2773</f>
        <v>0</v>
      </c>
      <c r="ME36" s="56">
        <f>'REG y VAL POE - AESR - ESR'!AI2773</f>
        <v>0</v>
      </c>
      <c r="MF36" s="57">
        <f>'REG y VAL POE - AESR - ESR'!AJ2773</f>
        <v>0</v>
      </c>
      <c r="MG36" s="57">
        <f>'REG y VAL POE - AESR - ESR'!AK2773</f>
        <v>0</v>
      </c>
      <c r="MH36" s="56">
        <f>'REG y VAL POE - AESR - ESR'!AL2773</f>
        <v>0</v>
      </c>
      <c r="MI36" s="57">
        <f>'REG y VAL POE - AESR - ESR'!AM2773</f>
        <v>0</v>
      </c>
      <c r="MJ36" s="58">
        <f>'REG y VAL POE - AESR - ESR'!AN2773</f>
        <v>0</v>
      </c>
      <c r="MK36" s="56">
        <f>'REG y VAL POE - AESR - ESR'!AO2773</f>
        <v>0</v>
      </c>
      <c r="ML36" s="57">
        <f>'REG y VAL POE - AESR - ESR'!AP2773</f>
        <v>0</v>
      </c>
      <c r="MM36" s="57">
        <f>'REG y VAL POE - AESR - ESR'!AQ2773</f>
        <v>0</v>
      </c>
      <c r="MN36" s="57">
        <f>'REG y VAL POE - AESR - ESR'!AR2773</f>
        <v>0</v>
      </c>
      <c r="MO36" s="56">
        <f>'REG y VAL POE - AESR - ESR'!AS2773</f>
        <v>0</v>
      </c>
      <c r="MP36" s="57">
        <f>'REG y VAL POE - AESR - ESR'!B2774</f>
        <v>0</v>
      </c>
      <c r="MQ36" s="57">
        <f>'REG y VAL POE - AESR - ESR'!C2774</f>
        <v>0</v>
      </c>
      <c r="MR36" s="56">
        <f>'REG y VAL POE - AESR - ESR'!D2774</f>
        <v>0</v>
      </c>
      <c r="MS36" s="57">
        <f>'REG y VAL POE - AESR - ESR'!E2774</f>
        <v>0</v>
      </c>
      <c r="MT36" s="58">
        <f>'REG y VAL POE - AESR - ESR'!F2774</f>
        <v>0</v>
      </c>
      <c r="MU36" s="56">
        <f>'REG y VAL POE - AESR - ESR'!G2774</f>
        <v>0</v>
      </c>
      <c r="MV36" s="57">
        <f>'REG y VAL POE - AESR - ESR'!H2774</f>
        <v>0</v>
      </c>
      <c r="MW36" s="57">
        <f>'REG y VAL POE - AESR - ESR'!I2774</f>
        <v>0</v>
      </c>
      <c r="MX36" s="57">
        <f>'REG y VAL POE - AESR - ESR'!J2774</f>
        <v>0</v>
      </c>
      <c r="MY36" s="56">
        <f>'REG y VAL POE - AESR - ESR'!K2774</f>
        <v>0</v>
      </c>
      <c r="MZ36" s="57">
        <f>'REG y VAL POE - AESR - ESR'!L2774</f>
        <v>0</v>
      </c>
      <c r="NA36" s="57">
        <f>'REG y VAL POE - AESR - ESR'!M2774</f>
        <v>0</v>
      </c>
      <c r="NB36" s="56">
        <f>'REG y VAL POE - AESR - ESR'!N2774</f>
        <v>0</v>
      </c>
      <c r="NC36" s="57">
        <f>'REG y VAL POE - AESR - ESR'!O2774</f>
        <v>0</v>
      </c>
      <c r="ND36" s="58">
        <f>'REG y VAL POE - AESR - ESR'!P2774</f>
        <v>0</v>
      </c>
      <c r="NE36" s="56">
        <f>'REG y VAL POE - AESR - ESR'!Q2774</f>
        <v>0</v>
      </c>
      <c r="NF36" s="57">
        <f>'REG y VAL POE - AESR - ESR'!R2774</f>
        <v>0</v>
      </c>
      <c r="NG36" s="57">
        <f>'REG y VAL POE - AESR - ESR'!S2774</f>
        <v>0</v>
      </c>
      <c r="NH36" s="57">
        <f>'REG y VAL POE - AESR - ESR'!T2774</f>
        <v>0</v>
      </c>
      <c r="NI36" s="56">
        <f>'REG y VAL POE - AESR - ESR'!U2774</f>
        <v>0</v>
      </c>
      <c r="NJ36" s="57">
        <f>'REG y VAL POE - AESR - ESR'!V2774</f>
        <v>0</v>
      </c>
      <c r="NK36" s="57">
        <f>'REG y VAL POE - AESR - ESR'!W2774</f>
        <v>0</v>
      </c>
      <c r="NL36" s="56">
        <f>'REG y VAL POE - AESR - ESR'!X2774</f>
        <v>0</v>
      </c>
      <c r="NM36" s="57">
        <f>'REG y VAL POE - AESR - ESR'!Y2774</f>
        <v>0</v>
      </c>
      <c r="NN36" s="58">
        <f>'REG y VAL POE - AESR - ESR'!Z2774</f>
        <v>0</v>
      </c>
      <c r="NO36" s="56">
        <f>'REG y VAL POE - AESR - ESR'!AA2774</f>
        <v>0</v>
      </c>
      <c r="NP36" s="57">
        <f>'REG y VAL POE - AESR - ESR'!AB2774</f>
        <v>0</v>
      </c>
      <c r="NQ36" s="57">
        <f>'REG y VAL POE - AESR - ESR'!AC2774</f>
        <v>0</v>
      </c>
      <c r="NR36" s="57">
        <f>'REG y VAL POE - AESR - ESR'!AD2774</f>
        <v>0</v>
      </c>
      <c r="NS36" s="56">
        <f>'REG y VAL POE - AESR - ESR'!AE2774</f>
        <v>0</v>
      </c>
      <c r="NT36" s="57">
        <f>'REG y VAL POE - AESR - ESR'!AF2774</f>
        <v>0</v>
      </c>
      <c r="NU36" s="57">
        <f>'REG y VAL POE - AESR - ESR'!AG2774</f>
        <v>0</v>
      </c>
      <c r="NV36" s="56">
        <f>'REG y VAL POE - AESR - ESR'!AH2774</f>
        <v>0</v>
      </c>
      <c r="NW36" s="57">
        <f>'REG y VAL POE - AESR - ESR'!AI2774</f>
        <v>0</v>
      </c>
      <c r="NX36" s="58">
        <f>'REG y VAL POE - AESR - ESR'!AJ2774</f>
        <v>0</v>
      </c>
      <c r="NY36" s="56">
        <f>'REG y VAL POE - AESR - ESR'!AK2774</f>
        <v>0</v>
      </c>
      <c r="NZ36" s="57">
        <f>'REG y VAL POE - AESR - ESR'!AL2774</f>
        <v>0</v>
      </c>
      <c r="OA36" s="57">
        <f>'REG y VAL POE - AESR - ESR'!AM2774</f>
        <v>0</v>
      </c>
      <c r="OB36" s="57">
        <f>'REG y VAL POE - AESR - ESR'!AN2774</f>
        <v>0</v>
      </c>
      <c r="OC36" s="56">
        <f>'REG y VAL POE - AESR - ESR'!AO2774</f>
        <v>0</v>
      </c>
      <c r="OD36" s="57">
        <f>'REG y VAL POE - AESR - ESR'!AP2774</f>
        <v>0</v>
      </c>
      <c r="OE36" s="57">
        <f>'REG y VAL POE - AESR - ESR'!AQ2774</f>
        <v>0</v>
      </c>
      <c r="OF36" s="58">
        <f>'REG y VAL POE - AESR - ESR'!AR2774</f>
        <v>0</v>
      </c>
      <c r="OG36" s="58">
        <f>'REG y VAL POE - AESR - ESR'!AS2774</f>
        <v>0</v>
      </c>
      <c r="OH36" s="58">
        <f>'REG y VAL POE - AESR - ESR'!B2775</f>
        <v>0</v>
      </c>
      <c r="OI36" s="56">
        <f>'REG y VAL POE - AESR - ESR'!C2775</f>
        <v>0</v>
      </c>
      <c r="OJ36" s="58">
        <f>'REG y VAL POE - AESR - ESR'!D2775</f>
        <v>0</v>
      </c>
      <c r="OK36" s="58">
        <f>'REG y VAL POE - AESR - ESR'!E2775</f>
        <v>0</v>
      </c>
      <c r="OL36" s="58">
        <f>'REG y VAL POE - AESR - ESR'!F2775</f>
        <v>0</v>
      </c>
      <c r="OM36" s="58">
        <f>'REG y VAL POE - AESR - ESR'!G2775</f>
        <v>0</v>
      </c>
      <c r="ON36" s="58">
        <f>'REG y VAL POE - AESR - ESR'!H2775</f>
        <v>0</v>
      </c>
      <c r="OO36" s="58">
        <f>'REG y VAL POE - AESR - ESR'!I2775</f>
        <v>0</v>
      </c>
      <c r="OP36" s="56">
        <f>'REG y VAL POE - AESR - ESR'!J2775</f>
        <v>0</v>
      </c>
      <c r="OQ36" s="57">
        <f>'REG y VAL POE - AESR - ESR'!K2775</f>
        <v>0</v>
      </c>
      <c r="OR36" s="58">
        <f>'REG y VAL POE - AESR - ESR'!L2775</f>
        <v>0</v>
      </c>
      <c r="OS36" s="56">
        <f>'REG y VAL POE - AESR - ESR'!M2775</f>
        <v>0</v>
      </c>
      <c r="OT36" s="57">
        <f>'REG y VAL POE - AESR - ESR'!N2775</f>
        <v>0</v>
      </c>
      <c r="OU36" s="57">
        <f>'REG y VAL POE - AESR - ESR'!O2775</f>
        <v>0</v>
      </c>
      <c r="OV36" s="57">
        <f>'REG y VAL POE - AESR - ESR'!P2775</f>
        <v>0</v>
      </c>
      <c r="OW36" s="56">
        <f>'REG y VAL POE - AESR - ESR'!Q2775</f>
        <v>0</v>
      </c>
      <c r="OX36" s="57">
        <f>'REG y VAL POE - AESR - ESR'!R2775</f>
        <v>0</v>
      </c>
      <c r="OY36" s="57">
        <f>'REG y VAL POE - AESR - ESR'!S2775</f>
        <v>0</v>
      </c>
      <c r="OZ36" s="56">
        <f>'REG y VAL POE - AESR - ESR'!T2775</f>
        <v>0</v>
      </c>
      <c r="PA36" s="57">
        <f>'REG y VAL POE - AESR - ESR'!U2775</f>
        <v>0</v>
      </c>
      <c r="PB36" s="58">
        <f>'REG y VAL POE - AESR - ESR'!V2775</f>
        <v>0</v>
      </c>
      <c r="PC36" s="56">
        <f>'REG y VAL POE - AESR - ESR'!W2775</f>
        <v>0</v>
      </c>
      <c r="PD36" s="57">
        <f>'REG y VAL POE - AESR - ESR'!X2775</f>
        <v>0</v>
      </c>
      <c r="PE36" s="57">
        <f>'REG y VAL POE - AESR - ESR'!Y2775</f>
        <v>0</v>
      </c>
      <c r="PF36" s="57">
        <f>'REG y VAL POE - AESR - ESR'!Z2775</f>
        <v>0</v>
      </c>
      <c r="PG36" s="56">
        <f>'REG y VAL POE - AESR - ESR'!AA2775</f>
        <v>0</v>
      </c>
      <c r="PH36" s="57">
        <f>'REG y VAL POE - AESR - ESR'!AB2775</f>
        <v>0</v>
      </c>
      <c r="PI36" s="57">
        <f>'REG y VAL POE - AESR - ESR'!AC2775</f>
        <v>0</v>
      </c>
      <c r="PJ36" s="56">
        <f>'REG y VAL POE - AESR - ESR'!AD2775</f>
        <v>0</v>
      </c>
      <c r="PK36" s="57">
        <f>'REG y VAL POE - AESR - ESR'!AE2775</f>
        <v>0</v>
      </c>
      <c r="PL36" s="58">
        <f>'REG y VAL POE - AESR - ESR'!AF2775</f>
        <v>0</v>
      </c>
      <c r="PM36" s="56">
        <f>'REG y VAL POE - AESR - ESR'!AG2775</f>
        <v>0</v>
      </c>
      <c r="PN36" s="57">
        <f>'REG y VAL POE - AESR - ESR'!AH2775</f>
        <v>0</v>
      </c>
      <c r="PO36" s="57">
        <f>'REG y VAL POE - AESR - ESR'!AI2775</f>
        <v>0</v>
      </c>
      <c r="PP36" s="57">
        <f>'REG y VAL POE - AESR - ESR'!AJ2775</f>
        <v>0</v>
      </c>
      <c r="PQ36" s="56">
        <f>'REG y VAL POE - AESR - ESR'!AK2775</f>
        <v>0</v>
      </c>
      <c r="PR36" s="57">
        <f>'REG y VAL POE - AESR - ESR'!AL2775</f>
        <v>0</v>
      </c>
      <c r="PS36" s="57">
        <f>'REG y VAL POE - AESR - ESR'!AM2775</f>
        <v>0</v>
      </c>
      <c r="PT36" s="56">
        <f>'REG y VAL POE - AESR - ESR'!AN2775</f>
        <v>0</v>
      </c>
      <c r="PU36" s="57">
        <f>'REG y VAL POE - AESR - ESR'!AO2775</f>
        <v>0</v>
      </c>
      <c r="PV36" s="58">
        <f>'REG y VAL POE - AESR - ESR'!AP2775</f>
        <v>0</v>
      </c>
      <c r="PW36" s="56">
        <f>'REG y VAL POE - AESR - ESR'!AQ2775</f>
        <v>0</v>
      </c>
      <c r="PX36" s="57">
        <f>'REG y VAL POE - AESR - ESR'!AR2775</f>
        <v>0</v>
      </c>
      <c r="PY36" s="57">
        <f>'REG y VAL POE - AESR - ESR'!AS2775</f>
        <v>0</v>
      </c>
      <c r="PZ36" s="57"/>
      <c r="QA36" s="56"/>
      <c r="QB36" s="57"/>
      <c r="QC36" s="57"/>
      <c r="QD36" s="56"/>
      <c r="QE36" s="57"/>
      <c r="QF36" s="58"/>
      <c r="QG36" s="56"/>
      <c r="QH36" s="57"/>
      <c r="QI36" s="57"/>
      <c r="QJ36" s="57"/>
      <c r="QK36" s="56"/>
      <c r="QL36" s="57"/>
      <c r="QM36" s="57"/>
      <c r="QN36" s="56"/>
      <c r="QO36" s="57"/>
      <c r="QP36" s="58"/>
      <c r="QQ36" s="56"/>
      <c r="QR36" s="57"/>
      <c r="QS36" s="57"/>
      <c r="QT36" s="57"/>
      <c r="QU36" s="56"/>
      <c r="QV36" s="57"/>
      <c r="QW36" s="57"/>
      <c r="QX36" s="56"/>
      <c r="QY36" s="57"/>
      <c r="QZ36" s="58"/>
      <c r="RA36" s="56"/>
      <c r="RB36" s="57"/>
      <c r="RC36" s="57"/>
      <c r="RD36" s="57"/>
      <c r="RE36" s="56"/>
      <c r="RF36" s="57"/>
      <c r="RG36" s="57"/>
      <c r="RH36" s="56"/>
      <c r="RI36" s="57"/>
      <c r="RJ36" s="58"/>
      <c r="RK36" s="56"/>
      <c r="RL36" s="57"/>
      <c r="RM36" s="57"/>
      <c r="RN36" s="57"/>
      <c r="RO36" s="56"/>
      <c r="RP36" s="57"/>
      <c r="RQ36" s="57"/>
      <c r="RR36" s="56"/>
      <c r="RS36" s="57"/>
      <c r="RT36" s="58"/>
      <c r="RU36" s="56"/>
      <c r="RV36" s="57"/>
      <c r="RW36" s="57"/>
      <c r="RX36" s="57"/>
      <c r="RY36" s="56"/>
      <c r="RZ36" s="57"/>
      <c r="SA36" s="57"/>
      <c r="SB36" s="56"/>
      <c r="SC36" s="57"/>
      <c r="SD36" s="58"/>
      <c r="SE36" s="56"/>
      <c r="SF36" s="57"/>
      <c r="SG36" s="57"/>
      <c r="SH36" s="57"/>
      <c r="SI36" s="56"/>
      <c r="SJ36" s="57"/>
      <c r="SK36" s="57"/>
      <c r="SL36" s="56"/>
      <c r="SM36" s="57"/>
      <c r="SN36" s="58"/>
      <c r="SO36" s="56"/>
      <c r="SP36" s="57"/>
      <c r="SQ36" s="57"/>
      <c r="SR36" s="57"/>
      <c r="SS36" s="56"/>
      <c r="ST36" s="57"/>
      <c r="SU36" s="57"/>
      <c r="SV36" s="56"/>
      <c r="SW36" s="57"/>
      <c r="SX36" s="58"/>
      <c r="SY36" s="56"/>
      <c r="SZ36" s="57"/>
      <c r="TA36" s="57"/>
      <c r="TB36" s="57"/>
      <c r="TC36" s="56"/>
      <c r="TD36" s="57"/>
      <c r="TE36" s="57"/>
      <c r="TF36" s="56"/>
      <c r="TG36" s="57"/>
      <c r="TH36" s="58"/>
      <c r="TI36" s="56"/>
      <c r="TJ36" s="57"/>
      <c r="TK36" s="57"/>
      <c r="TL36" s="57"/>
      <c r="TM36" s="56"/>
      <c r="TN36" s="57"/>
      <c r="TO36" s="57"/>
      <c r="TP36" s="56"/>
      <c r="TQ36" s="57"/>
      <c r="TR36" s="58"/>
      <c r="TS36" s="56"/>
      <c r="TT36" s="57"/>
      <c r="TU36" s="57"/>
      <c r="TV36" s="57"/>
      <c r="TW36" s="56"/>
      <c r="TX36" s="57"/>
      <c r="TY36" s="57"/>
      <c r="TZ36" s="56"/>
      <c r="UA36" s="57"/>
      <c r="UB36" s="58"/>
      <c r="UC36" s="56"/>
      <c r="UD36" s="57"/>
      <c r="UE36" s="57"/>
      <c r="UF36" s="57"/>
      <c r="UG36" s="56"/>
      <c r="UH36" s="57"/>
      <c r="UI36" s="57"/>
      <c r="UJ36" s="56"/>
      <c r="UK36" s="57"/>
      <c r="UL36" s="58"/>
      <c r="UM36" s="56"/>
      <c r="UN36" s="57"/>
      <c r="UO36" s="57"/>
      <c r="UP36" s="57"/>
      <c r="UQ36" s="56"/>
      <c r="UR36" s="57"/>
      <c r="US36" s="57"/>
      <c r="UT36" s="56"/>
      <c r="UU36" s="57"/>
      <c r="UV36" s="58"/>
      <c r="UW36" s="56"/>
      <c r="UX36" s="57"/>
      <c r="UY36" s="57"/>
      <c r="UZ36" s="57"/>
      <c r="VA36" s="56"/>
      <c r="VB36" s="57"/>
      <c r="VC36" s="57"/>
      <c r="VD36" s="56"/>
      <c r="VE36" s="57"/>
      <c r="VF36" s="58"/>
      <c r="VG36" s="56"/>
      <c r="VH36" s="57"/>
      <c r="VI36" s="57"/>
      <c r="VJ36" s="57"/>
      <c r="VK36" s="56"/>
      <c r="VL36" s="57"/>
      <c r="VM36" s="57"/>
      <c r="VN36" s="56"/>
      <c r="VO36" s="57"/>
      <c r="VP36" s="58"/>
      <c r="VQ36" s="56"/>
      <c r="VR36" s="57"/>
      <c r="VS36" s="57"/>
      <c r="VT36" s="57"/>
      <c r="VU36" s="56"/>
      <c r="VV36" s="57"/>
      <c r="VW36" s="57"/>
      <c r="VX36" s="56"/>
      <c r="VY36" s="57"/>
      <c r="VZ36" s="58"/>
      <c r="WA36" s="56"/>
      <c r="WB36" s="57"/>
      <c r="WC36" s="57"/>
      <c r="WD36" s="57"/>
      <c r="WE36" s="56"/>
      <c r="WF36" s="57"/>
      <c r="WG36" s="57"/>
      <c r="WH36" s="56"/>
      <c r="WI36" s="57"/>
      <c r="WJ36" s="58"/>
      <c r="WK36" s="56"/>
      <c r="WL36" s="57"/>
      <c r="WM36" s="57"/>
      <c r="WN36" s="57"/>
      <c r="WO36" s="56"/>
      <c r="WP36" s="57"/>
      <c r="WQ36" s="57"/>
      <c r="WR36" s="56"/>
      <c r="WS36" s="57"/>
      <c r="WT36" s="58"/>
      <c r="WU36" s="56"/>
      <c r="WV36" s="57"/>
      <c r="WW36" s="57"/>
      <c r="WX36" s="57"/>
      <c r="WY36" s="56"/>
      <c r="WZ36" s="57"/>
      <c r="XA36" s="57"/>
      <c r="XB36" s="56"/>
      <c r="XC36" s="57"/>
      <c r="XD36" s="58"/>
      <c r="XE36" s="56"/>
      <c r="XF36" s="57"/>
      <c r="XG36" s="57"/>
      <c r="XH36" s="57"/>
      <c r="XI36" s="56"/>
      <c r="XJ36" s="57"/>
      <c r="XK36" s="57"/>
      <c r="XL36" s="56"/>
      <c r="XM36" s="57"/>
      <c r="XN36" s="58"/>
      <c r="XO36" s="56"/>
      <c r="XP36" s="57"/>
      <c r="XQ36" s="57"/>
      <c r="XR36" s="57"/>
      <c r="XS36" s="56"/>
      <c r="XT36" s="57"/>
      <c r="XU36" s="57"/>
      <c r="XV36" s="56"/>
      <c r="XW36" s="57"/>
      <c r="XX36" s="58"/>
      <c r="XY36" s="56"/>
      <c r="XZ36" s="57"/>
      <c r="YA36" s="57"/>
      <c r="YB36" s="57"/>
      <c r="YC36" s="56"/>
      <c r="YD36" s="57"/>
      <c r="YE36" s="57"/>
      <c r="YF36" s="56"/>
      <c r="YG36" s="57"/>
      <c r="YH36" s="58"/>
      <c r="YI36" s="56"/>
      <c r="YJ36" s="57"/>
      <c r="YK36" s="57"/>
      <c r="YL36" s="57"/>
      <c r="YM36" s="56"/>
      <c r="YN36" s="57"/>
      <c r="YO36" s="57"/>
      <c r="YP36" s="56"/>
      <c r="YQ36" s="57"/>
      <c r="YR36" s="58"/>
      <c r="YS36" s="56"/>
      <c r="YT36" s="57"/>
      <c r="YU36" s="57"/>
      <c r="YV36" s="57"/>
      <c r="YW36" s="56"/>
      <c r="YX36" s="57"/>
      <c r="YY36" s="57"/>
      <c r="YZ36" s="56"/>
      <c r="ZA36" s="57"/>
      <c r="ZB36" s="58"/>
      <c r="ZC36" s="56"/>
      <c r="ZD36" s="57"/>
      <c r="ZE36" s="57"/>
      <c r="ZF36" s="57"/>
      <c r="ZG36" s="56"/>
      <c r="ZH36" s="57"/>
      <c r="ZI36" s="57"/>
      <c r="ZJ36" s="56"/>
      <c r="ZK36" s="57"/>
      <c r="ZL36" s="58"/>
      <c r="ZM36" s="56"/>
      <c r="ZN36" s="57"/>
      <c r="ZO36" s="57"/>
      <c r="ZP36" s="57"/>
      <c r="ZQ36" s="56"/>
      <c r="ZR36" s="57"/>
      <c r="ZS36" s="57"/>
      <c r="ZT36" s="56"/>
      <c r="ZU36" s="57"/>
      <c r="ZV36" s="58"/>
      <c r="ZW36" s="56"/>
      <c r="ZX36" s="57"/>
      <c r="ZY36" s="57"/>
      <c r="ZZ36" s="57"/>
      <c r="AAA36" s="56"/>
      <c r="AAB36" s="57"/>
      <c r="AAC36" s="57"/>
      <c r="AAD36" s="56"/>
      <c r="AAE36" s="57"/>
      <c r="AAF36" s="58"/>
      <c r="AAG36" s="56"/>
      <c r="AAH36" s="57"/>
      <c r="AAI36" s="57"/>
      <c r="AAJ36" s="57"/>
      <c r="AAK36" s="56"/>
      <c r="AAL36" s="57"/>
      <c r="AAM36" s="57"/>
      <c r="AAN36" s="56"/>
      <c r="AAO36" s="57"/>
      <c r="AAP36" s="58"/>
      <c r="AAQ36" s="56"/>
      <c r="AAR36" s="57"/>
      <c r="AAS36" s="57"/>
      <c r="AAT36" s="57"/>
      <c r="AAU36" s="56"/>
      <c r="AAV36" s="57"/>
      <c r="AAW36" s="57"/>
      <c r="AAX36" s="58"/>
      <c r="AAY36" s="58"/>
      <c r="AAZ36" s="58"/>
      <c r="ABA36" s="56"/>
      <c r="ABB36" s="58"/>
      <c r="ABC36" s="58"/>
      <c r="ABD36" s="58"/>
      <c r="ABE36" s="58"/>
      <c r="ABF36" s="58"/>
      <c r="ABG36" s="57"/>
      <c r="ABH36" s="56"/>
      <c r="ABI36" s="57"/>
      <c r="ABJ36" s="58"/>
      <c r="ABK36" s="56"/>
      <c r="ABL36" s="57"/>
      <c r="ABM36" s="57"/>
      <c r="ABN36" s="57"/>
      <c r="ABO36" s="56"/>
      <c r="ABP36" s="57"/>
      <c r="ABQ36" s="57"/>
      <c r="ABR36" s="56"/>
      <c r="ABS36" s="57"/>
      <c r="ABT36" s="58"/>
      <c r="ABU36" s="56"/>
      <c r="ABV36" s="57"/>
      <c r="ABW36" s="57"/>
      <c r="ABX36" s="57"/>
      <c r="ABY36" s="56"/>
      <c r="ABZ36" s="57"/>
      <c r="ACA36" s="57"/>
      <c r="ACB36" s="56"/>
      <c r="ACC36" s="57"/>
      <c r="ACD36" s="58"/>
      <c r="ACE36" s="56"/>
      <c r="ACF36" s="57"/>
      <c r="ACG36" s="57"/>
      <c r="ACH36" s="57"/>
      <c r="ACI36" s="56"/>
      <c r="ACJ36" s="57"/>
      <c r="ACK36" s="57"/>
      <c r="ACL36" s="56"/>
      <c r="ACM36" s="57"/>
      <c r="ACN36" s="58"/>
      <c r="ACO36" s="56"/>
      <c r="ACP36" s="57"/>
      <c r="ACQ36" s="57"/>
      <c r="ACR36" s="57"/>
      <c r="ACS36" s="56"/>
      <c r="ACT36" s="57"/>
      <c r="ACU36" s="57"/>
      <c r="ACV36" s="56"/>
      <c r="ACW36" s="57"/>
      <c r="ACX36" s="58"/>
      <c r="ACY36" s="56"/>
      <c r="ACZ36" s="57"/>
      <c r="ADA36" s="57"/>
      <c r="ADB36" s="57"/>
      <c r="ADC36" s="56"/>
      <c r="ADD36" s="57"/>
      <c r="ADE36" s="57"/>
      <c r="ADF36" s="56"/>
      <c r="ADG36" s="57"/>
      <c r="ADH36" s="58"/>
      <c r="ADI36" s="56"/>
      <c r="ADJ36" s="57"/>
      <c r="ADK36" s="57"/>
      <c r="ADL36" s="57"/>
      <c r="ADM36" s="56"/>
      <c r="ADN36" s="57"/>
      <c r="ADO36" s="57"/>
      <c r="ADP36" s="56"/>
      <c r="ADQ36" s="57"/>
      <c r="ADR36" s="58"/>
      <c r="ADS36" s="56"/>
      <c r="ADT36" s="57"/>
      <c r="ADU36" s="57"/>
      <c r="ADV36" s="57"/>
      <c r="ADW36" s="56"/>
      <c r="ADX36" s="57"/>
      <c r="ADY36" s="57"/>
      <c r="ADZ36" s="56"/>
      <c r="AEA36" s="57"/>
      <c r="AEB36" s="58"/>
      <c r="AEC36" s="56"/>
      <c r="AED36" s="57"/>
      <c r="AEE36" s="57"/>
      <c r="AEF36" s="57"/>
      <c r="AEG36" s="56"/>
      <c r="AEH36" s="57"/>
      <c r="AEI36" s="57"/>
      <c r="AEJ36" s="56"/>
      <c r="AEK36" s="57"/>
      <c r="AEL36" s="58"/>
      <c r="AEM36" s="56"/>
      <c r="AEN36" s="57"/>
      <c r="AEO36" s="57"/>
      <c r="AEP36" s="57"/>
      <c r="AEQ36" s="56"/>
      <c r="AER36" s="57"/>
      <c r="AES36" s="57"/>
      <c r="AET36" s="56"/>
      <c r="AEU36" s="57"/>
      <c r="AEV36" s="58"/>
      <c r="AEW36" s="56"/>
      <c r="AEX36" s="57"/>
      <c r="AEY36" s="57"/>
      <c r="AEZ36" s="57"/>
      <c r="AFA36" s="56"/>
      <c r="AFB36" s="57"/>
      <c r="AFC36" s="57"/>
      <c r="AFD36" s="56"/>
      <c r="AFE36" s="57"/>
      <c r="AFF36" s="58"/>
      <c r="AFG36" s="56"/>
      <c r="AFH36" s="57"/>
      <c r="AFI36" s="57"/>
      <c r="AFJ36" s="57"/>
      <c r="AFK36" s="56"/>
      <c r="AFL36" s="57"/>
      <c r="AFM36" s="57"/>
      <c r="AFN36" s="56"/>
      <c r="AFO36" s="57"/>
      <c r="AFP36" s="58"/>
      <c r="AFQ36" s="56"/>
      <c r="AFR36" s="57"/>
      <c r="AFS36" s="57"/>
      <c r="AFT36" s="57"/>
      <c r="AFU36" s="56"/>
      <c r="AFV36" s="57"/>
      <c r="AFW36" s="57"/>
      <c r="AFX36" s="56"/>
      <c r="AFY36" s="57"/>
      <c r="AFZ36" s="58"/>
      <c r="AGA36" s="56"/>
      <c r="AGB36" s="57"/>
      <c r="AGC36" s="57"/>
      <c r="AGD36" s="57"/>
      <c r="AGE36" s="56"/>
      <c r="AGF36" s="57"/>
      <c r="AGG36" s="57"/>
      <c r="AGH36" s="56"/>
      <c r="AGI36" s="57"/>
      <c r="AGJ36" s="58"/>
      <c r="AGK36" s="56"/>
      <c r="AGL36" s="57"/>
      <c r="AGM36" s="57"/>
      <c r="AGN36" s="57"/>
      <c r="AGO36" s="56"/>
      <c r="AGP36" s="57"/>
      <c r="AGQ36" s="57"/>
      <c r="AGR36" s="56"/>
      <c r="AGS36" s="57"/>
      <c r="AGT36" s="58"/>
      <c r="AGU36" s="56"/>
      <c r="AGV36" s="57"/>
      <c r="AGW36" s="57"/>
      <c r="AGX36" s="57"/>
      <c r="AGY36" s="56"/>
      <c r="AGZ36" s="57"/>
      <c r="AHA36" s="57"/>
      <c r="AHB36" s="56"/>
      <c r="AHC36" s="57"/>
      <c r="AHD36" s="58"/>
      <c r="AHE36" s="56"/>
      <c r="AHF36" s="57"/>
      <c r="AHG36" s="57"/>
      <c r="AHH36" s="57"/>
      <c r="AHI36" s="56"/>
      <c r="AHJ36" s="57"/>
      <c r="AHK36" s="57"/>
      <c r="AHL36" s="56"/>
      <c r="AHM36" s="57"/>
      <c r="AHN36" s="58"/>
      <c r="AHO36" s="56"/>
      <c r="AHP36" s="57"/>
      <c r="AHQ36" s="57"/>
      <c r="AHR36" s="57"/>
      <c r="AHS36" s="56"/>
      <c r="AHT36" s="57"/>
      <c r="AHU36" s="57"/>
      <c r="AHV36" s="56"/>
      <c r="AHW36" s="57"/>
      <c r="AHX36" s="58"/>
      <c r="AHY36" s="56"/>
      <c r="AHZ36" s="57"/>
      <c r="AIA36" s="57"/>
      <c r="AIB36" s="57"/>
      <c r="AIC36" s="56"/>
      <c r="AID36" s="57"/>
      <c r="AIE36" s="57"/>
      <c r="AIF36" s="56"/>
      <c r="AIG36" s="57"/>
      <c r="AIH36" s="58"/>
      <c r="AII36" s="56"/>
      <c r="AIJ36" s="57"/>
      <c r="AIK36" s="57"/>
      <c r="AIL36" s="57"/>
      <c r="AIM36" s="56"/>
      <c r="AIN36" s="57"/>
      <c r="AIO36" s="57"/>
      <c r="AIP36" s="56"/>
      <c r="AIQ36" s="57"/>
      <c r="AIR36" s="58"/>
      <c r="AIS36" s="56"/>
      <c r="AIT36" s="57"/>
      <c r="AIU36" s="57"/>
      <c r="AIV36" s="57"/>
      <c r="AIW36" s="56"/>
      <c r="AIX36" s="57"/>
      <c r="AIY36" s="57"/>
      <c r="AIZ36" s="56"/>
      <c r="AJA36" s="57"/>
      <c r="AJB36" s="58"/>
      <c r="AJC36" s="56"/>
      <c r="AJD36" s="57"/>
      <c r="AJE36" s="57"/>
      <c r="AJF36" s="57"/>
      <c r="AJG36" s="56"/>
      <c r="AJH36" s="57"/>
      <c r="AJI36" s="57"/>
      <c r="AJJ36" s="56"/>
      <c r="AJK36" s="57"/>
      <c r="AJL36" s="58"/>
      <c r="AJM36" s="56"/>
      <c r="AJN36" s="57"/>
      <c r="AJO36" s="57"/>
      <c r="AJP36" s="57"/>
      <c r="AJQ36" s="56"/>
      <c r="AJR36" s="57"/>
      <c r="AJS36" s="57"/>
      <c r="AJT36" s="56"/>
      <c r="AJU36" s="57"/>
      <c r="AJV36" s="58"/>
      <c r="AJW36" s="56"/>
      <c r="AJX36" s="57"/>
      <c r="AJY36" s="57"/>
      <c r="AJZ36" s="57"/>
      <c r="AKA36" s="56"/>
      <c r="AKB36" s="57"/>
      <c r="AKC36" s="57"/>
      <c r="AKD36" s="56"/>
      <c r="AKE36" s="57"/>
      <c r="AKF36" s="58"/>
      <c r="AKG36" s="56"/>
      <c r="AKH36" s="57"/>
      <c r="AKI36" s="57"/>
      <c r="AKJ36" s="57"/>
      <c r="AKK36" s="56"/>
      <c r="AKL36" s="57"/>
      <c r="AKM36" s="57"/>
      <c r="AKN36" s="56"/>
      <c r="AKO36" s="57"/>
      <c r="AKP36" s="58"/>
      <c r="AKQ36" s="56"/>
      <c r="AKR36" s="57"/>
      <c r="AKS36" s="57"/>
      <c r="AKT36" s="57"/>
      <c r="AKU36" s="56"/>
      <c r="AKV36" s="57"/>
      <c r="AKW36" s="57"/>
      <c r="AKX36" s="56"/>
      <c r="AKY36" s="57"/>
      <c r="AKZ36" s="58"/>
      <c r="ALA36" s="56"/>
      <c r="ALB36" s="57"/>
      <c r="ALC36" s="57"/>
      <c r="ALD36" s="57"/>
      <c r="ALE36" s="56"/>
      <c r="ALF36" s="57"/>
      <c r="ALG36" s="57"/>
      <c r="ALH36" s="57"/>
      <c r="ALI36" s="57"/>
      <c r="ALJ36" s="57"/>
      <c r="ALK36" s="56"/>
      <c r="ALL36" s="57"/>
      <c r="ALM36" s="57"/>
      <c r="ALN36" s="56"/>
      <c r="ALO36" s="57"/>
      <c r="ALP36" s="58"/>
      <c r="ALQ36" s="56"/>
      <c r="ALR36" s="57"/>
      <c r="ALS36" s="57"/>
      <c r="ALT36" s="57"/>
      <c r="ALU36" s="56"/>
      <c r="ALV36" s="57"/>
      <c r="ALW36" s="57"/>
      <c r="ALX36" s="56"/>
      <c r="ALY36" s="57"/>
      <c r="ALZ36" s="58"/>
      <c r="AMA36" s="56"/>
      <c r="AMB36" s="57"/>
      <c r="AMC36" s="57"/>
      <c r="AMD36" s="57"/>
      <c r="AME36" s="56"/>
      <c r="AMF36" s="57"/>
      <c r="AMG36" s="57"/>
      <c r="AMH36" s="57"/>
      <c r="AMI36" s="57"/>
      <c r="AMJ36" s="57"/>
      <c r="AMK36" s="56"/>
      <c r="AML36" s="57"/>
      <c r="AMM36" s="57"/>
      <c r="AMN36" s="56"/>
      <c r="AMO36" s="57"/>
      <c r="AMP36" s="58"/>
      <c r="AMQ36" s="56"/>
      <c r="AMR36" s="57"/>
      <c r="AMS36" s="57"/>
      <c r="AMT36" s="57"/>
      <c r="AMU36" s="56"/>
      <c r="AMV36" s="57"/>
      <c r="AMW36" s="57"/>
      <c r="AMX36" s="56"/>
      <c r="AMY36" s="57"/>
      <c r="AMZ36" s="58"/>
      <c r="ANA36" s="56"/>
      <c r="ANB36" s="57"/>
      <c r="ANC36" s="57"/>
      <c r="AND36" s="57"/>
      <c r="ANE36" s="56"/>
      <c r="ANF36" s="57"/>
      <c r="ANG36" s="57"/>
      <c r="ANH36" s="57"/>
      <c r="ANI36" s="57"/>
      <c r="ANJ36" s="57"/>
      <c r="ANK36" s="56"/>
      <c r="ANL36" s="57"/>
      <c r="ANM36" s="57"/>
      <c r="ANN36" s="56"/>
      <c r="ANO36" s="57"/>
      <c r="ANP36" s="58"/>
      <c r="ANQ36" s="56"/>
      <c r="ANR36" s="57"/>
      <c r="ANS36" s="57"/>
      <c r="ANT36" s="57"/>
      <c r="ANU36" s="56"/>
      <c r="ANV36" s="57"/>
      <c r="ANW36" s="57"/>
      <c r="ANX36" s="56"/>
      <c r="ANY36" s="57"/>
      <c r="ANZ36" s="58"/>
      <c r="AOA36" s="56"/>
      <c r="AOB36" s="57"/>
      <c r="AOC36" s="57"/>
      <c r="AOD36" s="57"/>
      <c r="AOE36" s="56"/>
      <c r="AOF36" s="57"/>
      <c r="AOG36" s="57"/>
      <c r="AOH36" s="57"/>
      <c r="AOI36" s="57"/>
      <c r="AOJ36" s="57"/>
      <c r="AOK36" s="56"/>
      <c r="AOL36" s="57"/>
      <c r="AOM36" s="57"/>
      <c r="AON36" s="56"/>
      <c r="AOO36" s="57"/>
      <c r="AOP36" s="58"/>
      <c r="AOQ36" s="56"/>
      <c r="AOR36" s="57"/>
      <c r="AOS36" s="57"/>
      <c r="AOT36" s="57"/>
      <c r="AOU36" s="56"/>
      <c r="AOV36" s="57"/>
      <c r="AOW36" s="57"/>
      <c r="AOX36" s="56"/>
      <c r="AOY36" s="57"/>
      <c r="AOZ36" s="58"/>
      <c r="APA36" s="56"/>
      <c r="APB36" s="57"/>
      <c r="APC36" s="57"/>
      <c r="APD36" s="57"/>
      <c r="APE36" s="56"/>
      <c r="APF36" s="57"/>
      <c r="APG36" s="57"/>
      <c r="APH36" s="57"/>
      <c r="API36" s="57"/>
      <c r="APJ36" s="57"/>
      <c r="APK36" s="56"/>
      <c r="APL36" s="57"/>
      <c r="APM36" s="57"/>
      <c r="APN36" s="56"/>
      <c r="APO36" s="57"/>
      <c r="APP36" s="58"/>
      <c r="APQ36" s="56"/>
      <c r="APR36" s="57"/>
      <c r="APS36" s="57"/>
      <c r="APT36" s="57"/>
      <c r="APU36" s="56"/>
      <c r="APV36" s="57"/>
      <c r="APW36" s="57"/>
      <c r="APX36" s="56"/>
      <c r="APY36" s="57"/>
      <c r="APZ36" s="58"/>
      <c r="AQA36" s="56"/>
      <c r="AQB36" s="57"/>
      <c r="AQC36" s="57"/>
      <c r="AQD36" s="57"/>
      <c r="AQE36" s="56"/>
      <c r="AQF36" s="57"/>
      <c r="AQG36" s="57"/>
      <c r="AQH36" s="57"/>
      <c r="AQI36" s="57"/>
      <c r="AQJ36" s="57"/>
      <c r="AQK36" s="56"/>
      <c r="AQL36" s="57"/>
      <c r="AQM36" s="57"/>
      <c r="AQN36" s="56"/>
      <c r="AQO36" s="57"/>
      <c r="AQP36" s="58"/>
      <c r="AQQ36" s="56"/>
      <c r="AQR36" s="57"/>
      <c r="AQS36" s="57"/>
      <c r="AQT36" s="57"/>
      <c r="AQU36" s="56"/>
      <c r="AQV36" s="57"/>
      <c r="AQW36" s="57"/>
      <c r="AQX36" s="56"/>
      <c r="AQY36" s="57"/>
      <c r="AQZ36" s="58"/>
      <c r="ARA36" s="56"/>
      <c r="ARB36" s="57"/>
      <c r="ARC36" s="57"/>
      <c r="ARD36" s="57"/>
      <c r="ARE36" s="56"/>
      <c r="ARF36" s="57"/>
      <c r="ARG36" s="57"/>
      <c r="ARH36" s="57"/>
      <c r="ARI36" s="57"/>
      <c r="ARJ36" s="57"/>
      <c r="ARK36" s="56"/>
      <c r="ARL36" s="57"/>
      <c r="ARM36" s="57"/>
      <c r="ARN36" s="56"/>
      <c r="ARO36" s="57"/>
      <c r="ARP36" s="58"/>
      <c r="ARQ36" s="56"/>
      <c r="ARR36" s="57"/>
      <c r="ARS36" s="57"/>
      <c r="ART36" s="57"/>
      <c r="ARU36" s="56"/>
      <c r="ARV36" s="57"/>
      <c r="ARW36" s="57"/>
      <c r="ARX36" s="56"/>
      <c r="ARY36" s="57"/>
      <c r="ARZ36" s="58"/>
      <c r="ASA36" s="56"/>
      <c r="ASB36" s="57"/>
      <c r="ASC36" s="57"/>
      <c r="ASD36" s="57"/>
      <c r="ASE36" s="56"/>
      <c r="ASF36" s="57"/>
      <c r="ASG36" s="57"/>
      <c r="ASH36" s="57"/>
      <c r="ASI36" s="57"/>
      <c r="ASJ36" s="57"/>
      <c r="ASK36" s="56"/>
      <c r="ASL36" s="57"/>
      <c r="ASM36" s="57"/>
      <c r="ASN36" s="56"/>
      <c r="ASO36" s="57"/>
      <c r="ASP36" s="58"/>
      <c r="ASQ36" s="56"/>
      <c r="ASR36" s="57"/>
      <c r="ASS36" s="57"/>
      <c r="AST36" s="57"/>
      <c r="ASU36" s="56"/>
      <c r="ASV36" s="57"/>
      <c r="ASW36" s="57"/>
      <c r="ASX36" s="56"/>
      <c r="ASY36" s="57"/>
      <c r="ASZ36" s="58"/>
      <c r="ATA36" s="56"/>
      <c r="ATB36" s="57"/>
      <c r="ATC36" s="57"/>
      <c r="ATD36" s="57"/>
      <c r="ATE36" s="56"/>
      <c r="ATF36" s="57"/>
      <c r="ATG36" s="57"/>
      <c r="ATH36" s="57"/>
      <c r="ATI36" s="57"/>
      <c r="ATJ36" s="57"/>
      <c r="ATK36" s="56"/>
      <c r="ATL36" s="57"/>
      <c r="ATM36" s="57"/>
      <c r="ATN36" s="56"/>
      <c r="ATO36" s="57"/>
      <c r="ATP36" s="58"/>
      <c r="ATQ36" s="56"/>
      <c r="ATR36" s="57"/>
      <c r="ATS36" s="57"/>
      <c r="ATT36" s="57"/>
      <c r="ATU36" s="56"/>
      <c r="ATV36" s="57"/>
      <c r="ATW36" s="57"/>
      <c r="ATX36" s="56"/>
      <c r="ATY36" s="57"/>
      <c r="ATZ36" s="58"/>
      <c r="AUA36" s="56"/>
      <c r="AUB36" s="57"/>
      <c r="AUC36" s="57"/>
      <c r="AUD36" s="57"/>
      <c r="AUE36" s="56"/>
      <c r="AUF36" s="57"/>
      <c r="AUG36" s="57"/>
      <c r="AUH36" s="57"/>
      <c r="AUI36" s="57"/>
      <c r="AUJ36" s="57"/>
      <c r="AUK36" s="56"/>
      <c r="AUL36" s="57"/>
      <c r="AUM36" s="57"/>
      <c r="AUN36" s="56"/>
      <c r="AUO36" s="57"/>
      <c r="AUP36" s="58"/>
      <c r="AUQ36" s="56"/>
      <c r="AUR36" s="57"/>
      <c r="AUS36" s="57"/>
      <c r="AUT36" s="57"/>
      <c r="AUU36" s="56"/>
      <c r="AUV36" s="57"/>
      <c r="AUW36" s="57"/>
      <c r="AUX36" s="56"/>
      <c r="AUY36" s="57"/>
      <c r="AUZ36" s="58"/>
      <c r="AVA36" s="56"/>
      <c r="AVB36" s="57"/>
      <c r="AVC36" s="57"/>
      <c r="AVD36" s="57"/>
      <c r="AVE36" s="56"/>
      <c r="AVF36" s="57"/>
      <c r="AVG36" s="57"/>
      <c r="AVH36" s="57"/>
      <c r="AVI36" s="57"/>
      <c r="AVJ36" s="57"/>
      <c r="AVK36" s="56"/>
      <c r="AVL36" s="57"/>
      <c r="AVM36" s="57"/>
      <c r="AVN36" s="56"/>
      <c r="AVO36" s="57"/>
      <c r="AVP36" s="58"/>
      <c r="AVQ36" s="56"/>
      <c r="AVR36" s="57"/>
      <c r="AVS36" s="57"/>
      <c r="AVT36" s="57"/>
      <c r="AVU36" s="56"/>
      <c r="AVV36" s="57"/>
      <c r="AVW36" s="57"/>
      <c r="AVX36" s="56"/>
      <c r="AVY36" s="57"/>
      <c r="AVZ36" s="58"/>
      <c r="AWA36" s="56"/>
      <c r="AWB36" s="57"/>
      <c r="AWC36" s="57"/>
      <c r="AWD36" s="57"/>
      <c r="AWE36" s="56"/>
      <c r="AWF36" s="57"/>
      <c r="AWG36" s="57"/>
      <c r="AWH36" s="57"/>
      <c r="AWI36" s="57"/>
      <c r="AWJ36" s="57"/>
      <c r="AWK36" s="56"/>
      <c r="AWL36" s="57"/>
      <c r="AWM36" s="57"/>
      <c r="AWN36" s="56"/>
      <c r="AWO36" s="57"/>
      <c r="AWP36" s="58"/>
      <c r="AWQ36" s="56"/>
      <c r="AWR36" s="57"/>
      <c r="AWS36" s="57"/>
      <c r="AWT36" s="57"/>
      <c r="AWU36" s="56"/>
      <c r="AWV36" s="57"/>
      <c r="AWW36" s="57"/>
      <c r="AWX36" s="56"/>
      <c r="AWY36" s="57"/>
      <c r="AWZ36" s="58"/>
      <c r="AXA36" s="56"/>
      <c r="AXB36" s="57"/>
      <c r="AXC36" s="57"/>
      <c r="AXD36" s="57"/>
      <c r="AXE36" s="56"/>
      <c r="AXF36" s="57"/>
      <c r="AXG36" s="57"/>
      <c r="AXH36" s="57"/>
      <c r="AXI36" s="57"/>
      <c r="AXJ36" s="57"/>
      <c r="AXK36" s="56"/>
      <c r="AXL36" s="57"/>
      <c r="AXM36" s="57"/>
      <c r="AXN36" s="56"/>
      <c r="AXO36" s="57"/>
      <c r="AXP36" s="58"/>
      <c r="AXQ36" s="56"/>
      <c r="AXR36" s="57"/>
      <c r="AXS36" s="57"/>
      <c r="AXT36" s="57"/>
      <c r="AXU36" s="56"/>
      <c r="AXV36" s="57"/>
      <c r="AXW36" s="57"/>
      <c r="AXX36" s="56"/>
      <c r="AXY36" s="57"/>
      <c r="AXZ36" s="58"/>
      <c r="AYA36" s="56"/>
      <c r="AYB36" s="57"/>
      <c r="AYC36" s="57"/>
      <c r="AYD36" s="57"/>
      <c r="AYE36" s="56"/>
      <c r="AYF36" s="57"/>
      <c r="AYG36" s="57"/>
      <c r="AYH36" s="57"/>
      <c r="AYI36" s="57"/>
      <c r="AYJ36" s="57"/>
      <c r="AYK36" s="56"/>
      <c r="AYL36" s="57"/>
      <c r="AYM36" s="57"/>
      <c r="AYN36" s="56"/>
      <c r="AYO36" s="57"/>
      <c r="AYP36" s="58"/>
      <c r="AYQ36" s="56"/>
      <c r="AYR36" s="57"/>
      <c r="AYS36" s="57"/>
      <c r="AYT36" s="57"/>
      <c r="AYU36" s="56"/>
      <c r="AYV36" s="57"/>
      <c r="AYW36" s="57"/>
      <c r="AYX36" s="56"/>
      <c r="AYY36" s="57"/>
      <c r="AYZ36" s="58"/>
      <c r="AZA36" s="56"/>
      <c r="AZB36" s="57"/>
      <c r="AZC36" s="57"/>
      <c r="AZD36" s="57"/>
      <c r="AZE36" s="56"/>
      <c r="AZF36" s="57"/>
      <c r="AZG36" s="57"/>
      <c r="AZH36" s="57"/>
      <c r="AZI36" s="57"/>
      <c r="AZJ36" s="57"/>
      <c r="AZK36" s="56"/>
      <c r="AZL36" s="57"/>
      <c r="AZM36" s="57"/>
      <c r="AZN36" s="56"/>
      <c r="AZO36" s="57"/>
      <c r="AZP36" s="58"/>
      <c r="AZQ36" s="56"/>
      <c r="AZR36" s="57"/>
      <c r="AZS36" s="57"/>
      <c r="AZT36" s="57"/>
      <c r="AZU36" s="56"/>
      <c r="AZV36" s="57"/>
      <c r="AZW36" s="57"/>
      <c r="AZX36" s="56"/>
      <c r="AZY36" s="57"/>
      <c r="AZZ36" s="58"/>
      <c r="BAA36" s="56"/>
      <c r="BAB36" s="57"/>
      <c r="BAC36" s="57"/>
      <c r="BAD36" s="57"/>
      <c r="BAE36" s="56"/>
      <c r="BAF36" s="57"/>
      <c r="BAG36" s="57"/>
      <c r="BAH36" s="57"/>
      <c r="BAI36" s="57"/>
      <c r="BAJ36" s="57"/>
      <c r="BAK36" s="56"/>
      <c r="BAL36" s="57"/>
      <c r="BAM36" s="57"/>
      <c r="BAN36" s="56"/>
      <c r="BAO36" s="57"/>
      <c r="BAP36" s="58"/>
      <c r="BAQ36" s="56"/>
      <c r="BAR36" s="57"/>
      <c r="BAS36" s="57"/>
      <c r="BAT36" s="57"/>
      <c r="BAU36" s="56"/>
      <c r="BAV36" s="57"/>
      <c r="BAW36" s="57"/>
      <c r="BAX36" s="56"/>
      <c r="BAY36" s="57"/>
      <c r="BAZ36" s="58"/>
      <c r="BBA36" s="56"/>
      <c r="BBB36" s="57"/>
      <c r="BBC36" s="57"/>
      <c r="BBD36" s="57"/>
      <c r="BBE36" s="56"/>
      <c r="BBF36" s="57"/>
      <c r="BBG36" s="57"/>
      <c r="BBH36" s="57"/>
      <c r="BBI36" s="57"/>
      <c r="BBJ36" s="57"/>
      <c r="BBK36" s="56"/>
      <c r="BBL36" s="57"/>
      <c r="BBM36" s="57"/>
      <c r="BBN36" s="56"/>
      <c r="BBO36" s="57"/>
      <c r="BBP36" s="58"/>
      <c r="BBQ36" s="56"/>
      <c r="BBR36" s="57"/>
      <c r="BBS36" s="57"/>
      <c r="BBT36" s="57"/>
      <c r="BBU36" s="56"/>
      <c r="BBV36" s="57"/>
      <c r="BBW36" s="57"/>
      <c r="BBX36" s="56"/>
      <c r="BBY36" s="57"/>
      <c r="BBZ36" s="58"/>
      <c r="BCA36" s="56"/>
      <c r="BCB36" s="57"/>
      <c r="BCC36" s="57"/>
      <c r="BCD36" s="57"/>
      <c r="BCE36" s="56"/>
      <c r="BCF36" s="57"/>
      <c r="BCG36" s="57"/>
      <c r="BCH36" s="57"/>
      <c r="BCI36" s="57"/>
      <c r="BCJ36" s="57"/>
      <c r="BCK36" s="56"/>
      <c r="BCL36" s="57"/>
      <c r="BCM36" s="57"/>
      <c r="BCN36" s="56"/>
      <c r="BCO36" s="57"/>
      <c r="BCP36" s="58"/>
      <c r="BCQ36" s="56"/>
      <c r="BCR36" s="57"/>
      <c r="BCS36" s="57"/>
      <c r="BCT36" s="57"/>
      <c r="BCU36" s="56"/>
      <c r="BCV36" s="57"/>
      <c r="BCW36" s="57"/>
      <c r="BCX36" s="56"/>
      <c r="BCY36" s="57"/>
      <c r="BCZ36" s="58"/>
      <c r="BDA36" s="56"/>
      <c r="BDB36" s="57"/>
      <c r="BDC36" s="57"/>
      <c r="BDD36" s="57"/>
      <c r="BDE36" s="56"/>
      <c r="BDF36" s="57"/>
      <c r="BDG36" s="57"/>
      <c r="BDH36" s="57"/>
      <c r="BDI36" s="57"/>
      <c r="BDJ36" s="57"/>
      <c r="BDK36" s="56"/>
      <c r="BDL36" s="57"/>
      <c r="BDM36" s="57"/>
      <c r="BDN36" s="56"/>
      <c r="BDO36" s="57"/>
      <c r="BDP36" s="58"/>
      <c r="BDQ36" s="56"/>
      <c r="BDR36" s="57"/>
      <c r="BDS36" s="57"/>
      <c r="BDT36" s="57"/>
      <c r="BDU36" s="56"/>
      <c r="BDV36" s="57"/>
      <c r="BDW36" s="57"/>
      <c r="BDX36" s="56"/>
      <c r="BDY36" s="57"/>
      <c r="BDZ36" s="58"/>
      <c r="BEA36" s="56"/>
      <c r="BEB36" s="57"/>
      <c r="BEC36" s="57"/>
      <c r="BED36" s="57"/>
      <c r="BEE36" s="56"/>
      <c r="BEF36" s="57"/>
      <c r="BEG36" s="57"/>
      <c r="BEH36" s="57"/>
      <c r="BEI36" s="57"/>
      <c r="BEJ36" s="57"/>
      <c r="BEK36" s="56"/>
      <c r="BEL36" s="57"/>
      <c r="BEM36" s="57"/>
      <c r="BEN36" s="56"/>
      <c r="BEO36" s="57"/>
      <c r="BEP36" s="58"/>
      <c r="BEQ36" s="56"/>
      <c r="BER36" s="57"/>
      <c r="BES36" s="57"/>
      <c r="BET36" s="57"/>
      <c r="BEU36" s="56"/>
      <c r="BEV36" s="57"/>
      <c r="BEW36" s="57"/>
      <c r="BEX36" s="56"/>
      <c r="BEY36" s="57"/>
      <c r="BEZ36" s="58"/>
      <c r="BFA36" s="56"/>
      <c r="BFB36" s="57"/>
      <c r="BFC36" s="57"/>
      <c r="BFD36" s="57"/>
      <c r="BFE36" s="56"/>
      <c r="BFF36" s="57"/>
      <c r="BFG36" s="57"/>
      <c r="BFH36" s="57"/>
      <c r="BFI36" s="57"/>
      <c r="BFJ36" s="57"/>
      <c r="BFK36" s="56"/>
      <c r="BFL36" s="57"/>
      <c r="BFM36" s="57"/>
      <c r="BFN36" s="56"/>
      <c r="BFO36" s="57"/>
      <c r="BFP36" s="58"/>
      <c r="BFQ36" s="56"/>
      <c r="BFR36" s="57"/>
      <c r="BFS36" s="57"/>
      <c r="BFT36" s="57"/>
      <c r="BFU36" s="56"/>
      <c r="BFV36" s="57"/>
      <c r="BFW36" s="57"/>
      <c r="BFX36" s="56"/>
      <c r="BFY36" s="57"/>
      <c r="BFZ36" s="58"/>
      <c r="BGA36" s="56"/>
      <c r="BGB36" s="57"/>
      <c r="BGC36" s="57"/>
      <c r="BGD36" s="57"/>
      <c r="BGE36" s="56"/>
      <c r="BGF36" s="57"/>
      <c r="BGG36" s="57"/>
      <c r="BGH36" s="57"/>
      <c r="BGI36" s="57"/>
      <c r="BGJ36" s="57"/>
      <c r="BGK36" s="56"/>
      <c r="BGL36" s="57"/>
      <c r="BGM36" s="57"/>
      <c r="BGN36" s="56"/>
      <c r="BGO36" s="57"/>
      <c r="BGP36" s="58"/>
      <c r="BGQ36" s="56"/>
      <c r="BGR36" s="57"/>
      <c r="BGS36" s="57"/>
      <c r="BGT36" s="57"/>
      <c r="BGU36" s="56"/>
      <c r="BGV36" s="57"/>
      <c r="BGW36" s="57"/>
      <c r="BGX36" s="56"/>
      <c r="BGY36" s="57"/>
      <c r="BGZ36" s="58"/>
      <c r="BHA36" s="56"/>
      <c r="BHB36" s="57"/>
      <c r="BHC36" s="57"/>
      <c r="BHD36" s="57"/>
      <c r="BHE36" s="56"/>
      <c r="BHF36" s="57"/>
      <c r="BHG36" s="57"/>
      <c r="BHH36" s="57"/>
      <c r="BHI36" s="57"/>
      <c r="BHJ36" s="57"/>
      <c r="BHK36" s="56"/>
      <c r="BHL36" s="57"/>
      <c r="BHM36" s="57"/>
      <c r="BHN36" s="56"/>
      <c r="BHO36" s="57"/>
      <c r="BHP36" s="58"/>
      <c r="BHQ36" s="56"/>
      <c r="BHR36" s="57"/>
      <c r="BHS36" s="57"/>
      <c r="BHT36" s="57"/>
      <c r="BHU36" s="56"/>
      <c r="BHV36" s="57"/>
      <c r="BHW36" s="57"/>
      <c r="BHX36" s="56"/>
      <c r="BHY36" s="57"/>
      <c r="BHZ36" s="58"/>
      <c r="BIA36" s="56"/>
      <c r="BIB36" s="57"/>
      <c r="BIC36" s="57"/>
      <c r="BID36" s="57"/>
      <c r="BIE36" s="56"/>
      <c r="BIF36" s="57"/>
      <c r="BIG36" s="57"/>
      <c r="BIH36" s="57"/>
      <c r="BII36" s="57"/>
      <c r="BIJ36" s="57"/>
      <c r="BIK36" s="56"/>
      <c r="BIL36" s="57"/>
      <c r="BIM36" s="57"/>
      <c r="BIN36" s="56"/>
      <c r="BIO36" s="57"/>
      <c r="BIP36" s="58"/>
      <c r="BIQ36" s="56"/>
      <c r="BIR36" s="57"/>
      <c r="BIS36" s="57"/>
      <c r="BIT36" s="57"/>
      <c r="BIU36" s="56"/>
      <c r="BIV36" s="57"/>
      <c r="BIW36" s="57"/>
      <c r="BIX36" s="56"/>
      <c r="BIY36" s="57"/>
      <c r="BIZ36" s="58"/>
      <c r="BJA36" s="56"/>
      <c r="BJB36" s="57"/>
      <c r="BJC36" s="57"/>
      <c r="BJD36" s="57"/>
      <c r="BJE36" s="56"/>
      <c r="BJF36" s="57"/>
      <c r="BJG36" s="57"/>
      <c r="BJH36" s="57"/>
      <c r="BJI36" s="57"/>
      <c r="BJJ36" s="57"/>
      <c r="BJK36" s="56"/>
      <c r="BJL36" s="57"/>
      <c r="BJM36" s="57"/>
      <c r="BJN36" s="56"/>
      <c r="BJO36" s="57"/>
      <c r="BJP36" s="58"/>
      <c r="BJQ36" s="56"/>
      <c r="BJR36" s="57"/>
      <c r="BJS36" s="57"/>
      <c r="BJT36" s="57"/>
      <c r="BJU36" s="56"/>
      <c r="BJV36" s="57"/>
      <c r="BJW36" s="57"/>
      <c r="BJX36" s="56"/>
      <c r="BJY36" s="57"/>
      <c r="BJZ36" s="58"/>
      <c r="BKA36" s="56"/>
      <c r="BKB36" s="57"/>
      <c r="BKC36" s="57"/>
      <c r="BKD36" s="57"/>
      <c r="BKE36" s="56"/>
      <c r="BKF36" s="57"/>
      <c r="BKG36" s="57"/>
      <c r="BKH36" s="57"/>
      <c r="BKI36" s="57"/>
      <c r="BKJ36" s="57"/>
      <c r="BKK36" s="56"/>
      <c r="BKL36" s="57"/>
      <c r="BKM36" s="57"/>
      <c r="BKN36" s="56"/>
      <c r="BKO36" s="57"/>
      <c r="BKP36" s="58"/>
      <c r="BKQ36" s="56"/>
      <c r="BKR36" s="57"/>
      <c r="BKS36" s="57"/>
      <c r="BKT36" s="57"/>
      <c r="BKU36" s="56"/>
      <c r="BKV36" s="57"/>
      <c r="BKW36" s="57"/>
      <c r="BKX36" s="56"/>
      <c r="BKY36" s="57"/>
      <c r="BKZ36" s="58"/>
      <c r="BLA36" s="56"/>
      <c r="BLB36" s="57"/>
      <c r="BLC36" s="57"/>
      <c r="BLD36" s="57"/>
      <c r="BLE36" s="56"/>
      <c r="BLF36" s="57"/>
      <c r="BLG36" s="57"/>
      <c r="BLH36" s="57"/>
      <c r="BLI36" s="57"/>
      <c r="BLJ36" s="57"/>
      <c r="BLK36" s="56"/>
      <c r="BLL36" s="57"/>
      <c r="BLM36" s="57"/>
      <c r="BLN36" s="56"/>
      <c r="BLO36" s="57"/>
      <c r="BLP36" s="58"/>
      <c r="BLQ36" s="56"/>
      <c r="BLR36" s="57"/>
      <c r="BLS36" s="57"/>
      <c r="BLT36" s="57"/>
      <c r="BLU36" s="56"/>
      <c r="BLV36" s="57"/>
      <c r="BLW36" s="57"/>
      <c r="BLX36" s="56"/>
      <c r="BLY36" s="57"/>
      <c r="BLZ36" s="58"/>
      <c r="BMA36" s="56"/>
      <c r="BMB36" s="57"/>
      <c r="BMC36" s="57"/>
      <c r="BMD36" s="57"/>
      <c r="BME36" s="56"/>
      <c r="BMF36" s="57"/>
      <c r="BMG36" s="57"/>
      <c r="BMH36" s="57"/>
      <c r="BMI36" s="57"/>
      <c r="BMJ36" s="57"/>
      <c r="BMK36" s="56"/>
      <c r="BML36" s="57"/>
      <c r="BMM36" s="57"/>
      <c r="BMN36" s="56"/>
      <c r="BMO36" s="57"/>
      <c r="BMP36" s="58"/>
      <c r="BMQ36" s="56"/>
      <c r="BMR36" s="57"/>
      <c r="BMS36" s="57"/>
      <c r="BMT36" s="57"/>
      <c r="BMU36" s="56"/>
      <c r="BMV36" s="57"/>
      <c r="BMW36" s="57"/>
      <c r="BMX36" s="56"/>
      <c r="BMY36" s="57"/>
      <c r="BMZ36" s="58"/>
      <c r="BNA36" s="56"/>
      <c r="BNB36" s="57"/>
      <c r="BNC36" s="57"/>
      <c r="BND36" s="57"/>
      <c r="BNE36" s="56"/>
      <c r="BNF36" s="57"/>
      <c r="BNG36" s="57"/>
      <c r="BNH36" s="57"/>
      <c r="BNI36" s="57"/>
      <c r="BNJ36" s="57"/>
      <c r="BNK36" s="56"/>
      <c r="BNL36" s="57"/>
      <c r="BNM36" s="57"/>
      <c r="BNN36" s="56"/>
      <c r="BNO36" s="57"/>
      <c r="BNP36" s="58"/>
      <c r="BNQ36" s="56"/>
      <c r="BNR36" s="57"/>
      <c r="BNS36" s="57"/>
      <c r="BNT36" s="57"/>
      <c r="BNU36" s="56"/>
      <c r="BNV36" s="57"/>
      <c r="BNW36" s="57"/>
      <c r="BNX36" s="56"/>
      <c r="BNY36" s="57"/>
      <c r="BNZ36" s="58"/>
      <c r="BOA36" s="56"/>
      <c r="BOB36" s="57"/>
      <c r="BOC36" s="57"/>
      <c r="BOD36" s="57"/>
      <c r="BOE36" s="56"/>
      <c r="BOF36" s="57"/>
      <c r="BOG36" s="57"/>
      <c r="BOH36" s="57"/>
      <c r="BOI36" s="57"/>
      <c r="BOJ36" s="57"/>
      <c r="BOK36" s="56"/>
      <c r="BOL36" s="57"/>
      <c r="BOM36" s="57"/>
      <c r="BON36" s="56"/>
      <c r="BOO36" s="57"/>
      <c r="BOP36" s="58"/>
      <c r="BOQ36" s="56"/>
      <c r="BOR36" s="57"/>
      <c r="BOS36" s="57"/>
      <c r="BOT36" s="57"/>
      <c r="BOU36" s="56"/>
      <c r="BOV36" s="57"/>
      <c r="BOW36" s="57"/>
      <c r="BOX36" s="56"/>
      <c r="BOY36" s="57"/>
      <c r="BOZ36" s="58"/>
      <c r="BPA36" s="56"/>
      <c r="BPB36" s="57"/>
      <c r="BPC36" s="57"/>
      <c r="BPD36" s="57"/>
      <c r="BPE36" s="56"/>
      <c r="BPF36" s="57"/>
      <c r="BPG36" s="57"/>
      <c r="BPH36" s="57"/>
      <c r="BPI36" s="57"/>
      <c r="BPJ36" s="57"/>
      <c r="BPK36" s="56"/>
      <c r="BPL36" s="57"/>
      <c r="BPM36" s="57"/>
      <c r="BPN36" s="56"/>
      <c r="BPO36" s="57"/>
      <c r="BPP36" s="58"/>
      <c r="BPQ36" s="56"/>
      <c r="BPR36" s="57"/>
      <c r="BPS36" s="57"/>
      <c r="BPT36" s="57"/>
      <c r="BPU36" s="56"/>
      <c r="BPV36" s="57"/>
      <c r="BPW36" s="57"/>
      <c r="BPX36" s="56"/>
      <c r="BPY36" s="57"/>
      <c r="BPZ36" s="58"/>
      <c r="BQA36" s="56"/>
      <c r="BQB36" s="57"/>
      <c r="BQC36" s="57"/>
      <c r="BQD36" s="57"/>
      <c r="BQE36" s="56"/>
      <c r="BQF36" s="57"/>
      <c r="BQG36" s="57"/>
      <c r="BQH36" s="57"/>
      <c r="BQI36" s="57"/>
      <c r="BQJ36" s="57"/>
      <c r="BQK36" s="56"/>
      <c r="BQL36" s="57"/>
      <c r="BQM36" s="57"/>
      <c r="BQN36" s="56"/>
      <c r="BQO36" s="57"/>
      <c r="BQP36" s="58"/>
      <c r="BQQ36" s="56"/>
      <c r="BQR36" s="57"/>
      <c r="BQS36" s="57"/>
      <c r="BQT36" s="57"/>
      <c r="BQU36" s="56"/>
      <c r="BQV36" s="57"/>
      <c r="BQW36" s="57"/>
      <c r="BQX36" s="56"/>
      <c r="BQY36" s="57"/>
      <c r="BQZ36" s="58"/>
      <c r="BRA36" s="56"/>
      <c r="BRB36" s="57"/>
      <c r="BRC36" s="57"/>
      <c r="BRD36" s="57"/>
      <c r="BRE36" s="56"/>
      <c r="BRF36" s="57"/>
      <c r="BRG36" s="57"/>
      <c r="BRH36" s="57"/>
      <c r="BRI36" s="57"/>
      <c r="BRJ36" s="57"/>
      <c r="BRK36" s="56"/>
      <c r="BRL36" s="57"/>
      <c r="BRM36" s="57"/>
      <c r="BRN36" s="56"/>
      <c r="BRO36" s="57"/>
      <c r="BRP36" s="58"/>
      <c r="BRQ36" s="56"/>
      <c r="BRR36" s="57"/>
      <c r="BRS36" s="57"/>
      <c r="BRT36" s="57"/>
      <c r="BRU36" s="56"/>
      <c r="BRV36" s="57"/>
      <c r="BRW36" s="57"/>
      <c r="BRX36" s="56"/>
      <c r="BRY36" s="57"/>
      <c r="BRZ36" s="58"/>
      <c r="BSA36" s="56"/>
      <c r="BSB36" s="57"/>
      <c r="BSC36" s="57"/>
      <c r="BSD36" s="57"/>
      <c r="BSE36" s="56"/>
      <c r="BSF36" s="57"/>
      <c r="BSG36" s="57"/>
      <c r="BSH36" s="57"/>
      <c r="BSI36" s="57"/>
      <c r="BSJ36" s="57"/>
      <c r="BSK36" s="56"/>
      <c r="BSL36" s="57"/>
      <c r="BSM36" s="57"/>
      <c r="BSN36" s="56"/>
      <c r="BSO36" s="57"/>
      <c r="BSP36" s="58"/>
      <c r="BSQ36" s="56"/>
      <c r="BSR36" s="57"/>
      <c r="BSS36" s="57"/>
      <c r="BST36" s="57"/>
      <c r="BSU36" s="56"/>
      <c r="BSV36" s="57"/>
      <c r="BSW36" s="57"/>
      <c r="BSX36" s="56"/>
      <c r="BSY36" s="57"/>
      <c r="BSZ36" s="58"/>
      <c r="BTA36" s="56"/>
      <c r="BTB36" s="57"/>
      <c r="BTC36" s="57"/>
      <c r="BTD36" s="57"/>
      <c r="BTE36" s="56"/>
      <c r="BTF36" s="57"/>
      <c r="BTG36" s="57"/>
      <c r="BTH36" s="57"/>
      <c r="BTI36" s="57"/>
      <c r="BTJ36" s="57"/>
      <c r="BTK36" s="56"/>
      <c r="BTL36" s="57"/>
      <c r="BTM36" s="57"/>
      <c r="BTN36" s="56"/>
      <c r="BTO36" s="57"/>
      <c r="BTP36" s="58"/>
      <c r="BTQ36" s="56"/>
      <c r="BTR36" s="57"/>
      <c r="BTS36" s="57"/>
      <c r="BTT36" s="57"/>
      <c r="BTU36" s="56"/>
      <c r="BTV36" s="57"/>
      <c r="BTW36" s="57"/>
      <c r="BTX36" s="56"/>
      <c r="BTY36" s="57"/>
      <c r="BTZ36" s="58"/>
      <c r="BUA36" s="56"/>
      <c r="BUB36" s="57"/>
      <c r="BUC36" s="57"/>
      <c r="BUD36" s="57"/>
      <c r="BUE36" s="56"/>
      <c r="BUF36" s="57"/>
      <c r="BUG36" s="57"/>
      <c r="BUH36" s="57"/>
      <c r="BUI36" s="57"/>
      <c r="BUJ36" s="57"/>
      <c r="BUK36" s="56"/>
      <c r="BUL36" s="57"/>
      <c r="BUM36" s="57"/>
      <c r="BUN36" s="56"/>
      <c r="BUO36" s="57"/>
      <c r="BUP36" s="58"/>
      <c r="BUQ36" s="56"/>
      <c r="BUR36" s="57"/>
      <c r="BUS36" s="57"/>
      <c r="BUT36" s="57"/>
      <c r="BUU36" s="56"/>
      <c r="BUV36" s="57"/>
      <c r="BUW36" s="57"/>
      <c r="BUX36" s="56"/>
      <c r="BUY36" s="57"/>
      <c r="BUZ36" s="58"/>
      <c r="BVA36" s="56"/>
      <c r="BVB36" s="57"/>
      <c r="BVC36" s="57"/>
      <c r="BVD36" s="57"/>
      <c r="BVE36" s="56"/>
      <c r="BVF36" s="57"/>
      <c r="BVG36" s="57"/>
      <c r="BVH36" s="57"/>
      <c r="BVI36" s="57"/>
      <c r="BVJ36" s="57"/>
      <c r="BVK36" s="56"/>
      <c r="BVL36" s="57"/>
      <c r="BVM36" s="57"/>
      <c r="BVN36" s="56"/>
      <c r="BVO36" s="57"/>
      <c r="BVP36" s="58"/>
      <c r="BVQ36" s="56"/>
      <c r="BVR36" s="57"/>
      <c r="BVS36" s="57"/>
      <c r="BVT36" s="57"/>
      <c r="BVU36" s="56"/>
      <c r="BVV36" s="57"/>
      <c r="BVW36" s="57"/>
      <c r="BVX36" s="56"/>
      <c r="BVY36" s="57"/>
      <c r="BVZ36" s="58"/>
      <c r="BWA36" s="56"/>
      <c r="BWB36" s="57"/>
      <c r="BWC36" s="57"/>
      <c r="BWD36" s="57"/>
      <c r="BWE36" s="56"/>
      <c r="BWF36" s="57"/>
      <c r="BWG36" s="57"/>
      <c r="BWH36" s="57"/>
      <c r="BWI36" s="57"/>
      <c r="BWJ36" s="57"/>
      <c r="BWK36" s="56"/>
      <c r="BWL36" s="57"/>
      <c r="BWM36" s="57"/>
      <c r="BWN36" s="56"/>
      <c r="BWO36" s="57"/>
      <c r="BWP36" s="58"/>
      <c r="BWQ36" s="56"/>
      <c r="BWR36" s="57"/>
      <c r="BWS36" s="57"/>
      <c r="BWT36" s="57"/>
      <c r="BWU36" s="56"/>
      <c r="BWV36" s="57"/>
      <c r="BWW36" s="57"/>
      <c r="BWX36" s="56"/>
      <c r="BWY36" s="57"/>
      <c r="BWZ36" s="58"/>
      <c r="BXA36" s="56"/>
      <c r="BXB36" s="57"/>
      <c r="BXC36" s="57"/>
      <c r="BXD36" s="57"/>
      <c r="BXE36" s="56"/>
      <c r="BXF36" s="57"/>
      <c r="BXG36" s="57"/>
      <c r="BXH36" s="57"/>
      <c r="BXI36" s="57"/>
      <c r="BXJ36" s="57"/>
      <c r="BXK36" s="56"/>
      <c r="BXL36" s="57"/>
      <c r="BXM36" s="57"/>
      <c r="BXN36" s="56"/>
      <c r="BXO36" s="57"/>
      <c r="BXP36" s="58"/>
      <c r="BXQ36" s="56"/>
      <c r="BXR36" s="57"/>
      <c r="BXS36" s="57"/>
      <c r="BXT36" s="57"/>
      <c r="BXU36" s="56"/>
      <c r="BXV36" s="57"/>
      <c r="BXW36" s="57"/>
      <c r="BXX36" s="56"/>
      <c r="BXY36" s="57"/>
      <c r="BXZ36" s="58"/>
      <c r="BYA36" s="56"/>
      <c r="BYB36" s="57"/>
      <c r="BYC36" s="57"/>
      <c r="BYD36" s="57"/>
      <c r="BYE36" s="56"/>
      <c r="BYF36" s="57"/>
      <c r="BYG36" s="57"/>
      <c r="BYH36" s="57"/>
      <c r="BYI36" s="57"/>
      <c r="BYJ36" s="57"/>
      <c r="BYK36" s="56"/>
      <c r="BYL36" s="57"/>
      <c r="BYM36" s="57"/>
      <c r="BYN36" s="56"/>
      <c r="BYO36" s="57"/>
      <c r="BYP36" s="58"/>
      <c r="BYQ36" s="56"/>
      <c r="BYR36" s="57"/>
      <c r="BYS36" s="57"/>
      <c r="BYT36" s="57"/>
      <c r="BYU36" s="56"/>
      <c r="BYV36" s="57"/>
      <c r="BYW36" s="57"/>
      <c r="BYX36" s="58"/>
      <c r="BYY36" s="57"/>
      <c r="BYZ36" s="56"/>
      <c r="BZA36" s="57"/>
      <c r="BZB36" s="56"/>
      <c r="BZC36" s="56"/>
      <c r="BZD36" s="56"/>
      <c r="BZE36" s="57"/>
      <c r="BZF36" s="57"/>
      <c r="BZG36" s="57"/>
      <c r="BZH36" s="57"/>
      <c r="BZI36" s="57"/>
      <c r="BZJ36" s="57"/>
      <c r="BZK36" s="57"/>
      <c r="BZL36" s="57"/>
      <c r="BZM36" s="57"/>
      <c r="BZN36" s="57"/>
      <c r="BZO36" s="57"/>
      <c r="BZP36" s="57"/>
      <c r="BZQ36" s="57"/>
      <c r="BZR36" s="57"/>
      <c r="BZS36" s="57"/>
      <c r="BZT36" s="57"/>
      <c r="BZU36" s="57"/>
      <c r="BZV36" s="57"/>
      <c r="BZW36" s="57"/>
      <c r="BZX36" s="57"/>
      <c r="BZY36" s="57"/>
      <c r="BZZ36" s="57"/>
      <c r="CAA36" s="57"/>
      <c r="CAB36" s="57"/>
      <c r="CAC36" s="57"/>
      <c r="CAD36" s="57"/>
      <c r="CAE36" s="57"/>
      <c r="CAF36" s="57"/>
      <c r="CAG36" s="57"/>
      <c r="CAH36" s="57"/>
      <c r="CAI36" s="57"/>
      <c r="CAJ36" s="57"/>
      <c r="CAK36" s="57"/>
      <c r="CAL36" s="57"/>
      <c r="CAM36" s="57"/>
      <c r="CAN36" s="57"/>
      <c r="CAO36" s="57"/>
      <c r="CAP36" s="58"/>
      <c r="CAQ36" s="56"/>
      <c r="CAR36" s="57"/>
      <c r="CAS36" s="57"/>
      <c r="CAT36" s="57"/>
      <c r="CAU36" s="57"/>
      <c r="CAV36" s="57"/>
      <c r="CAW36" s="56"/>
      <c r="CAX36" s="57"/>
      <c r="CAY36" s="57"/>
      <c r="CAZ36" s="56"/>
      <c r="CBA36" s="57"/>
      <c r="CBB36" s="58"/>
      <c r="CBC36" s="56"/>
      <c r="CBD36" s="57"/>
      <c r="CBE36" s="57"/>
      <c r="CBF36" s="57"/>
      <c r="CBG36" s="56"/>
      <c r="CBH36" s="57"/>
      <c r="CBI36" s="57"/>
      <c r="CBJ36" s="56"/>
      <c r="CBK36" s="57"/>
      <c r="CBL36" s="58"/>
      <c r="CBM36" s="56"/>
      <c r="CBN36" s="57"/>
      <c r="CBO36" s="57"/>
      <c r="CBP36" s="57"/>
      <c r="CBQ36" s="56"/>
      <c r="CBR36" s="57"/>
      <c r="CBS36" s="57"/>
      <c r="CBT36" s="56"/>
      <c r="CBU36" s="57"/>
      <c r="CBV36" s="58"/>
      <c r="CBW36" s="56"/>
      <c r="CBX36" s="57"/>
      <c r="CBY36" s="57"/>
      <c r="CBZ36" s="57"/>
      <c r="CCA36" s="56"/>
      <c r="CCB36" s="57"/>
      <c r="CCC36" s="57"/>
      <c r="CCD36" s="56"/>
      <c r="CCE36" s="57"/>
      <c r="CCF36" s="58"/>
      <c r="CCG36" s="56"/>
      <c r="CCH36" s="58"/>
      <c r="CCI36" s="57"/>
      <c r="CCJ36" s="56"/>
      <c r="CCK36" s="57"/>
      <c r="CCL36" s="56"/>
      <c r="CCM36" s="56"/>
      <c r="CCN36" s="56"/>
      <c r="CCO36" s="57"/>
      <c r="CCP36" s="57"/>
      <c r="CCQ36" s="57"/>
      <c r="CCR36" s="57"/>
      <c r="CCS36" s="57"/>
      <c r="CCT36" s="57"/>
      <c r="CCU36" s="57"/>
      <c r="CCV36" s="57"/>
      <c r="CCW36" s="57"/>
      <c r="CCX36" s="57"/>
      <c r="CCY36" s="57"/>
      <c r="CCZ36" s="57"/>
      <c r="CDA36" s="57"/>
      <c r="CDB36" s="57"/>
      <c r="CDC36" s="57"/>
      <c r="CDD36" s="57"/>
      <c r="CDE36" s="57"/>
      <c r="CDF36" s="57"/>
      <c r="CDG36" s="57"/>
      <c r="CDH36" s="57"/>
      <c r="CDI36" s="57"/>
      <c r="CDJ36" s="57"/>
      <c r="CDK36" s="57"/>
      <c r="CDL36" s="57"/>
      <c r="CDM36" s="57"/>
      <c r="CDN36" s="57"/>
      <c r="CDO36" s="57"/>
      <c r="CDP36" s="57"/>
      <c r="CDQ36" s="57"/>
      <c r="CDR36" s="57"/>
      <c r="CDS36" s="57"/>
      <c r="CDT36" s="57"/>
      <c r="CDU36" s="57"/>
      <c r="CDV36" s="57"/>
      <c r="CDW36" s="57"/>
      <c r="CDX36" s="57"/>
      <c r="CDY36" s="57"/>
      <c r="CDZ36" s="58"/>
      <c r="CEA36" s="56"/>
      <c r="CEB36" s="57"/>
      <c r="CEC36" s="57"/>
      <c r="CED36" s="57"/>
      <c r="CEE36" s="57"/>
      <c r="CEF36" s="57"/>
      <c r="CEG36" s="56"/>
      <c r="CEH36" s="57"/>
      <c r="CEI36" s="57"/>
      <c r="CEJ36" s="56"/>
      <c r="CEK36" s="57"/>
      <c r="CEL36" s="58"/>
      <c r="CEM36" s="56"/>
      <c r="CEN36" s="57"/>
      <c r="CEO36" s="57"/>
      <c r="CEP36" s="57"/>
      <c r="CEQ36" s="56"/>
      <c r="CER36" s="57"/>
      <c r="CES36" s="57"/>
      <c r="CET36" s="56"/>
      <c r="CEU36" s="57"/>
      <c r="CEV36" s="58"/>
      <c r="CEW36" s="56"/>
      <c r="CEX36" s="57"/>
      <c r="CEY36" s="57"/>
      <c r="CEZ36" s="57"/>
      <c r="CFA36" s="56"/>
      <c r="CFB36" s="57"/>
      <c r="CFC36" s="57"/>
      <c r="CFD36" s="56"/>
      <c r="CFE36" s="57"/>
      <c r="CFF36" s="58"/>
      <c r="CFG36" s="56"/>
      <c r="CFH36" s="57"/>
      <c r="CFI36" s="57"/>
      <c r="CFJ36" s="57"/>
      <c r="CFK36" s="56"/>
      <c r="CFL36" s="57"/>
      <c r="CFM36" s="57"/>
      <c r="CFN36" s="56"/>
      <c r="CFO36" s="57"/>
      <c r="CFP36" s="58"/>
      <c r="CFQ36" s="56"/>
      <c r="CFR36" s="58"/>
      <c r="CFS36" s="57"/>
      <c r="CFT36" s="56"/>
      <c r="CFU36" s="57"/>
      <c r="CFV36" s="56"/>
      <c r="CFW36" s="56"/>
      <c r="CFX36" s="56"/>
      <c r="CFY36" s="57"/>
      <c r="CFZ36" s="57"/>
      <c r="CGA36" s="57"/>
      <c r="CGB36" s="57"/>
      <c r="CGC36" s="57"/>
      <c r="CGD36" s="57"/>
      <c r="CGE36" s="57"/>
      <c r="CGF36" s="57"/>
      <c r="CGG36" s="57"/>
      <c r="CGH36" s="57"/>
      <c r="CGI36" s="57"/>
      <c r="CGJ36" s="57"/>
      <c r="CGK36" s="57"/>
      <c r="CGL36" s="57"/>
      <c r="CGM36" s="57"/>
      <c r="CGN36" s="57"/>
      <c r="CGO36" s="57"/>
      <c r="CGP36" s="57"/>
      <c r="CGQ36" s="57"/>
      <c r="CGR36" s="57"/>
      <c r="CGS36" s="57"/>
      <c r="CGT36" s="57"/>
      <c r="CGU36" s="57"/>
      <c r="CGV36" s="57"/>
      <c r="CGW36" s="57"/>
      <c r="CGX36" s="57"/>
      <c r="CGY36" s="57"/>
      <c r="CGZ36" s="57"/>
      <c r="CHA36" s="57"/>
      <c r="CHB36" s="57"/>
      <c r="CHC36" s="57"/>
      <c r="CHD36" s="57"/>
      <c r="CHE36" s="57"/>
      <c r="CHF36" s="57"/>
      <c r="CHG36" s="57"/>
      <c r="CHH36" s="57"/>
      <c r="CHI36" s="57"/>
      <c r="CHJ36" s="58"/>
      <c r="CHK36" s="56"/>
      <c r="CHL36" s="57"/>
      <c r="CHM36" s="57"/>
      <c r="CHN36" s="57"/>
      <c r="CHO36" s="57"/>
      <c r="CHP36" s="57"/>
      <c r="CHQ36" s="56"/>
      <c r="CHR36" s="57"/>
      <c r="CHS36" s="57"/>
      <c r="CHT36" s="56"/>
      <c r="CHU36" s="57"/>
      <c r="CHV36" s="58"/>
      <c r="CHW36" s="56"/>
      <c r="CHX36" s="57"/>
      <c r="CHY36" s="57"/>
      <c r="CHZ36" s="57"/>
      <c r="CIA36" s="56"/>
      <c r="CIB36" s="57"/>
      <c r="CIC36" s="57"/>
      <c r="CID36" s="56"/>
      <c r="CIE36" s="57"/>
      <c r="CIF36" s="58"/>
      <c r="CIG36" s="56"/>
      <c r="CIH36" s="57"/>
      <c r="CII36" s="57"/>
      <c r="CIJ36" s="57"/>
      <c r="CIK36" s="56"/>
      <c r="CIL36" s="57"/>
      <c r="CIM36" s="57"/>
      <c r="CIN36" s="56"/>
      <c r="CIO36" s="57"/>
      <c r="CIP36" s="58"/>
      <c r="CIQ36" s="56"/>
      <c r="CIR36" s="57"/>
      <c r="CIS36" s="57"/>
      <c r="CIT36" s="57"/>
      <c r="CIU36" s="56"/>
      <c r="CIV36" s="57"/>
      <c r="CIW36" s="57"/>
      <c r="CIX36" s="56"/>
      <c r="CIY36" s="57"/>
      <c r="CIZ36" s="58"/>
      <c r="CJA36" s="56"/>
      <c r="CJB36" s="58"/>
      <c r="CJC36" s="57"/>
      <c r="CJD36" s="56"/>
      <c r="CJE36" s="57"/>
      <c r="CJF36" s="56"/>
      <c r="CJG36" s="56"/>
      <c r="CJH36" s="56"/>
      <c r="CJI36" s="57"/>
      <c r="CJJ36" s="57"/>
      <c r="CJK36" s="57"/>
      <c r="CJL36" s="57"/>
      <c r="CJM36" s="57"/>
      <c r="CJN36" s="57"/>
      <c r="CJO36" s="57"/>
      <c r="CJP36" s="57"/>
      <c r="CJQ36" s="57"/>
      <c r="CJR36" s="57"/>
      <c r="CJS36" s="57"/>
      <c r="CJT36" s="57"/>
      <c r="CJU36" s="57"/>
      <c r="CJV36" s="57"/>
      <c r="CJW36" s="57"/>
      <c r="CJX36" s="57"/>
      <c r="CJY36" s="57"/>
      <c r="CJZ36" s="57"/>
      <c r="CKA36" s="57"/>
      <c r="CKB36" s="57"/>
      <c r="CKC36" s="57"/>
      <c r="CKD36" s="57"/>
      <c r="CKE36" s="57"/>
      <c r="CKF36" s="57"/>
      <c r="CKG36" s="57"/>
      <c r="CKH36" s="57"/>
      <c r="CKI36" s="57"/>
      <c r="CKJ36" s="57"/>
      <c r="CKK36" s="57"/>
      <c r="CKL36" s="57"/>
      <c r="CKM36" s="57"/>
      <c r="CKN36" s="57"/>
      <c r="CKO36" s="57"/>
      <c r="CKP36" s="57"/>
      <c r="CKQ36" s="57"/>
      <c r="CKR36" s="57"/>
      <c r="CKS36" s="57"/>
      <c r="CKT36" s="58"/>
      <c r="CKU36" s="56"/>
      <c r="CKV36" s="57"/>
      <c r="CKW36" s="57"/>
      <c r="CKX36" s="57"/>
      <c r="CKY36" s="57"/>
      <c r="CKZ36" s="57"/>
      <c r="CLA36" s="56"/>
      <c r="CLB36" s="57"/>
      <c r="CLC36" s="57"/>
      <c r="CLD36" s="56"/>
      <c r="CLE36" s="57"/>
      <c r="CLF36" s="58"/>
      <c r="CLG36" s="56"/>
      <c r="CLH36" s="57"/>
      <c r="CLI36" s="57"/>
      <c r="CLJ36" s="57"/>
      <c r="CLK36" s="56"/>
      <c r="CLL36" s="57"/>
      <c r="CLM36" s="57"/>
      <c r="CLN36" s="56"/>
      <c r="CLO36" s="57"/>
      <c r="CLP36" s="58"/>
      <c r="CLQ36" s="56"/>
      <c r="CLR36" s="57"/>
      <c r="CLS36" s="57"/>
      <c r="CLT36" s="57"/>
      <c r="CLU36" s="56"/>
      <c r="CLV36" s="57"/>
      <c r="CLW36" s="57"/>
      <c r="CLX36" s="56"/>
      <c r="CLY36" s="57"/>
      <c r="CLZ36" s="58"/>
      <c r="CMA36" s="56"/>
      <c r="CMB36" s="57"/>
      <c r="CMC36" s="57"/>
      <c r="CMD36" s="57"/>
      <c r="CME36" s="56"/>
      <c r="CMF36" s="57"/>
      <c r="CMG36" s="57"/>
      <c r="CMH36" s="56"/>
      <c r="CMI36" s="57"/>
      <c r="CMJ36" s="58"/>
      <c r="CMK36" s="56"/>
      <c r="CML36" s="58"/>
      <c r="CMM36" s="57"/>
      <c r="CMN36" s="56"/>
      <c r="CMO36" s="57"/>
      <c r="CMP36" s="56"/>
      <c r="CMQ36" s="56"/>
      <c r="CMR36" s="56"/>
      <c r="CMS36" s="57"/>
      <c r="CMT36" s="57"/>
      <c r="CMU36" s="57"/>
      <c r="CMV36" s="57"/>
      <c r="CMW36" s="57"/>
      <c r="CMX36" s="57"/>
      <c r="CMY36" s="57"/>
      <c r="CMZ36" s="57"/>
      <c r="CNA36" s="57"/>
      <c r="CNB36" s="57"/>
      <c r="CNC36" s="57"/>
      <c r="CND36" s="57"/>
      <c r="CNE36" s="57"/>
      <c r="CNF36" s="57"/>
      <c r="CNG36" s="57"/>
      <c r="CNH36" s="57"/>
      <c r="CNI36" s="57"/>
      <c r="CNJ36" s="57"/>
      <c r="CNK36" s="57"/>
      <c r="CNL36" s="57"/>
      <c r="CNM36" s="57"/>
      <c r="CNN36" s="57"/>
      <c r="CNO36" s="57"/>
      <c r="CNP36" s="57"/>
      <c r="CNQ36" s="57"/>
      <c r="CNR36" s="57"/>
      <c r="CNS36" s="57"/>
      <c r="CNT36" s="57"/>
      <c r="CNU36" s="57"/>
      <c r="CNV36" s="57"/>
      <c r="CNW36" s="57"/>
      <c r="CNX36" s="57"/>
      <c r="CNY36" s="57"/>
      <c r="CNZ36" s="57"/>
      <c r="COA36" s="57"/>
      <c r="COB36" s="57"/>
      <c r="COC36" s="57"/>
      <c r="COD36" s="58"/>
      <c r="COE36" s="56"/>
      <c r="COF36" s="57"/>
      <c r="COG36" s="57"/>
      <c r="COH36" s="57"/>
      <c r="COI36" s="57"/>
      <c r="COJ36" s="57"/>
      <c r="COK36" s="56"/>
      <c r="COL36" s="57"/>
      <c r="COM36" s="57"/>
      <c r="CON36" s="56"/>
      <c r="COO36" s="57"/>
      <c r="COP36" s="58"/>
      <c r="COQ36" s="56"/>
      <c r="COR36" s="57"/>
      <c r="COS36" s="57"/>
      <c r="COT36" s="57"/>
      <c r="COU36" s="56"/>
      <c r="COV36" s="57"/>
      <c r="COW36" s="57"/>
      <c r="COX36" s="56"/>
      <c r="COY36" s="57"/>
      <c r="COZ36" s="58"/>
      <c r="CPA36" s="56"/>
      <c r="CPB36" s="57"/>
      <c r="CPC36" s="57"/>
      <c r="CPD36" s="57"/>
      <c r="CPE36" s="56"/>
      <c r="CPF36" s="57"/>
      <c r="CPG36" s="57"/>
      <c r="CPH36" s="56"/>
      <c r="CPI36" s="57"/>
      <c r="CPJ36" s="58"/>
      <c r="CPK36" s="56"/>
      <c r="CPL36" s="57"/>
      <c r="CPM36" s="57"/>
      <c r="CPN36" s="57"/>
      <c r="CPO36" s="56"/>
      <c r="CPP36" s="57"/>
      <c r="CPQ36" s="57"/>
      <c r="CPR36" s="56"/>
      <c r="CPS36" s="57"/>
      <c r="CPT36" s="58"/>
      <c r="CPU36" s="56"/>
      <c r="CPV36" s="58"/>
      <c r="CPW36" s="57"/>
      <c r="CPX36" s="56"/>
      <c r="CPY36" s="57"/>
      <c r="CPZ36" s="56"/>
      <c r="CQA36" s="56"/>
      <c r="CQB36" s="56"/>
      <c r="CQC36" s="57"/>
      <c r="CQD36" s="57"/>
      <c r="CQE36" s="57"/>
      <c r="CQF36" s="57"/>
      <c r="CQG36" s="57"/>
      <c r="CQH36" s="57"/>
      <c r="CQI36" s="57"/>
      <c r="CQJ36" s="57"/>
      <c r="CQK36" s="57"/>
      <c r="CQL36" s="57"/>
      <c r="CQM36" s="57"/>
      <c r="CQN36" s="57"/>
      <c r="CQO36" s="57"/>
      <c r="CQP36" s="57"/>
      <c r="CQQ36" s="57"/>
      <c r="CQR36" s="57"/>
      <c r="CQS36" s="57"/>
      <c r="CQT36" s="57"/>
      <c r="CQU36" s="57"/>
      <c r="CQV36" s="57"/>
      <c r="CQW36" s="57"/>
      <c r="CQX36" s="57"/>
      <c r="CQY36" s="57"/>
      <c r="CQZ36" s="57"/>
      <c r="CRA36" s="57"/>
      <c r="CRB36" s="57"/>
      <c r="CRC36" s="57"/>
      <c r="CRD36" s="57"/>
      <c r="CRE36" s="57"/>
      <c r="CRF36" s="57"/>
      <c r="CRG36" s="57"/>
      <c r="CRH36" s="57"/>
      <c r="CRI36" s="57"/>
      <c r="CRJ36" s="57"/>
      <c r="CRK36" s="57"/>
      <c r="CRL36" s="57"/>
      <c r="CRM36" s="57"/>
      <c r="CRN36" s="58"/>
      <c r="CRO36" s="56"/>
      <c r="CRP36" s="57"/>
      <c r="CRQ36" s="57"/>
      <c r="CRR36" s="57"/>
      <c r="CRS36" s="57"/>
      <c r="CRT36" s="57"/>
      <c r="CRU36" s="56"/>
      <c r="CRV36" s="57"/>
      <c r="CRW36" s="57"/>
      <c r="CRX36" s="56"/>
      <c r="CRY36" s="57"/>
      <c r="CRZ36" s="58"/>
      <c r="CSA36" s="56"/>
      <c r="CSB36" s="57"/>
      <c r="CSC36" s="57"/>
      <c r="CSD36" s="57"/>
      <c r="CSE36" s="56"/>
      <c r="CSF36" s="57"/>
      <c r="CSG36" s="57"/>
      <c r="CSH36" s="56"/>
      <c r="CSI36" s="57"/>
      <c r="CSJ36" s="58"/>
      <c r="CSK36" s="56"/>
      <c r="CSL36" s="57"/>
      <c r="CSM36" s="57"/>
      <c r="CSN36" s="57"/>
      <c r="CSO36" s="56"/>
      <c r="CSP36" s="57"/>
      <c r="CSQ36" s="57"/>
      <c r="CSR36" s="56"/>
      <c r="CSS36" s="57"/>
      <c r="CST36" s="58"/>
      <c r="CSU36" s="56"/>
      <c r="CSV36" s="57"/>
      <c r="CSW36" s="57"/>
      <c r="CSX36" s="57"/>
      <c r="CSY36" s="56"/>
      <c r="CSZ36" s="57"/>
      <c r="CTA36" s="57"/>
      <c r="CTB36" s="56"/>
      <c r="CTC36" s="57"/>
      <c r="CTD36" s="58"/>
      <c r="CTE36" s="56"/>
      <c r="CTF36" s="58"/>
      <c r="CTG36" s="57"/>
      <c r="CTH36" s="56"/>
      <c r="CTI36" s="57"/>
      <c r="CTJ36" s="56"/>
      <c r="CTK36" s="56"/>
      <c r="CTL36" s="56"/>
      <c r="CTM36" s="57"/>
      <c r="CTN36" s="57"/>
      <c r="CTO36" s="57"/>
      <c r="CTP36" s="57"/>
      <c r="CTQ36" s="57"/>
      <c r="CTR36" s="57"/>
      <c r="CTS36" s="57"/>
      <c r="CTT36" s="57"/>
      <c r="CTU36" s="57"/>
      <c r="CTV36" s="57"/>
      <c r="CTW36" s="57"/>
      <c r="CTX36" s="57"/>
      <c r="CTY36" s="57"/>
      <c r="CTZ36" s="57"/>
      <c r="CUA36" s="57"/>
      <c r="CUB36" s="57"/>
      <c r="CUC36" s="57"/>
      <c r="CUD36" s="57"/>
      <c r="CUE36" s="57"/>
      <c r="CUF36" s="57"/>
      <c r="CUG36" s="57"/>
      <c r="CUH36" s="57"/>
      <c r="CUI36" s="57"/>
      <c r="CUJ36" s="57"/>
      <c r="CUK36" s="57"/>
      <c r="CUL36" s="57"/>
      <c r="CUM36" s="57"/>
      <c r="CUN36" s="57"/>
      <c r="CUO36" s="57"/>
      <c r="CUP36" s="57"/>
      <c r="CUQ36" s="57"/>
      <c r="CUR36" s="57"/>
      <c r="CUS36" s="57"/>
      <c r="CUT36" s="57"/>
      <c r="CUU36" s="57"/>
      <c r="CUV36" s="57"/>
      <c r="CUW36" s="57"/>
      <c r="CUX36" s="58"/>
      <c r="CUY36" s="56"/>
      <c r="CUZ36" s="57"/>
      <c r="CVA36" s="57"/>
      <c r="CVB36" s="57"/>
      <c r="CVC36" s="57"/>
      <c r="CVD36" s="57"/>
      <c r="CVE36" s="56"/>
      <c r="CVF36" s="57"/>
      <c r="CVG36" s="57"/>
      <c r="CVH36" s="56"/>
      <c r="CVI36" s="57"/>
      <c r="CVJ36" s="58"/>
      <c r="CVK36" s="56"/>
      <c r="CVL36" s="57"/>
      <c r="CVM36" s="57"/>
      <c r="CVN36" s="57"/>
      <c r="CVO36" s="56"/>
      <c r="CVP36" s="57"/>
      <c r="CVQ36" s="57"/>
      <c r="CVR36" s="56"/>
      <c r="CVS36" s="57"/>
      <c r="CVT36" s="58"/>
      <c r="CVU36" s="56"/>
      <c r="CVV36" s="57"/>
      <c r="CVW36" s="57"/>
      <c r="CVX36" s="57"/>
      <c r="CVY36" s="56"/>
      <c r="CVZ36" s="57"/>
      <c r="CWA36" s="57"/>
      <c r="CWB36" s="56"/>
      <c r="CWC36" s="57"/>
      <c r="CWD36" s="58"/>
      <c r="CWE36" s="56"/>
      <c r="CWF36" s="57"/>
      <c r="CWG36" s="57"/>
      <c r="CWH36" s="57"/>
      <c r="CWI36" s="56"/>
      <c r="CWJ36" s="57"/>
      <c r="CWK36" s="57"/>
      <c r="CWL36" s="56"/>
      <c r="CWM36" s="57"/>
      <c r="CWN36" s="58"/>
      <c r="CWO36" s="56"/>
      <c r="CWP36" s="58"/>
      <c r="CWQ36" s="57"/>
      <c r="CWR36" s="56"/>
      <c r="CWS36" s="57"/>
      <c r="CWT36" s="56"/>
      <c r="CWU36" s="56"/>
      <c r="CWV36" s="56"/>
      <c r="CWW36" s="57"/>
      <c r="CWX36" s="57"/>
      <c r="CWY36" s="57"/>
      <c r="CWZ36" s="57"/>
      <c r="CXA36" s="57"/>
      <c r="CXB36" s="57"/>
      <c r="CXC36" s="57"/>
      <c r="CXD36" s="57"/>
      <c r="CXE36" s="57"/>
      <c r="CXF36" s="57"/>
      <c r="CXG36" s="57"/>
      <c r="CXH36" s="57"/>
      <c r="CXI36" s="57"/>
      <c r="CXJ36" s="57"/>
      <c r="CXK36" s="57"/>
      <c r="CXL36" s="57"/>
      <c r="CXM36" s="57"/>
      <c r="CXN36" s="57"/>
      <c r="CXO36" s="57"/>
      <c r="CXP36" s="57"/>
      <c r="CXQ36" s="57"/>
      <c r="CXR36" s="57"/>
      <c r="CXS36" s="57"/>
      <c r="CXT36" s="57"/>
      <c r="CXU36" s="57"/>
      <c r="CXV36" s="57"/>
      <c r="CXW36" s="57"/>
      <c r="CXX36" s="57"/>
      <c r="CXY36" s="57"/>
      <c r="CXZ36" s="57"/>
      <c r="CYA36" s="57"/>
      <c r="CYB36" s="57"/>
      <c r="CYC36" s="57"/>
      <c r="CYD36" s="57"/>
      <c r="CYE36" s="57"/>
      <c r="CYF36" s="57"/>
      <c r="CYG36" s="57"/>
      <c r="CYH36" s="58"/>
      <c r="CYI36" s="56"/>
      <c r="CYJ36" s="57"/>
      <c r="CYK36" s="57"/>
      <c r="CYL36" s="57"/>
      <c r="CYM36" s="57"/>
      <c r="CYN36" s="57"/>
      <c r="CYO36" s="56"/>
      <c r="CYP36" s="57"/>
      <c r="CYQ36" s="57"/>
      <c r="CYR36" s="56"/>
      <c r="CYS36" s="57"/>
      <c r="CYT36" s="58"/>
      <c r="CYU36" s="56"/>
      <c r="CYV36" s="57"/>
      <c r="CYW36" s="57"/>
      <c r="CYX36" s="57"/>
      <c r="CYY36" s="56"/>
      <c r="CYZ36" s="57"/>
      <c r="CZA36" s="57"/>
      <c r="CZB36" s="56"/>
      <c r="CZC36" s="57"/>
      <c r="CZD36" s="58"/>
      <c r="CZE36" s="56"/>
      <c r="CZF36" s="57"/>
      <c r="CZG36" s="57"/>
      <c r="CZH36" s="57"/>
      <c r="CZI36" s="56"/>
      <c r="CZJ36" s="57"/>
      <c r="CZK36" s="57"/>
      <c r="CZL36" s="56"/>
      <c r="CZM36" s="57"/>
      <c r="CZN36" s="58"/>
      <c r="CZO36" s="56"/>
      <c r="CZP36" s="57"/>
      <c r="CZQ36" s="57"/>
      <c r="CZR36" s="57"/>
      <c r="CZS36" s="56"/>
      <c r="CZT36" s="57"/>
      <c r="CZU36" s="57"/>
      <c r="CZV36" s="56"/>
      <c r="CZW36" s="57"/>
      <c r="CZX36" s="58"/>
      <c r="CZY36" s="56"/>
      <c r="CZZ36" s="58"/>
      <c r="DAA36" s="57"/>
      <c r="DAB36" s="56"/>
      <c r="DAC36" s="57"/>
      <c r="DAD36" s="56"/>
      <c r="DAE36" s="56"/>
      <c r="DAF36" s="56"/>
      <c r="DAG36" s="57"/>
      <c r="DAH36" s="57"/>
      <c r="DAI36" s="57"/>
      <c r="DAJ36" s="57"/>
      <c r="DAK36" s="57"/>
      <c r="DAL36" s="57"/>
      <c r="DAM36" s="57"/>
      <c r="DAN36" s="57"/>
      <c r="DAO36" s="57"/>
      <c r="DAP36" s="57"/>
      <c r="DAQ36" s="57"/>
      <c r="DAR36" s="57"/>
      <c r="DAS36" s="57"/>
      <c r="DAT36" s="57"/>
      <c r="DAU36" s="57"/>
      <c r="DAV36" s="57"/>
      <c r="DAW36" s="57"/>
      <c r="DAX36" s="57"/>
      <c r="DAY36" s="57"/>
      <c r="DAZ36" s="57"/>
      <c r="DBA36" s="57"/>
      <c r="DBB36" s="57"/>
      <c r="DBC36" s="57"/>
      <c r="DBD36" s="57"/>
      <c r="DBE36" s="57"/>
      <c r="DBF36" s="57"/>
      <c r="DBG36" s="57"/>
      <c r="DBH36" s="57"/>
      <c r="DBI36" s="57"/>
      <c r="DBJ36" s="57"/>
      <c r="DBK36" s="57"/>
      <c r="DBL36" s="57"/>
      <c r="DBM36" s="57"/>
      <c r="DBN36" s="57"/>
      <c r="DBO36" s="57"/>
      <c r="DBP36" s="57"/>
      <c r="DBQ36" s="57"/>
      <c r="DBR36" s="58"/>
      <c r="DBS36" s="56"/>
      <c r="DBT36" s="57"/>
      <c r="DBU36" s="57"/>
      <c r="DBV36" s="57"/>
      <c r="DBW36" s="57"/>
      <c r="DBX36" s="57"/>
      <c r="DBY36" s="56"/>
      <c r="DBZ36" s="57"/>
      <c r="DCA36" s="57"/>
      <c r="DCB36" s="56"/>
      <c r="DCC36" s="57"/>
      <c r="DCD36" s="58"/>
      <c r="DCE36" s="56"/>
      <c r="DCF36" s="57"/>
      <c r="DCG36" s="57"/>
      <c r="DCH36" s="57"/>
      <c r="DCI36" s="56"/>
      <c r="DCJ36" s="57"/>
      <c r="DCK36" s="57"/>
      <c r="DCL36" s="56"/>
      <c r="DCM36" s="57"/>
      <c r="DCN36" s="58"/>
      <c r="DCO36" s="56"/>
      <c r="DCP36" s="57"/>
      <c r="DCQ36" s="57"/>
      <c r="DCR36" s="57"/>
      <c r="DCS36" s="56"/>
      <c r="DCT36" s="57"/>
      <c r="DCU36" s="57"/>
      <c r="DCV36" s="56"/>
      <c r="DCW36" s="57"/>
      <c r="DCX36" s="58"/>
      <c r="DCY36" s="56"/>
      <c r="DCZ36" s="57"/>
      <c r="DDA36" s="57"/>
      <c r="DDB36" s="57"/>
      <c r="DDC36" s="56"/>
      <c r="DDD36" s="57"/>
      <c r="DDE36" s="57"/>
      <c r="DDF36" s="56"/>
      <c r="DDG36" s="57"/>
      <c r="DDH36" s="58"/>
      <c r="DDI36" s="56"/>
      <c r="DDJ36" s="58"/>
      <c r="DDK36" s="57"/>
      <c r="DDL36" s="56"/>
      <c r="DDM36" s="57"/>
      <c r="DDN36" s="56"/>
      <c r="DDO36" s="56"/>
      <c r="DDP36" s="56"/>
      <c r="DDQ36" s="57"/>
      <c r="DDR36" s="57"/>
      <c r="DDS36" s="57"/>
      <c r="DDT36" s="57"/>
      <c r="DDU36" s="57"/>
      <c r="DDV36" s="57"/>
      <c r="DDW36" s="57"/>
      <c r="DDX36" s="57"/>
      <c r="DDY36" s="57"/>
      <c r="DDZ36" s="57"/>
      <c r="DEA36" s="57"/>
      <c r="DEB36" s="57"/>
      <c r="DEC36" s="57"/>
      <c r="DED36" s="57"/>
      <c r="DEE36" s="57"/>
      <c r="DEF36" s="57"/>
      <c r="DEG36" s="57"/>
      <c r="DEH36" s="57"/>
      <c r="DEI36" s="57"/>
      <c r="DEJ36" s="57"/>
      <c r="DEK36" s="57"/>
      <c r="DEL36" s="57"/>
      <c r="DEM36" s="57"/>
      <c r="DEN36" s="57"/>
      <c r="DEO36" s="57"/>
      <c r="DEP36" s="57"/>
      <c r="DEQ36" s="57"/>
      <c r="DER36" s="57"/>
      <c r="DES36" s="57"/>
      <c r="DET36" s="57"/>
      <c r="DEU36" s="57"/>
      <c r="DEV36" s="57"/>
      <c r="DEW36" s="57"/>
      <c r="DEX36" s="57"/>
      <c r="DEY36" s="57"/>
      <c r="DEZ36" s="57"/>
      <c r="DFA36" s="57"/>
      <c r="DFB36" s="58"/>
      <c r="DFC36" s="56"/>
      <c r="DFD36" s="57"/>
      <c r="DFE36" s="57"/>
      <c r="DFF36" s="57"/>
      <c r="DFG36" s="57"/>
      <c r="DFH36" s="57"/>
      <c r="DFI36" s="56"/>
      <c r="DFJ36" s="57"/>
      <c r="DFK36" s="57"/>
      <c r="DFL36" s="56"/>
      <c r="DFM36" s="57"/>
      <c r="DFN36" s="58"/>
      <c r="DFO36" s="56"/>
      <c r="DFP36" s="57"/>
      <c r="DFQ36" s="57"/>
      <c r="DFR36" s="57"/>
      <c r="DFS36" s="56"/>
      <c r="DFT36" s="57"/>
      <c r="DFU36" s="57"/>
      <c r="DFV36" s="56"/>
      <c r="DFW36" s="57"/>
      <c r="DFX36" s="58"/>
      <c r="DFY36" s="56"/>
      <c r="DFZ36" s="57"/>
      <c r="DGA36" s="57"/>
      <c r="DGB36" s="57"/>
      <c r="DGC36" s="56"/>
      <c r="DGD36" s="57"/>
      <c r="DGE36" s="57"/>
      <c r="DGF36" s="56"/>
      <c r="DGG36" s="57"/>
      <c r="DGH36" s="58"/>
      <c r="DGI36" s="56"/>
      <c r="DGJ36" s="57"/>
      <c r="DGK36" s="57"/>
      <c r="DGL36" s="57"/>
      <c r="DGM36" s="56"/>
      <c r="DGN36" s="57"/>
      <c r="DGO36" s="57"/>
      <c r="DGP36" s="56"/>
      <c r="DGQ36" s="57"/>
      <c r="DGR36" s="58"/>
      <c r="DGS36" s="56"/>
      <c r="DGT36" s="58"/>
      <c r="DGU36" s="57"/>
      <c r="DGV36" s="56"/>
      <c r="DGW36" s="57"/>
      <c r="DGX36" s="56"/>
      <c r="DGY36" s="56"/>
      <c r="DGZ36" s="56"/>
      <c r="DHA36" s="57"/>
      <c r="DHB36" s="57"/>
      <c r="DHC36" s="57"/>
      <c r="DHD36" s="57"/>
      <c r="DHE36" s="57"/>
      <c r="DHF36" s="57"/>
      <c r="DHG36" s="57"/>
      <c r="DHH36" s="57"/>
      <c r="DHI36" s="57"/>
      <c r="DHJ36" s="57"/>
      <c r="DHK36" s="57"/>
      <c r="DHL36" s="57"/>
      <c r="DHM36" s="57"/>
      <c r="DHN36" s="57"/>
      <c r="DHO36" s="57"/>
      <c r="DHP36" s="57"/>
      <c r="DHQ36" s="57"/>
      <c r="DHR36" s="57"/>
      <c r="DHS36" s="57"/>
      <c r="DHT36" s="57"/>
      <c r="DHU36" s="57"/>
      <c r="DHV36" s="57"/>
      <c r="DHW36" s="57"/>
      <c r="DHX36" s="57"/>
      <c r="DHY36" s="57"/>
      <c r="DHZ36" s="57"/>
      <c r="DIA36" s="57"/>
      <c r="DIB36" s="57"/>
      <c r="DIC36" s="57"/>
      <c r="DID36" s="57"/>
      <c r="DIE36" s="57"/>
      <c r="DIF36" s="57"/>
      <c r="DIG36" s="57"/>
      <c r="DIH36" s="57"/>
      <c r="DII36" s="57"/>
      <c r="DIJ36" s="57"/>
      <c r="DIK36" s="57"/>
      <c r="DIL36" s="58"/>
      <c r="DIM36" s="56"/>
      <c r="DIN36" s="57"/>
      <c r="DIO36" s="57"/>
      <c r="DIP36" s="57"/>
      <c r="DIQ36" s="57"/>
      <c r="DIR36" s="57"/>
      <c r="DIS36" s="56"/>
      <c r="DIT36" s="57"/>
      <c r="DIU36" s="57"/>
      <c r="DIV36" s="56"/>
      <c r="DIW36" s="57"/>
      <c r="DIX36" s="58"/>
      <c r="DIY36" s="56"/>
      <c r="DIZ36" s="57"/>
      <c r="DJA36" s="57"/>
      <c r="DJB36" s="57"/>
      <c r="DJC36" s="56"/>
      <c r="DJD36" s="57"/>
      <c r="DJE36" s="57"/>
      <c r="DJF36" s="56"/>
      <c r="DJG36" s="57"/>
      <c r="DJH36" s="58"/>
      <c r="DJI36" s="56"/>
      <c r="DJJ36" s="57"/>
      <c r="DJK36" s="57"/>
      <c r="DJL36" s="57"/>
      <c r="DJM36" s="56"/>
      <c r="DJN36" s="57"/>
      <c r="DJO36" s="57"/>
      <c r="DJP36" s="56"/>
      <c r="DJQ36" s="57"/>
      <c r="DJR36" s="58"/>
      <c r="DJS36" s="56"/>
      <c r="DJT36" s="57"/>
      <c r="DJU36" s="57"/>
      <c r="DJV36" s="57"/>
      <c r="DJW36" s="56"/>
      <c r="DJX36" s="57"/>
      <c r="DJY36" s="57"/>
      <c r="DJZ36" s="56"/>
      <c r="DKA36" s="57"/>
      <c r="DKB36" s="58"/>
      <c r="DKC36" s="56"/>
      <c r="DKD36" s="58"/>
      <c r="DKE36" s="57"/>
      <c r="DKF36" s="56"/>
      <c r="DKG36" s="57"/>
      <c r="DKH36" s="56"/>
      <c r="DKI36" s="56"/>
      <c r="DKJ36" s="56"/>
      <c r="DKK36" s="57"/>
      <c r="DKL36" s="57"/>
      <c r="DKM36" s="57"/>
      <c r="DKN36" s="57"/>
      <c r="DKO36" s="57"/>
      <c r="DKP36" s="57"/>
      <c r="DKQ36" s="57"/>
      <c r="DKR36" s="57"/>
      <c r="DKS36" s="57"/>
      <c r="DKT36" s="57"/>
      <c r="DKU36" s="57"/>
      <c r="DKV36" s="57"/>
      <c r="DKW36" s="57"/>
      <c r="DKX36" s="57"/>
      <c r="DKY36" s="57"/>
      <c r="DKZ36" s="57"/>
      <c r="DLA36" s="57"/>
      <c r="DLB36" s="57"/>
      <c r="DLC36" s="57"/>
      <c r="DLD36" s="57"/>
      <c r="DLE36" s="57"/>
      <c r="DLF36" s="57"/>
      <c r="DLG36" s="57"/>
      <c r="DLH36" s="57"/>
      <c r="DLI36" s="57"/>
      <c r="DLJ36" s="57"/>
      <c r="DLK36" s="57"/>
      <c r="DLL36" s="57"/>
      <c r="DLM36" s="57"/>
      <c r="DLN36" s="57"/>
      <c r="DLO36" s="57"/>
      <c r="DLP36" s="57"/>
      <c r="DLQ36" s="57"/>
      <c r="DLR36" s="57"/>
      <c r="DLS36" s="57"/>
      <c r="DLT36" s="57"/>
      <c r="DLU36" s="57"/>
      <c r="DLV36" s="58"/>
      <c r="DLW36" s="56"/>
      <c r="DLX36" s="57"/>
      <c r="DLY36" s="57"/>
      <c r="DLZ36" s="57"/>
      <c r="DMA36" s="57"/>
      <c r="DMB36" s="57"/>
      <c r="DMC36" s="56"/>
      <c r="DMD36" s="57"/>
      <c r="DME36" s="57"/>
      <c r="DMF36" s="56"/>
      <c r="DMG36" s="57"/>
      <c r="DMH36" s="58"/>
      <c r="DMI36" s="56"/>
      <c r="DMJ36" s="57"/>
      <c r="DMK36" s="57"/>
      <c r="DML36" s="57"/>
      <c r="DMM36" s="56"/>
      <c r="DMN36" s="57"/>
      <c r="DMO36" s="57"/>
      <c r="DMP36" s="56"/>
      <c r="DMQ36" s="57"/>
      <c r="DMR36" s="58"/>
      <c r="DMS36" s="56"/>
      <c r="DMT36" s="57"/>
      <c r="DMU36" s="57"/>
      <c r="DMV36" s="57"/>
      <c r="DMW36" s="56"/>
      <c r="DMX36" s="57"/>
      <c r="DMY36" s="57"/>
      <c r="DMZ36" s="56"/>
      <c r="DNA36" s="57"/>
      <c r="DNB36" s="58"/>
      <c r="DNC36" s="56"/>
      <c r="DND36" s="57"/>
      <c r="DNE36" s="57"/>
      <c r="DNF36" s="57"/>
      <c r="DNG36" s="56"/>
      <c r="DNH36" s="57"/>
      <c r="DNI36" s="57"/>
      <c r="DNJ36" s="56"/>
      <c r="DNK36" s="57"/>
      <c r="DNL36" s="58"/>
      <c r="DNM36" s="56"/>
      <c r="DNN36" s="58"/>
      <c r="DNO36" s="57"/>
      <c r="DNP36" s="56"/>
      <c r="DNQ36" s="57"/>
      <c r="DNR36" s="56"/>
      <c r="DNS36" s="56"/>
      <c r="DNT36" s="56"/>
      <c r="DNU36" s="57"/>
      <c r="DNV36" s="57"/>
      <c r="DNW36" s="57"/>
      <c r="DNX36" s="57"/>
      <c r="DNY36" s="57"/>
      <c r="DNZ36" s="57"/>
      <c r="DOA36" s="57"/>
      <c r="DOB36" s="57"/>
      <c r="DOC36" s="57"/>
      <c r="DOD36" s="57"/>
      <c r="DOE36" s="57"/>
      <c r="DOF36" s="57"/>
      <c r="DOG36" s="57"/>
      <c r="DOH36" s="57"/>
      <c r="DOI36" s="57"/>
      <c r="DOJ36" s="57"/>
      <c r="DOK36" s="57"/>
      <c r="DOL36" s="57"/>
      <c r="DOM36" s="57"/>
      <c r="DON36" s="57"/>
      <c r="DOO36" s="57"/>
      <c r="DOP36" s="57"/>
      <c r="DOQ36" s="57"/>
      <c r="DOR36" s="57"/>
      <c r="DOS36" s="57"/>
      <c r="DOT36" s="57"/>
      <c r="DOU36" s="57"/>
      <c r="DOV36" s="57"/>
      <c r="DOW36" s="57"/>
      <c r="DOX36" s="57"/>
      <c r="DOY36" s="57"/>
      <c r="DOZ36" s="57"/>
      <c r="DPA36" s="57"/>
      <c r="DPB36" s="57"/>
      <c r="DPC36" s="57"/>
      <c r="DPD36" s="57"/>
      <c r="DPE36" s="57"/>
      <c r="DPF36" s="58"/>
      <c r="DPG36" s="56"/>
      <c r="DPH36" s="57"/>
      <c r="DPI36" s="57"/>
      <c r="DPJ36" s="57"/>
      <c r="DPK36" s="57"/>
      <c r="DPL36" s="57"/>
      <c r="DPM36" s="56"/>
      <c r="DPN36" s="57"/>
      <c r="DPO36" s="57"/>
      <c r="DPP36" s="56"/>
      <c r="DPQ36" s="57"/>
      <c r="DPR36" s="58"/>
      <c r="DPS36" s="56"/>
      <c r="DPT36" s="57"/>
      <c r="DPU36" s="57"/>
      <c r="DPV36" s="57"/>
      <c r="DPW36" s="56"/>
      <c r="DPX36" s="57"/>
      <c r="DPY36" s="57"/>
      <c r="DPZ36" s="56"/>
      <c r="DQA36" s="57"/>
      <c r="DQB36" s="58"/>
      <c r="DQC36" s="56"/>
      <c r="DQD36" s="57"/>
      <c r="DQE36" s="57"/>
      <c r="DQF36" s="57"/>
      <c r="DQG36" s="56"/>
      <c r="DQH36" s="57"/>
      <c r="DQI36" s="57"/>
      <c r="DQJ36" s="56"/>
      <c r="DQK36" s="57"/>
      <c r="DQL36" s="58"/>
      <c r="DQM36" s="56"/>
      <c r="DQN36" s="57"/>
      <c r="DQO36" s="57"/>
      <c r="DQP36" s="57"/>
      <c r="DQQ36" s="56"/>
      <c r="DQR36" s="57"/>
      <c r="DQS36" s="57"/>
      <c r="DQT36" s="56"/>
      <c r="DQU36" s="57"/>
      <c r="DQV36" s="58"/>
      <c r="DQW36" s="56"/>
      <c r="DQX36" s="58"/>
      <c r="DQY36" s="57"/>
      <c r="DQZ36" s="56"/>
      <c r="DRA36" s="57"/>
      <c r="DRB36" s="56"/>
      <c r="DRC36" s="56"/>
      <c r="DRD36" s="56"/>
      <c r="DRE36" s="57"/>
      <c r="DRF36" s="57"/>
      <c r="DRG36" s="57"/>
      <c r="DRH36" s="57"/>
      <c r="DRI36" s="57"/>
      <c r="DRJ36" s="57"/>
      <c r="DRK36" s="57"/>
      <c r="DRL36" s="57"/>
      <c r="DRM36" s="57"/>
      <c r="DRN36" s="57"/>
      <c r="DRO36" s="57"/>
      <c r="DRP36" s="57"/>
      <c r="DRQ36" s="57"/>
      <c r="DRR36" s="57"/>
      <c r="DRS36" s="57"/>
      <c r="DRT36" s="57"/>
      <c r="DRU36" s="57"/>
      <c r="DRV36" s="57"/>
      <c r="DRW36" s="57"/>
      <c r="DRX36" s="57"/>
      <c r="DRY36" s="57"/>
      <c r="DRZ36" s="57"/>
      <c r="DSA36" s="57"/>
      <c r="DSB36" s="57"/>
      <c r="DSC36" s="57"/>
      <c r="DSD36" s="57"/>
      <c r="DSE36" s="57"/>
      <c r="DSF36" s="57"/>
      <c r="DSG36" s="57"/>
      <c r="DSH36" s="57"/>
      <c r="DSI36" s="57"/>
      <c r="DSJ36" s="57"/>
      <c r="DSK36" s="57"/>
      <c r="DSL36" s="57"/>
      <c r="DSM36" s="57"/>
      <c r="DSN36" s="57"/>
      <c r="DSO36" s="57"/>
      <c r="DSP36" s="58"/>
      <c r="DSQ36" s="56"/>
      <c r="DSR36" s="57"/>
      <c r="DSS36" s="57"/>
      <c r="DST36" s="57"/>
      <c r="DSU36" s="57"/>
      <c r="DSV36" s="57"/>
      <c r="DSW36" s="56"/>
      <c r="DSX36" s="57"/>
      <c r="DSY36" s="57"/>
      <c r="DSZ36" s="56"/>
      <c r="DTA36" s="57"/>
      <c r="DTB36" s="58"/>
      <c r="DTC36" s="56"/>
      <c r="DTD36" s="57"/>
      <c r="DTE36" s="57"/>
      <c r="DTF36" s="57"/>
      <c r="DTG36" s="56"/>
      <c r="DTH36" s="57"/>
      <c r="DTI36" s="57"/>
      <c r="DTJ36" s="56"/>
      <c r="DTK36" s="57"/>
      <c r="DTL36" s="58"/>
      <c r="DTM36" s="56"/>
      <c r="DTN36" s="57"/>
      <c r="DTO36" s="57"/>
      <c r="DTP36" s="57"/>
      <c r="DTQ36" s="56"/>
      <c r="DTR36" s="57"/>
      <c r="DTS36" s="57"/>
      <c r="DTT36" s="56"/>
      <c r="DTU36" s="57"/>
      <c r="DTV36" s="58"/>
      <c r="DTW36" s="56"/>
      <c r="DTX36" s="57"/>
      <c r="DTY36" s="57"/>
      <c r="DTZ36" s="57"/>
      <c r="DUA36" s="56"/>
      <c r="DUB36" s="57"/>
      <c r="DUC36" s="57"/>
      <c r="DUD36" s="56"/>
      <c r="DUE36" s="57"/>
      <c r="DUF36" s="58"/>
      <c r="DUG36" s="56"/>
      <c r="DUH36" s="58"/>
      <c r="DUI36" s="57"/>
      <c r="DUJ36" s="56"/>
      <c r="DUK36" s="57"/>
      <c r="DUL36" s="56"/>
      <c r="DUM36" s="56"/>
      <c r="DUN36" s="56"/>
      <c r="DUO36" s="57"/>
      <c r="DUP36" s="57"/>
      <c r="DUQ36" s="57"/>
      <c r="DUR36" s="57"/>
      <c r="DUS36" s="57"/>
      <c r="DUT36" s="57"/>
      <c r="DUU36" s="57"/>
      <c r="DUV36" s="57"/>
      <c r="DUW36" s="57"/>
      <c r="DUX36" s="57"/>
      <c r="DUY36" s="57"/>
      <c r="DUZ36" s="57"/>
      <c r="DVA36" s="57"/>
      <c r="DVB36" s="57"/>
      <c r="DVC36" s="57"/>
      <c r="DVD36" s="57"/>
      <c r="DVE36" s="57"/>
      <c r="DVF36" s="57"/>
      <c r="DVG36" s="57"/>
      <c r="DVH36" s="57"/>
      <c r="DVI36" s="57"/>
      <c r="DVJ36" s="57"/>
      <c r="DVK36" s="57"/>
      <c r="DVL36" s="57"/>
      <c r="DVM36" s="57"/>
      <c r="DVN36" s="57"/>
      <c r="DVO36" s="57"/>
      <c r="DVP36" s="57"/>
      <c r="DVQ36" s="57"/>
      <c r="DVR36" s="57"/>
      <c r="DVS36" s="57"/>
      <c r="DVT36" s="57"/>
      <c r="DVU36" s="57"/>
      <c r="DVV36" s="57"/>
      <c r="DVW36" s="57"/>
      <c r="DVX36" s="57"/>
      <c r="DVY36" s="57"/>
      <c r="DVZ36" s="58"/>
      <c r="DWA36" s="56"/>
      <c r="DWB36" s="57"/>
      <c r="DWC36" s="57"/>
      <c r="DWD36" s="57"/>
      <c r="DWE36" s="57"/>
      <c r="DWF36" s="57"/>
      <c r="DWG36" s="56"/>
      <c r="DWH36" s="57"/>
      <c r="DWI36" s="57"/>
      <c r="DWJ36" s="56"/>
      <c r="DWK36" s="57"/>
      <c r="DWL36" s="58"/>
      <c r="DWM36" s="56"/>
      <c r="DWN36" s="57"/>
      <c r="DWO36" s="57"/>
      <c r="DWP36" s="57"/>
      <c r="DWQ36" s="56"/>
      <c r="DWR36" s="57"/>
      <c r="DWS36" s="57"/>
      <c r="DWT36" s="56"/>
      <c r="DWU36" s="57"/>
      <c r="DWV36" s="58"/>
      <c r="DWW36" s="56"/>
      <c r="DWX36" s="57"/>
      <c r="DWY36" s="57"/>
      <c r="DWZ36" s="57"/>
      <c r="DXA36" s="56"/>
      <c r="DXB36" s="57"/>
      <c r="DXC36" s="57"/>
      <c r="DXD36" s="56"/>
      <c r="DXE36" s="57"/>
      <c r="DXF36" s="58"/>
      <c r="DXG36" s="56"/>
      <c r="DXH36" s="57"/>
      <c r="DXI36" s="57"/>
      <c r="DXJ36" s="57"/>
      <c r="DXK36" s="56"/>
      <c r="DXL36" s="57"/>
      <c r="DXM36" s="57"/>
      <c r="DXN36" s="56"/>
      <c r="DXO36" s="57"/>
      <c r="DXP36" s="58"/>
      <c r="DXQ36" s="56"/>
      <c r="DXR36" s="58"/>
      <c r="DXS36" s="57"/>
      <c r="DXT36" s="56"/>
      <c r="DXU36" s="57"/>
      <c r="DXV36" s="56"/>
      <c r="DXW36" s="56"/>
      <c r="DXX36" s="56"/>
      <c r="DXY36" s="57"/>
      <c r="DXZ36" s="57"/>
      <c r="DYA36" s="57"/>
      <c r="DYB36" s="57"/>
      <c r="DYC36" s="57"/>
      <c r="DYD36" s="57"/>
      <c r="DYE36" s="57"/>
      <c r="DYF36" s="57"/>
      <c r="DYG36" s="57"/>
      <c r="DYH36" s="57"/>
      <c r="DYI36" s="57"/>
      <c r="DYJ36" s="57"/>
      <c r="DYK36" s="57"/>
      <c r="DYL36" s="57"/>
      <c r="DYM36" s="57"/>
      <c r="DYN36" s="57"/>
      <c r="DYO36" s="57"/>
      <c r="DYP36" s="57"/>
      <c r="DYQ36" s="57"/>
      <c r="DYR36" s="57"/>
      <c r="DYS36" s="57"/>
      <c r="DYT36" s="57"/>
      <c r="DYU36" s="57"/>
      <c r="DYV36" s="57"/>
      <c r="DYW36" s="57"/>
      <c r="DYX36" s="57"/>
      <c r="DYY36" s="57"/>
      <c r="DYZ36" s="57"/>
      <c r="DZA36" s="57"/>
      <c r="DZB36" s="57"/>
      <c r="DZC36" s="57"/>
      <c r="DZD36" s="57"/>
      <c r="DZE36" s="57"/>
      <c r="DZF36" s="57"/>
      <c r="DZG36" s="57"/>
      <c r="DZH36" s="57"/>
      <c r="DZI36" s="57"/>
      <c r="DZJ36" s="58"/>
      <c r="DZK36" s="56"/>
      <c r="DZL36" s="57"/>
      <c r="DZM36" s="57"/>
      <c r="DZN36" s="57"/>
      <c r="DZO36" s="57"/>
      <c r="DZP36" s="57"/>
      <c r="DZQ36" s="56"/>
      <c r="DZR36" s="57"/>
      <c r="DZS36" s="57"/>
      <c r="DZT36" s="56"/>
      <c r="DZU36" s="57"/>
      <c r="DZV36" s="58"/>
      <c r="DZW36" s="56"/>
      <c r="DZX36" s="57"/>
      <c r="DZY36" s="57"/>
      <c r="DZZ36" s="57"/>
      <c r="EAA36" s="56"/>
      <c r="EAB36" s="57"/>
      <c r="EAC36" s="57"/>
      <c r="EAD36" s="56"/>
      <c r="EAE36" s="57"/>
      <c r="EAF36" s="58"/>
      <c r="EAG36" s="56"/>
      <c r="EAH36" s="57"/>
      <c r="EAI36" s="57"/>
      <c r="EAJ36" s="57"/>
      <c r="EAK36" s="56"/>
      <c r="EAL36" s="57"/>
      <c r="EAM36" s="57"/>
      <c r="EAN36" s="56"/>
      <c r="EAO36" s="57"/>
      <c r="EAP36" s="58"/>
      <c r="EAQ36" s="56"/>
      <c r="EAR36" s="57"/>
      <c r="EAS36" s="57"/>
      <c r="EAT36" s="57"/>
      <c r="EAU36" s="56"/>
      <c r="EAV36" s="57"/>
      <c r="EAW36" s="57"/>
      <c r="EAX36" s="56"/>
      <c r="EAY36" s="57"/>
      <c r="EAZ36" s="58"/>
      <c r="EBA36" s="56"/>
      <c r="EBB36" s="58"/>
      <c r="EBC36" s="57"/>
      <c r="EBD36" s="56"/>
      <c r="EBE36" s="57"/>
      <c r="EBF36" s="56"/>
      <c r="EBG36" s="56"/>
      <c r="EBH36" s="56"/>
      <c r="EBI36" s="57"/>
      <c r="EBJ36" s="57"/>
      <c r="EBK36" s="57"/>
      <c r="EBL36" s="57"/>
      <c r="EBM36" s="57"/>
      <c r="EBN36" s="57"/>
      <c r="EBO36" s="57"/>
      <c r="EBP36" s="57"/>
      <c r="EBQ36" s="57"/>
      <c r="EBR36" s="57"/>
      <c r="EBS36" s="57"/>
      <c r="EBT36" s="57"/>
      <c r="EBU36" s="57"/>
      <c r="EBV36" s="57"/>
      <c r="EBW36" s="57"/>
      <c r="EBX36" s="57"/>
      <c r="EBY36" s="57"/>
      <c r="EBZ36" s="57"/>
      <c r="ECA36" s="57"/>
      <c r="ECB36" s="57"/>
      <c r="ECC36" s="57"/>
      <c r="ECD36" s="57"/>
      <c r="ECE36" s="57"/>
      <c r="ECF36" s="57"/>
      <c r="ECG36" s="57"/>
      <c r="ECH36" s="57"/>
      <c r="ECI36" s="57"/>
      <c r="ECJ36" s="57"/>
      <c r="ECK36" s="57"/>
      <c r="ECL36" s="57"/>
      <c r="ECM36" s="57"/>
      <c r="ECN36" s="57"/>
      <c r="ECO36" s="57"/>
      <c r="ECP36" s="57"/>
      <c r="ECQ36" s="57"/>
      <c r="ECR36" s="57"/>
      <c r="ECS36" s="57"/>
      <c r="ECT36" s="58"/>
      <c r="ECU36" s="56"/>
      <c r="ECV36" s="57"/>
      <c r="ECW36" s="57"/>
      <c r="ECX36" s="57"/>
      <c r="ECY36" s="57"/>
      <c r="ECZ36" s="57"/>
      <c r="EDA36" s="56"/>
      <c r="EDB36" s="57"/>
      <c r="EDC36" s="57"/>
      <c r="EDD36" s="56"/>
      <c r="EDE36" s="57"/>
      <c r="EDF36" s="58"/>
      <c r="EDG36" s="56"/>
      <c r="EDH36" s="57"/>
      <c r="EDI36" s="57"/>
      <c r="EDJ36" s="57"/>
      <c r="EDK36" s="56"/>
      <c r="EDL36" s="57"/>
      <c r="EDM36" s="57"/>
      <c r="EDN36" s="56"/>
      <c r="EDO36" s="57"/>
      <c r="EDP36" s="58"/>
      <c r="EDQ36" s="56"/>
      <c r="EDR36" s="57"/>
      <c r="EDS36" s="57"/>
      <c r="EDT36" s="57"/>
      <c r="EDU36" s="56"/>
      <c r="EDV36" s="57"/>
      <c r="EDW36" s="57"/>
      <c r="EDX36" s="56"/>
      <c r="EDY36" s="57"/>
      <c r="EDZ36" s="58"/>
      <c r="EEA36" s="56"/>
      <c r="EEB36" s="57"/>
      <c r="EEC36" s="57"/>
      <c r="EED36" s="57"/>
      <c r="EEE36" s="56"/>
      <c r="EEF36" s="57"/>
      <c r="EEG36" s="57"/>
      <c r="EEH36" s="56"/>
      <c r="EEI36" s="57"/>
      <c r="EEJ36" s="58"/>
      <c r="EEK36" s="56"/>
      <c r="EEL36" s="58"/>
      <c r="EEM36" s="57"/>
      <c r="EEN36" s="56"/>
      <c r="EEO36" s="57"/>
      <c r="EEP36" s="56"/>
      <c r="EEQ36" s="56"/>
      <c r="EER36" s="56"/>
      <c r="EES36" s="57"/>
      <c r="EET36" s="57"/>
      <c r="EEU36" s="57"/>
      <c r="EEV36" s="57"/>
      <c r="EEW36" s="57"/>
      <c r="EEX36" s="57"/>
      <c r="EEY36" s="57"/>
      <c r="EEZ36" s="57"/>
      <c r="EFA36" s="57"/>
      <c r="EFB36" s="57"/>
      <c r="EFC36" s="57"/>
      <c r="EFD36" s="57"/>
      <c r="EFE36" s="57"/>
      <c r="EFF36" s="57"/>
      <c r="EFG36" s="57"/>
      <c r="EFH36" s="57"/>
      <c r="EFI36" s="57"/>
      <c r="EFJ36" s="57"/>
      <c r="EFK36" s="57"/>
      <c r="EFL36" s="57"/>
      <c r="EFM36" s="57"/>
      <c r="EFN36" s="57"/>
      <c r="EFO36" s="57"/>
      <c r="EFP36" s="57"/>
      <c r="EFQ36" s="57"/>
      <c r="EFR36" s="57"/>
      <c r="EFS36" s="57"/>
      <c r="EFT36" s="57"/>
      <c r="EFU36" s="57"/>
      <c r="EFV36" s="57"/>
      <c r="EFW36" s="57"/>
      <c r="EFX36" s="57"/>
      <c r="EFY36" s="57"/>
      <c r="EFZ36" s="57"/>
      <c r="EGA36" s="57"/>
      <c r="EGB36" s="57"/>
      <c r="EGC36" s="57"/>
      <c r="EGD36" s="58"/>
      <c r="EGE36" s="56"/>
      <c r="EGF36" s="57"/>
      <c r="EGG36" s="57"/>
      <c r="EGH36" s="57"/>
      <c r="EGI36" s="57"/>
      <c r="EGJ36" s="57"/>
      <c r="EGK36" s="56"/>
      <c r="EGL36" s="57"/>
      <c r="EGM36" s="57"/>
      <c r="EGN36" s="56"/>
      <c r="EGO36" s="57"/>
      <c r="EGP36" s="58"/>
      <c r="EGQ36" s="56"/>
      <c r="EGR36" s="57"/>
      <c r="EGS36" s="57"/>
      <c r="EGT36" s="57"/>
      <c r="EGU36" s="56"/>
      <c r="EGV36" s="57"/>
      <c r="EGW36" s="57"/>
      <c r="EGX36" s="56"/>
      <c r="EGY36" s="57"/>
      <c r="EGZ36" s="58"/>
      <c r="EHA36" s="56"/>
      <c r="EHB36" s="57"/>
      <c r="EHC36" s="57"/>
      <c r="EHD36" s="57"/>
      <c r="EHE36" s="56"/>
      <c r="EHF36" s="57"/>
      <c r="EHG36" s="57"/>
      <c r="EHH36" s="56"/>
      <c r="EHI36" s="57"/>
      <c r="EHJ36" s="58"/>
      <c r="EHK36" s="56"/>
      <c r="EHL36" s="57"/>
      <c r="EHM36" s="57"/>
      <c r="EHN36" s="57"/>
      <c r="EHO36" s="56"/>
      <c r="EHP36" s="57"/>
      <c r="EHQ36" s="57"/>
      <c r="EHR36" s="56"/>
      <c r="EHS36" s="57"/>
      <c r="EHT36" s="58"/>
      <c r="EHU36" s="56"/>
      <c r="EHV36" s="58"/>
      <c r="EHW36" s="57"/>
      <c r="EHX36" s="56"/>
      <c r="EHY36" s="57"/>
      <c r="EHZ36" s="56"/>
      <c r="EIA36" s="56"/>
      <c r="EIB36" s="56"/>
      <c r="EIC36" s="57"/>
      <c r="EID36" s="57"/>
      <c r="EIE36" s="57"/>
      <c r="EIF36" s="57"/>
      <c r="EIG36" s="57"/>
      <c r="EIH36" s="57"/>
      <c r="EII36" s="57"/>
      <c r="EIJ36" s="57"/>
      <c r="EIK36" s="57"/>
      <c r="EIL36" s="57"/>
      <c r="EIM36" s="57"/>
      <c r="EIN36" s="57"/>
      <c r="EIO36" s="57"/>
      <c r="EIP36" s="57"/>
      <c r="EIQ36" s="57"/>
      <c r="EIR36" s="57"/>
      <c r="EIS36" s="57"/>
      <c r="EIT36" s="57"/>
      <c r="EIU36" s="57"/>
      <c r="EIV36" s="57"/>
      <c r="EIW36" s="57"/>
      <c r="EIX36" s="57"/>
      <c r="EIY36" s="57"/>
      <c r="EIZ36" s="57"/>
      <c r="EJA36" s="57"/>
      <c r="EJB36" s="57"/>
      <c r="EJC36" s="57"/>
      <c r="EJD36" s="57"/>
      <c r="EJE36" s="57"/>
      <c r="EJF36" s="57"/>
      <c r="EJG36" s="57"/>
      <c r="EJH36" s="57"/>
      <c r="EJI36" s="57"/>
      <c r="EJJ36" s="57"/>
      <c r="EJK36" s="57"/>
      <c r="EJL36" s="57"/>
      <c r="EJM36" s="57"/>
      <c r="EJN36" s="58"/>
      <c r="EJO36" s="56"/>
      <c r="EJP36" s="57"/>
      <c r="EJQ36" s="57"/>
      <c r="EJR36" s="57"/>
      <c r="EJS36" s="57"/>
      <c r="EJT36" s="57"/>
      <c r="EJU36" s="56"/>
      <c r="EJV36" s="57"/>
      <c r="EJW36" s="57"/>
      <c r="EJX36" s="56"/>
      <c r="EJY36" s="57"/>
      <c r="EJZ36" s="58"/>
      <c r="EKA36" s="56"/>
      <c r="EKB36" s="57"/>
      <c r="EKC36" s="57"/>
      <c r="EKD36" s="57"/>
      <c r="EKE36" s="56"/>
      <c r="EKF36" s="57"/>
      <c r="EKG36" s="57"/>
      <c r="EKH36" s="56"/>
      <c r="EKI36" s="57"/>
      <c r="EKJ36" s="58"/>
      <c r="EKK36" s="56"/>
      <c r="EKL36" s="57"/>
      <c r="EKM36" s="57"/>
      <c r="EKN36" s="57"/>
      <c r="EKO36" s="56"/>
      <c r="EKP36" s="57"/>
      <c r="EKQ36" s="57"/>
      <c r="EKR36" s="56"/>
      <c r="EKS36" s="57"/>
      <c r="EKT36" s="58"/>
      <c r="EKU36" s="56"/>
      <c r="EKV36" s="57"/>
      <c r="EKW36" s="57"/>
      <c r="EKX36" s="57"/>
      <c r="EKY36" s="56"/>
      <c r="EKZ36" s="57"/>
      <c r="ELA36" s="57"/>
      <c r="ELB36" s="56"/>
      <c r="ELC36" s="57"/>
      <c r="ELD36" s="58"/>
      <c r="ELE36" s="56"/>
      <c r="ELF36" s="58"/>
      <c r="ELG36" s="57"/>
      <c r="ELH36" s="56"/>
      <c r="ELI36" s="57"/>
      <c r="ELJ36" s="56"/>
      <c r="ELK36" s="56"/>
      <c r="ELL36" s="56"/>
      <c r="ELM36" s="57"/>
      <c r="ELN36" s="57"/>
      <c r="ELO36" s="57"/>
      <c r="ELP36" s="57"/>
      <c r="ELQ36" s="57"/>
      <c r="ELR36" s="57"/>
      <c r="ELS36" s="57"/>
      <c r="ELT36" s="57"/>
      <c r="ELU36" s="57"/>
      <c r="ELV36" s="57"/>
      <c r="ELW36" s="57"/>
      <c r="ELX36" s="57"/>
      <c r="ELY36" s="57"/>
      <c r="ELZ36" s="57"/>
      <c r="EMA36" s="57"/>
      <c r="EMB36" s="57"/>
      <c r="EMC36" s="57"/>
      <c r="EMD36" s="57"/>
      <c r="EME36" s="57"/>
      <c r="EMF36" s="57"/>
      <c r="EMG36" s="57"/>
      <c r="EMH36" s="57"/>
      <c r="EMI36" s="57"/>
      <c r="EMJ36" s="57"/>
      <c r="EMK36" s="57"/>
      <c r="EML36" s="57"/>
      <c r="EMM36" s="57"/>
      <c r="EMN36" s="57"/>
      <c r="EMO36" s="57"/>
      <c r="EMP36" s="57"/>
      <c r="EMQ36" s="57"/>
      <c r="EMR36" s="57"/>
      <c r="EMS36" s="57"/>
      <c r="EMT36" s="57"/>
      <c r="EMU36" s="57"/>
      <c r="EMV36" s="57"/>
      <c r="EMW36" s="57"/>
      <c r="EMX36" s="58"/>
      <c r="EMY36" s="56"/>
      <c r="EMZ36" s="57"/>
      <c r="ENA36" s="57"/>
      <c r="ENB36" s="57"/>
      <c r="ENC36" s="57"/>
      <c r="END36" s="57"/>
      <c r="ENE36" s="56"/>
      <c r="ENF36" s="57"/>
      <c r="ENG36" s="57"/>
      <c r="ENH36" s="56"/>
      <c r="ENI36" s="57"/>
      <c r="ENJ36" s="58"/>
      <c r="ENK36" s="56"/>
      <c r="ENL36" s="57"/>
      <c r="ENM36" s="57"/>
      <c r="ENN36" s="57"/>
      <c r="ENO36" s="56"/>
      <c r="ENP36" s="57"/>
      <c r="ENQ36" s="57"/>
      <c r="ENR36" s="56"/>
      <c r="ENS36" s="57"/>
      <c r="ENT36" s="58"/>
      <c r="ENU36" s="56"/>
      <c r="ENV36" s="57"/>
      <c r="ENW36" s="57"/>
      <c r="ENX36" s="57"/>
      <c r="ENY36" s="56"/>
      <c r="ENZ36" s="57"/>
      <c r="EOA36" s="57"/>
      <c r="EOB36" s="56"/>
      <c r="EOC36" s="57"/>
      <c r="EOD36" s="58"/>
      <c r="EOE36" s="56"/>
      <c r="EOF36" s="57"/>
      <c r="EOG36" s="57"/>
      <c r="EOH36" s="57"/>
      <c r="EOI36" s="56"/>
      <c r="EOJ36" s="57"/>
      <c r="EOK36" s="57"/>
      <c r="EOL36" s="56"/>
      <c r="EOM36" s="57"/>
      <c r="EON36" s="58"/>
      <c r="EOO36" s="56" t="str">
        <f t="shared" si="149"/>
        <v xml:space="preserve"> </v>
      </c>
      <c r="EOP36" s="58"/>
      <c r="EOQ36" s="57"/>
      <c r="EOR36" s="56"/>
      <c r="EOS36" s="57"/>
      <c r="EOT36" s="56"/>
      <c r="EOU36" s="56"/>
      <c r="EOV36" s="56"/>
      <c r="EOW36" s="57"/>
      <c r="EOX36" s="57"/>
      <c r="EOY36" s="57"/>
      <c r="EOZ36" s="57"/>
      <c r="EPA36" s="57"/>
      <c r="EPB36" s="57"/>
      <c r="EPC36" s="57"/>
      <c r="EPD36" s="57"/>
      <c r="EPE36" s="57"/>
      <c r="EPF36" s="57"/>
      <c r="EPG36" s="57"/>
      <c r="EPH36" s="57"/>
      <c r="EPI36" s="57"/>
      <c r="EPJ36" s="57"/>
      <c r="EPK36" s="57"/>
      <c r="EPL36" s="57"/>
      <c r="EPM36" s="57"/>
      <c r="EPN36" s="57"/>
      <c r="EPO36" s="57"/>
      <c r="EPP36" s="57"/>
      <c r="EPQ36" s="57"/>
      <c r="EPR36" s="57"/>
      <c r="EPS36" s="57"/>
      <c r="EPT36" s="57"/>
      <c r="EPU36" s="57"/>
      <c r="EPV36" s="57"/>
      <c r="EPW36" s="57"/>
      <c r="EPX36" s="57"/>
      <c r="EPY36" s="57"/>
      <c r="EPZ36" s="57"/>
      <c r="EQA36" s="57"/>
      <c r="EQB36" s="57"/>
      <c r="EQC36" s="57"/>
      <c r="EQD36" s="57"/>
      <c r="EQE36" s="57"/>
      <c r="EQF36" s="57"/>
      <c r="EQG36" s="57"/>
      <c r="EQH36" s="58"/>
      <c r="EQI36" s="56"/>
      <c r="EQJ36" s="57"/>
      <c r="EQK36" s="57"/>
      <c r="EQL36" s="57"/>
      <c r="EQM36" s="57"/>
      <c r="EQN36" s="57"/>
      <c r="EQO36" s="56"/>
      <c r="EQP36" s="57"/>
      <c r="EQQ36" s="57"/>
      <c r="EQR36" s="56"/>
      <c r="EQS36" s="57"/>
      <c r="EQT36" s="58"/>
      <c r="EQU36" s="56"/>
      <c r="EQV36" s="57"/>
      <c r="EQW36" s="57"/>
      <c r="EQX36" s="57"/>
      <c r="EQY36" s="56"/>
      <c r="EQZ36" s="57"/>
      <c r="ERA36" s="57"/>
      <c r="ERB36" s="56"/>
      <c r="ERC36" s="57"/>
      <c r="ERD36" s="58"/>
      <c r="ERE36" s="56"/>
      <c r="ERF36" s="57"/>
      <c r="ERG36" s="57"/>
      <c r="ERH36" s="57"/>
      <c r="ERI36" s="56"/>
      <c r="ERJ36" s="57"/>
      <c r="ERK36" s="57"/>
      <c r="ERL36" s="56"/>
      <c r="ERM36" s="57"/>
      <c r="ERN36" s="58"/>
      <c r="ERO36" s="56"/>
      <c r="ERP36" s="57"/>
      <c r="ERQ36" s="57"/>
      <c r="ERR36" s="57"/>
      <c r="ERS36" s="56"/>
      <c r="ERT36" s="57"/>
      <c r="ERU36" s="57"/>
      <c r="ERV36" s="56"/>
      <c r="ERW36" s="57"/>
      <c r="ERX36" s="58"/>
      <c r="ERY36" s="56" t="str">
        <f t="shared" si="152"/>
        <v xml:space="preserve"> </v>
      </c>
      <c r="ERZ36" s="58"/>
      <c r="ESA36" s="57"/>
      <c r="ESB36" s="56"/>
      <c r="ESC36" s="57"/>
      <c r="ESD36" s="56"/>
      <c r="ESE36" s="56"/>
      <c r="ESF36" s="56"/>
      <c r="ESG36" s="57"/>
      <c r="ESH36" s="57"/>
      <c r="ESI36" s="57"/>
      <c r="ESJ36" s="57"/>
      <c r="ESK36" s="57"/>
      <c r="ESL36" s="57"/>
      <c r="ESM36" s="57"/>
      <c r="ESN36" s="57"/>
      <c r="ESO36" s="57"/>
      <c r="ESP36" s="57"/>
      <c r="ESQ36" s="57"/>
      <c r="ESR36" s="57"/>
      <c r="ESS36" s="57"/>
      <c r="EST36" s="57"/>
      <c r="ESU36" s="57"/>
      <c r="ESV36" s="57"/>
      <c r="ESW36" s="57"/>
      <c r="ESX36" s="57"/>
      <c r="ESY36" s="57"/>
      <c r="ESZ36" s="57"/>
      <c r="ETA36" s="57"/>
      <c r="ETB36" s="57"/>
      <c r="ETC36" s="57"/>
      <c r="ETD36" s="57"/>
      <c r="ETE36" s="57"/>
      <c r="ETF36" s="57"/>
      <c r="ETG36" s="57"/>
      <c r="ETH36" s="57"/>
      <c r="ETI36" s="57"/>
      <c r="ETJ36" s="57"/>
      <c r="ETK36" s="57"/>
      <c r="ETL36" s="57"/>
      <c r="ETM36" s="57"/>
      <c r="ETN36" s="57"/>
      <c r="ETO36" s="57"/>
      <c r="ETP36" s="57"/>
      <c r="ETQ36" s="57"/>
      <c r="ETR36" s="58"/>
      <c r="ETS36" s="56"/>
      <c r="ETT36" s="57"/>
      <c r="ETU36" s="57"/>
      <c r="ETV36" s="57"/>
      <c r="ETW36" s="57"/>
      <c r="ETX36" s="57"/>
      <c r="ETY36" s="56"/>
      <c r="ETZ36" s="57"/>
      <c r="EUA36" s="57"/>
      <c r="EUB36" s="56"/>
      <c r="EUC36" s="57"/>
      <c r="EUD36" s="58"/>
      <c r="EUE36" s="56"/>
      <c r="EUF36" s="57"/>
      <c r="EUG36" s="57"/>
      <c r="EUH36" s="57"/>
      <c r="EUI36" s="56"/>
      <c r="EUJ36" s="57"/>
      <c r="EUK36" s="57"/>
      <c r="EUL36" s="56"/>
      <c r="EUM36" s="57"/>
      <c r="EUN36" s="58"/>
      <c r="EUO36" s="56"/>
      <c r="EUP36" s="57"/>
      <c r="EUQ36" s="57"/>
      <c r="EUR36" s="57"/>
      <c r="EUS36" s="56"/>
      <c r="EUT36" s="57"/>
      <c r="EUU36" s="57"/>
      <c r="EUV36" s="56"/>
      <c r="EUW36" s="57"/>
      <c r="EUX36" s="58"/>
      <c r="EUY36" s="56"/>
      <c r="EUZ36" s="57"/>
      <c r="EVA36" s="57"/>
      <c r="EVB36" s="57"/>
      <c r="EVC36" s="56"/>
      <c r="EVD36" s="57"/>
      <c r="EVE36" s="57"/>
      <c r="EVF36" s="56"/>
      <c r="EVG36" s="57"/>
      <c r="EVH36" s="58"/>
      <c r="EVI36" s="56" t="str">
        <f t="shared" si="153"/>
        <v xml:space="preserve"> </v>
      </c>
    </row>
    <row r="37" spans="1:3961" x14ac:dyDescent="0.3">
      <c r="A37" s="423" t="s">
        <v>216</v>
      </c>
      <c r="B37" s="30" t="str">
        <f>'REG y VAL POE - AESR - ESR'!B2847</f>
        <v xml:space="preserve">Aguirre Hernandez Jose Omar </v>
      </c>
      <c r="C37" s="29" t="str">
        <f>'REG y VAL POE - AESR - ESR'!C2847</f>
        <v>Sin Registro</v>
      </c>
      <c r="D37" s="28">
        <f>'REG y VAL POE - AESR - ESR'!D2847</f>
        <v>23008032</v>
      </c>
      <c r="E37" s="29">
        <f>'REG y VAL POE - AESR - ESR'!E2847</f>
        <v>0</v>
      </c>
      <c r="F37" s="28">
        <f>'REG y VAL POE - AESR - ESR'!F2847</f>
        <v>0</v>
      </c>
      <c r="G37" s="31">
        <f>'REG y VAL POE - AESR - ESR'!G2847</f>
        <v>0</v>
      </c>
      <c r="H37" s="31">
        <f>'REG y VAL POE - AESR - ESR'!H2847</f>
        <v>0</v>
      </c>
      <c r="I37" s="29">
        <f>'REG y VAL POE - AESR - ESR'!I2847</f>
        <v>0</v>
      </c>
      <c r="J37" s="29">
        <f>'REG y VAL POE - AESR - ESR'!J2847</f>
        <v>0</v>
      </c>
      <c r="K37" s="29">
        <f>'REG y VAL POE - AESR - ESR'!K2847</f>
        <v>0</v>
      </c>
      <c r="L37" s="29">
        <f>'REG y VAL POE - AESR - ESR'!L2847</f>
        <v>0</v>
      </c>
      <c r="M37" s="29">
        <f>'REG y VAL POE - AESR - ESR'!M2847</f>
        <v>0</v>
      </c>
      <c r="N37" s="29">
        <f>'REG y VAL POE - AESR - ESR'!N2847</f>
        <v>0</v>
      </c>
      <c r="O37" s="29">
        <f>'REG y VAL POE - AESR - ESR'!O2847</f>
        <v>0</v>
      </c>
      <c r="P37" s="29">
        <f>'REG y VAL POE - AESR - ESR'!P2847</f>
        <v>0</v>
      </c>
      <c r="Q37" s="29">
        <f>'REG y VAL POE - AESR - ESR'!Q2847</f>
        <v>0</v>
      </c>
      <c r="R37" s="29">
        <f>'REG y VAL POE - AESR - ESR'!R2847</f>
        <v>0</v>
      </c>
      <c r="S37" s="29">
        <f>'REG y VAL POE - AESR - ESR'!S2847</f>
        <v>0</v>
      </c>
      <c r="T37" s="29">
        <f>'REG y VAL POE - AESR - ESR'!T2847</f>
        <v>0</v>
      </c>
      <c r="U37" s="29">
        <f>'REG y VAL POE - AESR - ESR'!U2847</f>
        <v>0</v>
      </c>
      <c r="V37" s="29">
        <f>'REG y VAL POE - AESR - ESR'!V2847</f>
        <v>0</v>
      </c>
      <c r="W37" s="29">
        <f>'REG y VAL POE - AESR - ESR'!W2847</f>
        <v>0</v>
      </c>
      <c r="X37" s="29">
        <f>'REG y VAL POE - AESR - ESR'!X2847</f>
        <v>0</v>
      </c>
      <c r="Y37" s="29">
        <f>'REG y VAL POE - AESR - ESR'!Y2847</f>
        <v>0</v>
      </c>
      <c r="Z37" s="29">
        <f>'REG y VAL POE - AESR - ESR'!Z2847</f>
        <v>0</v>
      </c>
      <c r="AA37" s="29">
        <f>'REG y VAL POE - AESR - ESR'!AA2847</f>
        <v>0</v>
      </c>
      <c r="AB37" s="29">
        <f>'REG y VAL POE - AESR - ESR'!AB2847</f>
        <v>0</v>
      </c>
      <c r="AC37" s="29">
        <f>'REG y VAL POE - AESR - ESR'!AC2847</f>
        <v>0</v>
      </c>
      <c r="AD37" s="29">
        <f>'REG y VAL POE - AESR - ESR'!AD2847</f>
        <v>0</v>
      </c>
      <c r="AE37" s="29">
        <f>'REG y VAL POE - AESR - ESR'!AE2847</f>
        <v>0</v>
      </c>
      <c r="AF37" s="29">
        <f>'REG y VAL POE - AESR - ESR'!AF2847</f>
        <v>0</v>
      </c>
      <c r="AG37" s="29">
        <f>'REG y VAL POE - AESR - ESR'!AG2847</f>
        <v>0</v>
      </c>
      <c r="AH37" s="29">
        <f>'REG y VAL POE - AESR - ESR'!AH2847</f>
        <v>0</v>
      </c>
      <c r="AI37" s="29">
        <f>'REG y VAL POE - AESR - ESR'!AI2847</f>
        <v>0</v>
      </c>
      <c r="AJ37" s="29">
        <f>'REG y VAL POE - AESR - ESR'!AJ2847</f>
        <v>0</v>
      </c>
      <c r="AK37" s="29">
        <f>'REG y VAL POE - AESR - ESR'!AK2847</f>
        <v>0</v>
      </c>
      <c r="AL37" s="29">
        <f>'REG y VAL POE - AESR - ESR'!AL2847</f>
        <v>0</v>
      </c>
      <c r="AM37" s="29">
        <f>'REG y VAL POE - AESR - ESR'!AM2847</f>
        <v>0</v>
      </c>
      <c r="AN37" s="29">
        <f>'REG y VAL POE - AESR - ESR'!AN2847</f>
        <v>0</v>
      </c>
      <c r="AO37" s="29">
        <f>'REG y VAL POE - AESR - ESR'!AO2847</f>
        <v>0</v>
      </c>
      <c r="AP37" s="29">
        <f>'REG y VAL POE - AESR - ESR'!AP2847</f>
        <v>0</v>
      </c>
      <c r="AQ37" s="29">
        <f>'REG y VAL POE - AESR - ESR'!AQ2847</f>
        <v>0</v>
      </c>
      <c r="AR37" s="29">
        <f>'REG y VAL POE - AESR - ESR'!AR2847</f>
        <v>0</v>
      </c>
      <c r="AS37" s="29">
        <f>'REG y VAL POE - AESR - ESR'!AS2847</f>
        <v>0</v>
      </c>
      <c r="AT37" s="30" t="str">
        <f>'REG y VAL POE - AESR - ESR'!B2848</f>
        <v xml:space="preserve">Avalos Cervantes Martin </v>
      </c>
      <c r="AU37" s="28" t="str">
        <f>'REG y VAL POE - AESR - ESR'!C2848</f>
        <v>Sin Registro</v>
      </c>
      <c r="AV37" s="29">
        <f>'REG y VAL POE - AESR - ESR'!D2848</f>
        <v>23126524</v>
      </c>
      <c r="AW37" s="30">
        <f>'REG y VAL POE - AESR - ESR'!E2848</f>
        <v>0</v>
      </c>
      <c r="AX37" s="29">
        <f>'REG y VAL POE - AESR - ESR'!F2848</f>
        <v>0</v>
      </c>
      <c r="AY37" s="29">
        <f>'REG y VAL POE - AESR - ESR'!G2848</f>
        <v>0</v>
      </c>
      <c r="AZ37" s="29">
        <f>'REG y VAL POE - AESR - ESR'!H2848</f>
        <v>0</v>
      </c>
      <c r="BA37" s="28">
        <f>'REG y VAL POE - AESR - ESR'!I2848</f>
        <v>0</v>
      </c>
      <c r="BB37" s="29">
        <f>'REG y VAL POE - AESR - ESR'!J2848</f>
        <v>0</v>
      </c>
      <c r="BC37" s="29">
        <f>'REG y VAL POE - AESR - ESR'!K2848</f>
        <v>0</v>
      </c>
      <c r="BD37" s="28">
        <f>'REG y VAL POE - AESR - ESR'!L2848</f>
        <v>0</v>
      </c>
      <c r="BE37" s="29">
        <f>'REG y VAL POE - AESR - ESR'!M2848</f>
        <v>0</v>
      </c>
      <c r="BF37" s="30">
        <f>'REG y VAL POE - AESR - ESR'!N2848</f>
        <v>0</v>
      </c>
      <c r="BG37" s="28">
        <f>'REG y VAL POE - AESR - ESR'!O2848</f>
        <v>0</v>
      </c>
      <c r="BH37" s="29">
        <f>'REG y VAL POE - AESR - ESR'!P2848</f>
        <v>0</v>
      </c>
      <c r="BI37" s="30">
        <f>'REG y VAL POE - AESR - ESR'!Q2848</f>
        <v>0</v>
      </c>
      <c r="BJ37" s="29">
        <f>'REG y VAL POE - AESR - ESR'!R2848</f>
        <v>0</v>
      </c>
      <c r="BK37" s="28">
        <f>'REG y VAL POE - AESR - ESR'!S2848</f>
        <v>0</v>
      </c>
      <c r="BL37" s="29">
        <f>'REG y VAL POE - AESR - ESR'!T2848</f>
        <v>0</v>
      </c>
      <c r="BM37" s="29">
        <f>'REG y VAL POE - AESR - ESR'!U2848</f>
        <v>0</v>
      </c>
      <c r="BN37" s="28">
        <f>'REG y VAL POE - AESR - ESR'!V2848</f>
        <v>0</v>
      </c>
      <c r="BO37" s="29">
        <f>'REG y VAL POE - AESR - ESR'!W2848</f>
        <v>0</v>
      </c>
      <c r="BP37" s="30">
        <f>'REG y VAL POE - AESR - ESR'!X2848</f>
        <v>0</v>
      </c>
      <c r="BQ37" s="28">
        <f>'REG y VAL POE - AESR - ESR'!Y2848</f>
        <v>0</v>
      </c>
      <c r="BR37" s="29">
        <f>'REG y VAL POE - AESR - ESR'!Z2848</f>
        <v>0</v>
      </c>
      <c r="BS37" s="30">
        <f>'REG y VAL POE - AESR - ESR'!AA2848</f>
        <v>0</v>
      </c>
      <c r="BT37" s="29">
        <f>'REG y VAL POE - AESR - ESR'!AB2848</f>
        <v>0</v>
      </c>
      <c r="BU37" s="28">
        <f>'REG y VAL POE - AESR - ESR'!AC2848</f>
        <v>0</v>
      </c>
      <c r="BV37" s="29">
        <f>'REG y VAL POE - AESR - ESR'!AD2848</f>
        <v>0</v>
      </c>
      <c r="BW37" s="29">
        <f>'REG y VAL POE - AESR - ESR'!AE2848</f>
        <v>0</v>
      </c>
      <c r="BX37" s="28">
        <f>'REG y VAL POE - AESR - ESR'!AF2848</f>
        <v>0</v>
      </c>
      <c r="BY37" s="29">
        <f>'REG y VAL POE - AESR - ESR'!AG2848</f>
        <v>0</v>
      </c>
      <c r="BZ37" s="30">
        <f>'REG y VAL POE - AESR - ESR'!AH2848</f>
        <v>0</v>
      </c>
      <c r="CA37" s="28">
        <f>'REG y VAL POE - AESR - ESR'!AI2848</f>
        <v>0</v>
      </c>
      <c r="CB37" s="29">
        <f>'REG y VAL POE - AESR - ESR'!AJ2848</f>
        <v>0</v>
      </c>
      <c r="CC37" s="30">
        <f>'REG y VAL POE - AESR - ESR'!AK2848</f>
        <v>0</v>
      </c>
      <c r="CD37" s="29">
        <f>'REG y VAL POE - AESR - ESR'!AL2848</f>
        <v>0</v>
      </c>
      <c r="CE37" s="28">
        <f>'REG y VAL POE - AESR - ESR'!AM2848</f>
        <v>0</v>
      </c>
      <c r="CF37" s="29">
        <f>'REG y VAL POE - AESR - ESR'!AN2848</f>
        <v>0</v>
      </c>
      <c r="CG37" s="29">
        <f>'REG y VAL POE - AESR - ESR'!AO2848</f>
        <v>0</v>
      </c>
      <c r="CH37" s="28">
        <f>'REG y VAL POE - AESR - ESR'!AP2848</f>
        <v>0</v>
      </c>
      <c r="CI37" s="29">
        <f>'REG y VAL POE - AESR - ESR'!AQ2848</f>
        <v>0</v>
      </c>
      <c r="CJ37" s="30">
        <f>'REG y VAL POE - AESR - ESR'!AR2848</f>
        <v>0</v>
      </c>
      <c r="CK37" s="28">
        <f>'REG y VAL POE - AESR - ESR'!AS2848</f>
        <v>0</v>
      </c>
      <c r="CL37" s="29" t="str">
        <f>'REG y VAL POE - AESR - ESR'!B2849</f>
        <v xml:space="preserve">Delgadillo Diosdado Maria Guadalupe </v>
      </c>
      <c r="CM37" s="30" t="str">
        <f>'REG y VAL POE - AESR - ESR'!C2849</f>
        <v>Sin Registro</v>
      </c>
      <c r="CN37" s="29">
        <f>'REG y VAL POE - AESR - ESR'!D2849</f>
        <v>23005767</v>
      </c>
      <c r="CO37" s="28">
        <f>'REG y VAL POE - AESR - ESR'!E2849</f>
        <v>0</v>
      </c>
      <c r="CP37" s="29">
        <f>'REG y VAL POE - AESR - ESR'!F2849</f>
        <v>0</v>
      </c>
      <c r="CQ37" s="29">
        <f>'REG y VAL POE - AESR - ESR'!G2849</f>
        <v>0</v>
      </c>
      <c r="CR37" s="28">
        <f>'REG y VAL POE - AESR - ESR'!H2849</f>
        <v>0</v>
      </c>
      <c r="CS37" s="29">
        <f>'REG y VAL POE - AESR - ESR'!I2849</f>
        <v>0</v>
      </c>
      <c r="CT37" s="30">
        <f>'REG y VAL POE - AESR - ESR'!J2849</f>
        <v>0</v>
      </c>
      <c r="CU37" s="28">
        <f>'REG y VAL POE - AESR - ESR'!K2849</f>
        <v>0</v>
      </c>
      <c r="CV37" s="29">
        <f>'REG y VAL POE - AESR - ESR'!L2849</f>
        <v>0</v>
      </c>
      <c r="CW37" s="30">
        <f>'REG y VAL POE - AESR - ESR'!M2849</f>
        <v>0</v>
      </c>
      <c r="CX37" s="29">
        <f>'REG y VAL POE - AESR - ESR'!N2849</f>
        <v>0</v>
      </c>
      <c r="CY37" s="28">
        <f>'REG y VAL POE - AESR - ESR'!O2849</f>
        <v>0</v>
      </c>
      <c r="CZ37" s="29">
        <f>'REG y VAL POE - AESR - ESR'!P2849</f>
        <v>0</v>
      </c>
      <c r="DA37" s="29">
        <f>'REG y VAL POE - AESR - ESR'!Q2849</f>
        <v>0</v>
      </c>
      <c r="DB37" s="28">
        <f>'REG y VAL POE - AESR - ESR'!R2849</f>
        <v>0</v>
      </c>
      <c r="DC37" s="29">
        <f>'REG y VAL POE - AESR - ESR'!S2849</f>
        <v>0</v>
      </c>
      <c r="DD37" s="30">
        <f>'REG y VAL POE - AESR - ESR'!T2849</f>
        <v>0</v>
      </c>
      <c r="DE37" s="28">
        <f>'REG y VAL POE - AESR - ESR'!U2849</f>
        <v>0</v>
      </c>
      <c r="DF37" s="29">
        <f>'REG y VAL POE - AESR - ESR'!V2849</f>
        <v>0</v>
      </c>
      <c r="DG37" s="30">
        <f>'REG y VAL POE - AESR - ESR'!W2849</f>
        <v>0</v>
      </c>
      <c r="DH37" s="29">
        <f>'REG y VAL POE - AESR - ESR'!X2849</f>
        <v>0</v>
      </c>
      <c r="DI37" s="28">
        <f>'REG y VAL POE - AESR - ESR'!Y2849</f>
        <v>0</v>
      </c>
      <c r="DJ37" s="29">
        <f>'REG y VAL POE - AESR - ESR'!Z2849</f>
        <v>0</v>
      </c>
      <c r="DK37" s="29">
        <f>'REG y VAL POE - AESR - ESR'!AA2849</f>
        <v>0</v>
      </c>
      <c r="DL37" s="28">
        <f>'REG y VAL POE - AESR - ESR'!AB2849</f>
        <v>0</v>
      </c>
      <c r="DM37" s="29">
        <f>'REG y VAL POE - AESR - ESR'!AC2849</f>
        <v>0</v>
      </c>
      <c r="DN37" s="30">
        <f>'REG y VAL POE - AESR - ESR'!AD2849</f>
        <v>0</v>
      </c>
      <c r="DO37" s="28">
        <f>'REG y VAL POE - AESR - ESR'!AE2849</f>
        <v>0</v>
      </c>
      <c r="DP37" s="29">
        <f>'REG y VAL POE - AESR - ESR'!AF2849</f>
        <v>0</v>
      </c>
      <c r="DQ37" s="30">
        <f>'REG y VAL POE - AESR - ESR'!AG2849</f>
        <v>0</v>
      </c>
      <c r="DR37" s="29">
        <f>'REG y VAL POE - AESR - ESR'!AH2849</f>
        <v>0</v>
      </c>
      <c r="DS37" s="28">
        <f>'REG y VAL POE - AESR - ESR'!AI2849</f>
        <v>0</v>
      </c>
      <c r="DT37" s="29">
        <f>'REG y VAL POE - AESR - ESR'!AJ2849</f>
        <v>0</v>
      </c>
      <c r="DU37" s="29">
        <f>'REG y VAL POE - AESR - ESR'!AK2849</f>
        <v>0</v>
      </c>
      <c r="DV37" s="28">
        <f>'REG y VAL POE - AESR - ESR'!AL2849</f>
        <v>0</v>
      </c>
      <c r="DW37" s="29">
        <f>'REG y VAL POE - AESR - ESR'!AM2849</f>
        <v>0</v>
      </c>
      <c r="DX37" s="30">
        <f>'REG y VAL POE - AESR - ESR'!AN2849</f>
        <v>0</v>
      </c>
      <c r="DY37" s="28">
        <f>'REG y VAL POE - AESR - ESR'!AO2849</f>
        <v>0</v>
      </c>
      <c r="DZ37" s="29">
        <f>'REG y VAL POE - AESR - ESR'!AP2849</f>
        <v>0</v>
      </c>
      <c r="EA37" s="30">
        <f>'REG y VAL POE - AESR - ESR'!AQ2849</f>
        <v>0</v>
      </c>
      <c r="EB37" s="29">
        <f>'REG y VAL POE - AESR - ESR'!AR2849</f>
        <v>0</v>
      </c>
      <c r="EC37" s="28">
        <f>'REG y VAL POE - AESR - ESR'!AS2849</f>
        <v>0</v>
      </c>
      <c r="ED37" s="29" t="str">
        <f>'REG y VAL POE - AESR - ESR'!B2850</f>
        <v xml:space="preserve">Galeana Lopez Jose Felipe </v>
      </c>
      <c r="EE37" s="28" t="str">
        <f>'REG y VAL POE - AESR - ESR'!C2850</f>
        <v>Sin Registro</v>
      </c>
      <c r="EF37" s="28">
        <f>'REG y VAL POE - AESR - ESR'!D2850</f>
        <v>23008798</v>
      </c>
      <c r="EG37" s="29">
        <f>'REG y VAL POE - AESR - ESR'!E2850</f>
        <v>0</v>
      </c>
      <c r="EH37" s="30">
        <f>'REG y VAL POE - AESR - ESR'!F2850</f>
        <v>0</v>
      </c>
      <c r="EI37" s="28">
        <f>'REG y VAL POE - AESR - ESR'!G2850</f>
        <v>0</v>
      </c>
      <c r="EJ37" s="29">
        <f>'REG y VAL POE - AESR - ESR'!H2850</f>
        <v>0</v>
      </c>
      <c r="EK37" s="30">
        <f>'REG y VAL POE - AESR - ESR'!I2850</f>
        <v>0</v>
      </c>
      <c r="EL37" s="29">
        <f>'REG y VAL POE - AESR - ESR'!J2850</f>
        <v>0</v>
      </c>
      <c r="EM37" s="28">
        <f>'REG y VAL POE - AESR - ESR'!K2850</f>
        <v>0</v>
      </c>
      <c r="EN37" s="29">
        <f>'REG y VAL POE - AESR - ESR'!L2850</f>
        <v>0</v>
      </c>
      <c r="EO37" s="33">
        <f>'REG y VAL POE - AESR - ESR'!M2850</f>
        <v>0</v>
      </c>
      <c r="EP37" s="28">
        <f>'REG y VAL POE - AESR - ESR'!N2850</f>
        <v>0</v>
      </c>
      <c r="EQ37" s="29">
        <f>'REG y VAL POE - AESR - ESR'!O2850</f>
        <v>0</v>
      </c>
      <c r="ER37" s="30">
        <f>'REG y VAL POE - AESR - ESR'!P2850</f>
        <v>0</v>
      </c>
      <c r="ES37" s="28">
        <f>'REG y VAL POE - AESR - ESR'!Q2850</f>
        <v>0</v>
      </c>
      <c r="ET37" s="29">
        <f>'REG y VAL POE - AESR - ESR'!R2850</f>
        <v>0</v>
      </c>
      <c r="EU37" s="29">
        <f>'REG y VAL POE - AESR - ESR'!S2850</f>
        <v>0</v>
      </c>
      <c r="EV37" s="29">
        <f>'REG y VAL POE - AESR - ESR'!T2850</f>
        <v>0</v>
      </c>
      <c r="EW37" s="28">
        <f>'REG y VAL POE - AESR - ESR'!U2850</f>
        <v>0</v>
      </c>
      <c r="EX37" s="29">
        <f>'REG y VAL POE - AESR - ESR'!V2850</f>
        <v>0</v>
      </c>
      <c r="EY37" s="29">
        <f>'REG y VAL POE - AESR - ESR'!W2850</f>
        <v>0</v>
      </c>
      <c r="EZ37" s="28">
        <f>'REG y VAL POE - AESR - ESR'!X2850</f>
        <v>0</v>
      </c>
      <c r="FA37" s="29">
        <f>'REG y VAL POE - AESR - ESR'!Y2850</f>
        <v>0</v>
      </c>
      <c r="FB37" s="30">
        <f>'REG y VAL POE - AESR - ESR'!Z2850</f>
        <v>0</v>
      </c>
      <c r="FC37" s="28">
        <f>'REG y VAL POE - AESR - ESR'!AA2850</f>
        <v>0</v>
      </c>
      <c r="FD37" s="29">
        <f>'REG y VAL POE - AESR - ESR'!AB2850</f>
        <v>0</v>
      </c>
      <c r="FE37" s="29">
        <f>'REG y VAL POE - AESR - ESR'!AC2850</f>
        <v>0</v>
      </c>
      <c r="FF37" s="29">
        <f>'REG y VAL POE - AESR - ESR'!AD2850</f>
        <v>0</v>
      </c>
      <c r="FG37" s="28">
        <f>'REG y VAL POE - AESR - ESR'!AE2850</f>
        <v>0</v>
      </c>
      <c r="FH37" s="29">
        <f>'REG y VAL POE - AESR - ESR'!AF2850</f>
        <v>0</v>
      </c>
      <c r="FI37" s="29">
        <f>'REG y VAL POE - AESR - ESR'!AG2850</f>
        <v>0</v>
      </c>
      <c r="FJ37" s="28">
        <f>'REG y VAL POE - AESR - ESR'!AH2850</f>
        <v>0</v>
      </c>
      <c r="FK37" s="29">
        <f>'REG y VAL POE - AESR - ESR'!AI2850</f>
        <v>0</v>
      </c>
      <c r="FL37" s="30">
        <f>'REG y VAL POE - AESR - ESR'!AJ2850</f>
        <v>0</v>
      </c>
      <c r="FM37" s="28">
        <f>'REG y VAL POE - AESR - ESR'!AK2850</f>
        <v>0</v>
      </c>
      <c r="FN37" s="29">
        <f>'REG y VAL POE - AESR - ESR'!AL2850</f>
        <v>0</v>
      </c>
      <c r="FO37" s="29">
        <f>'REG y VAL POE - AESR - ESR'!AM2850</f>
        <v>0</v>
      </c>
      <c r="FP37" s="29">
        <f>'REG y VAL POE - AESR - ESR'!AN2850</f>
        <v>0</v>
      </c>
      <c r="FQ37" s="28">
        <f>'REG y VAL POE - AESR - ESR'!AO2850</f>
        <v>0</v>
      </c>
      <c r="FR37" s="29">
        <f>'REG y VAL POE - AESR - ESR'!AP2850</f>
        <v>0</v>
      </c>
      <c r="FS37" s="29">
        <f>'REG y VAL POE - AESR - ESR'!AQ2850</f>
        <v>0</v>
      </c>
      <c r="FT37" s="28">
        <f>'REG y VAL POE - AESR - ESR'!AR2850</f>
        <v>0</v>
      </c>
      <c r="FU37" s="29">
        <f>'REG y VAL POE - AESR - ESR'!AS2850</f>
        <v>0</v>
      </c>
      <c r="FV37" s="30" t="str">
        <f>'REG y VAL POE - AESR - ESR'!B2851</f>
        <v xml:space="preserve">Garcia Estudillo Martha </v>
      </c>
      <c r="FW37" s="28" t="str">
        <f>'REG y VAL POE - AESR - ESR'!C2851</f>
        <v>Sin Registro</v>
      </c>
      <c r="FX37" s="29">
        <f>'REG y VAL POE - AESR - ESR'!D2851</f>
        <v>23094748</v>
      </c>
      <c r="FY37" s="29">
        <f>'REG y VAL POE - AESR - ESR'!E2851</f>
        <v>0</v>
      </c>
      <c r="FZ37" s="29">
        <f>'REG y VAL POE - AESR - ESR'!F2851</f>
        <v>0</v>
      </c>
      <c r="GA37" s="28">
        <f>'REG y VAL POE - AESR - ESR'!G2851</f>
        <v>0</v>
      </c>
      <c r="GB37" s="29">
        <f>'REG y VAL POE - AESR - ESR'!H2851</f>
        <v>0</v>
      </c>
      <c r="GC37" s="29">
        <f>'REG y VAL POE - AESR - ESR'!I2851</f>
        <v>0</v>
      </c>
      <c r="GD37" s="28">
        <f>'REG y VAL POE - AESR - ESR'!J2851</f>
        <v>0</v>
      </c>
      <c r="GE37" s="29">
        <f>'REG y VAL POE - AESR - ESR'!K2851</f>
        <v>0</v>
      </c>
      <c r="GF37" s="30">
        <f>'REG y VAL POE - AESR - ESR'!L2851</f>
        <v>0</v>
      </c>
      <c r="GG37" s="28">
        <f>'REG y VAL POE - AESR - ESR'!M2851</f>
        <v>0</v>
      </c>
      <c r="GH37" s="29">
        <f>'REG y VAL POE - AESR - ESR'!N2851</f>
        <v>0</v>
      </c>
      <c r="GI37" s="29">
        <f>'REG y VAL POE - AESR - ESR'!O2851</f>
        <v>0</v>
      </c>
      <c r="GJ37" s="29">
        <f>'REG y VAL POE - AESR - ESR'!P2851</f>
        <v>0</v>
      </c>
      <c r="GK37" s="28">
        <f>'REG y VAL POE - AESR - ESR'!Q2851</f>
        <v>0</v>
      </c>
      <c r="GL37" s="29">
        <f>'REG y VAL POE - AESR - ESR'!R2851</f>
        <v>0</v>
      </c>
      <c r="GM37" s="29">
        <f>'REG y VAL POE - AESR - ESR'!S2851</f>
        <v>0</v>
      </c>
      <c r="GN37" s="28">
        <f>'REG y VAL POE - AESR - ESR'!T2851</f>
        <v>0</v>
      </c>
      <c r="GO37" s="29">
        <f>'REG y VAL POE - AESR - ESR'!U2851</f>
        <v>0</v>
      </c>
      <c r="GP37" s="30">
        <f>'REG y VAL POE - AESR - ESR'!V2851</f>
        <v>0</v>
      </c>
      <c r="GQ37" s="28">
        <f>'REG y VAL POE - AESR - ESR'!W2851</f>
        <v>0</v>
      </c>
      <c r="GR37" s="29">
        <f>'REG y VAL POE - AESR - ESR'!X2851</f>
        <v>0</v>
      </c>
      <c r="GS37" s="29">
        <f>'REG y VAL POE - AESR - ESR'!Y2851</f>
        <v>0</v>
      </c>
      <c r="GT37" s="29">
        <f>'REG y VAL POE - AESR - ESR'!Z2851</f>
        <v>0</v>
      </c>
      <c r="GU37" s="28">
        <f>'REG y VAL POE - AESR - ESR'!AA2851</f>
        <v>0</v>
      </c>
      <c r="GV37" s="29">
        <f>'REG y VAL POE - AESR - ESR'!AB2851</f>
        <v>0</v>
      </c>
      <c r="GW37" s="29">
        <f>'REG y VAL POE - AESR - ESR'!AC2851</f>
        <v>0</v>
      </c>
      <c r="GX37" s="28">
        <f>'REG y VAL POE - AESR - ESR'!AD2851</f>
        <v>0</v>
      </c>
      <c r="GY37" s="29">
        <f>'REG y VAL POE - AESR - ESR'!AE2851</f>
        <v>0</v>
      </c>
      <c r="GZ37" s="30">
        <f>'REG y VAL POE - AESR - ESR'!AF2851</f>
        <v>0</v>
      </c>
      <c r="HA37" s="28">
        <f>'REG y VAL POE - AESR - ESR'!AG2851</f>
        <v>0</v>
      </c>
      <c r="HB37" s="29">
        <f>'REG y VAL POE - AESR - ESR'!AH2851</f>
        <v>0</v>
      </c>
      <c r="HC37" s="29">
        <f>'REG y VAL POE - AESR - ESR'!AI2851</f>
        <v>0</v>
      </c>
      <c r="HD37" s="29">
        <f>'REG y VAL POE - AESR - ESR'!AJ2851</f>
        <v>0</v>
      </c>
      <c r="HE37" s="28">
        <f>'REG y VAL POE - AESR - ESR'!AK2851</f>
        <v>0</v>
      </c>
      <c r="HF37" s="29">
        <f>'REG y VAL POE - AESR - ESR'!AL2851</f>
        <v>0</v>
      </c>
      <c r="HG37" s="29">
        <f>'REG y VAL POE - AESR - ESR'!AM2851</f>
        <v>0</v>
      </c>
      <c r="HH37" s="28">
        <f>'REG y VAL POE - AESR - ESR'!AN2851</f>
        <v>0</v>
      </c>
      <c r="HI37" s="29">
        <f>'REG y VAL POE - AESR - ESR'!AO2851</f>
        <v>0</v>
      </c>
      <c r="HJ37" s="30">
        <f>'REG y VAL POE - AESR - ESR'!AP2851</f>
        <v>0</v>
      </c>
      <c r="HK37" s="28">
        <f>'REG y VAL POE - AESR - ESR'!AQ2851</f>
        <v>0</v>
      </c>
      <c r="HL37" s="29">
        <f>'REG y VAL POE - AESR - ESR'!AR2851</f>
        <v>0</v>
      </c>
      <c r="HM37" s="29">
        <f>'REG y VAL POE - AESR - ESR'!AS2851</f>
        <v>0</v>
      </c>
      <c r="HN37" s="29" t="str">
        <f>'REG y VAL POE - AESR - ESR'!B2852</f>
        <v xml:space="preserve">Gonzalez Alabazarez Rogelio </v>
      </c>
      <c r="HO37" s="28" t="str">
        <f>'REG y VAL POE - AESR - ESR'!C2852</f>
        <v>Sin Registro</v>
      </c>
      <c r="HP37" s="29">
        <f>'REG y VAL POE - AESR - ESR'!D2852</f>
        <v>23054736</v>
      </c>
      <c r="HQ37" s="29">
        <f>'REG y VAL POE - AESR - ESR'!E2852</f>
        <v>0</v>
      </c>
      <c r="HR37" s="28">
        <f>'REG y VAL POE - AESR - ESR'!F2852</f>
        <v>0</v>
      </c>
      <c r="HS37" s="29">
        <f>'REG y VAL POE - AESR - ESR'!G2852</f>
        <v>0</v>
      </c>
      <c r="HT37" s="30">
        <f>'REG y VAL POE - AESR - ESR'!H2852</f>
        <v>0</v>
      </c>
      <c r="HU37" s="28">
        <f>'REG y VAL POE - AESR - ESR'!I2852</f>
        <v>0</v>
      </c>
      <c r="HV37" s="29">
        <f>'REG y VAL POE - AESR - ESR'!J2852</f>
        <v>0</v>
      </c>
      <c r="HW37" s="29">
        <f>'REG y VAL POE - AESR - ESR'!K2852</f>
        <v>0</v>
      </c>
      <c r="HX37" s="29">
        <f>'REG y VAL POE - AESR - ESR'!L2852</f>
        <v>0</v>
      </c>
      <c r="HY37" s="28">
        <f>'REG y VAL POE - AESR - ESR'!M2852</f>
        <v>0</v>
      </c>
      <c r="HZ37" s="29">
        <f>'REG y VAL POE - AESR - ESR'!N2852</f>
        <v>0</v>
      </c>
      <c r="IA37" s="29">
        <f>'REG y VAL POE - AESR - ESR'!O2852</f>
        <v>0</v>
      </c>
      <c r="IB37" s="28">
        <f>'REG y VAL POE - AESR - ESR'!P2852</f>
        <v>0</v>
      </c>
      <c r="IC37" s="29">
        <f>'REG y VAL POE - AESR - ESR'!Q2852</f>
        <v>0</v>
      </c>
      <c r="ID37" s="30">
        <f>'REG y VAL POE - AESR - ESR'!R2852</f>
        <v>0</v>
      </c>
      <c r="IE37" s="28">
        <f>'REG y VAL POE - AESR - ESR'!S2852</f>
        <v>0</v>
      </c>
      <c r="IF37" s="29">
        <f>'REG y VAL POE - AESR - ESR'!T2852</f>
        <v>0</v>
      </c>
      <c r="IG37" s="29">
        <f>'REG y VAL POE - AESR - ESR'!U2852</f>
        <v>0</v>
      </c>
      <c r="IH37" s="29">
        <f>'REG y VAL POE - AESR - ESR'!V2852</f>
        <v>0</v>
      </c>
      <c r="II37" s="28">
        <f>'REG y VAL POE - AESR - ESR'!W2852</f>
        <v>0</v>
      </c>
      <c r="IJ37" s="29">
        <f>'REG y VAL POE - AESR - ESR'!X2852</f>
        <v>0</v>
      </c>
      <c r="IK37" s="29">
        <f>'REG y VAL POE - AESR - ESR'!Y2852</f>
        <v>0</v>
      </c>
      <c r="IL37" s="28">
        <f>'REG y VAL POE - AESR - ESR'!Z2852</f>
        <v>0</v>
      </c>
      <c r="IM37" s="29">
        <f>'REG y VAL POE - AESR - ESR'!AA2852</f>
        <v>0</v>
      </c>
      <c r="IN37" s="30">
        <f>'REG y VAL POE - AESR - ESR'!AB2852</f>
        <v>0</v>
      </c>
      <c r="IO37" s="28">
        <f>'REG y VAL POE - AESR - ESR'!AC2852</f>
        <v>0</v>
      </c>
      <c r="IP37" s="29">
        <f>'REG y VAL POE - AESR - ESR'!AD2852</f>
        <v>0</v>
      </c>
      <c r="IQ37" s="29">
        <f>'REG y VAL POE - AESR - ESR'!AE2852</f>
        <v>0</v>
      </c>
      <c r="IR37" s="29">
        <f>'REG y VAL POE - AESR - ESR'!AF2852</f>
        <v>0</v>
      </c>
      <c r="IS37" s="28">
        <f>'REG y VAL POE - AESR - ESR'!AG2852</f>
        <v>0</v>
      </c>
      <c r="IT37" s="29">
        <f>'REG y VAL POE - AESR - ESR'!AH2852</f>
        <v>0</v>
      </c>
      <c r="IU37" s="29">
        <f>'REG y VAL POE - AESR - ESR'!AI2852</f>
        <v>0</v>
      </c>
      <c r="IV37" s="28">
        <f>'REG y VAL POE - AESR - ESR'!AJ2852</f>
        <v>0</v>
      </c>
      <c r="IW37" s="29">
        <f>'REG y VAL POE - AESR - ESR'!AK2852</f>
        <v>0</v>
      </c>
      <c r="IX37" s="30">
        <f>'REG y VAL POE - AESR - ESR'!AL2852</f>
        <v>0</v>
      </c>
      <c r="IY37" s="28">
        <f>'REG y VAL POE - AESR - ESR'!AM2852</f>
        <v>0</v>
      </c>
      <c r="IZ37" s="29">
        <f>'REG y VAL POE - AESR - ESR'!AN2852</f>
        <v>0</v>
      </c>
      <c r="JA37" s="29">
        <f>'REG y VAL POE - AESR - ESR'!AO2852</f>
        <v>0</v>
      </c>
      <c r="JB37" s="29">
        <f>'REG y VAL POE - AESR - ESR'!AP2852</f>
        <v>0</v>
      </c>
      <c r="JC37" s="28">
        <f>'REG y VAL POE - AESR - ESR'!AQ2852</f>
        <v>0</v>
      </c>
      <c r="JD37" s="29">
        <f>'REG y VAL POE - AESR - ESR'!AR2852</f>
        <v>0</v>
      </c>
      <c r="JE37" s="29">
        <f>'REG y VAL POE - AESR - ESR'!AS2852</f>
        <v>0</v>
      </c>
      <c r="JF37" s="28" t="str">
        <f>'REG y VAL POE - AESR - ESR'!B2853</f>
        <v xml:space="preserve">Leyva Valerio Gonzalo </v>
      </c>
      <c r="JG37" s="29" t="str">
        <f>'REG y VAL POE - AESR - ESR'!C2853</f>
        <v>Sin Registro</v>
      </c>
      <c r="JH37" s="30">
        <f>'REG y VAL POE - AESR - ESR'!D2853</f>
        <v>23004757</v>
      </c>
      <c r="JI37" s="28">
        <f>'REG y VAL POE - AESR - ESR'!E2853</f>
        <v>0</v>
      </c>
      <c r="JJ37" s="29">
        <f>'REG y VAL POE - AESR - ESR'!F2853</f>
        <v>0</v>
      </c>
      <c r="JK37" s="29">
        <f>'REG y VAL POE - AESR - ESR'!G2853</f>
        <v>0</v>
      </c>
      <c r="JL37" s="29">
        <f>'REG y VAL POE - AESR - ESR'!H2853</f>
        <v>0</v>
      </c>
      <c r="JM37" s="28">
        <f>'REG y VAL POE - AESR - ESR'!I2853</f>
        <v>0</v>
      </c>
      <c r="JN37" s="29">
        <f>'REG y VAL POE - AESR - ESR'!J2853</f>
        <v>0</v>
      </c>
      <c r="JO37" s="29">
        <f>'REG y VAL POE - AESR - ESR'!K2853</f>
        <v>0</v>
      </c>
      <c r="JP37" s="28">
        <f>'REG y VAL POE - AESR - ESR'!L2853</f>
        <v>0</v>
      </c>
      <c r="JQ37" s="29">
        <f>'REG y VAL POE - AESR - ESR'!M2853</f>
        <v>0</v>
      </c>
      <c r="JR37" s="30">
        <f>'REG y VAL POE - AESR - ESR'!N2853</f>
        <v>0</v>
      </c>
      <c r="JS37" s="28">
        <f>'REG y VAL POE - AESR - ESR'!O2853</f>
        <v>0</v>
      </c>
      <c r="JT37" s="29">
        <f>'REG y VAL POE - AESR - ESR'!P2853</f>
        <v>0</v>
      </c>
      <c r="JU37" s="29">
        <f>'REG y VAL POE - AESR - ESR'!Q2853</f>
        <v>0</v>
      </c>
      <c r="JV37" s="29">
        <f>'REG y VAL POE - AESR - ESR'!R2853</f>
        <v>0</v>
      </c>
      <c r="JW37" s="28">
        <f>'REG y VAL POE - AESR - ESR'!S2853</f>
        <v>0</v>
      </c>
      <c r="JX37" s="29">
        <f>'REG y VAL POE - AESR - ESR'!T2853</f>
        <v>0</v>
      </c>
      <c r="JY37" s="29">
        <f>'REG y VAL POE - AESR - ESR'!U2853</f>
        <v>0</v>
      </c>
      <c r="JZ37" s="28">
        <f>'REG y VAL POE - AESR - ESR'!V2853</f>
        <v>0</v>
      </c>
      <c r="KA37" s="29">
        <f>'REG y VAL POE - AESR - ESR'!W2853</f>
        <v>0</v>
      </c>
      <c r="KB37" s="30">
        <f>'REG y VAL POE - AESR - ESR'!X2853</f>
        <v>0</v>
      </c>
      <c r="KC37" s="28">
        <f>'REG y VAL POE - AESR - ESR'!Y2853</f>
        <v>0</v>
      </c>
      <c r="KD37" s="29">
        <f>'REG y VAL POE - AESR - ESR'!Z2853</f>
        <v>0</v>
      </c>
      <c r="KE37" s="29">
        <f>'REG y VAL POE - AESR - ESR'!AA2853</f>
        <v>0</v>
      </c>
      <c r="KF37" s="29">
        <f>'REG y VAL POE - AESR - ESR'!AB2853</f>
        <v>0</v>
      </c>
      <c r="KG37" s="28">
        <f>'REG y VAL POE - AESR - ESR'!AC2853</f>
        <v>0</v>
      </c>
      <c r="KH37" s="29">
        <f>'REG y VAL POE - AESR - ESR'!AD2853</f>
        <v>0</v>
      </c>
      <c r="KI37" s="29">
        <f>'REG y VAL POE - AESR - ESR'!AE2853</f>
        <v>0</v>
      </c>
      <c r="KJ37" s="28">
        <f>'REG y VAL POE - AESR - ESR'!AF2853</f>
        <v>0</v>
      </c>
      <c r="KK37" s="29">
        <f>'REG y VAL POE - AESR - ESR'!AG2853</f>
        <v>0</v>
      </c>
      <c r="KL37" s="30">
        <f>'REG y VAL POE - AESR - ESR'!AH2853</f>
        <v>0</v>
      </c>
      <c r="KM37" s="28">
        <f>'REG y VAL POE - AESR - ESR'!AI2853</f>
        <v>0</v>
      </c>
      <c r="KN37" s="29">
        <f>'REG y VAL POE - AESR - ESR'!AJ2853</f>
        <v>0</v>
      </c>
      <c r="KO37" s="29">
        <f>'REG y VAL POE - AESR - ESR'!AK2853</f>
        <v>0</v>
      </c>
      <c r="KP37" s="29">
        <f>'REG y VAL POE - AESR - ESR'!AL2853</f>
        <v>0</v>
      </c>
      <c r="KQ37" s="28">
        <f>'REG y VAL POE - AESR - ESR'!AM2853</f>
        <v>0</v>
      </c>
      <c r="KR37" s="29">
        <f>'REG y VAL POE - AESR - ESR'!AN2853</f>
        <v>0</v>
      </c>
      <c r="KS37" s="29">
        <f>'REG y VAL POE - AESR - ESR'!AO2853</f>
        <v>0</v>
      </c>
      <c r="KT37" s="28">
        <f>'REG y VAL POE - AESR - ESR'!AP2853</f>
        <v>0</v>
      </c>
      <c r="KU37" s="29">
        <f>'REG y VAL POE - AESR - ESR'!AQ2853</f>
        <v>0</v>
      </c>
      <c r="KV37" s="30">
        <f>'REG y VAL POE - AESR - ESR'!AR2853</f>
        <v>0</v>
      </c>
      <c r="KW37" s="28">
        <f>'REG y VAL POE - AESR - ESR'!AS2853</f>
        <v>0</v>
      </c>
      <c r="KX37" s="29" t="str">
        <f>'REG y VAL POE - AESR - ESR'!B2854</f>
        <v xml:space="preserve">Martinez Bermudez Roney David </v>
      </c>
      <c r="KY37" s="29" t="str">
        <f>'REG y VAL POE - AESR - ESR'!C2854</f>
        <v>Sin Registro</v>
      </c>
      <c r="KZ37" s="29">
        <f>'REG y VAL POE - AESR - ESR'!D2854</f>
        <v>23129724</v>
      </c>
      <c r="LA37" s="28">
        <f>'REG y VAL POE - AESR - ESR'!E2854</f>
        <v>0</v>
      </c>
      <c r="LB37" s="29">
        <f>'REG y VAL POE - AESR - ESR'!F2854</f>
        <v>0</v>
      </c>
      <c r="LC37" s="29">
        <f>'REG y VAL POE - AESR - ESR'!G2854</f>
        <v>0</v>
      </c>
      <c r="LD37" s="28">
        <f>'REG y VAL POE - AESR - ESR'!H2854</f>
        <v>0</v>
      </c>
      <c r="LE37" s="29">
        <f>'REG y VAL POE - AESR - ESR'!I2854</f>
        <v>0</v>
      </c>
      <c r="LF37" s="30">
        <f>'REG y VAL POE - AESR - ESR'!J2854</f>
        <v>0</v>
      </c>
      <c r="LG37" s="28">
        <f>'REG y VAL POE - AESR - ESR'!K2854</f>
        <v>0</v>
      </c>
      <c r="LH37" s="29">
        <f>'REG y VAL POE - AESR - ESR'!L2854</f>
        <v>0</v>
      </c>
      <c r="LI37" s="29">
        <f>'REG y VAL POE - AESR - ESR'!M2854</f>
        <v>0</v>
      </c>
      <c r="LJ37" s="29">
        <f>'REG y VAL POE - AESR - ESR'!N2854</f>
        <v>0</v>
      </c>
      <c r="LK37" s="28">
        <f>'REG y VAL POE - AESR - ESR'!O2854</f>
        <v>0</v>
      </c>
      <c r="LL37" s="29">
        <f>'REG y VAL POE - AESR - ESR'!P2854</f>
        <v>0</v>
      </c>
      <c r="LM37" s="29">
        <f>'REG y VAL POE - AESR - ESR'!Q2854</f>
        <v>0</v>
      </c>
      <c r="LN37" s="28">
        <f>'REG y VAL POE - AESR - ESR'!R2854</f>
        <v>0</v>
      </c>
      <c r="LO37" s="29">
        <f>'REG y VAL POE - AESR - ESR'!S2854</f>
        <v>0</v>
      </c>
      <c r="LP37" s="30">
        <f>'REG y VAL POE - AESR - ESR'!T2854</f>
        <v>0</v>
      </c>
      <c r="LQ37" s="28">
        <f>'REG y VAL POE - AESR - ESR'!U2854</f>
        <v>0</v>
      </c>
      <c r="LR37" s="29">
        <f>'REG y VAL POE - AESR - ESR'!V2854</f>
        <v>0</v>
      </c>
      <c r="LS37" s="29">
        <f>'REG y VAL POE - AESR - ESR'!W2854</f>
        <v>0</v>
      </c>
      <c r="LT37" s="29">
        <f>'REG y VAL POE - AESR - ESR'!X2854</f>
        <v>0</v>
      </c>
      <c r="LU37" s="28">
        <f>'REG y VAL POE - AESR - ESR'!Y2854</f>
        <v>0</v>
      </c>
      <c r="LV37" s="29">
        <f>'REG y VAL POE - AESR - ESR'!Z2854</f>
        <v>0</v>
      </c>
      <c r="LW37" s="29">
        <f>'REG y VAL POE - AESR - ESR'!AA2854</f>
        <v>0</v>
      </c>
      <c r="LX37" s="28">
        <f>'REG y VAL POE - AESR - ESR'!AB2854</f>
        <v>0</v>
      </c>
      <c r="LY37" s="29">
        <f>'REG y VAL POE - AESR - ESR'!AC2854</f>
        <v>0</v>
      </c>
      <c r="LZ37" s="30">
        <f>'REG y VAL POE - AESR - ESR'!AD2854</f>
        <v>0</v>
      </c>
      <c r="MA37" s="28">
        <f>'REG y VAL POE - AESR - ESR'!AE2854</f>
        <v>0</v>
      </c>
      <c r="MB37" s="29">
        <f>'REG y VAL POE - AESR - ESR'!AF2854</f>
        <v>0</v>
      </c>
      <c r="MC37" s="29">
        <f>'REG y VAL POE - AESR - ESR'!AG2854</f>
        <v>0</v>
      </c>
      <c r="MD37" s="29">
        <f>'REG y VAL POE - AESR - ESR'!AH2854</f>
        <v>0</v>
      </c>
      <c r="ME37" s="28">
        <f>'REG y VAL POE - AESR - ESR'!AI2854</f>
        <v>0</v>
      </c>
      <c r="MF37" s="29">
        <f>'REG y VAL POE - AESR - ESR'!AJ2854</f>
        <v>0</v>
      </c>
      <c r="MG37" s="29">
        <f>'REG y VAL POE - AESR - ESR'!AK2854</f>
        <v>0</v>
      </c>
      <c r="MH37" s="28">
        <f>'REG y VAL POE - AESR - ESR'!AL2854</f>
        <v>0</v>
      </c>
      <c r="MI37" s="29">
        <f>'REG y VAL POE - AESR - ESR'!AM2854</f>
        <v>0</v>
      </c>
      <c r="MJ37" s="30">
        <f>'REG y VAL POE - AESR - ESR'!AN2854</f>
        <v>0</v>
      </c>
      <c r="MK37" s="28">
        <f>'REG y VAL POE - AESR - ESR'!AO2854</f>
        <v>0</v>
      </c>
      <c r="ML37" s="29">
        <f>'REG y VAL POE - AESR - ESR'!AP2854</f>
        <v>0</v>
      </c>
      <c r="MM37" s="29">
        <f>'REG y VAL POE - AESR - ESR'!AQ2854</f>
        <v>0</v>
      </c>
      <c r="MN37" s="29">
        <f>'REG y VAL POE - AESR - ESR'!AR2854</f>
        <v>0</v>
      </c>
      <c r="MO37" s="28">
        <f>'REG y VAL POE - AESR - ESR'!AS2854</f>
        <v>0</v>
      </c>
      <c r="MP37" s="29" t="str">
        <f>'REG y VAL POE - AESR - ESR'!B2855</f>
        <v xml:space="preserve">Ortiz Castro Onaldo Emmanuel </v>
      </c>
      <c r="MQ37" s="29" t="str">
        <f>'REG y VAL POE - AESR - ESR'!C2855</f>
        <v>Sin Registro</v>
      </c>
      <c r="MR37" s="28">
        <f>'REG y VAL POE - AESR - ESR'!D2855</f>
        <v>23122482</v>
      </c>
      <c r="MS37" s="29">
        <f>'REG y VAL POE - AESR - ESR'!E2855</f>
        <v>0</v>
      </c>
      <c r="MT37" s="30">
        <f>'REG y VAL POE - AESR - ESR'!F2855</f>
        <v>0</v>
      </c>
      <c r="MU37" s="28">
        <f>'REG y VAL POE - AESR - ESR'!G2855</f>
        <v>0</v>
      </c>
      <c r="MV37" s="29">
        <f>'REG y VAL POE - AESR - ESR'!H2855</f>
        <v>0</v>
      </c>
      <c r="MW37" s="29">
        <f>'REG y VAL POE - AESR - ESR'!I2855</f>
        <v>0</v>
      </c>
      <c r="MX37" s="29">
        <f>'REG y VAL POE - AESR - ESR'!J2855</f>
        <v>0</v>
      </c>
      <c r="MY37" s="28">
        <f>'REG y VAL POE - AESR - ESR'!K2855</f>
        <v>0</v>
      </c>
      <c r="MZ37" s="29">
        <f>'REG y VAL POE - AESR - ESR'!L2855</f>
        <v>0</v>
      </c>
      <c r="NA37" s="29">
        <f>'REG y VAL POE - AESR - ESR'!M2855</f>
        <v>0</v>
      </c>
      <c r="NB37" s="28">
        <f>'REG y VAL POE - AESR - ESR'!N2855</f>
        <v>0</v>
      </c>
      <c r="NC37" s="29">
        <f>'REG y VAL POE - AESR - ESR'!O2855</f>
        <v>0</v>
      </c>
      <c r="ND37" s="30">
        <f>'REG y VAL POE - AESR - ESR'!P2855</f>
        <v>0</v>
      </c>
      <c r="NE37" s="28">
        <f>'REG y VAL POE - AESR - ESR'!Q2855</f>
        <v>0</v>
      </c>
      <c r="NF37" s="29">
        <f>'REG y VAL POE - AESR - ESR'!R2855</f>
        <v>0</v>
      </c>
      <c r="NG37" s="29">
        <f>'REG y VAL POE - AESR - ESR'!S2855</f>
        <v>0</v>
      </c>
      <c r="NH37" s="29">
        <f>'REG y VAL POE - AESR - ESR'!T2855</f>
        <v>0</v>
      </c>
      <c r="NI37" s="28">
        <f>'REG y VAL POE - AESR - ESR'!U2855</f>
        <v>0</v>
      </c>
      <c r="NJ37" s="29">
        <f>'REG y VAL POE - AESR - ESR'!V2855</f>
        <v>0</v>
      </c>
      <c r="NK37" s="29">
        <f>'REG y VAL POE - AESR - ESR'!W2855</f>
        <v>0</v>
      </c>
      <c r="NL37" s="28">
        <f>'REG y VAL POE - AESR - ESR'!X2855</f>
        <v>0</v>
      </c>
      <c r="NM37" s="29">
        <f>'REG y VAL POE - AESR - ESR'!Y2855</f>
        <v>0</v>
      </c>
      <c r="NN37" s="30">
        <f>'REG y VAL POE - AESR - ESR'!Z2855</f>
        <v>0</v>
      </c>
      <c r="NO37" s="28">
        <f>'REG y VAL POE - AESR - ESR'!AA2855</f>
        <v>0</v>
      </c>
      <c r="NP37" s="29">
        <f>'REG y VAL POE - AESR - ESR'!AB2855</f>
        <v>0</v>
      </c>
      <c r="NQ37" s="29">
        <f>'REG y VAL POE - AESR - ESR'!AC2855</f>
        <v>0</v>
      </c>
      <c r="NR37" s="29">
        <f>'REG y VAL POE - AESR - ESR'!AD2855</f>
        <v>0</v>
      </c>
      <c r="NS37" s="28">
        <f>'REG y VAL POE - AESR - ESR'!AE2855</f>
        <v>0</v>
      </c>
      <c r="NT37" s="29">
        <f>'REG y VAL POE - AESR - ESR'!AF2855</f>
        <v>0</v>
      </c>
      <c r="NU37" s="29">
        <f>'REG y VAL POE - AESR - ESR'!AG2855</f>
        <v>0</v>
      </c>
      <c r="NV37" s="28">
        <f>'REG y VAL POE - AESR - ESR'!AH2855</f>
        <v>0</v>
      </c>
      <c r="NW37" s="29">
        <f>'REG y VAL POE - AESR - ESR'!AI2855</f>
        <v>0</v>
      </c>
      <c r="NX37" s="30">
        <f>'REG y VAL POE - AESR - ESR'!AJ2855</f>
        <v>0</v>
      </c>
      <c r="NY37" s="28">
        <f>'REG y VAL POE - AESR - ESR'!AK2855</f>
        <v>0</v>
      </c>
      <c r="NZ37" s="29">
        <f>'REG y VAL POE - AESR - ESR'!AL2855</f>
        <v>0</v>
      </c>
      <c r="OA37" s="29">
        <f>'REG y VAL POE - AESR - ESR'!AM2855</f>
        <v>0</v>
      </c>
      <c r="OB37" s="29">
        <f>'REG y VAL POE - AESR - ESR'!AN2855</f>
        <v>0</v>
      </c>
      <c r="OC37" s="28">
        <f>'REG y VAL POE - AESR - ESR'!AO2855</f>
        <v>0</v>
      </c>
      <c r="OD37" s="29">
        <f>'REG y VAL POE - AESR - ESR'!AP2855</f>
        <v>0</v>
      </c>
      <c r="OE37" s="29">
        <f>'REG y VAL POE - AESR - ESR'!AQ2855</f>
        <v>0</v>
      </c>
      <c r="OF37" s="30">
        <f>'REG y VAL POE - AESR - ESR'!AR2855</f>
        <v>0</v>
      </c>
      <c r="OG37" s="30">
        <f>'REG y VAL POE - AESR - ESR'!AS2855</f>
        <v>0</v>
      </c>
      <c r="OH37" s="30" t="str">
        <f>'REG y VAL POE - AESR - ESR'!B2856</f>
        <v xml:space="preserve">Ramos Hernandez Rodrigo Ricardo </v>
      </c>
      <c r="OI37" s="28" t="str">
        <f>'REG y VAL POE - AESR - ESR'!C2856</f>
        <v>Sin Registro</v>
      </c>
      <c r="OJ37" s="30">
        <f>'REG y VAL POE - AESR - ESR'!D2856</f>
        <v>23214573</v>
      </c>
      <c r="OK37" s="30">
        <f>'REG y VAL POE - AESR - ESR'!E2856</f>
        <v>0</v>
      </c>
      <c r="OL37" s="30">
        <f>'REG y VAL POE - AESR - ESR'!F2856</f>
        <v>0</v>
      </c>
      <c r="OM37" s="30">
        <f>'REG y VAL POE - AESR - ESR'!G2856</f>
        <v>0</v>
      </c>
      <c r="ON37" s="30">
        <f>'REG y VAL POE - AESR - ESR'!H2856</f>
        <v>0</v>
      </c>
      <c r="OO37" s="30">
        <f>'REG y VAL POE - AESR - ESR'!I2856</f>
        <v>0</v>
      </c>
      <c r="OP37" s="28">
        <f>'REG y VAL POE - AESR - ESR'!J2856</f>
        <v>0</v>
      </c>
      <c r="OQ37" s="29">
        <f>'REG y VAL POE - AESR - ESR'!K2856</f>
        <v>0</v>
      </c>
      <c r="OR37" s="30">
        <f>'REG y VAL POE - AESR - ESR'!L2856</f>
        <v>0</v>
      </c>
      <c r="OS37" s="28">
        <f>'REG y VAL POE - AESR - ESR'!M2856</f>
        <v>0</v>
      </c>
      <c r="OT37" s="29">
        <f>'REG y VAL POE - AESR - ESR'!N2856</f>
        <v>0</v>
      </c>
      <c r="OU37" s="29">
        <f>'REG y VAL POE - AESR - ESR'!O2856</f>
        <v>0</v>
      </c>
      <c r="OV37" s="29">
        <f>'REG y VAL POE - AESR - ESR'!P2856</f>
        <v>0</v>
      </c>
      <c r="OW37" s="28">
        <f>'REG y VAL POE - AESR - ESR'!Q2856</f>
        <v>0</v>
      </c>
      <c r="OX37" s="29">
        <f>'REG y VAL POE - AESR - ESR'!R2856</f>
        <v>0</v>
      </c>
      <c r="OY37" s="29">
        <f>'REG y VAL POE - AESR - ESR'!S2856</f>
        <v>0</v>
      </c>
      <c r="OZ37" s="28">
        <f>'REG y VAL POE - AESR - ESR'!T2856</f>
        <v>0</v>
      </c>
      <c r="PA37" s="29">
        <f>'REG y VAL POE - AESR - ESR'!U2856</f>
        <v>0</v>
      </c>
      <c r="PB37" s="30">
        <f>'REG y VAL POE - AESR - ESR'!V2856</f>
        <v>0</v>
      </c>
      <c r="PC37" s="28">
        <f>'REG y VAL POE - AESR - ESR'!W2856</f>
        <v>0</v>
      </c>
      <c r="PD37" s="29">
        <f>'REG y VAL POE - AESR - ESR'!X2856</f>
        <v>0</v>
      </c>
      <c r="PE37" s="29">
        <f>'REG y VAL POE - AESR - ESR'!Y2856</f>
        <v>0</v>
      </c>
      <c r="PF37" s="29">
        <f>'REG y VAL POE - AESR - ESR'!Z2856</f>
        <v>0</v>
      </c>
      <c r="PG37" s="28">
        <f>'REG y VAL POE - AESR - ESR'!AA2856</f>
        <v>0</v>
      </c>
      <c r="PH37" s="29">
        <f>'REG y VAL POE - AESR - ESR'!AB2856</f>
        <v>0</v>
      </c>
      <c r="PI37" s="29">
        <f>'REG y VAL POE - AESR - ESR'!AC2856</f>
        <v>0</v>
      </c>
      <c r="PJ37" s="28">
        <f>'REG y VAL POE - AESR - ESR'!AD2856</f>
        <v>0</v>
      </c>
      <c r="PK37" s="29">
        <f>'REG y VAL POE - AESR - ESR'!AE2856</f>
        <v>0</v>
      </c>
      <c r="PL37" s="30">
        <f>'REG y VAL POE - AESR - ESR'!AF2856</f>
        <v>0</v>
      </c>
      <c r="PM37" s="28">
        <f>'REG y VAL POE - AESR - ESR'!AG2856</f>
        <v>0</v>
      </c>
      <c r="PN37" s="29">
        <f>'REG y VAL POE - AESR - ESR'!AH2856</f>
        <v>0</v>
      </c>
      <c r="PO37" s="29">
        <f>'REG y VAL POE - AESR - ESR'!AI2856</f>
        <v>0</v>
      </c>
      <c r="PP37" s="29">
        <f>'REG y VAL POE - AESR - ESR'!AJ2856</f>
        <v>0</v>
      </c>
      <c r="PQ37" s="28">
        <f>'REG y VAL POE - AESR - ESR'!AK2856</f>
        <v>0</v>
      </c>
      <c r="PR37" s="29">
        <f>'REG y VAL POE - AESR - ESR'!AL2856</f>
        <v>0</v>
      </c>
      <c r="PS37" s="29">
        <f>'REG y VAL POE - AESR - ESR'!AM2856</f>
        <v>0</v>
      </c>
      <c r="PT37" s="28">
        <f>'REG y VAL POE - AESR - ESR'!AN2856</f>
        <v>0</v>
      </c>
      <c r="PU37" s="29">
        <f>'REG y VAL POE - AESR - ESR'!AO2856</f>
        <v>0</v>
      </c>
      <c r="PV37" s="30">
        <f>'REG y VAL POE - AESR - ESR'!AP2856</f>
        <v>0</v>
      </c>
      <c r="PW37" s="28">
        <f>'REG y VAL POE - AESR - ESR'!AQ2856</f>
        <v>0</v>
      </c>
      <c r="PX37" s="29">
        <f>'REG y VAL POE - AESR - ESR'!AR2856</f>
        <v>0</v>
      </c>
      <c r="PY37" s="29">
        <f>'REG y VAL POE - AESR - ESR'!AS2856</f>
        <v>0</v>
      </c>
      <c r="PZ37" s="29" t="str">
        <f>'REG y VAL POE - AESR - ESR'!B2857</f>
        <v xml:space="preserve">Resendiz Arias Ana Laura </v>
      </c>
      <c r="QA37" s="28" t="str">
        <f>'REG y VAL POE - AESR - ESR'!C2857</f>
        <v>Sin Registro</v>
      </c>
      <c r="QB37" s="29">
        <f>'REG y VAL POE - AESR - ESR'!D2857</f>
        <v>23000825</v>
      </c>
      <c r="QC37" s="29">
        <f>'REG y VAL POE - AESR - ESR'!E2857</f>
        <v>0</v>
      </c>
      <c r="QD37" s="28">
        <f>'REG y VAL POE - AESR - ESR'!F2857</f>
        <v>0</v>
      </c>
      <c r="QE37" s="29">
        <f>'REG y VAL POE - AESR - ESR'!G2857</f>
        <v>0</v>
      </c>
      <c r="QF37" s="30">
        <f>'REG y VAL POE - AESR - ESR'!H2857</f>
        <v>0</v>
      </c>
      <c r="QG37" s="28">
        <f>'REG y VAL POE - AESR - ESR'!I2857</f>
        <v>0</v>
      </c>
      <c r="QH37" s="29">
        <f>'REG y VAL POE - AESR - ESR'!J2857</f>
        <v>0</v>
      </c>
      <c r="QI37" s="29">
        <f>'REG y VAL POE - AESR - ESR'!K2857</f>
        <v>0</v>
      </c>
      <c r="QJ37" s="29">
        <f>'REG y VAL POE - AESR - ESR'!L2857</f>
        <v>0</v>
      </c>
      <c r="QK37" s="28">
        <f>'REG y VAL POE - AESR - ESR'!M2857</f>
        <v>0</v>
      </c>
      <c r="QL37" s="29">
        <f>'REG y VAL POE - AESR - ESR'!N2857</f>
        <v>0</v>
      </c>
      <c r="QM37" s="29">
        <f>'REG y VAL POE - AESR - ESR'!O2857</f>
        <v>0</v>
      </c>
      <c r="QN37" s="28">
        <f>'REG y VAL POE - AESR - ESR'!P2857</f>
        <v>0</v>
      </c>
      <c r="QO37" s="29">
        <f>'REG y VAL POE - AESR - ESR'!Q2857</f>
        <v>0</v>
      </c>
      <c r="QP37" s="30">
        <f>'REG y VAL POE - AESR - ESR'!R2857</f>
        <v>0</v>
      </c>
      <c r="QQ37" s="28">
        <f>'REG y VAL POE - AESR - ESR'!S2857</f>
        <v>0</v>
      </c>
      <c r="QR37" s="29">
        <f>'REG y VAL POE - AESR - ESR'!T2857</f>
        <v>0</v>
      </c>
      <c r="QS37" s="29">
        <f>'REG y VAL POE - AESR - ESR'!U2857</f>
        <v>0</v>
      </c>
      <c r="QT37" s="29">
        <f>'REG y VAL POE - AESR - ESR'!V2857</f>
        <v>0</v>
      </c>
      <c r="QU37" s="28">
        <f>'REG y VAL POE - AESR - ESR'!W2857</f>
        <v>0</v>
      </c>
      <c r="QV37" s="29">
        <f>'REG y VAL POE - AESR - ESR'!X2857</f>
        <v>0</v>
      </c>
      <c r="QW37" s="29">
        <f>'REG y VAL POE - AESR - ESR'!Y2857</f>
        <v>0</v>
      </c>
      <c r="QX37" s="28">
        <f>'REG y VAL POE - AESR - ESR'!Z2857</f>
        <v>0</v>
      </c>
      <c r="QY37" s="29">
        <f>'REG y VAL POE - AESR - ESR'!AA2857</f>
        <v>0</v>
      </c>
      <c r="QZ37" s="30">
        <f>'REG y VAL POE - AESR - ESR'!AB2857</f>
        <v>0</v>
      </c>
      <c r="RA37" s="28">
        <f>'REG y VAL POE - AESR - ESR'!AC2857</f>
        <v>0</v>
      </c>
      <c r="RB37" s="29">
        <f>'REG y VAL POE - AESR - ESR'!AD2857</f>
        <v>0</v>
      </c>
      <c r="RC37" s="29">
        <f>'REG y VAL POE - AESR - ESR'!AE2857</f>
        <v>0</v>
      </c>
      <c r="RD37" s="29">
        <f>'REG y VAL POE - AESR - ESR'!AF2857</f>
        <v>0</v>
      </c>
      <c r="RE37" s="28">
        <f>'REG y VAL POE - AESR - ESR'!AG2857</f>
        <v>0</v>
      </c>
      <c r="RF37" s="29">
        <f>'REG y VAL POE - AESR - ESR'!AH2857</f>
        <v>0</v>
      </c>
      <c r="RG37" s="29">
        <f>'REG y VAL POE - AESR - ESR'!AI2857</f>
        <v>0</v>
      </c>
      <c r="RH37" s="28">
        <f>'REG y VAL POE - AESR - ESR'!AJ2857</f>
        <v>0</v>
      </c>
      <c r="RI37" s="29">
        <f>'REG y VAL POE - AESR - ESR'!AK2857</f>
        <v>0</v>
      </c>
      <c r="RJ37" s="30">
        <f>'REG y VAL POE - AESR - ESR'!AL2857</f>
        <v>0</v>
      </c>
      <c r="RK37" s="28">
        <f>'REG y VAL POE - AESR - ESR'!AM2857</f>
        <v>0</v>
      </c>
      <c r="RL37" s="29">
        <f>'REG y VAL POE - AESR - ESR'!AN2857</f>
        <v>0</v>
      </c>
      <c r="RM37" s="29">
        <f>'REG y VAL POE - AESR - ESR'!AO2857</f>
        <v>0</v>
      </c>
      <c r="RN37" s="29">
        <f>'REG y VAL POE - AESR - ESR'!AP2857</f>
        <v>0</v>
      </c>
      <c r="RO37" s="28">
        <f>'REG y VAL POE - AESR - ESR'!AQ2857</f>
        <v>0</v>
      </c>
      <c r="RP37" s="29">
        <f>'REG y VAL POE - AESR - ESR'!AR2857</f>
        <v>0</v>
      </c>
      <c r="RQ37" s="29">
        <f>'REG y VAL POE - AESR - ESR'!AS2857</f>
        <v>0</v>
      </c>
      <c r="RR37" s="28" t="str">
        <f>'REG y VAL POE - AESR - ESR'!B2858</f>
        <v xml:space="preserve">Rodriguez Carrera Wendy Jaqueline </v>
      </c>
      <c r="RS37" s="29" t="str">
        <f>'REG y VAL POE - AESR - ESR'!C2858</f>
        <v>Sin Registro</v>
      </c>
      <c r="RT37" s="30">
        <f>'REG y VAL POE - AESR - ESR'!D2858</f>
        <v>23092936</v>
      </c>
      <c r="RU37" s="28">
        <f>'REG y VAL POE - AESR - ESR'!E2858</f>
        <v>0</v>
      </c>
      <c r="RV37" s="29">
        <f>'REG y VAL POE - AESR - ESR'!F2858</f>
        <v>0</v>
      </c>
      <c r="RW37" s="29">
        <f>'REG y VAL POE - AESR - ESR'!G2858</f>
        <v>0</v>
      </c>
      <c r="RX37" s="29">
        <f>'REG y VAL POE - AESR - ESR'!H2858</f>
        <v>0</v>
      </c>
      <c r="RY37" s="28">
        <f>'REG y VAL POE - AESR - ESR'!I2858</f>
        <v>0</v>
      </c>
      <c r="RZ37" s="29">
        <f>'REG y VAL POE - AESR - ESR'!J2858</f>
        <v>0</v>
      </c>
      <c r="SA37" s="29">
        <f>'REG y VAL POE - AESR - ESR'!K2858</f>
        <v>0</v>
      </c>
      <c r="SB37" s="28">
        <f>'REG y VAL POE - AESR - ESR'!L2858</f>
        <v>0</v>
      </c>
      <c r="SC37" s="29">
        <f>'REG y VAL POE - AESR - ESR'!M2858</f>
        <v>0</v>
      </c>
      <c r="SD37" s="30">
        <f>'REG y VAL POE - AESR - ESR'!N2858</f>
        <v>0</v>
      </c>
      <c r="SE37" s="28">
        <f>'REG y VAL POE - AESR - ESR'!O2858</f>
        <v>0</v>
      </c>
      <c r="SF37" s="29">
        <f>'REG y VAL POE - AESR - ESR'!P2858</f>
        <v>0</v>
      </c>
      <c r="SG37" s="29">
        <f>'REG y VAL POE - AESR - ESR'!Q2858</f>
        <v>0</v>
      </c>
      <c r="SH37" s="29">
        <f>'REG y VAL POE - AESR - ESR'!R2858</f>
        <v>0</v>
      </c>
      <c r="SI37" s="28">
        <f>'REG y VAL POE - AESR - ESR'!S2858</f>
        <v>0</v>
      </c>
      <c r="SJ37" s="29">
        <f>'REG y VAL POE - AESR - ESR'!T2858</f>
        <v>0</v>
      </c>
      <c r="SK37" s="29">
        <f>'REG y VAL POE - AESR - ESR'!U2858</f>
        <v>0</v>
      </c>
      <c r="SL37" s="28">
        <f>'REG y VAL POE - AESR - ESR'!V2858</f>
        <v>0</v>
      </c>
      <c r="SM37" s="29">
        <f>'REG y VAL POE - AESR - ESR'!W2858</f>
        <v>0</v>
      </c>
      <c r="SN37" s="30">
        <f>'REG y VAL POE - AESR - ESR'!X2858</f>
        <v>0</v>
      </c>
      <c r="SO37" s="28">
        <f>'REG y VAL POE - AESR - ESR'!Y2858</f>
        <v>0</v>
      </c>
      <c r="SP37" s="29">
        <f>'REG y VAL POE - AESR - ESR'!Z2858</f>
        <v>0</v>
      </c>
      <c r="SQ37" s="29">
        <f>'REG y VAL POE - AESR - ESR'!AA2858</f>
        <v>0</v>
      </c>
      <c r="SR37" s="29">
        <f>'REG y VAL POE - AESR - ESR'!AB2858</f>
        <v>0</v>
      </c>
      <c r="SS37" s="28">
        <f>'REG y VAL POE - AESR - ESR'!AC2858</f>
        <v>0</v>
      </c>
      <c r="ST37" s="29">
        <f>'REG y VAL POE - AESR - ESR'!AD2858</f>
        <v>0</v>
      </c>
      <c r="SU37" s="29">
        <f>'REG y VAL POE - AESR - ESR'!AE2858</f>
        <v>0</v>
      </c>
      <c r="SV37" s="28">
        <f>'REG y VAL POE - AESR - ESR'!AF2858</f>
        <v>0</v>
      </c>
      <c r="SW37" s="29">
        <f>'REG y VAL POE - AESR - ESR'!AG2858</f>
        <v>0</v>
      </c>
      <c r="SX37" s="30">
        <f>'REG y VAL POE - AESR - ESR'!AH2858</f>
        <v>0</v>
      </c>
      <c r="SY37" s="28">
        <f>'REG y VAL POE - AESR - ESR'!AI2858</f>
        <v>0</v>
      </c>
      <c r="SZ37" s="29">
        <f>'REG y VAL POE - AESR - ESR'!AJ2858</f>
        <v>0</v>
      </c>
      <c r="TA37" s="29">
        <f>'REG y VAL POE - AESR - ESR'!AK2858</f>
        <v>0</v>
      </c>
      <c r="TB37" s="29">
        <f>'REG y VAL POE - AESR - ESR'!AL2858</f>
        <v>0</v>
      </c>
      <c r="TC37" s="28">
        <f>'REG y VAL POE - AESR - ESR'!AM2858</f>
        <v>0</v>
      </c>
      <c r="TD37" s="29">
        <f>'REG y VAL POE - AESR - ESR'!AN2858</f>
        <v>0</v>
      </c>
      <c r="TE37" s="29">
        <f>'REG y VAL POE - AESR - ESR'!AO2858</f>
        <v>0</v>
      </c>
      <c r="TF37" s="28">
        <f>'REG y VAL POE - AESR - ESR'!AP2858</f>
        <v>0</v>
      </c>
      <c r="TG37" s="29">
        <f>'REG y VAL POE - AESR - ESR'!AQ2858</f>
        <v>0</v>
      </c>
      <c r="TH37" s="30">
        <f>'REG y VAL POE - AESR - ESR'!AR2858</f>
        <v>0</v>
      </c>
      <c r="TI37" s="28">
        <f>'REG y VAL POE - AESR - ESR'!AS2858</f>
        <v>0</v>
      </c>
      <c r="TJ37" s="29" t="str">
        <f>'REG y VAL POE - AESR - ESR'!B2859</f>
        <v xml:space="preserve">Trejo Santos Edith </v>
      </c>
      <c r="TK37" s="29" t="str">
        <f>'REG y VAL POE - AESR - ESR'!C2859</f>
        <v>Sin Registro</v>
      </c>
      <c r="TL37" s="29">
        <f>'REG y VAL POE - AESR - ESR'!D2859</f>
        <v>23000822</v>
      </c>
      <c r="TM37" s="28">
        <f>'REG y VAL POE - AESR - ESR'!E2859</f>
        <v>0</v>
      </c>
      <c r="TN37" s="29">
        <f>'REG y VAL POE - AESR - ESR'!F2859</f>
        <v>0</v>
      </c>
      <c r="TO37" s="29">
        <f>'REG y VAL POE - AESR - ESR'!G2859</f>
        <v>0</v>
      </c>
      <c r="TP37" s="28">
        <f>'REG y VAL POE - AESR - ESR'!H2859</f>
        <v>0</v>
      </c>
      <c r="TQ37" s="29">
        <f>'REG y VAL POE - AESR - ESR'!I2859</f>
        <v>0</v>
      </c>
      <c r="TR37" s="30">
        <f>'REG y VAL POE - AESR - ESR'!J2859</f>
        <v>0</v>
      </c>
      <c r="TS37" s="28">
        <f>'REG y VAL POE - AESR - ESR'!K2859</f>
        <v>0</v>
      </c>
      <c r="TT37" s="29">
        <f>'REG y VAL POE - AESR - ESR'!L2859</f>
        <v>0</v>
      </c>
      <c r="TU37" s="29">
        <f>'REG y VAL POE - AESR - ESR'!M2859</f>
        <v>0</v>
      </c>
      <c r="TV37" s="29">
        <f>'REG y VAL POE - AESR - ESR'!N2859</f>
        <v>0</v>
      </c>
      <c r="TW37" s="28">
        <f>'REG y VAL POE - AESR - ESR'!O2859</f>
        <v>0</v>
      </c>
      <c r="TX37" s="29">
        <f>'REG y VAL POE - AESR - ESR'!P2859</f>
        <v>0</v>
      </c>
      <c r="TY37" s="29">
        <f>'REG y VAL POE - AESR - ESR'!Q2859</f>
        <v>0</v>
      </c>
      <c r="TZ37" s="28">
        <f>'REG y VAL POE - AESR - ESR'!R2859</f>
        <v>0</v>
      </c>
      <c r="UA37" s="29">
        <f>'REG y VAL POE - AESR - ESR'!S2859</f>
        <v>0</v>
      </c>
      <c r="UB37" s="30">
        <f>'REG y VAL POE - AESR - ESR'!T2859</f>
        <v>0</v>
      </c>
      <c r="UC37" s="28">
        <f>'REG y VAL POE - AESR - ESR'!U2859</f>
        <v>0</v>
      </c>
      <c r="UD37" s="29">
        <f>'REG y VAL POE - AESR - ESR'!V2859</f>
        <v>0</v>
      </c>
      <c r="UE37" s="29">
        <f>'REG y VAL POE - AESR - ESR'!W2859</f>
        <v>0</v>
      </c>
      <c r="UF37" s="29">
        <f>'REG y VAL POE - AESR - ESR'!X2859</f>
        <v>0</v>
      </c>
      <c r="UG37" s="28">
        <f>'REG y VAL POE - AESR - ESR'!Y2859</f>
        <v>0</v>
      </c>
      <c r="UH37" s="29">
        <f>'REG y VAL POE - AESR - ESR'!Z2859</f>
        <v>0</v>
      </c>
      <c r="UI37" s="29">
        <f>'REG y VAL POE - AESR - ESR'!AA2859</f>
        <v>0</v>
      </c>
      <c r="UJ37" s="28">
        <f>'REG y VAL POE - AESR - ESR'!AB2859</f>
        <v>0</v>
      </c>
      <c r="UK37" s="29">
        <f>'REG y VAL POE - AESR - ESR'!AC2859</f>
        <v>0</v>
      </c>
      <c r="UL37" s="30">
        <f>'REG y VAL POE - AESR - ESR'!AD2859</f>
        <v>0</v>
      </c>
      <c r="UM37" s="28">
        <f>'REG y VAL POE - AESR - ESR'!AE2859</f>
        <v>0</v>
      </c>
      <c r="UN37" s="29">
        <f>'REG y VAL POE - AESR - ESR'!AF2859</f>
        <v>0</v>
      </c>
      <c r="UO37" s="29">
        <f>'REG y VAL POE - AESR - ESR'!AG2859</f>
        <v>0</v>
      </c>
      <c r="UP37" s="29">
        <f>'REG y VAL POE - AESR - ESR'!AH2859</f>
        <v>0</v>
      </c>
      <c r="UQ37" s="28">
        <f>'REG y VAL POE - AESR - ESR'!AI2859</f>
        <v>0</v>
      </c>
      <c r="UR37" s="29">
        <f>'REG y VAL POE - AESR - ESR'!AJ2859</f>
        <v>0</v>
      </c>
      <c r="US37" s="29">
        <f>'REG y VAL POE - AESR - ESR'!AK2859</f>
        <v>0</v>
      </c>
      <c r="UT37" s="28">
        <f>'REG y VAL POE - AESR - ESR'!AL2859</f>
        <v>0</v>
      </c>
      <c r="UU37" s="29">
        <f>'REG y VAL POE - AESR - ESR'!AM2859</f>
        <v>0</v>
      </c>
      <c r="UV37" s="30">
        <f>'REG y VAL POE - AESR - ESR'!AN2859</f>
        <v>0</v>
      </c>
      <c r="UW37" s="28">
        <f>'REG y VAL POE - AESR - ESR'!AO2859</f>
        <v>0</v>
      </c>
      <c r="UX37" s="29">
        <f>'REG y VAL POE - AESR - ESR'!AP2859</f>
        <v>0</v>
      </c>
      <c r="UY37" s="29">
        <f>'REG y VAL POE - AESR - ESR'!AQ2859</f>
        <v>0</v>
      </c>
      <c r="UZ37" s="29">
        <f>'REG y VAL POE - AESR - ESR'!AR2859</f>
        <v>0</v>
      </c>
      <c r="VA37" s="28">
        <f>'REG y VAL POE - AESR - ESR'!AS2859</f>
        <v>0</v>
      </c>
      <c r="VB37" s="29" t="str">
        <f>'REG y VAL POE - AESR - ESR'!B2860</f>
        <v xml:space="preserve">Vazquez Grajales Luisa Fernanda </v>
      </c>
      <c r="VC37" s="29" t="str">
        <f>'REG y VAL POE - AESR - ESR'!C2860</f>
        <v>Sin Registro</v>
      </c>
      <c r="VD37" s="28">
        <f>'REG y VAL POE - AESR - ESR'!D2860</f>
        <v>23095479</v>
      </c>
      <c r="VE37" s="29">
        <f>'REG y VAL POE - AESR - ESR'!E2860</f>
        <v>0</v>
      </c>
      <c r="VF37" s="30">
        <f>'REG y VAL POE - AESR - ESR'!F2860</f>
        <v>0</v>
      </c>
      <c r="VG37" s="28">
        <f>'REG y VAL POE - AESR - ESR'!G2860</f>
        <v>0</v>
      </c>
      <c r="VH37" s="29">
        <f>'REG y VAL POE - AESR - ESR'!H2860</f>
        <v>0</v>
      </c>
      <c r="VI37" s="29">
        <f>'REG y VAL POE - AESR - ESR'!I2860</f>
        <v>0</v>
      </c>
      <c r="VJ37" s="29">
        <f>'REG y VAL POE - AESR - ESR'!J2860</f>
        <v>0</v>
      </c>
      <c r="VK37" s="28">
        <f>'REG y VAL POE - AESR - ESR'!K2860</f>
        <v>0</v>
      </c>
      <c r="VL37" s="29">
        <f>'REG y VAL POE - AESR - ESR'!L2860</f>
        <v>0</v>
      </c>
      <c r="VM37" s="29">
        <f>'REG y VAL POE - AESR - ESR'!M2860</f>
        <v>0</v>
      </c>
      <c r="VN37" s="28">
        <f>'REG y VAL POE - AESR - ESR'!N2860</f>
        <v>0</v>
      </c>
      <c r="VO37" s="29">
        <f>'REG y VAL POE - AESR - ESR'!O2860</f>
        <v>0</v>
      </c>
      <c r="VP37" s="30">
        <f>'REG y VAL POE - AESR - ESR'!P2860</f>
        <v>0</v>
      </c>
      <c r="VQ37" s="28">
        <f>'REG y VAL POE - AESR - ESR'!Q2860</f>
        <v>0</v>
      </c>
      <c r="VR37" s="29">
        <f>'REG y VAL POE - AESR - ESR'!R2860</f>
        <v>0</v>
      </c>
      <c r="VS37" s="29">
        <f>'REG y VAL POE - AESR - ESR'!S2860</f>
        <v>0</v>
      </c>
      <c r="VT37" s="29">
        <f>'REG y VAL POE - AESR - ESR'!T2860</f>
        <v>0</v>
      </c>
      <c r="VU37" s="28">
        <f>'REG y VAL POE - AESR - ESR'!U2860</f>
        <v>0</v>
      </c>
      <c r="VV37" s="29">
        <f>'REG y VAL POE - AESR - ESR'!V2860</f>
        <v>0</v>
      </c>
      <c r="VW37" s="29">
        <f>'REG y VAL POE - AESR - ESR'!W2860</f>
        <v>0</v>
      </c>
      <c r="VX37" s="28">
        <f>'REG y VAL POE - AESR - ESR'!X2860</f>
        <v>0</v>
      </c>
      <c r="VY37" s="29">
        <f>'REG y VAL POE - AESR - ESR'!Y2860</f>
        <v>0</v>
      </c>
      <c r="VZ37" s="30">
        <f>'REG y VAL POE - AESR - ESR'!Z2860</f>
        <v>0</v>
      </c>
      <c r="WA37" s="28">
        <f>'REG y VAL POE - AESR - ESR'!AA2860</f>
        <v>0</v>
      </c>
      <c r="WB37" s="29">
        <f>'REG y VAL POE - AESR - ESR'!AB2860</f>
        <v>0</v>
      </c>
      <c r="WC37" s="29">
        <f>'REG y VAL POE - AESR - ESR'!AC2860</f>
        <v>0</v>
      </c>
      <c r="WD37" s="29">
        <f>'REG y VAL POE - AESR - ESR'!AD2860</f>
        <v>0</v>
      </c>
      <c r="WE37" s="28">
        <f>'REG y VAL POE - AESR - ESR'!AE2860</f>
        <v>0</v>
      </c>
      <c r="WF37" s="29">
        <f>'REG y VAL POE - AESR - ESR'!AF2860</f>
        <v>0</v>
      </c>
      <c r="WG37" s="29">
        <f>'REG y VAL POE - AESR - ESR'!AG2860</f>
        <v>0</v>
      </c>
      <c r="WH37" s="28">
        <f>'REG y VAL POE - AESR - ESR'!AH2860</f>
        <v>0</v>
      </c>
      <c r="WI37" s="29">
        <f>'REG y VAL POE - AESR - ESR'!AI2860</f>
        <v>0</v>
      </c>
      <c r="WJ37" s="30">
        <f>'REG y VAL POE - AESR - ESR'!AJ2860</f>
        <v>0</v>
      </c>
      <c r="WK37" s="28">
        <f>'REG y VAL POE - AESR - ESR'!AK2860</f>
        <v>0</v>
      </c>
      <c r="WL37" s="29">
        <f>'REG y VAL POE - AESR - ESR'!AL2860</f>
        <v>0</v>
      </c>
      <c r="WM37" s="29">
        <f>'REG y VAL POE - AESR - ESR'!AM2860</f>
        <v>0</v>
      </c>
      <c r="WN37" s="29">
        <f>'REG y VAL POE - AESR - ESR'!AN2860</f>
        <v>0</v>
      </c>
      <c r="WO37" s="28">
        <f>'REG y VAL POE - AESR - ESR'!AO2860</f>
        <v>0</v>
      </c>
      <c r="WP37" s="29">
        <f>'REG y VAL POE - AESR - ESR'!AP2860</f>
        <v>0</v>
      </c>
      <c r="WQ37" s="29">
        <f>'REG y VAL POE - AESR - ESR'!AQ2860</f>
        <v>0</v>
      </c>
      <c r="WR37" s="28">
        <f>'REG y VAL POE - AESR - ESR'!AR2860</f>
        <v>0</v>
      </c>
      <c r="WS37" s="29">
        <f>'REG y VAL POE - AESR - ESR'!AS2860</f>
        <v>0</v>
      </c>
      <c r="WT37" s="30">
        <f>'REG y VAL POE - AESR - ESR'!B2861</f>
        <v>0</v>
      </c>
      <c r="WU37" s="28">
        <f>'REG y VAL POE - AESR - ESR'!C2861</f>
        <v>0</v>
      </c>
      <c r="WV37" s="29">
        <f>'REG y VAL POE - AESR - ESR'!D2861</f>
        <v>0</v>
      </c>
      <c r="WW37" s="29">
        <f>'REG y VAL POE - AESR - ESR'!E2861</f>
        <v>0</v>
      </c>
      <c r="WX37" s="29">
        <f>'REG y VAL POE - AESR - ESR'!F2861</f>
        <v>0</v>
      </c>
      <c r="WY37" s="28">
        <f>'REG y VAL POE - AESR - ESR'!G2861</f>
        <v>0</v>
      </c>
      <c r="WZ37" s="29">
        <f>'REG y VAL POE - AESR - ESR'!H2861</f>
        <v>0</v>
      </c>
      <c r="XA37" s="29">
        <f>'REG y VAL POE - AESR - ESR'!I2861</f>
        <v>0</v>
      </c>
      <c r="XB37" s="28">
        <f>'REG y VAL POE - AESR - ESR'!J2861</f>
        <v>0</v>
      </c>
      <c r="XC37" s="29">
        <f>'REG y VAL POE - AESR - ESR'!K2861</f>
        <v>0</v>
      </c>
      <c r="XD37" s="30">
        <f>'REG y VAL POE - AESR - ESR'!L2861</f>
        <v>0</v>
      </c>
      <c r="XE37" s="28">
        <f>'REG y VAL POE - AESR - ESR'!M2861</f>
        <v>0</v>
      </c>
      <c r="XF37" s="29">
        <f>'REG y VAL POE - AESR - ESR'!N2861</f>
        <v>0</v>
      </c>
      <c r="XG37" s="29">
        <f>'REG y VAL POE - AESR - ESR'!O2861</f>
        <v>0</v>
      </c>
      <c r="XH37" s="29">
        <f>'REG y VAL POE - AESR - ESR'!P2861</f>
        <v>0</v>
      </c>
      <c r="XI37" s="28">
        <f>'REG y VAL POE - AESR - ESR'!Q2861</f>
        <v>0</v>
      </c>
      <c r="XJ37" s="29">
        <f>'REG y VAL POE - AESR - ESR'!R2861</f>
        <v>0</v>
      </c>
      <c r="XK37" s="29">
        <f>'REG y VAL POE - AESR - ESR'!S2861</f>
        <v>0</v>
      </c>
      <c r="XL37" s="28">
        <f>'REG y VAL POE - AESR - ESR'!T2861</f>
        <v>0</v>
      </c>
      <c r="XM37" s="29">
        <f>'REG y VAL POE - AESR - ESR'!U2861</f>
        <v>0</v>
      </c>
      <c r="XN37" s="30">
        <f>'REG y VAL POE - AESR - ESR'!V2861</f>
        <v>0</v>
      </c>
      <c r="XO37" s="28">
        <f>'REG y VAL POE - AESR - ESR'!W2861</f>
        <v>0</v>
      </c>
      <c r="XP37" s="29">
        <f>'REG y VAL POE - AESR - ESR'!X2861</f>
        <v>0</v>
      </c>
      <c r="XQ37" s="29">
        <f>'REG y VAL POE - AESR - ESR'!Y2861</f>
        <v>0</v>
      </c>
      <c r="XR37" s="29">
        <f>'REG y VAL POE - AESR - ESR'!Z2861</f>
        <v>0</v>
      </c>
      <c r="XS37" s="28">
        <f>'REG y VAL POE - AESR - ESR'!AA2861</f>
        <v>0</v>
      </c>
      <c r="XT37" s="29">
        <f>'REG y VAL POE - AESR - ESR'!AB2861</f>
        <v>0</v>
      </c>
      <c r="XU37" s="29">
        <f>'REG y VAL POE - AESR - ESR'!AC2861</f>
        <v>0</v>
      </c>
      <c r="XV37" s="28">
        <f>'REG y VAL POE - AESR - ESR'!AD2861</f>
        <v>0</v>
      </c>
      <c r="XW37" s="29">
        <f>'REG y VAL POE - AESR - ESR'!AE2861</f>
        <v>0</v>
      </c>
      <c r="XX37" s="30">
        <f>'REG y VAL POE - AESR - ESR'!AF2861</f>
        <v>0</v>
      </c>
      <c r="XY37" s="28">
        <f>'REG y VAL POE - AESR - ESR'!AG2861</f>
        <v>0</v>
      </c>
      <c r="XZ37" s="29">
        <f>'REG y VAL POE - AESR - ESR'!AH2861</f>
        <v>0</v>
      </c>
      <c r="YA37" s="29">
        <f>'REG y VAL POE - AESR - ESR'!AI2861</f>
        <v>0</v>
      </c>
      <c r="YB37" s="29">
        <f>'REG y VAL POE - AESR - ESR'!AJ2861</f>
        <v>0</v>
      </c>
      <c r="YC37" s="28">
        <f>'REG y VAL POE - AESR - ESR'!AK2861</f>
        <v>0</v>
      </c>
      <c r="YD37" s="29">
        <f>'REG y VAL POE - AESR - ESR'!AL2861</f>
        <v>0</v>
      </c>
      <c r="YE37" s="29">
        <f>'REG y VAL POE - AESR - ESR'!AM2861</f>
        <v>0</v>
      </c>
      <c r="YF37" s="28">
        <f>'REG y VAL POE - AESR - ESR'!AN2861</f>
        <v>0</v>
      </c>
      <c r="YG37" s="29">
        <f>'REG y VAL POE - AESR - ESR'!AO2861</f>
        <v>0</v>
      </c>
      <c r="YH37" s="30">
        <f>'REG y VAL POE - AESR - ESR'!AP2861</f>
        <v>0</v>
      </c>
      <c r="YI37" s="28">
        <f>'REG y VAL POE - AESR - ESR'!AQ2861</f>
        <v>0</v>
      </c>
      <c r="YJ37" s="29">
        <f>'REG y VAL POE - AESR - ESR'!AR2861</f>
        <v>0</v>
      </c>
      <c r="YK37" s="29">
        <f>'REG y VAL POE - AESR - ESR'!AS2861</f>
        <v>0</v>
      </c>
      <c r="YL37" s="29">
        <f>'REG y VAL POE - AESR - ESR'!B2862</f>
        <v>0</v>
      </c>
      <c r="YM37" s="28">
        <f>'REG y VAL POE - AESR - ESR'!C2862</f>
        <v>0</v>
      </c>
      <c r="YN37" s="29">
        <f>'REG y VAL POE - AESR - ESR'!D2862</f>
        <v>0</v>
      </c>
      <c r="YO37" s="29">
        <f>'REG y VAL POE - AESR - ESR'!E2862</f>
        <v>0</v>
      </c>
      <c r="YP37" s="28">
        <f>'REG y VAL POE - AESR - ESR'!F2862</f>
        <v>0</v>
      </c>
      <c r="YQ37" s="29">
        <f>'REG y VAL POE - AESR - ESR'!G2862</f>
        <v>0</v>
      </c>
      <c r="YR37" s="30">
        <f>'REG y VAL POE - AESR - ESR'!H2862</f>
        <v>0</v>
      </c>
      <c r="YS37" s="28">
        <f>'REG y VAL POE - AESR - ESR'!I2862</f>
        <v>0</v>
      </c>
      <c r="YT37" s="29">
        <f>'REG y VAL POE - AESR - ESR'!J2862</f>
        <v>0</v>
      </c>
      <c r="YU37" s="29">
        <f>'REG y VAL POE - AESR - ESR'!K2862</f>
        <v>0</v>
      </c>
      <c r="YV37" s="29">
        <f>'REG y VAL POE - AESR - ESR'!L2862</f>
        <v>0</v>
      </c>
      <c r="YW37" s="28">
        <f>'REG y VAL POE - AESR - ESR'!M2862</f>
        <v>0</v>
      </c>
      <c r="YX37" s="29">
        <f>'REG y VAL POE - AESR - ESR'!N2862</f>
        <v>0</v>
      </c>
      <c r="YY37" s="29">
        <f>'REG y VAL POE - AESR - ESR'!O2862</f>
        <v>0</v>
      </c>
      <c r="YZ37" s="28">
        <f>'REG y VAL POE - AESR - ESR'!P2862</f>
        <v>0</v>
      </c>
      <c r="ZA37" s="29">
        <f>'REG y VAL POE - AESR - ESR'!Q2862</f>
        <v>0</v>
      </c>
      <c r="ZB37" s="30">
        <f>'REG y VAL POE - AESR - ESR'!R2862</f>
        <v>0</v>
      </c>
      <c r="ZC37" s="28">
        <f>'REG y VAL POE - AESR - ESR'!S2862</f>
        <v>0</v>
      </c>
      <c r="ZD37" s="29">
        <f>'REG y VAL POE - AESR - ESR'!T2862</f>
        <v>0</v>
      </c>
      <c r="ZE37" s="29">
        <f>'REG y VAL POE - AESR - ESR'!U2862</f>
        <v>0</v>
      </c>
      <c r="ZF37" s="29">
        <f>'REG y VAL POE - AESR - ESR'!V2862</f>
        <v>0</v>
      </c>
      <c r="ZG37" s="28">
        <f>'REG y VAL POE - AESR - ESR'!W2862</f>
        <v>0</v>
      </c>
      <c r="ZH37" s="29">
        <f>'REG y VAL POE - AESR - ESR'!X2862</f>
        <v>0</v>
      </c>
      <c r="ZI37" s="29">
        <f>'REG y VAL POE - AESR - ESR'!Y2862</f>
        <v>0</v>
      </c>
      <c r="ZJ37" s="28">
        <f>'REG y VAL POE - AESR - ESR'!Z2862</f>
        <v>0</v>
      </c>
      <c r="ZK37" s="29">
        <f>'REG y VAL POE - AESR - ESR'!AA2862</f>
        <v>0</v>
      </c>
      <c r="ZL37" s="30">
        <f>'REG y VAL POE - AESR - ESR'!AB2862</f>
        <v>0</v>
      </c>
      <c r="ZM37" s="28">
        <f>'REG y VAL POE - AESR - ESR'!AC2862</f>
        <v>0</v>
      </c>
      <c r="ZN37" s="29">
        <f>'REG y VAL POE - AESR - ESR'!AD2862</f>
        <v>0</v>
      </c>
      <c r="ZO37" s="29">
        <f>'REG y VAL POE - AESR - ESR'!AE2862</f>
        <v>0</v>
      </c>
      <c r="ZP37" s="29">
        <f>'REG y VAL POE - AESR - ESR'!AF2862</f>
        <v>0</v>
      </c>
      <c r="ZQ37" s="28">
        <f>'REG y VAL POE - AESR - ESR'!AG2862</f>
        <v>0</v>
      </c>
      <c r="ZR37" s="29">
        <f>'REG y VAL POE - AESR - ESR'!AH2862</f>
        <v>0</v>
      </c>
      <c r="ZS37" s="29">
        <f>'REG y VAL POE - AESR - ESR'!AI2862</f>
        <v>0</v>
      </c>
      <c r="ZT37" s="28">
        <f>'REG y VAL POE - AESR - ESR'!AJ2862</f>
        <v>0</v>
      </c>
      <c r="ZU37" s="29">
        <f>'REG y VAL POE - AESR - ESR'!AK2862</f>
        <v>0</v>
      </c>
      <c r="ZV37" s="30">
        <f>'REG y VAL POE - AESR - ESR'!AL2862</f>
        <v>0</v>
      </c>
      <c r="ZW37" s="28">
        <f>'REG y VAL POE - AESR - ESR'!AM2862</f>
        <v>0</v>
      </c>
      <c r="ZX37" s="29">
        <f>'REG y VAL POE - AESR - ESR'!AN2862</f>
        <v>0</v>
      </c>
      <c r="ZY37" s="29">
        <f>'REG y VAL POE - AESR - ESR'!AO2862</f>
        <v>0</v>
      </c>
      <c r="ZZ37" s="29">
        <f>'REG y VAL POE - AESR - ESR'!AP2862</f>
        <v>0</v>
      </c>
      <c r="AAA37" s="28">
        <f>'REG y VAL POE - AESR - ESR'!AQ2862</f>
        <v>0</v>
      </c>
      <c r="AAB37" s="29">
        <f>'REG y VAL POE - AESR - ESR'!AR2862</f>
        <v>0</v>
      </c>
      <c r="AAC37" s="29">
        <f>'REG y VAL POE - AESR - ESR'!AS2862</f>
        <v>0</v>
      </c>
      <c r="AAD37" s="28">
        <f>'REG y VAL POE - AESR - ESR'!B2863</f>
        <v>0</v>
      </c>
      <c r="AAE37" s="29">
        <f>'REG y VAL POE - AESR - ESR'!C2863</f>
        <v>0</v>
      </c>
      <c r="AAF37" s="30">
        <f>'REG y VAL POE - AESR - ESR'!D2863</f>
        <v>0</v>
      </c>
      <c r="AAG37" s="28">
        <f>'REG y VAL POE - AESR - ESR'!E2863</f>
        <v>0</v>
      </c>
      <c r="AAH37" s="29">
        <f>'REG y VAL POE - AESR - ESR'!F2863</f>
        <v>0</v>
      </c>
      <c r="AAI37" s="29">
        <f>'REG y VAL POE - AESR - ESR'!G2863</f>
        <v>0</v>
      </c>
      <c r="AAJ37" s="29">
        <f>'REG y VAL POE - AESR - ESR'!H2863</f>
        <v>0</v>
      </c>
      <c r="AAK37" s="28">
        <f>'REG y VAL POE - AESR - ESR'!I2863</f>
        <v>0</v>
      </c>
      <c r="AAL37" s="29">
        <f>'REG y VAL POE - AESR - ESR'!J2863</f>
        <v>0</v>
      </c>
      <c r="AAM37" s="29">
        <f>'REG y VAL POE - AESR - ESR'!K2863</f>
        <v>0</v>
      </c>
      <c r="AAN37" s="28">
        <f>'REG y VAL POE - AESR - ESR'!L2863</f>
        <v>0</v>
      </c>
      <c r="AAO37" s="29">
        <f>'REG y VAL POE - AESR - ESR'!M2863</f>
        <v>0</v>
      </c>
      <c r="AAP37" s="30">
        <f>'REG y VAL POE - AESR - ESR'!N2863</f>
        <v>0</v>
      </c>
      <c r="AAQ37" s="28">
        <f>'REG y VAL POE - AESR - ESR'!O2863</f>
        <v>0</v>
      </c>
      <c r="AAR37" s="29">
        <f>'REG y VAL POE - AESR - ESR'!P2863</f>
        <v>0</v>
      </c>
      <c r="AAS37" s="29">
        <f>'REG y VAL POE - AESR - ESR'!Q2863</f>
        <v>0</v>
      </c>
      <c r="AAT37" s="29">
        <f>'REG y VAL POE - AESR - ESR'!R2863</f>
        <v>0</v>
      </c>
      <c r="AAU37" s="28">
        <f>'REG y VAL POE - AESR - ESR'!S2863</f>
        <v>0</v>
      </c>
      <c r="AAV37" s="29">
        <f>'REG y VAL POE - AESR - ESR'!T2863</f>
        <v>0</v>
      </c>
      <c r="AAW37" s="29">
        <f>'REG y VAL POE - AESR - ESR'!U2863</f>
        <v>0</v>
      </c>
      <c r="AAX37" s="28">
        <f>'REG y VAL POE - AESR - ESR'!V2863</f>
        <v>0</v>
      </c>
      <c r="AAY37" s="29">
        <f>'REG y VAL POE - AESR - ESR'!W2863</f>
        <v>0</v>
      </c>
      <c r="AAZ37" s="30">
        <f>'REG y VAL POE - AESR - ESR'!X2863</f>
        <v>0</v>
      </c>
      <c r="ABA37" s="28">
        <f>'REG y VAL POE - AESR - ESR'!Y2863</f>
        <v>0</v>
      </c>
      <c r="ABB37" s="29">
        <f>'REG y VAL POE - AESR - ESR'!Z2863</f>
        <v>0</v>
      </c>
      <c r="ABC37" s="29">
        <f>'REG y VAL POE - AESR - ESR'!AA2863</f>
        <v>0</v>
      </c>
      <c r="ABD37" s="29">
        <f>'REG y VAL POE - AESR - ESR'!AB2863</f>
        <v>0</v>
      </c>
      <c r="ABE37" s="28">
        <f>'REG y VAL POE - AESR - ESR'!AC2863</f>
        <v>0</v>
      </c>
      <c r="ABF37" s="29">
        <f>'REG y VAL POE - AESR - ESR'!AD2863</f>
        <v>0</v>
      </c>
      <c r="ABG37" s="29">
        <f>'REG y VAL POE - AESR - ESR'!AE2863</f>
        <v>0</v>
      </c>
      <c r="ABH37" s="28">
        <f>'REG y VAL POE - AESR - ESR'!AF2863</f>
        <v>0</v>
      </c>
      <c r="ABI37" s="29">
        <f>'REG y VAL POE - AESR - ESR'!AG2863</f>
        <v>0</v>
      </c>
      <c r="ABJ37" s="30">
        <f>'REG y VAL POE - AESR - ESR'!AH2863</f>
        <v>0</v>
      </c>
      <c r="ABK37" s="28">
        <f>'REG y VAL POE - AESR - ESR'!AI2863</f>
        <v>0</v>
      </c>
      <c r="ABL37" s="29">
        <f>'REG y VAL POE - AESR - ESR'!AJ2863</f>
        <v>0</v>
      </c>
      <c r="ABM37" s="29">
        <f>'REG y VAL POE - AESR - ESR'!AK2863</f>
        <v>0</v>
      </c>
      <c r="ABN37" s="29">
        <f>'REG y VAL POE - AESR - ESR'!AL2863</f>
        <v>0</v>
      </c>
      <c r="ABO37" s="28">
        <f>'REG y VAL POE - AESR - ESR'!AM2863</f>
        <v>0</v>
      </c>
      <c r="ABP37" s="29">
        <f>'REG y VAL POE - AESR - ESR'!AN2863</f>
        <v>0</v>
      </c>
      <c r="ABQ37" s="29">
        <f>'REG y VAL POE - AESR - ESR'!AO2863</f>
        <v>0</v>
      </c>
      <c r="ABR37" s="28">
        <f>'REG y VAL POE - AESR - ESR'!AP2863</f>
        <v>0</v>
      </c>
      <c r="ABS37" s="29">
        <f>'REG y VAL POE - AESR - ESR'!AQ2863</f>
        <v>0</v>
      </c>
      <c r="ABT37" s="30">
        <f>'REG y VAL POE - AESR - ESR'!AR2863</f>
        <v>0</v>
      </c>
      <c r="ABU37" s="28">
        <f>'REG y VAL POE - AESR - ESR'!AS2863</f>
        <v>0</v>
      </c>
      <c r="ABV37" s="29">
        <f>'REG y VAL POE - AESR - ESR'!B2864</f>
        <v>0</v>
      </c>
      <c r="ABW37" s="29">
        <f>'REG y VAL POE - AESR - ESR'!C2864</f>
        <v>0</v>
      </c>
      <c r="ABX37" s="29">
        <f>'REG y VAL POE - AESR - ESR'!D2864</f>
        <v>0</v>
      </c>
      <c r="ABY37" s="28">
        <f>'REG y VAL POE - AESR - ESR'!E2864</f>
        <v>0</v>
      </c>
      <c r="ABZ37" s="29">
        <f>'REG y VAL POE - AESR - ESR'!F2864</f>
        <v>0</v>
      </c>
      <c r="ACA37" s="29">
        <f>'REG y VAL POE - AESR - ESR'!G2864</f>
        <v>0</v>
      </c>
      <c r="ACB37" s="28">
        <f>'REG y VAL POE - AESR - ESR'!H2864</f>
        <v>0</v>
      </c>
      <c r="ACC37" s="29">
        <f>'REG y VAL POE - AESR - ESR'!I2864</f>
        <v>0</v>
      </c>
      <c r="ACD37" s="30">
        <f>'REG y VAL POE - AESR - ESR'!J2864</f>
        <v>0</v>
      </c>
      <c r="ACE37" s="28">
        <f>'REG y VAL POE - AESR - ESR'!K2864</f>
        <v>0</v>
      </c>
      <c r="ACF37" s="29">
        <f>'REG y VAL POE - AESR - ESR'!L2864</f>
        <v>0</v>
      </c>
      <c r="ACG37" s="29">
        <f>'REG y VAL POE - AESR - ESR'!M2864</f>
        <v>0</v>
      </c>
      <c r="ACH37" s="29">
        <f>'REG y VAL POE - AESR - ESR'!N2864</f>
        <v>0</v>
      </c>
      <c r="ACI37" s="28">
        <f>'REG y VAL POE - AESR - ESR'!O2864</f>
        <v>0</v>
      </c>
      <c r="ACJ37" s="29">
        <f>'REG y VAL POE - AESR - ESR'!P2864</f>
        <v>0</v>
      </c>
      <c r="ACK37" s="29">
        <f>'REG y VAL POE - AESR - ESR'!Q2864</f>
        <v>0</v>
      </c>
      <c r="ACL37" s="28">
        <f>'REG y VAL POE - AESR - ESR'!R2864</f>
        <v>0</v>
      </c>
      <c r="ACM37" s="29">
        <f>'REG y VAL POE - AESR - ESR'!S2864</f>
        <v>0</v>
      </c>
      <c r="ACN37" s="30">
        <f>'REG y VAL POE - AESR - ESR'!T2864</f>
        <v>0</v>
      </c>
      <c r="ACO37" s="28">
        <f>'REG y VAL POE - AESR - ESR'!U2864</f>
        <v>0</v>
      </c>
      <c r="ACP37" s="29">
        <f>'REG y VAL POE - AESR - ESR'!V2864</f>
        <v>0</v>
      </c>
      <c r="ACQ37" s="29">
        <f>'REG y VAL POE - AESR - ESR'!W2864</f>
        <v>0</v>
      </c>
      <c r="ACR37" s="29">
        <f>'REG y VAL POE - AESR - ESR'!X2864</f>
        <v>0</v>
      </c>
      <c r="ACS37" s="28">
        <f>'REG y VAL POE - AESR - ESR'!Y2864</f>
        <v>0</v>
      </c>
      <c r="ACT37" s="29">
        <f>'REG y VAL POE - AESR - ESR'!Z2864</f>
        <v>0</v>
      </c>
      <c r="ACU37" s="29">
        <f>'REG y VAL POE - AESR - ESR'!AA2864</f>
        <v>0</v>
      </c>
      <c r="ACV37" s="28">
        <f>'REG y VAL POE - AESR - ESR'!AB2864</f>
        <v>0</v>
      </c>
      <c r="ACW37" s="29">
        <f>'REG y VAL POE - AESR - ESR'!AC2864</f>
        <v>0</v>
      </c>
      <c r="ACX37" s="30">
        <f>'REG y VAL POE - AESR - ESR'!AD2864</f>
        <v>0</v>
      </c>
      <c r="ACY37" s="28">
        <f>'REG y VAL POE - AESR - ESR'!AE2864</f>
        <v>0</v>
      </c>
      <c r="ACZ37" s="29">
        <f>'REG y VAL POE - AESR - ESR'!AF2864</f>
        <v>0</v>
      </c>
      <c r="ADA37" s="29">
        <f>'REG y VAL POE - AESR - ESR'!AG2864</f>
        <v>0</v>
      </c>
      <c r="ADB37" s="29">
        <f>'REG y VAL POE - AESR - ESR'!AH2864</f>
        <v>0</v>
      </c>
      <c r="ADC37" s="28">
        <f>'REG y VAL POE - AESR - ESR'!AI2864</f>
        <v>0</v>
      </c>
      <c r="ADD37" s="29">
        <f>'REG y VAL POE - AESR - ESR'!AJ2864</f>
        <v>0</v>
      </c>
      <c r="ADE37" s="29">
        <f>'REG y VAL POE - AESR - ESR'!AK2864</f>
        <v>0</v>
      </c>
      <c r="ADF37" s="28">
        <f>'REG y VAL POE - AESR - ESR'!AL2864</f>
        <v>0</v>
      </c>
      <c r="ADG37" s="29">
        <f>'REG y VAL POE - AESR - ESR'!AM2864</f>
        <v>0</v>
      </c>
      <c r="ADH37" s="30">
        <f>'REG y VAL POE - AESR - ESR'!AN2864</f>
        <v>0</v>
      </c>
      <c r="ADI37" s="28">
        <f>'REG y VAL POE - AESR - ESR'!AO2864</f>
        <v>0</v>
      </c>
      <c r="ADJ37" s="29">
        <f>'REG y VAL POE - AESR - ESR'!AP2864</f>
        <v>0</v>
      </c>
      <c r="ADK37" s="29">
        <f>'REG y VAL POE - AESR - ESR'!AQ2864</f>
        <v>0</v>
      </c>
      <c r="ADL37" s="29">
        <f>'REG y VAL POE - AESR - ESR'!AR2864</f>
        <v>0</v>
      </c>
      <c r="ADM37" s="28">
        <f>'REG y VAL POE - AESR - ESR'!AS2864</f>
        <v>0</v>
      </c>
      <c r="ADN37" s="29">
        <f>'REG y VAL POE - AESR - ESR'!B2865</f>
        <v>0</v>
      </c>
      <c r="ADO37" s="29">
        <f>'REG y VAL POE - AESR - ESR'!C2865</f>
        <v>0</v>
      </c>
      <c r="ADP37" s="28">
        <f>'REG y VAL POE - AESR - ESR'!D2865</f>
        <v>0</v>
      </c>
      <c r="ADQ37" s="29">
        <f>'REG y VAL POE - AESR - ESR'!E2865</f>
        <v>0</v>
      </c>
      <c r="ADR37" s="30">
        <f>'REG y VAL POE - AESR - ESR'!F2865</f>
        <v>0</v>
      </c>
      <c r="ADS37" s="28">
        <f>'REG y VAL POE - AESR - ESR'!G2865</f>
        <v>0</v>
      </c>
      <c r="ADT37" s="29">
        <f>'REG y VAL POE - AESR - ESR'!H2865</f>
        <v>0</v>
      </c>
      <c r="ADU37" s="29">
        <f>'REG y VAL POE - AESR - ESR'!I2865</f>
        <v>0</v>
      </c>
      <c r="ADV37" s="29">
        <f>'REG y VAL POE - AESR - ESR'!J2865</f>
        <v>0</v>
      </c>
      <c r="ADW37" s="28">
        <f>'REG y VAL POE - AESR - ESR'!K2865</f>
        <v>0</v>
      </c>
      <c r="ADX37" s="29">
        <f>'REG y VAL POE - AESR - ESR'!L2865</f>
        <v>0</v>
      </c>
      <c r="ADY37" s="29">
        <f>'REG y VAL POE - AESR - ESR'!M2865</f>
        <v>0</v>
      </c>
      <c r="ADZ37" s="28">
        <f>'REG y VAL POE - AESR - ESR'!N2865</f>
        <v>0</v>
      </c>
      <c r="AEA37" s="29">
        <f>'REG y VAL POE - AESR - ESR'!O2865</f>
        <v>0</v>
      </c>
      <c r="AEB37" s="30">
        <f>'REG y VAL POE - AESR - ESR'!P2865</f>
        <v>0</v>
      </c>
      <c r="AEC37" s="28">
        <f>'REG y VAL POE - AESR - ESR'!Q2865</f>
        <v>0</v>
      </c>
      <c r="AED37" s="29">
        <f>'REG y VAL POE - AESR - ESR'!R2865</f>
        <v>0</v>
      </c>
      <c r="AEE37" s="29">
        <f>'REG y VAL POE - AESR - ESR'!S2865</f>
        <v>0</v>
      </c>
      <c r="AEF37" s="29">
        <f>'REG y VAL POE - AESR - ESR'!T2865</f>
        <v>0</v>
      </c>
      <c r="AEG37" s="28">
        <f>'REG y VAL POE - AESR - ESR'!U2865</f>
        <v>0</v>
      </c>
      <c r="AEH37" s="29">
        <f>'REG y VAL POE - AESR - ESR'!V2865</f>
        <v>0</v>
      </c>
      <c r="AEI37" s="29">
        <f>'REG y VAL POE - AESR - ESR'!W2865</f>
        <v>0</v>
      </c>
      <c r="AEJ37" s="28">
        <f>'REG y VAL POE - AESR - ESR'!X2865</f>
        <v>0</v>
      </c>
      <c r="AEK37" s="29">
        <f>'REG y VAL POE - AESR - ESR'!Y2865</f>
        <v>0</v>
      </c>
      <c r="AEL37" s="30">
        <f>'REG y VAL POE - AESR - ESR'!Z2865</f>
        <v>0</v>
      </c>
      <c r="AEM37" s="28">
        <f>'REG y VAL POE - AESR - ESR'!AA2865</f>
        <v>0</v>
      </c>
      <c r="AEN37" s="29">
        <f>'REG y VAL POE - AESR - ESR'!AB2865</f>
        <v>0</v>
      </c>
      <c r="AEO37" s="29">
        <f>'REG y VAL POE - AESR - ESR'!AC2865</f>
        <v>0</v>
      </c>
      <c r="AEP37" s="29">
        <f>'REG y VAL POE - AESR - ESR'!AD2865</f>
        <v>0</v>
      </c>
      <c r="AEQ37" s="28">
        <f>'REG y VAL POE - AESR - ESR'!AE2865</f>
        <v>0</v>
      </c>
      <c r="AER37" s="29">
        <f>'REG y VAL POE - AESR - ESR'!AF2865</f>
        <v>0</v>
      </c>
      <c r="AES37" s="29">
        <f>'REG y VAL POE - AESR - ESR'!AG2865</f>
        <v>0</v>
      </c>
      <c r="AET37" s="28">
        <f>'REG y VAL POE - AESR - ESR'!AH2865</f>
        <v>0</v>
      </c>
      <c r="AEU37" s="29">
        <f>'REG y VAL POE - AESR - ESR'!AI2865</f>
        <v>0</v>
      </c>
      <c r="AEV37" s="30">
        <f>'REG y VAL POE - AESR - ESR'!AJ2865</f>
        <v>0</v>
      </c>
      <c r="AEW37" s="28">
        <f>'REG y VAL POE - AESR - ESR'!AK2865</f>
        <v>0</v>
      </c>
      <c r="AEX37" s="29">
        <f>'REG y VAL POE - AESR - ESR'!AL2865</f>
        <v>0</v>
      </c>
      <c r="AEY37" s="29">
        <f>'REG y VAL POE - AESR - ESR'!AM2865</f>
        <v>0</v>
      </c>
      <c r="AEZ37" s="29">
        <f>'REG y VAL POE - AESR - ESR'!AN2865</f>
        <v>0</v>
      </c>
      <c r="AFA37" s="28">
        <f>'REG y VAL POE - AESR - ESR'!AO2865</f>
        <v>0</v>
      </c>
      <c r="AFB37" s="29">
        <f>'REG y VAL POE - AESR - ESR'!AP2865</f>
        <v>0</v>
      </c>
      <c r="AFC37" s="29">
        <f>'REG y VAL POE - AESR - ESR'!AQ2865</f>
        <v>0</v>
      </c>
      <c r="AFD37" s="28">
        <f>'REG y VAL POE - AESR - ESR'!AR2865</f>
        <v>0</v>
      </c>
      <c r="AFE37" s="29">
        <f>'REG y VAL POE - AESR - ESR'!AS2865</f>
        <v>0</v>
      </c>
      <c r="AFF37" s="30">
        <f>'REG y VAL POE - AESR - ESR'!B2866</f>
        <v>0</v>
      </c>
      <c r="AFG37" s="28">
        <f>'REG y VAL POE - AESR - ESR'!C2866</f>
        <v>0</v>
      </c>
      <c r="AFH37" s="29">
        <f>'REG y VAL POE - AESR - ESR'!D2866</f>
        <v>0</v>
      </c>
      <c r="AFI37" s="29">
        <f>'REG y VAL POE - AESR - ESR'!E2866</f>
        <v>0</v>
      </c>
      <c r="AFJ37" s="29">
        <f>'REG y VAL POE - AESR - ESR'!F2866</f>
        <v>0</v>
      </c>
      <c r="AFK37" s="28">
        <f>'REG y VAL POE - AESR - ESR'!G2866</f>
        <v>0</v>
      </c>
      <c r="AFL37" s="29">
        <f>'REG y VAL POE - AESR - ESR'!H2866</f>
        <v>0</v>
      </c>
      <c r="AFM37" s="29">
        <f>'REG y VAL POE - AESR - ESR'!I2866</f>
        <v>0</v>
      </c>
      <c r="AFN37" s="28">
        <f>'REG y VAL POE - AESR - ESR'!J2866</f>
        <v>0</v>
      </c>
      <c r="AFO37" s="29">
        <f>'REG y VAL POE - AESR - ESR'!K2866</f>
        <v>0</v>
      </c>
      <c r="AFP37" s="30">
        <f>'REG y VAL POE - AESR - ESR'!L2866</f>
        <v>0</v>
      </c>
      <c r="AFQ37" s="28">
        <f>'REG y VAL POE - AESR - ESR'!M2866</f>
        <v>0</v>
      </c>
      <c r="AFR37" s="29">
        <f>'REG y VAL POE - AESR - ESR'!N2866</f>
        <v>0</v>
      </c>
      <c r="AFS37" s="29">
        <f>'REG y VAL POE - AESR - ESR'!O2866</f>
        <v>0</v>
      </c>
      <c r="AFT37" s="29">
        <f>'REG y VAL POE - AESR - ESR'!P2866</f>
        <v>0</v>
      </c>
      <c r="AFU37" s="28">
        <f>'REG y VAL POE - AESR - ESR'!Q2866</f>
        <v>0</v>
      </c>
      <c r="AFV37" s="29">
        <f>'REG y VAL POE - AESR - ESR'!R2866</f>
        <v>0</v>
      </c>
      <c r="AFW37" s="29">
        <f>'REG y VAL POE - AESR - ESR'!S2866</f>
        <v>0</v>
      </c>
      <c r="AFX37" s="28">
        <f>'REG y VAL POE - AESR - ESR'!T2866</f>
        <v>0</v>
      </c>
      <c r="AFY37" s="29">
        <f>'REG y VAL POE - AESR - ESR'!U2866</f>
        <v>0</v>
      </c>
      <c r="AFZ37" s="30">
        <f>'REG y VAL POE - AESR - ESR'!V2866</f>
        <v>0</v>
      </c>
      <c r="AGA37" s="28">
        <f>'REG y VAL POE - AESR - ESR'!W2866</f>
        <v>0</v>
      </c>
      <c r="AGB37" s="29">
        <f>'REG y VAL POE - AESR - ESR'!X2866</f>
        <v>0</v>
      </c>
      <c r="AGC37" s="29">
        <f>'REG y VAL POE - AESR - ESR'!Y2866</f>
        <v>0</v>
      </c>
      <c r="AGD37" s="29">
        <f>'REG y VAL POE - AESR - ESR'!Z2866</f>
        <v>0</v>
      </c>
      <c r="AGE37" s="28">
        <f>'REG y VAL POE - AESR - ESR'!AA2866</f>
        <v>0</v>
      </c>
      <c r="AGF37" s="29">
        <f>'REG y VAL POE - AESR - ESR'!AB2866</f>
        <v>0</v>
      </c>
      <c r="AGG37" s="29">
        <f>'REG y VAL POE - AESR - ESR'!AC2866</f>
        <v>0</v>
      </c>
      <c r="AGH37" s="28">
        <f>'REG y VAL POE - AESR - ESR'!AD2866</f>
        <v>0</v>
      </c>
      <c r="AGI37" s="29">
        <f>'REG y VAL POE - AESR - ESR'!AE2866</f>
        <v>0</v>
      </c>
      <c r="AGJ37" s="30">
        <f>'REG y VAL POE - AESR - ESR'!AF2866</f>
        <v>0</v>
      </c>
      <c r="AGK37" s="28">
        <f>'REG y VAL POE - AESR - ESR'!AG2866</f>
        <v>0</v>
      </c>
      <c r="AGL37" s="29">
        <f>'REG y VAL POE - AESR - ESR'!AH2866</f>
        <v>0</v>
      </c>
      <c r="AGM37" s="29">
        <f>'REG y VAL POE - AESR - ESR'!AI2866</f>
        <v>0</v>
      </c>
      <c r="AGN37" s="29">
        <f>'REG y VAL POE - AESR - ESR'!AJ2866</f>
        <v>0</v>
      </c>
      <c r="AGO37" s="28">
        <f>'REG y VAL POE - AESR - ESR'!AK2866</f>
        <v>0</v>
      </c>
      <c r="AGP37" s="29">
        <f>'REG y VAL POE - AESR - ESR'!AL2866</f>
        <v>0</v>
      </c>
      <c r="AGQ37" s="29">
        <f>'REG y VAL POE - AESR - ESR'!AM2866</f>
        <v>0</v>
      </c>
      <c r="AGR37" s="28">
        <f>'REG y VAL POE - AESR - ESR'!AN2866</f>
        <v>0</v>
      </c>
      <c r="AGS37" s="29">
        <f>'REG y VAL POE - AESR - ESR'!AO2866</f>
        <v>0</v>
      </c>
      <c r="AGT37" s="30">
        <f>'REG y VAL POE - AESR - ESR'!AP2866</f>
        <v>0</v>
      </c>
      <c r="AGU37" s="28">
        <f>'REG y VAL POE - AESR - ESR'!AQ2866</f>
        <v>0</v>
      </c>
      <c r="AGV37" s="29">
        <f>'REG y VAL POE - AESR - ESR'!AR2866</f>
        <v>0</v>
      </c>
      <c r="AGW37" s="29">
        <f>'REG y VAL POE - AESR - ESR'!AS2866</f>
        <v>0</v>
      </c>
      <c r="AGX37" s="29"/>
      <c r="AGY37" s="28"/>
      <c r="AGZ37" s="29"/>
      <c r="AHA37" s="29"/>
      <c r="AHB37" s="28"/>
      <c r="AHC37" s="29"/>
      <c r="AHD37" s="30"/>
      <c r="AHE37" s="28"/>
      <c r="AHF37" s="29"/>
      <c r="AHG37" s="29"/>
      <c r="AHH37" s="29"/>
      <c r="AHI37" s="28"/>
      <c r="AHJ37" s="29"/>
      <c r="AHK37" s="29"/>
      <c r="AHL37" s="28"/>
      <c r="AHM37" s="29"/>
      <c r="AHN37" s="30"/>
      <c r="AHO37" s="28"/>
      <c r="AHP37" s="29"/>
      <c r="AHQ37" s="29"/>
      <c r="AHR37" s="29"/>
      <c r="AHS37" s="28"/>
      <c r="AHT37" s="29"/>
      <c r="AHU37" s="29"/>
      <c r="AHV37" s="28"/>
      <c r="AHW37" s="29"/>
      <c r="AHX37" s="30"/>
      <c r="AHY37" s="28"/>
      <c r="AHZ37" s="29"/>
      <c r="AIA37" s="29"/>
      <c r="AIB37" s="29"/>
      <c r="AIC37" s="28"/>
      <c r="AID37" s="29"/>
      <c r="AIE37" s="29"/>
      <c r="AIF37" s="28"/>
      <c r="AIG37" s="29"/>
      <c r="AIH37" s="30"/>
      <c r="AII37" s="28"/>
      <c r="AIJ37" s="29"/>
      <c r="AIK37" s="29"/>
      <c r="AIL37" s="29"/>
      <c r="AIM37" s="28"/>
      <c r="AIN37" s="29"/>
      <c r="AIO37" s="29"/>
      <c r="AIP37" s="28"/>
      <c r="AIQ37" s="29"/>
      <c r="AIR37" s="30"/>
      <c r="AIS37" s="28"/>
      <c r="AIT37" s="29"/>
      <c r="AIU37" s="29"/>
      <c r="AIV37" s="29"/>
      <c r="AIW37" s="28"/>
      <c r="AIX37" s="29"/>
      <c r="AIY37" s="29"/>
      <c r="AIZ37" s="28"/>
      <c r="AJA37" s="29"/>
      <c r="AJB37" s="30"/>
      <c r="AJC37" s="28"/>
      <c r="AJD37" s="29"/>
      <c r="AJE37" s="29"/>
      <c r="AJF37" s="29"/>
      <c r="AJG37" s="28"/>
      <c r="AJH37" s="29"/>
      <c r="AJI37" s="29"/>
      <c r="AJJ37" s="28"/>
      <c r="AJK37" s="29"/>
      <c r="AJL37" s="30"/>
      <c r="AJM37" s="28"/>
      <c r="AJN37" s="29"/>
      <c r="AJO37" s="29"/>
      <c r="AJP37" s="29"/>
      <c r="AJQ37" s="28"/>
      <c r="AJR37" s="29"/>
      <c r="AJS37" s="29"/>
      <c r="AJT37" s="28"/>
      <c r="AJU37" s="29"/>
      <c r="AJV37" s="30"/>
      <c r="AJW37" s="28"/>
      <c r="AJX37" s="29"/>
      <c r="AJY37" s="29"/>
      <c r="AJZ37" s="29"/>
      <c r="AKA37" s="28"/>
      <c r="AKB37" s="29"/>
      <c r="AKC37" s="29"/>
      <c r="AKD37" s="28"/>
      <c r="AKE37" s="29"/>
      <c r="AKF37" s="30"/>
      <c r="AKG37" s="28"/>
      <c r="AKH37" s="29"/>
      <c r="AKI37" s="29"/>
      <c r="AKJ37" s="29"/>
      <c r="AKK37" s="28"/>
      <c r="AKL37" s="29"/>
      <c r="AKM37" s="29"/>
      <c r="AKN37" s="28"/>
      <c r="AKO37" s="29"/>
      <c r="AKP37" s="30"/>
      <c r="AKQ37" s="28"/>
      <c r="AKR37" s="29"/>
      <c r="AKS37" s="29"/>
      <c r="AKT37" s="29"/>
      <c r="AKU37" s="28"/>
      <c r="AKV37" s="29"/>
      <c r="AKW37" s="29"/>
      <c r="AKX37" s="28"/>
      <c r="AKY37" s="29"/>
      <c r="AKZ37" s="30"/>
      <c r="ALA37" s="28"/>
      <c r="ALB37" s="29"/>
      <c r="ALC37" s="29"/>
      <c r="ALD37" s="29"/>
      <c r="ALE37" s="28"/>
      <c r="ALF37" s="29"/>
      <c r="ALG37" s="29"/>
      <c r="ALH37" s="29"/>
      <c r="ALI37" s="29"/>
      <c r="ALJ37" s="29"/>
      <c r="ALK37" s="28"/>
      <c r="ALL37" s="29"/>
      <c r="ALM37" s="29"/>
      <c r="ALN37" s="28"/>
      <c r="ALO37" s="29"/>
      <c r="ALP37" s="30"/>
      <c r="ALQ37" s="28"/>
      <c r="ALR37" s="29"/>
      <c r="ALS37" s="29"/>
      <c r="ALT37" s="29"/>
      <c r="ALU37" s="28"/>
      <c r="ALV37" s="29"/>
      <c r="ALW37" s="29"/>
      <c r="ALX37" s="28"/>
      <c r="ALY37" s="29"/>
      <c r="ALZ37" s="30"/>
      <c r="AMA37" s="28"/>
      <c r="AMB37" s="29"/>
      <c r="AMC37" s="29"/>
      <c r="AMD37" s="29"/>
      <c r="AME37" s="28"/>
      <c r="AMF37" s="29"/>
      <c r="AMG37" s="29"/>
      <c r="AMH37" s="29"/>
      <c r="AMI37" s="29"/>
      <c r="AMJ37" s="29"/>
      <c r="AMK37" s="28"/>
      <c r="AML37" s="29"/>
      <c r="AMM37" s="29"/>
      <c r="AMN37" s="28"/>
      <c r="AMO37" s="29"/>
      <c r="AMP37" s="30"/>
      <c r="AMQ37" s="28"/>
      <c r="AMR37" s="29"/>
      <c r="AMS37" s="29"/>
      <c r="AMT37" s="29"/>
      <c r="AMU37" s="28"/>
      <c r="AMV37" s="29"/>
      <c r="AMW37" s="29"/>
      <c r="AMX37" s="28"/>
      <c r="AMY37" s="29"/>
      <c r="AMZ37" s="30"/>
      <c r="ANA37" s="28"/>
      <c r="ANB37" s="29"/>
      <c r="ANC37" s="29"/>
      <c r="AND37" s="29"/>
      <c r="ANE37" s="28"/>
      <c r="ANF37" s="29"/>
      <c r="ANG37" s="29"/>
      <c r="ANH37" s="29"/>
      <c r="ANI37" s="29"/>
      <c r="ANJ37" s="29"/>
      <c r="ANK37" s="28"/>
      <c r="ANL37" s="29"/>
      <c r="ANM37" s="29"/>
      <c r="ANN37" s="28"/>
      <c r="ANO37" s="29"/>
      <c r="ANP37" s="30"/>
      <c r="ANQ37" s="28"/>
      <c r="ANR37" s="29"/>
      <c r="ANS37" s="29"/>
      <c r="ANT37" s="29"/>
      <c r="ANU37" s="28"/>
      <c r="ANV37" s="29"/>
      <c r="ANW37" s="29"/>
      <c r="ANX37" s="28"/>
      <c r="ANY37" s="29"/>
      <c r="ANZ37" s="30"/>
      <c r="AOA37" s="28"/>
      <c r="AOB37" s="29"/>
      <c r="AOC37" s="29"/>
      <c r="AOD37" s="29"/>
      <c r="AOE37" s="28"/>
      <c r="AOF37" s="29"/>
      <c r="AOG37" s="29"/>
      <c r="AOH37" s="29"/>
      <c r="AOI37" s="29"/>
      <c r="AOJ37" s="29"/>
      <c r="AOK37" s="28"/>
      <c r="AOL37" s="29"/>
      <c r="AOM37" s="29"/>
      <c r="AON37" s="28"/>
      <c r="AOO37" s="29"/>
      <c r="AOP37" s="30"/>
      <c r="AOQ37" s="28"/>
      <c r="AOR37" s="29"/>
      <c r="AOS37" s="29"/>
      <c r="AOT37" s="29"/>
      <c r="AOU37" s="28"/>
      <c r="AOV37" s="29"/>
      <c r="AOW37" s="29"/>
      <c r="AOX37" s="28"/>
      <c r="AOY37" s="29"/>
      <c r="AOZ37" s="30"/>
      <c r="APA37" s="28"/>
      <c r="APB37" s="29"/>
      <c r="APC37" s="29"/>
      <c r="APD37" s="29"/>
      <c r="APE37" s="28"/>
      <c r="APF37" s="29"/>
      <c r="APG37" s="29"/>
      <c r="APH37" s="29"/>
      <c r="API37" s="29"/>
      <c r="APJ37" s="29"/>
      <c r="APK37" s="28"/>
      <c r="APL37" s="29"/>
      <c r="APM37" s="29"/>
      <c r="APN37" s="28"/>
      <c r="APO37" s="29"/>
      <c r="APP37" s="30"/>
      <c r="APQ37" s="28"/>
      <c r="APR37" s="29"/>
      <c r="APS37" s="29"/>
      <c r="APT37" s="29"/>
      <c r="APU37" s="28"/>
      <c r="APV37" s="29"/>
      <c r="APW37" s="29"/>
      <c r="APX37" s="28"/>
      <c r="APY37" s="29"/>
      <c r="APZ37" s="30"/>
      <c r="AQA37" s="28"/>
      <c r="AQB37" s="29"/>
      <c r="AQC37" s="29"/>
      <c r="AQD37" s="29"/>
      <c r="AQE37" s="28"/>
      <c r="AQF37" s="29"/>
      <c r="AQG37" s="29"/>
      <c r="AQH37" s="29"/>
      <c r="AQI37" s="29"/>
      <c r="AQJ37" s="29"/>
      <c r="AQK37" s="28"/>
      <c r="AQL37" s="29"/>
      <c r="AQM37" s="29"/>
      <c r="AQN37" s="28"/>
      <c r="AQO37" s="29"/>
      <c r="AQP37" s="30"/>
      <c r="AQQ37" s="28"/>
      <c r="AQR37" s="29"/>
      <c r="AQS37" s="29"/>
      <c r="AQT37" s="29"/>
      <c r="AQU37" s="28"/>
      <c r="AQV37" s="29"/>
      <c r="AQW37" s="29"/>
      <c r="AQX37" s="28"/>
      <c r="AQY37" s="29"/>
      <c r="AQZ37" s="30"/>
      <c r="ARA37" s="28"/>
      <c r="ARB37" s="29"/>
      <c r="ARC37" s="29"/>
      <c r="ARD37" s="29"/>
      <c r="ARE37" s="28"/>
      <c r="ARF37" s="29"/>
      <c r="ARG37" s="29"/>
      <c r="ARH37" s="29"/>
      <c r="ARI37" s="29"/>
      <c r="ARJ37" s="29"/>
      <c r="ARK37" s="28"/>
      <c r="ARL37" s="29"/>
      <c r="ARM37" s="29"/>
      <c r="ARN37" s="28"/>
      <c r="ARO37" s="29"/>
      <c r="ARP37" s="30"/>
      <c r="ARQ37" s="28"/>
      <c r="ARR37" s="29"/>
      <c r="ARS37" s="29"/>
      <c r="ART37" s="29"/>
      <c r="ARU37" s="28"/>
      <c r="ARV37" s="29"/>
      <c r="ARW37" s="29"/>
      <c r="ARX37" s="28"/>
      <c r="ARY37" s="29"/>
      <c r="ARZ37" s="30"/>
      <c r="ASA37" s="28"/>
      <c r="ASB37" s="29"/>
      <c r="ASC37" s="29"/>
      <c r="ASD37" s="29"/>
      <c r="ASE37" s="28"/>
      <c r="ASF37" s="29"/>
      <c r="ASG37" s="29"/>
      <c r="ASH37" s="29"/>
      <c r="ASI37" s="29"/>
      <c r="ASJ37" s="29"/>
      <c r="ASK37" s="28"/>
      <c r="ASL37" s="29"/>
      <c r="ASM37" s="29"/>
      <c r="ASN37" s="28"/>
      <c r="ASO37" s="29"/>
      <c r="ASP37" s="30"/>
      <c r="ASQ37" s="28"/>
      <c r="ASR37" s="29"/>
      <c r="ASS37" s="29"/>
      <c r="AST37" s="29"/>
      <c r="ASU37" s="28"/>
      <c r="ASV37" s="29"/>
      <c r="ASW37" s="29"/>
      <c r="ASX37" s="28"/>
      <c r="ASY37" s="29"/>
      <c r="ASZ37" s="30"/>
      <c r="ATA37" s="28"/>
      <c r="ATB37" s="29"/>
      <c r="ATC37" s="29"/>
      <c r="ATD37" s="29"/>
      <c r="ATE37" s="28"/>
      <c r="ATF37" s="29"/>
      <c r="ATG37" s="29"/>
      <c r="ATH37" s="29"/>
      <c r="ATI37" s="29"/>
      <c r="ATJ37" s="29"/>
      <c r="ATK37" s="28"/>
      <c r="ATL37" s="29"/>
      <c r="ATM37" s="29"/>
      <c r="ATN37" s="28"/>
      <c r="ATO37" s="29"/>
      <c r="ATP37" s="30"/>
      <c r="ATQ37" s="28"/>
      <c r="ATR37" s="29"/>
      <c r="ATS37" s="29"/>
      <c r="ATT37" s="29"/>
      <c r="ATU37" s="28"/>
      <c r="ATV37" s="29"/>
      <c r="ATW37" s="29"/>
      <c r="ATX37" s="28"/>
      <c r="ATY37" s="29"/>
      <c r="ATZ37" s="30"/>
      <c r="AUA37" s="28"/>
      <c r="AUB37" s="29"/>
      <c r="AUC37" s="29"/>
      <c r="AUD37" s="29"/>
      <c r="AUE37" s="28"/>
      <c r="AUF37" s="29"/>
      <c r="AUG37" s="29"/>
      <c r="AUH37" s="29"/>
      <c r="AUI37" s="29"/>
      <c r="AUJ37" s="29"/>
      <c r="AUK37" s="28"/>
      <c r="AUL37" s="29"/>
      <c r="AUM37" s="29"/>
      <c r="AUN37" s="28"/>
      <c r="AUO37" s="29"/>
      <c r="AUP37" s="30"/>
      <c r="AUQ37" s="28"/>
      <c r="AUR37" s="29"/>
      <c r="AUS37" s="29"/>
      <c r="AUT37" s="29"/>
      <c r="AUU37" s="28"/>
      <c r="AUV37" s="29"/>
      <c r="AUW37" s="29"/>
      <c r="AUX37" s="28"/>
      <c r="AUY37" s="29"/>
      <c r="AUZ37" s="30"/>
      <c r="AVA37" s="28"/>
      <c r="AVB37" s="29"/>
      <c r="AVC37" s="29"/>
      <c r="AVD37" s="29"/>
      <c r="AVE37" s="28"/>
      <c r="AVF37" s="29"/>
      <c r="AVG37" s="29"/>
      <c r="AVH37" s="29"/>
      <c r="AVI37" s="29"/>
      <c r="AVJ37" s="29"/>
      <c r="AVK37" s="28"/>
      <c r="AVL37" s="29"/>
      <c r="AVM37" s="29"/>
      <c r="AVN37" s="28"/>
      <c r="AVO37" s="29"/>
      <c r="AVP37" s="30"/>
      <c r="AVQ37" s="28"/>
      <c r="AVR37" s="29"/>
      <c r="AVS37" s="29"/>
      <c r="AVT37" s="29"/>
      <c r="AVU37" s="28"/>
      <c r="AVV37" s="29"/>
      <c r="AVW37" s="29"/>
      <c r="AVX37" s="28"/>
      <c r="AVY37" s="29"/>
      <c r="AVZ37" s="30"/>
      <c r="AWA37" s="28"/>
      <c r="AWB37" s="29"/>
      <c r="AWC37" s="29"/>
      <c r="AWD37" s="29"/>
      <c r="AWE37" s="28"/>
      <c r="AWF37" s="29"/>
      <c r="AWG37" s="29"/>
      <c r="AWH37" s="29"/>
      <c r="AWI37" s="29"/>
      <c r="AWJ37" s="29"/>
      <c r="AWK37" s="28"/>
      <c r="AWL37" s="29"/>
      <c r="AWM37" s="29"/>
      <c r="AWN37" s="28"/>
      <c r="AWO37" s="29"/>
      <c r="AWP37" s="30"/>
      <c r="AWQ37" s="28"/>
      <c r="AWR37" s="29"/>
      <c r="AWS37" s="29"/>
      <c r="AWT37" s="29"/>
      <c r="AWU37" s="28"/>
      <c r="AWV37" s="29"/>
      <c r="AWW37" s="29"/>
      <c r="AWX37" s="28"/>
      <c r="AWY37" s="29"/>
      <c r="AWZ37" s="30"/>
      <c r="AXA37" s="28"/>
      <c r="AXB37" s="29"/>
      <c r="AXC37" s="29"/>
      <c r="AXD37" s="29"/>
      <c r="AXE37" s="28"/>
      <c r="AXF37" s="29"/>
      <c r="AXG37" s="29"/>
      <c r="AXH37" s="29"/>
      <c r="AXI37" s="29"/>
      <c r="AXJ37" s="29"/>
      <c r="AXK37" s="28"/>
      <c r="AXL37" s="29"/>
      <c r="AXM37" s="29"/>
      <c r="AXN37" s="28"/>
      <c r="AXO37" s="29"/>
      <c r="AXP37" s="30"/>
      <c r="AXQ37" s="28"/>
      <c r="AXR37" s="29"/>
      <c r="AXS37" s="29"/>
      <c r="AXT37" s="29"/>
      <c r="AXU37" s="28"/>
      <c r="AXV37" s="29"/>
      <c r="AXW37" s="29"/>
      <c r="AXX37" s="28"/>
      <c r="AXY37" s="29"/>
      <c r="AXZ37" s="30"/>
      <c r="AYA37" s="28"/>
      <c r="AYB37" s="29"/>
      <c r="AYC37" s="29"/>
      <c r="AYD37" s="29"/>
      <c r="AYE37" s="28"/>
      <c r="AYF37" s="29"/>
      <c r="AYG37" s="29"/>
      <c r="AYH37" s="29"/>
      <c r="AYI37" s="29"/>
      <c r="AYJ37" s="29"/>
      <c r="AYK37" s="28"/>
      <c r="AYL37" s="29"/>
      <c r="AYM37" s="29"/>
      <c r="AYN37" s="28"/>
      <c r="AYO37" s="29"/>
      <c r="AYP37" s="30"/>
      <c r="AYQ37" s="28"/>
      <c r="AYR37" s="29"/>
      <c r="AYS37" s="29"/>
      <c r="AYT37" s="29"/>
      <c r="AYU37" s="28"/>
      <c r="AYV37" s="29"/>
      <c r="AYW37" s="29"/>
      <c r="AYX37" s="28"/>
      <c r="AYY37" s="29"/>
      <c r="AYZ37" s="30"/>
      <c r="AZA37" s="28"/>
      <c r="AZB37" s="29"/>
      <c r="AZC37" s="29"/>
      <c r="AZD37" s="29"/>
      <c r="AZE37" s="28"/>
      <c r="AZF37" s="29"/>
      <c r="AZG37" s="29"/>
      <c r="AZH37" s="29"/>
      <c r="AZI37" s="29"/>
      <c r="AZJ37" s="29"/>
      <c r="AZK37" s="28"/>
      <c r="AZL37" s="29"/>
      <c r="AZM37" s="29"/>
      <c r="AZN37" s="28"/>
      <c r="AZO37" s="29"/>
      <c r="AZP37" s="30"/>
      <c r="AZQ37" s="28"/>
      <c r="AZR37" s="29"/>
      <c r="AZS37" s="29"/>
      <c r="AZT37" s="29"/>
      <c r="AZU37" s="28"/>
      <c r="AZV37" s="29"/>
      <c r="AZW37" s="29"/>
      <c r="AZX37" s="28"/>
      <c r="AZY37" s="29"/>
      <c r="AZZ37" s="30"/>
      <c r="BAA37" s="28"/>
      <c r="BAB37" s="29"/>
      <c r="BAC37" s="29"/>
      <c r="BAD37" s="29"/>
      <c r="BAE37" s="28"/>
      <c r="BAF37" s="29"/>
      <c r="BAG37" s="29"/>
      <c r="BAH37" s="29"/>
      <c r="BAI37" s="29"/>
      <c r="BAJ37" s="29"/>
      <c r="BAK37" s="28"/>
      <c r="BAL37" s="29"/>
      <c r="BAM37" s="29"/>
      <c r="BAN37" s="28"/>
      <c r="BAO37" s="29"/>
      <c r="BAP37" s="30"/>
      <c r="BAQ37" s="28"/>
      <c r="BAR37" s="29"/>
      <c r="BAS37" s="29"/>
      <c r="BAT37" s="29"/>
      <c r="BAU37" s="28"/>
      <c r="BAV37" s="29"/>
      <c r="BAW37" s="29"/>
      <c r="BAX37" s="28"/>
      <c r="BAY37" s="29"/>
      <c r="BAZ37" s="30"/>
      <c r="BBA37" s="28"/>
      <c r="BBB37" s="29"/>
      <c r="BBC37" s="29"/>
      <c r="BBD37" s="29"/>
      <c r="BBE37" s="28"/>
      <c r="BBF37" s="29"/>
      <c r="BBG37" s="29"/>
      <c r="BBH37" s="29"/>
      <c r="BBI37" s="29"/>
      <c r="BBJ37" s="29"/>
      <c r="BBK37" s="28"/>
      <c r="BBL37" s="29"/>
      <c r="BBM37" s="29"/>
      <c r="BBN37" s="28"/>
      <c r="BBO37" s="29"/>
      <c r="BBP37" s="30"/>
      <c r="BBQ37" s="28"/>
      <c r="BBR37" s="29"/>
      <c r="BBS37" s="29"/>
      <c r="BBT37" s="29"/>
      <c r="BBU37" s="28"/>
      <c r="BBV37" s="29"/>
      <c r="BBW37" s="29"/>
      <c r="BBX37" s="28"/>
      <c r="BBY37" s="29"/>
      <c r="BBZ37" s="30"/>
      <c r="BCA37" s="28"/>
      <c r="BCB37" s="29"/>
      <c r="BCC37" s="29"/>
      <c r="BCD37" s="29"/>
      <c r="BCE37" s="28"/>
      <c r="BCF37" s="29"/>
      <c r="BCG37" s="29"/>
      <c r="BCH37" s="29"/>
      <c r="BCI37" s="29"/>
      <c r="BCJ37" s="29"/>
      <c r="BCK37" s="28"/>
      <c r="BCL37" s="29"/>
      <c r="BCM37" s="29"/>
      <c r="BCN37" s="28"/>
      <c r="BCO37" s="29"/>
      <c r="BCP37" s="30"/>
      <c r="BCQ37" s="28"/>
      <c r="BCR37" s="29"/>
      <c r="BCS37" s="29"/>
      <c r="BCT37" s="29"/>
      <c r="BCU37" s="28"/>
      <c r="BCV37" s="29"/>
      <c r="BCW37" s="29"/>
      <c r="BCX37" s="28"/>
      <c r="BCY37" s="29"/>
      <c r="BCZ37" s="30"/>
      <c r="BDA37" s="28"/>
      <c r="BDB37" s="29"/>
      <c r="BDC37" s="29"/>
      <c r="BDD37" s="29"/>
      <c r="BDE37" s="28"/>
      <c r="BDF37" s="29"/>
      <c r="BDG37" s="29"/>
      <c r="BDH37" s="29"/>
      <c r="BDI37" s="29"/>
      <c r="BDJ37" s="29"/>
      <c r="BDK37" s="28"/>
      <c r="BDL37" s="29"/>
      <c r="BDM37" s="29"/>
      <c r="BDN37" s="28"/>
      <c r="BDO37" s="29"/>
      <c r="BDP37" s="30"/>
      <c r="BDQ37" s="28"/>
      <c r="BDR37" s="29"/>
      <c r="BDS37" s="29"/>
      <c r="BDT37" s="29"/>
      <c r="BDU37" s="28"/>
      <c r="BDV37" s="29"/>
      <c r="BDW37" s="29"/>
      <c r="BDX37" s="28"/>
      <c r="BDY37" s="29"/>
      <c r="BDZ37" s="30"/>
      <c r="BEA37" s="28"/>
      <c r="BEB37" s="29"/>
      <c r="BEC37" s="29"/>
      <c r="BED37" s="29"/>
      <c r="BEE37" s="28"/>
      <c r="BEF37" s="29"/>
      <c r="BEG37" s="29"/>
      <c r="BEH37" s="29"/>
      <c r="BEI37" s="29"/>
      <c r="BEJ37" s="29"/>
      <c r="BEK37" s="28"/>
      <c r="BEL37" s="29"/>
      <c r="BEM37" s="29"/>
      <c r="BEN37" s="28"/>
      <c r="BEO37" s="29"/>
      <c r="BEP37" s="30"/>
      <c r="BEQ37" s="28"/>
      <c r="BER37" s="29"/>
      <c r="BES37" s="29"/>
      <c r="BET37" s="29"/>
      <c r="BEU37" s="28"/>
      <c r="BEV37" s="29"/>
      <c r="BEW37" s="29"/>
      <c r="BEX37" s="28"/>
      <c r="BEY37" s="29"/>
      <c r="BEZ37" s="30"/>
      <c r="BFA37" s="28"/>
      <c r="BFB37" s="29"/>
      <c r="BFC37" s="29"/>
      <c r="BFD37" s="29"/>
      <c r="BFE37" s="28"/>
      <c r="BFF37" s="29"/>
      <c r="BFG37" s="29"/>
      <c r="BFH37" s="29"/>
      <c r="BFI37" s="29"/>
      <c r="BFJ37" s="29"/>
      <c r="BFK37" s="28"/>
      <c r="BFL37" s="29"/>
      <c r="BFM37" s="29"/>
      <c r="BFN37" s="28"/>
      <c r="BFO37" s="29"/>
      <c r="BFP37" s="30"/>
      <c r="BFQ37" s="28"/>
      <c r="BFR37" s="29"/>
      <c r="BFS37" s="29"/>
      <c r="BFT37" s="29"/>
      <c r="BFU37" s="28"/>
      <c r="BFV37" s="29"/>
      <c r="BFW37" s="29"/>
      <c r="BFX37" s="28"/>
      <c r="BFY37" s="29"/>
      <c r="BFZ37" s="30"/>
      <c r="BGA37" s="28"/>
      <c r="BGB37" s="29"/>
      <c r="BGC37" s="29"/>
      <c r="BGD37" s="29"/>
      <c r="BGE37" s="28"/>
      <c r="BGF37" s="29"/>
      <c r="BGG37" s="29"/>
      <c r="BGH37" s="29"/>
      <c r="BGI37" s="29"/>
      <c r="BGJ37" s="29"/>
      <c r="BGK37" s="28"/>
      <c r="BGL37" s="29"/>
      <c r="BGM37" s="29"/>
      <c r="BGN37" s="28"/>
      <c r="BGO37" s="29"/>
      <c r="BGP37" s="30"/>
      <c r="BGQ37" s="28"/>
      <c r="BGR37" s="29"/>
      <c r="BGS37" s="29"/>
      <c r="BGT37" s="29"/>
      <c r="BGU37" s="28"/>
      <c r="BGV37" s="29"/>
      <c r="BGW37" s="29"/>
      <c r="BGX37" s="28"/>
      <c r="BGY37" s="29"/>
      <c r="BGZ37" s="30"/>
      <c r="BHA37" s="28"/>
      <c r="BHB37" s="29"/>
      <c r="BHC37" s="29"/>
      <c r="BHD37" s="29"/>
      <c r="BHE37" s="28"/>
      <c r="BHF37" s="29"/>
      <c r="BHG37" s="29"/>
      <c r="BHH37" s="29"/>
      <c r="BHI37" s="29"/>
      <c r="BHJ37" s="29"/>
      <c r="BHK37" s="28"/>
      <c r="BHL37" s="29"/>
      <c r="BHM37" s="29"/>
      <c r="BHN37" s="28"/>
      <c r="BHO37" s="29"/>
      <c r="BHP37" s="30"/>
      <c r="BHQ37" s="28"/>
      <c r="BHR37" s="29"/>
      <c r="BHS37" s="29"/>
      <c r="BHT37" s="29"/>
      <c r="BHU37" s="28"/>
      <c r="BHV37" s="29"/>
      <c r="BHW37" s="29"/>
      <c r="BHX37" s="28"/>
      <c r="BHY37" s="29"/>
      <c r="BHZ37" s="30"/>
      <c r="BIA37" s="28"/>
      <c r="BIB37" s="29"/>
      <c r="BIC37" s="29"/>
      <c r="BID37" s="29"/>
      <c r="BIE37" s="28"/>
      <c r="BIF37" s="29"/>
      <c r="BIG37" s="29"/>
      <c r="BIH37" s="29"/>
      <c r="BII37" s="29"/>
      <c r="BIJ37" s="29"/>
      <c r="BIK37" s="28"/>
      <c r="BIL37" s="29"/>
      <c r="BIM37" s="29"/>
      <c r="BIN37" s="28"/>
      <c r="BIO37" s="29"/>
      <c r="BIP37" s="30"/>
      <c r="BIQ37" s="28"/>
      <c r="BIR37" s="29"/>
      <c r="BIS37" s="29"/>
      <c r="BIT37" s="29"/>
      <c r="BIU37" s="28"/>
      <c r="BIV37" s="29"/>
      <c r="BIW37" s="29"/>
      <c r="BIX37" s="28"/>
      <c r="BIY37" s="29"/>
      <c r="BIZ37" s="30"/>
      <c r="BJA37" s="28"/>
      <c r="BJB37" s="29"/>
      <c r="BJC37" s="29"/>
      <c r="BJD37" s="29"/>
      <c r="BJE37" s="28"/>
      <c r="BJF37" s="29"/>
      <c r="BJG37" s="29"/>
      <c r="BJH37" s="29"/>
      <c r="BJI37" s="29"/>
      <c r="BJJ37" s="29"/>
      <c r="BJK37" s="28"/>
      <c r="BJL37" s="29"/>
      <c r="BJM37" s="29"/>
      <c r="BJN37" s="28"/>
      <c r="BJO37" s="29"/>
      <c r="BJP37" s="30"/>
      <c r="BJQ37" s="28"/>
      <c r="BJR37" s="29"/>
      <c r="BJS37" s="29"/>
      <c r="BJT37" s="29"/>
      <c r="BJU37" s="28"/>
      <c r="BJV37" s="29"/>
      <c r="BJW37" s="29"/>
      <c r="BJX37" s="28"/>
      <c r="BJY37" s="29"/>
      <c r="BJZ37" s="30"/>
      <c r="BKA37" s="28"/>
      <c r="BKB37" s="29"/>
      <c r="BKC37" s="29"/>
      <c r="BKD37" s="29"/>
      <c r="BKE37" s="28"/>
      <c r="BKF37" s="29"/>
      <c r="BKG37" s="29"/>
      <c r="BKH37" s="29"/>
      <c r="BKI37" s="29"/>
      <c r="BKJ37" s="29"/>
      <c r="BKK37" s="28"/>
      <c r="BKL37" s="29"/>
      <c r="BKM37" s="29"/>
      <c r="BKN37" s="28"/>
      <c r="BKO37" s="29"/>
      <c r="BKP37" s="30"/>
      <c r="BKQ37" s="28"/>
      <c r="BKR37" s="29"/>
      <c r="BKS37" s="29"/>
      <c r="BKT37" s="29"/>
      <c r="BKU37" s="28"/>
      <c r="BKV37" s="29"/>
      <c r="BKW37" s="29"/>
      <c r="BKX37" s="28"/>
      <c r="BKY37" s="29"/>
      <c r="BKZ37" s="30"/>
      <c r="BLA37" s="28"/>
      <c r="BLB37" s="29"/>
      <c r="BLC37" s="29"/>
      <c r="BLD37" s="29"/>
      <c r="BLE37" s="28"/>
      <c r="BLF37" s="29"/>
      <c r="BLG37" s="29"/>
      <c r="BLH37" s="29"/>
      <c r="BLI37" s="29"/>
      <c r="BLJ37" s="29"/>
      <c r="BLK37" s="28"/>
      <c r="BLL37" s="29"/>
      <c r="BLM37" s="29"/>
      <c r="BLN37" s="28"/>
      <c r="BLO37" s="29"/>
      <c r="BLP37" s="30"/>
      <c r="BLQ37" s="28"/>
      <c r="BLR37" s="29"/>
      <c r="BLS37" s="29"/>
      <c r="BLT37" s="29"/>
      <c r="BLU37" s="28"/>
      <c r="BLV37" s="29"/>
      <c r="BLW37" s="29"/>
      <c r="BLX37" s="28"/>
      <c r="BLY37" s="29"/>
      <c r="BLZ37" s="30"/>
      <c r="BMA37" s="28"/>
      <c r="BMB37" s="29"/>
      <c r="BMC37" s="29"/>
      <c r="BMD37" s="29"/>
      <c r="BME37" s="28"/>
      <c r="BMF37" s="29"/>
      <c r="BMG37" s="29"/>
      <c r="BMH37" s="29"/>
      <c r="BMI37" s="29"/>
      <c r="BMJ37" s="29"/>
      <c r="BMK37" s="28"/>
      <c r="BML37" s="29"/>
      <c r="BMM37" s="29"/>
      <c r="BMN37" s="28"/>
      <c r="BMO37" s="29"/>
      <c r="BMP37" s="30"/>
      <c r="BMQ37" s="28"/>
      <c r="BMR37" s="29"/>
      <c r="BMS37" s="29"/>
      <c r="BMT37" s="29"/>
      <c r="BMU37" s="28"/>
      <c r="BMV37" s="29"/>
      <c r="BMW37" s="29"/>
      <c r="BMX37" s="28"/>
      <c r="BMY37" s="29"/>
      <c r="BMZ37" s="30"/>
      <c r="BNA37" s="28"/>
      <c r="BNB37" s="29"/>
      <c r="BNC37" s="29"/>
      <c r="BND37" s="29"/>
      <c r="BNE37" s="28"/>
      <c r="BNF37" s="29"/>
      <c r="BNG37" s="29"/>
      <c r="BNH37" s="29"/>
      <c r="BNI37" s="29"/>
      <c r="BNJ37" s="29"/>
      <c r="BNK37" s="28"/>
      <c r="BNL37" s="29"/>
      <c r="BNM37" s="29"/>
      <c r="BNN37" s="28"/>
      <c r="BNO37" s="29"/>
      <c r="BNP37" s="30"/>
      <c r="BNQ37" s="28"/>
      <c r="BNR37" s="29"/>
      <c r="BNS37" s="29"/>
      <c r="BNT37" s="29"/>
      <c r="BNU37" s="28"/>
      <c r="BNV37" s="29"/>
      <c r="BNW37" s="29"/>
      <c r="BNX37" s="28"/>
      <c r="BNY37" s="29"/>
      <c r="BNZ37" s="30"/>
      <c r="BOA37" s="28"/>
      <c r="BOB37" s="29"/>
      <c r="BOC37" s="29"/>
      <c r="BOD37" s="29"/>
      <c r="BOE37" s="28"/>
      <c r="BOF37" s="29"/>
      <c r="BOG37" s="29"/>
      <c r="BOH37" s="29"/>
      <c r="BOI37" s="29"/>
      <c r="BOJ37" s="29"/>
      <c r="BOK37" s="28"/>
      <c r="BOL37" s="29"/>
      <c r="BOM37" s="29"/>
      <c r="BON37" s="28"/>
      <c r="BOO37" s="29"/>
      <c r="BOP37" s="30"/>
      <c r="BOQ37" s="28"/>
      <c r="BOR37" s="29"/>
      <c r="BOS37" s="29"/>
      <c r="BOT37" s="29"/>
      <c r="BOU37" s="28"/>
      <c r="BOV37" s="29"/>
      <c r="BOW37" s="29"/>
      <c r="BOX37" s="28"/>
      <c r="BOY37" s="29"/>
      <c r="BOZ37" s="30"/>
      <c r="BPA37" s="28"/>
      <c r="BPB37" s="29"/>
      <c r="BPC37" s="29"/>
      <c r="BPD37" s="29"/>
      <c r="BPE37" s="28"/>
      <c r="BPF37" s="29"/>
      <c r="BPG37" s="29"/>
      <c r="BPH37" s="29"/>
      <c r="BPI37" s="29"/>
      <c r="BPJ37" s="29"/>
      <c r="BPK37" s="28"/>
      <c r="BPL37" s="29"/>
      <c r="BPM37" s="29"/>
      <c r="BPN37" s="28"/>
      <c r="BPO37" s="29"/>
      <c r="BPP37" s="30"/>
      <c r="BPQ37" s="28"/>
      <c r="BPR37" s="29"/>
      <c r="BPS37" s="29"/>
      <c r="BPT37" s="29"/>
      <c r="BPU37" s="28"/>
      <c r="BPV37" s="29"/>
      <c r="BPW37" s="29"/>
      <c r="BPX37" s="28"/>
      <c r="BPY37" s="29"/>
      <c r="BPZ37" s="30"/>
      <c r="BQA37" s="28"/>
      <c r="BQB37" s="29"/>
      <c r="BQC37" s="29"/>
      <c r="BQD37" s="29"/>
      <c r="BQE37" s="28"/>
      <c r="BQF37" s="29"/>
      <c r="BQG37" s="29"/>
      <c r="BQH37" s="29"/>
      <c r="BQI37" s="29"/>
      <c r="BQJ37" s="29"/>
      <c r="BQK37" s="28"/>
      <c r="BQL37" s="29"/>
      <c r="BQM37" s="29"/>
      <c r="BQN37" s="28"/>
      <c r="BQO37" s="29"/>
      <c r="BQP37" s="30"/>
      <c r="BQQ37" s="28"/>
      <c r="BQR37" s="29"/>
      <c r="BQS37" s="29"/>
      <c r="BQT37" s="29"/>
      <c r="BQU37" s="28"/>
      <c r="BQV37" s="29"/>
      <c r="BQW37" s="29"/>
      <c r="BQX37" s="28"/>
      <c r="BQY37" s="29"/>
      <c r="BQZ37" s="30"/>
      <c r="BRA37" s="28"/>
      <c r="BRB37" s="29"/>
      <c r="BRC37" s="29"/>
      <c r="BRD37" s="29"/>
      <c r="BRE37" s="28"/>
      <c r="BRF37" s="29"/>
      <c r="BRG37" s="29"/>
      <c r="BRH37" s="29"/>
      <c r="BRI37" s="29"/>
      <c r="BRJ37" s="29"/>
      <c r="BRK37" s="28"/>
      <c r="BRL37" s="29"/>
      <c r="BRM37" s="29"/>
      <c r="BRN37" s="28"/>
      <c r="BRO37" s="29"/>
      <c r="BRP37" s="30"/>
      <c r="BRQ37" s="28"/>
      <c r="BRR37" s="29"/>
      <c r="BRS37" s="29"/>
      <c r="BRT37" s="29"/>
      <c r="BRU37" s="28"/>
      <c r="BRV37" s="29"/>
      <c r="BRW37" s="29"/>
      <c r="BRX37" s="28"/>
      <c r="BRY37" s="29"/>
      <c r="BRZ37" s="30"/>
      <c r="BSA37" s="28"/>
      <c r="BSB37" s="29"/>
      <c r="BSC37" s="29"/>
      <c r="BSD37" s="29"/>
      <c r="BSE37" s="28"/>
      <c r="BSF37" s="29"/>
      <c r="BSG37" s="29"/>
      <c r="BSH37" s="29"/>
      <c r="BSI37" s="29"/>
      <c r="BSJ37" s="29"/>
      <c r="BSK37" s="28"/>
      <c r="BSL37" s="29"/>
      <c r="BSM37" s="29"/>
      <c r="BSN37" s="28"/>
      <c r="BSO37" s="29"/>
      <c r="BSP37" s="30"/>
      <c r="BSQ37" s="28"/>
      <c r="BSR37" s="29"/>
      <c r="BSS37" s="29"/>
      <c r="BST37" s="29"/>
      <c r="BSU37" s="28"/>
      <c r="BSV37" s="29"/>
      <c r="BSW37" s="29"/>
      <c r="BSX37" s="28"/>
      <c r="BSY37" s="29"/>
      <c r="BSZ37" s="30"/>
      <c r="BTA37" s="28"/>
      <c r="BTB37" s="29"/>
      <c r="BTC37" s="29"/>
      <c r="BTD37" s="29"/>
      <c r="BTE37" s="28"/>
      <c r="BTF37" s="29"/>
      <c r="BTG37" s="29"/>
      <c r="BTH37" s="29"/>
      <c r="BTI37" s="29"/>
      <c r="BTJ37" s="29"/>
      <c r="BTK37" s="28"/>
      <c r="BTL37" s="29"/>
      <c r="BTM37" s="29"/>
      <c r="BTN37" s="28"/>
      <c r="BTO37" s="29"/>
      <c r="BTP37" s="30"/>
      <c r="BTQ37" s="28"/>
      <c r="BTR37" s="29"/>
      <c r="BTS37" s="29"/>
      <c r="BTT37" s="29"/>
      <c r="BTU37" s="28"/>
      <c r="BTV37" s="29"/>
      <c r="BTW37" s="29"/>
      <c r="BTX37" s="28"/>
      <c r="BTY37" s="29"/>
      <c r="BTZ37" s="30"/>
      <c r="BUA37" s="28"/>
      <c r="BUB37" s="29"/>
      <c r="BUC37" s="29"/>
      <c r="BUD37" s="29"/>
      <c r="BUE37" s="28"/>
      <c r="BUF37" s="29"/>
      <c r="BUG37" s="29"/>
      <c r="BUH37" s="29"/>
      <c r="BUI37" s="29"/>
      <c r="BUJ37" s="29"/>
      <c r="BUK37" s="28"/>
      <c r="BUL37" s="29"/>
      <c r="BUM37" s="29"/>
      <c r="BUN37" s="28"/>
      <c r="BUO37" s="29"/>
      <c r="BUP37" s="30"/>
      <c r="BUQ37" s="28"/>
      <c r="BUR37" s="29"/>
      <c r="BUS37" s="29"/>
      <c r="BUT37" s="29"/>
      <c r="BUU37" s="28"/>
      <c r="BUV37" s="29"/>
      <c r="BUW37" s="29"/>
      <c r="BUX37" s="28"/>
      <c r="BUY37" s="29"/>
      <c r="BUZ37" s="30"/>
      <c r="BVA37" s="28"/>
      <c r="BVB37" s="29"/>
      <c r="BVC37" s="29"/>
      <c r="BVD37" s="29"/>
      <c r="BVE37" s="28"/>
      <c r="BVF37" s="29"/>
      <c r="BVG37" s="29"/>
      <c r="BVH37" s="29"/>
      <c r="BVI37" s="29"/>
      <c r="BVJ37" s="29"/>
      <c r="BVK37" s="28"/>
      <c r="BVL37" s="29"/>
      <c r="BVM37" s="29"/>
      <c r="BVN37" s="28"/>
      <c r="BVO37" s="29"/>
      <c r="BVP37" s="30"/>
      <c r="BVQ37" s="28"/>
      <c r="BVR37" s="29"/>
      <c r="BVS37" s="29"/>
      <c r="BVT37" s="29"/>
      <c r="BVU37" s="28"/>
      <c r="BVV37" s="29"/>
      <c r="BVW37" s="29"/>
      <c r="BVX37" s="28"/>
      <c r="BVY37" s="29"/>
      <c r="BVZ37" s="30"/>
      <c r="BWA37" s="28"/>
      <c r="BWB37" s="29"/>
      <c r="BWC37" s="29"/>
      <c r="BWD37" s="29"/>
      <c r="BWE37" s="28"/>
      <c r="BWF37" s="29"/>
      <c r="BWG37" s="29"/>
      <c r="BWH37" s="29"/>
      <c r="BWI37" s="29"/>
      <c r="BWJ37" s="29"/>
      <c r="BWK37" s="28"/>
      <c r="BWL37" s="29"/>
      <c r="BWM37" s="29"/>
      <c r="BWN37" s="28"/>
      <c r="BWO37" s="29"/>
      <c r="BWP37" s="30"/>
      <c r="BWQ37" s="28"/>
      <c r="BWR37" s="29"/>
      <c r="BWS37" s="29"/>
      <c r="BWT37" s="29"/>
      <c r="BWU37" s="28"/>
      <c r="BWV37" s="29"/>
      <c r="BWW37" s="29"/>
      <c r="BWX37" s="28"/>
      <c r="BWY37" s="29"/>
      <c r="BWZ37" s="30"/>
      <c r="BXA37" s="28"/>
      <c r="BXB37" s="29"/>
      <c r="BXC37" s="29"/>
      <c r="BXD37" s="29"/>
      <c r="BXE37" s="28"/>
      <c r="BXF37" s="29"/>
      <c r="BXG37" s="29"/>
      <c r="BXH37" s="29"/>
      <c r="BXI37" s="29"/>
      <c r="BXJ37" s="29"/>
      <c r="BXK37" s="28"/>
      <c r="BXL37" s="29"/>
      <c r="BXM37" s="29"/>
      <c r="BXN37" s="28"/>
      <c r="BXO37" s="29"/>
      <c r="BXP37" s="30"/>
      <c r="BXQ37" s="28"/>
      <c r="BXR37" s="29"/>
      <c r="BXS37" s="29"/>
      <c r="BXT37" s="29"/>
      <c r="BXU37" s="28"/>
      <c r="BXV37" s="29"/>
      <c r="BXW37" s="29"/>
      <c r="BXX37" s="28"/>
      <c r="BXY37" s="29"/>
      <c r="BXZ37" s="30"/>
      <c r="BYA37" s="28"/>
      <c r="BYB37" s="29"/>
      <c r="BYC37" s="29"/>
      <c r="BYD37" s="29"/>
      <c r="BYE37" s="28"/>
      <c r="BYF37" s="29"/>
      <c r="BYG37" s="29"/>
      <c r="BYH37" s="29"/>
      <c r="BYI37" s="29"/>
      <c r="BYJ37" s="29"/>
      <c r="BYK37" s="28"/>
      <c r="BYL37" s="29"/>
      <c r="BYM37" s="29"/>
      <c r="BYN37" s="28"/>
      <c r="BYO37" s="29"/>
      <c r="BYP37" s="30"/>
      <c r="BYQ37" s="28"/>
      <c r="BYR37" s="29"/>
      <c r="BYS37" s="29"/>
      <c r="BYT37" s="29"/>
      <c r="BYU37" s="28"/>
      <c r="BYV37" s="29"/>
      <c r="BYW37" s="29"/>
      <c r="BYX37" s="30"/>
      <c r="BYY37" s="29"/>
      <c r="BYZ37" s="28"/>
      <c r="BZA37" s="29"/>
      <c r="BZB37" s="28"/>
      <c r="BZC37" s="28"/>
      <c r="BZD37" s="28"/>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30"/>
      <c r="CAQ37" s="28"/>
      <c r="CAR37" s="29"/>
      <c r="CAS37" s="30"/>
      <c r="CAT37" s="29"/>
      <c r="CAU37" s="29"/>
      <c r="CAV37" s="29"/>
      <c r="CAW37" s="28"/>
      <c r="CAX37" s="29"/>
      <c r="CAY37" s="29"/>
      <c r="CAZ37" s="28"/>
      <c r="CBA37" s="29"/>
      <c r="CBB37" s="30"/>
      <c r="CBC37" s="28"/>
      <c r="CBD37" s="29"/>
      <c r="CBE37" s="30"/>
      <c r="CBF37" s="29"/>
      <c r="CBG37" s="28"/>
      <c r="CBH37" s="29"/>
      <c r="CBI37" s="29"/>
      <c r="CBJ37" s="28"/>
      <c r="CBK37" s="29"/>
      <c r="CBL37" s="30"/>
      <c r="CBM37" s="28"/>
      <c r="CBN37" s="29"/>
      <c r="CBO37" s="30"/>
      <c r="CBP37" s="29"/>
      <c r="CBQ37" s="28"/>
      <c r="CBR37" s="29"/>
      <c r="CBS37" s="29"/>
      <c r="CBT37" s="28"/>
      <c r="CBU37" s="29"/>
      <c r="CBV37" s="30"/>
      <c r="CBW37" s="28"/>
      <c r="CBX37" s="29"/>
      <c r="CBY37" s="30"/>
      <c r="CBZ37" s="29"/>
      <c r="CCA37" s="28"/>
      <c r="CCB37" s="29"/>
      <c r="CCC37" s="29"/>
      <c r="CCD37" s="28"/>
      <c r="CCE37" s="29"/>
      <c r="CCF37" s="30"/>
      <c r="CCG37" s="28"/>
      <c r="CCH37" s="30"/>
      <c r="CCI37" s="29"/>
      <c r="CCJ37" s="28"/>
      <c r="CCK37" s="29"/>
      <c r="CCL37" s="28"/>
      <c r="CCM37" s="28"/>
      <c r="CCN37" s="28"/>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30"/>
      <c r="CEA37" s="28"/>
      <c r="CEB37" s="29"/>
      <c r="CEC37" s="30"/>
      <c r="CED37" s="29"/>
      <c r="CEE37" s="29"/>
      <c r="CEF37" s="29"/>
      <c r="CEG37" s="28"/>
      <c r="CEH37" s="29"/>
      <c r="CEI37" s="29"/>
      <c r="CEJ37" s="28"/>
      <c r="CEK37" s="29"/>
      <c r="CEL37" s="30"/>
      <c r="CEM37" s="28"/>
      <c r="CEN37" s="29"/>
      <c r="CEO37" s="30"/>
      <c r="CEP37" s="29"/>
      <c r="CEQ37" s="28"/>
      <c r="CER37" s="29"/>
      <c r="CES37" s="29"/>
      <c r="CET37" s="28"/>
      <c r="CEU37" s="29"/>
      <c r="CEV37" s="30"/>
      <c r="CEW37" s="28"/>
      <c r="CEX37" s="29"/>
      <c r="CEY37" s="30"/>
      <c r="CEZ37" s="29"/>
      <c r="CFA37" s="28"/>
      <c r="CFB37" s="29"/>
      <c r="CFC37" s="29"/>
      <c r="CFD37" s="28"/>
      <c r="CFE37" s="29"/>
      <c r="CFF37" s="30"/>
      <c r="CFG37" s="28"/>
      <c r="CFH37" s="29"/>
      <c r="CFI37" s="30"/>
      <c r="CFJ37" s="29"/>
      <c r="CFK37" s="28"/>
      <c r="CFL37" s="29"/>
      <c r="CFM37" s="29"/>
      <c r="CFN37" s="28"/>
      <c r="CFO37" s="29"/>
      <c r="CFP37" s="30"/>
      <c r="CFQ37" s="28"/>
      <c r="CFR37" s="30"/>
      <c r="CFS37" s="29"/>
      <c r="CFT37" s="28"/>
      <c r="CFU37" s="29"/>
      <c r="CFV37" s="28"/>
      <c r="CFW37" s="28"/>
      <c r="CFX37" s="28"/>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30"/>
      <c r="CHK37" s="28"/>
      <c r="CHL37" s="29"/>
      <c r="CHM37" s="30"/>
      <c r="CHN37" s="29"/>
      <c r="CHO37" s="29"/>
      <c r="CHP37" s="29"/>
      <c r="CHQ37" s="28"/>
      <c r="CHR37" s="29"/>
      <c r="CHS37" s="29"/>
      <c r="CHT37" s="28"/>
      <c r="CHU37" s="29"/>
      <c r="CHV37" s="30"/>
      <c r="CHW37" s="28"/>
      <c r="CHX37" s="29"/>
      <c r="CHY37" s="30"/>
      <c r="CHZ37" s="29"/>
      <c r="CIA37" s="28"/>
      <c r="CIB37" s="29"/>
      <c r="CIC37" s="29"/>
      <c r="CID37" s="28"/>
      <c r="CIE37" s="29"/>
      <c r="CIF37" s="30"/>
      <c r="CIG37" s="28"/>
      <c r="CIH37" s="29"/>
      <c r="CII37" s="30"/>
      <c r="CIJ37" s="29"/>
      <c r="CIK37" s="28"/>
      <c r="CIL37" s="29"/>
      <c r="CIM37" s="29"/>
      <c r="CIN37" s="28"/>
      <c r="CIO37" s="29"/>
      <c r="CIP37" s="30"/>
      <c r="CIQ37" s="28"/>
      <c r="CIR37" s="29"/>
      <c r="CIS37" s="30"/>
      <c r="CIT37" s="29"/>
      <c r="CIU37" s="28"/>
      <c r="CIV37" s="29"/>
      <c r="CIW37" s="29"/>
      <c r="CIX37" s="28"/>
      <c r="CIY37" s="29"/>
      <c r="CIZ37" s="30"/>
      <c r="CJA37" s="28"/>
      <c r="CJB37" s="30"/>
      <c r="CJC37" s="29"/>
      <c r="CJD37" s="28"/>
      <c r="CJE37" s="29"/>
      <c r="CJF37" s="28"/>
      <c r="CJG37" s="28"/>
      <c r="CJH37" s="28"/>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30"/>
      <c r="CKU37" s="28"/>
      <c r="CKV37" s="29"/>
      <c r="CKW37" s="30"/>
      <c r="CKX37" s="29"/>
      <c r="CKY37" s="29"/>
      <c r="CKZ37" s="29"/>
      <c r="CLA37" s="28"/>
      <c r="CLB37" s="29"/>
      <c r="CLC37" s="29"/>
      <c r="CLD37" s="28"/>
      <c r="CLE37" s="29"/>
      <c r="CLF37" s="30"/>
      <c r="CLG37" s="28"/>
      <c r="CLH37" s="29"/>
      <c r="CLI37" s="30"/>
      <c r="CLJ37" s="29"/>
      <c r="CLK37" s="28"/>
      <c r="CLL37" s="29"/>
      <c r="CLM37" s="29"/>
      <c r="CLN37" s="28"/>
      <c r="CLO37" s="29"/>
      <c r="CLP37" s="30"/>
      <c r="CLQ37" s="28"/>
      <c r="CLR37" s="29"/>
      <c r="CLS37" s="30"/>
      <c r="CLT37" s="29"/>
      <c r="CLU37" s="28"/>
      <c r="CLV37" s="29"/>
      <c r="CLW37" s="29"/>
      <c r="CLX37" s="28"/>
      <c r="CLY37" s="29"/>
      <c r="CLZ37" s="30"/>
      <c r="CMA37" s="28"/>
      <c r="CMB37" s="29"/>
      <c r="CMC37" s="30"/>
      <c r="CMD37" s="29"/>
      <c r="CME37" s="28"/>
      <c r="CMF37" s="29"/>
      <c r="CMG37" s="29"/>
      <c r="CMH37" s="28"/>
      <c r="CMI37" s="29"/>
      <c r="CMJ37" s="30"/>
      <c r="CMK37" s="28"/>
      <c r="CML37" s="30"/>
      <c r="CMM37" s="29"/>
      <c r="CMN37" s="28"/>
      <c r="CMO37" s="29"/>
      <c r="CMP37" s="28"/>
      <c r="CMQ37" s="28"/>
      <c r="CMR37" s="28"/>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30"/>
      <c r="COE37" s="28"/>
      <c r="COF37" s="29"/>
      <c r="COG37" s="30"/>
      <c r="COH37" s="29"/>
      <c r="COI37" s="29"/>
      <c r="COJ37" s="29"/>
      <c r="COK37" s="28"/>
      <c r="COL37" s="29"/>
      <c r="COM37" s="29"/>
      <c r="CON37" s="28"/>
      <c r="COO37" s="29"/>
      <c r="COP37" s="30"/>
      <c r="COQ37" s="28"/>
      <c r="COR37" s="29"/>
      <c r="COS37" s="30"/>
      <c r="COT37" s="29"/>
      <c r="COU37" s="28"/>
      <c r="COV37" s="29"/>
      <c r="COW37" s="29"/>
      <c r="COX37" s="28"/>
      <c r="COY37" s="29"/>
      <c r="COZ37" s="30"/>
      <c r="CPA37" s="28"/>
      <c r="CPB37" s="29"/>
      <c r="CPC37" s="30"/>
      <c r="CPD37" s="29"/>
      <c r="CPE37" s="28"/>
      <c r="CPF37" s="29"/>
      <c r="CPG37" s="29"/>
      <c r="CPH37" s="28"/>
      <c r="CPI37" s="29"/>
      <c r="CPJ37" s="30"/>
      <c r="CPK37" s="28"/>
      <c r="CPL37" s="29"/>
      <c r="CPM37" s="30"/>
      <c r="CPN37" s="29"/>
      <c r="CPO37" s="28"/>
      <c r="CPP37" s="29"/>
      <c r="CPQ37" s="29"/>
      <c r="CPR37" s="28"/>
      <c r="CPS37" s="29"/>
      <c r="CPT37" s="30"/>
      <c r="CPU37" s="28"/>
      <c r="CPV37" s="30"/>
      <c r="CPW37" s="29"/>
      <c r="CPX37" s="28"/>
      <c r="CPY37" s="29"/>
      <c r="CPZ37" s="28"/>
      <c r="CQA37" s="28"/>
      <c r="CQB37" s="28"/>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30"/>
      <c r="CRO37" s="28"/>
      <c r="CRP37" s="29"/>
      <c r="CRQ37" s="30"/>
      <c r="CRR37" s="29"/>
      <c r="CRS37" s="29"/>
      <c r="CRT37" s="29"/>
      <c r="CRU37" s="28"/>
      <c r="CRV37" s="29"/>
      <c r="CRW37" s="29"/>
      <c r="CRX37" s="28"/>
      <c r="CRY37" s="29"/>
      <c r="CRZ37" s="30"/>
      <c r="CSA37" s="28"/>
      <c r="CSB37" s="29"/>
      <c r="CSC37" s="30"/>
      <c r="CSD37" s="29"/>
      <c r="CSE37" s="28"/>
      <c r="CSF37" s="29"/>
      <c r="CSG37" s="29"/>
      <c r="CSH37" s="28"/>
      <c r="CSI37" s="29"/>
      <c r="CSJ37" s="30"/>
      <c r="CSK37" s="28"/>
      <c r="CSL37" s="29"/>
      <c r="CSM37" s="30"/>
      <c r="CSN37" s="29"/>
      <c r="CSO37" s="28"/>
      <c r="CSP37" s="29"/>
      <c r="CSQ37" s="29"/>
      <c r="CSR37" s="28"/>
      <c r="CSS37" s="29"/>
      <c r="CST37" s="30"/>
      <c r="CSU37" s="28"/>
      <c r="CSV37" s="29"/>
      <c r="CSW37" s="30"/>
      <c r="CSX37" s="29"/>
      <c r="CSY37" s="28"/>
      <c r="CSZ37" s="29"/>
      <c r="CTA37" s="29"/>
      <c r="CTB37" s="28"/>
      <c r="CTC37" s="29"/>
      <c r="CTD37" s="30"/>
      <c r="CTE37" s="28"/>
      <c r="CTF37" s="30"/>
      <c r="CTG37" s="29"/>
      <c r="CTH37" s="28"/>
      <c r="CTI37" s="29"/>
      <c r="CTJ37" s="28"/>
      <c r="CTK37" s="28"/>
      <c r="CTL37" s="28"/>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30"/>
      <c r="CUY37" s="28"/>
      <c r="CUZ37" s="29"/>
      <c r="CVA37" s="30"/>
      <c r="CVB37" s="29"/>
      <c r="CVC37" s="29"/>
      <c r="CVD37" s="29"/>
      <c r="CVE37" s="28"/>
      <c r="CVF37" s="29"/>
      <c r="CVG37" s="29"/>
      <c r="CVH37" s="28"/>
      <c r="CVI37" s="29"/>
      <c r="CVJ37" s="30"/>
      <c r="CVK37" s="28"/>
      <c r="CVL37" s="29"/>
      <c r="CVM37" s="30"/>
      <c r="CVN37" s="29"/>
      <c r="CVO37" s="28"/>
      <c r="CVP37" s="29"/>
      <c r="CVQ37" s="29"/>
      <c r="CVR37" s="28"/>
      <c r="CVS37" s="29"/>
      <c r="CVT37" s="30"/>
      <c r="CVU37" s="28"/>
      <c r="CVV37" s="29"/>
      <c r="CVW37" s="30"/>
      <c r="CVX37" s="29"/>
      <c r="CVY37" s="28"/>
      <c r="CVZ37" s="29"/>
      <c r="CWA37" s="29"/>
      <c r="CWB37" s="28"/>
      <c r="CWC37" s="29"/>
      <c r="CWD37" s="30"/>
      <c r="CWE37" s="28"/>
      <c r="CWF37" s="29"/>
      <c r="CWG37" s="30"/>
      <c r="CWH37" s="29"/>
      <c r="CWI37" s="28"/>
      <c r="CWJ37" s="29"/>
      <c r="CWK37" s="29"/>
      <c r="CWL37" s="28"/>
      <c r="CWM37" s="29"/>
      <c r="CWN37" s="30"/>
      <c r="CWO37" s="28"/>
      <c r="CWP37" s="30"/>
      <c r="CWQ37" s="29"/>
      <c r="CWR37" s="28"/>
      <c r="CWS37" s="29"/>
      <c r="CWT37" s="28"/>
      <c r="CWU37" s="28"/>
      <c r="CWV37" s="28"/>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30"/>
      <c r="CYI37" s="28"/>
      <c r="CYJ37" s="29"/>
      <c r="CYK37" s="30"/>
      <c r="CYL37" s="29"/>
      <c r="CYM37" s="29"/>
      <c r="CYN37" s="29"/>
      <c r="CYO37" s="28"/>
      <c r="CYP37" s="29"/>
      <c r="CYQ37" s="29"/>
      <c r="CYR37" s="28"/>
      <c r="CYS37" s="29"/>
      <c r="CYT37" s="30"/>
      <c r="CYU37" s="28"/>
      <c r="CYV37" s="29"/>
      <c r="CYW37" s="30"/>
      <c r="CYX37" s="29"/>
      <c r="CYY37" s="28"/>
      <c r="CYZ37" s="29"/>
      <c r="CZA37" s="29"/>
      <c r="CZB37" s="28"/>
      <c r="CZC37" s="29"/>
      <c r="CZD37" s="30"/>
      <c r="CZE37" s="28"/>
      <c r="CZF37" s="29"/>
      <c r="CZG37" s="30"/>
      <c r="CZH37" s="29"/>
      <c r="CZI37" s="28"/>
      <c r="CZJ37" s="29"/>
      <c r="CZK37" s="29"/>
      <c r="CZL37" s="28"/>
      <c r="CZM37" s="29"/>
      <c r="CZN37" s="30"/>
      <c r="CZO37" s="28"/>
      <c r="CZP37" s="29"/>
      <c r="CZQ37" s="30"/>
      <c r="CZR37" s="29"/>
      <c r="CZS37" s="28"/>
      <c r="CZT37" s="29"/>
      <c r="CZU37" s="29"/>
      <c r="CZV37" s="28"/>
      <c r="CZW37" s="29"/>
      <c r="CZX37" s="30"/>
      <c r="CZY37" s="28"/>
      <c r="CZZ37" s="30"/>
      <c r="DAA37" s="29"/>
      <c r="DAB37" s="28"/>
      <c r="DAC37" s="29"/>
      <c r="DAD37" s="28"/>
      <c r="DAE37" s="28"/>
      <c r="DAF37" s="28"/>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30"/>
      <c r="DBS37" s="28"/>
      <c r="DBT37" s="29"/>
      <c r="DBU37" s="30"/>
      <c r="DBV37" s="29"/>
      <c r="DBW37" s="29"/>
      <c r="DBX37" s="29"/>
      <c r="DBY37" s="28"/>
      <c r="DBZ37" s="29"/>
      <c r="DCA37" s="29"/>
      <c r="DCB37" s="28"/>
      <c r="DCC37" s="29"/>
      <c r="DCD37" s="30"/>
      <c r="DCE37" s="28"/>
      <c r="DCF37" s="29"/>
      <c r="DCG37" s="30"/>
      <c r="DCH37" s="29"/>
      <c r="DCI37" s="28"/>
      <c r="DCJ37" s="29"/>
      <c r="DCK37" s="29"/>
      <c r="DCL37" s="28"/>
      <c r="DCM37" s="29"/>
      <c r="DCN37" s="30"/>
      <c r="DCO37" s="28"/>
      <c r="DCP37" s="29"/>
      <c r="DCQ37" s="30"/>
      <c r="DCR37" s="29"/>
      <c r="DCS37" s="28"/>
      <c r="DCT37" s="29"/>
      <c r="DCU37" s="29"/>
      <c r="DCV37" s="28"/>
      <c r="DCW37" s="29"/>
      <c r="DCX37" s="30"/>
      <c r="DCY37" s="28"/>
      <c r="DCZ37" s="29"/>
      <c r="DDA37" s="30"/>
      <c r="DDB37" s="29"/>
      <c r="DDC37" s="28"/>
      <c r="DDD37" s="29"/>
      <c r="DDE37" s="29"/>
      <c r="DDF37" s="28"/>
      <c r="DDG37" s="29"/>
      <c r="DDH37" s="30"/>
      <c r="DDI37" s="28"/>
      <c r="DDJ37" s="30"/>
      <c r="DDK37" s="29"/>
      <c r="DDL37" s="28"/>
      <c r="DDM37" s="29"/>
      <c r="DDN37" s="28"/>
      <c r="DDO37" s="28"/>
      <c r="DDP37" s="28"/>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30"/>
      <c r="DFC37" s="28"/>
      <c r="DFD37" s="29"/>
      <c r="DFE37" s="30"/>
      <c r="DFF37" s="29"/>
      <c r="DFG37" s="29"/>
      <c r="DFH37" s="29"/>
      <c r="DFI37" s="28"/>
      <c r="DFJ37" s="29"/>
      <c r="DFK37" s="29"/>
      <c r="DFL37" s="28"/>
      <c r="DFM37" s="29"/>
      <c r="DFN37" s="30"/>
      <c r="DFO37" s="28"/>
      <c r="DFP37" s="29"/>
      <c r="DFQ37" s="30"/>
      <c r="DFR37" s="29"/>
      <c r="DFS37" s="28"/>
      <c r="DFT37" s="29"/>
      <c r="DFU37" s="29"/>
      <c r="DFV37" s="28"/>
      <c r="DFW37" s="29"/>
      <c r="DFX37" s="30"/>
      <c r="DFY37" s="28"/>
      <c r="DFZ37" s="29"/>
      <c r="DGA37" s="30"/>
      <c r="DGB37" s="29"/>
      <c r="DGC37" s="28"/>
      <c r="DGD37" s="29"/>
      <c r="DGE37" s="29"/>
      <c r="DGF37" s="28"/>
      <c r="DGG37" s="29"/>
      <c r="DGH37" s="30"/>
      <c r="DGI37" s="28"/>
      <c r="DGJ37" s="29"/>
      <c r="DGK37" s="30"/>
      <c r="DGL37" s="29"/>
      <c r="DGM37" s="28"/>
      <c r="DGN37" s="29"/>
      <c r="DGO37" s="29"/>
      <c r="DGP37" s="28"/>
      <c r="DGQ37" s="29"/>
      <c r="DGR37" s="30"/>
      <c r="DGS37" s="28"/>
      <c r="DGT37" s="30"/>
      <c r="DGU37" s="29"/>
      <c r="DGV37" s="28"/>
      <c r="DGW37" s="29"/>
      <c r="DGX37" s="28"/>
      <c r="DGY37" s="28"/>
      <c r="DGZ37" s="28"/>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30"/>
      <c r="DIM37" s="28"/>
      <c r="DIN37" s="29"/>
      <c r="DIO37" s="30"/>
      <c r="DIP37" s="29"/>
      <c r="DIQ37" s="29"/>
      <c r="DIR37" s="29"/>
      <c r="DIS37" s="28"/>
      <c r="DIT37" s="29"/>
      <c r="DIU37" s="29"/>
      <c r="DIV37" s="28"/>
      <c r="DIW37" s="29"/>
      <c r="DIX37" s="30"/>
      <c r="DIY37" s="28"/>
      <c r="DIZ37" s="29"/>
      <c r="DJA37" s="30"/>
      <c r="DJB37" s="29"/>
      <c r="DJC37" s="28"/>
      <c r="DJD37" s="29"/>
      <c r="DJE37" s="29"/>
      <c r="DJF37" s="28"/>
      <c r="DJG37" s="29"/>
      <c r="DJH37" s="30"/>
      <c r="DJI37" s="28"/>
      <c r="DJJ37" s="29"/>
      <c r="DJK37" s="30"/>
      <c r="DJL37" s="29"/>
      <c r="DJM37" s="28"/>
      <c r="DJN37" s="29"/>
      <c r="DJO37" s="29"/>
      <c r="DJP37" s="28"/>
      <c r="DJQ37" s="29"/>
      <c r="DJR37" s="30"/>
      <c r="DJS37" s="28"/>
      <c r="DJT37" s="29"/>
      <c r="DJU37" s="30"/>
      <c r="DJV37" s="29"/>
      <c r="DJW37" s="28"/>
      <c r="DJX37" s="29"/>
      <c r="DJY37" s="29"/>
      <c r="DJZ37" s="28"/>
      <c r="DKA37" s="29"/>
      <c r="DKB37" s="30"/>
      <c r="DKC37" s="28"/>
      <c r="DKD37" s="30"/>
      <c r="DKE37" s="29"/>
      <c r="DKF37" s="28"/>
      <c r="DKG37" s="29"/>
      <c r="DKH37" s="28"/>
      <c r="DKI37" s="28"/>
      <c r="DKJ37" s="28"/>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30"/>
      <c r="DLW37" s="28"/>
      <c r="DLX37" s="29"/>
      <c r="DLY37" s="30"/>
      <c r="DLZ37" s="29"/>
      <c r="DMA37" s="29"/>
      <c r="DMB37" s="29"/>
      <c r="DMC37" s="28"/>
      <c r="DMD37" s="29"/>
      <c r="DME37" s="29"/>
      <c r="DMF37" s="28"/>
      <c r="DMG37" s="29"/>
      <c r="DMH37" s="30"/>
      <c r="DMI37" s="28"/>
      <c r="DMJ37" s="29"/>
      <c r="DMK37" s="30"/>
      <c r="DML37" s="29"/>
      <c r="DMM37" s="28"/>
      <c r="DMN37" s="29"/>
      <c r="DMO37" s="29"/>
      <c r="DMP37" s="28"/>
      <c r="DMQ37" s="29"/>
      <c r="DMR37" s="30"/>
      <c r="DMS37" s="28"/>
      <c r="DMT37" s="29"/>
      <c r="DMU37" s="30"/>
      <c r="DMV37" s="29"/>
      <c r="DMW37" s="28"/>
      <c r="DMX37" s="29"/>
      <c r="DMY37" s="29"/>
      <c r="DMZ37" s="28"/>
      <c r="DNA37" s="29"/>
      <c r="DNB37" s="30"/>
      <c r="DNC37" s="28"/>
      <c r="DND37" s="29"/>
      <c r="DNE37" s="30"/>
      <c r="DNF37" s="29"/>
      <c r="DNG37" s="28"/>
      <c r="DNH37" s="29"/>
      <c r="DNI37" s="29"/>
      <c r="DNJ37" s="28"/>
      <c r="DNK37" s="29"/>
      <c r="DNL37" s="30"/>
      <c r="DNM37" s="28"/>
      <c r="DNN37" s="30"/>
      <c r="DNO37" s="29"/>
      <c r="DNP37" s="28"/>
      <c r="DNQ37" s="29"/>
      <c r="DNR37" s="28"/>
      <c r="DNS37" s="28"/>
      <c r="DNT37" s="28"/>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30"/>
      <c r="DPG37" s="28"/>
      <c r="DPH37" s="29"/>
      <c r="DPI37" s="30"/>
      <c r="DPJ37" s="29"/>
      <c r="DPK37" s="29"/>
      <c r="DPL37" s="29"/>
      <c r="DPM37" s="28"/>
      <c r="DPN37" s="29"/>
      <c r="DPO37" s="29"/>
      <c r="DPP37" s="28"/>
      <c r="DPQ37" s="29"/>
      <c r="DPR37" s="30"/>
      <c r="DPS37" s="28"/>
      <c r="DPT37" s="29"/>
      <c r="DPU37" s="30"/>
      <c r="DPV37" s="29"/>
      <c r="DPW37" s="28"/>
      <c r="DPX37" s="29"/>
      <c r="DPY37" s="29"/>
      <c r="DPZ37" s="28"/>
      <c r="DQA37" s="29"/>
      <c r="DQB37" s="30"/>
      <c r="DQC37" s="28"/>
      <c r="DQD37" s="29"/>
      <c r="DQE37" s="30"/>
      <c r="DQF37" s="29"/>
      <c r="DQG37" s="28"/>
      <c r="DQH37" s="29"/>
      <c r="DQI37" s="29"/>
      <c r="DQJ37" s="28"/>
      <c r="DQK37" s="29"/>
      <c r="DQL37" s="30"/>
      <c r="DQM37" s="28"/>
      <c r="DQN37" s="29"/>
      <c r="DQO37" s="30"/>
      <c r="DQP37" s="29"/>
      <c r="DQQ37" s="28"/>
      <c r="DQR37" s="29"/>
      <c r="DQS37" s="29"/>
      <c r="DQT37" s="28"/>
      <c r="DQU37" s="29"/>
      <c r="DQV37" s="30"/>
      <c r="DQW37" s="28"/>
      <c r="DQX37" s="30"/>
      <c r="DQY37" s="29"/>
      <c r="DQZ37" s="28"/>
      <c r="DRA37" s="29"/>
      <c r="DRB37" s="28"/>
      <c r="DRC37" s="28"/>
      <c r="DRD37" s="28"/>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30"/>
      <c r="DSQ37" s="28"/>
      <c r="DSR37" s="29"/>
      <c r="DSS37" s="30"/>
      <c r="DST37" s="29"/>
      <c r="DSU37" s="29"/>
      <c r="DSV37" s="29"/>
      <c r="DSW37" s="28"/>
      <c r="DSX37" s="29"/>
      <c r="DSY37" s="29"/>
      <c r="DSZ37" s="28"/>
      <c r="DTA37" s="29"/>
      <c r="DTB37" s="30"/>
      <c r="DTC37" s="28"/>
      <c r="DTD37" s="29"/>
      <c r="DTE37" s="30"/>
      <c r="DTF37" s="29"/>
      <c r="DTG37" s="28"/>
      <c r="DTH37" s="29"/>
      <c r="DTI37" s="29"/>
      <c r="DTJ37" s="28"/>
      <c r="DTK37" s="29"/>
      <c r="DTL37" s="30"/>
      <c r="DTM37" s="28"/>
      <c r="DTN37" s="29"/>
      <c r="DTO37" s="30"/>
      <c r="DTP37" s="29"/>
      <c r="DTQ37" s="28"/>
      <c r="DTR37" s="29"/>
      <c r="DTS37" s="29"/>
      <c r="DTT37" s="28"/>
      <c r="DTU37" s="29"/>
      <c r="DTV37" s="30"/>
      <c r="DTW37" s="28"/>
      <c r="DTX37" s="29"/>
      <c r="DTY37" s="30"/>
      <c r="DTZ37" s="29"/>
      <c r="DUA37" s="28"/>
      <c r="DUB37" s="29"/>
      <c r="DUC37" s="29"/>
      <c r="DUD37" s="28"/>
      <c r="DUE37" s="29"/>
      <c r="DUF37" s="30"/>
      <c r="DUG37" s="28"/>
      <c r="DUH37" s="30"/>
      <c r="DUI37" s="29"/>
      <c r="DUJ37" s="28"/>
      <c r="DUK37" s="29"/>
      <c r="DUL37" s="28"/>
      <c r="DUM37" s="28"/>
      <c r="DUN37" s="28"/>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30"/>
      <c r="DWA37" s="28"/>
      <c r="DWB37" s="29"/>
      <c r="DWC37" s="30"/>
      <c r="DWD37" s="29"/>
      <c r="DWE37" s="29"/>
      <c r="DWF37" s="29"/>
      <c r="DWG37" s="28"/>
      <c r="DWH37" s="29"/>
      <c r="DWI37" s="29"/>
      <c r="DWJ37" s="28"/>
      <c r="DWK37" s="29"/>
      <c r="DWL37" s="30"/>
      <c r="DWM37" s="28"/>
      <c r="DWN37" s="29"/>
      <c r="DWO37" s="30"/>
      <c r="DWP37" s="29"/>
      <c r="DWQ37" s="28"/>
      <c r="DWR37" s="29"/>
      <c r="DWS37" s="29"/>
      <c r="DWT37" s="28"/>
      <c r="DWU37" s="29"/>
      <c r="DWV37" s="30"/>
      <c r="DWW37" s="28"/>
      <c r="DWX37" s="29"/>
      <c r="DWY37" s="30"/>
      <c r="DWZ37" s="29"/>
      <c r="DXA37" s="28"/>
      <c r="DXB37" s="29"/>
      <c r="DXC37" s="29"/>
      <c r="DXD37" s="28"/>
      <c r="DXE37" s="29"/>
      <c r="DXF37" s="30"/>
      <c r="DXG37" s="28"/>
      <c r="DXH37" s="29"/>
      <c r="DXI37" s="30"/>
      <c r="DXJ37" s="29"/>
      <c r="DXK37" s="28"/>
      <c r="DXL37" s="29"/>
      <c r="DXM37" s="29"/>
      <c r="DXN37" s="28"/>
      <c r="DXO37" s="29"/>
      <c r="DXP37" s="30"/>
      <c r="DXQ37" s="28"/>
      <c r="DXR37" s="30"/>
      <c r="DXS37" s="29"/>
      <c r="DXT37" s="28"/>
      <c r="DXU37" s="29"/>
      <c r="DXV37" s="28"/>
      <c r="DXW37" s="28"/>
      <c r="DXX37" s="28"/>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30"/>
      <c r="DZK37" s="28"/>
      <c r="DZL37" s="29"/>
      <c r="DZM37" s="30"/>
      <c r="DZN37" s="29"/>
      <c r="DZO37" s="29"/>
      <c r="DZP37" s="29"/>
      <c r="DZQ37" s="28"/>
      <c r="DZR37" s="29"/>
      <c r="DZS37" s="29"/>
      <c r="DZT37" s="28"/>
      <c r="DZU37" s="29"/>
      <c r="DZV37" s="30"/>
      <c r="DZW37" s="28"/>
      <c r="DZX37" s="29"/>
      <c r="DZY37" s="30"/>
      <c r="DZZ37" s="29"/>
      <c r="EAA37" s="28"/>
      <c r="EAB37" s="29"/>
      <c r="EAC37" s="29"/>
      <c r="EAD37" s="28"/>
      <c r="EAE37" s="29"/>
      <c r="EAF37" s="30"/>
      <c r="EAG37" s="28"/>
      <c r="EAH37" s="29"/>
      <c r="EAI37" s="30"/>
      <c r="EAJ37" s="29"/>
      <c r="EAK37" s="28"/>
      <c r="EAL37" s="29"/>
      <c r="EAM37" s="29"/>
      <c r="EAN37" s="28"/>
      <c r="EAO37" s="29"/>
      <c r="EAP37" s="30"/>
      <c r="EAQ37" s="28"/>
      <c r="EAR37" s="29"/>
      <c r="EAS37" s="30"/>
      <c r="EAT37" s="29"/>
      <c r="EAU37" s="28"/>
      <c r="EAV37" s="29"/>
      <c r="EAW37" s="29"/>
      <c r="EAX37" s="28"/>
      <c r="EAY37" s="29"/>
      <c r="EAZ37" s="30"/>
      <c r="EBA37" s="28"/>
      <c r="EBB37" s="30"/>
      <c r="EBC37" s="29"/>
      <c r="EBD37" s="28"/>
      <c r="EBE37" s="29"/>
      <c r="EBF37" s="28"/>
      <c r="EBG37" s="28"/>
      <c r="EBH37" s="28"/>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30"/>
      <c r="ECU37" s="28"/>
      <c r="ECV37" s="29"/>
      <c r="ECW37" s="30"/>
      <c r="ECX37" s="29"/>
      <c r="ECY37" s="29"/>
      <c r="ECZ37" s="29"/>
      <c r="EDA37" s="28"/>
      <c r="EDB37" s="29"/>
      <c r="EDC37" s="29"/>
      <c r="EDD37" s="28"/>
      <c r="EDE37" s="29"/>
      <c r="EDF37" s="30"/>
      <c r="EDG37" s="28"/>
      <c r="EDH37" s="29"/>
      <c r="EDI37" s="30"/>
      <c r="EDJ37" s="29"/>
      <c r="EDK37" s="28"/>
      <c r="EDL37" s="29"/>
      <c r="EDM37" s="29"/>
      <c r="EDN37" s="28"/>
      <c r="EDO37" s="29"/>
      <c r="EDP37" s="30"/>
      <c r="EDQ37" s="28"/>
      <c r="EDR37" s="29"/>
      <c r="EDS37" s="30"/>
      <c r="EDT37" s="29"/>
      <c r="EDU37" s="28"/>
      <c r="EDV37" s="29"/>
      <c r="EDW37" s="29"/>
      <c r="EDX37" s="28"/>
      <c r="EDY37" s="29"/>
      <c r="EDZ37" s="30"/>
      <c r="EEA37" s="28"/>
      <c r="EEB37" s="29"/>
      <c r="EEC37" s="30"/>
      <c r="EED37" s="29"/>
      <c r="EEE37" s="28"/>
      <c r="EEF37" s="29"/>
      <c r="EEG37" s="29"/>
      <c r="EEH37" s="28"/>
      <c r="EEI37" s="29"/>
      <c r="EEJ37" s="30"/>
      <c r="EEK37" s="28"/>
      <c r="EEL37" s="30"/>
      <c r="EEM37" s="29"/>
      <c r="EEN37" s="28"/>
      <c r="EEO37" s="29"/>
      <c r="EEP37" s="28"/>
      <c r="EEQ37" s="28"/>
      <c r="EER37" s="28"/>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30"/>
      <c r="EGE37" s="28"/>
      <c r="EGF37" s="29"/>
      <c r="EGG37" s="30"/>
      <c r="EGH37" s="29"/>
      <c r="EGI37" s="29"/>
      <c r="EGJ37" s="29"/>
      <c r="EGK37" s="28"/>
      <c r="EGL37" s="29"/>
      <c r="EGM37" s="29"/>
      <c r="EGN37" s="28"/>
      <c r="EGO37" s="29"/>
      <c r="EGP37" s="30"/>
      <c r="EGQ37" s="28"/>
      <c r="EGR37" s="29"/>
      <c r="EGS37" s="30"/>
      <c r="EGT37" s="29"/>
      <c r="EGU37" s="28"/>
      <c r="EGV37" s="29"/>
      <c r="EGW37" s="29"/>
      <c r="EGX37" s="28"/>
      <c r="EGY37" s="29"/>
      <c r="EGZ37" s="30"/>
      <c r="EHA37" s="28"/>
      <c r="EHB37" s="29"/>
      <c r="EHC37" s="30"/>
      <c r="EHD37" s="29"/>
      <c r="EHE37" s="28"/>
      <c r="EHF37" s="29"/>
      <c r="EHG37" s="29"/>
      <c r="EHH37" s="28"/>
      <c r="EHI37" s="29"/>
      <c r="EHJ37" s="30"/>
      <c r="EHK37" s="28"/>
      <c r="EHL37" s="29"/>
      <c r="EHM37" s="30"/>
      <c r="EHN37" s="29"/>
      <c r="EHO37" s="28"/>
      <c r="EHP37" s="29"/>
      <c r="EHQ37" s="29"/>
      <c r="EHR37" s="28"/>
      <c r="EHS37" s="29"/>
      <c r="EHT37" s="30"/>
      <c r="EHU37" s="28"/>
      <c r="EHV37" s="30"/>
      <c r="EHW37" s="29"/>
      <c r="EHX37" s="28"/>
      <c r="EHY37" s="29"/>
      <c r="EHZ37" s="28"/>
      <c r="EIA37" s="28"/>
      <c r="EIB37" s="28"/>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30"/>
      <c r="EJO37" s="28"/>
      <c r="EJP37" s="29"/>
      <c r="EJQ37" s="30"/>
      <c r="EJR37" s="29"/>
      <c r="EJS37" s="29"/>
      <c r="EJT37" s="29"/>
      <c r="EJU37" s="28"/>
      <c r="EJV37" s="29"/>
      <c r="EJW37" s="29"/>
      <c r="EJX37" s="28"/>
      <c r="EJY37" s="29"/>
      <c r="EJZ37" s="30"/>
      <c r="EKA37" s="28"/>
      <c r="EKB37" s="29"/>
      <c r="EKC37" s="30"/>
      <c r="EKD37" s="29"/>
      <c r="EKE37" s="28"/>
      <c r="EKF37" s="29"/>
      <c r="EKG37" s="29"/>
      <c r="EKH37" s="28"/>
      <c r="EKI37" s="29"/>
      <c r="EKJ37" s="30"/>
      <c r="EKK37" s="28"/>
      <c r="EKL37" s="29"/>
      <c r="EKM37" s="30"/>
      <c r="EKN37" s="29"/>
      <c r="EKO37" s="28"/>
      <c r="EKP37" s="29"/>
      <c r="EKQ37" s="29"/>
      <c r="EKR37" s="28"/>
      <c r="EKS37" s="29"/>
      <c r="EKT37" s="30"/>
      <c r="EKU37" s="28"/>
      <c r="EKV37" s="29"/>
      <c r="EKW37" s="30"/>
      <c r="EKX37" s="29"/>
      <c r="EKY37" s="28"/>
      <c r="EKZ37" s="29"/>
      <c r="ELA37" s="29"/>
      <c r="ELB37" s="28"/>
      <c r="ELC37" s="29"/>
      <c r="ELD37" s="30"/>
      <c r="ELE37" s="28"/>
      <c r="ELF37" s="30"/>
      <c r="ELG37" s="29"/>
      <c r="ELH37" s="28"/>
      <c r="ELI37" s="29"/>
      <c r="ELJ37" s="28"/>
      <c r="ELK37" s="28"/>
      <c r="ELL37" s="28"/>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30"/>
      <c r="EMY37" s="28"/>
      <c r="EMZ37" s="29"/>
      <c r="ENA37" s="30"/>
      <c r="ENB37" s="29"/>
      <c r="ENC37" s="29"/>
      <c r="END37" s="29"/>
      <c r="ENE37" s="28"/>
      <c r="ENF37" s="29"/>
      <c r="ENG37" s="29"/>
      <c r="ENH37" s="28"/>
      <c r="ENI37" s="29"/>
      <c r="ENJ37" s="30"/>
      <c r="ENK37" s="28"/>
      <c r="ENL37" s="29"/>
      <c r="ENM37" s="30"/>
      <c r="ENN37" s="29"/>
      <c r="ENO37" s="28"/>
      <c r="ENP37" s="29"/>
      <c r="ENQ37" s="29"/>
      <c r="ENR37" s="28"/>
      <c r="ENS37" s="29"/>
      <c r="ENT37" s="30"/>
      <c r="ENU37" s="28"/>
      <c r="ENV37" s="29"/>
      <c r="ENW37" s="30"/>
      <c r="ENX37" s="29"/>
      <c r="ENY37" s="28"/>
      <c r="ENZ37" s="29"/>
      <c r="EOA37" s="29"/>
      <c r="EOB37" s="28"/>
      <c r="EOC37" s="29"/>
      <c r="EOD37" s="30"/>
      <c r="EOE37" s="28"/>
      <c r="EOF37" s="29"/>
      <c r="EOG37" s="30"/>
      <c r="EOH37" s="29"/>
      <c r="EOI37" s="28"/>
      <c r="EOJ37" s="29"/>
      <c r="EOK37" s="29"/>
      <c r="EOL37" s="28"/>
      <c r="EOM37" s="29"/>
      <c r="EON37" s="30"/>
      <c r="EOO37" s="28" t="str">
        <f t="shared" si="149"/>
        <v xml:space="preserve"> </v>
      </c>
      <c r="EOP37" s="30"/>
      <c r="EOQ37" s="29"/>
      <c r="EOR37" s="28"/>
      <c r="EOS37" s="29"/>
      <c r="EOT37" s="28"/>
      <c r="EOU37" s="28"/>
      <c r="EOV37" s="28"/>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30"/>
      <c r="EQI37" s="28"/>
      <c r="EQJ37" s="29"/>
      <c r="EQK37" s="30"/>
      <c r="EQL37" s="29"/>
      <c r="EQM37" s="29"/>
      <c r="EQN37" s="29"/>
      <c r="EQO37" s="28"/>
      <c r="EQP37" s="29"/>
      <c r="EQQ37" s="29"/>
      <c r="EQR37" s="28"/>
      <c r="EQS37" s="29"/>
      <c r="EQT37" s="30"/>
      <c r="EQU37" s="28"/>
      <c r="EQV37" s="29"/>
      <c r="EQW37" s="30"/>
      <c r="EQX37" s="29"/>
      <c r="EQY37" s="28"/>
      <c r="EQZ37" s="29"/>
      <c r="ERA37" s="29"/>
      <c r="ERB37" s="28"/>
      <c r="ERC37" s="29"/>
      <c r="ERD37" s="30"/>
      <c r="ERE37" s="28"/>
      <c r="ERF37" s="29"/>
      <c r="ERG37" s="30"/>
      <c r="ERH37" s="29"/>
      <c r="ERI37" s="28"/>
      <c r="ERJ37" s="29"/>
      <c r="ERK37" s="29"/>
      <c r="ERL37" s="28"/>
      <c r="ERM37" s="29"/>
      <c r="ERN37" s="30"/>
      <c r="ERO37" s="28"/>
      <c r="ERP37" s="29"/>
      <c r="ERQ37" s="30"/>
      <c r="ERR37" s="29"/>
      <c r="ERS37" s="28"/>
      <c r="ERT37" s="29"/>
      <c r="ERU37" s="29"/>
      <c r="ERV37" s="28"/>
      <c r="ERW37" s="29"/>
      <c r="ERX37" s="30"/>
      <c r="ERY37" s="28" t="str">
        <f t="shared" si="152"/>
        <v xml:space="preserve"> </v>
      </c>
      <c r="ERZ37" s="30"/>
      <c r="ESA37" s="29"/>
      <c r="ESB37" s="28"/>
      <c r="ESC37" s="29"/>
      <c r="ESD37" s="28"/>
      <c r="ESE37" s="28"/>
      <c r="ESF37" s="28"/>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30"/>
      <c r="ETS37" s="28"/>
      <c r="ETT37" s="29"/>
      <c r="ETU37" s="30"/>
      <c r="ETV37" s="29"/>
      <c r="ETW37" s="29"/>
      <c r="ETX37" s="29"/>
      <c r="ETY37" s="28"/>
      <c r="ETZ37" s="29"/>
      <c r="EUA37" s="29"/>
      <c r="EUB37" s="28"/>
      <c r="EUC37" s="29"/>
      <c r="EUD37" s="30"/>
      <c r="EUE37" s="28"/>
      <c r="EUF37" s="29"/>
      <c r="EUG37" s="30"/>
      <c r="EUH37" s="29"/>
      <c r="EUI37" s="28"/>
      <c r="EUJ37" s="29"/>
      <c r="EUK37" s="29"/>
      <c r="EUL37" s="28"/>
      <c r="EUM37" s="29"/>
      <c r="EUN37" s="30"/>
      <c r="EUO37" s="28"/>
      <c r="EUP37" s="29"/>
      <c r="EUQ37" s="30"/>
      <c r="EUR37" s="29"/>
      <c r="EUS37" s="28"/>
      <c r="EUT37" s="29"/>
      <c r="EUU37" s="29"/>
      <c r="EUV37" s="28"/>
      <c r="EUW37" s="29"/>
      <c r="EUX37" s="30"/>
      <c r="EUY37" s="28"/>
      <c r="EUZ37" s="29"/>
      <c r="EVA37" s="30"/>
      <c r="EVB37" s="29"/>
      <c r="EVC37" s="28"/>
      <c r="EVD37" s="29"/>
      <c r="EVE37" s="29"/>
      <c r="EVF37" s="28"/>
      <c r="EVG37" s="29"/>
      <c r="EVH37" s="30"/>
      <c r="EVI37" s="28" t="str">
        <f t="shared" si="153"/>
        <v xml:space="preserve"> </v>
      </c>
    </row>
    <row r="38" spans="1:3961" x14ac:dyDescent="0.3">
      <c r="A38" s="424" t="s">
        <v>221</v>
      </c>
      <c r="B38" s="58" t="str">
        <f>'REG y VAL POE - AESR - ESR'!B2928</f>
        <v>Cruz Marin Juan Bernardo</v>
      </c>
      <c r="C38" s="57">
        <f>'REG y VAL POE - AESR - ESR'!C2928</f>
        <v>0</v>
      </c>
      <c r="D38" s="56" t="str">
        <f>'REG y VAL POE - AESR - ESR'!D2928</f>
        <v xml:space="preserve"> </v>
      </c>
      <c r="E38" s="57">
        <f>'REG y VAL POE - AESR - ESR'!E2928</f>
        <v>0</v>
      </c>
      <c r="F38" s="56">
        <f>'REG y VAL POE - AESR - ESR'!F2928</f>
        <v>0</v>
      </c>
      <c r="G38" s="59">
        <f>'REG y VAL POE - AESR - ESR'!G2928</f>
        <v>45425</v>
      </c>
      <c r="H38" s="59">
        <f>'REG y VAL POE - AESR - ESR'!H2928</f>
        <v>45790</v>
      </c>
      <c r="I38" s="57" t="str">
        <f>'REG y VAL POE - AESR - ESR'!I2928</f>
        <v>SI</v>
      </c>
      <c r="J38" s="57" t="str">
        <f>'REG y VAL POE - AESR - ESR'!J2928</f>
        <v>Vigente</v>
      </c>
      <c r="K38" s="57" t="str">
        <f>'REG y VAL POE - AESR - ESR'!K2928</f>
        <v>SI</v>
      </c>
      <c r="L38" s="57" t="str">
        <f>'REG y VAL POE - AESR - ESR'!L2928</f>
        <v>Vigente</v>
      </c>
      <c r="M38" s="57" t="str">
        <f>'REG y VAL POE - AESR - ESR'!M2928</f>
        <v>NO</v>
      </c>
      <c r="N38" s="57" t="str">
        <f>'REG y VAL POE - AESR - ESR'!N2928</f>
        <v>Apendice B no lleno-falta firma RL-lo firma el ESR</v>
      </c>
      <c r="O38" s="57" t="str">
        <f>'REG y VAL POE - AESR - ESR'!O2928</f>
        <v>SI</v>
      </c>
      <c r="P38" s="57" t="str">
        <f>'REG y VAL POE - AESR - ESR'!P2928</f>
        <v>SI</v>
      </c>
      <c r="Q38" s="57" t="str">
        <f>'REG y VAL POE - AESR - ESR'!Q2928</f>
        <v>SI</v>
      </c>
      <c r="R38" s="57" t="str">
        <f>'REG y VAL POE - AESR - ESR'!R2928</f>
        <v>SI</v>
      </c>
      <c r="S38" s="57" t="str">
        <f>'REG y VAL POE - AESR - ESR'!S2928</f>
        <v>SI</v>
      </c>
      <c r="T38" s="57" t="str">
        <f>'REG y VAL POE - AESR - ESR'!T2928</f>
        <v>SI</v>
      </c>
      <c r="U38" s="57" t="str">
        <f>'REG y VAL POE - AESR - ESR'!U2928</f>
        <v>SI</v>
      </c>
      <c r="V38" s="57" t="str">
        <f>'REG y VAL POE - AESR - ESR'!V2928</f>
        <v>SI</v>
      </c>
      <c r="W38" s="57">
        <f>'REG y VAL POE - AESR - ESR'!W2928</f>
        <v>0</v>
      </c>
      <c r="X38" s="57">
        <f>'REG y VAL POE - AESR - ESR'!X2928</f>
        <v>0</v>
      </c>
      <c r="Y38" s="57">
        <f>'REG y VAL POE - AESR - ESR'!Y2928</f>
        <v>0</v>
      </c>
      <c r="Z38" s="57" t="str">
        <f>'REG y VAL POE - AESR - ESR'!Z2928</f>
        <v>SI</v>
      </c>
      <c r="AA38" s="57">
        <f>'REG y VAL POE - AESR - ESR'!AA2928</f>
        <v>0</v>
      </c>
      <c r="AB38" s="57">
        <f>'REG y VAL POE - AESR - ESR'!AB2928</f>
        <v>0</v>
      </c>
      <c r="AC38" s="57">
        <f>'REG y VAL POE - AESR - ESR'!AC2928</f>
        <v>0</v>
      </c>
      <c r="AD38" s="57">
        <f>'REG y VAL POE - AESR - ESR'!AD2928</f>
        <v>0</v>
      </c>
      <c r="AE38" s="57">
        <f>'REG y VAL POE - AESR - ESR'!AE2928</f>
        <v>0</v>
      </c>
      <c r="AF38" s="57">
        <f>'REG y VAL POE - AESR - ESR'!AF2928</f>
        <v>0</v>
      </c>
      <c r="AG38" s="57" t="str">
        <f>'REG y VAL POE - AESR - ESR'!AG2928</f>
        <v>SI</v>
      </c>
      <c r="AH38" s="57">
        <f>'REG y VAL POE - AESR - ESR'!AH2928</f>
        <v>0</v>
      </c>
      <c r="AI38" s="57">
        <f>'REG y VAL POE - AESR - ESR'!AI2928</f>
        <v>0</v>
      </c>
      <c r="AJ38" s="57">
        <f>'REG y VAL POE - AESR - ESR'!AJ2928</f>
        <v>0</v>
      </c>
      <c r="AK38" s="57">
        <f>'REG y VAL POE - AESR - ESR'!AK2928</f>
        <v>0</v>
      </c>
      <c r="AL38" s="57">
        <f>'REG y VAL POE - AESR - ESR'!AL2928</f>
        <v>0</v>
      </c>
      <c r="AM38" s="57">
        <f>'REG y VAL POE - AESR - ESR'!AM2928</f>
        <v>0</v>
      </c>
      <c r="AN38" s="57">
        <f>'REG y VAL POE - AESR - ESR'!AN2928</f>
        <v>0</v>
      </c>
      <c r="AO38" s="57">
        <f>'REG y VAL POE - AESR - ESR'!AO2928</f>
        <v>0</v>
      </c>
      <c r="AP38" s="57">
        <f>'REG y VAL POE - AESR - ESR'!AP2928</f>
        <v>0</v>
      </c>
      <c r="AQ38" s="57">
        <f>'REG y VAL POE - AESR - ESR'!AQ2928</f>
        <v>0</v>
      </c>
      <c r="AR38" s="57">
        <f>'REG y VAL POE - AESR - ESR'!AR2928</f>
        <v>0</v>
      </c>
      <c r="AS38" s="57">
        <f>'REG y VAL POE - AESR - ESR'!AS2928</f>
        <v>0</v>
      </c>
      <c r="AT38" s="58" t="str">
        <f>'REG y VAL POE - AESR - ESR'!B2929</f>
        <v xml:space="preserve">Gonzalez Caballero Yadira Nayhelli </v>
      </c>
      <c r="AU38" s="57" t="str">
        <f>'REG y VAL POE - AESR - ESR'!C2929</f>
        <v>Sin Registro</v>
      </c>
      <c r="AV38" s="56">
        <f>'REG y VAL POE - AESR - ESR'!D2929</f>
        <v>23197440</v>
      </c>
      <c r="AW38" s="57">
        <f>'REG y VAL POE - AESR - ESR'!E2929</f>
        <v>0</v>
      </c>
      <c r="AX38" s="56">
        <f>'REG y VAL POE - AESR - ESR'!F2929</f>
        <v>0</v>
      </c>
      <c r="AY38" s="59">
        <f>'REG y VAL POE - AESR - ESR'!G2929</f>
        <v>0</v>
      </c>
      <c r="AZ38" s="59">
        <f>'REG y VAL POE - AESR - ESR'!H2929</f>
        <v>0</v>
      </c>
      <c r="BA38" s="57">
        <f>'REG y VAL POE - AESR - ESR'!I2929</f>
        <v>0</v>
      </c>
      <c r="BB38" s="57">
        <f>'REG y VAL POE - AESR - ESR'!J2929</f>
        <v>0</v>
      </c>
      <c r="BC38" s="57">
        <f>'REG y VAL POE - AESR - ESR'!K2929</f>
        <v>0</v>
      </c>
      <c r="BD38" s="57">
        <f>'REG y VAL POE - AESR - ESR'!L2929</f>
        <v>0</v>
      </c>
      <c r="BE38" s="57">
        <f>'REG y VAL POE - AESR - ESR'!M2929</f>
        <v>0</v>
      </c>
      <c r="BF38" s="57">
        <f>'REG y VAL POE - AESR - ESR'!N2929</f>
        <v>0</v>
      </c>
      <c r="BG38" s="57">
        <f>'REG y VAL POE - AESR - ESR'!O2929</f>
        <v>0</v>
      </c>
      <c r="BH38" s="57">
        <f>'REG y VAL POE - AESR - ESR'!P2929</f>
        <v>0</v>
      </c>
      <c r="BI38" s="57">
        <f>'REG y VAL POE - AESR - ESR'!Q2929</f>
        <v>0</v>
      </c>
      <c r="BJ38" s="57">
        <f>'REG y VAL POE - AESR - ESR'!R2929</f>
        <v>0</v>
      </c>
      <c r="BK38" s="57">
        <f>'REG y VAL POE - AESR - ESR'!S2929</f>
        <v>0</v>
      </c>
      <c r="BL38" s="57">
        <f>'REG y VAL POE - AESR - ESR'!T2929</f>
        <v>0</v>
      </c>
      <c r="BM38" s="57">
        <f>'REG y VAL POE - AESR - ESR'!U2929</f>
        <v>0</v>
      </c>
      <c r="BN38" s="57">
        <f>'REG y VAL POE - AESR - ESR'!V2929</f>
        <v>0</v>
      </c>
      <c r="BO38" s="57">
        <f>'REG y VAL POE - AESR - ESR'!W2929</f>
        <v>0</v>
      </c>
      <c r="BP38" s="57">
        <f>'REG y VAL POE - AESR - ESR'!X2929</f>
        <v>0</v>
      </c>
      <c r="BQ38" s="57">
        <f>'REG y VAL POE - AESR - ESR'!Y2929</f>
        <v>0</v>
      </c>
      <c r="BR38" s="57">
        <f>'REG y VAL POE - AESR - ESR'!Z2929</f>
        <v>0</v>
      </c>
      <c r="BS38" s="57">
        <f>'REG y VAL POE - AESR - ESR'!AA2929</f>
        <v>0</v>
      </c>
      <c r="BT38" s="57">
        <f>'REG y VAL POE - AESR - ESR'!AB2929</f>
        <v>0</v>
      </c>
      <c r="BU38" s="57">
        <f>'REG y VAL POE - AESR - ESR'!AC2929</f>
        <v>0</v>
      </c>
      <c r="BV38" s="57">
        <f>'REG y VAL POE - AESR - ESR'!AD2929</f>
        <v>0</v>
      </c>
      <c r="BW38" s="57">
        <f>'REG y VAL POE - AESR - ESR'!AE2929</f>
        <v>0</v>
      </c>
      <c r="BX38" s="57">
        <f>'REG y VAL POE - AESR - ESR'!AF2929</f>
        <v>0</v>
      </c>
      <c r="BY38" s="57">
        <f>'REG y VAL POE - AESR - ESR'!AG2929</f>
        <v>0</v>
      </c>
      <c r="BZ38" s="57">
        <f>'REG y VAL POE - AESR - ESR'!AH2929</f>
        <v>0</v>
      </c>
      <c r="CA38" s="57">
        <f>'REG y VAL POE - AESR - ESR'!AI2929</f>
        <v>0</v>
      </c>
      <c r="CB38" s="57">
        <f>'REG y VAL POE - AESR - ESR'!AJ2929</f>
        <v>0</v>
      </c>
      <c r="CC38" s="57">
        <f>'REG y VAL POE - AESR - ESR'!AK2929</f>
        <v>0</v>
      </c>
      <c r="CD38" s="57">
        <f>'REG y VAL POE - AESR - ESR'!AL2929</f>
        <v>0</v>
      </c>
      <c r="CE38" s="57">
        <f>'REG y VAL POE - AESR - ESR'!AM2929</f>
        <v>0</v>
      </c>
      <c r="CF38" s="57">
        <f>'REG y VAL POE - AESR - ESR'!AN2929</f>
        <v>0</v>
      </c>
      <c r="CG38" s="57">
        <f>'REG y VAL POE - AESR - ESR'!AO2929</f>
        <v>0</v>
      </c>
      <c r="CH38" s="57">
        <f>'REG y VAL POE - AESR - ESR'!AP2929</f>
        <v>0</v>
      </c>
      <c r="CI38" s="57">
        <f>'REG y VAL POE - AESR - ESR'!AQ2929</f>
        <v>0</v>
      </c>
      <c r="CJ38" s="57">
        <f>'REG y VAL POE - AESR - ESR'!AR2929</f>
        <v>0</v>
      </c>
      <c r="CK38" s="57">
        <f>'REG y VAL POE - AESR - ESR'!AS2929</f>
        <v>0</v>
      </c>
      <c r="CL38" s="58" t="str">
        <f>'REG y VAL POE - AESR - ESR'!B2930</f>
        <v xml:space="preserve">Hernandez Ramirez Francisco </v>
      </c>
      <c r="CM38" s="57" t="str">
        <f>'REG y VAL POE - AESR - ESR'!C2930</f>
        <v>Sin Registro</v>
      </c>
      <c r="CN38" s="56">
        <f>'REG y VAL POE - AESR - ESR'!D2930</f>
        <v>23113168</v>
      </c>
      <c r="CO38" s="57">
        <f>'REG y VAL POE - AESR - ESR'!E2930</f>
        <v>0</v>
      </c>
      <c r="CP38" s="56">
        <f>'REG y VAL POE - AESR - ESR'!F2930</f>
        <v>0</v>
      </c>
      <c r="CQ38" s="59">
        <f>'REG y VAL POE - AESR - ESR'!G2930</f>
        <v>0</v>
      </c>
      <c r="CR38" s="59">
        <f>'REG y VAL POE - AESR - ESR'!H2930</f>
        <v>0</v>
      </c>
      <c r="CS38" s="57">
        <f>'REG y VAL POE - AESR - ESR'!I2930</f>
        <v>0</v>
      </c>
      <c r="CT38" s="57">
        <f>'REG y VAL POE - AESR - ESR'!J2930</f>
        <v>0</v>
      </c>
      <c r="CU38" s="57">
        <f>'REG y VAL POE - AESR - ESR'!K2930</f>
        <v>0</v>
      </c>
      <c r="CV38" s="57">
        <f>'REG y VAL POE - AESR - ESR'!L2930</f>
        <v>0</v>
      </c>
      <c r="CW38" s="57">
        <f>'REG y VAL POE - AESR - ESR'!M2930</f>
        <v>0</v>
      </c>
      <c r="CX38" s="57">
        <f>'REG y VAL POE - AESR - ESR'!N2930</f>
        <v>0</v>
      </c>
      <c r="CY38" s="57">
        <f>'REG y VAL POE - AESR - ESR'!O2930</f>
        <v>0</v>
      </c>
      <c r="CZ38" s="57">
        <f>'REG y VAL POE - AESR - ESR'!P2930</f>
        <v>0</v>
      </c>
      <c r="DA38" s="57">
        <f>'REG y VAL POE - AESR - ESR'!Q2930</f>
        <v>0</v>
      </c>
      <c r="DB38" s="57">
        <f>'REG y VAL POE - AESR - ESR'!R2930</f>
        <v>0</v>
      </c>
      <c r="DC38" s="57">
        <f>'REG y VAL POE - AESR - ESR'!S2930</f>
        <v>0</v>
      </c>
      <c r="DD38" s="57">
        <f>'REG y VAL POE - AESR - ESR'!T2930</f>
        <v>0</v>
      </c>
      <c r="DE38" s="57">
        <f>'REG y VAL POE - AESR - ESR'!U2930</f>
        <v>0</v>
      </c>
      <c r="DF38" s="57">
        <f>'REG y VAL POE - AESR - ESR'!V2930</f>
        <v>0</v>
      </c>
      <c r="DG38" s="57">
        <f>'REG y VAL POE - AESR - ESR'!W2930</f>
        <v>0</v>
      </c>
      <c r="DH38" s="57">
        <f>'REG y VAL POE - AESR - ESR'!X2930</f>
        <v>0</v>
      </c>
      <c r="DI38" s="57">
        <f>'REG y VAL POE - AESR - ESR'!Y2930</f>
        <v>0</v>
      </c>
      <c r="DJ38" s="57">
        <f>'REG y VAL POE - AESR - ESR'!Z2930</f>
        <v>0</v>
      </c>
      <c r="DK38" s="57">
        <f>'REG y VAL POE - AESR - ESR'!AA2930</f>
        <v>0</v>
      </c>
      <c r="DL38" s="57">
        <f>'REG y VAL POE - AESR - ESR'!AB2930</f>
        <v>0</v>
      </c>
      <c r="DM38" s="57">
        <f>'REG y VAL POE - AESR - ESR'!AC2930</f>
        <v>0</v>
      </c>
      <c r="DN38" s="57">
        <f>'REG y VAL POE - AESR - ESR'!AD2930</f>
        <v>0</v>
      </c>
      <c r="DO38" s="57">
        <f>'REG y VAL POE - AESR - ESR'!AE2930</f>
        <v>0</v>
      </c>
      <c r="DP38" s="57">
        <f>'REG y VAL POE - AESR - ESR'!AF2930</f>
        <v>0</v>
      </c>
      <c r="DQ38" s="57">
        <f>'REG y VAL POE - AESR - ESR'!AG2930</f>
        <v>0</v>
      </c>
      <c r="DR38" s="57">
        <f>'REG y VAL POE - AESR - ESR'!AH2930</f>
        <v>0</v>
      </c>
      <c r="DS38" s="57">
        <f>'REG y VAL POE - AESR - ESR'!AI2930</f>
        <v>0</v>
      </c>
      <c r="DT38" s="57">
        <f>'REG y VAL POE - AESR - ESR'!AJ2930</f>
        <v>0</v>
      </c>
      <c r="DU38" s="57">
        <f>'REG y VAL POE - AESR - ESR'!AK2930</f>
        <v>0</v>
      </c>
      <c r="DV38" s="57">
        <f>'REG y VAL POE - AESR - ESR'!AL2930</f>
        <v>0</v>
      </c>
      <c r="DW38" s="57">
        <f>'REG y VAL POE - AESR - ESR'!AM2930</f>
        <v>0</v>
      </c>
      <c r="DX38" s="57">
        <f>'REG y VAL POE - AESR - ESR'!AN2930</f>
        <v>0</v>
      </c>
      <c r="DY38" s="57">
        <f>'REG y VAL POE - AESR - ESR'!AO2930</f>
        <v>0</v>
      </c>
      <c r="DZ38" s="57">
        <f>'REG y VAL POE - AESR - ESR'!AP2930</f>
        <v>0</v>
      </c>
      <c r="EA38" s="57">
        <f>'REG y VAL POE - AESR - ESR'!AQ2930</f>
        <v>0</v>
      </c>
      <c r="EB38" s="57">
        <f>'REG y VAL POE - AESR - ESR'!AR2930</f>
        <v>0</v>
      </c>
      <c r="EC38" s="57">
        <f>'REG y VAL POE - AESR - ESR'!AS2930</f>
        <v>0</v>
      </c>
      <c r="ED38" s="57" t="str">
        <f>'REG y VAL POE - AESR - ESR'!B2931</f>
        <v xml:space="preserve">Hernandez Trujillo Martin </v>
      </c>
      <c r="EE38" s="56" t="str">
        <f>'REG y VAL POE - AESR - ESR'!C2931</f>
        <v>Sin Registro</v>
      </c>
      <c r="EF38" s="56">
        <f>'REG y VAL POE - AESR - ESR'!D2931</f>
        <v>23162220</v>
      </c>
      <c r="EG38" s="57">
        <f>'REG y VAL POE - AESR - ESR'!E2931</f>
        <v>0</v>
      </c>
      <c r="EH38" s="58">
        <f>'REG y VAL POE - AESR - ESR'!F2931</f>
        <v>0</v>
      </c>
      <c r="EI38" s="56">
        <f>'REG y VAL POE - AESR - ESR'!G2931</f>
        <v>0</v>
      </c>
      <c r="EJ38" s="57">
        <f>'REG y VAL POE - AESR - ESR'!H2931</f>
        <v>0</v>
      </c>
      <c r="EK38" s="57">
        <f>'REG y VAL POE - AESR - ESR'!I2931</f>
        <v>0</v>
      </c>
      <c r="EL38" s="57">
        <f>'REG y VAL POE - AESR - ESR'!J2931</f>
        <v>0</v>
      </c>
      <c r="EM38" s="56">
        <f>'REG y VAL POE - AESR - ESR'!K2931</f>
        <v>0</v>
      </c>
      <c r="EN38" s="57">
        <f>'REG y VAL POE - AESR - ESR'!L2931</f>
        <v>0</v>
      </c>
      <c r="EO38" s="57">
        <f>'REG y VAL POE - AESR - ESR'!M2931</f>
        <v>0</v>
      </c>
      <c r="EP38" s="56">
        <f>'REG y VAL POE - AESR - ESR'!N2931</f>
        <v>0</v>
      </c>
      <c r="EQ38" s="57">
        <f>'REG y VAL POE - AESR - ESR'!O2931</f>
        <v>0</v>
      </c>
      <c r="ER38" s="58">
        <f>'REG y VAL POE - AESR - ESR'!P2931</f>
        <v>0</v>
      </c>
      <c r="ES38" s="56">
        <f>'REG y VAL POE - AESR - ESR'!Q2931</f>
        <v>0</v>
      </c>
      <c r="ET38" s="57">
        <f>'REG y VAL POE - AESR - ESR'!R2931</f>
        <v>0</v>
      </c>
      <c r="EU38" s="57">
        <f>'REG y VAL POE - AESR - ESR'!S2931</f>
        <v>0</v>
      </c>
      <c r="EV38" s="57">
        <f>'REG y VAL POE - AESR - ESR'!T2931</f>
        <v>0</v>
      </c>
      <c r="EW38" s="56">
        <f>'REG y VAL POE - AESR - ESR'!U2931</f>
        <v>0</v>
      </c>
      <c r="EX38" s="57">
        <f>'REG y VAL POE - AESR - ESR'!V2931</f>
        <v>0</v>
      </c>
      <c r="EY38" s="57">
        <f>'REG y VAL POE - AESR - ESR'!W2931</f>
        <v>0</v>
      </c>
      <c r="EZ38" s="56">
        <f>'REG y VAL POE - AESR - ESR'!X2931</f>
        <v>0</v>
      </c>
      <c r="FA38" s="57">
        <f>'REG y VAL POE - AESR - ESR'!Y2931</f>
        <v>0</v>
      </c>
      <c r="FB38" s="58">
        <f>'REG y VAL POE - AESR - ESR'!Z2931</f>
        <v>0</v>
      </c>
      <c r="FC38" s="56">
        <f>'REG y VAL POE - AESR - ESR'!AA2931</f>
        <v>0</v>
      </c>
      <c r="FD38" s="57">
        <f>'REG y VAL POE - AESR - ESR'!AB2931</f>
        <v>0</v>
      </c>
      <c r="FE38" s="57">
        <f>'REG y VAL POE - AESR - ESR'!AC2931</f>
        <v>0</v>
      </c>
      <c r="FF38" s="57">
        <f>'REG y VAL POE - AESR - ESR'!AD2931</f>
        <v>0</v>
      </c>
      <c r="FG38" s="56">
        <f>'REG y VAL POE - AESR - ESR'!AE2931</f>
        <v>0</v>
      </c>
      <c r="FH38" s="57">
        <f>'REG y VAL POE - AESR - ESR'!AF2931</f>
        <v>0</v>
      </c>
      <c r="FI38" s="57">
        <f>'REG y VAL POE - AESR - ESR'!AG2931</f>
        <v>0</v>
      </c>
      <c r="FJ38" s="56">
        <f>'REG y VAL POE - AESR - ESR'!AH2931</f>
        <v>0</v>
      </c>
      <c r="FK38" s="57">
        <f>'REG y VAL POE - AESR - ESR'!AI2931</f>
        <v>0</v>
      </c>
      <c r="FL38" s="58">
        <f>'REG y VAL POE - AESR - ESR'!AJ2931</f>
        <v>0</v>
      </c>
      <c r="FM38" s="56">
        <f>'REG y VAL POE - AESR - ESR'!AK2931</f>
        <v>0</v>
      </c>
      <c r="FN38" s="57">
        <f>'REG y VAL POE - AESR - ESR'!AL2931</f>
        <v>0</v>
      </c>
      <c r="FO38" s="57">
        <f>'REG y VAL POE - AESR - ESR'!AM2931</f>
        <v>0</v>
      </c>
      <c r="FP38" s="57">
        <f>'REG y VAL POE - AESR - ESR'!AN2931</f>
        <v>0</v>
      </c>
      <c r="FQ38" s="56">
        <f>'REG y VAL POE - AESR - ESR'!AO2931</f>
        <v>0</v>
      </c>
      <c r="FR38" s="57">
        <f>'REG y VAL POE - AESR - ESR'!AP2931</f>
        <v>0</v>
      </c>
      <c r="FS38" s="57">
        <f>'REG y VAL POE - AESR - ESR'!AQ2931</f>
        <v>0</v>
      </c>
      <c r="FT38" s="56">
        <f>'REG y VAL POE - AESR - ESR'!AR2931</f>
        <v>0</v>
      </c>
      <c r="FU38" s="57">
        <f>'REG y VAL POE - AESR - ESR'!AS2931</f>
        <v>0</v>
      </c>
      <c r="FV38" s="58" t="str">
        <f>'REG y VAL POE - AESR - ESR'!B2932</f>
        <v>Herrera Garcia Maria Itandehui</v>
      </c>
      <c r="FW38" s="56">
        <f>'REG y VAL POE - AESR - ESR'!C2932</f>
        <v>0</v>
      </c>
      <c r="FX38" s="57">
        <f>'REG y VAL POE - AESR - ESR'!D2932</f>
        <v>23214118</v>
      </c>
      <c r="FY38" s="57">
        <f>'REG y VAL POE - AESR - ESR'!E2932</f>
        <v>0</v>
      </c>
      <c r="FZ38" s="57">
        <f>'REG y VAL POE - AESR - ESR'!F2932</f>
        <v>0</v>
      </c>
      <c r="GA38" s="56">
        <f>'REG y VAL POE - AESR - ESR'!G2932</f>
        <v>45392</v>
      </c>
      <c r="GB38" s="57">
        <f>'REG y VAL POE - AESR - ESR'!H2932</f>
        <v>45757</v>
      </c>
      <c r="GC38" s="57" t="str">
        <f>'REG y VAL POE - AESR - ESR'!I2932</f>
        <v>SI</v>
      </c>
      <c r="GD38" s="56" t="str">
        <f>'REG y VAL POE - AESR - ESR'!J2932</f>
        <v>Vigente</v>
      </c>
      <c r="GE38" s="57" t="str">
        <f>'REG y VAL POE - AESR - ESR'!K2932</f>
        <v>SI</v>
      </c>
      <c r="GF38" s="58" t="str">
        <f>'REG y VAL POE - AESR - ESR'!L2932</f>
        <v>Vigente</v>
      </c>
      <c r="GG38" s="56" t="str">
        <f>'REG y VAL POE - AESR - ESR'!M2932</f>
        <v>NO</v>
      </c>
      <c r="GH38" s="57" t="str">
        <f>'REG y VAL POE - AESR - ESR'!N2932</f>
        <v>Apendice B y C no llenos-falta firma RL-la firma el ESR CORREGIR</v>
      </c>
      <c r="GI38" s="57" t="str">
        <f>'REG y VAL POE - AESR - ESR'!O2932</f>
        <v>SI</v>
      </c>
      <c r="GJ38" s="57">
        <f>'REG y VAL POE - AESR - ESR'!P2932</f>
        <v>0</v>
      </c>
      <c r="GK38" s="56" t="str">
        <f>'REG y VAL POE - AESR - ESR'!Q2932</f>
        <v>SI</v>
      </c>
      <c r="GL38" s="57" t="str">
        <f>'REG y VAL POE - AESR - ESR'!R2932</f>
        <v>SI</v>
      </c>
      <c r="GM38" s="57" t="str">
        <f>'REG y VAL POE - AESR - ESR'!S2932</f>
        <v>SI</v>
      </c>
      <c r="GN38" s="56" t="str">
        <f>'REG y VAL POE - AESR - ESR'!T2932</f>
        <v>SI</v>
      </c>
      <c r="GO38" s="57" t="str">
        <f>'REG y VAL POE - AESR - ESR'!U2932</f>
        <v>SI</v>
      </c>
      <c r="GP38" s="58" t="str">
        <f>'REG y VAL POE - AESR - ESR'!V2932</f>
        <v>SI</v>
      </c>
      <c r="GQ38" s="56">
        <f>'REG y VAL POE - AESR - ESR'!W2932</f>
        <v>0</v>
      </c>
      <c r="GR38" s="57">
        <f>'REG y VAL POE - AESR - ESR'!X2932</f>
        <v>0</v>
      </c>
      <c r="GS38" s="57">
        <f>'REG y VAL POE - AESR - ESR'!Y2932</f>
        <v>0</v>
      </c>
      <c r="GT38" s="57" t="str">
        <f>'REG y VAL POE - AESR - ESR'!Z2932</f>
        <v>SI</v>
      </c>
      <c r="GU38" s="56">
        <f>'REG y VAL POE - AESR - ESR'!AA2932</f>
        <v>0</v>
      </c>
      <c r="GV38" s="57">
        <f>'REG y VAL POE - AESR - ESR'!AB2932</f>
        <v>0</v>
      </c>
      <c r="GW38" s="57">
        <f>'REG y VAL POE - AESR - ESR'!AC2932</f>
        <v>0</v>
      </c>
      <c r="GX38" s="56">
        <f>'REG y VAL POE - AESR - ESR'!AD2932</f>
        <v>0</v>
      </c>
      <c r="GY38" s="57">
        <f>'REG y VAL POE - AESR - ESR'!AE2932</f>
        <v>0</v>
      </c>
      <c r="GZ38" s="58">
        <f>'REG y VAL POE - AESR - ESR'!AF2932</f>
        <v>0</v>
      </c>
      <c r="HA38" s="56" t="str">
        <f>'REG y VAL POE - AESR - ESR'!AG2932</f>
        <v>SI</v>
      </c>
      <c r="HB38" s="57">
        <f>'REG y VAL POE - AESR - ESR'!AH2932</f>
        <v>0</v>
      </c>
      <c r="HC38" s="57">
        <f>'REG y VAL POE - AESR - ESR'!AI2932</f>
        <v>0</v>
      </c>
      <c r="HD38" s="57">
        <f>'REG y VAL POE - AESR - ESR'!AJ2932</f>
        <v>0</v>
      </c>
      <c r="HE38" s="56">
        <f>'REG y VAL POE - AESR - ESR'!AK2932</f>
        <v>0</v>
      </c>
      <c r="HF38" s="57">
        <f>'REG y VAL POE - AESR - ESR'!AL2932</f>
        <v>0</v>
      </c>
      <c r="HG38" s="57">
        <f>'REG y VAL POE - AESR - ESR'!AM2932</f>
        <v>0</v>
      </c>
      <c r="HH38" s="56">
        <f>'REG y VAL POE - AESR - ESR'!AN2932</f>
        <v>0</v>
      </c>
      <c r="HI38" s="57">
        <f>'REG y VAL POE - AESR - ESR'!AO2932</f>
        <v>0</v>
      </c>
      <c r="HJ38" s="58">
        <f>'REG y VAL POE - AESR - ESR'!AP2932</f>
        <v>0</v>
      </c>
      <c r="HK38" s="56">
        <f>'REG y VAL POE - AESR - ESR'!AQ2932</f>
        <v>0</v>
      </c>
      <c r="HL38" s="57">
        <f>'REG y VAL POE - AESR - ESR'!AR2932</f>
        <v>0</v>
      </c>
      <c r="HM38" s="57">
        <f>'REG y VAL POE - AESR - ESR'!AS2932</f>
        <v>0</v>
      </c>
      <c r="HN38" s="57" t="str">
        <f>'REG y VAL POE - AESR - ESR'!B2933</f>
        <v xml:space="preserve">Laredo Torres Deisy </v>
      </c>
      <c r="HO38" s="56" t="str">
        <f>'REG y VAL POE - AESR - ESR'!C2933</f>
        <v>Sin Registro</v>
      </c>
      <c r="HP38" s="57">
        <f>'REG y VAL POE - AESR - ESR'!D2933</f>
        <v>23198977</v>
      </c>
      <c r="HQ38" s="57">
        <f>'REG y VAL POE - AESR - ESR'!E2933</f>
        <v>0</v>
      </c>
      <c r="HR38" s="56">
        <f>'REG y VAL POE - AESR - ESR'!F2933</f>
        <v>0</v>
      </c>
      <c r="HS38" s="57">
        <f>'REG y VAL POE - AESR - ESR'!G2933</f>
        <v>0</v>
      </c>
      <c r="HT38" s="58">
        <f>'REG y VAL POE - AESR - ESR'!H2933</f>
        <v>0</v>
      </c>
      <c r="HU38" s="56">
        <f>'REG y VAL POE - AESR - ESR'!I2933</f>
        <v>0</v>
      </c>
      <c r="HV38" s="57">
        <f>'REG y VAL POE - AESR - ESR'!J2933</f>
        <v>0</v>
      </c>
      <c r="HW38" s="57">
        <f>'REG y VAL POE - AESR - ESR'!K2933</f>
        <v>0</v>
      </c>
      <c r="HX38" s="57">
        <f>'REG y VAL POE - AESR - ESR'!L2933</f>
        <v>0</v>
      </c>
      <c r="HY38" s="56">
        <f>'REG y VAL POE - AESR - ESR'!M2933</f>
        <v>0</v>
      </c>
      <c r="HZ38" s="57">
        <f>'REG y VAL POE - AESR - ESR'!N2933</f>
        <v>0</v>
      </c>
      <c r="IA38" s="57">
        <f>'REG y VAL POE - AESR - ESR'!O2933</f>
        <v>0</v>
      </c>
      <c r="IB38" s="56">
        <f>'REG y VAL POE - AESR - ESR'!P2933</f>
        <v>0</v>
      </c>
      <c r="IC38" s="57">
        <f>'REG y VAL POE - AESR - ESR'!Q2933</f>
        <v>0</v>
      </c>
      <c r="ID38" s="58">
        <f>'REG y VAL POE - AESR - ESR'!R2933</f>
        <v>0</v>
      </c>
      <c r="IE38" s="56">
        <f>'REG y VAL POE - AESR - ESR'!S2933</f>
        <v>0</v>
      </c>
      <c r="IF38" s="57">
        <f>'REG y VAL POE - AESR - ESR'!T2933</f>
        <v>0</v>
      </c>
      <c r="IG38" s="57">
        <f>'REG y VAL POE - AESR - ESR'!U2933</f>
        <v>0</v>
      </c>
      <c r="IH38" s="57">
        <f>'REG y VAL POE - AESR - ESR'!V2933</f>
        <v>0</v>
      </c>
      <c r="II38" s="56">
        <f>'REG y VAL POE - AESR - ESR'!W2933</f>
        <v>0</v>
      </c>
      <c r="IJ38" s="57">
        <f>'REG y VAL POE - AESR - ESR'!X2933</f>
        <v>0</v>
      </c>
      <c r="IK38" s="57">
        <f>'REG y VAL POE - AESR - ESR'!Y2933</f>
        <v>0</v>
      </c>
      <c r="IL38" s="56">
        <f>'REG y VAL POE - AESR - ESR'!Z2933</f>
        <v>0</v>
      </c>
      <c r="IM38" s="57">
        <f>'REG y VAL POE - AESR - ESR'!AA2933</f>
        <v>0</v>
      </c>
      <c r="IN38" s="58">
        <f>'REG y VAL POE - AESR - ESR'!AB2933</f>
        <v>0</v>
      </c>
      <c r="IO38" s="56">
        <f>'REG y VAL POE - AESR - ESR'!AC2933</f>
        <v>0</v>
      </c>
      <c r="IP38" s="57">
        <f>'REG y VAL POE - AESR - ESR'!AD2933</f>
        <v>0</v>
      </c>
      <c r="IQ38" s="57">
        <f>'REG y VAL POE - AESR - ESR'!AE2933</f>
        <v>0</v>
      </c>
      <c r="IR38" s="57">
        <f>'REG y VAL POE - AESR - ESR'!AF2933</f>
        <v>0</v>
      </c>
      <c r="IS38" s="56">
        <f>'REG y VAL POE - AESR - ESR'!AG2933</f>
        <v>0</v>
      </c>
      <c r="IT38" s="57">
        <f>'REG y VAL POE - AESR - ESR'!AH2933</f>
        <v>0</v>
      </c>
      <c r="IU38" s="57">
        <f>'REG y VAL POE - AESR - ESR'!AI2933</f>
        <v>0</v>
      </c>
      <c r="IV38" s="56">
        <f>'REG y VAL POE - AESR - ESR'!AJ2933</f>
        <v>0</v>
      </c>
      <c r="IW38" s="57">
        <f>'REG y VAL POE - AESR - ESR'!AK2933</f>
        <v>0</v>
      </c>
      <c r="IX38" s="58">
        <f>'REG y VAL POE - AESR - ESR'!AL2933</f>
        <v>0</v>
      </c>
      <c r="IY38" s="56">
        <f>'REG y VAL POE - AESR - ESR'!AM2933</f>
        <v>0</v>
      </c>
      <c r="IZ38" s="57">
        <f>'REG y VAL POE - AESR - ESR'!AN2933</f>
        <v>0</v>
      </c>
      <c r="JA38" s="57">
        <f>'REG y VAL POE - AESR - ESR'!AO2933</f>
        <v>0</v>
      </c>
      <c r="JB38" s="57">
        <f>'REG y VAL POE - AESR - ESR'!AP2933</f>
        <v>0</v>
      </c>
      <c r="JC38" s="56">
        <f>'REG y VAL POE - AESR - ESR'!AQ2933</f>
        <v>0</v>
      </c>
      <c r="JD38" s="57">
        <f>'REG y VAL POE - AESR - ESR'!AR2933</f>
        <v>0</v>
      </c>
      <c r="JE38" s="57">
        <f>'REG y VAL POE - AESR - ESR'!AS2933</f>
        <v>0</v>
      </c>
      <c r="JF38" s="56" t="str">
        <f>'REG y VAL POE - AESR - ESR'!B2934</f>
        <v xml:space="preserve">Marcial Dichi Juan Carlos </v>
      </c>
      <c r="JG38" s="57" t="str">
        <f>'REG y VAL POE - AESR - ESR'!C2934</f>
        <v>Sin Registro</v>
      </c>
      <c r="JH38" s="58">
        <f>'REG y VAL POE - AESR - ESR'!D2934</f>
        <v>23209537</v>
      </c>
      <c r="JI38" s="56">
        <f>'REG y VAL POE - AESR - ESR'!E2934</f>
        <v>0</v>
      </c>
      <c r="JJ38" s="57">
        <f>'REG y VAL POE - AESR - ESR'!F2934</f>
        <v>0</v>
      </c>
      <c r="JK38" s="57">
        <f>'REG y VAL POE - AESR - ESR'!G2934</f>
        <v>0</v>
      </c>
      <c r="JL38" s="57">
        <f>'REG y VAL POE - AESR - ESR'!H2934</f>
        <v>0</v>
      </c>
      <c r="JM38" s="56">
        <f>'REG y VAL POE - AESR - ESR'!I2934</f>
        <v>0</v>
      </c>
      <c r="JN38" s="57">
        <f>'REG y VAL POE - AESR - ESR'!J2934</f>
        <v>0</v>
      </c>
      <c r="JO38" s="57">
        <f>'REG y VAL POE - AESR - ESR'!K2934</f>
        <v>0</v>
      </c>
      <c r="JP38" s="56">
        <f>'REG y VAL POE - AESR - ESR'!L2934</f>
        <v>0</v>
      </c>
      <c r="JQ38" s="57">
        <f>'REG y VAL POE - AESR - ESR'!M2934</f>
        <v>0</v>
      </c>
      <c r="JR38" s="58">
        <f>'REG y VAL POE - AESR - ESR'!N2934</f>
        <v>0</v>
      </c>
      <c r="JS38" s="56">
        <f>'REG y VAL POE - AESR - ESR'!O2934</f>
        <v>0</v>
      </c>
      <c r="JT38" s="57">
        <f>'REG y VAL POE - AESR - ESR'!P2934</f>
        <v>0</v>
      </c>
      <c r="JU38" s="57">
        <f>'REG y VAL POE - AESR - ESR'!Q2934</f>
        <v>0</v>
      </c>
      <c r="JV38" s="57">
        <f>'REG y VAL POE - AESR - ESR'!R2934</f>
        <v>0</v>
      </c>
      <c r="JW38" s="56">
        <f>'REG y VAL POE - AESR - ESR'!S2934</f>
        <v>0</v>
      </c>
      <c r="JX38" s="57">
        <f>'REG y VAL POE - AESR - ESR'!T2934</f>
        <v>0</v>
      </c>
      <c r="JY38" s="57">
        <f>'REG y VAL POE - AESR - ESR'!U2934</f>
        <v>0</v>
      </c>
      <c r="JZ38" s="56">
        <f>'REG y VAL POE - AESR - ESR'!V2934</f>
        <v>0</v>
      </c>
      <c r="KA38" s="57">
        <f>'REG y VAL POE - AESR - ESR'!W2934</f>
        <v>0</v>
      </c>
      <c r="KB38" s="58">
        <f>'REG y VAL POE - AESR - ESR'!X2934</f>
        <v>0</v>
      </c>
      <c r="KC38" s="56">
        <f>'REG y VAL POE - AESR - ESR'!Y2934</f>
        <v>0</v>
      </c>
      <c r="KD38" s="57">
        <f>'REG y VAL POE - AESR - ESR'!Z2934</f>
        <v>0</v>
      </c>
      <c r="KE38" s="57">
        <f>'REG y VAL POE - AESR - ESR'!AA2934</f>
        <v>0</v>
      </c>
      <c r="KF38" s="57">
        <f>'REG y VAL POE - AESR - ESR'!AB2934</f>
        <v>0</v>
      </c>
      <c r="KG38" s="56">
        <f>'REG y VAL POE - AESR - ESR'!AC2934</f>
        <v>0</v>
      </c>
      <c r="KH38" s="57">
        <f>'REG y VAL POE - AESR - ESR'!AD2934</f>
        <v>0</v>
      </c>
      <c r="KI38" s="57">
        <f>'REG y VAL POE - AESR - ESR'!AE2934</f>
        <v>0</v>
      </c>
      <c r="KJ38" s="56">
        <f>'REG y VAL POE - AESR - ESR'!AF2934</f>
        <v>0</v>
      </c>
      <c r="KK38" s="57">
        <f>'REG y VAL POE - AESR - ESR'!AG2934</f>
        <v>0</v>
      </c>
      <c r="KL38" s="58">
        <f>'REG y VAL POE - AESR - ESR'!AH2934</f>
        <v>0</v>
      </c>
      <c r="KM38" s="56">
        <f>'REG y VAL POE - AESR - ESR'!AI2934</f>
        <v>0</v>
      </c>
      <c r="KN38" s="57">
        <f>'REG y VAL POE - AESR - ESR'!AJ2934</f>
        <v>0</v>
      </c>
      <c r="KO38" s="57">
        <f>'REG y VAL POE - AESR - ESR'!AK2934</f>
        <v>0</v>
      </c>
      <c r="KP38" s="57">
        <f>'REG y VAL POE - AESR - ESR'!AL2934</f>
        <v>0</v>
      </c>
      <c r="KQ38" s="56">
        <f>'REG y VAL POE - AESR - ESR'!AM2934</f>
        <v>0</v>
      </c>
      <c r="KR38" s="57">
        <f>'REG y VAL POE - AESR - ESR'!AN2934</f>
        <v>0</v>
      </c>
      <c r="KS38" s="57">
        <f>'REG y VAL POE - AESR - ESR'!AO2934</f>
        <v>0</v>
      </c>
      <c r="KT38" s="56">
        <f>'REG y VAL POE - AESR - ESR'!AP2934</f>
        <v>0</v>
      </c>
      <c r="KU38" s="57">
        <f>'REG y VAL POE - AESR - ESR'!AQ2934</f>
        <v>0</v>
      </c>
      <c r="KV38" s="58">
        <f>'REG y VAL POE - AESR - ESR'!AR2934</f>
        <v>0</v>
      </c>
      <c r="KW38" s="56">
        <f>'REG y VAL POE - AESR - ESR'!AS2934</f>
        <v>0</v>
      </c>
      <c r="KX38" s="57" t="str">
        <f>'REG y VAL POE - AESR - ESR'!B2935</f>
        <v xml:space="preserve">Ordaz Aranjo Alejandra </v>
      </c>
      <c r="KY38" s="57" t="str">
        <f>'REG y VAL POE - AESR - ESR'!C2935</f>
        <v>Sin Registro</v>
      </c>
      <c r="KZ38" s="57">
        <f>'REG y VAL POE - AESR - ESR'!D2935</f>
        <v>23207342</v>
      </c>
      <c r="LA38" s="56">
        <f>'REG y VAL POE - AESR - ESR'!E2935</f>
        <v>0</v>
      </c>
      <c r="LB38" s="57">
        <f>'REG y VAL POE - AESR - ESR'!F2935</f>
        <v>0</v>
      </c>
      <c r="LC38" s="57">
        <f>'REG y VAL POE - AESR - ESR'!G2935</f>
        <v>0</v>
      </c>
      <c r="LD38" s="56">
        <f>'REG y VAL POE - AESR - ESR'!H2935</f>
        <v>0</v>
      </c>
      <c r="LE38" s="57">
        <f>'REG y VAL POE - AESR - ESR'!I2935</f>
        <v>0</v>
      </c>
      <c r="LF38" s="58">
        <f>'REG y VAL POE - AESR - ESR'!J2935</f>
        <v>0</v>
      </c>
      <c r="LG38" s="56">
        <f>'REG y VAL POE - AESR - ESR'!K2935</f>
        <v>0</v>
      </c>
      <c r="LH38" s="57">
        <f>'REG y VAL POE - AESR - ESR'!L2935</f>
        <v>0</v>
      </c>
      <c r="LI38" s="57">
        <f>'REG y VAL POE - AESR - ESR'!M2935</f>
        <v>0</v>
      </c>
      <c r="LJ38" s="57">
        <f>'REG y VAL POE - AESR - ESR'!N2935</f>
        <v>0</v>
      </c>
      <c r="LK38" s="56">
        <f>'REG y VAL POE - AESR - ESR'!O2935</f>
        <v>0</v>
      </c>
      <c r="LL38" s="57">
        <f>'REG y VAL POE - AESR - ESR'!P2935</f>
        <v>0</v>
      </c>
      <c r="LM38" s="57">
        <f>'REG y VAL POE - AESR - ESR'!Q2935</f>
        <v>0</v>
      </c>
      <c r="LN38" s="56">
        <f>'REG y VAL POE - AESR - ESR'!R2935</f>
        <v>0</v>
      </c>
      <c r="LO38" s="57">
        <f>'REG y VAL POE - AESR - ESR'!S2935</f>
        <v>0</v>
      </c>
      <c r="LP38" s="58">
        <f>'REG y VAL POE - AESR - ESR'!T2935</f>
        <v>0</v>
      </c>
      <c r="LQ38" s="56">
        <f>'REG y VAL POE - AESR - ESR'!U2935</f>
        <v>0</v>
      </c>
      <c r="LR38" s="57">
        <f>'REG y VAL POE - AESR - ESR'!V2935</f>
        <v>0</v>
      </c>
      <c r="LS38" s="57">
        <f>'REG y VAL POE - AESR - ESR'!W2935</f>
        <v>0</v>
      </c>
      <c r="LT38" s="57">
        <f>'REG y VAL POE - AESR - ESR'!X2935</f>
        <v>0</v>
      </c>
      <c r="LU38" s="56">
        <f>'REG y VAL POE - AESR - ESR'!Y2935</f>
        <v>0</v>
      </c>
      <c r="LV38" s="57">
        <f>'REG y VAL POE - AESR - ESR'!Z2935</f>
        <v>0</v>
      </c>
      <c r="LW38" s="57">
        <f>'REG y VAL POE - AESR - ESR'!AA2935</f>
        <v>0</v>
      </c>
      <c r="LX38" s="56">
        <f>'REG y VAL POE - AESR - ESR'!AB2935</f>
        <v>0</v>
      </c>
      <c r="LY38" s="57">
        <f>'REG y VAL POE - AESR - ESR'!AC2935</f>
        <v>0</v>
      </c>
      <c r="LZ38" s="58">
        <f>'REG y VAL POE - AESR - ESR'!AD2935</f>
        <v>0</v>
      </c>
      <c r="MA38" s="56">
        <f>'REG y VAL POE - AESR - ESR'!AE2935</f>
        <v>0</v>
      </c>
      <c r="MB38" s="57">
        <f>'REG y VAL POE - AESR - ESR'!AF2935</f>
        <v>0</v>
      </c>
      <c r="MC38" s="57">
        <f>'REG y VAL POE - AESR - ESR'!AG2935</f>
        <v>0</v>
      </c>
      <c r="MD38" s="57">
        <f>'REG y VAL POE - AESR - ESR'!AH2935</f>
        <v>0</v>
      </c>
      <c r="ME38" s="56">
        <f>'REG y VAL POE - AESR - ESR'!AI2935</f>
        <v>0</v>
      </c>
      <c r="MF38" s="57">
        <f>'REG y VAL POE - AESR - ESR'!AJ2935</f>
        <v>0</v>
      </c>
      <c r="MG38" s="57">
        <f>'REG y VAL POE - AESR - ESR'!AK2935</f>
        <v>0</v>
      </c>
      <c r="MH38" s="56">
        <f>'REG y VAL POE - AESR - ESR'!AL2935</f>
        <v>0</v>
      </c>
      <c r="MI38" s="57">
        <f>'REG y VAL POE - AESR - ESR'!AM2935</f>
        <v>0</v>
      </c>
      <c r="MJ38" s="58">
        <f>'REG y VAL POE - AESR - ESR'!AN2935</f>
        <v>0</v>
      </c>
      <c r="MK38" s="56">
        <f>'REG y VAL POE - AESR - ESR'!AO2935</f>
        <v>0</v>
      </c>
      <c r="ML38" s="57">
        <f>'REG y VAL POE - AESR - ESR'!AP2935</f>
        <v>0</v>
      </c>
      <c r="MM38" s="57">
        <f>'REG y VAL POE - AESR - ESR'!AQ2935</f>
        <v>0</v>
      </c>
      <c r="MN38" s="57">
        <f>'REG y VAL POE - AESR - ESR'!AR2935</f>
        <v>0</v>
      </c>
      <c r="MO38" s="56">
        <f>'REG y VAL POE - AESR - ESR'!AS2935</f>
        <v>0</v>
      </c>
      <c r="MP38" s="57">
        <f>'REG y VAL POE - AESR - ESR'!B2936</f>
        <v>0</v>
      </c>
      <c r="MQ38" s="57">
        <f>'REG y VAL POE - AESR - ESR'!C2936</f>
        <v>0</v>
      </c>
      <c r="MR38" s="56">
        <f>'REG y VAL POE - AESR - ESR'!D2936</f>
        <v>0</v>
      </c>
      <c r="MS38" s="57">
        <f>'REG y VAL POE - AESR - ESR'!E2936</f>
        <v>0</v>
      </c>
      <c r="MT38" s="58">
        <f>'REG y VAL POE - AESR - ESR'!F2936</f>
        <v>0</v>
      </c>
      <c r="MU38" s="56">
        <f>'REG y VAL POE - AESR - ESR'!G2936</f>
        <v>0</v>
      </c>
      <c r="MV38" s="57">
        <f>'REG y VAL POE - AESR - ESR'!H2936</f>
        <v>0</v>
      </c>
      <c r="MW38" s="57">
        <f>'REG y VAL POE - AESR - ESR'!I2936</f>
        <v>0</v>
      </c>
      <c r="MX38" s="57">
        <f>'REG y VAL POE - AESR - ESR'!J2936</f>
        <v>0</v>
      </c>
      <c r="MY38" s="56">
        <f>'REG y VAL POE - AESR - ESR'!K2936</f>
        <v>0</v>
      </c>
      <c r="MZ38" s="57">
        <f>'REG y VAL POE - AESR - ESR'!L2936</f>
        <v>0</v>
      </c>
      <c r="NA38" s="57">
        <f>'REG y VAL POE - AESR - ESR'!M2936</f>
        <v>0</v>
      </c>
      <c r="NB38" s="56">
        <f>'REG y VAL POE - AESR - ESR'!N2936</f>
        <v>0</v>
      </c>
      <c r="NC38" s="57">
        <f>'REG y VAL POE - AESR - ESR'!O2936</f>
        <v>0</v>
      </c>
      <c r="ND38" s="58">
        <f>'REG y VAL POE - AESR - ESR'!P2936</f>
        <v>0</v>
      </c>
      <c r="NE38" s="56">
        <f>'REG y VAL POE - AESR - ESR'!Q2936</f>
        <v>0</v>
      </c>
      <c r="NF38" s="57">
        <f>'REG y VAL POE - AESR - ESR'!R2936</f>
        <v>0</v>
      </c>
      <c r="NG38" s="57">
        <f>'REG y VAL POE - AESR - ESR'!S2936</f>
        <v>0</v>
      </c>
      <c r="NH38" s="57">
        <f>'REG y VAL POE - AESR - ESR'!T2936</f>
        <v>0</v>
      </c>
      <c r="NI38" s="56">
        <f>'REG y VAL POE - AESR - ESR'!U2936</f>
        <v>0</v>
      </c>
      <c r="NJ38" s="57">
        <f>'REG y VAL POE - AESR - ESR'!V2936</f>
        <v>0</v>
      </c>
      <c r="NK38" s="57">
        <f>'REG y VAL POE - AESR - ESR'!W2936</f>
        <v>0</v>
      </c>
      <c r="NL38" s="56">
        <f>'REG y VAL POE - AESR - ESR'!X2936</f>
        <v>0</v>
      </c>
      <c r="NM38" s="57">
        <f>'REG y VAL POE - AESR - ESR'!Y2936</f>
        <v>0</v>
      </c>
      <c r="NN38" s="58">
        <f>'REG y VAL POE - AESR - ESR'!Z2936</f>
        <v>0</v>
      </c>
      <c r="NO38" s="56">
        <f>'REG y VAL POE - AESR - ESR'!AA2936</f>
        <v>0</v>
      </c>
      <c r="NP38" s="57">
        <f>'REG y VAL POE - AESR - ESR'!AB2936</f>
        <v>0</v>
      </c>
      <c r="NQ38" s="57">
        <f>'REG y VAL POE - AESR - ESR'!AC2936</f>
        <v>0</v>
      </c>
      <c r="NR38" s="57">
        <f>'REG y VAL POE - AESR - ESR'!AD2936</f>
        <v>0</v>
      </c>
      <c r="NS38" s="56">
        <f>'REG y VAL POE - AESR - ESR'!AE2936</f>
        <v>0</v>
      </c>
      <c r="NT38" s="57">
        <f>'REG y VAL POE - AESR - ESR'!AF2936</f>
        <v>0</v>
      </c>
      <c r="NU38" s="57">
        <f>'REG y VAL POE - AESR - ESR'!AG2936</f>
        <v>0</v>
      </c>
      <c r="NV38" s="56">
        <f>'REG y VAL POE - AESR - ESR'!AH2936</f>
        <v>0</v>
      </c>
      <c r="NW38" s="57">
        <f>'REG y VAL POE - AESR - ESR'!AI2936</f>
        <v>0</v>
      </c>
      <c r="NX38" s="58">
        <f>'REG y VAL POE - AESR - ESR'!AJ2936</f>
        <v>0</v>
      </c>
      <c r="NY38" s="56">
        <f>'REG y VAL POE - AESR - ESR'!AK2936</f>
        <v>0</v>
      </c>
      <c r="NZ38" s="57">
        <f>'REG y VAL POE - AESR - ESR'!AL2936</f>
        <v>0</v>
      </c>
      <c r="OA38" s="57">
        <f>'REG y VAL POE - AESR - ESR'!AM2936</f>
        <v>0</v>
      </c>
      <c r="OB38" s="57">
        <f>'REG y VAL POE - AESR - ESR'!AN2936</f>
        <v>0</v>
      </c>
      <c r="OC38" s="56">
        <f>'REG y VAL POE - AESR - ESR'!AO2936</f>
        <v>0</v>
      </c>
      <c r="OD38" s="57">
        <f>'REG y VAL POE - AESR - ESR'!AP2936</f>
        <v>0</v>
      </c>
      <c r="OE38" s="57">
        <f>'REG y VAL POE - AESR - ESR'!AQ2936</f>
        <v>0</v>
      </c>
      <c r="OF38" s="58">
        <f>'REG y VAL POE - AESR - ESR'!AR2936</f>
        <v>0</v>
      </c>
      <c r="OG38" s="58">
        <f>'REG y VAL POE - AESR - ESR'!AS2936</f>
        <v>0</v>
      </c>
      <c r="OH38" s="58">
        <f>'REG y VAL POE - AESR - ESR'!B2937</f>
        <v>0</v>
      </c>
      <c r="OI38" s="56">
        <f>'REG y VAL POE - AESR - ESR'!C2937</f>
        <v>0</v>
      </c>
      <c r="OJ38" s="58">
        <f>'REG y VAL POE - AESR - ESR'!D2937</f>
        <v>0</v>
      </c>
      <c r="OK38" s="58">
        <f>'REG y VAL POE - AESR - ESR'!E2937</f>
        <v>0</v>
      </c>
      <c r="OL38" s="58">
        <f>'REG y VAL POE - AESR - ESR'!F2937</f>
        <v>0</v>
      </c>
      <c r="OM38" s="58">
        <f>'REG y VAL POE - AESR - ESR'!G2937</f>
        <v>0</v>
      </c>
      <c r="ON38" s="58">
        <f>'REG y VAL POE - AESR - ESR'!H2937</f>
        <v>0</v>
      </c>
      <c r="OO38" s="58">
        <f>'REG y VAL POE - AESR - ESR'!I2937</f>
        <v>0</v>
      </c>
      <c r="OP38" s="56">
        <f>'REG y VAL POE - AESR - ESR'!J2937</f>
        <v>0</v>
      </c>
      <c r="OQ38" s="57">
        <f>'REG y VAL POE - AESR - ESR'!K2937</f>
        <v>0</v>
      </c>
      <c r="OR38" s="58">
        <f>'REG y VAL POE - AESR - ESR'!L2937</f>
        <v>0</v>
      </c>
      <c r="OS38" s="56">
        <f>'REG y VAL POE - AESR - ESR'!M2937</f>
        <v>0</v>
      </c>
      <c r="OT38" s="57">
        <f>'REG y VAL POE - AESR - ESR'!N2937</f>
        <v>0</v>
      </c>
      <c r="OU38" s="57">
        <f>'REG y VAL POE - AESR - ESR'!O2937</f>
        <v>0</v>
      </c>
      <c r="OV38" s="57">
        <f>'REG y VAL POE - AESR - ESR'!P2937</f>
        <v>0</v>
      </c>
      <c r="OW38" s="56">
        <f>'REG y VAL POE - AESR - ESR'!Q2937</f>
        <v>0</v>
      </c>
      <c r="OX38" s="57">
        <f>'REG y VAL POE - AESR - ESR'!R2937</f>
        <v>0</v>
      </c>
      <c r="OY38" s="57">
        <f>'REG y VAL POE - AESR - ESR'!S2937</f>
        <v>0</v>
      </c>
      <c r="OZ38" s="56">
        <f>'REG y VAL POE - AESR - ESR'!T2937</f>
        <v>0</v>
      </c>
      <c r="PA38" s="57">
        <f>'REG y VAL POE - AESR - ESR'!U2937</f>
        <v>0</v>
      </c>
      <c r="PB38" s="58">
        <f>'REG y VAL POE - AESR - ESR'!V2937</f>
        <v>0</v>
      </c>
      <c r="PC38" s="56">
        <f>'REG y VAL POE - AESR - ESR'!W2937</f>
        <v>0</v>
      </c>
      <c r="PD38" s="57">
        <f>'REG y VAL POE - AESR - ESR'!X2937</f>
        <v>0</v>
      </c>
      <c r="PE38" s="57">
        <f>'REG y VAL POE - AESR - ESR'!Y2937</f>
        <v>0</v>
      </c>
      <c r="PF38" s="57">
        <f>'REG y VAL POE - AESR - ESR'!Z2937</f>
        <v>0</v>
      </c>
      <c r="PG38" s="56">
        <f>'REG y VAL POE - AESR - ESR'!AA2937</f>
        <v>0</v>
      </c>
      <c r="PH38" s="57">
        <f>'REG y VAL POE - AESR - ESR'!AB2937</f>
        <v>0</v>
      </c>
      <c r="PI38" s="57">
        <f>'REG y VAL POE - AESR - ESR'!AC2937</f>
        <v>0</v>
      </c>
      <c r="PJ38" s="56">
        <f>'REG y VAL POE - AESR - ESR'!AD2937</f>
        <v>0</v>
      </c>
      <c r="PK38" s="57">
        <f>'REG y VAL POE - AESR - ESR'!AE2937</f>
        <v>0</v>
      </c>
      <c r="PL38" s="58">
        <f>'REG y VAL POE - AESR - ESR'!AF2937</f>
        <v>0</v>
      </c>
      <c r="PM38" s="56">
        <f>'REG y VAL POE - AESR - ESR'!AG2937</f>
        <v>0</v>
      </c>
      <c r="PN38" s="57">
        <f>'REG y VAL POE - AESR - ESR'!AH2937</f>
        <v>0</v>
      </c>
      <c r="PO38" s="57">
        <f>'REG y VAL POE - AESR - ESR'!AI2937</f>
        <v>0</v>
      </c>
      <c r="PP38" s="57">
        <f>'REG y VAL POE - AESR - ESR'!AJ2937</f>
        <v>0</v>
      </c>
      <c r="PQ38" s="56">
        <f>'REG y VAL POE - AESR - ESR'!AK2937</f>
        <v>0</v>
      </c>
      <c r="PR38" s="57">
        <f>'REG y VAL POE - AESR - ESR'!AL2937</f>
        <v>0</v>
      </c>
      <c r="PS38" s="57">
        <f>'REG y VAL POE - AESR - ESR'!AM2937</f>
        <v>0</v>
      </c>
      <c r="PT38" s="56">
        <f>'REG y VAL POE - AESR - ESR'!AN2937</f>
        <v>0</v>
      </c>
      <c r="PU38" s="57">
        <f>'REG y VAL POE - AESR - ESR'!AO2937</f>
        <v>0</v>
      </c>
      <c r="PV38" s="58">
        <f>'REG y VAL POE - AESR - ESR'!AP2937</f>
        <v>0</v>
      </c>
      <c r="PW38" s="56">
        <f>'REG y VAL POE - AESR - ESR'!AQ2937</f>
        <v>0</v>
      </c>
      <c r="PX38" s="57">
        <f>'REG y VAL POE - AESR - ESR'!AR2937</f>
        <v>0</v>
      </c>
      <c r="PY38" s="57">
        <f>'REG y VAL POE - AESR - ESR'!AS2937</f>
        <v>0</v>
      </c>
      <c r="PZ38" s="57">
        <f>'REG y VAL POE - AESR - ESR'!B2938</f>
        <v>0</v>
      </c>
      <c r="QA38" s="56">
        <f>'REG y VAL POE - AESR - ESR'!C2938</f>
        <v>0</v>
      </c>
      <c r="QB38" s="57">
        <f>'REG y VAL POE - AESR - ESR'!D2938</f>
        <v>0</v>
      </c>
      <c r="QC38" s="57">
        <f>'REG y VAL POE - AESR - ESR'!E2938</f>
        <v>0</v>
      </c>
      <c r="QD38" s="56">
        <f>'REG y VAL POE - AESR - ESR'!F2938</f>
        <v>0</v>
      </c>
      <c r="QE38" s="57">
        <f>'REG y VAL POE - AESR - ESR'!G2938</f>
        <v>0</v>
      </c>
      <c r="QF38" s="58">
        <f>'REG y VAL POE - AESR - ESR'!H2938</f>
        <v>0</v>
      </c>
      <c r="QG38" s="56">
        <f>'REG y VAL POE - AESR - ESR'!I2938</f>
        <v>0</v>
      </c>
      <c r="QH38" s="57">
        <f>'REG y VAL POE - AESR - ESR'!J2938</f>
        <v>0</v>
      </c>
      <c r="QI38" s="57">
        <f>'REG y VAL POE - AESR - ESR'!K2938</f>
        <v>0</v>
      </c>
      <c r="QJ38" s="57">
        <f>'REG y VAL POE - AESR - ESR'!L2938</f>
        <v>0</v>
      </c>
      <c r="QK38" s="56">
        <f>'REG y VAL POE - AESR - ESR'!M2938</f>
        <v>0</v>
      </c>
      <c r="QL38" s="57">
        <f>'REG y VAL POE - AESR - ESR'!N2938</f>
        <v>0</v>
      </c>
      <c r="QM38" s="57">
        <f>'REG y VAL POE - AESR - ESR'!O2938</f>
        <v>0</v>
      </c>
      <c r="QN38" s="56">
        <f>'REG y VAL POE - AESR - ESR'!P2938</f>
        <v>0</v>
      </c>
      <c r="QO38" s="57">
        <f>'REG y VAL POE - AESR - ESR'!Q2938</f>
        <v>0</v>
      </c>
      <c r="QP38" s="58">
        <f>'REG y VAL POE - AESR - ESR'!R2938</f>
        <v>0</v>
      </c>
      <c r="QQ38" s="56">
        <f>'REG y VAL POE - AESR - ESR'!S2938</f>
        <v>0</v>
      </c>
      <c r="QR38" s="57">
        <f>'REG y VAL POE - AESR - ESR'!T2938</f>
        <v>0</v>
      </c>
      <c r="QS38" s="57">
        <f>'REG y VAL POE - AESR - ESR'!U2938</f>
        <v>0</v>
      </c>
      <c r="QT38" s="57">
        <f>'REG y VAL POE - AESR - ESR'!V2938</f>
        <v>0</v>
      </c>
      <c r="QU38" s="56">
        <f>'REG y VAL POE - AESR - ESR'!W2938</f>
        <v>0</v>
      </c>
      <c r="QV38" s="57">
        <f>'REG y VAL POE - AESR - ESR'!X2938</f>
        <v>0</v>
      </c>
      <c r="QW38" s="57">
        <f>'REG y VAL POE - AESR - ESR'!Y2938</f>
        <v>0</v>
      </c>
      <c r="QX38" s="56">
        <f>'REG y VAL POE - AESR - ESR'!Z2938</f>
        <v>0</v>
      </c>
      <c r="QY38" s="57">
        <f>'REG y VAL POE - AESR - ESR'!AA2938</f>
        <v>0</v>
      </c>
      <c r="QZ38" s="58">
        <f>'REG y VAL POE - AESR - ESR'!AB2938</f>
        <v>0</v>
      </c>
      <c r="RA38" s="56">
        <f>'REG y VAL POE - AESR - ESR'!AC2938</f>
        <v>0</v>
      </c>
      <c r="RB38" s="57">
        <f>'REG y VAL POE - AESR - ESR'!AD2938</f>
        <v>0</v>
      </c>
      <c r="RC38" s="57">
        <f>'REG y VAL POE - AESR - ESR'!AE2938</f>
        <v>0</v>
      </c>
      <c r="RD38" s="57">
        <f>'REG y VAL POE - AESR - ESR'!AF2938</f>
        <v>0</v>
      </c>
      <c r="RE38" s="56">
        <f>'REG y VAL POE - AESR - ESR'!AG2938</f>
        <v>0</v>
      </c>
      <c r="RF38" s="57">
        <f>'REG y VAL POE - AESR - ESR'!AH2938</f>
        <v>0</v>
      </c>
      <c r="RG38" s="57">
        <f>'REG y VAL POE - AESR - ESR'!AI2938</f>
        <v>0</v>
      </c>
      <c r="RH38" s="56">
        <f>'REG y VAL POE - AESR - ESR'!AJ2938</f>
        <v>0</v>
      </c>
      <c r="RI38" s="57">
        <f>'REG y VAL POE - AESR - ESR'!AK2938</f>
        <v>0</v>
      </c>
      <c r="RJ38" s="58">
        <f>'REG y VAL POE - AESR - ESR'!AL2938</f>
        <v>0</v>
      </c>
      <c r="RK38" s="56">
        <f>'REG y VAL POE - AESR - ESR'!AM2938</f>
        <v>0</v>
      </c>
      <c r="RL38" s="57">
        <f>'REG y VAL POE - AESR - ESR'!AN2938</f>
        <v>0</v>
      </c>
      <c r="RM38" s="57">
        <f>'REG y VAL POE - AESR - ESR'!AO2938</f>
        <v>0</v>
      </c>
      <c r="RN38" s="57">
        <f>'REG y VAL POE - AESR - ESR'!AP2938</f>
        <v>0</v>
      </c>
      <c r="RO38" s="56">
        <f>'REG y VAL POE - AESR - ESR'!AQ2938</f>
        <v>0</v>
      </c>
      <c r="RP38" s="57">
        <f>'REG y VAL POE - AESR - ESR'!AR2938</f>
        <v>0</v>
      </c>
      <c r="RQ38" s="57">
        <f>'REG y VAL POE - AESR - ESR'!AS2938</f>
        <v>0</v>
      </c>
      <c r="RR38" s="56">
        <f>'REG y VAL POE - AESR - ESR'!B2939</f>
        <v>0</v>
      </c>
      <c r="RS38" s="57">
        <f>'REG y VAL POE - AESR - ESR'!C2939</f>
        <v>0</v>
      </c>
      <c r="RT38" s="58">
        <f>'REG y VAL POE - AESR - ESR'!D2939</f>
        <v>0</v>
      </c>
      <c r="RU38" s="56">
        <f>'REG y VAL POE - AESR - ESR'!E2939</f>
        <v>0</v>
      </c>
      <c r="RV38" s="57">
        <f>'REG y VAL POE - AESR - ESR'!F2939</f>
        <v>0</v>
      </c>
      <c r="RW38" s="57">
        <f>'REG y VAL POE - AESR - ESR'!G2939</f>
        <v>0</v>
      </c>
      <c r="RX38" s="57">
        <f>'REG y VAL POE - AESR - ESR'!H2939</f>
        <v>0</v>
      </c>
      <c r="RY38" s="56">
        <f>'REG y VAL POE - AESR - ESR'!I2939</f>
        <v>0</v>
      </c>
      <c r="RZ38" s="57">
        <f>'REG y VAL POE - AESR - ESR'!J2939</f>
        <v>0</v>
      </c>
      <c r="SA38" s="57">
        <f>'REG y VAL POE - AESR - ESR'!K2939</f>
        <v>0</v>
      </c>
      <c r="SB38" s="56">
        <f>'REG y VAL POE - AESR - ESR'!L2939</f>
        <v>0</v>
      </c>
      <c r="SC38" s="57">
        <f>'REG y VAL POE - AESR - ESR'!M2939</f>
        <v>0</v>
      </c>
      <c r="SD38" s="58">
        <f>'REG y VAL POE - AESR - ESR'!N2939</f>
        <v>0</v>
      </c>
      <c r="SE38" s="56">
        <f>'REG y VAL POE - AESR - ESR'!O2939</f>
        <v>0</v>
      </c>
      <c r="SF38" s="57">
        <f>'REG y VAL POE - AESR - ESR'!P2939</f>
        <v>0</v>
      </c>
      <c r="SG38" s="57">
        <f>'REG y VAL POE - AESR - ESR'!Q2939</f>
        <v>0</v>
      </c>
      <c r="SH38" s="57">
        <f>'REG y VAL POE - AESR - ESR'!R2939</f>
        <v>0</v>
      </c>
      <c r="SI38" s="56">
        <f>'REG y VAL POE - AESR - ESR'!S2939</f>
        <v>0</v>
      </c>
      <c r="SJ38" s="57">
        <f>'REG y VAL POE - AESR - ESR'!T2939</f>
        <v>0</v>
      </c>
      <c r="SK38" s="57">
        <f>'REG y VAL POE - AESR - ESR'!U2939</f>
        <v>0</v>
      </c>
      <c r="SL38" s="56">
        <f>'REG y VAL POE - AESR - ESR'!V2939</f>
        <v>0</v>
      </c>
      <c r="SM38" s="57">
        <f>'REG y VAL POE - AESR - ESR'!W2939</f>
        <v>0</v>
      </c>
      <c r="SN38" s="58">
        <f>'REG y VAL POE - AESR - ESR'!X2939</f>
        <v>0</v>
      </c>
      <c r="SO38" s="56">
        <f>'REG y VAL POE - AESR - ESR'!Y2939</f>
        <v>0</v>
      </c>
      <c r="SP38" s="57">
        <f>'REG y VAL POE - AESR - ESR'!Z2939</f>
        <v>0</v>
      </c>
      <c r="SQ38" s="57">
        <f>'REG y VAL POE - AESR - ESR'!AA2939</f>
        <v>0</v>
      </c>
      <c r="SR38" s="57">
        <f>'REG y VAL POE - AESR - ESR'!AB2939</f>
        <v>0</v>
      </c>
      <c r="SS38" s="56">
        <f>'REG y VAL POE - AESR - ESR'!AC2939</f>
        <v>0</v>
      </c>
      <c r="ST38" s="57">
        <f>'REG y VAL POE - AESR - ESR'!AD2939</f>
        <v>0</v>
      </c>
      <c r="SU38" s="57">
        <f>'REG y VAL POE - AESR - ESR'!AE2939</f>
        <v>0</v>
      </c>
      <c r="SV38" s="56">
        <f>'REG y VAL POE - AESR - ESR'!AF2939</f>
        <v>0</v>
      </c>
      <c r="SW38" s="57">
        <f>'REG y VAL POE - AESR - ESR'!AG2939</f>
        <v>0</v>
      </c>
      <c r="SX38" s="58">
        <f>'REG y VAL POE - AESR - ESR'!AH2939</f>
        <v>0</v>
      </c>
      <c r="SY38" s="56">
        <f>'REG y VAL POE - AESR - ESR'!AI2939</f>
        <v>0</v>
      </c>
      <c r="SZ38" s="57">
        <f>'REG y VAL POE - AESR - ESR'!AJ2939</f>
        <v>0</v>
      </c>
      <c r="TA38" s="57">
        <f>'REG y VAL POE - AESR - ESR'!AK2939</f>
        <v>0</v>
      </c>
      <c r="TB38" s="57">
        <f>'REG y VAL POE - AESR - ESR'!AL2939</f>
        <v>0</v>
      </c>
      <c r="TC38" s="56">
        <f>'REG y VAL POE - AESR - ESR'!AM2939</f>
        <v>0</v>
      </c>
      <c r="TD38" s="57">
        <f>'REG y VAL POE - AESR - ESR'!AN2939</f>
        <v>0</v>
      </c>
      <c r="TE38" s="57">
        <f>'REG y VAL POE - AESR - ESR'!AO2939</f>
        <v>0</v>
      </c>
      <c r="TF38" s="56">
        <f>'REG y VAL POE - AESR - ESR'!AP2939</f>
        <v>0</v>
      </c>
      <c r="TG38" s="57">
        <f>'REG y VAL POE - AESR - ESR'!AQ2939</f>
        <v>0</v>
      </c>
      <c r="TH38" s="58">
        <f>'REG y VAL POE - AESR - ESR'!AR2939</f>
        <v>0</v>
      </c>
      <c r="TI38" s="56">
        <f>'REG y VAL POE - AESR - ESR'!AS2939</f>
        <v>0</v>
      </c>
      <c r="TJ38" s="57">
        <f>'REG y VAL POE - AESR - ESR'!B2940</f>
        <v>0</v>
      </c>
      <c r="TK38" s="57">
        <f>'REG y VAL POE - AESR - ESR'!C2940</f>
        <v>0</v>
      </c>
      <c r="TL38" s="57">
        <f>'REG y VAL POE - AESR - ESR'!D2940</f>
        <v>0</v>
      </c>
      <c r="TM38" s="56">
        <f>'REG y VAL POE - AESR - ESR'!E2940</f>
        <v>0</v>
      </c>
      <c r="TN38" s="57">
        <f>'REG y VAL POE - AESR - ESR'!F2940</f>
        <v>0</v>
      </c>
      <c r="TO38" s="57">
        <f>'REG y VAL POE - AESR - ESR'!G2940</f>
        <v>0</v>
      </c>
      <c r="TP38" s="56">
        <f>'REG y VAL POE - AESR - ESR'!H2940</f>
        <v>0</v>
      </c>
      <c r="TQ38" s="57">
        <f>'REG y VAL POE - AESR - ESR'!I2940</f>
        <v>0</v>
      </c>
      <c r="TR38" s="58">
        <f>'REG y VAL POE - AESR - ESR'!J2940</f>
        <v>0</v>
      </c>
      <c r="TS38" s="56">
        <f>'REG y VAL POE - AESR - ESR'!K2940</f>
        <v>0</v>
      </c>
      <c r="TT38" s="57">
        <f>'REG y VAL POE - AESR - ESR'!L2940</f>
        <v>0</v>
      </c>
      <c r="TU38" s="57">
        <f>'REG y VAL POE - AESR - ESR'!M2940</f>
        <v>0</v>
      </c>
      <c r="TV38" s="57">
        <f>'REG y VAL POE - AESR - ESR'!N2940</f>
        <v>0</v>
      </c>
      <c r="TW38" s="56">
        <f>'REG y VAL POE - AESR - ESR'!O2940</f>
        <v>0</v>
      </c>
      <c r="TX38" s="57">
        <f>'REG y VAL POE - AESR - ESR'!P2940</f>
        <v>0</v>
      </c>
      <c r="TY38" s="57">
        <f>'REG y VAL POE - AESR - ESR'!Q2940</f>
        <v>0</v>
      </c>
      <c r="TZ38" s="56">
        <f>'REG y VAL POE - AESR - ESR'!R2940</f>
        <v>0</v>
      </c>
      <c r="UA38" s="57">
        <f>'REG y VAL POE - AESR - ESR'!S2940</f>
        <v>0</v>
      </c>
      <c r="UB38" s="58">
        <f>'REG y VAL POE - AESR - ESR'!T2940</f>
        <v>0</v>
      </c>
      <c r="UC38" s="56">
        <f>'REG y VAL POE - AESR - ESR'!U2940</f>
        <v>0</v>
      </c>
      <c r="UD38" s="57">
        <f>'REG y VAL POE - AESR - ESR'!V2940</f>
        <v>0</v>
      </c>
      <c r="UE38" s="57">
        <f>'REG y VAL POE - AESR - ESR'!W2940</f>
        <v>0</v>
      </c>
      <c r="UF38" s="57">
        <f>'REG y VAL POE - AESR - ESR'!X2940</f>
        <v>0</v>
      </c>
      <c r="UG38" s="56">
        <f>'REG y VAL POE - AESR - ESR'!Y2940</f>
        <v>0</v>
      </c>
      <c r="UH38" s="57">
        <f>'REG y VAL POE - AESR - ESR'!Z2940</f>
        <v>0</v>
      </c>
      <c r="UI38" s="57">
        <f>'REG y VAL POE - AESR - ESR'!AA2940</f>
        <v>0</v>
      </c>
      <c r="UJ38" s="56">
        <f>'REG y VAL POE - AESR - ESR'!AB2940</f>
        <v>0</v>
      </c>
      <c r="UK38" s="57">
        <f>'REG y VAL POE - AESR - ESR'!AC2940</f>
        <v>0</v>
      </c>
      <c r="UL38" s="58">
        <f>'REG y VAL POE - AESR - ESR'!AD2940</f>
        <v>0</v>
      </c>
      <c r="UM38" s="56">
        <f>'REG y VAL POE - AESR - ESR'!AE2940</f>
        <v>0</v>
      </c>
      <c r="UN38" s="57">
        <f>'REG y VAL POE - AESR - ESR'!AF2940</f>
        <v>0</v>
      </c>
      <c r="UO38" s="57">
        <f>'REG y VAL POE - AESR - ESR'!AG2940</f>
        <v>0</v>
      </c>
      <c r="UP38" s="57">
        <f>'REG y VAL POE - AESR - ESR'!AH2940</f>
        <v>0</v>
      </c>
      <c r="UQ38" s="56">
        <f>'REG y VAL POE - AESR - ESR'!AI2940</f>
        <v>0</v>
      </c>
      <c r="UR38" s="57">
        <f>'REG y VAL POE - AESR - ESR'!AJ2940</f>
        <v>0</v>
      </c>
      <c r="US38" s="57">
        <f>'REG y VAL POE - AESR - ESR'!AK2940</f>
        <v>0</v>
      </c>
      <c r="UT38" s="56">
        <f>'REG y VAL POE - AESR - ESR'!AL2940</f>
        <v>0</v>
      </c>
      <c r="UU38" s="57">
        <f>'REG y VAL POE - AESR - ESR'!AM2940</f>
        <v>0</v>
      </c>
      <c r="UV38" s="58">
        <f>'REG y VAL POE - AESR - ESR'!AN2940</f>
        <v>0</v>
      </c>
      <c r="UW38" s="56">
        <f>'REG y VAL POE - AESR - ESR'!AO2940</f>
        <v>0</v>
      </c>
      <c r="UX38" s="57">
        <f>'REG y VAL POE - AESR - ESR'!AP2940</f>
        <v>0</v>
      </c>
      <c r="UY38" s="57">
        <f>'REG y VAL POE - AESR - ESR'!AQ2940</f>
        <v>0</v>
      </c>
      <c r="UZ38" s="57">
        <f>'REG y VAL POE - AESR - ESR'!AR2940</f>
        <v>0</v>
      </c>
      <c r="VA38" s="56">
        <f>'REG y VAL POE - AESR - ESR'!AS2940</f>
        <v>0</v>
      </c>
      <c r="VB38" s="57">
        <f>'REG y VAL POE - AESR - ESR'!B2941</f>
        <v>0</v>
      </c>
      <c r="VC38" s="57">
        <f>'REG y VAL POE - AESR - ESR'!C2941</f>
        <v>0</v>
      </c>
      <c r="VD38" s="56">
        <f>'REG y VAL POE - AESR - ESR'!D2941</f>
        <v>0</v>
      </c>
      <c r="VE38" s="57">
        <f>'REG y VAL POE - AESR - ESR'!E2941</f>
        <v>0</v>
      </c>
      <c r="VF38" s="58">
        <f>'REG y VAL POE - AESR - ESR'!F2941</f>
        <v>0</v>
      </c>
      <c r="VG38" s="56">
        <f>'REG y VAL POE - AESR - ESR'!G2941</f>
        <v>0</v>
      </c>
      <c r="VH38" s="57">
        <f>'REG y VAL POE - AESR - ESR'!H2941</f>
        <v>0</v>
      </c>
      <c r="VI38" s="57">
        <f>'REG y VAL POE - AESR - ESR'!I2941</f>
        <v>0</v>
      </c>
      <c r="VJ38" s="57">
        <f>'REG y VAL POE - AESR - ESR'!J2941</f>
        <v>0</v>
      </c>
      <c r="VK38" s="56">
        <f>'REG y VAL POE - AESR - ESR'!K2941</f>
        <v>0</v>
      </c>
      <c r="VL38" s="57">
        <f>'REG y VAL POE - AESR - ESR'!L2941</f>
        <v>0</v>
      </c>
      <c r="VM38" s="57">
        <f>'REG y VAL POE - AESR - ESR'!M2941</f>
        <v>0</v>
      </c>
      <c r="VN38" s="56">
        <f>'REG y VAL POE - AESR - ESR'!N2941</f>
        <v>0</v>
      </c>
      <c r="VO38" s="57">
        <f>'REG y VAL POE - AESR - ESR'!O2941</f>
        <v>0</v>
      </c>
      <c r="VP38" s="58">
        <f>'REG y VAL POE - AESR - ESR'!P2941</f>
        <v>0</v>
      </c>
      <c r="VQ38" s="56">
        <f>'REG y VAL POE - AESR - ESR'!Q2941</f>
        <v>0</v>
      </c>
      <c r="VR38" s="57">
        <f>'REG y VAL POE - AESR - ESR'!R2941</f>
        <v>0</v>
      </c>
      <c r="VS38" s="57">
        <f>'REG y VAL POE - AESR - ESR'!S2941</f>
        <v>0</v>
      </c>
      <c r="VT38" s="57">
        <f>'REG y VAL POE - AESR - ESR'!T2941</f>
        <v>0</v>
      </c>
      <c r="VU38" s="56">
        <f>'REG y VAL POE - AESR - ESR'!U2941</f>
        <v>0</v>
      </c>
      <c r="VV38" s="57">
        <f>'REG y VAL POE - AESR - ESR'!V2941</f>
        <v>0</v>
      </c>
      <c r="VW38" s="57">
        <f>'REG y VAL POE - AESR - ESR'!W2941</f>
        <v>0</v>
      </c>
      <c r="VX38" s="56">
        <f>'REG y VAL POE - AESR - ESR'!X2941</f>
        <v>0</v>
      </c>
      <c r="VY38" s="57">
        <f>'REG y VAL POE - AESR - ESR'!Y2941</f>
        <v>0</v>
      </c>
      <c r="VZ38" s="58">
        <f>'REG y VAL POE - AESR - ESR'!Z2941</f>
        <v>0</v>
      </c>
      <c r="WA38" s="56">
        <f>'REG y VAL POE - AESR - ESR'!AA2941</f>
        <v>0</v>
      </c>
      <c r="WB38" s="57">
        <f>'REG y VAL POE - AESR - ESR'!AB2941</f>
        <v>0</v>
      </c>
      <c r="WC38" s="57">
        <f>'REG y VAL POE - AESR - ESR'!AC2941</f>
        <v>0</v>
      </c>
      <c r="WD38" s="57">
        <f>'REG y VAL POE - AESR - ESR'!AD2941</f>
        <v>0</v>
      </c>
      <c r="WE38" s="56">
        <f>'REG y VAL POE - AESR - ESR'!AE2941</f>
        <v>0</v>
      </c>
      <c r="WF38" s="57">
        <f>'REG y VAL POE - AESR - ESR'!AF2941</f>
        <v>0</v>
      </c>
      <c r="WG38" s="57">
        <f>'REG y VAL POE - AESR - ESR'!AG2941</f>
        <v>0</v>
      </c>
      <c r="WH38" s="56">
        <f>'REG y VAL POE - AESR - ESR'!AH2941</f>
        <v>0</v>
      </c>
      <c r="WI38" s="57">
        <f>'REG y VAL POE - AESR - ESR'!AI2941</f>
        <v>0</v>
      </c>
      <c r="WJ38" s="58">
        <f>'REG y VAL POE - AESR - ESR'!AJ2941</f>
        <v>0</v>
      </c>
      <c r="WK38" s="56">
        <f>'REG y VAL POE - AESR - ESR'!AK2941</f>
        <v>0</v>
      </c>
      <c r="WL38" s="57">
        <f>'REG y VAL POE - AESR - ESR'!AL2941</f>
        <v>0</v>
      </c>
      <c r="WM38" s="57">
        <f>'REG y VAL POE - AESR - ESR'!AM2941</f>
        <v>0</v>
      </c>
      <c r="WN38" s="57">
        <f>'REG y VAL POE - AESR - ESR'!AN2941</f>
        <v>0</v>
      </c>
      <c r="WO38" s="56">
        <f>'REG y VAL POE - AESR - ESR'!AO2941</f>
        <v>0</v>
      </c>
      <c r="WP38" s="57">
        <f>'REG y VAL POE - AESR - ESR'!AP2941</f>
        <v>0</v>
      </c>
      <c r="WQ38" s="57">
        <f>'REG y VAL POE - AESR - ESR'!AQ2941</f>
        <v>0</v>
      </c>
      <c r="WR38" s="56">
        <f>'REG y VAL POE - AESR - ESR'!AR2941</f>
        <v>0</v>
      </c>
      <c r="WS38" s="57">
        <f>'REG y VAL POE - AESR - ESR'!AS2941</f>
        <v>0</v>
      </c>
      <c r="WT38" s="58">
        <f>'REG y VAL POE - AESR - ESR'!B2942</f>
        <v>0</v>
      </c>
      <c r="WU38" s="56">
        <f>'REG y VAL POE - AESR - ESR'!C2942</f>
        <v>0</v>
      </c>
      <c r="WV38" s="57">
        <f>'REG y VAL POE - AESR - ESR'!D2942</f>
        <v>0</v>
      </c>
      <c r="WW38" s="57">
        <f>'REG y VAL POE - AESR - ESR'!E2942</f>
        <v>0</v>
      </c>
      <c r="WX38" s="57">
        <f>'REG y VAL POE - AESR - ESR'!F2942</f>
        <v>0</v>
      </c>
      <c r="WY38" s="56">
        <f>'REG y VAL POE - AESR - ESR'!G2942</f>
        <v>0</v>
      </c>
      <c r="WZ38" s="57">
        <f>'REG y VAL POE - AESR - ESR'!H2942</f>
        <v>0</v>
      </c>
      <c r="XA38" s="57">
        <f>'REG y VAL POE - AESR - ESR'!I2942</f>
        <v>0</v>
      </c>
      <c r="XB38" s="56">
        <f>'REG y VAL POE - AESR - ESR'!J2942</f>
        <v>0</v>
      </c>
      <c r="XC38" s="57">
        <f>'REG y VAL POE - AESR - ESR'!K2942</f>
        <v>0</v>
      </c>
      <c r="XD38" s="58">
        <f>'REG y VAL POE - AESR - ESR'!L2942</f>
        <v>0</v>
      </c>
      <c r="XE38" s="56">
        <f>'REG y VAL POE - AESR - ESR'!M2942</f>
        <v>0</v>
      </c>
      <c r="XF38" s="57">
        <f>'REG y VAL POE - AESR - ESR'!N2942</f>
        <v>0</v>
      </c>
      <c r="XG38" s="57">
        <f>'REG y VAL POE - AESR - ESR'!O2942</f>
        <v>0</v>
      </c>
      <c r="XH38" s="57">
        <f>'REG y VAL POE - AESR - ESR'!P2942</f>
        <v>0</v>
      </c>
      <c r="XI38" s="56">
        <f>'REG y VAL POE - AESR - ESR'!Q2942</f>
        <v>0</v>
      </c>
      <c r="XJ38" s="57">
        <f>'REG y VAL POE - AESR - ESR'!R2942</f>
        <v>0</v>
      </c>
      <c r="XK38" s="57">
        <f>'REG y VAL POE - AESR - ESR'!S2942</f>
        <v>0</v>
      </c>
      <c r="XL38" s="56">
        <f>'REG y VAL POE - AESR - ESR'!T2942</f>
        <v>0</v>
      </c>
      <c r="XM38" s="57">
        <f>'REG y VAL POE - AESR - ESR'!U2942</f>
        <v>0</v>
      </c>
      <c r="XN38" s="58">
        <f>'REG y VAL POE - AESR - ESR'!V2942</f>
        <v>0</v>
      </c>
      <c r="XO38" s="56">
        <f>'REG y VAL POE - AESR - ESR'!W2942</f>
        <v>0</v>
      </c>
      <c r="XP38" s="57">
        <f>'REG y VAL POE - AESR - ESR'!X2942</f>
        <v>0</v>
      </c>
      <c r="XQ38" s="57">
        <f>'REG y VAL POE - AESR - ESR'!Y2942</f>
        <v>0</v>
      </c>
      <c r="XR38" s="57">
        <f>'REG y VAL POE - AESR - ESR'!Z2942</f>
        <v>0</v>
      </c>
      <c r="XS38" s="56">
        <f>'REG y VAL POE - AESR - ESR'!AA2942</f>
        <v>0</v>
      </c>
      <c r="XT38" s="57">
        <f>'REG y VAL POE - AESR - ESR'!AB2942</f>
        <v>0</v>
      </c>
      <c r="XU38" s="57">
        <f>'REG y VAL POE - AESR - ESR'!AC2942</f>
        <v>0</v>
      </c>
      <c r="XV38" s="56">
        <f>'REG y VAL POE - AESR - ESR'!AD2942</f>
        <v>0</v>
      </c>
      <c r="XW38" s="57">
        <f>'REG y VAL POE - AESR - ESR'!AE2942</f>
        <v>0</v>
      </c>
      <c r="XX38" s="58">
        <f>'REG y VAL POE - AESR - ESR'!AF2942</f>
        <v>0</v>
      </c>
      <c r="XY38" s="56">
        <f>'REG y VAL POE - AESR - ESR'!AG2942</f>
        <v>0</v>
      </c>
      <c r="XZ38" s="57">
        <f>'REG y VAL POE - AESR - ESR'!AH2942</f>
        <v>0</v>
      </c>
      <c r="YA38" s="57">
        <f>'REG y VAL POE - AESR - ESR'!AI2942</f>
        <v>0</v>
      </c>
      <c r="YB38" s="57">
        <f>'REG y VAL POE - AESR - ESR'!AJ2942</f>
        <v>0</v>
      </c>
      <c r="YC38" s="56">
        <f>'REG y VAL POE - AESR - ESR'!AK2942</f>
        <v>0</v>
      </c>
      <c r="YD38" s="57">
        <f>'REG y VAL POE - AESR - ESR'!AL2942</f>
        <v>0</v>
      </c>
      <c r="YE38" s="57">
        <f>'REG y VAL POE - AESR - ESR'!AM2942</f>
        <v>0</v>
      </c>
      <c r="YF38" s="56">
        <f>'REG y VAL POE - AESR - ESR'!AN2942</f>
        <v>0</v>
      </c>
      <c r="YG38" s="57">
        <f>'REG y VAL POE - AESR - ESR'!AO2942</f>
        <v>0</v>
      </c>
      <c r="YH38" s="58">
        <f>'REG y VAL POE - AESR - ESR'!AP2942</f>
        <v>0</v>
      </c>
      <c r="YI38" s="56">
        <f>'REG y VAL POE - AESR - ESR'!AQ2942</f>
        <v>0</v>
      </c>
      <c r="YJ38" s="57">
        <f>'REG y VAL POE - AESR - ESR'!AR2942</f>
        <v>0</v>
      </c>
      <c r="YK38" s="57">
        <f>'REG y VAL POE - AESR - ESR'!AS2942</f>
        <v>0</v>
      </c>
      <c r="YL38" s="57"/>
      <c r="YM38" s="56"/>
      <c r="YN38" s="57"/>
      <c r="YO38" s="57"/>
      <c r="YP38" s="56"/>
      <c r="YQ38" s="57"/>
      <c r="YR38" s="58"/>
      <c r="YS38" s="56"/>
      <c r="YT38" s="57"/>
      <c r="YU38" s="57"/>
      <c r="YV38" s="57"/>
      <c r="YW38" s="56"/>
      <c r="YX38" s="57"/>
      <c r="YY38" s="57"/>
      <c r="YZ38" s="56"/>
      <c r="ZA38" s="57"/>
      <c r="ZB38" s="58"/>
      <c r="ZC38" s="56"/>
      <c r="ZD38" s="57"/>
      <c r="ZE38" s="57"/>
      <c r="ZF38" s="57"/>
      <c r="ZG38" s="56"/>
      <c r="ZH38" s="57"/>
      <c r="ZI38" s="57"/>
      <c r="ZJ38" s="56"/>
      <c r="ZK38" s="57"/>
      <c r="ZL38" s="58"/>
      <c r="ZM38" s="56"/>
      <c r="ZN38" s="57"/>
      <c r="ZO38" s="57"/>
      <c r="ZP38" s="57"/>
      <c r="ZQ38" s="56"/>
      <c r="ZR38" s="57"/>
      <c r="ZS38" s="57"/>
      <c r="ZT38" s="56"/>
      <c r="ZU38" s="57"/>
      <c r="ZV38" s="58"/>
      <c r="ZW38" s="56"/>
      <c r="ZX38" s="57"/>
      <c r="ZY38" s="57"/>
      <c r="ZZ38" s="57"/>
      <c r="AAA38" s="56"/>
      <c r="AAB38" s="57"/>
      <c r="AAC38" s="57"/>
      <c r="AAD38" s="56"/>
      <c r="AAE38" s="57"/>
      <c r="AAF38" s="58"/>
      <c r="AAG38" s="56"/>
      <c r="AAH38" s="57"/>
      <c r="AAI38" s="57"/>
      <c r="AAJ38" s="57"/>
      <c r="AAK38" s="56"/>
      <c r="AAL38" s="57"/>
      <c r="AAM38" s="57"/>
      <c r="AAN38" s="56"/>
      <c r="AAO38" s="57"/>
      <c r="AAP38" s="58"/>
      <c r="AAQ38" s="56"/>
      <c r="AAR38" s="57"/>
      <c r="AAS38" s="57"/>
      <c r="AAT38" s="57"/>
      <c r="AAU38" s="56"/>
      <c r="AAV38" s="57"/>
      <c r="AAW38" s="57"/>
      <c r="AAX38" s="58"/>
      <c r="AAY38" s="58"/>
      <c r="AAZ38" s="58"/>
      <c r="ABA38" s="56"/>
      <c r="ABB38" s="58"/>
      <c r="ABC38" s="58"/>
      <c r="ABD38" s="58"/>
      <c r="ABE38" s="58"/>
      <c r="ABF38" s="58"/>
      <c r="ABG38" s="57"/>
      <c r="ABH38" s="56"/>
      <c r="ABI38" s="57"/>
      <c r="ABJ38" s="58"/>
      <c r="ABK38" s="56"/>
      <c r="ABL38" s="57"/>
      <c r="ABM38" s="57"/>
      <c r="ABN38" s="57"/>
      <c r="ABO38" s="56"/>
      <c r="ABP38" s="57"/>
      <c r="ABQ38" s="57"/>
      <c r="ABR38" s="56"/>
      <c r="ABS38" s="57"/>
      <c r="ABT38" s="58"/>
      <c r="ABU38" s="56"/>
      <c r="ABV38" s="57"/>
      <c r="ABW38" s="57"/>
      <c r="ABX38" s="57"/>
      <c r="ABY38" s="56"/>
      <c r="ABZ38" s="57"/>
      <c r="ACA38" s="57"/>
      <c r="ACB38" s="56"/>
      <c r="ACC38" s="57"/>
      <c r="ACD38" s="58"/>
      <c r="ACE38" s="56"/>
      <c r="ACF38" s="57"/>
      <c r="ACG38" s="57"/>
      <c r="ACH38" s="57"/>
      <c r="ACI38" s="56"/>
      <c r="ACJ38" s="57"/>
      <c r="ACK38" s="57"/>
      <c r="ACL38" s="56"/>
      <c r="ACM38" s="57"/>
      <c r="ACN38" s="58"/>
      <c r="ACO38" s="56"/>
      <c r="ACP38" s="57"/>
      <c r="ACQ38" s="57"/>
      <c r="ACR38" s="57"/>
      <c r="ACS38" s="56"/>
      <c r="ACT38" s="57"/>
      <c r="ACU38" s="57"/>
      <c r="ACV38" s="56"/>
      <c r="ACW38" s="57"/>
      <c r="ACX38" s="58"/>
      <c r="ACY38" s="56"/>
      <c r="ACZ38" s="57"/>
      <c r="ADA38" s="57"/>
      <c r="ADB38" s="57"/>
      <c r="ADC38" s="56"/>
      <c r="ADD38" s="57"/>
      <c r="ADE38" s="57"/>
      <c r="ADF38" s="56"/>
      <c r="ADG38" s="57"/>
      <c r="ADH38" s="58"/>
      <c r="ADI38" s="56"/>
      <c r="ADJ38" s="57"/>
      <c r="ADK38" s="57"/>
      <c r="ADL38" s="57"/>
      <c r="ADM38" s="56"/>
      <c r="ADN38" s="57"/>
      <c r="ADO38" s="57"/>
      <c r="ADP38" s="56"/>
      <c r="ADQ38" s="57"/>
      <c r="ADR38" s="58"/>
      <c r="ADS38" s="56"/>
      <c r="ADT38" s="57"/>
      <c r="ADU38" s="57"/>
      <c r="ADV38" s="57"/>
      <c r="ADW38" s="56"/>
      <c r="ADX38" s="57"/>
      <c r="ADY38" s="57"/>
      <c r="ADZ38" s="56"/>
      <c r="AEA38" s="57"/>
      <c r="AEB38" s="58"/>
      <c r="AEC38" s="56"/>
      <c r="AED38" s="57"/>
      <c r="AEE38" s="57"/>
      <c r="AEF38" s="57"/>
      <c r="AEG38" s="56"/>
      <c r="AEH38" s="57"/>
      <c r="AEI38" s="57"/>
      <c r="AEJ38" s="56"/>
      <c r="AEK38" s="57"/>
      <c r="AEL38" s="58"/>
      <c r="AEM38" s="56"/>
      <c r="AEN38" s="57"/>
      <c r="AEO38" s="57"/>
      <c r="AEP38" s="57"/>
      <c r="AEQ38" s="56"/>
      <c r="AER38" s="57"/>
      <c r="AES38" s="57"/>
      <c r="AET38" s="56"/>
      <c r="AEU38" s="57"/>
      <c r="AEV38" s="58"/>
      <c r="AEW38" s="56"/>
      <c r="AEX38" s="57"/>
      <c r="AEY38" s="57"/>
      <c r="AEZ38" s="57"/>
      <c r="AFA38" s="56"/>
      <c r="AFB38" s="57"/>
      <c r="AFC38" s="57"/>
      <c r="AFD38" s="56"/>
      <c r="AFE38" s="57"/>
      <c r="AFF38" s="58"/>
      <c r="AFG38" s="56"/>
      <c r="AFH38" s="57"/>
      <c r="AFI38" s="57"/>
      <c r="AFJ38" s="57"/>
      <c r="AFK38" s="56"/>
      <c r="AFL38" s="57"/>
      <c r="AFM38" s="57"/>
      <c r="AFN38" s="56"/>
      <c r="AFO38" s="57"/>
      <c r="AFP38" s="58"/>
      <c r="AFQ38" s="56"/>
      <c r="AFR38" s="57"/>
      <c r="AFS38" s="57"/>
      <c r="AFT38" s="57"/>
      <c r="AFU38" s="56"/>
      <c r="AFV38" s="57"/>
      <c r="AFW38" s="57"/>
      <c r="AFX38" s="56"/>
      <c r="AFY38" s="57"/>
      <c r="AFZ38" s="58"/>
      <c r="AGA38" s="56"/>
      <c r="AGB38" s="57"/>
      <c r="AGC38" s="57"/>
      <c r="AGD38" s="57"/>
      <c r="AGE38" s="56"/>
      <c r="AGF38" s="57"/>
      <c r="AGG38" s="57"/>
      <c r="AGH38" s="56"/>
      <c r="AGI38" s="57"/>
      <c r="AGJ38" s="58"/>
      <c r="AGK38" s="56"/>
      <c r="AGL38" s="57"/>
      <c r="AGM38" s="57"/>
      <c r="AGN38" s="57"/>
      <c r="AGO38" s="56"/>
      <c r="AGP38" s="57"/>
      <c r="AGQ38" s="57"/>
      <c r="AGR38" s="56"/>
      <c r="AGS38" s="57"/>
      <c r="AGT38" s="58"/>
      <c r="AGU38" s="56"/>
      <c r="AGV38" s="57"/>
      <c r="AGW38" s="57"/>
      <c r="AGX38" s="57"/>
      <c r="AGY38" s="56"/>
      <c r="AGZ38" s="57"/>
      <c r="AHA38" s="57"/>
      <c r="AHB38" s="56"/>
      <c r="AHC38" s="57"/>
      <c r="AHD38" s="58"/>
      <c r="AHE38" s="56"/>
      <c r="AHF38" s="57"/>
      <c r="AHG38" s="57"/>
      <c r="AHH38" s="57"/>
      <c r="AHI38" s="56"/>
      <c r="AHJ38" s="57"/>
      <c r="AHK38" s="57"/>
      <c r="AHL38" s="56"/>
      <c r="AHM38" s="57"/>
      <c r="AHN38" s="58"/>
      <c r="AHO38" s="56"/>
      <c r="AHP38" s="57"/>
      <c r="AHQ38" s="57"/>
      <c r="AHR38" s="57"/>
      <c r="AHS38" s="56"/>
      <c r="AHT38" s="57"/>
      <c r="AHU38" s="57"/>
      <c r="AHV38" s="56"/>
      <c r="AHW38" s="57"/>
      <c r="AHX38" s="58"/>
      <c r="AHY38" s="56"/>
      <c r="AHZ38" s="57"/>
      <c r="AIA38" s="57"/>
      <c r="AIB38" s="57"/>
      <c r="AIC38" s="56"/>
      <c r="AID38" s="57"/>
      <c r="AIE38" s="57"/>
      <c r="AIF38" s="56"/>
      <c r="AIG38" s="57"/>
      <c r="AIH38" s="58"/>
      <c r="AII38" s="56"/>
      <c r="AIJ38" s="57"/>
      <c r="AIK38" s="57"/>
      <c r="AIL38" s="57"/>
      <c r="AIM38" s="56"/>
      <c r="AIN38" s="57"/>
      <c r="AIO38" s="57"/>
      <c r="AIP38" s="56"/>
      <c r="AIQ38" s="57"/>
      <c r="AIR38" s="58"/>
      <c r="AIS38" s="56"/>
      <c r="AIT38" s="57"/>
      <c r="AIU38" s="57"/>
      <c r="AIV38" s="57"/>
      <c r="AIW38" s="56"/>
      <c r="AIX38" s="57"/>
      <c r="AIY38" s="57"/>
      <c r="AIZ38" s="56"/>
      <c r="AJA38" s="57"/>
      <c r="AJB38" s="58"/>
      <c r="AJC38" s="56"/>
      <c r="AJD38" s="57"/>
      <c r="AJE38" s="57"/>
      <c r="AJF38" s="57"/>
      <c r="AJG38" s="56"/>
      <c r="AJH38" s="57"/>
      <c r="AJI38" s="57"/>
      <c r="AJJ38" s="56"/>
      <c r="AJK38" s="57"/>
      <c r="AJL38" s="58"/>
      <c r="AJM38" s="56"/>
      <c r="AJN38" s="57"/>
      <c r="AJO38" s="57"/>
      <c r="AJP38" s="57"/>
      <c r="AJQ38" s="56"/>
      <c r="AJR38" s="57"/>
      <c r="AJS38" s="57"/>
      <c r="AJT38" s="56"/>
      <c r="AJU38" s="57"/>
      <c r="AJV38" s="58"/>
      <c r="AJW38" s="56"/>
      <c r="AJX38" s="57"/>
      <c r="AJY38" s="57"/>
      <c r="AJZ38" s="57"/>
      <c r="AKA38" s="56"/>
      <c r="AKB38" s="57"/>
      <c r="AKC38" s="57"/>
      <c r="AKD38" s="56"/>
      <c r="AKE38" s="57"/>
      <c r="AKF38" s="58"/>
      <c r="AKG38" s="56"/>
      <c r="AKH38" s="57"/>
      <c r="AKI38" s="57"/>
      <c r="AKJ38" s="57"/>
      <c r="AKK38" s="56"/>
      <c r="AKL38" s="57"/>
      <c r="AKM38" s="57"/>
      <c r="AKN38" s="56"/>
      <c r="AKO38" s="57"/>
      <c r="AKP38" s="58"/>
      <c r="AKQ38" s="56"/>
      <c r="AKR38" s="57"/>
      <c r="AKS38" s="57"/>
      <c r="AKT38" s="57"/>
      <c r="AKU38" s="56"/>
      <c r="AKV38" s="57"/>
      <c r="AKW38" s="57"/>
      <c r="AKX38" s="56"/>
      <c r="AKY38" s="57"/>
      <c r="AKZ38" s="58"/>
      <c r="ALA38" s="56"/>
      <c r="ALB38" s="57"/>
      <c r="ALC38" s="57"/>
      <c r="ALD38" s="57"/>
      <c r="ALE38" s="56"/>
      <c r="ALF38" s="57"/>
      <c r="ALG38" s="57"/>
      <c r="ALH38" s="57"/>
      <c r="ALI38" s="57"/>
      <c r="ALJ38" s="57"/>
      <c r="ALK38" s="56"/>
      <c r="ALL38" s="57"/>
      <c r="ALM38" s="57"/>
      <c r="ALN38" s="56"/>
      <c r="ALO38" s="57"/>
      <c r="ALP38" s="58"/>
      <c r="ALQ38" s="56"/>
      <c r="ALR38" s="57"/>
      <c r="ALS38" s="57"/>
      <c r="ALT38" s="57"/>
      <c r="ALU38" s="56"/>
      <c r="ALV38" s="57"/>
      <c r="ALW38" s="57"/>
      <c r="ALX38" s="56"/>
      <c r="ALY38" s="57"/>
      <c r="ALZ38" s="58"/>
      <c r="AMA38" s="56"/>
      <c r="AMB38" s="57"/>
      <c r="AMC38" s="57"/>
      <c r="AMD38" s="57"/>
      <c r="AME38" s="56"/>
      <c r="AMF38" s="57"/>
      <c r="AMG38" s="57"/>
      <c r="AMH38" s="57"/>
      <c r="AMI38" s="57"/>
      <c r="AMJ38" s="57"/>
      <c r="AMK38" s="56"/>
      <c r="AML38" s="57"/>
      <c r="AMM38" s="57"/>
      <c r="AMN38" s="56"/>
      <c r="AMO38" s="57"/>
      <c r="AMP38" s="58"/>
      <c r="AMQ38" s="56"/>
      <c r="AMR38" s="57"/>
      <c r="AMS38" s="57"/>
      <c r="AMT38" s="57"/>
      <c r="AMU38" s="56"/>
      <c r="AMV38" s="57"/>
      <c r="AMW38" s="57"/>
      <c r="AMX38" s="56"/>
      <c r="AMY38" s="57"/>
      <c r="AMZ38" s="58"/>
      <c r="ANA38" s="56"/>
      <c r="ANB38" s="57"/>
      <c r="ANC38" s="57"/>
      <c r="AND38" s="57"/>
      <c r="ANE38" s="56"/>
      <c r="ANF38" s="57"/>
      <c r="ANG38" s="57"/>
      <c r="ANH38" s="57"/>
      <c r="ANI38" s="57"/>
      <c r="ANJ38" s="57"/>
      <c r="ANK38" s="56"/>
      <c r="ANL38" s="57"/>
      <c r="ANM38" s="57"/>
      <c r="ANN38" s="56"/>
      <c r="ANO38" s="57"/>
      <c r="ANP38" s="58"/>
      <c r="ANQ38" s="56"/>
      <c r="ANR38" s="57"/>
      <c r="ANS38" s="57"/>
      <c r="ANT38" s="57"/>
      <c r="ANU38" s="56"/>
      <c r="ANV38" s="57"/>
      <c r="ANW38" s="57"/>
      <c r="ANX38" s="56"/>
      <c r="ANY38" s="57"/>
      <c r="ANZ38" s="58"/>
      <c r="AOA38" s="56"/>
      <c r="AOB38" s="57"/>
      <c r="AOC38" s="57"/>
      <c r="AOD38" s="57"/>
      <c r="AOE38" s="56"/>
      <c r="AOF38" s="57"/>
      <c r="AOG38" s="57"/>
      <c r="AOH38" s="57"/>
      <c r="AOI38" s="57"/>
      <c r="AOJ38" s="57"/>
      <c r="AOK38" s="56"/>
      <c r="AOL38" s="57"/>
      <c r="AOM38" s="57"/>
      <c r="AON38" s="56"/>
      <c r="AOO38" s="57"/>
      <c r="AOP38" s="58"/>
      <c r="AOQ38" s="56"/>
      <c r="AOR38" s="57"/>
      <c r="AOS38" s="57"/>
      <c r="AOT38" s="57"/>
      <c r="AOU38" s="56"/>
      <c r="AOV38" s="57"/>
      <c r="AOW38" s="57"/>
      <c r="AOX38" s="56"/>
      <c r="AOY38" s="57"/>
      <c r="AOZ38" s="58"/>
      <c r="APA38" s="56"/>
      <c r="APB38" s="57"/>
      <c r="APC38" s="57"/>
      <c r="APD38" s="57"/>
      <c r="APE38" s="56"/>
      <c r="APF38" s="57"/>
      <c r="APG38" s="57"/>
      <c r="APH38" s="57"/>
      <c r="API38" s="57"/>
      <c r="APJ38" s="57"/>
      <c r="APK38" s="56"/>
      <c r="APL38" s="57"/>
      <c r="APM38" s="57"/>
      <c r="APN38" s="56"/>
      <c r="APO38" s="57"/>
      <c r="APP38" s="58"/>
      <c r="APQ38" s="56"/>
      <c r="APR38" s="57"/>
      <c r="APS38" s="57"/>
      <c r="APT38" s="57"/>
      <c r="APU38" s="56"/>
      <c r="APV38" s="57"/>
      <c r="APW38" s="57"/>
      <c r="APX38" s="56"/>
      <c r="APY38" s="57"/>
      <c r="APZ38" s="58"/>
      <c r="AQA38" s="56"/>
      <c r="AQB38" s="57"/>
      <c r="AQC38" s="57"/>
      <c r="AQD38" s="57"/>
      <c r="AQE38" s="56"/>
      <c r="AQF38" s="57"/>
      <c r="AQG38" s="57"/>
      <c r="AQH38" s="57"/>
      <c r="AQI38" s="57"/>
      <c r="AQJ38" s="57"/>
      <c r="AQK38" s="56"/>
      <c r="AQL38" s="57"/>
      <c r="AQM38" s="57"/>
      <c r="AQN38" s="56"/>
      <c r="AQO38" s="57"/>
      <c r="AQP38" s="58"/>
      <c r="AQQ38" s="56"/>
      <c r="AQR38" s="57"/>
      <c r="AQS38" s="57"/>
      <c r="AQT38" s="57"/>
      <c r="AQU38" s="56"/>
      <c r="AQV38" s="57"/>
      <c r="AQW38" s="57"/>
      <c r="AQX38" s="56"/>
      <c r="AQY38" s="57"/>
      <c r="AQZ38" s="58"/>
      <c r="ARA38" s="56"/>
      <c r="ARB38" s="57"/>
      <c r="ARC38" s="57"/>
      <c r="ARD38" s="57"/>
      <c r="ARE38" s="56"/>
      <c r="ARF38" s="57"/>
      <c r="ARG38" s="57"/>
      <c r="ARH38" s="57"/>
      <c r="ARI38" s="57"/>
      <c r="ARJ38" s="57"/>
      <c r="ARK38" s="56"/>
      <c r="ARL38" s="57"/>
      <c r="ARM38" s="57"/>
      <c r="ARN38" s="56"/>
      <c r="ARO38" s="57"/>
      <c r="ARP38" s="58"/>
      <c r="ARQ38" s="56"/>
      <c r="ARR38" s="57"/>
      <c r="ARS38" s="57"/>
      <c r="ART38" s="57"/>
      <c r="ARU38" s="56"/>
      <c r="ARV38" s="57"/>
      <c r="ARW38" s="57"/>
      <c r="ARX38" s="56"/>
      <c r="ARY38" s="57"/>
      <c r="ARZ38" s="58"/>
      <c r="ASA38" s="56"/>
      <c r="ASB38" s="57"/>
      <c r="ASC38" s="57"/>
      <c r="ASD38" s="57"/>
      <c r="ASE38" s="56"/>
      <c r="ASF38" s="57"/>
      <c r="ASG38" s="57"/>
      <c r="ASH38" s="57"/>
      <c r="ASI38" s="57"/>
      <c r="ASJ38" s="57"/>
      <c r="ASK38" s="56"/>
      <c r="ASL38" s="57"/>
      <c r="ASM38" s="57"/>
      <c r="ASN38" s="56"/>
      <c r="ASO38" s="57"/>
      <c r="ASP38" s="58"/>
      <c r="ASQ38" s="56"/>
      <c r="ASR38" s="57"/>
      <c r="ASS38" s="57"/>
      <c r="AST38" s="57"/>
      <c r="ASU38" s="56"/>
      <c r="ASV38" s="57"/>
      <c r="ASW38" s="57"/>
      <c r="ASX38" s="56"/>
      <c r="ASY38" s="57"/>
      <c r="ASZ38" s="58"/>
      <c r="ATA38" s="56"/>
      <c r="ATB38" s="57"/>
      <c r="ATC38" s="57"/>
      <c r="ATD38" s="57"/>
      <c r="ATE38" s="56"/>
      <c r="ATF38" s="57"/>
      <c r="ATG38" s="57"/>
      <c r="ATH38" s="57"/>
      <c r="ATI38" s="57"/>
      <c r="ATJ38" s="57"/>
      <c r="ATK38" s="56"/>
      <c r="ATL38" s="57"/>
      <c r="ATM38" s="57"/>
      <c r="ATN38" s="56"/>
      <c r="ATO38" s="57"/>
      <c r="ATP38" s="58"/>
      <c r="ATQ38" s="56"/>
      <c r="ATR38" s="57"/>
      <c r="ATS38" s="57"/>
      <c r="ATT38" s="57"/>
      <c r="ATU38" s="56"/>
      <c r="ATV38" s="57"/>
      <c r="ATW38" s="57"/>
      <c r="ATX38" s="56"/>
      <c r="ATY38" s="57"/>
      <c r="ATZ38" s="58"/>
      <c r="AUA38" s="56"/>
      <c r="AUB38" s="57"/>
      <c r="AUC38" s="57"/>
      <c r="AUD38" s="57"/>
      <c r="AUE38" s="56"/>
      <c r="AUF38" s="57"/>
      <c r="AUG38" s="57"/>
      <c r="AUH38" s="57"/>
      <c r="AUI38" s="57"/>
      <c r="AUJ38" s="57"/>
      <c r="AUK38" s="56"/>
      <c r="AUL38" s="57"/>
      <c r="AUM38" s="57"/>
      <c r="AUN38" s="56"/>
      <c r="AUO38" s="57"/>
      <c r="AUP38" s="58"/>
      <c r="AUQ38" s="56"/>
      <c r="AUR38" s="57"/>
      <c r="AUS38" s="57"/>
      <c r="AUT38" s="57"/>
      <c r="AUU38" s="56"/>
      <c r="AUV38" s="57"/>
      <c r="AUW38" s="57"/>
      <c r="AUX38" s="56"/>
      <c r="AUY38" s="57"/>
      <c r="AUZ38" s="58"/>
      <c r="AVA38" s="56"/>
      <c r="AVB38" s="57"/>
      <c r="AVC38" s="57"/>
      <c r="AVD38" s="57"/>
      <c r="AVE38" s="56"/>
      <c r="AVF38" s="57"/>
      <c r="AVG38" s="57"/>
      <c r="AVH38" s="57"/>
      <c r="AVI38" s="57"/>
      <c r="AVJ38" s="57"/>
      <c r="AVK38" s="56"/>
      <c r="AVL38" s="57"/>
      <c r="AVM38" s="57"/>
      <c r="AVN38" s="56"/>
      <c r="AVO38" s="57"/>
      <c r="AVP38" s="58"/>
      <c r="AVQ38" s="56"/>
      <c r="AVR38" s="57"/>
      <c r="AVS38" s="57"/>
      <c r="AVT38" s="57"/>
      <c r="AVU38" s="56"/>
      <c r="AVV38" s="57"/>
      <c r="AVW38" s="57"/>
      <c r="AVX38" s="56"/>
      <c r="AVY38" s="57"/>
      <c r="AVZ38" s="58"/>
      <c r="AWA38" s="56"/>
      <c r="AWB38" s="57"/>
      <c r="AWC38" s="57"/>
      <c r="AWD38" s="57"/>
      <c r="AWE38" s="56"/>
      <c r="AWF38" s="57"/>
      <c r="AWG38" s="57"/>
      <c r="AWH38" s="57"/>
      <c r="AWI38" s="57"/>
      <c r="AWJ38" s="57"/>
      <c r="AWK38" s="56"/>
      <c r="AWL38" s="57"/>
      <c r="AWM38" s="57"/>
      <c r="AWN38" s="56"/>
      <c r="AWO38" s="57"/>
      <c r="AWP38" s="58"/>
      <c r="AWQ38" s="56"/>
      <c r="AWR38" s="57"/>
      <c r="AWS38" s="57"/>
      <c r="AWT38" s="57"/>
      <c r="AWU38" s="56"/>
      <c r="AWV38" s="57"/>
      <c r="AWW38" s="57"/>
      <c r="AWX38" s="56"/>
      <c r="AWY38" s="57"/>
      <c r="AWZ38" s="58"/>
      <c r="AXA38" s="56"/>
      <c r="AXB38" s="57"/>
      <c r="AXC38" s="57"/>
      <c r="AXD38" s="57"/>
      <c r="AXE38" s="56"/>
      <c r="AXF38" s="57"/>
      <c r="AXG38" s="57"/>
      <c r="AXH38" s="57"/>
      <c r="AXI38" s="57"/>
      <c r="AXJ38" s="57"/>
      <c r="AXK38" s="56"/>
      <c r="AXL38" s="57"/>
      <c r="AXM38" s="57"/>
      <c r="AXN38" s="56"/>
      <c r="AXO38" s="57"/>
      <c r="AXP38" s="58"/>
      <c r="AXQ38" s="56"/>
      <c r="AXR38" s="57"/>
      <c r="AXS38" s="57"/>
      <c r="AXT38" s="57"/>
      <c r="AXU38" s="56"/>
      <c r="AXV38" s="57"/>
      <c r="AXW38" s="57"/>
      <c r="AXX38" s="56"/>
      <c r="AXY38" s="57"/>
      <c r="AXZ38" s="58"/>
      <c r="AYA38" s="56"/>
      <c r="AYB38" s="57"/>
      <c r="AYC38" s="57"/>
      <c r="AYD38" s="57"/>
      <c r="AYE38" s="56"/>
      <c r="AYF38" s="57"/>
      <c r="AYG38" s="57"/>
      <c r="AYH38" s="57"/>
      <c r="AYI38" s="57"/>
      <c r="AYJ38" s="57"/>
      <c r="AYK38" s="56"/>
      <c r="AYL38" s="57"/>
      <c r="AYM38" s="57"/>
      <c r="AYN38" s="56"/>
      <c r="AYO38" s="57"/>
      <c r="AYP38" s="58"/>
      <c r="AYQ38" s="56"/>
      <c r="AYR38" s="57"/>
      <c r="AYS38" s="57"/>
      <c r="AYT38" s="57"/>
      <c r="AYU38" s="56"/>
      <c r="AYV38" s="57"/>
      <c r="AYW38" s="57"/>
      <c r="AYX38" s="56"/>
      <c r="AYY38" s="57"/>
      <c r="AYZ38" s="58"/>
      <c r="AZA38" s="56"/>
      <c r="AZB38" s="57"/>
      <c r="AZC38" s="57"/>
      <c r="AZD38" s="57"/>
      <c r="AZE38" s="56"/>
      <c r="AZF38" s="57"/>
      <c r="AZG38" s="57"/>
      <c r="AZH38" s="57"/>
      <c r="AZI38" s="57"/>
      <c r="AZJ38" s="57"/>
      <c r="AZK38" s="56"/>
      <c r="AZL38" s="57"/>
      <c r="AZM38" s="57"/>
      <c r="AZN38" s="56"/>
      <c r="AZO38" s="57"/>
      <c r="AZP38" s="58"/>
      <c r="AZQ38" s="56"/>
      <c r="AZR38" s="57"/>
      <c r="AZS38" s="57"/>
      <c r="AZT38" s="57"/>
      <c r="AZU38" s="56"/>
      <c r="AZV38" s="57"/>
      <c r="AZW38" s="57"/>
      <c r="AZX38" s="56"/>
      <c r="AZY38" s="57"/>
      <c r="AZZ38" s="58"/>
      <c r="BAA38" s="56"/>
      <c r="BAB38" s="57"/>
      <c r="BAC38" s="57"/>
      <c r="BAD38" s="57"/>
      <c r="BAE38" s="56"/>
      <c r="BAF38" s="57"/>
      <c r="BAG38" s="57"/>
      <c r="BAH38" s="57"/>
      <c r="BAI38" s="57"/>
      <c r="BAJ38" s="57"/>
      <c r="BAK38" s="56"/>
      <c r="BAL38" s="57"/>
      <c r="BAM38" s="57"/>
      <c r="BAN38" s="56"/>
      <c r="BAO38" s="57"/>
      <c r="BAP38" s="58"/>
      <c r="BAQ38" s="56"/>
      <c r="BAR38" s="57"/>
      <c r="BAS38" s="57"/>
      <c r="BAT38" s="57"/>
      <c r="BAU38" s="56"/>
      <c r="BAV38" s="57"/>
      <c r="BAW38" s="57"/>
      <c r="BAX38" s="56"/>
      <c r="BAY38" s="57"/>
      <c r="BAZ38" s="58"/>
      <c r="BBA38" s="56"/>
      <c r="BBB38" s="57"/>
      <c r="BBC38" s="57"/>
      <c r="BBD38" s="57"/>
      <c r="BBE38" s="56"/>
      <c r="BBF38" s="57"/>
      <c r="BBG38" s="57"/>
      <c r="BBH38" s="57"/>
      <c r="BBI38" s="57"/>
      <c r="BBJ38" s="57"/>
      <c r="BBK38" s="56"/>
      <c r="BBL38" s="57"/>
      <c r="BBM38" s="57"/>
      <c r="BBN38" s="56"/>
      <c r="BBO38" s="57"/>
      <c r="BBP38" s="58"/>
      <c r="BBQ38" s="56"/>
      <c r="BBR38" s="57"/>
      <c r="BBS38" s="57"/>
      <c r="BBT38" s="57"/>
      <c r="BBU38" s="56"/>
      <c r="BBV38" s="57"/>
      <c r="BBW38" s="57"/>
      <c r="BBX38" s="56"/>
      <c r="BBY38" s="57"/>
      <c r="BBZ38" s="58"/>
      <c r="BCA38" s="56"/>
      <c r="BCB38" s="57"/>
      <c r="BCC38" s="57"/>
      <c r="BCD38" s="57"/>
      <c r="BCE38" s="56"/>
      <c r="BCF38" s="57"/>
      <c r="BCG38" s="57"/>
      <c r="BCH38" s="57"/>
      <c r="BCI38" s="57"/>
      <c r="BCJ38" s="57"/>
      <c r="BCK38" s="56"/>
      <c r="BCL38" s="57"/>
      <c r="BCM38" s="57"/>
      <c r="BCN38" s="56"/>
      <c r="BCO38" s="57"/>
      <c r="BCP38" s="58"/>
      <c r="BCQ38" s="56"/>
      <c r="BCR38" s="57"/>
      <c r="BCS38" s="57"/>
      <c r="BCT38" s="57"/>
      <c r="BCU38" s="56"/>
      <c r="BCV38" s="57"/>
      <c r="BCW38" s="57"/>
      <c r="BCX38" s="56"/>
      <c r="BCY38" s="57"/>
      <c r="BCZ38" s="58"/>
      <c r="BDA38" s="56"/>
      <c r="BDB38" s="57"/>
      <c r="BDC38" s="57"/>
      <c r="BDD38" s="57"/>
      <c r="BDE38" s="56"/>
      <c r="BDF38" s="57"/>
      <c r="BDG38" s="57"/>
      <c r="BDH38" s="57"/>
      <c r="BDI38" s="57"/>
      <c r="BDJ38" s="57"/>
      <c r="BDK38" s="56"/>
      <c r="BDL38" s="57"/>
      <c r="BDM38" s="57"/>
      <c r="BDN38" s="56"/>
      <c r="BDO38" s="57"/>
      <c r="BDP38" s="58"/>
      <c r="BDQ38" s="56"/>
      <c r="BDR38" s="57"/>
      <c r="BDS38" s="57"/>
      <c r="BDT38" s="57"/>
      <c r="BDU38" s="56"/>
      <c r="BDV38" s="57"/>
      <c r="BDW38" s="57"/>
      <c r="BDX38" s="56"/>
      <c r="BDY38" s="57"/>
      <c r="BDZ38" s="58"/>
      <c r="BEA38" s="56"/>
      <c r="BEB38" s="57"/>
      <c r="BEC38" s="57"/>
      <c r="BED38" s="57"/>
      <c r="BEE38" s="56"/>
      <c r="BEF38" s="57"/>
      <c r="BEG38" s="57"/>
      <c r="BEH38" s="57"/>
      <c r="BEI38" s="57"/>
      <c r="BEJ38" s="57"/>
      <c r="BEK38" s="56"/>
      <c r="BEL38" s="57"/>
      <c r="BEM38" s="57"/>
      <c r="BEN38" s="56"/>
      <c r="BEO38" s="57"/>
      <c r="BEP38" s="58"/>
      <c r="BEQ38" s="56"/>
      <c r="BER38" s="57"/>
      <c r="BES38" s="57"/>
      <c r="BET38" s="57"/>
      <c r="BEU38" s="56"/>
      <c r="BEV38" s="57"/>
      <c r="BEW38" s="57"/>
      <c r="BEX38" s="56"/>
      <c r="BEY38" s="57"/>
      <c r="BEZ38" s="58"/>
      <c r="BFA38" s="56"/>
      <c r="BFB38" s="57"/>
      <c r="BFC38" s="57"/>
      <c r="BFD38" s="57"/>
      <c r="BFE38" s="56"/>
      <c r="BFF38" s="57"/>
      <c r="BFG38" s="57"/>
      <c r="BFH38" s="57"/>
      <c r="BFI38" s="57"/>
      <c r="BFJ38" s="57"/>
      <c r="BFK38" s="56"/>
      <c r="BFL38" s="57"/>
      <c r="BFM38" s="57"/>
      <c r="BFN38" s="56"/>
      <c r="BFO38" s="57"/>
      <c r="BFP38" s="58"/>
      <c r="BFQ38" s="56"/>
      <c r="BFR38" s="57"/>
      <c r="BFS38" s="57"/>
      <c r="BFT38" s="57"/>
      <c r="BFU38" s="56"/>
      <c r="BFV38" s="57"/>
      <c r="BFW38" s="57"/>
      <c r="BFX38" s="56"/>
      <c r="BFY38" s="57"/>
      <c r="BFZ38" s="58"/>
      <c r="BGA38" s="56"/>
      <c r="BGB38" s="57"/>
      <c r="BGC38" s="57"/>
      <c r="BGD38" s="57"/>
      <c r="BGE38" s="56"/>
      <c r="BGF38" s="57"/>
      <c r="BGG38" s="57"/>
      <c r="BGH38" s="57"/>
      <c r="BGI38" s="57"/>
      <c r="BGJ38" s="57"/>
      <c r="BGK38" s="56"/>
      <c r="BGL38" s="57"/>
      <c r="BGM38" s="57"/>
      <c r="BGN38" s="56"/>
      <c r="BGO38" s="57"/>
      <c r="BGP38" s="58"/>
      <c r="BGQ38" s="56"/>
      <c r="BGR38" s="57"/>
      <c r="BGS38" s="57"/>
      <c r="BGT38" s="57"/>
      <c r="BGU38" s="56"/>
      <c r="BGV38" s="57"/>
      <c r="BGW38" s="57"/>
      <c r="BGX38" s="56"/>
      <c r="BGY38" s="57"/>
      <c r="BGZ38" s="58"/>
      <c r="BHA38" s="56"/>
      <c r="BHB38" s="57"/>
      <c r="BHC38" s="57"/>
      <c r="BHD38" s="57"/>
      <c r="BHE38" s="56"/>
      <c r="BHF38" s="57"/>
      <c r="BHG38" s="57"/>
      <c r="BHH38" s="57"/>
      <c r="BHI38" s="57"/>
      <c r="BHJ38" s="57"/>
      <c r="BHK38" s="56"/>
      <c r="BHL38" s="57"/>
      <c r="BHM38" s="57"/>
      <c r="BHN38" s="56"/>
      <c r="BHO38" s="57"/>
      <c r="BHP38" s="58"/>
      <c r="BHQ38" s="56"/>
      <c r="BHR38" s="57"/>
      <c r="BHS38" s="57"/>
      <c r="BHT38" s="57"/>
      <c r="BHU38" s="56"/>
      <c r="BHV38" s="57"/>
      <c r="BHW38" s="57"/>
      <c r="BHX38" s="56"/>
      <c r="BHY38" s="57"/>
      <c r="BHZ38" s="58"/>
      <c r="BIA38" s="56"/>
      <c r="BIB38" s="57"/>
      <c r="BIC38" s="57"/>
      <c r="BID38" s="57"/>
      <c r="BIE38" s="56"/>
      <c r="BIF38" s="57"/>
      <c r="BIG38" s="57"/>
      <c r="BIH38" s="57"/>
      <c r="BII38" s="57"/>
      <c r="BIJ38" s="57"/>
      <c r="BIK38" s="56"/>
      <c r="BIL38" s="57"/>
      <c r="BIM38" s="57"/>
      <c r="BIN38" s="56"/>
      <c r="BIO38" s="57"/>
      <c r="BIP38" s="58"/>
      <c r="BIQ38" s="56"/>
      <c r="BIR38" s="57"/>
      <c r="BIS38" s="57"/>
      <c r="BIT38" s="57"/>
      <c r="BIU38" s="56"/>
      <c r="BIV38" s="57"/>
      <c r="BIW38" s="57"/>
      <c r="BIX38" s="56"/>
      <c r="BIY38" s="57"/>
      <c r="BIZ38" s="58"/>
      <c r="BJA38" s="56"/>
      <c r="BJB38" s="57"/>
      <c r="BJC38" s="57"/>
      <c r="BJD38" s="57"/>
      <c r="BJE38" s="56"/>
      <c r="BJF38" s="57"/>
      <c r="BJG38" s="57"/>
      <c r="BJH38" s="57"/>
      <c r="BJI38" s="57"/>
      <c r="BJJ38" s="57"/>
      <c r="BJK38" s="56"/>
      <c r="BJL38" s="57"/>
      <c r="BJM38" s="57"/>
      <c r="BJN38" s="56"/>
      <c r="BJO38" s="57"/>
      <c r="BJP38" s="58"/>
      <c r="BJQ38" s="56"/>
      <c r="BJR38" s="57"/>
      <c r="BJS38" s="57"/>
      <c r="BJT38" s="57"/>
      <c r="BJU38" s="56"/>
      <c r="BJV38" s="57"/>
      <c r="BJW38" s="57"/>
      <c r="BJX38" s="56"/>
      <c r="BJY38" s="57"/>
      <c r="BJZ38" s="58"/>
      <c r="BKA38" s="56"/>
      <c r="BKB38" s="57"/>
      <c r="BKC38" s="57"/>
      <c r="BKD38" s="57"/>
      <c r="BKE38" s="56"/>
      <c r="BKF38" s="57"/>
      <c r="BKG38" s="57"/>
      <c r="BKH38" s="57"/>
      <c r="BKI38" s="57"/>
      <c r="BKJ38" s="57"/>
      <c r="BKK38" s="56"/>
      <c r="BKL38" s="57"/>
      <c r="BKM38" s="57"/>
      <c r="BKN38" s="56"/>
      <c r="BKO38" s="57"/>
      <c r="BKP38" s="58"/>
      <c r="BKQ38" s="56"/>
      <c r="BKR38" s="57"/>
      <c r="BKS38" s="57"/>
      <c r="BKT38" s="57"/>
      <c r="BKU38" s="56"/>
      <c r="BKV38" s="57"/>
      <c r="BKW38" s="57"/>
      <c r="BKX38" s="56"/>
      <c r="BKY38" s="57"/>
      <c r="BKZ38" s="58"/>
      <c r="BLA38" s="56"/>
      <c r="BLB38" s="57"/>
      <c r="BLC38" s="57"/>
      <c r="BLD38" s="57"/>
      <c r="BLE38" s="56"/>
      <c r="BLF38" s="57"/>
      <c r="BLG38" s="57"/>
      <c r="BLH38" s="57"/>
      <c r="BLI38" s="57"/>
      <c r="BLJ38" s="57"/>
      <c r="BLK38" s="56"/>
      <c r="BLL38" s="57"/>
      <c r="BLM38" s="57"/>
      <c r="BLN38" s="56"/>
      <c r="BLO38" s="57"/>
      <c r="BLP38" s="58"/>
      <c r="BLQ38" s="56"/>
      <c r="BLR38" s="57"/>
      <c r="BLS38" s="57"/>
      <c r="BLT38" s="57"/>
      <c r="BLU38" s="56"/>
      <c r="BLV38" s="57"/>
      <c r="BLW38" s="57"/>
      <c r="BLX38" s="56"/>
      <c r="BLY38" s="57"/>
      <c r="BLZ38" s="58"/>
      <c r="BMA38" s="56"/>
      <c r="BMB38" s="57"/>
      <c r="BMC38" s="57"/>
      <c r="BMD38" s="57"/>
      <c r="BME38" s="56"/>
      <c r="BMF38" s="57"/>
      <c r="BMG38" s="57"/>
      <c r="BMH38" s="57"/>
      <c r="BMI38" s="57"/>
      <c r="BMJ38" s="57"/>
      <c r="BMK38" s="56"/>
      <c r="BML38" s="57"/>
      <c r="BMM38" s="57"/>
      <c r="BMN38" s="56"/>
      <c r="BMO38" s="57"/>
      <c r="BMP38" s="58"/>
      <c r="BMQ38" s="56"/>
      <c r="BMR38" s="57"/>
      <c r="BMS38" s="57"/>
      <c r="BMT38" s="57"/>
      <c r="BMU38" s="56"/>
      <c r="BMV38" s="57"/>
      <c r="BMW38" s="57"/>
      <c r="BMX38" s="56"/>
      <c r="BMY38" s="57"/>
      <c r="BMZ38" s="58"/>
      <c r="BNA38" s="56"/>
      <c r="BNB38" s="57"/>
      <c r="BNC38" s="57"/>
      <c r="BND38" s="57"/>
      <c r="BNE38" s="56"/>
      <c r="BNF38" s="57"/>
      <c r="BNG38" s="57"/>
      <c r="BNH38" s="57"/>
      <c r="BNI38" s="57"/>
      <c r="BNJ38" s="57"/>
      <c r="BNK38" s="56"/>
      <c r="BNL38" s="57"/>
      <c r="BNM38" s="57"/>
      <c r="BNN38" s="56"/>
      <c r="BNO38" s="57"/>
      <c r="BNP38" s="58"/>
      <c r="BNQ38" s="56"/>
      <c r="BNR38" s="57"/>
      <c r="BNS38" s="57"/>
      <c r="BNT38" s="57"/>
      <c r="BNU38" s="56"/>
      <c r="BNV38" s="57"/>
      <c r="BNW38" s="57"/>
      <c r="BNX38" s="56"/>
      <c r="BNY38" s="57"/>
      <c r="BNZ38" s="58"/>
      <c r="BOA38" s="56"/>
      <c r="BOB38" s="57"/>
      <c r="BOC38" s="57"/>
      <c r="BOD38" s="57"/>
      <c r="BOE38" s="56"/>
      <c r="BOF38" s="57"/>
      <c r="BOG38" s="57"/>
      <c r="BOH38" s="57"/>
      <c r="BOI38" s="57"/>
      <c r="BOJ38" s="57"/>
      <c r="BOK38" s="56"/>
      <c r="BOL38" s="57"/>
      <c r="BOM38" s="57"/>
      <c r="BON38" s="56"/>
      <c r="BOO38" s="57"/>
      <c r="BOP38" s="58"/>
      <c r="BOQ38" s="56"/>
      <c r="BOR38" s="57"/>
      <c r="BOS38" s="57"/>
      <c r="BOT38" s="57"/>
      <c r="BOU38" s="56"/>
      <c r="BOV38" s="57"/>
      <c r="BOW38" s="57"/>
      <c r="BOX38" s="56"/>
      <c r="BOY38" s="57"/>
      <c r="BOZ38" s="58"/>
      <c r="BPA38" s="56"/>
      <c r="BPB38" s="57"/>
      <c r="BPC38" s="57"/>
      <c r="BPD38" s="57"/>
      <c r="BPE38" s="56"/>
      <c r="BPF38" s="57"/>
      <c r="BPG38" s="57"/>
      <c r="BPH38" s="57"/>
      <c r="BPI38" s="57"/>
      <c r="BPJ38" s="57"/>
      <c r="BPK38" s="56"/>
      <c r="BPL38" s="57"/>
      <c r="BPM38" s="57"/>
      <c r="BPN38" s="56"/>
      <c r="BPO38" s="57"/>
      <c r="BPP38" s="58"/>
      <c r="BPQ38" s="56"/>
      <c r="BPR38" s="57"/>
      <c r="BPS38" s="57"/>
      <c r="BPT38" s="57"/>
      <c r="BPU38" s="56"/>
      <c r="BPV38" s="57"/>
      <c r="BPW38" s="57"/>
      <c r="BPX38" s="56"/>
      <c r="BPY38" s="57"/>
      <c r="BPZ38" s="58"/>
      <c r="BQA38" s="56"/>
      <c r="BQB38" s="57"/>
      <c r="BQC38" s="57"/>
      <c r="BQD38" s="57"/>
      <c r="BQE38" s="56"/>
      <c r="BQF38" s="57"/>
      <c r="BQG38" s="57"/>
      <c r="BQH38" s="57"/>
      <c r="BQI38" s="57"/>
      <c r="BQJ38" s="57"/>
      <c r="BQK38" s="56"/>
      <c r="BQL38" s="57"/>
      <c r="BQM38" s="57"/>
      <c r="BQN38" s="56"/>
      <c r="BQO38" s="57"/>
      <c r="BQP38" s="58"/>
      <c r="BQQ38" s="56"/>
      <c r="BQR38" s="57"/>
      <c r="BQS38" s="57"/>
      <c r="BQT38" s="57"/>
      <c r="BQU38" s="56"/>
      <c r="BQV38" s="57"/>
      <c r="BQW38" s="57"/>
      <c r="BQX38" s="56"/>
      <c r="BQY38" s="57"/>
      <c r="BQZ38" s="58"/>
      <c r="BRA38" s="56"/>
      <c r="BRB38" s="57"/>
      <c r="BRC38" s="57"/>
      <c r="BRD38" s="57"/>
      <c r="BRE38" s="56"/>
      <c r="BRF38" s="57"/>
      <c r="BRG38" s="57"/>
      <c r="BRH38" s="57"/>
      <c r="BRI38" s="57"/>
      <c r="BRJ38" s="57"/>
      <c r="BRK38" s="56"/>
      <c r="BRL38" s="57"/>
      <c r="BRM38" s="57"/>
      <c r="BRN38" s="56"/>
      <c r="BRO38" s="57"/>
      <c r="BRP38" s="58"/>
      <c r="BRQ38" s="56"/>
      <c r="BRR38" s="57"/>
      <c r="BRS38" s="57"/>
      <c r="BRT38" s="57"/>
      <c r="BRU38" s="56"/>
      <c r="BRV38" s="57"/>
      <c r="BRW38" s="57"/>
      <c r="BRX38" s="56"/>
      <c r="BRY38" s="57"/>
      <c r="BRZ38" s="58"/>
      <c r="BSA38" s="56"/>
      <c r="BSB38" s="57"/>
      <c r="BSC38" s="57"/>
      <c r="BSD38" s="57"/>
      <c r="BSE38" s="56"/>
      <c r="BSF38" s="57"/>
      <c r="BSG38" s="57"/>
      <c r="BSH38" s="57"/>
      <c r="BSI38" s="57"/>
      <c r="BSJ38" s="57"/>
      <c r="BSK38" s="56"/>
      <c r="BSL38" s="57"/>
      <c r="BSM38" s="57"/>
      <c r="BSN38" s="56"/>
      <c r="BSO38" s="57"/>
      <c r="BSP38" s="58"/>
      <c r="BSQ38" s="56"/>
      <c r="BSR38" s="57"/>
      <c r="BSS38" s="57"/>
      <c r="BST38" s="57"/>
      <c r="BSU38" s="56"/>
      <c r="BSV38" s="57"/>
      <c r="BSW38" s="57"/>
      <c r="BSX38" s="56"/>
      <c r="BSY38" s="57"/>
      <c r="BSZ38" s="58"/>
      <c r="BTA38" s="56"/>
      <c r="BTB38" s="57"/>
      <c r="BTC38" s="57"/>
      <c r="BTD38" s="57"/>
      <c r="BTE38" s="56"/>
      <c r="BTF38" s="57"/>
      <c r="BTG38" s="57"/>
      <c r="BTH38" s="57"/>
      <c r="BTI38" s="57"/>
      <c r="BTJ38" s="57"/>
      <c r="BTK38" s="56"/>
      <c r="BTL38" s="57"/>
      <c r="BTM38" s="57"/>
      <c r="BTN38" s="56"/>
      <c r="BTO38" s="57"/>
      <c r="BTP38" s="58"/>
      <c r="BTQ38" s="56"/>
      <c r="BTR38" s="57"/>
      <c r="BTS38" s="57"/>
      <c r="BTT38" s="57"/>
      <c r="BTU38" s="56"/>
      <c r="BTV38" s="57"/>
      <c r="BTW38" s="57"/>
      <c r="BTX38" s="56"/>
      <c r="BTY38" s="57"/>
      <c r="BTZ38" s="58"/>
      <c r="BUA38" s="56"/>
      <c r="BUB38" s="57"/>
      <c r="BUC38" s="57"/>
      <c r="BUD38" s="57"/>
      <c r="BUE38" s="56"/>
      <c r="BUF38" s="57"/>
      <c r="BUG38" s="57"/>
      <c r="BUH38" s="57"/>
      <c r="BUI38" s="57"/>
      <c r="BUJ38" s="57"/>
      <c r="BUK38" s="56"/>
      <c r="BUL38" s="57"/>
      <c r="BUM38" s="57"/>
      <c r="BUN38" s="56"/>
      <c r="BUO38" s="57"/>
      <c r="BUP38" s="58"/>
      <c r="BUQ38" s="56"/>
      <c r="BUR38" s="57"/>
      <c r="BUS38" s="57"/>
      <c r="BUT38" s="57"/>
      <c r="BUU38" s="56"/>
      <c r="BUV38" s="57"/>
      <c r="BUW38" s="57"/>
      <c r="BUX38" s="56"/>
      <c r="BUY38" s="57"/>
      <c r="BUZ38" s="58"/>
      <c r="BVA38" s="56"/>
      <c r="BVB38" s="57"/>
      <c r="BVC38" s="57"/>
      <c r="BVD38" s="57"/>
      <c r="BVE38" s="56"/>
      <c r="BVF38" s="57"/>
      <c r="BVG38" s="57"/>
      <c r="BVH38" s="57"/>
      <c r="BVI38" s="57"/>
      <c r="BVJ38" s="57"/>
      <c r="BVK38" s="56"/>
      <c r="BVL38" s="57"/>
      <c r="BVM38" s="57"/>
      <c r="BVN38" s="56"/>
      <c r="BVO38" s="57"/>
      <c r="BVP38" s="58"/>
      <c r="BVQ38" s="56"/>
      <c r="BVR38" s="57"/>
      <c r="BVS38" s="57"/>
      <c r="BVT38" s="57"/>
      <c r="BVU38" s="56"/>
      <c r="BVV38" s="57"/>
      <c r="BVW38" s="57"/>
      <c r="BVX38" s="56"/>
      <c r="BVY38" s="57"/>
      <c r="BVZ38" s="58"/>
      <c r="BWA38" s="56"/>
      <c r="BWB38" s="57"/>
      <c r="BWC38" s="57"/>
      <c r="BWD38" s="57"/>
      <c r="BWE38" s="56"/>
      <c r="BWF38" s="57"/>
      <c r="BWG38" s="57"/>
      <c r="BWH38" s="57"/>
      <c r="BWI38" s="57"/>
      <c r="BWJ38" s="57"/>
      <c r="BWK38" s="56"/>
      <c r="BWL38" s="57"/>
      <c r="BWM38" s="57"/>
      <c r="BWN38" s="56"/>
      <c r="BWO38" s="57"/>
      <c r="BWP38" s="58"/>
      <c r="BWQ38" s="56"/>
      <c r="BWR38" s="57"/>
      <c r="BWS38" s="57"/>
      <c r="BWT38" s="57"/>
      <c r="BWU38" s="56"/>
      <c r="BWV38" s="57"/>
      <c r="BWW38" s="57"/>
      <c r="BWX38" s="56"/>
      <c r="BWY38" s="57"/>
      <c r="BWZ38" s="58"/>
      <c r="BXA38" s="56"/>
      <c r="BXB38" s="57"/>
      <c r="BXC38" s="57"/>
      <c r="BXD38" s="57"/>
      <c r="BXE38" s="56"/>
      <c r="BXF38" s="57"/>
      <c r="BXG38" s="57"/>
      <c r="BXH38" s="57"/>
      <c r="BXI38" s="57"/>
      <c r="BXJ38" s="57"/>
      <c r="BXK38" s="56"/>
      <c r="BXL38" s="57"/>
      <c r="BXM38" s="57"/>
      <c r="BXN38" s="56"/>
      <c r="BXO38" s="57"/>
      <c r="BXP38" s="58"/>
      <c r="BXQ38" s="56"/>
      <c r="BXR38" s="57"/>
      <c r="BXS38" s="57"/>
      <c r="BXT38" s="57"/>
      <c r="BXU38" s="56"/>
      <c r="BXV38" s="57"/>
      <c r="BXW38" s="57"/>
      <c r="BXX38" s="56"/>
      <c r="BXY38" s="57"/>
      <c r="BXZ38" s="58"/>
      <c r="BYA38" s="56"/>
      <c r="BYB38" s="57"/>
      <c r="BYC38" s="57"/>
      <c r="BYD38" s="57"/>
      <c r="BYE38" s="56"/>
      <c r="BYF38" s="57"/>
      <c r="BYG38" s="57"/>
      <c r="BYH38" s="57"/>
      <c r="BYI38" s="57"/>
      <c r="BYJ38" s="57"/>
      <c r="BYK38" s="56"/>
      <c r="BYL38" s="57"/>
      <c r="BYM38" s="57"/>
      <c r="BYN38" s="56"/>
      <c r="BYO38" s="57"/>
      <c r="BYP38" s="58"/>
      <c r="BYQ38" s="56"/>
      <c r="BYR38" s="57"/>
      <c r="BYS38" s="57"/>
      <c r="BYT38" s="57"/>
      <c r="BYU38" s="56"/>
      <c r="BYV38" s="57"/>
      <c r="BYW38" s="57"/>
      <c r="BYX38" s="58"/>
      <c r="BYY38" s="57"/>
      <c r="BYZ38" s="56"/>
      <c r="BZA38" s="57"/>
      <c r="BZB38" s="56"/>
      <c r="BZC38" s="56"/>
      <c r="BZD38" s="56"/>
      <c r="BZE38" s="57"/>
      <c r="BZF38" s="57"/>
      <c r="BZG38" s="57"/>
      <c r="BZH38" s="57"/>
      <c r="BZI38" s="57"/>
      <c r="BZJ38" s="57"/>
      <c r="BZK38" s="57"/>
      <c r="BZL38" s="57"/>
      <c r="BZM38" s="57"/>
      <c r="BZN38" s="57"/>
      <c r="BZO38" s="57"/>
      <c r="BZP38" s="57"/>
      <c r="BZQ38" s="57"/>
      <c r="BZR38" s="57"/>
      <c r="BZS38" s="57"/>
      <c r="BZT38" s="57"/>
      <c r="BZU38" s="57"/>
      <c r="BZV38" s="57"/>
      <c r="BZW38" s="57"/>
      <c r="BZX38" s="57"/>
      <c r="BZY38" s="57"/>
      <c r="BZZ38" s="57"/>
      <c r="CAA38" s="57"/>
      <c r="CAB38" s="57"/>
      <c r="CAC38" s="57"/>
      <c r="CAD38" s="57"/>
      <c r="CAE38" s="57"/>
      <c r="CAF38" s="57"/>
      <c r="CAG38" s="57"/>
      <c r="CAH38" s="57"/>
      <c r="CAI38" s="57"/>
      <c r="CAJ38" s="57"/>
      <c r="CAK38" s="57"/>
      <c r="CAL38" s="57"/>
      <c r="CAM38" s="57"/>
      <c r="CAN38" s="57"/>
      <c r="CAO38" s="57"/>
      <c r="CAP38" s="58"/>
      <c r="CAQ38" s="56"/>
      <c r="CAR38" s="57"/>
      <c r="CAS38" s="57"/>
      <c r="CAT38" s="57"/>
      <c r="CAU38" s="57"/>
      <c r="CAV38" s="57"/>
      <c r="CAW38" s="56"/>
      <c r="CAX38" s="57"/>
      <c r="CAY38" s="57"/>
      <c r="CAZ38" s="56"/>
      <c r="CBA38" s="57"/>
      <c r="CBB38" s="58"/>
      <c r="CBC38" s="56"/>
      <c r="CBD38" s="57"/>
      <c r="CBE38" s="57"/>
      <c r="CBF38" s="57"/>
      <c r="CBG38" s="56"/>
      <c r="CBH38" s="57"/>
      <c r="CBI38" s="57"/>
      <c r="CBJ38" s="56"/>
      <c r="CBK38" s="57"/>
      <c r="CBL38" s="58"/>
      <c r="CBM38" s="56"/>
      <c r="CBN38" s="57"/>
      <c r="CBO38" s="57"/>
      <c r="CBP38" s="57"/>
      <c r="CBQ38" s="56"/>
      <c r="CBR38" s="57"/>
      <c r="CBS38" s="57"/>
      <c r="CBT38" s="56"/>
      <c r="CBU38" s="57"/>
      <c r="CBV38" s="58"/>
      <c r="CBW38" s="56"/>
      <c r="CBX38" s="57"/>
      <c r="CBY38" s="57"/>
      <c r="CBZ38" s="57"/>
      <c r="CCA38" s="56"/>
      <c r="CCB38" s="57"/>
      <c r="CCC38" s="57"/>
      <c r="CCD38" s="56"/>
      <c r="CCE38" s="57"/>
      <c r="CCF38" s="58"/>
      <c r="CCG38" s="56"/>
      <c r="CCH38" s="58"/>
      <c r="CCI38" s="57"/>
      <c r="CCJ38" s="56"/>
      <c r="CCK38" s="57"/>
      <c r="CCL38" s="56"/>
      <c r="CCM38" s="56"/>
      <c r="CCN38" s="56"/>
      <c r="CCO38" s="57"/>
      <c r="CCP38" s="57"/>
      <c r="CCQ38" s="57"/>
      <c r="CCR38" s="57"/>
      <c r="CCS38" s="57"/>
      <c r="CCT38" s="57"/>
      <c r="CCU38" s="57"/>
      <c r="CCV38" s="57"/>
      <c r="CCW38" s="57"/>
      <c r="CCX38" s="57"/>
      <c r="CCY38" s="57"/>
      <c r="CCZ38" s="57"/>
      <c r="CDA38" s="57"/>
      <c r="CDB38" s="57"/>
      <c r="CDC38" s="57"/>
      <c r="CDD38" s="57"/>
      <c r="CDE38" s="57"/>
      <c r="CDF38" s="57"/>
      <c r="CDG38" s="57"/>
      <c r="CDH38" s="57"/>
      <c r="CDI38" s="57"/>
      <c r="CDJ38" s="57"/>
      <c r="CDK38" s="57"/>
      <c r="CDL38" s="57"/>
      <c r="CDM38" s="57"/>
      <c r="CDN38" s="57"/>
      <c r="CDO38" s="57"/>
      <c r="CDP38" s="57"/>
      <c r="CDQ38" s="57"/>
      <c r="CDR38" s="57"/>
      <c r="CDS38" s="57"/>
      <c r="CDT38" s="57"/>
      <c r="CDU38" s="57"/>
      <c r="CDV38" s="57"/>
      <c r="CDW38" s="57"/>
      <c r="CDX38" s="57"/>
      <c r="CDY38" s="57"/>
      <c r="CDZ38" s="58"/>
      <c r="CEA38" s="56"/>
      <c r="CEB38" s="57"/>
      <c r="CEC38" s="57"/>
      <c r="CED38" s="57"/>
      <c r="CEE38" s="57"/>
      <c r="CEF38" s="57"/>
      <c r="CEG38" s="56"/>
      <c r="CEH38" s="57"/>
      <c r="CEI38" s="57"/>
      <c r="CEJ38" s="56"/>
      <c r="CEK38" s="57"/>
      <c r="CEL38" s="58"/>
      <c r="CEM38" s="56"/>
      <c r="CEN38" s="57"/>
      <c r="CEO38" s="57"/>
      <c r="CEP38" s="57"/>
      <c r="CEQ38" s="56"/>
      <c r="CER38" s="57"/>
      <c r="CES38" s="57"/>
      <c r="CET38" s="56"/>
      <c r="CEU38" s="57"/>
      <c r="CEV38" s="58"/>
      <c r="CEW38" s="56"/>
      <c r="CEX38" s="57"/>
      <c r="CEY38" s="57"/>
      <c r="CEZ38" s="57"/>
      <c r="CFA38" s="56"/>
      <c r="CFB38" s="57"/>
      <c r="CFC38" s="57"/>
      <c r="CFD38" s="56"/>
      <c r="CFE38" s="57"/>
      <c r="CFF38" s="58"/>
      <c r="CFG38" s="56"/>
      <c r="CFH38" s="57"/>
      <c r="CFI38" s="57"/>
      <c r="CFJ38" s="57"/>
      <c r="CFK38" s="56"/>
      <c r="CFL38" s="57"/>
      <c r="CFM38" s="57"/>
      <c r="CFN38" s="56"/>
      <c r="CFO38" s="57"/>
      <c r="CFP38" s="58"/>
      <c r="CFQ38" s="56"/>
      <c r="CFR38" s="58"/>
      <c r="CFS38" s="57"/>
      <c r="CFT38" s="56"/>
      <c r="CFU38" s="57"/>
      <c r="CFV38" s="56"/>
      <c r="CFW38" s="56"/>
      <c r="CFX38" s="56"/>
      <c r="CFY38" s="57"/>
      <c r="CFZ38" s="57"/>
      <c r="CGA38" s="57"/>
      <c r="CGB38" s="57"/>
      <c r="CGC38" s="57"/>
      <c r="CGD38" s="57"/>
      <c r="CGE38" s="57"/>
      <c r="CGF38" s="57"/>
      <c r="CGG38" s="57"/>
      <c r="CGH38" s="57"/>
      <c r="CGI38" s="57"/>
      <c r="CGJ38" s="57"/>
      <c r="CGK38" s="57"/>
      <c r="CGL38" s="57"/>
      <c r="CGM38" s="57"/>
      <c r="CGN38" s="57"/>
      <c r="CGO38" s="57"/>
      <c r="CGP38" s="57"/>
      <c r="CGQ38" s="57"/>
      <c r="CGR38" s="57"/>
      <c r="CGS38" s="57"/>
      <c r="CGT38" s="57"/>
      <c r="CGU38" s="57"/>
      <c r="CGV38" s="57"/>
      <c r="CGW38" s="57"/>
      <c r="CGX38" s="57"/>
      <c r="CGY38" s="57"/>
      <c r="CGZ38" s="57"/>
      <c r="CHA38" s="57"/>
      <c r="CHB38" s="57"/>
      <c r="CHC38" s="57"/>
      <c r="CHD38" s="57"/>
      <c r="CHE38" s="57"/>
      <c r="CHF38" s="57"/>
      <c r="CHG38" s="57"/>
      <c r="CHH38" s="57"/>
      <c r="CHI38" s="57"/>
      <c r="CHJ38" s="58"/>
      <c r="CHK38" s="56"/>
      <c r="CHL38" s="57"/>
      <c r="CHM38" s="57"/>
      <c r="CHN38" s="57"/>
      <c r="CHO38" s="57"/>
      <c r="CHP38" s="57"/>
      <c r="CHQ38" s="56"/>
      <c r="CHR38" s="57"/>
      <c r="CHS38" s="57"/>
      <c r="CHT38" s="56"/>
      <c r="CHU38" s="57"/>
      <c r="CHV38" s="58"/>
      <c r="CHW38" s="56"/>
      <c r="CHX38" s="57"/>
      <c r="CHY38" s="57"/>
      <c r="CHZ38" s="57"/>
      <c r="CIA38" s="56"/>
      <c r="CIB38" s="57"/>
      <c r="CIC38" s="57"/>
      <c r="CID38" s="56"/>
      <c r="CIE38" s="57"/>
      <c r="CIF38" s="58"/>
      <c r="CIG38" s="56"/>
      <c r="CIH38" s="57"/>
      <c r="CII38" s="57"/>
      <c r="CIJ38" s="57"/>
      <c r="CIK38" s="56"/>
      <c r="CIL38" s="57"/>
      <c r="CIM38" s="57"/>
      <c r="CIN38" s="56"/>
      <c r="CIO38" s="57"/>
      <c r="CIP38" s="58"/>
      <c r="CIQ38" s="56"/>
      <c r="CIR38" s="57"/>
      <c r="CIS38" s="57"/>
      <c r="CIT38" s="57"/>
      <c r="CIU38" s="56"/>
      <c r="CIV38" s="57"/>
      <c r="CIW38" s="57"/>
      <c r="CIX38" s="56"/>
      <c r="CIY38" s="57"/>
      <c r="CIZ38" s="58"/>
      <c r="CJA38" s="56"/>
      <c r="CJB38" s="58"/>
      <c r="CJC38" s="57"/>
      <c r="CJD38" s="56"/>
      <c r="CJE38" s="57"/>
      <c r="CJF38" s="56"/>
      <c r="CJG38" s="56"/>
      <c r="CJH38" s="56"/>
      <c r="CJI38" s="57"/>
      <c r="CJJ38" s="57"/>
      <c r="CJK38" s="57"/>
      <c r="CJL38" s="57"/>
      <c r="CJM38" s="57"/>
      <c r="CJN38" s="57"/>
      <c r="CJO38" s="57"/>
      <c r="CJP38" s="57"/>
      <c r="CJQ38" s="57"/>
      <c r="CJR38" s="57"/>
      <c r="CJS38" s="57"/>
      <c r="CJT38" s="57"/>
      <c r="CJU38" s="57"/>
      <c r="CJV38" s="57"/>
      <c r="CJW38" s="57"/>
      <c r="CJX38" s="57"/>
      <c r="CJY38" s="57"/>
      <c r="CJZ38" s="57"/>
      <c r="CKA38" s="57"/>
      <c r="CKB38" s="57"/>
      <c r="CKC38" s="57"/>
      <c r="CKD38" s="57"/>
      <c r="CKE38" s="57"/>
      <c r="CKF38" s="57"/>
      <c r="CKG38" s="57"/>
      <c r="CKH38" s="57"/>
      <c r="CKI38" s="57"/>
      <c r="CKJ38" s="57"/>
      <c r="CKK38" s="57"/>
      <c r="CKL38" s="57"/>
      <c r="CKM38" s="57"/>
      <c r="CKN38" s="57"/>
      <c r="CKO38" s="57"/>
      <c r="CKP38" s="57"/>
      <c r="CKQ38" s="57"/>
      <c r="CKR38" s="57"/>
      <c r="CKS38" s="57"/>
      <c r="CKT38" s="58"/>
      <c r="CKU38" s="56"/>
      <c r="CKV38" s="57"/>
      <c r="CKW38" s="57"/>
      <c r="CKX38" s="57"/>
      <c r="CKY38" s="57"/>
      <c r="CKZ38" s="57"/>
      <c r="CLA38" s="56"/>
      <c r="CLB38" s="57"/>
      <c r="CLC38" s="57"/>
      <c r="CLD38" s="56"/>
      <c r="CLE38" s="57"/>
      <c r="CLF38" s="58"/>
      <c r="CLG38" s="56"/>
      <c r="CLH38" s="57"/>
      <c r="CLI38" s="57"/>
      <c r="CLJ38" s="57"/>
      <c r="CLK38" s="56"/>
      <c r="CLL38" s="57"/>
      <c r="CLM38" s="57"/>
      <c r="CLN38" s="56"/>
      <c r="CLO38" s="57"/>
      <c r="CLP38" s="58"/>
      <c r="CLQ38" s="56"/>
      <c r="CLR38" s="57"/>
      <c r="CLS38" s="57"/>
      <c r="CLT38" s="57"/>
      <c r="CLU38" s="56"/>
      <c r="CLV38" s="57"/>
      <c r="CLW38" s="57"/>
      <c r="CLX38" s="56"/>
      <c r="CLY38" s="57"/>
      <c r="CLZ38" s="58"/>
      <c r="CMA38" s="56"/>
      <c r="CMB38" s="57"/>
      <c r="CMC38" s="57"/>
      <c r="CMD38" s="57"/>
      <c r="CME38" s="56"/>
      <c r="CMF38" s="57"/>
      <c r="CMG38" s="57"/>
      <c r="CMH38" s="56"/>
      <c r="CMI38" s="57"/>
      <c r="CMJ38" s="58"/>
      <c r="CMK38" s="56"/>
      <c r="CML38" s="58"/>
      <c r="CMM38" s="57"/>
      <c r="CMN38" s="56"/>
      <c r="CMO38" s="57"/>
      <c r="CMP38" s="56"/>
      <c r="CMQ38" s="56"/>
      <c r="CMR38" s="56"/>
      <c r="CMS38" s="57"/>
      <c r="CMT38" s="57"/>
      <c r="CMU38" s="57"/>
      <c r="CMV38" s="57"/>
      <c r="CMW38" s="57"/>
      <c r="CMX38" s="57"/>
      <c r="CMY38" s="57"/>
      <c r="CMZ38" s="57"/>
      <c r="CNA38" s="57"/>
      <c r="CNB38" s="57"/>
      <c r="CNC38" s="57"/>
      <c r="CND38" s="57"/>
      <c r="CNE38" s="57"/>
      <c r="CNF38" s="57"/>
      <c r="CNG38" s="57"/>
      <c r="CNH38" s="57"/>
      <c r="CNI38" s="57"/>
      <c r="CNJ38" s="57"/>
      <c r="CNK38" s="57"/>
      <c r="CNL38" s="57"/>
      <c r="CNM38" s="57"/>
      <c r="CNN38" s="57"/>
      <c r="CNO38" s="57"/>
      <c r="CNP38" s="57"/>
      <c r="CNQ38" s="57"/>
      <c r="CNR38" s="57"/>
      <c r="CNS38" s="57"/>
      <c r="CNT38" s="57"/>
      <c r="CNU38" s="57"/>
      <c r="CNV38" s="57"/>
      <c r="CNW38" s="57"/>
      <c r="CNX38" s="57"/>
      <c r="CNY38" s="57"/>
      <c r="CNZ38" s="57"/>
      <c r="COA38" s="57"/>
      <c r="COB38" s="57"/>
      <c r="COC38" s="57"/>
      <c r="COD38" s="58"/>
      <c r="COE38" s="56"/>
      <c r="COF38" s="57"/>
      <c r="COG38" s="57"/>
      <c r="COH38" s="57"/>
      <c r="COI38" s="57"/>
      <c r="COJ38" s="57"/>
      <c r="COK38" s="56"/>
      <c r="COL38" s="57"/>
      <c r="COM38" s="57"/>
      <c r="CON38" s="56"/>
      <c r="COO38" s="57"/>
      <c r="COP38" s="58"/>
      <c r="COQ38" s="56"/>
      <c r="COR38" s="57"/>
      <c r="COS38" s="57"/>
      <c r="COT38" s="57"/>
      <c r="COU38" s="56"/>
      <c r="COV38" s="57"/>
      <c r="COW38" s="57"/>
      <c r="COX38" s="56"/>
      <c r="COY38" s="57"/>
      <c r="COZ38" s="58"/>
      <c r="CPA38" s="56"/>
      <c r="CPB38" s="57"/>
      <c r="CPC38" s="57"/>
      <c r="CPD38" s="57"/>
      <c r="CPE38" s="56"/>
      <c r="CPF38" s="57"/>
      <c r="CPG38" s="57"/>
      <c r="CPH38" s="56"/>
      <c r="CPI38" s="57"/>
      <c r="CPJ38" s="58"/>
      <c r="CPK38" s="56"/>
      <c r="CPL38" s="57"/>
      <c r="CPM38" s="57"/>
      <c r="CPN38" s="57"/>
      <c r="CPO38" s="56"/>
      <c r="CPP38" s="57"/>
      <c r="CPQ38" s="57"/>
      <c r="CPR38" s="56"/>
      <c r="CPS38" s="57"/>
      <c r="CPT38" s="58"/>
      <c r="CPU38" s="56"/>
      <c r="CPV38" s="58"/>
      <c r="CPW38" s="57"/>
      <c r="CPX38" s="56"/>
      <c r="CPY38" s="57"/>
      <c r="CPZ38" s="56"/>
      <c r="CQA38" s="56"/>
      <c r="CQB38" s="56"/>
      <c r="CQC38" s="57"/>
      <c r="CQD38" s="57"/>
      <c r="CQE38" s="57"/>
      <c r="CQF38" s="57"/>
      <c r="CQG38" s="57"/>
      <c r="CQH38" s="57"/>
      <c r="CQI38" s="57"/>
      <c r="CQJ38" s="57"/>
      <c r="CQK38" s="57"/>
      <c r="CQL38" s="57"/>
      <c r="CQM38" s="57"/>
      <c r="CQN38" s="57"/>
      <c r="CQO38" s="57"/>
      <c r="CQP38" s="57"/>
      <c r="CQQ38" s="57"/>
      <c r="CQR38" s="57"/>
      <c r="CQS38" s="57"/>
      <c r="CQT38" s="57"/>
      <c r="CQU38" s="57"/>
      <c r="CQV38" s="57"/>
      <c r="CQW38" s="57"/>
      <c r="CQX38" s="57"/>
      <c r="CQY38" s="57"/>
      <c r="CQZ38" s="57"/>
      <c r="CRA38" s="57"/>
      <c r="CRB38" s="57"/>
      <c r="CRC38" s="57"/>
      <c r="CRD38" s="57"/>
      <c r="CRE38" s="57"/>
      <c r="CRF38" s="57"/>
      <c r="CRG38" s="57"/>
      <c r="CRH38" s="57"/>
      <c r="CRI38" s="57"/>
      <c r="CRJ38" s="57"/>
      <c r="CRK38" s="57"/>
      <c r="CRL38" s="57"/>
      <c r="CRM38" s="57"/>
      <c r="CRN38" s="58"/>
      <c r="CRO38" s="56"/>
      <c r="CRP38" s="57"/>
      <c r="CRQ38" s="57"/>
      <c r="CRR38" s="57"/>
      <c r="CRS38" s="57"/>
      <c r="CRT38" s="57"/>
      <c r="CRU38" s="56"/>
      <c r="CRV38" s="57"/>
      <c r="CRW38" s="57"/>
      <c r="CRX38" s="56"/>
      <c r="CRY38" s="57"/>
      <c r="CRZ38" s="58"/>
      <c r="CSA38" s="56"/>
      <c r="CSB38" s="57"/>
      <c r="CSC38" s="57"/>
      <c r="CSD38" s="57"/>
      <c r="CSE38" s="56"/>
      <c r="CSF38" s="57"/>
      <c r="CSG38" s="57"/>
      <c r="CSH38" s="56"/>
      <c r="CSI38" s="57"/>
      <c r="CSJ38" s="58"/>
      <c r="CSK38" s="56"/>
      <c r="CSL38" s="57"/>
      <c r="CSM38" s="57"/>
      <c r="CSN38" s="57"/>
      <c r="CSO38" s="56"/>
      <c r="CSP38" s="57"/>
      <c r="CSQ38" s="57"/>
      <c r="CSR38" s="56"/>
      <c r="CSS38" s="57"/>
      <c r="CST38" s="58"/>
      <c r="CSU38" s="56"/>
      <c r="CSV38" s="57"/>
      <c r="CSW38" s="57"/>
      <c r="CSX38" s="57"/>
      <c r="CSY38" s="56"/>
      <c r="CSZ38" s="57"/>
      <c r="CTA38" s="57"/>
      <c r="CTB38" s="56"/>
      <c r="CTC38" s="57"/>
      <c r="CTD38" s="58"/>
      <c r="CTE38" s="56"/>
      <c r="CTF38" s="58"/>
      <c r="CTG38" s="57"/>
      <c r="CTH38" s="56"/>
      <c r="CTI38" s="57"/>
      <c r="CTJ38" s="56"/>
      <c r="CTK38" s="56"/>
      <c r="CTL38" s="56"/>
      <c r="CTM38" s="57"/>
      <c r="CTN38" s="57"/>
      <c r="CTO38" s="57"/>
      <c r="CTP38" s="57"/>
      <c r="CTQ38" s="57"/>
      <c r="CTR38" s="57"/>
      <c r="CTS38" s="57"/>
      <c r="CTT38" s="57"/>
      <c r="CTU38" s="57"/>
      <c r="CTV38" s="57"/>
      <c r="CTW38" s="57"/>
      <c r="CTX38" s="57"/>
      <c r="CTY38" s="57"/>
      <c r="CTZ38" s="57"/>
      <c r="CUA38" s="57"/>
      <c r="CUB38" s="57"/>
      <c r="CUC38" s="57"/>
      <c r="CUD38" s="57"/>
      <c r="CUE38" s="57"/>
      <c r="CUF38" s="57"/>
      <c r="CUG38" s="57"/>
      <c r="CUH38" s="57"/>
      <c r="CUI38" s="57"/>
      <c r="CUJ38" s="57"/>
      <c r="CUK38" s="57"/>
      <c r="CUL38" s="57"/>
      <c r="CUM38" s="57"/>
      <c r="CUN38" s="57"/>
      <c r="CUO38" s="57"/>
      <c r="CUP38" s="57"/>
      <c r="CUQ38" s="57"/>
      <c r="CUR38" s="57"/>
      <c r="CUS38" s="57"/>
      <c r="CUT38" s="57"/>
      <c r="CUU38" s="57"/>
      <c r="CUV38" s="57"/>
      <c r="CUW38" s="57"/>
      <c r="CUX38" s="58"/>
      <c r="CUY38" s="56"/>
      <c r="CUZ38" s="57"/>
      <c r="CVA38" s="57"/>
      <c r="CVB38" s="57"/>
      <c r="CVC38" s="57"/>
      <c r="CVD38" s="57"/>
      <c r="CVE38" s="56"/>
      <c r="CVF38" s="57"/>
      <c r="CVG38" s="57"/>
      <c r="CVH38" s="56"/>
      <c r="CVI38" s="57"/>
      <c r="CVJ38" s="58"/>
      <c r="CVK38" s="56"/>
      <c r="CVL38" s="57"/>
      <c r="CVM38" s="57"/>
      <c r="CVN38" s="57"/>
      <c r="CVO38" s="56"/>
      <c r="CVP38" s="57"/>
      <c r="CVQ38" s="57"/>
      <c r="CVR38" s="56"/>
      <c r="CVS38" s="57"/>
      <c r="CVT38" s="58"/>
      <c r="CVU38" s="56"/>
      <c r="CVV38" s="57"/>
      <c r="CVW38" s="57"/>
      <c r="CVX38" s="57"/>
      <c r="CVY38" s="56"/>
      <c r="CVZ38" s="57"/>
      <c r="CWA38" s="57"/>
      <c r="CWB38" s="56"/>
      <c r="CWC38" s="57"/>
      <c r="CWD38" s="58"/>
      <c r="CWE38" s="56"/>
      <c r="CWF38" s="57"/>
      <c r="CWG38" s="57"/>
      <c r="CWH38" s="57"/>
      <c r="CWI38" s="56"/>
      <c r="CWJ38" s="57"/>
      <c r="CWK38" s="57"/>
      <c r="CWL38" s="56"/>
      <c r="CWM38" s="57"/>
      <c r="CWN38" s="58"/>
      <c r="CWO38" s="56"/>
      <c r="CWP38" s="58"/>
      <c r="CWQ38" s="57"/>
      <c r="CWR38" s="56"/>
      <c r="CWS38" s="57"/>
      <c r="CWT38" s="56"/>
      <c r="CWU38" s="56"/>
      <c r="CWV38" s="56"/>
      <c r="CWW38" s="57"/>
      <c r="CWX38" s="57"/>
      <c r="CWY38" s="57"/>
      <c r="CWZ38" s="57"/>
      <c r="CXA38" s="57"/>
      <c r="CXB38" s="57"/>
      <c r="CXC38" s="57"/>
      <c r="CXD38" s="57"/>
      <c r="CXE38" s="57"/>
      <c r="CXF38" s="57"/>
      <c r="CXG38" s="57"/>
      <c r="CXH38" s="57"/>
      <c r="CXI38" s="57"/>
      <c r="CXJ38" s="57"/>
      <c r="CXK38" s="57"/>
      <c r="CXL38" s="57"/>
      <c r="CXM38" s="57"/>
      <c r="CXN38" s="57"/>
      <c r="CXO38" s="57"/>
      <c r="CXP38" s="57"/>
      <c r="CXQ38" s="57"/>
      <c r="CXR38" s="57"/>
      <c r="CXS38" s="57"/>
      <c r="CXT38" s="57"/>
      <c r="CXU38" s="57"/>
      <c r="CXV38" s="57"/>
      <c r="CXW38" s="57"/>
      <c r="CXX38" s="57"/>
      <c r="CXY38" s="57"/>
      <c r="CXZ38" s="57"/>
      <c r="CYA38" s="57"/>
      <c r="CYB38" s="57"/>
      <c r="CYC38" s="57"/>
      <c r="CYD38" s="57"/>
      <c r="CYE38" s="57"/>
      <c r="CYF38" s="57"/>
      <c r="CYG38" s="57"/>
      <c r="CYH38" s="58"/>
      <c r="CYI38" s="56"/>
      <c r="CYJ38" s="57"/>
      <c r="CYK38" s="57"/>
      <c r="CYL38" s="57"/>
      <c r="CYM38" s="57"/>
      <c r="CYN38" s="57"/>
      <c r="CYO38" s="56"/>
      <c r="CYP38" s="57"/>
      <c r="CYQ38" s="57"/>
      <c r="CYR38" s="56"/>
      <c r="CYS38" s="57"/>
      <c r="CYT38" s="58"/>
      <c r="CYU38" s="56"/>
      <c r="CYV38" s="57"/>
      <c r="CYW38" s="57"/>
      <c r="CYX38" s="57"/>
      <c r="CYY38" s="56"/>
      <c r="CYZ38" s="57"/>
      <c r="CZA38" s="57"/>
      <c r="CZB38" s="56"/>
      <c r="CZC38" s="57"/>
      <c r="CZD38" s="58"/>
      <c r="CZE38" s="56"/>
      <c r="CZF38" s="57"/>
      <c r="CZG38" s="57"/>
      <c r="CZH38" s="57"/>
      <c r="CZI38" s="56"/>
      <c r="CZJ38" s="57"/>
      <c r="CZK38" s="57"/>
      <c r="CZL38" s="56"/>
      <c r="CZM38" s="57"/>
      <c r="CZN38" s="58"/>
      <c r="CZO38" s="56"/>
      <c r="CZP38" s="57"/>
      <c r="CZQ38" s="57"/>
      <c r="CZR38" s="57"/>
      <c r="CZS38" s="56"/>
      <c r="CZT38" s="57"/>
      <c r="CZU38" s="57"/>
      <c r="CZV38" s="56"/>
      <c r="CZW38" s="57"/>
      <c r="CZX38" s="58"/>
      <c r="CZY38" s="56"/>
      <c r="CZZ38" s="58"/>
      <c r="DAA38" s="57"/>
      <c r="DAB38" s="56"/>
      <c r="DAC38" s="57"/>
      <c r="DAD38" s="56"/>
      <c r="DAE38" s="56"/>
      <c r="DAF38" s="56"/>
      <c r="DAG38" s="57"/>
      <c r="DAH38" s="57"/>
      <c r="DAI38" s="57"/>
      <c r="DAJ38" s="57"/>
      <c r="DAK38" s="57"/>
      <c r="DAL38" s="57"/>
      <c r="DAM38" s="57"/>
      <c r="DAN38" s="57"/>
      <c r="DAO38" s="57"/>
      <c r="DAP38" s="57"/>
      <c r="DAQ38" s="57"/>
      <c r="DAR38" s="57"/>
      <c r="DAS38" s="57"/>
      <c r="DAT38" s="57"/>
      <c r="DAU38" s="57"/>
      <c r="DAV38" s="57"/>
      <c r="DAW38" s="57"/>
      <c r="DAX38" s="57"/>
      <c r="DAY38" s="57"/>
      <c r="DAZ38" s="57"/>
      <c r="DBA38" s="57"/>
      <c r="DBB38" s="57"/>
      <c r="DBC38" s="57"/>
      <c r="DBD38" s="57"/>
      <c r="DBE38" s="57"/>
      <c r="DBF38" s="57"/>
      <c r="DBG38" s="57"/>
      <c r="DBH38" s="57"/>
      <c r="DBI38" s="57"/>
      <c r="DBJ38" s="57"/>
      <c r="DBK38" s="57"/>
      <c r="DBL38" s="57"/>
      <c r="DBM38" s="57"/>
      <c r="DBN38" s="57"/>
      <c r="DBO38" s="57"/>
      <c r="DBP38" s="57"/>
      <c r="DBQ38" s="57"/>
      <c r="DBR38" s="58"/>
      <c r="DBS38" s="56"/>
      <c r="DBT38" s="57"/>
      <c r="DBU38" s="57"/>
      <c r="DBV38" s="57"/>
      <c r="DBW38" s="57"/>
      <c r="DBX38" s="57"/>
      <c r="DBY38" s="56"/>
      <c r="DBZ38" s="57"/>
      <c r="DCA38" s="57"/>
      <c r="DCB38" s="56"/>
      <c r="DCC38" s="57"/>
      <c r="DCD38" s="58"/>
      <c r="DCE38" s="56"/>
      <c r="DCF38" s="57"/>
      <c r="DCG38" s="57"/>
      <c r="DCH38" s="57"/>
      <c r="DCI38" s="56"/>
      <c r="DCJ38" s="57"/>
      <c r="DCK38" s="57"/>
      <c r="DCL38" s="56"/>
      <c r="DCM38" s="57"/>
      <c r="DCN38" s="58"/>
      <c r="DCO38" s="56"/>
      <c r="DCP38" s="57"/>
      <c r="DCQ38" s="57"/>
      <c r="DCR38" s="57"/>
      <c r="DCS38" s="56"/>
      <c r="DCT38" s="57"/>
      <c r="DCU38" s="57"/>
      <c r="DCV38" s="56"/>
      <c r="DCW38" s="57"/>
      <c r="DCX38" s="58"/>
      <c r="DCY38" s="56"/>
      <c r="DCZ38" s="57"/>
      <c r="DDA38" s="57"/>
      <c r="DDB38" s="57"/>
      <c r="DDC38" s="56"/>
      <c r="DDD38" s="57"/>
      <c r="DDE38" s="57"/>
      <c r="DDF38" s="56"/>
      <c r="DDG38" s="57"/>
      <c r="DDH38" s="58"/>
      <c r="DDI38" s="56"/>
      <c r="DDJ38" s="58"/>
      <c r="DDK38" s="57"/>
      <c r="DDL38" s="56"/>
      <c r="DDM38" s="57"/>
      <c r="DDN38" s="56"/>
      <c r="DDO38" s="56"/>
      <c r="DDP38" s="56"/>
      <c r="DDQ38" s="57"/>
      <c r="DDR38" s="57"/>
      <c r="DDS38" s="57"/>
      <c r="DDT38" s="57"/>
      <c r="DDU38" s="57"/>
      <c r="DDV38" s="57"/>
      <c r="DDW38" s="57"/>
      <c r="DDX38" s="57"/>
      <c r="DDY38" s="57"/>
      <c r="DDZ38" s="57"/>
      <c r="DEA38" s="57"/>
      <c r="DEB38" s="57"/>
      <c r="DEC38" s="57"/>
      <c r="DED38" s="57"/>
      <c r="DEE38" s="57"/>
      <c r="DEF38" s="57"/>
      <c r="DEG38" s="57"/>
      <c r="DEH38" s="57"/>
      <c r="DEI38" s="57"/>
      <c r="DEJ38" s="57"/>
      <c r="DEK38" s="57"/>
      <c r="DEL38" s="57"/>
      <c r="DEM38" s="57"/>
      <c r="DEN38" s="57"/>
      <c r="DEO38" s="57"/>
      <c r="DEP38" s="57"/>
      <c r="DEQ38" s="57"/>
      <c r="DER38" s="57"/>
      <c r="DES38" s="57"/>
      <c r="DET38" s="57"/>
      <c r="DEU38" s="57"/>
      <c r="DEV38" s="57"/>
      <c r="DEW38" s="57"/>
      <c r="DEX38" s="57"/>
      <c r="DEY38" s="57"/>
      <c r="DEZ38" s="57"/>
      <c r="DFA38" s="57"/>
      <c r="DFB38" s="58"/>
      <c r="DFC38" s="56"/>
      <c r="DFD38" s="57"/>
      <c r="DFE38" s="57"/>
      <c r="DFF38" s="57"/>
      <c r="DFG38" s="57"/>
      <c r="DFH38" s="57"/>
      <c r="DFI38" s="56"/>
      <c r="DFJ38" s="57"/>
      <c r="DFK38" s="57"/>
      <c r="DFL38" s="56"/>
      <c r="DFM38" s="57"/>
      <c r="DFN38" s="58"/>
      <c r="DFO38" s="56"/>
      <c r="DFP38" s="57"/>
      <c r="DFQ38" s="57"/>
      <c r="DFR38" s="57"/>
      <c r="DFS38" s="56"/>
      <c r="DFT38" s="57"/>
      <c r="DFU38" s="57"/>
      <c r="DFV38" s="56"/>
      <c r="DFW38" s="57"/>
      <c r="DFX38" s="58"/>
      <c r="DFY38" s="56"/>
      <c r="DFZ38" s="57"/>
      <c r="DGA38" s="57"/>
      <c r="DGB38" s="57"/>
      <c r="DGC38" s="56"/>
      <c r="DGD38" s="57"/>
      <c r="DGE38" s="57"/>
      <c r="DGF38" s="56"/>
      <c r="DGG38" s="57"/>
      <c r="DGH38" s="58"/>
      <c r="DGI38" s="56"/>
      <c r="DGJ38" s="57"/>
      <c r="DGK38" s="57"/>
      <c r="DGL38" s="57"/>
      <c r="DGM38" s="56"/>
      <c r="DGN38" s="57"/>
      <c r="DGO38" s="57"/>
      <c r="DGP38" s="56"/>
      <c r="DGQ38" s="57"/>
      <c r="DGR38" s="58"/>
      <c r="DGS38" s="56"/>
      <c r="DGT38" s="58"/>
      <c r="DGU38" s="57"/>
      <c r="DGV38" s="56"/>
      <c r="DGW38" s="57"/>
      <c r="DGX38" s="56"/>
      <c r="DGY38" s="56"/>
      <c r="DGZ38" s="56"/>
      <c r="DHA38" s="57"/>
      <c r="DHB38" s="57"/>
      <c r="DHC38" s="57"/>
      <c r="DHD38" s="57"/>
      <c r="DHE38" s="57"/>
      <c r="DHF38" s="57"/>
      <c r="DHG38" s="57"/>
      <c r="DHH38" s="57"/>
      <c r="DHI38" s="57"/>
      <c r="DHJ38" s="57"/>
      <c r="DHK38" s="57"/>
      <c r="DHL38" s="57"/>
      <c r="DHM38" s="57"/>
      <c r="DHN38" s="57"/>
      <c r="DHO38" s="57"/>
      <c r="DHP38" s="57"/>
      <c r="DHQ38" s="57"/>
      <c r="DHR38" s="57"/>
      <c r="DHS38" s="57"/>
      <c r="DHT38" s="57"/>
      <c r="DHU38" s="57"/>
      <c r="DHV38" s="57"/>
      <c r="DHW38" s="57"/>
      <c r="DHX38" s="57"/>
      <c r="DHY38" s="57"/>
      <c r="DHZ38" s="57"/>
      <c r="DIA38" s="57"/>
      <c r="DIB38" s="57"/>
      <c r="DIC38" s="57"/>
      <c r="DID38" s="57"/>
      <c r="DIE38" s="57"/>
      <c r="DIF38" s="57"/>
      <c r="DIG38" s="57"/>
      <c r="DIH38" s="57"/>
      <c r="DII38" s="57"/>
      <c r="DIJ38" s="57"/>
      <c r="DIK38" s="57"/>
      <c r="DIL38" s="58"/>
      <c r="DIM38" s="56"/>
      <c r="DIN38" s="57"/>
      <c r="DIO38" s="57"/>
      <c r="DIP38" s="57"/>
      <c r="DIQ38" s="57"/>
      <c r="DIR38" s="57"/>
      <c r="DIS38" s="56"/>
      <c r="DIT38" s="57"/>
      <c r="DIU38" s="57"/>
      <c r="DIV38" s="56"/>
      <c r="DIW38" s="57"/>
      <c r="DIX38" s="58"/>
      <c r="DIY38" s="56"/>
      <c r="DIZ38" s="57"/>
      <c r="DJA38" s="57"/>
      <c r="DJB38" s="57"/>
      <c r="DJC38" s="56"/>
      <c r="DJD38" s="57"/>
      <c r="DJE38" s="57"/>
      <c r="DJF38" s="56"/>
      <c r="DJG38" s="57"/>
      <c r="DJH38" s="58"/>
      <c r="DJI38" s="56"/>
      <c r="DJJ38" s="57"/>
      <c r="DJK38" s="57"/>
      <c r="DJL38" s="57"/>
      <c r="DJM38" s="56"/>
      <c r="DJN38" s="57"/>
      <c r="DJO38" s="57"/>
      <c r="DJP38" s="56"/>
      <c r="DJQ38" s="57"/>
      <c r="DJR38" s="58"/>
      <c r="DJS38" s="56"/>
      <c r="DJT38" s="57"/>
      <c r="DJU38" s="57"/>
      <c r="DJV38" s="57"/>
      <c r="DJW38" s="56"/>
      <c r="DJX38" s="57"/>
      <c r="DJY38" s="57"/>
      <c r="DJZ38" s="56"/>
      <c r="DKA38" s="57"/>
      <c r="DKB38" s="58"/>
      <c r="DKC38" s="56"/>
      <c r="DKD38" s="58"/>
      <c r="DKE38" s="57"/>
      <c r="DKF38" s="56"/>
      <c r="DKG38" s="57"/>
      <c r="DKH38" s="56"/>
      <c r="DKI38" s="56"/>
      <c r="DKJ38" s="56"/>
      <c r="DKK38" s="57"/>
      <c r="DKL38" s="57"/>
      <c r="DKM38" s="57"/>
      <c r="DKN38" s="57"/>
      <c r="DKO38" s="57"/>
      <c r="DKP38" s="57"/>
      <c r="DKQ38" s="57"/>
      <c r="DKR38" s="57"/>
      <c r="DKS38" s="57"/>
      <c r="DKT38" s="57"/>
      <c r="DKU38" s="57"/>
      <c r="DKV38" s="57"/>
      <c r="DKW38" s="57"/>
      <c r="DKX38" s="57"/>
      <c r="DKY38" s="57"/>
      <c r="DKZ38" s="57"/>
      <c r="DLA38" s="57"/>
      <c r="DLB38" s="57"/>
      <c r="DLC38" s="57"/>
      <c r="DLD38" s="57"/>
      <c r="DLE38" s="57"/>
      <c r="DLF38" s="57"/>
      <c r="DLG38" s="57"/>
      <c r="DLH38" s="57"/>
      <c r="DLI38" s="57"/>
      <c r="DLJ38" s="57"/>
      <c r="DLK38" s="57"/>
      <c r="DLL38" s="57"/>
      <c r="DLM38" s="57"/>
      <c r="DLN38" s="57"/>
      <c r="DLO38" s="57"/>
      <c r="DLP38" s="57"/>
      <c r="DLQ38" s="57"/>
      <c r="DLR38" s="57"/>
      <c r="DLS38" s="57"/>
      <c r="DLT38" s="57"/>
      <c r="DLU38" s="57"/>
      <c r="DLV38" s="58"/>
      <c r="DLW38" s="56"/>
      <c r="DLX38" s="57"/>
      <c r="DLY38" s="57"/>
      <c r="DLZ38" s="57"/>
      <c r="DMA38" s="57"/>
      <c r="DMB38" s="57"/>
      <c r="DMC38" s="56"/>
      <c r="DMD38" s="57"/>
      <c r="DME38" s="57"/>
      <c r="DMF38" s="56"/>
      <c r="DMG38" s="57"/>
      <c r="DMH38" s="58"/>
      <c r="DMI38" s="56"/>
      <c r="DMJ38" s="57"/>
      <c r="DMK38" s="57"/>
      <c r="DML38" s="57"/>
      <c r="DMM38" s="56"/>
      <c r="DMN38" s="57"/>
      <c r="DMO38" s="57"/>
      <c r="DMP38" s="56"/>
      <c r="DMQ38" s="57"/>
      <c r="DMR38" s="58"/>
      <c r="DMS38" s="56"/>
      <c r="DMT38" s="57"/>
      <c r="DMU38" s="57"/>
      <c r="DMV38" s="57"/>
      <c r="DMW38" s="56"/>
      <c r="DMX38" s="57"/>
      <c r="DMY38" s="57"/>
      <c r="DMZ38" s="56"/>
      <c r="DNA38" s="57"/>
      <c r="DNB38" s="58"/>
      <c r="DNC38" s="56"/>
      <c r="DND38" s="57"/>
      <c r="DNE38" s="57"/>
      <c r="DNF38" s="57"/>
      <c r="DNG38" s="56"/>
      <c r="DNH38" s="57"/>
      <c r="DNI38" s="57"/>
      <c r="DNJ38" s="56"/>
      <c r="DNK38" s="57"/>
      <c r="DNL38" s="58"/>
      <c r="DNM38" s="56"/>
      <c r="DNN38" s="58"/>
      <c r="DNO38" s="57"/>
      <c r="DNP38" s="56"/>
      <c r="DNQ38" s="57"/>
      <c r="DNR38" s="56"/>
      <c r="DNS38" s="56"/>
      <c r="DNT38" s="56"/>
      <c r="DNU38" s="57"/>
      <c r="DNV38" s="57"/>
      <c r="DNW38" s="57"/>
      <c r="DNX38" s="57"/>
      <c r="DNY38" s="57"/>
      <c r="DNZ38" s="57"/>
      <c r="DOA38" s="57"/>
      <c r="DOB38" s="57"/>
      <c r="DOC38" s="57"/>
      <c r="DOD38" s="57"/>
      <c r="DOE38" s="57"/>
      <c r="DOF38" s="57"/>
      <c r="DOG38" s="57"/>
      <c r="DOH38" s="57"/>
      <c r="DOI38" s="57"/>
      <c r="DOJ38" s="57"/>
      <c r="DOK38" s="57"/>
      <c r="DOL38" s="57"/>
      <c r="DOM38" s="57"/>
      <c r="DON38" s="57"/>
      <c r="DOO38" s="57"/>
      <c r="DOP38" s="57"/>
      <c r="DOQ38" s="57"/>
      <c r="DOR38" s="57"/>
      <c r="DOS38" s="57"/>
      <c r="DOT38" s="57"/>
      <c r="DOU38" s="57"/>
      <c r="DOV38" s="57"/>
      <c r="DOW38" s="57"/>
      <c r="DOX38" s="57"/>
      <c r="DOY38" s="57"/>
      <c r="DOZ38" s="57"/>
      <c r="DPA38" s="57"/>
      <c r="DPB38" s="57"/>
      <c r="DPC38" s="57"/>
      <c r="DPD38" s="57"/>
      <c r="DPE38" s="57"/>
      <c r="DPF38" s="58"/>
      <c r="DPG38" s="56"/>
      <c r="DPH38" s="57"/>
      <c r="DPI38" s="57"/>
      <c r="DPJ38" s="57"/>
      <c r="DPK38" s="57"/>
      <c r="DPL38" s="57"/>
      <c r="DPM38" s="56"/>
      <c r="DPN38" s="57"/>
      <c r="DPO38" s="57"/>
      <c r="DPP38" s="56"/>
      <c r="DPQ38" s="57"/>
      <c r="DPR38" s="58"/>
      <c r="DPS38" s="56"/>
      <c r="DPT38" s="57"/>
      <c r="DPU38" s="57"/>
      <c r="DPV38" s="57"/>
      <c r="DPW38" s="56"/>
      <c r="DPX38" s="57"/>
      <c r="DPY38" s="57"/>
      <c r="DPZ38" s="56"/>
      <c r="DQA38" s="57"/>
      <c r="DQB38" s="58"/>
      <c r="DQC38" s="56"/>
      <c r="DQD38" s="57"/>
      <c r="DQE38" s="57"/>
      <c r="DQF38" s="57"/>
      <c r="DQG38" s="56"/>
      <c r="DQH38" s="57"/>
      <c r="DQI38" s="57"/>
      <c r="DQJ38" s="56"/>
      <c r="DQK38" s="57"/>
      <c r="DQL38" s="58"/>
      <c r="DQM38" s="56"/>
      <c r="DQN38" s="57"/>
      <c r="DQO38" s="57"/>
      <c r="DQP38" s="57"/>
      <c r="DQQ38" s="56"/>
      <c r="DQR38" s="57"/>
      <c r="DQS38" s="57"/>
      <c r="DQT38" s="56"/>
      <c r="DQU38" s="57"/>
      <c r="DQV38" s="58"/>
      <c r="DQW38" s="56"/>
      <c r="DQX38" s="58"/>
      <c r="DQY38" s="57"/>
      <c r="DQZ38" s="56"/>
      <c r="DRA38" s="57"/>
      <c r="DRB38" s="56"/>
      <c r="DRC38" s="56"/>
      <c r="DRD38" s="56"/>
      <c r="DRE38" s="57"/>
      <c r="DRF38" s="57"/>
      <c r="DRG38" s="57"/>
      <c r="DRH38" s="57"/>
      <c r="DRI38" s="57"/>
      <c r="DRJ38" s="57"/>
      <c r="DRK38" s="57"/>
      <c r="DRL38" s="57"/>
      <c r="DRM38" s="57"/>
      <c r="DRN38" s="57"/>
      <c r="DRO38" s="57"/>
      <c r="DRP38" s="57"/>
      <c r="DRQ38" s="57"/>
      <c r="DRR38" s="57"/>
      <c r="DRS38" s="57"/>
      <c r="DRT38" s="57"/>
      <c r="DRU38" s="57"/>
      <c r="DRV38" s="57"/>
      <c r="DRW38" s="57"/>
      <c r="DRX38" s="57"/>
      <c r="DRY38" s="57"/>
      <c r="DRZ38" s="57"/>
      <c r="DSA38" s="57"/>
      <c r="DSB38" s="57"/>
      <c r="DSC38" s="57"/>
      <c r="DSD38" s="57"/>
      <c r="DSE38" s="57"/>
      <c r="DSF38" s="57"/>
      <c r="DSG38" s="57"/>
      <c r="DSH38" s="57"/>
      <c r="DSI38" s="57"/>
      <c r="DSJ38" s="57"/>
      <c r="DSK38" s="57"/>
      <c r="DSL38" s="57"/>
      <c r="DSM38" s="57"/>
      <c r="DSN38" s="57"/>
      <c r="DSO38" s="57"/>
      <c r="DSP38" s="58"/>
      <c r="DSQ38" s="56"/>
      <c r="DSR38" s="57"/>
      <c r="DSS38" s="57"/>
      <c r="DST38" s="57"/>
      <c r="DSU38" s="57"/>
      <c r="DSV38" s="57"/>
      <c r="DSW38" s="56"/>
      <c r="DSX38" s="57"/>
      <c r="DSY38" s="57"/>
      <c r="DSZ38" s="56"/>
      <c r="DTA38" s="57"/>
      <c r="DTB38" s="58"/>
      <c r="DTC38" s="56"/>
      <c r="DTD38" s="57"/>
      <c r="DTE38" s="57"/>
      <c r="DTF38" s="57"/>
      <c r="DTG38" s="56"/>
      <c r="DTH38" s="57"/>
      <c r="DTI38" s="57"/>
      <c r="DTJ38" s="56"/>
      <c r="DTK38" s="57"/>
      <c r="DTL38" s="58"/>
      <c r="DTM38" s="56"/>
      <c r="DTN38" s="57"/>
      <c r="DTO38" s="57"/>
      <c r="DTP38" s="57"/>
      <c r="DTQ38" s="56"/>
      <c r="DTR38" s="57"/>
      <c r="DTS38" s="57"/>
      <c r="DTT38" s="56"/>
      <c r="DTU38" s="57"/>
      <c r="DTV38" s="58"/>
      <c r="DTW38" s="56"/>
      <c r="DTX38" s="57"/>
      <c r="DTY38" s="57"/>
      <c r="DTZ38" s="57"/>
      <c r="DUA38" s="56"/>
      <c r="DUB38" s="57"/>
      <c r="DUC38" s="57"/>
      <c r="DUD38" s="56"/>
      <c r="DUE38" s="57"/>
      <c r="DUF38" s="58"/>
      <c r="DUG38" s="56"/>
      <c r="DUH38" s="58"/>
      <c r="DUI38" s="57"/>
      <c r="DUJ38" s="56"/>
      <c r="DUK38" s="57"/>
      <c r="DUL38" s="56"/>
      <c r="DUM38" s="56"/>
      <c r="DUN38" s="56"/>
      <c r="DUO38" s="57"/>
      <c r="DUP38" s="57"/>
      <c r="DUQ38" s="57"/>
      <c r="DUR38" s="57"/>
      <c r="DUS38" s="57"/>
      <c r="DUT38" s="57"/>
      <c r="DUU38" s="57"/>
      <c r="DUV38" s="57"/>
      <c r="DUW38" s="57"/>
      <c r="DUX38" s="57"/>
      <c r="DUY38" s="57"/>
      <c r="DUZ38" s="57"/>
      <c r="DVA38" s="57"/>
      <c r="DVB38" s="57"/>
      <c r="DVC38" s="57"/>
      <c r="DVD38" s="57"/>
      <c r="DVE38" s="57"/>
      <c r="DVF38" s="57"/>
      <c r="DVG38" s="57"/>
      <c r="DVH38" s="57"/>
      <c r="DVI38" s="57"/>
      <c r="DVJ38" s="57"/>
      <c r="DVK38" s="57"/>
      <c r="DVL38" s="57"/>
      <c r="DVM38" s="57"/>
      <c r="DVN38" s="57"/>
      <c r="DVO38" s="57"/>
      <c r="DVP38" s="57"/>
      <c r="DVQ38" s="57"/>
      <c r="DVR38" s="57"/>
      <c r="DVS38" s="57"/>
      <c r="DVT38" s="57"/>
      <c r="DVU38" s="57"/>
      <c r="DVV38" s="57"/>
      <c r="DVW38" s="57"/>
      <c r="DVX38" s="57"/>
      <c r="DVY38" s="57"/>
      <c r="DVZ38" s="58"/>
      <c r="DWA38" s="56"/>
      <c r="DWB38" s="57"/>
      <c r="DWC38" s="57"/>
      <c r="DWD38" s="57"/>
      <c r="DWE38" s="57"/>
      <c r="DWF38" s="57"/>
      <c r="DWG38" s="56"/>
      <c r="DWH38" s="57"/>
      <c r="DWI38" s="57"/>
      <c r="DWJ38" s="56"/>
      <c r="DWK38" s="57"/>
      <c r="DWL38" s="58"/>
      <c r="DWM38" s="56"/>
      <c r="DWN38" s="57"/>
      <c r="DWO38" s="57"/>
      <c r="DWP38" s="57"/>
      <c r="DWQ38" s="56"/>
      <c r="DWR38" s="57"/>
      <c r="DWS38" s="57"/>
      <c r="DWT38" s="56"/>
      <c r="DWU38" s="57"/>
      <c r="DWV38" s="58"/>
      <c r="DWW38" s="56"/>
      <c r="DWX38" s="57"/>
      <c r="DWY38" s="57"/>
      <c r="DWZ38" s="57"/>
      <c r="DXA38" s="56"/>
      <c r="DXB38" s="57"/>
      <c r="DXC38" s="57"/>
      <c r="DXD38" s="56"/>
      <c r="DXE38" s="57"/>
      <c r="DXF38" s="58"/>
      <c r="DXG38" s="56"/>
      <c r="DXH38" s="57"/>
      <c r="DXI38" s="57"/>
      <c r="DXJ38" s="57"/>
      <c r="DXK38" s="56"/>
      <c r="DXL38" s="57"/>
      <c r="DXM38" s="57"/>
      <c r="DXN38" s="56"/>
      <c r="DXO38" s="57"/>
      <c r="DXP38" s="58"/>
      <c r="DXQ38" s="56"/>
      <c r="DXR38" s="58"/>
      <c r="DXS38" s="57"/>
      <c r="DXT38" s="56"/>
      <c r="DXU38" s="57"/>
      <c r="DXV38" s="56"/>
      <c r="DXW38" s="56"/>
      <c r="DXX38" s="56"/>
      <c r="DXY38" s="57"/>
      <c r="DXZ38" s="57"/>
      <c r="DYA38" s="57"/>
      <c r="DYB38" s="57"/>
      <c r="DYC38" s="57"/>
      <c r="DYD38" s="57"/>
      <c r="DYE38" s="57"/>
      <c r="DYF38" s="57"/>
      <c r="DYG38" s="57"/>
      <c r="DYH38" s="57"/>
      <c r="DYI38" s="57"/>
      <c r="DYJ38" s="57"/>
      <c r="DYK38" s="57"/>
      <c r="DYL38" s="57"/>
      <c r="DYM38" s="57"/>
      <c r="DYN38" s="57"/>
      <c r="DYO38" s="57"/>
      <c r="DYP38" s="57"/>
      <c r="DYQ38" s="57"/>
      <c r="DYR38" s="57"/>
      <c r="DYS38" s="57"/>
      <c r="DYT38" s="57"/>
      <c r="DYU38" s="57"/>
      <c r="DYV38" s="57"/>
      <c r="DYW38" s="57"/>
      <c r="DYX38" s="57"/>
      <c r="DYY38" s="57"/>
      <c r="DYZ38" s="57"/>
      <c r="DZA38" s="57"/>
      <c r="DZB38" s="57"/>
      <c r="DZC38" s="57"/>
      <c r="DZD38" s="57"/>
      <c r="DZE38" s="57"/>
      <c r="DZF38" s="57"/>
      <c r="DZG38" s="57"/>
      <c r="DZH38" s="57"/>
      <c r="DZI38" s="57"/>
      <c r="DZJ38" s="58"/>
      <c r="DZK38" s="56"/>
      <c r="DZL38" s="57"/>
      <c r="DZM38" s="57"/>
      <c r="DZN38" s="57"/>
      <c r="DZO38" s="57"/>
      <c r="DZP38" s="57"/>
      <c r="DZQ38" s="56"/>
      <c r="DZR38" s="57"/>
      <c r="DZS38" s="57"/>
      <c r="DZT38" s="56"/>
      <c r="DZU38" s="57"/>
      <c r="DZV38" s="58"/>
      <c r="DZW38" s="56"/>
      <c r="DZX38" s="57"/>
      <c r="DZY38" s="57"/>
      <c r="DZZ38" s="57"/>
      <c r="EAA38" s="56"/>
      <c r="EAB38" s="57"/>
      <c r="EAC38" s="57"/>
      <c r="EAD38" s="56"/>
      <c r="EAE38" s="57"/>
      <c r="EAF38" s="58"/>
      <c r="EAG38" s="56"/>
      <c r="EAH38" s="57"/>
      <c r="EAI38" s="57"/>
      <c r="EAJ38" s="57"/>
      <c r="EAK38" s="56"/>
      <c r="EAL38" s="57"/>
      <c r="EAM38" s="57"/>
      <c r="EAN38" s="56"/>
      <c r="EAO38" s="57"/>
      <c r="EAP38" s="58"/>
      <c r="EAQ38" s="56"/>
      <c r="EAR38" s="57"/>
      <c r="EAS38" s="57"/>
      <c r="EAT38" s="57"/>
      <c r="EAU38" s="56"/>
      <c r="EAV38" s="57"/>
      <c r="EAW38" s="57"/>
      <c r="EAX38" s="56"/>
      <c r="EAY38" s="57"/>
      <c r="EAZ38" s="58"/>
      <c r="EBA38" s="56"/>
      <c r="EBB38" s="58"/>
      <c r="EBC38" s="57"/>
      <c r="EBD38" s="56"/>
      <c r="EBE38" s="57"/>
      <c r="EBF38" s="56"/>
      <c r="EBG38" s="56"/>
      <c r="EBH38" s="56"/>
      <c r="EBI38" s="57"/>
      <c r="EBJ38" s="57"/>
      <c r="EBK38" s="57"/>
      <c r="EBL38" s="57"/>
      <c r="EBM38" s="57"/>
      <c r="EBN38" s="57"/>
      <c r="EBO38" s="57"/>
      <c r="EBP38" s="57"/>
      <c r="EBQ38" s="57"/>
      <c r="EBR38" s="57"/>
      <c r="EBS38" s="57"/>
      <c r="EBT38" s="57"/>
      <c r="EBU38" s="57"/>
      <c r="EBV38" s="57"/>
      <c r="EBW38" s="57"/>
      <c r="EBX38" s="57"/>
      <c r="EBY38" s="57"/>
      <c r="EBZ38" s="57"/>
      <c r="ECA38" s="57"/>
      <c r="ECB38" s="57"/>
      <c r="ECC38" s="57"/>
      <c r="ECD38" s="57"/>
      <c r="ECE38" s="57"/>
      <c r="ECF38" s="57"/>
      <c r="ECG38" s="57"/>
      <c r="ECH38" s="57"/>
      <c r="ECI38" s="57"/>
      <c r="ECJ38" s="57"/>
      <c r="ECK38" s="57"/>
      <c r="ECL38" s="57"/>
      <c r="ECM38" s="57"/>
      <c r="ECN38" s="57"/>
      <c r="ECO38" s="57"/>
      <c r="ECP38" s="57"/>
      <c r="ECQ38" s="57"/>
      <c r="ECR38" s="57"/>
      <c r="ECS38" s="57"/>
      <c r="ECT38" s="58"/>
      <c r="ECU38" s="56"/>
      <c r="ECV38" s="57"/>
      <c r="ECW38" s="57"/>
      <c r="ECX38" s="57"/>
      <c r="ECY38" s="57"/>
      <c r="ECZ38" s="57"/>
      <c r="EDA38" s="56"/>
      <c r="EDB38" s="57"/>
      <c r="EDC38" s="57"/>
      <c r="EDD38" s="56"/>
      <c r="EDE38" s="57"/>
      <c r="EDF38" s="58"/>
      <c r="EDG38" s="56"/>
      <c r="EDH38" s="57"/>
      <c r="EDI38" s="57"/>
      <c r="EDJ38" s="57"/>
      <c r="EDK38" s="56"/>
      <c r="EDL38" s="57"/>
      <c r="EDM38" s="57"/>
      <c r="EDN38" s="56"/>
      <c r="EDO38" s="57"/>
      <c r="EDP38" s="58"/>
      <c r="EDQ38" s="56"/>
      <c r="EDR38" s="57"/>
      <c r="EDS38" s="57"/>
      <c r="EDT38" s="57"/>
      <c r="EDU38" s="56"/>
      <c r="EDV38" s="57"/>
      <c r="EDW38" s="57"/>
      <c r="EDX38" s="56"/>
      <c r="EDY38" s="57"/>
      <c r="EDZ38" s="58"/>
      <c r="EEA38" s="56"/>
      <c r="EEB38" s="57"/>
      <c r="EEC38" s="57"/>
      <c r="EED38" s="57"/>
      <c r="EEE38" s="56"/>
      <c r="EEF38" s="57"/>
      <c r="EEG38" s="57"/>
      <c r="EEH38" s="56"/>
      <c r="EEI38" s="57"/>
      <c r="EEJ38" s="58"/>
      <c r="EEK38" s="56"/>
      <c r="EEL38" s="58"/>
      <c r="EEM38" s="57"/>
      <c r="EEN38" s="56"/>
      <c r="EEO38" s="57"/>
      <c r="EEP38" s="56"/>
      <c r="EEQ38" s="56"/>
      <c r="EER38" s="56"/>
      <c r="EES38" s="57"/>
      <c r="EET38" s="57"/>
      <c r="EEU38" s="57"/>
      <c r="EEV38" s="57"/>
      <c r="EEW38" s="57"/>
      <c r="EEX38" s="57"/>
      <c r="EEY38" s="57"/>
      <c r="EEZ38" s="57"/>
      <c r="EFA38" s="57"/>
      <c r="EFB38" s="57"/>
      <c r="EFC38" s="57"/>
      <c r="EFD38" s="57"/>
      <c r="EFE38" s="57"/>
      <c r="EFF38" s="57"/>
      <c r="EFG38" s="57"/>
      <c r="EFH38" s="57"/>
      <c r="EFI38" s="57"/>
      <c r="EFJ38" s="57"/>
      <c r="EFK38" s="57"/>
      <c r="EFL38" s="57"/>
      <c r="EFM38" s="57"/>
      <c r="EFN38" s="57"/>
      <c r="EFO38" s="57"/>
      <c r="EFP38" s="57"/>
      <c r="EFQ38" s="57"/>
      <c r="EFR38" s="57"/>
      <c r="EFS38" s="57"/>
      <c r="EFT38" s="57"/>
      <c r="EFU38" s="57"/>
      <c r="EFV38" s="57"/>
      <c r="EFW38" s="57"/>
      <c r="EFX38" s="57"/>
      <c r="EFY38" s="57"/>
      <c r="EFZ38" s="57"/>
      <c r="EGA38" s="57"/>
      <c r="EGB38" s="57"/>
      <c r="EGC38" s="57"/>
      <c r="EGD38" s="58"/>
      <c r="EGE38" s="56"/>
      <c r="EGF38" s="57"/>
      <c r="EGG38" s="57"/>
      <c r="EGH38" s="57"/>
      <c r="EGI38" s="57"/>
      <c r="EGJ38" s="57"/>
      <c r="EGK38" s="56"/>
      <c r="EGL38" s="57"/>
      <c r="EGM38" s="57"/>
      <c r="EGN38" s="56"/>
      <c r="EGO38" s="57"/>
      <c r="EGP38" s="58"/>
      <c r="EGQ38" s="56"/>
      <c r="EGR38" s="57"/>
      <c r="EGS38" s="57"/>
      <c r="EGT38" s="57"/>
      <c r="EGU38" s="56"/>
      <c r="EGV38" s="57"/>
      <c r="EGW38" s="57"/>
      <c r="EGX38" s="56"/>
      <c r="EGY38" s="57"/>
      <c r="EGZ38" s="58"/>
      <c r="EHA38" s="56"/>
      <c r="EHB38" s="57"/>
      <c r="EHC38" s="57"/>
      <c r="EHD38" s="57"/>
      <c r="EHE38" s="56"/>
      <c r="EHF38" s="57"/>
      <c r="EHG38" s="57"/>
      <c r="EHH38" s="56"/>
      <c r="EHI38" s="57"/>
      <c r="EHJ38" s="58"/>
      <c r="EHK38" s="56"/>
      <c r="EHL38" s="57"/>
      <c r="EHM38" s="57"/>
      <c r="EHN38" s="57"/>
      <c r="EHO38" s="56"/>
      <c r="EHP38" s="57"/>
      <c r="EHQ38" s="57"/>
      <c r="EHR38" s="56"/>
      <c r="EHS38" s="57"/>
      <c r="EHT38" s="58"/>
      <c r="EHU38" s="56"/>
      <c r="EHV38" s="58"/>
      <c r="EHW38" s="57"/>
      <c r="EHX38" s="56"/>
      <c r="EHY38" s="57"/>
      <c r="EHZ38" s="56"/>
      <c r="EIA38" s="56"/>
      <c r="EIB38" s="56"/>
      <c r="EIC38" s="57"/>
      <c r="EID38" s="57"/>
      <c r="EIE38" s="57"/>
      <c r="EIF38" s="57"/>
      <c r="EIG38" s="57"/>
      <c r="EIH38" s="57"/>
      <c r="EII38" s="57"/>
      <c r="EIJ38" s="57"/>
      <c r="EIK38" s="57"/>
      <c r="EIL38" s="57"/>
      <c r="EIM38" s="57"/>
      <c r="EIN38" s="57"/>
      <c r="EIO38" s="57"/>
      <c r="EIP38" s="57"/>
      <c r="EIQ38" s="57"/>
      <c r="EIR38" s="57"/>
      <c r="EIS38" s="57"/>
      <c r="EIT38" s="57"/>
      <c r="EIU38" s="57"/>
      <c r="EIV38" s="57"/>
      <c r="EIW38" s="57"/>
      <c r="EIX38" s="57"/>
      <c r="EIY38" s="57"/>
      <c r="EIZ38" s="57"/>
      <c r="EJA38" s="57"/>
      <c r="EJB38" s="57"/>
      <c r="EJC38" s="57"/>
      <c r="EJD38" s="57"/>
      <c r="EJE38" s="57"/>
      <c r="EJF38" s="57"/>
      <c r="EJG38" s="57"/>
      <c r="EJH38" s="57"/>
      <c r="EJI38" s="57"/>
      <c r="EJJ38" s="57"/>
      <c r="EJK38" s="57"/>
      <c r="EJL38" s="57"/>
      <c r="EJM38" s="57"/>
      <c r="EJN38" s="58"/>
      <c r="EJO38" s="56"/>
      <c r="EJP38" s="57"/>
      <c r="EJQ38" s="57"/>
      <c r="EJR38" s="57"/>
      <c r="EJS38" s="57"/>
      <c r="EJT38" s="57"/>
      <c r="EJU38" s="56"/>
      <c r="EJV38" s="57"/>
      <c r="EJW38" s="57"/>
      <c r="EJX38" s="56"/>
      <c r="EJY38" s="57"/>
      <c r="EJZ38" s="58"/>
      <c r="EKA38" s="56"/>
      <c r="EKB38" s="57"/>
      <c r="EKC38" s="57"/>
      <c r="EKD38" s="57"/>
      <c r="EKE38" s="56"/>
      <c r="EKF38" s="57"/>
      <c r="EKG38" s="57"/>
      <c r="EKH38" s="56"/>
      <c r="EKI38" s="57"/>
      <c r="EKJ38" s="58"/>
      <c r="EKK38" s="56"/>
      <c r="EKL38" s="57"/>
      <c r="EKM38" s="57"/>
      <c r="EKN38" s="57"/>
      <c r="EKO38" s="56"/>
      <c r="EKP38" s="57"/>
      <c r="EKQ38" s="57"/>
      <c r="EKR38" s="56"/>
      <c r="EKS38" s="57"/>
      <c r="EKT38" s="58"/>
      <c r="EKU38" s="56"/>
      <c r="EKV38" s="57"/>
      <c r="EKW38" s="57"/>
      <c r="EKX38" s="57"/>
      <c r="EKY38" s="56"/>
      <c r="EKZ38" s="57"/>
      <c r="ELA38" s="57"/>
      <c r="ELB38" s="56"/>
      <c r="ELC38" s="57"/>
      <c r="ELD38" s="58"/>
      <c r="ELE38" s="56"/>
      <c r="ELF38" s="58"/>
      <c r="ELG38" s="57"/>
      <c r="ELH38" s="56"/>
      <c r="ELI38" s="57"/>
      <c r="ELJ38" s="56"/>
      <c r="ELK38" s="56"/>
      <c r="ELL38" s="56"/>
      <c r="ELM38" s="57"/>
      <c r="ELN38" s="57"/>
      <c r="ELO38" s="57"/>
      <c r="ELP38" s="57"/>
      <c r="ELQ38" s="57"/>
      <c r="ELR38" s="57"/>
      <c r="ELS38" s="57"/>
      <c r="ELT38" s="57"/>
      <c r="ELU38" s="57"/>
      <c r="ELV38" s="57"/>
      <c r="ELW38" s="57"/>
      <c r="ELX38" s="57"/>
      <c r="ELY38" s="57"/>
      <c r="ELZ38" s="57"/>
      <c r="EMA38" s="57"/>
      <c r="EMB38" s="57"/>
      <c r="EMC38" s="57"/>
      <c r="EMD38" s="57"/>
      <c r="EME38" s="57"/>
      <c r="EMF38" s="57"/>
      <c r="EMG38" s="57"/>
      <c r="EMH38" s="57"/>
      <c r="EMI38" s="57"/>
      <c r="EMJ38" s="57"/>
      <c r="EMK38" s="57"/>
      <c r="EML38" s="57"/>
      <c r="EMM38" s="57"/>
      <c r="EMN38" s="57"/>
      <c r="EMO38" s="57"/>
      <c r="EMP38" s="57"/>
      <c r="EMQ38" s="57"/>
      <c r="EMR38" s="57"/>
      <c r="EMS38" s="57"/>
      <c r="EMT38" s="57"/>
      <c r="EMU38" s="57"/>
      <c r="EMV38" s="57"/>
      <c r="EMW38" s="57"/>
      <c r="EMX38" s="58"/>
      <c r="EMY38" s="56"/>
      <c r="EMZ38" s="57"/>
      <c r="ENA38" s="57"/>
      <c r="ENB38" s="57"/>
      <c r="ENC38" s="57"/>
      <c r="END38" s="57"/>
      <c r="ENE38" s="56"/>
      <c r="ENF38" s="57"/>
      <c r="ENG38" s="57"/>
      <c r="ENH38" s="56"/>
      <c r="ENI38" s="57"/>
      <c r="ENJ38" s="58"/>
      <c r="ENK38" s="56"/>
      <c r="ENL38" s="57"/>
      <c r="ENM38" s="57"/>
      <c r="ENN38" s="57"/>
      <c r="ENO38" s="56"/>
      <c r="ENP38" s="57"/>
      <c r="ENQ38" s="57"/>
      <c r="ENR38" s="56"/>
      <c r="ENS38" s="57"/>
      <c r="ENT38" s="58"/>
      <c r="ENU38" s="56"/>
      <c r="ENV38" s="57"/>
      <c r="ENW38" s="57"/>
      <c r="ENX38" s="57"/>
      <c r="ENY38" s="56"/>
      <c r="ENZ38" s="57"/>
      <c r="EOA38" s="57"/>
      <c r="EOB38" s="56"/>
      <c r="EOC38" s="57"/>
      <c r="EOD38" s="58"/>
      <c r="EOE38" s="56"/>
      <c r="EOF38" s="57"/>
      <c r="EOG38" s="57"/>
      <c r="EOH38" s="57"/>
      <c r="EOI38" s="56"/>
      <c r="EOJ38" s="57"/>
      <c r="EOK38" s="57"/>
      <c r="EOL38" s="56"/>
      <c r="EOM38" s="57"/>
      <c r="EON38" s="58"/>
      <c r="EOO38" s="56" t="str">
        <f t="shared" si="149"/>
        <v xml:space="preserve"> </v>
      </c>
      <c r="EOP38" s="58"/>
      <c r="EOQ38" s="57"/>
      <c r="EOR38" s="56"/>
      <c r="EOS38" s="57"/>
      <c r="EOT38" s="56"/>
      <c r="EOU38" s="56"/>
      <c r="EOV38" s="56"/>
      <c r="EOW38" s="57"/>
      <c r="EOX38" s="57"/>
      <c r="EOY38" s="57"/>
      <c r="EOZ38" s="57"/>
      <c r="EPA38" s="57"/>
      <c r="EPB38" s="57"/>
      <c r="EPC38" s="57"/>
      <c r="EPD38" s="57"/>
      <c r="EPE38" s="57"/>
      <c r="EPF38" s="57"/>
      <c r="EPG38" s="57"/>
      <c r="EPH38" s="57"/>
      <c r="EPI38" s="57"/>
      <c r="EPJ38" s="57"/>
      <c r="EPK38" s="57"/>
      <c r="EPL38" s="57"/>
      <c r="EPM38" s="57"/>
      <c r="EPN38" s="57"/>
      <c r="EPO38" s="57"/>
      <c r="EPP38" s="57"/>
      <c r="EPQ38" s="57"/>
      <c r="EPR38" s="57"/>
      <c r="EPS38" s="57"/>
      <c r="EPT38" s="57"/>
      <c r="EPU38" s="57"/>
      <c r="EPV38" s="57"/>
      <c r="EPW38" s="57"/>
      <c r="EPX38" s="57"/>
      <c r="EPY38" s="57"/>
      <c r="EPZ38" s="57"/>
      <c r="EQA38" s="57"/>
      <c r="EQB38" s="57"/>
      <c r="EQC38" s="57"/>
      <c r="EQD38" s="57"/>
      <c r="EQE38" s="57"/>
      <c r="EQF38" s="57"/>
      <c r="EQG38" s="57"/>
      <c r="EQH38" s="58"/>
      <c r="EQI38" s="56"/>
      <c r="EQJ38" s="57"/>
      <c r="EQK38" s="57"/>
      <c r="EQL38" s="57"/>
      <c r="EQM38" s="57"/>
      <c r="EQN38" s="57"/>
      <c r="EQO38" s="56"/>
      <c r="EQP38" s="57"/>
      <c r="EQQ38" s="57"/>
      <c r="EQR38" s="56"/>
      <c r="EQS38" s="57"/>
      <c r="EQT38" s="58"/>
      <c r="EQU38" s="56"/>
      <c r="EQV38" s="57"/>
      <c r="EQW38" s="57"/>
      <c r="EQX38" s="57"/>
      <c r="EQY38" s="56"/>
      <c r="EQZ38" s="57"/>
      <c r="ERA38" s="57"/>
      <c r="ERB38" s="56"/>
      <c r="ERC38" s="57"/>
      <c r="ERD38" s="58"/>
      <c r="ERE38" s="56"/>
      <c r="ERF38" s="57"/>
      <c r="ERG38" s="57"/>
      <c r="ERH38" s="57"/>
      <c r="ERI38" s="56"/>
      <c r="ERJ38" s="57"/>
      <c r="ERK38" s="57"/>
      <c r="ERL38" s="56"/>
      <c r="ERM38" s="57"/>
      <c r="ERN38" s="58"/>
      <c r="ERO38" s="56"/>
      <c r="ERP38" s="57"/>
      <c r="ERQ38" s="57"/>
      <c r="ERR38" s="57"/>
      <c r="ERS38" s="56"/>
      <c r="ERT38" s="57"/>
      <c r="ERU38" s="57"/>
      <c r="ERV38" s="56"/>
      <c r="ERW38" s="57"/>
      <c r="ERX38" s="58"/>
      <c r="ERY38" s="56" t="str">
        <f t="shared" si="152"/>
        <v xml:space="preserve"> </v>
      </c>
      <c r="ERZ38" s="58"/>
      <c r="ESA38" s="57"/>
      <c r="ESB38" s="56"/>
      <c r="ESC38" s="57"/>
      <c r="ESD38" s="56"/>
      <c r="ESE38" s="56"/>
      <c r="ESF38" s="56"/>
      <c r="ESG38" s="57"/>
      <c r="ESH38" s="57"/>
      <c r="ESI38" s="57"/>
      <c r="ESJ38" s="57"/>
      <c r="ESK38" s="57"/>
      <c r="ESL38" s="57"/>
      <c r="ESM38" s="57"/>
      <c r="ESN38" s="57"/>
      <c r="ESO38" s="57"/>
      <c r="ESP38" s="57"/>
      <c r="ESQ38" s="57"/>
      <c r="ESR38" s="57"/>
      <c r="ESS38" s="57"/>
      <c r="EST38" s="57"/>
      <c r="ESU38" s="57"/>
      <c r="ESV38" s="57"/>
      <c r="ESW38" s="57"/>
      <c r="ESX38" s="57"/>
      <c r="ESY38" s="57"/>
      <c r="ESZ38" s="57"/>
      <c r="ETA38" s="57"/>
      <c r="ETB38" s="57"/>
      <c r="ETC38" s="57"/>
      <c r="ETD38" s="57"/>
      <c r="ETE38" s="57"/>
      <c r="ETF38" s="57"/>
      <c r="ETG38" s="57"/>
      <c r="ETH38" s="57"/>
      <c r="ETI38" s="57"/>
      <c r="ETJ38" s="57"/>
      <c r="ETK38" s="57"/>
      <c r="ETL38" s="57"/>
      <c r="ETM38" s="57"/>
      <c r="ETN38" s="57"/>
      <c r="ETO38" s="57"/>
      <c r="ETP38" s="57"/>
      <c r="ETQ38" s="57"/>
      <c r="ETR38" s="58"/>
      <c r="ETS38" s="56"/>
      <c r="ETT38" s="57"/>
      <c r="ETU38" s="57"/>
      <c r="ETV38" s="57"/>
      <c r="ETW38" s="57"/>
      <c r="ETX38" s="57"/>
      <c r="ETY38" s="56"/>
      <c r="ETZ38" s="57"/>
      <c r="EUA38" s="57"/>
      <c r="EUB38" s="56"/>
      <c r="EUC38" s="57"/>
      <c r="EUD38" s="58"/>
      <c r="EUE38" s="56"/>
      <c r="EUF38" s="57"/>
      <c r="EUG38" s="57"/>
      <c r="EUH38" s="57"/>
      <c r="EUI38" s="56"/>
      <c r="EUJ38" s="57"/>
      <c r="EUK38" s="57"/>
      <c r="EUL38" s="56"/>
      <c r="EUM38" s="57"/>
      <c r="EUN38" s="58"/>
      <c r="EUO38" s="56"/>
      <c r="EUP38" s="57"/>
      <c r="EUQ38" s="57"/>
      <c r="EUR38" s="57"/>
      <c r="EUS38" s="56"/>
      <c r="EUT38" s="57"/>
      <c r="EUU38" s="57"/>
      <c r="EUV38" s="56"/>
      <c r="EUW38" s="57"/>
      <c r="EUX38" s="58"/>
      <c r="EUY38" s="56"/>
      <c r="EUZ38" s="57"/>
      <c r="EVA38" s="57"/>
      <c r="EVB38" s="57"/>
      <c r="EVC38" s="56"/>
      <c r="EVD38" s="57"/>
      <c r="EVE38" s="57"/>
      <c r="EVF38" s="56"/>
      <c r="EVG38" s="57"/>
      <c r="EVH38" s="58"/>
      <c r="EVI38" s="56" t="str">
        <f t="shared" si="153"/>
        <v xml:space="preserve"> </v>
      </c>
    </row>
    <row r="39" spans="1:3961" x14ac:dyDescent="0.3">
      <c r="A39" s="423" t="s">
        <v>225</v>
      </c>
      <c r="B39" s="27" t="str">
        <f>'REG y VAL POE - AESR - ESR'!B3009</f>
        <v xml:space="preserve">Hernandez Sanchez Mario Alberto </v>
      </c>
      <c r="C39" s="29" t="str">
        <f>'REG y VAL POE - AESR - ESR'!C3009</f>
        <v>Sin Registro</v>
      </c>
      <c r="D39" s="28">
        <f>'REG y VAL POE - AESR - ESR'!D3009</f>
        <v>23046628</v>
      </c>
      <c r="E39" s="29">
        <f>'REG y VAL POE - AESR - ESR'!E3009</f>
        <v>0</v>
      </c>
      <c r="F39" s="28">
        <f>'REG y VAL POE - AESR - ESR'!F3009</f>
        <v>0</v>
      </c>
      <c r="G39" s="31">
        <f>'REG y VAL POE - AESR - ESR'!G3009</f>
        <v>0</v>
      </c>
      <c r="H39" s="31">
        <f>'REG y VAL POE - AESR - ESR'!H3009</f>
        <v>0</v>
      </c>
      <c r="I39" s="29">
        <f>'REG y VAL POE - AESR - ESR'!I3009</f>
        <v>0</v>
      </c>
      <c r="J39" s="29">
        <f>'REG y VAL POE - AESR - ESR'!J3009</f>
        <v>0</v>
      </c>
      <c r="K39" s="29">
        <f>'REG y VAL POE - AESR - ESR'!K3009</f>
        <v>0</v>
      </c>
      <c r="L39" s="29">
        <f>'REG y VAL POE - AESR - ESR'!L3009</f>
        <v>0</v>
      </c>
      <c r="M39" s="29">
        <f>'REG y VAL POE - AESR - ESR'!M3009</f>
        <v>0</v>
      </c>
      <c r="N39" s="29">
        <f>'REG y VAL POE - AESR - ESR'!N3009</f>
        <v>0</v>
      </c>
      <c r="O39" s="29">
        <f>'REG y VAL POE - AESR - ESR'!O3009</f>
        <v>0</v>
      </c>
      <c r="P39" s="29">
        <f>'REG y VAL POE - AESR - ESR'!P3009</f>
        <v>0</v>
      </c>
      <c r="Q39" s="29">
        <f>'REG y VAL POE - AESR - ESR'!Q3009</f>
        <v>0</v>
      </c>
      <c r="R39" s="29">
        <f>'REG y VAL POE - AESR - ESR'!R3009</f>
        <v>0</v>
      </c>
      <c r="S39" s="29">
        <f>'REG y VAL POE - AESR - ESR'!S3009</f>
        <v>0</v>
      </c>
      <c r="T39" s="29">
        <f>'REG y VAL POE - AESR - ESR'!T3009</f>
        <v>0</v>
      </c>
      <c r="U39" s="29">
        <f>'REG y VAL POE - AESR - ESR'!U3009</f>
        <v>0</v>
      </c>
      <c r="V39" s="29">
        <f>'REG y VAL POE - AESR - ESR'!V3009</f>
        <v>0</v>
      </c>
      <c r="W39" s="29">
        <f>'REG y VAL POE - AESR - ESR'!W3009</f>
        <v>0</v>
      </c>
      <c r="X39" s="29">
        <f>'REG y VAL POE - AESR - ESR'!X3009</f>
        <v>0</v>
      </c>
      <c r="Y39" s="29">
        <f>'REG y VAL POE - AESR - ESR'!Y3009</f>
        <v>0</v>
      </c>
      <c r="Z39" s="29">
        <f>'REG y VAL POE - AESR - ESR'!Z3009</f>
        <v>0</v>
      </c>
      <c r="AA39" s="29">
        <f>'REG y VAL POE - AESR - ESR'!AA3009</f>
        <v>0</v>
      </c>
      <c r="AB39" s="29">
        <f>'REG y VAL POE - AESR - ESR'!AB3009</f>
        <v>0</v>
      </c>
      <c r="AC39" s="29">
        <f>'REG y VAL POE - AESR - ESR'!AC3009</f>
        <v>0</v>
      </c>
      <c r="AD39" s="29">
        <f>'REG y VAL POE - AESR - ESR'!AD3009</f>
        <v>0</v>
      </c>
      <c r="AE39" s="29">
        <f>'REG y VAL POE - AESR - ESR'!AE3009</f>
        <v>0</v>
      </c>
      <c r="AF39" s="29">
        <f>'REG y VAL POE - AESR - ESR'!AF3009</f>
        <v>0</v>
      </c>
      <c r="AG39" s="29">
        <f>'REG y VAL POE - AESR - ESR'!AG3009</f>
        <v>0</v>
      </c>
      <c r="AH39" s="29">
        <f>'REG y VAL POE - AESR - ESR'!AH3009</f>
        <v>0</v>
      </c>
      <c r="AI39" s="29">
        <f>'REG y VAL POE - AESR - ESR'!AI3009</f>
        <v>0</v>
      </c>
      <c r="AJ39" s="29">
        <f>'REG y VAL POE - AESR - ESR'!AJ3009</f>
        <v>0</v>
      </c>
      <c r="AK39" s="29">
        <f>'REG y VAL POE - AESR - ESR'!AK3009</f>
        <v>0</v>
      </c>
      <c r="AL39" s="29">
        <f>'REG y VAL POE - AESR - ESR'!AL3009</f>
        <v>0</v>
      </c>
      <c r="AM39" s="29">
        <f>'REG y VAL POE - AESR - ESR'!AM3009</f>
        <v>0</v>
      </c>
      <c r="AN39" s="29">
        <f>'REG y VAL POE - AESR - ESR'!AN3009</f>
        <v>0</v>
      </c>
      <c r="AO39" s="29">
        <f>'REG y VAL POE - AESR - ESR'!AO3009</f>
        <v>0</v>
      </c>
      <c r="AP39" s="29">
        <f>'REG y VAL POE - AESR - ESR'!AP3009</f>
        <v>0</v>
      </c>
      <c r="AQ39" s="29">
        <f>'REG y VAL POE - AESR - ESR'!AQ3009</f>
        <v>0</v>
      </c>
      <c r="AR39" s="29">
        <f>'REG y VAL POE - AESR - ESR'!AR3009</f>
        <v>0</v>
      </c>
      <c r="AS39" s="29">
        <f>'REG y VAL POE - AESR - ESR'!AS3009</f>
        <v>0</v>
      </c>
      <c r="AT39" s="30" t="str">
        <f>'REG y VAL POE - AESR - ESR'!B3010</f>
        <v xml:space="preserve">Ortiz Rodriguez Christian Daniel </v>
      </c>
      <c r="AU39" s="28" t="str">
        <f>'REG y VAL POE - AESR - ESR'!C3010</f>
        <v>Sin Registro</v>
      </c>
      <c r="AV39" s="29">
        <f>'REG y VAL POE - AESR - ESR'!D3010</f>
        <v>23157331</v>
      </c>
      <c r="AW39" s="29">
        <f>'REG y VAL POE - AESR - ESR'!E3010</f>
        <v>0</v>
      </c>
      <c r="AX39" s="29">
        <f>'REG y VAL POE - AESR - ESR'!F3010</f>
        <v>0</v>
      </c>
      <c r="AY39" s="29">
        <f>'REG y VAL POE - AESR - ESR'!G3010</f>
        <v>0</v>
      </c>
      <c r="AZ39" s="29">
        <f>'REG y VAL POE - AESR - ESR'!H3010</f>
        <v>0</v>
      </c>
      <c r="BA39" s="28">
        <f>'REG y VAL POE - AESR - ESR'!I3010</f>
        <v>0</v>
      </c>
      <c r="BB39" s="29">
        <f>'REG y VAL POE - AESR - ESR'!J3010</f>
        <v>0</v>
      </c>
      <c r="BC39" s="29">
        <f>'REG y VAL POE - AESR - ESR'!K3010</f>
        <v>0</v>
      </c>
      <c r="BD39" s="28">
        <f>'REG y VAL POE - AESR - ESR'!L3010</f>
        <v>0</v>
      </c>
      <c r="BE39" s="29">
        <f>'REG y VAL POE - AESR - ESR'!M3010</f>
        <v>0</v>
      </c>
      <c r="BF39" s="30">
        <f>'REG y VAL POE - AESR - ESR'!N3010</f>
        <v>0</v>
      </c>
      <c r="BG39" s="28">
        <f>'REG y VAL POE - AESR - ESR'!O3010</f>
        <v>0</v>
      </c>
      <c r="BH39" s="29">
        <f>'REG y VAL POE - AESR - ESR'!P3010</f>
        <v>0</v>
      </c>
      <c r="BI39" s="29">
        <f>'REG y VAL POE - AESR - ESR'!Q3010</f>
        <v>0</v>
      </c>
      <c r="BJ39" s="29">
        <f>'REG y VAL POE - AESR - ESR'!R3010</f>
        <v>0</v>
      </c>
      <c r="BK39" s="28">
        <f>'REG y VAL POE - AESR - ESR'!S3010</f>
        <v>0</v>
      </c>
      <c r="BL39" s="29">
        <f>'REG y VAL POE - AESR - ESR'!T3010</f>
        <v>0</v>
      </c>
      <c r="BM39" s="29">
        <f>'REG y VAL POE - AESR - ESR'!U3010</f>
        <v>0</v>
      </c>
      <c r="BN39" s="28">
        <f>'REG y VAL POE - AESR - ESR'!V3010</f>
        <v>0</v>
      </c>
      <c r="BO39" s="29">
        <f>'REG y VAL POE - AESR - ESR'!W3010</f>
        <v>0</v>
      </c>
      <c r="BP39" s="30">
        <f>'REG y VAL POE - AESR - ESR'!X3010</f>
        <v>0</v>
      </c>
      <c r="BQ39" s="28">
        <f>'REG y VAL POE - AESR - ESR'!Y3010</f>
        <v>0</v>
      </c>
      <c r="BR39" s="29">
        <f>'REG y VAL POE - AESR - ESR'!Z3010</f>
        <v>0</v>
      </c>
      <c r="BS39" s="29">
        <f>'REG y VAL POE - AESR - ESR'!AA3010</f>
        <v>0</v>
      </c>
      <c r="BT39" s="29">
        <f>'REG y VAL POE - AESR - ESR'!AB3010</f>
        <v>0</v>
      </c>
      <c r="BU39" s="28">
        <f>'REG y VAL POE - AESR - ESR'!AC3010</f>
        <v>0</v>
      </c>
      <c r="BV39" s="29">
        <f>'REG y VAL POE - AESR - ESR'!AD3010</f>
        <v>0</v>
      </c>
      <c r="BW39" s="29">
        <f>'REG y VAL POE - AESR - ESR'!AE3010</f>
        <v>0</v>
      </c>
      <c r="BX39" s="28">
        <f>'REG y VAL POE - AESR - ESR'!AF3010</f>
        <v>0</v>
      </c>
      <c r="BY39" s="29">
        <f>'REG y VAL POE - AESR - ESR'!AG3010</f>
        <v>0</v>
      </c>
      <c r="BZ39" s="30">
        <f>'REG y VAL POE - AESR - ESR'!AH3010</f>
        <v>0</v>
      </c>
      <c r="CA39" s="28">
        <f>'REG y VAL POE - AESR - ESR'!AI3010</f>
        <v>0</v>
      </c>
      <c r="CB39" s="29">
        <f>'REG y VAL POE - AESR - ESR'!AJ3010</f>
        <v>0</v>
      </c>
      <c r="CC39" s="29">
        <f>'REG y VAL POE - AESR - ESR'!AK3010</f>
        <v>0</v>
      </c>
      <c r="CD39" s="29">
        <f>'REG y VAL POE - AESR - ESR'!AL3010</f>
        <v>0</v>
      </c>
      <c r="CE39" s="28">
        <f>'REG y VAL POE - AESR - ESR'!AM3010</f>
        <v>0</v>
      </c>
      <c r="CF39" s="29">
        <f>'REG y VAL POE - AESR - ESR'!AN3010</f>
        <v>0</v>
      </c>
      <c r="CG39" s="29">
        <f>'REG y VAL POE - AESR - ESR'!AO3010</f>
        <v>0</v>
      </c>
      <c r="CH39" s="28">
        <f>'REG y VAL POE - AESR - ESR'!AP3010</f>
        <v>0</v>
      </c>
      <c r="CI39" s="29">
        <f>'REG y VAL POE - AESR - ESR'!AQ3010</f>
        <v>0</v>
      </c>
      <c r="CJ39" s="30">
        <f>'REG y VAL POE - AESR - ESR'!AR3010</f>
        <v>0</v>
      </c>
      <c r="CK39" s="28">
        <f>'REG y VAL POE - AESR - ESR'!AS3010</f>
        <v>0</v>
      </c>
      <c r="CL39" s="29" t="str">
        <f>'REG y VAL POE - AESR - ESR'!B3011</f>
        <v xml:space="preserve">Ozuna Jimenez Alexis David </v>
      </c>
      <c r="CM39" s="29" t="str">
        <f>'REG y VAL POE - AESR - ESR'!C3011</f>
        <v>Sin Registro</v>
      </c>
      <c r="CN39" s="29">
        <f>'REG y VAL POE - AESR - ESR'!D3011</f>
        <v>23046627</v>
      </c>
      <c r="CO39" s="28">
        <f>'REG y VAL POE - AESR - ESR'!E3011</f>
        <v>0</v>
      </c>
      <c r="CP39" s="29">
        <f>'REG y VAL POE - AESR - ESR'!F3011</f>
        <v>0</v>
      </c>
      <c r="CQ39" s="29">
        <f>'REG y VAL POE - AESR - ESR'!G3011</f>
        <v>0</v>
      </c>
      <c r="CR39" s="28">
        <f>'REG y VAL POE - AESR - ESR'!H3011</f>
        <v>0</v>
      </c>
      <c r="CS39" s="29">
        <f>'REG y VAL POE - AESR - ESR'!I3011</f>
        <v>0</v>
      </c>
      <c r="CT39" s="30">
        <f>'REG y VAL POE - AESR - ESR'!J3011</f>
        <v>0</v>
      </c>
      <c r="CU39" s="28">
        <f>'REG y VAL POE - AESR - ESR'!K3011</f>
        <v>0</v>
      </c>
      <c r="CV39" s="29">
        <f>'REG y VAL POE - AESR - ESR'!L3011</f>
        <v>0</v>
      </c>
      <c r="CW39" s="29">
        <f>'REG y VAL POE - AESR - ESR'!M3011</f>
        <v>0</v>
      </c>
      <c r="CX39" s="29">
        <f>'REG y VAL POE - AESR - ESR'!N3011</f>
        <v>0</v>
      </c>
      <c r="CY39" s="28">
        <f>'REG y VAL POE - AESR - ESR'!O3011</f>
        <v>0</v>
      </c>
      <c r="CZ39" s="29">
        <f>'REG y VAL POE - AESR - ESR'!P3011</f>
        <v>0</v>
      </c>
      <c r="DA39" s="29">
        <f>'REG y VAL POE - AESR - ESR'!Q3011</f>
        <v>0</v>
      </c>
      <c r="DB39" s="28">
        <f>'REG y VAL POE - AESR - ESR'!R3011</f>
        <v>0</v>
      </c>
      <c r="DC39" s="29">
        <f>'REG y VAL POE - AESR - ESR'!S3011</f>
        <v>0</v>
      </c>
      <c r="DD39" s="30">
        <f>'REG y VAL POE - AESR - ESR'!T3011</f>
        <v>0</v>
      </c>
      <c r="DE39" s="28">
        <f>'REG y VAL POE - AESR - ESR'!U3011</f>
        <v>0</v>
      </c>
      <c r="DF39" s="29">
        <f>'REG y VAL POE - AESR - ESR'!V3011</f>
        <v>0</v>
      </c>
      <c r="DG39" s="29">
        <f>'REG y VAL POE - AESR - ESR'!W3011</f>
        <v>0</v>
      </c>
      <c r="DH39" s="29">
        <f>'REG y VAL POE - AESR - ESR'!X3011</f>
        <v>0</v>
      </c>
      <c r="DI39" s="28">
        <f>'REG y VAL POE - AESR - ESR'!Y3011</f>
        <v>0</v>
      </c>
      <c r="DJ39" s="29">
        <f>'REG y VAL POE - AESR - ESR'!Z3011</f>
        <v>0</v>
      </c>
      <c r="DK39" s="29">
        <f>'REG y VAL POE - AESR - ESR'!AA3011</f>
        <v>0</v>
      </c>
      <c r="DL39" s="28">
        <f>'REG y VAL POE - AESR - ESR'!AB3011</f>
        <v>0</v>
      </c>
      <c r="DM39" s="29">
        <f>'REG y VAL POE - AESR - ESR'!AC3011</f>
        <v>0</v>
      </c>
      <c r="DN39" s="30">
        <f>'REG y VAL POE - AESR - ESR'!AD3011</f>
        <v>0</v>
      </c>
      <c r="DO39" s="28">
        <f>'REG y VAL POE - AESR - ESR'!AE3011</f>
        <v>0</v>
      </c>
      <c r="DP39" s="29">
        <f>'REG y VAL POE - AESR - ESR'!AF3011</f>
        <v>0</v>
      </c>
      <c r="DQ39" s="29">
        <f>'REG y VAL POE - AESR - ESR'!AG3011</f>
        <v>0</v>
      </c>
      <c r="DR39" s="29">
        <f>'REG y VAL POE - AESR - ESR'!AH3011</f>
        <v>0</v>
      </c>
      <c r="DS39" s="28">
        <f>'REG y VAL POE - AESR - ESR'!AI3011</f>
        <v>0</v>
      </c>
      <c r="DT39" s="29">
        <f>'REG y VAL POE - AESR - ESR'!AJ3011</f>
        <v>0</v>
      </c>
      <c r="DU39" s="29">
        <f>'REG y VAL POE - AESR - ESR'!AK3011</f>
        <v>0</v>
      </c>
      <c r="DV39" s="28">
        <f>'REG y VAL POE - AESR - ESR'!AL3011</f>
        <v>0</v>
      </c>
      <c r="DW39" s="29">
        <f>'REG y VAL POE - AESR - ESR'!AM3011</f>
        <v>0</v>
      </c>
      <c r="DX39" s="30">
        <f>'REG y VAL POE - AESR - ESR'!AN3011</f>
        <v>0</v>
      </c>
      <c r="DY39" s="28">
        <f>'REG y VAL POE - AESR - ESR'!AO3011</f>
        <v>0</v>
      </c>
      <c r="DZ39" s="29">
        <f>'REG y VAL POE - AESR - ESR'!AP3011</f>
        <v>0</v>
      </c>
      <c r="EA39" s="29">
        <f>'REG y VAL POE - AESR - ESR'!AQ3011</f>
        <v>0</v>
      </c>
      <c r="EB39" s="29">
        <f>'REG y VAL POE - AESR - ESR'!AR3011</f>
        <v>0</v>
      </c>
      <c r="EC39" s="28">
        <f>'REG y VAL POE - AESR - ESR'!AS3011</f>
        <v>0</v>
      </c>
      <c r="ED39" s="29" t="str">
        <f>'REG y VAL POE - AESR - ESR'!B3012</f>
        <v xml:space="preserve">Pascual Fuentes Miguel </v>
      </c>
      <c r="EE39" s="28" t="str">
        <f>'REG y VAL POE - AESR - ESR'!C3012</f>
        <v>Sin Registro</v>
      </c>
      <c r="EF39" s="28">
        <f>'REG y VAL POE - AESR - ESR'!D3012</f>
        <v>23165959</v>
      </c>
      <c r="EG39" s="29">
        <f>'REG y VAL POE - AESR - ESR'!E3012</f>
        <v>0</v>
      </c>
      <c r="EH39" s="30">
        <f>'REG y VAL POE - AESR - ESR'!F3012</f>
        <v>0</v>
      </c>
      <c r="EI39" s="28">
        <f>'REG y VAL POE - AESR - ESR'!G3012</f>
        <v>0</v>
      </c>
      <c r="EJ39" s="29">
        <f>'REG y VAL POE - AESR - ESR'!H3012</f>
        <v>0</v>
      </c>
      <c r="EK39" s="29">
        <f>'REG y VAL POE - AESR - ESR'!I3012</f>
        <v>0</v>
      </c>
      <c r="EL39" s="29">
        <f>'REG y VAL POE - AESR - ESR'!J3012</f>
        <v>0</v>
      </c>
      <c r="EM39" s="28">
        <f>'REG y VAL POE - AESR - ESR'!K3012</f>
        <v>0</v>
      </c>
      <c r="EN39" s="29">
        <f>'REG y VAL POE - AESR - ESR'!L3012</f>
        <v>0</v>
      </c>
      <c r="EO39" s="33">
        <f>'REG y VAL POE - AESR - ESR'!M3012</f>
        <v>0</v>
      </c>
      <c r="EP39" s="28">
        <f>'REG y VAL POE - AESR - ESR'!N3012</f>
        <v>0</v>
      </c>
      <c r="EQ39" s="29">
        <f>'REG y VAL POE - AESR - ESR'!O3012</f>
        <v>0</v>
      </c>
      <c r="ER39" s="30">
        <f>'REG y VAL POE - AESR - ESR'!P3012</f>
        <v>0</v>
      </c>
      <c r="ES39" s="28">
        <f>'REG y VAL POE - AESR - ESR'!Q3012</f>
        <v>0</v>
      </c>
      <c r="ET39" s="29">
        <f>'REG y VAL POE - AESR - ESR'!R3012</f>
        <v>0</v>
      </c>
      <c r="EU39" s="29">
        <f>'REG y VAL POE - AESR - ESR'!S3012</f>
        <v>0</v>
      </c>
      <c r="EV39" s="29">
        <f>'REG y VAL POE - AESR - ESR'!T3012</f>
        <v>0</v>
      </c>
      <c r="EW39" s="28">
        <f>'REG y VAL POE - AESR - ESR'!U3012</f>
        <v>0</v>
      </c>
      <c r="EX39" s="29">
        <f>'REG y VAL POE - AESR - ESR'!V3012</f>
        <v>0</v>
      </c>
      <c r="EY39" s="29">
        <f>'REG y VAL POE - AESR - ESR'!W3012</f>
        <v>0</v>
      </c>
      <c r="EZ39" s="28">
        <f>'REG y VAL POE - AESR - ESR'!X3012</f>
        <v>0</v>
      </c>
      <c r="FA39" s="29">
        <f>'REG y VAL POE - AESR - ESR'!Y3012</f>
        <v>0</v>
      </c>
      <c r="FB39" s="30">
        <f>'REG y VAL POE - AESR - ESR'!Z3012</f>
        <v>0</v>
      </c>
      <c r="FC39" s="28">
        <f>'REG y VAL POE - AESR - ESR'!AA3012</f>
        <v>0</v>
      </c>
      <c r="FD39" s="29">
        <f>'REG y VAL POE - AESR - ESR'!AB3012</f>
        <v>0</v>
      </c>
      <c r="FE39" s="29">
        <f>'REG y VAL POE - AESR - ESR'!AC3012</f>
        <v>0</v>
      </c>
      <c r="FF39" s="29">
        <f>'REG y VAL POE - AESR - ESR'!AD3012</f>
        <v>0</v>
      </c>
      <c r="FG39" s="28">
        <f>'REG y VAL POE - AESR - ESR'!AE3012</f>
        <v>0</v>
      </c>
      <c r="FH39" s="29">
        <f>'REG y VAL POE - AESR - ESR'!AF3012</f>
        <v>0</v>
      </c>
      <c r="FI39" s="29">
        <f>'REG y VAL POE - AESR - ESR'!AG3012</f>
        <v>0</v>
      </c>
      <c r="FJ39" s="28">
        <f>'REG y VAL POE - AESR - ESR'!AH3012</f>
        <v>0</v>
      </c>
      <c r="FK39" s="29">
        <f>'REG y VAL POE - AESR - ESR'!AI3012</f>
        <v>0</v>
      </c>
      <c r="FL39" s="30">
        <f>'REG y VAL POE - AESR - ESR'!AJ3012</f>
        <v>0</v>
      </c>
      <c r="FM39" s="28">
        <f>'REG y VAL POE - AESR - ESR'!AK3012</f>
        <v>0</v>
      </c>
      <c r="FN39" s="29">
        <f>'REG y VAL POE - AESR - ESR'!AL3012</f>
        <v>0</v>
      </c>
      <c r="FO39" s="29">
        <f>'REG y VAL POE - AESR - ESR'!AM3012</f>
        <v>0</v>
      </c>
      <c r="FP39" s="29">
        <f>'REG y VAL POE - AESR - ESR'!AN3012</f>
        <v>0</v>
      </c>
      <c r="FQ39" s="28">
        <f>'REG y VAL POE - AESR - ESR'!AO3012</f>
        <v>0</v>
      </c>
      <c r="FR39" s="29">
        <f>'REG y VAL POE - AESR - ESR'!AP3012</f>
        <v>0</v>
      </c>
      <c r="FS39" s="29">
        <f>'REG y VAL POE - AESR - ESR'!AQ3012</f>
        <v>0</v>
      </c>
      <c r="FT39" s="28">
        <f>'REG y VAL POE - AESR - ESR'!AR3012</f>
        <v>0</v>
      </c>
      <c r="FU39" s="29">
        <f>'REG y VAL POE - AESR - ESR'!AS3012</f>
        <v>0</v>
      </c>
      <c r="FV39" s="30" t="str">
        <f>'REG y VAL POE - AESR - ESR'!B3013</f>
        <v xml:space="preserve">Pena Eusebio Horacio Hermilo </v>
      </c>
      <c r="FW39" s="28" t="str">
        <f>'REG y VAL POE - AESR - ESR'!C3013</f>
        <v>Sin Registro</v>
      </c>
      <c r="FX39" s="29">
        <f>'REG y VAL POE - AESR - ESR'!D3013</f>
        <v>23046075</v>
      </c>
      <c r="FY39" s="29">
        <f>'REG y VAL POE - AESR - ESR'!E3013</f>
        <v>0</v>
      </c>
      <c r="FZ39" s="29">
        <f>'REG y VAL POE - AESR - ESR'!F3013</f>
        <v>0</v>
      </c>
      <c r="GA39" s="28">
        <f>'REG y VAL POE - AESR - ESR'!G3013</f>
        <v>0</v>
      </c>
      <c r="GB39" s="29">
        <f>'REG y VAL POE - AESR - ESR'!H3013</f>
        <v>0</v>
      </c>
      <c r="GC39" s="29">
        <f>'REG y VAL POE - AESR - ESR'!I3013</f>
        <v>0</v>
      </c>
      <c r="GD39" s="28">
        <f>'REG y VAL POE - AESR - ESR'!J3013</f>
        <v>0</v>
      </c>
      <c r="GE39" s="29">
        <f>'REG y VAL POE - AESR - ESR'!K3013</f>
        <v>0</v>
      </c>
      <c r="GF39" s="30">
        <f>'REG y VAL POE - AESR - ESR'!L3013</f>
        <v>0</v>
      </c>
      <c r="GG39" s="28">
        <f>'REG y VAL POE - AESR - ESR'!M3013</f>
        <v>0</v>
      </c>
      <c r="GH39" s="29">
        <f>'REG y VAL POE - AESR - ESR'!N3013</f>
        <v>0</v>
      </c>
      <c r="GI39" s="29">
        <f>'REG y VAL POE - AESR - ESR'!O3013</f>
        <v>0</v>
      </c>
      <c r="GJ39" s="29">
        <f>'REG y VAL POE - AESR - ESR'!P3013</f>
        <v>0</v>
      </c>
      <c r="GK39" s="28">
        <f>'REG y VAL POE - AESR - ESR'!Q3013</f>
        <v>0</v>
      </c>
      <c r="GL39" s="29">
        <f>'REG y VAL POE - AESR - ESR'!R3013</f>
        <v>0</v>
      </c>
      <c r="GM39" s="29">
        <f>'REG y VAL POE - AESR - ESR'!S3013</f>
        <v>0</v>
      </c>
      <c r="GN39" s="28">
        <f>'REG y VAL POE - AESR - ESR'!T3013</f>
        <v>0</v>
      </c>
      <c r="GO39" s="29">
        <f>'REG y VAL POE - AESR - ESR'!U3013</f>
        <v>0</v>
      </c>
      <c r="GP39" s="30">
        <f>'REG y VAL POE - AESR - ESR'!V3013</f>
        <v>0</v>
      </c>
      <c r="GQ39" s="28">
        <f>'REG y VAL POE - AESR - ESR'!W3013</f>
        <v>0</v>
      </c>
      <c r="GR39" s="29">
        <f>'REG y VAL POE - AESR - ESR'!X3013</f>
        <v>0</v>
      </c>
      <c r="GS39" s="29">
        <f>'REG y VAL POE - AESR - ESR'!Y3013</f>
        <v>0</v>
      </c>
      <c r="GT39" s="29">
        <f>'REG y VAL POE - AESR - ESR'!Z3013</f>
        <v>0</v>
      </c>
      <c r="GU39" s="28">
        <f>'REG y VAL POE - AESR - ESR'!AA3013</f>
        <v>0</v>
      </c>
      <c r="GV39" s="29">
        <f>'REG y VAL POE - AESR - ESR'!AB3013</f>
        <v>0</v>
      </c>
      <c r="GW39" s="29">
        <f>'REG y VAL POE - AESR - ESR'!AC3013</f>
        <v>0</v>
      </c>
      <c r="GX39" s="28">
        <f>'REG y VAL POE - AESR - ESR'!AD3013</f>
        <v>0</v>
      </c>
      <c r="GY39" s="29">
        <f>'REG y VAL POE - AESR - ESR'!AE3013</f>
        <v>0</v>
      </c>
      <c r="GZ39" s="30">
        <f>'REG y VAL POE - AESR - ESR'!AF3013</f>
        <v>0</v>
      </c>
      <c r="HA39" s="28">
        <f>'REG y VAL POE - AESR - ESR'!AG3013</f>
        <v>0</v>
      </c>
      <c r="HB39" s="29">
        <f>'REG y VAL POE - AESR - ESR'!AH3013</f>
        <v>0</v>
      </c>
      <c r="HC39" s="29">
        <f>'REG y VAL POE - AESR - ESR'!AI3013</f>
        <v>0</v>
      </c>
      <c r="HD39" s="29">
        <f>'REG y VAL POE - AESR - ESR'!AJ3013</f>
        <v>0</v>
      </c>
      <c r="HE39" s="28">
        <f>'REG y VAL POE - AESR - ESR'!AK3013</f>
        <v>0</v>
      </c>
      <c r="HF39" s="29">
        <f>'REG y VAL POE - AESR - ESR'!AL3013</f>
        <v>0</v>
      </c>
      <c r="HG39" s="29">
        <f>'REG y VAL POE - AESR - ESR'!AM3013</f>
        <v>0</v>
      </c>
      <c r="HH39" s="28">
        <f>'REG y VAL POE - AESR - ESR'!AN3013</f>
        <v>0</v>
      </c>
      <c r="HI39" s="29">
        <f>'REG y VAL POE - AESR - ESR'!AO3013</f>
        <v>0</v>
      </c>
      <c r="HJ39" s="30">
        <f>'REG y VAL POE - AESR - ESR'!AP3013</f>
        <v>0</v>
      </c>
      <c r="HK39" s="28">
        <f>'REG y VAL POE - AESR - ESR'!AQ3013</f>
        <v>0</v>
      </c>
      <c r="HL39" s="29">
        <f>'REG y VAL POE - AESR - ESR'!AR3013</f>
        <v>0</v>
      </c>
      <c r="HM39" s="29">
        <f>'REG y VAL POE - AESR - ESR'!AS3013</f>
        <v>0</v>
      </c>
      <c r="HN39" s="29" t="str">
        <f>'REG y VAL POE - AESR - ESR'!B3014</f>
        <v xml:space="preserve">Perez Cano Michelle </v>
      </c>
      <c r="HO39" s="28" t="str">
        <f>'REG y VAL POE - AESR - ESR'!C3014</f>
        <v>Sin Registro</v>
      </c>
      <c r="HP39" s="29">
        <f>'REG y VAL POE - AESR - ESR'!D3014</f>
        <v>23139071</v>
      </c>
      <c r="HQ39" s="29">
        <f>'REG y VAL POE - AESR - ESR'!E3014</f>
        <v>0</v>
      </c>
      <c r="HR39" s="28">
        <f>'REG y VAL POE - AESR - ESR'!F3014</f>
        <v>0</v>
      </c>
      <c r="HS39" s="29">
        <f>'REG y VAL POE - AESR - ESR'!G3014</f>
        <v>0</v>
      </c>
      <c r="HT39" s="30">
        <f>'REG y VAL POE - AESR - ESR'!H3014</f>
        <v>0</v>
      </c>
      <c r="HU39" s="28">
        <f>'REG y VAL POE - AESR - ESR'!I3014</f>
        <v>0</v>
      </c>
      <c r="HV39" s="29">
        <f>'REG y VAL POE - AESR - ESR'!J3014</f>
        <v>0</v>
      </c>
      <c r="HW39" s="29">
        <f>'REG y VAL POE - AESR - ESR'!K3014</f>
        <v>0</v>
      </c>
      <c r="HX39" s="29">
        <f>'REG y VAL POE - AESR - ESR'!L3014</f>
        <v>0</v>
      </c>
      <c r="HY39" s="28">
        <f>'REG y VAL POE - AESR - ESR'!M3014</f>
        <v>0</v>
      </c>
      <c r="HZ39" s="29">
        <f>'REG y VAL POE - AESR - ESR'!N3014</f>
        <v>0</v>
      </c>
      <c r="IA39" s="29">
        <f>'REG y VAL POE - AESR - ESR'!O3014</f>
        <v>0</v>
      </c>
      <c r="IB39" s="28">
        <f>'REG y VAL POE - AESR - ESR'!P3014</f>
        <v>0</v>
      </c>
      <c r="IC39" s="29">
        <f>'REG y VAL POE - AESR - ESR'!Q3014</f>
        <v>0</v>
      </c>
      <c r="ID39" s="30">
        <f>'REG y VAL POE - AESR - ESR'!R3014</f>
        <v>0</v>
      </c>
      <c r="IE39" s="28">
        <f>'REG y VAL POE - AESR - ESR'!S3014</f>
        <v>0</v>
      </c>
      <c r="IF39" s="29">
        <f>'REG y VAL POE - AESR - ESR'!T3014</f>
        <v>0</v>
      </c>
      <c r="IG39" s="29">
        <f>'REG y VAL POE - AESR - ESR'!U3014</f>
        <v>0</v>
      </c>
      <c r="IH39" s="29">
        <f>'REG y VAL POE - AESR - ESR'!V3014</f>
        <v>0</v>
      </c>
      <c r="II39" s="28">
        <f>'REG y VAL POE - AESR - ESR'!W3014</f>
        <v>0</v>
      </c>
      <c r="IJ39" s="29">
        <f>'REG y VAL POE - AESR - ESR'!X3014</f>
        <v>0</v>
      </c>
      <c r="IK39" s="29">
        <f>'REG y VAL POE - AESR - ESR'!Y3014</f>
        <v>0</v>
      </c>
      <c r="IL39" s="28">
        <f>'REG y VAL POE - AESR - ESR'!Z3014</f>
        <v>0</v>
      </c>
      <c r="IM39" s="29">
        <f>'REG y VAL POE - AESR - ESR'!AA3014</f>
        <v>0</v>
      </c>
      <c r="IN39" s="30">
        <f>'REG y VAL POE - AESR - ESR'!AB3014</f>
        <v>0</v>
      </c>
      <c r="IO39" s="28">
        <f>'REG y VAL POE - AESR - ESR'!AC3014</f>
        <v>0</v>
      </c>
      <c r="IP39" s="29">
        <f>'REG y VAL POE - AESR - ESR'!AD3014</f>
        <v>0</v>
      </c>
      <c r="IQ39" s="29">
        <f>'REG y VAL POE - AESR - ESR'!AE3014</f>
        <v>0</v>
      </c>
      <c r="IR39" s="29">
        <f>'REG y VAL POE - AESR - ESR'!AF3014</f>
        <v>0</v>
      </c>
      <c r="IS39" s="28">
        <f>'REG y VAL POE - AESR - ESR'!AG3014</f>
        <v>0</v>
      </c>
      <c r="IT39" s="29">
        <f>'REG y VAL POE - AESR - ESR'!AH3014</f>
        <v>0</v>
      </c>
      <c r="IU39" s="29">
        <f>'REG y VAL POE - AESR - ESR'!AI3014</f>
        <v>0</v>
      </c>
      <c r="IV39" s="28">
        <f>'REG y VAL POE - AESR - ESR'!AJ3014</f>
        <v>0</v>
      </c>
      <c r="IW39" s="29">
        <f>'REG y VAL POE - AESR - ESR'!AK3014</f>
        <v>0</v>
      </c>
      <c r="IX39" s="30">
        <f>'REG y VAL POE - AESR - ESR'!AL3014</f>
        <v>0</v>
      </c>
      <c r="IY39" s="28">
        <f>'REG y VAL POE - AESR - ESR'!AM3014</f>
        <v>0</v>
      </c>
      <c r="IZ39" s="29">
        <f>'REG y VAL POE - AESR - ESR'!AN3014</f>
        <v>0</v>
      </c>
      <c r="JA39" s="29">
        <f>'REG y VAL POE - AESR - ESR'!AO3014</f>
        <v>0</v>
      </c>
      <c r="JB39" s="29">
        <f>'REG y VAL POE - AESR - ESR'!AP3014</f>
        <v>0</v>
      </c>
      <c r="JC39" s="28">
        <f>'REG y VAL POE - AESR - ESR'!AQ3014</f>
        <v>0</v>
      </c>
      <c r="JD39" s="29">
        <f>'REG y VAL POE - AESR - ESR'!AR3014</f>
        <v>0</v>
      </c>
      <c r="JE39" s="29">
        <f>'REG y VAL POE - AESR - ESR'!AS3014</f>
        <v>0</v>
      </c>
      <c r="JF39" s="28" t="str">
        <f>'REG y VAL POE - AESR - ESR'!B3015</f>
        <v xml:space="preserve">Rivera Brindis Imanol </v>
      </c>
      <c r="JG39" s="29" t="str">
        <f>'REG y VAL POE - AESR - ESR'!C3015</f>
        <v>Sin Registro</v>
      </c>
      <c r="JH39" s="30">
        <f>'REG y VAL POE - AESR - ESR'!D3015</f>
        <v>23046622</v>
      </c>
      <c r="JI39" s="28">
        <f>'REG y VAL POE - AESR - ESR'!E3015</f>
        <v>0</v>
      </c>
      <c r="JJ39" s="29">
        <f>'REG y VAL POE - AESR - ESR'!F3015</f>
        <v>0</v>
      </c>
      <c r="JK39" s="29">
        <f>'REG y VAL POE - AESR - ESR'!G3015</f>
        <v>0</v>
      </c>
      <c r="JL39" s="29">
        <f>'REG y VAL POE - AESR - ESR'!H3015</f>
        <v>0</v>
      </c>
      <c r="JM39" s="28">
        <f>'REG y VAL POE - AESR - ESR'!I3015</f>
        <v>0</v>
      </c>
      <c r="JN39" s="29">
        <f>'REG y VAL POE - AESR - ESR'!J3015</f>
        <v>0</v>
      </c>
      <c r="JO39" s="29">
        <f>'REG y VAL POE - AESR - ESR'!K3015</f>
        <v>0</v>
      </c>
      <c r="JP39" s="28">
        <f>'REG y VAL POE - AESR - ESR'!L3015</f>
        <v>0</v>
      </c>
      <c r="JQ39" s="29">
        <f>'REG y VAL POE - AESR - ESR'!M3015</f>
        <v>0</v>
      </c>
      <c r="JR39" s="30">
        <f>'REG y VAL POE - AESR - ESR'!N3015</f>
        <v>0</v>
      </c>
      <c r="JS39" s="28">
        <f>'REG y VAL POE - AESR - ESR'!O3015</f>
        <v>0</v>
      </c>
      <c r="JT39" s="29">
        <f>'REG y VAL POE - AESR - ESR'!P3015</f>
        <v>0</v>
      </c>
      <c r="JU39" s="29">
        <f>'REG y VAL POE - AESR - ESR'!Q3015</f>
        <v>0</v>
      </c>
      <c r="JV39" s="29">
        <f>'REG y VAL POE - AESR - ESR'!R3015</f>
        <v>0</v>
      </c>
      <c r="JW39" s="28">
        <f>'REG y VAL POE - AESR - ESR'!S3015</f>
        <v>0</v>
      </c>
      <c r="JX39" s="29">
        <f>'REG y VAL POE - AESR - ESR'!T3015</f>
        <v>0</v>
      </c>
      <c r="JY39" s="29">
        <f>'REG y VAL POE - AESR - ESR'!U3015</f>
        <v>0</v>
      </c>
      <c r="JZ39" s="28">
        <f>'REG y VAL POE - AESR - ESR'!V3015</f>
        <v>0</v>
      </c>
      <c r="KA39" s="29">
        <f>'REG y VAL POE - AESR - ESR'!W3015</f>
        <v>0</v>
      </c>
      <c r="KB39" s="30">
        <f>'REG y VAL POE - AESR - ESR'!X3015</f>
        <v>0</v>
      </c>
      <c r="KC39" s="28">
        <f>'REG y VAL POE - AESR - ESR'!Y3015</f>
        <v>0</v>
      </c>
      <c r="KD39" s="29">
        <f>'REG y VAL POE - AESR - ESR'!Z3015</f>
        <v>0</v>
      </c>
      <c r="KE39" s="29">
        <f>'REG y VAL POE - AESR - ESR'!AA3015</f>
        <v>0</v>
      </c>
      <c r="KF39" s="29">
        <f>'REG y VAL POE - AESR - ESR'!AB3015</f>
        <v>0</v>
      </c>
      <c r="KG39" s="28">
        <f>'REG y VAL POE - AESR - ESR'!AC3015</f>
        <v>0</v>
      </c>
      <c r="KH39" s="29">
        <f>'REG y VAL POE - AESR - ESR'!AD3015</f>
        <v>0</v>
      </c>
      <c r="KI39" s="29">
        <f>'REG y VAL POE - AESR - ESR'!AE3015</f>
        <v>0</v>
      </c>
      <c r="KJ39" s="28">
        <f>'REG y VAL POE - AESR - ESR'!AF3015</f>
        <v>0</v>
      </c>
      <c r="KK39" s="29">
        <f>'REG y VAL POE - AESR - ESR'!AG3015</f>
        <v>0</v>
      </c>
      <c r="KL39" s="30">
        <f>'REG y VAL POE - AESR - ESR'!AH3015</f>
        <v>0</v>
      </c>
      <c r="KM39" s="28">
        <f>'REG y VAL POE - AESR - ESR'!AI3015</f>
        <v>0</v>
      </c>
      <c r="KN39" s="29">
        <f>'REG y VAL POE - AESR - ESR'!AJ3015</f>
        <v>0</v>
      </c>
      <c r="KO39" s="29">
        <f>'REG y VAL POE - AESR - ESR'!AK3015</f>
        <v>0</v>
      </c>
      <c r="KP39" s="29">
        <f>'REG y VAL POE - AESR - ESR'!AL3015</f>
        <v>0</v>
      </c>
      <c r="KQ39" s="28">
        <f>'REG y VAL POE - AESR - ESR'!AM3015</f>
        <v>0</v>
      </c>
      <c r="KR39" s="29">
        <f>'REG y VAL POE - AESR - ESR'!AN3015</f>
        <v>0</v>
      </c>
      <c r="KS39" s="29">
        <f>'REG y VAL POE - AESR - ESR'!AO3015</f>
        <v>0</v>
      </c>
      <c r="KT39" s="28">
        <f>'REG y VAL POE - AESR - ESR'!AP3015</f>
        <v>0</v>
      </c>
      <c r="KU39" s="29">
        <f>'REG y VAL POE - AESR - ESR'!AQ3015</f>
        <v>0</v>
      </c>
      <c r="KV39" s="30">
        <f>'REG y VAL POE - AESR - ESR'!AR3015</f>
        <v>0</v>
      </c>
      <c r="KW39" s="28">
        <f>'REG y VAL POE - AESR - ESR'!AS3015</f>
        <v>0</v>
      </c>
      <c r="KX39" s="29" t="str">
        <f>'REG y VAL POE - AESR - ESR'!B3016</f>
        <v xml:space="preserve">Rivera Tapia Edwin Alan </v>
      </c>
      <c r="KY39" s="29" t="str">
        <f>'REG y VAL POE - AESR - ESR'!C3016</f>
        <v>Sin Registro</v>
      </c>
      <c r="KZ39" s="29">
        <f>'REG y VAL POE - AESR - ESR'!D3016</f>
        <v>23150032</v>
      </c>
      <c r="LA39" s="28">
        <f>'REG y VAL POE - AESR - ESR'!E3016</f>
        <v>0</v>
      </c>
      <c r="LB39" s="29">
        <f>'REG y VAL POE - AESR - ESR'!F3016</f>
        <v>0</v>
      </c>
      <c r="LC39" s="29">
        <f>'REG y VAL POE - AESR - ESR'!G3016</f>
        <v>0</v>
      </c>
      <c r="LD39" s="28">
        <f>'REG y VAL POE - AESR - ESR'!H3016</f>
        <v>0</v>
      </c>
      <c r="LE39" s="29">
        <f>'REG y VAL POE - AESR - ESR'!I3016</f>
        <v>0</v>
      </c>
      <c r="LF39" s="30">
        <f>'REG y VAL POE - AESR - ESR'!J3016</f>
        <v>0</v>
      </c>
      <c r="LG39" s="28">
        <f>'REG y VAL POE - AESR - ESR'!K3016</f>
        <v>0</v>
      </c>
      <c r="LH39" s="29">
        <f>'REG y VAL POE - AESR - ESR'!L3016</f>
        <v>0</v>
      </c>
      <c r="LI39" s="29">
        <f>'REG y VAL POE - AESR - ESR'!M3016</f>
        <v>0</v>
      </c>
      <c r="LJ39" s="29">
        <f>'REG y VAL POE - AESR - ESR'!N3016</f>
        <v>0</v>
      </c>
      <c r="LK39" s="28">
        <f>'REG y VAL POE - AESR - ESR'!O3016</f>
        <v>0</v>
      </c>
      <c r="LL39" s="29">
        <f>'REG y VAL POE - AESR - ESR'!P3016</f>
        <v>0</v>
      </c>
      <c r="LM39" s="29">
        <f>'REG y VAL POE - AESR - ESR'!Q3016</f>
        <v>0</v>
      </c>
      <c r="LN39" s="28">
        <f>'REG y VAL POE - AESR - ESR'!R3016</f>
        <v>0</v>
      </c>
      <c r="LO39" s="29">
        <f>'REG y VAL POE - AESR - ESR'!S3016</f>
        <v>0</v>
      </c>
      <c r="LP39" s="30">
        <f>'REG y VAL POE - AESR - ESR'!T3016</f>
        <v>0</v>
      </c>
      <c r="LQ39" s="28">
        <f>'REG y VAL POE - AESR - ESR'!U3016</f>
        <v>0</v>
      </c>
      <c r="LR39" s="29">
        <f>'REG y VAL POE - AESR - ESR'!V3016</f>
        <v>0</v>
      </c>
      <c r="LS39" s="29">
        <f>'REG y VAL POE - AESR - ESR'!W3016</f>
        <v>0</v>
      </c>
      <c r="LT39" s="29">
        <f>'REG y VAL POE - AESR - ESR'!X3016</f>
        <v>0</v>
      </c>
      <c r="LU39" s="28">
        <f>'REG y VAL POE - AESR - ESR'!Y3016</f>
        <v>0</v>
      </c>
      <c r="LV39" s="29">
        <f>'REG y VAL POE - AESR - ESR'!Z3016</f>
        <v>0</v>
      </c>
      <c r="LW39" s="29">
        <f>'REG y VAL POE - AESR - ESR'!AA3016</f>
        <v>0</v>
      </c>
      <c r="LX39" s="28">
        <f>'REG y VAL POE - AESR - ESR'!AB3016</f>
        <v>0</v>
      </c>
      <c r="LY39" s="29">
        <f>'REG y VAL POE - AESR - ESR'!AC3016</f>
        <v>0</v>
      </c>
      <c r="LZ39" s="30">
        <f>'REG y VAL POE - AESR - ESR'!AD3016</f>
        <v>0</v>
      </c>
      <c r="MA39" s="28">
        <f>'REG y VAL POE - AESR - ESR'!AE3016</f>
        <v>0</v>
      </c>
      <c r="MB39" s="29">
        <f>'REG y VAL POE - AESR - ESR'!AF3016</f>
        <v>0</v>
      </c>
      <c r="MC39" s="29">
        <f>'REG y VAL POE - AESR - ESR'!AG3016</f>
        <v>0</v>
      </c>
      <c r="MD39" s="29">
        <f>'REG y VAL POE - AESR - ESR'!AH3016</f>
        <v>0</v>
      </c>
      <c r="ME39" s="28">
        <f>'REG y VAL POE - AESR - ESR'!AI3016</f>
        <v>0</v>
      </c>
      <c r="MF39" s="29">
        <f>'REG y VAL POE - AESR - ESR'!AJ3016</f>
        <v>0</v>
      </c>
      <c r="MG39" s="29">
        <f>'REG y VAL POE - AESR - ESR'!AK3016</f>
        <v>0</v>
      </c>
      <c r="MH39" s="28">
        <f>'REG y VAL POE - AESR - ESR'!AL3016</f>
        <v>0</v>
      </c>
      <c r="MI39" s="29">
        <f>'REG y VAL POE - AESR - ESR'!AM3016</f>
        <v>0</v>
      </c>
      <c r="MJ39" s="30">
        <f>'REG y VAL POE - AESR - ESR'!AN3016</f>
        <v>0</v>
      </c>
      <c r="MK39" s="28">
        <f>'REG y VAL POE - AESR - ESR'!AO3016</f>
        <v>0</v>
      </c>
      <c r="ML39" s="29">
        <f>'REG y VAL POE - AESR - ESR'!AP3016</f>
        <v>0</v>
      </c>
      <c r="MM39" s="29">
        <f>'REG y VAL POE - AESR - ESR'!AQ3016</f>
        <v>0</v>
      </c>
      <c r="MN39" s="29">
        <f>'REG y VAL POE - AESR - ESR'!AR3016</f>
        <v>0</v>
      </c>
      <c r="MO39" s="28">
        <f>'REG y VAL POE - AESR - ESR'!AS3016</f>
        <v>0</v>
      </c>
      <c r="MP39" s="29" t="str">
        <f>'REG y VAL POE - AESR - ESR'!B3017</f>
        <v xml:space="preserve">Saldana Gutierrez Adalid </v>
      </c>
      <c r="MQ39" s="29" t="str">
        <f>'REG y VAL POE - AESR - ESR'!C3017</f>
        <v>Sin Registro</v>
      </c>
      <c r="MR39" s="28">
        <f>'REG y VAL POE - AESR - ESR'!D3017</f>
        <v>23139404</v>
      </c>
      <c r="MS39" s="29">
        <f>'REG y VAL POE - AESR - ESR'!E3017</f>
        <v>0</v>
      </c>
      <c r="MT39" s="30">
        <f>'REG y VAL POE - AESR - ESR'!F3017</f>
        <v>0</v>
      </c>
      <c r="MU39" s="28">
        <f>'REG y VAL POE - AESR - ESR'!G3017</f>
        <v>0</v>
      </c>
      <c r="MV39" s="29">
        <f>'REG y VAL POE - AESR - ESR'!H3017</f>
        <v>0</v>
      </c>
      <c r="MW39" s="29">
        <f>'REG y VAL POE - AESR - ESR'!I3017</f>
        <v>0</v>
      </c>
      <c r="MX39" s="29">
        <f>'REG y VAL POE - AESR - ESR'!J3017</f>
        <v>0</v>
      </c>
      <c r="MY39" s="28">
        <f>'REG y VAL POE - AESR - ESR'!K3017</f>
        <v>0</v>
      </c>
      <c r="MZ39" s="29">
        <f>'REG y VAL POE - AESR - ESR'!L3017</f>
        <v>0</v>
      </c>
      <c r="NA39" s="29">
        <f>'REG y VAL POE - AESR - ESR'!M3017</f>
        <v>0</v>
      </c>
      <c r="NB39" s="28">
        <f>'REG y VAL POE - AESR - ESR'!N3017</f>
        <v>0</v>
      </c>
      <c r="NC39" s="29">
        <f>'REG y VAL POE - AESR - ESR'!O3017</f>
        <v>0</v>
      </c>
      <c r="ND39" s="30">
        <f>'REG y VAL POE - AESR - ESR'!P3017</f>
        <v>0</v>
      </c>
      <c r="NE39" s="28">
        <f>'REG y VAL POE - AESR - ESR'!Q3017</f>
        <v>0</v>
      </c>
      <c r="NF39" s="29">
        <f>'REG y VAL POE - AESR - ESR'!R3017</f>
        <v>0</v>
      </c>
      <c r="NG39" s="29">
        <f>'REG y VAL POE - AESR - ESR'!S3017</f>
        <v>0</v>
      </c>
      <c r="NH39" s="29">
        <f>'REG y VAL POE - AESR - ESR'!T3017</f>
        <v>0</v>
      </c>
      <c r="NI39" s="28">
        <f>'REG y VAL POE - AESR - ESR'!U3017</f>
        <v>0</v>
      </c>
      <c r="NJ39" s="29">
        <f>'REG y VAL POE - AESR - ESR'!V3017</f>
        <v>0</v>
      </c>
      <c r="NK39" s="29">
        <f>'REG y VAL POE - AESR - ESR'!W3017</f>
        <v>0</v>
      </c>
      <c r="NL39" s="28">
        <f>'REG y VAL POE - AESR - ESR'!X3017</f>
        <v>0</v>
      </c>
      <c r="NM39" s="29">
        <f>'REG y VAL POE - AESR - ESR'!Y3017</f>
        <v>0</v>
      </c>
      <c r="NN39" s="30">
        <f>'REG y VAL POE - AESR - ESR'!Z3017</f>
        <v>0</v>
      </c>
      <c r="NO39" s="28">
        <f>'REG y VAL POE - AESR - ESR'!AA3017</f>
        <v>0</v>
      </c>
      <c r="NP39" s="29">
        <f>'REG y VAL POE - AESR - ESR'!AB3017</f>
        <v>0</v>
      </c>
      <c r="NQ39" s="29">
        <f>'REG y VAL POE - AESR - ESR'!AC3017</f>
        <v>0</v>
      </c>
      <c r="NR39" s="29">
        <f>'REG y VAL POE - AESR - ESR'!AD3017</f>
        <v>0</v>
      </c>
      <c r="NS39" s="28">
        <f>'REG y VAL POE - AESR - ESR'!AE3017</f>
        <v>0</v>
      </c>
      <c r="NT39" s="29">
        <f>'REG y VAL POE - AESR - ESR'!AF3017</f>
        <v>0</v>
      </c>
      <c r="NU39" s="29">
        <f>'REG y VAL POE - AESR - ESR'!AG3017</f>
        <v>0</v>
      </c>
      <c r="NV39" s="28">
        <f>'REG y VAL POE - AESR - ESR'!AH3017</f>
        <v>0</v>
      </c>
      <c r="NW39" s="29">
        <f>'REG y VAL POE - AESR - ESR'!AI3017</f>
        <v>0</v>
      </c>
      <c r="NX39" s="30">
        <f>'REG y VAL POE - AESR - ESR'!AJ3017</f>
        <v>0</v>
      </c>
      <c r="NY39" s="28">
        <f>'REG y VAL POE - AESR - ESR'!AK3017</f>
        <v>0</v>
      </c>
      <c r="NZ39" s="29">
        <f>'REG y VAL POE - AESR - ESR'!AL3017</f>
        <v>0</v>
      </c>
      <c r="OA39" s="29">
        <f>'REG y VAL POE - AESR - ESR'!AM3017</f>
        <v>0</v>
      </c>
      <c r="OB39" s="29">
        <f>'REG y VAL POE - AESR - ESR'!AN3017</f>
        <v>0</v>
      </c>
      <c r="OC39" s="28">
        <f>'REG y VAL POE - AESR - ESR'!AO3017</f>
        <v>0</v>
      </c>
      <c r="OD39" s="29">
        <f>'REG y VAL POE - AESR - ESR'!AP3017</f>
        <v>0</v>
      </c>
      <c r="OE39" s="29">
        <f>'REG y VAL POE - AESR - ESR'!AQ3017</f>
        <v>0</v>
      </c>
      <c r="OF39" s="30">
        <f>'REG y VAL POE - AESR - ESR'!AR3017</f>
        <v>0</v>
      </c>
      <c r="OG39" s="30">
        <f>'REG y VAL POE - AESR - ESR'!AS3017</f>
        <v>0</v>
      </c>
      <c r="OH39" s="30" t="str">
        <f>'REG y VAL POE - AESR - ESR'!B3018</f>
        <v xml:space="preserve">Velasquez Ojeda Angel Edgardo </v>
      </c>
      <c r="OI39" s="28" t="str">
        <f>'REG y VAL POE - AESR - ESR'!C3018</f>
        <v>Sin Registro</v>
      </c>
      <c r="OJ39" s="30">
        <f>'REG y VAL POE - AESR - ESR'!D3018</f>
        <v>23139077</v>
      </c>
      <c r="OK39" s="30">
        <f>'REG y VAL POE - AESR - ESR'!E3018</f>
        <v>0</v>
      </c>
      <c r="OL39" s="30">
        <f>'REG y VAL POE - AESR - ESR'!F3018</f>
        <v>0</v>
      </c>
      <c r="OM39" s="30">
        <f>'REG y VAL POE - AESR - ESR'!G3018</f>
        <v>0</v>
      </c>
      <c r="ON39" s="30">
        <f>'REG y VAL POE - AESR - ESR'!H3018</f>
        <v>0</v>
      </c>
      <c r="OO39" s="30">
        <f>'REG y VAL POE - AESR - ESR'!I3018</f>
        <v>0</v>
      </c>
      <c r="OP39" s="28">
        <f>'REG y VAL POE - AESR - ESR'!J3018</f>
        <v>0</v>
      </c>
      <c r="OQ39" s="29">
        <f>'REG y VAL POE - AESR - ESR'!K3018</f>
        <v>0</v>
      </c>
      <c r="OR39" s="30">
        <f>'REG y VAL POE - AESR - ESR'!L3018</f>
        <v>0</v>
      </c>
      <c r="OS39" s="28">
        <f>'REG y VAL POE - AESR - ESR'!M3018</f>
        <v>0</v>
      </c>
      <c r="OT39" s="29">
        <f>'REG y VAL POE - AESR - ESR'!N3018</f>
        <v>0</v>
      </c>
      <c r="OU39" s="29">
        <f>'REG y VAL POE - AESR - ESR'!O3018</f>
        <v>0</v>
      </c>
      <c r="OV39" s="29">
        <f>'REG y VAL POE - AESR - ESR'!P3018</f>
        <v>0</v>
      </c>
      <c r="OW39" s="28">
        <f>'REG y VAL POE - AESR - ESR'!Q3018</f>
        <v>0</v>
      </c>
      <c r="OX39" s="29">
        <f>'REG y VAL POE - AESR - ESR'!R3018</f>
        <v>0</v>
      </c>
      <c r="OY39" s="29">
        <f>'REG y VAL POE - AESR - ESR'!S3018</f>
        <v>0</v>
      </c>
      <c r="OZ39" s="28">
        <f>'REG y VAL POE - AESR - ESR'!T3018</f>
        <v>0</v>
      </c>
      <c r="PA39" s="29">
        <f>'REG y VAL POE - AESR - ESR'!U3018</f>
        <v>0</v>
      </c>
      <c r="PB39" s="30">
        <f>'REG y VAL POE - AESR - ESR'!V3018</f>
        <v>0</v>
      </c>
      <c r="PC39" s="28">
        <f>'REG y VAL POE - AESR - ESR'!W3018</f>
        <v>0</v>
      </c>
      <c r="PD39" s="29">
        <f>'REG y VAL POE - AESR - ESR'!X3018</f>
        <v>0</v>
      </c>
      <c r="PE39" s="29">
        <f>'REG y VAL POE - AESR - ESR'!Y3018</f>
        <v>0</v>
      </c>
      <c r="PF39" s="29">
        <f>'REG y VAL POE - AESR - ESR'!Z3018</f>
        <v>0</v>
      </c>
      <c r="PG39" s="28">
        <f>'REG y VAL POE - AESR - ESR'!AA3018</f>
        <v>0</v>
      </c>
      <c r="PH39" s="29">
        <f>'REG y VAL POE - AESR - ESR'!AB3018</f>
        <v>0</v>
      </c>
      <c r="PI39" s="29">
        <f>'REG y VAL POE - AESR - ESR'!AC3018</f>
        <v>0</v>
      </c>
      <c r="PJ39" s="28">
        <f>'REG y VAL POE - AESR - ESR'!AD3018</f>
        <v>0</v>
      </c>
      <c r="PK39" s="29">
        <f>'REG y VAL POE - AESR - ESR'!AE3018</f>
        <v>0</v>
      </c>
      <c r="PL39" s="30">
        <f>'REG y VAL POE - AESR - ESR'!AF3018</f>
        <v>0</v>
      </c>
      <c r="PM39" s="28">
        <f>'REG y VAL POE - AESR - ESR'!AG3018</f>
        <v>0</v>
      </c>
      <c r="PN39" s="29">
        <f>'REG y VAL POE - AESR - ESR'!AH3018</f>
        <v>0</v>
      </c>
      <c r="PO39" s="29">
        <f>'REG y VAL POE - AESR - ESR'!AI3018</f>
        <v>0</v>
      </c>
      <c r="PP39" s="29">
        <f>'REG y VAL POE - AESR - ESR'!AJ3018</f>
        <v>0</v>
      </c>
      <c r="PQ39" s="28">
        <f>'REG y VAL POE - AESR - ESR'!AK3018</f>
        <v>0</v>
      </c>
      <c r="PR39" s="29">
        <f>'REG y VAL POE - AESR - ESR'!AL3018</f>
        <v>0</v>
      </c>
      <c r="PS39" s="29">
        <f>'REG y VAL POE - AESR - ESR'!AM3018</f>
        <v>0</v>
      </c>
      <c r="PT39" s="28">
        <f>'REG y VAL POE - AESR - ESR'!AN3018</f>
        <v>0</v>
      </c>
      <c r="PU39" s="29">
        <f>'REG y VAL POE - AESR - ESR'!AO3018</f>
        <v>0</v>
      </c>
      <c r="PV39" s="30">
        <f>'REG y VAL POE - AESR - ESR'!AP3018</f>
        <v>0</v>
      </c>
      <c r="PW39" s="28">
        <f>'REG y VAL POE - AESR - ESR'!AQ3018</f>
        <v>0</v>
      </c>
      <c r="PX39" s="29">
        <f>'REG y VAL POE - AESR - ESR'!AR3018</f>
        <v>0</v>
      </c>
      <c r="PY39" s="29">
        <f>'REG y VAL POE - AESR - ESR'!AS3018</f>
        <v>0</v>
      </c>
      <c r="PZ39" s="29"/>
      <c r="QA39" s="28"/>
      <c r="QB39" s="29"/>
      <c r="QC39" s="29"/>
      <c r="QD39" s="28"/>
      <c r="QE39" s="29"/>
      <c r="QF39" s="30"/>
      <c r="QG39" s="28"/>
      <c r="QH39" s="29"/>
      <c r="QI39" s="29"/>
      <c r="QJ39" s="29"/>
      <c r="QK39" s="28"/>
      <c r="QL39" s="29"/>
      <c r="QM39" s="29"/>
      <c r="QN39" s="28"/>
      <c r="QO39" s="29"/>
      <c r="QP39" s="30"/>
      <c r="QQ39" s="28"/>
      <c r="QR39" s="29"/>
      <c r="QS39" s="29"/>
      <c r="QT39" s="29"/>
      <c r="QU39" s="28"/>
      <c r="QV39" s="29"/>
      <c r="QW39" s="29"/>
      <c r="QX39" s="28"/>
      <c r="QY39" s="29"/>
      <c r="QZ39" s="30"/>
      <c r="RA39" s="28"/>
      <c r="RB39" s="29"/>
      <c r="RC39" s="29"/>
      <c r="RD39" s="29"/>
      <c r="RE39" s="28"/>
      <c r="RF39" s="29"/>
      <c r="RG39" s="29"/>
      <c r="RH39" s="28"/>
      <c r="RI39" s="29"/>
      <c r="RJ39" s="30"/>
      <c r="RK39" s="28"/>
      <c r="RL39" s="29"/>
      <c r="RM39" s="29"/>
      <c r="RN39" s="29"/>
      <c r="RO39" s="28"/>
      <c r="RP39" s="29"/>
      <c r="RQ39" s="29"/>
      <c r="RR39" s="28"/>
      <c r="RS39" s="29"/>
      <c r="RT39" s="30"/>
      <c r="RU39" s="28"/>
      <c r="RV39" s="29"/>
      <c r="RW39" s="29"/>
      <c r="RX39" s="29"/>
      <c r="RY39" s="28"/>
      <c r="RZ39" s="29"/>
      <c r="SA39" s="29"/>
      <c r="SB39" s="28"/>
      <c r="SC39" s="29"/>
      <c r="SD39" s="30"/>
      <c r="SE39" s="28"/>
      <c r="SF39" s="29"/>
      <c r="SG39" s="29"/>
      <c r="SH39" s="29"/>
      <c r="SI39" s="28"/>
      <c r="SJ39" s="29"/>
      <c r="SK39" s="29"/>
      <c r="SL39" s="28"/>
      <c r="SM39" s="29"/>
      <c r="SN39" s="30"/>
      <c r="SO39" s="28"/>
      <c r="SP39" s="29"/>
      <c r="SQ39" s="29"/>
      <c r="SR39" s="29"/>
      <c r="SS39" s="28"/>
      <c r="ST39" s="29"/>
      <c r="SU39" s="29"/>
      <c r="SV39" s="28"/>
      <c r="SW39" s="29"/>
      <c r="SX39" s="30"/>
      <c r="SY39" s="28"/>
      <c r="SZ39" s="29"/>
      <c r="TA39" s="29"/>
      <c r="TB39" s="29"/>
      <c r="TC39" s="28"/>
      <c r="TD39" s="29"/>
      <c r="TE39" s="29"/>
      <c r="TF39" s="28"/>
      <c r="TG39" s="29"/>
      <c r="TH39" s="30"/>
      <c r="TI39" s="28"/>
      <c r="TJ39" s="29"/>
      <c r="TK39" s="29"/>
      <c r="TL39" s="29"/>
      <c r="TM39" s="28"/>
      <c r="TN39" s="29"/>
      <c r="TO39" s="29"/>
      <c r="TP39" s="28"/>
      <c r="TQ39" s="29"/>
      <c r="TR39" s="30"/>
      <c r="TS39" s="28"/>
      <c r="TT39" s="29"/>
      <c r="TU39" s="29"/>
      <c r="TV39" s="29"/>
      <c r="TW39" s="28"/>
      <c r="TX39" s="29"/>
      <c r="TY39" s="29"/>
      <c r="TZ39" s="28"/>
      <c r="UA39" s="29"/>
      <c r="UB39" s="30"/>
      <c r="UC39" s="28"/>
      <c r="UD39" s="29"/>
      <c r="UE39" s="29"/>
      <c r="UF39" s="29"/>
      <c r="UG39" s="28"/>
      <c r="UH39" s="29"/>
      <c r="UI39" s="29"/>
      <c r="UJ39" s="28"/>
      <c r="UK39" s="29"/>
      <c r="UL39" s="30"/>
      <c r="UM39" s="28"/>
      <c r="UN39" s="29"/>
      <c r="UO39" s="29"/>
      <c r="UP39" s="29"/>
      <c r="UQ39" s="28"/>
      <c r="UR39" s="29"/>
      <c r="US39" s="29"/>
      <c r="UT39" s="28"/>
      <c r="UU39" s="29"/>
      <c r="UV39" s="30"/>
      <c r="UW39" s="28"/>
      <c r="UX39" s="29"/>
      <c r="UY39" s="29"/>
      <c r="UZ39" s="29"/>
      <c r="VA39" s="28"/>
      <c r="VB39" s="29"/>
      <c r="VC39" s="29"/>
      <c r="VD39" s="28"/>
      <c r="VE39" s="29"/>
      <c r="VF39" s="30"/>
      <c r="VG39" s="28"/>
      <c r="VH39" s="29"/>
      <c r="VI39" s="29"/>
      <c r="VJ39" s="29"/>
      <c r="VK39" s="28"/>
      <c r="VL39" s="29"/>
      <c r="VM39" s="29"/>
      <c r="VN39" s="28"/>
      <c r="VO39" s="29"/>
      <c r="VP39" s="30"/>
      <c r="VQ39" s="28"/>
      <c r="VR39" s="29"/>
      <c r="VS39" s="29"/>
      <c r="VT39" s="29"/>
      <c r="VU39" s="28"/>
      <c r="VV39" s="29"/>
      <c r="VW39" s="29"/>
      <c r="VX39" s="28"/>
      <c r="VY39" s="29"/>
      <c r="VZ39" s="30"/>
      <c r="WA39" s="28"/>
      <c r="WB39" s="29"/>
      <c r="WC39" s="29"/>
      <c r="WD39" s="29"/>
      <c r="WE39" s="28"/>
      <c r="WF39" s="29"/>
      <c r="WG39" s="29"/>
      <c r="WH39" s="28"/>
      <c r="WI39" s="29"/>
      <c r="WJ39" s="30"/>
      <c r="WK39" s="28"/>
      <c r="WL39" s="29"/>
      <c r="WM39" s="29"/>
      <c r="WN39" s="29"/>
      <c r="WO39" s="28"/>
      <c r="WP39" s="29"/>
      <c r="WQ39" s="29"/>
      <c r="WR39" s="28"/>
      <c r="WS39" s="29"/>
      <c r="WT39" s="30"/>
      <c r="WU39" s="28"/>
      <c r="WV39" s="29"/>
      <c r="WW39" s="29"/>
      <c r="WX39" s="29"/>
      <c r="WY39" s="28"/>
      <c r="WZ39" s="29"/>
      <c r="XA39" s="29"/>
      <c r="XB39" s="28"/>
      <c r="XC39" s="29"/>
      <c r="XD39" s="30"/>
      <c r="XE39" s="28"/>
      <c r="XF39" s="29"/>
      <c r="XG39" s="29"/>
      <c r="XH39" s="29"/>
      <c r="XI39" s="28"/>
      <c r="XJ39" s="29"/>
      <c r="XK39" s="29"/>
      <c r="XL39" s="28"/>
      <c r="XM39" s="29"/>
      <c r="XN39" s="30"/>
      <c r="XO39" s="28"/>
      <c r="XP39" s="29"/>
      <c r="XQ39" s="29"/>
      <c r="XR39" s="29"/>
      <c r="XS39" s="28"/>
      <c r="XT39" s="29"/>
      <c r="XU39" s="29"/>
      <c r="XV39" s="28"/>
      <c r="XW39" s="29"/>
      <c r="XX39" s="30"/>
      <c r="XY39" s="28"/>
      <c r="XZ39" s="29"/>
      <c r="YA39" s="29"/>
      <c r="YB39" s="29"/>
      <c r="YC39" s="28"/>
      <c r="YD39" s="29"/>
      <c r="YE39" s="29"/>
      <c r="YF39" s="28"/>
      <c r="YG39" s="29"/>
      <c r="YH39" s="30"/>
      <c r="YI39" s="28"/>
      <c r="YJ39" s="29"/>
      <c r="YK39" s="29"/>
      <c r="YL39" s="29"/>
      <c r="YM39" s="28"/>
      <c r="YN39" s="29"/>
      <c r="YO39" s="29"/>
      <c r="YP39" s="28"/>
      <c r="YQ39" s="29"/>
      <c r="YR39" s="30"/>
      <c r="YS39" s="28"/>
      <c r="YT39" s="29"/>
      <c r="YU39" s="29"/>
      <c r="YV39" s="29"/>
      <c r="YW39" s="28"/>
      <c r="YX39" s="29"/>
      <c r="YY39" s="29"/>
      <c r="YZ39" s="28"/>
      <c r="ZA39" s="29"/>
      <c r="ZB39" s="30"/>
      <c r="ZC39" s="28"/>
      <c r="ZD39" s="29"/>
      <c r="ZE39" s="29"/>
      <c r="ZF39" s="29"/>
      <c r="ZG39" s="28"/>
      <c r="ZH39" s="29"/>
      <c r="ZI39" s="29"/>
      <c r="ZJ39" s="28"/>
      <c r="ZK39" s="29"/>
      <c r="ZL39" s="30"/>
      <c r="ZM39" s="28"/>
      <c r="ZN39" s="29"/>
      <c r="ZO39" s="29"/>
      <c r="ZP39" s="29"/>
      <c r="ZQ39" s="28"/>
      <c r="ZR39" s="29"/>
      <c r="ZS39" s="29"/>
      <c r="ZT39" s="28"/>
      <c r="ZU39" s="29"/>
      <c r="ZV39" s="30"/>
      <c r="ZW39" s="28"/>
      <c r="ZX39" s="29"/>
      <c r="ZY39" s="29"/>
      <c r="ZZ39" s="29"/>
      <c r="AAA39" s="28"/>
      <c r="AAB39" s="29"/>
      <c r="AAC39" s="29"/>
      <c r="AAD39" s="28"/>
      <c r="AAE39" s="29"/>
      <c r="AAF39" s="30"/>
      <c r="AAG39" s="28"/>
      <c r="AAH39" s="29"/>
      <c r="AAI39" s="29"/>
      <c r="AAJ39" s="29"/>
      <c r="AAK39" s="28"/>
      <c r="AAL39" s="29"/>
      <c r="AAM39" s="29"/>
      <c r="AAN39" s="28"/>
      <c r="AAO39" s="29"/>
      <c r="AAP39" s="30"/>
      <c r="AAQ39" s="28"/>
      <c r="AAR39" s="29"/>
      <c r="AAS39" s="29"/>
      <c r="AAT39" s="29"/>
      <c r="AAU39" s="28"/>
      <c r="AAV39" s="29"/>
      <c r="AAW39" s="29"/>
      <c r="AAX39" s="28"/>
      <c r="AAY39" s="29"/>
      <c r="AAZ39" s="30"/>
      <c r="ABA39" s="28"/>
      <c r="ABB39" s="29"/>
      <c r="ABC39" s="29"/>
      <c r="ABD39" s="29"/>
      <c r="ABE39" s="28"/>
      <c r="ABF39" s="29"/>
      <c r="ABG39" s="29"/>
      <c r="ABH39" s="28"/>
      <c r="ABI39" s="29"/>
      <c r="ABJ39" s="30"/>
      <c r="ABK39" s="28"/>
      <c r="ABL39" s="29"/>
      <c r="ABM39" s="29"/>
      <c r="ABN39" s="29"/>
      <c r="ABO39" s="28"/>
      <c r="ABP39" s="29"/>
      <c r="ABQ39" s="29"/>
      <c r="ABR39" s="28"/>
      <c r="ABS39" s="29"/>
      <c r="ABT39" s="30"/>
      <c r="ABU39" s="28"/>
      <c r="ABV39" s="29"/>
      <c r="ABW39" s="29"/>
      <c r="ABX39" s="29"/>
      <c r="ABY39" s="28"/>
      <c r="ABZ39" s="29"/>
      <c r="ACA39" s="29"/>
      <c r="ACB39" s="28"/>
      <c r="ACC39" s="29"/>
      <c r="ACD39" s="30"/>
      <c r="ACE39" s="28"/>
      <c r="ACF39" s="29"/>
      <c r="ACG39" s="29"/>
      <c r="ACH39" s="29"/>
      <c r="ACI39" s="28"/>
      <c r="ACJ39" s="29"/>
      <c r="ACK39" s="29"/>
      <c r="ACL39" s="28"/>
      <c r="ACM39" s="29"/>
      <c r="ACN39" s="30"/>
      <c r="ACO39" s="28"/>
      <c r="ACP39" s="29"/>
      <c r="ACQ39" s="29"/>
      <c r="ACR39" s="29"/>
      <c r="ACS39" s="28"/>
      <c r="ACT39" s="29"/>
      <c r="ACU39" s="29"/>
      <c r="ACV39" s="28"/>
      <c r="ACW39" s="29"/>
      <c r="ACX39" s="30"/>
      <c r="ACY39" s="28"/>
      <c r="ACZ39" s="29"/>
      <c r="ADA39" s="29"/>
      <c r="ADB39" s="29"/>
      <c r="ADC39" s="28"/>
      <c r="ADD39" s="29"/>
      <c r="ADE39" s="29"/>
      <c r="ADF39" s="28"/>
      <c r="ADG39" s="29"/>
      <c r="ADH39" s="30"/>
      <c r="ADI39" s="28"/>
      <c r="ADJ39" s="29"/>
      <c r="ADK39" s="29"/>
      <c r="ADL39" s="29"/>
      <c r="ADM39" s="28"/>
      <c r="ADN39" s="29"/>
      <c r="ADO39" s="29"/>
      <c r="ADP39" s="28"/>
      <c r="ADQ39" s="29"/>
      <c r="ADR39" s="30"/>
      <c r="ADS39" s="28"/>
      <c r="ADT39" s="29"/>
      <c r="ADU39" s="29"/>
      <c r="ADV39" s="29"/>
      <c r="ADW39" s="28"/>
      <c r="ADX39" s="29"/>
      <c r="ADY39" s="29"/>
      <c r="ADZ39" s="28"/>
      <c r="AEA39" s="29"/>
      <c r="AEB39" s="30"/>
      <c r="AEC39" s="28"/>
      <c r="AED39" s="29"/>
      <c r="AEE39" s="29"/>
      <c r="AEF39" s="29"/>
      <c r="AEG39" s="28"/>
      <c r="AEH39" s="29"/>
      <c r="AEI39" s="29"/>
      <c r="AEJ39" s="28"/>
      <c r="AEK39" s="29"/>
      <c r="AEL39" s="30"/>
      <c r="AEM39" s="28"/>
      <c r="AEN39" s="29"/>
      <c r="AEO39" s="29"/>
      <c r="AEP39" s="29"/>
      <c r="AEQ39" s="28"/>
      <c r="AER39" s="29"/>
      <c r="AES39" s="29"/>
      <c r="AET39" s="28"/>
      <c r="AEU39" s="29"/>
      <c r="AEV39" s="30"/>
      <c r="AEW39" s="28"/>
      <c r="AEX39" s="29"/>
      <c r="AEY39" s="29"/>
      <c r="AEZ39" s="29"/>
      <c r="AFA39" s="28"/>
      <c r="AFB39" s="29"/>
      <c r="AFC39" s="29"/>
      <c r="AFD39" s="28"/>
      <c r="AFE39" s="29"/>
      <c r="AFF39" s="30"/>
      <c r="AFG39" s="28"/>
      <c r="AFH39" s="29"/>
      <c r="AFI39" s="29"/>
      <c r="AFJ39" s="29"/>
      <c r="AFK39" s="28"/>
      <c r="AFL39" s="29"/>
      <c r="AFM39" s="29"/>
      <c r="AFN39" s="28"/>
      <c r="AFO39" s="29"/>
      <c r="AFP39" s="30"/>
      <c r="AFQ39" s="28"/>
      <c r="AFR39" s="29"/>
      <c r="AFS39" s="29"/>
      <c r="AFT39" s="29"/>
      <c r="AFU39" s="28"/>
      <c r="AFV39" s="29"/>
      <c r="AFW39" s="29"/>
      <c r="AFX39" s="28"/>
      <c r="AFY39" s="29"/>
      <c r="AFZ39" s="30"/>
      <c r="AGA39" s="28"/>
      <c r="AGB39" s="29"/>
      <c r="AGC39" s="29"/>
      <c r="AGD39" s="29"/>
      <c r="AGE39" s="28"/>
      <c r="AGF39" s="29"/>
      <c r="AGG39" s="29"/>
      <c r="AGH39" s="28"/>
      <c r="AGI39" s="29"/>
      <c r="AGJ39" s="30"/>
      <c r="AGK39" s="28"/>
      <c r="AGL39" s="29"/>
      <c r="AGM39" s="29"/>
      <c r="AGN39" s="29"/>
      <c r="AGO39" s="28"/>
      <c r="AGP39" s="29"/>
      <c r="AGQ39" s="29"/>
      <c r="AGR39" s="28"/>
      <c r="AGS39" s="29"/>
      <c r="AGT39" s="30"/>
      <c r="AGU39" s="28"/>
      <c r="AGV39" s="29"/>
      <c r="AGW39" s="29"/>
      <c r="AGX39" s="29"/>
      <c r="AGY39" s="28"/>
      <c r="AGZ39" s="29"/>
      <c r="AHA39" s="29"/>
      <c r="AHB39" s="28"/>
      <c r="AHC39" s="29"/>
      <c r="AHD39" s="30"/>
      <c r="AHE39" s="28"/>
      <c r="AHF39" s="29"/>
      <c r="AHG39" s="29"/>
      <c r="AHH39" s="29"/>
      <c r="AHI39" s="28"/>
      <c r="AHJ39" s="29"/>
      <c r="AHK39" s="29"/>
      <c r="AHL39" s="28"/>
      <c r="AHM39" s="29"/>
      <c r="AHN39" s="30"/>
      <c r="AHO39" s="28"/>
      <c r="AHP39" s="29"/>
      <c r="AHQ39" s="29"/>
      <c r="AHR39" s="29"/>
      <c r="AHS39" s="28"/>
      <c r="AHT39" s="29"/>
      <c r="AHU39" s="29"/>
      <c r="AHV39" s="28"/>
      <c r="AHW39" s="29"/>
      <c r="AHX39" s="30"/>
      <c r="AHY39" s="28"/>
      <c r="AHZ39" s="29"/>
      <c r="AIA39" s="29"/>
      <c r="AIB39" s="29"/>
      <c r="AIC39" s="28"/>
      <c r="AID39" s="29"/>
      <c r="AIE39" s="29"/>
      <c r="AIF39" s="28"/>
      <c r="AIG39" s="29"/>
      <c r="AIH39" s="30"/>
      <c r="AII39" s="28"/>
      <c r="AIJ39" s="29"/>
      <c r="AIK39" s="29"/>
      <c r="AIL39" s="29"/>
      <c r="AIM39" s="28"/>
      <c r="AIN39" s="29"/>
      <c r="AIO39" s="29"/>
      <c r="AIP39" s="28"/>
      <c r="AIQ39" s="29"/>
      <c r="AIR39" s="30"/>
      <c r="AIS39" s="28"/>
      <c r="AIT39" s="29"/>
      <c r="AIU39" s="29"/>
      <c r="AIV39" s="29"/>
      <c r="AIW39" s="28"/>
      <c r="AIX39" s="29"/>
      <c r="AIY39" s="29"/>
      <c r="AIZ39" s="28"/>
      <c r="AJA39" s="29"/>
      <c r="AJB39" s="30"/>
      <c r="AJC39" s="28"/>
      <c r="AJD39" s="29"/>
      <c r="AJE39" s="29"/>
      <c r="AJF39" s="29"/>
      <c r="AJG39" s="28"/>
      <c r="AJH39" s="29"/>
      <c r="AJI39" s="29"/>
      <c r="AJJ39" s="28"/>
      <c r="AJK39" s="29"/>
      <c r="AJL39" s="30"/>
      <c r="AJM39" s="28"/>
      <c r="AJN39" s="29"/>
      <c r="AJO39" s="29"/>
      <c r="AJP39" s="29"/>
      <c r="AJQ39" s="28"/>
      <c r="AJR39" s="29"/>
      <c r="AJS39" s="29"/>
      <c r="AJT39" s="28"/>
      <c r="AJU39" s="29"/>
      <c r="AJV39" s="30"/>
      <c r="AJW39" s="28"/>
      <c r="AJX39" s="29"/>
      <c r="AJY39" s="29"/>
      <c r="AJZ39" s="29"/>
      <c r="AKA39" s="28"/>
      <c r="AKB39" s="29"/>
      <c r="AKC39" s="29"/>
      <c r="AKD39" s="28"/>
      <c r="AKE39" s="29"/>
      <c r="AKF39" s="30"/>
      <c r="AKG39" s="28"/>
      <c r="AKH39" s="29"/>
      <c r="AKI39" s="29"/>
      <c r="AKJ39" s="29"/>
      <c r="AKK39" s="28"/>
      <c r="AKL39" s="29"/>
      <c r="AKM39" s="29"/>
      <c r="AKN39" s="28"/>
      <c r="AKO39" s="29"/>
      <c r="AKP39" s="30"/>
      <c r="AKQ39" s="28"/>
      <c r="AKR39" s="29"/>
      <c r="AKS39" s="29"/>
      <c r="AKT39" s="29"/>
      <c r="AKU39" s="28"/>
      <c r="AKV39" s="29"/>
      <c r="AKW39" s="29"/>
      <c r="AKX39" s="28"/>
      <c r="AKY39" s="29"/>
      <c r="AKZ39" s="30"/>
      <c r="ALA39" s="28"/>
      <c r="ALB39" s="29"/>
      <c r="ALC39" s="29"/>
      <c r="ALD39" s="29"/>
      <c r="ALE39" s="28"/>
      <c r="ALF39" s="29"/>
      <c r="ALG39" s="29"/>
      <c r="ALH39" s="29"/>
      <c r="ALI39" s="29"/>
      <c r="ALJ39" s="29"/>
      <c r="ALK39" s="28"/>
      <c r="ALL39" s="29"/>
      <c r="ALM39" s="29"/>
      <c r="ALN39" s="28"/>
      <c r="ALO39" s="29"/>
      <c r="ALP39" s="30"/>
      <c r="ALQ39" s="28"/>
      <c r="ALR39" s="29"/>
      <c r="ALS39" s="29"/>
      <c r="ALT39" s="29"/>
      <c r="ALU39" s="28"/>
      <c r="ALV39" s="29"/>
      <c r="ALW39" s="29"/>
      <c r="ALX39" s="28"/>
      <c r="ALY39" s="29"/>
      <c r="ALZ39" s="30"/>
      <c r="AMA39" s="28"/>
      <c r="AMB39" s="29"/>
      <c r="AMC39" s="29"/>
      <c r="AMD39" s="29"/>
      <c r="AME39" s="28"/>
      <c r="AMF39" s="29"/>
      <c r="AMG39" s="29"/>
      <c r="AMH39" s="29"/>
      <c r="AMI39" s="29"/>
      <c r="AMJ39" s="29"/>
      <c r="AMK39" s="28"/>
      <c r="AML39" s="29"/>
      <c r="AMM39" s="29"/>
      <c r="AMN39" s="28"/>
      <c r="AMO39" s="29"/>
      <c r="AMP39" s="30"/>
      <c r="AMQ39" s="28"/>
      <c r="AMR39" s="29"/>
      <c r="AMS39" s="29"/>
      <c r="AMT39" s="29"/>
      <c r="AMU39" s="28"/>
      <c r="AMV39" s="29"/>
      <c r="AMW39" s="29"/>
      <c r="AMX39" s="28"/>
      <c r="AMY39" s="29"/>
      <c r="AMZ39" s="30"/>
      <c r="ANA39" s="28"/>
      <c r="ANB39" s="29"/>
      <c r="ANC39" s="29"/>
      <c r="AND39" s="29"/>
      <c r="ANE39" s="28"/>
      <c r="ANF39" s="29"/>
      <c r="ANG39" s="29"/>
      <c r="ANH39" s="29"/>
      <c r="ANI39" s="29"/>
      <c r="ANJ39" s="29"/>
      <c r="ANK39" s="28"/>
      <c r="ANL39" s="29"/>
      <c r="ANM39" s="29"/>
      <c r="ANN39" s="28"/>
      <c r="ANO39" s="29"/>
      <c r="ANP39" s="30"/>
      <c r="ANQ39" s="28"/>
      <c r="ANR39" s="29"/>
      <c r="ANS39" s="29"/>
      <c r="ANT39" s="29"/>
      <c r="ANU39" s="28"/>
      <c r="ANV39" s="29"/>
      <c r="ANW39" s="29"/>
      <c r="ANX39" s="28"/>
      <c r="ANY39" s="29"/>
      <c r="ANZ39" s="30"/>
      <c r="AOA39" s="28"/>
      <c r="AOB39" s="29"/>
      <c r="AOC39" s="29"/>
      <c r="AOD39" s="29"/>
      <c r="AOE39" s="28"/>
      <c r="AOF39" s="29"/>
      <c r="AOG39" s="29"/>
      <c r="AOH39" s="29"/>
      <c r="AOI39" s="29"/>
      <c r="AOJ39" s="29"/>
      <c r="AOK39" s="28"/>
      <c r="AOL39" s="29"/>
      <c r="AOM39" s="29"/>
      <c r="AON39" s="28"/>
      <c r="AOO39" s="29"/>
      <c r="AOP39" s="30"/>
      <c r="AOQ39" s="28"/>
      <c r="AOR39" s="29"/>
      <c r="AOS39" s="29"/>
      <c r="AOT39" s="29"/>
      <c r="AOU39" s="28"/>
      <c r="AOV39" s="29"/>
      <c r="AOW39" s="29"/>
      <c r="AOX39" s="28"/>
      <c r="AOY39" s="29"/>
      <c r="AOZ39" s="30"/>
      <c r="APA39" s="28"/>
      <c r="APB39" s="29"/>
      <c r="APC39" s="29"/>
      <c r="APD39" s="29"/>
      <c r="APE39" s="28"/>
      <c r="APF39" s="29"/>
      <c r="APG39" s="29"/>
      <c r="APH39" s="29"/>
      <c r="API39" s="29"/>
      <c r="APJ39" s="29"/>
      <c r="APK39" s="28"/>
      <c r="APL39" s="29"/>
      <c r="APM39" s="29"/>
      <c r="APN39" s="28"/>
      <c r="APO39" s="29"/>
      <c r="APP39" s="30"/>
      <c r="APQ39" s="28"/>
      <c r="APR39" s="29"/>
      <c r="APS39" s="29"/>
      <c r="APT39" s="29"/>
      <c r="APU39" s="28"/>
      <c r="APV39" s="29"/>
      <c r="APW39" s="29"/>
      <c r="APX39" s="28"/>
      <c r="APY39" s="29"/>
      <c r="APZ39" s="30"/>
      <c r="AQA39" s="28"/>
      <c r="AQB39" s="29"/>
      <c r="AQC39" s="29"/>
      <c r="AQD39" s="29"/>
      <c r="AQE39" s="28"/>
      <c r="AQF39" s="29"/>
      <c r="AQG39" s="29"/>
      <c r="AQH39" s="29"/>
      <c r="AQI39" s="29"/>
      <c r="AQJ39" s="29"/>
      <c r="AQK39" s="28"/>
      <c r="AQL39" s="29"/>
      <c r="AQM39" s="29"/>
      <c r="AQN39" s="28"/>
      <c r="AQO39" s="29"/>
      <c r="AQP39" s="30"/>
      <c r="AQQ39" s="28"/>
      <c r="AQR39" s="29"/>
      <c r="AQS39" s="29"/>
      <c r="AQT39" s="29"/>
      <c r="AQU39" s="28"/>
      <c r="AQV39" s="29"/>
      <c r="AQW39" s="29"/>
      <c r="AQX39" s="28"/>
      <c r="AQY39" s="29"/>
      <c r="AQZ39" s="30"/>
      <c r="ARA39" s="28"/>
      <c r="ARB39" s="29"/>
      <c r="ARC39" s="29"/>
      <c r="ARD39" s="29"/>
      <c r="ARE39" s="28"/>
      <c r="ARF39" s="29"/>
      <c r="ARG39" s="29"/>
      <c r="ARH39" s="29"/>
      <c r="ARI39" s="29"/>
      <c r="ARJ39" s="29"/>
      <c r="ARK39" s="28"/>
      <c r="ARL39" s="29"/>
      <c r="ARM39" s="29"/>
      <c r="ARN39" s="28"/>
      <c r="ARO39" s="29"/>
      <c r="ARP39" s="30"/>
      <c r="ARQ39" s="28"/>
      <c r="ARR39" s="29"/>
      <c r="ARS39" s="29"/>
      <c r="ART39" s="29"/>
      <c r="ARU39" s="28"/>
      <c r="ARV39" s="29"/>
      <c r="ARW39" s="29"/>
      <c r="ARX39" s="28"/>
      <c r="ARY39" s="29"/>
      <c r="ARZ39" s="30"/>
      <c r="ASA39" s="28"/>
      <c r="ASB39" s="29"/>
      <c r="ASC39" s="29"/>
      <c r="ASD39" s="29"/>
      <c r="ASE39" s="28"/>
      <c r="ASF39" s="29"/>
      <c r="ASG39" s="29"/>
      <c r="ASH39" s="29"/>
      <c r="ASI39" s="29"/>
      <c r="ASJ39" s="29"/>
      <c r="ASK39" s="28"/>
      <c r="ASL39" s="29"/>
      <c r="ASM39" s="29"/>
      <c r="ASN39" s="28"/>
      <c r="ASO39" s="29"/>
      <c r="ASP39" s="30"/>
      <c r="ASQ39" s="28"/>
      <c r="ASR39" s="29"/>
      <c r="ASS39" s="29"/>
      <c r="AST39" s="29"/>
      <c r="ASU39" s="28"/>
      <c r="ASV39" s="29"/>
      <c r="ASW39" s="29"/>
      <c r="ASX39" s="28"/>
      <c r="ASY39" s="29"/>
      <c r="ASZ39" s="30"/>
      <c r="ATA39" s="28"/>
      <c r="ATB39" s="29"/>
      <c r="ATC39" s="29"/>
      <c r="ATD39" s="29"/>
      <c r="ATE39" s="28"/>
      <c r="ATF39" s="29"/>
      <c r="ATG39" s="29"/>
      <c r="ATH39" s="29"/>
      <c r="ATI39" s="29"/>
      <c r="ATJ39" s="29"/>
      <c r="ATK39" s="28"/>
      <c r="ATL39" s="29"/>
      <c r="ATM39" s="29"/>
      <c r="ATN39" s="28"/>
      <c r="ATO39" s="29"/>
      <c r="ATP39" s="30"/>
      <c r="ATQ39" s="28"/>
      <c r="ATR39" s="29"/>
      <c r="ATS39" s="29"/>
      <c r="ATT39" s="29"/>
      <c r="ATU39" s="28"/>
      <c r="ATV39" s="29"/>
      <c r="ATW39" s="29"/>
      <c r="ATX39" s="28"/>
      <c r="ATY39" s="29"/>
      <c r="ATZ39" s="30"/>
      <c r="AUA39" s="28"/>
      <c r="AUB39" s="29"/>
      <c r="AUC39" s="29"/>
      <c r="AUD39" s="29"/>
      <c r="AUE39" s="28"/>
      <c r="AUF39" s="29"/>
      <c r="AUG39" s="29"/>
      <c r="AUH39" s="29"/>
      <c r="AUI39" s="29"/>
      <c r="AUJ39" s="29"/>
      <c r="AUK39" s="28"/>
      <c r="AUL39" s="29"/>
      <c r="AUM39" s="29"/>
      <c r="AUN39" s="28"/>
      <c r="AUO39" s="29"/>
      <c r="AUP39" s="30"/>
      <c r="AUQ39" s="28"/>
      <c r="AUR39" s="29"/>
      <c r="AUS39" s="29"/>
      <c r="AUT39" s="29"/>
      <c r="AUU39" s="28"/>
      <c r="AUV39" s="29"/>
      <c r="AUW39" s="29"/>
      <c r="AUX39" s="28"/>
      <c r="AUY39" s="29"/>
      <c r="AUZ39" s="30"/>
      <c r="AVA39" s="28"/>
      <c r="AVB39" s="29"/>
      <c r="AVC39" s="29"/>
      <c r="AVD39" s="29"/>
      <c r="AVE39" s="28"/>
      <c r="AVF39" s="29"/>
      <c r="AVG39" s="29"/>
      <c r="AVH39" s="29"/>
      <c r="AVI39" s="29"/>
      <c r="AVJ39" s="29"/>
      <c r="AVK39" s="28"/>
      <c r="AVL39" s="29"/>
      <c r="AVM39" s="29"/>
      <c r="AVN39" s="28"/>
      <c r="AVO39" s="29"/>
      <c r="AVP39" s="30"/>
      <c r="AVQ39" s="28"/>
      <c r="AVR39" s="29"/>
      <c r="AVS39" s="29"/>
      <c r="AVT39" s="29"/>
      <c r="AVU39" s="28"/>
      <c r="AVV39" s="29"/>
      <c r="AVW39" s="29"/>
      <c r="AVX39" s="28"/>
      <c r="AVY39" s="29"/>
      <c r="AVZ39" s="30"/>
      <c r="AWA39" s="28"/>
      <c r="AWB39" s="29"/>
      <c r="AWC39" s="29"/>
      <c r="AWD39" s="29"/>
      <c r="AWE39" s="28"/>
      <c r="AWF39" s="29"/>
      <c r="AWG39" s="29"/>
      <c r="AWH39" s="29"/>
      <c r="AWI39" s="29"/>
      <c r="AWJ39" s="29"/>
      <c r="AWK39" s="28"/>
      <c r="AWL39" s="29"/>
      <c r="AWM39" s="29"/>
      <c r="AWN39" s="28"/>
      <c r="AWO39" s="29"/>
      <c r="AWP39" s="30"/>
      <c r="AWQ39" s="28"/>
      <c r="AWR39" s="29"/>
      <c r="AWS39" s="29"/>
      <c r="AWT39" s="29"/>
      <c r="AWU39" s="28"/>
      <c r="AWV39" s="29"/>
      <c r="AWW39" s="29"/>
      <c r="AWX39" s="28"/>
      <c r="AWY39" s="29"/>
      <c r="AWZ39" s="30"/>
      <c r="AXA39" s="28"/>
      <c r="AXB39" s="29"/>
      <c r="AXC39" s="29"/>
      <c r="AXD39" s="29"/>
      <c r="AXE39" s="28"/>
      <c r="AXF39" s="29"/>
      <c r="AXG39" s="29"/>
      <c r="AXH39" s="29"/>
      <c r="AXI39" s="29"/>
      <c r="AXJ39" s="29"/>
      <c r="AXK39" s="28"/>
      <c r="AXL39" s="29"/>
      <c r="AXM39" s="29"/>
      <c r="AXN39" s="28"/>
      <c r="AXO39" s="29"/>
      <c r="AXP39" s="30"/>
      <c r="AXQ39" s="28"/>
      <c r="AXR39" s="29"/>
      <c r="AXS39" s="29"/>
      <c r="AXT39" s="29"/>
      <c r="AXU39" s="28"/>
      <c r="AXV39" s="29"/>
      <c r="AXW39" s="29"/>
      <c r="AXX39" s="28"/>
      <c r="AXY39" s="29"/>
      <c r="AXZ39" s="30"/>
      <c r="AYA39" s="28"/>
      <c r="AYB39" s="29"/>
      <c r="AYC39" s="29"/>
      <c r="AYD39" s="29"/>
      <c r="AYE39" s="28"/>
      <c r="AYF39" s="29"/>
      <c r="AYG39" s="29"/>
      <c r="AYH39" s="29"/>
      <c r="AYI39" s="29"/>
      <c r="AYJ39" s="29"/>
      <c r="AYK39" s="28"/>
      <c r="AYL39" s="29"/>
      <c r="AYM39" s="29"/>
      <c r="AYN39" s="28"/>
      <c r="AYO39" s="29"/>
      <c r="AYP39" s="30"/>
      <c r="AYQ39" s="28"/>
      <c r="AYR39" s="29"/>
      <c r="AYS39" s="29"/>
      <c r="AYT39" s="29"/>
      <c r="AYU39" s="28"/>
      <c r="AYV39" s="29"/>
      <c r="AYW39" s="29"/>
      <c r="AYX39" s="28"/>
      <c r="AYY39" s="29"/>
      <c r="AYZ39" s="30"/>
      <c r="AZA39" s="28"/>
      <c r="AZB39" s="29"/>
      <c r="AZC39" s="29"/>
      <c r="AZD39" s="29"/>
      <c r="AZE39" s="28"/>
      <c r="AZF39" s="29"/>
      <c r="AZG39" s="29"/>
      <c r="AZH39" s="29"/>
      <c r="AZI39" s="29"/>
      <c r="AZJ39" s="29"/>
      <c r="AZK39" s="28"/>
      <c r="AZL39" s="29"/>
      <c r="AZM39" s="29"/>
      <c r="AZN39" s="28"/>
      <c r="AZO39" s="29"/>
      <c r="AZP39" s="30"/>
      <c r="AZQ39" s="28"/>
      <c r="AZR39" s="29"/>
      <c r="AZS39" s="29"/>
      <c r="AZT39" s="29"/>
      <c r="AZU39" s="28"/>
      <c r="AZV39" s="29"/>
      <c r="AZW39" s="29"/>
      <c r="AZX39" s="28"/>
      <c r="AZY39" s="29"/>
      <c r="AZZ39" s="30"/>
      <c r="BAA39" s="28"/>
      <c r="BAB39" s="29"/>
      <c r="BAC39" s="29"/>
      <c r="BAD39" s="29"/>
      <c r="BAE39" s="28"/>
      <c r="BAF39" s="29"/>
      <c r="BAG39" s="29"/>
      <c r="BAH39" s="29"/>
      <c r="BAI39" s="29"/>
      <c r="BAJ39" s="29"/>
      <c r="BAK39" s="28"/>
      <c r="BAL39" s="29"/>
      <c r="BAM39" s="29"/>
      <c r="BAN39" s="28"/>
      <c r="BAO39" s="29"/>
      <c r="BAP39" s="30"/>
      <c r="BAQ39" s="28"/>
      <c r="BAR39" s="29"/>
      <c r="BAS39" s="29"/>
      <c r="BAT39" s="29"/>
      <c r="BAU39" s="28"/>
      <c r="BAV39" s="29"/>
      <c r="BAW39" s="29"/>
      <c r="BAX39" s="28"/>
      <c r="BAY39" s="29"/>
      <c r="BAZ39" s="30"/>
      <c r="BBA39" s="28"/>
      <c r="BBB39" s="29"/>
      <c r="BBC39" s="29"/>
      <c r="BBD39" s="29"/>
      <c r="BBE39" s="28"/>
      <c r="BBF39" s="29"/>
      <c r="BBG39" s="29"/>
      <c r="BBH39" s="29"/>
      <c r="BBI39" s="29"/>
      <c r="BBJ39" s="29"/>
      <c r="BBK39" s="28"/>
      <c r="BBL39" s="29"/>
      <c r="BBM39" s="29"/>
      <c r="BBN39" s="28"/>
      <c r="BBO39" s="29"/>
      <c r="BBP39" s="30"/>
      <c r="BBQ39" s="28"/>
      <c r="BBR39" s="29"/>
      <c r="BBS39" s="29"/>
      <c r="BBT39" s="29"/>
      <c r="BBU39" s="28"/>
      <c r="BBV39" s="29"/>
      <c r="BBW39" s="29"/>
      <c r="BBX39" s="28"/>
      <c r="BBY39" s="29"/>
      <c r="BBZ39" s="30"/>
      <c r="BCA39" s="28"/>
      <c r="BCB39" s="29"/>
      <c r="BCC39" s="29"/>
      <c r="BCD39" s="29"/>
      <c r="BCE39" s="28"/>
      <c r="BCF39" s="29"/>
      <c r="BCG39" s="29"/>
      <c r="BCH39" s="29"/>
      <c r="BCI39" s="29"/>
      <c r="BCJ39" s="29"/>
      <c r="BCK39" s="28"/>
      <c r="BCL39" s="29"/>
      <c r="BCM39" s="29"/>
      <c r="BCN39" s="28"/>
      <c r="BCO39" s="29"/>
      <c r="BCP39" s="30"/>
      <c r="BCQ39" s="28"/>
      <c r="BCR39" s="29"/>
      <c r="BCS39" s="29"/>
      <c r="BCT39" s="29"/>
      <c r="BCU39" s="28"/>
      <c r="BCV39" s="29"/>
      <c r="BCW39" s="29"/>
      <c r="BCX39" s="28"/>
      <c r="BCY39" s="29"/>
      <c r="BCZ39" s="30"/>
      <c r="BDA39" s="28"/>
      <c r="BDB39" s="29"/>
      <c r="BDC39" s="29"/>
      <c r="BDD39" s="29"/>
      <c r="BDE39" s="28"/>
      <c r="BDF39" s="29"/>
      <c r="BDG39" s="29"/>
      <c r="BDH39" s="29"/>
      <c r="BDI39" s="29"/>
      <c r="BDJ39" s="29"/>
      <c r="BDK39" s="28"/>
      <c r="BDL39" s="29"/>
      <c r="BDM39" s="29"/>
      <c r="BDN39" s="28"/>
      <c r="BDO39" s="29"/>
      <c r="BDP39" s="30"/>
      <c r="BDQ39" s="28"/>
      <c r="BDR39" s="29"/>
      <c r="BDS39" s="29"/>
      <c r="BDT39" s="29"/>
      <c r="BDU39" s="28"/>
      <c r="BDV39" s="29"/>
      <c r="BDW39" s="29"/>
      <c r="BDX39" s="28"/>
      <c r="BDY39" s="29"/>
      <c r="BDZ39" s="30"/>
      <c r="BEA39" s="28"/>
      <c r="BEB39" s="29"/>
      <c r="BEC39" s="29"/>
      <c r="BED39" s="29"/>
      <c r="BEE39" s="28"/>
      <c r="BEF39" s="29"/>
      <c r="BEG39" s="29"/>
      <c r="BEH39" s="29"/>
      <c r="BEI39" s="29"/>
      <c r="BEJ39" s="29"/>
      <c r="BEK39" s="28"/>
      <c r="BEL39" s="29"/>
      <c r="BEM39" s="29"/>
      <c r="BEN39" s="28"/>
      <c r="BEO39" s="29"/>
      <c r="BEP39" s="30"/>
      <c r="BEQ39" s="28"/>
      <c r="BER39" s="29"/>
      <c r="BES39" s="29"/>
      <c r="BET39" s="29"/>
      <c r="BEU39" s="28"/>
      <c r="BEV39" s="29"/>
      <c r="BEW39" s="29"/>
      <c r="BEX39" s="28"/>
      <c r="BEY39" s="29"/>
      <c r="BEZ39" s="30"/>
      <c r="BFA39" s="28"/>
      <c r="BFB39" s="29"/>
      <c r="BFC39" s="29"/>
      <c r="BFD39" s="29"/>
      <c r="BFE39" s="28"/>
      <c r="BFF39" s="29"/>
      <c r="BFG39" s="29"/>
      <c r="BFH39" s="29"/>
      <c r="BFI39" s="29"/>
      <c r="BFJ39" s="29"/>
      <c r="BFK39" s="28"/>
      <c r="BFL39" s="29"/>
      <c r="BFM39" s="29"/>
      <c r="BFN39" s="28"/>
      <c r="BFO39" s="29"/>
      <c r="BFP39" s="30"/>
      <c r="BFQ39" s="28"/>
      <c r="BFR39" s="29"/>
      <c r="BFS39" s="29"/>
      <c r="BFT39" s="29"/>
      <c r="BFU39" s="28"/>
      <c r="BFV39" s="29"/>
      <c r="BFW39" s="29"/>
      <c r="BFX39" s="28"/>
      <c r="BFY39" s="29"/>
      <c r="BFZ39" s="30"/>
      <c r="BGA39" s="28"/>
      <c r="BGB39" s="29"/>
      <c r="BGC39" s="29"/>
      <c r="BGD39" s="29"/>
      <c r="BGE39" s="28"/>
      <c r="BGF39" s="29"/>
      <c r="BGG39" s="29"/>
      <c r="BGH39" s="29"/>
      <c r="BGI39" s="29"/>
      <c r="BGJ39" s="29"/>
      <c r="BGK39" s="28"/>
      <c r="BGL39" s="29"/>
      <c r="BGM39" s="29"/>
      <c r="BGN39" s="28"/>
      <c r="BGO39" s="29"/>
      <c r="BGP39" s="30"/>
      <c r="BGQ39" s="28"/>
      <c r="BGR39" s="29"/>
      <c r="BGS39" s="29"/>
      <c r="BGT39" s="29"/>
      <c r="BGU39" s="28"/>
      <c r="BGV39" s="29"/>
      <c r="BGW39" s="29"/>
      <c r="BGX39" s="28"/>
      <c r="BGY39" s="29"/>
      <c r="BGZ39" s="30"/>
      <c r="BHA39" s="28"/>
      <c r="BHB39" s="29"/>
      <c r="BHC39" s="29"/>
      <c r="BHD39" s="29"/>
      <c r="BHE39" s="28"/>
      <c r="BHF39" s="29"/>
      <c r="BHG39" s="29"/>
      <c r="BHH39" s="29"/>
      <c r="BHI39" s="29"/>
      <c r="BHJ39" s="29"/>
      <c r="BHK39" s="28"/>
      <c r="BHL39" s="29"/>
      <c r="BHM39" s="29"/>
      <c r="BHN39" s="28"/>
      <c r="BHO39" s="29"/>
      <c r="BHP39" s="30"/>
      <c r="BHQ39" s="28"/>
      <c r="BHR39" s="29"/>
      <c r="BHS39" s="29"/>
      <c r="BHT39" s="29"/>
      <c r="BHU39" s="28"/>
      <c r="BHV39" s="29"/>
      <c r="BHW39" s="29"/>
      <c r="BHX39" s="28"/>
      <c r="BHY39" s="29"/>
      <c r="BHZ39" s="30"/>
      <c r="BIA39" s="28"/>
      <c r="BIB39" s="29"/>
      <c r="BIC39" s="29"/>
      <c r="BID39" s="29"/>
      <c r="BIE39" s="28"/>
      <c r="BIF39" s="29"/>
      <c r="BIG39" s="29"/>
      <c r="BIH39" s="29"/>
      <c r="BII39" s="29"/>
      <c r="BIJ39" s="29"/>
      <c r="BIK39" s="28"/>
      <c r="BIL39" s="29"/>
      <c r="BIM39" s="29"/>
      <c r="BIN39" s="28"/>
      <c r="BIO39" s="29"/>
      <c r="BIP39" s="30"/>
      <c r="BIQ39" s="28"/>
      <c r="BIR39" s="29"/>
      <c r="BIS39" s="29"/>
      <c r="BIT39" s="29"/>
      <c r="BIU39" s="28"/>
      <c r="BIV39" s="29"/>
      <c r="BIW39" s="29"/>
      <c r="BIX39" s="28"/>
      <c r="BIY39" s="29"/>
      <c r="BIZ39" s="30"/>
      <c r="BJA39" s="28"/>
      <c r="BJB39" s="29"/>
      <c r="BJC39" s="29"/>
      <c r="BJD39" s="29"/>
      <c r="BJE39" s="28"/>
      <c r="BJF39" s="29"/>
      <c r="BJG39" s="29"/>
      <c r="BJH39" s="29"/>
      <c r="BJI39" s="29"/>
      <c r="BJJ39" s="29"/>
      <c r="BJK39" s="28"/>
      <c r="BJL39" s="29"/>
      <c r="BJM39" s="29"/>
      <c r="BJN39" s="28"/>
      <c r="BJO39" s="29"/>
      <c r="BJP39" s="30"/>
      <c r="BJQ39" s="28"/>
      <c r="BJR39" s="29"/>
      <c r="BJS39" s="29"/>
      <c r="BJT39" s="29"/>
      <c r="BJU39" s="28"/>
      <c r="BJV39" s="29"/>
      <c r="BJW39" s="29"/>
      <c r="BJX39" s="28"/>
      <c r="BJY39" s="29"/>
      <c r="BJZ39" s="30"/>
      <c r="BKA39" s="28"/>
      <c r="BKB39" s="29"/>
      <c r="BKC39" s="29"/>
      <c r="BKD39" s="29"/>
      <c r="BKE39" s="28"/>
      <c r="BKF39" s="29"/>
      <c r="BKG39" s="29"/>
      <c r="BKH39" s="29"/>
      <c r="BKI39" s="29"/>
      <c r="BKJ39" s="29"/>
      <c r="BKK39" s="28"/>
      <c r="BKL39" s="29"/>
      <c r="BKM39" s="29"/>
      <c r="BKN39" s="28"/>
      <c r="BKO39" s="29"/>
      <c r="BKP39" s="30"/>
      <c r="BKQ39" s="28"/>
      <c r="BKR39" s="29"/>
      <c r="BKS39" s="29"/>
      <c r="BKT39" s="29"/>
      <c r="BKU39" s="28"/>
      <c r="BKV39" s="29"/>
      <c r="BKW39" s="29"/>
      <c r="BKX39" s="28"/>
      <c r="BKY39" s="29"/>
      <c r="BKZ39" s="30"/>
      <c r="BLA39" s="28"/>
      <c r="BLB39" s="29"/>
      <c r="BLC39" s="29"/>
      <c r="BLD39" s="29"/>
      <c r="BLE39" s="28"/>
      <c r="BLF39" s="29"/>
      <c r="BLG39" s="29"/>
      <c r="BLH39" s="29"/>
      <c r="BLI39" s="29"/>
      <c r="BLJ39" s="29"/>
      <c r="BLK39" s="28"/>
      <c r="BLL39" s="29"/>
      <c r="BLM39" s="29"/>
      <c r="BLN39" s="28"/>
      <c r="BLO39" s="29"/>
      <c r="BLP39" s="30"/>
      <c r="BLQ39" s="28"/>
      <c r="BLR39" s="29"/>
      <c r="BLS39" s="29"/>
      <c r="BLT39" s="29"/>
      <c r="BLU39" s="28"/>
      <c r="BLV39" s="29"/>
      <c r="BLW39" s="29"/>
      <c r="BLX39" s="28"/>
      <c r="BLY39" s="29"/>
      <c r="BLZ39" s="30"/>
      <c r="BMA39" s="28"/>
      <c r="BMB39" s="29"/>
      <c r="BMC39" s="29"/>
      <c r="BMD39" s="29"/>
      <c r="BME39" s="28"/>
      <c r="BMF39" s="29"/>
      <c r="BMG39" s="29"/>
      <c r="BMH39" s="29"/>
      <c r="BMI39" s="29"/>
      <c r="BMJ39" s="29"/>
      <c r="BMK39" s="28"/>
      <c r="BML39" s="29"/>
      <c r="BMM39" s="29"/>
      <c r="BMN39" s="28"/>
      <c r="BMO39" s="29"/>
      <c r="BMP39" s="30"/>
      <c r="BMQ39" s="28"/>
      <c r="BMR39" s="29"/>
      <c r="BMS39" s="29"/>
      <c r="BMT39" s="29"/>
      <c r="BMU39" s="28"/>
      <c r="BMV39" s="29"/>
      <c r="BMW39" s="29"/>
      <c r="BMX39" s="28"/>
      <c r="BMY39" s="29"/>
      <c r="BMZ39" s="30"/>
      <c r="BNA39" s="28"/>
      <c r="BNB39" s="29"/>
      <c r="BNC39" s="29"/>
      <c r="BND39" s="29"/>
      <c r="BNE39" s="28"/>
      <c r="BNF39" s="29"/>
      <c r="BNG39" s="29"/>
      <c r="BNH39" s="29"/>
      <c r="BNI39" s="29"/>
      <c r="BNJ39" s="29"/>
      <c r="BNK39" s="28"/>
      <c r="BNL39" s="29"/>
      <c r="BNM39" s="29"/>
      <c r="BNN39" s="28"/>
      <c r="BNO39" s="29"/>
      <c r="BNP39" s="30"/>
      <c r="BNQ39" s="28"/>
      <c r="BNR39" s="29"/>
      <c r="BNS39" s="29"/>
      <c r="BNT39" s="29"/>
      <c r="BNU39" s="28"/>
      <c r="BNV39" s="29"/>
      <c r="BNW39" s="29"/>
      <c r="BNX39" s="28"/>
      <c r="BNY39" s="29"/>
      <c r="BNZ39" s="30"/>
      <c r="BOA39" s="28"/>
      <c r="BOB39" s="29"/>
      <c r="BOC39" s="29"/>
      <c r="BOD39" s="29"/>
      <c r="BOE39" s="28"/>
      <c r="BOF39" s="29"/>
      <c r="BOG39" s="29"/>
      <c r="BOH39" s="29"/>
      <c r="BOI39" s="29"/>
      <c r="BOJ39" s="29"/>
      <c r="BOK39" s="28"/>
      <c r="BOL39" s="29"/>
      <c r="BOM39" s="29"/>
      <c r="BON39" s="28"/>
      <c r="BOO39" s="29"/>
      <c r="BOP39" s="30"/>
      <c r="BOQ39" s="28"/>
      <c r="BOR39" s="29"/>
      <c r="BOS39" s="29"/>
      <c r="BOT39" s="29"/>
      <c r="BOU39" s="28"/>
      <c r="BOV39" s="29"/>
      <c r="BOW39" s="29"/>
      <c r="BOX39" s="28"/>
      <c r="BOY39" s="29"/>
      <c r="BOZ39" s="30"/>
      <c r="BPA39" s="28"/>
      <c r="BPB39" s="29"/>
      <c r="BPC39" s="29"/>
      <c r="BPD39" s="29"/>
      <c r="BPE39" s="28"/>
      <c r="BPF39" s="29"/>
      <c r="BPG39" s="29"/>
      <c r="BPH39" s="29"/>
      <c r="BPI39" s="29"/>
      <c r="BPJ39" s="29"/>
      <c r="BPK39" s="28"/>
      <c r="BPL39" s="29"/>
      <c r="BPM39" s="29"/>
      <c r="BPN39" s="28"/>
      <c r="BPO39" s="29"/>
      <c r="BPP39" s="30"/>
      <c r="BPQ39" s="28"/>
      <c r="BPR39" s="29"/>
      <c r="BPS39" s="29"/>
      <c r="BPT39" s="29"/>
      <c r="BPU39" s="28"/>
      <c r="BPV39" s="29"/>
      <c r="BPW39" s="29"/>
      <c r="BPX39" s="28"/>
      <c r="BPY39" s="29"/>
      <c r="BPZ39" s="30"/>
      <c r="BQA39" s="28"/>
      <c r="BQB39" s="29"/>
      <c r="BQC39" s="29"/>
      <c r="BQD39" s="29"/>
      <c r="BQE39" s="28"/>
      <c r="BQF39" s="29"/>
      <c r="BQG39" s="29"/>
      <c r="BQH39" s="29"/>
      <c r="BQI39" s="29"/>
      <c r="BQJ39" s="29"/>
      <c r="BQK39" s="28"/>
      <c r="BQL39" s="29"/>
      <c r="BQM39" s="29"/>
      <c r="BQN39" s="28"/>
      <c r="BQO39" s="29"/>
      <c r="BQP39" s="30"/>
      <c r="BQQ39" s="28"/>
      <c r="BQR39" s="29"/>
      <c r="BQS39" s="29"/>
      <c r="BQT39" s="29"/>
      <c r="BQU39" s="28"/>
      <c r="BQV39" s="29"/>
      <c r="BQW39" s="29"/>
      <c r="BQX39" s="28"/>
      <c r="BQY39" s="29"/>
      <c r="BQZ39" s="30"/>
      <c r="BRA39" s="28"/>
      <c r="BRB39" s="29"/>
      <c r="BRC39" s="29"/>
      <c r="BRD39" s="29"/>
      <c r="BRE39" s="28"/>
      <c r="BRF39" s="29"/>
      <c r="BRG39" s="29"/>
      <c r="BRH39" s="29"/>
      <c r="BRI39" s="29"/>
      <c r="BRJ39" s="29"/>
      <c r="BRK39" s="28"/>
      <c r="BRL39" s="29"/>
      <c r="BRM39" s="29"/>
      <c r="BRN39" s="28"/>
      <c r="BRO39" s="29"/>
      <c r="BRP39" s="30"/>
      <c r="BRQ39" s="28"/>
      <c r="BRR39" s="29"/>
      <c r="BRS39" s="29"/>
      <c r="BRT39" s="29"/>
      <c r="BRU39" s="28"/>
      <c r="BRV39" s="29"/>
      <c r="BRW39" s="29"/>
      <c r="BRX39" s="28"/>
      <c r="BRY39" s="29"/>
      <c r="BRZ39" s="30"/>
      <c r="BSA39" s="28"/>
      <c r="BSB39" s="29"/>
      <c r="BSC39" s="29"/>
      <c r="BSD39" s="29"/>
      <c r="BSE39" s="28"/>
      <c r="BSF39" s="29"/>
      <c r="BSG39" s="29"/>
      <c r="BSH39" s="29"/>
      <c r="BSI39" s="29"/>
      <c r="BSJ39" s="29"/>
      <c r="BSK39" s="28"/>
      <c r="BSL39" s="29"/>
      <c r="BSM39" s="29"/>
      <c r="BSN39" s="28"/>
      <c r="BSO39" s="29"/>
      <c r="BSP39" s="30"/>
      <c r="BSQ39" s="28"/>
      <c r="BSR39" s="29"/>
      <c r="BSS39" s="29"/>
      <c r="BST39" s="29"/>
      <c r="BSU39" s="28"/>
      <c r="BSV39" s="29"/>
      <c r="BSW39" s="29"/>
      <c r="BSX39" s="28"/>
      <c r="BSY39" s="29"/>
      <c r="BSZ39" s="30"/>
      <c r="BTA39" s="28"/>
      <c r="BTB39" s="29"/>
      <c r="BTC39" s="29"/>
      <c r="BTD39" s="29"/>
      <c r="BTE39" s="28"/>
      <c r="BTF39" s="29"/>
      <c r="BTG39" s="29"/>
      <c r="BTH39" s="29"/>
      <c r="BTI39" s="29"/>
      <c r="BTJ39" s="29"/>
      <c r="BTK39" s="28"/>
      <c r="BTL39" s="29"/>
      <c r="BTM39" s="29"/>
      <c r="BTN39" s="28"/>
      <c r="BTO39" s="29"/>
      <c r="BTP39" s="30"/>
      <c r="BTQ39" s="28"/>
      <c r="BTR39" s="29"/>
      <c r="BTS39" s="29"/>
      <c r="BTT39" s="29"/>
      <c r="BTU39" s="28"/>
      <c r="BTV39" s="29"/>
      <c r="BTW39" s="29"/>
      <c r="BTX39" s="28"/>
      <c r="BTY39" s="29"/>
      <c r="BTZ39" s="30"/>
      <c r="BUA39" s="28"/>
      <c r="BUB39" s="29"/>
      <c r="BUC39" s="29"/>
      <c r="BUD39" s="29"/>
      <c r="BUE39" s="28"/>
      <c r="BUF39" s="29"/>
      <c r="BUG39" s="29"/>
      <c r="BUH39" s="29"/>
      <c r="BUI39" s="29"/>
      <c r="BUJ39" s="29"/>
      <c r="BUK39" s="28"/>
      <c r="BUL39" s="29"/>
      <c r="BUM39" s="29"/>
      <c r="BUN39" s="28"/>
      <c r="BUO39" s="29"/>
      <c r="BUP39" s="30"/>
      <c r="BUQ39" s="28"/>
      <c r="BUR39" s="29"/>
      <c r="BUS39" s="29"/>
      <c r="BUT39" s="29"/>
      <c r="BUU39" s="28"/>
      <c r="BUV39" s="29"/>
      <c r="BUW39" s="29"/>
      <c r="BUX39" s="28"/>
      <c r="BUY39" s="29"/>
      <c r="BUZ39" s="30"/>
      <c r="BVA39" s="28"/>
      <c r="BVB39" s="29"/>
      <c r="BVC39" s="29"/>
      <c r="BVD39" s="29"/>
      <c r="BVE39" s="28"/>
      <c r="BVF39" s="29"/>
      <c r="BVG39" s="29"/>
      <c r="BVH39" s="29"/>
      <c r="BVI39" s="29"/>
      <c r="BVJ39" s="29"/>
      <c r="BVK39" s="28"/>
      <c r="BVL39" s="29"/>
      <c r="BVM39" s="29"/>
      <c r="BVN39" s="28"/>
      <c r="BVO39" s="29"/>
      <c r="BVP39" s="30"/>
      <c r="BVQ39" s="28"/>
      <c r="BVR39" s="29"/>
      <c r="BVS39" s="29"/>
      <c r="BVT39" s="29"/>
      <c r="BVU39" s="28"/>
      <c r="BVV39" s="29"/>
      <c r="BVW39" s="29"/>
      <c r="BVX39" s="28"/>
      <c r="BVY39" s="29"/>
      <c r="BVZ39" s="30"/>
      <c r="BWA39" s="28"/>
      <c r="BWB39" s="29"/>
      <c r="BWC39" s="29"/>
      <c r="BWD39" s="29"/>
      <c r="BWE39" s="28"/>
      <c r="BWF39" s="29"/>
      <c r="BWG39" s="29"/>
      <c r="BWH39" s="29"/>
      <c r="BWI39" s="29"/>
      <c r="BWJ39" s="29"/>
      <c r="BWK39" s="28"/>
      <c r="BWL39" s="29"/>
      <c r="BWM39" s="29"/>
      <c r="BWN39" s="28"/>
      <c r="BWO39" s="29"/>
      <c r="BWP39" s="30"/>
      <c r="BWQ39" s="28"/>
      <c r="BWR39" s="29"/>
      <c r="BWS39" s="29"/>
      <c r="BWT39" s="29"/>
      <c r="BWU39" s="28"/>
      <c r="BWV39" s="29"/>
      <c r="BWW39" s="29"/>
      <c r="BWX39" s="28"/>
      <c r="BWY39" s="29"/>
      <c r="BWZ39" s="30"/>
      <c r="BXA39" s="28"/>
      <c r="BXB39" s="29"/>
      <c r="BXC39" s="29"/>
      <c r="BXD39" s="29"/>
      <c r="BXE39" s="28"/>
      <c r="BXF39" s="29"/>
      <c r="BXG39" s="29"/>
      <c r="BXH39" s="29"/>
      <c r="BXI39" s="29"/>
      <c r="BXJ39" s="29"/>
      <c r="BXK39" s="28"/>
      <c r="BXL39" s="29"/>
      <c r="BXM39" s="29"/>
      <c r="BXN39" s="28"/>
      <c r="BXO39" s="29"/>
      <c r="BXP39" s="30"/>
      <c r="BXQ39" s="28"/>
      <c r="BXR39" s="29"/>
      <c r="BXS39" s="29"/>
      <c r="BXT39" s="29"/>
      <c r="BXU39" s="28"/>
      <c r="BXV39" s="29"/>
      <c r="BXW39" s="29"/>
      <c r="BXX39" s="28"/>
      <c r="BXY39" s="29"/>
      <c r="BXZ39" s="30"/>
      <c r="BYA39" s="28"/>
      <c r="BYB39" s="29"/>
      <c r="BYC39" s="29"/>
      <c r="BYD39" s="29"/>
      <c r="BYE39" s="28"/>
      <c r="BYF39" s="29"/>
      <c r="BYG39" s="29"/>
      <c r="BYH39" s="29"/>
      <c r="BYI39" s="29"/>
      <c r="BYJ39" s="29"/>
      <c r="BYK39" s="28"/>
      <c r="BYL39" s="29"/>
      <c r="BYM39" s="29"/>
      <c r="BYN39" s="28"/>
      <c r="BYO39" s="29"/>
      <c r="BYP39" s="30"/>
      <c r="BYQ39" s="28"/>
      <c r="BYR39" s="29"/>
      <c r="BYS39" s="29"/>
      <c r="BYT39" s="29"/>
      <c r="BYU39" s="28"/>
      <c r="BYV39" s="29"/>
      <c r="BYW39" s="29"/>
      <c r="BYX39" s="30"/>
      <c r="BYY39" s="29"/>
      <c r="BYZ39" s="28"/>
      <c r="BZA39" s="29"/>
      <c r="BZB39" s="28"/>
      <c r="BZC39" s="28"/>
      <c r="BZD39" s="28"/>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30"/>
      <c r="CAQ39" s="28"/>
      <c r="CAR39" s="29"/>
      <c r="CAS39" s="29"/>
      <c r="CAT39" s="29"/>
      <c r="CAU39" s="29"/>
      <c r="CAV39" s="29"/>
      <c r="CAW39" s="28"/>
      <c r="CAX39" s="29"/>
      <c r="CAY39" s="29"/>
      <c r="CAZ39" s="28"/>
      <c r="CBA39" s="29"/>
      <c r="CBB39" s="30"/>
      <c r="CBC39" s="28"/>
      <c r="CBD39" s="29"/>
      <c r="CBE39" s="29"/>
      <c r="CBF39" s="29"/>
      <c r="CBG39" s="28"/>
      <c r="CBH39" s="29"/>
      <c r="CBI39" s="29"/>
      <c r="CBJ39" s="28"/>
      <c r="CBK39" s="29"/>
      <c r="CBL39" s="30"/>
      <c r="CBM39" s="28"/>
      <c r="CBN39" s="29"/>
      <c r="CBO39" s="29"/>
      <c r="CBP39" s="29"/>
      <c r="CBQ39" s="28"/>
      <c r="CBR39" s="29"/>
      <c r="CBS39" s="29"/>
      <c r="CBT39" s="28"/>
      <c r="CBU39" s="29"/>
      <c r="CBV39" s="30"/>
      <c r="CBW39" s="28"/>
      <c r="CBX39" s="29"/>
      <c r="CBY39" s="29"/>
      <c r="CBZ39" s="29"/>
      <c r="CCA39" s="28"/>
      <c r="CCB39" s="29"/>
      <c r="CCC39" s="29"/>
      <c r="CCD39" s="28"/>
      <c r="CCE39" s="29"/>
      <c r="CCF39" s="30"/>
      <c r="CCG39" s="28"/>
      <c r="CCH39" s="30"/>
      <c r="CCI39" s="29"/>
      <c r="CCJ39" s="28"/>
      <c r="CCK39" s="29"/>
      <c r="CCL39" s="28"/>
      <c r="CCM39" s="28"/>
      <c r="CCN39" s="28"/>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30"/>
      <c r="CEA39" s="28"/>
      <c r="CEB39" s="29"/>
      <c r="CEC39" s="29"/>
      <c r="CED39" s="29"/>
      <c r="CEE39" s="29"/>
      <c r="CEF39" s="29"/>
      <c r="CEG39" s="28"/>
      <c r="CEH39" s="29"/>
      <c r="CEI39" s="29"/>
      <c r="CEJ39" s="28"/>
      <c r="CEK39" s="29"/>
      <c r="CEL39" s="30"/>
      <c r="CEM39" s="28"/>
      <c r="CEN39" s="29"/>
      <c r="CEO39" s="29"/>
      <c r="CEP39" s="29"/>
      <c r="CEQ39" s="28"/>
      <c r="CER39" s="29"/>
      <c r="CES39" s="29"/>
      <c r="CET39" s="28"/>
      <c r="CEU39" s="29"/>
      <c r="CEV39" s="30"/>
      <c r="CEW39" s="28"/>
      <c r="CEX39" s="29"/>
      <c r="CEY39" s="29"/>
      <c r="CEZ39" s="29"/>
      <c r="CFA39" s="28"/>
      <c r="CFB39" s="29"/>
      <c r="CFC39" s="29"/>
      <c r="CFD39" s="28"/>
      <c r="CFE39" s="29"/>
      <c r="CFF39" s="30"/>
      <c r="CFG39" s="28"/>
      <c r="CFH39" s="29"/>
      <c r="CFI39" s="29"/>
      <c r="CFJ39" s="29"/>
      <c r="CFK39" s="28"/>
      <c r="CFL39" s="29"/>
      <c r="CFM39" s="29"/>
      <c r="CFN39" s="28"/>
      <c r="CFO39" s="29"/>
      <c r="CFP39" s="30"/>
      <c r="CFQ39" s="28"/>
      <c r="CFR39" s="30"/>
      <c r="CFS39" s="29"/>
      <c r="CFT39" s="28"/>
      <c r="CFU39" s="29"/>
      <c r="CFV39" s="28"/>
      <c r="CFW39" s="28"/>
      <c r="CFX39" s="28"/>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30"/>
      <c r="CHK39" s="28"/>
      <c r="CHL39" s="29"/>
      <c r="CHM39" s="29"/>
      <c r="CHN39" s="29"/>
      <c r="CHO39" s="29"/>
      <c r="CHP39" s="29"/>
      <c r="CHQ39" s="28"/>
      <c r="CHR39" s="29"/>
      <c r="CHS39" s="29"/>
      <c r="CHT39" s="28"/>
      <c r="CHU39" s="29"/>
      <c r="CHV39" s="30"/>
      <c r="CHW39" s="28"/>
      <c r="CHX39" s="29"/>
      <c r="CHY39" s="29"/>
      <c r="CHZ39" s="29"/>
      <c r="CIA39" s="28"/>
      <c r="CIB39" s="29"/>
      <c r="CIC39" s="29"/>
      <c r="CID39" s="28"/>
      <c r="CIE39" s="29"/>
      <c r="CIF39" s="30"/>
      <c r="CIG39" s="28"/>
      <c r="CIH39" s="29"/>
      <c r="CII39" s="29"/>
      <c r="CIJ39" s="29"/>
      <c r="CIK39" s="28"/>
      <c r="CIL39" s="29"/>
      <c r="CIM39" s="29"/>
      <c r="CIN39" s="28"/>
      <c r="CIO39" s="29"/>
      <c r="CIP39" s="30"/>
      <c r="CIQ39" s="28"/>
      <c r="CIR39" s="29"/>
      <c r="CIS39" s="29"/>
      <c r="CIT39" s="29"/>
      <c r="CIU39" s="28"/>
      <c r="CIV39" s="29"/>
      <c r="CIW39" s="29"/>
      <c r="CIX39" s="28"/>
      <c r="CIY39" s="29"/>
      <c r="CIZ39" s="30"/>
      <c r="CJA39" s="28"/>
      <c r="CJB39" s="30"/>
      <c r="CJC39" s="29"/>
      <c r="CJD39" s="28"/>
      <c r="CJE39" s="29"/>
      <c r="CJF39" s="28"/>
      <c r="CJG39" s="28"/>
      <c r="CJH39" s="28"/>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30"/>
      <c r="CKU39" s="28"/>
      <c r="CKV39" s="29"/>
      <c r="CKW39" s="29"/>
      <c r="CKX39" s="29"/>
      <c r="CKY39" s="29"/>
      <c r="CKZ39" s="29"/>
      <c r="CLA39" s="28"/>
      <c r="CLB39" s="29"/>
      <c r="CLC39" s="29"/>
      <c r="CLD39" s="28"/>
      <c r="CLE39" s="29"/>
      <c r="CLF39" s="30"/>
      <c r="CLG39" s="28"/>
      <c r="CLH39" s="29"/>
      <c r="CLI39" s="29"/>
      <c r="CLJ39" s="29"/>
      <c r="CLK39" s="28"/>
      <c r="CLL39" s="29"/>
      <c r="CLM39" s="29"/>
      <c r="CLN39" s="28"/>
      <c r="CLO39" s="29"/>
      <c r="CLP39" s="30"/>
      <c r="CLQ39" s="28"/>
      <c r="CLR39" s="29"/>
      <c r="CLS39" s="29"/>
      <c r="CLT39" s="29"/>
      <c r="CLU39" s="28"/>
      <c r="CLV39" s="29"/>
      <c r="CLW39" s="29"/>
      <c r="CLX39" s="28"/>
      <c r="CLY39" s="29"/>
      <c r="CLZ39" s="30"/>
      <c r="CMA39" s="28"/>
      <c r="CMB39" s="29"/>
      <c r="CMC39" s="29"/>
      <c r="CMD39" s="29"/>
      <c r="CME39" s="28"/>
      <c r="CMF39" s="29"/>
      <c r="CMG39" s="29"/>
      <c r="CMH39" s="28"/>
      <c r="CMI39" s="29"/>
      <c r="CMJ39" s="30"/>
      <c r="CMK39" s="28"/>
      <c r="CML39" s="30"/>
      <c r="CMM39" s="29"/>
      <c r="CMN39" s="28"/>
      <c r="CMO39" s="29"/>
      <c r="CMP39" s="28"/>
      <c r="CMQ39" s="28"/>
      <c r="CMR39" s="28"/>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30"/>
      <c r="COE39" s="28"/>
      <c r="COF39" s="29"/>
      <c r="COG39" s="29"/>
      <c r="COH39" s="29"/>
      <c r="COI39" s="29"/>
      <c r="COJ39" s="29"/>
      <c r="COK39" s="28"/>
      <c r="COL39" s="29"/>
      <c r="COM39" s="29"/>
      <c r="CON39" s="28"/>
      <c r="COO39" s="29"/>
      <c r="COP39" s="30"/>
      <c r="COQ39" s="28"/>
      <c r="COR39" s="29"/>
      <c r="COS39" s="29"/>
      <c r="COT39" s="29"/>
      <c r="COU39" s="28"/>
      <c r="COV39" s="29"/>
      <c r="COW39" s="29"/>
      <c r="COX39" s="28"/>
      <c r="COY39" s="29"/>
      <c r="COZ39" s="30"/>
      <c r="CPA39" s="28"/>
      <c r="CPB39" s="29"/>
      <c r="CPC39" s="29"/>
      <c r="CPD39" s="29"/>
      <c r="CPE39" s="28"/>
      <c r="CPF39" s="29"/>
      <c r="CPG39" s="29"/>
      <c r="CPH39" s="28"/>
      <c r="CPI39" s="29"/>
      <c r="CPJ39" s="30"/>
      <c r="CPK39" s="28"/>
      <c r="CPL39" s="29"/>
      <c r="CPM39" s="29"/>
      <c r="CPN39" s="29"/>
      <c r="CPO39" s="28"/>
      <c r="CPP39" s="29"/>
      <c r="CPQ39" s="29"/>
      <c r="CPR39" s="28"/>
      <c r="CPS39" s="29"/>
      <c r="CPT39" s="30"/>
      <c r="CPU39" s="28"/>
      <c r="CPV39" s="30"/>
      <c r="CPW39" s="29"/>
      <c r="CPX39" s="28"/>
      <c r="CPY39" s="29"/>
      <c r="CPZ39" s="28"/>
      <c r="CQA39" s="28"/>
      <c r="CQB39" s="28"/>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30"/>
      <c r="CRO39" s="28"/>
      <c r="CRP39" s="29"/>
      <c r="CRQ39" s="29"/>
      <c r="CRR39" s="29"/>
      <c r="CRS39" s="29"/>
      <c r="CRT39" s="29"/>
      <c r="CRU39" s="28"/>
      <c r="CRV39" s="29"/>
      <c r="CRW39" s="29"/>
      <c r="CRX39" s="28"/>
      <c r="CRY39" s="29"/>
      <c r="CRZ39" s="30"/>
      <c r="CSA39" s="28"/>
      <c r="CSB39" s="29"/>
      <c r="CSC39" s="29"/>
      <c r="CSD39" s="29"/>
      <c r="CSE39" s="28"/>
      <c r="CSF39" s="29"/>
      <c r="CSG39" s="29"/>
      <c r="CSH39" s="28"/>
      <c r="CSI39" s="29"/>
      <c r="CSJ39" s="30"/>
      <c r="CSK39" s="28"/>
      <c r="CSL39" s="29"/>
      <c r="CSM39" s="29"/>
      <c r="CSN39" s="29"/>
      <c r="CSO39" s="28"/>
      <c r="CSP39" s="29"/>
      <c r="CSQ39" s="29"/>
      <c r="CSR39" s="28"/>
      <c r="CSS39" s="29"/>
      <c r="CST39" s="30"/>
      <c r="CSU39" s="28"/>
      <c r="CSV39" s="29"/>
      <c r="CSW39" s="29"/>
      <c r="CSX39" s="29"/>
      <c r="CSY39" s="28"/>
      <c r="CSZ39" s="29"/>
      <c r="CTA39" s="29"/>
      <c r="CTB39" s="28"/>
      <c r="CTC39" s="29"/>
      <c r="CTD39" s="30"/>
      <c r="CTE39" s="28"/>
      <c r="CTF39" s="30"/>
      <c r="CTG39" s="29"/>
      <c r="CTH39" s="28"/>
      <c r="CTI39" s="29"/>
      <c r="CTJ39" s="28"/>
      <c r="CTK39" s="28"/>
      <c r="CTL39" s="28"/>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30"/>
      <c r="CUY39" s="28"/>
      <c r="CUZ39" s="29"/>
      <c r="CVA39" s="29"/>
      <c r="CVB39" s="29"/>
      <c r="CVC39" s="29"/>
      <c r="CVD39" s="29"/>
      <c r="CVE39" s="28"/>
      <c r="CVF39" s="29"/>
      <c r="CVG39" s="29"/>
      <c r="CVH39" s="28"/>
      <c r="CVI39" s="29"/>
      <c r="CVJ39" s="30"/>
      <c r="CVK39" s="28"/>
      <c r="CVL39" s="29"/>
      <c r="CVM39" s="29"/>
      <c r="CVN39" s="29"/>
      <c r="CVO39" s="28"/>
      <c r="CVP39" s="29"/>
      <c r="CVQ39" s="29"/>
      <c r="CVR39" s="28"/>
      <c r="CVS39" s="29"/>
      <c r="CVT39" s="30"/>
      <c r="CVU39" s="28"/>
      <c r="CVV39" s="29"/>
      <c r="CVW39" s="29"/>
      <c r="CVX39" s="29"/>
      <c r="CVY39" s="28"/>
      <c r="CVZ39" s="29"/>
      <c r="CWA39" s="29"/>
      <c r="CWB39" s="28"/>
      <c r="CWC39" s="29"/>
      <c r="CWD39" s="30"/>
      <c r="CWE39" s="28"/>
      <c r="CWF39" s="29"/>
      <c r="CWG39" s="29"/>
      <c r="CWH39" s="29"/>
      <c r="CWI39" s="28"/>
      <c r="CWJ39" s="29"/>
      <c r="CWK39" s="29"/>
      <c r="CWL39" s="28"/>
      <c r="CWM39" s="29"/>
      <c r="CWN39" s="30"/>
      <c r="CWO39" s="28"/>
      <c r="CWP39" s="30"/>
      <c r="CWQ39" s="29"/>
      <c r="CWR39" s="28"/>
      <c r="CWS39" s="29"/>
      <c r="CWT39" s="28"/>
      <c r="CWU39" s="28"/>
      <c r="CWV39" s="28"/>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30"/>
      <c r="CYI39" s="28"/>
      <c r="CYJ39" s="29"/>
      <c r="CYK39" s="29"/>
      <c r="CYL39" s="29"/>
      <c r="CYM39" s="29"/>
      <c r="CYN39" s="29"/>
      <c r="CYO39" s="28"/>
      <c r="CYP39" s="29"/>
      <c r="CYQ39" s="29"/>
      <c r="CYR39" s="28"/>
      <c r="CYS39" s="29"/>
      <c r="CYT39" s="30"/>
      <c r="CYU39" s="28"/>
      <c r="CYV39" s="29"/>
      <c r="CYW39" s="29"/>
      <c r="CYX39" s="29"/>
      <c r="CYY39" s="28"/>
      <c r="CYZ39" s="29"/>
      <c r="CZA39" s="29"/>
      <c r="CZB39" s="28"/>
      <c r="CZC39" s="29"/>
      <c r="CZD39" s="30"/>
      <c r="CZE39" s="28"/>
      <c r="CZF39" s="29"/>
      <c r="CZG39" s="29"/>
      <c r="CZH39" s="29"/>
      <c r="CZI39" s="28"/>
      <c r="CZJ39" s="29"/>
      <c r="CZK39" s="29"/>
      <c r="CZL39" s="28"/>
      <c r="CZM39" s="29"/>
      <c r="CZN39" s="30"/>
      <c r="CZO39" s="28"/>
      <c r="CZP39" s="29"/>
      <c r="CZQ39" s="29"/>
      <c r="CZR39" s="29"/>
      <c r="CZS39" s="28"/>
      <c r="CZT39" s="29"/>
      <c r="CZU39" s="29"/>
      <c r="CZV39" s="28"/>
      <c r="CZW39" s="29"/>
      <c r="CZX39" s="30"/>
      <c r="CZY39" s="28"/>
      <c r="CZZ39" s="30"/>
      <c r="DAA39" s="29"/>
      <c r="DAB39" s="28"/>
      <c r="DAC39" s="29"/>
      <c r="DAD39" s="28"/>
      <c r="DAE39" s="28"/>
      <c r="DAF39" s="28"/>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30"/>
      <c r="DBS39" s="28"/>
      <c r="DBT39" s="29"/>
      <c r="DBU39" s="29"/>
      <c r="DBV39" s="29"/>
      <c r="DBW39" s="29"/>
      <c r="DBX39" s="29"/>
      <c r="DBY39" s="28"/>
      <c r="DBZ39" s="29"/>
      <c r="DCA39" s="29"/>
      <c r="DCB39" s="28"/>
      <c r="DCC39" s="29"/>
      <c r="DCD39" s="30"/>
      <c r="DCE39" s="28"/>
      <c r="DCF39" s="29"/>
      <c r="DCG39" s="29"/>
      <c r="DCH39" s="29"/>
      <c r="DCI39" s="28"/>
      <c r="DCJ39" s="29"/>
      <c r="DCK39" s="29"/>
      <c r="DCL39" s="28"/>
      <c r="DCM39" s="29"/>
      <c r="DCN39" s="30"/>
      <c r="DCO39" s="28"/>
      <c r="DCP39" s="29"/>
      <c r="DCQ39" s="29"/>
      <c r="DCR39" s="29"/>
      <c r="DCS39" s="28"/>
      <c r="DCT39" s="29"/>
      <c r="DCU39" s="29"/>
      <c r="DCV39" s="28"/>
      <c r="DCW39" s="29"/>
      <c r="DCX39" s="30"/>
      <c r="DCY39" s="28"/>
      <c r="DCZ39" s="29"/>
      <c r="DDA39" s="29"/>
      <c r="DDB39" s="29"/>
      <c r="DDC39" s="28"/>
      <c r="DDD39" s="29"/>
      <c r="DDE39" s="29"/>
      <c r="DDF39" s="28"/>
      <c r="DDG39" s="29"/>
      <c r="DDH39" s="30"/>
      <c r="DDI39" s="28"/>
      <c r="DDJ39" s="30"/>
      <c r="DDK39" s="29"/>
      <c r="DDL39" s="28"/>
      <c r="DDM39" s="29"/>
      <c r="DDN39" s="28"/>
      <c r="DDO39" s="28"/>
      <c r="DDP39" s="28"/>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30"/>
      <c r="DFC39" s="28"/>
      <c r="DFD39" s="29"/>
      <c r="DFE39" s="29"/>
      <c r="DFF39" s="29"/>
      <c r="DFG39" s="29"/>
      <c r="DFH39" s="29"/>
      <c r="DFI39" s="28"/>
      <c r="DFJ39" s="29"/>
      <c r="DFK39" s="29"/>
      <c r="DFL39" s="28"/>
      <c r="DFM39" s="29"/>
      <c r="DFN39" s="30"/>
      <c r="DFO39" s="28"/>
      <c r="DFP39" s="29"/>
      <c r="DFQ39" s="29"/>
      <c r="DFR39" s="29"/>
      <c r="DFS39" s="28"/>
      <c r="DFT39" s="29"/>
      <c r="DFU39" s="29"/>
      <c r="DFV39" s="28"/>
      <c r="DFW39" s="29"/>
      <c r="DFX39" s="30"/>
      <c r="DFY39" s="28"/>
      <c r="DFZ39" s="29"/>
      <c r="DGA39" s="29"/>
      <c r="DGB39" s="29"/>
      <c r="DGC39" s="28"/>
      <c r="DGD39" s="29"/>
      <c r="DGE39" s="29"/>
      <c r="DGF39" s="28"/>
      <c r="DGG39" s="29"/>
      <c r="DGH39" s="30"/>
      <c r="DGI39" s="28"/>
      <c r="DGJ39" s="29"/>
      <c r="DGK39" s="29"/>
      <c r="DGL39" s="29"/>
      <c r="DGM39" s="28"/>
      <c r="DGN39" s="29"/>
      <c r="DGO39" s="29"/>
      <c r="DGP39" s="28"/>
      <c r="DGQ39" s="29"/>
      <c r="DGR39" s="30"/>
      <c r="DGS39" s="28"/>
      <c r="DGT39" s="30"/>
      <c r="DGU39" s="29"/>
      <c r="DGV39" s="28"/>
      <c r="DGW39" s="29"/>
      <c r="DGX39" s="28"/>
      <c r="DGY39" s="28"/>
      <c r="DGZ39" s="28"/>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30"/>
      <c r="DIM39" s="28"/>
      <c r="DIN39" s="29"/>
      <c r="DIO39" s="29"/>
      <c r="DIP39" s="29"/>
      <c r="DIQ39" s="29"/>
      <c r="DIR39" s="29"/>
      <c r="DIS39" s="28"/>
      <c r="DIT39" s="29"/>
      <c r="DIU39" s="29"/>
      <c r="DIV39" s="28"/>
      <c r="DIW39" s="29"/>
      <c r="DIX39" s="30"/>
      <c r="DIY39" s="28"/>
      <c r="DIZ39" s="29"/>
      <c r="DJA39" s="29"/>
      <c r="DJB39" s="29"/>
      <c r="DJC39" s="28"/>
      <c r="DJD39" s="29"/>
      <c r="DJE39" s="29"/>
      <c r="DJF39" s="28"/>
      <c r="DJG39" s="29"/>
      <c r="DJH39" s="30"/>
      <c r="DJI39" s="28"/>
      <c r="DJJ39" s="29"/>
      <c r="DJK39" s="29"/>
      <c r="DJL39" s="29"/>
      <c r="DJM39" s="28"/>
      <c r="DJN39" s="29"/>
      <c r="DJO39" s="29"/>
      <c r="DJP39" s="28"/>
      <c r="DJQ39" s="29"/>
      <c r="DJR39" s="30"/>
      <c r="DJS39" s="28"/>
      <c r="DJT39" s="29"/>
      <c r="DJU39" s="29"/>
      <c r="DJV39" s="29"/>
      <c r="DJW39" s="28"/>
      <c r="DJX39" s="29"/>
      <c r="DJY39" s="29"/>
      <c r="DJZ39" s="28"/>
      <c r="DKA39" s="29"/>
      <c r="DKB39" s="30"/>
      <c r="DKC39" s="28"/>
      <c r="DKD39" s="30"/>
      <c r="DKE39" s="29"/>
      <c r="DKF39" s="28"/>
      <c r="DKG39" s="29"/>
      <c r="DKH39" s="28"/>
      <c r="DKI39" s="28"/>
      <c r="DKJ39" s="28"/>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30"/>
      <c r="DLW39" s="28"/>
      <c r="DLX39" s="29"/>
      <c r="DLY39" s="29"/>
      <c r="DLZ39" s="29"/>
      <c r="DMA39" s="29"/>
      <c r="DMB39" s="29"/>
      <c r="DMC39" s="28"/>
      <c r="DMD39" s="29"/>
      <c r="DME39" s="29"/>
      <c r="DMF39" s="28"/>
      <c r="DMG39" s="29"/>
      <c r="DMH39" s="30"/>
      <c r="DMI39" s="28"/>
      <c r="DMJ39" s="29"/>
      <c r="DMK39" s="29"/>
      <c r="DML39" s="29"/>
      <c r="DMM39" s="28"/>
      <c r="DMN39" s="29"/>
      <c r="DMO39" s="29"/>
      <c r="DMP39" s="28"/>
      <c r="DMQ39" s="29"/>
      <c r="DMR39" s="30"/>
      <c r="DMS39" s="28"/>
      <c r="DMT39" s="29"/>
      <c r="DMU39" s="29"/>
      <c r="DMV39" s="29"/>
      <c r="DMW39" s="28"/>
      <c r="DMX39" s="29"/>
      <c r="DMY39" s="29"/>
      <c r="DMZ39" s="28"/>
      <c r="DNA39" s="29"/>
      <c r="DNB39" s="30"/>
      <c r="DNC39" s="28"/>
      <c r="DND39" s="29"/>
      <c r="DNE39" s="29"/>
      <c r="DNF39" s="29"/>
      <c r="DNG39" s="28"/>
      <c r="DNH39" s="29"/>
      <c r="DNI39" s="29"/>
      <c r="DNJ39" s="28"/>
      <c r="DNK39" s="29"/>
      <c r="DNL39" s="30"/>
      <c r="DNM39" s="28"/>
      <c r="DNN39" s="30"/>
      <c r="DNO39" s="29"/>
      <c r="DNP39" s="28"/>
      <c r="DNQ39" s="29"/>
      <c r="DNR39" s="28"/>
      <c r="DNS39" s="28"/>
      <c r="DNT39" s="28"/>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30"/>
      <c r="DPG39" s="28"/>
      <c r="DPH39" s="29"/>
      <c r="DPI39" s="29"/>
      <c r="DPJ39" s="29"/>
      <c r="DPK39" s="29"/>
      <c r="DPL39" s="29"/>
      <c r="DPM39" s="28"/>
      <c r="DPN39" s="29"/>
      <c r="DPO39" s="29"/>
      <c r="DPP39" s="28"/>
      <c r="DPQ39" s="29"/>
      <c r="DPR39" s="30"/>
      <c r="DPS39" s="28"/>
      <c r="DPT39" s="29"/>
      <c r="DPU39" s="29"/>
      <c r="DPV39" s="29"/>
      <c r="DPW39" s="28"/>
      <c r="DPX39" s="29"/>
      <c r="DPY39" s="29"/>
      <c r="DPZ39" s="28"/>
      <c r="DQA39" s="29"/>
      <c r="DQB39" s="30"/>
      <c r="DQC39" s="28"/>
      <c r="DQD39" s="29"/>
      <c r="DQE39" s="29"/>
      <c r="DQF39" s="29"/>
      <c r="DQG39" s="28"/>
      <c r="DQH39" s="29"/>
      <c r="DQI39" s="29"/>
      <c r="DQJ39" s="28"/>
      <c r="DQK39" s="29"/>
      <c r="DQL39" s="30"/>
      <c r="DQM39" s="28"/>
      <c r="DQN39" s="29"/>
      <c r="DQO39" s="29"/>
      <c r="DQP39" s="29"/>
      <c r="DQQ39" s="28"/>
      <c r="DQR39" s="29"/>
      <c r="DQS39" s="29"/>
      <c r="DQT39" s="28"/>
      <c r="DQU39" s="29"/>
      <c r="DQV39" s="30"/>
      <c r="DQW39" s="28"/>
      <c r="DQX39" s="30"/>
      <c r="DQY39" s="29"/>
      <c r="DQZ39" s="28"/>
      <c r="DRA39" s="29"/>
      <c r="DRB39" s="28"/>
      <c r="DRC39" s="28"/>
      <c r="DRD39" s="28"/>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30"/>
      <c r="DSQ39" s="28"/>
      <c r="DSR39" s="29"/>
      <c r="DSS39" s="29"/>
      <c r="DST39" s="29"/>
      <c r="DSU39" s="29"/>
      <c r="DSV39" s="29"/>
      <c r="DSW39" s="28"/>
      <c r="DSX39" s="29"/>
      <c r="DSY39" s="29"/>
      <c r="DSZ39" s="28"/>
      <c r="DTA39" s="29"/>
      <c r="DTB39" s="30"/>
      <c r="DTC39" s="28"/>
      <c r="DTD39" s="29"/>
      <c r="DTE39" s="29"/>
      <c r="DTF39" s="29"/>
      <c r="DTG39" s="28"/>
      <c r="DTH39" s="29"/>
      <c r="DTI39" s="29"/>
      <c r="DTJ39" s="28"/>
      <c r="DTK39" s="29"/>
      <c r="DTL39" s="30"/>
      <c r="DTM39" s="28"/>
      <c r="DTN39" s="29"/>
      <c r="DTO39" s="29"/>
      <c r="DTP39" s="29"/>
      <c r="DTQ39" s="28"/>
      <c r="DTR39" s="29"/>
      <c r="DTS39" s="29"/>
      <c r="DTT39" s="28"/>
      <c r="DTU39" s="29"/>
      <c r="DTV39" s="30"/>
      <c r="DTW39" s="28"/>
      <c r="DTX39" s="29"/>
      <c r="DTY39" s="29"/>
      <c r="DTZ39" s="29"/>
      <c r="DUA39" s="28"/>
      <c r="DUB39" s="29"/>
      <c r="DUC39" s="29"/>
      <c r="DUD39" s="28"/>
      <c r="DUE39" s="29"/>
      <c r="DUF39" s="30"/>
      <c r="DUG39" s="28"/>
      <c r="DUH39" s="30"/>
      <c r="DUI39" s="29"/>
      <c r="DUJ39" s="28"/>
      <c r="DUK39" s="29"/>
      <c r="DUL39" s="28"/>
      <c r="DUM39" s="28"/>
      <c r="DUN39" s="28"/>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30"/>
      <c r="DWA39" s="28"/>
      <c r="DWB39" s="29"/>
      <c r="DWC39" s="29"/>
      <c r="DWD39" s="29"/>
      <c r="DWE39" s="29"/>
      <c r="DWF39" s="29"/>
      <c r="DWG39" s="28"/>
      <c r="DWH39" s="29"/>
      <c r="DWI39" s="29"/>
      <c r="DWJ39" s="28"/>
      <c r="DWK39" s="29"/>
      <c r="DWL39" s="30"/>
      <c r="DWM39" s="28"/>
      <c r="DWN39" s="29"/>
      <c r="DWO39" s="29"/>
      <c r="DWP39" s="29"/>
      <c r="DWQ39" s="28"/>
      <c r="DWR39" s="29"/>
      <c r="DWS39" s="29"/>
      <c r="DWT39" s="28"/>
      <c r="DWU39" s="29"/>
      <c r="DWV39" s="30"/>
      <c r="DWW39" s="28"/>
      <c r="DWX39" s="29"/>
      <c r="DWY39" s="29"/>
      <c r="DWZ39" s="29"/>
      <c r="DXA39" s="28"/>
      <c r="DXB39" s="29"/>
      <c r="DXC39" s="29"/>
      <c r="DXD39" s="28"/>
      <c r="DXE39" s="29"/>
      <c r="DXF39" s="30"/>
      <c r="DXG39" s="28"/>
      <c r="DXH39" s="29"/>
      <c r="DXI39" s="29"/>
      <c r="DXJ39" s="29"/>
      <c r="DXK39" s="28"/>
      <c r="DXL39" s="29"/>
      <c r="DXM39" s="29"/>
      <c r="DXN39" s="28"/>
      <c r="DXO39" s="29"/>
      <c r="DXP39" s="30"/>
      <c r="DXQ39" s="28"/>
      <c r="DXR39" s="30"/>
      <c r="DXS39" s="29"/>
      <c r="DXT39" s="28"/>
      <c r="DXU39" s="29"/>
      <c r="DXV39" s="28"/>
      <c r="DXW39" s="28"/>
      <c r="DXX39" s="28"/>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30"/>
      <c r="DZK39" s="28"/>
      <c r="DZL39" s="29"/>
      <c r="DZM39" s="29"/>
      <c r="DZN39" s="29"/>
      <c r="DZO39" s="29"/>
      <c r="DZP39" s="29"/>
      <c r="DZQ39" s="28"/>
      <c r="DZR39" s="29"/>
      <c r="DZS39" s="29"/>
      <c r="DZT39" s="28"/>
      <c r="DZU39" s="29"/>
      <c r="DZV39" s="30"/>
      <c r="DZW39" s="28"/>
      <c r="DZX39" s="29"/>
      <c r="DZY39" s="29"/>
      <c r="DZZ39" s="29"/>
      <c r="EAA39" s="28"/>
      <c r="EAB39" s="29"/>
      <c r="EAC39" s="29"/>
      <c r="EAD39" s="28"/>
      <c r="EAE39" s="29"/>
      <c r="EAF39" s="30"/>
      <c r="EAG39" s="28"/>
      <c r="EAH39" s="29"/>
      <c r="EAI39" s="29"/>
      <c r="EAJ39" s="29"/>
      <c r="EAK39" s="28"/>
      <c r="EAL39" s="29"/>
      <c r="EAM39" s="29"/>
      <c r="EAN39" s="28"/>
      <c r="EAO39" s="29"/>
      <c r="EAP39" s="30"/>
      <c r="EAQ39" s="28"/>
      <c r="EAR39" s="29"/>
      <c r="EAS39" s="29"/>
      <c r="EAT39" s="29"/>
      <c r="EAU39" s="28"/>
      <c r="EAV39" s="29"/>
      <c r="EAW39" s="29"/>
      <c r="EAX39" s="28"/>
      <c r="EAY39" s="29"/>
      <c r="EAZ39" s="30"/>
      <c r="EBA39" s="28"/>
      <c r="EBB39" s="30"/>
      <c r="EBC39" s="29"/>
      <c r="EBD39" s="28"/>
      <c r="EBE39" s="29"/>
      <c r="EBF39" s="28"/>
      <c r="EBG39" s="28"/>
      <c r="EBH39" s="28"/>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30"/>
      <c r="ECU39" s="28"/>
      <c r="ECV39" s="29"/>
      <c r="ECW39" s="29"/>
      <c r="ECX39" s="29"/>
      <c r="ECY39" s="29"/>
      <c r="ECZ39" s="29"/>
      <c r="EDA39" s="28"/>
      <c r="EDB39" s="29"/>
      <c r="EDC39" s="29"/>
      <c r="EDD39" s="28"/>
      <c r="EDE39" s="29"/>
      <c r="EDF39" s="30"/>
      <c r="EDG39" s="28"/>
      <c r="EDH39" s="29"/>
      <c r="EDI39" s="29"/>
      <c r="EDJ39" s="29"/>
      <c r="EDK39" s="28"/>
      <c r="EDL39" s="29"/>
      <c r="EDM39" s="29"/>
      <c r="EDN39" s="28"/>
      <c r="EDO39" s="29"/>
      <c r="EDP39" s="30"/>
      <c r="EDQ39" s="28"/>
      <c r="EDR39" s="29"/>
      <c r="EDS39" s="29"/>
      <c r="EDT39" s="29"/>
      <c r="EDU39" s="28"/>
      <c r="EDV39" s="29"/>
      <c r="EDW39" s="29"/>
      <c r="EDX39" s="28"/>
      <c r="EDY39" s="29"/>
      <c r="EDZ39" s="30"/>
      <c r="EEA39" s="28"/>
      <c r="EEB39" s="29"/>
      <c r="EEC39" s="29"/>
      <c r="EED39" s="29"/>
      <c r="EEE39" s="28"/>
      <c r="EEF39" s="29"/>
      <c r="EEG39" s="29"/>
      <c r="EEH39" s="28"/>
      <c r="EEI39" s="29"/>
      <c r="EEJ39" s="30"/>
      <c r="EEK39" s="28"/>
      <c r="EEL39" s="30"/>
      <c r="EEM39" s="29"/>
      <c r="EEN39" s="28"/>
      <c r="EEO39" s="29"/>
      <c r="EEP39" s="28"/>
      <c r="EEQ39" s="28"/>
      <c r="EER39" s="28"/>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30"/>
      <c r="EGE39" s="28"/>
      <c r="EGF39" s="29"/>
      <c r="EGG39" s="29"/>
      <c r="EGH39" s="29"/>
      <c r="EGI39" s="29"/>
      <c r="EGJ39" s="29"/>
      <c r="EGK39" s="28"/>
      <c r="EGL39" s="29"/>
      <c r="EGM39" s="29"/>
      <c r="EGN39" s="28"/>
      <c r="EGO39" s="29"/>
      <c r="EGP39" s="30"/>
      <c r="EGQ39" s="28"/>
      <c r="EGR39" s="29"/>
      <c r="EGS39" s="29"/>
      <c r="EGT39" s="29"/>
      <c r="EGU39" s="28"/>
      <c r="EGV39" s="29"/>
      <c r="EGW39" s="29"/>
      <c r="EGX39" s="28"/>
      <c r="EGY39" s="29"/>
      <c r="EGZ39" s="30"/>
      <c r="EHA39" s="28"/>
      <c r="EHB39" s="29"/>
      <c r="EHC39" s="29"/>
      <c r="EHD39" s="29"/>
      <c r="EHE39" s="28"/>
      <c r="EHF39" s="29"/>
      <c r="EHG39" s="29"/>
      <c r="EHH39" s="28"/>
      <c r="EHI39" s="29"/>
      <c r="EHJ39" s="30"/>
      <c r="EHK39" s="28"/>
      <c r="EHL39" s="29"/>
      <c r="EHM39" s="29"/>
      <c r="EHN39" s="29"/>
      <c r="EHO39" s="28"/>
      <c r="EHP39" s="29"/>
      <c r="EHQ39" s="29"/>
      <c r="EHR39" s="28"/>
      <c r="EHS39" s="29"/>
      <c r="EHT39" s="30"/>
      <c r="EHU39" s="28"/>
      <c r="EHV39" s="30"/>
      <c r="EHW39" s="29"/>
      <c r="EHX39" s="28"/>
      <c r="EHY39" s="29"/>
      <c r="EHZ39" s="28"/>
      <c r="EIA39" s="28"/>
      <c r="EIB39" s="28"/>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30"/>
      <c r="EJO39" s="28"/>
      <c r="EJP39" s="29"/>
      <c r="EJQ39" s="29"/>
      <c r="EJR39" s="29"/>
      <c r="EJS39" s="29"/>
      <c r="EJT39" s="29"/>
      <c r="EJU39" s="28"/>
      <c r="EJV39" s="29"/>
      <c r="EJW39" s="29"/>
      <c r="EJX39" s="28"/>
      <c r="EJY39" s="29"/>
      <c r="EJZ39" s="30"/>
      <c r="EKA39" s="28"/>
      <c r="EKB39" s="29"/>
      <c r="EKC39" s="29"/>
      <c r="EKD39" s="29"/>
      <c r="EKE39" s="28"/>
      <c r="EKF39" s="29"/>
      <c r="EKG39" s="29"/>
      <c r="EKH39" s="28"/>
      <c r="EKI39" s="29"/>
      <c r="EKJ39" s="30"/>
      <c r="EKK39" s="28"/>
      <c r="EKL39" s="29"/>
      <c r="EKM39" s="29"/>
      <c r="EKN39" s="29"/>
      <c r="EKO39" s="28"/>
      <c r="EKP39" s="29"/>
      <c r="EKQ39" s="29"/>
      <c r="EKR39" s="28"/>
      <c r="EKS39" s="29"/>
      <c r="EKT39" s="30"/>
      <c r="EKU39" s="28"/>
      <c r="EKV39" s="29"/>
      <c r="EKW39" s="29"/>
      <c r="EKX39" s="29"/>
      <c r="EKY39" s="28"/>
      <c r="EKZ39" s="29"/>
      <c r="ELA39" s="29"/>
      <c r="ELB39" s="28"/>
      <c r="ELC39" s="29"/>
      <c r="ELD39" s="30"/>
      <c r="ELE39" s="28"/>
      <c r="ELF39" s="30"/>
      <c r="ELG39" s="29"/>
      <c r="ELH39" s="28"/>
      <c r="ELI39" s="29"/>
      <c r="ELJ39" s="28"/>
      <c r="ELK39" s="28"/>
      <c r="ELL39" s="28"/>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30"/>
      <c r="EMY39" s="28"/>
      <c r="EMZ39" s="29"/>
      <c r="ENA39" s="29"/>
      <c r="ENB39" s="29"/>
      <c r="ENC39" s="29"/>
      <c r="END39" s="29"/>
      <c r="ENE39" s="28"/>
      <c r="ENF39" s="29"/>
      <c r="ENG39" s="29"/>
      <c r="ENH39" s="28"/>
      <c r="ENI39" s="29"/>
      <c r="ENJ39" s="30"/>
      <c r="ENK39" s="28"/>
      <c r="ENL39" s="29"/>
      <c r="ENM39" s="29"/>
      <c r="ENN39" s="29"/>
      <c r="ENO39" s="28"/>
      <c r="ENP39" s="29"/>
      <c r="ENQ39" s="29"/>
      <c r="ENR39" s="28"/>
      <c r="ENS39" s="29"/>
      <c r="ENT39" s="30"/>
      <c r="ENU39" s="28"/>
      <c r="ENV39" s="29"/>
      <c r="ENW39" s="29"/>
      <c r="ENX39" s="29"/>
      <c r="ENY39" s="28"/>
      <c r="ENZ39" s="29"/>
      <c r="EOA39" s="29"/>
      <c r="EOB39" s="28"/>
      <c r="EOC39" s="29"/>
      <c r="EOD39" s="30"/>
      <c r="EOE39" s="28"/>
      <c r="EOF39" s="29"/>
      <c r="EOG39" s="29"/>
      <c r="EOH39" s="29"/>
      <c r="EOI39" s="28"/>
      <c r="EOJ39" s="29"/>
      <c r="EOK39" s="29"/>
      <c r="EOL39" s="28"/>
      <c r="EOM39" s="29"/>
      <c r="EON39" s="30"/>
      <c r="EOO39" s="28" t="str">
        <f t="shared" si="149"/>
        <v xml:space="preserve"> </v>
      </c>
      <c r="EOP39" s="30"/>
      <c r="EOQ39" s="29"/>
      <c r="EOR39" s="28"/>
      <c r="EOS39" s="29"/>
      <c r="EOT39" s="28"/>
      <c r="EOU39" s="28"/>
      <c r="EOV39" s="28"/>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30"/>
      <c r="EQI39" s="28"/>
      <c r="EQJ39" s="29"/>
      <c r="EQK39" s="29"/>
      <c r="EQL39" s="29"/>
      <c r="EQM39" s="29"/>
      <c r="EQN39" s="29"/>
      <c r="EQO39" s="28"/>
      <c r="EQP39" s="29"/>
      <c r="EQQ39" s="29"/>
      <c r="EQR39" s="28"/>
      <c r="EQS39" s="29"/>
      <c r="EQT39" s="30"/>
      <c r="EQU39" s="28"/>
      <c r="EQV39" s="29"/>
      <c r="EQW39" s="29"/>
      <c r="EQX39" s="29"/>
      <c r="EQY39" s="28"/>
      <c r="EQZ39" s="29"/>
      <c r="ERA39" s="29"/>
      <c r="ERB39" s="28"/>
      <c r="ERC39" s="29"/>
      <c r="ERD39" s="30"/>
      <c r="ERE39" s="28"/>
      <c r="ERF39" s="29"/>
      <c r="ERG39" s="29"/>
      <c r="ERH39" s="29"/>
      <c r="ERI39" s="28"/>
      <c r="ERJ39" s="29"/>
      <c r="ERK39" s="29"/>
      <c r="ERL39" s="28"/>
      <c r="ERM39" s="29"/>
      <c r="ERN39" s="30"/>
      <c r="ERO39" s="28"/>
      <c r="ERP39" s="29"/>
      <c r="ERQ39" s="29"/>
      <c r="ERR39" s="29"/>
      <c r="ERS39" s="28"/>
      <c r="ERT39" s="29"/>
      <c r="ERU39" s="29"/>
      <c r="ERV39" s="28"/>
      <c r="ERW39" s="29"/>
      <c r="ERX39" s="30"/>
      <c r="ERY39" s="28" t="str">
        <f t="shared" si="152"/>
        <v xml:space="preserve"> </v>
      </c>
      <c r="ERZ39" s="30"/>
      <c r="ESA39" s="29"/>
      <c r="ESB39" s="28"/>
      <c r="ESC39" s="29"/>
      <c r="ESD39" s="28"/>
      <c r="ESE39" s="28"/>
      <c r="ESF39" s="28"/>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30"/>
      <c r="ETS39" s="28"/>
      <c r="ETT39" s="29"/>
      <c r="ETU39" s="29"/>
      <c r="ETV39" s="29"/>
      <c r="ETW39" s="29"/>
      <c r="ETX39" s="29"/>
      <c r="ETY39" s="28"/>
      <c r="ETZ39" s="29"/>
      <c r="EUA39" s="29"/>
      <c r="EUB39" s="28"/>
      <c r="EUC39" s="29"/>
      <c r="EUD39" s="30"/>
      <c r="EUE39" s="28"/>
      <c r="EUF39" s="29"/>
      <c r="EUG39" s="29"/>
      <c r="EUH39" s="29"/>
      <c r="EUI39" s="28"/>
      <c r="EUJ39" s="29"/>
      <c r="EUK39" s="29"/>
      <c r="EUL39" s="28"/>
      <c r="EUM39" s="29"/>
      <c r="EUN39" s="30"/>
      <c r="EUO39" s="28"/>
      <c r="EUP39" s="29"/>
      <c r="EUQ39" s="29"/>
      <c r="EUR39" s="29"/>
      <c r="EUS39" s="28"/>
      <c r="EUT39" s="29"/>
      <c r="EUU39" s="29"/>
      <c r="EUV39" s="28"/>
      <c r="EUW39" s="29"/>
      <c r="EUX39" s="30"/>
      <c r="EUY39" s="28"/>
      <c r="EUZ39" s="29"/>
      <c r="EVA39" s="29"/>
      <c r="EVB39" s="29"/>
      <c r="EVC39" s="28"/>
      <c r="EVD39" s="29"/>
      <c r="EVE39" s="29"/>
      <c r="EVF39" s="28"/>
      <c r="EVG39" s="29"/>
      <c r="EVH39" s="30"/>
      <c r="EVI39" s="28" t="str">
        <f t="shared" si="153"/>
        <v xml:space="preserve"> </v>
      </c>
    </row>
    <row r="40" spans="1:3961" x14ac:dyDescent="0.3">
      <c r="A40" s="424" t="s">
        <v>229</v>
      </c>
      <c r="B40" s="55">
        <f>'REG y VAL POE - AESR - ESR'!B3090</f>
        <v>0</v>
      </c>
      <c r="C40" s="57">
        <f>'REG y VAL POE - AESR - ESR'!C3090</f>
        <v>0</v>
      </c>
      <c r="D40" s="56">
        <f>'REG y VAL POE - AESR - ESR'!D3090</f>
        <v>0</v>
      </c>
      <c r="E40" s="57">
        <f>'REG y VAL POE - AESR - ESR'!E3090</f>
        <v>0</v>
      </c>
      <c r="F40" s="56">
        <f>'REG y VAL POE - AESR - ESR'!F3090</f>
        <v>0</v>
      </c>
      <c r="G40" s="59">
        <f>'REG y VAL POE - AESR - ESR'!G3090</f>
        <v>0</v>
      </c>
      <c r="H40" s="59">
        <f>'REG y VAL POE - AESR - ESR'!H3090</f>
        <v>0</v>
      </c>
      <c r="I40" s="57">
        <f>'REG y VAL POE - AESR - ESR'!I3090</f>
        <v>0</v>
      </c>
      <c r="J40" s="57">
        <f>'REG y VAL POE - AESR - ESR'!J3090</f>
        <v>0</v>
      </c>
      <c r="K40" s="57">
        <f>'REG y VAL POE - AESR - ESR'!K3090</f>
        <v>0</v>
      </c>
      <c r="L40" s="57">
        <f>'REG y VAL POE - AESR - ESR'!L3090</f>
        <v>0</v>
      </c>
      <c r="M40" s="57">
        <f>'REG y VAL POE - AESR - ESR'!M3090</f>
        <v>0</v>
      </c>
      <c r="N40" s="57">
        <f>'REG y VAL POE - AESR - ESR'!N3090</f>
        <v>0</v>
      </c>
      <c r="O40" s="57">
        <f>'REG y VAL POE - AESR - ESR'!O3090</f>
        <v>0</v>
      </c>
      <c r="P40" s="57">
        <f>'REG y VAL POE - AESR - ESR'!P3090</f>
        <v>0</v>
      </c>
      <c r="Q40" s="57">
        <f>'REG y VAL POE - AESR - ESR'!Q3090</f>
        <v>0</v>
      </c>
      <c r="R40" s="57">
        <f>'REG y VAL POE - AESR - ESR'!R3090</f>
        <v>0</v>
      </c>
      <c r="S40" s="57">
        <f>'REG y VAL POE - AESR - ESR'!S3090</f>
        <v>0</v>
      </c>
      <c r="T40" s="57">
        <f>'REG y VAL POE - AESR - ESR'!T3090</f>
        <v>0</v>
      </c>
      <c r="U40" s="57">
        <f>'REG y VAL POE - AESR - ESR'!U3090</f>
        <v>0</v>
      </c>
      <c r="V40" s="57">
        <f>'REG y VAL POE - AESR - ESR'!V3090</f>
        <v>0</v>
      </c>
      <c r="W40" s="57">
        <f>'REG y VAL POE - AESR - ESR'!W3090</f>
        <v>0</v>
      </c>
      <c r="X40" s="57">
        <f>'REG y VAL POE - AESR - ESR'!X3090</f>
        <v>0</v>
      </c>
      <c r="Y40" s="57">
        <f>'REG y VAL POE - AESR - ESR'!Y3090</f>
        <v>0</v>
      </c>
      <c r="Z40" s="57">
        <f>'REG y VAL POE - AESR - ESR'!Z3090</f>
        <v>0</v>
      </c>
      <c r="AA40" s="57">
        <f>'REG y VAL POE - AESR - ESR'!AA3090</f>
        <v>0</v>
      </c>
      <c r="AB40" s="57">
        <f>'REG y VAL POE - AESR - ESR'!AB3090</f>
        <v>0</v>
      </c>
      <c r="AC40" s="57">
        <f>'REG y VAL POE - AESR - ESR'!AC3090</f>
        <v>0</v>
      </c>
      <c r="AD40" s="57">
        <f>'REG y VAL POE - AESR - ESR'!AD3090</f>
        <v>0</v>
      </c>
      <c r="AE40" s="57">
        <f>'REG y VAL POE - AESR - ESR'!AE3090</f>
        <v>0</v>
      </c>
      <c r="AF40" s="57">
        <f>'REG y VAL POE - AESR - ESR'!AF3090</f>
        <v>0</v>
      </c>
      <c r="AG40" s="57">
        <f>'REG y VAL POE - AESR - ESR'!AG3090</f>
        <v>0</v>
      </c>
      <c r="AH40" s="57">
        <f>'REG y VAL POE - AESR - ESR'!AH3090</f>
        <v>0</v>
      </c>
      <c r="AI40" s="57">
        <f>'REG y VAL POE - AESR - ESR'!AI3090</f>
        <v>0</v>
      </c>
      <c r="AJ40" s="57">
        <f>'REG y VAL POE - AESR - ESR'!AJ3090</f>
        <v>0</v>
      </c>
      <c r="AK40" s="57">
        <f>'REG y VAL POE - AESR - ESR'!AK3090</f>
        <v>0</v>
      </c>
      <c r="AL40" s="57">
        <f>'REG y VAL POE - AESR - ESR'!AL3090</f>
        <v>0</v>
      </c>
      <c r="AM40" s="57">
        <f>'REG y VAL POE - AESR - ESR'!AM3090</f>
        <v>0</v>
      </c>
      <c r="AN40" s="57">
        <f>'REG y VAL POE - AESR - ESR'!AN3090</f>
        <v>0</v>
      </c>
      <c r="AO40" s="57">
        <f>'REG y VAL POE - AESR - ESR'!AO3090</f>
        <v>0</v>
      </c>
      <c r="AP40" s="57">
        <f>'REG y VAL POE - AESR - ESR'!AP3090</f>
        <v>0</v>
      </c>
      <c r="AQ40" s="57">
        <f>'REG y VAL POE - AESR - ESR'!AQ3090</f>
        <v>0</v>
      </c>
      <c r="AR40" s="57">
        <f>'REG y VAL POE - AESR - ESR'!AR3090</f>
        <v>0</v>
      </c>
      <c r="AS40" s="57">
        <f>'REG y VAL POE - AESR - ESR'!AS3090</f>
        <v>0</v>
      </c>
      <c r="AT40" s="58">
        <f>'REG y VAL POE - AESR - ESR'!B3091</f>
        <v>0</v>
      </c>
      <c r="AU40" s="57">
        <f>'REG y VAL POE - AESR - ESR'!C3091</f>
        <v>0</v>
      </c>
      <c r="AV40" s="56">
        <f>'REG y VAL POE - AESR - ESR'!D3091</f>
        <v>0</v>
      </c>
      <c r="AW40" s="57">
        <f>'REG y VAL POE - AESR - ESR'!E3091</f>
        <v>0</v>
      </c>
      <c r="AX40" s="56">
        <f>'REG y VAL POE - AESR - ESR'!F3091</f>
        <v>0</v>
      </c>
      <c r="AY40" s="59">
        <f>'REG y VAL POE - AESR - ESR'!G3091</f>
        <v>0</v>
      </c>
      <c r="AZ40" s="59">
        <f>'REG y VAL POE - AESR - ESR'!H3091</f>
        <v>0</v>
      </c>
      <c r="BA40" s="57">
        <f>'REG y VAL POE - AESR - ESR'!I3091</f>
        <v>0</v>
      </c>
      <c r="BB40" s="57">
        <f>'REG y VAL POE - AESR - ESR'!J3091</f>
        <v>0</v>
      </c>
      <c r="BC40" s="57">
        <f>'REG y VAL POE - AESR - ESR'!K3091</f>
        <v>0</v>
      </c>
      <c r="BD40" s="57">
        <f>'REG y VAL POE - AESR - ESR'!L3091</f>
        <v>0</v>
      </c>
      <c r="BE40" s="57">
        <f>'REG y VAL POE - AESR - ESR'!M3091</f>
        <v>0</v>
      </c>
      <c r="BF40" s="57">
        <f>'REG y VAL POE - AESR - ESR'!N3091</f>
        <v>0</v>
      </c>
      <c r="BG40" s="57">
        <f>'REG y VAL POE - AESR - ESR'!O3091</f>
        <v>0</v>
      </c>
      <c r="BH40" s="57">
        <f>'REG y VAL POE - AESR - ESR'!P3091</f>
        <v>0</v>
      </c>
      <c r="BI40" s="57">
        <f>'REG y VAL POE - AESR - ESR'!Q3091</f>
        <v>0</v>
      </c>
      <c r="BJ40" s="57">
        <f>'REG y VAL POE - AESR - ESR'!R3091</f>
        <v>0</v>
      </c>
      <c r="BK40" s="57">
        <f>'REG y VAL POE - AESR - ESR'!S3091</f>
        <v>0</v>
      </c>
      <c r="BL40" s="57">
        <f>'REG y VAL POE - AESR - ESR'!T3091</f>
        <v>0</v>
      </c>
      <c r="BM40" s="57">
        <f>'REG y VAL POE - AESR - ESR'!U3091</f>
        <v>0</v>
      </c>
      <c r="BN40" s="57">
        <f>'REG y VAL POE - AESR - ESR'!V3091</f>
        <v>0</v>
      </c>
      <c r="BO40" s="57">
        <f>'REG y VAL POE - AESR - ESR'!W3091</f>
        <v>0</v>
      </c>
      <c r="BP40" s="57">
        <f>'REG y VAL POE - AESR - ESR'!X3091</f>
        <v>0</v>
      </c>
      <c r="BQ40" s="57">
        <f>'REG y VAL POE - AESR - ESR'!Y3091</f>
        <v>0</v>
      </c>
      <c r="BR40" s="57">
        <f>'REG y VAL POE - AESR - ESR'!Z3091</f>
        <v>0</v>
      </c>
      <c r="BS40" s="57">
        <f>'REG y VAL POE - AESR - ESR'!AA3091</f>
        <v>0</v>
      </c>
      <c r="BT40" s="57">
        <f>'REG y VAL POE - AESR - ESR'!AB3091</f>
        <v>0</v>
      </c>
      <c r="BU40" s="57">
        <f>'REG y VAL POE - AESR - ESR'!AC3091</f>
        <v>0</v>
      </c>
      <c r="BV40" s="57">
        <f>'REG y VAL POE - AESR - ESR'!AD3091</f>
        <v>0</v>
      </c>
      <c r="BW40" s="57">
        <f>'REG y VAL POE - AESR - ESR'!AE3091</f>
        <v>0</v>
      </c>
      <c r="BX40" s="57">
        <f>'REG y VAL POE - AESR - ESR'!AF3091</f>
        <v>0</v>
      </c>
      <c r="BY40" s="57">
        <f>'REG y VAL POE - AESR - ESR'!AG3091</f>
        <v>0</v>
      </c>
      <c r="BZ40" s="57">
        <f>'REG y VAL POE - AESR - ESR'!AH3091</f>
        <v>0</v>
      </c>
      <c r="CA40" s="57">
        <f>'REG y VAL POE - AESR - ESR'!AI3091</f>
        <v>0</v>
      </c>
      <c r="CB40" s="57">
        <f>'REG y VAL POE - AESR - ESR'!AJ3091</f>
        <v>0</v>
      </c>
      <c r="CC40" s="57">
        <f>'REG y VAL POE - AESR - ESR'!AK3091</f>
        <v>0</v>
      </c>
      <c r="CD40" s="57">
        <f>'REG y VAL POE - AESR - ESR'!AL3091</f>
        <v>0</v>
      </c>
      <c r="CE40" s="57">
        <f>'REG y VAL POE - AESR - ESR'!AM3091</f>
        <v>0</v>
      </c>
      <c r="CF40" s="57">
        <f>'REG y VAL POE - AESR - ESR'!AN3091</f>
        <v>0</v>
      </c>
      <c r="CG40" s="57">
        <f>'REG y VAL POE - AESR - ESR'!AO3091</f>
        <v>0</v>
      </c>
      <c r="CH40" s="57">
        <f>'REG y VAL POE - AESR - ESR'!AP3091</f>
        <v>0</v>
      </c>
      <c r="CI40" s="57">
        <f>'REG y VAL POE - AESR - ESR'!AQ3091</f>
        <v>0</v>
      </c>
      <c r="CJ40" s="57">
        <f>'REG y VAL POE - AESR - ESR'!AR3091</f>
        <v>0</v>
      </c>
      <c r="CK40" s="57">
        <f>'REG y VAL POE - AESR - ESR'!AS3091</f>
        <v>0</v>
      </c>
      <c r="CL40" s="58">
        <f>'REG y VAL POE - AESR - ESR'!B3092</f>
        <v>0</v>
      </c>
      <c r="CM40" s="57">
        <f>'REG y VAL POE - AESR - ESR'!C3092</f>
        <v>0</v>
      </c>
      <c r="CN40" s="56">
        <f>'REG y VAL POE - AESR - ESR'!D3092</f>
        <v>0</v>
      </c>
      <c r="CO40" s="57">
        <f>'REG y VAL POE - AESR - ESR'!E3092</f>
        <v>0</v>
      </c>
      <c r="CP40" s="56">
        <f>'REG y VAL POE - AESR - ESR'!F3092</f>
        <v>0</v>
      </c>
      <c r="CQ40" s="59">
        <f>'REG y VAL POE - AESR - ESR'!G3092</f>
        <v>0</v>
      </c>
      <c r="CR40" s="59">
        <f>'REG y VAL POE - AESR - ESR'!H3092</f>
        <v>0</v>
      </c>
      <c r="CS40" s="57">
        <f>'REG y VAL POE - AESR - ESR'!I3092</f>
        <v>0</v>
      </c>
      <c r="CT40" s="57">
        <f>'REG y VAL POE - AESR - ESR'!J3092</f>
        <v>0</v>
      </c>
      <c r="CU40" s="57">
        <f>'REG y VAL POE - AESR - ESR'!K3092</f>
        <v>0</v>
      </c>
      <c r="CV40" s="57">
        <f>'REG y VAL POE - AESR - ESR'!L3092</f>
        <v>0</v>
      </c>
      <c r="CW40" s="57">
        <f>'REG y VAL POE - AESR - ESR'!M3092</f>
        <v>0</v>
      </c>
      <c r="CX40" s="57">
        <f>'REG y VAL POE - AESR - ESR'!N3092</f>
        <v>0</v>
      </c>
      <c r="CY40" s="57">
        <f>'REG y VAL POE - AESR - ESR'!O3092</f>
        <v>0</v>
      </c>
      <c r="CZ40" s="57">
        <f>'REG y VAL POE - AESR - ESR'!P3092</f>
        <v>0</v>
      </c>
      <c r="DA40" s="57">
        <f>'REG y VAL POE - AESR - ESR'!Q3092</f>
        <v>0</v>
      </c>
      <c r="DB40" s="57">
        <f>'REG y VAL POE - AESR - ESR'!R3092</f>
        <v>0</v>
      </c>
      <c r="DC40" s="57">
        <f>'REG y VAL POE - AESR - ESR'!S3092</f>
        <v>0</v>
      </c>
      <c r="DD40" s="57">
        <f>'REG y VAL POE - AESR - ESR'!T3092</f>
        <v>0</v>
      </c>
      <c r="DE40" s="57">
        <f>'REG y VAL POE - AESR - ESR'!U3092</f>
        <v>0</v>
      </c>
      <c r="DF40" s="57">
        <f>'REG y VAL POE - AESR - ESR'!V3092</f>
        <v>0</v>
      </c>
      <c r="DG40" s="57">
        <f>'REG y VAL POE - AESR - ESR'!W3092</f>
        <v>0</v>
      </c>
      <c r="DH40" s="57">
        <f>'REG y VAL POE - AESR - ESR'!X3092</f>
        <v>0</v>
      </c>
      <c r="DI40" s="57">
        <f>'REG y VAL POE - AESR - ESR'!Y3092</f>
        <v>0</v>
      </c>
      <c r="DJ40" s="57">
        <f>'REG y VAL POE - AESR - ESR'!Z3092</f>
        <v>0</v>
      </c>
      <c r="DK40" s="57">
        <f>'REG y VAL POE - AESR - ESR'!AA3092</f>
        <v>0</v>
      </c>
      <c r="DL40" s="57">
        <f>'REG y VAL POE - AESR - ESR'!AB3092</f>
        <v>0</v>
      </c>
      <c r="DM40" s="57">
        <f>'REG y VAL POE - AESR - ESR'!AC3092</f>
        <v>0</v>
      </c>
      <c r="DN40" s="57">
        <f>'REG y VAL POE - AESR - ESR'!AD3092</f>
        <v>0</v>
      </c>
      <c r="DO40" s="57">
        <f>'REG y VAL POE - AESR - ESR'!AE3092</f>
        <v>0</v>
      </c>
      <c r="DP40" s="57">
        <f>'REG y VAL POE - AESR - ESR'!AF3092</f>
        <v>0</v>
      </c>
      <c r="DQ40" s="57">
        <f>'REG y VAL POE - AESR - ESR'!AG3092</f>
        <v>0</v>
      </c>
      <c r="DR40" s="57">
        <f>'REG y VAL POE - AESR - ESR'!AH3092</f>
        <v>0</v>
      </c>
      <c r="DS40" s="57">
        <f>'REG y VAL POE - AESR - ESR'!AI3092</f>
        <v>0</v>
      </c>
      <c r="DT40" s="57">
        <f>'REG y VAL POE - AESR - ESR'!AJ3092</f>
        <v>0</v>
      </c>
      <c r="DU40" s="57">
        <f>'REG y VAL POE - AESR - ESR'!AK3092</f>
        <v>0</v>
      </c>
      <c r="DV40" s="57">
        <f>'REG y VAL POE - AESR - ESR'!AL3092</f>
        <v>0</v>
      </c>
      <c r="DW40" s="57">
        <f>'REG y VAL POE - AESR - ESR'!AM3092</f>
        <v>0</v>
      </c>
      <c r="DX40" s="57">
        <f>'REG y VAL POE - AESR - ESR'!AN3092</f>
        <v>0</v>
      </c>
      <c r="DY40" s="57">
        <f>'REG y VAL POE - AESR - ESR'!AO3092</f>
        <v>0</v>
      </c>
      <c r="DZ40" s="57">
        <f>'REG y VAL POE - AESR - ESR'!AP3092</f>
        <v>0</v>
      </c>
      <c r="EA40" s="57">
        <f>'REG y VAL POE - AESR - ESR'!AQ3092</f>
        <v>0</v>
      </c>
      <c r="EB40" s="57">
        <f>'REG y VAL POE - AESR - ESR'!AR3092</f>
        <v>0</v>
      </c>
      <c r="EC40" s="57">
        <f>'REG y VAL POE - AESR - ESR'!AS3092</f>
        <v>0</v>
      </c>
      <c r="ED40" s="57">
        <f>'REG y VAL POE - AESR - ESR'!B3093</f>
        <v>0</v>
      </c>
      <c r="EE40" s="56">
        <f>'REG y VAL POE - AESR - ESR'!C3093</f>
        <v>0</v>
      </c>
      <c r="EF40" s="56">
        <f>'REG y VAL POE - AESR - ESR'!D3093</f>
        <v>0</v>
      </c>
      <c r="EG40" s="57">
        <f>'REG y VAL POE - AESR - ESR'!E3093</f>
        <v>0</v>
      </c>
      <c r="EH40" s="58">
        <f>'REG y VAL POE - AESR - ESR'!F3093</f>
        <v>0</v>
      </c>
      <c r="EI40" s="56">
        <f>'REG y VAL POE - AESR - ESR'!G3093</f>
        <v>0</v>
      </c>
      <c r="EJ40" s="57">
        <f>'REG y VAL POE - AESR - ESR'!H3093</f>
        <v>0</v>
      </c>
      <c r="EK40" s="57">
        <f>'REG y VAL POE - AESR - ESR'!I3093</f>
        <v>0</v>
      </c>
      <c r="EL40" s="57">
        <f>'REG y VAL POE - AESR - ESR'!J3093</f>
        <v>0</v>
      </c>
      <c r="EM40" s="56">
        <f>'REG y VAL POE - AESR - ESR'!K3093</f>
        <v>0</v>
      </c>
      <c r="EN40" s="57">
        <f>'REG y VAL POE - AESR - ESR'!L3093</f>
        <v>0</v>
      </c>
      <c r="EO40" s="57">
        <f>'REG y VAL POE - AESR - ESR'!M3093</f>
        <v>0</v>
      </c>
      <c r="EP40" s="56">
        <f>'REG y VAL POE - AESR - ESR'!N3093</f>
        <v>0</v>
      </c>
      <c r="EQ40" s="57">
        <f>'REG y VAL POE - AESR - ESR'!O3093</f>
        <v>0</v>
      </c>
      <c r="ER40" s="58">
        <f>'REG y VAL POE - AESR - ESR'!P3093</f>
        <v>0</v>
      </c>
      <c r="ES40" s="56">
        <f>'REG y VAL POE - AESR - ESR'!Q3093</f>
        <v>0</v>
      </c>
      <c r="ET40" s="57">
        <f>'REG y VAL POE - AESR - ESR'!R3093</f>
        <v>0</v>
      </c>
      <c r="EU40" s="57">
        <f>'REG y VAL POE - AESR - ESR'!S3093</f>
        <v>0</v>
      </c>
      <c r="EV40" s="57">
        <f>'REG y VAL POE - AESR - ESR'!T3093</f>
        <v>0</v>
      </c>
      <c r="EW40" s="56">
        <f>'REG y VAL POE - AESR - ESR'!U3093</f>
        <v>0</v>
      </c>
      <c r="EX40" s="57">
        <f>'REG y VAL POE - AESR - ESR'!V3093</f>
        <v>0</v>
      </c>
      <c r="EY40" s="57">
        <f>'REG y VAL POE - AESR - ESR'!W3093</f>
        <v>0</v>
      </c>
      <c r="EZ40" s="56">
        <f>'REG y VAL POE - AESR - ESR'!X3093</f>
        <v>0</v>
      </c>
      <c r="FA40" s="57">
        <f>'REG y VAL POE - AESR - ESR'!Y3093</f>
        <v>0</v>
      </c>
      <c r="FB40" s="58">
        <f>'REG y VAL POE - AESR - ESR'!Z3093</f>
        <v>0</v>
      </c>
      <c r="FC40" s="56">
        <f>'REG y VAL POE - AESR - ESR'!AA3093</f>
        <v>0</v>
      </c>
      <c r="FD40" s="57">
        <f>'REG y VAL POE - AESR - ESR'!AB3093</f>
        <v>0</v>
      </c>
      <c r="FE40" s="57">
        <f>'REG y VAL POE - AESR - ESR'!AC3093</f>
        <v>0</v>
      </c>
      <c r="FF40" s="57">
        <f>'REG y VAL POE - AESR - ESR'!AD3093</f>
        <v>0</v>
      </c>
      <c r="FG40" s="56">
        <f>'REG y VAL POE - AESR - ESR'!AE3093</f>
        <v>0</v>
      </c>
      <c r="FH40" s="57">
        <f>'REG y VAL POE - AESR - ESR'!AF3093</f>
        <v>0</v>
      </c>
      <c r="FI40" s="57">
        <f>'REG y VAL POE - AESR - ESR'!AG3093</f>
        <v>0</v>
      </c>
      <c r="FJ40" s="56">
        <f>'REG y VAL POE - AESR - ESR'!AH3093</f>
        <v>0</v>
      </c>
      <c r="FK40" s="57">
        <f>'REG y VAL POE - AESR - ESR'!AI3093</f>
        <v>0</v>
      </c>
      <c r="FL40" s="58">
        <f>'REG y VAL POE - AESR - ESR'!AJ3093</f>
        <v>0</v>
      </c>
      <c r="FM40" s="56">
        <f>'REG y VAL POE - AESR - ESR'!AK3093</f>
        <v>0</v>
      </c>
      <c r="FN40" s="57">
        <f>'REG y VAL POE - AESR - ESR'!AL3093</f>
        <v>0</v>
      </c>
      <c r="FO40" s="57">
        <f>'REG y VAL POE - AESR - ESR'!AM3093</f>
        <v>0</v>
      </c>
      <c r="FP40" s="57">
        <f>'REG y VAL POE - AESR - ESR'!AN3093</f>
        <v>0</v>
      </c>
      <c r="FQ40" s="56">
        <f>'REG y VAL POE - AESR - ESR'!AO3093</f>
        <v>0</v>
      </c>
      <c r="FR40" s="57">
        <f>'REG y VAL POE - AESR - ESR'!AP3093</f>
        <v>0</v>
      </c>
      <c r="FS40" s="57">
        <f>'REG y VAL POE - AESR - ESR'!AQ3093</f>
        <v>0</v>
      </c>
      <c r="FT40" s="56">
        <f>'REG y VAL POE - AESR - ESR'!AR3093</f>
        <v>0</v>
      </c>
      <c r="FU40" s="57">
        <f>'REG y VAL POE - AESR - ESR'!AS3093</f>
        <v>0</v>
      </c>
      <c r="FV40" s="58">
        <f>'REG y VAL POE - AESR - ESR'!B3094</f>
        <v>0</v>
      </c>
      <c r="FW40" s="56">
        <f>'REG y VAL POE - AESR - ESR'!C3094</f>
        <v>0</v>
      </c>
      <c r="FX40" s="57">
        <f>'REG y VAL POE - AESR - ESR'!D3094</f>
        <v>0</v>
      </c>
      <c r="FY40" s="57">
        <f>'REG y VAL POE - AESR - ESR'!E3094</f>
        <v>0</v>
      </c>
      <c r="FZ40" s="57">
        <f>'REG y VAL POE - AESR - ESR'!F3094</f>
        <v>0</v>
      </c>
      <c r="GA40" s="56">
        <f>'REG y VAL POE - AESR - ESR'!G3094</f>
        <v>0</v>
      </c>
      <c r="GB40" s="57">
        <f>'REG y VAL POE - AESR - ESR'!H3094</f>
        <v>0</v>
      </c>
      <c r="GC40" s="57">
        <f>'REG y VAL POE - AESR - ESR'!I3094</f>
        <v>0</v>
      </c>
      <c r="GD40" s="56">
        <f>'REG y VAL POE - AESR - ESR'!J3094</f>
        <v>0</v>
      </c>
      <c r="GE40" s="57">
        <f>'REG y VAL POE - AESR - ESR'!K3094</f>
        <v>0</v>
      </c>
      <c r="GF40" s="58">
        <f>'REG y VAL POE - AESR - ESR'!L3094</f>
        <v>0</v>
      </c>
      <c r="GG40" s="56">
        <f>'REG y VAL POE - AESR - ESR'!M3094</f>
        <v>0</v>
      </c>
      <c r="GH40" s="57">
        <f>'REG y VAL POE - AESR - ESR'!N3094</f>
        <v>0</v>
      </c>
      <c r="GI40" s="57">
        <f>'REG y VAL POE - AESR - ESR'!O3094</f>
        <v>0</v>
      </c>
      <c r="GJ40" s="57">
        <f>'REG y VAL POE - AESR - ESR'!P3094</f>
        <v>0</v>
      </c>
      <c r="GK40" s="56">
        <f>'REG y VAL POE - AESR - ESR'!Q3094</f>
        <v>0</v>
      </c>
      <c r="GL40" s="57">
        <f>'REG y VAL POE - AESR - ESR'!R3094</f>
        <v>0</v>
      </c>
      <c r="GM40" s="57">
        <f>'REG y VAL POE - AESR - ESR'!S3094</f>
        <v>0</v>
      </c>
      <c r="GN40" s="56">
        <f>'REG y VAL POE - AESR - ESR'!T3094</f>
        <v>0</v>
      </c>
      <c r="GO40" s="57">
        <f>'REG y VAL POE - AESR - ESR'!U3094</f>
        <v>0</v>
      </c>
      <c r="GP40" s="58">
        <f>'REG y VAL POE - AESR - ESR'!V3094</f>
        <v>0</v>
      </c>
      <c r="GQ40" s="56">
        <f>'REG y VAL POE - AESR - ESR'!W3094</f>
        <v>0</v>
      </c>
      <c r="GR40" s="57">
        <f>'REG y VAL POE - AESR - ESR'!X3094</f>
        <v>0</v>
      </c>
      <c r="GS40" s="57">
        <f>'REG y VAL POE - AESR - ESR'!Y3094</f>
        <v>0</v>
      </c>
      <c r="GT40" s="57">
        <f>'REG y VAL POE - AESR - ESR'!Z3094</f>
        <v>0</v>
      </c>
      <c r="GU40" s="56">
        <f>'REG y VAL POE - AESR - ESR'!AA3094</f>
        <v>0</v>
      </c>
      <c r="GV40" s="57">
        <f>'REG y VAL POE - AESR - ESR'!AB3094</f>
        <v>0</v>
      </c>
      <c r="GW40" s="57">
        <f>'REG y VAL POE - AESR - ESR'!AC3094</f>
        <v>0</v>
      </c>
      <c r="GX40" s="56">
        <f>'REG y VAL POE - AESR - ESR'!AD3094</f>
        <v>0</v>
      </c>
      <c r="GY40" s="57">
        <f>'REG y VAL POE - AESR - ESR'!AE3094</f>
        <v>0</v>
      </c>
      <c r="GZ40" s="58">
        <f>'REG y VAL POE - AESR - ESR'!AF3094</f>
        <v>0</v>
      </c>
      <c r="HA40" s="56">
        <f>'REG y VAL POE - AESR - ESR'!AG3094</f>
        <v>0</v>
      </c>
      <c r="HB40" s="57">
        <f>'REG y VAL POE - AESR - ESR'!AH3094</f>
        <v>0</v>
      </c>
      <c r="HC40" s="57">
        <f>'REG y VAL POE - AESR - ESR'!AI3094</f>
        <v>0</v>
      </c>
      <c r="HD40" s="57">
        <f>'REG y VAL POE - AESR - ESR'!AJ3094</f>
        <v>0</v>
      </c>
      <c r="HE40" s="56">
        <f>'REG y VAL POE - AESR - ESR'!AK3094</f>
        <v>0</v>
      </c>
      <c r="HF40" s="57">
        <f>'REG y VAL POE - AESR - ESR'!AL3094</f>
        <v>0</v>
      </c>
      <c r="HG40" s="57">
        <f>'REG y VAL POE - AESR - ESR'!AM3094</f>
        <v>0</v>
      </c>
      <c r="HH40" s="56">
        <f>'REG y VAL POE - AESR - ESR'!AN3094</f>
        <v>0</v>
      </c>
      <c r="HI40" s="57">
        <f>'REG y VAL POE - AESR - ESR'!AO3094</f>
        <v>0</v>
      </c>
      <c r="HJ40" s="58">
        <f>'REG y VAL POE - AESR - ESR'!AP3094</f>
        <v>0</v>
      </c>
      <c r="HK40" s="56">
        <f>'REG y VAL POE - AESR - ESR'!AQ3094</f>
        <v>0</v>
      </c>
      <c r="HL40" s="57">
        <f>'REG y VAL POE - AESR - ESR'!AR3094</f>
        <v>0</v>
      </c>
      <c r="HM40" s="57">
        <f>'REG y VAL POE - AESR - ESR'!AS3094</f>
        <v>0</v>
      </c>
      <c r="HN40" s="57">
        <f>'REG y VAL POE - AESR - ESR'!B3095</f>
        <v>0</v>
      </c>
      <c r="HO40" s="56">
        <f>'REG y VAL POE - AESR - ESR'!C3095</f>
        <v>0</v>
      </c>
      <c r="HP40" s="57">
        <f>'REG y VAL POE - AESR - ESR'!D3095</f>
        <v>0</v>
      </c>
      <c r="HQ40" s="57">
        <f>'REG y VAL POE - AESR - ESR'!E3095</f>
        <v>0</v>
      </c>
      <c r="HR40" s="56">
        <f>'REG y VAL POE - AESR - ESR'!F3095</f>
        <v>0</v>
      </c>
      <c r="HS40" s="57">
        <f>'REG y VAL POE - AESR - ESR'!G3095</f>
        <v>0</v>
      </c>
      <c r="HT40" s="58">
        <f>'REG y VAL POE - AESR - ESR'!H3095</f>
        <v>0</v>
      </c>
      <c r="HU40" s="56">
        <f>'REG y VAL POE - AESR - ESR'!I3095</f>
        <v>0</v>
      </c>
      <c r="HV40" s="57">
        <f>'REG y VAL POE - AESR - ESR'!J3095</f>
        <v>0</v>
      </c>
      <c r="HW40" s="57">
        <f>'REG y VAL POE - AESR - ESR'!K3095</f>
        <v>0</v>
      </c>
      <c r="HX40" s="57">
        <f>'REG y VAL POE - AESR - ESR'!L3095</f>
        <v>0</v>
      </c>
      <c r="HY40" s="56">
        <f>'REG y VAL POE - AESR - ESR'!M3095</f>
        <v>0</v>
      </c>
      <c r="HZ40" s="57">
        <f>'REG y VAL POE - AESR - ESR'!N3095</f>
        <v>0</v>
      </c>
      <c r="IA40" s="57">
        <f>'REG y VAL POE - AESR - ESR'!O3095</f>
        <v>0</v>
      </c>
      <c r="IB40" s="56">
        <f>'REG y VAL POE - AESR - ESR'!P3095</f>
        <v>0</v>
      </c>
      <c r="IC40" s="57">
        <f>'REG y VAL POE - AESR - ESR'!Q3095</f>
        <v>0</v>
      </c>
      <c r="ID40" s="58">
        <f>'REG y VAL POE - AESR - ESR'!R3095</f>
        <v>0</v>
      </c>
      <c r="IE40" s="56">
        <f>'REG y VAL POE - AESR - ESR'!S3095</f>
        <v>0</v>
      </c>
      <c r="IF40" s="57">
        <f>'REG y VAL POE - AESR - ESR'!T3095</f>
        <v>0</v>
      </c>
      <c r="IG40" s="57">
        <f>'REG y VAL POE - AESR - ESR'!U3095</f>
        <v>0</v>
      </c>
      <c r="IH40" s="57">
        <f>'REG y VAL POE - AESR - ESR'!V3095</f>
        <v>0</v>
      </c>
      <c r="II40" s="56">
        <f>'REG y VAL POE - AESR - ESR'!W3095</f>
        <v>0</v>
      </c>
      <c r="IJ40" s="57">
        <f>'REG y VAL POE - AESR - ESR'!X3095</f>
        <v>0</v>
      </c>
      <c r="IK40" s="57">
        <f>'REG y VAL POE - AESR - ESR'!Y3095</f>
        <v>0</v>
      </c>
      <c r="IL40" s="56">
        <f>'REG y VAL POE - AESR - ESR'!Z3095</f>
        <v>0</v>
      </c>
      <c r="IM40" s="57">
        <f>'REG y VAL POE - AESR - ESR'!AA3095</f>
        <v>0</v>
      </c>
      <c r="IN40" s="58">
        <f>'REG y VAL POE - AESR - ESR'!AB3095</f>
        <v>0</v>
      </c>
      <c r="IO40" s="56">
        <f>'REG y VAL POE - AESR - ESR'!AC3095</f>
        <v>0</v>
      </c>
      <c r="IP40" s="57">
        <f>'REG y VAL POE - AESR - ESR'!AD3095</f>
        <v>0</v>
      </c>
      <c r="IQ40" s="57">
        <f>'REG y VAL POE - AESR - ESR'!AE3095</f>
        <v>0</v>
      </c>
      <c r="IR40" s="57">
        <f>'REG y VAL POE - AESR - ESR'!AF3095</f>
        <v>0</v>
      </c>
      <c r="IS40" s="56">
        <f>'REG y VAL POE - AESR - ESR'!AG3095</f>
        <v>0</v>
      </c>
      <c r="IT40" s="57">
        <f>'REG y VAL POE - AESR - ESR'!AH3095</f>
        <v>0</v>
      </c>
      <c r="IU40" s="57">
        <f>'REG y VAL POE - AESR - ESR'!AI3095</f>
        <v>0</v>
      </c>
      <c r="IV40" s="56">
        <f>'REG y VAL POE - AESR - ESR'!AJ3095</f>
        <v>0</v>
      </c>
      <c r="IW40" s="57">
        <f>'REG y VAL POE - AESR - ESR'!AK3095</f>
        <v>0</v>
      </c>
      <c r="IX40" s="58">
        <f>'REG y VAL POE - AESR - ESR'!AL3095</f>
        <v>0</v>
      </c>
      <c r="IY40" s="56">
        <f>'REG y VAL POE - AESR - ESR'!AM3095</f>
        <v>0</v>
      </c>
      <c r="IZ40" s="57">
        <f>'REG y VAL POE - AESR - ESR'!AN3095</f>
        <v>0</v>
      </c>
      <c r="JA40" s="57">
        <f>'REG y VAL POE - AESR - ESR'!AO3095</f>
        <v>0</v>
      </c>
      <c r="JB40" s="57">
        <f>'REG y VAL POE - AESR - ESR'!AP3095</f>
        <v>0</v>
      </c>
      <c r="JC40" s="56">
        <f>'REG y VAL POE - AESR - ESR'!AQ3095</f>
        <v>0</v>
      </c>
      <c r="JD40" s="57">
        <f>'REG y VAL POE - AESR - ESR'!AR3095</f>
        <v>0</v>
      </c>
      <c r="JE40" s="57">
        <f>'REG y VAL POE - AESR - ESR'!AS3095</f>
        <v>0</v>
      </c>
      <c r="JF40" s="56">
        <f>'REG y VAL POE - AESR - ESR'!B3096</f>
        <v>0</v>
      </c>
      <c r="JG40" s="57">
        <f>'REG y VAL POE - AESR - ESR'!C3096</f>
        <v>0</v>
      </c>
      <c r="JH40" s="58">
        <f>'REG y VAL POE - AESR - ESR'!D3096</f>
        <v>0</v>
      </c>
      <c r="JI40" s="56">
        <f>'REG y VAL POE - AESR - ESR'!E3096</f>
        <v>0</v>
      </c>
      <c r="JJ40" s="57">
        <f>'REG y VAL POE - AESR - ESR'!F3096</f>
        <v>0</v>
      </c>
      <c r="JK40" s="57">
        <f>'REG y VAL POE - AESR - ESR'!G3096</f>
        <v>0</v>
      </c>
      <c r="JL40" s="57">
        <f>'REG y VAL POE - AESR - ESR'!H3096</f>
        <v>0</v>
      </c>
      <c r="JM40" s="56">
        <f>'REG y VAL POE - AESR - ESR'!I3096</f>
        <v>0</v>
      </c>
      <c r="JN40" s="57">
        <f>'REG y VAL POE - AESR - ESR'!J3096</f>
        <v>0</v>
      </c>
      <c r="JO40" s="57">
        <f>'REG y VAL POE - AESR - ESR'!K3096</f>
        <v>0</v>
      </c>
      <c r="JP40" s="56">
        <f>'REG y VAL POE - AESR - ESR'!L3096</f>
        <v>0</v>
      </c>
      <c r="JQ40" s="57">
        <f>'REG y VAL POE - AESR - ESR'!M3096</f>
        <v>0</v>
      </c>
      <c r="JR40" s="58">
        <f>'REG y VAL POE - AESR - ESR'!N3096</f>
        <v>0</v>
      </c>
      <c r="JS40" s="56">
        <f>'REG y VAL POE - AESR - ESR'!O3096</f>
        <v>0</v>
      </c>
      <c r="JT40" s="57">
        <f>'REG y VAL POE - AESR - ESR'!P3096</f>
        <v>0</v>
      </c>
      <c r="JU40" s="57">
        <f>'REG y VAL POE - AESR - ESR'!Q3096</f>
        <v>0</v>
      </c>
      <c r="JV40" s="57">
        <f>'REG y VAL POE - AESR - ESR'!R3096</f>
        <v>0</v>
      </c>
      <c r="JW40" s="56">
        <f>'REG y VAL POE - AESR - ESR'!S3096</f>
        <v>0</v>
      </c>
      <c r="JX40" s="57">
        <f>'REG y VAL POE - AESR - ESR'!T3096</f>
        <v>0</v>
      </c>
      <c r="JY40" s="57">
        <f>'REG y VAL POE - AESR - ESR'!U3096</f>
        <v>0</v>
      </c>
      <c r="JZ40" s="56">
        <f>'REG y VAL POE - AESR - ESR'!V3096</f>
        <v>0</v>
      </c>
      <c r="KA40" s="57">
        <f>'REG y VAL POE - AESR - ESR'!W3096</f>
        <v>0</v>
      </c>
      <c r="KB40" s="58">
        <f>'REG y VAL POE - AESR - ESR'!X3096</f>
        <v>0</v>
      </c>
      <c r="KC40" s="56">
        <f>'REG y VAL POE - AESR - ESR'!Y3096</f>
        <v>0</v>
      </c>
      <c r="KD40" s="57">
        <f>'REG y VAL POE - AESR - ESR'!Z3096</f>
        <v>0</v>
      </c>
      <c r="KE40" s="57">
        <f>'REG y VAL POE - AESR - ESR'!AA3096</f>
        <v>0</v>
      </c>
      <c r="KF40" s="57">
        <f>'REG y VAL POE - AESR - ESR'!AB3096</f>
        <v>0</v>
      </c>
      <c r="KG40" s="56">
        <f>'REG y VAL POE - AESR - ESR'!AC3096</f>
        <v>0</v>
      </c>
      <c r="KH40" s="57">
        <f>'REG y VAL POE - AESR - ESR'!AD3096</f>
        <v>0</v>
      </c>
      <c r="KI40" s="57">
        <f>'REG y VAL POE - AESR - ESR'!AE3096</f>
        <v>0</v>
      </c>
      <c r="KJ40" s="56">
        <f>'REG y VAL POE - AESR - ESR'!AF3096</f>
        <v>0</v>
      </c>
      <c r="KK40" s="57">
        <f>'REG y VAL POE - AESR - ESR'!AG3096</f>
        <v>0</v>
      </c>
      <c r="KL40" s="58">
        <f>'REG y VAL POE - AESR - ESR'!AH3096</f>
        <v>0</v>
      </c>
      <c r="KM40" s="56">
        <f>'REG y VAL POE - AESR - ESR'!AI3096</f>
        <v>0</v>
      </c>
      <c r="KN40" s="57">
        <f>'REG y VAL POE - AESR - ESR'!AJ3096</f>
        <v>0</v>
      </c>
      <c r="KO40" s="57">
        <f>'REG y VAL POE - AESR - ESR'!AK3096</f>
        <v>0</v>
      </c>
      <c r="KP40" s="57">
        <f>'REG y VAL POE - AESR - ESR'!AL3096</f>
        <v>0</v>
      </c>
      <c r="KQ40" s="56">
        <f>'REG y VAL POE - AESR - ESR'!AM3096</f>
        <v>0</v>
      </c>
      <c r="KR40" s="57">
        <f>'REG y VAL POE - AESR - ESR'!AN3096</f>
        <v>0</v>
      </c>
      <c r="KS40" s="57">
        <f>'REG y VAL POE - AESR - ESR'!AO3096</f>
        <v>0</v>
      </c>
      <c r="KT40" s="56">
        <f>'REG y VAL POE - AESR - ESR'!AP3096</f>
        <v>0</v>
      </c>
      <c r="KU40" s="57">
        <f>'REG y VAL POE - AESR - ESR'!AQ3096</f>
        <v>0</v>
      </c>
      <c r="KV40" s="58">
        <f>'REG y VAL POE - AESR - ESR'!AR3096</f>
        <v>0</v>
      </c>
      <c r="KW40" s="56">
        <f>'REG y VAL POE - AESR - ESR'!AS3096</f>
        <v>0</v>
      </c>
      <c r="KX40" s="57">
        <f>'REG y VAL POE - AESR - ESR'!B3097</f>
        <v>0</v>
      </c>
      <c r="KY40" s="57">
        <f>'REG y VAL POE - AESR - ESR'!C3097</f>
        <v>0</v>
      </c>
      <c r="KZ40" s="57">
        <f>'REG y VAL POE - AESR - ESR'!D3097</f>
        <v>0</v>
      </c>
      <c r="LA40" s="56">
        <f>'REG y VAL POE - AESR - ESR'!E3097</f>
        <v>0</v>
      </c>
      <c r="LB40" s="57">
        <f>'REG y VAL POE - AESR - ESR'!F3097</f>
        <v>0</v>
      </c>
      <c r="LC40" s="57">
        <f>'REG y VAL POE - AESR - ESR'!G3097</f>
        <v>0</v>
      </c>
      <c r="LD40" s="56">
        <f>'REG y VAL POE - AESR - ESR'!H3097</f>
        <v>0</v>
      </c>
      <c r="LE40" s="57">
        <f>'REG y VAL POE - AESR - ESR'!I3097</f>
        <v>0</v>
      </c>
      <c r="LF40" s="58">
        <f>'REG y VAL POE - AESR - ESR'!J3097</f>
        <v>0</v>
      </c>
      <c r="LG40" s="56">
        <f>'REG y VAL POE - AESR - ESR'!K3097</f>
        <v>0</v>
      </c>
      <c r="LH40" s="57">
        <f>'REG y VAL POE - AESR - ESR'!L3097</f>
        <v>0</v>
      </c>
      <c r="LI40" s="57">
        <f>'REG y VAL POE - AESR - ESR'!M3097</f>
        <v>0</v>
      </c>
      <c r="LJ40" s="57">
        <f>'REG y VAL POE - AESR - ESR'!N3097</f>
        <v>0</v>
      </c>
      <c r="LK40" s="56">
        <f>'REG y VAL POE - AESR - ESR'!O3097</f>
        <v>0</v>
      </c>
      <c r="LL40" s="57">
        <f>'REG y VAL POE - AESR - ESR'!P3097</f>
        <v>0</v>
      </c>
      <c r="LM40" s="57">
        <f>'REG y VAL POE - AESR - ESR'!Q3097</f>
        <v>0</v>
      </c>
      <c r="LN40" s="56">
        <f>'REG y VAL POE - AESR - ESR'!R3097</f>
        <v>0</v>
      </c>
      <c r="LO40" s="57">
        <f>'REG y VAL POE - AESR - ESR'!S3097</f>
        <v>0</v>
      </c>
      <c r="LP40" s="58">
        <f>'REG y VAL POE - AESR - ESR'!T3097</f>
        <v>0</v>
      </c>
      <c r="LQ40" s="56">
        <f>'REG y VAL POE - AESR - ESR'!U3097</f>
        <v>0</v>
      </c>
      <c r="LR40" s="57">
        <f>'REG y VAL POE - AESR - ESR'!V3097</f>
        <v>0</v>
      </c>
      <c r="LS40" s="57">
        <f>'REG y VAL POE - AESR - ESR'!W3097</f>
        <v>0</v>
      </c>
      <c r="LT40" s="57">
        <f>'REG y VAL POE - AESR - ESR'!X3097</f>
        <v>0</v>
      </c>
      <c r="LU40" s="56">
        <f>'REG y VAL POE - AESR - ESR'!Y3097</f>
        <v>0</v>
      </c>
      <c r="LV40" s="57">
        <f>'REG y VAL POE - AESR - ESR'!Z3097</f>
        <v>0</v>
      </c>
      <c r="LW40" s="57">
        <f>'REG y VAL POE - AESR - ESR'!AA3097</f>
        <v>0</v>
      </c>
      <c r="LX40" s="56">
        <f>'REG y VAL POE - AESR - ESR'!AB3097</f>
        <v>0</v>
      </c>
      <c r="LY40" s="57">
        <f>'REG y VAL POE - AESR - ESR'!AC3097</f>
        <v>0</v>
      </c>
      <c r="LZ40" s="58">
        <f>'REG y VAL POE - AESR - ESR'!AD3097</f>
        <v>0</v>
      </c>
      <c r="MA40" s="56">
        <f>'REG y VAL POE - AESR - ESR'!AE3097</f>
        <v>0</v>
      </c>
      <c r="MB40" s="57">
        <f>'REG y VAL POE - AESR - ESR'!AF3097</f>
        <v>0</v>
      </c>
      <c r="MC40" s="57">
        <f>'REG y VAL POE - AESR - ESR'!AG3097</f>
        <v>0</v>
      </c>
      <c r="MD40" s="57">
        <f>'REG y VAL POE - AESR - ESR'!AH3097</f>
        <v>0</v>
      </c>
      <c r="ME40" s="56">
        <f>'REG y VAL POE - AESR - ESR'!AI3097</f>
        <v>0</v>
      </c>
      <c r="MF40" s="57">
        <f>'REG y VAL POE - AESR - ESR'!AJ3097</f>
        <v>0</v>
      </c>
      <c r="MG40" s="57">
        <f>'REG y VAL POE - AESR - ESR'!AK3097</f>
        <v>0</v>
      </c>
      <c r="MH40" s="56">
        <f>'REG y VAL POE - AESR - ESR'!AL3097</f>
        <v>0</v>
      </c>
      <c r="MI40" s="57">
        <f>'REG y VAL POE - AESR - ESR'!AM3097</f>
        <v>0</v>
      </c>
      <c r="MJ40" s="58">
        <f>'REG y VAL POE - AESR - ESR'!AN3097</f>
        <v>0</v>
      </c>
      <c r="MK40" s="56">
        <f>'REG y VAL POE - AESR - ESR'!AO3097</f>
        <v>0</v>
      </c>
      <c r="ML40" s="57">
        <f>'REG y VAL POE - AESR - ESR'!AP3097</f>
        <v>0</v>
      </c>
      <c r="MM40" s="57">
        <f>'REG y VAL POE - AESR - ESR'!AQ3097</f>
        <v>0</v>
      </c>
      <c r="MN40" s="57">
        <f>'REG y VAL POE - AESR - ESR'!AR3097</f>
        <v>0</v>
      </c>
      <c r="MO40" s="56">
        <f>'REG y VAL POE - AESR - ESR'!AS3097</f>
        <v>0</v>
      </c>
      <c r="MP40" s="57">
        <f>'REG y VAL POE - AESR - ESR'!B3098</f>
        <v>0</v>
      </c>
      <c r="MQ40" s="57">
        <f>'REG y VAL POE - AESR - ESR'!C3098</f>
        <v>0</v>
      </c>
      <c r="MR40" s="56">
        <f>'REG y VAL POE - AESR - ESR'!D3098</f>
        <v>0</v>
      </c>
      <c r="MS40" s="57">
        <f>'REG y VAL POE - AESR - ESR'!E3098</f>
        <v>0</v>
      </c>
      <c r="MT40" s="58">
        <f>'REG y VAL POE - AESR - ESR'!F3098</f>
        <v>0</v>
      </c>
      <c r="MU40" s="56">
        <f>'REG y VAL POE - AESR - ESR'!G3098</f>
        <v>0</v>
      </c>
      <c r="MV40" s="57">
        <f>'REG y VAL POE - AESR - ESR'!H3098</f>
        <v>0</v>
      </c>
      <c r="MW40" s="57">
        <f>'REG y VAL POE - AESR - ESR'!I3098</f>
        <v>0</v>
      </c>
      <c r="MX40" s="57">
        <f>'REG y VAL POE - AESR - ESR'!J3098</f>
        <v>0</v>
      </c>
      <c r="MY40" s="56">
        <f>'REG y VAL POE - AESR - ESR'!K3098</f>
        <v>0</v>
      </c>
      <c r="MZ40" s="57">
        <f>'REG y VAL POE - AESR - ESR'!L3098</f>
        <v>0</v>
      </c>
      <c r="NA40" s="57">
        <f>'REG y VAL POE - AESR - ESR'!M3098</f>
        <v>0</v>
      </c>
      <c r="NB40" s="56">
        <f>'REG y VAL POE - AESR - ESR'!N3098</f>
        <v>0</v>
      </c>
      <c r="NC40" s="57">
        <f>'REG y VAL POE - AESR - ESR'!O3098</f>
        <v>0</v>
      </c>
      <c r="ND40" s="58">
        <f>'REG y VAL POE - AESR - ESR'!P3098</f>
        <v>0</v>
      </c>
      <c r="NE40" s="56">
        <f>'REG y VAL POE - AESR - ESR'!Q3098</f>
        <v>0</v>
      </c>
      <c r="NF40" s="57">
        <f>'REG y VAL POE - AESR - ESR'!R3098</f>
        <v>0</v>
      </c>
      <c r="NG40" s="57">
        <f>'REG y VAL POE - AESR - ESR'!S3098</f>
        <v>0</v>
      </c>
      <c r="NH40" s="57">
        <f>'REG y VAL POE - AESR - ESR'!T3098</f>
        <v>0</v>
      </c>
      <c r="NI40" s="56">
        <f>'REG y VAL POE - AESR - ESR'!U3098</f>
        <v>0</v>
      </c>
      <c r="NJ40" s="57">
        <f>'REG y VAL POE - AESR - ESR'!V3098</f>
        <v>0</v>
      </c>
      <c r="NK40" s="57">
        <f>'REG y VAL POE - AESR - ESR'!W3098</f>
        <v>0</v>
      </c>
      <c r="NL40" s="56">
        <f>'REG y VAL POE - AESR - ESR'!X3098</f>
        <v>0</v>
      </c>
      <c r="NM40" s="57">
        <f>'REG y VAL POE - AESR - ESR'!Y3098</f>
        <v>0</v>
      </c>
      <c r="NN40" s="58">
        <f>'REG y VAL POE - AESR - ESR'!Z3098</f>
        <v>0</v>
      </c>
      <c r="NO40" s="56">
        <f>'REG y VAL POE - AESR - ESR'!AA3098</f>
        <v>0</v>
      </c>
      <c r="NP40" s="57">
        <f>'REG y VAL POE - AESR - ESR'!AB3098</f>
        <v>0</v>
      </c>
      <c r="NQ40" s="57">
        <f>'REG y VAL POE - AESR - ESR'!AC3098</f>
        <v>0</v>
      </c>
      <c r="NR40" s="57">
        <f>'REG y VAL POE - AESR - ESR'!AD3098</f>
        <v>0</v>
      </c>
      <c r="NS40" s="56">
        <f>'REG y VAL POE - AESR - ESR'!AE3098</f>
        <v>0</v>
      </c>
      <c r="NT40" s="57">
        <f>'REG y VAL POE - AESR - ESR'!AF3098</f>
        <v>0</v>
      </c>
      <c r="NU40" s="57">
        <f>'REG y VAL POE - AESR - ESR'!AG3098</f>
        <v>0</v>
      </c>
      <c r="NV40" s="56">
        <f>'REG y VAL POE - AESR - ESR'!AH3098</f>
        <v>0</v>
      </c>
      <c r="NW40" s="57">
        <f>'REG y VAL POE - AESR - ESR'!AI3098</f>
        <v>0</v>
      </c>
      <c r="NX40" s="58">
        <f>'REG y VAL POE - AESR - ESR'!AJ3098</f>
        <v>0</v>
      </c>
      <c r="NY40" s="56">
        <f>'REG y VAL POE - AESR - ESR'!AK3098</f>
        <v>0</v>
      </c>
      <c r="NZ40" s="57">
        <f>'REG y VAL POE - AESR - ESR'!AL3098</f>
        <v>0</v>
      </c>
      <c r="OA40" s="57">
        <f>'REG y VAL POE - AESR - ESR'!AM3098</f>
        <v>0</v>
      </c>
      <c r="OB40" s="57">
        <f>'REG y VAL POE - AESR - ESR'!AN3098</f>
        <v>0</v>
      </c>
      <c r="OC40" s="56">
        <f>'REG y VAL POE - AESR - ESR'!AO3098</f>
        <v>0</v>
      </c>
      <c r="OD40" s="57">
        <f>'REG y VAL POE - AESR - ESR'!AP3098</f>
        <v>0</v>
      </c>
      <c r="OE40" s="57">
        <f>'REG y VAL POE - AESR - ESR'!AQ3098</f>
        <v>0</v>
      </c>
      <c r="OF40" s="58">
        <f>'REG y VAL POE - AESR - ESR'!AR3098</f>
        <v>0</v>
      </c>
      <c r="OG40" s="58">
        <f>'REG y VAL POE - AESR - ESR'!AS3098</f>
        <v>0</v>
      </c>
      <c r="OH40" s="58">
        <f>'REG y VAL POE - AESR - ESR'!B3099</f>
        <v>0</v>
      </c>
      <c r="OI40" s="56">
        <f>'REG y VAL POE - AESR - ESR'!C3099</f>
        <v>0</v>
      </c>
      <c r="OJ40" s="58">
        <f>'REG y VAL POE - AESR - ESR'!D3099</f>
        <v>0</v>
      </c>
      <c r="OK40" s="58">
        <f>'REG y VAL POE - AESR - ESR'!E3099</f>
        <v>0</v>
      </c>
      <c r="OL40" s="58">
        <f>'REG y VAL POE - AESR - ESR'!F3099</f>
        <v>0</v>
      </c>
      <c r="OM40" s="58">
        <f>'REG y VAL POE - AESR - ESR'!G3099</f>
        <v>0</v>
      </c>
      <c r="ON40" s="58">
        <f>'REG y VAL POE - AESR - ESR'!H3099</f>
        <v>0</v>
      </c>
      <c r="OO40" s="58">
        <f>'REG y VAL POE - AESR - ESR'!I3099</f>
        <v>0</v>
      </c>
      <c r="OP40" s="56">
        <f>'REG y VAL POE - AESR - ESR'!J3099</f>
        <v>0</v>
      </c>
      <c r="OQ40" s="57">
        <f>'REG y VAL POE - AESR - ESR'!K3099</f>
        <v>0</v>
      </c>
      <c r="OR40" s="58">
        <f>'REG y VAL POE - AESR - ESR'!L3099</f>
        <v>0</v>
      </c>
      <c r="OS40" s="56">
        <f>'REG y VAL POE - AESR - ESR'!M3099</f>
        <v>0</v>
      </c>
      <c r="OT40" s="57">
        <f>'REG y VAL POE - AESR - ESR'!N3099</f>
        <v>0</v>
      </c>
      <c r="OU40" s="57">
        <f>'REG y VAL POE - AESR - ESR'!O3099</f>
        <v>0</v>
      </c>
      <c r="OV40" s="57">
        <f>'REG y VAL POE - AESR - ESR'!P3099</f>
        <v>0</v>
      </c>
      <c r="OW40" s="56">
        <f>'REG y VAL POE - AESR - ESR'!Q3099</f>
        <v>0</v>
      </c>
      <c r="OX40" s="57">
        <f>'REG y VAL POE - AESR - ESR'!R3099</f>
        <v>0</v>
      </c>
      <c r="OY40" s="57">
        <f>'REG y VAL POE - AESR - ESR'!S3099</f>
        <v>0</v>
      </c>
      <c r="OZ40" s="56">
        <f>'REG y VAL POE - AESR - ESR'!T3099</f>
        <v>0</v>
      </c>
      <c r="PA40" s="57">
        <f>'REG y VAL POE - AESR - ESR'!U3099</f>
        <v>0</v>
      </c>
      <c r="PB40" s="58">
        <f>'REG y VAL POE - AESR - ESR'!V3099</f>
        <v>0</v>
      </c>
      <c r="PC40" s="56">
        <f>'REG y VAL POE - AESR - ESR'!W3099</f>
        <v>0</v>
      </c>
      <c r="PD40" s="57">
        <f>'REG y VAL POE - AESR - ESR'!X3099</f>
        <v>0</v>
      </c>
      <c r="PE40" s="57">
        <f>'REG y VAL POE - AESR - ESR'!Y3099</f>
        <v>0</v>
      </c>
      <c r="PF40" s="57">
        <f>'REG y VAL POE - AESR - ESR'!Z3099</f>
        <v>0</v>
      </c>
      <c r="PG40" s="56">
        <f>'REG y VAL POE - AESR - ESR'!AA3099</f>
        <v>0</v>
      </c>
      <c r="PH40" s="57">
        <f>'REG y VAL POE - AESR - ESR'!AB3099</f>
        <v>0</v>
      </c>
      <c r="PI40" s="57">
        <f>'REG y VAL POE - AESR - ESR'!AC3099</f>
        <v>0</v>
      </c>
      <c r="PJ40" s="56">
        <f>'REG y VAL POE - AESR - ESR'!AD3099</f>
        <v>0</v>
      </c>
      <c r="PK40" s="57">
        <f>'REG y VAL POE - AESR - ESR'!AE3099</f>
        <v>0</v>
      </c>
      <c r="PL40" s="58">
        <f>'REG y VAL POE - AESR - ESR'!AF3099</f>
        <v>0</v>
      </c>
      <c r="PM40" s="56">
        <f>'REG y VAL POE - AESR - ESR'!AG3099</f>
        <v>0</v>
      </c>
      <c r="PN40" s="57">
        <f>'REG y VAL POE - AESR - ESR'!AH3099</f>
        <v>0</v>
      </c>
      <c r="PO40" s="57">
        <f>'REG y VAL POE - AESR - ESR'!AI3099</f>
        <v>0</v>
      </c>
      <c r="PP40" s="57">
        <f>'REG y VAL POE - AESR - ESR'!AJ3099</f>
        <v>0</v>
      </c>
      <c r="PQ40" s="56">
        <f>'REG y VAL POE - AESR - ESR'!AK3099</f>
        <v>0</v>
      </c>
      <c r="PR40" s="57">
        <f>'REG y VAL POE - AESR - ESR'!AL3099</f>
        <v>0</v>
      </c>
      <c r="PS40" s="57">
        <f>'REG y VAL POE - AESR - ESR'!AM3099</f>
        <v>0</v>
      </c>
      <c r="PT40" s="56">
        <f>'REG y VAL POE - AESR - ESR'!AN3099</f>
        <v>0</v>
      </c>
      <c r="PU40" s="57">
        <f>'REG y VAL POE - AESR - ESR'!AO3099</f>
        <v>0</v>
      </c>
      <c r="PV40" s="58">
        <f>'REG y VAL POE - AESR - ESR'!AP3099</f>
        <v>0</v>
      </c>
      <c r="PW40" s="56">
        <f>'REG y VAL POE - AESR - ESR'!AQ3099</f>
        <v>0</v>
      </c>
      <c r="PX40" s="57">
        <f>'REG y VAL POE - AESR - ESR'!AR3099</f>
        <v>0</v>
      </c>
      <c r="PY40" s="57">
        <f>'REG y VAL POE - AESR - ESR'!AS3099</f>
        <v>0</v>
      </c>
      <c r="PZ40" s="57">
        <f>'REG y VAL POE - AESR - ESR'!B3100</f>
        <v>0</v>
      </c>
      <c r="QA40" s="56">
        <f>'REG y VAL POE - AESR - ESR'!C3100</f>
        <v>0</v>
      </c>
      <c r="QB40" s="57">
        <f>'REG y VAL POE - AESR - ESR'!D3100</f>
        <v>0</v>
      </c>
      <c r="QC40" s="57">
        <f>'REG y VAL POE - AESR - ESR'!E3100</f>
        <v>0</v>
      </c>
      <c r="QD40" s="56">
        <f>'REG y VAL POE - AESR - ESR'!F3100</f>
        <v>0</v>
      </c>
      <c r="QE40" s="57">
        <f>'REG y VAL POE - AESR - ESR'!G3100</f>
        <v>0</v>
      </c>
      <c r="QF40" s="58">
        <f>'REG y VAL POE - AESR - ESR'!H3100</f>
        <v>0</v>
      </c>
      <c r="QG40" s="56">
        <f>'REG y VAL POE - AESR - ESR'!I3100</f>
        <v>0</v>
      </c>
      <c r="QH40" s="57">
        <f>'REG y VAL POE - AESR - ESR'!J3100</f>
        <v>0</v>
      </c>
      <c r="QI40" s="57">
        <f>'REG y VAL POE - AESR - ESR'!K3100</f>
        <v>0</v>
      </c>
      <c r="QJ40" s="57">
        <f>'REG y VAL POE - AESR - ESR'!L3100</f>
        <v>0</v>
      </c>
      <c r="QK40" s="56">
        <f>'REG y VAL POE - AESR - ESR'!M3100</f>
        <v>0</v>
      </c>
      <c r="QL40" s="57">
        <f>'REG y VAL POE - AESR - ESR'!N3100</f>
        <v>0</v>
      </c>
      <c r="QM40" s="57">
        <f>'REG y VAL POE - AESR - ESR'!O3100</f>
        <v>0</v>
      </c>
      <c r="QN40" s="56">
        <f>'REG y VAL POE - AESR - ESR'!P3100</f>
        <v>0</v>
      </c>
      <c r="QO40" s="57">
        <f>'REG y VAL POE - AESR - ESR'!Q3100</f>
        <v>0</v>
      </c>
      <c r="QP40" s="58">
        <f>'REG y VAL POE - AESR - ESR'!R3100</f>
        <v>0</v>
      </c>
      <c r="QQ40" s="56">
        <f>'REG y VAL POE - AESR - ESR'!S3100</f>
        <v>0</v>
      </c>
      <c r="QR40" s="57">
        <f>'REG y VAL POE - AESR - ESR'!T3100</f>
        <v>0</v>
      </c>
      <c r="QS40" s="57">
        <f>'REG y VAL POE - AESR - ESR'!U3100</f>
        <v>0</v>
      </c>
      <c r="QT40" s="57">
        <f>'REG y VAL POE - AESR - ESR'!V3100</f>
        <v>0</v>
      </c>
      <c r="QU40" s="56">
        <f>'REG y VAL POE - AESR - ESR'!W3100</f>
        <v>0</v>
      </c>
      <c r="QV40" s="57">
        <f>'REG y VAL POE - AESR - ESR'!X3100</f>
        <v>0</v>
      </c>
      <c r="QW40" s="57">
        <f>'REG y VAL POE - AESR - ESR'!Y3100</f>
        <v>0</v>
      </c>
      <c r="QX40" s="56">
        <f>'REG y VAL POE - AESR - ESR'!Z3100</f>
        <v>0</v>
      </c>
      <c r="QY40" s="57">
        <f>'REG y VAL POE - AESR - ESR'!AA3100</f>
        <v>0</v>
      </c>
      <c r="QZ40" s="58">
        <f>'REG y VAL POE - AESR - ESR'!AB3100</f>
        <v>0</v>
      </c>
      <c r="RA40" s="56">
        <f>'REG y VAL POE - AESR - ESR'!AC3100</f>
        <v>0</v>
      </c>
      <c r="RB40" s="57">
        <f>'REG y VAL POE - AESR - ESR'!AD3100</f>
        <v>0</v>
      </c>
      <c r="RC40" s="57">
        <f>'REG y VAL POE - AESR - ESR'!AE3100</f>
        <v>0</v>
      </c>
      <c r="RD40" s="57">
        <f>'REG y VAL POE - AESR - ESR'!AF3100</f>
        <v>0</v>
      </c>
      <c r="RE40" s="56">
        <f>'REG y VAL POE - AESR - ESR'!AG3100</f>
        <v>0</v>
      </c>
      <c r="RF40" s="57">
        <f>'REG y VAL POE - AESR - ESR'!AH3100</f>
        <v>0</v>
      </c>
      <c r="RG40" s="57">
        <f>'REG y VAL POE - AESR - ESR'!AI3100</f>
        <v>0</v>
      </c>
      <c r="RH40" s="56">
        <f>'REG y VAL POE - AESR - ESR'!AJ3100</f>
        <v>0</v>
      </c>
      <c r="RI40" s="57">
        <f>'REG y VAL POE - AESR - ESR'!AK3100</f>
        <v>0</v>
      </c>
      <c r="RJ40" s="58">
        <f>'REG y VAL POE - AESR - ESR'!AL3100</f>
        <v>0</v>
      </c>
      <c r="RK40" s="56">
        <f>'REG y VAL POE - AESR - ESR'!AM3100</f>
        <v>0</v>
      </c>
      <c r="RL40" s="57">
        <f>'REG y VAL POE - AESR - ESR'!AN3100</f>
        <v>0</v>
      </c>
      <c r="RM40" s="57">
        <f>'REG y VAL POE - AESR - ESR'!AO3100</f>
        <v>0</v>
      </c>
      <c r="RN40" s="57">
        <f>'REG y VAL POE - AESR - ESR'!AP3100</f>
        <v>0</v>
      </c>
      <c r="RO40" s="56">
        <f>'REG y VAL POE - AESR - ESR'!AQ3100</f>
        <v>0</v>
      </c>
      <c r="RP40" s="57">
        <f>'REG y VAL POE - AESR - ESR'!AR3100</f>
        <v>0</v>
      </c>
      <c r="RQ40" s="57">
        <f>'REG y VAL POE - AESR - ESR'!AS3100</f>
        <v>0</v>
      </c>
      <c r="RR40" s="56">
        <f>'REG y VAL POE - AESR - ESR'!B3101</f>
        <v>0</v>
      </c>
      <c r="RS40" s="57">
        <f>'REG y VAL POE - AESR - ESR'!C3101</f>
        <v>0</v>
      </c>
      <c r="RT40" s="58">
        <f>'REG y VAL POE - AESR - ESR'!D3101</f>
        <v>0</v>
      </c>
      <c r="RU40" s="56">
        <f>'REG y VAL POE - AESR - ESR'!E3101</f>
        <v>0</v>
      </c>
      <c r="RV40" s="57">
        <f>'REG y VAL POE - AESR - ESR'!F3101</f>
        <v>0</v>
      </c>
      <c r="RW40" s="57">
        <f>'REG y VAL POE - AESR - ESR'!G3101</f>
        <v>0</v>
      </c>
      <c r="RX40" s="57">
        <f>'REG y VAL POE - AESR - ESR'!H3101</f>
        <v>0</v>
      </c>
      <c r="RY40" s="56">
        <f>'REG y VAL POE - AESR - ESR'!I3101</f>
        <v>0</v>
      </c>
      <c r="RZ40" s="57">
        <f>'REG y VAL POE - AESR - ESR'!J3101</f>
        <v>0</v>
      </c>
      <c r="SA40" s="57">
        <f>'REG y VAL POE - AESR - ESR'!K3101</f>
        <v>0</v>
      </c>
      <c r="SB40" s="56">
        <f>'REG y VAL POE - AESR - ESR'!L3101</f>
        <v>0</v>
      </c>
      <c r="SC40" s="57">
        <f>'REG y VAL POE - AESR - ESR'!M3101</f>
        <v>0</v>
      </c>
      <c r="SD40" s="58">
        <f>'REG y VAL POE - AESR - ESR'!N3101</f>
        <v>0</v>
      </c>
      <c r="SE40" s="56">
        <f>'REG y VAL POE - AESR - ESR'!O3101</f>
        <v>0</v>
      </c>
      <c r="SF40" s="57">
        <f>'REG y VAL POE - AESR - ESR'!P3101</f>
        <v>0</v>
      </c>
      <c r="SG40" s="57">
        <f>'REG y VAL POE - AESR - ESR'!Q3101</f>
        <v>0</v>
      </c>
      <c r="SH40" s="57">
        <f>'REG y VAL POE - AESR - ESR'!R3101</f>
        <v>0</v>
      </c>
      <c r="SI40" s="56">
        <f>'REG y VAL POE - AESR - ESR'!S3101</f>
        <v>0</v>
      </c>
      <c r="SJ40" s="57">
        <f>'REG y VAL POE - AESR - ESR'!T3101</f>
        <v>0</v>
      </c>
      <c r="SK40" s="57">
        <f>'REG y VAL POE - AESR - ESR'!U3101</f>
        <v>0</v>
      </c>
      <c r="SL40" s="56">
        <f>'REG y VAL POE - AESR - ESR'!V3101</f>
        <v>0</v>
      </c>
      <c r="SM40" s="57">
        <f>'REG y VAL POE - AESR - ESR'!W3101</f>
        <v>0</v>
      </c>
      <c r="SN40" s="58">
        <f>'REG y VAL POE - AESR - ESR'!X3101</f>
        <v>0</v>
      </c>
      <c r="SO40" s="56">
        <f>'REG y VAL POE - AESR - ESR'!Y3101</f>
        <v>0</v>
      </c>
      <c r="SP40" s="57">
        <f>'REG y VAL POE - AESR - ESR'!Z3101</f>
        <v>0</v>
      </c>
      <c r="SQ40" s="57">
        <f>'REG y VAL POE - AESR - ESR'!AA3101</f>
        <v>0</v>
      </c>
      <c r="SR40" s="57">
        <f>'REG y VAL POE - AESR - ESR'!AB3101</f>
        <v>0</v>
      </c>
      <c r="SS40" s="56">
        <f>'REG y VAL POE - AESR - ESR'!AC3101</f>
        <v>0</v>
      </c>
      <c r="ST40" s="57">
        <f>'REG y VAL POE - AESR - ESR'!AD3101</f>
        <v>0</v>
      </c>
      <c r="SU40" s="57">
        <f>'REG y VAL POE - AESR - ESR'!AE3101</f>
        <v>0</v>
      </c>
      <c r="SV40" s="56">
        <f>'REG y VAL POE - AESR - ESR'!AF3101</f>
        <v>0</v>
      </c>
      <c r="SW40" s="57">
        <f>'REG y VAL POE - AESR - ESR'!AG3101</f>
        <v>0</v>
      </c>
      <c r="SX40" s="58">
        <f>'REG y VAL POE - AESR - ESR'!AH3101</f>
        <v>0</v>
      </c>
      <c r="SY40" s="56">
        <f>'REG y VAL POE - AESR - ESR'!AI3101</f>
        <v>0</v>
      </c>
      <c r="SZ40" s="57">
        <f>'REG y VAL POE - AESR - ESR'!AJ3101</f>
        <v>0</v>
      </c>
      <c r="TA40" s="57">
        <f>'REG y VAL POE - AESR - ESR'!AK3101</f>
        <v>0</v>
      </c>
      <c r="TB40" s="57">
        <f>'REG y VAL POE - AESR - ESR'!AL3101</f>
        <v>0</v>
      </c>
      <c r="TC40" s="56">
        <f>'REG y VAL POE - AESR - ESR'!AM3101</f>
        <v>0</v>
      </c>
      <c r="TD40" s="57">
        <f>'REG y VAL POE - AESR - ESR'!AN3101</f>
        <v>0</v>
      </c>
      <c r="TE40" s="57">
        <f>'REG y VAL POE - AESR - ESR'!AO3101</f>
        <v>0</v>
      </c>
      <c r="TF40" s="56">
        <f>'REG y VAL POE - AESR - ESR'!AP3101</f>
        <v>0</v>
      </c>
      <c r="TG40" s="57">
        <f>'REG y VAL POE - AESR - ESR'!AQ3101</f>
        <v>0</v>
      </c>
      <c r="TH40" s="58">
        <f>'REG y VAL POE - AESR - ESR'!AR3101</f>
        <v>0</v>
      </c>
      <c r="TI40" s="56">
        <f>'REG y VAL POE - AESR - ESR'!AS3101</f>
        <v>0</v>
      </c>
      <c r="TJ40" s="57">
        <f>'REG y VAL POE - AESR - ESR'!B3102</f>
        <v>0</v>
      </c>
      <c r="TK40" s="57">
        <f>'REG y VAL POE - AESR - ESR'!C3102</f>
        <v>0</v>
      </c>
      <c r="TL40" s="57">
        <f>'REG y VAL POE - AESR - ESR'!D3102</f>
        <v>0</v>
      </c>
      <c r="TM40" s="56">
        <f>'REG y VAL POE - AESR - ESR'!E3102</f>
        <v>0</v>
      </c>
      <c r="TN40" s="57">
        <f>'REG y VAL POE - AESR - ESR'!F3102</f>
        <v>0</v>
      </c>
      <c r="TO40" s="57">
        <f>'REG y VAL POE - AESR - ESR'!G3102</f>
        <v>0</v>
      </c>
      <c r="TP40" s="56">
        <f>'REG y VAL POE - AESR - ESR'!H3102</f>
        <v>0</v>
      </c>
      <c r="TQ40" s="57">
        <f>'REG y VAL POE - AESR - ESR'!I3102</f>
        <v>0</v>
      </c>
      <c r="TR40" s="58">
        <f>'REG y VAL POE - AESR - ESR'!J3102</f>
        <v>0</v>
      </c>
      <c r="TS40" s="56">
        <f>'REG y VAL POE - AESR - ESR'!K3102</f>
        <v>0</v>
      </c>
      <c r="TT40" s="57">
        <f>'REG y VAL POE - AESR - ESR'!L3102</f>
        <v>0</v>
      </c>
      <c r="TU40" s="57">
        <f>'REG y VAL POE - AESR - ESR'!M3102</f>
        <v>0</v>
      </c>
      <c r="TV40" s="57">
        <f>'REG y VAL POE - AESR - ESR'!N3102</f>
        <v>0</v>
      </c>
      <c r="TW40" s="56">
        <f>'REG y VAL POE - AESR - ESR'!O3102</f>
        <v>0</v>
      </c>
      <c r="TX40" s="57">
        <f>'REG y VAL POE - AESR - ESR'!P3102</f>
        <v>0</v>
      </c>
      <c r="TY40" s="57">
        <f>'REG y VAL POE - AESR - ESR'!Q3102</f>
        <v>0</v>
      </c>
      <c r="TZ40" s="56">
        <f>'REG y VAL POE - AESR - ESR'!R3102</f>
        <v>0</v>
      </c>
      <c r="UA40" s="57">
        <f>'REG y VAL POE - AESR - ESR'!S3102</f>
        <v>0</v>
      </c>
      <c r="UB40" s="58">
        <f>'REG y VAL POE - AESR - ESR'!T3102</f>
        <v>0</v>
      </c>
      <c r="UC40" s="56">
        <f>'REG y VAL POE - AESR - ESR'!U3102</f>
        <v>0</v>
      </c>
      <c r="UD40" s="57">
        <f>'REG y VAL POE - AESR - ESR'!V3102</f>
        <v>0</v>
      </c>
      <c r="UE40" s="57">
        <f>'REG y VAL POE - AESR - ESR'!W3102</f>
        <v>0</v>
      </c>
      <c r="UF40" s="57">
        <f>'REG y VAL POE - AESR - ESR'!X3102</f>
        <v>0</v>
      </c>
      <c r="UG40" s="56">
        <f>'REG y VAL POE - AESR - ESR'!Y3102</f>
        <v>0</v>
      </c>
      <c r="UH40" s="57">
        <f>'REG y VAL POE - AESR - ESR'!Z3102</f>
        <v>0</v>
      </c>
      <c r="UI40" s="57">
        <f>'REG y VAL POE - AESR - ESR'!AA3102</f>
        <v>0</v>
      </c>
      <c r="UJ40" s="56">
        <f>'REG y VAL POE - AESR - ESR'!AB3102</f>
        <v>0</v>
      </c>
      <c r="UK40" s="57">
        <f>'REG y VAL POE - AESR - ESR'!AC3102</f>
        <v>0</v>
      </c>
      <c r="UL40" s="58">
        <f>'REG y VAL POE - AESR - ESR'!AD3102</f>
        <v>0</v>
      </c>
      <c r="UM40" s="56">
        <f>'REG y VAL POE - AESR - ESR'!AE3102</f>
        <v>0</v>
      </c>
      <c r="UN40" s="57">
        <f>'REG y VAL POE - AESR - ESR'!AF3102</f>
        <v>0</v>
      </c>
      <c r="UO40" s="57">
        <f>'REG y VAL POE - AESR - ESR'!AG3102</f>
        <v>0</v>
      </c>
      <c r="UP40" s="57">
        <f>'REG y VAL POE - AESR - ESR'!AH3102</f>
        <v>0</v>
      </c>
      <c r="UQ40" s="56">
        <f>'REG y VAL POE - AESR - ESR'!AI3102</f>
        <v>0</v>
      </c>
      <c r="UR40" s="57">
        <f>'REG y VAL POE - AESR - ESR'!AJ3102</f>
        <v>0</v>
      </c>
      <c r="US40" s="57">
        <f>'REG y VAL POE - AESR - ESR'!AK3102</f>
        <v>0</v>
      </c>
      <c r="UT40" s="56">
        <f>'REG y VAL POE - AESR - ESR'!AL3102</f>
        <v>0</v>
      </c>
      <c r="UU40" s="57">
        <f>'REG y VAL POE - AESR - ESR'!AM3102</f>
        <v>0</v>
      </c>
      <c r="UV40" s="58">
        <f>'REG y VAL POE - AESR - ESR'!AN3102</f>
        <v>0</v>
      </c>
      <c r="UW40" s="56">
        <f>'REG y VAL POE - AESR - ESR'!AO3102</f>
        <v>0</v>
      </c>
      <c r="UX40" s="57">
        <f>'REG y VAL POE - AESR - ESR'!AP3102</f>
        <v>0</v>
      </c>
      <c r="UY40" s="57">
        <f>'REG y VAL POE - AESR - ESR'!AQ3102</f>
        <v>0</v>
      </c>
      <c r="UZ40" s="57">
        <f>'REG y VAL POE - AESR - ESR'!AR3102</f>
        <v>0</v>
      </c>
      <c r="VA40" s="56">
        <f>'REG y VAL POE - AESR - ESR'!AS3102</f>
        <v>0</v>
      </c>
      <c r="VB40" s="57">
        <f>'REG y VAL POE - AESR - ESR'!B3103</f>
        <v>0</v>
      </c>
      <c r="VC40" s="57">
        <f>'REG y VAL POE - AESR - ESR'!C3103</f>
        <v>0</v>
      </c>
      <c r="VD40" s="56">
        <f>'REG y VAL POE - AESR - ESR'!D3103</f>
        <v>0</v>
      </c>
      <c r="VE40" s="57">
        <f>'REG y VAL POE - AESR - ESR'!E3103</f>
        <v>0</v>
      </c>
      <c r="VF40" s="58">
        <f>'REG y VAL POE - AESR - ESR'!F3103</f>
        <v>0</v>
      </c>
      <c r="VG40" s="56">
        <f>'REG y VAL POE - AESR - ESR'!G3103</f>
        <v>0</v>
      </c>
      <c r="VH40" s="57">
        <f>'REG y VAL POE - AESR - ESR'!H3103</f>
        <v>0</v>
      </c>
      <c r="VI40" s="57">
        <f>'REG y VAL POE - AESR - ESR'!I3103</f>
        <v>0</v>
      </c>
      <c r="VJ40" s="57">
        <f>'REG y VAL POE - AESR - ESR'!J3103</f>
        <v>0</v>
      </c>
      <c r="VK40" s="56">
        <f>'REG y VAL POE - AESR - ESR'!K3103</f>
        <v>0</v>
      </c>
      <c r="VL40" s="57">
        <f>'REG y VAL POE - AESR - ESR'!L3103</f>
        <v>0</v>
      </c>
      <c r="VM40" s="57">
        <f>'REG y VAL POE - AESR - ESR'!M3103</f>
        <v>0</v>
      </c>
      <c r="VN40" s="56">
        <f>'REG y VAL POE - AESR - ESR'!N3103</f>
        <v>0</v>
      </c>
      <c r="VO40" s="57">
        <f>'REG y VAL POE - AESR - ESR'!O3103</f>
        <v>0</v>
      </c>
      <c r="VP40" s="58">
        <f>'REG y VAL POE - AESR - ESR'!P3103</f>
        <v>0</v>
      </c>
      <c r="VQ40" s="56">
        <f>'REG y VAL POE - AESR - ESR'!Q3103</f>
        <v>0</v>
      </c>
      <c r="VR40" s="57">
        <f>'REG y VAL POE - AESR - ESR'!R3103</f>
        <v>0</v>
      </c>
      <c r="VS40" s="57">
        <f>'REG y VAL POE - AESR - ESR'!S3103</f>
        <v>0</v>
      </c>
      <c r="VT40" s="57">
        <f>'REG y VAL POE - AESR - ESR'!T3103</f>
        <v>0</v>
      </c>
      <c r="VU40" s="56">
        <f>'REG y VAL POE - AESR - ESR'!U3103</f>
        <v>0</v>
      </c>
      <c r="VV40" s="57">
        <f>'REG y VAL POE - AESR - ESR'!V3103</f>
        <v>0</v>
      </c>
      <c r="VW40" s="57">
        <f>'REG y VAL POE - AESR - ESR'!W3103</f>
        <v>0</v>
      </c>
      <c r="VX40" s="56">
        <f>'REG y VAL POE - AESR - ESR'!X3103</f>
        <v>0</v>
      </c>
      <c r="VY40" s="57">
        <f>'REG y VAL POE - AESR - ESR'!Y3103</f>
        <v>0</v>
      </c>
      <c r="VZ40" s="58">
        <f>'REG y VAL POE - AESR - ESR'!Z3103</f>
        <v>0</v>
      </c>
      <c r="WA40" s="56">
        <f>'REG y VAL POE - AESR - ESR'!AA3103</f>
        <v>0</v>
      </c>
      <c r="WB40" s="57">
        <f>'REG y VAL POE - AESR - ESR'!AB3103</f>
        <v>0</v>
      </c>
      <c r="WC40" s="57">
        <f>'REG y VAL POE - AESR - ESR'!AC3103</f>
        <v>0</v>
      </c>
      <c r="WD40" s="57">
        <f>'REG y VAL POE - AESR - ESR'!AD3103</f>
        <v>0</v>
      </c>
      <c r="WE40" s="56">
        <f>'REG y VAL POE - AESR - ESR'!AE3103</f>
        <v>0</v>
      </c>
      <c r="WF40" s="57">
        <f>'REG y VAL POE - AESR - ESR'!AF3103</f>
        <v>0</v>
      </c>
      <c r="WG40" s="57">
        <f>'REG y VAL POE - AESR - ESR'!AG3103</f>
        <v>0</v>
      </c>
      <c r="WH40" s="56">
        <f>'REG y VAL POE - AESR - ESR'!AH3103</f>
        <v>0</v>
      </c>
      <c r="WI40" s="57">
        <f>'REG y VAL POE - AESR - ESR'!AI3103</f>
        <v>0</v>
      </c>
      <c r="WJ40" s="58">
        <f>'REG y VAL POE - AESR - ESR'!AJ3103</f>
        <v>0</v>
      </c>
      <c r="WK40" s="56">
        <f>'REG y VAL POE - AESR - ESR'!AK3103</f>
        <v>0</v>
      </c>
      <c r="WL40" s="57">
        <f>'REG y VAL POE - AESR - ESR'!AL3103</f>
        <v>0</v>
      </c>
      <c r="WM40" s="57">
        <f>'REG y VAL POE - AESR - ESR'!AM3103</f>
        <v>0</v>
      </c>
      <c r="WN40" s="57">
        <f>'REG y VAL POE - AESR - ESR'!AN3103</f>
        <v>0</v>
      </c>
      <c r="WO40" s="56">
        <f>'REG y VAL POE - AESR - ESR'!AO3103</f>
        <v>0</v>
      </c>
      <c r="WP40" s="57">
        <f>'REG y VAL POE - AESR - ESR'!AP3103</f>
        <v>0</v>
      </c>
      <c r="WQ40" s="57">
        <f>'REG y VAL POE - AESR - ESR'!AQ3103</f>
        <v>0</v>
      </c>
      <c r="WR40" s="56">
        <f>'REG y VAL POE - AESR - ESR'!AR3103</f>
        <v>0</v>
      </c>
      <c r="WS40" s="57">
        <f>'REG y VAL POE - AESR - ESR'!AS3103</f>
        <v>0</v>
      </c>
      <c r="WT40" s="58">
        <f>'REG y VAL POE - AESR - ESR'!B3104</f>
        <v>0</v>
      </c>
      <c r="WU40" s="56">
        <f>'REG y VAL POE - AESR - ESR'!C3104</f>
        <v>0</v>
      </c>
      <c r="WV40" s="57">
        <f>'REG y VAL POE - AESR - ESR'!D3104</f>
        <v>0</v>
      </c>
      <c r="WW40" s="57">
        <f>'REG y VAL POE - AESR - ESR'!E3104</f>
        <v>0</v>
      </c>
      <c r="WX40" s="57">
        <f>'REG y VAL POE - AESR - ESR'!F3104</f>
        <v>0</v>
      </c>
      <c r="WY40" s="56">
        <f>'REG y VAL POE - AESR - ESR'!G3104</f>
        <v>0</v>
      </c>
      <c r="WZ40" s="57">
        <f>'REG y VAL POE - AESR - ESR'!H3104</f>
        <v>0</v>
      </c>
      <c r="XA40" s="57">
        <f>'REG y VAL POE - AESR - ESR'!I3104</f>
        <v>0</v>
      </c>
      <c r="XB40" s="56">
        <f>'REG y VAL POE - AESR - ESR'!J3104</f>
        <v>0</v>
      </c>
      <c r="XC40" s="57">
        <f>'REG y VAL POE - AESR - ESR'!K3104</f>
        <v>0</v>
      </c>
      <c r="XD40" s="58">
        <f>'REG y VAL POE - AESR - ESR'!L3104</f>
        <v>0</v>
      </c>
      <c r="XE40" s="56">
        <f>'REG y VAL POE - AESR - ESR'!M3104</f>
        <v>0</v>
      </c>
      <c r="XF40" s="57">
        <f>'REG y VAL POE - AESR - ESR'!N3104</f>
        <v>0</v>
      </c>
      <c r="XG40" s="57">
        <f>'REG y VAL POE - AESR - ESR'!O3104</f>
        <v>0</v>
      </c>
      <c r="XH40" s="57">
        <f>'REG y VAL POE - AESR - ESR'!P3104</f>
        <v>0</v>
      </c>
      <c r="XI40" s="56">
        <f>'REG y VAL POE - AESR - ESR'!Q3104</f>
        <v>0</v>
      </c>
      <c r="XJ40" s="57">
        <f>'REG y VAL POE - AESR - ESR'!R3104</f>
        <v>0</v>
      </c>
      <c r="XK40" s="57">
        <f>'REG y VAL POE - AESR - ESR'!S3104</f>
        <v>0</v>
      </c>
      <c r="XL40" s="56">
        <f>'REG y VAL POE - AESR - ESR'!T3104</f>
        <v>0</v>
      </c>
      <c r="XM40" s="57">
        <f>'REG y VAL POE - AESR - ESR'!U3104</f>
        <v>0</v>
      </c>
      <c r="XN40" s="58">
        <f>'REG y VAL POE - AESR - ESR'!V3104</f>
        <v>0</v>
      </c>
      <c r="XO40" s="56">
        <f>'REG y VAL POE - AESR - ESR'!W3104</f>
        <v>0</v>
      </c>
      <c r="XP40" s="57">
        <f>'REG y VAL POE - AESR - ESR'!X3104</f>
        <v>0</v>
      </c>
      <c r="XQ40" s="57">
        <f>'REG y VAL POE - AESR - ESR'!Y3104</f>
        <v>0</v>
      </c>
      <c r="XR40" s="57">
        <f>'REG y VAL POE - AESR - ESR'!Z3104</f>
        <v>0</v>
      </c>
      <c r="XS40" s="56">
        <f>'REG y VAL POE - AESR - ESR'!AA3104</f>
        <v>0</v>
      </c>
      <c r="XT40" s="57">
        <f>'REG y VAL POE - AESR - ESR'!AB3104</f>
        <v>0</v>
      </c>
      <c r="XU40" s="57">
        <f>'REG y VAL POE - AESR - ESR'!AC3104</f>
        <v>0</v>
      </c>
      <c r="XV40" s="56">
        <f>'REG y VAL POE - AESR - ESR'!AD3104</f>
        <v>0</v>
      </c>
      <c r="XW40" s="57">
        <f>'REG y VAL POE - AESR - ESR'!AE3104</f>
        <v>0</v>
      </c>
      <c r="XX40" s="58">
        <f>'REG y VAL POE - AESR - ESR'!AF3104</f>
        <v>0</v>
      </c>
      <c r="XY40" s="56">
        <f>'REG y VAL POE - AESR - ESR'!AG3104</f>
        <v>0</v>
      </c>
      <c r="XZ40" s="57">
        <f>'REG y VAL POE - AESR - ESR'!AH3104</f>
        <v>0</v>
      </c>
      <c r="YA40" s="57">
        <f>'REG y VAL POE - AESR - ESR'!AI3104</f>
        <v>0</v>
      </c>
      <c r="YB40" s="57">
        <f>'REG y VAL POE - AESR - ESR'!AJ3104</f>
        <v>0</v>
      </c>
      <c r="YC40" s="56">
        <f>'REG y VAL POE - AESR - ESR'!AK3104</f>
        <v>0</v>
      </c>
      <c r="YD40" s="57">
        <f>'REG y VAL POE - AESR - ESR'!AL3104</f>
        <v>0</v>
      </c>
      <c r="YE40" s="57">
        <f>'REG y VAL POE - AESR - ESR'!AM3104</f>
        <v>0</v>
      </c>
      <c r="YF40" s="56">
        <f>'REG y VAL POE - AESR - ESR'!AN3104</f>
        <v>0</v>
      </c>
      <c r="YG40" s="57">
        <f>'REG y VAL POE - AESR - ESR'!AO3104</f>
        <v>0</v>
      </c>
      <c r="YH40" s="58">
        <f>'REG y VAL POE - AESR - ESR'!AP3104</f>
        <v>0</v>
      </c>
      <c r="YI40" s="56">
        <f>'REG y VAL POE - AESR - ESR'!AQ3104</f>
        <v>0</v>
      </c>
      <c r="YJ40" s="57">
        <f>'REG y VAL POE - AESR - ESR'!AR3104</f>
        <v>0</v>
      </c>
      <c r="YK40" s="57">
        <f>'REG y VAL POE - AESR - ESR'!AS3104</f>
        <v>0</v>
      </c>
      <c r="YL40" s="57">
        <f>'REG y VAL POE - AESR - ESR'!B3105</f>
        <v>0</v>
      </c>
      <c r="YM40" s="56">
        <f>'REG y VAL POE - AESR - ESR'!C3105</f>
        <v>0</v>
      </c>
      <c r="YN40" s="57">
        <f>'REG y VAL POE - AESR - ESR'!D3105</f>
        <v>0</v>
      </c>
      <c r="YO40" s="57">
        <f>'REG y VAL POE - AESR - ESR'!E3105</f>
        <v>0</v>
      </c>
      <c r="YP40" s="56">
        <f>'REG y VAL POE - AESR - ESR'!F3105</f>
        <v>0</v>
      </c>
      <c r="YQ40" s="57">
        <f>'REG y VAL POE - AESR - ESR'!G3105</f>
        <v>0</v>
      </c>
      <c r="YR40" s="58">
        <f>'REG y VAL POE - AESR - ESR'!H3105</f>
        <v>0</v>
      </c>
      <c r="YS40" s="56">
        <f>'REG y VAL POE - AESR - ESR'!I3105</f>
        <v>0</v>
      </c>
      <c r="YT40" s="57">
        <f>'REG y VAL POE - AESR - ESR'!J3105</f>
        <v>0</v>
      </c>
      <c r="YU40" s="57">
        <f>'REG y VAL POE - AESR - ESR'!K3105</f>
        <v>0</v>
      </c>
      <c r="YV40" s="57">
        <f>'REG y VAL POE - AESR - ESR'!L3105</f>
        <v>0</v>
      </c>
      <c r="YW40" s="56">
        <f>'REG y VAL POE - AESR - ESR'!M3105</f>
        <v>0</v>
      </c>
      <c r="YX40" s="57">
        <f>'REG y VAL POE - AESR - ESR'!N3105</f>
        <v>0</v>
      </c>
      <c r="YY40" s="57">
        <f>'REG y VAL POE - AESR - ESR'!O3105</f>
        <v>0</v>
      </c>
      <c r="YZ40" s="56">
        <f>'REG y VAL POE - AESR - ESR'!P3105</f>
        <v>0</v>
      </c>
      <c r="ZA40" s="57">
        <f>'REG y VAL POE - AESR - ESR'!Q3105</f>
        <v>0</v>
      </c>
      <c r="ZB40" s="58">
        <f>'REG y VAL POE - AESR - ESR'!R3105</f>
        <v>0</v>
      </c>
      <c r="ZC40" s="56">
        <f>'REG y VAL POE - AESR - ESR'!S3105</f>
        <v>0</v>
      </c>
      <c r="ZD40" s="57">
        <f>'REG y VAL POE - AESR - ESR'!T3105</f>
        <v>0</v>
      </c>
      <c r="ZE40" s="57">
        <f>'REG y VAL POE - AESR - ESR'!U3105</f>
        <v>0</v>
      </c>
      <c r="ZF40" s="57">
        <f>'REG y VAL POE - AESR - ESR'!V3105</f>
        <v>0</v>
      </c>
      <c r="ZG40" s="56">
        <f>'REG y VAL POE - AESR - ESR'!W3105</f>
        <v>0</v>
      </c>
      <c r="ZH40" s="57">
        <f>'REG y VAL POE - AESR - ESR'!X3105</f>
        <v>0</v>
      </c>
      <c r="ZI40" s="57">
        <f>'REG y VAL POE - AESR - ESR'!Y3105</f>
        <v>0</v>
      </c>
      <c r="ZJ40" s="56">
        <f>'REG y VAL POE - AESR - ESR'!Z3105</f>
        <v>0</v>
      </c>
      <c r="ZK40" s="57">
        <f>'REG y VAL POE - AESR - ESR'!AA3105</f>
        <v>0</v>
      </c>
      <c r="ZL40" s="58">
        <f>'REG y VAL POE - AESR - ESR'!AB3105</f>
        <v>0</v>
      </c>
      <c r="ZM40" s="56">
        <f>'REG y VAL POE - AESR - ESR'!AC3105</f>
        <v>0</v>
      </c>
      <c r="ZN40" s="57">
        <f>'REG y VAL POE - AESR - ESR'!AD3105</f>
        <v>0</v>
      </c>
      <c r="ZO40" s="57">
        <f>'REG y VAL POE - AESR - ESR'!AE3105</f>
        <v>0</v>
      </c>
      <c r="ZP40" s="57">
        <f>'REG y VAL POE - AESR - ESR'!AF3105</f>
        <v>0</v>
      </c>
      <c r="ZQ40" s="56">
        <f>'REG y VAL POE - AESR - ESR'!AG3105</f>
        <v>0</v>
      </c>
      <c r="ZR40" s="57">
        <f>'REG y VAL POE - AESR - ESR'!AH3105</f>
        <v>0</v>
      </c>
      <c r="ZS40" s="57">
        <f>'REG y VAL POE - AESR - ESR'!AI3105</f>
        <v>0</v>
      </c>
      <c r="ZT40" s="56">
        <f>'REG y VAL POE - AESR - ESR'!AJ3105</f>
        <v>0</v>
      </c>
      <c r="ZU40" s="57">
        <f>'REG y VAL POE - AESR - ESR'!AK3105</f>
        <v>0</v>
      </c>
      <c r="ZV40" s="58">
        <f>'REG y VAL POE - AESR - ESR'!AL3105</f>
        <v>0</v>
      </c>
      <c r="ZW40" s="56">
        <f>'REG y VAL POE - AESR - ESR'!AM3105</f>
        <v>0</v>
      </c>
      <c r="ZX40" s="57">
        <f>'REG y VAL POE - AESR - ESR'!AN3105</f>
        <v>0</v>
      </c>
      <c r="ZY40" s="57">
        <f>'REG y VAL POE - AESR - ESR'!AO3105</f>
        <v>0</v>
      </c>
      <c r="ZZ40" s="57">
        <f>'REG y VAL POE - AESR - ESR'!AP3105</f>
        <v>0</v>
      </c>
      <c r="AAA40" s="56">
        <f>'REG y VAL POE - AESR - ESR'!AQ3105</f>
        <v>0</v>
      </c>
      <c r="AAB40" s="57">
        <f>'REG y VAL POE - AESR - ESR'!AR3105</f>
        <v>0</v>
      </c>
      <c r="AAC40" s="57">
        <f>'REG y VAL POE - AESR - ESR'!AS3105</f>
        <v>0</v>
      </c>
      <c r="AAD40" s="56">
        <f>'REG y VAL POE - AESR - ESR'!B3106</f>
        <v>0</v>
      </c>
      <c r="AAE40" s="57">
        <f>'REG y VAL POE - AESR - ESR'!C3106</f>
        <v>0</v>
      </c>
      <c r="AAF40" s="58">
        <f>'REG y VAL POE - AESR - ESR'!D3106</f>
        <v>0</v>
      </c>
      <c r="AAG40" s="56">
        <f>'REG y VAL POE - AESR - ESR'!E3106</f>
        <v>0</v>
      </c>
      <c r="AAH40" s="57">
        <f>'REG y VAL POE - AESR - ESR'!F3106</f>
        <v>0</v>
      </c>
      <c r="AAI40" s="57">
        <f>'REG y VAL POE - AESR - ESR'!G3106</f>
        <v>0</v>
      </c>
      <c r="AAJ40" s="57">
        <f>'REG y VAL POE - AESR - ESR'!H3106</f>
        <v>0</v>
      </c>
      <c r="AAK40" s="56">
        <f>'REG y VAL POE - AESR - ESR'!I3106</f>
        <v>0</v>
      </c>
      <c r="AAL40" s="57">
        <f>'REG y VAL POE - AESR - ESR'!J3106</f>
        <v>0</v>
      </c>
      <c r="AAM40" s="57">
        <f>'REG y VAL POE - AESR - ESR'!K3106</f>
        <v>0</v>
      </c>
      <c r="AAN40" s="56">
        <f>'REG y VAL POE - AESR - ESR'!L3106</f>
        <v>0</v>
      </c>
      <c r="AAO40" s="57">
        <f>'REG y VAL POE - AESR - ESR'!M3106</f>
        <v>0</v>
      </c>
      <c r="AAP40" s="58">
        <f>'REG y VAL POE - AESR - ESR'!N3106</f>
        <v>0</v>
      </c>
      <c r="AAQ40" s="56">
        <f>'REG y VAL POE - AESR - ESR'!O3106</f>
        <v>0</v>
      </c>
      <c r="AAR40" s="57">
        <f>'REG y VAL POE - AESR - ESR'!P3106</f>
        <v>0</v>
      </c>
      <c r="AAS40" s="57">
        <f>'REG y VAL POE - AESR - ESR'!Q3106</f>
        <v>0</v>
      </c>
      <c r="AAT40" s="57">
        <f>'REG y VAL POE - AESR - ESR'!R3106</f>
        <v>0</v>
      </c>
      <c r="AAU40" s="56">
        <f>'REG y VAL POE - AESR - ESR'!S3106</f>
        <v>0</v>
      </c>
      <c r="AAV40" s="57">
        <f>'REG y VAL POE - AESR - ESR'!T3106</f>
        <v>0</v>
      </c>
      <c r="AAW40" s="57">
        <f>'REG y VAL POE - AESR - ESR'!U3106</f>
        <v>0</v>
      </c>
      <c r="AAX40" s="58">
        <f>'REG y VAL POE - AESR - ESR'!V3106</f>
        <v>0</v>
      </c>
      <c r="AAY40" s="58">
        <f>'REG y VAL POE - AESR - ESR'!W3106</f>
        <v>0</v>
      </c>
      <c r="AAZ40" s="58">
        <f>'REG y VAL POE - AESR - ESR'!X3106</f>
        <v>0</v>
      </c>
      <c r="ABA40" s="56">
        <f>'REG y VAL POE - AESR - ESR'!Y3106</f>
        <v>0</v>
      </c>
      <c r="ABB40" s="58">
        <f>'REG y VAL POE - AESR - ESR'!Z3106</f>
        <v>0</v>
      </c>
      <c r="ABC40" s="58">
        <f>'REG y VAL POE - AESR - ESR'!AA3106</f>
        <v>0</v>
      </c>
      <c r="ABD40" s="58">
        <f>'REG y VAL POE - AESR - ESR'!AB3106</f>
        <v>0</v>
      </c>
      <c r="ABE40" s="58">
        <f>'REG y VAL POE - AESR - ESR'!AC3106</f>
        <v>0</v>
      </c>
      <c r="ABF40" s="58">
        <f>'REG y VAL POE - AESR - ESR'!AD3106</f>
        <v>0</v>
      </c>
      <c r="ABG40" s="57">
        <f>'REG y VAL POE - AESR - ESR'!AE3106</f>
        <v>0</v>
      </c>
      <c r="ABH40" s="56">
        <f>'REG y VAL POE - AESR - ESR'!AF3106</f>
        <v>0</v>
      </c>
      <c r="ABI40" s="57">
        <f>'REG y VAL POE - AESR - ESR'!AG3106</f>
        <v>0</v>
      </c>
      <c r="ABJ40" s="58">
        <f>'REG y VAL POE - AESR - ESR'!AH3106</f>
        <v>0</v>
      </c>
      <c r="ABK40" s="56">
        <f>'REG y VAL POE - AESR - ESR'!AI3106</f>
        <v>0</v>
      </c>
      <c r="ABL40" s="57">
        <f>'REG y VAL POE - AESR - ESR'!AJ3106</f>
        <v>0</v>
      </c>
      <c r="ABM40" s="57">
        <f>'REG y VAL POE - AESR - ESR'!AK3106</f>
        <v>0</v>
      </c>
      <c r="ABN40" s="57">
        <f>'REG y VAL POE - AESR - ESR'!AL3106</f>
        <v>0</v>
      </c>
      <c r="ABO40" s="56">
        <f>'REG y VAL POE - AESR - ESR'!AM3106</f>
        <v>0</v>
      </c>
      <c r="ABP40" s="57">
        <f>'REG y VAL POE - AESR - ESR'!AN3106</f>
        <v>0</v>
      </c>
      <c r="ABQ40" s="57">
        <f>'REG y VAL POE - AESR - ESR'!AO3106</f>
        <v>0</v>
      </c>
      <c r="ABR40" s="56">
        <f>'REG y VAL POE - AESR - ESR'!AP3106</f>
        <v>0</v>
      </c>
      <c r="ABS40" s="57">
        <f>'REG y VAL POE - AESR - ESR'!AQ3106</f>
        <v>0</v>
      </c>
      <c r="ABT40" s="58">
        <f>'REG y VAL POE - AESR - ESR'!AR3106</f>
        <v>0</v>
      </c>
      <c r="ABU40" s="56">
        <f>'REG y VAL POE - AESR - ESR'!AS3106</f>
        <v>0</v>
      </c>
      <c r="ABV40" s="57">
        <f>'REG y VAL POE - AESR - ESR'!B3107</f>
        <v>0</v>
      </c>
      <c r="ABW40" s="57">
        <f>'REG y VAL POE - AESR - ESR'!C3107</f>
        <v>0</v>
      </c>
      <c r="ABX40" s="57">
        <f>'REG y VAL POE - AESR - ESR'!D3107</f>
        <v>0</v>
      </c>
      <c r="ABY40" s="56">
        <f>'REG y VAL POE - AESR - ESR'!E3107</f>
        <v>0</v>
      </c>
      <c r="ABZ40" s="57">
        <f>'REG y VAL POE - AESR - ESR'!F3107</f>
        <v>0</v>
      </c>
      <c r="ACA40" s="57">
        <f>'REG y VAL POE - AESR - ESR'!G3107</f>
        <v>0</v>
      </c>
      <c r="ACB40" s="56">
        <f>'REG y VAL POE - AESR - ESR'!H3107</f>
        <v>0</v>
      </c>
      <c r="ACC40" s="57">
        <f>'REG y VAL POE - AESR - ESR'!I3107</f>
        <v>0</v>
      </c>
      <c r="ACD40" s="58">
        <f>'REG y VAL POE - AESR - ESR'!J3107</f>
        <v>0</v>
      </c>
      <c r="ACE40" s="56">
        <f>'REG y VAL POE - AESR - ESR'!K3107</f>
        <v>0</v>
      </c>
      <c r="ACF40" s="57">
        <f>'REG y VAL POE - AESR - ESR'!L3107</f>
        <v>0</v>
      </c>
      <c r="ACG40" s="57">
        <f>'REG y VAL POE - AESR - ESR'!M3107</f>
        <v>0</v>
      </c>
      <c r="ACH40" s="57">
        <f>'REG y VAL POE - AESR - ESR'!N3107</f>
        <v>0</v>
      </c>
      <c r="ACI40" s="56">
        <f>'REG y VAL POE - AESR - ESR'!O3107</f>
        <v>0</v>
      </c>
      <c r="ACJ40" s="57">
        <f>'REG y VAL POE - AESR - ESR'!P3107</f>
        <v>0</v>
      </c>
      <c r="ACK40" s="57">
        <f>'REG y VAL POE - AESR - ESR'!Q3107</f>
        <v>0</v>
      </c>
      <c r="ACL40" s="56">
        <f>'REG y VAL POE - AESR - ESR'!R3107</f>
        <v>0</v>
      </c>
      <c r="ACM40" s="57">
        <f>'REG y VAL POE - AESR - ESR'!S3107</f>
        <v>0</v>
      </c>
      <c r="ACN40" s="58">
        <f>'REG y VAL POE - AESR - ESR'!T3107</f>
        <v>0</v>
      </c>
      <c r="ACO40" s="56">
        <f>'REG y VAL POE - AESR - ESR'!U3107</f>
        <v>0</v>
      </c>
      <c r="ACP40" s="57">
        <f>'REG y VAL POE - AESR - ESR'!V3107</f>
        <v>0</v>
      </c>
      <c r="ACQ40" s="57">
        <f>'REG y VAL POE - AESR - ESR'!W3107</f>
        <v>0</v>
      </c>
      <c r="ACR40" s="57">
        <f>'REG y VAL POE - AESR - ESR'!X3107</f>
        <v>0</v>
      </c>
      <c r="ACS40" s="56">
        <f>'REG y VAL POE - AESR - ESR'!Y3107</f>
        <v>0</v>
      </c>
      <c r="ACT40" s="57">
        <f>'REG y VAL POE - AESR - ESR'!Z3107</f>
        <v>0</v>
      </c>
      <c r="ACU40" s="57">
        <f>'REG y VAL POE - AESR - ESR'!AA3107</f>
        <v>0</v>
      </c>
      <c r="ACV40" s="56">
        <f>'REG y VAL POE - AESR - ESR'!AB3107</f>
        <v>0</v>
      </c>
      <c r="ACW40" s="57">
        <f>'REG y VAL POE - AESR - ESR'!AC3107</f>
        <v>0</v>
      </c>
      <c r="ACX40" s="58">
        <f>'REG y VAL POE - AESR - ESR'!AD3107</f>
        <v>0</v>
      </c>
      <c r="ACY40" s="56">
        <f>'REG y VAL POE - AESR - ESR'!AE3107</f>
        <v>0</v>
      </c>
      <c r="ACZ40" s="57">
        <f>'REG y VAL POE - AESR - ESR'!AF3107</f>
        <v>0</v>
      </c>
      <c r="ADA40" s="57">
        <f>'REG y VAL POE - AESR - ESR'!AG3107</f>
        <v>0</v>
      </c>
      <c r="ADB40" s="57">
        <f>'REG y VAL POE - AESR - ESR'!AH3107</f>
        <v>0</v>
      </c>
      <c r="ADC40" s="56">
        <f>'REG y VAL POE - AESR - ESR'!AI3107</f>
        <v>0</v>
      </c>
      <c r="ADD40" s="57">
        <f>'REG y VAL POE - AESR - ESR'!AJ3107</f>
        <v>0</v>
      </c>
      <c r="ADE40" s="57">
        <f>'REG y VAL POE - AESR - ESR'!AK3107</f>
        <v>0</v>
      </c>
      <c r="ADF40" s="56">
        <f>'REG y VAL POE - AESR - ESR'!AL3107</f>
        <v>0</v>
      </c>
      <c r="ADG40" s="57">
        <f>'REG y VAL POE - AESR - ESR'!AM3107</f>
        <v>0</v>
      </c>
      <c r="ADH40" s="58">
        <f>'REG y VAL POE - AESR - ESR'!AN3107</f>
        <v>0</v>
      </c>
      <c r="ADI40" s="56">
        <f>'REG y VAL POE - AESR - ESR'!AO3107</f>
        <v>0</v>
      </c>
      <c r="ADJ40" s="57">
        <f>'REG y VAL POE - AESR - ESR'!AP3107</f>
        <v>0</v>
      </c>
      <c r="ADK40" s="57">
        <f>'REG y VAL POE - AESR - ESR'!AQ3107</f>
        <v>0</v>
      </c>
      <c r="ADL40" s="57">
        <f>'REG y VAL POE - AESR - ESR'!AR3107</f>
        <v>0</v>
      </c>
      <c r="ADM40" s="56">
        <f>'REG y VAL POE - AESR - ESR'!AS3107</f>
        <v>0</v>
      </c>
      <c r="ADN40" s="57">
        <f>'REG y VAL POE - AESR - ESR'!B3108</f>
        <v>0</v>
      </c>
      <c r="ADO40" s="57">
        <f>'REG y VAL POE - AESR - ESR'!C3108</f>
        <v>0</v>
      </c>
      <c r="ADP40" s="56">
        <f>'REG y VAL POE - AESR - ESR'!D3108</f>
        <v>0</v>
      </c>
      <c r="ADQ40" s="57">
        <f>'REG y VAL POE - AESR - ESR'!E3108</f>
        <v>0</v>
      </c>
      <c r="ADR40" s="58">
        <f>'REG y VAL POE - AESR - ESR'!F3108</f>
        <v>0</v>
      </c>
      <c r="ADS40" s="56">
        <f>'REG y VAL POE - AESR - ESR'!G3108</f>
        <v>0</v>
      </c>
      <c r="ADT40" s="57">
        <f>'REG y VAL POE - AESR - ESR'!H3108</f>
        <v>0</v>
      </c>
      <c r="ADU40" s="57">
        <f>'REG y VAL POE - AESR - ESR'!I3108</f>
        <v>0</v>
      </c>
      <c r="ADV40" s="57">
        <f>'REG y VAL POE - AESR - ESR'!J3108</f>
        <v>0</v>
      </c>
      <c r="ADW40" s="56">
        <f>'REG y VAL POE - AESR - ESR'!K3108</f>
        <v>0</v>
      </c>
      <c r="ADX40" s="57">
        <f>'REG y VAL POE - AESR - ESR'!L3108</f>
        <v>0</v>
      </c>
      <c r="ADY40" s="57">
        <f>'REG y VAL POE - AESR - ESR'!M3108</f>
        <v>0</v>
      </c>
      <c r="ADZ40" s="56">
        <f>'REG y VAL POE - AESR - ESR'!N3108</f>
        <v>0</v>
      </c>
      <c r="AEA40" s="57">
        <f>'REG y VAL POE - AESR - ESR'!O3108</f>
        <v>0</v>
      </c>
      <c r="AEB40" s="58">
        <f>'REG y VAL POE - AESR - ESR'!P3108</f>
        <v>0</v>
      </c>
      <c r="AEC40" s="56">
        <f>'REG y VAL POE - AESR - ESR'!Q3108</f>
        <v>0</v>
      </c>
      <c r="AED40" s="57">
        <f>'REG y VAL POE - AESR - ESR'!R3108</f>
        <v>0</v>
      </c>
      <c r="AEE40" s="57">
        <f>'REG y VAL POE - AESR - ESR'!S3108</f>
        <v>0</v>
      </c>
      <c r="AEF40" s="57">
        <f>'REG y VAL POE - AESR - ESR'!T3108</f>
        <v>0</v>
      </c>
      <c r="AEG40" s="56">
        <f>'REG y VAL POE - AESR - ESR'!U3108</f>
        <v>0</v>
      </c>
      <c r="AEH40" s="57">
        <f>'REG y VAL POE - AESR - ESR'!V3108</f>
        <v>0</v>
      </c>
      <c r="AEI40" s="57">
        <f>'REG y VAL POE - AESR - ESR'!W3108</f>
        <v>0</v>
      </c>
      <c r="AEJ40" s="56">
        <f>'REG y VAL POE - AESR - ESR'!X3108</f>
        <v>0</v>
      </c>
      <c r="AEK40" s="57">
        <f>'REG y VAL POE - AESR - ESR'!Y3108</f>
        <v>0</v>
      </c>
      <c r="AEL40" s="58">
        <f>'REG y VAL POE - AESR - ESR'!Z3108</f>
        <v>0</v>
      </c>
      <c r="AEM40" s="56">
        <f>'REG y VAL POE - AESR - ESR'!AA3108</f>
        <v>0</v>
      </c>
      <c r="AEN40" s="57">
        <f>'REG y VAL POE - AESR - ESR'!AB3108</f>
        <v>0</v>
      </c>
      <c r="AEO40" s="57">
        <f>'REG y VAL POE - AESR - ESR'!AC3108</f>
        <v>0</v>
      </c>
      <c r="AEP40" s="57">
        <f>'REG y VAL POE - AESR - ESR'!AD3108</f>
        <v>0</v>
      </c>
      <c r="AEQ40" s="56">
        <f>'REG y VAL POE - AESR - ESR'!AE3108</f>
        <v>0</v>
      </c>
      <c r="AER40" s="57">
        <f>'REG y VAL POE - AESR - ESR'!AF3108</f>
        <v>0</v>
      </c>
      <c r="AES40" s="57">
        <f>'REG y VAL POE - AESR - ESR'!AG3108</f>
        <v>0</v>
      </c>
      <c r="AET40" s="56">
        <f>'REG y VAL POE - AESR - ESR'!AH3108</f>
        <v>0</v>
      </c>
      <c r="AEU40" s="57">
        <f>'REG y VAL POE - AESR - ESR'!AI3108</f>
        <v>0</v>
      </c>
      <c r="AEV40" s="58">
        <f>'REG y VAL POE - AESR - ESR'!AJ3108</f>
        <v>0</v>
      </c>
      <c r="AEW40" s="56">
        <f>'REG y VAL POE - AESR - ESR'!AK3108</f>
        <v>0</v>
      </c>
      <c r="AEX40" s="57">
        <f>'REG y VAL POE - AESR - ESR'!AL3108</f>
        <v>0</v>
      </c>
      <c r="AEY40" s="57">
        <f>'REG y VAL POE - AESR - ESR'!AM3108</f>
        <v>0</v>
      </c>
      <c r="AEZ40" s="57">
        <f>'REG y VAL POE - AESR - ESR'!AN3108</f>
        <v>0</v>
      </c>
      <c r="AFA40" s="56">
        <f>'REG y VAL POE - AESR - ESR'!AO3108</f>
        <v>0</v>
      </c>
      <c r="AFB40" s="57">
        <f>'REG y VAL POE - AESR - ESR'!AP3108</f>
        <v>0</v>
      </c>
      <c r="AFC40" s="57">
        <f>'REG y VAL POE - AESR - ESR'!AQ3108</f>
        <v>0</v>
      </c>
      <c r="AFD40" s="56">
        <f>'REG y VAL POE - AESR - ESR'!AR3108</f>
        <v>0</v>
      </c>
      <c r="AFE40" s="57">
        <f>'REG y VAL POE - AESR - ESR'!AS3108</f>
        <v>0</v>
      </c>
      <c r="AFF40" s="58">
        <f>'REG y VAL POE - AESR - ESR'!B3109</f>
        <v>0</v>
      </c>
      <c r="AFG40" s="56">
        <f>'REG y VAL POE - AESR - ESR'!C3109</f>
        <v>0</v>
      </c>
      <c r="AFH40" s="57">
        <f>'REG y VAL POE - AESR - ESR'!D3109</f>
        <v>0</v>
      </c>
      <c r="AFI40" s="57">
        <f>'REG y VAL POE - AESR - ESR'!E3109</f>
        <v>0</v>
      </c>
      <c r="AFJ40" s="57">
        <f>'REG y VAL POE - AESR - ESR'!F3109</f>
        <v>0</v>
      </c>
      <c r="AFK40" s="56">
        <f>'REG y VAL POE - AESR - ESR'!G3109</f>
        <v>0</v>
      </c>
      <c r="AFL40" s="57">
        <f>'REG y VAL POE - AESR - ESR'!H3109</f>
        <v>0</v>
      </c>
      <c r="AFM40" s="57">
        <f>'REG y VAL POE - AESR - ESR'!I3109</f>
        <v>0</v>
      </c>
      <c r="AFN40" s="56">
        <f>'REG y VAL POE - AESR - ESR'!J3109</f>
        <v>0</v>
      </c>
      <c r="AFO40" s="57">
        <f>'REG y VAL POE - AESR - ESR'!K3109</f>
        <v>0</v>
      </c>
      <c r="AFP40" s="58">
        <f>'REG y VAL POE - AESR - ESR'!L3109</f>
        <v>0</v>
      </c>
      <c r="AFQ40" s="56">
        <f>'REG y VAL POE - AESR - ESR'!M3109</f>
        <v>0</v>
      </c>
      <c r="AFR40" s="57">
        <f>'REG y VAL POE - AESR - ESR'!N3109</f>
        <v>0</v>
      </c>
      <c r="AFS40" s="57">
        <f>'REG y VAL POE - AESR - ESR'!O3109</f>
        <v>0</v>
      </c>
      <c r="AFT40" s="57">
        <f>'REG y VAL POE - AESR - ESR'!P3109</f>
        <v>0</v>
      </c>
      <c r="AFU40" s="56">
        <f>'REG y VAL POE - AESR - ESR'!Q3109</f>
        <v>0</v>
      </c>
      <c r="AFV40" s="57">
        <f>'REG y VAL POE - AESR - ESR'!R3109</f>
        <v>0</v>
      </c>
      <c r="AFW40" s="57">
        <f>'REG y VAL POE - AESR - ESR'!S3109</f>
        <v>0</v>
      </c>
      <c r="AFX40" s="56">
        <f>'REG y VAL POE - AESR - ESR'!T3109</f>
        <v>0</v>
      </c>
      <c r="AFY40" s="57">
        <f>'REG y VAL POE - AESR - ESR'!U3109</f>
        <v>0</v>
      </c>
      <c r="AFZ40" s="58">
        <f>'REG y VAL POE - AESR - ESR'!V3109</f>
        <v>0</v>
      </c>
      <c r="AGA40" s="56">
        <f>'REG y VAL POE - AESR - ESR'!W3109</f>
        <v>0</v>
      </c>
      <c r="AGB40" s="57">
        <f>'REG y VAL POE - AESR - ESR'!X3109</f>
        <v>0</v>
      </c>
      <c r="AGC40" s="57">
        <f>'REG y VAL POE - AESR - ESR'!Y3109</f>
        <v>0</v>
      </c>
      <c r="AGD40" s="57">
        <f>'REG y VAL POE - AESR - ESR'!Z3109</f>
        <v>0</v>
      </c>
      <c r="AGE40" s="56">
        <f>'REG y VAL POE - AESR - ESR'!AA3109</f>
        <v>0</v>
      </c>
      <c r="AGF40" s="57">
        <f>'REG y VAL POE - AESR - ESR'!AB3109</f>
        <v>0</v>
      </c>
      <c r="AGG40" s="57">
        <f>'REG y VAL POE - AESR - ESR'!AC3109</f>
        <v>0</v>
      </c>
      <c r="AGH40" s="56">
        <f>'REG y VAL POE - AESR - ESR'!AD3109</f>
        <v>0</v>
      </c>
      <c r="AGI40" s="57">
        <f>'REG y VAL POE - AESR - ESR'!AE3109</f>
        <v>0</v>
      </c>
      <c r="AGJ40" s="58">
        <f>'REG y VAL POE - AESR - ESR'!AF3109</f>
        <v>0</v>
      </c>
      <c r="AGK40" s="56">
        <f>'REG y VAL POE - AESR - ESR'!AG3109</f>
        <v>0</v>
      </c>
      <c r="AGL40" s="57">
        <f>'REG y VAL POE - AESR - ESR'!AH3109</f>
        <v>0</v>
      </c>
      <c r="AGM40" s="57">
        <f>'REG y VAL POE - AESR - ESR'!AI3109</f>
        <v>0</v>
      </c>
      <c r="AGN40" s="57">
        <f>'REG y VAL POE - AESR - ESR'!AJ3109</f>
        <v>0</v>
      </c>
      <c r="AGO40" s="56">
        <f>'REG y VAL POE - AESR - ESR'!AK3109</f>
        <v>0</v>
      </c>
      <c r="AGP40" s="57">
        <f>'REG y VAL POE - AESR - ESR'!AL3109</f>
        <v>0</v>
      </c>
      <c r="AGQ40" s="57">
        <f>'REG y VAL POE - AESR - ESR'!AM3109</f>
        <v>0</v>
      </c>
      <c r="AGR40" s="56">
        <f>'REG y VAL POE - AESR - ESR'!AN3109</f>
        <v>0</v>
      </c>
      <c r="AGS40" s="57">
        <f>'REG y VAL POE - AESR - ESR'!AO3109</f>
        <v>0</v>
      </c>
      <c r="AGT40" s="58">
        <f>'REG y VAL POE - AESR - ESR'!AP3109</f>
        <v>0</v>
      </c>
      <c r="AGU40" s="56">
        <f>'REG y VAL POE - AESR - ESR'!AQ3109</f>
        <v>0</v>
      </c>
      <c r="AGV40" s="57">
        <f>'REG y VAL POE - AESR - ESR'!AR3109</f>
        <v>0</v>
      </c>
      <c r="AGW40" s="57">
        <f>'REG y VAL POE - AESR - ESR'!AS3109</f>
        <v>0</v>
      </c>
      <c r="AGX40" s="57"/>
      <c r="AGY40" s="56"/>
      <c r="AGZ40" s="57"/>
      <c r="AHA40" s="57"/>
      <c r="AHB40" s="56"/>
      <c r="AHC40" s="57"/>
      <c r="AHD40" s="58"/>
      <c r="AHE40" s="56"/>
      <c r="AHF40" s="57"/>
      <c r="AHG40" s="57"/>
      <c r="AHH40" s="57"/>
      <c r="AHI40" s="56"/>
      <c r="AHJ40" s="57"/>
      <c r="AHK40" s="57"/>
      <c r="AHL40" s="56"/>
      <c r="AHM40" s="57"/>
      <c r="AHN40" s="58"/>
      <c r="AHO40" s="56"/>
      <c r="AHP40" s="57"/>
      <c r="AHQ40" s="57"/>
      <c r="AHR40" s="57"/>
      <c r="AHS40" s="56"/>
      <c r="AHT40" s="57"/>
      <c r="AHU40" s="57"/>
      <c r="AHV40" s="56"/>
      <c r="AHW40" s="57"/>
      <c r="AHX40" s="58"/>
      <c r="AHY40" s="56"/>
      <c r="AHZ40" s="57"/>
      <c r="AIA40" s="57"/>
      <c r="AIB40" s="57"/>
      <c r="AIC40" s="56"/>
      <c r="AID40" s="57"/>
      <c r="AIE40" s="57"/>
      <c r="AIF40" s="56"/>
      <c r="AIG40" s="57"/>
      <c r="AIH40" s="58"/>
      <c r="AII40" s="56"/>
      <c r="AIJ40" s="57"/>
      <c r="AIK40" s="57"/>
      <c r="AIL40" s="57"/>
      <c r="AIM40" s="56"/>
      <c r="AIN40" s="57"/>
      <c r="AIO40" s="57"/>
      <c r="AIP40" s="56"/>
      <c r="AIQ40" s="57"/>
      <c r="AIR40" s="58"/>
      <c r="AIS40" s="56"/>
      <c r="AIT40" s="57"/>
      <c r="AIU40" s="57"/>
      <c r="AIV40" s="57"/>
      <c r="AIW40" s="56"/>
      <c r="AIX40" s="57"/>
      <c r="AIY40" s="57"/>
      <c r="AIZ40" s="56"/>
      <c r="AJA40" s="57"/>
      <c r="AJB40" s="58"/>
      <c r="AJC40" s="56"/>
      <c r="AJD40" s="57"/>
      <c r="AJE40" s="57"/>
      <c r="AJF40" s="57"/>
      <c r="AJG40" s="56"/>
      <c r="AJH40" s="57"/>
      <c r="AJI40" s="57"/>
      <c r="AJJ40" s="56"/>
      <c r="AJK40" s="57"/>
      <c r="AJL40" s="58"/>
      <c r="AJM40" s="56"/>
      <c r="AJN40" s="57"/>
      <c r="AJO40" s="57"/>
      <c r="AJP40" s="57"/>
      <c r="AJQ40" s="56"/>
      <c r="AJR40" s="57"/>
      <c r="AJS40" s="57"/>
      <c r="AJT40" s="56"/>
      <c r="AJU40" s="57"/>
      <c r="AJV40" s="58"/>
      <c r="AJW40" s="56"/>
      <c r="AJX40" s="57"/>
      <c r="AJY40" s="57"/>
      <c r="AJZ40" s="57"/>
      <c r="AKA40" s="56"/>
      <c r="AKB40" s="57"/>
      <c r="AKC40" s="57"/>
      <c r="AKD40" s="56"/>
      <c r="AKE40" s="57"/>
      <c r="AKF40" s="58"/>
      <c r="AKG40" s="56"/>
      <c r="AKH40" s="57"/>
      <c r="AKI40" s="57"/>
      <c r="AKJ40" s="57"/>
      <c r="AKK40" s="56"/>
      <c r="AKL40" s="57"/>
      <c r="AKM40" s="57"/>
      <c r="AKN40" s="56"/>
      <c r="AKO40" s="57"/>
      <c r="AKP40" s="58"/>
      <c r="AKQ40" s="56"/>
      <c r="AKR40" s="57"/>
      <c r="AKS40" s="57"/>
      <c r="AKT40" s="57"/>
      <c r="AKU40" s="56"/>
      <c r="AKV40" s="57"/>
      <c r="AKW40" s="57"/>
      <c r="AKX40" s="56"/>
      <c r="AKY40" s="57"/>
      <c r="AKZ40" s="58"/>
      <c r="ALA40" s="56"/>
      <c r="ALB40" s="57"/>
      <c r="ALC40" s="57"/>
      <c r="ALD40" s="57"/>
      <c r="ALE40" s="56"/>
      <c r="ALF40" s="57"/>
      <c r="ALG40" s="57"/>
      <c r="ALH40" s="57"/>
      <c r="ALI40" s="57"/>
      <c r="ALJ40" s="57"/>
      <c r="ALK40" s="56"/>
      <c r="ALL40" s="57"/>
      <c r="ALM40" s="57"/>
      <c r="ALN40" s="56"/>
      <c r="ALO40" s="57"/>
      <c r="ALP40" s="58"/>
      <c r="ALQ40" s="56"/>
      <c r="ALR40" s="57"/>
      <c r="ALS40" s="57"/>
      <c r="ALT40" s="57"/>
      <c r="ALU40" s="56"/>
      <c r="ALV40" s="57"/>
      <c r="ALW40" s="57"/>
      <c r="ALX40" s="56"/>
      <c r="ALY40" s="57"/>
      <c r="ALZ40" s="58"/>
      <c r="AMA40" s="56"/>
      <c r="AMB40" s="57"/>
      <c r="AMC40" s="57"/>
      <c r="AMD40" s="57"/>
      <c r="AME40" s="56"/>
      <c r="AMF40" s="57"/>
      <c r="AMG40" s="57"/>
      <c r="AMH40" s="57"/>
      <c r="AMI40" s="57"/>
      <c r="AMJ40" s="57"/>
      <c r="AMK40" s="56"/>
      <c r="AML40" s="57"/>
      <c r="AMM40" s="57"/>
      <c r="AMN40" s="56"/>
      <c r="AMO40" s="57"/>
      <c r="AMP40" s="58"/>
      <c r="AMQ40" s="56"/>
      <c r="AMR40" s="57"/>
      <c r="AMS40" s="57"/>
      <c r="AMT40" s="57"/>
      <c r="AMU40" s="56"/>
      <c r="AMV40" s="57"/>
      <c r="AMW40" s="57"/>
      <c r="AMX40" s="56"/>
      <c r="AMY40" s="57"/>
      <c r="AMZ40" s="58"/>
      <c r="ANA40" s="56"/>
      <c r="ANB40" s="57"/>
      <c r="ANC40" s="57"/>
      <c r="AND40" s="57"/>
      <c r="ANE40" s="56"/>
      <c r="ANF40" s="57"/>
      <c r="ANG40" s="57"/>
      <c r="ANH40" s="57"/>
      <c r="ANI40" s="57"/>
      <c r="ANJ40" s="57"/>
      <c r="ANK40" s="56"/>
      <c r="ANL40" s="57"/>
      <c r="ANM40" s="57"/>
      <c r="ANN40" s="56"/>
      <c r="ANO40" s="57"/>
      <c r="ANP40" s="58"/>
      <c r="ANQ40" s="56"/>
      <c r="ANR40" s="57"/>
      <c r="ANS40" s="57"/>
      <c r="ANT40" s="57"/>
      <c r="ANU40" s="56"/>
      <c r="ANV40" s="57"/>
      <c r="ANW40" s="57"/>
      <c r="ANX40" s="56"/>
      <c r="ANY40" s="57"/>
      <c r="ANZ40" s="58"/>
      <c r="AOA40" s="56"/>
      <c r="AOB40" s="57"/>
      <c r="AOC40" s="57"/>
      <c r="AOD40" s="57"/>
      <c r="AOE40" s="56"/>
      <c r="AOF40" s="57"/>
      <c r="AOG40" s="57"/>
      <c r="AOH40" s="57"/>
      <c r="AOI40" s="57"/>
      <c r="AOJ40" s="57"/>
      <c r="AOK40" s="56"/>
      <c r="AOL40" s="57"/>
      <c r="AOM40" s="57"/>
      <c r="AON40" s="56"/>
      <c r="AOO40" s="57"/>
      <c r="AOP40" s="58"/>
      <c r="AOQ40" s="56"/>
      <c r="AOR40" s="57"/>
      <c r="AOS40" s="57"/>
      <c r="AOT40" s="57"/>
      <c r="AOU40" s="56"/>
      <c r="AOV40" s="57"/>
      <c r="AOW40" s="57"/>
      <c r="AOX40" s="56"/>
      <c r="AOY40" s="57"/>
      <c r="AOZ40" s="58"/>
      <c r="APA40" s="56"/>
      <c r="APB40" s="57"/>
      <c r="APC40" s="57"/>
      <c r="APD40" s="57"/>
      <c r="APE40" s="56"/>
      <c r="APF40" s="57"/>
      <c r="APG40" s="57"/>
      <c r="APH40" s="57"/>
      <c r="API40" s="57"/>
      <c r="APJ40" s="57"/>
      <c r="APK40" s="56"/>
      <c r="APL40" s="57"/>
      <c r="APM40" s="57"/>
      <c r="APN40" s="56"/>
      <c r="APO40" s="57"/>
      <c r="APP40" s="58"/>
      <c r="APQ40" s="56"/>
      <c r="APR40" s="57"/>
      <c r="APS40" s="57"/>
      <c r="APT40" s="57"/>
      <c r="APU40" s="56"/>
      <c r="APV40" s="57"/>
      <c r="APW40" s="57"/>
      <c r="APX40" s="56"/>
      <c r="APY40" s="57"/>
      <c r="APZ40" s="58"/>
      <c r="AQA40" s="56"/>
      <c r="AQB40" s="57"/>
      <c r="AQC40" s="57"/>
      <c r="AQD40" s="57"/>
      <c r="AQE40" s="56"/>
      <c r="AQF40" s="57"/>
      <c r="AQG40" s="57"/>
      <c r="AQH40" s="57"/>
      <c r="AQI40" s="57"/>
      <c r="AQJ40" s="57"/>
      <c r="AQK40" s="56"/>
      <c r="AQL40" s="57"/>
      <c r="AQM40" s="57"/>
      <c r="AQN40" s="56"/>
      <c r="AQO40" s="57"/>
      <c r="AQP40" s="58"/>
      <c r="AQQ40" s="56"/>
      <c r="AQR40" s="57"/>
      <c r="AQS40" s="57"/>
      <c r="AQT40" s="57"/>
      <c r="AQU40" s="56"/>
      <c r="AQV40" s="57"/>
      <c r="AQW40" s="57"/>
      <c r="AQX40" s="56"/>
      <c r="AQY40" s="57"/>
      <c r="AQZ40" s="58"/>
      <c r="ARA40" s="56"/>
      <c r="ARB40" s="57"/>
      <c r="ARC40" s="57"/>
      <c r="ARD40" s="57"/>
      <c r="ARE40" s="56"/>
      <c r="ARF40" s="57"/>
      <c r="ARG40" s="57"/>
      <c r="ARH40" s="57"/>
      <c r="ARI40" s="57"/>
      <c r="ARJ40" s="57"/>
      <c r="ARK40" s="56"/>
      <c r="ARL40" s="57"/>
      <c r="ARM40" s="57"/>
      <c r="ARN40" s="56"/>
      <c r="ARO40" s="57"/>
      <c r="ARP40" s="58"/>
      <c r="ARQ40" s="56"/>
      <c r="ARR40" s="57"/>
      <c r="ARS40" s="57"/>
      <c r="ART40" s="57"/>
      <c r="ARU40" s="56"/>
      <c r="ARV40" s="57"/>
      <c r="ARW40" s="57"/>
      <c r="ARX40" s="56"/>
      <c r="ARY40" s="57"/>
      <c r="ARZ40" s="58"/>
      <c r="ASA40" s="56"/>
      <c r="ASB40" s="57"/>
      <c r="ASC40" s="57"/>
      <c r="ASD40" s="57"/>
      <c r="ASE40" s="56"/>
      <c r="ASF40" s="57"/>
      <c r="ASG40" s="57"/>
      <c r="ASH40" s="57"/>
      <c r="ASI40" s="57"/>
      <c r="ASJ40" s="57"/>
      <c r="ASK40" s="56"/>
      <c r="ASL40" s="57"/>
      <c r="ASM40" s="57"/>
      <c r="ASN40" s="56"/>
      <c r="ASO40" s="57"/>
      <c r="ASP40" s="58"/>
      <c r="ASQ40" s="56"/>
      <c r="ASR40" s="57"/>
      <c r="ASS40" s="57"/>
      <c r="AST40" s="57"/>
      <c r="ASU40" s="56"/>
      <c r="ASV40" s="57"/>
      <c r="ASW40" s="57"/>
      <c r="ASX40" s="56"/>
      <c r="ASY40" s="57"/>
      <c r="ASZ40" s="58"/>
      <c r="ATA40" s="56"/>
      <c r="ATB40" s="57"/>
      <c r="ATC40" s="57"/>
      <c r="ATD40" s="57"/>
      <c r="ATE40" s="56"/>
      <c r="ATF40" s="57"/>
      <c r="ATG40" s="57"/>
      <c r="ATH40" s="57"/>
      <c r="ATI40" s="57"/>
      <c r="ATJ40" s="57"/>
      <c r="ATK40" s="56"/>
      <c r="ATL40" s="57"/>
      <c r="ATM40" s="57"/>
      <c r="ATN40" s="56"/>
      <c r="ATO40" s="57"/>
      <c r="ATP40" s="58"/>
      <c r="ATQ40" s="56"/>
      <c r="ATR40" s="57"/>
      <c r="ATS40" s="57"/>
      <c r="ATT40" s="57"/>
      <c r="ATU40" s="56"/>
      <c r="ATV40" s="57"/>
      <c r="ATW40" s="57"/>
      <c r="ATX40" s="56"/>
      <c r="ATY40" s="57"/>
      <c r="ATZ40" s="58"/>
      <c r="AUA40" s="56"/>
      <c r="AUB40" s="57"/>
      <c r="AUC40" s="57"/>
      <c r="AUD40" s="57"/>
      <c r="AUE40" s="56"/>
      <c r="AUF40" s="57"/>
      <c r="AUG40" s="57"/>
      <c r="AUH40" s="57"/>
      <c r="AUI40" s="57"/>
      <c r="AUJ40" s="57"/>
      <c r="AUK40" s="56"/>
      <c r="AUL40" s="57"/>
      <c r="AUM40" s="57"/>
      <c r="AUN40" s="56"/>
      <c r="AUO40" s="57"/>
      <c r="AUP40" s="58"/>
      <c r="AUQ40" s="56"/>
      <c r="AUR40" s="57"/>
      <c r="AUS40" s="57"/>
      <c r="AUT40" s="57"/>
      <c r="AUU40" s="56"/>
      <c r="AUV40" s="57"/>
      <c r="AUW40" s="57"/>
      <c r="AUX40" s="56"/>
      <c r="AUY40" s="57"/>
      <c r="AUZ40" s="58"/>
      <c r="AVA40" s="56"/>
      <c r="AVB40" s="57"/>
      <c r="AVC40" s="57"/>
      <c r="AVD40" s="57"/>
      <c r="AVE40" s="56"/>
      <c r="AVF40" s="57"/>
      <c r="AVG40" s="57"/>
      <c r="AVH40" s="57"/>
      <c r="AVI40" s="57"/>
      <c r="AVJ40" s="57"/>
      <c r="AVK40" s="56"/>
      <c r="AVL40" s="57"/>
      <c r="AVM40" s="57"/>
      <c r="AVN40" s="56"/>
      <c r="AVO40" s="57"/>
      <c r="AVP40" s="58"/>
      <c r="AVQ40" s="56"/>
      <c r="AVR40" s="57"/>
      <c r="AVS40" s="57"/>
      <c r="AVT40" s="57"/>
      <c r="AVU40" s="56"/>
      <c r="AVV40" s="57"/>
      <c r="AVW40" s="57"/>
      <c r="AVX40" s="56"/>
      <c r="AVY40" s="57"/>
      <c r="AVZ40" s="58"/>
      <c r="AWA40" s="56"/>
      <c r="AWB40" s="57"/>
      <c r="AWC40" s="57"/>
      <c r="AWD40" s="57"/>
      <c r="AWE40" s="56"/>
      <c r="AWF40" s="57"/>
      <c r="AWG40" s="57"/>
      <c r="AWH40" s="57"/>
      <c r="AWI40" s="57"/>
      <c r="AWJ40" s="57"/>
      <c r="AWK40" s="56"/>
      <c r="AWL40" s="57"/>
      <c r="AWM40" s="57"/>
      <c r="AWN40" s="56"/>
      <c r="AWO40" s="57"/>
      <c r="AWP40" s="58"/>
      <c r="AWQ40" s="56"/>
      <c r="AWR40" s="57"/>
      <c r="AWS40" s="57"/>
      <c r="AWT40" s="57"/>
      <c r="AWU40" s="56"/>
      <c r="AWV40" s="57"/>
      <c r="AWW40" s="57"/>
      <c r="AWX40" s="56"/>
      <c r="AWY40" s="57"/>
      <c r="AWZ40" s="58"/>
      <c r="AXA40" s="56"/>
      <c r="AXB40" s="57"/>
      <c r="AXC40" s="57"/>
      <c r="AXD40" s="57"/>
      <c r="AXE40" s="56"/>
      <c r="AXF40" s="57"/>
      <c r="AXG40" s="57"/>
      <c r="AXH40" s="57"/>
      <c r="AXI40" s="57"/>
      <c r="AXJ40" s="57"/>
      <c r="AXK40" s="56"/>
      <c r="AXL40" s="57"/>
      <c r="AXM40" s="57"/>
      <c r="AXN40" s="56"/>
      <c r="AXO40" s="57"/>
      <c r="AXP40" s="58"/>
      <c r="AXQ40" s="56"/>
      <c r="AXR40" s="57"/>
      <c r="AXS40" s="57"/>
      <c r="AXT40" s="57"/>
      <c r="AXU40" s="56"/>
      <c r="AXV40" s="57"/>
      <c r="AXW40" s="57"/>
      <c r="AXX40" s="56"/>
      <c r="AXY40" s="57"/>
      <c r="AXZ40" s="58"/>
      <c r="AYA40" s="56"/>
      <c r="AYB40" s="57"/>
      <c r="AYC40" s="57"/>
      <c r="AYD40" s="57"/>
      <c r="AYE40" s="56"/>
      <c r="AYF40" s="57"/>
      <c r="AYG40" s="57"/>
      <c r="AYH40" s="57"/>
      <c r="AYI40" s="57"/>
      <c r="AYJ40" s="57"/>
      <c r="AYK40" s="56"/>
      <c r="AYL40" s="57"/>
      <c r="AYM40" s="57"/>
      <c r="AYN40" s="56"/>
      <c r="AYO40" s="57"/>
      <c r="AYP40" s="58"/>
      <c r="AYQ40" s="56"/>
      <c r="AYR40" s="57"/>
      <c r="AYS40" s="57"/>
      <c r="AYT40" s="57"/>
      <c r="AYU40" s="56"/>
      <c r="AYV40" s="57"/>
      <c r="AYW40" s="57"/>
      <c r="AYX40" s="56"/>
      <c r="AYY40" s="57"/>
      <c r="AYZ40" s="58"/>
      <c r="AZA40" s="56"/>
      <c r="AZB40" s="57"/>
      <c r="AZC40" s="57"/>
      <c r="AZD40" s="57"/>
      <c r="AZE40" s="56"/>
      <c r="AZF40" s="57"/>
      <c r="AZG40" s="57"/>
      <c r="AZH40" s="57"/>
      <c r="AZI40" s="57"/>
      <c r="AZJ40" s="57"/>
      <c r="AZK40" s="56"/>
      <c r="AZL40" s="57"/>
      <c r="AZM40" s="57"/>
      <c r="AZN40" s="56"/>
      <c r="AZO40" s="57"/>
      <c r="AZP40" s="58"/>
      <c r="AZQ40" s="56"/>
      <c r="AZR40" s="57"/>
      <c r="AZS40" s="57"/>
      <c r="AZT40" s="57"/>
      <c r="AZU40" s="56"/>
      <c r="AZV40" s="57"/>
      <c r="AZW40" s="57"/>
      <c r="AZX40" s="56"/>
      <c r="AZY40" s="57"/>
      <c r="AZZ40" s="58"/>
      <c r="BAA40" s="56"/>
      <c r="BAB40" s="57"/>
      <c r="BAC40" s="57"/>
      <c r="BAD40" s="57"/>
      <c r="BAE40" s="56"/>
      <c r="BAF40" s="57"/>
      <c r="BAG40" s="57"/>
      <c r="BAH40" s="57"/>
      <c r="BAI40" s="57"/>
      <c r="BAJ40" s="57"/>
      <c r="BAK40" s="56"/>
      <c r="BAL40" s="57"/>
      <c r="BAM40" s="57"/>
      <c r="BAN40" s="56"/>
      <c r="BAO40" s="57"/>
      <c r="BAP40" s="58"/>
      <c r="BAQ40" s="56"/>
      <c r="BAR40" s="57"/>
      <c r="BAS40" s="57"/>
      <c r="BAT40" s="57"/>
      <c r="BAU40" s="56"/>
      <c r="BAV40" s="57"/>
      <c r="BAW40" s="57"/>
      <c r="BAX40" s="56"/>
      <c r="BAY40" s="57"/>
      <c r="BAZ40" s="58"/>
      <c r="BBA40" s="56"/>
      <c r="BBB40" s="57"/>
      <c r="BBC40" s="57"/>
      <c r="BBD40" s="57"/>
      <c r="BBE40" s="56"/>
      <c r="BBF40" s="57"/>
      <c r="BBG40" s="57"/>
      <c r="BBH40" s="57"/>
      <c r="BBI40" s="57"/>
      <c r="BBJ40" s="57"/>
      <c r="BBK40" s="56"/>
      <c r="BBL40" s="57"/>
      <c r="BBM40" s="57"/>
      <c r="BBN40" s="56"/>
      <c r="BBO40" s="57"/>
      <c r="BBP40" s="58"/>
      <c r="BBQ40" s="56"/>
      <c r="BBR40" s="57"/>
      <c r="BBS40" s="57"/>
      <c r="BBT40" s="57"/>
      <c r="BBU40" s="56"/>
      <c r="BBV40" s="57"/>
      <c r="BBW40" s="57"/>
      <c r="BBX40" s="56"/>
      <c r="BBY40" s="57"/>
      <c r="BBZ40" s="58"/>
      <c r="BCA40" s="56"/>
      <c r="BCB40" s="57"/>
      <c r="BCC40" s="57"/>
      <c r="BCD40" s="57"/>
      <c r="BCE40" s="56"/>
      <c r="BCF40" s="57"/>
      <c r="BCG40" s="57"/>
      <c r="BCH40" s="57"/>
      <c r="BCI40" s="57"/>
      <c r="BCJ40" s="57"/>
      <c r="BCK40" s="56"/>
      <c r="BCL40" s="57"/>
      <c r="BCM40" s="57"/>
      <c r="BCN40" s="56"/>
      <c r="BCO40" s="57"/>
      <c r="BCP40" s="58"/>
      <c r="BCQ40" s="56"/>
      <c r="BCR40" s="57"/>
      <c r="BCS40" s="57"/>
      <c r="BCT40" s="57"/>
      <c r="BCU40" s="56"/>
      <c r="BCV40" s="57"/>
      <c r="BCW40" s="57"/>
      <c r="BCX40" s="56"/>
      <c r="BCY40" s="57"/>
      <c r="BCZ40" s="58"/>
      <c r="BDA40" s="56"/>
      <c r="BDB40" s="57"/>
      <c r="BDC40" s="57"/>
      <c r="BDD40" s="57"/>
      <c r="BDE40" s="56"/>
      <c r="BDF40" s="57"/>
      <c r="BDG40" s="57"/>
      <c r="BDH40" s="57"/>
      <c r="BDI40" s="57"/>
      <c r="BDJ40" s="57"/>
      <c r="BDK40" s="56"/>
      <c r="BDL40" s="57"/>
      <c r="BDM40" s="57"/>
      <c r="BDN40" s="56"/>
      <c r="BDO40" s="57"/>
      <c r="BDP40" s="58"/>
      <c r="BDQ40" s="56"/>
      <c r="BDR40" s="57"/>
      <c r="BDS40" s="57"/>
      <c r="BDT40" s="57"/>
      <c r="BDU40" s="56"/>
      <c r="BDV40" s="57"/>
      <c r="BDW40" s="57"/>
      <c r="BDX40" s="56"/>
      <c r="BDY40" s="57"/>
      <c r="BDZ40" s="58"/>
      <c r="BEA40" s="56"/>
      <c r="BEB40" s="57"/>
      <c r="BEC40" s="57"/>
      <c r="BED40" s="57"/>
      <c r="BEE40" s="56"/>
      <c r="BEF40" s="57"/>
      <c r="BEG40" s="57"/>
      <c r="BEH40" s="57"/>
      <c r="BEI40" s="57"/>
      <c r="BEJ40" s="57"/>
      <c r="BEK40" s="56"/>
      <c r="BEL40" s="57"/>
      <c r="BEM40" s="57"/>
      <c r="BEN40" s="56"/>
      <c r="BEO40" s="57"/>
      <c r="BEP40" s="58"/>
      <c r="BEQ40" s="56"/>
      <c r="BER40" s="57"/>
      <c r="BES40" s="57"/>
      <c r="BET40" s="57"/>
      <c r="BEU40" s="56"/>
      <c r="BEV40" s="57"/>
      <c r="BEW40" s="57"/>
      <c r="BEX40" s="56"/>
      <c r="BEY40" s="57"/>
      <c r="BEZ40" s="58"/>
      <c r="BFA40" s="56"/>
      <c r="BFB40" s="57"/>
      <c r="BFC40" s="57"/>
      <c r="BFD40" s="57"/>
      <c r="BFE40" s="56"/>
      <c r="BFF40" s="57"/>
      <c r="BFG40" s="57"/>
      <c r="BFH40" s="57"/>
      <c r="BFI40" s="57"/>
      <c r="BFJ40" s="57"/>
      <c r="BFK40" s="56"/>
      <c r="BFL40" s="57"/>
      <c r="BFM40" s="57"/>
      <c r="BFN40" s="56"/>
      <c r="BFO40" s="57"/>
      <c r="BFP40" s="58"/>
      <c r="BFQ40" s="56"/>
      <c r="BFR40" s="57"/>
      <c r="BFS40" s="57"/>
      <c r="BFT40" s="57"/>
      <c r="BFU40" s="56"/>
      <c r="BFV40" s="57"/>
      <c r="BFW40" s="57"/>
      <c r="BFX40" s="56"/>
      <c r="BFY40" s="57"/>
      <c r="BFZ40" s="58"/>
      <c r="BGA40" s="56"/>
      <c r="BGB40" s="57"/>
      <c r="BGC40" s="57"/>
      <c r="BGD40" s="57"/>
      <c r="BGE40" s="56"/>
      <c r="BGF40" s="57"/>
      <c r="BGG40" s="57"/>
      <c r="BGH40" s="57"/>
      <c r="BGI40" s="57"/>
      <c r="BGJ40" s="57"/>
      <c r="BGK40" s="56"/>
      <c r="BGL40" s="57"/>
      <c r="BGM40" s="57"/>
      <c r="BGN40" s="56"/>
      <c r="BGO40" s="57"/>
      <c r="BGP40" s="58"/>
      <c r="BGQ40" s="56"/>
      <c r="BGR40" s="57"/>
      <c r="BGS40" s="57"/>
      <c r="BGT40" s="57"/>
      <c r="BGU40" s="56"/>
      <c r="BGV40" s="57"/>
      <c r="BGW40" s="57"/>
      <c r="BGX40" s="56"/>
      <c r="BGY40" s="57"/>
      <c r="BGZ40" s="58"/>
      <c r="BHA40" s="56"/>
      <c r="BHB40" s="57"/>
      <c r="BHC40" s="57"/>
      <c r="BHD40" s="57"/>
      <c r="BHE40" s="56"/>
      <c r="BHF40" s="57"/>
      <c r="BHG40" s="57"/>
      <c r="BHH40" s="57"/>
      <c r="BHI40" s="57"/>
      <c r="BHJ40" s="57"/>
      <c r="BHK40" s="56"/>
      <c r="BHL40" s="57"/>
      <c r="BHM40" s="57"/>
      <c r="BHN40" s="56"/>
      <c r="BHO40" s="57"/>
      <c r="BHP40" s="58"/>
      <c r="BHQ40" s="56"/>
      <c r="BHR40" s="57"/>
      <c r="BHS40" s="57"/>
      <c r="BHT40" s="57"/>
      <c r="BHU40" s="56"/>
      <c r="BHV40" s="57"/>
      <c r="BHW40" s="57"/>
      <c r="BHX40" s="56"/>
      <c r="BHY40" s="57"/>
      <c r="BHZ40" s="58"/>
      <c r="BIA40" s="56"/>
      <c r="BIB40" s="57"/>
      <c r="BIC40" s="57"/>
      <c r="BID40" s="57"/>
      <c r="BIE40" s="56"/>
      <c r="BIF40" s="57"/>
      <c r="BIG40" s="57"/>
      <c r="BIH40" s="57"/>
      <c r="BII40" s="57"/>
      <c r="BIJ40" s="57"/>
      <c r="BIK40" s="56"/>
      <c r="BIL40" s="57"/>
      <c r="BIM40" s="57"/>
      <c r="BIN40" s="56"/>
      <c r="BIO40" s="57"/>
      <c r="BIP40" s="58"/>
      <c r="BIQ40" s="56"/>
      <c r="BIR40" s="57"/>
      <c r="BIS40" s="57"/>
      <c r="BIT40" s="57"/>
      <c r="BIU40" s="56"/>
      <c r="BIV40" s="57"/>
      <c r="BIW40" s="57"/>
      <c r="BIX40" s="56"/>
      <c r="BIY40" s="57"/>
      <c r="BIZ40" s="58"/>
      <c r="BJA40" s="56"/>
      <c r="BJB40" s="57"/>
      <c r="BJC40" s="57"/>
      <c r="BJD40" s="57"/>
      <c r="BJE40" s="56"/>
      <c r="BJF40" s="57"/>
      <c r="BJG40" s="57"/>
      <c r="BJH40" s="57"/>
      <c r="BJI40" s="57"/>
      <c r="BJJ40" s="57"/>
      <c r="BJK40" s="56"/>
      <c r="BJL40" s="57"/>
      <c r="BJM40" s="57"/>
      <c r="BJN40" s="56"/>
      <c r="BJO40" s="57"/>
      <c r="BJP40" s="58"/>
      <c r="BJQ40" s="56"/>
      <c r="BJR40" s="57"/>
      <c r="BJS40" s="57"/>
      <c r="BJT40" s="57"/>
      <c r="BJU40" s="56"/>
      <c r="BJV40" s="57"/>
      <c r="BJW40" s="57"/>
      <c r="BJX40" s="56"/>
      <c r="BJY40" s="57"/>
      <c r="BJZ40" s="58"/>
      <c r="BKA40" s="56"/>
      <c r="BKB40" s="57"/>
      <c r="BKC40" s="57"/>
      <c r="BKD40" s="57"/>
      <c r="BKE40" s="56"/>
      <c r="BKF40" s="57"/>
      <c r="BKG40" s="57"/>
      <c r="BKH40" s="57"/>
      <c r="BKI40" s="57"/>
      <c r="BKJ40" s="57"/>
      <c r="BKK40" s="56"/>
      <c r="BKL40" s="57"/>
      <c r="BKM40" s="57"/>
      <c r="BKN40" s="56"/>
      <c r="BKO40" s="57"/>
      <c r="BKP40" s="58"/>
      <c r="BKQ40" s="56"/>
      <c r="BKR40" s="57"/>
      <c r="BKS40" s="57"/>
      <c r="BKT40" s="57"/>
      <c r="BKU40" s="56"/>
      <c r="BKV40" s="57"/>
      <c r="BKW40" s="57"/>
      <c r="BKX40" s="56"/>
      <c r="BKY40" s="57"/>
      <c r="BKZ40" s="58"/>
      <c r="BLA40" s="56"/>
      <c r="BLB40" s="57"/>
      <c r="BLC40" s="57"/>
      <c r="BLD40" s="57"/>
      <c r="BLE40" s="56"/>
      <c r="BLF40" s="57"/>
      <c r="BLG40" s="57"/>
      <c r="BLH40" s="57"/>
      <c r="BLI40" s="57"/>
      <c r="BLJ40" s="57"/>
      <c r="BLK40" s="56"/>
      <c r="BLL40" s="57"/>
      <c r="BLM40" s="57"/>
      <c r="BLN40" s="56"/>
      <c r="BLO40" s="57"/>
      <c r="BLP40" s="58"/>
      <c r="BLQ40" s="56"/>
      <c r="BLR40" s="57"/>
      <c r="BLS40" s="57"/>
      <c r="BLT40" s="57"/>
      <c r="BLU40" s="56"/>
      <c r="BLV40" s="57"/>
      <c r="BLW40" s="57"/>
      <c r="BLX40" s="56"/>
      <c r="BLY40" s="57"/>
      <c r="BLZ40" s="58"/>
      <c r="BMA40" s="56"/>
      <c r="BMB40" s="57"/>
      <c r="BMC40" s="57"/>
      <c r="BMD40" s="57"/>
      <c r="BME40" s="56"/>
      <c r="BMF40" s="57"/>
      <c r="BMG40" s="57"/>
      <c r="BMH40" s="57"/>
      <c r="BMI40" s="57"/>
      <c r="BMJ40" s="57"/>
      <c r="BMK40" s="56"/>
      <c r="BML40" s="57"/>
      <c r="BMM40" s="57"/>
      <c r="BMN40" s="56"/>
      <c r="BMO40" s="57"/>
      <c r="BMP40" s="58"/>
      <c r="BMQ40" s="56"/>
      <c r="BMR40" s="57"/>
      <c r="BMS40" s="57"/>
      <c r="BMT40" s="57"/>
      <c r="BMU40" s="56"/>
      <c r="BMV40" s="57"/>
      <c r="BMW40" s="57"/>
      <c r="BMX40" s="56"/>
      <c r="BMY40" s="57"/>
      <c r="BMZ40" s="58"/>
      <c r="BNA40" s="56"/>
      <c r="BNB40" s="57"/>
      <c r="BNC40" s="57"/>
      <c r="BND40" s="57"/>
      <c r="BNE40" s="56"/>
      <c r="BNF40" s="57"/>
      <c r="BNG40" s="57"/>
      <c r="BNH40" s="57"/>
      <c r="BNI40" s="57"/>
      <c r="BNJ40" s="57"/>
      <c r="BNK40" s="56"/>
      <c r="BNL40" s="57"/>
      <c r="BNM40" s="57"/>
      <c r="BNN40" s="56"/>
      <c r="BNO40" s="57"/>
      <c r="BNP40" s="58"/>
      <c r="BNQ40" s="56"/>
      <c r="BNR40" s="57"/>
      <c r="BNS40" s="57"/>
      <c r="BNT40" s="57"/>
      <c r="BNU40" s="56"/>
      <c r="BNV40" s="57"/>
      <c r="BNW40" s="57"/>
      <c r="BNX40" s="56"/>
      <c r="BNY40" s="57"/>
      <c r="BNZ40" s="58"/>
      <c r="BOA40" s="56"/>
      <c r="BOB40" s="57"/>
      <c r="BOC40" s="57"/>
      <c r="BOD40" s="57"/>
      <c r="BOE40" s="56"/>
      <c r="BOF40" s="57"/>
      <c r="BOG40" s="57"/>
      <c r="BOH40" s="57"/>
      <c r="BOI40" s="57"/>
      <c r="BOJ40" s="57"/>
      <c r="BOK40" s="56"/>
      <c r="BOL40" s="57"/>
      <c r="BOM40" s="57"/>
      <c r="BON40" s="56"/>
      <c r="BOO40" s="57"/>
      <c r="BOP40" s="58"/>
      <c r="BOQ40" s="56"/>
      <c r="BOR40" s="57"/>
      <c r="BOS40" s="57"/>
      <c r="BOT40" s="57"/>
      <c r="BOU40" s="56"/>
      <c r="BOV40" s="57"/>
      <c r="BOW40" s="57"/>
      <c r="BOX40" s="56"/>
      <c r="BOY40" s="57"/>
      <c r="BOZ40" s="58"/>
      <c r="BPA40" s="56"/>
      <c r="BPB40" s="57"/>
      <c r="BPC40" s="57"/>
      <c r="BPD40" s="57"/>
      <c r="BPE40" s="56"/>
      <c r="BPF40" s="57"/>
      <c r="BPG40" s="57"/>
      <c r="BPH40" s="57"/>
      <c r="BPI40" s="57"/>
      <c r="BPJ40" s="57"/>
      <c r="BPK40" s="56"/>
      <c r="BPL40" s="57"/>
      <c r="BPM40" s="57"/>
      <c r="BPN40" s="56"/>
      <c r="BPO40" s="57"/>
      <c r="BPP40" s="58"/>
      <c r="BPQ40" s="56"/>
      <c r="BPR40" s="57"/>
      <c r="BPS40" s="57"/>
      <c r="BPT40" s="57"/>
      <c r="BPU40" s="56"/>
      <c r="BPV40" s="57"/>
      <c r="BPW40" s="57"/>
      <c r="BPX40" s="56"/>
      <c r="BPY40" s="57"/>
      <c r="BPZ40" s="58"/>
      <c r="BQA40" s="56"/>
      <c r="BQB40" s="57"/>
      <c r="BQC40" s="57"/>
      <c r="BQD40" s="57"/>
      <c r="BQE40" s="56"/>
      <c r="BQF40" s="57"/>
      <c r="BQG40" s="57"/>
      <c r="BQH40" s="57"/>
      <c r="BQI40" s="57"/>
      <c r="BQJ40" s="57"/>
      <c r="BQK40" s="56"/>
      <c r="BQL40" s="57"/>
      <c r="BQM40" s="57"/>
      <c r="BQN40" s="56"/>
      <c r="BQO40" s="57"/>
      <c r="BQP40" s="58"/>
      <c r="BQQ40" s="56"/>
      <c r="BQR40" s="57"/>
      <c r="BQS40" s="57"/>
      <c r="BQT40" s="57"/>
      <c r="BQU40" s="56"/>
      <c r="BQV40" s="57"/>
      <c r="BQW40" s="57"/>
      <c r="BQX40" s="56"/>
      <c r="BQY40" s="57"/>
      <c r="BQZ40" s="58"/>
      <c r="BRA40" s="56"/>
      <c r="BRB40" s="57"/>
      <c r="BRC40" s="57"/>
      <c r="BRD40" s="57"/>
      <c r="BRE40" s="56"/>
      <c r="BRF40" s="57"/>
      <c r="BRG40" s="57"/>
      <c r="BRH40" s="57"/>
      <c r="BRI40" s="57"/>
      <c r="BRJ40" s="57"/>
      <c r="BRK40" s="56"/>
      <c r="BRL40" s="57"/>
      <c r="BRM40" s="57"/>
      <c r="BRN40" s="56"/>
      <c r="BRO40" s="57"/>
      <c r="BRP40" s="58"/>
      <c r="BRQ40" s="56"/>
      <c r="BRR40" s="57"/>
      <c r="BRS40" s="57"/>
      <c r="BRT40" s="57"/>
      <c r="BRU40" s="56"/>
      <c r="BRV40" s="57"/>
      <c r="BRW40" s="57"/>
      <c r="BRX40" s="56"/>
      <c r="BRY40" s="57"/>
      <c r="BRZ40" s="58"/>
      <c r="BSA40" s="56"/>
      <c r="BSB40" s="57"/>
      <c r="BSC40" s="57"/>
      <c r="BSD40" s="57"/>
      <c r="BSE40" s="56"/>
      <c r="BSF40" s="57"/>
      <c r="BSG40" s="57"/>
      <c r="BSH40" s="57"/>
      <c r="BSI40" s="57"/>
      <c r="BSJ40" s="57"/>
      <c r="BSK40" s="56"/>
      <c r="BSL40" s="57"/>
      <c r="BSM40" s="57"/>
      <c r="BSN40" s="56"/>
      <c r="BSO40" s="57"/>
      <c r="BSP40" s="58"/>
      <c r="BSQ40" s="56"/>
      <c r="BSR40" s="57"/>
      <c r="BSS40" s="57"/>
      <c r="BST40" s="57"/>
      <c r="BSU40" s="56"/>
      <c r="BSV40" s="57"/>
      <c r="BSW40" s="57"/>
      <c r="BSX40" s="56"/>
      <c r="BSY40" s="57"/>
      <c r="BSZ40" s="58"/>
      <c r="BTA40" s="56"/>
      <c r="BTB40" s="57"/>
      <c r="BTC40" s="57"/>
      <c r="BTD40" s="57"/>
      <c r="BTE40" s="56"/>
      <c r="BTF40" s="57"/>
      <c r="BTG40" s="57"/>
      <c r="BTH40" s="57"/>
      <c r="BTI40" s="57"/>
      <c r="BTJ40" s="57"/>
      <c r="BTK40" s="56"/>
      <c r="BTL40" s="57"/>
      <c r="BTM40" s="57"/>
      <c r="BTN40" s="56"/>
      <c r="BTO40" s="57"/>
      <c r="BTP40" s="58"/>
      <c r="BTQ40" s="56"/>
      <c r="BTR40" s="57"/>
      <c r="BTS40" s="57"/>
      <c r="BTT40" s="57"/>
      <c r="BTU40" s="56"/>
      <c r="BTV40" s="57"/>
      <c r="BTW40" s="57"/>
      <c r="BTX40" s="56"/>
      <c r="BTY40" s="57"/>
      <c r="BTZ40" s="58"/>
      <c r="BUA40" s="56"/>
      <c r="BUB40" s="57"/>
      <c r="BUC40" s="57"/>
      <c r="BUD40" s="57"/>
      <c r="BUE40" s="56"/>
      <c r="BUF40" s="57"/>
      <c r="BUG40" s="57"/>
      <c r="BUH40" s="57"/>
      <c r="BUI40" s="57"/>
      <c r="BUJ40" s="57"/>
      <c r="BUK40" s="56"/>
      <c r="BUL40" s="57"/>
      <c r="BUM40" s="57"/>
      <c r="BUN40" s="56"/>
      <c r="BUO40" s="57"/>
      <c r="BUP40" s="58"/>
      <c r="BUQ40" s="56"/>
      <c r="BUR40" s="57"/>
      <c r="BUS40" s="57"/>
      <c r="BUT40" s="57"/>
      <c r="BUU40" s="56"/>
      <c r="BUV40" s="57"/>
      <c r="BUW40" s="57"/>
      <c r="BUX40" s="56"/>
      <c r="BUY40" s="57"/>
      <c r="BUZ40" s="58"/>
      <c r="BVA40" s="56"/>
      <c r="BVB40" s="57"/>
      <c r="BVC40" s="57"/>
      <c r="BVD40" s="57"/>
      <c r="BVE40" s="56"/>
      <c r="BVF40" s="57"/>
      <c r="BVG40" s="57"/>
      <c r="BVH40" s="57"/>
      <c r="BVI40" s="57"/>
      <c r="BVJ40" s="57"/>
      <c r="BVK40" s="56"/>
      <c r="BVL40" s="57"/>
      <c r="BVM40" s="57"/>
      <c r="BVN40" s="56"/>
      <c r="BVO40" s="57"/>
      <c r="BVP40" s="58"/>
      <c r="BVQ40" s="56"/>
      <c r="BVR40" s="57"/>
      <c r="BVS40" s="57"/>
      <c r="BVT40" s="57"/>
      <c r="BVU40" s="56"/>
      <c r="BVV40" s="57"/>
      <c r="BVW40" s="57"/>
      <c r="BVX40" s="56"/>
      <c r="BVY40" s="57"/>
      <c r="BVZ40" s="58"/>
      <c r="BWA40" s="56"/>
      <c r="BWB40" s="57"/>
      <c r="BWC40" s="57"/>
      <c r="BWD40" s="57"/>
      <c r="BWE40" s="56"/>
      <c r="BWF40" s="57"/>
      <c r="BWG40" s="57"/>
      <c r="BWH40" s="57"/>
      <c r="BWI40" s="57"/>
      <c r="BWJ40" s="57"/>
      <c r="BWK40" s="56"/>
      <c r="BWL40" s="57"/>
      <c r="BWM40" s="57"/>
      <c r="BWN40" s="56"/>
      <c r="BWO40" s="57"/>
      <c r="BWP40" s="58"/>
      <c r="BWQ40" s="56"/>
      <c r="BWR40" s="57"/>
      <c r="BWS40" s="57"/>
      <c r="BWT40" s="57"/>
      <c r="BWU40" s="56"/>
      <c r="BWV40" s="57"/>
      <c r="BWW40" s="57"/>
      <c r="BWX40" s="56"/>
      <c r="BWY40" s="57"/>
      <c r="BWZ40" s="58"/>
      <c r="BXA40" s="56"/>
      <c r="BXB40" s="57"/>
      <c r="BXC40" s="57"/>
      <c r="BXD40" s="57"/>
      <c r="BXE40" s="56"/>
      <c r="BXF40" s="57"/>
      <c r="BXG40" s="57"/>
      <c r="BXH40" s="57"/>
      <c r="BXI40" s="57"/>
      <c r="BXJ40" s="57"/>
      <c r="BXK40" s="56"/>
      <c r="BXL40" s="57"/>
      <c r="BXM40" s="57"/>
      <c r="BXN40" s="56"/>
      <c r="BXO40" s="57"/>
      <c r="BXP40" s="58"/>
      <c r="BXQ40" s="56"/>
      <c r="BXR40" s="57"/>
      <c r="BXS40" s="57"/>
      <c r="BXT40" s="57"/>
      <c r="BXU40" s="56"/>
      <c r="BXV40" s="57"/>
      <c r="BXW40" s="57"/>
      <c r="BXX40" s="56"/>
      <c r="BXY40" s="57"/>
      <c r="BXZ40" s="58"/>
      <c r="BYA40" s="56"/>
      <c r="BYB40" s="57"/>
      <c r="BYC40" s="57"/>
      <c r="BYD40" s="57"/>
      <c r="BYE40" s="56"/>
      <c r="BYF40" s="57"/>
      <c r="BYG40" s="57"/>
      <c r="BYH40" s="57"/>
      <c r="BYI40" s="57"/>
      <c r="BYJ40" s="57"/>
      <c r="BYK40" s="56"/>
      <c r="BYL40" s="57"/>
      <c r="BYM40" s="57"/>
      <c r="BYN40" s="56"/>
      <c r="BYO40" s="57"/>
      <c r="BYP40" s="58"/>
      <c r="BYQ40" s="56"/>
      <c r="BYR40" s="57"/>
      <c r="BYS40" s="57"/>
      <c r="BYT40" s="57"/>
      <c r="BYU40" s="56"/>
      <c r="BYV40" s="57"/>
      <c r="BYW40" s="57"/>
      <c r="BYX40" s="58"/>
      <c r="BYY40" s="57"/>
      <c r="BYZ40" s="56"/>
      <c r="BZA40" s="57"/>
      <c r="BZB40" s="56"/>
      <c r="BZC40" s="56"/>
      <c r="BZD40" s="56"/>
      <c r="BZE40" s="57"/>
      <c r="BZF40" s="57"/>
      <c r="BZG40" s="57"/>
      <c r="BZH40" s="57"/>
      <c r="BZI40" s="57"/>
      <c r="BZJ40" s="57"/>
      <c r="BZK40" s="57"/>
      <c r="BZL40" s="57"/>
      <c r="BZM40" s="57"/>
      <c r="BZN40" s="57"/>
      <c r="BZO40" s="57"/>
      <c r="BZP40" s="57"/>
      <c r="BZQ40" s="57"/>
      <c r="BZR40" s="57"/>
      <c r="BZS40" s="57"/>
      <c r="BZT40" s="57"/>
      <c r="BZU40" s="57"/>
      <c r="BZV40" s="57"/>
      <c r="BZW40" s="57"/>
      <c r="BZX40" s="57"/>
      <c r="BZY40" s="57"/>
      <c r="BZZ40" s="57"/>
      <c r="CAA40" s="57"/>
      <c r="CAB40" s="57"/>
      <c r="CAC40" s="57"/>
      <c r="CAD40" s="57"/>
      <c r="CAE40" s="57"/>
      <c r="CAF40" s="57"/>
      <c r="CAG40" s="57"/>
      <c r="CAH40" s="57"/>
      <c r="CAI40" s="57"/>
      <c r="CAJ40" s="57"/>
      <c r="CAK40" s="57"/>
      <c r="CAL40" s="57"/>
      <c r="CAM40" s="57"/>
      <c r="CAN40" s="57"/>
      <c r="CAO40" s="57"/>
      <c r="CAP40" s="58"/>
      <c r="CAQ40" s="56"/>
      <c r="CAR40" s="57"/>
      <c r="CAS40" s="57"/>
      <c r="CAT40" s="57"/>
      <c r="CAU40" s="57"/>
      <c r="CAV40" s="57"/>
      <c r="CAW40" s="56"/>
      <c r="CAX40" s="57"/>
      <c r="CAY40" s="57"/>
      <c r="CAZ40" s="56"/>
      <c r="CBA40" s="57"/>
      <c r="CBB40" s="58"/>
      <c r="CBC40" s="56"/>
      <c r="CBD40" s="57"/>
      <c r="CBE40" s="57"/>
      <c r="CBF40" s="57"/>
      <c r="CBG40" s="56"/>
      <c r="CBH40" s="57"/>
      <c r="CBI40" s="57"/>
      <c r="CBJ40" s="56"/>
      <c r="CBK40" s="57"/>
      <c r="CBL40" s="58"/>
      <c r="CBM40" s="56"/>
      <c r="CBN40" s="57"/>
      <c r="CBO40" s="57"/>
      <c r="CBP40" s="57"/>
      <c r="CBQ40" s="56"/>
      <c r="CBR40" s="57"/>
      <c r="CBS40" s="57"/>
      <c r="CBT40" s="56"/>
      <c r="CBU40" s="57"/>
      <c r="CBV40" s="58"/>
      <c r="CBW40" s="56"/>
      <c r="CBX40" s="57"/>
      <c r="CBY40" s="57"/>
      <c r="CBZ40" s="57"/>
      <c r="CCA40" s="56"/>
      <c r="CCB40" s="57"/>
      <c r="CCC40" s="57"/>
      <c r="CCD40" s="56"/>
      <c r="CCE40" s="57"/>
      <c r="CCF40" s="58"/>
      <c r="CCG40" s="56"/>
      <c r="CCH40" s="58"/>
      <c r="CCI40" s="57"/>
      <c r="CCJ40" s="56"/>
      <c r="CCK40" s="57"/>
      <c r="CCL40" s="56"/>
      <c r="CCM40" s="56"/>
      <c r="CCN40" s="56"/>
      <c r="CCO40" s="57"/>
      <c r="CCP40" s="57"/>
      <c r="CCQ40" s="57"/>
      <c r="CCR40" s="57"/>
      <c r="CCS40" s="57"/>
      <c r="CCT40" s="57"/>
      <c r="CCU40" s="57"/>
      <c r="CCV40" s="57"/>
      <c r="CCW40" s="57"/>
      <c r="CCX40" s="57"/>
      <c r="CCY40" s="57"/>
      <c r="CCZ40" s="57"/>
      <c r="CDA40" s="57"/>
      <c r="CDB40" s="57"/>
      <c r="CDC40" s="57"/>
      <c r="CDD40" s="57"/>
      <c r="CDE40" s="57"/>
      <c r="CDF40" s="57"/>
      <c r="CDG40" s="57"/>
      <c r="CDH40" s="57"/>
      <c r="CDI40" s="57"/>
      <c r="CDJ40" s="57"/>
      <c r="CDK40" s="57"/>
      <c r="CDL40" s="57"/>
      <c r="CDM40" s="57"/>
      <c r="CDN40" s="57"/>
      <c r="CDO40" s="57"/>
      <c r="CDP40" s="57"/>
      <c r="CDQ40" s="57"/>
      <c r="CDR40" s="57"/>
      <c r="CDS40" s="57"/>
      <c r="CDT40" s="57"/>
      <c r="CDU40" s="57"/>
      <c r="CDV40" s="57"/>
      <c r="CDW40" s="57"/>
      <c r="CDX40" s="57"/>
      <c r="CDY40" s="57"/>
      <c r="CDZ40" s="58"/>
      <c r="CEA40" s="56"/>
      <c r="CEB40" s="57"/>
      <c r="CEC40" s="57"/>
      <c r="CED40" s="57"/>
      <c r="CEE40" s="57"/>
      <c r="CEF40" s="57"/>
      <c r="CEG40" s="56"/>
      <c r="CEH40" s="57"/>
      <c r="CEI40" s="57"/>
      <c r="CEJ40" s="56"/>
      <c r="CEK40" s="57"/>
      <c r="CEL40" s="58"/>
      <c r="CEM40" s="56"/>
      <c r="CEN40" s="57"/>
      <c r="CEO40" s="57"/>
      <c r="CEP40" s="57"/>
      <c r="CEQ40" s="56"/>
      <c r="CER40" s="57"/>
      <c r="CES40" s="57"/>
      <c r="CET40" s="56"/>
      <c r="CEU40" s="57"/>
      <c r="CEV40" s="58"/>
      <c r="CEW40" s="56"/>
      <c r="CEX40" s="57"/>
      <c r="CEY40" s="57"/>
      <c r="CEZ40" s="57"/>
      <c r="CFA40" s="56"/>
      <c r="CFB40" s="57"/>
      <c r="CFC40" s="57"/>
      <c r="CFD40" s="56"/>
      <c r="CFE40" s="57"/>
      <c r="CFF40" s="58"/>
      <c r="CFG40" s="56"/>
      <c r="CFH40" s="57"/>
      <c r="CFI40" s="57"/>
      <c r="CFJ40" s="57"/>
      <c r="CFK40" s="56"/>
      <c r="CFL40" s="57"/>
      <c r="CFM40" s="57"/>
      <c r="CFN40" s="56"/>
      <c r="CFO40" s="57"/>
      <c r="CFP40" s="58"/>
      <c r="CFQ40" s="56"/>
      <c r="CFR40" s="58"/>
      <c r="CFS40" s="57"/>
      <c r="CFT40" s="56"/>
      <c r="CFU40" s="57"/>
      <c r="CFV40" s="56"/>
      <c r="CFW40" s="56"/>
      <c r="CFX40" s="56"/>
      <c r="CFY40" s="57"/>
      <c r="CFZ40" s="57"/>
      <c r="CGA40" s="57"/>
      <c r="CGB40" s="57"/>
      <c r="CGC40" s="57"/>
      <c r="CGD40" s="57"/>
      <c r="CGE40" s="57"/>
      <c r="CGF40" s="57"/>
      <c r="CGG40" s="57"/>
      <c r="CGH40" s="57"/>
      <c r="CGI40" s="57"/>
      <c r="CGJ40" s="57"/>
      <c r="CGK40" s="57"/>
      <c r="CGL40" s="57"/>
      <c r="CGM40" s="57"/>
      <c r="CGN40" s="57"/>
      <c r="CGO40" s="57"/>
      <c r="CGP40" s="57"/>
      <c r="CGQ40" s="57"/>
      <c r="CGR40" s="57"/>
      <c r="CGS40" s="57"/>
      <c r="CGT40" s="57"/>
      <c r="CGU40" s="57"/>
      <c r="CGV40" s="57"/>
      <c r="CGW40" s="57"/>
      <c r="CGX40" s="57"/>
      <c r="CGY40" s="57"/>
      <c r="CGZ40" s="57"/>
      <c r="CHA40" s="57"/>
      <c r="CHB40" s="57"/>
      <c r="CHC40" s="57"/>
      <c r="CHD40" s="57"/>
      <c r="CHE40" s="57"/>
      <c r="CHF40" s="57"/>
      <c r="CHG40" s="57"/>
      <c r="CHH40" s="57"/>
      <c r="CHI40" s="57"/>
      <c r="CHJ40" s="58"/>
      <c r="CHK40" s="56"/>
      <c r="CHL40" s="57"/>
      <c r="CHM40" s="57"/>
      <c r="CHN40" s="57"/>
      <c r="CHO40" s="57"/>
      <c r="CHP40" s="57"/>
      <c r="CHQ40" s="56"/>
      <c r="CHR40" s="57"/>
      <c r="CHS40" s="57"/>
      <c r="CHT40" s="56"/>
      <c r="CHU40" s="57"/>
      <c r="CHV40" s="58"/>
      <c r="CHW40" s="56"/>
      <c r="CHX40" s="57"/>
      <c r="CHY40" s="57"/>
      <c r="CHZ40" s="57"/>
      <c r="CIA40" s="56"/>
      <c r="CIB40" s="57"/>
      <c r="CIC40" s="57"/>
      <c r="CID40" s="56"/>
      <c r="CIE40" s="57"/>
      <c r="CIF40" s="58"/>
      <c r="CIG40" s="56"/>
      <c r="CIH40" s="57"/>
      <c r="CII40" s="57"/>
      <c r="CIJ40" s="57"/>
      <c r="CIK40" s="56"/>
      <c r="CIL40" s="57"/>
      <c r="CIM40" s="57"/>
      <c r="CIN40" s="56"/>
      <c r="CIO40" s="57"/>
      <c r="CIP40" s="58"/>
      <c r="CIQ40" s="56"/>
      <c r="CIR40" s="57"/>
      <c r="CIS40" s="57"/>
      <c r="CIT40" s="57"/>
      <c r="CIU40" s="56"/>
      <c r="CIV40" s="57"/>
      <c r="CIW40" s="57"/>
      <c r="CIX40" s="56"/>
      <c r="CIY40" s="57"/>
      <c r="CIZ40" s="58"/>
      <c r="CJA40" s="56"/>
      <c r="CJB40" s="58"/>
      <c r="CJC40" s="57"/>
      <c r="CJD40" s="56"/>
      <c r="CJE40" s="57"/>
      <c r="CJF40" s="56"/>
      <c r="CJG40" s="56"/>
      <c r="CJH40" s="56"/>
      <c r="CJI40" s="57"/>
      <c r="CJJ40" s="57"/>
      <c r="CJK40" s="57"/>
      <c r="CJL40" s="57"/>
      <c r="CJM40" s="57"/>
      <c r="CJN40" s="57"/>
      <c r="CJO40" s="57"/>
      <c r="CJP40" s="57"/>
      <c r="CJQ40" s="57"/>
      <c r="CJR40" s="57"/>
      <c r="CJS40" s="57"/>
      <c r="CJT40" s="57"/>
      <c r="CJU40" s="57"/>
      <c r="CJV40" s="57"/>
      <c r="CJW40" s="57"/>
      <c r="CJX40" s="57"/>
      <c r="CJY40" s="57"/>
      <c r="CJZ40" s="57"/>
      <c r="CKA40" s="57"/>
      <c r="CKB40" s="57"/>
      <c r="CKC40" s="57"/>
      <c r="CKD40" s="57"/>
      <c r="CKE40" s="57"/>
      <c r="CKF40" s="57"/>
      <c r="CKG40" s="57"/>
      <c r="CKH40" s="57"/>
      <c r="CKI40" s="57"/>
      <c r="CKJ40" s="57"/>
      <c r="CKK40" s="57"/>
      <c r="CKL40" s="57"/>
      <c r="CKM40" s="57"/>
      <c r="CKN40" s="57"/>
      <c r="CKO40" s="57"/>
      <c r="CKP40" s="57"/>
      <c r="CKQ40" s="57"/>
      <c r="CKR40" s="57"/>
      <c r="CKS40" s="57"/>
      <c r="CKT40" s="58"/>
      <c r="CKU40" s="56"/>
      <c r="CKV40" s="57"/>
      <c r="CKW40" s="57"/>
      <c r="CKX40" s="57"/>
      <c r="CKY40" s="57"/>
      <c r="CKZ40" s="57"/>
      <c r="CLA40" s="56"/>
      <c r="CLB40" s="57"/>
      <c r="CLC40" s="57"/>
      <c r="CLD40" s="56"/>
      <c r="CLE40" s="57"/>
      <c r="CLF40" s="58"/>
      <c r="CLG40" s="56"/>
      <c r="CLH40" s="57"/>
      <c r="CLI40" s="57"/>
      <c r="CLJ40" s="57"/>
      <c r="CLK40" s="56"/>
      <c r="CLL40" s="57"/>
      <c r="CLM40" s="57"/>
      <c r="CLN40" s="56"/>
      <c r="CLO40" s="57"/>
      <c r="CLP40" s="58"/>
      <c r="CLQ40" s="56"/>
      <c r="CLR40" s="57"/>
      <c r="CLS40" s="57"/>
      <c r="CLT40" s="57"/>
      <c r="CLU40" s="56"/>
      <c r="CLV40" s="57"/>
      <c r="CLW40" s="57"/>
      <c r="CLX40" s="56"/>
      <c r="CLY40" s="57"/>
      <c r="CLZ40" s="58"/>
      <c r="CMA40" s="56"/>
      <c r="CMB40" s="57"/>
      <c r="CMC40" s="57"/>
      <c r="CMD40" s="57"/>
      <c r="CME40" s="56"/>
      <c r="CMF40" s="57"/>
      <c r="CMG40" s="57"/>
      <c r="CMH40" s="56"/>
      <c r="CMI40" s="57"/>
      <c r="CMJ40" s="58"/>
      <c r="CMK40" s="56"/>
      <c r="CML40" s="58"/>
      <c r="CMM40" s="57"/>
      <c r="CMN40" s="56"/>
      <c r="CMO40" s="57"/>
      <c r="CMP40" s="56"/>
      <c r="CMQ40" s="56"/>
      <c r="CMR40" s="56"/>
      <c r="CMS40" s="57"/>
      <c r="CMT40" s="57"/>
      <c r="CMU40" s="57"/>
      <c r="CMV40" s="57"/>
      <c r="CMW40" s="57"/>
      <c r="CMX40" s="57"/>
      <c r="CMY40" s="57"/>
      <c r="CMZ40" s="57"/>
      <c r="CNA40" s="57"/>
      <c r="CNB40" s="57"/>
      <c r="CNC40" s="57"/>
      <c r="CND40" s="57"/>
      <c r="CNE40" s="57"/>
      <c r="CNF40" s="57"/>
      <c r="CNG40" s="57"/>
      <c r="CNH40" s="57"/>
      <c r="CNI40" s="57"/>
      <c r="CNJ40" s="57"/>
      <c r="CNK40" s="57"/>
      <c r="CNL40" s="57"/>
      <c r="CNM40" s="57"/>
      <c r="CNN40" s="57"/>
      <c r="CNO40" s="57"/>
      <c r="CNP40" s="57"/>
      <c r="CNQ40" s="57"/>
      <c r="CNR40" s="57"/>
      <c r="CNS40" s="57"/>
      <c r="CNT40" s="57"/>
      <c r="CNU40" s="57"/>
      <c r="CNV40" s="57"/>
      <c r="CNW40" s="57"/>
      <c r="CNX40" s="57"/>
      <c r="CNY40" s="57"/>
      <c r="CNZ40" s="57"/>
      <c r="COA40" s="57"/>
      <c r="COB40" s="57"/>
      <c r="COC40" s="57"/>
      <c r="COD40" s="58"/>
      <c r="COE40" s="56"/>
      <c r="COF40" s="57"/>
      <c r="COG40" s="57"/>
      <c r="COH40" s="57"/>
      <c r="COI40" s="57"/>
      <c r="COJ40" s="57"/>
      <c r="COK40" s="56"/>
      <c r="COL40" s="57"/>
      <c r="COM40" s="57"/>
      <c r="CON40" s="56"/>
      <c r="COO40" s="57"/>
      <c r="COP40" s="58"/>
      <c r="COQ40" s="56"/>
      <c r="COR40" s="57"/>
      <c r="COS40" s="57"/>
      <c r="COT40" s="57"/>
      <c r="COU40" s="56"/>
      <c r="COV40" s="57"/>
      <c r="COW40" s="57"/>
      <c r="COX40" s="56"/>
      <c r="COY40" s="57"/>
      <c r="COZ40" s="58"/>
      <c r="CPA40" s="56"/>
      <c r="CPB40" s="57"/>
      <c r="CPC40" s="57"/>
      <c r="CPD40" s="57"/>
      <c r="CPE40" s="56"/>
      <c r="CPF40" s="57"/>
      <c r="CPG40" s="57"/>
      <c r="CPH40" s="56"/>
      <c r="CPI40" s="57"/>
      <c r="CPJ40" s="58"/>
      <c r="CPK40" s="56"/>
      <c r="CPL40" s="57"/>
      <c r="CPM40" s="57"/>
      <c r="CPN40" s="57"/>
      <c r="CPO40" s="56"/>
      <c r="CPP40" s="57"/>
      <c r="CPQ40" s="57"/>
      <c r="CPR40" s="56"/>
      <c r="CPS40" s="57"/>
      <c r="CPT40" s="58"/>
      <c r="CPU40" s="56"/>
      <c r="CPV40" s="58"/>
      <c r="CPW40" s="57"/>
      <c r="CPX40" s="56"/>
      <c r="CPY40" s="57"/>
      <c r="CPZ40" s="56"/>
      <c r="CQA40" s="56"/>
      <c r="CQB40" s="56"/>
      <c r="CQC40" s="57"/>
      <c r="CQD40" s="57"/>
      <c r="CQE40" s="57"/>
      <c r="CQF40" s="57"/>
      <c r="CQG40" s="57"/>
      <c r="CQH40" s="57"/>
      <c r="CQI40" s="57"/>
      <c r="CQJ40" s="57"/>
      <c r="CQK40" s="57"/>
      <c r="CQL40" s="57"/>
      <c r="CQM40" s="57"/>
      <c r="CQN40" s="57"/>
      <c r="CQO40" s="57"/>
      <c r="CQP40" s="57"/>
      <c r="CQQ40" s="57"/>
      <c r="CQR40" s="57"/>
      <c r="CQS40" s="57"/>
      <c r="CQT40" s="57"/>
      <c r="CQU40" s="57"/>
      <c r="CQV40" s="57"/>
      <c r="CQW40" s="57"/>
      <c r="CQX40" s="57"/>
      <c r="CQY40" s="57"/>
      <c r="CQZ40" s="57"/>
      <c r="CRA40" s="57"/>
      <c r="CRB40" s="57"/>
      <c r="CRC40" s="57"/>
      <c r="CRD40" s="57"/>
      <c r="CRE40" s="57"/>
      <c r="CRF40" s="57"/>
      <c r="CRG40" s="57"/>
      <c r="CRH40" s="57"/>
      <c r="CRI40" s="57"/>
      <c r="CRJ40" s="57"/>
      <c r="CRK40" s="57"/>
      <c r="CRL40" s="57"/>
      <c r="CRM40" s="57"/>
      <c r="CRN40" s="58"/>
      <c r="CRO40" s="56"/>
      <c r="CRP40" s="57"/>
      <c r="CRQ40" s="57"/>
      <c r="CRR40" s="57"/>
      <c r="CRS40" s="57"/>
      <c r="CRT40" s="57"/>
      <c r="CRU40" s="56"/>
      <c r="CRV40" s="57"/>
      <c r="CRW40" s="57"/>
      <c r="CRX40" s="56"/>
      <c r="CRY40" s="57"/>
      <c r="CRZ40" s="58"/>
      <c r="CSA40" s="56"/>
      <c r="CSB40" s="57"/>
      <c r="CSC40" s="57"/>
      <c r="CSD40" s="57"/>
      <c r="CSE40" s="56"/>
      <c r="CSF40" s="57"/>
      <c r="CSG40" s="57"/>
      <c r="CSH40" s="56"/>
      <c r="CSI40" s="57"/>
      <c r="CSJ40" s="58"/>
      <c r="CSK40" s="56"/>
      <c r="CSL40" s="57"/>
      <c r="CSM40" s="57"/>
      <c r="CSN40" s="57"/>
      <c r="CSO40" s="56"/>
      <c r="CSP40" s="57"/>
      <c r="CSQ40" s="57"/>
      <c r="CSR40" s="56"/>
      <c r="CSS40" s="57"/>
      <c r="CST40" s="58"/>
      <c r="CSU40" s="56"/>
      <c r="CSV40" s="57"/>
      <c r="CSW40" s="57"/>
      <c r="CSX40" s="57"/>
      <c r="CSY40" s="56"/>
      <c r="CSZ40" s="57"/>
      <c r="CTA40" s="57"/>
      <c r="CTB40" s="56"/>
      <c r="CTC40" s="57"/>
      <c r="CTD40" s="58"/>
      <c r="CTE40" s="56"/>
      <c r="CTF40" s="58"/>
      <c r="CTG40" s="57"/>
      <c r="CTH40" s="56"/>
      <c r="CTI40" s="57"/>
      <c r="CTJ40" s="56"/>
      <c r="CTK40" s="56"/>
      <c r="CTL40" s="56"/>
      <c r="CTM40" s="57"/>
      <c r="CTN40" s="57"/>
      <c r="CTO40" s="57"/>
      <c r="CTP40" s="57"/>
      <c r="CTQ40" s="57"/>
      <c r="CTR40" s="57"/>
      <c r="CTS40" s="57"/>
      <c r="CTT40" s="57"/>
      <c r="CTU40" s="57"/>
      <c r="CTV40" s="57"/>
      <c r="CTW40" s="57"/>
      <c r="CTX40" s="57"/>
      <c r="CTY40" s="57"/>
      <c r="CTZ40" s="57"/>
      <c r="CUA40" s="57"/>
      <c r="CUB40" s="57"/>
      <c r="CUC40" s="57"/>
      <c r="CUD40" s="57"/>
      <c r="CUE40" s="57"/>
      <c r="CUF40" s="57"/>
      <c r="CUG40" s="57"/>
      <c r="CUH40" s="57"/>
      <c r="CUI40" s="57"/>
      <c r="CUJ40" s="57"/>
      <c r="CUK40" s="57"/>
      <c r="CUL40" s="57"/>
      <c r="CUM40" s="57"/>
      <c r="CUN40" s="57"/>
      <c r="CUO40" s="57"/>
      <c r="CUP40" s="57"/>
      <c r="CUQ40" s="57"/>
      <c r="CUR40" s="57"/>
      <c r="CUS40" s="57"/>
      <c r="CUT40" s="57"/>
      <c r="CUU40" s="57"/>
      <c r="CUV40" s="57"/>
      <c r="CUW40" s="57"/>
      <c r="CUX40" s="58"/>
      <c r="CUY40" s="56"/>
      <c r="CUZ40" s="57"/>
      <c r="CVA40" s="57"/>
      <c r="CVB40" s="57"/>
      <c r="CVC40" s="57"/>
      <c r="CVD40" s="57"/>
      <c r="CVE40" s="56"/>
      <c r="CVF40" s="57"/>
      <c r="CVG40" s="57"/>
      <c r="CVH40" s="56"/>
      <c r="CVI40" s="57"/>
      <c r="CVJ40" s="58"/>
      <c r="CVK40" s="56"/>
      <c r="CVL40" s="57"/>
      <c r="CVM40" s="57"/>
      <c r="CVN40" s="57"/>
      <c r="CVO40" s="56"/>
      <c r="CVP40" s="57"/>
      <c r="CVQ40" s="57"/>
      <c r="CVR40" s="56"/>
      <c r="CVS40" s="57"/>
      <c r="CVT40" s="58"/>
      <c r="CVU40" s="56"/>
      <c r="CVV40" s="57"/>
      <c r="CVW40" s="57"/>
      <c r="CVX40" s="57"/>
      <c r="CVY40" s="56"/>
      <c r="CVZ40" s="57"/>
      <c r="CWA40" s="57"/>
      <c r="CWB40" s="56"/>
      <c r="CWC40" s="57"/>
      <c r="CWD40" s="58"/>
      <c r="CWE40" s="56"/>
      <c r="CWF40" s="57"/>
      <c r="CWG40" s="57"/>
      <c r="CWH40" s="57"/>
      <c r="CWI40" s="56"/>
      <c r="CWJ40" s="57"/>
      <c r="CWK40" s="57"/>
      <c r="CWL40" s="56"/>
      <c r="CWM40" s="57"/>
      <c r="CWN40" s="58"/>
      <c r="CWO40" s="56"/>
      <c r="CWP40" s="58"/>
      <c r="CWQ40" s="57"/>
      <c r="CWR40" s="56"/>
      <c r="CWS40" s="57"/>
      <c r="CWT40" s="56"/>
      <c r="CWU40" s="56"/>
      <c r="CWV40" s="56"/>
      <c r="CWW40" s="57"/>
      <c r="CWX40" s="57"/>
      <c r="CWY40" s="57"/>
      <c r="CWZ40" s="57"/>
      <c r="CXA40" s="57"/>
      <c r="CXB40" s="57"/>
      <c r="CXC40" s="57"/>
      <c r="CXD40" s="57"/>
      <c r="CXE40" s="57"/>
      <c r="CXF40" s="57"/>
      <c r="CXG40" s="57"/>
      <c r="CXH40" s="57"/>
      <c r="CXI40" s="57"/>
      <c r="CXJ40" s="57"/>
      <c r="CXK40" s="57"/>
      <c r="CXL40" s="57"/>
      <c r="CXM40" s="57"/>
      <c r="CXN40" s="57"/>
      <c r="CXO40" s="57"/>
      <c r="CXP40" s="57"/>
      <c r="CXQ40" s="57"/>
      <c r="CXR40" s="57"/>
      <c r="CXS40" s="57"/>
      <c r="CXT40" s="57"/>
      <c r="CXU40" s="57"/>
      <c r="CXV40" s="57"/>
      <c r="CXW40" s="57"/>
      <c r="CXX40" s="57"/>
      <c r="CXY40" s="57"/>
      <c r="CXZ40" s="57"/>
      <c r="CYA40" s="57"/>
      <c r="CYB40" s="57"/>
      <c r="CYC40" s="57"/>
      <c r="CYD40" s="57"/>
      <c r="CYE40" s="57"/>
      <c r="CYF40" s="57"/>
      <c r="CYG40" s="57"/>
      <c r="CYH40" s="58"/>
      <c r="CYI40" s="56"/>
      <c r="CYJ40" s="57"/>
      <c r="CYK40" s="57"/>
      <c r="CYL40" s="57"/>
      <c r="CYM40" s="57"/>
      <c r="CYN40" s="57"/>
      <c r="CYO40" s="56"/>
      <c r="CYP40" s="57"/>
      <c r="CYQ40" s="57"/>
      <c r="CYR40" s="56"/>
      <c r="CYS40" s="57"/>
      <c r="CYT40" s="58"/>
      <c r="CYU40" s="56"/>
      <c r="CYV40" s="57"/>
      <c r="CYW40" s="57"/>
      <c r="CYX40" s="57"/>
      <c r="CYY40" s="56"/>
      <c r="CYZ40" s="57"/>
      <c r="CZA40" s="57"/>
      <c r="CZB40" s="56"/>
      <c r="CZC40" s="57"/>
      <c r="CZD40" s="58"/>
      <c r="CZE40" s="56"/>
      <c r="CZF40" s="57"/>
      <c r="CZG40" s="57"/>
      <c r="CZH40" s="57"/>
      <c r="CZI40" s="56"/>
      <c r="CZJ40" s="57"/>
      <c r="CZK40" s="57"/>
      <c r="CZL40" s="56"/>
      <c r="CZM40" s="57"/>
      <c r="CZN40" s="58"/>
      <c r="CZO40" s="56"/>
      <c r="CZP40" s="57"/>
      <c r="CZQ40" s="57"/>
      <c r="CZR40" s="57"/>
      <c r="CZS40" s="56"/>
      <c r="CZT40" s="57"/>
      <c r="CZU40" s="57"/>
      <c r="CZV40" s="56"/>
      <c r="CZW40" s="57"/>
      <c r="CZX40" s="58"/>
      <c r="CZY40" s="56"/>
      <c r="CZZ40" s="58"/>
      <c r="DAA40" s="57"/>
      <c r="DAB40" s="56"/>
      <c r="DAC40" s="57"/>
      <c r="DAD40" s="56"/>
      <c r="DAE40" s="56"/>
      <c r="DAF40" s="56"/>
      <c r="DAG40" s="57"/>
      <c r="DAH40" s="57"/>
      <c r="DAI40" s="57"/>
      <c r="DAJ40" s="57"/>
      <c r="DAK40" s="57"/>
      <c r="DAL40" s="57"/>
      <c r="DAM40" s="57"/>
      <c r="DAN40" s="57"/>
      <c r="DAO40" s="57"/>
      <c r="DAP40" s="57"/>
      <c r="DAQ40" s="57"/>
      <c r="DAR40" s="57"/>
      <c r="DAS40" s="57"/>
      <c r="DAT40" s="57"/>
      <c r="DAU40" s="57"/>
      <c r="DAV40" s="57"/>
      <c r="DAW40" s="57"/>
      <c r="DAX40" s="57"/>
      <c r="DAY40" s="57"/>
      <c r="DAZ40" s="57"/>
      <c r="DBA40" s="57"/>
      <c r="DBB40" s="57"/>
      <c r="DBC40" s="57"/>
      <c r="DBD40" s="57"/>
      <c r="DBE40" s="57"/>
      <c r="DBF40" s="57"/>
      <c r="DBG40" s="57"/>
      <c r="DBH40" s="57"/>
      <c r="DBI40" s="57"/>
      <c r="DBJ40" s="57"/>
      <c r="DBK40" s="57"/>
      <c r="DBL40" s="57"/>
      <c r="DBM40" s="57"/>
      <c r="DBN40" s="57"/>
      <c r="DBO40" s="57"/>
      <c r="DBP40" s="57"/>
      <c r="DBQ40" s="57"/>
      <c r="DBR40" s="58"/>
      <c r="DBS40" s="56"/>
      <c r="DBT40" s="57"/>
      <c r="DBU40" s="57"/>
      <c r="DBV40" s="57"/>
      <c r="DBW40" s="57"/>
      <c r="DBX40" s="57"/>
      <c r="DBY40" s="56"/>
      <c r="DBZ40" s="57"/>
      <c r="DCA40" s="57"/>
      <c r="DCB40" s="56"/>
      <c r="DCC40" s="57"/>
      <c r="DCD40" s="58"/>
      <c r="DCE40" s="56"/>
      <c r="DCF40" s="57"/>
      <c r="DCG40" s="57"/>
      <c r="DCH40" s="57"/>
      <c r="DCI40" s="56"/>
      <c r="DCJ40" s="57"/>
      <c r="DCK40" s="57"/>
      <c r="DCL40" s="56"/>
      <c r="DCM40" s="57"/>
      <c r="DCN40" s="58"/>
      <c r="DCO40" s="56"/>
      <c r="DCP40" s="57"/>
      <c r="DCQ40" s="57"/>
      <c r="DCR40" s="57"/>
      <c r="DCS40" s="56"/>
      <c r="DCT40" s="57"/>
      <c r="DCU40" s="57"/>
      <c r="DCV40" s="56"/>
      <c r="DCW40" s="57"/>
      <c r="DCX40" s="58"/>
      <c r="DCY40" s="56"/>
      <c r="DCZ40" s="57"/>
      <c r="DDA40" s="57"/>
      <c r="DDB40" s="57"/>
      <c r="DDC40" s="56"/>
      <c r="DDD40" s="57"/>
      <c r="DDE40" s="57"/>
      <c r="DDF40" s="56"/>
      <c r="DDG40" s="57"/>
      <c r="DDH40" s="58"/>
      <c r="DDI40" s="56"/>
      <c r="DDJ40" s="58"/>
      <c r="DDK40" s="57"/>
      <c r="DDL40" s="56"/>
      <c r="DDM40" s="57"/>
      <c r="DDN40" s="56"/>
      <c r="DDO40" s="56"/>
      <c r="DDP40" s="56"/>
      <c r="DDQ40" s="57"/>
      <c r="DDR40" s="57"/>
      <c r="DDS40" s="57"/>
      <c r="DDT40" s="57"/>
      <c r="DDU40" s="57"/>
      <c r="DDV40" s="57"/>
      <c r="DDW40" s="57"/>
      <c r="DDX40" s="57"/>
      <c r="DDY40" s="57"/>
      <c r="DDZ40" s="57"/>
      <c r="DEA40" s="57"/>
      <c r="DEB40" s="57"/>
      <c r="DEC40" s="57"/>
      <c r="DED40" s="57"/>
      <c r="DEE40" s="57"/>
      <c r="DEF40" s="57"/>
      <c r="DEG40" s="57"/>
      <c r="DEH40" s="57"/>
      <c r="DEI40" s="57"/>
      <c r="DEJ40" s="57"/>
      <c r="DEK40" s="57"/>
      <c r="DEL40" s="57"/>
      <c r="DEM40" s="57"/>
      <c r="DEN40" s="57"/>
      <c r="DEO40" s="57"/>
      <c r="DEP40" s="57"/>
      <c r="DEQ40" s="57"/>
      <c r="DER40" s="57"/>
      <c r="DES40" s="57"/>
      <c r="DET40" s="57"/>
      <c r="DEU40" s="57"/>
      <c r="DEV40" s="57"/>
      <c r="DEW40" s="57"/>
      <c r="DEX40" s="57"/>
      <c r="DEY40" s="57"/>
      <c r="DEZ40" s="57"/>
      <c r="DFA40" s="57"/>
      <c r="DFB40" s="58"/>
      <c r="DFC40" s="56"/>
      <c r="DFD40" s="57"/>
      <c r="DFE40" s="57"/>
      <c r="DFF40" s="57"/>
      <c r="DFG40" s="57"/>
      <c r="DFH40" s="57"/>
      <c r="DFI40" s="56"/>
      <c r="DFJ40" s="57"/>
      <c r="DFK40" s="57"/>
      <c r="DFL40" s="56"/>
      <c r="DFM40" s="57"/>
      <c r="DFN40" s="58"/>
      <c r="DFO40" s="56"/>
      <c r="DFP40" s="57"/>
      <c r="DFQ40" s="57"/>
      <c r="DFR40" s="57"/>
      <c r="DFS40" s="56"/>
      <c r="DFT40" s="57"/>
      <c r="DFU40" s="57"/>
      <c r="DFV40" s="56"/>
      <c r="DFW40" s="57"/>
      <c r="DFX40" s="58"/>
      <c r="DFY40" s="56"/>
      <c r="DFZ40" s="57"/>
      <c r="DGA40" s="57"/>
      <c r="DGB40" s="57"/>
      <c r="DGC40" s="56"/>
      <c r="DGD40" s="57"/>
      <c r="DGE40" s="57"/>
      <c r="DGF40" s="56"/>
      <c r="DGG40" s="57"/>
      <c r="DGH40" s="58"/>
      <c r="DGI40" s="56"/>
      <c r="DGJ40" s="57"/>
      <c r="DGK40" s="57"/>
      <c r="DGL40" s="57"/>
      <c r="DGM40" s="56"/>
      <c r="DGN40" s="57"/>
      <c r="DGO40" s="57"/>
      <c r="DGP40" s="56"/>
      <c r="DGQ40" s="57"/>
      <c r="DGR40" s="58"/>
      <c r="DGS40" s="56"/>
      <c r="DGT40" s="58"/>
      <c r="DGU40" s="57"/>
      <c r="DGV40" s="56"/>
      <c r="DGW40" s="57"/>
      <c r="DGX40" s="56"/>
      <c r="DGY40" s="56"/>
      <c r="DGZ40" s="56"/>
      <c r="DHA40" s="57"/>
      <c r="DHB40" s="57"/>
      <c r="DHC40" s="57"/>
      <c r="DHD40" s="57"/>
      <c r="DHE40" s="57"/>
      <c r="DHF40" s="57"/>
      <c r="DHG40" s="57"/>
      <c r="DHH40" s="57"/>
      <c r="DHI40" s="57"/>
      <c r="DHJ40" s="57"/>
      <c r="DHK40" s="57"/>
      <c r="DHL40" s="57"/>
      <c r="DHM40" s="57"/>
      <c r="DHN40" s="57"/>
      <c r="DHO40" s="57"/>
      <c r="DHP40" s="57"/>
      <c r="DHQ40" s="57"/>
      <c r="DHR40" s="57"/>
      <c r="DHS40" s="57"/>
      <c r="DHT40" s="57"/>
      <c r="DHU40" s="57"/>
      <c r="DHV40" s="57"/>
      <c r="DHW40" s="57"/>
      <c r="DHX40" s="57"/>
      <c r="DHY40" s="57"/>
      <c r="DHZ40" s="57"/>
      <c r="DIA40" s="57"/>
      <c r="DIB40" s="57"/>
      <c r="DIC40" s="57"/>
      <c r="DID40" s="57"/>
      <c r="DIE40" s="57"/>
      <c r="DIF40" s="57"/>
      <c r="DIG40" s="57"/>
      <c r="DIH40" s="57"/>
      <c r="DII40" s="57"/>
      <c r="DIJ40" s="57"/>
      <c r="DIK40" s="57"/>
      <c r="DIL40" s="58"/>
      <c r="DIM40" s="56"/>
      <c r="DIN40" s="57"/>
      <c r="DIO40" s="57"/>
      <c r="DIP40" s="57"/>
      <c r="DIQ40" s="57"/>
      <c r="DIR40" s="57"/>
      <c r="DIS40" s="56"/>
      <c r="DIT40" s="57"/>
      <c r="DIU40" s="57"/>
      <c r="DIV40" s="56"/>
      <c r="DIW40" s="57"/>
      <c r="DIX40" s="58"/>
      <c r="DIY40" s="56"/>
      <c r="DIZ40" s="57"/>
      <c r="DJA40" s="57"/>
      <c r="DJB40" s="57"/>
      <c r="DJC40" s="56"/>
      <c r="DJD40" s="57"/>
      <c r="DJE40" s="57"/>
      <c r="DJF40" s="56"/>
      <c r="DJG40" s="57"/>
      <c r="DJH40" s="58"/>
      <c r="DJI40" s="56"/>
      <c r="DJJ40" s="57"/>
      <c r="DJK40" s="57"/>
      <c r="DJL40" s="57"/>
      <c r="DJM40" s="56"/>
      <c r="DJN40" s="57"/>
      <c r="DJO40" s="57"/>
      <c r="DJP40" s="56"/>
      <c r="DJQ40" s="57"/>
      <c r="DJR40" s="58"/>
      <c r="DJS40" s="56"/>
      <c r="DJT40" s="57"/>
      <c r="DJU40" s="57"/>
      <c r="DJV40" s="57"/>
      <c r="DJW40" s="56"/>
      <c r="DJX40" s="57"/>
      <c r="DJY40" s="57"/>
      <c r="DJZ40" s="56"/>
      <c r="DKA40" s="57"/>
      <c r="DKB40" s="58"/>
      <c r="DKC40" s="56"/>
      <c r="DKD40" s="58"/>
      <c r="DKE40" s="57"/>
      <c r="DKF40" s="56"/>
      <c r="DKG40" s="57"/>
      <c r="DKH40" s="56"/>
      <c r="DKI40" s="56"/>
      <c r="DKJ40" s="56"/>
      <c r="DKK40" s="57"/>
      <c r="DKL40" s="57"/>
      <c r="DKM40" s="57"/>
      <c r="DKN40" s="57"/>
      <c r="DKO40" s="57"/>
      <c r="DKP40" s="57"/>
      <c r="DKQ40" s="57"/>
      <c r="DKR40" s="57"/>
      <c r="DKS40" s="57"/>
      <c r="DKT40" s="57"/>
      <c r="DKU40" s="57"/>
      <c r="DKV40" s="57"/>
      <c r="DKW40" s="57"/>
      <c r="DKX40" s="57"/>
      <c r="DKY40" s="57"/>
      <c r="DKZ40" s="57"/>
      <c r="DLA40" s="57"/>
      <c r="DLB40" s="57"/>
      <c r="DLC40" s="57"/>
      <c r="DLD40" s="57"/>
      <c r="DLE40" s="57"/>
      <c r="DLF40" s="57"/>
      <c r="DLG40" s="57"/>
      <c r="DLH40" s="57"/>
      <c r="DLI40" s="57"/>
      <c r="DLJ40" s="57"/>
      <c r="DLK40" s="57"/>
      <c r="DLL40" s="57"/>
      <c r="DLM40" s="57"/>
      <c r="DLN40" s="57"/>
      <c r="DLO40" s="57"/>
      <c r="DLP40" s="57"/>
      <c r="DLQ40" s="57"/>
      <c r="DLR40" s="57"/>
      <c r="DLS40" s="57"/>
      <c r="DLT40" s="57"/>
      <c r="DLU40" s="57"/>
      <c r="DLV40" s="58"/>
      <c r="DLW40" s="56"/>
      <c r="DLX40" s="57"/>
      <c r="DLY40" s="57"/>
      <c r="DLZ40" s="57"/>
      <c r="DMA40" s="57"/>
      <c r="DMB40" s="57"/>
      <c r="DMC40" s="56"/>
      <c r="DMD40" s="57"/>
      <c r="DME40" s="57"/>
      <c r="DMF40" s="56"/>
      <c r="DMG40" s="57"/>
      <c r="DMH40" s="58"/>
      <c r="DMI40" s="56"/>
      <c r="DMJ40" s="57"/>
      <c r="DMK40" s="57"/>
      <c r="DML40" s="57"/>
      <c r="DMM40" s="56"/>
      <c r="DMN40" s="57"/>
      <c r="DMO40" s="57"/>
      <c r="DMP40" s="56"/>
      <c r="DMQ40" s="57"/>
      <c r="DMR40" s="58"/>
      <c r="DMS40" s="56"/>
      <c r="DMT40" s="57"/>
      <c r="DMU40" s="57"/>
      <c r="DMV40" s="57"/>
      <c r="DMW40" s="56"/>
      <c r="DMX40" s="57"/>
      <c r="DMY40" s="57"/>
      <c r="DMZ40" s="56"/>
      <c r="DNA40" s="57"/>
      <c r="DNB40" s="58"/>
      <c r="DNC40" s="56"/>
      <c r="DND40" s="57"/>
      <c r="DNE40" s="57"/>
      <c r="DNF40" s="57"/>
      <c r="DNG40" s="56"/>
      <c r="DNH40" s="57"/>
      <c r="DNI40" s="57"/>
      <c r="DNJ40" s="56"/>
      <c r="DNK40" s="57"/>
      <c r="DNL40" s="58"/>
      <c r="DNM40" s="56"/>
      <c r="DNN40" s="58"/>
      <c r="DNO40" s="57"/>
      <c r="DNP40" s="56"/>
      <c r="DNQ40" s="57"/>
      <c r="DNR40" s="56"/>
      <c r="DNS40" s="56"/>
      <c r="DNT40" s="56"/>
      <c r="DNU40" s="57"/>
      <c r="DNV40" s="57"/>
      <c r="DNW40" s="57"/>
      <c r="DNX40" s="57"/>
      <c r="DNY40" s="57"/>
      <c r="DNZ40" s="57"/>
      <c r="DOA40" s="57"/>
      <c r="DOB40" s="57"/>
      <c r="DOC40" s="57"/>
      <c r="DOD40" s="57"/>
      <c r="DOE40" s="57"/>
      <c r="DOF40" s="57"/>
      <c r="DOG40" s="57"/>
      <c r="DOH40" s="57"/>
      <c r="DOI40" s="57"/>
      <c r="DOJ40" s="57"/>
      <c r="DOK40" s="57"/>
      <c r="DOL40" s="57"/>
      <c r="DOM40" s="57"/>
      <c r="DON40" s="57"/>
      <c r="DOO40" s="57"/>
      <c r="DOP40" s="57"/>
      <c r="DOQ40" s="57"/>
      <c r="DOR40" s="57"/>
      <c r="DOS40" s="57"/>
      <c r="DOT40" s="57"/>
      <c r="DOU40" s="57"/>
      <c r="DOV40" s="57"/>
      <c r="DOW40" s="57"/>
      <c r="DOX40" s="57"/>
      <c r="DOY40" s="57"/>
      <c r="DOZ40" s="57"/>
      <c r="DPA40" s="57"/>
      <c r="DPB40" s="57"/>
      <c r="DPC40" s="57"/>
      <c r="DPD40" s="57"/>
      <c r="DPE40" s="57"/>
      <c r="DPF40" s="58"/>
      <c r="DPG40" s="56"/>
      <c r="DPH40" s="57"/>
      <c r="DPI40" s="57"/>
      <c r="DPJ40" s="57"/>
      <c r="DPK40" s="57"/>
      <c r="DPL40" s="57"/>
      <c r="DPM40" s="56"/>
      <c r="DPN40" s="57"/>
      <c r="DPO40" s="57"/>
      <c r="DPP40" s="56"/>
      <c r="DPQ40" s="57"/>
      <c r="DPR40" s="58"/>
      <c r="DPS40" s="56"/>
      <c r="DPT40" s="57"/>
      <c r="DPU40" s="57"/>
      <c r="DPV40" s="57"/>
      <c r="DPW40" s="56"/>
      <c r="DPX40" s="57"/>
      <c r="DPY40" s="57"/>
      <c r="DPZ40" s="56"/>
      <c r="DQA40" s="57"/>
      <c r="DQB40" s="58"/>
      <c r="DQC40" s="56"/>
      <c r="DQD40" s="57"/>
      <c r="DQE40" s="57"/>
      <c r="DQF40" s="57"/>
      <c r="DQG40" s="56"/>
      <c r="DQH40" s="57"/>
      <c r="DQI40" s="57"/>
      <c r="DQJ40" s="56"/>
      <c r="DQK40" s="57"/>
      <c r="DQL40" s="58"/>
      <c r="DQM40" s="56"/>
      <c r="DQN40" s="57"/>
      <c r="DQO40" s="57"/>
      <c r="DQP40" s="57"/>
      <c r="DQQ40" s="56"/>
      <c r="DQR40" s="57"/>
      <c r="DQS40" s="57"/>
      <c r="DQT40" s="56"/>
      <c r="DQU40" s="57"/>
      <c r="DQV40" s="58"/>
      <c r="DQW40" s="56"/>
      <c r="DQX40" s="58"/>
      <c r="DQY40" s="57"/>
      <c r="DQZ40" s="56"/>
      <c r="DRA40" s="57"/>
      <c r="DRB40" s="56"/>
      <c r="DRC40" s="56"/>
      <c r="DRD40" s="56"/>
      <c r="DRE40" s="57"/>
      <c r="DRF40" s="57"/>
      <c r="DRG40" s="57"/>
      <c r="DRH40" s="57"/>
      <c r="DRI40" s="57"/>
      <c r="DRJ40" s="57"/>
      <c r="DRK40" s="57"/>
      <c r="DRL40" s="57"/>
      <c r="DRM40" s="57"/>
      <c r="DRN40" s="57"/>
      <c r="DRO40" s="57"/>
      <c r="DRP40" s="57"/>
      <c r="DRQ40" s="57"/>
      <c r="DRR40" s="57"/>
      <c r="DRS40" s="57"/>
      <c r="DRT40" s="57"/>
      <c r="DRU40" s="57"/>
      <c r="DRV40" s="57"/>
      <c r="DRW40" s="57"/>
      <c r="DRX40" s="57"/>
      <c r="DRY40" s="57"/>
      <c r="DRZ40" s="57"/>
      <c r="DSA40" s="57"/>
      <c r="DSB40" s="57"/>
      <c r="DSC40" s="57"/>
      <c r="DSD40" s="57"/>
      <c r="DSE40" s="57"/>
      <c r="DSF40" s="57"/>
      <c r="DSG40" s="57"/>
      <c r="DSH40" s="57"/>
      <c r="DSI40" s="57"/>
      <c r="DSJ40" s="57"/>
      <c r="DSK40" s="57"/>
      <c r="DSL40" s="57"/>
      <c r="DSM40" s="57"/>
      <c r="DSN40" s="57"/>
      <c r="DSO40" s="57"/>
      <c r="DSP40" s="58"/>
      <c r="DSQ40" s="56"/>
      <c r="DSR40" s="57"/>
      <c r="DSS40" s="57"/>
      <c r="DST40" s="57"/>
      <c r="DSU40" s="57"/>
      <c r="DSV40" s="57"/>
      <c r="DSW40" s="56"/>
      <c r="DSX40" s="57"/>
      <c r="DSY40" s="57"/>
      <c r="DSZ40" s="56"/>
      <c r="DTA40" s="57"/>
      <c r="DTB40" s="58"/>
      <c r="DTC40" s="56"/>
      <c r="DTD40" s="57"/>
      <c r="DTE40" s="57"/>
      <c r="DTF40" s="57"/>
      <c r="DTG40" s="56"/>
      <c r="DTH40" s="57"/>
      <c r="DTI40" s="57"/>
      <c r="DTJ40" s="56"/>
      <c r="DTK40" s="57"/>
      <c r="DTL40" s="58"/>
      <c r="DTM40" s="56"/>
      <c r="DTN40" s="57"/>
      <c r="DTO40" s="57"/>
      <c r="DTP40" s="57"/>
      <c r="DTQ40" s="56"/>
      <c r="DTR40" s="57"/>
      <c r="DTS40" s="57"/>
      <c r="DTT40" s="56"/>
      <c r="DTU40" s="57"/>
      <c r="DTV40" s="58"/>
      <c r="DTW40" s="56"/>
      <c r="DTX40" s="57"/>
      <c r="DTY40" s="57"/>
      <c r="DTZ40" s="57"/>
      <c r="DUA40" s="56"/>
      <c r="DUB40" s="57"/>
      <c r="DUC40" s="57"/>
      <c r="DUD40" s="56"/>
      <c r="DUE40" s="57"/>
      <c r="DUF40" s="58"/>
      <c r="DUG40" s="56"/>
      <c r="DUH40" s="58"/>
      <c r="DUI40" s="57"/>
      <c r="DUJ40" s="56"/>
      <c r="DUK40" s="57"/>
      <c r="DUL40" s="56"/>
      <c r="DUM40" s="56"/>
      <c r="DUN40" s="56"/>
      <c r="DUO40" s="57"/>
      <c r="DUP40" s="57"/>
      <c r="DUQ40" s="57"/>
      <c r="DUR40" s="57"/>
      <c r="DUS40" s="57"/>
      <c r="DUT40" s="57"/>
      <c r="DUU40" s="57"/>
      <c r="DUV40" s="57"/>
      <c r="DUW40" s="57"/>
      <c r="DUX40" s="57"/>
      <c r="DUY40" s="57"/>
      <c r="DUZ40" s="57"/>
      <c r="DVA40" s="57"/>
      <c r="DVB40" s="57"/>
      <c r="DVC40" s="57"/>
      <c r="DVD40" s="57"/>
      <c r="DVE40" s="57"/>
      <c r="DVF40" s="57"/>
      <c r="DVG40" s="57"/>
      <c r="DVH40" s="57"/>
      <c r="DVI40" s="57"/>
      <c r="DVJ40" s="57"/>
      <c r="DVK40" s="57"/>
      <c r="DVL40" s="57"/>
      <c r="DVM40" s="57"/>
      <c r="DVN40" s="57"/>
      <c r="DVO40" s="57"/>
      <c r="DVP40" s="57"/>
      <c r="DVQ40" s="57"/>
      <c r="DVR40" s="57"/>
      <c r="DVS40" s="57"/>
      <c r="DVT40" s="57"/>
      <c r="DVU40" s="57"/>
      <c r="DVV40" s="57"/>
      <c r="DVW40" s="57"/>
      <c r="DVX40" s="57"/>
      <c r="DVY40" s="57"/>
      <c r="DVZ40" s="58"/>
      <c r="DWA40" s="56"/>
      <c r="DWB40" s="57"/>
      <c r="DWC40" s="57"/>
      <c r="DWD40" s="57"/>
      <c r="DWE40" s="57"/>
      <c r="DWF40" s="57"/>
      <c r="DWG40" s="56"/>
      <c r="DWH40" s="57"/>
      <c r="DWI40" s="57"/>
      <c r="DWJ40" s="56"/>
      <c r="DWK40" s="57"/>
      <c r="DWL40" s="58"/>
      <c r="DWM40" s="56"/>
      <c r="DWN40" s="57"/>
      <c r="DWO40" s="57"/>
      <c r="DWP40" s="57"/>
      <c r="DWQ40" s="56"/>
      <c r="DWR40" s="57"/>
      <c r="DWS40" s="57"/>
      <c r="DWT40" s="56"/>
      <c r="DWU40" s="57"/>
      <c r="DWV40" s="58"/>
      <c r="DWW40" s="56"/>
      <c r="DWX40" s="57"/>
      <c r="DWY40" s="57"/>
      <c r="DWZ40" s="57"/>
      <c r="DXA40" s="56"/>
      <c r="DXB40" s="57"/>
      <c r="DXC40" s="57"/>
      <c r="DXD40" s="56"/>
      <c r="DXE40" s="57"/>
      <c r="DXF40" s="58"/>
      <c r="DXG40" s="56"/>
      <c r="DXH40" s="57"/>
      <c r="DXI40" s="57"/>
      <c r="DXJ40" s="57"/>
      <c r="DXK40" s="56"/>
      <c r="DXL40" s="57"/>
      <c r="DXM40" s="57"/>
      <c r="DXN40" s="56"/>
      <c r="DXO40" s="57"/>
      <c r="DXP40" s="58"/>
      <c r="DXQ40" s="56"/>
      <c r="DXR40" s="58"/>
      <c r="DXS40" s="57"/>
      <c r="DXT40" s="56"/>
      <c r="DXU40" s="57"/>
      <c r="DXV40" s="56"/>
      <c r="DXW40" s="56"/>
      <c r="DXX40" s="56"/>
      <c r="DXY40" s="57"/>
      <c r="DXZ40" s="57"/>
      <c r="DYA40" s="57"/>
      <c r="DYB40" s="57"/>
      <c r="DYC40" s="57"/>
      <c r="DYD40" s="57"/>
      <c r="DYE40" s="57"/>
      <c r="DYF40" s="57"/>
      <c r="DYG40" s="57"/>
      <c r="DYH40" s="57"/>
      <c r="DYI40" s="57"/>
      <c r="DYJ40" s="57"/>
      <c r="DYK40" s="57"/>
      <c r="DYL40" s="57"/>
      <c r="DYM40" s="57"/>
      <c r="DYN40" s="57"/>
      <c r="DYO40" s="57"/>
      <c r="DYP40" s="57"/>
      <c r="DYQ40" s="57"/>
      <c r="DYR40" s="57"/>
      <c r="DYS40" s="57"/>
      <c r="DYT40" s="57"/>
      <c r="DYU40" s="57"/>
      <c r="DYV40" s="57"/>
      <c r="DYW40" s="57"/>
      <c r="DYX40" s="57"/>
      <c r="DYY40" s="57"/>
      <c r="DYZ40" s="57"/>
      <c r="DZA40" s="57"/>
      <c r="DZB40" s="57"/>
      <c r="DZC40" s="57"/>
      <c r="DZD40" s="57"/>
      <c r="DZE40" s="57"/>
      <c r="DZF40" s="57"/>
      <c r="DZG40" s="57"/>
      <c r="DZH40" s="57"/>
      <c r="DZI40" s="57"/>
      <c r="DZJ40" s="58"/>
      <c r="DZK40" s="56"/>
      <c r="DZL40" s="57"/>
      <c r="DZM40" s="57"/>
      <c r="DZN40" s="57"/>
      <c r="DZO40" s="57"/>
      <c r="DZP40" s="57"/>
      <c r="DZQ40" s="56"/>
      <c r="DZR40" s="57"/>
      <c r="DZS40" s="57"/>
      <c r="DZT40" s="56"/>
      <c r="DZU40" s="57"/>
      <c r="DZV40" s="58"/>
      <c r="DZW40" s="56"/>
      <c r="DZX40" s="57"/>
      <c r="DZY40" s="57"/>
      <c r="DZZ40" s="57"/>
      <c r="EAA40" s="56"/>
      <c r="EAB40" s="57"/>
      <c r="EAC40" s="57"/>
      <c r="EAD40" s="56"/>
      <c r="EAE40" s="57"/>
      <c r="EAF40" s="58"/>
      <c r="EAG40" s="56"/>
      <c r="EAH40" s="57"/>
      <c r="EAI40" s="57"/>
      <c r="EAJ40" s="57"/>
      <c r="EAK40" s="56"/>
      <c r="EAL40" s="57"/>
      <c r="EAM40" s="57"/>
      <c r="EAN40" s="56"/>
      <c r="EAO40" s="57"/>
      <c r="EAP40" s="58"/>
      <c r="EAQ40" s="56"/>
      <c r="EAR40" s="57"/>
      <c r="EAS40" s="57"/>
      <c r="EAT40" s="57"/>
      <c r="EAU40" s="56"/>
      <c r="EAV40" s="57"/>
      <c r="EAW40" s="57"/>
      <c r="EAX40" s="56"/>
      <c r="EAY40" s="57"/>
      <c r="EAZ40" s="58"/>
      <c r="EBA40" s="56"/>
      <c r="EBB40" s="58"/>
      <c r="EBC40" s="57"/>
      <c r="EBD40" s="56"/>
      <c r="EBE40" s="57"/>
      <c r="EBF40" s="56"/>
      <c r="EBG40" s="56"/>
      <c r="EBH40" s="56"/>
      <c r="EBI40" s="57"/>
      <c r="EBJ40" s="57"/>
      <c r="EBK40" s="57"/>
      <c r="EBL40" s="57"/>
      <c r="EBM40" s="57"/>
      <c r="EBN40" s="57"/>
      <c r="EBO40" s="57"/>
      <c r="EBP40" s="57"/>
      <c r="EBQ40" s="57"/>
      <c r="EBR40" s="57"/>
      <c r="EBS40" s="57"/>
      <c r="EBT40" s="57"/>
      <c r="EBU40" s="57"/>
      <c r="EBV40" s="57"/>
      <c r="EBW40" s="57"/>
      <c r="EBX40" s="57"/>
      <c r="EBY40" s="57"/>
      <c r="EBZ40" s="57"/>
      <c r="ECA40" s="57"/>
      <c r="ECB40" s="57"/>
      <c r="ECC40" s="57"/>
      <c r="ECD40" s="57"/>
      <c r="ECE40" s="57"/>
      <c r="ECF40" s="57"/>
      <c r="ECG40" s="57"/>
      <c r="ECH40" s="57"/>
      <c r="ECI40" s="57"/>
      <c r="ECJ40" s="57"/>
      <c r="ECK40" s="57"/>
      <c r="ECL40" s="57"/>
      <c r="ECM40" s="57"/>
      <c r="ECN40" s="57"/>
      <c r="ECO40" s="57"/>
      <c r="ECP40" s="57"/>
      <c r="ECQ40" s="57"/>
      <c r="ECR40" s="57"/>
      <c r="ECS40" s="57"/>
      <c r="ECT40" s="58"/>
      <c r="ECU40" s="56"/>
      <c r="ECV40" s="57"/>
      <c r="ECW40" s="57"/>
      <c r="ECX40" s="57"/>
      <c r="ECY40" s="57"/>
      <c r="ECZ40" s="57"/>
      <c r="EDA40" s="56"/>
      <c r="EDB40" s="57"/>
      <c r="EDC40" s="57"/>
      <c r="EDD40" s="56"/>
      <c r="EDE40" s="57"/>
      <c r="EDF40" s="58"/>
      <c r="EDG40" s="56"/>
      <c r="EDH40" s="57"/>
      <c r="EDI40" s="57"/>
      <c r="EDJ40" s="57"/>
      <c r="EDK40" s="56"/>
      <c r="EDL40" s="57"/>
      <c r="EDM40" s="57"/>
      <c r="EDN40" s="56"/>
      <c r="EDO40" s="57"/>
      <c r="EDP40" s="58"/>
      <c r="EDQ40" s="56"/>
      <c r="EDR40" s="57"/>
      <c r="EDS40" s="57"/>
      <c r="EDT40" s="57"/>
      <c r="EDU40" s="56"/>
      <c r="EDV40" s="57"/>
      <c r="EDW40" s="57"/>
      <c r="EDX40" s="56"/>
      <c r="EDY40" s="57"/>
      <c r="EDZ40" s="58"/>
      <c r="EEA40" s="56"/>
      <c r="EEB40" s="57"/>
      <c r="EEC40" s="57"/>
      <c r="EED40" s="57"/>
      <c r="EEE40" s="56"/>
      <c r="EEF40" s="57"/>
      <c r="EEG40" s="57"/>
      <c r="EEH40" s="56"/>
      <c r="EEI40" s="57"/>
      <c r="EEJ40" s="58"/>
      <c r="EEK40" s="56"/>
      <c r="EEL40" s="58"/>
      <c r="EEM40" s="57"/>
      <c r="EEN40" s="56"/>
      <c r="EEO40" s="57"/>
      <c r="EEP40" s="56"/>
      <c r="EEQ40" s="56"/>
      <c r="EER40" s="56"/>
      <c r="EES40" s="57"/>
      <c r="EET40" s="57"/>
      <c r="EEU40" s="57"/>
      <c r="EEV40" s="57"/>
      <c r="EEW40" s="57"/>
      <c r="EEX40" s="57"/>
      <c r="EEY40" s="57"/>
      <c r="EEZ40" s="57"/>
      <c r="EFA40" s="57"/>
      <c r="EFB40" s="57"/>
      <c r="EFC40" s="57"/>
      <c r="EFD40" s="57"/>
      <c r="EFE40" s="57"/>
      <c r="EFF40" s="57"/>
      <c r="EFG40" s="57"/>
      <c r="EFH40" s="57"/>
      <c r="EFI40" s="57"/>
      <c r="EFJ40" s="57"/>
      <c r="EFK40" s="57"/>
      <c r="EFL40" s="57"/>
      <c r="EFM40" s="57"/>
      <c r="EFN40" s="57"/>
      <c r="EFO40" s="57"/>
      <c r="EFP40" s="57"/>
      <c r="EFQ40" s="57"/>
      <c r="EFR40" s="57"/>
      <c r="EFS40" s="57"/>
      <c r="EFT40" s="57"/>
      <c r="EFU40" s="57"/>
      <c r="EFV40" s="57"/>
      <c r="EFW40" s="57"/>
      <c r="EFX40" s="57"/>
      <c r="EFY40" s="57"/>
      <c r="EFZ40" s="57"/>
      <c r="EGA40" s="57"/>
      <c r="EGB40" s="57"/>
      <c r="EGC40" s="57"/>
      <c r="EGD40" s="58"/>
      <c r="EGE40" s="56"/>
      <c r="EGF40" s="57"/>
      <c r="EGG40" s="57"/>
      <c r="EGH40" s="57"/>
      <c r="EGI40" s="57"/>
      <c r="EGJ40" s="57"/>
      <c r="EGK40" s="56"/>
      <c r="EGL40" s="57"/>
      <c r="EGM40" s="57"/>
      <c r="EGN40" s="56"/>
      <c r="EGO40" s="57"/>
      <c r="EGP40" s="58"/>
      <c r="EGQ40" s="56"/>
      <c r="EGR40" s="57"/>
      <c r="EGS40" s="57"/>
      <c r="EGT40" s="57"/>
      <c r="EGU40" s="56"/>
      <c r="EGV40" s="57"/>
      <c r="EGW40" s="57"/>
      <c r="EGX40" s="56"/>
      <c r="EGY40" s="57"/>
      <c r="EGZ40" s="58"/>
      <c r="EHA40" s="56"/>
      <c r="EHB40" s="57"/>
      <c r="EHC40" s="57"/>
      <c r="EHD40" s="57"/>
      <c r="EHE40" s="56"/>
      <c r="EHF40" s="57"/>
      <c r="EHG40" s="57"/>
      <c r="EHH40" s="56"/>
      <c r="EHI40" s="57"/>
      <c r="EHJ40" s="58"/>
      <c r="EHK40" s="56"/>
      <c r="EHL40" s="57"/>
      <c r="EHM40" s="57"/>
      <c r="EHN40" s="57"/>
      <c r="EHO40" s="56"/>
      <c r="EHP40" s="57"/>
      <c r="EHQ40" s="57"/>
      <c r="EHR40" s="56"/>
      <c r="EHS40" s="57"/>
      <c r="EHT40" s="58"/>
      <c r="EHU40" s="56"/>
      <c r="EHV40" s="58"/>
      <c r="EHW40" s="57"/>
      <c r="EHX40" s="56"/>
      <c r="EHY40" s="57"/>
      <c r="EHZ40" s="56"/>
      <c r="EIA40" s="56"/>
      <c r="EIB40" s="56"/>
      <c r="EIC40" s="57"/>
      <c r="EID40" s="57"/>
      <c r="EIE40" s="57"/>
      <c r="EIF40" s="57"/>
      <c r="EIG40" s="57"/>
      <c r="EIH40" s="57"/>
      <c r="EII40" s="57"/>
      <c r="EIJ40" s="57"/>
      <c r="EIK40" s="57"/>
      <c r="EIL40" s="57"/>
      <c r="EIM40" s="57"/>
      <c r="EIN40" s="57"/>
      <c r="EIO40" s="57"/>
      <c r="EIP40" s="57"/>
      <c r="EIQ40" s="57"/>
      <c r="EIR40" s="57"/>
      <c r="EIS40" s="57"/>
      <c r="EIT40" s="57"/>
      <c r="EIU40" s="57"/>
      <c r="EIV40" s="57"/>
      <c r="EIW40" s="57"/>
      <c r="EIX40" s="57"/>
      <c r="EIY40" s="57"/>
      <c r="EIZ40" s="57"/>
      <c r="EJA40" s="57"/>
      <c r="EJB40" s="57"/>
      <c r="EJC40" s="57"/>
      <c r="EJD40" s="57"/>
      <c r="EJE40" s="57"/>
      <c r="EJF40" s="57"/>
      <c r="EJG40" s="57"/>
      <c r="EJH40" s="57"/>
      <c r="EJI40" s="57"/>
      <c r="EJJ40" s="57"/>
      <c r="EJK40" s="57"/>
      <c r="EJL40" s="57"/>
      <c r="EJM40" s="57"/>
      <c r="EJN40" s="58"/>
      <c r="EJO40" s="56"/>
      <c r="EJP40" s="57"/>
      <c r="EJQ40" s="57"/>
      <c r="EJR40" s="57"/>
      <c r="EJS40" s="57"/>
      <c r="EJT40" s="57"/>
      <c r="EJU40" s="56"/>
      <c r="EJV40" s="57"/>
      <c r="EJW40" s="57"/>
      <c r="EJX40" s="56"/>
      <c r="EJY40" s="57"/>
      <c r="EJZ40" s="58"/>
      <c r="EKA40" s="56"/>
      <c r="EKB40" s="57"/>
      <c r="EKC40" s="57"/>
      <c r="EKD40" s="57"/>
      <c r="EKE40" s="56"/>
      <c r="EKF40" s="57"/>
      <c r="EKG40" s="57"/>
      <c r="EKH40" s="56"/>
      <c r="EKI40" s="57"/>
      <c r="EKJ40" s="58"/>
      <c r="EKK40" s="56"/>
      <c r="EKL40" s="57"/>
      <c r="EKM40" s="57"/>
      <c r="EKN40" s="57"/>
      <c r="EKO40" s="56"/>
      <c r="EKP40" s="57"/>
      <c r="EKQ40" s="57"/>
      <c r="EKR40" s="56"/>
      <c r="EKS40" s="57"/>
      <c r="EKT40" s="58"/>
      <c r="EKU40" s="56"/>
      <c r="EKV40" s="57"/>
      <c r="EKW40" s="57"/>
      <c r="EKX40" s="57"/>
      <c r="EKY40" s="56"/>
      <c r="EKZ40" s="57"/>
      <c r="ELA40" s="57"/>
      <c r="ELB40" s="56"/>
      <c r="ELC40" s="57"/>
      <c r="ELD40" s="58"/>
      <c r="ELE40" s="56"/>
      <c r="ELF40" s="58"/>
      <c r="ELG40" s="57"/>
      <c r="ELH40" s="56"/>
      <c r="ELI40" s="57"/>
      <c r="ELJ40" s="56"/>
      <c r="ELK40" s="56"/>
      <c r="ELL40" s="56"/>
      <c r="ELM40" s="57"/>
      <c r="ELN40" s="57"/>
      <c r="ELO40" s="57"/>
      <c r="ELP40" s="57"/>
      <c r="ELQ40" s="57"/>
      <c r="ELR40" s="57"/>
      <c r="ELS40" s="57"/>
      <c r="ELT40" s="57"/>
      <c r="ELU40" s="57"/>
      <c r="ELV40" s="57"/>
      <c r="ELW40" s="57"/>
      <c r="ELX40" s="57"/>
      <c r="ELY40" s="57"/>
      <c r="ELZ40" s="57"/>
      <c r="EMA40" s="57"/>
      <c r="EMB40" s="57"/>
      <c r="EMC40" s="57"/>
      <c r="EMD40" s="57"/>
      <c r="EME40" s="57"/>
      <c r="EMF40" s="57"/>
      <c r="EMG40" s="57"/>
      <c r="EMH40" s="57"/>
      <c r="EMI40" s="57"/>
      <c r="EMJ40" s="57"/>
      <c r="EMK40" s="57"/>
      <c r="EML40" s="57"/>
      <c r="EMM40" s="57"/>
      <c r="EMN40" s="57"/>
      <c r="EMO40" s="57"/>
      <c r="EMP40" s="57"/>
      <c r="EMQ40" s="57"/>
      <c r="EMR40" s="57"/>
      <c r="EMS40" s="57"/>
      <c r="EMT40" s="57"/>
      <c r="EMU40" s="57"/>
      <c r="EMV40" s="57"/>
      <c r="EMW40" s="57"/>
      <c r="EMX40" s="58"/>
      <c r="EMY40" s="56"/>
      <c r="EMZ40" s="57"/>
      <c r="ENA40" s="57"/>
      <c r="ENB40" s="57"/>
      <c r="ENC40" s="57"/>
      <c r="END40" s="57"/>
      <c r="ENE40" s="56"/>
      <c r="ENF40" s="57"/>
      <c r="ENG40" s="57"/>
      <c r="ENH40" s="56"/>
      <c r="ENI40" s="57"/>
      <c r="ENJ40" s="58"/>
      <c r="ENK40" s="56"/>
      <c r="ENL40" s="57"/>
      <c r="ENM40" s="57"/>
      <c r="ENN40" s="57"/>
      <c r="ENO40" s="56"/>
      <c r="ENP40" s="57"/>
      <c r="ENQ40" s="57"/>
      <c r="ENR40" s="56"/>
      <c r="ENS40" s="57"/>
      <c r="ENT40" s="58"/>
      <c r="ENU40" s="56"/>
      <c r="ENV40" s="57"/>
      <c r="ENW40" s="57"/>
      <c r="ENX40" s="57"/>
      <c r="ENY40" s="56"/>
      <c r="ENZ40" s="57"/>
      <c r="EOA40" s="57"/>
      <c r="EOB40" s="56"/>
      <c r="EOC40" s="57"/>
      <c r="EOD40" s="58"/>
      <c r="EOE40" s="56"/>
      <c r="EOF40" s="57"/>
      <c r="EOG40" s="57"/>
      <c r="EOH40" s="57"/>
      <c r="EOI40" s="56"/>
      <c r="EOJ40" s="57"/>
      <c r="EOK40" s="57"/>
      <c r="EOL40" s="56"/>
      <c r="EOM40" s="57"/>
      <c r="EON40" s="58"/>
      <c r="EOO40" s="56" t="str">
        <f t="shared" si="149"/>
        <v xml:space="preserve"> </v>
      </c>
      <c r="EOP40" s="58"/>
      <c r="EOQ40" s="57"/>
      <c r="EOR40" s="56"/>
      <c r="EOS40" s="57"/>
      <c r="EOT40" s="56"/>
      <c r="EOU40" s="56"/>
      <c r="EOV40" s="56"/>
      <c r="EOW40" s="57"/>
      <c r="EOX40" s="57"/>
      <c r="EOY40" s="57"/>
      <c r="EOZ40" s="57"/>
      <c r="EPA40" s="57"/>
      <c r="EPB40" s="57"/>
      <c r="EPC40" s="57"/>
      <c r="EPD40" s="57"/>
      <c r="EPE40" s="57"/>
      <c r="EPF40" s="57"/>
      <c r="EPG40" s="57"/>
      <c r="EPH40" s="57"/>
      <c r="EPI40" s="57"/>
      <c r="EPJ40" s="57"/>
      <c r="EPK40" s="57"/>
      <c r="EPL40" s="57"/>
      <c r="EPM40" s="57"/>
      <c r="EPN40" s="57"/>
      <c r="EPO40" s="57"/>
      <c r="EPP40" s="57"/>
      <c r="EPQ40" s="57"/>
      <c r="EPR40" s="57"/>
      <c r="EPS40" s="57"/>
      <c r="EPT40" s="57"/>
      <c r="EPU40" s="57"/>
      <c r="EPV40" s="57"/>
      <c r="EPW40" s="57"/>
      <c r="EPX40" s="57"/>
      <c r="EPY40" s="57"/>
      <c r="EPZ40" s="57"/>
      <c r="EQA40" s="57"/>
      <c r="EQB40" s="57"/>
      <c r="EQC40" s="57"/>
      <c r="EQD40" s="57"/>
      <c r="EQE40" s="57"/>
      <c r="EQF40" s="57"/>
      <c r="EQG40" s="57"/>
      <c r="EQH40" s="58"/>
      <c r="EQI40" s="56"/>
      <c r="EQJ40" s="57"/>
      <c r="EQK40" s="57"/>
      <c r="EQL40" s="57"/>
      <c r="EQM40" s="57"/>
      <c r="EQN40" s="57"/>
      <c r="EQO40" s="56"/>
      <c r="EQP40" s="57"/>
      <c r="EQQ40" s="57"/>
      <c r="EQR40" s="56"/>
      <c r="EQS40" s="57"/>
      <c r="EQT40" s="58"/>
      <c r="EQU40" s="56"/>
      <c r="EQV40" s="57"/>
      <c r="EQW40" s="57"/>
      <c r="EQX40" s="57"/>
      <c r="EQY40" s="56"/>
      <c r="EQZ40" s="57"/>
      <c r="ERA40" s="57"/>
      <c r="ERB40" s="56"/>
      <c r="ERC40" s="57"/>
      <c r="ERD40" s="58"/>
      <c r="ERE40" s="56"/>
      <c r="ERF40" s="57"/>
      <c r="ERG40" s="57"/>
      <c r="ERH40" s="57"/>
      <c r="ERI40" s="56"/>
      <c r="ERJ40" s="57"/>
      <c r="ERK40" s="57"/>
      <c r="ERL40" s="56"/>
      <c r="ERM40" s="57"/>
      <c r="ERN40" s="58"/>
      <c r="ERO40" s="56"/>
      <c r="ERP40" s="57"/>
      <c r="ERQ40" s="57"/>
      <c r="ERR40" s="57"/>
      <c r="ERS40" s="56"/>
      <c r="ERT40" s="57"/>
      <c r="ERU40" s="57"/>
      <c r="ERV40" s="56"/>
      <c r="ERW40" s="57"/>
      <c r="ERX40" s="58"/>
      <c r="ERY40" s="56" t="str">
        <f t="shared" si="152"/>
        <v xml:space="preserve"> </v>
      </c>
      <c r="ERZ40" s="58"/>
      <c r="ESA40" s="57"/>
      <c r="ESB40" s="56"/>
      <c r="ESC40" s="57"/>
      <c r="ESD40" s="56"/>
      <c r="ESE40" s="56"/>
      <c r="ESF40" s="56"/>
      <c r="ESG40" s="57"/>
      <c r="ESH40" s="57"/>
      <c r="ESI40" s="57"/>
      <c r="ESJ40" s="57"/>
      <c r="ESK40" s="57"/>
      <c r="ESL40" s="57"/>
      <c r="ESM40" s="57"/>
      <c r="ESN40" s="57"/>
      <c r="ESO40" s="57"/>
      <c r="ESP40" s="57"/>
      <c r="ESQ40" s="57"/>
      <c r="ESR40" s="57"/>
      <c r="ESS40" s="57"/>
      <c r="EST40" s="57"/>
      <c r="ESU40" s="57"/>
      <c r="ESV40" s="57"/>
      <c r="ESW40" s="57"/>
      <c r="ESX40" s="57"/>
      <c r="ESY40" s="57"/>
      <c r="ESZ40" s="57"/>
      <c r="ETA40" s="57"/>
      <c r="ETB40" s="57"/>
      <c r="ETC40" s="57"/>
      <c r="ETD40" s="57"/>
      <c r="ETE40" s="57"/>
      <c r="ETF40" s="57"/>
      <c r="ETG40" s="57"/>
      <c r="ETH40" s="57"/>
      <c r="ETI40" s="57"/>
      <c r="ETJ40" s="57"/>
      <c r="ETK40" s="57"/>
      <c r="ETL40" s="57"/>
      <c r="ETM40" s="57"/>
      <c r="ETN40" s="57"/>
      <c r="ETO40" s="57"/>
      <c r="ETP40" s="57"/>
      <c r="ETQ40" s="57"/>
      <c r="ETR40" s="58"/>
      <c r="ETS40" s="56"/>
      <c r="ETT40" s="57"/>
      <c r="ETU40" s="57"/>
      <c r="ETV40" s="57"/>
      <c r="ETW40" s="57"/>
      <c r="ETX40" s="57"/>
      <c r="ETY40" s="56"/>
      <c r="ETZ40" s="57"/>
      <c r="EUA40" s="57"/>
      <c r="EUB40" s="56"/>
      <c r="EUC40" s="57"/>
      <c r="EUD40" s="58"/>
      <c r="EUE40" s="56"/>
      <c r="EUF40" s="57"/>
      <c r="EUG40" s="57"/>
      <c r="EUH40" s="57"/>
      <c r="EUI40" s="56"/>
      <c r="EUJ40" s="57"/>
      <c r="EUK40" s="57"/>
      <c r="EUL40" s="56"/>
      <c r="EUM40" s="57"/>
      <c r="EUN40" s="58"/>
      <c r="EUO40" s="56"/>
      <c r="EUP40" s="57"/>
      <c r="EUQ40" s="57"/>
      <c r="EUR40" s="57"/>
      <c r="EUS40" s="56"/>
      <c r="EUT40" s="57"/>
      <c r="EUU40" s="57"/>
      <c r="EUV40" s="56"/>
      <c r="EUW40" s="57"/>
      <c r="EUX40" s="58"/>
      <c r="EUY40" s="56"/>
      <c r="EUZ40" s="57"/>
      <c r="EVA40" s="57"/>
      <c r="EVB40" s="57"/>
      <c r="EVC40" s="56"/>
      <c r="EVD40" s="57"/>
      <c r="EVE40" s="57"/>
      <c r="EVF40" s="56"/>
      <c r="EVG40" s="57"/>
      <c r="EVH40" s="58"/>
      <c r="EVI40" s="56" t="str">
        <f t="shared" si="153"/>
        <v xml:space="preserve"> </v>
      </c>
    </row>
    <row r="41" spans="1:3961" x14ac:dyDescent="0.3">
      <c r="A41" s="423" t="s">
        <v>233</v>
      </c>
      <c r="B41" s="27" t="str">
        <f>'REG y VAL POE - AESR - ESR'!B3171</f>
        <v xml:space="preserve">Cristobal Lopez Manuel </v>
      </c>
      <c r="C41" s="29">
        <f>'REG y VAL POE - AESR - ESR'!C3171</f>
        <v>0</v>
      </c>
      <c r="D41" s="28">
        <f>'REG y VAL POE - AESR - ESR'!D3171</f>
        <v>23179908</v>
      </c>
      <c r="E41" s="29">
        <f>'REG y VAL POE - AESR - ESR'!E3171</f>
        <v>0</v>
      </c>
      <c r="F41" s="28">
        <f>'REG y VAL POE - AESR - ESR'!F3171</f>
        <v>0</v>
      </c>
      <c r="G41" s="31">
        <f>'REG y VAL POE - AESR - ESR'!G3171</f>
        <v>0</v>
      </c>
      <c r="H41" s="31">
        <f>'REG y VAL POE - AESR - ESR'!H3171</f>
        <v>0</v>
      </c>
      <c r="I41" s="29">
        <f>'REG y VAL POE - AESR - ESR'!I3171</f>
        <v>0</v>
      </c>
      <c r="J41" s="29">
        <f>'REG y VAL POE - AESR - ESR'!J3171</f>
        <v>0</v>
      </c>
      <c r="K41" s="29">
        <f>'REG y VAL POE - AESR - ESR'!K3171</f>
        <v>0</v>
      </c>
      <c r="L41" s="29">
        <f>'REG y VAL POE - AESR - ESR'!L3171</f>
        <v>0</v>
      </c>
      <c r="M41" s="29">
        <f>'REG y VAL POE - AESR - ESR'!M3171</f>
        <v>0</v>
      </c>
      <c r="N41" s="29">
        <f>'REG y VAL POE - AESR - ESR'!N3171</f>
        <v>0</v>
      </c>
      <c r="O41" s="29">
        <f>'REG y VAL POE - AESR - ESR'!O3171</f>
        <v>0</v>
      </c>
      <c r="P41" s="29">
        <f>'REG y VAL POE - AESR - ESR'!P3171</f>
        <v>0</v>
      </c>
      <c r="Q41" s="29">
        <f>'REG y VAL POE - AESR - ESR'!Q3171</f>
        <v>0</v>
      </c>
      <c r="R41" s="29">
        <f>'REG y VAL POE - AESR - ESR'!R3171</f>
        <v>0</v>
      </c>
      <c r="S41" s="29">
        <f>'REG y VAL POE - AESR - ESR'!S3171</f>
        <v>0</v>
      </c>
      <c r="T41" s="29">
        <f>'REG y VAL POE - AESR - ESR'!T3171</f>
        <v>0</v>
      </c>
      <c r="U41" s="29">
        <f>'REG y VAL POE - AESR - ESR'!U3171</f>
        <v>0</v>
      </c>
      <c r="V41" s="29">
        <f>'REG y VAL POE - AESR - ESR'!V3171</f>
        <v>0</v>
      </c>
      <c r="W41" s="29">
        <f>'REG y VAL POE - AESR - ESR'!W3171</f>
        <v>0</v>
      </c>
      <c r="X41" s="29">
        <f>'REG y VAL POE - AESR - ESR'!X3171</f>
        <v>0</v>
      </c>
      <c r="Y41" s="29">
        <f>'REG y VAL POE - AESR - ESR'!Y3171</f>
        <v>0</v>
      </c>
      <c r="Z41" s="29">
        <f>'REG y VAL POE - AESR - ESR'!Z3171</f>
        <v>0</v>
      </c>
      <c r="AA41" s="29">
        <f>'REG y VAL POE - AESR - ESR'!AA3171</f>
        <v>0</v>
      </c>
      <c r="AB41" s="29">
        <f>'REG y VAL POE - AESR - ESR'!AB3171</f>
        <v>0</v>
      </c>
      <c r="AC41" s="29">
        <f>'REG y VAL POE - AESR - ESR'!AC3171</f>
        <v>0</v>
      </c>
      <c r="AD41" s="29">
        <f>'REG y VAL POE - AESR - ESR'!AD3171</f>
        <v>0</v>
      </c>
      <c r="AE41" s="29">
        <f>'REG y VAL POE - AESR - ESR'!AE3171</f>
        <v>0</v>
      </c>
      <c r="AF41" s="29">
        <f>'REG y VAL POE - AESR - ESR'!AF3171</f>
        <v>0</v>
      </c>
      <c r="AG41" s="29">
        <f>'REG y VAL POE - AESR - ESR'!AG3171</f>
        <v>0</v>
      </c>
      <c r="AH41" s="29">
        <f>'REG y VAL POE - AESR - ESR'!AH3171</f>
        <v>0</v>
      </c>
      <c r="AI41" s="29">
        <f>'REG y VAL POE - AESR - ESR'!AI3171</f>
        <v>0</v>
      </c>
      <c r="AJ41" s="29">
        <f>'REG y VAL POE - AESR - ESR'!AJ3171</f>
        <v>0</v>
      </c>
      <c r="AK41" s="29">
        <f>'REG y VAL POE - AESR - ESR'!AK3171</f>
        <v>0</v>
      </c>
      <c r="AL41" s="29">
        <f>'REG y VAL POE - AESR - ESR'!AL3171</f>
        <v>0</v>
      </c>
      <c r="AM41" s="29">
        <f>'REG y VAL POE - AESR - ESR'!AM3171</f>
        <v>0</v>
      </c>
      <c r="AN41" s="29">
        <f>'REG y VAL POE - AESR - ESR'!AN3171</f>
        <v>0</v>
      </c>
      <c r="AO41" s="29">
        <f>'REG y VAL POE - AESR - ESR'!AO3171</f>
        <v>0</v>
      </c>
      <c r="AP41" s="29">
        <f>'REG y VAL POE - AESR - ESR'!AP3171</f>
        <v>0</v>
      </c>
      <c r="AQ41" s="29">
        <f>'REG y VAL POE - AESR - ESR'!AQ3171</f>
        <v>0</v>
      </c>
      <c r="AR41" s="29">
        <f>'REG y VAL POE - AESR - ESR'!AR3171</f>
        <v>0</v>
      </c>
      <c r="AS41" s="29">
        <f>'REG y VAL POE - AESR - ESR'!AS3171</f>
        <v>0</v>
      </c>
      <c r="AT41" s="30" t="str">
        <f>'REG y VAL POE - AESR - ESR'!B3172</f>
        <v xml:space="preserve">Granados Camacho Arturo </v>
      </c>
      <c r="AU41" s="28">
        <f>'REG y VAL POE - AESR - ESR'!C3172</f>
        <v>0</v>
      </c>
      <c r="AV41" s="29">
        <f>'REG y VAL POE - AESR - ESR'!D3172</f>
        <v>23182585</v>
      </c>
      <c r="AW41" s="29">
        <f>'REG y VAL POE - AESR - ESR'!E3172</f>
        <v>0</v>
      </c>
      <c r="AX41" s="29">
        <f>'REG y VAL POE - AESR - ESR'!F3172</f>
        <v>0</v>
      </c>
      <c r="AY41" s="29">
        <f>'REG y VAL POE - AESR - ESR'!G3172</f>
        <v>0</v>
      </c>
      <c r="AZ41" s="29">
        <f>'REG y VAL POE - AESR - ESR'!H3172</f>
        <v>0</v>
      </c>
      <c r="BA41" s="28">
        <f>'REG y VAL POE - AESR - ESR'!I3172</f>
        <v>0</v>
      </c>
      <c r="BB41" s="29">
        <f>'REG y VAL POE - AESR - ESR'!J3172</f>
        <v>0</v>
      </c>
      <c r="BC41" s="29">
        <f>'REG y VAL POE - AESR - ESR'!K3172</f>
        <v>0</v>
      </c>
      <c r="BD41" s="28">
        <f>'REG y VAL POE - AESR - ESR'!L3172</f>
        <v>0</v>
      </c>
      <c r="BE41" s="29">
        <f>'REG y VAL POE - AESR - ESR'!M3172</f>
        <v>0</v>
      </c>
      <c r="BF41" s="30">
        <f>'REG y VAL POE - AESR - ESR'!N3172</f>
        <v>0</v>
      </c>
      <c r="BG41" s="28">
        <f>'REG y VAL POE - AESR - ESR'!O3172</f>
        <v>0</v>
      </c>
      <c r="BH41" s="29">
        <f>'REG y VAL POE - AESR - ESR'!P3172</f>
        <v>0</v>
      </c>
      <c r="BI41" s="29">
        <f>'REG y VAL POE - AESR - ESR'!Q3172</f>
        <v>0</v>
      </c>
      <c r="BJ41" s="29">
        <f>'REG y VAL POE - AESR - ESR'!R3172</f>
        <v>0</v>
      </c>
      <c r="BK41" s="28">
        <f>'REG y VAL POE - AESR - ESR'!S3172</f>
        <v>0</v>
      </c>
      <c r="BL41" s="29">
        <f>'REG y VAL POE - AESR - ESR'!T3172</f>
        <v>0</v>
      </c>
      <c r="BM41" s="29">
        <f>'REG y VAL POE - AESR - ESR'!U3172</f>
        <v>0</v>
      </c>
      <c r="BN41" s="28">
        <f>'REG y VAL POE - AESR - ESR'!V3172</f>
        <v>0</v>
      </c>
      <c r="BO41" s="29">
        <f>'REG y VAL POE - AESR - ESR'!W3172</f>
        <v>0</v>
      </c>
      <c r="BP41" s="30">
        <f>'REG y VAL POE - AESR - ESR'!X3172</f>
        <v>0</v>
      </c>
      <c r="BQ41" s="28">
        <f>'REG y VAL POE - AESR - ESR'!Y3172</f>
        <v>0</v>
      </c>
      <c r="BR41" s="29">
        <f>'REG y VAL POE - AESR - ESR'!Z3172</f>
        <v>0</v>
      </c>
      <c r="BS41" s="29">
        <f>'REG y VAL POE - AESR - ESR'!AA3172</f>
        <v>0</v>
      </c>
      <c r="BT41" s="29">
        <f>'REG y VAL POE - AESR - ESR'!AB3172</f>
        <v>0</v>
      </c>
      <c r="BU41" s="28">
        <f>'REG y VAL POE - AESR - ESR'!AC3172</f>
        <v>0</v>
      </c>
      <c r="BV41" s="29">
        <f>'REG y VAL POE - AESR - ESR'!AD3172</f>
        <v>0</v>
      </c>
      <c r="BW41" s="29">
        <f>'REG y VAL POE - AESR - ESR'!AE3172</f>
        <v>0</v>
      </c>
      <c r="BX41" s="28">
        <f>'REG y VAL POE - AESR - ESR'!AF3172</f>
        <v>0</v>
      </c>
      <c r="BY41" s="29">
        <f>'REG y VAL POE - AESR - ESR'!AG3172</f>
        <v>0</v>
      </c>
      <c r="BZ41" s="30">
        <f>'REG y VAL POE - AESR - ESR'!AH3172</f>
        <v>0</v>
      </c>
      <c r="CA41" s="28">
        <f>'REG y VAL POE - AESR - ESR'!AI3172</f>
        <v>0</v>
      </c>
      <c r="CB41" s="29">
        <f>'REG y VAL POE - AESR - ESR'!AJ3172</f>
        <v>0</v>
      </c>
      <c r="CC41" s="29">
        <f>'REG y VAL POE - AESR - ESR'!AK3172</f>
        <v>0</v>
      </c>
      <c r="CD41" s="29">
        <f>'REG y VAL POE - AESR - ESR'!AL3172</f>
        <v>0</v>
      </c>
      <c r="CE41" s="28">
        <f>'REG y VAL POE - AESR - ESR'!AM3172</f>
        <v>0</v>
      </c>
      <c r="CF41" s="29">
        <f>'REG y VAL POE - AESR - ESR'!AN3172</f>
        <v>0</v>
      </c>
      <c r="CG41" s="29">
        <f>'REG y VAL POE - AESR - ESR'!AO3172</f>
        <v>0</v>
      </c>
      <c r="CH41" s="28">
        <f>'REG y VAL POE - AESR - ESR'!AP3172</f>
        <v>0</v>
      </c>
      <c r="CI41" s="29">
        <f>'REG y VAL POE - AESR - ESR'!AQ3172</f>
        <v>0</v>
      </c>
      <c r="CJ41" s="30">
        <f>'REG y VAL POE - AESR - ESR'!AR3172</f>
        <v>0</v>
      </c>
      <c r="CK41" s="28">
        <f>'REG y VAL POE - AESR - ESR'!AS3172</f>
        <v>0</v>
      </c>
      <c r="CL41" s="29" t="str">
        <f>'REG y VAL POE - AESR - ESR'!B3173</f>
        <v xml:space="preserve">Lagunes Rodriguez Sergio </v>
      </c>
      <c r="CM41" s="29">
        <f>'REG y VAL POE - AESR - ESR'!C3173</f>
        <v>0</v>
      </c>
      <c r="CN41" s="29">
        <f>'REG y VAL POE - AESR - ESR'!D3173</f>
        <v>23191873</v>
      </c>
      <c r="CO41" s="28">
        <f>'REG y VAL POE - AESR - ESR'!E3173</f>
        <v>0</v>
      </c>
      <c r="CP41" s="29">
        <f>'REG y VAL POE - AESR - ESR'!F3173</f>
        <v>0</v>
      </c>
      <c r="CQ41" s="29">
        <f>'REG y VAL POE - AESR - ESR'!G3173</f>
        <v>0</v>
      </c>
      <c r="CR41" s="28">
        <f>'REG y VAL POE - AESR - ESR'!H3173</f>
        <v>0</v>
      </c>
      <c r="CS41" s="29">
        <f>'REG y VAL POE - AESR - ESR'!I3173</f>
        <v>0</v>
      </c>
      <c r="CT41" s="30">
        <f>'REG y VAL POE - AESR - ESR'!J3173</f>
        <v>0</v>
      </c>
      <c r="CU41" s="28">
        <f>'REG y VAL POE - AESR - ESR'!K3173</f>
        <v>0</v>
      </c>
      <c r="CV41" s="29">
        <f>'REG y VAL POE - AESR - ESR'!L3173</f>
        <v>0</v>
      </c>
      <c r="CW41" s="29">
        <f>'REG y VAL POE - AESR - ESR'!M3173</f>
        <v>0</v>
      </c>
      <c r="CX41" s="29">
        <f>'REG y VAL POE - AESR - ESR'!N3173</f>
        <v>0</v>
      </c>
      <c r="CY41" s="28">
        <f>'REG y VAL POE - AESR - ESR'!O3173</f>
        <v>0</v>
      </c>
      <c r="CZ41" s="29">
        <f>'REG y VAL POE - AESR - ESR'!P3173</f>
        <v>0</v>
      </c>
      <c r="DA41" s="29">
        <f>'REG y VAL POE - AESR - ESR'!Q3173</f>
        <v>0</v>
      </c>
      <c r="DB41" s="28">
        <f>'REG y VAL POE - AESR - ESR'!R3173</f>
        <v>0</v>
      </c>
      <c r="DC41" s="29">
        <f>'REG y VAL POE - AESR - ESR'!S3173</f>
        <v>0</v>
      </c>
      <c r="DD41" s="30">
        <f>'REG y VAL POE - AESR - ESR'!T3173</f>
        <v>0</v>
      </c>
      <c r="DE41" s="28">
        <f>'REG y VAL POE - AESR - ESR'!U3173</f>
        <v>0</v>
      </c>
      <c r="DF41" s="29">
        <f>'REG y VAL POE - AESR - ESR'!V3173</f>
        <v>0</v>
      </c>
      <c r="DG41" s="29">
        <f>'REG y VAL POE - AESR - ESR'!W3173</f>
        <v>0</v>
      </c>
      <c r="DH41" s="29">
        <f>'REG y VAL POE - AESR - ESR'!X3173</f>
        <v>0</v>
      </c>
      <c r="DI41" s="28">
        <f>'REG y VAL POE - AESR - ESR'!Y3173</f>
        <v>0</v>
      </c>
      <c r="DJ41" s="29">
        <f>'REG y VAL POE - AESR - ESR'!Z3173</f>
        <v>0</v>
      </c>
      <c r="DK41" s="29">
        <f>'REG y VAL POE - AESR - ESR'!AA3173</f>
        <v>0</v>
      </c>
      <c r="DL41" s="28">
        <f>'REG y VAL POE - AESR - ESR'!AB3173</f>
        <v>0</v>
      </c>
      <c r="DM41" s="29">
        <f>'REG y VAL POE - AESR - ESR'!AC3173</f>
        <v>0</v>
      </c>
      <c r="DN41" s="30">
        <f>'REG y VAL POE - AESR - ESR'!AD3173</f>
        <v>0</v>
      </c>
      <c r="DO41" s="28">
        <f>'REG y VAL POE - AESR - ESR'!AE3173</f>
        <v>0</v>
      </c>
      <c r="DP41" s="29">
        <f>'REG y VAL POE - AESR - ESR'!AF3173</f>
        <v>0</v>
      </c>
      <c r="DQ41" s="29">
        <f>'REG y VAL POE - AESR - ESR'!AG3173</f>
        <v>0</v>
      </c>
      <c r="DR41" s="29">
        <f>'REG y VAL POE - AESR - ESR'!AH3173</f>
        <v>0</v>
      </c>
      <c r="DS41" s="28">
        <f>'REG y VAL POE - AESR - ESR'!AI3173</f>
        <v>0</v>
      </c>
      <c r="DT41" s="29">
        <f>'REG y VAL POE - AESR - ESR'!AJ3173</f>
        <v>0</v>
      </c>
      <c r="DU41" s="29">
        <f>'REG y VAL POE - AESR - ESR'!AK3173</f>
        <v>0</v>
      </c>
      <c r="DV41" s="28">
        <f>'REG y VAL POE - AESR - ESR'!AL3173</f>
        <v>0</v>
      </c>
      <c r="DW41" s="29">
        <f>'REG y VAL POE - AESR - ESR'!AM3173</f>
        <v>0</v>
      </c>
      <c r="DX41" s="30">
        <f>'REG y VAL POE - AESR - ESR'!AN3173</f>
        <v>0</v>
      </c>
      <c r="DY41" s="28">
        <f>'REG y VAL POE - AESR - ESR'!AO3173</f>
        <v>0</v>
      </c>
      <c r="DZ41" s="29">
        <f>'REG y VAL POE - AESR - ESR'!AP3173</f>
        <v>0</v>
      </c>
      <c r="EA41" s="29">
        <f>'REG y VAL POE - AESR - ESR'!AQ3173</f>
        <v>0</v>
      </c>
      <c r="EB41" s="29">
        <f>'REG y VAL POE - AESR - ESR'!AR3173</f>
        <v>0</v>
      </c>
      <c r="EC41" s="28">
        <f>'REG y VAL POE - AESR - ESR'!AS3173</f>
        <v>0</v>
      </c>
      <c r="ED41" s="29" t="str">
        <f>'REG y VAL POE - AESR - ESR'!B3174</f>
        <v xml:space="preserve">Lezama Miranda Humberto </v>
      </c>
      <c r="EE41" s="28">
        <f>'REG y VAL POE - AESR - ESR'!C3174</f>
        <v>0</v>
      </c>
      <c r="EF41" s="28">
        <f>'REG y VAL POE - AESR - ESR'!D3174</f>
        <v>23197331</v>
      </c>
      <c r="EG41" s="29">
        <f>'REG y VAL POE - AESR - ESR'!E3174</f>
        <v>0</v>
      </c>
      <c r="EH41" s="30">
        <f>'REG y VAL POE - AESR - ESR'!F3174</f>
        <v>0</v>
      </c>
      <c r="EI41" s="28">
        <f>'REG y VAL POE - AESR - ESR'!G3174</f>
        <v>0</v>
      </c>
      <c r="EJ41" s="29">
        <f>'REG y VAL POE - AESR - ESR'!H3174</f>
        <v>0</v>
      </c>
      <c r="EK41" s="29">
        <f>'REG y VAL POE - AESR - ESR'!I3174</f>
        <v>0</v>
      </c>
      <c r="EL41" s="29">
        <f>'REG y VAL POE - AESR - ESR'!J3174</f>
        <v>0</v>
      </c>
      <c r="EM41" s="28">
        <f>'REG y VAL POE - AESR - ESR'!K3174</f>
        <v>0</v>
      </c>
      <c r="EN41" s="29">
        <f>'REG y VAL POE - AESR - ESR'!L3174</f>
        <v>0</v>
      </c>
      <c r="EO41" s="33">
        <f>'REG y VAL POE - AESR - ESR'!M3174</f>
        <v>0</v>
      </c>
      <c r="EP41" s="28">
        <f>'REG y VAL POE - AESR - ESR'!N3174</f>
        <v>0</v>
      </c>
      <c r="EQ41" s="29">
        <f>'REG y VAL POE - AESR - ESR'!O3174</f>
        <v>0</v>
      </c>
      <c r="ER41" s="30">
        <f>'REG y VAL POE - AESR - ESR'!P3174</f>
        <v>0</v>
      </c>
      <c r="ES41" s="28">
        <f>'REG y VAL POE - AESR - ESR'!Q3174</f>
        <v>0</v>
      </c>
      <c r="ET41" s="29">
        <f>'REG y VAL POE - AESR - ESR'!R3174</f>
        <v>0</v>
      </c>
      <c r="EU41" s="29">
        <f>'REG y VAL POE - AESR - ESR'!S3174</f>
        <v>0</v>
      </c>
      <c r="EV41" s="29">
        <f>'REG y VAL POE - AESR - ESR'!T3174</f>
        <v>0</v>
      </c>
      <c r="EW41" s="28">
        <f>'REG y VAL POE - AESR - ESR'!U3174</f>
        <v>0</v>
      </c>
      <c r="EX41" s="29">
        <f>'REG y VAL POE - AESR - ESR'!V3174</f>
        <v>0</v>
      </c>
      <c r="EY41" s="29">
        <f>'REG y VAL POE - AESR - ESR'!W3174</f>
        <v>0</v>
      </c>
      <c r="EZ41" s="28">
        <f>'REG y VAL POE - AESR - ESR'!X3174</f>
        <v>0</v>
      </c>
      <c r="FA41" s="29">
        <f>'REG y VAL POE - AESR - ESR'!Y3174</f>
        <v>0</v>
      </c>
      <c r="FB41" s="30">
        <f>'REG y VAL POE - AESR - ESR'!Z3174</f>
        <v>0</v>
      </c>
      <c r="FC41" s="28">
        <f>'REG y VAL POE - AESR - ESR'!AA3174</f>
        <v>0</v>
      </c>
      <c r="FD41" s="29">
        <f>'REG y VAL POE - AESR - ESR'!AB3174</f>
        <v>0</v>
      </c>
      <c r="FE41" s="29">
        <f>'REG y VAL POE - AESR - ESR'!AC3174</f>
        <v>0</v>
      </c>
      <c r="FF41" s="29">
        <f>'REG y VAL POE - AESR - ESR'!AD3174</f>
        <v>0</v>
      </c>
      <c r="FG41" s="28">
        <f>'REG y VAL POE - AESR - ESR'!AE3174</f>
        <v>0</v>
      </c>
      <c r="FH41" s="29">
        <f>'REG y VAL POE - AESR - ESR'!AF3174</f>
        <v>0</v>
      </c>
      <c r="FI41" s="29">
        <f>'REG y VAL POE - AESR - ESR'!AG3174</f>
        <v>0</v>
      </c>
      <c r="FJ41" s="28">
        <f>'REG y VAL POE - AESR - ESR'!AH3174</f>
        <v>0</v>
      </c>
      <c r="FK41" s="29">
        <f>'REG y VAL POE - AESR - ESR'!AI3174</f>
        <v>0</v>
      </c>
      <c r="FL41" s="30">
        <f>'REG y VAL POE - AESR - ESR'!AJ3174</f>
        <v>0</v>
      </c>
      <c r="FM41" s="28">
        <f>'REG y VAL POE - AESR - ESR'!AK3174</f>
        <v>0</v>
      </c>
      <c r="FN41" s="29">
        <f>'REG y VAL POE - AESR - ESR'!AL3174</f>
        <v>0</v>
      </c>
      <c r="FO41" s="29">
        <f>'REG y VAL POE - AESR - ESR'!AM3174</f>
        <v>0</v>
      </c>
      <c r="FP41" s="29">
        <f>'REG y VAL POE - AESR - ESR'!AN3174</f>
        <v>0</v>
      </c>
      <c r="FQ41" s="28">
        <f>'REG y VAL POE - AESR - ESR'!AO3174</f>
        <v>0</v>
      </c>
      <c r="FR41" s="29">
        <f>'REG y VAL POE - AESR - ESR'!AP3174</f>
        <v>0</v>
      </c>
      <c r="FS41" s="29">
        <f>'REG y VAL POE - AESR - ESR'!AQ3174</f>
        <v>0</v>
      </c>
      <c r="FT41" s="28">
        <f>'REG y VAL POE - AESR - ESR'!AR3174</f>
        <v>0</v>
      </c>
      <c r="FU41" s="29">
        <f>'REG y VAL POE - AESR - ESR'!AS3174</f>
        <v>0</v>
      </c>
      <c r="FV41" s="30" t="str">
        <f>'REG y VAL POE - AESR - ESR'!B3175</f>
        <v xml:space="preserve">Mata Silva Piscis Angelica </v>
      </c>
      <c r="FW41" s="28">
        <f>'REG y VAL POE - AESR - ESR'!C3175</f>
        <v>0</v>
      </c>
      <c r="FX41" s="29">
        <f>'REG y VAL POE - AESR - ESR'!D3175</f>
        <v>23202860</v>
      </c>
      <c r="FY41" s="29">
        <f>'REG y VAL POE - AESR - ESR'!E3175</f>
        <v>0</v>
      </c>
      <c r="FZ41" s="29">
        <f>'REG y VAL POE - AESR - ESR'!F3175</f>
        <v>0</v>
      </c>
      <c r="GA41" s="28">
        <f>'REG y VAL POE - AESR - ESR'!G3175</f>
        <v>0</v>
      </c>
      <c r="GB41" s="29">
        <f>'REG y VAL POE - AESR - ESR'!H3175</f>
        <v>0</v>
      </c>
      <c r="GC41" s="29">
        <f>'REG y VAL POE - AESR - ESR'!I3175</f>
        <v>0</v>
      </c>
      <c r="GD41" s="28">
        <f>'REG y VAL POE - AESR - ESR'!J3175</f>
        <v>0</v>
      </c>
      <c r="GE41" s="29">
        <f>'REG y VAL POE - AESR - ESR'!K3175</f>
        <v>0</v>
      </c>
      <c r="GF41" s="30">
        <f>'REG y VAL POE - AESR - ESR'!L3175</f>
        <v>0</v>
      </c>
      <c r="GG41" s="28">
        <f>'REG y VAL POE - AESR - ESR'!M3175</f>
        <v>0</v>
      </c>
      <c r="GH41" s="29">
        <f>'REG y VAL POE - AESR - ESR'!N3175</f>
        <v>0</v>
      </c>
      <c r="GI41" s="29">
        <f>'REG y VAL POE - AESR - ESR'!O3175</f>
        <v>0</v>
      </c>
      <c r="GJ41" s="29">
        <f>'REG y VAL POE - AESR - ESR'!P3175</f>
        <v>0</v>
      </c>
      <c r="GK41" s="28">
        <f>'REG y VAL POE - AESR - ESR'!Q3175</f>
        <v>0</v>
      </c>
      <c r="GL41" s="29">
        <f>'REG y VAL POE - AESR - ESR'!R3175</f>
        <v>0</v>
      </c>
      <c r="GM41" s="29">
        <f>'REG y VAL POE - AESR - ESR'!S3175</f>
        <v>0</v>
      </c>
      <c r="GN41" s="28">
        <f>'REG y VAL POE - AESR - ESR'!T3175</f>
        <v>0</v>
      </c>
      <c r="GO41" s="29">
        <f>'REG y VAL POE - AESR - ESR'!U3175</f>
        <v>0</v>
      </c>
      <c r="GP41" s="30">
        <f>'REG y VAL POE - AESR - ESR'!V3175</f>
        <v>0</v>
      </c>
      <c r="GQ41" s="28">
        <f>'REG y VAL POE - AESR - ESR'!W3175</f>
        <v>0</v>
      </c>
      <c r="GR41" s="29">
        <f>'REG y VAL POE - AESR - ESR'!X3175</f>
        <v>0</v>
      </c>
      <c r="GS41" s="29">
        <f>'REG y VAL POE - AESR - ESR'!Y3175</f>
        <v>0</v>
      </c>
      <c r="GT41" s="29">
        <f>'REG y VAL POE - AESR - ESR'!Z3175</f>
        <v>0</v>
      </c>
      <c r="GU41" s="28">
        <f>'REG y VAL POE - AESR - ESR'!AA3175</f>
        <v>0</v>
      </c>
      <c r="GV41" s="29">
        <f>'REG y VAL POE - AESR - ESR'!AB3175</f>
        <v>0</v>
      </c>
      <c r="GW41" s="29">
        <f>'REG y VAL POE - AESR - ESR'!AC3175</f>
        <v>0</v>
      </c>
      <c r="GX41" s="28">
        <f>'REG y VAL POE - AESR - ESR'!AD3175</f>
        <v>0</v>
      </c>
      <c r="GY41" s="29">
        <f>'REG y VAL POE - AESR - ESR'!AE3175</f>
        <v>0</v>
      </c>
      <c r="GZ41" s="30">
        <f>'REG y VAL POE - AESR - ESR'!AF3175</f>
        <v>0</v>
      </c>
      <c r="HA41" s="28">
        <f>'REG y VAL POE - AESR - ESR'!AG3175</f>
        <v>0</v>
      </c>
      <c r="HB41" s="29">
        <f>'REG y VAL POE - AESR - ESR'!AH3175</f>
        <v>0</v>
      </c>
      <c r="HC41" s="29">
        <f>'REG y VAL POE - AESR - ESR'!AI3175</f>
        <v>0</v>
      </c>
      <c r="HD41" s="29">
        <f>'REG y VAL POE - AESR - ESR'!AJ3175</f>
        <v>0</v>
      </c>
      <c r="HE41" s="28">
        <f>'REG y VAL POE - AESR - ESR'!AK3175</f>
        <v>0</v>
      </c>
      <c r="HF41" s="29">
        <f>'REG y VAL POE - AESR - ESR'!AL3175</f>
        <v>0</v>
      </c>
      <c r="HG41" s="29">
        <f>'REG y VAL POE - AESR - ESR'!AM3175</f>
        <v>0</v>
      </c>
      <c r="HH41" s="28">
        <f>'REG y VAL POE - AESR - ESR'!AN3175</f>
        <v>0</v>
      </c>
      <c r="HI41" s="29">
        <f>'REG y VAL POE - AESR - ESR'!AO3175</f>
        <v>0</v>
      </c>
      <c r="HJ41" s="30">
        <f>'REG y VAL POE - AESR - ESR'!AP3175</f>
        <v>0</v>
      </c>
      <c r="HK41" s="28">
        <f>'REG y VAL POE - AESR - ESR'!AQ3175</f>
        <v>0</v>
      </c>
      <c r="HL41" s="29">
        <f>'REG y VAL POE - AESR - ESR'!AR3175</f>
        <v>0</v>
      </c>
      <c r="HM41" s="29">
        <f>'REG y VAL POE - AESR - ESR'!AS3175</f>
        <v>0</v>
      </c>
      <c r="HN41" s="29" t="str">
        <f>'REG y VAL POE - AESR - ESR'!B3176</f>
        <v xml:space="preserve">Mena Rivero Ivonne </v>
      </c>
      <c r="HO41" s="28">
        <f>'REG y VAL POE - AESR - ESR'!C3176</f>
        <v>0</v>
      </c>
      <c r="HP41" s="29">
        <f>'REG y VAL POE - AESR - ESR'!D3176</f>
        <v>23188315</v>
      </c>
      <c r="HQ41" s="29">
        <f>'REG y VAL POE - AESR - ESR'!E3176</f>
        <v>0</v>
      </c>
      <c r="HR41" s="28">
        <f>'REG y VAL POE - AESR - ESR'!F3176</f>
        <v>0</v>
      </c>
      <c r="HS41" s="29">
        <f>'REG y VAL POE - AESR - ESR'!G3176</f>
        <v>0</v>
      </c>
      <c r="HT41" s="30">
        <f>'REG y VAL POE - AESR - ESR'!H3176</f>
        <v>0</v>
      </c>
      <c r="HU41" s="28">
        <f>'REG y VAL POE - AESR - ESR'!I3176</f>
        <v>0</v>
      </c>
      <c r="HV41" s="29">
        <f>'REG y VAL POE - AESR - ESR'!J3176</f>
        <v>0</v>
      </c>
      <c r="HW41" s="29">
        <f>'REG y VAL POE - AESR - ESR'!K3176</f>
        <v>0</v>
      </c>
      <c r="HX41" s="29">
        <f>'REG y VAL POE - AESR - ESR'!L3176</f>
        <v>0</v>
      </c>
      <c r="HY41" s="28">
        <f>'REG y VAL POE - AESR - ESR'!M3176</f>
        <v>0</v>
      </c>
      <c r="HZ41" s="29">
        <f>'REG y VAL POE - AESR - ESR'!N3176</f>
        <v>0</v>
      </c>
      <c r="IA41" s="29">
        <f>'REG y VAL POE - AESR - ESR'!O3176</f>
        <v>0</v>
      </c>
      <c r="IB41" s="28">
        <f>'REG y VAL POE - AESR - ESR'!P3176</f>
        <v>0</v>
      </c>
      <c r="IC41" s="29">
        <f>'REG y VAL POE - AESR - ESR'!Q3176</f>
        <v>0</v>
      </c>
      <c r="ID41" s="30">
        <f>'REG y VAL POE - AESR - ESR'!R3176</f>
        <v>0</v>
      </c>
      <c r="IE41" s="28">
        <f>'REG y VAL POE - AESR - ESR'!S3176</f>
        <v>0</v>
      </c>
      <c r="IF41" s="29">
        <f>'REG y VAL POE - AESR - ESR'!T3176</f>
        <v>0</v>
      </c>
      <c r="IG41" s="29">
        <f>'REG y VAL POE - AESR - ESR'!U3176</f>
        <v>0</v>
      </c>
      <c r="IH41" s="29">
        <f>'REG y VAL POE - AESR - ESR'!V3176</f>
        <v>0</v>
      </c>
      <c r="II41" s="28">
        <f>'REG y VAL POE - AESR - ESR'!W3176</f>
        <v>0</v>
      </c>
      <c r="IJ41" s="29">
        <f>'REG y VAL POE - AESR - ESR'!X3176</f>
        <v>0</v>
      </c>
      <c r="IK41" s="29">
        <f>'REG y VAL POE - AESR - ESR'!Y3176</f>
        <v>0</v>
      </c>
      <c r="IL41" s="28">
        <f>'REG y VAL POE - AESR - ESR'!Z3176</f>
        <v>0</v>
      </c>
      <c r="IM41" s="29">
        <f>'REG y VAL POE - AESR - ESR'!AA3176</f>
        <v>0</v>
      </c>
      <c r="IN41" s="30">
        <f>'REG y VAL POE - AESR - ESR'!AB3176</f>
        <v>0</v>
      </c>
      <c r="IO41" s="28">
        <f>'REG y VAL POE - AESR - ESR'!AC3176</f>
        <v>0</v>
      </c>
      <c r="IP41" s="29">
        <f>'REG y VAL POE - AESR - ESR'!AD3176</f>
        <v>0</v>
      </c>
      <c r="IQ41" s="29">
        <f>'REG y VAL POE - AESR - ESR'!AE3176</f>
        <v>0</v>
      </c>
      <c r="IR41" s="29">
        <f>'REG y VAL POE - AESR - ESR'!AF3176</f>
        <v>0</v>
      </c>
      <c r="IS41" s="28">
        <f>'REG y VAL POE - AESR - ESR'!AG3176</f>
        <v>0</v>
      </c>
      <c r="IT41" s="29">
        <f>'REG y VAL POE - AESR - ESR'!AH3176</f>
        <v>0</v>
      </c>
      <c r="IU41" s="29">
        <f>'REG y VAL POE - AESR - ESR'!AI3176</f>
        <v>0</v>
      </c>
      <c r="IV41" s="28">
        <f>'REG y VAL POE - AESR - ESR'!AJ3176</f>
        <v>0</v>
      </c>
      <c r="IW41" s="29">
        <f>'REG y VAL POE - AESR - ESR'!AK3176</f>
        <v>0</v>
      </c>
      <c r="IX41" s="30">
        <f>'REG y VAL POE - AESR - ESR'!AL3176</f>
        <v>0</v>
      </c>
      <c r="IY41" s="28">
        <f>'REG y VAL POE - AESR - ESR'!AM3176</f>
        <v>0</v>
      </c>
      <c r="IZ41" s="29">
        <f>'REG y VAL POE - AESR - ESR'!AN3176</f>
        <v>0</v>
      </c>
      <c r="JA41" s="29">
        <f>'REG y VAL POE - AESR - ESR'!AO3176</f>
        <v>0</v>
      </c>
      <c r="JB41" s="29">
        <f>'REG y VAL POE - AESR - ESR'!AP3176</f>
        <v>0</v>
      </c>
      <c r="JC41" s="28">
        <f>'REG y VAL POE - AESR - ESR'!AQ3176</f>
        <v>0</v>
      </c>
      <c r="JD41" s="29">
        <f>'REG y VAL POE - AESR - ESR'!AR3176</f>
        <v>0</v>
      </c>
      <c r="JE41" s="29">
        <f>'REG y VAL POE - AESR - ESR'!AS3176</f>
        <v>0</v>
      </c>
      <c r="JF41" s="28" t="str">
        <f>'REG y VAL POE - AESR - ESR'!B3177</f>
        <v xml:space="preserve">Petronilo Mariano Leobardo </v>
      </c>
      <c r="JG41" s="29">
        <f>'REG y VAL POE - AESR - ESR'!C3177</f>
        <v>0</v>
      </c>
      <c r="JH41" s="30">
        <f>'REG y VAL POE - AESR - ESR'!D3177</f>
        <v>23148976</v>
      </c>
      <c r="JI41" s="28">
        <f>'REG y VAL POE - AESR - ESR'!E3177</f>
        <v>0</v>
      </c>
      <c r="JJ41" s="29">
        <f>'REG y VAL POE - AESR - ESR'!F3177</f>
        <v>0</v>
      </c>
      <c r="JK41" s="29">
        <f>'REG y VAL POE - AESR - ESR'!G3177</f>
        <v>0</v>
      </c>
      <c r="JL41" s="29">
        <f>'REG y VAL POE - AESR - ESR'!H3177</f>
        <v>0</v>
      </c>
      <c r="JM41" s="28">
        <f>'REG y VAL POE - AESR - ESR'!I3177</f>
        <v>0</v>
      </c>
      <c r="JN41" s="29">
        <f>'REG y VAL POE - AESR - ESR'!J3177</f>
        <v>0</v>
      </c>
      <c r="JO41" s="29">
        <f>'REG y VAL POE - AESR - ESR'!K3177</f>
        <v>0</v>
      </c>
      <c r="JP41" s="28">
        <f>'REG y VAL POE - AESR - ESR'!L3177</f>
        <v>0</v>
      </c>
      <c r="JQ41" s="29">
        <f>'REG y VAL POE - AESR - ESR'!M3177</f>
        <v>0</v>
      </c>
      <c r="JR41" s="30">
        <f>'REG y VAL POE - AESR - ESR'!N3177</f>
        <v>0</v>
      </c>
      <c r="JS41" s="28">
        <f>'REG y VAL POE - AESR - ESR'!O3177</f>
        <v>0</v>
      </c>
      <c r="JT41" s="29">
        <f>'REG y VAL POE - AESR - ESR'!P3177</f>
        <v>0</v>
      </c>
      <c r="JU41" s="29">
        <f>'REG y VAL POE - AESR - ESR'!Q3177</f>
        <v>0</v>
      </c>
      <c r="JV41" s="29">
        <f>'REG y VAL POE - AESR - ESR'!R3177</f>
        <v>0</v>
      </c>
      <c r="JW41" s="28">
        <f>'REG y VAL POE - AESR - ESR'!S3177</f>
        <v>0</v>
      </c>
      <c r="JX41" s="29">
        <f>'REG y VAL POE - AESR - ESR'!T3177</f>
        <v>0</v>
      </c>
      <c r="JY41" s="29">
        <f>'REG y VAL POE - AESR - ESR'!U3177</f>
        <v>0</v>
      </c>
      <c r="JZ41" s="28">
        <f>'REG y VAL POE - AESR - ESR'!V3177</f>
        <v>0</v>
      </c>
      <c r="KA41" s="29">
        <f>'REG y VAL POE - AESR - ESR'!W3177</f>
        <v>0</v>
      </c>
      <c r="KB41" s="30">
        <f>'REG y VAL POE - AESR - ESR'!X3177</f>
        <v>0</v>
      </c>
      <c r="KC41" s="28">
        <f>'REG y VAL POE - AESR - ESR'!Y3177</f>
        <v>0</v>
      </c>
      <c r="KD41" s="29">
        <f>'REG y VAL POE - AESR - ESR'!Z3177</f>
        <v>0</v>
      </c>
      <c r="KE41" s="29">
        <f>'REG y VAL POE - AESR - ESR'!AA3177</f>
        <v>0</v>
      </c>
      <c r="KF41" s="29">
        <f>'REG y VAL POE - AESR - ESR'!AB3177</f>
        <v>0</v>
      </c>
      <c r="KG41" s="28">
        <f>'REG y VAL POE - AESR - ESR'!AC3177</f>
        <v>0</v>
      </c>
      <c r="KH41" s="29">
        <f>'REG y VAL POE - AESR - ESR'!AD3177</f>
        <v>0</v>
      </c>
      <c r="KI41" s="29">
        <f>'REG y VAL POE - AESR - ESR'!AE3177</f>
        <v>0</v>
      </c>
      <c r="KJ41" s="28">
        <f>'REG y VAL POE - AESR - ESR'!AF3177</f>
        <v>0</v>
      </c>
      <c r="KK41" s="29">
        <f>'REG y VAL POE - AESR - ESR'!AG3177</f>
        <v>0</v>
      </c>
      <c r="KL41" s="30">
        <f>'REG y VAL POE - AESR - ESR'!AH3177</f>
        <v>0</v>
      </c>
      <c r="KM41" s="28">
        <f>'REG y VAL POE - AESR - ESR'!AI3177</f>
        <v>0</v>
      </c>
      <c r="KN41" s="29">
        <f>'REG y VAL POE - AESR - ESR'!AJ3177</f>
        <v>0</v>
      </c>
      <c r="KO41" s="29">
        <f>'REG y VAL POE - AESR - ESR'!AK3177</f>
        <v>0</v>
      </c>
      <c r="KP41" s="29">
        <f>'REG y VAL POE - AESR - ESR'!AL3177</f>
        <v>0</v>
      </c>
      <c r="KQ41" s="28">
        <f>'REG y VAL POE - AESR - ESR'!AM3177</f>
        <v>0</v>
      </c>
      <c r="KR41" s="29">
        <f>'REG y VAL POE - AESR - ESR'!AN3177</f>
        <v>0</v>
      </c>
      <c r="KS41" s="29">
        <f>'REG y VAL POE - AESR - ESR'!AO3177</f>
        <v>0</v>
      </c>
      <c r="KT41" s="28">
        <f>'REG y VAL POE - AESR - ESR'!AP3177</f>
        <v>0</v>
      </c>
      <c r="KU41" s="29">
        <f>'REG y VAL POE - AESR - ESR'!AQ3177</f>
        <v>0</v>
      </c>
      <c r="KV41" s="30">
        <f>'REG y VAL POE - AESR - ESR'!AR3177</f>
        <v>0</v>
      </c>
      <c r="KW41" s="28">
        <f>'REG y VAL POE - AESR - ESR'!AS3177</f>
        <v>0</v>
      </c>
      <c r="KX41" s="29" t="str">
        <f>'REG y VAL POE - AESR - ESR'!B3178</f>
        <v xml:space="preserve">Uc Salazar Lorena Del Carmen </v>
      </c>
      <c r="KY41" s="29">
        <f>'REG y VAL POE - AESR - ESR'!C3178</f>
        <v>0</v>
      </c>
      <c r="KZ41" s="29">
        <f>'REG y VAL POE - AESR - ESR'!D3178</f>
        <v>23198206</v>
      </c>
      <c r="LA41" s="28">
        <f>'REG y VAL POE - AESR - ESR'!E3178</f>
        <v>0</v>
      </c>
      <c r="LB41" s="29">
        <f>'REG y VAL POE - AESR - ESR'!F3178</f>
        <v>0</v>
      </c>
      <c r="LC41" s="29">
        <f>'REG y VAL POE - AESR - ESR'!G3178</f>
        <v>0</v>
      </c>
      <c r="LD41" s="28">
        <f>'REG y VAL POE - AESR - ESR'!H3178</f>
        <v>0</v>
      </c>
      <c r="LE41" s="29">
        <f>'REG y VAL POE - AESR - ESR'!I3178</f>
        <v>0</v>
      </c>
      <c r="LF41" s="30">
        <f>'REG y VAL POE - AESR - ESR'!J3178</f>
        <v>0</v>
      </c>
      <c r="LG41" s="28">
        <f>'REG y VAL POE - AESR - ESR'!K3178</f>
        <v>0</v>
      </c>
      <c r="LH41" s="29">
        <f>'REG y VAL POE - AESR - ESR'!L3178</f>
        <v>0</v>
      </c>
      <c r="LI41" s="29">
        <f>'REG y VAL POE - AESR - ESR'!M3178</f>
        <v>0</v>
      </c>
      <c r="LJ41" s="29">
        <f>'REG y VAL POE - AESR - ESR'!N3178</f>
        <v>0</v>
      </c>
      <c r="LK41" s="28">
        <f>'REG y VAL POE - AESR - ESR'!O3178</f>
        <v>0</v>
      </c>
      <c r="LL41" s="29">
        <f>'REG y VAL POE - AESR - ESR'!P3178</f>
        <v>0</v>
      </c>
      <c r="LM41" s="29">
        <f>'REG y VAL POE - AESR - ESR'!Q3178</f>
        <v>0</v>
      </c>
      <c r="LN41" s="28">
        <f>'REG y VAL POE - AESR - ESR'!R3178</f>
        <v>0</v>
      </c>
      <c r="LO41" s="29">
        <f>'REG y VAL POE - AESR - ESR'!S3178</f>
        <v>0</v>
      </c>
      <c r="LP41" s="30">
        <f>'REG y VAL POE - AESR - ESR'!T3178</f>
        <v>0</v>
      </c>
      <c r="LQ41" s="28">
        <f>'REG y VAL POE - AESR - ESR'!U3178</f>
        <v>0</v>
      </c>
      <c r="LR41" s="29">
        <f>'REG y VAL POE - AESR - ESR'!V3178</f>
        <v>0</v>
      </c>
      <c r="LS41" s="29">
        <f>'REG y VAL POE - AESR - ESR'!W3178</f>
        <v>0</v>
      </c>
      <c r="LT41" s="29">
        <f>'REG y VAL POE - AESR - ESR'!X3178</f>
        <v>0</v>
      </c>
      <c r="LU41" s="28">
        <f>'REG y VAL POE - AESR - ESR'!Y3178</f>
        <v>0</v>
      </c>
      <c r="LV41" s="29">
        <f>'REG y VAL POE - AESR - ESR'!Z3178</f>
        <v>0</v>
      </c>
      <c r="LW41" s="29">
        <f>'REG y VAL POE - AESR - ESR'!AA3178</f>
        <v>0</v>
      </c>
      <c r="LX41" s="28">
        <f>'REG y VAL POE - AESR - ESR'!AB3178</f>
        <v>0</v>
      </c>
      <c r="LY41" s="29">
        <f>'REG y VAL POE - AESR - ESR'!AC3178</f>
        <v>0</v>
      </c>
      <c r="LZ41" s="30">
        <f>'REG y VAL POE - AESR - ESR'!AD3178</f>
        <v>0</v>
      </c>
      <c r="MA41" s="28">
        <f>'REG y VAL POE - AESR - ESR'!AE3178</f>
        <v>0</v>
      </c>
      <c r="MB41" s="29">
        <f>'REG y VAL POE - AESR - ESR'!AF3178</f>
        <v>0</v>
      </c>
      <c r="MC41" s="29">
        <f>'REG y VAL POE - AESR - ESR'!AG3178</f>
        <v>0</v>
      </c>
      <c r="MD41" s="29">
        <f>'REG y VAL POE - AESR - ESR'!AH3178</f>
        <v>0</v>
      </c>
      <c r="ME41" s="28">
        <f>'REG y VAL POE - AESR - ESR'!AI3178</f>
        <v>0</v>
      </c>
      <c r="MF41" s="29">
        <f>'REG y VAL POE - AESR - ESR'!AJ3178</f>
        <v>0</v>
      </c>
      <c r="MG41" s="29">
        <f>'REG y VAL POE - AESR - ESR'!AK3178</f>
        <v>0</v>
      </c>
      <c r="MH41" s="28">
        <f>'REG y VAL POE - AESR - ESR'!AL3178</f>
        <v>0</v>
      </c>
      <c r="MI41" s="29">
        <f>'REG y VAL POE - AESR - ESR'!AM3178</f>
        <v>0</v>
      </c>
      <c r="MJ41" s="30">
        <f>'REG y VAL POE - AESR - ESR'!AN3178</f>
        <v>0</v>
      </c>
      <c r="MK41" s="28">
        <f>'REG y VAL POE - AESR - ESR'!AO3178</f>
        <v>0</v>
      </c>
      <c r="ML41" s="29">
        <f>'REG y VAL POE - AESR - ESR'!AP3178</f>
        <v>0</v>
      </c>
      <c r="MM41" s="29">
        <f>'REG y VAL POE - AESR - ESR'!AQ3178</f>
        <v>0</v>
      </c>
      <c r="MN41" s="29">
        <f>'REG y VAL POE - AESR - ESR'!AR3178</f>
        <v>0</v>
      </c>
      <c r="MO41" s="28">
        <f>'REG y VAL POE - AESR - ESR'!AS3178</f>
        <v>0</v>
      </c>
      <c r="MP41" s="29">
        <f>'REG y VAL POE - AESR - ESR'!B3179</f>
        <v>0</v>
      </c>
      <c r="MQ41" s="29">
        <f>'REG y VAL POE - AESR - ESR'!C3179</f>
        <v>0</v>
      </c>
      <c r="MR41" s="28">
        <f>'REG y VAL POE - AESR - ESR'!D3179</f>
        <v>0</v>
      </c>
      <c r="MS41" s="29">
        <f>'REG y VAL POE - AESR - ESR'!E3179</f>
        <v>0</v>
      </c>
      <c r="MT41" s="30">
        <f>'REG y VAL POE - AESR - ESR'!F3179</f>
        <v>0</v>
      </c>
      <c r="MU41" s="28">
        <f>'REG y VAL POE - AESR - ESR'!G3179</f>
        <v>0</v>
      </c>
      <c r="MV41" s="29">
        <f>'REG y VAL POE - AESR - ESR'!H3179</f>
        <v>0</v>
      </c>
      <c r="MW41" s="29">
        <f>'REG y VAL POE - AESR - ESR'!I3179</f>
        <v>0</v>
      </c>
      <c r="MX41" s="29">
        <f>'REG y VAL POE - AESR - ESR'!J3179</f>
        <v>0</v>
      </c>
      <c r="MY41" s="28">
        <f>'REG y VAL POE - AESR - ESR'!K3179</f>
        <v>0</v>
      </c>
      <c r="MZ41" s="29">
        <f>'REG y VAL POE - AESR - ESR'!L3179</f>
        <v>0</v>
      </c>
      <c r="NA41" s="29">
        <f>'REG y VAL POE - AESR - ESR'!M3179</f>
        <v>0</v>
      </c>
      <c r="NB41" s="28">
        <f>'REG y VAL POE - AESR - ESR'!N3179</f>
        <v>0</v>
      </c>
      <c r="NC41" s="29">
        <f>'REG y VAL POE - AESR - ESR'!O3179</f>
        <v>0</v>
      </c>
      <c r="ND41" s="30">
        <f>'REG y VAL POE - AESR - ESR'!P3179</f>
        <v>0</v>
      </c>
      <c r="NE41" s="28">
        <f>'REG y VAL POE - AESR - ESR'!Q3179</f>
        <v>0</v>
      </c>
      <c r="NF41" s="29">
        <f>'REG y VAL POE - AESR - ESR'!R3179</f>
        <v>0</v>
      </c>
      <c r="NG41" s="29">
        <f>'REG y VAL POE - AESR - ESR'!S3179</f>
        <v>0</v>
      </c>
      <c r="NH41" s="29">
        <f>'REG y VAL POE - AESR - ESR'!T3179</f>
        <v>0</v>
      </c>
      <c r="NI41" s="28">
        <f>'REG y VAL POE - AESR - ESR'!U3179</f>
        <v>0</v>
      </c>
      <c r="NJ41" s="29">
        <f>'REG y VAL POE - AESR - ESR'!V3179</f>
        <v>0</v>
      </c>
      <c r="NK41" s="29">
        <f>'REG y VAL POE - AESR - ESR'!W3179</f>
        <v>0</v>
      </c>
      <c r="NL41" s="28">
        <f>'REG y VAL POE - AESR - ESR'!X3179</f>
        <v>0</v>
      </c>
      <c r="NM41" s="29">
        <f>'REG y VAL POE - AESR - ESR'!Y3179</f>
        <v>0</v>
      </c>
      <c r="NN41" s="30">
        <f>'REG y VAL POE - AESR - ESR'!Z3179</f>
        <v>0</v>
      </c>
      <c r="NO41" s="28">
        <f>'REG y VAL POE - AESR - ESR'!AA3179</f>
        <v>0</v>
      </c>
      <c r="NP41" s="29">
        <f>'REG y VAL POE - AESR - ESR'!AB3179</f>
        <v>0</v>
      </c>
      <c r="NQ41" s="29">
        <f>'REG y VAL POE - AESR - ESR'!AC3179</f>
        <v>0</v>
      </c>
      <c r="NR41" s="29">
        <f>'REG y VAL POE - AESR - ESR'!AD3179</f>
        <v>0</v>
      </c>
      <c r="NS41" s="28">
        <f>'REG y VAL POE - AESR - ESR'!AE3179</f>
        <v>0</v>
      </c>
      <c r="NT41" s="29">
        <f>'REG y VAL POE - AESR - ESR'!AF3179</f>
        <v>0</v>
      </c>
      <c r="NU41" s="29">
        <f>'REG y VAL POE - AESR - ESR'!AG3179</f>
        <v>0</v>
      </c>
      <c r="NV41" s="28">
        <f>'REG y VAL POE - AESR - ESR'!AH3179</f>
        <v>0</v>
      </c>
      <c r="NW41" s="29">
        <f>'REG y VAL POE - AESR - ESR'!AI3179</f>
        <v>0</v>
      </c>
      <c r="NX41" s="30">
        <f>'REG y VAL POE - AESR - ESR'!AJ3179</f>
        <v>0</v>
      </c>
      <c r="NY41" s="28">
        <f>'REG y VAL POE - AESR - ESR'!AK3179</f>
        <v>0</v>
      </c>
      <c r="NZ41" s="29">
        <f>'REG y VAL POE - AESR - ESR'!AL3179</f>
        <v>0</v>
      </c>
      <c r="OA41" s="29">
        <f>'REG y VAL POE - AESR - ESR'!AM3179</f>
        <v>0</v>
      </c>
      <c r="OB41" s="29">
        <f>'REG y VAL POE - AESR - ESR'!AN3179</f>
        <v>0</v>
      </c>
      <c r="OC41" s="28">
        <f>'REG y VAL POE - AESR - ESR'!AO3179</f>
        <v>0</v>
      </c>
      <c r="OD41" s="29">
        <f>'REG y VAL POE - AESR - ESR'!AP3179</f>
        <v>0</v>
      </c>
      <c r="OE41" s="29">
        <f>'REG y VAL POE - AESR - ESR'!AQ3179</f>
        <v>0</v>
      </c>
      <c r="OF41" s="30">
        <f>'REG y VAL POE - AESR - ESR'!AR3179</f>
        <v>0</v>
      </c>
      <c r="OG41" s="30">
        <f>'REG y VAL POE - AESR - ESR'!AS3179</f>
        <v>0</v>
      </c>
      <c r="OH41" s="30">
        <f>'REG y VAL POE - AESR - ESR'!B3180</f>
        <v>0</v>
      </c>
      <c r="OI41" s="28">
        <f>'REG y VAL POE - AESR - ESR'!C3180</f>
        <v>0</v>
      </c>
      <c r="OJ41" s="30">
        <f>'REG y VAL POE - AESR - ESR'!D3180</f>
        <v>0</v>
      </c>
      <c r="OK41" s="30">
        <f>'REG y VAL POE - AESR - ESR'!E3180</f>
        <v>0</v>
      </c>
      <c r="OL41" s="30">
        <f>'REG y VAL POE - AESR - ESR'!F3180</f>
        <v>0</v>
      </c>
      <c r="OM41" s="30">
        <f>'REG y VAL POE - AESR - ESR'!G3180</f>
        <v>0</v>
      </c>
      <c r="ON41" s="30">
        <f>'REG y VAL POE - AESR - ESR'!H3180</f>
        <v>0</v>
      </c>
      <c r="OO41" s="30">
        <f>'REG y VAL POE - AESR - ESR'!I3180</f>
        <v>0</v>
      </c>
      <c r="OP41" s="28">
        <f>'REG y VAL POE - AESR - ESR'!J3180</f>
        <v>0</v>
      </c>
      <c r="OQ41" s="29">
        <f>'REG y VAL POE - AESR - ESR'!K3180</f>
        <v>0</v>
      </c>
      <c r="OR41" s="30">
        <f>'REG y VAL POE - AESR - ESR'!L3180</f>
        <v>0</v>
      </c>
      <c r="OS41" s="28">
        <f>'REG y VAL POE - AESR - ESR'!M3180</f>
        <v>0</v>
      </c>
      <c r="OT41" s="29">
        <f>'REG y VAL POE - AESR - ESR'!N3180</f>
        <v>0</v>
      </c>
      <c r="OU41" s="29">
        <f>'REG y VAL POE - AESR - ESR'!O3180</f>
        <v>0</v>
      </c>
      <c r="OV41" s="29">
        <f>'REG y VAL POE - AESR - ESR'!P3180</f>
        <v>0</v>
      </c>
      <c r="OW41" s="28">
        <f>'REG y VAL POE - AESR - ESR'!Q3180</f>
        <v>0</v>
      </c>
      <c r="OX41" s="29">
        <f>'REG y VAL POE - AESR - ESR'!R3180</f>
        <v>0</v>
      </c>
      <c r="OY41" s="29">
        <f>'REG y VAL POE - AESR - ESR'!S3180</f>
        <v>0</v>
      </c>
      <c r="OZ41" s="28">
        <f>'REG y VAL POE - AESR - ESR'!T3180</f>
        <v>0</v>
      </c>
      <c r="PA41" s="29">
        <f>'REG y VAL POE - AESR - ESR'!U3180</f>
        <v>0</v>
      </c>
      <c r="PB41" s="30">
        <f>'REG y VAL POE - AESR - ESR'!V3180</f>
        <v>0</v>
      </c>
      <c r="PC41" s="28">
        <f>'REG y VAL POE - AESR - ESR'!W3180</f>
        <v>0</v>
      </c>
      <c r="PD41" s="29">
        <f>'REG y VAL POE - AESR - ESR'!X3180</f>
        <v>0</v>
      </c>
      <c r="PE41" s="29">
        <f>'REG y VAL POE - AESR - ESR'!Y3180</f>
        <v>0</v>
      </c>
      <c r="PF41" s="29">
        <f>'REG y VAL POE - AESR - ESR'!Z3180</f>
        <v>0</v>
      </c>
      <c r="PG41" s="28">
        <f>'REG y VAL POE - AESR - ESR'!AA3180</f>
        <v>0</v>
      </c>
      <c r="PH41" s="29">
        <f>'REG y VAL POE - AESR - ESR'!AB3180</f>
        <v>0</v>
      </c>
      <c r="PI41" s="29">
        <f>'REG y VAL POE - AESR - ESR'!AC3180</f>
        <v>0</v>
      </c>
      <c r="PJ41" s="28">
        <f>'REG y VAL POE - AESR - ESR'!AD3180</f>
        <v>0</v>
      </c>
      <c r="PK41" s="29">
        <f>'REG y VAL POE - AESR - ESR'!AE3180</f>
        <v>0</v>
      </c>
      <c r="PL41" s="30">
        <f>'REG y VAL POE - AESR - ESR'!AF3180</f>
        <v>0</v>
      </c>
      <c r="PM41" s="28">
        <f>'REG y VAL POE - AESR - ESR'!AG3180</f>
        <v>0</v>
      </c>
      <c r="PN41" s="29">
        <f>'REG y VAL POE - AESR - ESR'!AH3180</f>
        <v>0</v>
      </c>
      <c r="PO41" s="29">
        <f>'REG y VAL POE - AESR - ESR'!AI3180</f>
        <v>0</v>
      </c>
      <c r="PP41" s="29">
        <f>'REG y VAL POE - AESR - ESR'!AJ3180</f>
        <v>0</v>
      </c>
      <c r="PQ41" s="28">
        <f>'REG y VAL POE - AESR - ESR'!AK3180</f>
        <v>0</v>
      </c>
      <c r="PR41" s="29">
        <f>'REG y VAL POE - AESR - ESR'!AL3180</f>
        <v>0</v>
      </c>
      <c r="PS41" s="29">
        <f>'REG y VAL POE - AESR - ESR'!AM3180</f>
        <v>0</v>
      </c>
      <c r="PT41" s="28">
        <f>'REG y VAL POE - AESR - ESR'!AN3180</f>
        <v>0</v>
      </c>
      <c r="PU41" s="29">
        <f>'REG y VAL POE - AESR - ESR'!AO3180</f>
        <v>0</v>
      </c>
      <c r="PV41" s="30">
        <f>'REG y VAL POE - AESR - ESR'!AP3180</f>
        <v>0</v>
      </c>
      <c r="PW41" s="28">
        <f>'REG y VAL POE - AESR - ESR'!AQ3180</f>
        <v>0</v>
      </c>
      <c r="PX41" s="29">
        <f>'REG y VAL POE - AESR - ESR'!AR3180</f>
        <v>0</v>
      </c>
      <c r="PY41" s="29">
        <f>'REG y VAL POE - AESR - ESR'!AS3180</f>
        <v>0</v>
      </c>
      <c r="PZ41" s="29">
        <f>'REG y VAL POE - AESR - ESR'!B3181</f>
        <v>0</v>
      </c>
      <c r="QA41" s="28">
        <f>'REG y VAL POE - AESR - ESR'!C3181</f>
        <v>0</v>
      </c>
      <c r="QB41" s="29">
        <f>'REG y VAL POE - AESR - ESR'!D3181</f>
        <v>0</v>
      </c>
      <c r="QC41" s="29">
        <f>'REG y VAL POE - AESR - ESR'!E3181</f>
        <v>0</v>
      </c>
      <c r="QD41" s="28">
        <f>'REG y VAL POE - AESR - ESR'!F3181</f>
        <v>0</v>
      </c>
      <c r="QE41" s="29">
        <f>'REG y VAL POE - AESR - ESR'!G3181</f>
        <v>0</v>
      </c>
      <c r="QF41" s="30">
        <f>'REG y VAL POE - AESR - ESR'!H3181</f>
        <v>0</v>
      </c>
      <c r="QG41" s="28">
        <f>'REG y VAL POE - AESR - ESR'!I3181</f>
        <v>0</v>
      </c>
      <c r="QH41" s="29">
        <f>'REG y VAL POE - AESR - ESR'!J3181</f>
        <v>0</v>
      </c>
      <c r="QI41" s="29">
        <f>'REG y VAL POE - AESR - ESR'!K3181</f>
        <v>0</v>
      </c>
      <c r="QJ41" s="29">
        <f>'REG y VAL POE - AESR - ESR'!L3181</f>
        <v>0</v>
      </c>
      <c r="QK41" s="28">
        <f>'REG y VAL POE - AESR - ESR'!M3181</f>
        <v>0</v>
      </c>
      <c r="QL41" s="29">
        <f>'REG y VAL POE - AESR - ESR'!N3181</f>
        <v>0</v>
      </c>
      <c r="QM41" s="29">
        <f>'REG y VAL POE - AESR - ESR'!O3181</f>
        <v>0</v>
      </c>
      <c r="QN41" s="28">
        <f>'REG y VAL POE - AESR - ESR'!P3181</f>
        <v>0</v>
      </c>
      <c r="QO41" s="29">
        <f>'REG y VAL POE - AESR - ESR'!Q3181</f>
        <v>0</v>
      </c>
      <c r="QP41" s="30">
        <f>'REG y VAL POE - AESR - ESR'!R3181</f>
        <v>0</v>
      </c>
      <c r="QQ41" s="28">
        <f>'REG y VAL POE - AESR - ESR'!S3181</f>
        <v>0</v>
      </c>
      <c r="QR41" s="29">
        <f>'REG y VAL POE - AESR - ESR'!T3181</f>
        <v>0</v>
      </c>
      <c r="QS41" s="29">
        <f>'REG y VAL POE - AESR - ESR'!U3181</f>
        <v>0</v>
      </c>
      <c r="QT41" s="29">
        <f>'REG y VAL POE - AESR - ESR'!V3181</f>
        <v>0</v>
      </c>
      <c r="QU41" s="28">
        <f>'REG y VAL POE - AESR - ESR'!W3181</f>
        <v>0</v>
      </c>
      <c r="QV41" s="29">
        <f>'REG y VAL POE - AESR - ESR'!X3181</f>
        <v>0</v>
      </c>
      <c r="QW41" s="29">
        <f>'REG y VAL POE - AESR - ESR'!Y3181</f>
        <v>0</v>
      </c>
      <c r="QX41" s="28">
        <f>'REG y VAL POE - AESR - ESR'!Z3181</f>
        <v>0</v>
      </c>
      <c r="QY41" s="29">
        <f>'REG y VAL POE - AESR - ESR'!AA3181</f>
        <v>0</v>
      </c>
      <c r="QZ41" s="30">
        <f>'REG y VAL POE - AESR - ESR'!AB3181</f>
        <v>0</v>
      </c>
      <c r="RA41" s="28">
        <f>'REG y VAL POE - AESR - ESR'!AC3181</f>
        <v>0</v>
      </c>
      <c r="RB41" s="29">
        <f>'REG y VAL POE - AESR - ESR'!AD3181</f>
        <v>0</v>
      </c>
      <c r="RC41" s="29">
        <f>'REG y VAL POE - AESR - ESR'!AE3181</f>
        <v>0</v>
      </c>
      <c r="RD41" s="29">
        <f>'REG y VAL POE - AESR - ESR'!AF3181</f>
        <v>0</v>
      </c>
      <c r="RE41" s="28">
        <f>'REG y VAL POE - AESR - ESR'!AG3181</f>
        <v>0</v>
      </c>
      <c r="RF41" s="29">
        <f>'REG y VAL POE - AESR - ESR'!AH3181</f>
        <v>0</v>
      </c>
      <c r="RG41" s="29">
        <f>'REG y VAL POE - AESR - ESR'!AI3181</f>
        <v>0</v>
      </c>
      <c r="RH41" s="28">
        <f>'REG y VAL POE - AESR - ESR'!AJ3181</f>
        <v>0</v>
      </c>
      <c r="RI41" s="29">
        <f>'REG y VAL POE - AESR - ESR'!AK3181</f>
        <v>0</v>
      </c>
      <c r="RJ41" s="30">
        <f>'REG y VAL POE - AESR - ESR'!AL3181</f>
        <v>0</v>
      </c>
      <c r="RK41" s="28">
        <f>'REG y VAL POE - AESR - ESR'!AM3181</f>
        <v>0</v>
      </c>
      <c r="RL41" s="29">
        <f>'REG y VAL POE - AESR - ESR'!AN3181</f>
        <v>0</v>
      </c>
      <c r="RM41" s="29">
        <f>'REG y VAL POE - AESR - ESR'!AO3181</f>
        <v>0</v>
      </c>
      <c r="RN41" s="29">
        <f>'REG y VAL POE - AESR - ESR'!AP3181</f>
        <v>0</v>
      </c>
      <c r="RO41" s="28">
        <f>'REG y VAL POE - AESR - ESR'!AQ3181</f>
        <v>0</v>
      </c>
      <c r="RP41" s="29">
        <f>'REG y VAL POE - AESR - ESR'!AR3181</f>
        <v>0</v>
      </c>
      <c r="RQ41" s="29">
        <f>'REG y VAL POE - AESR - ESR'!AS3181</f>
        <v>0</v>
      </c>
      <c r="RR41" s="28">
        <f>'REG y VAL POE - AESR - ESR'!B3182</f>
        <v>0</v>
      </c>
      <c r="RS41" s="29">
        <f>'REG y VAL POE - AESR - ESR'!C3182</f>
        <v>0</v>
      </c>
      <c r="RT41" s="30">
        <f>'REG y VAL POE - AESR - ESR'!D3182</f>
        <v>0</v>
      </c>
      <c r="RU41" s="28">
        <f>'REG y VAL POE - AESR - ESR'!E3182</f>
        <v>0</v>
      </c>
      <c r="RV41" s="29">
        <f>'REG y VAL POE - AESR - ESR'!F3182</f>
        <v>0</v>
      </c>
      <c r="RW41" s="29">
        <f>'REG y VAL POE - AESR - ESR'!G3182</f>
        <v>0</v>
      </c>
      <c r="RX41" s="29">
        <f>'REG y VAL POE - AESR - ESR'!H3182</f>
        <v>0</v>
      </c>
      <c r="RY41" s="28">
        <f>'REG y VAL POE - AESR - ESR'!I3182</f>
        <v>0</v>
      </c>
      <c r="RZ41" s="29">
        <f>'REG y VAL POE - AESR - ESR'!J3182</f>
        <v>0</v>
      </c>
      <c r="SA41" s="29">
        <f>'REG y VAL POE - AESR - ESR'!K3182</f>
        <v>0</v>
      </c>
      <c r="SB41" s="28">
        <f>'REG y VAL POE - AESR - ESR'!L3182</f>
        <v>0</v>
      </c>
      <c r="SC41" s="29">
        <f>'REG y VAL POE - AESR - ESR'!M3182</f>
        <v>0</v>
      </c>
      <c r="SD41" s="30">
        <f>'REG y VAL POE - AESR - ESR'!N3182</f>
        <v>0</v>
      </c>
      <c r="SE41" s="28">
        <f>'REG y VAL POE - AESR - ESR'!O3182</f>
        <v>0</v>
      </c>
      <c r="SF41" s="29">
        <f>'REG y VAL POE - AESR - ESR'!P3182</f>
        <v>0</v>
      </c>
      <c r="SG41" s="29">
        <f>'REG y VAL POE - AESR - ESR'!Q3182</f>
        <v>0</v>
      </c>
      <c r="SH41" s="29">
        <f>'REG y VAL POE - AESR - ESR'!R3182</f>
        <v>0</v>
      </c>
      <c r="SI41" s="28">
        <f>'REG y VAL POE - AESR - ESR'!S3182</f>
        <v>0</v>
      </c>
      <c r="SJ41" s="29">
        <f>'REG y VAL POE - AESR - ESR'!T3182</f>
        <v>0</v>
      </c>
      <c r="SK41" s="29">
        <f>'REG y VAL POE - AESR - ESR'!U3182</f>
        <v>0</v>
      </c>
      <c r="SL41" s="28">
        <f>'REG y VAL POE - AESR - ESR'!V3182</f>
        <v>0</v>
      </c>
      <c r="SM41" s="29">
        <f>'REG y VAL POE - AESR - ESR'!W3182</f>
        <v>0</v>
      </c>
      <c r="SN41" s="30">
        <f>'REG y VAL POE - AESR - ESR'!X3182</f>
        <v>0</v>
      </c>
      <c r="SO41" s="28">
        <f>'REG y VAL POE - AESR - ESR'!Y3182</f>
        <v>0</v>
      </c>
      <c r="SP41" s="29">
        <f>'REG y VAL POE - AESR - ESR'!Z3182</f>
        <v>0</v>
      </c>
      <c r="SQ41" s="29">
        <f>'REG y VAL POE - AESR - ESR'!AA3182</f>
        <v>0</v>
      </c>
      <c r="SR41" s="29">
        <f>'REG y VAL POE - AESR - ESR'!AB3182</f>
        <v>0</v>
      </c>
      <c r="SS41" s="28">
        <f>'REG y VAL POE - AESR - ESR'!AC3182</f>
        <v>0</v>
      </c>
      <c r="ST41" s="29">
        <f>'REG y VAL POE - AESR - ESR'!AD3182</f>
        <v>0</v>
      </c>
      <c r="SU41" s="29">
        <f>'REG y VAL POE - AESR - ESR'!AE3182</f>
        <v>0</v>
      </c>
      <c r="SV41" s="28">
        <f>'REG y VAL POE - AESR - ESR'!AF3182</f>
        <v>0</v>
      </c>
      <c r="SW41" s="29">
        <f>'REG y VAL POE - AESR - ESR'!AG3182</f>
        <v>0</v>
      </c>
      <c r="SX41" s="30">
        <f>'REG y VAL POE - AESR - ESR'!AH3182</f>
        <v>0</v>
      </c>
      <c r="SY41" s="28">
        <f>'REG y VAL POE - AESR - ESR'!AI3182</f>
        <v>0</v>
      </c>
      <c r="SZ41" s="29">
        <f>'REG y VAL POE - AESR - ESR'!AJ3182</f>
        <v>0</v>
      </c>
      <c r="TA41" s="29">
        <f>'REG y VAL POE - AESR - ESR'!AK3182</f>
        <v>0</v>
      </c>
      <c r="TB41" s="29">
        <f>'REG y VAL POE - AESR - ESR'!AL3182</f>
        <v>0</v>
      </c>
      <c r="TC41" s="28">
        <f>'REG y VAL POE - AESR - ESR'!AM3182</f>
        <v>0</v>
      </c>
      <c r="TD41" s="29">
        <f>'REG y VAL POE - AESR - ESR'!AN3182</f>
        <v>0</v>
      </c>
      <c r="TE41" s="29">
        <f>'REG y VAL POE - AESR - ESR'!AO3182</f>
        <v>0</v>
      </c>
      <c r="TF41" s="28">
        <f>'REG y VAL POE - AESR - ESR'!AP3182</f>
        <v>0</v>
      </c>
      <c r="TG41" s="29">
        <f>'REG y VAL POE - AESR - ESR'!AQ3182</f>
        <v>0</v>
      </c>
      <c r="TH41" s="30">
        <f>'REG y VAL POE - AESR - ESR'!AR3182</f>
        <v>0</v>
      </c>
      <c r="TI41" s="28">
        <f>'REG y VAL POE - AESR - ESR'!AS3182</f>
        <v>0</v>
      </c>
      <c r="TJ41" s="29">
        <f>'REG y VAL POE - AESR - ESR'!B3183</f>
        <v>0</v>
      </c>
      <c r="TK41" s="29">
        <f>'REG y VAL POE - AESR - ESR'!C3183</f>
        <v>0</v>
      </c>
      <c r="TL41" s="29">
        <f>'REG y VAL POE - AESR - ESR'!D3183</f>
        <v>0</v>
      </c>
      <c r="TM41" s="28">
        <f>'REG y VAL POE - AESR - ESR'!E3183</f>
        <v>0</v>
      </c>
      <c r="TN41" s="29">
        <f>'REG y VAL POE - AESR - ESR'!F3183</f>
        <v>0</v>
      </c>
      <c r="TO41" s="29">
        <f>'REG y VAL POE - AESR - ESR'!G3183</f>
        <v>0</v>
      </c>
      <c r="TP41" s="28">
        <f>'REG y VAL POE - AESR - ESR'!H3183</f>
        <v>0</v>
      </c>
      <c r="TQ41" s="29">
        <f>'REG y VAL POE - AESR - ESR'!I3183</f>
        <v>0</v>
      </c>
      <c r="TR41" s="30">
        <f>'REG y VAL POE - AESR - ESR'!J3183</f>
        <v>0</v>
      </c>
      <c r="TS41" s="28">
        <f>'REG y VAL POE - AESR - ESR'!K3183</f>
        <v>0</v>
      </c>
      <c r="TT41" s="29">
        <f>'REG y VAL POE - AESR - ESR'!L3183</f>
        <v>0</v>
      </c>
      <c r="TU41" s="29">
        <f>'REG y VAL POE - AESR - ESR'!M3183</f>
        <v>0</v>
      </c>
      <c r="TV41" s="29">
        <f>'REG y VAL POE - AESR - ESR'!N3183</f>
        <v>0</v>
      </c>
      <c r="TW41" s="28">
        <f>'REG y VAL POE - AESR - ESR'!O3183</f>
        <v>0</v>
      </c>
      <c r="TX41" s="29">
        <f>'REG y VAL POE - AESR - ESR'!P3183</f>
        <v>0</v>
      </c>
      <c r="TY41" s="29">
        <f>'REG y VAL POE - AESR - ESR'!Q3183</f>
        <v>0</v>
      </c>
      <c r="TZ41" s="28">
        <f>'REG y VAL POE - AESR - ESR'!R3183</f>
        <v>0</v>
      </c>
      <c r="UA41" s="29">
        <f>'REG y VAL POE - AESR - ESR'!S3183</f>
        <v>0</v>
      </c>
      <c r="UB41" s="30">
        <f>'REG y VAL POE - AESR - ESR'!T3183</f>
        <v>0</v>
      </c>
      <c r="UC41" s="28">
        <f>'REG y VAL POE - AESR - ESR'!U3183</f>
        <v>0</v>
      </c>
      <c r="UD41" s="29">
        <f>'REG y VAL POE - AESR - ESR'!V3183</f>
        <v>0</v>
      </c>
      <c r="UE41" s="29">
        <f>'REG y VAL POE - AESR - ESR'!W3183</f>
        <v>0</v>
      </c>
      <c r="UF41" s="29">
        <f>'REG y VAL POE - AESR - ESR'!X3183</f>
        <v>0</v>
      </c>
      <c r="UG41" s="28">
        <f>'REG y VAL POE - AESR - ESR'!Y3183</f>
        <v>0</v>
      </c>
      <c r="UH41" s="29">
        <f>'REG y VAL POE - AESR - ESR'!Z3183</f>
        <v>0</v>
      </c>
      <c r="UI41" s="29">
        <f>'REG y VAL POE - AESR - ESR'!AA3183</f>
        <v>0</v>
      </c>
      <c r="UJ41" s="28">
        <f>'REG y VAL POE - AESR - ESR'!AB3183</f>
        <v>0</v>
      </c>
      <c r="UK41" s="29">
        <f>'REG y VAL POE - AESR - ESR'!AC3183</f>
        <v>0</v>
      </c>
      <c r="UL41" s="30">
        <f>'REG y VAL POE - AESR - ESR'!AD3183</f>
        <v>0</v>
      </c>
      <c r="UM41" s="28">
        <f>'REG y VAL POE - AESR - ESR'!AE3183</f>
        <v>0</v>
      </c>
      <c r="UN41" s="29">
        <f>'REG y VAL POE - AESR - ESR'!AF3183</f>
        <v>0</v>
      </c>
      <c r="UO41" s="29">
        <f>'REG y VAL POE - AESR - ESR'!AG3183</f>
        <v>0</v>
      </c>
      <c r="UP41" s="29">
        <f>'REG y VAL POE - AESR - ESR'!AH3183</f>
        <v>0</v>
      </c>
      <c r="UQ41" s="28">
        <f>'REG y VAL POE - AESR - ESR'!AI3183</f>
        <v>0</v>
      </c>
      <c r="UR41" s="29">
        <f>'REG y VAL POE - AESR - ESR'!AJ3183</f>
        <v>0</v>
      </c>
      <c r="US41" s="29">
        <f>'REG y VAL POE - AESR - ESR'!AK3183</f>
        <v>0</v>
      </c>
      <c r="UT41" s="28">
        <f>'REG y VAL POE - AESR - ESR'!AL3183</f>
        <v>0</v>
      </c>
      <c r="UU41" s="29">
        <f>'REG y VAL POE - AESR - ESR'!AM3183</f>
        <v>0</v>
      </c>
      <c r="UV41" s="30">
        <f>'REG y VAL POE - AESR - ESR'!AN3183</f>
        <v>0</v>
      </c>
      <c r="UW41" s="28">
        <f>'REG y VAL POE - AESR - ESR'!AO3183</f>
        <v>0</v>
      </c>
      <c r="UX41" s="29">
        <f>'REG y VAL POE - AESR - ESR'!AP3183</f>
        <v>0</v>
      </c>
      <c r="UY41" s="29">
        <f>'REG y VAL POE - AESR - ESR'!AQ3183</f>
        <v>0</v>
      </c>
      <c r="UZ41" s="29">
        <f>'REG y VAL POE - AESR - ESR'!AR3183</f>
        <v>0</v>
      </c>
      <c r="VA41" s="28">
        <f>'REG y VAL POE - AESR - ESR'!AS3183</f>
        <v>0</v>
      </c>
      <c r="VB41" s="29">
        <f>'REG y VAL POE - AESR - ESR'!B3184</f>
        <v>0</v>
      </c>
      <c r="VC41" s="29">
        <f>'REG y VAL POE - AESR - ESR'!C3184</f>
        <v>0</v>
      </c>
      <c r="VD41" s="28">
        <f>'REG y VAL POE - AESR - ESR'!D3184</f>
        <v>0</v>
      </c>
      <c r="VE41" s="29">
        <f>'REG y VAL POE - AESR - ESR'!E3184</f>
        <v>0</v>
      </c>
      <c r="VF41" s="30">
        <f>'REG y VAL POE - AESR - ESR'!F3184</f>
        <v>0</v>
      </c>
      <c r="VG41" s="28">
        <f>'REG y VAL POE - AESR - ESR'!G3184</f>
        <v>0</v>
      </c>
      <c r="VH41" s="29">
        <f>'REG y VAL POE - AESR - ESR'!H3184</f>
        <v>0</v>
      </c>
      <c r="VI41" s="29">
        <f>'REG y VAL POE - AESR - ESR'!I3184</f>
        <v>0</v>
      </c>
      <c r="VJ41" s="29">
        <f>'REG y VAL POE - AESR - ESR'!J3184</f>
        <v>0</v>
      </c>
      <c r="VK41" s="28">
        <f>'REG y VAL POE - AESR - ESR'!K3184</f>
        <v>0</v>
      </c>
      <c r="VL41" s="29">
        <f>'REG y VAL POE - AESR - ESR'!L3184</f>
        <v>0</v>
      </c>
      <c r="VM41" s="29">
        <f>'REG y VAL POE - AESR - ESR'!M3184</f>
        <v>0</v>
      </c>
      <c r="VN41" s="28">
        <f>'REG y VAL POE - AESR - ESR'!N3184</f>
        <v>0</v>
      </c>
      <c r="VO41" s="29">
        <f>'REG y VAL POE - AESR - ESR'!O3184</f>
        <v>0</v>
      </c>
      <c r="VP41" s="30">
        <f>'REG y VAL POE - AESR - ESR'!P3184</f>
        <v>0</v>
      </c>
      <c r="VQ41" s="28">
        <f>'REG y VAL POE - AESR - ESR'!Q3184</f>
        <v>0</v>
      </c>
      <c r="VR41" s="29">
        <f>'REG y VAL POE - AESR - ESR'!R3184</f>
        <v>0</v>
      </c>
      <c r="VS41" s="29">
        <f>'REG y VAL POE - AESR - ESR'!S3184</f>
        <v>0</v>
      </c>
      <c r="VT41" s="29">
        <f>'REG y VAL POE - AESR - ESR'!T3184</f>
        <v>0</v>
      </c>
      <c r="VU41" s="28">
        <f>'REG y VAL POE - AESR - ESR'!U3184</f>
        <v>0</v>
      </c>
      <c r="VV41" s="29">
        <f>'REG y VAL POE - AESR - ESR'!V3184</f>
        <v>0</v>
      </c>
      <c r="VW41" s="29">
        <f>'REG y VAL POE - AESR - ESR'!W3184</f>
        <v>0</v>
      </c>
      <c r="VX41" s="28">
        <f>'REG y VAL POE - AESR - ESR'!X3184</f>
        <v>0</v>
      </c>
      <c r="VY41" s="29">
        <f>'REG y VAL POE - AESR - ESR'!Y3184</f>
        <v>0</v>
      </c>
      <c r="VZ41" s="30">
        <f>'REG y VAL POE - AESR - ESR'!Z3184</f>
        <v>0</v>
      </c>
      <c r="WA41" s="28">
        <f>'REG y VAL POE - AESR - ESR'!AA3184</f>
        <v>0</v>
      </c>
      <c r="WB41" s="29">
        <f>'REG y VAL POE - AESR - ESR'!AB3184</f>
        <v>0</v>
      </c>
      <c r="WC41" s="29">
        <f>'REG y VAL POE - AESR - ESR'!AC3184</f>
        <v>0</v>
      </c>
      <c r="WD41" s="29">
        <f>'REG y VAL POE - AESR - ESR'!AD3184</f>
        <v>0</v>
      </c>
      <c r="WE41" s="28">
        <f>'REG y VAL POE - AESR - ESR'!AE3184</f>
        <v>0</v>
      </c>
      <c r="WF41" s="29">
        <f>'REG y VAL POE - AESR - ESR'!AF3184</f>
        <v>0</v>
      </c>
      <c r="WG41" s="29">
        <f>'REG y VAL POE - AESR - ESR'!AG3184</f>
        <v>0</v>
      </c>
      <c r="WH41" s="28">
        <f>'REG y VAL POE - AESR - ESR'!AH3184</f>
        <v>0</v>
      </c>
      <c r="WI41" s="29">
        <f>'REG y VAL POE - AESR - ESR'!AI3184</f>
        <v>0</v>
      </c>
      <c r="WJ41" s="30">
        <f>'REG y VAL POE - AESR - ESR'!AJ3184</f>
        <v>0</v>
      </c>
      <c r="WK41" s="28">
        <f>'REG y VAL POE - AESR - ESR'!AK3184</f>
        <v>0</v>
      </c>
      <c r="WL41" s="29">
        <f>'REG y VAL POE - AESR - ESR'!AL3184</f>
        <v>0</v>
      </c>
      <c r="WM41" s="29">
        <f>'REG y VAL POE - AESR - ESR'!AM3184</f>
        <v>0</v>
      </c>
      <c r="WN41" s="29">
        <f>'REG y VAL POE - AESR - ESR'!AN3184</f>
        <v>0</v>
      </c>
      <c r="WO41" s="28">
        <f>'REG y VAL POE - AESR - ESR'!AO3184</f>
        <v>0</v>
      </c>
      <c r="WP41" s="29">
        <f>'REG y VAL POE - AESR - ESR'!AP3184</f>
        <v>0</v>
      </c>
      <c r="WQ41" s="29">
        <f>'REG y VAL POE - AESR - ESR'!AQ3184</f>
        <v>0</v>
      </c>
      <c r="WR41" s="28">
        <f>'REG y VAL POE - AESR - ESR'!AR3184</f>
        <v>0</v>
      </c>
      <c r="WS41" s="29">
        <f>'REG y VAL POE - AESR - ESR'!AS3184</f>
        <v>0</v>
      </c>
      <c r="WT41" s="30">
        <f>'REG y VAL POE - AESR - ESR'!B3185</f>
        <v>0</v>
      </c>
      <c r="WU41" s="28">
        <f>'REG y VAL POE - AESR - ESR'!C3185</f>
        <v>0</v>
      </c>
      <c r="WV41" s="29">
        <f>'REG y VAL POE - AESR - ESR'!D3185</f>
        <v>0</v>
      </c>
      <c r="WW41" s="29">
        <f>'REG y VAL POE - AESR - ESR'!E3185</f>
        <v>0</v>
      </c>
      <c r="WX41" s="29">
        <f>'REG y VAL POE - AESR - ESR'!F3185</f>
        <v>0</v>
      </c>
      <c r="WY41" s="28">
        <f>'REG y VAL POE - AESR - ESR'!G3185</f>
        <v>0</v>
      </c>
      <c r="WZ41" s="29">
        <f>'REG y VAL POE - AESR - ESR'!H3185</f>
        <v>0</v>
      </c>
      <c r="XA41" s="29">
        <f>'REG y VAL POE - AESR - ESR'!I3185</f>
        <v>0</v>
      </c>
      <c r="XB41" s="28">
        <f>'REG y VAL POE - AESR - ESR'!J3185</f>
        <v>0</v>
      </c>
      <c r="XC41" s="29">
        <f>'REG y VAL POE - AESR - ESR'!K3185</f>
        <v>0</v>
      </c>
      <c r="XD41" s="30">
        <f>'REG y VAL POE - AESR - ESR'!L3185</f>
        <v>0</v>
      </c>
      <c r="XE41" s="28">
        <f>'REG y VAL POE - AESR - ESR'!M3185</f>
        <v>0</v>
      </c>
      <c r="XF41" s="29">
        <f>'REG y VAL POE - AESR - ESR'!N3185</f>
        <v>0</v>
      </c>
      <c r="XG41" s="29">
        <f>'REG y VAL POE - AESR - ESR'!O3185</f>
        <v>0</v>
      </c>
      <c r="XH41" s="29">
        <f>'REG y VAL POE - AESR - ESR'!P3185</f>
        <v>0</v>
      </c>
      <c r="XI41" s="28">
        <f>'REG y VAL POE - AESR - ESR'!Q3185</f>
        <v>0</v>
      </c>
      <c r="XJ41" s="29">
        <f>'REG y VAL POE - AESR - ESR'!R3185</f>
        <v>0</v>
      </c>
      <c r="XK41" s="29">
        <f>'REG y VAL POE - AESR - ESR'!S3185</f>
        <v>0</v>
      </c>
      <c r="XL41" s="28">
        <f>'REG y VAL POE - AESR - ESR'!T3185</f>
        <v>0</v>
      </c>
      <c r="XM41" s="29">
        <f>'REG y VAL POE - AESR - ESR'!U3185</f>
        <v>0</v>
      </c>
      <c r="XN41" s="30">
        <f>'REG y VAL POE - AESR - ESR'!V3185</f>
        <v>0</v>
      </c>
      <c r="XO41" s="28">
        <f>'REG y VAL POE - AESR - ESR'!W3185</f>
        <v>0</v>
      </c>
      <c r="XP41" s="29">
        <f>'REG y VAL POE - AESR - ESR'!X3185</f>
        <v>0</v>
      </c>
      <c r="XQ41" s="29">
        <f>'REG y VAL POE - AESR - ESR'!Y3185</f>
        <v>0</v>
      </c>
      <c r="XR41" s="29">
        <f>'REG y VAL POE - AESR - ESR'!Z3185</f>
        <v>0</v>
      </c>
      <c r="XS41" s="28">
        <f>'REG y VAL POE - AESR - ESR'!AA3185</f>
        <v>0</v>
      </c>
      <c r="XT41" s="29">
        <f>'REG y VAL POE - AESR - ESR'!AB3185</f>
        <v>0</v>
      </c>
      <c r="XU41" s="29">
        <f>'REG y VAL POE - AESR - ESR'!AC3185</f>
        <v>0</v>
      </c>
      <c r="XV41" s="28">
        <f>'REG y VAL POE - AESR - ESR'!AD3185</f>
        <v>0</v>
      </c>
      <c r="XW41" s="29">
        <f>'REG y VAL POE - AESR - ESR'!AE3185</f>
        <v>0</v>
      </c>
      <c r="XX41" s="30">
        <f>'REG y VAL POE - AESR - ESR'!AF3185</f>
        <v>0</v>
      </c>
      <c r="XY41" s="28">
        <f>'REG y VAL POE - AESR - ESR'!AG3185</f>
        <v>0</v>
      </c>
      <c r="XZ41" s="29">
        <f>'REG y VAL POE - AESR - ESR'!AH3185</f>
        <v>0</v>
      </c>
      <c r="YA41" s="29">
        <f>'REG y VAL POE - AESR - ESR'!AI3185</f>
        <v>0</v>
      </c>
      <c r="YB41" s="29">
        <f>'REG y VAL POE - AESR - ESR'!AJ3185</f>
        <v>0</v>
      </c>
      <c r="YC41" s="28">
        <f>'REG y VAL POE - AESR - ESR'!AK3185</f>
        <v>0</v>
      </c>
      <c r="YD41" s="29">
        <f>'REG y VAL POE - AESR - ESR'!AL3185</f>
        <v>0</v>
      </c>
      <c r="YE41" s="29">
        <f>'REG y VAL POE - AESR - ESR'!AM3185</f>
        <v>0</v>
      </c>
      <c r="YF41" s="28">
        <f>'REG y VAL POE - AESR - ESR'!AN3185</f>
        <v>0</v>
      </c>
      <c r="YG41" s="29">
        <f>'REG y VAL POE - AESR - ESR'!AO3185</f>
        <v>0</v>
      </c>
      <c r="YH41" s="30">
        <f>'REG y VAL POE - AESR - ESR'!AP3185</f>
        <v>0</v>
      </c>
      <c r="YI41" s="28">
        <f>'REG y VAL POE - AESR - ESR'!AQ3185</f>
        <v>0</v>
      </c>
      <c r="YJ41" s="29">
        <f>'REG y VAL POE - AESR - ESR'!AR3185</f>
        <v>0</v>
      </c>
      <c r="YK41" s="29">
        <f>'REG y VAL POE - AESR - ESR'!AS3185</f>
        <v>0</v>
      </c>
      <c r="YL41" s="29">
        <f>'REG y VAL POE - AESR - ESR'!B3186</f>
        <v>0</v>
      </c>
      <c r="YM41" s="28">
        <f>'REG y VAL POE - AESR - ESR'!C3186</f>
        <v>0</v>
      </c>
      <c r="YN41" s="29">
        <f>'REG y VAL POE - AESR - ESR'!D3186</f>
        <v>0</v>
      </c>
      <c r="YO41" s="29">
        <f>'REG y VAL POE - AESR - ESR'!E3186</f>
        <v>0</v>
      </c>
      <c r="YP41" s="28">
        <f>'REG y VAL POE - AESR - ESR'!F3186</f>
        <v>0</v>
      </c>
      <c r="YQ41" s="29">
        <f>'REG y VAL POE - AESR - ESR'!G3186</f>
        <v>0</v>
      </c>
      <c r="YR41" s="30">
        <f>'REG y VAL POE - AESR - ESR'!H3186</f>
        <v>0</v>
      </c>
      <c r="YS41" s="28">
        <f>'REG y VAL POE - AESR - ESR'!I3186</f>
        <v>0</v>
      </c>
      <c r="YT41" s="29">
        <f>'REG y VAL POE - AESR - ESR'!J3186</f>
        <v>0</v>
      </c>
      <c r="YU41" s="29">
        <f>'REG y VAL POE - AESR - ESR'!K3186</f>
        <v>0</v>
      </c>
      <c r="YV41" s="29">
        <f>'REG y VAL POE - AESR - ESR'!L3186</f>
        <v>0</v>
      </c>
      <c r="YW41" s="28">
        <f>'REG y VAL POE - AESR - ESR'!M3186</f>
        <v>0</v>
      </c>
      <c r="YX41" s="29">
        <f>'REG y VAL POE - AESR - ESR'!N3186</f>
        <v>0</v>
      </c>
      <c r="YY41" s="29">
        <f>'REG y VAL POE - AESR - ESR'!O3186</f>
        <v>0</v>
      </c>
      <c r="YZ41" s="28">
        <f>'REG y VAL POE - AESR - ESR'!P3186</f>
        <v>0</v>
      </c>
      <c r="ZA41" s="29">
        <f>'REG y VAL POE - AESR - ESR'!Q3186</f>
        <v>0</v>
      </c>
      <c r="ZB41" s="30">
        <f>'REG y VAL POE - AESR - ESR'!R3186</f>
        <v>0</v>
      </c>
      <c r="ZC41" s="28">
        <f>'REG y VAL POE - AESR - ESR'!S3186</f>
        <v>0</v>
      </c>
      <c r="ZD41" s="29">
        <f>'REG y VAL POE - AESR - ESR'!T3186</f>
        <v>0</v>
      </c>
      <c r="ZE41" s="29">
        <f>'REG y VAL POE - AESR - ESR'!U3186</f>
        <v>0</v>
      </c>
      <c r="ZF41" s="29">
        <f>'REG y VAL POE - AESR - ESR'!V3186</f>
        <v>0</v>
      </c>
      <c r="ZG41" s="28">
        <f>'REG y VAL POE - AESR - ESR'!W3186</f>
        <v>0</v>
      </c>
      <c r="ZH41" s="29">
        <f>'REG y VAL POE - AESR - ESR'!X3186</f>
        <v>0</v>
      </c>
      <c r="ZI41" s="29">
        <f>'REG y VAL POE - AESR - ESR'!Y3186</f>
        <v>0</v>
      </c>
      <c r="ZJ41" s="28">
        <f>'REG y VAL POE - AESR - ESR'!Z3186</f>
        <v>0</v>
      </c>
      <c r="ZK41" s="29">
        <f>'REG y VAL POE - AESR - ESR'!AA3186</f>
        <v>0</v>
      </c>
      <c r="ZL41" s="30">
        <f>'REG y VAL POE - AESR - ESR'!AB3186</f>
        <v>0</v>
      </c>
      <c r="ZM41" s="28">
        <f>'REG y VAL POE - AESR - ESR'!AC3186</f>
        <v>0</v>
      </c>
      <c r="ZN41" s="29">
        <f>'REG y VAL POE - AESR - ESR'!AD3186</f>
        <v>0</v>
      </c>
      <c r="ZO41" s="29">
        <f>'REG y VAL POE - AESR - ESR'!AE3186</f>
        <v>0</v>
      </c>
      <c r="ZP41" s="29">
        <f>'REG y VAL POE - AESR - ESR'!AF3186</f>
        <v>0</v>
      </c>
      <c r="ZQ41" s="28">
        <f>'REG y VAL POE - AESR - ESR'!AG3186</f>
        <v>0</v>
      </c>
      <c r="ZR41" s="29">
        <f>'REG y VAL POE - AESR - ESR'!AH3186</f>
        <v>0</v>
      </c>
      <c r="ZS41" s="29">
        <f>'REG y VAL POE - AESR - ESR'!AI3186</f>
        <v>0</v>
      </c>
      <c r="ZT41" s="28">
        <f>'REG y VAL POE - AESR - ESR'!AJ3186</f>
        <v>0</v>
      </c>
      <c r="ZU41" s="29">
        <f>'REG y VAL POE - AESR - ESR'!AK3186</f>
        <v>0</v>
      </c>
      <c r="ZV41" s="30">
        <f>'REG y VAL POE - AESR - ESR'!AL3186</f>
        <v>0</v>
      </c>
      <c r="ZW41" s="28">
        <f>'REG y VAL POE - AESR - ESR'!AM3186</f>
        <v>0</v>
      </c>
      <c r="ZX41" s="29">
        <f>'REG y VAL POE - AESR - ESR'!AN3186</f>
        <v>0</v>
      </c>
      <c r="ZY41" s="29">
        <f>'REG y VAL POE - AESR - ESR'!AO3186</f>
        <v>0</v>
      </c>
      <c r="ZZ41" s="29">
        <f>'REG y VAL POE - AESR - ESR'!AP3186</f>
        <v>0</v>
      </c>
      <c r="AAA41" s="28">
        <f>'REG y VAL POE - AESR - ESR'!AQ3186</f>
        <v>0</v>
      </c>
      <c r="AAB41" s="29">
        <f>'REG y VAL POE - AESR - ESR'!AR3186</f>
        <v>0</v>
      </c>
      <c r="AAC41" s="29">
        <f>'REG y VAL POE - AESR - ESR'!AS3186</f>
        <v>0</v>
      </c>
      <c r="AAD41" s="28">
        <f>'REG y VAL POE - AESR - ESR'!B3187</f>
        <v>0</v>
      </c>
      <c r="AAE41" s="29">
        <f>'REG y VAL POE - AESR - ESR'!C3187</f>
        <v>0</v>
      </c>
      <c r="AAF41" s="30">
        <f>'REG y VAL POE - AESR - ESR'!D3187</f>
        <v>0</v>
      </c>
      <c r="AAG41" s="28">
        <f>'REG y VAL POE - AESR - ESR'!E3187</f>
        <v>0</v>
      </c>
      <c r="AAH41" s="29">
        <f>'REG y VAL POE - AESR - ESR'!F3187</f>
        <v>0</v>
      </c>
      <c r="AAI41" s="29">
        <f>'REG y VAL POE - AESR - ESR'!G3187</f>
        <v>0</v>
      </c>
      <c r="AAJ41" s="29">
        <f>'REG y VAL POE - AESR - ESR'!H3187</f>
        <v>0</v>
      </c>
      <c r="AAK41" s="28">
        <f>'REG y VAL POE - AESR - ESR'!I3187</f>
        <v>0</v>
      </c>
      <c r="AAL41" s="29">
        <f>'REG y VAL POE - AESR - ESR'!J3187</f>
        <v>0</v>
      </c>
      <c r="AAM41" s="29">
        <f>'REG y VAL POE - AESR - ESR'!K3187</f>
        <v>0</v>
      </c>
      <c r="AAN41" s="28">
        <f>'REG y VAL POE - AESR - ESR'!L3187</f>
        <v>0</v>
      </c>
      <c r="AAO41" s="29">
        <f>'REG y VAL POE - AESR - ESR'!M3187</f>
        <v>0</v>
      </c>
      <c r="AAP41" s="30">
        <f>'REG y VAL POE - AESR - ESR'!N3187</f>
        <v>0</v>
      </c>
      <c r="AAQ41" s="28">
        <f>'REG y VAL POE - AESR - ESR'!O3187</f>
        <v>0</v>
      </c>
      <c r="AAR41" s="29">
        <f>'REG y VAL POE - AESR - ESR'!P3187</f>
        <v>0</v>
      </c>
      <c r="AAS41" s="29">
        <f>'REG y VAL POE - AESR - ESR'!Q3187</f>
        <v>0</v>
      </c>
      <c r="AAT41" s="29">
        <f>'REG y VAL POE - AESR - ESR'!R3187</f>
        <v>0</v>
      </c>
      <c r="AAU41" s="28">
        <f>'REG y VAL POE - AESR - ESR'!S3187</f>
        <v>0</v>
      </c>
      <c r="AAV41" s="29">
        <f>'REG y VAL POE - AESR - ESR'!T3187</f>
        <v>0</v>
      </c>
      <c r="AAW41" s="29">
        <f>'REG y VAL POE - AESR - ESR'!U3187</f>
        <v>0</v>
      </c>
      <c r="AAX41" s="28">
        <f>'REG y VAL POE - AESR - ESR'!V3187</f>
        <v>0</v>
      </c>
      <c r="AAY41" s="29">
        <f>'REG y VAL POE - AESR - ESR'!W3187</f>
        <v>0</v>
      </c>
      <c r="AAZ41" s="30">
        <f>'REG y VAL POE - AESR - ESR'!X3187</f>
        <v>0</v>
      </c>
      <c r="ABA41" s="28">
        <f>'REG y VAL POE - AESR - ESR'!Y3187</f>
        <v>0</v>
      </c>
      <c r="ABB41" s="29">
        <f>'REG y VAL POE - AESR - ESR'!Z3187</f>
        <v>0</v>
      </c>
      <c r="ABC41" s="29">
        <f>'REG y VAL POE - AESR - ESR'!AA3187</f>
        <v>0</v>
      </c>
      <c r="ABD41" s="29">
        <f>'REG y VAL POE - AESR - ESR'!AB3187</f>
        <v>0</v>
      </c>
      <c r="ABE41" s="28">
        <f>'REG y VAL POE - AESR - ESR'!AC3187</f>
        <v>0</v>
      </c>
      <c r="ABF41" s="29">
        <f>'REG y VAL POE - AESR - ESR'!AD3187</f>
        <v>0</v>
      </c>
      <c r="ABG41" s="29">
        <f>'REG y VAL POE - AESR - ESR'!AE3187</f>
        <v>0</v>
      </c>
      <c r="ABH41" s="28">
        <f>'REG y VAL POE - AESR - ESR'!AF3187</f>
        <v>0</v>
      </c>
      <c r="ABI41" s="29">
        <f>'REG y VAL POE - AESR - ESR'!AG3187</f>
        <v>0</v>
      </c>
      <c r="ABJ41" s="30">
        <f>'REG y VAL POE - AESR - ESR'!AH3187</f>
        <v>0</v>
      </c>
      <c r="ABK41" s="28">
        <f>'REG y VAL POE - AESR - ESR'!AI3187</f>
        <v>0</v>
      </c>
      <c r="ABL41" s="29">
        <f>'REG y VAL POE - AESR - ESR'!AJ3187</f>
        <v>0</v>
      </c>
      <c r="ABM41" s="29">
        <f>'REG y VAL POE - AESR - ESR'!AK3187</f>
        <v>0</v>
      </c>
      <c r="ABN41" s="29">
        <f>'REG y VAL POE - AESR - ESR'!AL3187</f>
        <v>0</v>
      </c>
      <c r="ABO41" s="28">
        <f>'REG y VAL POE - AESR - ESR'!AM3187</f>
        <v>0</v>
      </c>
      <c r="ABP41" s="29">
        <f>'REG y VAL POE - AESR - ESR'!AN3187</f>
        <v>0</v>
      </c>
      <c r="ABQ41" s="29">
        <f>'REG y VAL POE - AESR - ESR'!AO3187</f>
        <v>0</v>
      </c>
      <c r="ABR41" s="28">
        <f>'REG y VAL POE - AESR - ESR'!AP3187</f>
        <v>0</v>
      </c>
      <c r="ABS41" s="29">
        <f>'REG y VAL POE - AESR - ESR'!AQ3187</f>
        <v>0</v>
      </c>
      <c r="ABT41" s="30">
        <f>'REG y VAL POE - AESR - ESR'!AR3187</f>
        <v>0</v>
      </c>
      <c r="ABU41" s="28">
        <f>'REG y VAL POE - AESR - ESR'!AS3187</f>
        <v>0</v>
      </c>
      <c r="ABV41" s="29">
        <f>'REG y VAL POE - AESR - ESR'!B3188</f>
        <v>0</v>
      </c>
      <c r="ABW41" s="29">
        <f>'REG y VAL POE - AESR - ESR'!C3188</f>
        <v>0</v>
      </c>
      <c r="ABX41" s="29">
        <f>'REG y VAL POE - AESR - ESR'!D3188</f>
        <v>0</v>
      </c>
      <c r="ABY41" s="28">
        <f>'REG y VAL POE - AESR - ESR'!E3188</f>
        <v>0</v>
      </c>
      <c r="ABZ41" s="29">
        <f>'REG y VAL POE - AESR - ESR'!F3188</f>
        <v>0</v>
      </c>
      <c r="ACA41" s="29">
        <f>'REG y VAL POE - AESR - ESR'!G3188</f>
        <v>0</v>
      </c>
      <c r="ACB41" s="28">
        <f>'REG y VAL POE - AESR - ESR'!H3188</f>
        <v>0</v>
      </c>
      <c r="ACC41" s="29">
        <f>'REG y VAL POE - AESR - ESR'!I3188</f>
        <v>0</v>
      </c>
      <c r="ACD41" s="30">
        <f>'REG y VAL POE - AESR - ESR'!J3188</f>
        <v>0</v>
      </c>
      <c r="ACE41" s="28">
        <f>'REG y VAL POE - AESR - ESR'!K3188</f>
        <v>0</v>
      </c>
      <c r="ACF41" s="29">
        <f>'REG y VAL POE - AESR - ESR'!L3188</f>
        <v>0</v>
      </c>
      <c r="ACG41" s="29">
        <f>'REG y VAL POE - AESR - ESR'!M3188</f>
        <v>0</v>
      </c>
      <c r="ACH41" s="29">
        <f>'REG y VAL POE - AESR - ESR'!N3188</f>
        <v>0</v>
      </c>
      <c r="ACI41" s="28">
        <f>'REG y VAL POE - AESR - ESR'!O3188</f>
        <v>0</v>
      </c>
      <c r="ACJ41" s="29">
        <f>'REG y VAL POE - AESR - ESR'!P3188</f>
        <v>0</v>
      </c>
      <c r="ACK41" s="29">
        <f>'REG y VAL POE - AESR - ESR'!Q3188</f>
        <v>0</v>
      </c>
      <c r="ACL41" s="28">
        <f>'REG y VAL POE - AESR - ESR'!R3188</f>
        <v>0</v>
      </c>
      <c r="ACM41" s="29">
        <f>'REG y VAL POE - AESR - ESR'!S3188</f>
        <v>0</v>
      </c>
      <c r="ACN41" s="30">
        <f>'REG y VAL POE - AESR - ESR'!T3188</f>
        <v>0</v>
      </c>
      <c r="ACO41" s="28">
        <f>'REG y VAL POE - AESR - ESR'!U3188</f>
        <v>0</v>
      </c>
      <c r="ACP41" s="29">
        <f>'REG y VAL POE - AESR - ESR'!V3188</f>
        <v>0</v>
      </c>
      <c r="ACQ41" s="29">
        <f>'REG y VAL POE - AESR - ESR'!W3188</f>
        <v>0</v>
      </c>
      <c r="ACR41" s="29">
        <f>'REG y VAL POE - AESR - ESR'!X3188</f>
        <v>0</v>
      </c>
      <c r="ACS41" s="28">
        <f>'REG y VAL POE - AESR - ESR'!Y3188</f>
        <v>0</v>
      </c>
      <c r="ACT41" s="29">
        <f>'REG y VAL POE - AESR - ESR'!Z3188</f>
        <v>0</v>
      </c>
      <c r="ACU41" s="29">
        <f>'REG y VAL POE - AESR - ESR'!AA3188</f>
        <v>0</v>
      </c>
      <c r="ACV41" s="28">
        <f>'REG y VAL POE - AESR - ESR'!AB3188</f>
        <v>0</v>
      </c>
      <c r="ACW41" s="29">
        <f>'REG y VAL POE - AESR - ESR'!AC3188</f>
        <v>0</v>
      </c>
      <c r="ACX41" s="30">
        <f>'REG y VAL POE - AESR - ESR'!AD3188</f>
        <v>0</v>
      </c>
      <c r="ACY41" s="28">
        <f>'REG y VAL POE - AESR - ESR'!AE3188</f>
        <v>0</v>
      </c>
      <c r="ACZ41" s="29">
        <f>'REG y VAL POE - AESR - ESR'!AF3188</f>
        <v>0</v>
      </c>
      <c r="ADA41" s="29">
        <f>'REG y VAL POE - AESR - ESR'!AG3188</f>
        <v>0</v>
      </c>
      <c r="ADB41" s="29">
        <f>'REG y VAL POE - AESR - ESR'!AH3188</f>
        <v>0</v>
      </c>
      <c r="ADC41" s="28">
        <f>'REG y VAL POE - AESR - ESR'!AI3188</f>
        <v>0</v>
      </c>
      <c r="ADD41" s="29">
        <f>'REG y VAL POE - AESR - ESR'!AJ3188</f>
        <v>0</v>
      </c>
      <c r="ADE41" s="29">
        <f>'REG y VAL POE - AESR - ESR'!AK3188</f>
        <v>0</v>
      </c>
      <c r="ADF41" s="28">
        <f>'REG y VAL POE - AESR - ESR'!AL3188</f>
        <v>0</v>
      </c>
      <c r="ADG41" s="29">
        <f>'REG y VAL POE - AESR - ESR'!AM3188</f>
        <v>0</v>
      </c>
      <c r="ADH41" s="30">
        <f>'REG y VAL POE - AESR - ESR'!AN3188</f>
        <v>0</v>
      </c>
      <c r="ADI41" s="28">
        <f>'REG y VAL POE - AESR - ESR'!AO3188</f>
        <v>0</v>
      </c>
      <c r="ADJ41" s="29">
        <f>'REG y VAL POE - AESR - ESR'!AP3188</f>
        <v>0</v>
      </c>
      <c r="ADK41" s="29">
        <f>'REG y VAL POE - AESR - ESR'!AQ3188</f>
        <v>0</v>
      </c>
      <c r="ADL41" s="29">
        <f>'REG y VAL POE - AESR - ESR'!AR3188</f>
        <v>0</v>
      </c>
      <c r="ADM41" s="28">
        <f>'REG y VAL POE - AESR - ESR'!AS3188</f>
        <v>0</v>
      </c>
      <c r="ADN41" s="29">
        <f>'REG y VAL POE - AESR - ESR'!B3189</f>
        <v>0</v>
      </c>
      <c r="ADO41" s="29">
        <f>'REG y VAL POE - AESR - ESR'!C3189</f>
        <v>0</v>
      </c>
      <c r="ADP41" s="28">
        <f>'REG y VAL POE - AESR - ESR'!D3189</f>
        <v>0</v>
      </c>
      <c r="ADQ41" s="29">
        <f>'REG y VAL POE - AESR - ESR'!E3189</f>
        <v>0</v>
      </c>
      <c r="ADR41" s="30">
        <f>'REG y VAL POE - AESR - ESR'!F3189</f>
        <v>0</v>
      </c>
      <c r="ADS41" s="28">
        <f>'REG y VAL POE - AESR - ESR'!G3189</f>
        <v>0</v>
      </c>
      <c r="ADT41" s="29">
        <f>'REG y VAL POE - AESR - ESR'!H3189</f>
        <v>0</v>
      </c>
      <c r="ADU41" s="29">
        <f>'REG y VAL POE - AESR - ESR'!I3189</f>
        <v>0</v>
      </c>
      <c r="ADV41" s="29">
        <f>'REG y VAL POE - AESR - ESR'!J3189</f>
        <v>0</v>
      </c>
      <c r="ADW41" s="28">
        <f>'REG y VAL POE - AESR - ESR'!K3189</f>
        <v>0</v>
      </c>
      <c r="ADX41" s="29">
        <f>'REG y VAL POE - AESR - ESR'!L3189</f>
        <v>0</v>
      </c>
      <c r="ADY41" s="29">
        <f>'REG y VAL POE - AESR - ESR'!M3189</f>
        <v>0</v>
      </c>
      <c r="ADZ41" s="28">
        <f>'REG y VAL POE - AESR - ESR'!N3189</f>
        <v>0</v>
      </c>
      <c r="AEA41" s="29">
        <f>'REG y VAL POE - AESR - ESR'!O3189</f>
        <v>0</v>
      </c>
      <c r="AEB41" s="30">
        <f>'REG y VAL POE - AESR - ESR'!P3189</f>
        <v>0</v>
      </c>
      <c r="AEC41" s="28">
        <f>'REG y VAL POE - AESR - ESR'!Q3189</f>
        <v>0</v>
      </c>
      <c r="AED41" s="29">
        <f>'REG y VAL POE - AESR - ESR'!R3189</f>
        <v>0</v>
      </c>
      <c r="AEE41" s="29">
        <f>'REG y VAL POE - AESR - ESR'!S3189</f>
        <v>0</v>
      </c>
      <c r="AEF41" s="29">
        <f>'REG y VAL POE - AESR - ESR'!T3189</f>
        <v>0</v>
      </c>
      <c r="AEG41" s="28">
        <f>'REG y VAL POE - AESR - ESR'!U3189</f>
        <v>0</v>
      </c>
      <c r="AEH41" s="29">
        <f>'REG y VAL POE - AESR - ESR'!V3189</f>
        <v>0</v>
      </c>
      <c r="AEI41" s="29">
        <f>'REG y VAL POE - AESR - ESR'!W3189</f>
        <v>0</v>
      </c>
      <c r="AEJ41" s="28">
        <f>'REG y VAL POE - AESR - ESR'!X3189</f>
        <v>0</v>
      </c>
      <c r="AEK41" s="29">
        <f>'REG y VAL POE - AESR - ESR'!Y3189</f>
        <v>0</v>
      </c>
      <c r="AEL41" s="30">
        <f>'REG y VAL POE - AESR - ESR'!Z3189</f>
        <v>0</v>
      </c>
      <c r="AEM41" s="28">
        <f>'REG y VAL POE - AESR - ESR'!AA3189</f>
        <v>0</v>
      </c>
      <c r="AEN41" s="29">
        <f>'REG y VAL POE - AESR - ESR'!AB3189</f>
        <v>0</v>
      </c>
      <c r="AEO41" s="29">
        <f>'REG y VAL POE - AESR - ESR'!AC3189</f>
        <v>0</v>
      </c>
      <c r="AEP41" s="29">
        <f>'REG y VAL POE - AESR - ESR'!AD3189</f>
        <v>0</v>
      </c>
      <c r="AEQ41" s="28">
        <f>'REG y VAL POE - AESR - ESR'!AE3189</f>
        <v>0</v>
      </c>
      <c r="AER41" s="29">
        <f>'REG y VAL POE - AESR - ESR'!AF3189</f>
        <v>0</v>
      </c>
      <c r="AES41" s="29">
        <f>'REG y VAL POE - AESR - ESR'!AG3189</f>
        <v>0</v>
      </c>
      <c r="AET41" s="28">
        <f>'REG y VAL POE - AESR - ESR'!AH3189</f>
        <v>0</v>
      </c>
      <c r="AEU41" s="29">
        <f>'REG y VAL POE - AESR - ESR'!AI3189</f>
        <v>0</v>
      </c>
      <c r="AEV41" s="30">
        <f>'REG y VAL POE - AESR - ESR'!AJ3189</f>
        <v>0</v>
      </c>
      <c r="AEW41" s="28">
        <f>'REG y VAL POE - AESR - ESR'!AK3189</f>
        <v>0</v>
      </c>
      <c r="AEX41" s="29">
        <f>'REG y VAL POE - AESR - ESR'!AL3189</f>
        <v>0</v>
      </c>
      <c r="AEY41" s="29">
        <f>'REG y VAL POE - AESR - ESR'!AM3189</f>
        <v>0</v>
      </c>
      <c r="AEZ41" s="29">
        <f>'REG y VAL POE - AESR - ESR'!AN3189</f>
        <v>0</v>
      </c>
      <c r="AFA41" s="28">
        <f>'REG y VAL POE - AESR - ESR'!AO3189</f>
        <v>0</v>
      </c>
      <c r="AFB41" s="29">
        <f>'REG y VAL POE - AESR - ESR'!AP3189</f>
        <v>0</v>
      </c>
      <c r="AFC41" s="29">
        <f>'REG y VAL POE - AESR - ESR'!AQ3189</f>
        <v>0</v>
      </c>
      <c r="AFD41" s="28">
        <f>'REG y VAL POE - AESR - ESR'!AR3189</f>
        <v>0</v>
      </c>
      <c r="AFE41" s="29">
        <f>'REG y VAL POE - AESR - ESR'!AS3189</f>
        <v>0</v>
      </c>
      <c r="AFF41" s="30">
        <f>'REG y VAL POE - AESR - ESR'!B3190</f>
        <v>0</v>
      </c>
      <c r="AFG41" s="28">
        <f>'REG y VAL POE - AESR - ESR'!C3190</f>
        <v>0</v>
      </c>
      <c r="AFH41" s="29">
        <f>'REG y VAL POE - AESR - ESR'!D3190</f>
        <v>0</v>
      </c>
      <c r="AFI41" s="29">
        <f>'REG y VAL POE - AESR - ESR'!E3190</f>
        <v>0</v>
      </c>
      <c r="AFJ41" s="29">
        <f>'REG y VAL POE - AESR - ESR'!F3190</f>
        <v>0</v>
      </c>
      <c r="AFK41" s="28">
        <f>'REG y VAL POE - AESR - ESR'!G3190</f>
        <v>0</v>
      </c>
      <c r="AFL41" s="29">
        <f>'REG y VAL POE - AESR - ESR'!H3190</f>
        <v>0</v>
      </c>
      <c r="AFM41" s="29">
        <f>'REG y VAL POE - AESR - ESR'!I3190</f>
        <v>0</v>
      </c>
      <c r="AFN41" s="28">
        <f>'REG y VAL POE - AESR - ESR'!J3190</f>
        <v>0</v>
      </c>
      <c r="AFO41" s="29">
        <f>'REG y VAL POE - AESR - ESR'!K3190</f>
        <v>0</v>
      </c>
      <c r="AFP41" s="30">
        <f>'REG y VAL POE - AESR - ESR'!L3190</f>
        <v>0</v>
      </c>
      <c r="AFQ41" s="28">
        <f>'REG y VAL POE - AESR - ESR'!M3190</f>
        <v>0</v>
      </c>
      <c r="AFR41" s="29">
        <f>'REG y VAL POE - AESR - ESR'!N3190</f>
        <v>0</v>
      </c>
      <c r="AFS41" s="29">
        <f>'REG y VAL POE - AESR - ESR'!O3190</f>
        <v>0</v>
      </c>
      <c r="AFT41" s="29">
        <f>'REG y VAL POE - AESR - ESR'!P3190</f>
        <v>0</v>
      </c>
      <c r="AFU41" s="28">
        <f>'REG y VAL POE - AESR - ESR'!Q3190</f>
        <v>0</v>
      </c>
      <c r="AFV41" s="29">
        <f>'REG y VAL POE - AESR - ESR'!R3190</f>
        <v>0</v>
      </c>
      <c r="AFW41" s="29">
        <f>'REG y VAL POE - AESR - ESR'!S3190</f>
        <v>0</v>
      </c>
      <c r="AFX41" s="28">
        <f>'REG y VAL POE - AESR - ESR'!T3190</f>
        <v>0</v>
      </c>
      <c r="AFY41" s="29">
        <f>'REG y VAL POE - AESR - ESR'!U3190</f>
        <v>0</v>
      </c>
      <c r="AFZ41" s="30">
        <f>'REG y VAL POE - AESR - ESR'!V3190</f>
        <v>0</v>
      </c>
      <c r="AGA41" s="28">
        <f>'REG y VAL POE - AESR - ESR'!W3190</f>
        <v>0</v>
      </c>
      <c r="AGB41" s="29">
        <f>'REG y VAL POE - AESR - ESR'!X3190</f>
        <v>0</v>
      </c>
      <c r="AGC41" s="29">
        <f>'REG y VAL POE - AESR - ESR'!Y3190</f>
        <v>0</v>
      </c>
      <c r="AGD41" s="29">
        <f>'REG y VAL POE - AESR - ESR'!Z3190</f>
        <v>0</v>
      </c>
      <c r="AGE41" s="28">
        <f>'REG y VAL POE - AESR - ESR'!AA3190</f>
        <v>0</v>
      </c>
      <c r="AGF41" s="29">
        <f>'REG y VAL POE - AESR - ESR'!AB3190</f>
        <v>0</v>
      </c>
      <c r="AGG41" s="29">
        <f>'REG y VAL POE - AESR - ESR'!AC3190</f>
        <v>0</v>
      </c>
      <c r="AGH41" s="28">
        <f>'REG y VAL POE - AESR - ESR'!AD3190</f>
        <v>0</v>
      </c>
      <c r="AGI41" s="29">
        <f>'REG y VAL POE - AESR - ESR'!AE3190</f>
        <v>0</v>
      </c>
      <c r="AGJ41" s="30">
        <f>'REG y VAL POE - AESR - ESR'!AF3190</f>
        <v>0</v>
      </c>
      <c r="AGK41" s="28">
        <f>'REG y VAL POE - AESR - ESR'!AG3190</f>
        <v>0</v>
      </c>
      <c r="AGL41" s="29">
        <f>'REG y VAL POE - AESR - ESR'!AH3190</f>
        <v>0</v>
      </c>
      <c r="AGM41" s="29">
        <f>'REG y VAL POE - AESR - ESR'!AI3190</f>
        <v>0</v>
      </c>
      <c r="AGN41" s="29">
        <f>'REG y VAL POE - AESR - ESR'!AJ3190</f>
        <v>0</v>
      </c>
      <c r="AGO41" s="28">
        <f>'REG y VAL POE - AESR - ESR'!AK3190</f>
        <v>0</v>
      </c>
      <c r="AGP41" s="29">
        <f>'REG y VAL POE - AESR - ESR'!AL3190</f>
        <v>0</v>
      </c>
      <c r="AGQ41" s="29">
        <f>'REG y VAL POE - AESR - ESR'!AM3190</f>
        <v>0</v>
      </c>
      <c r="AGR41" s="28">
        <f>'REG y VAL POE - AESR - ESR'!AN3190</f>
        <v>0</v>
      </c>
      <c r="AGS41" s="29">
        <f>'REG y VAL POE - AESR - ESR'!AO3190</f>
        <v>0</v>
      </c>
      <c r="AGT41" s="30">
        <f>'REG y VAL POE - AESR - ESR'!AP3190</f>
        <v>0</v>
      </c>
      <c r="AGU41" s="28">
        <f>'REG y VAL POE - AESR - ESR'!AQ3190</f>
        <v>0</v>
      </c>
      <c r="AGV41" s="29">
        <f>'REG y VAL POE - AESR - ESR'!AR3190</f>
        <v>0</v>
      </c>
      <c r="AGW41" s="29">
        <f>'REG y VAL POE - AESR - ESR'!AS3190</f>
        <v>0</v>
      </c>
      <c r="AGX41" s="29"/>
      <c r="AGY41" s="28"/>
      <c r="AGZ41" s="29"/>
      <c r="AHA41" s="29"/>
      <c r="AHB41" s="28"/>
      <c r="AHC41" s="29"/>
      <c r="AHD41" s="30"/>
      <c r="AHE41" s="28"/>
      <c r="AHF41" s="29"/>
      <c r="AHG41" s="29"/>
      <c r="AHH41" s="29"/>
      <c r="AHI41" s="28"/>
      <c r="AHJ41" s="29"/>
      <c r="AHK41" s="29"/>
      <c r="AHL41" s="28"/>
      <c r="AHM41" s="29"/>
      <c r="AHN41" s="30"/>
      <c r="AHO41" s="28"/>
      <c r="AHP41" s="29"/>
      <c r="AHQ41" s="29"/>
      <c r="AHR41" s="29"/>
      <c r="AHS41" s="28"/>
      <c r="AHT41" s="29"/>
      <c r="AHU41" s="29"/>
      <c r="AHV41" s="28"/>
      <c r="AHW41" s="29"/>
      <c r="AHX41" s="30"/>
      <c r="AHY41" s="28"/>
      <c r="AHZ41" s="29"/>
      <c r="AIA41" s="29"/>
      <c r="AIB41" s="29"/>
      <c r="AIC41" s="28"/>
      <c r="AID41" s="29"/>
      <c r="AIE41" s="29"/>
      <c r="AIF41" s="28"/>
      <c r="AIG41" s="29"/>
      <c r="AIH41" s="30"/>
      <c r="AII41" s="28"/>
      <c r="AIJ41" s="29"/>
      <c r="AIK41" s="29"/>
      <c r="AIL41" s="29"/>
      <c r="AIM41" s="28"/>
      <c r="AIN41" s="29"/>
      <c r="AIO41" s="29"/>
      <c r="AIP41" s="28"/>
      <c r="AIQ41" s="29"/>
      <c r="AIR41" s="30"/>
      <c r="AIS41" s="28"/>
      <c r="AIT41" s="29"/>
      <c r="AIU41" s="29"/>
      <c r="AIV41" s="29"/>
      <c r="AIW41" s="28"/>
      <c r="AIX41" s="29"/>
      <c r="AIY41" s="29"/>
      <c r="AIZ41" s="28"/>
      <c r="AJA41" s="29"/>
      <c r="AJB41" s="30"/>
      <c r="AJC41" s="28"/>
      <c r="AJD41" s="29"/>
      <c r="AJE41" s="29"/>
      <c r="AJF41" s="29"/>
      <c r="AJG41" s="28"/>
      <c r="AJH41" s="29"/>
      <c r="AJI41" s="29"/>
      <c r="AJJ41" s="28"/>
      <c r="AJK41" s="29"/>
      <c r="AJL41" s="30"/>
      <c r="AJM41" s="28"/>
      <c r="AJN41" s="29"/>
      <c r="AJO41" s="29"/>
      <c r="AJP41" s="29"/>
      <c r="AJQ41" s="28"/>
      <c r="AJR41" s="29"/>
      <c r="AJS41" s="29"/>
      <c r="AJT41" s="28"/>
      <c r="AJU41" s="29"/>
      <c r="AJV41" s="30"/>
      <c r="AJW41" s="28"/>
      <c r="AJX41" s="29"/>
      <c r="AJY41" s="29"/>
      <c r="AJZ41" s="29"/>
      <c r="AKA41" s="28"/>
      <c r="AKB41" s="29"/>
      <c r="AKC41" s="29"/>
      <c r="AKD41" s="28"/>
      <c r="AKE41" s="29"/>
      <c r="AKF41" s="30"/>
      <c r="AKG41" s="28"/>
      <c r="AKH41" s="29"/>
      <c r="AKI41" s="29"/>
      <c r="AKJ41" s="29"/>
      <c r="AKK41" s="28"/>
      <c r="AKL41" s="29"/>
      <c r="AKM41" s="29"/>
      <c r="AKN41" s="28"/>
      <c r="AKO41" s="29"/>
      <c r="AKP41" s="30"/>
      <c r="AKQ41" s="28"/>
      <c r="AKR41" s="29"/>
      <c r="AKS41" s="29"/>
      <c r="AKT41" s="29"/>
      <c r="AKU41" s="28"/>
      <c r="AKV41" s="29"/>
      <c r="AKW41" s="29"/>
      <c r="AKX41" s="28"/>
      <c r="AKY41" s="29"/>
      <c r="AKZ41" s="30"/>
      <c r="ALA41" s="28"/>
      <c r="ALB41" s="29"/>
      <c r="ALC41" s="29"/>
      <c r="ALD41" s="29"/>
      <c r="ALE41" s="28"/>
      <c r="ALF41" s="29"/>
      <c r="ALG41" s="29"/>
      <c r="ALH41" s="29"/>
      <c r="ALI41" s="29"/>
      <c r="ALJ41" s="29"/>
      <c r="ALK41" s="28"/>
      <c r="ALL41" s="29"/>
      <c r="ALM41" s="29"/>
      <c r="ALN41" s="28"/>
      <c r="ALO41" s="29"/>
      <c r="ALP41" s="30"/>
      <c r="ALQ41" s="28"/>
      <c r="ALR41" s="29"/>
      <c r="ALS41" s="29"/>
      <c r="ALT41" s="29"/>
      <c r="ALU41" s="28"/>
      <c r="ALV41" s="29"/>
      <c r="ALW41" s="29"/>
      <c r="ALX41" s="28"/>
      <c r="ALY41" s="29"/>
      <c r="ALZ41" s="30"/>
      <c r="AMA41" s="28"/>
      <c r="AMB41" s="29"/>
      <c r="AMC41" s="29"/>
      <c r="AMD41" s="29"/>
      <c r="AME41" s="28"/>
      <c r="AMF41" s="29"/>
      <c r="AMG41" s="29"/>
      <c r="AMH41" s="29"/>
      <c r="AMI41" s="29"/>
      <c r="AMJ41" s="29"/>
      <c r="AMK41" s="28"/>
      <c r="AML41" s="29"/>
      <c r="AMM41" s="29"/>
      <c r="AMN41" s="28"/>
      <c r="AMO41" s="29"/>
      <c r="AMP41" s="30"/>
      <c r="AMQ41" s="28"/>
      <c r="AMR41" s="29"/>
      <c r="AMS41" s="29"/>
      <c r="AMT41" s="29"/>
      <c r="AMU41" s="28"/>
      <c r="AMV41" s="29"/>
      <c r="AMW41" s="29"/>
      <c r="AMX41" s="28"/>
      <c r="AMY41" s="29"/>
      <c r="AMZ41" s="30"/>
      <c r="ANA41" s="28"/>
      <c r="ANB41" s="29"/>
      <c r="ANC41" s="29"/>
      <c r="AND41" s="29"/>
      <c r="ANE41" s="28"/>
      <c r="ANF41" s="29"/>
      <c r="ANG41" s="29"/>
      <c r="ANH41" s="29"/>
      <c r="ANI41" s="29"/>
      <c r="ANJ41" s="29"/>
      <c r="ANK41" s="28"/>
      <c r="ANL41" s="29"/>
      <c r="ANM41" s="29"/>
      <c r="ANN41" s="28"/>
      <c r="ANO41" s="29"/>
      <c r="ANP41" s="30"/>
      <c r="ANQ41" s="28"/>
      <c r="ANR41" s="29"/>
      <c r="ANS41" s="29"/>
      <c r="ANT41" s="29"/>
      <c r="ANU41" s="28"/>
      <c r="ANV41" s="29"/>
      <c r="ANW41" s="29"/>
      <c r="ANX41" s="28"/>
      <c r="ANY41" s="29"/>
      <c r="ANZ41" s="30"/>
      <c r="AOA41" s="28"/>
      <c r="AOB41" s="29"/>
      <c r="AOC41" s="29"/>
      <c r="AOD41" s="29"/>
      <c r="AOE41" s="28"/>
      <c r="AOF41" s="29"/>
      <c r="AOG41" s="29"/>
      <c r="AOH41" s="29"/>
      <c r="AOI41" s="29"/>
      <c r="AOJ41" s="29"/>
      <c r="AOK41" s="28"/>
      <c r="AOL41" s="29"/>
      <c r="AOM41" s="29"/>
      <c r="AON41" s="28"/>
      <c r="AOO41" s="29"/>
      <c r="AOP41" s="30"/>
      <c r="AOQ41" s="28"/>
      <c r="AOR41" s="29"/>
      <c r="AOS41" s="29"/>
      <c r="AOT41" s="29"/>
      <c r="AOU41" s="28"/>
      <c r="AOV41" s="29"/>
      <c r="AOW41" s="29"/>
      <c r="AOX41" s="28"/>
      <c r="AOY41" s="29"/>
      <c r="AOZ41" s="30"/>
      <c r="APA41" s="28"/>
      <c r="APB41" s="29"/>
      <c r="APC41" s="29"/>
      <c r="APD41" s="29"/>
      <c r="APE41" s="28"/>
      <c r="APF41" s="29"/>
      <c r="APG41" s="29"/>
      <c r="APH41" s="29"/>
      <c r="API41" s="29"/>
      <c r="APJ41" s="29"/>
      <c r="APK41" s="28"/>
      <c r="APL41" s="29"/>
      <c r="APM41" s="29"/>
      <c r="APN41" s="28"/>
      <c r="APO41" s="29"/>
      <c r="APP41" s="30"/>
      <c r="APQ41" s="28"/>
      <c r="APR41" s="29"/>
      <c r="APS41" s="29"/>
      <c r="APT41" s="29"/>
      <c r="APU41" s="28"/>
      <c r="APV41" s="29"/>
      <c r="APW41" s="29"/>
      <c r="APX41" s="28"/>
      <c r="APY41" s="29"/>
      <c r="APZ41" s="30"/>
      <c r="AQA41" s="28"/>
      <c r="AQB41" s="29"/>
      <c r="AQC41" s="29"/>
      <c r="AQD41" s="29"/>
      <c r="AQE41" s="28"/>
      <c r="AQF41" s="29"/>
      <c r="AQG41" s="29"/>
      <c r="AQH41" s="29"/>
      <c r="AQI41" s="29"/>
      <c r="AQJ41" s="29"/>
      <c r="AQK41" s="28"/>
      <c r="AQL41" s="29"/>
      <c r="AQM41" s="29"/>
      <c r="AQN41" s="28"/>
      <c r="AQO41" s="29"/>
      <c r="AQP41" s="30"/>
      <c r="AQQ41" s="28"/>
      <c r="AQR41" s="29"/>
      <c r="AQS41" s="29"/>
      <c r="AQT41" s="29"/>
      <c r="AQU41" s="28"/>
      <c r="AQV41" s="29"/>
      <c r="AQW41" s="29"/>
      <c r="AQX41" s="28"/>
      <c r="AQY41" s="29"/>
      <c r="AQZ41" s="30"/>
      <c r="ARA41" s="28"/>
      <c r="ARB41" s="29"/>
      <c r="ARC41" s="29"/>
      <c r="ARD41" s="29"/>
      <c r="ARE41" s="28"/>
      <c r="ARF41" s="29"/>
      <c r="ARG41" s="29"/>
      <c r="ARH41" s="29"/>
      <c r="ARI41" s="29"/>
      <c r="ARJ41" s="29"/>
      <c r="ARK41" s="28"/>
      <c r="ARL41" s="29"/>
      <c r="ARM41" s="29"/>
      <c r="ARN41" s="28"/>
      <c r="ARO41" s="29"/>
      <c r="ARP41" s="30"/>
      <c r="ARQ41" s="28"/>
      <c r="ARR41" s="29"/>
      <c r="ARS41" s="29"/>
      <c r="ART41" s="29"/>
      <c r="ARU41" s="28"/>
      <c r="ARV41" s="29"/>
      <c r="ARW41" s="29"/>
      <c r="ARX41" s="28"/>
      <c r="ARY41" s="29"/>
      <c r="ARZ41" s="30"/>
      <c r="ASA41" s="28"/>
      <c r="ASB41" s="29"/>
      <c r="ASC41" s="29"/>
      <c r="ASD41" s="29"/>
      <c r="ASE41" s="28"/>
      <c r="ASF41" s="29"/>
      <c r="ASG41" s="29"/>
      <c r="ASH41" s="29"/>
      <c r="ASI41" s="29"/>
      <c r="ASJ41" s="29"/>
      <c r="ASK41" s="28"/>
      <c r="ASL41" s="29"/>
      <c r="ASM41" s="29"/>
      <c r="ASN41" s="28"/>
      <c r="ASO41" s="29"/>
      <c r="ASP41" s="30"/>
      <c r="ASQ41" s="28"/>
      <c r="ASR41" s="29"/>
      <c r="ASS41" s="29"/>
      <c r="AST41" s="29"/>
      <c r="ASU41" s="28"/>
      <c r="ASV41" s="29"/>
      <c r="ASW41" s="29"/>
      <c r="ASX41" s="28"/>
      <c r="ASY41" s="29"/>
      <c r="ASZ41" s="30"/>
      <c r="ATA41" s="28"/>
      <c r="ATB41" s="29"/>
      <c r="ATC41" s="29"/>
      <c r="ATD41" s="29"/>
      <c r="ATE41" s="28"/>
      <c r="ATF41" s="29"/>
      <c r="ATG41" s="29"/>
      <c r="ATH41" s="29"/>
      <c r="ATI41" s="29"/>
      <c r="ATJ41" s="29"/>
      <c r="ATK41" s="28"/>
      <c r="ATL41" s="29"/>
      <c r="ATM41" s="29"/>
      <c r="ATN41" s="28"/>
      <c r="ATO41" s="29"/>
      <c r="ATP41" s="30"/>
      <c r="ATQ41" s="28"/>
      <c r="ATR41" s="29"/>
      <c r="ATS41" s="29"/>
      <c r="ATT41" s="29"/>
      <c r="ATU41" s="28"/>
      <c r="ATV41" s="29"/>
      <c r="ATW41" s="29"/>
      <c r="ATX41" s="28"/>
      <c r="ATY41" s="29"/>
      <c r="ATZ41" s="30"/>
      <c r="AUA41" s="28"/>
      <c r="AUB41" s="29"/>
      <c r="AUC41" s="29"/>
      <c r="AUD41" s="29"/>
      <c r="AUE41" s="28"/>
      <c r="AUF41" s="29"/>
      <c r="AUG41" s="29"/>
      <c r="AUH41" s="29"/>
      <c r="AUI41" s="29"/>
      <c r="AUJ41" s="29"/>
      <c r="AUK41" s="28"/>
      <c r="AUL41" s="29"/>
      <c r="AUM41" s="29"/>
      <c r="AUN41" s="28"/>
      <c r="AUO41" s="29"/>
      <c r="AUP41" s="30"/>
      <c r="AUQ41" s="28"/>
      <c r="AUR41" s="29"/>
      <c r="AUS41" s="29"/>
      <c r="AUT41" s="29"/>
      <c r="AUU41" s="28"/>
      <c r="AUV41" s="29"/>
      <c r="AUW41" s="29"/>
      <c r="AUX41" s="28"/>
      <c r="AUY41" s="29"/>
      <c r="AUZ41" s="30"/>
      <c r="AVA41" s="28"/>
      <c r="AVB41" s="29"/>
      <c r="AVC41" s="29"/>
      <c r="AVD41" s="29"/>
      <c r="AVE41" s="28"/>
      <c r="AVF41" s="29"/>
      <c r="AVG41" s="29"/>
      <c r="AVH41" s="29"/>
      <c r="AVI41" s="29"/>
      <c r="AVJ41" s="29"/>
      <c r="AVK41" s="28"/>
      <c r="AVL41" s="29"/>
      <c r="AVM41" s="29"/>
      <c r="AVN41" s="28"/>
      <c r="AVO41" s="29"/>
      <c r="AVP41" s="30"/>
      <c r="AVQ41" s="28"/>
      <c r="AVR41" s="29"/>
      <c r="AVS41" s="29"/>
      <c r="AVT41" s="29"/>
      <c r="AVU41" s="28"/>
      <c r="AVV41" s="29"/>
      <c r="AVW41" s="29"/>
      <c r="AVX41" s="28"/>
      <c r="AVY41" s="29"/>
      <c r="AVZ41" s="30"/>
      <c r="AWA41" s="28"/>
      <c r="AWB41" s="29"/>
      <c r="AWC41" s="29"/>
      <c r="AWD41" s="29"/>
      <c r="AWE41" s="28"/>
      <c r="AWF41" s="29"/>
      <c r="AWG41" s="29"/>
      <c r="AWH41" s="29"/>
      <c r="AWI41" s="29"/>
      <c r="AWJ41" s="29"/>
      <c r="AWK41" s="28"/>
      <c r="AWL41" s="29"/>
      <c r="AWM41" s="29"/>
      <c r="AWN41" s="28"/>
      <c r="AWO41" s="29"/>
      <c r="AWP41" s="30"/>
      <c r="AWQ41" s="28"/>
      <c r="AWR41" s="29"/>
      <c r="AWS41" s="29"/>
      <c r="AWT41" s="29"/>
      <c r="AWU41" s="28"/>
      <c r="AWV41" s="29"/>
      <c r="AWW41" s="29"/>
      <c r="AWX41" s="28"/>
      <c r="AWY41" s="29"/>
      <c r="AWZ41" s="30"/>
      <c r="AXA41" s="28"/>
      <c r="AXB41" s="29"/>
      <c r="AXC41" s="29"/>
      <c r="AXD41" s="29"/>
      <c r="AXE41" s="28"/>
      <c r="AXF41" s="29"/>
      <c r="AXG41" s="29"/>
      <c r="AXH41" s="29"/>
      <c r="AXI41" s="29"/>
      <c r="AXJ41" s="29"/>
      <c r="AXK41" s="28"/>
      <c r="AXL41" s="29"/>
      <c r="AXM41" s="29"/>
      <c r="AXN41" s="28"/>
      <c r="AXO41" s="29"/>
      <c r="AXP41" s="30"/>
      <c r="AXQ41" s="28"/>
      <c r="AXR41" s="29"/>
      <c r="AXS41" s="29"/>
      <c r="AXT41" s="29"/>
      <c r="AXU41" s="28"/>
      <c r="AXV41" s="29"/>
      <c r="AXW41" s="29"/>
      <c r="AXX41" s="28"/>
      <c r="AXY41" s="29"/>
      <c r="AXZ41" s="30"/>
      <c r="AYA41" s="28"/>
      <c r="AYB41" s="29"/>
      <c r="AYC41" s="29"/>
      <c r="AYD41" s="29"/>
      <c r="AYE41" s="28"/>
      <c r="AYF41" s="29"/>
      <c r="AYG41" s="29"/>
      <c r="AYH41" s="29"/>
      <c r="AYI41" s="29"/>
      <c r="AYJ41" s="29"/>
      <c r="AYK41" s="28"/>
      <c r="AYL41" s="29"/>
      <c r="AYM41" s="29"/>
      <c r="AYN41" s="28"/>
      <c r="AYO41" s="29"/>
      <c r="AYP41" s="30"/>
      <c r="AYQ41" s="28"/>
      <c r="AYR41" s="29"/>
      <c r="AYS41" s="29"/>
      <c r="AYT41" s="29"/>
      <c r="AYU41" s="28"/>
      <c r="AYV41" s="29"/>
      <c r="AYW41" s="29"/>
      <c r="AYX41" s="28"/>
      <c r="AYY41" s="29"/>
      <c r="AYZ41" s="30"/>
      <c r="AZA41" s="28"/>
      <c r="AZB41" s="29"/>
      <c r="AZC41" s="29"/>
      <c r="AZD41" s="29"/>
      <c r="AZE41" s="28"/>
      <c r="AZF41" s="29"/>
      <c r="AZG41" s="29"/>
      <c r="AZH41" s="29"/>
      <c r="AZI41" s="29"/>
      <c r="AZJ41" s="29"/>
      <c r="AZK41" s="28"/>
      <c r="AZL41" s="29"/>
      <c r="AZM41" s="29"/>
      <c r="AZN41" s="28"/>
      <c r="AZO41" s="29"/>
      <c r="AZP41" s="30"/>
      <c r="AZQ41" s="28"/>
      <c r="AZR41" s="29"/>
      <c r="AZS41" s="29"/>
      <c r="AZT41" s="29"/>
      <c r="AZU41" s="28"/>
      <c r="AZV41" s="29"/>
      <c r="AZW41" s="29"/>
      <c r="AZX41" s="28"/>
      <c r="AZY41" s="29"/>
      <c r="AZZ41" s="30"/>
      <c r="BAA41" s="28"/>
      <c r="BAB41" s="29"/>
      <c r="BAC41" s="29"/>
      <c r="BAD41" s="29"/>
      <c r="BAE41" s="28"/>
      <c r="BAF41" s="29"/>
      <c r="BAG41" s="29"/>
      <c r="BAH41" s="29"/>
      <c r="BAI41" s="29"/>
      <c r="BAJ41" s="29"/>
      <c r="BAK41" s="28"/>
      <c r="BAL41" s="29"/>
      <c r="BAM41" s="29"/>
      <c r="BAN41" s="28"/>
      <c r="BAO41" s="29"/>
      <c r="BAP41" s="30"/>
      <c r="BAQ41" s="28"/>
      <c r="BAR41" s="29"/>
      <c r="BAS41" s="29"/>
      <c r="BAT41" s="29"/>
      <c r="BAU41" s="28"/>
      <c r="BAV41" s="29"/>
      <c r="BAW41" s="29"/>
      <c r="BAX41" s="28"/>
      <c r="BAY41" s="29"/>
      <c r="BAZ41" s="30"/>
      <c r="BBA41" s="28"/>
      <c r="BBB41" s="29"/>
      <c r="BBC41" s="29"/>
      <c r="BBD41" s="29"/>
      <c r="BBE41" s="28"/>
      <c r="BBF41" s="29"/>
      <c r="BBG41" s="29"/>
      <c r="BBH41" s="29"/>
      <c r="BBI41" s="29"/>
      <c r="BBJ41" s="29"/>
      <c r="BBK41" s="28"/>
      <c r="BBL41" s="29"/>
      <c r="BBM41" s="29"/>
      <c r="BBN41" s="28"/>
      <c r="BBO41" s="29"/>
      <c r="BBP41" s="30"/>
      <c r="BBQ41" s="28"/>
      <c r="BBR41" s="29"/>
      <c r="BBS41" s="29"/>
      <c r="BBT41" s="29"/>
      <c r="BBU41" s="28"/>
      <c r="BBV41" s="29"/>
      <c r="BBW41" s="29"/>
      <c r="BBX41" s="28"/>
      <c r="BBY41" s="29"/>
      <c r="BBZ41" s="30"/>
      <c r="BCA41" s="28"/>
      <c r="BCB41" s="29"/>
      <c r="BCC41" s="29"/>
      <c r="BCD41" s="29"/>
      <c r="BCE41" s="28"/>
      <c r="BCF41" s="29"/>
      <c r="BCG41" s="29"/>
      <c r="BCH41" s="29"/>
      <c r="BCI41" s="29"/>
      <c r="BCJ41" s="29"/>
      <c r="BCK41" s="28"/>
      <c r="BCL41" s="29"/>
      <c r="BCM41" s="29"/>
      <c r="BCN41" s="28"/>
      <c r="BCO41" s="29"/>
      <c r="BCP41" s="30"/>
      <c r="BCQ41" s="28"/>
      <c r="BCR41" s="29"/>
      <c r="BCS41" s="29"/>
      <c r="BCT41" s="29"/>
      <c r="BCU41" s="28"/>
      <c r="BCV41" s="29"/>
      <c r="BCW41" s="29"/>
      <c r="BCX41" s="28"/>
      <c r="BCY41" s="29"/>
      <c r="BCZ41" s="30"/>
      <c r="BDA41" s="28"/>
      <c r="BDB41" s="29"/>
      <c r="BDC41" s="29"/>
      <c r="BDD41" s="29"/>
      <c r="BDE41" s="28"/>
      <c r="BDF41" s="29"/>
      <c r="BDG41" s="29"/>
      <c r="BDH41" s="29"/>
      <c r="BDI41" s="29"/>
      <c r="BDJ41" s="29"/>
      <c r="BDK41" s="28"/>
      <c r="BDL41" s="29"/>
      <c r="BDM41" s="29"/>
      <c r="BDN41" s="28"/>
      <c r="BDO41" s="29"/>
      <c r="BDP41" s="30"/>
      <c r="BDQ41" s="28"/>
      <c r="BDR41" s="29"/>
      <c r="BDS41" s="29"/>
      <c r="BDT41" s="29"/>
      <c r="BDU41" s="28"/>
      <c r="BDV41" s="29"/>
      <c r="BDW41" s="29"/>
      <c r="BDX41" s="28"/>
      <c r="BDY41" s="29"/>
      <c r="BDZ41" s="30"/>
      <c r="BEA41" s="28"/>
      <c r="BEB41" s="29"/>
      <c r="BEC41" s="29"/>
      <c r="BED41" s="29"/>
      <c r="BEE41" s="28"/>
      <c r="BEF41" s="29"/>
      <c r="BEG41" s="29"/>
      <c r="BEH41" s="29"/>
      <c r="BEI41" s="29"/>
      <c r="BEJ41" s="29"/>
      <c r="BEK41" s="28"/>
      <c r="BEL41" s="29"/>
      <c r="BEM41" s="29"/>
      <c r="BEN41" s="28"/>
      <c r="BEO41" s="29"/>
      <c r="BEP41" s="30"/>
      <c r="BEQ41" s="28"/>
      <c r="BER41" s="29"/>
      <c r="BES41" s="29"/>
      <c r="BET41" s="29"/>
      <c r="BEU41" s="28"/>
      <c r="BEV41" s="29"/>
      <c r="BEW41" s="29"/>
      <c r="BEX41" s="28"/>
      <c r="BEY41" s="29"/>
      <c r="BEZ41" s="30"/>
      <c r="BFA41" s="28"/>
      <c r="BFB41" s="29"/>
      <c r="BFC41" s="29"/>
      <c r="BFD41" s="29"/>
      <c r="BFE41" s="28"/>
      <c r="BFF41" s="29"/>
      <c r="BFG41" s="29"/>
      <c r="BFH41" s="29"/>
      <c r="BFI41" s="29"/>
      <c r="BFJ41" s="29"/>
      <c r="BFK41" s="28"/>
      <c r="BFL41" s="29"/>
      <c r="BFM41" s="29"/>
      <c r="BFN41" s="28"/>
      <c r="BFO41" s="29"/>
      <c r="BFP41" s="30"/>
      <c r="BFQ41" s="28"/>
      <c r="BFR41" s="29"/>
      <c r="BFS41" s="29"/>
      <c r="BFT41" s="29"/>
      <c r="BFU41" s="28"/>
      <c r="BFV41" s="29"/>
      <c r="BFW41" s="29"/>
      <c r="BFX41" s="28"/>
      <c r="BFY41" s="29"/>
      <c r="BFZ41" s="30"/>
      <c r="BGA41" s="28"/>
      <c r="BGB41" s="29"/>
      <c r="BGC41" s="29"/>
      <c r="BGD41" s="29"/>
      <c r="BGE41" s="28"/>
      <c r="BGF41" s="29"/>
      <c r="BGG41" s="29"/>
      <c r="BGH41" s="29"/>
      <c r="BGI41" s="29"/>
      <c r="BGJ41" s="29"/>
      <c r="BGK41" s="28"/>
      <c r="BGL41" s="29"/>
      <c r="BGM41" s="29"/>
      <c r="BGN41" s="28"/>
      <c r="BGO41" s="29"/>
      <c r="BGP41" s="30"/>
      <c r="BGQ41" s="28"/>
      <c r="BGR41" s="29"/>
      <c r="BGS41" s="29"/>
      <c r="BGT41" s="29"/>
      <c r="BGU41" s="28"/>
      <c r="BGV41" s="29"/>
      <c r="BGW41" s="29"/>
      <c r="BGX41" s="28"/>
      <c r="BGY41" s="29"/>
      <c r="BGZ41" s="30"/>
      <c r="BHA41" s="28"/>
      <c r="BHB41" s="29"/>
      <c r="BHC41" s="29"/>
      <c r="BHD41" s="29"/>
      <c r="BHE41" s="28"/>
      <c r="BHF41" s="29"/>
      <c r="BHG41" s="29"/>
      <c r="BHH41" s="29"/>
      <c r="BHI41" s="29"/>
      <c r="BHJ41" s="29"/>
      <c r="BHK41" s="28"/>
      <c r="BHL41" s="29"/>
      <c r="BHM41" s="29"/>
      <c r="BHN41" s="28"/>
      <c r="BHO41" s="29"/>
      <c r="BHP41" s="30"/>
      <c r="BHQ41" s="28"/>
      <c r="BHR41" s="29"/>
      <c r="BHS41" s="29"/>
      <c r="BHT41" s="29"/>
      <c r="BHU41" s="28"/>
      <c r="BHV41" s="29"/>
      <c r="BHW41" s="29"/>
      <c r="BHX41" s="28"/>
      <c r="BHY41" s="29"/>
      <c r="BHZ41" s="30"/>
      <c r="BIA41" s="28"/>
      <c r="BIB41" s="29"/>
      <c r="BIC41" s="29"/>
      <c r="BID41" s="29"/>
      <c r="BIE41" s="28"/>
      <c r="BIF41" s="29"/>
      <c r="BIG41" s="29"/>
      <c r="BIH41" s="29"/>
      <c r="BII41" s="29"/>
      <c r="BIJ41" s="29"/>
      <c r="BIK41" s="28"/>
      <c r="BIL41" s="29"/>
      <c r="BIM41" s="29"/>
      <c r="BIN41" s="28"/>
      <c r="BIO41" s="29"/>
      <c r="BIP41" s="30"/>
      <c r="BIQ41" s="28"/>
      <c r="BIR41" s="29"/>
      <c r="BIS41" s="29"/>
      <c r="BIT41" s="29"/>
      <c r="BIU41" s="28"/>
      <c r="BIV41" s="29"/>
      <c r="BIW41" s="29"/>
      <c r="BIX41" s="28"/>
      <c r="BIY41" s="29"/>
      <c r="BIZ41" s="30"/>
      <c r="BJA41" s="28"/>
      <c r="BJB41" s="29"/>
      <c r="BJC41" s="29"/>
      <c r="BJD41" s="29"/>
      <c r="BJE41" s="28"/>
      <c r="BJF41" s="29"/>
      <c r="BJG41" s="29"/>
      <c r="BJH41" s="29"/>
      <c r="BJI41" s="29"/>
      <c r="BJJ41" s="29"/>
      <c r="BJK41" s="28"/>
      <c r="BJL41" s="29"/>
      <c r="BJM41" s="29"/>
      <c r="BJN41" s="28"/>
      <c r="BJO41" s="29"/>
      <c r="BJP41" s="30"/>
      <c r="BJQ41" s="28"/>
      <c r="BJR41" s="29"/>
      <c r="BJS41" s="29"/>
      <c r="BJT41" s="29"/>
      <c r="BJU41" s="28"/>
      <c r="BJV41" s="29"/>
      <c r="BJW41" s="29"/>
      <c r="BJX41" s="28"/>
      <c r="BJY41" s="29"/>
      <c r="BJZ41" s="30"/>
      <c r="BKA41" s="28"/>
      <c r="BKB41" s="29"/>
      <c r="BKC41" s="29"/>
      <c r="BKD41" s="29"/>
      <c r="BKE41" s="28"/>
      <c r="BKF41" s="29"/>
      <c r="BKG41" s="29"/>
      <c r="BKH41" s="29"/>
      <c r="BKI41" s="29"/>
      <c r="BKJ41" s="29"/>
      <c r="BKK41" s="28"/>
      <c r="BKL41" s="29"/>
      <c r="BKM41" s="29"/>
      <c r="BKN41" s="28"/>
      <c r="BKO41" s="29"/>
      <c r="BKP41" s="30"/>
      <c r="BKQ41" s="28"/>
      <c r="BKR41" s="29"/>
      <c r="BKS41" s="29"/>
      <c r="BKT41" s="29"/>
      <c r="BKU41" s="28"/>
      <c r="BKV41" s="29"/>
      <c r="BKW41" s="29"/>
      <c r="BKX41" s="28"/>
      <c r="BKY41" s="29"/>
      <c r="BKZ41" s="30"/>
      <c r="BLA41" s="28"/>
      <c r="BLB41" s="29"/>
      <c r="BLC41" s="29"/>
      <c r="BLD41" s="29"/>
      <c r="BLE41" s="28"/>
      <c r="BLF41" s="29"/>
      <c r="BLG41" s="29"/>
      <c r="BLH41" s="29"/>
      <c r="BLI41" s="29"/>
      <c r="BLJ41" s="29"/>
      <c r="BLK41" s="28"/>
      <c r="BLL41" s="29"/>
      <c r="BLM41" s="29"/>
      <c r="BLN41" s="28"/>
      <c r="BLO41" s="29"/>
      <c r="BLP41" s="30"/>
      <c r="BLQ41" s="28"/>
      <c r="BLR41" s="29"/>
      <c r="BLS41" s="29"/>
      <c r="BLT41" s="29"/>
      <c r="BLU41" s="28"/>
      <c r="BLV41" s="29"/>
      <c r="BLW41" s="29"/>
      <c r="BLX41" s="28"/>
      <c r="BLY41" s="29"/>
      <c r="BLZ41" s="30"/>
      <c r="BMA41" s="28"/>
      <c r="BMB41" s="29"/>
      <c r="BMC41" s="29"/>
      <c r="BMD41" s="29"/>
      <c r="BME41" s="28"/>
      <c r="BMF41" s="29"/>
      <c r="BMG41" s="29"/>
      <c r="BMH41" s="29"/>
      <c r="BMI41" s="29"/>
      <c r="BMJ41" s="29"/>
      <c r="BMK41" s="28"/>
      <c r="BML41" s="29"/>
      <c r="BMM41" s="29"/>
      <c r="BMN41" s="28"/>
      <c r="BMO41" s="29"/>
      <c r="BMP41" s="30"/>
      <c r="BMQ41" s="28"/>
      <c r="BMR41" s="29"/>
      <c r="BMS41" s="29"/>
      <c r="BMT41" s="29"/>
      <c r="BMU41" s="28"/>
      <c r="BMV41" s="29"/>
      <c r="BMW41" s="29"/>
      <c r="BMX41" s="28"/>
      <c r="BMY41" s="29"/>
      <c r="BMZ41" s="30"/>
      <c r="BNA41" s="28"/>
      <c r="BNB41" s="29"/>
      <c r="BNC41" s="29"/>
      <c r="BND41" s="29"/>
      <c r="BNE41" s="28"/>
      <c r="BNF41" s="29"/>
      <c r="BNG41" s="29"/>
      <c r="BNH41" s="29"/>
      <c r="BNI41" s="29"/>
      <c r="BNJ41" s="29"/>
      <c r="BNK41" s="28"/>
      <c r="BNL41" s="29"/>
      <c r="BNM41" s="29"/>
      <c r="BNN41" s="28"/>
      <c r="BNO41" s="29"/>
      <c r="BNP41" s="30"/>
      <c r="BNQ41" s="28"/>
      <c r="BNR41" s="29"/>
      <c r="BNS41" s="29"/>
      <c r="BNT41" s="29"/>
      <c r="BNU41" s="28"/>
      <c r="BNV41" s="29"/>
      <c r="BNW41" s="29"/>
      <c r="BNX41" s="28"/>
      <c r="BNY41" s="29"/>
      <c r="BNZ41" s="30"/>
      <c r="BOA41" s="28"/>
      <c r="BOB41" s="29"/>
      <c r="BOC41" s="29"/>
      <c r="BOD41" s="29"/>
      <c r="BOE41" s="28"/>
      <c r="BOF41" s="29"/>
      <c r="BOG41" s="29"/>
      <c r="BOH41" s="29"/>
      <c r="BOI41" s="29"/>
      <c r="BOJ41" s="29"/>
      <c r="BOK41" s="28"/>
      <c r="BOL41" s="29"/>
      <c r="BOM41" s="29"/>
      <c r="BON41" s="28"/>
      <c r="BOO41" s="29"/>
      <c r="BOP41" s="30"/>
      <c r="BOQ41" s="28"/>
      <c r="BOR41" s="29"/>
      <c r="BOS41" s="29"/>
      <c r="BOT41" s="29"/>
      <c r="BOU41" s="28"/>
      <c r="BOV41" s="29"/>
      <c r="BOW41" s="29"/>
      <c r="BOX41" s="28"/>
      <c r="BOY41" s="29"/>
      <c r="BOZ41" s="30"/>
      <c r="BPA41" s="28"/>
      <c r="BPB41" s="29"/>
      <c r="BPC41" s="29"/>
      <c r="BPD41" s="29"/>
      <c r="BPE41" s="28"/>
      <c r="BPF41" s="29"/>
      <c r="BPG41" s="29"/>
      <c r="BPH41" s="29"/>
      <c r="BPI41" s="29"/>
      <c r="BPJ41" s="29"/>
      <c r="BPK41" s="28"/>
      <c r="BPL41" s="29"/>
      <c r="BPM41" s="29"/>
      <c r="BPN41" s="28"/>
      <c r="BPO41" s="29"/>
      <c r="BPP41" s="30"/>
      <c r="BPQ41" s="28"/>
      <c r="BPR41" s="29"/>
      <c r="BPS41" s="29"/>
      <c r="BPT41" s="29"/>
      <c r="BPU41" s="28"/>
      <c r="BPV41" s="29"/>
      <c r="BPW41" s="29"/>
      <c r="BPX41" s="28"/>
      <c r="BPY41" s="29"/>
      <c r="BPZ41" s="30"/>
      <c r="BQA41" s="28"/>
      <c r="BQB41" s="29"/>
      <c r="BQC41" s="29"/>
      <c r="BQD41" s="29"/>
      <c r="BQE41" s="28"/>
      <c r="BQF41" s="29"/>
      <c r="BQG41" s="29"/>
      <c r="BQH41" s="29"/>
      <c r="BQI41" s="29"/>
      <c r="BQJ41" s="29"/>
      <c r="BQK41" s="28"/>
      <c r="BQL41" s="29"/>
      <c r="BQM41" s="29"/>
      <c r="BQN41" s="28"/>
      <c r="BQO41" s="29"/>
      <c r="BQP41" s="30"/>
      <c r="BQQ41" s="28"/>
      <c r="BQR41" s="29"/>
      <c r="BQS41" s="29"/>
      <c r="BQT41" s="29"/>
      <c r="BQU41" s="28"/>
      <c r="BQV41" s="29"/>
      <c r="BQW41" s="29"/>
      <c r="BQX41" s="28"/>
      <c r="BQY41" s="29"/>
      <c r="BQZ41" s="30"/>
      <c r="BRA41" s="28"/>
      <c r="BRB41" s="29"/>
      <c r="BRC41" s="29"/>
      <c r="BRD41" s="29"/>
      <c r="BRE41" s="28"/>
      <c r="BRF41" s="29"/>
      <c r="BRG41" s="29"/>
      <c r="BRH41" s="29"/>
      <c r="BRI41" s="29"/>
      <c r="BRJ41" s="29"/>
      <c r="BRK41" s="28"/>
      <c r="BRL41" s="29"/>
      <c r="BRM41" s="29"/>
      <c r="BRN41" s="28"/>
      <c r="BRO41" s="29"/>
      <c r="BRP41" s="30"/>
      <c r="BRQ41" s="28"/>
      <c r="BRR41" s="29"/>
      <c r="BRS41" s="29"/>
      <c r="BRT41" s="29"/>
      <c r="BRU41" s="28"/>
      <c r="BRV41" s="29"/>
      <c r="BRW41" s="29"/>
      <c r="BRX41" s="28"/>
      <c r="BRY41" s="29"/>
      <c r="BRZ41" s="30"/>
      <c r="BSA41" s="28"/>
      <c r="BSB41" s="29"/>
      <c r="BSC41" s="29"/>
      <c r="BSD41" s="29"/>
      <c r="BSE41" s="28"/>
      <c r="BSF41" s="29"/>
      <c r="BSG41" s="29"/>
      <c r="BSH41" s="29"/>
      <c r="BSI41" s="29"/>
      <c r="BSJ41" s="29"/>
      <c r="BSK41" s="28"/>
      <c r="BSL41" s="29"/>
      <c r="BSM41" s="29"/>
      <c r="BSN41" s="28"/>
      <c r="BSO41" s="29"/>
      <c r="BSP41" s="30"/>
      <c r="BSQ41" s="28"/>
      <c r="BSR41" s="29"/>
      <c r="BSS41" s="29"/>
      <c r="BST41" s="29"/>
      <c r="BSU41" s="28"/>
      <c r="BSV41" s="29"/>
      <c r="BSW41" s="29"/>
      <c r="BSX41" s="28"/>
      <c r="BSY41" s="29"/>
      <c r="BSZ41" s="30"/>
      <c r="BTA41" s="28"/>
      <c r="BTB41" s="29"/>
      <c r="BTC41" s="29"/>
      <c r="BTD41" s="29"/>
      <c r="BTE41" s="28"/>
      <c r="BTF41" s="29"/>
      <c r="BTG41" s="29"/>
      <c r="BTH41" s="29"/>
      <c r="BTI41" s="29"/>
      <c r="BTJ41" s="29"/>
      <c r="BTK41" s="28"/>
      <c r="BTL41" s="29"/>
      <c r="BTM41" s="29"/>
      <c r="BTN41" s="28"/>
      <c r="BTO41" s="29"/>
      <c r="BTP41" s="30"/>
      <c r="BTQ41" s="28"/>
      <c r="BTR41" s="29"/>
      <c r="BTS41" s="29"/>
      <c r="BTT41" s="29"/>
      <c r="BTU41" s="28"/>
      <c r="BTV41" s="29"/>
      <c r="BTW41" s="29"/>
      <c r="BTX41" s="28"/>
      <c r="BTY41" s="29"/>
      <c r="BTZ41" s="30"/>
      <c r="BUA41" s="28"/>
      <c r="BUB41" s="29"/>
      <c r="BUC41" s="29"/>
      <c r="BUD41" s="29"/>
      <c r="BUE41" s="28"/>
      <c r="BUF41" s="29"/>
      <c r="BUG41" s="29"/>
      <c r="BUH41" s="29"/>
      <c r="BUI41" s="29"/>
      <c r="BUJ41" s="29"/>
      <c r="BUK41" s="28"/>
      <c r="BUL41" s="29"/>
      <c r="BUM41" s="29"/>
      <c r="BUN41" s="28"/>
      <c r="BUO41" s="29"/>
      <c r="BUP41" s="30"/>
      <c r="BUQ41" s="28"/>
      <c r="BUR41" s="29"/>
      <c r="BUS41" s="29"/>
      <c r="BUT41" s="29"/>
      <c r="BUU41" s="28"/>
      <c r="BUV41" s="29"/>
      <c r="BUW41" s="29"/>
      <c r="BUX41" s="28"/>
      <c r="BUY41" s="29"/>
      <c r="BUZ41" s="30"/>
      <c r="BVA41" s="28"/>
      <c r="BVB41" s="29"/>
      <c r="BVC41" s="29"/>
      <c r="BVD41" s="29"/>
      <c r="BVE41" s="28"/>
      <c r="BVF41" s="29"/>
      <c r="BVG41" s="29"/>
      <c r="BVH41" s="29"/>
      <c r="BVI41" s="29"/>
      <c r="BVJ41" s="29"/>
      <c r="BVK41" s="28"/>
      <c r="BVL41" s="29"/>
      <c r="BVM41" s="29"/>
      <c r="BVN41" s="28"/>
      <c r="BVO41" s="29"/>
      <c r="BVP41" s="30"/>
      <c r="BVQ41" s="28"/>
      <c r="BVR41" s="29"/>
      <c r="BVS41" s="29"/>
      <c r="BVT41" s="29"/>
      <c r="BVU41" s="28"/>
      <c r="BVV41" s="29"/>
      <c r="BVW41" s="29"/>
      <c r="BVX41" s="28"/>
      <c r="BVY41" s="29"/>
      <c r="BVZ41" s="30"/>
      <c r="BWA41" s="28"/>
      <c r="BWB41" s="29"/>
      <c r="BWC41" s="29"/>
      <c r="BWD41" s="29"/>
      <c r="BWE41" s="28"/>
      <c r="BWF41" s="29"/>
      <c r="BWG41" s="29"/>
      <c r="BWH41" s="29"/>
      <c r="BWI41" s="29"/>
      <c r="BWJ41" s="29"/>
      <c r="BWK41" s="28"/>
      <c r="BWL41" s="29"/>
      <c r="BWM41" s="29"/>
      <c r="BWN41" s="28"/>
      <c r="BWO41" s="29"/>
      <c r="BWP41" s="30"/>
      <c r="BWQ41" s="28"/>
      <c r="BWR41" s="29"/>
      <c r="BWS41" s="29"/>
      <c r="BWT41" s="29"/>
      <c r="BWU41" s="28"/>
      <c r="BWV41" s="29"/>
      <c r="BWW41" s="29"/>
      <c r="BWX41" s="28"/>
      <c r="BWY41" s="29"/>
      <c r="BWZ41" s="30"/>
      <c r="BXA41" s="28"/>
      <c r="BXB41" s="29"/>
      <c r="BXC41" s="29"/>
      <c r="BXD41" s="29"/>
      <c r="BXE41" s="28"/>
      <c r="BXF41" s="29"/>
      <c r="BXG41" s="29"/>
      <c r="BXH41" s="29"/>
      <c r="BXI41" s="29"/>
      <c r="BXJ41" s="29"/>
      <c r="BXK41" s="28"/>
      <c r="BXL41" s="29"/>
      <c r="BXM41" s="29"/>
      <c r="BXN41" s="28"/>
      <c r="BXO41" s="29"/>
      <c r="BXP41" s="30"/>
      <c r="BXQ41" s="28"/>
      <c r="BXR41" s="29"/>
      <c r="BXS41" s="29"/>
      <c r="BXT41" s="29"/>
      <c r="BXU41" s="28"/>
      <c r="BXV41" s="29"/>
      <c r="BXW41" s="29"/>
      <c r="BXX41" s="28"/>
      <c r="BXY41" s="29"/>
      <c r="BXZ41" s="30"/>
      <c r="BYA41" s="28"/>
      <c r="BYB41" s="29"/>
      <c r="BYC41" s="29"/>
      <c r="BYD41" s="29"/>
      <c r="BYE41" s="28"/>
      <c r="BYF41" s="29"/>
      <c r="BYG41" s="29"/>
      <c r="BYH41" s="29"/>
      <c r="BYI41" s="29"/>
      <c r="BYJ41" s="29"/>
      <c r="BYK41" s="28"/>
      <c r="BYL41" s="29"/>
      <c r="BYM41" s="29"/>
      <c r="BYN41" s="28"/>
      <c r="BYO41" s="29"/>
      <c r="BYP41" s="30"/>
      <c r="BYQ41" s="28"/>
      <c r="BYR41" s="29"/>
      <c r="BYS41" s="29"/>
      <c r="BYT41" s="29"/>
      <c r="BYU41" s="28"/>
      <c r="BYV41" s="29"/>
      <c r="BYW41" s="29"/>
      <c r="BYX41" s="30"/>
      <c r="BYY41" s="29"/>
      <c r="BYZ41" s="28"/>
      <c r="BZA41" s="29"/>
      <c r="BZB41" s="28"/>
      <c r="BZC41" s="28"/>
      <c r="BZD41" s="28"/>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30"/>
      <c r="CAQ41" s="28"/>
      <c r="CAR41" s="29"/>
      <c r="CAS41" s="29"/>
      <c r="CAT41" s="29"/>
      <c r="CAU41" s="29"/>
      <c r="CAV41" s="29"/>
      <c r="CAW41" s="28"/>
      <c r="CAX41" s="29"/>
      <c r="CAY41" s="29"/>
      <c r="CAZ41" s="28"/>
      <c r="CBA41" s="29"/>
      <c r="CBB41" s="30"/>
      <c r="CBC41" s="28"/>
      <c r="CBD41" s="29"/>
      <c r="CBE41" s="29"/>
      <c r="CBF41" s="29"/>
      <c r="CBG41" s="28"/>
      <c r="CBH41" s="29"/>
      <c r="CBI41" s="29"/>
      <c r="CBJ41" s="28"/>
      <c r="CBK41" s="29"/>
      <c r="CBL41" s="30"/>
      <c r="CBM41" s="28"/>
      <c r="CBN41" s="29"/>
      <c r="CBO41" s="29"/>
      <c r="CBP41" s="29"/>
      <c r="CBQ41" s="28"/>
      <c r="CBR41" s="29"/>
      <c r="CBS41" s="29"/>
      <c r="CBT41" s="28"/>
      <c r="CBU41" s="29"/>
      <c r="CBV41" s="30"/>
      <c r="CBW41" s="28"/>
      <c r="CBX41" s="29"/>
      <c r="CBY41" s="29"/>
      <c r="CBZ41" s="29"/>
      <c r="CCA41" s="28"/>
      <c r="CCB41" s="29"/>
      <c r="CCC41" s="29"/>
      <c r="CCD41" s="28"/>
      <c r="CCE41" s="29"/>
      <c r="CCF41" s="30"/>
      <c r="CCG41" s="28"/>
      <c r="CCH41" s="30"/>
      <c r="CCI41" s="29"/>
      <c r="CCJ41" s="28"/>
      <c r="CCK41" s="29"/>
      <c r="CCL41" s="28"/>
      <c r="CCM41" s="28"/>
      <c r="CCN41" s="28"/>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30"/>
      <c r="CEA41" s="28"/>
      <c r="CEB41" s="29"/>
      <c r="CEC41" s="29"/>
      <c r="CED41" s="29"/>
      <c r="CEE41" s="29"/>
      <c r="CEF41" s="29"/>
      <c r="CEG41" s="28"/>
      <c r="CEH41" s="29"/>
      <c r="CEI41" s="29"/>
      <c r="CEJ41" s="28"/>
      <c r="CEK41" s="29"/>
      <c r="CEL41" s="30"/>
      <c r="CEM41" s="28"/>
      <c r="CEN41" s="29"/>
      <c r="CEO41" s="29"/>
      <c r="CEP41" s="29"/>
      <c r="CEQ41" s="28"/>
      <c r="CER41" s="29"/>
      <c r="CES41" s="29"/>
      <c r="CET41" s="28"/>
      <c r="CEU41" s="29"/>
      <c r="CEV41" s="30"/>
      <c r="CEW41" s="28"/>
      <c r="CEX41" s="29"/>
      <c r="CEY41" s="29"/>
      <c r="CEZ41" s="29"/>
      <c r="CFA41" s="28"/>
      <c r="CFB41" s="29"/>
      <c r="CFC41" s="29"/>
      <c r="CFD41" s="28"/>
      <c r="CFE41" s="29"/>
      <c r="CFF41" s="30"/>
      <c r="CFG41" s="28"/>
      <c r="CFH41" s="29"/>
      <c r="CFI41" s="29"/>
      <c r="CFJ41" s="29"/>
      <c r="CFK41" s="28"/>
      <c r="CFL41" s="29"/>
      <c r="CFM41" s="29"/>
      <c r="CFN41" s="28"/>
      <c r="CFO41" s="29"/>
      <c r="CFP41" s="30"/>
      <c r="CFQ41" s="28"/>
      <c r="CFR41" s="30"/>
      <c r="CFS41" s="29"/>
      <c r="CFT41" s="28"/>
      <c r="CFU41" s="29"/>
      <c r="CFV41" s="28"/>
      <c r="CFW41" s="28"/>
      <c r="CFX41" s="28"/>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30"/>
      <c r="CHK41" s="28"/>
      <c r="CHL41" s="29"/>
      <c r="CHM41" s="29"/>
      <c r="CHN41" s="29"/>
      <c r="CHO41" s="29"/>
      <c r="CHP41" s="29"/>
      <c r="CHQ41" s="28"/>
      <c r="CHR41" s="29"/>
      <c r="CHS41" s="29"/>
      <c r="CHT41" s="28"/>
      <c r="CHU41" s="29"/>
      <c r="CHV41" s="30"/>
      <c r="CHW41" s="28"/>
      <c r="CHX41" s="29"/>
      <c r="CHY41" s="29"/>
      <c r="CHZ41" s="29"/>
      <c r="CIA41" s="28"/>
      <c r="CIB41" s="29"/>
      <c r="CIC41" s="29"/>
      <c r="CID41" s="28"/>
      <c r="CIE41" s="29"/>
      <c r="CIF41" s="30"/>
      <c r="CIG41" s="28"/>
      <c r="CIH41" s="29"/>
      <c r="CII41" s="29"/>
      <c r="CIJ41" s="29"/>
      <c r="CIK41" s="28"/>
      <c r="CIL41" s="29"/>
      <c r="CIM41" s="29"/>
      <c r="CIN41" s="28"/>
      <c r="CIO41" s="29"/>
      <c r="CIP41" s="30"/>
      <c r="CIQ41" s="28"/>
      <c r="CIR41" s="29"/>
      <c r="CIS41" s="29"/>
      <c r="CIT41" s="29"/>
      <c r="CIU41" s="28"/>
      <c r="CIV41" s="29"/>
      <c r="CIW41" s="29"/>
      <c r="CIX41" s="28"/>
      <c r="CIY41" s="29"/>
      <c r="CIZ41" s="30"/>
      <c r="CJA41" s="28"/>
      <c r="CJB41" s="30"/>
      <c r="CJC41" s="29"/>
      <c r="CJD41" s="28"/>
      <c r="CJE41" s="29"/>
      <c r="CJF41" s="28"/>
      <c r="CJG41" s="28"/>
      <c r="CJH41" s="28"/>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30"/>
      <c r="CKU41" s="28"/>
      <c r="CKV41" s="29"/>
      <c r="CKW41" s="29"/>
      <c r="CKX41" s="29"/>
      <c r="CKY41" s="29"/>
      <c r="CKZ41" s="29"/>
      <c r="CLA41" s="28"/>
      <c r="CLB41" s="29"/>
      <c r="CLC41" s="29"/>
      <c r="CLD41" s="28"/>
      <c r="CLE41" s="29"/>
      <c r="CLF41" s="30"/>
      <c r="CLG41" s="28"/>
      <c r="CLH41" s="29"/>
      <c r="CLI41" s="29"/>
      <c r="CLJ41" s="29"/>
      <c r="CLK41" s="28"/>
      <c r="CLL41" s="29"/>
      <c r="CLM41" s="29"/>
      <c r="CLN41" s="28"/>
      <c r="CLO41" s="29"/>
      <c r="CLP41" s="30"/>
      <c r="CLQ41" s="28"/>
      <c r="CLR41" s="29"/>
      <c r="CLS41" s="29"/>
      <c r="CLT41" s="29"/>
      <c r="CLU41" s="28"/>
      <c r="CLV41" s="29"/>
      <c r="CLW41" s="29"/>
      <c r="CLX41" s="28"/>
      <c r="CLY41" s="29"/>
      <c r="CLZ41" s="30"/>
      <c r="CMA41" s="28"/>
      <c r="CMB41" s="29"/>
      <c r="CMC41" s="29"/>
      <c r="CMD41" s="29"/>
      <c r="CME41" s="28"/>
      <c r="CMF41" s="29"/>
      <c r="CMG41" s="29"/>
      <c r="CMH41" s="28"/>
      <c r="CMI41" s="29"/>
      <c r="CMJ41" s="30"/>
      <c r="CMK41" s="28"/>
      <c r="CML41" s="30"/>
      <c r="CMM41" s="29"/>
      <c r="CMN41" s="28"/>
      <c r="CMO41" s="29"/>
      <c r="CMP41" s="28"/>
      <c r="CMQ41" s="28"/>
      <c r="CMR41" s="28"/>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30"/>
      <c r="COE41" s="28"/>
      <c r="COF41" s="29"/>
      <c r="COG41" s="29"/>
      <c r="COH41" s="29"/>
      <c r="COI41" s="29"/>
      <c r="COJ41" s="29"/>
      <c r="COK41" s="28"/>
      <c r="COL41" s="29"/>
      <c r="COM41" s="29"/>
      <c r="CON41" s="28"/>
      <c r="COO41" s="29"/>
      <c r="COP41" s="30"/>
      <c r="COQ41" s="28"/>
      <c r="COR41" s="29"/>
      <c r="COS41" s="29"/>
      <c r="COT41" s="29"/>
      <c r="COU41" s="28"/>
      <c r="COV41" s="29"/>
      <c r="COW41" s="29"/>
      <c r="COX41" s="28"/>
      <c r="COY41" s="29"/>
      <c r="COZ41" s="30"/>
      <c r="CPA41" s="28"/>
      <c r="CPB41" s="29"/>
      <c r="CPC41" s="29"/>
      <c r="CPD41" s="29"/>
      <c r="CPE41" s="28"/>
      <c r="CPF41" s="29"/>
      <c r="CPG41" s="29"/>
      <c r="CPH41" s="28"/>
      <c r="CPI41" s="29"/>
      <c r="CPJ41" s="30"/>
      <c r="CPK41" s="28"/>
      <c r="CPL41" s="29"/>
      <c r="CPM41" s="29"/>
      <c r="CPN41" s="29"/>
      <c r="CPO41" s="28"/>
      <c r="CPP41" s="29"/>
      <c r="CPQ41" s="29"/>
      <c r="CPR41" s="28"/>
      <c r="CPS41" s="29"/>
      <c r="CPT41" s="30"/>
      <c r="CPU41" s="28"/>
      <c r="CPV41" s="30"/>
      <c r="CPW41" s="29"/>
      <c r="CPX41" s="28"/>
      <c r="CPY41" s="29"/>
      <c r="CPZ41" s="28"/>
      <c r="CQA41" s="28"/>
      <c r="CQB41" s="28"/>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30"/>
      <c r="CRO41" s="28"/>
      <c r="CRP41" s="29"/>
      <c r="CRQ41" s="29"/>
      <c r="CRR41" s="29"/>
      <c r="CRS41" s="29"/>
      <c r="CRT41" s="29"/>
      <c r="CRU41" s="28"/>
      <c r="CRV41" s="29"/>
      <c r="CRW41" s="29"/>
      <c r="CRX41" s="28"/>
      <c r="CRY41" s="29"/>
      <c r="CRZ41" s="30"/>
      <c r="CSA41" s="28"/>
      <c r="CSB41" s="29"/>
      <c r="CSC41" s="29"/>
      <c r="CSD41" s="29"/>
      <c r="CSE41" s="28"/>
      <c r="CSF41" s="29"/>
      <c r="CSG41" s="29"/>
      <c r="CSH41" s="28"/>
      <c r="CSI41" s="29"/>
      <c r="CSJ41" s="30"/>
      <c r="CSK41" s="28"/>
      <c r="CSL41" s="29"/>
      <c r="CSM41" s="29"/>
      <c r="CSN41" s="29"/>
      <c r="CSO41" s="28"/>
      <c r="CSP41" s="29"/>
      <c r="CSQ41" s="29"/>
      <c r="CSR41" s="28"/>
      <c r="CSS41" s="29"/>
      <c r="CST41" s="30"/>
      <c r="CSU41" s="28"/>
      <c r="CSV41" s="29"/>
      <c r="CSW41" s="29"/>
      <c r="CSX41" s="29"/>
      <c r="CSY41" s="28"/>
      <c r="CSZ41" s="29"/>
      <c r="CTA41" s="29"/>
      <c r="CTB41" s="28"/>
      <c r="CTC41" s="29"/>
      <c r="CTD41" s="30"/>
      <c r="CTE41" s="28"/>
      <c r="CTF41" s="30"/>
      <c r="CTG41" s="29"/>
      <c r="CTH41" s="28"/>
      <c r="CTI41" s="29"/>
      <c r="CTJ41" s="28"/>
      <c r="CTK41" s="28"/>
      <c r="CTL41" s="28"/>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30"/>
      <c r="CUY41" s="28"/>
      <c r="CUZ41" s="29"/>
      <c r="CVA41" s="29"/>
      <c r="CVB41" s="29"/>
      <c r="CVC41" s="29"/>
      <c r="CVD41" s="29"/>
      <c r="CVE41" s="28"/>
      <c r="CVF41" s="29"/>
      <c r="CVG41" s="29"/>
      <c r="CVH41" s="28"/>
      <c r="CVI41" s="29"/>
      <c r="CVJ41" s="30"/>
      <c r="CVK41" s="28"/>
      <c r="CVL41" s="29"/>
      <c r="CVM41" s="29"/>
      <c r="CVN41" s="29"/>
      <c r="CVO41" s="28"/>
      <c r="CVP41" s="29"/>
      <c r="CVQ41" s="29"/>
      <c r="CVR41" s="28"/>
      <c r="CVS41" s="29"/>
      <c r="CVT41" s="30"/>
      <c r="CVU41" s="28"/>
      <c r="CVV41" s="29"/>
      <c r="CVW41" s="29"/>
      <c r="CVX41" s="29"/>
      <c r="CVY41" s="28"/>
      <c r="CVZ41" s="29"/>
      <c r="CWA41" s="29"/>
      <c r="CWB41" s="28"/>
      <c r="CWC41" s="29"/>
      <c r="CWD41" s="30"/>
      <c r="CWE41" s="28"/>
      <c r="CWF41" s="29"/>
      <c r="CWG41" s="29"/>
      <c r="CWH41" s="29"/>
      <c r="CWI41" s="28"/>
      <c r="CWJ41" s="29"/>
      <c r="CWK41" s="29"/>
      <c r="CWL41" s="28"/>
      <c r="CWM41" s="29"/>
      <c r="CWN41" s="30"/>
      <c r="CWO41" s="28"/>
      <c r="CWP41" s="30"/>
      <c r="CWQ41" s="29"/>
      <c r="CWR41" s="28"/>
      <c r="CWS41" s="29"/>
      <c r="CWT41" s="28"/>
      <c r="CWU41" s="28"/>
      <c r="CWV41" s="28"/>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30"/>
      <c r="CYI41" s="28"/>
      <c r="CYJ41" s="29"/>
      <c r="CYK41" s="29"/>
      <c r="CYL41" s="29"/>
      <c r="CYM41" s="29"/>
      <c r="CYN41" s="29"/>
      <c r="CYO41" s="28"/>
      <c r="CYP41" s="29"/>
      <c r="CYQ41" s="29"/>
      <c r="CYR41" s="28"/>
      <c r="CYS41" s="29"/>
      <c r="CYT41" s="30"/>
      <c r="CYU41" s="28"/>
      <c r="CYV41" s="29"/>
      <c r="CYW41" s="29"/>
      <c r="CYX41" s="29"/>
      <c r="CYY41" s="28"/>
      <c r="CYZ41" s="29"/>
      <c r="CZA41" s="29"/>
      <c r="CZB41" s="28"/>
      <c r="CZC41" s="29"/>
      <c r="CZD41" s="30"/>
      <c r="CZE41" s="28"/>
      <c r="CZF41" s="29"/>
      <c r="CZG41" s="29"/>
      <c r="CZH41" s="29"/>
      <c r="CZI41" s="28"/>
      <c r="CZJ41" s="29"/>
      <c r="CZK41" s="29"/>
      <c r="CZL41" s="28"/>
      <c r="CZM41" s="29"/>
      <c r="CZN41" s="30"/>
      <c r="CZO41" s="28"/>
      <c r="CZP41" s="29"/>
      <c r="CZQ41" s="29"/>
      <c r="CZR41" s="29"/>
      <c r="CZS41" s="28"/>
      <c r="CZT41" s="29"/>
      <c r="CZU41" s="29"/>
      <c r="CZV41" s="28"/>
      <c r="CZW41" s="29"/>
      <c r="CZX41" s="30"/>
      <c r="CZY41" s="28"/>
      <c r="CZZ41" s="30"/>
      <c r="DAA41" s="29"/>
      <c r="DAB41" s="28"/>
      <c r="DAC41" s="29"/>
      <c r="DAD41" s="28"/>
      <c r="DAE41" s="28"/>
      <c r="DAF41" s="28"/>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30"/>
      <c r="DBS41" s="28"/>
      <c r="DBT41" s="29"/>
      <c r="DBU41" s="29"/>
      <c r="DBV41" s="29"/>
      <c r="DBW41" s="29"/>
      <c r="DBX41" s="29"/>
      <c r="DBY41" s="28"/>
      <c r="DBZ41" s="29"/>
      <c r="DCA41" s="29"/>
      <c r="DCB41" s="28"/>
      <c r="DCC41" s="29"/>
      <c r="DCD41" s="30"/>
      <c r="DCE41" s="28"/>
      <c r="DCF41" s="29"/>
      <c r="DCG41" s="29"/>
      <c r="DCH41" s="29"/>
      <c r="DCI41" s="28"/>
      <c r="DCJ41" s="29"/>
      <c r="DCK41" s="29"/>
      <c r="DCL41" s="28"/>
      <c r="DCM41" s="29"/>
      <c r="DCN41" s="30"/>
      <c r="DCO41" s="28"/>
      <c r="DCP41" s="29"/>
      <c r="DCQ41" s="29"/>
      <c r="DCR41" s="29"/>
      <c r="DCS41" s="28"/>
      <c r="DCT41" s="29"/>
      <c r="DCU41" s="29"/>
      <c r="DCV41" s="28"/>
      <c r="DCW41" s="29"/>
      <c r="DCX41" s="30"/>
      <c r="DCY41" s="28"/>
      <c r="DCZ41" s="29"/>
      <c r="DDA41" s="29"/>
      <c r="DDB41" s="29"/>
      <c r="DDC41" s="28"/>
      <c r="DDD41" s="29"/>
      <c r="DDE41" s="29"/>
      <c r="DDF41" s="28"/>
      <c r="DDG41" s="29"/>
      <c r="DDH41" s="30"/>
      <c r="DDI41" s="28"/>
      <c r="DDJ41" s="30"/>
      <c r="DDK41" s="29"/>
      <c r="DDL41" s="28"/>
      <c r="DDM41" s="29"/>
      <c r="DDN41" s="28"/>
      <c r="DDO41" s="28"/>
      <c r="DDP41" s="28"/>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30"/>
      <c r="DFC41" s="28"/>
      <c r="DFD41" s="29"/>
      <c r="DFE41" s="29"/>
      <c r="DFF41" s="29"/>
      <c r="DFG41" s="29"/>
      <c r="DFH41" s="29"/>
      <c r="DFI41" s="28"/>
      <c r="DFJ41" s="29"/>
      <c r="DFK41" s="29"/>
      <c r="DFL41" s="28"/>
      <c r="DFM41" s="29"/>
      <c r="DFN41" s="30"/>
      <c r="DFO41" s="28"/>
      <c r="DFP41" s="29"/>
      <c r="DFQ41" s="29"/>
      <c r="DFR41" s="29"/>
      <c r="DFS41" s="28"/>
      <c r="DFT41" s="29"/>
      <c r="DFU41" s="29"/>
      <c r="DFV41" s="28"/>
      <c r="DFW41" s="29"/>
      <c r="DFX41" s="30"/>
      <c r="DFY41" s="28"/>
      <c r="DFZ41" s="29"/>
      <c r="DGA41" s="29"/>
      <c r="DGB41" s="29"/>
      <c r="DGC41" s="28"/>
      <c r="DGD41" s="29"/>
      <c r="DGE41" s="29"/>
      <c r="DGF41" s="28"/>
      <c r="DGG41" s="29"/>
      <c r="DGH41" s="30"/>
      <c r="DGI41" s="28"/>
      <c r="DGJ41" s="29"/>
      <c r="DGK41" s="29"/>
      <c r="DGL41" s="29"/>
      <c r="DGM41" s="28"/>
      <c r="DGN41" s="29"/>
      <c r="DGO41" s="29"/>
      <c r="DGP41" s="28"/>
      <c r="DGQ41" s="29"/>
      <c r="DGR41" s="30"/>
      <c r="DGS41" s="28"/>
      <c r="DGT41" s="30"/>
      <c r="DGU41" s="29"/>
      <c r="DGV41" s="28"/>
      <c r="DGW41" s="29"/>
      <c r="DGX41" s="28"/>
      <c r="DGY41" s="28"/>
      <c r="DGZ41" s="28"/>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30"/>
      <c r="DIM41" s="28"/>
      <c r="DIN41" s="29"/>
      <c r="DIO41" s="29"/>
      <c r="DIP41" s="29"/>
      <c r="DIQ41" s="29"/>
      <c r="DIR41" s="29"/>
      <c r="DIS41" s="28"/>
      <c r="DIT41" s="29"/>
      <c r="DIU41" s="29"/>
      <c r="DIV41" s="28"/>
      <c r="DIW41" s="29"/>
      <c r="DIX41" s="30"/>
      <c r="DIY41" s="28"/>
      <c r="DIZ41" s="29"/>
      <c r="DJA41" s="29"/>
      <c r="DJB41" s="29"/>
      <c r="DJC41" s="28"/>
      <c r="DJD41" s="29"/>
      <c r="DJE41" s="29"/>
      <c r="DJF41" s="28"/>
      <c r="DJG41" s="29"/>
      <c r="DJH41" s="30"/>
      <c r="DJI41" s="28"/>
      <c r="DJJ41" s="29"/>
      <c r="DJK41" s="29"/>
      <c r="DJL41" s="29"/>
      <c r="DJM41" s="28"/>
      <c r="DJN41" s="29"/>
      <c r="DJO41" s="29"/>
      <c r="DJP41" s="28"/>
      <c r="DJQ41" s="29"/>
      <c r="DJR41" s="30"/>
      <c r="DJS41" s="28"/>
      <c r="DJT41" s="29"/>
      <c r="DJU41" s="29"/>
      <c r="DJV41" s="29"/>
      <c r="DJW41" s="28"/>
      <c r="DJX41" s="29"/>
      <c r="DJY41" s="29"/>
      <c r="DJZ41" s="28"/>
      <c r="DKA41" s="29"/>
      <c r="DKB41" s="30"/>
      <c r="DKC41" s="28"/>
      <c r="DKD41" s="30"/>
      <c r="DKE41" s="29"/>
      <c r="DKF41" s="28"/>
      <c r="DKG41" s="29"/>
      <c r="DKH41" s="28"/>
      <c r="DKI41" s="28"/>
      <c r="DKJ41" s="28"/>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30"/>
      <c r="DLW41" s="28"/>
      <c r="DLX41" s="29"/>
      <c r="DLY41" s="29"/>
      <c r="DLZ41" s="29"/>
      <c r="DMA41" s="29"/>
      <c r="DMB41" s="29"/>
      <c r="DMC41" s="28"/>
      <c r="DMD41" s="29"/>
      <c r="DME41" s="29"/>
      <c r="DMF41" s="28"/>
      <c r="DMG41" s="29"/>
      <c r="DMH41" s="30"/>
      <c r="DMI41" s="28"/>
      <c r="DMJ41" s="29"/>
      <c r="DMK41" s="29"/>
      <c r="DML41" s="29"/>
      <c r="DMM41" s="28"/>
      <c r="DMN41" s="29"/>
      <c r="DMO41" s="29"/>
      <c r="DMP41" s="28"/>
      <c r="DMQ41" s="29"/>
      <c r="DMR41" s="30"/>
      <c r="DMS41" s="28"/>
      <c r="DMT41" s="29"/>
      <c r="DMU41" s="29"/>
      <c r="DMV41" s="29"/>
      <c r="DMW41" s="28"/>
      <c r="DMX41" s="29"/>
      <c r="DMY41" s="29"/>
      <c r="DMZ41" s="28"/>
      <c r="DNA41" s="29"/>
      <c r="DNB41" s="30"/>
      <c r="DNC41" s="28"/>
      <c r="DND41" s="29"/>
      <c r="DNE41" s="29"/>
      <c r="DNF41" s="29"/>
      <c r="DNG41" s="28"/>
      <c r="DNH41" s="29"/>
      <c r="DNI41" s="29"/>
      <c r="DNJ41" s="28"/>
      <c r="DNK41" s="29"/>
      <c r="DNL41" s="30"/>
      <c r="DNM41" s="28"/>
      <c r="DNN41" s="30"/>
      <c r="DNO41" s="29"/>
      <c r="DNP41" s="28"/>
      <c r="DNQ41" s="29"/>
      <c r="DNR41" s="28"/>
      <c r="DNS41" s="28"/>
      <c r="DNT41" s="28"/>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30"/>
      <c r="DPG41" s="28"/>
      <c r="DPH41" s="29"/>
      <c r="DPI41" s="29"/>
      <c r="DPJ41" s="29"/>
      <c r="DPK41" s="29"/>
      <c r="DPL41" s="29"/>
      <c r="DPM41" s="28"/>
      <c r="DPN41" s="29"/>
      <c r="DPO41" s="29"/>
      <c r="DPP41" s="28"/>
      <c r="DPQ41" s="29"/>
      <c r="DPR41" s="30"/>
      <c r="DPS41" s="28"/>
      <c r="DPT41" s="29"/>
      <c r="DPU41" s="29"/>
      <c r="DPV41" s="29"/>
      <c r="DPW41" s="28"/>
      <c r="DPX41" s="29"/>
      <c r="DPY41" s="29"/>
      <c r="DPZ41" s="28"/>
      <c r="DQA41" s="29"/>
      <c r="DQB41" s="30"/>
      <c r="DQC41" s="28"/>
      <c r="DQD41" s="29"/>
      <c r="DQE41" s="29"/>
      <c r="DQF41" s="29"/>
      <c r="DQG41" s="28"/>
      <c r="DQH41" s="29"/>
      <c r="DQI41" s="29"/>
      <c r="DQJ41" s="28"/>
      <c r="DQK41" s="29"/>
      <c r="DQL41" s="30"/>
      <c r="DQM41" s="28"/>
      <c r="DQN41" s="29"/>
      <c r="DQO41" s="29"/>
      <c r="DQP41" s="29"/>
      <c r="DQQ41" s="28"/>
      <c r="DQR41" s="29"/>
      <c r="DQS41" s="29"/>
      <c r="DQT41" s="28"/>
      <c r="DQU41" s="29"/>
      <c r="DQV41" s="30"/>
      <c r="DQW41" s="28"/>
      <c r="DQX41" s="30"/>
      <c r="DQY41" s="29"/>
      <c r="DQZ41" s="28"/>
      <c r="DRA41" s="29"/>
      <c r="DRB41" s="28"/>
      <c r="DRC41" s="28"/>
      <c r="DRD41" s="28"/>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30"/>
      <c r="DSQ41" s="28"/>
      <c r="DSR41" s="29"/>
      <c r="DSS41" s="29"/>
      <c r="DST41" s="29"/>
      <c r="DSU41" s="29"/>
      <c r="DSV41" s="29"/>
      <c r="DSW41" s="28"/>
      <c r="DSX41" s="29"/>
      <c r="DSY41" s="29"/>
      <c r="DSZ41" s="28"/>
      <c r="DTA41" s="29"/>
      <c r="DTB41" s="30"/>
      <c r="DTC41" s="28"/>
      <c r="DTD41" s="29"/>
      <c r="DTE41" s="29"/>
      <c r="DTF41" s="29"/>
      <c r="DTG41" s="28"/>
      <c r="DTH41" s="29"/>
      <c r="DTI41" s="29"/>
      <c r="DTJ41" s="28"/>
      <c r="DTK41" s="29"/>
      <c r="DTL41" s="30"/>
      <c r="DTM41" s="28"/>
      <c r="DTN41" s="29"/>
      <c r="DTO41" s="29"/>
      <c r="DTP41" s="29"/>
      <c r="DTQ41" s="28"/>
      <c r="DTR41" s="29"/>
      <c r="DTS41" s="29"/>
      <c r="DTT41" s="28"/>
      <c r="DTU41" s="29"/>
      <c r="DTV41" s="30"/>
      <c r="DTW41" s="28"/>
      <c r="DTX41" s="29"/>
      <c r="DTY41" s="29"/>
      <c r="DTZ41" s="29"/>
      <c r="DUA41" s="28"/>
      <c r="DUB41" s="29"/>
      <c r="DUC41" s="29"/>
      <c r="DUD41" s="28"/>
      <c r="DUE41" s="29"/>
      <c r="DUF41" s="30"/>
      <c r="DUG41" s="28"/>
      <c r="DUH41" s="30"/>
      <c r="DUI41" s="29"/>
      <c r="DUJ41" s="28"/>
      <c r="DUK41" s="29"/>
      <c r="DUL41" s="28"/>
      <c r="DUM41" s="28"/>
      <c r="DUN41" s="28"/>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30"/>
      <c r="DWA41" s="28"/>
      <c r="DWB41" s="29"/>
      <c r="DWC41" s="29"/>
      <c r="DWD41" s="29"/>
      <c r="DWE41" s="29"/>
      <c r="DWF41" s="29"/>
      <c r="DWG41" s="28"/>
      <c r="DWH41" s="29"/>
      <c r="DWI41" s="29"/>
      <c r="DWJ41" s="28"/>
      <c r="DWK41" s="29"/>
      <c r="DWL41" s="30"/>
      <c r="DWM41" s="28"/>
      <c r="DWN41" s="29"/>
      <c r="DWO41" s="29"/>
      <c r="DWP41" s="29"/>
      <c r="DWQ41" s="28"/>
      <c r="DWR41" s="29"/>
      <c r="DWS41" s="29"/>
      <c r="DWT41" s="28"/>
      <c r="DWU41" s="29"/>
      <c r="DWV41" s="30"/>
      <c r="DWW41" s="28"/>
      <c r="DWX41" s="29"/>
      <c r="DWY41" s="29"/>
      <c r="DWZ41" s="29"/>
      <c r="DXA41" s="28"/>
      <c r="DXB41" s="29"/>
      <c r="DXC41" s="29"/>
      <c r="DXD41" s="28"/>
      <c r="DXE41" s="29"/>
      <c r="DXF41" s="30"/>
      <c r="DXG41" s="28"/>
      <c r="DXH41" s="29"/>
      <c r="DXI41" s="29"/>
      <c r="DXJ41" s="29"/>
      <c r="DXK41" s="28"/>
      <c r="DXL41" s="29"/>
      <c r="DXM41" s="29"/>
      <c r="DXN41" s="28"/>
      <c r="DXO41" s="29"/>
      <c r="DXP41" s="30"/>
      <c r="DXQ41" s="28"/>
      <c r="DXR41" s="30"/>
      <c r="DXS41" s="29"/>
      <c r="DXT41" s="28"/>
      <c r="DXU41" s="29"/>
      <c r="DXV41" s="28"/>
      <c r="DXW41" s="28"/>
      <c r="DXX41" s="28"/>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30"/>
      <c r="DZK41" s="28"/>
      <c r="DZL41" s="29"/>
      <c r="DZM41" s="29"/>
      <c r="DZN41" s="29"/>
      <c r="DZO41" s="29"/>
      <c r="DZP41" s="29"/>
      <c r="DZQ41" s="28"/>
      <c r="DZR41" s="29"/>
      <c r="DZS41" s="29"/>
      <c r="DZT41" s="28"/>
      <c r="DZU41" s="29"/>
      <c r="DZV41" s="30"/>
      <c r="DZW41" s="28"/>
      <c r="DZX41" s="29"/>
      <c r="DZY41" s="29"/>
      <c r="DZZ41" s="29"/>
      <c r="EAA41" s="28"/>
      <c r="EAB41" s="29"/>
      <c r="EAC41" s="29"/>
      <c r="EAD41" s="28"/>
      <c r="EAE41" s="29"/>
      <c r="EAF41" s="30"/>
      <c r="EAG41" s="28"/>
      <c r="EAH41" s="29"/>
      <c r="EAI41" s="29"/>
      <c r="EAJ41" s="29"/>
      <c r="EAK41" s="28"/>
      <c r="EAL41" s="29"/>
      <c r="EAM41" s="29"/>
      <c r="EAN41" s="28"/>
      <c r="EAO41" s="29"/>
      <c r="EAP41" s="30"/>
      <c r="EAQ41" s="28"/>
      <c r="EAR41" s="29"/>
      <c r="EAS41" s="29"/>
      <c r="EAT41" s="29"/>
      <c r="EAU41" s="28"/>
      <c r="EAV41" s="29"/>
      <c r="EAW41" s="29"/>
      <c r="EAX41" s="28"/>
      <c r="EAY41" s="29"/>
      <c r="EAZ41" s="30"/>
      <c r="EBA41" s="28"/>
      <c r="EBB41" s="30"/>
      <c r="EBC41" s="29"/>
      <c r="EBD41" s="28"/>
      <c r="EBE41" s="29"/>
      <c r="EBF41" s="28"/>
      <c r="EBG41" s="28"/>
      <c r="EBH41" s="28"/>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30"/>
      <c r="ECU41" s="28"/>
      <c r="ECV41" s="29"/>
      <c r="ECW41" s="29"/>
      <c r="ECX41" s="29"/>
      <c r="ECY41" s="29"/>
      <c r="ECZ41" s="29"/>
      <c r="EDA41" s="28"/>
      <c r="EDB41" s="29"/>
      <c r="EDC41" s="29"/>
      <c r="EDD41" s="28"/>
      <c r="EDE41" s="29"/>
      <c r="EDF41" s="30"/>
      <c r="EDG41" s="28"/>
      <c r="EDH41" s="29"/>
      <c r="EDI41" s="29"/>
      <c r="EDJ41" s="29"/>
      <c r="EDK41" s="28"/>
      <c r="EDL41" s="29"/>
      <c r="EDM41" s="29"/>
      <c r="EDN41" s="28"/>
      <c r="EDO41" s="29"/>
      <c r="EDP41" s="30"/>
      <c r="EDQ41" s="28"/>
      <c r="EDR41" s="29"/>
      <c r="EDS41" s="29"/>
      <c r="EDT41" s="29"/>
      <c r="EDU41" s="28"/>
      <c r="EDV41" s="29"/>
      <c r="EDW41" s="29"/>
      <c r="EDX41" s="28"/>
      <c r="EDY41" s="29"/>
      <c r="EDZ41" s="30"/>
      <c r="EEA41" s="28"/>
      <c r="EEB41" s="29"/>
      <c r="EEC41" s="29"/>
      <c r="EED41" s="29"/>
      <c r="EEE41" s="28"/>
      <c r="EEF41" s="29"/>
      <c r="EEG41" s="29"/>
      <c r="EEH41" s="28"/>
      <c r="EEI41" s="29"/>
      <c r="EEJ41" s="30"/>
      <c r="EEK41" s="28"/>
      <c r="EEL41" s="30"/>
      <c r="EEM41" s="29"/>
      <c r="EEN41" s="28"/>
      <c r="EEO41" s="29"/>
      <c r="EEP41" s="28"/>
      <c r="EEQ41" s="28"/>
      <c r="EER41" s="28"/>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30"/>
      <c r="EGE41" s="28"/>
      <c r="EGF41" s="29"/>
      <c r="EGG41" s="29"/>
      <c r="EGH41" s="29"/>
      <c r="EGI41" s="29"/>
      <c r="EGJ41" s="29"/>
      <c r="EGK41" s="28"/>
      <c r="EGL41" s="29"/>
      <c r="EGM41" s="29"/>
      <c r="EGN41" s="28"/>
      <c r="EGO41" s="29"/>
      <c r="EGP41" s="30"/>
      <c r="EGQ41" s="28"/>
      <c r="EGR41" s="29"/>
      <c r="EGS41" s="29"/>
      <c r="EGT41" s="29"/>
      <c r="EGU41" s="28"/>
      <c r="EGV41" s="29"/>
      <c r="EGW41" s="29"/>
      <c r="EGX41" s="28"/>
      <c r="EGY41" s="29"/>
      <c r="EGZ41" s="30"/>
      <c r="EHA41" s="28"/>
      <c r="EHB41" s="29"/>
      <c r="EHC41" s="29"/>
      <c r="EHD41" s="29"/>
      <c r="EHE41" s="28"/>
      <c r="EHF41" s="29"/>
      <c r="EHG41" s="29"/>
      <c r="EHH41" s="28"/>
      <c r="EHI41" s="29"/>
      <c r="EHJ41" s="30"/>
      <c r="EHK41" s="28"/>
      <c r="EHL41" s="29"/>
      <c r="EHM41" s="29"/>
      <c r="EHN41" s="29"/>
      <c r="EHO41" s="28"/>
      <c r="EHP41" s="29"/>
      <c r="EHQ41" s="29"/>
      <c r="EHR41" s="28"/>
      <c r="EHS41" s="29"/>
      <c r="EHT41" s="30"/>
      <c r="EHU41" s="28"/>
      <c r="EHV41" s="30"/>
      <c r="EHW41" s="29"/>
      <c r="EHX41" s="28"/>
      <c r="EHY41" s="29"/>
      <c r="EHZ41" s="28"/>
      <c r="EIA41" s="28"/>
      <c r="EIB41" s="28"/>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30"/>
      <c r="EJO41" s="28"/>
      <c r="EJP41" s="29"/>
      <c r="EJQ41" s="29"/>
      <c r="EJR41" s="29"/>
      <c r="EJS41" s="29"/>
      <c r="EJT41" s="29"/>
      <c r="EJU41" s="28"/>
      <c r="EJV41" s="29"/>
      <c r="EJW41" s="29"/>
      <c r="EJX41" s="28"/>
      <c r="EJY41" s="29"/>
      <c r="EJZ41" s="30"/>
      <c r="EKA41" s="28"/>
      <c r="EKB41" s="29"/>
      <c r="EKC41" s="29"/>
      <c r="EKD41" s="29"/>
      <c r="EKE41" s="28"/>
      <c r="EKF41" s="29"/>
      <c r="EKG41" s="29"/>
      <c r="EKH41" s="28"/>
      <c r="EKI41" s="29"/>
      <c r="EKJ41" s="30"/>
      <c r="EKK41" s="28"/>
      <c r="EKL41" s="29"/>
      <c r="EKM41" s="29"/>
      <c r="EKN41" s="29"/>
      <c r="EKO41" s="28"/>
      <c r="EKP41" s="29"/>
      <c r="EKQ41" s="29"/>
      <c r="EKR41" s="28"/>
      <c r="EKS41" s="29"/>
      <c r="EKT41" s="30"/>
      <c r="EKU41" s="28"/>
      <c r="EKV41" s="29"/>
      <c r="EKW41" s="29"/>
      <c r="EKX41" s="29"/>
      <c r="EKY41" s="28"/>
      <c r="EKZ41" s="29"/>
      <c r="ELA41" s="29"/>
      <c r="ELB41" s="28"/>
      <c r="ELC41" s="29"/>
      <c r="ELD41" s="30"/>
      <c r="ELE41" s="28"/>
      <c r="ELF41" s="30"/>
      <c r="ELG41" s="29"/>
      <c r="ELH41" s="28"/>
      <c r="ELI41" s="29"/>
      <c r="ELJ41" s="28"/>
      <c r="ELK41" s="28"/>
      <c r="ELL41" s="28"/>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30"/>
      <c r="EMY41" s="28"/>
      <c r="EMZ41" s="29"/>
      <c r="ENA41" s="29"/>
      <c r="ENB41" s="29"/>
      <c r="ENC41" s="29"/>
      <c r="END41" s="29"/>
      <c r="ENE41" s="28"/>
      <c r="ENF41" s="29"/>
      <c r="ENG41" s="29"/>
      <c r="ENH41" s="28"/>
      <c r="ENI41" s="29"/>
      <c r="ENJ41" s="30"/>
      <c r="ENK41" s="28"/>
      <c r="ENL41" s="29"/>
      <c r="ENM41" s="29"/>
      <c r="ENN41" s="29"/>
      <c r="ENO41" s="28"/>
      <c r="ENP41" s="29"/>
      <c r="ENQ41" s="29"/>
      <c r="ENR41" s="28"/>
      <c r="ENS41" s="29"/>
      <c r="ENT41" s="30"/>
      <c r="ENU41" s="28"/>
      <c r="ENV41" s="29"/>
      <c r="ENW41" s="29"/>
      <c r="ENX41" s="29"/>
      <c r="ENY41" s="28"/>
      <c r="ENZ41" s="29"/>
      <c r="EOA41" s="29"/>
      <c r="EOB41" s="28"/>
      <c r="EOC41" s="29"/>
      <c r="EOD41" s="30"/>
      <c r="EOE41" s="28"/>
      <c r="EOF41" s="29"/>
      <c r="EOG41" s="29"/>
      <c r="EOH41" s="29"/>
      <c r="EOI41" s="28"/>
      <c r="EOJ41" s="29"/>
      <c r="EOK41" s="29"/>
      <c r="EOL41" s="28"/>
      <c r="EOM41" s="29"/>
      <c r="EON41" s="30"/>
      <c r="EOO41" s="28" t="str">
        <f t="shared" si="149"/>
        <v xml:space="preserve"> </v>
      </c>
      <c r="EOP41" s="30"/>
      <c r="EOQ41" s="29"/>
      <c r="EOR41" s="28"/>
      <c r="EOS41" s="29"/>
      <c r="EOT41" s="28"/>
      <c r="EOU41" s="28"/>
      <c r="EOV41" s="28"/>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30"/>
      <c r="EQI41" s="28"/>
      <c r="EQJ41" s="29"/>
      <c r="EQK41" s="29"/>
      <c r="EQL41" s="29"/>
      <c r="EQM41" s="29"/>
      <c r="EQN41" s="29"/>
      <c r="EQO41" s="28"/>
      <c r="EQP41" s="29"/>
      <c r="EQQ41" s="29"/>
      <c r="EQR41" s="28"/>
      <c r="EQS41" s="29"/>
      <c r="EQT41" s="30"/>
      <c r="EQU41" s="28"/>
      <c r="EQV41" s="29"/>
      <c r="EQW41" s="29"/>
      <c r="EQX41" s="29"/>
      <c r="EQY41" s="28"/>
      <c r="EQZ41" s="29"/>
      <c r="ERA41" s="29"/>
      <c r="ERB41" s="28"/>
      <c r="ERC41" s="29"/>
      <c r="ERD41" s="30"/>
      <c r="ERE41" s="28"/>
      <c r="ERF41" s="29"/>
      <c r="ERG41" s="29"/>
      <c r="ERH41" s="29"/>
      <c r="ERI41" s="28"/>
      <c r="ERJ41" s="29"/>
      <c r="ERK41" s="29"/>
      <c r="ERL41" s="28"/>
      <c r="ERM41" s="29"/>
      <c r="ERN41" s="30"/>
      <c r="ERO41" s="28"/>
      <c r="ERP41" s="29"/>
      <c r="ERQ41" s="29"/>
      <c r="ERR41" s="29"/>
      <c r="ERS41" s="28"/>
      <c r="ERT41" s="29"/>
      <c r="ERU41" s="29"/>
      <c r="ERV41" s="28"/>
      <c r="ERW41" s="29"/>
      <c r="ERX41" s="30"/>
      <c r="ERY41" s="28" t="str">
        <f t="shared" si="152"/>
        <v xml:space="preserve"> </v>
      </c>
      <c r="ERZ41" s="30"/>
      <c r="ESA41" s="29"/>
      <c r="ESB41" s="28"/>
      <c r="ESC41" s="29"/>
      <c r="ESD41" s="28"/>
      <c r="ESE41" s="28"/>
      <c r="ESF41" s="28"/>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30"/>
      <c r="ETS41" s="28"/>
      <c r="ETT41" s="29"/>
      <c r="ETU41" s="29"/>
      <c r="ETV41" s="29"/>
      <c r="ETW41" s="29"/>
      <c r="ETX41" s="29"/>
      <c r="ETY41" s="28"/>
      <c r="ETZ41" s="29"/>
      <c r="EUA41" s="29"/>
      <c r="EUB41" s="28"/>
      <c r="EUC41" s="29"/>
      <c r="EUD41" s="30"/>
      <c r="EUE41" s="28"/>
      <c r="EUF41" s="29"/>
      <c r="EUG41" s="29"/>
      <c r="EUH41" s="29"/>
      <c r="EUI41" s="28"/>
      <c r="EUJ41" s="29"/>
      <c r="EUK41" s="29"/>
      <c r="EUL41" s="28"/>
      <c r="EUM41" s="29"/>
      <c r="EUN41" s="30"/>
      <c r="EUO41" s="28"/>
      <c r="EUP41" s="29"/>
      <c r="EUQ41" s="29"/>
      <c r="EUR41" s="29"/>
      <c r="EUS41" s="28"/>
      <c r="EUT41" s="29"/>
      <c r="EUU41" s="29"/>
      <c r="EUV41" s="28"/>
      <c r="EUW41" s="29"/>
      <c r="EUX41" s="30"/>
      <c r="EUY41" s="28"/>
      <c r="EUZ41" s="29"/>
      <c r="EVA41" s="29"/>
      <c r="EVB41" s="29"/>
      <c r="EVC41" s="28"/>
      <c r="EVD41" s="29"/>
      <c r="EVE41" s="29"/>
      <c r="EVF41" s="28"/>
      <c r="EVG41" s="29"/>
      <c r="EVH41" s="30"/>
      <c r="EVI41" s="28" t="str">
        <f t="shared" si="153"/>
        <v xml:space="preserve"> </v>
      </c>
    </row>
    <row r="42" spans="1:3961" x14ac:dyDescent="0.3">
      <c r="A42" s="424" t="s">
        <v>237</v>
      </c>
      <c r="B42" s="58" t="str">
        <f>'REG y VAL POE - AESR - ESR'!B3252</f>
        <v>Aguilera Cisneros Edgar Manuel</v>
      </c>
      <c r="C42" s="57">
        <f>'REG y VAL POE - AESR - ESR'!C3252</f>
        <v>0</v>
      </c>
      <c r="D42" s="56" t="str">
        <f>'REG y VAL POE - AESR - ESR'!D3252</f>
        <v xml:space="preserve"> </v>
      </c>
      <c r="E42" s="57">
        <f>'REG y VAL POE - AESR - ESR'!E3252</f>
        <v>0</v>
      </c>
      <c r="F42" s="56">
        <f>'REG y VAL POE - AESR - ESR'!F3252</f>
        <v>0</v>
      </c>
      <c r="G42" s="59">
        <f>'REG y VAL POE - AESR - ESR'!G3252</f>
        <v>45345</v>
      </c>
      <c r="H42" s="397">
        <f>'REG y VAL POE - AESR - ESR'!H3252</f>
        <v>45710</v>
      </c>
      <c r="I42" s="57" t="str">
        <f>'REG y VAL POE - AESR - ESR'!I3252</f>
        <v>SI</v>
      </c>
      <c r="J42" s="57" t="str">
        <f>'REG y VAL POE - AESR - ESR'!J3252</f>
        <v>Vigente</v>
      </c>
      <c r="K42" s="57" t="str">
        <f>'REG y VAL POE - AESR - ESR'!K3252</f>
        <v>SI</v>
      </c>
      <c r="L42" s="57" t="str">
        <f>'REG y VAL POE - AESR - ESR'!L3252</f>
        <v>Vigente</v>
      </c>
      <c r="M42" s="57" t="str">
        <f>'REG y VAL POE - AESR - ESR'!M3252</f>
        <v>NO</v>
      </c>
      <c r="N42" s="57" t="str">
        <f>'REG y VAL POE - AESR - ESR'!N3252</f>
        <v>SIN FIRMA DE RL-FIRMADA MAL POR EL ESR COMO RL</v>
      </c>
      <c r="O42" s="57" t="str">
        <f>'REG y VAL POE - AESR - ESR'!O3252</f>
        <v>SI</v>
      </c>
      <c r="P42" s="57" t="str">
        <f>'REG y VAL POE - AESR - ESR'!P3252</f>
        <v>SI</v>
      </c>
      <c r="Q42" s="57">
        <f>'REG y VAL POE - AESR - ESR'!Q3252</f>
        <v>0</v>
      </c>
      <c r="R42" s="57" t="str">
        <f>'REG y VAL POE - AESR - ESR'!R3252</f>
        <v>SI</v>
      </c>
      <c r="S42" s="57" t="str">
        <f>'REG y VAL POE - AESR - ESR'!S3252</f>
        <v>SI</v>
      </c>
      <c r="T42" s="57" t="str">
        <f>'REG y VAL POE - AESR - ESR'!T3252</f>
        <v>SI</v>
      </c>
      <c r="U42" s="57" t="str">
        <f>'REG y VAL POE - AESR - ESR'!U3252</f>
        <v>SI</v>
      </c>
      <c r="V42" s="57" t="str">
        <f>'REG y VAL POE - AESR - ESR'!V3252</f>
        <v>SI</v>
      </c>
      <c r="W42" s="57">
        <f>'REG y VAL POE - AESR - ESR'!W3252</f>
        <v>0</v>
      </c>
      <c r="X42" s="57">
        <f>'REG y VAL POE - AESR - ESR'!X3252</f>
        <v>0</v>
      </c>
      <c r="Y42" s="57">
        <f>'REG y VAL POE - AESR - ESR'!Y3252</f>
        <v>0</v>
      </c>
      <c r="Z42" s="57" t="str">
        <f>'REG y VAL POE - AESR - ESR'!Z3252</f>
        <v>SI</v>
      </c>
      <c r="AA42" s="57">
        <f>'REG y VAL POE - AESR - ESR'!AA3252</f>
        <v>0</v>
      </c>
      <c r="AB42" s="57">
        <f>'REG y VAL POE - AESR - ESR'!AB3252</f>
        <v>0</v>
      </c>
      <c r="AC42" s="57">
        <f>'REG y VAL POE - AESR - ESR'!AC3252</f>
        <v>0</v>
      </c>
      <c r="AD42" s="57">
        <f>'REG y VAL POE - AESR - ESR'!AD3252</f>
        <v>0</v>
      </c>
      <c r="AE42" s="57">
        <f>'REG y VAL POE - AESR - ESR'!AE3252</f>
        <v>0</v>
      </c>
      <c r="AF42" s="57" t="str">
        <f>'REG y VAL POE - AESR - ESR'!AF3252</f>
        <v>SI</v>
      </c>
      <c r="AG42" s="57" t="str">
        <f>'REG y VAL POE - AESR - ESR'!AG3252</f>
        <v>SI</v>
      </c>
      <c r="AH42" s="57">
        <f>'REG y VAL POE - AESR - ESR'!AH3252</f>
        <v>0</v>
      </c>
      <c r="AI42" s="57">
        <f>'REG y VAL POE - AESR - ESR'!AI3252</f>
        <v>0</v>
      </c>
      <c r="AJ42" s="57">
        <f>'REG y VAL POE - AESR - ESR'!AJ3252</f>
        <v>0</v>
      </c>
      <c r="AK42" s="57">
        <f>'REG y VAL POE - AESR - ESR'!AK3252</f>
        <v>0</v>
      </c>
      <c r="AL42" s="57">
        <f>'REG y VAL POE - AESR - ESR'!AL3252</f>
        <v>0</v>
      </c>
      <c r="AM42" s="57">
        <f>'REG y VAL POE - AESR - ESR'!AM3252</f>
        <v>0</v>
      </c>
      <c r="AN42" s="57">
        <f>'REG y VAL POE - AESR - ESR'!AN3252</f>
        <v>0</v>
      </c>
      <c r="AO42" s="57">
        <f>'REG y VAL POE - AESR - ESR'!AO3252</f>
        <v>0</v>
      </c>
      <c r="AP42" s="57">
        <f>'REG y VAL POE - AESR - ESR'!AP3252</f>
        <v>0</v>
      </c>
      <c r="AQ42" s="57">
        <f>'REG y VAL POE - AESR - ESR'!AQ3252</f>
        <v>0</v>
      </c>
      <c r="AR42" s="57">
        <f>'REG y VAL POE - AESR - ESR'!AR3252</f>
        <v>0</v>
      </c>
      <c r="AS42" s="57">
        <f>'REG y VAL POE - AESR - ESR'!AS3252</f>
        <v>0</v>
      </c>
      <c r="AT42" s="58" t="str">
        <f>'REG y VAL POE - AESR - ESR'!B3253</f>
        <v>Alfaro Rodriguez Daniel Israel</v>
      </c>
      <c r="AU42" s="57" t="str">
        <f>'REG y VAL POE - AESR - ESR'!C3253</f>
        <v>AESR</v>
      </c>
      <c r="AV42" s="56">
        <f>'REG y VAL POE - AESR - ESR'!D3253</f>
        <v>23157904</v>
      </c>
      <c r="AW42" s="57">
        <f>'REG y VAL POE - AESR - ESR'!E3253</f>
        <v>0</v>
      </c>
      <c r="AX42" s="56">
        <f>'REG y VAL POE - AESR - ESR'!F3253</f>
        <v>0</v>
      </c>
      <c r="AY42" s="59">
        <f>'REG y VAL POE - AESR - ESR'!G3253</f>
        <v>45355</v>
      </c>
      <c r="AZ42" s="397">
        <f>'REG y VAL POE - AESR - ESR'!H3253</f>
        <v>45720</v>
      </c>
      <c r="BA42" s="57" t="str">
        <f>'REG y VAL POE - AESR - ESR'!I3253</f>
        <v>SI</v>
      </c>
      <c r="BB42" s="57" t="str">
        <f>'REG y VAL POE - AESR - ESR'!J3253</f>
        <v>Vigente</v>
      </c>
      <c r="BC42" s="57" t="str">
        <f>'REG y VAL POE - AESR - ESR'!K3253</f>
        <v>SI</v>
      </c>
      <c r="BD42" s="57" t="str">
        <f>'REG y VAL POE - AESR - ESR'!L3253</f>
        <v>Vigente</v>
      </c>
      <c r="BE42" s="57" t="str">
        <f>'REG y VAL POE - AESR - ESR'!M3253</f>
        <v>NO</v>
      </c>
      <c r="BF42" s="57" t="str">
        <f>'REG y VAL POE - AESR - ESR'!N3253</f>
        <v>SIN FIRMA DE RL</v>
      </c>
      <c r="BG42" s="57">
        <f>'REG y VAL POE - AESR - ESR'!O3253</f>
        <v>0</v>
      </c>
      <c r="BH42" s="57">
        <f>'REG y VAL POE - AESR - ESR'!P3253</f>
        <v>0</v>
      </c>
      <c r="BI42" s="57">
        <f>'REG y VAL POE - AESR - ESR'!Q3253</f>
        <v>0</v>
      </c>
      <c r="BJ42" s="57" t="str">
        <f>'REG y VAL POE - AESR - ESR'!R3253</f>
        <v>LICENCIA DE CONDUCIR</v>
      </c>
      <c r="BK42" s="57" t="str">
        <f>'REG y VAL POE - AESR - ESR'!S3253</f>
        <v>SI</v>
      </c>
      <c r="BL42" s="57" t="str">
        <f>'REG y VAL POE - AESR - ESR'!T3253</f>
        <v>SI</v>
      </c>
      <c r="BM42" s="57" t="str">
        <f>'REG y VAL POE - AESR - ESR'!U3253</f>
        <v>SI</v>
      </c>
      <c r="BN42" s="57" t="str">
        <f>'REG y VAL POE - AESR - ESR'!V3253</f>
        <v>SI</v>
      </c>
      <c r="BO42" s="57">
        <f>'REG y VAL POE - AESR - ESR'!W3253</f>
        <v>0</v>
      </c>
      <c r="BP42" s="57">
        <f>'REG y VAL POE - AESR - ESR'!X3253</f>
        <v>0</v>
      </c>
      <c r="BQ42" s="57">
        <f>'REG y VAL POE - AESR - ESR'!Y3253</f>
        <v>0</v>
      </c>
      <c r="BR42" s="57" t="str">
        <f>'REG y VAL POE - AESR - ESR'!Z3253</f>
        <v>SI</v>
      </c>
      <c r="BS42" s="57">
        <f>'REG y VAL POE - AESR - ESR'!AA3253</f>
        <v>0</v>
      </c>
      <c r="BT42" s="57">
        <f>'REG y VAL POE - AESR - ESR'!AB3253</f>
        <v>0</v>
      </c>
      <c r="BU42" s="57">
        <f>'REG y VAL POE - AESR - ESR'!AC3253</f>
        <v>0</v>
      </c>
      <c r="BV42" s="57">
        <f>'REG y VAL POE - AESR - ESR'!AD3253</f>
        <v>0</v>
      </c>
      <c r="BW42" s="57">
        <f>'REG y VAL POE - AESR - ESR'!AE3253</f>
        <v>0</v>
      </c>
      <c r="BX42" s="57" t="str">
        <f>'REG y VAL POE - AESR - ESR'!AF3253</f>
        <v>SI</v>
      </c>
      <c r="BY42" s="57">
        <f>'REG y VAL POE - AESR - ESR'!AG3253</f>
        <v>0</v>
      </c>
      <c r="BZ42" s="57">
        <f>'REG y VAL POE - AESR - ESR'!AH3253</f>
        <v>0</v>
      </c>
      <c r="CA42" s="57">
        <f>'REG y VAL POE - AESR - ESR'!AI3253</f>
        <v>0</v>
      </c>
      <c r="CB42" s="57">
        <f>'REG y VAL POE - AESR - ESR'!AJ3253</f>
        <v>0</v>
      </c>
      <c r="CC42" s="57">
        <f>'REG y VAL POE - AESR - ESR'!AK3253</f>
        <v>0</v>
      </c>
      <c r="CD42" s="57">
        <f>'REG y VAL POE - AESR - ESR'!AL3253</f>
        <v>0</v>
      </c>
      <c r="CE42" s="57">
        <f>'REG y VAL POE - AESR - ESR'!AM3253</f>
        <v>0</v>
      </c>
      <c r="CF42" s="57">
        <f>'REG y VAL POE - AESR - ESR'!AN3253</f>
        <v>0</v>
      </c>
      <c r="CG42" s="57">
        <f>'REG y VAL POE - AESR - ESR'!AO3253</f>
        <v>0</v>
      </c>
      <c r="CH42" s="57">
        <f>'REG y VAL POE - AESR - ESR'!AP3253</f>
        <v>0</v>
      </c>
      <c r="CI42" s="57">
        <f>'REG y VAL POE - AESR - ESR'!AQ3253</f>
        <v>0</v>
      </c>
      <c r="CJ42" s="57" t="str">
        <f>'REG y VAL POE - AESR - ESR'!AR3253</f>
        <v>THSCAN</v>
      </c>
      <c r="CK42" s="57">
        <f>'REG y VAL POE - AESR - ESR'!AS3253</f>
        <v>0</v>
      </c>
      <c r="CL42" s="394" t="str">
        <f>'REG y VAL POE - AESR - ESR'!B3254</f>
        <v>Chavez Bautista Jose Antonio</v>
      </c>
      <c r="CM42" s="57">
        <f>'REG y VAL POE - AESR - ESR'!C3254</f>
        <v>0</v>
      </c>
      <c r="CN42" s="56" t="str">
        <f>'REG y VAL POE - AESR - ESR'!D3254</f>
        <v xml:space="preserve"> </v>
      </c>
      <c r="CO42" s="57">
        <f>'REG y VAL POE - AESR - ESR'!E3254</f>
        <v>0</v>
      </c>
      <c r="CP42" s="56">
        <f>'REG y VAL POE - AESR - ESR'!F3254</f>
        <v>0</v>
      </c>
      <c r="CQ42" s="59">
        <f>'REG y VAL POE - AESR - ESR'!G3254</f>
        <v>45345</v>
      </c>
      <c r="CR42" s="397">
        <f>'REG y VAL POE - AESR - ESR'!H3254</f>
        <v>45710</v>
      </c>
      <c r="CS42" s="57" t="str">
        <f>'REG y VAL POE - AESR - ESR'!I3254</f>
        <v>SI</v>
      </c>
      <c r="CT42" s="57" t="str">
        <f>'REG y VAL POE - AESR - ESR'!J3254</f>
        <v>Vigente</v>
      </c>
      <c r="CU42" s="57" t="str">
        <f>'REG y VAL POE - AESR - ESR'!K3254</f>
        <v>SI</v>
      </c>
      <c r="CV42" s="57" t="str">
        <f>'REG y VAL POE - AESR - ESR'!L3254</f>
        <v>Vigente</v>
      </c>
      <c r="CW42" s="57" t="str">
        <f>'REG y VAL POE - AESR - ESR'!M3254</f>
        <v>NO</v>
      </c>
      <c r="CX42" s="57" t="str">
        <f>'REG y VAL POE - AESR - ESR'!N3254</f>
        <v>SIN FIRMA DE RL-FIRMADA MAL POR EL ESR COMO RL</v>
      </c>
      <c r="CY42" s="57">
        <f>'REG y VAL POE - AESR - ESR'!O3254</f>
        <v>0</v>
      </c>
      <c r="CZ42" s="57">
        <f>'REG y VAL POE - AESR - ESR'!P3254</f>
        <v>0</v>
      </c>
      <c r="DA42" s="57">
        <f>'REG y VAL POE - AESR - ESR'!Q3254</f>
        <v>0</v>
      </c>
      <c r="DB42" s="57">
        <f>'REG y VAL POE - AESR - ESR'!R3254</f>
        <v>0</v>
      </c>
      <c r="DC42" s="57" t="str">
        <f>'REG y VAL POE - AESR - ESR'!S3254</f>
        <v>SI</v>
      </c>
      <c r="DD42" s="57" t="str">
        <f>'REG y VAL POE - AESR - ESR'!T3254</f>
        <v>SI</v>
      </c>
      <c r="DE42" s="57" t="str">
        <f>'REG y VAL POE - AESR - ESR'!U3254</f>
        <v>SI</v>
      </c>
      <c r="DF42" s="57" t="str">
        <f>'REG y VAL POE - AESR - ESR'!V3254</f>
        <v>SI</v>
      </c>
      <c r="DG42" s="57">
        <f>'REG y VAL POE - AESR - ESR'!W3254</f>
        <v>0</v>
      </c>
      <c r="DH42" s="57">
        <f>'REG y VAL POE - AESR - ESR'!X3254</f>
        <v>0</v>
      </c>
      <c r="DI42" s="57">
        <f>'REG y VAL POE - AESR - ESR'!Y3254</f>
        <v>0</v>
      </c>
      <c r="DJ42" s="57" t="str">
        <f>'REG y VAL POE - AESR - ESR'!Z3254</f>
        <v>SI</v>
      </c>
      <c r="DK42" s="57">
        <f>'REG y VAL POE - AESR - ESR'!AA3254</f>
        <v>0</v>
      </c>
      <c r="DL42" s="57">
        <f>'REG y VAL POE - AESR - ESR'!AB3254</f>
        <v>0</v>
      </c>
      <c r="DM42" s="57">
        <f>'REG y VAL POE - AESR - ESR'!AC3254</f>
        <v>0</v>
      </c>
      <c r="DN42" s="57">
        <f>'REG y VAL POE - AESR - ESR'!AD3254</f>
        <v>0</v>
      </c>
      <c r="DO42" s="57">
        <f>'REG y VAL POE - AESR - ESR'!AE3254</f>
        <v>0</v>
      </c>
      <c r="DP42" s="57" t="str">
        <f>'REG y VAL POE - AESR - ESR'!AF3254</f>
        <v>SI</v>
      </c>
      <c r="DQ42" s="57" t="str">
        <f>'REG y VAL POE - AESR - ESR'!AG3254</f>
        <v>SI</v>
      </c>
      <c r="DR42" s="57">
        <f>'REG y VAL POE - AESR - ESR'!AH3254</f>
        <v>0</v>
      </c>
      <c r="DS42" s="57">
        <f>'REG y VAL POE - AESR - ESR'!AI3254</f>
        <v>0</v>
      </c>
      <c r="DT42" s="57">
        <f>'REG y VAL POE - AESR - ESR'!AJ3254</f>
        <v>0</v>
      </c>
      <c r="DU42" s="57">
        <f>'REG y VAL POE - AESR - ESR'!AK3254</f>
        <v>0</v>
      </c>
      <c r="DV42" s="57">
        <f>'REG y VAL POE - AESR - ESR'!AL3254</f>
        <v>0</v>
      </c>
      <c r="DW42" s="57">
        <f>'REG y VAL POE - AESR - ESR'!AM3254</f>
        <v>0</v>
      </c>
      <c r="DX42" s="57">
        <f>'REG y VAL POE - AESR - ESR'!AN3254</f>
        <v>0</v>
      </c>
      <c r="DY42" s="57">
        <f>'REG y VAL POE - AESR - ESR'!AO3254</f>
        <v>0</v>
      </c>
      <c r="DZ42" s="57">
        <f>'REG y VAL POE - AESR - ESR'!AP3254</f>
        <v>0</v>
      </c>
      <c r="EA42" s="57">
        <f>'REG y VAL POE - AESR - ESR'!AQ3254</f>
        <v>0</v>
      </c>
      <c r="EB42" s="57">
        <f>'REG y VAL POE - AESR - ESR'!AR3254</f>
        <v>0</v>
      </c>
      <c r="EC42" s="57">
        <f>'REG y VAL POE - AESR - ESR'!AS3254</f>
        <v>0</v>
      </c>
      <c r="ED42" s="58" t="str">
        <f>'REG y VAL POE - AESR - ESR'!B3255</f>
        <v>Del Angel Hernandez Juan Manuel</v>
      </c>
      <c r="EE42" s="57" t="str">
        <f>'REG y VAL POE - AESR - ESR'!C3255</f>
        <v>ESR</v>
      </c>
      <c r="EF42" s="56">
        <f>'REG y VAL POE - AESR - ESR'!D3255</f>
        <v>23202224</v>
      </c>
      <c r="EG42" s="57">
        <f>'REG y VAL POE - AESR - ESR'!E3255</f>
        <v>0</v>
      </c>
      <c r="EH42" s="56">
        <f>'REG y VAL POE - AESR - ESR'!F3255</f>
        <v>0</v>
      </c>
      <c r="EI42" s="59">
        <f>'REG y VAL POE - AESR - ESR'!G3255</f>
        <v>45435</v>
      </c>
      <c r="EJ42" s="397">
        <f>'REG y VAL POE - AESR - ESR'!H3255</f>
        <v>45800</v>
      </c>
      <c r="EK42" s="57" t="str">
        <f>'REG y VAL POE - AESR - ESR'!I3255</f>
        <v>SI</v>
      </c>
      <c r="EL42" s="57" t="str">
        <f>'REG y VAL POE - AESR - ESR'!J3255</f>
        <v>Vigente</v>
      </c>
      <c r="EM42" s="57" t="str">
        <f>'REG y VAL POE - AESR - ESR'!K3255</f>
        <v>SI</v>
      </c>
      <c r="EN42" s="57" t="str">
        <f>'REG y VAL POE - AESR - ESR'!L3255</f>
        <v>Vigente</v>
      </c>
      <c r="EO42" s="57" t="str">
        <f>'REG y VAL POE - AESR - ESR'!M3255</f>
        <v>NO</v>
      </c>
      <c r="EP42" s="57" t="str">
        <f>'REG y VAL POE - AESR - ESR'!N3255</f>
        <v>SIN FIRMA DE RL</v>
      </c>
      <c r="EQ42" s="57" t="str">
        <f>'REG y VAL POE - AESR - ESR'!O3255</f>
        <v>SI</v>
      </c>
      <c r="ER42" s="57">
        <f>'REG y VAL POE - AESR - ESR'!P3255</f>
        <v>0</v>
      </c>
      <c r="ES42" s="57" t="str">
        <f>'REG y VAL POE - AESR - ESR'!Q3255</f>
        <v>SI</v>
      </c>
      <c r="ET42" s="57" t="str">
        <f>'REG y VAL POE - AESR - ESR'!R3255</f>
        <v>SI</v>
      </c>
      <c r="EU42" s="57" t="str">
        <f>'REG y VAL POE - AESR - ESR'!S3255</f>
        <v>SI</v>
      </c>
      <c r="EV42" s="57" t="str">
        <f>'REG y VAL POE - AESR - ESR'!T3255</f>
        <v>SI</v>
      </c>
      <c r="EW42" s="57" t="str">
        <f>'REG y VAL POE - AESR - ESR'!U3255</f>
        <v>SI</v>
      </c>
      <c r="EX42" s="57" t="str">
        <f>'REG y VAL POE - AESR - ESR'!V3255</f>
        <v>SI</v>
      </c>
      <c r="EY42" s="57">
        <f>'REG y VAL POE - AESR - ESR'!W3255</f>
        <v>0</v>
      </c>
      <c r="EZ42" s="57">
        <f>'REG y VAL POE - AESR - ESR'!X3255</f>
        <v>0</v>
      </c>
      <c r="FA42" s="57">
        <f>'REG y VAL POE - AESR - ESR'!Y3255</f>
        <v>0</v>
      </c>
      <c r="FB42" s="57" t="str">
        <f>'REG y VAL POE - AESR - ESR'!Z3255</f>
        <v>SI</v>
      </c>
      <c r="FC42" s="57">
        <f>'REG y VAL POE - AESR - ESR'!AA3255</f>
        <v>0</v>
      </c>
      <c r="FD42" s="57">
        <f>'REG y VAL POE - AESR - ESR'!AB3255</f>
        <v>0</v>
      </c>
      <c r="FE42" s="57">
        <f>'REG y VAL POE - AESR - ESR'!AC3255</f>
        <v>0</v>
      </c>
      <c r="FF42" s="57">
        <f>'REG y VAL POE - AESR - ESR'!AD3255</f>
        <v>0</v>
      </c>
      <c r="FG42" s="57">
        <f>'REG y VAL POE - AESR - ESR'!AE3255</f>
        <v>0</v>
      </c>
      <c r="FH42" s="57" t="str">
        <f>'REG y VAL POE - AESR - ESR'!AF3255</f>
        <v>SI</v>
      </c>
      <c r="FI42" s="57">
        <f>'REG y VAL POE - AESR - ESR'!AG3255</f>
        <v>0</v>
      </c>
      <c r="FJ42" s="57">
        <f>'REG y VAL POE - AESR - ESR'!AH3255</f>
        <v>0</v>
      </c>
      <c r="FK42" s="57">
        <f>'REG y VAL POE - AESR - ESR'!AI3255</f>
        <v>0</v>
      </c>
      <c r="FL42" s="57">
        <f>'REG y VAL POE - AESR - ESR'!AJ3255</f>
        <v>0</v>
      </c>
      <c r="FM42" s="57">
        <f>'REG y VAL POE - AESR - ESR'!AK3255</f>
        <v>0</v>
      </c>
      <c r="FN42" s="57">
        <f>'REG y VAL POE - AESR - ESR'!AL3255</f>
        <v>0</v>
      </c>
      <c r="FO42" s="57">
        <f>'REG y VAL POE - AESR - ESR'!AM3255</f>
        <v>0</v>
      </c>
      <c r="FP42" s="57">
        <f>'REG y VAL POE - AESR - ESR'!AN3255</f>
        <v>0</v>
      </c>
      <c r="FQ42" s="57">
        <f>'REG y VAL POE - AESR - ESR'!AO3255</f>
        <v>0</v>
      </c>
      <c r="FR42" s="57" t="str">
        <f>'REG y VAL POE - AESR - ESR'!AP3255</f>
        <v>SI</v>
      </c>
      <c r="FS42" s="57">
        <f>'REG y VAL POE - AESR - ESR'!AQ3255</f>
        <v>0</v>
      </c>
      <c r="FT42" s="57" t="str">
        <f>'REG y VAL POE - AESR - ESR'!AR3255</f>
        <v>THSCAN</v>
      </c>
      <c r="FU42" s="57">
        <f>'REG y VAL POE - AESR - ESR'!AS3255</f>
        <v>0</v>
      </c>
      <c r="FV42" s="58" t="str">
        <f>'REG y VAL POE - AESR - ESR'!B3256</f>
        <v xml:space="preserve">Hernandez Gonzalez Fabiola </v>
      </c>
      <c r="FW42" s="57" t="str">
        <f>'REG y VAL POE - AESR - ESR'!C3256</f>
        <v>Sin Registro</v>
      </c>
      <c r="FX42" s="56">
        <f>'REG y VAL POE - AESR - ESR'!D3256</f>
        <v>23209535</v>
      </c>
      <c r="FY42" s="57">
        <f>'REG y VAL POE - AESR - ESR'!E3256</f>
        <v>0</v>
      </c>
      <c r="FZ42" s="56">
        <f>'REG y VAL POE - AESR - ESR'!F3256</f>
        <v>0</v>
      </c>
      <c r="GA42" s="59">
        <f>'REG y VAL POE - AESR - ESR'!G3256</f>
        <v>0</v>
      </c>
      <c r="GB42" s="397">
        <f>'REG y VAL POE - AESR - ESR'!H3256</f>
        <v>0</v>
      </c>
      <c r="GC42" s="57">
        <f>'REG y VAL POE - AESR - ESR'!I3256</f>
        <v>0</v>
      </c>
      <c r="GD42" s="57">
        <f>'REG y VAL POE - AESR - ESR'!J3256</f>
        <v>0</v>
      </c>
      <c r="GE42" s="57">
        <f>'REG y VAL POE - AESR - ESR'!K3256</f>
        <v>0</v>
      </c>
      <c r="GF42" s="57">
        <f>'REG y VAL POE - AESR - ESR'!L3256</f>
        <v>0</v>
      </c>
      <c r="GG42" s="57">
        <f>'REG y VAL POE - AESR - ESR'!M3256</f>
        <v>0</v>
      </c>
      <c r="GH42" s="57">
        <f>'REG y VAL POE - AESR - ESR'!N3256</f>
        <v>0</v>
      </c>
      <c r="GI42" s="57">
        <f>'REG y VAL POE - AESR - ESR'!O3256</f>
        <v>0</v>
      </c>
      <c r="GJ42" s="57">
        <f>'REG y VAL POE - AESR - ESR'!P3256</f>
        <v>0</v>
      </c>
      <c r="GK42" s="57">
        <f>'REG y VAL POE - AESR - ESR'!Q3256</f>
        <v>0</v>
      </c>
      <c r="GL42" s="57">
        <f>'REG y VAL POE - AESR - ESR'!R3256</f>
        <v>0</v>
      </c>
      <c r="GM42" s="57">
        <f>'REG y VAL POE - AESR - ESR'!S3256</f>
        <v>0</v>
      </c>
      <c r="GN42" s="57">
        <f>'REG y VAL POE - AESR - ESR'!T3256</f>
        <v>0</v>
      </c>
      <c r="GO42" s="57">
        <f>'REG y VAL POE - AESR - ESR'!U3256</f>
        <v>0</v>
      </c>
      <c r="GP42" s="57">
        <f>'REG y VAL POE - AESR - ESR'!V3256</f>
        <v>0</v>
      </c>
      <c r="GQ42" s="57">
        <f>'REG y VAL POE - AESR - ESR'!W3256</f>
        <v>0</v>
      </c>
      <c r="GR42" s="57">
        <f>'REG y VAL POE - AESR - ESR'!X3256</f>
        <v>0</v>
      </c>
      <c r="GS42" s="57">
        <f>'REG y VAL POE - AESR - ESR'!Y3256</f>
        <v>0</v>
      </c>
      <c r="GT42" s="57">
        <f>'REG y VAL POE - AESR - ESR'!Z3256</f>
        <v>0</v>
      </c>
      <c r="GU42" s="57">
        <f>'REG y VAL POE - AESR - ESR'!AA3256</f>
        <v>0</v>
      </c>
      <c r="GV42" s="57">
        <f>'REG y VAL POE - AESR - ESR'!AB3256</f>
        <v>0</v>
      </c>
      <c r="GW42" s="57">
        <f>'REG y VAL POE - AESR - ESR'!AC3256</f>
        <v>0</v>
      </c>
      <c r="GX42" s="57">
        <f>'REG y VAL POE - AESR - ESR'!AD3256</f>
        <v>0</v>
      </c>
      <c r="GY42" s="57">
        <f>'REG y VAL POE - AESR - ESR'!AE3256</f>
        <v>0</v>
      </c>
      <c r="GZ42" s="57">
        <f>'REG y VAL POE - AESR - ESR'!AF3256</f>
        <v>0</v>
      </c>
      <c r="HA42" s="57">
        <f>'REG y VAL POE - AESR - ESR'!AG3256</f>
        <v>0</v>
      </c>
      <c r="HB42" s="57">
        <f>'REG y VAL POE - AESR - ESR'!AH3256</f>
        <v>0</v>
      </c>
      <c r="HC42" s="57">
        <f>'REG y VAL POE - AESR - ESR'!AI3256</f>
        <v>0</v>
      </c>
      <c r="HD42" s="57">
        <f>'REG y VAL POE - AESR - ESR'!AJ3256</f>
        <v>0</v>
      </c>
      <c r="HE42" s="57">
        <f>'REG y VAL POE - AESR - ESR'!AK3256</f>
        <v>0</v>
      </c>
      <c r="HF42" s="57">
        <f>'REG y VAL POE - AESR - ESR'!AL3256</f>
        <v>0</v>
      </c>
      <c r="HG42" s="57">
        <f>'REG y VAL POE - AESR - ESR'!AM3256</f>
        <v>0</v>
      </c>
      <c r="HH42" s="57">
        <f>'REG y VAL POE - AESR - ESR'!AN3256</f>
        <v>0</v>
      </c>
      <c r="HI42" s="57">
        <f>'REG y VAL POE - AESR - ESR'!AO3256</f>
        <v>0</v>
      </c>
      <c r="HJ42" s="57">
        <f>'REG y VAL POE - AESR - ESR'!AP3256</f>
        <v>0</v>
      </c>
      <c r="HK42" s="57">
        <f>'REG y VAL POE - AESR - ESR'!AQ3256</f>
        <v>0</v>
      </c>
      <c r="HL42" s="57">
        <f>'REG y VAL POE - AESR - ESR'!AR3256</f>
        <v>0</v>
      </c>
      <c r="HM42" s="57">
        <f>'REG y VAL POE - AESR - ESR'!AS3256</f>
        <v>0</v>
      </c>
      <c r="HN42" s="58" t="str">
        <f>'REG y VAL POE - AESR - ESR'!B3257</f>
        <v>Lopez Velarde Maria Juana</v>
      </c>
      <c r="HO42" s="57" t="str">
        <f>'REG y VAL POE - AESR - ESR'!C3257</f>
        <v>POE</v>
      </c>
      <c r="HP42" s="56" t="str">
        <f>'REG y VAL POE - AESR - ESR'!D3257</f>
        <v xml:space="preserve"> </v>
      </c>
      <c r="HQ42" s="57">
        <f>'REG y VAL POE - AESR - ESR'!E3257</f>
        <v>0</v>
      </c>
      <c r="HR42" s="56">
        <f>'REG y VAL POE - AESR - ESR'!F3257</f>
        <v>0</v>
      </c>
      <c r="HS42" s="59">
        <f>'REG y VAL POE - AESR - ESR'!G3257</f>
        <v>45345</v>
      </c>
      <c r="HT42" s="397">
        <f>'REG y VAL POE - AESR - ESR'!H3257</f>
        <v>45710</v>
      </c>
      <c r="HU42" s="57" t="str">
        <f>'REG y VAL POE - AESR - ESR'!I3257</f>
        <v>SI</v>
      </c>
      <c r="HV42" s="57" t="str">
        <f>'REG y VAL POE - AESR - ESR'!J3257</f>
        <v>Vigente</v>
      </c>
      <c r="HW42" s="57" t="str">
        <f>'REG y VAL POE - AESR - ESR'!K3257</f>
        <v>SI</v>
      </c>
      <c r="HX42" s="57" t="str">
        <f>'REG y VAL POE - AESR - ESR'!L3257</f>
        <v>Vigente</v>
      </c>
      <c r="HY42" s="57" t="str">
        <f>'REG y VAL POE - AESR - ESR'!M3257</f>
        <v>NO</v>
      </c>
      <c r="HZ42" s="57" t="str">
        <f>'REG y VAL POE - AESR - ESR'!N3257</f>
        <v>SIN FIRMA DE RL-SIN FIRMA Y CEDULA DE MEDICO-APENDICE C NO LLENO</v>
      </c>
      <c r="IA42" s="57" t="str">
        <f>'REG y VAL POE - AESR - ESR'!O3257</f>
        <v>CERTIFICADO</v>
      </c>
      <c r="IB42" s="57">
        <f>'REG y VAL POE - AESR - ESR'!P3257</f>
        <v>0</v>
      </c>
      <c r="IC42" s="57" t="str">
        <f>'REG y VAL POE - AESR - ESR'!Q3257</f>
        <v>SI</v>
      </c>
      <c r="ID42" s="57">
        <f>'REG y VAL POE - AESR - ESR'!R3257</f>
        <v>0</v>
      </c>
      <c r="IE42" s="57" t="str">
        <f>'REG y VAL POE - AESR - ESR'!S3257</f>
        <v>BORROSO</v>
      </c>
      <c r="IF42" s="57" t="str">
        <f>'REG y VAL POE - AESR - ESR'!T3257</f>
        <v>NO</v>
      </c>
      <c r="IG42" s="57" t="str">
        <f>'REG y VAL POE - AESR - ESR'!U3257</f>
        <v>NO</v>
      </c>
      <c r="IH42" s="57" t="str">
        <f>'REG y VAL POE - AESR - ESR'!V3257</f>
        <v>SI</v>
      </c>
      <c r="II42" s="57">
        <f>'REG y VAL POE - AESR - ESR'!W3257</f>
        <v>0</v>
      </c>
      <c r="IJ42" s="57">
        <f>'REG y VAL POE - AESR - ESR'!X3257</f>
        <v>0</v>
      </c>
      <c r="IK42" s="57">
        <f>'REG y VAL POE - AESR - ESR'!Y3257</f>
        <v>0</v>
      </c>
      <c r="IL42" s="57" t="str">
        <f>'REG y VAL POE - AESR - ESR'!Z3257</f>
        <v>SI</v>
      </c>
      <c r="IM42" s="57">
        <f>'REG y VAL POE - AESR - ESR'!AA3257</f>
        <v>0</v>
      </c>
      <c r="IN42" s="57">
        <f>'REG y VAL POE - AESR - ESR'!AB3257</f>
        <v>0</v>
      </c>
      <c r="IO42" s="57">
        <f>'REG y VAL POE - AESR - ESR'!AC3257</f>
        <v>0</v>
      </c>
      <c r="IP42" s="57">
        <f>'REG y VAL POE - AESR - ESR'!AD3257</f>
        <v>0</v>
      </c>
      <c r="IQ42" s="57">
        <f>'REG y VAL POE - AESR - ESR'!AE3257</f>
        <v>0</v>
      </c>
      <c r="IR42" s="57" t="str">
        <f>'REG y VAL POE - AESR - ESR'!AF3257</f>
        <v>SI</v>
      </c>
      <c r="IS42" s="57">
        <f>'REG y VAL POE - AESR - ESR'!AG3257</f>
        <v>0</v>
      </c>
      <c r="IT42" s="57">
        <f>'REG y VAL POE - AESR - ESR'!AH3257</f>
        <v>0</v>
      </c>
      <c r="IU42" s="57">
        <f>'REG y VAL POE - AESR - ESR'!AI3257</f>
        <v>0</v>
      </c>
      <c r="IV42" s="57">
        <f>'REG y VAL POE - AESR - ESR'!AJ3257</f>
        <v>0</v>
      </c>
      <c r="IW42" s="57">
        <f>'REG y VAL POE - AESR - ESR'!AK3257</f>
        <v>0</v>
      </c>
      <c r="IX42" s="57">
        <f>'REG y VAL POE - AESR - ESR'!AL3257</f>
        <v>0</v>
      </c>
      <c r="IY42" s="57">
        <f>'REG y VAL POE - AESR - ESR'!AM3257</f>
        <v>0</v>
      </c>
      <c r="IZ42" s="57">
        <f>'REG y VAL POE - AESR - ESR'!AN3257</f>
        <v>0</v>
      </c>
      <c r="JA42" s="57">
        <f>'REG y VAL POE - AESR - ESR'!AO3257</f>
        <v>0</v>
      </c>
      <c r="JB42" s="57">
        <f>'REG y VAL POE - AESR - ESR'!AP3257</f>
        <v>0</v>
      </c>
      <c r="JC42" s="57">
        <f>'REG y VAL POE - AESR - ESR'!AQ3257</f>
        <v>0</v>
      </c>
      <c r="JD42" s="57" t="str">
        <f>'REG y VAL POE - AESR - ESR'!AR3257</f>
        <v>THSCAN</v>
      </c>
      <c r="JE42" s="57">
        <f>'REG y VAL POE - AESR - ESR'!AS3257</f>
        <v>0</v>
      </c>
      <c r="JF42" s="58" t="str">
        <f>'REG y VAL POE - AESR - ESR'!B3258</f>
        <v>Perez Vazquez Erika</v>
      </c>
      <c r="JG42" s="57" t="str">
        <f>'REG y VAL POE - AESR - ESR'!C3258</f>
        <v>POE</v>
      </c>
      <c r="JH42" s="56">
        <f>'REG y VAL POE - AESR - ESR'!D3258</f>
        <v>23137390</v>
      </c>
      <c r="JI42" s="57">
        <f>'REG y VAL POE - AESR - ESR'!E3258</f>
        <v>0</v>
      </c>
      <c r="JJ42" s="56">
        <f>'REG y VAL POE - AESR - ESR'!F3258</f>
        <v>0</v>
      </c>
      <c r="JK42" s="59">
        <f>'REG y VAL POE - AESR - ESR'!G3258</f>
        <v>45345</v>
      </c>
      <c r="JL42" s="397">
        <f>'REG y VAL POE - AESR - ESR'!H3258</f>
        <v>45710</v>
      </c>
      <c r="JM42" s="57" t="str">
        <f>'REG y VAL POE - AESR - ESR'!I3258</f>
        <v>SI</v>
      </c>
      <c r="JN42" s="57" t="str">
        <f>'REG y VAL POE - AESR - ESR'!J3258</f>
        <v>Vigente</v>
      </c>
      <c r="JO42" s="57" t="str">
        <f>'REG y VAL POE - AESR - ESR'!K3258</f>
        <v>SI</v>
      </c>
      <c r="JP42" s="57" t="str">
        <f>'REG y VAL POE - AESR - ESR'!L3258</f>
        <v>Vigente</v>
      </c>
      <c r="JQ42" s="57" t="str">
        <f>'REG y VAL POE - AESR - ESR'!M3258</f>
        <v>NO</v>
      </c>
      <c r="JR42" s="57" t="str">
        <f>'REG y VAL POE - AESR - ESR'!N3258</f>
        <v>SIN FIRMA DE RL-SIN FIRMA Y CEDULA DE MEDICO-APENDICE C NO LLENO</v>
      </c>
      <c r="JS42" s="57" t="str">
        <f>'REG y VAL POE - AESR - ESR'!O3258</f>
        <v>SI</v>
      </c>
      <c r="JT42" s="57">
        <f>'REG y VAL POE - AESR - ESR'!P3258</f>
        <v>0</v>
      </c>
      <c r="JU42" s="57" t="str">
        <f>'REG y VAL POE - AESR - ESR'!Q3258</f>
        <v>SI</v>
      </c>
      <c r="JV42" s="57" t="str">
        <f>'REG y VAL POE - AESR - ESR'!R3258</f>
        <v>SI</v>
      </c>
      <c r="JW42" s="57" t="str">
        <f>'REG y VAL POE - AESR - ESR'!S3258</f>
        <v>SI</v>
      </c>
      <c r="JX42" s="57" t="str">
        <f>'REG y VAL POE - AESR - ESR'!T3258</f>
        <v>SI</v>
      </c>
      <c r="JY42" s="57" t="str">
        <f>'REG y VAL POE - AESR - ESR'!U3258</f>
        <v>SI</v>
      </c>
      <c r="JZ42" s="57" t="str">
        <f>'REG y VAL POE - AESR - ESR'!V3258</f>
        <v>SI</v>
      </c>
      <c r="KA42" s="57">
        <f>'REG y VAL POE - AESR - ESR'!W3258</f>
        <v>0</v>
      </c>
      <c r="KB42" s="57">
        <f>'REG y VAL POE - AESR - ESR'!X3258</f>
        <v>0</v>
      </c>
      <c r="KC42" s="57">
        <f>'REG y VAL POE - AESR - ESR'!Y3258</f>
        <v>0</v>
      </c>
      <c r="KD42" s="57" t="str">
        <f>'REG y VAL POE - AESR - ESR'!Z3258</f>
        <v>SI</v>
      </c>
      <c r="KE42" s="57">
        <f>'REG y VAL POE - AESR - ESR'!AA3258</f>
        <v>0</v>
      </c>
      <c r="KF42" s="57">
        <f>'REG y VAL POE - AESR - ESR'!AB3258</f>
        <v>0</v>
      </c>
      <c r="KG42" s="57">
        <f>'REG y VAL POE - AESR - ESR'!AC3258</f>
        <v>0</v>
      </c>
      <c r="KH42" s="57">
        <f>'REG y VAL POE - AESR - ESR'!AD3258</f>
        <v>0</v>
      </c>
      <c r="KI42" s="57">
        <f>'REG y VAL POE - AESR - ESR'!AE3258</f>
        <v>0</v>
      </c>
      <c r="KJ42" s="57" t="str">
        <f>'REG y VAL POE - AESR - ESR'!AF3258</f>
        <v>SI</v>
      </c>
      <c r="KK42" s="57">
        <f>'REG y VAL POE - AESR - ESR'!AG3258</f>
        <v>0</v>
      </c>
      <c r="KL42" s="57">
        <f>'REG y VAL POE - AESR - ESR'!AH3258</f>
        <v>0</v>
      </c>
      <c r="KM42" s="57">
        <f>'REG y VAL POE - AESR - ESR'!AI3258</f>
        <v>0</v>
      </c>
      <c r="KN42" s="57">
        <f>'REG y VAL POE - AESR - ESR'!AJ3258</f>
        <v>0</v>
      </c>
      <c r="KO42" s="57">
        <f>'REG y VAL POE - AESR - ESR'!AK3258</f>
        <v>0</v>
      </c>
      <c r="KP42" s="57">
        <f>'REG y VAL POE - AESR - ESR'!AL3258</f>
        <v>0</v>
      </c>
      <c r="KQ42" s="57">
        <f>'REG y VAL POE - AESR - ESR'!AM3258</f>
        <v>0</v>
      </c>
      <c r="KR42" s="57">
        <f>'REG y VAL POE - AESR - ESR'!AN3258</f>
        <v>0</v>
      </c>
      <c r="KS42" s="57">
        <f>'REG y VAL POE - AESR - ESR'!AO3258</f>
        <v>0</v>
      </c>
      <c r="KT42" s="57">
        <f>'REG y VAL POE - AESR - ESR'!AP3258</f>
        <v>0</v>
      </c>
      <c r="KU42" s="57">
        <f>'REG y VAL POE - AESR - ESR'!AQ3258</f>
        <v>0</v>
      </c>
      <c r="KV42" s="57" t="str">
        <f>'REG y VAL POE - AESR - ESR'!AR3258</f>
        <v>THSCAN</v>
      </c>
      <c r="KW42" s="57">
        <f>'REG y VAL POE - AESR - ESR'!AS3258</f>
        <v>0</v>
      </c>
      <c r="KX42" s="58">
        <f>'REG y VAL POE - AESR - ESR'!B3259</f>
        <v>0</v>
      </c>
      <c r="KY42" s="57">
        <f>'REG y VAL POE - AESR - ESR'!C3259</f>
        <v>0</v>
      </c>
      <c r="KZ42" s="56">
        <f>'REG y VAL POE - AESR - ESR'!D3259</f>
        <v>0</v>
      </c>
      <c r="LA42" s="57">
        <f>'REG y VAL POE - AESR - ESR'!E3259</f>
        <v>0</v>
      </c>
      <c r="LB42" s="56">
        <f>'REG y VAL POE - AESR - ESR'!F3259</f>
        <v>0</v>
      </c>
      <c r="LC42" s="59">
        <f>'REG y VAL POE - AESR - ESR'!G3259</f>
        <v>0</v>
      </c>
      <c r="LD42" s="397">
        <f>'REG y VAL POE - AESR - ESR'!H3259</f>
        <v>0</v>
      </c>
      <c r="LE42" s="57">
        <f>'REG y VAL POE - AESR - ESR'!I3259</f>
        <v>0</v>
      </c>
      <c r="LF42" s="57">
        <f>'REG y VAL POE - AESR - ESR'!J3259</f>
        <v>0</v>
      </c>
      <c r="LG42" s="57">
        <f>'REG y VAL POE - AESR - ESR'!K3259</f>
        <v>0</v>
      </c>
      <c r="LH42" s="57">
        <f>'REG y VAL POE - AESR - ESR'!L3259</f>
        <v>0</v>
      </c>
      <c r="LI42" s="57">
        <f>'REG y VAL POE - AESR - ESR'!M3259</f>
        <v>0</v>
      </c>
      <c r="LJ42" s="57">
        <f>'REG y VAL POE - AESR - ESR'!N3259</f>
        <v>0</v>
      </c>
      <c r="LK42" s="57">
        <f>'REG y VAL POE - AESR - ESR'!O3259</f>
        <v>0</v>
      </c>
      <c r="LL42" s="57">
        <f>'REG y VAL POE - AESR - ESR'!P3259</f>
        <v>0</v>
      </c>
      <c r="LM42" s="57">
        <f>'REG y VAL POE - AESR - ESR'!Q3259</f>
        <v>0</v>
      </c>
      <c r="LN42" s="57">
        <f>'REG y VAL POE - AESR - ESR'!R3259</f>
        <v>0</v>
      </c>
      <c r="LO42" s="57">
        <f>'REG y VAL POE - AESR - ESR'!S3259</f>
        <v>0</v>
      </c>
      <c r="LP42" s="57">
        <f>'REG y VAL POE - AESR - ESR'!T3259</f>
        <v>0</v>
      </c>
      <c r="LQ42" s="57">
        <f>'REG y VAL POE - AESR - ESR'!U3259</f>
        <v>0</v>
      </c>
      <c r="LR42" s="57">
        <f>'REG y VAL POE - AESR - ESR'!V3259</f>
        <v>0</v>
      </c>
      <c r="LS42" s="57">
        <f>'REG y VAL POE - AESR - ESR'!W3259</f>
        <v>0</v>
      </c>
      <c r="LT42" s="57">
        <f>'REG y VAL POE - AESR - ESR'!X3259</f>
        <v>0</v>
      </c>
      <c r="LU42" s="57">
        <f>'REG y VAL POE - AESR - ESR'!Y3259</f>
        <v>0</v>
      </c>
      <c r="LV42" s="57">
        <f>'REG y VAL POE - AESR - ESR'!Z3259</f>
        <v>0</v>
      </c>
      <c r="LW42" s="57">
        <f>'REG y VAL POE - AESR - ESR'!AA3259</f>
        <v>0</v>
      </c>
      <c r="LX42" s="57">
        <f>'REG y VAL POE - AESR - ESR'!AB3259</f>
        <v>0</v>
      </c>
      <c r="LY42" s="57">
        <f>'REG y VAL POE - AESR - ESR'!AC3259</f>
        <v>0</v>
      </c>
      <c r="LZ42" s="57">
        <f>'REG y VAL POE - AESR - ESR'!AD3259</f>
        <v>0</v>
      </c>
      <c r="MA42" s="57">
        <f>'REG y VAL POE - AESR - ESR'!AE3259</f>
        <v>0</v>
      </c>
      <c r="MB42" s="57">
        <f>'REG y VAL POE - AESR - ESR'!AF3259</f>
        <v>0</v>
      </c>
      <c r="MC42" s="57">
        <f>'REG y VAL POE - AESR - ESR'!AG3259</f>
        <v>0</v>
      </c>
      <c r="MD42" s="57">
        <f>'REG y VAL POE - AESR - ESR'!AH3259</f>
        <v>0</v>
      </c>
      <c r="ME42" s="57">
        <f>'REG y VAL POE - AESR - ESR'!AI3259</f>
        <v>0</v>
      </c>
      <c r="MF42" s="57">
        <f>'REG y VAL POE - AESR - ESR'!AJ3259</f>
        <v>0</v>
      </c>
      <c r="MG42" s="57">
        <f>'REG y VAL POE - AESR - ESR'!AK3259</f>
        <v>0</v>
      </c>
      <c r="MH42" s="57">
        <f>'REG y VAL POE - AESR - ESR'!AL3259</f>
        <v>0</v>
      </c>
      <c r="MI42" s="57">
        <f>'REG y VAL POE - AESR - ESR'!AM3259</f>
        <v>0</v>
      </c>
      <c r="MJ42" s="57">
        <f>'REG y VAL POE - AESR - ESR'!AN3259</f>
        <v>0</v>
      </c>
      <c r="MK42" s="57">
        <f>'REG y VAL POE - AESR - ESR'!AO3259</f>
        <v>0</v>
      </c>
      <c r="ML42" s="57">
        <f>'REG y VAL POE - AESR - ESR'!AP3259</f>
        <v>0</v>
      </c>
      <c r="MM42" s="57">
        <f>'REG y VAL POE - AESR - ESR'!AQ3259</f>
        <v>0</v>
      </c>
      <c r="MN42" s="57">
        <f>'REG y VAL POE - AESR - ESR'!AR3259</f>
        <v>0</v>
      </c>
      <c r="MO42" s="57">
        <f>'REG y VAL POE - AESR - ESR'!AS3259</f>
        <v>0</v>
      </c>
      <c r="MP42" s="58">
        <f>'REG y VAL POE - AESR - ESR'!B3260</f>
        <v>0</v>
      </c>
      <c r="MQ42" s="57">
        <f>'REG y VAL POE - AESR - ESR'!C3260</f>
        <v>0</v>
      </c>
      <c r="MR42" s="56">
        <f>'REG y VAL POE - AESR - ESR'!D3260</f>
        <v>0</v>
      </c>
      <c r="MS42" s="57">
        <f>'REG y VAL POE - AESR - ESR'!E3260</f>
        <v>0</v>
      </c>
      <c r="MT42" s="56">
        <f>'REG y VAL POE - AESR - ESR'!F3260</f>
        <v>0</v>
      </c>
      <c r="MU42" s="59">
        <f>'REG y VAL POE - AESR - ESR'!G3260</f>
        <v>0</v>
      </c>
      <c r="MV42" s="397">
        <f>'REG y VAL POE - AESR - ESR'!H3260</f>
        <v>0</v>
      </c>
      <c r="MW42" s="57">
        <f>'REG y VAL POE - AESR - ESR'!I3260</f>
        <v>0</v>
      </c>
      <c r="MX42" s="57">
        <f>'REG y VAL POE - AESR - ESR'!J3260</f>
        <v>0</v>
      </c>
      <c r="MY42" s="57">
        <f>'REG y VAL POE - AESR - ESR'!K3260</f>
        <v>0</v>
      </c>
      <c r="MZ42" s="57">
        <f>'REG y VAL POE - AESR - ESR'!L3260</f>
        <v>0</v>
      </c>
      <c r="NA42" s="57">
        <f>'REG y VAL POE - AESR - ESR'!M3260</f>
        <v>0</v>
      </c>
      <c r="NB42" s="57">
        <f>'REG y VAL POE - AESR - ESR'!N3260</f>
        <v>0</v>
      </c>
      <c r="NC42" s="57">
        <f>'REG y VAL POE - AESR - ESR'!O3260</f>
        <v>0</v>
      </c>
      <c r="ND42" s="57">
        <f>'REG y VAL POE - AESR - ESR'!P3260</f>
        <v>0</v>
      </c>
      <c r="NE42" s="57">
        <f>'REG y VAL POE - AESR - ESR'!Q3260</f>
        <v>0</v>
      </c>
      <c r="NF42" s="57">
        <f>'REG y VAL POE - AESR - ESR'!R3260</f>
        <v>0</v>
      </c>
      <c r="NG42" s="57">
        <f>'REG y VAL POE - AESR - ESR'!S3260</f>
        <v>0</v>
      </c>
      <c r="NH42" s="57">
        <f>'REG y VAL POE - AESR - ESR'!T3260</f>
        <v>0</v>
      </c>
      <c r="NI42" s="57">
        <f>'REG y VAL POE - AESR - ESR'!U3260</f>
        <v>0</v>
      </c>
      <c r="NJ42" s="57">
        <f>'REG y VAL POE - AESR - ESR'!V3260</f>
        <v>0</v>
      </c>
      <c r="NK42" s="57">
        <f>'REG y VAL POE - AESR - ESR'!W3260</f>
        <v>0</v>
      </c>
      <c r="NL42" s="57">
        <f>'REG y VAL POE - AESR - ESR'!X3260</f>
        <v>0</v>
      </c>
      <c r="NM42" s="57">
        <f>'REG y VAL POE - AESR - ESR'!Y3260</f>
        <v>0</v>
      </c>
      <c r="NN42" s="57">
        <f>'REG y VAL POE - AESR - ESR'!Z3260</f>
        <v>0</v>
      </c>
      <c r="NO42" s="57">
        <f>'REG y VAL POE - AESR - ESR'!AA3260</f>
        <v>0</v>
      </c>
      <c r="NP42" s="57">
        <f>'REG y VAL POE - AESR - ESR'!AB3260</f>
        <v>0</v>
      </c>
      <c r="NQ42" s="57">
        <f>'REG y VAL POE - AESR - ESR'!AC3260</f>
        <v>0</v>
      </c>
      <c r="NR42" s="57">
        <f>'REG y VAL POE - AESR - ESR'!AD3260</f>
        <v>0</v>
      </c>
      <c r="NS42" s="57">
        <f>'REG y VAL POE - AESR - ESR'!AE3260</f>
        <v>0</v>
      </c>
      <c r="NT42" s="57">
        <f>'REG y VAL POE - AESR - ESR'!AF3260</f>
        <v>0</v>
      </c>
      <c r="NU42" s="57">
        <f>'REG y VAL POE - AESR - ESR'!AG3260</f>
        <v>0</v>
      </c>
      <c r="NV42" s="57">
        <f>'REG y VAL POE - AESR - ESR'!AH3260</f>
        <v>0</v>
      </c>
      <c r="NW42" s="57">
        <f>'REG y VAL POE - AESR - ESR'!AI3260</f>
        <v>0</v>
      </c>
      <c r="NX42" s="57">
        <f>'REG y VAL POE - AESR - ESR'!AJ3260</f>
        <v>0</v>
      </c>
      <c r="NY42" s="57">
        <f>'REG y VAL POE - AESR - ESR'!AK3260</f>
        <v>0</v>
      </c>
      <c r="NZ42" s="57">
        <f>'REG y VAL POE - AESR - ESR'!AL3260</f>
        <v>0</v>
      </c>
      <c r="OA42" s="57">
        <f>'REG y VAL POE - AESR - ESR'!AM3260</f>
        <v>0</v>
      </c>
      <c r="OB42" s="57">
        <f>'REG y VAL POE - AESR - ESR'!AN3260</f>
        <v>0</v>
      </c>
      <c r="OC42" s="57">
        <f>'REG y VAL POE - AESR - ESR'!AO3260</f>
        <v>0</v>
      </c>
      <c r="OD42" s="57">
        <f>'REG y VAL POE - AESR - ESR'!AP3260</f>
        <v>0</v>
      </c>
      <c r="OE42" s="57">
        <f>'REG y VAL POE - AESR - ESR'!AQ3260</f>
        <v>0</v>
      </c>
      <c r="OF42" s="57">
        <f>'REG y VAL POE - AESR - ESR'!AR3260</f>
        <v>0</v>
      </c>
      <c r="OG42" s="57">
        <f>'REG y VAL POE - AESR - ESR'!AS3260</f>
        <v>0</v>
      </c>
      <c r="OH42" s="58">
        <f>'REG y VAL POE - AESR - ESR'!B3261</f>
        <v>0</v>
      </c>
      <c r="OI42" s="57">
        <f>'REG y VAL POE - AESR - ESR'!C3261</f>
        <v>0</v>
      </c>
      <c r="OJ42" s="56">
        <f>'REG y VAL POE - AESR - ESR'!D3261</f>
        <v>0</v>
      </c>
      <c r="OK42" s="57">
        <f>'REG y VAL POE - AESR - ESR'!E3261</f>
        <v>0</v>
      </c>
      <c r="OL42" s="56">
        <f>'REG y VAL POE - AESR - ESR'!F3261</f>
        <v>0</v>
      </c>
      <c r="OM42" s="59">
        <f>'REG y VAL POE - AESR - ESR'!G3261</f>
        <v>0</v>
      </c>
      <c r="ON42" s="397">
        <f>'REG y VAL POE - AESR - ESR'!H3261</f>
        <v>0</v>
      </c>
      <c r="OO42" s="57">
        <f>'REG y VAL POE - AESR - ESR'!I3261</f>
        <v>0</v>
      </c>
      <c r="OP42" s="57">
        <f>'REG y VAL POE - AESR - ESR'!J3261</f>
        <v>0</v>
      </c>
      <c r="OQ42" s="57">
        <f>'REG y VAL POE - AESR - ESR'!K3261</f>
        <v>0</v>
      </c>
      <c r="OR42" s="57">
        <f>'REG y VAL POE - AESR - ESR'!L3261</f>
        <v>0</v>
      </c>
      <c r="OS42" s="57">
        <f>'REG y VAL POE - AESR - ESR'!M3261</f>
        <v>0</v>
      </c>
      <c r="OT42" s="57">
        <f>'REG y VAL POE - AESR - ESR'!N3261</f>
        <v>0</v>
      </c>
      <c r="OU42" s="57">
        <f>'REG y VAL POE - AESR - ESR'!O3261</f>
        <v>0</v>
      </c>
      <c r="OV42" s="57">
        <f>'REG y VAL POE - AESR - ESR'!P3261</f>
        <v>0</v>
      </c>
      <c r="OW42" s="57">
        <f>'REG y VAL POE - AESR - ESR'!Q3261</f>
        <v>0</v>
      </c>
      <c r="OX42" s="57">
        <f>'REG y VAL POE - AESR - ESR'!R3261</f>
        <v>0</v>
      </c>
      <c r="OY42" s="57">
        <f>'REG y VAL POE - AESR - ESR'!S3261</f>
        <v>0</v>
      </c>
      <c r="OZ42" s="57">
        <f>'REG y VAL POE - AESR - ESR'!T3261</f>
        <v>0</v>
      </c>
      <c r="PA42" s="57">
        <f>'REG y VAL POE - AESR - ESR'!U3261</f>
        <v>0</v>
      </c>
      <c r="PB42" s="57">
        <f>'REG y VAL POE - AESR - ESR'!V3261</f>
        <v>0</v>
      </c>
      <c r="PC42" s="57">
        <f>'REG y VAL POE - AESR - ESR'!W3261</f>
        <v>0</v>
      </c>
      <c r="PD42" s="57">
        <f>'REG y VAL POE - AESR - ESR'!X3261</f>
        <v>0</v>
      </c>
      <c r="PE42" s="57">
        <f>'REG y VAL POE - AESR - ESR'!Y3261</f>
        <v>0</v>
      </c>
      <c r="PF42" s="57">
        <f>'REG y VAL POE - AESR - ESR'!Z3261</f>
        <v>0</v>
      </c>
      <c r="PG42" s="57">
        <f>'REG y VAL POE - AESR - ESR'!AA3261</f>
        <v>0</v>
      </c>
      <c r="PH42" s="57">
        <f>'REG y VAL POE - AESR - ESR'!AB3261</f>
        <v>0</v>
      </c>
      <c r="PI42" s="57">
        <f>'REG y VAL POE - AESR - ESR'!AC3261</f>
        <v>0</v>
      </c>
      <c r="PJ42" s="57">
        <f>'REG y VAL POE - AESR - ESR'!AD3261</f>
        <v>0</v>
      </c>
      <c r="PK42" s="57">
        <f>'REG y VAL POE - AESR - ESR'!AE3261</f>
        <v>0</v>
      </c>
      <c r="PL42" s="57">
        <f>'REG y VAL POE - AESR - ESR'!AF3261</f>
        <v>0</v>
      </c>
      <c r="PM42" s="57">
        <f>'REG y VAL POE - AESR - ESR'!AG3261</f>
        <v>0</v>
      </c>
      <c r="PN42" s="57">
        <f>'REG y VAL POE - AESR - ESR'!AH3261</f>
        <v>0</v>
      </c>
      <c r="PO42" s="57">
        <f>'REG y VAL POE - AESR - ESR'!AI3261</f>
        <v>0</v>
      </c>
      <c r="PP42" s="57">
        <f>'REG y VAL POE - AESR - ESR'!AJ3261</f>
        <v>0</v>
      </c>
      <c r="PQ42" s="57">
        <f>'REG y VAL POE - AESR - ESR'!AK3261</f>
        <v>0</v>
      </c>
      <c r="PR42" s="57">
        <f>'REG y VAL POE - AESR - ESR'!AL3261</f>
        <v>0</v>
      </c>
      <c r="PS42" s="57">
        <f>'REG y VAL POE - AESR - ESR'!AM3261</f>
        <v>0</v>
      </c>
      <c r="PT42" s="57">
        <f>'REG y VAL POE - AESR - ESR'!AN3261</f>
        <v>0</v>
      </c>
      <c r="PU42" s="57">
        <f>'REG y VAL POE - AESR - ESR'!AO3261</f>
        <v>0</v>
      </c>
      <c r="PV42" s="57">
        <f>'REG y VAL POE - AESR - ESR'!AP3261</f>
        <v>0</v>
      </c>
      <c r="PW42" s="57">
        <f>'REG y VAL POE - AESR - ESR'!AQ3261</f>
        <v>0</v>
      </c>
      <c r="PX42" s="57">
        <f>'REG y VAL POE - AESR - ESR'!AR3261</f>
        <v>0</v>
      </c>
      <c r="PY42" s="57">
        <f>'REG y VAL POE - AESR - ESR'!AS3261</f>
        <v>0</v>
      </c>
      <c r="PZ42" s="58"/>
      <c r="QA42" s="57"/>
      <c r="QB42" s="56" t="str">
        <f t="shared" ref="QB42" si="163">IFERROR(VLOOKUP(PZ42,BASEPOE1,2,FALSE)," ")</f>
        <v xml:space="preserve"> </v>
      </c>
      <c r="QC42" s="57"/>
      <c r="QD42" s="56"/>
      <c r="QE42" s="59"/>
      <c r="QF42" s="397">
        <f>+QE42+365</f>
        <v>365</v>
      </c>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8"/>
      <c r="RS42" s="57"/>
      <c r="RT42" s="56" t="str">
        <f t="shared" ref="RT42" si="164">IFERROR(VLOOKUP(RR42,BASEPOE1,2,FALSE)," ")</f>
        <v xml:space="preserve"> </v>
      </c>
      <c r="RU42" s="57"/>
      <c r="RV42" s="56"/>
      <c r="RW42" s="59"/>
      <c r="RX42" s="397">
        <f>+RW42+365</f>
        <v>365</v>
      </c>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8"/>
      <c r="TK42" s="57"/>
      <c r="TL42" s="56" t="str">
        <f t="shared" ref="TL42" si="165">IFERROR(VLOOKUP(TJ42,BASEPOE1,2,FALSE)," ")</f>
        <v xml:space="preserve"> </v>
      </c>
      <c r="TM42" s="57"/>
      <c r="TN42" s="56"/>
      <c r="TO42" s="59"/>
      <c r="TP42" s="397">
        <f>+TO42+365</f>
        <v>365</v>
      </c>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8"/>
      <c r="VC42" s="57"/>
      <c r="VD42" s="56" t="str">
        <f t="shared" ref="VD42" si="166">IFERROR(VLOOKUP(VB42,BASEPOE1,2,FALSE)," ")</f>
        <v xml:space="preserve"> </v>
      </c>
      <c r="VE42" s="57"/>
      <c r="VF42" s="56"/>
      <c r="VG42" s="59"/>
      <c r="VH42" s="397">
        <f>+VG42+365</f>
        <v>365</v>
      </c>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8"/>
      <c r="WU42" s="57"/>
      <c r="WV42" s="56" t="str">
        <f t="shared" ref="WV42" si="167">IFERROR(VLOOKUP(WT42,BASEPOE1,2,FALSE)," ")</f>
        <v xml:space="preserve"> </v>
      </c>
      <c r="WW42" s="57"/>
      <c r="WX42" s="56"/>
      <c r="WY42" s="59"/>
      <c r="WZ42" s="397">
        <f>+WY42+365</f>
        <v>365</v>
      </c>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8"/>
      <c r="YM42" s="57"/>
      <c r="YN42" s="56" t="str">
        <f t="shared" ref="YN42" si="168">IFERROR(VLOOKUP(YL42,BASEPOE1,2,FALSE)," ")</f>
        <v xml:space="preserve"> </v>
      </c>
      <c r="YO42" s="57"/>
      <c r="YP42" s="56"/>
      <c r="YQ42" s="59"/>
      <c r="YR42" s="397">
        <f>+YQ42+365</f>
        <v>365</v>
      </c>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6"/>
      <c r="AAE42" s="57"/>
      <c r="AAF42" s="58"/>
      <c r="AAG42" s="56"/>
      <c r="AAH42" s="57"/>
      <c r="AAI42" s="57"/>
      <c r="AAJ42" s="57"/>
      <c r="AAK42" s="56"/>
      <c r="AAL42" s="57"/>
      <c r="AAM42" s="57"/>
      <c r="AAN42" s="56"/>
      <c r="AAO42" s="57"/>
      <c r="AAP42" s="58"/>
      <c r="AAQ42" s="56"/>
      <c r="AAR42" s="57"/>
      <c r="AAS42" s="57"/>
      <c r="AAT42" s="57"/>
      <c r="AAU42" s="56"/>
      <c r="AAV42" s="57"/>
      <c r="AAW42" s="57"/>
      <c r="AAX42" s="58"/>
      <c r="AAY42" s="58"/>
      <c r="AAZ42" s="58"/>
      <c r="ABA42" s="56"/>
      <c r="ABB42" s="58"/>
      <c r="ABC42" s="58"/>
      <c r="ABD42" s="58"/>
      <c r="ABE42" s="58"/>
      <c r="ABF42" s="58"/>
      <c r="ABG42" s="57"/>
      <c r="ABH42" s="56"/>
      <c r="ABI42" s="57"/>
      <c r="ABJ42" s="58"/>
      <c r="ABK42" s="56"/>
      <c r="ABL42" s="57"/>
      <c r="ABM42" s="57"/>
      <c r="ABN42" s="57"/>
      <c r="ABO42" s="56"/>
      <c r="ABP42" s="57"/>
      <c r="ABQ42" s="57"/>
      <c r="ABR42" s="56"/>
      <c r="ABS42" s="57"/>
      <c r="ABT42" s="58"/>
      <c r="ABU42" s="56"/>
      <c r="ABV42" s="57"/>
      <c r="ABW42" s="57"/>
      <c r="ABX42" s="57"/>
      <c r="ABY42" s="56"/>
      <c r="ABZ42" s="57"/>
      <c r="ACA42" s="57"/>
      <c r="ACB42" s="56"/>
      <c r="ACC42" s="57"/>
      <c r="ACD42" s="58"/>
      <c r="ACE42" s="56"/>
      <c r="ACF42" s="57"/>
      <c r="ACG42" s="57"/>
      <c r="ACH42" s="57"/>
      <c r="ACI42" s="56"/>
      <c r="ACJ42" s="57"/>
      <c r="ACK42" s="57"/>
      <c r="ACL42" s="56"/>
      <c r="ACM42" s="57"/>
      <c r="ACN42" s="58"/>
      <c r="ACO42" s="56"/>
      <c r="ACP42" s="57"/>
      <c r="ACQ42" s="57"/>
      <c r="ACR42" s="57"/>
      <c r="ACS42" s="56"/>
      <c r="ACT42" s="57"/>
      <c r="ACU42" s="57"/>
      <c r="ACV42" s="56"/>
      <c r="ACW42" s="57"/>
      <c r="ACX42" s="58"/>
      <c r="ACY42" s="56"/>
      <c r="ACZ42" s="57"/>
      <c r="ADA42" s="57"/>
      <c r="ADB42" s="57"/>
      <c r="ADC42" s="56"/>
      <c r="ADD42" s="57"/>
      <c r="ADE42" s="57"/>
      <c r="ADF42" s="56"/>
      <c r="ADG42" s="57"/>
      <c r="ADH42" s="58"/>
      <c r="ADI42" s="56"/>
      <c r="ADJ42" s="57"/>
      <c r="ADK42" s="57"/>
      <c r="ADL42" s="57"/>
      <c r="ADM42" s="56"/>
      <c r="ADN42" s="57"/>
      <c r="ADO42" s="57"/>
      <c r="ADP42" s="56"/>
      <c r="ADQ42" s="57"/>
      <c r="ADR42" s="58"/>
      <c r="ADS42" s="56"/>
      <c r="ADT42" s="57"/>
      <c r="ADU42" s="57"/>
      <c r="ADV42" s="57"/>
      <c r="ADW42" s="56"/>
      <c r="ADX42" s="57"/>
      <c r="ADY42" s="57"/>
      <c r="ADZ42" s="56"/>
      <c r="AEA42" s="57"/>
      <c r="AEB42" s="58"/>
      <c r="AEC42" s="56"/>
      <c r="AED42" s="57"/>
      <c r="AEE42" s="57"/>
      <c r="AEF42" s="57"/>
      <c r="AEG42" s="56"/>
      <c r="AEH42" s="57"/>
      <c r="AEI42" s="57"/>
      <c r="AEJ42" s="56"/>
      <c r="AEK42" s="57"/>
      <c r="AEL42" s="58"/>
      <c r="AEM42" s="56"/>
      <c r="AEN42" s="57"/>
      <c r="AEO42" s="57"/>
      <c r="AEP42" s="57"/>
      <c r="AEQ42" s="56"/>
      <c r="AER42" s="57"/>
      <c r="AES42" s="57"/>
      <c r="AET42" s="56"/>
      <c r="AEU42" s="57"/>
      <c r="AEV42" s="58"/>
      <c r="AEW42" s="56"/>
      <c r="AEX42" s="57"/>
      <c r="AEY42" s="57"/>
      <c r="AEZ42" s="57"/>
      <c r="AFA42" s="56"/>
      <c r="AFB42" s="57"/>
      <c r="AFC42" s="57"/>
      <c r="AFD42" s="56"/>
      <c r="AFE42" s="57"/>
      <c r="AFF42" s="58"/>
      <c r="AFG42" s="56"/>
      <c r="AFH42" s="57"/>
      <c r="AFI42" s="57"/>
      <c r="AFJ42" s="57"/>
      <c r="AFK42" s="56"/>
      <c r="AFL42" s="57"/>
      <c r="AFM42" s="57"/>
      <c r="AFN42" s="56"/>
      <c r="AFO42" s="57"/>
      <c r="AFP42" s="58"/>
      <c r="AFQ42" s="56"/>
      <c r="AFR42" s="57"/>
      <c r="AFS42" s="57"/>
      <c r="AFT42" s="57"/>
      <c r="AFU42" s="56"/>
      <c r="AFV42" s="57"/>
      <c r="AFW42" s="57"/>
      <c r="AFX42" s="56"/>
      <c r="AFY42" s="57"/>
      <c r="AFZ42" s="58"/>
      <c r="AGA42" s="56"/>
      <c r="AGB42" s="57"/>
      <c r="AGC42" s="57"/>
      <c r="AGD42" s="57"/>
      <c r="AGE42" s="56"/>
      <c r="AGF42" s="57"/>
      <c r="AGG42" s="57"/>
      <c r="AGH42" s="56"/>
      <c r="AGI42" s="57"/>
      <c r="AGJ42" s="58"/>
      <c r="AGK42" s="56"/>
      <c r="AGL42" s="57"/>
      <c r="AGM42" s="57"/>
      <c r="AGN42" s="57"/>
      <c r="AGO42" s="56"/>
      <c r="AGP42" s="57"/>
      <c r="AGQ42" s="57"/>
      <c r="AGR42" s="56"/>
      <c r="AGS42" s="57"/>
      <c r="AGT42" s="58"/>
      <c r="AGU42" s="56"/>
      <c r="AGV42" s="57"/>
      <c r="AGW42" s="57"/>
      <c r="AGX42" s="57"/>
      <c r="AGY42" s="56"/>
      <c r="AGZ42" s="57"/>
      <c r="AHA42" s="57"/>
      <c r="AHB42" s="56"/>
      <c r="AHC42" s="57"/>
      <c r="AHD42" s="58"/>
      <c r="AHE42" s="56"/>
      <c r="AHF42" s="57"/>
      <c r="AHG42" s="57"/>
      <c r="AHH42" s="57"/>
      <c r="AHI42" s="56"/>
      <c r="AHJ42" s="57"/>
      <c r="AHK42" s="57"/>
      <c r="AHL42" s="56"/>
      <c r="AHM42" s="57"/>
      <c r="AHN42" s="58"/>
      <c r="AHO42" s="56"/>
      <c r="AHP42" s="57"/>
      <c r="AHQ42" s="57"/>
      <c r="AHR42" s="57"/>
      <c r="AHS42" s="56"/>
      <c r="AHT42" s="57"/>
      <c r="AHU42" s="57"/>
      <c r="AHV42" s="56"/>
      <c r="AHW42" s="57"/>
      <c r="AHX42" s="58"/>
      <c r="AHY42" s="56"/>
      <c r="AHZ42" s="57"/>
      <c r="AIA42" s="57"/>
      <c r="AIB42" s="57"/>
      <c r="AIC42" s="56"/>
      <c r="AID42" s="57"/>
      <c r="AIE42" s="57"/>
      <c r="AIF42" s="56"/>
      <c r="AIG42" s="57"/>
      <c r="AIH42" s="58"/>
      <c r="AII42" s="56"/>
      <c r="AIJ42" s="57"/>
      <c r="AIK42" s="57"/>
      <c r="AIL42" s="57"/>
      <c r="AIM42" s="56"/>
      <c r="AIN42" s="57"/>
      <c r="AIO42" s="57"/>
      <c r="AIP42" s="56"/>
      <c r="AIQ42" s="57"/>
      <c r="AIR42" s="58"/>
      <c r="AIS42" s="56"/>
      <c r="AIT42" s="57"/>
      <c r="AIU42" s="57"/>
      <c r="AIV42" s="57"/>
      <c r="AIW42" s="56"/>
      <c r="AIX42" s="57"/>
      <c r="AIY42" s="57"/>
      <c r="AIZ42" s="56"/>
      <c r="AJA42" s="57"/>
      <c r="AJB42" s="58"/>
      <c r="AJC42" s="56"/>
      <c r="AJD42" s="57"/>
      <c r="AJE42" s="57"/>
      <c r="AJF42" s="57"/>
      <c r="AJG42" s="56"/>
      <c r="AJH42" s="57"/>
      <c r="AJI42" s="57"/>
      <c r="AJJ42" s="56"/>
      <c r="AJK42" s="57"/>
      <c r="AJL42" s="58"/>
      <c r="AJM42" s="56"/>
      <c r="AJN42" s="57"/>
      <c r="AJO42" s="57"/>
      <c r="AJP42" s="57"/>
      <c r="AJQ42" s="56"/>
      <c r="AJR42" s="57"/>
      <c r="AJS42" s="57"/>
      <c r="AJT42" s="56"/>
      <c r="AJU42" s="57"/>
      <c r="AJV42" s="58"/>
      <c r="AJW42" s="56"/>
      <c r="AJX42" s="57"/>
      <c r="AJY42" s="57"/>
      <c r="AJZ42" s="57"/>
      <c r="AKA42" s="56"/>
      <c r="AKB42" s="57"/>
      <c r="AKC42" s="57"/>
      <c r="AKD42" s="56"/>
      <c r="AKE42" s="57"/>
      <c r="AKF42" s="58"/>
      <c r="AKG42" s="56"/>
      <c r="AKH42" s="57"/>
      <c r="AKI42" s="57"/>
      <c r="AKJ42" s="57"/>
      <c r="AKK42" s="56"/>
      <c r="AKL42" s="57"/>
      <c r="AKM42" s="57"/>
      <c r="AKN42" s="56"/>
      <c r="AKO42" s="57"/>
      <c r="AKP42" s="58"/>
      <c r="AKQ42" s="56"/>
      <c r="AKR42" s="57"/>
      <c r="AKS42" s="57"/>
      <c r="AKT42" s="57"/>
      <c r="AKU42" s="56"/>
      <c r="AKV42" s="57"/>
      <c r="AKW42" s="57"/>
      <c r="AKX42" s="56"/>
      <c r="AKY42" s="57"/>
      <c r="AKZ42" s="58"/>
      <c r="ALA42" s="56"/>
      <c r="ALB42" s="57"/>
      <c r="ALC42" s="57"/>
      <c r="ALD42" s="57"/>
      <c r="ALE42" s="56"/>
      <c r="ALF42" s="57"/>
      <c r="ALG42" s="57"/>
      <c r="ALH42" s="57"/>
      <c r="ALI42" s="57"/>
      <c r="ALJ42" s="57"/>
      <c r="ALK42" s="56"/>
      <c r="ALL42" s="57"/>
      <c r="ALM42" s="57"/>
      <c r="ALN42" s="56"/>
      <c r="ALO42" s="57"/>
      <c r="ALP42" s="58"/>
      <c r="ALQ42" s="56"/>
      <c r="ALR42" s="57"/>
      <c r="ALS42" s="57"/>
      <c r="ALT42" s="57"/>
      <c r="ALU42" s="56"/>
      <c r="ALV42" s="57"/>
      <c r="ALW42" s="57"/>
      <c r="ALX42" s="56"/>
      <c r="ALY42" s="57"/>
      <c r="ALZ42" s="58"/>
      <c r="AMA42" s="56"/>
      <c r="AMB42" s="57"/>
      <c r="AMC42" s="57"/>
      <c r="AMD42" s="57"/>
      <c r="AME42" s="56"/>
      <c r="AMF42" s="57"/>
      <c r="AMG42" s="57"/>
      <c r="AMH42" s="57"/>
      <c r="AMI42" s="57"/>
      <c r="AMJ42" s="57"/>
      <c r="AMK42" s="56"/>
      <c r="AML42" s="57"/>
      <c r="AMM42" s="57"/>
      <c r="AMN42" s="56"/>
      <c r="AMO42" s="57"/>
      <c r="AMP42" s="58"/>
      <c r="AMQ42" s="56"/>
      <c r="AMR42" s="57"/>
      <c r="AMS42" s="57"/>
      <c r="AMT42" s="57"/>
      <c r="AMU42" s="56"/>
      <c r="AMV42" s="57"/>
      <c r="AMW42" s="57"/>
      <c r="AMX42" s="56"/>
      <c r="AMY42" s="57"/>
      <c r="AMZ42" s="58"/>
      <c r="ANA42" s="56"/>
      <c r="ANB42" s="57"/>
      <c r="ANC42" s="57"/>
      <c r="AND42" s="57"/>
      <c r="ANE42" s="56"/>
      <c r="ANF42" s="57"/>
      <c r="ANG42" s="57"/>
      <c r="ANH42" s="57"/>
      <c r="ANI42" s="57"/>
      <c r="ANJ42" s="57"/>
      <c r="ANK42" s="56"/>
      <c r="ANL42" s="57"/>
      <c r="ANM42" s="57"/>
      <c r="ANN42" s="56"/>
      <c r="ANO42" s="57"/>
      <c r="ANP42" s="58"/>
      <c r="ANQ42" s="56"/>
      <c r="ANR42" s="57"/>
      <c r="ANS42" s="57"/>
      <c r="ANT42" s="57"/>
      <c r="ANU42" s="56"/>
      <c r="ANV42" s="57"/>
      <c r="ANW42" s="57"/>
      <c r="ANX42" s="56"/>
      <c r="ANY42" s="57"/>
      <c r="ANZ42" s="58"/>
      <c r="AOA42" s="56"/>
      <c r="AOB42" s="57"/>
      <c r="AOC42" s="57"/>
      <c r="AOD42" s="57"/>
      <c r="AOE42" s="56"/>
      <c r="AOF42" s="57"/>
      <c r="AOG42" s="57"/>
      <c r="AOH42" s="57"/>
      <c r="AOI42" s="57"/>
      <c r="AOJ42" s="57"/>
      <c r="AOK42" s="56"/>
      <c r="AOL42" s="57"/>
      <c r="AOM42" s="57"/>
      <c r="AON42" s="56"/>
      <c r="AOO42" s="57"/>
      <c r="AOP42" s="58"/>
      <c r="AOQ42" s="56"/>
      <c r="AOR42" s="57"/>
      <c r="AOS42" s="57"/>
      <c r="AOT42" s="57"/>
      <c r="AOU42" s="56"/>
      <c r="AOV42" s="57"/>
      <c r="AOW42" s="57"/>
      <c r="AOX42" s="56"/>
      <c r="AOY42" s="57"/>
      <c r="AOZ42" s="58"/>
      <c r="APA42" s="56"/>
      <c r="APB42" s="57"/>
      <c r="APC42" s="57"/>
      <c r="APD42" s="57"/>
      <c r="APE42" s="56"/>
      <c r="APF42" s="57"/>
      <c r="APG42" s="57"/>
      <c r="APH42" s="57"/>
      <c r="API42" s="57"/>
      <c r="APJ42" s="57"/>
      <c r="APK42" s="56"/>
      <c r="APL42" s="57"/>
      <c r="APM42" s="57"/>
      <c r="APN42" s="56"/>
      <c r="APO42" s="57"/>
      <c r="APP42" s="58"/>
      <c r="APQ42" s="56"/>
      <c r="APR42" s="57"/>
      <c r="APS42" s="57"/>
      <c r="APT42" s="57"/>
      <c r="APU42" s="56"/>
      <c r="APV42" s="57"/>
      <c r="APW42" s="57"/>
      <c r="APX42" s="56"/>
      <c r="APY42" s="57"/>
      <c r="APZ42" s="58"/>
      <c r="AQA42" s="56"/>
      <c r="AQB42" s="57"/>
      <c r="AQC42" s="57"/>
      <c r="AQD42" s="57"/>
      <c r="AQE42" s="56"/>
      <c r="AQF42" s="57"/>
      <c r="AQG42" s="57"/>
      <c r="AQH42" s="57"/>
      <c r="AQI42" s="57"/>
      <c r="AQJ42" s="57"/>
      <c r="AQK42" s="56"/>
      <c r="AQL42" s="57"/>
      <c r="AQM42" s="57"/>
      <c r="AQN42" s="56"/>
      <c r="AQO42" s="57"/>
      <c r="AQP42" s="58"/>
      <c r="AQQ42" s="56"/>
      <c r="AQR42" s="57"/>
      <c r="AQS42" s="57"/>
      <c r="AQT42" s="57"/>
      <c r="AQU42" s="56"/>
      <c r="AQV42" s="57"/>
      <c r="AQW42" s="57"/>
      <c r="AQX42" s="56"/>
      <c r="AQY42" s="57"/>
      <c r="AQZ42" s="58"/>
      <c r="ARA42" s="56"/>
      <c r="ARB42" s="57"/>
      <c r="ARC42" s="57"/>
      <c r="ARD42" s="57"/>
      <c r="ARE42" s="56"/>
      <c r="ARF42" s="57"/>
      <c r="ARG42" s="57"/>
      <c r="ARH42" s="57"/>
      <c r="ARI42" s="57"/>
      <c r="ARJ42" s="57"/>
      <c r="ARK42" s="56"/>
      <c r="ARL42" s="57"/>
      <c r="ARM42" s="57"/>
      <c r="ARN42" s="56"/>
      <c r="ARO42" s="57"/>
      <c r="ARP42" s="58"/>
      <c r="ARQ42" s="56"/>
      <c r="ARR42" s="57"/>
      <c r="ARS42" s="57"/>
      <c r="ART42" s="57"/>
      <c r="ARU42" s="56"/>
      <c r="ARV42" s="57"/>
      <c r="ARW42" s="57"/>
      <c r="ARX42" s="56"/>
      <c r="ARY42" s="57"/>
      <c r="ARZ42" s="58"/>
      <c r="ASA42" s="56"/>
      <c r="ASB42" s="57"/>
      <c r="ASC42" s="57"/>
      <c r="ASD42" s="57"/>
      <c r="ASE42" s="56"/>
      <c r="ASF42" s="57"/>
      <c r="ASG42" s="57"/>
      <c r="ASH42" s="57"/>
      <c r="ASI42" s="57"/>
      <c r="ASJ42" s="57"/>
      <c r="ASK42" s="56"/>
      <c r="ASL42" s="57"/>
      <c r="ASM42" s="57"/>
      <c r="ASN42" s="56"/>
      <c r="ASO42" s="57"/>
      <c r="ASP42" s="58"/>
      <c r="ASQ42" s="56"/>
      <c r="ASR42" s="57"/>
      <c r="ASS42" s="57"/>
      <c r="AST42" s="57"/>
      <c r="ASU42" s="56"/>
      <c r="ASV42" s="57"/>
      <c r="ASW42" s="57"/>
      <c r="ASX42" s="56"/>
      <c r="ASY42" s="57"/>
      <c r="ASZ42" s="58"/>
      <c r="ATA42" s="56"/>
      <c r="ATB42" s="57"/>
      <c r="ATC42" s="57"/>
      <c r="ATD42" s="57"/>
      <c r="ATE42" s="56"/>
      <c r="ATF42" s="57"/>
      <c r="ATG42" s="57"/>
      <c r="ATH42" s="57"/>
      <c r="ATI42" s="57"/>
      <c r="ATJ42" s="57"/>
      <c r="ATK42" s="56"/>
      <c r="ATL42" s="57"/>
      <c r="ATM42" s="57"/>
      <c r="ATN42" s="56"/>
      <c r="ATO42" s="57"/>
      <c r="ATP42" s="58"/>
      <c r="ATQ42" s="56"/>
      <c r="ATR42" s="57"/>
      <c r="ATS42" s="57"/>
      <c r="ATT42" s="57"/>
      <c r="ATU42" s="56"/>
      <c r="ATV42" s="57"/>
      <c r="ATW42" s="57"/>
      <c r="ATX42" s="56"/>
      <c r="ATY42" s="57"/>
      <c r="ATZ42" s="58"/>
      <c r="AUA42" s="56"/>
      <c r="AUB42" s="57"/>
      <c r="AUC42" s="57"/>
      <c r="AUD42" s="57"/>
      <c r="AUE42" s="56"/>
      <c r="AUF42" s="57"/>
      <c r="AUG42" s="57"/>
      <c r="AUH42" s="57"/>
      <c r="AUI42" s="57"/>
      <c r="AUJ42" s="57"/>
      <c r="AUK42" s="56"/>
      <c r="AUL42" s="57"/>
      <c r="AUM42" s="57"/>
      <c r="AUN42" s="56"/>
      <c r="AUO42" s="57"/>
      <c r="AUP42" s="58"/>
      <c r="AUQ42" s="56"/>
      <c r="AUR42" s="57"/>
      <c r="AUS42" s="57"/>
      <c r="AUT42" s="57"/>
      <c r="AUU42" s="56"/>
      <c r="AUV42" s="57"/>
      <c r="AUW42" s="57"/>
      <c r="AUX42" s="56"/>
      <c r="AUY42" s="57"/>
      <c r="AUZ42" s="58"/>
      <c r="AVA42" s="56"/>
      <c r="AVB42" s="57"/>
      <c r="AVC42" s="57"/>
      <c r="AVD42" s="57"/>
      <c r="AVE42" s="56"/>
      <c r="AVF42" s="57"/>
      <c r="AVG42" s="57"/>
      <c r="AVH42" s="57"/>
      <c r="AVI42" s="57"/>
      <c r="AVJ42" s="57"/>
      <c r="AVK42" s="56"/>
      <c r="AVL42" s="57"/>
      <c r="AVM42" s="57"/>
      <c r="AVN42" s="56"/>
      <c r="AVO42" s="57"/>
      <c r="AVP42" s="58"/>
      <c r="AVQ42" s="56"/>
      <c r="AVR42" s="57"/>
      <c r="AVS42" s="57"/>
      <c r="AVT42" s="57"/>
      <c r="AVU42" s="56"/>
      <c r="AVV42" s="57"/>
      <c r="AVW42" s="57"/>
      <c r="AVX42" s="56"/>
      <c r="AVY42" s="57"/>
      <c r="AVZ42" s="58"/>
      <c r="AWA42" s="56"/>
      <c r="AWB42" s="57"/>
      <c r="AWC42" s="57"/>
      <c r="AWD42" s="57"/>
      <c r="AWE42" s="56"/>
      <c r="AWF42" s="57"/>
      <c r="AWG42" s="57"/>
      <c r="AWH42" s="57"/>
      <c r="AWI42" s="57"/>
      <c r="AWJ42" s="57"/>
      <c r="AWK42" s="56"/>
      <c r="AWL42" s="57"/>
      <c r="AWM42" s="57"/>
      <c r="AWN42" s="56"/>
      <c r="AWO42" s="57"/>
      <c r="AWP42" s="58"/>
      <c r="AWQ42" s="56"/>
      <c r="AWR42" s="57"/>
      <c r="AWS42" s="57"/>
      <c r="AWT42" s="57"/>
      <c r="AWU42" s="56"/>
      <c r="AWV42" s="57"/>
      <c r="AWW42" s="57"/>
      <c r="AWX42" s="56"/>
      <c r="AWY42" s="57"/>
      <c r="AWZ42" s="58"/>
      <c r="AXA42" s="56"/>
      <c r="AXB42" s="57"/>
      <c r="AXC42" s="57"/>
      <c r="AXD42" s="57"/>
      <c r="AXE42" s="56"/>
      <c r="AXF42" s="57"/>
      <c r="AXG42" s="57"/>
      <c r="AXH42" s="57"/>
      <c r="AXI42" s="57"/>
      <c r="AXJ42" s="57"/>
      <c r="AXK42" s="56"/>
      <c r="AXL42" s="57"/>
      <c r="AXM42" s="57"/>
      <c r="AXN42" s="56"/>
      <c r="AXO42" s="57"/>
      <c r="AXP42" s="58"/>
      <c r="AXQ42" s="56"/>
      <c r="AXR42" s="57"/>
      <c r="AXS42" s="57"/>
      <c r="AXT42" s="57"/>
      <c r="AXU42" s="56"/>
      <c r="AXV42" s="57"/>
      <c r="AXW42" s="57"/>
      <c r="AXX42" s="56"/>
      <c r="AXY42" s="57"/>
      <c r="AXZ42" s="58"/>
      <c r="AYA42" s="56"/>
      <c r="AYB42" s="57"/>
      <c r="AYC42" s="57"/>
      <c r="AYD42" s="57"/>
      <c r="AYE42" s="56"/>
      <c r="AYF42" s="57"/>
      <c r="AYG42" s="57"/>
      <c r="AYH42" s="57"/>
      <c r="AYI42" s="57"/>
      <c r="AYJ42" s="57"/>
      <c r="AYK42" s="56"/>
      <c r="AYL42" s="57"/>
      <c r="AYM42" s="57"/>
      <c r="AYN42" s="56"/>
      <c r="AYO42" s="57"/>
      <c r="AYP42" s="58"/>
      <c r="AYQ42" s="56"/>
      <c r="AYR42" s="57"/>
      <c r="AYS42" s="57"/>
      <c r="AYT42" s="57"/>
      <c r="AYU42" s="56"/>
      <c r="AYV42" s="57"/>
      <c r="AYW42" s="57"/>
      <c r="AYX42" s="56"/>
      <c r="AYY42" s="57"/>
      <c r="AYZ42" s="58"/>
      <c r="AZA42" s="56"/>
      <c r="AZB42" s="57"/>
      <c r="AZC42" s="57"/>
      <c r="AZD42" s="57"/>
      <c r="AZE42" s="56"/>
      <c r="AZF42" s="57"/>
      <c r="AZG42" s="57"/>
      <c r="AZH42" s="57"/>
      <c r="AZI42" s="57"/>
      <c r="AZJ42" s="57"/>
      <c r="AZK42" s="56"/>
      <c r="AZL42" s="57"/>
      <c r="AZM42" s="57"/>
      <c r="AZN42" s="56"/>
      <c r="AZO42" s="57"/>
      <c r="AZP42" s="58"/>
      <c r="AZQ42" s="56"/>
      <c r="AZR42" s="57"/>
      <c r="AZS42" s="57"/>
      <c r="AZT42" s="57"/>
      <c r="AZU42" s="56"/>
      <c r="AZV42" s="57"/>
      <c r="AZW42" s="57"/>
      <c r="AZX42" s="56"/>
      <c r="AZY42" s="57"/>
      <c r="AZZ42" s="58"/>
      <c r="BAA42" s="56"/>
      <c r="BAB42" s="57"/>
      <c r="BAC42" s="57"/>
      <c r="BAD42" s="57"/>
      <c r="BAE42" s="56"/>
      <c r="BAF42" s="57"/>
      <c r="BAG42" s="57"/>
      <c r="BAH42" s="57"/>
      <c r="BAI42" s="57"/>
      <c r="BAJ42" s="57"/>
      <c r="BAK42" s="56"/>
      <c r="BAL42" s="57"/>
      <c r="BAM42" s="57"/>
      <c r="BAN42" s="56"/>
      <c r="BAO42" s="57"/>
      <c r="BAP42" s="58"/>
      <c r="BAQ42" s="56"/>
      <c r="BAR42" s="57"/>
      <c r="BAS42" s="57"/>
      <c r="BAT42" s="57"/>
      <c r="BAU42" s="56"/>
      <c r="BAV42" s="57"/>
      <c r="BAW42" s="57"/>
      <c r="BAX42" s="56"/>
      <c r="BAY42" s="57"/>
      <c r="BAZ42" s="58"/>
      <c r="BBA42" s="56"/>
      <c r="BBB42" s="57"/>
      <c r="BBC42" s="57"/>
      <c r="BBD42" s="57"/>
      <c r="BBE42" s="56"/>
      <c r="BBF42" s="57"/>
      <c r="BBG42" s="57"/>
      <c r="BBH42" s="57"/>
      <c r="BBI42" s="57"/>
      <c r="BBJ42" s="57"/>
      <c r="BBK42" s="56"/>
      <c r="BBL42" s="57"/>
      <c r="BBM42" s="57"/>
      <c r="BBN42" s="56"/>
      <c r="BBO42" s="57"/>
      <c r="BBP42" s="58"/>
      <c r="BBQ42" s="56"/>
      <c r="BBR42" s="57"/>
      <c r="BBS42" s="57"/>
      <c r="BBT42" s="57"/>
      <c r="BBU42" s="56"/>
      <c r="BBV42" s="57"/>
      <c r="BBW42" s="57"/>
      <c r="BBX42" s="56"/>
      <c r="BBY42" s="57"/>
      <c r="BBZ42" s="58"/>
      <c r="BCA42" s="56"/>
      <c r="BCB42" s="57"/>
      <c r="BCC42" s="57"/>
      <c r="BCD42" s="57"/>
      <c r="BCE42" s="56"/>
      <c r="BCF42" s="57"/>
      <c r="BCG42" s="57"/>
      <c r="BCH42" s="57"/>
      <c r="BCI42" s="57"/>
      <c r="BCJ42" s="57"/>
      <c r="BCK42" s="56"/>
      <c r="BCL42" s="57"/>
      <c r="BCM42" s="57"/>
      <c r="BCN42" s="56"/>
      <c r="BCO42" s="57"/>
      <c r="BCP42" s="58"/>
      <c r="BCQ42" s="56"/>
      <c r="BCR42" s="57"/>
      <c r="BCS42" s="57"/>
      <c r="BCT42" s="57"/>
      <c r="BCU42" s="56"/>
      <c r="BCV42" s="57"/>
      <c r="BCW42" s="57"/>
      <c r="BCX42" s="56"/>
      <c r="BCY42" s="57"/>
      <c r="BCZ42" s="58"/>
      <c r="BDA42" s="56"/>
      <c r="BDB42" s="57"/>
      <c r="BDC42" s="57"/>
      <c r="BDD42" s="57"/>
      <c r="BDE42" s="56"/>
      <c r="BDF42" s="57"/>
      <c r="BDG42" s="57"/>
      <c r="BDH42" s="57"/>
      <c r="BDI42" s="57"/>
      <c r="BDJ42" s="57"/>
      <c r="BDK42" s="56"/>
      <c r="BDL42" s="57"/>
      <c r="BDM42" s="57"/>
      <c r="BDN42" s="56"/>
      <c r="BDO42" s="57"/>
      <c r="BDP42" s="58"/>
      <c r="BDQ42" s="56"/>
      <c r="BDR42" s="57"/>
      <c r="BDS42" s="57"/>
      <c r="BDT42" s="57"/>
      <c r="BDU42" s="56"/>
      <c r="BDV42" s="57"/>
      <c r="BDW42" s="57"/>
      <c r="BDX42" s="56"/>
      <c r="BDY42" s="57"/>
      <c r="BDZ42" s="58"/>
      <c r="BEA42" s="56"/>
      <c r="BEB42" s="57"/>
      <c r="BEC42" s="57"/>
      <c r="BED42" s="57"/>
      <c r="BEE42" s="56"/>
      <c r="BEF42" s="57"/>
      <c r="BEG42" s="57"/>
      <c r="BEH42" s="57"/>
      <c r="BEI42" s="57"/>
      <c r="BEJ42" s="57"/>
      <c r="BEK42" s="56"/>
      <c r="BEL42" s="57"/>
      <c r="BEM42" s="57"/>
      <c r="BEN42" s="56"/>
      <c r="BEO42" s="57"/>
      <c r="BEP42" s="58"/>
      <c r="BEQ42" s="56"/>
      <c r="BER42" s="57"/>
      <c r="BES42" s="57"/>
      <c r="BET42" s="57"/>
      <c r="BEU42" s="56"/>
      <c r="BEV42" s="57"/>
      <c r="BEW42" s="57"/>
      <c r="BEX42" s="56"/>
      <c r="BEY42" s="57"/>
      <c r="BEZ42" s="58"/>
      <c r="BFA42" s="56"/>
      <c r="BFB42" s="57"/>
      <c r="BFC42" s="57"/>
      <c r="BFD42" s="57"/>
      <c r="BFE42" s="56"/>
      <c r="BFF42" s="57"/>
      <c r="BFG42" s="57"/>
      <c r="BFH42" s="57"/>
      <c r="BFI42" s="57"/>
      <c r="BFJ42" s="57"/>
      <c r="BFK42" s="56"/>
      <c r="BFL42" s="57"/>
      <c r="BFM42" s="57"/>
      <c r="BFN42" s="56"/>
      <c r="BFO42" s="57"/>
      <c r="BFP42" s="58"/>
      <c r="BFQ42" s="56"/>
      <c r="BFR42" s="57"/>
      <c r="BFS42" s="57"/>
      <c r="BFT42" s="57"/>
      <c r="BFU42" s="56"/>
      <c r="BFV42" s="57"/>
      <c r="BFW42" s="57"/>
      <c r="BFX42" s="56"/>
      <c r="BFY42" s="57"/>
      <c r="BFZ42" s="58"/>
      <c r="BGA42" s="56"/>
      <c r="BGB42" s="57"/>
      <c r="BGC42" s="57"/>
      <c r="BGD42" s="57"/>
      <c r="BGE42" s="56"/>
      <c r="BGF42" s="57"/>
      <c r="BGG42" s="57"/>
      <c r="BGH42" s="57"/>
      <c r="BGI42" s="57"/>
      <c r="BGJ42" s="57"/>
      <c r="BGK42" s="56"/>
      <c r="BGL42" s="57"/>
      <c r="BGM42" s="57"/>
      <c r="BGN42" s="56"/>
      <c r="BGO42" s="57"/>
      <c r="BGP42" s="58"/>
      <c r="BGQ42" s="56"/>
      <c r="BGR42" s="57"/>
      <c r="BGS42" s="57"/>
      <c r="BGT42" s="57"/>
      <c r="BGU42" s="56"/>
      <c r="BGV42" s="57"/>
      <c r="BGW42" s="57"/>
      <c r="BGX42" s="56"/>
      <c r="BGY42" s="57"/>
      <c r="BGZ42" s="58"/>
      <c r="BHA42" s="56"/>
      <c r="BHB42" s="57"/>
      <c r="BHC42" s="57"/>
      <c r="BHD42" s="57"/>
      <c r="BHE42" s="56"/>
      <c r="BHF42" s="57"/>
      <c r="BHG42" s="57"/>
      <c r="BHH42" s="57"/>
      <c r="BHI42" s="57"/>
      <c r="BHJ42" s="57"/>
      <c r="BHK42" s="56"/>
      <c r="BHL42" s="57"/>
      <c r="BHM42" s="57"/>
      <c r="BHN42" s="56"/>
      <c r="BHO42" s="57"/>
      <c r="BHP42" s="58"/>
      <c r="BHQ42" s="56"/>
      <c r="BHR42" s="57"/>
      <c r="BHS42" s="57"/>
      <c r="BHT42" s="57"/>
      <c r="BHU42" s="56"/>
      <c r="BHV42" s="57"/>
      <c r="BHW42" s="57"/>
      <c r="BHX42" s="56"/>
      <c r="BHY42" s="57"/>
      <c r="BHZ42" s="58"/>
      <c r="BIA42" s="56"/>
      <c r="BIB42" s="57"/>
      <c r="BIC42" s="57"/>
      <c r="BID42" s="57"/>
      <c r="BIE42" s="56"/>
      <c r="BIF42" s="57"/>
      <c r="BIG42" s="57"/>
      <c r="BIH42" s="57"/>
      <c r="BII42" s="57"/>
      <c r="BIJ42" s="57"/>
      <c r="BIK42" s="56"/>
      <c r="BIL42" s="57"/>
      <c r="BIM42" s="57"/>
      <c r="BIN42" s="56"/>
      <c r="BIO42" s="57"/>
      <c r="BIP42" s="58"/>
      <c r="BIQ42" s="56"/>
      <c r="BIR42" s="57"/>
      <c r="BIS42" s="57"/>
      <c r="BIT42" s="57"/>
      <c r="BIU42" s="56"/>
      <c r="BIV42" s="57"/>
      <c r="BIW42" s="57"/>
      <c r="BIX42" s="56"/>
      <c r="BIY42" s="57"/>
      <c r="BIZ42" s="58"/>
      <c r="BJA42" s="56"/>
      <c r="BJB42" s="57"/>
      <c r="BJC42" s="57"/>
      <c r="BJD42" s="57"/>
      <c r="BJE42" s="56"/>
      <c r="BJF42" s="57"/>
      <c r="BJG42" s="57"/>
      <c r="BJH42" s="57"/>
      <c r="BJI42" s="57"/>
      <c r="BJJ42" s="57"/>
      <c r="BJK42" s="56"/>
      <c r="BJL42" s="57"/>
      <c r="BJM42" s="57"/>
      <c r="BJN42" s="56"/>
      <c r="BJO42" s="57"/>
      <c r="BJP42" s="58"/>
      <c r="BJQ42" s="56"/>
      <c r="BJR42" s="57"/>
      <c r="BJS42" s="57"/>
      <c r="BJT42" s="57"/>
      <c r="BJU42" s="56"/>
      <c r="BJV42" s="57"/>
      <c r="BJW42" s="57"/>
      <c r="BJX42" s="56"/>
      <c r="BJY42" s="57"/>
      <c r="BJZ42" s="58"/>
      <c r="BKA42" s="56"/>
      <c r="BKB42" s="57"/>
      <c r="BKC42" s="57"/>
      <c r="BKD42" s="57"/>
      <c r="BKE42" s="56"/>
      <c r="BKF42" s="57"/>
      <c r="BKG42" s="57"/>
      <c r="BKH42" s="57"/>
      <c r="BKI42" s="57"/>
      <c r="BKJ42" s="57"/>
      <c r="BKK42" s="56"/>
      <c r="BKL42" s="57"/>
      <c r="BKM42" s="57"/>
      <c r="BKN42" s="56"/>
      <c r="BKO42" s="57"/>
      <c r="BKP42" s="58"/>
      <c r="BKQ42" s="56"/>
      <c r="BKR42" s="57"/>
      <c r="BKS42" s="57"/>
      <c r="BKT42" s="57"/>
      <c r="BKU42" s="56"/>
      <c r="BKV42" s="57"/>
      <c r="BKW42" s="57"/>
      <c r="BKX42" s="56"/>
      <c r="BKY42" s="57"/>
      <c r="BKZ42" s="58"/>
      <c r="BLA42" s="56"/>
      <c r="BLB42" s="57"/>
      <c r="BLC42" s="57"/>
      <c r="BLD42" s="57"/>
      <c r="BLE42" s="56"/>
      <c r="BLF42" s="57"/>
      <c r="BLG42" s="57"/>
      <c r="BLH42" s="57"/>
      <c r="BLI42" s="57"/>
      <c r="BLJ42" s="57"/>
      <c r="BLK42" s="56"/>
      <c r="BLL42" s="57"/>
      <c r="BLM42" s="57"/>
      <c r="BLN42" s="56"/>
      <c r="BLO42" s="57"/>
      <c r="BLP42" s="58"/>
      <c r="BLQ42" s="56"/>
      <c r="BLR42" s="57"/>
      <c r="BLS42" s="57"/>
      <c r="BLT42" s="57"/>
      <c r="BLU42" s="56"/>
      <c r="BLV42" s="57"/>
      <c r="BLW42" s="57"/>
      <c r="BLX42" s="56"/>
      <c r="BLY42" s="57"/>
      <c r="BLZ42" s="58"/>
      <c r="BMA42" s="56"/>
      <c r="BMB42" s="57"/>
      <c r="BMC42" s="57"/>
      <c r="BMD42" s="57"/>
      <c r="BME42" s="56"/>
      <c r="BMF42" s="57"/>
      <c r="BMG42" s="57"/>
      <c r="BMH42" s="57"/>
      <c r="BMI42" s="57"/>
      <c r="BMJ42" s="57"/>
      <c r="BMK42" s="56"/>
      <c r="BML42" s="57"/>
      <c r="BMM42" s="57"/>
      <c r="BMN42" s="56"/>
      <c r="BMO42" s="57"/>
      <c r="BMP42" s="58"/>
      <c r="BMQ42" s="56"/>
      <c r="BMR42" s="57"/>
      <c r="BMS42" s="57"/>
      <c r="BMT42" s="57"/>
      <c r="BMU42" s="56"/>
      <c r="BMV42" s="57"/>
      <c r="BMW42" s="57"/>
      <c r="BMX42" s="56"/>
      <c r="BMY42" s="57"/>
      <c r="BMZ42" s="58"/>
      <c r="BNA42" s="56"/>
      <c r="BNB42" s="57"/>
      <c r="BNC42" s="57"/>
      <c r="BND42" s="57"/>
      <c r="BNE42" s="56"/>
      <c r="BNF42" s="57"/>
      <c r="BNG42" s="57"/>
      <c r="BNH42" s="57"/>
      <c r="BNI42" s="57"/>
      <c r="BNJ42" s="57"/>
      <c r="BNK42" s="56"/>
      <c r="BNL42" s="57"/>
      <c r="BNM42" s="57"/>
      <c r="BNN42" s="56"/>
      <c r="BNO42" s="57"/>
      <c r="BNP42" s="58"/>
      <c r="BNQ42" s="56"/>
      <c r="BNR42" s="57"/>
      <c r="BNS42" s="57"/>
      <c r="BNT42" s="57"/>
      <c r="BNU42" s="56"/>
      <c r="BNV42" s="57"/>
      <c r="BNW42" s="57"/>
      <c r="BNX42" s="56"/>
      <c r="BNY42" s="57"/>
      <c r="BNZ42" s="58"/>
      <c r="BOA42" s="56"/>
      <c r="BOB42" s="57"/>
      <c r="BOC42" s="57"/>
      <c r="BOD42" s="57"/>
      <c r="BOE42" s="56"/>
      <c r="BOF42" s="57"/>
      <c r="BOG42" s="57"/>
      <c r="BOH42" s="57"/>
      <c r="BOI42" s="57"/>
      <c r="BOJ42" s="57"/>
      <c r="BOK42" s="56"/>
      <c r="BOL42" s="57"/>
      <c r="BOM42" s="57"/>
      <c r="BON42" s="56"/>
      <c r="BOO42" s="57"/>
      <c r="BOP42" s="58"/>
      <c r="BOQ42" s="56"/>
      <c r="BOR42" s="57"/>
      <c r="BOS42" s="57"/>
      <c r="BOT42" s="57"/>
      <c r="BOU42" s="56"/>
      <c r="BOV42" s="57"/>
      <c r="BOW42" s="57"/>
      <c r="BOX42" s="56"/>
      <c r="BOY42" s="57"/>
      <c r="BOZ42" s="58"/>
      <c r="BPA42" s="56"/>
      <c r="BPB42" s="57"/>
      <c r="BPC42" s="57"/>
      <c r="BPD42" s="57"/>
      <c r="BPE42" s="56"/>
      <c r="BPF42" s="57"/>
      <c r="BPG42" s="57"/>
      <c r="BPH42" s="57"/>
      <c r="BPI42" s="57"/>
      <c r="BPJ42" s="57"/>
      <c r="BPK42" s="56"/>
      <c r="BPL42" s="57"/>
      <c r="BPM42" s="57"/>
      <c r="BPN42" s="56"/>
      <c r="BPO42" s="57"/>
      <c r="BPP42" s="58"/>
      <c r="BPQ42" s="56"/>
      <c r="BPR42" s="57"/>
      <c r="BPS42" s="57"/>
      <c r="BPT42" s="57"/>
      <c r="BPU42" s="56"/>
      <c r="BPV42" s="57"/>
      <c r="BPW42" s="57"/>
      <c r="BPX42" s="56"/>
      <c r="BPY42" s="57"/>
      <c r="BPZ42" s="58"/>
      <c r="BQA42" s="56"/>
      <c r="BQB42" s="57"/>
      <c r="BQC42" s="57"/>
      <c r="BQD42" s="57"/>
      <c r="BQE42" s="56"/>
      <c r="BQF42" s="57"/>
      <c r="BQG42" s="57"/>
      <c r="BQH42" s="57"/>
      <c r="BQI42" s="57"/>
      <c r="BQJ42" s="57"/>
      <c r="BQK42" s="56"/>
      <c r="BQL42" s="57"/>
      <c r="BQM42" s="57"/>
      <c r="BQN42" s="56"/>
      <c r="BQO42" s="57"/>
      <c r="BQP42" s="58"/>
      <c r="BQQ42" s="56"/>
      <c r="BQR42" s="57"/>
      <c r="BQS42" s="57"/>
      <c r="BQT42" s="57"/>
      <c r="BQU42" s="56"/>
      <c r="BQV42" s="57"/>
      <c r="BQW42" s="57"/>
      <c r="BQX42" s="56"/>
      <c r="BQY42" s="57"/>
      <c r="BQZ42" s="58"/>
      <c r="BRA42" s="56"/>
      <c r="BRB42" s="57"/>
      <c r="BRC42" s="57"/>
      <c r="BRD42" s="57"/>
      <c r="BRE42" s="56"/>
      <c r="BRF42" s="57"/>
      <c r="BRG42" s="57"/>
      <c r="BRH42" s="57"/>
      <c r="BRI42" s="57"/>
      <c r="BRJ42" s="57"/>
      <c r="BRK42" s="56"/>
      <c r="BRL42" s="57"/>
      <c r="BRM42" s="57"/>
      <c r="BRN42" s="56"/>
      <c r="BRO42" s="57"/>
      <c r="BRP42" s="58"/>
      <c r="BRQ42" s="56"/>
      <c r="BRR42" s="57"/>
      <c r="BRS42" s="57"/>
      <c r="BRT42" s="57"/>
      <c r="BRU42" s="56"/>
      <c r="BRV42" s="57"/>
      <c r="BRW42" s="57"/>
      <c r="BRX42" s="56"/>
      <c r="BRY42" s="57"/>
      <c r="BRZ42" s="58"/>
      <c r="BSA42" s="56"/>
      <c r="BSB42" s="57"/>
      <c r="BSC42" s="57"/>
      <c r="BSD42" s="57"/>
      <c r="BSE42" s="56"/>
      <c r="BSF42" s="57"/>
      <c r="BSG42" s="57"/>
      <c r="BSH42" s="57"/>
      <c r="BSI42" s="57"/>
      <c r="BSJ42" s="57"/>
      <c r="BSK42" s="56"/>
      <c r="BSL42" s="57"/>
      <c r="BSM42" s="57"/>
      <c r="BSN42" s="56"/>
      <c r="BSO42" s="57"/>
      <c r="BSP42" s="58"/>
      <c r="BSQ42" s="56"/>
      <c r="BSR42" s="57"/>
      <c r="BSS42" s="57"/>
      <c r="BST42" s="57"/>
      <c r="BSU42" s="56"/>
      <c r="BSV42" s="57"/>
      <c r="BSW42" s="57"/>
      <c r="BSX42" s="56"/>
      <c r="BSY42" s="57"/>
      <c r="BSZ42" s="58"/>
      <c r="BTA42" s="56"/>
      <c r="BTB42" s="57"/>
      <c r="BTC42" s="57"/>
      <c r="BTD42" s="57"/>
      <c r="BTE42" s="56"/>
      <c r="BTF42" s="57"/>
      <c r="BTG42" s="57"/>
      <c r="BTH42" s="57"/>
      <c r="BTI42" s="57"/>
      <c r="BTJ42" s="57"/>
      <c r="BTK42" s="56"/>
      <c r="BTL42" s="57"/>
      <c r="BTM42" s="57"/>
      <c r="BTN42" s="56"/>
      <c r="BTO42" s="57"/>
      <c r="BTP42" s="58"/>
      <c r="BTQ42" s="56"/>
      <c r="BTR42" s="57"/>
      <c r="BTS42" s="57"/>
      <c r="BTT42" s="57"/>
      <c r="BTU42" s="56"/>
      <c r="BTV42" s="57"/>
      <c r="BTW42" s="57"/>
      <c r="BTX42" s="56"/>
      <c r="BTY42" s="57"/>
      <c r="BTZ42" s="58"/>
      <c r="BUA42" s="56"/>
      <c r="BUB42" s="57"/>
      <c r="BUC42" s="57"/>
      <c r="BUD42" s="57"/>
      <c r="BUE42" s="56"/>
      <c r="BUF42" s="57"/>
      <c r="BUG42" s="57"/>
      <c r="BUH42" s="57"/>
      <c r="BUI42" s="57"/>
      <c r="BUJ42" s="57"/>
      <c r="BUK42" s="56"/>
      <c r="BUL42" s="57"/>
      <c r="BUM42" s="57"/>
      <c r="BUN42" s="56"/>
      <c r="BUO42" s="57"/>
      <c r="BUP42" s="58"/>
      <c r="BUQ42" s="56"/>
      <c r="BUR42" s="57"/>
      <c r="BUS42" s="57"/>
      <c r="BUT42" s="57"/>
      <c r="BUU42" s="56"/>
      <c r="BUV42" s="57"/>
      <c r="BUW42" s="57"/>
      <c r="BUX42" s="56"/>
      <c r="BUY42" s="57"/>
      <c r="BUZ42" s="58"/>
      <c r="BVA42" s="56"/>
      <c r="BVB42" s="57"/>
      <c r="BVC42" s="57"/>
      <c r="BVD42" s="57"/>
      <c r="BVE42" s="56"/>
      <c r="BVF42" s="57"/>
      <c r="BVG42" s="57"/>
      <c r="BVH42" s="57"/>
      <c r="BVI42" s="57"/>
      <c r="BVJ42" s="57"/>
      <c r="BVK42" s="56"/>
      <c r="BVL42" s="57"/>
      <c r="BVM42" s="57"/>
      <c r="BVN42" s="56"/>
      <c r="BVO42" s="57"/>
      <c r="BVP42" s="58"/>
      <c r="BVQ42" s="56"/>
      <c r="BVR42" s="57"/>
      <c r="BVS42" s="57"/>
      <c r="BVT42" s="57"/>
      <c r="BVU42" s="56"/>
      <c r="BVV42" s="57"/>
      <c r="BVW42" s="57"/>
      <c r="BVX42" s="56"/>
      <c r="BVY42" s="57"/>
      <c r="BVZ42" s="58"/>
      <c r="BWA42" s="56"/>
      <c r="BWB42" s="57"/>
      <c r="BWC42" s="57"/>
      <c r="BWD42" s="57"/>
      <c r="BWE42" s="56"/>
      <c r="BWF42" s="57"/>
      <c r="BWG42" s="57"/>
      <c r="BWH42" s="57"/>
      <c r="BWI42" s="57"/>
      <c r="BWJ42" s="57"/>
      <c r="BWK42" s="56"/>
      <c r="BWL42" s="57"/>
      <c r="BWM42" s="57"/>
      <c r="BWN42" s="56"/>
      <c r="BWO42" s="57"/>
      <c r="BWP42" s="58"/>
      <c r="BWQ42" s="56"/>
      <c r="BWR42" s="57"/>
      <c r="BWS42" s="57"/>
      <c r="BWT42" s="57"/>
      <c r="BWU42" s="56"/>
      <c r="BWV42" s="57"/>
      <c r="BWW42" s="57"/>
      <c r="BWX42" s="56"/>
      <c r="BWY42" s="57"/>
      <c r="BWZ42" s="58"/>
      <c r="BXA42" s="56"/>
      <c r="BXB42" s="57"/>
      <c r="BXC42" s="57"/>
      <c r="BXD42" s="57"/>
      <c r="BXE42" s="56"/>
      <c r="BXF42" s="57"/>
      <c r="BXG42" s="57"/>
      <c r="BXH42" s="57"/>
      <c r="BXI42" s="57"/>
      <c r="BXJ42" s="57"/>
      <c r="BXK42" s="56"/>
      <c r="BXL42" s="57"/>
      <c r="BXM42" s="57"/>
      <c r="BXN42" s="56"/>
      <c r="BXO42" s="57"/>
      <c r="BXP42" s="58"/>
      <c r="BXQ42" s="56"/>
      <c r="BXR42" s="57"/>
      <c r="BXS42" s="57"/>
      <c r="BXT42" s="57"/>
      <c r="BXU42" s="56"/>
      <c r="BXV42" s="57"/>
      <c r="BXW42" s="57"/>
      <c r="BXX42" s="56"/>
      <c r="BXY42" s="57"/>
      <c r="BXZ42" s="58"/>
      <c r="BYA42" s="56"/>
      <c r="BYB42" s="57"/>
      <c r="BYC42" s="57"/>
      <c r="BYD42" s="57"/>
      <c r="BYE42" s="56"/>
      <c r="BYF42" s="57"/>
      <c r="BYG42" s="57"/>
      <c r="BYH42" s="57"/>
      <c r="BYI42" s="57"/>
      <c r="BYJ42" s="57"/>
      <c r="BYK42" s="56"/>
      <c r="BYL42" s="57"/>
      <c r="BYM42" s="57"/>
      <c r="BYN42" s="56"/>
      <c r="BYO42" s="57"/>
      <c r="BYP42" s="58"/>
      <c r="BYQ42" s="56"/>
      <c r="BYR42" s="57"/>
      <c r="BYS42" s="57"/>
      <c r="BYT42" s="57"/>
      <c r="BYU42" s="56"/>
      <c r="BYV42" s="57"/>
      <c r="BYW42" s="57"/>
      <c r="BYX42" s="58"/>
      <c r="BYY42" s="57"/>
      <c r="BYZ42" s="56"/>
      <c r="BZA42" s="57"/>
      <c r="BZB42" s="56"/>
      <c r="BZC42" s="56"/>
      <c r="BZD42" s="56"/>
      <c r="BZE42" s="57"/>
      <c r="BZF42" s="57"/>
      <c r="BZG42" s="57"/>
      <c r="BZH42" s="57"/>
      <c r="BZI42" s="57"/>
      <c r="BZJ42" s="57"/>
      <c r="BZK42" s="57"/>
      <c r="BZL42" s="57"/>
      <c r="BZM42" s="57"/>
      <c r="BZN42" s="57"/>
      <c r="BZO42" s="57"/>
      <c r="BZP42" s="57"/>
      <c r="BZQ42" s="57"/>
      <c r="BZR42" s="57"/>
      <c r="BZS42" s="57"/>
      <c r="BZT42" s="57"/>
      <c r="BZU42" s="57"/>
      <c r="BZV42" s="57"/>
      <c r="BZW42" s="57"/>
      <c r="BZX42" s="57"/>
      <c r="BZY42" s="57"/>
      <c r="BZZ42" s="57"/>
      <c r="CAA42" s="57"/>
      <c r="CAB42" s="57"/>
      <c r="CAC42" s="57"/>
      <c r="CAD42" s="57"/>
      <c r="CAE42" s="57"/>
      <c r="CAF42" s="57"/>
      <c r="CAG42" s="57"/>
      <c r="CAH42" s="57"/>
      <c r="CAI42" s="57"/>
      <c r="CAJ42" s="57"/>
      <c r="CAK42" s="57"/>
      <c r="CAL42" s="57"/>
      <c r="CAM42" s="57"/>
      <c r="CAN42" s="57"/>
      <c r="CAO42" s="57"/>
      <c r="CAP42" s="58"/>
      <c r="CAQ42" s="56"/>
      <c r="CAR42" s="57"/>
      <c r="CAS42" s="57"/>
      <c r="CAT42" s="57"/>
      <c r="CAU42" s="57"/>
      <c r="CAV42" s="57"/>
      <c r="CAW42" s="56"/>
      <c r="CAX42" s="57"/>
      <c r="CAY42" s="57"/>
      <c r="CAZ42" s="56"/>
      <c r="CBA42" s="57"/>
      <c r="CBB42" s="58"/>
      <c r="CBC42" s="56"/>
      <c r="CBD42" s="57"/>
      <c r="CBE42" s="57"/>
      <c r="CBF42" s="57"/>
      <c r="CBG42" s="56"/>
      <c r="CBH42" s="57"/>
      <c r="CBI42" s="57"/>
      <c r="CBJ42" s="56"/>
      <c r="CBK42" s="57"/>
      <c r="CBL42" s="58"/>
      <c r="CBM42" s="56"/>
      <c r="CBN42" s="57"/>
      <c r="CBO42" s="57"/>
      <c r="CBP42" s="57"/>
      <c r="CBQ42" s="56"/>
      <c r="CBR42" s="57"/>
      <c r="CBS42" s="57"/>
      <c r="CBT42" s="56"/>
      <c r="CBU42" s="57"/>
      <c r="CBV42" s="58"/>
      <c r="CBW42" s="56"/>
      <c r="CBX42" s="57"/>
      <c r="CBY42" s="57"/>
      <c r="CBZ42" s="57"/>
      <c r="CCA42" s="56"/>
      <c r="CCB42" s="57"/>
      <c r="CCC42" s="57"/>
      <c r="CCD42" s="56"/>
      <c r="CCE42" s="57"/>
      <c r="CCF42" s="58"/>
      <c r="CCG42" s="56"/>
      <c r="CCH42" s="58"/>
      <c r="CCI42" s="57"/>
      <c r="CCJ42" s="56"/>
      <c r="CCK42" s="57"/>
      <c r="CCL42" s="56"/>
      <c r="CCM42" s="56"/>
      <c r="CCN42" s="56"/>
      <c r="CCO42" s="57"/>
      <c r="CCP42" s="57"/>
      <c r="CCQ42" s="57"/>
      <c r="CCR42" s="57"/>
      <c r="CCS42" s="57"/>
      <c r="CCT42" s="57"/>
      <c r="CCU42" s="57"/>
      <c r="CCV42" s="57"/>
      <c r="CCW42" s="57"/>
      <c r="CCX42" s="57"/>
      <c r="CCY42" s="57"/>
      <c r="CCZ42" s="57"/>
      <c r="CDA42" s="57"/>
      <c r="CDB42" s="57"/>
      <c r="CDC42" s="57"/>
      <c r="CDD42" s="57"/>
      <c r="CDE42" s="57"/>
      <c r="CDF42" s="57"/>
      <c r="CDG42" s="57"/>
      <c r="CDH42" s="57"/>
      <c r="CDI42" s="57"/>
      <c r="CDJ42" s="57"/>
      <c r="CDK42" s="57"/>
      <c r="CDL42" s="57"/>
      <c r="CDM42" s="57"/>
      <c r="CDN42" s="57"/>
      <c r="CDO42" s="57"/>
      <c r="CDP42" s="57"/>
      <c r="CDQ42" s="57"/>
      <c r="CDR42" s="57"/>
      <c r="CDS42" s="57"/>
      <c r="CDT42" s="57"/>
      <c r="CDU42" s="57"/>
      <c r="CDV42" s="57"/>
      <c r="CDW42" s="57"/>
      <c r="CDX42" s="57"/>
      <c r="CDY42" s="57"/>
      <c r="CDZ42" s="58"/>
      <c r="CEA42" s="56"/>
      <c r="CEB42" s="57"/>
      <c r="CEC42" s="57"/>
      <c r="CED42" s="57"/>
      <c r="CEE42" s="57"/>
      <c r="CEF42" s="57"/>
      <c r="CEG42" s="56"/>
      <c r="CEH42" s="57"/>
      <c r="CEI42" s="57"/>
      <c r="CEJ42" s="56"/>
      <c r="CEK42" s="57"/>
      <c r="CEL42" s="58"/>
      <c r="CEM42" s="56"/>
      <c r="CEN42" s="57"/>
      <c r="CEO42" s="57"/>
      <c r="CEP42" s="57"/>
      <c r="CEQ42" s="56"/>
      <c r="CER42" s="57"/>
      <c r="CES42" s="57"/>
      <c r="CET42" s="56"/>
      <c r="CEU42" s="57"/>
      <c r="CEV42" s="58"/>
      <c r="CEW42" s="56"/>
      <c r="CEX42" s="57"/>
      <c r="CEY42" s="57"/>
      <c r="CEZ42" s="57"/>
      <c r="CFA42" s="56"/>
      <c r="CFB42" s="57"/>
      <c r="CFC42" s="57"/>
      <c r="CFD42" s="56"/>
      <c r="CFE42" s="57"/>
      <c r="CFF42" s="58"/>
      <c r="CFG42" s="56"/>
      <c r="CFH42" s="57"/>
      <c r="CFI42" s="57"/>
      <c r="CFJ42" s="57"/>
      <c r="CFK42" s="56"/>
      <c r="CFL42" s="57"/>
      <c r="CFM42" s="57"/>
      <c r="CFN42" s="56"/>
      <c r="CFO42" s="57"/>
      <c r="CFP42" s="58"/>
      <c r="CFQ42" s="56"/>
      <c r="CFR42" s="58"/>
      <c r="CFS42" s="57"/>
      <c r="CFT42" s="56"/>
      <c r="CFU42" s="57"/>
      <c r="CFV42" s="56"/>
      <c r="CFW42" s="56"/>
      <c r="CFX42" s="56"/>
      <c r="CFY42" s="57"/>
      <c r="CFZ42" s="57"/>
      <c r="CGA42" s="57"/>
      <c r="CGB42" s="57"/>
      <c r="CGC42" s="57"/>
      <c r="CGD42" s="57"/>
      <c r="CGE42" s="57"/>
      <c r="CGF42" s="57"/>
      <c r="CGG42" s="57"/>
      <c r="CGH42" s="57"/>
      <c r="CGI42" s="57"/>
      <c r="CGJ42" s="57"/>
      <c r="CGK42" s="57"/>
      <c r="CGL42" s="57"/>
      <c r="CGM42" s="57"/>
      <c r="CGN42" s="57"/>
      <c r="CGO42" s="57"/>
      <c r="CGP42" s="57"/>
      <c r="CGQ42" s="57"/>
      <c r="CGR42" s="57"/>
      <c r="CGS42" s="57"/>
      <c r="CGT42" s="57"/>
      <c r="CGU42" s="57"/>
      <c r="CGV42" s="57"/>
      <c r="CGW42" s="57"/>
      <c r="CGX42" s="57"/>
      <c r="CGY42" s="57"/>
      <c r="CGZ42" s="57"/>
      <c r="CHA42" s="57"/>
      <c r="CHB42" s="57"/>
      <c r="CHC42" s="57"/>
      <c r="CHD42" s="57"/>
      <c r="CHE42" s="57"/>
      <c r="CHF42" s="57"/>
      <c r="CHG42" s="57"/>
      <c r="CHH42" s="57"/>
      <c r="CHI42" s="57"/>
      <c r="CHJ42" s="58"/>
      <c r="CHK42" s="56"/>
      <c r="CHL42" s="57"/>
      <c r="CHM42" s="57"/>
      <c r="CHN42" s="57"/>
      <c r="CHO42" s="57"/>
      <c r="CHP42" s="57"/>
      <c r="CHQ42" s="56"/>
      <c r="CHR42" s="57"/>
      <c r="CHS42" s="57"/>
      <c r="CHT42" s="56"/>
      <c r="CHU42" s="57"/>
      <c r="CHV42" s="58"/>
      <c r="CHW42" s="56"/>
      <c r="CHX42" s="57"/>
      <c r="CHY42" s="57"/>
      <c r="CHZ42" s="57"/>
      <c r="CIA42" s="56"/>
      <c r="CIB42" s="57"/>
      <c r="CIC42" s="57"/>
      <c r="CID42" s="56"/>
      <c r="CIE42" s="57"/>
      <c r="CIF42" s="58"/>
      <c r="CIG42" s="56"/>
      <c r="CIH42" s="57"/>
      <c r="CII42" s="57"/>
      <c r="CIJ42" s="57"/>
      <c r="CIK42" s="56"/>
      <c r="CIL42" s="57"/>
      <c r="CIM42" s="57"/>
      <c r="CIN42" s="56"/>
      <c r="CIO42" s="57"/>
      <c r="CIP42" s="58"/>
      <c r="CIQ42" s="56"/>
      <c r="CIR42" s="57"/>
      <c r="CIS42" s="57"/>
      <c r="CIT42" s="57"/>
      <c r="CIU42" s="56"/>
      <c r="CIV42" s="57"/>
      <c r="CIW42" s="57"/>
      <c r="CIX42" s="56"/>
      <c r="CIY42" s="57"/>
      <c r="CIZ42" s="58"/>
      <c r="CJA42" s="56"/>
      <c r="CJB42" s="58"/>
      <c r="CJC42" s="57"/>
      <c r="CJD42" s="56"/>
      <c r="CJE42" s="57"/>
      <c r="CJF42" s="56"/>
      <c r="CJG42" s="56"/>
      <c r="CJH42" s="56"/>
      <c r="CJI42" s="57"/>
      <c r="CJJ42" s="57"/>
      <c r="CJK42" s="57"/>
      <c r="CJL42" s="57"/>
      <c r="CJM42" s="57"/>
      <c r="CJN42" s="57"/>
      <c r="CJO42" s="57"/>
      <c r="CJP42" s="57"/>
      <c r="CJQ42" s="57"/>
      <c r="CJR42" s="57"/>
      <c r="CJS42" s="57"/>
      <c r="CJT42" s="57"/>
      <c r="CJU42" s="57"/>
      <c r="CJV42" s="57"/>
      <c r="CJW42" s="57"/>
      <c r="CJX42" s="57"/>
      <c r="CJY42" s="57"/>
      <c r="CJZ42" s="57"/>
      <c r="CKA42" s="57"/>
      <c r="CKB42" s="57"/>
      <c r="CKC42" s="57"/>
      <c r="CKD42" s="57"/>
      <c r="CKE42" s="57"/>
      <c r="CKF42" s="57"/>
      <c r="CKG42" s="57"/>
      <c r="CKH42" s="57"/>
      <c r="CKI42" s="57"/>
      <c r="CKJ42" s="57"/>
      <c r="CKK42" s="57"/>
      <c r="CKL42" s="57"/>
      <c r="CKM42" s="57"/>
      <c r="CKN42" s="57"/>
      <c r="CKO42" s="57"/>
      <c r="CKP42" s="57"/>
      <c r="CKQ42" s="57"/>
      <c r="CKR42" s="57"/>
      <c r="CKS42" s="57"/>
      <c r="CKT42" s="58"/>
      <c r="CKU42" s="56"/>
      <c r="CKV42" s="57"/>
      <c r="CKW42" s="57"/>
      <c r="CKX42" s="57"/>
      <c r="CKY42" s="57"/>
      <c r="CKZ42" s="57"/>
      <c r="CLA42" s="56"/>
      <c r="CLB42" s="57"/>
      <c r="CLC42" s="57"/>
      <c r="CLD42" s="56"/>
      <c r="CLE42" s="57"/>
      <c r="CLF42" s="58"/>
      <c r="CLG42" s="56"/>
      <c r="CLH42" s="57"/>
      <c r="CLI42" s="57"/>
      <c r="CLJ42" s="57"/>
      <c r="CLK42" s="56"/>
      <c r="CLL42" s="57"/>
      <c r="CLM42" s="57"/>
      <c r="CLN42" s="56"/>
      <c r="CLO42" s="57"/>
      <c r="CLP42" s="58"/>
      <c r="CLQ42" s="56"/>
      <c r="CLR42" s="57"/>
      <c r="CLS42" s="57"/>
      <c r="CLT42" s="57"/>
      <c r="CLU42" s="56"/>
      <c r="CLV42" s="57"/>
      <c r="CLW42" s="57"/>
      <c r="CLX42" s="56"/>
      <c r="CLY42" s="57"/>
      <c r="CLZ42" s="58"/>
      <c r="CMA42" s="56"/>
      <c r="CMB42" s="57"/>
      <c r="CMC42" s="57"/>
      <c r="CMD42" s="57"/>
      <c r="CME42" s="56"/>
      <c r="CMF42" s="57"/>
      <c r="CMG42" s="57"/>
      <c r="CMH42" s="56"/>
      <c r="CMI42" s="57"/>
      <c r="CMJ42" s="58"/>
      <c r="CMK42" s="56"/>
      <c r="CML42" s="58"/>
      <c r="CMM42" s="57"/>
      <c r="CMN42" s="56"/>
      <c r="CMO42" s="57"/>
      <c r="CMP42" s="56"/>
      <c r="CMQ42" s="56"/>
      <c r="CMR42" s="56"/>
      <c r="CMS42" s="57"/>
      <c r="CMT42" s="57"/>
      <c r="CMU42" s="57"/>
      <c r="CMV42" s="57"/>
      <c r="CMW42" s="57"/>
      <c r="CMX42" s="57"/>
      <c r="CMY42" s="57"/>
      <c r="CMZ42" s="57"/>
      <c r="CNA42" s="57"/>
      <c r="CNB42" s="57"/>
      <c r="CNC42" s="57"/>
      <c r="CND42" s="57"/>
      <c r="CNE42" s="57"/>
      <c r="CNF42" s="57"/>
      <c r="CNG42" s="57"/>
      <c r="CNH42" s="57"/>
      <c r="CNI42" s="57"/>
      <c r="CNJ42" s="57"/>
      <c r="CNK42" s="57"/>
      <c r="CNL42" s="57"/>
      <c r="CNM42" s="57"/>
      <c r="CNN42" s="57"/>
      <c r="CNO42" s="57"/>
      <c r="CNP42" s="57"/>
      <c r="CNQ42" s="57"/>
      <c r="CNR42" s="57"/>
      <c r="CNS42" s="57"/>
      <c r="CNT42" s="57"/>
      <c r="CNU42" s="57"/>
      <c r="CNV42" s="57"/>
      <c r="CNW42" s="57"/>
      <c r="CNX42" s="57"/>
      <c r="CNY42" s="57"/>
      <c r="CNZ42" s="57"/>
      <c r="COA42" s="57"/>
      <c r="COB42" s="57"/>
      <c r="COC42" s="57"/>
      <c r="COD42" s="58"/>
      <c r="COE42" s="56"/>
      <c r="COF42" s="57"/>
      <c r="COG42" s="57"/>
      <c r="COH42" s="57"/>
      <c r="COI42" s="57"/>
      <c r="COJ42" s="57"/>
      <c r="COK42" s="56"/>
      <c r="COL42" s="57"/>
      <c r="COM42" s="57"/>
      <c r="CON42" s="56"/>
      <c r="COO42" s="57"/>
      <c r="COP42" s="58"/>
      <c r="COQ42" s="56"/>
      <c r="COR42" s="57"/>
      <c r="COS42" s="57"/>
      <c r="COT42" s="57"/>
      <c r="COU42" s="56"/>
      <c r="COV42" s="57"/>
      <c r="COW42" s="57"/>
      <c r="COX42" s="56"/>
      <c r="COY42" s="57"/>
      <c r="COZ42" s="58"/>
      <c r="CPA42" s="56"/>
      <c r="CPB42" s="57"/>
      <c r="CPC42" s="57"/>
      <c r="CPD42" s="57"/>
      <c r="CPE42" s="56"/>
      <c r="CPF42" s="57"/>
      <c r="CPG42" s="57"/>
      <c r="CPH42" s="56"/>
      <c r="CPI42" s="57"/>
      <c r="CPJ42" s="58"/>
      <c r="CPK42" s="56"/>
      <c r="CPL42" s="57"/>
      <c r="CPM42" s="57"/>
      <c r="CPN42" s="57"/>
      <c r="CPO42" s="56"/>
      <c r="CPP42" s="57"/>
      <c r="CPQ42" s="57"/>
      <c r="CPR42" s="56"/>
      <c r="CPS42" s="57"/>
      <c r="CPT42" s="58"/>
      <c r="CPU42" s="56"/>
      <c r="CPV42" s="58"/>
      <c r="CPW42" s="57"/>
      <c r="CPX42" s="56"/>
      <c r="CPY42" s="57"/>
      <c r="CPZ42" s="56"/>
      <c r="CQA42" s="56"/>
      <c r="CQB42" s="56"/>
      <c r="CQC42" s="57"/>
      <c r="CQD42" s="57"/>
      <c r="CQE42" s="57"/>
      <c r="CQF42" s="57"/>
      <c r="CQG42" s="57"/>
      <c r="CQH42" s="57"/>
      <c r="CQI42" s="57"/>
      <c r="CQJ42" s="57"/>
      <c r="CQK42" s="57"/>
      <c r="CQL42" s="57"/>
      <c r="CQM42" s="57"/>
      <c r="CQN42" s="57"/>
      <c r="CQO42" s="57"/>
      <c r="CQP42" s="57"/>
      <c r="CQQ42" s="57"/>
      <c r="CQR42" s="57"/>
      <c r="CQS42" s="57"/>
      <c r="CQT42" s="57"/>
      <c r="CQU42" s="57"/>
      <c r="CQV42" s="57"/>
      <c r="CQW42" s="57"/>
      <c r="CQX42" s="57"/>
      <c r="CQY42" s="57"/>
      <c r="CQZ42" s="57"/>
      <c r="CRA42" s="57"/>
      <c r="CRB42" s="57"/>
      <c r="CRC42" s="57"/>
      <c r="CRD42" s="57"/>
      <c r="CRE42" s="57"/>
      <c r="CRF42" s="57"/>
      <c r="CRG42" s="57"/>
      <c r="CRH42" s="57"/>
      <c r="CRI42" s="57"/>
      <c r="CRJ42" s="57"/>
      <c r="CRK42" s="57"/>
      <c r="CRL42" s="57"/>
      <c r="CRM42" s="57"/>
      <c r="CRN42" s="58"/>
      <c r="CRO42" s="56"/>
      <c r="CRP42" s="57"/>
      <c r="CRQ42" s="57"/>
      <c r="CRR42" s="57"/>
      <c r="CRS42" s="57"/>
      <c r="CRT42" s="57"/>
      <c r="CRU42" s="56"/>
      <c r="CRV42" s="57"/>
      <c r="CRW42" s="57"/>
      <c r="CRX42" s="56"/>
      <c r="CRY42" s="57"/>
      <c r="CRZ42" s="58"/>
      <c r="CSA42" s="56"/>
      <c r="CSB42" s="57"/>
      <c r="CSC42" s="57"/>
      <c r="CSD42" s="57"/>
      <c r="CSE42" s="56"/>
      <c r="CSF42" s="57"/>
      <c r="CSG42" s="57"/>
      <c r="CSH42" s="56"/>
      <c r="CSI42" s="57"/>
      <c r="CSJ42" s="58"/>
      <c r="CSK42" s="56"/>
      <c r="CSL42" s="57"/>
      <c r="CSM42" s="57"/>
      <c r="CSN42" s="57"/>
      <c r="CSO42" s="56"/>
      <c r="CSP42" s="57"/>
      <c r="CSQ42" s="57"/>
      <c r="CSR42" s="56"/>
      <c r="CSS42" s="57"/>
      <c r="CST42" s="58"/>
      <c r="CSU42" s="56"/>
      <c r="CSV42" s="57"/>
      <c r="CSW42" s="57"/>
      <c r="CSX42" s="57"/>
      <c r="CSY42" s="56"/>
      <c r="CSZ42" s="57"/>
      <c r="CTA42" s="57"/>
      <c r="CTB42" s="56"/>
      <c r="CTC42" s="57"/>
      <c r="CTD42" s="58"/>
      <c r="CTE42" s="56"/>
      <c r="CTF42" s="58"/>
      <c r="CTG42" s="57"/>
      <c r="CTH42" s="56"/>
      <c r="CTI42" s="57"/>
      <c r="CTJ42" s="56"/>
      <c r="CTK42" s="56"/>
      <c r="CTL42" s="56"/>
      <c r="CTM42" s="57"/>
      <c r="CTN42" s="57"/>
      <c r="CTO42" s="57"/>
      <c r="CTP42" s="57"/>
      <c r="CTQ42" s="57"/>
      <c r="CTR42" s="57"/>
      <c r="CTS42" s="57"/>
      <c r="CTT42" s="57"/>
      <c r="CTU42" s="57"/>
      <c r="CTV42" s="57"/>
      <c r="CTW42" s="57"/>
      <c r="CTX42" s="57"/>
      <c r="CTY42" s="57"/>
      <c r="CTZ42" s="57"/>
      <c r="CUA42" s="57"/>
      <c r="CUB42" s="57"/>
      <c r="CUC42" s="57"/>
      <c r="CUD42" s="57"/>
      <c r="CUE42" s="57"/>
      <c r="CUF42" s="57"/>
      <c r="CUG42" s="57"/>
      <c r="CUH42" s="57"/>
      <c r="CUI42" s="57"/>
      <c r="CUJ42" s="57"/>
      <c r="CUK42" s="57"/>
      <c r="CUL42" s="57"/>
      <c r="CUM42" s="57"/>
      <c r="CUN42" s="57"/>
      <c r="CUO42" s="57"/>
      <c r="CUP42" s="57"/>
      <c r="CUQ42" s="57"/>
      <c r="CUR42" s="57"/>
      <c r="CUS42" s="57"/>
      <c r="CUT42" s="57"/>
      <c r="CUU42" s="57"/>
      <c r="CUV42" s="57"/>
      <c r="CUW42" s="57"/>
      <c r="CUX42" s="58"/>
      <c r="CUY42" s="56"/>
      <c r="CUZ42" s="57"/>
      <c r="CVA42" s="57"/>
      <c r="CVB42" s="57"/>
      <c r="CVC42" s="57"/>
      <c r="CVD42" s="57"/>
      <c r="CVE42" s="56"/>
      <c r="CVF42" s="57"/>
      <c r="CVG42" s="57"/>
      <c r="CVH42" s="56"/>
      <c r="CVI42" s="57"/>
      <c r="CVJ42" s="58"/>
      <c r="CVK42" s="56"/>
      <c r="CVL42" s="57"/>
      <c r="CVM42" s="57"/>
      <c r="CVN42" s="57"/>
      <c r="CVO42" s="56"/>
      <c r="CVP42" s="57"/>
      <c r="CVQ42" s="57"/>
      <c r="CVR42" s="56"/>
      <c r="CVS42" s="57"/>
      <c r="CVT42" s="58"/>
      <c r="CVU42" s="56"/>
      <c r="CVV42" s="57"/>
      <c r="CVW42" s="57"/>
      <c r="CVX42" s="57"/>
      <c r="CVY42" s="56"/>
      <c r="CVZ42" s="57"/>
      <c r="CWA42" s="57"/>
      <c r="CWB42" s="56"/>
      <c r="CWC42" s="57"/>
      <c r="CWD42" s="58"/>
      <c r="CWE42" s="56"/>
      <c r="CWF42" s="57"/>
      <c r="CWG42" s="57"/>
      <c r="CWH42" s="57"/>
      <c r="CWI42" s="56"/>
      <c r="CWJ42" s="57"/>
      <c r="CWK42" s="57"/>
      <c r="CWL42" s="56"/>
      <c r="CWM42" s="57"/>
      <c r="CWN42" s="58"/>
      <c r="CWO42" s="56"/>
      <c r="CWP42" s="58"/>
      <c r="CWQ42" s="57"/>
      <c r="CWR42" s="56"/>
      <c r="CWS42" s="57"/>
      <c r="CWT42" s="56"/>
      <c r="CWU42" s="56"/>
      <c r="CWV42" s="56"/>
      <c r="CWW42" s="57"/>
      <c r="CWX42" s="57"/>
      <c r="CWY42" s="57"/>
      <c r="CWZ42" s="57"/>
      <c r="CXA42" s="57"/>
      <c r="CXB42" s="57"/>
      <c r="CXC42" s="57"/>
      <c r="CXD42" s="57"/>
      <c r="CXE42" s="57"/>
      <c r="CXF42" s="57"/>
      <c r="CXG42" s="57"/>
      <c r="CXH42" s="57"/>
      <c r="CXI42" s="57"/>
      <c r="CXJ42" s="57"/>
      <c r="CXK42" s="57"/>
      <c r="CXL42" s="57"/>
      <c r="CXM42" s="57"/>
      <c r="CXN42" s="57"/>
      <c r="CXO42" s="57"/>
      <c r="CXP42" s="57"/>
      <c r="CXQ42" s="57"/>
      <c r="CXR42" s="57"/>
      <c r="CXS42" s="57"/>
      <c r="CXT42" s="57"/>
      <c r="CXU42" s="57"/>
      <c r="CXV42" s="57"/>
      <c r="CXW42" s="57"/>
      <c r="CXX42" s="57"/>
      <c r="CXY42" s="57"/>
      <c r="CXZ42" s="57"/>
      <c r="CYA42" s="57"/>
      <c r="CYB42" s="57"/>
      <c r="CYC42" s="57"/>
      <c r="CYD42" s="57"/>
      <c r="CYE42" s="57"/>
      <c r="CYF42" s="57"/>
      <c r="CYG42" s="57"/>
      <c r="CYH42" s="58"/>
      <c r="CYI42" s="56"/>
      <c r="CYJ42" s="57"/>
      <c r="CYK42" s="57"/>
      <c r="CYL42" s="57"/>
      <c r="CYM42" s="57"/>
      <c r="CYN42" s="57"/>
      <c r="CYO42" s="56"/>
      <c r="CYP42" s="57"/>
      <c r="CYQ42" s="57"/>
      <c r="CYR42" s="56"/>
      <c r="CYS42" s="57"/>
      <c r="CYT42" s="58"/>
      <c r="CYU42" s="56"/>
      <c r="CYV42" s="57"/>
      <c r="CYW42" s="57"/>
      <c r="CYX42" s="57"/>
      <c r="CYY42" s="56"/>
      <c r="CYZ42" s="57"/>
      <c r="CZA42" s="57"/>
      <c r="CZB42" s="56"/>
      <c r="CZC42" s="57"/>
      <c r="CZD42" s="58"/>
      <c r="CZE42" s="56"/>
      <c r="CZF42" s="57"/>
      <c r="CZG42" s="57"/>
      <c r="CZH42" s="57"/>
      <c r="CZI42" s="56"/>
      <c r="CZJ42" s="57"/>
      <c r="CZK42" s="57"/>
      <c r="CZL42" s="56"/>
      <c r="CZM42" s="57"/>
      <c r="CZN42" s="58"/>
      <c r="CZO42" s="56"/>
      <c r="CZP42" s="57"/>
      <c r="CZQ42" s="57"/>
      <c r="CZR42" s="57"/>
      <c r="CZS42" s="56"/>
      <c r="CZT42" s="57"/>
      <c r="CZU42" s="57"/>
      <c r="CZV42" s="56"/>
      <c r="CZW42" s="57"/>
      <c r="CZX42" s="58"/>
      <c r="CZY42" s="56"/>
      <c r="CZZ42" s="58"/>
      <c r="DAA42" s="57"/>
      <c r="DAB42" s="56"/>
      <c r="DAC42" s="57"/>
      <c r="DAD42" s="56"/>
      <c r="DAE42" s="56"/>
      <c r="DAF42" s="56"/>
      <c r="DAG42" s="57"/>
      <c r="DAH42" s="57"/>
      <c r="DAI42" s="57"/>
      <c r="DAJ42" s="57"/>
      <c r="DAK42" s="57"/>
      <c r="DAL42" s="57"/>
      <c r="DAM42" s="57"/>
      <c r="DAN42" s="57"/>
      <c r="DAO42" s="57"/>
      <c r="DAP42" s="57"/>
      <c r="DAQ42" s="57"/>
      <c r="DAR42" s="57"/>
      <c r="DAS42" s="57"/>
      <c r="DAT42" s="57"/>
      <c r="DAU42" s="57"/>
      <c r="DAV42" s="57"/>
      <c r="DAW42" s="57"/>
      <c r="DAX42" s="57"/>
      <c r="DAY42" s="57"/>
      <c r="DAZ42" s="57"/>
      <c r="DBA42" s="57"/>
      <c r="DBB42" s="57"/>
      <c r="DBC42" s="57"/>
      <c r="DBD42" s="57"/>
      <c r="DBE42" s="57"/>
      <c r="DBF42" s="57"/>
      <c r="DBG42" s="57"/>
      <c r="DBH42" s="57"/>
      <c r="DBI42" s="57"/>
      <c r="DBJ42" s="57"/>
      <c r="DBK42" s="57"/>
      <c r="DBL42" s="57"/>
      <c r="DBM42" s="57"/>
      <c r="DBN42" s="57"/>
      <c r="DBO42" s="57"/>
      <c r="DBP42" s="57"/>
      <c r="DBQ42" s="57"/>
      <c r="DBR42" s="58"/>
      <c r="DBS42" s="56"/>
      <c r="DBT42" s="57"/>
      <c r="DBU42" s="57"/>
      <c r="DBV42" s="57"/>
      <c r="DBW42" s="57"/>
      <c r="DBX42" s="57"/>
      <c r="DBY42" s="56"/>
      <c r="DBZ42" s="57"/>
      <c r="DCA42" s="57"/>
      <c r="DCB42" s="56"/>
      <c r="DCC42" s="57"/>
      <c r="DCD42" s="58"/>
      <c r="DCE42" s="56"/>
      <c r="DCF42" s="57"/>
      <c r="DCG42" s="57"/>
      <c r="DCH42" s="57"/>
      <c r="DCI42" s="56"/>
      <c r="DCJ42" s="57"/>
      <c r="DCK42" s="57"/>
      <c r="DCL42" s="56"/>
      <c r="DCM42" s="57"/>
      <c r="DCN42" s="58"/>
      <c r="DCO42" s="56"/>
      <c r="DCP42" s="57"/>
      <c r="DCQ42" s="57"/>
      <c r="DCR42" s="57"/>
      <c r="DCS42" s="56"/>
      <c r="DCT42" s="57"/>
      <c r="DCU42" s="57"/>
      <c r="DCV42" s="56"/>
      <c r="DCW42" s="57"/>
      <c r="DCX42" s="58"/>
      <c r="DCY42" s="56"/>
      <c r="DCZ42" s="57"/>
      <c r="DDA42" s="57"/>
      <c r="DDB42" s="57"/>
      <c r="DDC42" s="56"/>
      <c r="DDD42" s="57"/>
      <c r="DDE42" s="57"/>
      <c r="DDF42" s="56"/>
      <c r="DDG42" s="57"/>
      <c r="DDH42" s="58"/>
      <c r="DDI42" s="56"/>
      <c r="DDJ42" s="58"/>
      <c r="DDK42" s="57"/>
      <c r="DDL42" s="56"/>
      <c r="DDM42" s="57"/>
      <c r="DDN42" s="56"/>
      <c r="DDO42" s="56"/>
      <c r="DDP42" s="56"/>
      <c r="DDQ42" s="57"/>
      <c r="DDR42" s="57"/>
      <c r="DDS42" s="57"/>
      <c r="DDT42" s="57"/>
      <c r="DDU42" s="57"/>
      <c r="DDV42" s="57"/>
      <c r="DDW42" s="57"/>
      <c r="DDX42" s="57"/>
      <c r="DDY42" s="57"/>
      <c r="DDZ42" s="57"/>
      <c r="DEA42" s="57"/>
      <c r="DEB42" s="57"/>
      <c r="DEC42" s="57"/>
      <c r="DED42" s="57"/>
      <c r="DEE42" s="57"/>
      <c r="DEF42" s="57"/>
      <c r="DEG42" s="57"/>
      <c r="DEH42" s="57"/>
      <c r="DEI42" s="57"/>
      <c r="DEJ42" s="57"/>
      <c r="DEK42" s="57"/>
      <c r="DEL42" s="57"/>
      <c r="DEM42" s="57"/>
      <c r="DEN42" s="57"/>
      <c r="DEO42" s="57"/>
      <c r="DEP42" s="57"/>
      <c r="DEQ42" s="57"/>
      <c r="DER42" s="57"/>
      <c r="DES42" s="57"/>
      <c r="DET42" s="57"/>
      <c r="DEU42" s="57"/>
      <c r="DEV42" s="57"/>
      <c r="DEW42" s="57"/>
      <c r="DEX42" s="57"/>
      <c r="DEY42" s="57"/>
      <c r="DEZ42" s="57"/>
      <c r="DFA42" s="57"/>
      <c r="DFB42" s="58"/>
      <c r="DFC42" s="56"/>
      <c r="DFD42" s="57"/>
      <c r="DFE42" s="57"/>
      <c r="DFF42" s="57"/>
      <c r="DFG42" s="57"/>
      <c r="DFH42" s="57"/>
      <c r="DFI42" s="56"/>
      <c r="DFJ42" s="57"/>
      <c r="DFK42" s="57"/>
      <c r="DFL42" s="56"/>
      <c r="DFM42" s="57"/>
      <c r="DFN42" s="58"/>
      <c r="DFO42" s="56"/>
      <c r="DFP42" s="57"/>
      <c r="DFQ42" s="57"/>
      <c r="DFR42" s="57"/>
      <c r="DFS42" s="56"/>
      <c r="DFT42" s="57"/>
      <c r="DFU42" s="57"/>
      <c r="DFV42" s="56"/>
      <c r="DFW42" s="57"/>
      <c r="DFX42" s="58"/>
      <c r="DFY42" s="56"/>
      <c r="DFZ42" s="57"/>
      <c r="DGA42" s="57"/>
      <c r="DGB42" s="57"/>
      <c r="DGC42" s="56"/>
      <c r="DGD42" s="57"/>
      <c r="DGE42" s="57"/>
      <c r="DGF42" s="56"/>
      <c r="DGG42" s="57"/>
      <c r="DGH42" s="58"/>
      <c r="DGI42" s="56"/>
      <c r="DGJ42" s="57"/>
      <c r="DGK42" s="57"/>
      <c r="DGL42" s="57"/>
      <c r="DGM42" s="56"/>
      <c r="DGN42" s="57"/>
      <c r="DGO42" s="57"/>
      <c r="DGP42" s="56"/>
      <c r="DGQ42" s="57"/>
      <c r="DGR42" s="58"/>
      <c r="DGS42" s="56"/>
      <c r="DGT42" s="58"/>
      <c r="DGU42" s="57"/>
      <c r="DGV42" s="56"/>
      <c r="DGW42" s="57"/>
      <c r="DGX42" s="56"/>
      <c r="DGY42" s="56"/>
      <c r="DGZ42" s="56"/>
      <c r="DHA42" s="57"/>
      <c r="DHB42" s="57"/>
      <c r="DHC42" s="57"/>
      <c r="DHD42" s="57"/>
      <c r="DHE42" s="57"/>
      <c r="DHF42" s="57"/>
      <c r="DHG42" s="57"/>
      <c r="DHH42" s="57"/>
      <c r="DHI42" s="57"/>
      <c r="DHJ42" s="57"/>
      <c r="DHK42" s="57"/>
      <c r="DHL42" s="57"/>
      <c r="DHM42" s="57"/>
      <c r="DHN42" s="57"/>
      <c r="DHO42" s="57"/>
      <c r="DHP42" s="57"/>
      <c r="DHQ42" s="57"/>
      <c r="DHR42" s="57"/>
      <c r="DHS42" s="57"/>
      <c r="DHT42" s="57"/>
      <c r="DHU42" s="57"/>
      <c r="DHV42" s="57"/>
      <c r="DHW42" s="57"/>
      <c r="DHX42" s="57"/>
      <c r="DHY42" s="57"/>
      <c r="DHZ42" s="57"/>
      <c r="DIA42" s="57"/>
      <c r="DIB42" s="57"/>
      <c r="DIC42" s="57"/>
      <c r="DID42" s="57"/>
      <c r="DIE42" s="57"/>
      <c r="DIF42" s="57"/>
      <c r="DIG42" s="57"/>
      <c r="DIH42" s="57"/>
      <c r="DII42" s="57"/>
      <c r="DIJ42" s="57"/>
      <c r="DIK42" s="57"/>
      <c r="DIL42" s="58"/>
      <c r="DIM42" s="56"/>
      <c r="DIN42" s="57"/>
      <c r="DIO42" s="57"/>
      <c r="DIP42" s="57"/>
      <c r="DIQ42" s="57"/>
      <c r="DIR42" s="57"/>
      <c r="DIS42" s="56"/>
      <c r="DIT42" s="57"/>
      <c r="DIU42" s="57"/>
      <c r="DIV42" s="56"/>
      <c r="DIW42" s="57"/>
      <c r="DIX42" s="58"/>
      <c r="DIY42" s="56"/>
      <c r="DIZ42" s="57"/>
      <c r="DJA42" s="57"/>
      <c r="DJB42" s="57"/>
      <c r="DJC42" s="56"/>
      <c r="DJD42" s="57"/>
      <c r="DJE42" s="57"/>
      <c r="DJF42" s="56"/>
      <c r="DJG42" s="57"/>
      <c r="DJH42" s="58"/>
      <c r="DJI42" s="56"/>
      <c r="DJJ42" s="57"/>
      <c r="DJK42" s="57"/>
      <c r="DJL42" s="57"/>
      <c r="DJM42" s="56"/>
      <c r="DJN42" s="57"/>
      <c r="DJO42" s="57"/>
      <c r="DJP42" s="56"/>
      <c r="DJQ42" s="57"/>
      <c r="DJR42" s="58"/>
      <c r="DJS42" s="56"/>
      <c r="DJT42" s="57"/>
      <c r="DJU42" s="57"/>
      <c r="DJV42" s="57"/>
      <c r="DJW42" s="56"/>
      <c r="DJX42" s="57"/>
      <c r="DJY42" s="57"/>
      <c r="DJZ42" s="56"/>
      <c r="DKA42" s="57"/>
      <c r="DKB42" s="58"/>
      <c r="DKC42" s="56"/>
      <c r="DKD42" s="58"/>
      <c r="DKE42" s="57"/>
      <c r="DKF42" s="56"/>
      <c r="DKG42" s="57"/>
      <c r="DKH42" s="56"/>
      <c r="DKI42" s="56"/>
      <c r="DKJ42" s="56"/>
      <c r="DKK42" s="57"/>
      <c r="DKL42" s="57"/>
      <c r="DKM42" s="57"/>
      <c r="DKN42" s="57"/>
      <c r="DKO42" s="57"/>
      <c r="DKP42" s="57"/>
      <c r="DKQ42" s="57"/>
      <c r="DKR42" s="57"/>
      <c r="DKS42" s="57"/>
      <c r="DKT42" s="57"/>
      <c r="DKU42" s="57"/>
      <c r="DKV42" s="57"/>
      <c r="DKW42" s="57"/>
      <c r="DKX42" s="57"/>
      <c r="DKY42" s="57"/>
      <c r="DKZ42" s="57"/>
      <c r="DLA42" s="57"/>
      <c r="DLB42" s="57"/>
      <c r="DLC42" s="57"/>
      <c r="DLD42" s="57"/>
      <c r="DLE42" s="57"/>
      <c r="DLF42" s="57"/>
      <c r="DLG42" s="57"/>
      <c r="DLH42" s="57"/>
      <c r="DLI42" s="57"/>
      <c r="DLJ42" s="57"/>
      <c r="DLK42" s="57"/>
      <c r="DLL42" s="57"/>
      <c r="DLM42" s="57"/>
      <c r="DLN42" s="57"/>
      <c r="DLO42" s="57"/>
      <c r="DLP42" s="57"/>
      <c r="DLQ42" s="57"/>
      <c r="DLR42" s="57"/>
      <c r="DLS42" s="57"/>
      <c r="DLT42" s="57"/>
      <c r="DLU42" s="57"/>
      <c r="DLV42" s="58"/>
      <c r="DLW42" s="56"/>
      <c r="DLX42" s="57"/>
      <c r="DLY42" s="57"/>
      <c r="DLZ42" s="57"/>
      <c r="DMA42" s="57"/>
      <c r="DMB42" s="57"/>
      <c r="DMC42" s="56"/>
      <c r="DMD42" s="57"/>
      <c r="DME42" s="57"/>
      <c r="DMF42" s="56"/>
      <c r="DMG42" s="57"/>
      <c r="DMH42" s="58"/>
      <c r="DMI42" s="56"/>
      <c r="DMJ42" s="57"/>
      <c r="DMK42" s="57"/>
      <c r="DML42" s="57"/>
      <c r="DMM42" s="56"/>
      <c r="DMN42" s="57"/>
      <c r="DMO42" s="57"/>
      <c r="DMP42" s="56"/>
      <c r="DMQ42" s="57"/>
      <c r="DMR42" s="58"/>
      <c r="DMS42" s="56"/>
      <c r="DMT42" s="57"/>
      <c r="DMU42" s="57"/>
      <c r="DMV42" s="57"/>
      <c r="DMW42" s="56"/>
      <c r="DMX42" s="57"/>
      <c r="DMY42" s="57"/>
      <c r="DMZ42" s="56"/>
      <c r="DNA42" s="57"/>
      <c r="DNB42" s="58"/>
      <c r="DNC42" s="56"/>
      <c r="DND42" s="57"/>
      <c r="DNE42" s="57"/>
      <c r="DNF42" s="57"/>
      <c r="DNG42" s="56"/>
      <c r="DNH42" s="57"/>
      <c r="DNI42" s="57"/>
      <c r="DNJ42" s="56"/>
      <c r="DNK42" s="57"/>
      <c r="DNL42" s="58"/>
      <c r="DNM42" s="56"/>
      <c r="DNN42" s="58"/>
      <c r="DNO42" s="57"/>
      <c r="DNP42" s="56"/>
      <c r="DNQ42" s="57"/>
      <c r="DNR42" s="56"/>
      <c r="DNS42" s="56"/>
      <c r="DNT42" s="56"/>
      <c r="DNU42" s="57"/>
      <c r="DNV42" s="57"/>
      <c r="DNW42" s="57"/>
      <c r="DNX42" s="57"/>
      <c r="DNY42" s="57"/>
      <c r="DNZ42" s="57"/>
      <c r="DOA42" s="57"/>
      <c r="DOB42" s="57"/>
      <c r="DOC42" s="57"/>
      <c r="DOD42" s="57"/>
      <c r="DOE42" s="57"/>
      <c r="DOF42" s="57"/>
      <c r="DOG42" s="57"/>
      <c r="DOH42" s="57"/>
      <c r="DOI42" s="57"/>
      <c r="DOJ42" s="57"/>
      <c r="DOK42" s="57"/>
      <c r="DOL42" s="57"/>
      <c r="DOM42" s="57"/>
      <c r="DON42" s="57"/>
      <c r="DOO42" s="57"/>
      <c r="DOP42" s="57"/>
      <c r="DOQ42" s="57"/>
      <c r="DOR42" s="57"/>
      <c r="DOS42" s="57"/>
      <c r="DOT42" s="57"/>
      <c r="DOU42" s="57"/>
      <c r="DOV42" s="57"/>
      <c r="DOW42" s="57"/>
      <c r="DOX42" s="57"/>
      <c r="DOY42" s="57"/>
      <c r="DOZ42" s="57"/>
      <c r="DPA42" s="57"/>
      <c r="DPB42" s="57"/>
      <c r="DPC42" s="57"/>
      <c r="DPD42" s="57"/>
      <c r="DPE42" s="57"/>
      <c r="DPF42" s="58"/>
      <c r="DPG42" s="56"/>
      <c r="DPH42" s="57"/>
      <c r="DPI42" s="57"/>
      <c r="DPJ42" s="57"/>
      <c r="DPK42" s="57"/>
      <c r="DPL42" s="57"/>
      <c r="DPM42" s="56"/>
      <c r="DPN42" s="57"/>
      <c r="DPO42" s="57"/>
      <c r="DPP42" s="56"/>
      <c r="DPQ42" s="57"/>
      <c r="DPR42" s="58"/>
      <c r="DPS42" s="56"/>
      <c r="DPT42" s="57"/>
      <c r="DPU42" s="57"/>
      <c r="DPV42" s="57"/>
      <c r="DPW42" s="56"/>
      <c r="DPX42" s="57"/>
      <c r="DPY42" s="57"/>
      <c r="DPZ42" s="56"/>
      <c r="DQA42" s="57"/>
      <c r="DQB42" s="58"/>
      <c r="DQC42" s="56"/>
      <c r="DQD42" s="57"/>
      <c r="DQE42" s="57"/>
      <c r="DQF42" s="57"/>
      <c r="DQG42" s="56"/>
      <c r="DQH42" s="57"/>
      <c r="DQI42" s="57"/>
      <c r="DQJ42" s="56"/>
      <c r="DQK42" s="57"/>
      <c r="DQL42" s="58"/>
      <c r="DQM42" s="56"/>
      <c r="DQN42" s="57"/>
      <c r="DQO42" s="57"/>
      <c r="DQP42" s="57"/>
      <c r="DQQ42" s="56"/>
      <c r="DQR42" s="57"/>
      <c r="DQS42" s="57"/>
      <c r="DQT42" s="56"/>
      <c r="DQU42" s="57"/>
      <c r="DQV42" s="58"/>
      <c r="DQW42" s="56"/>
      <c r="DQX42" s="58"/>
      <c r="DQY42" s="57"/>
      <c r="DQZ42" s="56"/>
      <c r="DRA42" s="57"/>
      <c r="DRB42" s="56"/>
      <c r="DRC42" s="56"/>
      <c r="DRD42" s="56"/>
      <c r="DRE42" s="57"/>
      <c r="DRF42" s="57"/>
      <c r="DRG42" s="57"/>
      <c r="DRH42" s="57"/>
      <c r="DRI42" s="57"/>
      <c r="DRJ42" s="57"/>
      <c r="DRK42" s="57"/>
      <c r="DRL42" s="57"/>
      <c r="DRM42" s="57"/>
      <c r="DRN42" s="57"/>
      <c r="DRO42" s="57"/>
      <c r="DRP42" s="57"/>
      <c r="DRQ42" s="57"/>
      <c r="DRR42" s="57"/>
      <c r="DRS42" s="57"/>
      <c r="DRT42" s="57"/>
      <c r="DRU42" s="57"/>
      <c r="DRV42" s="57"/>
      <c r="DRW42" s="57"/>
      <c r="DRX42" s="57"/>
      <c r="DRY42" s="57"/>
      <c r="DRZ42" s="57"/>
      <c r="DSA42" s="57"/>
      <c r="DSB42" s="57"/>
      <c r="DSC42" s="57"/>
      <c r="DSD42" s="57"/>
      <c r="DSE42" s="57"/>
      <c r="DSF42" s="57"/>
      <c r="DSG42" s="57"/>
      <c r="DSH42" s="57"/>
      <c r="DSI42" s="57"/>
      <c r="DSJ42" s="57"/>
      <c r="DSK42" s="57"/>
      <c r="DSL42" s="57"/>
      <c r="DSM42" s="57"/>
      <c r="DSN42" s="57"/>
      <c r="DSO42" s="57"/>
      <c r="DSP42" s="58"/>
      <c r="DSQ42" s="56"/>
      <c r="DSR42" s="57"/>
      <c r="DSS42" s="57"/>
      <c r="DST42" s="57"/>
      <c r="DSU42" s="57"/>
      <c r="DSV42" s="57"/>
      <c r="DSW42" s="56"/>
      <c r="DSX42" s="57"/>
      <c r="DSY42" s="57"/>
      <c r="DSZ42" s="56"/>
      <c r="DTA42" s="57"/>
      <c r="DTB42" s="58"/>
      <c r="DTC42" s="56"/>
      <c r="DTD42" s="57"/>
      <c r="DTE42" s="57"/>
      <c r="DTF42" s="57"/>
      <c r="DTG42" s="56"/>
      <c r="DTH42" s="57"/>
      <c r="DTI42" s="57"/>
      <c r="DTJ42" s="56"/>
      <c r="DTK42" s="57"/>
      <c r="DTL42" s="58"/>
      <c r="DTM42" s="56"/>
      <c r="DTN42" s="57"/>
      <c r="DTO42" s="57"/>
      <c r="DTP42" s="57"/>
      <c r="DTQ42" s="56"/>
      <c r="DTR42" s="57"/>
      <c r="DTS42" s="57"/>
      <c r="DTT42" s="56"/>
      <c r="DTU42" s="57"/>
      <c r="DTV42" s="58"/>
      <c r="DTW42" s="56"/>
      <c r="DTX42" s="57"/>
      <c r="DTY42" s="57"/>
      <c r="DTZ42" s="57"/>
      <c r="DUA42" s="56"/>
      <c r="DUB42" s="57"/>
      <c r="DUC42" s="57"/>
      <c r="DUD42" s="56"/>
      <c r="DUE42" s="57"/>
      <c r="DUF42" s="58"/>
      <c r="DUG42" s="56"/>
      <c r="DUH42" s="58"/>
      <c r="DUI42" s="57"/>
      <c r="DUJ42" s="56"/>
      <c r="DUK42" s="57"/>
      <c r="DUL42" s="56"/>
      <c r="DUM42" s="56"/>
      <c r="DUN42" s="56"/>
      <c r="DUO42" s="57"/>
      <c r="DUP42" s="57"/>
      <c r="DUQ42" s="57"/>
      <c r="DUR42" s="57"/>
      <c r="DUS42" s="57"/>
      <c r="DUT42" s="57"/>
      <c r="DUU42" s="57"/>
      <c r="DUV42" s="57"/>
      <c r="DUW42" s="57"/>
      <c r="DUX42" s="57"/>
      <c r="DUY42" s="57"/>
      <c r="DUZ42" s="57"/>
      <c r="DVA42" s="57"/>
      <c r="DVB42" s="57"/>
      <c r="DVC42" s="57"/>
      <c r="DVD42" s="57"/>
      <c r="DVE42" s="57"/>
      <c r="DVF42" s="57"/>
      <c r="DVG42" s="57"/>
      <c r="DVH42" s="57"/>
      <c r="DVI42" s="57"/>
      <c r="DVJ42" s="57"/>
      <c r="DVK42" s="57"/>
      <c r="DVL42" s="57"/>
      <c r="DVM42" s="57"/>
      <c r="DVN42" s="57"/>
      <c r="DVO42" s="57"/>
      <c r="DVP42" s="57"/>
      <c r="DVQ42" s="57"/>
      <c r="DVR42" s="57"/>
      <c r="DVS42" s="57"/>
      <c r="DVT42" s="57"/>
      <c r="DVU42" s="57"/>
      <c r="DVV42" s="57"/>
      <c r="DVW42" s="57"/>
      <c r="DVX42" s="57"/>
      <c r="DVY42" s="57"/>
      <c r="DVZ42" s="58"/>
      <c r="DWA42" s="56"/>
      <c r="DWB42" s="57"/>
      <c r="DWC42" s="57"/>
      <c r="DWD42" s="57"/>
      <c r="DWE42" s="57"/>
      <c r="DWF42" s="57"/>
      <c r="DWG42" s="56"/>
      <c r="DWH42" s="57"/>
      <c r="DWI42" s="57"/>
      <c r="DWJ42" s="56"/>
      <c r="DWK42" s="57"/>
      <c r="DWL42" s="58"/>
      <c r="DWM42" s="56"/>
      <c r="DWN42" s="57"/>
      <c r="DWO42" s="57"/>
      <c r="DWP42" s="57"/>
      <c r="DWQ42" s="56"/>
      <c r="DWR42" s="57"/>
      <c r="DWS42" s="57"/>
      <c r="DWT42" s="56"/>
      <c r="DWU42" s="57"/>
      <c r="DWV42" s="58"/>
      <c r="DWW42" s="56"/>
      <c r="DWX42" s="57"/>
      <c r="DWY42" s="57"/>
      <c r="DWZ42" s="57"/>
      <c r="DXA42" s="56"/>
      <c r="DXB42" s="57"/>
      <c r="DXC42" s="57"/>
      <c r="DXD42" s="56"/>
      <c r="DXE42" s="57"/>
      <c r="DXF42" s="58"/>
      <c r="DXG42" s="56"/>
      <c r="DXH42" s="57"/>
      <c r="DXI42" s="57"/>
      <c r="DXJ42" s="57"/>
      <c r="DXK42" s="56"/>
      <c r="DXL42" s="57"/>
      <c r="DXM42" s="57"/>
      <c r="DXN42" s="56"/>
      <c r="DXO42" s="57"/>
      <c r="DXP42" s="58"/>
      <c r="DXQ42" s="56"/>
      <c r="DXR42" s="58"/>
      <c r="DXS42" s="57"/>
      <c r="DXT42" s="56"/>
      <c r="DXU42" s="57"/>
      <c r="DXV42" s="56"/>
      <c r="DXW42" s="56"/>
      <c r="DXX42" s="56"/>
      <c r="DXY42" s="57"/>
      <c r="DXZ42" s="57"/>
      <c r="DYA42" s="57"/>
      <c r="DYB42" s="57"/>
      <c r="DYC42" s="57"/>
      <c r="DYD42" s="57"/>
      <c r="DYE42" s="57"/>
      <c r="DYF42" s="57"/>
      <c r="DYG42" s="57"/>
      <c r="DYH42" s="57"/>
      <c r="DYI42" s="57"/>
      <c r="DYJ42" s="57"/>
      <c r="DYK42" s="57"/>
      <c r="DYL42" s="57"/>
      <c r="DYM42" s="57"/>
      <c r="DYN42" s="57"/>
      <c r="DYO42" s="57"/>
      <c r="DYP42" s="57"/>
      <c r="DYQ42" s="57"/>
      <c r="DYR42" s="57"/>
      <c r="DYS42" s="57"/>
      <c r="DYT42" s="57"/>
      <c r="DYU42" s="57"/>
      <c r="DYV42" s="57"/>
      <c r="DYW42" s="57"/>
      <c r="DYX42" s="57"/>
      <c r="DYY42" s="57"/>
      <c r="DYZ42" s="57"/>
      <c r="DZA42" s="57"/>
      <c r="DZB42" s="57"/>
      <c r="DZC42" s="57"/>
      <c r="DZD42" s="57"/>
      <c r="DZE42" s="57"/>
      <c r="DZF42" s="57"/>
      <c r="DZG42" s="57"/>
      <c r="DZH42" s="57"/>
      <c r="DZI42" s="57"/>
      <c r="DZJ42" s="58"/>
      <c r="DZK42" s="56"/>
      <c r="DZL42" s="57"/>
      <c r="DZM42" s="57"/>
      <c r="DZN42" s="57"/>
      <c r="DZO42" s="57"/>
      <c r="DZP42" s="57"/>
      <c r="DZQ42" s="56"/>
      <c r="DZR42" s="57"/>
      <c r="DZS42" s="57"/>
      <c r="DZT42" s="56"/>
      <c r="DZU42" s="57"/>
      <c r="DZV42" s="58"/>
      <c r="DZW42" s="56"/>
      <c r="DZX42" s="57"/>
      <c r="DZY42" s="57"/>
      <c r="DZZ42" s="57"/>
      <c r="EAA42" s="56"/>
      <c r="EAB42" s="57"/>
      <c r="EAC42" s="57"/>
      <c r="EAD42" s="56"/>
      <c r="EAE42" s="57"/>
      <c r="EAF42" s="58"/>
      <c r="EAG42" s="56"/>
      <c r="EAH42" s="57"/>
      <c r="EAI42" s="57"/>
      <c r="EAJ42" s="57"/>
      <c r="EAK42" s="56"/>
      <c r="EAL42" s="57"/>
      <c r="EAM42" s="57"/>
      <c r="EAN42" s="56"/>
      <c r="EAO42" s="57"/>
      <c r="EAP42" s="58"/>
      <c r="EAQ42" s="56"/>
      <c r="EAR42" s="57"/>
      <c r="EAS42" s="57"/>
      <c r="EAT42" s="57"/>
      <c r="EAU42" s="56"/>
      <c r="EAV42" s="57"/>
      <c r="EAW42" s="57"/>
      <c r="EAX42" s="56"/>
      <c r="EAY42" s="57"/>
      <c r="EAZ42" s="58"/>
      <c r="EBA42" s="56"/>
      <c r="EBB42" s="58"/>
      <c r="EBC42" s="57"/>
      <c r="EBD42" s="56"/>
      <c r="EBE42" s="57"/>
      <c r="EBF42" s="56"/>
      <c r="EBG42" s="56"/>
      <c r="EBH42" s="56"/>
      <c r="EBI42" s="57"/>
      <c r="EBJ42" s="57"/>
      <c r="EBK42" s="57"/>
      <c r="EBL42" s="57"/>
      <c r="EBM42" s="57"/>
      <c r="EBN42" s="57"/>
      <c r="EBO42" s="57"/>
      <c r="EBP42" s="57"/>
      <c r="EBQ42" s="57"/>
      <c r="EBR42" s="57"/>
      <c r="EBS42" s="57"/>
      <c r="EBT42" s="57"/>
      <c r="EBU42" s="57"/>
      <c r="EBV42" s="57"/>
      <c r="EBW42" s="57"/>
      <c r="EBX42" s="57"/>
      <c r="EBY42" s="57"/>
      <c r="EBZ42" s="57"/>
      <c r="ECA42" s="57"/>
      <c r="ECB42" s="57"/>
      <c r="ECC42" s="57"/>
      <c r="ECD42" s="57"/>
      <c r="ECE42" s="57"/>
      <c r="ECF42" s="57"/>
      <c r="ECG42" s="57"/>
      <c r="ECH42" s="57"/>
      <c r="ECI42" s="57"/>
      <c r="ECJ42" s="57"/>
      <c r="ECK42" s="57"/>
      <c r="ECL42" s="57"/>
      <c r="ECM42" s="57"/>
      <c r="ECN42" s="57"/>
      <c r="ECO42" s="57"/>
      <c r="ECP42" s="57"/>
      <c r="ECQ42" s="57"/>
      <c r="ECR42" s="57"/>
      <c r="ECS42" s="57"/>
      <c r="ECT42" s="58"/>
      <c r="ECU42" s="56"/>
      <c r="ECV42" s="57"/>
      <c r="ECW42" s="57"/>
      <c r="ECX42" s="57"/>
      <c r="ECY42" s="57"/>
      <c r="ECZ42" s="57"/>
      <c r="EDA42" s="56"/>
      <c r="EDB42" s="57"/>
      <c r="EDC42" s="57"/>
      <c r="EDD42" s="56"/>
      <c r="EDE42" s="57"/>
      <c r="EDF42" s="58"/>
      <c r="EDG42" s="56"/>
      <c r="EDH42" s="57"/>
      <c r="EDI42" s="57"/>
      <c r="EDJ42" s="57"/>
      <c r="EDK42" s="56"/>
      <c r="EDL42" s="57"/>
      <c r="EDM42" s="57"/>
      <c r="EDN42" s="56"/>
      <c r="EDO42" s="57"/>
      <c r="EDP42" s="58"/>
      <c r="EDQ42" s="56"/>
      <c r="EDR42" s="57"/>
      <c r="EDS42" s="57"/>
      <c r="EDT42" s="57"/>
      <c r="EDU42" s="56"/>
      <c r="EDV42" s="57"/>
      <c r="EDW42" s="57"/>
      <c r="EDX42" s="56"/>
      <c r="EDY42" s="57"/>
      <c r="EDZ42" s="58"/>
      <c r="EEA42" s="56"/>
      <c r="EEB42" s="57"/>
      <c r="EEC42" s="57"/>
      <c r="EED42" s="57"/>
      <c r="EEE42" s="56"/>
      <c r="EEF42" s="57"/>
      <c r="EEG42" s="57"/>
      <c r="EEH42" s="56"/>
      <c r="EEI42" s="57"/>
      <c r="EEJ42" s="58"/>
      <c r="EEK42" s="56"/>
      <c r="EEL42" s="58"/>
      <c r="EEM42" s="57"/>
      <c r="EEN42" s="56"/>
      <c r="EEO42" s="57"/>
      <c r="EEP42" s="56"/>
      <c r="EEQ42" s="56"/>
      <c r="EER42" s="56"/>
      <c r="EES42" s="57"/>
      <c r="EET42" s="57"/>
      <c r="EEU42" s="57"/>
      <c r="EEV42" s="57"/>
      <c r="EEW42" s="57"/>
      <c r="EEX42" s="57"/>
      <c r="EEY42" s="57"/>
      <c r="EEZ42" s="57"/>
      <c r="EFA42" s="57"/>
      <c r="EFB42" s="57"/>
      <c r="EFC42" s="57"/>
      <c r="EFD42" s="57"/>
      <c r="EFE42" s="57"/>
      <c r="EFF42" s="57"/>
      <c r="EFG42" s="57"/>
      <c r="EFH42" s="57"/>
      <c r="EFI42" s="57"/>
      <c r="EFJ42" s="57"/>
      <c r="EFK42" s="57"/>
      <c r="EFL42" s="57"/>
      <c r="EFM42" s="57"/>
      <c r="EFN42" s="57"/>
      <c r="EFO42" s="57"/>
      <c r="EFP42" s="57"/>
      <c r="EFQ42" s="57"/>
      <c r="EFR42" s="57"/>
      <c r="EFS42" s="57"/>
      <c r="EFT42" s="57"/>
      <c r="EFU42" s="57"/>
      <c r="EFV42" s="57"/>
      <c r="EFW42" s="57"/>
      <c r="EFX42" s="57"/>
      <c r="EFY42" s="57"/>
      <c r="EFZ42" s="57"/>
      <c r="EGA42" s="57"/>
      <c r="EGB42" s="57"/>
      <c r="EGC42" s="57"/>
      <c r="EGD42" s="58"/>
      <c r="EGE42" s="56"/>
      <c r="EGF42" s="57"/>
      <c r="EGG42" s="57"/>
      <c r="EGH42" s="57"/>
      <c r="EGI42" s="57"/>
      <c r="EGJ42" s="57"/>
      <c r="EGK42" s="56"/>
      <c r="EGL42" s="57"/>
      <c r="EGM42" s="57"/>
      <c r="EGN42" s="56"/>
      <c r="EGO42" s="57"/>
      <c r="EGP42" s="58"/>
      <c r="EGQ42" s="56"/>
      <c r="EGR42" s="57"/>
      <c r="EGS42" s="57"/>
      <c r="EGT42" s="57"/>
      <c r="EGU42" s="56"/>
      <c r="EGV42" s="57"/>
      <c r="EGW42" s="57"/>
      <c r="EGX42" s="56"/>
      <c r="EGY42" s="57"/>
      <c r="EGZ42" s="58"/>
      <c r="EHA42" s="56"/>
      <c r="EHB42" s="57"/>
      <c r="EHC42" s="57"/>
      <c r="EHD42" s="57"/>
      <c r="EHE42" s="56"/>
      <c r="EHF42" s="57"/>
      <c r="EHG42" s="57"/>
      <c r="EHH42" s="56"/>
      <c r="EHI42" s="57"/>
      <c r="EHJ42" s="58"/>
      <c r="EHK42" s="56"/>
      <c r="EHL42" s="57"/>
      <c r="EHM42" s="57"/>
      <c r="EHN42" s="57"/>
      <c r="EHO42" s="56"/>
      <c r="EHP42" s="57"/>
      <c r="EHQ42" s="57"/>
      <c r="EHR42" s="56"/>
      <c r="EHS42" s="57"/>
      <c r="EHT42" s="58"/>
      <c r="EHU42" s="56"/>
      <c r="EHV42" s="58"/>
      <c r="EHW42" s="57"/>
      <c r="EHX42" s="56"/>
      <c r="EHY42" s="57"/>
      <c r="EHZ42" s="56"/>
      <c r="EIA42" s="56"/>
      <c r="EIB42" s="56"/>
      <c r="EIC42" s="57"/>
      <c r="EID42" s="57"/>
      <c r="EIE42" s="57"/>
      <c r="EIF42" s="57"/>
      <c r="EIG42" s="57"/>
      <c r="EIH42" s="57"/>
      <c r="EII42" s="57"/>
      <c r="EIJ42" s="57"/>
      <c r="EIK42" s="57"/>
      <c r="EIL42" s="57"/>
      <c r="EIM42" s="57"/>
      <c r="EIN42" s="57"/>
      <c r="EIO42" s="57"/>
      <c r="EIP42" s="57"/>
      <c r="EIQ42" s="57"/>
      <c r="EIR42" s="57"/>
      <c r="EIS42" s="57"/>
      <c r="EIT42" s="57"/>
      <c r="EIU42" s="57"/>
      <c r="EIV42" s="57"/>
      <c r="EIW42" s="57"/>
      <c r="EIX42" s="57"/>
      <c r="EIY42" s="57"/>
      <c r="EIZ42" s="57"/>
      <c r="EJA42" s="57"/>
      <c r="EJB42" s="57"/>
      <c r="EJC42" s="57"/>
      <c r="EJD42" s="57"/>
      <c r="EJE42" s="57"/>
      <c r="EJF42" s="57"/>
      <c r="EJG42" s="57"/>
      <c r="EJH42" s="57"/>
      <c r="EJI42" s="57"/>
      <c r="EJJ42" s="57"/>
      <c r="EJK42" s="57"/>
      <c r="EJL42" s="57"/>
      <c r="EJM42" s="57"/>
      <c r="EJN42" s="58"/>
      <c r="EJO42" s="56"/>
      <c r="EJP42" s="57"/>
      <c r="EJQ42" s="57"/>
      <c r="EJR42" s="57"/>
      <c r="EJS42" s="57"/>
      <c r="EJT42" s="57"/>
      <c r="EJU42" s="56"/>
      <c r="EJV42" s="57"/>
      <c r="EJW42" s="57"/>
      <c r="EJX42" s="56"/>
      <c r="EJY42" s="57"/>
      <c r="EJZ42" s="58"/>
      <c r="EKA42" s="56"/>
      <c r="EKB42" s="57"/>
      <c r="EKC42" s="57"/>
      <c r="EKD42" s="57"/>
      <c r="EKE42" s="56"/>
      <c r="EKF42" s="57"/>
      <c r="EKG42" s="57"/>
      <c r="EKH42" s="56"/>
      <c r="EKI42" s="57"/>
      <c r="EKJ42" s="58"/>
      <c r="EKK42" s="56"/>
      <c r="EKL42" s="57"/>
      <c r="EKM42" s="57"/>
      <c r="EKN42" s="57"/>
      <c r="EKO42" s="56"/>
      <c r="EKP42" s="57"/>
      <c r="EKQ42" s="57"/>
      <c r="EKR42" s="56"/>
      <c r="EKS42" s="57"/>
      <c r="EKT42" s="58"/>
      <c r="EKU42" s="56"/>
      <c r="EKV42" s="57"/>
      <c r="EKW42" s="57"/>
      <c r="EKX42" s="57"/>
      <c r="EKY42" s="56"/>
      <c r="EKZ42" s="57"/>
      <c r="ELA42" s="57"/>
      <c r="ELB42" s="56"/>
      <c r="ELC42" s="57"/>
      <c r="ELD42" s="58"/>
      <c r="ELE42" s="56"/>
      <c r="ELF42" s="58"/>
      <c r="ELG42" s="57"/>
      <c r="ELH42" s="56"/>
      <c r="ELI42" s="57"/>
      <c r="ELJ42" s="56"/>
      <c r="ELK42" s="56"/>
      <c r="ELL42" s="56"/>
      <c r="ELM42" s="57"/>
      <c r="ELN42" s="57"/>
      <c r="ELO42" s="57"/>
      <c r="ELP42" s="57"/>
      <c r="ELQ42" s="57"/>
      <c r="ELR42" s="57"/>
      <c r="ELS42" s="57"/>
      <c r="ELT42" s="57"/>
      <c r="ELU42" s="57"/>
      <c r="ELV42" s="57"/>
      <c r="ELW42" s="57"/>
      <c r="ELX42" s="57"/>
      <c r="ELY42" s="57"/>
      <c r="ELZ42" s="57"/>
      <c r="EMA42" s="57"/>
      <c r="EMB42" s="57"/>
      <c r="EMC42" s="57"/>
      <c r="EMD42" s="57"/>
      <c r="EME42" s="57"/>
      <c r="EMF42" s="57"/>
      <c r="EMG42" s="57"/>
      <c r="EMH42" s="57"/>
      <c r="EMI42" s="57"/>
      <c r="EMJ42" s="57"/>
      <c r="EMK42" s="57"/>
      <c r="EML42" s="57"/>
      <c r="EMM42" s="57"/>
      <c r="EMN42" s="57"/>
      <c r="EMO42" s="57"/>
      <c r="EMP42" s="57"/>
      <c r="EMQ42" s="57"/>
      <c r="EMR42" s="57"/>
      <c r="EMS42" s="57"/>
      <c r="EMT42" s="57"/>
      <c r="EMU42" s="57"/>
      <c r="EMV42" s="57"/>
      <c r="EMW42" s="57"/>
      <c r="EMX42" s="58"/>
      <c r="EMY42" s="56"/>
      <c r="EMZ42" s="57"/>
      <c r="ENA42" s="57"/>
      <c r="ENB42" s="57"/>
      <c r="ENC42" s="57"/>
      <c r="END42" s="57"/>
      <c r="ENE42" s="56"/>
      <c r="ENF42" s="57"/>
      <c r="ENG42" s="57"/>
      <c r="ENH42" s="56"/>
      <c r="ENI42" s="57"/>
      <c r="ENJ42" s="58"/>
      <c r="ENK42" s="56"/>
      <c r="ENL42" s="57"/>
      <c r="ENM42" s="57"/>
      <c r="ENN42" s="57"/>
      <c r="ENO42" s="56"/>
      <c r="ENP42" s="57"/>
      <c r="ENQ42" s="57"/>
      <c r="ENR42" s="56"/>
      <c r="ENS42" s="57"/>
      <c r="ENT42" s="58"/>
      <c r="ENU42" s="56"/>
      <c r="ENV42" s="57"/>
      <c r="ENW42" s="57"/>
      <c r="ENX42" s="57"/>
      <c r="ENY42" s="56"/>
      <c r="ENZ42" s="57"/>
      <c r="EOA42" s="57"/>
      <c r="EOB42" s="56"/>
      <c r="EOC42" s="57"/>
      <c r="EOD42" s="58"/>
      <c r="EOE42" s="56"/>
      <c r="EOF42" s="57"/>
      <c r="EOG42" s="57"/>
      <c r="EOH42" s="57"/>
      <c r="EOI42" s="56"/>
      <c r="EOJ42" s="57"/>
      <c r="EOK42" s="57"/>
      <c r="EOL42" s="56"/>
      <c r="EOM42" s="57"/>
      <c r="EON42" s="58"/>
      <c r="EOO42" s="56" t="str">
        <f t="shared" si="149"/>
        <v xml:space="preserve"> </v>
      </c>
      <c r="EOP42" s="58"/>
      <c r="EOQ42" s="57"/>
      <c r="EOR42" s="56"/>
      <c r="EOS42" s="57"/>
      <c r="EOT42" s="56"/>
      <c r="EOU42" s="56"/>
      <c r="EOV42" s="56"/>
      <c r="EOW42" s="57"/>
      <c r="EOX42" s="57"/>
      <c r="EOY42" s="57"/>
      <c r="EOZ42" s="57"/>
      <c r="EPA42" s="57"/>
      <c r="EPB42" s="57"/>
      <c r="EPC42" s="57"/>
      <c r="EPD42" s="57"/>
      <c r="EPE42" s="57"/>
      <c r="EPF42" s="57"/>
      <c r="EPG42" s="57"/>
      <c r="EPH42" s="57"/>
      <c r="EPI42" s="57"/>
      <c r="EPJ42" s="57"/>
      <c r="EPK42" s="57"/>
      <c r="EPL42" s="57"/>
      <c r="EPM42" s="57"/>
      <c r="EPN42" s="57"/>
      <c r="EPO42" s="57"/>
      <c r="EPP42" s="57"/>
      <c r="EPQ42" s="57"/>
      <c r="EPR42" s="57"/>
      <c r="EPS42" s="57"/>
      <c r="EPT42" s="57"/>
      <c r="EPU42" s="57"/>
      <c r="EPV42" s="57"/>
      <c r="EPW42" s="57"/>
      <c r="EPX42" s="57"/>
      <c r="EPY42" s="57"/>
      <c r="EPZ42" s="57"/>
      <c r="EQA42" s="57"/>
      <c r="EQB42" s="57"/>
      <c r="EQC42" s="57"/>
      <c r="EQD42" s="57"/>
      <c r="EQE42" s="57"/>
      <c r="EQF42" s="57"/>
      <c r="EQG42" s="57"/>
      <c r="EQH42" s="58"/>
      <c r="EQI42" s="56"/>
      <c r="EQJ42" s="57"/>
      <c r="EQK42" s="57"/>
      <c r="EQL42" s="57"/>
      <c r="EQM42" s="57"/>
      <c r="EQN42" s="57"/>
      <c r="EQO42" s="56"/>
      <c r="EQP42" s="57"/>
      <c r="EQQ42" s="57"/>
      <c r="EQR42" s="56"/>
      <c r="EQS42" s="57"/>
      <c r="EQT42" s="58"/>
      <c r="EQU42" s="56"/>
      <c r="EQV42" s="57"/>
      <c r="EQW42" s="57"/>
      <c r="EQX42" s="57"/>
      <c r="EQY42" s="56"/>
      <c r="EQZ42" s="57"/>
      <c r="ERA42" s="57"/>
      <c r="ERB42" s="56"/>
      <c r="ERC42" s="57"/>
      <c r="ERD42" s="58"/>
      <c r="ERE42" s="56"/>
      <c r="ERF42" s="57"/>
      <c r="ERG42" s="57"/>
      <c r="ERH42" s="57"/>
      <c r="ERI42" s="56"/>
      <c r="ERJ42" s="57"/>
      <c r="ERK42" s="57"/>
      <c r="ERL42" s="56"/>
      <c r="ERM42" s="57"/>
      <c r="ERN42" s="58"/>
      <c r="ERO42" s="56"/>
      <c r="ERP42" s="57"/>
      <c r="ERQ42" s="57"/>
      <c r="ERR42" s="57"/>
      <c r="ERS42" s="56"/>
      <c r="ERT42" s="57"/>
      <c r="ERU42" s="57"/>
      <c r="ERV42" s="56"/>
      <c r="ERW42" s="57"/>
      <c r="ERX42" s="58"/>
      <c r="ERY42" s="56" t="str">
        <f t="shared" si="152"/>
        <v xml:space="preserve"> </v>
      </c>
      <c r="ERZ42" s="58"/>
      <c r="ESA42" s="57"/>
      <c r="ESB42" s="56"/>
      <c r="ESC42" s="57"/>
      <c r="ESD42" s="56"/>
      <c r="ESE42" s="56"/>
      <c r="ESF42" s="56"/>
      <c r="ESG42" s="57"/>
      <c r="ESH42" s="57"/>
      <c r="ESI42" s="57"/>
      <c r="ESJ42" s="57"/>
      <c r="ESK42" s="57"/>
      <c r="ESL42" s="57"/>
      <c r="ESM42" s="57"/>
      <c r="ESN42" s="57"/>
      <c r="ESO42" s="57"/>
      <c r="ESP42" s="57"/>
      <c r="ESQ42" s="57"/>
      <c r="ESR42" s="57"/>
      <c r="ESS42" s="57"/>
      <c r="EST42" s="57"/>
      <c r="ESU42" s="57"/>
      <c r="ESV42" s="57"/>
      <c r="ESW42" s="57"/>
      <c r="ESX42" s="57"/>
      <c r="ESY42" s="57"/>
      <c r="ESZ42" s="57"/>
      <c r="ETA42" s="57"/>
      <c r="ETB42" s="57"/>
      <c r="ETC42" s="57"/>
      <c r="ETD42" s="57"/>
      <c r="ETE42" s="57"/>
      <c r="ETF42" s="57"/>
      <c r="ETG42" s="57"/>
      <c r="ETH42" s="57"/>
      <c r="ETI42" s="57"/>
      <c r="ETJ42" s="57"/>
      <c r="ETK42" s="57"/>
      <c r="ETL42" s="57"/>
      <c r="ETM42" s="57"/>
      <c r="ETN42" s="57"/>
      <c r="ETO42" s="57"/>
      <c r="ETP42" s="57"/>
      <c r="ETQ42" s="57"/>
      <c r="ETR42" s="58"/>
      <c r="ETS42" s="56"/>
      <c r="ETT42" s="57"/>
      <c r="ETU42" s="57"/>
      <c r="ETV42" s="57"/>
      <c r="ETW42" s="57"/>
      <c r="ETX42" s="57"/>
      <c r="ETY42" s="56"/>
      <c r="ETZ42" s="57"/>
      <c r="EUA42" s="57"/>
      <c r="EUB42" s="56"/>
      <c r="EUC42" s="57"/>
      <c r="EUD42" s="58"/>
      <c r="EUE42" s="56"/>
      <c r="EUF42" s="57"/>
      <c r="EUG42" s="57"/>
      <c r="EUH42" s="57"/>
      <c r="EUI42" s="56"/>
      <c r="EUJ42" s="57"/>
      <c r="EUK42" s="57"/>
      <c r="EUL42" s="56"/>
      <c r="EUM42" s="57"/>
      <c r="EUN42" s="58"/>
      <c r="EUO42" s="56"/>
      <c r="EUP42" s="57"/>
      <c r="EUQ42" s="57"/>
      <c r="EUR42" s="57"/>
      <c r="EUS42" s="56"/>
      <c r="EUT42" s="57"/>
      <c r="EUU42" s="57"/>
      <c r="EUV42" s="56"/>
      <c r="EUW42" s="57"/>
      <c r="EUX42" s="58"/>
      <c r="EUY42" s="56"/>
      <c r="EUZ42" s="57"/>
      <c r="EVA42" s="57"/>
      <c r="EVB42" s="57"/>
      <c r="EVC42" s="56"/>
      <c r="EVD42" s="57"/>
      <c r="EVE42" s="57"/>
      <c r="EVF42" s="56"/>
      <c r="EVG42" s="57"/>
      <c r="EVH42" s="58"/>
      <c r="EVI42" s="56" t="str">
        <f t="shared" si="153"/>
        <v xml:space="preserve"> </v>
      </c>
    </row>
    <row r="43" spans="1:3961" x14ac:dyDescent="0.3">
      <c r="A43" s="423" t="s">
        <v>241</v>
      </c>
      <c r="B43" s="30">
        <f>'REG y VAL POE - AESR - ESR'!B3333</f>
        <v>0</v>
      </c>
      <c r="C43" s="29">
        <f>'REG y VAL POE - AESR - ESR'!C3333</f>
        <v>0</v>
      </c>
      <c r="D43" s="28">
        <f>'REG y VAL POE - AESR - ESR'!D3333</f>
        <v>0</v>
      </c>
      <c r="E43" s="29">
        <f>'REG y VAL POE - AESR - ESR'!E3333</f>
        <v>0</v>
      </c>
      <c r="F43" s="28">
        <f>'REG y VAL POE - AESR - ESR'!F3333</f>
        <v>0</v>
      </c>
      <c r="G43" s="28">
        <f>'REG y VAL POE - AESR - ESR'!G3333</f>
        <v>0</v>
      </c>
      <c r="H43" s="28">
        <f>'REG y VAL POE - AESR - ESR'!H3333</f>
        <v>0</v>
      </c>
      <c r="I43" s="29">
        <f>'REG y VAL POE - AESR - ESR'!I3333</f>
        <v>0</v>
      </c>
      <c r="J43" s="29">
        <f>'REG y VAL POE - AESR - ESR'!J3333</f>
        <v>0</v>
      </c>
      <c r="K43" s="29">
        <f>'REG y VAL POE - AESR - ESR'!K3333</f>
        <v>0</v>
      </c>
      <c r="L43" s="29">
        <f>'REG y VAL POE - AESR - ESR'!L3333</f>
        <v>0</v>
      </c>
      <c r="M43" s="29">
        <f>'REG y VAL POE - AESR - ESR'!M3333</f>
        <v>0</v>
      </c>
      <c r="N43" s="29">
        <f>'REG y VAL POE - AESR - ESR'!N3333</f>
        <v>0</v>
      </c>
      <c r="O43" s="29">
        <f>'REG y VAL POE - AESR - ESR'!O3333</f>
        <v>0</v>
      </c>
      <c r="P43" s="29">
        <f>'REG y VAL POE - AESR - ESR'!P3333</f>
        <v>0</v>
      </c>
      <c r="Q43" s="29">
        <f>'REG y VAL POE - AESR - ESR'!Q3333</f>
        <v>0</v>
      </c>
      <c r="R43" s="29">
        <f>'REG y VAL POE - AESR - ESR'!R3333</f>
        <v>0</v>
      </c>
      <c r="S43" s="29">
        <f>'REG y VAL POE - AESR - ESR'!S3333</f>
        <v>0</v>
      </c>
      <c r="T43" s="29">
        <f>'REG y VAL POE - AESR - ESR'!T3333</f>
        <v>0</v>
      </c>
      <c r="U43" s="29">
        <f>'REG y VAL POE - AESR - ESR'!U3333</f>
        <v>0</v>
      </c>
      <c r="V43" s="29">
        <f>'REG y VAL POE - AESR - ESR'!V3333</f>
        <v>0</v>
      </c>
      <c r="W43" s="29">
        <f>'REG y VAL POE - AESR - ESR'!W3333</f>
        <v>0</v>
      </c>
      <c r="X43" s="29">
        <f>'REG y VAL POE - AESR - ESR'!X3333</f>
        <v>0</v>
      </c>
      <c r="Y43" s="29">
        <f>'REG y VAL POE - AESR - ESR'!Y3333</f>
        <v>0</v>
      </c>
      <c r="Z43" s="29">
        <f>'REG y VAL POE - AESR - ESR'!Z3333</f>
        <v>0</v>
      </c>
      <c r="AA43" s="29">
        <f>'REG y VAL POE - AESR - ESR'!AA3333</f>
        <v>0</v>
      </c>
      <c r="AB43" s="29">
        <f>'REG y VAL POE - AESR - ESR'!AB3333</f>
        <v>0</v>
      </c>
      <c r="AC43" s="29">
        <f>'REG y VAL POE - AESR - ESR'!AC3333</f>
        <v>0</v>
      </c>
      <c r="AD43" s="29">
        <f>'REG y VAL POE - AESR - ESR'!AD3333</f>
        <v>0</v>
      </c>
      <c r="AE43" s="29">
        <f>'REG y VAL POE - AESR - ESR'!AE3333</f>
        <v>0</v>
      </c>
      <c r="AF43" s="29">
        <f>'REG y VAL POE - AESR - ESR'!AF3333</f>
        <v>0</v>
      </c>
      <c r="AG43" s="29">
        <f>'REG y VAL POE - AESR - ESR'!AG3333</f>
        <v>0</v>
      </c>
      <c r="AH43" s="29">
        <f>'REG y VAL POE - AESR - ESR'!AH3333</f>
        <v>0</v>
      </c>
      <c r="AI43" s="29">
        <f>'REG y VAL POE - AESR - ESR'!AI3333</f>
        <v>0</v>
      </c>
      <c r="AJ43" s="29">
        <f>'REG y VAL POE - AESR - ESR'!AJ3333</f>
        <v>0</v>
      </c>
      <c r="AK43" s="29">
        <f>'REG y VAL POE - AESR - ESR'!AK3333</f>
        <v>0</v>
      </c>
      <c r="AL43" s="29">
        <f>'REG y VAL POE - AESR - ESR'!AL3333</f>
        <v>0</v>
      </c>
      <c r="AM43" s="29">
        <f>'REG y VAL POE - AESR - ESR'!AM3333</f>
        <v>0</v>
      </c>
      <c r="AN43" s="29">
        <f>'REG y VAL POE - AESR - ESR'!AN3333</f>
        <v>0</v>
      </c>
      <c r="AO43" s="29">
        <f>'REG y VAL POE - AESR - ESR'!AO3333</f>
        <v>0</v>
      </c>
      <c r="AP43" s="29">
        <f>'REG y VAL POE - AESR - ESR'!AP3333</f>
        <v>0</v>
      </c>
      <c r="AQ43" s="29">
        <f>'REG y VAL POE - AESR - ESR'!AQ3333</f>
        <v>0</v>
      </c>
      <c r="AR43" s="29">
        <f>'REG y VAL POE - AESR - ESR'!AR3333</f>
        <v>0</v>
      </c>
      <c r="AS43" s="29">
        <f>'REG y VAL POE - AESR - ESR'!AS3333</f>
        <v>0</v>
      </c>
      <c r="AT43" s="30">
        <f>'REG y VAL POE - AESR - ESR'!B3334</f>
        <v>0</v>
      </c>
      <c r="AU43" s="28">
        <f>'REG y VAL POE - AESR - ESR'!C3334</f>
        <v>0</v>
      </c>
      <c r="AV43" s="29">
        <f>'REG y VAL POE - AESR - ESR'!D3334</f>
        <v>0</v>
      </c>
      <c r="AW43" s="29">
        <f>'REG y VAL POE - AESR - ESR'!E3334</f>
        <v>0</v>
      </c>
      <c r="AX43" s="29">
        <f>'REG y VAL POE - AESR - ESR'!F3334</f>
        <v>0</v>
      </c>
      <c r="AY43" s="29">
        <f>'REG y VAL POE - AESR - ESR'!G3334</f>
        <v>0</v>
      </c>
      <c r="AZ43" s="29">
        <f>'REG y VAL POE - AESR - ESR'!H3334</f>
        <v>0</v>
      </c>
      <c r="BA43" s="28">
        <f>'REG y VAL POE - AESR - ESR'!I3334</f>
        <v>0</v>
      </c>
      <c r="BB43" s="29">
        <f>'REG y VAL POE - AESR - ESR'!J3334</f>
        <v>0</v>
      </c>
      <c r="BC43" s="29">
        <f>'REG y VAL POE - AESR - ESR'!K3334</f>
        <v>0</v>
      </c>
      <c r="BD43" s="28">
        <f>'REG y VAL POE - AESR - ESR'!L3334</f>
        <v>0</v>
      </c>
      <c r="BE43" s="29">
        <f>'REG y VAL POE - AESR - ESR'!M3334</f>
        <v>0</v>
      </c>
      <c r="BF43" s="30">
        <f>'REG y VAL POE - AESR - ESR'!N3334</f>
        <v>0</v>
      </c>
      <c r="BG43" s="28">
        <f>'REG y VAL POE - AESR - ESR'!O3334</f>
        <v>0</v>
      </c>
      <c r="BH43" s="29">
        <f>'REG y VAL POE - AESR - ESR'!P3334</f>
        <v>0</v>
      </c>
      <c r="BI43" s="29">
        <f>'REG y VAL POE - AESR - ESR'!Q3334</f>
        <v>0</v>
      </c>
      <c r="BJ43" s="29">
        <f>'REG y VAL POE - AESR - ESR'!R3334</f>
        <v>0</v>
      </c>
      <c r="BK43" s="28">
        <f>'REG y VAL POE - AESR - ESR'!S3334</f>
        <v>0</v>
      </c>
      <c r="BL43" s="29">
        <f>'REG y VAL POE - AESR - ESR'!T3334</f>
        <v>0</v>
      </c>
      <c r="BM43" s="29">
        <f>'REG y VAL POE - AESR - ESR'!U3334</f>
        <v>0</v>
      </c>
      <c r="BN43" s="28">
        <f>'REG y VAL POE - AESR - ESR'!V3334</f>
        <v>0</v>
      </c>
      <c r="BO43" s="29">
        <f>'REG y VAL POE - AESR - ESR'!W3334</f>
        <v>0</v>
      </c>
      <c r="BP43" s="30">
        <f>'REG y VAL POE - AESR - ESR'!X3334</f>
        <v>0</v>
      </c>
      <c r="BQ43" s="28">
        <f>'REG y VAL POE - AESR - ESR'!Y3334</f>
        <v>0</v>
      </c>
      <c r="BR43" s="29">
        <f>'REG y VAL POE - AESR - ESR'!Z3334</f>
        <v>0</v>
      </c>
      <c r="BS43" s="29">
        <f>'REG y VAL POE - AESR - ESR'!AA3334</f>
        <v>0</v>
      </c>
      <c r="BT43" s="29">
        <f>'REG y VAL POE - AESR - ESR'!AB3334</f>
        <v>0</v>
      </c>
      <c r="BU43" s="28">
        <f>'REG y VAL POE - AESR - ESR'!AC3334</f>
        <v>0</v>
      </c>
      <c r="BV43" s="29">
        <f>'REG y VAL POE - AESR - ESR'!AD3334</f>
        <v>0</v>
      </c>
      <c r="BW43" s="29">
        <f>'REG y VAL POE - AESR - ESR'!AE3334</f>
        <v>0</v>
      </c>
      <c r="BX43" s="28">
        <f>'REG y VAL POE - AESR - ESR'!AF3334</f>
        <v>0</v>
      </c>
      <c r="BY43" s="29">
        <f>'REG y VAL POE - AESR - ESR'!AG3334</f>
        <v>0</v>
      </c>
      <c r="BZ43" s="30">
        <f>'REG y VAL POE - AESR - ESR'!AH3334</f>
        <v>0</v>
      </c>
      <c r="CA43" s="28">
        <f>'REG y VAL POE - AESR - ESR'!AI3334</f>
        <v>0</v>
      </c>
      <c r="CB43" s="29">
        <f>'REG y VAL POE - AESR - ESR'!AJ3334</f>
        <v>0</v>
      </c>
      <c r="CC43" s="29">
        <f>'REG y VAL POE - AESR - ESR'!AK3334</f>
        <v>0</v>
      </c>
      <c r="CD43" s="29">
        <f>'REG y VAL POE - AESR - ESR'!AL3334</f>
        <v>0</v>
      </c>
      <c r="CE43" s="28">
        <f>'REG y VAL POE - AESR - ESR'!AM3334</f>
        <v>0</v>
      </c>
      <c r="CF43" s="29">
        <f>'REG y VAL POE - AESR - ESR'!AN3334</f>
        <v>0</v>
      </c>
      <c r="CG43" s="29">
        <f>'REG y VAL POE - AESR - ESR'!AO3334</f>
        <v>0</v>
      </c>
      <c r="CH43" s="28">
        <f>'REG y VAL POE - AESR - ESR'!AP3334</f>
        <v>0</v>
      </c>
      <c r="CI43" s="29">
        <f>'REG y VAL POE - AESR - ESR'!AQ3334</f>
        <v>0</v>
      </c>
      <c r="CJ43" s="30">
        <f>'REG y VAL POE - AESR - ESR'!AR3334</f>
        <v>0</v>
      </c>
      <c r="CK43" s="28">
        <f>'REG y VAL POE - AESR - ESR'!AS3334</f>
        <v>0</v>
      </c>
      <c r="CL43" s="29">
        <f>'REG y VAL POE - AESR - ESR'!B3335</f>
        <v>0</v>
      </c>
      <c r="CM43" s="29">
        <f>'REG y VAL POE - AESR - ESR'!C3335</f>
        <v>0</v>
      </c>
      <c r="CN43" s="29">
        <f>'REG y VAL POE - AESR - ESR'!D3335</f>
        <v>0</v>
      </c>
      <c r="CO43" s="28">
        <f>'REG y VAL POE - AESR - ESR'!E3335</f>
        <v>0</v>
      </c>
      <c r="CP43" s="29">
        <f>'REG y VAL POE - AESR - ESR'!F3335</f>
        <v>0</v>
      </c>
      <c r="CQ43" s="29">
        <f>'REG y VAL POE - AESR - ESR'!G3335</f>
        <v>0</v>
      </c>
      <c r="CR43" s="28">
        <f>'REG y VAL POE - AESR - ESR'!H3335</f>
        <v>0</v>
      </c>
      <c r="CS43" s="29">
        <f>'REG y VAL POE - AESR - ESR'!I3335</f>
        <v>0</v>
      </c>
      <c r="CT43" s="30">
        <f>'REG y VAL POE - AESR - ESR'!J3335</f>
        <v>0</v>
      </c>
      <c r="CU43" s="28">
        <f>'REG y VAL POE - AESR - ESR'!K3335</f>
        <v>0</v>
      </c>
      <c r="CV43" s="29">
        <f>'REG y VAL POE - AESR - ESR'!L3335</f>
        <v>0</v>
      </c>
      <c r="CW43" s="29">
        <f>'REG y VAL POE - AESR - ESR'!M3335</f>
        <v>0</v>
      </c>
      <c r="CX43" s="29">
        <f>'REG y VAL POE - AESR - ESR'!N3335</f>
        <v>0</v>
      </c>
      <c r="CY43" s="28">
        <f>'REG y VAL POE - AESR - ESR'!O3335</f>
        <v>0</v>
      </c>
      <c r="CZ43" s="29">
        <f>'REG y VAL POE - AESR - ESR'!P3335</f>
        <v>0</v>
      </c>
      <c r="DA43" s="29">
        <f>'REG y VAL POE - AESR - ESR'!Q3335</f>
        <v>0</v>
      </c>
      <c r="DB43" s="28">
        <f>'REG y VAL POE - AESR - ESR'!R3335</f>
        <v>0</v>
      </c>
      <c r="DC43" s="29">
        <f>'REG y VAL POE - AESR - ESR'!S3335</f>
        <v>0</v>
      </c>
      <c r="DD43" s="30">
        <f>'REG y VAL POE - AESR - ESR'!T3335</f>
        <v>0</v>
      </c>
      <c r="DE43" s="28">
        <f>'REG y VAL POE - AESR - ESR'!U3335</f>
        <v>0</v>
      </c>
      <c r="DF43" s="29">
        <f>'REG y VAL POE - AESR - ESR'!V3335</f>
        <v>0</v>
      </c>
      <c r="DG43" s="29">
        <f>'REG y VAL POE - AESR - ESR'!W3335</f>
        <v>0</v>
      </c>
      <c r="DH43" s="29">
        <f>'REG y VAL POE - AESR - ESR'!X3335</f>
        <v>0</v>
      </c>
      <c r="DI43" s="28">
        <f>'REG y VAL POE - AESR - ESR'!Y3335</f>
        <v>0</v>
      </c>
      <c r="DJ43" s="29">
        <f>'REG y VAL POE - AESR - ESR'!Z3335</f>
        <v>0</v>
      </c>
      <c r="DK43" s="29">
        <f>'REG y VAL POE - AESR - ESR'!AA3335</f>
        <v>0</v>
      </c>
      <c r="DL43" s="28">
        <f>'REG y VAL POE - AESR - ESR'!AB3335</f>
        <v>0</v>
      </c>
      <c r="DM43" s="29">
        <f>'REG y VAL POE - AESR - ESR'!AC3335</f>
        <v>0</v>
      </c>
      <c r="DN43" s="30">
        <f>'REG y VAL POE - AESR - ESR'!AD3335</f>
        <v>0</v>
      </c>
      <c r="DO43" s="28">
        <f>'REG y VAL POE - AESR - ESR'!AE3335</f>
        <v>0</v>
      </c>
      <c r="DP43" s="29">
        <f>'REG y VAL POE - AESR - ESR'!AF3335</f>
        <v>0</v>
      </c>
      <c r="DQ43" s="29">
        <f>'REG y VAL POE - AESR - ESR'!AG3335</f>
        <v>0</v>
      </c>
      <c r="DR43" s="29">
        <f>'REG y VAL POE - AESR - ESR'!AH3335</f>
        <v>0</v>
      </c>
      <c r="DS43" s="28">
        <f>'REG y VAL POE - AESR - ESR'!AI3335</f>
        <v>0</v>
      </c>
      <c r="DT43" s="29">
        <f>'REG y VAL POE - AESR - ESR'!AJ3335</f>
        <v>0</v>
      </c>
      <c r="DU43" s="29">
        <f>'REG y VAL POE - AESR - ESR'!AK3335</f>
        <v>0</v>
      </c>
      <c r="DV43" s="28">
        <f>'REG y VAL POE - AESR - ESR'!AL3335</f>
        <v>0</v>
      </c>
      <c r="DW43" s="29">
        <f>'REG y VAL POE - AESR - ESR'!AM3335</f>
        <v>0</v>
      </c>
      <c r="DX43" s="30">
        <f>'REG y VAL POE - AESR - ESR'!AN3335</f>
        <v>0</v>
      </c>
      <c r="DY43" s="28">
        <f>'REG y VAL POE - AESR - ESR'!AO3335</f>
        <v>0</v>
      </c>
      <c r="DZ43" s="29">
        <f>'REG y VAL POE - AESR - ESR'!AP3335</f>
        <v>0</v>
      </c>
      <c r="EA43" s="29">
        <f>'REG y VAL POE - AESR - ESR'!AQ3335</f>
        <v>0</v>
      </c>
      <c r="EB43" s="29">
        <f>'REG y VAL POE - AESR - ESR'!AR3335</f>
        <v>0</v>
      </c>
      <c r="EC43" s="28">
        <f>'REG y VAL POE - AESR - ESR'!AS3335</f>
        <v>0</v>
      </c>
      <c r="ED43" s="29">
        <f>'REG y VAL POE - AESR - ESR'!B3336</f>
        <v>0</v>
      </c>
      <c r="EE43" s="28">
        <f>'REG y VAL POE - AESR - ESR'!C3336</f>
        <v>0</v>
      </c>
      <c r="EF43" s="28">
        <f>'REG y VAL POE - AESR - ESR'!D3336</f>
        <v>0</v>
      </c>
      <c r="EG43" s="29">
        <f>'REG y VAL POE - AESR - ESR'!E3336</f>
        <v>0</v>
      </c>
      <c r="EH43" s="30">
        <f>'REG y VAL POE - AESR - ESR'!F3336</f>
        <v>0</v>
      </c>
      <c r="EI43" s="28">
        <f>'REG y VAL POE - AESR - ESR'!G3336</f>
        <v>0</v>
      </c>
      <c r="EJ43" s="29">
        <f>'REG y VAL POE - AESR - ESR'!H3336</f>
        <v>0</v>
      </c>
      <c r="EK43" s="29">
        <f>'REG y VAL POE - AESR - ESR'!I3336</f>
        <v>0</v>
      </c>
      <c r="EL43" s="29">
        <f>'REG y VAL POE - AESR - ESR'!J3336</f>
        <v>0</v>
      </c>
      <c r="EM43" s="28">
        <f>'REG y VAL POE - AESR - ESR'!K3336</f>
        <v>0</v>
      </c>
      <c r="EN43" s="29">
        <f>'REG y VAL POE - AESR - ESR'!L3336</f>
        <v>0</v>
      </c>
      <c r="EO43" s="33">
        <f>'REG y VAL POE - AESR - ESR'!M3336</f>
        <v>0</v>
      </c>
      <c r="EP43" s="28">
        <f>'REG y VAL POE - AESR - ESR'!N3336</f>
        <v>0</v>
      </c>
      <c r="EQ43" s="29">
        <f>'REG y VAL POE - AESR - ESR'!O3336</f>
        <v>0</v>
      </c>
      <c r="ER43" s="30">
        <f>'REG y VAL POE - AESR - ESR'!P3336</f>
        <v>0</v>
      </c>
      <c r="ES43" s="28">
        <f>'REG y VAL POE - AESR - ESR'!Q3336</f>
        <v>0</v>
      </c>
      <c r="ET43" s="29">
        <f>'REG y VAL POE - AESR - ESR'!R3336</f>
        <v>0</v>
      </c>
      <c r="EU43" s="29">
        <f>'REG y VAL POE - AESR - ESR'!S3336</f>
        <v>0</v>
      </c>
      <c r="EV43" s="29">
        <f>'REG y VAL POE - AESR - ESR'!T3336</f>
        <v>0</v>
      </c>
      <c r="EW43" s="28">
        <f>'REG y VAL POE - AESR - ESR'!U3336</f>
        <v>0</v>
      </c>
      <c r="EX43" s="29">
        <f>'REG y VAL POE - AESR - ESR'!V3336</f>
        <v>0</v>
      </c>
      <c r="EY43" s="29">
        <f>'REG y VAL POE - AESR - ESR'!W3336</f>
        <v>0</v>
      </c>
      <c r="EZ43" s="28">
        <f>'REG y VAL POE - AESR - ESR'!X3336</f>
        <v>0</v>
      </c>
      <c r="FA43" s="29">
        <f>'REG y VAL POE - AESR - ESR'!Y3336</f>
        <v>0</v>
      </c>
      <c r="FB43" s="30">
        <f>'REG y VAL POE - AESR - ESR'!Z3336</f>
        <v>0</v>
      </c>
      <c r="FC43" s="28">
        <f>'REG y VAL POE - AESR - ESR'!AA3336</f>
        <v>0</v>
      </c>
      <c r="FD43" s="29">
        <f>'REG y VAL POE - AESR - ESR'!AB3336</f>
        <v>0</v>
      </c>
      <c r="FE43" s="29">
        <f>'REG y VAL POE - AESR - ESR'!AC3336</f>
        <v>0</v>
      </c>
      <c r="FF43" s="29">
        <f>'REG y VAL POE - AESR - ESR'!AD3336</f>
        <v>0</v>
      </c>
      <c r="FG43" s="28">
        <f>'REG y VAL POE - AESR - ESR'!AE3336</f>
        <v>0</v>
      </c>
      <c r="FH43" s="29">
        <f>'REG y VAL POE - AESR - ESR'!AF3336</f>
        <v>0</v>
      </c>
      <c r="FI43" s="29">
        <f>'REG y VAL POE - AESR - ESR'!AG3336</f>
        <v>0</v>
      </c>
      <c r="FJ43" s="28">
        <f>'REG y VAL POE - AESR - ESR'!AH3336</f>
        <v>0</v>
      </c>
      <c r="FK43" s="29">
        <f>'REG y VAL POE - AESR - ESR'!AI3336</f>
        <v>0</v>
      </c>
      <c r="FL43" s="30">
        <f>'REG y VAL POE - AESR - ESR'!AJ3336</f>
        <v>0</v>
      </c>
      <c r="FM43" s="28">
        <f>'REG y VAL POE - AESR - ESR'!AK3336</f>
        <v>0</v>
      </c>
      <c r="FN43" s="29">
        <f>'REG y VAL POE - AESR - ESR'!AL3336</f>
        <v>0</v>
      </c>
      <c r="FO43" s="29">
        <f>'REG y VAL POE - AESR - ESR'!AM3336</f>
        <v>0</v>
      </c>
      <c r="FP43" s="29">
        <f>'REG y VAL POE - AESR - ESR'!AN3336</f>
        <v>0</v>
      </c>
      <c r="FQ43" s="28">
        <f>'REG y VAL POE - AESR - ESR'!AO3336</f>
        <v>0</v>
      </c>
      <c r="FR43" s="29">
        <f>'REG y VAL POE - AESR - ESR'!AP3336</f>
        <v>0</v>
      </c>
      <c r="FS43" s="29">
        <f>'REG y VAL POE - AESR - ESR'!AQ3336</f>
        <v>0</v>
      </c>
      <c r="FT43" s="28">
        <f>'REG y VAL POE - AESR - ESR'!AR3336</f>
        <v>0</v>
      </c>
      <c r="FU43" s="29">
        <f>'REG y VAL POE - AESR - ESR'!AS3336</f>
        <v>0</v>
      </c>
      <c r="FV43" s="30">
        <f>'REG y VAL POE - AESR - ESR'!B3337</f>
        <v>0</v>
      </c>
      <c r="FW43" s="28">
        <f>'REG y VAL POE - AESR - ESR'!C3337</f>
        <v>0</v>
      </c>
      <c r="FX43" s="29">
        <f>'REG y VAL POE - AESR - ESR'!D3337</f>
        <v>0</v>
      </c>
      <c r="FY43" s="29">
        <f>'REG y VAL POE - AESR - ESR'!E3337</f>
        <v>0</v>
      </c>
      <c r="FZ43" s="29">
        <f>'REG y VAL POE - AESR - ESR'!F3337</f>
        <v>0</v>
      </c>
      <c r="GA43" s="28">
        <f>'REG y VAL POE - AESR - ESR'!G3337</f>
        <v>0</v>
      </c>
      <c r="GB43" s="29">
        <f>'REG y VAL POE - AESR - ESR'!H3337</f>
        <v>0</v>
      </c>
      <c r="GC43" s="29">
        <f>'REG y VAL POE - AESR - ESR'!I3337</f>
        <v>0</v>
      </c>
      <c r="GD43" s="28">
        <f>'REG y VAL POE - AESR - ESR'!J3337</f>
        <v>0</v>
      </c>
      <c r="GE43" s="29">
        <f>'REG y VAL POE - AESR - ESR'!K3337</f>
        <v>0</v>
      </c>
      <c r="GF43" s="30">
        <f>'REG y VAL POE - AESR - ESR'!L3337</f>
        <v>0</v>
      </c>
      <c r="GG43" s="28">
        <f>'REG y VAL POE - AESR - ESR'!M3337</f>
        <v>0</v>
      </c>
      <c r="GH43" s="29">
        <f>'REG y VAL POE - AESR - ESR'!N3337</f>
        <v>0</v>
      </c>
      <c r="GI43" s="29">
        <f>'REG y VAL POE - AESR - ESR'!O3337</f>
        <v>0</v>
      </c>
      <c r="GJ43" s="29">
        <f>'REG y VAL POE - AESR - ESR'!P3337</f>
        <v>0</v>
      </c>
      <c r="GK43" s="28">
        <f>'REG y VAL POE - AESR - ESR'!Q3337</f>
        <v>0</v>
      </c>
      <c r="GL43" s="29">
        <f>'REG y VAL POE - AESR - ESR'!R3337</f>
        <v>0</v>
      </c>
      <c r="GM43" s="29">
        <f>'REG y VAL POE - AESR - ESR'!S3337</f>
        <v>0</v>
      </c>
      <c r="GN43" s="28">
        <f>'REG y VAL POE - AESR - ESR'!T3337</f>
        <v>0</v>
      </c>
      <c r="GO43" s="29">
        <f>'REG y VAL POE - AESR - ESR'!U3337</f>
        <v>0</v>
      </c>
      <c r="GP43" s="30">
        <f>'REG y VAL POE - AESR - ESR'!V3337</f>
        <v>0</v>
      </c>
      <c r="GQ43" s="28">
        <f>'REG y VAL POE - AESR - ESR'!W3337</f>
        <v>0</v>
      </c>
      <c r="GR43" s="29">
        <f>'REG y VAL POE - AESR - ESR'!X3337</f>
        <v>0</v>
      </c>
      <c r="GS43" s="29">
        <f>'REG y VAL POE - AESR - ESR'!Y3337</f>
        <v>0</v>
      </c>
      <c r="GT43" s="29">
        <f>'REG y VAL POE - AESR - ESR'!Z3337</f>
        <v>0</v>
      </c>
      <c r="GU43" s="28">
        <f>'REG y VAL POE - AESR - ESR'!AA3337</f>
        <v>0</v>
      </c>
      <c r="GV43" s="29">
        <f>'REG y VAL POE - AESR - ESR'!AB3337</f>
        <v>0</v>
      </c>
      <c r="GW43" s="29">
        <f>'REG y VAL POE - AESR - ESR'!AC3337</f>
        <v>0</v>
      </c>
      <c r="GX43" s="28">
        <f>'REG y VAL POE - AESR - ESR'!AD3337</f>
        <v>0</v>
      </c>
      <c r="GY43" s="29">
        <f>'REG y VAL POE - AESR - ESR'!AE3337</f>
        <v>0</v>
      </c>
      <c r="GZ43" s="30">
        <f>'REG y VAL POE - AESR - ESR'!AF3337</f>
        <v>0</v>
      </c>
      <c r="HA43" s="28">
        <f>'REG y VAL POE - AESR - ESR'!AG3337</f>
        <v>0</v>
      </c>
      <c r="HB43" s="29">
        <f>'REG y VAL POE - AESR - ESR'!AH3337</f>
        <v>0</v>
      </c>
      <c r="HC43" s="29">
        <f>'REG y VAL POE - AESR - ESR'!AI3337</f>
        <v>0</v>
      </c>
      <c r="HD43" s="29">
        <f>'REG y VAL POE - AESR - ESR'!AJ3337</f>
        <v>0</v>
      </c>
      <c r="HE43" s="28">
        <f>'REG y VAL POE - AESR - ESR'!AK3337</f>
        <v>0</v>
      </c>
      <c r="HF43" s="29">
        <f>'REG y VAL POE - AESR - ESR'!AL3337</f>
        <v>0</v>
      </c>
      <c r="HG43" s="29">
        <f>'REG y VAL POE - AESR - ESR'!AM3337</f>
        <v>0</v>
      </c>
      <c r="HH43" s="28">
        <f>'REG y VAL POE - AESR - ESR'!AN3337</f>
        <v>0</v>
      </c>
      <c r="HI43" s="29">
        <f>'REG y VAL POE - AESR - ESR'!AO3337</f>
        <v>0</v>
      </c>
      <c r="HJ43" s="30">
        <f>'REG y VAL POE - AESR - ESR'!AP3337</f>
        <v>0</v>
      </c>
      <c r="HK43" s="28">
        <f>'REG y VAL POE - AESR - ESR'!AQ3337</f>
        <v>0</v>
      </c>
      <c r="HL43" s="29">
        <f>'REG y VAL POE - AESR - ESR'!AR3337</f>
        <v>0</v>
      </c>
      <c r="HM43" s="29">
        <f>'REG y VAL POE - AESR - ESR'!AS3337</f>
        <v>0</v>
      </c>
      <c r="HN43" s="29">
        <f>'REG y VAL POE - AESR - ESR'!B3338</f>
        <v>0</v>
      </c>
      <c r="HO43" s="28">
        <f>'REG y VAL POE - AESR - ESR'!C3338</f>
        <v>0</v>
      </c>
      <c r="HP43" s="29">
        <f>'REG y VAL POE - AESR - ESR'!D3338</f>
        <v>0</v>
      </c>
      <c r="HQ43" s="29">
        <f>'REG y VAL POE - AESR - ESR'!E3338</f>
        <v>0</v>
      </c>
      <c r="HR43" s="28">
        <f>'REG y VAL POE - AESR - ESR'!F3338</f>
        <v>0</v>
      </c>
      <c r="HS43" s="29">
        <f>'REG y VAL POE - AESR - ESR'!G3338</f>
        <v>0</v>
      </c>
      <c r="HT43" s="30">
        <f>'REG y VAL POE - AESR - ESR'!H3338</f>
        <v>0</v>
      </c>
      <c r="HU43" s="28">
        <f>'REG y VAL POE - AESR - ESR'!I3338</f>
        <v>0</v>
      </c>
      <c r="HV43" s="29">
        <f>'REG y VAL POE - AESR - ESR'!J3338</f>
        <v>0</v>
      </c>
      <c r="HW43" s="29">
        <f>'REG y VAL POE - AESR - ESR'!K3338</f>
        <v>0</v>
      </c>
      <c r="HX43" s="29">
        <f>'REG y VAL POE - AESR - ESR'!L3338</f>
        <v>0</v>
      </c>
      <c r="HY43" s="28">
        <f>'REG y VAL POE - AESR - ESR'!M3338</f>
        <v>0</v>
      </c>
      <c r="HZ43" s="29">
        <f>'REG y VAL POE - AESR - ESR'!N3338</f>
        <v>0</v>
      </c>
      <c r="IA43" s="29">
        <f>'REG y VAL POE - AESR - ESR'!O3338</f>
        <v>0</v>
      </c>
      <c r="IB43" s="28">
        <f>'REG y VAL POE - AESR - ESR'!P3338</f>
        <v>0</v>
      </c>
      <c r="IC43" s="29">
        <f>'REG y VAL POE - AESR - ESR'!Q3338</f>
        <v>0</v>
      </c>
      <c r="ID43" s="30">
        <f>'REG y VAL POE - AESR - ESR'!R3338</f>
        <v>0</v>
      </c>
      <c r="IE43" s="28">
        <f>'REG y VAL POE - AESR - ESR'!S3338</f>
        <v>0</v>
      </c>
      <c r="IF43" s="29">
        <f>'REG y VAL POE - AESR - ESR'!T3338</f>
        <v>0</v>
      </c>
      <c r="IG43" s="29">
        <f>'REG y VAL POE - AESR - ESR'!U3338</f>
        <v>0</v>
      </c>
      <c r="IH43" s="29">
        <f>'REG y VAL POE - AESR - ESR'!V3338</f>
        <v>0</v>
      </c>
      <c r="II43" s="28">
        <f>'REG y VAL POE - AESR - ESR'!W3338</f>
        <v>0</v>
      </c>
      <c r="IJ43" s="29">
        <f>'REG y VAL POE - AESR - ESR'!X3338</f>
        <v>0</v>
      </c>
      <c r="IK43" s="29">
        <f>'REG y VAL POE - AESR - ESR'!Y3338</f>
        <v>0</v>
      </c>
      <c r="IL43" s="28">
        <f>'REG y VAL POE - AESR - ESR'!Z3338</f>
        <v>0</v>
      </c>
      <c r="IM43" s="29">
        <f>'REG y VAL POE - AESR - ESR'!AA3338</f>
        <v>0</v>
      </c>
      <c r="IN43" s="30">
        <f>'REG y VAL POE - AESR - ESR'!AB3338</f>
        <v>0</v>
      </c>
      <c r="IO43" s="28">
        <f>'REG y VAL POE - AESR - ESR'!AC3338</f>
        <v>0</v>
      </c>
      <c r="IP43" s="29">
        <f>'REG y VAL POE - AESR - ESR'!AD3338</f>
        <v>0</v>
      </c>
      <c r="IQ43" s="29">
        <f>'REG y VAL POE - AESR - ESR'!AE3338</f>
        <v>0</v>
      </c>
      <c r="IR43" s="29">
        <f>'REG y VAL POE - AESR - ESR'!AF3338</f>
        <v>0</v>
      </c>
      <c r="IS43" s="28">
        <f>'REG y VAL POE - AESR - ESR'!AG3338</f>
        <v>0</v>
      </c>
      <c r="IT43" s="29">
        <f>'REG y VAL POE - AESR - ESR'!AH3338</f>
        <v>0</v>
      </c>
      <c r="IU43" s="29">
        <f>'REG y VAL POE - AESR - ESR'!AI3338</f>
        <v>0</v>
      </c>
      <c r="IV43" s="28">
        <f>'REG y VAL POE - AESR - ESR'!AJ3338</f>
        <v>0</v>
      </c>
      <c r="IW43" s="29">
        <f>'REG y VAL POE - AESR - ESR'!AK3338</f>
        <v>0</v>
      </c>
      <c r="IX43" s="30">
        <f>'REG y VAL POE - AESR - ESR'!AL3338</f>
        <v>0</v>
      </c>
      <c r="IY43" s="28">
        <f>'REG y VAL POE - AESR - ESR'!AM3338</f>
        <v>0</v>
      </c>
      <c r="IZ43" s="29">
        <f>'REG y VAL POE - AESR - ESR'!AN3338</f>
        <v>0</v>
      </c>
      <c r="JA43" s="29">
        <f>'REG y VAL POE - AESR - ESR'!AO3338</f>
        <v>0</v>
      </c>
      <c r="JB43" s="29">
        <f>'REG y VAL POE - AESR - ESR'!AP3338</f>
        <v>0</v>
      </c>
      <c r="JC43" s="28">
        <f>'REG y VAL POE - AESR - ESR'!AQ3338</f>
        <v>0</v>
      </c>
      <c r="JD43" s="29">
        <f>'REG y VAL POE - AESR - ESR'!AR3338</f>
        <v>0</v>
      </c>
      <c r="JE43" s="29">
        <f>'REG y VAL POE - AESR - ESR'!AS3338</f>
        <v>0</v>
      </c>
      <c r="JF43" s="28">
        <f>'REG y VAL POE - AESR - ESR'!B3339</f>
        <v>0</v>
      </c>
      <c r="JG43" s="29">
        <f>'REG y VAL POE - AESR - ESR'!C3339</f>
        <v>0</v>
      </c>
      <c r="JH43" s="30">
        <f>'REG y VAL POE - AESR - ESR'!D3339</f>
        <v>0</v>
      </c>
      <c r="JI43" s="28">
        <f>'REG y VAL POE - AESR - ESR'!E3339</f>
        <v>0</v>
      </c>
      <c r="JJ43" s="29">
        <f>'REG y VAL POE - AESR - ESR'!F3339</f>
        <v>0</v>
      </c>
      <c r="JK43" s="29">
        <f>'REG y VAL POE - AESR - ESR'!G3339</f>
        <v>0</v>
      </c>
      <c r="JL43" s="29">
        <f>'REG y VAL POE - AESR - ESR'!H3339</f>
        <v>0</v>
      </c>
      <c r="JM43" s="28">
        <f>'REG y VAL POE - AESR - ESR'!I3339</f>
        <v>0</v>
      </c>
      <c r="JN43" s="29">
        <f>'REG y VAL POE - AESR - ESR'!J3339</f>
        <v>0</v>
      </c>
      <c r="JO43" s="29">
        <f>'REG y VAL POE - AESR - ESR'!K3339</f>
        <v>0</v>
      </c>
      <c r="JP43" s="28">
        <f>'REG y VAL POE - AESR - ESR'!L3339</f>
        <v>0</v>
      </c>
      <c r="JQ43" s="29">
        <f>'REG y VAL POE - AESR - ESR'!M3339</f>
        <v>0</v>
      </c>
      <c r="JR43" s="30">
        <f>'REG y VAL POE - AESR - ESR'!N3339</f>
        <v>0</v>
      </c>
      <c r="JS43" s="28">
        <f>'REG y VAL POE - AESR - ESR'!O3339</f>
        <v>0</v>
      </c>
      <c r="JT43" s="29">
        <f>'REG y VAL POE - AESR - ESR'!P3339</f>
        <v>0</v>
      </c>
      <c r="JU43" s="29">
        <f>'REG y VAL POE - AESR - ESR'!Q3339</f>
        <v>0</v>
      </c>
      <c r="JV43" s="29">
        <f>'REG y VAL POE - AESR - ESR'!R3339</f>
        <v>0</v>
      </c>
      <c r="JW43" s="28">
        <f>'REG y VAL POE - AESR - ESR'!S3339</f>
        <v>0</v>
      </c>
      <c r="JX43" s="29">
        <f>'REG y VAL POE - AESR - ESR'!T3339</f>
        <v>0</v>
      </c>
      <c r="JY43" s="29">
        <f>'REG y VAL POE - AESR - ESR'!U3339</f>
        <v>0</v>
      </c>
      <c r="JZ43" s="28">
        <f>'REG y VAL POE - AESR - ESR'!V3339</f>
        <v>0</v>
      </c>
      <c r="KA43" s="29">
        <f>'REG y VAL POE - AESR - ESR'!W3339</f>
        <v>0</v>
      </c>
      <c r="KB43" s="30">
        <f>'REG y VAL POE - AESR - ESR'!X3339</f>
        <v>0</v>
      </c>
      <c r="KC43" s="28">
        <f>'REG y VAL POE - AESR - ESR'!Y3339</f>
        <v>0</v>
      </c>
      <c r="KD43" s="29">
        <f>'REG y VAL POE - AESR - ESR'!Z3339</f>
        <v>0</v>
      </c>
      <c r="KE43" s="29">
        <f>'REG y VAL POE - AESR - ESR'!AA3339</f>
        <v>0</v>
      </c>
      <c r="KF43" s="29">
        <f>'REG y VAL POE - AESR - ESR'!AB3339</f>
        <v>0</v>
      </c>
      <c r="KG43" s="28">
        <f>'REG y VAL POE - AESR - ESR'!AC3339</f>
        <v>0</v>
      </c>
      <c r="KH43" s="29">
        <f>'REG y VAL POE - AESR - ESR'!AD3339</f>
        <v>0</v>
      </c>
      <c r="KI43" s="29">
        <f>'REG y VAL POE - AESR - ESR'!AE3339</f>
        <v>0</v>
      </c>
      <c r="KJ43" s="28">
        <f>'REG y VAL POE - AESR - ESR'!AF3339</f>
        <v>0</v>
      </c>
      <c r="KK43" s="29">
        <f>'REG y VAL POE - AESR - ESR'!AG3339</f>
        <v>0</v>
      </c>
      <c r="KL43" s="30">
        <f>'REG y VAL POE - AESR - ESR'!AH3339</f>
        <v>0</v>
      </c>
      <c r="KM43" s="28">
        <f>'REG y VAL POE - AESR - ESR'!AI3339</f>
        <v>0</v>
      </c>
      <c r="KN43" s="29">
        <f>'REG y VAL POE - AESR - ESR'!AJ3339</f>
        <v>0</v>
      </c>
      <c r="KO43" s="29">
        <f>'REG y VAL POE - AESR - ESR'!AK3339</f>
        <v>0</v>
      </c>
      <c r="KP43" s="29">
        <f>'REG y VAL POE - AESR - ESR'!AL3339</f>
        <v>0</v>
      </c>
      <c r="KQ43" s="28">
        <f>'REG y VAL POE - AESR - ESR'!AM3339</f>
        <v>0</v>
      </c>
      <c r="KR43" s="29">
        <f>'REG y VAL POE - AESR - ESR'!AN3339</f>
        <v>0</v>
      </c>
      <c r="KS43" s="29">
        <f>'REG y VAL POE - AESR - ESR'!AO3339</f>
        <v>0</v>
      </c>
      <c r="KT43" s="28">
        <f>'REG y VAL POE - AESR - ESR'!AP3339</f>
        <v>0</v>
      </c>
      <c r="KU43" s="29">
        <f>'REG y VAL POE - AESR - ESR'!AQ3339</f>
        <v>0</v>
      </c>
      <c r="KV43" s="30">
        <f>'REG y VAL POE - AESR - ESR'!AR3339</f>
        <v>0</v>
      </c>
      <c r="KW43" s="28">
        <f>'REG y VAL POE - AESR - ESR'!AS3339</f>
        <v>0</v>
      </c>
      <c r="KX43" s="29">
        <f>'REG y VAL POE - AESR - ESR'!B3340</f>
        <v>0</v>
      </c>
      <c r="KY43" s="29">
        <f>'REG y VAL POE - AESR - ESR'!C3340</f>
        <v>0</v>
      </c>
      <c r="KZ43" s="29">
        <f>'REG y VAL POE - AESR - ESR'!D3340</f>
        <v>0</v>
      </c>
      <c r="LA43" s="28">
        <f>'REG y VAL POE - AESR - ESR'!E3340</f>
        <v>0</v>
      </c>
      <c r="LB43" s="29">
        <f>'REG y VAL POE - AESR - ESR'!F3340</f>
        <v>0</v>
      </c>
      <c r="LC43" s="29">
        <f>'REG y VAL POE - AESR - ESR'!G3340</f>
        <v>0</v>
      </c>
      <c r="LD43" s="28">
        <f>'REG y VAL POE - AESR - ESR'!H3340</f>
        <v>0</v>
      </c>
      <c r="LE43" s="29">
        <f>'REG y VAL POE - AESR - ESR'!I3340</f>
        <v>0</v>
      </c>
      <c r="LF43" s="30">
        <f>'REG y VAL POE - AESR - ESR'!J3340</f>
        <v>0</v>
      </c>
      <c r="LG43" s="28">
        <f>'REG y VAL POE - AESR - ESR'!K3340</f>
        <v>0</v>
      </c>
      <c r="LH43" s="29">
        <f>'REG y VAL POE - AESR - ESR'!L3340</f>
        <v>0</v>
      </c>
      <c r="LI43" s="29">
        <f>'REG y VAL POE - AESR - ESR'!M3340</f>
        <v>0</v>
      </c>
      <c r="LJ43" s="29">
        <f>'REG y VAL POE - AESR - ESR'!N3340</f>
        <v>0</v>
      </c>
      <c r="LK43" s="28">
        <f>'REG y VAL POE - AESR - ESR'!O3340</f>
        <v>0</v>
      </c>
      <c r="LL43" s="29">
        <f>'REG y VAL POE - AESR - ESR'!P3340</f>
        <v>0</v>
      </c>
      <c r="LM43" s="29">
        <f>'REG y VAL POE - AESR - ESR'!Q3340</f>
        <v>0</v>
      </c>
      <c r="LN43" s="28">
        <f>'REG y VAL POE - AESR - ESR'!R3340</f>
        <v>0</v>
      </c>
      <c r="LO43" s="29">
        <f>'REG y VAL POE - AESR - ESR'!S3340</f>
        <v>0</v>
      </c>
      <c r="LP43" s="30">
        <f>'REG y VAL POE - AESR - ESR'!T3340</f>
        <v>0</v>
      </c>
      <c r="LQ43" s="28">
        <f>'REG y VAL POE - AESR - ESR'!U3340</f>
        <v>0</v>
      </c>
      <c r="LR43" s="29">
        <f>'REG y VAL POE - AESR - ESR'!V3340</f>
        <v>0</v>
      </c>
      <c r="LS43" s="29">
        <f>'REG y VAL POE - AESR - ESR'!W3340</f>
        <v>0</v>
      </c>
      <c r="LT43" s="29">
        <f>'REG y VAL POE - AESR - ESR'!X3340</f>
        <v>0</v>
      </c>
      <c r="LU43" s="28">
        <f>'REG y VAL POE - AESR - ESR'!Y3340</f>
        <v>0</v>
      </c>
      <c r="LV43" s="29">
        <f>'REG y VAL POE - AESR - ESR'!Z3340</f>
        <v>0</v>
      </c>
      <c r="LW43" s="29">
        <f>'REG y VAL POE - AESR - ESR'!AA3340</f>
        <v>0</v>
      </c>
      <c r="LX43" s="28">
        <f>'REG y VAL POE - AESR - ESR'!AB3340</f>
        <v>0</v>
      </c>
      <c r="LY43" s="29">
        <f>'REG y VAL POE - AESR - ESR'!AC3340</f>
        <v>0</v>
      </c>
      <c r="LZ43" s="30">
        <f>'REG y VAL POE - AESR - ESR'!AD3340</f>
        <v>0</v>
      </c>
      <c r="MA43" s="28">
        <f>'REG y VAL POE - AESR - ESR'!AE3340</f>
        <v>0</v>
      </c>
      <c r="MB43" s="29">
        <f>'REG y VAL POE - AESR - ESR'!AF3340</f>
        <v>0</v>
      </c>
      <c r="MC43" s="29">
        <f>'REG y VAL POE - AESR - ESR'!AG3340</f>
        <v>0</v>
      </c>
      <c r="MD43" s="29">
        <f>'REG y VAL POE - AESR - ESR'!AH3340</f>
        <v>0</v>
      </c>
      <c r="ME43" s="28">
        <f>'REG y VAL POE - AESR - ESR'!AI3340</f>
        <v>0</v>
      </c>
      <c r="MF43" s="29">
        <f>'REG y VAL POE - AESR - ESR'!AJ3340</f>
        <v>0</v>
      </c>
      <c r="MG43" s="29">
        <f>'REG y VAL POE - AESR - ESR'!AK3340</f>
        <v>0</v>
      </c>
      <c r="MH43" s="28">
        <f>'REG y VAL POE - AESR - ESR'!AL3340</f>
        <v>0</v>
      </c>
      <c r="MI43" s="29">
        <f>'REG y VAL POE - AESR - ESR'!AM3340</f>
        <v>0</v>
      </c>
      <c r="MJ43" s="30">
        <f>'REG y VAL POE - AESR - ESR'!AN3340</f>
        <v>0</v>
      </c>
      <c r="MK43" s="28">
        <f>'REG y VAL POE - AESR - ESR'!AO3340</f>
        <v>0</v>
      </c>
      <c r="ML43" s="29">
        <f>'REG y VAL POE - AESR - ESR'!AP3340</f>
        <v>0</v>
      </c>
      <c r="MM43" s="29">
        <f>'REG y VAL POE - AESR - ESR'!AQ3340</f>
        <v>0</v>
      </c>
      <c r="MN43" s="29">
        <f>'REG y VAL POE - AESR - ESR'!AR3340</f>
        <v>0</v>
      </c>
      <c r="MO43" s="28">
        <f>'REG y VAL POE - AESR - ESR'!AS3340</f>
        <v>0</v>
      </c>
      <c r="MP43" s="29">
        <f>'REG y VAL POE - AESR - ESR'!B3341</f>
        <v>0</v>
      </c>
      <c r="MQ43" s="29">
        <f>'REG y VAL POE - AESR - ESR'!C3341</f>
        <v>0</v>
      </c>
      <c r="MR43" s="28">
        <f>'REG y VAL POE - AESR - ESR'!D3341</f>
        <v>0</v>
      </c>
      <c r="MS43" s="29">
        <f>'REG y VAL POE - AESR - ESR'!E3341</f>
        <v>0</v>
      </c>
      <c r="MT43" s="30">
        <f>'REG y VAL POE - AESR - ESR'!F3341</f>
        <v>0</v>
      </c>
      <c r="MU43" s="28">
        <f>'REG y VAL POE - AESR - ESR'!G3341</f>
        <v>0</v>
      </c>
      <c r="MV43" s="29">
        <f>'REG y VAL POE - AESR - ESR'!H3341</f>
        <v>0</v>
      </c>
      <c r="MW43" s="29">
        <f>'REG y VAL POE - AESR - ESR'!I3341</f>
        <v>0</v>
      </c>
      <c r="MX43" s="29">
        <f>'REG y VAL POE - AESR - ESR'!J3341</f>
        <v>0</v>
      </c>
      <c r="MY43" s="28">
        <f>'REG y VAL POE - AESR - ESR'!K3341</f>
        <v>0</v>
      </c>
      <c r="MZ43" s="29">
        <f>'REG y VAL POE - AESR - ESR'!L3341</f>
        <v>0</v>
      </c>
      <c r="NA43" s="29">
        <f>'REG y VAL POE - AESR - ESR'!M3341</f>
        <v>0</v>
      </c>
      <c r="NB43" s="28">
        <f>'REG y VAL POE - AESR - ESR'!N3341</f>
        <v>0</v>
      </c>
      <c r="NC43" s="29">
        <f>'REG y VAL POE - AESR - ESR'!O3341</f>
        <v>0</v>
      </c>
      <c r="ND43" s="30">
        <f>'REG y VAL POE - AESR - ESR'!P3341</f>
        <v>0</v>
      </c>
      <c r="NE43" s="28">
        <f>'REG y VAL POE - AESR - ESR'!Q3341</f>
        <v>0</v>
      </c>
      <c r="NF43" s="29">
        <f>'REG y VAL POE - AESR - ESR'!R3341</f>
        <v>0</v>
      </c>
      <c r="NG43" s="29">
        <f>'REG y VAL POE - AESR - ESR'!S3341</f>
        <v>0</v>
      </c>
      <c r="NH43" s="29">
        <f>'REG y VAL POE - AESR - ESR'!T3341</f>
        <v>0</v>
      </c>
      <c r="NI43" s="28">
        <f>'REG y VAL POE - AESR - ESR'!U3341</f>
        <v>0</v>
      </c>
      <c r="NJ43" s="29">
        <f>'REG y VAL POE - AESR - ESR'!V3341</f>
        <v>0</v>
      </c>
      <c r="NK43" s="29">
        <f>'REG y VAL POE - AESR - ESR'!W3341</f>
        <v>0</v>
      </c>
      <c r="NL43" s="28">
        <f>'REG y VAL POE - AESR - ESR'!X3341</f>
        <v>0</v>
      </c>
      <c r="NM43" s="29">
        <f>'REG y VAL POE - AESR - ESR'!Y3341</f>
        <v>0</v>
      </c>
      <c r="NN43" s="30">
        <f>'REG y VAL POE - AESR - ESR'!Z3341</f>
        <v>0</v>
      </c>
      <c r="NO43" s="28">
        <f>'REG y VAL POE - AESR - ESR'!AA3341</f>
        <v>0</v>
      </c>
      <c r="NP43" s="29">
        <f>'REG y VAL POE - AESR - ESR'!AB3341</f>
        <v>0</v>
      </c>
      <c r="NQ43" s="29">
        <f>'REG y VAL POE - AESR - ESR'!AC3341</f>
        <v>0</v>
      </c>
      <c r="NR43" s="29">
        <f>'REG y VAL POE - AESR - ESR'!AD3341</f>
        <v>0</v>
      </c>
      <c r="NS43" s="28">
        <f>'REG y VAL POE - AESR - ESR'!AE3341</f>
        <v>0</v>
      </c>
      <c r="NT43" s="29">
        <f>'REG y VAL POE - AESR - ESR'!AF3341</f>
        <v>0</v>
      </c>
      <c r="NU43" s="29">
        <f>'REG y VAL POE - AESR - ESR'!AG3341</f>
        <v>0</v>
      </c>
      <c r="NV43" s="28">
        <f>'REG y VAL POE - AESR - ESR'!AH3341</f>
        <v>0</v>
      </c>
      <c r="NW43" s="29">
        <f>'REG y VAL POE - AESR - ESR'!AI3341</f>
        <v>0</v>
      </c>
      <c r="NX43" s="30">
        <f>'REG y VAL POE - AESR - ESR'!AJ3341</f>
        <v>0</v>
      </c>
      <c r="NY43" s="28">
        <f>'REG y VAL POE - AESR - ESR'!AK3341</f>
        <v>0</v>
      </c>
      <c r="NZ43" s="29">
        <f>'REG y VAL POE - AESR - ESR'!AL3341</f>
        <v>0</v>
      </c>
      <c r="OA43" s="29">
        <f>'REG y VAL POE - AESR - ESR'!AM3341</f>
        <v>0</v>
      </c>
      <c r="OB43" s="29">
        <f>'REG y VAL POE - AESR - ESR'!AN3341</f>
        <v>0</v>
      </c>
      <c r="OC43" s="28">
        <f>'REG y VAL POE - AESR - ESR'!AO3341</f>
        <v>0</v>
      </c>
      <c r="OD43" s="29">
        <f>'REG y VAL POE - AESR - ESR'!AP3341</f>
        <v>0</v>
      </c>
      <c r="OE43" s="29">
        <f>'REG y VAL POE - AESR - ESR'!AQ3341</f>
        <v>0</v>
      </c>
      <c r="OF43" s="30">
        <f>'REG y VAL POE - AESR - ESR'!AR3341</f>
        <v>0</v>
      </c>
      <c r="OG43" s="30">
        <f>'REG y VAL POE - AESR - ESR'!AS3341</f>
        <v>0</v>
      </c>
      <c r="OH43" s="30">
        <f>'REG y VAL POE - AESR - ESR'!B3342</f>
        <v>0</v>
      </c>
      <c r="OI43" s="28">
        <f>'REG y VAL POE - AESR - ESR'!C3342</f>
        <v>0</v>
      </c>
      <c r="OJ43" s="30">
        <f>'REG y VAL POE - AESR - ESR'!D3342</f>
        <v>0</v>
      </c>
      <c r="OK43" s="30">
        <f>'REG y VAL POE - AESR - ESR'!E3342</f>
        <v>0</v>
      </c>
      <c r="OL43" s="30">
        <f>'REG y VAL POE - AESR - ESR'!F3342</f>
        <v>0</v>
      </c>
      <c r="OM43" s="30">
        <f>'REG y VAL POE - AESR - ESR'!G3342</f>
        <v>0</v>
      </c>
      <c r="ON43" s="30">
        <f>'REG y VAL POE - AESR - ESR'!H3342</f>
        <v>0</v>
      </c>
      <c r="OO43" s="30">
        <f>'REG y VAL POE - AESR - ESR'!I3342</f>
        <v>0</v>
      </c>
      <c r="OP43" s="28">
        <f>'REG y VAL POE - AESR - ESR'!J3342</f>
        <v>0</v>
      </c>
      <c r="OQ43" s="29">
        <f>'REG y VAL POE - AESR - ESR'!K3342</f>
        <v>0</v>
      </c>
      <c r="OR43" s="30">
        <f>'REG y VAL POE - AESR - ESR'!L3342</f>
        <v>0</v>
      </c>
      <c r="OS43" s="28">
        <f>'REG y VAL POE - AESR - ESR'!M3342</f>
        <v>0</v>
      </c>
      <c r="OT43" s="29">
        <f>'REG y VAL POE - AESR - ESR'!N3342</f>
        <v>0</v>
      </c>
      <c r="OU43" s="29">
        <f>'REG y VAL POE - AESR - ESR'!O3342</f>
        <v>0</v>
      </c>
      <c r="OV43" s="29">
        <f>'REG y VAL POE - AESR - ESR'!P3342</f>
        <v>0</v>
      </c>
      <c r="OW43" s="28">
        <f>'REG y VAL POE - AESR - ESR'!Q3342</f>
        <v>0</v>
      </c>
      <c r="OX43" s="29">
        <f>'REG y VAL POE - AESR - ESR'!R3342</f>
        <v>0</v>
      </c>
      <c r="OY43" s="29">
        <f>'REG y VAL POE - AESR - ESR'!S3342</f>
        <v>0</v>
      </c>
      <c r="OZ43" s="28">
        <f>'REG y VAL POE - AESR - ESR'!T3342</f>
        <v>0</v>
      </c>
      <c r="PA43" s="29">
        <f>'REG y VAL POE - AESR - ESR'!U3342</f>
        <v>0</v>
      </c>
      <c r="PB43" s="30">
        <f>'REG y VAL POE - AESR - ESR'!V3342</f>
        <v>0</v>
      </c>
      <c r="PC43" s="28">
        <f>'REG y VAL POE - AESR - ESR'!W3342</f>
        <v>0</v>
      </c>
      <c r="PD43" s="29">
        <f>'REG y VAL POE - AESR - ESR'!X3342</f>
        <v>0</v>
      </c>
      <c r="PE43" s="29">
        <f>'REG y VAL POE - AESR - ESR'!Y3342</f>
        <v>0</v>
      </c>
      <c r="PF43" s="29">
        <f>'REG y VAL POE - AESR - ESR'!Z3342</f>
        <v>0</v>
      </c>
      <c r="PG43" s="28">
        <f>'REG y VAL POE - AESR - ESR'!AA3342</f>
        <v>0</v>
      </c>
      <c r="PH43" s="29">
        <f>'REG y VAL POE - AESR - ESR'!AB3342</f>
        <v>0</v>
      </c>
      <c r="PI43" s="29">
        <f>'REG y VAL POE - AESR - ESR'!AC3342</f>
        <v>0</v>
      </c>
      <c r="PJ43" s="28">
        <f>'REG y VAL POE - AESR - ESR'!AD3342</f>
        <v>0</v>
      </c>
      <c r="PK43" s="29">
        <f>'REG y VAL POE - AESR - ESR'!AE3342</f>
        <v>0</v>
      </c>
      <c r="PL43" s="30">
        <f>'REG y VAL POE - AESR - ESR'!AF3342</f>
        <v>0</v>
      </c>
      <c r="PM43" s="28">
        <f>'REG y VAL POE - AESR - ESR'!AG3342</f>
        <v>0</v>
      </c>
      <c r="PN43" s="29">
        <f>'REG y VAL POE - AESR - ESR'!AH3342</f>
        <v>0</v>
      </c>
      <c r="PO43" s="29">
        <f>'REG y VAL POE - AESR - ESR'!AI3342</f>
        <v>0</v>
      </c>
      <c r="PP43" s="29">
        <f>'REG y VAL POE - AESR - ESR'!AJ3342</f>
        <v>0</v>
      </c>
      <c r="PQ43" s="28">
        <f>'REG y VAL POE - AESR - ESR'!AK3342</f>
        <v>0</v>
      </c>
      <c r="PR43" s="29">
        <f>'REG y VAL POE - AESR - ESR'!AL3342</f>
        <v>0</v>
      </c>
      <c r="PS43" s="29">
        <f>'REG y VAL POE - AESR - ESR'!AM3342</f>
        <v>0</v>
      </c>
      <c r="PT43" s="28">
        <f>'REG y VAL POE - AESR - ESR'!AN3342</f>
        <v>0</v>
      </c>
      <c r="PU43" s="29">
        <f>'REG y VAL POE - AESR - ESR'!AO3342</f>
        <v>0</v>
      </c>
      <c r="PV43" s="30">
        <f>'REG y VAL POE - AESR - ESR'!AP3342</f>
        <v>0</v>
      </c>
      <c r="PW43" s="28">
        <f>'REG y VAL POE - AESR - ESR'!AQ3342</f>
        <v>0</v>
      </c>
      <c r="PX43" s="29">
        <f>'REG y VAL POE - AESR - ESR'!AR3342</f>
        <v>0</v>
      </c>
      <c r="PY43" s="29">
        <f>'REG y VAL POE - AESR - ESR'!AS3342</f>
        <v>0</v>
      </c>
      <c r="PZ43" s="29"/>
      <c r="QA43" s="28"/>
      <c r="QB43" s="29"/>
      <c r="QC43" s="29"/>
      <c r="QD43" s="28"/>
      <c r="QE43" s="29"/>
      <c r="QF43" s="30"/>
      <c r="QG43" s="28"/>
      <c r="QH43" s="29"/>
      <c r="QI43" s="29"/>
      <c r="QJ43" s="29"/>
      <c r="QK43" s="28"/>
      <c r="QL43" s="29"/>
      <c r="QM43" s="29"/>
      <c r="QN43" s="28"/>
      <c r="QO43" s="29"/>
      <c r="QP43" s="30"/>
      <c r="QQ43" s="28"/>
      <c r="QR43" s="29"/>
      <c r="QS43" s="29"/>
      <c r="QT43" s="29"/>
      <c r="QU43" s="28"/>
      <c r="QV43" s="29"/>
      <c r="QW43" s="29"/>
      <c r="QX43" s="28"/>
      <c r="QY43" s="29"/>
      <c r="QZ43" s="30"/>
      <c r="RA43" s="28"/>
      <c r="RB43" s="29"/>
      <c r="RC43" s="29"/>
      <c r="RD43" s="29"/>
      <c r="RE43" s="28"/>
      <c r="RF43" s="29"/>
      <c r="RG43" s="29"/>
      <c r="RH43" s="28"/>
      <c r="RI43" s="29"/>
      <c r="RJ43" s="30"/>
      <c r="RK43" s="28"/>
      <c r="RL43" s="29"/>
      <c r="RM43" s="29"/>
      <c r="RN43" s="29"/>
      <c r="RO43" s="28"/>
      <c r="RP43" s="29"/>
      <c r="RQ43" s="29"/>
      <c r="RR43" s="28"/>
      <c r="RS43" s="29"/>
      <c r="RT43" s="30"/>
      <c r="RU43" s="28"/>
      <c r="RV43" s="29"/>
      <c r="RW43" s="29"/>
      <c r="RX43" s="29"/>
      <c r="RY43" s="28"/>
      <c r="RZ43" s="29"/>
      <c r="SA43" s="29"/>
      <c r="SB43" s="28"/>
      <c r="SC43" s="29"/>
      <c r="SD43" s="30"/>
      <c r="SE43" s="28"/>
      <c r="SF43" s="29"/>
      <c r="SG43" s="29"/>
      <c r="SH43" s="29"/>
      <c r="SI43" s="28"/>
      <c r="SJ43" s="29"/>
      <c r="SK43" s="29"/>
      <c r="SL43" s="28"/>
      <c r="SM43" s="29"/>
      <c r="SN43" s="30"/>
      <c r="SO43" s="28"/>
      <c r="SP43" s="29"/>
      <c r="SQ43" s="29"/>
      <c r="SR43" s="29"/>
      <c r="SS43" s="28"/>
      <c r="ST43" s="29"/>
      <c r="SU43" s="29"/>
      <c r="SV43" s="28"/>
      <c r="SW43" s="29"/>
      <c r="SX43" s="30"/>
      <c r="SY43" s="28"/>
      <c r="SZ43" s="29"/>
      <c r="TA43" s="29"/>
      <c r="TB43" s="29"/>
      <c r="TC43" s="28"/>
      <c r="TD43" s="29"/>
      <c r="TE43" s="29"/>
      <c r="TF43" s="28"/>
      <c r="TG43" s="29"/>
      <c r="TH43" s="30"/>
      <c r="TI43" s="28"/>
      <c r="TJ43" s="29"/>
      <c r="TK43" s="29"/>
      <c r="TL43" s="29"/>
      <c r="TM43" s="28"/>
      <c r="TN43" s="29"/>
      <c r="TO43" s="29"/>
      <c r="TP43" s="28"/>
      <c r="TQ43" s="29"/>
      <c r="TR43" s="30"/>
      <c r="TS43" s="28"/>
      <c r="TT43" s="29"/>
      <c r="TU43" s="29"/>
      <c r="TV43" s="29"/>
      <c r="TW43" s="28"/>
      <c r="TX43" s="29"/>
      <c r="TY43" s="29"/>
      <c r="TZ43" s="28"/>
      <c r="UA43" s="29"/>
      <c r="UB43" s="30"/>
      <c r="UC43" s="28"/>
      <c r="UD43" s="29"/>
      <c r="UE43" s="29"/>
      <c r="UF43" s="29"/>
      <c r="UG43" s="28"/>
      <c r="UH43" s="29"/>
      <c r="UI43" s="29"/>
      <c r="UJ43" s="28"/>
      <c r="UK43" s="29"/>
      <c r="UL43" s="30"/>
      <c r="UM43" s="28"/>
      <c r="UN43" s="29"/>
      <c r="UO43" s="29"/>
      <c r="UP43" s="29"/>
      <c r="UQ43" s="28"/>
      <c r="UR43" s="29"/>
      <c r="US43" s="29"/>
      <c r="UT43" s="28"/>
      <c r="UU43" s="29"/>
      <c r="UV43" s="30"/>
      <c r="UW43" s="28"/>
      <c r="UX43" s="29"/>
      <c r="UY43" s="29"/>
      <c r="UZ43" s="29"/>
      <c r="VA43" s="28"/>
      <c r="VB43" s="29"/>
      <c r="VC43" s="29"/>
      <c r="VD43" s="28"/>
      <c r="VE43" s="29"/>
      <c r="VF43" s="30"/>
      <c r="VG43" s="28"/>
      <c r="VH43" s="29"/>
      <c r="VI43" s="29"/>
      <c r="VJ43" s="29"/>
      <c r="VK43" s="28"/>
      <c r="VL43" s="29"/>
      <c r="VM43" s="29"/>
      <c r="VN43" s="28"/>
      <c r="VO43" s="29"/>
      <c r="VP43" s="30"/>
      <c r="VQ43" s="28"/>
      <c r="VR43" s="29"/>
      <c r="VS43" s="29"/>
      <c r="VT43" s="29"/>
      <c r="VU43" s="28"/>
      <c r="VV43" s="29"/>
      <c r="VW43" s="29"/>
      <c r="VX43" s="28"/>
      <c r="VY43" s="29"/>
      <c r="VZ43" s="30"/>
      <c r="WA43" s="28"/>
      <c r="WB43" s="29"/>
      <c r="WC43" s="29"/>
      <c r="WD43" s="29"/>
      <c r="WE43" s="28"/>
      <c r="WF43" s="29"/>
      <c r="WG43" s="29"/>
      <c r="WH43" s="28"/>
      <c r="WI43" s="29"/>
      <c r="WJ43" s="30"/>
      <c r="WK43" s="28"/>
      <c r="WL43" s="29"/>
      <c r="WM43" s="29"/>
      <c r="WN43" s="29"/>
      <c r="WO43" s="28"/>
      <c r="WP43" s="29"/>
      <c r="WQ43" s="29"/>
      <c r="WR43" s="28"/>
      <c r="WS43" s="29"/>
      <c r="WT43" s="30"/>
      <c r="WU43" s="28"/>
      <c r="WV43" s="29"/>
      <c r="WW43" s="29"/>
      <c r="WX43" s="29"/>
      <c r="WY43" s="28"/>
      <c r="WZ43" s="29"/>
      <c r="XA43" s="29"/>
      <c r="XB43" s="28"/>
      <c r="XC43" s="29"/>
      <c r="XD43" s="30"/>
      <c r="XE43" s="28"/>
      <c r="XF43" s="29"/>
      <c r="XG43" s="29"/>
      <c r="XH43" s="29"/>
      <c r="XI43" s="28"/>
      <c r="XJ43" s="29"/>
      <c r="XK43" s="29"/>
      <c r="XL43" s="28"/>
      <c r="XM43" s="29"/>
      <c r="XN43" s="30"/>
      <c r="XO43" s="28"/>
      <c r="XP43" s="29"/>
      <c r="XQ43" s="29"/>
      <c r="XR43" s="29"/>
      <c r="XS43" s="28"/>
      <c r="XT43" s="29"/>
      <c r="XU43" s="29"/>
      <c r="XV43" s="28"/>
      <c r="XW43" s="29"/>
      <c r="XX43" s="30"/>
      <c r="XY43" s="28"/>
      <c r="XZ43" s="29"/>
      <c r="YA43" s="29"/>
      <c r="YB43" s="29"/>
      <c r="YC43" s="28"/>
      <c r="YD43" s="29"/>
      <c r="YE43" s="29"/>
      <c r="YF43" s="28"/>
      <c r="YG43" s="29"/>
      <c r="YH43" s="30"/>
      <c r="YI43" s="28"/>
      <c r="YJ43" s="29"/>
      <c r="YK43" s="29"/>
      <c r="YL43" s="29"/>
      <c r="YM43" s="28"/>
      <c r="YN43" s="29"/>
      <c r="YO43" s="29"/>
      <c r="YP43" s="28"/>
      <c r="YQ43" s="29"/>
      <c r="YR43" s="30"/>
      <c r="YS43" s="28"/>
      <c r="YT43" s="29"/>
      <c r="YU43" s="29"/>
      <c r="YV43" s="29"/>
      <c r="YW43" s="28"/>
      <c r="YX43" s="29"/>
      <c r="YY43" s="29"/>
      <c r="YZ43" s="28"/>
      <c r="ZA43" s="29"/>
      <c r="ZB43" s="30"/>
      <c r="ZC43" s="28"/>
      <c r="ZD43" s="29"/>
      <c r="ZE43" s="29"/>
      <c r="ZF43" s="29"/>
      <c r="ZG43" s="28"/>
      <c r="ZH43" s="29"/>
      <c r="ZI43" s="29"/>
      <c r="ZJ43" s="28"/>
      <c r="ZK43" s="29"/>
      <c r="ZL43" s="30"/>
      <c r="ZM43" s="28"/>
      <c r="ZN43" s="29"/>
      <c r="ZO43" s="29"/>
      <c r="ZP43" s="29"/>
      <c r="ZQ43" s="28"/>
      <c r="ZR43" s="29"/>
      <c r="ZS43" s="29"/>
      <c r="ZT43" s="28"/>
      <c r="ZU43" s="29"/>
      <c r="ZV43" s="30"/>
      <c r="ZW43" s="28"/>
      <c r="ZX43" s="29"/>
      <c r="ZY43" s="29"/>
      <c r="ZZ43" s="29"/>
      <c r="AAA43" s="28"/>
      <c r="AAB43" s="29"/>
      <c r="AAC43" s="29"/>
      <c r="AAD43" s="28"/>
      <c r="AAE43" s="29"/>
      <c r="AAF43" s="30"/>
      <c r="AAG43" s="28"/>
      <c r="AAH43" s="29"/>
      <c r="AAI43" s="29"/>
      <c r="AAJ43" s="29"/>
      <c r="AAK43" s="28"/>
      <c r="AAL43" s="29"/>
      <c r="AAM43" s="29"/>
      <c r="AAN43" s="28"/>
      <c r="AAO43" s="29"/>
      <c r="AAP43" s="30"/>
      <c r="AAQ43" s="28"/>
      <c r="AAR43" s="29"/>
      <c r="AAS43" s="29"/>
      <c r="AAT43" s="29"/>
      <c r="AAU43" s="28"/>
      <c r="AAV43" s="29"/>
      <c r="AAW43" s="29"/>
      <c r="AAX43" s="28"/>
      <c r="AAY43" s="29"/>
      <c r="AAZ43" s="30"/>
      <c r="ABA43" s="28"/>
      <c r="ABB43" s="29"/>
      <c r="ABC43" s="29"/>
      <c r="ABD43" s="29"/>
      <c r="ABE43" s="28"/>
      <c r="ABF43" s="29"/>
      <c r="ABG43" s="29"/>
      <c r="ABH43" s="28"/>
      <c r="ABI43" s="29"/>
      <c r="ABJ43" s="30"/>
      <c r="ABK43" s="28"/>
      <c r="ABL43" s="29"/>
      <c r="ABM43" s="29"/>
      <c r="ABN43" s="29"/>
      <c r="ABO43" s="28"/>
      <c r="ABP43" s="29"/>
      <c r="ABQ43" s="29"/>
      <c r="ABR43" s="28"/>
      <c r="ABS43" s="29"/>
      <c r="ABT43" s="30"/>
      <c r="ABU43" s="28"/>
      <c r="ABV43" s="29"/>
      <c r="ABW43" s="29"/>
      <c r="ABX43" s="29"/>
      <c r="ABY43" s="28"/>
      <c r="ABZ43" s="29"/>
      <c r="ACA43" s="29"/>
      <c r="ACB43" s="28"/>
      <c r="ACC43" s="29"/>
      <c r="ACD43" s="30"/>
      <c r="ACE43" s="28"/>
      <c r="ACF43" s="29"/>
      <c r="ACG43" s="29"/>
      <c r="ACH43" s="29"/>
      <c r="ACI43" s="28"/>
      <c r="ACJ43" s="29"/>
      <c r="ACK43" s="29"/>
      <c r="ACL43" s="28"/>
      <c r="ACM43" s="29"/>
      <c r="ACN43" s="30"/>
      <c r="ACO43" s="28"/>
      <c r="ACP43" s="29"/>
      <c r="ACQ43" s="29"/>
      <c r="ACR43" s="29"/>
      <c r="ACS43" s="28"/>
      <c r="ACT43" s="29"/>
      <c r="ACU43" s="29"/>
      <c r="ACV43" s="28"/>
      <c r="ACW43" s="29"/>
      <c r="ACX43" s="30"/>
      <c r="ACY43" s="28"/>
      <c r="ACZ43" s="29"/>
      <c r="ADA43" s="29"/>
      <c r="ADB43" s="29"/>
      <c r="ADC43" s="28"/>
      <c r="ADD43" s="29"/>
      <c r="ADE43" s="29"/>
      <c r="ADF43" s="28"/>
      <c r="ADG43" s="29"/>
      <c r="ADH43" s="30"/>
      <c r="ADI43" s="28"/>
      <c r="ADJ43" s="29"/>
      <c r="ADK43" s="29"/>
      <c r="ADL43" s="29"/>
      <c r="ADM43" s="28"/>
      <c r="ADN43" s="29"/>
      <c r="ADO43" s="29"/>
      <c r="ADP43" s="28"/>
      <c r="ADQ43" s="29"/>
      <c r="ADR43" s="30"/>
      <c r="ADS43" s="28"/>
      <c r="ADT43" s="29"/>
      <c r="ADU43" s="29"/>
      <c r="ADV43" s="29"/>
      <c r="ADW43" s="28"/>
      <c r="ADX43" s="29"/>
      <c r="ADY43" s="29"/>
      <c r="ADZ43" s="28"/>
      <c r="AEA43" s="29"/>
      <c r="AEB43" s="30"/>
      <c r="AEC43" s="28"/>
      <c r="AED43" s="29"/>
      <c r="AEE43" s="29"/>
      <c r="AEF43" s="29"/>
      <c r="AEG43" s="28"/>
      <c r="AEH43" s="29"/>
      <c r="AEI43" s="29"/>
      <c r="AEJ43" s="28"/>
      <c r="AEK43" s="29"/>
      <c r="AEL43" s="30"/>
      <c r="AEM43" s="28"/>
      <c r="AEN43" s="29"/>
      <c r="AEO43" s="29"/>
      <c r="AEP43" s="29"/>
      <c r="AEQ43" s="28"/>
      <c r="AER43" s="29"/>
      <c r="AES43" s="29"/>
      <c r="AET43" s="28"/>
      <c r="AEU43" s="29"/>
      <c r="AEV43" s="30"/>
      <c r="AEW43" s="28"/>
      <c r="AEX43" s="29"/>
      <c r="AEY43" s="29"/>
      <c r="AEZ43" s="29"/>
      <c r="AFA43" s="28"/>
      <c r="AFB43" s="29"/>
      <c r="AFC43" s="29"/>
      <c r="AFD43" s="28"/>
      <c r="AFE43" s="29"/>
      <c r="AFF43" s="30"/>
      <c r="AFG43" s="28"/>
      <c r="AFH43" s="29"/>
      <c r="AFI43" s="29"/>
      <c r="AFJ43" s="29"/>
      <c r="AFK43" s="28"/>
      <c r="AFL43" s="29"/>
      <c r="AFM43" s="29"/>
      <c r="AFN43" s="28"/>
      <c r="AFO43" s="29"/>
      <c r="AFP43" s="30"/>
      <c r="AFQ43" s="28"/>
      <c r="AFR43" s="29"/>
      <c r="AFS43" s="29"/>
      <c r="AFT43" s="29"/>
      <c r="AFU43" s="28"/>
      <c r="AFV43" s="29"/>
      <c r="AFW43" s="29"/>
      <c r="AFX43" s="28"/>
      <c r="AFY43" s="29"/>
      <c r="AFZ43" s="30"/>
      <c r="AGA43" s="28"/>
      <c r="AGB43" s="29"/>
      <c r="AGC43" s="29"/>
      <c r="AGD43" s="29"/>
      <c r="AGE43" s="28"/>
      <c r="AGF43" s="29"/>
      <c r="AGG43" s="29"/>
      <c r="AGH43" s="28"/>
      <c r="AGI43" s="29"/>
      <c r="AGJ43" s="30"/>
      <c r="AGK43" s="28"/>
      <c r="AGL43" s="29"/>
      <c r="AGM43" s="29"/>
      <c r="AGN43" s="29"/>
      <c r="AGO43" s="28"/>
      <c r="AGP43" s="29"/>
      <c r="AGQ43" s="29"/>
      <c r="AGR43" s="28"/>
      <c r="AGS43" s="29"/>
      <c r="AGT43" s="30"/>
      <c r="AGU43" s="28"/>
      <c r="AGV43" s="29"/>
      <c r="AGW43" s="29"/>
      <c r="AGX43" s="29"/>
      <c r="AGY43" s="28"/>
      <c r="AGZ43" s="29"/>
      <c r="AHA43" s="29"/>
      <c r="AHB43" s="28"/>
      <c r="AHC43" s="29"/>
      <c r="AHD43" s="30"/>
      <c r="AHE43" s="28"/>
      <c r="AHF43" s="29"/>
      <c r="AHG43" s="29"/>
      <c r="AHH43" s="29"/>
      <c r="AHI43" s="28"/>
      <c r="AHJ43" s="29"/>
      <c r="AHK43" s="29"/>
      <c r="AHL43" s="28"/>
      <c r="AHM43" s="29"/>
      <c r="AHN43" s="30"/>
      <c r="AHO43" s="28"/>
      <c r="AHP43" s="29"/>
      <c r="AHQ43" s="29"/>
      <c r="AHR43" s="29"/>
      <c r="AHS43" s="28"/>
      <c r="AHT43" s="29"/>
      <c r="AHU43" s="29"/>
      <c r="AHV43" s="28"/>
      <c r="AHW43" s="29"/>
      <c r="AHX43" s="30"/>
      <c r="AHY43" s="28"/>
      <c r="AHZ43" s="29"/>
      <c r="AIA43" s="29"/>
      <c r="AIB43" s="29"/>
      <c r="AIC43" s="28"/>
      <c r="AID43" s="29"/>
      <c r="AIE43" s="29"/>
      <c r="AIF43" s="28"/>
      <c r="AIG43" s="29"/>
      <c r="AIH43" s="30"/>
      <c r="AII43" s="28"/>
      <c r="AIJ43" s="29"/>
      <c r="AIK43" s="29"/>
      <c r="AIL43" s="29"/>
      <c r="AIM43" s="28"/>
      <c r="AIN43" s="29"/>
      <c r="AIO43" s="29"/>
      <c r="AIP43" s="28"/>
      <c r="AIQ43" s="29"/>
      <c r="AIR43" s="30"/>
      <c r="AIS43" s="28"/>
      <c r="AIT43" s="29"/>
      <c r="AIU43" s="29"/>
      <c r="AIV43" s="29"/>
      <c r="AIW43" s="28"/>
      <c r="AIX43" s="29"/>
      <c r="AIY43" s="29"/>
      <c r="AIZ43" s="28"/>
      <c r="AJA43" s="29"/>
      <c r="AJB43" s="30"/>
      <c r="AJC43" s="28"/>
      <c r="AJD43" s="29"/>
      <c r="AJE43" s="29"/>
      <c r="AJF43" s="29"/>
      <c r="AJG43" s="28"/>
      <c r="AJH43" s="29"/>
      <c r="AJI43" s="29"/>
      <c r="AJJ43" s="28"/>
      <c r="AJK43" s="29"/>
      <c r="AJL43" s="30"/>
      <c r="AJM43" s="28"/>
      <c r="AJN43" s="29"/>
      <c r="AJO43" s="29"/>
      <c r="AJP43" s="29"/>
      <c r="AJQ43" s="28"/>
      <c r="AJR43" s="29"/>
      <c r="AJS43" s="29"/>
      <c r="AJT43" s="28"/>
      <c r="AJU43" s="29"/>
      <c r="AJV43" s="30"/>
      <c r="AJW43" s="28"/>
      <c r="AJX43" s="29"/>
      <c r="AJY43" s="29"/>
      <c r="AJZ43" s="29"/>
      <c r="AKA43" s="28"/>
      <c r="AKB43" s="29"/>
      <c r="AKC43" s="29"/>
      <c r="AKD43" s="28"/>
      <c r="AKE43" s="29"/>
      <c r="AKF43" s="30"/>
      <c r="AKG43" s="28"/>
      <c r="AKH43" s="29"/>
      <c r="AKI43" s="29"/>
      <c r="AKJ43" s="29"/>
      <c r="AKK43" s="28"/>
      <c r="AKL43" s="29"/>
      <c r="AKM43" s="29"/>
      <c r="AKN43" s="28"/>
      <c r="AKO43" s="29"/>
      <c r="AKP43" s="30"/>
      <c r="AKQ43" s="28"/>
      <c r="AKR43" s="29"/>
      <c r="AKS43" s="29"/>
      <c r="AKT43" s="29"/>
      <c r="AKU43" s="28"/>
      <c r="AKV43" s="29"/>
      <c r="AKW43" s="29"/>
      <c r="AKX43" s="28"/>
      <c r="AKY43" s="29"/>
      <c r="AKZ43" s="30"/>
      <c r="ALA43" s="28"/>
      <c r="ALB43" s="29"/>
      <c r="ALC43" s="29"/>
      <c r="ALD43" s="29"/>
      <c r="ALE43" s="28"/>
      <c r="ALF43" s="29"/>
      <c r="ALG43" s="29"/>
      <c r="ALH43" s="29"/>
      <c r="ALI43" s="29"/>
      <c r="ALJ43" s="29"/>
      <c r="ALK43" s="28"/>
      <c r="ALL43" s="29"/>
      <c r="ALM43" s="29"/>
      <c r="ALN43" s="28"/>
      <c r="ALO43" s="29"/>
      <c r="ALP43" s="30"/>
      <c r="ALQ43" s="28"/>
      <c r="ALR43" s="29"/>
      <c r="ALS43" s="29"/>
      <c r="ALT43" s="29"/>
      <c r="ALU43" s="28"/>
      <c r="ALV43" s="29"/>
      <c r="ALW43" s="29"/>
      <c r="ALX43" s="28"/>
      <c r="ALY43" s="29"/>
      <c r="ALZ43" s="30"/>
      <c r="AMA43" s="28"/>
      <c r="AMB43" s="29"/>
      <c r="AMC43" s="29"/>
      <c r="AMD43" s="29"/>
      <c r="AME43" s="28"/>
      <c r="AMF43" s="29"/>
      <c r="AMG43" s="29"/>
      <c r="AMH43" s="29"/>
      <c r="AMI43" s="29"/>
      <c r="AMJ43" s="29"/>
      <c r="AMK43" s="28"/>
      <c r="AML43" s="29"/>
      <c r="AMM43" s="29"/>
      <c r="AMN43" s="28"/>
      <c r="AMO43" s="29"/>
      <c r="AMP43" s="30"/>
      <c r="AMQ43" s="28"/>
      <c r="AMR43" s="29"/>
      <c r="AMS43" s="29"/>
      <c r="AMT43" s="29"/>
      <c r="AMU43" s="28"/>
      <c r="AMV43" s="29"/>
      <c r="AMW43" s="29"/>
      <c r="AMX43" s="28"/>
      <c r="AMY43" s="29"/>
      <c r="AMZ43" s="30"/>
      <c r="ANA43" s="28"/>
      <c r="ANB43" s="29"/>
      <c r="ANC43" s="29"/>
      <c r="AND43" s="29"/>
      <c r="ANE43" s="28"/>
      <c r="ANF43" s="29"/>
      <c r="ANG43" s="29"/>
      <c r="ANH43" s="29"/>
      <c r="ANI43" s="29"/>
      <c r="ANJ43" s="29"/>
      <c r="ANK43" s="28"/>
      <c r="ANL43" s="29"/>
      <c r="ANM43" s="29"/>
      <c r="ANN43" s="28"/>
      <c r="ANO43" s="29"/>
      <c r="ANP43" s="30"/>
      <c r="ANQ43" s="28"/>
      <c r="ANR43" s="29"/>
      <c r="ANS43" s="29"/>
      <c r="ANT43" s="29"/>
      <c r="ANU43" s="28"/>
      <c r="ANV43" s="29"/>
      <c r="ANW43" s="29"/>
      <c r="ANX43" s="28"/>
      <c r="ANY43" s="29"/>
      <c r="ANZ43" s="30"/>
      <c r="AOA43" s="28"/>
      <c r="AOB43" s="29"/>
      <c r="AOC43" s="29"/>
      <c r="AOD43" s="29"/>
      <c r="AOE43" s="28"/>
      <c r="AOF43" s="29"/>
      <c r="AOG43" s="29"/>
      <c r="AOH43" s="29"/>
      <c r="AOI43" s="29"/>
      <c r="AOJ43" s="29"/>
      <c r="AOK43" s="28"/>
      <c r="AOL43" s="29"/>
      <c r="AOM43" s="29"/>
      <c r="AON43" s="28"/>
      <c r="AOO43" s="29"/>
      <c r="AOP43" s="30"/>
      <c r="AOQ43" s="28"/>
      <c r="AOR43" s="29"/>
      <c r="AOS43" s="29"/>
      <c r="AOT43" s="29"/>
      <c r="AOU43" s="28"/>
      <c r="AOV43" s="29"/>
      <c r="AOW43" s="29"/>
      <c r="AOX43" s="28"/>
      <c r="AOY43" s="29"/>
      <c r="AOZ43" s="30"/>
      <c r="APA43" s="28"/>
      <c r="APB43" s="29"/>
      <c r="APC43" s="29"/>
      <c r="APD43" s="29"/>
      <c r="APE43" s="28"/>
      <c r="APF43" s="29"/>
      <c r="APG43" s="29"/>
      <c r="APH43" s="29"/>
      <c r="API43" s="29"/>
      <c r="APJ43" s="29"/>
      <c r="APK43" s="28"/>
      <c r="APL43" s="29"/>
      <c r="APM43" s="29"/>
      <c r="APN43" s="28"/>
      <c r="APO43" s="29"/>
      <c r="APP43" s="30"/>
      <c r="APQ43" s="28"/>
      <c r="APR43" s="29"/>
      <c r="APS43" s="29"/>
      <c r="APT43" s="29"/>
      <c r="APU43" s="28"/>
      <c r="APV43" s="29"/>
      <c r="APW43" s="29"/>
      <c r="APX43" s="28"/>
      <c r="APY43" s="29"/>
      <c r="APZ43" s="30"/>
      <c r="AQA43" s="28"/>
      <c r="AQB43" s="29"/>
      <c r="AQC43" s="29"/>
      <c r="AQD43" s="29"/>
      <c r="AQE43" s="28"/>
      <c r="AQF43" s="29"/>
      <c r="AQG43" s="29"/>
      <c r="AQH43" s="29"/>
      <c r="AQI43" s="29"/>
      <c r="AQJ43" s="29"/>
      <c r="AQK43" s="28"/>
      <c r="AQL43" s="29"/>
      <c r="AQM43" s="29"/>
      <c r="AQN43" s="28"/>
      <c r="AQO43" s="29"/>
      <c r="AQP43" s="30"/>
      <c r="AQQ43" s="28"/>
      <c r="AQR43" s="29"/>
      <c r="AQS43" s="29"/>
      <c r="AQT43" s="29"/>
      <c r="AQU43" s="28"/>
      <c r="AQV43" s="29"/>
      <c r="AQW43" s="29"/>
      <c r="AQX43" s="28"/>
      <c r="AQY43" s="29"/>
      <c r="AQZ43" s="30"/>
      <c r="ARA43" s="28"/>
      <c r="ARB43" s="29"/>
      <c r="ARC43" s="29"/>
      <c r="ARD43" s="29"/>
      <c r="ARE43" s="28"/>
      <c r="ARF43" s="29"/>
      <c r="ARG43" s="29"/>
      <c r="ARH43" s="29"/>
      <c r="ARI43" s="29"/>
      <c r="ARJ43" s="29"/>
      <c r="ARK43" s="28"/>
      <c r="ARL43" s="29"/>
      <c r="ARM43" s="29"/>
      <c r="ARN43" s="28"/>
      <c r="ARO43" s="29"/>
      <c r="ARP43" s="30"/>
      <c r="ARQ43" s="28"/>
      <c r="ARR43" s="29"/>
      <c r="ARS43" s="29"/>
      <c r="ART43" s="29"/>
      <c r="ARU43" s="28"/>
      <c r="ARV43" s="29"/>
      <c r="ARW43" s="29"/>
      <c r="ARX43" s="28"/>
      <c r="ARY43" s="29"/>
      <c r="ARZ43" s="30"/>
      <c r="ASA43" s="28"/>
      <c r="ASB43" s="29"/>
      <c r="ASC43" s="29"/>
      <c r="ASD43" s="29"/>
      <c r="ASE43" s="28"/>
      <c r="ASF43" s="29"/>
      <c r="ASG43" s="29"/>
      <c r="ASH43" s="29"/>
      <c r="ASI43" s="29"/>
      <c r="ASJ43" s="29"/>
      <c r="ASK43" s="28"/>
      <c r="ASL43" s="29"/>
      <c r="ASM43" s="29"/>
      <c r="ASN43" s="28"/>
      <c r="ASO43" s="29"/>
      <c r="ASP43" s="30"/>
      <c r="ASQ43" s="28"/>
      <c r="ASR43" s="29"/>
      <c r="ASS43" s="29"/>
      <c r="AST43" s="29"/>
      <c r="ASU43" s="28"/>
      <c r="ASV43" s="29"/>
      <c r="ASW43" s="29"/>
      <c r="ASX43" s="28"/>
      <c r="ASY43" s="29"/>
      <c r="ASZ43" s="30"/>
      <c r="ATA43" s="28"/>
      <c r="ATB43" s="29"/>
      <c r="ATC43" s="29"/>
      <c r="ATD43" s="29"/>
      <c r="ATE43" s="28"/>
      <c r="ATF43" s="29"/>
      <c r="ATG43" s="29"/>
      <c r="ATH43" s="29"/>
      <c r="ATI43" s="29"/>
      <c r="ATJ43" s="29"/>
      <c r="ATK43" s="28"/>
      <c r="ATL43" s="29"/>
      <c r="ATM43" s="29"/>
      <c r="ATN43" s="28"/>
      <c r="ATO43" s="29"/>
      <c r="ATP43" s="30"/>
      <c r="ATQ43" s="28"/>
      <c r="ATR43" s="29"/>
      <c r="ATS43" s="29"/>
      <c r="ATT43" s="29"/>
      <c r="ATU43" s="28"/>
      <c r="ATV43" s="29"/>
      <c r="ATW43" s="29"/>
      <c r="ATX43" s="28"/>
      <c r="ATY43" s="29"/>
      <c r="ATZ43" s="30"/>
      <c r="AUA43" s="28"/>
      <c r="AUB43" s="29"/>
      <c r="AUC43" s="29"/>
      <c r="AUD43" s="29"/>
      <c r="AUE43" s="28"/>
      <c r="AUF43" s="29"/>
      <c r="AUG43" s="29"/>
      <c r="AUH43" s="29"/>
      <c r="AUI43" s="29"/>
      <c r="AUJ43" s="29"/>
      <c r="AUK43" s="28"/>
      <c r="AUL43" s="29"/>
      <c r="AUM43" s="29"/>
      <c r="AUN43" s="28"/>
      <c r="AUO43" s="29"/>
      <c r="AUP43" s="30"/>
      <c r="AUQ43" s="28"/>
      <c r="AUR43" s="29"/>
      <c r="AUS43" s="29"/>
      <c r="AUT43" s="29"/>
      <c r="AUU43" s="28"/>
      <c r="AUV43" s="29"/>
      <c r="AUW43" s="29"/>
      <c r="AUX43" s="28"/>
      <c r="AUY43" s="29"/>
      <c r="AUZ43" s="30"/>
      <c r="AVA43" s="28"/>
      <c r="AVB43" s="29"/>
      <c r="AVC43" s="29"/>
      <c r="AVD43" s="29"/>
      <c r="AVE43" s="28"/>
      <c r="AVF43" s="29"/>
      <c r="AVG43" s="29"/>
      <c r="AVH43" s="29"/>
      <c r="AVI43" s="29"/>
      <c r="AVJ43" s="29"/>
      <c r="AVK43" s="28"/>
      <c r="AVL43" s="29"/>
      <c r="AVM43" s="29"/>
      <c r="AVN43" s="28"/>
      <c r="AVO43" s="29"/>
      <c r="AVP43" s="30"/>
      <c r="AVQ43" s="28"/>
      <c r="AVR43" s="29"/>
      <c r="AVS43" s="29"/>
      <c r="AVT43" s="29"/>
      <c r="AVU43" s="28"/>
      <c r="AVV43" s="29"/>
      <c r="AVW43" s="29"/>
      <c r="AVX43" s="28"/>
      <c r="AVY43" s="29"/>
      <c r="AVZ43" s="30"/>
      <c r="AWA43" s="28"/>
      <c r="AWB43" s="29"/>
      <c r="AWC43" s="29"/>
      <c r="AWD43" s="29"/>
      <c r="AWE43" s="28"/>
      <c r="AWF43" s="29"/>
      <c r="AWG43" s="29"/>
      <c r="AWH43" s="29"/>
      <c r="AWI43" s="29"/>
      <c r="AWJ43" s="29"/>
      <c r="AWK43" s="28"/>
      <c r="AWL43" s="29"/>
      <c r="AWM43" s="29"/>
      <c r="AWN43" s="28"/>
      <c r="AWO43" s="29"/>
      <c r="AWP43" s="30"/>
      <c r="AWQ43" s="28"/>
      <c r="AWR43" s="29"/>
      <c r="AWS43" s="29"/>
      <c r="AWT43" s="29"/>
      <c r="AWU43" s="28"/>
      <c r="AWV43" s="29"/>
      <c r="AWW43" s="29"/>
      <c r="AWX43" s="28"/>
      <c r="AWY43" s="29"/>
      <c r="AWZ43" s="30"/>
      <c r="AXA43" s="28"/>
      <c r="AXB43" s="29"/>
      <c r="AXC43" s="29"/>
      <c r="AXD43" s="29"/>
      <c r="AXE43" s="28"/>
      <c r="AXF43" s="29"/>
      <c r="AXG43" s="29"/>
      <c r="AXH43" s="29"/>
      <c r="AXI43" s="29"/>
      <c r="AXJ43" s="29"/>
      <c r="AXK43" s="28"/>
      <c r="AXL43" s="29"/>
      <c r="AXM43" s="29"/>
      <c r="AXN43" s="28"/>
      <c r="AXO43" s="29"/>
      <c r="AXP43" s="30"/>
      <c r="AXQ43" s="28"/>
      <c r="AXR43" s="29"/>
      <c r="AXS43" s="29"/>
      <c r="AXT43" s="29"/>
      <c r="AXU43" s="28"/>
      <c r="AXV43" s="29"/>
      <c r="AXW43" s="29"/>
      <c r="AXX43" s="28"/>
      <c r="AXY43" s="29"/>
      <c r="AXZ43" s="30"/>
      <c r="AYA43" s="28"/>
      <c r="AYB43" s="29"/>
      <c r="AYC43" s="29"/>
      <c r="AYD43" s="29"/>
      <c r="AYE43" s="28"/>
      <c r="AYF43" s="29"/>
      <c r="AYG43" s="29"/>
      <c r="AYH43" s="29"/>
      <c r="AYI43" s="29"/>
      <c r="AYJ43" s="29"/>
      <c r="AYK43" s="28"/>
      <c r="AYL43" s="29"/>
      <c r="AYM43" s="29"/>
      <c r="AYN43" s="28"/>
      <c r="AYO43" s="29"/>
      <c r="AYP43" s="30"/>
      <c r="AYQ43" s="28"/>
      <c r="AYR43" s="29"/>
      <c r="AYS43" s="29"/>
      <c r="AYT43" s="29"/>
      <c r="AYU43" s="28"/>
      <c r="AYV43" s="29"/>
      <c r="AYW43" s="29"/>
      <c r="AYX43" s="28"/>
      <c r="AYY43" s="29"/>
      <c r="AYZ43" s="30"/>
      <c r="AZA43" s="28"/>
      <c r="AZB43" s="29"/>
      <c r="AZC43" s="29"/>
      <c r="AZD43" s="29"/>
      <c r="AZE43" s="28"/>
      <c r="AZF43" s="29"/>
      <c r="AZG43" s="29"/>
      <c r="AZH43" s="29"/>
      <c r="AZI43" s="29"/>
      <c r="AZJ43" s="29"/>
      <c r="AZK43" s="28"/>
      <c r="AZL43" s="29"/>
      <c r="AZM43" s="29"/>
      <c r="AZN43" s="28"/>
      <c r="AZO43" s="29"/>
      <c r="AZP43" s="30"/>
      <c r="AZQ43" s="28"/>
      <c r="AZR43" s="29"/>
      <c r="AZS43" s="29"/>
      <c r="AZT43" s="29"/>
      <c r="AZU43" s="28"/>
      <c r="AZV43" s="29"/>
      <c r="AZW43" s="29"/>
      <c r="AZX43" s="28"/>
      <c r="AZY43" s="29"/>
      <c r="AZZ43" s="30"/>
      <c r="BAA43" s="28"/>
      <c r="BAB43" s="29"/>
      <c r="BAC43" s="29"/>
      <c r="BAD43" s="29"/>
      <c r="BAE43" s="28"/>
      <c r="BAF43" s="29"/>
      <c r="BAG43" s="29"/>
      <c r="BAH43" s="29"/>
      <c r="BAI43" s="29"/>
      <c r="BAJ43" s="29"/>
      <c r="BAK43" s="28"/>
      <c r="BAL43" s="29"/>
      <c r="BAM43" s="29"/>
      <c r="BAN43" s="28"/>
      <c r="BAO43" s="29"/>
      <c r="BAP43" s="30"/>
      <c r="BAQ43" s="28"/>
      <c r="BAR43" s="29"/>
      <c r="BAS43" s="29"/>
      <c r="BAT43" s="29"/>
      <c r="BAU43" s="28"/>
      <c r="BAV43" s="29"/>
      <c r="BAW43" s="29"/>
      <c r="BAX43" s="28"/>
      <c r="BAY43" s="29"/>
      <c r="BAZ43" s="30"/>
      <c r="BBA43" s="28"/>
      <c r="BBB43" s="29"/>
      <c r="BBC43" s="29"/>
      <c r="BBD43" s="29"/>
      <c r="BBE43" s="28"/>
      <c r="BBF43" s="29"/>
      <c r="BBG43" s="29"/>
      <c r="BBH43" s="29"/>
      <c r="BBI43" s="29"/>
      <c r="BBJ43" s="29"/>
      <c r="BBK43" s="28"/>
      <c r="BBL43" s="29"/>
      <c r="BBM43" s="29"/>
      <c r="BBN43" s="28"/>
      <c r="BBO43" s="29"/>
      <c r="BBP43" s="30"/>
      <c r="BBQ43" s="28"/>
      <c r="BBR43" s="29"/>
      <c r="BBS43" s="29"/>
      <c r="BBT43" s="29"/>
      <c r="BBU43" s="28"/>
      <c r="BBV43" s="29"/>
      <c r="BBW43" s="29"/>
      <c r="BBX43" s="28"/>
      <c r="BBY43" s="29"/>
      <c r="BBZ43" s="30"/>
      <c r="BCA43" s="28"/>
      <c r="BCB43" s="29"/>
      <c r="BCC43" s="29"/>
      <c r="BCD43" s="29"/>
      <c r="BCE43" s="28"/>
      <c r="BCF43" s="29"/>
      <c r="BCG43" s="29"/>
      <c r="BCH43" s="29"/>
      <c r="BCI43" s="29"/>
      <c r="BCJ43" s="29"/>
      <c r="BCK43" s="28"/>
      <c r="BCL43" s="29"/>
      <c r="BCM43" s="29"/>
      <c r="BCN43" s="28"/>
      <c r="BCO43" s="29"/>
      <c r="BCP43" s="30"/>
      <c r="BCQ43" s="28"/>
      <c r="BCR43" s="29"/>
      <c r="BCS43" s="29"/>
      <c r="BCT43" s="29"/>
      <c r="BCU43" s="28"/>
      <c r="BCV43" s="29"/>
      <c r="BCW43" s="29"/>
      <c r="BCX43" s="28"/>
      <c r="BCY43" s="29"/>
      <c r="BCZ43" s="30"/>
      <c r="BDA43" s="28"/>
      <c r="BDB43" s="29"/>
      <c r="BDC43" s="29"/>
      <c r="BDD43" s="29"/>
      <c r="BDE43" s="28"/>
      <c r="BDF43" s="29"/>
      <c r="BDG43" s="29"/>
      <c r="BDH43" s="29"/>
      <c r="BDI43" s="29"/>
      <c r="BDJ43" s="29"/>
      <c r="BDK43" s="28"/>
      <c r="BDL43" s="29"/>
      <c r="BDM43" s="29"/>
      <c r="BDN43" s="28"/>
      <c r="BDO43" s="29"/>
      <c r="BDP43" s="30"/>
      <c r="BDQ43" s="28"/>
      <c r="BDR43" s="29"/>
      <c r="BDS43" s="29"/>
      <c r="BDT43" s="29"/>
      <c r="BDU43" s="28"/>
      <c r="BDV43" s="29"/>
      <c r="BDW43" s="29"/>
      <c r="BDX43" s="28"/>
      <c r="BDY43" s="29"/>
      <c r="BDZ43" s="30"/>
      <c r="BEA43" s="28"/>
      <c r="BEB43" s="29"/>
      <c r="BEC43" s="29"/>
      <c r="BED43" s="29"/>
      <c r="BEE43" s="28"/>
      <c r="BEF43" s="29"/>
      <c r="BEG43" s="29"/>
      <c r="BEH43" s="29"/>
      <c r="BEI43" s="29"/>
      <c r="BEJ43" s="29"/>
      <c r="BEK43" s="28"/>
      <c r="BEL43" s="29"/>
      <c r="BEM43" s="29"/>
      <c r="BEN43" s="28"/>
      <c r="BEO43" s="29"/>
      <c r="BEP43" s="30"/>
      <c r="BEQ43" s="28"/>
      <c r="BER43" s="29"/>
      <c r="BES43" s="29"/>
      <c r="BET43" s="29"/>
      <c r="BEU43" s="28"/>
      <c r="BEV43" s="29"/>
      <c r="BEW43" s="29"/>
      <c r="BEX43" s="28"/>
      <c r="BEY43" s="29"/>
      <c r="BEZ43" s="30"/>
      <c r="BFA43" s="28"/>
      <c r="BFB43" s="29"/>
      <c r="BFC43" s="29"/>
      <c r="BFD43" s="29"/>
      <c r="BFE43" s="28"/>
      <c r="BFF43" s="29"/>
      <c r="BFG43" s="29"/>
      <c r="BFH43" s="29"/>
      <c r="BFI43" s="29"/>
      <c r="BFJ43" s="29"/>
      <c r="BFK43" s="28"/>
      <c r="BFL43" s="29"/>
      <c r="BFM43" s="29"/>
      <c r="BFN43" s="28"/>
      <c r="BFO43" s="29"/>
      <c r="BFP43" s="30"/>
      <c r="BFQ43" s="28"/>
      <c r="BFR43" s="29"/>
      <c r="BFS43" s="29"/>
      <c r="BFT43" s="29"/>
      <c r="BFU43" s="28"/>
      <c r="BFV43" s="29"/>
      <c r="BFW43" s="29"/>
      <c r="BFX43" s="28"/>
      <c r="BFY43" s="29"/>
      <c r="BFZ43" s="30"/>
      <c r="BGA43" s="28"/>
      <c r="BGB43" s="29"/>
      <c r="BGC43" s="29"/>
      <c r="BGD43" s="29"/>
      <c r="BGE43" s="28"/>
      <c r="BGF43" s="29"/>
      <c r="BGG43" s="29"/>
      <c r="BGH43" s="29"/>
      <c r="BGI43" s="29"/>
      <c r="BGJ43" s="29"/>
      <c r="BGK43" s="28"/>
      <c r="BGL43" s="29"/>
      <c r="BGM43" s="29"/>
      <c r="BGN43" s="28"/>
      <c r="BGO43" s="29"/>
      <c r="BGP43" s="30"/>
      <c r="BGQ43" s="28"/>
      <c r="BGR43" s="29"/>
      <c r="BGS43" s="29"/>
      <c r="BGT43" s="29"/>
      <c r="BGU43" s="28"/>
      <c r="BGV43" s="29"/>
      <c r="BGW43" s="29"/>
      <c r="BGX43" s="28"/>
      <c r="BGY43" s="29"/>
      <c r="BGZ43" s="30"/>
      <c r="BHA43" s="28"/>
      <c r="BHB43" s="29"/>
      <c r="BHC43" s="29"/>
      <c r="BHD43" s="29"/>
      <c r="BHE43" s="28"/>
      <c r="BHF43" s="29"/>
      <c r="BHG43" s="29"/>
      <c r="BHH43" s="29"/>
      <c r="BHI43" s="29"/>
      <c r="BHJ43" s="29"/>
      <c r="BHK43" s="28"/>
      <c r="BHL43" s="29"/>
      <c r="BHM43" s="29"/>
      <c r="BHN43" s="28"/>
      <c r="BHO43" s="29"/>
      <c r="BHP43" s="30"/>
      <c r="BHQ43" s="28"/>
      <c r="BHR43" s="29"/>
      <c r="BHS43" s="29"/>
      <c r="BHT43" s="29"/>
      <c r="BHU43" s="28"/>
      <c r="BHV43" s="29"/>
      <c r="BHW43" s="29"/>
      <c r="BHX43" s="28"/>
      <c r="BHY43" s="29"/>
      <c r="BHZ43" s="30"/>
      <c r="BIA43" s="28"/>
      <c r="BIB43" s="29"/>
      <c r="BIC43" s="29"/>
      <c r="BID43" s="29"/>
      <c r="BIE43" s="28"/>
      <c r="BIF43" s="29"/>
      <c r="BIG43" s="29"/>
      <c r="BIH43" s="29"/>
      <c r="BII43" s="29"/>
      <c r="BIJ43" s="29"/>
      <c r="BIK43" s="28"/>
      <c r="BIL43" s="29"/>
      <c r="BIM43" s="29"/>
      <c r="BIN43" s="28"/>
      <c r="BIO43" s="29"/>
      <c r="BIP43" s="30"/>
      <c r="BIQ43" s="28"/>
      <c r="BIR43" s="29"/>
      <c r="BIS43" s="29"/>
      <c r="BIT43" s="29"/>
      <c r="BIU43" s="28"/>
      <c r="BIV43" s="29"/>
      <c r="BIW43" s="29"/>
      <c r="BIX43" s="28"/>
      <c r="BIY43" s="29"/>
      <c r="BIZ43" s="30"/>
      <c r="BJA43" s="28"/>
      <c r="BJB43" s="29"/>
      <c r="BJC43" s="29"/>
      <c r="BJD43" s="29"/>
      <c r="BJE43" s="28"/>
      <c r="BJF43" s="29"/>
      <c r="BJG43" s="29"/>
      <c r="BJH43" s="29"/>
      <c r="BJI43" s="29"/>
      <c r="BJJ43" s="29"/>
      <c r="BJK43" s="28"/>
      <c r="BJL43" s="29"/>
      <c r="BJM43" s="29"/>
      <c r="BJN43" s="28"/>
      <c r="BJO43" s="29"/>
      <c r="BJP43" s="30"/>
      <c r="BJQ43" s="28"/>
      <c r="BJR43" s="29"/>
      <c r="BJS43" s="29"/>
      <c r="BJT43" s="29"/>
      <c r="BJU43" s="28"/>
      <c r="BJV43" s="29"/>
      <c r="BJW43" s="29"/>
      <c r="BJX43" s="28"/>
      <c r="BJY43" s="29"/>
      <c r="BJZ43" s="30"/>
      <c r="BKA43" s="28"/>
      <c r="BKB43" s="29"/>
      <c r="BKC43" s="29"/>
      <c r="BKD43" s="29"/>
      <c r="BKE43" s="28"/>
      <c r="BKF43" s="29"/>
      <c r="BKG43" s="29"/>
      <c r="BKH43" s="29"/>
      <c r="BKI43" s="29"/>
      <c r="BKJ43" s="29"/>
      <c r="BKK43" s="28"/>
      <c r="BKL43" s="29"/>
      <c r="BKM43" s="29"/>
      <c r="BKN43" s="28"/>
      <c r="BKO43" s="29"/>
      <c r="BKP43" s="30"/>
      <c r="BKQ43" s="28"/>
      <c r="BKR43" s="29"/>
      <c r="BKS43" s="29"/>
      <c r="BKT43" s="29"/>
      <c r="BKU43" s="28"/>
      <c r="BKV43" s="29"/>
      <c r="BKW43" s="29"/>
      <c r="BKX43" s="28"/>
      <c r="BKY43" s="29"/>
      <c r="BKZ43" s="30"/>
      <c r="BLA43" s="28"/>
      <c r="BLB43" s="29"/>
      <c r="BLC43" s="29"/>
      <c r="BLD43" s="29"/>
      <c r="BLE43" s="28"/>
      <c r="BLF43" s="29"/>
      <c r="BLG43" s="29"/>
      <c r="BLH43" s="29"/>
      <c r="BLI43" s="29"/>
      <c r="BLJ43" s="29"/>
      <c r="BLK43" s="28"/>
      <c r="BLL43" s="29"/>
      <c r="BLM43" s="29"/>
      <c r="BLN43" s="28"/>
      <c r="BLO43" s="29"/>
      <c r="BLP43" s="30"/>
      <c r="BLQ43" s="28"/>
      <c r="BLR43" s="29"/>
      <c r="BLS43" s="29"/>
      <c r="BLT43" s="29"/>
      <c r="BLU43" s="28"/>
      <c r="BLV43" s="29"/>
      <c r="BLW43" s="29"/>
      <c r="BLX43" s="28"/>
      <c r="BLY43" s="29"/>
      <c r="BLZ43" s="30"/>
      <c r="BMA43" s="28"/>
      <c r="BMB43" s="29"/>
      <c r="BMC43" s="29"/>
      <c r="BMD43" s="29"/>
      <c r="BME43" s="28"/>
      <c r="BMF43" s="29"/>
      <c r="BMG43" s="29"/>
      <c r="BMH43" s="29"/>
      <c r="BMI43" s="29"/>
      <c r="BMJ43" s="29"/>
      <c r="BMK43" s="28"/>
      <c r="BML43" s="29"/>
      <c r="BMM43" s="29"/>
      <c r="BMN43" s="28"/>
      <c r="BMO43" s="29"/>
      <c r="BMP43" s="30"/>
      <c r="BMQ43" s="28"/>
      <c r="BMR43" s="29"/>
      <c r="BMS43" s="29"/>
      <c r="BMT43" s="29"/>
      <c r="BMU43" s="28"/>
      <c r="BMV43" s="29"/>
      <c r="BMW43" s="29"/>
      <c r="BMX43" s="28"/>
      <c r="BMY43" s="29"/>
      <c r="BMZ43" s="30"/>
      <c r="BNA43" s="28"/>
      <c r="BNB43" s="29"/>
      <c r="BNC43" s="29"/>
      <c r="BND43" s="29"/>
      <c r="BNE43" s="28"/>
      <c r="BNF43" s="29"/>
      <c r="BNG43" s="29"/>
      <c r="BNH43" s="29"/>
      <c r="BNI43" s="29"/>
      <c r="BNJ43" s="29"/>
      <c r="BNK43" s="28"/>
      <c r="BNL43" s="29"/>
      <c r="BNM43" s="29"/>
      <c r="BNN43" s="28"/>
      <c r="BNO43" s="29"/>
      <c r="BNP43" s="30"/>
      <c r="BNQ43" s="28"/>
      <c r="BNR43" s="29"/>
      <c r="BNS43" s="29"/>
      <c r="BNT43" s="29"/>
      <c r="BNU43" s="28"/>
      <c r="BNV43" s="29"/>
      <c r="BNW43" s="29"/>
      <c r="BNX43" s="28"/>
      <c r="BNY43" s="29"/>
      <c r="BNZ43" s="30"/>
      <c r="BOA43" s="28"/>
      <c r="BOB43" s="29"/>
      <c r="BOC43" s="29"/>
      <c r="BOD43" s="29"/>
      <c r="BOE43" s="28"/>
      <c r="BOF43" s="29"/>
      <c r="BOG43" s="29"/>
      <c r="BOH43" s="29"/>
      <c r="BOI43" s="29"/>
      <c r="BOJ43" s="29"/>
      <c r="BOK43" s="28"/>
      <c r="BOL43" s="29"/>
      <c r="BOM43" s="29"/>
      <c r="BON43" s="28"/>
      <c r="BOO43" s="29"/>
      <c r="BOP43" s="30"/>
      <c r="BOQ43" s="28"/>
      <c r="BOR43" s="29"/>
      <c r="BOS43" s="29"/>
      <c r="BOT43" s="29"/>
      <c r="BOU43" s="28"/>
      <c r="BOV43" s="29"/>
      <c r="BOW43" s="29"/>
      <c r="BOX43" s="28"/>
      <c r="BOY43" s="29"/>
      <c r="BOZ43" s="30"/>
      <c r="BPA43" s="28"/>
      <c r="BPB43" s="29"/>
      <c r="BPC43" s="29"/>
      <c r="BPD43" s="29"/>
      <c r="BPE43" s="28"/>
      <c r="BPF43" s="29"/>
      <c r="BPG43" s="29"/>
      <c r="BPH43" s="29"/>
      <c r="BPI43" s="29"/>
      <c r="BPJ43" s="29"/>
      <c r="BPK43" s="28"/>
      <c r="BPL43" s="29"/>
      <c r="BPM43" s="29"/>
      <c r="BPN43" s="28"/>
      <c r="BPO43" s="29"/>
      <c r="BPP43" s="30"/>
      <c r="BPQ43" s="28"/>
      <c r="BPR43" s="29"/>
      <c r="BPS43" s="29"/>
      <c r="BPT43" s="29"/>
      <c r="BPU43" s="28"/>
      <c r="BPV43" s="29"/>
      <c r="BPW43" s="29"/>
      <c r="BPX43" s="28"/>
      <c r="BPY43" s="29"/>
      <c r="BPZ43" s="30"/>
      <c r="BQA43" s="28"/>
      <c r="BQB43" s="29"/>
      <c r="BQC43" s="29"/>
      <c r="BQD43" s="29"/>
      <c r="BQE43" s="28"/>
      <c r="BQF43" s="29"/>
      <c r="BQG43" s="29"/>
      <c r="BQH43" s="29"/>
      <c r="BQI43" s="29"/>
      <c r="BQJ43" s="29"/>
      <c r="BQK43" s="28"/>
      <c r="BQL43" s="29"/>
      <c r="BQM43" s="29"/>
      <c r="BQN43" s="28"/>
      <c r="BQO43" s="29"/>
      <c r="BQP43" s="30"/>
      <c r="BQQ43" s="28"/>
      <c r="BQR43" s="29"/>
      <c r="BQS43" s="29"/>
      <c r="BQT43" s="29"/>
      <c r="BQU43" s="28"/>
      <c r="BQV43" s="29"/>
      <c r="BQW43" s="29"/>
      <c r="BQX43" s="28"/>
      <c r="BQY43" s="29"/>
      <c r="BQZ43" s="30"/>
      <c r="BRA43" s="28"/>
      <c r="BRB43" s="29"/>
      <c r="BRC43" s="29"/>
      <c r="BRD43" s="29"/>
      <c r="BRE43" s="28"/>
      <c r="BRF43" s="29"/>
      <c r="BRG43" s="29"/>
      <c r="BRH43" s="29"/>
      <c r="BRI43" s="29"/>
      <c r="BRJ43" s="29"/>
      <c r="BRK43" s="28"/>
      <c r="BRL43" s="29"/>
      <c r="BRM43" s="29"/>
      <c r="BRN43" s="28"/>
      <c r="BRO43" s="29"/>
      <c r="BRP43" s="30"/>
      <c r="BRQ43" s="28"/>
      <c r="BRR43" s="29"/>
      <c r="BRS43" s="29"/>
      <c r="BRT43" s="29"/>
      <c r="BRU43" s="28"/>
      <c r="BRV43" s="29"/>
      <c r="BRW43" s="29"/>
      <c r="BRX43" s="28"/>
      <c r="BRY43" s="29"/>
      <c r="BRZ43" s="30"/>
      <c r="BSA43" s="28"/>
      <c r="BSB43" s="29"/>
      <c r="BSC43" s="29"/>
      <c r="BSD43" s="29"/>
      <c r="BSE43" s="28"/>
      <c r="BSF43" s="29"/>
      <c r="BSG43" s="29"/>
      <c r="BSH43" s="29"/>
      <c r="BSI43" s="29"/>
      <c r="BSJ43" s="29"/>
      <c r="BSK43" s="28"/>
      <c r="BSL43" s="29"/>
      <c r="BSM43" s="29"/>
      <c r="BSN43" s="28"/>
      <c r="BSO43" s="29"/>
      <c r="BSP43" s="30"/>
      <c r="BSQ43" s="28"/>
      <c r="BSR43" s="29"/>
      <c r="BSS43" s="29"/>
      <c r="BST43" s="29"/>
      <c r="BSU43" s="28"/>
      <c r="BSV43" s="29"/>
      <c r="BSW43" s="29"/>
      <c r="BSX43" s="28"/>
      <c r="BSY43" s="29"/>
      <c r="BSZ43" s="30"/>
      <c r="BTA43" s="28"/>
      <c r="BTB43" s="29"/>
      <c r="BTC43" s="29"/>
      <c r="BTD43" s="29"/>
      <c r="BTE43" s="28"/>
      <c r="BTF43" s="29"/>
      <c r="BTG43" s="29"/>
      <c r="BTH43" s="29"/>
      <c r="BTI43" s="29"/>
      <c r="BTJ43" s="29"/>
      <c r="BTK43" s="28"/>
      <c r="BTL43" s="29"/>
      <c r="BTM43" s="29"/>
      <c r="BTN43" s="28"/>
      <c r="BTO43" s="29"/>
      <c r="BTP43" s="30"/>
      <c r="BTQ43" s="28"/>
      <c r="BTR43" s="29"/>
      <c r="BTS43" s="29"/>
      <c r="BTT43" s="29"/>
      <c r="BTU43" s="28"/>
      <c r="BTV43" s="29"/>
      <c r="BTW43" s="29"/>
      <c r="BTX43" s="28"/>
      <c r="BTY43" s="29"/>
      <c r="BTZ43" s="30"/>
      <c r="BUA43" s="28"/>
      <c r="BUB43" s="29"/>
      <c r="BUC43" s="29"/>
      <c r="BUD43" s="29"/>
      <c r="BUE43" s="28"/>
      <c r="BUF43" s="29"/>
      <c r="BUG43" s="29"/>
      <c r="BUH43" s="29"/>
      <c r="BUI43" s="29"/>
      <c r="BUJ43" s="29"/>
      <c r="BUK43" s="28"/>
      <c r="BUL43" s="29"/>
      <c r="BUM43" s="29"/>
      <c r="BUN43" s="28"/>
      <c r="BUO43" s="29"/>
      <c r="BUP43" s="30"/>
      <c r="BUQ43" s="28"/>
      <c r="BUR43" s="29"/>
      <c r="BUS43" s="29"/>
      <c r="BUT43" s="29"/>
      <c r="BUU43" s="28"/>
      <c r="BUV43" s="29"/>
      <c r="BUW43" s="29"/>
      <c r="BUX43" s="28"/>
      <c r="BUY43" s="29"/>
      <c r="BUZ43" s="30"/>
      <c r="BVA43" s="28"/>
      <c r="BVB43" s="29"/>
      <c r="BVC43" s="29"/>
      <c r="BVD43" s="29"/>
      <c r="BVE43" s="28"/>
      <c r="BVF43" s="29"/>
      <c r="BVG43" s="29"/>
      <c r="BVH43" s="29"/>
      <c r="BVI43" s="29"/>
      <c r="BVJ43" s="29"/>
      <c r="BVK43" s="28"/>
      <c r="BVL43" s="29"/>
      <c r="BVM43" s="29"/>
      <c r="BVN43" s="28"/>
      <c r="BVO43" s="29"/>
      <c r="BVP43" s="30"/>
      <c r="BVQ43" s="28"/>
      <c r="BVR43" s="29"/>
      <c r="BVS43" s="29"/>
      <c r="BVT43" s="29"/>
      <c r="BVU43" s="28"/>
      <c r="BVV43" s="29"/>
      <c r="BVW43" s="29"/>
      <c r="BVX43" s="28"/>
      <c r="BVY43" s="29"/>
      <c r="BVZ43" s="30"/>
      <c r="BWA43" s="28"/>
      <c r="BWB43" s="29"/>
      <c r="BWC43" s="29"/>
      <c r="BWD43" s="29"/>
      <c r="BWE43" s="28"/>
      <c r="BWF43" s="29"/>
      <c r="BWG43" s="29"/>
      <c r="BWH43" s="29"/>
      <c r="BWI43" s="29"/>
      <c r="BWJ43" s="29"/>
      <c r="BWK43" s="28"/>
      <c r="BWL43" s="29"/>
      <c r="BWM43" s="29"/>
      <c r="BWN43" s="28"/>
      <c r="BWO43" s="29"/>
      <c r="BWP43" s="30"/>
      <c r="BWQ43" s="28"/>
      <c r="BWR43" s="29"/>
      <c r="BWS43" s="29"/>
      <c r="BWT43" s="29"/>
      <c r="BWU43" s="28"/>
      <c r="BWV43" s="29"/>
      <c r="BWW43" s="29"/>
      <c r="BWX43" s="28"/>
      <c r="BWY43" s="29"/>
      <c r="BWZ43" s="30"/>
      <c r="BXA43" s="28"/>
      <c r="BXB43" s="29"/>
      <c r="BXC43" s="29"/>
      <c r="BXD43" s="29"/>
      <c r="BXE43" s="28"/>
      <c r="BXF43" s="29"/>
      <c r="BXG43" s="29"/>
      <c r="BXH43" s="29"/>
      <c r="BXI43" s="29"/>
      <c r="BXJ43" s="29"/>
      <c r="BXK43" s="28"/>
      <c r="BXL43" s="29"/>
      <c r="BXM43" s="29"/>
      <c r="BXN43" s="28"/>
      <c r="BXO43" s="29"/>
      <c r="BXP43" s="30"/>
      <c r="BXQ43" s="28"/>
      <c r="BXR43" s="29"/>
      <c r="BXS43" s="29"/>
      <c r="BXT43" s="29"/>
      <c r="BXU43" s="28"/>
      <c r="BXV43" s="29"/>
      <c r="BXW43" s="29"/>
      <c r="BXX43" s="28"/>
      <c r="BXY43" s="29"/>
      <c r="BXZ43" s="30"/>
      <c r="BYA43" s="28"/>
      <c r="BYB43" s="29"/>
      <c r="BYC43" s="29"/>
      <c r="BYD43" s="29"/>
      <c r="BYE43" s="28"/>
      <c r="BYF43" s="29"/>
      <c r="BYG43" s="29"/>
      <c r="BYH43" s="29"/>
      <c r="BYI43" s="29"/>
      <c r="BYJ43" s="29"/>
      <c r="BYK43" s="28"/>
      <c r="BYL43" s="29"/>
      <c r="BYM43" s="29"/>
      <c r="BYN43" s="28"/>
      <c r="BYO43" s="29"/>
      <c r="BYP43" s="30"/>
      <c r="BYQ43" s="28"/>
      <c r="BYR43" s="29"/>
      <c r="BYS43" s="29"/>
      <c r="BYT43" s="29"/>
      <c r="BYU43" s="28"/>
      <c r="BYV43" s="29"/>
      <c r="BYW43" s="29"/>
      <c r="BYX43" s="30"/>
      <c r="BYY43" s="29"/>
      <c r="BYZ43" s="28"/>
      <c r="BZA43" s="29"/>
      <c r="BZB43" s="28"/>
      <c r="BZC43" s="28"/>
      <c r="BZD43" s="28"/>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30"/>
      <c r="CAQ43" s="28"/>
      <c r="CAR43" s="29"/>
      <c r="CAS43" s="29"/>
      <c r="CAT43" s="29"/>
      <c r="CAU43" s="29"/>
      <c r="CAV43" s="29"/>
      <c r="CAW43" s="28"/>
      <c r="CAX43" s="29"/>
      <c r="CAY43" s="29"/>
      <c r="CAZ43" s="28"/>
      <c r="CBA43" s="29"/>
      <c r="CBB43" s="30"/>
      <c r="CBC43" s="28"/>
      <c r="CBD43" s="29"/>
      <c r="CBE43" s="29"/>
      <c r="CBF43" s="29"/>
      <c r="CBG43" s="28"/>
      <c r="CBH43" s="29"/>
      <c r="CBI43" s="29"/>
      <c r="CBJ43" s="28"/>
      <c r="CBK43" s="29"/>
      <c r="CBL43" s="30"/>
      <c r="CBM43" s="28"/>
      <c r="CBN43" s="29"/>
      <c r="CBO43" s="29"/>
      <c r="CBP43" s="29"/>
      <c r="CBQ43" s="28"/>
      <c r="CBR43" s="29"/>
      <c r="CBS43" s="29"/>
      <c r="CBT43" s="28"/>
      <c r="CBU43" s="29"/>
      <c r="CBV43" s="30"/>
      <c r="CBW43" s="28"/>
      <c r="CBX43" s="29"/>
      <c r="CBY43" s="29"/>
      <c r="CBZ43" s="29"/>
      <c r="CCA43" s="28"/>
      <c r="CCB43" s="29"/>
      <c r="CCC43" s="29"/>
      <c r="CCD43" s="28"/>
      <c r="CCE43" s="29"/>
      <c r="CCF43" s="30"/>
      <c r="CCG43" s="28"/>
      <c r="CCH43" s="30"/>
      <c r="CCI43" s="29"/>
      <c r="CCJ43" s="28"/>
      <c r="CCK43" s="29"/>
      <c r="CCL43" s="28"/>
      <c r="CCM43" s="28"/>
      <c r="CCN43" s="28"/>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30"/>
      <c r="CEA43" s="28"/>
      <c r="CEB43" s="29"/>
      <c r="CEC43" s="29"/>
      <c r="CED43" s="29"/>
      <c r="CEE43" s="29"/>
      <c r="CEF43" s="29"/>
      <c r="CEG43" s="28"/>
      <c r="CEH43" s="29"/>
      <c r="CEI43" s="29"/>
      <c r="CEJ43" s="28"/>
      <c r="CEK43" s="29"/>
      <c r="CEL43" s="30"/>
      <c r="CEM43" s="28"/>
      <c r="CEN43" s="29"/>
      <c r="CEO43" s="29"/>
      <c r="CEP43" s="29"/>
      <c r="CEQ43" s="28"/>
      <c r="CER43" s="29"/>
      <c r="CES43" s="29"/>
      <c r="CET43" s="28"/>
      <c r="CEU43" s="29"/>
      <c r="CEV43" s="30"/>
      <c r="CEW43" s="28"/>
      <c r="CEX43" s="29"/>
      <c r="CEY43" s="29"/>
      <c r="CEZ43" s="29"/>
      <c r="CFA43" s="28"/>
      <c r="CFB43" s="29"/>
      <c r="CFC43" s="29"/>
      <c r="CFD43" s="28"/>
      <c r="CFE43" s="29"/>
      <c r="CFF43" s="30"/>
      <c r="CFG43" s="28"/>
      <c r="CFH43" s="29"/>
      <c r="CFI43" s="29"/>
      <c r="CFJ43" s="29"/>
      <c r="CFK43" s="28"/>
      <c r="CFL43" s="29"/>
      <c r="CFM43" s="29"/>
      <c r="CFN43" s="28"/>
      <c r="CFO43" s="29"/>
      <c r="CFP43" s="30"/>
      <c r="CFQ43" s="28"/>
      <c r="CFR43" s="30"/>
      <c r="CFS43" s="29"/>
      <c r="CFT43" s="28"/>
      <c r="CFU43" s="29"/>
      <c r="CFV43" s="28"/>
      <c r="CFW43" s="28"/>
      <c r="CFX43" s="28"/>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30"/>
      <c r="CHK43" s="28"/>
      <c r="CHL43" s="29"/>
      <c r="CHM43" s="29"/>
      <c r="CHN43" s="29"/>
      <c r="CHO43" s="29"/>
      <c r="CHP43" s="29"/>
      <c r="CHQ43" s="28"/>
      <c r="CHR43" s="29"/>
      <c r="CHS43" s="29"/>
      <c r="CHT43" s="28"/>
      <c r="CHU43" s="29"/>
      <c r="CHV43" s="30"/>
      <c r="CHW43" s="28"/>
      <c r="CHX43" s="29"/>
      <c r="CHY43" s="29"/>
      <c r="CHZ43" s="29"/>
      <c r="CIA43" s="28"/>
      <c r="CIB43" s="29"/>
      <c r="CIC43" s="29"/>
      <c r="CID43" s="28"/>
      <c r="CIE43" s="29"/>
      <c r="CIF43" s="30"/>
      <c r="CIG43" s="28"/>
      <c r="CIH43" s="29"/>
      <c r="CII43" s="29"/>
      <c r="CIJ43" s="29"/>
      <c r="CIK43" s="28"/>
      <c r="CIL43" s="29"/>
      <c r="CIM43" s="29"/>
      <c r="CIN43" s="28"/>
      <c r="CIO43" s="29"/>
      <c r="CIP43" s="30"/>
      <c r="CIQ43" s="28"/>
      <c r="CIR43" s="29"/>
      <c r="CIS43" s="29"/>
      <c r="CIT43" s="29"/>
      <c r="CIU43" s="28"/>
      <c r="CIV43" s="29"/>
      <c r="CIW43" s="29"/>
      <c r="CIX43" s="28"/>
      <c r="CIY43" s="29"/>
      <c r="CIZ43" s="30"/>
      <c r="CJA43" s="28"/>
      <c r="CJB43" s="30"/>
      <c r="CJC43" s="29"/>
      <c r="CJD43" s="28"/>
      <c r="CJE43" s="29"/>
      <c r="CJF43" s="28"/>
      <c r="CJG43" s="28"/>
      <c r="CJH43" s="28"/>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30"/>
      <c r="CKU43" s="28"/>
      <c r="CKV43" s="29"/>
      <c r="CKW43" s="29"/>
      <c r="CKX43" s="29"/>
      <c r="CKY43" s="29"/>
      <c r="CKZ43" s="29"/>
      <c r="CLA43" s="28"/>
      <c r="CLB43" s="29"/>
      <c r="CLC43" s="29"/>
      <c r="CLD43" s="28"/>
      <c r="CLE43" s="29"/>
      <c r="CLF43" s="30"/>
      <c r="CLG43" s="28"/>
      <c r="CLH43" s="29"/>
      <c r="CLI43" s="29"/>
      <c r="CLJ43" s="29"/>
      <c r="CLK43" s="28"/>
      <c r="CLL43" s="29"/>
      <c r="CLM43" s="29"/>
      <c r="CLN43" s="28"/>
      <c r="CLO43" s="29"/>
      <c r="CLP43" s="30"/>
      <c r="CLQ43" s="28"/>
      <c r="CLR43" s="29"/>
      <c r="CLS43" s="29"/>
      <c r="CLT43" s="29"/>
      <c r="CLU43" s="28"/>
      <c r="CLV43" s="29"/>
      <c r="CLW43" s="29"/>
      <c r="CLX43" s="28"/>
      <c r="CLY43" s="29"/>
      <c r="CLZ43" s="30"/>
      <c r="CMA43" s="28"/>
      <c r="CMB43" s="29"/>
      <c r="CMC43" s="29"/>
      <c r="CMD43" s="29"/>
      <c r="CME43" s="28"/>
      <c r="CMF43" s="29"/>
      <c r="CMG43" s="29"/>
      <c r="CMH43" s="28"/>
      <c r="CMI43" s="29"/>
      <c r="CMJ43" s="30"/>
      <c r="CMK43" s="28"/>
      <c r="CML43" s="30"/>
      <c r="CMM43" s="29"/>
      <c r="CMN43" s="28"/>
      <c r="CMO43" s="29"/>
      <c r="CMP43" s="28"/>
      <c r="CMQ43" s="28"/>
      <c r="CMR43" s="28"/>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30"/>
      <c r="COE43" s="28"/>
      <c r="COF43" s="29"/>
      <c r="COG43" s="29"/>
      <c r="COH43" s="29"/>
      <c r="COI43" s="29"/>
      <c r="COJ43" s="29"/>
      <c r="COK43" s="28"/>
      <c r="COL43" s="29"/>
      <c r="COM43" s="29"/>
      <c r="CON43" s="28"/>
      <c r="COO43" s="29"/>
      <c r="COP43" s="30"/>
      <c r="COQ43" s="28"/>
      <c r="COR43" s="29"/>
      <c r="COS43" s="29"/>
      <c r="COT43" s="29"/>
      <c r="COU43" s="28"/>
      <c r="COV43" s="29"/>
      <c r="COW43" s="29"/>
      <c r="COX43" s="28"/>
      <c r="COY43" s="29"/>
      <c r="COZ43" s="30"/>
      <c r="CPA43" s="28"/>
      <c r="CPB43" s="29"/>
      <c r="CPC43" s="29"/>
      <c r="CPD43" s="29"/>
      <c r="CPE43" s="28"/>
      <c r="CPF43" s="29"/>
      <c r="CPG43" s="29"/>
      <c r="CPH43" s="28"/>
      <c r="CPI43" s="29"/>
      <c r="CPJ43" s="30"/>
      <c r="CPK43" s="28"/>
      <c r="CPL43" s="29"/>
      <c r="CPM43" s="29"/>
      <c r="CPN43" s="29"/>
      <c r="CPO43" s="28"/>
      <c r="CPP43" s="29"/>
      <c r="CPQ43" s="29"/>
      <c r="CPR43" s="28"/>
      <c r="CPS43" s="29"/>
      <c r="CPT43" s="30"/>
      <c r="CPU43" s="28"/>
      <c r="CPV43" s="30"/>
      <c r="CPW43" s="29"/>
      <c r="CPX43" s="28"/>
      <c r="CPY43" s="29"/>
      <c r="CPZ43" s="28"/>
      <c r="CQA43" s="28"/>
      <c r="CQB43" s="28"/>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30"/>
      <c r="CRO43" s="28"/>
      <c r="CRP43" s="29"/>
      <c r="CRQ43" s="29"/>
      <c r="CRR43" s="29"/>
      <c r="CRS43" s="29"/>
      <c r="CRT43" s="29"/>
      <c r="CRU43" s="28"/>
      <c r="CRV43" s="29"/>
      <c r="CRW43" s="29"/>
      <c r="CRX43" s="28"/>
      <c r="CRY43" s="29"/>
      <c r="CRZ43" s="30"/>
      <c r="CSA43" s="28"/>
      <c r="CSB43" s="29"/>
      <c r="CSC43" s="29"/>
      <c r="CSD43" s="29"/>
      <c r="CSE43" s="28"/>
      <c r="CSF43" s="29"/>
      <c r="CSG43" s="29"/>
      <c r="CSH43" s="28"/>
      <c r="CSI43" s="29"/>
      <c r="CSJ43" s="30"/>
      <c r="CSK43" s="28"/>
      <c r="CSL43" s="29"/>
      <c r="CSM43" s="29"/>
      <c r="CSN43" s="29"/>
      <c r="CSO43" s="28"/>
      <c r="CSP43" s="29"/>
      <c r="CSQ43" s="29"/>
      <c r="CSR43" s="28"/>
      <c r="CSS43" s="29"/>
      <c r="CST43" s="30"/>
      <c r="CSU43" s="28"/>
      <c r="CSV43" s="29"/>
      <c r="CSW43" s="29"/>
      <c r="CSX43" s="29"/>
      <c r="CSY43" s="28"/>
      <c r="CSZ43" s="29"/>
      <c r="CTA43" s="29"/>
      <c r="CTB43" s="28"/>
      <c r="CTC43" s="29"/>
      <c r="CTD43" s="30"/>
      <c r="CTE43" s="28"/>
      <c r="CTF43" s="30"/>
      <c r="CTG43" s="29"/>
      <c r="CTH43" s="28"/>
      <c r="CTI43" s="29"/>
      <c r="CTJ43" s="28"/>
      <c r="CTK43" s="28"/>
      <c r="CTL43" s="28"/>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30"/>
      <c r="CUY43" s="28"/>
      <c r="CUZ43" s="29"/>
      <c r="CVA43" s="29"/>
      <c r="CVB43" s="29"/>
      <c r="CVC43" s="29"/>
      <c r="CVD43" s="29"/>
      <c r="CVE43" s="28"/>
      <c r="CVF43" s="29"/>
      <c r="CVG43" s="29"/>
      <c r="CVH43" s="28"/>
      <c r="CVI43" s="29"/>
      <c r="CVJ43" s="30"/>
      <c r="CVK43" s="28"/>
      <c r="CVL43" s="29"/>
      <c r="CVM43" s="29"/>
      <c r="CVN43" s="29"/>
      <c r="CVO43" s="28"/>
      <c r="CVP43" s="29"/>
      <c r="CVQ43" s="29"/>
      <c r="CVR43" s="28"/>
      <c r="CVS43" s="29"/>
      <c r="CVT43" s="30"/>
      <c r="CVU43" s="28"/>
      <c r="CVV43" s="29"/>
      <c r="CVW43" s="29"/>
      <c r="CVX43" s="29"/>
      <c r="CVY43" s="28"/>
      <c r="CVZ43" s="29"/>
      <c r="CWA43" s="29"/>
      <c r="CWB43" s="28"/>
      <c r="CWC43" s="29"/>
      <c r="CWD43" s="30"/>
      <c r="CWE43" s="28"/>
      <c r="CWF43" s="29"/>
      <c r="CWG43" s="29"/>
      <c r="CWH43" s="29"/>
      <c r="CWI43" s="28"/>
      <c r="CWJ43" s="29"/>
      <c r="CWK43" s="29"/>
      <c r="CWL43" s="28"/>
      <c r="CWM43" s="29"/>
      <c r="CWN43" s="30"/>
      <c r="CWO43" s="28"/>
      <c r="CWP43" s="30"/>
      <c r="CWQ43" s="29"/>
      <c r="CWR43" s="28"/>
      <c r="CWS43" s="29"/>
      <c r="CWT43" s="28"/>
      <c r="CWU43" s="28"/>
      <c r="CWV43" s="28"/>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30"/>
      <c r="CYI43" s="28"/>
      <c r="CYJ43" s="29"/>
      <c r="CYK43" s="29"/>
      <c r="CYL43" s="29"/>
      <c r="CYM43" s="29"/>
      <c r="CYN43" s="29"/>
      <c r="CYO43" s="28"/>
      <c r="CYP43" s="29"/>
      <c r="CYQ43" s="29"/>
      <c r="CYR43" s="28"/>
      <c r="CYS43" s="29"/>
      <c r="CYT43" s="30"/>
      <c r="CYU43" s="28"/>
      <c r="CYV43" s="29"/>
      <c r="CYW43" s="29"/>
      <c r="CYX43" s="29"/>
      <c r="CYY43" s="28"/>
      <c r="CYZ43" s="29"/>
      <c r="CZA43" s="29"/>
      <c r="CZB43" s="28"/>
      <c r="CZC43" s="29"/>
      <c r="CZD43" s="30"/>
      <c r="CZE43" s="28"/>
      <c r="CZF43" s="29"/>
      <c r="CZG43" s="29"/>
      <c r="CZH43" s="29"/>
      <c r="CZI43" s="28"/>
      <c r="CZJ43" s="29"/>
      <c r="CZK43" s="29"/>
      <c r="CZL43" s="28"/>
      <c r="CZM43" s="29"/>
      <c r="CZN43" s="30"/>
      <c r="CZO43" s="28"/>
      <c r="CZP43" s="29"/>
      <c r="CZQ43" s="29"/>
      <c r="CZR43" s="29"/>
      <c r="CZS43" s="28"/>
      <c r="CZT43" s="29"/>
      <c r="CZU43" s="29"/>
      <c r="CZV43" s="28"/>
      <c r="CZW43" s="29"/>
      <c r="CZX43" s="30"/>
      <c r="CZY43" s="28"/>
      <c r="CZZ43" s="30"/>
      <c r="DAA43" s="29"/>
      <c r="DAB43" s="28"/>
      <c r="DAC43" s="29"/>
      <c r="DAD43" s="28"/>
      <c r="DAE43" s="28"/>
      <c r="DAF43" s="28"/>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30"/>
      <c r="DBS43" s="28"/>
      <c r="DBT43" s="29"/>
      <c r="DBU43" s="29"/>
      <c r="DBV43" s="29"/>
      <c r="DBW43" s="29"/>
      <c r="DBX43" s="29"/>
      <c r="DBY43" s="28"/>
      <c r="DBZ43" s="29"/>
      <c r="DCA43" s="29"/>
      <c r="DCB43" s="28"/>
      <c r="DCC43" s="29"/>
      <c r="DCD43" s="30"/>
      <c r="DCE43" s="28"/>
      <c r="DCF43" s="29"/>
      <c r="DCG43" s="29"/>
      <c r="DCH43" s="29"/>
      <c r="DCI43" s="28"/>
      <c r="DCJ43" s="29"/>
      <c r="DCK43" s="29"/>
      <c r="DCL43" s="28"/>
      <c r="DCM43" s="29"/>
      <c r="DCN43" s="30"/>
      <c r="DCO43" s="28"/>
      <c r="DCP43" s="29"/>
      <c r="DCQ43" s="29"/>
      <c r="DCR43" s="29"/>
      <c r="DCS43" s="28"/>
      <c r="DCT43" s="29"/>
      <c r="DCU43" s="29"/>
      <c r="DCV43" s="28"/>
      <c r="DCW43" s="29"/>
      <c r="DCX43" s="30"/>
      <c r="DCY43" s="28"/>
      <c r="DCZ43" s="29"/>
      <c r="DDA43" s="29"/>
      <c r="DDB43" s="29"/>
      <c r="DDC43" s="28"/>
      <c r="DDD43" s="29"/>
      <c r="DDE43" s="29"/>
      <c r="DDF43" s="28"/>
      <c r="DDG43" s="29"/>
      <c r="DDH43" s="30"/>
      <c r="DDI43" s="28"/>
      <c r="DDJ43" s="30"/>
      <c r="DDK43" s="29"/>
      <c r="DDL43" s="28"/>
      <c r="DDM43" s="29"/>
      <c r="DDN43" s="28"/>
      <c r="DDO43" s="28"/>
      <c r="DDP43" s="28"/>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30"/>
      <c r="DFC43" s="28"/>
      <c r="DFD43" s="29"/>
      <c r="DFE43" s="29"/>
      <c r="DFF43" s="29"/>
      <c r="DFG43" s="29"/>
      <c r="DFH43" s="29"/>
      <c r="DFI43" s="28"/>
      <c r="DFJ43" s="29"/>
      <c r="DFK43" s="29"/>
      <c r="DFL43" s="28"/>
      <c r="DFM43" s="29"/>
      <c r="DFN43" s="30"/>
      <c r="DFO43" s="28"/>
      <c r="DFP43" s="29"/>
      <c r="DFQ43" s="29"/>
      <c r="DFR43" s="29"/>
      <c r="DFS43" s="28"/>
      <c r="DFT43" s="29"/>
      <c r="DFU43" s="29"/>
      <c r="DFV43" s="28"/>
      <c r="DFW43" s="29"/>
      <c r="DFX43" s="30"/>
      <c r="DFY43" s="28"/>
      <c r="DFZ43" s="29"/>
      <c r="DGA43" s="29"/>
      <c r="DGB43" s="29"/>
      <c r="DGC43" s="28"/>
      <c r="DGD43" s="29"/>
      <c r="DGE43" s="29"/>
      <c r="DGF43" s="28"/>
      <c r="DGG43" s="29"/>
      <c r="DGH43" s="30"/>
      <c r="DGI43" s="28"/>
      <c r="DGJ43" s="29"/>
      <c r="DGK43" s="29"/>
      <c r="DGL43" s="29"/>
      <c r="DGM43" s="28"/>
      <c r="DGN43" s="29"/>
      <c r="DGO43" s="29"/>
      <c r="DGP43" s="28"/>
      <c r="DGQ43" s="29"/>
      <c r="DGR43" s="30"/>
      <c r="DGS43" s="28"/>
      <c r="DGT43" s="30"/>
      <c r="DGU43" s="29"/>
      <c r="DGV43" s="28"/>
      <c r="DGW43" s="29"/>
      <c r="DGX43" s="28"/>
      <c r="DGY43" s="28"/>
      <c r="DGZ43" s="28"/>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30"/>
      <c r="DIM43" s="28"/>
      <c r="DIN43" s="29"/>
      <c r="DIO43" s="29"/>
      <c r="DIP43" s="29"/>
      <c r="DIQ43" s="29"/>
      <c r="DIR43" s="29"/>
      <c r="DIS43" s="28"/>
      <c r="DIT43" s="29"/>
      <c r="DIU43" s="29"/>
      <c r="DIV43" s="28"/>
      <c r="DIW43" s="29"/>
      <c r="DIX43" s="30"/>
      <c r="DIY43" s="28"/>
      <c r="DIZ43" s="29"/>
      <c r="DJA43" s="29"/>
      <c r="DJB43" s="29"/>
      <c r="DJC43" s="28"/>
      <c r="DJD43" s="29"/>
      <c r="DJE43" s="29"/>
      <c r="DJF43" s="28"/>
      <c r="DJG43" s="29"/>
      <c r="DJH43" s="30"/>
      <c r="DJI43" s="28"/>
      <c r="DJJ43" s="29"/>
      <c r="DJK43" s="29"/>
      <c r="DJL43" s="29"/>
      <c r="DJM43" s="28"/>
      <c r="DJN43" s="29"/>
      <c r="DJO43" s="29"/>
      <c r="DJP43" s="28"/>
      <c r="DJQ43" s="29"/>
      <c r="DJR43" s="30"/>
      <c r="DJS43" s="28"/>
      <c r="DJT43" s="29"/>
      <c r="DJU43" s="29"/>
      <c r="DJV43" s="29"/>
      <c r="DJW43" s="28"/>
      <c r="DJX43" s="29"/>
      <c r="DJY43" s="29"/>
      <c r="DJZ43" s="28"/>
      <c r="DKA43" s="29"/>
      <c r="DKB43" s="30"/>
      <c r="DKC43" s="28"/>
      <c r="DKD43" s="30"/>
      <c r="DKE43" s="29"/>
      <c r="DKF43" s="28"/>
      <c r="DKG43" s="29"/>
      <c r="DKH43" s="28"/>
      <c r="DKI43" s="28"/>
      <c r="DKJ43" s="28"/>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30"/>
      <c r="DLW43" s="28"/>
      <c r="DLX43" s="29"/>
      <c r="DLY43" s="29"/>
      <c r="DLZ43" s="29"/>
      <c r="DMA43" s="29"/>
      <c r="DMB43" s="29"/>
      <c r="DMC43" s="28"/>
      <c r="DMD43" s="29"/>
      <c r="DME43" s="29"/>
      <c r="DMF43" s="28"/>
      <c r="DMG43" s="29"/>
      <c r="DMH43" s="30"/>
      <c r="DMI43" s="28"/>
      <c r="DMJ43" s="29"/>
      <c r="DMK43" s="29"/>
      <c r="DML43" s="29"/>
      <c r="DMM43" s="28"/>
      <c r="DMN43" s="29"/>
      <c r="DMO43" s="29"/>
      <c r="DMP43" s="28"/>
      <c r="DMQ43" s="29"/>
      <c r="DMR43" s="30"/>
      <c r="DMS43" s="28"/>
      <c r="DMT43" s="29"/>
      <c r="DMU43" s="29"/>
      <c r="DMV43" s="29"/>
      <c r="DMW43" s="28"/>
      <c r="DMX43" s="29"/>
      <c r="DMY43" s="29"/>
      <c r="DMZ43" s="28"/>
      <c r="DNA43" s="29"/>
      <c r="DNB43" s="30"/>
      <c r="DNC43" s="28"/>
      <c r="DND43" s="29"/>
      <c r="DNE43" s="29"/>
      <c r="DNF43" s="29"/>
      <c r="DNG43" s="28"/>
      <c r="DNH43" s="29"/>
      <c r="DNI43" s="29"/>
      <c r="DNJ43" s="28"/>
      <c r="DNK43" s="29"/>
      <c r="DNL43" s="30"/>
      <c r="DNM43" s="28"/>
      <c r="DNN43" s="30"/>
      <c r="DNO43" s="29"/>
      <c r="DNP43" s="28"/>
      <c r="DNQ43" s="29"/>
      <c r="DNR43" s="28"/>
      <c r="DNS43" s="28"/>
      <c r="DNT43" s="28"/>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30"/>
      <c r="DPG43" s="28"/>
      <c r="DPH43" s="29"/>
      <c r="DPI43" s="29"/>
      <c r="DPJ43" s="29"/>
      <c r="DPK43" s="29"/>
      <c r="DPL43" s="29"/>
      <c r="DPM43" s="28"/>
      <c r="DPN43" s="29"/>
      <c r="DPO43" s="29"/>
      <c r="DPP43" s="28"/>
      <c r="DPQ43" s="29"/>
      <c r="DPR43" s="30"/>
      <c r="DPS43" s="28"/>
      <c r="DPT43" s="29"/>
      <c r="DPU43" s="29"/>
      <c r="DPV43" s="29"/>
      <c r="DPW43" s="28"/>
      <c r="DPX43" s="29"/>
      <c r="DPY43" s="29"/>
      <c r="DPZ43" s="28"/>
      <c r="DQA43" s="29"/>
      <c r="DQB43" s="30"/>
      <c r="DQC43" s="28"/>
      <c r="DQD43" s="29"/>
      <c r="DQE43" s="29"/>
      <c r="DQF43" s="29"/>
      <c r="DQG43" s="28"/>
      <c r="DQH43" s="29"/>
      <c r="DQI43" s="29"/>
      <c r="DQJ43" s="28"/>
      <c r="DQK43" s="29"/>
      <c r="DQL43" s="30"/>
      <c r="DQM43" s="28"/>
      <c r="DQN43" s="29"/>
      <c r="DQO43" s="29"/>
      <c r="DQP43" s="29"/>
      <c r="DQQ43" s="28"/>
      <c r="DQR43" s="29"/>
      <c r="DQS43" s="29"/>
      <c r="DQT43" s="28"/>
      <c r="DQU43" s="29"/>
      <c r="DQV43" s="30"/>
      <c r="DQW43" s="28"/>
      <c r="DQX43" s="30"/>
      <c r="DQY43" s="29"/>
      <c r="DQZ43" s="28"/>
      <c r="DRA43" s="29"/>
      <c r="DRB43" s="28"/>
      <c r="DRC43" s="28"/>
      <c r="DRD43" s="28"/>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30"/>
      <c r="DSQ43" s="28"/>
      <c r="DSR43" s="29"/>
      <c r="DSS43" s="29"/>
      <c r="DST43" s="29"/>
      <c r="DSU43" s="29"/>
      <c r="DSV43" s="29"/>
      <c r="DSW43" s="28"/>
      <c r="DSX43" s="29"/>
      <c r="DSY43" s="29"/>
      <c r="DSZ43" s="28"/>
      <c r="DTA43" s="29"/>
      <c r="DTB43" s="30"/>
      <c r="DTC43" s="28"/>
      <c r="DTD43" s="29"/>
      <c r="DTE43" s="29"/>
      <c r="DTF43" s="29"/>
      <c r="DTG43" s="28"/>
      <c r="DTH43" s="29"/>
      <c r="DTI43" s="29"/>
      <c r="DTJ43" s="28"/>
      <c r="DTK43" s="29"/>
      <c r="DTL43" s="30"/>
      <c r="DTM43" s="28"/>
      <c r="DTN43" s="29"/>
      <c r="DTO43" s="29"/>
      <c r="DTP43" s="29"/>
      <c r="DTQ43" s="28"/>
      <c r="DTR43" s="29"/>
      <c r="DTS43" s="29"/>
      <c r="DTT43" s="28"/>
      <c r="DTU43" s="29"/>
      <c r="DTV43" s="30"/>
      <c r="DTW43" s="28"/>
      <c r="DTX43" s="29"/>
      <c r="DTY43" s="29"/>
      <c r="DTZ43" s="29"/>
      <c r="DUA43" s="28"/>
      <c r="DUB43" s="29"/>
      <c r="DUC43" s="29"/>
      <c r="DUD43" s="28"/>
      <c r="DUE43" s="29"/>
      <c r="DUF43" s="30"/>
      <c r="DUG43" s="28"/>
      <c r="DUH43" s="30"/>
      <c r="DUI43" s="29"/>
      <c r="DUJ43" s="28"/>
      <c r="DUK43" s="29"/>
      <c r="DUL43" s="28"/>
      <c r="DUM43" s="28"/>
      <c r="DUN43" s="28"/>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30"/>
      <c r="DWA43" s="28"/>
      <c r="DWB43" s="29"/>
      <c r="DWC43" s="29"/>
      <c r="DWD43" s="29"/>
      <c r="DWE43" s="29"/>
      <c r="DWF43" s="29"/>
      <c r="DWG43" s="28"/>
      <c r="DWH43" s="29"/>
      <c r="DWI43" s="29"/>
      <c r="DWJ43" s="28"/>
      <c r="DWK43" s="29"/>
      <c r="DWL43" s="30"/>
      <c r="DWM43" s="28"/>
      <c r="DWN43" s="29"/>
      <c r="DWO43" s="29"/>
      <c r="DWP43" s="29"/>
      <c r="DWQ43" s="28"/>
      <c r="DWR43" s="29"/>
      <c r="DWS43" s="29"/>
      <c r="DWT43" s="28"/>
      <c r="DWU43" s="29"/>
      <c r="DWV43" s="30"/>
      <c r="DWW43" s="28"/>
      <c r="DWX43" s="29"/>
      <c r="DWY43" s="29"/>
      <c r="DWZ43" s="29"/>
      <c r="DXA43" s="28"/>
      <c r="DXB43" s="29"/>
      <c r="DXC43" s="29"/>
      <c r="DXD43" s="28"/>
      <c r="DXE43" s="29"/>
      <c r="DXF43" s="30"/>
      <c r="DXG43" s="28"/>
      <c r="DXH43" s="29"/>
      <c r="DXI43" s="29"/>
      <c r="DXJ43" s="29"/>
      <c r="DXK43" s="28"/>
      <c r="DXL43" s="29"/>
      <c r="DXM43" s="29"/>
      <c r="DXN43" s="28"/>
      <c r="DXO43" s="29"/>
      <c r="DXP43" s="30"/>
      <c r="DXQ43" s="28"/>
      <c r="DXR43" s="30"/>
      <c r="DXS43" s="29"/>
      <c r="DXT43" s="28"/>
      <c r="DXU43" s="29"/>
      <c r="DXV43" s="28"/>
      <c r="DXW43" s="28"/>
      <c r="DXX43" s="28"/>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30"/>
      <c r="DZK43" s="28"/>
      <c r="DZL43" s="29"/>
      <c r="DZM43" s="29"/>
      <c r="DZN43" s="29"/>
      <c r="DZO43" s="29"/>
      <c r="DZP43" s="29"/>
      <c r="DZQ43" s="28"/>
      <c r="DZR43" s="29"/>
      <c r="DZS43" s="29"/>
      <c r="DZT43" s="28"/>
      <c r="DZU43" s="29"/>
      <c r="DZV43" s="30"/>
      <c r="DZW43" s="28"/>
      <c r="DZX43" s="29"/>
      <c r="DZY43" s="29"/>
      <c r="DZZ43" s="29"/>
      <c r="EAA43" s="28"/>
      <c r="EAB43" s="29"/>
      <c r="EAC43" s="29"/>
      <c r="EAD43" s="28"/>
      <c r="EAE43" s="29"/>
      <c r="EAF43" s="30"/>
      <c r="EAG43" s="28"/>
      <c r="EAH43" s="29"/>
      <c r="EAI43" s="29"/>
      <c r="EAJ43" s="29"/>
      <c r="EAK43" s="28"/>
      <c r="EAL43" s="29"/>
      <c r="EAM43" s="29"/>
      <c r="EAN43" s="28"/>
      <c r="EAO43" s="29"/>
      <c r="EAP43" s="30"/>
      <c r="EAQ43" s="28"/>
      <c r="EAR43" s="29"/>
      <c r="EAS43" s="29"/>
      <c r="EAT43" s="29"/>
      <c r="EAU43" s="28"/>
      <c r="EAV43" s="29"/>
      <c r="EAW43" s="29"/>
      <c r="EAX43" s="28"/>
      <c r="EAY43" s="29"/>
      <c r="EAZ43" s="30"/>
      <c r="EBA43" s="28"/>
      <c r="EBB43" s="30"/>
      <c r="EBC43" s="29"/>
      <c r="EBD43" s="28"/>
      <c r="EBE43" s="29"/>
      <c r="EBF43" s="28"/>
      <c r="EBG43" s="28"/>
      <c r="EBH43" s="28"/>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30"/>
      <c r="ECU43" s="28"/>
      <c r="ECV43" s="29"/>
      <c r="ECW43" s="29"/>
      <c r="ECX43" s="29"/>
      <c r="ECY43" s="29"/>
      <c r="ECZ43" s="29"/>
      <c r="EDA43" s="28"/>
      <c r="EDB43" s="29"/>
      <c r="EDC43" s="29"/>
      <c r="EDD43" s="28"/>
      <c r="EDE43" s="29"/>
      <c r="EDF43" s="30"/>
      <c r="EDG43" s="28"/>
      <c r="EDH43" s="29"/>
      <c r="EDI43" s="29"/>
      <c r="EDJ43" s="29"/>
      <c r="EDK43" s="28"/>
      <c r="EDL43" s="29"/>
      <c r="EDM43" s="29"/>
      <c r="EDN43" s="28"/>
      <c r="EDO43" s="29"/>
      <c r="EDP43" s="30"/>
      <c r="EDQ43" s="28"/>
      <c r="EDR43" s="29"/>
      <c r="EDS43" s="29"/>
      <c r="EDT43" s="29"/>
      <c r="EDU43" s="28"/>
      <c r="EDV43" s="29"/>
      <c r="EDW43" s="29"/>
      <c r="EDX43" s="28"/>
      <c r="EDY43" s="29"/>
      <c r="EDZ43" s="30"/>
      <c r="EEA43" s="28"/>
      <c r="EEB43" s="29"/>
      <c r="EEC43" s="29"/>
      <c r="EED43" s="29"/>
      <c r="EEE43" s="28"/>
      <c r="EEF43" s="29"/>
      <c r="EEG43" s="29"/>
      <c r="EEH43" s="28"/>
      <c r="EEI43" s="29"/>
      <c r="EEJ43" s="30"/>
      <c r="EEK43" s="28"/>
      <c r="EEL43" s="30"/>
      <c r="EEM43" s="29"/>
      <c r="EEN43" s="28"/>
      <c r="EEO43" s="29"/>
      <c r="EEP43" s="28"/>
      <c r="EEQ43" s="28"/>
      <c r="EER43" s="28"/>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30"/>
      <c r="EGE43" s="28"/>
      <c r="EGF43" s="29"/>
      <c r="EGG43" s="29"/>
      <c r="EGH43" s="29"/>
      <c r="EGI43" s="29"/>
      <c r="EGJ43" s="29"/>
      <c r="EGK43" s="28"/>
      <c r="EGL43" s="29"/>
      <c r="EGM43" s="29"/>
      <c r="EGN43" s="28"/>
      <c r="EGO43" s="29"/>
      <c r="EGP43" s="30"/>
      <c r="EGQ43" s="28"/>
      <c r="EGR43" s="29"/>
      <c r="EGS43" s="29"/>
      <c r="EGT43" s="29"/>
      <c r="EGU43" s="28"/>
      <c r="EGV43" s="29"/>
      <c r="EGW43" s="29"/>
      <c r="EGX43" s="28"/>
      <c r="EGY43" s="29"/>
      <c r="EGZ43" s="30"/>
      <c r="EHA43" s="28"/>
      <c r="EHB43" s="29"/>
      <c r="EHC43" s="29"/>
      <c r="EHD43" s="29"/>
      <c r="EHE43" s="28"/>
      <c r="EHF43" s="29"/>
      <c r="EHG43" s="29"/>
      <c r="EHH43" s="28"/>
      <c r="EHI43" s="29"/>
      <c r="EHJ43" s="30"/>
      <c r="EHK43" s="28"/>
      <c r="EHL43" s="29"/>
      <c r="EHM43" s="29"/>
      <c r="EHN43" s="29"/>
      <c r="EHO43" s="28"/>
      <c r="EHP43" s="29"/>
      <c r="EHQ43" s="29"/>
      <c r="EHR43" s="28"/>
      <c r="EHS43" s="29"/>
      <c r="EHT43" s="30"/>
      <c r="EHU43" s="28"/>
      <c r="EHV43" s="30"/>
      <c r="EHW43" s="29"/>
      <c r="EHX43" s="28"/>
      <c r="EHY43" s="29"/>
      <c r="EHZ43" s="28"/>
      <c r="EIA43" s="28"/>
      <c r="EIB43" s="28"/>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30"/>
      <c r="EJO43" s="28"/>
      <c r="EJP43" s="29"/>
      <c r="EJQ43" s="29"/>
      <c r="EJR43" s="29"/>
      <c r="EJS43" s="29"/>
      <c r="EJT43" s="29"/>
      <c r="EJU43" s="28"/>
      <c r="EJV43" s="29"/>
      <c r="EJW43" s="29"/>
      <c r="EJX43" s="28"/>
      <c r="EJY43" s="29"/>
      <c r="EJZ43" s="30"/>
      <c r="EKA43" s="28"/>
      <c r="EKB43" s="29"/>
      <c r="EKC43" s="29"/>
      <c r="EKD43" s="29"/>
      <c r="EKE43" s="28"/>
      <c r="EKF43" s="29"/>
      <c r="EKG43" s="29"/>
      <c r="EKH43" s="28"/>
      <c r="EKI43" s="29"/>
      <c r="EKJ43" s="30"/>
      <c r="EKK43" s="28"/>
      <c r="EKL43" s="29"/>
      <c r="EKM43" s="29"/>
      <c r="EKN43" s="29"/>
      <c r="EKO43" s="28"/>
      <c r="EKP43" s="29"/>
      <c r="EKQ43" s="29"/>
      <c r="EKR43" s="28"/>
      <c r="EKS43" s="29"/>
      <c r="EKT43" s="30"/>
      <c r="EKU43" s="28"/>
      <c r="EKV43" s="29"/>
      <c r="EKW43" s="29"/>
      <c r="EKX43" s="29"/>
      <c r="EKY43" s="28"/>
      <c r="EKZ43" s="29"/>
      <c r="ELA43" s="29"/>
      <c r="ELB43" s="28"/>
      <c r="ELC43" s="29"/>
      <c r="ELD43" s="30"/>
      <c r="ELE43" s="28"/>
      <c r="ELF43" s="30"/>
      <c r="ELG43" s="29"/>
      <c r="ELH43" s="28"/>
      <c r="ELI43" s="29"/>
      <c r="ELJ43" s="28"/>
      <c r="ELK43" s="28"/>
      <c r="ELL43" s="28"/>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30"/>
      <c r="EMY43" s="28"/>
      <c r="EMZ43" s="29"/>
      <c r="ENA43" s="29"/>
      <c r="ENB43" s="29"/>
      <c r="ENC43" s="29"/>
      <c r="END43" s="29"/>
      <c r="ENE43" s="28"/>
      <c r="ENF43" s="29"/>
      <c r="ENG43" s="29"/>
      <c r="ENH43" s="28"/>
      <c r="ENI43" s="29"/>
      <c r="ENJ43" s="30"/>
      <c r="ENK43" s="28"/>
      <c r="ENL43" s="29"/>
      <c r="ENM43" s="29"/>
      <c r="ENN43" s="29"/>
      <c r="ENO43" s="28"/>
      <c r="ENP43" s="29"/>
      <c r="ENQ43" s="29"/>
      <c r="ENR43" s="28"/>
      <c r="ENS43" s="29"/>
      <c r="ENT43" s="30"/>
      <c r="ENU43" s="28"/>
      <c r="ENV43" s="29"/>
      <c r="ENW43" s="29"/>
      <c r="ENX43" s="29"/>
      <c r="ENY43" s="28"/>
      <c r="ENZ43" s="29"/>
      <c r="EOA43" s="29"/>
      <c r="EOB43" s="28"/>
      <c r="EOC43" s="29"/>
      <c r="EOD43" s="30"/>
      <c r="EOE43" s="28"/>
      <c r="EOF43" s="29"/>
      <c r="EOG43" s="29"/>
      <c r="EOH43" s="29"/>
      <c r="EOI43" s="28"/>
      <c r="EOJ43" s="29"/>
      <c r="EOK43" s="29"/>
      <c r="EOL43" s="28"/>
      <c r="EOM43" s="29"/>
      <c r="EON43" s="30"/>
      <c r="EOO43" s="28" t="str">
        <f t="shared" si="149"/>
        <v xml:space="preserve"> </v>
      </c>
      <c r="EOP43" s="30"/>
      <c r="EOQ43" s="29"/>
      <c r="EOR43" s="28"/>
      <c r="EOS43" s="29"/>
      <c r="EOT43" s="28"/>
      <c r="EOU43" s="28"/>
      <c r="EOV43" s="28"/>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30"/>
      <c r="EQI43" s="28"/>
      <c r="EQJ43" s="29"/>
      <c r="EQK43" s="29"/>
      <c r="EQL43" s="29"/>
      <c r="EQM43" s="29"/>
      <c r="EQN43" s="29"/>
      <c r="EQO43" s="28"/>
      <c r="EQP43" s="29"/>
      <c r="EQQ43" s="29"/>
      <c r="EQR43" s="28"/>
      <c r="EQS43" s="29"/>
      <c r="EQT43" s="30"/>
      <c r="EQU43" s="28"/>
      <c r="EQV43" s="29"/>
      <c r="EQW43" s="29"/>
      <c r="EQX43" s="29"/>
      <c r="EQY43" s="28"/>
      <c r="EQZ43" s="29"/>
      <c r="ERA43" s="29"/>
      <c r="ERB43" s="28"/>
      <c r="ERC43" s="29"/>
      <c r="ERD43" s="30"/>
      <c r="ERE43" s="28"/>
      <c r="ERF43" s="29"/>
      <c r="ERG43" s="29"/>
      <c r="ERH43" s="29"/>
      <c r="ERI43" s="28"/>
      <c r="ERJ43" s="29"/>
      <c r="ERK43" s="29"/>
      <c r="ERL43" s="28"/>
      <c r="ERM43" s="29"/>
      <c r="ERN43" s="30"/>
      <c r="ERO43" s="28"/>
      <c r="ERP43" s="29"/>
      <c r="ERQ43" s="29"/>
      <c r="ERR43" s="29"/>
      <c r="ERS43" s="28"/>
      <c r="ERT43" s="29"/>
      <c r="ERU43" s="29"/>
      <c r="ERV43" s="28"/>
      <c r="ERW43" s="29"/>
      <c r="ERX43" s="30"/>
      <c r="ERY43" s="28" t="str">
        <f t="shared" si="152"/>
        <v xml:space="preserve"> </v>
      </c>
      <c r="ERZ43" s="30"/>
      <c r="ESA43" s="29"/>
      <c r="ESB43" s="28"/>
      <c r="ESC43" s="29"/>
      <c r="ESD43" s="28"/>
      <c r="ESE43" s="28"/>
      <c r="ESF43" s="28"/>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30"/>
      <c r="ETS43" s="28"/>
      <c r="ETT43" s="29"/>
      <c r="ETU43" s="29"/>
      <c r="ETV43" s="29"/>
      <c r="ETW43" s="29"/>
      <c r="ETX43" s="29"/>
      <c r="ETY43" s="28"/>
      <c r="ETZ43" s="29"/>
      <c r="EUA43" s="29"/>
      <c r="EUB43" s="28"/>
      <c r="EUC43" s="29"/>
      <c r="EUD43" s="30"/>
      <c r="EUE43" s="28"/>
      <c r="EUF43" s="29"/>
      <c r="EUG43" s="29"/>
      <c r="EUH43" s="29"/>
      <c r="EUI43" s="28"/>
      <c r="EUJ43" s="29"/>
      <c r="EUK43" s="29"/>
      <c r="EUL43" s="28"/>
      <c r="EUM43" s="29"/>
      <c r="EUN43" s="30"/>
      <c r="EUO43" s="28"/>
      <c r="EUP43" s="29"/>
      <c r="EUQ43" s="29"/>
      <c r="EUR43" s="29"/>
      <c r="EUS43" s="28"/>
      <c r="EUT43" s="29"/>
      <c r="EUU43" s="29"/>
      <c r="EUV43" s="28"/>
      <c r="EUW43" s="29"/>
      <c r="EUX43" s="30"/>
      <c r="EUY43" s="28"/>
      <c r="EUZ43" s="29"/>
      <c r="EVA43" s="29"/>
      <c r="EVB43" s="29"/>
      <c r="EVC43" s="28"/>
      <c r="EVD43" s="29"/>
      <c r="EVE43" s="29"/>
      <c r="EVF43" s="28"/>
      <c r="EVG43" s="29"/>
      <c r="EVH43" s="30"/>
      <c r="EVI43" s="28" t="str">
        <f t="shared" si="153"/>
        <v xml:space="preserve"> </v>
      </c>
    </row>
    <row r="44" spans="1:3961" x14ac:dyDescent="0.3">
      <c r="A44" s="424" t="s">
        <v>245</v>
      </c>
      <c r="B44" s="58" t="str">
        <f>'REG y VAL POE - AESR - ESR'!B3414</f>
        <v xml:space="preserve">Arredondo Esquivel Katerine </v>
      </c>
      <c r="C44" s="57" t="str">
        <f>'REG y VAL POE - AESR - ESR'!C3414</f>
        <v>Sin Registro</v>
      </c>
      <c r="D44" s="56">
        <f>'REG y VAL POE - AESR - ESR'!D3414</f>
        <v>23196741</v>
      </c>
      <c r="E44" s="57">
        <f>'REG y VAL POE - AESR - ESR'!E3414</f>
        <v>0</v>
      </c>
      <c r="F44" s="56">
        <f>'REG y VAL POE - AESR - ESR'!F3414</f>
        <v>0</v>
      </c>
      <c r="G44" s="59">
        <f>'REG y VAL POE - AESR - ESR'!G3414</f>
        <v>0</v>
      </c>
      <c r="H44" s="397">
        <f>'REG y VAL POE - AESR - ESR'!H3414</f>
        <v>0</v>
      </c>
      <c r="I44" s="57">
        <f>'REG y VAL POE - AESR - ESR'!I3414</f>
        <v>0</v>
      </c>
      <c r="J44" s="57">
        <f>'REG y VAL POE - AESR - ESR'!J3414</f>
        <v>0</v>
      </c>
      <c r="K44" s="57">
        <f>'REG y VAL POE - AESR - ESR'!K3414</f>
        <v>0</v>
      </c>
      <c r="L44" s="57">
        <f>'REG y VAL POE - AESR - ESR'!L3414</f>
        <v>0</v>
      </c>
      <c r="M44" s="57">
        <f>'REG y VAL POE - AESR - ESR'!M3414</f>
        <v>0</v>
      </c>
      <c r="N44" s="57">
        <f>'REG y VAL POE - AESR - ESR'!N3414</f>
        <v>0</v>
      </c>
      <c r="O44" s="57">
        <f>'REG y VAL POE - AESR - ESR'!O3414</f>
        <v>0</v>
      </c>
      <c r="P44" s="57">
        <f>'REG y VAL POE - AESR - ESR'!P3414</f>
        <v>0</v>
      </c>
      <c r="Q44" s="57">
        <f>'REG y VAL POE - AESR - ESR'!Q3414</f>
        <v>0</v>
      </c>
      <c r="R44" s="57">
        <f>'REG y VAL POE - AESR - ESR'!R3414</f>
        <v>0</v>
      </c>
      <c r="S44" s="57">
        <f>'REG y VAL POE - AESR - ESR'!S3414</f>
        <v>0</v>
      </c>
      <c r="T44" s="57">
        <f>'REG y VAL POE - AESR - ESR'!T3414</f>
        <v>0</v>
      </c>
      <c r="U44" s="57">
        <f>'REG y VAL POE - AESR - ESR'!U3414</f>
        <v>0</v>
      </c>
      <c r="V44" s="57">
        <f>'REG y VAL POE - AESR - ESR'!V3414</f>
        <v>0</v>
      </c>
      <c r="W44" s="57">
        <f>'REG y VAL POE - AESR - ESR'!W3414</f>
        <v>0</v>
      </c>
      <c r="X44" s="57">
        <f>'REG y VAL POE - AESR - ESR'!X3414</f>
        <v>0</v>
      </c>
      <c r="Y44" s="57">
        <f>'REG y VAL POE - AESR - ESR'!Y3414</f>
        <v>0</v>
      </c>
      <c r="Z44" s="57">
        <f>'REG y VAL POE - AESR - ESR'!Z3414</f>
        <v>0</v>
      </c>
      <c r="AA44" s="57">
        <f>'REG y VAL POE - AESR - ESR'!AA3414</f>
        <v>0</v>
      </c>
      <c r="AB44" s="57">
        <f>'REG y VAL POE - AESR - ESR'!AB3414</f>
        <v>0</v>
      </c>
      <c r="AC44" s="57">
        <f>'REG y VAL POE - AESR - ESR'!AC3414</f>
        <v>0</v>
      </c>
      <c r="AD44" s="57">
        <f>'REG y VAL POE - AESR - ESR'!AD3414</f>
        <v>0</v>
      </c>
      <c r="AE44" s="57">
        <f>'REG y VAL POE - AESR - ESR'!AE3414</f>
        <v>0</v>
      </c>
      <c r="AF44" s="57">
        <f>'REG y VAL POE - AESR - ESR'!AF3414</f>
        <v>0</v>
      </c>
      <c r="AG44" s="57">
        <f>'REG y VAL POE - AESR - ESR'!AG3414</f>
        <v>0</v>
      </c>
      <c r="AH44" s="57">
        <f>'REG y VAL POE - AESR - ESR'!AH3414</f>
        <v>0</v>
      </c>
      <c r="AI44" s="57">
        <f>'REG y VAL POE - AESR - ESR'!AI3414</f>
        <v>0</v>
      </c>
      <c r="AJ44" s="57">
        <f>'REG y VAL POE - AESR - ESR'!AJ3414</f>
        <v>0</v>
      </c>
      <c r="AK44" s="57">
        <f>'REG y VAL POE - AESR - ESR'!AK3414</f>
        <v>0</v>
      </c>
      <c r="AL44" s="57">
        <f>'REG y VAL POE - AESR - ESR'!AL3414</f>
        <v>0</v>
      </c>
      <c r="AM44" s="57">
        <f>'REG y VAL POE - AESR - ESR'!AM3414</f>
        <v>0</v>
      </c>
      <c r="AN44" s="57">
        <f>'REG y VAL POE - AESR - ESR'!AN3414</f>
        <v>0</v>
      </c>
      <c r="AO44" s="57">
        <f>'REG y VAL POE - AESR - ESR'!AO3414</f>
        <v>0</v>
      </c>
      <c r="AP44" s="57">
        <f>'REG y VAL POE - AESR - ESR'!AP3414</f>
        <v>0</v>
      </c>
      <c r="AQ44" s="57">
        <f>'REG y VAL POE - AESR - ESR'!AQ3414</f>
        <v>0</v>
      </c>
      <c r="AR44" s="57">
        <f>'REG y VAL POE - AESR - ESR'!AR3414</f>
        <v>0</v>
      </c>
      <c r="AS44" s="57">
        <f>'REG y VAL POE - AESR - ESR'!AS3414</f>
        <v>0</v>
      </c>
      <c r="AT44" s="58" t="str">
        <f>'REG y VAL POE - AESR - ESR'!B3415</f>
        <v xml:space="preserve">Castillo Rodriguez Karen Arleth </v>
      </c>
      <c r="AU44" s="57" t="str">
        <f>'REG y VAL POE - AESR - ESR'!C3415</f>
        <v>Sin Registro</v>
      </c>
      <c r="AV44" s="56">
        <f>'REG y VAL POE - AESR - ESR'!D3415</f>
        <v>23194659</v>
      </c>
      <c r="AW44" s="57">
        <f>'REG y VAL POE - AESR - ESR'!E3415</f>
        <v>0</v>
      </c>
      <c r="AX44" s="56">
        <f>'REG y VAL POE - AESR - ESR'!F3415</f>
        <v>0</v>
      </c>
      <c r="AY44" s="59">
        <f>'REG y VAL POE - AESR - ESR'!G3415</f>
        <v>0</v>
      </c>
      <c r="AZ44" s="397">
        <f>'REG y VAL POE - AESR - ESR'!H3415</f>
        <v>0</v>
      </c>
      <c r="BA44" s="57">
        <f>'REG y VAL POE - AESR - ESR'!I3415</f>
        <v>0</v>
      </c>
      <c r="BB44" s="57">
        <f>'REG y VAL POE - AESR - ESR'!J3415</f>
        <v>0</v>
      </c>
      <c r="BC44" s="57">
        <f>'REG y VAL POE - AESR - ESR'!K3415</f>
        <v>0</v>
      </c>
      <c r="BD44" s="57">
        <f>'REG y VAL POE - AESR - ESR'!L3415</f>
        <v>0</v>
      </c>
      <c r="BE44" s="57">
        <f>'REG y VAL POE - AESR - ESR'!M3415</f>
        <v>0</v>
      </c>
      <c r="BF44" s="57">
        <f>'REG y VAL POE - AESR - ESR'!N3415</f>
        <v>0</v>
      </c>
      <c r="BG44" s="57">
        <f>'REG y VAL POE - AESR - ESR'!O3415</f>
        <v>0</v>
      </c>
      <c r="BH44" s="57">
        <f>'REG y VAL POE - AESR - ESR'!P3415</f>
        <v>0</v>
      </c>
      <c r="BI44" s="57">
        <f>'REG y VAL POE - AESR - ESR'!Q3415</f>
        <v>0</v>
      </c>
      <c r="BJ44" s="57">
        <f>'REG y VAL POE - AESR - ESR'!R3415</f>
        <v>0</v>
      </c>
      <c r="BK44" s="57">
        <f>'REG y VAL POE - AESR - ESR'!S3415</f>
        <v>0</v>
      </c>
      <c r="BL44" s="57">
        <f>'REG y VAL POE - AESR - ESR'!T3415</f>
        <v>0</v>
      </c>
      <c r="BM44" s="57">
        <f>'REG y VAL POE - AESR - ESR'!U3415</f>
        <v>0</v>
      </c>
      <c r="BN44" s="57">
        <f>'REG y VAL POE - AESR - ESR'!V3415</f>
        <v>0</v>
      </c>
      <c r="BO44" s="57">
        <f>'REG y VAL POE - AESR - ESR'!W3415</f>
        <v>0</v>
      </c>
      <c r="BP44" s="57">
        <f>'REG y VAL POE - AESR - ESR'!X3415</f>
        <v>0</v>
      </c>
      <c r="BQ44" s="57">
        <f>'REG y VAL POE - AESR - ESR'!Y3415</f>
        <v>0</v>
      </c>
      <c r="BR44" s="57">
        <f>'REG y VAL POE - AESR - ESR'!Z3415</f>
        <v>0</v>
      </c>
      <c r="BS44" s="57">
        <f>'REG y VAL POE - AESR - ESR'!AA3415</f>
        <v>0</v>
      </c>
      <c r="BT44" s="57">
        <f>'REG y VAL POE - AESR - ESR'!AB3415</f>
        <v>0</v>
      </c>
      <c r="BU44" s="57">
        <f>'REG y VAL POE - AESR - ESR'!AC3415</f>
        <v>0</v>
      </c>
      <c r="BV44" s="57">
        <f>'REG y VAL POE - AESR - ESR'!AD3415</f>
        <v>0</v>
      </c>
      <c r="BW44" s="57">
        <f>'REG y VAL POE - AESR - ESR'!AE3415</f>
        <v>0</v>
      </c>
      <c r="BX44" s="57">
        <f>'REG y VAL POE - AESR - ESR'!AF3415</f>
        <v>0</v>
      </c>
      <c r="BY44" s="57">
        <f>'REG y VAL POE - AESR - ESR'!AG3415</f>
        <v>0</v>
      </c>
      <c r="BZ44" s="57">
        <f>'REG y VAL POE - AESR - ESR'!AH3415</f>
        <v>0</v>
      </c>
      <c r="CA44" s="57">
        <f>'REG y VAL POE - AESR - ESR'!AI3415</f>
        <v>0</v>
      </c>
      <c r="CB44" s="57">
        <f>'REG y VAL POE - AESR - ESR'!AJ3415</f>
        <v>0</v>
      </c>
      <c r="CC44" s="57">
        <f>'REG y VAL POE - AESR - ESR'!AK3415</f>
        <v>0</v>
      </c>
      <c r="CD44" s="57">
        <f>'REG y VAL POE - AESR - ESR'!AL3415</f>
        <v>0</v>
      </c>
      <c r="CE44" s="57">
        <f>'REG y VAL POE - AESR - ESR'!AM3415</f>
        <v>0</v>
      </c>
      <c r="CF44" s="57">
        <f>'REG y VAL POE - AESR - ESR'!AN3415</f>
        <v>0</v>
      </c>
      <c r="CG44" s="57">
        <f>'REG y VAL POE - AESR - ESR'!AO3415</f>
        <v>0</v>
      </c>
      <c r="CH44" s="57">
        <f>'REG y VAL POE - AESR - ESR'!AP3415</f>
        <v>0</v>
      </c>
      <c r="CI44" s="57">
        <f>'REG y VAL POE - AESR - ESR'!AQ3415</f>
        <v>0</v>
      </c>
      <c r="CJ44" s="57">
        <f>'REG y VAL POE - AESR - ESR'!AR3415</f>
        <v>0</v>
      </c>
      <c r="CK44" s="57">
        <f>'REG y VAL POE - AESR - ESR'!AS3415</f>
        <v>0</v>
      </c>
      <c r="CL44" s="58" t="str">
        <f>'REG y VAL POE - AESR - ESR'!B3416</f>
        <v xml:space="preserve">Chontal Santiago Erwin </v>
      </c>
      <c r="CM44" s="57" t="str">
        <f>'REG y VAL POE - AESR - ESR'!C3416</f>
        <v>Sin Registro</v>
      </c>
      <c r="CN44" s="56">
        <f>'REG y VAL POE - AESR - ESR'!D3416</f>
        <v>23139660</v>
      </c>
      <c r="CO44" s="57">
        <f>'REG y VAL POE - AESR - ESR'!E3416</f>
        <v>0</v>
      </c>
      <c r="CP44" s="56">
        <f>'REG y VAL POE - AESR - ESR'!F3416</f>
        <v>0</v>
      </c>
      <c r="CQ44" s="59">
        <f>'REG y VAL POE - AESR - ESR'!G3416</f>
        <v>0</v>
      </c>
      <c r="CR44" s="397">
        <f>'REG y VAL POE - AESR - ESR'!H3416</f>
        <v>0</v>
      </c>
      <c r="CS44" s="57">
        <f>'REG y VAL POE - AESR - ESR'!I3416</f>
        <v>0</v>
      </c>
      <c r="CT44" s="57">
        <f>'REG y VAL POE - AESR - ESR'!J3416</f>
        <v>0</v>
      </c>
      <c r="CU44" s="57">
        <f>'REG y VAL POE - AESR - ESR'!K3416</f>
        <v>0</v>
      </c>
      <c r="CV44" s="57">
        <f>'REG y VAL POE - AESR - ESR'!L3416</f>
        <v>0</v>
      </c>
      <c r="CW44" s="57">
        <f>'REG y VAL POE - AESR - ESR'!M3416</f>
        <v>0</v>
      </c>
      <c r="CX44" s="57">
        <f>'REG y VAL POE - AESR - ESR'!N3416</f>
        <v>0</v>
      </c>
      <c r="CY44" s="57">
        <f>'REG y VAL POE - AESR - ESR'!O3416</f>
        <v>0</v>
      </c>
      <c r="CZ44" s="57">
        <f>'REG y VAL POE - AESR - ESR'!P3416</f>
        <v>0</v>
      </c>
      <c r="DA44" s="57">
        <f>'REG y VAL POE - AESR - ESR'!Q3416</f>
        <v>0</v>
      </c>
      <c r="DB44" s="57">
        <f>'REG y VAL POE - AESR - ESR'!R3416</f>
        <v>0</v>
      </c>
      <c r="DC44" s="57">
        <f>'REG y VAL POE - AESR - ESR'!S3416</f>
        <v>0</v>
      </c>
      <c r="DD44" s="57">
        <f>'REG y VAL POE - AESR - ESR'!T3416</f>
        <v>0</v>
      </c>
      <c r="DE44" s="57">
        <f>'REG y VAL POE - AESR - ESR'!U3416</f>
        <v>0</v>
      </c>
      <c r="DF44" s="57">
        <f>'REG y VAL POE - AESR - ESR'!V3416</f>
        <v>0</v>
      </c>
      <c r="DG44" s="57">
        <f>'REG y VAL POE - AESR - ESR'!W3416</f>
        <v>0</v>
      </c>
      <c r="DH44" s="57">
        <f>'REG y VAL POE - AESR - ESR'!X3416</f>
        <v>0</v>
      </c>
      <c r="DI44" s="57">
        <f>'REG y VAL POE - AESR - ESR'!Y3416</f>
        <v>0</v>
      </c>
      <c r="DJ44" s="57">
        <f>'REG y VAL POE - AESR - ESR'!Z3416</f>
        <v>0</v>
      </c>
      <c r="DK44" s="57">
        <f>'REG y VAL POE - AESR - ESR'!AA3416</f>
        <v>0</v>
      </c>
      <c r="DL44" s="57">
        <f>'REG y VAL POE - AESR - ESR'!AB3416</f>
        <v>0</v>
      </c>
      <c r="DM44" s="57">
        <f>'REG y VAL POE - AESR - ESR'!AC3416</f>
        <v>0</v>
      </c>
      <c r="DN44" s="57">
        <f>'REG y VAL POE - AESR - ESR'!AD3416</f>
        <v>0</v>
      </c>
      <c r="DO44" s="57">
        <f>'REG y VAL POE - AESR - ESR'!AE3416</f>
        <v>0</v>
      </c>
      <c r="DP44" s="57">
        <f>'REG y VAL POE - AESR - ESR'!AF3416</f>
        <v>0</v>
      </c>
      <c r="DQ44" s="57">
        <f>'REG y VAL POE - AESR - ESR'!AG3416</f>
        <v>0</v>
      </c>
      <c r="DR44" s="57">
        <f>'REG y VAL POE - AESR - ESR'!AH3416</f>
        <v>0</v>
      </c>
      <c r="DS44" s="57">
        <f>'REG y VAL POE - AESR - ESR'!AI3416</f>
        <v>0</v>
      </c>
      <c r="DT44" s="57">
        <f>'REG y VAL POE - AESR - ESR'!AJ3416</f>
        <v>0</v>
      </c>
      <c r="DU44" s="57">
        <f>'REG y VAL POE - AESR - ESR'!AK3416</f>
        <v>0</v>
      </c>
      <c r="DV44" s="57">
        <f>'REG y VAL POE - AESR - ESR'!AL3416</f>
        <v>0</v>
      </c>
      <c r="DW44" s="57">
        <f>'REG y VAL POE - AESR - ESR'!AM3416</f>
        <v>0</v>
      </c>
      <c r="DX44" s="57">
        <f>'REG y VAL POE - AESR - ESR'!AN3416</f>
        <v>0</v>
      </c>
      <c r="DY44" s="57">
        <f>'REG y VAL POE - AESR - ESR'!AO3416</f>
        <v>0</v>
      </c>
      <c r="DZ44" s="57">
        <f>'REG y VAL POE - AESR - ESR'!AP3416</f>
        <v>0</v>
      </c>
      <c r="EA44" s="57">
        <f>'REG y VAL POE - AESR - ESR'!AQ3416</f>
        <v>0</v>
      </c>
      <c r="EB44" s="57">
        <f>'REG y VAL POE - AESR - ESR'!AR3416</f>
        <v>0</v>
      </c>
      <c r="EC44" s="57">
        <f>'REG y VAL POE - AESR - ESR'!AS3416</f>
        <v>0</v>
      </c>
      <c r="ED44" s="58" t="str">
        <f>'REG y VAL POE - AESR - ESR'!B3417</f>
        <v xml:space="preserve">Crescenciano Crescencio Jonathan </v>
      </c>
      <c r="EE44" s="57" t="str">
        <f>'REG y VAL POE - AESR - ESR'!C3417</f>
        <v>Sin Registro</v>
      </c>
      <c r="EF44" s="56">
        <f>'REG y VAL POE - AESR - ESR'!D3417</f>
        <v>23193946</v>
      </c>
      <c r="EG44" s="57">
        <f>'REG y VAL POE - AESR - ESR'!E3417</f>
        <v>0</v>
      </c>
      <c r="EH44" s="56">
        <f>'REG y VAL POE - AESR - ESR'!F3417</f>
        <v>0</v>
      </c>
      <c r="EI44" s="59">
        <f>'REG y VAL POE - AESR - ESR'!G3417</f>
        <v>0</v>
      </c>
      <c r="EJ44" s="397">
        <f>'REG y VAL POE - AESR - ESR'!H3417</f>
        <v>0</v>
      </c>
      <c r="EK44" s="57">
        <f>'REG y VAL POE - AESR - ESR'!I3417</f>
        <v>0</v>
      </c>
      <c r="EL44" s="57">
        <f>'REG y VAL POE - AESR - ESR'!J3417</f>
        <v>0</v>
      </c>
      <c r="EM44" s="57">
        <f>'REG y VAL POE - AESR - ESR'!K3417</f>
        <v>0</v>
      </c>
      <c r="EN44" s="57">
        <f>'REG y VAL POE - AESR - ESR'!L3417</f>
        <v>0</v>
      </c>
      <c r="EO44" s="57">
        <f>'REG y VAL POE - AESR - ESR'!M3417</f>
        <v>0</v>
      </c>
      <c r="EP44" s="57">
        <f>'REG y VAL POE - AESR - ESR'!N3417</f>
        <v>0</v>
      </c>
      <c r="EQ44" s="57">
        <f>'REG y VAL POE - AESR - ESR'!O3417</f>
        <v>0</v>
      </c>
      <c r="ER44" s="57">
        <f>'REG y VAL POE - AESR - ESR'!P3417</f>
        <v>0</v>
      </c>
      <c r="ES44" s="57">
        <f>'REG y VAL POE - AESR - ESR'!Q3417</f>
        <v>0</v>
      </c>
      <c r="ET44" s="57">
        <f>'REG y VAL POE - AESR - ESR'!R3417</f>
        <v>0</v>
      </c>
      <c r="EU44" s="57">
        <f>'REG y VAL POE - AESR - ESR'!S3417</f>
        <v>0</v>
      </c>
      <c r="EV44" s="57">
        <f>'REG y VAL POE - AESR - ESR'!T3417</f>
        <v>0</v>
      </c>
      <c r="EW44" s="57">
        <f>'REG y VAL POE - AESR - ESR'!U3417</f>
        <v>0</v>
      </c>
      <c r="EX44" s="57">
        <f>'REG y VAL POE - AESR - ESR'!V3417</f>
        <v>0</v>
      </c>
      <c r="EY44" s="57">
        <f>'REG y VAL POE - AESR - ESR'!W3417</f>
        <v>0</v>
      </c>
      <c r="EZ44" s="57">
        <f>'REG y VAL POE - AESR - ESR'!X3417</f>
        <v>0</v>
      </c>
      <c r="FA44" s="57">
        <f>'REG y VAL POE - AESR - ESR'!Y3417</f>
        <v>0</v>
      </c>
      <c r="FB44" s="57">
        <f>'REG y VAL POE - AESR - ESR'!Z3417</f>
        <v>0</v>
      </c>
      <c r="FC44" s="57">
        <f>'REG y VAL POE - AESR - ESR'!AA3417</f>
        <v>0</v>
      </c>
      <c r="FD44" s="57">
        <f>'REG y VAL POE - AESR - ESR'!AB3417</f>
        <v>0</v>
      </c>
      <c r="FE44" s="57">
        <f>'REG y VAL POE - AESR - ESR'!AC3417</f>
        <v>0</v>
      </c>
      <c r="FF44" s="57">
        <f>'REG y VAL POE - AESR - ESR'!AD3417</f>
        <v>0</v>
      </c>
      <c r="FG44" s="57">
        <f>'REG y VAL POE - AESR - ESR'!AE3417</f>
        <v>0</v>
      </c>
      <c r="FH44" s="57">
        <f>'REG y VAL POE - AESR - ESR'!AF3417</f>
        <v>0</v>
      </c>
      <c r="FI44" s="57">
        <f>'REG y VAL POE - AESR - ESR'!AG3417</f>
        <v>0</v>
      </c>
      <c r="FJ44" s="57">
        <f>'REG y VAL POE - AESR - ESR'!AH3417</f>
        <v>0</v>
      </c>
      <c r="FK44" s="57">
        <f>'REG y VAL POE - AESR - ESR'!AI3417</f>
        <v>0</v>
      </c>
      <c r="FL44" s="57">
        <f>'REG y VAL POE - AESR - ESR'!AJ3417</f>
        <v>0</v>
      </c>
      <c r="FM44" s="57">
        <f>'REG y VAL POE - AESR - ESR'!AK3417</f>
        <v>0</v>
      </c>
      <c r="FN44" s="57">
        <f>'REG y VAL POE - AESR - ESR'!AL3417</f>
        <v>0</v>
      </c>
      <c r="FO44" s="57">
        <f>'REG y VAL POE - AESR - ESR'!AM3417</f>
        <v>0</v>
      </c>
      <c r="FP44" s="57">
        <f>'REG y VAL POE - AESR - ESR'!AN3417</f>
        <v>0</v>
      </c>
      <c r="FQ44" s="57">
        <f>'REG y VAL POE - AESR - ESR'!AO3417</f>
        <v>0</v>
      </c>
      <c r="FR44" s="57">
        <f>'REG y VAL POE - AESR - ESR'!AP3417</f>
        <v>0</v>
      </c>
      <c r="FS44" s="57">
        <f>'REG y VAL POE - AESR - ESR'!AQ3417</f>
        <v>0</v>
      </c>
      <c r="FT44" s="57">
        <f>'REG y VAL POE - AESR - ESR'!AR3417</f>
        <v>0</v>
      </c>
      <c r="FU44" s="57">
        <f>'REG y VAL POE - AESR - ESR'!AS3417</f>
        <v>0</v>
      </c>
      <c r="FV44" s="58" t="str">
        <f>'REG y VAL POE - AESR - ESR'!B3418</f>
        <v xml:space="preserve">De La Cruz Carmona Fabian </v>
      </c>
      <c r="FW44" s="57" t="str">
        <f>'REG y VAL POE - AESR - ESR'!C3418</f>
        <v>Sin Registro</v>
      </c>
      <c r="FX44" s="56">
        <f>'REG y VAL POE - AESR - ESR'!D3418</f>
        <v>23149327</v>
      </c>
      <c r="FY44" s="57">
        <f>'REG y VAL POE - AESR - ESR'!E3418</f>
        <v>0</v>
      </c>
      <c r="FZ44" s="56">
        <f>'REG y VAL POE - AESR - ESR'!F3418</f>
        <v>0</v>
      </c>
      <c r="GA44" s="59">
        <f>'REG y VAL POE - AESR - ESR'!G3418</f>
        <v>0</v>
      </c>
      <c r="GB44" s="397">
        <f>'REG y VAL POE - AESR - ESR'!H3418</f>
        <v>0</v>
      </c>
      <c r="GC44" s="57">
        <f>'REG y VAL POE - AESR - ESR'!I3418</f>
        <v>0</v>
      </c>
      <c r="GD44" s="57">
        <f>'REG y VAL POE - AESR - ESR'!J3418</f>
        <v>0</v>
      </c>
      <c r="GE44" s="57">
        <f>'REG y VAL POE - AESR - ESR'!K3418</f>
        <v>0</v>
      </c>
      <c r="GF44" s="57">
        <f>'REG y VAL POE - AESR - ESR'!L3418</f>
        <v>0</v>
      </c>
      <c r="GG44" s="57">
        <f>'REG y VAL POE - AESR - ESR'!M3418</f>
        <v>0</v>
      </c>
      <c r="GH44" s="57">
        <f>'REG y VAL POE - AESR - ESR'!N3418</f>
        <v>0</v>
      </c>
      <c r="GI44" s="57">
        <f>'REG y VAL POE - AESR - ESR'!O3418</f>
        <v>0</v>
      </c>
      <c r="GJ44" s="57">
        <f>'REG y VAL POE - AESR - ESR'!P3418</f>
        <v>0</v>
      </c>
      <c r="GK44" s="57">
        <f>'REG y VAL POE - AESR - ESR'!Q3418</f>
        <v>0</v>
      </c>
      <c r="GL44" s="57">
        <f>'REG y VAL POE - AESR - ESR'!R3418</f>
        <v>0</v>
      </c>
      <c r="GM44" s="57">
        <f>'REG y VAL POE - AESR - ESR'!S3418</f>
        <v>0</v>
      </c>
      <c r="GN44" s="57">
        <f>'REG y VAL POE - AESR - ESR'!T3418</f>
        <v>0</v>
      </c>
      <c r="GO44" s="57">
        <f>'REG y VAL POE - AESR - ESR'!U3418</f>
        <v>0</v>
      </c>
      <c r="GP44" s="57">
        <f>'REG y VAL POE - AESR - ESR'!V3418</f>
        <v>0</v>
      </c>
      <c r="GQ44" s="57">
        <f>'REG y VAL POE - AESR - ESR'!W3418</f>
        <v>0</v>
      </c>
      <c r="GR44" s="57">
        <f>'REG y VAL POE - AESR - ESR'!X3418</f>
        <v>0</v>
      </c>
      <c r="GS44" s="57">
        <f>'REG y VAL POE - AESR - ESR'!Y3418</f>
        <v>0</v>
      </c>
      <c r="GT44" s="57">
        <f>'REG y VAL POE - AESR - ESR'!Z3418</f>
        <v>0</v>
      </c>
      <c r="GU44" s="57">
        <f>'REG y VAL POE - AESR - ESR'!AA3418</f>
        <v>0</v>
      </c>
      <c r="GV44" s="57">
        <f>'REG y VAL POE - AESR - ESR'!AB3418</f>
        <v>0</v>
      </c>
      <c r="GW44" s="57">
        <f>'REG y VAL POE - AESR - ESR'!AC3418</f>
        <v>0</v>
      </c>
      <c r="GX44" s="57">
        <f>'REG y VAL POE - AESR - ESR'!AD3418</f>
        <v>0</v>
      </c>
      <c r="GY44" s="57">
        <f>'REG y VAL POE - AESR - ESR'!AE3418</f>
        <v>0</v>
      </c>
      <c r="GZ44" s="57">
        <f>'REG y VAL POE - AESR - ESR'!AF3418</f>
        <v>0</v>
      </c>
      <c r="HA44" s="57">
        <f>'REG y VAL POE - AESR - ESR'!AG3418</f>
        <v>0</v>
      </c>
      <c r="HB44" s="57">
        <f>'REG y VAL POE - AESR - ESR'!AH3418</f>
        <v>0</v>
      </c>
      <c r="HC44" s="57">
        <f>'REG y VAL POE - AESR - ESR'!AI3418</f>
        <v>0</v>
      </c>
      <c r="HD44" s="57">
        <f>'REG y VAL POE - AESR - ESR'!AJ3418</f>
        <v>0</v>
      </c>
      <c r="HE44" s="57">
        <f>'REG y VAL POE - AESR - ESR'!AK3418</f>
        <v>0</v>
      </c>
      <c r="HF44" s="57">
        <f>'REG y VAL POE - AESR - ESR'!AL3418</f>
        <v>0</v>
      </c>
      <c r="HG44" s="57">
        <f>'REG y VAL POE - AESR - ESR'!AM3418</f>
        <v>0</v>
      </c>
      <c r="HH44" s="57">
        <f>'REG y VAL POE - AESR - ESR'!AN3418</f>
        <v>0</v>
      </c>
      <c r="HI44" s="57">
        <f>'REG y VAL POE - AESR - ESR'!AO3418</f>
        <v>0</v>
      </c>
      <c r="HJ44" s="57">
        <f>'REG y VAL POE - AESR - ESR'!AP3418</f>
        <v>0</v>
      </c>
      <c r="HK44" s="57">
        <f>'REG y VAL POE - AESR - ESR'!AQ3418</f>
        <v>0</v>
      </c>
      <c r="HL44" s="57">
        <f>'REG y VAL POE - AESR - ESR'!AR3418</f>
        <v>0</v>
      </c>
      <c r="HM44" s="57">
        <f>'REG y VAL POE - AESR - ESR'!AS3418</f>
        <v>0</v>
      </c>
      <c r="HN44" s="58" t="str">
        <f>'REG y VAL POE - AESR - ESR'!B3419</f>
        <v>De Paz Gallardo Marco Antonio</v>
      </c>
      <c r="HO44" s="57">
        <f>'REG y VAL POE - AESR - ESR'!C3419</f>
        <v>0</v>
      </c>
      <c r="HP44" s="56">
        <f>'REG y VAL POE - AESR - ESR'!D3419</f>
        <v>23054739</v>
      </c>
      <c r="HQ44" s="57">
        <f>'REG y VAL POE - AESR - ESR'!E3419</f>
        <v>0</v>
      </c>
      <c r="HR44" s="56">
        <f>'REG y VAL POE - AESR - ESR'!F3419</f>
        <v>0</v>
      </c>
      <c r="HS44" s="59">
        <f>'REG y VAL POE - AESR - ESR'!G3419</f>
        <v>45351</v>
      </c>
      <c r="HT44" s="397">
        <f>'REG y VAL POE - AESR - ESR'!H3419</f>
        <v>45716</v>
      </c>
      <c r="HU44" s="57" t="str">
        <f>'REG y VAL POE - AESR - ESR'!I3419</f>
        <v>SI</v>
      </c>
      <c r="HV44" s="57" t="str">
        <f>'REG y VAL POE - AESR - ESR'!J3419</f>
        <v>Vigente</v>
      </c>
      <c r="HW44" s="57" t="str">
        <f>'REG y VAL POE - AESR - ESR'!K3419</f>
        <v>SI</v>
      </c>
      <c r="HX44" s="57" t="str">
        <f>'REG y VAL POE - AESR - ESR'!L3419</f>
        <v>Vigente</v>
      </c>
      <c r="HY44" s="57" t="str">
        <f>'REG y VAL POE - AESR - ESR'!M3419</f>
        <v>NO</v>
      </c>
      <c r="HZ44" s="57" t="str">
        <f>'REG y VAL POE - AESR - ESR'!N3419</f>
        <v>SIN FIRMA DE RL</v>
      </c>
      <c r="IA44" s="57" t="str">
        <f>'REG y VAL POE - AESR - ESR'!O3419</f>
        <v>CERTIFICADO</v>
      </c>
      <c r="IB44" s="57">
        <f>'REG y VAL POE - AESR - ESR'!P3419</f>
        <v>0</v>
      </c>
      <c r="IC44" s="57" t="str">
        <f>'REG y VAL POE - AESR - ESR'!Q3419</f>
        <v>SI</v>
      </c>
      <c r="ID44" s="57" t="str">
        <f>'REG y VAL POE - AESR - ESR'!R3419</f>
        <v>SI</v>
      </c>
      <c r="IE44" s="57" t="str">
        <f>'REG y VAL POE - AESR - ESR'!S3419</f>
        <v>SI</v>
      </c>
      <c r="IF44" s="57" t="str">
        <f>'REG y VAL POE - AESR - ESR'!T3419</f>
        <v>SI</v>
      </c>
      <c r="IG44" s="57" t="str">
        <f>'REG y VAL POE - AESR - ESR'!U3419</f>
        <v>NO</v>
      </c>
      <c r="IH44" s="57" t="str">
        <f>'REG y VAL POE - AESR - ESR'!V3419</f>
        <v>SI</v>
      </c>
      <c r="II44" s="57">
        <f>'REG y VAL POE - AESR - ESR'!W3419</f>
        <v>0</v>
      </c>
      <c r="IJ44" s="57">
        <f>'REG y VAL POE - AESR - ESR'!X3419</f>
        <v>0</v>
      </c>
      <c r="IK44" s="57">
        <f>'REG y VAL POE - AESR - ESR'!Y3419</f>
        <v>0</v>
      </c>
      <c r="IL44" s="57" t="str">
        <f>'REG y VAL POE - AESR - ESR'!Z3419</f>
        <v>ES OTRO DOCUMENTO</v>
      </c>
      <c r="IM44" s="57">
        <f>'REG y VAL POE - AESR - ESR'!AA3419</f>
        <v>0</v>
      </c>
      <c r="IN44" s="57">
        <f>'REG y VAL POE - AESR - ESR'!AB3419</f>
        <v>0</v>
      </c>
      <c r="IO44" s="57">
        <f>'REG y VAL POE - AESR - ESR'!AC3419</f>
        <v>0</v>
      </c>
      <c r="IP44" s="57">
        <f>'REG y VAL POE - AESR - ESR'!AD3419</f>
        <v>0</v>
      </c>
      <c r="IQ44" s="57">
        <f>'REG y VAL POE - AESR - ESR'!AE3419</f>
        <v>0</v>
      </c>
      <c r="IR44" s="57">
        <f>'REG y VAL POE - AESR - ESR'!AF3419</f>
        <v>0</v>
      </c>
      <c r="IS44" s="57" t="str">
        <f>'REG y VAL POE - AESR - ESR'!AG3419</f>
        <v>SI</v>
      </c>
      <c r="IT44" s="57">
        <f>'REG y VAL POE - AESR - ESR'!AH3419</f>
        <v>0</v>
      </c>
      <c r="IU44" s="57">
        <f>'REG y VAL POE - AESR - ESR'!AI3419</f>
        <v>0</v>
      </c>
      <c r="IV44" s="57">
        <f>'REG y VAL POE - AESR - ESR'!AJ3419</f>
        <v>0</v>
      </c>
      <c r="IW44" s="57">
        <f>'REG y VAL POE - AESR - ESR'!AK3419</f>
        <v>0</v>
      </c>
      <c r="IX44" s="57">
        <f>'REG y VAL POE - AESR - ESR'!AL3419</f>
        <v>0</v>
      </c>
      <c r="IY44" s="57" t="str">
        <f>'REG y VAL POE - AESR - ESR'!AM3419</f>
        <v>SI</v>
      </c>
      <c r="IZ44" s="57">
        <f>'REG y VAL POE - AESR - ESR'!AN3419</f>
        <v>0</v>
      </c>
      <c r="JA44" s="57">
        <f>'REG y VAL POE - AESR - ESR'!AO3419</f>
        <v>0</v>
      </c>
      <c r="JB44" s="57">
        <f>'REG y VAL POE - AESR - ESR'!AP3419</f>
        <v>0</v>
      </c>
      <c r="JC44" s="57">
        <f>'REG y VAL POE - AESR - ESR'!AQ3419</f>
        <v>0</v>
      </c>
      <c r="JD44" s="57">
        <f>'REG y VAL POE - AESR - ESR'!AR3419</f>
        <v>0</v>
      </c>
      <c r="JE44" s="57">
        <f>'REG y VAL POE - AESR - ESR'!AS3419</f>
        <v>0</v>
      </c>
      <c r="JF44" s="58" t="str">
        <f>'REG y VAL POE - AESR - ESR'!B3420</f>
        <v>Douriet Barrientos Luis Orlando</v>
      </c>
      <c r="JG44" s="57">
        <f>'REG y VAL POE - AESR - ESR'!C3420</f>
        <v>0</v>
      </c>
      <c r="JH44" s="56">
        <f>'REG y VAL POE - AESR - ESR'!D3420</f>
        <v>23199219</v>
      </c>
      <c r="JI44" s="57">
        <f>'REG y VAL POE - AESR - ESR'!E3420</f>
        <v>0</v>
      </c>
      <c r="JJ44" s="56">
        <f>'REG y VAL POE - AESR - ESR'!F3420</f>
        <v>0</v>
      </c>
      <c r="JK44" s="59">
        <f>'REG y VAL POE - AESR - ESR'!G3420</f>
        <v>45351</v>
      </c>
      <c r="JL44" s="397">
        <f>'REG y VAL POE - AESR - ESR'!H3420</f>
        <v>45716</v>
      </c>
      <c r="JM44" s="57" t="str">
        <f>'REG y VAL POE - AESR - ESR'!I3420</f>
        <v>SI</v>
      </c>
      <c r="JN44" s="57" t="str">
        <f>'REG y VAL POE - AESR - ESR'!J3420</f>
        <v>Vigente</v>
      </c>
      <c r="JO44" s="57" t="str">
        <f>'REG y VAL POE - AESR - ESR'!K3420</f>
        <v>SI</v>
      </c>
      <c r="JP44" s="57" t="str">
        <f>'REG y VAL POE - AESR - ESR'!L3420</f>
        <v>Vigente</v>
      </c>
      <c r="JQ44" s="57" t="str">
        <f>'REG y VAL POE - AESR - ESR'!M3420</f>
        <v>NO</v>
      </c>
      <c r="JR44" s="57" t="str">
        <f>'REG y VAL POE - AESR - ESR'!N3420</f>
        <v>SIN FIRMA DE RL</v>
      </c>
      <c r="JS44" s="57">
        <f>'REG y VAL POE - AESR - ESR'!O3420</f>
        <v>0</v>
      </c>
      <c r="JT44" s="57" t="str">
        <f>'REG y VAL POE - AESR - ESR'!P3420</f>
        <v>SI</v>
      </c>
      <c r="JU44" s="57" t="str">
        <f>'REG y VAL POE - AESR - ESR'!Q3420</f>
        <v>SI</v>
      </c>
      <c r="JV44" s="57" t="str">
        <f>'REG y VAL POE - AESR - ESR'!R3420</f>
        <v>SI</v>
      </c>
      <c r="JW44" s="57" t="str">
        <f>'REG y VAL POE - AESR - ESR'!S3420</f>
        <v>SI</v>
      </c>
      <c r="JX44" s="57" t="str">
        <f>'REG y VAL POE - AESR - ESR'!T3420</f>
        <v>SI</v>
      </c>
      <c r="JY44" s="57" t="str">
        <f>'REG y VAL POE - AESR - ESR'!U3420</f>
        <v>SI</v>
      </c>
      <c r="JZ44" s="57" t="str">
        <f>'REG y VAL POE - AESR - ESR'!V3420</f>
        <v>SI</v>
      </c>
      <c r="KA44" s="57">
        <f>'REG y VAL POE - AESR - ESR'!W3420</f>
        <v>0</v>
      </c>
      <c r="KB44" s="57">
        <f>'REG y VAL POE - AESR - ESR'!X3420</f>
        <v>0</v>
      </c>
      <c r="KC44" s="57">
        <f>'REG y VAL POE - AESR - ESR'!Y3420</f>
        <v>0</v>
      </c>
      <c r="KD44" s="57" t="str">
        <f>'REG y VAL POE - AESR - ESR'!Z3420</f>
        <v>ES OTRO DOCUMENTO</v>
      </c>
      <c r="KE44" s="57">
        <f>'REG y VAL POE - AESR - ESR'!AA3420</f>
        <v>0</v>
      </c>
      <c r="KF44" s="57">
        <f>'REG y VAL POE - AESR - ESR'!AB3420</f>
        <v>0</v>
      </c>
      <c r="KG44" s="57">
        <f>'REG y VAL POE - AESR - ESR'!AC3420</f>
        <v>0</v>
      </c>
      <c r="KH44" s="57">
        <f>'REG y VAL POE - AESR - ESR'!AD3420</f>
        <v>0</v>
      </c>
      <c r="KI44" s="57">
        <f>'REG y VAL POE - AESR - ESR'!AE3420</f>
        <v>0</v>
      </c>
      <c r="KJ44" s="57" t="str">
        <f>'REG y VAL POE - AESR - ESR'!AF3420</f>
        <v>SI</v>
      </c>
      <c r="KK44" s="57" t="str">
        <f>'REG y VAL POE - AESR - ESR'!AG3420</f>
        <v>SI</v>
      </c>
      <c r="KL44" s="57">
        <f>'REG y VAL POE - AESR - ESR'!AH3420</f>
        <v>0</v>
      </c>
      <c r="KM44" s="57">
        <f>'REG y VAL POE - AESR - ESR'!AI3420</f>
        <v>0</v>
      </c>
      <c r="KN44" s="57">
        <f>'REG y VAL POE - AESR - ESR'!AJ3420</f>
        <v>0</v>
      </c>
      <c r="KO44" s="57">
        <f>'REG y VAL POE - AESR - ESR'!AK3420</f>
        <v>0</v>
      </c>
      <c r="KP44" s="57">
        <f>'REG y VAL POE - AESR - ESR'!AL3420</f>
        <v>0</v>
      </c>
      <c r="KQ44" s="57" t="str">
        <f>'REG y VAL POE - AESR - ESR'!AM3420</f>
        <v>SI</v>
      </c>
      <c r="KR44" s="57">
        <f>'REG y VAL POE - AESR - ESR'!AN3420</f>
        <v>0</v>
      </c>
      <c r="KS44" s="57">
        <f>'REG y VAL POE - AESR - ESR'!AO3420</f>
        <v>0</v>
      </c>
      <c r="KT44" s="57">
        <f>'REG y VAL POE - AESR - ESR'!AP3420</f>
        <v>0</v>
      </c>
      <c r="KU44" s="57">
        <f>'REG y VAL POE - AESR - ESR'!AQ3420</f>
        <v>0</v>
      </c>
      <c r="KV44" s="57" t="str">
        <f>'REG y VAL POE - AESR - ESR'!AR3420</f>
        <v>VACIS PORTAL</v>
      </c>
      <c r="KW44" s="57">
        <f>'REG y VAL POE - AESR - ESR'!AS3420</f>
        <v>0</v>
      </c>
      <c r="KX44" s="58" t="str">
        <f>'REG y VAL POE - AESR - ESR'!B3421</f>
        <v>Flores Belanga Roberto Xavier</v>
      </c>
      <c r="KY44" s="57">
        <f>'REG y VAL POE - AESR - ESR'!C3421</f>
        <v>0</v>
      </c>
      <c r="KZ44" s="56">
        <f>'REG y VAL POE - AESR - ESR'!D3421</f>
        <v>23208614</v>
      </c>
      <c r="LA44" s="57">
        <f>'REG y VAL POE - AESR - ESR'!E3421</f>
        <v>0</v>
      </c>
      <c r="LB44" s="56">
        <f>'REG y VAL POE - AESR - ESR'!F3421</f>
        <v>0</v>
      </c>
      <c r="LC44" s="59">
        <f>'REG y VAL POE - AESR - ESR'!G3421</f>
        <v>0</v>
      </c>
      <c r="LD44" s="397">
        <f>'REG y VAL POE - AESR - ESR'!H3421</f>
        <v>365</v>
      </c>
      <c r="LE44" s="57" t="str">
        <f>'REG y VAL POE - AESR - ESR'!I3421</f>
        <v>SI</v>
      </c>
      <c r="LF44" s="57" t="str">
        <f>'REG y VAL POE - AESR - ESR'!J3421</f>
        <v>Vigente</v>
      </c>
      <c r="LG44" s="57" t="str">
        <f>'REG y VAL POE - AESR - ESR'!K3421</f>
        <v>SI</v>
      </c>
      <c r="LH44" s="57" t="str">
        <f>'REG y VAL POE - AESR - ESR'!L3421</f>
        <v>Vigente</v>
      </c>
      <c r="LI44" s="57" t="str">
        <f>'REG y VAL POE - AESR - ESR'!M3421</f>
        <v>NO</v>
      </c>
      <c r="LJ44" s="57" t="str">
        <f>'REG y VAL POE - AESR - ESR'!N3421</f>
        <v>SIN FIRMA DE RL</v>
      </c>
      <c r="LK44" s="57">
        <f>'REG y VAL POE - AESR - ESR'!O3421</f>
        <v>0</v>
      </c>
      <c r="LL44" s="57" t="str">
        <f>'REG y VAL POE - AESR - ESR'!P3421</f>
        <v>SI</v>
      </c>
      <c r="LM44" s="57" t="str">
        <f>'REG y VAL POE - AESR - ESR'!Q3421</f>
        <v>SI</v>
      </c>
      <c r="LN44" s="57" t="str">
        <f>'REG y VAL POE - AESR - ESR'!R3421</f>
        <v>SI</v>
      </c>
      <c r="LO44" s="57" t="str">
        <f>'REG y VAL POE - AESR - ESR'!S3421</f>
        <v>SI</v>
      </c>
      <c r="LP44" s="57" t="str">
        <f>'REG y VAL POE - AESR - ESR'!T3421</f>
        <v>SI</v>
      </c>
      <c r="LQ44" s="57" t="str">
        <f>'REG y VAL POE - AESR - ESR'!U3421</f>
        <v>SI</v>
      </c>
      <c r="LR44" s="57" t="str">
        <f>'REG y VAL POE - AESR - ESR'!V3421</f>
        <v>SI</v>
      </c>
      <c r="LS44" s="57">
        <f>'REG y VAL POE - AESR - ESR'!W3421</f>
        <v>0</v>
      </c>
      <c r="LT44" s="57">
        <f>'REG y VAL POE - AESR - ESR'!X3421</f>
        <v>0</v>
      </c>
      <c r="LU44" s="57">
        <f>'REG y VAL POE - AESR - ESR'!Y3421</f>
        <v>0</v>
      </c>
      <c r="LV44" s="57" t="str">
        <f>'REG y VAL POE - AESR - ESR'!Z3421</f>
        <v>ES OTRO DOCUMENTO</v>
      </c>
      <c r="LW44" s="57">
        <f>'REG y VAL POE - AESR - ESR'!AA3421</f>
        <v>0</v>
      </c>
      <c r="LX44" s="57">
        <f>'REG y VAL POE - AESR - ESR'!AB3421</f>
        <v>0</v>
      </c>
      <c r="LY44" s="57">
        <f>'REG y VAL POE - AESR - ESR'!AC3421</f>
        <v>0</v>
      </c>
      <c r="LZ44" s="57">
        <f>'REG y VAL POE - AESR - ESR'!AD3421</f>
        <v>0</v>
      </c>
      <c r="MA44" s="57">
        <f>'REG y VAL POE - AESR - ESR'!AE3421</f>
        <v>0</v>
      </c>
      <c r="MB44" s="57" t="str">
        <f>'REG y VAL POE - AESR - ESR'!AF3421</f>
        <v>SI</v>
      </c>
      <c r="MC44" s="57">
        <f>'REG y VAL POE - AESR - ESR'!AG3421</f>
        <v>0</v>
      </c>
      <c r="MD44" s="57">
        <f>'REG y VAL POE - AESR - ESR'!AH3421</f>
        <v>0</v>
      </c>
      <c r="ME44" s="57">
        <f>'REG y VAL POE - AESR - ESR'!AI3421</f>
        <v>0</v>
      </c>
      <c r="MF44" s="57">
        <f>'REG y VAL POE - AESR - ESR'!AJ3421</f>
        <v>0</v>
      </c>
      <c r="MG44" s="57">
        <f>'REG y VAL POE - AESR - ESR'!AK3421</f>
        <v>0</v>
      </c>
      <c r="MH44" s="57">
        <f>'REG y VAL POE - AESR - ESR'!AL3421</f>
        <v>0</v>
      </c>
      <c r="MI44" s="57" t="str">
        <f>'REG y VAL POE - AESR - ESR'!AM3421</f>
        <v>SI</v>
      </c>
      <c r="MJ44" s="57">
        <f>'REG y VAL POE - AESR - ESR'!AN3421</f>
        <v>0</v>
      </c>
      <c r="MK44" s="57">
        <f>'REG y VAL POE - AESR - ESR'!AO3421</f>
        <v>0</v>
      </c>
      <c r="ML44" s="57">
        <f>'REG y VAL POE - AESR - ESR'!AP3421</f>
        <v>0</v>
      </c>
      <c r="MM44" s="57">
        <f>'REG y VAL POE - AESR - ESR'!AQ3421</f>
        <v>0</v>
      </c>
      <c r="MN44" s="57">
        <f>'REG y VAL POE - AESR - ESR'!AR3421</f>
        <v>0</v>
      </c>
      <c r="MO44" s="57">
        <f>'REG y VAL POE - AESR - ESR'!AS3421</f>
        <v>0</v>
      </c>
      <c r="MP44" s="58" t="str">
        <f>'REG y VAL POE - AESR - ESR'!B3422</f>
        <v xml:space="preserve">Galvez Perez  Beymar </v>
      </c>
      <c r="MQ44" s="57" t="str">
        <f>'REG y VAL POE - AESR - ESR'!C3422</f>
        <v>Sin Registro</v>
      </c>
      <c r="MR44" s="56">
        <f>'REG y VAL POE - AESR - ESR'!D3422</f>
        <v>23192557</v>
      </c>
      <c r="MS44" s="57">
        <f>'REG y VAL POE - AESR - ESR'!E3422</f>
        <v>0</v>
      </c>
      <c r="MT44" s="56">
        <f>'REG y VAL POE - AESR - ESR'!F3422</f>
        <v>0</v>
      </c>
      <c r="MU44" s="59">
        <f>'REG y VAL POE - AESR - ESR'!G3422</f>
        <v>0</v>
      </c>
      <c r="MV44" s="397">
        <f>'REG y VAL POE - AESR - ESR'!H3422</f>
        <v>0</v>
      </c>
      <c r="MW44" s="57">
        <f>'REG y VAL POE - AESR - ESR'!I3422</f>
        <v>0</v>
      </c>
      <c r="MX44" s="57">
        <f>'REG y VAL POE - AESR - ESR'!J3422</f>
        <v>0</v>
      </c>
      <c r="MY44" s="57">
        <f>'REG y VAL POE - AESR - ESR'!K3422</f>
        <v>0</v>
      </c>
      <c r="MZ44" s="57">
        <f>'REG y VAL POE - AESR - ESR'!L3422</f>
        <v>0</v>
      </c>
      <c r="NA44" s="57">
        <f>'REG y VAL POE - AESR - ESR'!M3422</f>
        <v>0</v>
      </c>
      <c r="NB44" s="57">
        <f>'REG y VAL POE - AESR - ESR'!N3422</f>
        <v>0</v>
      </c>
      <c r="NC44" s="57">
        <f>'REG y VAL POE - AESR - ESR'!O3422</f>
        <v>0</v>
      </c>
      <c r="ND44" s="57">
        <f>'REG y VAL POE - AESR - ESR'!P3422</f>
        <v>0</v>
      </c>
      <c r="NE44" s="57">
        <f>'REG y VAL POE - AESR - ESR'!Q3422</f>
        <v>0</v>
      </c>
      <c r="NF44" s="57">
        <f>'REG y VAL POE - AESR - ESR'!R3422</f>
        <v>0</v>
      </c>
      <c r="NG44" s="57">
        <f>'REG y VAL POE - AESR - ESR'!S3422</f>
        <v>0</v>
      </c>
      <c r="NH44" s="57">
        <f>'REG y VAL POE - AESR - ESR'!T3422</f>
        <v>0</v>
      </c>
      <c r="NI44" s="57">
        <f>'REG y VAL POE - AESR - ESR'!U3422</f>
        <v>0</v>
      </c>
      <c r="NJ44" s="57">
        <f>'REG y VAL POE - AESR - ESR'!V3422</f>
        <v>0</v>
      </c>
      <c r="NK44" s="57">
        <f>'REG y VAL POE - AESR - ESR'!W3422</f>
        <v>0</v>
      </c>
      <c r="NL44" s="57">
        <f>'REG y VAL POE - AESR - ESR'!X3422</f>
        <v>0</v>
      </c>
      <c r="NM44" s="57">
        <f>'REG y VAL POE - AESR - ESR'!Y3422</f>
        <v>0</v>
      </c>
      <c r="NN44" s="57">
        <f>'REG y VAL POE - AESR - ESR'!Z3422</f>
        <v>0</v>
      </c>
      <c r="NO44" s="57">
        <f>'REG y VAL POE - AESR - ESR'!AA3422</f>
        <v>0</v>
      </c>
      <c r="NP44" s="57">
        <f>'REG y VAL POE - AESR - ESR'!AB3422</f>
        <v>0</v>
      </c>
      <c r="NQ44" s="57">
        <f>'REG y VAL POE - AESR - ESR'!AC3422</f>
        <v>0</v>
      </c>
      <c r="NR44" s="57">
        <f>'REG y VAL POE - AESR - ESR'!AD3422</f>
        <v>0</v>
      </c>
      <c r="NS44" s="57">
        <f>'REG y VAL POE - AESR - ESR'!AE3422</f>
        <v>0</v>
      </c>
      <c r="NT44" s="57">
        <f>'REG y VAL POE - AESR - ESR'!AF3422</f>
        <v>0</v>
      </c>
      <c r="NU44" s="57">
        <f>'REG y VAL POE - AESR - ESR'!AG3422</f>
        <v>0</v>
      </c>
      <c r="NV44" s="57">
        <f>'REG y VAL POE - AESR - ESR'!AH3422</f>
        <v>0</v>
      </c>
      <c r="NW44" s="57">
        <f>'REG y VAL POE - AESR - ESR'!AI3422</f>
        <v>0</v>
      </c>
      <c r="NX44" s="57">
        <f>'REG y VAL POE - AESR - ESR'!AJ3422</f>
        <v>0</v>
      </c>
      <c r="NY44" s="57">
        <f>'REG y VAL POE - AESR - ESR'!AK3422</f>
        <v>0</v>
      </c>
      <c r="NZ44" s="57">
        <f>'REG y VAL POE - AESR - ESR'!AL3422</f>
        <v>0</v>
      </c>
      <c r="OA44" s="57">
        <f>'REG y VAL POE - AESR - ESR'!AM3422</f>
        <v>0</v>
      </c>
      <c r="OB44" s="57">
        <f>'REG y VAL POE - AESR - ESR'!AN3422</f>
        <v>0</v>
      </c>
      <c r="OC44" s="57">
        <f>'REG y VAL POE - AESR - ESR'!AO3422</f>
        <v>0</v>
      </c>
      <c r="OD44" s="57">
        <f>'REG y VAL POE - AESR - ESR'!AP3422</f>
        <v>0</v>
      </c>
      <c r="OE44" s="57">
        <f>'REG y VAL POE - AESR - ESR'!AQ3422</f>
        <v>0</v>
      </c>
      <c r="OF44" s="57">
        <f>'REG y VAL POE - AESR - ESR'!AR3422</f>
        <v>0</v>
      </c>
      <c r="OG44" s="57">
        <f>'REG y VAL POE - AESR - ESR'!AS3422</f>
        <v>0</v>
      </c>
      <c r="OH44" s="58" t="str">
        <f>'REG y VAL POE - AESR - ESR'!B3423</f>
        <v xml:space="preserve">Garcia Vega Francisco Andres </v>
      </c>
      <c r="OI44" s="57" t="str">
        <f>'REG y VAL POE - AESR - ESR'!C3423</f>
        <v>Sin Registro</v>
      </c>
      <c r="OJ44" s="56">
        <f>'REG y VAL POE - AESR - ESR'!D3423</f>
        <v>23195896</v>
      </c>
      <c r="OK44" s="57">
        <f>'REG y VAL POE - AESR - ESR'!E3423</f>
        <v>0</v>
      </c>
      <c r="OL44" s="56">
        <f>'REG y VAL POE - AESR - ESR'!F3423</f>
        <v>0</v>
      </c>
      <c r="OM44" s="59">
        <f>'REG y VAL POE - AESR - ESR'!G3423</f>
        <v>0</v>
      </c>
      <c r="ON44" s="397">
        <f>'REG y VAL POE - AESR - ESR'!H3423</f>
        <v>0</v>
      </c>
      <c r="OO44" s="57">
        <f>'REG y VAL POE - AESR - ESR'!I3423</f>
        <v>0</v>
      </c>
      <c r="OP44" s="57">
        <f>'REG y VAL POE - AESR - ESR'!J3423</f>
        <v>0</v>
      </c>
      <c r="OQ44" s="57">
        <f>'REG y VAL POE - AESR - ESR'!K3423</f>
        <v>0</v>
      </c>
      <c r="OR44" s="57">
        <f>'REG y VAL POE - AESR - ESR'!L3423</f>
        <v>0</v>
      </c>
      <c r="OS44" s="57">
        <f>'REG y VAL POE - AESR - ESR'!M3423</f>
        <v>0</v>
      </c>
      <c r="OT44" s="57">
        <f>'REG y VAL POE - AESR - ESR'!N3423</f>
        <v>0</v>
      </c>
      <c r="OU44" s="57">
        <f>'REG y VAL POE - AESR - ESR'!O3423</f>
        <v>0</v>
      </c>
      <c r="OV44" s="57">
        <f>'REG y VAL POE - AESR - ESR'!P3423</f>
        <v>0</v>
      </c>
      <c r="OW44" s="57">
        <f>'REG y VAL POE - AESR - ESR'!Q3423</f>
        <v>0</v>
      </c>
      <c r="OX44" s="57">
        <f>'REG y VAL POE - AESR - ESR'!R3423</f>
        <v>0</v>
      </c>
      <c r="OY44" s="57">
        <f>'REG y VAL POE - AESR - ESR'!S3423</f>
        <v>0</v>
      </c>
      <c r="OZ44" s="57">
        <f>'REG y VAL POE - AESR - ESR'!T3423</f>
        <v>0</v>
      </c>
      <c r="PA44" s="57">
        <f>'REG y VAL POE - AESR - ESR'!U3423</f>
        <v>0</v>
      </c>
      <c r="PB44" s="57">
        <f>'REG y VAL POE - AESR - ESR'!V3423</f>
        <v>0</v>
      </c>
      <c r="PC44" s="57">
        <f>'REG y VAL POE - AESR - ESR'!W3423</f>
        <v>0</v>
      </c>
      <c r="PD44" s="57">
        <f>'REG y VAL POE - AESR - ESR'!X3423</f>
        <v>0</v>
      </c>
      <c r="PE44" s="57">
        <f>'REG y VAL POE - AESR - ESR'!Y3423</f>
        <v>0</v>
      </c>
      <c r="PF44" s="57">
        <f>'REG y VAL POE - AESR - ESR'!Z3423</f>
        <v>0</v>
      </c>
      <c r="PG44" s="57">
        <f>'REG y VAL POE - AESR - ESR'!AA3423</f>
        <v>0</v>
      </c>
      <c r="PH44" s="57">
        <f>'REG y VAL POE - AESR - ESR'!AB3423</f>
        <v>0</v>
      </c>
      <c r="PI44" s="57">
        <f>'REG y VAL POE - AESR - ESR'!AC3423</f>
        <v>0</v>
      </c>
      <c r="PJ44" s="57">
        <f>'REG y VAL POE - AESR - ESR'!AD3423</f>
        <v>0</v>
      </c>
      <c r="PK44" s="57">
        <f>'REG y VAL POE - AESR - ESR'!AE3423</f>
        <v>0</v>
      </c>
      <c r="PL44" s="57">
        <f>'REG y VAL POE - AESR - ESR'!AF3423</f>
        <v>0</v>
      </c>
      <c r="PM44" s="57">
        <f>'REG y VAL POE - AESR - ESR'!AG3423</f>
        <v>0</v>
      </c>
      <c r="PN44" s="57">
        <f>'REG y VAL POE - AESR - ESR'!AH3423</f>
        <v>0</v>
      </c>
      <c r="PO44" s="57">
        <f>'REG y VAL POE - AESR - ESR'!AI3423</f>
        <v>0</v>
      </c>
      <c r="PP44" s="57">
        <f>'REG y VAL POE - AESR - ESR'!AJ3423</f>
        <v>0</v>
      </c>
      <c r="PQ44" s="57">
        <f>'REG y VAL POE - AESR - ESR'!AK3423</f>
        <v>0</v>
      </c>
      <c r="PR44" s="57">
        <f>'REG y VAL POE - AESR - ESR'!AL3423</f>
        <v>0</v>
      </c>
      <c r="PS44" s="57">
        <f>'REG y VAL POE - AESR - ESR'!AM3423</f>
        <v>0</v>
      </c>
      <c r="PT44" s="57">
        <f>'REG y VAL POE - AESR - ESR'!AN3423</f>
        <v>0</v>
      </c>
      <c r="PU44" s="57">
        <f>'REG y VAL POE - AESR - ESR'!AO3423</f>
        <v>0</v>
      </c>
      <c r="PV44" s="57">
        <f>'REG y VAL POE - AESR - ESR'!AP3423</f>
        <v>0</v>
      </c>
      <c r="PW44" s="57">
        <f>'REG y VAL POE - AESR - ESR'!AQ3423</f>
        <v>0</v>
      </c>
      <c r="PX44" s="57">
        <f>'REG y VAL POE - AESR - ESR'!AR3423</f>
        <v>0</v>
      </c>
      <c r="PY44" s="57">
        <f>'REG y VAL POE - AESR - ESR'!AS3423</f>
        <v>0</v>
      </c>
      <c r="PZ44" s="58" t="str">
        <f>'REG y VAL POE - AESR - ESR'!B3424</f>
        <v xml:space="preserve">Gonzalez Barrera Estefan Omar </v>
      </c>
      <c r="QA44" s="57" t="str">
        <f>'REG y VAL POE - AESR - ESR'!C3424</f>
        <v>Sin Registro</v>
      </c>
      <c r="QB44" s="56">
        <f>'REG y VAL POE - AESR - ESR'!D3424</f>
        <v>23054706</v>
      </c>
      <c r="QC44" s="57">
        <f>'REG y VAL POE - AESR - ESR'!E3424</f>
        <v>0</v>
      </c>
      <c r="QD44" s="56">
        <f>'REG y VAL POE - AESR - ESR'!F3424</f>
        <v>0</v>
      </c>
      <c r="QE44" s="59">
        <f>'REG y VAL POE - AESR - ESR'!G3424</f>
        <v>0</v>
      </c>
      <c r="QF44" s="397">
        <f>'REG y VAL POE - AESR - ESR'!H3424</f>
        <v>0</v>
      </c>
      <c r="QG44" s="57">
        <f>'REG y VAL POE - AESR - ESR'!I3424</f>
        <v>0</v>
      </c>
      <c r="QH44" s="57">
        <f>'REG y VAL POE - AESR - ESR'!J3424</f>
        <v>0</v>
      </c>
      <c r="QI44" s="57">
        <f>'REG y VAL POE - AESR - ESR'!K3424</f>
        <v>0</v>
      </c>
      <c r="QJ44" s="57">
        <f>'REG y VAL POE - AESR - ESR'!L3424</f>
        <v>0</v>
      </c>
      <c r="QK44" s="57">
        <f>'REG y VAL POE - AESR - ESR'!M3424</f>
        <v>0</v>
      </c>
      <c r="QL44" s="57">
        <f>'REG y VAL POE - AESR - ESR'!N3424</f>
        <v>0</v>
      </c>
      <c r="QM44" s="57">
        <f>'REG y VAL POE - AESR - ESR'!O3424</f>
        <v>0</v>
      </c>
      <c r="QN44" s="57">
        <f>'REG y VAL POE - AESR - ESR'!P3424</f>
        <v>0</v>
      </c>
      <c r="QO44" s="57">
        <f>'REG y VAL POE - AESR - ESR'!Q3424</f>
        <v>0</v>
      </c>
      <c r="QP44" s="57">
        <f>'REG y VAL POE - AESR - ESR'!R3424</f>
        <v>0</v>
      </c>
      <c r="QQ44" s="57">
        <f>'REG y VAL POE - AESR - ESR'!S3424</f>
        <v>0</v>
      </c>
      <c r="QR44" s="57">
        <f>'REG y VAL POE - AESR - ESR'!T3424</f>
        <v>0</v>
      </c>
      <c r="QS44" s="57">
        <f>'REG y VAL POE - AESR - ESR'!U3424</f>
        <v>0</v>
      </c>
      <c r="QT44" s="57">
        <f>'REG y VAL POE - AESR - ESR'!V3424</f>
        <v>0</v>
      </c>
      <c r="QU44" s="57">
        <f>'REG y VAL POE - AESR - ESR'!W3424</f>
        <v>0</v>
      </c>
      <c r="QV44" s="57">
        <f>'REG y VAL POE - AESR - ESR'!X3424</f>
        <v>0</v>
      </c>
      <c r="QW44" s="57">
        <f>'REG y VAL POE - AESR - ESR'!Y3424</f>
        <v>0</v>
      </c>
      <c r="QX44" s="57">
        <f>'REG y VAL POE - AESR - ESR'!Z3424</f>
        <v>0</v>
      </c>
      <c r="QY44" s="57">
        <f>'REG y VAL POE - AESR - ESR'!AA3424</f>
        <v>0</v>
      </c>
      <c r="QZ44" s="57">
        <f>'REG y VAL POE - AESR - ESR'!AB3424</f>
        <v>0</v>
      </c>
      <c r="RA44" s="57">
        <f>'REG y VAL POE - AESR - ESR'!AC3424</f>
        <v>0</v>
      </c>
      <c r="RB44" s="57">
        <f>'REG y VAL POE - AESR - ESR'!AD3424</f>
        <v>0</v>
      </c>
      <c r="RC44" s="57">
        <f>'REG y VAL POE - AESR - ESR'!AE3424</f>
        <v>0</v>
      </c>
      <c r="RD44" s="57">
        <f>'REG y VAL POE - AESR - ESR'!AF3424</f>
        <v>0</v>
      </c>
      <c r="RE44" s="57">
        <f>'REG y VAL POE - AESR - ESR'!AG3424</f>
        <v>0</v>
      </c>
      <c r="RF44" s="57">
        <f>'REG y VAL POE - AESR - ESR'!AH3424</f>
        <v>0</v>
      </c>
      <c r="RG44" s="57">
        <f>'REG y VAL POE - AESR - ESR'!AI3424</f>
        <v>0</v>
      </c>
      <c r="RH44" s="57">
        <f>'REG y VAL POE - AESR - ESR'!AJ3424</f>
        <v>0</v>
      </c>
      <c r="RI44" s="57">
        <f>'REG y VAL POE - AESR - ESR'!AK3424</f>
        <v>0</v>
      </c>
      <c r="RJ44" s="57">
        <f>'REG y VAL POE - AESR - ESR'!AL3424</f>
        <v>0</v>
      </c>
      <c r="RK44" s="57">
        <f>'REG y VAL POE - AESR - ESR'!AM3424</f>
        <v>0</v>
      </c>
      <c r="RL44" s="57">
        <f>'REG y VAL POE - AESR - ESR'!AN3424</f>
        <v>0</v>
      </c>
      <c r="RM44" s="57">
        <f>'REG y VAL POE - AESR - ESR'!AO3424</f>
        <v>0</v>
      </c>
      <c r="RN44" s="57">
        <f>'REG y VAL POE - AESR - ESR'!AP3424</f>
        <v>0</v>
      </c>
      <c r="RO44" s="57">
        <f>'REG y VAL POE - AESR - ESR'!AQ3424</f>
        <v>0</v>
      </c>
      <c r="RP44" s="57">
        <f>'REG y VAL POE - AESR - ESR'!AR3424</f>
        <v>0</v>
      </c>
      <c r="RQ44" s="57">
        <f>'REG y VAL POE - AESR - ESR'!AS3424</f>
        <v>0</v>
      </c>
      <c r="RR44" s="58" t="str">
        <f>'REG y VAL POE - AESR - ESR'!B3425</f>
        <v xml:space="preserve">Hernandez Coll Irving Gabriel </v>
      </c>
      <c r="RS44" s="57" t="str">
        <f>'REG y VAL POE - AESR - ESR'!C3425</f>
        <v>Sin Registro</v>
      </c>
      <c r="RT44" s="56">
        <f>'REG y VAL POE - AESR - ESR'!D3425</f>
        <v>23199213</v>
      </c>
      <c r="RU44" s="57">
        <f>'REG y VAL POE - AESR - ESR'!E3425</f>
        <v>0</v>
      </c>
      <c r="RV44" s="56">
        <f>'REG y VAL POE - AESR - ESR'!F3425</f>
        <v>0</v>
      </c>
      <c r="RW44" s="59">
        <f>'REG y VAL POE - AESR - ESR'!G3425</f>
        <v>0</v>
      </c>
      <c r="RX44" s="397">
        <f>'REG y VAL POE - AESR - ESR'!H3425</f>
        <v>0</v>
      </c>
      <c r="RY44" s="57">
        <f>'REG y VAL POE - AESR - ESR'!I3425</f>
        <v>0</v>
      </c>
      <c r="RZ44" s="57">
        <f>'REG y VAL POE - AESR - ESR'!J3425</f>
        <v>0</v>
      </c>
      <c r="SA44" s="57">
        <f>'REG y VAL POE - AESR - ESR'!K3425</f>
        <v>0</v>
      </c>
      <c r="SB44" s="57">
        <f>'REG y VAL POE - AESR - ESR'!L3425</f>
        <v>0</v>
      </c>
      <c r="SC44" s="57">
        <f>'REG y VAL POE - AESR - ESR'!M3425</f>
        <v>0</v>
      </c>
      <c r="SD44" s="57">
        <f>'REG y VAL POE - AESR - ESR'!N3425</f>
        <v>0</v>
      </c>
      <c r="SE44" s="57">
        <f>'REG y VAL POE - AESR - ESR'!O3425</f>
        <v>0</v>
      </c>
      <c r="SF44" s="57">
        <f>'REG y VAL POE - AESR - ESR'!P3425</f>
        <v>0</v>
      </c>
      <c r="SG44" s="57">
        <f>'REG y VAL POE - AESR - ESR'!Q3425</f>
        <v>0</v>
      </c>
      <c r="SH44" s="57">
        <f>'REG y VAL POE - AESR - ESR'!R3425</f>
        <v>0</v>
      </c>
      <c r="SI44" s="57">
        <f>'REG y VAL POE - AESR - ESR'!S3425</f>
        <v>0</v>
      </c>
      <c r="SJ44" s="57">
        <f>'REG y VAL POE - AESR - ESR'!T3425</f>
        <v>0</v>
      </c>
      <c r="SK44" s="57">
        <f>'REG y VAL POE - AESR - ESR'!U3425</f>
        <v>0</v>
      </c>
      <c r="SL44" s="57">
        <f>'REG y VAL POE - AESR - ESR'!V3425</f>
        <v>0</v>
      </c>
      <c r="SM44" s="57">
        <f>'REG y VAL POE - AESR - ESR'!W3425</f>
        <v>0</v>
      </c>
      <c r="SN44" s="57">
        <f>'REG y VAL POE - AESR - ESR'!X3425</f>
        <v>0</v>
      </c>
      <c r="SO44" s="57">
        <f>'REG y VAL POE - AESR - ESR'!Y3425</f>
        <v>0</v>
      </c>
      <c r="SP44" s="57">
        <f>'REG y VAL POE - AESR - ESR'!Z3425</f>
        <v>0</v>
      </c>
      <c r="SQ44" s="57">
        <f>'REG y VAL POE - AESR - ESR'!AA3425</f>
        <v>0</v>
      </c>
      <c r="SR44" s="57">
        <f>'REG y VAL POE - AESR - ESR'!AB3425</f>
        <v>0</v>
      </c>
      <c r="SS44" s="57">
        <f>'REG y VAL POE - AESR - ESR'!AC3425</f>
        <v>0</v>
      </c>
      <c r="ST44" s="57">
        <f>'REG y VAL POE - AESR - ESR'!AD3425</f>
        <v>0</v>
      </c>
      <c r="SU44" s="57">
        <f>'REG y VAL POE - AESR - ESR'!AE3425</f>
        <v>0</v>
      </c>
      <c r="SV44" s="57">
        <f>'REG y VAL POE - AESR - ESR'!AF3425</f>
        <v>0</v>
      </c>
      <c r="SW44" s="57">
        <f>'REG y VAL POE - AESR - ESR'!AG3425</f>
        <v>0</v>
      </c>
      <c r="SX44" s="57">
        <f>'REG y VAL POE - AESR - ESR'!AH3425</f>
        <v>0</v>
      </c>
      <c r="SY44" s="57">
        <f>'REG y VAL POE - AESR - ESR'!AI3425</f>
        <v>0</v>
      </c>
      <c r="SZ44" s="57">
        <f>'REG y VAL POE - AESR - ESR'!AJ3425</f>
        <v>0</v>
      </c>
      <c r="TA44" s="57">
        <f>'REG y VAL POE - AESR - ESR'!AK3425</f>
        <v>0</v>
      </c>
      <c r="TB44" s="57">
        <f>'REG y VAL POE - AESR - ESR'!AL3425</f>
        <v>0</v>
      </c>
      <c r="TC44" s="57">
        <f>'REG y VAL POE - AESR - ESR'!AM3425</f>
        <v>0</v>
      </c>
      <c r="TD44" s="57">
        <f>'REG y VAL POE - AESR - ESR'!AN3425</f>
        <v>0</v>
      </c>
      <c r="TE44" s="57">
        <f>'REG y VAL POE - AESR - ESR'!AO3425</f>
        <v>0</v>
      </c>
      <c r="TF44" s="57">
        <f>'REG y VAL POE - AESR - ESR'!AP3425</f>
        <v>0</v>
      </c>
      <c r="TG44" s="57">
        <f>'REG y VAL POE - AESR - ESR'!AQ3425</f>
        <v>0</v>
      </c>
      <c r="TH44" s="57">
        <f>'REG y VAL POE - AESR - ESR'!AR3425</f>
        <v>0</v>
      </c>
      <c r="TI44" s="57">
        <f>'REG y VAL POE - AESR - ESR'!AS3425</f>
        <v>0</v>
      </c>
      <c r="TJ44" s="58" t="str">
        <f>'REG y VAL POE - AESR - ESR'!B3426</f>
        <v xml:space="preserve">Ibarra Lopez Alberto Isaac </v>
      </c>
      <c r="TK44" s="57" t="str">
        <f>'REG y VAL POE - AESR - ESR'!C3426</f>
        <v>Sin Registro</v>
      </c>
      <c r="TL44" s="56">
        <f>'REG y VAL POE - AESR - ESR'!D3426</f>
        <v>23196748</v>
      </c>
      <c r="TM44" s="57">
        <f>'REG y VAL POE - AESR - ESR'!E3426</f>
        <v>0</v>
      </c>
      <c r="TN44" s="56">
        <f>'REG y VAL POE - AESR - ESR'!F3426</f>
        <v>0</v>
      </c>
      <c r="TO44" s="59">
        <f>'REG y VAL POE - AESR - ESR'!G3426</f>
        <v>0</v>
      </c>
      <c r="TP44" s="397">
        <f>'REG y VAL POE - AESR - ESR'!H3426</f>
        <v>0</v>
      </c>
      <c r="TQ44" s="57">
        <f>'REG y VAL POE - AESR - ESR'!I3426</f>
        <v>0</v>
      </c>
      <c r="TR44" s="57">
        <f>'REG y VAL POE - AESR - ESR'!J3426</f>
        <v>0</v>
      </c>
      <c r="TS44" s="57">
        <f>'REG y VAL POE - AESR - ESR'!K3426</f>
        <v>0</v>
      </c>
      <c r="TT44" s="57">
        <f>'REG y VAL POE - AESR - ESR'!L3426</f>
        <v>0</v>
      </c>
      <c r="TU44" s="57">
        <f>'REG y VAL POE - AESR - ESR'!M3426</f>
        <v>0</v>
      </c>
      <c r="TV44" s="57">
        <f>'REG y VAL POE - AESR - ESR'!N3426</f>
        <v>0</v>
      </c>
      <c r="TW44" s="57">
        <f>'REG y VAL POE - AESR - ESR'!O3426</f>
        <v>0</v>
      </c>
      <c r="TX44" s="57">
        <f>'REG y VAL POE - AESR - ESR'!P3426</f>
        <v>0</v>
      </c>
      <c r="TY44" s="57">
        <f>'REG y VAL POE - AESR - ESR'!Q3426</f>
        <v>0</v>
      </c>
      <c r="TZ44" s="57">
        <f>'REG y VAL POE - AESR - ESR'!R3426</f>
        <v>0</v>
      </c>
      <c r="UA44" s="57">
        <f>'REG y VAL POE - AESR - ESR'!S3426</f>
        <v>0</v>
      </c>
      <c r="UB44" s="57">
        <f>'REG y VAL POE - AESR - ESR'!T3426</f>
        <v>0</v>
      </c>
      <c r="UC44" s="57">
        <f>'REG y VAL POE - AESR - ESR'!U3426</f>
        <v>0</v>
      </c>
      <c r="UD44" s="57">
        <f>'REG y VAL POE - AESR - ESR'!V3426</f>
        <v>0</v>
      </c>
      <c r="UE44" s="57">
        <f>'REG y VAL POE - AESR - ESR'!W3426</f>
        <v>0</v>
      </c>
      <c r="UF44" s="57">
        <f>'REG y VAL POE - AESR - ESR'!X3426</f>
        <v>0</v>
      </c>
      <c r="UG44" s="57">
        <f>'REG y VAL POE - AESR - ESR'!Y3426</f>
        <v>0</v>
      </c>
      <c r="UH44" s="57">
        <f>'REG y VAL POE - AESR - ESR'!Z3426</f>
        <v>0</v>
      </c>
      <c r="UI44" s="57">
        <f>'REG y VAL POE - AESR - ESR'!AA3426</f>
        <v>0</v>
      </c>
      <c r="UJ44" s="57">
        <f>'REG y VAL POE - AESR - ESR'!AB3426</f>
        <v>0</v>
      </c>
      <c r="UK44" s="57">
        <f>'REG y VAL POE - AESR - ESR'!AC3426</f>
        <v>0</v>
      </c>
      <c r="UL44" s="57">
        <f>'REG y VAL POE - AESR - ESR'!AD3426</f>
        <v>0</v>
      </c>
      <c r="UM44" s="57">
        <f>'REG y VAL POE - AESR - ESR'!AE3426</f>
        <v>0</v>
      </c>
      <c r="UN44" s="57">
        <f>'REG y VAL POE - AESR - ESR'!AF3426</f>
        <v>0</v>
      </c>
      <c r="UO44" s="57">
        <f>'REG y VAL POE - AESR - ESR'!AG3426</f>
        <v>0</v>
      </c>
      <c r="UP44" s="57">
        <f>'REG y VAL POE - AESR - ESR'!AH3426</f>
        <v>0</v>
      </c>
      <c r="UQ44" s="57">
        <f>'REG y VAL POE - AESR - ESR'!AI3426</f>
        <v>0</v>
      </c>
      <c r="UR44" s="57">
        <f>'REG y VAL POE - AESR - ESR'!AJ3426</f>
        <v>0</v>
      </c>
      <c r="US44" s="57">
        <f>'REG y VAL POE - AESR - ESR'!AK3426</f>
        <v>0</v>
      </c>
      <c r="UT44" s="57">
        <f>'REG y VAL POE - AESR - ESR'!AL3426</f>
        <v>0</v>
      </c>
      <c r="UU44" s="57">
        <f>'REG y VAL POE - AESR - ESR'!AM3426</f>
        <v>0</v>
      </c>
      <c r="UV44" s="57">
        <f>'REG y VAL POE - AESR - ESR'!AN3426</f>
        <v>0</v>
      </c>
      <c r="UW44" s="57">
        <f>'REG y VAL POE - AESR - ESR'!AO3426</f>
        <v>0</v>
      </c>
      <c r="UX44" s="57">
        <f>'REG y VAL POE - AESR - ESR'!AP3426</f>
        <v>0</v>
      </c>
      <c r="UY44" s="57">
        <f>'REG y VAL POE - AESR - ESR'!AQ3426</f>
        <v>0</v>
      </c>
      <c r="UZ44" s="57">
        <f>'REG y VAL POE - AESR - ESR'!AR3426</f>
        <v>0</v>
      </c>
      <c r="VA44" s="57">
        <f>'REG y VAL POE - AESR - ESR'!AS3426</f>
        <v>0</v>
      </c>
      <c r="VB44" s="58" t="str">
        <f>'REG y VAL POE - AESR - ESR'!B3427</f>
        <v>Jimenez Perez Misael</v>
      </c>
      <c r="VC44" s="57">
        <f>'REG y VAL POE - AESR - ESR'!C3427</f>
        <v>0</v>
      </c>
      <c r="VD44" s="56">
        <f>'REG y VAL POE - AESR - ESR'!D3427</f>
        <v>23160775</v>
      </c>
      <c r="VE44" s="57">
        <f>'REG y VAL POE - AESR - ESR'!E3427</f>
        <v>0</v>
      </c>
      <c r="VF44" s="56">
        <f>'REG y VAL POE - AESR - ESR'!F3427</f>
        <v>0</v>
      </c>
      <c r="VG44" s="59">
        <f>'REG y VAL POE - AESR - ESR'!G3427</f>
        <v>45351</v>
      </c>
      <c r="VH44" s="397">
        <f>'REG y VAL POE - AESR - ESR'!H3427</f>
        <v>45716</v>
      </c>
      <c r="VI44" s="57" t="str">
        <f>'REG y VAL POE - AESR - ESR'!I3427</f>
        <v>SI</v>
      </c>
      <c r="VJ44" s="57" t="str">
        <f>'REG y VAL POE - AESR - ESR'!J3427</f>
        <v>Vigente</v>
      </c>
      <c r="VK44" s="57" t="str">
        <f>'REG y VAL POE - AESR - ESR'!K3427</f>
        <v>SI</v>
      </c>
      <c r="VL44" s="57" t="str">
        <f>'REG y VAL POE - AESR - ESR'!L3427</f>
        <v>Vigente</v>
      </c>
      <c r="VM44" s="57" t="str">
        <f>'REG y VAL POE - AESR - ESR'!M3427</f>
        <v>NO</v>
      </c>
      <c r="VN44" s="57" t="str">
        <f>'REG y VAL POE - AESR - ESR'!N3427</f>
        <v>SIN FIRMA DE RL</v>
      </c>
      <c r="VO44" s="57" t="str">
        <f>'REG y VAL POE - AESR - ESR'!O3427</f>
        <v>DOCUMENTO DE BACHILLERATO</v>
      </c>
      <c r="VP44" s="57">
        <f>'REG y VAL POE - AESR - ESR'!P3427</f>
        <v>0</v>
      </c>
      <c r="VQ44" s="57" t="str">
        <f>'REG y VAL POE - AESR - ESR'!Q3427</f>
        <v>SI</v>
      </c>
      <c r="VR44" s="57" t="str">
        <f>'REG y VAL POE - AESR - ESR'!R3427</f>
        <v>SI</v>
      </c>
      <c r="VS44" s="57" t="str">
        <f>'REG y VAL POE - AESR - ESR'!S3427</f>
        <v>SI</v>
      </c>
      <c r="VT44" s="57" t="str">
        <f>'REG y VAL POE - AESR - ESR'!T3427</f>
        <v>NO</v>
      </c>
      <c r="VU44" s="57" t="str">
        <f>'REG y VAL POE - AESR - ESR'!U3427</f>
        <v>NO</v>
      </c>
      <c r="VV44" s="57" t="str">
        <f>'REG y VAL POE - AESR - ESR'!V3427</f>
        <v>SI</v>
      </c>
      <c r="VW44" s="57">
        <f>'REG y VAL POE - AESR - ESR'!W3427</f>
        <v>0</v>
      </c>
      <c r="VX44" s="57">
        <f>'REG y VAL POE - AESR - ESR'!X3427</f>
        <v>0</v>
      </c>
      <c r="VY44" s="57">
        <f>'REG y VAL POE - AESR - ESR'!Y3427</f>
        <v>0</v>
      </c>
      <c r="VZ44" s="57" t="str">
        <f>'REG y VAL POE - AESR - ESR'!Z3427</f>
        <v>ES OTRO DOCUMENTO</v>
      </c>
      <c r="WA44" s="57">
        <f>'REG y VAL POE - AESR - ESR'!AA3427</f>
        <v>0</v>
      </c>
      <c r="WB44" s="57">
        <f>'REG y VAL POE - AESR - ESR'!AB3427</f>
        <v>0</v>
      </c>
      <c r="WC44" s="57">
        <f>'REG y VAL POE - AESR - ESR'!AC3427</f>
        <v>0</v>
      </c>
      <c r="WD44" s="57">
        <f>'REG y VAL POE - AESR - ESR'!AD3427</f>
        <v>0</v>
      </c>
      <c r="WE44" s="57">
        <f>'REG y VAL POE - AESR - ESR'!AE3427</f>
        <v>0</v>
      </c>
      <c r="WF44" s="57">
        <f>'REG y VAL POE - AESR - ESR'!AF3427</f>
        <v>0</v>
      </c>
      <c r="WG44" s="57" t="str">
        <f>'REG y VAL POE - AESR - ESR'!AG3427</f>
        <v>SI</v>
      </c>
      <c r="WH44" s="57">
        <f>'REG y VAL POE - AESR - ESR'!AH3427</f>
        <v>0</v>
      </c>
      <c r="WI44" s="57">
        <f>'REG y VAL POE - AESR - ESR'!AI3427</f>
        <v>0</v>
      </c>
      <c r="WJ44" s="57">
        <f>'REG y VAL POE - AESR - ESR'!AJ3427</f>
        <v>0</v>
      </c>
      <c r="WK44" s="57">
        <f>'REG y VAL POE - AESR - ESR'!AK3427</f>
        <v>0</v>
      </c>
      <c r="WL44" s="57">
        <f>'REG y VAL POE - AESR - ESR'!AL3427</f>
        <v>0</v>
      </c>
      <c r="WM44" s="57">
        <f>'REG y VAL POE - AESR - ESR'!AM3427</f>
        <v>0</v>
      </c>
      <c r="WN44" s="57">
        <f>'REG y VAL POE - AESR - ESR'!AN3427</f>
        <v>0</v>
      </c>
      <c r="WO44" s="57">
        <f>'REG y VAL POE - AESR - ESR'!AO3427</f>
        <v>0</v>
      </c>
      <c r="WP44" s="57">
        <f>'REG y VAL POE - AESR - ESR'!AP3427</f>
        <v>0</v>
      </c>
      <c r="WQ44" s="57">
        <f>'REG y VAL POE - AESR - ESR'!AQ3427</f>
        <v>0</v>
      </c>
      <c r="WR44" s="57">
        <f>'REG y VAL POE - AESR - ESR'!AR3427</f>
        <v>0</v>
      </c>
      <c r="WS44" s="57">
        <f>'REG y VAL POE - AESR - ESR'!AS3427</f>
        <v>0</v>
      </c>
      <c r="WT44" s="58" t="str">
        <f>'REG y VAL POE - AESR - ESR'!B3428</f>
        <v>Juarez Espinoza Emmanuel</v>
      </c>
      <c r="WU44" s="57">
        <f>'REG y VAL POE - AESR - ESR'!C3428</f>
        <v>0</v>
      </c>
      <c r="WV44" s="56">
        <f>'REG y VAL POE - AESR - ESR'!D3428</f>
        <v>23140085</v>
      </c>
      <c r="WW44" s="57">
        <f>'REG y VAL POE - AESR - ESR'!E3428</f>
        <v>0</v>
      </c>
      <c r="WX44" s="56">
        <f>'REG y VAL POE - AESR - ESR'!F3428</f>
        <v>0</v>
      </c>
      <c r="WY44" s="59">
        <f>'REG y VAL POE - AESR - ESR'!G3428</f>
        <v>45355</v>
      </c>
      <c r="WZ44" s="397">
        <f>'REG y VAL POE - AESR - ESR'!H3428</f>
        <v>45720</v>
      </c>
      <c r="XA44" s="57" t="str">
        <f>'REG y VAL POE - AESR - ESR'!I3428</f>
        <v>SI</v>
      </c>
      <c r="XB44" s="57" t="str">
        <f>'REG y VAL POE - AESR - ESR'!J3428</f>
        <v>Vigente</v>
      </c>
      <c r="XC44" s="57" t="str">
        <f>'REG y VAL POE - AESR - ESR'!K3428</f>
        <v>SI</v>
      </c>
      <c r="XD44" s="57" t="str">
        <f>'REG y VAL POE - AESR - ESR'!L3428</f>
        <v>Vigente</v>
      </c>
      <c r="XE44" s="57" t="str">
        <f>'REG y VAL POE - AESR - ESR'!M3428</f>
        <v>SI</v>
      </c>
      <c r="XF44" s="57" t="str">
        <f>'REG y VAL POE - AESR - ESR'!N3428</f>
        <v>FALTA FIRMA RL</v>
      </c>
      <c r="XG44" s="57">
        <f>'REG y VAL POE - AESR - ESR'!O3428</f>
        <v>0</v>
      </c>
      <c r="XH44" s="57" t="str">
        <f>'REG y VAL POE - AESR - ESR'!P3428</f>
        <v>SI</v>
      </c>
      <c r="XI44" s="57" t="str">
        <f>'REG y VAL POE - AESR - ESR'!Q3428</f>
        <v>SI</v>
      </c>
      <c r="XJ44" s="57" t="str">
        <f>'REG y VAL POE - AESR - ESR'!R3428</f>
        <v>SI</v>
      </c>
      <c r="XK44" s="57" t="str">
        <f>'REG y VAL POE - AESR - ESR'!S3428</f>
        <v>SI</v>
      </c>
      <c r="XL44" s="57" t="str">
        <f>'REG y VAL POE - AESR - ESR'!T3428</f>
        <v>SI</v>
      </c>
      <c r="XM44" s="57" t="str">
        <f>'REG y VAL POE - AESR - ESR'!U3428</f>
        <v>SI</v>
      </c>
      <c r="XN44" s="57" t="str">
        <f>'REG y VAL POE - AESR - ESR'!V3428</f>
        <v>SI</v>
      </c>
      <c r="XO44" s="57">
        <f>'REG y VAL POE - AESR - ESR'!W3428</f>
        <v>0</v>
      </c>
      <c r="XP44" s="57">
        <f>'REG y VAL POE - AESR - ESR'!X3428</f>
        <v>0</v>
      </c>
      <c r="XQ44" s="57">
        <f>'REG y VAL POE - AESR - ESR'!Y3428</f>
        <v>0</v>
      </c>
      <c r="XR44" s="57" t="str">
        <f>'REG y VAL POE - AESR - ESR'!Z3428</f>
        <v>ES OTRO DOCUMENTO</v>
      </c>
      <c r="XS44" s="57">
        <f>'REG y VAL POE - AESR - ESR'!AA3428</f>
        <v>0</v>
      </c>
      <c r="XT44" s="57">
        <f>'REG y VAL POE - AESR - ESR'!AB3428</f>
        <v>0</v>
      </c>
      <c r="XU44" s="57">
        <f>'REG y VAL POE - AESR - ESR'!AC3428</f>
        <v>0</v>
      </c>
      <c r="XV44" s="57">
        <f>'REG y VAL POE - AESR - ESR'!AD3428</f>
        <v>0</v>
      </c>
      <c r="XW44" s="57">
        <f>'REG y VAL POE - AESR - ESR'!AE3428</f>
        <v>0</v>
      </c>
      <c r="XX44" s="57" t="str">
        <f>'REG y VAL POE - AESR - ESR'!AF3428</f>
        <v>SI</v>
      </c>
      <c r="XY44" s="57" t="str">
        <f>'REG y VAL POE - AESR - ESR'!AG3428</f>
        <v>SI</v>
      </c>
      <c r="XZ44" s="57">
        <f>'REG y VAL POE - AESR - ESR'!AH3428</f>
        <v>0</v>
      </c>
      <c r="YA44" s="57">
        <f>'REG y VAL POE - AESR - ESR'!AI3428</f>
        <v>0</v>
      </c>
      <c r="YB44" s="57">
        <f>'REG y VAL POE - AESR - ESR'!AJ3428</f>
        <v>0</v>
      </c>
      <c r="YC44" s="57">
        <f>'REG y VAL POE - AESR - ESR'!AK3428</f>
        <v>0</v>
      </c>
      <c r="YD44" s="57">
        <f>'REG y VAL POE - AESR - ESR'!AL3428</f>
        <v>0</v>
      </c>
      <c r="YE44" s="57" t="str">
        <f>'REG y VAL POE - AESR - ESR'!AM3428</f>
        <v>SI</v>
      </c>
      <c r="YF44" s="57">
        <f>'REG y VAL POE - AESR - ESR'!AN3428</f>
        <v>0</v>
      </c>
      <c r="YG44" s="57">
        <f>'REG y VAL POE - AESR - ESR'!AO3428</f>
        <v>0</v>
      </c>
      <c r="YH44" s="57">
        <f>'REG y VAL POE - AESR - ESR'!AP3428</f>
        <v>0</v>
      </c>
      <c r="YI44" s="57">
        <f>'REG y VAL POE - AESR - ESR'!AQ3428</f>
        <v>0</v>
      </c>
      <c r="YJ44" s="57">
        <f>'REG y VAL POE - AESR - ESR'!AR3428</f>
        <v>0</v>
      </c>
      <c r="YK44" s="57">
        <f>'REG y VAL POE - AESR - ESR'!AS3428</f>
        <v>0</v>
      </c>
      <c r="YL44" s="58" t="str">
        <f>'REG y VAL POE - AESR - ESR'!B3429</f>
        <v xml:space="preserve">Ledezma Loza Dalia Joseline </v>
      </c>
      <c r="YM44" s="57" t="str">
        <f>'REG y VAL POE - AESR - ESR'!C3429</f>
        <v>Sin Registro</v>
      </c>
      <c r="YN44" s="56">
        <f>'REG y VAL POE - AESR - ESR'!D3429</f>
        <v>23192563</v>
      </c>
      <c r="YO44" s="57">
        <f>'REG y VAL POE - AESR - ESR'!E3429</f>
        <v>0</v>
      </c>
      <c r="YP44" s="56">
        <f>'REG y VAL POE - AESR - ESR'!F3429</f>
        <v>0</v>
      </c>
      <c r="YQ44" s="59">
        <f>'REG y VAL POE - AESR - ESR'!G3429</f>
        <v>0</v>
      </c>
      <c r="YR44" s="397">
        <f>'REG y VAL POE - AESR - ESR'!H3429</f>
        <v>0</v>
      </c>
      <c r="YS44" s="57">
        <f>'REG y VAL POE - AESR - ESR'!I3429</f>
        <v>0</v>
      </c>
      <c r="YT44" s="57">
        <f>'REG y VAL POE - AESR - ESR'!J3429</f>
        <v>0</v>
      </c>
      <c r="YU44" s="57">
        <f>'REG y VAL POE - AESR - ESR'!K3429</f>
        <v>0</v>
      </c>
      <c r="YV44" s="57">
        <f>'REG y VAL POE - AESR - ESR'!L3429</f>
        <v>0</v>
      </c>
      <c r="YW44" s="57">
        <f>'REG y VAL POE - AESR - ESR'!M3429</f>
        <v>0</v>
      </c>
      <c r="YX44" s="57">
        <f>'REG y VAL POE - AESR - ESR'!N3429</f>
        <v>0</v>
      </c>
      <c r="YY44" s="57">
        <f>'REG y VAL POE - AESR - ESR'!O3429</f>
        <v>0</v>
      </c>
      <c r="YZ44" s="57">
        <f>'REG y VAL POE - AESR - ESR'!P3429</f>
        <v>0</v>
      </c>
      <c r="ZA44" s="57">
        <f>'REG y VAL POE - AESR - ESR'!Q3429</f>
        <v>0</v>
      </c>
      <c r="ZB44" s="57">
        <f>'REG y VAL POE - AESR - ESR'!R3429</f>
        <v>0</v>
      </c>
      <c r="ZC44" s="57">
        <f>'REG y VAL POE - AESR - ESR'!S3429</f>
        <v>0</v>
      </c>
      <c r="ZD44" s="57">
        <f>'REG y VAL POE - AESR - ESR'!T3429</f>
        <v>0</v>
      </c>
      <c r="ZE44" s="57">
        <f>'REG y VAL POE - AESR - ESR'!U3429</f>
        <v>0</v>
      </c>
      <c r="ZF44" s="57">
        <f>'REG y VAL POE - AESR - ESR'!V3429</f>
        <v>0</v>
      </c>
      <c r="ZG44" s="57">
        <f>'REG y VAL POE - AESR - ESR'!W3429</f>
        <v>0</v>
      </c>
      <c r="ZH44" s="57">
        <f>'REG y VAL POE - AESR - ESR'!X3429</f>
        <v>0</v>
      </c>
      <c r="ZI44" s="57">
        <f>'REG y VAL POE - AESR - ESR'!Y3429</f>
        <v>0</v>
      </c>
      <c r="ZJ44" s="57">
        <f>'REG y VAL POE - AESR - ESR'!Z3429</f>
        <v>0</v>
      </c>
      <c r="ZK44" s="57">
        <f>'REG y VAL POE - AESR - ESR'!AA3429</f>
        <v>0</v>
      </c>
      <c r="ZL44" s="57">
        <f>'REG y VAL POE - AESR - ESR'!AB3429</f>
        <v>0</v>
      </c>
      <c r="ZM44" s="57">
        <f>'REG y VAL POE - AESR - ESR'!AC3429</f>
        <v>0</v>
      </c>
      <c r="ZN44" s="57">
        <f>'REG y VAL POE - AESR - ESR'!AD3429</f>
        <v>0</v>
      </c>
      <c r="ZO44" s="57">
        <f>'REG y VAL POE - AESR - ESR'!AE3429</f>
        <v>0</v>
      </c>
      <c r="ZP44" s="57">
        <f>'REG y VAL POE - AESR - ESR'!AF3429</f>
        <v>0</v>
      </c>
      <c r="ZQ44" s="57">
        <f>'REG y VAL POE - AESR - ESR'!AG3429</f>
        <v>0</v>
      </c>
      <c r="ZR44" s="57">
        <f>'REG y VAL POE - AESR - ESR'!AH3429</f>
        <v>0</v>
      </c>
      <c r="ZS44" s="57">
        <f>'REG y VAL POE - AESR - ESR'!AI3429</f>
        <v>0</v>
      </c>
      <c r="ZT44" s="57">
        <f>'REG y VAL POE - AESR - ESR'!AJ3429</f>
        <v>0</v>
      </c>
      <c r="ZU44" s="57">
        <f>'REG y VAL POE - AESR - ESR'!AK3429</f>
        <v>0</v>
      </c>
      <c r="ZV44" s="57">
        <f>'REG y VAL POE - AESR - ESR'!AL3429</f>
        <v>0</v>
      </c>
      <c r="ZW44" s="57">
        <f>'REG y VAL POE - AESR - ESR'!AM3429</f>
        <v>0</v>
      </c>
      <c r="ZX44" s="57">
        <f>'REG y VAL POE - AESR - ESR'!AN3429</f>
        <v>0</v>
      </c>
      <c r="ZY44" s="57">
        <f>'REG y VAL POE - AESR - ESR'!AO3429</f>
        <v>0</v>
      </c>
      <c r="ZZ44" s="57">
        <f>'REG y VAL POE - AESR - ESR'!AP3429</f>
        <v>0</v>
      </c>
      <c r="AAA44" s="57">
        <f>'REG y VAL POE - AESR - ESR'!AQ3429</f>
        <v>0</v>
      </c>
      <c r="AAB44" s="57">
        <f>'REG y VAL POE - AESR - ESR'!AR3429</f>
        <v>0</v>
      </c>
      <c r="AAC44" s="57">
        <f>'REG y VAL POE - AESR - ESR'!AS3429</f>
        <v>0</v>
      </c>
      <c r="AAD44" s="58" t="str">
        <f>'REG y VAL POE - AESR - ESR'!B3430</f>
        <v xml:space="preserve">Lopez Aguilar Brendy </v>
      </c>
      <c r="AAE44" s="57" t="str">
        <f>'REG y VAL POE - AESR - ESR'!C3430</f>
        <v>Sin Registro</v>
      </c>
      <c r="AAF44" s="56">
        <f>'REG y VAL POE - AESR - ESR'!D3430</f>
        <v>23193557</v>
      </c>
      <c r="AAG44" s="57">
        <f>'REG y VAL POE - AESR - ESR'!E3430</f>
        <v>0</v>
      </c>
      <c r="AAH44" s="56">
        <f>'REG y VAL POE - AESR - ESR'!F3430</f>
        <v>0</v>
      </c>
      <c r="AAI44" s="59">
        <f>'REG y VAL POE - AESR - ESR'!G3430</f>
        <v>0</v>
      </c>
      <c r="AAJ44" s="397">
        <f>'REG y VAL POE - AESR - ESR'!H3430</f>
        <v>0</v>
      </c>
      <c r="AAK44" s="57">
        <f>'REG y VAL POE - AESR - ESR'!I3430</f>
        <v>0</v>
      </c>
      <c r="AAL44" s="57">
        <f>'REG y VAL POE - AESR - ESR'!J3430</f>
        <v>0</v>
      </c>
      <c r="AAM44" s="57">
        <f>'REG y VAL POE - AESR - ESR'!K3430</f>
        <v>0</v>
      </c>
      <c r="AAN44" s="57">
        <f>'REG y VAL POE - AESR - ESR'!L3430</f>
        <v>0</v>
      </c>
      <c r="AAO44" s="57">
        <f>'REG y VAL POE - AESR - ESR'!M3430</f>
        <v>0</v>
      </c>
      <c r="AAP44" s="57">
        <f>'REG y VAL POE - AESR - ESR'!N3430</f>
        <v>0</v>
      </c>
      <c r="AAQ44" s="57">
        <f>'REG y VAL POE - AESR - ESR'!O3430</f>
        <v>0</v>
      </c>
      <c r="AAR44" s="57">
        <f>'REG y VAL POE - AESR - ESR'!P3430</f>
        <v>0</v>
      </c>
      <c r="AAS44" s="57">
        <f>'REG y VAL POE - AESR - ESR'!Q3430</f>
        <v>0</v>
      </c>
      <c r="AAT44" s="57">
        <f>'REG y VAL POE - AESR - ESR'!R3430</f>
        <v>0</v>
      </c>
      <c r="AAU44" s="57">
        <f>'REG y VAL POE - AESR - ESR'!S3430</f>
        <v>0</v>
      </c>
      <c r="AAV44" s="57">
        <f>'REG y VAL POE - AESR - ESR'!T3430</f>
        <v>0</v>
      </c>
      <c r="AAW44" s="57">
        <f>'REG y VAL POE - AESR - ESR'!U3430</f>
        <v>0</v>
      </c>
      <c r="AAX44" s="57">
        <f>'REG y VAL POE - AESR - ESR'!V3430</f>
        <v>0</v>
      </c>
      <c r="AAY44" s="57">
        <f>'REG y VAL POE - AESR - ESR'!W3430</f>
        <v>0</v>
      </c>
      <c r="AAZ44" s="57">
        <f>'REG y VAL POE - AESR - ESR'!X3430</f>
        <v>0</v>
      </c>
      <c r="ABA44" s="57">
        <f>'REG y VAL POE - AESR - ESR'!Y3430</f>
        <v>0</v>
      </c>
      <c r="ABB44" s="57">
        <f>'REG y VAL POE - AESR - ESR'!Z3430</f>
        <v>0</v>
      </c>
      <c r="ABC44" s="57">
        <f>'REG y VAL POE - AESR - ESR'!AA3430</f>
        <v>0</v>
      </c>
      <c r="ABD44" s="57">
        <f>'REG y VAL POE - AESR - ESR'!AB3430</f>
        <v>0</v>
      </c>
      <c r="ABE44" s="57">
        <f>'REG y VAL POE - AESR - ESR'!AC3430</f>
        <v>0</v>
      </c>
      <c r="ABF44" s="57">
        <f>'REG y VAL POE - AESR - ESR'!AD3430</f>
        <v>0</v>
      </c>
      <c r="ABG44" s="57">
        <f>'REG y VAL POE - AESR - ESR'!AE3430</f>
        <v>0</v>
      </c>
      <c r="ABH44" s="57">
        <f>'REG y VAL POE - AESR - ESR'!AF3430</f>
        <v>0</v>
      </c>
      <c r="ABI44" s="57">
        <f>'REG y VAL POE - AESR - ESR'!AG3430</f>
        <v>0</v>
      </c>
      <c r="ABJ44" s="57">
        <f>'REG y VAL POE - AESR - ESR'!AH3430</f>
        <v>0</v>
      </c>
      <c r="ABK44" s="57">
        <f>'REG y VAL POE - AESR - ESR'!AI3430</f>
        <v>0</v>
      </c>
      <c r="ABL44" s="57">
        <f>'REG y VAL POE - AESR - ESR'!AJ3430</f>
        <v>0</v>
      </c>
      <c r="ABM44" s="57">
        <f>'REG y VAL POE - AESR - ESR'!AK3430</f>
        <v>0</v>
      </c>
      <c r="ABN44" s="57">
        <f>'REG y VAL POE - AESR - ESR'!AL3430</f>
        <v>0</v>
      </c>
      <c r="ABO44" s="57">
        <f>'REG y VAL POE - AESR - ESR'!AM3430</f>
        <v>0</v>
      </c>
      <c r="ABP44" s="57">
        <f>'REG y VAL POE - AESR - ESR'!AN3430</f>
        <v>0</v>
      </c>
      <c r="ABQ44" s="57">
        <f>'REG y VAL POE - AESR - ESR'!AO3430</f>
        <v>0</v>
      </c>
      <c r="ABR44" s="57">
        <f>'REG y VAL POE - AESR - ESR'!AP3430</f>
        <v>0</v>
      </c>
      <c r="ABS44" s="57">
        <f>'REG y VAL POE - AESR - ESR'!AQ3430</f>
        <v>0</v>
      </c>
      <c r="ABT44" s="57">
        <f>'REG y VAL POE - AESR - ESR'!AR3430</f>
        <v>0</v>
      </c>
      <c r="ABU44" s="57">
        <f>'REG y VAL POE - AESR - ESR'!AS3430</f>
        <v>0</v>
      </c>
      <c r="ABV44" s="58" t="str">
        <f>'REG y VAL POE - AESR - ESR'!B3431</f>
        <v xml:space="preserve">Marquez Antonio Beatriz </v>
      </c>
      <c r="ABW44" s="57" t="str">
        <f>'REG y VAL POE - AESR - ESR'!C3431</f>
        <v>Sin Registro</v>
      </c>
      <c r="ABX44" s="56">
        <f>'REG y VAL POE - AESR - ESR'!D3431</f>
        <v>23149849</v>
      </c>
      <c r="ABY44" s="57">
        <f>'REG y VAL POE - AESR - ESR'!E3431</f>
        <v>0</v>
      </c>
      <c r="ABZ44" s="56">
        <f>'REG y VAL POE - AESR - ESR'!F3431</f>
        <v>0</v>
      </c>
      <c r="ACA44" s="59">
        <f>'REG y VAL POE - AESR - ESR'!G3431</f>
        <v>0</v>
      </c>
      <c r="ACB44" s="397">
        <f>'REG y VAL POE - AESR - ESR'!H3431</f>
        <v>0</v>
      </c>
      <c r="ACC44" s="57">
        <f>'REG y VAL POE - AESR - ESR'!I3431</f>
        <v>0</v>
      </c>
      <c r="ACD44" s="57">
        <f>'REG y VAL POE - AESR - ESR'!J3431</f>
        <v>0</v>
      </c>
      <c r="ACE44" s="57">
        <f>'REG y VAL POE - AESR - ESR'!K3431</f>
        <v>0</v>
      </c>
      <c r="ACF44" s="57">
        <f>'REG y VAL POE - AESR - ESR'!L3431</f>
        <v>0</v>
      </c>
      <c r="ACG44" s="57">
        <f>'REG y VAL POE - AESR - ESR'!M3431</f>
        <v>0</v>
      </c>
      <c r="ACH44" s="57">
        <f>'REG y VAL POE - AESR - ESR'!N3431</f>
        <v>0</v>
      </c>
      <c r="ACI44" s="57">
        <f>'REG y VAL POE - AESR - ESR'!O3431</f>
        <v>0</v>
      </c>
      <c r="ACJ44" s="57">
        <f>'REG y VAL POE - AESR - ESR'!P3431</f>
        <v>0</v>
      </c>
      <c r="ACK44" s="57">
        <f>'REG y VAL POE - AESR - ESR'!Q3431</f>
        <v>0</v>
      </c>
      <c r="ACL44" s="57">
        <f>'REG y VAL POE - AESR - ESR'!R3431</f>
        <v>0</v>
      </c>
      <c r="ACM44" s="57">
        <f>'REG y VAL POE - AESR - ESR'!S3431</f>
        <v>0</v>
      </c>
      <c r="ACN44" s="57">
        <f>'REG y VAL POE - AESR - ESR'!T3431</f>
        <v>0</v>
      </c>
      <c r="ACO44" s="57">
        <f>'REG y VAL POE - AESR - ESR'!U3431</f>
        <v>0</v>
      </c>
      <c r="ACP44" s="57">
        <f>'REG y VAL POE - AESR - ESR'!V3431</f>
        <v>0</v>
      </c>
      <c r="ACQ44" s="57">
        <f>'REG y VAL POE - AESR - ESR'!W3431</f>
        <v>0</v>
      </c>
      <c r="ACR44" s="57">
        <f>'REG y VAL POE - AESR - ESR'!X3431</f>
        <v>0</v>
      </c>
      <c r="ACS44" s="57">
        <f>'REG y VAL POE - AESR - ESR'!Y3431</f>
        <v>0</v>
      </c>
      <c r="ACT44" s="57">
        <f>'REG y VAL POE - AESR - ESR'!Z3431</f>
        <v>0</v>
      </c>
      <c r="ACU44" s="57">
        <f>'REG y VAL POE - AESR - ESR'!AA3431</f>
        <v>0</v>
      </c>
      <c r="ACV44" s="57">
        <f>'REG y VAL POE - AESR - ESR'!AB3431</f>
        <v>0</v>
      </c>
      <c r="ACW44" s="57">
        <f>'REG y VAL POE - AESR - ESR'!AC3431</f>
        <v>0</v>
      </c>
      <c r="ACX44" s="57">
        <f>'REG y VAL POE - AESR - ESR'!AD3431</f>
        <v>0</v>
      </c>
      <c r="ACY44" s="57">
        <f>'REG y VAL POE - AESR - ESR'!AE3431</f>
        <v>0</v>
      </c>
      <c r="ACZ44" s="57">
        <f>'REG y VAL POE - AESR - ESR'!AF3431</f>
        <v>0</v>
      </c>
      <c r="ADA44" s="57">
        <f>'REG y VAL POE - AESR - ESR'!AG3431</f>
        <v>0</v>
      </c>
      <c r="ADB44" s="57">
        <f>'REG y VAL POE - AESR - ESR'!AH3431</f>
        <v>0</v>
      </c>
      <c r="ADC44" s="57">
        <f>'REG y VAL POE - AESR - ESR'!AI3431</f>
        <v>0</v>
      </c>
      <c r="ADD44" s="57">
        <f>'REG y VAL POE - AESR - ESR'!AJ3431</f>
        <v>0</v>
      </c>
      <c r="ADE44" s="57">
        <f>'REG y VAL POE - AESR - ESR'!AK3431</f>
        <v>0</v>
      </c>
      <c r="ADF44" s="57">
        <f>'REG y VAL POE - AESR - ESR'!AL3431</f>
        <v>0</v>
      </c>
      <c r="ADG44" s="57">
        <f>'REG y VAL POE - AESR - ESR'!AM3431</f>
        <v>0</v>
      </c>
      <c r="ADH44" s="57">
        <f>'REG y VAL POE - AESR - ESR'!AN3431</f>
        <v>0</v>
      </c>
      <c r="ADI44" s="57">
        <f>'REG y VAL POE - AESR - ESR'!AO3431</f>
        <v>0</v>
      </c>
      <c r="ADJ44" s="57">
        <f>'REG y VAL POE - AESR - ESR'!AP3431</f>
        <v>0</v>
      </c>
      <c r="ADK44" s="57">
        <f>'REG y VAL POE - AESR - ESR'!AQ3431</f>
        <v>0</v>
      </c>
      <c r="ADL44" s="57">
        <f>'REG y VAL POE - AESR - ESR'!AR3431</f>
        <v>0</v>
      </c>
      <c r="ADM44" s="57">
        <f>'REG y VAL POE - AESR - ESR'!AS3431</f>
        <v>0</v>
      </c>
      <c r="ADN44" s="58" t="str">
        <f>'REG y VAL POE - AESR - ESR'!B3432</f>
        <v xml:space="preserve">Martinez Francisco Victor </v>
      </c>
      <c r="ADO44" s="57" t="str">
        <f>'REG y VAL POE - AESR - ESR'!C3432</f>
        <v>Sin Registro</v>
      </c>
      <c r="ADP44" s="56">
        <f>'REG y VAL POE - AESR - ESR'!D3432</f>
        <v>23199218</v>
      </c>
      <c r="ADQ44" s="57">
        <f>'REG y VAL POE - AESR - ESR'!E3432</f>
        <v>0</v>
      </c>
      <c r="ADR44" s="56">
        <f>'REG y VAL POE - AESR - ESR'!F3432</f>
        <v>0</v>
      </c>
      <c r="ADS44" s="59">
        <f>'REG y VAL POE - AESR - ESR'!G3432</f>
        <v>0</v>
      </c>
      <c r="ADT44" s="397">
        <f>'REG y VAL POE - AESR - ESR'!H3432</f>
        <v>0</v>
      </c>
      <c r="ADU44" s="57">
        <f>'REG y VAL POE - AESR - ESR'!I3432</f>
        <v>0</v>
      </c>
      <c r="ADV44" s="57">
        <f>'REG y VAL POE - AESR - ESR'!J3432</f>
        <v>0</v>
      </c>
      <c r="ADW44" s="57">
        <f>'REG y VAL POE - AESR - ESR'!K3432</f>
        <v>0</v>
      </c>
      <c r="ADX44" s="57">
        <f>'REG y VAL POE - AESR - ESR'!L3432</f>
        <v>0</v>
      </c>
      <c r="ADY44" s="57">
        <f>'REG y VAL POE - AESR - ESR'!M3432</f>
        <v>0</v>
      </c>
      <c r="ADZ44" s="57">
        <f>'REG y VAL POE - AESR - ESR'!N3432</f>
        <v>0</v>
      </c>
      <c r="AEA44" s="57">
        <f>'REG y VAL POE - AESR - ESR'!O3432</f>
        <v>0</v>
      </c>
      <c r="AEB44" s="57">
        <f>'REG y VAL POE - AESR - ESR'!P3432</f>
        <v>0</v>
      </c>
      <c r="AEC44" s="57">
        <f>'REG y VAL POE - AESR - ESR'!Q3432</f>
        <v>0</v>
      </c>
      <c r="AED44" s="57">
        <f>'REG y VAL POE - AESR - ESR'!R3432</f>
        <v>0</v>
      </c>
      <c r="AEE44" s="57">
        <f>'REG y VAL POE - AESR - ESR'!S3432</f>
        <v>0</v>
      </c>
      <c r="AEF44" s="57">
        <f>'REG y VAL POE - AESR - ESR'!T3432</f>
        <v>0</v>
      </c>
      <c r="AEG44" s="57">
        <f>'REG y VAL POE - AESR - ESR'!U3432</f>
        <v>0</v>
      </c>
      <c r="AEH44" s="57">
        <f>'REG y VAL POE - AESR - ESR'!V3432</f>
        <v>0</v>
      </c>
      <c r="AEI44" s="57">
        <f>'REG y VAL POE - AESR - ESR'!W3432</f>
        <v>0</v>
      </c>
      <c r="AEJ44" s="57">
        <f>'REG y VAL POE - AESR - ESR'!X3432</f>
        <v>0</v>
      </c>
      <c r="AEK44" s="57">
        <f>'REG y VAL POE - AESR - ESR'!Y3432</f>
        <v>0</v>
      </c>
      <c r="AEL44" s="57">
        <f>'REG y VAL POE - AESR - ESR'!Z3432</f>
        <v>0</v>
      </c>
      <c r="AEM44" s="57">
        <f>'REG y VAL POE - AESR - ESR'!AA3432</f>
        <v>0</v>
      </c>
      <c r="AEN44" s="57">
        <f>'REG y VAL POE - AESR - ESR'!AB3432</f>
        <v>0</v>
      </c>
      <c r="AEO44" s="57">
        <f>'REG y VAL POE - AESR - ESR'!AC3432</f>
        <v>0</v>
      </c>
      <c r="AEP44" s="57">
        <f>'REG y VAL POE - AESR - ESR'!AD3432</f>
        <v>0</v>
      </c>
      <c r="AEQ44" s="57">
        <f>'REG y VAL POE - AESR - ESR'!AE3432</f>
        <v>0</v>
      </c>
      <c r="AER44" s="57">
        <f>'REG y VAL POE - AESR - ESR'!AF3432</f>
        <v>0</v>
      </c>
      <c r="AES44" s="57">
        <f>'REG y VAL POE - AESR - ESR'!AG3432</f>
        <v>0</v>
      </c>
      <c r="AET44" s="57">
        <f>'REG y VAL POE - AESR - ESR'!AH3432</f>
        <v>0</v>
      </c>
      <c r="AEU44" s="57">
        <f>'REG y VAL POE - AESR - ESR'!AI3432</f>
        <v>0</v>
      </c>
      <c r="AEV44" s="57">
        <f>'REG y VAL POE - AESR - ESR'!AJ3432</f>
        <v>0</v>
      </c>
      <c r="AEW44" s="57">
        <f>'REG y VAL POE - AESR - ESR'!AK3432</f>
        <v>0</v>
      </c>
      <c r="AEX44" s="57">
        <f>'REG y VAL POE - AESR - ESR'!AL3432</f>
        <v>0</v>
      </c>
      <c r="AEY44" s="57">
        <f>'REG y VAL POE - AESR - ESR'!AM3432</f>
        <v>0</v>
      </c>
      <c r="AEZ44" s="57">
        <f>'REG y VAL POE - AESR - ESR'!AN3432</f>
        <v>0</v>
      </c>
      <c r="AFA44" s="57">
        <f>'REG y VAL POE - AESR - ESR'!AO3432</f>
        <v>0</v>
      </c>
      <c r="AFB44" s="57">
        <f>'REG y VAL POE - AESR - ESR'!AP3432</f>
        <v>0</v>
      </c>
      <c r="AFC44" s="57">
        <f>'REG y VAL POE - AESR - ESR'!AQ3432</f>
        <v>0</v>
      </c>
      <c r="AFD44" s="57">
        <f>'REG y VAL POE - AESR - ESR'!AR3432</f>
        <v>0</v>
      </c>
      <c r="AFE44" s="57">
        <f>'REG y VAL POE - AESR - ESR'!AS3432</f>
        <v>0</v>
      </c>
      <c r="AFF44" s="58" t="str">
        <f>'REG y VAL POE - AESR - ESR'!B3433</f>
        <v xml:space="preserve">Martinez Hernandez Carlos Alberto </v>
      </c>
      <c r="AFG44" s="57" t="str">
        <f>'REG y VAL POE - AESR - ESR'!C3433</f>
        <v>Sin Registro</v>
      </c>
      <c r="AFH44" s="56">
        <f>'REG y VAL POE - AESR - ESR'!D3433</f>
        <v>23190008</v>
      </c>
      <c r="AFI44" s="57">
        <f>'REG y VAL POE - AESR - ESR'!E3433</f>
        <v>0</v>
      </c>
      <c r="AFJ44" s="56">
        <f>'REG y VAL POE - AESR - ESR'!F3433</f>
        <v>0</v>
      </c>
      <c r="AFK44" s="59">
        <f>'REG y VAL POE - AESR - ESR'!G3433</f>
        <v>0</v>
      </c>
      <c r="AFL44" s="397">
        <f>'REG y VAL POE - AESR - ESR'!H3433</f>
        <v>0</v>
      </c>
      <c r="AFM44" s="57">
        <f>'REG y VAL POE - AESR - ESR'!I3433</f>
        <v>0</v>
      </c>
      <c r="AFN44" s="57">
        <f>'REG y VAL POE - AESR - ESR'!J3433</f>
        <v>0</v>
      </c>
      <c r="AFO44" s="57">
        <f>'REG y VAL POE - AESR - ESR'!K3433</f>
        <v>0</v>
      </c>
      <c r="AFP44" s="57">
        <f>'REG y VAL POE - AESR - ESR'!L3433</f>
        <v>0</v>
      </c>
      <c r="AFQ44" s="57">
        <f>'REG y VAL POE - AESR - ESR'!M3433</f>
        <v>0</v>
      </c>
      <c r="AFR44" s="57">
        <f>'REG y VAL POE - AESR - ESR'!N3433</f>
        <v>0</v>
      </c>
      <c r="AFS44" s="57">
        <f>'REG y VAL POE - AESR - ESR'!O3433</f>
        <v>0</v>
      </c>
      <c r="AFT44" s="57">
        <f>'REG y VAL POE - AESR - ESR'!P3433</f>
        <v>0</v>
      </c>
      <c r="AFU44" s="57">
        <f>'REG y VAL POE - AESR - ESR'!Q3433</f>
        <v>0</v>
      </c>
      <c r="AFV44" s="57">
        <f>'REG y VAL POE - AESR - ESR'!R3433</f>
        <v>0</v>
      </c>
      <c r="AFW44" s="57">
        <f>'REG y VAL POE - AESR - ESR'!S3433</f>
        <v>0</v>
      </c>
      <c r="AFX44" s="57">
        <f>'REG y VAL POE - AESR - ESR'!T3433</f>
        <v>0</v>
      </c>
      <c r="AFY44" s="57">
        <f>'REG y VAL POE - AESR - ESR'!U3433</f>
        <v>0</v>
      </c>
      <c r="AFZ44" s="57">
        <f>'REG y VAL POE - AESR - ESR'!V3433</f>
        <v>0</v>
      </c>
      <c r="AGA44" s="57">
        <f>'REG y VAL POE - AESR - ESR'!W3433</f>
        <v>0</v>
      </c>
      <c r="AGB44" s="57">
        <f>'REG y VAL POE - AESR - ESR'!X3433</f>
        <v>0</v>
      </c>
      <c r="AGC44" s="57">
        <f>'REG y VAL POE - AESR - ESR'!Y3433</f>
        <v>0</v>
      </c>
      <c r="AGD44" s="57">
        <f>'REG y VAL POE - AESR - ESR'!Z3433</f>
        <v>0</v>
      </c>
      <c r="AGE44" s="57">
        <f>'REG y VAL POE - AESR - ESR'!AA3433</f>
        <v>0</v>
      </c>
      <c r="AGF44" s="57">
        <f>'REG y VAL POE - AESR - ESR'!AB3433</f>
        <v>0</v>
      </c>
      <c r="AGG44" s="57">
        <f>'REG y VAL POE - AESR - ESR'!AC3433</f>
        <v>0</v>
      </c>
      <c r="AGH44" s="57">
        <f>'REG y VAL POE - AESR - ESR'!AD3433</f>
        <v>0</v>
      </c>
      <c r="AGI44" s="57">
        <f>'REG y VAL POE - AESR - ESR'!AE3433</f>
        <v>0</v>
      </c>
      <c r="AGJ44" s="57">
        <f>'REG y VAL POE - AESR - ESR'!AF3433</f>
        <v>0</v>
      </c>
      <c r="AGK44" s="57">
        <f>'REG y VAL POE - AESR - ESR'!AG3433</f>
        <v>0</v>
      </c>
      <c r="AGL44" s="57">
        <f>'REG y VAL POE - AESR - ESR'!AH3433</f>
        <v>0</v>
      </c>
      <c r="AGM44" s="57">
        <f>'REG y VAL POE - AESR - ESR'!AI3433</f>
        <v>0</v>
      </c>
      <c r="AGN44" s="57">
        <f>'REG y VAL POE - AESR - ESR'!AJ3433</f>
        <v>0</v>
      </c>
      <c r="AGO44" s="57">
        <f>'REG y VAL POE - AESR - ESR'!AK3433</f>
        <v>0</v>
      </c>
      <c r="AGP44" s="57">
        <f>'REG y VAL POE - AESR - ESR'!AL3433</f>
        <v>0</v>
      </c>
      <c r="AGQ44" s="57">
        <f>'REG y VAL POE - AESR - ESR'!AM3433</f>
        <v>0</v>
      </c>
      <c r="AGR44" s="57">
        <f>'REG y VAL POE - AESR - ESR'!AN3433</f>
        <v>0</v>
      </c>
      <c r="AGS44" s="57">
        <f>'REG y VAL POE - AESR - ESR'!AO3433</f>
        <v>0</v>
      </c>
      <c r="AGT44" s="57">
        <f>'REG y VAL POE - AESR - ESR'!AP3433</f>
        <v>0</v>
      </c>
      <c r="AGU44" s="57">
        <f>'REG y VAL POE - AESR - ESR'!AQ3433</f>
        <v>0</v>
      </c>
      <c r="AGV44" s="57">
        <f>'REG y VAL POE - AESR - ESR'!AR3433</f>
        <v>0</v>
      </c>
      <c r="AGW44" s="57">
        <f>'REG y VAL POE - AESR - ESR'!AS3433</f>
        <v>0</v>
      </c>
      <c r="AGX44" s="58" t="str">
        <f>'REG y VAL POE - AESR - ESR'!B3434</f>
        <v xml:space="preserve">Martinez Rivera  Maritza </v>
      </c>
      <c r="AGY44" s="57" t="str">
        <f>'REG y VAL POE - AESR - ESR'!C3434</f>
        <v>Sin Registro</v>
      </c>
      <c r="AGZ44" s="56">
        <f>'REG y VAL POE - AESR - ESR'!D3434</f>
        <v>23193551</v>
      </c>
      <c r="AHA44" s="57">
        <f>'REG y VAL POE - AESR - ESR'!E3434</f>
        <v>0</v>
      </c>
      <c r="AHB44" s="56">
        <f>'REG y VAL POE - AESR - ESR'!F3434</f>
        <v>0</v>
      </c>
      <c r="AHC44" s="59">
        <f>'REG y VAL POE - AESR - ESR'!G3434</f>
        <v>0</v>
      </c>
      <c r="AHD44" s="397">
        <f>'REG y VAL POE - AESR - ESR'!H3434</f>
        <v>0</v>
      </c>
      <c r="AHE44" s="57">
        <f>'REG y VAL POE - AESR - ESR'!I3434</f>
        <v>0</v>
      </c>
      <c r="AHF44" s="57">
        <f>'REG y VAL POE - AESR - ESR'!J3434</f>
        <v>0</v>
      </c>
      <c r="AHG44" s="57">
        <f>'REG y VAL POE - AESR - ESR'!K3434</f>
        <v>0</v>
      </c>
      <c r="AHH44" s="57">
        <f>'REG y VAL POE - AESR - ESR'!L3434</f>
        <v>0</v>
      </c>
      <c r="AHI44" s="57">
        <f>'REG y VAL POE - AESR - ESR'!M3434</f>
        <v>0</v>
      </c>
      <c r="AHJ44" s="57">
        <f>'REG y VAL POE - AESR - ESR'!N3434</f>
        <v>0</v>
      </c>
      <c r="AHK44" s="57">
        <f>'REG y VAL POE - AESR - ESR'!O3434</f>
        <v>0</v>
      </c>
      <c r="AHL44" s="57">
        <f>'REG y VAL POE - AESR - ESR'!P3434</f>
        <v>0</v>
      </c>
      <c r="AHM44" s="57">
        <f>'REG y VAL POE - AESR - ESR'!Q3434</f>
        <v>0</v>
      </c>
      <c r="AHN44" s="57">
        <f>'REG y VAL POE - AESR - ESR'!R3434</f>
        <v>0</v>
      </c>
      <c r="AHO44" s="57">
        <f>'REG y VAL POE - AESR - ESR'!S3434</f>
        <v>0</v>
      </c>
      <c r="AHP44" s="57">
        <f>'REG y VAL POE - AESR - ESR'!T3434</f>
        <v>0</v>
      </c>
      <c r="AHQ44" s="57">
        <f>'REG y VAL POE - AESR - ESR'!U3434</f>
        <v>0</v>
      </c>
      <c r="AHR44" s="57">
        <f>'REG y VAL POE - AESR - ESR'!V3434</f>
        <v>0</v>
      </c>
      <c r="AHS44" s="57">
        <f>'REG y VAL POE - AESR - ESR'!W3434</f>
        <v>0</v>
      </c>
      <c r="AHT44" s="57">
        <f>'REG y VAL POE - AESR - ESR'!X3434</f>
        <v>0</v>
      </c>
      <c r="AHU44" s="57">
        <f>'REG y VAL POE - AESR - ESR'!Y3434</f>
        <v>0</v>
      </c>
      <c r="AHV44" s="57">
        <f>'REG y VAL POE - AESR - ESR'!Z3434</f>
        <v>0</v>
      </c>
      <c r="AHW44" s="57">
        <f>'REG y VAL POE - AESR - ESR'!AA3434</f>
        <v>0</v>
      </c>
      <c r="AHX44" s="57">
        <f>'REG y VAL POE - AESR - ESR'!AB3434</f>
        <v>0</v>
      </c>
      <c r="AHY44" s="57">
        <f>'REG y VAL POE - AESR - ESR'!AC3434</f>
        <v>0</v>
      </c>
      <c r="AHZ44" s="57">
        <f>'REG y VAL POE - AESR - ESR'!AD3434</f>
        <v>0</v>
      </c>
      <c r="AIA44" s="57">
        <f>'REG y VAL POE - AESR - ESR'!AE3434</f>
        <v>0</v>
      </c>
      <c r="AIB44" s="57">
        <f>'REG y VAL POE - AESR - ESR'!AF3434</f>
        <v>0</v>
      </c>
      <c r="AIC44" s="57">
        <f>'REG y VAL POE - AESR - ESR'!AG3434</f>
        <v>0</v>
      </c>
      <c r="AID44" s="57">
        <f>'REG y VAL POE - AESR - ESR'!AH3434</f>
        <v>0</v>
      </c>
      <c r="AIE44" s="57">
        <f>'REG y VAL POE - AESR - ESR'!AI3434</f>
        <v>0</v>
      </c>
      <c r="AIF44" s="57">
        <f>'REG y VAL POE - AESR - ESR'!AJ3434</f>
        <v>0</v>
      </c>
      <c r="AIG44" s="57">
        <f>'REG y VAL POE - AESR - ESR'!AK3434</f>
        <v>0</v>
      </c>
      <c r="AIH44" s="57">
        <f>'REG y VAL POE - AESR - ESR'!AL3434</f>
        <v>0</v>
      </c>
      <c r="AII44" s="57">
        <f>'REG y VAL POE - AESR - ESR'!AM3434</f>
        <v>0</v>
      </c>
      <c r="AIJ44" s="57">
        <f>'REG y VAL POE - AESR - ESR'!AN3434</f>
        <v>0</v>
      </c>
      <c r="AIK44" s="57">
        <f>'REG y VAL POE - AESR - ESR'!AO3434</f>
        <v>0</v>
      </c>
      <c r="AIL44" s="57">
        <f>'REG y VAL POE - AESR - ESR'!AP3434</f>
        <v>0</v>
      </c>
      <c r="AIM44" s="57">
        <f>'REG y VAL POE - AESR - ESR'!AQ3434</f>
        <v>0</v>
      </c>
      <c r="AIN44" s="57">
        <f>'REG y VAL POE - AESR - ESR'!AR3434</f>
        <v>0</v>
      </c>
      <c r="AIO44" s="57">
        <f>'REG y VAL POE - AESR - ESR'!AS3434</f>
        <v>0</v>
      </c>
      <c r="AIP44" s="56" t="str">
        <f>'REG y VAL POE - AESR - ESR'!B3435</f>
        <v xml:space="preserve">Martinez Santiago Samuel </v>
      </c>
      <c r="AIQ44" s="57" t="str">
        <f>'REG y VAL POE - AESR - ESR'!C3435</f>
        <v>Sin Registro</v>
      </c>
      <c r="AIR44" s="58">
        <f>'REG y VAL POE - AESR - ESR'!D3435</f>
        <v>23198205</v>
      </c>
      <c r="AIS44" s="56">
        <f>'REG y VAL POE - AESR - ESR'!E3435</f>
        <v>0</v>
      </c>
      <c r="AIT44" s="57">
        <f>'REG y VAL POE - AESR - ESR'!F3435</f>
        <v>0</v>
      </c>
      <c r="AIU44" s="57">
        <f>'REG y VAL POE - AESR - ESR'!G3435</f>
        <v>0</v>
      </c>
      <c r="AIV44" s="57">
        <f>'REG y VAL POE - AESR - ESR'!H3435</f>
        <v>0</v>
      </c>
      <c r="AIW44" s="56">
        <f>'REG y VAL POE - AESR - ESR'!I3435</f>
        <v>0</v>
      </c>
      <c r="AIX44" s="57">
        <f>'REG y VAL POE - AESR - ESR'!J3435</f>
        <v>0</v>
      </c>
      <c r="AIY44" s="57">
        <f>'REG y VAL POE - AESR - ESR'!K3435</f>
        <v>0</v>
      </c>
      <c r="AIZ44" s="56">
        <f>'REG y VAL POE - AESR - ESR'!L3435</f>
        <v>0</v>
      </c>
      <c r="AJA44" s="57">
        <f>'REG y VAL POE - AESR - ESR'!M3435</f>
        <v>0</v>
      </c>
      <c r="AJB44" s="58">
        <f>'REG y VAL POE - AESR - ESR'!N3435</f>
        <v>0</v>
      </c>
      <c r="AJC44" s="56">
        <f>'REG y VAL POE - AESR - ESR'!O3435</f>
        <v>0</v>
      </c>
      <c r="AJD44" s="57">
        <f>'REG y VAL POE - AESR - ESR'!P3435</f>
        <v>0</v>
      </c>
      <c r="AJE44" s="57">
        <f>'REG y VAL POE - AESR - ESR'!Q3435</f>
        <v>0</v>
      </c>
      <c r="AJF44" s="57">
        <f>'REG y VAL POE - AESR - ESR'!R3435</f>
        <v>0</v>
      </c>
      <c r="AJG44" s="56">
        <f>'REG y VAL POE - AESR - ESR'!S3435</f>
        <v>0</v>
      </c>
      <c r="AJH44" s="57">
        <f>'REG y VAL POE - AESR - ESR'!T3435</f>
        <v>0</v>
      </c>
      <c r="AJI44" s="57">
        <f>'REG y VAL POE - AESR - ESR'!U3435</f>
        <v>0</v>
      </c>
      <c r="AJJ44" s="56">
        <f>'REG y VAL POE - AESR - ESR'!V3435</f>
        <v>0</v>
      </c>
      <c r="AJK44" s="57">
        <f>'REG y VAL POE - AESR - ESR'!W3435</f>
        <v>0</v>
      </c>
      <c r="AJL44" s="58">
        <f>'REG y VAL POE - AESR - ESR'!X3435</f>
        <v>0</v>
      </c>
      <c r="AJM44" s="56">
        <f>'REG y VAL POE - AESR - ESR'!Y3435</f>
        <v>0</v>
      </c>
      <c r="AJN44" s="57">
        <f>'REG y VAL POE - AESR - ESR'!Z3435</f>
        <v>0</v>
      </c>
      <c r="AJO44" s="57">
        <f>'REG y VAL POE - AESR - ESR'!AA3435</f>
        <v>0</v>
      </c>
      <c r="AJP44" s="57">
        <f>'REG y VAL POE - AESR - ESR'!AB3435</f>
        <v>0</v>
      </c>
      <c r="AJQ44" s="56">
        <f>'REG y VAL POE - AESR - ESR'!AC3435</f>
        <v>0</v>
      </c>
      <c r="AJR44" s="57">
        <f>'REG y VAL POE - AESR - ESR'!AD3435</f>
        <v>0</v>
      </c>
      <c r="AJS44" s="57">
        <f>'REG y VAL POE - AESR - ESR'!AE3435</f>
        <v>0</v>
      </c>
      <c r="AJT44" s="56">
        <f>'REG y VAL POE - AESR - ESR'!AF3435</f>
        <v>0</v>
      </c>
      <c r="AJU44" s="57">
        <f>'REG y VAL POE - AESR - ESR'!AG3435</f>
        <v>0</v>
      </c>
      <c r="AJV44" s="58">
        <f>'REG y VAL POE - AESR - ESR'!AH3435</f>
        <v>0</v>
      </c>
      <c r="AJW44" s="56">
        <f>'REG y VAL POE - AESR - ESR'!AI3435</f>
        <v>0</v>
      </c>
      <c r="AJX44" s="57">
        <f>'REG y VAL POE - AESR - ESR'!AJ3435</f>
        <v>0</v>
      </c>
      <c r="AJY44" s="57">
        <f>'REG y VAL POE - AESR - ESR'!AK3435</f>
        <v>0</v>
      </c>
      <c r="AJZ44" s="57">
        <f>'REG y VAL POE - AESR - ESR'!AL3435</f>
        <v>0</v>
      </c>
      <c r="AKA44" s="56">
        <f>'REG y VAL POE - AESR - ESR'!AM3435</f>
        <v>0</v>
      </c>
      <c r="AKB44" s="57">
        <f>'REG y VAL POE - AESR - ESR'!AN3435</f>
        <v>0</v>
      </c>
      <c r="AKC44" s="57">
        <f>'REG y VAL POE - AESR - ESR'!AO3435</f>
        <v>0</v>
      </c>
      <c r="AKD44" s="56">
        <f>'REG y VAL POE - AESR - ESR'!AP3435</f>
        <v>0</v>
      </c>
      <c r="AKE44" s="57">
        <f>'REG y VAL POE - AESR - ESR'!AQ3435</f>
        <v>0</v>
      </c>
      <c r="AKF44" s="58">
        <f>'REG y VAL POE - AESR - ESR'!AR3435</f>
        <v>0</v>
      </c>
      <c r="AKG44" s="56">
        <f>'REG y VAL POE - AESR - ESR'!AS3435</f>
        <v>0</v>
      </c>
      <c r="AKH44" s="57" t="str">
        <f>'REG y VAL POE - AESR - ESR'!B3436</f>
        <v xml:space="preserve">Orgaz Martinez Angel De Jesus </v>
      </c>
      <c r="AKI44" s="57" t="str">
        <f>'REG y VAL POE - AESR - ESR'!C3436</f>
        <v>Sin Registro</v>
      </c>
      <c r="AKJ44" s="57">
        <f>'REG y VAL POE - AESR - ESR'!D3436</f>
        <v>23199707</v>
      </c>
      <c r="AKK44" s="56">
        <f>'REG y VAL POE - AESR - ESR'!E3436</f>
        <v>0</v>
      </c>
      <c r="AKL44" s="57">
        <f>'REG y VAL POE - AESR - ESR'!F3436</f>
        <v>0</v>
      </c>
      <c r="AKM44" s="57">
        <f>'REG y VAL POE - AESR - ESR'!G3436</f>
        <v>0</v>
      </c>
      <c r="AKN44" s="56">
        <f>'REG y VAL POE - AESR - ESR'!H3436</f>
        <v>0</v>
      </c>
      <c r="AKO44" s="57">
        <f>'REG y VAL POE - AESR - ESR'!I3436</f>
        <v>0</v>
      </c>
      <c r="AKP44" s="58">
        <f>'REG y VAL POE - AESR - ESR'!J3436</f>
        <v>0</v>
      </c>
      <c r="AKQ44" s="56">
        <f>'REG y VAL POE - AESR - ESR'!K3436</f>
        <v>0</v>
      </c>
      <c r="AKR44" s="57">
        <f>'REG y VAL POE - AESR - ESR'!L3436</f>
        <v>0</v>
      </c>
      <c r="AKS44" s="57">
        <f>'REG y VAL POE - AESR - ESR'!M3436</f>
        <v>0</v>
      </c>
      <c r="AKT44" s="57">
        <f>'REG y VAL POE - AESR - ESR'!N3436</f>
        <v>0</v>
      </c>
      <c r="AKU44" s="56">
        <f>'REG y VAL POE - AESR - ESR'!O3436</f>
        <v>0</v>
      </c>
      <c r="AKV44" s="57">
        <f>'REG y VAL POE - AESR - ESR'!P3436</f>
        <v>0</v>
      </c>
      <c r="AKW44" s="57">
        <f>'REG y VAL POE - AESR - ESR'!Q3436</f>
        <v>0</v>
      </c>
      <c r="AKX44" s="56">
        <f>'REG y VAL POE - AESR - ESR'!R3436</f>
        <v>0</v>
      </c>
      <c r="AKY44" s="57">
        <f>'REG y VAL POE - AESR - ESR'!S3436</f>
        <v>0</v>
      </c>
      <c r="AKZ44" s="58">
        <f>'REG y VAL POE - AESR - ESR'!T3436</f>
        <v>0</v>
      </c>
      <c r="ALA44" s="56">
        <f>'REG y VAL POE - AESR - ESR'!U3436</f>
        <v>0</v>
      </c>
      <c r="ALB44" s="57">
        <f>'REG y VAL POE - AESR - ESR'!V3436</f>
        <v>0</v>
      </c>
      <c r="ALC44" s="57">
        <f>'REG y VAL POE - AESR - ESR'!W3436</f>
        <v>0</v>
      </c>
      <c r="ALD44" s="57">
        <f>'REG y VAL POE - AESR - ESR'!X3436</f>
        <v>0</v>
      </c>
      <c r="ALE44" s="56">
        <f>'REG y VAL POE - AESR - ESR'!Y3436</f>
        <v>0</v>
      </c>
      <c r="ALF44" s="57">
        <f>'REG y VAL POE - AESR - ESR'!Z3436</f>
        <v>0</v>
      </c>
      <c r="ALG44" s="57">
        <f>'REG y VAL POE - AESR - ESR'!AA3436</f>
        <v>0</v>
      </c>
      <c r="ALH44" s="57">
        <f>'REG y VAL POE - AESR - ESR'!AB3436</f>
        <v>0</v>
      </c>
      <c r="ALI44" s="57">
        <f>'REG y VAL POE - AESR - ESR'!AC3436</f>
        <v>0</v>
      </c>
      <c r="ALJ44" s="57">
        <f>'REG y VAL POE - AESR - ESR'!AD3436</f>
        <v>0</v>
      </c>
      <c r="ALK44" s="56">
        <f>'REG y VAL POE - AESR - ESR'!AE3436</f>
        <v>0</v>
      </c>
      <c r="ALL44" s="57">
        <f>'REG y VAL POE - AESR - ESR'!AF3436</f>
        <v>0</v>
      </c>
      <c r="ALM44" s="57">
        <f>'REG y VAL POE - AESR - ESR'!AG3436</f>
        <v>0</v>
      </c>
      <c r="ALN44" s="56">
        <f>'REG y VAL POE - AESR - ESR'!AH3436</f>
        <v>0</v>
      </c>
      <c r="ALO44" s="57">
        <f>'REG y VAL POE - AESR - ESR'!AI3436</f>
        <v>0</v>
      </c>
      <c r="ALP44" s="58">
        <f>'REG y VAL POE - AESR - ESR'!AJ3436</f>
        <v>0</v>
      </c>
      <c r="ALQ44" s="56">
        <f>'REG y VAL POE - AESR - ESR'!AK3436</f>
        <v>0</v>
      </c>
      <c r="ALR44" s="57">
        <f>'REG y VAL POE - AESR - ESR'!AL3436</f>
        <v>0</v>
      </c>
      <c r="ALS44" s="57">
        <f>'REG y VAL POE - AESR - ESR'!AM3436</f>
        <v>0</v>
      </c>
      <c r="ALT44" s="57">
        <f>'REG y VAL POE - AESR - ESR'!AN3436</f>
        <v>0</v>
      </c>
      <c r="ALU44" s="56">
        <f>'REG y VAL POE - AESR - ESR'!AO3436</f>
        <v>0</v>
      </c>
      <c r="ALV44" s="57">
        <f>'REG y VAL POE - AESR - ESR'!AP3436</f>
        <v>0</v>
      </c>
      <c r="ALW44" s="57">
        <f>'REG y VAL POE - AESR - ESR'!AQ3436</f>
        <v>0</v>
      </c>
      <c r="ALX44" s="56">
        <f>'REG y VAL POE - AESR - ESR'!AR3436</f>
        <v>0</v>
      </c>
      <c r="ALY44" s="57">
        <f>'REG y VAL POE - AESR - ESR'!AS3436</f>
        <v>0</v>
      </c>
      <c r="ALZ44" s="58" t="str">
        <f>'REG y VAL POE - AESR - ESR'!B3437</f>
        <v>Ramos Mancinas Juan Carlos</v>
      </c>
      <c r="AMA44" s="56">
        <f>'REG y VAL POE - AESR - ESR'!C3437</f>
        <v>0</v>
      </c>
      <c r="AMB44" s="57">
        <f>'REG y VAL POE - AESR - ESR'!D3437</f>
        <v>23140088</v>
      </c>
      <c r="AMC44" s="57">
        <f>'REG y VAL POE - AESR - ESR'!E3437</f>
        <v>0</v>
      </c>
      <c r="AMD44" s="57">
        <f>'REG y VAL POE - AESR - ESR'!F3437</f>
        <v>0</v>
      </c>
      <c r="AME44" s="56">
        <f>'REG y VAL POE - AESR - ESR'!G3437</f>
        <v>45360</v>
      </c>
      <c r="AMF44" s="57">
        <f>'REG y VAL POE - AESR - ESR'!H3437</f>
        <v>45725</v>
      </c>
      <c r="AMG44" s="57" t="str">
        <f>'REG y VAL POE - AESR - ESR'!I3437</f>
        <v>SI</v>
      </c>
      <c r="AMH44" s="57" t="str">
        <f>'REG y VAL POE - AESR - ESR'!J3437</f>
        <v>Vigente</v>
      </c>
      <c r="AMI44" s="57" t="str">
        <f>'REG y VAL POE - AESR - ESR'!K3437</f>
        <v>SI</v>
      </c>
      <c r="AMJ44" s="57" t="str">
        <f>'REG y VAL POE - AESR - ESR'!L3437</f>
        <v>Vigente</v>
      </c>
      <c r="AMK44" s="56" t="str">
        <f>'REG y VAL POE - AESR - ESR'!M3437</f>
        <v>NO</v>
      </c>
      <c r="AML44" s="57" t="str">
        <f>'REG y VAL POE - AESR - ESR'!N3437</f>
        <v>SIN FIRMA DE RL</v>
      </c>
      <c r="AMM44" s="57" t="str">
        <f>'REG y VAL POE - AESR - ESR'!O3437</f>
        <v>CERTIFICADO</v>
      </c>
      <c r="AMN44" s="56">
        <f>'REG y VAL POE - AESR - ESR'!P3437</f>
        <v>0</v>
      </c>
      <c r="AMO44" s="57" t="str">
        <f>'REG y VAL POE - AESR - ESR'!Q3437</f>
        <v>SI</v>
      </c>
      <c r="AMP44" s="58" t="str">
        <f>'REG y VAL POE - AESR - ESR'!R3437</f>
        <v>SI</v>
      </c>
      <c r="AMQ44" s="56" t="str">
        <f>'REG y VAL POE - AESR - ESR'!S3437</f>
        <v>SI</v>
      </c>
      <c r="AMR44" s="57" t="str">
        <f>'REG y VAL POE - AESR - ESR'!T3437</f>
        <v>NO</v>
      </c>
      <c r="AMS44" s="57" t="str">
        <f>'REG y VAL POE - AESR - ESR'!U3437</f>
        <v>NO</v>
      </c>
      <c r="AMT44" s="57" t="str">
        <f>'REG y VAL POE - AESR - ESR'!V3437</f>
        <v>SI</v>
      </c>
      <c r="AMU44" s="56">
        <f>'REG y VAL POE - AESR - ESR'!W3437</f>
        <v>0</v>
      </c>
      <c r="AMV44" s="57">
        <f>'REG y VAL POE - AESR - ESR'!X3437</f>
        <v>0</v>
      </c>
      <c r="AMW44" s="57">
        <f>'REG y VAL POE - AESR - ESR'!Y3437</f>
        <v>0</v>
      </c>
      <c r="AMX44" s="56" t="str">
        <f>'REG y VAL POE - AESR - ESR'!Z3437</f>
        <v>ES OTRO DOCUMENTO</v>
      </c>
      <c r="AMY44" s="57">
        <f>'REG y VAL POE - AESR - ESR'!AA3437</f>
        <v>0</v>
      </c>
      <c r="AMZ44" s="58">
        <f>'REG y VAL POE - AESR - ESR'!AB3437</f>
        <v>0</v>
      </c>
      <c r="ANA44" s="56">
        <f>'REG y VAL POE - AESR - ESR'!AC3437</f>
        <v>0</v>
      </c>
      <c r="ANB44" s="57">
        <f>'REG y VAL POE - AESR - ESR'!AD3437</f>
        <v>0</v>
      </c>
      <c r="ANC44" s="57">
        <f>'REG y VAL POE - AESR - ESR'!AE3437</f>
        <v>0</v>
      </c>
      <c r="AND44" s="57">
        <f>'REG y VAL POE - AESR - ESR'!AF3437</f>
        <v>0</v>
      </c>
      <c r="ANE44" s="56">
        <f>'REG y VAL POE - AESR - ESR'!AG3437</f>
        <v>0</v>
      </c>
      <c r="ANF44" s="57">
        <f>'REG y VAL POE - AESR - ESR'!AH3437</f>
        <v>0</v>
      </c>
      <c r="ANG44" s="57">
        <f>'REG y VAL POE - AESR - ESR'!AI3437</f>
        <v>0</v>
      </c>
      <c r="ANH44" s="57">
        <f>'REG y VAL POE - AESR - ESR'!AJ3437</f>
        <v>0</v>
      </c>
      <c r="ANI44" s="57">
        <f>'REG y VAL POE - AESR - ESR'!AK3437</f>
        <v>0</v>
      </c>
      <c r="ANJ44" s="57">
        <f>'REG y VAL POE - AESR - ESR'!AL3437</f>
        <v>0</v>
      </c>
      <c r="ANK44" s="56">
        <f>'REG y VAL POE - AESR - ESR'!AM3437</f>
        <v>0</v>
      </c>
      <c r="ANL44" s="57">
        <f>'REG y VAL POE - AESR - ESR'!AN3437</f>
        <v>0</v>
      </c>
      <c r="ANM44" s="57">
        <f>'REG y VAL POE - AESR - ESR'!AO3437</f>
        <v>0</v>
      </c>
      <c r="ANN44" s="56">
        <f>'REG y VAL POE - AESR - ESR'!AP3437</f>
        <v>0</v>
      </c>
      <c r="ANO44" s="57">
        <f>'REG y VAL POE - AESR - ESR'!AQ3437</f>
        <v>0</v>
      </c>
      <c r="ANP44" s="58">
        <f>'REG y VAL POE - AESR - ESR'!AR3437</f>
        <v>0</v>
      </c>
      <c r="ANQ44" s="56">
        <f>'REG y VAL POE - AESR - ESR'!AS3437</f>
        <v>0</v>
      </c>
      <c r="ANR44" s="57" t="str">
        <f>'REG y VAL POE - AESR - ESR'!B3438</f>
        <v>Romero Campos Victor Aaron</v>
      </c>
      <c r="ANS44" s="57">
        <f>'REG y VAL POE - AESR - ESR'!C3438</f>
        <v>0</v>
      </c>
      <c r="ANT44" s="57">
        <f>'REG y VAL POE - AESR - ESR'!D3438</f>
        <v>23054961</v>
      </c>
      <c r="ANU44" s="56">
        <f>'REG y VAL POE - AESR - ESR'!E3438</f>
        <v>0</v>
      </c>
      <c r="ANV44" s="57">
        <f>'REG y VAL POE - AESR - ESR'!F3438</f>
        <v>0</v>
      </c>
      <c r="ANW44" s="57">
        <f>'REG y VAL POE - AESR - ESR'!G3438</f>
        <v>45355</v>
      </c>
      <c r="ANX44" s="56">
        <f>'REG y VAL POE - AESR - ESR'!H3438</f>
        <v>45720</v>
      </c>
      <c r="ANY44" s="57" t="str">
        <f>'REG y VAL POE - AESR - ESR'!I3438</f>
        <v>SI</v>
      </c>
      <c r="ANZ44" s="58" t="str">
        <f>'REG y VAL POE - AESR - ESR'!J3438</f>
        <v>Vigente</v>
      </c>
      <c r="AOA44" s="56" t="str">
        <f>'REG y VAL POE - AESR - ESR'!K3438</f>
        <v>SI</v>
      </c>
      <c r="AOB44" s="57" t="str">
        <f>'REG y VAL POE - AESR - ESR'!L3438</f>
        <v>Vigente</v>
      </c>
      <c r="AOC44" s="57" t="str">
        <f>'REG y VAL POE - AESR - ESR'!M3438</f>
        <v>NO</v>
      </c>
      <c r="AOD44" s="57" t="str">
        <f>'REG y VAL POE - AESR - ESR'!N3438</f>
        <v>SIN FIRMA DE RL</v>
      </c>
      <c r="AOE44" s="56" t="str">
        <f>'REG y VAL POE - AESR - ESR'!O3438</f>
        <v>SI</v>
      </c>
      <c r="AOF44" s="57">
        <f>'REG y VAL POE - AESR - ESR'!P3438</f>
        <v>0</v>
      </c>
      <c r="AOG44" s="57" t="str">
        <f>'REG y VAL POE - AESR - ESR'!Q3438</f>
        <v>SI</v>
      </c>
      <c r="AOH44" s="57" t="str">
        <f>'REG y VAL POE - AESR - ESR'!R3438</f>
        <v>SI</v>
      </c>
      <c r="AOI44" s="57" t="str">
        <f>'REG y VAL POE - AESR - ESR'!S3438</f>
        <v>SI</v>
      </c>
      <c r="AOJ44" s="57" t="str">
        <f>'REG y VAL POE - AESR - ESR'!T3438</f>
        <v>SI</v>
      </c>
      <c r="AOK44" s="56" t="str">
        <f>'REG y VAL POE - AESR - ESR'!U3438</f>
        <v>NO</v>
      </c>
      <c r="AOL44" s="57" t="str">
        <f>'REG y VAL POE - AESR - ESR'!V3438</f>
        <v>SI</v>
      </c>
      <c r="AOM44" s="57">
        <f>'REG y VAL POE - AESR - ESR'!W3438</f>
        <v>0</v>
      </c>
      <c r="AON44" s="56">
        <f>'REG y VAL POE - AESR - ESR'!X3438</f>
        <v>0</v>
      </c>
      <c r="AOO44" s="57">
        <f>'REG y VAL POE - AESR - ESR'!Y3438</f>
        <v>0</v>
      </c>
      <c r="AOP44" s="58" t="str">
        <f>'REG y VAL POE - AESR - ESR'!Z3438</f>
        <v>ES OTRO DOCUMENTO</v>
      </c>
      <c r="AOQ44" s="56">
        <f>'REG y VAL POE - AESR - ESR'!AA3438</f>
        <v>0</v>
      </c>
      <c r="AOR44" s="57">
        <f>'REG y VAL POE - AESR - ESR'!AB3438</f>
        <v>0</v>
      </c>
      <c r="AOS44" s="57">
        <f>'REG y VAL POE - AESR - ESR'!AC3438</f>
        <v>0</v>
      </c>
      <c r="AOT44" s="57">
        <f>'REG y VAL POE - AESR - ESR'!AD3438</f>
        <v>0</v>
      </c>
      <c r="AOU44" s="56">
        <f>'REG y VAL POE - AESR - ESR'!AE3438</f>
        <v>0</v>
      </c>
      <c r="AOV44" s="57">
        <f>'REG y VAL POE - AESR - ESR'!AF3438</f>
        <v>0</v>
      </c>
      <c r="AOW44" s="57" t="str">
        <f>'REG y VAL POE - AESR - ESR'!AG3438</f>
        <v>SI</v>
      </c>
      <c r="AOX44" s="56">
        <f>'REG y VAL POE - AESR - ESR'!AH3438</f>
        <v>0</v>
      </c>
      <c r="AOY44" s="57">
        <f>'REG y VAL POE - AESR - ESR'!AI3438</f>
        <v>0</v>
      </c>
      <c r="AOZ44" s="58">
        <f>'REG y VAL POE - AESR - ESR'!AJ3438</f>
        <v>0</v>
      </c>
      <c r="APA44" s="56">
        <f>'REG y VAL POE - AESR - ESR'!AK3438</f>
        <v>0</v>
      </c>
      <c r="APB44" s="57">
        <f>'REG y VAL POE - AESR - ESR'!AL3438</f>
        <v>0</v>
      </c>
      <c r="APC44" s="57" t="str">
        <f>'REG y VAL POE - AESR - ESR'!AM3438</f>
        <v>SI</v>
      </c>
      <c r="APD44" s="57">
        <f>'REG y VAL POE - AESR - ESR'!AN3438</f>
        <v>0</v>
      </c>
      <c r="APE44" s="56">
        <f>'REG y VAL POE - AESR - ESR'!AO3438</f>
        <v>0</v>
      </c>
      <c r="APF44" s="57">
        <f>'REG y VAL POE - AESR - ESR'!AP3438</f>
        <v>0</v>
      </c>
      <c r="APG44" s="57">
        <f>'REG y VAL POE - AESR - ESR'!AQ3438</f>
        <v>0</v>
      </c>
      <c r="APH44" s="57">
        <f>'REG y VAL POE - AESR - ESR'!AR3438</f>
        <v>0</v>
      </c>
      <c r="API44" s="57">
        <f>'REG y VAL POE - AESR - ESR'!AS3438</f>
        <v>0</v>
      </c>
      <c r="APJ44" s="57" t="str">
        <f>'REG y VAL POE - AESR - ESR'!B3439</f>
        <v xml:space="preserve">Romero Rodriguez Abisag Sunamita </v>
      </c>
      <c r="APK44" s="56" t="str">
        <f>'REG y VAL POE - AESR - ESR'!C3439</f>
        <v>Sin Registro</v>
      </c>
      <c r="APL44" s="57">
        <f>'REG y VAL POE - AESR - ESR'!D3439</f>
        <v>23157332</v>
      </c>
      <c r="APM44" s="57">
        <f>'REG y VAL POE - AESR - ESR'!E3439</f>
        <v>0</v>
      </c>
      <c r="APN44" s="56">
        <f>'REG y VAL POE - AESR - ESR'!F3439</f>
        <v>0</v>
      </c>
      <c r="APO44" s="57">
        <f>'REG y VAL POE - AESR - ESR'!G3439</f>
        <v>0</v>
      </c>
      <c r="APP44" s="58">
        <f>'REG y VAL POE - AESR - ESR'!H3439</f>
        <v>0</v>
      </c>
      <c r="APQ44" s="56">
        <f>'REG y VAL POE - AESR - ESR'!I3439</f>
        <v>0</v>
      </c>
      <c r="APR44" s="57">
        <f>'REG y VAL POE - AESR - ESR'!J3439</f>
        <v>0</v>
      </c>
      <c r="APS44" s="57">
        <f>'REG y VAL POE - AESR - ESR'!K3439</f>
        <v>0</v>
      </c>
      <c r="APT44" s="57">
        <f>'REG y VAL POE - AESR - ESR'!L3439</f>
        <v>0</v>
      </c>
      <c r="APU44" s="56">
        <f>'REG y VAL POE - AESR - ESR'!M3439</f>
        <v>0</v>
      </c>
      <c r="APV44" s="57">
        <f>'REG y VAL POE - AESR - ESR'!N3439</f>
        <v>0</v>
      </c>
      <c r="APW44" s="57">
        <f>'REG y VAL POE - AESR - ESR'!O3439</f>
        <v>0</v>
      </c>
      <c r="APX44" s="56">
        <f>'REG y VAL POE - AESR - ESR'!P3439</f>
        <v>0</v>
      </c>
      <c r="APY44" s="57">
        <f>'REG y VAL POE - AESR - ESR'!Q3439</f>
        <v>0</v>
      </c>
      <c r="APZ44" s="58">
        <f>'REG y VAL POE - AESR - ESR'!R3439</f>
        <v>0</v>
      </c>
      <c r="AQA44" s="56">
        <f>'REG y VAL POE - AESR - ESR'!S3439</f>
        <v>0</v>
      </c>
      <c r="AQB44" s="57">
        <f>'REG y VAL POE - AESR - ESR'!T3439</f>
        <v>0</v>
      </c>
      <c r="AQC44" s="57">
        <f>'REG y VAL POE - AESR - ESR'!U3439</f>
        <v>0</v>
      </c>
      <c r="AQD44" s="57">
        <f>'REG y VAL POE - AESR - ESR'!V3439</f>
        <v>0</v>
      </c>
      <c r="AQE44" s="56">
        <f>'REG y VAL POE - AESR - ESR'!W3439</f>
        <v>0</v>
      </c>
      <c r="AQF44" s="57">
        <f>'REG y VAL POE - AESR - ESR'!X3439</f>
        <v>0</v>
      </c>
      <c r="AQG44" s="57">
        <f>'REG y VAL POE - AESR - ESR'!Y3439</f>
        <v>0</v>
      </c>
      <c r="AQH44" s="57">
        <f>'REG y VAL POE - AESR - ESR'!Z3439</f>
        <v>0</v>
      </c>
      <c r="AQI44" s="57">
        <f>'REG y VAL POE - AESR - ESR'!AA3439</f>
        <v>0</v>
      </c>
      <c r="AQJ44" s="57">
        <f>'REG y VAL POE - AESR - ESR'!AB3439</f>
        <v>0</v>
      </c>
      <c r="AQK44" s="56">
        <f>'REG y VAL POE - AESR - ESR'!AC3439</f>
        <v>0</v>
      </c>
      <c r="AQL44" s="57">
        <f>'REG y VAL POE - AESR - ESR'!AD3439</f>
        <v>0</v>
      </c>
      <c r="AQM44" s="57">
        <f>'REG y VAL POE - AESR - ESR'!AE3439</f>
        <v>0</v>
      </c>
      <c r="AQN44" s="56">
        <f>'REG y VAL POE - AESR - ESR'!AF3439</f>
        <v>0</v>
      </c>
      <c r="AQO44" s="57">
        <f>'REG y VAL POE - AESR - ESR'!AG3439</f>
        <v>0</v>
      </c>
      <c r="AQP44" s="58">
        <f>'REG y VAL POE - AESR - ESR'!AH3439</f>
        <v>0</v>
      </c>
      <c r="AQQ44" s="56">
        <f>'REG y VAL POE - AESR - ESR'!AI3439</f>
        <v>0</v>
      </c>
      <c r="AQR44" s="57">
        <f>'REG y VAL POE - AESR - ESR'!AJ3439</f>
        <v>0</v>
      </c>
      <c r="AQS44" s="57">
        <f>'REG y VAL POE - AESR - ESR'!AK3439</f>
        <v>0</v>
      </c>
      <c r="AQT44" s="57">
        <f>'REG y VAL POE - AESR - ESR'!AL3439</f>
        <v>0</v>
      </c>
      <c r="AQU44" s="56">
        <f>'REG y VAL POE - AESR - ESR'!AM3439</f>
        <v>0</v>
      </c>
      <c r="AQV44" s="57">
        <f>'REG y VAL POE - AESR - ESR'!AN3439</f>
        <v>0</v>
      </c>
      <c r="AQW44" s="57">
        <f>'REG y VAL POE - AESR - ESR'!AO3439</f>
        <v>0</v>
      </c>
      <c r="AQX44" s="56">
        <f>'REG y VAL POE - AESR - ESR'!AP3439</f>
        <v>0</v>
      </c>
      <c r="AQY44" s="57">
        <f>'REG y VAL POE - AESR - ESR'!AQ3439</f>
        <v>0</v>
      </c>
      <c r="AQZ44" s="58">
        <f>'REG y VAL POE - AESR - ESR'!AR3439</f>
        <v>0</v>
      </c>
      <c r="ARA44" s="56">
        <f>'REG y VAL POE - AESR - ESR'!AS3439</f>
        <v>0</v>
      </c>
      <c r="ARB44" s="57" t="str">
        <f>'REG y VAL POE - AESR - ESR'!B3440</f>
        <v xml:space="preserve">Santos Lara Miriam </v>
      </c>
      <c r="ARC44" s="57" t="str">
        <f>'REG y VAL POE - AESR - ESR'!C3440</f>
        <v>Sin Registro</v>
      </c>
      <c r="ARD44" s="57">
        <f>'REG y VAL POE - AESR - ESR'!D3440</f>
        <v>23194660</v>
      </c>
      <c r="ARE44" s="56">
        <f>'REG y VAL POE - AESR - ESR'!E3440</f>
        <v>0</v>
      </c>
      <c r="ARF44" s="57">
        <f>'REG y VAL POE - AESR - ESR'!F3440</f>
        <v>0</v>
      </c>
      <c r="ARG44" s="57">
        <f>'REG y VAL POE - AESR - ESR'!G3440</f>
        <v>0</v>
      </c>
      <c r="ARH44" s="57">
        <f>'REG y VAL POE - AESR - ESR'!H3440</f>
        <v>0</v>
      </c>
      <c r="ARI44" s="57">
        <f>'REG y VAL POE - AESR - ESR'!I3440</f>
        <v>0</v>
      </c>
      <c r="ARJ44" s="57">
        <f>'REG y VAL POE - AESR - ESR'!J3440</f>
        <v>0</v>
      </c>
      <c r="ARK44" s="56">
        <f>'REG y VAL POE - AESR - ESR'!K3440</f>
        <v>0</v>
      </c>
      <c r="ARL44" s="57">
        <f>'REG y VAL POE - AESR - ESR'!L3440</f>
        <v>0</v>
      </c>
      <c r="ARM44" s="57">
        <f>'REG y VAL POE - AESR - ESR'!M3440</f>
        <v>0</v>
      </c>
      <c r="ARN44" s="56">
        <f>'REG y VAL POE - AESR - ESR'!N3440</f>
        <v>0</v>
      </c>
      <c r="ARO44" s="57">
        <f>'REG y VAL POE - AESR - ESR'!O3440</f>
        <v>0</v>
      </c>
      <c r="ARP44" s="58">
        <f>'REG y VAL POE - AESR - ESR'!P3440</f>
        <v>0</v>
      </c>
      <c r="ARQ44" s="56">
        <f>'REG y VAL POE - AESR - ESR'!Q3440</f>
        <v>0</v>
      </c>
      <c r="ARR44" s="57">
        <f>'REG y VAL POE - AESR - ESR'!R3440</f>
        <v>0</v>
      </c>
      <c r="ARS44" s="57">
        <f>'REG y VAL POE - AESR - ESR'!S3440</f>
        <v>0</v>
      </c>
      <c r="ART44" s="57">
        <f>'REG y VAL POE - AESR - ESR'!T3440</f>
        <v>0</v>
      </c>
      <c r="ARU44" s="56">
        <f>'REG y VAL POE - AESR - ESR'!U3440</f>
        <v>0</v>
      </c>
      <c r="ARV44" s="57">
        <f>'REG y VAL POE - AESR - ESR'!V3440</f>
        <v>0</v>
      </c>
      <c r="ARW44" s="57">
        <f>'REG y VAL POE - AESR - ESR'!W3440</f>
        <v>0</v>
      </c>
      <c r="ARX44" s="56">
        <f>'REG y VAL POE - AESR - ESR'!X3440</f>
        <v>0</v>
      </c>
      <c r="ARY44" s="57">
        <f>'REG y VAL POE - AESR - ESR'!Y3440</f>
        <v>0</v>
      </c>
      <c r="ARZ44" s="58">
        <f>'REG y VAL POE - AESR - ESR'!Z3440</f>
        <v>0</v>
      </c>
      <c r="ASA44" s="56">
        <f>'REG y VAL POE - AESR - ESR'!AA3440</f>
        <v>0</v>
      </c>
      <c r="ASB44" s="57">
        <f>'REG y VAL POE - AESR - ESR'!AB3440</f>
        <v>0</v>
      </c>
      <c r="ASC44" s="57">
        <f>'REG y VAL POE - AESR - ESR'!AC3440</f>
        <v>0</v>
      </c>
      <c r="ASD44" s="57">
        <f>'REG y VAL POE - AESR - ESR'!AD3440</f>
        <v>0</v>
      </c>
      <c r="ASE44" s="56">
        <f>'REG y VAL POE - AESR - ESR'!AE3440</f>
        <v>0</v>
      </c>
      <c r="ASF44" s="57">
        <f>'REG y VAL POE - AESR - ESR'!AF3440</f>
        <v>0</v>
      </c>
      <c r="ASG44" s="57">
        <f>'REG y VAL POE - AESR - ESR'!AG3440</f>
        <v>0</v>
      </c>
      <c r="ASH44" s="57">
        <f>'REG y VAL POE - AESR - ESR'!AH3440</f>
        <v>0</v>
      </c>
      <c r="ASI44" s="57">
        <f>'REG y VAL POE - AESR - ESR'!AI3440</f>
        <v>0</v>
      </c>
      <c r="ASJ44" s="57">
        <f>'REG y VAL POE - AESR - ESR'!AJ3440</f>
        <v>0</v>
      </c>
      <c r="ASK44" s="56">
        <f>'REG y VAL POE - AESR - ESR'!AK3440</f>
        <v>0</v>
      </c>
      <c r="ASL44" s="57">
        <f>'REG y VAL POE - AESR - ESR'!AL3440</f>
        <v>0</v>
      </c>
      <c r="ASM44" s="57">
        <f>'REG y VAL POE - AESR - ESR'!AM3440</f>
        <v>0</v>
      </c>
      <c r="ASN44" s="56">
        <f>'REG y VAL POE - AESR - ESR'!AN3440</f>
        <v>0</v>
      </c>
      <c r="ASO44" s="57">
        <f>'REG y VAL POE - AESR - ESR'!AO3440</f>
        <v>0</v>
      </c>
      <c r="ASP44" s="58">
        <f>'REG y VAL POE - AESR - ESR'!AP3440</f>
        <v>0</v>
      </c>
      <c r="ASQ44" s="56">
        <f>'REG y VAL POE - AESR - ESR'!AQ3440</f>
        <v>0</v>
      </c>
      <c r="ASR44" s="57">
        <f>'REG y VAL POE - AESR - ESR'!AR3440</f>
        <v>0</v>
      </c>
      <c r="ASS44" s="57">
        <f>'REG y VAL POE - AESR - ESR'!AS3440</f>
        <v>0</v>
      </c>
      <c r="AST44" s="57" t="str">
        <f>'REG y VAL POE - AESR - ESR'!B3441</f>
        <v xml:space="preserve">Vazquez Fuentes Luis Antonio </v>
      </c>
      <c r="ASU44" s="56" t="str">
        <f>'REG y VAL POE - AESR - ESR'!C3441</f>
        <v>Sin Registro</v>
      </c>
      <c r="ASV44" s="57">
        <f>'REG y VAL POE - AESR - ESR'!D3441</f>
        <v>23194652</v>
      </c>
      <c r="ASW44" s="57">
        <f>'REG y VAL POE - AESR - ESR'!E3441</f>
        <v>0</v>
      </c>
      <c r="ASX44" s="56">
        <f>'REG y VAL POE - AESR - ESR'!F3441</f>
        <v>0</v>
      </c>
      <c r="ASY44" s="57">
        <f>'REG y VAL POE - AESR - ESR'!G3441</f>
        <v>0</v>
      </c>
      <c r="ASZ44" s="58">
        <f>'REG y VAL POE - AESR - ESR'!H3441</f>
        <v>0</v>
      </c>
      <c r="ATA44" s="56">
        <f>'REG y VAL POE - AESR - ESR'!I3441</f>
        <v>0</v>
      </c>
      <c r="ATB44" s="57">
        <f>'REG y VAL POE - AESR - ESR'!J3441</f>
        <v>0</v>
      </c>
      <c r="ATC44" s="57">
        <f>'REG y VAL POE - AESR - ESR'!K3441</f>
        <v>0</v>
      </c>
      <c r="ATD44" s="57">
        <f>'REG y VAL POE - AESR - ESR'!L3441</f>
        <v>0</v>
      </c>
      <c r="ATE44" s="56">
        <f>'REG y VAL POE - AESR - ESR'!M3441</f>
        <v>0</v>
      </c>
      <c r="ATF44" s="57">
        <f>'REG y VAL POE - AESR - ESR'!N3441</f>
        <v>0</v>
      </c>
      <c r="ATG44" s="57">
        <f>'REG y VAL POE - AESR - ESR'!O3441</f>
        <v>0</v>
      </c>
      <c r="ATH44" s="57">
        <f>'REG y VAL POE - AESR - ESR'!P3441</f>
        <v>0</v>
      </c>
      <c r="ATI44" s="57">
        <f>'REG y VAL POE - AESR - ESR'!Q3441</f>
        <v>0</v>
      </c>
      <c r="ATJ44" s="57">
        <f>'REG y VAL POE - AESR - ESR'!R3441</f>
        <v>0</v>
      </c>
      <c r="ATK44" s="56">
        <f>'REG y VAL POE - AESR - ESR'!S3441</f>
        <v>0</v>
      </c>
      <c r="ATL44" s="57">
        <f>'REG y VAL POE - AESR - ESR'!T3441</f>
        <v>0</v>
      </c>
      <c r="ATM44" s="57">
        <f>'REG y VAL POE - AESR - ESR'!U3441</f>
        <v>0</v>
      </c>
      <c r="ATN44" s="56">
        <f>'REG y VAL POE - AESR - ESR'!V3441</f>
        <v>0</v>
      </c>
      <c r="ATO44" s="57">
        <f>'REG y VAL POE - AESR - ESR'!W3441</f>
        <v>0</v>
      </c>
      <c r="ATP44" s="58">
        <f>'REG y VAL POE - AESR - ESR'!X3441</f>
        <v>0</v>
      </c>
      <c r="ATQ44" s="56">
        <f>'REG y VAL POE - AESR - ESR'!Y3441</f>
        <v>0</v>
      </c>
      <c r="ATR44" s="57">
        <f>'REG y VAL POE - AESR - ESR'!Z3441</f>
        <v>0</v>
      </c>
      <c r="ATS44" s="57">
        <f>'REG y VAL POE - AESR - ESR'!AA3441</f>
        <v>0</v>
      </c>
      <c r="ATT44" s="57">
        <f>'REG y VAL POE - AESR - ESR'!AB3441</f>
        <v>0</v>
      </c>
      <c r="ATU44" s="56">
        <f>'REG y VAL POE - AESR - ESR'!AC3441</f>
        <v>0</v>
      </c>
      <c r="ATV44" s="57">
        <f>'REG y VAL POE - AESR - ESR'!AD3441</f>
        <v>0</v>
      </c>
      <c r="ATW44" s="57">
        <f>'REG y VAL POE - AESR - ESR'!AE3441</f>
        <v>0</v>
      </c>
      <c r="ATX44" s="56">
        <f>'REG y VAL POE - AESR - ESR'!AF3441</f>
        <v>0</v>
      </c>
      <c r="ATY44" s="57">
        <f>'REG y VAL POE - AESR - ESR'!AG3441</f>
        <v>0</v>
      </c>
      <c r="ATZ44" s="58">
        <f>'REG y VAL POE - AESR - ESR'!AH3441</f>
        <v>0</v>
      </c>
      <c r="AUA44" s="56">
        <f>'REG y VAL POE - AESR - ESR'!AI3441</f>
        <v>0</v>
      </c>
      <c r="AUB44" s="57">
        <f>'REG y VAL POE - AESR - ESR'!AJ3441</f>
        <v>0</v>
      </c>
      <c r="AUC44" s="57">
        <f>'REG y VAL POE - AESR - ESR'!AK3441</f>
        <v>0</v>
      </c>
      <c r="AUD44" s="57">
        <f>'REG y VAL POE - AESR - ESR'!AL3441</f>
        <v>0</v>
      </c>
      <c r="AUE44" s="56">
        <f>'REG y VAL POE - AESR - ESR'!AM3441</f>
        <v>0</v>
      </c>
      <c r="AUF44" s="57">
        <f>'REG y VAL POE - AESR - ESR'!AN3441</f>
        <v>0</v>
      </c>
      <c r="AUG44" s="57">
        <f>'REG y VAL POE - AESR - ESR'!AO3441</f>
        <v>0</v>
      </c>
      <c r="AUH44" s="57">
        <f>'REG y VAL POE - AESR - ESR'!AP3441</f>
        <v>0</v>
      </c>
      <c r="AUI44" s="57">
        <f>'REG y VAL POE - AESR - ESR'!AQ3441</f>
        <v>0</v>
      </c>
      <c r="AUJ44" s="57">
        <f>'REG y VAL POE - AESR - ESR'!AR3441</f>
        <v>0</v>
      </c>
      <c r="AUK44" s="56">
        <f>'REG y VAL POE - AESR - ESR'!AS3441</f>
        <v>0</v>
      </c>
      <c r="AUL44" s="57" t="str">
        <f>'REG y VAL POE - AESR - ESR'!B3442</f>
        <v xml:space="preserve">Vazquez Hernandez Juan Carlos </v>
      </c>
      <c r="AUM44" s="57" t="str">
        <f>'REG y VAL POE - AESR - ESR'!C3442</f>
        <v>Sin Registro</v>
      </c>
      <c r="AUN44" s="56">
        <f>'REG y VAL POE - AESR - ESR'!D3442</f>
        <v>23195894</v>
      </c>
      <c r="AUO44" s="57">
        <f>'REG y VAL POE - AESR - ESR'!E3442</f>
        <v>0</v>
      </c>
      <c r="AUP44" s="58">
        <f>'REG y VAL POE - AESR - ESR'!F3442</f>
        <v>0</v>
      </c>
      <c r="AUQ44" s="56">
        <f>'REG y VAL POE - AESR - ESR'!G3442</f>
        <v>0</v>
      </c>
      <c r="AUR44" s="57">
        <f>'REG y VAL POE - AESR - ESR'!H3442</f>
        <v>0</v>
      </c>
      <c r="AUS44" s="57">
        <f>'REG y VAL POE - AESR - ESR'!I3442</f>
        <v>0</v>
      </c>
      <c r="AUT44" s="57">
        <f>'REG y VAL POE - AESR - ESR'!J3442</f>
        <v>0</v>
      </c>
      <c r="AUU44" s="56">
        <f>'REG y VAL POE - AESR - ESR'!K3442</f>
        <v>0</v>
      </c>
      <c r="AUV44" s="57">
        <f>'REG y VAL POE - AESR - ESR'!L3442</f>
        <v>0</v>
      </c>
      <c r="AUW44" s="57">
        <f>'REG y VAL POE - AESR - ESR'!M3442</f>
        <v>0</v>
      </c>
      <c r="AUX44" s="56">
        <f>'REG y VAL POE - AESR - ESR'!N3442</f>
        <v>0</v>
      </c>
      <c r="AUY44" s="57">
        <f>'REG y VAL POE - AESR - ESR'!O3442</f>
        <v>0</v>
      </c>
      <c r="AUZ44" s="58">
        <f>'REG y VAL POE - AESR - ESR'!P3442</f>
        <v>0</v>
      </c>
      <c r="AVA44" s="56">
        <f>'REG y VAL POE - AESR - ESR'!Q3442</f>
        <v>0</v>
      </c>
      <c r="AVB44" s="57">
        <f>'REG y VAL POE - AESR - ESR'!R3442</f>
        <v>0</v>
      </c>
      <c r="AVC44" s="57">
        <f>'REG y VAL POE - AESR - ESR'!S3442</f>
        <v>0</v>
      </c>
      <c r="AVD44" s="57">
        <f>'REG y VAL POE - AESR - ESR'!T3442</f>
        <v>0</v>
      </c>
      <c r="AVE44" s="56">
        <f>'REG y VAL POE - AESR - ESR'!U3442</f>
        <v>0</v>
      </c>
      <c r="AVF44" s="57">
        <f>'REG y VAL POE - AESR - ESR'!V3442</f>
        <v>0</v>
      </c>
      <c r="AVG44" s="57">
        <f>'REG y VAL POE - AESR - ESR'!W3442</f>
        <v>0</v>
      </c>
      <c r="AVH44" s="57">
        <f>'REG y VAL POE - AESR - ESR'!X3442</f>
        <v>0</v>
      </c>
      <c r="AVI44" s="57">
        <f>'REG y VAL POE - AESR - ESR'!Y3442</f>
        <v>0</v>
      </c>
      <c r="AVJ44" s="57">
        <f>'REG y VAL POE - AESR - ESR'!Z3442</f>
        <v>0</v>
      </c>
      <c r="AVK44" s="56">
        <f>'REG y VAL POE - AESR - ESR'!AA3442</f>
        <v>0</v>
      </c>
      <c r="AVL44" s="57">
        <f>'REG y VAL POE - AESR - ESR'!AB3442</f>
        <v>0</v>
      </c>
      <c r="AVM44" s="57">
        <f>'REG y VAL POE - AESR - ESR'!AC3442</f>
        <v>0</v>
      </c>
      <c r="AVN44" s="56">
        <f>'REG y VAL POE - AESR - ESR'!AD3442</f>
        <v>0</v>
      </c>
      <c r="AVO44" s="57">
        <f>'REG y VAL POE - AESR - ESR'!AE3442</f>
        <v>0</v>
      </c>
      <c r="AVP44" s="58">
        <f>'REG y VAL POE - AESR - ESR'!AF3442</f>
        <v>0</v>
      </c>
      <c r="AVQ44" s="56">
        <f>'REG y VAL POE - AESR - ESR'!AG3442</f>
        <v>0</v>
      </c>
      <c r="AVR44" s="57">
        <f>'REG y VAL POE - AESR - ESR'!AH3442</f>
        <v>0</v>
      </c>
      <c r="AVS44" s="57">
        <f>'REG y VAL POE - AESR - ESR'!AI3442</f>
        <v>0</v>
      </c>
      <c r="AVT44" s="57">
        <f>'REG y VAL POE - AESR - ESR'!AJ3442</f>
        <v>0</v>
      </c>
      <c r="AVU44" s="56">
        <f>'REG y VAL POE - AESR - ESR'!AK3442</f>
        <v>0</v>
      </c>
      <c r="AVV44" s="57">
        <f>'REG y VAL POE - AESR - ESR'!AL3442</f>
        <v>0</v>
      </c>
      <c r="AVW44" s="57">
        <f>'REG y VAL POE - AESR - ESR'!AM3442</f>
        <v>0</v>
      </c>
      <c r="AVX44" s="56">
        <f>'REG y VAL POE - AESR - ESR'!AN3442</f>
        <v>0</v>
      </c>
      <c r="AVY44" s="57">
        <f>'REG y VAL POE - AESR - ESR'!AO3442</f>
        <v>0</v>
      </c>
      <c r="AVZ44" s="58">
        <f>'REG y VAL POE - AESR - ESR'!AP3442</f>
        <v>0</v>
      </c>
      <c r="AWA44" s="56">
        <f>'REG y VAL POE - AESR - ESR'!AQ3442</f>
        <v>0</v>
      </c>
      <c r="AWB44" s="57">
        <f>'REG y VAL POE - AESR - ESR'!AR3442</f>
        <v>0</v>
      </c>
      <c r="AWC44" s="57">
        <f>'REG y VAL POE - AESR - ESR'!AS3442</f>
        <v>0</v>
      </c>
      <c r="AWD44" s="57" t="str">
        <f>'REG y VAL POE - AESR - ESR'!B3443</f>
        <v xml:space="preserve">Vazquez Hernandez Varuh Felix </v>
      </c>
      <c r="AWE44" s="56" t="str">
        <f>'REG y VAL POE - AESR - ESR'!C3443</f>
        <v>Sin Registro</v>
      </c>
      <c r="AWF44" s="57">
        <f>'REG y VAL POE - AESR - ESR'!D3443</f>
        <v>23122967</v>
      </c>
      <c r="AWG44" s="57">
        <f>'REG y VAL POE - AESR - ESR'!E3443</f>
        <v>0</v>
      </c>
      <c r="AWH44" s="57">
        <f>'REG y VAL POE - AESR - ESR'!F3443</f>
        <v>0</v>
      </c>
      <c r="AWI44" s="57">
        <f>'REG y VAL POE - AESR - ESR'!G3443</f>
        <v>0</v>
      </c>
      <c r="AWJ44" s="57">
        <f>'REG y VAL POE - AESR - ESR'!H3443</f>
        <v>0</v>
      </c>
      <c r="AWK44" s="56">
        <f>'REG y VAL POE - AESR - ESR'!I3443</f>
        <v>0</v>
      </c>
      <c r="AWL44" s="57">
        <f>'REG y VAL POE - AESR - ESR'!J3443</f>
        <v>0</v>
      </c>
      <c r="AWM44" s="57">
        <f>'REG y VAL POE - AESR - ESR'!K3443</f>
        <v>0</v>
      </c>
      <c r="AWN44" s="56">
        <f>'REG y VAL POE - AESR - ESR'!L3443</f>
        <v>0</v>
      </c>
      <c r="AWO44" s="57">
        <f>'REG y VAL POE - AESR - ESR'!M3443</f>
        <v>0</v>
      </c>
      <c r="AWP44" s="58">
        <f>'REG y VAL POE - AESR - ESR'!N3443</f>
        <v>0</v>
      </c>
      <c r="AWQ44" s="56">
        <f>'REG y VAL POE - AESR - ESR'!O3443</f>
        <v>0</v>
      </c>
      <c r="AWR44" s="57">
        <f>'REG y VAL POE - AESR - ESR'!P3443</f>
        <v>0</v>
      </c>
      <c r="AWS44" s="57">
        <f>'REG y VAL POE - AESR - ESR'!Q3443</f>
        <v>0</v>
      </c>
      <c r="AWT44" s="57">
        <f>'REG y VAL POE - AESR - ESR'!R3443</f>
        <v>0</v>
      </c>
      <c r="AWU44" s="56">
        <f>'REG y VAL POE - AESR - ESR'!S3443</f>
        <v>0</v>
      </c>
      <c r="AWV44" s="57">
        <f>'REG y VAL POE - AESR - ESR'!T3443</f>
        <v>0</v>
      </c>
      <c r="AWW44" s="57">
        <f>'REG y VAL POE - AESR - ESR'!U3443</f>
        <v>0</v>
      </c>
      <c r="AWX44" s="56">
        <f>'REG y VAL POE - AESR - ESR'!V3443</f>
        <v>0</v>
      </c>
      <c r="AWY44" s="57">
        <f>'REG y VAL POE - AESR - ESR'!W3443</f>
        <v>0</v>
      </c>
      <c r="AWZ44" s="58">
        <f>'REG y VAL POE - AESR - ESR'!X3443</f>
        <v>0</v>
      </c>
      <c r="AXA44" s="56">
        <f>'REG y VAL POE - AESR - ESR'!Y3443</f>
        <v>0</v>
      </c>
      <c r="AXB44" s="57">
        <f>'REG y VAL POE - AESR - ESR'!Z3443</f>
        <v>0</v>
      </c>
      <c r="AXC44" s="57">
        <f>'REG y VAL POE - AESR - ESR'!AA3443</f>
        <v>0</v>
      </c>
      <c r="AXD44" s="57">
        <f>'REG y VAL POE - AESR - ESR'!AB3443</f>
        <v>0</v>
      </c>
      <c r="AXE44" s="56">
        <f>'REG y VAL POE - AESR - ESR'!AC3443</f>
        <v>0</v>
      </c>
      <c r="AXF44" s="57">
        <f>'REG y VAL POE - AESR - ESR'!AD3443</f>
        <v>0</v>
      </c>
      <c r="AXG44" s="57">
        <f>'REG y VAL POE - AESR - ESR'!AE3443</f>
        <v>0</v>
      </c>
      <c r="AXH44" s="57">
        <f>'REG y VAL POE - AESR - ESR'!AF3443</f>
        <v>0</v>
      </c>
      <c r="AXI44" s="57">
        <f>'REG y VAL POE - AESR - ESR'!AG3443</f>
        <v>0</v>
      </c>
      <c r="AXJ44" s="57">
        <f>'REG y VAL POE - AESR - ESR'!AH3443</f>
        <v>0</v>
      </c>
      <c r="AXK44" s="56">
        <f>'REG y VAL POE - AESR - ESR'!AI3443</f>
        <v>0</v>
      </c>
      <c r="AXL44" s="57">
        <f>'REG y VAL POE - AESR - ESR'!AJ3443</f>
        <v>0</v>
      </c>
      <c r="AXM44" s="57">
        <f>'REG y VAL POE - AESR - ESR'!AK3443</f>
        <v>0</v>
      </c>
      <c r="AXN44" s="56">
        <f>'REG y VAL POE - AESR - ESR'!AL3443</f>
        <v>0</v>
      </c>
      <c r="AXO44" s="57">
        <f>'REG y VAL POE - AESR - ESR'!AM3443</f>
        <v>0</v>
      </c>
      <c r="AXP44" s="58">
        <f>'REG y VAL POE - AESR - ESR'!AN3443</f>
        <v>0</v>
      </c>
      <c r="AXQ44" s="56">
        <f>'REG y VAL POE - AESR - ESR'!AO3443</f>
        <v>0</v>
      </c>
      <c r="AXR44" s="57">
        <f>'REG y VAL POE - AESR - ESR'!AP3443</f>
        <v>0</v>
      </c>
      <c r="AXS44" s="57">
        <f>'REG y VAL POE - AESR - ESR'!AQ3443</f>
        <v>0</v>
      </c>
      <c r="AXT44" s="57">
        <f>'REG y VAL POE - AESR - ESR'!AR3443</f>
        <v>0</v>
      </c>
      <c r="AXU44" s="56">
        <f>'REG y VAL POE - AESR - ESR'!AS3443</f>
        <v>0</v>
      </c>
      <c r="AXV44" s="57" t="str">
        <f>'REG y VAL POE - AESR - ESR'!B3444</f>
        <v xml:space="preserve">Vazquez Vazquez Jesus </v>
      </c>
      <c r="AXW44" s="57" t="str">
        <f>'REG y VAL POE - AESR - ESR'!C3444</f>
        <v>Sin Registro</v>
      </c>
      <c r="AXX44" s="56">
        <f>'REG y VAL POE - AESR - ESR'!D3444</f>
        <v>23054888</v>
      </c>
      <c r="AXY44" s="57">
        <f>'REG y VAL POE - AESR - ESR'!E3444</f>
        <v>0</v>
      </c>
      <c r="AXZ44" s="58">
        <f>'REG y VAL POE - AESR - ESR'!F3444</f>
        <v>0</v>
      </c>
      <c r="AYA44" s="56">
        <f>'REG y VAL POE - AESR - ESR'!G3444</f>
        <v>0</v>
      </c>
      <c r="AYB44" s="57">
        <f>'REG y VAL POE - AESR - ESR'!H3444</f>
        <v>0</v>
      </c>
      <c r="AYC44" s="57">
        <f>'REG y VAL POE - AESR - ESR'!I3444</f>
        <v>0</v>
      </c>
      <c r="AYD44" s="57">
        <f>'REG y VAL POE - AESR - ESR'!J3444</f>
        <v>0</v>
      </c>
      <c r="AYE44" s="56">
        <f>'REG y VAL POE - AESR - ESR'!K3444</f>
        <v>0</v>
      </c>
      <c r="AYF44" s="57">
        <f>'REG y VAL POE - AESR - ESR'!L3444</f>
        <v>0</v>
      </c>
      <c r="AYG44" s="57">
        <f>'REG y VAL POE - AESR - ESR'!M3444</f>
        <v>0</v>
      </c>
      <c r="AYH44" s="57">
        <f>'REG y VAL POE - AESR - ESR'!N3444</f>
        <v>0</v>
      </c>
      <c r="AYI44" s="57">
        <f>'REG y VAL POE - AESR - ESR'!O3444</f>
        <v>0</v>
      </c>
      <c r="AYJ44" s="57">
        <f>'REG y VAL POE - AESR - ESR'!P3444</f>
        <v>0</v>
      </c>
      <c r="AYK44" s="56">
        <f>'REG y VAL POE - AESR - ESR'!Q3444</f>
        <v>0</v>
      </c>
      <c r="AYL44" s="57">
        <f>'REG y VAL POE - AESR - ESR'!R3444</f>
        <v>0</v>
      </c>
      <c r="AYM44" s="57">
        <f>'REG y VAL POE - AESR - ESR'!S3444</f>
        <v>0</v>
      </c>
      <c r="AYN44" s="56">
        <f>'REG y VAL POE - AESR - ESR'!T3444</f>
        <v>0</v>
      </c>
      <c r="AYO44" s="57">
        <f>'REG y VAL POE - AESR - ESR'!U3444</f>
        <v>0</v>
      </c>
      <c r="AYP44" s="58">
        <f>'REG y VAL POE - AESR - ESR'!V3444</f>
        <v>0</v>
      </c>
      <c r="AYQ44" s="56">
        <f>'REG y VAL POE - AESR - ESR'!W3444</f>
        <v>0</v>
      </c>
      <c r="AYR44" s="57">
        <f>'REG y VAL POE - AESR - ESR'!X3444</f>
        <v>0</v>
      </c>
      <c r="AYS44" s="57">
        <f>'REG y VAL POE - AESR - ESR'!Y3444</f>
        <v>0</v>
      </c>
      <c r="AYT44" s="57">
        <f>'REG y VAL POE - AESR - ESR'!Z3444</f>
        <v>0</v>
      </c>
      <c r="AYU44" s="56">
        <f>'REG y VAL POE - AESR - ESR'!AA3444</f>
        <v>0</v>
      </c>
      <c r="AYV44" s="57">
        <f>'REG y VAL POE - AESR - ESR'!AB3444</f>
        <v>0</v>
      </c>
      <c r="AYW44" s="57">
        <f>'REG y VAL POE - AESR - ESR'!AC3444</f>
        <v>0</v>
      </c>
      <c r="AYX44" s="56">
        <f>'REG y VAL POE - AESR - ESR'!AD3444</f>
        <v>0</v>
      </c>
      <c r="AYY44" s="57">
        <f>'REG y VAL POE - AESR - ESR'!AE3444</f>
        <v>0</v>
      </c>
      <c r="AYZ44" s="58">
        <f>'REG y VAL POE - AESR - ESR'!AF3444</f>
        <v>0</v>
      </c>
      <c r="AZA44" s="56">
        <f>'REG y VAL POE - AESR - ESR'!AG3444</f>
        <v>0</v>
      </c>
      <c r="AZB44" s="57">
        <f>'REG y VAL POE - AESR - ESR'!AH3444</f>
        <v>0</v>
      </c>
      <c r="AZC44" s="57">
        <f>'REG y VAL POE - AESR - ESR'!AI3444</f>
        <v>0</v>
      </c>
      <c r="AZD44" s="57">
        <f>'REG y VAL POE - AESR - ESR'!AJ3444</f>
        <v>0</v>
      </c>
      <c r="AZE44" s="56">
        <f>'REG y VAL POE - AESR - ESR'!AK3444</f>
        <v>0</v>
      </c>
      <c r="AZF44" s="57">
        <f>'REG y VAL POE - AESR - ESR'!AL3444</f>
        <v>0</v>
      </c>
      <c r="AZG44" s="57">
        <f>'REG y VAL POE - AESR - ESR'!AM3444</f>
        <v>0</v>
      </c>
      <c r="AZH44" s="57">
        <f>'REG y VAL POE - AESR - ESR'!AN3444</f>
        <v>0</v>
      </c>
      <c r="AZI44" s="57">
        <f>'REG y VAL POE - AESR - ESR'!AO3444</f>
        <v>0</v>
      </c>
      <c r="AZJ44" s="57">
        <f>'REG y VAL POE - AESR - ESR'!AP3444</f>
        <v>0</v>
      </c>
      <c r="AZK44" s="56">
        <f>'REG y VAL POE - AESR - ESR'!AQ3444</f>
        <v>0</v>
      </c>
      <c r="AZL44" s="57">
        <f>'REG y VAL POE - AESR - ESR'!AR3444</f>
        <v>0</v>
      </c>
      <c r="AZM44" s="57">
        <f>'REG y VAL POE - AESR - ESR'!AS3444</f>
        <v>0</v>
      </c>
      <c r="AZN44" s="56">
        <f>'REG y VAL POE - AESR - ESR'!B3445</f>
        <v>0</v>
      </c>
      <c r="AZO44" s="57">
        <f>'REG y VAL POE - AESR - ESR'!C3445</f>
        <v>0</v>
      </c>
      <c r="AZP44" s="58">
        <f>'REG y VAL POE - AESR - ESR'!D3445</f>
        <v>0</v>
      </c>
      <c r="AZQ44" s="56">
        <f>'REG y VAL POE - AESR - ESR'!E3445</f>
        <v>0</v>
      </c>
      <c r="AZR44" s="57">
        <f>'REG y VAL POE - AESR - ESR'!F3445</f>
        <v>0</v>
      </c>
      <c r="AZS44" s="57">
        <f>'REG y VAL POE - AESR - ESR'!G3445</f>
        <v>0</v>
      </c>
      <c r="AZT44" s="57">
        <f>'REG y VAL POE - AESR - ESR'!H3445</f>
        <v>0</v>
      </c>
      <c r="AZU44" s="56">
        <f>'REG y VAL POE - AESR - ESR'!I3445</f>
        <v>0</v>
      </c>
      <c r="AZV44" s="57">
        <f>'REG y VAL POE - AESR - ESR'!J3445</f>
        <v>0</v>
      </c>
      <c r="AZW44" s="57">
        <f>'REG y VAL POE - AESR - ESR'!K3445</f>
        <v>0</v>
      </c>
      <c r="AZX44" s="56">
        <f>'REG y VAL POE - AESR - ESR'!L3445</f>
        <v>0</v>
      </c>
      <c r="AZY44" s="57">
        <f>'REG y VAL POE - AESR - ESR'!M3445</f>
        <v>0</v>
      </c>
      <c r="AZZ44" s="58">
        <f>'REG y VAL POE - AESR - ESR'!N3445</f>
        <v>0</v>
      </c>
      <c r="BAA44" s="56">
        <f>'REG y VAL POE - AESR - ESR'!O3445</f>
        <v>0</v>
      </c>
      <c r="BAB44" s="57">
        <f>'REG y VAL POE - AESR - ESR'!P3445</f>
        <v>0</v>
      </c>
      <c r="BAC44" s="57">
        <f>'REG y VAL POE - AESR - ESR'!Q3445</f>
        <v>0</v>
      </c>
      <c r="BAD44" s="57">
        <f>'REG y VAL POE - AESR - ESR'!R3445</f>
        <v>0</v>
      </c>
      <c r="BAE44" s="56">
        <f>'REG y VAL POE - AESR - ESR'!S3445</f>
        <v>0</v>
      </c>
      <c r="BAF44" s="57">
        <f>'REG y VAL POE - AESR - ESR'!T3445</f>
        <v>0</v>
      </c>
      <c r="BAG44" s="57">
        <f>'REG y VAL POE - AESR - ESR'!U3445</f>
        <v>0</v>
      </c>
      <c r="BAH44" s="57">
        <f>'REG y VAL POE - AESR - ESR'!V3445</f>
        <v>0</v>
      </c>
      <c r="BAI44" s="57">
        <f>'REG y VAL POE - AESR - ESR'!W3445</f>
        <v>0</v>
      </c>
      <c r="BAJ44" s="57">
        <f>'REG y VAL POE - AESR - ESR'!X3445</f>
        <v>0</v>
      </c>
      <c r="BAK44" s="56">
        <f>'REG y VAL POE - AESR - ESR'!Y3445</f>
        <v>0</v>
      </c>
      <c r="BAL44" s="57">
        <f>'REG y VAL POE - AESR - ESR'!Z3445</f>
        <v>0</v>
      </c>
      <c r="BAM44" s="57">
        <f>'REG y VAL POE - AESR - ESR'!AA3445</f>
        <v>0</v>
      </c>
      <c r="BAN44" s="56">
        <f>'REG y VAL POE - AESR - ESR'!AB3445</f>
        <v>0</v>
      </c>
      <c r="BAO44" s="57">
        <f>'REG y VAL POE - AESR - ESR'!AC3445</f>
        <v>0</v>
      </c>
      <c r="BAP44" s="58">
        <f>'REG y VAL POE - AESR - ESR'!AD3445</f>
        <v>0</v>
      </c>
      <c r="BAQ44" s="56">
        <f>'REG y VAL POE - AESR - ESR'!AE3445</f>
        <v>0</v>
      </c>
      <c r="BAR44" s="57">
        <f>'REG y VAL POE - AESR - ESR'!AF3445</f>
        <v>0</v>
      </c>
      <c r="BAS44" s="57">
        <f>'REG y VAL POE - AESR - ESR'!AG3445</f>
        <v>0</v>
      </c>
      <c r="BAT44" s="57">
        <f>'REG y VAL POE - AESR - ESR'!AH3445</f>
        <v>0</v>
      </c>
      <c r="BAU44" s="56">
        <f>'REG y VAL POE - AESR - ESR'!AI3445</f>
        <v>0</v>
      </c>
      <c r="BAV44" s="57">
        <f>'REG y VAL POE - AESR - ESR'!AJ3445</f>
        <v>0</v>
      </c>
      <c r="BAW44" s="57">
        <f>'REG y VAL POE - AESR - ESR'!AK3445</f>
        <v>0</v>
      </c>
      <c r="BAX44" s="56">
        <f>'REG y VAL POE - AESR - ESR'!AL3445</f>
        <v>0</v>
      </c>
      <c r="BAY44" s="57">
        <f>'REG y VAL POE - AESR - ESR'!AM3445</f>
        <v>0</v>
      </c>
      <c r="BAZ44" s="58">
        <f>'REG y VAL POE - AESR - ESR'!AN3445</f>
        <v>0</v>
      </c>
      <c r="BBA44" s="56">
        <f>'REG y VAL POE - AESR - ESR'!AO3445</f>
        <v>0</v>
      </c>
      <c r="BBB44" s="57">
        <f>'REG y VAL POE - AESR - ESR'!AP3445</f>
        <v>0</v>
      </c>
      <c r="BBC44" s="57">
        <f>'REG y VAL POE - AESR - ESR'!AQ3445</f>
        <v>0</v>
      </c>
      <c r="BBD44" s="57">
        <f>'REG y VAL POE - AESR - ESR'!AR3445</f>
        <v>0</v>
      </c>
      <c r="BBE44" s="56">
        <f>'REG y VAL POE - AESR - ESR'!AS3445</f>
        <v>0</v>
      </c>
      <c r="BBF44" s="57">
        <f>'REG y VAL POE - AESR - ESR'!B3446</f>
        <v>0</v>
      </c>
      <c r="BBG44" s="57">
        <f>'REG y VAL POE - AESR - ESR'!C3446</f>
        <v>0</v>
      </c>
      <c r="BBH44" s="57">
        <f>'REG y VAL POE - AESR - ESR'!D3446</f>
        <v>0</v>
      </c>
      <c r="BBI44" s="57">
        <f>'REG y VAL POE - AESR - ESR'!E3446</f>
        <v>0</v>
      </c>
      <c r="BBJ44" s="57">
        <f>'REG y VAL POE - AESR - ESR'!F3446</f>
        <v>0</v>
      </c>
      <c r="BBK44" s="56">
        <f>'REG y VAL POE - AESR - ESR'!G3446</f>
        <v>0</v>
      </c>
      <c r="BBL44" s="57">
        <f>'REG y VAL POE - AESR - ESR'!H3446</f>
        <v>0</v>
      </c>
      <c r="BBM44" s="57">
        <f>'REG y VAL POE - AESR - ESR'!I3446</f>
        <v>0</v>
      </c>
      <c r="BBN44" s="56">
        <f>'REG y VAL POE - AESR - ESR'!J3446</f>
        <v>0</v>
      </c>
      <c r="BBO44" s="57">
        <f>'REG y VAL POE - AESR - ESR'!K3446</f>
        <v>0</v>
      </c>
      <c r="BBP44" s="58">
        <f>'REG y VAL POE - AESR - ESR'!L3446</f>
        <v>0</v>
      </c>
      <c r="BBQ44" s="56">
        <f>'REG y VAL POE - AESR - ESR'!M3446</f>
        <v>0</v>
      </c>
      <c r="BBR44" s="57">
        <f>'REG y VAL POE - AESR - ESR'!N3446</f>
        <v>0</v>
      </c>
      <c r="BBS44" s="57">
        <f>'REG y VAL POE - AESR - ESR'!O3446</f>
        <v>0</v>
      </c>
      <c r="BBT44" s="57">
        <f>'REG y VAL POE - AESR - ESR'!P3446</f>
        <v>0</v>
      </c>
      <c r="BBU44" s="56">
        <f>'REG y VAL POE - AESR - ESR'!Q3446</f>
        <v>0</v>
      </c>
      <c r="BBV44" s="57">
        <f>'REG y VAL POE - AESR - ESR'!R3446</f>
        <v>0</v>
      </c>
      <c r="BBW44" s="57">
        <f>'REG y VAL POE - AESR - ESR'!S3446</f>
        <v>0</v>
      </c>
      <c r="BBX44" s="56">
        <f>'REG y VAL POE - AESR - ESR'!T3446</f>
        <v>0</v>
      </c>
      <c r="BBY44" s="57">
        <f>'REG y VAL POE - AESR - ESR'!U3446</f>
        <v>0</v>
      </c>
      <c r="BBZ44" s="58">
        <f>'REG y VAL POE - AESR - ESR'!V3446</f>
        <v>0</v>
      </c>
      <c r="BCA44" s="56">
        <f>'REG y VAL POE - AESR - ESR'!W3446</f>
        <v>0</v>
      </c>
      <c r="BCB44" s="57">
        <f>'REG y VAL POE - AESR - ESR'!X3446</f>
        <v>0</v>
      </c>
      <c r="BCC44" s="57">
        <f>'REG y VAL POE - AESR - ESR'!Y3446</f>
        <v>0</v>
      </c>
      <c r="BCD44" s="57">
        <f>'REG y VAL POE - AESR - ESR'!Z3446</f>
        <v>0</v>
      </c>
      <c r="BCE44" s="56">
        <f>'REG y VAL POE - AESR - ESR'!AA3446</f>
        <v>0</v>
      </c>
      <c r="BCF44" s="57">
        <f>'REG y VAL POE - AESR - ESR'!AB3446</f>
        <v>0</v>
      </c>
      <c r="BCG44" s="57">
        <f>'REG y VAL POE - AESR - ESR'!AC3446</f>
        <v>0</v>
      </c>
      <c r="BCH44" s="57">
        <f>'REG y VAL POE - AESR - ESR'!AD3446</f>
        <v>0</v>
      </c>
      <c r="BCI44" s="57">
        <f>'REG y VAL POE - AESR - ESR'!AE3446</f>
        <v>0</v>
      </c>
      <c r="BCJ44" s="57">
        <f>'REG y VAL POE - AESR - ESR'!AF3446</f>
        <v>0</v>
      </c>
      <c r="BCK44" s="56">
        <f>'REG y VAL POE - AESR - ESR'!AG3446</f>
        <v>0</v>
      </c>
      <c r="BCL44" s="57">
        <f>'REG y VAL POE - AESR - ESR'!AH3446</f>
        <v>0</v>
      </c>
      <c r="BCM44" s="57">
        <f>'REG y VAL POE - AESR - ESR'!AI3446</f>
        <v>0</v>
      </c>
      <c r="BCN44" s="56">
        <f>'REG y VAL POE - AESR - ESR'!AJ3446</f>
        <v>0</v>
      </c>
      <c r="BCO44" s="57">
        <f>'REG y VAL POE - AESR - ESR'!AK3446</f>
        <v>0</v>
      </c>
      <c r="BCP44" s="58">
        <f>'REG y VAL POE - AESR - ESR'!AL3446</f>
        <v>0</v>
      </c>
      <c r="BCQ44" s="56">
        <f>'REG y VAL POE - AESR - ESR'!AM3446</f>
        <v>0</v>
      </c>
      <c r="BCR44" s="57">
        <f>'REG y VAL POE - AESR - ESR'!AN3446</f>
        <v>0</v>
      </c>
      <c r="BCS44" s="57">
        <f>'REG y VAL POE - AESR - ESR'!AO3446</f>
        <v>0</v>
      </c>
      <c r="BCT44" s="57">
        <f>'REG y VAL POE - AESR - ESR'!AP3446</f>
        <v>0</v>
      </c>
      <c r="BCU44" s="56">
        <f>'REG y VAL POE - AESR - ESR'!AQ3446</f>
        <v>0</v>
      </c>
      <c r="BCV44" s="57">
        <f>'REG y VAL POE - AESR - ESR'!AR3446</f>
        <v>0</v>
      </c>
      <c r="BCW44" s="57">
        <f>'REG y VAL POE - AESR - ESR'!AS3446</f>
        <v>0</v>
      </c>
      <c r="BCX44" s="56">
        <f>'REG y VAL POE - AESR - ESR'!B3447</f>
        <v>0</v>
      </c>
      <c r="BCY44" s="57">
        <f>'REG y VAL POE - AESR - ESR'!C3447</f>
        <v>0</v>
      </c>
      <c r="BCZ44" s="58">
        <f>'REG y VAL POE - AESR - ESR'!D3447</f>
        <v>0</v>
      </c>
      <c r="BDA44" s="56">
        <f>'REG y VAL POE - AESR - ESR'!E3447</f>
        <v>0</v>
      </c>
      <c r="BDB44" s="57">
        <f>'REG y VAL POE - AESR - ESR'!F3447</f>
        <v>0</v>
      </c>
      <c r="BDC44" s="57">
        <f>'REG y VAL POE - AESR - ESR'!G3447</f>
        <v>0</v>
      </c>
      <c r="BDD44" s="57">
        <f>'REG y VAL POE - AESR - ESR'!H3447</f>
        <v>0</v>
      </c>
      <c r="BDE44" s="56">
        <f>'REG y VAL POE - AESR - ESR'!I3447</f>
        <v>0</v>
      </c>
      <c r="BDF44" s="57">
        <f>'REG y VAL POE - AESR - ESR'!J3447</f>
        <v>0</v>
      </c>
      <c r="BDG44" s="57">
        <f>'REG y VAL POE - AESR - ESR'!K3447</f>
        <v>0</v>
      </c>
      <c r="BDH44" s="57">
        <f>'REG y VAL POE - AESR - ESR'!L3447</f>
        <v>0</v>
      </c>
      <c r="BDI44" s="57">
        <f>'REG y VAL POE - AESR - ESR'!M3447</f>
        <v>0</v>
      </c>
      <c r="BDJ44" s="57">
        <f>'REG y VAL POE - AESR - ESR'!N3447</f>
        <v>0</v>
      </c>
      <c r="BDK44" s="56">
        <f>'REG y VAL POE - AESR - ESR'!O3447</f>
        <v>0</v>
      </c>
      <c r="BDL44" s="57">
        <f>'REG y VAL POE - AESR - ESR'!P3447</f>
        <v>0</v>
      </c>
      <c r="BDM44" s="57">
        <f>'REG y VAL POE - AESR - ESR'!Q3447</f>
        <v>0</v>
      </c>
      <c r="BDN44" s="56">
        <f>'REG y VAL POE - AESR - ESR'!R3447</f>
        <v>0</v>
      </c>
      <c r="BDO44" s="57">
        <f>'REG y VAL POE - AESR - ESR'!S3447</f>
        <v>0</v>
      </c>
      <c r="BDP44" s="58">
        <f>'REG y VAL POE - AESR - ESR'!T3447</f>
        <v>0</v>
      </c>
      <c r="BDQ44" s="56">
        <f>'REG y VAL POE - AESR - ESR'!U3447</f>
        <v>0</v>
      </c>
      <c r="BDR44" s="57">
        <f>'REG y VAL POE - AESR - ESR'!V3447</f>
        <v>0</v>
      </c>
      <c r="BDS44" s="57">
        <f>'REG y VAL POE - AESR - ESR'!W3447</f>
        <v>0</v>
      </c>
      <c r="BDT44" s="57">
        <f>'REG y VAL POE - AESR - ESR'!X3447</f>
        <v>0</v>
      </c>
      <c r="BDU44" s="56">
        <f>'REG y VAL POE - AESR - ESR'!Y3447</f>
        <v>0</v>
      </c>
      <c r="BDV44" s="57">
        <f>'REG y VAL POE - AESR - ESR'!Z3447</f>
        <v>0</v>
      </c>
      <c r="BDW44" s="57">
        <f>'REG y VAL POE - AESR - ESR'!AA3447</f>
        <v>0</v>
      </c>
      <c r="BDX44" s="56">
        <f>'REG y VAL POE - AESR - ESR'!AB3447</f>
        <v>0</v>
      </c>
      <c r="BDY44" s="57">
        <f>'REG y VAL POE - AESR - ESR'!AC3447</f>
        <v>0</v>
      </c>
      <c r="BDZ44" s="58">
        <f>'REG y VAL POE - AESR - ESR'!AD3447</f>
        <v>0</v>
      </c>
      <c r="BEA44" s="56">
        <f>'REG y VAL POE - AESR - ESR'!AE3447</f>
        <v>0</v>
      </c>
      <c r="BEB44" s="57">
        <f>'REG y VAL POE - AESR - ESR'!AF3447</f>
        <v>0</v>
      </c>
      <c r="BEC44" s="57">
        <f>'REG y VAL POE - AESR - ESR'!AG3447</f>
        <v>0</v>
      </c>
      <c r="BED44" s="57">
        <f>'REG y VAL POE - AESR - ESR'!AH3447</f>
        <v>0</v>
      </c>
      <c r="BEE44" s="56">
        <f>'REG y VAL POE - AESR - ESR'!AI3447</f>
        <v>0</v>
      </c>
      <c r="BEF44" s="57">
        <f>'REG y VAL POE - AESR - ESR'!AJ3447</f>
        <v>0</v>
      </c>
      <c r="BEG44" s="57">
        <f>'REG y VAL POE - AESR - ESR'!AK3447</f>
        <v>0</v>
      </c>
      <c r="BEH44" s="57">
        <f>'REG y VAL POE - AESR - ESR'!AL3447</f>
        <v>0</v>
      </c>
      <c r="BEI44" s="57">
        <f>'REG y VAL POE - AESR - ESR'!AM3447</f>
        <v>0</v>
      </c>
      <c r="BEJ44" s="57">
        <f>'REG y VAL POE - AESR - ESR'!AN3447</f>
        <v>0</v>
      </c>
      <c r="BEK44" s="56">
        <f>'REG y VAL POE - AESR - ESR'!AO3447</f>
        <v>0</v>
      </c>
      <c r="BEL44" s="57">
        <f>'REG y VAL POE - AESR - ESR'!AP3447</f>
        <v>0</v>
      </c>
      <c r="BEM44" s="57">
        <f>'REG y VAL POE - AESR - ESR'!AQ3447</f>
        <v>0</v>
      </c>
      <c r="BEN44" s="56">
        <f>'REG y VAL POE - AESR - ESR'!AR3447</f>
        <v>0</v>
      </c>
      <c r="BEO44" s="57">
        <f>'REG y VAL POE - AESR - ESR'!AS3447</f>
        <v>0</v>
      </c>
      <c r="BEP44" s="58">
        <f>'REG y VAL POE - AESR - ESR'!B3448</f>
        <v>0</v>
      </c>
      <c r="BEQ44" s="56">
        <f>'REG y VAL POE - AESR - ESR'!C3448</f>
        <v>0</v>
      </c>
      <c r="BER44" s="57">
        <f>'REG y VAL POE - AESR - ESR'!D3448</f>
        <v>0</v>
      </c>
      <c r="BES44" s="57">
        <f>'REG y VAL POE - AESR - ESR'!E3448</f>
        <v>0</v>
      </c>
      <c r="BET44" s="57">
        <f>'REG y VAL POE - AESR - ESR'!F3448</f>
        <v>0</v>
      </c>
      <c r="BEU44" s="56">
        <f>'REG y VAL POE - AESR - ESR'!G3448</f>
        <v>0</v>
      </c>
      <c r="BEV44" s="57">
        <f>'REG y VAL POE - AESR - ESR'!H3448</f>
        <v>0</v>
      </c>
      <c r="BEW44" s="57">
        <f>'REG y VAL POE - AESR - ESR'!I3448</f>
        <v>0</v>
      </c>
      <c r="BEX44" s="56">
        <f>'REG y VAL POE - AESR - ESR'!J3448</f>
        <v>0</v>
      </c>
      <c r="BEY44" s="57">
        <f>'REG y VAL POE - AESR - ESR'!K3448</f>
        <v>0</v>
      </c>
      <c r="BEZ44" s="58">
        <f>'REG y VAL POE - AESR - ESR'!L3448</f>
        <v>0</v>
      </c>
      <c r="BFA44" s="56">
        <f>'REG y VAL POE - AESR - ESR'!M3448</f>
        <v>0</v>
      </c>
      <c r="BFB44" s="57">
        <f>'REG y VAL POE - AESR - ESR'!N3448</f>
        <v>0</v>
      </c>
      <c r="BFC44" s="57">
        <f>'REG y VAL POE - AESR - ESR'!O3448</f>
        <v>0</v>
      </c>
      <c r="BFD44" s="57">
        <f>'REG y VAL POE - AESR - ESR'!P3448</f>
        <v>0</v>
      </c>
      <c r="BFE44" s="56">
        <f>'REG y VAL POE - AESR - ESR'!Q3448</f>
        <v>0</v>
      </c>
      <c r="BFF44" s="57">
        <f>'REG y VAL POE - AESR - ESR'!R3448</f>
        <v>0</v>
      </c>
      <c r="BFG44" s="57">
        <f>'REG y VAL POE - AESR - ESR'!S3448</f>
        <v>0</v>
      </c>
      <c r="BFH44" s="57">
        <f>'REG y VAL POE - AESR - ESR'!T3448</f>
        <v>0</v>
      </c>
      <c r="BFI44" s="57">
        <f>'REG y VAL POE - AESR - ESR'!U3448</f>
        <v>0</v>
      </c>
      <c r="BFJ44" s="57">
        <f>'REG y VAL POE - AESR - ESR'!V3448</f>
        <v>0</v>
      </c>
      <c r="BFK44" s="56">
        <f>'REG y VAL POE - AESR - ESR'!W3448</f>
        <v>0</v>
      </c>
      <c r="BFL44" s="57">
        <f>'REG y VAL POE - AESR - ESR'!X3448</f>
        <v>0</v>
      </c>
      <c r="BFM44" s="57">
        <f>'REG y VAL POE - AESR - ESR'!Y3448</f>
        <v>0</v>
      </c>
      <c r="BFN44" s="56">
        <f>'REG y VAL POE - AESR - ESR'!Z3448</f>
        <v>0</v>
      </c>
      <c r="BFO44" s="57">
        <f>'REG y VAL POE - AESR - ESR'!AA3448</f>
        <v>0</v>
      </c>
      <c r="BFP44" s="58">
        <f>'REG y VAL POE - AESR - ESR'!AB3448</f>
        <v>0</v>
      </c>
      <c r="BFQ44" s="56">
        <f>'REG y VAL POE - AESR - ESR'!AC3448</f>
        <v>0</v>
      </c>
      <c r="BFR44" s="57">
        <f>'REG y VAL POE - AESR - ESR'!AD3448</f>
        <v>0</v>
      </c>
      <c r="BFS44" s="57">
        <f>'REG y VAL POE - AESR - ESR'!AE3448</f>
        <v>0</v>
      </c>
      <c r="BFT44" s="57">
        <f>'REG y VAL POE - AESR - ESR'!AF3448</f>
        <v>0</v>
      </c>
      <c r="BFU44" s="56">
        <f>'REG y VAL POE - AESR - ESR'!AG3448</f>
        <v>0</v>
      </c>
      <c r="BFV44" s="57">
        <f>'REG y VAL POE - AESR - ESR'!AH3448</f>
        <v>0</v>
      </c>
      <c r="BFW44" s="57">
        <f>'REG y VAL POE - AESR - ESR'!AI3448</f>
        <v>0</v>
      </c>
      <c r="BFX44" s="56">
        <f>'REG y VAL POE - AESR - ESR'!AJ3448</f>
        <v>0</v>
      </c>
      <c r="BFY44" s="57">
        <f>'REG y VAL POE - AESR - ESR'!AK3448</f>
        <v>0</v>
      </c>
      <c r="BFZ44" s="58">
        <f>'REG y VAL POE - AESR - ESR'!AL3448</f>
        <v>0</v>
      </c>
      <c r="BGA44" s="56">
        <f>'REG y VAL POE - AESR - ESR'!AM3448</f>
        <v>0</v>
      </c>
      <c r="BGB44" s="57">
        <f>'REG y VAL POE - AESR - ESR'!AN3448</f>
        <v>0</v>
      </c>
      <c r="BGC44" s="57">
        <f>'REG y VAL POE - AESR - ESR'!AO3448</f>
        <v>0</v>
      </c>
      <c r="BGD44" s="57">
        <f>'REG y VAL POE - AESR - ESR'!AP3448</f>
        <v>0</v>
      </c>
      <c r="BGE44" s="56">
        <f>'REG y VAL POE - AESR - ESR'!AQ3448</f>
        <v>0</v>
      </c>
      <c r="BGF44" s="57">
        <f>'REG y VAL POE - AESR - ESR'!AR3448</f>
        <v>0</v>
      </c>
      <c r="BGG44" s="57">
        <f>'REG y VAL POE - AESR - ESR'!AS3448</f>
        <v>0</v>
      </c>
      <c r="BGH44" s="57"/>
      <c r="BGI44" s="57"/>
      <c r="BGJ44" s="57"/>
      <c r="BGK44" s="56"/>
      <c r="BGL44" s="57"/>
      <c r="BGM44" s="57"/>
      <c r="BGN44" s="56"/>
      <c r="BGO44" s="57"/>
      <c r="BGP44" s="58"/>
      <c r="BGQ44" s="56"/>
      <c r="BGR44" s="57"/>
      <c r="BGS44" s="57"/>
      <c r="BGT44" s="57"/>
      <c r="BGU44" s="56"/>
      <c r="BGV44" s="57"/>
      <c r="BGW44" s="57"/>
      <c r="BGX44" s="56"/>
      <c r="BGY44" s="57"/>
      <c r="BGZ44" s="58"/>
      <c r="BHA44" s="56"/>
      <c r="BHB44" s="57"/>
      <c r="BHC44" s="57"/>
      <c r="BHD44" s="57"/>
      <c r="BHE44" s="56"/>
      <c r="BHF44" s="57"/>
      <c r="BHG44" s="57"/>
      <c r="BHH44" s="57"/>
      <c r="BHI44" s="57"/>
      <c r="BHJ44" s="57"/>
      <c r="BHK44" s="56"/>
      <c r="BHL44" s="57"/>
      <c r="BHM44" s="57"/>
      <c r="BHN44" s="56"/>
      <c r="BHO44" s="57"/>
      <c r="BHP44" s="58"/>
      <c r="BHQ44" s="56"/>
      <c r="BHR44" s="57"/>
      <c r="BHS44" s="57"/>
      <c r="BHT44" s="57"/>
      <c r="BHU44" s="56"/>
      <c r="BHV44" s="57"/>
      <c r="BHW44" s="57"/>
      <c r="BHX44" s="56"/>
      <c r="BHY44" s="57"/>
      <c r="BHZ44" s="58"/>
      <c r="BIA44" s="56"/>
      <c r="BIB44" s="57"/>
      <c r="BIC44" s="57"/>
      <c r="BID44" s="57"/>
      <c r="BIE44" s="56"/>
      <c r="BIF44" s="57"/>
      <c r="BIG44" s="57"/>
      <c r="BIH44" s="57"/>
      <c r="BII44" s="57"/>
      <c r="BIJ44" s="57"/>
      <c r="BIK44" s="56"/>
      <c r="BIL44" s="57"/>
      <c r="BIM44" s="57"/>
      <c r="BIN44" s="56"/>
      <c r="BIO44" s="57"/>
      <c r="BIP44" s="58"/>
      <c r="BIQ44" s="56"/>
      <c r="BIR44" s="57"/>
      <c r="BIS44" s="57"/>
      <c r="BIT44" s="57"/>
      <c r="BIU44" s="56"/>
      <c r="BIV44" s="57"/>
      <c r="BIW44" s="57"/>
      <c r="BIX44" s="56"/>
      <c r="BIY44" s="57"/>
      <c r="BIZ44" s="58"/>
      <c r="BJA44" s="56"/>
      <c r="BJB44" s="57"/>
      <c r="BJC44" s="57"/>
      <c r="BJD44" s="57"/>
      <c r="BJE44" s="56"/>
      <c r="BJF44" s="57"/>
      <c r="BJG44" s="57"/>
      <c r="BJH44" s="57"/>
      <c r="BJI44" s="57"/>
      <c r="BJJ44" s="57"/>
      <c r="BJK44" s="56"/>
      <c r="BJL44" s="57"/>
      <c r="BJM44" s="57"/>
      <c r="BJN44" s="56"/>
      <c r="BJO44" s="57"/>
      <c r="BJP44" s="58"/>
      <c r="BJQ44" s="56"/>
      <c r="BJR44" s="57"/>
      <c r="BJS44" s="57"/>
      <c r="BJT44" s="57"/>
      <c r="BJU44" s="56"/>
      <c r="BJV44" s="57"/>
      <c r="BJW44" s="57"/>
      <c r="BJX44" s="56"/>
      <c r="BJY44" s="57"/>
      <c r="BJZ44" s="58"/>
      <c r="BKA44" s="56"/>
      <c r="BKB44" s="57"/>
      <c r="BKC44" s="57"/>
      <c r="BKD44" s="57"/>
      <c r="BKE44" s="56"/>
      <c r="BKF44" s="57"/>
      <c r="BKG44" s="57"/>
      <c r="BKH44" s="57"/>
      <c r="BKI44" s="57"/>
      <c r="BKJ44" s="57"/>
      <c r="BKK44" s="56"/>
      <c r="BKL44" s="57"/>
      <c r="BKM44" s="57"/>
      <c r="BKN44" s="56"/>
      <c r="BKO44" s="57"/>
      <c r="BKP44" s="58"/>
      <c r="BKQ44" s="56"/>
      <c r="BKR44" s="57"/>
      <c r="BKS44" s="57"/>
      <c r="BKT44" s="57"/>
      <c r="BKU44" s="56"/>
      <c r="BKV44" s="57"/>
      <c r="BKW44" s="57"/>
      <c r="BKX44" s="56"/>
      <c r="BKY44" s="57"/>
      <c r="BKZ44" s="58"/>
      <c r="BLA44" s="56"/>
      <c r="BLB44" s="57"/>
      <c r="BLC44" s="57"/>
      <c r="BLD44" s="57"/>
      <c r="BLE44" s="56"/>
      <c r="BLF44" s="57"/>
      <c r="BLG44" s="57"/>
      <c r="BLH44" s="57"/>
      <c r="BLI44" s="57"/>
      <c r="BLJ44" s="57"/>
      <c r="BLK44" s="56"/>
      <c r="BLL44" s="57"/>
      <c r="BLM44" s="57"/>
      <c r="BLN44" s="56"/>
      <c r="BLO44" s="57"/>
      <c r="BLP44" s="58"/>
      <c r="BLQ44" s="56"/>
      <c r="BLR44" s="57"/>
      <c r="BLS44" s="57"/>
      <c r="BLT44" s="57"/>
      <c r="BLU44" s="56"/>
      <c r="BLV44" s="57"/>
      <c r="BLW44" s="57"/>
      <c r="BLX44" s="56"/>
      <c r="BLY44" s="57"/>
      <c r="BLZ44" s="58"/>
      <c r="BMA44" s="56"/>
      <c r="BMB44" s="57"/>
      <c r="BMC44" s="57"/>
      <c r="BMD44" s="57"/>
      <c r="BME44" s="56"/>
      <c r="BMF44" s="57"/>
      <c r="BMG44" s="57"/>
      <c r="BMH44" s="57"/>
      <c r="BMI44" s="57"/>
      <c r="BMJ44" s="57"/>
      <c r="BMK44" s="56"/>
      <c r="BML44" s="57"/>
      <c r="BMM44" s="57"/>
      <c r="BMN44" s="56"/>
      <c r="BMO44" s="57"/>
      <c r="BMP44" s="58"/>
      <c r="BMQ44" s="56"/>
      <c r="BMR44" s="57"/>
      <c r="BMS44" s="57"/>
      <c r="BMT44" s="57"/>
      <c r="BMU44" s="56"/>
      <c r="BMV44" s="57"/>
      <c r="BMW44" s="57"/>
      <c r="BMX44" s="56"/>
      <c r="BMY44" s="57"/>
      <c r="BMZ44" s="58"/>
      <c r="BNA44" s="56"/>
      <c r="BNB44" s="57"/>
      <c r="BNC44" s="57"/>
      <c r="BND44" s="57"/>
      <c r="BNE44" s="56"/>
      <c r="BNF44" s="57"/>
      <c r="BNG44" s="57"/>
      <c r="BNH44" s="57"/>
      <c r="BNI44" s="57"/>
      <c r="BNJ44" s="57"/>
      <c r="BNK44" s="56"/>
      <c r="BNL44" s="57"/>
      <c r="BNM44" s="57"/>
      <c r="BNN44" s="56"/>
      <c r="BNO44" s="57"/>
      <c r="BNP44" s="58"/>
      <c r="BNQ44" s="56"/>
      <c r="BNR44" s="57"/>
      <c r="BNS44" s="57"/>
      <c r="BNT44" s="57"/>
      <c r="BNU44" s="56"/>
      <c r="BNV44" s="57"/>
      <c r="BNW44" s="57"/>
      <c r="BNX44" s="56"/>
      <c r="BNY44" s="57"/>
      <c r="BNZ44" s="58"/>
      <c r="BOA44" s="56"/>
      <c r="BOB44" s="57"/>
      <c r="BOC44" s="57"/>
      <c r="BOD44" s="57"/>
      <c r="BOE44" s="56"/>
      <c r="BOF44" s="57"/>
      <c r="BOG44" s="57"/>
      <c r="BOH44" s="57"/>
      <c r="BOI44" s="57"/>
      <c r="BOJ44" s="57"/>
      <c r="BOK44" s="56"/>
      <c r="BOL44" s="57"/>
      <c r="BOM44" s="57"/>
      <c r="BON44" s="56"/>
      <c r="BOO44" s="57"/>
      <c r="BOP44" s="58"/>
      <c r="BOQ44" s="56"/>
      <c r="BOR44" s="57"/>
      <c r="BOS44" s="57"/>
      <c r="BOT44" s="57"/>
      <c r="BOU44" s="56"/>
      <c r="BOV44" s="57"/>
      <c r="BOW44" s="57"/>
      <c r="BOX44" s="56"/>
      <c r="BOY44" s="57"/>
      <c r="BOZ44" s="58"/>
      <c r="BPA44" s="56"/>
      <c r="BPB44" s="57"/>
      <c r="BPC44" s="57"/>
      <c r="BPD44" s="57"/>
      <c r="BPE44" s="56"/>
      <c r="BPF44" s="57"/>
      <c r="BPG44" s="57"/>
      <c r="BPH44" s="57"/>
      <c r="BPI44" s="57"/>
      <c r="BPJ44" s="57"/>
      <c r="BPK44" s="56"/>
      <c r="BPL44" s="57"/>
      <c r="BPM44" s="57"/>
      <c r="BPN44" s="56"/>
      <c r="BPO44" s="57"/>
      <c r="BPP44" s="58"/>
      <c r="BPQ44" s="56"/>
      <c r="BPR44" s="57"/>
      <c r="BPS44" s="57"/>
      <c r="BPT44" s="57"/>
      <c r="BPU44" s="56"/>
      <c r="BPV44" s="57"/>
      <c r="BPW44" s="57"/>
      <c r="BPX44" s="56"/>
      <c r="BPY44" s="57"/>
      <c r="BPZ44" s="58"/>
      <c r="BQA44" s="56"/>
      <c r="BQB44" s="57"/>
      <c r="BQC44" s="57"/>
      <c r="BQD44" s="57"/>
      <c r="BQE44" s="56"/>
      <c r="BQF44" s="57"/>
      <c r="BQG44" s="57"/>
      <c r="BQH44" s="57"/>
      <c r="BQI44" s="57"/>
      <c r="BQJ44" s="57"/>
      <c r="BQK44" s="56"/>
      <c r="BQL44" s="57"/>
      <c r="BQM44" s="57"/>
      <c r="BQN44" s="56"/>
      <c r="BQO44" s="57"/>
      <c r="BQP44" s="58"/>
      <c r="BQQ44" s="56"/>
      <c r="BQR44" s="57"/>
      <c r="BQS44" s="57"/>
      <c r="BQT44" s="57"/>
      <c r="BQU44" s="56"/>
      <c r="BQV44" s="57"/>
      <c r="BQW44" s="57"/>
      <c r="BQX44" s="56"/>
      <c r="BQY44" s="57"/>
      <c r="BQZ44" s="58"/>
      <c r="BRA44" s="56"/>
      <c r="BRB44" s="57"/>
      <c r="BRC44" s="57"/>
      <c r="BRD44" s="57"/>
      <c r="BRE44" s="56"/>
      <c r="BRF44" s="57"/>
      <c r="BRG44" s="57"/>
      <c r="BRH44" s="57"/>
      <c r="BRI44" s="57"/>
      <c r="BRJ44" s="57"/>
      <c r="BRK44" s="56"/>
      <c r="BRL44" s="57"/>
      <c r="BRM44" s="57"/>
      <c r="BRN44" s="56"/>
      <c r="BRO44" s="57"/>
      <c r="BRP44" s="58"/>
      <c r="BRQ44" s="56"/>
      <c r="BRR44" s="57"/>
      <c r="BRS44" s="57"/>
      <c r="BRT44" s="57"/>
      <c r="BRU44" s="56"/>
      <c r="BRV44" s="57"/>
      <c r="BRW44" s="57"/>
      <c r="BRX44" s="56"/>
      <c r="BRY44" s="57"/>
      <c r="BRZ44" s="58"/>
      <c r="BSA44" s="56"/>
      <c r="BSB44" s="57"/>
      <c r="BSC44" s="57"/>
      <c r="BSD44" s="57"/>
      <c r="BSE44" s="56"/>
      <c r="BSF44" s="57"/>
      <c r="BSG44" s="57"/>
      <c r="BSH44" s="57"/>
      <c r="BSI44" s="57"/>
      <c r="BSJ44" s="57"/>
      <c r="BSK44" s="56"/>
      <c r="BSL44" s="57"/>
      <c r="BSM44" s="57"/>
      <c r="BSN44" s="56"/>
      <c r="BSO44" s="57"/>
      <c r="BSP44" s="58"/>
      <c r="BSQ44" s="56"/>
      <c r="BSR44" s="57"/>
      <c r="BSS44" s="57"/>
      <c r="BST44" s="57"/>
      <c r="BSU44" s="56"/>
      <c r="BSV44" s="57"/>
      <c r="BSW44" s="57"/>
      <c r="BSX44" s="56"/>
      <c r="BSY44" s="57"/>
      <c r="BSZ44" s="58"/>
      <c r="BTA44" s="56"/>
      <c r="BTB44" s="57"/>
      <c r="BTC44" s="57"/>
      <c r="BTD44" s="57"/>
      <c r="BTE44" s="56"/>
      <c r="BTF44" s="57"/>
      <c r="BTG44" s="57"/>
      <c r="BTH44" s="57"/>
      <c r="BTI44" s="57"/>
      <c r="BTJ44" s="57"/>
      <c r="BTK44" s="56"/>
      <c r="BTL44" s="57"/>
      <c r="BTM44" s="57"/>
      <c r="BTN44" s="56"/>
      <c r="BTO44" s="57"/>
      <c r="BTP44" s="58"/>
      <c r="BTQ44" s="56"/>
      <c r="BTR44" s="57"/>
      <c r="BTS44" s="57"/>
      <c r="BTT44" s="57"/>
      <c r="BTU44" s="56"/>
      <c r="BTV44" s="57"/>
      <c r="BTW44" s="57"/>
      <c r="BTX44" s="56"/>
      <c r="BTY44" s="57"/>
      <c r="BTZ44" s="58"/>
      <c r="BUA44" s="56"/>
      <c r="BUB44" s="57"/>
      <c r="BUC44" s="57"/>
      <c r="BUD44" s="57"/>
      <c r="BUE44" s="56"/>
      <c r="BUF44" s="57"/>
      <c r="BUG44" s="57"/>
      <c r="BUH44" s="57"/>
      <c r="BUI44" s="57"/>
      <c r="BUJ44" s="57"/>
      <c r="BUK44" s="56"/>
      <c r="BUL44" s="57"/>
      <c r="BUM44" s="57"/>
      <c r="BUN44" s="56"/>
      <c r="BUO44" s="57"/>
      <c r="BUP44" s="58"/>
      <c r="BUQ44" s="56"/>
      <c r="BUR44" s="57"/>
      <c r="BUS44" s="57"/>
      <c r="BUT44" s="57"/>
      <c r="BUU44" s="56"/>
      <c r="BUV44" s="57"/>
      <c r="BUW44" s="57"/>
      <c r="BUX44" s="56"/>
      <c r="BUY44" s="57"/>
      <c r="BUZ44" s="58"/>
      <c r="BVA44" s="56"/>
      <c r="BVB44" s="57"/>
      <c r="BVC44" s="57"/>
      <c r="BVD44" s="57"/>
      <c r="BVE44" s="56"/>
      <c r="BVF44" s="57"/>
      <c r="BVG44" s="57"/>
      <c r="BVH44" s="57"/>
      <c r="BVI44" s="57"/>
      <c r="BVJ44" s="57"/>
      <c r="BVK44" s="56"/>
      <c r="BVL44" s="57"/>
      <c r="BVM44" s="57"/>
      <c r="BVN44" s="56"/>
      <c r="BVO44" s="57"/>
      <c r="BVP44" s="58"/>
      <c r="BVQ44" s="56"/>
      <c r="BVR44" s="57"/>
      <c r="BVS44" s="57"/>
      <c r="BVT44" s="57"/>
      <c r="BVU44" s="56"/>
      <c r="BVV44" s="57"/>
      <c r="BVW44" s="57"/>
      <c r="BVX44" s="56"/>
      <c r="BVY44" s="57"/>
      <c r="BVZ44" s="58"/>
      <c r="BWA44" s="56"/>
      <c r="BWB44" s="57"/>
      <c r="BWC44" s="57"/>
      <c r="BWD44" s="57"/>
      <c r="BWE44" s="56"/>
      <c r="BWF44" s="57"/>
      <c r="BWG44" s="57"/>
      <c r="BWH44" s="57"/>
      <c r="BWI44" s="57"/>
      <c r="BWJ44" s="57"/>
      <c r="BWK44" s="56"/>
      <c r="BWL44" s="57"/>
      <c r="BWM44" s="57"/>
      <c r="BWN44" s="56"/>
      <c r="BWO44" s="57"/>
      <c r="BWP44" s="58"/>
      <c r="BWQ44" s="56"/>
      <c r="BWR44" s="57"/>
      <c r="BWS44" s="57"/>
      <c r="BWT44" s="57"/>
      <c r="BWU44" s="56"/>
      <c r="BWV44" s="57"/>
      <c r="BWW44" s="57"/>
      <c r="BWX44" s="56"/>
      <c r="BWY44" s="57"/>
      <c r="BWZ44" s="58"/>
      <c r="BXA44" s="56"/>
      <c r="BXB44" s="57"/>
      <c r="BXC44" s="57"/>
      <c r="BXD44" s="57"/>
      <c r="BXE44" s="56"/>
      <c r="BXF44" s="57"/>
      <c r="BXG44" s="57"/>
      <c r="BXH44" s="57"/>
      <c r="BXI44" s="57"/>
      <c r="BXJ44" s="57"/>
      <c r="BXK44" s="56"/>
      <c r="BXL44" s="57"/>
      <c r="BXM44" s="57"/>
      <c r="BXN44" s="56"/>
      <c r="BXO44" s="57"/>
      <c r="BXP44" s="58"/>
      <c r="BXQ44" s="56"/>
      <c r="BXR44" s="57"/>
      <c r="BXS44" s="57"/>
      <c r="BXT44" s="57"/>
      <c r="BXU44" s="56"/>
      <c r="BXV44" s="57"/>
      <c r="BXW44" s="57"/>
      <c r="BXX44" s="56"/>
      <c r="BXY44" s="57"/>
      <c r="BXZ44" s="58"/>
      <c r="BYA44" s="56"/>
      <c r="BYB44" s="57"/>
      <c r="BYC44" s="57"/>
      <c r="BYD44" s="57"/>
      <c r="BYE44" s="56"/>
      <c r="BYF44" s="57"/>
      <c r="BYG44" s="57"/>
      <c r="BYH44" s="57"/>
      <c r="BYI44" s="57"/>
      <c r="BYJ44" s="57"/>
      <c r="BYK44" s="56"/>
      <c r="BYL44" s="57"/>
      <c r="BYM44" s="57"/>
      <c r="BYN44" s="56"/>
      <c r="BYO44" s="57"/>
      <c r="BYP44" s="58"/>
      <c r="BYQ44" s="56"/>
      <c r="BYR44" s="57"/>
      <c r="BYS44" s="57"/>
      <c r="BYT44" s="57"/>
      <c r="BYU44" s="56"/>
      <c r="BYV44" s="57"/>
      <c r="BYW44" s="57"/>
      <c r="BYX44" s="58"/>
      <c r="BYY44" s="57"/>
      <c r="BYZ44" s="56"/>
      <c r="BZA44" s="57"/>
      <c r="BZB44" s="56"/>
      <c r="BZC44" s="56"/>
      <c r="BZD44" s="56"/>
      <c r="BZE44" s="57"/>
      <c r="BZF44" s="57"/>
      <c r="BZG44" s="57"/>
      <c r="BZH44" s="57"/>
      <c r="BZI44" s="57"/>
      <c r="BZJ44" s="57"/>
      <c r="BZK44" s="57"/>
      <c r="BZL44" s="57"/>
      <c r="BZM44" s="57"/>
      <c r="BZN44" s="57"/>
      <c r="BZO44" s="57"/>
      <c r="BZP44" s="57"/>
      <c r="BZQ44" s="57"/>
      <c r="BZR44" s="57"/>
      <c r="BZS44" s="57"/>
      <c r="BZT44" s="57"/>
      <c r="BZU44" s="57"/>
      <c r="BZV44" s="57"/>
      <c r="BZW44" s="57"/>
      <c r="BZX44" s="57"/>
      <c r="BZY44" s="57"/>
      <c r="BZZ44" s="57"/>
      <c r="CAA44" s="57"/>
      <c r="CAB44" s="57"/>
      <c r="CAC44" s="57"/>
      <c r="CAD44" s="57"/>
      <c r="CAE44" s="57"/>
      <c r="CAF44" s="57"/>
      <c r="CAG44" s="57"/>
      <c r="CAH44" s="57"/>
      <c r="CAI44" s="57"/>
      <c r="CAJ44" s="57"/>
      <c r="CAK44" s="57"/>
      <c r="CAL44" s="57"/>
      <c r="CAM44" s="57"/>
      <c r="CAN44" s="57"/>
      <c r="CAO44" s="57"/>
      <c r="CAP44" s="58"/>
      <c r="CAQ44" s="56"/>
      <c r="CAR44" s="57"/>
      <c r="CAS44" s="57"/>
      <c r="CAT44" s="57"/>
      <c r="CAU44" s="57"/>
      <c r="CAV44" s="57"/>
      <c r="CAW44" s="56"/>
      <c r="CAX44" s="57"/>
      <c r="CAY44" s="57"/>
      <c r="CAZ44" s="56"/>
      <c r="CBA44" s="57"/>
      <c r="CBB44" s="58"/>
      <c r="CBC44" s="56"/>
      <c r="CBD44" s="57"/>
      <c r="CBE44" s="57"/>
      <c r="CBF44" s="57"/>
      <c r="CBG44" s="56"/>
      <c r="CBH44" s="57"/>
      <c r="CBI44" s="57"/>
      <c r="CBJ44" s="56"/>
      <c r="CBK44" s="57"/>
      <c r="CBL44" s="58"/>
      <c r="CBM44" s="56"/>
      <c r="CBN44" s="57"/>
      <c r="CBO44" s="57"/>
      <c r="CBP44" s="57"/>
      <c r="CBQ44" s="56"/>
      <c r="CBR44" s="57"/>
      <c r="CBS44" s="57"/>
      <c r="CBT44" s="56"/>
      <c r="CBU44" s="57"/>
      <c r="CBV44" s="58"/>
      <c r="CBW44" s="56"/>
      <c r="CBX44" s="57"/>
      <c r="CBY44" s="57"/>
      <c r="CBZ44" s="57"/>
      <c r="CCA44" s="56"/>
      <c r="CCB44" s="57"/>
      <c r="CCC44" s="57"/>
      <c r="CCD44" s="56"/>
      <c r="CCE44" s="57"/>
      <c r="CCF44" s="58"/>
      <c r="CCG44" s="56"/>
      <c r="CCH44" s="58"/>
      <c r="CCI44" s="57"/>
      <c r="CCJ44" s="56"/>
      <c r="CCK44" s="57"/>
      <c r="CCL44" s="56"/>
      <c r="CCM44" s="56"/>
      <c r="CCN44" s="56"/>
      <c r="CCO44" s="57"/>
      <c r="CCP44" s="57"/>
      <c r="CCQ44" s="57"/>
      <c r="CCR44" s="57"/>
      <c r="CCS44" s="57"/>
      <c r="CCT44" s="57"/>
      <c r="CCU44" s="57"/>
      <c r="CCV44" s="57"/>
      <c r="CCW44" s="57"/>
      <c r="CCX44" s="57"/>
      <c r="CCY44" s="57"/>
      <c r="CCZ44" s="57"/>
      <c r="CDA44" s="57"/>
      <c r="CDB44" s="57"/>
      <c r="CDC44" s="57"/>
      <c r="CDD44" s="57"/>
      <c r="CDE44" s="57"/>
      <c r="CDF44" s="57"/>
      <c r="CDG44" s="57"/>
      <c r="CDH44" s="57"/>
      <c r="CDI44" s="57"/>
      <c r="CDJ44" s="57"/>
      <c r="CDK44" s="57"/>
      <c r="CDL44" s="57"/>
      <c r="CDM44" s="57"/>
      <c r="CDN44" s="57"/>
      <c r="CDO44" s="57"/>
      <c r="CDP44" s="57"/>
      <c r="CDQ44" s="57"/>
      <c r="CDR44" s="57"/>
      <c r="CDS44" s="57"/>
      <c r="CDT44" s="57"/>
      <c r="CDU44" s="57"/>
      <c r="CDV44" s="57"/>
      <c r="CDW44" s="57"/>
      <c r="CDX44" s="57"/>
      <c r="CDY44" s="57"/>
      <c r="CDZ44" s="58"/>
      <c r="CEA44" s="56"/>
      <c r="CEB44" s="57"/>
      <c r="CEC44" s="57"/>
      <c r="CED44" s="57"/>
      <c r="CEE44" s="57"/>
      <c r="CEF44" s="57"/>
      <c r="CEG44" s="56"/>
      <c r="CEH44" s="57"/>
      <c r="CEI44" s="57"/>
      <c r="CEJ44" s="56"/>
      <c r="CEK44" s="57"/>
      <c r="CEL44" s="58"/>
      <c r="CEM44" s="56"/>
      <c r="CEN44" s="57"/>
      <c r="CEO44" s="57"/>
      <c r="CEP44" s="57"/>
      <c r="CEQ44" s="56"/>
      <c r="CER44" s="57"/>
      <c r="CES44" s="57"/>
      <c r="CET44" s="56"/>
      <c r="CEU44" s="57"/>
      <c r="CEV44" s="58"/>
      <c r="CEW44" s="56"/>
      <c r="CEX44" s="57"/>
      <c r="CEY44" s="57"/>
      <c r="CEZ44" s="57"/>
      <c r="CFA44" s="56"/>
      <c r="CFB44" s="57"/>
      <c r="CFC44" s="57"/>
      <c r="CFD44" s="56"/>
      <c r="CFE44" s="57"/>
      <c r="CFF44" s="58"/>
      <c r="CFG44" s="56"/>
      <c r="CFH44" s="57"/>
      <c r="CFI44" s="57"/>
      <c r="CFJ44" s="57"/>
      <c r="CFK44" s="56"/>
      <c r="CFL44" s="57"/>
      <c r="CFM44" s="57"/>
      <c r="CFN44" s="56"/>
      <c r="CFO44" s="57"/>
      <c r="CFP44" s="58"/>
      <c r="CFQ44" s="56"/>
      <c r="CFR44" s="58"/>
      <c r="CFS44" s="57"/>
      <c r="CFT44" s="56"/>
      <c r="CFU44" s="57"/>
      <c r="CFV44" s="56"/>
      <c r="CFW44" s="56"/>
      <c r="CFX44" s="56"/>
      <c r="CFY44" s="57"/>
      <c r="CFZ44" s="57"/>
      <c r="CGA44" s="57"/>
      <c r="CGB44" s="57"/>
      <c r="CGC44" s="57"/>
      <c r="CGD44" s="57"/>
      <c r="CGE44" s="57"/>
      <c r="CGF44" s="57"/>
      <c r="CGG44" s="57"/>
      <c r="CGH44" s="57"/>
      <c r="CGI44" s="57"/>
      <c r="CGJ44" s="57"/>
      <c r="CGK44" s="57"/>
      <c r="CGL44" s="57"/>
      <c r="CGM44" s="57"/>
      <c r="CGN44" s="57"/>
      <c r="CGO44" s="57"/>
      <c r="CGP44" s="57"/>
      <c r="CGQ44" s="57"/>
      <c r="CGR44" s="57"/>
      <c r="CGS44" s="57"/>
      <c r="CGT44" s="57"/>
      <c r="CGU44" s="57"/>
      <c r="CGV44" s="57"/>
      <c r="CGW44" s="57"/>
      <c r="CGX44" s="57"/>
      <c r="CGY44" s="57"/>
      <c r="CGZ44" s="57"/>
      <c r="CHA44" s="57"/>
      <c r="CHB44" s="57"/>
      <c r="CHC44" s="57"/>
      <c r="CHD44" s="57"/>
      <c r="CHE44" s="57"/>
      <c r="CHF44" s="57"/>
      <c r="CHG44" s="57"/>
      <c r="CHH44" s="57"/>
      <c r="CHI44" s="57"/>
      <c r="CHJ44" s="58"/>
      <c r="CHK44" s="56"/>
      <c r="CHL44" s="57"/>
      <c r="CHM44" s="57"/>
      <c r="CHN44" s="57"/>
      <c r="CHO44" s="57"/>
      <c r="CHP44" s="57"/>
      <c r="CHQ44" s="56"/>
      <c r="CHR44" s="57"/>
      <c r="CHS44" s="57"/>
      <c r="CHT44" s="56"/>
      <c r="CHU44" s="57"/>
      <c r="CHV44" s="58"/>
      <c r="CHW44" s="56"/>
      <c r="CHX44" s="57"/>
      <c r="CHY44" s="57"/>
      <c r="CHZ44" s="57"/>
      <c r="CIA44" s="56"/>
      <c r="CIB44" s="57"/>
      <c r="CIC44" s="57"/>
      <c r="CID44" s="56"/>
      <c r="CIE44" s="57"/>
      <c r="CIF44" s="58"/>
      <c r="CIG44" s="56"/>
      <c r="CIH44" s="57"/>
      <c r="CII44" s="57"/>
      <c r="CIJ44" s="57"/>
      <c r="CIK44" s="56"/>
      <c r="CIL44" s="57"/>
      <c r="CIM44" s="57"/>
      <c r="CIN44" s="56"/>
      <c r="CIO44" s="57"/>
      <c r="CIP44" s="58"/>
      <c r="CIQ44" s="56"/>
      <c r="CIR44" s="57"/>
      <c r="CIS44" s="57"/>
      <c r="CIT44" s="57"/>
      <c r="CIU44" s="56"/>
      <c r="CIV44" s="57"/>
      <c r="CIW44" s="57"/>
      <c r="CIX44" s="56"/>
      <c r="CIY44" s="57"/>
      <c r="CIZ44" s="58"/>
      <c r="CJA44" s="56"/>
      <c r="CJB44" s="58"/>
      <c r="CJC44" s="57"/>
      <c r="CJD44" s="56"/>
      <c r="CJE44" s="57"/>
      <c r="CJF44" s="56"/>
      <c r="CJG44" s="56"/>
      <c r="CJH44" s="56"/>
      <c r="CJI44" s="57"/>
      <c r="CJJ44" s="57"/>
      <c r="CJK44" s="57"/>
      <c r="CJL44" s="57"/>
      <c r="CJM44" s="57"/>
      <c r="CJN44" s="57"/>
      <c r="CJO44" s="57"/>
      <c r="CJP44" s="57"/>
      <c r="CJQ44" s="57"/>
      <c r="CJR44" s="57"/>
      <c r="CJS44" s="57"/>
      <c r="CJT44" s="57"/>
      <c r="CJU44" s="57"/>
      <c r="CJV44" s="57"/>
      <c r="CJW44" s="57"/>
      <c r="CJX44" s="57"/>
      <c r="CJY44" s="57"/>
      <c r="CJZ44" s="57"/>
      <c r="CKA44" s="57"/>
      <c r="CKB44" s="57"/>
      <c r="CKC44" s="57"/>
      <c r="CKD44" s="57"/>
      <c r="CKE44" s="57"/>
      <c r="CKF44" s="57"/>
      <c r="CKG44" s="57"/>
      <c r="CKH44" s="57"/>
      <c r="CKI44" s="57"/>
      <c r="CKJ44" s="57"/>
      <c r="CKK44" s="57"/>
      <c r="CKL44" s="57"/>
      <c r="CKM44" s="57"/>
      <c r="CKN44" s="57"/>
      <c r="CKO44" s="57"/>
      <c r="CKP44" s="57"/>
      <c r="CKQ44" s="57"/>
      <c r="CKR44" s="57"/>
      <c r="CKS44" s="57"/>
      <c r="CKT44" s="58"/>
      <c r="CKU44" s="56"/>
      <c r="CKV44" s="57"/>
      <c r="CKW44" s="57"/>
      <c r="CKX44" s="57"/>
      <c r="CKY44" s="57"/>
      <c r="CKZ44" s="57"/>
      <c r="CLA44" s="56"/>
      <c r="CLB44" s="57"/>
      <c r="CLC44" s="57"/>
      <c r="CLD44" s="56"/>
      <c r="CLE44" s="57"/>
      <c r="CLF44" s="58"/>
      <c r="CLG44" s="56"/>
      <c r="CLH44" s="57"/>
      <c r="CLI44" s="57"/>
      <c r="CLJ44" s="57"/>
      <c r="CLK44" s="56"/>
      <c r="CLL44" s="57"/>
      <c r="CLM44" s="57"/>
      <c r="CLN44" s="56"/>
      <c r="CLO44" s="57"/>
      <c r="CLP44" s="58"/>
      <c r="CLQ44" s="56"/>
      <c r="CLR44" s="57"/>
      <c r="CLS44" s="57"/>
      <c r="CLT44" s="57"/>
      <c r="CLU44" s="56"/>
      <c r="CLV44" s="57"/>
      <c r="CLW44" s="57"/>
      <c r="CLX44" s="56"/>
      <c r="CLY44" s="57"/>
      <c r="CLZ44" s="58"/>
      <c r="CMA44" s="56"/>
      <c r="CMB44" s="57"/>
      <c r="CMC44" s="57"/>
      <c r="CMD44" s="57"/>
      <c r="CME44" s="56"/>
      <c r="CMF44" s="57"/>
      <c r="CMG44" s="57"/>
      <c r="CMH44" s="56"/>
      <c r="CMI44" s="57"/>
      <c r="CMJ44" s="58"/>
      <c r="CMK44" s="56"/>
      <c r="CML44" s="58"/>
      <c r="CMM44" s="57"/>
      <c r="CMN44" s="56"/>
      <c r="CMO44" s="57"/>
      <c r="CMP44" s="56"/>
      <c r="CMQ44" s="56"/>
      <c r="CMR44" s="56"/>
      <c r="CMS44" s="57"/>
      <c r="CMT44" s="57"/>
      <c r="CMU44" s="57"/>
      <c r="CMV44" s="57"/>
      <c r="CMW44" s="57"/>
      <c r="CMX44" s="57"/>
      <c r="CMY44" s="57"/>
      <c r="CMZ44" s="57"/>
      <c r="CNA44" s="57"/>
      <c r="CNB44" s="57"/>
      <c r="CNC44" s="57"/>
      <c r="CND44" s="57"/>
      <c r="CNE44" s="57"/>
      <c r="CNF44" s="57"/>
      <c r="CNG44" s="57"/>
      <c r="CNH44" s="57"/>
      <c r="CNI44" s="57"/>
      <c r="CNJ44" s="57"/>
      <c r="CNK44" s="57"/>
      <c r="CNL44" s="57"/>
      <c r="CNM44" s="57"/>
      <c r="CNN44" s="57"/>
      <c r="CNO44" s="57"/>
      <c r="CNP44" s="57"/>
      <c r="CNQ44" s="57"/>
      <c r="CNR44" s="57"/>
      <c r="CNS44" s="57"/>
      <c r="CNT44" s="57"/>
      <c r="CNU44" s="57"/>
      <c r="CNV44" s="57"/>
      <c r="CNW44" s="57"/>
      <c r="CNX44" s="57"/>
      <c r="CNY44" s="57"/>
      <c r="CNZ44" s="57"/>
      <c r="COA44" s="57"/>
      <c r="COB44" s="57"/>
      <c r="COC44" s="57"/>
      <c r="COD44" s="58"/>
      <c r="COE44" s="56"/>
      <c r="COF44" s="57"/>
      <c r="COG44" s="57"/>
      <c r="COH44" s="57"/>
      <c r="COI44" s="57"/>
      <c r="COJ44" s="57"/>
      <c r="COK44" s="56"/>
      <c r="COL44" s="57"/>
      <c r="COM44" s="57"/>
      <c r="CON44" s="56"/>
      <c r="COO44" s="57"/>
      <c r="COP44" s="58"/>
      <c r="COQ44" s="56"/>
      <c r="COR44" s="57"/>
      <c r="COS44" s="57"/>
      <c r="COT44" s="57"/>
      <c r="COU44" s="56"/>
      <c r="COV44" s="57"/>
      <c r="COW44" s="57"/>
      <c r="COX44" s="56"/>
      <c r="COY44" s="57"/>
      <c r="COZ44" s="58"/>
      <c r="CPA44" s="56"/>
      <c r="CPB44" s="57"/>
      <c r="CPC44" s="57"/>
      <c r="CPD44" s="57"/>
      <c r="CPE44" s="56"/>
      <c r="CPF44" s="57"/>
      <c r="CPG44" s="57"/>
      <c r="CPH44" s="56"/>
      <c r="CPI44" s="57"/>
      <c r="CPJ44" s="58"/>
      <c r="CPK44" s="56"/>
      <c r="CPL44" s="57"/>
      <c r="CPM44" s="57"/>
      <c r="CPN44" s="57"/>
      <c r="CPO44" s="56"/>
      <c r="CPP44" s="57"/>
      <c r="CPQ44" s="57"/>
      <c r="CPR44" s="56"/>
      <c r="CPS44" s="57"/>
      <c r="CPT44" s="58"/>
      <c r="CPU44" s="56"/>
      <c r="CPV44" s="58"/>
      <c r="CPW44" s="57"/>
      <c r="CPX44" s="56"/>
      <c r="CPY44" s="57"/>
      <c r="CPZ44" s="56"/>
      <c r="CQA44" s="56"/>
      <c r="CQB44" s="56"/>
      <c r="CQC44" s="57"/>
      <c r="CQD44" s="57"/>
      <c r="CQE44" s="57"/>
      <c r="CQF44" s="57"/>
      <c r="CQG44" s="57"/>
      <c r="CQH44" s="57"/>
      <c r="CQI44" s="57"/>
      <c r="CQJ44" s="57"/>
      <c r="CQK44" s="57"/>
      <c r="CQL44" s="57"/>
      <c r="CQM44" s="57"/>
      <c r="CQN44" s="57"/>
      <c r="CQO44" s="57"/>
      <c r="CQP44" s="57"/>
      <c r="CQQ44" s="57"/>
      <c r="CQR44" s="57"/>
      <c r="CQS44" s="57"/>
      <c r="CQT44" s="57"/>
      <c r="CQU44" s="57"/>
      <c r="CQV44" s="57"/>
      <c r="CQW44" s="57"/>
      <c r="CQX44" s="57"/>
      <c r="CQY44" s="57"/>
      <c r="CQZ44" s="57"/>
      <c r="CRA44" s="57"/>
      <c r="CRB44" s="57"/>
      <c r="CRC44" s="57"/>
      <c r="CRD44" s="57"/>
      <c r="CRE44" s="57"/>
      <c r="CRF44" s="57"/>
      <c r="CRG44" s="57"/>
      <c r="CRH44" s="57"/>
      <c r="CRI44" s="57"/>
      <c r="CRJ44" s="57"/>
      <c r="CRK44" s="57"/>
      <c r="CRL44" s="57"/>
      <c r="CRM44" s="57"/>
      <c r="CRN44" s="58"/>
      <c r="CRO44" s="56"/>
      <c r="CRP44" s="57"/>
      <c r="CRQ44" s="57"/>
      <c r="CRR44" s="57"/>
      <c r="CRS44" s="57"/>
      <c r="CRT44" s="57"/>
      <c r="CRU44" s="56"/>
      <c r="CRV44" s="57"/>
      <c r="CRW44" s="57"/>
      <c r="CRX44" s="56"/>
      <c r="CRY44" s="57"/>
      <c r="CRZ44" s="58"/>
      <c r="CSA44" s="56"/>
      <c r="CSB44" s="57"/>
      <c r="CSC44" s="57"/>
      <c r="CSD44" s="57"/>
      <c r="CSE44" s="56"/>
      <c r="CSF44" s="57"/>
      <c r="CSG44" s="57"/>
      <c r="CSH44" s="56"/>
      <c r="CSI44" s="57"/>
      <c r="CSJ44" s="58"/>
      <c r="CSK44" s="56"/>
      <c r="CSL44" s="57"/>
      <c r="CSM44" s="57"/>
      <c r="CSN44" s="57"/>
      <c r="CSO44" s="56"/>
      <c r="CSP44" s="57"/>
      <c r="CSQ44" s="57"/>
      <c r="CSR44" s="56"/>
      <c r="CSS44" s="57"/>
      <c r="CST44" s="58"/>
      <c r="CSU44" s="56"/>
      <c r="CSV44" s="57"/>
      <c r="CSW44" s="57"/>
      <c r="CSX44" s="57"/>
      <c r="CSY44" s="56"/>
      <c r="CSZ44" s="57"/>
      <c r="CTA44" s="57"/>
      <c r="CTB44" s="56"/>
      <c r="CTC44" s="57"/>
      <c r="CTD44" s="58"/>
      <c r="CTE44" s="56"/>
      <c r="CTF44" s="58"/>
      <c r="CTG44" s="57"/>
      <c r="CTH44" s="56"/>
      <c r="CTI44" s="57"/>
      <c r="CTJ44" s="56"/>
      <c r="CTK44" s="56"/>
      <c r="CTL44" s="56"/>
      <c r="CTM44" s="57"/>
      <c r="CTN44" s="57"/>
      <c r="CTO44" s="57"/>
      <c r="CTP44" s="57"/>
      <c r="CTQ44" s="57"/>
      <c r="CTR44" s="57"/>
      <c r="CTS44" s="57"/>
      <c r="CTT44" s="57"/>
      <c r="CTU44" s="57"/>
      <c r="CTV44" s="57"/>
      <c r="CTW44" s="57"/>
      <c r="CTX44" s="57"/>
      <c r="CTY44" s="57"/>
      <c r="CTZ44" s="57"/>
      <c r="CUA44" s="57"/>
      <c r="CUB44" s="57"/>
      <c r="CUC44" s="57"/>
      <c r="CUD44" s="57"/>
      <c r="CUE44" s="57"/>
      <c r="CUF44" s="57"/>
      <c r="CUG44" s="57"/>
      <c r="CUH44" s="57"/>
      <c r="CUI44" s="57"/>
      <c r="CUJ44" s="57"/>
      <c r="CUK44" s="57"/>
      <c r="CUL44" s="57"/>
      <c r="CUM44" s="57"/>
      <c r="CUN44" s="57"/>
      <c r="CUO44" s="57"/>
      <c r="CUP44" s="57"/>
      <c r="CUQ44" s="57"/>
      <c r="CUR44" s="57"/>
      <c r="CUS44" s="57"/>
      <c r="CUT44" s="57"/>
      <c r="CUU44" s="57"/>
      <c r="CUV44" s="57"/>
      <c r="CUW44" s="57"/>
      <c r="CUX44" s="58"/>
      <c r="CUY44" s="56"/>
      <c r="CUZ44" s="57"/>
      <c r="CVA44" s="57"/>
      <c r="CVB44" s="57"/>
      <c r="CVC44" s="57"/>
      <c r="CVD44" s="57"/>
      <c r="CVE44" s="56"/>
      <c r="CVF44" s="57"/>
      <c r="CVG44" s="57"/>
      <c r="CVH44" s="56"/>
      <c r="CVI44" s="57"/>
      <c r="CVJ44" s="58"/>
      <c r="CVK44" s="56"/>
      <c r="CVL44" s="57"/>
      <c r="CVM44" s="57"/>
      <c r="CVN44" s="57"/>
      <c r="CVO44" s="56"/>
      <c r="CVP44" s="57"/>
      <c r="CVQ44" s="57"/>
      <c r="CVR44" s="56"/>
      <c r="CVS44" s="57"/>
      <c r="CVT44" s="58"/>
      <c r="CVU44" s="56"/>
      <c r="CVV44" s="57"/>
      <c r="CVW44" s="57"/>
      <c r="CVX44" s="57"/>
      <c r="CVY44" s="56"/>
      <c r="CVZ44" s="57"/>
      <c r="CWA44" s="57"/>
      <c r="CWB44" s="56"/>
      <c r="CWC44" s="57"/>
      <c r="CWD44" s="58"/>
      <c r="CWE44" s="56"/>
      <c r="CWF44" s="57"/>
      <c r="CWG44" s="57"/>
      <c r="CWH44" s="57"/>
      <c r="CWI44" s="56"/>
      <c r="CWJ44" s="57"/>
      <c r="CWK44" s="57"/>
      <c r="CWL44" s="56"/>
      <c r="CWM44" s="57"/>
      <c r="CWN44" s="58"/>
      <c r="CWO44" s="56"/>
      <c r="CWP44" s="58"/>
      <c r="CWQ44" s="57"/>
      <c r="CWR44" s="56"/>
      <c r="CWS44" s="57"/>
      <c r="CWT44" s="56"/>
      <c r="CWU44" s="56"/>
      <c r="CWV44" s="56"/>
      <c r="CWW44" s="57"/>
      <c r="CWX44" s="57"/>
      <c r="CWY44" s="57"/>
      <c r="CWZ44" s="57"/>
      <c r="CXA44" s="57"/>
      <c r="CXB44" s="57"/>
      <c r="CXC44" s="57"/>
      <c r="CXD44" s="57"/>
      <c r="CXE44" s="57"/>
      <c r="CXF44" s="57"/>
      <c r="CXG44" s="57"/>
      <c r="CXH44" s="57"/>
      <c r="CXI44" s="57"/>
      <c r="CXJ44" s="57"/>
      <c r="CXK44" s="57"/>
      <c r="CXL44" s="57"/>
      <c r="CXM44" s="57"/>
      <c r="CXN44" s="57"/>
      <c r="CXO44" s="57"/>
      <c r="CXP44" s="57"/>
      <c r="CXQ44" s="57"/>
      <c r="CXR44" s="57"/>
      <c r="CXS44" s="57"/>
      <c r="CXT44" s="57"/>
      <c r="CXU44" s="57"/>
      <c r="CXV44" s="57"/>
      <c r="CXW44" s="57"/>
      <c r="CXX44" s="57"/>
      <c r="CXY44" s="57"/>
      <c r="CXZ44" s="57"/>
      <c r="CYA44" s="57"/>
      <c r="CYB44" s="57"/>
      <c r="CYC44" s="57"/>
      <c r="CYD44" s="57"/>
      <c r="CYE44" s="57"/>
      <c r="CYF44" s="57"/>
      <c r="CYG44" s="57"/>
      <c r="CYH44" s="58"/>
      <c r="CYI44" s="56"/>
      <c r="CYJ44" s="57"/>
      <c r="CYK44" s="57"/>
      <c r="CYL44" s="57"/>
      <c r="CYM44" s="57"/>
      <c r="CYN44" s="57"/>
      <c r="CYO44" s="56"/>
      <c r="CYP44" s="57"/>
      <c r="CYQ44" s="57"/>
      <c r="CYR44" s="56"/>
      <c r="CYS44" s="57"/>
      <c r="CYT44" s="58"/>
      <c r="CYU44" s="56"/>
      <c r="CYV44" s="57"/>
      <c r="CYW44" s="57"/>
      <c r="CYX44" s="57"/>
      <c r="CYY44" s="56"/>
      <c r="CYZ44" s="57"/>
      <c r="CZA44" s="57"/>
      <c r="CZB44" s="56"/>
      <c r="CZC44" s="57"/>
      <c r="CZD44" s="58"/>
      <c r="CZE44" s="56"/>
      <c r="CZF44" s="57"/>
      <c r="CZG44" s="57"/>
      <c r="CZH44" s="57"/>
      <c r="CZI44" s="56"/>
      <c r="CZJ44" s="57"/>
      <c r="CZK44" s="57"/>
      <c r="CZL44" s="56"/>
      <c r="CZM44" s="57"/>
      <c r="CZN44" s="58"/>
      <c r="CZO44" s="56"/>
      <c r="CZP44" s="57"/>
      <c r="CZQ44" s="57"/>
      <c r="CZR44" s="57"/>
      <c r="CZS44" s="56"/>
      <c r="CZT44" s="57"/>
      <c r="CZU44" s="57"/>
      <c r="CZV44" s="56"/>
      <c r="CZW44" s="57"/>
      <c r="CZX44" s="58"/>
      <c r="CZY44" s="56"/>
      <c r="CZZ44" s="58"/>
      <c r="DAA44" s="57"/>
      <c r="DAB44" s="56"/>
      <c r="DAC44" s="57"/>
      <c r="DAD44" s="56"/>
      <c r="DAE44" s="56"/>
      <c r="DAF44" s="56"/>
      <c r="DAG44" s="57"/>
      <c r="DAH44" s="57"/>
      <c r="DAI44" s="57"/>
      <c r="DAJ44" s="57"/>
      <c r="DAK44" s="57"/>
      <c r="DAL44" s="57"/>
      <c r="DAM44" s="57"/>
      <c r="DAN44" s="57"/>
      <c r="DAO44" s="57"/>
      <c r="DAP44" s="57"/>
      <c r="DAQ44" s="57"/>
      <c r="DAR44" s="57"/>
      <c r="DAS44" s="57"/>
      <c r="DAT44" s="57"/>
      <c r="DAU44" s="57"/>
      <c r="DAV44" s="57"/>
      <c r="DAW44" s="57"/>
      <c r="DAX44" s="57"/>
      <c r="DAY44" s="57"/>
      <c r="DAZ44" s="57"/>
      <c r="DBA44" s="57"/>
      <c r="DBB44" s="57"/>
      <c r="DBC44" s="57"/>
      <c r="DBD44" s="57"/>
      <c r="DBE44" s="57"/>
      <c r="DBF44" s="57"/>
      <c r="DBG44" s="57"/>
      <c r="DBH44" s="57"/>
      <c r="DBI44" s="57"/>
      <c r="DBJ44" s="57"/>
      <c r="DBK44" s="57"/>
      <c r="DBL44" s="57"/>
      <c r="DBM44" s="57"/>
      <c r="DBN44" s="57"/>
      <c r="DBO44" s="57"/>
      <c r="DBP44" s="57"/>
      <c r="DBQ44" s="57"/>
      <c r="DBR44" s="58"/>
      <c r="DBS44" s="56"/>
      <c r="DBT44" s="57"/>
      <c r="DBU44" s="57"/>
      <c r="DBV44" s="57"/>
      <c r="DBW44" s="57"/>
      <c r="DBX44" s="57"/>
      <c r="DBY44" s="56"/>
      <c r="DBZ44" s="57"/>
      <c r="DCA44" s="57"/>
      <c r="DCB44" s="56"/>
      <c r="DCC44" s="57"/>
      <c r="DCD44" s="58"/>
      <c r="DCE44" s="56"/>
      <c r="DCF44" s="57"/>
      <c r="DCG44" s="57"/>
      <c r="DCH44" s="57"/>
      <c r="DCI44" s="56"/>
      <c r="DCJ44" s="57"/>
      <c r="DCK44" s="57"/>
      <c r="DCL44" s="56"/>
      <c r="DCM44" s="57"/>
      <c r="DCN44" s="58"/>
      <c r="DCO44" s="56"/>
      <c r="DCP44" s="57"/>
      <c r="DCQ44" s="57"/>
      <c r="DCR44" s="57"/>
      <c r="DCS44" s="56"/>
      <c r="DCT44" s="57"/>
      <c r="DCU44" s="57"/>
      <c r="DCV44" s="56"/>
      <c r="DCW44" s="57"/>
      <c r="DCX44" s="58"/>
      <c r="DCY44" s="56"/>
      <c r="DCZ44" s="57"/>
      <c r="DDA44" s="57"/>
      <c r="DDB44" s="57"/>
      <c r="DDC44" s="56"/>
      <c r="DDD44" s="57"/>
      <c r="DDE44" s="57"/>
      <c r="DDF44" s="56"/>
      <c r="DDG44" s="57"/>
      <c r="DDH44" s="58"/>
      <c r="DDI44" s="56"/>
      <c r="DDJ44" s="58"/>
      <c r="DDK44" s="57"/>
      <c r="DDL44" s="56"/>
      <c r="DDM44" s="57"/>
      <c r="DDN44" s="56"/>
      <c r="DDO44" s="56"/>
      <c r="DDP44" s="56"/>
      <c r="DDQ44" s="57"/>
      <c r="DDR44" s="57"/>
      <c r="DDS44" s="57"/>
      <c r="DDT44" s="57"/>
      <c r="DDU44" s="57"/>
      <c r="DDV44" s="57"/>
      <c r="DDW44" s="57"/>
      <c r="DDX44" s="57"/>
      <c r="DDY44" s="57"/>
      <c r="DDZ44" s="57"/>
      <c r="DEA44" s="57"/>
      <c r="DEB44" s="57"/>
      <c r="DEC44" s="57"/>
      <c r="DED44" s="57"/>
      <c r="DEE44" s="57"/>
      <c r="DEF44" s="57"/>
      <c r="DEG44" s="57"/>
      <c r="DEH44" s="57"/>
      <c r="DEI44" s="57"/>
      <c r="DEJ44" s="57"/>
      <c r="DEK44" s="57"/>
      <c r="DEL44" s="57"/>
      <c r="DEM44" s="57"/>
      <c r="DEN44" s="57"/>
      <c r="DEO44" s="57"/>
      <c r="DEP44" s="57"/>
      <c r="DEQ44" s="57"/>
      <c r="DER44" s="57"/>
      <c r="DES44" s="57"/>
      <c r="DET44" s="57"/>
      <c r="DEU44" s="57"/>
      <c r="DEV44" s="57"/>
      <c r="DEW44" s="57"/>
      <c r="DEX44" s="57"/>
      <c r="DEY44" s="57"/>
      <c r="DEZ44" s="57"/>
      <c r="DFA44" s="57"/>
      <c r="DFB44" s="58"/>
      <c r="DFC44" s="56"/>
      <c r="DFD44" s="57"/>
      <c r="DFE44" s="57"/>
      <c r="DFF44" s="57"/>
      <c r="DFG44" s="57"/>
      <c r="DFH44" s="57"/>
      <c r="DFI44" s="56"/>
      <c r="DFJ44" s="57"/>
      <c r="DFK44" s="57"/>
      <c r="DFL44" s="56"/>
      <c r="DFM44" s="57"/>
      <c r="DFN44" s="58"/>
      <c r="DFO44" s="56"/>
      <c r="DFP44" s="57"/>
      <c r="DFQ44" s="57"/>
      <c r="DFR44" s="57"/>
      <c r="DFS44" s="56"/>
      <c r="DFT44" s="57"/>
      <c r="DFU44" s="57"/>
      <c r="DFV44" s="56"/>
      <c r="DFW44" s="57"/>
      <c r="DFX44" s="58"/>
      <c r="DFY44" s="56"/>
      <c r="DFZ44" s="57"/>
      <c r="DGA44" s="57"/>
      <c r="DGB44" s="57"/>
      <c r="DGC44" s="56"/>
      <c r="DGD44" s="57"/>
      <c r="DGE44" s="57"/>
      <c r="DGF44" s="56"/>
      <c r="DGG44" s="57"/>
      <c r="DGH44" s="58"/>
      <c r="DGI44" s="56"/>
      <c r="DGJ44" s="57"/>
      <c r="DGK44" s="57"/>
      <c r="DGL44" s="57"/>
      <c r="DGM44" s="56"/>
      <c r="DGN44" s="57"/>
      <c r="DGO44" s="57"/>
      <c r="DGP44" s="56"/>
      <c r="DGQ44" s="57"/>
      <c r="DGR44" s="58"/>
      <c r="DGS44" s="56"/>
      <c r="DGT44" s="58"/>
      <c r="DGU44" s="57"/>
      <c r="DGV44" s="56"/>
      <c r="DGW44" s="57"/>
      <c r="DGX44" s="56"/>
      <c r="DGY44" s="56"/>
      <c r="DGZ44" s="56"/>
      <c r="DHA44" s="57"/>
      <c r="DHB44" s="57"/>
      <c r="DHC44" s="57"/>
      <c r="DHD44" s="57"/>
      <c r="DHE44" s="57"/>
      <c r="DHF44" s="57"/>
      <c r="DHG44" s="57"/>
      <c r="DHH44" s="57"/>
      <c r="DHI44" s="57"/>
      <c r="DHJ44" s="57"/>
      <c r="DHK44" s="57"/>
      <c r="DHL44" s="57"/>
      <c r="DHM44" s="57"/>
      <c r="DHN44" s="57"/>
      <c r="DHO44" s="57"/>
      <c r="DHP44" s="57"/>
      <c r="DHQ44" s="57"/>
      <c r="DHR44" s="57"/>
      <c r="DHS44" s="57"/>
      <c r="DHT44" s="57"/>
      <c r="DHU44" s="57"/>
      <c r="DHV44" s="57"/>
      <c r="DHW44" s="57"/>
      <c r="DHX44" s="57"/>
      <c r="DHY44" s="57"/>
      <c r="DHZ44" s="57"/>
      <c r="DIA44" s="57"/>
      <c r="DIB44" s="57"/>
      <c r="DIC44" s="57"/>
      <c r="DID44" s="57"/>
      <c r="DIE44" s="57"/>
      <c r="DIF44" s="57"/>
      <c r="DIG44" s="57"/>
      <c r="DIH44" s="57"/>
      <c r="DII44" s="57"/>
      <c r="DIJ44" s="57"/>
      <c r="DIK44" s="57"/>
      <c r="DIL44" s="58"/>
      <c r="DIM44" s="56"/>
      <c r="DIN44" s="57"/>
      <c r="DIO44" s="57"/>
      <c r="DIP44" s="57"/>
      <c r="DIQ44" s="57"/>
      <c r="DIR44" s="57"/>
      <c r="DIS44" s="56"/>
      <c r="DIT44" s="57"/>
      <c r="DIU44" s="57"/>
      <c r="DIV44" s="56"/>
      <c r="DIW44" s="57"/>
      <c r="DIX44" s="58"/>
      <c r="DIY44" s="56"/>
      <c r="DIZ44" s="57"/>
      <c r="DJA44" s="57"/>
      <c r="DJB44" s="57"/>
      <c r="DJC44" s="56"/>
      <c r="DJD44" s="57"/>
      <c r="DJE44" s="57"/>
      <c r="DJF44" s="56"/>
      <c r="DJG44" s="57"/>
      <c r="DJH44" s="58"/>
      <c r="DJI44" s="56"/>
      <c r="DJJ44" s="57"/>
      <c r="DJK44" s="57"/>
      <c r="DJL44" s="57"/>
      <c r="DJM44" s="56"/>
      <c r="DJN44" s="57"/>
      <c r="DJO44" s="57"/>
      <c r="DJP44" s="56"/>
      <c r="DJQ44" s="57"/>
      <c r="DJR44" s="58"/>
      <c r="DJS44" s="56"/>
      <c r="DJT44" s="57"/>
      <c r="DJU44" s="57"/>
      <c r="DJV44" s="57"/>
      <c r="DJW44" s="56"/>
      <c r="DJX44" s="57"/>
      <c r="DJY44" s="57"/>
      <c r="DJZ44" s="56"/>
      <c r="DKA44" s="57"/>
      <c r="DKB44" s="58"/>
      <c r="DKC44" s="56"/>
      <c r="DKD44" s="58"/>
      <c r="DKE44" s="57"/>
      <c r="DKF44" s="56"/>
      <c r="DKG44" s="57"/>
      <c r="DKH44" s="56"/>
      <c r="DKI44" s="56"/>
      <c r="DKJ44" s="56"/>
      <c r="DKK44" s="57"/>
      <c r="DKL44" s="57"/>
      <c r="DKM44" s="57"/>
      <c r="DKN44" s="57"/>
      <c r="DKO44" s="57"/>
      <c r="DKP44" s="57"/>
      <c r="DKQ44" s="57"/>
      <c r="DKR44" s="57"/>
      <c r="DKS44" s="57"/>
      <c r="DKT44" s="57"/>
      <c r="DKU44" s="57"/>
      <c r="DKV44" s="57"/>
      <c r="DKW44" s="57"/>
      <c r="DKX44" s="57"/>
      <c r="DKY44" s="57"/>
      <c r="DKZ44" s="57"/>
      <c r="DLA44" s="57"/>
      <c r="DLB44" s="57"/>
      <c r="DLC44" s="57"/>
      <c r="DLD44" s="57"/>
      <c r="DLE44" s="57"/>
      <c r="DLF44" s="57"/>
      <c r="DLG44" s="57"/>
      <c r="DLH44" s="57"/>
      <c r="DLI44" s="57"/>
      <c r="DLJ44" s="57"/>
      <c r="DLK44" s="57"/>
      <c r="DLL44" s="57"/>
      <c r="DLM44" s="57"/>
      <c r="DLN44" s="57"/>
      <c r="DLO44" s="57"/>
      <c r="DLP44" s="57"/>
      <c r="DLQ44" s="57"/>
      <c r="DLR44" s="57"/>
      <c r="DLS44" s="57"/>
      <c r="DLT44" s="57"/>
      <c r="DLU44" s="57"/>
      <c r="DLV44" s="58"/>
      <c r="DLW44" s="56"/>
      <c r="DLX44" s="57"/>
      <c r="DLY44" s="57"/>
      <c r="DLZ44" s="57"/>
      <c r="DMA44" s="57"/>
      <c r="DMB44" s="57"/>
      <c r="DMC44" s="56"/>
      <c r="DMD44" s="57"/>
      <c r="DME44" s="57"/>
      <c r="DMF44" s="56"/>
      <c r="DMG44" s="57"/>
      <c r="DMH44" s="58"/>
      <c r="DMI44" s="56"/>
      <c r="DMJ44" s="57"/>
      <c r="DMK44" s="57"/>
      <c r="DML44" s="57"/>
      <c r="DMM44" s="56"/>
      <c r="DMN44" s="57"/>
      <c r="DMO44" s="57"/>
      <c r="DMP44" s="56"/>
      <c r="DMQ44" s="57"/>
      <c r="DMR44" s="58"/>
      <c r="DMS44" s="56"/>
      <c r="DMT44" s="57"/>
      <c r="DMU44" s="57"/>
      <c r="DMV44" s="57"/>
      <c r="DMW44" s="56"/>
      <c r="DMX44" s="57"/>
      <c r="DMY44" s="57"/>
      <c r="DMZ44" s="56"/>
      <c r="DNA44" s="57"/>
      <c r="DNB44" s="58"/>
      <c r="DNC44" s="56"/>
      <c r="DND44" s="57"/>
      <c r="DNE44" s="57"/>
      <c r="DNF44" s="57"/>
      <c r="DNG44" s="56"/>
      <c r="DNH44" s="57"/>
      <c r="DNI44" s="57"/>
      <c r="DNJ44" s="56"/>
      <c r="DNK44" s="57"/>
      <c r="DNL44" s="58"/>
      <c r="DNM44" s="56"/>
      <c r="DNN44" s="58"/>
      <c r="DNO44" s="57"/>
      <c r="DNP44" s="56"/>
      <c r="DNQ44" s="57"/>
      <c r="DNR44" s="56"/>
      <c r="DNS44" s="56"/>
      <c r="DNT44" s="56"/>
      <c r="DNU44" s="57"/>
      <c r="DNV44" s="57"/>
      <c r="DNW44" s="57"/>
      <c r="DNX44" s="57"/>
      <c r="DNY44" s="57"/>
      <c r="DNZ44" s="57"/>
      <c r="DOA44" s="57"/>
      <c r="DOB44" s="57"/>
      <c r="DOC44" s="57"/>
      <c r="DOD44" s="57"/>
      <c r="DOE44" s="57"/>
      <c r="DOF44" s="57"/>
      <c r="DOG44" s="57"/>
      <c r="DOH44" s="57"/>
      <c r="DOI44" s="57"/>
      <c r="DOJ44" s="57"/>
      <c r="DOK44" s="57"/>
      <c r="DOL44" s="57"/>
      <c r="DOM44" s="57"/>
      <c r="DON44" s="57"/>
      <c r="DOO44" s="57"/>
      <c r="DOP44" s="57"/>
      <c r="DOQ44" s="57"/>
      <c r="DOR44" s="57"/>
      <c r="DOS44" s="57"/>
      <c r="DOT44" s="57"/>
      <c r="DOU44" s="57"/>
      <c r="DOV44" s="57"/>
      <c r="DOW44" s="57"/>
      <c r="DOX44" s="57"/>
      <c r="DOY44" s="57"/>
      <c r="DOZ44" s="57"/>
      <c r="DPA44" s="57"/>
      <c r="DPB44" s="57"/>
      <c r="DPC44" s="57"/>
      <c r="DPD44" s="57"/>
      <c r="DPE44" s="57"/>
      <c r="DPF44" s="58"/>
      <c r="DPG44" s="56"/>
      <c r="DPH44" s="57"/>
      <c r="DPI44" s="57"/>
      <c r="DPJ44" s="57"/>
      <c r="DPK44" s="57"/>
      <c r="DPL44" s="57"/>
      <c r="DPM44" s="56"/>
      <c r="DPN44" s="57"/>
      <c r="DPO44" s="57"/>
      <c r="DPP44" s="56"/>
      <c r="DPQ44" s="57"/>
      <c r="DPR44" s="58"/>
      <c r="DPS44" s="56"/>
      <c r="DPT44" s="57"/>
      <c r="DPU44" s="57"/>
      <c r="DPV44" s="57"/>
      <c r="DPW44" s="56"/>
      <c r="DPX44" s="57"/>
      <c r="DPY44" s="57"/>
      <c r="DPZ44" s="56"/>
      <c r="DQA44" s="57"/>
      <c r="DQB44" s="58"/>
      <c r="DQC44" s="56"/>
      <c r="DQD44" s="57"/>
      <c r="DQE44" s="57"/>
      <c r="DQF44" s="57"/>
      <c r="DQG44" s="56"/>
      <c r="DQH44" s="57"/>
      <c r="DQI44" s="57"/>
      <c r="DQJ44" s="56"/>
      <c r="DQK44" s="57"/>
      <c r="DQL44" s="58"/>
      <c r="DQM44" s="56"/>
      <c r="DQN44" s="57"/>
      <c r="DQO44" s="57"/>
      <c r="DQP44" s="57"/>
      <c r="DQQ44" s="56"/>
      <c r="DQR44" s="57"/>
      <c r="DQS44" s="57"/>
      <c r="DQT44" s="56"/>
      <c r="DQU44" s="57"/>
      <c r="DQV44" s="58"/>
      <c r="DQW44" s="56"/>
      <c r="DQX44" s="58"/>
      <c r="DQY44" s="57"/>
      <c r="DQZ44" s="56"/>
      <c r="DRA44" s="57"/>
      <c r="DRB44" s="56"/>
      <c r="DRC44" s="56"/>
      <c r="DRD44" s="56"/>
      <c r="DRE44" s="57"/>
      <c r="DRF44" s="57"/>
      <c r="DRG44" s="57"/>
      <c r="DRH44" s="57"/>
      <c r="DRI44" s="57"/>
      <c r="DRJ44" s="57"/>
      <c r="DRK44" s="57"/>
      <c r="DRL44" s="57"/>
      <c r="DRM44" s="57"/>
      <c r="DRN44" s="57"/>
      <c r="DRO44" s="57"/>
      <c r="DRP44" s="57"/>
      <c r="DRQ44" s="57"/>
      <c r="DRR44" s="57"/>
      <c r="DRS44" s="57"/>
      <c r="DRT44" s="57"/>
      <c r="DRU44" s="57"/>
      <c r="DRV44" s="57"/>
      <c r="DRW44" s="57"/>
      <c r="DRX44" s="57"/>
      <c r="DRY44" s="57"/>
      <c r="DRZ44" s="57"/>
      <c r="DSA44" s="57"/>
      <c r="DSB44" s="57"/>
      <c r="DSC44" s="57"/>
      <c r="DSD44" s="57"/>
      <c r="DSE44" s="57"/>
      <c r="DSF44" s="57"/>
      <c r="DSG44" s="57"/>
      <c r="DSH44" s="57"/>
      <c r="DSI44" s="57"/>
      <c r="DSJ44" s="57"/>
      <c r="DSK44" s="57"/>
      <c r="DSL44" s="57"/>
      <c r="DSM44" s="57"/>
      <c r="DSN44" s="57"/>
      <c r="DSO44" s="57"/>
      <c r="DSP44" s="58"/>
      <c r="DSQ44" s="56"/>
      <c r="DSR44" s="57"/>
      <c r="DSS44" s="57"/>
      <c r="DST44" s="57"/>
      <c r="DSU44" s="57"/>
      <c r="DSV44" s="57"/>
      <c r="DSW44" s="56"/>
      <c r="DSX44" s="57"/>
      <c r="DSY44" s="57"/>
      <c r="DSZ44" s="56"/>
      <c r="DTA44" s="57"/>
      <c r="DTB44" s="58"/>
      <c r="DTC44" s="56"/>
      <c r="DTD44" s="57"/>
      <c r="DTE44" s="57"/>
      <c r="DTF44" s="57"/>
      <c r="DTG44" s="56"/>
      <c r="DTH44" s="57"/>
      <c r="DTI44" s="57"/>
      <c r="DTJ44" s="56"/>
      <c r="DTK44" s="57"/>
      <c r="DTL44" s="58"/>
      <c r="DTM44" s="56"/>
      <c r="DTN44" s="57"/>
      <c r="DTO44" s="57"/>
      <c r="DTP44" s="57"/>
      <c r="DTQ44" s="56"/>
      <c r="DTR44" s="57"/>
      <c r="DTS44" s="57"/>
      <c r="DTT44" s="56"/>
      <c r="DTU44" s="57"/>
      <c r="DTV44" s="58"/>
      <c r="DTW44" s="56"/>
      <c r="DTX44" s="57"/>
      <c r="DTY44" s="57"/>
      <c r="DTZ44" s="57"/>
      <c r="DUA44" s="56"/>
      <c r="DUB44" s="57"/>
      <c r="DUC44" s="57"/>
      <c r="DUD44" s="56"/>
      <c r="DUE44" s="57"/>
      <c r="DUF44" s="58"/>
      <c r="DUG44" s="56"/>
      <c r="DUH44" s="58"/>
      <c r="DUI44" s="57"/>
      <c r="DUJ44" s="56"/>
      <c r="DUK44" s="57"/>
      <c r="DUL44" s="56"/>
      <c r="DUM44" s="56"/>
      <c r="DUN44" s="56"/>
      <c r="DUO44" s="57"/>
      <c r="DUP44" s="57"/>
      <c r="DUQ44" s="57"/>
      <c r="DUR44" s="57"/>
      <c r="DUS44" s="57"/>
      <c r="DUT44" s="57"/>
      <c r="DUU44" s="57"/>
      <c r="DUV44" s="57"/>
      <c r="DUW44" s="57"/>
      <c r="DUX44" s="57"/>
      <c r="DUY44" s="57"/>
      <c r="DUZ44" s="57"/>
      <c r="DVA44" s="57"/>
      <c r="DVB44" s="57"/>
      <c r="DVC44" s="57"/>
      <c r="DVD44" s="57"/>
      <c r="DVE44" s="57"/>
      <c r="DVF44" s="57"/>
      <c r="DVG44" s="57"/>
      <c r="DVH44" s="57"/>
      <c r="DVI44" s="57"/>
      <c r="DVJ44" s="57"/>
      <c r="DVK44" s="57"/>
      <c r="DVL44" s="57"/>
      <c r="DVM44" s="57"/>
      <c r="DVN44" s="57"/>
      <c r="DVO44" s="57"/>
      <c r="DVP44" s="57"/>
      <c r="DVQ44" s="57"/>
      <c r="DVR44" s="57"/>
      <c r="DVS44" s="57"/>
      <c r="DVT44" s="57"/>
      <c r="DVU44" s="57"/>
      <c r="DVV44" s="57"/>
      <c r="DVW44" s="57"/>
      <c r="DVX44" s="57"/>
      <c r="DVY44" s="57"/>
      <c r="DVZ44" s="58"/>
      <c r="DWA44" s="56"/>
      <c r="DWB44" s="57"/>
      <c r="DWC44" s="57"/>
      <c r="DWD44" s="57"/>
      <c r="DWE44" s="57"/>
      <c r="DWF44" s="57"/>
      <c r="DWG44" s="56"/>
      <c r="DWH44" s="57"/>
      <c r="DWI44" s="57"/>
      <c r="DWJ44" s="56"/>
      <c r="DWK44" s="57"/>
      <c r="DWL44" s="58"/>
      <c r="DWM44" s="56"/>
      <c r="DWN44" s="57"/>
      <c r="DWO44" s="57"/>
      <c r="DWP44" s="57"/>
      <c r="DWQ44" s="56"/>
      <c r="DWR44" s="57"/>
      <c r="DWS44" s="57"/>
      <c r="DWT44" s="56"/>
      <c r="DWU44" s="57"/>
      <c r="DWV44" s="58"/>
      <c r="DWW44" s="56"/>
      <c r="DWX44" s="57"/>
      <c r="DWY44" s="57"/>
      <c r="DWZ44" s="57"/>
      <c r="DXA44" s="56"/>
      <c r="DXB44" s="57"/>
      <c r="DXC44" s="57"/>
      <c r="DXD44" s="56"/>
      <c r="DXE44" s="57"/>
      <c r="DXF44" s="58"/>
      <c r="DXG44" s="56"/>
      <c r="DXH44" s="57"/>
      <c r="DXI44" s="57"/>
      <c r="DXJ44" s="57"/>
      <c r="DXK44" s="56"/>
      <c r="DXL44" s="57"/>
      <c r="DXM44" s="57"/>
      <c r="DXN44" s="56"/>
      <c r="DXO44" s="57"/>
      <c r="DXP44" s="58"/>
      <c r="DXQ44" s="56"/>
      <c r="DXR44" s="58"/>
      <c r="DXS44" s="57"/>
      <c r="DXT44" s="56"/>
      <c r="DXU44" s="57"/>
      <c r="DXV44" s="56"/>
      <c r="DXW44" s="56"/>
      <c r="DXX44" s="56"/>
      <c r="DXY44" s="57"/>
      <c r="DXZ44" s="57"/>
      <c r="DYA44" s="57"/>
      <c r="DYB44" s="57"/>
      <c r="DYC44" s="57"/>
      <c r="DYD44" s="57"/>
      <c r="DYE44" s="57"/>
      <c r="DYF44" s="57"/>
      <c r="DYG44" s="57"/>
      <c r="DYH44" s="57"/>
      <c r="DYI44" s="57"/>
      <c r="DYJ44" s="57"/>
      <c r="DYK44" s="57"/>
      <c r="DYL44" s="57"/>
      <c r="DYM44" s="57"/>
      <c r="DYN44" s="57"/>
      <c r="DYO44" s="57"/>
      <c r="DYP44" s="57"/>
      <c r="DYQ44" s="57"/>
      <c r="DYR44" s="57"/>
      <c r="DYS44" s="57"/>
      <c r="DYT44" s="57"/>
      <c r="DYU44" s="57"/>
      <c r="DYV44" s="57"/>
      <c r="DYW44" s="57"/>
      <c r="DYX44" s="57"/>
      <c r="DYY44" s="57"/>
      <c r="DYZ44" s="57"/>
      <c r="DZA44" s="57"/>
      <c r="DZB44" s="57"/>
      <c r="DZC44" s="57"/>
      <c r="DZD44" s="57"/>
      <c r="DZE44" s="57"/>
      <c r="DZF44" s="57"/>
      <c r="DZG44" s="57"/>
      <c r="DZH44" s="57"/>
      <c r="DZI44" s="57"/>
      <c r="DZJ44" s="58"/>
      <c r="DZK44" s="56"/>
      <c r="DZL44" s="57"/>
      <c r="DZM44" s="57"/>
      <c r="DZN44" s="57"/>
      <c r="DZO44" s="57"/>
      <c r="DZP44" s="57"/>
      <c r="DZQ44" s="56"/>
      <c r="DZR44" s="57"/>
      <c r="DZS44" s="57"/>
      <c r="DZT44" s="56"/>
      <c r="DZU44" s="57"/>
      <c r="DZV44" s="58"/>
      <c r="DZW44" s="56"/>
      <c r="DZX44" s="57"/>
      <c r="DZY44" s="57"/>
      <c r="DZZ44" s="57"/>
      <c r="EAA44" s="56"/>
      <c r="EAB44" s="57"/>
      <c r="EAC44" s="57"/>
      <c r="EAD44" s="56"/>
      <c r="EAE44" s="57"/>
      <c r="EAF44" s="58"/>
      <c r="EAG44" s="56"/>
      <c r="EAH44" s="57"/>
      <c r="EAI44" s="57"/>
      <c r="EAJ44" s="57"/>
      <c r="EAK44" s="56"/>
      <c r="EAL44" s="57"/>
      <c r="EAM44" s="57"/>
      <c r="EAN44" s="56"/>
      <c r="EAO44" s="57"/>
      <c r="EAP44" s="58"/>
      <c r="EAQ44" s="56"/>
      <c r="EAR44" s="57"/>
      <c r="EAS44" s="57"/>
      <c r="EAT44" s="57"/>
      <c r="EAU44" s="56"/>
      <c r="EAV44" s="57"/>
      <c r="EAW44" s="57"/>
      <c r="EAX44" s="56"/>
      <c r="EAY44" s="57"/>
      <c r="EAZ44" s="58"/>
      <c r="EBA44" s="56"/>
      <c r="EBB44" s="58"/>
      <c r="EBC44" s="57"/>
      <c r="EBD44" s="56"/>
      <c r="EBE44" s="57"/>
      <c r="EBF44" s="56"/>
      <c r="EBG44" s="56"/>
      <c r="EBH44" s="56"/>
      <c r="EBI44" s="57"/>
      <c r="EBJ44" s="57"/>
      <c r="EBK44" s="57"/>
      <c r="EBL44" s="57"/>
      <c r="EBM44" s="57"/>
      <c r="EBN44" s="57"/>
      <c r="EBO44" s="57"/>
      <c r="EBP44" s="57"/>
      <c r="EBQ44" s="57"/>
      <c r="EBR44" s="57"/>
      <c r="EBS44" s="57"/>
      <c r="EBT44" s="57"/>
      <c r="EBU44" s="57"/>
      <c r="EBV44" s="57"/>
      <c r="EBW44" s="57"/>
      <c r="EBX44" s="57"/>
      <c r="EBY44" s="57"/>
      <c r="EBZ44" s="57"/>
      <c r="ECA44" s="57"/>
      <c r="ECB44" s="57"/>
      <c r="ECC44" s="57"/>
      <c r="ECD44" s="57"/>
      <c r="ECE44" s="57"/>
      <c r="ECF44" s="57"/>
      <c r="ECG44" s="57"/>
      <c r="ECH44" s="57"/>
      <c r="ECI44" s="57"/>
      <c r="ECJ44" s="57"/>
      <c r="ECK44" s="57"/>
      <c r="ECL44" s="57"/>
      <c r="ECM44" s="57"/>
      <c r="ECN44" s="57"/>
      <c r="ECO44" s="57"/>
      <c r="ECP44" s="57"/>
      <c r="ECQ44" s="57"/>
      <c r="ECR44" s="57"/>
      <c r="ECS44" s="57"/>
      <c r="ECT44" s="58"/>
      <c r="ECU44" s="56"/>
      <c r="ECV44" s="57"/>
      <c r="ECW44" s="57"/>
      <c r="ECX44" s="57"/>
      <c r="ECY44" s="57"/>
      <c r="ECZ44" s="57"/>
      <c r="EDA44" s="56"/>
      <c r="EDB44" s="57"/>
      <c r="EDC44" s="57"/>
      <c r="EDD44" s="56"/>
      <c r="EDE44" s="57"/>
      <c r="EDF44" s="58"/>
      <c r="EDG44" s="56"/>
      <c r="EDH44" s="57"/>
      <c r="EDI44" s="57"/>
      <c r="EDJ44" s="57"/>
      <c r="EDK44" s="56"/>
      <c r="EDL44" s="57"/>
      <c r="EDM44" s="57"/>
      <c r="EDN44" s="56"/>
      <c r="EDO44" s="57"/>
      <c r="EDP44" s="58"/>
      <c r="EDQ44" s="56"/>
      <c r="EDR44" s="57"/>
      <c r="EDS44" s="57"/>
      <c r="EDT44" s="57"/>
      <c r="EDU44" s="56"/>
      <c r="EDV44" s="57"/>
      <c r="EDW44" s="57"/>
      <c r="EDX44" s="56"/>
      <c r="EDY44" s="57"/>
      <c r="EDZ44" s="58"/>
      <c r="EEA44" s="56"/>
      <c r="EEB44" s="57"/>
      <c r="EEC44" s="57"/>
      <c r="EED44" s="57"/>
      <c r="EEE44" s="56"/>
      <c r="EEF44" s="57"/>
      <c r="EEG44" s="57"/>
      <c r="EEH44" s="56"/>
      <c r="EEI44" s="57"/>
      <c r="EEJ44" s="58"/>
      <c r="EEK44" s="56"/>
      <c r="EEL44" s="58"/>
      <c r="EEM44" s="57"/>
      <c r="EEN44" s="56"/>
      <c r="EEO44" s="57"/>
      <c r="EEP44" s="56"/>
      <c r="EEQ44" s="56"/>
      <c r="EER44" s="56"/>
      <c r="EES44" s="57"/>
      <c r="EET44" s="57"/>
      <c r="EEU44" s="57"/>
      <c r="EEV44" s="57"/>
      <c r="EEW44" s="57"/>
      <c r="EEX44" s="57"/>
      <c r="EEY44" s="57"/>
      <c r="EEZ44" s="57"/>
      <c r="EFA44" s="57"/>
      <c r="EFB44" s="57"/>
      <c r="EFC44" s="57"/>
      <c r="EFD44" s="57"/>
      <c r="EFE44" s="57"/>
      <c r="EFF44" s="57"/>
      <c r="EFG44" s="57"/>
      <c r="EFH44" s="57"/>
      <c r="EFI44" s="57"/>
      <c r="EFJ44" s="57"/>
      <c r="EFK44" s="57"/>
      <c r="EFL44" s="57"/>
      <c r="EFM44" s="57"/>
      <c r="EFN44" s="57"/>
      <c r="EFO44" s="57"/>
      <c r="EFP44" s="57"/>
      <c r="EFQ44" s="57"/>
      <c r="EFR44" s="57"/>
      <c r="EFS44" s="57"/>
      <c r="EFT44" s="57"/>
      <c r="EFU44" s="57"/>
      <c r="EFV44" s="57"/>
      <c r="EFW44" s="57"/>
      <c r="EFX44" s="57"/>
      <c r="EFY44" s="57"/>
      <c r="EFZ44" s="57"/>
      <c r="EGA44" s="57"/>
      <c r="EGB44" s="57"/>
      <c r="EGC44" s="57"/>
      <c r="EGD44" s="58"/>
      <c r="EGE44" s="56"/>
      <c r="EGF44" s="57"/>
      <c r="EGG44" s="57"/>
      <c r="EGH44" s="57"/>
      <c r="EGI44" s="57"/>
      <c r="EGJ44" s="57"/>
      <c r="EGK44" s="56"/>
      <c r="EGL44" s="57"/>
      <c r="EGM44" s="57"/>
      <c r="EGN44" s="56"/>
      <c r="EGO44" s="57"/>
      <c r="EGP44" s="58"/>
      <c r="EGQ44" s="56"/>
      <c r="EGR44" s="57"/>
      <c r="EGS44" s="57"/>
      <c r="EGT44" s="57"/>
      <c r="EGU44" s="56"/>
      <c r="EGV44" s="57"/>
      <c r="EGW44" s="57"/>
      <c r="EGX44" s="56"/>
      <c r="EGY44" s="57"/>
      <c r="EGZ44" s="58"/>
      <c r="EHA44" s="56"/>
      <c r="EHB44" s="57"/>
      <c r="EHC44" s="57"/>
      <c r="EHD44" s="57"/>
      <c r="EHE44" s="56"/>
      <c r="EHF44" s="57"/>
      <c r="EHG44" s="57"/>
      <c r="EHH44" s="56"/>
      <c r="EHI44" s="57"/>
      <c r="EHJ44" s="58"/>
      <c r="EHK44" s="56"/>
      <c r="EHL44" s="57"/>
      <c r="EHM44" s="57"/>
      <c r="EHN44" s="57"/>
      <c r="EHO44" s="56"/>
      <c r="EHP44" s="57"/>
      <c r="EHQ44" s="57"/>
      <c r="EHR44" s="56"/>
      <c r="EHS44" s="57"/>
      <c r="EHT44" s="58"/>
      <c r="EHU44" s="56"/>
      <c r="EHV44" s="58"/>
      <c r="EHW44" s="57"/>
      <c r="EHX44" s="56"/>
      <c r="EHY44" s="57"/>
      <c r="EHZ44" s="56"/>
      <c r="EIA44" s="56"/>
      <c r="EIB44" s="56"/>
      <c r="EIC44" s="57"/>
      <c r="EID44" s="57"/>
      <c r="EIE44" s="57"/>
      <c r="EIF44" s="57"/>
      <c r="EIG44" s="57"/>
      <c r="EIH44" s="57"/>
      <c r="EII44" s="57"/>
      <c r="EIJ44" s="57"/>
      <c r="EIK44" s="57"/>
      <c r="EIL44" s="57"/>
      <c r="EIM44" s="57"/>
      <c r="EIN44" s="57"/>
      <c r="EIO44" s="57"/>
      <c r="EIP44" s="57"/>
      <c r="EIQ44" s="57"/>
      <c r="EIR44" s="57"/>
      <c r="EIS44" s="57"/>
      <c r="EIT44" s="57"/>
      <c r="EIU44" s="57"/>
      <c r="EIV44" s="57"/>
      <c r="EIW44" s="57"/>
      <c r="EIX44" s="57"/>
      <c r="EIY44" s="57"/>
      <c r="EIZ44" s="57"/>
      <c r="EJA44" s="57"/>
      <c r="EJB44" s="57"/>
      <c r="EJC44" s="57"/>
      <c r="EJD44" s="57"/>
      <c r="EJE44" s="57"/>
      <c r="EJF44" s="57"/>
      <c r="EJG44" s="57"/>
      <c r="EJH44" s="57"/>
      <c r="EJI44" s="57"/>
      <c r="EJJ44" s="57"/>
      <c r="EJK44" s="57"/>
      <c r="EJL44" s="57"/>
      <c r="EJM44" s="57"/>
      <c r="EJN44" s="58"/>
      <c r="EJO44" s="56"/>
      <c r="EJP44" s="57"/>
      <c r="EJQ44" s="57"/>
      <c r="EJR44" s="57"/>
      <c r="EJS44" s="57"/>
      <c r="EJT44" s="57"/>
      <c r="EJU44" s="56"/>
      <c r="EJV44" s="57"/>
      <c r="EJW44" s="57"/>
      <c r="EJX44" s="56"/>
      <c r="EJY44" s="57"/>
      <c r="EJZ44" s="58"/>
      <c r="EKA44" s="56"/>
      <c r="EKB44" s="57"/>
      <c r="EKC44" s="57"/>
      <c r="EKD44" s="57"/>
      <c r="EKE44" s="56"/>
      <c r="EKF44" s="57"/>
      <c r="EKG44" s="57"/>
      <c r="EKH44" s="56"/>
      <c r="EKI44" s="57"/>
      <c r="EKJ44" s="58"/>
      <c r="EKK44" s="56"/>
      <c r="EKL44" s="57"/>
      <c r="EKM44" s="57"/>
      <c r="EKN44" s="57"/>
      <c r="EKO44" s="56"/>
      <c r="EKP44" s="57"/>
      <c r="EKQ44" s="57"/>
      <c r="EKR44" s="56"/>
      <c r="EKS44" s="57"/>
      <c r="EKT44" s="58"/>
      <c r="EKU44" s="56"/>
      <c r="EKV44" s="57"/>
      <c r="EKW44" s="57"/>
      <c r="EKX44" s="57"/>
      <c r="EKY44" s="56"/>
      <c r="EKZ44" s="57"/>
      <c r="ELA44" s="57"/>
      <c r="ELB44" s="56"/>
      <c r="ELC44" s="57"/>
      <c r="ELD44" s="58"/>
      <c r="ELE44" s="56"/>
      <c r="ELF44" s="58"/>
      <c r="ELG44" s="57"/>
      <c r="ELH44" s="56"/>
      <c r="ELI44" s="57"/>
      <c r="ELJ44" s="56"/>
      <c r="ELK44" s="56"/>
      <c r="ELL44" s="56"/>
      <c r="ELM44" s="57"/>
      <c r="ELN44" s="57"/>
      <c r="ELO44" s="57"/>
      <c r="ELP44" s="57"/>
      <c r="ELQ44" s="57"/>
      <c r="ELR44" s="57"/>
      <c r="ELS44" s="57"/>
      <c r="ELT44" s="57"/>
      <c r="ELU44" s="57"/>
      <c r="ELV44" s="57"/>
      <c r="ELW44" s="57"/>
      <c r="ELX44" s="57"/>
      <c r="ELY44" s="57"/>
      <c r="ELZ44" s="57"/>
      <c r="EMA44" s="57"/>
      <c r="EMB44" s="57"/>
      <c r="EMC44" s="57"/>
      <c r="EMD44" s="57"/>
      <c r="EME44" s="57"/>
      <c r="EMF44" s="57"/>
      <c r="EMG44" s="57"/>
      <c r="EMH44" s="57"/>
      <c r="EMI44" s="57"/>
      <c r="EMJ44" s="57"/>
      <c r="EMK44" s="57"/>
      <c r="EML44" s="57"/>
      <c r="EMM44" s="57"/>
      <c r="EMN44" s="57"/>
      <c r="EMO44" s="57"/>
      <c r="EMP44" s="57"/>
      <c r="EMQ44" s="57"/>
      <c r="EMR44" s="57"/>
      <c r="EMS44" s="57"/>
      <c r="EMT44" s="57"/>
      <c r="EMU44" s="57"/>
      <c r="EMV44" s="57"/>
      <c r="EMW44" s="57"/>
      <c r="EMX44" s="58"/>
      <c r="EMY44" s="56"/>
      <c r="EMZ44" s="57"/>
      <c r="ENA44" s="57"/>
      <c r="ENB44" s="57"/>
      <c r="ENC44" s="57"/>
      <c r="END44" s="57"/>
      <c r="ENE44" s="56"/>
      <c r="ENF44" s="57"/>
      <c r="ENG44" s="57"/>
      <c r="ENH44" s="56"/>
      <c r="ENI44" s="57"/>
      <c r="ENJ44" s="58"/>
      <c r="ENK44" s="56"/>
      <c r="ENL44" s="57"/>
      <c r="ENM44" s="57"/>
      <c r="ENN44" s="57"/>
      <c r="ENO44" s="56"/>
      <c r="ENP44" s="57"/>
      <c r="ENQ44" s="57"/>
      <c r="ENR44" s="56"/>
      <c r="ENS44" s="57"/>
      <c r="ENT44" s="58"/>
      <c r="ENU44" s="56"/>
      <c r="ENV44" s="57"/>
      <c r="ENW44" s="57"/>
      <c r="ENX44" s="57"/>
      <c r="ENY44" s="56"/>
      <c r="ENZ44" s="57"/>
      <c r="EOA44" s="57"/>
      <c r="EOB44" s="56"/>
      <c r="EOC44" s="57"/>
      <c r="EOD44" s="58"/>
      <c r="EOE44" s="56"/>
      <c r="EOF44" s="57"/>
      <c r="EOG44" s="57"/>
      <c r="EOH44" s="57"/>
      <c r="EOI44" s="56"/>
      <c r="EOJ44" s="57"/>
      <c r="EOK44" s="57"/>
      <c r="EOL44" s="56"/>
      <c r="EOM44" s="57"/>
      <c r="EON44" s="58"/>
      <c r="EOO44" s="56" t="str">
        <f t="shared" si="149"/>
        <v xml:space="preserve"> </v>
      </c>
      <c r="EOP44" s="58"/>
      <c r="EOQ44" s="57"/>
      <c r="EOR44" s="56"/>
      <c r="EOS44" s="57"/>
      <c r="EOT44" s="56"/>
      <c r="EOU44" s="56"/>
      <c r="EOV44" s="56"/>
      <c r="EOW44" s="57"/>
      <c r="EOX44" s="57"/>
      <c r="EOY44" s="57"/>
      <c r="EOZ44" s="57"/>
      <c r="EPA44" s="57"/>
      <c r="EPB44" s="57"/>
      <c r="EPC44" s="57"/>
      <c r="EPD44" s="57"/>
      <c r="EPE44" s="57"/>
      <c r="EPF44" s="57"/>
      <c r="EPG44" s="57"/>
      <c r="EPH44" s="57"/>
      <c r="EPI44" s="57"/>
      <c r="EPJ44" s="57"/>
      <c r="EPK44" s="57"/>
      <c r="EPL44" s="57"/>
      <c r="EPM44" s="57"/>
      <c r="EPN44" s="57"/>
      <c r="EPO44" s="57"/>
      <c r="EPP44" s="57"/>
      <c r="EPQ44" s="57"/>
      <c r="EPR44" s="57"/>
      <c r="EPS44" s="57"/>
      <c r="EPT44" s="57"/>
      <c r="EPU44" s="57"/>
      <c r="EPV44" s="57"/>
      <c r="EPW44" s="57"/>
      <c r="EPX44" s="57"/>
      <c r="EPY44" s="57"/>
      <c r="EPZ44" s="57"/>
      <c r="EQA44" s="57"/>
      <c r="EQB44" s="57"/>
      <c r="EQC44" s="57"/>
      <c r="EQD44" s="57"/>
      <c r="EQE44" s="57"/>
      <c r="EQF44" s="57"/>
      <c r="EQG44" s="57"/>
      <c r="EQH44" s="58"/>
      <c r="EQI44" s="56"/>
      <c r="EQJ44" s="57"/>
      <c r="EQK44" s="57"/>
      <c r="EQL44" s="57"/>
      <c r="EQM44" s="57"/>
      <c r="EQN44" s="57"/>
      <c r="EQO44" s="56"/>
      <c r="EQP44" s="57"/>
      <c r="EQQ44" s="57"/>
      <c r="EQR44" s="56"/>
      <c r="EQS44" s="57"/>
      <c r="EQT44" s="58"/>
      <c r="EQU44" s="56"/>
      <c r="EQV44" s="57"/>
      <c r="EQW44" s="57"/>
      <c r="EQX44" s="57"/>
      <c r="EQY44" s="56"/>
      <c r="EQZ44" s="57"/>
      <c r="ERA44" s="57"/>
      <c r="ERB44" s="56"/>
      <c r="ERC44" s="57"/>
      <c r="ERD44" s="58"/>
      <c r="ERE44" s="56"/>
      <c r="ERF44" s="57"/>
      <c r="ERG44" s="57"/>
      <c r="ERH44" s="57"/>
      <c r="ERI44" s="56"/>
      <c r="ERJ44" s="57"/>
      <c r="ERK44" s="57"/>
      <c r="ERL44" s="56"/>
      <c r="ERM44" s="57"/>
      <c r="ERN44" s="58"/>
      <c r="ERO44" s="56"/>
      <c r="ERP44" s="57"/>
      <c r="ERQ44" s="57"/>
      <c r="ERR44" s="57"/>
      <c r="ERS44" s="56"/>
      <c r="ERT44" s="57"/>
      <c r="ERU44" s="57"/>
      <c r="ERV44" s="56"/>
      <c r="ERW44" s="57"/>
      <c r="ERX44" s="58"/>
      <c r="ERY44" s="56" t="str">
        <f t="shared" si="152"/>
        <v xml:space="preserve"> </v>
      </c>
      <c r="ERZ44" s="58"/>
      <c r="ESA44" s="57"/>
      <c r="ESB44" s="56"/>
      <c r="ESC44" s="57"/>
      <c r="ESD44" s="56"/>
      <c r="ESE44" s="56"/>
      <c r="ESF44" s="56"/>
      <c r="ESG44" s="57"/>
      <c r="ESH44" s="57"/>
      <c r="ESI44" s="57"/>
      <c r="ESJ44" s="57"/>
      <c r="ESK44" s="57"/>
      <c r="ESL44" s="57"/>
      <c r="ESM44" s="57"/>
      <c r="ESN44" s="57"/>
      <c r="ESO44" s="57"/>
      <c r="ESP44" s="57"/>
      <c r="ESQ44" s="57"/>
      <c r="ESR44" s="57"/>
      <c r="ESS44" s="57"/>
      <c r="EST44" s="57"/>
      <c r="ESU44" s="57"/>
      <c r="ESV44" s="57"/>
      <c r="ESW44" s="57"/>
      <c r="ESX44" s="57"/>
      <c r="ESY44" s="57"/>
      <c r="ESZ44" s="57"/>
      <c r="ETA44" s="57"/>
      <c r="ETB44" s="57"/>
      <c r="ETC44" s="57"/>
      <c r="ETD44" s="57"/>
      <c r="ETE44" s="57"/>
      <c r="ETF44" s="57"/>
      <c r="ETG44" s="57"/>
      <c r="ETH44" s="57"/>
      <c r="ETI44" s="57"/>
      <c r="ETJ44" s="57"/>
      <c r="ETK44" s="57"/>
      <c r="ETL44" s="57"/>
      <c r="ETM44" s="57"/>
      <c r="ETN44" s="57"/>
      <c r="ETO44" s="57"/>
      <c r="ETP44" s="57"/>
      <c r="ETQ44" s="57"/>
      <c r="ETR44" s="58"/>
      <c r="ETS44" s="56"/>
      <c r="ETT44" s="57"/>
      <c r="ETU44" s="57"/>
      <c r="ETV44" s="57"/>
      <c r="ETW44" s="57"/>
      <c r="ETX44" s="57"/>
      <c r="ETY44" s="56"/>
      <c r="ETZ44" s="57"/>
      <c r="EUA44" s="57"/>
      <c r="EUB44" s="56"/>
      <c r="EUC44" s="57"/>
      <c r="EUD44" s="58"/>
      <c r="EUE44" s="56"/>
      <c r="EUF44" s="57"/>
      <c r="EUG44" s="57"/>
      <c r="EUH44" s="57"/>
      <c r="EUI44" s="56"/>
      <c r="EUJ44" s="57"/>
      <c r="EUK44" s="57"/>
      <c r="EUL44" s="56"/>
      <c r="EUM44" s="57"/>
      <c r="EUN44" s="58"/>
      <c r="EUO44" s="56"/>
      <c r="EUP44" s="57"/>
      <c r="EUQ44" s="57"/>
      <c r="EUR44" s="57"/>
      <c r="EUS44" s="56"/>
      <c r="EUT44" s="57"/>
      <c r="EUU44" s="57"/>
      <c r="EUV44" s="56"/>
      <c r="EUW44" s="57"/>
      <c r="EUX44" s="58"/>
      <c r="EUY44" s="56"/>
      <c r="EUZ44" s="57"/>
      <c r="EVA44" s="57"/>
      <c r="EVB44" s="57"/>
      <c r="EVC44" s="56"/>
      <c r="EVD44" s="57"/>
      <c r="EVE44" s="57"/>
      <c r="EVF44" s="56"/>
      <c r="EVG44" s="57"/>
      <c r="EVH44" s="58"/>
      <c r="EVI44" s="56" t="str">
        <f t="shared" si="153"/>
        <v xml:space="preserve"> </v>
      </c>
    </row>
    <row r="45" spans="1:3961" x14ac:dyDescent="0.3">
      <c r="A45" s="423" t="s">
        <v>249</v>
      </c>
      <c r="B45" s="30" t="str">
        <f>'REG y VAL POE - AESR - ESR'!B3495</f>
        <v xml:space="preserve">Enriquez Robles Alfredo </v>
      </c>
      <c r="C45" s="29" t="str">
        <f>'REG y VAL POE - AESR - ESR'!C3495</f>
        <v>Sin Registro</v>
      </c>
      <c r="D45" s="28">
        <f>'REG y VAL POE - AESR - ESR'!D3495</f>
        <v>20278881</v>
      </c>
      <c r="E45" s="29">
        <f>'REG y VAL POE - AESR - ESR'!E3495</f>
        <v>0</v>
      </c>
      <c r="F45" s="28">
        <f>'REG y VAL POE - AESR - ESR'!F3495</f>
        <v>0</v>
      </c>
      <c r="G45" s="28">
        <f>'REG y VAL POE - AESR - ESR'!G3495</f>
        <v>0</v>
      </c>
      <c r="H45" s="28">
        <f>'REG y VAL POE - AESR - ESR'!H3495</f>
        <v>0</v>
      </c>
      <c r="I45" s="29">
        <f>'REG y VAL POE - AESR - ESR'!I3495</f>
        <v>0</v>
      </c>
      <c r="J45" s="29">
        <f>'REG y VAL POE - AESR - ESR'!J3495</f>
        <v>0</v>
      </c>
      <c r="K45" s="29">
        <f>'REG y VAL POE - AESR - ESR'!K3495</f>
        <v>0</v>
      </c>
      <c r="L45" s="29">
        <f>'REG y VAL POE - AESR - ESR'!L3495</f>
        <v>0</v>
      </c>
      <c r="M45" s="29">
        <f>'REG y VAL POE - AESR - ESR'!M3495</f>
        <v>0</v>
      </c>
      <c r="N45" s="29">
        <f>'REG y VAL POE - AESR - ESR'!N3495</f>
        <v>0</v>
      </c>
      <c r="O45" s="29">
        <f>'REG y VAL POE - AESR - ESR'!O3495</f>
        <v>0</v>
      </c>
      <c r="P45" s="29">
        <f>'REG y VAL POE - AESR - ESR'!P3495</f>
        <v>0</v>
      </c>
      <c r="Q45" s="29">
        <f>'REG y VAL POE - AESR - ESR'!Q3495</f>
        <v>0</v>
      </c>
      <c r="R45" s="29">
        <f>'REG y VAL POE - AESR - ESR'!R3495</f>
        <v>0</v>
      </c>
      <c r="S45" s="29">
        <f>'REG y VAL POE - AESR - ESR'!S3495</f>
        <v>0</v>
      </c>
      <c r="T45" s="29">
        <f>'REG y VAL POE - AESR - ESR'!T3495</f>
        <v>0</v>
      </c>
      <c r="U45" s="29">
        <f>'REG y VAL POE - AESR - ESR'!U3495</f>
        <v>0</v>
      </c>
      <c r="V45" s="29">
        <f>'REG y VAL POE - AESR - ESR'!V3495</f>
        <v>0</v>
      </c>
      <c r="W45" s="29">
        <f>'REG y VAL POE - AESR - ESR'!W3495</f>
        <v>0</v>
      </c>
      <c r="X45" s="29">
        <f>'REG y VAL POE - AESR - ESR'!X3495</f>
        <v>0</v>
      </c>
      <c r="Y45" s="29">
        <f>'REG y VAL POE - AESR - ESR'!Y3495</f>
        <v>0</v>
      </c>
      <c r="Z45" s="29">
        <f>'REG y VAL POE - AESR - ESR'!Z3495</f>
        <v>0</v>
      </c>
      <c r="AA45" s="29">
        <f>'REG y VAL POE - AESR - ESR'!AA3495</f>
        <v>0</v>
      </c>
      <c r="AB45" s="29">
        <f>'REG y VAL POE - AESR - ESR'!AB3495</f>
        <v>0</v>
      </c>
      <c r="AC45" s="29">
        <f>'REG y VAL POE - AESR - ESR'!AC3495</f>
        <v>0</v>
      </c>
      <c r="AD45" s="29">
        <f>'REG y VAL POE - AESR - ESR'!AD3495</f>
        <v>0</v>
      </c>
      <c r="AE45" s="29">
        <f>'REG y VAL POE - AESR - ESR'!AE3495</f>
        <v>0</v>
      </c>
      <c r="AF45" s="29">
        <f>'REG y VAL POE - AESR - ESR'!AF3495</f>
        <v>0</v>
      </c>
      <c r="AG45" s="29">
        <f>'REG y VAL POE - AESR - ESR'!AG3495</f>
        <v>0</v>
      </c>
      <c r="AH45" s="29">
        <f>'REG y VAL POE - AESR - ESR'!AH3495</f>
        <v>0</v>
      </c>
      <c r="AI45" s="29">
        <f>'REG y VAL POE - AESR - ESR'!AI3495</f>
        <v>0</v>
      </c>
      <c r="AJ45" s="29">
        <f>'REG y VAL POE - AESR - ESR'!AJ3495</f>
        <v>0</v>
      </c>
      <c r="AK45" s="29">
        <f>'REG y VAL POE - AESR - ESR'!AK3495</f>
        <v>0</v>
      </c>
      <c r="AL45" s="29">
        <f>'REG y VAL POE - AESR - ESR'!AL3495</f>
        <v>0</v>
      </c>
      <c r="AM45" s="29">
        <f>'REG y VAL POE - AESR - ESR'!AM3495</f>
        <v>0</v>
      </c>
      <c r="AN45" s="29">
        <f>'REG y VAL POE - AESR - ESR'!AN3495</f>
        <v>0</v>
      </c>
      <c r="AO45" s="29">
        <f>'REG y VAL POE - AESR - ESR'!AO3495</f>
        <v>0</v>
      </c>
      <c r="AP45" s="29">
        <f>'REG y VAL POE - AESR - ESR'!AP3495</f>
        <v>0</v>
      </c>
      <c r="AQ45" s="29">
        <f>'REG y VAL POE - AESR - ESR'!AQ3495</f>
        <v>0</v>
      </c>
      <c r="AR45" s="29">
        <f>'REG y VAL POE - AESR - ESR'!AR3495</f>
        <v>0</v>
      </c>
      <c r="AS45" s="29">
        <f>'REG y VAL POE - AESR - ESR'!AS3495</f>
        <v>0</v>
      </c>
      <c r="AT45" s="30" t="str">
        <f>'REG y VAL POE - AESR - ESR'!B3496</f>
        <v xml:space="preserve">Navarro Cortes Victor Hugo </v>
      </c>
      <c r="AU45" s="28" t="str">
        <f>'REG y VAL POE - AESR - ESR'!C3496</f>
        <v>Sin Registro</v>
      </c>
      <c r="AV45" s="29">
        <f>'REG y VAL POE - AESR - ESR'!D3496</f>
        <v>22219273</v>
      </c>
      <c r="AW45" s="29">
        <f>'REG y VAL POE - AESR - ESR'!E3496</f>
        <v>0</v>
      </c>
      <c r="AX45" s="29">
        <f>'REG y VAL POE - AESR - ESR'!F3496</f>
        <v>0</v>
      </c>
      <c r="AY45" s="29">
        <f>'REG y VAL POE - AESR - ESR'!G3496</f>
        <v>0</v>
      </c>
      <c r="AZ45" s="29">
        <f>'REG y VAL POE - AESR - ESR'!H3496</f>
        <v>0</v>
      </c>
      <c r="BA45" s="28">
        <f>'REG y VAL POE - AESR - ESR'!I3496</f>
        <v>0</v>
      </c>
      <c r="BB45" s="29">
        <f>'REG y VAL POE - AESR - ESR'!J3496</f>
        <v>0</v>
      </c>
      <c r="BC45" s="29">
        <f>'REG y VAL POE - AESR - ESR'!K3496</f>
        <v>0</v>
      </c>
      <c r="BD45" s="28">
        <f>'REG y VAL POE - AESR - ESR'!L3496</f>
        <v>0</v>
      </c>
      <c r="BE45" s="29">
        <f>'REG y VAL POE - AESR - ESR'!M3496</f>
        <v>0</v>
      </c>
      <c r="BF45" s="30">
        <f>'REG y VAL POE - AESR - ESR'!N3496</f>
        <v>0</v>
      </c>
      <c r="BG45" s="28">
        <f>'REG y VAL POE - AESR - ESR'!O3496</f>
        <v>0</v>
      </c>
      <c r="BH45" s="29">
        <f>'REG y VAL POE - AESR - ESR'!P3496</f>
        <v>0</v>
      </c>
      <c r="BI45" s="29">
        <f>'REG y VAL POE - AESR - ESR'!Q3496</f>
        <v>0</v>
      </c>
      <c r="BJ45" s="29">
        <f>'REG y VAL POE - AESR - ESR'!R3496</f>
        <v>0</v>
      </c>
      <c r="BK45" s="28">
        <f>'REG y VAL POE - AESR - ESR'!S3496</f>
        <v>0</v>
      </c>
      <c r="BL45" s="29">
        <f>'REG y VAL POE - AESR - ESR'!T3496</f>
        <v>0</v>
      </c>
      <c r="BM45" s="29">
        <f>'REG y VAL POE - AESR - ESR'!U3496</f>
        <v>0</v>
      </c>
      <c r="BN45" s="28">
        <f>'REG y VAL POE - AESR - ESR'!V3496</f>
        <v>0</v>
      </c>
      <c r="BO45" s="29">
        <f>'REG y VAL POE - AESR - ESR'!W3496</f>
        <v>0</v>
      </c>
      <c r="BP45" s="30">
        <f>'REG y VAL POE - AESR - ESR'!X3496</f>
        <v>0</v>
      </c>
      <c r="BQ45" s="28">
        <f>'REG y VAL POE - AESR - ESR'!Y3496</f>
        <v>0</v>
      </c>
      <c r="BR45" s="29">
        <f>'REG y VAL POE - AESR - ESR'!Z3496</f>
        <v>0</v>
      </c>
      <c r="BS45" s="29">
        <f>'REG y VAL POE - AESR - ESR'!AA3496</f>
        <v>0</v>
      </c>
      <c r="BT45" s="29">
        <f>'REG y VAL POE - AESR - ESR'!AB3496</f>
        <v>0</v>
      </c>
      <c r="BU45" s="28">
        <f>'REG y VAL POE - AESR - ESR'!AC3496</f>
        <v>0</v>
      </c>
      <c r="BV45" s="29">
        <f>'REG y VAL POE - AESR - ESR'!AD3496</f>
        <v>0</v>
      </c>
      <c r="BW45" s="29">
        <f>'REG y VAL POE - AESR - ESR'!AE3496</f>
        <v>0</v>
      </c>
      <c r="BX45" s="28">
        <f>'REG y VAL POE - AESR - ESR'!AF3496</f>
        <v>0</v>
      </c>
      <c r="BY45" s="29">
        <f>'REG y VAL POE - AESR - ESR'!AG3496</f>
        <v>0</v>
      </c>
      <c r="BZ45" s="30">
        <f>'REG y VAL POE - AESR - ESR'!AH3496</f>
        <v>0</v>
      </c>
      <c r="CA45" s="28">
        <f>'REG y VAL POE - AESR - ESR'!AI3496</f>
        <v>0</v>
      </c>
      <c r="CB45" s="29">
        <f>'REG y VAL POE - AESR - ESR'!AJ3496</f>
        <v>0</v>
      </c>
      <c r="CC45" s="29">
        <f>'REG y VAL POE - AESR - ESR'!AK3496</f>
        <v>0</v>
      </c>
      <c r="CD45" s="29">
        <f>'REG y VAL POE - AESR - ESR'!AL3496</f>
        <v>0</v>
      </c>
      <c r="CE45" s="28">
        <f>'REG y VAL POE - AESR - ESR'!AM3496</f>
        <v>0</v>
      </c>
      <c r="CF45" s="29">
        <f>'REG y VAL POE - AESR - ESR'!AN3496</f>
        <v>0</v>
      </c>
      <c r="CG45" s="29">
        <f>'REG y VAL POE - AESR - ESR'!AO3496</f>
        <v>0</v>
      </c>
      <c r="CH45" s="28">
        <f>'REG y VAL POE - AESR - ESR'!AP3496</f>
        <v>0</v>
      </c>
      <c r="CI45" s="29">
        <f>'REG y VAL POE - AESR - ESR'!AQ3496</f>
        <v>0</v>
      </c>
      <c r="CJ45" s="30">
        <f>'REG y VAL POE - AESR - ESR'!AR3496</f>
        <v>0</v>
      </c>
      <c r="CK45" s="28">
        <f>'REG y VAL POE - AESR - ESR'!AS3496</f>
        <v>0</v>
      </c>
      <c r="CL45" s="29">
        <f>'REG y VAL POE - AESR - ESR'!B3497</f>
        <v>0</v>
      </c>
      <c r="CM45" s="29">
        <f>'REG y VAL POE - AESR - ESR'!C3497</f>
        <v>0</v>
      </c>
      <c r="CN45" s="29">
        <f>'REG y VAL POE - AESR - ESR'!D3497</f>
        <v>0</v>
      </c>
      <c r="CO45" s="28">
        <f>'REG y VAL POE - AESR - ESR'!E3497</f>
        <v>0</v>
      </c>
      <c r="CP45" s="29">
        <f>'REG y VAL POE - AESR - ESR'!F3497</f>
        <v>0</v>
      </c>
      <c r="CQ45" s="29">
        <f>'REG y VAL POE - AESR - ESR'!G3497</f>
        <v>0</v>
      </c>
      <c r="CR45" s="28">
        <f>'REG y VAL POE - AESR - ESR'!H3497</f>
        <v>0</v>
      </c>
      <c r="CS45" s="29">
        <f>'REG y VAL POE - AESR - ESR'!I3497</f>
        <v>0</v>
      </c>
      <c r="CT45" s="30">
        <f>'REG y VAL POE - AESR - ESR'!J3497</f>
        <v>0</v>
      </c>
      <c r="CU45" s="28">
        <f>'REG y VAL POE - AESR - ESR'!K3497</f>
        <v>0</v>
      </c>
      <c r="CV45" s="29">
        <f>'REG y VAL POE - AESR - ESR'!L3497</f>
        <v>0</v>
      </c>
      <c r="CW45" s="29">
        <f>'REG y VAL POE - AESR - ESR'!M3497</f>
        <v>0</v>
      </c>
      <c r="CX45" s="29">
        <f>'REG y VAL POE - AESR - ESR'!N3497</f>
        <v>0</v>
      </c>
      <c r="CY45" s="28">
        <f>'REG y VAL POE - AESR - ESR'!O3497</f>
        <v>0</v>
      </c>
      <c r="CZ45" s="29">
        <f>'REG y VAL POE - AESR - ESR'!P3497</f>
        <v>0</v>
      </c>
      <c r="DA45" s="29">
        <f>'REG y VAL POE - AESR - ESR'!Q3497</f>
        <v>0</v>
      </c>
      <c r="DB45" s="28">
        <f>'REG y VAL POE - AESR - ESR'!R3497</f>
        <v>0</v>
      </c>
      <c r="DC45" s="29">
        <f>'REG y VAL POE - AESR - ESR'!S3497</f>
        <v>0</v>
      </c>
      <c r="DD45" s="30">
        <f>'REG y VAL POE - AESR - ESR'!T3497</f>
        <v>0</v>
      </c>
      <c r="DE45" s="28">
        <f>'REG y VAL POE - AESR - ESR'!U3497</f>
        <v>0</v>
      </c>
      <c r="DF45" s="29">
        <f>'REG y VAL POE - AESR - ESR'!V3497</f>
        <v>0</v>
      </c>
      <c r="DG45" s="29">
        <f>'REG y VAL POE - AESR - ESR'!W3497</f>
        <v>0</v>
      </c>
      <c r="DH45" s="29">
        <f>'REG y VAL POE - AESR - ESR'!X3497</f>
        <v>0</v>
      </c>
      <c r="DI45" s="28">
        <f>'REG y VAL POE - AESR - ESR'!Y3497</f>
        <v>0</v>
      </c>
      <c r="DJ45" s="29">
        <f>'REG y VAL POE - AESR - ESR'!Z3497</f>
        <v>0</v>
      </c>
      <c r="DK45" s="29">
        <f>'REG y VAL POE - AESR - ESR'!AA3497</f>
        <v>0</v>
      </c>
      <c r="DL45" s="28">
        <f>'REG y VAL POE - AESR - ESR'!AB3497</f>
        <v>0</v>
      </c>
      <c r="DM45" s="29">
        <f>'REG y VAL POE - AESR - ESR'!AC3497</f>
        <v>0</v>
      </c>
      <c r="DN45" s="30">
        <f>'REG y VAL POE - AESR - ESR'!AD3497</f>
        <v>0</v>
      </c>
      <c r="DO45" s="28">
        <f>'REG y VAL POE - AESR - ESR'!AE3497</f>
        <v>0</v>
      </c>
      <c r="DP45" s="29">
        <f>'REG y VAL POE - AESR - ESR'!AF3497</f>
        <v>0</v>
      </c>
      <c r="DQ45" s="29">
        <f>'REG y VAL POE - AESR - ESR'!AG3497</f>
        <v>0</v>
      </c>
      <c r="DR45" s="29">
        <f>'REG y VAL POE - AESR - ESR'!AH3497</f>
        <v>0</v>
      </c>
      <c r="DS45" s="28">
        <f>'REG y VAL POE - AESR - ESR'!AI3497</f>
        <v>0</v>
      </c>
      <c r="DT45" s="29">
        <f>'REG y VAL POE - AESR - ESR'!AJ3497</f>
        <v>0</v>
      </c>
      <c r="DU45" s="29">
        <f>'REG y VAL POE - AESR - ESR'!AK3497</f>
        <v>0</v>
      </c>
      <c r="DV45" s="28">
        <f>'REG y VAL POE - AESR - ESR'!AL3497</f>
        <v>0</v>
      </c>
      <c r="DW45" s="29">
        <f>'REG y VAL POE - AESR - ESR'!AM3497</f>
        <v>0</v>
      </c>
      <c r="DX45" s="30">
        <f>'REG y VAL POE - AESR - ESR'!AN3497</f>
        <v>0</v>
      </c>
      <c r="DY45" s="28">
        <f>'REG y VAL POE - AESR - ESR'!AO3497</f>
        <v>0</v>
      </c>
      <c r="DZ45" s="29">
        <f>'REG y VAL POE - AESR - ESR'!AP3497</f>
        <v>0</v>
      </c>
      <c r="EA45" s="29">
        <f>'REG y VAL POE - AESR - ESR'!AQ3497</f>
        <v>0</v>
      </c>
      <c r="EB45" s="29">
        <f>'REG y VAL POE - AESR - ESR'!AR3497</f>
        <v>0</v>
      </c>
      <c r="EC45" s="28">
        <f>'REG y VAL POE - AESR - ESR'!AS3497</f>
        <v>0</v>
      </c>
      <c r="ED45" s="29">
        <f>'REG y VAL POE - AESR - ESR'!B3498</f>
        <v>0</v>
      </c>
      <c r="EE45" s="28">
        <f>'REG y VAL POE - AESR - ESR'!C3498</f>
        <v>0</v>
      </c>
      <c r="EF45" s="28">
        <f>'REG y VAL POE - AESR - ESR'!D3498</f>
        <v>0</v>
      </c>
      <c r="EG45" s="29">
        <f>'REG y VAL POE - AESR - ESR'!E3498</f>
        <v>0</v>
      </c>
      <c r="EH45" s="30">
        <f>'REG y VAL POE - AESR - ESR'!F3498</f>
        <v>0</v>
      </c>
      <c r="EI45" s="28">
        <f>'REG y VAL POE - AESR - ESR'!G3498</f>
        <v>0</v>
      </c>
      <c r="EJ45" s="29">
        <f>'REG y VAL POE - AESR - ESR'!H3498</f>
        <v>0</v>
      </c>
      <c r="EK45" s="29">
        <f>'REG y VAL POE - AESR - ESR'!I3498</f>
        <v>0</v>
      </c>
      <c r="EL45" s="29">
        <f>'REG y VAL POE - AESR - ESR'!J3498</f>
        <v>0</v>
      </c>
      <c r="EM45" s="28">
        <f>'REG y VAL POE - AESR - ESR'!K3498</f>
        <v>0</v>
      </c>
      <c r="EN45" s="29">
        <f>'REG y VAL POE - AESR - ESR'!L3498</f>
        <v>0</v>
      </c>
      <c r="EO45" s="33">
        <f>'REG y VAL POE - AESR - ESR'!M3498</f>
        <v>0</v>
      </c>
      <c r="EP45" s="28">
        <f>'REG y VAL POE - AESR - ESR'!N3498</f>
        <v>0</v>
      </c>
      <c r="EQ45" s="29">
        <f>'REG y VAL POE - AESR - ESR'!O3498</f>
        <v>0</v>
      </c>
      <c r="ER45" s="30">
        <f>'REG y VAL POE - AESR - ESR'!P3498</f>
        <v>0</v>
      </c>
      <c r="ES45" s="28">
        <f>'REG y VAL POE - AESR - ESR'!Q3498</f>
        <v>0</v>
      </c>
      <c r="ET45" s="29">
        <f>'REG y VAL POE - AESR - ESR'!R3498</f>
        <v>0</v>
      </c>
      <c r="EU45" s="29">
        <f>'REG y VAL POE - AESR - ESR'!S3498</f>
        <v>0</v>
      </c>
      <c r="EV45" s="29">
        <f>'REG y VAL POE - AESR - ESR'!T3498</f>
        <v>0</v>
      </c>
      <c r="EW45" s="28">
        <f>'REG y VAL POE - AESR - ESR'!U3498</f>
        <v>0</v>
      </c>
      <c r="EX45" s="29">
        <f>'REG y VAL POE - AESR - ESR'!V3498</f>
        <v>0</v>
      </c>
      <c r="EY45" s="29">
        <f>'REG y VAL POE - AESR - ESR'!W3498</f>
        <v>0</v>
      </c>
      <c r="EZ45" s="28">
        <f>'REG y VAL POE - AESR - ESR'!X3498</f>
        <v>0</v>
      </c>
      <c r="FA45" s="29">
        <f>'REG y VAL POE - AESR - ESR'!Y3498</f>
        <v>0</v>
      </c>
      <c r="FB45" s="30">
        <f>'REG y VAL POE - AESR - ESR'!Z3498</f>
        <v>0</v>
      </c>
      <c r="FC45" s="28">
        <f>'REG y VAL POE - AESR - ESR'!AA3498</f>
        <v>0</v>
      </c>
      <c r="FD45" s="29">
        <f>'REG y VAL POE - AESR - ESR'!AB3498</f>
        <v>0</v>
      </c>
      <c r="FE45" s="29">
        <f>'REG y VAL POE - AESR - ESR'!AC3498</f>
        <v>0</v>
      </c>
      <c r="FF45" s="29">
        <f>'REG y VAL POE - AESR - ESR'!AD3498</f>
        <v>0</v>
      </c>
      <c r="FG45" s="28">
        <f>'REG y VAL POE - AESR - ESR'!AE3498</f>
        <v>0</v>
      </c>
      <c r="FH45" s="29">
        <f>'REG y VAL POE - AESR - ESR'!AF3498</f>
        <v>0</v>
      </c>
      <c r="FI45" s="29">
        <f>'REG y VAL POE - AESR - ESR'!AG3498</f>
        <v>0</v>
      </c>
      <c r="FJ45" s="28">
        <f>'REG y VAL POE - AESR - ESR'!AH3498</f>
        <v>0</v>
      </c>
      <c r="FK45" s="29">
        <f>'REG y VAL POE - AESR - ESR'!AI3498</f>
        <v>0</v>
      </c>
      <c r="FL45" s="30">
        <f>'REG y VAL POE - AESR - ESR'!AJ3498</f>
        <v>0</v>
      </c>
      <c r="FM45" s="28">
        <f>'REG y VAL POE - AESR - ESR'!AK3498</f>
        <v>0</v>
      </c>
      <c r="FN45" s="29">
        <f>'REG y VAL POE - AESR - ESR'!AL3498</f>
        <v>0</v>
      </c>
      <c r="FO45" s="29">
        <f>'REG y VAL POE - AESR - ESR'!AM3498</f>
        <v>0</v>
      </c>
      <c r="FP45" s="29">
        <f>'REG y VAL POE - AESR - ESR'!AN3498</f>
        <v>0</v>
      </c>
      <c r="FQ45" s="28">
        <f>'REG y VAL POE - AESR - ESR'!AO3498</f>
        <v>0</v>
      </c>
      <c r="FR45" s="29">
        <f>'REG y VAL POE - AESR - ESR'!AP3498</f>
        <v>0</v>
      </c>
      <c r="FS45" s="29">
        <f>'REG y VAL POE - AESR - ESR'!AQ3498</f>
        <v>0</v>
      </c>
      <c r="FT45" s="28">
        <f>'REG y VAL POE - AESR - ESR'!AR3498</f>
        <v>0</v>
      </c>
      <c r="FU45" s="29">
        <f>'REG y VAL POE - AESR - ESR'!AS3498</f>
        <v>0</v>
      </c>
      <c r="FV45" s="30">
        <f>'REG y VAL POE - AESR - ESR'!B3499</f>
        <v>0</v>
      </c>
      <c r="FW45" s="28">
        <f>'REG y VAL POE - AESR - ESR'!C3499</f>
        <v>0</v>
      </c>
      <c r="FX45" s="29">
        <f>'REG y VAL POE - AESR - ESR'!D3499</f>
        <v>0</v>
      </c>
      <c r="FY45" s="29">
        <f>'REG y VAL POE - AESR - ESR'!E3499</f>
        <v>0</v>
      </c>
      <c r="FZ45" s="29">
        <f>'REG y VAL POE - AESR - ESR'!F3499</f>
        <v>0</v>
      </c>
      <c r="GA45" s="28">
        <f>'REG y VAL POE - AESR - ESR'!G3499</f>
        <v>0</v>
      </c>
      <c r="GB45" s="29">
        <f>'REG y VAL POE - AESR - ESR'!H3499</f>
        <v>0</v>
      </c>
      <c r="GC45" s="29">
        <f>'REG y VAL POE - AESR - ESR'!I3499</f>
        <v>0</v>
      </c>
      <c r="GD45" s="28">
        <f>'REG y VAL POE - AESR - ESR'!J3499</f>
        <v>0</v>
      </c>
      <c r="GE45" s="29">
        <f>'REG y VAL POE - AESR - ESR'!K3499</f>
        <v>0</v>
      </c>
      <c r="GF45" s="30">
        <f>'REG y VAL POE - AESR - ESR'!L3499</f>
        <v>0</v>
      </c>
      <c r="GG45" s="28">
        <f>'REG y VAL POE - AESR - ESR'!M3499</f>
        <v>0</v>
      </c>
      <c r="GH45" s="29">
        <f>'REG y VAL POE - AESR - ESR'!N3499</f>
        <v>0</v>
      </c>
      <c r="GI45" s="29">
        <f>'REG y VAL POE - AESR - ESR'!O3499</f>
        <v>0</v>
      </c>
      <c r="GJ45" s="29">
        <f>'REG y VAL POE - AESR - ESR'!P3499</f>
        <v>0</v>
      </c>
      <c r="GK45" s="28">
        <f>'REG y VAL POE - AESR - ESR'!Q3499</f>
        <v>0</v>
      </c>
      <c r="GL45" s="29">
        <f>'REG y VAL POE - AESR - ESR'!R3499</f>
        <v>0</v>
      </c>
      <c r="GM45" s="29">
        <f>'REG y VAL POE - AESR - ESR'!S3499</f>
        <v>0</v>
      </c>
      <c r="GN45" s="28">
        <f>'REG y VAL POE - AESR - ESR'!T3499</f>
        <v>0</v>
      </c>
      <c r="GO45" s="29">
        <f>'REG y VAL POE - AESR - ESR'!U3499</f>
        <v>0</v>
      </c>
      <c r="GP45" s="30">
        <f>'REG y VAL POE - AESR - ESR'!V3499</f>
        <v>0</v>
      </c>
      <c r="GQ45" s="28">
        <f>'REG y VAL POE - AESR - ESR'!W3499</f>
        <v>0</v>
      </c>
      <c r="GR45" s="29">
        <f>'REG y VAL POE - AESR - ESR'!X3499</f>
        <v>0</v>
      </c>
      <c r="GS45" s="29">
        <f>'REG y VAL POE - AESR - ESR'!Y3499</f>
        <v>0</v>
      </c>
      <c r="GT45" s="29">
        <f>'REG y VAL POE - AESR - ESR'!Z3499</f>
        <v>0</v>
      </c>
      <c r="GU45" s="28">
        <f>'REG y VAL POE - AESR - ESR'!AA3499</f>
        <v>0</v>
      </c>
      <c r="GV45" s="29">
        <f>'REG y VAL POE - AESR - ESR'!AB3499</f>
        <v>0</v>
      </c>
      <c r="GW45" s="29">
        <f>'REG y VAL POE - AESR - ESR'!AC3499</f>
        <v>0</v>
      </c>
      <c r="GX45" s="28">
        <f>'REG y VAL POE - AESR - ESR'!AD3499</f>
        <v>0</v>
      </c>
      <c r="GY45" s="29">
        <f>'REG y VAL POE - AESR - ESR'!AE3499</f>
        <v>0</v>
      </c>
      <c r="GZ45" s="30">
        <f>'REG y VAL POE - AESR - ESR'!AF3499</f>
        <v>0</v>
      </c>
      <c r="HA45" s="28">
        <f>'REG y VAL POE - AESR - ESR'!AG3499</f>
        <v>0</v>
      </c>
      <c r="HB45" s="29">
        <f>'REG y VAL POE - AESR - ESR'!AH3499</f>
        <v>0</v>
      </c>
      <c r="HC45" s="29">
        <f>'REG y VAL POE - AESR - ESR'!AI3499</f>
        <v>0</v>
      </c>
      <c r="HD45" s="29">
        <f>'REG y VAL POE - AESR - ESR'!AJ3499</f>
        <v>0</v>
      </c>
      <c r="HE45" s="28">
        <f>'REG y VAL POE - AESR - ESR'!AK3499</f>
        <v>0</v>
      </c>
      <c r="HF45" s="29">
        <f>'REG y VAL POE - AESR - ESR'!AL3499</f>
        <v>0</v>
      </c>
      <c r="HG45" s="29">
        <f>'REG y VAL POE - AESR - ESR'!AM3499</f>
        <v>0</v>
      </c>
      <c r="HH45" s="28">
        <f>'REG y VAL POE - AESR - ESR'!AN3499</f>
        <v>0</v>
      </c>
      <c r="HI45" s="29">
        <f>'REG y VAL POE - AESR - ESR'!AO3499</f>
        <v>0</v>
      </c>
      <c r="HJ45" s="30">
        <f>'REG y VAL POE - AESR - ESR'!AP3499</f>
        <v>0</v>
      </c>
      <c r="HK45" s="28">
        <f>'REG y VAL POE - AESR - ESR'!AQ3499</f>
        <v>0</v>
      </c>
      <c r="HL45" s="29">
        <f>'REG y VAL POE - AESR - ESR'!AR3499</f>
        <v>0</v>
      </c>
      <c r="HM45" s="29">
        <f>'REG y VAL POE - AESR - ESR'!AS3499</f>
        <v>0</v>
      </c>
      <c r="HN45" s="29"/>
      <c r="HO45" s="28"/>
      <c r="HP45" s="29"/>
      <c r="HQ45" s="29"/>
      <c r="HR45" s="28"/>
      <c r="HS45" s="29"/>
      <c r="HT45" s="30"/>
      <c r="HU45" s="28"/>
      <c r="HV45" s="29"/>
      <c r="HW45" s="29"/>
      <c r="HX45" s="29"/>
      <c r="HY45" s="28"/>
      <c r="HZ45" s="29"/>
      <c r="IA45" s="29"/>
      <c r="IB45" s="28"/>
      <c r="IC45" s="29"/>
      <c r="ID45" s="30"/>
      <c r="IE45" s="28"/>
      <c r="IF45" s="29"/>
      <c r="IG45" s="29"/>
      <c r="IH45" s="29"/>
      <c r="II45" s="28"/>
      <c r="IJ45" s="29"/>
      <c r="IK45" s="29"/>
      <c r="IL45" s="28"/>
      <c r="IM45" s="29"/>
      <c r="IN45" s="30"/>
      <c r="IO45" s="28"/>
      <c r="IP45" s="29"/>
      <c r="IQ45" s="29"/>
      <c r="IR45" s="29"/>
      <c r="IS45" s="28"/>
      <c r="IT45" s="29"/>
      <c r="IU45" s="29"/>
      <c r="IV45" s="28"/>
      <c r="IW45" s="29"/>
      <c r="IX45" s="30"/>
      <c r="IY45" s="28"/>
      <c r="IZ45" s="29"/>
      <c r="JA45" s="29"/>
      <c r="JB45" s="29"/>
      <c r="JC45" s="28"/>
      <c r="JD45" s="29"/>
      <c r="JE45" s="29"/>
      <c r="JF45" s="28"/>
      <c r="JG45" s="29"/>
      <c r="JH45" s="30"/>
      <c r="JI45" s="28"/>
      <c r="JJ45" s="29"/>
      <c r="JK45" s="29"/>
      <c r="JL45" s="29"/>
      <c r="JM45" s="28"/>
      <c r="JN45" s="29"/>
      <c r="JO45" s="29"/>
      <c r="JP45" s="28"/>
      <c r="JQ45" s="29"/>
      <c r="JR45" s="30"/>
      <c r="JS45" s="28"/>
      <c r="JT45" s="29"/>
      <c r="JU45" s="29"/>
      <c r="JV45" s="29"/>
      <c r="JW45" s="28"/>
      <c r="JX45" s="29"/>
      <c r="JY45" s="29"/>
      <c r="JZ45" s="28"/>
      <c r="KA45" s="29"/>
      <c r="KB45" s="30"/>
      <c r="KC45" s="28"/>
      <c r="KD45" s="29"/>
      <c r="KE45" s="29"/>
      <c r="KF45" s="29"/>
      <c r="KG45" s="28"/>
      <c r="KH45" s="29"/>
      <c r="KI45" s="29"/>
      <c r="KJ45" s="28"/>
      <c r="KK45" s="29"/>
      <c r="KL45" s="30"/>
      <c r="KM45" s="28"/>
      <c r="KN45" s="29"/>
      <c r="KO45" s="29"/>
      <c r="KP45" s="29"/>
      <c r="KQ45" s="28"/>
      <c r="KR45" s="29"/>
      <c r="KS45" s="29"/>
      <c r="KT45" s="28"/>
      <c r="KU45" s="29"/>
      <c r="KV45" s="30"/>
      <c r="KW45" s="28"/>
      <c r="KX45" s="29"/>
      <c r="KY45" s="29"/>
      <c r="KZ45" s="29"/>
      <c r="LA45" s="28"/>
      <c r="LB45" s="29"/>
      <c r="LC45" s="29"/>
      <c r="LD45" s="28"/>
      <c r="LE45" s="29"/>
      <c r="LF45" s="30"/>
      <c r="LG45" s="28"/>
      <c r="LH45" s="29"/>
      <c r="LI45" s="29"/>
      <c r="LJ45" s="29"/>
      <c r="LK45" s="28"/>
      <c r="LL45" s="29"/>
      <c r="LM45" s="29"/>
      <c r="LN45" s="28"/>
      <c r="LO45" s="29"/>
      <c r="LP45" s="30"/>
      <c r="LQ45" s="28"/>
      <c r="LR45" s="29"/>
      <c r="LS45" s="29"/>
      <c r="LT45" s="29"/>
      <c r="LU45" s="28"/>
      <c r="LV45" s="29"/>
      <c r="LW45" s="29"/>
      <c r="LX45" s="28"/>
      <c r="LY45" s="29"/>
      <c r="LZ45" s="30"/>
      <c r="MA45" s="28"/>
      <c r="MB45" s="29"/>
      <c r="MC45" s="29"/>
      <c r="MD45" s="29"/>
      <c r="ME45" s="28"/>
      <c r="MF45" s="29"/>
      <c r="MG45" s="29"/>
      <c r="MH45" s="28"/>
      <c r="MI45" s="29"/>
      <c r="MJ45" s="30"/>
      <c r="MK45" s="28"/>
      <c r="ML45" s="29"/>
      <c r="MM45" s="29"/>
      <c r="MN45" s="29"/>
      <c r="MO45" s="28"/>
      <c r="MP45" s="29"/>
      <c r="MQ45" s="29"/>
      <c r="MR45" s="28"/>
      <c r="MS45" s="29"/>
      <c r="MT45" s="30"/>
      <c r="MU45" s="28"/>
      <c r="MV45" s="29"/>
      <c r="MW45" s="29"/>
      <c r="MX45" s="29"/>
      <c r="MY45" s="28"/>
      <c r="MZ45" s="29"/>
      <c r="NA45" s="29"/>
      <c r="NB45" s="28"/>
      <c r="NC45" s="29"/>
      <c r="ND45" s="30"/>
      <c r="NE45" s="28"/>
      <c r="NF45" s="29"/>
      <c r="NG45" s="29"/>
      <c r="NH45" s="29"/>
      <c r="NI45" s="28"/>
      <c r="NJ45" s="29"/>
      <c r="NK45" s="29"/>
      <c r="NL45" s="28"/>
      <c r="NM45" s="29"/>
      <c r="NN45" s="30"/>
      <c r="NO45" s="28"/>
      <c r="NP45" s="29"/>
      <c r="NQ45" s="29"/>
      <c r="NR45" s="29"/>
      <c r="NS45" s="28"/>
      <c r="NT45" s="29"/>
      <c r="NU45" s="29"/>
      <c r="NV45" s="28"/>
      <c r="NW45" s="29"/>
      <c r="NX45" s="30"/>
      <c r="NY45" s="28"/>
      <c r="NZ45" s="29"/>
      <c r="OA45" s="29"/>
      <c r="OB45" s="29"/>
      <c r="OC45" s="28"/>
      <c r="OD45" s="29"/>
      <c r="OE45" s="29"/>
      <c r="OF45" s="30"/>
      <c r="OG45" s="30"/>
      <c r="OH45" s="30"/>
      <c r="OI45" s="28"/>
      <c r="OJ45" s="30"/>
      <c r="OK45" s="30"/>
      <c r="OL45" s="30"/>
      <c r="OM45" s="30"/>
      <c r="ON45" s="30"/>
      <c r="OO45" s="30"/>
      <c r="OP45" s="28"/>
      <c r="OQ45" s="29"/>
      <c r="OR45" s="30"/>
      <c r="OS45" s="28"/>
      <c r="OT45" s="29"/>
      <c r="OU45" s="29"/>
      <c r="OV45" s="29"/>
      <c r="OW45" s="28"/>
      <c r="OX45" s="29"/>
      <c r="OY45" s="29"/>
      <c r="OZ45" s="28"/>
      <c r="PA45" s="29"/>
      <c r="PB45" s="30"/>
      <c r="PC45" s="28"/>
      <c r="PD45" s="29"/>
      <c r="PE45" s="29"/>
      <c r="PF45" s="29"/>
      <c r="PG45" s="28"/>
      <c r="PH45" s="29"/>
      <c r="PI45" s="29"/>
      <c r="PJ45" s="28"/>
      <c r="PK45" s="29"/>
      <c r="PL45" s="30"/>
      <c r="PM45" s="28"/>
      <c r="PN45" s="29"/>
      <c r="PO45" s="29"/>
      <c r="PP45" s="29"/>
      <c r="PQ45" s="28"/>
      <c r="PR45" s="29"/>
      <c r="PS45" s="29"/>
      <c r="PT45" s="28"/>
      <c r="PU45" s="29"/>
      <c r="PV45" s="30"/>
      <c r="PW45" s="28"/>
      <c r="PX45" s="29"/>
      <c r="PY45" s="29"/>
      <c r="PZ45" s="29"/>
      <c r="QA45" s="28"/>
      <c r="QB45" s="29"/>
      <c r="QC45" s="29"/>
      <c r="QD45" s="28"/>
      <c r="QE45" s="29"/>
      <c r="QF45" s="30"/>
      <c r="QG45" s="28"/>
      <c r="QH45" s="29"/>
      <c r="QI45" s="29"/>
      <c r="QJ45" s="29"/>
      <c r="QK45" s="28"/>
      <c r="QL45" s="29"/>
      <c r="QM45" s="29"/>
      <c r="QN45" s="28"/>
      <c r="QO45" s="29"/>
      <c r="QP45" s="30"/>
      <c r="QQ45" s="28"/>
      <c r="QR45" s="29"/>
      <c r="QS45" s="29"/>
      <c r="QT45" s="29"/>
      <c r="QU45" s="28"/>
      <c r="QV45" s="29"/>
      <c r="QW45" s="29"/>
      <c r="QX45" s="28"/>
      <c r="QY45" s="29"/>
      <c r="QZ45" s="30"/>
      <c r="RA45" s="28"/>
      <c r="RB45" s="29"/>
      <c r="RC45" s="29"/>
      <c r="RD45" s="29"/>
      <c r="RE45" s="28"/>
      <c r="RF45" s="29"/>
      <c r="RG45" s="29"/>
      <c r="RH45" s="28"/>
      <c r="RI45" s="29"/>
      <c r="RJ45" s="30"/>
      <c r="RK45" s="28"/>
      <c r="RL45" s="29"/>
      <c r="RM45" s="29"/>
      <c r="RN45" s="29"/>
      <c r="RO45" s="28"/>
      <c r="RP45" s="29"/>
      <c r="RQ45" s="29"/>
      <c r="RR45" s="28"/>
      <c r="RS45" s="29"/>
      <c r="RT45" s="30"/>
      <c r="RU45" s="28"/>
      <c r="RV45" s="29"/>
      <c r="RW45" s="29"/>
      <c r="RX45" s="29"/>
      <c r="RY45" s="28"/>
      <c r="RZ45" s="29"/>
      <c r="SA45" s="29"/>
      <c r="SB45" s="28"/>
      <c r="SC45" s="29"/>
      <c r="SD45" s="30"/>
      <c r="SE45" s="28"/>
      <c r="SF45" s="29"/>
      <c r="SG45" s="29"/>
      <c r="SH45" s="29"/>
      <c r="SI45" s="28"/>
      <c r="SJ45" s="29"/>
      <c r="SK45" s="29"/>
      <c r="SL45" s="28"/>
      <c r="SM45" s="29"/>
      <c r="SN45" s="30"/>
      <c r="SO45" s="28"/>
      <c r="SP45" s="29"/>
      <c r="SQ45" s="29"/>
      <c r="SR45" s="29"/>
      <c r="SS45" s="28"/>
      <c r="ST45" s="29"/>
      <c r="SU45" s="29"/>
      <c r="SV45" s="28"/>
      <c r="SW45" s="29"/>
      <c r="SX45" s="30"/>
      <c r="SY45" s="28"/>
      <c r="SZ45" s="29"/>
      <c r="TA45" s="29"/>
      <c r="TB45" s="29"/>
      <c r="TC45" s="28"/>
      <c r="TD45" s="29"/>
      <c r="TE45" s="29"/>
      <c r="TF45" s="28"/>
      <c r="TG45" s="29"/>
      <c r="TH45" s="30"/>
      <c r="TI45" s="28"/>
      <c r="TJ45" s="29"/>
      <c r="TK45" s="29"/>
      <c r="TL45" s="29"/>
      <c r="TM45" s="28"/>
      <c r="TN45" s="29"/>
      <c r="TO45" s="29"/>
      <c r="TP45" s="28"/>
      <c r="TQ45" s="29"/>
      <c r="TR45" s="30"/>
      <c r="TS45" s="28"/>
      <c r="TT45" s="29"/>
      <c r="TU45" s="29"/>
      <c r="TV45" s="29"/>
      <c r="TW45" s="28"/>
      <c r="TX45" s="29"/>
      <c r="TY45" s="29"/>
      <c r="TZ45" s="28"/>
      <c r="UA45" s="29"/>
      <c r="UB45" s="30"/>
      <c r="UC45" s="28"/>
      <c r="UD45" s="29"/>
      <c r="UE45" s="29"/>
      <c r="UF45" s="29"/>
      <c r="UG45" s="28"/>
      <c r="UH45" s="29"/>
      <c r="UI45" s="29"/>
      <c r="UJ45" s="28"/>
      <c r="UK45" s="29"/>
      <c r="UL45" s="30"/>
      <c r="UM45" s="28"/>
      <c r="UN45" s="29"/>
      <c r="UO45" s="29"/>
      <c r="UP45" s="29"/>
      <c r="UQ45" s="28"/>
      <c r="UR45" s="29"/>
      <c r="US45" s="29"/>
      <c r="UT45" s="28"/>
      <c r="UU45" s="29"/>
      <c r="UV45" s="30"/>
      <c r="UW45" s="28"/>
      <c r="UX45" s="29"/>
      <c r="UY45" s="29"/>
      <c r="UZ45" s="29"/>
      <c r="VA45" s="28"/>
      <c r="VB45" s="29"/>
      <c r="VC45" s="29"/>
      <c r="VD45" s="28"/>
      <c r="VE45" s="29"/>
      <c r="VF45" s="30"/>
      <c r="VG45" s="28"/>
      <c r="VH45" s="29"/>
      <c r="VI45" s="29"/>
      <c r="VJ45" s="29"/>
      <c r="VK45" s="28"/>
      <c r="VL45" s="29"/>
      <c r="VM45" s="29"/>
      <c r="VN45" s="28"/>
      <c r="VO45" s="29"/>
      <c r="VP45" s="30"/>
      <c r="VQ45" s="28"/>
      <c r="VR45" s="29"/>
      <c r="VS45" s="29"/>
      <c r="VT45" s="29"/>
      <c r="VU45" s="28"/>
      <c r="VV45" s="29"/>
      <c r="VW45" s="29"/>
      <c r="VX45" s="28"/>
      <c r="VY45" s="29"/>
      <c r="VZ45" s="30"/>
      <c r="WA45" s="28"/>
      <c r="WB45" s="29"/>
      <c r="WC45" s="29"/>
      <c r="WD45" s="29"/>
      <c r="WE45" s="28"/>
      <c r="WF45" s="29"/>
      <c r="WG45" s="29"/>
      <c r="WH45" s="28"/>
      <c r="WI45" s="29"/>
      <c r="WJ45" s="30"/>
      <c r="WK45" s="28"/>
      <c r="WL45" s="29"/>
      <c r="WM45" s="29"/>
      <c r="WN45" s="29"/>
      <c r="WO45" s="28"/>
      <c r="WP45" s="29"/>
      <c r="WQ45" s="29"/>
      <c r="WR45" s="28"/>
      <c r="WS45" s="29"/>
      <c r="WT45" s="30"/>
      <c r="WU45" s="28"/>
      <c r="WV45" s="29"/>
      <c r="WW45" s="29"/>
      <c r="WX45" s="29"/>
      <c r="WY45" s="28"/>
      <c r="WZ45" s="29"/>
      <c r="XA45" s="29"/>
      <c r="XB45" s="28"/>
      <c r="XC45" s="29"/>
      <c r="XD45" s="30"/>
      <c r="XE45" s="28"/>
      <c r="XF45" s="29"/>
      <c r="XG45" s="29"/>
      <c r="XH45" s="29"/>
      <c r="XI45" s="28"/>
      <c r="XJ45" s="29"/>
      <c r="XK45" s="29"/>
      <c r="XL45" s="28"/>
      <c r="XM45" s="29"/>
      <c r="XN45" s="30"/>
      <c r="XO45" s="28"/>
      <c r="XP45" s="29"/>
      <c r="XQ45" s="29"/>
      <c r="XR45" s="29"/>
      <c r="XS45" s="28"/>
      <c r="XT45" s="29"/>
      <c r="XU45" s="29"/>
      <c r="XV45" s="28"/>
      <c r="XW45" s="29"/>
      <c r="XX45" s="30"/>
      <c r="XY45" s="28"/>
      <c r="XZ45" s="29"/>
      <c r="YA45" s="29"/>
      <c r="YB45" s="29"/>
      <c r="YC45" s="28"/>
      <c r="YD45" s="29"/>
      <c r="YE45" s="29"/>
      <c r="YF45" s="28"/>
      <c r="YG45" s="29"/>
      <c r="YH45" s="30"/>
      <c r="YI45" s="28"/>
      <c r="YJ45" s="29"/>
      <c r="YK45" s="29"/>
      <c r="YL45" s="29"/>
      <c r="YM45" s="28"/>
      <c r="YN45" s="29"/>
      <c r="YO45" s="29"/>
      <c r="YP45" s="28"/>
      <c r="YQ45" s="29"/>
      <c r="YR45" s="30"/>
      <c r="YS45" s="28"/>
      <c r="YT45" s="29"/>
      <c r="YU45" s="29"/>
      <c r="YV45" s="29"/>
      <c r="YW45" s="28"/>
      <c r="YX45" s="29"/>
      <c r="YY45" s="29"/>
      <c r="YZ45" s="28"/>
      <c r="ZA45" s="29"/>
      <c r="ZB45" s="30"/>
      <c r="ZC45" s="28"/>
      <c r="ZD45" s="29"/>
      <c r="ZE45" s="29"/>
      <c r="ZF45" s="29"/>
      <c r="ZG45" s="28"/>
      <c r="ZH45" s="29"/>
      <c r="ZI45" s="29"/>
      <c r="ZJ45" s="28"/>
      <c r="ZK45" s="29"/>
      <c r="ZL45" s="30"/>
      <c r="ZM45" s="28"/>
      <c r="ZN45" s="29"/>
      <c r="ZO45" s="29"/>
      <c r="ZP45" s="29"/>
      <c r="ZQ45" s="28"/>
      <c r="ZR45" s="29"/>
      <c r="ZS45" s="29"/>
      <c r="ZT45" s="28"/>
      <c r="ZU45" s="29"/>
      <c r="ZV45" s="30"/>
      <c r="ZW45" s="28"/>
      <c r="ZX45" s="29"/>
      <c r="ZY45" s="29"/>
      <c r="ZZ45" s="29"/>
      <c r="AAA45" s="28"/>
      <c r="AAB45" s="29"/>
      <c r="AAC45" s="29"/>
      <c r="AAD45" s="28"/>
      <c r="AAE45" s="29"/>
      <c r="AAF45" s="30"/>
      <c r="AAG45" s="28"/>
      <c r="AAH45" s="29"/>
      <c r="AAI45" s="29"/>
      <c r="AAJ45" s="29"/>
      <c r="AAK45" s="28"/>
      <c r="AAL45" s="29"/>
      <c r="AAM45" s="29"/>
      <c r="AAN45" s="28"/>
      <c r="AAO45" s="29"/>
      <c r="AAP45" s="30"/>
      <c r="AAQ45" s="28"/>
      <c r="AAR45" s="29"/>
      <c r="AAS45" s="29"/>
      <c r="AAT45" s="29"/>
      <c r="AAU45" s="28"/>
      <c r="AAV45" s="29"/>
      <c r="AAW45" s="29"/>
      <c r="AAX45" s="28"/>
      <c r="AAY45" s="29"/>
      <c r="AAZ45" s="30"/>
      <c r="ABA45" s="28"/>
      <c r="ABB45" s="29"/>
      <c r="ABC45" s="29"/>
      <c r="ABD45" s="29"/>
      <c r="ABE45" s="28"/>
      <c r="ABF45" s="29"/>
      <c r="ABG45" s="29"/>
      <c r="ABH45" s="28"/>
      <c r="ABI45" s="29"/>
      <c r="ABJ45" s="30"/>
      <c r="ABK45" s="28"/>
      <c r="ABL45" s="29"/>
      <c r="ABM45" s="29"/>
      <c r="ABN45" s="29"/>
      <c r="ABO45" s="28"/>
      <c r="ABP45" s="29"/>
      <c r="ABQ45" s="29"/>
      <c r="ABR45" s="28"/>
      <c r="ABS45" s="29"/>
      <c r="ABT45" s="30"/>
      <c r="ABU45" s="28"/>
      <c r="ABV45" s="29"/>
      <c r="ABW45" s="29"/>
      <c r="ABX45" s="29"/>
      <c r="ABY45" s="28"/>
      <c r="ABZ45" s="29"/>
      <c r="ACA45" s="29"/>
      <c r="ACB45" s="28"/>
      <c r="ACC45" s="29"/>
      <c r="ACD45" s="30"/>
      <c r="ACE45" s="28"/>
      <c r="ACF45" s="29"/>
      <c r="ACG45" s="29"/>
      <c r="ACH45" s="29"/>
      <c r="ACI45" s="28"/>
      <c r="ACJ45" s="29"/>
      <c r="ACK45" s="29"/>
      <c r="ACL45" s="28"/>
      <c r="ACM45" s="29"/>
      <c r="ACN45" s="30"/>
      <c r="ACO45" s="28"/>
      <c r="ACP45" s="29"/>
      <c r="ACQ45" s="29"/>
      <c r="ACR45" s="29"/>
      <c r="ACS45" s="28"/>
      <c r="ACT45" s="29"/>
      <c r="ACU45" s="29"/>
      <c r="ACV45" s="28"/>
      <c r="ACW45" s="29"/>
      <c r="ACX45" s="30"/>
      <c r="ACY45" s="28"/>
      <c r="ACZ45" s="29"/>
      <c r="ADA45" s="29"/>
      <c r="ADB45" s="29"/>
      <c r="ADC45" s="28"/>
      <c r="ADD45" s="29"/>
      <c r="ADE45" s="29"/>
      <c r="ADF45" s="28"/>
      <c r="ADG45" s="29"/>
      <c r="ADH45" s="30"/>
      <c r="ADI45" s="28"/>
      <c r="ADJ45" s="29"/>
      <c r="ADK45" s="29"/>
      <c r="ADL45" s="29"/>
      <c r="ADM45" s="28"/>
      <c r="ADN45" s="29"/>
      <c r="ADO45" s="29"/>
      <c r="ADP45" s="28"/>
      <c r="ADQ45" s="29"/>
      <c r="ADR45" s="30"/>
      <c r="ADS45" s="28"/>
      <c r="ADT45" s="29"/>
      <c r="ADU45" s="29"/>
      <c r="ADV45" s="29"/>
      <c r="ADW45" s="28"/>
      <c r="ADX45" s="29"/>
      <c r="ADY45" s="29"/>
      <c r="ADZ45" s="28"/>
      <c r="AEA45" s="29"/>
      <c r="AEB45" s="30"/>
      <c r="AEC45" s="28"/>
      <c r="AED45" s="29"/>
      <c r="AEE45" s="29"/>
      <c r="AEF45" s="29"/>
      <c r="AEG45" s="28"/>
      <c r="AEH45" s="29"/>
      <c r="AEI45" s="29"/>
      <c r="AEJ45" s="28"/>
      <c r="AEK45" s="29"/>
      <c r="AEL45" s="30"/>
      <c r="AEM45" s="28"/>
      <c r="AEN45" s="29"/>
      <c r="AEO45" s="29"/>
      <c r="AEP45" s="29"/>
      <c r="AEQ45" s="28"/>
      <c r="AER45" s="29"/>
      <c r="AES45" s="29"/>
      <c r="AET45" s="28"/>
      <c r="AEU45" s="29"/>
      <c r="AEV45" s="30"/>
      <c r="AEW45" s="28"/>
      <c r="AEX45" s="29"/>
      <c r="AEY45" s="29"/>
      <c r="AEZ45" s="29"/>
      <c r="AFA45" s="28"/>
      <c r="AFB45" s="29"/>
      <c r="AFC45" s="29"/>
      <c r="AFD45" s="28"/>
      <c r="AFE45" s="29"/>
      <c r="AFF45" s="30"/>
      <c r="AFG45" s="28"/>
      <c r="AFH45" s="29"/>
      <c r="AFI45" s="29"/>
      <c r="AFJ45" s="29"/>
      <c r="AFK45" s="28"/>
      <c r="AFL45" s="29"/>
      <c r="AFM45" s="29"/>
      <c r="AFN45" s="28"/>
      <c r="AFO45" s="29"/>
      <c r="AFP45" s="30"/>
      <c r="AFQ45" s="28"/>
      <c r="AFR45" s="29"/>
      <c r="AFS45" s="29"/>
      <c r="AFT45" s="29"/>
      <c r="AFU45" s="28"/>
      <c r="AFV45" s="29"/>
      <c r="AFW45" s="29"/>
      <c r="AFX45" s="28"/>
      <c r="AFY45" s="29"/>
      <c r="AFZ45" s="30"/>
      <c r="AGA45" s="28"/>
      <c r="AGB45" s="29"/>
      <c r="AGC45" s="29"/>
      <c r="AGD45" s="29"/>
      <c r="AGE45" s="28"/>
      <c r="AGF45" s="29"/>
      <c r="AGG45" s="29"/>
      <c r="AGH45" s="28"/>
      <c r="AGI45" s="29"/>
      <c r="AGJ45" s="30"/>
      <c r="AGK45" s="28"/>
      <c r="AGL45" s="29"/>
      <c r="AGM45" s="29"/>
      <c r="AGN45" s="29"/>
      <c r="AGO45" s="28"/>
      <c r="AGP45" s="29"/>
      <c r="AGQ45" s="29"/>
      <c r="AGR45" s="28"/>
      <c r="AGS45" s="29"/>
      <c r="AGT45" s="30"/>
      <c r="AGU45" s="28"/>
      <c r="AGV45" s="29"/>
      <c r="AGW45" s="29"/>
      <c r="AGX45" s="29"/>
      <c r="AGY45" s="28"/>
      <c r="AGZ45" s="29"/>
      <c r="AHA45" s="29"/>
      <c r="AHB45" s="28"/>
      <c r="AHC45" s="29"/>
      <c r="AHD45" s="30"/>
      <c r="AHE45" s="28"/>
      <c r="AHF45" s="29"/>
      <c r="AHG45" s="29"/>
      <c r="AHH45" s="29"/>
      <c r="AHI45" s="28"/>
      <c r="AHJ45" s="29"/>
      <c r="AHK45" s="29"/>
      <c r="AHL45" s="28"/>
      <c r="AHM45" s="29"/>
      <c r="AHN45" s="30"/>
      <c r="AHO45" s="28"/>
      <c r="AHP45" s="29"/>
      <c r="AHQ45" s="29"/>
      <c r="AHR45" s="29"/>
      <c r="AHS45" s="28"/>
      <c r="AHT45" s="29"/>
      <c r="AHU45" s="29"/>
      <c r="AHV45" s="28"/>
      <c r="AHW45" s="29"/>
      <c r="AHX45" s="30"/>
      <c r="AHY45" s="28"/>
      <c r="AHZ45" s="29"/>
      <c r="AIA45" s="29"/>
      <c r="AIB45" s="29"/>
      <c r="AIC45" s="28"/>
      <c r="AID45" s="29"/>
      <c r="AIE45" s="29"/>
      <c r="AIF45" s="28"/>
      <c r="AIG45" s="29"/>
      <c r="AIH45" s="30"/>
      <c r="AII45" s="28"/>
      <c r="AIJ45" s="29"/>
      <c r="AIK45" s="29"/>
      <c r="AIL45" s="29"/>
      <c r="AIM45" s="28"/>
      <c r="AIN45" s="29"/>
      <c r="AIO45" s="29"/>
      <c r="AIP45" s="28"/>
      <c r="AIQ45" s="29"/>
      <c r="AIR45" s="30"/>
      <c r="AIS45" s="28"/>
      <c r="AIT45" s="29"/>
      <c r="AIU45" s="29"/>
      <c r="AIV45" s="29"/>
      <c r="AIW45" s="28"/>
      <c r="AIX45" s="29"/>
      <c r="AIY45" s="29"/>
      <c r="AIZ45" s="28"/>
      <c r="AJA45" s="29"/>
      <c r="AJB45" s="30"/>
      <c r="AJC45" s="28"/>
      <c r="AJD45" s="29"/>
      <c r="AJE45" s="29"/>
      <c r="AJF45" s="29"/>
      <c r="AJG45" s="28"/>
      <c r="AJH45" s="29"/>
      <c r="AJI45" s="29"/>
      <c r="AJJ45" s="28"/>
      <c r="AJK45" s="29"/>
      <c r="AJL45" s="30"/>
      <c r="AJM45" s="28"/>
      <c r="AJN45" s="29"/>
      <c r="AJO45" s="29"/>
      <c r="AJP45" s="29"/>
      <c r="AJQ45" s="28"/>
      <c r="AJR45" s="29"/>
      <c r="AJS45" s="29"/>
      <c r="AJT45" s="28"/>
      <c r="AJU45" s="29"/>
      <c r="AJV45" s="30"/>
      <c r="AJW45" s="28"/>
      <c r="AJX45" s="29"/>
      <c r="AJY45" s="29"/>
      <c r="AJZ45" s="29"/>
      <c r="AKA45" s="28"/>
      <c r="AKB45" s="29"/>
      <c r="AKC45" s="29"/>
      <c r="AKD45" s="28"/>
      <c r="AKE45" s="29"/>
      <c r="AKF45" s="30"/>
      <c r="AKG45" s="28"/>
      <c r="AKH45" s="29"/>
      <c r="AKI45" s="29"/>
      <c r="AKJ45" s="29"/>
      <c r="AKK45" s="28"/>
      <c r="AKL45" s="29"/>
      <c r="AKM45" s="29"/>
      <c r="AKN45" s="28"/>
      <c r="AKO45" s="29"/>
      <c r="AKP45" s="30"/>
      <c r="AKQ45" s="28"/>
      <c r="AKR45" s="29"/>
      <c r="AKS45" s="29"/>
      <c r="AKT45" s="29"/>
      <c r="AKU45" s="28"/>
      <c r="AKV45" s="29"/>
      <c r="AKW45" s="29"/>
      <c r="AKX45" s="28"/>
      <c r="AKY45" s="29"/>
      <c r="AKZ45" s="30"/>
      <c r="ALA45" s="28"/>
      <c r="ALB45" s="29"/>
      <c r="ALC45" s="29"/>
      <c r="ALD45" s="29"/>
      <c r="ALE45" s="28"/>
      <c r="ALF45" s="29"/>
      <c r="ALG45" s="29"/>
      <c r="ALH45" s="29"/>
      <c r="ALI45" s="29"/>
      <c r="ALJ45" s="29"/>
      <c r="ALK45" s="28"/>
      <c r="ALL45" s="29"/>
      <c r="ALM45" s="29"/>
      <c r="ALN45" s="28"/>
      <c r="ALO45" s="29"/>
      <c r="ALP45" s="30"/>
      <c r="ALQ45" s="28"/>
      <c r="ALR45" s="29"/>
      <c r="ALS45" s="29"/>
      <c r="ALT45" s="29"/>
      <c r="ALU45" s="28"/>
      <c r="ALV45" s="29"/>
      <c r="ALW45" s="29"/>
      <c r="ALX45" s="28"/>
      <c r="ALY45" s="29"/>
      <c r="ALZ45" s="30"/>
      <c r="AMA45" s="28"/>
      <c r="AMB45" s="29"/>
      <c r="AMC45" s="29"/>
      <c r="AMD45" s="29"/>
      <c r="AME45" s="28"/>
      <c r="AMF45" s="29"/>
      <c r="AMG45" s="29"/>
      <c r="AMH45" s="29"/>
      <c r="AMI45" s="29"/>
      <c r="AMJ45" s="29"/>
      <c r="AMK45" s="28"/>
      <c r="AML45" s="29"/>
      <c r="AMM45" s="29"/>
      <c r="AMN45" s="28"/>
      <c r="AMO45" s="29"/>
      <c r="AMP45" s="30"/>
      <c r="AMQ45" s="28"/>
      <c r="AMR45" s="29"/>
      <c r="AMS45" s="29"/>
      <c r="AMT45" s="29"/>
      <c r="AMU45" s="28"/>
      <c r="AMV45" s="29"/>
      <c r="AMW45" s="29"/>
      <c r="AMX45" s="28"/>
      <c r="AMY45" s="29"/>
      <c r="AMZ45" s="30"/>
      <c r="ANA45" s="28"/>
      <c r="ANB45" s="29"/>
      <c r="ANC45" s="29"/>
      <c r="AND45" s="29"/>
      <c r="ANE45" s="28"/>
      <c r="ANF45" s="29"/>
      <c r="ANG45" s="29"/>
      <c r="ANH45" s="29"/>
      <c r="ANI45" s="29"/>
      <c r="ANJ45" s="29"/>
      <c r="ANK45" s="28"/>
      <c r="ANL45" s="29"/>
      <c r="ANM45" s="29"/>
      <c r="ANN45" s="28"/>
      <c r="ANO45" s="29"/>
      <c r="ANP45" s="30"/>
      <c r="ANQ45" s="28"/>
      <c r="ANR45" s="29"/>
      <c r="ANS45" s="29"/>
      <c r="ANT45" s="29"/>
      <c r="ANU45" s="28"/>
      <c r="ANV45" s="29"/>
      <c r="ANW45" s="29"/>
      <c r="ANX45" s="28"/>
      <c r="ANY45" s="29"/>
      <c r="ANZ45" s="30"/>
      <c r="AOA45" s="28"/>
      <c r="AOB45" s="29"/>
      <c r="AOC45" s="29"/>
      <c r="AOD45" s="29"/>
      <c r="AOE45" s="28"/>
      <c r="AOF45" s="29"/>
      <c r="AOG45" s="29"/>
      <c r="AOH45" s="29"/>
      <c r="AOI45" s="29"/>
      <c r="AOJ45" s="29"/>
      <c r="AOK45" s="28"/>
      <c r="AOL45" s="29"/>
      <c r="AOM45" s="29"/>
      <c r="AON45" s="28"/>
      <c r="AOO45" s="29"/>
      <c r="AOP45" s="30"/>
      <c r="AOQ45" s="28"/>
      <c r="AOR45" s="29"/>
      <c r="AOS45" s="29"/>
      <c r="AOT45" s="29"/>
      <c r="AOU45" s="28"/>
      <c r="AOV45" s="29"/>
      <c r="AOW45" s="29"/>
      <c r="AOX45" s="28"/>
      <c r="AOY45" s="29"/>
      <c r="AOZ45" s="30"/>
      <c r="APA45" s="28"/>
      <c r="APB45" s="29"/>
      <c r="APC45" s="29"/>
      <c r="APD45" s="29"/>
      <c r="APE45" s="28"/>
      <c r="APF45" s="29"/>
      <c r="APG45" s="29"/>
      <c r="APH45" s="29"/>
      <c r="API45" s="29"/>
      <c r="APJ45" s="29"/>
      <c r="APK45" s="28"/>
      <c r="APL45" s="29"/>
      <c r="APM45" s="29"/>
      <c r="APN45" s="28"/>
      <c r="APO45" s="29"/>
      <c r="APP45" s="30"/>
      <c r="APQ45" s="28"/>
      <c r="APR45" s="29"/>
      <c r="APS45" s="29"/>
      <c r="APT45" s="29"/>
      <c r="APU45" s="28"/>
      <c r="APV45" s="29"/>
      <c r="APW45" s="29"/>
      <c r="APX45" s="28"/>
      <c r="APY45" s="29"/>
      <c r="APZ45" s="30"/>
      <c r="AQA45" s="28"/>
      <c r="AQB45" s="29"/>
      <c r="AQC45" s="29"/>
      <c r="AQD45" s="29"/>
      <c r="AQE45" s="28"/>
      <c r="AQF45" s="29"/>
      <c r="AQG45" s="29"/>
      <c r="AQH45" s="29"/>
      <c r="AQI45" s="29"/>
      <c r="AQJ45" s="29"/>
      <c r="AQK45" s="28"/>
      <c r="AQL45" s="29"/>
      <c r="AQM45" s="29"/>
      <c r="AQN45" s="28"/>
      <c r="AQO45" s="29"/>
      <c r="AQP45" s="30"/>
      <c r="AQQ45" s="28"/>
      <c r="AQR45" s="29"/>
      <c r="AQS45" s="29"/>
      <c r="AQT45" s="29"/>
      <c r="AQU45" s="28"/>
      <c r="AQV45" s="29"/>
      <c r="AQW45" s="29"/>
      <c r="AQX45" s="28"/>
      <c r="AQY45" s="29"/>
      <c r="AQZ45" s="30"/>
      <c r="ARA45" s="28"/>
      <c r="ARB45" s="29"/>
      <c r="ARC45" s="29"/>
      <c r="ARD45" s="29"/>
      <c r="ARE45" s="28"/>
      <c r="ARF45" s="29"/>
      <c r="ARG45" s="29"/>
      <c r="ARH45" s="29"/>
      <c r="ARI45" s="29"/>
      <c r="ARJ45" s="29"/>
      <c r="ARK45" s="28"/>
      <c r="ARL45" s="29"/>
      <c r="ARM45" s="29"/>
      <c r="ARN45" s="28"/>
      <c r="ARO45" s="29"/>
      <c r="ARP45" s="30"/>
      <c r="ARQ45" s="28"/>
      <c r="ARR45" s="29"/>
      <c r="ARS45" s="29"/>
      <c r="ART45" s="29"/>
      <c r="ARU45" s="28"/>
      <c r="ARV45" s="29"/>
      <c r="ARW45" s="29"/>
      <c r="ARX45" s="28"/>
      <c r="ARY45" s="29"/>
      <c r="ARZ45" s="30"/>
      <c r="ASA45" s="28"/>
      <c r="ASB45" s="29"/>
      <c r="ASC45" s="29"/>
      <c r="ASD45" s="29"/>
      <c r="ASE45" s="28"/>
      <c r="ASF45" s="29"/>
      <c r="ASG45" s="29"/>
      <c r="ASH45" s="29"/>
      <c r="ASI45" s="29"/>
      <c r="ASJ45" s="29"/>
      <c r="ASK45" s="28"/>
      <c r="ASL45" s="29"/>
      <c r="ASM45" s="29"/>
      <c r="ASN45" s="28"/>
      <c r="ASO45" s="29"/>
      <c r="ASP45" s="30"/>
      <c r="ASQ45" s="28"/>
      <c r="ASR45" s="29"/>
      <c r="ASS45" s="29"/>
      <c r="AST45" s="29"/>
      <c r="ASU45" s="28"/>
      <c r="ASV45" s="29"/>
      <c r="ASW45" s="29"/>
      <c r="ASX45" s="28"/>
      <c r="ASY45" s="29"/>
      <c r="ASZ45" s="30"/>
      <c r="ATA45" s="28"/>
      <c r="ATB45" s="29"/>
      <c r="ATC45" s="29"/>
      <c r="ATD45" s="29"/>
      <c r="ATE45" s="28"/>
      <c r="ATF45" s="29"/>
      <c r="ATG45" s="29"/>
      <c r="ATH45" s="29"/>
      <c r="ATI45" s="29"/>
      <c r="ATJ45" s="29"/>
      <c r="ATK45" s="28"/>
      <c r="ATL45" s="29"/>
      <c r="ATM45" s="29"/>
      <c r="ATN45" s="28"/>
      <c r="ATO45" s="29"/>
      <c r="ATP45" s="30"/>
      <c r="ATQ45" s="28"/>
      <c r="ATR45" s="29"/>
      <c r="ATS45" s="29"/>
      <c r="ATT45" s="29"/>
      <c r="ATU45" s="28"/>
      <c r="ATV45" s="29"/>
      <c r="ATW45" s="29"/>
      <c r="ATX45" s="28"/>
      <c r="ATY45" s="29"/>
      <c r="ATZ45" s="30"/>
      <c r="AUA45" s="28"/>
      <c r="AUB45" s="29"/>
      <c r="AUC45" s="29"/>
      <c r="AUD45" s="29"/>
      <c r="AUE45" s="28"/>
      <c r="AUF45" s="29"/>
      <c r="AUG45" s="29"/>
      <c r="AUH45" s="29"/>
      <c r="AUI45" s="29"/>
      <c r="AUJ45" s="29"/>
      <c r="AUK45" s="28"/>
      <c r="AUL45" s="29"/>
      <c r="AUM45" s="29"/>
      <c r="AUN45" s="28"/>
      <c r="AUO45" s="29"/>
      <c r="AUP45" s="30"/>
      <c r="AUQ45" s="28"/>
      <c r="AUR45" s="29"/>
      <c r="AUS45" s="29"/>
      <c r="AUT45" s="29"/>
      <c r="AUU45" s="28"/>
      <c r="AUV45" s="29"/>
      <c r="AUW45" s="29"/>
      <c r="AUX45" s="28"/>
      <c r="AUY45" s="29"/>
      <c r="AUZ45" s="30"/>
      <c r="AVA45" s="28"/>
      <c r="AVB45" s="29"/>
      <c r="AVC45" s="29"/>
      <c r="AVD45" s="29"/>
      <c r="AVE45" s="28"/>
      <c r="AVF45" s="29"/>
      <c r="AVG45" s="29"/>
      <c r="AVH45" s="29"/>
      <c r="AVI45" s="29"/>
      <c r="AVJ45" s="29"/>
      <c r="AVK45" s="28"/>
      <c r="AVL45" s="29"/>
      <c r="AVM45" s="29"/>
      <c r="AVN45" s="28"/>
      <c r="AVO45" s="29"/>
      <c r="AVP45" s="30"/>
      <c r="AVQ45" s="28"/>
      <c r="AVR45" s="29"/>
      <c r="AVS45" s="29"/>
      <c r="AVT45" s="29"/>
      <c r="AVU45" s="28"/>
      <c r="AVV45" s="29"/>
      <c r="AVW45" s="29"/>
      <c r="AVX45" s="28"/>
      <c r="AVY45" s="29"/>
      <c r="AVZ45" s="30"/>
      <c r="AWA45" s="28"/>
      <c r="AWB45" s="29"/>
      <c r="AWC45" s="29"/>
      <c r="AWD45" s="29"/>
      <c r="AWE45" s="28"/>
      <c r="AWF45" s="29"/>
      <c r="AWG45" s="29"/>
      <c r="AWH45" s="29"/>
      <c r="AWI45" s="29"/>
      <c r="AWJ45" s="29"/>
      <c r="AWK45" s="28"/>
      <c r="AWL45" s="29"/>
      <c r="AWM45" s="29"/>
      <c r="AWN45" s="28"/>
      <c r="AWO45" s="29"/>
      <c r="AWP45" s="30"/>
      <c r="AWQ45" s="28"/>
      <c r="AWR45" s="29"/>
      <c r="AWS45" s="29"/>
      <c r="AWT45" s="29"/>
      <c r="AWU45" s="28"/>
      <c r="AWV45" s="29"/>
      <c r="AWW45" s="29"/>
      <c r="AWX45" s="28"/>
      <c r="AWY45" s="29"/>
      <c r="AWZ45" s="30"/>
      <c r="AXA45" s="28"/>
      <c r="AXB45" s="29"/>
      <c r="AXC45" s="29"/>
      <c r="AXD45" s="29"/>
      <c r="AXE45" s="28"/>
      <c r="AXF45" s="29"/>
      <c r="AXG45" s="29"/>
      <c r="AXH45" s="29"/>
      <c r="AXI45" s="29"/>
      <c r="AXJ45" s="29"/>
      <c r="AXK45" s="28"/>
      <c r="AXL45" s="29"/>
      <c r="AXM45" s="29"/>
      <c r="AXN45" s="28"/>
      <c r="AXO45" s="29"/>
      <c r="AXP45" s="30"/>
      <c r="AXQ45" s="28"/>
      <c r="AXR45" s="29"/>
      <c r="AXS45" s="29"/>
      <c r="AXT45" s="29"/>
      <c r="AXU45" s="28"/>
      <c r="AXV45" s="29"/>
      <c r="AXW45" s="29"/>
      <c r="AXX45" s="28"/>
      <c r="AXY45" s="29"/>
      <c r="AXZ45" s="30"/>
      <c r="AYA45" s="28"/>
      <c r="AYB45" s="29"/>
      <c r="AYC45" s="29"/>
      <c r="AYD45" s="29"/>
      <c r="AYE45" s="28"/>
      <c r="AYF45" s="29"/>
      <c r="AYG45" s="29"/>
      <c r="AYH45" s="29"/>
      <c r="AYI45" s="29"/>
      <c r="AYJ45" s="29"/>
      <c r="AYK45" s="28"/>
      <c r="AYL45" s="29"/>
      <c r="AYM45" s="29"/>
      <c r="AYN45" s="28"/>
      <c r="AYO45" s="29"/>
      <c r="AYP45" s="30"/>
      <c r="AYQ45" s="28"/>
      <c r="AYR45" s="29"/>
      <c r="AYS45" s="29"/>
      <c r="AYT45" s="29"/>
      <c r="AYU45" s="28"/>
      <c r="AYV45" s="29"/>
      <c r="AYW45" s="29"/>
      <c r="AYX45" s="28"/>
      <c r="AYY45" s="29"/>
      <c r="AYZ45" s="30"/>
      <c r="AZA45" s="28"/>
      <c r="AZB45" s="29"/>
      <c r="AZC45" s="29"/>
      <c r="AZD45" s="29"/>
      <c r="AZE45" s="28"/>
      <c r="AZF45" s="29"/>
      <c r="AZG45" s="29"/>
      <c r="AZH45" s="29"/>
      <c r="AZI45" s="29"/>
      <c r="AZJ45" s="29"/>
      <c r="AZK45" s="28"/>
      <c r="AZL45" s="29"/>
      <c r="AZM45" s="29"/>
      <c r="AZN45" s="28"/>
      <c r="AZO45" s="29"/>
      <c r="AZP45" s="30"/>
      <c r="AZQ45" s="28"/>
      <c r="AZR45" s="29"/>
      <c r="AZS45" s="29"/>
      <c r="AZT45" s="29"/>
      <c r="AZU45" s="28"/>
      <c r="AZV45" s="29"/>
      <c r="AZW45" s="29"/>
      <c r="AZX45" s="28"/>
      <c r="AZY45" s="29"/>
      <c r="AZZ45" s="30"/>
      <c r="BAA45" s="28"/>
      <c r="BAB45" s="29"/>
      <c r="BAC45" s="29"/>
      <c r="BAD45" s="29"/>
      <c r="BAE45" s="28"/>
      <c r="BAF45" s="29"/>
      <c r="BAG45" s="29"/>
      <c r="BAH45" s="29"/>
      <c r="BAI45" s="29"/>
      <c r="BAJ45" s="29"/>
      <c r="BAK45" s="28"/>
      <c r="BAL45" s="29"/>
      <c r="BAM45" s="29"/>
      <c r="BAN45" s="28"/>
      <c r="BAO45" s="29"/>
      <c r="BAP45" s="30"/>
      <c r="BAQ45" s="28"/>
      <c r="BAR45" s="29"/>
      <c r="BAS45" s="29"/>
      <c r="BAT45" s="29"/>
      <c r="BAU45" s="28"/>
      <c r="BAV45" s="29"/>
      <c r="BAW45" s="29"/>
      <c r="BAX45" s="28"/>
      <c r="BAY45" s="29"/>
      <c r="BAZ45" s="30"/>
      <c r="BBA45" s="28"/>
      <c r="BBB45" s="29"/>
      <c r="BBC45" s="29"/>
      <c r="BBD45" s="29"/>
      <c r="BBE45" s="28"/>
      <c r="BBF45" s="29"/>
      <c r="BBG45" s="29"/>
      <c r="BBH45" s="29"/>
      <c r="BBI45" s="29"/>
      <c r="BBJ45" s="29"/>
      <c r="BBK45" s="28"/>
      <c r="BBL45" s="29"/>
      <c r="BBM45" s="29"/>
      <c r="BBN45" s="28"/>
      <c r="BBO45" s="29"/>
      <c r="BBP45" s="30"/>
      <c r="BBQ45" s="28"/>
      <c r="BBR45" s="29"/>
      <c r="BBS45" s="29"/>
      <c r="BBT45" s="29"/>
      <c r="BBU45" s="28"/>
      <c r="BBV45" s="29"/>
      <c r="BBW45" s="29"/>
      <c r="BBX45" s="28"/>
      <c r="BBY45" s="29"/>
      <c r="BBZ45" s="30"/>
      <c r="BCA45" s="28"/>
      <c r="BCB45" s="29"/>
      <c r="BCC45" s="29"/>
      <c r="BCD45" s="29"/>
      <c r="BCE45" s="28"/>
      <c r="BCF45" s="29"/>
      <c r="BCG45" s="29"/>
      <c r="BCH45" s="29"/>
      <c r="BCI45" s="29"/>
      <c r="BCJ45" s="29"/>
      <c r="BCK45" s="28"/>
      <c r="BCL45" s="29"/>
      <c r="BCM45" s="29"/>
      <c r="BCN45" s="28"/>
      <c r="BCO45" s="29"/>
      <c r="BCP45" s="30"/>
      <c r="BCQ45" s="28"/>
      <c r="BCR45" s="29"/>
      <c r="BCS45" s="29"/>
      <c r="BCT45" s="29"/>
      <c r="BCU45" s="28"/>
      <c r="BCV45" s="29"/>
      <c r="BCW45" s="29"/>
      <c r="BCX45" s="28"/>
      <c r="BCY45" s="29"/>
      <c r="BCZ45" s="30"/>
      <c r="BDA45" s="28"/>
      <c r="BDB45" s="29"/>
      <c r="BDC45" s="29"/>
      <c r="BDD45" s="29"/>
      <c r="BDE45" s="28"/>
      <c r="BDF45" s="29"/>
      <c r="BDG45" s="29"/>
      <c r="BDH45" s="29"/>
      <c r="BDI45" s="29"/>
      <c r="BDJ45" s="29"/>
      <c r="BDK45" s="28"/>
      <c r="BDL45" s="29"/>
      <c r="BDM45" s="29"/>
      <c r="BDN45" s="28"/>
      <c r="BDO45" s="29"/>
      <c r="BDP45" s="30"/>
      <c r="BDQ45" s="28"/>
      <c r="BDR45" s="29"/>
      <c r="BDS45" s="29"/>
      <c r="BDT45" s="29"/>
      <c r="BDU45" s="28"/>
      <c r="BDV45" s="29"/>
      <c r="BDW45" s="29"/>
      <c r="BDX45" s="28"/>
      <c r="BDY45" s="29"/>
      <c r="BDZ45" s="30"/>
      <c r="BEA45" s="28"/>
      <c r="BEB45" s="29"/>
      <c r="BEC45" s="29"/>
      <c r="BED45" s="29"/>
      <c r="BEE45" s="28"/>
      <c r="BEF45" s="29"/>
      <c r="BEG45" s="29"/>
      <c r="BEH45" s="29"/>
      <c r="BEI45" s="29"/>
      <c r="BEJ45" s="29"/>
      <c r="BEK45" s="28"/>
      <c r="BEL45" s="29"/>
      <c r="BEM45" s="29"/>
      <c r="BEN45" s="28"/>
      <c r="BEO45" s="29"/>
      <c r="BEP45" s="30"/>
      <c r="BEQ45" s="28"/>
      <c r="BER45" s="29"/>
      <c r="BES45" s="29"/>
      <c r="BET45" s="29"/>
      <c r="BEU45" s="28"/>
      <c r="BEV45" s="29"/>
      <c r="BEW45" s="29"/>
      <c r="BEX45" s="28"/>
      <c r="BEY45" s="29"/>
      <c r="BEZ45" s="30"/>
      <c r="BFA45" s="28"/>
      <c r="BFB45" s="29"/>
      <c r="BFC45" s="29"/>
      <c r="BFD45" s="29"/>
      <c r="BFE45" s="28"/>
      <c r="BFF45" s="29"/>
      <c r="BFG45" s="29"/>
      <c r="BFH45" s="29"/>
      <c r="BFI45" s="29"/>
      <c r="BFJ45" s="29"/>
      <c r="BFK45" s="28"/>
      <c r="BFL45" s="29"/>
      <c r="BFM45" s="29"/>
      <c r="BFN45" s="28"/>
      <c r="BFO45" s="29"/>
      <c r="BFP45" s="30"/>
      <c r="BFQ45" s="28"/>
      <c r="BFR45" s="29"/>
      <c r="BFS45" s="29"/>
      <c r="BFT45" s="29"/>
      <c r="BFU45" s="28"/>
      <c r="BFV45" s="29"/>
      <c r="BFW45" s="29"/>
      <c r="BFX45" s="28"/>
      <c r="BFY45" s="29"/>
      <c r="BFZ45" s="30"/>
      <c r="BGA45" s="28"/>
      <c r="BGB45" s="29"/>
      <c r="BGC45" s="29"/>
      <c r="BGD45" s="29"/>
      <c r="BGE45" s="28"/>
      <c r="BGF45" s="29"/>
      <c r="BGG45" s="29"/>
      <c r="BGH45" s="29"/>
      <c r="BGI45" s="29"/>
      <c r="BGJ45" s="29"/>
      <c r="BGK45" s="28"/>
      <c r="BGL45" s="29"/>
      <c r="BGM45" s="29"/>
      <c r="BGN45" s="28"/>
      <c r="BGO45" s="29"/>
      <c r="BGP45" s="30"/>
      <c r="BGQ45" s="28"/>
      <c r="BGR45" s="29"/>
      <c r="BGS45" s="29"/>
      <c r="BGT45" s="29"/>
      <c r="BGU45" s="28"/>
      <c r="BGV45" s="29"/>
      <c r="BGW45" s="29"/>
      <c r="BGX45" s="28"/>
      <c r="BGY45" s="29"/>
      <c r="BGZ45" s="30"/>
      <c r="BHA45" s="28"/>
      <c r="BHB45" s="29"/>
      <c r="BHC45" s="29"/>
      <c r="BHD45" s="29"/>
      <c r="BHE45" s="28"/>
      <c r="BHF45" s="29"/>
      <c r="BHG45" s="29"/>
      <c r="BHH45" s="29"/>
      <c r="BHI45" s="29"/>
      <c r="BHJ45" s="29"/>
      <c r="BHK45" s="28"/>
      <c r="BHL45" s="29"/>
      <c r="BHM45" s="29"/>
      <c r="BHN45" s="28"/>
      <c r="BHO45" s="29"/>
      <c r="BHP45" s="30"/>
      <c r="BHQ45" s="28"/>
      <c r="BHR45" s="29"/>
      <c r="BHS45" s="29"/>
      <c r="BHT45" s="29"/>
      <c r="BHU45" s="28"/>
      <c r="BHV45" s="29"/>
      <c r="BHW45" s="29"/>
      <c r="BHX45" s="28"/>
      <c r="BHY45" s="29"/>
      <c r="BHZ45" s="30"/>
      <c r="BIA45" s="28"/>
      <c r="BIB45" s="29"/>
      <c r="BIC45" s="29"/>
      <c r="BID45" s="29"/>
      <c r="BIE45" s="28"/>
      <c r="BIF45" s="29"/>
      <c r="BIG45" s="29"/>
      <c r="BIH45" s="29"/>
      <c r="BII45" s="29"/>
      <c r="BIJ45" s="29"/>
      <c r="BIK45" s="28"/>
      <c r="BIL45" s="29"/>
      <c r="BIM45" s="29"/>
      <c r="BIN45" s="28"/>
      <c r="BIO45" s="29"/>
      <c r="BIP45" s="30"/>
      <c r="BIQ45" s="28"/>
      <c r="BIR45" s="29"/>
      <c r="BIS45" s="29"/>
      <c r="BIT45" s="29"/>
      <c r="BIU45" s="28"/>
      <c r="BIV45" s="29"/>
      <c r="BIW45" s="29"/>
      <c r="BIX45" s="28"/>
      <c r="BIY45" s="29"/>
      <c r="BIZ45" s="30"/>
      <c r="BJA45" s="28"/>
      <c r="BJB45" s="29"/>
      <c r="BJC45" s="29"/>
      <c r="BJD45" s="29"/>
      <c r="BJE45" s="28"/>
      <c r="BJF45" s="29"/>
      <c r="BJG45" s="29"/>
      <c r="BJH45" s="29"/>
      <c r="BJI45" s="29"/>
      <c r="BJJ45" s="29"/>
      <c r="BJK45" s="28"/>
      <c r="BJL45" s="29"/>
      <c r="BJM45" s="29"/>
      <c r="BJN45" s="28"/>
      <c r="BJO45" s="29"/>
      <c r="BJP45" s="30"/>
      <c r="BJQ45" s="28"/>
      <c r="BJR45" s="29"/>
      <c r="BJS45" s="29"/>
      <c r="BJT45" s="29"/>
      <c r="BJU45" s="28"/>
      <c r="BJV45" s="29"/>
      <c r="BJW45" s="29"/>
      <c r="BJX45" s="28"/>
      <c r="BJY45" s="29"/>
      <c r="BJZ45" s="30"/>
      <c r="BKA45" s="28"/>
      <c r="BKB45" s="29"/>
      <c r="BKC45" s="29"/>
      <c r="BKD45" s="29"/>
      <c r="BKE45" s="28"/>
      <c r="BKF45" s="29"/>
      <c r="BKG45" s="29"/>
      <c r="BKH45" s="29"/>
      <c r="BKI45" s="29"/>
      <c r="BKJ45" s="29"/>
      <c r="BKK45" s="28"/>
      <c r="BKL45" s="29"/>
      <c r="BKM45" s="29"/>
      <c r="BKN45" s="28"/>
      <c r="BKO45" s="29"/>
      <c r="BKP45" s="30"/>
      <c r="BKQ45" s="28"/>
      <c r="BKR45" s="29"/>
      <c r="BKS45" s="29"/>
      <c r="BKT45" s="29"/>
      <c r="BKU45" s="28"/>
      <c r="BKV45" s="29"/>
      <c r="BKW45" s="29"/>
      <c r="BKX45" s="28"/>
      <c r="BKY45" s="29"/>
      <c r="BKZ45" s="30"/>
      <c r="BLA45" s="28"/>
      <c r="BLB45" s="29"/>
      <c r="BLC45" s="29"/>
      <c r="BLD45" s="29"/>
      <c r="BLE45" s="28"/>
      <c r="BLF45" s="29"/>
      <c r="BLG45" s="29"/>
      <c r="BLH45" s="29"/>
      <c r="BLI45" s="29"/>
      <c r="BLJ45" s="29"/>
      <c r="BLK45" s="28"/>
      <c r="BLL45" s="29"/>
      <c r="BLM45" s="29"/>
      <c r="BLN45" s="28"/>
      <c r="BLO45" s="29"/>
      <c r="BLP45" s="30"/>
      <c r="BLQ45" s="28"/>
      <c r="BLR45" s="29"/>
      <c r="BLS45" s="29"/>
      <c r="BLT45" s="29"/>
      <c r="BLU45" s="28"/>
      <c r="BLV45" s="29"/>
      <c r="BLW45" s="29"/>
      <c r="BLX45" s="28"/>
      <c r="BLY45" s="29"/>
      <c r="BLZ45" s="30"/>
      <c r="BMA45" s="28"/>
      <c r="BMB45" s="29"/>
      <c r="BMC45" s="29"/>
      <c r="BMD45" s="29"/>
      <c r="BME45" s="28"/>
      <c r="BMF45" s="29"/>
      <c r="BMG45" s="29"/>
      <c r="BMH45" s="29"/>
      <c r="BMI45" s="29"/>
      <c r="BMJ45" s="29"/>
      <c r="BMK45" s="28"/>
      <c r="BML45" s="29"/>
      <c r="BMM45" s="29"/>
      <c r="BMN45" s="28"/>
      <c r="BMO45" s="29"/>
      <c r="BMP45" s="30"/>
      <c r="BMQ45" s="28"/>
      <c r="BMR45" s="29"/>
      <c r="BMS45" s="29"/>
      <c r="BMT45" s="29"/>
      <c r="BMU45" s="28"/>
      <c r="BMV45" s="29"/>
      <c r="BMW45" s="29"/>
      <c r="BMX45" s="28"/>
      <c r="BMY45" s="29"/>
      <c r="BMZ45" s="30"/>
      <c r="BNA45" s="28"/>
      <c r="BNB45" s="29"/>
      <c r="BNC45" s="29"/>
      <c r="BND45" s="29"/>
      <c r="BNE45" s="28"/>
      <c r="BNF45" s="29"/>
      <c r="BNG45" s="29"/>
      <c r="BNH45" s="29"/>
      <c r="BNI45" s="29"/>
      <c r="BNJ45" s="29"/>
      <c r="BNK45" s="28"/>
      <c r="BNL45" s="29"/>
      <c r="BNM45" s="29"/>
      <c r="BNN45" s="28"/>
      <c r="BNO45" s="29"/>
      <c r="BNP45" s="30"/>
      <c r="BNQ45" s="28"/>
      <c r="BNR45" s="29"/>
      <c r="BNS45" s="29"/>
      <c r="BNT45" s="29"/>
      <c r="BNU45" s="28"/>
      <c r="BNV45" s="29"/>
      <c r="BNW45" s="29"/>
      <c r="BNX45" s="28"/>
      <c r="BNY45" s="29"/>
      <c r="BNZ45" s="30"/>
      <c r="BOA45" s="28"/>
      <c r="BOB45" s="29"/>
      <c r="BOC45" s="29"/>
      <c r="BOD45" s="29"/>
      <c r="BOE45" s="28"/>
      <c r="BOF45" s="29"/>
      <c r="BOG45" s="29"/>
      <c r="BOH45" s="29"/>
      <c r="BOI45" s="29"/>
      <c r="BOJ45" s="29"/>
      <c r="BOK45" s="28"/>
      <c r="BOL45" s="29"/>
      <c r="BOM45" s="29"/>
      <c r="BON45" s="28"/>
      <c r="BOO45" s="29"/>
      <c r="BOP45" s="30"/>
      <c r="BOQ45" s="28"/>
      <c r="BOR45" s="29"/>
      <c r="BOS45" s="29"/>
      <c r="BOT45" s="29"/>
      <c r="BOU45" s="28"/>
      <c r="BOV45" s="29"/>
      <c r="BOW45" s="29"/>
      <c r="BOX45" s="28"/>
      <c r="BOY45" s="29"/>
      <c r="BOZ45" s="30"/>
      <c r="BPA45" s="28"/>
      <c r="BPB45" s="29"/>
      <c r="BPC45" s="29"/>
      <c r="BPD45" s="29"/>
      <c r="BPE45" s="28"/>
      <c r="BPF45" s="29"/>
      <c r="BPG45" s="29"/>
      <c r="BPH45" s="29"/>
      <c r="BPI45" s="29"/>
      <c r="BPJ45" s="29"/>
      <c r="BPK45" s="28"/>
      <c r="BPL45" s="29"/>
      <c r="BPM45" s="29"/>
      <c r="BPN45" s="28"/>
      <c r="BPO45" s="29"/>
      <c r="BPP45" s="30"/>
      <c r="BPQ45" s="28"/>
      <c r="BPR45" s="29"/>
      <c r="BPS45" s="29"/>
      <c r="BPT45" s="29"/>
      <c r="BPU45" s="28"/>
      <c r="BPV45" s="29"/>
      <c r="BPW45" s="29"/>
      <c r="BPX45" s="28"/>
      <c r="BPY45" s="29"/>
      <c r="BPZ45" s="30"/>
      <c r="BQA45" s="28"/>
      <c r="BQB45" s="29"/>
      <c r="BQC45" s="29"/>
      <c r="BQD45" s="29"/>
      <c r="BQE45" s="28"/>
      <c r="BQF45" s="29"/>
      <c r="BQG45" s="29"/>
      <c r="BQH45" s="29"/>
      <c r="BQI45" s="29"/>
      <c r="BQJ45" s="29"/>
      <c r="BQK45" s="28"/>
      <c r="BQL45" s="29"/>
      <c r="BQM45" s="29"/>
      <c r="BQN45" s="28"/>
      <c r="BQO45" s="29"/>
      <c r="BQP45" s="30"/>
      <c r="BQQ45" s="28"/>
      <c r="BQR45" s="29"/>
      <c r="BQS45" s="29"/>
      <c r="BQT45" s="29"/>
      <c r="BQU45" s="28"/>
      <c r="BQV45" s="29"/>
      <c r="BQW45" s="29"/>
      <c r="BQX45" s="28"/>
      <c r="BQY45" s="29"/>
      <c r="BQZ45" s="30"/>
      <c r="BRA45" s="28"/>
      <c r="BRB45" s="29"/>
      <c r="BRC45" s="29"/>
      <c r="BRD45" s="29"/>
      <c r="BRE45" s="28"/>
      <c r="BRF45" s="29"/>
      <c r="BRG45" s="29"/>
      <c r="BRH45" s="29"/>
      <c r="BRI45" s="29"/>
      <c r="BRJ45" s="29"/>
      <c r="BRK45" s="28"/>
      <c r="BRL45" s="29"/>
      <c r="BRM45" s="29"/>
      <c r="BRN45" s="28"/>
      <c r="BRO45" s="29"/>
      <c r="BRP45" s="30"/>
      <c r="BRQ45" s="28"/>
      <c r="BRR45" s="29"/>
      <c r="BRS45" s="29"/>
      <c r="BRT45" s="29"/>
      <c r="BRU45" s="28"/>
      <c r="BRV45" s="29"/>
      <c r="BRW45" s="29"/>
      <c r="BRX45" s="28"/>
      <c r="BRY45" s="29"/>
      <c r="BRZ45" s="30"/>
      <c r="BSA45" s="28"/>
      <c r="BSB45" s="29"/>
      <c r="BSC45" s="29"/>
      <c r="BSD45" s="29"/>
      <c r="BSE45" s="28"/>
      <c r="BSF45" s="29"/>
      <c r="BSG45" s="29"/>
      <c r="BSH45" s="29"/>
      <c r="BSI45" s="29"/>
      <c r="BSJ45" s="29"/>
      <c r="BSK45" s="28"/>
      <c r="BSL45" s="29"/>
      <c r="BSM45" s="29"/>
      <c r="BSN45" s="28"/>
      <c r="BSO45" s="29"/>
      <c r="BSP45" s="30"/>
      <c r="BSQ45" s="28"/>
      <c r="BSR45" s="29"/>
      <c r="BSS45" s="29"/>
      <c r="BST45" s="29"/>
      <c r="BSU45" s="28"/>
      <c r="BSV45" s="29"/>
      <c r="BSW45" s="29"/>
      <c r="BSX45" s="28"/>
      <c r="BSY45" s="29"/>
      <c r="BSZ45" s="30"/>
      <c r="BTA45" s="28"/>
      <c r="BTB45" s="29"/>
      <c r="BTC45" s="29"/>
      <c r="BTD45" s="29"/>
      <c r="BTE45" s="28"/>
      <c r="BTF45" s="29"/>
      <c r="BTG45" s="29"/>
      <c r="BTH45" s="29"/>
      <c r="BTI45" s="29"/>
      <c r="BTJ45" s="29"/>
      <c r="BTK45" s="28"/>
      <c r="BTL45" s="29"/>
      <c r="BTM45" s="29"/>
      <c r="BTN45" s="28"/>
      <c r="BTO45" s="29"/>
      <c r="BTP45" s="30"/>
      <c r="BTQ45" s="28"/>
      <c r="BTR45" s="29"/>
      <c r="BTS45" s="29"/>
      <c r="BTT45" s="29"/>
      <c r="BTU45" s="28"/>
      <c r="BTV45" s="29"/>
      <c r="BTW45" s="29"/>
      <c r="BTX45" s="28"/>
      <c r="BTY45" s="29"/>
      <c r="BTZ45" s="30"/>
      <c r="BUA45" s="28"/>
      <c r="BUB45" s="29"/>
      <c r="BUC45" s="29"/>
      <c r="BUD45" s="29"/>
      <c r="BUE45" s="28"/>
      <c r="BUF45" s="29"/>
      <c r="BUG45" s="29"/>
      <c r="BUH45" s="29"/>
      <c r="BUI45" s="29"/>
      <c r="BUJ45" s="29"/>
      <c r="BUK45" s="28"/>
      <c r="BUL45" s="29"/>
      <c r="BUM45" s="29"/>
      <c r="BUN45" s="28"/>
      <c r="BUO45" s="29"/>
      <c r="BUP45" s="30"/>
      <c r="BUQ45" s="28"/>
      <c r="BUR45" s="29"/>
      <c r="BUS45" s="29"/>
      <c r="BUT45" s="29"/>
      <c r="BUU45" s="28"/>
      <c r="BUV45" s="29"/>
      <c r="BUW45" s="29"/>
      <c r="BUX45" s="28"/>
      <c r="BUY45" s="29"/>
      <c r="BUZ45" s="30"/>
      <c r="BVA45" s="28"/>
      <c r="BVB45" s="29"/>
      <c r="BVC45" s="29"/>
      <c r="BVD45" s="29"/>
      <c r="BVE45" s="28"/>
      <c r="BVF45" s="29"/>
      <c r="BVG45" s="29"/>
      <c r="BVH45" s="29"/>
      <c r="BVI45" s="29"/>
      <c r="BVJ45" s="29"/>
      <c r="BVK45" s="28"/>
      <c r="BVL45" s="29"/>
      <c r="BVM45" s="29"/>
      <c r="BVN45" s="28"/>
      <c r="BVO45" s="29"/>
      <c r="BVP45" s="30"/>
      <c r="BVQ45" s="28"/>
      <c r="BVR45" s="29"/>
      <c r="BVS45" s="29"/>
      <c r="BVT45" s="29"/>
      <c r="BVU45" s="28"/>
      <c r="BVV45" s="29"/>
      <c r="BVW45" s="29"/>
      <c r="BVX45" s="28"/>
      <c r="BVY45" s="29"/>
      <c r="BVZ45" s="30"/>
      <c r="BWA45" s="28"/>
      <c r="BWB45" s="29"/>
      <c r="BWC45" s="29"/>
      <c r="BWD45" s="29"/>
      <c r="BWE45" s="28"/>
      <c r="BWF45" s="29"/>
      <c r="BWG45" s="29"/>
      <c r="BWH45" s="29"/>
      <c r="BWI45" s="29"/>
      <c r="BWJ45" s="29"/>
      <c r="BWK45" s="28"/>
      <c r="BWL45" s="29"/>
      <c r="BWM45" s="29"/>
      <c r="BWN45" s="28"/>
      <c r="BWO45" s="29"/>
      <c r="BWP45" s="30"/>
      <c r="BWQ45" s="28"/>
      <c r="BWR45" s="29"/>
      <c r="BWS45" s="29"/>
      <c r="BWT45" s="29"/>
      <c r="BWU45" s="28"/>
      <c r="BWV45" s="29"/>
      <c r="BWW45" s="29"/>
      <c r="BWX45" s="28"/>
      <c r="BWY45" s="29"/>
      <c r="BWZ45" s="30"/>
      <c r="BXA45" s="28"/>
      <c r="BXB45" s="29"/>
      <c r="BXC45" s="29"/>
      <c r="BXD45" s="29"/>
      <c r="BXE45" s="28"/>
      <c r="BXF45" s="29"/>
      <c r="BXG45" s="29"/>
      <c r="BXH45" s="29"/>
      <c r="BXI45" s="29"/>
      <c r="BXJ45" s="29"/>
      <c r="BXK45" s="28"/>
      <c r="BXL45" s="29"/>
      <c r="BXM45" s="29"/>
      <c r="BXN45" s="28"/>
      <c r="BXO45" s="29"/>
      <c r="BXP45" s="30"/>
      <c r="BXQ45" s="28"/>
      <c r="BXR45" s="29"/>
      <c r="BXS45" s="29"/>
      <c r="BXT45" s="29"/>
      <c r="BXU45" s="28"/>
      <c r="BXV45" s="29"/>
      <c r="BXW45" s="29"/>
      <c r="BXX45" s="28"/>
      <c r="BXY45" s="29"/>
      <c r="BXZ45" s="30"/>
      <c r="BYA45" s="28"/>
      <c r="BYB45" s="29"/>
      <c r="BYC45" s="29"/>
      <c r="BYD45" s="29"/>
      <c r="BYE45" s="28"/>
      <c r="BYF45" s="29"/>
      <c r="BYG45" s="29"/>
      <c r="BYH45" s="29"/>
      <c r="BYI45" s="29"/>
      <c r="BYJ45" s="29"/>
      <c r="BYK45" s="28"/>
      <c r="BYL45" s="29"/>
      <c r="BYM45" s="29"/>
      <c r="BYN45" s="28"/>
      <c r="BYO45" s="29"/>
      <c r="BYP45" s="30"/>
      <c r="BYQ45" s="28"/>
      <c r="BYR45" s="29"/>
      <c r="BYS45" s="29"/>
      <c r="BYT45" s="29"/>
      <c r="BYU45" s="28"/>
      <c r="BYV45" s="29"/>
      <c r="BYW45" s="29"/>
      <c r="BYX45" s="30"/>
      <c r="BYY45" s="29"/>
      <c r="BYZ45" s="28"/>
      <c r="BZA45" s="29"/>
      <c r="BZB45" s="28"/>
      <c r="BZC45" s="28"/>
      <c r="BZD45" s="28"/>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30"/>
      <c r="CAQ45" s="28"/>
      <c r="CAR45" s="29"/>
      <c r="CAS45" s="29"/>
      <c r="CAT45" s="29"/>
      <c r="CAU45" s="29"/>
      <c r="CAV45" s="29"/>
      <c r="CAW45" s="28"/>
      <c r="CAX45" s="29"/>
      <c r="CAY45" s="29"/>
      <c r="CAZ45" s="28"/>
      <c r="CBA45" s="29"/>
      <c r="CBB45" s="30"/>
      <c r="CBC45" s="28"/>
      <c r="CBD45" s="29"/>
      <c r="CBE45" s="29"/>
      <c r="CBF45" s="29"/>
      <c r="CBG45" s="28"/>
      <c r="CBH45" s="29"/>
      <c r="CBI45" s="29"/>
      <c r="CBJ45" s="28"/>
      <c r="CBK45" s="29"/>
      <c r="CBL45" s="30"/>
      <c r="CBM45" s="28"/>
      <c r="CBN45" s="29"/>
      <c r="CBO45" s="29"/>
      <c r="CBP45" s="29"/>
      <c r="CBQ45" s="28"/>
      <c r="CBR45" s="29"/>
      <c r="CBS45" s="29"/>
      <c r="CBT45" s="28"/>
      <c r="CBU45" s="29"/>
      <c r="CBV45" s="30"/>
      <c r="CBW45" s="28"/>
      <c r="CBX45" s="29"/>
      <c r="CBY45" s="29"/>
      <c r="CBZ45" s="29"/>
      <c r="CCA45" s="28"/>
      <c r="CCB45" s="29"/>
      <c r="CCC45" s="29"/>
      <c r="CCD45" s="28"/>
      <c r="CCE45" s="29"/>
      <c r="CCF45" s="30"/>
      <c r="CCG45" s="28"/>
      <c r="CCH45" s="30"/>
      <c r="CCI45" s="29"/>
      <c r="CCJ45" s="28"/>
      <c r="CCK45" s="29"/>
      <c r="CCL45" s="28"/>
      <c r="CCM45" s="28"/>
      <c r="CCN45" s="28"/>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30"/>
      <c r="CEA45" s="28"/>
      <c r="CEB45" s="29"/>
      <c r="CEC45" s="29"/>
      <c r="CED45" s="29"/>
      <c r="CEE45" s="29"/>
      <c r="CEF45" s="29"/>
      <c r="CEG45" s="28"/>
      <c r="CEH45" s="29"/>
      <c r="CEI45" s="29"/>
      <c r="CEJ45" s="28"/>
      <c r="CEK45" s="29"/>
      <c r="CEL45" s="30"/>
      <c r="CEM45" s="28"/>
      <c r="CEN45" s="29"/>
      <c r="CEO45" s="29"/>
      <c r="CEP45" s="29"/>
      <c r="CEQ45" s="28"/>
      <c r="CER45" s="29"/>
      <c r="CES45" s="29"/>
      <c r="CET45" s="28"/>
      <c r="CEU45" s="29"/>
      <c r="CEV45" s="30"/>
      <c r="CEW45" s="28"/>
      <c r="CEX45" s="29"/>
      <c r="CEY45" s="29"/>
      <c r="CEZ45" s="29"/>
      <c r="CFA45" s="28"/>
      <c r="CFB45" s="29"/>
      <c r="CFC45" s="29"/>
      <c r="CFD45" s="28"/>
      <c r="CFE45" s="29"/>
      <c r="CFF45" s="30"/>
      <c r="CFG45" s="28"/>
      <c r="CFH45" s="29"/>
      <c r="CFI45" s="29"/>
      <c r="CFJ45" s="29"/>
      <c r="CFK45" s="28"/>
      <c r="CFL45" s="29"/>
      <c r="CFM45" s="29"/>
      <c r="CFN45" s="28"/>
      <c r="CFO45" s="29"/>
      <c r="CFP45" s="30"/>
      <c r="CFQ45" s="28"/>
      <c r="CFR45" s="30"/>
      <c r="CFS45" s="29"/>
      <c r="CFT45" s="28"/>
      <c r="CFU45" s="29"/>
      <c r="CFV45" s="28"/>
      <c r="CFW45" s="28"/>
      <c r="CFX45" s="28"/>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30"/>
      <c r="CHK45" s="28"/>
      <c r="CHL45" s="29"/>
      <c r="CHM45" s="29"/>
      <c r="CHN45" s="29"/>
      <c r="CHO45" s="29"/>
      <c r="CHP45" s="29"/>
      <c r="CHQ45" s="28"/>
      <c r="CHR45" s="29"/>
      <c r="CHS45" s="29"/>
      <c r="CHT45" s="28"/>
      <c r="CHU45" s="29"/>
      <c r="CHV45" s="30"/>
      <c r="CHW45" s="28"/>
      <c r="CHX45" s="29"/>
      <c r="CHY45" s="29"/>
      <c r="CHZ45" s="29"/>
      <c r="CIA45" s="28"/>
      <c r="CIB45" s="29"/>
      <c r="CIC45" s="29"/>
      <c r="CID45" s="28"/>
      <c r="CIE45" s="29"/>
      <c r="CIF45" s="30"/>
      <c r="CIG45" s="28"/>
      <c r="CIH45" s="29"/>
      <c r="CII45" s="29"/>
      <c r="CIJ45" s="29"/>
      <c r="CIK45" s="28"/>
      <c r="CIL45" s="29"/>
      <c r="CIM45" s="29"/>
      <c r="CIN45" s="28"/>
      <c r="CIO45" s="29"/>
      <c r="CIP45" s="30"/>
      <c r="CIQ45" s="28"/>
      <c r="CIR45" s="29"/>
      <c r="CIS45" s="29"/>
      <c r="CIT45" s="29"/>
      <c r="CIU45" s="28"/>
      <c r="CIV45" s="29"/>
      <c r="CIW45" s="29"/>
      <c r="CIX45" s="28"/>
      <c r="CIY45" s="29"/>
      <c r="CIZ45" s="30"/>
      <c r="CJA45" s="28"/>
      <c r="CJB45" s="30"/>
      <c r="CJC45" s="29"/>
      <c r="CJD45" s="28"/>
      <c r="CJE45" s="29"/>
      <c r="CJF45" s="28"/>
      <c r="CJG45" s="28"/>
      <c r="CJH45" s="28"/>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30"/>
      <c r="CKU45" s="28"/>
      <c r="CKV45" s="29"/>
      <c r="CKW45" s="29"/>
      <c r="CKX45" s="29"/>
      <c r="CKY45" s="29"/>
      <c r="CKZ45" s="29"/>
      <c r="CLA45" s="28"/>
      <c r="CLB45" s="29"/>
      <c r="CLC45" s="29"/>
      <c r="CLD45" s="28"/>
      <c r="CLE45" s="29"/>
      <c r="CLF45" s="30"/>
      <c r="CLG45" s="28"/>
      <c r="CLH45" s="29"/>
      <c r="CLI45" s="29"/>
      <c r="CLJ45" s="29"/>
      <c r="CLK45" s="28"/>
      <c r="CLL45" s="29"/>
      <c r="CLM45" s="29"/>
      <c r="CLN45" s="28"/>
      <c r="CLO45" s="29"/>
      <c r="CLP45" s="30"/>
      <c r="CLQ45" s="28"/>
      <c r="CLR45" s="29"/>
      <c r="CLS45" s="29"/>
      <c r="CLT45" s="29"/>
      <c r="CLU45" s="28"/>
      <c r="CLV45" s="29"/>
      <c r="CLW45" s="29"/>
      <c r="CLX45" s="28"/>
      <c r="CLY45" s="29"/>
      <c r="CLZ45" s="30"/>
      <c r="CMA45" s="28"/>
      <c r="CMB45" s="29"/>
      <c r="CMC45" s="29"/>
      <c r="CMD45" s="29"/>
      <c r="CME45" s="28"/>
      <c r="CMF45" s="29"/>
      <c r="CMG45" s="29"/>
      <c r="CMH45" s="28"/>
      <c r="CMI45" s="29"/>
      <c r="CMJ45" s="30"/>
      <c r="CMK45" s="28"/>
      <c r="CML45" s="30"/>
      <c r="CMM45" s="29"/>
      <c r="CMN45" s="28"/>
      <c r="CMO45" s="29"/>
      <c r="CMP45" s="28"/>
      <c r="CMQ45" s="28"/>
      <c r="CMR45" s="28"/>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30"/>
      <c r="COE45" s="28"/>
      <c r="COF45" s="29"/>
      <c r="COG45" s="29"/>
      <c r="COH45" s="29"/>
      <c r="COI45" s="29"/>
      <c r="COJ45" s="29"/>
      <c r="COK45" s="28"/>
      <c r="COL45" s="29"/>
      <c r="COM45" s="29"/>
      <c r="CON45" s="28"/>
      <c r="COO45" s="29"/>
      <c r="COP45" s="30"/>
      <c r="COQ45" s="28"/>
      <c r="COR45" s="29"/>
      <c r="COS45" s="29"/>
      <c r="COT45" s="29"/>
      <c r="COU45" s="28"/>
      <c r="COV45" s="29"/>
      <c r="COW45" s="29"/>
      <c r="COX45" s="28"/>
      <c r="COY45" s="29"/>
      <c r="COZ45" s="30"/>
      <c r="CPA45" s="28"/>
      <c r="CPB45" s="29"/>
      <c r="CPC45" s="29"/>
      <c r="CPD45" s="29"/>
      <c r="CPE45" s="28"/>
      <c r="CPF45" s="29"/>
      <c r="CPG45" s="29"/>
      <c r="CPH45" s="28"/>
      <c r="CPI45" s="29"/>
      <c r="CPJ45" s="30"/>
      <c r="CPK45" s="28"/>
      <c r="CPL45" s="29"/>
      <c r="CPM45" s="29"/>
      <c r="CPN45" s="29"/>
      <c r="CPO45" s="28"/>
      <c r="CPP45" s="29"/>
      <c r="CPQ45" s="29"/>
      <c r="CPR45" s="28"/>
      <c r="CPS45" s="29"/>
      <c r="CPT45" s="30"/>
      <c r="CPU45" s="28"/>
      <c r="CPV45" s="30"/>
      <c r="CPW45" s="29"/>
      <c r="CPX45" s="28"/>
      <c r="CPY45" s="29"/>
      <c r="CPZ45" s="28"/>
      <c r="CQA45" s="28"/>
      <c r="CQB45" s="28"/>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30"/>
      <c r="CRO45" s="28"/>
      <c r="CRP45" s="29"/>
      <c r="CRQ45" s="29"/>
      <c r="CRR45" s="29"/>
      <c r="CRS45" s="29"/>
      <c r="CRT45" s="29"/>
      <c r="CRU45" s="28"/>
      <c r="CRV45" s="29"/>
      <c r="CRW45" s="29"/>
      <c r="CRX45" s="28"/>
      <c r="CRY45" s="29"/>
      <c r="CRZ45" s="30"/>
      <c r="CSA45" s="28"/>
      <c r="CSB45" s="29"/>
      <c r="CSC45" s="29"/>
      <c r="CSD45" s="29"/>
      <c r="CSE45" s="28"/>
      <c r="CSF45" s="29"/>
      <c r="CSG45" s="29"/>
      <c r="CSH45" s="28"/>
      <c r="CSI45" s="29"/>
      <c r="CSJ45" s="30"/>
      <c r="CSK45" s="28"/>
      <c r="CSL45" s="29"/>
      <c r="CSM45" s="29"/>
      <c r="CSN45" s="29"/>
      <c r="CSO45" s="28"/>
      <c r="CSP45" s="29"/>
      <c r="CSQ45" s="29"/>
      <c r="CSR45" s="28"/>
      <c r="CSS45" s="29"/>
      <c r="CST45" s="30"/>
      <c r="CSU45" s="28"/>
      <c r="CSV45" s="29"/>
      <c r="CSW45" s="29"/>
      <c r="CSX45" s="29"/>
      <c r="CSY45" s="28"/>
      <c r="CSZ45" s="29"/>
      <c r="CTA45" s="29"/>
      <c r="CTB45" s="28"/>
      <c r="CTC45" s="29"/>
      <c r="CTD45" s="30"/>
      <c r="CTE45" s="28"/>
      <c r="CTF45" s="30"/>
      <c r="CTG45" s="29"/>
      <c r="CTH45" s="28"/>
      <c r="CTI45" s="29"/>
      <c r="CTJ45" s="28"/>
      <c r="CTK45" s="28"/>
      <c r="CTL45" s="28"/>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30"/>
      <c r="CUY45" s="28"/>
      <c r="CUZ45" s="29"/>
      <c r="CVA45" s="29"/>
      <c r="CVB45" s="29"/>
      <c r="CVC45" s="29"/>
      <c r="CVD45" s="29"/>
      <c r="CVE45" s="28"/>
      <c r="CVF45" s="29"/>
      <c r="CVG45" s="29"/>
      <c r="CVH45" s="28"/>
      <c r="CVI45" s="29"/>
      <c r="CVJ45" s="30"/>
      <c r="CVK45" s="28"/>
      <c r="CVL45" s="29"/>
      <c r="CVM45" s="29"/>
      <c r="CVN45" s="29"/>
      <c r="CVO45" s="28"/>
      <c r="CVP45" s="29"/>
      <c r="CVQ45" s="29"/>
      <c r="CVR45" s="28"/>
      <c r="CVS45" s="29"/>
      <c r="CVT45" s="30"/>
      <c r="CVU45" s="28"/>
      <c r="CVV45" s="29"/>
      <c r="CVW45" s="29"/>
      <c r="CVX45" s="29"/>
      <c r="CVY45" s="28"/>
      <c r="CVZ45" s="29"/>
      <c r="CWA45" s="29"/>
      <c r="CWB45" s="28"/>
      <c r="CWC45" s="29"/>
      <c r="CWD45" s="30"/>
      <c r="CWE45" s="28"/>
      <c r="CWF45" s="29"/>
      <c r="CWG45" s="29"/>
      <c r="CWH45" s="29"/>
      <c r="CWI45" s="28"/>
      <c r="CWJ45" s="29"/>
      <c r="CWK45" s="29"/>
      <c r="CWL45" s="28"/>
      <c r="CWM45" s="29"/>
      <c r="CWN45" s="30"/>
      <c r="CWO45" s="28"/>
      <c r="CWP45" s="30"/>
      <c r="CWQ45" s="29"/>
      <c r="CWR45" s="28"/>
      <c r="CWS45" s="29"/>
      <c r="CWT45" s="28"/>
      <c r="CWU45" s="28"/>
      <c r="CWV45" s="28"/>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30"/>
      <c r="CYI45" s="28"/>
      <c r="CYJ45" s="29"/>
      <c r="CYK45" s="29"/>
      <c r="CYL45" s="29"/>
      <c r="CYM45" s="29"/>
      <c r="CYN45" s="29"/>
      <c r="CYO45" s="28"/>
      <c r="CYP45" s="29"/>
      <c r="CYQ45" s="29"/>
      <c r="CYR45" s="28"/>
      <c r="CYS45" s="29"/>
      <c r="CYT45" s="30"/>
      <c r="CYU45" s="28"/>
      <c r="CYV45" s="29"/>
      <c r="CYW45" s="29"/>
      <c r="CYX45" s="29"/>
      <c r="CYY45" s="28"/>
      <c r="CYZ45" s="29"/>
      <c r="CZA45" s="29"/>
      <c r="CZB45" s="28"/>
      <c r="CZC45" s="29"/>
      <c r="CZD45" s="30"/>
      <c r="CZE45" s="28"/>
      <c r="CZF45" s="29"/>
      <c r="CZG45" s="29"/>
      <c r="CZH45" s="29"/>
      <c r="CZI45" s="28"/>
      <c r="CZJ45" s="29"/>
      <c r="CZK45" s="29"/>
      <c r="CZL45" s="28"/>
      <c r="CZM45" s="29"/>
      <c r="CZN45" s="30"/>
      <c r="CZO45" s="28"/>
      <c r="CZP45" s="29"/>
      <c r="CZQ45" s="29"/>
      <c r="CZR45" s="29"/>
      <c r="CZS45" s="28"/>
      <c r="CZT45" s="29"/>
      <c r="CZU45" s="29"/>
      <c r="CZV45" s="28"/>
      <c r="CZW45" s="29"/>
      <c r="CZX45" s="30"/>
      <c r="CZY45" s="28"/>
      <c r="CZZ45" s="30"/>
      <c r="DAA45" s="29"/>
      <c r="DAB45" s="28"/>
      <c r="DAC45" s="29"/>
      <c r="DAD45" s="28"/>
      <c r="DAE45" s="28"/>
      <c r="DAF45" s="28"/>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30"/>
      <c r="DBS45" s="28"/>
      <c r="DBT45" s="29"/>
      <c r="DBU45" s="29"/>
      <c r="DBV45" s="29"/>
      <c r="DBW45" s="29"/>
      <c r="DBX45" s="29"/>
      <c r="DBY45" s="28"/>
      <c r="DBZ45" s="29"/>
      <c r="DCA45" s="29"/>
      <c r="DCB45" s="28"/>
      <c r="DCC45" s="29"/>
      <c r="DCD45" s="30"/>
      <c r="DCE45" s="28"/>
      <c r="DCF45" s="29"/>
      <c r="DCG45" s="29"/>
      <c r="DCH45" s="29"/>
      <c r="DCI45" s="28"/>
      <c r="DCJ45" s="29"/>
      <c r="DCK45" s="29"/>
      <c r="DCL45" s="28"/>
      <c r="DCM45" s="29"/>
      <c r="DCN45" s="30"/>
      <c r="DCO45" s="28"/>
      <c r="DCP45" s="29"/>
      <c r="DCQ45" s="29"/>
      <c r="DCR45" s="29"/>
      <c r="DCS45" s="28"/>
      <c r="DCT45" s="29"/>
      <c r="DCU45" s="29"/>
      <c r="DCV45" s="28"/>
      <c r="DCW45" s="29"/>
      <c r="DCX45" s="30"/>
      <c r="DCY45" s="28"/>
      <c r="DCZ45" s="29"/>
      <c r="DDA45" s="29"/>
      <c r="DDB45" s="29"/>
      <c r="DDC45" s="28"/>
      <c r="DDD45" s="29"/>
      <c r="DDE45" s="29"/>
      <c r="DDF45" s="28"/>
      <c r="DDG45" s="29"/>
      <c r="DDH45" s="30"/>
      <c r="DDI45" s="28"/>
      <c r="DDJ45" s="30"/>
      <c r="DDK45" s="29"/>
      <c r="DDL45" s="28"/>
      <c r="DDM45" s="29"/>
      <c r="DDN45" s="28"/>
      <c r="DDO45" s="28"/>
      <c r="DDP45" s="28"/>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30"/>
      <c r="DFC45" s="28"/>
      <c r="DFD45" s="29"/>
      <c r="DFE45" s="29"/>
      <c r="DFF45" s="29"/>
      <c r="DFG45" s="29"/>
      <c r="DFH45" s="29"/>
      <c r="DFI45" s="28"/>
      <c r="DFJ45" s="29"/>
      <c r="DFK45" s="29"/>
      <c r="DFL45" s="28"/>
      <c r="DFM45" s="29"/>
      <c r="DFN45" s="30"/>
      <c r="DFO45" s="28"/>
      <c r="DFP45" s="29"/>
      <c r="DFQ45" s="29"/>
      <c r="DFR45" s="29"/>
      <c r="DFS45" s="28"/>
      <c r="DFT45" s="29"/>
      <c r="DFU45" s="29"/>
      <c r="DFV45" s="28"/>
      <c r="DFW45" s="29"/>
      <c r="DFX45" s="30"/>
      <c r="DFY45" s="28"/>
      <c r="DFZ45" s="29"/>
      <c r="DGA45" s="29"/>
      <c r="DGB45" s="29"/>
      <c r="DGC45" s="28"/>
      <c r="DGD45" s="29"/>
      <c r="DGE45" s="29"/>
      <c r="DGF45" s="28"/>
      <c r="DGG45" s="29"/>
      <c r="DGH45" s="30"/>
      <c r="DGI45" s="28"/>
      <c r="DGJ45" s="29"/>
      <c r="DGK45" s="29"/>
      <c r="DGL45" s="29"/>
      <c r="DGM45" s="28"/>
      <c r="DGN45" s="29"/>
      <c r="DGO45" s="29"/>
      <c r="DGP45" s="28"/>
      <c r="DGQ45" s="29"/>
      <c r="DGR45" s="30"/>
      <c r="DGS45" s="28"/>
      <c r="DGT45" s="30"/>
      <c r="DGU45" s="29"/>
      <c r="DGV45" s="28"/>
      <c r="DGW45" s="29"/>
      <c r="DGX45" s="28"/>
      <c r="DGY45" s="28"/>
      <c r="DGZ45" s="28"/>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30"/>
      <c r="DIM45" s="28"/>
      <c r="DIN45" s="29"/>
      <c r="DIO45" s="29"/>
      <c r="DIP45" s="29"/>
      <c r="DIQ45" s="29"/>
      <c r="DIR45" s="29"/>
      <c r="DIS45" s="28"/>
      <c r="DIT45" s="29"/>
      <c r="DIU45" s="29"/>
      <c r="DIV45" s="28"/>
      <c r="DIW45" s="29"/>
      <c r="DIX45" s="30"/>
      <c r="DIY45" s="28"/>
      <c r="DIZ45" s="29"/>
      <c r="DJA45" s="29"/>
      <c r="DJB45" s="29"/>
      <c r="DJC45" s="28"/>
      <c r="DJD45" s="29"/>
      <c r="DJE45" s="29"/>
      <c r="DJF45" s="28"/>
      <c r="DJG45" s="29"/>
      <c r="DJH45" s="30"/>
      <c r="DJI45" s="28"/>
      <c r="DJJ45" s="29"/>
      <c r="DJK45" s="29"/>
      <c r="DJL45" s="29"/>
      <c r="DJM45" s="28"/>
      <c r="DJN45" s="29"/>
      <c r="DJO45" s="29"/>
      <c r="DJP45" s="28"/>
      <c r="DJQ45" s="29"/>
      <c r="DJR45" s="30"/>
      <c r="DJS45" s="28"/>
      <c r="DJT45" s="29"/>
      <c r="DJU45" s="29"/>
      <c r="DJV45" s="29"/>
      <c r="DJW45" s="28"/>
      <c r="DJX45" s="29"/>
      <c r="DJY45" s="29"/>
      <c r="DJZ45" s="28"/>
      <c r="DKA45" s="29"/>
      <c r="DKB45" s="30"/>
      <c r="DKC45" s="28"/>
      <c r="DKD45" s="30"/>
      <c r="DKE45" s="29"/>
      <c r="DKF45" s="28"/>
      <c r="DKG45" s="29"/>
      <c r="DKH45" s="28"/>
      <c r="DKI45" s="28"/>
      <c r="DKJ45" s="28"/>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30"/>
      <c r="DLW45" s="28"/>
      <c r="DLX45" s="29"/>
      <c r="DLY45" s="29"/>
      <c r="DLZ45" s="29"/>
      <c r="DMA45" s="29"/>
      <c r="DMB45" s="29"/>
      <c r="DMC45" s="28"/>
      <c r="DMD45" s="29"/>
      <c r="DME45" s="29"/>
      <c r="DMF45" s="28"/>
      <c r="DMG45" s="29"/>
      <c r="DMH45" s="30"/>
      <c r="DMI45" s="28"/>
      <c r="DMJ45" s="29"/>
      <c r="DMK45" s="29"/>
      <c r="DML45" s="29"/>
      <c r="DMM45" s="28"/>
      <c r="DMN45" s="29"/>
      <c r="DMO45" s="29"/>
      <c r="DMP45" s="28"/>
      <c r="DMQ45" s="29"/>
      <c r="DMR45" s="30"/>
      <c r="DMS45" s="28"/>
      <c r="DMT45" s="29"/>
      <c r="DMU45" s="29"/>
      <c r="DMV45" s="29"/>
      <c r="DMW45" s="28"/>
      <c r="DMX45" s="29"/>
      <c r="DMY45" s="29"/>
      <c r="DMZ45" s="28"/>
      <c r="DNA45" s="29"/>
      <c r="DNB45" s="30"/>
      <c r="DNC45" s="28"/>
      <c r="DND45" s="29"/>
      <c r="DNE45" s="29"/>
      <c r="DNF45" s="29"/>
      <c r="DNG45" s="28"/>
      <c r="DNH45" s="29"/>
      <c r="DNI45" s="29"/>
      <c r="DNJ45" s="28"/>
      <c r="DNK45" s="29"/>
      <c r="DNL45" s="30"/>
      <c r="DNM45" s="28"/>
      <c r="DNN45" s="30"/>
      <c r="DNO45" s="29"/>
      <c r="DNP45" s="28"/>
      <c r="DNQ45" s="29"/>
      <c r="DNR45" s="28"/>
      <c r="DNS45" s="28"/>
      <c r="DNT45" s="28"/>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30"/>
      <c r="DPG45" s="28"/>
      <c r="DPH45" s="29"/>
      <c r="DPI45" s="29"/>
      <c r="DPJ45" s="29"/>
      <c r="DPK45" s="29"/>
      <c r="DPL45" s="29"/>
      <c r="DPM45" s="28"/>
      <c r="DPN45" s="29"/>
      <c r="DPO45" s="29"/>
      <c r="DPP45" s="28"/>
      <c r="DPQ45" s="29"/>
      <c r="DPR45" s="30"/>
      <c r="DPS45" s="28"/>
      <c r="DPT45" s="29"/>
      <c r="DPU45" s="29"/>
      <c r="DPV45" s="29"/>
      <c r="DPW45" s="28"/>
      <c r="DPX45" s="29"/>
      <c r="DPY45" s="29"/>
      <c r="DPZ45" s="28"/>
      <c r="DQA45" s="29"/>
      <c r="DQB45" s="30"/>
      <c r="DQC45" s="28"/>
      <c r="DQD45" s="29"/>
      <c r="DQE45" s="29"/>
      <c r="DQF45" s="29"/>
      <c r="DQG45" s="28"/>
      <c r="DQH45" s="29"/>
      <c r="DQI45" s="29"/>
      <c r="DQJ45" s="28"/>
      <c r="DQK45" s="29"/>
      <c r="DQL45" s="30"/>
      <c r="DQM45" s="28"/>
      <c r="DQN45" s="29"/>
      <c r="DQO45" s="29"/>
      <c r="DQP45" s="29"/>
      <c r="DQQ45" s="28"/>
      <c r="DQR45" s="29"/>
      <c r="DQS45" s="29"/>
      <c r="DQT45" s="28"/>
      <c r="DQU45" s="29"/>
      <c r="DQV45" s="30"/>
      <c r="DQW45" s="28"/>
      <c r="DQX45" s="30"/>
      <c r="DQY45" s="29"/>
      <c r="DQZ45" s="28"/>
      <c r="DRA45" s="29"/>
      <c r="DRB45" s="28"/>
      <c r="DRC45" s="28"/>
      <c r="DRD45" s="28"/>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30"/>
      <c r="DSQ45" s="28"/>
      <c r="DSR45" s="29"/>
      <c r="DSS45" s="29"/>
      <c r="DST45" s="29"/>
      <c r="DSU45" s="29"/>
      <c r="DSV45" s="29"/>
      <c r="DSW45" s="28"/>
      <c r="DSX45" s="29"/>
      <c r="DSY45" s="29"/>
      <c r="DSZ45" s="28"/>
      <c r="DTA45" s="29"/>
      <c r="DTB45" s="30"/>
      <c r="DTC45" s="28"/>
      <c r="DTD45" s="29"/>
      <c r="DTE45" s="29"/>
      <c r="DTF45" s="29"/>
      <c r="DTG45" s="28"/>
      <c r="DTH45" s="29"/>
      <c r="DTI45" s="29"/>
      <c r="DTJ45" s="28"/>
      <c r="DTK45" s="29"/>
      <c r="DTL45" s="30"/>
      <c r="DTM45" s="28"/>
      <c r="DTN45" s="29"/>
      <c r="DTO45" s="29"/>
      <c r="DTP45" s="29"/>
      <c r="DTQ45" s="28"/>
      <c r="DTR45" s="29"/>
      <c r="DTS45" s="29"/>
      <c r="DTT45" s="28"/>
      <c r="DTU45" s="29"/>
      <c r="DTV45" s="30"/>
      <c r="DTW45" s="28"/>
      <c r="DTX45" s="29"/>
      <c r="DTY45" s="29"/>
      <c r="DTZ45" s="29"/>
      <c r="DUA45" s="28"/>
      <c r="DUB45" s="29"/>
      <c r="DUC45" s="29"/>
      <c r="DUD45" s="28"/>
      <c r="DUE45" s="29"/>
      <c r="DUF45" s="30"/>
      <c r="DUG45" s="28"/>
      <c r="DUH45" s="30"/>
      <c r="DUI45" s="29"/>
      <c r="DUJ45" s="28"/>
      <c r="DUK45" s="29"/>
      <c r="DUL45" s="28"/>
      <c r="DUM45" s="28"/>
      <c r="DUN45" s="28"/>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30"/>
      <c r="DWA45" s="28"/>
      <c r="DWB45" s="29"/>
      <c r="DWC45" s="29"/>
      <c r="DWD45" s="29"/>
      <c r="DWE45" s="29"/>
      <c r="DWF45" s="29"/>
      <c r="DWG45" s="28"/>
      <c r="DWH45" s="29"/>
      <c r="DWI45" s="29"/>
      <c r="DWJ45" s="28"/>
      <c r="DWK45" s="29"/>
      <c r="DWL45" s="30"/>
      <c r="DWM45" s="28"/>
      <c r="DWN45" s="29"/>
      <c r="DWO45" s="29"/>
      <c r="DWP45" s="29"/>
      <c r="DWQ45" s="28"/>
      <c r="DWR45" s="29"/>
      <c r="DWS45" s="29"/>
      <c r="DWT45" s="28"/>
      <c r="DWU45" s="29"/>
      <c r="DWV45" s="30"/>
      <c r="DWW45" s="28"/>
      <c r="DWX45" s="29"/>
      <c r="DWY45" s="29"/>
      <c r="DWZ45" s="29"/>
      <c r="DXA45" s="28"/>
      <c r="DXB45" s="29"/>
      <c r="DXC45" s="29"/>
      <c r="DXD45" s="28"/>
      <c r="DXE45" s="29"/>
      <c r="DXF45" s="30"/>
      <c r="DXG45" s="28"/>
      <c r="DXH45" s="29"/>
      <c r="DXI45" s="29"/>
      <c r="DXJ45" s="29"/>
      <c r="DXK45" s="28"/>
      <c r="DXL45" s="29"/>
      <c r="DXM45" s="29"/>
      <c r="DXN45" s="28"/>
      <c r="DXO45" s="29"/>
      <c r="DXP45" s="30"/>
      <c r="DXQ45" s="28"/>
      <c r="DXR45" s="30"/>
      <c r="DXS45" s="29"/>
      <c r="DXT45" s="28"/>
      <c r="DXU45" s="29"/>
      <c r="DXV45" s="28"/>
      <c r="DXW45" s="28"/>
      <c r="DXX45" s="28"/>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30"/>
      <c r="DZK45" s="28"/>
      <c r="DZL45" s="29"/>
      <c r="DZM45" s="29"/>
      <c r="DZN45" s="29"/>
      <c r="DZO45" s="29"/>
      <c r="DZP45" s="29"/>
      <c r="DZQ45" s="28"/>
      <c r="DZR45" s="29"/>
      <c r="DZS45" s="29"/>
      <c r="DZT45" s="28"/>
      <c r="DZU45" s="29"/>
      <c r="DZV45" s="30"/>
      <c r="DZW45" s="28"/>
      <c r="DZX45" s="29"/>
      <c r="DZY45" s="29"/>
      <c r="DZZ45" s="29"/>
      <c r="EAA45" s="28"/>
      <c r="EAB45" s="29"/>
      <c r="EAC45" s="29"/>
      <c r="EAD45" s="28"/>
      <c r="EAE45" s="29"/>
      <c r="EAF45" s="30"/>
      <c r="EAG45" s="28"/>
      <c r="EAH45" s="29"/>
      <c r="EAI45" s="29"/>
      <c r="EAJ45" s="29"/>
      <c r="EAK45" s="28"/>
      <c r="EAL45" s="29"/>
      <c r="EAM45" s="29"/>
      <c r="EAN45" s="28"/>
      <c r="EAO45" s="29"/>
      <c r="EAP45" s="30"/>
      <c r="EAQ45" s="28"/>
      <c r="EAR45" s="29"/>
      <c r="EAS45" s="29"/>
      <c r="EAT45" s="29"/>
      <c r="EAU45" s="28"/>
      <c r="EAV45" s="29"/>
      <c r="EAW45" s="29"/>
      <c r="EAX45" s="28"/>
      <c r="EAY45" s="29"/>
      <c r="EAZ45" s="30"/>
      <c r="EBA45" s="28"/>
      <c r="EBB45" s="30"/>
      <c r="EBC45" s="29"/>
      <c r="EBD45" s="28"/>
      <c r="EBE45" s="29"/>
      <c r="EBF45" s="28"/>
      <c r="EBG45" s="28"/>
      <c r="EBH45" s="28"/>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30"/>
      <c r="ECU45" s="28"/>
      <c r="ECV45" s="29"/>
      <c r="ECW45" s="29"/>
      <c r="ECX45" s="29"/>
      <c r="ECY45" s="29"/>
      <c r="ECZ45" s="29"/>
      <c r="EDA45" s="28"/>
      <c r="EDB45" s="29"/>
      <c r="EDC45" s="29"/>
      <c r="EDD45" s="28"/>
      <c r="EDE45" s="29"/>
      <c r="EDF45" s="30"/>
      <c r="EDG45" s="28"/>
      <c r="EDH45" s="29"/>
      <c r="EDI45" s="29"/>
      <c r="EDJ45" s="29"/>
      <c r="EDK45" s="28"/>
      <c r="EDL45" s="29"/>
      <c r="EDM45" s="29"/>
      <c r="EDN45" s="28"/>
      <c r="EDO45" s="29"/>
      <c r="EDP45" s="30"/>
      <c r="EDQ45" s="28"/>
      <c r="EDR45" s="29"/>
      <c r="EDS45" s="29"/>
      <c r="EDT45" s="29"/>
      <c r="EDU45" s="28"/>
      <c r="EDV45" s="29"/>
      <c r="EDW45" s="29"/>
      <c r="EDX45" s="28"/>
      <c r="EDY45" s="29"/>
      <c r="EDZ45" s="30"/>
      <c r="EEA45" s="28"/>
      <c r="EEB45" s="29"/>
      <c r="EEC45" s="29"/>
      <c r="EED45" s="29"/>
      <c r="EEE45" s="28"/>
      <c r="EEF45" s="29"/>
      <c r="EEG45" s="29"/>
      <c r="EEH45" s="28"/>
      <c r="EEI45" s="29"/>
      <c r="EEJ45" s="30"/>
      <c r="EEK45" s="28"/>
      <c r="EEL45" s="30"/>
      <c r="EEM45" s="29"/>
      <c r="EEN45" s="28"/>
      <c r="EEO45" s="29"/>
      <c r="EEP45" s="28"/>
      <c r="EEQ45" s="28"/>
      <c r="EER45" s="28"/>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30"/>
      <c r="EGE45" s="28"/>
      <c r="EGF45" s="29"/>
      <c r="EGG45" s="29"/>
      <c r="EGH45" s="29"/>
      <c r="EGI45" s="29"/>
      <c r="EGJ45" s="29"/>
      <c r="EGK45" s="28"/>
      <c r="EGL45" s="29"/>
      <c r="EGM45" s="29"/>
      <c r="EGN45" s="28"/>
      <c r="EGO45" s="29"/>
      <c r="EGP45" s="30"/>
      <c r="EGQ45" s="28"/>
      <c r="EGR45" s="29"/>
      <c r="EGS45" s="29"/>
      <c r="EGT45" s="29"/>
      <c r="EGU45" s="28"/>
      <c r="EGV45" s="29"/>
      <c r="EGW45" s="29"/>
      <c r="EGX45" s="28"/>
      <c r="EGY45" s="29"/>
      <c r="EGZ45" s="30"/>
      <c r="EHA45" s="28"/>
      <c r="EHB45" s="29"/>
      <c r="EHC45" s="29"/>
      <c r="EHD45" s="29"/>
      <c r="EHE45" s="28"/>
      <c r="EHF45" s="29"/>
      <c r="EHG45" s="29"/>
      <c r="EHH45" s="28"/>
      <c r="EHI45" s="29"/>
      <c r="EHJ45" s="30"/>
      <c r="EHK45" s="28"/>
      <c r="EHL45" s="29"/>
      <c r="EHM45" s="29"/>
      <c r="EHN45" s="29"/>
      <c r="EHO45" s="28"/>
      <c r="EHP45" s="29"/>
      <c r="EHQ45" s="29"/>
      <c r="EHR45" s="28"/>
      <c r="EHS45" s="29"/>
      <c r="EHT45" s="30"/>
      <c r="EHU45" s="28"/>
      <c r="EHV45" s="30"/>
      <c r="EHW45" s="29"/>
      <c r="EHX45" s="28"/>
      <c r="EHY45" s="29"/>
      <c r="EHZ45" s="28"/>
      <c r="EIA45" s="28"/>
      <c r="EIB45" s="28"/>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30"/>
      <c r="EJO45" s="28"/>
      <c r="EJP45" s="29"/>
      <c r="EJQ45" s="29"/>
      <c r="EJR45" s="29"/>
      <c r="EJS45" s="29"/>
      <c r="EJT45" s="29"/>
      <c r="EJU45" s="28"/>
      <c r="EJV45" s="29"/>
      <c r="EJW45" s="29"/>
      <c r="EJX45" s="28"/>
      <c r="EJY45" s="29"/>
      <c r="EJZ45" s="30"/>
      <c r="EKA45" s="28"/>
      <c r="EKB45" s="29"/>
      <c r="EKC45" s="29"/>
      <c r="EKD45" s="29"/>
      <c r="EKE45" s="28"/>
      <c r="EKF45" s="29"/>
      <c r="EKG45" s="29"/>
      <c r="EKH45" s="28"/>
      <c r="EKI45" s="29"/>
      <c r="EKJ45" s="30"/>
      <c r="EKK45" s="28"/>
      <c r="EKL45" s="29"/>
      <c r="EKM45" s="29"/>
      <c r="EKN45" s="29"/>
      <c r="EKO45" s="28"/>
      <c r="EKP45" s="29"/>
      <c r="EKQ45" s="29"/>
      <c r="EKR45" s="28"/>
      <c r="EKS45" s="29"/>
      <c r="EKT45" s="30"/>
      <c r="EKU45" s="28"/>
      <c r="EKV45" s="29"/>
      <c r="EKW45" s="29"/>
      <c r="EKX45" s="29"/>
      <c r="EKY45" s="28"/>
      <c r="EKZ45" s="29"/>
      <c r="ELA45" s="29"/>
      <c r="ELB45" s="28"/>
      <c r="ELC45" s="29"/>
      <c r="ELD45" s="30"/>
      <c r="ELE45" s="28"/>
      <c r="ELF45" s="30"/>
      <c r="ELG45" s="29"/>
      <c r="ELH45" s="28"/>
      <c r="ELI45" s="29"/>
      <c r="ELJ45" s="28"/>
      <c r="ELK45" s="28"/>
      <c r="ELL45" s="28"/>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30"/>
      <c r="EMY45" s="28"/>
      <c r="EMZ45" s="29"/>
      <c r="ENA45" s="29"/>
      <c r="ENB45" s="29"/>
      <c r="ENC45" s="29"/>
      <c r="END45" s="29"/>
      <c r="ENE45" s="28"/>
      <c r="ENF45" s="29"/>
      <c r="ENG45" s="29"/>
      <c r="ENH45" s="28"/>
      <c r="ENI45" s="29"/>
      <c r="ENJ45" s="30"/>
      <c r="ENK45" s="28"/>
      <c r="ENL45" s="29"/>
      <c r="ENM45" s="29"/>
      <c r="ENN45" s="29"/>
      <c r="ENO45" s="28"/>
      <c r="ENP45" s="29"/>
      <c r="ENQ45" s="29"/>
      <c r="ENR45" s="28"/>
      <c r="ENS45" s="29"/>
      <c r="ENT45" s="30"/>
      <c r="ENU45" s="28"/>
      <c r="ENV45" s="29"/>
      <c r="ENW45" s="29"/>
      <c r="ENX45" s="29"/>
      <c r="ENY45" s="28"/>
      <c r="ENZ45" s="29"/>
      <c r="EOA45" s="29"/>
      <c r="EOB45" s="28"/>
      <c r="EOC45" s="29"/>
      <c r="EOD45" s="30"/>
      <c r="EOE45" s="28"/>
      <c r="EOF45" s="29"/>
      <c r="EOG45" s="29"/>
      <c r="EOH45" s="29"/>
      <c r="EOI45" s="28"/>
      <c r="EOJ45" s="29"/>
      <c r="EOK45" s="29"/>
      <c r="EOL45" s="28"/>
      <c r="EOM45" s="29"/>
      <c r="EON45" s="30"/>
      <c r="EOO45" s="28" t="str">
        <f t="shared" si="149"/>
        <v xml:space="preserve"> </v>
      </c>
      <c r="EOP45" s="30"/>
      <c r="EOQ45" s="29"/>
      <c r="EOR45" s="28"/>
      <c r="EOS45" s="29"/>
      <c r="EOT45" s="28"/>
      <c r="EOU45" s="28"/>
      <c r="EOV45" s="28"/>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30"/>
      <c r="EQI45" s="28"/>
      <c r="EQJ45" s="29"/>
      <c r="EQK45" s="29"/>
      <c r="EQL45" s="29"/>
      <c r="EQM45" s="29"/>
      <c r="EQN45" s="29"/>
      <c r="EQO45" s="28"/>
      <c r="EQP45" s="29"/>
      <c r="EQQ45" s="29"/>
      <c r="EQR45" s="28"/>
      <c r="EQS45" s="29"/>
      <c r="EQT45" s="30"/>
      <c r="EQU45" s="28"/>
      <c r="EQV45" s="29"/>
      <c r="EQW45" s="29"/>
      <c r="EQX45" s="29"/>
      <c r="EQY45" s="28"/>
      <c r="EQZ45" s="29"/>
      <c r="ERA45" s="29"/>
      <c r="ERB45" s="28"/>
      <c r="ERC45" s="29"/>
      <c r="ERD45" s="30"/>
      <c r="ERE45" s="28"/>
      <c r="ERF45" s="29"/>
      <c r="ERG45" s="29"/>
      <c r="ERH45" s="29"/>
      <c r="ERI45" s="28"/>
      <c r="ERJ45" s="29"/>
      <c r="ERK45" s="29"/>
      <c r="ERL45" s="28"/>
      <c r="ERM45" s="29"/>
      <c r="ERN45" s="30"/>
      <c r="ERO45" s="28"/>
      <c r="ERP45" s="29"/>
      <c r="ERQ45" s="29"/>
      <c r="ERR45" s="29"/>
      <c r="ERS45" s="28"/>
      <c r="ERT45" s="29"/>
      <c r="ERU45" s="29"/>
      <c r="ERV45" s="28"/>
      <c r="ERW45" s="29"/>
      <c r="ERX45" s="30"/>
      <c r="ERY45" s="28" t="str">
        <f t="shared" si="152"/>
        <v xml:space="preserve"> </v>
      </c>
      <c r="ERZ45" s="30"/>
      <c r="ESA45" s="29"/>
      <c r="ESB45" s="28"/>
      <c r="ESC45" s="29"/>
      <c r="ESD45" s="28"/>
      <c r="ESE45" s="28"/>
      <c r="ESF45" s="28"/>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30"/>
      <c r="ETS45" s="28"/>
      <c r="ETT45" s="29"/>
      <c r="ETU45" s="29"/>
      <c r="ETV45" s="29"/>
      <c r="ETW45" s="29"/>
      <c r="ETX45" s="29"/>
      <c r="ETY45" s="28"/>
      <c r="ETZ45" s="29"/>
      <c r="EUA45" s="29"/>
      <c r="EUB45" s="28"/>
      <c r="EUC45" s="29"/>
      <c r="EUD45" s="30"/>
      <c r="EUE45" s="28"/>
      <c r="EUF45" s="29"/>
      <c r="EUG45" s="29"/>
      <c r="EUH45" s="29"/>
      <c r="EUI45" s="28"/>
      <c r="EUJ45" s="29"/>
      <c r="EUK45" s="29"/>
      <c r="EUL45" s="28"/>
      <c r="EUM45" s="29"/>
      <c r="EUN45" s="30"/>
      <c r="EUO45" s="28"/>
      <c r="EUP45" s="29"/>
      <c r="EUQ45" s="29"/>
      <c r="EUR45" s="29"/>
      <c r="EUS45" s="28"/>
      <c r="EUT45" s="29"/>
      <c r="EUU45" s="29"/>
      <c r="EUV45" s="28"/>
      <c r="EUW45" s="29"/>
      <c r="EUX45" s="30"/>
      <c r="EUY45" s="28"/>
      <c r="EUZ45" s="29"/>
      <c r="EVA45" s="29"/>
      <c r="EVB45" s="29"/>
      <c r="EVC45" s="28"/>
      <c r="EVD45" s="29"/>
      <c r="EVE45" s="29"/>
      <c r="EVF45" s="28"/>
      <c r="EVG45" s="29"/>
      <c r="EVH45" s="30"/>
      <c r="EVI45" s="28" t="str">
        <f t="shared" si="153"/>
        <v xml:space="preserve"> </v>
      </c>
    </row>
    <row r="46" spans="1:3961" x14ac:dyDescent="0.3">
      <c r="A46" s="424" t="s">
        <v>253</v>
      </c>
      <c r="B46" s="58" t="s">
        <v>1364</v>
      </c>
      <c r="C46" s="57"/>
      <c r="D46" s="56" t="str">
        <f t="shared" ref="D46" si="169">IFERROR(VLOOKUP(B46,BASEPOE1,2,FALSE)," ")</f>
        <v xml:space="preserve"> </v>
      </c>
      <c r="E46" s="57"/>
      <c r="F46" s="56"/>
      <c r="G46" s="56"/>
      <c r="H46" s="56"/>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8"/>
      <c r="AU46" s="56"/>
      <c r="AV46" s="57"/>
      <c r="AW46" s="57"/>
      <c r="AX46" s="57"/>
      <c r="AY46" s="57"/>
      <c r="AZ46" s="57"/>
      <c r="BA46" s="56"/>
      <c r="BB46" s="57"/>
      <c r="BC46" s="57"/>
      <c r="BD46" s="56"/>
      <c r="BE46" s="57"/>
      <c r="BF46" s="58"/>
      <c r="BG46" s="56"/>
      <c r="BH46" s="57"/>
      <c r="BI46" s="57"/>
      <c r="BJ46" s="57"/>
      <c r="BK46" s="56"/>
      <c r="BL46" s="57"/>
      <c r="BM46" s="57"/>
      <c r="BN46" s="56"/>
      <c r="BO46" s="57"/>
      <c r="BP46" s="58"/>
      <c r="BQ46" s="56"/>
      <c r="BR46" s="57"/>
      <c r="BS46" s="57"/>
      <c r="BT46" s="57"/>
      <c r="BU46" s="56"/>
      <c r="BV46" s="57"/>
      <c r="BW46" s="57"/>
      <c r="BX46" s="56"/>
      <c r="BY46" s="57"/>
      <c r="BZ46" s="58"/>
      <c r="CA46" s="56"/>
      <c r="CB46" s="57"/>
      <c r="CC46" s="57"/>
      <c r="CD46" s="57"/>
      <c r="CE46" s="56"/>
      <c r="CF46" s="57"/>
      <c r="CG46" s="57"/>
      <c r="CH46" s="56"/>
      <c r="CI46" s="57"/>
      <c r="CJ46" s="58"/>
      <c r="CK46" s="56"/>
      <c r="CL46" s="57"/>
      <c r="CM46" s="57"/>
      <c r="CN46" s="57"/>
      <c r="CO46" s="56"/>
      <c r="CP46" s="57"/>
      <c r="CQ46" s="57"/>
      <c r="CR46" s="56"/>
      <c r="CS46" s="57"/>
      <c r="CT46" s="58"/>
      <c r="CU46" s="56"/>
      <c r="CV46" s="57"/>
      <c r="CW46" s="57"/>
      <c r="CX46" s="57"/>
      <c r="CY46" s="56"/>
      <c r="CZ46" s="57"/>
      <c r="DA46" s="57"/>
      <c r="DB46" s="56"/>
      <c r="DC46" s="57"/>
      <c r="DD46" s="58"/>
      <c r="DE46" s="56"/>
      <c r="DF46" s="57"/>
      <c r="DG46" s="57"/>
      <c r="DH46" s="57"/>
      <c r="DI46" s="56"/>
      <c r="DJ46" s="57"/>
      <c r="DK46" s="57"/>
      <c r="DL46" s="56"/>
      <c r="DM46" s="57"/>
      <c r="DN46" s="58"/>
      <c r="DO46" s="56"/>
      <c r="DP46" s="57"/>
      <c r="DQ46" s="57"/>
      <c r="DR46" s="57"/>
      <c r="DS46" s="56"/>
      <c r="DT46" s="57"/>
      <c r="DU46" s="57"/>
      <c r="DV46" s="56"/>
      <c r="DW46" s="57"/>
      <c r="DX46" s="58"/>
      <c r="DY46" s="56"/>
      <c r="DZ46" s="57"/>
      <c r="EA46" s="57"/>
      <c r="EB46" s="57"/>
      <c r="EC46" s="56"/>
      <c r="ED46" s="57"/>
      <c r="EE46" s="56"/>
      <c r="EF46" s="56"/>
      <c r="EG46" s="57"/>
      <c r="EH46" s="58"/>
      <c r="EI46" s="56"/>
      <c r="EJ46" s="57"/>
      <c r="EK46" s="57"/>
      <c r="EL46" s="57"/>
      <c r="EM46" s="56"/>
      <c r="EN46" s="57"/>
      <c r="EO46" s="57"/>
      <c r="EP46" s="56"/>
      <c r="EQ46" s="57"/>
      <c r="ER46" s="58"/>
      <c r="ES46" s="56"/>
      <c r="ET46" s="57"/>
      <c r="EU46" s="57"/>
      <c r="EV46" s="57"/>
      <c r="EW46" s="56"/>
      <c r="EX46" s="57"/>
      <c r="EY46" s="57"/>
      <c r="EZ46" s="56"/>
      <c r="FA46" s="57"/>
      <c r="FB46" s="58"/>
      <c r="FC46" s="56"/>
      <c r="FD46" s="57"/>
      <c r="FE46" s="57"/>
      <c r="FF46" s="57"/>
      <c r="FG46" s="56"/>
      <c r="FH46" s="57"/>
      <c r="FI46" s="57"/>
      <c r="FJ46" s="56"/>
      <c r="FK46" s="57"/>
      <c r="FL46" s="58"/>
      <c r="FM46" s="56"/>
      <c r="FN46" s="57"/>
      <c r="FO46" s="57"/>
      <c r="FP46" s="57"/>
      <c r="FQ46" s="56"/>
      <c r="FR46" s="57"/>
      <c r="FS46" s="57"/>
      <c r="FT46" s="56"/>
      <c r="FU46" s="57"/>
      <c r="FV46" s="58"/>
      <c r="FW46" s="56"/>
      <c r="FX46" s="57"/>
      <c r="FY46" s="57"/>
      <c r="FZ46" s="57"/>
      <c r="GA46" s="56"/>
      <c r="GB46" s="57"/>
      <c r="GC46" s="57"/>
      <c r="GD46" s="56"/>
      <c r="GE46" s="57"/>
      <c r="GF46" s="58"/>
      <c r="GG46" s="56"/>
      <c r="GH46" s="57"/>
      <c r="GI46" s="57"/>
      <c r="GJ46" s="57"/>
      <c r="GK46" s="56"/>
      <c r="GL46" s="57"/>
      <c r="GM46" s="57"/>
      <c r="GN46" s="56"/>
      <c r="GO46" s="57"/>
      <c r="GP46" s="58"/>
      <c r="GQ46" s="56"/>
      <c r="GR46" s="57"/>
      <c r="GS46" s="57"/>
      <c r="GT46" s="57"/>
      <c r="GU46" s="56"/>
      <c r="GV46" s="57"/>
      <c r="GW46" s="57"/>
      <c r="GX46" s="56"/>
      <c r="GY46" s="57"/>
      <c r="GZ46" s="58"/>
      <c r="HA46" s="56"/>
      <c r="HB46" s="57"/>
      <c r="HC46" s="57"/>
      <c r="HD46" s="57"/>
      <c r="HE46" s="56"/>
      <c r="HF46" s="57"/>
      <c r="HG46" s="57"/>
      <c r="HH46" s="56"/>
      <c r="HI46" s="57"/>
      <c r="HJ46" s="58"/>
      <c r="HK46" s="56"/>
      <c r="HL46" s="57"/>
      <c r="HM46" s="57"/>
      <c r="HN46" s="57"/>
      <c r="HO46" s="56"/>
      <c r="HP46" s="57"/>
      <c r="HQ46" s="57"/>
      <c r="HR46" s="56"/>
      <c r="HS46" s="57"/>
      <c r="HT46" s="58"/>
      <c r="HU46" s="56"/>
      <c r="HV46" s="57"/>
      <c r="HW46" s="57"/>
      <c r="HX46" s="57"/>
      <c r="HY46" s="56"/>
      <c r="HZ46" s="57"/>
      <c r="IA46" s="57"/>
      <c r="IB46" s="56"/>
      <c r="IC46" s="57"/>
      <c r="ID46" s="58"/>
      <c r="IE46" s="56"/>
      <c r="IF46" s="57"/>
      <c r="IG46" s="57"/>
      <c r="IH46" s="57"/>
      <c r="II46" s="56"/>
      <c r="IJ46" s="57"/>
      <c r="IK46" s="57"/>
      <c r="IL46" s="56"/>
      <c r="IM46" s="57"/>
      <c r="IN46" s="58"/>
      <c r="IO46" s="56"/>
      <c r="IP46" s="57"/>
      <c r="IQ46" s="57"/>
      <c r="IR46" s="57"/>
      <c r="IS46" s="56"/>
      <c r="IT46" s="57"/>
      <c r="IU46" s="57"/>
      <c r="IV46" s="56"/>
      <c r="IW46" s="57"/>
      <c r="IX46" s="58"/>
      <c r="IY46" s="56"/>
      <c r="IZ46" s="57"/>
      <c r="JA46" s="57"/>
      <c r="JB46" s="57"/>
      <c r="JC46" s="56"/>
      <c r="JD46" s="57"/>
      <c r="JE46" s="57"/>
      <c r="JF46" s="56"/>
      <c r="JG46" s="57"/>
      <c r="JH46" s="58"/>
      <c r="JI46" s="56"/>
      <c r="JJ46" s="57"/>
      <c r="JK46" s="57"/>
      <c r="JL46" s="57"/>
      <c r="JM46" s="56"/>
      <c r="JN46" s="57"/>
      <c r="JO46" s="57"/>
      <c r="JP46" s="56"/>
      <c r="JQ46" s="57"/>
      <c r="JR46" s="58"/>
      <c r="JS46" s="56"/>
      <c r="JT46" s="57"/>
      <c r="JU46" s="57"/>
      <c r="JV46" s="57"/>
      <c r="JW46" s="56"/>
      <c r="JX46" s="57"/>
      <c r="JY46" s="57"/>
      <c r="JZ46" s="56"/>
      <c r="KA46" s="57"/>
      <c r="KB46" s="58"/>
      <c r="KC46" s="56"/>
      <c r="KD46" s="57"/>
      <c r="KE46" s="57"/>
      <c r="KF46" s="57"/>
      <c r="KG46" s="56"/>
      <c r="KH46" s="57"/>
      <c r="KI46" s="57"/>
      <c r="KJ46" s="56"/>
      <c r="KK46" s="57"/>
      <c r="KL46" s="58"/>
      <c r="KM46" s="56"/>
      <c r="KN46" s="57"/>
      <c r="KO46" s="57"/>
      <c r="KP46" s="57"/>
      <c r="KQ46" s="56"/>
      <c r="KR46" s="57"/>
      <c r="KS46" s="57"/>
      <c r="KT46" s="56"/>
      <c r="KU46" s="57"/>
      <c r="KV46" s="58"/>
      <c r="KW46" s="56"/>
      <c r="KX46" s="57"/>
      <c r="KY46" s="57"/>
      <c r="KZ46" s="57"/>
      <c r="LA46" s="56"/>
      <c r="LB46" s="57"/>
      <c r="LC46" s="57"/>
      <c r="LD46" s="56"/>
      <c r="LE46" s="57"/>
      <c r="LF46" s="58"/>
      <c r="LG46" s="56"/>
      <c r="LH46" s="57"/>
      <c r="LI46" s="57"/>
      <c r="LJ46" s="57"/>
      <c r="LK46" s="56"/>
      <c r="LL46" s="57"/>
      <c r="LM46" s="57"/>
      <c r="LN46" s="56"/>
      <c r="LO46" s="57"/>
      <c r="LP46" s="58"/>
      <c r="LQ46" s="56"/>
      <c r="LR46" s="57"/>
      <c r="LS46" s="57"/>
      <c r="LT46" s="57"/>
      <c r="LU46" s="56"/>
      <c r="LV46" s="57"/>
      <c r="LW46" s="57"/>
      <c r="LX46" s="56"/>
      <c r="LY46" s="57"/>
      <c r="LZ46" s="58"/>
      <c r="MA46" s="56"/>
      <c r="MB46" s="57"/>
      <c r="MC46" s="57"/>
      <c r="MD46" s="57"/>
      <c r="ME46" s="56"/>
      <c r="MF46" s="57"/>
      <c r="MG46" s="57"/>
      <c r="MH46" s="56"/>
      <c r="MI46" s="57"/>
      <c r="MJ46" s="58"/>
      <c r="MK46" s="56"/>
      <c r="ML46" s="57"/>
      <c r="MM46" s="57"/>
      <c r="MN46" s="57"/>
      <c r="MO46" s="56"/>
      <c r="MP46" s="57"/>
      <c r="MQ46" s="57"/>
      <c r="MR46" s="56"/>
      <c r="MS46" s="57"/>
      <c r="MT46" s="58"/>
      <c r="MU46" s="56"/>
      <c r="MV46" s="57"/>
      <c r="MW46" s="57"/>
      <c r="MX46" s="57"/>
      <c r="MY46" s="56"/>
      <c r="MZ46" s="57"/>
      <c r="NA46" s="57"/>
      <c r="NB46" s="56"/>
      <c r="NC46" s="57"/>
      <c r="ND46" s="58"/>
      <c r="NE46" s="56"/>
      <c r="NF46" s="57"/>
      <c r="NG46" s="57"/>
      <c r="NH46" s="57"/>
      <c r="NI46" s="56"/>
      <c r="NJ46" s="57"/>
      <c r="NK46" s="57"/>
      <c r="NL46" s="56"/>
      <c r="NM46" s="57"/>
      <c r="NN46" s="58"/>
      <c r="NO46" s="56"/>
      <c r="NP46" s="57"/>
      <c r="NQ46" s="57"/>
      <c r="NR46" s="57"/>
      <c r="NS46" s="56"/>
      <c r="NT46" s="57"/>
      <c r="NU46" s="57"/>
      <c r="NV46" s="56"/>
      <c r="NW46" s="57"/>
      <c r="NX46" s="58"/>
      <c r="NY46" s="56"/>
      <c r="NZ46" s="57"/>
      <c r="OA46" s="57"/>
      <c r="OB46" s="57"/>
      <c r="OC46" s="56"/>
      <c r="OD46" s="57"/>
      <c r="OE46" s="57"/>
      <c r="OF46" s="58"/>
      <c r="OG46" s="58"/>
      <c r="OH46" s="58"/>
      <c r="OI46" s="56"/>
      <c r="OJ46" s="58"/>
      <c r="OK46" s="58"/>
      <c r="OL46" s="58"/>
      <c r="OM46" s="58"/>
      <c r="ON46" s="58"/>
      <c r="OO46" s="58"/>
      <c r="OP46" s="56"/>
      <c r="OQ46" s="57"/>
      <c r="OR46" s="58"/>
      <c r="OS46" s="56"/>
      <c r="OT46" s="57"/>
      <c r="OU46" s="57"/>
      <c r="OV46" s="57"/>
      <c r="OW46" s="56"/>
      <c r="OX46" s="57"/>
      <c r="OY46" s="57"/>
      <c r="OZ46" s="56"/>
      <c r="PA46" s="57"/>
      <c r="PB46" s="58"/>
      <c r="PC46" s="56"/>
      <c r="PD46" s="57"/>
      <c r="PE46" s="57"/>
      <c r="PF46" s="57"/>
      <c r="PG46" s="56"/>
      <c r="PH46" s="57"/>
      <c r="PI46" s="57"/>
      <c r="PJ46" s="56"/>
      <c r="PK46" s="57"/>
      <c r="PL46" s="58"/>
      <c r="PM46" s="56"/>
      <c r="PN46" s="57"/>
      <c r="PO46" s="57"/>
      <c r="PP46" s="57"/>
      <c r="PQ46" s="56"/>
      <c r="PR46" s="57"/>
      <c r="PS46" s="57"/>
      <c r="PT46" s="56"/>
      <c r="PU46" s="57"/>
      <c r="PV46" s="58"/>
      <c r="PW46" s="56"/>
      <c r="PX46" s="57"/>
      <c r="PY46" s="57"/>
      <c r="PZ46" s="57"/>
      <c r="QA46" s="56"/>
      <c r="QB46" s="57"/>
      <c r="QC46" s="57"/>
      <c r="QD46" s="56"/>
      <c r="QE46" s="57"/>
      <c r="QF46" s="58"/>
      <c r="QG46" s="56"/>
      <c r="QH46" s="57"/>
      <c r="QI46" s="57"/>
      <c r="QJ46" s="57"/>
      <c r="QK46" s="56"/>
      <c r="QL46" s="57"/>
      <c r="QM46" s="57"/>
      <c r="QN46" s="56"/>
      <c r="QO46" s="57"/>
      <c r="QP46" s="58"/>
      <c r="QQ46" s="56"/>
      <c r="QR46" s="57"/>
      <c r="QS46" s="57"/>
      <c r="QT46" s="57"/>
      <c r="QU46" s="56"/>
      <c r="QV46" s="57"/>
      <c r="QW46" s="57"/>
      <c r="QX46" s="56"/>
      <c r="QY46" s="57"/>
      <c r="QZ46" s="58"/>
      <c r="RA46" s="56"/>
      <c r="RB46" s="57"/>
      <c r="RC46" s="57"/>
      <c r="RD46" s="57"/>
      <c r="RE46" s="56"/>
      <c r="RF46" s="57"/>
      <c r="RG46" s="57"/>
      <c r="RH46" s="56"/>
      <c r="RI46" s="57"/>
      <c r="RJ46" s="58"/>
      <c r="RK46" s="56"/>
      <c r="RL46" s="57"/>
      <c r="RM46" s="57"/>
      <c r="RN46" s="57"/>
      <c r="RO46" s="56"/>
      <c r="RP46" s="57"/>
      <c r="RQ46" s="57"/>
      <c r="RR46" s="56"/>
      <c r="RS46" s="57"/>
      <c r="RT46" s="58"/>
      <c r="RU46" s="56"/>
      <c r="RV46" s="57"/>
      <c r="RW46" s="57"/>
      <c r="RX46" s="57"/>
      <c r="RY46" s="56"/>
      <c r="RZ46" s="57"/>
      <c r="SA46" s="57"/>
      <c r="SB46" s="56"/>
      <c r="SC46" s="57"/>
      <c r="SD46" s="58"/>
      <c r="SE46" s="56"/>
      <c r="SF46" s="57"/>
      <c r="SG46" s="57"/>
      <c r="SH46" s="57"/>
      <c r="SI46" s="56"/>
      <c r="SJ46" s="57"/>
      <c r="SK46" s="57"/>
      <c r="SL46" s="56"/>
      <c r="SM46" s="57"/>
      <c r="SN46" s="58"/>
      <c r="SO46" s="56"/>
      <c r="SP46" s="57"/>
      <c r="SQ46" s="57"/>
      <c r="SR46" s="57"/>
      <c r="SS46" s="56"/>
      <c r="ST46" s="57"/>
      <c r="SU46" s="57"/>
      <c r="SV46" s="56"/>
      <c r="SW46" s="57"/>
      <c r="SX46" s="58"/>
      <c r="SY46" s="56"/>
      <c r="SZ46" s="57"/>
      <c r="TA46" s="57"/>
      <c r="TB46" s="57"/>
      <c r="TC46" s="56"/>
      <c r="TD46" s="57"/>
      <c r="TE46" s="57"/>
      <c r="TF46" s="56"/>
      <c r="TG46" s="57"/>
      <c r="TH46" s="58"/>
      <c r="TI46" s="56"/>
      <c r="TJ46" s="57"/>
      <c r="TK46" s="57"/>
      <c r="TL46" s="57"/>
      <c r="TM46" s="56"/>
      <c r="TN46" s="57"/>
      <c r="TO46" s="57"/>
      <c r="TP46" s="56"/>
      <c r="TQ46" s="57"/>
      <c r="TR46" s="58"/>
      <c r="TS46" s="56"/>
      <c r="TT46" s="57"/>
      <c r="TU46" s="57"/>
      <c r="TV46" s="57"/>
      <c r="TW46" s="56"/>
      <c r="TX46" s="57"/>
      <c r="TY46" s="57"/>
      <c r="TZ46" s="56"/>
      <c r="UA46" s="57"/>
      <c r="UB46" s="58"/>
      <c r="UC46" s="56"/>
      <c r="UD46" s="57"/>
      <c r="UE46" s="57"/>
      <c r="UF46" s="57"/>
      <c r="UG46" s="56"/>
      <c r="UH46" s="57"/>
      <c r="UI46" s="57"/>
      <c r="UJ46" s="56"/>
      <c r="UK46" s="57"/>
      <c r="UL46" s="58"/>
      <c r="UM46" s="56"/>
      <c r="UN46" s="57"/>
      <c r="UO46" s="57"/>
      <c r="UP46" s="57"/>
      <c r="UQ46" s="56"/>
      <c r="UR46" s="57"/>
      <c r="US46" s="57"/>
      <c r="UT46" s="56"/>
      <c r="UU46" s="57"/>
      <c r="UV46" s="58"/>
      <c r="UW46" s="56"/>
      <c r="UX46" s="57"/>
      <c r="UY46" s="57"/>
      <c r="UZ46" s="57"/>
      <c r="VA46" s="56"/>
      <c r="VB46" s="57"/>
      <c r="VC46" s="57"/>
      <c r="VD46" s="56"/>
      <c r="VE46" s="57"/>
      <c r="VF46" s="58"/>
      <c r="VG46" s="56"/>
      <c r="VH46" s="57"/>
      <c r="VI46" s="57"/>
      <c r="VJ46" s="57"/>
      <c r="VK46" s="56"/>
      <c r="VL46" s="57"/>
      <c r="VM46" s="57"/>
      <c r="VN46" s="56"/>
      <c r="VO46" s="57"/>
      <c r="VP46" s="58"/>
      <c r="VQ46" s="56"/>
      <c r="VR46" s="57"/>
      <c r="VS46" s="57"/>
      <c r="VT46" s="57"/>
      <c r="VU46" s="56"/>
      <c r="VV46" s="57"/>
      <c r="VW46" s="57"/>
      <c r="VX46" s="56"/>
      <c r="VY46" s="57"/>
      <c r="VZ46" s="58"/>
      <c r="WA46" s="56"/>
      <c r="WB46" s="57"/>
      <c r="WC46" s="57"/>
      <c r="WD46" s="57"/>
      <c r="WE46" s="56"/>
      <c r="WF46" s="57"/>
      <c r="WG46" s="57"/>
      <c r="WH46" s="56"/>
      <c r="WI46" s="57"/>
      <c r="WJ46" s="58"/>
      <c r="WK46" s="56"/>
      <c r="WL46" s="57"/>
      <c r="WM46" s="57"/>
      <c r="WN46" s="57"/>
      <c r="WO46" s="56"/>
      <c r="WP46" s="57"/>
      <c r="WQ46" s="57"/>
      <c r="WR46" s="56"/>
      <c r="WS46" s="57"/>
      <c r="WT46" s="58"/>
      <c r="WU46" s="56"/>
      <c r="WV46" s="57"/>
      <c r="WW46" s="57"/>
      <c r="WX46" s="57"/>
      <c r="WY46" s="56"/>
      <c r="WZ46" s="57"/>
      <c r="XA46" s="57"/>
      <c r="XB46" s="56"/>
      <c r="XC46" s="57"/>
      <c r="XD46" s="58"/>
      <c r="XE46" s="56"/>
      <c r="XF46" s="57"/>
      <c r="XG46" s="57"/>
      <c r="XH46" s="57"/>
      <c r="XI46" s="56"/>
      <c r="XJ46" s="57"/>
      <c r="XK46" s="57"/>
      <c r="XL46" s="56"/>
      <c r="XM46" s="57"/>
      <c r="XN46" s="58"/>
      <c r="XO46" s="56"/>
      <c r="XP46" s="57"/>
      <c r="XQ46" s="57"/>
      <c r="XR46" s="57"/>
      <c r="XS46" s="56"/>
      <c r="XT46" s="57"/>
      <c r="XU46" s="57"/>
      <c r="XV46" s="56"/>
      <c r="XW46" s="57"/>
      <c r="XX46" s="58"/>
      <c r="XY46" s="56"/>
      <c r="XZ46" s="57"/>
      <c r="YA46" s="57"/>
      <c r="YB46" s="57"/>
      <c r="YC46" s="56"/>
      <c r="YD46" s="57"/>
      <c r="YE46" s="57"/>
      <c r="YF46" s="56"/>
      <c r="YG46" s="57"/>
      <c r="YH46" s="58"/>
      <c r="YI46" s="56"/>
      <c r="YJ46" s="57"/>
      <c r="YK46" s="57"/>
      <c r="YL46" s="57"/>
      <c r="YM46" s="56"/>
      <c r="YN46" s="57"/>
      <c r="YO46" s="57"/>
      <c r="YP46" s="56"/>
      <c r="YQ46" s="57"/>
      <c r="YR46" s="58"/>
      <c r="YS46" s="56"/>
      <c r="YT46" s="57"/>
      <c r="YU46" s="57"/>
      <c r="YV46" s="57"/>
      <c r="YW46" s="56"/>
      <c r="YX46" s="57"/>
      <c r="YY46" s="57"/>
      <c r="YZ46" s="56"/>
      <c r="ZA46" s="57"/>
      <c r="ZB46" s="58"/>
      <c r="ZC46" s="56"/>
      <c r="ZD46" s="57"/>
      <c r="ZE46" s="57"/>
      <c r="ZF46" s="57"/>
      <c r="ZG46" s="56"/>
      <c r="ZH46" s="57"/>
      <c r="ZI46" s="57"/>
      <c r="ZJ46" s="56"/>
      <c r="ZK46" s="57"/>
      <c r="ZL46" s="58"/>
      <c r="ZM46" s="56"/>
      <c r="ZN46" s="57"/>
      <c r="ZO46" s="57"/>
      <c r="ZP46" s="57"/>
      <c r="ZQ46" s="56"/>
      <c r="ZR46" s="57"/>
      <c r="ZS46" s="57"/>
      <c r="ZT46" s="56"/>
      <c r="ZU46" s="57"/>
      <c r="ZV46" s="58"/>
      <c r="ZW46" s="56"/>
      <c r="ZX46" s="57"/>
      <c r="ZY46" s="57"/>
      <c r="ZZ46" s="57"/>
      <c r="AAA46" s="56"/>
      <c r="AAB46" s="57"/>
      <c r="AAC46" s="57"/>
      <c r="AAD46" s="56"/>
      <c r="AAE46" s="57"/>
      <c r="AAF46" s="58"/>
      <c r="AAG46" s="56"/>
      <c r="AAH46" s="57"/>
      <c r="AAI46" s="57"/>
      <c r="AAJ46" s="57"/>
      <c r="AAK46" s="56"/>
      <c r="AAL46" s="57"/>
      <c r="AAM46" s="57"/>
      <c r="AAN46" s="56"/>
      <c r="AAO46" s="57"/>
      <c r="AAP46" s="58"/>
      <c r="AAQ46" s="56"/>
      <c r="AAR46" s="57"/>
      <c r="AAS46" s="57"/>
      <c r="AAT46" s="57"/>
      <c r="AAU46" s="56"/>
      <c r="AAV46" s="57"/>
      <c r="AAW46" s="57"/>
      <c r="AAX46" s="58"/>
      <c r="AAY46" s="58"/>
      <c r="AAZ46" s="58"/>
      <c r="ABA46" s="56"/>
      <c r="ABB46" s="58"/>
      <c r="ABC46" s="58"/>
      <c r="ABD46" s="58"/>
      <c r="ABE46" s="58"/>
      <c r="ABF46" s="58"/>
      <c r="ABG46" s="57"/>
      <c r="ABH46" s="56"/>
      <c r="ABI46" s="57"/>
      <c r="ABJ46" s="58"/>
      <c r="ABK46" s="56"/>
      <c r="ABL46" s="57"/>
      <c r="ABM46" s="57"/>
      <c r="ABN46" s="57"/>
      <c r="ABO46" s="56"/>
      <c r="ABP46" s="57"/>
      <c r="ABQ46" s="57"/>
      <c r="ABR46" s="56"/>
      <c r="ABS46" s="57"/>
      <c r="ABT46" s="58"/>
      <c r="ABU46" s="56"/>
      <c r="ABV46" s="57"/>
      <c r="ABW46" s="57"/>
      <c r="ABX46" s="57"/>
      <c r="ABY46" s="56"/>
      <c r="ABZ46" s="57"/>
      <c r="ACA46" s="57"/>
      <c r="ACB46" s="56"/>
      <c r="ACC46" s="57"/>
      <c r="ACD46" s="58"/>
      <c r="ACE46" s="56"/>
      <c r="ACF46" s="57"/>
      <c r="ACG46" s="57"/>
      <c r="ACH46" s="57"/>
      <c r="ACI46" s="56"/>
      <c r="ACJ46" s="57"/>
      <c r="ACK46" s="57"/>
      <c r="ACL46" s="56"/>
      <c r="ACM46" s="57"/>
      <c r="ACN46" s="58"/>
      <c r="ACO46" s="56"/>
      <c r="ACP46" s="57"/>
      <c r="ACQ46" s="57"/>
      <c r="ACR46" s="57"/>
      <c r="ACS46" s="56"/>
      <c r="ACT46" s="57"/>
      <c r="ACU46" s="57"/>
      <c r="ACV46" s="56"/>
      <c r="ACW46" s="57"/>
      <c r="ACX46" s="58"/>
      <c r="ACY46" s="56"/>
      <c r="ACZ46" s="57"/>
      <c r="ADA46" s="57"/>
      <c r="ADB46" s="57"/>
      <c r="ADC46" s="56"/>
      <c r="ADD46" s="57"/>
      <c r="ADE46" s="57"/>
      <c r="ADF46" s="56"/>
      <c r="ADG46" s="57"/>
      <c r="ADH46" s="58"/>
      <c r="ADI46" s="56"/>
      <c r="ADJ46" s="57"/>
      <c r="ADK46" s="57"/>
      <c r="ADL46" s="57"/>
      <c r="ADM46" s="56"/>
      <c r="ADN46" s="57"/>
      <c r="ADO46" s="57"/>
      <c r="ADP46" s="56"/>
      <c r="ADQ46" s="57"/>
      <c r="ADR46" s="58"/>
      <c r="ADS46" s="56"/>
      <c r="ADT46" s="57"/>
      <c r="ADU46" s="57"/>
      <c r="ADV46" s="57"/>
      <c r="ADW46" s="56"/>
      <c r="ADX46" s="57"/>
      <c r="ADY46" s="57"/>
      <c r="ADZ46" s="56"/>
      <c r="AEA46" s="57"/>
      <c r="AEB46" s="58"/>
      <c r="AEC46" s="56"/>
      <c r="AED46" s="57"/>
      <c r="AEE46" s="57"/>
      <c r="AEF46" s="57"/>
      <c r="AEG46" s="56"/>
      <c r="AEH46" s="57"/>
      <c r="AEI46" s="57"/>
      <c r="AEJ46" s="56"/>
      <c r="AEK46" s="57"/>
      <c r="AEL46" s="58"/>
      <c r="AEM46" s="56"/>
      <c r="AEN46" s="57"/>
      <c r="AEO46" s="57"/>
      <c r="AEP46" s="57"/>
      <c r="AEQ46" s="56"/>
      <c r="AER46" s="57"/>
      <c r="AES46" s="57"/>
      <c r="AET46" s="56"/>
      <c r="AEU46" s="57"/>
      <c r="AEV46" s="58"/>
      <c r="AEW46" s="56"/>
      <c r="AEX46" s="57"/>
      <c r="AEY46" s="57"/>
      <c r="AEZ46" s="57"/>
      <c r="AFA46" s="56"/>
      <c r="AFB46" s="57"/>
      <c r="AFC46" s="57"/>
      <c r="AFD46" s="56"/>
      <c r="AFE46" s="57"/>
      <c r="AFF46" s="58"/>
      <c r="AFG46" s="56"/>
      <c r="AFH46" s="57"/>
      <c r="AFI46" s="57"/>
      <c r="AFJ46" s="57"/>
      <c r="AFK46" s="56"/>
      <c r="AFL46" s="57"/>
      <c r="AFM46" s="57"/>
      <c r="AFN46" s="56"/>
      <c r="AFO46" s="57"/>
      <c r="AFP46" s="58"/>
      <c r="AFQ46" s="56"/>
      <c r="AFR46" s="57"/>
      <c r="AFS46" s="57"/>
      <c r="AFT46" s="57"/>
      <c r="AFU46" s="56"/>
      <c r="AFV46" s="57"/>
      <c r="AFW46" s="57"/>
      <c r="AFX46" s="56"/>
      <c r="AFY46" s="57"/>
      <c r="AFZ46" s="58"/>
      <c r="AGA46" s="56"/>
      <c r="AGB46" s="57"/>
      <c r="AGC46" s="57"/>
      <c r="AGD46" s="57"/>
      <c r="AGE46" s="56"/>
      <c r="AGF46" s="57"/>
      <c r="AGG46" s="57"/>
      <c r="AGH46" s="56"/>
      <c r="AGI46" s="57"/>
      <c r="AGJ46" s="58"/>
      <c r="AGK46" s="56"/>
      <c r="AGL46" s="57"/>
      <c r="AGM46" s="57"/>
      <c r="AGN46" s="57"/>
      <c r="AGO46" s="56"/>
      <c r="AGP46" s="57"/>
      <c r="AGQ46" s="57"/>
      <c r="AGR46" s="56"/>
      <c r="AGS46" s="57"/>
      <c r="AGT46" s="58"/>
      <c r="AGU46" s="56"/>
      <c r="AGV46" s="57"/>
      <c r="AGW46" s="57"/>
      <c r="AGX46" s="57"/>
      <c r="AGY46" s="56"/>
      <c r="AGZ46" s="57"/>
      <c r="AHA46" s="57"/>
      <c r="AHB46" s="56"/>
      <c r="AHC46" s="57"/>
      <c r="AHD46" s="58"/>
      <c r="AHE46" s="56"/>
      <c r="AHF46" s="57"/>
      <c r="AHG46" s="57"/>
      <c r="AHH46" s="57"/>
      <c r="AHI46" s="56"/>
      <c r="AHJ46" s="57"/>
      <c r="AHK46" s="57"/>
      <c r="AHL46" s="56"/>
      <c r="AHM46" s="57"/>
      <c r="AHN46" s="58"/>
      <c r="AHO46" s="56"/>
      <c r="AHP46" s="57"/>
      <c r="AHQ46" s="57"/>
      <c r="AHR46" s="57"/>
      <c r="AHS46" s="56"/>
      <c r="AHT46" s="57"/>
      <c r="AHU46" s="57"/>
      <c r="AHV46" s="56"/>
      <c r="AHW46" s="57"/>
      <c r="AHX46" s="58"/>
      <c r="AHY46" s="56"/>
      <c r="AHZ46" s="57"/>
      <c r="AIA46" s="57"/>
      <c r="AIB46" s="57"/>
      <c r="AIC46" s="56"/>
      <c r="AID46" s="57"/>
      <c r="AIE46" s="57"/>
      <c r="AIF46" s="56"/>
      <c r="AIG46" s="57"/>
      <c r="AIH46" s="58"/>
      <c r="AII46" s="56"/>
      <c r="AIJ46" s="57"/>
      <c r="AIK46" s="57"/>
      <c r="AIL46" s="57"/>
      <c r="AIM46" s="56"/>
      <c r="AIN46" s="57"/>
      <c r="AIO46" s="57"/>
      <c r="AIP46" s="56"/>
      <c r="AIQ46" s="57"/>
      <c r="AIR46" s="58"/>
      <c r="AIS46" s="56"/>
      <c r="AIT46" s="57"/>
      <c r="AIU46" s="57"/>
      <c r="AIV46" s="57"/>
      <c r="AIW46" s="56"/>
      <c r="AIX46" s="57"/>
      <c r="AIY46" s="57"/>
      <c r="AIZ46" s="56"/>
      <c r="AJA46" s="57"/>
      <c r="AJB46" s="58"/>
      <c r="AJC46" s="56"/>
      <c r="AJD46" s="57"/>
      <c r="AJE46" s="57"/>
      <c r="AJF46" s="57"/>
      <c r="AJG46" s="56"/>
      <c r="AJH46" s="57"/>
      <c r="AJI46" s="57"/>
      <c r="AJJ46" s="56"/>
      <c r="AJK46" s="57"/>
      <c r="AJL46" s="58"/>
      <c r="AJM46" s="56"/>
      <c r="AJN46" s="57"/>
      <c r="AJO46" s="57"/>
      <c r="AJP46" s="57"/>
      <c r="AJQ46" s="56"/>
      <c r="AJR46" s="57"/>
      <c r="AJS46" s="57"/>
      <c r="AJT46" s="56"/>
      <c r="AJU46" s="57"/>
      <c r="AJV46" s="58"/>
      <c r="AJW46" s="56"/>
      <c r="AJX46" s="57"/>
      <c r="AJY46" s="57"/>
      <c r="AJZ46" s="57"/>
      <c r="AKA46" s="56"/>
      <c r="AKB46" s="57"/>
      <c r="AKC46" s="57"/>
      <c r="AKD46" s="56"/>
      <c r="AKE46" s="57"/>
      <c r="AKF46" s="58"/>
      <c r="AKG46" s="56"/>
      <c r="AKH46" s="57"/>
      <c r="AKI46" s="57"/>
      <c r="AKJ46" s="57"/>
      <c r="AKK46" s="56"/>
      <c r="AKL46" s="57"/>
      <c r="AKM46" s="57"/>
      <c r="AKN46" s="56"/>
      <c r="AKO46" s="57"/>
      <c r="AKP46" s="58"/>
      <c r="AKQ46" s="56"/>
      <c r="AKR46" s="57"/>
      <c r="AKS46" s="57"/>
      <c r="AKT46" s="57"/>
      <c r="AKU46" s="56"/>
      <c r="AKV46" s="57"/>
      <c r="AKW46" s="57"/>
      <c r="AKX46" s="56"/>
      <c r="AKY46" s="57"/>
      <c r="AKZ46" s="58"/>
      <c r="ALA46" s="56"/>
      <c r="ALB46" s="57"/>
      <c r="ALC46" s="57"/>
      <c r="ALD46" s="57"/>
      <c r="ALE46" s="56"/>
      <c r="ALF46" s="57"/>
      <c r="ALG46" s="57"/>
      <c r="ALH46" s="57"/>
      <c r="ALI46" s="57"/>
      <c r="ALJ46" s="57"/>
      <c r="ALK46" s="56"/>
      <c r="ALL46" s="57"/>
      <c r="ALM46" s="57"/>
      <c r="ALN46" s="56"/>
      <c r="ALO46" s="57"/>
      <c r="ALP46" s="58"/>
      <c r="ALQ46" s="56"/>
      <c r="ALR46" s="57"/>
      <c r="ALS46" s="57"/>
      <c r="ALT46" s="57"/>
      <c r="ALU46" s="56"/>
      <c r="ALV46" s="57"/>
      <c r="ALW46" s="57"/>
      <c r="ALX46" s="56"/>
      <c r="ALY46" s="57"/>
      <c r="ALZ46" s="58"/>
      <c r="AMA46" s="56"/>
      <c r="AMB46" s="57"/>
      <c r="AMC46" s="57"/>
      <c r="AMD46" s="57"/>
      <c r="AME46" s="56"/>
      <c r="AMF46" s="57"/>
      <c r="AMG46" s="57"/>
      <c r="AMH46" s="57"/>
      <c r="AMI46" s="57"/>
      <c r="AMJ46" s="57"/>
      <c r="AMK46" s="56"/>
      <c r="AML46" s="57"/>
      <c r="AMM46" s="57"/>
      <c r="AMN46" s="56"/>
      <c r="AMO46" s="57"/>
      <c r="AMP46" s="58"/>
      <c r="AMQ46" s="56"/>
      <c r="AMR46" s="57"/>
      <c r="AMS46" s="57"/>
      <c r="AMT46" s="57"/>
      <c r="AMU46" s="56"/>
      <c r="AMV46" s="57"/>
      <c r="AMW46" s="57"/>
      <c r="AMX46" s="56"/>
      <c r="AMY46" s="57"/>
      <c r="AMZ46" s="58"/>
      <c r="ANA46" s="56"/>
      <c r="ANB46" s="57"/>
      <c r="ANC46" s="57"/>
      <c r="AND46" s="57"/>
      <c r="ANE46" s="56"/>
      <c r="ANF46" s="57"/>
      <c r="ANG46" s="57"/>
      <c r="ANH46" s="57"/>
      <c r="ANI46" s="57"/>
      <c r="ANJ46" s="57"/>
      <c r="ANK46" s="56"/>
      <c r="ANL46" s="57"/>
      <c r="ANM46" s="57"/>
      <c r="ANN46" s="56"/>
      <c r="ANO46" s="57"/>
      <c r="ANP46" s="58"/>
      <c r="ANQ46" s="56"/>
      <c r="ANR46" s="57"/>
      <c r="ANS46" s="57"/>
      <c r="ANT46" s="57"/>
      <c r="ANU46" s="56"/>
      <c r="ANV46" s="57"/>
      <c r="ANW46" s="57"/>
      <c r="ANX46" s="56"/>
      <c r="ANY46" s="57"/>
      <c r="ANZ46" s="58"/>
      <c r="AOA46" s="56"/>
      <c r="AOB46" s="57"/>
      <c r="AOC46" s="57"/>
      <c r="AOD46" s="57"/>
      <c r="AOE46" s="56"/>
      <c r="AOF46" s="57"/>
      <c r="AOG46" s="57"/>
      <c r="AOH46" s="57"/>
      <c r="AOI46" s="57"/>
      <c r="AOJ46" s="57"/>
      <c r="AOK46" s="56"/>
      <c r="AOL46" s="57"/>
      <c r="AOM46" s="57"/>
      <c r="AON46" s="56"/>
      <c r="AOO46" s="57"/>
      <c r="AOP46" s="58"/>
      <c r="AOQ46" s="56"/>
      <c r="AOR46" s="57"/>
      <c r="AOS46" s="57"/>
      <c r="AOT46" s="57"/>
      <c r="AOU46" s="56"/>
      <c r="AOV46" s="57"/>
      <c r="AOW46" s="57"/>
      <c r="AOX46" s="56"/>
      <c r="AOY46" s="57"/>
      <c r="AOZ46" s="58"/>
      <c r="APA46" s="56"/>
      <c r="APB46" s="57"/>
      <c r="APC46" s="57"/>
      <c r="APD46" s="57"/>
      <c r="APE46" s="56"/>
      <c r="APF46" s="57"/>
      <c r="APG46" s="57"/>
      <c r="APH46" s="57"/>
      <c r="API46" s="57"/>
      <c r="APJ46" s="57"/>
      <c r="APK46" s="56"/>
      <c r="APL46" s="57"/>
      <c r="APM46" s="57"/>
      <c r="APN46" s="56"/>
      <c r="APO46" s="57"/>
      <c r="APP46" s="58"/>
      <c r="APQ46" s="56"/>
      <c r="APR46" s="57"/>
      <c r="APS46" s="57"/>
      <c r="APT46" s="57"/>
      <c r="APU46" s="56"/>
      <c r="APV46" s="57"/>
      <c r="APW46" s="57"/>
      <c r="APX46" s="56"/>
      <c r="APY46" s="57"/>
      <c r="APZ46" s="58"/>
      <c r="AQA46" s="56"/>
      <c r="AQB46" s="57"/>
      <c r="AQC46" s="57"/>
      <c r="AQD46" s="57"/>
      <c r="AQE46" s="56"/>
      <c r="AQF46" s="57"/>
      <c r="AQG46" s="57"/>
      <c r="AQH46" s="57"/>
      <c r="AQI46" s="57"/>
      <c r="AQJ46" s="57"/>
      <c r="AQK46" s="56"/>
      <c r="AQL46" s="57"/>
      <c r="AQM46" s="57"/>
      <c r="AQN46" s="56"/>
      <c r="AQO46" s="57"/>
      <c r="AQP46" s="58"/>
      <c r="AQQ46" s="56"/>
      <c r="AQR46" s="57"/>
      <c r="AQS46" s="57"/>
      <c r="AQT46" s="57"/>
      <c r="AQU46" s="56"/>
      <c r="AQV46" s="57"/>
      <c r="AQW46" s="57"/>
      <c r="AQX46" s="56"/>
      <c r="AQY46" s="57"/>
      <c r="AQZ46" s="58"/>
      <c r="ARA46" s="56"/>
      <c r="ARB46" s="57"/>
      <c r="ARC46" s="57"/>
      <c r="ARD46" s="57"/>
      <c r="ARE46" s="56"/>
      <c r="ARF46" s="57"/>
      <c r="ARG46" s="57"/>
      <c r="ARH46" s="57"/>
      <c r="ARI46" s="57"/>
      <c r="ARJ46" s="57"/>
      <c r="ARK46" s="56"/>
      <c r="ARL46" s="57"/>
      <c r="ARM46" s="57"/>
      <c r="ARN46" s="56"/>
      <c r="ARO46" s="57"/>
      <c r="ARP46" s="58"/>
      <c r="ARQ46" s="56"/>
      <c r="ARR46" s="57"/>
      <c r="ARS46" s="57"/>
      <c r="ART46" s="57"/>
      <c r="ARU46" s="56"/>
      <c r="ARV46" s="57"/>
      <c r="ARW46" s="57"/>
      <c r="ARX46" s="56"/>
      <c r="ARY46" s="57"/>
      <c r="ARZ46" s="58"/>
      <c r="ASA46" s="56"/>
      <c r="ASB46" s="57"/>
      <c r="ASC46" s="57"/>
      <c r="ASD46" s="57"/>
      <c r="ASE46" s="56"/>
      <c r="ASF46" s="57"/>
      <c r="ASG46" s="57"/>
      <c r="ASH46" s="57"/>
      <c r="ASI46" s="57"/>
      <c r="ASJ46" s="57"/>
      <c r="ASK46" s="56"/>
      <c r="ASL46" s="57"/>
      <c r="ASM46" s="57"/>
      <c r="ASN46" s="56"/>
      <c r="ASO46" s="57"/>
      <c r="ASP46" s="58"/>
      <c r="ASQ46" s="56"/>
      <c r="ASR46" s="57"/>
      <c r="ASS46" s="57"/>
      <c r="AST46" s="57"/>
      <c r="ASU46" s="56"/>
      <c r="ASV46" s="57"/>
      <c r="ASW46" s="57"/>
      <c r="ASX46" s="56"/>
      <c r="ASY46" s="57"/>
      <c r="ASZ46" s="58"/>
      <c r="ATA46" s="56"/>
      <c r="ATB46" s="57"/>
      <c r="ATC46" s="57"/>
      <c r="ATD46" s="57"/>
      <c r="ATE46" s="56"/>
      <c r="ATF46" s="57"/>
      <c r="ATG46" s="57"/>
      <c r="ATH46" s="57"/>
      <c r="ATI46" s="57"/>
      <c r="ATJ46" s="57"/>
      <c r="ATK46" s="56"/>
      <c r="ATL46" s="57"/>
      <c r="ATM46" s="57"/>
      <c r="ATN46" s="56"/>
      <c r="ATO46" s="57"/>
      <c r="ATP46" s="58"/>
      <c r="ATQ46" s="56"/>
      <c r="ATR46" s="57"/>
      <c r="ATS46" s="57"/>
      <c r="ATT46" s="57"/>
      <c r="ATU46" s="56"/>
      <c r="ATV46" s="57"/>
      <c r="ATW46" s="57"/>
      <c r="ATX46" s="56"/>
      <c r="ATY46" s="57"/>
      <c r="ATZ46" s="58"/>
      <c r="AUA46" s="56"/>
      <c r="AUB46" s="57"/>
      <c r="AUC46" s="57"/>
      <c r="AUD46" s="57"/>
      <c r="AUE46" s="56"/>
      <c r="AUF46" s="57"/>
      <c r="AUG46" s="57"/>
      <c r="AUH46" s="57"/>
      <c r="AUI46" s="57"/>
      <c r="AUJ46" s="57"/>
      <c r="AUK46" s="56"/>
      <c r="AUL46" s="57"/>
      <c r="AUM46" s="57"/>
      <c r="AUN46" s="56"/>
      <c r="AUO46" s="57"/>
      <c r="AUP46" s="58"/>
      <c r="AUQ46" s="56"/>
      <c r="AUR46" s="57"/>
      <c r="AUS46" s="57"/>
      <c r="AUT46" s="57"/>
      <c r="AUU46" s="56"/>
      <c r="AUV46" s="57"/>
      <c r="AUW46" s="57"/>
      <c r="AUX46" s="56"/>
      <c r="AUY46" s="57"/>
      <c r="AUZ46" s="58"/>
      <c r="AVA46" s="56"/>
      <c r="AVB46" s="57"/>
      <c r="AVC46" s="57"/>
      <c r="AVD46" s="57"/>
      <c r="AVE46" s="56"/>
      <c r="AVF46" s="57"/>
      <c r="AVG46" s="57"/>
      <c r="AVH46" s="57"/>
      <c r="AVI46" s="57"/>
      <c r="AVJ46" s="57"/>
      <c r="AVK46" s="56"/>
      <c r="AVL46" s="57"/>
      <c r="AVM46" s="57"/>
      <c r="AVN46" s="56"/>
      <c r="AVO46" s="57"/>
      <c r="AVP46" s="58"/>
      <c r="AVQ46" s="56"/>
      <c r="AVR46" s="57"/>
      <c r="AVS46" s="57"/>
      <c r="AVT46" s="57"/>
      <c r="AVU46" s="56"/>
      <c r="AVV46" s="57"/>
      <c r="AVW46" s="57"/>
      <c r="AVX46" s="56"/>
      <c r="AVY46" s="57"/>
      <c r="AVZ46" s="58"/>
      <c r="AWA46" s="56"/>
      <c r="AWB46" s="57"/>
      <c r="AWC46" s="57"/>
      <c r="AWD46" s="57"/>
      <c r="AWE46" s="56"/>
      <c r="AWF46" s="57"/>
      <c r="AWG46" s="57"/>
      <c r="AWH46" s="57"/>
      <c r="AWI46" s="57"/>
      <c r="AWJ46" s="57"/>
      <c r="AWK46" s="56"/>
      <c r="AWL46" s="57"/>
      <c r="AWM46" s="57"/>
      <c r="AWN46" s="56"/>
      <c r="AWO46" s="57"/>
      <c r="AWP46" s="58"/>
      <c r="AWQ46" s="56"/>
      <c r="AWR46" s="57"/>
      <c r="AWS46" s="57"/>
      <c r="AWT46" s="57"/>
      <c r="AWU46" s="56"/>
      <c r="AWV46" s="57"/>
      <c r="AWW46" s="57"/>
      <c r="AWX46" s="56"/>
      <c r="AWY46" s="57"/>
      <c r="AWZ46" s="58"/>
      <c r="AXA46" s="56"/>
      <c r="AXB46" s="57"/>
      <c r="AXC46" s="57"/>
      <c r="AXD46" s="57"/>
      <c r="AXE46" s="56"/>
      <c r="AXF46" s="57"/>
      <c r="AXG46" s="57"/>
      <c r="AXH46" s="57"/>
      <c r="AXI46" s="57"/>
      <c r="AXJ46" s="57"/>
      <c r="AXK46" s="56"/>
      <c r="AXL46" s="57"/>
      <c r="AXM46" s="57"/>
      <c r="AXN46" s="56"/>
      <c r="AXO46" s="57"/>
      <c r="AXP46" s="58"/>
      <c r="AXQ46" s="56"/>
      <c r="AXR46" s="57"/>
      <c r="AXS46" s="57"/>
      <c r="AXT46" s="57"/>
      <c r="AXU46" s="56"/>
      <c r="AXV46" s="57"/>
      <c r="AXW46" s="57"/>
      <c r="AXX46" s="56"/>
      <c r="AXY46" s="57"/>
      <c r="AXZ46" s="58"/>
      <c r="AYA46" s="56"/>
      <c r="AYB46" s="57"/>
      <c r="AYC46" s="57"/>
      <c r="AYD46" s="57"/>
      <c r="AYE46" s="56"/>
      <c r="AYF46" s="57"/>
      <c r="AYG46" s="57"/>
      <c r="AYH46" s="57"/>
      <c r="AYI46" s="57"/>
      <c r="AYJ46" s="57"/>
      <c r="AYK46" s="56"/>
      <c r="AYL46" s="57"/>
      <c r="AYM46" s="57"/>
      <c r="AYN46" s="56"/>
      <c r="AYO46" s="57"/>
      <c r="AYP46" s="58"/>
      <c r="AYQ46" s="56"/>
      <c r="AYR46" s="57"/>
      <c r="AYS46" s="57"/>
      <c r="AYT46" s="57"/>
      <c r="AYU46" s="56"/>
      <c r="AYV46" s="57"/>
      <c r="AYW46" s="57"/>
      <c r="AYX46" s="56"/>
      <c r="AYY46" s="57"/>
      <c r="AYZ46" s="58"/>
      <c r="AZA46" s="56"/>
      <c r="AZB46" s="57"/>
      <c r="AZC46" s="57"/>
      <c r="AZD46" s="57"/>
      <c r="AZE46" s="56"/>
      <c r="AZF46" s="57"/>
      <c r="AZG46" s="57"/>
      <c r="AZH46" s="57"/>
      <c r="AZI46" s="57"/>
      <c r="AZJ46" s="57"/>
      <c r="AZK46" s="56"/>
      <c r="AZL46" s="57"/>
      <c r="AZM46" s="57"/>
      <c r="AZN46" s="56"/>
      <c r="AZO46" s="57"/>
      <c r="AZP46" s="58"/>
      <c r="AZQ46" s="56"/>
      <c r="AZR46" s="57"/>
      <c r="AZS46" s="57"/>
      <c r="AZT46" s="57"/>
      <c r="AZU46" s="56"/>
      <c r="AZV46" s="57"/>
      <c r="AZW46" s="57"/>
      <c r="AZX46" s="56"/>
      <c r="AZY46" s="57"/>
      <c r="AZZ46" s="58"/>
      <c r="BAA46" s="56"/>
      <c r="BAB46" s="57"/>
      <c r="BAC46" s="57"/>
      <c r="BAD46" s="57"/>
      <c r="BAE46" s="56"/>
      <c r="BAF46" s="57"/>
      <c r="BAG46" s="57"/>
      <c r="BAH46" s="57"/>
      <c r="BAI46" s="57"/>
      <c r="BAJ46" s="57"/>
      <c r="BAK46" s="56"/>
      <c r="BAL46" s="57"/>
      <c r="BAM46" s="57"/>
      <c r="BAN46" s="56"/>
      <c r="BAO46" s="57"/>
      <c r="BAP46" s="58"/>
      <c r="BAQ46" s="56"/>
      <c r="BAR46" s="57"/>
      <c r="BAS46" s="57"/>
      <c r="BAT46" s="57"/>
      <c r="BAU46" s="56"/>
      <c r="BAV46" s="57"/>
      <c r="BAW46" s="57"/>
      <c r="BAX46" s="56"/>
      <c r="BAY46" s="57"/>
      <c r="BAZ46" s="58"/>
      <c r="BBA46" s="56"/>
      <c r="BBB46" s="57"/>
      <c r="BBC46" s="57"/>
      <c r="BBD46" s="57"/>
      <c r="BBE46" s="56"/>
      <c r="BBF46" s="57"/>
      <c r="BBG46" s="57"/>
      <c r="BBH46" s="57"/>
      <c r="BBI46" s="57"/>
      <c r="BBJ46" s="57"/>
      <c r="BBK46" s="56"/>
      <c r="BBL46" s="57"/>
      <c r="BBM46" s="57"/>
      <c r="BBN46" s="56"/>
      <c r="BBO46" s="57"/>
      <c r="BBP46" s="58"/>
      <c r="BBQ46" s="56"/>
      <c r="BBR46" s="57"/>
      <c r="BBS46" s="57"/>
      <c r="BBT46" s="57"/>
      <c r="BBU46" s="56"/>
      <c r="BBV46" s="57"/>
      <c r="BBW46" s="57"/>
      <c r="BBX46" s="56"/>
      <c r="BBY46" s="57"/>
      <c r="BBZ46" s="58"/>
      <c r="BCA46" s="56"/>
      <c r="BCB46" s="57"/>
      <c r="BCC46" s="57"/>
      <c r="BCD46" s="57"/>
      <c r="BCE46" s="56"/>
      <c r="BCF46" s="57"/>
      <c r="BCG46" s="57"/>
      <c r="BCH46" s="57"/>
      <c r="BCI46" s="57"/>
      <c r="BCJ46" s="57"/>
      <c r="BCK46" s="56"/>
      <c r="BCL46" s="57"/>
      <c r="BCM46" s="57"/>
      <c r="BCN46" s="56"/>
      <c r="BCO46" s="57"/>
      <c r="BCP46" s="58"/>
      <c r="BCQ46" s="56"/>
      <c r="BCR46" s="57"/>
      <c r="BCS46" s="57"/>
      <c r="BCT46" s="57"/>
      <c r="BCU46" s="56"/>
      <c r="BCV46" s="57"/>
      <c r="BCW46" s="57"/>
      <c r="BCX46" s="56"/>
      <c r="BCY46" s="57"/>
      <c r="BCZ46" s="58"/>
      <c r="BDA46" s="56"/>
      <c r="BDB46" s="57"/>
      <c r="BDC46" s="57"/>
      <c r="BDD46" s="57"/>
      <c r="BDE46" s="56"/>
      <c r="BDF46" s="57"/>
      <c r="BDG46" s="57"/>
      <c r="BDH46" s="57"/>
      <c r="BDI46" s="57"/>
      <c r="BDJ46" s="57"/>
      <c r="BDK46" s="56"/>
      <c r="BDL46" s="57"/>
      <c r="BDM46" s="57"/>
      <c r="BDN46" s="56"/>
      <c r="BDO46" s="57"/>
      <c r="BDP46" s="58"/>
      <c r="BDQ46" s="56"/>
      <c r="BDR46" s="57"/>
      <c r="BDS46" s="57"/>
      <c r="BDT46" s="57"/>
      <c r="BDU46" s="56"/>
      <c r="BDV46" s="57"/>
      <c r="BDW46" s="57"/>
      <c r="BDX46" s="56"/>
      <c r="BDY46" s="57"/>
      <c r="BDZ46" s="58"/>
      <c r="BEA46" s="56"/>
      <c r="BEB46" s="57"/>
      <c r="BEC46" s="57"/>
      <c r="BED46" s="57"/>
      <c r="BEE46" s="56"/>
      <c r="BEF46" s="57"/>
      <c r="BEG46" s="57"/>
      <c r="BEH46" s="57"/>
      <c r="BEI46" s="57"/>
      <c r="BEJ46" s="57"/>
      <c r="BEK46" s="56"/>
      <c r="BEL46" s="57"/>
      <c r="BEM46" s="57"/>
      <c r="BEN46" s="56"/>
      <c r="BEO46" s="57"/>
      <c r="BEP46" s="58"/>
      <c r="BEQ46" s="56"/>
      <c r="BER46" s="57"/>
      <c r="BES46" s="57"/>
      <c r="BET46" s="57"/>
      <c r="BEU46" s="56"/>
      <c r="BEV46" s="57"/>
      <c r="BEW46" s="57"/>
      <c r="BEX46" s="56"/>
      <c r="BEY46" s="57"/>
      <c r="BEZ46" s="58"/>
      <c r="BFA46" s="56"/>
      <c r="BFB46" s="57"/>
      <c r="BFC46" s="57"/>
      <c r="BFD46" s="57"/>
      <c r="BFE46" s="56"/>
      <c r="BFF46" s="57"/>
      <c r="BFG46" s="57"/>
      <c r="BFH46" s="57"/>
      <c r="BFI46" s="57"/>
      <c r="BFJ46" s="57"/>
      <c r="BFK46" s="56"/>
      <c r="BFL46" s="57"/>
      <c r="BFM46" s="57"/>
      <c r="BFN46" s="56"/>
      <c r="BFO46" s="57"/>
      <c r="BFP46" s="58"/>
      <c r="BFQ46" s="56"/>
      <c r="BFR46" s="57"/>
      <c r="BFS46" s="57"/>
      <c r="BFT46" s="57"/>
      <c r="BFU46" s="56"/>
      <c r="BFV46" s="57"/>
      <c r="BFW46" s="57"/>
      <c r="BFX46" s="56"/>
      <c r="BFY46" s="57"/>
      <c r="BFZ46" s="58"/>
      <c r="BGA46" s="56"/>
      <c r="BGB46" s="57"/>
      <c r="BGC46" s="57"/>
      <c r="BGD46" s="57"/>
      <c r="BGE46" s="56"/>
      <c r="BGF46" s="57"/>
      <c r="BGG46" s="57"/>
      <c r="BGH46" s="57"/>
      <c r="BGI46" s="57"/>
      <c r="BGJ46" s="57"/>
      <c r="BGK46" s="56"/>
      <c r="BGL46" s="57"/>
      <c r="BGM46" s="57"/>
      <c r="BGN46" s="56"/>
      <c r="BGO46" s="57"/>
      <c r="BGP46" s="58"/>
      <c r="BGQ46" s="56"/>
      <c r="BGR46" s="57"/>
      <c r="BGS46" s="57"/>
      <c r="BGT46" s="57"/>
      <c r="BGU46" s="56"/>
      <c r="BGV46" s="57"/>
      <c r="BGW46" s="57"/>
      <c r="BGX46" s="56"/>
      <c r="BGY46" s="57"/>
      <c r="BGZ46" s="58"/>
      <c r="BHA46" s="56"/>
      <c r="BHB46" s="57"/>
      <c r="BHC46" s="57"/>
      <c r="BHD46" s="57"/>
      <c r="BHE46" s="56"/>
      <c r="BHF46" s="57"/>
      <c r="BHG46" s="57"/>
      <c r="BHH46" s="57"/>
      <c r="BHI46" s="57"/>
      <c r="BHJ46" s="57"/>
      <c r="BHK46" s="56"/>
      <c r="BHL46" s="57"/>
      <c r="BHM46" s="57"/>
      <c r="BHN46" s="56"/>
      <c r="BHO46" s="57"/>
      <c r="BHP46" s="58"/>
      <c r="BHQ46" s="56"/>
      <c r="BHR46" s="57"/>
      <c r="BHS46" s="57"/>
      <c r="BHT46" s="57"/>
      <c r="BHU46" s="56"/>
      <c r="BHV46" s="57"/>
      <c r="BHW46" s="57"/>
      <c r="BHX46" s="56"/>
      <c r="BHY46" s="57"/>
      <c r="BHZ46" s="58"/>
      <c r="BIA46" s="56"/>
      <c r="BIB46" s="57"/>
      <c r="BIC46" s="57"/>
      <c r="BID46" s="57"/>
      <c r="BIE46" s="56"/>
      <c r="BIF46" s="57"/>
      <c r="BIG46" s="57"/>
      <c r="BIH46" s="57"/>
      <c r="BII46" s="57"/>
      <c r="BIJ46" s="57"/>
      <c r="BIK46" s="56"/>
      <c r="BIL46" s="57"/>
      <c r="BIM46" s="57"/>
      <c r="BIN46" s="56"/>
      <c r="BIO46" s="57"/>
      <c r="BIP46" s="58"/>
      <c r="BIQ46" s="56"/>
      <c r="BIR46" s="57"/>
      <c r="BIS46" s="57"/>
      <c r="BIT46" s="57"/>
      <c r="BIU46" s="56"/>
      <c r="BIV46" s="57"/>
      <c r="BIW46" s="57"/>
      <c r="BIX46" s="56"/>
      <c r="BIY46" s="57"/>
      <c r="BIZ46" s="58"/>
      <c r="BJA46" s="56"/>
      <c r="BJB46" s="57"/>
      <c r="BJC46" s="57"/>
      <c r="BJD46" s="57"/>
      <c r="BJE46" s="56"/>
      <c r="BJF46" s="57"/>
      <c r="BJG46" s="57"/>
      <c r="BJH46" s="57"/>
      <c r="BJI46" s="57"/>
      <c r="BJJ46" s="57"/>
      <c r="BJK46" s="56"/>
      <c r="BJL46" s="57"/>
      <c r="BJM46" s="57"/>
      <c r="BJN46" s="56"/>
      <c r="BJO46" s="57"/>
      <c r="BJP46" s="58"/>
      <c r="BJQ46" s="56"/>
      <c r="BJR46" s="57"/>
      <c r="BJS46" s="57"/>
      <c r="BJT46" s="57"/>
      <c r="BJU46" s="56"/>
      <c r="BJV46" s="57"/>
      <c r="BJW46" s="57"/>
      <c r="BJX46" s="56"/>
      <c r="BJY46" s="57"/>
      <c r="BJZ46" s="58"/>
      <c r="BKA46" s="56"/>
      <c r="BKB46" s="57"/>
      <c r="BKC46" s="57"/>
      <c r="BKD46" s="57"/>
      <c r="BKE46" s="56"/>
      <c r="BKF46" s="57"/>
      <c r="BKG46" s="57"/>
      <c r="BKH46" s="57"/>
      <c r="BKI46" s="57"/>
      <c r="BKJ46" s="57"/>
      <c r="BKK46" s="56"/>
      <c r="BKL46" s="57"/>
      <c r="BKM46" s="57"/>
      <c r="BKN46" s="56"/>
      <c r="BKO46" s="57"/>
      <c r="BKP46" s="58"/>
      <c r="BKQ46" s="56"/>
      <c r="BKR46" s="57"/>
      <c r="BKS46" s="57"/>
      <c r="BKT46" s="57"/>
      <c r="BKU46" s="56"/>
      <c r="BKV46" s="57"/>
      <c r="BKW46" s="57"/>
      <c r="BKX46" s="56"/>
      <c r="BKY46" s="57"/>
      <c r="BKZ46" s="58"/>
      <c r="BLA46" s="56"/>
      <c r="BLB46" s="57"/>
      <c r="BLC46" s="57"/>
      <c r="BLD46" s="57"/>
      <c r="BLE46" s="56"/>
      <c r="BLF46" s="57"/>
      <c r="BLG46" s="57"/>
      <c r="BLH46" s="57"/>
      <c r="BLI46" s="57"/>
      <c r="BLJ46" s="57"/>
      <c r="BLK46" s="56"/>
      <c r="BLL46" s="57"/>
      <c r="BLM46" s="57"/>
      <c r="BLN46" s="56"/>
      <c r="BLO46" s="57"/>
      <c r="BLP46" s="58"/>
      <c r="BLQ46" s="56"/>
      <c r="BLR46" s="57"/>
      <c r="BLS46" s="57"/>
      <c r="BLT46" s="57"/>
      <c r="BLU46" s="56"/>
      <c r="BLV46" s="57"/>
      <c r="BLW46" s="57"/>
      <c r="BLX46" s="56"/>
      <c r="BLY46" s="57"/>
      <c r="BLZ46" s="58"/>
      <c r="BMA46" s="56"/>
      <c r="BMB46" s="57"/>
      <c r="BMC46" s="57"/>
      <c r="BMD46" s="57"/>
      <c r="BME46" s="56"/>
      <c r="BMF46" s="57"/>
      <c r="BMG46" s="57"/>
      <c r="BMH46" s="57"/>
      <c r="BMI46" s="57"/>
      <c r="BMJ46" s="57"/>
      <c r="BMK46" s="56"/>
      <c r="BML46" s="57"/>
      <c r="BMM46" s="57"/>
      <c r="BMN46" s="56"/>
      <c r="BMO46" s="57"/>
      <c r="BMP46" s="58"/>
      <c r="BMQ46" s="56"/>
      <c r="BMR46" s="57"/>
      <c r="BMS46" s="57"/>
      <c r="BMT46" s="57"/>
      <c r="BMU46" s="56"/>
      <c r="BMV46" s="57"/>
      <c r="BMW46" s="57"/>
      <c r="BMX46" s="56"/>
      <c r="BMY46" s="57"/>
      <c r="BMZ46" s="58"/>
      <c r="BNA46" s="56"/>
      <c r="BNB46" s="57"/>
      <c r="BNC46" s="57"/>
      <c r="BND46" s="57"/>
      <c r="BNE46" s="56"/>
      <c r="BNF46" s="57"/>
      <c r="BNG46" s="57"/>
      <c r="BNH46" s="57"/>
      <c r="BNI46" s="57"/>
      <c r="BNJ46" s="57"/>
      <c r="BNK46" s="56"/>
      <c r="BNL46" s="57"/>
      <c r="BNM46" s="57"/>
      <c r="BNN46" s="56"/>
      <c r="BNO46" s="57"/>
      <c r="BNP46" s="58"/>
      <c r="BNQ46" s="56"/>
      <c r="BNR46" s="57"/>
      <c r="BNS46" s="57"/>
      <c r="BNT46" s="57"/>
      <c r="BNU46" s="56"/>
      <c r="BNV46" s="57"/>
      <c r="BNW46" s="57"/>
      <c r="BNX46" s="56"/>
      <c r="BNY46" s="57"/>
      <c r="BNZ46" s="58"/>
      <c r="BOA46" s="56"/>
      <c r="BOB46" s="57"/>
      <c r="BOC46" s="57"/>
      <c r="BOD46" s="57"/>
      <c r="BOE46" s="56"/>
      <c r="BOF46" s="57"/>
      <c r="BOG46" s="57"/>
      <c r="BOH46" s="57"/>
      <c r="BOI46" s="57"/>
      <c r="BOJ46" s="57"/>
      <c r="BOK46" s="56"/>
      <c r="BOL46" s="57"/>
      <c r="BOM46" s="57"/>
      <c r="BON46" s="56"/>
      <c r="BOO46" s="57"/>
      <c r="BOP46" s="58"/>
      <c r="BOQ46" s="56"/>
      <c r="BOR46" s="57"/>
      <c r="BOS46" s="57"/>
      <c r="BOT46" s="57"/>
      <c r="BOU46" s="56"/>
      <c r="BOV46" s="57"/>
      <c r="BOW46" s="57"/>
      <c r="BOX46" s="56"/>
      <c r="BOY46" s="57"/>
      <c r="BOZ46" s="58"/>
      <c r="BPA46" s="56"/>
      <c r="BPB46" s="57"/>
      <c r="BPC46" s="57"/>
      <c r="BPD46" s="57"/>
      <c r="BPE46" s="56"/>
      <c r="BPF46" s="57"/>
      <c r="BPG46" s="57"/>
      <c r="BPH46" s="57"/>
      <c r="BPI46" s="57"/>
      <c r="BPJ46" s="57"/>
      <c r="BPK46" s="56"/>
      <c r="BPL46" s="57"/>
      <c r="BPM46" s="57"/>
      <c r="BPN46" s="56"/>
      <c r="BPO46" s="57"/>
      <c r="BPP46" s="58"/>
      <c r="BPQ46" s="56"/>
      <c r="BPR46" s="57"/>
      <c r="BPS46" s="57"/>
      <c r="BPT46" s="57"/>
      <c r="BPU46" s="56"/>
      <c r="BPV46" s="57"/>
      <c r="BPW46" s="57"/>
      <c r="BPX46" s="56"/>
      <c r="BPY46" s="57"/>
      <c r="BPZ46" s="58"/>
      <c r="BQA46" s="56"/>
      <c r="BQB46" s="57"/>
      <c r="BQC46" s="57"/>
      <c r="BQD46" s="57"/>
      <c r="BQE46" s="56"/>
      <c r="BQF46" s="57"/>
      <c r="BQG46" s="57"/>
      <c r="BQH46" s="57"/>
      <c r="BQI46" s="57"/>
      <c r="BQJ46" s="57"/>
      <c r="BQK46" s="56"/>
      <c r="BQL46" s="57"/>
      <c r="BQM46" s="57"/>
      <c r="BQN46" s="56"/>
      <c r="BQO46" s="57"/>
      <c r="BQP46" s="58"/>
      <c r="BQQ46" s="56"/>
      <c r="BQR46" s="57"/>
      <c r="BQS46" s="57"/>
      <c r="BQT46" s="57"/>
      <c r="BQU46" s="56"/>
      <c r="BQV46" s="57"/>
      <c r="BQW46" s="57"/>
      <c r="BQX46" s="56"/>
      <c r="BQY46" s="57"/>
      <c r="BQZ46" s="58"/>
      <c r="BRA46" s="56"/>
      <c r="BRB46" s="57"/>
      <c r="BRC46" s="57"/>
      <c r="BRD46" s="57"/>
      <c r="BRE46" s="56"/>
      <c r="BRF46" s="57"/>
      <c r="BRG46" s="57"/>
      <c r="BRH46" s="57"/>
      <c r="BRI46" s="57"/>
      <c r="BRJ46" s="57"/>
      <c r="BRK46" s="56"/>
      <c r="BRL46" s="57"/>
      <c r="BRM46" s="57"/>
      <c r="BRN46" s="56"/>
      <c r="BRO46" s="57"/>
      <c r="BRP46" s="58"/>
      <c r="BRQ46" s="56"/>
      <c r="BRR46" s="57"/>
      <c r="BRS46" s="57"/>
      <c r="BRT46" s="57"/>
      <c r="BRU46" s="56"/>
      <c r="BRV46" s="57"/>
      <c r="BRW46" s="57"/>
      <c r="BRX46" s="56"/>
      <c r="BRY46" s="57"/>
      <c r="BRZ46" s="58"/>
      <c r="BSA46" s="56"/>
      <c r="BSB46" s="57"/>
      <c r="BSC46" s="57"/>
      <c r="BSD46" s="57"/>
      <c r="BSE46" s="56"/>
      <c r="BSF46" s="57"/>
      <c r="BSG46" s="57"/>
      <c r="BSH46" s="57"/>
      <c r="BSI46" s="57"/>
      <c r="BSJ46" s="57"/>
      <c r="BSK46" s="56"/>
      <c r="BSL46" s="57"/>
      <c r="BSM46" s="57"/>
      <c r="BSN46" s="56"/>
      <c r="BSO46" s="57"/>
      <c r="BSP46" s="58"/>
      <c r="BSQ46" s="56"/>
      <c r="BSR46" s="57"/>
      <c r="BSS46" s="57"/>
      <c r="BST46" s="57"/>
      <c r="BSU46" s="56"/>
      <c r="BSV46" s="57"/>
      <c r="BSW46" s="57"/>
      <c r="BSX46" s="56"/>
      <c r="BSY46" s="57"/>
      <c r="BSZ46" s="58"/>
      <c r="BTA46" s="56"/>
      <c r="BTB46" s="57"/>
      <c r="BTC46" s="57"/>
      <c r="BTD46" s="57"/>
      <c r="BTE46" s="56"/>
      <c r="BTF46" s="57"/>
      <c r="BTG46" s="57"/>
      <c r="BTH46" s="57"/>
      <c r="BTI46" s="57"/>
      <c r="BTJ46" s="57"/>
      <c r="BTK46" s="56"/>
      <c r="BTL46" s="57"/>
      <c r="BTM46" s="57"/>
      <c r="BTN46" s="56"/>
      <c r="BTO46" s="57"/>
      <c r="BTP46" s="58"/>
      <c r="BTQ46" s="56"/>
      <c r="BTR46" s="57"/>
      <c r="BTS46" s="57"/>
      <c r="BTT46" s="57"/>
      <c r="BTU46" s="56"/>
      <c r="BTV46" s="57"/>
      <c r="BTW46" s="57"/>
      <c r="BTX46" s="56"/>
      <c r="BTY46" s="57"/>
      <c r="BTZ46" s="58"/>
      <c r="BUA46" s="56"/>
      <c r="BUB46" s="57"/>
      <c r="BUC46" s="57"/>
      <c r="BUD46" s="57"/>
      <c r="BUE46" s="56"/>
      <c r="BUF46" s="57"/>
      <c r="BUG46" s="57"/>
      <c r="BUH46" s="57"/>
      <c r="BUI46" s="57"/>
      <c r="BUJ46" s="57"/>
      <c r="BUK46" s="56"/>
      <c r="BUL46" s="57"/>
      <c r="BUM46" s="57"/>
      <c r="BUN46" s="56"/>
      <c r="BUO46" s="57"/>
      <c r="BUP46" s="58"/>
      <c r="BUQ46" s="56"/>
      <c r="BUR46" s="57"/>
      <c r="BUS46" s="57"/>
      <c r="BUT46" s="57"/>
      <c r="BUU46" s="56"/>
      <c r="BUV46" s="57"/>
      <c r="BUW46" s="57"/>
      <c r="BUX46" s="56"/>
      <c r="BUY46" s="57"/>
      <c r="BUZ46" s="58"/>
      <c r="BVA46" s="56"/>
      <c r="BVB46" s="57"/>
      <c r="BVC46" s="57"/>
      <c r="BVD46" s="57"/>
      <c r="BVE46" s="56"/>
      <c r="BVF46" s="57"/>
      <c r="BVG46" s="57"/>
      <c r="BVH46" s="57"/>
      <c r="BVI46" s="57"/>
      <c r="BVJ46" s="57"/>
      <c r="BVK46" s="56"/>
      <c r="BVL46" s="57"/>
      <c r="BVM46" s="57"/>
      <c r="BVN46" s="56"/>
      <c r="BVO46" s="57"/>
      <c r="BVP46" s="58"/>
      <c r="BVQ46" s="56"/>
      <c r="BVR46" s="57"/>
      <c r="BVS46" s="57"/>
      <c r="BVT46" s="57"/>
      <c r="BVU46" s="56"/>
      <c r="BVV46" s="57"/>
      <c r="BVW46" s="57"/>
      <c r="BVX46" s="56"/>
      <c r="BVY46" s="57"/>
      <c r="BVZ46" s="58"/>
      <c r="BWA46" s="56"/>
      <c r="BWB46" s="57"/>
      <c r="BWC46" s="57"/>
      <c r="BWD46" s="57"/>
      <c r="BWE46" s="56"/>
      <c r="BWF46" s="57"/>
      <c r="BWG46" s="57"/>
      <c r="BWH46" s="57"/>
      <c r="BWI46" s="57"/>
      <c r="BWJ46" s="57"/>
      <c r="BWK46" s="56"/>
      <c r="BWL46" s="57"/>
      <c r="BWM46" s="57"/>
      <c r="BWN46" s="56"/>
      <c r="BWO46" s="57"/>
      <c r="BWP46" s="58"/>
      <c r="BWQ46" s="56"/>
      <c r="BWR46" s="57"/>
      <c r="BWS46" s="57"/>
      <c r="BWT46" s="57"/>
      <c r="BWU46" s="56"/>
      <c r="BWV46" s="57"/>
      <c r="BWW46" s="57"/>
      <c r="BWX46" s="56"/>
      <c r="BWY46" s="57"/>
      <c r="BWZ46" s="58"/>
      <c r="BXA46" s="56"/>
      <c r="BXB46" s="57"/>
      <c r="BXC46" s="57"/>
      <c r="BXD46" s="57"/>
      <c r="BXE46" s="56"/>
      <c r="BXF46" s="57"/>
      <c r="BXG46" s="57"/>
      <c r="BXH46" s="57"/>
      <c r="BXI46" s="57"/>
      <c r="BXJ46" s="57"/>
      <c r="BXK46" s="56"/>
      <c r="BXL46" s="57"/>
      <c r="BXM46" s="57"/>
      <c r="BXN46" s="56"/>
      <c r="BXO46" s="57"/>
      <c r="BXP46" s="58"/>
      <c r="BXQ46" s="56"/>
      <c r="BXR46" s="57"/>
      <c r="BXS46" s="57"/>
      <c r="BXT46" s="57"/>
      <c r="BXU46" s="56"/>
      <c r="BXV46" s="57"/>
      <c r="BXW46" s="57"/>
      <c r="BXX46" s="56"/>
      <c r="BXY46" s="57"/>
      <c r="BXZ46" s="58"/>
      <c r="BYA46" s="56"/>
      <c r="BYB46" s="57"/>
      <c r="BYC46" s="57"/>
      <c r="BYD46" s="57"/>
      <c r="BYE46" s="56"/>
      <c r="BYF46" s="57"/>
      <c r="BYG46" s="57"/>
      <c r="BYH46" s="57"/>
      <c r="BYI46" s="57"/>
      <c r="BYJ46" s="57"/>
      <c r="BYK46" s="56"/>
      <c r="BYL46" s="57"/>
      <c r="BYM46" s="57"/>
      <c r="BYN46" s="56"/>
      <c r="BYO46" s="57"/>
      <c r="BYP46" s="58"/>
      <c r="BYQ46" s="56"/>
      <c r="BYR46" s="57"/>
      <c r="BYS46" s="57"/>
      <c r="BYT46" s="57"/>
      <c r="BYU46" s="56"/>
      <c r="BYV46" s="57"/>
      <c r="BYW46" s="57"/>
      <c r="BYX46" s="58"/>
      <c r="BYY46" s="57"/>
      <c r="BYZ46" s="56"/>
      <c r="BZA46" s="57"/>
      <c r="BZB46" s="56"/>
      <c r="BZC46" s="56"/>
      <c r="BZD46" s="56"/>
      <c r="BZE46" s="57"/>
      <c r="BZF46" s="57"/>
      <c r="BZG46" s="57"/>
      <c r="BZH46" s="57"/>
      <c r="BZI46" s="57"/>
      <c r="BZJ46" s="57"/>
      <c r="BZK46" s="57"/>
      <c r="BZL46" s="57"/>
      <c r="BZM46" s="57"/>
      <c r="BZN46" s="57"/>
      <c r="BZO46" s="57"/>
      <c r="BZP46" s="57"/>
      <c r="BZQ46" s="57"/>
      <c r="BZR46" s="57"/>
      <c r="BZS46" s="57"/>
      <c r="BZT46" s="57"/>
      <c r="BZU46" s="57"/>
      <c r="BZV46" s="57"/>
      <c r="BZW46" s="57"/>
      <c r="BZX46" s="57"/>
      <c r="BZY46" s="57"/>
      <c r="BZZ46" s="57"/>
      <c r="CAA46" s="57"/>
      <c r="CAB46" s="57"/>
      <c r="CAC46" s="57"/>
      <c r="CAD46" s="57"/>
      <c r="CAE46" s="57"/>
      <c r="CAF46" s="57"/>
      <c r="CAG46" s="57"/>
      <c r="CAH46" s="57"/>
      <c r="CAI46" s="57"/>
      <c r="CAJ46" s="57"/>
      <c r="CAK46" s="57"/>
      <c r="CAL46" s="57"/>
      <c r="CAM46" s="57"/>
      <c r="CAN46" s="57"/>
      <c r="CAO46" s="57"/>
      <c r="CAP46" s="58"/>
      <c r="CAQ46" s="56"/>
      <c r="CAR46" s="57"/>
      <c r="CAS46" s="57"/>
      <c r="CAT46" s="57"/>
      <c r="CAU46" s="57"/>
      <c r="CAV46" s="57"/>
      <c r="CAW46" s="56"/>
      <c r="CAX46" s="57"/>
      <c r="CAY46" s="57"/>
      <c r="CAZ46" s="56"/>
      <c r="CBA46" s="57"/>
      <c r="CBB46" s="58"/>
      <c r="CBC46" s="56"/>
      <c r="CBD46" s="57"/>
      <c r="CBE46" s="57"/>
      <c r="CBF46" s="57"/>
      <c r="CBG46" s="56"/>
      <c r="CBH46" s="57"/>
      <c r="CBI46" s="57"/>
      <c r="CBJ46" s="56"/>
      <c r="CBK46" s="57"/>
      <c r="CBL46" s="58"/>
      <c r="CBM46" s="56"/>
      <c r="CBN46" s="57"/>
      <c r="CBO46" s="57"/>
      <c r="CBP46" s="57"/>
      <c r="CBQ46" s="56"/>
      <c r="CBR46" s="57"/>
      <c r="CBS46" s="57"/>
      <c r="CBT46" s="56"/>
      <c r="CBU46" s="57"/>
      <c r="CBV46" s="58"/>
      <c r="CBW46" s="56"/>
      <c r="CBX46" s="57"/>
      <c r="CBY46" s="57"/>
      <c r="CBZ46" s="57"/>
      <c r="CCA46" s="56"/>
      <c r="CCB46" s="57"/>
      <c r="CCC46" s="57"/>
      <c r="CCD46" s="56"/>
      <c r="CCE46" s="57"/>
      <c r="CCF46" s="58"/>
      <c r="CCG46" s="56"/>
      <c r="CCH46" s="58"/>
      <c r="CCI46" s="57"/>
      <c r="CCJ46" s="56"/>
      <c r="CCK46" s="57"/>
      <c r="CCL46" s="56"/>
      <c r="CCM46" s="56"/>
      <c r="CCN46" s="56"/>
      <c r="CCO46" s="57"/>
      <c r="CCP46" s="57"/>
      <c r="CCQ46" s="57"/>
      <c r="CCR46" s="57"/>
      <c r="CCS46" s="57"/>
      <c r="CCT46" s="57"/>
      <c r="CCU46" s="57"/>
      <c r="CCV46" s="57"/>
      <c r="CCW46" s="57"/>
      <c r="CCX46" s="57"/>
      <c r="CCY46" s="57"/>
      <c r="CCZ46" s="57"/>
      <c r="CDA46" s="57"/>
      <c r="CDB46" s="57"/>
      <c r="CDC46" s="57"/>
      <c r="CDD46" s="57"/>
      <c r="CDE46" s="57"/>
      <c r="CDF46" s="57"/>
      <c r="CDG46" s="57"/>
      <c r="CDH46" s="57"/>
      <c r="CDI46" s="57"/>
      <c r="CDJ46" s="57"/>
      <c r="CDK46" s="57"/>
      <c r="CDL46" s="57"/>
      <c r="CDM46" s="57"/>
      <c r="CDN46" s="57"/>
      <c r="CDO46" s="57"/>
      <c r="CDP46" s="57"/>
      <c r="CDQ46" s="57"/>
      <c r="CDR46" s="57"/>
      <c r="CDS46" s="57"/>
      <c r="CDT46" s="57"/>
      <c r="CDU46" s="57"/>
      <c r="CDV46" s="57"/>
      <c r="CDW46" s="57"/>
      <c r="CDX46" s="57"/>
      <c r="CDY46" s="57"/>
      <c r="CDZ46" s="58"/>
      <c r="CEA46" s="56"/>
      <c r="CEB46" s="57"/>
      <c r="CEC46" s="57"/>
      <c r="CED46" s="57"/>
      <c r="CEE46" s="57"/>
      <c r="CEF46" s="57"/>
      <c r="CEG46" s="56"/>
      <c r="CEH46" s="57"/>
      <c r="CEI46" s="57"/>
      <c r="CEJ46" s="56"/>
      <c r="CEK46" s="57"/>
      <c r="CEL46" s="58"/>
      <c r="CEM46" s="56"/>
      <c r="CEN46" s="57"/>
      <c r="CEO46" s="57"/>
      <c r="CEP46" s="57"/>
      <c r="CEQ46" s="56"/>
      <c r="CER46" s="57"/>
      <c r="CES46" s="57"/>
      <c r="CET46" s="56"/>
      <c r="CEU46" s="57"/>
      <c r="CEV46" s="58"/>
      <c r="CEW46" s="56"/>
      <c r="CEX46" s="57"/>
      <c r="CEY46" s="57"/>
      <c r="CEZ46" s="57"/>
      <c r="CFA46" s="56"/>
      <c r="CFB46" s="57"/>
      <c r="CFC46" s="57"/>
      <c r="CFD46" s="56"/>
      <c r="CFE46" s="57"/>
      <c r="CFF46" s="58"/>
      <c r="CFG46" s="56"/>
      <c r="CFH46" s="57"/>
      <c r="CFI46" s="57"/>
      <c r="CFJ46" s="57"/>
      <c r="CFK46" s="56"/>
      <c r="CFL46" s="57"/>
      <c r="CFM46" s="57"/>
      <c r="CFN46" s="56"/>
      <c r="CFO46" s="57"/>
      <c r="CFP46" s="58"/>
      <c r="CFQ46" s="56"/>
      <c r="CFR46" s="58"/>
      <c r="CFS46" s="57"/>
      <c r="CFT46" s="56"/>
      <c r="CFU46" s="57"/>
      <c r="CFV46" s="56"/>
      <c r="CFW46" s="56"/>
      <c r="CFX46" s="56"/>
      <c r="CFY46" s="57"/>
      <c r="CFZ46" s="57"/>
      <c r="CGA46" s="57"/>
      <c r="CGB46" s="57"/>
      <c r="CGC46" s="57"/>
      <c r="CGD46" s="57"/>
      <c r="CGE46" s="57"/>
      <c r="CGF46" s="57"/>
      <c r="CGG46" s="57"/>
      <c r="CGH46" s="57"/>
      <c r="CGI46" s="57"/>
      <c r="CGJ46" s="57"/>
      <c r="CGK46" s="57"/>
      <c r="CGL46" s="57"/>
      <c r="CGM46" s="57"/>
      <c r="CGN46" s="57"/>
      <c r="CGO46" s="57"/>
      <c r="CGP46" s="57"/>
      <c r="CGQ46" s="57"/>
      <c r="CGR46" s="57"/>
      <c r="CGS46" s="57"/>
      <c r="CGT46" s="57"/>
      <c r="CGU46" s="57"/>
      <c r="CGV46" s="57"/>
      <c r="CGW46" s="57"/>
      <c r="CGX46" s="57"/>
      <c r="CGY46" s="57"/>
      <c r="CGZ46" s="57"/>
      <c r="CHA46" s="57"/>
      <c r="CHB46" s="57"/>
      <c r="CHC46" s="57"/>
      <c r="CHD46" s="57"/>
      <c r="CHE46" s="57"/>
      <c r="CHF46" s="57"/>
      <c r="CHG46" s="57"/>
      <c r="CHH46" s="57"/>
      <c r="CHI46" s="57"/>
      <c r="CHJ46" s="58"/>
      <c r="CHK46" s="56"/>
      <c r="CHL46" s="57"/>
      <c r="CHM46" s="57"/>
      <c r="CHN46" s="57"/>
      <c r="CHO46" s="57"/>
      <c r="CHP46" s="57"/>
      <c r="CHQ46" s="56"/>
      <c r="CHR46" s="57"/>
      <c r="CHS46" s="57"/>
      <c r="CHT46" s="56"/>
      <c r="CHU46" s="57"/>
      <c r="CHV46" s="58"/>
      <c r="CHW46" s="56"/>
      <c r="CHX46" s="57"/>
      <c r="CHY46" s="57"/>
      <c r="CHZ46" s="57"/>
      <c r="CIA46" s="56"/>
      <c r="CIB46" s="57"/>
      <c r="CIC46" s="57"/>
      <c r="CID46" s="56"/>
      <c r="CIE46" s="57"/>
      <c r="CIF46" s="58"/>
      <c r="CIG46" s="56"/>
      <c r="CIH46" s="57"/>
      <c r="CII46" s="57"/>
      <c r="CIJ46" s="57"/>
      <c r="CIK46" s="56"/>
      <c r="CIL46" s="57"/>
      <c r="CIM46" s="57"/>
      <c r="CIN46" s="56"/>
      <c r="CIO46" s="57"/>
      <c r="CIP46" s="58"/>
      <c r="CIQ46" s="56"/>
      <c r="CIR46" s="57"/>
      <c r="CIS46" s="57"/>
      <c r="CIT46" s="57"/>
      <c r="CIU46" s="56"/>
      <c r="CIV46" s="57"/>
      <c r="CIW46" s="57"/>
      <c r="CIX46" s="56"/>
      <c r="CIY46" s="57"/>
      <c r="CIZ46" s="58"/>
      <c r="CJA46" s="56"/>
      <c r="CJB46" s="58"/>
      <c r="CJC46" s="57"/>
      <c r="CJD46" s="56"/>
      <c r="CJE46" s="57"/>
      <c r="CJF46" s="56"/>
      <c r="CJG46" s="56"/>
      <c r="CJH46" s="56"/>
      <c r="CJI46" s="57"/>
      <c r="CJJ46" s="57"/>
      <c r="CJK46" s="57"/>
      <c r="CJL46" s="57"/>
      <c r="CJM46" s="57"/>
      <c r="CJN46" s="57"/>
      <c r="CJO46" s="57"/>
      <c r="CJP46" s="57"/>
      <c r="CJQ46" s="57"/>
      <c r="CJR46" s="57"/>
      <c r="CJS46" s="57"/>
      <c r="CJT46" s="57"/>
      <c r="CJU46" s="57"/>
      <c r="CJV46" s="57"/>
      <c r="CJW46" s="57"/>
      <c r="CJX46" s="57"/>
      <c r="CJY46" s="57"/>
      <c r="CJZ46" s="57"/>
      <c r="CKA46" s="57"/>
      <c r="CKB46" s="57"/>
      <c r="CKC46" s="57"/>
      <c r="CKD46" s="57"/>
      <c r="CKE46" s="57"/>
      <c r="CKF46" s="57"/>
      <c r="CKG46" s="57"/>
      <c r="CKH46" s="57"/>
      <c r="CKI46" s="57"/>
      <c r="CKJ46" s="57"/>
      <c r="CKK46" s="57"/>
      <c r="CKL46" s="57"/>
      <c r="CKM46" s="57"/>
      <c r="CKN46" s="57"/>
      <c r="CKO46" s="57"/>
      <c r="CKP46" s="57"/>
      <c r="CKQ46" s="57"/>
      <c r="CKR46" s="57"/>
      <c r="CKS46" s="57"/>
      <c r="CKT46" s="58"/>
      <c r="CKU46" s="56"/>
      <c r="CKV46" s="57"/>
      <c r="CKW46" s="57"/>
      <c r="CKX46" s="57"/>
      <c r="CKY46" s="57"/>
      <c r="CKZ46" s="57"/>
      <c r="CLA46" s="56"/>
      <c r="CLB46" s="57"/>
      <c r="CLC46" s="57"/>
      <c r="CLD46" s="56"/>
      <c r="CLE46" s="57"/>
      <c r="CLF46" s="58"/>
      <c r="CLG46" s="56"/>
      <c r="CLH46" s="57"/>
      <c r="CLI46" s="57"/>
      <c r="CLJ46" s="57"/>
      <c r="CLK46" s="56"/>
      <c r="CLL46" s="57"/>
      <c r="CLM46" s="57"/>
      <c r="CLN46" s="56"/>
      <c r="CLO46" s="57"/>
      <c r="CLP46" s="58"/>
      <c r="CLQ46" s="56"/>
      <c r="CLR46" s="57"/>
      <c r="CLS46" s="57"/>
      <c r="CLT46" s="57"/>
      <c r="CLU46" s="56"/>
      <c r="CLV46" s="57"/>
      <c r="CLW46" s="57"/>
      <c r="CLX46" s="56"/>
      <c r="CLY46" s="57"/>
      <c r="CLZ46" s="58"/>
      <c r="CMA46" s="56"/>
      <c r="CMB46" s="57"/>
      <c r="CMC46" s="57"/>
      <c r="CMD46" s="57"/>
      <c r="CME46" s="56"/>
      <c r="CMF46" s="57"/>
      <c r="CMG46" s="57"/>
      <c r="CMH46" s="56"/>
      <c r="CMI46" s="57"/>
      <c r="CMJ46" s="58"/>
      <c r="CMK46" s="56"/>
      <c r="CML46" s="58"/>
      <c r="CMM46" s="57"/>
      <c r="CMN46" s="56"/>
      <c r="CMO46" s="57"/>
      <c r="CMP46" s="56"/>
      <c r="CMQ46" s="56"/>
      <c r="CMR46" s="56"/>
      <c r="CMS46" s="57"/>
      <c r="CMT46" s="57"/>
      <c r="CMU46" s="57"/>
      <c r="CMV46" s="57"/>
      <c r="CMW46" s="57"/>
      <c r="CMX46" s="57"/>
      <c r="CMY46" s="57"/>
      <c r="CMZ46" s="57"/>
      <c r="CNA46" s="57"/>
      <c r="CNB46" s="57"/>
      <c r="CNC46" s="57"/>
      <c r="CND46" s="57"/>
      <c r="CNE46" s="57"/>
      <c r="CNF46" s="57"/>
      <c r="CNG46" s="57"/>
      <c r="CNH46" s="57"/>
      <c r="CNI46" s="57"/>
      <c r="CNJ46" s="57"/>
      <c r="CNK46" s="57"/>
      <c r="CNL46" s="57"/>
      <c r="CNM46" s="57"/>
      <c r="CNN46" s="57"/>
      <c r="CNO46" s="57"/>
      <c r="CNP46" s="57"/>
      <c r="CNQ46" s="57"/>
      <c r="CNR46" s="57"/>
      <c r="CNS46" s="57"/>
      <c r="CNT46" s="57"/>
      <c r="CNU46" s="57"/>
      <c r="CNV46" s="57"/>
      <c r="CNW46" s="57"/>
      <c r="CNX46" s="57"/>
      <c r="CNY46" s="57"/>
      <c r="CNZ46" s="57"/>
      <c r="COA46" s="57"/>
      <c r="COB46" s="57"/>
      <c r="COC46" s="57"/>
      <c r="COD46" s="58"/>
      <c r="COE46" s="56"/>
      <c r="COF46" s="57"/>
      <c r="COG46" s="57"/>
      <c r="COH46" s="57"/>
      <c r="COI46" s="57"/>
      <c r="COJ46" s="57"/>
      <c r="COK46" s="56"/>
      <c r="COL46" s="57"/>
      <c r="COM46" s="57"/>
      <c r="CON46" s="56"/>
      <c r="COO46" s="57"/>
      <c r="COP46" s="58"/>
      <c r="COQ46" s="56"/>
      <c r="COR46" s="57"/>
      <c r="COS46" s="57"/>
      <c r="COT46" s="57"/>
      <c r="COU46" s="56"/>
      <c r="COV46" s="57"/>
      <c r="COW46" s="57"/>
      <c r="COX46" s="56"/>
      <c r="COY46" s="57"/>
      <c r="COZ46" s="58"/>
      <c r="CPA46" s="56"/>
      <c r="CPB46" s="57"/>
      <c r="CPC46" s="57"/>
      <c r="CPD46" s="57"/>
      <c r="CPE46" s="56"/>
      <c r="CPF46" s="57"/>
      <c r="CPG46" s="57"/>
      <c r="CPH46" s="56"/>
      <c r="CPI46" s="57"/>
      <c r="CPJ46" s="58"/>
      <c r="CPK46" s="56"/>
      <c r="CPL46" s="57"/>
      <c r="CPM46" s="57"/>
      <c r="CPN46" s="57"/>
      <c r="CPO46" s="56"/>
      <c r="CPP46" s="57"/>
      <c r="CPQ46" s="57"/>
      <c r="CPR46" s="56"/>
      <c r="CPS46" s="57"/>
      <c r="CPT46" s="58"/>
      <c r="CPU46" s="56"/>
      <c r="CPV46" s="58"/>
      <c r="CPW46" s="57"/>
      <c r="CPX46" s="56"/>
      <c r="CPY46" s="57"/>
      <c r="CPZ46" s="56"/>
      <c r="CQA46" s="56"/>
      <c r="CQB46" s="56"/>
      <c r="CQC46" s="57"/>
      <c r="CQD46" s="57"/>
      <c r="CQE46" s="57"/>
      <c r="CQF46" s="57"/>
      <c r="CQG46" s="57"/>
      <c r="CQH46" s="57"/>
      <c r="CQI46" s="57"/>
      <c r="CQJ46" s="57"/>
      <c r="CQK46" s="57"/>
      <c r="CQL46" s="57"/>
      <c r="CQM46" s="57"/>
      <c r="CQN46" s="57"/>
      <c r="CQO46" s="57"/>
      <c r="CQP46" s="57"/>
      <c r="CQQ46" s="57"/>
      <c r="CQR46" s="57"/>
      <c r="CQS46" s="57"/>
      <c r="CQT46" s="57"/>
      <c r="CQU46" s="57"/>
      <c r="CQV46" s="57"/>
      <c r="CQW46" s="57"/>
      <c r="CQX46" s="57"/>
      <c r="CQY46" s="57"/>
      <c r="CQZ46" s="57"/>
      <c r="CRA46" s="57"/>
      <c r="CRB46" s="57"/>
      <c r="CRC46" s="57"/>
      <c r="CRD46" s="57"/>
      <c r="CRE46" s="57"/>
      <c r="CRF46" s="57"/>
      <c r="CRG46" s="57"/>
      <c r="CRH46" s="57"/>
      <c r="CRI46" s="57"/>
      <c r="CRJ46" s="57"/>
      <c r="CRK46" s="57"/>
      <c r="CRL46" s="57"/>
      <c r="CRM46" s="57"/>
      <c r="CRN46" s="58"/>
      <c r="CRO46" s="56"/>
      <c r="CRP46" s="57"/>
      <c r="CRQ46" s="57"/>
      <c r="CRR46" s="57"/>
      <c r="CRS46" s="57"/>
      <c r="CRT46" s="57"/>
      <c r="CRU46" s="56"/>
      <c r="CRV46" s="57"/>
      <c r="CRW46" s="57"/>
      <c r="CRX46" s="56"/>
      <c r="CRY46" s="57"/>
      <c r="CRZ46" s="58"/>
      <c r="CSA46" s="56"/>
      <c r="CSB46" s="57"/>
      <c r="CSC46" s="57"/>
      <c r="CSD46" s="57"/>
      <c r="CSE46" s="56"/>
      <c r="CSF46" s="57"/>
      <c r="CSG46" s="57"/>
      <c r="CSH46" s="56"/>
      <c r="CSI46" s="57"/>
      <c r="CSJ46" s="58"/>
      <c r="CSK46" s="56"/>
      <c r="CSL46" s="57"/>
      <c r="CSM46" s="57"/>
      <c r="CSN46" s="57"/>
      <c r="CSO46" s="56"/>
      <c r="CSP46" s="57"/>
      <c r="CSQ46" s="57"/>
      <c r="CSR46" s="56"/>
      <c r="CSS46" s="57"/>
      <c r="CST46" s="58"/>
      <c r="CSU46" s="56"/>
      <c r="CSV46" s="57"/>
      <c r="CSW46" s="57"/>
      <c r="CSX46" s="57"/>
      <c r="CSY46" s="56"/>
      <c r="CSZ46" s="57"/>
      <c r="CTA46" s="57"/>
      <c r="CTB46" s="56"/>
      <c r="CTC46" s="57"/>
      <c r="CTD46" s="58"/>
      <c r="CTE46" s="56"/>
      <c r="CTF46" s="58"/>
      <c r="CTG46" s="57"/>
      <c r="CTH46" s="56"/>
      <c r="CTI46" s="57"/>
      <c r="CTJ46" s="56"/>
      <c r="CTK46" s="56"/>
      <c r="CTL46" s="56"/>
      <c r="CTM46" s="57"/>
      <c r="CTN46" s="57"/>
      <c r="CTO46" s="57"/>
      <c r="CTP46" s="57"/>
      <c r="CTQ46" s="57"/>
      <c r="CTR46" s="57"/>
      <c r="CTS46" s="57"/>
      <c r="CTT46" s="57"/>
      <c r="CTU46" s="57"/>
      <c r="CTV46" s="57"/>
      <c r="CTW46" s="57"/>
      <c r="CTX46" s="57"/>
      <c r="CTY46" s="57"/>
      <c r="CTZ46" s="57"/>
      <c r="CUA46" s="57"/>
      <c r="CUB46" s="57"/>
      <c r="CUC46" s="57"/>
      <c r="CUD46" s="57"/>
      <c r="CUE46" s="57"/>
      <c r="CUF46" s="57"/>
      <c r="CUG46" s="57"/>
      <c r="CUH46" s="57"/>
      <c r="CUI46" s="57"/>
      <c r="CUJ46" s="57"/>
      <c r="CUK46" s="57"/>
      <c r="CUL46" s="57"/>
      <c r="CUM46" s="57"/>
      <c r="CUN46" s="57"/>
      <c r="CUO46" s="57"/>
      <c r="CUP46" s="57"/>
      <c r="CUQ46" s="57"/>
      <c r="CUR46" s="57"/>
      <c r="CUS46" s="57"/>
      <c r="CUT46" s="57"/>
      <c r="CUU46" s="57"/>
      <c r="CUV46" s="57"/>
      <c r="CUW46" s="57"/>
      <c r="CUX46" s="58"/>
      <c r="CUY46" s="56"/>
      <c r="CUZ46" s="57"/>
      <c r="CVA46" s="57"/>
      <c r="CVB46" s="57"/>
      <c r="CVC46" s="57"/>
      <c r="CVD46" s="57"/>
      <c r="CVE46" s="56"/>
      <c r="CVF46" s="57"/>
      <c r="CVG46" s="57"/>
      <c r="CVH46" s="56"/>
      <c r="CVI46" s="57"/>
      <c r="CVJ46" s="58"/>
      <c r="CVK46" s="56"/>
      <c r="CVL46" s="57"/>
      <c r="CVM46" s="57"/>
      <c r="CVN46" s="57"/>
      <c r="CVO46" s="56"/>
      <c r="CVP46" s="57"/>
      <c r="CVQ46" s="57"/>
      <c r="CVR46" s="56"/>
      <c r="CVS46" s="57"/>
      <c r="CVT46" s="58"/>
      <c r="CVU46" s="56"/>
      <c r="CVV46" s="57"/>
      <c r="CVW46" s="57"/>
      <c r="CVX46" s="57"/>
      <c r="CVY46" s="56"/>
      <c r="CVZ46" s="57"/>
      <c r="CWA46" s="57"/>
      <c r="CWB46" s="56"/>
      <c r="CWC46" s="57"/>
      <c r="CWD46" s="58"/>
      <c r="CWE46" s="56"/>
      <c r="CWF46" s="57"/>
      <c r="CWG46" s="57"/>
      <c r="CWH46" s="57"/>
      <c r="CWI46" s="56"/>
      <c r="CWJ46" s="57"/>
      <c r="CWK46" s="57"/>
      <c r="CWL46" s="56"/>
      <c r="CWM46" s="57"/>
      <c r="CWN46" s="58"/>
      <c r="CWO46" s="56"/>
      <c r="CWP46" s="58"/>
      <c r="CWQ46" s="57"/>
      <c r="CWR46" s="56"/>
      <c r="CWS46" s="57"/>
      <c r="CWT46" s="56"/>
      <c r="CWU46" s="56"/>
      <c r="CWV46" s="56"/>
      <c r="CWW46" s="57"/>
      <c r="CWX46" s="57"/>
      <c r="CWY46" s="57"/>
      <c r="CWZ46" s="57"/>
      <c r="CXA46" s="57"/>
      <c r="CXB46" s="57"/>
      <c r="CXC46" s="57"/>
      <c r="CXD46" s="57"/>
      <c r="CXE46" s="57"/>
      <c r="CXF46" s="57"/>
      <c r="CXG46" s="57"/>
      <c r="CXH46" s="57"/>
      <c r="CXI46" s="57"/>
      <c r="CXJ46" s="57"/>
      <c r="CXK46" s="57"/>
      <c r="CXL46" s="57"/>
      <c r="CXM46" s="57"/>
      <c r="CXN46" s="57"/>
      <c r="CXO46" s="57"/>
      <c r="CXP46" s="57"/>
      <c r="CXQ46" s="57"/>
      <c r="CXR46" s="57"/>
      <c r="CXS46" s="57"/>
      <c r="CXT46" s="57"/>
      <c r="CXU46" s="57"/>
      <c r="CXV46" s="57"/>
      <c r="CXW46" s="57"/>
      <c r="CXX46" s="57"/>
      <c r="CXY46" s="57"/>
      <c r="CXZ46" s="57"/>
      <c r="CYA46" s="57"/>
      <c r="CYB46" s="57"/>
      <c r="CYC46" s="57"/>
      <c r="CYD46" s="57"/>
      <c r="CYE46" s="57"/>
      <c r="CYF46" s="57"/>
      <c r="CYG46" s="57"/>
      <c r="CYH46" s="58"/>
      <c r="CYI46" s="56"/>
      <c r="CYJ46" s="57"/>
      <c r="CYK46" s="57"/>
      <c r="CYL46" s="57"/>
      <c r="CYM46" s="57"/>
      <c r="CYN46" s="57"/>
      <c r="CYO46" s="56"/>
      <c r="CYP46" s="57"/>
      <c r="CYQ46" s="57"/>
      <c r="CYR46" s="56"/>
      <c r="CYS46" s="57"/>
      <c r="CYT46" s="58"/>
      <c r="CYU46" s="56"/>
      <c r="CYV46" s="57"/>
      <c r="CYW46" s="57"/>
      <c r="CYX46" s="57"/>
      <c r="CYY46" s="56"/>
      <c r="CYZ46" s="57"/>
      <c r="CZA46" s="57"/>
      <c r="CZB46" s="56"/>
      <c r="CZC46" s="57"/>
      <c r="CZD46" s="58"/>
      <c r="CZE46" s="56"/>
      <c r="CZF46" s="57"/>
      <c r="CZG46" s="57"/>
      <c r="CZH46" s="57"/>
      <c r="CZI46" s="56"/>
      <c r="CZJ46" s="57"/>
      <c r="CZK46" s="57"/>
      <c r="CZL46" s="56"/>
      <c r="CZM46" s="57"/>
      <c r="CZN46" s="58"/>
      <c r="CZO46" s="56"/>
      <c r="CZP46" s="57"/>
      <c r="CZQ46" s="57"/>
      <c r="CZR46" s="57"/>
      <c r="CZS46" s="56"/>
      <c r="CZT46" s="57"/>
      <c r="CZU46" s="57"/>
      <c r="CZV46" s="56"/>
      <c r="CZW46" s="57"/>
      <c r="CZX46" s="58"/>
      <c r="CZY46" s="56"/>
      <c r="CZZ46" s="58"/>
      <c r="DAA46" s="57"/>
      <c r="DAB46" s="56"/>
      <c r="DAC46" s="57"/>
      <c r="DAD46" s="56"/>
      <c r="DAE46" s="56"/>
      <c r="DAF46" s="56"/>
      <c r="DAG46" s="57"/>
      <c r="DAH46" s="57"/>
      <c r="DAI46" s="57"/>
      <c r="DAJ46" s="57"/>
      <c r="DAK46" s="57"/>
      <c r="DAL46" s="57"/>
      <c r="DAM46" s="57"/>
      <c r="DAN46" s="57"/>
      <c r="DAO46" s="57"/>
      <c r="DAP46" s="57"/>
      <c r="DAQ46" s="57"/>
      <c r="DAR46" s="57"/>
      <c r="DAS46" s="57"/>
      <c r="DAT46" s="57"/>
      <c r="DAU46" s="57"/>
      <c r="DAV46" s="57"/>
      <c r="DAW46" s="57"/>
      <c r="DAX46" s="57"/>
      <c r="DAY46" s="57"/>
      <c r="DAZ46" s="57"/>
      <c r="DBA46" s="57"/>
      <c r="DBB46" s="57"/>
      <c r="DBC46" s="57"/>
      <c r="DBD46" s="57"/>
      <c r="DBE46" s="57"/>
      <c r="DBF46" s="57"/>
      <c r="DBG46" s="57"/>
      <c r="DBH46" s="57"/>
      <c r="DBI46" s="57"/>
      <c r="DBJ46" s="57"/>
      <c r="DBK46" s="57"/>
      <c r="DBL46" s="57"/>
      <c r="DBM46" s="57"/>
      <c r="DBN46" s="57"/>
      <c r="DBO46" s="57"/>
      <c r="DBP46" s="57"/>
      <c r="DBQ46" s="57"/>
      <c r="DBR46" s="58"/>
      <c r="DBS46" s="56"/>
      <c r="DBT46" s="57"/>
      <c r="DBU46" s="57"/>
      <c r="DBV46" s="57"/>
      <c r="DBW46" s="57"/>
      <c r="DBX46" s="57"/>
      <c r="DBY46" s="56"/>
      <c r="DBZ46" s="57"/>
      <c r="DCA46" s="57"/>
      <c r="DCB46" s="56"/>
      <c r="DCC46" s="57"/>
      <c r="DCD46" s="58"/>
      <c r="DCE46" s="56"/>
      <c r="DCF46" s="57"/>
      <c r="DCG46" s="57"/>
      <c r="DCH46" s="57"/>
      <c r="DCI46" s="56"/>
      <c r="DCJ46" s="57"/>
      <c r="DCK46" s="57"/>
      <c r="DCL46" s="56"/>
      <c r="DCM46" s="57"/>
      <c r="DCN46" s="58"/>
      <c r="DCO46" s="56"/>
      <c r="DCP46" s="57"/>
      <c r="DCQ46" s="57"/>
      <c r="DCR46" s="57"/>
      <c r="DCS46" s="56"/>
      <c r="DCT46" s="57"/>
      <c r="DCU46" s="57"/>
      <c r="DCV46" s="56"/>
      <c r="DCW46" s="57"/>
      <c r="DCX46" s="58"/>
      <c r="DCY46" s="56"/>
      <c r="DCZ46" s="57"/>
      <c r="DDA46" s="57"/>
      <c r="DDB46" s="57"/>
      <c r="DDC46" s="56"/>
      <c r="DDD46" s="57"/>
      <c r="DDE46" s="57"/>
      <c r="DDF46" s="56"/>
      <c r="DDG46" s="57"/>
      <c r="DDH46" s="58"/>
      <c r="DDI46" s="56"/>
      <c r="DDJ46" s="58"/>
      <c r="DDK46" s="57"/>
      <c r="DDL46" s="56"/>
      <c r="DDM46" s="57"/>
      <c r="DDN46" s="56"/>
      <c r="DDO46" s="56"/>
      <c r="DDP46" s="56"/>
      <c r="DDQ46" s="57"/>
      <c r="DDR46" s="57"/>
      <c r="DDS46" s="57"/>
      <c r="DDT46" s="57"/>
      <c r="DDU46" s="57"/>
      <c r="DDV46" s="57"/>
      <c r="DDW46" s="57"/>
      <c r="DDX46" s="57"/>
      <c r="DDY46" s="57"/>
      <c r="DDZ46" s="57"/>
      <c r="DEA46" s="57"/>
      <c r="DEB46" s="57"/>
      <c r="DEC46" s="57"/>
      <c r="DED46" s="57"/>
      <c r="DEE46" s="57"/>
      <c r="DEF46" s="57"/>
      <c r="DEG46" s="57"/>
      <c r="DEH46" s="57"/>
      <c r="DEI46" s="57"/>
      <c r="DEJ46" s="57"/>
      <c r="DEK46" s="57"/>
      <c r="DEL46" s="57"/>
      <c r="DEM46" s="57"/>
      <c r="DEN46" s="57"/>
      <c r="DEO46" s="57"/>
      <c r="DEP46" s="57"/>
      <c r="DEQ46" s="57"/>
      <c r="DER46" s="57"/>
      <c r="DES46" s="57"/>
      <c r="DET46" s="57"/>
      <c r="DEU46" s="57"/>
      <c r="DEV46" s="57"/>
      <c r="DEW46" s="57"/>
      <c r="DEX46" s="57"/>
      <c r="DEY46" s="57"/>
      <c r="DEZ46" s="57"/>
      <c r="DFA46" s="57"/>
      <c r="DFB46" s="58"/>
      <c r="DFC46" s="56"/>
      <c r="DFD46" s="57"/>
      <c r="DFE46" s="57"/>
      <c r="DFF46" s="57"/>
      <c r="DFG46" s="57"/>
      <c r="DFH46" s="57"/>
      <c r="DFI46" s="56"/>
      <c r="DFJ46" s="57"/>
      <c r="DFK46" s="57"/>
      <c r="DFL46" s="56"/>
      <c r="DFM46" s="57"/>
      <c r="DFN46" s="58"/>
      <c r="DFO46" s="56"/>
      <c r="DFP46" s="57"/>
      <c r="DFQ46" s="57"/>
      <c r="DFR46" s="57"/>
      <c r="DFS46" s="56"/>
      <c r="DFT46" s="57"/>
      <c r="DFU46" s="57"/>
      <c r="DFV46" s="56"/>
      <c r="DFW46" s="57"/>
      <c r="DFX46" s="58"/>
      <c r="DFY46" s="56"/>
      <c r="DFZ46" s="57"/>
      <c r="DGA46" s="57"/>
      <c r="DGB46" s="57"/>
      <c r="DGC46" s="56"/>
      <c r="DGD46" s="57"/>
      <c r="DGE46" s="57"/>
      <c r="DGF46" s="56"/>
      <c r="DGG46" s="57"/>
      <c r="DGH46" s="58"/>
      <c r="DGI46" s="56"/>
      <c r="DGJ46" s="57"/>
      <c r="DGK46" s="57"/>
      <c r="DGL46" s="57"/>
      <c r="DGM46" s="56"/>
      <c r="DGN46" s="57"/>
      <c r="DGO46" s="57"/>
      <c r="DGP46" s="56"/>
      <c r="DGQ46" s="57"/>
      <c r="DGR46" s="58"/>
      <c r="DGS46" s="56"/>
      <c r="DGT46" s="58"/>
      <c r="DGU46" s="57"/>
      <c r="DGV46" s="56"/>
      <c r="DGW46" s="57"/>
      <c r="DGX46" s="56"/>
      <c r="DGY46" s="56"/>
      <c r="DGZ46" s="56"/>
      <c r="DHA46" s="57"/>
      <c r="DHB46" s="57"/>
      <c r="DHC46" s="57"/>
      <c r="DHD46" s="57"/>
      <c r="DHE46" s="57"/>
      <c r="DHF46" s="57"/>
      <c r="DHG46" s="57"/>
      <c r="DHH46" s="57"/>
      <c r="DHI46" s="57"/>
      <c r="DHJ46" s="57"/>
      <c r="DHK46" s="57"/>
      <c r="DHL46" s="57"/>
      <c r="DHM46" s="57"/>
      <c r="DHN46" s="57"/>
      <c r="DHO46" s="57"/>
      <c r="DHP46" s="57"/>
      <c r="DHQ46" s="57"/>
      <c r="DHR46" s="57"/>
      <c r="DHS46" s="57"/>
      <c r="DHT46" s="57"/>
      <c r="DHU46" s="57"/>
      <c r="DHV46" s="57"/>
      <c r="DHW46" s="57"/>
      <c r="DHX46" s="57"/>
      <c r="DHY46" s="57"/>
      <c r="DHZ46" s="57"/>
      <c r="DIA46" s="57"/>
      <c r="DIB46" s="57"/>
      <c r="DIC46" s="57"/>
      <c r="DID46" s="57"/>
      <c r="DIE46" s="57"/>
      <c r="DIF46" s="57"/>
      <c r="DIG46" s="57"/>
      <c r="DIH46" s="57"/>
      <c r="DII46" s="57"/>
      <c r="DIJ46" s="57"/>
      <c r="DIK46" s="57"/>
      <c r="DIL46" s="58"/>
      <c r="DIM46" s="56"/>
      <c r="DIN46" s="57"/>
      <c r="DIO46" s="57"/>
      <c r="DIP46" s="57"/>
      <c r="DIQ46" s="57"/>
      <c r="DIR46" s="57"/>
      <c r="DIS46" s="56"/>
      <c r="DIT46" s="57"/>
      <c r="DIU46" s="57"/>
      <c r="DIV46" s="56"/>
      <c r="DIW46" s="57"/>
      <c r="DIX46" s="58"/>
      <c r="DIY46" s="56"/>
      <c r="DIZ46" s="57"/>
      <c r="DJA46" s="57"/>
      <c r="DJB46" s="57"/>
      <c r="DJC46" s="56"/>
      <c r="DJD46" s="57"/>
      <c r="DJE46" s="57"/>
      <c r="DJF46" s="56"/>
      <c r="DJG46" s="57"/>
      <c r="DJH46" s="58"/>
      <c r="DJI46" s="56"/>
      <c r="DJJ46" s="57"/>
      <c r="DJK46" s="57"/>
      <c r="DJL46" s="57"/>
      <c r="DJM46" s="56"/>
      <c r="DJN46" s="57"/>
      <c r="DJO46" s="57"/>
      <c r="DJP46" s="56"/>
      <c r="DJQ46" s="57"/>
      <c r="DJR46" s="58"/>
      <c r="DJS46" s="56"/>
      <c r="DJT46" s="57"/>
      <c r="DJU46" s="57"/>
      <c r="DJV46" s="57"/>
      <c r="DJW46" s="56"/>
      <c r="DJX46" s="57"/>
      <c r="DJY46" s="57"/>
      <c r="DJZ46" s="56"/>
      <c r="DKA46" s="57"/>
      <c r="DKB46" s="58"/>
      <c r="DKC46" s="56"/>
      <c r="DKD46" s="58"/>
      <c r="DKE46" s="57"/>
      <c r="DKF46" s="56"/>
      <c r="DKG46" s="57"/>
      <c r="DKH46" s="56"/>
      <c r="DKI46" s="56"/>
      <c r="DKJ46" s="56"/>
      <c r="DKK46" s="57"/>
      <c r="DKL46" s="57"/>
      <c r="DKM46" s="57"/>
      <c r="DKN46" s="57"/>
      <c r="DKO46" s="57"/>
      <c r="DKP46" s="57"/>
      <c r="DKQ46" s="57"/>
      <c r="DKR46" s="57"/>
      <c r="DKS46" s="57"/>
      <c r="DKT46" s="57"/>
      <c r="DKU46" s="57"/>
      <c r="DKV46" s="57"/>
      <c r="DKW46" s="57"/>
      <c r="DKX46" s="57"/>
      <c r="DKY46" s="57"/>
      <c r="DKZ46" s="57"/>
      <c r="DLA46" s="57"/>
      <c r="DLB46" s="57"/>
      <c r="DLC46" s="57"/>
      <c r="DLD46" s="57"/>
      <c r="DLE46" s="57"/>
      <c r="DLF46" s="57"/>
      <c r="DLG46" s="57"/>
      <c r="DLH46" s="57"/>
      <c r="DLI46" s="57"/>
      <c r="DLJ46" s="57"/>
      <c r="DLK46" s="57"/>
      <c r="DLL46" s="57"/>
      <c r="DLM46" s="57"/>
      <c r="DLN46" s="57"/>
      <c r="DLO46" s="57"/>
      <c r="DLP46" s="57"/>
      <c r="DLQ46" s="57"/>
      <c r="DLR46" s="57"/>
      <c r="DLS46" s="57"/>
      <c r="DLT46" s="57"/>
      <c r="DLU46" s="57"/>
      <c r="DLV46" s="58"/>
      <c r="DLW46" s="56"/>
      <c r="DLX46" s="57"/>
      <c r="DLY46" s="57"/>
      <c r="DLZ46" s="57"/>
      <c r="DMA46" s="57"/>
      <c r="DMB46" s="57"/>
      <c r="DMC46" s="56"/>
      <c r="DMD46" s="57"/>
      <c r="DME46" s="57"/>
      <c r="DMF46" s="56"/>
      <c r="DMG46" s="57"/>
      <c r="DMH46" s="58"/>
      <c r="DMI46" s="56"/>
      <c r="DMJ46" s="57"/>
      <c r="DMK46" s="57"/>
      <c r="DML46" s="57"/>
      <c r="DMM46" s="56"/>
      <c r="DMN46" s="57"/>
      <c r="DMO46" s="57"/>
      <c r="DMP46" s="56"/>
      <c r="DMQ46" s="57"/>
      <c r="DMR46" s="58"/>
      <c r="DMS46" s="56"/>
      <c r="DMT46" s="57"/>
      <c r="DMU46" s="57"/>
      <c r="DMV46" s="57"/>
      <c r="DMW46" s="56"/>
      <c r="DMX46" s="57"/>
      <c r="DMY46" s="57"/>
      <c r="DMZ46" s="56"/>
      <c r="DNA46" s="57"/>
      <c r="DNB46" s="58"/>
      <c r="DNC46" s="56"/>
      <c r="DND46" s="57"/>
      <c r="DNE46" s="57"/>
      <c r="DNF46" s="57"/>
      <c r="DNG46" s="56"/>
      <c r="DNH46" s="57"/>
      <c r="DNI46" s="57"/>
      <c r="DNJ46" s="56"/>
      <c r="DNK46" s="57"/>
      <c r="DNL46" s="58"/>
      <c r="DNM46" s="56"/>
      <c r="DNN46" s="58"/>
      <c r="DNO46" s="57"/>
      <c r="DNP46" s="56"/>
      <c r="DNQ46" s="57"/>
      <c r="DNR46" s="56"/>
      <c r="DNS46" s="56"/>
      <c r="DNT46" s="56"/>
      <c r="DNU46" s="57"/>
      <c r="DNV46" s="57"/>
      <c r="DNW46" s="57"/>
      <c r="DNX46" s="57"/>
      <c r="DNY46" s="57"/>
      <c r="DNZ46" s="57"/>
      <c r="DOA46" s="57"/>
      <c r="DOB46" s="57"/>
      <c r="DOC46" s="57"/>
      <c r="DOD46" s="57"/>
      <c r="DOE46" s="57"/>
      <c r="DOF46" s="57"/>
      <c r="DOG46" s="57"/>
      <c r="DOH46" s="57"/>
      <c r="DOI46" s="57"/>
      <c r="DOJ46" s="57"/>
      <c r="DOK46" s="57"/>
      <c r="DOL46" s="57"/>
      <c r="DOM46" s="57"/>
      <c r="DON46" s="57"/>
      <c r="DOO46" s="57"/>
      <c r="DOP46" s="57"/>
      <c r="DOQ46" s="57"/>
      <c r="DOR46" s="57"/>
      <c r="DOS46" s="57"/>
      <c r="DOT46" s="57"/>
      <c r="DOU46" s="57"/>
      <c r="DOV46" s="57"/>
      <c r="DOW46" s="57"/>
      <c r="DOX46" s="57"/>
      <c r="DOY46" s="57"/>
      <c r="DOZ46" s="57"/>
      <c r="DPA46" s="57"/>
      <c r="DPB46" s="57"/>
      <c r="DPC46" s="57"/>
      <c r="DPD46" s="57"/>
      <c r="DPE46" s="57"/>
      <c r="DPF46" s="58"/>
      <c r="DPG46" s="56"/>
      <c r="DPH46" s="57"/>
      <c r="DPI46" s="57"/>
      <c r="DPJ46" s="57"/>
      <c r="DPK46" s="57"/>
      <c r="DPL46" s="57"/>
      <c r="DPM46" s="56"/>
      <c r="DPN46" s="57"/>
      <c r="DPO46" s="57"/>
      <c r="DPP46" s="56"/>
      <c r="DPQ46" s="57"/>
      <c r="DPR46" s="58"/>
      <c r="DPS46" s="56"/>
      <c r="DPT46" s="57"/>
      <c r="DPU46" s="57"/>
      <c r="DPV46" s="57"/>
      <c r="DPW46" s="56"/>
      <c r="DPX46" s="57"/>
      <c r="DPY46" s="57"/>
      <c r="DPZ46" s="56"/>
      <c r="DQA46" s="57"/>
      <c r="DQB46" s="58"/>
      <c r="DQC46" s="56"/>
      <c r="DQD46" s="57"/>
      <c r="DQE46" s="57"/>
      <c r="DQF46" s="57"/>
      <c r="DQG46" s="56"/>
      <c r="DQH46" s="57"/>
      <c r="DQI46" s="57"/>
      <c r="DQJ46" s="56"/>
      <c r="DQK46" s="57"/>
      <c r="DQL46" s="58"/>
      <c r="DQM46" s="56"/>
      <c r="DQN46" s="57"/>
      <c r="DQO46" s="57"/>
      <c r="DQP46" s="57"/>
      <c r="DQQ46" s="56"/>
      <c r="DQR46" s="57"/>
      <c r="DQS46" s="57"/>
      <c r="DQT46" s="56"/>
      <c r="DQU46" s="57"/>
      <c r="DQV46" s="58"/>
      <c r="DQW46" s="56"/>
      <c r="DQX46" s="58"/>
      <c r="DQY46" s="57"/>
      <c r="DQZ46" s="56"/>
      <c r="DRA46" s="57"/>
      <c r="DRB46" s="56"/>
      <c r="DRC46" s="56"/>
      <c r="DRD46" s="56"/>
      <c r="DRE46" s="57"/>
      <c r="DRF46" s="57"/>
      <c r="DRG46" s="57"/>
      <c r="DRH46" s="57"/>
      <c r="DRI46" s="57"/>
      <c r="DRJ46" s="57"/>
      <c r="DRK46" s="57"/>
      <c r="DRL46" s="57"/>
      <c r="DRM46" s="57"/>
      <c r="DRN46" s="57"/>
      <c r="DRO46" s="57"/>
      <c r="DRP46" s="57"/>
      <c r="DRQ46" s="57"/>
      <c r="DRR46" s="57"/>
      <c r="DRS46" s="57"/>
      <c r="DRT46" s="57"/>
      <c r="DRU46" s="57"/>
      <c r="DRV46" s="57"/>
      <c r="DRW46" s="57"/>
      <c r="DRX46" s="57"/>
      <c r="DRY46" s="57"/>
      <c r="DRZ46" s="57"/>
      <c r="DSA46" s="57"/>
      <c r="DSB46" s="57"/>
      <c r="DSC46" s="57"/>
      <c r="DSD46" s="57"/>
      <c r="DSE46" s="57"/>
      <c r="DSF46" s="57"/>
      <c r="DSG46" s="57"/>
      <c r="DSH46" s="57"/>
      <c r="DSI46" s="57"/>
      <c r="DSJ46" s="57"/>
      <c r="DSK46" s="57"/>
      <c r="DSL46" s="57"/>
      <c r="DSM46" s="57"/>
      <c r="DSN46" s="57"/>
      <c r="DSO46" s="57"/>
      <c r="DSP46" s="58"/>
      <c r="DSQ46" s="56"/>
      <c r="DSR46" s="57"/>
      <c r="DSS46" s="57"/>
      <c r="DST46" s="57"/>
      <c r="DSU46" s="57"/>
      <c r="DSV46" s="57"/>
      <c r="DSW46" s="56"/>
      <c r="DSX46" s="57"/>
      <c r="DSY46" s="57"/>
      <c r="DSZ46" s="56"/>
      <c r="DTA46" s="57"/>
      <c r="DTB46" s="58"/>
      <c r="DTC46" s="56"/>
      <c r="DTD46" s="57"/>
      <c r="DTE46" s="57"/>
      <c r="DTF46" s="57"/>
      <c r="DTG46" s="56"/>
      <c r="DTH46" s="57"/>
      <c r="DTI46" s="57"/>
      <c r="DTJ46" s="56"/>
      <c r="DTK46" s="57"/>
      <c r="DTL46" s="58"/>
      <c r="DTM46" s="56"/>
      <c r="DTN46" s="57"/>
      <c r="DTO46" s="57"/>
      <c r="DTP46" s="57"/>
      <c r="DTQ46" s="56"/>
      <c r="DTR46" s="57"/>
      <c r="DTS46" s="57"/>
      <c r="DTT46" s="56"/>
      <c r="DTU46" s="57"/>
      <c r="DTV46" s="58"/>
      <c r="DTW46" s="56"/>
      <c r="DTX46" s="57"/>
      <c r="DTY46" s="57"/>
      <c r="DTZ46" s="57"/>
      <c r="DUA46" s="56"/>
      <c r="DUB46" s="57"/>
      <c r="DUC46" s="57"/>
      <c r="DUD46" s="56"/>
      <c r="DUE46" s="57"/>
      <c r="DUF46" s="58"/>
      <c r="DUG46" s="56"/>
      <c r="DUH46" s="58"/>
      <c r="DUI46" s="57"/>
      <c r="DUJ46" s="56"/>
      <c r="DUK46" s="57"/>
      <c r="DUL46" s="56"/>
      <c r="DUM46" s="56"/>
      <c r="DUN46" s="56"/>
      <c r="DUO46" s="57"/>
      <c r="DUP46" s="57"/>
      <c r="DUQ46" s="57"/>
      <c r="DUR46" s="57"/>
      <c r="DUS46" s="57"/>
      <c r="DUT46" s="57"/>
      <c r="DUU46" s="57"/>
      <c r="DUV46" s="57"/>
      <c r="DUW46" s="57"/>
      <c r="DUX46" s="57"/>
      <c r="DUY46" s="57"/>
      <c r="DUZ46" s="57"/>
      <c r="DVA46" s="57"/>
      <c r="DVB46" s="57"/>
      <c r="DVC46" s="57"/>
      <c r="DVD46" s="57"/>
      <c r="DVE46" s="57"/>
      <c r="DVF46" s="57"/>
      <c r="DVG46" s="57"/>
      <c r="DVH46" s="57"/>
      <c r="DVI46" s="57"/>
      <c r="DVJ46" s="57"/>
      <c r="DVK46" s="57"/>
      <c r="DVL46" s="57"/>
      <c r="DVM46" s="57"/>
      <c r="DVN46" s="57"/>
      <c r="DVO46" s="57"/>
      <c r="DVP46" s="57"/>
      <c r="DVQ46" s="57"/>
      <c r="DVR46" s="57"/>
      <c r="DVS46" s="57"/>
      <c r="DVT46" s="57"/>
      <c r="DVU46" s="57"/>
      <c r="DVV46" s="57"/>
      <c r="DVW46" s="57"/>
      <c r="DVX46" s="57"/>
      <c r="DVY46" s="57"/>
      <c r="DVZ46" s="58"/>
      <c r="DWA46" s="56"/>
      <c r="DWB46" s="57"/>
      <c r="DWC46" s="57"/>
      <c r="DWD46" s="57"/>
      <c r="DWE46" s="57"/>
      <c r="DWF46" s="57"/>
      <c r="DWG46" s="56"/>
      <c r="DWH46" s="57"/>
      <c r="DWI46" s="57"/>
      <c r="DWJ46" s="56"/>
      <c r="DWK46" s="57"/>
      <c r="DWL46" s="58"/>
      <c r="DWM46" s="56"/>
      <c r="DWN46" s="57"/>
      <c r="DWO46" s="57"/>
      <c r="DWP46" s="57"/>
      <c r="DWQ46" s="56"/>
      <c r="DWR46" s="57"/>
      <c r="DWS46" s="57"/>
      <c r="DWT46" s="56"/>
      <c r="DWU46" s="57"/>
      <c r="DWV46" s="58"/>
      <c r="DWW46" s="56"/>
      <c r="DWX46" s="57"/>
      <c r="DWY46" s="57"/>
      <c r="DWZ46" s="57"/>
      <c r="DXA46" s="56"/>
      <c r="DXB46" s="57"/>
      <c r="DXC46" s="57"/>
      <c r="DXD46" s="56"/>
      <c r="DXE46" s="57"/>
      <c r="DXF46" s="58"/>
      <c r="DXG46" s="56"/>
      <c r="DXH46" s="57"/>
      <c r="DXI46" s="57"/>
      <c r="DXJ46" s="57"/>
      <c r="DXK46" s="56"/>
      <c r="DXL46" s="57"/>
      <c r="DXM46" s="57"/>
      <c r="DXN46" s="56"/>
      <c r="DXO46" s="57"/>
      <c r="DXP46" s="58"/>
      <c r="DXQ46" s="56"/>
      <c r="DXR46" s="58"/>
      <c r="DXS46" s="57"/>
      <c r="DXT46" s="56"/>
      <c r="DXU46" s="57"/>
      <c r="DXV46" s="56"/>
      <c r="DXW46" s="56"/>
      <c r="DXX46" s="56"/>
      <c r="DXY46" s="57"/>
      <c r="DXZ46" s="57"/>
      <c r="DYA46" s="57"/>
      <c r="DYB46" s="57"/>
      <c r="DYC46" s="57"/>
      <c r="DYD46" s="57"/>
      <c r="DYE46" s="57"/>
      <c r="DYF46" s="57"/>
      <c r="DYG46" s="57"/>
      <c r="DYH46" s="57"/>
      <c r="DYI46" s="57"/>
      <c r="DYJ46" s="57"/>
      <c r="DYK46" s="57"/>
      <c r="DYL46" s="57"/>
      <c r="DYM46" s="57"/>
      <c r="DYN46" s="57"/>
      <c r="DYO46" s="57"/>
      <c r="DYP46" s="57"/>
      <c r="DYQ46" s="57"/>
      <c r="DYR46" s="57"/>
      <c r="DYS46" s="57"/>
      <c r="DYT46" s="57"/>
      <c r="DYU46" s="57"/>
      <c r="DYV46" s="57"/>
      <c r="DYW46" s="57"/>
      <c r="DYX46" s="57"/>
      <c r="DYY46" s="57"/>
      <c r="DYZ46" s="57"/>
      <c r="DZA46" s="57"/>
      <c r="DZB46" s="57"/>
      <c r="DZC46" s="57"/>
      <c r="DZD46" s="57"/>
      <c r="DZE46" s="57"/>
      <c r="DZF46" s="57"/>
      <c r="DZG46" s="57"/>
      <c r="DZH46" s="57"/>
      <c r="DZI46" s="57"/>
      <c r="DZJ46" s="58"/>
      <c r="DZK46" s="56"/>
      <c r="DZL46" s="57"/>
      <c r="DZM46" s="57"/>
      <c r="DZN46" s="57"/>
      <c r="DZO46" s="57"/>
      <c r="DZP46" s="57"/>
      <c r="DZQ46" s="56"/>
      <c r="DZR46" s="57"/>
      <c r="DZS46" s="57"/>
      <c r="DZT46" s="56"/>
      <c r="DZU46" s="57"/>
      <c r="DZV46" s="58"/>
      <c r="DZW46" s="56"/>
      <c r="DZX46" s="57"/>
      <c r="DZY46" s="57"/>
      <c r="DZZ46" s="57"/>
      <c r="EAA46" s="56"/>
      <c r="EAB46" s="57"/>
      <c r="EAC46" s="57"/>
      <c r="EAD46" s="56"/>
      <c r="EAE46" s="57"/>
      <c r="EAF46" s="58"/>
      <c r="EAG46" s="56"/>
      <c r="EAH46" s="57"/>
      <c r="EAI46" s="57"/>
      <c r="EAJ46" s="57"/>
      <c r="EAK46" s="56"/>
      <c r="EAL46" s="57"/>
      <c r="EAM46" s="57"/>
      <c r="EAN46" s="56"/>
      <c r="EAO46" s="57"/>
      <c r="EAP46" s="58"/>
      <c r="EAQ46" s="56"/>
      <c r="EAR46" s="57"/>
      <c r="EAS46" s="57"/>
      <c r="EAT46" s="57"/>
      <c r="EAU46" s="56"/>
      <c r="EAV46" s="57"/>
      <c r="EAW46" s="57"/>
      <c r="EAX46" s="56"/>
      <c r="EAY46" s="57"/>
      <c r="EAZ46" s="58"/>
      <c r="EBA46" s="56"/>
      <c r="EBB46" s="58"/>
      <c r="EBC46" s="57"/>
      <c r="EBD46" s="56"/>
      <c r="EBE46" s="57"/>
      <c r="EBF46" s="56"/>
      <c r="EBG46" s="56"/>
      <c r="EBH46" s="56"/>
      <c r="EBI46" s="57"/>
      <c r="EBJ46" s="57"/>
      <c r="EBK46" s="57"/>
      <c r="EBL46" s="57"/>
      <c r="EBM46" s="57"/>
      <c r="EBN46" s="57"/>
      <c r="EBO46" s="57"/>
      <c r="EBP46" s="57"/>
      <c r="EBQ46" s="57"/>
      <c r="EBR46" s="57"/>
      <c r="EBS46" s="57"/>
      <c r="EBT46" s="57"/>
      <c r="EBU46" s="57"/>
      <c r="EBV46" s="57"/>
      <c r="EBW46" s="57"/>
      <c r="EBX46" s="57"/>
      <c r="EBY46" s="57"/>
      <c r="EBZ46" s="57"/>
      <c r="ECA46" s="57"/>
      <c r="ECB46" s="57"/>
      <c r="ECC46" s="57"/>
      <c r="ECD46" s="57"/>
      <c r="ECE46" s="57"/>
      <c r="ECF46" s="57"/>
      <c r="ECG46" s="57"/>
      <c r="ECH46" s="57"/>
      <c r="ECI46" s="57"/>
      <c r="ECJ46" s="57"/>
      <c r="ECK46" s="57"/>
      <c r="ECL46" s="57"/>
      <c r="ECM46" s="57"/>
      <c r="ECN46" s="57"/>
      <c r="ECO46" s="57"/>
      <c r="ECP46" s="57"/>
      <c r="ECQ46" s="57"/>
      <c r="ECR46" s="57"/>
      <c r="ECS46" s="57"/>
      <c r="ECT46" s="58"/>
      <c r="ECU46" s="56"/>
      <c r="ECV46" s="57"/>
      <c r="ECW46" s="57"/>
      <c r="ECX46" s="57"/>
      <c r="ECY46" s="57"/>
      <c r="ECZ46" s="57"/>
      <c r="EDA46" s="56"/>
      <c r="EDB46" s="57"/>
      <c r="EDC46" s="57"/>
      <c r="EDD46" s="56"/>
      <c r="EDE46" s="57"/>
      <c r="EDF46" s="58"/>
      <c r="EDG46" s="56"/>
      <c r="EDH46" s="57"/>
      <c r="EDI46" s="57"/>
      <c r="EDJ46" s="57"/>
      <c r="EDK46" s="56"/>
      <c r="EDL46" s="57"/>
      <c r="EDM46" s="57"/>
      <c r="EDN46" s="56"/>
      <c r="EDO46" s="57"/>
      <c r="EDP46" s="58"/>
      <c r="EDQ46" s="56"/>
      <c r="EDR46" s="57"/>
      <c r="EDS46" s="57"/>
      <c r="EDT46" s="57"/>
      <c r="EDU46" s="56"/>
      <c r="EDV46" s="57"/>
      <c r="EDW46" s="57"/>
      <c r="EDX46" s="56"/>
      <c r="EDY46" s="57"/>
      <c r="EDZ46" s="58"/>
      <c r="EEA46" s="56"/>
      <c r="EEB46" s="57"/>
      <c r="EEC46" s="57"/>
      <c r="EED46" s="57"/>
      <c r="EEE46" s="56"/>
      <c r="EEF46" s="57"/>
      <c r="EEG46" s="57"/>
      <c r="EEH46" s="56"/>
      <c r="EEI46" s="57"/>
      <c r="EEJ46" s="58"/>
      <c r="EEK46" s="56"/>
      <c r="EEL46" s="58"/>
      <c r="EEM46" s="57"/>
      <c r="EEN46" s="56"/>
      <c r="EEO46" s="57"/>
      <c r="EEP46" s="56"/>
      <c r="EEQ46" s="56"/>
      <c r="EER46" s="56"/>
      <c r="EES46" s="57"/>
      <c r="EET46" s="57"/>
      <c r="EEU46" s="57"/>
      <c r="EEV46" s="57"/>
      <c r="EEW46" s="57"/>
      <c r="EEX46" s="57"/>
      <c r="EEY46" s="57"/>
      <c r="EEZ46" s="57"/>
      <c r="EFA46" s="57"/>
      <c r="EFB46" s="57"/>
      <c r="EFC46" s="57"/>
      <c r="EFD46" s="57"/>
      <c r="EFE46" s="57"/>
      <c r="EFF46" s="57"/>
      <c r="EFG46" s="57"/>
      <c r="EFH46" s="57"/>
      <c r="EFI46" s="57"/>
      <c r="EFJ46" s="57"/>
      <c r="EFK46" s="57"/>
      <c r="EFL46" s="57"/>
      <c r="EFM46" s="57"/>
      <c r="EFN46" s="57"/>
      <c r="EFO46" s="57"/>
      <c r="EFP46" s="57"/>
      <c r="EFQ46" s="57"/>
      <c r="EFR46" s="57"/>
      <c r="EFS46" s="57"/>
      <c r="EFT46" s="57"/>
      <c r="EFU46" s="57"/>
      <c r="EFV46" s="57"/>
      <c r="EFW46" s="57"/>
      <c r="EFX46" s="57"/>
      <c r="EFY46" s="57"/>
      <c r="EFZ46" s="57"/>
      <c r="EGA46" s="57"/>
      <c r="EGB46" s="57"/>
      <c r="EGC46" s="57"/>
      <c r="EGD46" s="58"/>
      <c r="EGE46" s="56"/>
      <c r="EGF46" s="57"/>
      <c r="EGG46" s="57"/>
      <c r="EGH46" s="57"/>
      <c r="EGI46" s="57"/>
      <c r="EGJ46" s="57"/>
      <c r="EGK46" s="56"/>
      <c r="EGL46" s="57"/>
      <c r="EGM46" s="57"/>
      <c r="EGN46" s="56"/>
      <c r="EGO46" s="57"/>
      <c r="EGP46" s="58"/>
      <c r="EGQ46" s="56"/>
      <c r="EGR46" s="57"/>
      <c r="EGS46" s="57"/>
      <c r="EGT46" s="57"/>
      <c r="EGU46" s="56"/>
      <c r="EGV46" s="57"/>
      <c r="EGW46" s="57"/>
      <c r="EGX46" s="56"/>
      <c r="EGY46" s="57"/>
      <c r="EGZ46" s="58"/>
      <c r="EHA46" s="56"/>
      <c r="EHB46" s="57"/>
      <c r="EHC46" s="57"/>
      <c r="EHD46" s="57"/>
      <c r="EHE46" s="56"/>
      <c r="EHF46" s="57"/>
      <c r="EHG46" s="57"/>
      <c r="EHH46" s="56"/>
      <c r="EHI46" s="57"/>
      <c r="EHJ46" s="58"/>
      <c r="EHK46" s="56"/>
      <c r="EHL46" s="57"/>
      <c r="EHM46" s="57"/>
      <c r="EHN46" s="57"/>
      <c r="EHO46" s="56"/>
      <c r="EHP46" s="57"/>
      <c r="EHQ46" s="57"/>
      <c r="EHR46" s="56"/>
      <c r="EHS46" s="57"/>
      <c r="EHT46" s="58"/>
      <c r="EHU46" s="56"/>
      <c r="EHV46" s="58"/>
      <c r="EHW46" s="57"/>
      <c r="EHX46" s="56"/>
      <c r="EHY46" s="57"/>
      <c r="EHZ46" s="56"/>
      <c r="EIA46" s="56"/>
      <c r="EIB46" s="56"/>
      <c r="EIC46" s="57"/>
      <c r="EID46" s="57"/>
      <c r="EIE46" s="57"/>
      <c r="EIF46" s="57"/>
      <c r="EIG46" s="57"/>
      <c r="EIH46" s="57"/>
      <c r="EII46" s="57"/>
      <c r="EIJ46" s="57"/>
      <c r="EIK46" s="57"/>
      <c r="EIL46" s="57"/>
      <c r="EIM46" s="57"/>
      <c r="EIN46" s="57"/>
      <c r="EIO46" s="57"/>
      <c r="EIP46" s="57"/>
      <c r="EIQ46" s="57"/>
      <c r="EIR46" s="57"/>
      <c r="EIS46" s="57"/>
      <c r="EIT46" s="57"/>
      <c r="EIU46" s="57"/>
      <c r="EIV46" s="57"/>
      <c r="EIW46" s="57"/>
      <c r="EIX46" s="57"/>
      <c r="EIY46" s="57"/>
      <c r="EIZ46" s="57"/>
      <c r="EJA46" s="57"/>
      <c r="EJB46" s="57"/>
      <c r="EJC46" s="57"/>
      <c r="EJD46" s="57"/>
      <c r="EJE46" s="57"/>
      <c r="EJF46" s="57"/>
      <c r="EJG46" s="57"/>
      <c r="EJH46" s="57"/>
      <c r="EJI46" s="57"/>
      <c r="EJJ46" s="57"/>
      <c r="EJK46" s="57"/>
      <c r="EJL46" s="57"/>
      <c r="EJM46" s="57"/>
      <c r="EJN46" s="58"/>
      <c r="EJO46" s="56"/>
      <c r="EJP46" s="57"/>
      <c r="EJQ46" s="57"/>
      <c r="EJR46" s="57"/>
      <c r="EJS46" s="57"/>
      <c r="EJT46" s="57"/>
      <c r="EJU46" s="56"/>
      <c r="EJV46" s="57"/>
      <c r="EJW46" s="57"/>
      <c r="EJX46" s="56"/>
      <c r="EJY46" s="57"/>
      <c r="EJZ46" s="58"/>
      <c r="EKA46" s="56"/>
      <c r="EKB46" s="57"/>
      <c r="EKC46" s="57"/>
      <c r="EKD46" s="57"/>
      <c r="EKE46" s="56"/>
      <c r="EKF46" s="57"/>
      <c r="EKG46" s="57"/>
      <c r="EKH46" s="56"/>
      <c r="EKI46" s="57"/>
      <c r="EKJ46" s="58"/>
      <c r="EKK46" s="56"/>
      <c r="EKL46" s="57"/>
      <c r="EKM46" s="57"/>
      <c r="EKN46" s="57"/>
      <c r="EKO46" s="56"/>
      <c r="EKP46" s="57"/>
      <c r="EKQ46" s="57"/>
      <c r="EKR46" s="56"/>
      <c r="EKS46" s="57"/>
      <c r="EKT46" s="58"/>
      <c r="EKU46" s="56"/>
      <c r="EKV46" s="57"/>
      <c r="EKW46" s="57"/>
      <c r="EKX46" s="57"/>
      <c r="EKY46" s="56"/>
      <c r="EKZ46" s="57"/>
      <c r="ELA46" s="57"/>
      <c r="ELB46" s="56"/>
      <c r="ELC46" s="57"/>
      <c r="ELD46" s="58"/>
      <c r="ELE46" s="56"/>
      <c r="ELF46" s="58"/>
      <c r="ELG46" s="57"/>
      <c r="ELH46" s="56"/>
      <c r="ELI46" s="57"/>
      <c r="ELJ46" s="56"/>
      <c r="ELK46" s="56"/>
      <c r="ELL46" s="56"/>
      <c r="ELM46" s="57"/>
      <c r="ELN46" s="57"/>
      <c r="ELO46" s="57"/>
      <c r="ELP46" s="57"/>
      <c r="ELQ46" s="57"/>
      <c r="ELR46" s="57"/>
      <c r="ELS46" s="57"/>
      <c r="ELT46" s="57"/>
      <c r="ELU46" s="57"/>
      <c r="ELV46" s="57"/>
      <c r="ELW46" s="57"/>
      <c r="ELX46" s="57"/>
      <c r="ELY46" s="57"/>
      <c r="ELZ46" s="57"/>
      <c r="EMA46" s="57"/>
      <c r="EMB46" s="57"/>
      <c r="EMC46" s="57"/>
      <c r="EMD46" s="57"/>
      <c r="EME46" s="57"/>
      <c r="EMF46" s="57"/>
      <c r="EMG46" s="57"/>
      <c r="EMH46" s="57"/>
      <c r="EMI46" s="57"/>
      <c r="EMJ46" s="57"/>
      <c r="EMK46" s="57"/>
      <c r="EML46" s="57"/>
      <c r="EMM46" s="57"/>
      <c r="EMN46" s="57"/>
      <c r="EMO46" s="57"/>
      <c r="EMP46" s="57"/>
      <c r="EMQ46" s="57"/>
      <c r="EMR46" s="57"/>
      <c r="EMS46" s="57"/>
      <c r="EMT46" s="57"/>
      <c r="EMU46" s="57"/>
      <c r="EMV46" s="57"/>
      <c r="EMW46" s="57"/>
      <c r="EMX46" s="58"/>
      <c r="EMY46" s="56"/>
      <c r="EMZ46" s="57"/>
      <c r="ENA46" s="57"/>
      <c r="ENB46" s="57"/>
      <c r="ENC46" s="57"/>
      <c r="END46" s="57"/>
      <c r="ENE46" s="56"/>
      <c r="ENF46" s="57"/>
      <c r="ENG46" s="57"/>
      <c r="ENH46" s="56"/>
      <c r="ENI46" s="57"/>
      <c r="ENJ46" s="58"/>
      <c r="ENK46" s="56"/>
      <c r="ENL46" s="57"/>
      <c r="ENM46" s="57"/>
      <c r="ENN46" s="57"/>
      <c r="ENO46" s="56"/>
      <c r="ENP46" s="57"/>
      <c r="ENQ46" s="57"/>
      <c r="ENR46" s="56"/>
      <c r="ENS46" s="57"/>
      <c r="ENT46" s="58"/>
      <c r="ENU46" s="56"/>
      <c r="ENV46" s="57"/>
      <c r="ENW46" s="57"/>
      <c r="ENX46" s="57"/>
      <c r="ENY46" s="56"/>
      <c r="ENZ46" s="57"/>
      <c r="EOA46" s="57"/>
      <c r="EOB46" s="56"/>
      <c r="EOC46" s="57"/>
      <c r="EOD46" s="58"/>
      <c r="EOE46" s="56"/>
      <c r="EOF46" s="57"/>
      <c r="EOG46" s="57"/>
      <c r="EOH46" s="57"/>
      <c r="EOI46" s="56"/>
      <c r="EOJ46" s="57"/>
      <c r="EOK46" s="57"/>
      <c r="EOL46" s="56"/>
      <c r="EOM46" s="57"/>
      <c r="EON46" s="58"/>
      <c r="EOO46" s="56" t="str">
        <f t="shared" si="149"/>
        <v xml:space="preserve"> </v>
      </c>
      <c r="EOP46" s="58"/>
      <c r="EOQ46" s="57"/>
      <c r="EOR46" s="56"/>
      <c r="EOS46" s="57"/>
      <c r="EOT46" s="56"/>
      <c r="EOU46" s="56"/>
      <c r="EOV46" s="56"/>
      <c r="EOW46" s="57"/>
      <c r="EOX46" s="57"/>
      <c r="EOY46" s="57"/>
      <c r="EOZ46" s="57"/>
      <c r="EPA46" s="57"/>
      <c r="EPB46" s="57"/>
      <c r="EPC46" s="57"/>
      <c r="EPD46" s="57"/>
      <c r="EPE46" s="57"/>
      <c r="EPF46" s="57"/>
      <c r="EPG46" s="57"/>
      <c r="EPH46" s="57"/>
      <c r="EPI46" s="57"/>
      <c r="EPJ46" s="57"/>
      <c r="EPK46" s="57"/>
      <c r="EPL46" s="57"/>
      <c r="EPM46" s="57"/>
      <c r="EPN46" s="57"/>
      <c r="EPO46" s="57"/>
      <c r="EPP46" s="57"/>
      <c r="EPQ46" s="57"/>
      <c r="EPR46" s="57"/>
      <c r="EPS46" s="57"/>
      <c r="EPT46" s="57"/>
      <c r="EPU46" s="57"/>
      <c r="EPV46" s="57"/>
      <c r="EPW46" s="57"/>
      <c r="EPX46" s="57"/>
      <c r="EPY46" s="57"/>
      <c r="EPZ46" s="57"/>
      <c r="EQA46" s="57"/>
      <c r="EQB46" s="57"/>
      <c r="EQC46" s="57"/>
      <c r="EQD46" s="57"/>
      <c r="EQE46" s="57"/>
      <c r="EQF46" s="57"/>
      <c r="EQG46" s="57"/>
      <c r="EQH46" s="58"/>
      <c r="EQI46" s="56"/>
      <c r="EQJ46" s="57"/>
      <c r="EQK46" s="57"/>
      <c r="EQL46" s="57"/>
      <c r="EQM46" s="57"/>
      <c r="EQN46" s="57"/>
      <c r="EQO46" s="56"/>
      <c r="EQP46" s="57"/>
      <c r="EQQ46" s="57"/>
      <c r="EQR46" s="56"/>
      <c r="EQS46" s="57"/>
      <c r="EQT46" s="58"/>
      <c r="EQU46" s="56"/>
      <c r="EQV46" s="57"/>
      <c r="EQW46" s="57"/>
      <c r="EQX46" s="57"/>
      <c r="EQY46" s="56"/>
      <c r="EQZ46" s="57"/>
      <c r="ERA46" s="57"/>
      <c r="ERB46" s="56"/>
      <c r="ERC46" s="57"/>
      <c r="ERD46" s="58"/>
      <c r="ERE46" s="56"/>
      <c r="ERF46" s="57"/>
      <c r="ERG46" s="57"/>
      <c r="ERH46" s="57"/>
      <c r="ERI46" s="56"/>
      <c r="ERJ46" s="57"/>
      <c r="ERK46" s="57"/>
      <c r="ERL46" s="56"/>
      <c r="ERM46" s="57"/>
      <c r="ERN46" s="58"/>
      <c r="ERO46" s="56"/>
      <c r="ERP46" s="57"/>
      <c r="ERQ46" s="57"/>
      <c r="ERR46" s="57"/>
      <c r="ERS46" s="56"/>
      <c r="ERT46" s="57"/>
      <c r="ERU46" s="57"/>
      <c r="ERV46" s="56"/>
      <c r="ERW46" s="57"/>
      <c r="ERX46" s="58"/>
      <c r="ERY46" s="56" t="str">
        <f t="shared" si="152"/>
        <v xml:space="preserve"> </v>
      </c>
      <c r="ERZ46" s="58"/>
      <c r="ESA46" s="57"/>
      <c r="ESB46" s="56"/>
      <c r="ESC46" s="57"/>
      <c r="ESD46" s="56"/>
      <c r="ESE46" s="56"/>
      <c r="ESF46" s="56"/>
      <c r="ESG46" s="57"/>
      <c r="ESH46" s="57"/>
      <c r="ESI46" s="57"/>
      <c r="ESJ46" s="57"/>
      <c r="ESK46" s="57"/>
      <c r="ESL46" s="57"/>
      <c r="ESM46" s="57"/>
      <c r="ESN46" s="57"/>
      <c r="ESO46" s="57"/>
      <c r="ESP46" s="57"/>
      <c r="ESQ46" s="57"/>
      <c r="ESR46" s="57"/>
      <c r="ESS46" s="57"/>
      <c r="EST46" s="57"/>
      <c r="ESU46" s="57"/>
      <c r="ESV46" s="57"/>
      <c r="ESW46" s="57"/>
      <c r="ESX46" s="57"/>
      <c r="ESY46" s="57"/>
      <c r="ESZ46" s="57"/>
      <c r="ETA46" s="57"/>
      <c r="ETB46" s="57"/>
      <c r="ETC46" s="57"/>
      <c r="ETD46" s="57"/>
      <c r="ETE46" s="57"/>
      <c r="ETF46" s="57"/>
      <c r="ETG46" s="57"/>
      <c r="ETH46" s="57"/>
      <c r="ETI46" s="57"/>
      <c r="ETJ46" s="57"/>
      <c r="ETK46" s="57"/>
      <c r="ETL46" s="57"/>
      <c r="ETM46" s="57"/>
      <c r="ETN46" s="57"/>
      <c r="ETO46" s="57"/>
      <c r="ETP46" s="57"/>
      <c r="ETQ46" s="57"/>
      <c r="ETR46" s="58"/>
      <c r="ETS46" s="56"/>
      <c r="ETT46" s="57"/>
      <c r="ETU46" s="57"/>
      <c r="ETV46" s="57"/>
      <c r="ETW46" s="57"/>
      <c r="ETX46" s="57"/>
      <c r="ETY46" s="56"/>
      <c r="ETZ46" s="57"/>
      <c r="EUA46" s="57"/>
      <c r="EUB46" s="56"/>
      <c r="EUC46" s="57"/>
      <c r="EUD46" s="58"/>
      <c r="EUE46" s="56"/>
      <c r="EUF46" s="57"/>
      <c r="EUG46" s="57"/>
      <c r="EUH46" s="57"/>
      <c r="EUI46" s="56"/>
      <c r="EUJ46" s="57"/>
      <c r="EUK46" s="57"/>
      <c r="EUL46" s="56"/>
      <c r="EUM46" s="57"/>
      <c r="EUN46" s="58"/>
      <c r="EUO46" s="56"/>
      <c r="EUP46" s="57"/>
      <c r="EUQ46" s="57"/>
      <c r="EUR46" s="57"/>
      <c r="EUS46" s="56"/>
      <c r="EUT46" s="57"/>
      <c r="EUU46" s="57"/>
      <c r="EUV46" s="56"/>
      <c r="EUW46" s="57"/>
      <c r="EUX46" s="58"/>
      <c r="EUY46" s="56"/>
      <c r="EUZ46" s="57"/>
      <c r="EVA46" s="57"/>
      <c r="EVB46" s="57"/>
      <c r="EVC46" s="56"/>
      <c r="EVD46" s="57"/>
      <c r="EVE46" s="57"/>
      <c r="EVF46" s="56"/>
      <c r="EVG46" s="57"/>
      <c r="EVH46" s="58"/>
      <c r="EVI46" s="56" t="str">
        <f t="shared" si="153"/>
        <v xml:space="preserve"> </v>
      </c>
    </row>
    <row r="47" spans="1:3961" x14ac:dyDescent="0.3">
      <c r="A47" s="423" t="s">
        <v>254</v>
      </c>
      <c r="B47" s="30" t="str">
        <f>'REG y VAL POE - AESR - ESR'!B3576</f>
        <v xml:space="preserve">Belli Contreras Ivan Eleazar </v>
      </c>
      <c r="C47" s="29" t="str">
        <f>'REG y VAL POE - AESR - ESR'!C3576</f>
        <v>Sin Registro</v>
      </c>
      <c r="D47" s="28">
        <f>'REG y VAL POE - AESR - ESR'!D3576</f>
        <v>23226099</v>
      </c>
      <c r="E47" s="29">
        <f>'REG y VAL POE - AESR - ESR'!E3576</f>
        <v>0</v>
      </c>
      <c r="F47" s="28">
        <f>'REG y VAL POE - AESR - ESR'!F3576</f>
        <v>0</v>
      </c>
      <c r="G47" s="28">
        <f>'REG y VAL POE - AESR - ESR'!G3576</f>
        <v>0</v>
      </c>
      <c r="H47" s="28">
        <f>'REG y VAL POE - AESR - ESR'!H3576</f>
        <v>0</v>
      </c>
      <c r="I47" s="29">
        <f>'REG y VAL POE - AESR - ESR'!I3576</f>
        <v>0</v>
      </c>
      <c r="J47" s="29">
        <f>'REG y VAL POE - AESR - ESR'!J3576</f>
        <v>0</v>
      </c>
      <c r="K47" s="29">
        <f>'REG y VAL POE - AESR - ESR'!K3576</f>
        <v>0</v>
      </c>
      <c r="L47" s="29">
        <f>'REG y VAL POE - AESR - ESR'!L3576</f>
        <v>0</v>
      </c>
      <c r="M47" s="29">
        <f>'REG y VAL POE - AESR - ESR'!M3576</f>
        <v>0</v>
      </c>
      <c r="N47" s="29">
        <f>'REG y VAL POE - AESR - ESR'!N3576</f>
        <v>0</v>
      </c>
      <c r="O47" s="29">
        <f>'REG y VAL POE - AESR - ESR'!O3576</f>
        <v>0</v>
      </c>
      <c r="P47" s="29">
        <f>'REG y VAL POE - AESR - ESR'!P3576</f>
        <v>0</v>
      </c>
      <c r="Q47" s="29">
        <f>'REG y VAL POE - AESR - ESR'!Q3576</f>
        <v>0</v>
      </c>
      <c r="R47" s="29">
        <f>'REG y VAL POE - AESR - ESR'!R3576</f>
        <v>0</v>
      </c>
      <c r="S47" s="29">
        <f>'REG y VAL POE - AESR - ESR'!S3576</f>
        <v>0</v>
      </c>
      <c r="T47" s="29">
        <f>'REG y VAL POE - AESR - ESR'!T3576</f>
        <v>0</v>
      </c>
      <c r="U47" s="29">
        <f>'REG y VAL POE - AESR - ESR'!U3576</f>
        <v>0</v>
      </c>
      <c r="V47" s="29">
        <f>'REG y VAL POE - AESR - ESR'!V3576</f>
        <v>0</v>
      </c>
      <c r="W47" s="29">
        <f>'REG y VAL POE - AESR - ESR'!W3576</f>
        <v>0</v>
      </c>
      <c r="X47" s="29">
        <f>'REG y VAL POE - AESR - ESR'!X3576</f>
        <v>0</v>
      </c>
      <c r="Y47" s="29">
        <f>'REG y VAL POE - AESR - ESR'!Y3576</f>
        <v>0</v>
      </c>
      <c r="Z47" s="29">
        <f>'REG y VAL POE - AESR - ESR'!Z3576</f>
        <v>0</v>
      </c>
      <c r="AA47" s="29">
        <f>'REG y VAL POE - AESR - ESR'!AA3576</f>
        <v>0</v>
      </c>
      <c r="AB47" s="29">
        <f>'REG y VAL POE - AESR - ESR'!AB3576</f>
        <v>0</v>
      </c>
      <c r="AC47" s="29">
        <f>'REG y VAL POE - AESR - ESR'!AC3576</f>
        <v>0</v>
      </c>
      <c r="AD47" s="29">
        <f>'REG y VAL POE - AESR - ESR'!AD3576</f>
        <v>0</v>
      </c>
      <c r="AE47" s="29">
        <f>'REG y VAL POE - AESR - ESR'!AE3576</f>
        <v>0</v>
      </c>
      <c r="AF47" s="29">
        <f>'REG y VAL POE - AESR - ESR'!AF3576</f>
        <v>0</v>
      </c>
      <c r="AG47" s="29">
        <f>'REG y VAL POE - AESR - ESR'!AG3576</f>
        <v>0</v>
      </c>
      <c r="AH47" s="29">
        <f>'REG y VAL POE - AESR - ESR'!AH3576</f>
        <v>0</v>
      </c>
      <c r="AI47" s="29">
        <f>'REG y VAL POE - AESR - ESR'!AI3576</f>
        <v>0</v>
      </c>
      <c r="AJ47" s="29">
        <f>'REG y VAL POE - AESR - ESR'!AJ3576</f>
        <v>0</v>
      </c>
      <c r="AK47" s="29">
        <f>'REG y VAL POE - AESR - ESR'!AK3576</f>
        <v>0</v>
      </c>
      <c r="AL47" s="29">
        <f>'REG y VAL POE - AESR - ESR'!AL3576</f>
        <v>0</v>
      </c>
      <c r="AM47" s="29">
        <f>'REG y VAL POE - AESR - ESR'!AM3576</f>
        <v>0</v>
      </c>
      <c r="AN47" s="29">
        <f>'REG y VAL POE - AESR - ESR'!AN3576</f>
        <v>0</v>
      </c>
      <c r="AO47" s="29">
        <f>'REG y VAL POE - AESR - ESR'!AO3576</f>
        <v>0</v>
      </c>
      <c r="AP47" s="29">
        <f>'REG y VAL POE - AESR - ESR'!AP3576</f>
        <v>0</v>
      </c>
      <c r="AQ47" s="29">
        <f>'REG y VAL POE - AESR - ESR'!AQ3576</f>
        <v>0</v>
      </c>
      <c r="AR47" s="29">
        <f>'REG y VAL POE - AESR - ESR'!AR3576</f>
        <v>0</v>
      </c>
      <c r="AS47" s="29">
        <f>'REG y VAL POE - AESR - ESR'!AS3576</f>
        <v>0</v>
      </c>
      <c r="AT47" s="30" t="str">
        <f>'REG y VAL POE - AESR - ESR'!B3577</f>
        <v xml:space="preserve">Ceballos Cetina Miguel Angel </v>
      </c>
      <c r="AU47" s="28" t="str">
        <f>'REG y VAL POE - AESR - ESR'!C3577</f>
        <v>Sin Registro</v>
      </c>
      <c r="AV47" s="29">
        <f>'REG y VAL POE - AESR - ESR'!D3577</f>
        <v>23198928</v>
      </c>
      <c r="AW47" s="29">
        <f>'REG y VAL POE - AESR - ESR'!E3577</f>
        <v>0</v>
      </c>
      <c r="AX47" s="29">
        <f>'REG y VAL POE - AESR - ESR'!F3577</f>
        <v>0</v>
      </c>
      <c r="AY47" s="29">
        <f>'REG y VAL POE - AESR - ESR'!G3577</f>
        <v>0</v>
      </c>
      <c r="AZ47" s="29">
        <f>'REG y VAL POE - AESR - ESR'!H3577</f>
        <v>0</v>
      </c>
      <c r="BA47" s="28">
        <f>'REG y VAL POE - AESR - ESR'!I3577</f>
        <v>0</v>
      </c>
      <c r="BB47" s="29">
        <f>'REG y VAL POE - AESR - ESR'!J3577</f>
        <v>0</v>
      </c>
      <c r="BC47" s="29">
        <f>'REG y VAL POE - AESR - ESR'!K3577</f>
        <v>0</v>
      </c>
      <c r="BD47" s="28">
        <f>'REG y VAL POE - AESR - ESR'!L3577</f>
        <v>0</v>
      </c>
      <c r="BE47" s="29">
        <f>'REG y VAL POE - AESR - ESR'!M3577</f>
        <v>0</v>
      </c>
      <c r="BF47" s="30">
        <f>'REG y VAL POE - AESR - ESR'!N3577</f>
        <v>0</v>
      </c>
      <c r="BG47" s="28">
        <f>'REG y VAL POE - AESR - ESR'!O3577</f>
        <v>0</v>
      </c>
      <c r="BH47" s="29">
        <f>'REG y VAL POE - AESR - ESR'!P3577</f>
        <v>0</v>
      </c>
      <c r="BI47" s="29">
        <f>'REG y VAL POE - AESR - ESR'!Q3577</f>
        <v>0</v>
      </c>
      <c r="BJ47" s="29">
        <f>'REG y VAL POE - AESR - ESR'!R3577</f>
        <v>0</v>
      </c>
      <c r="BK47" s="28">
        <f>'REG y VAL POE - AESR - ESR'!S3577</f>
        <v>0</v>
      </c>
      <c r="BL47" s="29">
        <f>'REG y VAL POE - AESR - ESR'!T3577</f>
        <v>0</v>
      </c>
      <c r="BM47" s="29">
        <f>'REG y VAL POE - AESR - ESR'!U3577</f>
        <v>0</v>
      </c>
      <c r="BN47" s="28">
        <f>'REG y VAL POE - AESR - ESR'!V3577</f>
        <v>0</v>
      </c>
      <c r="BO47" s="29">
        <f>'REG y VAL POE - AESR - ESR'!W3577</f>
        <v>0</v>
      </c>
      <c r="BP47" s="30">
        <f>'REG y VAL POE - AESR - ESR'!X3577</f>
        <v>0</v>
      </c>
      <c r="BQ47" s="28">
        <f>'REG y VAL POE - AESR - ESR'!Y3577</f>
        <v>0</v>
      </c>
      <c r="BR47" s="29">
        <f>'REG y VAL POE - AESR - ESR'!Z3577</f>
        <v>0</v>
      </c>
      <c r="BS47" s="29">
        <f>'REG y VAL POE - AESR - ESR'!AA3577</f>
        <v>0</v>
      </c>
      <c r="BT47" s="29">
        <f>'REG y VAL POE - AESR - ESR'!AB3577</f>
        <v>0</v>
      </c>
      <c r="BU47" s="28">
        <f>'REG y VAL POE - AESR - ESR'!AC3577</f>
        <v>0</v>
      </c>
      <c r="BV47" s="29">
        <f>'REG y VAL POE - AESR - ESR'!AD3577</f>
        <v>0</v>
      </c>
      <c r="BW47" s="29">
        <f>'REG y VAL POE - AESR - ESR'!AE3577</f>
        <v>0</v>
      </c>
      <c r="BX47" s="28">
        <f>'REG y VAL POE - AESR - ESR'!AF3577</f>
        <v>0</v>
      </c>
      <c r="BY47" s="29">
        <f>'REG y VAL POE - AESR - ESR'!AG3577</f>
        <v>0</v>
      </c>
      <c r="BZ47" s="30">
        <f>'REG y VAL POE - AESR - ESR'!AH3577</f>
        <v>0</v>
      </c>
      <c r="CA47" s="28">
        <f>'REG y VAL POE - AESR - ESR'!AI3577</f>
        <v>0</v>
      </c>
      <c r="CB47" s="29">
        <f>'REG y VAL POE - AESR - ESR'!AJ3577</f>
        <v>0</v>
      </c>
      <c r="CC47" s="29">
        <f>'REG y VAL POE - AESR - ESR'!AK3577</f>
        <v>0</v>
      </c>
      <c r="CD47" s="29">
        <f>'REG y VAL POE - AESR - ESR'!AL3577</f>
        <v>0</v>
      </c>
      <c r="CE47" s="28">
        <f>'REG y VAL POE - AESR - ESR'!AM3577</f>
        <v>0</v>
      </c>
      <c r="CF47" s="29">
        <f>'REG y VAL POE - AESR - ESR'!AN3577</f>
        <v>0</v>
      </c>
      <c r="CG47" s="29">
        <f>'REG y VAL POE - AESR - ESR'!AO3577</f>
        <v>0</v>
      </c>
      <c r="CH47" s="28">
        <f>'REG y VAL POE - AESR - ESR'!AP3577</f>
        <v>0</v>
      </c>
      <c r="CI47" s="29">
        <f>'REG y VAL POE - AESR - ESR'!AQ3577</f>
        <v>0</v>
      </c>
      <c r="CJ47" s="30">
        <f>'REG y VAL POE - AESR - ESR'!AR3577</f>
        <v>0</v>
      </c>
      <c r="CK47" s="28">
        <f>'REG y VAL POE - AESR - ESR'!AS3577</f>
        <v>0</v>
      </c>
      <c r="CL47" s="29" t="str">
        <f>'REG y VAL POE - AESR - ESR'!B3578</f>
        <v xml:space="preserve">Diaz Leal Velazquez Xavier Martin </v>
      </c>
      <c r="CM47" s="29" t="str">
        <f>'REG y VAL POE - AESR - ESR'!C3578</f>
        <v>Sin Registro</v>
      </c>
      <c r="CN47" s="29">
        <f>'REG y VAL POE - AESR - ESR'!D3578</f>
        <v>23112911</v>
      </c>
      <c r="CO47" s="28">
        <f>'REG y VAL POE - AESR - ESR'!E3578</f>
        <v>0</v>
      </c>
      <c r="CP47" s="29">
        <f>'REG y VAL POE - AESR - ESR'!F3578</f>
        <v>0</v>
      </c>
      <c r="CQ47" s="29">
        <f>'REG y VAL POE - AESR - ESR'!G3578</f>
        <v>0</v>
      </c>
      <c r="CR47" s="28">
        <f>'REG y VAL POE - AESR - ESR'!H3578</f>
        <v>0</v>
      </c>
      <c r="CS47" s="29">
        <f>'REG y VAL POE - AESR - ESR'!I3578</f>
        <v>0</v>
      </c>
      <c r="CT47" s="30">
        <f>'REG y VAL POE - AESR - ESR'!J3578</f>
        <v>0</v>
      </c>
      <c r="CU47" s="28">
        <f>'REG y VAL POE - AESR - ESR'!K3578</f>
        <v>0</v>
      </c>
      <c r="CV47" s="29">
        <f>'REG y VAL POE - AESR - ESR'!L3578</f>
        <v>0</v>
      </c>
      <c r="CW47" s="29">
        <f>'REG y VAL POE - AESR - ESR'!M3578</f>
        <v>0</v>
      </c>
      <c r="CX47" s="29">
        <f>'REG y VAL POE - AESR - ESR'!N3578</f>
        <v>0</v>
      </c>
      <c r="CY47" s="28">
        <f>'REG y VAL POE - AESR - ESR'!O3578</f>
        <v>0</v>
      </c>
      <c r="CZ47" s="29">
        <f>'REG y VAL POE - AESR - ESR'!P3578</f>
        <v>0</v>
      </c>
      <c r="DA47" s="29">
        <f>'REG y VAL POE - AESR - ESR'!Q3578</f>
        <v>0</v>
      </c>
      <c r="DB47" s="28">
        <f>'REG y VAL POE - AESR - ESR'!R3578</f>
        <v>0</v>
      </c>
      <c r="DC47" s="29">
        <f>'REG y VAL POE - AESR - ESR'!S3578</f>
        <v>0</v>
      </c>
      <c r="DD47" s="30">
        <f>'REG y VAL POE - AESR - ESR'!T3578</f>
        <v>0</v>
      </c>
      <c r="DE47" s="28">
        <f>'REG y VAL POE - AESR - ESR'!U3578</f>
        <v>0</v>
      </c>
      <c r="DF47" s="29">
        <f>'REG y VAL POE - AESR - ESR'!V3578</f>
        <v>0</v>
      </c>
      <c r="DG47" s="29">
        <f>'REG y VAL POE - AESR - ESR'!W3578</f>
        <v>0</v>
      </c>
      <c r="DH47" s="29">
        <f>'REG y VAL POE - AESR - ESR'!X3578</f>
        <v>0</v>
      </c>
      <c r="DI47" s="28">
        <f>'REG y VAL POE - AESR - ESR'!Y3578</f>
        <v>0</v>
      </c>
      <c r="DJ47" s="29">
        <f>'REG y VAL POE - AESR - ESR'!Z3578</f>
        <v>0</v>
      </c>
      <c r="DK47" s="29">
        <f>'REG y VAL POE - AESR - ESR'!AA3578</f>
        <v>0</v>
      </c>
      <c r="DL47" s="28">
        <f>'REG y VAL POE - AESR - ESR'!AB3578</f>
        <v>0</v>
      </c>
      <c r="DM47" s="29">
        <f>'REG y VAL POE - AESR - ESR'!AC3578</f>
        <v>0</v>
      </c>
      <c r="DN47" s="30">
        <f>'REG y VAL POE - AESR - ESR'!AD3578</f>
        <v>0</v>
      </c>
      <c r="DO47" s="28">
        <f>'REG y VAL POE - AESR - ESR'!AE3578</f>
        <v>0</v>
      </c>
      <c r="DP47" s="29">
        <f>'REG y VAL POE - AESR - ESR'!AF3578</f>
        <v>0</v>
      </c>
      <c r="DQ47" s="29">
        <f>'REG y VAL POE - AESR - ESR'!AG3578</f>
        <v>0</v>
      </c>
      <c r="DR47" s="29">
        <f>'REG y VAL POE - AESR - ESR'!AH3578</f>
        <v>0</v>
      </c>
      <c r="DS47" s="28">
        <f>'REG y VAL POE - AESR - ESR'!AI3578</f>
        <v>0</v>
      </c>
      <c r="DT47" s="29">
        <f>'REG y VAL POE - AESR - ESR'!AJ3578</f>
        <v>0</v>
      </c>
      <c r="DU47" s="29">
        <f>'REG y VAL POE - AESR - ESR'!AK3578</f>
        <v>0</v>
      </c>
      <c r="DV47" s="28">
        <f>'REG y VAL POE - AESR - ESR'!AL3578</f>
        <v>0</v>
      </c>
      <c r="DW47" s="29">
        <f>'REG y VAL POE - AESR - ESR'!AM3578</f>
        <v>0</v>
      </c>
      <c r="DX47" s="30">
        <f>'REG y VAL POE - AESR - ESR'!AN3578</f>
        <v>0</v>
      </c>
      <c r="DY47" s="28">
        <f>'REG y VAL POE - AESR - ESR'!AO3578</f>
        <v>0</v>
      </c>
      <c r="DZ47" s="29">
        <f>'REG y VAL POE - AESR - ESR'!AP3578</f>
        <v>0</v>
      </c>
      <c r="EA47" s="29">
        <f>'REG y VAL POE - AESR - ESR'!AQ3578</f>
        <v>0</v>
      </c>
      <c r="EB47" s="29">
        <f>'REG y VAL POE - AESR - ESR'!AR3578</f>
        <v>0</v>
      </c>
      <c r="EC47" s="28">
        <f>'REG y VAL POE - AESR - ESR'!AS3578</f>
        <v>0</v>
      </c>
      <c r="ED47" s="29" t="str">
        <f>'REG y VAL POE - AESR - ESR'!B3579</f>
        <v xml:space="preserve">Dominguez Lorenzana Joaquin </v>
      </c>
      <c r="EE47" s="28" t="str">
        <f>'REG y VAL POE - AESR - ESR'!C3579</f>
        <v>Sin Registro</v>
      </c>
      <c r="EF47" s="28">
        <f>'REG y VAL POE - AESR - ESR'!D3579</f>
        <v>23197427</v>
      </c>
      <c r="EG47" s="29">
        <f>'REG y VAL POE - AESR - ESR'!E3579</f>
        <v>0</v>
      </c>
      <c r="EH47" s="30">
        <f>'REG y VAL POE - AESR - ESR'!F3579</f>
        <v>0</v>
      </c>
      <c r="EI47" s="28">
        <f>'REG y VAL POE - AESR - ESR'!G3579</f>
        <v>0</v>
      </c>
      <c r="EJ47" s="29">
        <f>'REG y VAL POE - AESR - ESR'!H3579</f>
        <v>0</v>
      </c>
      <c r="EK47" s="29">
        <f>'REG y VAL POE - AESR - ESR'!I3579</f>
        <v>0</v>
      </c>
      <c r="EL47" s="29">
        <f>'REG y VAL POE - AESR - ESR'!J3579</f>
        <v>0</v>
      </c>
      <c r="EM47" s="28">
        <f>'REG y VAL POE - AESR - ESR'!K3579</f>
        <v>0</v>
      </c>
      <c r="EN47" s="29">
        <f>'REG y VAL POE - AESR - ESR'!L3579</f>
        <v>0</v>
      </c>
      <c r="EO47" s="33">
        <f>'REG y VAL POE - AESR - ESR'!M3579</f>
        <v>0</v>
      </c>
      <c r="EP47" s="28">
        <f>'REG y VAL POE - AESR - ESR'!N3579</f>
        <v>0</v>
      </c>
      <c r="EQ47" s="29">
        <f>'REG y VAL POE - AESR - ESR'!O3579</f>
        <v>0</v>
      </c>
      <c r="ER47" s="30">
        <f>'REG y VAL POE - AESR - ESR'!P3579</f>
        <v>0</v>
      </c>
      <c r="ES47" s="28">
        <f>'REG y VAL POE - AESR - ESR'!Q3579</f>
        <v>0</v>
      </c>
      <c r="ET47" s="29">
        <f>'REG y VAL POE - AESR - ESR'!R3579</f>
        <v>0</v>
      </c>
      <c r="EU47" s="29">
        <f>'REG y VAL POE - AESR - ESR'!S3579</f>
        <v>0</v>
      </c>
      <c r="EV47" s="29">
        <f>'REG y VAL POE - AESR - ESR'!T3579</f>
        <v>0</v>
      </c>
      <c r="EW47" s="28">
        <f>'REG y VAL POE - AESR - ESR'!U3579</f>
        <v>0</v>
      </c>
      <c r="EX47" s="29">
        <f>'REG y VAL POE - AESR - ESR'!V3579</f>
        <v>0</v>
      </c>
      <c r="EY47" s="29">
        <f>'REG y VAL POE - AESR - ESR'!W3579</f>
        <v>0</v>
      </c>
      <c r="EZ47" s="28">
        <f>'REG y VAL POE - AESR - ESR'!X3579</f>
        <v>0</v>
      </c>
      <c r="FA47" s="29">
        <f>'REG y VAL POE - AESR - ESR'!Y3579</f>
        <v>0</v>
      </c>
      <c r="FB47" s="30">
        <f>'REG y VAL POE - AESR - ESR'!Z3579</f>
        <v>0</v>
      </c>
      <c r="FC47" s="28">
        <f>'REG y VAL POE - AESR - ESR'!AA3579</f>
        <v>0</v>
      </c>
      <c r="FD47" s="29">
        <f>'REG y VAL POE - AESR - ESR'!AB3579</f>
        <v>0</v>
      </c>
      <c r="FE47" s="29">
        <f>'REG y VAL POE - AESR - ESR'!AC3579</f>
        <v>0</v>
      </c>
      <c r="FF47" s="29">
        <f>'REG y VAL POE - AESR - ESR'!AD3579</f>
        <v>0</v>
      </c>
      <c r="FG47" s="28">
        <f>'REG y VAL POE - AESR - ESR'!AE3579</f>
        <v>0</v>
      </c>
      <c r="FH47" s="29">
        <f>'REG y VAL POE - AESR - ESR'!AF3579</f>
        <v>0</v>
      </c>
      <c r="FI47" s="29">
        <f>'REG y VAL POE - AESR - ESR'!AG3579</f>
        <v>0</v>
      </c>
      <c r="FJ47" s="28">
        <f>'REG y VAL POE - AESR - ESR'!AH3579</f>
        <v>0</v>
      </c>
      <c r="FK47" s="29">
        <f>'REG y VAL POE - AESR - ESR'!AI3579</f>
        <v>0</v>
      </c>
      <c r="FL47" s="30">
        <f>'REG y VAL POE - AESR - ESR'!AJ3579</f>
        <v>0</v>
      </c>
      <c r="FM47" s="28">
        <f>'REG y VAL POE - AESR - ESR'!AK3579</f>
        <v>0</v>
      </c>
      <c r="FN47" s="29">
        <f>'REG y VAL POE - AESR - ESR'!AL3579</f>
        <v>0</v>
      </c>
      <c r="FO47" s="29">
        <f>'REG y VAL POE - AESR - ESR'!AM3579</f>
        <v>0</v>
      </c>
      <c r="FP47" s="29">
        <f>'REG y VAL POE - AESR - ESR'!AN3579</f>
        <v>0</v>
      </c>
      <c r="FQ47" s="28">
        <f>'REG y VAL POE - AESR - ESR'!AO3579</f>
        <v>0</v>
      </c>
      <c r="FR47" s="29">
        <f>'REG y VAL POE - AESR - ESR'!AP3579</f>
        <v>0</v>
      </c>
      <c r="FS47" s="29">
        <f>'REG y VAL POE - AESR - ESR'!AQ3579</f>
        <v>0</v>
      </c>
      <c r="FT47" s="28">
        <f>'REG y VAL POE - AESR - ESR'!AR3579</f>
        <v>0</v>
      </c>
      <c r="FU47" s="29">
        <f>'REG y VAL POE - AESR - ESR'!AS3579</f>
        <v>0</v>
      </c>
      <c r="FV47" s="30" t="str">
        <f>'REG y VAL POE - AESR - ESR'!B3580</f>
        <v xml:space="preserve">Gonzalez Ramrez David </v>
      </c>
      <c r="FW47" s="28" t="str">
        <f>'REG y VAL POE - AESR - ESR'!C3580</f>
        <v>Sin Registro</v>
      </c>
      <c r="FX47" s="29">
        <f>'REG y VAL POE - AESR - ESR'!D3580</f>
        <v>23111675</v>
      </c>
      <c r="FY47" s="29">
        <f>'REG y VAL POE - AESR - ESR'!E3580</f>
        <v>0</v>
      </c>
      <c r="FZ47" s="29">
        <f>'REG y VAL POE - AESR - ESR'!F3580</f>
        <v>0</v>
      </c>
      <c r="GA47" s="28">
        <f>'REG y VAL POE - AESR - ESR'!G3580</f>
        <v>0</v>
      </c>
      <c r="GB47" s="29">
        <f>'REG y VAL POE - AESR - ESR'!H3580</f>
        <v>0</v>
      </c>
      <c r="GC47" s="29">
        <f>'REG y VAL POE - AESR - ESR'!I3580</f>
        <v>0</v>
      </c>
      <c r="GD47" s="28">
        <f>'REG y VAL POE - AESR - ESR'!J3580</f>
        <v>0</v>
      </c>
      <c r="GE47" s="29">
        <f>'REG y VAL POE - AESR - ESR'!K3580</f>
        <v>0</v>
      </c>
      <c r="GF47" s="30">
        <f>'REG y VAL POE - AESR - ESR'!L3580</f>
        <v>0</v>
      </c>
      <c r="GG47" s="28">
        <f>'REG y VAL POE - AESR - ESR'!M3580</f>
        <v>0</v>
      </c>
      <c r="GH47" s="29">
        <f>'REG y VAL POE - AESR - ESR'!N3580</f>
        <v>0</v>
      </c>
      <c r="GI47" s="29">
        <f>'REG y VAL POE - AESR - ESR'!O3580</f>
        <v>0</v>
      </c>
      <c r="GJ47" s="29">
        <f>'REG y VAL POE - AESR - ESR'!P3580</f>
        <v>0</v>
      </c>
      <c r="GK47" s="28">
        <f>'REG y VAL POE - AESR - ESR'!Q3580</f>
        <v>0</v>
      </c>
      <c r="GL47" s="29">
        <f>'REG y VAL POE - AESR - ESR'!R3580</f>
        <v>0</v>
      </c>
      <c r="GM47" s="29">
        <f>'REG y VAL POE - AESR - ESR'!S3580</f>
        <v>0</v>
      </c>
      <c r="GN47" s="28">
        <f>'REG y VAL POE - AESR - ESR'!T3580</f>
        <v>0</v>
      </c>
      <c r="GO47" s="29">
        <f>'REG y VAL POE - AESR - ESR'!U3580</f>
        <v>0</v>
      </c>
      <c r="GP47" s="30">
        <f>'REG y VAL POE - AESR - ESR'!V3580</f>
        <v>0</v>
      </c>
      <c r="GQ47" s="28">
        <f>'REG y VAL POE - AESR - ESR'!W3580</f>
        <v>0</v>
      </c>
      <c r="GR47" s="29">
        <f>'REG y VAL POE - AESR - ESR'!X3580</f>
        <v>0</v>
      </c>
      <c r="GS47" s="29">
        <f>'REG y VAL POE - AESR - ESR'!Y3580</f>
        <v>0</v>
      </c>
      <c r="GT47" s="29">
        <f>'REG y VAL POE - AESR - ESR'!Z3580</f>
        <v>0</v>
      </c>
      <c r="GU47" s="28">
        <f>'REG y VAL POE - AESR - ESR'!AA3580</f>
        <v>0</v>
      </c>
      <c r="GV47" s="29">
        <f>'REG y VAL POE - AESR - ESR'!AB3580</f>
        <v>0</v>
      </c>
      <c r="GW47" s="29">
        <f>'REG y VAL POE - AESR - ESR'!AC3580</f>
        <v>0</v>
      </c>
      <c r="GX47" s="28">
        <f>'REG y VAL POE - AESR - ESR'!AD3580</f>
        <v>0</v>
      </c>
      <c r="GY47" s="29">
        <f>'REG y VAL POE - AESR - ESR'!AE3580</f>
        <v>0</v>
      </c>
      <c r="GZ47" s="30">
        <f>'REG y VAL POE - AESR - ESR'!AF3580</f>
        <v>0</v>
      </c>
      <c r="HA47" s="28">
        <f>'REG y VAL POE - AESR - ESR'!AG3580</f>
        <v>0</v>
      </c>
      <c r="HB47" s="29">
        <f>'REG y VAL POE - AESR - ESR'!AH3580</f>
        <v>0</v>
      </c>
      <c r="HC47" s="29">
        <f>'REG y VAL POE - AESR - ESR'!AI3580</f>
        <v>0</v>
      </c>
      <c r="HD47" s="29">
        <f>'REG y VAL POE - AESR - ESR'!AJ3580</f>
        <v>0</v>
      </c>
      <c r="HE47" s="28">
        <f>'REG y VAL POE - AESR - ESR'!AK3580</f>
        <v>0</v>
      </c>
      <c r="HF47" s="29">
        <f>'REG y VAL POE - AESR - ESR'!AL3580</f>
        <v>0</v>
      </c>
      <c r="HG47" s="29">
        <f>'REG y VAL POE - AESR - ESR'!AM3580</f>
        <v>0</v>
      </c>
      <c r="HH47" s="28">
        <f>'REG y VAL POE - AESR - ESR'!AN3580</f>
        <v>0</v>
      </c>
      <c r="HI47" s="29">
        <f>'REG y VAL POE - AESR - ESR'!AO3580</f>
        <v>0</v>
      </c>
      <c r="HJ47" s="30">
        <f>'REG y VAL POE - AESR - ESR'!AP3580</f>
        <v>0</v>
      </c>
      <c r="HK47" s="28">
        <f>'REG y VAL POE - AESR - ESR'!AQ3580</f>
        <v>0</v>
      </c>
      <c r="HL47" s="29">
        <f>'REG y VAL POE - AESR - ESR'!AR3580</f>
        <v>0</v>
      </c>
      <c r="HM47" s="29">
        <f>'REG y VAL POE - AESR - ESR'!AS3580</f>
        <v>0</v>
      </c>
      <c r="HN47" s="29" t="str">
        <f>'REG y VAL POE - AESR - ESR'!B3581</f>
        <v xml:space="preserve">Guzman Perez Jose Antonio </v>
      </c>
      <c r="HO47" s="28" t="str">
        <f>'REG y VAL POE - AESR - ESR'!C3581</f>
        <v>Sin Registro</v>
      </c>
      <c r="HP47" s="29">
        <f>'REG y VAL POE - AESR - ESR'!D3581</f>
        <v>23197426</v>
      </c>
      <c r="HQ47" s="29">
        <f>'REG y VAL POE - AESR - ESR'!E3581</f>
        <v>0</v>
      </c>
      <c r="HR47" s="28">
        <f>'REG y VAL POE - AESR - ESR'!F3581</f>
        <v>0</v>
      </c>
      <c r="HS47" s="29">
        <f>'REG y VAL POE - AESR - ESR'!G3581</f>
        <v>0</v>
      </c>
      <c r="HT47" s="30">
        <f>'REG y VAL POE - AESR - ESR'!H3581</f>
        <v>0</v>
      </c>
      <c r="HU47" s="28">
        <f>'REG y VAL POE - AESR - ESR'!I3581</f>
        <v>0</v>
      </c>
      <c r="HV47" s="29">
        <f>'REG y VAL POE - AESR - ESR'!J3581</f>
        <v>0</v>
      </c>
      <c r="HW47" s="29">
        <f>'REG y VAL POE - AESR - ESR'!K3581</f>
        <v>0</v>
      </c>
      <c r="HX47" s="29">
        <f>'REG y VAL POE - AESR - ESR'!L3581</f>
        <v>0</v>
      </c>
      <c r="HY47" s="28">
        <f>'REG y VAL POE - AESR - ESR'!M3581</f>
        <v>0</v>
      </c>
      <c r="HZ47" s="29">
        <f>'REG y VAL POE - AESR - ESR'!N3581</f>
        <v>0</v>
      </c>
      <c r="IA47" s="29">
        <f>'REG y VAL POE - AESR - ESR'!O3581</f>
        <v>0</v>
      </c>
      <c r="IB47" s="28">
        <f>'REG y VAL POE - AESR - ESR'!P3581</f>
        <v>0</v>
      </c>
      <c r="IC47" s="29">
        <f>'REG y VAL POE - AESR - ESR'!Q3581</f>
        <v>0</v>
      </c>
      <c r="ID47" s="30">
        <f>'REG y VAL POE - AESR - ESR'!R3581</f>
        <v>0</v>
      </c>
      <c r="IE47" s="28">
        <f>'REG y VAL POE - AESR - ESR'!S3581</f>
        <v>0</v>
      </c>
      <c r="IF47" s="29">
        <f>'REG y VAL POE - AESR - ESR'!T3581</f>
        <v>0</v>
      </c>
      <c r="IG47" s="29">
        <f>'REG y VAL POE - AESR - ESR'!U3581</f>
        <v>0</v>
      </c>
      <c r="IH47" s="29">
        <f>'REG y VAL POE - AESR - ESR'!V3581</f>
        <v>0</v>
      </c>
      <c r="II47" s="28">
        <f>'REG y VAL POE - AESR - ESR'!W3581</f>
        <v>0</v>
      </c>
      <c r="IJ47" s="29">
        <f>'REG y VAL POE - AESR - ESR'!X3581</f>
        <v>0</v>
      </c>
      <c r="IK47" s="29">
        <f>'REG y VAL POE - AESR - ESR'!Y3581</f>
        <v>0</v>
      </c>
      <c r="IL47" s="28">
        <f>'REG y VAL POE - AESR - ESR'!Z3581</f>
        <v>0</v>
      </c>
      <c r="IM47" s="29">
        <f>'REG y VAL POE - AESR - ESR'!AA3581</f>
        <v>0</v>
      </c>
      <c r="IN47" s="30">
        <f>'REG y VAL POE - AESR - ESR'!AB3581</f>
        <v>0</v>
      </c>
      <c r="IO47" s="28">
        <f>'REG y VAL POE - AESR - ESR'!AC3581</f>
        <v>0</v>
      </c>
      <c r="IP47" s="29">
        <f>'REG y VAL POE - AESR - ESR'!AD3581</f>
        <v>0</v>
      </c>
      <c r="IQ47" s="29">
        <f>'REG y VAL POE - AESR - ESR'!AE3581</f>
        <v>0</v>
      </c>
      <c r="IR47" s="29">
        <f>'REG y VAL POE - AESR - ESR'!AF3581</f>
        <v>0</v>
      </c>
      <c r="IS47" s="28">
        <f>'REG y VAL POE - AESR - ESR'!AG3581</f>
        <v>0</v>
      </c>
      <c r="IT47" s="29">
        <f>'REG y VAL POE - AESR - ESR'!AH3581</f>
        <v>0</v>
      </c>
      <c r="IU47" s="29">
        <f>'REG y VAL POE - AESR - ESR'!AI3581</f>
        <v>0</v>
      </c>
      <c r="IV47" s="28">
        <f>'REG y VAL POE - AESR - ESR'!AJ3581</f>
        <v>0</v>
      </c>
      <c r="IW47" s="29">
        <f>'REG y VAL POE - AESR - ESR'!AK3581</f>
        <v>0</v>
      </c>
      <c r="IX47" s="30">
        <f>'REG y VAL POE - AESR - ESR'!AL3581</f>
        <v>0</v>
      </c>
      <c r="IY47" s="28">
        <f>'REG y VAL POE - AESR - ESR'!AM3581</f>
        <v>0</v>
      </c>
      <c r="IZ47" s="29">
        <f>'REG y VAL POE - AESR - ESR'!AN3581</f>
        <v>0</v>
      </c>
      <c r="JA47" s="29">
        <f>'REG y VAL POE - AESR - ESR'!AO3581</f>
        <v>0</v>
      </c>
      <c r="JB47" s="29">
        <f>'REG y VAL POE - AESR - ESR'!AP3581</f>
        <v>0</v>
      </c>
      <c r="JC47" s="28">
        <f>'REG y VAL POE - AESR - ESR'!AQ3581</f>
        <v>0</v>
      </c>
      <c r="JD47" s="29">
        <f>'REG y VAL POE - AESR - ESR'!AR3581</f>
        <v>0</v>
      </c>
      <c r="JE47" s="29">
        <f>'REG y VAL POE - AESR - ESR'!AS3581</f>
        <v>0</v>
      </c>
      <c r="JF47" s="28" t="str">
        <f>'REG y VAL POE - AESR - ESR'!B3582</f>
        <v xml:space="preserve">Macedonio Martinez Olivia Carolina </v>
      </c>
      <c r="JG47" s="29" t="str">
        <f>'REG y VAL POE - AESR - ESR'!C3582</f>
        <v>Sin Registro</v>
      </c>
      <c r="JH47" s="30">
        <f>'REG y VAL POE - AESR - ESR'!D3582</f>
        <v>23220898</v>
      </c>
      <c r="JI47" s="28">
        <f>'REG y VAL POE - AESR - ESR'!E3582</f>
        <v>0</v>
      </c>
      <c r="JJ47" s="29">
        <f>'REG y VAL POE - AESR - ESR'!F3582</f>
        <v>0</v>
      </c>
      <c r="JK47" s="29">
        <f>'REG y VAL POE - AESR - ESR'!G3582</f>
        <v>0</v>
      </c>
      <c r="JL47" s="29">
        <f>'REG y VAL POE - AESR - ESR'!H3582</f>
        <v>0</v>
      </c>
      <c r="JM47" s="28">
        <f>'REG y VAL POE - AESR - ESR'!I3582</f>
        <v>0</v>
      </c>
      <c r="JN47" s="29">
        <f>'REG y VAL POE - AESR - ESR'!J3582</f>
        <v>0</v>
      </c>
      <c r="JO47" s="29">
        <f>'REG y VAL POE - AESR - ESR'!K3582</f>
        <v>0</v>
      </c>
      <c r="JP47" s="28">
        <f>'REG y VAL POE - AESR - ESR'!L3582</f>
        <v>0</v>
      </c>
      <c r="JQ47" s="29">
        <f>'REG y VAL POE - AESR - ESR'!M3582</f>
        <v>0</v>
      </c>
      <c r="JR47" s="30">
        <f>'REG y VAL POE - AESR - ESR'!N3582</f>
        <v>0</v>
      </c>
      <c r="JS47" s="28">
        <f>'REG y VAL POE - AESR - ESR'!O3582</f>
        <v>0</v>
      </c>
      <c r="JT47" s="29">
        <f>'REG y VAL POE - AESR - ESR'!P3582</f>
        <v>0</v>
      </c>
      <c r="JU47" s="29">
        <f>'REG y VAL POE - AESR - ESR'!Q3582</f>
        <v>0</v>
      </c>
      <c r="JV47" s="29">
        <f>'REG y VAL POE - AESR - ESR'!R3582</f>
        <v>0</v>
      </c>
      <c r="JW47" s="28">
        <f>'REG y VAL POE - AESR - ESR'!S3582</f>
        <v>0</v>
      </c>
      <c r="JX47" s="29">
        <f>'REG y VAL POE - AESR - ESR'!T3582</f>
        <v>0</v>
      </c>
      <c r="JY47" s="29">
        <f>'REG y VAL POE - AESR - ESR'!U3582</f>
        <v>0</v>
      </c>
      <c r="JZ47" s="28">
        <f>'REG y VAL POE - AESR - ESR'!V3582</f>
        <v>0</v>
      </c>
      <c r="KA47" s="29">
        <f>'REG y VAL POE - AESR - ESR'!W3582</f>
        <v>0</v>
      </c>
      <c r="KB47" s="30">
        <f>'REG y VAL POE - AESR - ESR'!X3582</f>
        <v>0</v>
      </c>
      <c r="KC47" s="28">
        <f>'REG y VAL POE - AESR - ESR'!Y3582</f>
        <v>0</v>
      </c>
      <c r="KD47" s="29">
        <f>'REG y VAL POE - AESR - ESR'!Z3582</f>
        <v>0</v>
      </c>
      <c r="KE47" s="29">
        <f>'REG y VAL POE - AESR - ESR'!AA3582</f>
        <v>0</v>
      </c>
      <c r="KF47" s="29">
        <f>'REG y VAL POE - AESR - ESR'!AB3582</f>
        <v>0</v>
      </c>
      <c r="KG47" s="28">
        <f>'REG y VAL POE - AESR - ESR'!AC3582</f>
        <v>0</v>
      </c>
      <c r="KH47" s="29">
        <f>'REG y VAL POE - AESR - ESR'!AD3582</f>
        <v>0</v>
      </c>
      <c r="KI47" s="29">
        <f>'REG y VAL POE - AESR - ESR'!AE3582</f>
        <v>0</v>
      </c>
      <c r="KJ47" s="28">
        <f>'REG y VAL POE - AESR - ESR'!AF3582</f>
        <v>0</v>
      </c>
      <c r="KK47" s="29">
        <f>'REG y VAL POE - AESR - ESR'!AG3582</f>
        <v>0</v>
      </c>
      <c r="KL47" s="30">
        <f>'REG y VAL POE - AESR - ESR'!AH3582</f>
        <v>0</v>
      </c>
      <c r="KM47" s="28">
        <f>'REG y VAL POE - AESR - ESR'!AI3582</f>
        <v>0</v>
      </c>
      <c r="KN47" s="29">
        <f>'REG y VAL POE - AESR - ESR'!AJ3582</f>
        <v>0</v>
      </c>
      <c r="KO47" s="29">
        <f>'REG y VAL POE - AESR - ESR'!AK3582</f>
        <v>0</v>
      </c>
      <c r="KP47" s="29">
        <f>'REG y VAL POE - AESR - ESR'!AL3582</f>
        <v>0</v>
      </c>
      <c r="KQ47" s="28">
        <f>'REG y VAL POE - AESR - ESR'!AM3582</f>
        <v>0</v>
      </c>
      <c r="KR47" s="29">
        <f>'REG y VAL POE - AESR - ESR'!AN3582</f>
        <v>0</v>
      </c>
      <c r="KS47" s="29">
        <f>'REG y VAL POE - AESR - ESR'!AO3582</f>
        <v>0</v>
      </c>
      <c r="KT47" s="28">
        <f>'REG y VAL POE - AESR - ESR'!AP3582</f>
        <v>0</v>
      </c>
      <c r="KU47" s="29">
        <f>'REG y VAL POE - AESR - ESR'!AQ3582</f>
        <v>0</v>
      </c>
      <c r="KV47" s="30">
        <f>'REG y VAL POE - AESR - ESR'!AR3582</f>
        <v>0</v>
      </c>
      <c r="KW47" s="28">
        <f>'REG y VAL POE - AESR - ESR'!AS3582</f>
        <v>0</v>
      </c>
      <c r="KX47" s="29" t="str">
        <f>'REG y VAL POE - AESR - ESR'!B3583</f>
        <v xml:space="preserve">Nolasco Osorio Jasmin </v>
      </c>
      <c r="KY47" s="29" t="str">
        <f>'REG y VAL POE - AESR - ESR'!C3583</f>
        <v>Sin Registro</v>
      </c>
      <c r="KZ47" s="29">
        <f>'REG y VAL POE - AESR - ESR'!D3583</f>
        <v>23148855</v>
      </c>
      <c r="LA47" s="28">
        <f>'REG y VAL POE - AESR - ESR'!E3583</f>
        <v>0</v>
      </c>
      <c r="LB47" s="29">
        <f>'REG y VAL POE - AESR - ESR'!F3583</f>
        <v>0</v>
      </c>
      <c r="LC47" s="29">
        <f>'REG y VAL POE - AESR - ESR'!G3583</f>
        <v>0</v>
      </c>
      <c r="LD47" s="28">
        <f>'REG y VAL POE - AESR - ESR'!H3583</f>
        <v>0</v>
      </c>
      <c r="LE47" s="29">
        <f>'REG y VAL POE - AESR - ESR'!I3583</f>
        <v>0</v>
      </c>
      <c r="LF47" s="30">
        <f>'REG y VAL POE - AESR - ESR'!J3583</f>
        <v>0</v>
      </c>
      <c r="LG47" s="28">
        <f>'REG y VAL POE - AESR - ESR'!K3583</f>
        <v>0</v>
      </c>
      <c r="LH47" s="29">
        <f>'REG y VAL POE - AESR - ESR'!L3583</f>
        <v>0</v>
      </c>
      <c r="LI47" s="29">
        <f>'REG y VAL POE - AESR - ESR'!M3583</f>
        <v>0</v>
      </c>
      <c r="LJ47" s="29">
        <f>'REG y VAL POE - AESR - ESR'!N3583</f>
        <v>0</v>
      </c>
      <c r="LK47" s="28">
        <f>'REG y VAL POE - AESR - ESR'!O3583</f>
        <v>0</v>
      </c>
      <c r="LL47" s="29">
        <f>'REG y VAL POE - AESR - ESR'!P3583</f>
        <v>0</v>
      </c>
      <c r="LM47" s="29">
        <f>'REG y VAL POE - AESR - ESR'!Q3583</f>
        <v>0</v>
      </c>
      <c r="LN47" s="28">
        <f>'REG y VAL POE - AESR - ESR'!R3583</f>
        <v>0</v>
      </c>
      <c r="LO47" s="29">
        <f>'REG y VAL POE - AESR - ESR'!S3583</f>
        <v>0</v>
      </c>
      <c r="LP47" s="30">
        <f>'REG y VAL POE - AESR - ESR'!T3583</f>
        <v>0</v>
      </c>
      <c r="LQ47" s="28">
        <f>'REG y VAL POE - AESR - ESR'!U3583</f>
        <v>0</v>
      </c>
      <c r="LR47" s="29">
        <f>'REG y VAL POE - AESR - ESR'!V3583</f>
        <v>0</v>
      </c>
      <c r="LS47" s="29">
        <f>'REG y VAL POE - AESR - ESR'!W3583</f>
        <v>0</v>
      </c>
      <c r="LT47" s="29">
        <f>'REG y VAL POE - AESR - ESR'!X3583</f>
        <v>0</v>
      </c>
      <c r="LU47" s="28">
        <f>'REG y VAL POE - AESR - ESR'!Y3583</f>
        <v>0</v>
      </c>
      <c r="LV47" s="29">
        <f>'REG y VAL POE - AESR - ESR'!Z3583</f>
        <v>0</v>
      </c>
      <c r="LW47" s="29">
        <f>'REG y VAL POE - AESR - ESR'!AA3583</f>
        <v>0</v>
      </c>
      <c r="LX47" s="28">
        <f>'REG y VAL POE - AESR - ESR'!AB3583</f>
        <v>0</v>
      </c>
      <c r="LY47" s="29">
        <f>'REG y VAL POE - AESR - ESR'!AC3583</f>
        <v>0</v>
      </c>
      <c r="LZ47" s="30">
        <f>'REG y VAL POE - AESR - ESR'!AD3583</f>
        <v>0</v>
      </c>
      <c r="MA47" s="28">
        <f>'REG y VAL POE - AESR - ESR'!AE3583</f>
        <v>0</v>
      </c>
      <c r="MB47" s="29">
        <f>'REG y VAL POE - AESR - ESR'!AF3583</f>
        <v>0</v>
      </c>
      <c r="MC47" s="29">
        <f>'REG y VAL POE - AESR - ESR'!AG3583</f>
        <v>0</v>
      </c>
      <c r="MD47" s="29">
        <f>'REG y VAL POE - AESR - ESR'!AH3583</f>
        <v>0</v>
      </c>
      <c r="ME47" s="28">
        <f>'REG y VAL POE - AESR - ESR'!AI3583</f>
        <v>0</v>
      </c>
      <c r="MF47" s="29">
        <f>'REG y VAL POE - AESR - ESR'!AJ3583</f>
        <v>0</v>
      </c>
      <c r="MG47" s="29">
        <f>'REG y VAL POE - AESR - ESR'!AK3583</f>
        <v>0</v>
      </c>
      <c r="MH47" s="28">
        <f>'REG y VAL POE - AESR - ESR'!AL3583</f>
        <v>0</v>
      </c>
      <c r="MI47" s="29">
        <f>'REG y VAL POE - AESR - ESR'!AM3583</f>
        <v>0</v>
      </c>
      <c r="MJ47" s="30">
        <f>'REG y VAL POE - AESR - ESR'!AN3583</f>
        <v>0</v>
      </c>
      <c r="MK47" s="28">
        <f>'REG y VAL POE - AESR - ESR'!AO3583</f>
        <v>0</v>
      </c>
      <c r="ML47" s="29">
        <f>'REG y VAL POE - AESR - ESR'!AP3583</f>
        <v>0</v>
      </c>
      <c r="MM47" s="29">
        <f>'REG y VAL POE - AESR - ESR'!AQ3583</f>
        <v>0</v>
      </c>
      <c r="MN47" s="29">
        <f>'REG y VAL POE - AESR - ESR'!AR3583</f>
        <v>0</v>
      </c>
      <c r="MO47" s="28">
        <f>'REG y VAL POE - AESR - ESR'!AS3583</f>
        <v>0</v>
      </c>
      <c r="MP47" s="29" t="str">
        <f>'REG y VAL POE - AESR - ESR'!B3584</f>
        <v xml:space="preserve">Obando Juarez Antolin </v>
      </c>
      <c r="MQ47" s="29" t="str">
        <f>'REG y VAL POE - AESR - ESR'!C3584</f>
        <v>Sin Registro</v>
      </c>
      <c r="MR47" s="28">
        <f>'REG y VAL POE - AESR - ESR'!D3584</f>
        <v>23208479</v>
      </c>
      <c r="MS47" s="29">
        <f>'REG y VAL POE - AESR - ESR'!E3584</f>
        <v>0</v>
      </c>
      <c r="MT47" s="30">
        <f>'REG y VAL POE - AESR - ESR'!F3584</f>
        <v>0</v>
      </c>
      <c r="MU47" s="28">
        <f>'REG y VAL POE - AESR - ESR'!G3584</f>
        <v>0</v>
      </c>
      <c r="MV47" s="29">
        <f>'REG y VAL POE - AESR - ESR'!H3584</f>
        <v>0</v>
      </c>
      <c r="MW47" s="29">
        <f>'REG y VAL POE - AESR - ESR'!I3584</f>
        <v>0</v>
      </c>
      <c r="MX47" s="29">
        <f>'REG y VAL POE - AESR - ESR'!J3584</f>
        <v>0</v>
      </c>
      <c r="MY47" s="28">
        <f>'REG y VAL POE - AESR - ESR'!K3584</f>
        <v>0</v>
      </c>
      <c r="MZ47" s="29">
        <f>'REG y VAL POE - AESR - ESR'!L3584</f>
        <v>0</v>
      </c>
      <c r="NA47" s="29">
        <f>'REG y VAL POE - AESR - ESR'!M3584</f>
        <v>0</v>
      </c>
      <c r="NB47" s="28">
        <f>'REG y VAL POE - AESR - ESR'!N3584</f>
        <v>0</v>
      </c>
      <c r="NC47" s="29">
        <f>'REG y VAL POE - AESR - ESR'!O3584</f>
        <v>0</v>
      </c>
      <c r="ND47" s="30">
        <f>'REG y VAL POE - AESR - ESR'!P3584</f>
        <v>0</v>
      </c>
      <c r="NE47" s="28">
        <f>'REG y VAL POE - AESR - ESR'!Q3584</f>
        <v>0</v>
      </c>
      <c r="NF47" s="29">
        <f>'REG y VAL POE - AESR - ESR'!R3584</f>
        <v>0</v>
      </c>
      <c r="NG47" s="29">
        <f>'REG y VAL POE - AESR - ESR'!S3584</f>
        <v>0</v>
      </c>
      <c r="NH47" s="29">
        <f>'REG y VAL POE - AESR - ESR'!T3584</f>
        <v>0</v>
      </c>
      <c r="NI47" s="28">
        <f>'REG y VAL POE - AESR - ESR'!U3584</f>
        <v>0</v>
      </c>
      <c r="NJ47" s="29">
        <f>'REG y VAL POE - AESR - ESR'!V3584</f>
        <v>0</v>
      </c>
      <c r="NK47" s="29">
        <f>'REG y VAL POE - AESR - ESR'!W3584</f>
        <v>0</v>
      </c>
      <c r="NL47" s="28">
        <f>'REG y VAL POE - AESR - ESR'!X3584</f>
        <v>0</v>
      </c>
      <c r="NM47" s="29">
        <f>'REG y VAL POE - AESR - ESR'!Y3584</f>
        <v>0</v>
      </c>
      <c r="NN47" s="30">
        <f>'REG y VAL POE - AESR - ESR'!Z3584</f>
        <v>0</v>
      </c>
      <c r="NO47" s="28">
        <f>'REG y VAL POE - AESR - ESR'!AA3584</f>
        <v>0</v>
      </c>
      <c r="NP47" s="29">
        <f>'REG y VAL POE - AESR - ESR'!AB3584</f>
        <v>0</v>
      </c>
      <c r="NQ47" s="29">
        <f>'REG y VAL POE - AESR - ESR'!AC3584</f>
        <v>0</v>
      </c>
      <c r="NR47" s="29">
        <f>'REG y VAL POE - AESR - ESR'!AD3584</f>
        <v>0</v>
      </c>
      <c r="NS47" s="28">
        <f>'REG y VAL POE - AESR - ESR'!AE3584</f>
        <v>0</v>
      </c>
      <c r="NT47" s="29">
        <f>'REG y VAL POE - AESR - ESR'!AF3584</f>
        <v>0</v>
      </c>
      <c r="NU47" s="29">
        <f>'REG y VAL POE - AESR - ESR'!AG3584</f>
        <v>0</v>
      </c>
      <c r="NV47" s="28">
        <f>'REG y VAL POE - AESR - ESR'!AH3584</f>
        <v>0</v>
      </c>
      <c r="NW47" s="29">
        <f>'REG y VAL POE - AESR - ESR'!AI3584</f>
        <v>0</v>
      </c>
      <c r="NX47" s="30">
        <f>'REG y VAL POE - AESR - ESR'!AJ3584</f>
        <v>0</v>
      </c>
      <c r="NY47" s="28">
        <f>'REG y VAL POE - AESR - ESR'!AK3584</f>
        <v>0</v>
      </c>
      <c r="NZ47" s="29">
        <f>'REG y VAL POE - AESR - ESR'!AL3584</f>
        <v>0</v>
      </c>
      <c r="OA47" s="29">
        <f>'REG y VAL POE - AESR - ESR'!AM3584</f>
        <v>0</v>
      </c>
      <c r="OB47" s="29">
        <f>'REG y VAL POE - AESR - ESR'!AN3584</f>
        <v>0</v>
      </c>
      <c r="OC47" s="28">
        <f>'REG y VAL POE - AESR - ESR'!AO3584</f>
        <v>0</v>
      </c>
      <c r="OD47" s="29">
        <f>'REG y VAL POE - AESR - ESR'!AP3584</f>
        <v>0</v>
      </c>
      <c r="OE47" s="29">
        <f>'REG y VAL POE - AESR - ESR'!AQ3584</f>
        <v>0</v>
      </c>
      <c r="OF47" s="30">
        <f>'REG y VAL POE - AESR - ESR'!AR3584</f>
        <v>0</v>
      </c>
      <c r="OG47" s="30">
        <f>'REG y VAL POE - AESR - ESR'!AS3584</f>
        <v>0</v>
      </c>
      <c r="OH47" s="30" t="str">
        <f>'REG y VAL POE - AESR - ESR'!B3585</f>
        <v xml:space="preserve">Ortiz Varela Reynaldo </v>
      </c>
      <c r="OI47" s="28" t="str">
        <f>'REG y VAL POE - AESR - ESR'!C3585</f>
        <v>Sin Registro</v>
      </c>
      <c r="OJ47" s="30">
        <f>'REG y VAL POE - AESR - ESR'!D3585</f>
        <v>23150762</v>
      </c>
      <c r="OK47" s="30">
        <f>'REG y VAL POE - AESR - ESR'!E3585</f>
        <v>0</v>
      </c>
      <c r="OL47" s="30">
        <f>'REG y VAL POE - AESR - ESR'!F3585</f>
        <v>0</v>
      </c>
      <c r="OM47" s="30">
        <f>'REG y VAL POE - AESR - ESR'!G3585</f>
        <v>0</v>
      </c>
      <c r="ON47" s="30">
        <f>'REG y VAL POE - AESR - ESR'!H3585</f>
        <v>0</v>
      </c>
      <c r="OO47" s="30">
        <f>'REG y VAL POE - AESR - ESR'!I3585</f>
        <v>0</v>
      </c>
      <c r="OP47" s="28">
        <f>'REG y VAL POE - AESR - ESR'!J3585</f>
        <v>0</v>
      </c>
      <c r="OQ47" s="29">
        <f>'REG y VAL POE - AESR - ESR'!K3585</f>
        <v>0</v>
      </c>
      <c r="OR47" s="30">
        <f>'REG y VAL POE - AESR - ESR'!L3585</f>
        <v>0</v>
      </c>
      <c r="OS47" s="28">
        <f>'REG y VAL POE - AESR - ESR'!M3585</f>
        <v>0</v>
      </c>
      <c r="OT47" s="29">
        <f>'REG y VAL POE - AESR - ESR'!N3585</f>
        <v>0</v>
      </c>
      <c r="OU47" s="29">
        <f>'REG y VAL POE - AESR - ESR'!O3585</f>
        <v>0</v>
      </c>
      <c r="OV47" s="29">
        <f>'REG y VAL POE - AESR - ESR'!P3585</f>
        <v>0</v>
      </c>
      <c r="OW47" s="28">
        <f>'REG y VAL POE - AESR - ESR'!Q3585</f>
        <v>0</v>
      </c>
      <c r="OX47" s="29">
        <f>'REG y VAL POE - AESR - ESR'!R3585</f>
        <v>0</v>
      </c>
      <c r="OY47" s="29">
        <f>'REG y VAL POE - AESR - ESR'!S3585</f>
        <v>0</v>
      </c>
      <c r="OZ47" s="28">
        <f>'REG y VAL POE - AESR - ESR'!T3585</f>
        <v>0</v>
      </c>
      <c r="PA47" s="29">
        <f>'REG y VAL POE - AESR - ESR'!U3585</f>
        <v>0</v>
      </c>
      <c r="PB47" s="30">
        <f>'REG y VAL POE - AESR - ESR'!V3585</f>
        <v>0</v>
      </c>
      <c r="PC47" s="28">
        <f>'REG y VAL POE - AESR - ESR'!W3585</f>
        <v>0</v>
      </c>
      <c r="PD47" s="29">
        <f>'REG y VAL POE - AESR - ESR'!X3585</f>
        <v>0</v>
      </c>
      <c r="PE47" s="29">
        <f>'REG y VAL POE - AESR - ESR'!Y3585</f>
        <v>0</v>
      </c>
      <c r="PF47" s="29">
        <f>'REG y VAL POE - AESR - ESR'!Z3585</f>
        <v>0</v>
      </c>
      <c r="PG47" s="28">
        <f>'REG y VAL POE - AESR - ESR'!AA3585</f>
        <v>0</v>
      </c>
      <c r="PH47" s="29">
        <f>'REG y VAL POE - AESR - ESR'!AB3585</f>
        <v>0</v>
      </c>
      <c r="PI47" s="29">
        <f>'REG y VAL POE - AESR - ESR'!AC3585</f>
        <v>0</v>
      </c>
      <c r="PJ47" s="28">
        <f>'REG y VAL POE - AESR - ESR'!AD3585</f>
        <v>0</v>
      </c>
      <c r="PK47" s="29">
        <f>'REG y VAL POE - AESR - ESR'!AE3585</f>
        <v>0</v>
      </c>
      <c r="PL47" s="30">
        <f>'REG y VAL POE - AESR - ESR'!AF3585</f>
        <v>0</v>
      </c>
      <c r="PM47" s="28">
        <f>'REG y VAL POE - AESR - ESR'!AG3585</f>
        <v>0</v>
      </c>
      <c r="PN47" s="29">
        <f>'REG y VAL POE - AESR - ESR'!AH3585</f>
        <v>0</v>
      </c>
      <c r="PO47" s="29">
        <f>'REG y VAL POE - AESR - ESR'!AI3585</f>
        <v>0</v>
      </c>
      <c r="PP47" s="29">
        <f>'REG y VAL POE - AESR - ESR'!AJ3585</f>
        <v>0</v>
      </c>
      <c r="PQ47" s="28">
        <f>'REG y VAL POE - AESR - ESR'!AK3585</f>
        <v>0</v>
      </c>
      <c r="PR47" s="29">
        <f>'REG y VAL POE - AESR - ESR'!AL3585</f>
        <v>0</v>
      </c>
      <c r="PS47" s="29">
        <f>'REG y VAL POE - AESR - ESR'!AM3585</f>
        <v>0</v>
      </c>
      <c r="PT47" s="28">
        <f>'REG y VAL POE - AESR - ESR'!AN3585</f>
        <v>0</v>
      </c>
      <c r="PU47" s="29">
        <f>'REG y VAL POE - AESR - ESR'!AO3585</f>
        <v>0</v>
      </c>
      <c r="PV47" s="30">
        <f>'REG y VAL POE - AESR - ESR'!AP3585</f>
        <v>0</v>
      </c>
      <c r="PW47" s="28">
        <f>'REG y VAL POE - AESR - ESR'!AQ3585</f>
        <v>0</v>
      </c>
      <c r="PX47" s="29">
        <f>'REG y VAL POE - AESR - ESR'!AR3585</f>
        <v>0</v>
      </c>
      <c r="PY47" s="29">
        <f>'REG y VAL POE - AESR - ESR'!AS3585</f>
        <v>0</v>
      </c>
      <c r="PZ47" s="29">
        <f>'REG y VAL POE - AESR - ESR'!B3586</f>
        <v>0</v>
      </c>
      <c r="QA47" s="28">
        <f>'REG y VAL POE - AESR - ESR'!C3586</f>
        <v>0</v>
      </c>
      <c r="QB47" s="29">
        <f>'REG y VAL POE - AESR - ESR'!D3586</f>
        <v>0</v>
      </c>
      <c r="QC47" s="29">
        <f>'REG y VAL POE - AESR - ESR'!E3586</f>
        <v>0</v>
      </c>
      <c r="QD47" s="28">
        <f>'REG y VAL POE - AESR - ESR'!F3586</f>
        <v>0</v>
      </c>
      <c r="QE47" s="29">
        <f>'REG y VAL POE - AESR - ESR'!G3586</f>
        <v>0</v>
      </c>
      <c r="QF47" s="30">
        <f>'REG y VAL POE - AESR - ESR'!H3586</f>
        <v>0</v>
      </c>
      <c r="QG47" s="28">
        <f>'REG y VAL POE - AESR - ESR'!I3586</f>
        <v>0</v>
      </c>
      <c r="QH47" s="29">
        <f>'REG y VAL POE - AESR - ESR'!J3586</f>
        <v>0</v>
      </c>
      <c r="QI47" s="29">
        <f>'REG y VAL POE - AESR - ESR'!K3586</f>
        <v>0</v>
      </c>
      <c r="QJ47" s="29">
        <f>'REG y VAL POE - AESR - ESR'!L3586</f>
        <v>0</v>
      </c>
      <c r="QK47" s="28">
        <f>'REG y VAL POE - AESR - ESR'!M3586</f>
        <v>0</v>
      </c>
      <c r="QL47" s="29">
        <f>'REG y VAL POE - AESR - ESR'!N3586</f>
        <v>0</v>
      </c>
      <c r="QM47" s="29">
        <f>'REG y VAL POE - AESR - ESR'!O3586</f>
        <v>0</v>
      </c>
      <c r="QN47" s="28">
        <f>'REG y VAL POE - AESR - ESR'!P3586</f>
        <v>0</v>
      </c>
      <c r="QO47" s="29">
        <f>'REG y VAL POE - AESR - ESR'!Q3586</f>
        <v>0</v>
      </c>
      <c r="QP47" s="30">
        <f>'REG y VAL POE - AESR - ESR'!R3586</f>
        <v>0</v>
      </c>
      <c r="QQ47" s="28">
        <f>'REG y VAL POE - AESR - ESR'!S3586</f>
        <v>0</v>
      </c>
      <c r="QR47" s="29">
        <f>'REG y VAL POE - AESR - ESR'!T3586</f>
        <v>0</v>
      </c>
      <c r="QS47" s="29">
        <f>'REG y VAL POE - AESR - ESR'!U3586</f>
        <v>0</v>
      </c>
      <c r="QT47" s="29">
        <f>'REG y VAL POE - AESR - ESR'!V3586</f>
        <v>0</v>
      </c>
      <c r="QU47" s="28">
        <f>'REG y VAL POE - AESR - ESR'!W3586</f>
        <v>0</v>
      </c>
      <c r="QV47" s="29">
        <f>'REG y VAL POE - AESR - ESR'!X3586</f>
        <v>0</v>
      </c>
      <c r="QW47" s="29">
        <f>'REG y VAL POE - AESR - ESR'!Y3586</f>
        <v>0</v>
      </c>
      <c r="QX47" s="28">
        <f>'REG y VAL POE - AESR - ESR'!Z3586</f>
        <v>0</v>
      </c>
      <c r="QY47" s="29">
        <f>'REG y VAL POE - AESR - ESR'!AA3586</f>
        <v>0</v>
      </c>
      <c r="QZ47" s="30">
        <f>'REG y VAL POE - AESR - ESR'!AB3586</f>
        <v>0</v>
      </c>
      <c r="RA47" s="28">
        <f>'REG y VAL POE - AESR - ESR'!AC3586</f>
        <v>0</v>
      </c>
      <c r="RB47" s="29">
        <f>'REG y VAL POE - AESR - ESR'!AD3586</f>
        <v>0</v>
      </c>
      <c r="RC47" s="29">
        <f>'REG y VAL POE - AESR - ESR'!AE3586</f>
        <v>0</v>
      </c>
      <c r="RD47" s="29">
        <f>'REG y VAL POE - AESR - ESR'!AF3586</f>
        <v>0</v>
      </c>
      <c r="RE47" s="28">
        <f>'REG y VAL POE - AESR - ESR'!AG3586</f>
        <v>0</v>
      </c>
      <c r="RF47" s="29">
        <f>'REG y VAL POE - AESR - ESR'!AH3586</f>
        <v>0</v>
      </c>
      <c r="RG47" s="29">
        <f>'REG y VAL POE - AESR - ESR'!AI3586</f>
        <v>0</v>
      </c>
      <c r="RH47" s="28">
        <f>'REG y VAL POE - AESR - ESR'!AJ3586</f>
        <v>0</v>
      </c>
      <c r="RI47" s="29">
        <f>'REG y VAL POE - AESR - ESR'!AK3586</f>
        <v>0</v>
      </c>
      <c r="RJ47" s="30">
        <f>'REG y VAL POE - AESR - ESR'!AL3586</f>
        <v>0</v>
      </c>
      <c r="RK47" s="28">
        <f>'REG y VAL POE - AESR - ESR'!AM3586</f>
        <v>0</v>
      </c>
      <c r="RL47" s="29">
        <f>'REG y VAL POE - AESR - ESR'!AN3586</f>
        <v>0</v>
      </c>
      <c r="RM47" s="29">
        <f>'REG y VAL POE - AESR - ESR'!AO3586</f>
        <v>0</v>
      </c>
      <c r="RN47" s="29">
        <f>'REG y VAL POE - AESR - ESR'!AP3586</f>
        <v>0</v>
      </c>
      <c r="RO47" s="28">
        <f>'REG y VAL POE - AESR - ESR'!AQ3586</f>
        <v>0</v>
      </c>
      <c r="RP47" s="29">
        <f>'REG y VAL POE - AESR - ESR'!AR3586</f>
        <v>0</v>
      </c>
      <c r="RQ47" s="29">
        <f>'REG y VAL POE - AESR - ESR'!AS3586</f>
        <v>0</v>
      </c>
      <c r="RR47" s="28">
        <f>'REG y VAL POE - AESR - ESR'!B3587</f>
        <v>0</v>
      </c>
      <c r="RS47" s="29">
        <f>'REG y VAL POE - AESR - ESR'!C3587</f>
        <v>0</v>
      </c>
      <c r="RT47" s="30">
        <f>'REG y VAL POE - AESR - ESR'!D3587</f>
        <v>0</v>
      </c>
      <c r="RU47" s="28">
        <f>'REG y VAL POE - AESR - ESR'!E3587</f>
        <v>0</v>
      </c>
      <c r="RV47" s="29">
        <f>'REG y VAL POE - AESR - ESR'!F3587</f>
        <v>0</v>
      </c>
      <c r="RW47" s="29">
        <f>'REG y VAL POE - AESR - ESR'!G3587</f>
        <v>0</v>
      </c>
      <c r="RX47" s="29">
        <f>'REG y VAL POE - AESR - ESR'!H3587</f>
        <v>0</v>
      </c>
      <c r="RY47" s="28">
        <f>'REG y VAL POE - AESR - ESR'!I3587</f>
        <v>0</v>
      </c>
      <c r="RZ47" s="29">
        <f>'REG y VAL POE - AESR - ESR'!J3587</f>
        <v>0</v>
      </c>
      <c r="SA47" s="29">
        <f>'REG y VAL POE - AESR - ESR'!K3587</f>
        <v>0</v>
      </c>
      <c r="SB47" s="28">
        <f>'REG y VAL POE - AESR - ESR'!L3587</f>
        <v>0</v>
      </c>
      <c r="SC47" s="29">
        <f>'REG y VAL POE - AESR - ESR'!M3587</f>
        <v>0</v>
      </c>
      <c r="SD47" s="30">
        <f>'REG y VAL POE - AESR - ESR'!N3587</f>
        <v>0</v>
      </c>
      <c r="SE47" s="28">
        <f>'REG y VAL POE - AESR - ESR'!O3587</f>
        <v>0</v>
      </c>
      <c r="SF47" s="29">
        <f>'REG y VAL POE - AESR - ESR'!P3587</f>
        <v>0</v>
      </c>
      <c r="SG47" s="29">
        <f>'REG y VAL POE - AESR - ESR'!Q3587</f>
        <v>0</v>
      </c>
      <c r="SH47" s="29">
        <f>'REG y VAL POE - AESR - ESR'!R3587</f>
        <v>0</v>
      </c>
      <c r="SI47" s="28">
        <f>'REG y VAL POE - AESR - ESR'!S3587</f>
        <v>0</v>
      </c>
      <c r="SJ47" s="29">
        <f>'REG y VAL POE - AESR - ESR'!T3587</f>
        <v>0</v>
      </c>
      <c r="SK47" s="29">
        <f>'REG y VAL POE - AESR - ESR'!U3587</f>
        <v>0</v>
      </c>
      <c r="SL47" s="28">
        <f>'REG y VAL POE - AESR - ESR'!V3587</f>
        <v>0</v>
      </c>
      <c r="SM47" s="29">
        <f>'REG y VAL POE - AESR - ESR'!W3587</f>
        <v>0</v>
      </c>
      <c r="SN47" s="30">
        <f>'REG y VAL POE - AESR - ESR'!X3587</f>
        <v>0</v>
      </c>
      <c r="SO47" s="28">
        <f>'REG y VAL POE - AESR - ESR'!Y3587</f>
        <v>0</v>
      </c>
      <c r="SP47" s="29">
        <f>'REG y VAL POE - AESR - ESR'!Z3587</f>
        <v>0</v>
      </c>
      <c r="SQ47" s="29">
        <f>'REG y VAL POE - AESR - ESR'!AA3587</f>
        <v>0</v>
      </c>
      <c r="SR47" s="29">
        <f>'REG y VAL POE - AESR - ESR'!AB3587</f>
        <v>0</v>
      </c>
      <c r="SS47" s="28">
        <f>'REG y VAL POE - AESR - ESR'!AC3587</f>
        <v>0</v>
      </c>
      <c r="ST47" s="29">
        <f>'REG y VAL POE - AESR - ESR'!AD3587</f>
        <v>0</v>
      </c>
      <c r="SU47" s="29">
        <f>'REG y VAL POE - AESR - ESR'!AE3587</f>
        <v>0</v>
      </c>
      <c r="SV47" s="28">
        <f>'REG y VAL POE - AESR - ESR'!AF3587</f>
        <v>0</v>
      </c>
      <c r="SW47" s="29">
        <f>'REG y VAL POE - AESR - ESR'!AG3587</f>
        <v>0</v>
      </c>
      <c r="SX47" s="30">
        <f>'REG y VAL POE - AESR - ESR'!AH3587</f>
        <v>0</v>
      </c>
      <c r="SY47" s="28">
        <f>'REG y VAL POE - AESR - ESR'!AI3587</f>
        <v>0</v>
      </c>
      <c r="SZ47" s="29">
        <f>'REG y VAL POE - AESR - ESR'!AJ3587</f>
        <v>0</v>
      </c>
      <c r="TA47" s="29">
        <f>'REG y VAL POE - AESR - ESR'!AK3587</f>
        <v>0</v>
      </c>
      <c r="TB47" s="29">
        <f>'REG y VAL POE - AESR - ESR'!AL3587</f>
        <v>0</v>
      </c>
      <c r="TC47" s="28">
        <f>'REG y VAL POE - AESR - ESR'!AM3587</f>
        <v>0</v>
      </c>
      <c r="TD47" s="29">
        <f>'REG y VAL POE - AESR - ESR'!AN3587</f>
        <v>0</v>
      </c>
      <c r="TE47" s="29">
        <f>'REG y VAL POE - AESR - ESR'!AO3587</f>
        <v>0</v>
      </c>
      <c r="TF47" s="28">
        <f>'REG y VAL POE - AESR - ESR'!AP3587</f>
        <v>0</v>
      </c>
      <c r="TG47" s="29">
        <f>'REG y VAL POE - AESR - ESR'!AQ3587</f>
        <v>0</v>
      </c>
      <c r="TH47" s="30">
        <f>'REG y VAL POE - AESR - ESR'!AR3587</f>
        <v>0</v>
      </c>
      <c r="TI47" s="28">
        <f>'REG y VAL POE - AESR - ESR'!AS3587</f>
        <v>0</v>
      </c>
      <c r="TJ47" s="29">
        <f>'REG y VAL POE - AESR - ESR'!B3588</f>
        <v>0</v>
      </c>
      <c r="TK47" s="29">
        <f>'REG y VAL POE - AESR - ESR'!C3588</f>
        <v>0</v>
      </c>
      <c r="TL47" s="29">
        <f>'REG y VAL POE - AESR - ESR'!D3588</f>
        <v>0</v>
      </c>
      <c r="TM47" s="28">
        <f>'REG y VAL POE - AESR - ESR'!E3588</f>
        <v>0</v>
      </c>
      <c r="TN47" s="29">
        <f>'REG y VAL POE - AESR - ESR'!F3588</f>
        <v>0</v>
      </c>
      <c r="TO47" s="29">
        <f>'REG y VAL POE - AESR - ESR'!G3588</f>
        <v>0</v>
      </c>
      <c r="TP47" s="28">
        <f>'REG y VAL POE - AESR - ESR'!H3588</f>
        <v>0</v>
      </c>
      <c r="TQ47" s="29">
        <f>'REG y VAL POE - AESR - ESR'!I3588</f>
        <v>0</v>
      </c>
      <c r="TR47" s="30">
        <f>'REG y VAL POE - AESR - ESR'!J3588</f>
        <v>0</v>
      </c>
      <c r="TS47" s="28">
        <f>'REG y VAL POE - AESR - ESR'!K3588</f>
        <v>0</v>
      </c>
      <c r="TT47" s="29">
        <f>'REG y VAL POE - AESR - ESR'!L3588</f>
        <v>0</v>
      </c>
      <c r="TU47" s="29">
        <f>'REG y VAL POE - AESR - ESR'!M3588</f>
        <v>0</v>
      </c>
      <c r="TV47" s="29">
        <f>'REG y VAL POE - AESR - ESR'!N3588</f>
        <v>0</v>
      </c>
      <c r="TW47" s="28">
        <f>'REG y VAL POE - AESR - ESR'!O3588</f>
        <v>0</v>
      </c>
      <c r="TX47" s="29">
        <f>'REG y VAL POE - AESR - ESR'!P3588</f>
        <v>0</v>
      </c>
      <c r="TY47" s="29">
        <f>'REG y VAL POE - AESR - ESR'!Q3588</f>
        <v>0</v>
      </c>
      <c r="TZ47" s="28">
        <f>'REG y VAL POE - AESR - ESR'!R3588</f>
        <v>0</v>
      </c>
      <c r="UA47" s="29">
        <f>'REG y VAL POE - AESR - ESR'!S3588</f>
        <v>0</v>
      </c>
      <c r="UB47" s="30">
        <f>'REG y VAL POE - AESR - ESR'!T3588</f>
        <v>0</v>
      </c>
      <c r="UC47" s="28">
        <f>'REG y VAL POE - AESR - ESR'!U3588</f>
        <v>0</v>
      </c>
      <c r="UD47" s="29">
        <f>'REG y VAL POE - AESR - ESR'!V3588</f>
        <v>0</v>
      </c>
      <c r="UE47" s="29">
        <f>'REG y VAL POE - AESR - ESR'!W3588</f>
        <v>0</v>
      </c>
      <c r="UF47" s="29">
        <f>'REG y VAL POE - AESR - ESR'!X3588</f>
        <v>0</v>
      </c>
      <c r="UG47" s="28">
        <f>'REG y VAL POE - AESR - ESR'!Y3588</f>
        <v>0</v>
      </c>
      <c r="UH47" s="29">
        <f>'REG y VAL POE - AESR - ESR'!Z3588</f>
        <v>0</v>
      </c>
      <c r="UI47" s="29">
        <f>'REG y VAL POE - AESR - ESR'!AA3588</f>
        <v>0</v>
      </c>
      <c r="UJ47" s="28">
        <f>'REG y VAL POE - AESR - ESR'!AB3588</f>
        <v>0</v>
      </c>
      <c r="UK47" s="29">
        <f>'REG y VAL POE - AESR - ESR'!AC3588</f>
        <v>0</v>
      </c>
      <c r="UL47" s="30">
        <f>'REG y VAL POE - AESR - ESR'!AD3588</f>
        <v>0</v>
      </c>
      <c r="UM47" s="28">
        <f>'REG y VAL POE - AESR - ESR'!AE3588</f>
        <v>0</v>
      </c>
      <c r="UN47" s="29">
        <f>'REG y VAL POE - AESR - ESR'!AF3588</f>
        <v>0</v>
      </c>
      <c r="UO47" s="29">
        <f>'REG y VAL POE - AESR - ESR'!AG3588</f>
        <v>0</v>
      </c>
      <c r="UP47" s="29">
        <f>'REG y VAL POE - AESR - ESR'!AH3588</f>
        <v>0</v>
      </c>
      <c r="UQ47" s="28">
        <f>'REG y VAL POE - AESR - ESR'!AI3588</f>
        <v>0</v>
      </c>
      <c r="UR47" s="29">
        <f>'REG y VAL POE - AESR - ESR'!AJ3588</f>
        <v>0</v>
      </c>
      <c r="US47" s="29">
        <f>'REG y VAL POE - AESR - ESR'!AK3588</f>
        <v>0</v>
      </c>
      <c r="UT47" s="28">
        <f>'REG y VAL POE - AESR - ESR'!AL3588</f>
        <v>0</v>
      </c>
      <c r="UU47" s="29">
        <f>'REG y VAL POE - AESR - ESR'!AM3588</f>
        <v>0</v>
      </c>
      <c r="UV47" s="30">
        <f>'REG y VAL POE - AESR - ESR'!AN3588</f>
        <v>0</v>
      </c>
      <c r="UW47" s="28">
        <f>'REG y VAL POE - AESR - ESR'!AO3588</f>
        <v>0</v>
      </c>
      <c r="UX47" s="29">
        <f>'REG y VAL POE - AESR - ESR'!AP3588</f>
        <v>0</v>
      </c>
      <c r="UY47" s="29">
        <f>'REG y VAL POE - AESR - ESR'!AQ3588</f>
        <v>0</v>
      </c>
      <c r="UZ47" s="29">
        <f>'REG y VAL POE - AESR - ESR'!AR3588</f>
        <v>0</v>
      </c>
      <c r="VA47" s="28">
        <f>'REG y VAL POE - AESR - ESR'!AS3588</f>
        <v>0</v>
      </c>
      <c r="VB47" s="29">
        <f>'REG y VAL POE - AESR - ESR'!B3589</f>
        <v>0</v>
      </c>
      <c r="VC47" s="29">
        <f>'REG y VAL POE - AESR - ESR'!C3589</f>
        <v>0</v>
      </c>
      <c r="VD47" s="28">
        <f>'REG y VAL POE - AESR - ESR'!D3589</f>
        <v>0</v>
      </c>
      <c r="VE47" s="29">
        <f>'REG y VAL POE - AESR - ESR'!E3589</f>
        <v>0</v>
      </c>
      <c r="VF47" s="30">
        <f>'REG y VAL POE - AESR - ESR'!F3589</f>
        <v>0</v>
      </c>
      <c r="VG47" s="28">
        <f>'REG y VAL POE - AESR - ESR'!G3589</f>
        <v>0</v>
      </c>
      <c r="VH47" s="29">
        <f>'REG y VAL POE - AESR - ESR'!H3589</f>
        <v>0</v>
      </c>
      <c r="VI47" s="29">
        <f>'REG y VAL POE - AESR - ESR'!I3589</f>
        <v>0</v>
      </c>
      <c r="VJ47" s="29">
        <f>'REG y VAL POE - AESR - ESR'!J3589</f>
        <v>0</v>
      </c>
      <c r="VK47" s="28">
        <f>'REG y VAL POE - AESR - ESR'!K3589</f>
        <v>0</v>
      </c>
      <c r="VL47" s="29">
        <f>'REG y VAL POE - AESR - ESR'!L3589</f>
        <v>0</v>
      </c>
      <c r="VM47" s="29">
        <f>'REG y VAL POE - AESR - ESR'!M3589</f>
        <v>0</v>
      </c>
      <c r="VN47" s="28">
        <f>'REG y VAL POE - AESR - ESR'!N3589</f>
        <v>0</v>
      </c>
      <c r="VO47" s="29">
        <f>'REG y VAL POE - AESR - ESR'!O3589</f>
        <v>0</v>
      </c>
      <c r="VP47" s="30">
        <f>'REG y VAL POE - AESR - ESR'!P3589</f>
        <v>0</v>
      </c>
      <c r="VQ47" s="28">
        <f>'REG y VAL POE - AESR - ESR'!Q3589</f>
        <v>0</v>
      </c>
      <c r="VR47" s="29">
        <f>'REG y VAL POE - AESR - ESR'!R3589</f>
        <v>0</v>
      </c>
      <c r="VS47" s="29">
        <f>'REG y VAL POE - AESR - ESR'!S3589</f>
        <v>0</v>
      </c>
      <c r="VT47" s="29">
        <f>'REG y VAL POE - AESR - ESR'!T3589</f>
        <v>0</v>
      </c>
      <c r="VU47" s="28">
        <f>'REG y VAL POE - AESR - ESR'!U3589</f>
        <v>0</v>
      </c>
      <c r="VV47" s="29">
        <f>'REG y VAL POE - AESR - ESR'!V3589</f>
        <v>0</v>
      </c>
      <c r="VW47" s="29">
        <f>'REG y VAL POE - AESR - ESR'!W3589</f>
        <v>0</v>
      </c>
      <c r="VX47" s="28">
        <f>'REG y VAL POE - AESR - ESR'!X3589</f>
        <v>0</v>
      </c>
      <c r="VY47" s="29">
        <f>'REG y VAL POE - AESR - ESR'!Y3589</f>
        <v>0</v>
      </c>
      <c r="VZ47" s="30">
        <f>'REG y VAL POE - AESR - ESR'!Z3589</f>
        <v>0</v>
      </c>
      <c r="WA47" s="28">
        <f>'REG y VAL POE - AESR - ESR'!AA3589</f>
        <v>0</v>
      </c>
      <c r="WB47" s="29">
        <f>'REG y VAL POE - AESR - ESR'!AB3589</f>
        <v>0</v>
      </c>
      <c r="WC47" s="29">
        <f>'REG y VAL POE - AESR - ESR'!AC3589</f>
        <v>0</v>
      </c>
      <c r="WD47" s="29">
        <f>'REG y VAL POE - AESR - ESR'!AD3589</f>
        <v>0</v>
      </c>
      <c r="WE47" s="28">
        <f>'REG y VAL POE - AESR - ESR'!AE3589</f>
        <v>0</v>
      </c>
      <c r="WF47" s="29">
        <f>'REG y VAL POE - AESR - ESR'!AF3589</f>
        <v>0</v>
      </c>
      <c r="WG47" s="29">
        <f>'REG y VAL POE - AESR - ESR'!AG3589</f>
        <v>0</v>
      </c>
      <c r="WH47" s="28">
        <f>'REG y VAL POE - AESR - ESR'!AH3589</f>
        <v>0</v>
      </c>
      <c r="WI47" s="29">
        <f>'REG y VAL POE - AESR - ESR'!AI3589</f>
        <v>0</v>
      </c>
      <c r="WJ47" s="30">
        <f>'REG y VAL POE - AESR - ESR'!AJ3589</f>
        <v>0</v>
      </c>
      <c r="WK47" s="28">
        <f>'REG y VAL POE - AESR - ESR'!AK3589</f>
        <v>0</v>
      </c>
      <c r="WL47" s="29">
        <f>'REG y VAL POE - AESR - ESR'!AL3589</f>
        <v>0</v>
      </c>
      <c r="WM47" s="29">
        <f>'REG y VAL POE - AESR - ESR'!AM3589</f>
        <v>0</v>
      </c>
      <c r="WN47" s="29">
        <f>'REG y VAL POE - AESR - ESR'!AN3589</f>
        <v>0</v>
      </c>
      <c r="WO47" s="28">
        <f>'REG y VAL POE - AESR - ESR'!AO3589</f>
        <v>0</v>
      </c>
      <c r="WP47" s="29">
        <f>'REG y VAL POE - AESR - ESR'!AP3589</f>
        <v>0</v>
      </c>
      <c r="WQ47" s="29">
        <f>'REG y VAL POE - AESR - ESR'!AQ3589</f>
        <v>0</v>
      </c>
      <c r="WR47" s="28">
        <f>'REG y VAL POE - AESR - ESR'!AR3589</f>
        <v>0</v>
      </c>
      <c r="WS47" s="29">
        <f>'REG y VAL POE - AESR - ESR'!AS3589</f>
        <v>0</v>
      </c>
      <c r="WT47" s="30">
        <f>'REG y VAL POE - AESR - ESR'!B3590</f>
        <v>0</v>
      </c>
      <c r="WU47" s="28">
        <f>'REG y VAL POE - AESR - ESR'!C3590</f>
        <v>0</v>
      </c>
      <c r="WV47" s="29">
        <f>'REG y VAL POE - AESR - ESR'!D3590</f>
        <v>0</v>
      </c>
      <c r="WW47" s="29">
        <f>'REG y VAL POE - AESR - ESR'!E3590</f>
        <v>0</v>
      </c>
      <c r="WX47" s="29">
        <f>'REG y VAL POE - AESR - ESR'!F3590</f>
        <v>0</v>
      </c>
      <c r="WY47" s="28">
        <f>'REG y VAL POE - AESR - ESR'!G3590</f>
        <v>0</v>
      </c>
      <c r="WZ47" s="29">
        <f>'REG y VAL POE - AESR - ESR'!H3590</f>
        <v>0</v>
      </c>
      <c r="XA47" s="29">
        <f>'REG y VAL POE - AESR - ESR'!I3590</f>
        <v>0</v>
      </c>
      <c r="XB47" s="28">
        <f>'REG y VAL POE - AESR - ESR'!J3590</f>
        <v>0</v>
      </c>
      <c r="XC47" s="29">
        <f>'REG y VAL POE - AESR - ESR'!K3590</f>
        <v>0</v>
      </c>
      <c r="XD47" s="30">
        <f>'REG y VAL POE - AESR - ESR'!L3590</f>
        <v>0</v>
      </c>
      <c r="XE47" s="28">
        <f>'REG y VAL POE - AESR - ESR'!M3590</f>
        <v>0</v>
      </c>
      <c r="XF47" s="29">
        <f>'REG y VAL POE - AESR - ESR'!N3590</f>
        <v>0</v>
      </c>
      <c r="XG47" s="29">
        <f>'REG y VAL POE - AESR - ESR'!O3590</f>
        <v>0</v>
      </c>
      <c r="XH47" s="29">
        <f>'REG y VAL POE - AESR - ESR'!P3590</f>
        <v>0</v>
      </c>
      <c r="XI47" s="28">
        <f>'REG y VAL POE - AESR - ESR'!Q3590</f>
        <v>0</v>
      </c>
      <c r="XJ47" s="29">
        <f>'REG y VAL POE - AESR - ESR'!R3590</f>
        <v>0</v>
      </c>
      <c r="XK47" s="29">
        <f>'REG y VAL POE - AESR - ESR'!S3590</f>
        <v>0</v>
      </c>
      <c r="XL47" s="28">
        <f>'REG y VAL POE - AESR - ESR'!T3590</f>
        <v>0</v>
      </c>
      <c r="XM47" s="29">
        <f>'REG y VAL POE - AESR - ESR'!U3590</f>
        <v>0</v>
      </c>
      <c r="XN47" s="30">
        <f>'REG y VAL POE - AESR - ESR'!V3590</f>
        <v>0</v>
      </c>
      <c r="XO47" s="28">
        <f>'REG y VAL POE - AESR - ESR'!W3590</f>
        <v>0</v>
      </c>
      <c r="XP47" s="29">
        <f>'REG y VAL POE - AESR - ESR'!X3590</f>
        <v>0</v>
      </c>
      <c r="XQ47" s="29">
        <f>'REG y VAL POE - AESR - ESR'!Y3590</f>
        <v>0</v>
      </c>
      <c r="XR47" s="29">
        <f>'REG y VAL POE - AESR - ESR'!Z3590</f>
        <v>0</v>
      </c>
      <c r="XS47" s="28">
        <f>'REG y VAL POE - AESR - ESR'!AA3590</f>
        <v>0</v>
      </c>
      <c r="XT47" s="29">
        <f>'REG y VAL POE - AESR - ESR'!AB3590</f>
        <v>0</v>
      </c>
      <c r="XU47" s="29">
        <f>'REG y VAL POE - AESR - ESR'!AC3590</f>
        <v>0</v>
      </c>
      <c r="XV47" s="28">
        <f>'REG y VAL POE - AESR - ESR'!AD3590</f>
        <v>0</v>
      </c>
      <c r="XW47" s="29">
        <f>'REG y VAL POE - AESR - ESR'!AE3590</f>
        <v>0</v>
      </c>
      <c r="XX47" s="30">
        <f>'REG y VAL POE - AESR - ESR'!AF3590</f>
        <v>0</v>
      </c>
      <c r="XY47" s="28">
        <f>'REG y VAL POE - AESR - ESR'!AG3590</f>
        <v>0</v>
      </c>
      <c r="XZ47" s="29">
        <f>'REG y VAL POE - AESR - ESR'!AH3590</f>
        <v>0</v>
      </c>
      <c r="YA47" s="29">
        <f>'REG y VAL POE - AESR - ESR'!AI3590</f>
        <v>0</v>
      </c>
      <c r="YB47" s="29">
        <f>'REG y VAL POE - AESR - ESR'!AJ3590</f>
        <v>0</v>
      </c>
      <c r="YC47" s="28">
        <f>'REG y VAL POE - AESR - ESR'!AK3590</f>
        <v>0</v>
      </c>
      <c r="YD47" s="29">
        <f>'REG y VAL POE - AESR - ESR'!AL3590</f>
        <v>0</v>
      </c>
      <c r="YE47" s="29">
        <f>'REG y VAL POE - AESR - ESR'!AM3590</f>
        <v>0</v>
      </c>
      <c r="YF47" s="28">
        <f>'REG y VAL POE - AESR - ESR'!AN3590</f>
        <v>0</v>
      </c>
      <c r="YG47" s="29">
        <f>'REG y VAL POE - AESR - ESR'!AO3590</f>
        <v>0</v>
      </c>
      <c r="YH47" s="30">
        <f>'REG y VAL POE - AESR - ESR'!AP3590</f>
        <v>0</v>
      </c>
      <c r="YI47" s="28">
        <f>'REG y VAL POE - AESR - ESR'!AQ3590</f>
        <v>0</v>
      </c>
      <c r="YJ47" s="29">
        <f>'REG y VAL POE - AESR - ESR'!AR3590</f>
        <v>0</v>
      </c>
      <c r="YK47" s="29">
        <f>'REG y VAL POE - AESR - ESR'!AS3590</f>
        <v>0</v>
      </c>
      <c r="YL47" s="29"/>
      <c r="YM47" s="28"/>
      <c r="YN47" s="29"/>
      <c r="YO47" s="29"/>
      <c r="YP47" s="28"/>
      <c r="YQ47" s="29"/>
      <c r="YR47" s="30"/>
      <c r="YS47" s="28"/>
      <c r="YT47" s="29"/>
      <c r="YU47" s="29"/>
      <c r="YV47" s="29"/>
      <c r="YW47" s="28"/>
      <c r="YX47" s="29"/>
      <c r="YY47" s="29"/>
      <c r="YZ47" s="28"/>
      <c r="ZA47" s="29"/>
      <c r="ZB47" s="30"/>
      <c r="ZC47" s="28"/>
      <c r="ZD47" s="29"/>
      <c r="ZE47" s="29"/>
      <c r="ZF47" s="29"/>
      <c r="ZG47" s="28"/>
      <c r="ZH47" s="29"/>
      <c r="ZI47" s="29"/>
      <c r="ZJ47" s="28"/>
      <c r="ZK47" s="29"/>
      <c r="ZL47" s="30"/>
      <c r="ZM47" s="28"/>
      <c r="ZN47" s="29"/>
      <c r="ZO47" s="29"/>
      <c r="ZP47" s="29"/>
      <c r="ZQ47" s="28"/>
      <c r="ZR47" s="29"/>
      <c r="ZS47" s="29"/>
      <c r="ZT47" s="28"/>
      <c r="ZU47" s="29"/>
      <c r="ZV47" s="30"/>
      <c r="ZW47" s="28"/>
      <c r="ZX47" s="29"/>
      <c r="ZY47" s="29"/>
      <c r="ZZ47" s="29"/>
      <c r="AAA47" s="28"/>
      <c r="AAB47" s="29"/>
      <c r="AAC47" s="29"/>
      <c r="AAD47" s="28"/>
      <c r="AAE47" s="29"/>
      <c r="AAF47" s="30"/>
      <c r="AAG47" s="28"/>
      <c r="AAH47" s="29"/>
      <c r="AAI47" s="29"/>
      <c r="AAJ47" s="29"/>
      <c r="AAK47" s="28"/>
      <c r="AAL47" s="29"/>
      <c r="AAM47" s="29"/>
      <c r="AAN47" s="28"/>
      <c r="AAO47" s="29"/>
      <c r="AAP47" s="30"/>
      <c r="AAQ47" s="28"/>
      <c r="AAR47" s="29"/>
      <c r="AAS47" s="29"/>
      <c r="AAT47" s="29"/>
      <c r="AAU47" s="28"/>
      <c r="AAV47" s="29"/>
      <c r="AAW47" s="29"/>
      <c r="AAX47" s="28"/>
      <c r="AAY47" s="29"/>
      <c r="AAZ47" s="30"/>
      <c r="ABA47" s="28"/>
      <c r="ABB47" s="29"/>
      <c r="ABC47" s="29"/>
      <c r="ABD47" s="29"/>
      <c r="ABE47" s="28"/>
      <c r="ABF47" s="29"/>
      <c r="ABG47" s="29"/>
      <c r="ABH47" s="28"/>
      <c r="ABI47" s="29"/>
      <c r="ABJ47" s="30"/>
      <c r="ABK47" s="28"/>
      <c r="ABL47" s="29"/>
      <c r="ABM47" s="29"/>
      <c r="ABN47" s="29"/>
      <c r="ABO47" s="28"/>
      <c r="ABP47" s="29"/>
      <c r="ABQ47" s="29"/>
      <c r="ABR47" s="28"/>
      <c r="ABS47" s="29"/>
      <c r="ABT47" s="30"/>
      <c r="ABU47" s="28"/>
      <c r="ABV47" s="29"/>
      <c r="ABW47" s="29"/>
      <c r="ABX47" s="29"/>
      <c r="ABY47" s="28"/>
      <c r="ABZ47" s="29"/>
      <c r="ACA47" s="29"/>
      <c r="ACB47" s="28"/>
      <c r="ACC47" s="29"/>
      <c r="ACD47" s="30"/>
      <c r="ACE47" s="28"/>
      <c r="ACF47" s="29"/>
      <c r="ACG47" s="29"/>
      <c r="ACH47" s="29"/>
      <c r="ACI47" s="28"/>
      <c r="ACJ47" s="29"/>
      <c r="ACK47" s="29"/>
      <c r="ACL47" s="28"/>
      <c r="ACM47" s="29"/>
      <c r="ACN47" s="30"/>
      <c r="ACO47" s="28"/>
      <c r="ACP47" s="29"/>
      <c r="ACQ47" s="29"/>
      <c r="ACR47" s="29"/>
      <c r="ACS47" s="28"/>
      <c r="ACT47" s="29"/>
      <c r="ACU47" s="29"/>
      <c r="ACV47" s="28"/>
      <c r="ACW47" s="29"/>
      <c r="ACX47" s="30"/>
      <c r="ACY47" s="28"/>
      <c r="ACZ47" s="29"/>
      <c r="ADA47" s="29"/>
      <c r="ADB47" s="29"/>
      <c r="ADC47" s="28"/>
      <c r="ADD47" s="29"/>
      <c r="ADE47" s="29"/>
      <c r="ADF47" s="28"/>
      <c r="ADG47" s="29"/>
      <c r="ADH47" s="30"/>
      <c r="ADI47" s="28"/>
      <c r="ADJ47" s="29"/>
      <c r="ADK47" s="29"/>
      <c r="ADL47" s="29"/>
      <c r="ADM47" s="28"/>
      <c r="ADN47" s="29"/>
      <c r="ADO47" s="29"/>
      <c r="ADP47" s="28"/>
      <c r="ADQ47" s="29"/>
      <c r="ADR47" s="30"/>
      <c r="ADS47" s="28"/>
      <c r="ADT47" s="29"/>
      <c r="ADU47" s="29"/>
      <c r="ADV47" s="29"/>
      <c r="ADW47" s="28"/>
      <c r="ADX47" s="29"/>
      <c r="ADY47" s="29"/>
      <c r="ADZ47" s="28"/>
      <c r="AEA47" s="29"/>
      <c r="AEB47" s="30"/>
      <c r="AEC47" s="28"/>
      <c r="AED47" s="29"/>
      <c r="AEE47" s="29"/>
      <c r="AEF47" s="29"/>
      <c r="AEG47" s="28"/>
      <c r="AEH47" s="29"/>
      <c r="AEI47" s="29"/>
      <c r="AEJ47" s="28"/>
      <c r="AEK47" s="29"/>
      <c r="AEL47" s="30"/>
      <c r="AEM47" s="28"/>
      <c r="AEN47" s="29"/>
      <c r="AEO47" s="29"/>
      <c r="AEP47" s="29"/>
      <c r="AEQ47" s="28"/>
      <c r="AER47" s="29"/>
      <c r="AES47" s="29"/>
      <c r="AET47" s="28"/>
      <c r="AEU47" s="29"/>
      <c r="AEV47" s="30"/>
      <c r="AEW47" s="28"/>
      <c r="AEX47" s="29"/>
      <c r="AEY47" s="29"/>
      <c r="AEZ47" s="29"/>
      <c r="AFA47" s="28"/>
      <c r="AFB47" s="29"/>
      <c r="AFC47" s="29"/>
      <c r="AFD47" s="28"/>
      <c r="AFE47" s="29"/>
      <c r="AFF47" s="30"/>
      <c r="AFG47" s="28"/>
      <c r="AFH47" s="29"/>
      <c r="AFI47" s="29"/>
      <c r="AFJ47" s="29"/>
      <c r="AFK47" s="28"/>
      <c r="AFL47" s="29"/>
      <c r="AFM47" s="29"/>
      <c r="AFN47" s="28"/>
      <c r="AFO47" s="29"/>
      <c r="AFP47" s="30"/>
      <c r="AFQ47" s="28"/>
      <c r="AFR47" s="29"/>
      <c r="AFS47" s="29"/>
      <c r="AFT47" s="29"/>
      <c r="AFU47" s="28"/>
      <c r="AFV47" s="29"/>
      <c r="AFW47" s="29"/>
      <c r="AFX47" s="28"/>
      <c r="AFY47" s="29"/>
      <c r="AFZ47" s="30"/>
      <c r="AGA47" s="28"/>
      <c r="AGB47" s="29"/>
      <c r="AGC47" s="29"/>
      <c r="AGD47" s="29"/>
      <c r="AGE47" s="28"/>
      <c r="AGF47" s="29"/>
      <c r="AGG47" s="29"/>
      <c r="AGH47" s="28"/>
      <c r="AGI47" s="29"/>
      <c r="AGJ47" s="30"/>
      <c r="AGK47" s="28"/>
      <c r="AGL47" s="29"/>
      <c r="AGM47" s="29"/>
      <c r="AGN47" s="29"/>
      <c r="AGO47" s="28"/>
      <c r="AGP47" s="29"/>
      <c r="AGQ47" s="29"/>
      <c r="AGR47" s="28"/>
      <c r="AGS47" s="29"/>
      <c r="AGT47" s="30"/>
      <c r="AGU47" s="28"/>
      <c r="AGV47" s="29"/>
      <c r="AGW47" s="29"/>
      <c r="AGX47" s="29"/>
      <c r="AGY47" s="28"/>
      <c r="AGZ47" s="29"/>
      <c r="AHA47" s="29"/>
      <c r="AHB47" s="28"/>
      <c r="AHC47" s="29"/>
      <c r="AHD47" s="30"/>
      <c r="AHE47" s="28"/>
      <c r="AHF47" s="29"/>
      <c r="AHG47" s="29"/>
      <c r="AHH47" s="29"/>
      <c r="AHI47" s="28"/>
      <c r="AHJ47" s="29"/>
      <c r="AHK47" s="29"/>
      <c r="AHL47" s="28"/>
      <c r="AHM47" s="29"/>
      <c r="AHN47" s="30"/>
      <c r="AHO47" s="28"/>
      <c r="AHP47" s="29"/>
      <c r="AHQ47" s="29"/>
      <c r="AHR47" s="29"/>
      <c r="AHS47" s="28"/>
      <c r="AHT47" s="29"/>
      <c r="AHU47" s="29"/>
      <c r="AHV47" s="28"/>
      <c r="AHW47" s="29"/>
      <c r="AHX47" s="30"/>
      <c r="AHY47" s="28"/>
      <c r="AHZ47" s="29"/>
      <c r="AIA47" s="29"/>
      <c r="AIB47" s="29"/>
      <c r="AIC47" s="28"/>
      <c r="AID47" s="29"/>
      <c r="AIE47" s="29"/>
      <c r="AIF47" s="28"/>
      <c r="AIG47" s="29"/>
      <c r="AIH47" s="30"/>
      <c r="AII47" s="28"/>
      <c r="AIJ47" s="29"/>
      <c r="AIK47" s="29"/>
      <c r="AIL47" s="29"/>
      <c r="AIM47" s="28"/>
      <c r="AIN47" s="29"/>
      <c r="AIO47" s="29"/>
      <c r="AIP47" s="28"/>
      <c r="AIQ47" s="29"/>
      <c r="AIR47" s="30"/>
      <c r="AIS47" s="28"/>
      <c r="AIT47" s="29"/>
      <c r="AIU47" s="29"/>
      <c r="AIV47" s="29"/>
      <c r="AIW47" s="28"/>
      <c r="AIX47" s="29"/>
      <c r="AIY47" s="29"/>
      <c r="AIZ47" s="28"/>
      <c r="AJA47" s="29"/>
      <c r="AJB47" s="30"/>
      <c r="AJC47" s="28"/>
      <c r="AJD47" s="29"/>
      <c r="AJE47" s="29"/>
      <c r="AJF47" s="29"/>
      <c r="AJG47" s="28"/>
      <c r="AJH47" s="29"/>
      <c r="AJI47" s="29"/>
      <c r="AJJ47" s="28"/>
      <c r="AJK47" s="29"/>
      <c r="AJL47" s="30"/>
      <c r="AJM47" s="28"/>
      <c r="AJN47" s="29"/>
      <c r="AJO47" s="29"/>
      <c r="AJP47" s="29"/>
      <c r="AJQ47" s="28"/>
      <c r="AJR47" s="29"/>
      <c r="AJS47" s="29"/>
      <c r="AJT47" s="28"/>
      <c r="AJU47" s="29"/>
      <c r="AJV47" s="30"/>
      <c r="AJW47" s="28"/>
      <c r="AJX47" s="29"/>
      <c r="AJY47" s="29"/>
      <c r="AJZ47" s="29"/>
      <c r="AKA47" s="28"/>
      <c r="AKB47" s="29"/>
      <c r="AKC47" s="29"/>
      <c r="AKD47" s="28"/>
      <c r="AKE47" s="29"/>
      <c r="AKF47" s="30"/>
      <c r="AKG47" s="28"/>
      <c r="AKH47" s="29"/>
      <c r="AKI47" s="29"/>
      <c r="AKJ47" s="29"/>
      <c r="AKK47" s="28"/>
      <c r="AKL47" s="29"/>
      <c r="AKM47" s="29"/>
      <c r="AKN47" s="28"/>
      <c r="AKO47" s="29"/>
      <c r="AKP47" s="30"/>
      <c r="AKQ47" s="28"/>
      <c r="AKR47" s="29"/>
      <c r="AKS47" s="29"/>
      <c r="AKT47" s="29"/>
      <c r="AKU47" s="28"/>
      <c r="AKV47" s="29"/>
      <c r="AKW47" s="29"/>
      <c r="AKX47" s="28"/>
      <c r="AKY47" s="29"/>
      <c r="AKZ47" s="30"/>
      <c r="ALA47" s="28"/>
      <c r="ALB47" s="29"/>
      <c r="ALC47" s="29"/>
      <c r="ALD47" s="29"/>
      <c r="ALE47" s="28"/>
      <c r="ALF47" s="29"/>
      <c r="ALG47" s="29"/>
      <c r="ALH47" s="29"/>
      <c r="ALI47" s="29"/>
      <c r="ALJ47" s="29"/>
      <c r="ALK47" s="28"/>
      <c r="ALL47" s="29"/>
      <c r="ALM47" s="29"/>
      <c r="ALN47" s="28"/>
      <c r="ALO47" s="29"/>
      <c r="ALP47" s="30"/>
      <c r="ALQ47" s="28"/>
      <c r="ALR47" s="29"/>
      <c r="ALS47" s="29"/>
      <c r="ALT47" s="29"/>
      <c r="ALU47" s="28"/>
      <c r="ALV47" s="29"/>
      <c r="ALW47" s="29"/>
      <c r="ALX47" s="28"/>
      <c r="ALY47" s="29"/>
      <c r="ALZ47" s="30"/>
      <c r="AMA47" s="28"/>
      <c r="AMB47" s="29"/>
      <c r="AMC47" s="29"/>
      <c r="AMD47" s="29"/>
      <c r="AME47" s="28"/>
      <c r="AMF47" s="29"/>
      <c r="AMG47" s="29"/>
      <c r="AMH47" s="29"/>
      <c r="AMI47" s="29"/>
      <c r="AMJ47" s="29"/>
      <c r="AMK47" s="28"/>
      <c r="AML47" s="29"/>
      <c r="AMM47" s="29"/>
      <c r="AMN47" s="28"/>
      <c r="AMO47" s="29"/>
      <c r="AMP47" s="30"/>
      <c r="AMQ47" s="28"/>
      <c r="AMR47" s="29"/>
      <c r="AMS47" s="29"/>
      <c r="AMT47" s="29"/>
      <c r="AMU47" s="28"/>
      <c r="AMV47" s="29"/>
      <c r="AMW47" s="29"/>
      <c r="AMX47" s="28"/>
      <c r="AMY47" s="29"/>
      <c r="AMZ47" s="30"/>
      <c r="ANA47" s="28"/>
      <c r="ANB47" s="29"/>
      <c r="ANC47" s="29"/>
      <c r="AND47" s="29"/>
      <c r="ANE47" s="28"/>
      <c r="ANF47" s="29"/>
      <c r="ANG47" s="29"/>
      <c r="ANH47" s="29"/>
      <c r="ANI47" s="29"/>
      <c r="ANJ47" s="29"/>
      <c r="ANK47" s="28"/>
      <c r="ANL47" s="29"/>
      <c r="ANM47" s="29"/>
      <c r="ANN47" s="28"/>
      <c r="ANO47" s="29"/>
      <c r="ANP47" s="30"/>
      <c r="ANQ47" s="28"/>
      <c r="ANR47" s="29"/>
      <c r="ANS47" s="29"/>
      <c r="ANT47" s="29"/>
      <c r="ANU47" s="28"/>
      <c r="ANV47" s="29"/>
      <c r="ANW47" s="29"/>
      <c r="ANX47" s="28"/>
      <c r="ANY47" s="29"/>
      <c r="ANZ47" s="30"/>
      <c r="AOA47" s="28"/>
      <c r="AOB47" s="29"/>
      <c r="AOC47" s="29"/>
      <c r="AOD47" s="29"/>
      <c r="AOE47" s="28"/>
      <c r="AOF47" s="29"/>
      <c r="AOG47" s="29"/>
      <c r="AOH47" s="29"/>
      <c r="AOI47" s="29"/>
      <c r="AOJ47" s="29"/>
      <c r="AOK47" s="28"/>
      <c r="AOL47" s="29"/>
      <c r="AOM47" s="29"/>
      <c r="AON47" s="28"/>
      <c r="AOO47" s="29"/>
      <c r="AOP47" s="30"/>
      <c r="AOQ47" s="28"/>
      <c r="AOR47" s="29"/>
      <c r="AOS47" s="29"/>
      <c r="AOT47" s="29"/>
      <c r="AOU47" s="28"/>
      <c r="AOV47" s="29"/>
      <c r="AOW47" s="29"/>
      <c r="AOX47" s="28"/>
      <c r="AOY47" s="29"/>
      <c r="AOZ47" s="30"/>
      <c r="APA47" s="28"/>
      <c r="APB47" s="29"/>
      <c r="APC47" s="29"/>
      <c r="APD47" s="29"/>
      <c r="APE47" s="28"/>
      <c r="APF47" s="29"/>
      <c r="APG47" s="29"/>
      <c r="APH47" s="29"/>
      <c r="API47" s="29"/>
      <c r="APJ47" s="29"/>
      <c r="APK47" s="28"/>
      <c r="APL47" s="29"/>
      <c r="APM47" s="29"/>
      <c r="APN47" s="28"/>
      <c r="APO47" s="29"/>
      <c r="APP47" s="30"/>
      <c r="APQ47" s="28"/>
      <c r="APR47" s="29"/>
      <c r="APS47" s="29"/>
      <c r="APT47" s="29"/>
      <c r="APU47" s="28"/>
      <c r="APV47" s="29"/>
      <c r="APW47" s="29"/>
      <c r="APX47" s="28"/>
      <c r="APY47" s="29"/>
      <c r="APZ47" s="30"/>
      <c r="AQA47" s="28"/>
      <c r="AQB47" s="29"/>
      <c r="AQC47" s="29"/>
      <c r="AQD47" s="29"/>
      <c r="AQE47" s="28"/>
      <c r="AQF47" s="29"/>
      <c r="AQG47" s="29"/>
      <c r="AQH47" s="29"/>
      <c r="AQI47" s="29"/>
      <c r="AQJ47" s="29"/>
      <c r="AQK47" s="28"/>
      <c r="AQL47" s="29"/>
      <c r="AQM47" s="29"/>
      <c r="AQN47" s="28"/>
      <c r="AQO47" s="29"/>
      <c r="AQP47" s="30"/>
      <c r="AQQ47" s="28"/>
      <c r="AQR47" s="29"/>
      <c r="AQS47" s="29"/>
      <c r="AQT47" s="29"/>
      <c r="AQU47" s="28"/>
      <c r="AQV47" s="29"/>
      <c r="AQW47" s="29"/>
      <c r="AQX47" s="28"/>
      <c r="AQY47" s="29"/>
      <c r="AQZ47" s="30"/>
      <c r="ARA47" s="28"/>
      <c r="ARB47" s="29"/>
      <c r="ARC47" s="29"/>
      <c r="ARD47" s="29"/>
      <c r="ARE47" s="28"/>
      <c r="ARF47" s="29"/>
      <c r="ARG47" s="29"/>
      <c r="ARH47" s="29"/>
      <c r="ARI47" s="29"/>
      <c r="ARJ47" s="29"/>
      <c r="ARK47" s="28"/>
      <c r="ARL47" s="29"/>
      <c r="ARM47" s="29"/>
      <c r="ARN47" s="28"/>
      <c r="ARO47" s="29"/>
      <c r="ARP47" s="30"/>
      <c r="ARQ47" s="28"/>
      <c r="ARR47" s="29"/>
      <c r="ARS47" s="29"/>
      <c r="ART47" s="29"/>
      <c r="ARU47" s="28"/>
      <c r="ARV47" s="29"/>
      <c r="ARW47" s="29"/>
      <c r="ARX47" s="28"/>
      <c r="ARY47" s="29"/>
      <c r="ARZ47" s="30"/>
      <c r="ASA47" s="28"/>
      <c r="ASB47" s="29"/>
      <c r="ASC47" s="29"/>
      <c r="ASD47" s="29"/>
      <c r="ASE47" s="28"/>
      <c r="ASF47" s="29"/>
      <c r="ASG47" s="29"/>
      <c r="ASH47" s="29"/>
      <c r="ASI47" s="29"/>
      <c r="ASJ47" s="29"/>
      <c r="ASK47" s="28"/>
      <c r="ASL47" s="29"/>
      <c r="ASM47" s="29"/>
      <c r="ASN47" s="28"/>
      <c r="ASO47" s="29"/>
      <c r="ASP47" s="30"/>
      <c r="ASQ47" s="28"/>
      <c r="ASR47" s="29"/>
      <c r="ASS47" s="29"/>
      <c r="AST47" s="29"/>
      <c r="ASU47" s="28"/>
      <c r="ASV47" s="29"/>
      <c r="ASW47" s="29"/>
      <c r="ASX47" s="28"/>
      <c r="ASY47" s="29"/>
      <c r="ASZ47" s="30"/>
      <c r="ATA47" s="28"/>
      <c r="ATB47" s="29"/>
      <c r="ATC47" s="29"/>
      <c r="ATD47" s="29"/>
      <c r="ATE47" s="28"/>
      <c r="ATF47" s="29"/>
      <c r="ATG47" s="29"/>
      <c r="ATH47" s="29"/>
      <c r="ATI47" s="29"/>
      <c r="ATJ47" s="29"/>
      <c r="ATK47" s="28"/>
      <c r="ATL47" s="29"/>
      <c r="ATM47" s="29"/>
      <c r="ATN47" s="28"/>
      <c r="ATO47" s="29"/>
      <c r="ATP47" s="30"/>
      <c r="ATQ47" s="28"/>
      <c r="ATR47" s="29"/>
      <c r="ATS47" s="29"/>
      <c r="ATT47" s="29"/>
      <c r="ATU47" s="28"/>
      <c r="ATV47" s="29"/>
      <c r="ATW47" s="29"/>
      <c r="ATX47" s="28"/>
      <c r="ATY47" s="29"/>
      <c r="ATZ47" s="30"/>
      <c r="AUA47" s="28"/>
      <c r="AUB47" s="29"/>
      <c r="AUC47" s="29"/>
      <c r="AUD47" s="29"/>
      <c r="AUE47" s="28"/>
      <c r="AUF47" s="29"/>
      <c r="AUG47" s="29"/>
      <c r="AUH47" s="29"/>
      <c r="AUI47" s="29"/>
      <c r="AUJ47" s="29"/>
      <c r="AUK47" s="28"/>
      <c r="AUL47" s="29"/>
      <c r="AUM47" s="29"/>
      <c r="AUN47" s="28"/>
      <c r="AUO47" s="29"/>
      <c r="AUP47" s="30"/>
      <c r="AUQ47" s="28"/>
      <c r="AUR47" s="29"/>
      <c r="AUS47" s="29"/>
      <c r="AUT47" s="29"/>
      <c r="AUU47" s="28"/>
      <c r="AUV47" s="29"/>
      <c r="AUW47" s="29"/>
      <c r="AUX47" s="28"/>
      <c r="AUY47" s="29"/>
      <c r="AUZ47" s="30"/>
      <c r="AVA47" s="28"/>
      <c r="AVB47" s="29"/>
      <c r="AVC47" s="29"/>
      <c r="AVD47" s="29"/>
      <c r="AVE47" s="28"/>
      <c r="AVF47" s="29"/>
      <c r="AVG47" s="29"/>
      <c r="AVH47" s="29"/>
      <c r="AVI47" s="29"/>
      <c r="AVJ47" s="29"/>
      <c r="AVK47" s="28"/>
      <c r="AVL47" s="29"/>
      <c r="AVM47" s="29"/>
      <c r="AVN47" s="28"/>
      <c r="AVO47" s="29"/>
      <c r="AVP47" s="30"/>
      <c r="AVQ47" s="28"/>
      <c r="AVR47" s="29"/>
      <c r="AVS47" s="29"/>
      <c r="AVT47" s="29"/>
      <c r="AVU47" s="28"/>
      <c r="AVV47" s="29"/>
      <c r="AVW47" s="29"/>
      <c r="AVX47" s="28"/>
      <c r="AVY47" s="29"/>
      <c r="AVZ47" s="30"/>
      <c r="AWA47" s="28"/>
      <c r="AWB47" s="29"/>
      <c r="AWC47" s="29"/>
      <c r="AWD47" s="29"/>
      <c r="AWE47" s="28"/>
      <c r="AWF47" s="29"/>
      <c r="AWG47" s="29"/>
      <c r="AWH47" s="29"/>
      <c r="AWI47" s="29"/>
      <c r="AWJ47" s="29"/>
      <c r="AWK47" s="28"/>
      <c r="AWL47" s="29"/>
      <c r="AWM47" s="29"/>
      <c r="AWN47" s="28"/>
      <c r="AWO47" s="29"/>
      <c r="AWP47" s="30"/>
      <c r="AWQ47" s="28"/>
      <c r="AWR47" s="29"/>
      <c r="AWS47" s="29"/>
      <c r="AWT47" s="29"/>
      <c r="AWU47" s="28"/>
      <c r="AWV47" s="29"/>
      <c r="AWW47" s="29"/>
      <c r="AWX47" s="28"/>
      <c r="AWY47" s="29"/>
      <c r="AWZ47" s="30"/>
      <c r="AXA47" s="28"/>
      <c r="AXB47" s="29"/>
      <c r="AXC47" s="29"/>
      <c r="AXD47" s="29"/>
      <c r="AXE47" s="28"/>
      <c r="AXF47" s="29"/>
      <c r="AXG47" s="29"/>
      <c r="AXH47" s="29"/>
      <c r="AXI47" s="29"/>
      <c r="AXJ47" s="29"/>
      <c r="AXK47" s="28"/>
      <c r="AXL47" s="29"/>
      <c r="AXM47" s="29"/>
      <c r="AXN47" s="28"/>
      <c r="AXO47" s="29"/>
      <c r="AXP47" s="30"/>
      <c r="AXQ47" s="28"/>
      <c r="AXR47" s="29"/>
      <c r="AXS47" s="29"/>
      <c r="AXT47" s="29"/>
      <c r="AXU47" s="28"/>
      <c r="AXV47" s="29"/>
      <c r="AXW47" s="29"/>
      <c r="AXX47" s="28"/>
      <c r="AXY47" s="29"/>
      <c r="AXZ47" s="30"/>
      <c r="AYA47" s="28"/>
      <c r="AYB47" s="29"/>
      <c r="AYC47" s="29"/>
      <c r="AYD47" s="29"/>
      <c r="AYE47" s="28"/>
      <c r="AYF47" s="29"/>
      <c r="AYG47" s="29"/>
      <c r="AYH47" s="29"/>
      <c r="AYI47" s="29"/>
      <c r="AYJ47" s="29"/>
      <c r="AYK47" s="28"/>
      <c r="AYL47" s="29"/>
      <c r="AYM47" s="29"/>
      <c r="AYN47" s="28"/>
      <c r="AYO47" s="29"/>
      <c r="AYP47" s="30"/>
      <c r="AYQ47" s="28"/>
      <c r="AYR47" s="29"/>
      <c r="AYS47" s="29"/>
      <c r="AYT47" s="29"/>
      <c r="AYU47" s="28"/>
      <c r="AYV47" s="29"/>
      <c r="AYW47" s="29"/>
      <c r="AYX47" s="28"/>
      <c r="AYY47" s="29"/>
      <c r="AYZ47" s="30"/>
      <c r="AZA47" s="28"/>
      <c r="AZB47" s="29"/>
      <c r="AZC47" s="29"/>
      <c r="AZD47" s="29"/>
      <c r="AZE47" s="28"/>
      <c r="AZF47" s="29"/>
      <c r="AZG47" s="29"/>
      <c r="AZH47" s="29"/>
      <c r="AZI47" s="29"/>
      <c r="AZJ47" s="29"/>
      <c r="AZK47" s="28"/>
      <c r="AZL47" s="29"/>
      <c r="AZM47" s="29"/>
      <c r="AZN47" s="28"/>
      <c r="AZO47" s="29"/>
      <c r="AZP47" s="30"/>
      <c r="AZQ47" s="28"/>
      <c r="AZR47" s="29"/>
      <c r="AZS47" s="29"/>
      <c r="AZT47" s="29"/>
      <c r="AZU47" s="28"/>
      <c r="AZV47" s="29"/>
      <c r="AZW47" s="29"/>
      <c r="AZX47" s="28"/>
      <c r="AZY47" s="29"/>
      <c r="AZZ47" s="30"/>
      <c r="BAA47" s="28"/>
      <c r="BAB47" s="29"/>
      <c r="BAC47" s="29"/>
      <c r="BAD47" s="29"/>
      <c r="BAE47" s="28"/>
      <c r="BAF47" s="29"/>
      <c r="BAG47" s="29"/>
      <c r="BAH47" s="29"/>
      <c r="BAI47" s="29"/>
      <c r="BAJ47" s="29"/>
      <c r="BAK47" s="28"/>
      <c r="BAL47" s="29"/>
      <c r="BAM47" s="29"/>
      <c r="BAN47" s="28"/>
      <c r="BAO47" s="29"/>
      <c r="BAP47" s="30"/>
      <c r="BAQ47" s="28"/>
      <c r="BAR47" s="29"/>
      <c r="BAS47" s="29"/>
      <c r="BAT47" s="29"/>
      <c r="BAU47" s="28"/>
      <c r="BAV47" s="29"/>
      <c r="BAW47" s="29"/>
      <c r="BAX47" s="28"/>
      <c r="BAY47" s="29"/>
      <c r="BAZ47" s="30"/>
      <c r="BBA47" s="28"/>
      <c r="BBB47" s="29"/>
      <c r="BBC47" s="29"/>
      <c r="BBD47" s="29"/>
      <c r="BBE47" s="28"/>
      <c r="BBF47" s="29"/>
      <c r="BBG47" s="29"/>
      <c r="BBH47" s="29"/>
      <c r="BBI47" s="29"/>
      <c r="BBJ47" s="29"/>
      <c r="BBK47" s="28"/>
      <c r="BBL47" s="29"/>
      <c r="BBM47" s="29"/>
      <c r="BBN47" s="28"/>
      <c r="BBO47" s="29"/>
      <c r="BBP47" s="30"/>
      <c r="BBQ47" s="28"/>
      <c r="BBR47" s="29"/>
      <c r="BBS47" s="29"/>
      <c r="BBT47" s="29"/>
      <c r="BBU47" s="28"/>
      <c r="BBV47" s="29"/>
      <c r="BBW47" s="29"/>
      <c r="BBX47" s="28"/>
      <c r="BBY47" s="29"/>
      <c r="BBZ47" s="30"/>
      <c r="BCA47" s="28"/>
      <c r="BCB47" s="29"/>
      <c r="BCC47" s="29"/>
      <c r="BCD47" s="29"/>
      <c r="BCE47" s="28"/>
      <c r="BCF47" s="29"/>
      <c r="BCG47" s="29"/>
      <c r="BCH47" s="29"/>
      <c r="BCI47" s="29"/>
      <c r="BCJ47" s="29"/>
      <c r="BCK47" s="28"/>
      <c r="BCL47" s="29"/>
      <c r="BCM47" s="29"/>
      <c r="BCN47" s="28"/>
      <c r="BCO47" s="29"/>
      <c r="BCP47" s="30"/>
      <c r="BCQ47" s="28"/>
      <c r="BCR47" s="29"/>
      <c r="BCS47" s="29"/>
      <c r="BCT47" s="29"/>
      <c r="BCU47" s="28"/>
      <c r="BCV47" s="29"/>
      <c r="BCW47" s="29"/>
      <c r="BCX47" s="28"/>
      <c r="BCY47" s="29"/>
      <c r="BCZ47" s="30"/>
      <c r="BDA47" s="28"/>
      <c r="BDB47" s="29"/>
      <c r="BDC47" s="29"/>
      <c r="BDD47" s="29"/>
      <c r="BDE47" s="28"/>
      <c r="BDF47" s="29"/>
      <c r="BDG47" s="29"/>
      <c r="BDH47" s="29"/>
      <c r="BDI47" s="29"/>
      <c r="BDJ47" s="29"/>
      <c r="BDK47" s="28"/>
      <c r="BDL47" s="29"/>
      <c r="BDM47" s="29"/>
      <c r="BDN47" s="28"/>
      <c r="BDO47" s="29"/>
      <c r="BDP47" s="30"/>
      <c r="BDQ47" s="28"/>
      <c r="BDR47" s="29"/>
      <c r="BDS47" s="29"/>
      <c r="BDT47" s="29"/>
      <c r="BDU47" s="28"/>
      <c r="BDV47" s="29"/>
      <c r="BDW47" s="29"/>
      <c r="BDX47" s="28"/>
      <c r="BDY47" s="29"/>
      <c r="BDZ47" s="30"/>
      <c r="BEA47" s="28"/>
      <c r="BEB47" s="29"/>
      <c r="BEC47" s="29"/>
      <c r="BED47" s="29"/>
      <c r="BEE47" s="28"/>
      <c r="BEF47" s="29"/>
      <c r="BEG47" s="29"/>
      <c r="BEH47" s="29"/>
      <c r="BEI47" s="29"/>
      <c r="BEJ47" s="29"/>
      <c r="BEK47" s="28"/>
      <c r="BEL47" s="29"/>
      <c r="BEM47" s="29"/>
      <c r="BEN47" s="28"/>
      <c r="BEO47" s="29"/>
      <c r="BEP47" s="30"/>
      <c r="BEQ47" s="28"/>
      <c r="BER47" s="29"/>
      <c r="BES47" s="29"/>
      <c r="BET47" s="29"/>
      <c r="BEU47" s="28"/>
      <c r="BEV47" s="29"/>
      <c r="BEW47" s="29"/>
      <c r="BEX47" s="28"/>
      <c r="BEY47" s="29"/>
      <c r="BEZ47" s="30"/>
      <c r="BFA47" s="28"/>
      <c r="BFB47" s="29"/>
      <c r="BFC47" s="29"/>
      <c r="BFD47" s="29"/>
      <c r="BFE47" s="28"/>
      <c r="BFF47" s="29"/>
      <c r="BFG47" s="29"/>
      <c r="BFH47" s="29"/>
      <c r="BFI47" s="29"/>
      <c r="BFJ47" s="29"/>
      <c r="BFK47" s="28"/>
      <c r="BFL47" s="29"/>
      <c r="BFM47" s="29"/>
      <c r="BFN47" s="28"/>
      <c r="BFO47" s="29"/>
      <c r="BFP47" s="30"/>
      <c r="BFQ47" s="28"/>
      <c r="BFR47" s="29"/>
      <c r="BFS47" s="29"/>
      <c r="BFT47" s="29"/>
      <c r="BFU47" s="28"/>
      <c r="BFV47" s="29"/>
      <c r="BFW47" s="29"/>
      <c r="BFX47" s="28"/>
      <c r="BFY47" s="29"/>
      <c r="BFZ47" s="30"/>
      <c r="BGA47" s="28"/>
      <c r="BGB47" s="29"/>
      <c r="BGC47" s="29"/>
      <c r="BGD47" s="29"/>
      <c r="BGE47" s="28"/>
      <c r="BGF47" s="29"/>
      <c r="BGG47" s="29"/>
      <c r="BGH47" s="29"/>
      <c r="BGI47" s="29"/>
      <c r="BGJ47" s="29"/>
      <c r="BGK47" s="28"/>
      <c r="BGL47" s="29"/>
      <c r="BGM47" s="29"/>
      <c r="BGN47" s="28"/>
      <c r="BGO47" s="29"/>
      <c r="BGP47" s="30"/>
      <c r="BGQ47" s="28"/>
      <c r="BGR47" s="29"/>
      <c r="BGS47" s="29"/>
      <c r="BGT47" s="29"/>
      <c r="BGU47" s="28"/>
      <c r="BGV47" s="29"/>
      <c r="BGW47" s="29"/>
      <c r="BGX47" s="28"/>
      <c r="BGY47" s="29"/>
      <c r="BGZ47" s="30"/>
      <c r="BHA47" s="28"/>
      <c r="BHB47" s="29"/>
      <c r="BHC47" s="29"/>
      <c r="BHD47" s="29"/>
      <c r="BHE47" s="28"/>
      <c r="BHF47" s="29"/>
      <c r="BHG47" s="29"/>
      <c r="BHH47" s="29"/>
      <c r="BHI47" s="29"/>
      <c r="BHJ47" s="29"/>
      <c r="BHK47" s="28"/>
      <c r="BHL47" s="29"/>
      <c r="BHM47" s="29"/>
      <c r="BHN47" s="28"/>
      <c r="BHO47" s="29"/>
      <c r="BHP47" s="30"/>
      <c r="BHQ47" s="28"/>
      <c r="BHR47" s="29"/>
      <c r="BHS47" s="29"/>
      <c r="BHT47" s="29"/>
      <c r="BHU47" s="28"/>
      <c r="BHV47" s="29"/>
      <c r="BHW47" s="29"/>
      <c r="BHX47" s="28"/>
      <c r="BHY47" s="29"/>
      <c r="BHZ47" s="30"/>
      <c r="BIA47" s="28"/>
      <c r="BIB47" s="29"/>
      <c r="BIC47" s="29"/>
      <c r="BID47" s="29"/>
      <c r="BIE47" s="28"/>
      <c r="BIF47" s="29"/>
      <c r="BIG47" s="29"/>
      <c r="BIH47" s="29"/>
      <c r="BII47" s="29"/>
      <c r="BIJ47" s="29"/>
      <c r="BIK47" s="28"/>
      <c r="BIL47" s="29"/>
      <c r="BIM47" s="29"/>
      <c r="BIN47" s="28"/>
      <c r="BIO47" s="29"/>
      <c r="BIP47" s="30"/>
      <c r="BIQ47" s="28"/>
      <c r="BIR47" s="29"/>
      <c r="BIS47" s="29"/>
      <c r="BIT47" s="29"/>
      <c r="BIU47" s="28"/>
      <c r="BIV47" s="29"/>
      <c r="BIW47" s="29"/>
      <c r="BIX47" s="28"/>
      <c r="BIY47" s="29"/>
      <c r="BIZ47" s="30"/>
      <c r="BJA47" s="28"/>
      <c r="BJB47" s="29"/>
      <c r="BJC47" s="29"/>
      <c r="BJD47" s="29"/>
      <c r="BJE47" s="28"/>
      <c r="BJF47" s="29"/>
      <c r="BJG47" s="29"/>
      <c r="BJH47" s="29"/>
      <c r="BJI47" s="29"/>
      <c r="BJJ47" s="29"/>
      <c r="BJK47" s="28"/>
      <c r="BJL47" s="29"/>
      <c r="BJM47" s="29"/>
      <c r="BJN47" s="28"/>
      <c r="BJO47" s="29"/>
      <c r="BJP47" s="30"/>
      <c r="BJQ47" s="28"/>
      <c r="BJR47" s="29"/>
      <c r="BJS47" s="29"/>
      <c r="BJT47" s="29"/>
      <c r="BJU47" s="28"/>
      <c r="BJV47" s="29"/>
      <c r="BJW47" s="29"/>
      <c r="BJX47" s="28"/>
      <c r="BJY47" s="29"/>
      <c r="BJZ47" s="30"/>
      <c r="BKA47" s="28"/>
      <c r="BKB47" s="29"/>
      <c r="BKC47" s="29"/>
      <c r="BKD47" s="29"/>
      <c r="BKE47" s="28"/>
      <c r="BKF47" s="29"/>
      <c r="BKG47" s="29"/>
      <c r="BKH47" s="29"/>
      <c r="BKI47" s="29"/>
      <c r="BKJ47" s="29"/>
      <c r="BKK47" s="28"/>
      <c r="BKL47" s="29"/>
      <c r="BKM47" s="29"/>
      <c r="BKN47" s="28"/>
      <c r="BKO47" s="29"/>
      <c r="BKP47" s="30"/>
      <c r="BKQ47" s="28"/>
      <c r="BKR47" s="29"/>
      <c r="BKS47" s="29"/>
      <c r="BKT47" s="29"/>
      <c r="BKU47" s="28"/>
      <c r="BKV47" s="29"/>
      <c r="BKW47" s="29"/>
      <c r="BKX47" s="28"/>
      <c r="BKY47" s="29"/>
      <c r="BKZ47" s="30"/>
      <c r="BLA47" s="28"/>
      <c r="BLB47" s="29"/>
      <c r="BLC47" s="29"/>
      <c r="BLD47" s="29"/>
      <c r="BLE47" s="28"/>
      <c r="BLF47" s="29"/>
      <c r="BLG47" s="29"/>
      <c r="BLH47" s="29"/>
      <c r="BLI47" s="29"/>
      <c r="BLJ47" s="29"/>
      <c r="BLK47" s="28"/>
      <c r="BLL47" s="29"/>
      <c r="BLM47" s="29"/>
      <c r="BLN47" s="28"/>
      <c r="BLO47" s="29"/>
      <c r="BLP47" s="30"/>
      <c r="BLQ47" s="28"/>
      <c r="BLR47" s="29"/>
      <c r="BLS47" s="29"/>
      <c r="BLT47" s="29"/>
      <c r="BLU47" s="28"/>
      <c r="BLV47" s="29"/>
      <c r="BLW47" s="29"/>
      <c r="BLX47" s="28"/>
      <c r="BLY47" s="29"/>
      <c r="BLZ47" s="30"/>
      <c r="BMA47" s="28"/>
      <c r="BMB47" s="29"/>
      <c r="BMC47" s="29"/>
      <c r="BMD47" s="29"/>
      <c r="BME47" s="28"/>
      <c r="BMF47" s="29"/>
      <c r="BMG47" s="29"/>
      <c r="BMH47" s="29"/>
      <c r="BMI47" s="29"/>
      <c r="BMJ47" s="29"/>
      <c r="BMK47" s="28"/>
      <c r="BML47" s="29"/>
      <c r="BMM47" s="29"/>
      <c r="BMN47" s="28"/>
      <c r="BMO47" s="29"/>
      <c r="BMP47" s="30"/>
      <c r="BMQ47" s="28"/>
      <c r="BMR47" s="29"/>
      <c r="BMS47" s="29"/>
      <c r="BMT47" s="29"/>
      <c r="BMU47" s="28"/>
      <c r="BMV47" s="29"/>
      <c r="BMW47" s="29"/>
      <c r="BMX47" s="28"/>
      <c r="BMY47" s="29"/>
      <c r="BMZ47" s="30"/>
      <c r="BNA47" s="28"/>
      <c r="BNB47" s="29"/>
      <c r="BNC47" s="29"/>
      <c r="BND47" s="29"/>
      <c r="BNE47" s="28"/>
      <c r="BNF47" s="29"/>
      <c r="BNG47" s="29"/>
      <c r="BNH47" s="29"/>
      <c r="BNI47" s="29"/>
      <c r="BNJ47" s="29"/>
      <c r="BNK47" s="28"/>
      <c r="BNL47" s="29"/>
      <c r="BNM47" s="29"/>
      <c r="BNN47" s="28"/>
      <c r="BNO47" s="29"/>
      <c r="BNP47" s="30"/>
      <c r="BNQ47" s="28"/>
      <c r="BNR47" s="29"/>
      <c r="BNS47" s="29"/>
      <c r="BNT47" s="29"/>
      <c r="BNU47" s="28"/>
      <c r="BNV47" s="29"/>
      <c r="BNW47" s="29"/>
      <c r="BNX47" s="28"/>
      <c r="BNY47" s="29"/>
      <c r="BNZ47" s="30"/>
      <c r="BOA47" s="28"/>
      <c r="BOB47" s="29"/>
      <c r="BOC47" s="29"/>
      <c r="BOD47" s="29"/>
      <c r="BOE47" s="28"/>
      <c r="BOF47" s="29"/>
      <c r="BOG47" s="29"/>
      <c r="BOH47" s="29"/>
      <c r="BOI47" s="29"/>
      <c r="BOJ47" s="29"/>
      <c r="BOK47" s="28"/>
      <c r="BOL47" s="29"/>
      <c r="BOM47" s="29"/>
      <c r="BON47" s="28"/>
      <c r="BOO47" s="29"/>
      <c r="BOP47" s="30"/>
      <c r="BOQ47" s="28"/>
      <c r="BOR47" s="29"/>
      <c r="BOS47" s="29"/>
      <c r="BOT47" s="29"/>
      <c r="BOU47" s="28"/>
      <c r="BOV47" s="29"/>
      <c r="BOW47" s="29"/>
      <c r="BOX47" s="28"/>
      <c r="BOY47" s="29"/>
      <c r="BOZ47" s="30"/>
      <c r="BPA47" s="28"/>
      <c r="BPB47" s="29"/>
      <c r="BPC47" s="29"/>
      <c r="BPD47" s="29"/>
      <c r="BPE47" s="28"/>
      <c r="BPF47" s="29"/>
      <c r="BPG47" s="29"/>
      <c r="BPH47" s="29"/>
      <c r="BPI47" s="29"/>
      <c r="BPJ47" s="29"/>
      <c r="BPK47" s="28"/>
      <c r="BPL47" s="29"/>
      <c r="BPM47" s="29"/>
      <c r="BPN47" s="28"/>
      <c r="BPO47" s="29"/>
      <c r="BPP47" s="30"/>
      <c r="BPQ47" s="28"/>
      <c r="BPR47" s="29"/>
      <c r="BPS47" s="29"/>
      <c r="BPT47" s="29"/>
      <c r="BPU47" s="28"/>
      <c r="BPV47" s="29"/>
      <c r="BPW47" s="29"/>
      <c r="BPX47" s="28"/>
      <c r="BPY47" s="29"/>
      <c r="BPZ47" s="30"/>
      <c r="BQA47" s="28"/>
      <c r="BQB47" s="29"/>
      <c r="BQC47" s="29"/>
      <c r="BQD47" s="29"/>
      <c r="BQE47" s="28"/>
      <c r="BQF47" s="29"/>
      <c r="BQG47" s="29"/>
      <c r="BQH47" s="29"/>
      <c r="BQI47" s="29"/>
      <c r="BQJ47" s="29"/>
      <c r="BQK47" s="28"/>
      <c r="BQL47" s="29"/>
      <c r="BQM47" s="29"/>
      <c r="BQN47" s="28"/>
      <c r="BQO47" s="29"/>
      <c r="BQP47" s="30"/>
      <c r="BQQ47" s="28"/>
      <c r="BQR47" s="29"/>
      <c r="BQS47" s="29"/>
      <c r="BQT47" s="29"/>
      <c r="BQU47" s="28"/>
      <c r="BQV47" s="29"/>
      <c r="BQW47" s="29"/>
      <c r="BQX47" s="28"/>
      <c r="BQY47" s="29"/>
      <c r="BQZ47" s="30"/>
      <c r="BRA47" s="28"/>
      <c r="BRB47" s="29"/>
      <c r="BRC47" s="29"/>
      <c r="BRD47" s="29"/>
      <c r="BRE47" s="28"/>
      <c r="BRF47" s="29"/>
      <c r="BRG47" s="29"/>
      <c r="BRH47" s="29"/>
      <c r="BRI47" s="29"/>
      <c r="BRJ47" s="29"/>
      <c r="BRK47" s="28"/>
      <c r="BRL47" s="29"/>
      <c r="BRM47" s="29"/>
      <c r="BRN47" s="28"/>
      <c r="BRO47" s="29"/>
      <c r="BRP47" s="30"/>
      <c r="BRQ47" s="28"/>
      <c r="BRR47" s="29"/>
      <c r="BRS47" s="29"/>
      <c r="BRT47" s="29"/>
      <c r="BRU47" s="28"/>
      <c r="BRV47" s="29"/>
      <c r="BRW47" s="29"/>
      <c r="BRX47" s="28"/>
      <c r="BRY47" s="29"/>
      <c r="BRZ47" s="30"/>
      <c r="BSA47" s="28"/>
      <c r="BSB47" s="29"/>
      <c r="BSC47" s="29"/>
      <c r="BSD47" s="29"/>
      <c r="BSE47" s="28"/>
      <c r="BSF47" s="29"/>
      <c r="BSG47" s="29"/>
      <c r="BSH47" s="29"/>
      <c r="BSI47" s="29"/>
      <c r="BSJ47" s="29"/>
      <c r="BSK47" s="28"/>
      <c r="BSL47" s="29"/>
      <c r="BSM47" s="29"/>
      <c r="BSN47" s="28"/>
      <c r="BSO47" s="29"/>
      <c r="BSP47" s="30"/>
      <c r="BSQ47" s="28"/>
      <c r="BSR47" s="29"/>
      <c r="BSS47" s="29"/>
      <c r="BST47" s="29"/>
      <c r="BSU47" s="28"/>
      <c r="BSV47" s="29"/>
      <c r="BSW47" s="29"/>
      <c r="BSX47" s="28"/>
      <c r="BSY47" s="29"/>
      <c r="BSZ47" s="30"/>
      <c r="BTA47" s="28"/>
      <c r="BTB47" s="29"/>
      <c r="BTC47" s="29"/>
      <c r="BTD47" s="29"/>
      <c r="BTE47" s="28"/>
      <c r="BTF47" s="29"/>
      <c r="BTG47" s="29"/>
      <c r="BTH47" s="29"/>
      <c r="BTI47" s="29"/>
      <c r="BTJ47" s="29"/>
      <c r="BTK47" s="28"/>
      <c r="BTL47" s="29"/>
      <c r="BTM47" s="29"/>
      <c r="BTN47" s="28"/>
      <c r="BTO47" s="29"/>
      <c r="BTP47" s="30"/>
      <c r="BTQ47" s="28"/>
      <c r="BTR47" s="29"/>
      <c r="BTS47" s="29"/>
      <c r="BTT47" s="29"/>
      <c r="BTU47" s="28"/>
      <c r="BTV47" s="29"/>
      <c r="BTW47" s="29"/>
      <c r="BTX47" s="28"/>
      <c r="BTY47" s="29"/>
      <c r="BTZ47" s="30"/>
      <c r="BUA47" s="28"/>
      <c r="BUB47" s="29"/>
      <c r="BUC47" s="29"/>
      <c r="BUD47" s="29"/>
      <c r="BUE47" s="28"/>
      <c r="BUF47" s="29"/>
      <c r="BUG47" s="29"/>
      <c r="BUH47" s="29"/>
      <c r="BUI47" s="29"/>
      <c r="BUJ47" s="29"/>
      <c r="BUK47" s="28"/>
      <c r="BUL47" s="29"/>
      <c r="BUM47" s="29"/>
      <c r="BUN47" s="28"/>
      <c r="BUO47" s="29"/>
      <c r="BUP47" s="30"/>
      <c r="BUQ47" s="28"/>
      <c r="BUR47" s="29"/>
      <c r="BUS47" s="29"/>
      <c r="BUT47" s="29"/>
      <c r="BUU47" s="28"/>
      <c r="BUV47" s="29"/>
      <c r="BUW47" s="29"/>
      <c r="BUX47" s="28"/>
      <c r="BUY47" s="29"/>
      <c r="BUZ47" s="30"/>
      <c r="BVA47" s="28"/>
      <c r="BVB47" s="29"/>
      <c r="BVC47" s="29"/>
      <c r="BVD47" s="29"/>
      <c r="BVE47" s="28"/>
      <c r="BVF47" s="29"/>
      <c r="BVG47" s="29"/>
      <c r="BVH47" s="29"/>
      <c r="BVI47" s="29"/>
      <c r="BVJ47" s="29"/>
      <c r="BVK47" s="28"/>
      <c r="BVL47" s="29"/>
      <c r="BVM47" s="29"/>
      <c r="BVN47" s="28"/>
      <c r="BVO47" s="29"/>
      <c r="BVP47" s="30"/>
      <c r="BVQ47" s="28"/>
      <c r="BVR47" s="29"/>
      <c r="BVS47" s="29"/>
      <c r="BVT47" s="29"/>
      <c r="BVU47" s="28"/>
      <c r="BVV47" s="29"/>
      <c r="BVW47" s="29"/>
      <c r="BVX47" s="28"/>
      <c r="BVY47" s="29"/>
      <c r="BVZ47" s="30"/>
      <c r="BWA47" s="28"/>
      <c r="BWB47" s="29"/>
      <c r="BWC47" s="29"/>
      <c r="BWD47" s="29"/>
      <c r="BWE47" s="28"/>
      <c r="BWF47" s="29"/>
      <c r="BWG47" s="29"/>
      <c r="BWH47" s="29"/>
      <c r="BWI47" s="29"/>
      <c r="BWJ47" s="29"/>
      <c r="BWK47" s="28"/>
      <c r="BWL47" s="29"/>
      <c r="BWM47" s="29"/>
      <c r="BWN47" s="28"/>
      <c r="BWO47" s="29"/>
      <c r="BWP47" s="30"/>
      <c r="BWQ47" s="28"/>
      <c r="BWR47" s="29"/>
      <c r="BWS47" s="29"/>
      <c r="BWT47" s="29"/>
      <c r="BWU47" s="28"/>
      <c r="BWV47" s="29"/>
      <c r="BWW47" s="29"/>
      <c r="BWX47" s="28"/>
      <c r="BWY47" s="29"/>
      <c r="BWZ47" s="30"/>
      <c r="BXA47" s="28"/>
      <c r="BXB47" s="29"/>
      <c r="BXC47" s="29"/>
      <c r="BXD47" s="29"/>
      <c r="BXE47" s="28"/>
      <c r="BXF47" s="29"/>
      <c r="BXG47" s="29"/>
      <c r="BXH47" s="29"/>
      <c r="BXI47" s="29"/>
      <c r="BXJ47" s="29"/>
      <c r="BXK47" s="28"/>
      <c r="BXL47" s="29"/>
      <c r="BXM47" s="29"/>
      <c r="BXN47" s="28"/>
      <c r="BXO47" s="29"/>
      <c r="BXP47" s="30"/>
      <c r="BXQ47" s="28"/>
      <c r="BXR47" s="29"/>
      <c r="BXS47" s="29"/>
      <c r="BXT47" s="29"/>
      <c r="BXU47" s="28"/>
      <c r="BXV47" s="29"/>
      <c r="BXW47" s="29"/>
      <c r="BXX47" s="28"/>
      <c r="BXY47" s="29"/>
      <c r="BXZ47" s="30"/>
      <c r="BYA47" s="28"/>
      <c r="BYB47" s="29"/>
      <c r="BYC47" s="29"/>
      <c r="BYD47" s="29"/>
      <c r="BYE47" s="28"/>
      <c r="BYF47" s="29"/>
      <c r="BYG47" s="29"/>
      <c r="BYH47" s="29"/>
      <c r="BYI47" s="29"/>
      <c r="BYJ47" s="29"/>
      <c r="BYK47" s="28"/>
      <c r="BYL47" s="29"/>
      <c r="BYM47" s="29"/>
      <c r="BYN47" s="28"/>
      <c r="BYO47" s="29"/>
      <c r="BYP47" s="30"/>
      <c r="BYQ47" s="28"/>
      <c r="BYR47" s="29"/>
      <c r="BYS47" s="29"/>
      <c r="BYT47" s="29"/>
      <c r="BYU47" s="28"/>
      <c r="BYV47" s="29"/>
      <c r="BYW47" s="29"/>
      <c r="BYX47" s="30"/>
      <c r="BYY47" s="29"/>
      <c r="BYZ47" s="28"/>
      <c r="BZA47" s="29"/>
      <c r="BZB47" s="28"/>
      <c r="BZC47" s="28"/>
      <c r="BZD47" s="28"/>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30"/>
      <c r="CAQ47" s="28"/>
      <c r="CAR47" s="29"/>
      <c r="CAS47" s="29"/>
      <c r="CAT47" s="29"/>
      <c r="CAU47" s="29"/>
      <c r="CAV47" s="29"/>
      <c r="CAW47" s="28"/>
      <c r="CAX47" s="29"/>
      <c r="CAY47" s="29"/>
      <c r="CAZ47" s="28"/>
      <c r="CBA47" s="29"/>
      <c r="CBB47" s="30"/>
      <c r="CBC47" s="28"/>
      <c r="CBD47" s="29"/>
      <c r="CBE47" s="29"/>
      <c r="CBF47" s="29"/>
      <c r="CBG47" s="28"/>
      <c r="CBH47" s="29"/>
      <c r="CBI47" s="29"/>
      <c r="CBJ47" s="28"/>
      <c r="CBK47" s="29"/>
      <c r="CBL47" s="30"/>
      <c r="CBM47" s="28"/>
      <c r="CBN47" s="29"/>
      <c r="CBO47" s="29"/>
      <c r="CBP47" s="29"/>
      <c r="CBQ47" s="28"/>
      <c r="CBR47" s="29"/>
      <c r="CBS47" s="29"/>
      <c r="CBT47" s="28"/>
      <c r="CBU47" s="29"/>
      <c r="CBV47" s="30"/>
      <c r="CBW47" s="28"/>
      <c r="CBX47" s="29"/>
      <c r="CBY47" s="29"/>
      <c r="CBZ47" s="29"/>
      <c r="CCA47" s="28"/>
      <c r="CCB47" s="29"/>
      <c r="CCC47" s="29"/>
      <c r="CCD47" s="28"/>
      <c r="CCE47" s="29"/>
      <c r="CCF47" s="30"/>
      <c r="CCG47" s="28"/>
      <c r="CCH47" s="30"/>
      <c r="CCI47" s="29"/>
      <c r="CCJ47" s="28"/>
      <c r="CCK47" s="29"/>
      <c r="CCL47" s="28"/>
      <c r="CCM47" s="28"/>
      <c r="CCN47" s="28"/>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30"/>
      <c r="CEA47" s="28"/>
      <c r="CEB47" s="29"/>
      <c r="CEC47" s="29"/>
      <c r="CED47" s="29"/>
      <c r="CEE47" s="29"/>
      <c r="CEF47" s="29"/>
      <c r="CEG47" s="28"/>
      <c r="CEH47" s="29"/>
      <c r="CEI47" s="29"/>
      <c r="CEJ47" s="28"/>
      <c r="CEK47" s="29"/>
      <c r="CEL47" s="30"/>
      <c r="CEM47" s="28"/>
      <c r="CEN47" s="29"/>
      <c r="CEO47" s="29"/>
      <c r="CEP47" s="29"/>
      <c r="CEQ47" s="28"/>
      <c r="CER47" s="29"/>
      <c r="CES47" s="29"/>
      <c r="CET47" s="28"/>
      <c r="CEU47" s="29"/>
      <c r="CEV47" s="30"/>
      <c r="CEW47" s="28"/>
      <c r="CEX47" s="29"/>
      <c r="CEY47" s="29"/>
      <c r="CEZ47" s="29"/>
      <c r="CFA47" s="28"/>
      <c r="CFB47" s="29"/>
      <c r="CFC47" s="29"/>
      <c r="CFD47" s="28"/>
      <c r="CFE47" s="29"/>
      <c r="CFF47" s="30"/>
      <c r="CFG47" s="28"/>
      <c r="CFH47" s="29"/>
      <c r="CFI47" s="29"/>
      <c r="CFJ47" s="29"/>
      <c r="CFK47" s="28"/>
      <c r="CFL47" s="29"/>
      <c r="CFM47" s="29"/>
      <c r="CFN47" s="28"/>
      <c r="CFO47" s="29"/>
      <c r="CFP47" s="30"/>
      <c r="CFQ47" s="28"/>
      <c r="CFR47" s="30"/>
      <c r="CFS47" s="29"/>
      <c r="CFT47" s="28"/>
      <c r="CFU47" s="29"/>
      <c r="CFV47" s="28"/>
      <c r="CFW47" s="28"/>
      <c r="CFX47" s="28"/>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30"/>
      <c r="CHK47" s="28"/>
      <c r="CHL47" s="29"/>
      <c r="CHM47" s="29"/>
      <c r="CHN47" s="29"/>
      <c r="CHO47" s="29"/>
      <c r="CHP47" s="29"/>
      <c r="CHQ47" s="28"/>
      <c r="CHR47" s="29"/>
      <c r="CHS47" s="29"/>
      <c r="CHT47" s="28"/>
      <c r="CHU47" s="29"/>
      <c r="CHV47" s="30"/>
      <c r="CHW47" s="28"/>
      <c r="CHX47" s="29"/>
      <c r="CHY47" s="29"/>
      <c r="CHZ47" s="29"/>
      <c r="CIA47" s="28"/>
      <c r="CIB47" s="29"/>
      <c r="CIC47" s="29"/>
      <c r="CID47" s="28"/>
      <c r="CIE47" s="29"/>
      <c r="CIF47" s="30"/>
      <c r="CIG47" s="28"/>
      <c r="CIH47" s="29"/>
      <c r="CII47" s="29"/>
      <c r="CIJ47" s="29"/>
      <c r="CIK47" s="28"/>
      <c r="CIL47" s="29"/>
      <c r="CIM47" s="29"/>
      <c r="CIN47" s="28"/>
      <c r="CIO47" s="29"/>
      <c r="CIP47" s="30"/>
      <c r="CIQ47" s="28"/>
      <c r="CIR47" s="29"/>
      <c r="CIS47" s="29"/>
      <c r="CIT47" s="29"/>
      <c r="CIU47" s="28"/>
      <c r="CIV47" s="29"/>
      <c r="CIW47" s="29"/>
      <c r="CIX47" s="28"/>
      <c r="CIY47" s="29"/>
      <c r="CIZ47" s="30"/>
      <c r="CJA47" s="28"/>
      <c r="CJB47" s="30"/>
      <c r="CJC47" s="29"/>
      <c r="CJD47" s="28"/>
      <c r="CJE47" s="29"/>
      <c r="CJF47" s="28"/>
      <c r="CJG47" s="28"/>
      <c r="CJH47" s="28"/>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30"/>
      <c r="CKU47" s="28"/>
      <c r="CKV47" s="29"/>
      <c r="CKW47" s="29"/>
      <c r="CKX47" s="29"/>
      <c r="CKY47" s="29"/>
      <c r="CKZ47" s="29"/>
      <c r="CLA47" s="28"/>
      <c r="CLB47" s="29"/>
      <c r="CLC47" s="29"/>
      <c r="CLD47" s="28"/>
      <c r="CLE47" s="29"/>
      <c r="CLF47" s="30"/>
      <c r="CLG47" s="28"/>
      <c r="CLH47" s="29"/>
      <c r="CLI47" s="29"/>
      <c r="CLJ47" s="29"/>
      <c r="CLK47" s="28"/>
      <c r="CLL47" s="29"/>
      <c r="CLM47" s="29"/>
      <c r="CLN47" s="28"/>
      <c r="CLO47" s="29"/>
      <c r="CLP47" s="30"/>
      <c r="CLQ47" s="28"/>
      <c r="CLR47" s="29"/>
      <c r="CLS47" s="29"/>
      <c r="CLT47" s="29"/>
      <c r="CLU47" s="28"/>
      <c r="CLV47" s="29"/>
      <c r="CLW47" s="29"/>
      <c r="CLX47" s="28"/>
      <c r="CLY47" s="29"/>
      <c r="CLZ47" s="30"/>
      <c r="CMA47" s="28"/>
      <c r="CMB47" s="29"/>
      <c r="CMC47" s="29"/>
      <c r="CMD47" s="29"/>
      <c r="CME47" s="28"/>
      <c r="CMF47" s="29"/>
      <c r="CMG47" s="29"/>
      <c r="CMH47" s="28"/>
      <c r="CMI47" s="29"/>
      <c r="CMJ47" s="30"/>
      <c r="CMK47" s="28"/>
      <c r="CML47" s="30"/>
      <c r="CMM47" s="29"/>
      <c r="CMN47" s="28"/>
      <c r="CMO47" s="29"/>
      <c r="CMP47" s="28"/>
      <c r="CMQ47" s="28"/>
      <c r="CMR47" s="28"/>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30"/>
      <c r="COE47" s="28"/>
      <c r="COF47" s="29"/>
      <c r="COG47" s="29"/>
      <c r="COH47" s="29"/>
      <c r="COI47" s="29"/>
      <c r="COJ47" s="29"/>
      <c r="COK47" s="28"/>
      <c r="COL47" s="29"/>
      <c r="COM47" s="29"/>
      <c r="CON47" s="28"/>
      <c r="COO47" s="29"/>
      <c r="COP47" s="30"/>
      <c r="COQ47" s="28"/>
      <c r="COR47" s="29"/>
      <c r="COS47" s="29"/>
      <c r="COT47" s="29"/>
      <c r="COU47" s="28"/>
      <c r="COV47" s="29"/>
      <c r="COW47" s="29"/>
      <c r="COX47" s="28"/>
      <c r="COY47" s="29"/>
      <c r="COZ47" s="30"/>
      <c r="CPA47" s="28"/>
      <c r="CPB47" s="29"/>
      <c r="CPC47" s="29"/>
      <c r="CPD47" s="29"/>
      <c r="CPE47" s="28"/>
      <c r="CPF47" s="29"/>
      <c r="CPG47" s="29"/>
      <c r="CPH47" s="28"/>
      <c r="CPI47" s="29"/>
      <c r="CPJ47" s="30"/>
      <c r="CPK47" s="28"/>
      <c r="CPL47" s="29"/>
      <c r="CPM47" s="29"/>
      <c r="CPN47" s="29"/>
      <c r="CPO47" s="28"/>
      <c r="CPP47" s="29"/>
      <c r="CPQ47" s="29"/>
      <c r="CPR47" s="28"/>
      <c r="CPS47" s="29"/>
      <c r="CPT47" s="30"/>
      <c r="CPU47" s="28"/>
      <c r="CPV47" s="30"/>
      <c r="CPW47" s="29"/>
      <c r="CPX47" s="28"/>
      <c r="CPY47" s="29"/>
      <c r="CPZ47" s="28"/>
      <c r="CQA47" s="28"/>
      <c r="CQB47" s="28"/>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30"/>
      <c r="CRO47" s="28"/>
      <c r="CRP47" s="29"/>
      <c r="CRQ47" s="29"/>
      <c r="CRR47" s="29"/>
      <c r="CRS47" s="29"/>
      <c r="CRT47" s="29"/>
      <c r="CRU47" s="28"/>
      <c r="CRV47" s="29"/>
      <c r="CRW47" s="29"/>
      <c r="CRX47" s="28"/>
      <c r="CRY47" s="29"/>
      <c r="CRZ47" s="30"/>
      <c r="CSA47" s="28"/>
      <c r="CSB47" s="29"/>
      <c r="CSC47" s="29"/>
      <c r="CSD47" s="29"/>
      <c r="CSE47" s="28"/>
      <c r="CSF47" s="29"/>
      <c r="CSG47" s="29"/>
      <c r="CSH47" s="28"/>
      <c r="CSI47" s="29"/>
      <c r="CSJ47" s="30"/>
      <c r="CSK47" s="28"/>
      <c r="CSL47" s="29"/>
      <c r="CSM47" s="29"/>
      <c r="CSN47" s="29"/>
      <c r="CSO47" s="28"/>
      <c r="CSP47" s="29"/>
      <c r="CSQ47" s="29"/>
      <c r="CSR47" s="28"/>
      <c r="CSS47" s="29"/>
      <c r="CST47" s="30"/>
      <c r="CSU47" s="28"/>
      <c r="CSV47" s="29"/>
      <c r="CSW47" s="29"/>
      <c r="CSX47" s="29"/>
      <c r="CSY47" s="28"/>
      <c r="CSZ47" s="29"/>
      <c r="CTA47" s="29"/>
      <c r="CTB47" s="28"/>
      <c r="CTC47" s="29"/>
      <c r="CTD47" s="30"/>
      <c r="CTE47" s="28"/>
      <c r="CTF47" s="30"/>
      <c r="CTG47" s="29"/>
      <c r="CTH47" s="28"/>
      <c r="CTI47" s="29"/>
      <c r="CTJ47" s="28"/>
      <c r="CTK47" s="28"/>
      <c r="CTL47" s="28"/>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30"/>
      <c r="CUY47" s="28"/>
      <c r="CUZ47" s="29"/>
      <c r="CVA47" s="29"/>
      <c r="CVB47" s="29"/>
      <c r="CVC47" s="29"/>
      <c r="CVD47" s="29"/>
      <c r="CVE47" s="28"/>
      <c r="CVF47" s="29"/>
      <c r="CVG47" s="29"/>
      <c r="CVH47" s="28"/>
      <c r="CVI47" s="29"/>
      <c r="CVJ47" s="30"/>
      <c r="CVK47" s="28"/>
      <c r="CVL47" s="29"/>
      <c r="CVM47" s="29"/>
      <c r="CVN47" s="29"/>
      <c r="CVO47" s="28"/>
      <c r="CVP47" s="29"/>
      <c r="CVQ47" s="29"/>
      <c r="CVR47" s="28"/>
      <c r="CVS47" s="29"/>
      <c r="CVT47" s="30"/>
      <c r="CVU47" s="28"/>
      <c r="CVV47" s="29"/>
      <c r="CVW47" s="29"/>
      <c r="CVX47" s="29"/>
      <c r="CVY47" s="28"/>
      <c r="CVZ47" s="29"/>
      <c r="CWA47" s="29"/>
      <c r="CWB47" s="28"/>
      <c r="CWC47" s="29"/>
      <c r="CWD47" s="30"/>
      <c r="CWE47" s="28"/>
      <c r="CWF47" s="29"/>
      <c r="CWG47" s="29"/>
      <c r="CWH47" s="29"/>
      <c r="CWI47" s="28"/>
      <c r="CWJ47" s="29"/>
      <c r="CWK47" s="29"/>
      <c r="CWL47" s="28"/>
      <c r="CWM47" s="29"/>
      <c r="CWN47" s="30"/>
      <c r="CWO47" s="28"/>
      <c r="CWP47" s="30"/>
      <c r="CWQ47" s="29"/>
      <c r="CWR47" s="28"/>
      <c r="CWS47" s="29"/>
      <c r="CWT47" s="28"/>
      <c r="CWU47" s="28"/>
      <c r="CWV47" s="28"/>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30"/>
      <c r="CYI47" s="28"/>
      <c r="CYJ47" s="29"/>
      <c r="CYK47" s="29"/>
      <c r="CYL47" s="29"/>
      <c r="CYM47" s="29"/>
      <c r="CYN47" s="29"/>
      <c r="CYO47" s="28"/>
      <c r="CYP47" s="29"/>
      <c r="CYQ47" s="29"/>
      <c r="CYR47" s="28"/>
      <c r="CYS47" s="29"/>
      <c r="CYT47" s="30"/>
      <c r="CYU47" s="28"/>
      <c r="CYV47" s="29"/>
      <c r="CYW47" s="29"/>
      <c r="CYX47" s="29"/>
      <c r="CYY47" s="28"/>
      <c r="CYZ47" s="29"/>
      <c r="CZA47" s="29"/>
      <c r="CZB47" s="28"/>
      <c r="CZC47" s="29"/>
      <c r="CZD47" s="30"/>
      <c r="CZE47" s="28"/>
      <c r="CZF47" s="29"/>
      <c r="CZG47" s="29"/>
      <c r="CZH47" s="29"/>
      <c r="CZI47" s="28"/>
      <c r="CZJ47" s="29"/>
      <c r="CZK47" s="29"/>
      <c r="CZL47" s="28"/>
      <c r="CZM47" s="29"/>
      <c r="CZN47" s="30"/>
      <c r="CZO47" s="28"/>
      <c r="CZP47" s="29"/>
      <c r="CZQ47" s="29"/>
      <c r="CZR47" s="29"/>
      <c r="CZS47" s="28"/>
      <c r="CZT47" s="29"/>
      <c r="CZU47" s="29"/>
      <c r="CZV47" s="28"/>
      <c r="CZW47" s="29"/>
      <c r="CZX47" s="30"/>
      <c r="CZY47" s="28"/>
      <c r="CZZ47" s="30"/>
      <c r="DAA47" s="29"/>
      <c r="DAB47" s="28"/>
      <c r="DAC47" s="29"/>
      <c r="DAD47" s="28"/>
      <c r="DAE47" s="28"/>
      <c r="DAF47" s="28"/>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30"/>
      <c r="DBS47" s="28"/>
      <c r="DBT47" s="29"/>
      <c r="DBU47" s="29"/>
      <c r="DBV47" s="29"/>
      <c r="DBW47" s="29"/>
      <c r="DBX47" s="29"/>
      <c r="DBY47" s="28"/>
      <c r="DBZ47" s="29"/>
      <c r="DCA47" s="29"/>
      <c r="DCB47" s="28"/>
      <c r="DCC47" s="29"/>
      <c r="DCD47" s="30"/>
      <c r="DCE47" s="28"/>
      <c r="DCF47" s="29"/>
      <c r="DCG47" s="29"/>
      <c r="DCH47" s="29"/>
      <c r="DCI47" s="28"/>
      <c r="DCJ47" s="29"/>
      <c r="DCK47" s="29"/>
      <c r="DCL47" s="28"/>
      <c r="DCM47" s="29"/>
      <c r="DCN47" s="30"/>
      <c r="DCO47" s="28"/>
      <c r="DCP47" s="29"/>
      <c r="DCQ47" s="29"/>
      <c r="DCR47" s="29"/>
      <c r="DCS47" s="28"/>
      <c r="DCT47" s="29"/>
      <c r="DCU47" s="29"/>
      <c r="DCV47" s="28"/>
      <c r="DCW47" s="29"/>
      <c r="DCX47" s="30"/>
      <c r="DCY47" s="28"/>
      <c r="DCZ47" s="29"/>
      <c r="DDA47" s="29"/>
      <c r="DDB47" s="29"/>
      <c r="DDC47" s="28"/>
      <c r="DDD47" s="29"/>
      <c r="DDE47" s="29"/>
      <c r="DDF47" s="28"/>
      <c r="DDG47" s="29"/>
      <c r="DDH47" s="30"/>
      <c r="DDI47" s="28"/>
      <c r="DDJ47" s="30"/>
      <c r="DDK47" s="29"/>
      <c r="DDL47" s="28"/>
      <c r="DDM47" s="29"/>
      <c r="DDN47" s="28"/>
      <c r="DDO47" s="28"/>
      <c r="DDP47" s="28"/>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30"/>
      <c r="DFC47" s="28"/>
      <c r="DFD47" s="29"/>
      <c r="DFE47" s="29"/>
      <c r="DFF47" s="29"/>
      <c r="DFG47" s="29"/>
      <c r="DFH47" s="29"/>
      <c r="DFI47" s="28"/>
      <c r="DFJ47" s="29"/>
      <c r="DFK47" s="29"/>
      <c r="DFL47" s="28"/>
      <c r="DFM47" s="29"/>
      <c r="DFN47" s="30"/>
      <c r="DFO47" s="28"/>
      <c r="DFP47" s="29"/>
      <c r="DFQ47" s="29"/>
      <c r="DFR47" s="29"/>
      <c r="DFS47" s="28"/>
      <c r="DFT47" s="29"/>
      <c r="DFU47" s="29"/>
      <c r="DFV47" s="28"/>
      <c r="DFW47" s="29"/>
      <c r="DFX47" s="30"/>
      <c r="DFY47" s="28"/>
      <c r="DFZ47" s="29"/>
      <c r="DGA47" s="29"/>
      <c r="DGB47" s="29"/>
      <c r="DGC47" s="28"/>
      <c r="DGD47" s="29"/>
      <c r="DGE47" s="29"/>
      <c r="DGF47" s="28"/>
      <c r="DGG47" s="29"/>
      <c r="DGH47" s="30"/>
      <c r="DGI47" s="28"/>
      <c r="DGJ47" s="29"/>
      <c r="DGK47" s="29"/>
      <c r="DGL47" s="29"/>
      <c r="DGM47" s="28"/>
      <c r="DGN47" s="29"/>
      <c r="DGO47" s="29"/>
      <c r="DGP47" s="28"/>
      <c r="DGQ47" s="29"/>
      <c r="DGR47" s="30"/>
      <c r="DGS47" s="28"/>
      <c r="DGT47" s="30"/>
      <c r="DGU47" s="29"/>
      <c r="DGV47" s="28"/>
      <c r="DGW47" s="29"/>
      <c r="DGX47" s="28"/>
      <c r="DGY47" s="28"/>
      <c r="DGZ47" s="28"/>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30"/>
      <c r="DIM47" s="28"/>
      <c r="DIN47" s="29"/>
      <c r="DIO47" s="29"/>
      <c r="DIP47" s="29"/>
      <c r="DIQ47" s="29"/>
      <c r="DIR47" s="29"/>
      <c r="DIS47" s="28"/>
      <c r="DIT47" s="29"/>
      <c r="DIU47" s="29"/>
      <c r="DIV47" s="28"/>
      <c r="DIW47" s="29"/>
      <c r="DIX47" s="30"/>
      <c r="DIY47" s="28"/>
      <c r="DIZ47" s="29"/>
      <c r="DJA47" s="29"/>
      <c r="DJB47" s="29"/>
      <c r="DJC47" s="28"/>
      <c r="DJD47" s="29"/>
      <c r="DJE47" s="29"/>
      <c r="DJF47" s="28"/>
      <c r="DJG47" s="29"/>
      <c r="DJH47" s="30"/>
      <c r="DJI47" s="28"/>
      <c r="DJJ47" s="29"/>
      <c r="DJK47" s="29"/>
      <c r="DJL47" s="29"/>
      <c r="DJM47" s="28"/>
      <c r="DJN47" s="29"/>
      <c r="DJO47" s="29"/>
      <c r="DJP47" s="28"/>
      <c r="DJQ47" s="29"/>
      <c r="DJR47" s="30"/>
      <c r="DJS47" s="28"/>
      <c r="DJT47" s="29"/>
      <c r="DJU47" s="29"/>
      <c r="DJV47" s="29"/>
      <c r="DJW47" s="28"/>
      <c r="DJX47" s="29"/>
      <c r="DJY47" s="29"/>
      <c r="DJZ47" s="28"/>
      <c r="DKA47" s="29"/>
      <c r="DKB47" s="30"/>
      <c r="DKC47" s="28"/>
      <c r="DKD47" s="30"/>
      <c r="DKE47" s="29"/>
      <c r="DKF47" s="28"/>
      <c r="DKG47" s="29"/>
      <c r="DKH47" s="28"/>
      <c r="DKI47" s="28"/>
      <c r="DKJ47" s="28"/>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30"/>
      <c r="DLW47" s="28"/>
      <c r="DLX47" s="29"/>
      <c r="DLY47" s="29"/>
      <c r="DLZ47" s="29"/>
      <c r="DMA47" s="29"/>
      <c r="DMB47" s="29"/>
      <c r="DMC47" s="28"/>
      <c r="DMD47" s="29"/>
      <c r="DME47" s="29"/>
      <c r="DMF47" s="28"/>
      <c r="DMG47" s="29"/>
      <c r="DMH47" s="30"/>
      <c r="DMI47" s="28"/>
      <c r="DMJ47" s="29"/>
      <c r="DMK47" s="29"/>
      <c r="DML47" s="29"/>
      <c r="DMM47" s="28"/>
      <c r="DMN47" s="29"/>
      <c r="DMO47" s="29"/>
      <c r="DMP47" s="28"/>
      <c r="DMQ47" s="29"/>
      <c r="DMR47" s="30"/>
      <c r="DMS47" s="28"/>
      <c r="DMT47" s="29"/>
      <c r="DMU47" s="29"/>
      <c r="DMV47" s="29"/>
      <c r="DMW47" s="28"/>
      <c r="DMX47" s="29"/>
      <c r="DMY47" s="29"/>
      <c r="DMZ47" s="28"/>
      <c r="DNA47" s="29"/>
      <c r="DNB47" s="30"/>
      <c r="DNC47" s="28"/>
      <c r="DND47" s="29"/>
      <c r="DNE47" s="29"/>
      <c r="DNF47" s="29"/>
      <c r="DNG47" s="28"/>
      <c r="DNH47" s="29"/>
      <c r="DNI47" s="29"/>
      <c r="DNJ47" s="28"/>
      <c r="DNK47" s="29"/>
      <c r="DNL47" s="30"/>
      <c r="DNM47" s="28"/>
      <c r="DNN47" s="30"/>
      <c r="DNO47" s="29"/>
      <c r="DNP47" s="28"/>
      <c r="DNQ47" s="29"/>
      <c r="DNR47" s="28"/>
      <c r="DNS47" s="28"/>
      <c r="DNT47" s="28"/>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30"/>
      <c r="DPG47" s="28"/>
      <c r="DPH47" s="29"/>
      <c r="DPI47" s="29"/>
      <c r="DPJ47" s="29"/>
      <c r="DPK47" s="29"/>
      <c r="DPL47" s="29"/>
      <c r="DPM47" s="28"/>
      <c r="DPN47" s="29"/>
      <c r="DPO47" s="29"/>
      <c r="DPP47" s="28"/>
      <c r="DPQ47" s="29"/>
      <c r="DPR47" s="30"/>
      <c r="DPS47" s="28"/>
      <c r="DPT47" s="29"/>
      <c r="DPU47" s="29"/>
      <c r="DPV47" s="29"/>
      <c r="DPW47" s="28"/>
      <c r="DPX47" s="29"/>
      <c r="DPY47" s="29"/>
      <c r="DPZ47" s="28"/>
      <c r="DQA47" s="29"/>
      <c r="DQB47" s="30"/>
      <c r="DQC47" s="28"/>
      <c r="DQD47" s="29"/>
      <c r="DQE47" s="29"/>
      <c r="DQF47" s="29"/>
      <c r="DQG47" s="28"/>
      <c r="DQH47" s="29"/>
      <c r="DQI47" s="29"/>
      <c r="DQJ47" s="28"/>
      <c r="DQK47" s="29"/>
      <c r="DQL47" s="30"/>
      <c r="DQM47" s="28"/>
      <c r="DQN47" s="29"/>
      <c r="DQO47" s="29"/>
      <c r="DQP47" s="29"/>
      <c r="DQQ47" s="28"/>
      <c r="DQR47" s="29"/>
      <c r="DQS47" s="29"/>
      <c r="DQT47" s="28"/>
      <c r="DQU47" s="29"/>
      <c r="DQV47" s="30"/>
      <c r="DQW47" s="28"/>
      <c r="DQX47" s="30"/>
      <c r="DQY47" s="29"/>
      <c r="DQZ47" s="28"/>
      <c r="DRA47" s="29"/>
      <c r="DRB47" s="28"/>
      <c r="DRC47" s="28"/>
      <c r="DRD47" s="28"/>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30"/>
      <c r="DSQ47" s="28"/>
      <c r="DSR47" s="29"/>
      <c r="DSS47" s="29"/>
      <c r="DST47" s="29"/>
      <c r="DSU47" s="29"/>
      <c r="DSV47" s="29"/>
      <c r="DSW47" s="28"/>
      <c r="DSX47" s="29"/>
      <c r="DSY47" s="29"/>
      <c r="DSZ47" s="28"/>
      <c r="DTA47" s="29"/>
      <c r="DTB47" s="30"/>
      <c r="DTC47" s="28"/>
      <c r="DTD47" s="29"/>
      <c r="DTE47" s="29"/>
      <c r="DTF47" s="29"/>
      <c r="DTG47" s="28"/>
      <c r="DTH47" s="29"/>
      <c r="DTI47" s="29"/>
      <c r="DTJ47" s="28"/>
      <c r="DTK47" s="29"/>
      <c r="DTL47" s="30"/>
      <c r="DTM47" s="28"/>
      <c r="DTN47" s="29"/>
      <c r="DTO47" s="29"/>
      <c r="DTP47" s="29"/>
      <c r="DTQ47" s="28"/>
      <c r="DTR47" s="29"/>
      <c r="DTS47" s="29"/>
      <c r="DTT47" s="28"/>
      <c r="DTU47" s="29"/>
      <c r="DTV47" s="30"/>
      <c r="DTW47" s="28"/>
      <c r="DTX47" s="29"/>
      <c r="DTY47" s="29"/>
      <c r="DTZ47" s="29"/>
      <c r="DUA47" s="28"/>
      <c r="DUB47" s="29"/>
      <c r="DUC47" s="29"/>
      <c r="DUD47" s="28"/>
      <c r="DUE47" s="29"/>
      <c r="DUF47" s="30"/>
      <c r="DUG47" s="28"/>
      <c r="DUH47" s="30"/>
      <c r="DUI47" s="29"/>
      <c r="DUJ47" s="28"/>
      <c r="DUK47" s="29"/>
      <c r="DUL47" s="28"/>
      <c r="DUM47" s="28"/>
      <c r="DUN47" s="28"/>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30"/>
      <c r="DWA47" s="28"/>
      <c r="DWB47" s="29"/>
      <c r="DWC47" s="29"/>
      <c r="DWD47" s="29"/>
      <c r="DWE47" s="29"/>
      <c r="DWF47" s="29"/>
      <c r="DWG47" s="28"/>
      <c r="DWH47" s="29"/>
      <c r="DWI47" s="29"/>
      <c r="DWJ47" s="28"/>
      <c r="DWK47" s="29"/>
      <c r="DWL47" s="30"/>
      <c r="DWM47" s="28"/>
      <c r="DWN47" s="29"/>
      <c r="DWO47" s="29"/>
      <c r="DWP47" s="29"/>
      <c r="DWQ47" s="28"/>
      <c r="DWR47" s="29"/>
      <c r="DWS47" s="29"/>
      <c r="DWT47" s="28"/>
      <c r="DWU47" s="29"/>
      <c r="DWV47" s="30"/>
      <c r="DWW47" s="28"/>
      <c r="DWX47" s="29"/>
      <c r="DWY47" s="29"/>
      <c r="DWZ47" s="29"/>
      <c r="DXA47" s="28"/>
      <c r="DXB47" s="29"/>
      <c r="DXC47" s="29"/>
      <c r="DXD47" s="28"/>
      <c r="DXE47" s="29"/>
      <c r="DXF47" s="30"/>
      <c r="DXG47" s="28"/>
      <c r="DXH47" s="29"/>
      <c r="DXI47" s="29"/>
      <c r="DXJ47" s="29"/>
      <c r="DXK47" s="28"/>
      <c r="DXL47" s="29"/>
      <c r="DXM47" s="29"/>
      <c r="DXN47" s="28"/>
      <c r="DXO47" s="29"/>
      <c r="DXP47" s="30"/>
      <c r="DXQ47" s="28"/>
      <c r="DXR47" s="30"/>
      <c r="DXS47" s="29"/>
      <c r="DXT47" s="28"/>
      <c r="DXU47" s="29"/>
      <c r="DXV47" s="28"/>
      <c r="DXW47" s="28"/>
      <c r="DXX47" s="28"/>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30"/>
      <c r="DZK47" s="28"/>
      <c r="DZL47" s="29"/>
      <c r="DZM47" s="29"/>
      <c r="DZN47" s="29"/>
      <c r="DZO47" s="29"/>
      <c r="DZP47" s="29"/>
      <c r="DZQ47" s="28"/>
      <c r="DZR47" s="29"/>
      <c r="DZS47" s="29"/>
      <c r="DZT47" s="28"/>
      <c r="DZU47" s="29"/>
      <c r="DZV47" s="30"/>
      <c r="DZW47" s="28"/>
      <c r="DZX47" s="29"/>
      <c r="DZY47" s="29"/>
      <c r="DZZ47" s="29"/>
      <c r="EAA47" s="28"/>
      <c r="EAB47" s="29"/>
      <c r="EAC47" s="29"/>
      <c r="EAD47" s="28"/>
      <c r="EAE47" s="29"/>
      <c r="EAF47" s="30"/>
      <c r="EAG47" s="28"/>
      <c r="EAH47" s="29"/>
      <c r="EAI47" s="29"/>
      <c r="EAJ47" s="29"/>
      <c r="EAK47" s="28"/>
      <c r="EAL47" s="29"/>
      <c r="EAM47" s="29"/>
      <c r="EAN47" s="28"/>
      <c r="EAO47" s="29"/>
      <c r="EAP47" s="30"/>
      <c r="EAQ47" s="28"/>
      <c r="EAR47" s="29"/>
      <c r="EAS47" s="29"/>
      <c r="EAT47" s="29"/>
      <c r="EAU47" s="28"/>
      <c r="EAV47" s="29"/>
      <c r="EAW47" s="29"/>
      <c r="EAX47" s="28"/>
      <c r="EAY47" s="29"/>
      <c r="EAZ47" s="30"/>
      <c r="EBA47" s="28"/>
      <c r="EBB47" s="30"/>
      <c r="EBC47" s="29"/>
      <c r="EBD47" s="28"/>
      <c r="EBE47" s="29"/>
      <c r="EBF47" s="28"/>
      <c r="EBG47" s="28"/>
      <c r="EBH47" s="28"/>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30"/>
      <c r="ECU47" s="28"/>
      <c r="ECV47" s="29"/>
      <c r="ECW47" s="29"/>
      <c r="ECX47" s="29"/>
      <c r="ECY47" s="29"/>
      <c r="ECZ47" s="29"/>
      <c r="EDA47" s="28"/>
      <c r="EDB47" s="29"/>
      <c r="EDC47" s="29"/>
      <c r="EDD47" s="28"/>
      <c r="EDE47" s="29"/>
      <c r="EDF47" s="30"/>
      <c r="EDG47" s="28"/>
      <c r="EDH47" s="29"/>
      <c r="EDI47" s="29"/>
      <c r="EDJ47" s="29"/>
      <c r="EDK47" s="28"/>
      <c r="EDL47" s="29"/>
      <c r="EDM47" s="29"/>
      <c r="EDN47" s="28"/>
      <c r="EDO47" s="29"/>
      <c r="EDP47" s="30"/>
      <c r="EDQ47" s="28"/>
      <c r="EDR47" s="29"/>
      <c r="EDS47" s="29"/>
      <c r="EDT47" s="29"/>
      <c r="EDU47" s="28"/>
      <c r="EDV47" s="29"/>
      <c r="EDW47" s="29"/>
      <c r="EDX47" s="28"/>
      <c r="EDY47" s="29"/>
      <c r="EDZ47" s="30"/>
      <c r="EEA47" s="28"/>
      <c r="EEB47" s="29"/>
      <c r="EEC47" s="29"/>
      <c r="EED47" s="29"/>
      <c r="EEE47" s="28"/>
      <c r="EEF47" s="29"/>
      <c r="EEG47" s="29"/>
      <c r="EEH47" s="28"/>
      <c r="EEI47" s="29"/>
      <c r="EEJ47" s="30"/>
      <c r="EEK47" s="28"/>
      <c r="EEL47" s="30"/>
      <c r="EEM47" s="29"/>
      <c r="EEN47" s="28"/>
      <c r="EEO47" s="29"/>
      <c r="EEP47" s="28"/>
      <c r="EEQ47" s="28"/>
      <c r="EER47" s="28"/>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30"/>
      <c r="EGE47" s="28"/>
      <c r="EGF47" s="29"/>
      <c r="EGG47" s="29"/>
      <c r="EGH47" s="29"/>
      <c r="EGI47" s="29"/>
      <c r="EGJ47" s="29"/>
      <c r="EGK47" s="28"/>
      <c r="EGL47" s="29"/>
      <c r="EGM47" s="29"/>
      <c r="EGN47" s="28"/>
      <c r="EGO47" s="29"/>
      <c r="EGP47" s="30"/>
      <c r="EGQ47" s="28"/>
      <c r="EGR47" s="29"/>
      <c r="EGS47" s="29"/>
      <c r="EGT47" s="29"/>
      <c r="EGU47" s="28"/>
      <c r="EGV47" s="29"/>
      <c r="EGW47" s="29"/>
      <c r="EGX47" s="28"/>
      <c r="EGY47" s="29"/>
      <c r="EGZ47" s="30"/>
      <c r="EHA47" s="28"/>
      <c r="EHB47" s="29"/>
      <c r="EHC47" s="29"/>
      <c r="EHD47" s="29"/>
      <c r="EHE47" s="28"/>
      <c r="EHF47" s="29"/>
      <c r="EHG47" s="29"/>
      <c r="EHH47" s="28"/>
      <c r="EHI47" s="29"/>
      <c r="EHJ47" s="30"/>
      <c r="EHK47" s="28"/>
      <c r="EHL47" s="29"/>
      <c r="EHM47" s="29"/>
      <c r="EHN47" s="29"/>
      <c r="EHO47" s="28"/>
      <c r="EHP47" s="29"/>
      <c r="EHQ47" s="29"/>
      <c r="EHR47" s="28"/>
      <c r="EHS47" s="29"/>
      <c r="EHT47" s="30"/>
      <c r="EHU47" s="28"/>
      <c r="EHV47" s="30"/>
      <c r="EHW47" s="29"/>
      <c r="EHX47" s="28"/>
      <c r="EHY47" s="29"/>
      <c r="EHZ47" s="28"/>
      <c r="EIA47" s="28"/>
      <c r="EIB47" s="28"/>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30"/>
      <c r="EJO47" s="28"/>
      <c r="EJP47" s="29"/>
      <c r="EJQ47" s="29"/>
      <c r="EJR47" s="29"/>
      <c r="EJS47" s="29"/>
      <c r="EJT47" s="29"/>
      <c r="EJU47" s="28"/>
      <c r="EJV47" s="29"/>
      <c r="EJW47" s="29"/>
      <c r="EJX47" s="28"/>
      <c r="EJY47" s="29"/>
      <c r="EJZ47" s="30"/>
      <c r="EKA47" s="28"/>
      <c r="EKB47" s="29"/>
      <c r="EKC47" s="29"/>
      <c r="EKD47" s="29"/>
      <c r="EKE47" s="28"/>
      <c r="EKF47" s="29"/>
      <c r="EKG47" s="29"/>
      <c r="EKH47" s="28"/>
      <c r="EKI47" s="29"/>
      <c r="EKJ47" s="30"/>
      <c r="EKK47" s="28"/>
      <c r="EKL47" s="29"/>
      <c r="EKM47" s="29"/>
      <c r="EKN47" s="29"/>
      <c r="EKO47" s="28"/>
      <c r="EKP47" s="29"/>
      <c r="EKQ47" s="29"/>
      <c r="EKR47" s="28"/>
      <c r="EKS47" s="29"/>
      <c r="EKT47" s="30"/>
      <c r="EKU47" s="28"/>
      <c r="EKV47" s="29"/>
      <c r="EKW47" s="29"/>
      <c r="EKX47" s="29"/>
      <c r="EKY47" s="28"/>
      <c r="EKZ47" s="29"/>
      <c r="ELA47" s="29"/>
      <c r="ELB47" s="28"/>
      <c r="ELC47" s="29"/>
      <c r="ELD47" s="30"/>
      <c r="ELE47" s="28"/>
      <c r="ELF47" s="30"/>
      <c r="ELG47" s="29"/>
      <c r="ELH47" s="28"/>
      <c r="ELI47" s="29"/>
      <c r="ELJ47" s="28"/>
      <c r="ELK47" s="28"/>
      <c r="ELL47" s="28"/>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30"/>
      <c r="EMY47" s="28"/>
      <c r="EMZ47" s="29"/>
      <c r="ENA47" s="29"/>
      <c r="ENB47" s="29"/>
      <c r="ENC47" s="29"/>
      <c r="END47" s="29"/>
      <c r="ENE47" s="28"/>
      <c r="ENF47" s="29"/>
      <c r="ENG47" s="29"/>
      <c r="ENH47" s="28"/>
      <c r="ENI47" s="29"/>
      <c r="ENJ47" s="30"/>
      <c r="ENK47" s="28"/>
      <c r="ENL47" s="29"/>
      <c r="ENM47" s="29"/>
      <c r="ENN47" s="29"/>
      <c r="ENO47" s="28"/>
      <c r="ENP47" s="29"/>
      <c r="ENQ47" s="29"/>
      <c r="ENR47" s="28"/>
      <c r="ENS47" s="29"/>
      <c r="ENT47" s="30"/>
      <c r="ENU47" s="28"/>
      <c r="ENV47" s="29"/>
      <c r="ENW47" s="29"/>
      <c r="ENX47" s="29"/>
      <c r="ENY47" s="28"/>
      <c r="ENZ47" s="29"/>
      <c r="EOA47" s="29"/>
      <c r="EOB47" s="28"/>
      <c r="EOC47" s="29"/>
      <c r="EOD47" s="30"/>
      <c r="EOE47" s="28"/>
      <c r="EOF47" s="29"/>
      <c r="EOG47" s="29"/>
      <c r="EOH47" s="29"/>
      <c r="EOI47" s="28"/>
      <c r="EOJ47" s="29"/>
      <c r="EOK47" s="29"/>
      <c r="EOL47" s="28"/>
      <c r="EOM47" s="29"/>
      <c r="EON47" s="30"/>
      <c r="EOO47" s="28" t="str">
        <f t="shared" si="149"/>
        <v xml:space="preserve"> </v>
      </c>
      <c r="EOP47" s="30"/>
      <c r="EOQ47" s="29"/>
      <c r="EOR47" s="28"/>
      <c r="EOS47" s="29"/>
      <c r="EOT47" s="28"/>
      <c r="EOU47" s="28"/>
      <c r="EOV47" s="28"/>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30"/>
      <c r="EQI47" s="28"/>
      <c r="EQJ47" s="29"/>
      <c r="EQK47" s="29"/>
      <c r="EQL47" s="29"/>
      <c r="EQM47" s="29"/>
      <c r="EQN47" s="29"/>
      <c r="EQO47" s="28"/>
      <c r="EQP47" s="29"/>
      <c r="EQQ47" s="29"/>
      <c r="EQR47" s="28"/>
      <c r="EQS47" s="29"/>
      <c r="EQT47" s="30"/>
      <c r="EQU47" s="28"/>
      <c r="EQV47" s="29"/>
      <c r="EQW47" s="29"/>
      <c r="EQX47" s="29"/>
      <c r="EQY47" s="28"/>
      <c r="EQZ47" s="29"/>
      <c r="ERA47" s="29"/>
      <c r="ERB47" s="28"/>
      <c r="ERC47" s="29"/>
      <c r="ERD47" s="30"/>
      <c r="ERE47" s="28"/>
      <c r="ERF47" s="29"/>
      <c r="ERG47" s="29"/>
      <c r="ERH47" s="29"/>
      <c r="ERI47" s="28"/>
      <c r="ERJ47" s="29"/>
      <c r="ERK47" s="29"/>
      <c r="ERL47" s="28"/>
      <c r="ERM47" s="29"/>
      <c r="ERN47" s="30"/>
      <c r="ERO47" s="28"/>
      <c r="ERP47" s="29"/>
      <c r="ERQ47" s="29"/>
      <c r="ERR47" s="29"/>
      <c r="ERS47" s="28"/>
      <c r="ERT47" s="29"/>
      <c r="ERU47" s="29"/>
      <c r="ERV47" s="28"/>
      <c r="ERW47" s="29"/>
      <c r="ERX47" s="30"/>
      <c r="ERY47" s="28" t="str">
        <f t="shared" si="152"/>
        <v xml:space="preserve"> </v>
      </c>
      <c r="ERZ47" s="30"/>
      <c r="ESA47" s="29"/>
      <c r="ESB47" s="28"/>
      <c r="ESC47" s="29"/>
      <c r="ESD47" s="28"/>
      <c r="ESE47" s="28"/>
      <c r="ESF47" s="28"/>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30"/>
      <c r="ETS47" s="28"/>
      <c r="ETT47" s="29"/>
      <c r="ETU47" s="29"/>
      <c r="ETV47" s="29"/>
      <c r="ETW47" s="29"/>
      <c r="ETX47" s="29"/>
      <c r="ETY47" s="28"/>
      <c r="ETZ47" s="29"/>
      <c r="EUA47" s="29"/>
      <c r="EUB47" s="28"/>
      <c r="EUC47" s="29"/>
      <c r="EUD47" s="30"/>
      <c r="EUE47" s="28"/>
      <c r="EUF47" s="29"/>
      <c r="EUG47" s="29"/>
      <c r="EUH47" s="29"/>
      <c r="EUI47" s="28"/>
      <c r="EUJ47" s="29"/>
      <c r="EUK47" s="29"/>
      <c r="EUL47" s="28"/>
      <c r="EUM47" s="29"/>
      <c r="EUN47" s="30"/>
      <c r="EUO47" s="28"/>
      <c r="EUP47" s="29"/>
      <c r="EUQ47" s="29"/>
      <c r="EUR47" s="29"/>
      <c r="EUS47" s="28"/>
      <c r="EUT47" s="29"/>
      <c r="EUU47" s="29"/>
      <c r="EUV47" s="28"/>
      <c r="EUW47" s="29"/>
      <c r="EUX47" s="30"/>
      <c r="EUY47" s="28"/>
      <c r="EUZ47" s="29"/>
      <c r="EVA47" s="29"/>
      <c r="EVB47" s="29"/>
      <c r="EVC47" s="28"/>
      <c r="EVD47" s="29"/>
      <c r="EVE47" s="29"/>
      <c r="EVF47" s="28"/>
      <c r="EVG47" s="29"/>
      <c r="EVH47" s="30"/>
      <c r="EVI47" s="28" t="str">
        <f t="shared" si="153"/>
        <v xml:space="preserve"> </v>
      </c>
    </row>
    <row r="48" spans="1:3961" x14ac:dyDescent="0.3">
      <c r="A48" s="424" t="s">
        <v>3</v>
      </c>
      <c r="B48" s="58" t="str">
        <f>'REG y VAL POE - AESR - ESR'!B3657</f>
        <v>Altamirano Santiago Jonathan</v>
      </c>
      <c r="C48" s="57" t="str">
        <f>'REG y VAL POE - AESR - ESR'!C3657</f>
        <v>POE-RG</v>
      </c>
      <c r="D48" s="56">
        <f>'REG y VAL POE - AESR - ESR'!D3657</f>
        <v>23156956</v>
      </c>
      <c r="E48" s="57">
        <f>'REG y VAL POE - AESR - ESR'!E3657</f>
        <v>0</v>
      </c>
      <c r="F48" s="56">
        <f>'REG y VAL POE - AESR - ESR'!F3657</f>
        <v>0</v>
      </c>
      <c r="G48" s="59">
        <f>'REG y VAL POE - AESR - ESR'!G3657</f>
        <v>45377</v>
      </c>
      <c r="H48" s="59">
        <f>'REG y VAL POE - AESR - ESR'!H3657</f>
        <v>45742</v>
      </c>
      <c r="I48" s="57" t="str">
        <f>'REG y VAL POE - AESR - ESR'!I3657</f>
        <v>SI</v>
      </c>
      <c r="J48" s="57" t="str">
        <f>'REG y VAL POE - AESR - ESR'!J3657</f>
        <v>Vigente</v>
      </c>
      <c r="K48" s="57" t="str">
        <f>'REG y VAL POE - AESR - ESR'!K3657</f>
        <v>SI</v>
      </c>
      <c r="L48" s="57" t="str">
        <f>'REG y VAL POE - AESR - ESR'!L3657</f>
        <v>Vigente</v>
      </c>
      <c r="M48" s="57" t="str">
        <f>'REG y VAL POE - AESR - ESR'!M3657</f>
        <v>NO</v>
      </c>
      <c r="N48" s="57" t="str">
        <f>'REG y VAL POE - AESR - ESR'!N3657</f>
        <v>Apendice ByC no llenos-c/historial aparte-falta firma RL</v>
      </c>
      <c r="O48" s="57" t="str">
        <f>'REG y VAL POE - AESR - ESR'!O3657</f>
        <v>SI</v>
      </c>
      <c r="P48" s="57">
        <f>'REG y VAL POE - AESR - ESR'!P3657</f>
        <v>0</v>
      </c>
      <c r="Q48" s="57" t="str">
        <f>'REG y VAL POE - AESR - ESR'!Q3657</f>
        <v>SI</v>
      </c>
      <c r="R48" s="57" t="str">
        <f>'REG y VAL POE - AESR - ESR'!R3657</f>
        <v>SI</v>
      </c>
      <c r="S48" s="57" t="str">
        <f>'REG y VAL POE - AESR - ESR'!S3657</f>
        <v>SI</v>
      </c>
      <c r="T48" s="57" t="str">
        <f>'REG y VAL POE - AESR - ESR'!T3657</f>
        <v>NO</v>
      </c>
      <c r="U48" s="57" t="str">
        <f>'REG y VAL POE - AESR - ESR'!U3657</f>
        <v>NO</v>
      </c>
      <c r="V48" s="57" t="str">
        <f>'REG y VAL POE - AESR - ESR'!V3657</f>
        <v>SI</v>
      </c>
      <c r="W48" s="57">
        <f>'REG y VAL POE - AESR - ESR'!W3657</f>
        <v>0</v>
      </c>
      <c r="X48" s="57">
        <f>'REG y VAL POE - AESR - ESR'!X3657</f>
        <v>0</v>
      </c>
      <c r="Y48" s="57">
        <f>'REG y VAL POE - AESR - ESR'!Y3657</f>
        <v>0</v>
      </c>
      <c r="Z48" s="57" t="str">
        <f>'REG y VAL POE - AESR - ESR'!Z3657</f>
        <v>SI</v>
      </c>
      <c r="AA48" s="57">
        <f>'REG y VAL POE - AESR - ESR'!AA3657</f>
        <v>0</v>
      </c>
      <c r="AB48" s="57">
        <f>'REG y VAL POE - AESR - ESR'!AB3657</f>
        <v>0</v>
      </c>
      <c r="AC48" s="57">
        <f>'REG y VAL POE - AESR - ESR'!AC3657</f>
        <v>0</v>
      </c>
      <c r="AD48" s="57">
        <f>'REG y VAL POE - AESR - ESR'!AD3657</f>
        <v>0</v>
      </c>
      <c r="AE48" s="57">
        <f>'REG y VAL POE - AESR - ESR'!AE3657</f>
        <v>0</v>
      </c>
      <c r="AF48" s="57" t="str">
        <f>'REG y VAL POE - AESR - ESR'!AF3657</f>
        <v>SI</v>
      </c>
      <c r="AG48" s="57">
        <f>'REG y VAL POE - AESR - ESR'!AG3657</f>
        <v>0</v>
      </c>
      <c r="AH48" s="57">
        <f>'REG y VAL POE - AESR - ESR'!AH3657</f>
        <v>0</v>
      </c>
      <c r="AI48" s="57">
        <f>'REG y VAL POE - AESR - ESR'!AI3657</f>
        <v>0</v>
      </c>
      <c r="AJ48" s="57">
        <f>'REG y VAL POE - AESR - ESR'!AJ3657</f>
        <v>0</v>
      </c>
      <c r="AK48" s="57">
        <f>'REG y VAL POE - AESR - ESR'!AK3657</f>
        <v>0</v>
      </c>
      <c r="AL48" s="57" t="str">
        <f>'REG y VAL POE - AESR - ESR'!AL3657</f>
        <v>SI</v>
      </c>
      <c r="AM48" s="57" t="str">
        <f>'REG y VAL POE - AESR - ESR'!AM3657</f>
        <v>SI</v>
      </c>
      <c r="AN48" s="57">
        <f>'REG y VAL POE - AESR - ESR'!AN3657</f>
        <v>0</v>
      </c>
      <c r="AO48" s="57">
        <f>'REG y VAL POE - AESR - ESR'!AO3657</f>
        <v>0</v>
      </c>
      <c r="AP48" s="57">
        <f>'REG y VAL POE - AESR - ESR'!AP3657</f>
        <v>0</v>
      </c>
      <c r="AQ48" s="57">
        <f>'REG y VAL POE - AESR - ESR'!AQ3657</f>
        <v>0</v>
      </c>
      <c r="AR48" s="57" t="str">
        <f>'REG y VAL POE - AESR - ESR'!AR3657</f>
        <v>VACIS PORTAL</v>
      </c>
      <c r="AS48" s="57">
        <f>'REG y VAL POE - AESR - ESR'!AS3657</f>
        <v>0</v>
      </c>
      <c r="AT48" s="58" t="str">
        <f>'REG y VAL POE - AESR - ESR'!B3658</f>
        <v>Arenas Saavedra Geovani</v>
      </c>
      <c r="AU48" s="56" t="str">
        <f>'REG y VAL POE - AESR - ESR'!C3658</f>
        <v>POE-RG</v>
      </c>
      <c r="AV48" s="56">
        <f>'REG y VAL POE - AESR - ESR'!D3658</f>
        <v>23202670</v>
      </c>
      <c r="AW48" s="57">
        <f>'REG y VAL POE - AESR - ESR'!E3658</f>
        <v>0</v>
      </c>
      <c r="AX48" s="57">
        <f>'REG y VAL POE - AESR - ESR'!F3658</f>
        <v>0</v>
      </c>
      <c r="AY48" s="390">
        <f>'REG y VAL POE - AESR - ESR'!G3658</f>
        <v>45376</v>
      </c>
      <c r="AZ48" s="390">
        <f>'REG y VAL POE - AESR - ESR'!H3658</f>
        <v>45741</v>
      </c>
      <c r="BA48" s="57" t="str">
        <f>'REG y VAL POE - AESR - ESR'!I3658</f>
        <v>SI</v>
      </c>
      <c r="BB48" s="57" t="str">
        <f>'REG y VAL POE - AESR - ESR'!J3658</f>
        <v>Vigente</v>
      </c>
      <c r="BC48" s="57" t="str">
        <f>'REG y VAL POE - AESR - ESR'!K3658</f>
        <v>SI</v>
      </c>
      <c r="BD48" s="57" t="str">
        <f>'REG y VAL POE - AESR - ESR'!L3658</f>
        <v>Vigente</v>
      </c>
      <c r="BE48" s="57" t="str">
        <f>'REG y VAL POE - AESR - ESR'!M3658</f>
        <v>NO</v>
      </c>
      <c r="BF48" s="57" t="str">
        <f>'REG y VAL POE - AESR - ESR'!N3658</f>
        <v>Apendice ByC no llenos-c/historial aparte-falta firma RL</v>
      </c>
      <c r="BG48" s="57">
        <f>'REG y VAL POE - AESR - ESR'!O3658</f>
        <v>0</v>
      </c>
      <c r="BH48" s="57" t="str">
        <f>'REG y VAL POE - AESR - ESR'!P3658</f>
        <v>SI</v>
      </c>
      <c r="BI48" s="57" t="str">
        <f>'REG y VAL POE - AESR - ESR'!Q3658</f>
        <v>SI</v>
      </c>
      <c r="BJ48" s="57" t="str">
        <f>'REG y VAL POE - AESR - ESR'!R3658</f>
        <v>SI</v>
      </c>
      <c r="BK48" s="57" t="str">
        <f>'REG y VAL POE - AESR - ESR'!S3658</f>
        <v>SI</v>
      </c>
      <c r="BL48" s="57" t="str">
        <f>'REG y VAL POE - AESR - ESR'!T3658</f>
        <v>NO</v>
      </c>
      <c r="BM48" s="57" t="str">
        <f>'REG y VAL POE - AESR - ESR'!U3658</f>
        <v>NO</v>
      </c>
      <c r="BN48" s="57" t="str">
        <f>'REG y VAL POE - AESR - ESR'!V3658</f>
        <v>SI</v>
      </c>
      <c r="BO48" s="57">
        <f>'REG y VAL POE - AESR - ESR'!W3658</f>
        <v>0</v>
      </c>
      <c r="BP48" s="57">
        <f>'REG y VAL POE - AESR - ESR'!X3658</f>
        <v>0</v>
      </c>
      <c r="BQ48" s="57">
        <f>'REG y VAL POE - AESR - ESR'!Y3658</f>
        <v>0</v>
      </c>
      <c r="BR48" s="57" t="str">
        <f>'REG y VAL POE - AESR - ESR'!Z3658</f>
        <v>SI</v>
      </c>
      <c r="BS48" s="57">
        <f>'REG y VAL POE - AESR - ESR'!AA3658</f>
        <v>0</v>
      </c>
      <c r="BT48" s="57">
        <f>'REG y VAL POE - AESR - ESR'!AB3658</f>
        <v>0</v>
      </c>
      <c r="BU48" s="57">
        <f>'REG y VAL POE - AESR - ESR'!AC3658</f>
        <v>0</v>
      </c>
      <c r="BV48" s="57">
        <f>'REG y VAL POE - AESR - ESR'!AD3658</f>
        <v>0</v>
      </c>
      <c r="BW48" s="57">
        <f>'REG y VAL POE - AESR - ESR'!AE3658</f>
        <v>0</v>
      </c>
      <c r="BX48" s="57">
        <f>'REG y VAL POE - AESR - ESR'!AF3658</f>
        <v>0</v>
      </c>
      <c r="BY48" s="57">
        <f>'REG y VAL POE - AESR - ESR'!AG3658</f>
        <v>0</v>
      </c>
      <c r="BZ48" s="57">
        <f>'REG y VAL POE - AESR - ESR'!AH3658</f>
        <v>0</v>
      </c>
      <c r="CA48" s="57">
        <f>'REG y VAL POE - AESR - ESR'!AI3658</f>
        <v>0</v>
      </c>
      <c r="CB48" s="57">
        <f>'REG y VAL POE - AESR - ESR'!AJ3658</f>
        <v>0</v>
      </c>
      <c r="CC48" s="57">
        <f>'REG y VAL POE - AESR - ESR'!AK3658</f>
        <v>0</v>
      </c>
      <c r="CD48" s="57" t="str">
        <f>'REG y VAL POE - AESR - ESR'!AL3658</f>
        <v>SI</v>
      </c>
      <c r="CE48" s="57" t="str">
        <f>'REG y VAL POE - AESR - ESR'!AM3658</f>
        <v>SI</v>
      </c>
      <c r="CF48" s="57">
        <f>'REG y VAL POE - AESR - ESR'!AN3658</f>
        <v>0</v>
      </c>
      <c r="CG48" s="57">
        <f>'REG y VAL POE - AESR - ESR'!AO3658</f>
        <v>0</v>
      </c>
      <c r="CH48" s="57">
        <f>'REG y VAL POE - AESR - ESR'!AP3658</f>
        <v>0</v>
      </c>
      <c r="CI48" s="57">
        <f>'REG y VAL POE - AESR - ESR'!AQ3658</f>
        <v>0</v>
      </c>
      <c r="CJ48" s="57" t="str">
        <f>'REG y VAL POE - AESR - ESR'!AR3658</f>
        <v>VACIS PORTAL</v>
      </c>
      <c r="CK48" s="57">
        <f>'REG y VAL POE - AESR - ESR'!AS3658</f>
        <v>0</v>
      </c>
      <c r="CL48" s="57" t="str">
        <f>'REG y VAL POE - AESR - ESR'!B3659</f>
        <v>Bartolo Alcantara Rosa</v>
      </c>
      <c r="CM48" s="57" t="str">
        <f>'REG y VAL POE - AESR - ESR'!C3659</f>
        <v>POE-RG</v>
      </c>
      <c r="CN48" s="56">
        <f>'REG y VAL POE - AESR - ESR'!D3659</f>
        <v>23135361</v>
      </c>
      <c r="CO48" s="56">
        <f>'REG y VAL POE - AESR - ESR'!E3659</f>
        <v>0</v>
      </c>
      <c r="CP48" s="57">
        <f>'REG y VAL POE - AESR - ESR'!F3659</f>
        <v>0</v>
      </c>
      <c r="CQ48" s="390">
        <f>'REG y VAL POE - AESR - ESR'!G3659</f>
        <v>45377</v>
      </c>
      <c r="CR48" s="59">
        <f>'REG y VAL POE - AESR - ESR'!H3659</f>
        <v>45742</v>
      </c>
      <c r="CS48" s="57" t="str">
        <f>'REG y VAL POE - AESR - ESR'!I3659</f>
        <v>SI</v>
      </c>
      <c r="CT48" s="57" t="str">
        <f>'REG y VAL POE - AESR - ESR'!J3659</f>
        <v>Vigente</v>
      </c>
      <c r="CU48" s="57" t="str">
        <f>'REG y VAL POE - AESR - ESR'!K3659</f>
        <v>SI</v>
      </c>
      <c r="CV48" s="57" t="str">
        <f>'REG y VAL POE - AESR - ESR'!L3659</f>
        <v>Vigente</v>
      </c>
      <c r="CW48" s="57" t="str">
        <f>'REG y VAL POE - AESR - ESR'!M3659</f>
        <v>NO</v>
      </c>
      <c r="CX48" s="57" t="str">
        <f>'REG y VAL POE - AESR - ESR'!N3659</f>
        <v>Apendice ByC no llenos-c/historial aparte-falta firma RL</v>
      </c>
      <c r="CY48" s="57" t="str">
        <f>'REG y VAL POE - AESR - ESR'!O3659</f>
        <v>SI</v>
      </c>
      <c r="CZ48" s="57">
        <f>'REG y VAL POE - AESR - ESR'!P3659</f>
        <v>0</v>
      </c>
      <c r="DA48" s="57" t="str">
        <f>'REG y VAL POE - AESR - ESR'!Q3659</f>
        <v>SI</v>
      </c>
      <c r="DB48" s="57" t="str">
        <f>'REG y VAL POE - AESR - ESR'!R3659</f>
        <v>SI</v>
      </c>
      <c r="DC48" s="57" t="str">
        <f>'REG y VAL POE - AESR - ESR'!S3659</f>
        <v>SI</v>
      </c>
      <c r="DD48" s="57" t="str">
        <f>'REG y VAL POE - AESR - ESR'!T3659</f>
        <v>NO</v>
      </c>
      <c r="DE48" s="57" t="str">
        <f>'REG y VAL POE - AESR - ESR'!U3659</f>
        <v>NO</v>
      </c>
      <c r="DF48" s="57" t="str">
        <f>'REG y VAL POE - AESR - ESR'!V3659</f>
        <v>SI</v>
      </c>
      <c r="DG48" s="57">
        <f>'REG y VAL POE - AESR - ESR'!W3659</f>
        <v>0</v>
      </c>
      <c r="DH48" s="57">
        <f>'REG y VAL POE - AESR - ESR'!X3659</f>
        <v>0</v>
      </c>
      <c r="DI48" s="57">
        <f>'REG y VAL POE - AESR - ESR'!Y3659</f>
        <v>0</v>
      </c>
      <c r="DJ48" s="57" t="str">
        <f>'REG y VAL POE - AESR - ESR'!Z3659</f>
        <v>SI</v>
      </c>
      <c r="DK48" s="57">
        <f>'REG y VAL POE - AESR - ESR'!AA3659</f>
        <v>0</v>
      </c>
      <c r="DL48" s="57">
        <f>'REG y VAL POE - AESR - ESR'!AB3659</f>
        <v>0</v>
      </c>
      <c r="DM48" s="57">
        <f>'REG y VAL POE - AESR - ESR'!AC3659</f>
        <v>0</v>
      </c>
      <c r="DN48" s="57">
        <f>'REG y VAL POE - AESR - ESR'!AD3659</f>
        <v>0</v>
      </c>
      <c r="DO48" s="57">
        <f>'REG y VAL POE - AESR - ESR'!AE3659</f>
        <v>0</v>
      </c>
      <c r="DP48" s="57">
        <f>'REG y VAL POE - AESR - ESR'!AF3659</f>
        <v>0</v>
      </c>
      <c r="DQ48" s="57" t="str">
        <f>'REG y VAL POE - AESR - ESR'!AG3659</f>
        <v>SI</v>
      </c>
      <c r="DR48" s="57">
        <f>'REG y VAL POE - AESR - ESR'!AH3659</f>
        <v>0</v>
      </c>
      <c r="DS48" s="57">
        <f>'REG y VAL POE - AESR - ESR'!AI3659</f>
        <v>0</v>
      </c>
      <c r="DT48" s="57">
        <f>'REG y VAL POE - AESR - ESR'!AJ3659</f>
        <v>0</v>
      </c>
      <c r="DU48" s="57">
        <f>'REG y VAL POE - AESR - ESR'!AK3659</f>
        <v>0</v>
      </c>
      <c r="DV48" s="57" t="str">
        <f>'REG y VAL POE - AESR - ESR'!AL3659</f>
        <v>SI</v>
      </c>
      <c r="DW48" s="57">
        <f>'REG y VAL POE - AESR - ESR'!AM3659</f>
        <v>0</v>
      </c>
      <c r="DX48" s="57">
        <f>'REG y VAL POE - AESR - ESR'!AN3659</f>
        <v>0</v>
      </c>
      <c r="DY48" s="57">
        <f>'REG y VAL POE - AESR - ESR'!AO3659</f>
        <v>0</v>
      </c>
      <c r="DZ48" s="57">
        <f>'REG y VAL POE - AESR - ESR'!AP3659</f>
        <v>0</v>
      </c>
      <c r="EA48" s="57">
        <f>'REG y VAL POE - AESR - ESR'!AQ3659</f>
        <v>0</v>
      </c>
      <c r="EB48" s="57" t="str">
        <f>'REG y VAL POE - AESR - ESR'!AR3659</f>
        <v>VACIS PORTAL</v>
      </c>
      <c r="EC48" s="57">
        <f>'REG y VAL POE - AESR - ESR'!AS3659</f>
        <v>0</v>
      </c>
      <c r="ED48" s="57" t="str">
        <f>'REG y VAL POE - AESR - ESR'!B3660</f>
        <v>Bracamontes Cruz Joel</v>
      </c>
      <c r="EE48" s="56" t="str">
        <f>'REG y VAL POE - AESR - ESR'!C3660</f>
        <v>POE-RX</v>
      </c>
      <c r="EF48" s="56">
        <f>'REG y VAL POE - AESR - ESR'!D3660</f>
        <v>23210526</v>
      </c>
      <c r="EG48" s="57">
        <f>'REG y VAL POE - AESR - ESR'!E3660</f>
        <v>0</v>
      </c>
      <c r="EH48" s="58">
        <f>'REG y VAL POE - AESR - ESR'!F3660</f>
        <v>0</v>
      </c>
      <c r="EI48" s="59">
        <f>'REG y VAL POE - AESR - ESR'!G3660</f>
        <v>45377</v>
      </c>
      <c r="EJ48" s="390">
        <f>'REG y VAL POE - AESR - ESR'!H3660</f>
        <v>45742</v>
      </c>
      <c r="EK48" s="57" t="str">
        <f>'REG y VAL POE - AESR - ESR'!I3660</f>
        <v>SI</v>
      </c>
      <c r="EL48" s="57" t="str">
        <f>'REG y VAL POE - AESR - ESR'!J3660</f>
        <v>Vigente</v>
      </c>
      <c r="EM48" s="57" t="str">
        <f>'REG y VAL POE - AESR - ESR'!K3660</f>
        <v>SI</v>
      </c>
      <c r="EN48" s="57" t="str">
        <f>'REG y VAL POE - AESR - ESR'!L3660</f>
        <v>Vigente</v>
      </c>
      <c r="EO48" s="57" t="str">
        <f>'REG y VAL POE - AESR - ESR'!M3660</f>
        <v>SI</v>
      </c>
      <c r="EP48" s="57">
        <f>'REG y VAL POE - AESR - ESR'!N3660</f>
        <v>0</v>
      </c>
      <c r="EQ48" s="57" t="str">
        <f>'REG y VAL POE - AESR - ESR'!O3660</f>
        <v>ES OTRO DOCUMENTO (HIST ACADEMICO)</v>
      </c>
      <c r="ER48" s="57">
        <f>'REG y VAL POE - AESR - ESR'!P3660</f>
        <v>0</v>
      </c>
      <c r="ES48" s="57" t="str">
        <f>'REG y VAL POE - AESR - ESR'!Q3660</f>
        <v>SI</v>
      </c>
      <c r="ET48" s="57">
        <f>'REG y VAL POE - AESR - ESR'!R3660</f>
        <v>0</v>
      </c>
      <c r="EU48" s="57" t="str">
        <f>'REG y VAL POE - AESR - ESR'!S3660</f>
        <v>SI</v>
      </c>
      <c r="EV48" s="57" t="str">
        <f>'REG y VAL POE - AESR - ESR'!T3660</f>
        <v>SI</v>
      </c>
      <c r="EW48" s="57" t="str">
        <f>'REG y VAL POE - AESR - ESR'!U3660</f>
        <v>SI</v>
      </c>
      <c r="EX48" s="57" t="str">
        <f>'REG y VAL POE - AESR - ESR'!V3660</f>
        <v>SI</v>
      </c>
      <c r="EY48" s="57">
        <f>'REG y VAL POE - AESR - ESR'!W3660</f>
        <v>0</v>
      </c>
      <c r="EZ48" s="57">
        <f>'REG y VAL POE - AESR - ESR'!X3660</f>
        <v>0</v>
      </c>
      <c r="FA48" s="57">
        <f>'REG y VAL POE - AESR - ESR'!Y3660</f>
        <v>0</v>
      </c>
      <c r="FB48" s="57" t="str">
        <f>'REG y VAL POE - AESR - ESR'!Z3660</f>
        <v>SI</v>
      </c>
      <c r="FC48" s="57">
        <f>'REG y VAL POE - AESR - ESR'!AA3660</f>
        <v>0</v>
      </c>
      <c r="FD48" s="57">
        <f>'REG y VAL POE - AESR - ESR'!AB3660</f>
        <v>0</v>
      </c>
      <c r="FE48" s="57">
        <f>'REG y VAL POE - AESR - ESR'!AC3660</f>
        <v>0</v>
      </c>
      <c r="FF48" s="57">
        <f>'REG y VAL POE - AESR - ESR'!AD3660</f>
        <v>0</v>
      </c>
      <c r="FG48" s="57">
        <f>'REG y VAL POE - AESR - ESR'!AE3660</f>
        <v>0</v>
      </c>
      <c r="FH48" s="57" t="str">
        <f>'REG y VAL POE - AESR - ESR'!AF3660</f>
        <v>SI</v>
      </c>
      <c r="FI48" s="57" t="str">
        <f>'REG y VAL POE - AESR - ESR'!AG3660</f>
        <v>SI</v>
      </c>
      <c r="FJ48" s="57">
        <f>'REG y VAL POE - AESR - ESR'!AH3660</f>
        <v>0</v>
      </c>
      <c r="FK48" s="57">
        <f>'REG y VAL POE - AESR - ESR'!AI3660</f>
        <v>0</v>
      </c>
      <c r="FL48" s="57">
        <f>'REG y VAL POE - AESR - ESR'!AJ3660</f>
        <v>0</v>
      </c>
      <c r="FM48" s="57">
        <f>'REG y VAL POE - AESR - ESR'!AK3660</f>
        <v>0</v>
      </c>
      <c r="FN48" s="57">
        <f>'REG y VAL POE - AESR - ESR'!AL3660</f>
        <v>0</v>
      </c>
      <c r="FO48" s="57">
        <f>'REG y VAL POE - AESR - ESR'!AM3660</f>
        <v>0</v>
      </c>
      <c r="FP48" s="57">
        <f>'REG y VAL POE - AESR - ESR'!AN3660</f>
        <v>0</v>
      </c>
      <c r="FQ48" s="57" t="str">
        <f>'REG y VAL POE - AESR - ESR'!AO3660</f>
        <v>SI</v>
      </c>
      <c r="FR48" s="57">
        <f>'REG y VAL POE - AESR - ESR'!AP3660</f>
        <v>0</v>
      </c>
      <c r="FS48" s="57">
        <f>'REG y VAL POE - AESR - ESR'!AQ3660</f>
        <v>0</v>
      </c>
      <c r="FT48" s="57">
        <f>'REG y VAL POE - AESR - ESR'!AR3660</f>
        <v>0</v>
      </c>
      <c r="FU48" s="57">
        <f>'REG y VAL POE - AESR - ESR'!AS3660</f>
        <v>0</v>
      </c>
      <c r="FV48" s="58" t="str">
        <f>'REG y VAL POE - AESR - ESR'!B3661</f>
        <v xml:space="preserve">Caraza Sandoval Jose Luis </v>
      </c>
      <c r="FW48" s="56">
        <f>'REG y VAL POE - AESR - ESR'!C3661</f>
        <v>0</v>
      </c>
      <c r="FX48" s="56">
        <f>'REG y VAL POE - AESR - ESR'!D3661</f>
        <v>23197431</v>
      </c>
      <c r="FY48" s="57">
        <f>'REG y VAL POE - AESR - ESR'!E3661</f>
        <v>0</v>
      </c>
      <c r="FZ48" s="57">
        <f>'REG y VAL POE - AESR - ESR'!F3661</f>
        <v>0</v>
      </c>
      <c r="GA48" s="59">
        <f>'REG y VAL POE - AESR - ESR'!G3661</f>
        <v>0</v>
      </c>
      <c r="GB48" s="390">
        <f>'REG y VAL POE - AESR - ESR'!H3661</f>
        <v>0</v>
      </c>
      <c r="GC48" s="57">
        <f>'REG y VAL POE - AESR - ESR'!I3661</f>
        <v>0</v>
      </c>
      <c r="GD48" s="57">
        <f>'REG y VAL POE - AESR - ESR'!J3661</f>
        <v>0</v>
      </c>
      <c r="GE48" s="57">
        <f>'REG y VAL POE - AESR - ESR'!K3661</f>
        <v>0</v>
      </c>
      <c r="GF48" s="57">
        <f>'REG y VAL POE - AESR - ESR'!L3661</f>
        <v>0</v>
      </c>
      <c r="GG48" s="57">
        <f>'REG y VAL POE - AESR - ESR'!M3661</f>
        <v>0</v>
      </c>
      <c r="GH48" s="57">
        <f>'REG y VAL POE - AESR - ESR'!N3661</f>
        <v>0</v>
      </c>
      <c r="GI48" s="57">
        <f>'REG y VAL POE - AESR - ESR'!O3661</f>
        <v>0</v>
      </c>
      <c r="GJ48" s="57">
        <f>'REG y VAL POE - AESR - ESR'!P3661</f>
        <v>0</v>
      </c>
      <c r="GK48" s="57">
        <f>'REG y VAL POE - AESR - ESR'!Q3661</f>
        <v>0</v>
      </c>
      <c r="GL48" s="57">
        <f>'REG y VAL POE - AESR - ESR'!R3661</f>
        <v>0</v>
      </c>
      <c r="GM48" s="57">
        <f>'REG y VAL POE - AESR - ESR'!S3661</f>
        <v>0</v>
      </c>
      <c r="GN48" s="57">
        <f>'REG y VAL POE - AESR - ESR'!T3661</f>
        <v>0</v>
      </c>
      <c r="GO48" s="57">
        <f>'REG y VAL POE - AESR - ESR'!U3661</f>
        <v>0</v>
      </c>
      <c r="GP48" s="57">
        <f>'REG y VAL POE - AESR - ESR'!V3661</f>
        <v>0</v>
      </c>
      <c r="GQ48" s="57">
        <f>'REG y VAL POE - AESR - ESR'!W3661</f>
        <v>0</v>
      </c>
      <c r="GR48" s="57">
        <f>'REG y VAL POE - AESR - ESR'!X3661</f>
        <v>0</v>
      </c>
      <c r="GS48" s="57">
        <f>'REG y VAL POE - AESR - ESR'!Y3661</f>
        <v>0</v>
      </c>
      <c r="GT48" s="57">
        <f>'REG y VAL POE - AESR - ESR'!Z3661</f>
        <v>0</v>
      </c>
      <c r="GU48" s="57">
        <f>'REG y VAL POE - AESR - ESR'!AA3661</f>
        <v>0</v>
      </c>
      <c r="GV48" s="57">
        <f>'REG y VAL POE - AESR - ESR'!AB3661</f>
        <v>0</v>
      </c>
      <c r="GW48" s="57">
        <f>'REG y VAL POE - AESR - ESR'!AC3661</f>
        <v>0</v>
      </c>
      <c r="GX48" s="57">
        <f>'REG y VAL POE - AESR - ESR'!AD3661</f>
        <v>0</v>
      </c>
      <c r="GY48" s="57">
        <f>'REG y VAL POE - AESR - ESR'!AE3661</f>
        <v>0</v>
      </c>
      <c r="GZ48" s="57">
        <f>'REG y VAL POE - AESR - ESR'!AF3661</f>
        <v>0</v>
      </c>
      <c r="HA48" s="57">
        <f>'REG y VAL POE - AESR - ESR'!AG3661</f>
        <v>0</v>
      </c>
      <c r="HB48" s="57">
        <f>'REG y VAL POE - AESR - ESR'!AH3661</f>
        <v>0</v>
      </c>
      <c r="HC48" s="57">
        <f>'REG y VAL POE - AESR - ESR'!AI3661</f>
        <v>0</v>
      </c>
      <c r="HD48" s="57">
        <f>'REG y VAL POE - AESR - ESR'!AJ3661</f>
        <v>0</v>
      </c>
      <c r="HE48" s="57">
        <f>'REG y VAL POE - AESR - ESR'!AK3661</f>
        <v>0</v>
      </c>
      <c r="HF48" s="57">
        <f>'REG y VAL POE - AESR - ESR'!AL3661</f>
        <v>0</v>
      </c>
      <c r="HG48" s="57">
        <f>'REG y VAL POE - AESR - ESR'!AM3661</f>
        <v>0</v>
      </c>
      <c r="HH48" s="57">
        <f>'REG y VAL POE - AESR - ESR'!AN3661</f>
        <v>0</v>
      </c>
      <c r="HI48" s="57">
        <f>'REG y VAL POE - AESR - ESR'!AO3661</f>
        <v>0</v>
      </c>
      <c r="HJ48" s="57">
        <f>'REG y VAL POE - AESR - ESR'!AP3661</f>
        <v>0</v>
      </c>
      <c r="HK48" s="57">
        <f>'REG y VAL POE - AESR - ESR'!AQ3661</f>
        <v>0</v>
      </c>
      <c r="HL48" s="57">
        <f>'REG y VAL POE - AESR - ESR'!AR3661</f>
        <v>0</v>
      </c>
      <c r="HM48" s="57">
        <f>'REG y VAL POE - AESR - ESR'!AS3661</f>
        <v>0</v>
      </c>
      <c r="HN48" s="57" t="str">
        <f>'REG y VAL POE - AESR - ESR'!B3662</f>
        <v>Carranza Ramirez Julio Cesar</v>
      </c>
      <c r="HO48" s="56" t="str">
        <f>'REG y VAL POE - AESR - ESR'!C3662</f>
        <v>POE-RG</v>
      </c>
      <c r="HP48" s="56">
        <f>'REG y VAL POE - AESR - ESR'!D3662</f>
        <v>23156869</v>
      </c>
      <c r="HQ48" s="57">
        <f>'REG y VAL POE - AESR - ESR'!E3662</f>
        <v>0</v>
      </c>
      <c r="HR48" s="56">
        <f>'REG y VAL POE - AESR - ESR'!F3662</f>
        <v>0</v>
      </c>
      <c r="HS48" s="390">
        <f>'REG y VAL POE - AESR - ESR'!G3662</f>
        <v>45352</v>
      </c>
      <c r="HT48" s="391">
        <f>'REG y VAL POE - AESR - ESR'!H3662</f>
        <v>45717</v>
      </c>
      <c r="HU48" s="57" t="str">
        <f>'REG y VAL POE - AESR - ESR'!I3662</f>
        <v>SI</v>
      </c>
      <c r="HV48" s="57" t="str">
        <f>'REG y VAL POE - AESR - ESR'!J3662</f>
        <v>Vigente</v>
      </c>
      <c r="HW48" s="57" t="str">
        <f>'REG y VAL POE - AESR - ESR'!K3662</f>
        <v>SI</v>
      </c>
      <c r="HX48" s="57" t="str">
        <f>'REG y VAL POE - AESR - ESR'!L3662</f>
        <v>Vigente</v>
      </c>
      <c r="HY48" s="57" t="str">
        <f>'REG y VAL POE - AESR - ESR'!M3662</f>
        <v>NO</v>
      </c>
      <c r="HZ48" s="57" t="str">
        <f>'REG y VAL POE - AESR - ESR'!N3662</f>
        <v>Apendice ByC no llenos-c/historial aparte-falta firma RL</v>
      </c>
      <c r="IA48" s="57">
        <f>'REG y VAL POE - AESR - ESR'!O3662</f>
        <v>0</v>
      </c>
      <c r="IB48" s="57" t="str">
        <f>'REG y VAL POE - AESR - ESR'!P3662</f>
        <v>SI</v>
      </c>
      <c r="IC48" s="57" t="str">
        <f>'REG y VAL POE - AESR - ESR'!Q3662</f>
        <v>SI</v>
      </c>
      <c r="ID48" s="57" t="str">
        <f>'REG y VAL POE - AESR - ESR'!R3662</f>
        <v>SI</v>
      </c>
      <c r="IE48" s="57" t="str">
        <f>'REG y VAL POE - AESR - ESR'!S3662</f>
        <v>SI</v>
      </c>
      <c r="IF48" s="57" t="str">
        <f>'REG y VAL POE - AESR - ESR'!T3662</f>
        <v>NO</v>
      </c>
      <c r="IG48" s="57" t="str">
        <f>'REG y VAL POE - AESR - ESR'!U3662</f>
        <v>NO</v>
      </c>
      <c r="IH48" s="57" t="str">
        <f>'REG y VAL POE - AESR - ESR'!V3662</f>
        <v>SI</v>
      </c>
      <c r="II48" s="57">
        <f>'REG y VAL POE - AESR - ESR'!W3662</f>
        <v>0</v>
      </c>
      <c r="IJ48" s="57">
        <f>'REG y VAL POE - AESR - ESR'!X3662</f>
        <v>0</v>
      </c>
      <c r="IK48" s="57">
        <f>'REG y VAL POE - AESR - ESR'!Y3662</f>
        <v>0</v>
      </c>
      <c r="IL48" s="57" t="str">
        <f>'REG y VAL POE - AESR - ESR'!Z3662</f>
        <v>SI</v>
      </c>
      <c r="IM48" s="57">
        <f>'REG y VAL POE - AESR - ESR'!AA3662</f>
        <v>0</v>
      </c>
      <c r="IN48" s="57">
        <f>'REG y VAL POE - AESR - ESR'!AB3662</f>
        <v>0</v>
      </c>
      <c r="IO48" s="57">
        <f>'REG y VAL POE - AESR - ESR'!AC3662</f>
        <v>0</v>
      </c>
      <c r="IP48" s="57">
        <f>'REG y VAL POE - AESR - ESR'!AD3662</f>
        <v>0</v>
      </c>
      <c r="IQ48" s="57">
        <f>'REG y VAL POE - AESR - ESR'!AE3662</f>
        <v>0</v>
      </c>
      <c r="IR48" s="57">
        <f>'REG y VAL POE - AESR - ESR'!AF3662</f>
        <v>0</v>
      </c>
      <c r="IS48" s="57">
        <f>'REG y VAL POE - AESR - ESR'!AG3662</f>
        <v>0</v>
      </c>
      <c r="IT48" s="57">
        <f>'REG y VAL POE - AESR - ESR'!AH3662</f>
        <v>0</v>
      </c>
      <c r="IU48" s="57">
        <f>'REG y VAL POE - AESR - ESR'!AI3662</f>
        <v>0</v>
      </c>
      <c r="IV48" s="57">
        <f>'REG y VAL POE - AESR - ESR'!AJ3662</f>
        <v>0</v>
      </c>
      <c r="IW48" s="57">
        <f>'REG y VAL POE - AESR - ESR'!AK3662</f>
        <v>0</v>
      </c>
      <c r="IX48" s="57" t="str">
        <f>'REG y VAL POE - AESR - ESR'!AL3662</f>
        <v>SI</v>
      </c>
      <c r="IY48" s="57" t="str">
        <f>'REG y VAL POE - AESR - ESR'!AM3662</f>
        <v>SI</v>
      </c>
      <c r="IZ48" s="57">
        <f>'REG y VAL POE - AESR - ESR'!AN3662</f>
        <v>0</v>
      </c>
      <c r="JA48" s="57">
        <f>'REG y VAL POE - AESR - ESR'!AO3662</f>
        <v>0</v>
      </c>
      <c r="JB48" s="57">
        <f>'REG y VAL POE - AESR - ESR'!AP3662</f>
        <v>0</v>
      </c>
      <c r="JC48" s="57">
        <f>'REG y VAL POE - AESR - ESR'!AQ3662</f>
        <v>0</v>
      </c>
      <c r="JD48" s="57">
        <f>'REG y VAL POE - AESR - ESR'!AR3662</f>
        <v>0</v>
      </c>
      <c r="JE48" s="57">
        <f>'REG y VAL POE - AESR - ESR'!AS3662</f>
        <v>0</v>
      </c>
      <c r="JF48" s="56" t="str">
        <f>'REG y VAL POE - AESR - ESR'!B3663</f>
        <v>Castillo Baez Emmanuel</v>
      </c>
      <c r="JG48" s="57" t="str">
        <f>'REG y VAL POE - AESR - ESR'!C3663</f>
        <v>POE-RG</v>
      </c>
      <c r="JH48" s="56" t="str">
        <f>'REG y VAL POE - AESR - ESR'!D3663</f>
        <v xml:space="preserve"> </v>
      </c>
      <c r="JI48" s="56">
        <f>'REG y VAL POE - AESR - ESR'!E3663</f>
        <v>0</v>
      </c>
      <c r="JJ48" s="57">
        <f>'REG y VAL POE - AESR - ESR'!F3663</f>
        <v>0</v>
      </c>
      <c r="JK48" s="390">
        <f>'REG y VAL POE - AESR - ESR'!G3663</f>
        <v>45377</v>
      </c>
      <c r="JL48" s="390">
        <f>'REG y VAL POE - AESR - ESR'!H3663</f>
        <v>45742</v>
      </c>
      <c r="JM48" s="57" t="str">
        <f>'REG y VAL POE - AESR - ESR'!I3663</f>
        <v>SI</v>
      </c>
      <c r="JN48" s="57" t="str">
        <f>'REG y VAL POE - AESR - ESR'!J3663</f>
        <v>Vigente</v>
      </c>
      <c r="JO48" s="57" t="str">
        <f>'REG y VAL POE - AESR - ESR'!K3663</f>
        <v>SI</v>
      </c>
      <c r="JP48" s="57" t="str">
        <f>'REG y VAL POE - AESR - ESR'!L3663</f>
        <v>Vigente</v>
      </c>
      <c r="JQ48" s="57" t="str">
        <f>'REG y VAL POE - AESR - ESR'!M3663</f>
        <v>NO</v>
      </c>
      <c r="JR48" s="57" t="str">
        <f>'REG y VAL POE - AESR - ESR'!N3663</f>
        <v>Apendice ByC no llenos-c/historial aparte-falta firma RL</v>
      </c>
      <c r="JS48" s="57">
        <f>'REG y VAL POE - AESR - ESR'!O3663</f>
        <v>0</v>
      </c>
      <c r="JT48" s="57" t="str">
        <f>'REG y VAL POE - AESR - ESR'!P3663</f>
        <v>SI</v>
      </c>
      <c r="JU48" s="57" t="str">
        <f>'REG y VAL POE - AESR - ESR'!Q3663</f>
        <v>SI</v>
      </c>
      <c r="JV48" s="57" t="str">
        <f>'REG y VAL POE - AESR - ESR'!R3663</f>
        <v>SI</v>
      </c>
      <c r="JW48" s="57" t="str">
        <f>'REG y VAL POE - AESR - ESR'!S3663</f>
        <v>SI</v>
      </c>
      <c r="JX48" s="57" t="str">
        <f>'REG y VAL POE - AESR - ESR'!T3663</f>
        <v>NO</v>
      </c>
      <c r="JY48" s="57" t="str">
        <f>'REG y VAL POE - AESR - ESR'!U3663</f>
        <v>NO</v>
      </c>
      <c r="JZ48" s="57" t="str">
        <f>'REG y VAL POE - AESR - ESR'!V3663</f>
        <v>SI</v>
      </c>
      <c r="KA48" s="57">
        <f>'REG y VAL POE - AESR - ESR'!W3663</f>
        <v>0</v>
      </c>
      <c r="KB48" s="57">
        <f>'REG y VAL POE - AESR - ESR'!X3663</f>
        <v>0</v>
      </c>
      <c r="KC48" s="57">
        <f>'REG y VAL POE - AESR - ESR'!Y3663</f>
        <v>0</v>
      </c>
      <c r="KD48" s="57" t="str">
        <f>'REG y VAL POE - AESR - ESR'!Z3663</f>
        <v>SI</v>
      </c>
      <c r="KE48" s="57">
        <f>'REG y VAL POE - AESR - ESR'!AA3663</f>
        <v>0</v>
      </c>
      <c r="KF48" s="57">
        <f>'REG y VAL POE - AESR - ESR'!AB3663</f>
        <v>0</v>
      </c>
      <c r="KG48" s="57">
        <f>'REG y VAL POE - AESR - ESR'!AC3663</f>
        <v>0</v>
      </c>
      <c r="KH48" s="57">
        <f>'REG y VAL POE - AESR - ESR'!AD3663</f>
        <v>0</v>
      </c>
      <c r="KI48" s="57">
        <f>'REG y VAL POE - AESR - ESR'!AE3663</f>
        <v>0</v>
      </c>
      <c r="KJ48" s="57">
        <f>'REG y VAL POE - AESR - ESR'!AF3663</f>
        <v>0</v>
      </c>
      <c r="KK48" s="57">
        <f>'REG y VAL POE - AESR - ESR'!AG3663</f>
        <v>0</v>
      </c>
      <c r="KL48" s="57">
        <f>'REG y VAL POE - AESR - ESR'!AH3663</f>
        <v>0</v>
      </c>
      <c r="KM48" s="57">
        <f>'REG y VAL POE - AESR - ESR'!AI3663</f>
        <v>0</v>
      </c>
      <c r="KN48" s="57">
        <f>'REG y VAL POE - AESR - ESR'!AJ3663</f>
        <v>0</v>
      </c>
      <c r="KO48" s="57">
        <f>'REG y VAL POE - AESR - ESR'!AK3663</f>
        <v>0</v>
      </c>
      <c r="KP48" s="57">
        <f>'REG y VAL POE - AESR - ESR'!AL3663</f>
        <v>0</v>
      </c>
      <c r="KQ48" s="57" t="str">
        <f>'REG y VAL POE - AESR - ESR'!AM3663</f>
        <v>SI</v>
      </c>
      <c r="KR48" s="57">
        <f>'REG y VAL POE - AESR - ESR'!AN3663</f>
        <v>0</v>
      </c>
      <c r="KS48" s="57">
        <f>'REG y VAL POE - AESR - ESR'!AO3663</f>
        <v>0</v>
      </c>
      <c r="KT48" s="57">
        <f>'REG y VAL POE - AESR - ESR'!AP3663</f>
        <v>0</v>
      </c>
      <c r="KU48" s="57">
        <f>'REG y VAL POE - AESR - ESR'!AQ3663</f>
        <v>0</v>
      </c>
      <c r="KV48" s="57">
        <f>'REG y VAL POE - AESR - ESR'!AR3663</f>
        <v>0</v>
      </c>
      <c r="KW48" s="57">
        <f>'REG y VAL POE - AESR - ESR'!AS3663</f>
        <v>0</v>
      </c>
      <c r="KX48" s="57" t="str">
        <f>'REG y VAL POE - AESR - ESR'!B3664</f>
        <v>Chavez Aquino Esmeralda</v>
      </c>
      <c r="KY48" s="57" t="str">
        <f>'REG y VAL POE - AESR - ESR'!C3664</f>
        <v>POE-RG</v>
      </c>
      <c r="KZ48" s="56">
        <f>'REG y VAL POE - AESR - ESR'!D3664</f>
        <v>23207594</v>
      </c>
      <c r="LA48" s="56">
        <f>'REG y VAL POE - AESR - ESR'!E3664</f>
        <v>0</v>
      </c>
      <c r="LB48" s="57">
        <f>'REG y VAL POE - AESR - ESR'!F3664</f>
        <v>0</v>
      </c>
      <c r="LC48" s="390">
        <f>'REG y VAL POE - AESR - ESR'!G3664</f>
        <v>45376</v>
      </c>
      <c r="LD48" s="390">
        <f>'REG y VAL POE - AESR - ESR'!H3664</f>
        <v>45741</v>
      </c>
      <c r="LE48" s="57" t="str">
        <f>'REG y VAL POE - AESR - ESR'!I3664</f>
        <v>SI</v>
      </c>
      <c r="LF48" s="57" t="str">
        <f>'REG y VAL POE - AESR - ESR'!J3664</f>
        <v>Vigente</v>
      </c>
      <c r="LG48" s="57" t="str">
        <f>'REG y VAL POE - AESR - ESR'!K3664</f>
        <v>SI</v>
      </c>
      <c r="LH48" s="57" t="str">
        <f>'REG y VAL POE - AESR - ESR'!L3664</f>
        <v>Vigente</v>
      </c>
      <c r="LI48" s="57" t="str">
        <f>'REG y VAL POE - AESR - ESR'!M3664</f>
        <v>NO</v>
      </c>
      <c r="LJ48" s="57" t="str">
        <f>'REG y VAL POE - AESR - ESR'!N3664</f>
        <v>Apendice ByC no llenos-c/historial aparte-falta firma RL</v>
      </c>
      <c r="LK48" s="57" t="str">
        <f>'REG y VAL POE - AESR - ESR'!O3664</f>
        <v>SI</v>
      </c>
      <c r="LL48" s="57">
        <f>'REG y VAL POE - AESR - ESR'!P3664</f>
        <v>0</v>
      </c>
      <c r="LM48" s="57" t="str">
        <f>'REG y VAL POE - AESR - ESR'!Q3664</f>
        <v>SI</v>
      </c>
      <c r="LN48" s="57" t="str">
        <f>'REG y VAL POE - AESR - ESR'!R3664</f>
        <v>SI</v>
      </c>
      <c r="LO48" s="57" t="str">
        <f>'REG y VAL POE - AESR - ESR'!S3664</f>
        <v>SI</v>
      </c>
      <c r="LP48" s="57" t="str">
        <f>'REG y VAL POE - AESR - ESR'!T3664</f>
        <v>NO</v>
      </c>
      <c r="LQ48" s="57" t="str">
        <f>'REG y VAL POE - AESR - ESR'!U3664</f>
        <v>NO</v>
      </c>
      <c r="LR48" s="57" t="str">
        <f>'REG y VAL POE - AESR - ESR'!V3664</f>
        <v>SI</v>
      </c>
      <c r="LS48" s="57">
        <f>'REG y VAL POE - AESR - ESR'!W3664</f>
        <v>0</v>
      </c>
      <c r="LT48" s="57">
        <f>'REG y VAL POE - AESR - ESR'!X3664</f>
        <v>0</v>
      </c>
      <c r="LU48" s="57">
        <f>'REG y VAL POE - AESR - ESR'!Y3664</f>
        <v>0</v>
      </c>
      <c r="LV48" s="57" t="str">
        <f>'REG y VAL POE - AESR - ESR'!Z3664</f>
        <v>SI</v>
      </c>
      <c r="LW48" s="57">
        <f>'REG y VAL POE - AESR - ESR'!AA3664</f>
        <v>0</v>
      </c>
      <c r="LX48" s="57">
        <f>'REG y VAL POE - AESR - ESR'!AB3664</f>
        <v>0</v>
      </c>
      <c r="LY48" s="57">
        <f>'REG y VAL POE - AESR - ESR'!AC3664</f>
        <v>0</v>
      </c>
      <c r="LZ48" s="57">
        <f>'REG y VAL POE - AESR - ESR'!AD3664</f>
        <v>0</v>
      </c>
      <c r="MA48" s="57">
        <f>'REG y VAL POE - AESR - ESR'!AE3664</f>
        <v>0</v>
      </c>
      <c r="MB48" s="57">
        <f>'REG y VAL POE - AESR - ESR'!AF3664</f>
        <v>0</v>
      </c>
      <c r="MC48" s="57" t="str">
        <f>'REG y VAL POE - AESR - ESR'!AG3664</f>
        <v>SI</v>
      </c>
      <c r="MD48" s="57">
        <f>'REG y VAL POE - AESR - ESR'!AH3664</f>
        <v>0</v>
      </c>
      <c r="ME48" s="57">
        <f>'REG y VAL POE - AESR - ESR'!AI3664</f>
        <v>0</v>
      </c>
      <c r="MF48" s="57">
        <f>'REG y VAL POE - AESR - ESR'!AJ3664</f>
        <v>0</v>
      </c>
      <c r="MG48" s="57">
        <f>'REG y VAL POE - AESR - ESR'!AK3664</f>
        <v>0</v>
      </c>
      <c r="MH48" s="57" t="str">
        <f>'REG y VAL POE - AESR - ESR'!AL3664</f>
        <v>SI</v>
      </c>
      <c r="MI48" s="57" t="str">
        <f>'REG y VAL POE - AESR - ESR'!AM3664</f>
        <v>SI</v>
      </c>
      <c r="MJ48" s="57">
        <f>'REG y VAL POE - AESR - ESR'!AN3664</f>
        <v>0</v>
      </c>
      <c r="MK48" s="57">
        <f>'REG y VAL POE - AESR - ESR'!AO3664</f>
        <v>0</v>
      </c>
      <c r="ML48" s="57">
        <f>'REG y VAL POE - AESR - ESR'!AP3664</f>
        <v>0</v>
      </c>
      <c r="MM48" s="57">
        <f>'REG y VAL POE - AESR - ESR'!AQ3664</f>
        <v>0</v>
      </c>
      <c r="MN48" s="57" t="str">
        <f>'REG y VAL POE - AESR - ESR'!AR3664</f>
        <v>VACIS PORTAL</v>
      </c>
      <c r="MO48" s="57">
        <f>'REG y VAL POE - AESR - ESR'!AS3664</f>
        <v>0</v>
      </c>
      <c r="MP48" s="57" t="str">
        <f>'REG y VAL POE - AESR - ESR'!B3665</f>
        <v>Cordero Bendimez Pablo Yavne</v>
      </c>
      <c r="MQ48" s="57" t="str">
        <f>'REG y VAL POE - AESR - ESR'!C3665</f>
        <v>ESR</v>
      </c>
      <c r="MR48" s="56">
        <f>'REG y VAL POE - AESR - ESR'!D3665</f>
        <v>23191910</v>
      </c>
      <c r="MS48" s="56">
        <f>'REG y VAL POE - AESR - ESR'!E3665</f>
        <v>0</v>
      </c>
      <c r="MT48" s="57">
        <f>'REG y VAL POE - AESR - ESR'!F3665</f>
        <v>0</v>
      </c>
      <c r="MU48" s="390">
        <f>'REG y VAL POE - AESR - ESR'!G3665</f>
        <v>45377</v>
      </c>
      <c r="MV48" s="390">
        <f>'REG y VAL POE - AESR - ESR'!H3665</f>
        <v>45742</v>
      </c>
      <c r="MW48" s="57" t="str">
        <f>'REG y VAL POE - AESR - ESR'!I3665</f>
        <v>SI</v>
      </c>
      <c r="MX48" s="57" t="str">
        <f>'REG y VAL POE - AESR - ESR'!J3665</f>
        <v>Vigente</v>
      </c>
      <c r="MY48" s="57" t="str">
        <f>'REG y VAL POE - AESR - ESR'!K3665</f>
        <v>SI</v>
      </c>
      <c r="MZ48" s="57" t="str">
        <f>'REG y VAL POE - AESR - ESR'!L3665</f>
        <v>Vigente</v>
      </c>
      <c r="NA48" s="57" t="str">
        <f>'REG y VAL POE - AESR - ESR'!M3665</f>
        <v>Apendice ByC no llenos-c/historial aparte-falta firma RL</v>
      </c>
      <c r="NB48" s="57">
        <f>'REG y VAL POE - AESR - ESR'!N3665</f>
        <v>0</v>
      </c>
      <c r="NC48" s="57" t="str">
        <f>'REG y VAL POE - AESR - ESR'!O3665</f>
        <v>SI</v>
      </c>
      <c r="ND48" s="57" t="str">
        <f>'REG y VAL POE - AESR - ESR'!P3665</f>
        <v>SI</v>
      </c>
      <c r="NE48" s="57" t="str">
        <f>'REG y VAL POE - AESR - ESR'!Q3665</f>
        <v>SI</v>
      </c>
      <c r="NF48" s="57" t="str">
        <f>'REG y VAL POE - AESR - ESR'!R3665</f>
        <v>SI</v>
      </c>
      <c r="NG48" s="57" t="str">
        <f>'REG y VAL POE - AESR - ESR'!S3665</f>
        <v>SI</v>
      </c>
      <c r="NH48" s="57" t="str">
        <f>'REG y VAL POE - AESR - ESR'!T3665</f>
        <v>NO</v>
      </c>
      <c r="NI48" s="57" t="str">
        <f>'REG y VAL POE - AESR - ESR'!U3665</f>
        <v>NO</v>
      </c>
      <c r="NJ48" s="57" t="str">
        <f>'REG y VAL POE - AESR - ESR'!V3665</f>
        <v>SI</v>
      </c>
      <c r="NK48" s="57" t="str">
        <f>'REG y VAL POE - AESR - ESR'!W3665</f>
        <v>Si</v>
      </c>
      <c r="NL48" s="57">
        <f>'REG y VAL POE - AESR - ESR'!X3665</f>
        <v>0</v>
      </c>
      <c r="NM48" s="57">
        <f>'REG y VAL POE - AESR - ESR'!Y3665</f>
        <v>0</v>
      </c>
      <c r="NN48" s="57">
        <f>'REG y VAL POE - AESR - ESR'!Z3665</f>
        <v>0</v>
      </c>
      <c r="NO48" s="57">
        <f>'REG y VAL POE - AESR - ESR'!AA3665</f>
        <v>0</v>
      </c>
      <c r="NP48" s="57">
        <f>'REG y VAL POE - AESR - ESR'!AB3665</f>
        <v>0</v>
      </c>
      <c r="NQ48" s="57">
        <f>'REG y VAL POE - AESR - ESR'!AC3665</f>
        <v>0</v>
      </c>
      <c r="NR48" s="57">
        <f>'REG y VAL POE - AESR - ESR'!AD3665</f>
        <v>0</v>
      </c>
      <c r="NS48" s="57">
        <f>'REG y VAL POE - AESR - ESR'!AE3665</f>
        <v>0</v>
      </c>
      <c r="NT48" s="57" t="str">
        <f>'REG y VAL POE - AESR - ESR'!AF3665</f>
        <v>SI</v>
      </c>
      <c r="NU48" s="57" t="str">
        <f>'REG y VAL POE - AESR - ESR'!AG3665</f>
        <v>SI</v>
      </c>
      <c r="NV48" s="57">
        <f>'REG y VAL POE - AESR - ESR'!AH3665</f>
        <v>0</v>
      </c>
      <c r="NW48" s="57">
        <f>'REG y VAL POE - AESR - ESR'!AI3665</f>
        <v>0</v>
      </c>
      <c r="NX48" s="57">
        <f>'REG y VAL POE - AESR - ESR'!AJ3665</f>
        <v>0</v>
      </c>
      <c r="NY48" s="57">
        <f>'REG y VAL POE - AESR - ESR'!AK3665</f>
        <v>0</v>
      </c>
      <c r="NZ48" s="57" t="str">
        <f>'REG y VAL POE - AESR - ESR'!AL3665</f>
        <v>SI</v>
      </c>
      <c r="OA48" s="57">
        <f>'REG y VAL POE - AESR - ESR'!AM3665</f>
        <v>0</v>
      </c>
      <c r="OB48" s="57">
        <f>'REG y VAL POE - AESR - ESR'!AN3665</f>
        <v>0</v>
      </c>
      <c r="OC48" s="57" t="str">
        <f>'REG y VAL POE - AESR - ESR'!AO3665</f>
        <v>SI</v>
      </c>
      <c r="OD48" s="57">
        <f>'REG y VAL POE - AESR - ESR'!AP3665</f>
        <v>0</v>
      </c>
      <c r="OE48" s="57">
        <f>'REG y VAL POE - AESR - ESR'!AQ3665</f>
        <v>0</v>
      </c>
      <c r="OF48" s="57" t="str">
        <f>'REG y VAL POE - AESR - ESR'!AR3665</f>
        <v>ICSIS</v>
      </c>
      <c r="OG48" s="57" t="str">
        <f>'REG y VAL POE - AESR - ESR'!AS3665</f>
        <v>VACIS PORTAL</v>
      </c>
      <c r="OH48" s="58" t="str">
        <f>'REG y VAL POE - AESR - ESR'!B3666</f>
        <v>Cruz Fuentes Cecilio</v>
      </c>
      <c r="OI48" s="56" t="str">
        <f>'REG y VAL POE - AESR - ESR'!C3666</f>
        <v>POE-RG</v>
      </c>
      <c r="OJ48" s="56">
        <f>'REG y VAL POE - AESR - ESR'!D3666</f>
        <v>23138352</v>
      </c>
      <c r="OK48" s="56">
        <f>'REG y VAL POE - AESR - ESR'!E3666</f>
        <v>0</v>
      </c>
      <c r="OL48" s="57">
        <f>'REG y VAL POE - AESR - ESR'!F3666</f>
        <v>0</v>
      </c>
      <c r="OM48" s="390">
        <f>'REG y VAL POE - AESR - ESR'!G3666</f>
        <v>45378</v>
      </c>
      <c r="ON48" s="390">
        <f>'REG y VAL POE - AESR - ESR'!H3666</f>
        <v>45743</v>
      </c>
      <c r="OO48" s="57" t="str">
        <f>'REG y VAL POE - AESR - ESR'!I3666</f>
        <v>SI</v>
      </c>
      <c r="OP48" s="57" t="str">
        <f>'REG y VAL POE - AESR - ESR'!J3666</f>
        <v>Vigente</v>
      </c>
      <c r="OQ48" s="57" t="str">
        <f>'REG y VAL POE - AESR - ESR'!K3666</f>
        <v>SI</v>
      </c>
      <c r="OR48" s="57" t="str">
        <f>'REG y VAL POE - AESR - ESR'!L3666</f>
        <v>Vigente</v>
      </c>
      <c r="OS48" s="57" t="str">
        <f>'REG y VAL POE - AESR - ESR'!M3666</f>
        <v>NO</v>
      </c>
      <c r="OT48" s="57" t="str">
        <f>'REG y VAL POE - AESR - ESR'!N3666</f>
        <v>Apendice ByC no llenos-c/historial aparte-falta firma RL</v>
      </c>
      <c r="OU48" s="57" t="str">
        <f>'REG y VAL POE - AESR - ESR'!O3666</f>
        <v>SI</v>
      </c>
      <c r="OV48" s="57" t="str">
        <f>'REG y VAL POE - AESR - ESR'!P3666</f>
        <v>SI</v>
      </c>
      <c r="OW48" s="57" t="str">
        <f>'REG y VAL POE - AESR - ESR'!Q3666</f>
        <v>SI</v>
      </c>
      <c r="OX48" s="57" t="str">
        <f>'REG y VAL POE - AESR - ESR'!R3666</f>
        <v>NO</v>
      </c>
      <c r="OY48" s="57" t="str">
        <f>'REG y VAL POE - AESR - ESR'!S3666</f>
        <v>SI</v>
      </c>
      <c r="OZ48" s="57" t="str">
        <f>'REG y VAL POE - AESR - ESR'!T3666</f>
        <v>NO</v>
      </c>
      <c r="PA48" s="57" t="str">
        <f>'REG y VAL POE - AESR - ESR'!U3666</f>
        <v>NO</v>
      </c>
      <c r="PB48" s="57" t="str">
        <f>'REG y VAL POE - AESR - ESR'!V3666</f>
        <v>SI</v>
      </c>
      <c r="PC48" s="57">
        <f>'REG y VAL POE - AESR - ESR'!W3666</f>
        <v>0</v>
      </c>
      <c r="PD48" s="57">
        <f>'REG y VAL POE - AESR - ESR'!X3666</f>
        <v>0</v>
      </c>
      <c r="PE48" s="57">
        <f>'REG y VAL POE - AESR - ESR'!Y3666</f>
        <v>0</v>
      </c>
      <c r="PF48" s="57" t="str">
        <f>'REG y VAL POE - AESR - ESR'!Z3666</f>
        <v>SI</v>
      </c>
      <c r="PG48" s="57">
        <f>'REG y VAL POE - AESR - ESR'!AA3666</f>
        <v>0</v>
      </c>
      <c r="PH48" s="57">
        <f>'REG y VAL POE - AESR - ESR'!AB3666</f>
        <v>0</v>
      </c>
      <c r="PI48" s="57">
        <f>'REG y VAL POE - AESR - ESR'!AC3666</f>
        <v>0</v>
      </c>
      <c r="PJ48" s="57">
        <f>'REG y VAL POE - AESR - ESR'!AD3666</f>
        <v>0</v>
      </c>
      <c r="PK48" s="57">
        <f>'REG y VAL POE - AESR - ESR'!AE3666</f>
        <v>0</v>
      </c>
      <c r="PL48" s="57">
        <f>'REG y VAL POE - AESR - ESR'!AF3666</f>
        <v>0</v>
      </c>
      <c r="PM48" s="57">
        <f>'REG y VAL POE - AESR - ESR'!AG3666</f>
        <v>0</v>
      </c>
      <c r="PN48" s="57">
        <f>'REG y VAL POE - AESR - ESR'!AH3666</f>
        <v>0</v>
      </c>
      <c r="PO48" s="57">
        <f>'REG y VAL POE - AESR - ESR'!AI3666</f>
        <v>0</v>
      </c>
      <c r="PP48" s="57">
        <f>'REG y VAL POE - AESR - ESR'!AJ3666</f>
        <v>0</v>
      </c>
      <c r="PQ48" s="57">
        <f>'REG y VAL POE - AESR - ESR'!AK3666</f>
        <v>0</v>
      </c>
      <c r="PR48" s="57">
        <f>'REG y VAL POE - AESR - ESR'!AL3666</f>
        <v>0</v>
      </c>
      <c r="PS48" s="57" t="str">
        <f>'REG y VAL POE - AESR - ESR'!AM3666</f>
        <v>SI</v>
      </c>
      <c r="PT48" s="57">
        <f>'REG y VAL POE - AESR - ESR'!AN3666</f>
        <v>0</v>
      </c>
      <c r="PU48" s="57">
        <f>'REG y VAL POE - AESR - ESR'!AO3666</f>
        <v>0</v>
      </c>
      <c r="PV48" s="57">
        <f>'REG y VAL POE - AESR - ESR'!AP3666</f>
        <v>0</v>
      </c>
      <c r="PW48" s="57">
        <f>'REG y VAL POE - AESR - ESR'!AQ3666</f>
        <v>0</v>
      </c>
      <c r="PX48" s="57">
        <f>'REG y VAL POE - AESR - ESR'!AR3666</f>
        <v>0</v>
      </c>
      <c r="PY48" s="57">
        <f>'REG y VAL POE - AESR - ESR'!AS3666</f>
        <v>0</v>
      </c>
      <c r="PZ48" s="57" t="str">
        <f>'REG y VAL POE - AESR - ESR'!B3667</f>
        <v>Cruz Lara Anel</v>
      </c>
      <c r="QA48" s="56" t="str">
        <f>'REG y VAL POE - AESR - ESR'!C3667</f>
        <v>POE-RG</v>
      </c>
      <c r="QB48" s="56">
        <f>'REG y VAL POE - AESR - ESR'!D3667</f>
        <v>23198978</v>
      </c>
      <c r="QC48" s="56">
        <f>'REG y VAL POE - AESR - ESR'!E3667</f>
        <v>0</v>
      </c>
      <c r="QD48" s="57">
        <f>'REG y VAL POE - AESR - ESR'!F3667</f>
        <v>0</v>
      </c>
      <c r="QE48" s="390">
        <f>'REG y VAL POE - AESR - ESR'!G3667</f>
        <v>45383</v>
      </c>
      <c r="QF48" s="390">
        <f>'REG y VAL POE - AESR - ESR'!H3667</f>
        <v>45748</v>
      </c>
      <c r="QG48" s="57" t="str">
        <f>'REG y VAL POE - AESR - ESR'!I3667</f>
        <v>SI</v>
      </c>
      <c r="QH48" s="57" t="str">
        <f>'REG y VAL POE - AESR - ESR'!J3667</f>
        <v>Vigente</v>
      </c>
      <c r="QI48" s="57" t="str">
        <f>'REG y VAL POE - AESR - ESR'!K3667</f>
        <v>SI</v>
      </c>
      <c r="QJ48" s="57" t="str">
        <f>'REG y VAL POE - AESR - ESR'!L3667</f>
        <v>Vigente</v>
      </c>
      <c r="QK48" s="57" t="str">
        <f>'REG y VAL POE - AESR - ESR'!M3667</f>
        <v>NO</v>
      </c>
      <c r="QL48" s="57" t="str">
        <f>'REG y VAL POE - AESR - ESR'!N3667</f>
        <v>Apendice ByC no llenos-c/historial aparte-falta firma RL</v>
      </c>
      <c r="QM48" s="57" t="str">
        <f>'REG y VAL POE - AESR - ESR'!O3667</f>
        <v>SI</v>
      </c>
      <c r="QN48" s="57">
        <f>'REG y VAL POE - AESR - ESR'!P3667</f>
        <v>0</v>
      </c>
      <c r="QO48" s="57" t="str">
        <f>'REG y VAL POE - AESR - ESR'!Q3667</f>
        <v>SI</v>
      </c>
      <c r="QP48" s="57" t="str">
        <f>'REG y VAL POE - AESR - ESR'!R3667</f>
        <v>SI</v>
      </c>
      <c r="QQ48" s="57" t="str">
        <f>'REG y VAL POE - AESR - ESR'!S3667</f>
        <v>SI</v>
      </c>
      <c r="QR48" s="57" t="str">
        <f>'REG y VAL POE - AESR - ESR'!T3667</f>
        <v>NO</v>
      </c>
      <c r="QS48" s="57" t="str">
        <f>'REG y VAL POE - AESR - ESR'!U3667</f>
        <v>NO</v>
      </c>
      <c r="QT48" s="57" t="str">
        <f>'REG y VAL POE - AESR - ESR'!V3667</f>
        <v>SI</v>
      </c>
      <c r="QU48" s="57">
        <f>'REG y VAL POE - AESR - ESR'!W3667</f>
        <v>0</v>
      </c>
      <c r="QV48" s="57">
        <f>'REG y VAL POE - AESR - ESR'!X3667</f>
        <v>0</v>
      </c>
      <c r="QW48" s="57">
        <f>'REG y VAL POE - AESR - ESR'!Y3667</f>
        <v>0</v>
      </c>
      <c r="QX48" s="57" t="str">
        <f>'REG y VAL POE - AESR - ESR'!Z3667</f>
        <v>SI</v>
      </c>
      <c r="QY48" s="57">
        <f>'REG y VAL POE - AESR - ESR'!AA3667</f>
        <v>0</v>
      </c>
      <c r="QZ48" s="57">
        <f>'REG y VAL POE - AESR - ESR'!AB3667</f>
        <v>0</v>
      </c>
      <c r="RA48" s="57">
        <f>'REG y VAL POE - AESR - ESR'!AC3667</f>
        <v>0</v>
      </c>
      <c r="RB48" s="57">
        <f>'REG y VAL POE - AESR - ESR'!AD3667</f>
        <v>0</v>
      </c>
      <c r="RC48" s="57">
        <f>'REG y VAL POE - AESR - ESR'!AE3667</f>
        <v>0</v>
      </c>
      <c r="RD48" s="57">
        <f>'REG y VAL POE - AESR - ESR'!AF3667</f>
        <v>0</v>
      </c>
      <c r="RE48" s="57">
        <f>'REG y VAL POE - AESR - ESR'!AG3667</f>
        <v>0</v>
      </c>
      <c r="RF48" s="57">
        <f>'REG y VAL POE - AESR - ESR'!AH3667</f>
        <v>0</v>
      </c>
      <c r="RG48" s="57">
        <f>'REG y VAL POE - AESR - ESR'!AI3667</f>
        <v>0</v>
      </c>
      <c r="RH48" s="57">
        <f>'REG y VAL POE - AESR - ESR'!AJ3667</f>
        <v>0</v>
      </c>
      <c r="RI48" s="57">
        <f>'REG y VAL POE - AESR - ESR'!AK3667</f>
        <v>0</v>
      </c>
      <c r="RJ48" s="57" t="str">
        <f>'REG y VAL POE - AESR - ESR'!AL3667</f>
        <v>SI</v>
      </c>
      <c r="RK48" s="57">
        <f>'REG y VAL POE - AESR - ESR'!AM3667</f>
        <v>0</v>
      </c>
      <c r="RL48" s="57">
        <f>'REG y VAL POE - AESR - ESR'!AN3667</f>
        <v>0</v>
      </c>
      <c r="RM48" s="57">
        <f>'REG y VAL POE - AESR - ESR'!AO3667</f>
        <v>0</v>
      </c>
      <c r="RN48" s="57">
        <f>'REG y VAL POE - AESR - ESR'!AP3667</f>
        <v>0</v>
      </c>
      <c r="RO48" s="57">
        <f>'REG y VAL POE - AESR - ESR'!AQ3667</f>
        <v>0</v>
      </c>
      <c r="RP48" s="57" t="str">
        <f>'REG y VAL POE - AESR - ESR'!AR3667</f>
        <v>VACIS PORTAL</v>
      </c>
      <c r="RQ48" s="57">
        <f>'REG y VAL POE - AESR - ESR'!AS3667</f>
        <v>0</v>
      </c>
      <c r="RR48" s="56" t="str">
        <f>'REG y VAL POE - AESR - ESR'!B3668</f>
        <v>Cruz Valadez Daniel</v>
      </c>
      <c r="RS48" s="57" t="str">
        <f>'REG y VAL POE - AESR - ESR'!C3668</f>
        <v>POE-RG</v>
      </c>
      <c r="RT48" s="56">
        <f>'REG y VAL POE - AESR - ESR'!D3668</f>
        <v>23095972</v>
      </c>
      <c r="RU48" s="56">
        <f>'REG y VAL POE - AESR - ESR'!E3668</f>
        <v>0</v>
      </c>
      <c r="RV48" s="57">
        <f>'REG y VAL POE - AESR - ESR'!F3668</f>
        <v>0</v>
      </c>
      <c r="RW48" s="390">
        <f>'REG y VAL POE - AESR - ESR'!G3668</f>
        <v>45377</v>
      </c>
      <c r="RX48" s="390">
        <f>'REG y VAL POE - AESR - ESR'!H3668</f>
        <v>45742</v>
      </c>
      <c r="RY48" s="57" t="str">
        <f>'REG y VAL POE - AESR - ESR'!I3668</f>
        <v>SI</v>
      </c>
      <c r="RZ48" s="57" t="str">
        <f>'REG y VAL POE - AESR - ESR'!J3668</f>
        <v>Vigente</v>
      </c>
      <c r="SA48" s="57" t="str">
        <f>'REG y VAL POE - AESR - ESR'!K3668</f>
        <v>SI</v>
      </c>
      <c r="SB48" s="57" t="str">
        <f>'REG y VAL POE - AESR - ESR'!L3668</f>
        <v>Vigente</v>
      </c>
      <c r="SC48" s="57" t="str">
        <f>'REG y VAL POE - AESR - ESR'!M3668</f>
        <v>NO</v>
      </c>
      <c r="SD48" s="57" t="str">
        <f>'REG y VAL POE - AESR - ESR'!N3668</f>
        <v>Apendice ByC no llenos-c/historial aparte-falta firma RL</v>
      </c>
      <c r="SE48" s="57">
        <f>'REG y VAL POE - AESR - ESR'!O3668</f>
        <v>0</v>
      </c>
      <c r="SF48" s="57" t="str">
        <f>'REG y VAL POE - AESR - ESR'!P3668</f>
        <v>SI</v>
      </c>
      <c r="SG48" s="57" t="str">
        <f>'REG y VAL POE - AESR - ESR'!Q3668</f>
        <v>SI</v>
      </c>
      <c r="SH48" s="57" t="str">
        <f>'REG y VAL POE - AESR - ESR'!R3668</f>
        <v>SI</v>
      </c>
      <c r="SI48" s="57" t="str">
        <f>'REG y VAL POE - AESR - ESR'!S3668</f>
        <v>SI</v>
      </c>
      <c r="SJ48" s="57" t="str">
        <f>'REG y VAL POE - AESR - ESR'!T3668</f>
        <v>NO</v>
      </c>
      <c r="SK48" s="57" t="str">
        <f>'REG y VAL POE - AESR - ESR'!U3668</f>
        <v>NO</v>
      </c>
      <c r="SL48" s="57" t="str">
        <f>'REG y VAL POE - AESR - ESR'!V3668</f>
        <v>SI</v>
      </c>
      <c r="SM48" s="57">
        <f>'REG y VAL POE - AESR - ESR'!W3668</f>
        <v>0</v>
      </c>
      <c r="SN48" s="57">
        <f>'REG y VAL POE - AESR - ESR'!X3668</f>
        <v>0</v>
      </c>
      <c r="SO48" s="57">
        <f>'REG y VAL POE - AESR - ESR'!Y3668</f>
        <v>0</v>
      </c>
      <c r="SP48" s="57" t="str">
        <f>'REG y VAL POE - AESR - ESR'!Z3668</f>
        <v>SI</v>
      </c>
      <c r="SQ48" s="57">
        <f>'REG y VAL POE - AESR - ESR'!AA3668</f>
        <v>0</v>
      </c>
      <c r="SR48" s="57">
        <f>'REG y VAL POE - AESR - ESR'!AB3668</f>
        <v>0</v>
      </c>
      <c r="SS48" s="57">
        <f>'REG y VAL POE - AESR - ESR'!AC3668</f>
        <v>0</v>
      </c>
      <c r="ST48" s="57">
        <f>'REG y VAL POE - AESR - ESR'!AD3668</f>
        <v>0</v>
      </c>
      <c r="SU48" s="57">
        <f>'REG y VAL POE - AESR - ESR'!AE3668</f>
        <v>0</v>
      </c>
      <c r="SV48" s="57">
        <f>'REG y VAL POE - AESR - ESR'!AF3668</f>
        <v>0</v>
      </c>
      <c r="SW48" s="57">
        <f>'REG y VAL POE - AESR - ESR'!AG3668</f>
        <v>0</v>
      </c>
      <c r="SX48" s="57">
        <f>'REG y VAL POE - AESR - ESR'!AH3668</f>
        <v>0</v>
      </c>
      <c r="SY48" s="57">
        <f>'REG y VAL POE - AESR - ESR'!AI3668</f>
        <v>0</v>
      </c>
      <c r="SZ48" s="57">
        <f>'REG y VAL POE - AESR - ESR'!AJ3668</f>
        <v>0</v>
      </c>
      <c r="TA48" s="57">
        <f>'REG y VAL POE - AESR - ESR'!AK3668</f>
        <v>0</v>
      </c>
      <c r="TB48" s="57">
        <f>'REG y VAL POE - AESR - ESR'!AL3668</f>
        <v>0</v>
      </c>
      <c r="TC48" s="57" t="str">
        <f>'REG y VAL POE - AESR - ESR'!AM3668</f>
        <v>SI</v>
      </c>
      <c r="TD48" s="57">
        <f>'REG y VAL POE - AESR - ESR'!AN3668</f>
        <v>0</v>
      </c>
      <c r="TE48" s="57">
        <f>'REG y VAL POE - AESR - ESR'!AO3668</f>
        <v>0</v>
      </c>
      <c r="TF48" s="57">
        <f>'REG y VAL POE - AESR - ESR'!AP3668</f>
        <v>0</v>
      </c>
      <c r="TG48" s="57">
        <f>'REG y VAL POE - AESR - ESR'!AQ3668</f>
        <v>0</v>
      </c>
      <c r="TH48" s="57">
        <f>'REG y VAL POE - AESR - ESR'!AR3668</f>
        <v>0</v>
      </c>
      <c r="TI48" s="57">
        <f>'REG y VAL POE - AESR - ESR'!AS3668</f>
        <v>0</v>
      </c>
      <c r="TJ48" s="57" t="str">
        <f>'REG y VAL POE - AESR - ESR'!B3669</f>
        <v>Del Carmen Lopez Benita</v>
      </c>
      <c r="TK48" s="57" t="str">
        <f>'REG y VAL POE - AESR - ESR'!C3669</f>
        <v>POE-RG</v>
      </c>
      <c r="TL48" s="56">
        <f>'REG y VAL POE - AESR - ESR'!D3669</f>
        <v>23189252</v>
      </c>
      <c r="TM48" s="56">
        <f>'REG y VAL POE - AESR - ESR'!E3669</f>
        <v>0</v>
      </c>
      <c r="TN48" s="57">
        <f>'REG y VAL POE - AESR - ESR'!F3669</f>
        <v>0</v>
      </c>
      <c r="TO48" s="390">
        <f>'REG y VAL POE - AESR - ESR'!G3669</f>
        <v>45378</v>
      </c>
      <c r="TP48" s="390">
        <f>'REG y VAL POE - AESR - ESR'!H3669</f>
        <v>45743</v>
      </c>
      <c r="TQ48" s="57" t="str">
        <f>'REG y VAL POE - AESR - ESR'!I3669</f>
        <v>SI</v>
      </c>
      <c r="TR48" s="57" t="str">
        <f>'REG y VAL POE - AESR - ESR'!J3669</f>
        <v>Vigente</v>
      </c>
      <c r="TS48" s="57" t="str">
        <f>'REG y VAL POE - AESR - ESR'!K3669</f>
        <v>SI</v>
      </c>
      <c r="TT48" s="57" t="str">
        <f>'REG y VAL POE - AESR - ESR'!L3669</f>
        <v>Vigente</v>
      </c>
      <c r="TU48" s="57" t="str">
        <f>'REG y VAL POE - AESR - ESR'!M3669</f>
        <v>NO</v>
      </c>
      <c r="TV48" s="57" t="str">
        <f>'REG y VAL POE - AESR - ESR'!N3669</f>
        <v>Apendice ByC no llenos-c/historial aparte-falta firma RL</v>
      </c>
      <c r="TW48" s="57" t="str">
        <f>'REG y VAL POE - AESR - ESR'!O3669</f>
        <v>SOLO ES CONTANCIA</v>
      </c>
      <c r="TX48" s="57">
        <f>'REG y VAL POE - AESR - ESR'!P3669</f>
        <v>0</v>
      </c>
      <c r="TY48" s="57" t="str">
        <f>'REG y VAL POE - AESR - ESR'!Q3669</f>
        <v>SI</v>
      </c>
      <c r="TZ48" s="57" t="str">
        <f>'REG y VAL POE - AESR - ESR'!R3669</f>
        <v>SI</v>
      </c>
      <c r="UA48" s="57" t="str">
        <f>'REG y VAL POE - AESR - ESR'!S3669</f>
        <v>SI</v>
      </c>
      <c r="UB48" s="57" t="str">
        <f>'REG y VAL POE - AESR - ESR'!T3669</f>
        <v>NO</v>
      </c>
      <c r="UC48" s="57" t="str">
        <f>'REG y VAL POE - AESR - ESR'!U3669</f>
        <v>NO</v>
      </c>
      <c r="UD48" s="57" t="str">
        <f>'REG y VAL POE - AESR - ESR'!V3669</f>
        <v>SI</v>
      </c>
      <c r="UE48" s="57">
        <f>'REG y VAL POE - AESR - ESR'!W3669</f>
        <v>0</v>
      </c>
      <c r="UF48" s="57">
        <f>'REG y VAL POE - AESR - ESR'!X3669</f>
        <v>0</v>
      </c>
      <c r="UG48" s="57">
        <f>'REG y VAL POE - AESR - ESR'!Y3669</f>
        <v>0</v>
      </c>
      <c r="UH48" s="57" t="str">
        <f>'REG y VAL POE - AESR - ESR'!Z3669</f>
        <v>SI</v>
      </c>
      <c r="UI48" s="57">
        <f>'REG y VAL POE - AESR - ESR'!AA3669</f>
        <v>0</v>
      </c>
      <c r="UJ48" s="57">
        <f>'REG y VAL POE - AESR - ESR'!AB3669</f>
        <v>0</v>
      </c>
      <c r="UK48" s="57">
        <f>'REG y VAL POE - AESR - ESR'!AC3669</f>
        <v>0</v>
      </c>
      <c r="UL48" s="57">
        <f>'REG y VAL POE - AESR - ESR'!AD3669</f>
        <v>0</v>
      </c>
      <c r="UM48" s="57">
        <f>'REG y VAL POE - AESR - ESR'!AE3669</f>
        <v>0</v>
      </c>
      <c r="UN48" s="57">
        <f>'REG y VAL POE - AESR - ESR'!AF3669</f>
        <v>0</v>
      </c>
      <c r="UO48" s="57">
        <f>'REG y VAL POE - AESR - ESR'!AG3669</f>
        <v>0</v>
      </c>
      <c r="UP48" s="57">
        <f>'REG y VAL POE - AESR - ESR'!AH3669</f>
        <v>0</v>
      </c>
      <c r="UQ48" s="57">
        <f>'REG y VAL POE - AESR - ESR'!AI3669</f>
        <v>0</v>
      </c>
      <c r="UR48" s="57">
        <f>'REG y VAL POE - AESR - ESR'!AJ3669</f>
        <v>0</v>
      </c>
      <c r="US48" s="57">
        <f>'REG y VAL POE - AESR - ESR'!AK3669</f>
        <v>0</v>
      </c>
      <c r="UT48" s="57">
        <f>'REG y VAL POE - AESR - ESR'!AL3669</f>
        <v>0</v>
      </c>
      <c r="UU48" s="57">
        <f>'REG y VAL POE - AESR - ESR'!AM3669</f>
        <v>0</v>
      </c>
      <c r="UV48" s="57">
        <f>'REG y VAL POE - AESR - ESR'!AN3669</f>
        <v>0</v>
      </c>
      <c r="UW48" s="57">
        <f>'REG y VAL POE - AESR - ESR'!AO3669</f>
        <v>0</v>
      </c>
      <c r="UX48" s="57">
        <f>'REG y VAL POE - AESR - ESR'!AP3669</f>
        <v>0</v>
      </c>
      <c r="UY48" s="57">
        <f>'REG y VAL POE - AESR - ESR'!AQ3669</f>
        <v>0</v>
      </c>
      <c r="UZ48" s="57">
        <f>'REG y VAL POE - AESR - ESR'!AR3669</f>
        <v>0</v>
      </c>
      <c r="VA48" s="57">
        <f>'REG y VAL POE - AESR - ESR'!AS3669</f>
        <v>0</v>
      </c>
      <c r="VB48" s="57" t="str">
        <f>'REG y VAL POE - AESR - ESR'!B3670</f>
        <v>Elorza Santiago Rodrigo Jesus</v>
      </c>
      <c r="VC48" s="57" t="str">
        <f>'REG y VAL POE - AESR - ESR'!C3670</f>
        <v>POE-RG</v>
      </c>
      <c r="VD48" s="56">
        <f>'REG y VAL POE - AESR - ESR'!D3670</f>
        <v>23168382</v>
      </c>
      <c r="VE48" s="57">
        <f>'REG y VAL POE - AESR - ESR'!E3670</f>
        <v>0</v>
      </c>
      <c r="VF48" s="58">
        <f>'REG y VAL POE - AESR - ESR'!F3670</f>
        <v>0</v>
      </c>
      <c r="VG48" s="59">
        <f>'REG y VAL POE - AESR - ESR'!G3670</f>
        <v>45377</v>
      </c>
      <c r="VH48" s="390">
        <f>'REG y VAL POE - AESR - ESR'!H3670</f>
        <v>45742</v>
      </c>
      <c r="VI48" s="57" t="str">
        <f>'REG y VAL POE - AESR - ESR'!I3670</f>
        <v>SI</v>
      </c>
      <c r="VJ48" s="57" t="str">
        <f>'REG y VAL POE - AESR - ESR'!J3670</f>
        <v>Vigente</v>
      </c>
      <c r="VK48" s="57" t="str">
        <f>'REG y VAL POE - AESR - ESR'!K3670</f>
        <v>SI</v>
      </c>
      <c r="VL48" s="57" t="str">
        <f>'REG y VAL POE - AESR - ESR'!L3670</f>
        <v>Vigente</v>
      </c>
      <c r="VM48" s="57" t="str">
        <f>'REG y VAL POE - AESR - ESR'!M3670</f>
        <v>NO</v>
      </c>
      <c r="VN48" s="57" t="str">
        <f>'REG y VAL POE - AESR - ESR'!N3670</f>
        <v>Apendice ByC no llenos-c/historial aparte-falta firma RL</v>
      </c>
      <c r="VO48" s="57" t="str">
        <f>'REG y VAL POE - AESR - ESR'!O3670</f>
        <v>SI</v>
      </c>
      <c r="VP48" s="57" t="str">
        <f>'REG y VAL POE - AESR - ESR'!P3670</f>
        <v>SI</v>
      </c>
      <c r="VQ48" s="57" t="str">
        <f>'REG y VAL POE - AESR - ESR'!Q3670</f>
        <v>SI</v>
      </c>
      <c r="VR48" s="57" t="str">
        <f>'REG y VAL POE - AESR - ESR'!R3670</f>
        <v>SI</v>
      </c>
      <c r="VS48" s="57" t="str">
        <f>'REG y VAL POE - AESR - ESR'!S3670</f>
        <v>SI</v>
      </c>
      <c r="VT48" s="57" t="str">
        <f>'REG y VAL POE - AESR - ESR'!T3670</f>
        <v>NO</v>
      </c>
      <c r="VU48" s="57" t="str">
        <f>'REG y VAL POE - AESR - ESR'!U3670</f>
        <v>NO</v>
      </c>
      <c r="VV48" s="57" t="str">
        <f>'REG y VAL POE - AESR - ESR'!V3670</f>
        <v>SI</v>
      </c>
      <c r="VW48" s="57">
        <f>'REG y VAL POE - AESR - ESR'!W3670</f>
        <v>0</v>
      </c>
      <c r="VX48" s="57">
        <f>'REG y VAL POE - AESR - ESR'!X3670</f>
        <v>0</v>
      </c>
      <c r="VY48" s="57">
        <f>'REG y VAL POE - AESR - ESR'!Y3670</f>
        <v>0</v>
      </c>
      <c r="VZ48" s="57" t="str">
        <f>'REG y VAL POE - AESR - ESR'!Z3670</f>
        <v>SI</v>
      </c>
      <c r="WA48" s="57">
        <f>'REG y VAL POE - AESR - ESR'!AA3670</f>
        <v>0</v>
      </c>
      <c r="WB48" s="57">
        <f>'REG y VAL POE - AESR - ESR'!AB3670</f>
        <v>0</v>
      </c>
      <c r="WC48" s="57">
        <f>'REG y VAL POE - AESR - ESR'!AC3670</f>
        <v>0</v>
      </c>
      <c r="WD48" s="57">
        <f>'REG y VAL POE - AESR - ESR'!AD3670</f>
        <v>0</v>
      </c>
      <c r="WE48" s="57">
        <f>'REG y VAL POE - AESR - ESR'!AE3670</f>
        <v>0</v>
      </c>
      <c r="WF48" s="57" t="str">
        <f>'REG y VAL POE - AESR - ESR'!AF3670</f>
        <v>SI</v>
      </c>
      <c r="WG48" s="57">
        <f>'REG y VAL POE - AESR - ESR'!AG3670</f>
        <v>0</v>
      </c>
      <c r="WH48" s="57">
        <f>'REG y VAL POE - AESR - ESR'!AH3670</f>
        <v>0</v>
      </c>
      <c r="WI48" s="57">
        <f>'REG y VAL POE - AESR - ESR'!AI3670</f>
        <v>0</v>
      </c>
      <c r="WJ48" s="57">
        <f>'REG y VAL POE - AESR - ESR'!AJ3670</f>
        <v>0</v>
      </c>
      <c r="WK48" s="57">
        <f>'REG y VAL POE - AESR - ESR'!AK3670</f>
        <v>0</v>
      </c>
      <c r="WL48" s="57" t="str">
        <f>'REG y VAL POE - AESR - ESR'!AL3670</f>
        <v>SI</v>
      </c>
      <c r="WM48" s="57" t="str">
        <f>'REG y VAL POE - AESR - ESR'!AM3670</f>
        <v>SI</v>
      </c>
      <c r="WN48" s="57">
        <f>'REG y VAL POE - AESR - ESR'!AN3670</f>
        <v>0</v>
      </c>
      <c r="WO48" s="57" t="str">
        <f>'REG y VAL POE - AESR - ESR'!AO3670</f>
        <v>SI</v>
      </c>
      <c r="WP48" s="57">
        <f>'REG y VAL POE - AESR - ESR'!AP3670</f>
        <v>0</v>
      </c>
      <c r="WQ48" s="57">
        <f>'REG y VAL POE - AESR - ESR'!AQ3670</f>
        <v>0</v>
      </c>
      <c r="WR48" s="57" t="str">
        <f>'REG y VAL POE - AESR - ESR'!AR3670</f>
        <v>VACIS PORTAL</v>
      </c>
      <c r="WS48" s="57">
        <f>'REG y VAL POE - AESR - ESR'!AS3670</f>
        <v>0</v>
      </c>
      <c r="WT48" s="58" t="str">
        <f>'REG y VAL POE - AESR - ESR'!B3671</f>
        <v>Enciso Rebolledo Angel Gabriel</v>
      </c>
      <c r="WU48" s="56" t="str">
        <f>'REG y VAL POE - AESR - ESR'!C3671</f>
        <v>POE-RG</v>
      </c>
      <c r="WV48" s="56">
        <f>'REG y VAL POE - AESR - ESR'!D3671</f>
        <v>23206188</v>
      </c>
      <c r="WW48" s="56">
        <f>'REG y VAL POE - AESR - ESR'!E3671</f>
        <v>0</v>
      </c>
      <c r="WX48" s="57">
        <f>'REG y VAL POE - AESR - ESR'!F3671</f>
        <v>0</v>
      </c>
      <c r="WY48" s="390">
        <f>'REG y VAL POE - AESR - ESR'!G3671</f>
        <v>45376</v>
      </c>
      <c r="WZ48" s="390">
        <f>'REG y VAL POE - AESR - ESR'!H3671</f>
        <v>45741</v>
      </c>
      <c r="XA48" s="57" t="str">
        <f>'REG y VAL POE - AESR - ESR'!I3671</f>
        <v>SI</v>
      </c>
      <c r="XB48" s="57" t="str">
        <f>'REG y VAL POE - AESR - ESR'!J3671</f>
        <v>Vigente</v>
      </c>
      <c r="XC48" s="57" t="str">
        <f>'REG y VAL POE - AESR - ESR'!K3671</f>
        <v>SI</v>
      </c>
      <c r="XD48" s="57" t="str">
        <f>'REG y VAL POE - AESR - ESR'!L3671</f>
        <v>Vigente</v>
      </c>
      <c r="XE48" s="57" t="str">
        <f>'REG y VAL POE - AESR - ESR'!M3671</f>
        <v>NO</v>
      </c>
      <c r="XF48" s="57" t="str">
        <f>'REG y VAL POE - AESR - ESR'!N3671</f>
        <v>Apendice ByC no llenos-c/historial aparte-falta firma RL</v>
      </c>
      <c r="XG48" s="57" t="str">
        <f>'REG y VAL POE - AESR - ESR'!O3671</f>
        <v>SI</v>
      </c>
      <c r="XH48" s="57" t="str">
        <f>'REG y VAL POE - AESR - ESR'!P3671</f>
        <v>SI</v>
      </c>
      <c r="XI48" s="57" t="str">
        <f>'REG y VAL POE - AESR - ESR'!Q3671</f>
        <v>SI</v>
      </c>
      <c r="XJ48" s="57" t="str">
        <f>'REG y VAL POE - AESR - ESR'!R3671</f>
        <v>SI</v>
      </c>
      <c r="XK48" s="57" t="str">
        <f>'REG y VAL POE - AESR - ESR'!S3671</f>
        <v>SI</v>
      </c>
      <c r="XL48" s="57" t="str">
        <f>'REG y VAL POE - AESR - ESR'!T3671</f>
        <v>NO</v>
      </c>
      <c r="XM48" s="57" t="str">
        <f>'REG y VAL POE - AESR - ESR'!U3671</f>
        <v>NO</v>
      </c>
      <c r="XN48" s="57" t="str">
        <f>'REG y VAL POE - AESR - ESR'!V3671</f>
        <v>SI</v>
      </c>
      <c r="XO48" s="57" t="str">
        <f>'REG y VAL POE - AESR - ESR'!W3671</f>
        <v>Si</v>
      </c>
      <c r="XP48" s="57">
        <f>'REG y VAL POE - AESR - ESR'!X3671</f>
        <v>0</v>
      </c>
      <c r="XQ48" s="57">
        <f>'REG y VAL POE - AESR - ESR'!Y3671</f>
        <v>0</v>
      </c>
      <c r="XR48" s="57" t="str">
        <f>'REG y VAL POE - AESR - ESR'!Z3671</f>
        <v>SI</v>
      </c>
      <c r="XS48" s="57">
        <f>'REG y VAL POE - AESR - ESR'!AA3671</f>
        <v>0</v>
      </c>
      <c r="XT48" s="57">
        <f>'REG y VAL POE - AESR - ESR'!AB3671</f>
        <v>0</v>
      </c>
      <c r="XU48" s="57">
        <f>'REG y VAL POE - AESR - ESR'!AC3671</f>
        <v>0</v>
      </c>
      <c r="XV48" s="57">
        <f>'REG y VAL POE - AESR - ESR'!AD3671</f>
        <v>0</v>
      </c>
      <c r="XW48" s="57">
        <f>'REG y VAL POE - AESR - ESR'!AE3671</f>
        <v>0</v>
      </c>
      <c r="XX48" s="57" t="str">
        <f>'REG y VAL POE - AESR - ESR'!AF3671</f>
        <v>SI</v>
      </c>
      <c r="XY48" s="57">
        <f>'REG y VAL POE - AESR - ESR'!AG3671</f>
        <v>0</v>
      </c>
      <c r="XZ48" s="57">
        <f>'REG y VAL POE - AESR - ESR'!AH3671</f>
        <v>0</v>
      </c>
      <c r="YA48" s="57">
        <f>'REG y VAL POE - AESR - ESR'!AI3671</f>
        <v>0</v>
      </c>
      <c r="YB48" s="57">
        <f>'REG y VAL POE - AESR - ESR'!AJ3671</f>
        <v>0</v>
      </c>
      <c r="YC48" s="57">
        <f>'REG y VAL POE - AESR - ESR'!AK3671</f>
        <v>0</v>
      </c>
      <c r="YD48" s="57" t="str">
        <f>'REG y VAL POE - AESR - ESR'!AL3671</f>
        <v>SI</v>
      </c>
      <c r="YE48" s="57">
        <f>'REG y VAL POE - AESR - ESR'!AM3671</f>
        <v>0</v>
      </c>
      <c r="YF48" s="57">
        <f>'REG y VAL POE - AESR - ESR'!AN3671</f>
        <v>0</v>
      </c>
      <c r="YG48" s="57">
        <f>'REG y VAL POE - AESR - ESR'!AO3671</f>
        <v>0</v>
      </c>
      <c r="YH48" s="57">
        <f>'REG y VAL POE - AESR - ESR'!AP3671</f>
        <v>0</v>
      </c>
      <c r="YI48" s="57">
        <f>'REG y VAL POE - AESR - ESR'!AQ3671</f>
        <v>0</v>
      </c>
      <c r="YJ48" s="57" t="str">
        <f>'REG y VAL POE - AESR - ESR'!AR3671</f>
        <v>VACIS PORTAL</v>
      </c>
      <c r="YK48" s="57" t="str">
        <f>'REG y VAL POE - AESR - ESR'!AS3671</f>
        <v>ICIS-THSCAN</v>
      </c>
      <c r="YL48" s="57" t="str">
        <f>'REG y VAL POE - AESR - ESR'!B3672</f>
        <v>Enriquez Reyes Jorge Luis</v>
      </c>
      <c r="YM48" s="56" t="str">
        <f>'REG y VAL POE - AESR - ESR'!C3672</f>
        <v>POE-RG</v>
      </c>
      <c r="YN48" s="56">
        <f>'REG y VAL POE - AESR - ESR'!D3672</f>
        <v>23147847</v>
      </c>
      <c r="YO48" s="56">
        <f>'REG y VAL POE - AESR - ESR'!E3672</f>
        <v>0</v>
      </c>
      <c r="YP48" s="57">
        <f>'REG y VAL POE - AESR - ESR'!F3672</f>
        <v>0</v>
      </c>
      <c r="YQ48" s="390">
        <f>'REG y VAL POE - AESR - ESR'!G3672</f>
        <v>45376</v>
      </c>
      <c r="YR48" s="390">
        <f>'REG y VAL POE - AESR - ESR'!H3672</f>
        <v>45741</v>
      </c>
      <c r="YS48" s="57" t="str">
        <f>'REG y VAL POE - AESR - ESR'!I3672</f>
        <v>SI</v>
      </c>
      <c r="YT48" s="57" t="str">
        <f>'REG y VAL POE - AESR - ESR'!J3672</f>
        <v>Vigente</v>
      </c>
      <c r="YU48" s="57" t="str">
        <f>'REG y VAL POE - AESR - ESR'!K3672</f>
        <v>SI</v>
      </c>
      <c r="YV48" s="57" t="str">
        <f>'REG y VAL POE - AESR - ESR'!L3672</f>
        <v>Vigente</v>
      </c>
      <c r="YW48" s="57" t="str">
        <f>'REG y VAL POE - AESR - ESR'!M3672</f>
        <v>NO</v>
      </c>
      <c r="YX48" s="57" t="str">
        <f>'REG y VAL POE - AESR - ESR'!N3672</f>
        <v>Apendice ByC no llenos-c/historial aparte-falta firma RL</v>
      </c>
      <c r="YY48" s="57" t="str">
        <f>'REG y VAL POE - AESR - ESR'!O3672</f>
        <v>CARTA PASANTE</v>
      </c>
      <c r="YZ48" s="57">
        <f>'REG y VAL POE - AESR - ESR'!P3672</f>
        <v>0</v>
      </c>
      <c r="ZA48" s="57" t="str">
        <f>'REG y VAL POE - AESR - ESR'!Q3672</f>
        <v>SI</v>
      </c>
      <c r="ZB48" s="57" t="str">
        <f>'REG y VAL POE - AESR - ESR'!R3672</f>
        <v>SI</v>
      </c>
      <c r="ZC48" s="57" t="str">
        <f>'REG y VAL POE - AESR - ESR'!S3672</f>
        <v>SI</v>
      </c>
      <c r="ZD48" s="57" t="str">
        <f>'REG y VAL POE - AESR - ESR'!T3672</f>
        <v>SI</v>
      </c>
      <c r="ZE48" s="57" t="str">
        <f>'REG y VAL POE - AESR - ESR'!U3672</f>
        <v>SI</v>
      </c>
      <c r="ZF48" s="57" t="str">
        <f>'REG y VAL POE - AESR - ESR'!V3672</f>
        <v>SI</v>
      </c>
      <c r="ZG48" s="57">
        <f>'REG y VAL POE - AESR - ESR'!W3672</f>
        <v>0</v>
      </c>
      <c r="ZH48" s="57">
        <f>'REG y VAL POE - AESR - ESR'!X3672</f>
        <v>0</v>
      </c>
      <c r="ZI48" s="57">
        <f>'REG y VAL POE - AESR - ESR'!Y3672</f>
        <v>0</v>
      </c>
      <c r="ZJ48" s="57" t="str">
        <f>'REG y VAL POE - AESR - ESR'!Z3672</f>
        <v>SI</v>
      </c>
      <c r="ZK48" s="57">
        <f>'REG y VAL POE - AESR - ESR'!AA3672</f>
        <v>0</v>
      </c>
      <c r="ZL48" s="57">
        <f>'REG y VAL POE - AESR - ESR'!AB3672</f>
        <v>0</v>
      </c>
      <c r="ZM48" s="57">
        <f>'REG y VAL POE - AESR - ESR'!AC3672</f>
        <v>0</v>
      </c>
      <c r="ZN48" s="57">
        <f>'REG y VAL POE - AESR - ESR'!AD3672</f>
        <v>0</v>
      </c>
      <c r="ZO48" s="57">
        <f>'REG y VAL POE - AESR - ESR'!AE3672</f>
        <v>0</v>
      </c>
      <c r="ZP48" s="57">
        <f>'REG y VAL POE - AESR - ESR'!AF3672</f>
        <v>0</v>
      </c>
      <c r="ZQ48" s="57">
        <f>'REG y VAL POE - AESR - ESR'!AG3672</f>
        <v>0</v>
      </c>
      <c r="ZR48" s="57">
        <f>'REG y VAL POE - AESR - ESR'!AH3672</f>
        <v>0</v>
      </c>
      <c r="ZS48" s="57">
        <f>'REG y VAL POE - AESR - ESR'!AI3672</f>
        <v>0</v>
      </c>
      <c r="ZT48" s="57">
        <f>'REG y VAL POE - AESR - ESR'!AJ3672</f>
        <v>0</v>
      </c>
      <c r="ZU48" s="57">
        <f>'REG y VAL POE - AESR - ESR'!AK3672</f>
        <v>0</v>
      </c>
      <c r="ZV48" s="57" t="str">
        <f>'REG y VAL POE - AESR - ESR'!AL3672</f>
        <v>SI</v>
      </c>
      <c r="ZW48" s="57" t="str">
        <f>'REG y VAL POE - AESR - ESR'!AM3672</f>
        <v>SI</v>
      </c>
      <c r="ZX48" s="57">
        <f>'REG y VAL POE - AESR - ESR'!AN3672</f>
        <v>0</v>
      </c>
      <c r="ZY48" s="57" t="str">
        <f>'REG y VAL POE - AESR - ESR'!AO3672</f>
        <v>SI</v>
      </c>
      <c r="ZZ48" s="57">
        <f>'REG y VAL POE - AESR - ESR'!AP3672</f>
        <v>0</v>
      </c>
      <c r="AAA48" s="57">
        <f>'REG y VAL POE - AESR - ESR'!AQ3672</f>
        <v>0</v>
      </c>
      <c r="AAB48" s="57" t="str">
        <f>'REG y VAL POE - AESR - ESR'!AR3672</f>
        <v>VACIS PORTAL</v>
      </c>
      <c r="AAC48" s="57">
        <f>'REG y VAL POE - AESR - ESR'!AS3672</f>
        <v>0</v>
      </c>
      <c r="AAD48" s="56" t="str">
        <f>'REG y VAL POE - AESR - ESR'!B3673</f>
        <v xml:space="preserve">Escobedo Centeno Juan Alberto </v>
      </c>
      <c r="AAE48" s="57">
        <f>'REG y VAL POE - AESR - ESR'!C3673</f>
        <v>0</v>
      </c>
      <c r="AAF48" s="56">
        <f>'REG y VAL POE - AESR - ESR'!D3673</f>
        <v>23198751</v>
      </c>
      <c r="AAG48" s="56">
        <f>'REG y VAL POE - AESR - ESR'!E3673</f>
        <v>0</v>
      </c>
      <c r="AAH48" s="57">
        <f>'REG y VAL POE - AESR - ESR'!F3673</f>
        <v>0</v>
      </c>
      <c r="AAI48" s="390">
        <f>'REG y VAL POE - AESR - ESR'!G3673</f>
        <v>0</v>
      </c>
      <c r="AAJ48" s="390">
        <f>'REG y VAL POE - AESR - ESR'!H3673</f>
        <v>0</v>
      </c>
      <c r="AAK48" s="57">
        <f>'REG y VAL POE - AESR - ESR'!I3673</f>
        <v>0</v>
      </c>
      <c r="AAL48" s="57">
        <f>'REG y VAL POE - AESR - ESR'!J3673</f>
        <v>0</v>
      </c>
      <c r="AAM48" s="57">
        <f>'REG y VAL POE - AESR - ESR'!K3673</f>
        <v>0</v>
      </c>
      <c r="AAN48" s="57">
        <f>'REG y VAL POE - AESR - ESR'!L3673</f>
        <v>0</v>
      </c>
      <c r="AAO48" s="57">
        <f>'REG y VAL POE - AESR - ESR'!M3673</f>
        <v>0</v>
      </c>
      <c r="AAP48" s="57">
        <f>'REG y VAL POE - AESR - ESR'!N3673</f>
        <v>0</v>
      </c>
      <c r="AAQ48" s="57">
        <f>'REG y VAL POE - AESR - ESR'!O3673</f>
        <v>0</v>
      </c>
      <c r="AAR48" s="57">
        <f>'REG y VAL POE - AESR - ESR'!P3673</f>
        <v>0</v>
      </c>
      <c r="AAS48" s="57">
        <f>'REG y VAL POE - AESR - ESR'!Q3673</f>
        <v>0</v>
      </c>
      <c r="AAT48" s="57">
        <f>'REG y VAL POE - AESR - ESR'!R3673</f>
        <v>0</v>
      </c>
      <c r="AAU48" s="57">
        <f>'REG y VAL POE - AESR - ESR'!S3673</f>
        <v>0</v>
      </c>
      <c r="AAV48" s="57">
        <f>'REG y VAL POE - AESR - ESR'!T3673</f>
        <v>0</v>
      </c>
      <c r="AAW48" s="57">
        <f>'REG y VAL POE - AESR - ESR'!U3673</f>
        <v>0</v>
      </c>
      <c r="AAX48" s="57">
        <f>'REG y VAL POE - AESR - ESR'!V3673</f>
        <v>0</v>
      </c>
      <c r="AAY48" s="57">
        <f>'REG y VAL POE - AESR - ESR'!W3673</f>
        <v>0</v>
      </c>
      <c r="AAZ48" s="57">
        <f>'REG y VAL POE - AESR - ESR'!X3673</f>
        <v>0</v>
      </c>
      <c r="ABA48" s="57">
        <f>'REG y VAL POE - AESR - ESR'!Y3673</f>
        <v>0</v>
      </c>
      <c r="ABB48" s="57">
        <f>'REG y VAL POE - AESR - ESR'!Z3673</f>
        <v>0</v>
      </c>
      <c r="ABC48" s="57">
        <f>'REG y VAL POE - AESR - ESR'!AA3673</f>
        <v>0</v>
      </c>
      <c r="ABD48" s="57">
        <f>'REG y VAL POE - AESR - ESR'!AB3673</f>
        <v>0</v>
      </c>
      <c r="ABE48" s="57">
        <f>'REG y VAL POE - AESR - ESR'!AC3673</f>
        <v>0</v>
      </c>
      <c r="ABF48" s="57">
        <f>'REG y VAL POE - AESR - ESR'!AD3673</f>
        <v>0</v>
      </c>
      <c r="ABG48" s="57">
        <f>'REG y VAL POE - AESR - ESR'!AE3673</f>
        <v>0</v>
      </c>
      <c r="ABH48" s="57">
        <f>'REG y VAL POE - AESR - ESR'!AF3673</f>
        <v>0</v>
      </c>
      <c r="ABI48" s="57">
        <f>'REG y VAL POE - AESR - ESR'!AG3673</f>
        <v>0</v>
      </c>
      <c r="ABJ48" s="57">
        <f>'REG y VAL POE - AESR - ESR'!AH3673</f>
        <v>0</v>
      </c>
      <c r="ABK48" s="57">
        <f>'REG y VAL POE - AESR - ESR'!AI3673</f>
        <v>0</v>
      </c>
      <c r="ABL48" s="57">
        <f>'REG y VAL POE - AESR - ESR'!AJ3673</f>
        <v>0</v>
      </c>
      <c r="ABM48" s="57">
        <f>'REG y VAL POE - AESR - ESR'!AK3673</f>
        <v>0</v>
      </c>
      <c r="ABN48" s="57">
        <f>'REG y VAL POE - AESR - ESR'!AL3673</f>
        <v>0</v>
      </c>
      <c r="ABO48" s="57">
        <f>'REG y VAL POE - AESR - ESR'!AM3673</f>
        <v>0</v>
      </c>
      <c r="ABP48" s="57">
        <f>'REG y VAL POE - AESR - ESR'!AN3673</f>
        <v>0</v>
      </c>
      <c r="ABQ48" s="57">
        <f>'REG y VAL POE - AESR - ESR'!AO3673</f>
        <v>0</v>
      </c>
      <c r="ABR48" s="57">
        <f>'REG y VAL POE - AESR - ESR'!AP3673</f>
        <v>0</v>
      </c>
      <c r="ABS48" s="57">
        <f>'REG y VAL POE - AESR - ESR'!AQ3673</f>
        <v>0</v>
      </c>
      <c r="ABT48" s="57">
        <f>'REG y VAL POE - AESR - ESR'!AR3673</f>
        <v>0</v>
      </c>
      <c r="ABU48" s="57">
        <f>'REG y VAL POE - AESR - ESR'!AS3673</f>
        <v>0</v>
      </c>
      <c r="ABV48" s="57" t="str">
        <f>'REG y VAL POE - AESR - ESR'!B3674</f>
        <v>Espinosa Lopez Javier Enrique</v>
      </c>
      <c r="ABW48" s="57" t="str">
        <f>'REG y VAL POE - AESR - ESR'!C3674</f>
        <v>POE-RG</v>
      </c>
      <c r="ABX48" s="56">
        <f>'REG y VAL POE - AESR - ESR'!D3674</f>
        <v>23197332</v>
      </c>
      <c r="ABY48" s="56">
        <f>'REG y VAL POE - AESR - ESR'!E3674</f>
        <v>0</v>
      </c>
      <c r="ABZ48" s="57">
        <f>'REG y VAL POE - AESR - ESR'!F3674</f>
        <v>0</v>
      </c>
      <c r="ACA48" s="390">
        <f>'REG y VAL POE - AESR - ESR'!G3674</f>
        <v>45383</v>
      </c>
      <c r="ACB48" s="390">
        <f>'REG y VAL POE - AESR - ESR'!H3674</f>
        <v>45748</v>
      </c>
      <c r="ACC48" s="57" t="str">
        <f>'REG y VAL POE - AESR - ESR'!I3674</f>
        <v>SI</v>
      </c>
      <c r="ACD48" s="57" t="str">
        <f>'REG y VAL POE - AESR - ESR'!J3674</f>
        <v>Vigente</v>
      </c>
      <c r="ACE48" s="57" t="str">
        <f>'REG y VAL POE - AESR - ESR'!K3674</f>
        <v>SI</v>
      </c>
      <c r="ACF48" s="57" t="str">
        <f>'REG y VAL POE - AESR - ESR'!L3674</f>
        <v>Vigente</v>
      </c>
      <c r="ACG48" s="57" t="str">
        <f>'REG y VAL POE - AESR - ESR'!M3674</f>
        <v>NO</v>
      </c>
      <c r="ACH48" s="57" t="str">
        <f>'REG y VAL POE - AESR - ESR'!N3674</f>
        <v>Apendice ByC no llenos-c/historial aparte-falta firma RL</v>
      </c>
      <c r="ACI48" s="57" t="str">
        <f>'REG y VAL POE - AESR - ESR'!O3674</f>
        <v>SI</v>
      </c>
      <c r="ACJ48" s="57">
        <f>'REG y VAL POE - AESR - ESR'!P3674</f>
        <v>0</v>
      </c>
      <c r="ACK48" s="57" t="str">
        <f>'REG y VAL POE - AESR - ESR'!Q3674</f>
        <v>SI</v>
      </c>
      <c r="ACL48" s="57" t="str">
        <f>'REG y VAL POE - AESR - ESR'!R3674</f>
        <v>SI</v>
      </c>
      <c r="ACM48" s="57" t="str">
        <f>'REG y VAL POE - AESR - ESR'!S3674</f>
        <v>SI</v>
      </c>
      <c r="ACN48" s="57" t="str">
        <f>'REG y VAL POE - AESR - ESR'!T3674</f>
        <v>NO</v>
      </c>
      <c r="ACO48" s="57" t="str">
        <f>'REG y VAL POE - AESR - ESR'!U3674</f>
        <v>NO</v>
      </c>
      <c r="ACP48" s="57" t="str">
        <f>'REG y VAL POE - AESR - ESR'!V3674</f>
        <v>SI</v>
      </c>
      <c r="ACQ48" s="57">
        <f>'REG y VAL POE - AESR - ESR'!W3674</f>
        <v>0</v>
      </c>
      <c r="ACR48" s="57">
        <f>'REG y VAL POE - AESR - ESR'!X3674</f>
        <v>0</v>
      </c>
      <c r="ACS48" s="57">
        <f>'REG y VAL POE - AESR - ESR'!Y3674</f>
        <v>0</v>
      </c>
      <c r="ACT48" s="57" t="str">
        <f>'REG y VAL POE - AESR - ESR'!Z3674</f>
        <v>SI</v>
      </c>
      <c r="ACU48" s="57">
        <f>'REG y VAL POE - AESR - ESR'!AA3674</f>
        <v>0</v>
      </c>
      <c r="ACV48" s="57">
        <f>'REG y VAL POE - AESR - ESR'!AB3674</f>
        <v>0</v>
      </c>
      <c r="ACW48" s="57">
        <f>'REG y VAL POE - AESR - ESR'!AC3674</f>
        <v>0</v>
      </c>
      <c r="ACX48" s="57">
        <f>'REG y VAL POE - AESR - ESR'!AD3674</f>
        <v>0</v>
      </c>
      <c r="ACY48" s="57">
        <f>'REG y VAL POE - AESR - ESR'!AE3674</f>
        <v>0</v>
      </c>
      <c r="ACZ48" s="57">
        <f>'REG y VAL POE - AESR - ESR'!AF3674</f>
        <v>0</v>
      </c>
      <c r="ADA48" s="57" t="str">
        <f>'REG y VAL POE - AESR - ESR'!AG3674</f>
        <v>SI</v>
      </c>
      <c r="ADB48" s="57">
        <f>'REG y VAL POE - AESR - ESR'!AH3674</f>
        <v>0</v>
      </c>
      <c r="ADC48" s="57">
        <f>'REG y VAL POE - AESR - ESR'!AI3674</f>
        <v>0</v>
      </c>
      <c r="ADD48" s="57">
        <f>'REG y VAL POE - AESR - ESR'!AJ3674</f>
        <v>0</v>
      </c>
      <c r="ADE48" s="57">
        <f>'REG y VAL POE - AESR - ESR'!AK3674</f>
        <v>0</v>
      </c>
      <c r="ADF48" s="57" t="str">
        <f>'REG y VAL POE - AESR - ESR'!AL3674</f>
        <v>SI</v>
      </c>
      <c r="ADG48" s="57">
        <f>'REG y VAL POE - AESR - ESR'!AM3674</f>
        <v>0</v>
      </c>
      <c r="ADH48" s="57">
        <f>'REG y VAL POE - AESR - ESR'!AN3674</f>
        <v>0</v>
      </c>
      <c r="ADI48" s="57">
        <f>'REG y VAL POE - AESR - ESR'!AO3674</f>
        <v>0</v>
      </c>
      <c r="ADJ48" s="57">
        <f>'REG y VAL POE - AESR - ESR'!AP3674</f>
        <v>0</v>
      </c>
      <c r="ADK48" s="57">
        <f>'REG y VAL POE - AESR - ESR'!AQ3674</f>
        <v>0</v>
      </c>
      <c r="ADL48" s="57" t="str">
        <f>'REG y VAL POE - AESR - ESR'!AR3674</f>
        <v>VACIS PORTAL</v>
      </c>
      <c r="ADM48" s="57">
        <f>'REG y VAL POE - AESR - ESR'!AS3674</f>
        <v>0</v>
      </c>
      <c r="ADN48" s="57" t="str">
        <f>'REG y VAL POE - AESR - ESR'!B3675</f>
        <v>Fuentes Gonzalez Sabdi Deyanira</v>
      </c>
      <c r="ADO48" s="57" t="str">
        <f>'REG y VAL POE - AESR - ESR'!C3675</f>
        <v>POE-RG</v>
      </c>
      <c r="ADP48" s="56">
        <f>'REG y VAL POE - AESR - ESR'!D3675</f>
        <v>23198838</v>
      </c>
      <c r="ADQ48" s="56">
        <f>'REG y VAL POE - AESR - ESR'!E3675</f>
        <v>0</v>
      </c>
      <c r="ADR48" s="57">
        <f>'REG y VAL POE - AESR - ESR'!F3675</f>
        <v>0</v>
      </c>
      <c r="ADS48" s="390">
        <f>'REG y VAL POE - AESR - ESR'!G3675</f>
        <v>45376</v>
      </c>
      <c r="ADT48" s="390">
        <f>'REG y VAL POE - AESR - ESR'!H3675</f>
        <v>45741</v>
      </c>
      <c r="ADU48" s="57" t="str">
        <f>'REG y VAL POE - AESR - ESR'!I3675</f>
        <v>SI</v>
      </c>
      <c r="ADV48" s="57" t="str">
        <f>'REG y VAL POE - AESR - ESR'!J3675</f>
        <v>Vigente</v>
      </c>
      <c r="ADW48" s="57" t="str">
        <f>'REG y VAL POE - AESR - ESR'!K3675</f>
        <v>SI</v>
      </c>
      <c r="ADX48" s="57" t="str">
        <f>'REG y VAL POE - AESR - ESR'!L3675</f>
        <v>Vigente</v>
      </c>
      <c r="ADY48" s="57" t="str">
        <f>'REG y VAL POE - AESR - ESR'!M3675</f>
        <v>NO</v>
      </c>
      <c r="ADZ48" s="57" t="str">
        <f>'REG y VAL POE - AESR - ESR'!N3675</f>
        <v>Apendice ByC no llenos-c/historial aparte-falta firma RL</v>
      </c>
      <c r="AEA48" s="57" t="str">
        <f>'REG y VAL POE - AESR - ESR'!O3675</f>
        <v>CONSTANCIA DE BACHILLETATO</v>
      </c>
      <c r="AEB48" s="57">
        <f>'REG y VAL POE - AESR - ESR'!P3675</f>
        <v>0</v>
      </c>
      <c r="AEC48" s="57">
        <f>'REG y VAL POE - AESR - ESR'!Q3675</f>
        <v>0</v>
      </c>
      <c r="AED48" s="57" t="str">
        <f>'REG y VAL POE - AESR - ESR'!R3675</f>
        <v>INE CON FOTO NO LEGIBLE</v>
      </c>
      <c r="AEE48" s="57" t="str">
        <f>'REG y VAL POE - AESR - ESR'!S3675</f>
        <v>SI</v>
      </c>
      <c r="AEF48" s="57" t="str">
        <f>'REG y VAL POE - AESR - ESR'!T3675</f>
        <v>NO</v>
      </c>
      <c r="AEG48" s="57" t="str">
        <f>'REG y VAL POE - AESR - ESR'!U3675</f>
        <v>NO</v>
      </c>
      <c r="AEH48" s="57">
        <f>'REG y VAL POE - AESR - ESR'!V3675</f>
        <v>0</v>
      </c>
      <c r="AEI48" s="57">
        <f>'REG y VAL POE - AESR - ESR'!W3675</f>
        <v>0</v>
      </c>
      <c r="AEJ48" s="57">
        <f>'REG y VAL POE - AESR - ESR'!X3675</f>
        <v>0</v>
      </c>
      <c r="AEK48" s="57">
        <f>'REG y VAL POE - AESR - ESR'!Y3675</f>
        <v>0</v>
      </c>
      <c r="AEL48" s="57" t="str">
        <f>'REG y VAL POE - AESR - ESR'!Z3675</f>
        <v>SI</v>
      </c>
      <c r="AEM48" s="57">
        <f>'REG y VAL POE - AESR - ESR'!AA3675</f>
        <v>0</v>
      </c>
      <c r="AEN48" s="57">
        <f>'REG y VAL POE - AESR - ESR'!AB3675</f>
        <v>0</v>
      </c>
      <c r="AEO48" s="57">
        <f>'REG y VAL POE - AESR - ESR'!AC3675</f>
        <v>0</v>
      </c>
      <c r="AEP48" s="57">
        <f>'REG y VAL POE - AESR - ESR'!AD3675</f>
        <v>0</v>
      </c>
      <c r="AEQ48" s="57">
        <f>'REG y VAL POE - AESR - ESR'!AE3675</f>
        <v>0</v>
      </c>
      <c r="AER48" s="57">
        <f>'REG y VAL POE - AESR - ESR'!AF3675</f>
        <v>0</v>
      </c>
      <c r="AES48" s="57">
        <f>'REG y VAL POE - AESR - ESR'!AG3675</f>
        <v>0</v>
      </c>
      <c r="AET48" s="57">
        <f>'REG y VAL POE - AESR - ESR'!AH3675</f>
        <v>0</v>
      </c>
      <c r="AEU48" s="57">
        <f>'REG y VAL POE - AESR - ESR'!AI3675</f>
        <v>0</v>
      </c>
      <c r="AEV48" s="57">
        <f>'REG y VAL POE - AESR - ESR'!AJ3675</f>
        <v>0</v>
      </c>
      <c r="AEW48" s="57">
        <f>'REG y VAL POE - AESR - ESR'!AK3675</f>
        <v>0</v>
      </c>
      <c r="AEX48" s="57" t="str">
        <f>'REG y VAL POE - AESR - ESR'!AL3675</f>
        <v>SI</v>
      </c>
      <c r="AEY48" s="57">
        <f>'REG y VAL POE - AESR - ESR'!AM3675</f>
        <v>0</v>
      </c>
      <c r="AEZ48" s="57">
        <f>'REG y VAL POE - AESR - ESR'!AN3675</f>
        <v>0</v>
      </c>
      <c r="AFA48" s="57">
        <f>'REG y VAL POE - AESR - ESR'!AO3675</f>
        <v>0</v>
      </c>
      <c r="AFB48" s="57">
        <f>'REG y VAL POE - AESR - ESR'!AP3675</f>
        <v>0</v>
      </c>
      <c r="AFC48" s="57">
        <f>'REG y VAL POE - AESR - ESR'!AQ3675</f>
        <v>0</v>
      </c>
      <c r="AFD48" s="57" t="str">
        <f>'REG y VAL POE - AESR - ESR'!AR3675</f>
        <v>VACIS PORTAL</v>
      </c>
      <c r="AFE48" s="57">
        <f>'REG y VAL POE - AESR - ESR'!AS3675</f>
        <v>0</v>
      </c>
      <c r="AFF48" s="58" t="str">
        <f>'REG y VAL POE - AESR - ESR'!B3676</f>
        <v>Galvan Castaneda Edgar Emmanue</v>
      </c>
      <c r="AFG48" s="56" t="str">
        <f>'REG y VAL POE - AESR - ESR'!C3676</f>
        <v>POE-RG</v>
      </c>
      <c r="AFH48" s="56">
        <f>'REG y VAL POE - AESR - ESR'!D3676</f>
        <v>23149830</v>
      </c>
      <c r="AFI48" s="56">
        <f>'REG y VAL POE - AESR - ESR'!E3676</f>
        <v>0</v>
      </c>
      <c r="AFJ48" s="57">
        <f>'REG y VAL POE - AESR - ESR'!F3676</f>
        <v>0</v>
      </c>
      <c r="AFK48" s="390">
        <f>'REG y VAL POE - AESR - ESR'!G3676</f>
        <v>45376</v>
      </c>
      <c r="AFL48" s="390">
        <f>'REG y VAL POE - AESR - ESR'!H3676</f>
        <v>45741</v>
      </c>
      <c r="AFM48" s="57" t="str">
        <f>'REG y VAL POE - AESR - ESR'!I3676</f>
        <v>SI</v>
      </c>
      <c r="AFN48" s="57" t="str">
        <f>'REG y VAL POE - AESR - ESR'!J3676</f>
        <v>Vigente</v>
      </c>
      <c r="AFO48" s="57" t="str">
        <f>'REG y VAL POE - AESR - ESR'!K3676</f>
        <v>SI</v>
      </c>
      <c r="AFP48" s="57" t="str">
        <f>'REG y VAL POE - AESR - ESR'!L3676</f>
        <v>Vigente</v>
      </c>
      <c r="AFQ48" s="57" t="str">
        <f>'REG y VAL POE - AESR - ESR'!M3676</f>
        <v>NO</v>
      </c>
      <c r="AFR48" s="57" t="str">
        <f>'REG y VAL POE - AESR - ESR'!N3676</f>
        <v>Apendice ByC no llenos-c/historial aparte-falta firma RL</v>
      </c>
      <c r="AFS48" s="57">
        <f>'REG y VAL POE - AESR - ESR'!O3676</f>
        <v>0</v>
      </c>
      <c r="AFT48" s="57" t="str">
        <f>'REG y VAL POE - AESR - ESR'!P3676</f>
        <v>SI</v>
      </c>
      <c r="AFU48" s="57" t="str">
        <f>'REG y VAL POE - AESR - ESR'!Q3676</f>
        <v>SI</v>
      </c>
      <c r="AFV48" s="57" t="str">
        <f>'REG y VAL POE - AESR - ESR'!R3676</f>
        <v>SI</v>
      </c>
      <c r="AFW48" s="57" t="str">
        <f>'REG y VAL POE - AESR - ESR'!S3676</f>
        <v>SI</v>
      </c>
      <c r="AFX48" s="57" t="str">
        <f>'REG y VAL POE - AESR - ESR'!T3676</f>
        <v>NO</v>
      </c>
      <c r="AFY48" s="57" t="str">
        <f>'REG y VAL POE - AESR - ESR'!U3676</f>
        <v>NO</v>
      </c>
      <c r="AFZ48" s="57" t="str">
        <f>'REG y VAL POE - AESR - ESR'!V3676</f>
        <v>SI</v>
      </c>
      <c r="AGA48" s="57">
        <f>'REG y VAL POE - AESR - ESR'!W3676</f>
        <v>0</v>
      </c>
      <c r="AGB48" s="57">
        <f>'REG y VAL POE - AESR - ESR'!X3676</f>
        <v>0</v>
      </c>
      <c r="AGC48" s="57">
        <f>'REG y VAL POE - AESR - ESR'!Y3676</f>
        <v>0</v>
      </c>
      <c r="AGD48" s="57" t="str">
        <f>'REG y VAL POE - AESR - ESR'!Z3676</f>
        <v>SI</v>
      </c>
      <c r="AGE48" s="57">
        <f>'REG y VAL POE - AESR - ESR'!AA3676</f>
        <v>0</v>
      </c>
      <c r="AGF48" s="57">
        <f>'REG y VAL POE - AESR - ESR'!AB3676</f>
        <v>0</v>
      </c>
      <c r="AGG48" s="57">
        <f>'REG y VAL POE - AESR - ESR'!AC3676</f>
        <v>0</v>
      </c>
      <c r="AGH48" s="57">
        <f>'REG y VAL POE - AESR - ESR'!AD3676</f>
        <v>0</v>
      </c>
      <c r="AGI48" s="57">
        <f>'REG y VAL POE - AESR - ESR'!AE3676</f>
        <v>0</v>
      </c>
      <c r="AGJ48" s="57" t="str">
        <f>'REG y VAL POE - AESR - ESR'!AF3676</f>
        <v>SI</v>
      </c>
      <c r="AGK48" s="57" t="str">
        <f>'REG y VAL POE - AESR - ESR'!AG3676</f>
        <v>SI</v>
      </c>
      <c r="AGL48" s="57">
        <f>'REG y VAL POE - AESR - ESR'!AH3676</f>
        <v>0</v>
      </c>
      <c r="AGM48" s="57">
        <f>'REG y VAL POE - AESR - ESR'!AI3676</f>
        <v>0</v>
      </c>
      <c r="AGN48" s="57">
        <f>'REG y VAL POE - AESR - ESR'!AJ3676</f>
        <v>0</v>
      </c>
      <c r="AGO48" s="57">
        <f>'REG y VAL POE - AESR - ESR'!AK3676</f>
        <v>0</v>
      </c>
      <c r="AGP48" s="57">
        <f>'REG y VAL POE - AESR - ESR'!AL3676</f>
        <v>0</v>
      </c>
      <c r="AGQ48" s="57">
        <f>'REG y VAL POE - AESR - ESR'!AM3676</f>
        <v>0</v>
      </c>
      <c r="AGR48" s="57">
        <f>'REG y VAL POE - AESR - ESR'!AN3676</f>
        <v>0</v>
      </c>
      <c r="AGS48" s="57" t="str">
        <f>'REG y VAL POE - AESR - ESR'!AO3676</f>
        <v>SI</v>
      </c>
      <c r="AGT48" s="57">
        <f>'REG y VAL POE - AESR - ESR'!AP3676</f>
        <v>0</v>
      </c>
      <c r="AGU48" s="57">
        <f>'REG y VAL POE - AESR - ESR'!AQ3676</f>
        <v>0</v>
      </c>
      <c r="AGV48" s="57" t="str">
        <f>'REG y VAL POE - AESR - ESR'!AR3676</f>
        <v>VACIS PORTAL</v>
      </c>
      <c r="AGW48" s="57">
        <f>'REG y VAL POE - AESR - ESR'!AS3676</f>
        <v>0</v>
      </c>
      <c r="AGX48" s="57" t="str">
        <f>'REG y VAL POE - AESR - ESR'!B3677</f>
        <v xml:space="preserve">Garca Rueda Agustin Daniel </v>
      </c>
      <c r="AGY48" s="56">
        <f>'REG y VAL POE - AESR - ESR'!C3677</f>
        <v>0</v>
      </c>
      <c r="AGZ48" s="56">
        <f>'REG y VAL POE - AESR - ESR'!D3677</f>
        <v>23190648</v>
      </c>
      <c r="AHA48" s="56">
        <f>'REG y VAL POE - AESR - ESR'!E3677</f>
        <v>0</v>
      </c>
      <c r="AHB48" s="57">
        <f>'REG y VAL POE - AESR - ESR'!F3677</f>
        <v>0</v>
      </c>
      <c r="AHC48" s="390">
        <f>'REG y VAL POE - AESR - ESR'!G3677</f>
        <v>0</v>
      </c>
      <c r="AHD48" s="390">
        <f>'REG y VAL POE - AESR - ESR'!H3677</f>
        <v>0</v>
      </c>
      <c r="AHE48" s="57">
        <f>'REG y VAL POE - AESR - ESR'!I3677</f>
        <v>0</v>
      </c>
      <c r="AHF48" s="57">
        <f>'REG y VAL POE - AESR - ESR'!J3677</f>
        <v>0</v>
      </c>
      <c r="AHG48" s="57">
        <f>'REG y VAL POE - AESR - ESR'!K3677</f>
        <v>0</v>
      </c>
      <c r="AHH48" s="57">
        <f>'REG y VAL POE - AESR - ESR'!L3677</f>
        <v>0</v>
      </c>
      <c r="AHI48" s="57">
        <f>'REG y VAL POE - AESR - ESR'!M3677</f>
        <v>0</v>
      </c>
      <c r="AHJ48" s="57">
        <f>'REG y VAL POE - AESR - ESR'!N3677</f>
        <v>0</v>
      </c>
      <c r="AHK48" s="57">
        <f>'REG y VAL POE - AESR - ESR'!O3677</f>
        <v>0</v>
      </c>
      <c r="AHL48" s="57">
        <f>'REG y VAL POE - AESR - ESR'!P3677</f>
        <v>0</v>
      </c>
      <c r="AHM48" s="57">
        <f>'REG y VAL POE - AESR - ESR'!Q3677</f>
        <v>0</v>
      </c>
      <c r="AHN48" s="57">
        <f>'REG y VAL POE - AESR - ESR'!R3677</f>
        <v>0</v>
      </c>
      <c r="AHO48" s="57">
        <f>'REG y VAL POE - AESR - ESR'!S3677</f>
        <v>0</v>
      </c>
      <c r="AHP48" s="57">
        <f>'REG y VAL POE - AESR - ESR'!T3677</f>
        <v>0</v>
      </c>
      <c r="AHQ48" s="57">
        <f>'REG y VAL POE - AESR - ESR'!U3677</f>
        <v>0</v>
      </c>
      <c r="AHR48" s="57">
        <f>'REG y VAL POE - AESR - ESR'!V3677</f>
        <v>0</v>
      </c>
      <c r="AHS48" s="57">
        <f>'REG y VAL POE - AESR - ESR'!W3677</f>
        <v>0</v>
      </c>
      <c r="AHT48" s="57">
        <f>'REG y VAL POE - AESR - ESR'!X3677</f>
        <v>0</v>
      </c>
      <c r="AHU48" s="57">
        <f>'REG y VAL POE - AESR - ESR'!Y3677</f>
        <v>0</v>
      </c>
      <c r="AHV48" s="57">
        <f>'REG y VAL POE - AESR - ESR'!Z3677</f>
        <v>0</v>
      </c>
      <c r="AHW48" s="57">
        <f>'REG y VAL POE - AESR - ESR'!AA3677</f>
        <v>0</v>
      </c>
      <c r="AHX48" s="57">
        <f>'REG y VAL POE - AESR - ESR'!AB3677</f>
        <v>0</v>
      </c>
      <c r="AHY48" s="57">
        <f>'REG y VAL POE - AESR - ESR'!AC3677</f>
        <v>0</v>
      </c>
      <c r="AHZ48" s="57">
        <f>'REG y VAL POE - AESR - ESR'!AD3677</f>
        <v>0</v>
      </c>
      <c r="AIA48" s="57">
        <f>'REG y VAL POE - AESR - ESR'!AE3677</f>
        <v>0</v>
      </c>
      <c r="AIB48" s="57">
        <f>'REG y VAL POE - AESR - ESR'!AF3677</f>
        <v>0</v>
      </c>
      <c r="AIC48" s="57">
        <f>'REG y VAL POE - AESR - ESR'!AG3677</f>
        <v>0</v>
      </c>
      <c r="AID48" s="57">
        <f>'REG y VAL POE - AESR - ESR'!AH3677</f>
        <v>0</v>
      </c>
      <c r="AIE48" s="57">
        <f>'REG y VAL POE - AESR - ESR'!AI3677</f>
        <v>0</v>
      </c>
      <c r="AIF48" s="57">
        <f>'REG y VAL POE - AESR - ESR'!AJ3677</f>
        <v>0</v>
      </c>
      <c r="AIG48" s="57">
        <f>'REG y VAL POE - AESR - ESR'!AK3677</f>
        <v>0</v>
      </c>
      <c r="AIH48" s="57">
        <f>'REG y VAL POE - AESR - ESR'!AL3677</f>
        <v>0</v>
      </c>
      <c r="AII48" s="57">
        <f>'REG y VAL POE - AESR - ESR'!AM3677</f>
        <v>0</v>
      </c>
      <c r="AIJ48" s="57">
        <f>'REG y VAL POE - AESR - ESR'!AN3677</f>
        <v>0</v>
      </c>
      <c r="AIK48" s="57">
        <f>'REG y VAL POE - AESR - ESR'!AO3677</f>
        <v>0</v>
      </c>
      <c r="AIL48" s="57">
        <f>'REG y VAL POE - AESR - ESR'!AP3677</f>
        <v>0</v>
      </c>
      <c r="AIM48" s="57">
        <f>'REG y VAL POE - AESR - ESR'!AQ3677</f>
        <v>0</v>
      </c>
      <c r="AIN48" s="57">
        <f>'REG y VAL POE - AESR - ESR'!AR3677</f>
        <v>0</v>
      </c>
      <c r="AIO48" s="57">
        <f>'REG y VAL POE - AESR - ESR'!AS3677</f>
        <v>0</v>
      </c>
      <c r="AIP48" s="56" t="str">
        <f>'REG y VAL POE - AESR - ESR'!B3678</f>
        <v xml:space="preserve">Garcia Olivares Guillermo Jesus </v>
      </c>
      <c r="AIQ48" s="57">
        <f>'REG y VAL POE - AESR - ESR'!C3678</f>
        <v>0</v>
      </c>
      <c r="AIR48" s="56">
        <f>'REG y VAL POE - AESR - ESR'!D3678</f>
        <v>23202721</v>
      </c>
      <c r="AIS48" s="56">
        <f>'REG y VAL POE - AESR - ESR'!E3678</f>
        <v>0</v>
      </c>
      <c r="AIT48" s="57">
        <f>'REG y VAL POE - AESR - ESR'!F3678</f>
        <v>0</v>
      </c>
      <c r="AIU48" s="390">
        <f>'REG y VAL POE - AESR - ESR'!G3678</f>
        <v>0</v>
      </c>
      <c r="AIV48" s="390">
        <f>'REG y VAL POE - AESR - ESR'!H3678</f>
        <v>0</v>
      </c>
      <c r="AIW48" s="57">
        <f>'REG y VAL POE - AESR - ESR'!I3678</f>
        <v>0</v>
      </c>
      <c r="AIX48" s="57">
        <f>'REG y VAL POE - AESR - ESR'!J3678</f>
        <v>0</v>
      </c>
      <c r="AIY48" s="57">
        <f>'REG y VAL POE - AESR - ESR'!K3678</f>
        <v>0</v>
      </c>
      <c r="AIZ48" s="57">
        <f>'REG y VAL POE - AESR - ESR'!L3678</f>
        <v>0</v>
      </c>
      <c r="AJA48" s="57">
        <f>'REG y VAL POE - AESR - ESR'!M3678</f>
        <v>0</v>
      </c>
      <c r="AJB48" s="57">
        <f>'REG y VAL POE - AESR - ESR'!N3678</f>
        <v>0</v>
      </c>
      <c r="AJC48" s="57">
        <f>'REG y VAL POE - AESR - ESR'!O3678</f>
        <v>0</v>
      </c>
      <c r="AJD48" s="57">
        <f>'REG y VAL POE - AESR - ESR'!P3678</f>
        <v>0</v>
      </c>
      <c r="AJE48" s="57">
        <f>'REG y VAL POE - AESR - ESR'!Q3678</f>
        <v>0</v>
      </c>
      <c r="AJF48" s="57">
        <f>'REG y VAL POE - AESR - ESR'!R3678</f>
        <v>0</v>
      </c>
      <c r="AJG48" s="57">
        <f>'REG y VAL POE - AESR - ESR'!S3678</f>
        <v>0</v>
      </c>
      <c r="AJH48" s="57">
        <f>'REG y VAL POE - AESR - ESR'!T3678</f>
        <v>0</v>
      </c>
      <c r="AJI48" s="57">
        <f>'REG y VAL POE - AESR - ESR'!U3678</f>
        <v>0</v>
      </c>
      <c r="AJJ48" s="57">
        <f>'REG y VAL POE - AESR - ESR'!V3678</f>
        <v>0</v>
      </c>
      <c r="AJK48" s="57">
        <f>'REG y VAL POE - AESR - ESR'!W3678</f>
        <v>0</v>
      </c>
      <c r="AJL48" s="57">
        <f>'REG y VAL POE - AESR - ESR'!X3678</f>
        <v>0</v>
      </c>
      <c r="AJM48" s="57">
        <f>'REG y VAL POE - AESR - ESR'!Y3678</f>
        <v>0</v>
      </c>
      <c r="AJN48" s="57">
        <f>'REG y VAL POE - AESR - ESR'!Z3678</f>
        <v>0</v>
      </c>
      <c r="AJO48" s="57">
        <f>'REG y VAL POE - AESR - ESR'!AA3678</f>
        <v>0</v>
      </c>
      <c r="AJP48" s="57">
        <f>'REG y VAL POE - AESR - ESR'!AB3678</f>
        <v>0</v>
      </c>
      <c r="AJQ48" s="57">
        <f>'REG y VAL POE - AESR - ESR'!AC3678</f>
        <v>0</v>
      </c>
      <c r="AJR48" s="57">
        <f>'REG y VAL POE - AESR - ESR'!AD3678</f>
        <v>0</v>
      </c>
      <c r="AJS48" s="57">
        <f>'REG y VAL POE - AESR - ESR'!AE3678</f>
        <v>0</v>
      </c>
      <c r="AJT48" s="57">
        <f>'REG y VAL POE - AESR - ESR'!AF3678</f>
        <v>0</v>
      </c>
      <c r="AJU48" s="57">
        <f>'REG y VAL POE - AESR - ESR'!AG3678</f>
        <v>0</v>
      </c>
      <c r="AJV48" s="57">
        <f>'REG y VAL POE - AESR - ESR'!AH3678</f>
        <v>0</v>
      </c>
      <c r="AJW48" s="57">
        <f>'REG y VAL POE - AESR - ESR'!AI3678</f>
        <v>0</v>
      </c>
      <c r="AJX48" s="57">
        <f>'REG y VAL POE - AESR - ESR'!AJ3678</f>
        <v>0</v>
      </c>
      <c r="AJY48" s="57">
        <f>'REG y VAL POE - AESR - ESR'!AK3678</f>
        <v>0</v>
      </c>
      <c r="AJZ48" s="57">
        <f>'REG y VAL POE - AESR - ESR'!AL3678</f>
        <v>0</v>
      </c>
      <c r="AKA48" s="57">
        <f>'REG y VAL POE - AESR - ESR'!AM3678</f>
        <v>0</v>
      </c>
      <c r="AKB48" s="57">
        <f>'REG y VAL POE - AESR - ESR'!AN3678</f>
        <v>0</v>
      </c>
      <c r="AKC48" s="57">
        <f>'REG y VAL POE - AESR - ESR'!AO3678</f>
        <v>0</v>
      </c>
      <c r="AKD48" s="57">
        <f>'REG y VAL POE - AESR - ESR'!AP3678</f>
        <v>0</v>
      </c>
      <c r="AKE48" s="57">
        <f>'REG y VAL POE - AESR - ESR'!AQ3678</f>
        <v>0</v>
      </c>
      <c r="AKF48" s="57">
        <f>'REG y VAL POE - AESR - ESR'!AR3678</f>
        <v>0</v>
      </c>
      <c r="AKG48" s="57">
        <f>'REG y VAL POE - AESR - ESR'!AS3678</f>
        <v>0</v>
      </c>
      <c r="AKH48" s="57" t="str">
        <f>'REG y VAL POE - AESR - ESR'!B3679</f>
        <v xml:space="preserve">Garcia Rodriguez Ilse Monserrat </v>
      </c>
      <c r="AKI48" s="57">
        <f>'REG y VAL POE - AESR - ESR'!C3679</f>
        <v>0</v>
      </c>
      <c r="AKJ48" s="56">
        <f>'REG y VAL POE - AESR - ESR'!D3679</f>
        <v>23202222</v>
      </c>
      <c r="AKK48" s="56">
        <f>'REG y VAL POE - AESR - ESR'!E3679</f>
        <v>0</v>
      </c>
      <c r="AKL48" s="57">
        <f>'REG y VAL POE - AESR - ESR'!F3679</f>
        <v>0</v>
      </c>
      <c r="AKM48" s="390">
        <f>'REG y VAL POE - AESR - ESR'!G3679</f>
        <v>0</v>
      </c>
      <c r="AKN48" s="390">
        <f>'REG y VAL POE - AESR - ESR'!H3679</f>
        <v>0</v>
      </c>
      <c r="AKO48" s="57">
        <f>'REG y VAL POE - AESR - ESR'!I3679</f>
        <v>0</v>
      </c>
      <c r="AKP48" s="57">
        <f>'REG y VAL POE - AESR - ESR'!J3679</f>
        <v>0</v>
      </c>
      <c r="AKQ48" s="57">
        <f>'REG y VAL POE - AESR - ESR'!K3679</f>
        <v>0</v>
      </c>
      <c r="AKR48" s="57">
        <f>'REG y VAL POE - AESR - ESR'!L3679</f>
        <v>0</v>
      </c>
      <c r="AKS48" s="57">
        <f>'REG y VAL POE - AESR - ESR'!M3679</f>
        <v>0</v>
      </c>
      <c r="AKT48" s="57">
        <f>'REG y VAL POE - AESR - ESR'!N3679</f>
        <v>0</v>
      </c>
      <c r="AKU48" s="57">
        <f>'REG y VAL POE - AESR - ESR'!O3679</f>
        <v>0</v>
      </c>
      <c r="AKV48" s="57">
        <f>'REG y VAL POE - AESR - ESR'!P3679</f>
        <v>0</v>
      </c>
      <c r="AKW48" s="57">
        <f>'REG y VAL POE - AESR - ESR'!Q3679</f>
        <v>0</v>
      </c>
      <c r="AKX48" s="57">
        <f>'REG y VAL POE - AESR - ESR'!R3679</f>
        <v>0</v>
      </c>
      <c r="AKY48" s="57">
        <f>'REG y VAL POE - AESR - ESR'!S3679</f>
        <v>0</v>
      </c>
      <c r="AKZ48" s="57">
        <f>'REG y VAL POE - AESR - ESR'!T3679</f>
        <v>0</v>
      </c>
      <c r="ALA48" s="57">
        <f>'REG y VAL POE - AESR - ESR'!U3679</f>
        <v>0</v>
      </c>
      <c r="ALB48" s="57">
        <f>'REG y VAL POE - AESR - ESR'!V3679</f>
        <v>0</v>
      </c>
      <c r="ALC48" s="57">
        <f>'REG y VAL POE - AESR - ESR'!W3679</f>
        <v>0</v>
      </c>
      <c r="ALD48" s="57">
        <f>'REG y VAL POE - AESR - ESR'!X3679</f>
        <v>0</v>
      </c>
      <c r="ALE48" s="57">
        <f>'REG y VAL POE - AESR - ESR'!Y3679</f>
        <v>0</v>
      </c>
      <c r="ALF48" s="57">
        <f>'REG y VAL POE - AESR - ESR'!Z3679</f>
        <v>0</v>
      </c>
      <c r="ALG48" s="57">
        <f>'REG y VAL POE - AESR - ESR'!AA3679</f>
        <v>0</v>
      </c>
      <c r="ALH48" s="57">
        <f>'REG y VAL POE - AESR - ESR'!AB3679</f>
        <v>0</v>
      </c>
      <c r="ALI48" s="57">
        <f>'REG y VAL POE - AESR - ESR'!AC3679</f>
        <v>0</v>
      </c>
      <c r="ALJ48" s="57">
        <f>'REG y VAL POE - AESR - ESR'!AD3679</f>
        <v>0</v>
      </c>
      <c r="ALK48" s="57">
        <f>'REG y VAL POE - AESR - ESR'!AE3679</f>
        <v>0</v>
      </c>
      <c r="ALL48" s="57">
        <f>'REG y VAL POE - AESR - ESR'!AF3679</f>
        <v>0</v>
      </c>
      <c r="ALM48" s="57">
        <f>'REG y VAL POE - AESR - ESR'!AG3679</f>
        <v>0</v>
      </c>
      <c r="ALN48" s="57">
        <f>'REG y VAL POE - AESR - ESR'!AH3679</f>
        <v>0</v>
      </c>
      <c r="ALO48" s="57">
        <f>'REG y VAL POE - AESR - ESR'!AI3679</f>
        <v>0</v>
      </c>
      <c r="ALP48" s="57">
        <f>'REG y VAL POE - AESR - ESR'!AJ3679</f>
        <v>0</v>
      </c>
      <c r="ALQ48" s="57">
        <f>'REG y VAL POE - AESR - ESR'!AK3679</f>
        <v>0</v>
      </c>
      <c r="ALR48" s="57">
        <f>'REG y VAL POE - AESR - ESR'!AL3679</f>
        <v>0</v>
      </c>
      <c r="ALS48" s="57">
        <f>'REG y VAL POE - AESR - ESR'!AM3679</f>
        <v>0</v>
      </c>
      <c r="ALT48" s="57">
        <f>'REG y VAL POE - AESR - ESR'!AN3679</f>
        <v>0</v>
      </c>
      <c r="ALU48" s="57">
        <f>'REG y VAL POE - AESR - ESR'!AO3679</f>
        <v>0</v>
      </c>
      <c r="ALV48" s="57">
        <f>'REG y VAL POE - AESR - ESR'!AP3679</f>
        <v>0</v>
      </c>
      <c r="ALW48" s="57">
        <f>'REG y VAL POE - AESR - ESR'!AQ3679</f>
        <v>0</v>
      </c>
      <c r="ALX48" s="57">
        <f>'REG y VAL POE - AESR - ESR'!AR3679</f>
        <v>0</v>
      </c>
      <c r="ALY48" s="57">
        <f>'REG y VAL POE - AESR - ESR'!AS3679</f>
        <v>0</v>
      </c>
      <c r="ALZ48" s="58" t="str">
        <f>'REG y VAL POE - AESR - ESR'!B3680</f>
        <v xml:space="preserve">Gonzalez Jacome Jorge Luis </v>
      </c>
      <c r="AMA48" s="56">
        <f>'REG y VAL POE - AESR - ESR'!C3680</f>
        <v>0</v>
      </c>
      <c r="AMB48" s="56">
        <f>'REG y VAL POE - AESR - ESR'!D3680</f>
        <v>23163247</v>
      </c>
      <c r="AMC48" s="56">
        <f>'REG y VAL POE - AESR - ESR'!E3680</f>
        <v>0</v>
      </c>
      <c r="AMD48" s="57">
        <f>'REG y VAL POE - AESR - ESR'!F3680</f>
        <v>0</v>
      </c>
      <c r="AME48" s="390">
        <f>'REG y VAL POE - AESR - ESR'!G3680</f>
        <v>0</v>
      </c>
      <c r="AMF48" s="390">
        <f>'REG y VAL POE - AESR - ESR'!H3680</f>
        <v>0</v>
      </c>
      <c r="AMG48" s="57">
        <f>'REG y VAL POE - AESR - ESR'!I3680</f>
        <v>0</v>
      </c>
      <c r="AMH48" s="57">
        <f>'REG y VAL POE - AESR - ESR'!J3680</f>
        <v>0</v>
      </c>
      <c r="AMI48" s="57">
        <f>'REG y VAL POE - AESR - ESR'!K3680</f>
        <v>0</v>
      </c>
      <c r="AMJ48" s="57">
        <f>'REG y VAL POE - AESR - ESR'!L3680</f>
        <v>0</v>
      </c>
      <c r="AMK48" s="57">
        <f>'REG y VAL POE - AESR - ESR'!M3680</f>
        <v>0</v>
      </c>
      <c r="AML48" s="57">
        <f>'REG y VAL POE - AESR - ESR'!N3680</f>
        <v>0</v>
      </c>
      <c r="AMM48" s="57">
        <f>'REG y VAL POE - AESR - ESR'!O3680</f>
        <v>0</v>
      </c>
      <c r="AMN48" s="57">
        <f>'REG y VAL POE - AESR - ESR'!P3680</f>
        <v>0</v>
      </c>
      <c r="AMO48" s="57">
        <f>'REG y VAL POE - AESR - ESR'!Q3680</f>
        <v>0</v>
      </c>
      <c r="AMP48" s="57">
        <f>'REG y VAL POE - AESR - ESR'!R3680</f>
        <v>0</v>
      </c>
      <c r="AMQ48" s="57">
        <f>'REG y VAL POE - AESR - ESR'!S3680</f>
        <v>0</v>
      </c>
      <c r="AMR48" s="57">
        <f>'REG y VAL POE - AESR - ESR'!T3680</f>
        <v>0</v>
      </c>
      <c r="AMS48" s="57">
        <f>'REG y VAL POE - AESR - ESR'!U3680</f>
        <v>0</v>
      </c>
      <c r="AMT48" s="57">
        <f>'REG y VAL POE - AESR - ESR'!V3680</f>
        <v>0</v>
      </c>
      <c r="AMU48" s="57">
        <f>'REG y VAL POE - AESR - ESR'!W3680</f>
        <v>0</v>
      </c>
      <c r="AMV48" s="57">
        <f>'REG y VAL POE - AESR - ESR'!X3680</f>
        <v>0</v>
      </c>
      <c r="AMW48" s="57">
        <f>'REG y VAL POE - AESR - ESR'!Y3680</f>
        <v>0</v>
      </c>
      <c r="AMX48" s="57">
        <f>'REG y VAL POE - AESR - ESR'!Z3680</f>
        <v>0</v>
      </c>
      <c r="AMY48" s="57">
        <f>'REG y VAL POE - AESR - ESR'!AA3680</f>
        <v>0</v>
      </c>
      <c r="AMZ48" s="57">
        <f>'REG y VAL POE - AESR - ESR'!AB3680</f>
        <v>0</v>
      </c>
      <c r="ANA48" s="57">
        <f>'REG y VAL POE - AESR - ESR'!AC3680</f>
        <v>0</v>
      </c>
      <c r="ANB48" s="57">
        <f>'REG y VAL POE - AESR - ESR'!AD3680</f>
        <v>0</v>
      </c>
      <c r="ANC48" s="57">
        <f>'REG y VAL POE - AESR - ESR'!AE3680</f>
        <v>0</v>
      </c>
      <c r="AND48" s="57">
        <f>'REG y VAL POE - AESR - ESR'!AF3680</f>
        <v>0</v>
      </c>
      <c r="ANE48" s="57">
        <f>'REG y VAL POE - AESR - ESR'!AG3680</f>
        <v>0</v>
      </c>
      <c r="ANF48" s="57">
        <f>'REG y VAL POE - AESR - ESR'!AH3680</f>
        <v>0</v>
      </c>
      <c r="ANG48" s="57">
        <f>'REG y VAL POE - AESR - ESR'!AI3680</f>
        <v>0</v>
      </c>
      <c r="ANH48" s="57">
        <f>'REG y VAL POE - AESR - ESR'!AJ3680</f>
        <v>0</v>
      </c>
      <c r="ANI48" s="57">
        <f>'REG y VAL POE - AESR - ESR'!AK3680</f>
        <v>0</v>
      </c>
      <c r="ANJ48" s="57">
        <f>'REG y VAL POE - AESR - ESR'!AL3680</f>
        <v>0</v>
      </c>
      <c r="ANK48" s="57">
        <f>'REG y VAL POE - AESR - ESR'!AM3680</f>
        <v>0</v>
      </c>
      <c r="ANL48" s="57">
        <f>'REG y VAL POE - AESR - ESR'!AN3680</f>
        <v>0</v>
      </c>
      <c r="ANM48" s="57">
        <f>'REG y VAL POE - AESR - ESR'!AO3680</f>
        <v>0</v>
      </c>
      <c r="ANN48" s="57">
        <f>'REG y VAL POE - AESR - ESR'!AP3680</f>
        <v>0</v>
      </c>
      <c r="ANO48" s="57">
        <f>'REG y VAL POE - AESR - ESR'!AQ3680</f>
        <v>0</v>
      </c>
      <c r="ANP48" s="57">
        <f>'REG y VAL POE - AESR - ESR'!AR3680</f>
        <v>0</v>
      </c>
      <c r="ANQ48" s="57">
        <f>'REG y VAL POE - AESR - ESR'!AS3680</f>
        <v>0</v>
      </c>
      <c r="ANR48" s="57" t="str">
        <f>'REG y VAL POE - AESR - ESR'!B3681</f>
        <v xml:space="preserve">Guerrero Delgado Alfredo Froylan </v>
      </c>
      <c r="ANS48" s="57">
        <f>'REG y VAL POE - AESR - ESR'!C3681</f>
        <v>0</v>
      </c>
      <c r="ANT48" s="56">
        <f>'REG y VAL POE - AESR - ESR'!D3681</f>
        <v>23198924</v>
      </c>
      <c r="ANU48" s="56">
        <f>'REG y VAL POE - AESR - ESR'!E3681</f>
        <v>0</v>
      </c>
      <c r="ANV48" s="57">
        <f>'REG y VAL POE - AESR - ESR'!F3681</f>
        <v>0</v>
      </c>
      <c r="ANW48" s="390">
        <f>'REG y VAL POE - AESR - ESR'!G3681</f>
        <v>0</v>
      </c>
      <c r="ANX48" s="390">
        <f>'REG y VAL POE - AESR - ESR'!H3681</f>
        <v>0</v>
      </c>
      <c r="ANY48" s="57">
        <f>'REG y VAL POE - AESR - ESR'!I3681</f>
        <v>0</v>
      </c>
      <c r="ANZ48" s="57">
        <f>'REG y VAL POE - AESR - ESR'!J3681</f>
        <v>0</v>
      </c>
      <c r="AOA48" s="57">
        <f>'REG y VAL POE - AESR - ESR'!K3681</f>
        <v>0</v>
      </c>
      <c r="AOB48" s="57">
        <f>'REG y VAL POE - AESR - ESR'!L3681</f>
        <v>0</v>
      </c>
      <c r="AOC48" s="57">
        <f>'REG y VAL POE - AESR - ESR'!M3681</f>
        <v>0</v>
      </c>
      <c r="AOD48" s="57">
        <f>'REG y VAL POE - AESR - ESR'!N3681</f>
        <v>0</v>
      </c>
      <c r="AOE48" s="57">
        <f>'REG y VAL POE - AESR - ESR'!O3681</f>
        <v>0</v>
      </c>
      <c r="AOF48" s="57">
        <f>'REG y VAL POE - AESR - ESR'!P3681</f>
        <v>0</v>
      </c>
      <c r="AOG48" s="57">
        <f>'REG y VAL POE - AESR - ESR'!Q3681</f>
        <v>0</v>
      </c>
      <c r="AOH48" s="57">
        <f>'REG y VAL POE - AESR - ESR'!R3681</f>
        <v>0</v>
      </c>
      <c r="AOI48" s="57">
        <f>'REG y VAL POE - AESR - ESR'!S3681</f>
        <v>0</v>
      </c>
      <c r="AOJ48" s="57">
        <f>'REG y VAL POE - AESR - ESR'!T3681</f>
        <v>0</v>
      </c>
      <c r="AOK48" s="57">
        <f>'REG y VAL POE - AESR - ESR'!U3681</f>
        <v>0</v>
      </c>
      <c r="AOL48" s="57">
        <f>'REG y VAL POE - AESR - ESR'!V3681</f>
        <v>0</v>
      </c>
      <c r="AOM48" s="57">
        <f>'REG y VAL POE - AESR - ESR'!W3681</f>
        <v>0</v>
      </c>
      <c r="AON48" s="57">
        <f>'REG y VAL POE - AESR - ESR'!X3681</f>
        <v>0</v>
      </c>
      <c r="AOO48" s="57">
        <f>'REG y VAL POE - AESR - ESR'!Y3681</f>
        <v>0</v>
      </c>
      <c r="AOP48" s="57">
        <f>'REG y VAL POE - AESR - ESR'!Z3681</f>
        <v>0</v>
      </c>
      <c r="AOQ48" s="57">
        <f>'REG y VAL POE - AESR - ESR'!AA3681</f>
        <v>0</v>
      </c>
      <c r="AOR48" s="57">
        <f>'REG y VAL POE - AESR - ESR'!AB3681</f>
        <v>0</v>
      </c>
      <c r="AOS48" s="57">
        <f>'REG y VAL POE - AESR - ESR'!AC3681</f>
        <v>0</v>
      </c>
      <c r="AOT48" s="57">
        <f>'REG y VAL POE - AESR - ESR'!AD3681</f>
        <v>0</v>
      </c>
      <c r="AOU48" s="57">
        <f>'REG y VAL POE - AESR - ESR'!AE3681</f>
        <v>0</v>
      </c>
      <c r="AOV48" s="57">
        <f>'REG y VAL POE - AESR - ESR'!AF3681</f>
        <v>0</v>
      </c>
      <c r="AOW48" s="57">
        <f>'REG y VAL POE - AESR - ESR'!AG3681</f>
        <v>0</v>
      </c>
      <c r="AOX48" s="57">
        <f>'REG y VAL POE - AESR - ESR'!AH3681</f>
        <v>0</v>
      </c>
      <c r="AOY48" s="57">
        <f>'REG y VAL POE - AESR - ESR'!AI3681</f>
        <v>0</v>
      </c>
      <c r="AOZ48" s="57">
        <f>'REG y VAL POE - AESR - ESR'!AJ3681</f>
        <v>0</v>
      </c>
      <c r="APA48" s="57">
        <f>'REG y VAL POE - AESR - ESR'!AK3681</f>
        <v>0</v>
      </c>
      <c r="APB48" s="57">
        <f>'REG y VAL POE - AESR - ESR'!AL3681</f>
        <v>0</v>
      </c>
      <c r="APC48" s="57">
        <f>'REG y VAL POE - AESR - ESR'!AM3681</f>
        <v>0</v>
      </c>
      <c r="APD48" s="57">
        <f>'REG y VAL POE - AESR - ESR'!AN3681</f>
        <v>0</v>
      </c>
      <c r="APE48" s="57">
        <f>'REG y VAL POE - AESR - ESR'!AO3681</f>
        <v>0</v>
      </c>
      <c r="APF48" s="57">
        <f>'REG y VAL POE - AESR - ESR'!AP3681</f>
        <v>0</v>
      </c>
      <c r="APG48" s="57">
        <f>'REG y VAL POE - AESR - ESR'!AQ3681</f>
        <v>0</v>
      </c>
      <c r="APH48" s="57">
        <f>'REG y VAL POE - AESR - ESR'!AR3681</f>
        <v>0</v>
      </c>
      <c r="API48" s="57">
        <f>'REG y VAL POE - AESR - ESR'!AS3681</f>
        <v>0</v>
      </c>
      <c r="APJ48" s="57" t="str">
        <f>'REG y VAL POE - AESR - ESR'!B3682</f>
        <v>Huerta Andrade Maria Fernanda</v>
      </c>
      <c r="APK48" s="56" t="str">
        <f>'REG y VAL POE - AESR - ESR'!C3682</f>
        <v>POE-RG</v>
      </c>
      <c r="APL48" s="56">
        <f>'REG y VAL POE - AESR - ESR'!D3682</f>
        <v>23161875</v>
      </c>
      <c r="APM48" s="56">
        <f>'REG y VAL POE - AESR - ESR'!E3682</f>
        <v>0</v>
      </c>
      <c r="APN48" s="57">
        <f>'REG y VAL POE - AESR - ESR'!F3682</f>
        <v>0</v>
      </c>
      <c r="APO48" s="390">
        <f>'REG y VAL POE - AESR - ESR'!G3682</f>
        <v>45377</v>
      </c>
      <c r="APP48" s="390">
        <f>'REG y VAL POE - AESR - ESR'!H3682</f>
        <v>45742</v>
      </c>
      <c r="APQ48" s="57" t="str">
        <f>'REG y VAL POE - AESR - ESR'!I3682</f>
        <v>SI</v>
      </c>
      <c r="APR48" s="57" t="str">
        <f>'REG y VAL POE - AESR - ESR'!J3682</f>
        <v>Vigente</v>
      </c>
      <c r="APS48" s="57" t="str">
        <f>'REG y VAL POE - AESR - ESR'!K3682</f>
        <v>SI</v>
      </c>
      <c r="APT48" s="57" t="str">
        <f>'REG y VAL POE - AESR - ESR'!L3682</f>
        <v>Vigente</v>
      </c>
      <c r="APU48" s="57" t="str">
        <f>'REG y VAL POE - AESR - ESR'!M3682</f>
        <v>NO</v>
      </c>
      <c r="APV48" s="57" t="str">
        <f>'REG y VAL POE - AESR - ESR'!N3682</f>
        <v>Apendice ByC no llenos-c/historial aparte-falta firma RL</v>
      </c>
      <c r="APW48" s="57" t="str">
        <f>'REG y VAL POE - AESR - ESR'!O3682</f>
        <v>SI</v>
      </c>
      <c r="APX48" s="57">
        <f>'REG y VAL POE - AESR - ESR'!P3682</f>
        <v>0</v>
      </c>
      <c r="APY48" s="57" t="str">
        <f>'REG y VAL POE - AESR - ESR'!Q3682</f>
        <v>SI</v>
      </c>
      <c r="APZ48" s="57" t="str">
        <f>'REG y VAL POE - AESR - ESR'!R3682</f>
        <v>SI</v>
      </c>
      <c r="AQA48" s="57" t="str">
        <f>'REG y VAL POE - AESR - ESR'!S3682</f>
        <v>SI</v>
      </c>
      <c r="AQB48" s="57" t="str">
        <f>'REG y VAL POE - AESR - ESR'!T3682</f>
        <v>NO</v>
      </c>
      <c r="AQC48" s="57" t="str">
        <f>'REG y VAL POE - AESR - ESR'!U3682</f>
        <v>NO</v>
      </c>
      <c r="AQD48" s="57" t="str">
        <f>'REG y VAL POE - AESR - ESR'!V3682</f>
        <v>SI</v>
      </c>
      <c r="AQE48" s="57">
        <f>'REG y VAL POE - AESR - ESR'!W3682</f>
        <v>0</v>
      </c>
      <c r="AQF48" s="57">
        <f>'REG y VAL POE - AESR - ESR'!X3682</f>
        <v>0</v>
      </c>
      <c r="AQG48" s="57">
        <f>'REG y VAL POE - AESR - ESR'!Y3682</f>
        <v>0</v>
      </c>
      <c r="AQH48" s="57" t="str">
        <f>'REG y VAL POE - AESR - ESR'!Z3682</f>
        <v>SI</v>
      </c>
      <c r="AQI48" s="57">
        <f>'REG y VAL POE - AESR - ESR'!AA3682</f>
        <v>0</v>
      </c>
      <c r="AQJ48" s="57">
        <f>'REG y VAL POE - AESR - ESR'!AB3682</f>
        <v>0</v>
      </c>
      <c r="AQK48" s="57">
        <f>'REG y VAL POE - AESR - ESR'!AC3682</f>
        <v>0</v>
      </c>
      <c r="AQL48" s="57">
        <f>'REG y VAL POE - AESR - ESR'!AD3682</f>
        <v>0</v>
      </c>
      <c r="AQM48" s="57">
        <f>'REG y VAL POE - AESR - ESR'!AE3682</f>
        <v>0</v>
      </c>
      <c r="AQN48" s="57">
        <f>'REG y VAL POE - AESR - ESR'!AF3682</f>
        <v>0</v>
      </c>
      <c r="AQO48" s="57">
        <f>'REG y VAL POE - AESR - ESR'!AG3682</f>
        <v>0</v>
      </c>
      <c r="AQP48" s="57">
        <f>'REG y VAL POE - AESR - ESR'!AH3682</f>
        <v>0</v>
      </c>
      <c r="AQQ48" s="57">
        <f>'REG y VAL POE - AESR - ESR'!AI3682</f>
        <v>0</v>
      </c>
      <c r="AQR48" s="57">
        <f>'REG y VAL POE - AESR - ESR'!AJ3682</f>
        <v>0</v>
      </c>
      <c r="AQS48" s="57">
        <f>'REG y VAL POE - AESR - ESR'!AK3682</f>
        <v>0</v>
      </c>
      <c r="AQT48" s="57">
        <f>'REG y VAL POE - AESR - ESR'!AL3682</f>
        <v>0</v>
      </c>
      <c r="AQU48" s="57">
        <f>'REG y VAL POE - AESR - ESR'!AM3682</f>
        <v>0</v>
      </c>
      <c r="AQV48" s="57">
        <f>'REG y VAL POE - AESR - ESR'!AN3682</f>
        <v>0</v>
      </c>
      <c r="AQW48" s="57">
        <f>'REG y VAL POE - AESR - ESR'!AO3682</f>
        <v>0</v>
      </c>
      <c r="AQX48" s="57">
        <f>'REG y VAL POE - AESR - ESR'!AP3682</f>
        <v>0</v>
      </c>
      <c r="AQY48" s="57">
        <f>'REG y VAL POE - AESR - ESR'!AQ3682</f>
        <v>0</v>
      </c>
      <c r="AQZ48" s="57">
        <f>'REG y VAL POE - AESR - ESR'!AR3682</f>
        <v>0</v>
      </c>
      <c r="ARA48" s="57">
        <f>'REG y VAL POE - AESR - ESR'!AS3682</f>
        <v>0</v>
      </c>
      <c r="ARB48" s="57" t="str">
        <f>'REG y VAL POE - AESR - ESR'!B3683</f>
        <v>Ibarra Flores Efren Salvador</v>
      </c>
      <c r="ARC48" s="57" t="str">
        <f>'REG y VAL POE - AESR - ESR'!C3683</f>
        <v>POE-RX</v>
      </c>
      <c r="ARD48" s="56">
        <f>'REG y VAL POE - AESR - ESR'!D3683</f>
        <v>23172204</v>
      </c>
      <c r="ARE48" s="56">
        <f>'REG y VAL POE - AESR - ESR'!E3683</f>
        <v>0</v>
      </c>
      <c r="ARF48" s="57">
        <f>'REG y VAL POE - AESR - ESR'!F3683</f>
        <v>0</v>
      </c>
      <c r="ARG48" s="390">
        <f>'REG y VAL POE - AESR - ESR'!G3683</f>
        <v>45374</v>
      </c>
      <c r="ARH48" s="390">
        <f>'REG y VAL POE - AESR - ESR'!H3683</f>
        <v>45742</v>
      </c>
      <c r="ARI48" s="57" t="str">
        <f>'REG y VAL POE - AESR - ESR'!I3683</f>
        <v>SI</v>
      </c>
      <c r="ARJ48" s="57" t="str">
        <f>'REG y VAL POE - AESR - ESR'!J3683</f>
        <v>Vigente</v>
      </c>
      <c r="ARK48" s="57" t="str">
        <f>'REG y VAL POE - AESR - ESR'!K3683</f>
        <v>SI</v>
      </c>
      <c r="ARL48" s="57" t="str">
        <f>'REG y VAL POE - AESR - ESR'!L3683</f>
        <v>Vigente</v>
      </c>
      <c r="ARM48" s="57" t="str">
        <f>'REG y VAL POE - AESR - ESR'!M3683</f>
        <v>SI</v>
      </c>
      <c r="ARN48" s="57" t="str">
        <f>'REG y VAL POE - AESR - ESR'!N3683</f>
        <v>Apendice ByC no llenos-c/historial aparte-falta firma RL</v>
      </c>
      <c r="ARO48" s="57" t="str">
        <f>'REG y VAL POE - AESR - ESR'!O3683</f>
        <v>SI</v>
      </c>
      <c r="ARP48" s="57">
        <f>'REG y VAL POE - AESR - ESR'!P3683</f>
        <v>0</v>
      </c>
      <c r="ARQ48" s="57" t="str">
        <f>'REG y VAL POE - AESR - ESR'!Q3683</f>
        <v>SI</v>
      </c>
      <c r="ARR48" s="57" t="str">
        <f>'REG y VAL POE - AESR - ESR'!R3683</f>
        <v>SI</v>
      </c>
      <c r="ARS48" s="57" t="str">
        <f>'REG y VAL POE - AESR - ESR'!S3683</f>
        <v>SI</v>
      </c>
      <c r="ART48" s="57" t="str">
        <f>'REG y VAL POE - AESR - ESR'!T3683</f>
        <v>NO</v>
      </c>
      <c r="ARU48" s="57" t="str">
        <f>'REG y VAL POE - AESR - ESR'!U3683</f>
        <v>NO</v>
      </c>
      <c r="ARV48" s="57" t="str">
        <f>'REG y VAL POE - AESR - ESR'!V3683</f>
        <v>SI</v>
      </c>
      <c r="ARW48" s="57">
        <f>'REG y VAL POE - AESR - ESR'!W3683</f>
        <v>0</v>
      </c>
      <c r="ARX48" s="57">
        <f>'REG y VAL POE - AESR - ESR'!X3683</f>
        <v>0</v>
      </c>
      <c r="ARY48" s="57">
        <f>'REG y VAL POE - AESR - ESR'!Y3683</f>
        <v>0</v>
      </c>
      <c r="ARZ48" s="57" t="str">
        <f>'REG y VAL POE - AESR - ESR'!Z3683</f>
        <v>SI</v>
      </c>
      <c r="ASA48" s="57">
        <f>'REG y VAL POE - AESR - ESR'!AA3683</f>
        <v>0</v>
      </c>
      <c r="ASB48" s="57" t="str">
        <f>'REG y VAL POE - AESR - ESR'!AB3683</f>
        <v>SI</v>
      </c>
      <c r="ASC48" s="57">
        <f>'REG y VAL POE - AESR - ESR'!AC3683</f>
        <v>0</v>
      </c>
      <c r="ASD48" s="57" t="str">
        <f>'REG y VAL POE - AESR - ESR'!AD3683</f>
        <v>SI</v>
      </c>
      <c r="ASE48" s="57">
        <f>'REG y VAL POE - AESR - ESR'!AE3683</f>
        <v>0</v>
      </c>
      <c r="ASF48" s="57" t="str">
        <f>'REG y VAL POE - AESR - ESR'!AF3683</f>
        <v>SI</v>
      </c>
      <c r="ASG48" s="57" t="str">
        <f>'REG y VAL POE - AESR - ESR'!AG3683</f>
        <v>SI</v>
      </c>
      <c r="ASH48" s="57">
        <f>'REG y VAL POE - AESR - ESR'!AH3683</f>
        <v>0</v>
      </c>
      <c r="ASI48" s="57">
        <f>'REG y VAL POE - AESR - ESR'!AI3683</f>
        <v>0</v>
      </c>
      <c r="ASJ48" s="57">
        <f>'REG y VAL POE - AESR - ESR'!AJ3683</f>
        <v>0</v>
      </c>
      <c r="ASK48" s="57">
        <f>'REG y VAL POE - AESR - ESR'!AK3683</f>
        <v>0</v>
      </c>
      <c r="ASL48" s="57">
        <f>'REG y VAL POE - AESR - ESR'!AL3683</f>
        <v>0</v>
      </c>
      <c r="ASM48" s="57">
        <f>'REG y VAL POE - AESR - ESR'!AM3683</f>
        <v>0</v>
      </c>
      <c r="ASN48" s="57">
        <f>'REG y VAL POE - AESR - ESR'!AN3683</f>
        <v>0</v>
      </c>
      <c r="ASO48" s="57">
        <f>'REG y VAL POE - AESR - ESR'!AO3683</f>
        <v>0</v>
      </c>
      <c r="ASP48" s="57">
        <f>'REG y VAL POE - AESR - ESR'!AP3683</f>
        <v>0</v>
      </c>
      <c r="ASQ48" s="57">
        <f>'REG y VAL POE - AESR - ESR'!AQ3683</f>
        <v>0</v>
      </c>
      <c r="ASR48" s="57">
        <f>'REG y VAL POE - AESR - ESR'!AR3683</f>
        <v>0</v>
      </c>
      <c r="ASS48" s="57">
        <f>'REG y VAL POE - AESR - ESR'!AS3683</f>
        <v>0</v>
      </c>
      <c r="AST48" s="57" t="str">
        <f>'REG y VAL POE - AESR - ESR'!B3684</f>
        <v xml:space="preserve">Jarquin Alvarado Luz Del Carmen </v>
      </c>
      <c r="ASU48" s="56">
        <f>'REG y VAL POE - AESR - ESR'!C3684</f>
        <v>0</v>
      </c>
      <c r="ASV48" s="56">
        <f>'REG y VAL POE - AESR - ESR'!D3684</f>
        <v>23093924</v>
      </c>
      <c r="ASW48" s="56">
        <f>'REG y VAL POE - AESR - ESR'!E3684</f>
        <v>0</v>
      </c>
      <c r="ASX48" s="57">
        <f>'REG y VAL POE - AESR - ESR'!F3684</f>
        <v>0</v>
      </c>
      <c r="ASY48" s="390">
        <f>'REG y VAL POE - AESR - ESR'!G3684</f>
        <v>0</v>
      </c>
      <c r="ASZ48" s="390">
        <f>'REG y VAL POE - AESR - ESR'!H3684</f>
        <v>0</v>
      </c>
      <c r="ATA48" s="57">
        <f>'REG y VAL POE - AESR - ESR'!I3684</f>
        <v>0</v>
      </c>
      <c r="ATB48" s="57">
        <f>'REG y VAL POE - AESR - ESR'!J3684</f>
        <v>0</v>
      </c>
      <c r="ATC48" s="57">
        <f>'REG y VAL POE - AESR - ESR'!K3684</f>
        <v>0</v>
      </c>
      <c r="ATD48" s="57">
        <f>'REG y VAL POE - AESR - ESR'!L3684</f>
        <v>0</v>
      </c>
      <c r="ATE48" s="57">
        <f>'REG y VAL POE - AESR - ESR'!M3684</f>
        <v>0</v>
      </c>
      <c r="ATF48" s="57">
        <f>'REG y VAL POE - AESR - ESR'!N3684</f>
        <v>0</v>
      </c>
      <c r="ATG48" s="57">
        <f>'REG y VAL POE - AESR - ESR'!O3684</f>
        <v>0</v>
      </c>
      <c r="ATH48" s="57">
        <f>'REG y VAL POE - AESR - ESR'!P3684</f>
        <v>0</v>
      </c>
      <c r="ATI48" s="57">
        <f>'REG y VAL POE - AESR - ESR'!Q3684</f>
        <v>0</v>
      </c>
      <c r="ATJ48" s="57">
        <f>'REG y VAL POE - AESR - ESR'!R3684</f>
        <v>0</v>
      </c>
      <c r="ATK48" s="57">
        <f>'REG y VAL POE - AESR - ESR'!S3684</f>
        <v>0</v>
      </c>
      <c r="ATL48" s="57">
        <f>'REG y VAL POE - AESR - ESR'!T3684</f>
        <v>0</v>
      </c>
      <c r="ATM48" s="57">
        <f>'REG y VAL POE - AESR - ESR'!U3684</f>
        <v>0</v>
      </c>
      <c r="ATN48" s="57">
        <f>'REG y VAL POE - AESR - ESR'!V3684</f>
        <v>0</v>
      </c>
      <c r="ATO48" s="57">
        <f>'REG y VAL POE - AESR - ESR'!W3684</f>
        <v>0</v>
      </c>
      <c r="ATP48" s="57">
        <f>'REG y VAL POE - AESR - ESR'!X3684</f>
        <v>0</v>
      </c>
      <c r="ATQ48" s="57">
        <f>'REG y VAL POE - AESR - ESR'!Y3684</f>
        <v>0</v>
      </c>
      <c r="ATR48" s="57">
        <f>'REG y VAL POE - AESR - ESR'!Z3684</f>
        <v>0</v>
      </c>
      <c r="ATS48" s="57">
        <f>'REG y VAL POE - AESR - ESR'!AA3684</f>
        <v>0</v>
      </c>
      <c r="ATT48" s="57">
        <f>'REG y VAL POE - AESR - ESR'!AB3684</f>
        <v>0</v>
      </c>
      <c r="ATU48" s="57">
        <f>'REG y VAL POE - AESR - ESR'!AC3684</f>
        <v>0</v>
      </c>
      <c r="ATV48" s="57">
        <f>'REG y VAL POE - AESR - ESR'!AD3684</f>
        <v>0</v>
      </c>
      <c r="ATW48" s="57">
        <f>'REG y VAL POE - AESR - ESR'!AE3684</f>
        <v>0</v>
      </c>
      <c r="ATX48" s="57">
        <f>'REG y VAL POE - AESR - ESR'!AF3684</f>
        <v>0</v>
      </c>
      <c r="ATY48" s="57">
        <f>'REG y VAL POE - AESR - ESR'!AG3684</f>
        <v>0</v>
      </c>
      <c r="ATZ48" s="57">
        <f>'REG y VAL POE - AESR - ESR'!AH3684</f>
        <v>0</v>
      </c>
      <c r="AUA48" s="57">
        <f>'REG y VAL POE - AESR - ESR'!AI3684</f>
        <v>0</v>
      </c>
      <c r="AUB48" s="57">
        <f>'REG y VAL POE - AESR - ESR'!AJ3684</f>
        <v>0</v>
      </c>
      <c r="AUC48" s="57">
        <f>'REG y VAL POE - AESR - ESR'!AK3684</f>
        <v>0</v>
      </c>
      <c r="AUD48" s="57">
        <f>'REG y VAL POE - AESR - ESR'!AL3684</f>
        <v>0</v>
      </c>
      <c r="AUE48" s="57">
        <f>'REG y VAL POE - AESR - ESR'!AM3684</f>
        <v>0</v>
      </c>
      <c r="AUF48" s="57">
        <f>'REG y VAL POE - AESR - ESR'!AN3684</f>
        <v>0</v>
      </c>
      <c r="AUG48" s="57">
        <f>'REG y VAL POE - AESR - ESR'!AO3684</f>
        <v>0</v>
      </c>
      <c r="AUH48" s="57">
        <f>'REG y VAL POE - AESR - ESR'!AP3684</f>
        <v>0</v>
      </c>
      <c r="AUI48" s="57">
        <f>'REG y VAL POE - AESR - ESR'!AQ3684</f>
        <v>0</v>
      </c>
      <c r="AUJ48" s="57">
        <f>'REG y VAL POE - AESR - ESR'!AR3684</f>
        <v>0</v>
      </c>
      <c r="AUK48" s="57">
        <f>'REG y VAL POE - AESR - ESR'!AS3684</f>
        <v>0</v>
      </c>
      <c r="AUL48" s="57" t="str">
        <f>'REG y VAL POE - AESR - ESR'!B3685</f>
        <v>Jimenez Rodriguez Marco Alessandro</v>
      </c>
      <c r="AUM48" s="57" t="str">
        <f>'REG y VAL POE - AESR - ESR'!C3685</f>
        <v>POE-RG</v>
      </c>
      <c r="AUN48" s="56">
        <f>'REG y VAL POE - AESR - ESR'!D3685</f>
        <v>23196939</v>
      </c>
      <c r="AUO48" s="56">
        <f>'REG y VAL POE - AESR - ESR'!E3685</f>
        <v>0</v>
      </c>
      <c r="AUP48" s="57">
        <f>'REG y VAL POE - AESR - ESR'!F3685</f>
        <v>0</v>
      </c>
      <c r="AUQ48" s="390">
        <f>'REG y VAL POE - AESR - ESR'!G3685</f>
        <v>45376</v>
      </c>
      <c r="AUR48" s="390">
        <f>'REG y VAL POE - AESR - ESR'!H3685</f>
        <v>45741</v>
      </c>
      <c r="AUS48" s="57" t="str">
        <f>'REG y VAL POE - AESR - ESR'!I3685</f>
        <v>SI</v>
      </c>
      <c r="AUT48" s="57" t="str">
        <f>'REG y VAL POE - AESR - ESR'!J3685</f>
        <v>Vigente</v>
      </c>
      <c r="AUU48" s="57" t="str">
        <f>'REG y VAL POE - AESR - ESR'!K3685</f>
        <v>SI</v>
      </c>
      <c r="AUV48" s="57" t="str">
        <f>'REG y VAL POE - AESR - ESR'!L3685</f>
        <v>Vigente</v>
      </c>
      <c r="AUW48" s="57" t="str">
        <f>'REG y VAL POE - AESR - ESR'!M3685</f>
        <v>NO</v>
      </c>
      <c r="AUX48" s="57" t="str">
        <f>'REG y VAL POE - AESR - ESR'!N3685</f>
        <v>Apendice ByC no llenos-c/historial aparte-falta firma RL</v>
      </c>
      <c r="AUY48" s="57" t="str">
        <f>'REG y VAL POE - AESR - ESR'!O3685</f>
        <v>CERTIFICADO</v>
      </c>
      <c r="AUZ48" s="57">
        <f>'REG y VAL POE - AESR - ESR'!P3685</f>
        <v>0</v>
      </c>
      <c r="AVA48" s="57" t="str">
        <f>'REG y VAL POE - AESR - ESR'!Q3685</f>
        <v>SI</v>
      </c>
      <c r="AVB48" s="57" t="str">
        <f>'REG y VAL POE - AESR - ESR'!R3685</f>
        <v>SI</v>
      </c>
      <c r="AVC48" s="57" t="str">
        <f>'REG y VAL POE - AESR - ESR'!S3685</f>
        <v>SI</v>
      </c>
      <c r="AVD48" s="57" t="str">
        <f>'REG y VAL POE - AESR - ESR'!T3685</f>
        <v>NO</v>
      </c>
      <c r="AVE48" s="57" t="str">
        <f>'REG y VAL POE - AESR - ESR'!U3685</f>
        <v>NO</v>
      </c>
      <c r="AVF48" s="57" t="str">
        <f>'REG y VAL POE - AESR - ESR'!V3685</f>
        <v>SI</v>
      </c>
      <c r="AVG48" s="57">
        <f>'REG y VAL POE - AESR - ESR'!W3685</f>
        <v>0</v>
      </c>
      <c r="AVH48" s="57">
        <f>'REG y VAL POE - AESR - ESR'!X3685</f>
        <v>0</v>
      </c>
      <c r="AVI48" s="57">
        <f>'REG y VAL POE - AESR - ESR'!Y3685</f>
        <v>0</v>
      </c>
      <c r="AVJ48" s="57" t="str">
        <f>'REG y VAL POE - AESR - ESR'!Z3685</f>
        <v>SI</v>
      </c>
      <c r="AVK48" s="57">
        <f>'REG y VAL POE - AESR - ESR'!AA3685</f>
        <v>0</v>
      </c>
      <c r="AVL48" s="57">
        <f>'REG y VAL POE - AESR - ESR'!AB3685</f>
        <v>0</v>
      </c>
      <c r="AVM48" s="57">
        <f>'REG y VAL POE - AESR - ESR'!AC3685</f>
        <v>0</v>
      </c>
      <c r="AVN48" s="57">
        <f>'REG y VAL POE - AESR - ESR'!AD3685</f>
        <v>0</v>
      </c>
      <c r="AVO48" s="57">
        <f>'REG y VAL POE - AESR - ESR'!AE3685</f>
        <v>0</v>
      </c>
      <c r="AVP48" s="57">
        <f>'REG y VAL POE - AESR - ESR'!AF3685</f>
        <v>0</v>
      </c>
      <c r="AVQ48" s="57">
        <f>'REG y VAL POE - AESR - ESR'!AG3685</f>
        <v>0</v>
      </c>
      <c r="AVR48" s="57">
        <f>'REG y VAL POE - AESR - ESR'!AH3685</f>
        <v>0</v>
      </c>
      <c r="AVS48" s="57">
        <f>'REG y VAL POE - AESR - ESR'!AI3685</f>
        <v>0</v>
      </c>
      <c r="AVT48" s="57">
        <f>'REG y VAL POE - AESR - ESR'!AJ3685</f>
        <v>0</v>
      </c>
      <c r="AVU48" s="57">
        <f>'REG y VAL POE - AESR - ESR'!AK3685</f>
        <v>0</v>
      </c>
      <c r="AVV48" s="57" t="str">
        <f>'REG y VAL POE - AESR - ESR'!AL3685</f>
        <v>SI</v>
      </c>
      <c r="AVW48" s="57" t="str">
        <f>'REG y VAL POE - AESR - ESR'!AM3685</f>
        <v>SI</v>
      </c>
      <c r="AVX48" s="57">
        <f>'REG y VAL POE - AESR - ESR'!AN3685</f>
        <v>0</v>
      </c>
      <c r="AVY48" s="57">
        <f>'REG y VAL POE - AESR - ESR'!AO3685</f>
        <v>0</v>
      </c>
      <c r="AVZ48" s="57">
        <f>'REG y VAL POE - AESR - ESR'!AP3685</f>
        <v>0</v>
      </c>
      <c r="AWA48" s="57">
        <f>'REG y VAL POE - AESR - ESR'!AQ3685</f>
        <v>0</v>
      </c>
      <c r="AWB48" s="57" t="str">
        <f>'REG y VAL POE - AESR - ESR'!AR3685</f>
        <v>VACIS PORTAL</v>
      </c>
      <c r="AWC48" s="57">
        <f>'REG y VAL POE - AESR - ESR'!AS3685</f>
        <v>0</v>
      </c>
      <c r="AWD48" s="57" t="str">
        <f>'REG y VAL POE - AESR - ESR'!B3686</f>
        <v xml:space="preserve">Jimenez Sanabria Jorge Luis </v>
      </c>
      <c r="AWE48" s="57">
        <f>'REG y VAL POE - AESR - ESR'!C3686</f>
        <v>0</v>
      </c>
      <c r="AWF48" s="56">
        <f>'REG y VAL POE - AESR - ESR'!D3686</f>
        <v>23094899</v>
      </c>
      <c r="AWG48" s="56">
        <f>'REG y VAL POE - AESR - ESR'!E3686</f>
        <v>0</v>
      </c>
      <c r="AWH48" s="57">
        <f>'REG y VAL POE - AESR - ESR'!F3686</f>
        <v>0</v>
      </c>
      <c r="AWI48" s="390">
        <f>'REG y VAL POE - AESR - ESR'!G3686</f>
        <v>0</v>
      </c>
      <c r="AWJ48" s="390">
        <f>'REG y VAL POE - AESR - ESR'!H3686</f>
        <v>0</v>
      </c>
      <c r="AWK48" s="57">
        <f>'REG y VAL POE - AESR - ESR'!I3686</f>
        <v>0</v>
      </c>
      <c r="AWL48" s="57">
        <f>'REG y VAL POE - AESR - ESR'!J3686</f>
        <v>0</v>
      </c>
      <c r="AWM48" s="57">
        <f>'REG y VAL POE - AESR - ESR'!K3686</f>
        <v>0</v>
      </c>
      <c r="AWN48" s="57">
        <f>'REG y VAL POE - AESR - ESR'!L3686</f>
        <v>0</v>
      </c>
      <c r="AWO48" s="57">
        <f>'REG y VAL POE - AESR - ESR'!M3686</f>
        <v>0</v>
      </c>
      <c r="AWP48" s="57">
        <f>'REG y VAL POE - AESR - ESR'!N3686</f>
        <v>0</v>
      </c>
      <c r="AWQ48" s="57">
        <f>'REG y VAL POE - AESR - ESR'!O3686</f>
        <v>0</v>
      </c>
      <c r="AWR48" s="57">
        <f>'REG y VAL POE - AESR - ESR'!P3686</f>
        <v>0</v>
      </c>
      <c r="AWS48" s="57">
        <f>'REG y VAL POE - AESR - ESR'!Q3686</f>
        <v>0</v>
      </c>
      <c r="AWT48" s="57">
        <f>'REG y VAL POE - AESR - ESR'!R3686</f>
        <v>0</v>
      </c>
      <c r="AWU48" s="57">
        <f>'REG y VAL POE - AESR - ESR'!S3686</f>
        <v>0</v>
      </c>
      <c r="AWV48" s="57">
        <f>'REG y VAL POE - AESR - ESR'!T3686</f>
        <v>0</v>
      </c>
      <c r="AWW48" s="57">
        <f>'REG y VAL POE - AESR - ESR'!U3686</f>
        <v>0</v>
      </c>
      <c r="AWX48" s="57">
        <f>'REG y VAL POE - AESR - ESR'!V3686</f>
        <v>0</v>
      </c>
      <c r="AWY48" s="57">
        <f>'REG y VAL POE - AESR - ESR'!W3686</f>
        <v>0</v>
      </c>
      <c r="AWZ48" s="57">
        <f>'REG y VAL POE - AESR - ESR'!X3686</f>
        <v>0</v>
      </c>
      <c r="AXA48" s="57">
        <f>'REG y VAL POE - AESR - ESR'!Y3686</f>
        <v>0</v>
      </c>
      <c r="AXB48" s="57">
        <f>'REG y VAL POE - AESR - ESR'!Z3686</f>
        <v>0</v>
      </c>
      <c r="AXC48" s="57">
        <f>'REG y VAL POE - AESR - ESR'!AA3686</f>
        <v>0</v>
      </c>
      <c r="AXD48" s="57">
        <f>'REG y VAL POE - AESR - ESR'!AB3686</f>
        <v>0</v>
      </c>
      <c r="AXE48" s="57">
        <f>'REG y VAL POE - AESR - ESR'!AC3686</f>
        <v>0</v>
      </c>
      <c r="AXF48" s="57">
        <f>'REG y VAL POE - AESR - ESR'!AD3686</f>
        <v>0</v>
      </c>
      <c r="AXG48" s="57">
        <f>'REG y VAL POE - AESR - ESR'!AE3686</f>
        <v>0</v>
      </c>
      <c r="AXH48" s="57">
        <f>'REG y VAL POE - AESR - ESR'!AF3686</f>
        <v>0</v>
      </c>
      <c r="AXI48" s="57">
        <f>'REG y VAL POE - AESR - ESR'!AG3686</f>
        <v>0</v>
      </c>
      <c r="AXJ48" s="57">
        <f>'REG y VAL POE - AESR - ESR'!AH3686</f>
        <v>0</v>
      </c>
      <c r="AXK48" s="57">
        <f>'REG y VAL POE - AESR - ESR'!AI3686</f>
        <v>0</v>
      </c>
      <c r="AXL48" s="57">
        <f>'REG y VAL POE - AESR - ESR'!AJ3686</f>
        <v>0</v>
      </c>
      <c r="AXM48" s="57">
        <f>'REG y VAL POE - AESR - ESR'!AK3686</f>
        <v>0</v>
      </c>
      <c r="AXN48" s="57">
        <f>'REG y VAL POE - AESR - ESR'!AL3686</f>
        <v>0</v>
      </c>
      <c r="AXO48" s="57">
        <f>'REG y VAL POE - AESR - ESR'!AM3686</f>
        <v>0</v>
      </c>
      <c r="AXP48" s="57">
        <f>'REG y VAL POE - AESR - ESR'!AN3686</f>
        <v>0</v>
      </c>
      <c r="AXQ48" s="57">
        <f>'REG y VAL POE - AESR - ESR'!AO3686</f>
        <v>0</v>
      </c>
      <c r="AXR48" s="57">
        <f>'REG y VAL POE - AESR - ESR'!AP3686</f>
        <v>0</v>
      </c>
      <c r="AXS48" s="57">
        <f>'REG y VAL POE - AESR - ESR'!AQ3686</f>
        <v>0</v>
      </c>
      <c r="AXT48" s="57">
        <f>'REG y VAL POE - AESR - ESR'!AR3686</f>
        <v>0</v>
      </c>
      <c r="AXU48" s="57">
        <f>'REG y VAL POE - AESR - ESR'!AS3686</f>
        <v>0</v>
      </c>
      <c r="AXV48" s="57" t="str">
        <f>'REG y VAL POE - AESR - ESR'!B3687</f>
        <v xml:space="preserve">Lara De La Hoz Esbeidi </v>
      </c>
      <c r="AXW48" s="57">
        <f>'REG y VAL POE - AESR - ESR'!C3687</f>
        <v>0</v>
      </c>
      <c r="AXX48" s="56">
        <f>'REG y VAL POE - AESR - ESR'!D3687</f>
        <v>23207723</v>
      </c>
      <c r="AXY48" s="56">
        <f>'REG y VAL POE - AESR - ESR'!E3687</f>
        <v>0</v>
      </c>
      <c r="AXZ48" s="57">
        <f>'REG y VAL POE - AESR - ESR'!F3687</f>
        <v>0</v>
      </c>
      <c r="AYA48" s="390">
        <f>'REG y VAL POE - AESR - ESR'!G3687</f>
        <v>0</v>
      </c>
      <c r="AYB48" s="390">
        <f>'REG y VAL POE - AESR - ESR'!H3687</f>
        <v>0</v>
      </c>
      <c r="AYC48" s="57">
        <f>'REG y VAL POE - AESR - ESR'!I3687</f>
        <v>0</v>
      </c>
      <c r="AYD48" s="57">
        <f>'REG y VAL POE - AESR - ESR'!J3687</f>
        <v>0</v>
      </c>
      <c r="AYE48" s="57">
        <f>'REG y VAL POE - AESR - ESR'!K3687</f>
        <v>0</v>
      </c>
      <c r="AYF48" s="57">
        <f>'REG y VAL POE - AESR - ESR'!L3687</f>
        <v>0</v>
      </c>
      <c r="AYG48" s="57">
        <f>'REG y VAL POE - AESR - ESR'!M3687</f>
        <v>0</v>
      </c>
      <c r="AYH48" s="57">
        <f>'REG y VAL POE - AESR - ESR'!N3687</f>
        <v>0</v>
      </c>
      <c r="AYI48" s="57">
        <f>'REG y VAL POE - AESR - ESR'!O3687</f>
        <v>0</v>
      </c>
      <c r="AYJ48" s="57">
        <f>'REG y VAL POE - AESR - ESR'!P3687</f>
        <v>0</v>
      </c>
      <c r="AYK48" s="57">
        <f>'REG y VAL POE - AESR - ESR'!Q3687</f>
        <v>0</v>
      </c>
      <c r="AYL48" s="57">
        <f>'REG y VAL POE - AESR - ESR'!R3687</f>
        <v>0</v>
      </c>
      <c r="AYM48" s="57">
        <f>'REG y VAL POE - AESR - ESR'!S3687</f>
        <v>0</v>
      </c>
      <c r="AYN48" s="57">
        <f>'REG y VAL POE - AESR - ESR'!T3687</f>
        <v>0</v>
      </c>
      <c r="AYO48" s="57">
        <f>'REG y VAL POE - AESR - ESR'!U3687</f>
        <v>0</v>
      </c>
      <c r="AYP48" s="57">
        <f>'REG y VAL POE - AESR - ESR'!V3687</f>
        <v>0</v>
      </c>
      <c r="AYQ48" s="57">
        <f>'REG y VAL POE - AESR - ESR'!W3687</f>
        <v>0</v>
      </c>
      <c r="AYR48" s="57">
        <f>'REG y VAL POE - AESR - ESR'!X3687</f>
        <v>0</v>
      </c>
      <c r="AYS48" s="57">
        <f>'REG y VAL POE - AESR - ESR'!Y3687</f>
        <v>0</v>
      </c>
      <c r="AYT48" s="57">
        <f>'REG y VAL POE - AESR - ESR'!Z3687</f>
        <v>0</v>
      </c>
      <c r="AYU48" s="57">
        <f>'REG y VAL POE - AESR - ESR'!AA3687</f>
        <v>0</v>
      </c>
      <c r="AYV48" s="57">
        <f>'REG y VAL POE - AESR - ESR'!AB3687</f>
        <v>0</v>
      </c>
      <c r="AYW48" s="57">
        <f>'REG y VAL POE - AESR - ESR'!AC3687</f>
        <v>0</v>
      </c>
      <c r="AYX48" s="57">
        <f>'REG y VAL POE - AESR - ESR'!AD3687</f>
        <v>0</v>
      </c>
      <c r="AYY48" s="57">
        <f>'REG y VAL POE - AESR - ESR'!AE3687</f>
        <v>0</v>
      </c>
      <c r="AYZ48" s="57">
        <f>'REG y VAL POE - AESR - ESR'!AF3687</f>
        <v>0</v>
      </c>
      <c r="AZA48" s="57">
        <f>'REG y VAL POE - AESR - ESR'!AG3687</f>
        <v>0</v>
      </c>
      <c r="AZB48" s="57">
        <f>'REG y VAL POE - AESR - ESR'!AH3687</f>
        <v>0</v>
      </c>
      <c r="AZC48" s="57">
        <f>'REG y VAL POE - AESR - ESR'!AI3687</f>
        <v>0</v>
      </c>
      <c r="AZD48" s="57">
        <f>'REG y VAL POE - AESR - ESR'!AJ3687</f>
        <v>0</v>
      </c>
      <c r="AZE48" s="57">
        <f>'REG y VAL POE - AESR - ESR'!AK3687</f>
        <v>0</v>
      </c>
      <c r="AZF48" s="57">
        <f>'REG y VAL POE - AESR - ESR'!AL3687</f>
        <v>0</v>
      </c>
      <c r="AZG48" s="57">
        <f>'REG y VAL POE - AESR - ESR'!AM3687</f>
        <v>0</v>
      </c>
      <c r="AZH48" s="57">
        <f>'REG y VAL POE - AESR - ESR'!AN3687</f>
        <v>0</v>
      </c>
      <c r="AZI48" s="57">
        <f>'REG y VAL POE - AESR - ESR'!AO3687</f>
        <v>0</v>
      </c>
      <c r="AZJ48" s="57">
        <f>'REG y VAL POE - AESR - ESR'!AP3687</f>
        <v>0</v>
      </c>
      <c r="AZK48" s="57">
        <f>'REG y VAL POE - AESR - ESR'!AQ3687</f>
        <v>0</v>
      </c>
      <c r="AZL48" s="57">
        <f>'REG y VAL POE - AESR - ESR'!AR3687</f>
        <v>0</v>
      </c>
      <c r="AZM48" s="57">
        <f>'REG y VAL POE - AESR - ESR'!AS3687</f>
        <v>0</v>
      </c>
      <c r="AZN48" s="57" t="str">
        <f>'REG y VAL POE - AESR - ESR'!B3688</f>
        <v xml:space="preserve">Madrigal Hernandez Roberto Carlos </v>
      </c>
      <c r="AZO48" s="57">
        <f>'REG y VAL POE - AESR - ESR'!C3688</f>
        <v>0</v>
      </c>
      <c r="AZP48" s="56">
        <f>'REG y VAL POE - AESR - ESR'!D3688</f>
        <v>23137415</v>
      </c>
      <c r="AZQ48" s="56">
        <f>'REG y VAL POE - AESR - ESR'!E3688</f>
        <v>0</v>
      </c>
      <c r="AZR48" s="57">
        <f>'REG y VAL POE - AESR - ESR'!F3688</f>
        <v>0</v>
      </c>
      <c r="AZS48" s="390">
        <f>'REG y VAL POE - AESR - ESR'!G3688</f>
        <v>0</v>
      </c>
      <c r="AZT48" s="390">
        <f>'REG y VAL POE - AESR - ESR'!H3688</f>
        <v>0</v>
      </c>
      <c r="AZU48" s="57">
        <f>'REG y VAL POE - AESR - ESR'!I3688</f>
        <v>0</v>
      </c>
      <c r="AZV48" s="57">
        <f>'REG y VAL POE - AESR - ESR'!J3688</f>
        <v>0</v>
      </c>
      <c r="AZW48" s="57">
        <f>'REG y VAL POE - AESR - ESR'!K3688</f>
        <v>0</v>
      </c>
      <c r="AZX48" s="57">
        <f>'REG y VAL POE - AESR - ESR'!L3688</f>
        <v>0</v>
      </c>
      <c r="AZY48" s="57">
        <f>'REG y VAL POE - AESR - ESR'!M3688</f>
        <v>0</v>
      </c>
      <c r="AZZ48" s="57">
        <f>'REG y VAL POE - AESR - ESR'!N3688</f>
        <v>0</v>
      </c>
      <c r="BAA48" s="57">
        <f>'REG y VAL POE - AESR - ESR'!O3688</f>
        <v>0</v>
      </c>
      <c r="BAB48" s="57">
        <f>'REG y VAL POE - AESR - ESR'!P3688</f>
        <v>0</v>
      </c>
      <c r="BAC48" s="57">
        <f>'REG y VAL POE - AESR - ESR'!Q3688</f>
        <v>0</v>
      </c>
      <c r="BAD48" s="57">
        <f>'REG y VAL POE - AESR - ESR'!R3688</f>
        <v>0</v>
      </c>
      <c r="BAE48" s="57">
        <f>'REG y VAL POE - AESR - ESR'!S3688</f>
        <v>0</v>
      </c>
      <c r="BAF48" s="57">
        <f>'REG y VAL POE - AESR - ESR'!T3688</f>
        <v>0</v>
      </c>
      <c r="BAG48" s="57">
        <f>'REG y VAL POE - AESR - ESR'!U3688</f>
        <v>0</v>
      </c>
      <c r="BAH48" s="57">
        <f>'REG y VAL POE - AESR - ESR'!V3688</f>
        <v>0</v>
      </c>
      <c r="BAI48" s="57">
        <f>'REG y VAL POE - AESR - ESR'!W3688</f>
        <v>0</v>
      </c>
      <c r="BAJ48" s="57">
        <f>'REG y VAL POE - AESR - ESR'!X3688</f>
        <v>0</v>
      </c>
      <c r="BAK48" s="57">
        <f>'REG y VAL POE - AESR - ESR'!Y3688</f>
        <v>0</v>
      </c>
      <c r="BAL48" s="57">
        <f>'REG y VAL POE - AESR - ESR'!Z3688</f>
        <v>0</v>
      </c>
      <c r="BAM48" s="57">
        <f>'REG y VAL POE - AESR - ESR'!AA3688</f>
        <v>0</v>
      </c>
      <c r="BAN48" s="57">
        <f>'REG y VAL POE - AESR - ESR'!AB3688</f>
        <v>0</v>
      </c>
      <c r="BAO48" s="57">
        <f>'REG y VAL POE - AESR - ESR'!AC3688</f>
        <v>0</v>
      </c>
      <c r="BAP48" s="57">
        <f>'REG y VAL POE - AESR - ESR'!AD3688</f>
        <v>0</v>
      </c>
      <c r="BAQ48" s="57">
        <f>'REG y VAL POE - AESR - ESR'!AE3688</f>
        <v>0</v>
      </c>
      <c r="BAR48" s="57">
        <f>'REG y VAL POE - AESR - ESR'!AF3688</f>
        <v>0</v>
      </c>
      <c r="BAS48" s="57">
        <f>'REG y VAL POE - AESR - ESR'!AG3688</f>
        <v>0</v>
      </c>
      <c r="BAT48" s="57">
        <f>'REG y VAL POE - AESR - ESR'!AH3688</f>
        <v>0</v>
      </c>
      <c r="BAU48" s="57">
        <f>'REG y VAL POE - AESR - ESR'!AI3688</f>
        <v>0</v>
      </c>
      <c r="BAV48" s="57">
        <f>'REG y VAL POE - AESR - ESR'!AJ3688</f>
        <v>0</v>
      </c>
      <c r="BAW48" s="57">
        <f>'REG y VAL POE - AESR - ESR'!AK3688</f>
        <v>0</v>
      </c>
      <c r="BAX48" s="57">
        <f>'REG y VAL POE - AESR - ESR'!AL3688</f>
        <v>0</v>
      </c>
      <c r="BAY48" s="57">
        <f>'REG y VAL POE - AESR - ESR'!AM3688</f>
        <v>0</v>
      </c>
      <c r="BAZ48" s="57">
        <f>'REG y VAL POE - AESR - ESR'!AN3688</f>
        <v>0</v>
      </c>
      <c r="BBA48" s="57">
        <f>'REG y VAL POE - AESR - ESR'!AO3688</f>
        <v>0</v>
      </c>
      <c r="BBB48" s="57">
        <f>'REG y VAL POE - AESR - ESR'!AP3688</f>
        <v>0</v>
      </c>
      <c r="BBC48" s="57">
        <f>'REG y VAL POE - AESR - ESR'!AQ3688</f>
        <v>0</v>
      </c>
      <c r="BBD48" s="57">
        <f>'REG y VAL POE - AESR - ESR'!AR3688</f>
        <v>0</v>
      </c>
      <c r="BBE48" s="57">
        <f>'REG y VAL POE - AESR - ESR'!AS3688</f>
        <v>0</v>
      </c>
      <c r="BBF48" s="57" t="str">
        <f>'REG y VAL POE - AESR - ESR'!B3689</f>
        <v>Marin Rivera Carlos Dario</v>
      </c>
      <c r="BBG48" s="57" t="str">
        <f>'REG y VAL POE - AESR - ESR'!C3689</f>
        <v>POE-RG</v>
      </c>
      <c r="BBH48" s="56">
        <f>'REG y VAL POE - AESR - ESR'!D3689</f>
        <v>23094889</v>
      </c>
      <c r="BBI48" s="56">
        <f>'REG y VAL POE - AESR - ESR'!E3689</f>
        <v>0</v>
      </c>
      <c r="BBJ48" s="57">
        <f>'REG y VAL POE - AESR - ESR'!F3689</f>
        <v>0</v>
      </c>
      <c r="BBK48" s="390">
        <f>'REG y VAL POE - AESR - ESR'!G3689</f>
        <v>45377</v>
      </c>
      <c r="BBL48" s="390">
        <f>'REG y VAL POE - AESR - ESR'!H3689</f>
        <v>45742</v>
      </c>
      <c r="BBM48" s="57" t="str">
        <f>'REG y VAL POE - AESR - ESR'!I3689</f>
        <v>SI</v>
      </c>
      <c r="BBN48" s="57" t="str">
        <f>'REG y VAL POE - AESR - ESR'!J3689</f>
        <v>Vigente</v>
      </c>
      <c r="BBO48" s="57" t="str">
        <f>'REG y VAL POE - AESR - ESR'!K3689</f>
        <v>SI</v>
      </c>
      <c r="BBP48" s="57" t="str">
        <f>'REG y VAL POE - AESR - ESR'!L3689</f>
        <v>Vigente</v>
      </c>
      <c r="BBQ48" s="57" t="str">
        <f>'REG y VAL POE - AESR - ESR'!M3689</f>
        <v>NO</v>
      </c>
      <c r="BBR48" s="57" t="str">
        <f>'REG y VAL POE - AESR - ESR'!N3689</f>
        <v>Apendice ByC no llenos-c/historial aparte-falta firma RL</v>
      </c>
      <c r="BBS48" s="57" t="str">
        <f>'REG y VAL POE - AESR - ESR'!O3689</f>
        <v>SI</v>
      </c>
      <c r="BBT48" s="57">
        <f>'REG y VAL POE - AESR - ESR'!P3689</f>
        <v>0</v>
      </c>
      <c r="BBU48" s="57" t="str">
        <f>'REG y VAL POE - AESR - ESR'!Q3689</f>
        <v>SI</v>
      </c>
      <c r="BBV48" s="57" t="str">
        <f>'REG y VAL POE - AESR - ESR'!R3689</f>
        <v>SI</v>
      </c>
      <c r="BBW48" s="57" t="str">
        <f>'REG y VAL POE - AESR - ESR'!S3689</f>
        <v>SI</v>
      </c>
      <c r="BBX48" s="57" t="str">
        <f>'REG y VAL POE - AESR - ESR'!T3689</f>
        <v>NO</v>
      </c>
      <c r="BBY48" s="57" t="str">
        <f>'REG y VAL POE - AESR - ESR'!U3689</f>
        <v>NO</v>
      </c>
      <c r="BBZ48" s="57">
        <f>'REG y VAL POE - AESR - ESR'!V3689</f>
        <v>0</v>
      </c>
      <c r="BCA48" s="57" t="str">
        <f>'REG y VAL POE - AESR - ESR'!W3689</f>
        <v>Si</v>
      </c>
      <c r="BCB48" s="57">
        <f>'REG y VAL POE - AESR - ESR'!X3689</f>
        <v>0</v>
      </c>
      <c r="BCC48" s="57">
        <f>'REG y VAL POE - AESR - ESR'!Y3689</f>
        <v>0</v>
      </c>
      <c r="BCD48" s="57" t="str">
        <f>'REG y VAL POE - AESR - ESR'!Z3689</f>
        <v>SI</v>
      </c>
      <c r="BCE48" s="57">
        <f>'REG y VAL POE - AESR - ESR'!AA3689</f>
        <v>0</v>
      </c>
      <c r="BCF48" s="57">
        <f>'REG y VAL POE - AESR - ESR'!AB3689</f>
        <v>0</v>
      </c>
      <c r="BCG48" s="57">
        <f>'REG y VAL POE - AESR - ESR'!AC3689</f>
        <v>0</v>
      </c>
      <c r="BCH48" s="57">
        <f>'REG y VAL POE - AESR - ESR'!AD3689</f>
        <v>0</v>
      </c>
      <c r="BCI48" s="57">
        <f>'REG y VAL POE - AESR - ESR'!AE3689</f>
        <v>0</v>
      </c>
      <c r="BCJ48" s="57" t="str">
        <f>'REG y VAL POE - AESR - ESR'!AF3689</f>
        <v>SI</v>
      </c>
      <c r="BCK48" s="57">
        <f>'REG y VAL POE - AESR - ESR'!AG3689</f>
        <v>0</v>
      </c>
      <c r="BCL48" s="57">
        <f>'REG y VAL POE - AESR - ESR'!AH3689</f>
        <v>0</v>
      </c>
      <c r="BCM48" s="57">
        <f>'REG y VAL POE - AESR - ESR'!AI3689</f>
        <v>0</v>
      </c>
      <c r="BCN48" s="57">
        <f>'REG y VAL POE - AESR - ESR'!AJ3689</f>
        <v>0</v>
      </c>
      <c r="BCO48" s="57">
        <f>'REG y VAL POE - AESR - ESR'!AK3689</f>
        <v>0</v>
      </c>
      <c r="BCP48" s="57">
        <f>'REG y VAL POE - AESR - ESR'!AL3689</f>
        <v>0</v>
      </c>
      <c r="BCQ48" s="57">
        <f>'REG y VAL POE - AESR - ESR'!AM3689</f>
        <v>0</v>
      </c>
      <c r="BCR48" s="57">
        <f>'REG y VAL POE - AESR - ESR'!AN3689</f>
        <v>0</v>
      </c>
      <c r="BCS48" s="57">
        <f>'REG y VAL POE - AESR - ESR'!AO3689</f>
        <v>0</v>
      </c>
      <c r="BCT48" s="57">
        <f>'REG y VAL POE - AESR - ESR'!AP3689</f>
        <v>0</v>
      </c>
      <c r="BCU48" s="57">
        <f>'REG y VAL POE - AESR - ESR'!AQ3689</f>
        <v>0</v>
      </c>
      <c r="BCV48" s="57">
        <f>'REG y VAL POE - AESR - ESR'!AR3689</f>
        <v>0</v>
      </c>
      <c r="BCW48" s="57">
        <f>'REG y VAL POE - AESR - ESR'!AS3689</f>
        <v>0</v>
      </c>
      <c r="BCX48" s="57" t="str">
        <f>'REG y VAL POE - AESR - ESR'!B3690</f>
        <v xml:space="preserve">Medina Arrioja Lorenzo </v>
      </c>
      <c r="BCY48" s="57" t="str">
        <f>'REG y VAL POE - AESR - ESR'!C3690</f>
        <v>POE-RG</v>
      </c>
      <c r="BCZ48" s="56">
        <f>'REG y VAL POE - AESR - ESR'!D3690</f>
        <v>23199706</v>
      </c>
      <c r="BDA48" s="56">
        <f>'REG y VAL POE - AESR - ESR'!E3690</f>
        <v>0</v>
      </c>
      <c r="BDB48" s="57">
        <f>'REG y VAL POE - AESR - ESR'!F3690</f>
        <v>0</v>
      </c>
      <c r="BDC48" s="390">
        <f>'REG y VAL POE - AESR - ESR'!G3690</f>
        <v>45376</v>
      </c>
      <c r="BDD48" s="390">
        <f>'REG y VAL POE - AESR - ESR'!H3690</f>
        <v>45741</v>
      </c>
      <c r="BDE48" s="57" t="str">
        <f>'REG y VAL POE - AESR - ESR'!I3690</f>
        <v>SI</v>
      </c>
      <c r="BDF48" s="57" t="str">
        <f>'REG y VAL POE - AESR - ESR'!J3690</f>
        <v>Vigente</v>
      </c>
      <c r="BDG48" s="57" t="str">
        <f>'REG y VAL POE - AESR - ESR'!K3690</f>
        <v>SI</v>
      </c>
      <c r="BDH48" s="57" t="str">
        <f>'REG y VAL POE - AESR - ESR'!L3690</f>
        <v>Vigente</v>
      </c>
      <c r="BDI48" s="57" t="str">
        <f>'REG y VAL POE - AESR - ESR'!M3690</f>
        <v>NO</v>
      </c>
      <c r="BDJ48" s="57" t="str">
        <f>'REG y VAL POE - AESR - ESR'!N3690</f>
        <v>Apendice ByC no llenos-c/historial aparte-falta firma RL-foto no legible</v>
      </c>
      <c r="BDK48" s="57" t="str">
        <f>'REG y VAL POE - AESR - ESR'!O3690</f>
        <v>CARTA PASANTE</v>
      </c>
      <c r="BDL48" s="57">
        <f>'REG y VAL POE - AESR - ESR'!P3690</f>
        <v>0</v>
      </c>
      <c r="BDM48" s="57" t="str">
        <f>'REG y VAL POE - AESR - ESR'!Q3690</f>
        <v>SI</v>
      </c>
      <c r="BDN48" s="57" t="str">
        <f>'REG y VAL POE - AESR - ESR'!R3690</f>
        <v>SI</v>
      </c>
      <c r="BDO48" s="57" t="str">
        <f>'REG y VAL POE - AESR - ESR'!S3690</f>
        <v>SI</v>
      </c>
      <c r="BDP48" s="57" t="str">
        <f>'REG y VAL POE - AESR - ESR'!T3690</f>
        <v>NO</v>
      </c>
      <c r="BDQ48" s="57" t="str">
        <f>'REG y VAL POE - AESR - ESR'!U3690</f>
        <v>NO</v>
      </c>
      <c r="BDR48" s="57" t="str">
        <f>'REG y VAL POE - AESR - ESR'!V3690</f>
        <v>SI</v>
      </c>
      <c r="BDS48" s="57">
        <f>'REG y VAL POE - AESR - ESR'!W3690</f>
        <v>0</v>
      </c>
      <c r="BDT48" s="57">
        <f>'REG y VAL POE - AESR - ESR'!X3690</f>
        <v>0</v>
      </c>
      <c r="BDU48" s="57">
        <f>'REG y VAL POE - AESR - ESR'!Y3690</f>
        <v>0</v>
      </c>
      <c r="BDV48" s="57" t="str">
        <f>'REG y VAL POE - AESR - ESR'!Z3690</f>
        <v>SI</v>
      </c>
      <c r="BDW48" s="57">
        <f>'REG y VAL POE - AESR - ESR'!AA3690</f>
        <v>0</v>
      </c>
      <c r="BDX48" s="57">
        <f>'REG y VAL POE - AESR - ESR'!AB3690</f>
        <v>0</v>
      </c>
      <c r="BDY48" s="57">
        <f>'REG y VAL POE - AESR - ESR'!AC3690</f>
        <v>0</v>
      </c>
      <c r="BDZ48" s="57">
        <f>'REG y VAL POE - AESR - ESR'!AD3690</f>
        <v>0</v>
      </c>
      <c r="BEA48" s="57">
        <f>'REG y VAL POE - AESR - ESR'!AE3690</f>
        <v>0</v>
      </c>
      <c r="BEB48" s="57">
        <f>'REG y VAL POE - AESR - ESR'!AF3690</f>
        <v>0</v>
      </c>
      <c r="BEC48" s="57">
        <f>'REG y VAL POE - AESR - ESR'!AG3690</f>
        <v>0</v>
      </c>
      <c r="BED48" s="57">
        <f>'REG y VAL POE - AESR - ESR'!AH3690</f>
        <v>0</v>
      </c>
      <c r="BEE48" s="57">
        <f>'REG y VAL POE - AESR - ESR'!AI3690</f>
        <v>0</v>
      </c>
      <c r="BEF48" s="57">
        <f>'REG y VAL POE - AESR - ESR'!AJ3690</f>
        <v>0</v>
      </c>
      <c r="BEG48" s="57">
        <f>'REG y VAL POE - AESR - ESR'!AK3690</f>
        <v>0</v>
      </c>
      <c r="BEH48" s="57">
        <f>'REG y VAL POE - AESR - ESR'!AL3690</f>
        <v>0</v>
      </c>
      <c r="BEI48" s="57">
        <f>'REG y VAL POE - AESR - ESR'!AM3690</f>
        <v>0</v>
      </c>
      <c r="BEJ48" s="57">
        <f>'REG y VAL POE - AESR - ESR'!AN3690</f>
        <v>0</v>
      </c>
      <c r="BEK48" s="57">
        <f>'REG y VAL POE - AESR - ESR'!AO3690</f>
        <v>0</v>
      </c>
      <c r="BEL48" s="57">
        <f>'REG y VAL POE - AESR - ESR'!AP3690</f>
        <v>0</v>
      </c>
      <c r="BEM48" s="57">
        <f>'REG y VAL POE - AESR - ESR'!AQ3690</f>
        <v>0</v>
      </c>
      <c r="BEN48" s="57" t="str">
        <f>'REG y VAL POE - AESR - ESR'!AR3690</f>
        <v>VACIS PORTAL</v>
      </c>
      <c r="BEO48" s="57">
        <f>'REG y VAL POE - AESR - ESR'!AS3690</f>
        <v>0</v>
      </c>
      <c r="BEP48" s="57" t="str">
        <f>'REG y VAL POE - AESR - ESR'!B3691</f>
        <v xml:space="preserve">Meja Lucio Daniel </v>
      </c>
      <c r="BEQ48" s="57">
        <f>'REG y VAL POE - AESR - ESR'!C3691</f>
        <v>0</v>
      </c>
      <c r="BER48" s="56">
        <f>'REG y VAL POE - AESR - ESR'!D3691</f>
        <v>23094897</v>
      </c>
      <c r="BES48" s="56">
        <f>'REG y VAL POE - AESR - ESR'!E3691</f>
        <v>0</v>
      </c>
      <c r="BET48" s="57">
        <f>'REG y VAL POE - AESR - ESR'!F3691</f>
        <v>0</v>
      </c>
      <c r="BEU48" s="390">
        <f>'REG y VAL POE - AESR - ESR'!G3691</f>
        <v>0</v>
      </c>
      <c r="BEV48" s="390">
        <f>'REG y VAL POE - AESR - ESR'!H3691</f>
        <v>0</v>
      </c>
      <c r="BEW48" s="57">
        <f>'REG y VAL POE - AESR - ESR'!I3691</f>
        <v>0</v>
      </c>
      <c r="BEX48" s="57">
        <f>'REG y VAL POE - AESR - ESR'!J3691</f>
        <v>0</v>
      </c>
      <c r="BEY48" s="57">
        <f>'REG y VAL POE - AESR - ESR'!K3691</f>
        <v>0</v>
      </c>
      <c r="BEZ48" s="57">
        <f>'REG y VAL POE - AESR - ESR'!L3691</f>
        <v>0</v>
      </c>
      <c r="BFA48" s="57">
        <f>'REG y VAL POE - AESR - ESR'!M3691</f>
        <v>0</v>
      </c>
      <c r="BFB48" s="57">
        <f>'REG y VAL POE - AESR - ESR'!N3691</f>
        <v>0</v>
      </c>
      <c r="BFC48" s="57">
        <f>'REG y VAL POE - AESR - ESR'!O3691</f>
        <v>0</v>
      </c>
      <c r="BFD48" s="57">
        <f>'REG y VAL POE - AESR - ESR'!P3691</f>
        <v>0</v>
      </c>
      <c r="BFE48" s="57">
        <f>'REG y VAL POE - AESR - ESR'!Q3691</f>
        <v>0</v>
      </c>
      <c r="BFF48" s="57">
        <f>'REG y VAL POE - AESR - ESR'!R3691</f>
        <v>0</v>
      </c>
      <c r="BFG48" s="57">
        <f>'REG y VAL POE - AESR - ESR'!S3691</f>
        <v>0</v>
      </c>
      <c r="BFH48" s="57">
        <f>'REG y VAL POE - AESR - ESR'!T3691</f>
        <v>0</v>
      </c>
      <c r="BFI48" s="57">
        <f>'REG y VAL POE - AESR - ESR'!U3691</f>
        <v>0</v>
      </c>
      <c r="BFJ48" s="57">
        <f>'REG y VAL POE - AESR - ESR'!V3691</f>
        <v>0</v>
      </c>
      <c r="BFK48" s="57">
        <f>'REG y VAL POE - AESR - ESR'!W3691</f>
        <v>0</v>
      </c>
      <c r="BFL48" s="57">
        <f>'REG y VAL POE - AESR - ESR'!X3691</f>
        <v>0</v>
      </c>
      <c r="BFM48" s="57">
        <f>'REG y VAL POE - AESR - ESR'!Y3691</f>
        <v>0</v>
      </c>
      <c r="BFN48" s="57">
        <f>'REG y VAL POE - AESR - ESR'!Z3691</f>
        <v>0</v>
      </c>
      <c r="BFO48" s="57">
        <f>'REG y VAL POE - AESR - ESR'!AA3691</f>
        <v>0</v>
      </c>
      <c r="BFP48" s="57">
        <f>'REG y VAL POE - AESR - ESR'!AB3691</f>
        <v>0</v>
      </c>
      <c r="BFQ48" s="57">
        <f>'REG y VAL POE - AESR - ESR'!AC3691</f>
        <v>0</v>
      </c>
      <c r="BFR48" s="57">
        <f>'REG y VAL POE - AESR - ESR'!AD3691</f>
        <v>0</v>
      </c>
      <c r="BFS48" s="57">
        <f>'REG y VAL POE - AESR - ESR'!AE3691</f>
        <v>0</v>
      </c>
      <c r="BFT48" s="57">
        <f>'REG y VAL POE - AESR - ESR'!AF3691</f>
        <v>0</v>
      </c>
      <c r="BFU48" s="57">
        <f>'REG y VAL POE - AESR - ESR'!AG3691</f>
        <v>0</v>
      </c>
      <c r="BFV48" s="57">
        <f>'REG y VAL POE - AESR - ESR'!AH3691</f>
        <v>0</v>
      </c>
      <c r="BFW48" s="57">
        <f>'REG y VAL POE - AESR - ESR'!AI3691</f>
        <v>0</v>
      </c>
      <c r="BFX48" s="57">
        <f>'REG y VAL POE - AESR - ESR'!AJ3691</f>
        <v>0</v>
      </c>
      <c r="BFY48" s="57">
        <f>'REG y VAL POE - AESR - ESR'!AK3691</f>
        <v>0</v>
      </c>
      <c r="BFZ48" s="57">
        <f>'REG y VAL POE - AESR - ESR'!AL3691</f>
        <v>0</v>
      </c>
      <c r="BGA48" s="57">
        <f>'REG y VAL POE - AESR - ESR'!AM3691</f>
        <v>0</v>
      </c>
      <c r="BGB48" s="57">
        <f>'REG y VAL POE - AESR - ESR'!AN3691</f>
        <v>0</v>
      </c>
      <c r="BGC48" s="57">
        <f>'REG y VAL POE - AESR - ESR'!AO3691</f>
        <v>0</v>
      </c>
      <c r="BGD48" s="57">
        <f>'REG y VAL POE - AESR - ESR'!AP3691</f>
        <v>0</v>
      </c>
      <c r="BGE48" s="57">
        <f>'REG y VAL POE - AESR - ESR'!AQ3691</f>
        <v>0</v>
      </c>
      <c r="BGF48" s="57">
        <f>'REG y VAL POE - AESR - ESR'!AR3691</f>
        <v>0</v>
      </c>
      <c r="BGG48" s="57">
        <f>'REG y VAL POE - AESR - ESR'!AS3691</f>
        <v>0</v>
      </c>
      <c r="BGH48" s="57" t="str">
        <f>'REG y VAL POE - AESR - ESR'!B3692</f>
        <v>Montero Solis Juan Jose</v>
      </c>
      <c r="BGI48" s="57" t="str">
        <f>'REG y VAL POE - AESR - ESR'!C3692</f>
        <v>POE-RG</v>
      </c>
      <c r="BGJ48" s="56">
        <f>'REG y VAL POE - AESR - ESR'!D3692</f>
        <v>23192524</v>
      </c>
      <c r="BGK48" s="56">
        <f>'REG y VAL POE - AESR - ESR'!E3692</f>
        <v>0</v>
      </c>
      <c r="BGL48" s="57">
        <f>'REG y VAL POE - AESR - ESR'!F3692</f>
        <v>0</v>
      </c>
      <c r="BGM48" s="390">
        <f>'REG y VAL POE - AESR - ESR'!G3692</f>
        <v>45383</v>
      </c>
      <c r="BGN48" s="390">
        <f>'REG y VAL POE - AESR - ESR'!H3692</f>
        <v>45748</v>
      </c>
      <c r="BGO48" s="57" t="str">
        <f>'REG y VAL POE - AESR - ESR'!I3692</f>
        <v>SI</v>
      </c>
      <c r="BGP48" s="57" t="str">
        <f>'REG y VAL POE - AESR - ESR'!J3692</f>
        <v>Vigente</v>
      </c>
      <c r="BGQ48" s="57" t="str">
        <f>'REG y VAL POE - AESR - ESR'!K3692</f>
        <v>SI</v>
      </c>
      <c r="BGR48" s="57" t="str">
        <f>'REG y VAL POE - AESR - ESR'!L3692</f>
        <v>Vigente</v>
      </c>
      <c r="BGS48" s="57" t="str">
        <f>'REG y VAL POE - AESR - ESR'!M3692</f>
        <v>NO</v>
      </c>
      <c r="BGT48" s="57" t="str">
        <f>'REG y VAL POE - AESR - ESR'!N3692</f>
        <v>Apendice ByC no llenos-c/historial aparte-falta firma RL</v>
      </c>
      <c r="BGU48" s="57" t="str">
        <f>'REG y VAL POE - AESR - ESR'!O3692</f>
        <v>SI</v>
      </c>
      <c r="BGV48" s="57">
        <f>'REG y VAL POE - AESR - ESR'!P3692</f>
        <v>0</v>
      </c>
      <c r="BGW48" s="57" t="str">
        <f>'REG y VAL POE - AESR - ESR'!Q3692</f>
        <v>SI</v>
      </c>
      <c r="BGX48" s="57" t="str">
        <f>'REG y VAL POE - AESR - ESR'!R3692</f>
        <v>SI</v>
      </c>
      <c r="BGY48" s="57" t="str">
        <f>'REG y VAL POE - AESR - ESR'!S3692</f>
        <v>SI</v>
      </c>
      <c r="BGZ48" s="57" t="str">
        <f>'REG y VAL POE - AESR - ESR'!T3692</f>
        <v>NO</v>
      </c>
      <c r="BHA48" s="57" t="str">
        <f>'REG y VAL POE - AESR - ESR'!U3692</f>
        <v>NO</v>
      </c>
      <c r="BHB48" s="57" t="str">
        <f>'REG y VAL POE - AESR - ESR'!V3692</f>
        <v>SI</v>
      </c>
      <c r="BHC48" s="57" t="str">
        <f>'REG y VAL POE - AESR - ESR'!W3692</f>
        <v>Si</v>
      </c>
      <c r="BHD48" s="57">
        <f>'REG y VAL POE - AESR - ESR'!X3692</f>
        <v>0</v>
      </c>
      <c r="BHE48" s="57">
        <f>'REG y VAL POE - AESR - ESR'!Y3692</f>
        <v>0</v>
      </c>
      <c r="BHF48" s="57" t="str">
        <f>'REG y VAL POE - AESR - ESR'!Z3692</f>
        <v>SI</v>
      </c>
      <c r="BHG48" s="57">
        <f>'REG y VAL POE - AESR - ESR'!AA3692</f>
        <v>0</v>
      </c>
      <c r="BHH48" s="57">
        <f>'REG y VAL POE - AESR - ESR'!AB3692</f>
        <v>0</v>
      </c>
      <c r="BHI48" s="57">
        <f>'REG y VAL POE - AESR - ESR'!AC3692</f>
        <v>0</v>
      </c>
      <c r="BHJ48" s="57">
        <f>'REG y VAL POE - AESR - ESR'!AD3692</f>
        <v>0</v>
      </c>
      <c r="BHK48" s="57">
        <f>'REG y VAL POE - AESR - ESR'!AE3692</f>
        <v>0</v>
      </c>
      <c r="BHL48" s="57">
        <f>'REG y VAL POE - AESR - ESR'!AF3692</f>
        <v>0</v>
      </c>
      <c r="BHM48" s="57">
        <f>'REG y VAL POE - AESR - ESR'!AG3692</f>
        <v>0</v>
      </c>
      <c r="BHN48" s="57">
        <f>'REG y VAL POE - AESR - ESR'!AH3692</f>
        <v>0</v>
      </c>
      <c r="BHO48" s="57">
        <f>'REG y VAL POE - AESR - ESR'!AI3692</f>
        <v>0</v>
      </c>
      <c r="BHP48" s="57">
        <f>'REG y VAL POE - AESR - ESR'!AJ3692</f>
        <v>0</v>
      </c>
      <c r="BHQ48" s="57">
        <f>'REG y VAL POE - AESR - ESR'!AK3692</f>
        <v>0</v>
      </c>
      <c r="BHR48" s="57">
        <f>'REG y VAL POE - AESR - ESR'!AL3692</f>
        <v>0</v>
      </c>
      <c r="BHS48" s="57">
        <f>'REG y VAL POE - AESR - ESR'!AM3692</f>
        <v>0</v>
      </c>
      <c r="BHT48" s="57">
        <f>'REG y VAL POE - AESR - ESR'!AN3692</f>
        <v>0</v>
      </c>
      <c r="BHU48" s="57">
        <f>'REG y VAL POE - AESR - ESR'!AO3692</f>
        <v>0</v>
      </c>
      <c r="BHV48" s="57">
        <f>'REG y VAL POE - AESR - ESR'!AP3692</f>
        <v>0</v>
      </c>
      <c r="BHW48" s="57">
        <f>'REG y VAL POE - AESR - ESR'!AQ3692</f>
        <v>0</v>
      </c>
      <c r="BHX48" s="57">
        <f>'REG y VAL POE - AESR - ESR'!AR3692</f>
        <v>0</v>
      </c>
      <c r="BHY48" s="57">
        <f>'REG y VAL POE - AESR - ESR'!AS3692</f>
        <v>0</v>
      </c>
      <c r="BHZ48" s="57" t="str">
        <f>'REG y VAL POE - AESR - ESR'!B3693</f>
        <v>Munoz Basulto Kenia Yaneth</v>
      </c>
      <c r="BIA48" s="57" t="str">
        <f>'REG y VAL POE - AESR - ESR'!C3693</f>
        <v>POE-RX</v>
      </c>
      <c r="BIB48" s="56">
        <f>'REG y VAL POE - AESR - ESR'!D3693</f>
        <v>23163156</v>
      </c>
      <c r="BIC48" s="56">
        <f>'REG y VAL POE - AESR - ESR'!E3693</f>
        <v>0</v>
      </c>
      <c r="BID48" s="57">
        <f>'REG y VAL POE - AESR - ESR'!F3693</f>
        <v>0</v>
      </c>
      <c r="BIE48" s="390">
        <f>'REG y VAL POE - AESR - ESR'!G3693</f>
        <v>45377</v>
      </c>
      <c r="BIF48" s="390">
        <f>'REG y VAL POE - AESR - ESR'!H3693</f>
        <v>45742</v>
      </c>
      <c r="BIG48" s="57" t="str">
        <f>'REG y VAL POE - AESR - ESR'!I3693</f>
        <v>SI</v>
      </c>
      <c r="BIH48" s="57">
        <f>'REG y VAL POE - AESR - ESR'!J3693</f>
        <v>0</v>
      </c>
      <c r="BII48" s="57" t="str">
        <f>'REG y VAL POE - AESR - ESR'!K3693</f>
        <v>SI</v>
      </c>
      <c r="BIJ48" s="57">
        <f>'REG y VAL POE - AESR - ESR'!L3693</f>
        <v>0</v>
      </c>
      <c r="BIK48" s="57" t="str">
        <f>'REG y VAL POE - AESR - ESR'!M3693</f>
        <v>SI</v>
      </c>
      <c r="BIL48" s="57" t="str">
        <f>'REG y VAL POE - AESR - ESR'!N3693</f>
        <v>Apendice ByC no llenos-c/historial aparte-falta firma RL</v>
      </c>
      <c r="BIM48" s="57" t="str">
        <f>'REG y VAL POE - AESR - ESR'!O3693</f>
        <v>ES OTRO DOCUMENTO</v>
      </c>
      <c r="BIN48" s="57">
        <f>'REG y VAL POE - AESR - ESR'!P3693</f>
        <v>0</v>
      </c>
      <c r="BIO48" s="57" t="str">
        <f>'REG y VAL POE - AESR - ESR'!Q3693</f>
        <v>SI</v>
      </c>
      <c r="BIP48" s="57" t="str">
        <f>'REG y VAL POE - AESR - ESR'!R3693</f>
        <v>SI</v>
      </c>
      <c r="BIQ48" s="57" t="str">
        <f>'REG y VAL POE - AESR - ESR'!S3693</f>
        <v>SI</v>
      </c>
      <c r="BIR48" s="57" t="str">
        <f>'REG y VAL POE - AESR - ESR'!T3693</f>
        <v>NO</v>
      </c>
      <c r="BIS48" s="57" t="str">
        <f>'REG y VAL POE - AESR - ESR'!U3693</f>
        <v>NO</v>
      </c>
      <c r="BIT48" s="57" t="str">
        <f>'REG y VAL POE - AESR - ESR'!V3693</f>
        <v>SI</v>
      </c>
      <c r="BIU48" s="57">
        <f>'REG y VAL POE - AESR - ESR'!W3693</f>
        <v>0</v>
      </c>
      <c r="BIV48" s="57">
        <f>'REG y VAL POE - AESR - ESR'!X3693</f>
        <v>0</v>
      </c>
      <c r="BIW48" s="57">
        <f>'REG y VAL POE - AESR - ESR'!Y3693</f>
        <v>0</v>
      </c>
      <c r="BIX48" s="57" t="str">
        <f>'REG y VAL POE - AESR - ESR'!Z3693</f>
        <v>SI</v>
      </c>
      <c r="BIY48" s="57">
        <f>'REG y VAL POE - AESR - ESR'!AA3693</f>
        <v>0</v>
      </c>
      <c r="BIZ48" s="57">
        <f>'REG y VAL POE - AESR - ESR'!AB3693</f>
        <v>0</v>
      </c>
      <c r="BJA48" s="57">
        <f>'REG y VAL POE - AESR - ESR'!AC3693</f>
        <v>0</v>
      </c>
      <c r="BJB48" s="57">
        <f>'REG y VAL POE - AESR - ESR'!AD3693</f>
        <v>0</v>
      </c>
      <c r="BJC48" s="57">
        <f>'REG y VAL POE - AESR - ESR'!AE3693</f>
        <v>0</v>
      </c>
      <c r="BJD48" s="57">
        <f>'REG y VAL POE - AESR - ESR'!AF3693</f>
        <v>0</v>
      </c>
      <c r="BJE48" s="57">
        <f>'REG y VAL POE - AESR - ESR'!AG3693</f>
        <v>0</v>
      </c>
      <c r="BJF48" s="57">
        <f>'REG y VAL POE - AESR - ESR'!AH3693</f>
        <v>0</v>
      </c>
      <c r="BJG48" s="57">
        <f>'REG y VAL POE - AESR - ESR'!AI3693</f>
        <v>0</v>
      </c>
      <c r="BJH48" s="57">
        <f>'REG y VAL POE - AESR - ESR'!AJ3693</f>
        <v>0</v>
      </c>
      <c r="BJI48" s="57">
        <f>'REG y VAL POE - AESR - ESR'!AK3693</f>
        <v>0</v>
      </c>
      <c r="BJJ48" s="57">
        <f>'REG y VAL POE - AESR - ESR'!AL3693</f>
        <v>0</v>
      </c>
      <c r="BJK48" s="57">
        <f>'REG y VAL POE - AESR - ESR'!AM3693</f>
        <v>0</v>
      </c>
      <c r="BJL48" s="57">
        <f>'REG y VAL POE - AESR - ESR'!AN3693</f>
        <v>0</v>
      </c>
      <c r="BJM48" s="57">
        <f>'REG y VAL POE - AESR - ESR'!AO3693</f>
        <v>0</v>
      </c>
      <c r="BJN48" s="57">
        <f>'REG y VAL POE - AESR - ESR'!AP3693</f>
        <v>0</v>
      </c>
      <c r="BJO48" s="57">
        <f>'REG y VAL POE - AESR - ESR'!AQ3693</f>
        <v>0</v>
      </c>
      <c r="BJP48" s="57">
        <f>'REG y VAL POE - AESR - ESR'!AR3693</f>
        <v>0</v>
      </c>
      <c r="BJQ48" s="57">
        <f>'REG y VAL POE - AESR - ESR'!AS3693</f>
        <v>0</v>
      </c>
      <c r="BJR48" s="57" t="str">
        <f>'REG y VAL POE - AESR - ESR'!B3694</f>
        <v>Murillo Utrera Antonio</v>
      </c>
      <c r="BJS48" s="57" t="str">
        <f>'REG y VAL POE - AESR - ESR'!C3694</f>
        <v>POE-GR</v>
      </c>
      <c r="BJT48" s="56">
        <f>'REG y VAL POE - AESR - ESR'!D3694</f>
        <v>22200223</v>
      </c>
      <c r="BJU48" s="56">
        <f>'REG y VAL POE - AESR - ESR'!E3694</f>
        <v>0</v>
      </c>
      <c r="BJV48" s="57">
        <f>'REG y VAL POE - AESR - ESR'!F3694</f>
        <v>0</v>
      </c>
      <c r="BJW48" s="390">
        <f>'REG y VAL POE - AESR - ESR'!G3694</f>
        <v>45383</v>
      </c>
      <c r="BJX48" s="390">
        <f>'REG y VAL POE - AESR - ESR'!H3694</f>
        <v>45748</v>
      </c>
      <c r="BJY48" s="57" t="str">
        <f>'REG y VAL POE - AESR - ESR'!I3694</f>
        <v>SI</v>
      </c>
      <c r="BJZ48" s="57" t="str">
        <f>'REG y VAL POE - AESR - ESR'!J3694</f>
        <v>Vigente</v>
      </c>
      <c r="BKA48" s="57" t="str">
        <f>'REG y VAL POE - AESR - ESR'!K3694</f>
        <v>SI</v>
      </c>
      <c r="BKB48" s="57" t="str">
        <f>'REG y VAL POE - AESR - ESR'!L3694</f>
        <v>Vigente</v>
      </c>
      <c r="BKC48" s="57" t="str">
        <f>'REG y VAL POE - AESR - ESR'!M3694</f>
        <v>NO</v>
      </c>
      <c r="BKD48" s="57" t="str">
        <f>'REG y VAL POE - AESR - ESR'!N3694</f>
        <v>Apendice ByC no llenos-c/historial aparte-falta firma RL</v>
      </c>
      <c r="BKE48" s="57" t="str">
        <f>'REG y VAL POE - AESR - ESR'!O3694</f>
        <v>SI</v>
      </c>
      <c r="BKF48" s="57">
        <f>'REG y VAL POE - AESR - ESR'!P3694</f>
        <v>0</v>
      </c>
      <c r="BKG48" s="57" t="str">
        <f>'REG y VAL POE - AESR - ESR'!Q3694</f>
        <v>SI</v>
      </c>
      <c r="BKH48" s="57" t="str">
        <f>'REG y VAL POE - AESR - ESR'!R3694</f>
        <v>SI</v>
      </c>
      <c r="BKI48" s="57" t="str">
        <f>'REG y VAL POE - AESR - ESR'!S3694</f>
        <v>SI</v>
      </c>
      <c r="BKJ48" s="57" t="str">
        <f>'REG y VAL POE - AESR - ESR'!T3694</f>
        <v>NO</v>
      </c>
      <c r="BKK48" s="57" t="str">
        <f>'REG y VAL POE - AESR - ESR'!U3694</f>
        <v>NO</v>
      </c>
      <c r="BKL48" s="57" t="str">
        <f>'REG y VAL POE - AESR - ESR'!V3694</f>
        <v>SI</v>
      </c>
      <c r="BKM48" s="57">
        <f>'REG y VAL POE - AESR - ESR'!W3694</f>
        <v>0</v>
      </c>
      <c r="BKN48" s="57">
        <f>'REG y VAL POE - AESR - ESR'!X3694</f>
        <v>0</v>
      </c>
      <c r="BKO48" s="57">
        <f>'REG y VAL POE - AESR - ESR'!Y3694</f>
        <v>0</v>
      </c>
      <c r="BKP48" s="57" t="str">
        <f>'REG y VAL POE - AESR - ESR'!Z3694</f>
        <v>SI</v>
      </c>
      <c r="BKQ48" s="57">
        <f>'REG y VAL POE - AESR - ESR'!AA3694</f>
        <v>0</v>
      </c>
      <c r="BKR48" s="57">
        <f>'REG y VAL POE - AESR - ESR'!AB3694</f>
        <v>0</v>
      </c>
      <c r="BKS48" s="57">
        <f>'REG y VAL POE - AESR - ESR'!AC3694</f>
        <v>0</v>
      </c>
      <c r="BKT48" s="57">
        <f>'REG y VAL POE - AESR - ESR'!AD3694</f>
        <v>0</v>
      </c>
      <c r="BKU48" s="57">
        <f>'REG y VAL POE - AESR - ESR'!AE3694</f>
        <v>0</v>
      </c>
      <c r="BKV48" s="57">
        <f>'REG y VAL POE - AESR - ESR'!AF3694</f>
        <v>0</v>
      </c>
      <c r="BKW48" s="57">
        <f>'REG y VAL POE - AESR - ESR'!AG3694</f>
        <v>0</v>
      </c>
      <c r="BKX48" s="57">
        <f>'REG y VAL POE - AESR - ESR'!AH3694</f>
        <v>0</v>
      </c>
      <c r="BKY48" s="57">
        <f>'REG y VAL POE - AESR - ESR'!AI3694</f>
        <v>0</v>
      </c>
      <c r="BKZ48" s="57">
        <f>'REG y VAL POE - AESR - ESR'!AJ3694</f>
        <v>0</v>
      </c>
      <c r="BLA48" s="57">
        <f>'REG y VAL POE - AESR - ESR'!AK3694</f>
        <v>0</v>
      </c>
      <c r="BLB48" s="57">
        <f>'REG y VAL POE - AESR - ESR'!AL3694</f>
        <v>0</v>
      </c>
      <c r="BLC48" s="57" t="str">
        <f>'REG y VAL POE - AESR - ESR'!AM3694</f>
        <v>SI</v>
      </c>
      <c r="BLD48" s="57">
        <f>'REG y VAL POE - AESR - ESR'!AN3694</f>
        <v>0</v>
      </c>
      <c r="BLE48" s="57">
        <f>'REG y VAL POE - AESR - ESR'!AO3694</f>
        <v>0</v>
      </c>
      <c r="BLF48" s="57">
        <f>'REG y VAL POE - AESR - ESR'!AP3694</f>
        <v>0</v>
      </c>
      <c r="BLG48" s="57">
        <f>'REG y VAL POE - AESR - ESR'!AQ3694</f>
        <v>0</v>
      </c>
      <c r="BLH48" s="57" t="str">
        <f>'REG y VAL POE - AESR - ESR'!AR3694</f>
        <v>VACIS PORTAL</v>
      </c>
      <c r="BLI48" s="57" t="str">
        <f>'REG y VAL POE - AESR - ESR'!AS3694</f>
        <v>THSCAN</v>
      </c>
      <c r="BLJ48" s="57" t="str">
        <f>'REG y VAL POE - AESR - ESR'!B3695</f>
        <v xml:space="preserve">Olvera Hernandez Xavier </v>
      </c>
      <c r="BLK48" s="57">
        <f>'REG y VAL POE - AESR - ESR'!C3695</f>
        <v>0</v>
      </c>
      <c r="BLL48" s="56">
        <f>'REG y VAL POE - AESR - ESR'!D3695</f>
        <v>23094820</v>
      </c>
      <c r="BLM48" s="56">
        <f>'REG y VAL POE - AESR - ESR'!E3695</f>
        <v>0</v>
      </c>
      <c r="BLN48" s="57">
        <f>'REG y VAL POE - AESR - ESR'!F3695</f>
        <v>0</v>
      </c>
      <c r="BLO48" s="390">
        <f>'REG y VAL POE - AESR - ESR'!G3695</f>
        <v>0</v>
      </c>
      <c r="BLP48" s="390">
        <f>'REG y VAL POE - AESR - ESR'!H3695</f>
        <v>0</v>
      </c>
      <c r="BLQ48" s="57">
        <f>'REG y VAL POE - AESR - ESR'!I3695</f>
        <v>0</v>
      </c>
      <c r="BLR48" s="57">
        <f>'REG y VAL POE - AESR - ESR'!J3695</f>
        <v>0</v>
      </c>
      <c r="BLS48" s="57">
        <f>'REG y VAL POE - AESR - ESR'!K3695</f>
        <v>0</v>
      </c>
      <c r="BLT48" s="57">
        <f>'REG y VAL POE - AESR - ESR'!L3695</f>
        <v>0</v>
      </c>
      <c r="BLU48" s="57">
        <f>'REG y VAL POE - AESR - ESR'!M3695</f>
        <v>0</v>
      </c>
      <c r="BLV48" s="57">
        <f>'REG y VAL POE - AESR - ESR'!N3695</f>
        <v>0</v>
      </c>
      <c r="BLW48" s="57">
        <f>'REG y VAL POE - AESR - ESR'!O3695</f>
        <v>0</v>
      </c>
      <c r="BLX48" s="57">
        <f>'REG y VAL POE - AESR - ESR'!P3695</f>
        <v>0</v>
      </c>
      <c r="BLY48" s="57">
        <f>'REG y VAL POE - AESR - ESR'!Q3695</f>
        <v>0</v>
      </c>
      <c r="BLZ48" s="57">
        <f>'REG y VAL POE - AESR - ESR'!R3695</f>
        <v>0</v>
      </c>
      <c r="BMA48" s="57">
        <f>'REG y VAL POE - AESR - ESR'!S3695</f>
        <v>0</v>
      </c>
      <c r="BMB48" s="57">
        <f>'REG y VAL POE - AESR - ESR'!T3695</f>
        <v>0</v>
      </c>
      <c r="BMC48" s="57">
        <f>'REG y VAL POE - AESR - ESR'!U3695</f>
        <v>0</v>
      </c>
      <c r="BMD48" s="57">
        <f>'REG y VAL POE - AESR - ESR'!V3695</f>
        <v>0</v>
      </c>
      <c r="BME48" s="57">
        <f>'REG y VAL POE - AESR - ESR'!W3695</f>
        <v>0</v>
      </c>
      <c r="BMF48" s="57">
        <f>'REG y VAL POE - AESR - ESR'!X3695</f>
        <v>0</v>
      </c>
      <c r="BMG48" s="57">
        <f>'REG y VAL POE - AESR - ESR'!Y3695</f>
        <v>0</v>
      </c>
      <c r="BMH48" s="57">
        <f>'REG y VAL POE - AESR - ESR'!Z3695</f>
        <v>0</v>
      </c>
      <c r="BMI48" s="57">
        <f>'REG y VAL POE - AESR - ESR'!AA3695</f>
        <v>0</v>
      </c>
      <c r="BMJ48" s="57">
        <f>'REG y VAL POE - AESR - ESR'!AB3695</f>
        <v>0</v>
      </c>
      <c r="BMK48" s="57">
        <f>'REG y VAL POE - AESR - ESR'!AC3695</f>
        <v>0</v>
      </c>
      <c r="BML48" s="57">
        <f>'REG y VAL POE - AESR - ESR'!AD3695</f>
        <v>0</v>
      </c>
      <c r="BMM48" s="57">
        <f>'REG y VAL POE - AESR - ESR'!AE3695</f>
        <v>0</v>
      </c>
      <c r="BMN48" s="57">
        <f>'REG y VAL POE - AESR - ESR'!AF3695</f>
        <v>0</v>
      </c>
      <c r="BMO48" s="57">
        <f>'REG y VAL POE - AESR - ESR'!AG3695</f>
        <v>0</v>
      </c>
      <c r="BMP48" s="57">
        <f>'REG y VAL POE - AESR - ESR'!AH3695</f>
        <v>0</v>
      </c>
      <c r="BMQ48" s="57">
        <f>'REG y VAL POE - AESR - ESR'!AI3695</f>
        <v>0</v>
      </c>
      <c r="BMR48" s="57">
        <f>'REG y VAL POE - AESR - ESR'!AJ3695</f>
        <v>0</v>
      </c>
      <c r="BMS48" s="57">
        <f>'REG y VAL POE - AESR - ESR'!AK3695</f>
        <v>0</v>
      </c>
      <c r="BMT48" s="57">
        <f>'REG y VAL POE - AESR - ESR'!AL3695</f>
        <v>0</v>
      </c>
      <c r="BMU48" s="57">
        <f>'REG y VAL POE - AESR - ESR'!AM3695</f>
        <v>0</v>
      </c>
      <c r="BMV48" s="57">
        <f>'REG y VAL POE - AESR - ESR'!AN3695</f>
        <v>0</v>
      </c>
      <c r="BMW48" s="57">
        <f>'REG y VAL POE - AESR - ESR'!AO3695</f>
        <v>0</v>
      </c>
      <c r="BMX48" s="57">
        <f>'REG y VAL POE - AESR - ESR'!AP3695</f>
        <v>0</v>
      </c>
      <c r="BMY48" s="57">
        <f>'REG y VAL POE - AESR - ESR'!AQ3695</f>
        <v>0</v>
      </c>
      <c r="BMZ48" s="57">
        <f>'REG y VAL POE - AESR - ESR'!AR3695</f>
        <v>0</v>
      </c>
      <c r="BNA48" s="57">
        <f>'REG y VAL POE - AESR - ESR'!AS3695</f>
        <v>0</v>
      </c>
      <c r="BNB48" s="57" t="str">
        <f>'REG y VAL POE - AESR - ESR'!B3696</f>
        <v xml:space="preserve">Oropeza Gonzalez Obed </v>
      </c>
      <c r="BNC48" s="57">
        <f>'REG y VAL POE - AESR - ESR'!C3696</f>
        <v>0</v>
      </c>
      <c r="BND48" s="56">
        <f>'REG y VAL POE - AESR - ESR'!D3696</f>
        <v>23166805</v>
      </c>
      <c r="BNE48" s="56">
        <f>'REG y VAL POE - AESR - ESR'!E3696</f>
        <v>0</v>
      </c>
      <c r="BNF48" s="57">
        <f>'REG y VAL POE - AESR - ESR'!F3696</f>
        <v>0</v>
      </c>
      <c r="BNG48" s="390">
        <f>'REG y VAL POE - AESR - ESR'!G3696</f>
        <v>0</v>
      </c>
      <c r="BNH48" s="390">
        <f>'REG y VAL POE - AESR - ESR'!H3696</f>
        <v>0</v>
      </c>
      <c r="BNI48" s="57">
        <f>'REG y VAL POE - AESR - ESR'!I3696</f>
        <v>0</v>
      </c>
      <c r="BNJ48" s="57">
        <f>'REG y VAL POE - AESR - ESR'!J3696</f>
        <v>0</v>
      </c>
      <c r="BNK48" s="57">
        <f>'REG y VAL POE - AESR - ESR'!K3696</f>
        <v>0</v>
      </c>
      <c r="BNL48" s="57">
        <f>'REG y VAL POE - AESR - ESR'!L3696</f>
        <v>0</v>
      </c>
      <c r="BNM48" s="57">
        <f>'REG y VAL POE - AESR - ESR'!M3696</f>
        <v>0</v>
      </c>
      <c r="BNN48" s="57">
        <f>'REG y VAL POE - AESR - ESR'!N3696</f>
        <v>0</v>
      </c>
      <c r="BNO48" s="57">
        <f>'REG y VAL POE - AESR - ESR'!O3696</f>
        <v>0</v>
      </c>
      <c r="BNP48" s="57">
        <f>'REG y VAL POE - AESR - ESR'!P3696</f>
        <v>0</v>
      </c>
      <c r="BNQ48" s="57">
        <f>'REG y VAL POE - AESR - ESR'!Q3696</f>
        <v>0</v>
      </c>
      <c r="BNR48" s="57">
        <f>'REG y VAL POE - AESR - ESR'!R3696</f>
        <v>0</v>
      </c>
      <c r="BNS48" s="57">
        <f>'REG y VAL POE - AESR - ESR'!S3696</f>
        <v>0</v>
      </c>
      <c r="BNT48" s="57">
        <f>'REG y VAL POE - AESR - ESR'!T3696</f>
        <v>0</v>
      </c>
      <c r="BNU48" s="57">
        <f>'REG y VAL POE - AESR - ESR'!U3696</f>
        <v>0</v>
      </c>
      <c r="BNV48" s="57">
        <f>'REG y VAL POE - AESR - ESR'!V3696</f>
        <v>0</v>
      </c>
      <c r="BNW48" s="57">
        <f>'REG y VAL POE - AESR - ESR'!W3696</f>
        <v>0</v>
      </c>
      <c r="BNX48" s="57">
        <f>'REG y VAL POE - AESR - ESR'!X3696</f>
        <v>0</v>
      </c>
      <c r="BNY48" s="57">
        <f>'REG y VAL POE - AESR - ESR'!Y3696</f>
        <v>0</v>
      </c>
      <c r="BNZ48" s="57">
        <f>'REG y VAL POE - AESR - ESR'!Z3696</f>
        <v>0</v>
      </c>
      <c r="BOA48" s="57">
        <f>'REG y VAL POE - AESR - ESR'!AA3696</f>
        <v>0</v>
      </c>
      <c r="BOB48" s="57">
        <f>'REG y VAL POE - AESR - ESR'!AB3696</f>
        <v>0</v>
      </c>
      <c r="BOC48" s="57">
        <f>'REG y VAL POE - AESR - ESR'!AC3696</f>
        <v>0</v>
      </c>
      <c r="BOD48" s="57">
        <f>'REG y VAL POE - AESR - ESR'!AD3696</f>
        <v>0</v>
      </c>
      <c r="BOE48" s="57">
        <f>'REG y VAL POE - AESR - ESR'!AE3696</f>
        <v>0</v>
      </c>
      <c r="BOF48" s="57">
        <f>'REG y VAL POE - AESR - ESR'!AF3696</f>
        <v>0</v>
      </c>
      <c r="BOG48" s="57">
        <f>'REG y VAL POE - AESR - ESR'!AG3696</f>
        <v>0</v>
      </c>
      <c r="BOH48" s="57">
        <f>'REG y VAL POE - AESR - ESR'!AH3696</f>
        <v>0</v>
      </c>
      <c r="BOI48" s="57">
        <f>'REG y VAL POE - AESR - ESR'!AI3696</f>
        <v>0</v>
      </c>
      <c r="BOJ48" s="57">
        <f>'REG y VAL POE - AESR - ESR'!AJ3696</f>
        <v>0</v>
      </c>
      <c r="BOK48" s="57">
        <f>'REG y VAL POE - AESR - ESR'!AK3696</f>
        <v>0</v>
      </c>
      <c r="BOL48" s="57">
        <f>'REG y VAL POE - AESR - ESR'!AL3696</f>
        <v>0</v>
      </c>
      <c r="BOM48" s="57">
        <f>'REG y VAL POE - AESR - ESR'!AM3696</f>
        <v>0</v>
      </c>
      <c r="BON48" s="57">
        <f>'REG y VAL POE - AESR - ESR'!AN3696</f>
        <v>0</v>
      </c>
      <c r="BOO48" s="57">
        <f>'REG y VAL POE - AESR - ESR'!AO3696</f>
        <v>0</v>
      </c>
      <c r="BOP48" s="57">
        <f>'REG y VAL POE - AESR - ESR'!AP3696</f>
        <v>0</v>
      </c>
      <c r="BOQ48" s="57">
        <f>'REG y VAL POE - AESR - ESR'!AQ3696</f>
        <v>0</v>
      </c>
      <c r="BOR48" s="57">
        <f>'REG y VAL POE - AESR - ESR'!AR3696</f>
        <v>0</v>
      </c>
      <c r="BOS48" s="57">
        <f>'REG y VAL POE - AESR - ESR'!AS3696</f>
        <v>0</v>
      </c>
      <c r="BOT48" s="57" t="str">
        <f>'REG y VAL POE - AESR - ESR'!B3697</f>
        <v xml:space="preserve">Palacios Castillo Gonzalo </v>
      </c>
      <c r="BOU48" s="57">
        <f>'REG y VAL POE - AESR - ESR'!C3697</f>
        <v>0</v>
      </c>
      <c r="BOV48" s="56">
        <f>'REG y VAL POE - AESR - ESR'!D3697</f>
        <v>23202337</v>
      </c>
      <c r="BOW48" s="56">
        <f>'REG y VAL POE - AESR - ESR'!E3697</f>
        <v>0</v>
      </c>
      <c r="BOX48" s="57">
        <f>'REG y VAL POE - AESR - ESR'!F3697</f>
        <v>0</v>
      </c>
      <c r="BOY48" s="390">
        <f>'REG y VAL POE - AESR - ESR'!G3697</f>
        <v>0</v>
      </c>
      <c r="BOZ48" s="390">
        <f>'REG y VAL POE - AESR - ESR'!H3697</f>
        <v>0</v>
      </c>
      <c r="BPA48" s="57">
        <f>'REG y VAL POE - AESR - ESR'!I3697</f>
        <v>0</v>
      </c>
      <c r="BPB48" s="57">
        <f>'REG y VAL POE - AESR - ESR'!J3697</f>
        <v>0</v>
      </c>
      <c r="BPC48" s="57">
        <f>'REG y VAL POE - AESR - ESR'!K3697</f>
        <v>0</v>
      </c>
      <c r="BPD48" s="57">
        <f>'REG y VAL POE - AESR - ESR'!L3697</f>
        <v>0</v>
      </c>
      <c r="BPE48" s="57">
        <f>'REG y VAL POE - AESR - ESR'!M3697</f>
        <v>0</v>
      </c>
      <c r="BPF48" s="57">
        <f>'REG y VAL POE - AESR - ESR'!N3697</f>
        <v>0</v>
      </c>
      <c r="BPG48" s="57">
        <f>'REG y VAL POE - AESR - ESR'!O3697</f>
        <v>0</v>
      </c>
      <c r="BPH48" s="57">
        <f>'REG y VAL POE - AESR - ESR'!P3697</f>
        <v>0</v>
      </c>
      <c r="BPI48" s="57">
        <f>'REG y VAL POE - AESR - ESR'!Q3697</f>
        <v>0</v>
      </c>
      <c r="BPJ48" s="57">
        <f>'REG y VAL POE - AESR - ESR'!R3697</f>
        <v>0</v>
      </c>
      <c r="BPK48" s="57">
        <f>'REG y VAL POE - AESR - ESR'!S3697</f>
        <v>0</v>
      </c>
      <c r="BPL48" s="57">
        <f>'REG y VAL POE - AESR - ESR'!T3697</f>
        <v>0</v>
      </c>
      <c r="BPM48" s="57">
        <f>'REG y VAL POE - AESR - ESR'!U3697</f>
        <v>0</v>
      </c>
      <c r="BPN48" s="57">
        <f>'REG y VAL POE - AESR - ESR'!V3697</f>
        <v>0</v>
      </c>
      <c r="BPO48" s="57">
        <f>'REG y VAL POE - AESR - ESR'!W3697</f>
        <v>0</v>
      </c>
      <c r="BPP48" s="57">
        <f>'REG y VAL POE - AESR - ESR'!X3697</f>
        <v>0</v>
      </c>
      <c r="BPQ48" s="57">
        <f>'REG y VAL POE - AESR - ESR'!Y3697</f>
        <v>0</v>
      </c>
      <c r="BPR48" s="57">
        <f>'REG y VAL POE - AESR - ESR'!Z3697</f>
        <v>0</v>
      </c>
      <c r="BPS48" s="57">
        <f>'REG y VAL POE - AESR - ESR'!AA3697</f>
        <v>0</v>
      </c>
      <c r="BPT48" s="57">
        <f>'REG y VAL POE - AESR - ESR'!AB3697</f>
        <v>0</v>
      </c>
      <c r="BPU48" s="57">
        <f>'REG y VAL POE - AESR - ESR'!AC3697</f>
        <v>0</v>
      </c>
      <c r="BPV48" s="57">
        <f>'REG y VAL POE - AESR - ESR'!AD3697</f>
        <v>0</v>
      </c>
      <c r="BPW48" s="57">
        <f>'REG y VAL POE - AESR - ESR'!AE3697</f>
        <v>0</v>
      </c>
      <c r="BPX48" s="57">
        <f>'REG y VAL POE - AESR - ESR'!AF3697</f>
        <v>0</v>
      </c>
      <c r="BPY48" s="57">
        <f>'REG y VAL POE - AESR - ESR'!AG3697</f>
        <v>0</v>
      </c>
      <c r="BPZ48" s="57">
        <f>'REG y VAL POE - AESR - ESR'!AH3697</f>
        <v>0</v>
      </c>
      <c r="BQA48" s="57">
        <f>'REG y VAL POE - AESR - ESR'!AI3697</f>
        <v>0</v>
      </c>
      <c r="BQB48" s="57">
        <f>'REG y VAL POE - AESR - ESR'!AJ3697</f>
        <v>0</v>
      </c>
      <c r="BQC48" s="57">
        <f>'REG y VAL POE - AESR - ESR'!AK3697</f>
        <v>0</v>
      </c>
      <c r="BQD48" s="57">
        <f>'REG y VAL POE - AESR - ESR'!AL3697</f>
        <v>0</v>
      </c>
      <c r="BQE48" s="57">
        <f>'REG y VAL POE - AESR - ESR'!AM3697</f>
        <v>0</v>
      </c>
      <c r="BQF48" s="57">
        <f>'REG y VAL POE - AESR - ESR'!AN3697</f>
        <v>0</v>
      </c>
      <c r="BQG48" s="57">
        <f>'REG y VAL POE - AESR - ESR'!AO3697</f>
        <v>0</v>
      </c>
      <c r="BQH48" s="57">
        <f>'REG y VAL POE - AESR - ESR'!AP3697</f>
        <v>0</v>
      </c>
      <c r="BQI48" s="57">
        <f>'REG y VAL POE - AESR - ESR'!AQ3697</f>
        <v>0</v>
      </c>
      <c r="BQJ48" s="57">
        <f>'REG y VAL POE - AESR - ESR'!AR3697</f>
        <v>0</v>
      </c>
      <c r="BQK48" s="57">
        <f>'REG y VAL POE - AESR - ESR'!AS3697</f>
        <v>0</v>
      </c>
      <c r="BQL48" s="57" t="str">
        <f>'REG y VAL POE - AESR - ESR'!B3698</f>
        <v xml:space="preserve">Pedraza Fuentes Guadalupe Yeradi </v>
      </c>
      <c r="BQM48" s="57">
        <f>'REG y VAL POE - AESR - ESR'!C3698</f>
        <v>0</v>
      </c>
      <c r="BQN48" s="56">
        <f>'REG y VAL POE - AESR - ESR'!D3698</f>
        <v>23196938</v>
      </c>
      <c r="BQO48" s="56">
        <f>'REG y VAL POE - AESR - ESR'!E3698</f>
        <v>0</v>
      </c>
      <c r="BQP48" s="57">
        <f>'REG y VAL POE - AESR - ESR'!F3698</f>
        <v>0</v>
      </c>
      <c r="BQQ48" s="390">
        <f>'REG y VAL POE - AESR - ESR'!G3698</f>
        <v>0</v>
      </c>
      <c r="BQR48" s="390">
        <f>'REG y VAL POE - AESR - ESR'!H3698</f>
        <v>0</v>
      </c>
      <c r="BQS48" s="57">
        <f>'REG y VAL POE - AESR - ESR'!I3698</f>
        <v>0</v>
      </c>
      <c r="BQT48" s="57">
        <f>'REG y VAL POE - AESR - ESR'!J3698</f>
        <v>0</v>
      </c>
      <c r="BQU48" s="57">
        <f>'REG y VAL POE - AESR - ESR'!K3698</f>
        <v>0</v>
      </c>
      <c r="BQV48" s="57">
        <f>'REG y VAL POE - AESR - ESR'!L3698</f>
        <v>0</v>
      </c>
      <c r="BQW48" s="57">
        <f>'REG y VAL POE - AESR - ESR'!M3698</f>
        <v>0</v>
      </c>
      <c r="BQX48" s="57">
        <f>'REG y VAL POE - AESR - ESR'!N3698</f>
        <v>0</v>
      </c>
      <c r="BQY48" s="57">
        <f>'REG y VAL POE - AESR - ESR'!O3698</f>
        <v>0</v>
      </c>
      <c r="BQZ48" s="57">
        <f>'REG y VAL POE - AESR - ESR'!P3698</f>
        <v>0</v>
      </c>
      <c r="BRA48" s="57">
        <f>'REG y VAL POE - AESR - ESR'!Q3698</f>
        <v>0</v>
      </c>
      <c r="BRB48" s="57">
        <f>'REG y VAL POE - AESR - ESR'!R3698</f>
        <v>0</v>
      </c>
      <c r="BRC48" s="57">
        <f>'REG y VAL POE - AESR - ESR'!S3698</f>
        <v>0</v>
      </c>
      <c r="BRD48" s="57">
        <f>'REG y VAL POE - AESR - ESR'!T3698</f>
        <v>0</v>
      </c>
      <c r="BRE48" s="57">
        <f>'REG y VAL POE - AESR - ESR'!U3698</f>
        <v>0</v>
      </c>
      <c r="BRF48" s="57">
        <f>'REG y VAL POE - AESR - ESR'!V3698</f>
        <v>0</v>
      </c>
      <c r="BRG48" s="57">
        <f>'REG y VAL POE - AESR - ESR'!W3698</f>
        <v>0</v>
      </c>
      <c r="BRH48" s="57">
        <f>'REG y VAL POE - AESR - ESR'!X3698</f>
        <v>0</v>
      </c>
      <c r="BRI48" s="57">
        <f>'REG y VAL POE - AESR - ESR'!Y3698</f>
        <v>0</v>
      </c>
      <c r="BRJ48" s="57">
        <f>'REG y VAL POE - AESR - ESR'!Z3698</f>
        <v>0</v>
      </c>
      <c r="BRK48" s="57">
        <f>'REG y VAL POE - AESR - ESR'!AA3698</f>
        <v>0</v>
      </c>
      <c r="BRL48" s="57">
        <f>'REG y VAL POE - AESR - ESR'!AB3698</f>
        <v>0</v>
      </c>
      <c r="BRM48" s="57">
        <f>'REG y VAL POE - AESR - ESR'!AC3698</f>
        <v>0</v>
      </c>
      <c r="BRN48" s="57">
        <f>'REG y VAL POE - AESR - ESR'!AD3698</f>
        <v>0</v>
      </c>
      <c r="BRO48" s="57">
        <f>'REG y VAL POE - AESR - ESR'!AE3698</f>
        <v>0</v>
      </c>
      <c r="BRP48" s="57">
        <f>'REG y VAL POE - AESR - ESR'!AF3698</f>
        <v>0</v>
      </c>
      <c r="BRQ48" s="57">
        <f>'REG y VAL POE - AESR - ESR'!AG3698</f>
        <v>0</v>
      </c>
      <c r="BRR48" s="57">
        <f>'REG y VAL POE - AESR - ESR'!AH3698</f>
        <v>0</v>
      </c>
      <c r="BRS48" s="57">
        <f>'REG y VAL POE - AESR - ESR'!AI3698</f>
        <v>0</v>
      </c>
      <c r="BRT48" s="57">
        <f>'REG y VAL POE - AESR - ESR'!AJ3698</f>
        <v>0</v>
      </c>
      <c r="BRU48" s="57">
        <f>'REG y VAL POE - AESR - ESR'!AK3698</f>
        <v>0</v>
      </c>
      <c r="BRV48" s="57">
        <f>'REG y VAL POE - AESR - ESR'!AL3698</f>
        <v>0</v>
      </c>
      <c r="BRW48" s="57">
        <f>'REG y VAL POE - AESR - ESR'!AM3698</f>
        <v>0</v>
      </c>
      <c r="BRX48" s="57">
        <f>'REG y VAL POE - AESR - ESR'!AN3698</f>
        <v>0</v>
      </c>
      <c r="BRY48" s="57">
        <f>'REG y VAL POE - AESR - ESR'!AO3698</f>
        <v>0</v>
      </c>
      <c r="BRZ48" s="57">
        <f>'REG y VAL POE - AESR - ESR'!AP3698</f>
        <v>0</v>
      </c>
      <c r="BSA48" s="57">
        <f>'REG y VAL POE - AESR - ESR'!AQ3698</f>
        <v>0</v>
      </c>
      <c r="BSB48" s="57">
        <f>'REG y VAL POE - AESR - ESR'!AR3698</f>
        <v>0</v>
      </c>
      <c r="BSC48" s="57">
        <f>'REG y VAL POE - AESR - ESR'!AS3698</f>
        <v>0</v>
      </c>
      <c r="BSD48" s="57" t="str">
        <f>'REG y VAL POE - AESR - ESR'!B3699</f>
        <v>Peredo Escarsega Raul</v>
      </c>
      <c r="BSE48" s="57" t="str">
        <f>'REG y VAL POE - AESR - ESR'!C3699</f>
        <v>POE-RX</v>
      </c>
      <c r="BSF48" s="56">
        <f>'REG y VAL POE - AESR - ESR'!D3699</f>
        <v>23158039</v>
      </c>
      <c r="BSG48" s="56">
        <f>'REG y VAL POE - AESR - ESR'!E3699</f>
        <v>0</v>
      </c>
      <c r="BSH48" s="57">
        <f>'REG y VAL POE - AESR - ESR'!F3699</f>
        <v>0</v>
      </c>
      <c r="BSI48" s="390">
        <f>'REG y VAL POE - AESR - ESR'!G3699</f>
        <v>45378</v>
      </c>
      <c r="BSJ48" s="390">
        <f>'REG y VAL POE - AESR - ESR'!H3699</f>
        <v>45743</v>
      </c>
      <c r="BSK48" s="57" t="str">
        <f>'REG y VAL POE - AESR - ESR'!I3699</f>
        <v>SI</v>
      </c>
      <c r="BSL48" s="57" t="str">
        <f>'REG y VAL POE - AESR - ESR'!J3699</f>
        <v>Vigente</v>
      </c>
      <c r="BSM48" s="57" t="str">
        <f>'REG y VAL POE - AESR - ESR'!K3699</f>
        <v>SI</v>
      </c>
      <c r="BSN48" s="57" t="str">
        <f>'REG y VAL POE - AESR - ESR'!L3699</f>
        <v>Vigente</v>
      </c>
      <c r="BSO48" s="57" t="str">
        <f>'REG y VAL POE - AESR - ESR'!M3699</f>
        <v>SI</v>
      </c>
      <c r="BSP48" s="57" t="str">
        <f>'REG y VAL POE - AESR - ESR'!N3699</f>
        <v>Apendice ByC no llenos-c/historial aparte-falta firma RL</v>
      </c>
      <c r="BSQ48" s="57">
        <f>'REG y VAL POE - AESR - ESR'!O3699</f>
        <v>0</v>
      </c>
      <c r="BSR48" s="57" t="str">
        <f>'REG y VAL POE - AESR - ESR'!P3699</f>
        <v>SI</v>
      </c>
      <c r="BSS48" s="57" t="str">
        <f>'REG y VAL POE - AESR - ESR'!Q3699</f>
        <v>SI</v>
      </c>
      <c r="BST48" s="57" t="str">
        <f>'REG y VAL POE - AESR - ESR'!R3699</f>
        <v>SI</v>
      </c>
      <c r="BSU48" s="57" t="str">
        <f>'REG y VAL POE - AESR - ESR'!S3699</f>
        <v>SI</v>
      </c>
      <c r="BSV48" s="57" t="str">
        <f>'REG y VAL POE - AESR - ESR'!T3699</f>
        <v>NO</v>
      </c>
      <c r="BSW48" s="57" t="str">
        <f>'REG y VAL POE - AESR - ESR'!U3699</f>
        <v>NO</v>
      </c>
      <c r="BSX48" s="57" t="str">
        <f>'REG y VAL POE - AESR - ESR'!V3699</f>
        <v>SI</v>
      </c>
      <c r="BSY48" s="57">
        <f>'REG y VAL POE - AESR - ESR'!W3699</f>
        <v>0</v>
      </c>
      <c r="BSZ48" s="57">
        <f>'REG y VAL POE - AESR - ESR'!X3699</f>
        <v>0</v>
      </c>
      <c r="BTA48" s="57">
        <f>'REG y VAL POE - AESR - ESR'!Y3699</f>
        <v>0</v>
      </c>
      <c r="BTB48" s="57" t="str">
        <f>'REG y VAL POE - AESR - ESR'!Z3699</f>
        <v>SI</v>
      </c>
      <c r="BTC48" s="57">
        <f>'REG y VAL POE - AESR - ESR'!AA3699</f>
        <v>0</v>
      </c>
      <c r="BTD48" s="57">
        <f>'REG y VAL POE - AESR - ESR'!AB3699</f>
        <v>0</v>
      </c>
      <c r="BTE48" s="57">
        <f>'REG y VAL POE - AESR - ESR'!AC3699</f>
        <v>0</v>
      </c>
      <c r="BTF48" s="57">
        <f>'REG y VAL POE - AESR - ESR'!AD3699</f>
        <v>0</v>
      </c>
      <c r="BTG48" s="57">
        <f>'REG y VAL POE - AESR - ESR'!AE3699</f>
        <v>0</v>
      </c>
      <c r="BTH48" s="57" t="str">
        <f>'REG y VAL POE - AESR - ESR'!AF3699</f>
        <v>SI</v>
      </c>
      <c r="BTI48" s="57" t="str">
        <f>'REG y VAL POE - AESR - ESR'!AG3699</f>
        <v>SI</v>
      </c>
      <c r="BTJ48" s="57">
        <f>'REG y VAL POE - AESR - ESR'!AH3699</f>
        <v>0</v>
      </c>
      <c r="BTK48" s="57">
        <f>'REG y VAL POE - AESR - ESR'!AI3699</f>
        <v>0</v>
      </c>
      <c r="BTL48" s="57">
        <f>'REG y VAL POE - AESR - ESR'!AJ3699</f>
        <v>0</v>
      </c>
      <c r="BTM48" s="57">
        <f>'REG y VAL POE - AESR - ESR'!AK3699</f>
        <v>0</v>
      </c>
      <c r="BTN48" s="57">
        <f>'REG y VAL POE - AESR - ESR'!AL3699</f>
        <v>0</v>
      </c>
      <c r="BTO48" s="57">
        <f>'REG y VAL POE - AESR - ESR'!AM3699</f>
        <v>0</v>
      </c>
      <c r="BTP48" s="57">
        <f>'REG y VAL POE - AESR - ESR'!AN3699</f>
        <v>0</v>
      </c>
      <c r="BTQ48" s="57" t="str">
        <f>'REG y VAL POE - AESR - ESR'!AO3699</f>
        <v>SI</v>
      </c>
      <c r="BTR48" s="57">
        <f>'REG y VAL POE - AESR - ESR'!AP3699</f>
        <v>0</v>
      </c>
      <c r="BTS48" s="57">
        <f>'REG y VAL POE - AESR - ESR'!AQ3699</f>
        <v>0</v>
      </c>
      <c r="BTT48" s="57" t="str">
        <f>'REG y VAL POE - AESR - ESR'!AR3699</f>
        <v>NUCTHECH FERRO</v>
      </c>
      <c r="BTU48" s="57">
        <f>'REG y VAL POE - AESR - ESR'!AS3699</f>
        <v>0</v>
      </c>
      <c r="BTV48" s="57" t="str">
        <f>'REG y VAL POE - AESR - ESR'!B3700</f>
        <v>Perez Carbajal Abraham</v>
      </c>
      <c r="BTW48" s="57" t="str">
        <f>'REG y VAL POE - AESR - ESR'!C3700</f>
        <v>POE-RG</v>
      </c>
      <c r="BTX48" s="56">
        <f>'REG y VAL POE - AESR - ESR'!D3700</f>
        <v>23157545</v>
      </c>
      <c r="BTY48" s="56">
        <f>'REG y VAL POE - AESR - ESR'!E3700</f>
        <v>0</v>
      </c>
      <c r="BTZ48" s="57">
        <f>'REG y VAL POE - AESR - ESR'!F3700</f>
        <v>0</v>
      </c>
      <c r="BUA48" s="390">
        <f>'REG y VAL POE - AESR - ESR'!G3700</f>
        <v>45376</v>
      </c>
      <c r="BUB48" s="390">
        <f>'REG y VAL POE - AESR - ESR'!H3700</f>
        <v>45741</v>
      </c>
      <c r="BUC48" s="57" t="str">
        <f>'REG y VAL POE - AESR - ESR'!I3700</f>
        <v>SI</v>
      </c>
      <c r="BUD48" s="57" t="str">
        <f>'REG y VAL POE - AESR - ESR'!J3700</f>
        <v>Vigente</v>
      </c>
      <c r="BUE48" s="57" t="str">
        <f>'REG y VAL POE - AESR - ESR'!K3700</f>
        <v>SI</v>
      </c>
      <c r="BUF48" s="57" t="str">
        <f>'REG y VAL POE - AESR - ESR'!L3700</f>
        <v>Vigente</v>
      </c>
      <c r="BUG48" s="57" t="str">
        <f>'REG y VAL POE - AESR - ESR'!M3700</f>
        <v>NO</v>
      </c>
      <c r="BUH48" s="57" t="str">
        <f>'REG y VAL POE - AESR - ESR'!N3700</f>
        <v>Apendice ByC no llenos-c/historial aparte-falta firma RL</v>
      </c>
      <c r="BUI48" s="57" t="str">
        <f>'REG y VAL POE - AESR - ESR'!O3700</f>
        <v>SI</v>
      </c>
      <c r="BUJ48" s="57">
        <f>'REG y VAL POE - AESR - ESR'!P3700</f>
        <v>0</v>
      </c>
      <c r="BUK48" s="57" t="str">
        <f>'REG y VAL POE - AESR - ESR'!Q3700</f>
        <v>SI</v>
      </c>
      <c r="BUL48" s="57" t="str">
        <f>'REG y VAL POE - AESR - ESR'!R3700</f>
        <v>SI</v>
      </c>
      <c r="BUM48" s="57" t="str">
        <f>'REG y VAL POE - AESR - ESR'!S3700</f>
        <v>SI</v>
      </c>
      <c r="BUN48" s="57" t="str">
        <f>'REG y VAL POE - AESR - ESR'!T3700</f>
        <v>NO</v>
      </c>
      <c r="BUO48" s="57" t="str">
        <f>'REG y VAL POE - AESR - ESR'!U3700</f>
        <v>NO</v>
      </c>
      <c r="BUP48" s="57" t="str">
        <f>'REG y VAL POE - AESR - ESR'!V3700</f>
        <v>SI</v>
      </c>
      <c r="BUQ48" s="57">
        <f>'REG y VAL POE - AESR - ESR'!W3700</f>
        <v>0</v>
      </c>
      <c r="BUR48" s="57">
        <f>'REG y VAL POE - AESR - ESR'!X3700</f>
        <v>0</v>
      </c>
      <c r="BUS48" s="57">
        <f>'REG y VAL POE - AESR - ESR'!Y3700</f>
        <v>0</v>
      </c>
      <c r="BUT48" s="57" t="str">
        <f>'REG y VAL POE - AESR - ESR'!Z3700</f>
        <v>SI</v>
      </c>
      <c r="BUU48" s="57">
        <f>'REG y VAL POE - AESR - ESR'!AA3700</f>
        <v>0</v>
      </c>
      <c r="BUV48" s="57">
        <f>'REG y VAL POE - AESR - ESR'!AB3700</f>
        <v>0</v>
      </c>
      <c r="BUW48" s="57">
        <f>'REG y VAL POE - AESR - ESR'!AC3700</f>
        <v>0</v>
      </c>
      <c r="BUX48" s="57">
        <f>'REG y VAL POE - AESR - ESR'!AD3700</f>
        <v>0</v>
      </c>
      <c r="BUY48" s="57">
        <f>'REG y VAL POE - AESR - ESR'!AE3700</f>
        <v>0</v>
      </c>
      <c r="BUZ48" s="57">
        <f>'REG y VAL POE - AESR - ESR'!AF3700</f>
        <v>0</v>
      </c>
      <c r="BVA48" s="57">
        <f>'REG y VAL POE - AESR - ESR'!AG3700</f>
        <v>0</v>
      </c>
      <c r="BVB48" s="57">
        <f>'REG y VAL POE - AESR - ESR'!AH3700</f>
        <v>0</v>
      </c>
      <c r="BVC48" s="57">
        <f>'REG y VAL POE - AESR - ESR'!AI3700</f>
        <v>0</v>
      </c>
      <c r="BVD48" s="57">
        <f>'REG y VAL POE - AESR - ESR'!AJ3700</f>
        <v>0</v>
      </c>
      <c r="BVE48" s="57">
        <f>'REG y VAL POE - AESR - ESR'!AK3700</f>
        <v>0</v>
      </c>
      <c r="BVF48" s="57" t="str">
        <f>'REG y VAL POE - AESR - ESR'!AL3700</f>
        <v>SI</v>
      </c>
      <c r="BVG48" s="57" t="str">
        <f>'REG y VAL POE - AESR - ESR'!AM3700</f>
        <v>SI</v>
      </c>
      <c r="BVH48" s="57">
        <f>'REG y VAL POE - AESR - ESR'!AN3700</f>
        <v>0</v>
      </c>
      <c r="BVI48" s="57">
        <f>'REG y VAL POE - AESR - ESR'!AO3700</f>
        <v>0</v>
      </c>
      <c r="BVJ48" s="57">
        <f>'REG y VAL POE - AESR - ESR'!AP3700</f>
        <v>0</v>
      </c>
      <c r="BVK48" s="57">
        <f>'REG y VAL POE - AESR - ESR'!AQ3700</f>
        <v>0</v>
      </c>
      <c r="BVL48" s="57" t="str">
        <f>'REG y VAL POE - AESR - ESR'!AR3700</f>
        <v>VACIS PORTAL</v>
      </c>
      <c r="BVM48" s="57">
        <f>'REG y VAL POE - AESR - ESR'!AS3700</f>
        <v>0</v>
      </c>
      <c r="BVN48" s="57" t="str">
        <f>'REG y VAL POE - AESR - ESR'!B3701</f>
        <v xml:space="preserve">Pillot Rueda Luis Enrique </v>
      </c>
      <c r="BVO48" s="57">
        <f>'REG y VAL POE - AESR - ESR'!C3701</f>
        <v>0</v>
      </c>
      <c r="BVP48" s="56">
        <f>'REG y VAL POE - AESR - ESR'!D3701</f>
        <v>23163250</v>
      </c>
      <c r="BVQ48" s="56">
        <f>'REG y VAL POE - AESR - ESR'!E3701</f>
        <v>0</v>
      </c>
      <c r="BVR48" s="57">
        <f>'REG y VAL POE - AESR - ESR'!F3701</f>
        <v>0</v>
      </c>
      <c r="BVS48" s="390">
        <f>'REG y VAL POE - AESR - ESR'!G3701</f>
        <v>0</v>
      </c>
      <c r="BVT48" s="390">
        <f>'REG y VAL POE - AESR - ESR'!H3701</f>
        <v>0</v>
      </c>
      <c r="BVU48" s="57">
        <f>'REG y VAL POE - AESR - ESR'!I3701</f>
        <v>0</v>
      </c>
      <c r="BVV48" s="57">
        <f>'REG y VAL POE - AESR - ESR'!J3701</f>
        <v>0</v>
      </c>
      <c r="BVW48" s="57">
        <f>'REG y VAL POE - AESR - ESR'!K3701</f>
        <v>0</v>
      </c>
      <c r="BVX48" s="57">
        <f>'REG y VAL POE - AESR - ESR'!L3701</f>
        <v>0</v>
      </c>
      <c r="BVY48" s="57">
        <f>'REG y VAL POE - AESR - ESR'!M3701</f>
        <v>0</v>
      </c>
      <c r="BVZ48" s="57">
        <f>'REG y VAL POE - AESR - ESR'!N3701</f>
        <v>0</v>
      </c>
      <c r="BWA48" s="57">
        <f>'REG y VAL POE - AESR - ESR'!O3701</f>
        <v>0</v>
      </c>
      <c r="BWB48" s="57">
        <f>'REG y VAL POE - AESR - ESR'!P3701</f>
        <v>0</v>
      </c>
      <c r="BWC48" s="57">
        <f>'REG y VAL POE - AESR - ESR'!Q3701</f>
        <v>0</v>
      </c>
      <c r="BWD48" s="57">
        <f>'REG y VAL POE - AESR - ESR'!R3701</f>
        <v>0</v>
      </c>
      <c r="BWE48" s="57">
        <f>'REG y VAL POE - AESR - ESR'!S3701</f>
        <v>0</v>
      </c>
      <c r="BWF48" s="57">
        <f>'REG y VAL POE - AESR - ESR'!T3701</f>
        <v>0</v>
      </c>
      <c r="BWG48" s="57">
        <f>'REG y VAL POE - AESR - ESR'!U3701</f>
        <v>0</v>
      </c>
      <c r="BWH48" s="57">
        <f>'REG y VAL POE - AESR - ESR'!V3701</f>
        <v>0</v>
      </c>
      <c r="BWI48" s="57">
        <f>'REG y VAL POE - AESR - ESR'!W3701</f>
        <v>0</v>
      </c>
      <c r="BWJ48" s="57">
        <f>'REG y VAL POE - AESR - ESR'!X3701</f>
        <v>0</v>
      </c>
      <c r="BWK48" s="57">
        <f>'REG y VAL POE - AESR - ESR'!Y3701</f>
        <v>0</v>
      </c>
      <c r="BWL48" s="57">
        <f>'REG y VAL POE - AESR - ESR'!Z3701</f>
        <v>0</v>
      </c>
      <c r="BWM48" s="57">
        <f>'REG y VAL POE - AESR - ESR'!AA3701</f>
        <v>0</v>
      </c>
      <c r="BWN48" s="57">
        <f>'REG y VAL POE - AESR - ESR'!AB3701</f>
        <v>0</v>
      </c>
      <c r="BWO48" s="57">
        <f>'REG y VAL POE - AESR - ESR'!AC3701</f>
        <v>0</v>
      </c>
      <c r="BWP48" s="57">
        <f>'REG y VAL POE - AESR - ESR'!AD3701</f>
        <v>0</v>
      </c>
      <c r="BWQ48" s="57">
        <f>'REG y VAL POE - AESR - ESR'!AE3701</f>
        <v>0</v>
      </c>
      <c r="BWR48" s="57">
        <f>'REG y VAL POE - AESR - ESR'!AF3701</f>
        <v>0</v>
      </c>
      <c r="BWS48" s="57">
        <f>'REG y VAL POE - AESR - ESR'!AG3701</f>
        <v>0</v>
      </c>
      <c r="BWT48" s="57">
        <f>'REG y VAL POE - AESR - ESR'!AH3701</f>
        <v>0</v>
      </c>
      <c r="BWU48" s="57">
        <f>'REG y VAL POE - AESR - ESR'!AI3701</f>
        <v>0</v>
      </c>
      <c r="BWV48" s="57">
        <f>'REG y VAL POE - AESR - ESR'!AJ3701</f>
        <v>0</v>
      </c>
      <c r="BWW48" s="57">
        <f>'REG y VAL POE - AESR - ESR'!AK3701</f>
        <v>0</v>
      </c>
      <c r="BWX48" s="57">
        <f>'REG y VAL POE - AESR - ESR'!AL3701</f>
        <v>0</v>
      </c>
      <c r="BWY48" s="57">
        <f>'REG y VAL POE - AESR - ESR'!AM3701</f>
        <v>0</v>
      </c>
      <c r="BWZ48" s="57">
        <f>'REG y VAL POE - AESR - ESR'!AN3701</f>
        <v>0</v>
      </c>
      <c r="BXA48" s="57">
        <f>'REG y VAL POE - AESR - ESR'!AO3701</f>
        <v>0</v>
      </c>
      <c r="BXB48" s="57">
        <f>'REG y VAL POE - AESR - ESR'!AP3701</f>
        <v>0</v>
      </c>
      <c r="BXC48" s="57">
        <f>'REG y VAL POE - AESR - ESR'!AQ3701</f>
        <v>0</v>
      </c>
      <c r="BXD48" s="57">
        <f>'REG y VAL POE - AESR - ESR'!AR3701</f>
        <v>0</v>
      </c>
      <c r="BXE48" s="57">
        <f>'REG y VAL POE - AESR - ESR'!AS3701</f>
        <v>0</v>
      </c>
      <c r="BXF48" s="57" t="str">
        <f>'REG y VAL POE - AESR - ESR'!B3702</f>
        <v xml:space="preserve">Pilotzi Ahuatzi Susana </v>
      </c>
      <c r="BXG48" s="57" t="str">
        <f>'REG y VAL POE - AESR - ESR'!C3702</f>
        <v>POE-RG</v>
      </c>
      <c r="BXH48" s="56">
        <f>'REG y VAL POE - AESR - ESR'!D3702</f>
        <v>23149521</v>
      </c>
      <c r="BXI48" s="56">
        <f>'REG y VAL POE - AESR - ESR'!E3702</f>
        <v>0</v>
      </c>
      <c r="BXJ48" s="57">
        <f>'REG y VAL POE - AESR - ESR'!F3702</f>
        <v>0</v>
      </c>
      <c r="BXK48" s="390">
        <f>'REG y VAL POE - AESR - ESR'!G3702</f>
        <v>45376</v>
      </c>
      <c r="BXL48" s="390">
        <f>'REG y VAL POE - AESR - ESR'!H3702</f>
        <v>45741</v>
      </c>
      <c r="BXM48" s="57" t="str">
        <f>'REG y VAL POE - AESR - ESR'!I3702</f>
        <v>SI</v>
      </c>
      <c r="BXN48" s="57" t="str">
        <f>'REG y VAL POE - AESR - ESR'!J3702</f>
        <v>Vigente-PERO DICE MASCULINO</v>
      </c>
      <c r="BXO48" s="57" t="str">
        <f>'REG y VAL POE - AESR - ESR'!K3702</f>
        <v>SI</v>
      </c>
      <c r="BXP48" s="57" t="str">
        <f>'REG y VAL POE - AESR - ESR'!L3702</f>
        <v>Vigente-PERO DICE MASCULINO</v>
      </c>
      <c r="BXQ48" s="57" t="str">
        <f>'REG y VAL POE - AESR - ESR'!M3702</f>
        <v>NO</v>
      </c>
      <c r="BXR48" s="57" t="str">
        <f>'REG y VAL POE - AESR - ESR'!N3702</f>
        <v>Apendice ByC no llenos-c/historial aparte-falta firma RL</v>
      </c>
      <c r="BXS48" s="57" t="str">
        <f>'REG y VAL POE - AESR - ESR'!O3702</f>
        <v>SI</v>
      </c>
      <c r="BXT48" s="57">
        <f>'REG y VAL POE - AESR - ESR'!P3702</f>
        <v>0</v>
      </c>
      <c r="BXU48" s="57" t="str">
        <f>'REG y VAL POE - AESR - ESR'!Q3702</f>
        <v>SI</v>
      </c>
      <c r="BXV48" s="57" t="str">
        <f>'REG y VAL POE - AESR - ESR'!R3702</f>
        <v>SI</v>
      </c>
      <c r="BXW48" s="57" t="str">
        <f>'REG y VAL POE - AESR - ESR'!S3702</f>
        <v>SI</v>
      </c>
      <c r="BXX48" s="57" t="str">
        <f>'REG y VAL POE - AESR - ESR'!T3702</f>
        <v>NO</v>
      </c>
      <c r="BXY48" s="57" t="str">
        <f>'REG y VAL POE - AESR - ESR'!U3702</f>
        <v>NO</v>
      </c>
      <c r="BXZ48" s="57" t="str">
        <f>'REG y VAL POE - AESR - ESR'!V3702</f>
        <v>SI</v>
      </c>
      <c r="BYA48" s="57">
        <f>'REG y VAL POE - AESR - ESR'!W3702</f>
        <v>0</v>
      </c>
      <c r="BYB48" s="57">
        <f>'REG y VAL POE - AESR - ESR'!X3702</f>
        <v>0</v>
      </c>
      <c r="BYC48" s="57">
        <f>'REG y VAL POE - AESR - ESR'!Y3702</f>
        <v>0</v>
      </c>
      <c r="BYD48" s="57" t="str">
        <f>'REG y VAL POE - AESR - ESR'!Z3702</f>
        <v>SI</v>
      </c>
      <c r="BYE48" s="57">
        <f>'REG y VAL POE - AESR - ESR'!AA3702</f>
        <v>0</v>
      </c>
      <c r="BYF48" s="57">
        <f>'REG y VAL POE - AESR - ESR'!AB3702</f>
        <v>0</v>
      </c>
      <c r="BYG48" s="57">
        <f>'REG y VAL POE - AESR - ESR'!AC3702</f>
        <v>0</v>
      </c>
      <c r="BYH48" s="57">
        <f>'REG y VAL POE - AESR - ESR'!AD3702</f>
        <v>0</v>
      </c>
      <c r="BYI48" s="57">
        <f>'REG y VAL POE - AESR - ESR'!AE3702</f>
        <v>0</v>
      </c>
      <c r="BYJ48" s="57">
        <f>'REG y VAL POE - AESR - ESR'!AF3702</f>
        <v>0</v>
      </c>
      <c r="BYK48" s="57">
        <f>'REG y VAL POE - AESR - ESR'!AG3702</f>
        <v>0</v>
      </c>
      <c r="BYL48" s="57">
        <f>'REG y VAL POE - AESR - ESR'!AH3702</f>
        <v>0</v>
      </c>
      <c r="BYM48" s="57">
        <f>'REG y VAL POE - AESR - ESR'!AI3702</f>
        <v>0</v>
      </c>
      <c r="BYN48" s="57">
        <f>'REG y VAL POE - AESR - ESR'!AJ3702</f>
        <v>0</v>
      </c>
      <c r="BYO48" s="57">
        <f>'REG y VAL POE - AESR - ESR'!AK3702</f>
        <v>0</v>
      </c>
      <c r="BYP48" s="57">
        <f>'REG y VAL POE - AESR - ESR'!AL3702</f>
        <v>0</v>
      </c>
      <c r="BYQ48" s="57" t="str">
        <f>'REG y VAL POE - AESR - ESR'!AM3702</f>
        <v>SI</v>
      </c>
      <c r="BYR48" s="57">
        <f>'REG y VAL POE - AESR - ESR'!AN3702</f>
        <v>0</v>
      </c>
      <c r="BYS48" s="57">
        <f>'REG y VAL POE - AESR - ESR'!AO3702</f>
        <v>0</v>
      </c>
      <c r="BYT48" s="57">
        <f>'REG y VAL POE - AESR - ESR'!AP3702</f>
        <v>0</v>
      </c>
      <c r="BYU48" s="57">
        <f>'REG y VAL POE - AESR - ESR'!AQ3702</f>
        <v>0</v>
      </c>
      <c r="BYV48" s="57">
        <f>'REG y VAL POE - AESR - ESR'!AR3702</f>
        <v>0</v>
      </c>
      <c r="BYW48" s="57">
        <f>'REG y VAL POE - AESR - ESR'!AS3702</f>
        <v>0</v>
      </c>
      <c r="BYX48" s="57" t="str">
        <f>'REG y VAL POE - AESR - ESR'!B3703</f>
        <v xml:space="preserve">Quiroz Sanchez Guillermo </v>
      </c>
      <c r="BYY48" s="57">
        <f>'REG y VAL POE - AESR - ESR'!C3703</f>
        <v>0</v>
      </c>
      <c r="BYZ48" s="56">
        <f>'REG y VAL POE - AESR - ESR'!D3703</f>
        <v>23157833</v>
      </c>
      <c r="BZA48" s="56">
        <f>'REG y VAL POE - AESR - ESR'!E3703</f>
        <v>0</v>
      </c>
      <c r="BZB48" s="57">
        <f>'REG y VAL POE - AESR - ESR'!F3703</f>
        <v>0</v>
      </c>
      <c r="BZC48" s="390">
        <f>'REG y VAL POE - AESR - ESR'!G3703</f>
        <v>0</v>
      </c>
      <c r="BZD48" s="390">
        <f>'REG y VAL POE - AESR - ESR'!H3703</f>
        <v>0</v>
      </c>
      <c r="BZE48" s="57">
        <f>'REG y VAL POE - AESR - ESR'!I3703</f>
        <v>0</v>
      </c>
      <c r="BZF48" s="57">
        <f>'REG y VAL POE - AESR - ESR'!J3703</f>
        <v>0</v>
      </c>
      <c r="BZG48" s="57">
        <f>'REG y VAL POE - AESR - ESR'!K3703</f>
        <v>0</v>
      </c>
      <c r="BZH48" s="57">
        <f>'REG y VAL POE - AESR - ESR'!L3703</f>
        <v>0</v>
      </c>
      <c r="BZI48" s="57">
        <f>'REG y VAL POE - AESR - ESR'!M3703</f>
        <v>0</v>
      </c>
      <c r="BZJ48" s="57">
        <f>'REG y VAL POE - AESR - ESR'!N3703</f>
        <v>0</v>
      </c>
      <c r="BZK48" s="57">
        <f>'REG y VAL POE - AESR - ESR'!O3703</f>
        <v>0</v>
      </c>
      <c r="BZL48" s="57">
        <f>'REG y VAL POE - AESR - ESR'!P3703</f>
        <v>0</v>
      </c>
      <c r="BZM48" s="57">
        <f>'REG y VAL POE - AESR - ESR'!Q3703</f>
        <v>0</v>
      </c>
      <c r="BZN48" s="57">
        <f>'REG y VAL POE - AESR - ESR'!R3703</f>
        <v>0</v>
      </c>
      <c r="BZO48" s="57">
        <f>'REG y VAL POE - AESR - ESR'!S3703</f>
        <v>0</v>
      </c>
      <c r="BZP48" s="57">
        <f>'REG y VAL POE - AESR - ESR'!T3703</f>
        <v>0</v>
      </c>
      <c r="BZQ48" s="57">
        <f>'REG y VAL POE - AESR - ESR'!U3703</f>
        <v>0</v>
      </c>
      <c r="BZR48" s="57">
        <f>'REG y VAL POE - AESR - ESR'!V3703</f>
        <v>0</v>
      </c>
      <c r="BZS48" s="57">
        <f>'REG y VAL POE - AESR - ESR'!W3703</f>
        <v>0</v>
      </c>
      <c r="BZT48" s="57">
        <f>'REG y VAL POE - AESR - ESR'!X3703</f>
        <v>0</v>
      </c>
      <c r="BZU48" s="57">
        <f>'REG y VAL POE - AESR - ESR'!Y3703</f>
        <v>0</v>
      </c>
      <c r="BZV48" s="57">
        <f>'REG y VAL POE - AESR - ESR'!Z3703</f>
        <v>0</v>
      </c>
      <c r="BZW48" s="57">
        <f>'REG y VAL POE - AESR - ESR'!AA3703</f>
        <v>0</v>
      </c>
      <c r="BZX48" s="57">
        <f>'REG y VAL POE - AESR - ESR'!AB3703</f>
        <v>0</v>
      </c>
      <c r="BZY48" s="57">
        <f>'REG y VAL POE - AESR - ESR'!AC3703</f>
        <v>0</v>
      </c>
      <c r="BZZ48" s="57">
        <f>'REG y VAL POE - AESR - ESR'!AD3703</f>
        <v>0</v>
      </c>
      <c r="CAA48" s="57">
        <f>'REG y VAL POE - AESR - ESR'!AE3703</f>
        <v>0</v>
      </c>
      <c r="CAB48" s="57">
        <f>'REG y VAL POE - AESR - ESR'!AF3703</f>
        <v>0</v>
      </c>
      <c r="CAC48" s="57">
        <f>'REG y VAL POE - AESR - ESR'!AG3703</f>
        <v>0</v>
      </c>
      <c r="CAD48" s="57">
        <f>'REG y VAL POE - AESR - ESR'!AH3703</f>
        <v>0</v>
      </c>
      <c r="CAE48" s="57">
        <f>'REG y VAL POE - AESR - ESR'!AI3703</f>
        <v>0</v>
      </c>
      <c r="CAF48" s="57">
        <f>'REG y VAL POE - AESR - ESR'!AJ3703</f>
        <v>0</v>
      </c>
      <c r="CAG48" s="57">
        <f>'REG y VAL POE - AESR - ESR'!AK3703</f>
        <v>0</v>
      </c>
      <c r="CAH48" s="57">
        <f>'REG y VAL POE - AESR - ESR'!AL3703</f>
        <v>0</v>
      </c>
      <c r="CAI48" s="57">
        <f>'REG y VAL POE - AESR - ESR'!AM3703</f>
        <v>0</v>
      </c>
      <c r="CAJ48" s="57">
        <f>'REG y VAL POE - AESR - ESR'!AN3703</f>
        <v>0</v>
      </c>
      <c r="CAK48" s="57">
        <f>'REG y VAL POE - AESR - ESR'!AO3703</f>
        <v>0</v>
      </c>
      <c r="CAL48" s="57">
        <f>'REG y VAL POE - AESR - ESR'!AP3703</f>
        <v>0</v>
      </c>
      <c r="CAM48" s="57">
        <f>'REG y VAL POE - AESR - ESR'!AQ3703</f>
        <v>0</v>
      </c>
      <c r="CAN48" s="57">
        <f>'REG y VAL POE - AESR - ESR'!AR3703</f>
        <v>0</v>
      </c>
      <c r="CAO48" s="57">
        <f>'REG y VAL POE - AESR - ESR'!AS3703</f>
        <v>0</v>
      </c>
      <c r="CAP48" s="57" t="str">
        <f>'REG y VAL POE - AESR - ESR'!B3704</f>
        <v>Reyes Morales Mariela</v>
      </c>
      <c r="CAQ48" s="57" t="str">
        <f>'REG y VAL POE - AESR - ESR'!C3704</f>
        <v>POE-RG</v>
      </c>
      <c r="CAR48" s="56">
        <f>'REG y VAL POE - AESR - ESR'!D3704</f>
        <v>23146503</v>
      </c>
      <c r="CAS48" s="56">
        <f>'REG y VAL POE - AESR - ESR'!E3704</f>
        <v>0</v>
      </c>
      <c r="CAT48" s="57">
        <f>'REG y VAL POE - AESR - ESR'!F3704</f>
        <v>0</v>
      </c>
      <c r="CAU48" s="390">
        <f>'REG y VAL POE - AESR - ESR'!G3704</f>
        <v>45376</v>
      </c>
      <c r="CAV48" s="390">
        <f>'REG y VAL POE - AESR - ESR'!H3704</f>
        <v>45741</v>
      </c>
      <c r="CAW48" s="57" t="str">
        <f>'REG y VAL POE - AESR - ESR'!I3704</f>
        <v>SI</v>
      </c>
      <c r="CAX48" s="57" t="str">
        <f>'REG y VAL POE - AESR - ESR'!J3704</f>
        <v>Vigente</v>
      </c>
      <c r="CAY48" s="57" t="str">
        <f>'REG y VAL POE - AESR - ESR'!K3704</f>
        <v>SI</v>
      </c>
      <c r="CAZ48" s="57" t="str">
        <f>'REG y VAL POE - AESR - ESR'!L3704</f>
        <v>Vigente</v>
      </c>
      <c r="CBA48" s="57" t="str">
        <f>'REG y VAL POE - AESR - ESR'!M3704</f>
        <v>NO</v>
      </c>
      <c r="CBB48" s="57" t="str">
        <f>'REG y VAL POE - AESR - ESR'!N3704</f>
        <v>Apendice ByC no llenos-c/historial aparte-falta firma RL</v>
      </c>
      <c r="CBC48" s="57" t="str">
        <f>'REG y VAL POE - AESR - ESR'!O3704</f>
        <v>SI</v>
      </c>
      <c r="CBD48" s="57">
        <f>'REG y VAL POE - AESR - ESR'!P3704</f>
        <v>0</v>
      </c>
      <c r="CBE48" s="57" t="str">
        <f>'REG y VAL POE - AESR - ESR'!Q3704</f>
        <v>SI</v>
      </c>
      <c r="CBF48" s="57" t="str">
        <f>'REG y VAL POE - AESR - ESR'!R3704</f>
        <v>PASAPORTE</v>
      </c>
      <c r="CBG48" s="57" t="str">
        <f>'REG y VAL POE - AESR - ESR'!S3704</f>
        <v>SI</v>
      </c>
      <c r="CBH48" s="57" t="str">
        <f>'REG y VAL POE - AESR - ESR'!T3704</f>
        <v>NO</v>
      </c>
      <c r="CBI48" s="57" t="str">
        <f>'REG y VAL POE - AESR - ESR'!U3704</f>
        <v>NO</v>
      </c>
      <c r="CBJ48" s="57" t="str">
        <f>'REG y VAL POE - AESR - ESR'!V3704</f>
        <v>SI</v>
      </c>
      <c r="CBK48" s="57">
        <f>'REG y VAL POE - AESR - ESR'!W3704</f>
        <v>0</v>
      </c>
      <c r="CBL48" s="57">
        <f>'REG y VAL POE - AESR - ESR'!X3704</f>
        <v>0</v>
      </c>
      <c r="CBM48" s="57">
        <f>'REG y VAL POE - AESR - ESR'!Y3704</f>
        <v>0</v>
      </c>
      <c r="CBN48" s="57" t="str">
        <f>'REG y VAL POE - AESR - ESR'!Z3704</f>
        <v>SI</v>
      </c>
      <c r="CBO48" s="57">
        <f>'REG y VAL POE - AESR - ESR'!AA3704</f>
        <v>0</v>
      </c>
      <c r="CBP48" s="57">
        <f>'REG y VAL POE - AESR - ESR'!AB3704</f>
        <v>0</v>
      </c>
      <c r="CBQ48" s="57">
        <f>'REG y VAL POE - AESR - ESR'!AC3704</f>
        <v>0</v>
      </c>
      <c r="CBR48" s="57">
        <f>'REG y VAL POE - AESR - ESR'!AD3704</f>
        <v>0</v>
      </c>
      <c r="CBS48" s="57">
        <f>'REG y VAL POE - AESR - ESR'!AE3704</f>
        <v>0</v>
      </c>
      <c r="CBT48" s="57" t="str">
        <f>'REG y VAL POE - AESR - ESR'!AF3704</f>
        <v>SI</v>
      </c>
      <c r="CBU48" s="57">
        <f>'REG y VAL POE - AESR - ESR'!AG3704</f>
        <v>0</v>
      </c>
      <c r="CBV48" s="57">
        <f>'REG y VAL POE - AESR - ESR'!AH3704</f>
        <v>0</v>
      </c>
      <c r="CBW48" s="57">
        <f>'REG y VAL POE - AESR - ESR'!AI3704</f>
        <v>0</v>
      </c>
      <c r="CBX48" s="57">
        <f>'REG y VAL POE - AESR - ESR'!AJ3704</f>
        <v>0</v>
      </c>
      <c r="CBY48" s="57">
        <f>'REG y VAL POE - AESR - ESR'!AK3704</f>
        <v>0</v>
      </c>
      <c r="CBZ48" s="57" t="str">
        <f>'REG y VAL POE - AESR - ESR'!AL3704</f>
        <v>SI</v>
      </c>
      <c r="CCA48" s="57" t="str">
        <f>'REG y VAL POE - AESR - ESR'!AM3704</f>
        <v>SI</v>
      </c>
      <c r="CCB48" s="57">
        <f>'REG y VAL POE - AESR - ESR'!AN3704</f>
        <v>0</v>
      </c>
      <c r="CCC48" s="57" t="str">
        <f>'REG y VAL POE - AESR - ESR'!AO3704</f>
        <v>SI</v>
      </c>
      <c r="CCD48" s="57">
        <f>'REG y VAL POE - AESR - ESR'!AP3704</f>
        <v>0</v>
      </c>
      <c r="CCE48" s="57">
        <f>'REG y VAL POE - AESR - ESR'!AQ3704</f>
        <v>0</v>
      </c>
      <c r="CCF48" s="57" t="str">
        <f>'REG y VAL POE - AESR - ESR'!AR3704</f>
        <v>THSCAN</v>
      </c>
      <c r="CCG48" s="57" t="str">
        <f>'REG y VAL POE - AESR - ESR'!AS3704</f>
        <v>VACIS PORTAL</v>
      </c>
      <c r="CCH48" s="57" t="str">
        <f>'REG y VAL POE - AESR - ESR'!B3705</f>
        <v>Rivera Blanco Jennysey Didier</v>
      </c>
      <c r="CCI48" s="57" t="str">
        <f>'REG y VAL POE - AESR - ESR'!C3705</f>
        <v>POE-RG</v>
      </c>
      <c r="CCJ48" s="56">
        <f>'REG y VAL POE - AESR - ESR'!D3705</f>
        <v>23160431</v>
      </c>
      <c r="CCK48" s="56">
        <f>'REG y VAL POE - AESR - ESR'!E3705</f>
        <v>0</v>
      </c>
      <c r="CCL48" s="57">
        <f>'REG y VAL POE - AESR - ESR'!F3705</f>
        <v>0</v>
      </c>
      <c r="CCM48" s="390">
        <f>'REG y VAL POE - AESR - ESR'!G3705</f>
        <v>45375</v>
      </c>
      <c r="CCN48" s="390">
        <f>'REG y VAL POE - AESR - ESR'!H3705</f>
        <v>45740</v>
      </c>
      <c r="CCO48" s="57" t="str">
        <f>'REG y VAL POE - AESR - ESR'!I3705</f>
        <v>SI</v>
      </c>
      <c r="CCP48" s="57" t="str">
        <f>'REG y VAL POE - AESR - ESR'!J3705</f>
        <v>Vigente</v>
      </c>
      <c r="CCQ48" s="57" t="str">
        <f>'REG y VAL POE - AESR - ESR'!K3705</f>
        <v>SI</v>
      </c>
      <c r="CCR48" s="57" t="str">
        <f>'REG y VAL POE - AESR - ESR'!L3705</f>
        <v>Vigente</v>
      </c>
      <c r="CCS48" s="57" t="str">
        <f>'REG y VAL POE - AESR - ESR'!M3705</f>
        <v>NO</v>
      </c>
      <c r="CCT48" s="57" t="str">
        <f>'REG y VAL POE - AESR - ESR'!N3705</f>
        <v>Apendice ByC no llenos-c/historial aparte-falta firma RL</v>
      </c>
      <c r="CCU48" s="57" t="str">
        <f>'REG y VAL POE - AESR - ESR'!O3705</f>
        <v>CONSTANCIA</v>
      </c>
      <c r="CCV48" s="57">
        <f>'REG y VAL POE - AESR - ESR'!P3705</f>
        <v>0</v>
      </c>
      <c r="CCW48" s="57" t="str">
        <f>'REG y VAL POE - AESR - ESR'!Q3705</f>
        <v>SI</v>
      </c>
      <c r="CCX48" s="57" t="str">
        <f>'REG y VAL POE - AESR - ESR'!R3705</f>
        <v>SI</v>
      </c>
      <c r="CCY48" s="57" t="str">
        <f>'REG y VAL POE - AESR - ESR'!S3705</f>
        <v>SI</v>
      </c>
      <c r="CCZ48" s="57" t="str">
        <f>'REG y VAL POE - AESR - ESR'!T3705</f>
        <v>SI</v>
      </c>
      <c r="CDA48" s="57" t="str">
        <f>'REG y VAL POE - AESR - ESR'!U3705</f>
        <v>NO</v>
      </c>
      <c r="CDB48" s="57" t="str">
        <f>'REG y VAL POE - AESR - ESR'!V3705</f>
        <v>SI</v>
      </c>
      <c r="CDC48" s="57">
        <f>'REG y VAL POE - AESR - ESR'!W3705</f>
        <v>0</v>
      </c>
      <c r="CDD48" s="57">
        <f>'REG y VAL POE - AESR - ESR'!X3705</f>
        <v>0</v>
      </c>
      <c r="CDE48" s="57">
        <f>'REG y VAL POE - AESR - ESR'!Y3705</f>
        <v>0</v>
      </c>
      <c r="CDF48" s="57" t="str">
        <f>'REG y VAL POE - AESR - ESR'!Z3705</f>
        <v>SI</v>
      </c>
      <c r="CDG48" s="57">
        <f>'REG y VAL POE - AESR - ESR'!AA3705</f>
        <v>0</v>
      </c>
      <c r="CDH48" s="57">
        <f>'REG y VAL POE - AESR - ESR'!AB3705</f>
        <v>0</v>
      </c>
      <c r="CDI48" s="57">
        <f>'REG y VAL POE - AESR - ESR'!AC3705</f>
        <v>0</v>
      </c>
      <c r="CDJ48" s="57">
        <f>'REG y VAL POE - AESR - ESR'!AD3705</f>
        <v>0</v>
      </c>
      <c r="CDK48" s="57">
        <f>'REG y VAL POE - AESR - ESR'!AE3705</f>
        <v>0</v>
      </c>
      <c r="CDL48" s="57">
        <f>'REG y VAL POE - AESR - ESR'!AF3705</f>
        <v>0</v>
      </c>
      <c r="CDM48" s="57">
        <f>'REG y VAL POE - AESR - ESR'!AG3705</f>
        <v>0</v>
      </c>
      <c r="CDN48" s="57">
        <f>'REG y VAL POE - AESR - ESR'!AH3705</f>
        <v>0</v>
      </c>
      <c r="CDO48" s="57">
        <f>'REG y VAL POE - AESR - ESR'!AI3705</f>
        <v>0</v>
      </c>
      <c r="CDP48" s="57">
        <f>'REG y VAL POE - AESR - ESR'!AJ3705</f>
        <v>0</v>
      </c>
      <c r="CDQ48" s="57">
        <f>'REG y VAL POE - AESR - ESR'!AK3705</f>
        <v>0</v>
      </c>
      <c r="CDR48" s="57" t="str">
        <f>'REG y VAL POE - AESR - ESR'!AL3705</f>
        <v>SI</v>
      </c>
      <c r="CDS48" s="57">
        <f>'REG y VAL POE - AESR - ESR'!AM3705</f>
        <v>0</v>
      </c>
      <c r="CDT48" s="57">
        <f>'REG y VAL POE - AESR - ESR'!AN3705</f>
        <v>0</v>
      </c>
      <c r="CDU48" s="57">
        <f>'REG y VAL POE - AESR - ESR'!AO3705</f>
        <v>0</v>
      </c>
      <c r="CDV48" s="57">
        <f>'REG y VAL POE - AESR - ESR'!AP3705</f>
        <v>0</v>
      </c>
      <c r="CDW48" s="57">
        <f>'REG y VAL POE - AESR - ESR'!AQ3705</f>
        <v>0</v>
      </c>
      <c r="CDX48" s="57" t="str">
        <f>'REG y VAL POE - AESR - ESR'!AR3705</f>
        <v>VACIS PORTAL</v>
      </c>
      <c r="CDY48" s="57">
        <f>'REG y VAL POE - AESR - ESR'!AS3705</f>
        <v>0</v>
      </c>
      <c r="CDZ48" s="57" t="str">
        <f>'REG y VAL POE - AESR - ESR'!B3706</f>
        <v xml:space="preserve">Rocha Mar Alexis Alberto </v>
      </c>
      <c r="CEA48" s="57">
        <f>'REG y VAL POE - AESR - ESR'!C3706</f>
        <v>0</v>
      </c>
      <c r="CEB48" s="56">
        <f>'REG y VAL POE - AESR - ESR'!D3706</f>
        <v>23094900</v>
      </c>
      <c r="CEC48" s="56">
        <f>'REG y VAL POE - AESR - ESR'!E3706</f>
        <v>0</v>
      </c>
      <c r="CED48" s="57">
        <f>'REG y VAL POE - AESR - ESR'!F3706</f>
        <v>0</v>
      </c>
      <c r="CEE48" s="390">
        <f>'REG y VAL POE - AESR - ESR'!G3706</f>
        <v>0</v>
      </c>
      <c r="CEF48" s="390">
        <f>'REG y VAL POE - AESR - ESR'!H3706</f>
        <v>0</v>
      </c>
      <c r="CEG48" s="57">
        <f>'REG y VAL POE - AESR - ESR'!I3706</f>
        <v>0</v>
      </c>
      <c r="CEH48" s="57">
        <f>'REG y VAL POE - AESR - ESR'!J3706</f>
        <v>0</v>
      </c>
      <c r="CEI48" s="57">
        <f>'REG y VAL POE - AESR - ESR'!K3706</f>
        <v>0</v>
      </c>
      <c r="CEJ48" s="57">
        <f>'REG y VAL POE - AESR - ESR'!L3706</f>
        <v>0</v>
      </c>
      <c r="CEK48" s="57">
        <f>'REG y VAL POE - AESR - ESR'!M3706</f>
        <v>0</v>
      </c>
      <c r="CEL48" s="57">
        <f>'REG y VAL POE - AESR - ESR'!N3706</f>
        <v>0</v>
      </c>
      <c r="CEM48" s="57">
        <f>'REG y VAL POE - AESR - ESR'!O3706</f>
        <v>0</v>
      </c>
      <c r="CEN48" s="57">
        <f>'REG y VAL POE - AESR - ESR'!P3706</f>
        <v>0</v>
      </c>
      <c r="CEO48" s="57">
        <f>'REG y VAL POE - AESR - ESR'!Q3706</f>
        <v>0</v>
      </c>
      <c r="CEP48" s="57">
        <f>'REG y VAL POE - AESR - ESR'!R3706</f>
        <v>0</v>
      </c>
      <c r="CEQ48" s="57">
        <f>'REG y VAL POE - AESR - ESR'!S3706</f>
        <v>0</v>
      </c>
      <c r="CER48" s="57">
        <f>'REG y VAL POE - AESR - ESR'!T3706</f>
        <v>0</v>
      </c>
      <c r="CES48" s="57">
        <f>'REG y VAL POE - AESR - ESR'!U3706</f>
        <v>0</v>
      </c>
      <c r="CET48" s="57">
        <f>'REG y VAL POE - AESR - ESR'!V3706</f>
        <v>0</v>
      </c>
      <c r="CEU48" s="57">
        <f>'REG y VAL POE - AESR - ESR'!W3706</f>
        <v>0</v>
      </c>
      <c r="CEV48" s="57">
        <f>'REG y VAL POE - AESR - ESR'!X3706</f>
        <v>0</v>
      </c>
      <c r="CEW48" s="57">
        <f>'REG y VAL POE - AESR - ESR'!Y3706</f>
        <v>0</v>
      </c>
      <c r="CEX48" s="57">
        <f>'REG y VAL POE - AESR - ESR'!Z3706</f>
        <v>0</v>
      </c>
      <c r="CEY48" s="57">
        <f>'REG y VAL POE - AESR - ESR'!AA3706</f>
        <v>0</v>
      </c>
      <c r="CEZ48" s="57">
        <f>'REG y VAL POE - AESR - ESR'!AB3706</f>
        <v>0</v>
      </c>
      <c r="CFA48" s="57">
        <f>'REG y VAL POE - AESR - ESR'!AC3706</f>
        <v>0</v>
      </c>
      <c r="CFB48" s="57">
        <f>'REG y VAL POE - AESR - ESR'!AD3706</f>
        <v>0</v>
      </c>
      <c r="CFC48" s="57">
        <f>'REG y VAL POE - AESR - ESR'!AE3706</f>
        <v>0</v>
      </c>
      <c r="CFD48" s="57">
        <f>'REG y VAL POE - AESR - ESR'!AF3706</f>
        <v>0</v>
      </c>
      <c r="CFE48" s="57">
        <f>'REG y VAL POE - AESR - ESR'!AG3706</f>
        <v>0</v>
      </c>
      <c r="CFF48" s="57">
        <f>'REG y VAL POE - AESR - ESR'!AH3706</f>
        <v>0</v>
      </c>
      <c r="CFG48" s="57">
        <f>'REG y VAL POE - AESR - ESR'!AI3706</f>
        <v>0</v>
      </c>
      <c r="CFH48" s="57">
        <f>'REG y VAL POE - AESR - ESR'!AJ3706</f>
        <v>0</v>
      </c>
      <c r="CFI48" s="57">
        <f>'REG y VAL POE - AESR - ESR'!AK3706</f>
        <v>0</v>
      </c>
      <c r="CFJ48" s="57">
        <f>'REG y VAL POE - AESR - ESR'!AL3706</f>
        <v>0</v>
      </c>
      <c r="CFK48" s="57">
        <f>'REG y VAL POE - AESR - ESR'!AM3706</f>
        <v>0</v>
      </c>
      <c r="CFL48" s="57">
        <f>'REG y VAL POE - AESR - ESR'!AN3706</f>
        <v>0</v>
      </c>
      <c r="CFM48" s="57">
        <f>'REG y VAL POE - AESR - ESR'!AO3706</f>
        <v>0</v>
      </c>
      <c r="CFN48" s="57">
        <f>'REG y VAL POE - AESR - ESR'!AP3706</f>
        <v>0</v>
      </c>
      <c r="CFO48" s="57">
        <f>'REG y VAL POE - AESR - ESR'!AQ3706</f>
        <v>0</v>
      </c>
      <c r="CFP48" s="57">
        <f>'REG y VAL POE - AESR - ESR'!AR3706</f>
        <v>0</v>
      </c>
      <c r="CFQ48" s="57">
        <f>'REG y VAL POE - AESR - ESR'!AS3706</f>
        <v>0</v>
      </c>
      <c r="CFR48" s="57" t="str">
        <f>'REG y VAL POE - AESR - ESR'!B3707</f>
        <v>Rodriguez Gomez Ulises Alberto</v>
      </c>
      <c r="CFS48" s="57" t="str">
        <f>'REG y VAL POE - AESR - ESR'!C3707</f>
        <v>POE-RG</v>
      </c>
      <c r="CFT48" s="56">
        <f>'REG y VAL POE - AESR - ESR'!D3707</f>
        <v>23166013</v>
      </c>
      <c r="CFU48" s="56">
        <f>'REG y VAL POE - AESR - ESR'!E3707</f>
        <v>0</v>
      </c>
      <c r="CFV48" s="57">
        <f>'REG y VAL POE - AESR - ESR'!F3707</f>
        <v>0</v>
      </c>
      <c r="CFW48" s="390">
        <f>'REG y VAL POE - AESR - ESR'!G3707</f>
        <v>45383</v>
      </c>
      <c r="CFX48" s="390">
        <f>'REG y VAL POE - AESR - ESR'!H3707</f>
        <v>45748</v>
      </c>
      <c r="CFY48" s="57" t="str">
        <f>'REG y VAL POE - AESR - ESR'!I3707</f>
        <v>SI</v>
      </c>
      <c r="CFZ48" s="57" t="str">
        <f>'REG y VAL POE - AESR - ESR'!J3707</f>
        <v>Vigente</v>
      </c>
      <c r="CGA48" s="57" t="str">
        <f>'REG y VAL POE - AESR - ESR'!K3707</f>
        <v>SI</v>
      </c>
      <c r="CGB48" s="57" t="str">
        <f>'REG y VAL POE - AESR - ESR'!L3707</f>
        <v>Vigente</v>
      </c>
      <c r="CGC48" s="57" t="str">
        <f>'REG y VAL POE - AESR - ESR'!M3707</f>
        <v>NO</v>
      </c>
      <c r="CGD48" s="57" t="str">
        <f>'REG y VAL POE - AESR - ESR'!N3707</f>
        <v>Apendice ByC no llenos-c/historial aparte-falta firma RL</v>
      </c>
      <c r="CGE48" s="57" t="str">
        <f>'REG y VAL POE - AESR - ESR'!O3707</f>
        <v>CERTIFICADO TECNICO</v>
      </c>
      <c r="CGF48" s="57">
        <f>'REG y VAL POE - AESR - ESR'!P3707</f>
        <v>0</v>
      </c>
      <c r="CGG48" s="57" t="str">
        <f>'REG y VAL POE - AESR - ESR'!Q3707</f>
        <v>SI</v>
      </c>
      <c r="CGH48" s="57" t="str">
        <f>'REG y VAL POE - AESR - ESR'!R3707</f>
        <v>SI</v>
      </c>
      <c r="CGI48" s="57" t="str">
        <f>'REG y VAL POE - AESR - ESR'!S3707</f>
        <v>SI</v>
      </c>
      <c r="CGJ48" s="57" t="str">
        <f>'REG y VAL POE - AESR - ESR'!T3707</f>
        <v>NO</v>
      </c>
      <c r="CGK48" s="57" t="str">
        <f>'REG y VAL POE - AESR - ESR'!U3707</f>
        <v>NO</v>
      </c>
      <c r="CGL48" s="57" t="str">
        <f>'REG y VAL POE - AESR - ESR'!V3707</f>
        <v>SI</v>
      </c>
      <c r="CGM48" s="57">
        <f>'REG y VAL POE - AESR - ESR'!W3707</f>
        <v>0</v>
      </c>
      <c r="CGN48" s="57">
        <f>'REG y VAL POE - AESR - ESR'!X3707</f>
        <v>0</v>
      </c>
      <c r="CGO48" s="57">
        <f>'REG y VAL POE - AESR - ESR'!Y3707</f>
        <v>0</v>
      </c>
      <c r="CGP48" s="57" t="str">
        <f>'REG y VAL POE - AESR - ESR'!Z3707</f>
        <v>SI</v>
      </c>
      <c r="CGQ48" s="57">
        <f>'REG y VAL POE - AESR - ESR'!AA3707</f>
        <v>0</v>
      </c>
      <c r="CGR48" s="57">
        <f>'REG y VAL POE - AESR - ESR'!AB3707</f>
        <v>0</v>
      </c>
      <c r="CGS48" s="57">
        <f>'REG y VAL POE - AESR - ESR'!AC3707</f>
        <v>0</v>
      </c>
      <c r="CGT48" s="57">
        <f>'REG y VAL POE - AESR - ESR'!AD3707</f>
        <v>0</v>
      </c>
      <c r="CGU48" s="57">
        <f>'REG y VAL POE - AESR - ESR'!AE3707</f>
        <v>0</v>
      </c>
      <c r="CGV48" s="57" t="str">
        <f>'REG y VAL POE - AESR - ESR'!AF3707</f>
        <v>SI</v>
      </c>
      <c r="CGW48" s="57">
        <f>'REG y VAL POE - AESR - ESR'!AG3707</f>
        <v>0</v>
      </c>
      <c r="CGX48" s="57">
        <f>'REG y VAL POE - AESR - ESR'!AH3707</f>
        <v>0</v>
      </c>
      <c r="CGY48" s="57">
        <f>'REG y VAL POE - AESR - ESR'!AI3707</f>
        <v>0</v>
      </c>
      <c r="CGZ48" s="57">
        <f>'REG y VAL POE - AESR - ESR'!AJ3707</f>
        <v>0</v>
      </c>
      <c r="CHA48" s="57">
        <f>'REG y VAL POE - AESR - ESR'!AK3707</f>
        <v>0</v>
      </c>
      <c r="CHB48" s="57">
        <f>'REG y VAL POE - AESR - ESR'!AL3707</f>
        <v>0</v>
      </c>
      <c r="CHC48" s="57">
        <f>'REG y VAL POE - AESR - ESR'!AM3707</f>
        <v>0</v>
      </c>
      <c r="CHD48" s="57">
        <f>'REG y VAL POE - AESR - ESR'!AN3707</f>
        <v>0</v>
      </c>
      <c r="CHE48" s="57" t="str">
        <f>'REG y VAL POE - AESR - ESR'!AO3707</f>
        <v>SI</v>
      </c>
      <c r="CHF48" s="57">
        <f>'REG y VAL POE - AESR - ESR'!AP3707</f>
        <v>0</v>
      </c>
      <c r="CHG48" s="57">
        <f>'REG y VAL POE - AESR - ESR'!AQ3707</f>
        <v>0</v>
      </c>
      <c r="CHH48" s="57" t="str">
        <f>'REG y VAL POE - AESR - ESR'!AR3707</f>
        <v>VACIS PORTAL</v>
      </c>
      <c r="CHI48" s="57" t="str">
        <f>'REG y VAL POE - AESR - ESR'!AS3707</f>
        <v>THSCAN</v>
      </c>
      <c r="CHJ48" s="57" t="str">
        <f>'REG y VAL POE - AESR - ESR'!B3708</f>
        <v>Rojas Fermin Hector</v>
      </c>
      <c r="CHK48" s="57" t="str">
        <f>'REG y VAL POE - AESR - ESR'!C3708</f>
        <v>POE-RG</v>
      </c>
      <c r="CHL48" s="56">
        <f>'REG y VAL POE - AESR - ESR'!D3708</f>
        <v>22199855</v>
      </c>
      <c r="CHM48" s="56">
        <f>'REG y VAL POE - AESR - ESR'!E3708</f>
        <v>0</v>
      </c>
      <c r="CHN48" s="57">
        <f>'REG y VAL POE - AESR - ESR'!F3708</f>
        <v>0</v>
      </c>
      <c r="CHO48" s="390">
        <f>'REG y VAL POE - AESR - ESR'!G3708</f>
        <v>45377</v>
      </c>
      <c r="CHP48" s="390">
        <f>'REG y VAL POE - AESR - ESR'!H3708</f>
        <v>45742</v>
      </c>
      <c r="CHQ48" s="57" t="str">
        <f>'REG y VAL POE - AESR - ESR'!I3708</f>
        <v>SI</v>
      </c>
      <c r="CHR48" s="57" t="str">
        <f>'REG y VAL POE - AESR - ESR'!J3708</f>
        <v>Vigente</v>
      </c>
      <c r="CHS48" s="57" t="str">
        <f>'REG y VAL POE - AESR - ESR'!K3708</f>
        <v>SI</v>
      </c>
      <c r="CHT48" s="57" t="str">
        <f>'REG y VAL POE - AESR - ESR'!L3708</f>
        <v>Vigente</v>
      </c>
      <c r="CHU48" s="57" t="str">
        <f>'REG y VAL POE - AESR - ESR'!M3708</f>
        <v>NO</v>
      </c>
      <c r="CHV48" s="57" t="str">
        <f>'REG y VAL POE - AESR - ESR'!N3708</f>
        <v>Apendice ByC no llenos-c/historial aparte-falta firma RL</v>
      </c>
      <c r="CHW48" s="57" t="str">
        <f>'REG y VAL POE - AESR - ESR'!O3708</f>
        <v>DOCUMENTO NO CLARO</v>
      </c>
      <c r="CHX48" s="57">
        <f>'REG y VAL POE - AESR - ESR'!P3708</f>
        <v>0</v>
      </c>
      <c r="CHY48" s="57" t="str">
        <f>'REG y VAL POE - AESR - ESR'!Q3708</f>
        <v>SI</v>
      </c>
      <c r="CHZ48" s="57" t="str">
        <f>'REG y VAL POE - AESR - ESR'!R3708</f>
        <v>SI</v>
      </c>
      <c r="CIA48" s="57" t="str">
        <f>'REG y VAL POE - AESR - ESR'!S3708</f>
        <v>SI</v>
      </c>
      <c r="CIB48" s="57" t="str">
        <f>'REG y VAL POE - AESR - ESR'!T3708</f>
        <v>NO</v>
      </c>
      <c r="CIC48" s="57" t="str">
        <f>'REG y VAL POE - AESR - ESR'!U3708</f>
        <v>NO</v>
      </c>
      <c r="CID48" s="57" t="str">
        <f>'REG y VAL POE - AESR - ESR'!V3708</f>
        <v>SI</v>
      </c>
      <c r="CIE48" s="57">
        <f>'REG y VAL POE - AESR - ESR'!W3708</f>
        <v>0</v>
      </c>
      <c r="CIF48" s="57">
        <f>'REG y VAL POE - AESR - ESR'!X3708</f>
        <v>0</v>
      </c>
      <c r="CIG48" s="57">
        <f>'REG y VAL POE - AESR - ESR'!Y3708</f>
        <v>0</v>
      </c>
      <c r="CIH48" s="57" t="str">
        <f>'REG y VAL POE - AESR - ESR'!Z3708</f>
        <v>SI</v>
      </c>
      <c r="CII48" s="57">
        <f>'REG y VAL POE - AESR - ESR'!AA3708</f>
        <v>0</v>
      </c>
      <c r="CIJ48" s="57">
        <f>'REG y VAL POE - AESR - ESR'!AB3708</f>
        <v>0</v>
      </c>
      <c r="CIK48" s="57">
        <f>'REG y VAL POE - AESR - ESR'!AC3708</f>
        <v>0</v>
      </c>
      <c r="CIL48" s="57">
        <f>'REG y VAL POE - AESR - ESR'!AD3708</f>
        <v>0</v>
      </c>
      <c r="CIM48" s="57">
        <f>'REG y VAL POE - AESR - ESR'!AE3708</f>
        <v>0</v>
      </c>
      <c r="CIN48" s="57">
        <f>'REG y VAL POE - AESR - ESR'!AF3708</f>
        <v>0</v>
      </c>
      <c r="CIO48" s="57">
        <f>'REG y VAL POE - AESR - ESR'!AG3708</f>
        <v>0</v>
      </c>
      <c r="CIP48" s="57">
        <f>'REG y VAL POE - AESR - ESR'!AH3708</f>
        <v>0</v>
      </c>
      <c r="CIQ48" s="57">
        <f>'REG y VAL POE - AESR - ESR'!AI3708</f>
        <v>0</v>
      </c>
      <c r="CIR48" s="57">
        <f>'REG y VAL POE - AESR - ESR'!AJ3708</f>
        <v>0</v>
      </c>
      <c r="CIS48" s="57">
        <f>'REG y VAL POE - AESR - ESR'!AK3708</f>
        <v>0</v>
      </c>
      <c r="CIT48" s="57">
        <f>'REG y VAL POE - AESR - ESR'!AL3708</f>
        <v>0</v>
      </c>
      <c r="CIU48" s="57">
        <f>'REG y VAL POE - AESR - ESR'!AM3708</f>
        <v>0</v>
      </c>
      <c r="CIV48" s="57">
        <f>'REG y VAL POE - AESR - ESR'!AN3708</f>
        <v>0</v>
      </c>
      <c r="CIW48" s="57">
        <f>'REG y VAL POE - AESR - ESR'!AO3708</f>
        <v>0</v>
      </c>
      <c r="CIX48" s="57">
        <f>'REG y VAL POE - AESR - ESR'!AP3708</f>
        <v>0</v>
      </c>
      <c r="CIY48" s="57">
        <f>'REG y VAL POE - AESR - ESR'!AQ3708</f>
        <v>0</v>
      </c>
      <c r="CIZ48" s="57">
        <f>'REG y VAL POE - AESR - ESR'!AR3708</f>
        <v>0</v>
      </c>
      <c r="CJA48" s="57">
        <f>'REG y VAL POE - AESR - ESR'!AS3708</f>
        <v>0</v>
      </c>
      <c r="CJB48" s="57" t="str">
        <f>'REG y VAL POE - AESR - ESR'!B3709</f>
        <v xml:space="preserve">Rosario Aguirre Flavio Alonso </v>
      </c>
      <c r="CJC48" s="57" t="str">
        <f>'REG y VAL POE - AESR - ESR'!C3709</f>
        <v>POE-RG</v>
      </c>
      <c r="CJD48" s="56">
        <f>'REG y VAL POE - AESR - ESR'!D3709</f>
        <v>23148135</v>
      </c>
      <c r="CJE48" s="56">
        <f>'REG y VAL POE - AESR - ESR'!E3709</f>
        <v>0</v>
      </c>
      <c r="CJF48" s="57">
        <f>'REG y VAL POE - AESR - ESR'!F3709</f>
        <v>0</v>
      </c>
      <c r="CJG48" s="390">
        <f>'REG y VAL POE - AESR - ESR'!G3709</f>
        <v>45383</v>
      </c>
      <c r="CJH48" s="390">
        <f>'REG y VAL POE - AESR - ESR'!H3709</f>
        <v>45748</v>
      </c>
      <c r="CJI48" s="57" t="str">
        <f>'REG y VAL POE - AESR - ESR'!I3709</f>
        <v>NO</v>
      </c>
      <c r="CJJ48" s="57">
        <f>'REG y VAL POE - AESR - ESR'!J3709</f>
        <v>0</v>
      </c>
      <c r="CJK48" s="57" t="str">
        <f>'REG y VAL POE - AESR - ESR'!K3709</f>
        <v>NO</v>
      </c>
      <c r="CJL48" s="57">
        <f>'REG y VAL POE - AESR - ESR'!L3709</f>
        <v>0</v>
      </c>
      <c r="CJM48" s="57" t="str">
        <f>'REG y VAL POE - AESR - ESR'!M3709</f>
        <v>NO</v>
      </c>
      <c r="CJN48" s="57" t="str">
        <f>'REG y VAL POE - AESR - ESR'!N3709</f>
        <v>Apendice ByC no llenos-c/historial aparte-falta firma RL</v>
      </c>
      <c r="CJO48" s="57" t="str">
        <f>'REG y VAL POE - AESR - ESR'!O3709</f>
        <v>SOLO CERTIFICADO CON MATERIAS</v>
      </c>
      <c r="CJP48" s="57">
        <f>'REG y VAL POE - AESR - ESR'!P3709</f>
        <v>0</v>
      </c>
      <c r="CJQ48" s="57" t="str">
        <f>'REG y VAL POE - AESR - ESR'!Q3709</f>
        <v>SI</v>
      </c>
      <c r="CJR48" s="57" t="str">
        <f>'REG y VAL POE - AESR - ESR'!R3709</f>
        <v>SI</v>
      </c>
      <c r="CJS48" s="57" t="str">
        <f>'REG y VAL POE - AESR - ESR'!S3709</f>
        <v>SI</v>
      </c>
      <c r="CJT48" s="57" t="str">
        <f>'REG y VAL POE - AESR - ESR'!T3709</f>
        <v>NO</v>
      </c>
      <c r="CJU48" s="57" t="str">
        <f>'REG y VAL POE - AESR - ESR'!U3709</f>
        <v>NO</v>
      </c>
      <c r="CJV48" s="57" t="str">
        <f>'REG y VAL POE - AESR - ESR'!V3709</f>
        <v>SI</v>
      </c>
      <c r="CJW48" s="57">
        <f>'REG y VAL POE - AESR - ESR'!W3709</f>
        <v>0</v>
      </c>
      <c r="CJX48" s="57">
        <f>'REG y VAL POE - AESR - ESR'!X3709</f>
        <v>0</v>
      </c>
      <c r="CJY48" s="57">
        <f>'REG y VAL POE - AESR - ESR'!Y3709</f>
        <v>0</v>
      </c>
      <c r="CJZ48" s="57" t="str">
        <f>'REG y VAL POE - AESR - ESR'!Z3709</f>
        <v>SI</v>
      </c>
      <c r="CKA48" s="57">
        <f>'REG y VAL POE - AESR - ESR'!AA3709</f>
        <v>0</v>
      </c>
      <c r="CKB48" s="57">
        <f>'REG y VAL POE - AESR - ESR'!AB3709</f>
        <v>0</v>
      </c>
      <c r="CKC48" s="57">
        <f>'REG y VAL POE - AESR - ESR'!AC3709</f>
        <v>0</v>
      </c>
      <c r="CKD48" s="57">
        <f>'REG y VAL POE - AESR - ESR'!AD3709</f>
        <v>0</v>
      </c>
      <c r="CKE48" s="57">
        <f>'REG y VAL POE - AESR - ESR'!AE3709</f>
        <v>0</v>
      </c>
      <c r="CKF48" s="57">
        <f>'REG y VAL POE - AESR - ESR'!AF3709</f>
        <v>0</v>
      </c>
      <c r="CKG48" s="57">
        <f>'REG y VAL POE - AESR - ESR'!AG3709</f>
        <v>0</v>
      </c>
      <c r="CKH48" s="57">
        <f>'REG y VAL POE - AESR - ESR'!AH3709</f>
        <v>0</v>
      </c>
      <c r="CKI48" s="57">
        <f>'REG y VAL POE - AESR - ESR'!AI3709</f>
        <v>0</v>
      </c>
      <c r="CKJ48" s="57">
        <f>'REG y VAL POE - AESR - ESR'!AJ3709</f>
        <v>0</v>
      </c>
      <c r="CKK48" s="57">
        <f>'REG y VAL POE - AESR - ESR'!AK3709</f>
        <v>0</v>
      </c>
      <c r="CKL48" s="57" t="str">
        <f>'REG y VAL POE - AESR - ESR'!AL3709</f>
        <v>SI</v>
      </c>
      <c r="CKM48" s="57" t="str">
        <f>'REG y VAL POE - AESR - ESR'!AM3709</f>
        <v>SI</v>
      </c>
      <c r="CKN48" s="57">
        <f>'REG y VAL POE - AESR - ESR'!AN3709</f>
        <v>0</v>
      </c>
      <c r="CKO48" s="57">
        <f>'REG y VAL POE - AESR - ESR'!AO3709</f>
        <v>0</v>
      </c>
      <c r="CKP48" s="57">
        <f>'REG y VAL POE - AESR - ESR'!AP3709</f>
        <v>0</v>
      </c>
      <c r="CKQ48" s="57">
        <f>'REG y VAL POE - AESR - ESR'!AQ3709</f>
        <v>0</v>
      </c>
      <c r="CKR48" s="57" t="str">
        <f>'REG y VAL POE - AESR - ESR'!AR3709</f>
        <v>VACIS PORTAL</v>
      </c>
      <c r="CKS48" s="57">
        <f>'REG y VAL POE - AESR - ESR'!AS3709</f>
        <v>0</v>
      </c>
      <c r="CKT48" s="57" t="str">
        <f>'REG y VAL POE - AESR - ESR'!B3710</f>
        <v xml:space="preserve">Sampieri Croda Jose Luis </v>
      </c>
      <c r="CKU48" s="57" t="str">
        <f>'REG y VAL POE - AESR - ESR'!C3710</f>
        <v>POE-RG</v>
      </c>
      <c r="CKV48" s="56">
        <f>'REG y VAL POE - AESR - ESR'!D3710</f>
        <v>23202768</v>
      </c>
      <c r="CKW48" s="56">
        <f>'REG y VAL POE - AESR - ESR'!E3710</f>
        <v>0</v>
      </c>
      <c r="CKX48" s="57">
        <f>'REG y VAL POE - AESR - ESR'!F3710</f>
        <v>0</v>
      </c>
      <c r="CKY48" s="390">
        <f>'REG y VAL POE - AESR - ESR'!G3710</f>
        <v>45378</v>
      </c>
      <c r="CKZ48" s="390">
        <f>'REG y VAL POE - AESR - ESR'!H3710</f>
        <v>45743</v>
      </c>
      <c r="CLA48" s="57" t="str">
        <f>'REG y VAL POE - AESR - ESR'!I3710</f>
        <v>SI</v>
      </c>
      <c r="CLB48" s="57" t="str">
        <f>'REG y VAL POE - AESR - ESR'!J3710</f>
        <v>Vigente</v>
      </c>
      <c r="CLC48" s="57" t="str">
        <f>'REG y VAL POE - AESR - ESR'!K3710</f>
        <v>SI</v>
      </c>
      <c r="CLD48" s="57" t="str">
        <f>'REG y VAL POE - AESR - ESR'!L3710</f>
        <v>Vigente</v>
      </c>
      <c r="CLE48" s="57" t="str">
        <f>'REG y VAL POE - AESR - ESR'!M3710</f>
        <v>NO</v>
      </c>
      <c r="CLF48" s="57" t="str">
        <f>'REG y VAL POE - AESR - ESR'!N3710</f>
        <v>Apendice ByC no llenos-c/historial aparte-falta firma RL</v>
      </c>
      <c r="CLG48" s="57" t="str">
        <f>'REG y VAL POE - AESR - ESR'!O3710</f>
        <v>SI</v>
      </c>
      <c r="CLH48" s="57" t="str">
        <f>'REG y VAL POE - AESR - ESR'!P3710</f>
        <v>SI</v>
      </c>
      <c r="CLI48" s="57" t="str">
        <f>'REG y VAL POE - AESR - ESR'!Q3710</f>
        <v>SI</v>
      </c>
      <c r="CLJ48" s="57" t="str">
        <f>'REG y VAL POE - AESR - ESR'!R3710</f>
        <v>SI</v>
      </c>
      <c r="CLK48" s="57" t="str">
        <f>'REG y VAL POE - AESR - ESR'!S3710</f>
        <v>SI</v>
      </c>
      <c r="CLL48" s="57" t="str">
        <f>'REG y VAL POE - AESR - ESR'!T3710</f>
        <v>NO</v>
      </c>
      <c r="CLM48" s="57" t="str">
        <f>'REG y VAL POE - AESR - ESR'!U3710</f>
        <v>NO</v>
      </c>
      <c r="CLN48" s="57" t="str">
        <f>'REG y VAL POE - AESR - ESR'!V3710</f>
        <v>SI</v>
      </c>
      <c r="CLO48" s="57">
        <f>'REG y VAL POE - AESR - ESR'!W3710</f>
        <v>0</v>
      </c>
      <c r="CLP48" s="57">
        <f>'REG y VAL POE - AESR - ESR'!X3710</f>
        <v>0</v>
      </c>
      <c r="CLQ48" s="57">
        <f>'REG y VAL POE - AESR - ESR'!Y3710</f>
        <v>0</v>
      </c>
      <c r="CLR48" s="57" t="str">
        <f>'REG y VAL POE - AESR - ESR'!Z3710</f>
        <v>SI</v>
      </c>
      <c r="CLS48" s="57">
        <f>'REG y VAL POE - AESR - ESR'!AA3710</f>
        <v>0</v>
      </c>
      <c r="CLT48" s="57">
        <f>'REG y VAL POE - AESR - ESR'!AB3710</f>
        <v>0</v>
      </c>
      <c r="CLU48" s="57">
        <f>'REG y VAL POE - AESR - ESR'!AC3710</f>
        <v>0</v>
      </c>
      <c r="CLV48" s="57">
        <f>'REG y VAL POE - AESR - ESR'!AD3710</f>
        <v>0</v>
      </c>
      <c r="CLW48" s="57">
        <f>'REG y VAL POE - AESR - ESR'!AE3710</f>
        <v>0</v>
      </c>
      <c r="CLX48" s="57">
        <f>'REG y VAL POE - AESR - ESR'!AF3710</f>
        <v>0</v>
      </c>
      <c r="CLY48" s="57">
        <f>'REG y VAL POE - AESR - ESR'!AG3710</f>
        <v>0</v>
      </c>
      <c r="CLZ48" s="57">
        <f>'REG y VAL POE - AESR - ESR'!AH3710</f>
        <v>0</v>
      </c>
      <c r="CMA48" s="57">
        <f>'REG y VAL POE - AESR - ESR'!AI3710</f>
        <v>0</v>
      </c>
      <c r="CMB48" s="57">
        <f>'REG y VAL POE - AESR - ESR'!AJ3710</f>
        <v>0</v>
      </c>
      <c r="CMC48" s="57">
        <f>'REG y VAL POE - AESR - ESR'!AK3710</f>
        <v>0</v>
      </c>
      <c r="CMD48" s="57" t="str">
        <f>'REG y VAL POE - AESR - ESR'!AL3710</f>
        <v>SI</v>
      </c>
      <c r="CME48" s="57">
        <f>'REG y VAL POE - AESR - ESR'!AM3710</f>
        <v>0</v>
      </c>
      <c r="CMF48" s="57">
        <f>'REG y VAL POE - AESR - ESR'!AN3710</f>
        <v>0</v>
      </c>
      <c r="CMG48" s="57">
        <f>'REG y VAL POE - AESR - ESR'!AO3710</f>
        <v>0</v>
      </c>
      <c r="CMH48" s="57">
        <f>'REG y VAL POE - AESR - ESR'!AP3710</f>
        <v>0</v>
      </c>
      <c r="CMI48" s="57">
        <f>'REG y VAL POE - AESR - ESR'!AQ3710</f>
        <v>0</v>
      </c>
      <c r="CMJ48" s="57" t="str">
        <f>'REG y VAL POE - AESR - ESR'!AR3710</f>
        <v>VACIS PORTAL</v>
      </c>
      <c r="CMK48" s="57">
        <f>'REG y VAL POE - AESR - ESR'!AS3710</f>
        <v>0</v>
      </c>
      <c r="CML48" s="57" t="str">
        <f>'REG y VAL POE - AESR - ESR'!B3711</f>
        <v>Sanchez Zarate Jesus</v>
      </c>
      <c r="CMM48" s="57" t="str">
        <f>'REG y VAL POE - AESR - ESR'!C3711</f>
        <v>POE-RG</v>
      </c>
      <c r="CMN48" s="56">
        <f>'REG y VAL POE - AESR - ESR'!D3711</f>
        <v>23191658</v>
      </c>
      <c r="CMO48" s="56">
        <f>'REG y VAL POE - AESR - ESR'!E3711</f>
        <v>0</v>
      </c>
      <c r="CMP48" s="57">
        <f>'REG y VAL POE - AESR - ESR'!F3711</f>
        <v>0</v>
      </c>
      <c r="CMQ48" s="390">
        <f>'REG y VAL POE - AESR - ESR'!G3711</f>
        <v>45377</v>
      </c>
      <c r="CMR48" s="390">
        <f>'REG y VAL POE - AESR - ESR'!H3711</f>
        <v>45742</v>
      </c>
      <c r="CMS48" s="57" t="str">
        <f>'REG y VAL POE - AESR - ESR'!I3711</f>
        <v>SI</v>
      </c>
      <c r="CMT48" s="57" t="str">
        <f>'REG y VAL POE - AESR - ESR'!J3711</f>
        <v>Vigente</v>
      </c>
      <c r="CMU48" s="57" t="str">
        <f>'REG y VAL POE - AESR - ESR'!K3711</f>
        <v>SI</v>
      </c>
      <c r="CMV48" s="57" t="str">
        <f>'REG y VAL POE - AESR - ESR'!L3711</f>
        <v>Vigente</v>
      </c>
      <c r="CMW48" s="57" t="str">
        <f>'REG y VAL POE - AESR - ESR'!M3711</f>
        <v>NO</v>
      </c>
      <c r="CMX48" s="57" t="str">
        <f>'REG y VAL POE - AESR - ESR'!N3711</f>
        <v>Apendice ByC no llenos-c/historial aparte-falta firma RL</v>
      </c>
      <c r="CMY48" s="57" t="str">
        <f>'REG y VAL POE - AESR - ESR'!O3711</f>
        <v>CARTA PASANTE</v>
      </c>
      <c r="CMZ48" s="57">
        <f>'REG y VAL POE - AESR - ESR'!P3711</f>
        <v>0</v>
      </c>
      <c r="CNA48" s="57" t="str">
        <f>'REG y VAL POE - AESR - ESR'!Q3711</f>
        <v>SI</v>
      </c>
      <c r="CNB48" s="57" t="str">
        <f>'REG y VAL POE - AESR - ESR'!R3711</f>
        <v>SI</v>
      </c>
      <c r="CNC48" s="57" t="str">
        <f>'REG y VAL POE - AESR - ESR'!S3711</f>
        <v>SI</v>
      </c>
      <c r="CND48" s="57" t="str">
        <f>'REG y VAL POE - AESR - ESR'!T3711</f>
        <v>NO</v>
      </c>
      <c r="CNE48" s="57" t="str">
        <f>'REG y VAL POE - AESR - ESR'!U3711</f>
        <v>NO</v>
      </c>
      <c r="CNF48" s="57" t="str">
        <f>'REG y VAL POE - AESR - ESR'!V3711</f>
        <v>SI</v>
      </c>
      <c r="CNG48" s="57">
        <f>'REG y VAL POE - AESR - ESR'!W3711</f>
        <v>0</v>
      </c>
      <c r="CNH48" s="57">
        <f>'REG y VAL POE - AESR - ESR'!X3711</f>
        <v>0</v>
      </c>
      <c r="CNI48" s="57">
        <f>'REG y VAL POE - AESR - ESR'!Y3711</f>
        <v>0</v>
      </c>
      <c r="CNJ48" s="57">
        <f>'REG y VAL POE - AESR - ESR'!Z3711</f>
        <v>0</v>
      </c>
      <c r="CNK48" s="57">
        <f>'REG y VAL POE - AESR - ESR'!AA3711</f>
        <v>0</v>
      </c>
      <c r="CNL48" s="57">
        <f>'REG y VAL POE - AESR - ESR'!AB3711</f>
        <v>0</v>
      </c>
      <c r="CNM48" s="57">
        <f>'REG y VAL POE - AESR - ESR'!AC3711</f>
        <v>0</v>
      </c>
      <c r="CNN48" s="57">
        <f>'REG y VAL POE - AESR - ESR'!AD3711</f>
        <v>0</v>
      </c>
      <c r="CNO48" s="57">
        <f>'REG y VAL POE - AESR - ESR'!AE3711</f>
        <v>0</v>
      </c>
      <c r="CNP48" s="57" t="str">
        <f>'REG y VAL POE - AESR - ESR'!AF3711</f>
        <v>SI</v>
      </c>
      <c r="CNQ48" s="57">
        <f>'REG y VAL POE - AESR - ESR'!AG3711</f>
        <v>0</v>
      </c>
      <c r="CNR48" s="57">
        <f>'REG y VAL POE - AESR - ESR'!AH3711</f>
        <v>0</v>
      </c>
      <c r="CNS48" s="57">
        <f>'REG y VAL POE - AESR - ESR'!AI3711</f>
        <v>0</v>
      </c>
      <c r="CNT48" s="57">
        <f>'REG y VAL POE - AESR - ESR'!AJ3711</f>
        <v>0</v>
      </c>
      <c r="CNU48" s="57">
        <f>'REG y VAL POE - AESR - ESR'!AK3711</f>
        <v>0</v>
      </c>
      <c r="CNV48" s="57" t="str">
        <f>'REG y VAL POE - AESR - ESR'!AL3711</f>
        <v>SI</v>
      </c>
      <c r="CNW48" s="57">
        <f>'REG y VAL POE - AESR - ESR'!AM3711</f>
        <v>0</v>
      </c>
      <c r="CNX48" s="57">
        <f>'REG y VAL POE - AESR - ESR'!AN3711</f>
        <v>0</v>
      </c>
      <c r="CNY48" s="57" t="str">
        <f>'REG y VAL POE - AESR - ESR'!AO3711</f>
        <v>SI</v>
      </c>
      <c r="CNZ48" s="57">
        <f>'REG y VAL POE - AESR - ESR'!AP3711</f>
        <v>0</v>
      </c>
      <c r="COA48" s="57">
        <f>'REG y VAL POE - AESR - ESR'!AQ3711</f>
        <v>0</v>
      </c>
      <c r="COB48" s="57" t="str">
        <f>'REG y VAL POE - AESR - ESR'!AR3711</f>
        <v>VACIS PORTAL</v>
      </c>
      <c r="COC48" s="57">
        <f>'REG y VAL POE - AESR - ESR'!AS3711</f>
        <v>0</v>
      </c>
      <c r="COD48" s="57" t="str">
        <f>'REG y VAL POE - AESR - ESR'!B3712</f>
        <v>Solis Licona Susana</v>
      </c>
      <c r="COE48" s="57" t="str">
        <f>'REG y VAL POE - AESR - ESR'!C3712</f>
        <v>POE-RX</v>
      </c>
      <c r="COF48" s="56">
        <f>'REG y VAL POE - AESR - ESR'!D3712</f>
        <v>23203297</v>
      </c>
      <c r="COG48" s="56">
        <f>'REG y VAL POE - AESR - ESR'!E3712</f>
        <v>0</v>
      </c>
      <c r="COH48" s="57">
        <f>'REG y VAL POE - AESR - ESR'!F3712</f>
        <v>0</v>
      </c>
      <c r="COI48" s="390">
        <f>'REG y VAL POE - AESR - ESR'!G3712</f>
        <v>45378</v>
      </c>
      <c r="COJ48" s="390">
        <f>'REG y VAL POE - AESR - ESR'!H3712</f>
        <v>45743</v>
      </c>
      <c r="COK48" s="57" t="str">
        <f>'REG y VAL POE - AESR - ESR'!I3712</f>
        <v>SI</v>
      </c>
      <c r="COL48" s="57" t="str">
        <f>'REG y VAL POE - AESR - ESR'!J3712</f>
        <v>Vigente</v>
      </c>
      <c r="COM48" s="57" t="str">
        <f>'REG y VAL POE - AESR - ESR'!K3712</f>
        <v>SI</v>
      </c>
      <c r="CON48" s="57" t="str">
        <f>'REG y VAL POE - AESR - ESR'!L3712</f>
        <v>Vigente</v>
      </c>
      <c r="COO48" s="57" t="str">
        <f>'REG y VAL POE - AESR - ESR'!M3712</f>
        <v>NO</v>
      </c>
      <c r="COP48" s="57" t="str">
        <f>'REG y VAL POE - AESR - ESR'!N3712</f>
        <v>Apendice ByC no llenos-c/historial aparte-falta firma RL</v>
      </c>
      <c r="COQ48" s="57" t="str">
        <f>'REG y VAL POE - AESR - ESR'!O3712</f>
        <v>SI</v>
      </c>
      <c r="COR48" s="57">
        <f>'REG y VAL POE - AESR - ESR'!P3712</f>
        <v>0</v>
      </c>
      <c r="COS48" s="57" t="str">
        <f>'REG y VAL POE - AESR - ESR'!Q3712</f>
        <v>SI</v>
      </c>
      <c r="COT48" s="57" t="str">
        <f>'REG y VAL POE - AESR - ESR'!R3712</f>
        <v>SI</v>
      </c>
      <c r="COU48" s="57" t="str">
        <f>'REG y VAL POE - AESR - ESR'!S3712</f>
        <v>SI</v>
      </c>
      <c r="COV48" s="57" t="str">
        <f>'REG y VAL POE - AESR - ESR'!T3712</f>
        <v>NO</v>
      </c>
      <c r="COW48" s="57" t="str">
        <f>'REG y VAL POE - AESR - ESR'!U3712</f>
        <v>NO</v>
      </c>
      <c r="COX48" s="57" t="str">
        <f>'REG y VAL POE - AESR - ESR'!V3712</f>
        <v>SI</v>
      </c>
      <c r="COY48" s="57">
        <f>'REG y VAL POE - AESR - ESR'!W3712</f>
        <v>0</v>
      </c>
      <c r="COZ48" s="57">
        <f>'REG y VAL POE - AESR - ESR'!X3712</f>
        <v>0</v>
      </c>
      <c r="CPA48" s="57">
        <f>'REG y VAL POE - AESR - ESR'!Y3712</f>
        <v>0</v>
      </c>
      <c r="CPB48" s="57" t="str">
        <f>'REG y VAL POE - AESR - ESR'!Z3712</f>
        <v>SI</v>
      </c>
      <c r="CPC48" s="57">
        <f>'REG y VAL POE - AESR - ESR'!AA3712</f>
        <v>0</v>
      </c>
      <c r="CPD48" s="57">
        <f>'REG y VAL POE - AESR - ESR'!AB3712</f>
        <v>0</v>
      </c>
      <c r="CPE48" s="57">
        <f>'REG y VAL POE - AESR - ESR'!AC3712</f>
        <v>0</v>
      </c>
      <c r="CPF48" s="57">
        <f>'REG y VAL POE - AESR - ESR'!AD3712</f>
        <v>0</v>
      </c>
      <c r="CPG48" s="57">
        <f>'REG y VAL POE - AESR - ESR'!AE3712</f>
        <v>0</v>
      </c>
      <c r="CPH48" s="57" t="str">
        <f>'REG y VAL POE - AESR - ESR'!AF3712</f>
        <v>SI</v>
      </c>
      <c r="CPI48" s="57" t="str">
        <f>'REG y VAL POE - AESR - ESR'!AG3712</f>
        <v>SI</v>
      </c>
      <c r="CPJ48" s="57">
        <f>'REG y VAL POE - AESR - ESR'!AH3712</f>
        <v>0</v>
      </c>
      <c r="CPK48" s="57">
        <f>'REG y VAL POE - AESR - ESR'!AI3712</f>
        <v>0</v>
      </c>
      <c r="CPL48" s="57">
        <f>'REG y VAL POE - AESR - ESR'!AJ3712</f>
        <v>0</v>
      </c>
      <c r="CPM48" s="57">
        <f>'REG y VAL POE - AESR - ESR'!AK3712</f>
        <v>0</v>
      </c>
      <c r="CPN48" s="57">
        <f>'REG y VAL POE - AESR - ESR'!AL3712</f>
        <v>0</v>
      </c>
      <c r="CPO48" s="57">
        <f>'REG y VAL POE - AESR - ESR'!AM3712</f>
        <v>0</v>
      </c>
      <c r="CPP48" s="57">
        <f>'REG y VAL POE - AESR - ESR'!AN3712</f>
        <v>0</v>
      </c>
      <c r="CPQ48" s="57">
        <f>'REG y VAL POE - AESR - ESR'!AO3712</f>
        <v>0</v>
      </c>
      <c r="CPR48" s="57">
        <f>'REG y VAL POE - AESR - ESR'!AP3712</f>
        <v>0</v>
      </c>
      <c r="CPS48" s="57">
        <f>'REG y VAL POE - AESR - ESR'!AQ3712</f>
        <v>0</v>
      </c>
      <c r="CPT48" s="57" t="str">
        <f>'REG y VAL POE - AESR - ESR'!AR3712</f>
        <v>NUCTHECH FERRO</v>
      </c>
      <c r="CPU48" s="57">
        <f>'REG y VAL POE - AESR - ESR'!AS3712</f>
        <v>0</v>
      </c>
      <c r="CPV48" s="57" t="str">
        <f>'REG y VAL POE - AESR - ESR'!B3713</f>
        <v>Tena Collins Irene Estefania</v>
      </c>
      <c r="CPW48" s="57">
        <f>'REG y VAL POE - AESR - ESR'!C3713</f>
        <v>0</v>
      </c>
      <c r="CPX48" s="56">
        <f>'REG y VAL POE - AESR - ESR'!D3713</f>
        <v>23191879</v>
      </c>
      <c r="CPY48" s="56">
        <f>'REG y VAL POE - AESR - ESR'!E3713</f>
        <v>0</v>
      </c>
      <c r="CPZ48" s="57">
        <f>'REG y VAL POE - AESR - ESR'!F3713</f>
        <v>0</v>
      </c>
      <c r="CQA48" s="390">
        <f>'REG y VAL POE - AESR - ESR'!G3713</f>
        <v>45376</v>
      </c>
      <c r="CQB48" s="390">
        <f>'REG y VAL POE - AESR - ESR'!H3713</f>
        <v>45741</v>
      </c>
      <c r="CQC48" s="57" t="str">
        <f>'REG y VAL POE - AESR - ESR'!I3713</f>
        <v>SI</v>
      </c>
      <c r="CQD48" s="57" t="str">
        <f>'REG y VAL POE - AESR - ESR'!J3713</f>
        <v>Vigente</v>
      </c>
      <c r="CQE48" s="57" t="str">
        <f>'REG y VAL POE - AESR - ESR'!K3713</f>
        <v>SI</v>
      </c>
      <c r="CQF48" s="57" t="str">
        <f>'REG y VAL POE - AESR - ESR'!L3713</f>
        <v>Vigente</v>
      </c>
      <c r="CQG48" s="57" t="str">
        <f>'REG y VAL POE - AESR - ESR'!M3713</f>
        <v>NO</v>
      </c>
      <c r="CQH48" s="57" t="str">
        <f>'REG y VAL POE - AESR - ESR'!N3713</f>
        <v>Apendice ByC no llenos-c/historial aparte-falta firma RL</v>
      </c>
      <c r="CQI48" s="57" t="str">
        <f>'REG y VAL POE - AESR - ESR'!O3713</f>
        <v>NO ES TITULO ES CERTIFICADO</v>
      </c>
      <c r="CQJ48" s="57">
        <f>'REG y VAL POE - AESR - ESR'!P3713</f>
        <v>0</v>
      </c>
      <c r="CQK48" s="57" t="str">
        <f>'REG y VAL POE - AESR - ESR'!Q3713</f>
        <v>SI</v>
      </c>
      <c r="CQL48" s="57" t="str">
        <f>'REG y VAL POE - AESR - ESR'!R3713</f>
        <v>SI</v>
      </c>
      <c r="CQM48" s="57" t="str">
        <f>'REG y VAL POE - AESR - ESR'!S3713</f>
        <v>SI</v>
      </c>
      <c r="CQN48" s="57" t="str">
        <f>'REG y VAL POE - AESR - ESR'!T3713</f>
        <v>NO</v>
      </c>
      <c r="CQO48" s="57" t="str">
        <f>'REG y VAL POE - AESR - ESR'!U3713</f>
        <v>NO</v>
      </c>
      <c r="CQP48" s="57" t="str">
        <f>'REG y VAL POE - AESR - ESR'!V3713</f>
        <v>SI</v>
      </c>
      <c r="CQQ48" s="57">
        <f>'REG y VAL POE - AESR - ESR'!W3713</f>
        <v>0</v>
      </c>
      <c r="CQR48" s="57">
        <f>'REG y VAL POE - AESR - ESR'!X3713</f>
        <v>0</v>
      </c>
      <c r="CQS48" s="57">
        <f>'REG y VAL POE - AESR - ESR'!Y3713</f>
        <v>0</v>
      </c>
      <c r="CQT48" s="57" t="str">
        <f>'REG y VAL POE - AESR - ESR'!Z3713</f>
        <v>SI</v>
      </c>
      <c r="CQU48" s="57">
        <f>'REG y VAL POE - AESR - ESR'!AA3713</f>
        <v>0</v>
      </c>
      <c r="CQV48" s="57">
        <f>'REG y VAL POE - AESR - ESR'!AB3713</f>
        <v>0</v>
      </c>
      <c r="CQW48" s="57">
        <f>'REG y VAL POE - AESR - ESR'!AC3713</f>
        <v>0</v>
      </c>
      <c r="CQX48" s="57">
        <f>'REG y VAL POE - AESR - ESR'!AD3713</f>
        <v>0</v>
      </c>
      <c r="CQY48" s="57">
        <f>'REG y VAL POE - AESR - ESR'!AE3713</f>
        <v>0</v>
      </c>
      <c r="CQZ48" s="57">
        <f>'REG y VAL POE - AESR - ESR'!AF3713</f>
        <v>0</v>
      </c>
      <c r="CRA48" s="57">
        <f>'REG y VAL POE - AESR - ESR'!AG3713</f>
        <v>0</v>
      </c>
      <c r="CRB48" s="57">
        <f>'REG y VAL POE - AESR - ESR'!AH3713</f>
        <v>0</v>
      </c>
      <c r="CRC48" s="57">
        <f>'REG y VAL POE - AESR - ESR'!AI3713</f>
        <v>0</v>
      </c>
      <c r="CRD48" s="57">
        <f>'REG y VAL POE - AESR - ESR'!AJ3713</f>
        <v>0</v>
      </c>
      <c r="CRE48" s="57">
        <f>'REG y VAL POE - AESR - ESR'!AK3713</f>
        <v>0</v>
      </c>
      <c r="CRF48" s="57" t="str">
        <f>'REG y VAL POE - AESR - ESR'!AL3713</f>
        <v>SI</v>
      </c>
      <c r="CRG48" s="57" t="str">
        <f>'REG y VAL POE - AESR - ESR'!AM3713</f>
        <v>SI</v>
      </c>
      <c r="CRH48" s="57">
        <f>'REG y VAL POE - AESR - ESR'!AN3713</f>
        <v>0</v>
      </c>
      <c r="CRI48" s="57">
        <f>'REG y VAL POE - AESR - ESR'!AO3713</f>
        <v>0</v>
      </c>
      <c r="CRJ48" s="57">
        <f>'REG y VAL POE - AESR - ESR'!AP3713</f>
        <v>0</v>
      </c>
      <c r="CRK48" s="57">
        <f>'REG y VAL POE - AESR - ESR'!AQ3713</f>
        <v>0</v>
      </c>
      <c r="CRL48" s="57">
        <f>'REG y VAL POE - AESR - ESR'!AR3713</f>
        <v>0</v>
      </c>
      <c r="CRM48" s="57">
        <f>'REG y VAL POE - AESR - ESR'!AS3713</f>
        <v>0</v>
      </c>
      <c r="CRN48" s="57" t="str">
        <f>'REG y VAL POE - AESR - ESR'!B3714</f>
        <v xml:space="preserve">Teran Sotelo Jesus Carlos </v>
      </c>
      <c r="CRO48" s="57">
        <f>'REG y VAL POE - AESR - ESR'!C3714</f>
        <v>0</v>
      </c>
      <c r="CRP48" s="56">
        <f>'REG y VAL POE - AESR - ESR'!D3714</f>
        <v>23190868</v>
      </c>
      <c r="CRQ48" s="56">
        <f>'REG y VAL POE - AESR - ESR'!E3714</f>
        <v>0</v>
      </c>
      <c r="CRR48" s="57">
        <f>'REG y VAL POE - AESR - ESR'!F3714</f>
        <v>0</v>
      </c>
      <c r="CRS48" s="390">
        <f>'REG y VAL POE - AESR - ESR'!G3714</f>
        <v>0</v>
      </c>
      <c r="CRT48" s="390">
        <f>'REG y VAL POE - AESR - ESR'!H3714</f>
        <v>0</v>
      </c>
      <c r="CRU48" s="57">
        <f>'REG y VAL POE - AESR - ESR'!I3714</f>
        <v>0</v>
      </c>
      <c r="CRV48" s="57">
        <f>'REG y VAL POE - AESR - ESR'!J3714</f>
        <v>0</v>
      </c>
      <c r="CRW48" s="57">
        <f>'REG y VAL POE - AESR - ESR'!K3714</f>
        <v>0</v>
      </c>
      <c r="CRX48" s="57">
        <f>'REG y VAL POE - AESR - ESR'!L3714</f>
        <v>0</v>
      </c>
      <c r="CRY48" s="57">
        <f>'REG y VAL POE - AESR - ESR'!M3714</f>
        <v>0</v>
      </c>
      <c r="CRZ48" s="57">
        <f>'REG y VAL POE - AESR - ESR'!N3714</f>
        <v>0</v>
      </c>
      <c r="CSA48" s="57">
        <f>'REG y VAL POE - AESR - ESR'!O3714</f>
        <v>0</v>
      </c>
      <c r="CSB48" s="57">
        <f>'REG y VAL POE - AESR - ESR'!P3714</f>
        <v>0</v>
      </c>
      <c r="CSC48" s="57">
        <f>'REG y VAL POE - AESR - ESR'!Q3714</f>
        <v>0</v>
      </c>
      <c r="CSD48" s="57">
        <f>'REG y VAL POE - AESR - ESR'!R3714</f>
        <v>0</v>
      </c>
      <c r="CSE48" s="57">
        <f>'REG y VAL POE - AESR - ESR'!S3714</f>
        <v>0</v>
      </c>
      <c r="CSF48" s="57">
        <f>'REG y VAL POE - AESR - ESR'!T3714</f>
        <v>0</v>
      </c>
      <c r="CSG48" s="57">
        <f>'REG y VAL POE - AESR - ESR'!U3714</f>
        <v>0</v>
      </c>
      <c r="CSH48" s="57">
        <f>'REG y VAL POE - AESR - ESR'!V3714</f>
        <v>0</v>
      </c>
      <c r="CSI48" s="57">
        <f>'REG y VAL POE - AESR - ESR'!W3714</f>
        <v>0</v>
      </c>
      <c r="CSJ48" s="57">
        <f>'REG y VAL POE - AESR - ESR'!X3714</f>
        <v>0</v>
      </c>
      <c r="CSK48" s="57">
        <f>'REG y VAL POE - AESR - ESR'!Y3714</f>
        <v>0</v>
      </c>
      <c r="CSL48" s="57">
        <f>'REG y VAL POE - AESR - ESR'!Z3714</f>
        <v>0</v>
      </c>
      <c r="CSM48" s="57">
        <f>'REG y VAL POE - AESR - ESR'!AA3714</f>
        <v>0</v>
      </c>
      <c r="CSN48" s="57">
        <f>'REG y VAL POE - AESR - ESR'!AB3714</f>
        <v>0</v>
      </c>
      <c r="CSO48" s="57">
        <f>'REG y VAL POE - AESR - ESR'!AC3714</f>
        <v>0</v>
      </c>
      <c r="CSP48" s="57">
        <f>'REG y VAL POE - AESR - ESR'!AD3714</f>
        <v>0</v>
      </c>
      <c r="CSQ48" s="57">
        <f>'REG y VAL POE - AESR - ESR'!AE3714</f>
        <v>0</v>
      </c>
      <c r="CSR48" s="57">
        <f>'REG y VAL POE - AESR - ESR'!AF3714</f>
        <v>0</v>
      </c>
      <c r="CSS48" s="57">
        <f>'REG y VAL POE - AESR - ESR'!AG3714</f>
        <v>0</v>
      </c>
      <c r="CST48" s="57">
        <f>'REG y VAL POE - AESR - ESR'!AH3714</f>
        <v>0</v>
      </c>
      <c r="CSU48" s="57">
        <f>'REG y VAL POE - AESR - ESR'!AI3714</f>
        <v>0</v>
      </c>
      <c r="CSV48" s="57">
        <f>'REG y VAL POE - AESR - ESR'!AJ3714</f>
        <v>0</v>
      </c>
      <c r="CSW48" s="57">
        <f>'REG y VAL POE - AESR - ESR'!AK3714</f>
        <v>0</v>
      </c>
      <c r="CSX48" s="57">
        <f>'REG y VAL POE - AESR - ESR'!AL3714</f>
        <v>0</v>
      </c>
      <c r="CSY48" s="57">
        <f>'REG y VAL POE - AESR - ESR'!AM3714</f>
        <v>0</v>
      </c>
      <c r="CSZ48" s="57">
        <f>'REG y VAL POE - AESR - ESR'!AN3714</f>
        <v>0</v>
      </c>
      <c r="CTA48" s="57">
        <f>'REG y VAL POE - AESR - ESR'!AO3714</f>
        <v>0</v>
      </c>
      <c r="CTB48" s="57">
        <f>'REG y VAL POE - AESR - ESR'!AP3714</f>
        <v>0</v>
      </c>
      <c r="CTC48" s="57">
        <f>'REG y VAL POE - AESR - ESR'!AQ3714</f>
        <v>0</v>
      </c>
      <c r="CTD48" s="57">
        <f>'REG y VAL POE - AESR - ESR'!AR3714</f>
        <v>0</v>
      </c>
      <c r="CTE48" s="57">
        <f>'REG y VAL POE - AESR - ESR'!AS3714</f>
        <v>0</v>
      </c>
      <c r="CTF48" s="57" t="str">
        <f>'REG y VAL POE - AESR - ESR'!B3715</f>
        <v>Utrera Rios Victor Manuel</v>
      </c>
      <c r="CTG48" s="57" t="str">
        <f>'REG y VAL POE - AESR - ESR'!C3715</f>
        <v>POE-RG</v>
      </c>
      <c r="CTH48" s="56">
        <f>'REG y VAL POE - AESR - ESR'!D3715</f>
        <v>23207667</v>
      </c>
      <c r="CTI48" s="56">
        <f>'REG y VAL POE - AESR - ESR'!E3715</f>
        <v>0</v>
      </c>
      <c r="CTJ48" s="57">
        <f>'REG y VAL POE - AESR - ESR'!F3715</f>
        <v>0</v>
      </c>
      <c r="CTK48" s="390">
        <f>'REG y VAL POE - AESR - ESR'!G3715</f>
        <v>0</v>
      </c>
      <c r="CTL48" s="390">
        <f>'REG y VAL POE - AESR - ESR'!H3715</f>
        <v>365</v>
      </c>
      <c r="CTM48" s="57">
        <f>'REG y VAL POE - AESR - ESR'!I3715</f>
        <v>0</v>
      </c>
      <c r="CTN48" s="57">
        <f>'REG y VAL POE - AESR - ESR'!J3715</f>
        <v>0</v>
      </c>
      <c r="CTO48" s="57">
        <f>'REG y VAL POE - AESR - ESR'!K3715</f>
        <v>0</v>
      </c>
      <c r="CTP48" s="57">
        <f>'REG y VAL POE - AESR - ESR'!L3715</f>
        <v>0</v>
      </c>
      <c r="CTQ48" s="57">
        <f>'REG y VAL POE - AESR - ESR'!M3715</f>
        <v>0</v>
      </c>
      <c r="CTR48" s="57">
        <f>'REG y VAL POE - AESR - ESR'!N3715</f>
        <v>0</v>
      </c>
      <c r="CTS48" s="57" t="str">
        <f>'REG y VAL POE - AESR - ESR'!O3715</f>
        <v>SI</v>
      </c>
      <c r="CTT48" s="57" t="str">
        <f>'REG y VAL POE - AESR - ESR'!P3715</f>
        <v>SI</v>
      </c>
      <c r="CTU48" s="57" t="str">
        <f>'REG y VAL POE - AESR - ESR'!Q3715</f>
        <v>SI</v>
      </c>
      <c r="CTV48" s="57" t="str">
        <f>'REG y VAL POE - AESR - ESR'!R3715</f>
        <v>SI</v>
      </c>
      <c r="CTW48" s="57" t="str">
        <f>'REG y VAL POE - AESR - ESR'!S3715</f>
        <v>SI</v>
      </c>
      <c r="CTX48" s="57" t="str">
        <f>'REG y VAL POE - AESR - ESR'!T3715</f>
        <v>NO</v>
      </c>
      <c r="CTY48" s="57" t="str">
        <f>'REG y VAL POE - AESR - ESR'!U3715</f>
        <v>NO</v>
      </c>
      <c r="CTZ48" s="57" t="str">
        <f>'REG y VAL POE - AESR - ESR'!V3715</f>
        <v>SI</v>
      </c>
      <c r="CUA48" s="57">
        <f>'REG y VAL POE - AESR - ESR'!W3715</f>
        <v>0</v>
      </c>
      <c r="CUB48" s="57">
        <f>'REG y VAL POE - AESR - ESR'!X3715</f>
        <v>0</v>
      </c>
      <c r="CUC48" s="57">
        <f>'REG y VAL POE - AESR - ESR'!Y3715</f>
        <v>0</v>
      </c>
      <c r="CUD48" s="57" t="str">
        <f>'REG y VAL POE - AESR - ESR'!Z3715</f>
        <v>SI</v>
      </c>
      <c r="CUE48" s="57">
        <f>'REG y VAL POE - AESR - ESR'!AA3715</f>
        <v>0</v>
      </c>
      <c r="CUF48" s="57">
        <f>'REG y VAL POE - AESR - ESR'!AB3715</f>
        <v>0</v>
      </c>
      <c r="CUG48" s="57">
        <f>'REG y VAL POE - AESR - ESR'!AC3715</f>
        <v>0</v>
      </c>
      <c r="CUH48" s="57">
        <f>'REG y VAL POE - AESR - ESR'!AD3715</f>
        <v>0</v>
      </c>
      <c r="CUI48" s="57">
        <f>'REG y VAL POE - AESR - ESR'!AE3715</f>
        <v>0</v>
      </c>
      <c r="CUJ48" s="57" t="str">
        <f>'REG y VAL POE - AESR - ESR'!AF3715</f>
        <v>SI</v>
      </c>
      <c r="CUK48" s="57">
        <f>'REG y VAL POE - AESR - ESR'!AG3715</f>
        <v>0</v>
      </c>
      <c r="CUL48" s="57">
        <f>'REG y VAL POE - AESR - ESR'!AH3715</f>
        <v>0</v>
      </c>
      <c r="CUM48" s="57">
        <f>'REG y VAL POE - AESR - ESR'!AI3715</f>
        <v>0</v>
      </c>
      <c r="CUN48" s="57">
        <f>'REG y VAL POE - AESR - ESR'!AJ3715</f>
        <v>0</v>
      </c>
      <c r="CUO48" s="57">
        <f>'REG y VAL POE - AESR - ESR'!AK3715</f>
        <v>0</v>
      </c>
      <c r="CUP48" s="57">
        <f>'REG y VAL POE - AESR - ESR'!AL3715</f>
        <v>0</v>
      </c>
      <c r="CUQ48" s="57">
        <f>'REG y VAL POE - AESR - ESR'!AM3715</f>
        <v>0</v>
      </c>
      <c r="CUR48" s="57">
        <f>'REG y VAL POE - AESR - ESR'!AN3715</f>
        <v>0</v>
      </c>
      <c r="CUS48" s="57">
        <f>'REG y VAL POE - AESR - ESR'!AO3715</f>
        <v>0</v>
      </c>
      <c r="CUT48" s="57">
        <f>'REG y VAL POE - AESR - ESR'!AP3715</f>
        <v>0</v>
      </c>
      <c r="CUU48" s="57">
        <f>'REG y VAL POE - AESR - ESR'!AQ3715</f>
        <v>0</v>
      </c>
      <c r="CUV48" s="57">
        <f>'REG y VAL POE - AESR - ESR'!AR3715</f>
        <v>0</v>
      </c>
      <c r="CUW48" s="57">
        <f>'REG y VAL POE - AESR - ESR'!AS3715</f>
        <v>0</v>
      </c>
      <c r="CUX48" s="57" t="str">
        <f>'REG y VAL POE - AESR - ESR'!B3716</f>
        <v xml:space="preserve">Vazquez Luna Noe </v>
      </c>
      <c r="CUY48" s="57">
        <f>'REG y VAL POE - AESR - ESR'!C3716</f>
        <v>0</v>
      </c>
      <c r="CUZ48" s="56">
        <f>'REG y VAL POE - AESR - ESR'!D3716</f>
        <v>23206391</v>
      </c>
      <c r="CVA48" s="56">
        <f>'REG y VAL POE - AESR - ESR'!E3716</f>
        <v>0</v>
      </c>
      <c r="CVB48" s="57">
        <f>'REG y VAL POE - AESR - ESR'!F3716</f>
        <v>0</v>
      </c>
      <c r="CVC48" s="390">
        <f>'REG y VAL POE - AESR - ESR'!G3716</f>
        <v>0</v>
      </c>
      <c r="CVD48" s="390">
        <f>'REG y VAL POE - AESR - ESR'!H3716</f>
        <v>0</v>
      </c>
      <c r="CVE48" s="57">
        <f>'REG y VAL POE - AESR - ESR'!I3716</f>
        <v>0</v>
      </c>
      <c r="CVF48" s="57">
        <f>'REG y VAL POE - AESR - ESR'!J3716</f>
        <v>0</v>
      </c>
      <c r="CVG48" s="57">
        <f>'REG y VAL POE - AESR - ESR'!K3716</f>
        <v>0</v>
      </c>
      <c r="CVH48" s="57">
        <f>'REG y VAL POE - AESR - ESR'!L3716</f>
        <v>0</v>
      </c>
      <c r="CVI48" s="57">
        <f>'REG y VAL POE - AESR - ESR'!M3716</f>
        <v>0</v>
      </c>
      <c r="CVJ48" s="57">
        <f>'REG y VAL POE - AESR - ESR'!N3716</f>
        <v>0</v>
      </c>
      <c r="CVK48" s="57">
        <f>'REG y VAL POE - AESR - ESR'!O3716</f>
        <v>0</v>
      </c>
      <c r="CVL48" s="57">
        <f>'REG y VAL POE - AESR - ESR'!P3716</f>
        <v>0</v>
      </c>
      <c r="CVM48" s="57">
        <f>'REG y VAL POE - AESR - ESR'!Q3716</f>
        <v>0</v>
      </c>
      <c r="CVN48" s="57">
        <f>'REG y VAL POE - AESR - ESR'!R3716</f>
        <v>0</v>
      </c>
      <c r="CVO48" s="57">
        <f>'REG y VAL POE - AESR - ESR'!S3716</f>
        <v>0</v>
      </c>
      <c r="CVP48" s="57">
        <f>'REG y VAL POE - AESR - ESR'!T3716</f>
        <v>0</v>
      </c>
      <c r="CVQ48" s="57">
        <f>'REG y VAL POE - AESR - ESR'!U3716</f>
        <v>0</v>
      </c>
      <c r="CVR48" s="57">
        <f>'REG y VAL POE - AESR - ESR'!V3716</f>
        <v>0</v>
      </c>
      <c r="CVS48" s="57">
        <f>'REG y VAL POE - AESR - ESR'!W3716</f>
        <v>0</v>
      </c>
      <c r="CVT48" s="57">
        <f>'REG y VAL POE - AESR - ESR'!X3716</f>
        <v>0</v>
      </c>
      <c r="CVU48" s="57">
        <f>'REG y VAL POE - AESR - ESR'!Y3716</f>
        <v>0</v>
      </c>
      <c r="CVV48" s="57">
        <f>'REG y VAL POE - AESR - ESR'!Z3716</f>
        <v>0</v>
      </c>
      <c r="CVW48" s="57">
        <f>'REG y VAL POE - AESR - ESR'!AA3716</f>
        <v>0</v>
      </c>
      <c r="CVX48" s="57">
        <f>'REG y VAL POE - AESR - ESR'!AB3716</f>
        <v>0</v>
      </c>
      <c r="CVY48" s="57">
        <f>'REG y VAL POE - AESR - ESR'!AC3716</f>
        <v>0</v>
      </c>
      <c r="CVZ48" s="57">
        <f>'REG y VAL POE - AESR - ESR'!AD3716</f>
        <v>0</v>
      </c>
      <c r="CWA48" s="57">
        <f>'REG y VAL POE - AESR - ESR'!AE3716</f>
        <v>0</v>
      </c>
      <c r="CWB48" s="57">
        <f>'REG y VAL POE - AESR - ESR'!AF3716</f>
        <v>0</v>
      </c>
      <c r="CWC48" s="57">
        <f>'REG y VAL POE - AESR - ESR'!AG3716</f>
        <v>0</v>
      </c>
      <c r="CWD48" s="57">
        <f>'REG y VAL POE - AESR - ESR'!AH3716</f>
        <v>0</v>
      </c>
      <c r="CWE48" s="57">
        <f>'REG y VAL POE - AESR - ESR'!AI3716</f>
        <v>0</v>
      </c>
      <c r="CWF48" s="57">
        <f>'REG y VAL POE - AESR - ESR'!AJ3716</f>
        <v>0</v>
      </c>
      <c r="CWG48" s="57">
        <f>'REG y VAL POE - AESR - ESR'!AK3716</f>
        <v>0</v>
      </c>
      <c r="CWH48" s="57">
        <f>'REG y VAL POE - AESR - ESR'!AL3716</f>
        <v>0</v>
      </c>
      <c r="CWI48" s="57">
        <f>'REG y VAL POE - AESR - ESR'!AM3716</f>
        <v>0</v>
      </c>
      <c r="CWJ48" s="57">
        <f>'REG y VAL POE - AESR - ESR'!AN3716</f>
        <v>0</v>
      </c>
      <c r="CWK48" s="57">
        <f>'REG y VAL POE - AESR - ESR'!AO3716</f>
        <v>0</v>
      </c>
      <c r="CWL48" s="57">
        <f>'REG y VAL POE - AESR - ESR'!AP3716</f>
        <v>0</v>
      </c>
      <c r="CWM48" s="57">
        <f>'REG y VAL POE - AESR - ESR'!AQ3716</f>
        <v>0</v>
      </c>
      <c r="CWN48" s="57">
        <f>'REG y VAL POE - AESR - ESR'!AR3716</f>
        <v>0</v>
      </c>
      <c r="CWO48" s="57">
        <f>'REG y VAL POE - AESR - ESR'!AS3716</f>
        <v>0</v>
      </c>
      <c r="CWP48" s="57">
        <f>'REG y VAL POE - AESR - ESR'!B3717</f>
        <v>0</v>
      </c>
      <c r="CWQ48" s="57">
        <f>'REG y VAL POE - AESR - ESR'!C3717</f>
        <v>0</v>
      </c>
      <c r="CWR48" s="56">
        <f>'REG y VAL POE - AESR - ESR'!D3717</f>
        <v>0</v>
      </c>
      <c r="CWS48" s="56">
        <f>'REG y VAL POE - AESR - ESR'!E3717</f>
        <v>0</v>
      </c>
      <c r="CWT48" s="57">
        <f>'REG y VAL POE - AESR - ESR'!F3717</f>
        <v>0</v>
      </c>
      <c r="CWU48" s="390">
        <f>'REG y VAL POE - AESR - ESR'!G3717</f>
        <v>0</v>
      </c>
      <c r="CWV48" s="390">
        <f>'REG y VAL POE - AESR - ESR'!H3717</f>
        <v>0</v>
      </c>
      <c r="CWW48" s="57">
        <f>'REG y VAL POE - AESR - ESR'!I3717</f>
        <v>0</v>
      </c>
      <c r="CWX48" s="57">
        <f>'REG y VAL POE - AESR - ESR'!J3717</f>
        <v>0</v>
      </c>
      <c r="CWY48" s="57">
        <f>'REG y VAL POE - AESR - ESR'!K3717</f>
        <v>0</v>
      </c>
      <c r="CWZ48" s="57">
        <f>'REG y VAL POE - AESR - ESR'!L3717</f>
        <v>0</v>
      </c>
      <c r="CXA48" s="57">
        <f>'REG y VAL POE - AESR - ESR'!M3717</f>
        <v>0</v>
      </c>
      <c r="CXB48" s="57">
        <f>'REG y VAL POE - AESR - ESR'!N3717</f>
        <v>0</v>
      </c>
      <c r="CXC48" s="57">
        <f>'REG y VAL POE - AESR - ESR'!O3717</f>
        <v>0</v>
      </c>
      <c r="CXD48" s="57">
        <f>'REG y VAL POE - AESR - ESR'!P3717</f>
        <v>0</v>
      </c>
      <c r="CXE48" s="57">
        <f>'REG y VAL POE - AESR - ESR'!Q3717</f>
        <v>0</v>
      </c>
      <c r="CXF48" s="57">
        <f>'REG y VAL POE - AESR - ESR'!R3717</f>
        <v>0</v>
      </c>
      <c r="CXG48" s="57">
        <f>'REG y VAL POE - AESR - ESR'!S3717</f>
        <v>0</v>
      </c>
      <c r="CXH48" s="57">
        <f>'REG y VAL POE - AESR - ESR'!T3717</f>
        <v>0</v>
      </c>
      <c r="CXI48" s="57">
        <f>'REG y VAL POE - AESR - ESR'!U3717</f>
        <v>0</v>
      </c>
      <c r="CXJ48" s="57">
        <f>'REG y VAL POE - AESR - ESR'!V3717</f>
        <v>0</v>
      </c>
      <c r="CXK48" s="57">
        <f>'REG y VAL POE - AESR - ESR'!W3717</f>
        <v>0</v>
      </c>
      <c r="CXL48" s="57">
        <f>'REG y VAL POE - AESR - ESR'!X3717</f>
        <v>0</v>
      </c>
      <c r="CXM48" s="57">
        <f>'REG y VAL POE - AESR - ESR'!Y3717</f>
        <v>0</v>
      </c>
      <c r="CXN48" s="57">
        <f>'REG y VAL POE - AESR - ESR'!Z3717</f>
        <v>0</v>
      </c>
      <c r="CXO48" s="57">
        <f>'REG y VAL POE - AESR - ESR'!AA3717</f>
        <v>0</v>
      </c>
      <c r="CXP48" s="57">
        <f>'REG y VAL POE - AESR - ESR'!AB3717</f>
        <v>0</v>
      </c>
      <c r="CXQ48" s="57">
        <f>'REG y VAL POE - AESR - ESR'!AC3717</f>
        <v>0</v>
      </c>
      <c r="CXR48" s="57">
        <f>'REG y VAL POE - AESR - ESR'!AD3717</f>
        <v>0</v>
      </c>
      <c r="CXS48" s="57">
        <f>'REG y VAL POE - AESR - ESR'!AE3717</f>
        <v>0</v>
      </c>
      <c r="CXT48" s="57">
        <f>'REG y VAL POE - AESR - ESR'!AF3717</f>
        <v>0</v>
      </c>
      <c r="CXU48" s="57">
        <f>'REG y VAL POE - AESR - ESR'!AG3717</f>
        <v>0</v>
      </c>
      <c r="CXV48" s="57">
        <f>'REG y VAL POE - AESR - ESR'!AH3717</f>
        <v>0</v>
      </c>
      <c r="CXW48" s="57">
        <f>'REG y VAL POE - AESR - ESR'!AI3717</f>
        <v>0</v>
      </c>
      <c r="CXX48" s="57">
        <f>'REG y VAL POE - AESR - ESR'!AJ3717</f>
        <v>0</v>
      </c>
      <c r="CXY48" s="57">
        <f>'REG y VAL POE - AESR - ESR'!AK3717</f>
        <v>0</v>
      </c>
      <c r="CXZ48" s="57">
        <f>'REG y VAL POE - AESR - ESR'!AL3717</f>
        <v>0</v>
      </c>
      <c r="CYA48" s="57">
        <f>'REG y VAL POE - AESR - ESR'!AM3717</f>
        <v>0</v>
      </c>
      <c r="CYB48" s="57">
        <f>'REG y VAL POE - AESR - ESR'!AN3717</f>
        <v>0</v>
      </c>
      <c r="CYC48" s="57">
        <f>'REG y VAL POE - AESR - ESR'!AO3717</f>
        <v>0</v>
      </c>
      <c r="CYD48" s="57">
        <f>'REG y VAL POE - AESR - ESR'!AP3717</f>
        <v>0</v>
      </c>
      <c r="CYE48" s="57">
        <f>'REG y VAL POE - AESR - ESR'!AQ3717</f>
        <v>0</v>
      </c>
      <c r="CYF48" s="57">
        <f>'REG y VAL POE - AESR - ESR'!AR3717</f>
        <v>0</v>
      </c>
      <c r="CYG48" s="57">
        <f>'REG y VAL POE - AESR - ESR'!AS3717</f>
        <v>0</v>
      </c>
      <c r="CYH48" s="57">
        <f>'REG y VAL POE - AESR - ESR'!B3718</f>
        <v>0</v>
      </c>
      <c r="CYI48" s="57">
        <f>'REG y VAL POE - AESR - ESR'!C3718</f>
        <v>0</v>
      </c>
      <c r="CYJ48" s="56">
        <f>'REG y VAL POE - AESR - ESR'!D3718</f>
        <v>0</v>
      </c>
      <c r="CYK48" s="56">
        <f>'REG y VAL POE - AESR - ESR'!E3718</f>
        <v>0</v>
      </c>
      <c r="CYL48" s="57">
        <f>'REG y VAL POE - AESR - ESR'!F3718</f>
        <v>0</v>
      </c>
      <c r="CYM48" s="390">
        <f>'REG y VAL POE - AESR - ESR'!G3718</f>
        <v>0</v>
      </c>
      <c r="CYN48" s="390">
        <f>'REG y VAL POE - AESR - ESR'!H3718</f>
        <v>0</v>
      </c>
      <c r="CYO48" s="57">
        <f>'REG y VAL POE - AESR - ESR'!I3718</f>
        <v>0</v>
      </c>
      <c r="CYP48" s="57">
        <f>'REG y VAL POE - AESR - ESR'!J3718</f>
        <v>0</v>
      </c>
      <c r="CYQ48" s="57">
        <f>'REG y VAL POE - AESR - ESR'!K3718</f>
        <v>0</v>
      </c>
      <c r="CYR48" s="57">
        <f>'REG y VAL POE - AESR - ESR'!L3718</f>
        <v>0</v>
      </c>
      <c r="CYS48" s="57">
        <f>'REG y VAL POE - AESR - ESR'!M3718</f>
        <v>0</v>
      </c>
      <c r="CYT48" s="57">
        <f>'REG y VAL POE - AESR - ESR'!N3718</f>
        <v>0</v>
      </c>
      <c r="CYU48" s="57">
        <f>'REG y VAL POE - AESR - ESR'!O3718</f>
        <v>0</v>
      </c>
      <c r="CYV48" s="57">
        <f>'REG y VAL POE - AESR - ESR'!P3718</f>
        <v>0</v>
      </c>
      <c r="CYW48" s="57">
        <f>'REG y VAL POE - AESR - ESR'!Q3718</f>
        <v>0</v>
      </c>
      <c r="CYX48" s="57">
        <f>'REG y VAL POE - AESR - ESR'!R3718</f>
        <v>0</v>
      </c>
      <c r="CYY48" s="57">
        <f>'REG y VAL POE - AESR - ESR'!S3718</f>
        <v>0</v>
      </c>
      <c r="CYZ48" s="57">
        <f>'REG y VAL POE - AESR - ESR'!T3718</f>
        <v>0</v>
      </c>
      <c r="CZA48" s="57">
        <f>'REG y VAL POE - AESR - ESR'!U3718</f>
        <v>0</v>
      </c>
      <c r="CZB48" s="57">
        <f>'REG y VAL POE - AESR - ESR'!V3718</f>
        <v>0</v>
      </c>
      <c r="CZC48" s="57">
        <f>'REG y VAL POE - AESR - ESR'!W3718</f>
        <v>0</v>
      </c>
      <c r="CZD48" s="57">
        <f>'REG y VAL POE - AESR - ESR'!X3718</f>
        <v>0</v>
      </c>
      <c r="CZE48" s="57">
        <f>'REG y VAL POE - AESR - ESR'!Y3718</f>
        <v>0</v>
      </c>
      <c r="CZF48" s="57">
        <f>'REG y VAL POE - AESR - ESR'!Z3718</f>
        <v>0</v>
      </c>
      <c r="CZG48" s="57">
        <f>'REG y VAL POE - AESR - ESR'!AA3718</f>
        <v>0</v>
      </c>
      <c r="CZH48" s="57">
        <f>'REG y VAL POE - AESR - ESR'!AB3718</f>
        <v>0</v>
      </c>
      <c r="CZI48" s="57">
        <f>'REG y VAL POE - AESR - ESR'!AC3718</f>
        <v>0</v>
      </c>
      <c r="CZJ48" s="57">
        <f>'REG y VAL POE - AESR - ESR'!AD3718</f>
        <v>0</v>
      </c>
      <c r="CZK48" s="57">
        <f>'REG y VAL POE - AESR - ESR'!AE3718</f>
        <v>0</v>
      </c>
      <c r="CZL48" s="57">
        <f>'REG y VAL POE - AESR - ESR'!AF3718</f>
        <v>0</v>
      </c>
      <c r="CZM48" s="57">
        <f>'REG y VAL POE - AESR - ESR'!AG3718</f>
        <v>0</v>
      </c>
      <c r="CZN48" s="57">
        <f>'REG y VAL POE - AESR - ESR'!AH3718</f>
        <v>0</v>
      </c>
      <c r="CZO48" s="57">
        <f>'REG y VAL POE - AESR - ESR'!AI3718</f>
        <v>0</v>
      </c>
      <c r="CZP48" s="57">
        <f>'REG y VAL POE - AESR - ESR'!AJ3718</f>
        <v>0</v>
      </c>
      <c r="CZQ48" s="57">
        <f>'REG y VAL POE - AESR - ESR'!AK3718</f>
        <v>0</v>
      </c>
      <c r="CZR48" s="57">
        <f>'REG y VAL POE - AESR - ESR'!AL3718</f>
        <v>0</v>
      </c>
      <c r="CZS48" s="57">
        <f>'REG y VAL POE - AESR - ESR'!AM3718</f>
        <v>0</v>
      </c>
      <c r="CZT48" s="57">
        <f>'REG y VAL POE - AESR - ESR'!AN3718</f>
        <v>0</v>
      </c>
      <c r="CZU48" s="57">
        <f>'REG y VAL POE - AESR - ESR'!AO3718</f>
        <v>0</v>
      </c>
      <c r="CZV48" s="57">
        <f>'REG y VAL POE - AESR - ESR'!AP3718</f>
        <v>0</v>
      </c>
      <c r="CZW48" s="57">
        <f>'REG y VAL POE - AESR - ESR'!AQ3718</f>
        <v>0</v>
      </c>
      <c r="CZX48" s="57">
        <f>'REG y VAL POE - AESR - ESR'!AR3718</f>
        <v>0</v>
      </c>
      <c r="CZY48" s="57">
        <f>'REG y VAL POE - AESR - ESR'!AS3718</f>
        <v>0</v>
      </c>
      <c r="CZZ48" s="57">
        <f>'REG y VAL POE - AESR - ESR'!B3719</f>
        <v>0</v>
      </c>
      <c r="DAA48" s="57">
        <f>'REG y VAL POE - AESR - ESR'!C3719</f>
        <v>0</v>
      </c>
      <c r="DAB48" s="56">
        <f>'REG y VAL POE - AESR - ESR'!D3719</f>
        <v>0</v>
      </c>
      <c r="DAC48" s="56">
        <f>'REG y VAL POE - AESR - ESR'!E3719</f>
        <v>0</v>
      </c>
      <c r="DAD48" s="57">
        <f>'REG y VAL POE - AESR - ESR'!F3719</f>
        <v>0</v>
      </c>
      <c r="DAE48" s="390">
        <f>'REG y VAL POE - AESR - ESR'!G3719</f>
        <v>0</v>
      </c>
      <c r="DAF48" s="390">
        <f>'REG y VAL POE - AESR - ESR'!H3719</f>
        <v>0</v>
      </c>
      <c r="DAG48" s="57">
        <f>'REG y VAL POE - AESR - ESR'!I3719</f>
        <v>0</v>
      </c>
      <c r="DAH48" s="57">
        <f>'REG y VAL POE - AESR - ESR'!J3719</f>
        <v>0</v>
      </c>
      <c r="DAI48" s="57">
        <f>'REG y VAL POE - AESR - ESR'!K3719</f>
        <v>0</v>
      </c>
      <c r="DAJ48" s="57">
        <f>'REG y VAL POE - AESR - ESR'!L3719</f>
        <v>0</v>
      </c>
      <c r="DAK48" s="57">
        <f>'REG y VAL POE - AESR - ESR'!M3719</f>
        <v>0</v>
      </c>
      <c r="DAL48" s="57">
        <f>'REG y VAL POE - AESR - ESR'!N3719</f>
        <v>0</v>
      </c>
      <c r="DAM48" s="57">
        <f>'REG y VAL POE - AESR - ESR'!O3719</f>
        <v>0</v>
      </c>
      <c r="DAN48" s="57">
        <f>'REG y VAL POE - AESR - ESR'!P3719</f>
        <v>0</v>
      </c>
      <c r="DAO48" s="57">
        <f>'REG y VAL POE - AESR - ESR'!Q3719</f>
        <v>0</v>
      </c>
      <c r="DAP48" s="57">
        <f>'REG y VAL POE - AESR - ESR'!R3719</f>
        <v>0</v>
      </c>
      <c r="DAQ48" s="57">
        <f>'REG y VAL POE - AESR - ESR'!S3719</f>
        <v>0</v>
      </c>
      <c r="DAR48" s="57">
        <f>'REG y VAL POE - AESR - ESR'!T3719</f>
        <v>0</v>
      </c>
      <c r="DAS48" s="57">
        <f>'REG y VAL POE - AESR - ESR'!U3719</f>
        <v>0</v>
      </c>
      <c r="DAT48" s="57">
        <f>'REG y VAL POE - AESR - ESR'!V3719</f>
        <v>0</v>
      </c>
      <c r="DAU48" s="57">
        <f>'REG y VAL POE - AESR - ESR'!W3719</f>
        <v>0</v>
      </c>
      <c r="DAV48" s="57">
        <f>'REG y VAL POE - AESR - ESR'!X3719</f>
        <v>0</v>
      </c>
      <c r="DAW48" s="57">
        <f>'REG y VAL POE - AESR - ESR'!Y3719</f>
        <v>0</v>
      </c>
      <c r="DAX48" s="57">
        <f>'REG y VAL POE - AESR - ESR'!Z3719</f>
        <v>0</v>
      </c>
      <c r="DAY48" s="57">
        <f>'REG y VAL POE - AESR - ESR'!AA3719</f>
        <v>0</v>
      </c>
      <c r="DAZ48" s="57">
        <f>'REG y VAL POE - AESR - ESR'!AB3719</f>
        <v>0</v>
      </c>
      <c r="DBA48" s="57">
        <f>'REG y VAL POE - AESR - ESR'!AC3719</f>
        <v>0</v>
      </c>
      <c r="DBB48" s="57">
        <f>'REG y VAL POE - AESR - ESR'!AD3719</f>
        <v>0</v>
      </c>
      <c r="DBC48" s="57">
        <f>'REG y VAL POE - AESR - ESR'!AE3719</f>
        <v>0</v>
      </c>
      <c r="DBD48" s="57">
        <f>'REG y VAL POE - AESR - ESR'!AF3719</f>
        <v>0</v>
      </c>
      <c r="DBE48" s="57">
        <f>'REG y VAL POE - AESR - ESR'!AG3719</f>
        <v>0</v>
      </c>
      <c r="DBF48" s="57">
        <f>'REG y VAL POE - AESR - ESR'!AH3719</f>
        <v>0</v>
      </c>
      <c r="DBG48" s="57">
        <f>'REG y VAL POE - AESR - ESR'!AI3719</f>
        <v>0</v>
      </c>
      <c r="DBH48" s="57">
        <f>'REG y VAL POE - AESR - ESR'!AJ3719</f>
        <v>0</v>
      </c>
      <c r="DBI48" s="57">
        <f>'REG y VAL POE - AESR - ESR'!AK3719</f>
        <v>0</v>
      </c>
      <c r="DBJ48" s="57">
        <f>'REG y VAL POE - AESR - ESR'!AL3719</f>
        <v>0</v>
      </c>
      <c r="DBK48" s="57">
        <f>'REG y VAL POE - AESR - ESR'!AM3719</f>
        <v>0</v>
      </c>
      <c r="DBL48" s="57">
        <f>'REG y VAL POE - AESR - ESR'!AN3719</f>
        <v>0</v>
      </c>
      <c r="DBM48" s="57">
        <f>'REG y VAL POE - AESR - ESR'!AO3719</f>
        <v>0</v>
      </c>
      <c r="DBN48" s="57">
        <f>'REG y VAL POE - AESR - ESR'!AP3719</f>
        <v>0</v>
      </c>
      <c r="DBO48" s="57">
        <f>'REG y VAL POE - AESR - ESR'!AQ3719</f>
        <v>0</v>
      </c>
      <c r="DBP48" s="57">
        <f>'REG y VAL POE - AESR - ESR'!AR3719</f>
        <v>0</v>
      </c>
      <c r="DBQ48" s="57">
        <f>'REG y VAL POE - AESR - ESR'!AS3719</f>
        <v>0</v>
      </c>
      <c r="DBR48" s="57">
        <f>'REG y VAL POE - AESR - ESR'!B3720</f>
        <v>0</v>
      </c>
      <c r="DBS48" s="57">
        <f>'REG y VAL POE - AESR - ESR'!C3720</f>
        <v>0</v>
      </c>
      <c r="DBT48" s="56">
        <f>'REG y VAL POE - AESR - ESR'!D3720</f>
        <v>0</v>
      </c>
      <c r="DBU48" s="56">
        <f>'REG y VAL POE - AESR - ESR'!E3720</f>
        <v>0</v>
      </c>
      <c r="DBV48" s="57">
        <f>'REG y VAL POE - AESR - ESR'!F3720</f>
        <v>0</v>
      </c>
      <c r="DBW48" s="390">
        <f>'REG y VAL POE - AESR - ESR'!G3720</f>
        <v>0</v>
      </c>
      <c r="DBX48" s="390">
        <f>'REG y VAL POE - AESR - ESR'!H3720</f>
        <v>0</v>
      </c>
      <c r="DBY48" s="57">
        <f>'REG y VAL POE - AESR - ESR'!I3720</f>
        <v>0</v>
      </c>
      <c r="DBZ48" s="57">
        <f>'REG y VAL POE - AESR - ESR'!J3720</f>
        <v>0</v>
      </c>
      <c r="DCA48" s="57">
        <f>'REG y VAL POE - AESR - ESR'!K3720</f>
        <v>0</v>
      </c>
      <c r="DCB48" s="57">
        <f>'REG y VAL POE - AESR - ESR'!L3720</f>
        <v>0</v>
      </c>
      <c r="DCC48" s="57">
        <f>'REG y VAL POE - AESR - ESR'!M3720</f>
        <v>0</v>
      </c>
      <c r="DCD48" s="57">
        <f>'REG y VAL POE - AESR - ESR'!N3720</f>
        <v>0</v>
      </c>
      <c r="DCE48" s="57">
        <f>'REG y VAL POE - AESR - ESR'!O3720</f>
        <v>0</v>
      </c>
      <c r="DCF48" s="57">
        <f>'REG y VAL POE - AESR - ESR'!P3720</f>
        <v>0</v>
      </c>
      <c r="DCG48" s="57">
        <f>'REG y VAL POE - AESR - ESR'!Q3720</f>
        <v>0</v>
      </c>
      <c r="DCH48" s="57">
        <f>'REG y VAL POE - AESR - ESR'!R3720</f>
        <v>0</v>
      </c>
      <c r="DCI48" s="57">
        <f>'REG y VAL POE - AESR - ESR'!S3720</f>
        <v>0</v>
      </c>
      <c r="DCJ48" s="57">
        <f>'REG y VAL POE - AESR - ESR'!T3720</f>
        <v>0</v>
      </c>
      <c r="DCK48" s="57">
        <f>'REG y VAL POE - AESR - ESR'!U3720</f>
        <v>0</v>
      </c>
      <c r="DCL48" s="57">
        <f>'REG y VAL POE - AESR - ESR'!V3720</f>
        <v>0</v>
      </c>
      <c r="DCM48" s="57">
        <f>'REG y VAL POE - AESR - ESR'!W3720</f>
        <v>0</v>
      </c>
      <c r="DCN48" s="57">
        <f>'REG y VAL POE - AESR - ESR'!X3720</f>
        <v>0</v>
      </c>
      <c r="DCO48" s="57">
        <f>'REG y VAL POE - AESR - ESR'!Y3720</f>
        <v>0</v>
      </c>
      <c r="DCP48" s="57">
        <f>'REG y VAL POE - AESR - ESR'!Z3720</f>
        <v>0</v>
      </c>
      <c r="DCQ48" s="57">
        <f>'REG y VAL POE - AESR - ESR'!AA3720</f>
        <v>0</v>
      </c>
      <c r="DCR48" s="57">
        <f>'REG y VAL POE - AESR - ESR'!AB3720</f>
        <v>0</v>
      </c>
      <c r="DCS48" s="57">
        <f>'REG y VAL POE - AESR - ESR'!AC3720</f>
        <v>0</v>
      </c>
      <c r="DCT48" s="57">
        <f>'REG y VAL POE - AESR - ESR'!AD3720</f>
        <v>0</v>
      </c>
      <c r="DCU48" s="57">
        <f>'REG y VAL POE - AESR - ESR'!AE3720</f>
        <v>0</v>
      </c>
      <c r="DCV48" s="57">
        <f>'REG y VAL POE - AESR - ESR'!AF3720</f>
        <v>0</v>
      </c>
      <c r="DCW48" s="57">
        <f>'REG y VAL POE - AESR - ESR'!AG3720</f>
        <v>0</v>
      </c>
      <c r="DCX48" s="57">
        <f>'REG y VAL POE - AESR - ESR'!AH3720</f>
        <v>0</v>
      </c>
      <c r="DCY48" s="57">
        <f>'REG y VAL POE - AESR - ESR'!AI3720</f>
        <v>0</v>
      </c>
      <c r="DCZ48" s="57">
        <f>'REG y VAL POE - AESR - ESR'!AJ3720</f>
        <v>0</v>
      </c>
      <c r="DDA48" s="57">
        <f>'REG y VAL POE - AESR - ESR'!AK3720</f>
        <v>0</v>
      </c>
      <c r="DDB48" s="57">
        <f>'REG y VAL POE - AESR - ESR'!AL3720</f>
        <v>0</v>
      </c>
      <c r="DDC48" s="57">
        <f>'REG y VAL POE - AESR - ESR'!AM3720</f>
        <v>0</v>
      </c>
      <c r="DDD48" s="57">
        <f>'REG y VAL POE - AESR - ESR'!AN3720</f>
        <v>0</v>
      </c>
      <c r="DDE48" s="57">
        <f>'REG y VAL POE - AESR - ESR'!AO3720</f>
        <v>0</v>
      </c>
      <c r="DDF48" s="57">
        <f>'REG y VAL POE - AESR - ESR'!AP3720</f>
        <v>0</v>
      </c>
      <c r="DDG48" s="57">
        <f>'REG y VAL POE - AESR - ESR'!AQ3720</f>
        <v>0</v>
      </c>
      <c r="DDH48" s="57">
        <f>'REG y VAL POE - AESR - ESR'!AR3720</f>
        <v>0</v>
      </c>
      <c r="DDI48" s="57">
        <f>'REG y VAL POE - AESR - ESR'!AS3720</f>
        <v>0</v>
      </c>
      <c r="DDJ48" s="58">
        <f>'REG y VAL POE - AESR - ESR'!B3721</f>
        <v>0</v>
      </c>
      <c r="DDK48" s="57">
        <f>'REG y VAL POE - AESR - ESR'!C3721</f>
        <v>0</v>
      </c>
      <c r="DDL48" s="56">
        <f>'REG y VAL POE - AESR - ESR'!D3721</f>
        <v>0</v>
      </c>
      <c r="DDM48" s="57">
        <f>'REG y VAL POE - AESR - ESR'!E3721</f>
        <v>0</v>
      </c>
      <c r="DDN48" s="56">
        <f>'REG y VAL POE - AESR - ESR'!F3721</f>
        <v>0</v>
      </c>
      <c r="DDO48" s="56">
        <f>'REG y VAL POE - AESR - ESR'!G3721</f>
        <v>0</v>
      </c>
      <c r="DDP48" s="56">
        <f>'REG y VAL POE - AESR - ESR'!H3721</f>
        <v>0</v>
      </c>
      <c r="DDQ48" s="57">
        <f>'REG y VAL POE - AESR - ESR'!I3721</f>
        <v>0</v>
      </c>
      <c r="DDR48" s="57">
        <f>'REG y VAL POE - AESR - ESR'!J3721</f>
        <v>0</v>
      </c>
      <c r="DDS48" s="57">
        <f>'REG y VAL POE - AESR - ESR'!K3721</f>
        <v>0</v>
      </c>
      <c r="DDT48" s="57">
        <f>'REG y VAL POE - AESR - ESR'!L3721</f>
        <v>0</v>
      </c>
      <c r="DDU48" s="57">
        <f>'REG y VAL POE - AESR - ESR'!M3721</f>
        <v>0</v>
      </c>
      <c r="DDV48" s="57">
        <f>'REG y VAL POE - AESR - ESR'!N3721</f>
        <v>0</v>
      </c>
      <c r="DDW48" s="57">
        <f>'REG y VAL POE - AESR - ESR'!O3721</f>
        <v>0</v>
      </c>
      <c r="DDX48" s="57">
        <f>'REG y VAL POE - AESR - ESR'!P3721</f>
        <v>0</v>
      </c>
      <c r="DDY48" s="57">
        <f>'REG y VAL POE - AESR - ESR'!Q3721</f>
        <v>0</v>
      </c>
      <c r="DDZ48" s="57">
        <f>'REG y VAL POE - AESR - ESR'!R3721</f>
        <v>0</v>
      </c>
      <c r="DEA48" s="57">
        <f>'REG y VAL POE - AESR - ESR'!S3721</f>
        <v>0</v>
      </c>
      <c r="DEB48" s="57">
        <f>'REG y VAL POE - AESR - ESR'!T3721</f>
        <v>0</v>
      </c>
      <c r="DEC48" s="57">
        <f>'REG y VAL POE - AESR - ESR'!U3721</f>
        <v>0</v>
      </c>
      <c r="DED48" s="57">
        <f>'REG y VAL POE - AESR - ESR'!V3721</f>
        <v>0</v>
      </c>
      <c r="DEE48" s="57">
        <f>'REG y VAL POE - AESR - ESR'!W3721</f>
        <v>0</v>
      </c>
      <c r="DEF48" s="57">
        <f>'REG y VAL POE - AESR - ESR'!X3721</f>
        <v>0</v>
      </c>
      <c r="DEG48" s="57">
        <f>'REG y VAL POE - AESR - ESR'!Y3721</f>
        <v>0</v>
      </c>
      <c r="DEH48" s="57">
        <f>'REG y VAL POE - AESR - ESR'!Z3721</f>
        <v>0</v>
      </c>
      <c r="DEI48" s="57">
        <f>'REG y VAL POE - AESR - ESR'!AA3721</f>
        <v>0</v>
      </c>
      <c r="DEJ48" s="57">
        <f>'REG y VAL POE - AESR - ESR'!AB3721</f>
        <v>0</v>
      </c>
      <c r="DEK48" s="57">
        <f>'REG y VAL POE - AESR - ESR'!AC3721</f>
        <v>0</v>
      </c>
      <c r="DEL48" s="57">
        <f>'REG y VAL POE - AESR - ESR'!AD3721</f>
        <v>0</v>
      </c>
      <c r="DEM48" s="57">
        <f>'REG y VAL POE - AESR - ESR'!AE3721</f>
        <v>0</v>
      </c>
      <c r="DEN48" s="57">
        <f>'REG y VAL POE - AESR - ESR'!AF3721</f>
        <v>0</v>
      </c>
      <c r="DEO48" s="57">
        <f>'REG y VAL POE - AESR - ESR'!AG3721</f>
        <v>0</v>
      </c>
      <c r="DEP48" s="57">
        <f>'REG y VAL POE - AESR - ESR'!AH3721</f>
        <v>0</v>
      </c>
      <c r="DEQ48" s="57">
        <f>'REG y VAL POE - AESR - ESR'!AI3721</f>
        <v>0</v>
      </c>
      <c r="DER48" s="57">
        <f>'REG y VAL POE - AESR - ESR'!AJ3721</f>
        <v>0</v>
      </c>
      <c r="DES48" s="57">
        <f>'REG y VAL POE - AESR - ESR'!AK3721</f>
        <v>0</v>
      </c>
      <c r="DET48" s="57">
        <f>'REG y VAL POE - AESR - ESR'!AL3721</f>
        <v>0</v>
      </c>
      <c r="DEU48" s="57">
        <f>'REG y VAL POE - AESR - ESR'!AM3721</f>
        <v>0</v>
      </c>
      <c r="DEV48" s="57">
        <f>'REG y VAL POE - AESR - ESR'!AN3721</f>
        <v>0</v>
      </c>
      <c r="DEW48" s="57">
        <f>'REG y VAL POE - AESR - ESR'!AO3721</f>
        <v>0</v>
      </c>
      <c r="DEX48" s="57">
        <f>'REG y VAL POE - AESR - ESR'!AP3721</f>
        <v>0</v>
      </c>
      <c r="DEY48" s="57">
        <f>'REG y VAL POE - AESR - ESR'!AQ3721</f>
        <v>0</v>
      </c>
      <c r="DEZ48" s="57">
        <f>'REG y VAL POE - AESR - ESR'!AR3721</f>
        <v>0</v>
      </c>
      <c r="DFA48" s="57">
        <f>'REG y VAL POE - AESR - ESR'!AS3721</f>
        <v>0</v>
      </c>
      <c r="DFB48" s="58"/>
      <c r="DFC48" s="56"/>
      <c r="DFD48" s="57"/>
      <c r="DFE48" s="57"/>
      <c r="DFF48" s="57"/>
      <c r="DFG48" s="57"/>
      <c r="DFH48" s="57"/>
      <c r="DFI48" s="56"/>
      <c r="DFJ48" s="57"/>
      <c r="DFK48" s="57"/>
      <c r="DFL48" s="56"/>
      <c r="DFM48" s="57"/>
      <c r="DFN48" s="58"/>
      <c r="DFO48" s="56"/>
      <c r="DFP48" s="57"/>
      <c r="DFQ48" s="57"/>
      <c r="DFR48" s="57"/>
      <c r="DFS48" s="56"/>
      <c r="DFT48" s="57"/>
      <c r="DFU48" s="57"/>
      <c r="DFV48" s="56"/>
      <c r="DFW48" s="57"/>
      <c r="DFX48" s="58"/>
      <c r="DFY48" s="56"/>
      <c r="DFZ48" s="57"/>
      <c r="DGA48" s="57"/>
      <c r="DGB48" s="57"/>
      <c r="DGC48" s="56"/>
      <c r="DGD48" s="57"/>
      <c r="DGE48" s="57"/>
      <c r="DGF48" s="56"/>
      <c r="DGG48" s="57"/>
      <c r="DGH48" s="58"/>
      <c r="DGI48" s="56"/>
      <c r="DGJ48" s="57"/>
      <c r="DGK48" s="57"/>
      <c r="DGL48" s="57"/>
      <c r="DGM48" s="56"/>
      <c r="DGN48" s="57"/>
      <c r="DGO48" s="57"/>
      <c r="DGP48" s="56"/>
      <c r="DGQ48" s="57"/>
      <c r="DGR48" s="58"/>
      <c r="DGS48" s="56"/>
      <c r="DGT48" s="58"/>
      <c r="DGU48" s="57"/>
      <c r="DGV48" s="56"/>
      <c r="DGW48" s="57"/>
      <c r="DGX48" s="56"/>
      <c r="DGY48" s="56"/>
      <c r="DGZ48" s="56"/>
      <c r="DHA48" s="57"/>
      <c r="DHB48" s="57"/>
      <c r="DHC48" s="57"/>
      <c r="DHD48" s="57"/>
      <c r="DHE48" s="57"/>
      <c r="DHF48" s="57"/>
      <c r="DHG48" s="57"/>
      <c r="DHH48" s="57"/>
      <c r="DHI48" s="57"/>
      <c r="DHJ48" s="57"/>
      <c r="DHK48" s="57"/>
      <c r="DHL48" s="57"/>
      <c r="DHM48" s="57"/>
      <c r="DHN48" s="57"/>
      <c r="DHO48" s="57"/>
      <c r="DHP48" s="57"/>
      <c r="DHQ48" s="57"/>
      <c r="DHR48" s="57"/>
      <c r="DHS48" s="57"/>
      <c r="DHT48" s="57"/>
      <c r="DHU48" s="57"/>
      <c r="DHV48" s="57"/>
      <c r="DHW48" s="57"/>
      <c r="DHX48" s="57"/>
      <c r="DHY48" s="57"/>
      <c r="DHZ48" s="57"/>
      <c r="DIA48" s="57"/>
      <c r="DIB48" s="57"/>
      <c r="DIC48" s="57"/>
      <c r="DID48" s="57"/>
      <c r="DIE48" s="57"/>
      <c r="DIF48" s="57"/>
      <c r="DIG48" s="57"/>
      <c r="DIH48" s="57"/>
      <c r="DII48" s="57"/>
      <c r="DIJ48" s="57"/>
      <c r="DIK48" s="57"/>
      <c r="DIL48" s="58"/>
      <c r="DIM48" s="56"/>
      <c r="DIN48" s="57"/>
      <c r="DIO48" s="57"/>
      <c r="DIP48" s="57"/>
      <c r="DIQ48" s="57"/>
      <c r="DIR48" s="57"/>
      <c r="DIS48" s="56"/>
      <c r="DIT48" s="57"/>
      <c r="DIU48" s="57"/>
      <c r="DIV48" s="56"/>
      <c r="DIW48" s="57"/>
      <c r="DIX48" s="58"/>
      <c r="DIY48" s="56"/>
      <c r="DIZ48" s="57"/>
      <c r="DJA48" s="57"/>
      <c r="DJB48" s="57"/>
      <c r="DJC48" s="56"/>
      <c r="DJD48" s="57"/>
      <c r="DJE48" s="57"/>
      <c r="DJF48" s="56"/>
      <c r="DJG48" s="57"/>
      <c r="DJH48" s="58"/>
      <c r="DJI48" s="56"/>
      <c r="DJJ48" s="57"/>
      <c r="DJK48" s="57"/>
      <c r="DJL48" s="57"/>
      <c r="DJM48" s="56"/>
      <c r="DJN48" s="57"/>
      <c r="DJO48" s="57"/>
      <c r="DJP48" s="56"/>
      <c r="DJQ48" s="57"/>
      <c r="DJR48" s="58"/>
      <c r="DJS48" s="56"/>
      <c r="DJT48" s="57"/>
      <c r="DJU48" s="57"/>
      <c r="DJV48" s="57"/>
      <c r="DJW48" s="56"/>
      <c r="DJX48" s="57"/>
      <c r="DJY48" s="57"/>
      <c r="DJZ48" s="56"/>
      <c r="DKA48" s="57"/>
      <c r="DKB48" s="58"/>
      <c r="DKC48" s="56"/>
      <c r="DKD48" s="58"/>
      <c r="DKE48" s="57"/>
      <c r="DKF48" s="56"/>
      <c r="DKG48" s="57"/>
      <c r="DKH48" s="56"/>
      <c r="DKI48" s="56"/>
      <c r="DKJ48" s="56"/>
      <c r="DKK48" s="57"/>
      <c r="DKL48" s="57"/>
      <c r="DKM48" s="57"/>
      <c r="DKN48" s="57"/>
      <c r="DKO48" s="57"/>
      <c r="DKP48" s="57"/>
      <c r="DKQ48" s="57"/>
      <c r="DKR48" s="57"/>
      <c r="DKS48" s="57"/>
      <c r="DKT48" s="57"/>
      <c r="DKU48" s="57"/>
      <c r="DKV48" s="57"/>
      <c r="DKW48" s="57"/>
      <c r="DKX48" s="57"/>
      <c r="DKY48" s="57"/>
      <c r="DKZ48" s="57"/>
      <c r="DLA48" s="57"/>
      <c r="DLB48" s="57"/>
      <c r="DLC48" s="57"/>
      <c r="DLD48" s="57"/>
      <c r="DLE48" s="57"/>
      <c r="DLF48" s="57"/>
      <c r="DLG48" s="57"/>
      <c r="DLH48" s="57"/>
      <c r="DLI48" s="57"/>
      <c r="DLJ48" s="57"/>
      <c r="DLK48" s="57"/>
      <c r="DLL48" s="57"/>
      <c r="DLM48" s="57"/>
      <c r="DLN48" s="57"/>
      <c r="DLO48" s="57"/>
      <c r="DLP48" s="57"/>
      <c r="DLQ48" s="57"/>
      <c r="DLR48" s="57"/>
      <c r="DLS48" s="57"/>
      <c r="DLT48" s="57"/>
      <c r="DLU48" s="57"/>
      <c r="DLV48" s="58"/>
      <c r="DLW48" s="56"/>
      <c r="DLX48" s="57"/>
      <c r="DLY48" s="57"/>
      <c r="DLZ48" s="57"/>
      <c r="DMA48" s="57"/>
      <c r="DMB48" s="57"/>
      <c r="DMC48" s="56"/>
      <c r="DMD48" s="57"/>
      <c r="DME48" s="57"/>
      <c r="DMF48" s="56"/>
      <c r="DMG48" s="57"/>
      <c r="DMH48" s="58"/>
      <c r="DMI48" s="56"/>
      <c r="DMJ48" s="57"/>
      <c r="DMK48" s="57"/>
      <c r="DML48" s="57"/>
      <c r="DMM48" s="56"/>
      <c r="DMN48" s="57"/>
      <c r="DMO48" s="57"/>
      <c r="DMP48" s="56"/>
      <c r="DMQ48" s="57"/>
      <c r="DMR48" s="58"/>
      <c r="DMS48" s="56"/>
      <c r="DMT48" s="57"/>
      <c r="DMU48" s="57"/>
      <c r="DMV48" s="57"/>
      <c r="DMW48" s="56"/>
      <c r="DMX48" s="57"/>
      <c r="DMY48" s="57"/>
      <c r="DMZ48" s="56"/>
      <c r="DNA48" s="57"/>
      <c r="DNB48" s="58"/>
      <c r="DNC48" s="56"/>
      <c r="DND48" s="57"/>
      <c r="DNE48" s="57"/>
      <c r="DNF48" s="57"/>
      <c r="DNG48" s="56"/>
      <c r="DNH48" s="57"/>
      <c r="DNI48" s="57"/>
      <c r="DNJ48" s="56"/>
      <c r="DNK48" s="57"/>
      <c r="DNL48" s="58"/>
      <c r="DNM48" s="56"/>
      <c r="DNN48" s="58"/>
      <c r="DNO48" s="57"/>
      <c r="DNP48" s="56"/>
      <c r="DNQ48" s="57"/>
      <c r="DNR48" s="56"/>
      <c r="DNS48" s="56"/>
      <c r="DNT48" s="56"/>
      <c r="DNU48" s="57"/>
      <c r="DNV48" s="57"/>
      <c r="DNW48" s="57"/>
      <c r="DNX48" s="57"/>
      <c r="DNY48" s="57"/>
      <c r="DNZ48" s="57"/>
      <c r="DOA48" s="57"/>
      <c r="DOB48" s="57"/>
      <c r="DOC48" s="57"/>
      <c r="DOD48" s="57"/>
      <c r="DOE48" s="57"/>
      <c r="DOF48" s="57"/>
      <c r="DOG48" s="57"/>
      <c r="DOH48" s="57"/>
      <c r="DOI48" s="57"/>
      <c r="DOJ48" s="57"/>
      <c r="DOK48" s="57"/>
      <c r="DOL48" s="57"/>
      <c r="DOM48" s="57"/>
      <c r="DON48" s="57"/>
      <c r="DOO48" s="57"/>
      <c r="DOP48" s="57"/>
      <c r="DOQ48" s="57"/>
      <c r="DOR48" s="57"/>
      <c r="DOS48" s="57"/>
      <c r="DOT48" s="57"/>
      <c r="DOU48" s="57"/>
      <c r="DOV48" s="57"/>
      <c r="DOW48" s="57"/>
      <c r="DOX48" s="57"/>
      <c r="DOY48" s="57"/>
      <c r="DOZ48" s="57"/>
      <c r="DPA48" s="57"/>
      <c r="DPB48" s="57"/>
      <c r="DPC48" s="57"/>
      <c r="DPD48" s="57"/>
      <c r="DPE48" s="57"/>
      <c r="DPF48" s="58"/>
      <c r="DPG48" s="56"/>
      <c r="DPH48" s="57"/>
      <c r="DPI48" s="57"/>
      <c r="DPJ48" s="57"/>
      <c r="DPK48" s="57"/>
      <c r="DPL48" s="57"/>
      <c r="DPM48" s="56"/>
      <c r="DPN48" s="57"/>
      <c r="DPO48" s="57"/>
      <c r="DPP48" s="56"/>
      <c r="DPQ48" s="57"/>
      <c r="DPR48" s="58"/>
      <c r="DPS48" s="56"/>
      <c r="DPT48" s="57"/>
      <c r="DPU48" s="57"/>
      <c r="DPV48" s="57"/>
      <c r="DPW48" s="56"/>
      <c r="DPX48" s="57"/>
      <c r="DPY48" s="57"/>
      <c r="DPZ48" s="56"/>
      <c r="DQA48" s="57"/>
      <c r="DQB48" s="58"/>
      <c r="DQC48" s="56"/>
      <c r="DQD48" s="57"/>
      <c r="DQE48" s="57"/>
      <c r="DQF48" s="57"/>
      <c r="DQG48" s="56"/>
      <c r="DQH48" s="57"/>
      <c r="DQI48" s="57"/>
      <c r="DQJ48" s="56"/>
      <c r="DQK48" s="57"/>
      <c r="DQL48" s="58"/>
      <c r="DQM48" s="56"/>
      <c r="DQN48" s="57"/>
      <c r="DQO48" s="57"/>
      <c r="DQP48" s="57"/>
      <c r="DQQ48" s="56"/>
      <c r="DQR48" s="57"/>
      <c r="DQS48" s="57"/>
      <c r="DQT48" s="56"/>
      <c r="DQU48" s="57"/>
      <c r="DQV48" s="58"/>
      <c r="DQW48" s="56"/>
      <c r="DQX48" s="58"/>
      <c r="DQY48" s="57"/>
      <c r="DQZ48" s="56"/>
      <c r="DRA48" s="57"/>
      <c r="DRB48" s="56"/>
      <c r="DRC48" s="56"/>
      <c r="DRD48" s="56"/>
      <c r="DRE48" s="57"/>
      <c r="DRF48" s="57"/>
      <c r="DRG48" s="57"/>
      <c r="DRH48" s="57"/>
      <c r="DRI48" s="57"/>
      <c r="DRJ48" s="57"/>
      <c r="DRK48" s="57"/>
      <c r="DRL48" s="57"/>
      <c r="DRM48" s="57"/>
      <c r="DRN48" s="57"/>
      <c r="DRO48" s="57"/>
      <c r="DRP48" s="57"/>
      <c r="DRQ48" s="57"/>
      <c r="DRR48" s="57"/>
      <c r="DRS48" s="57"/>
      <c r="DRT48" s="57"/>
      <c r="DRU48" s="57"/>
      <c r="DRV48" s="57"/>
      <c r="DRW48" s="57"/>
      <c r="DRX48" s="57"/>
      <c r="DRY48" s="57"/>
      <c r="DRZ48" s="57"/>
      <c r="DSA48" s="57"/>
      <c r="DSB48" s="57"/>
      <c r="DSC48" s="57"/>
      <c r="DSD48" s="57"/>
      <c r="DSE48" s="57"/>
      <c r="DSF48" s="57"/>
      <c r="DSG48" s="57"/>
      <c r="DSH48" s="57"/>
      <c r="DSI48" s="57"/>
      <c r="DSJ48" s="57"/>
      <c r="DSK48" s="57"/>
      <c r="DSL48" s="57"/>
      <c r="DSM48" s="57"/>
      <c r="DSN48" s="57"/>
      <c r="DSO48" s="57"/>
      <c r="DSP48" s="58"/>
      <c r="DSQ48" s="56"/>
      <c r="DSR48" s="57"/>
      <c r="DSS48" s="57"/>
      <c r="DST48" s="57"/>
      <c r="DSU48" s="57"/>
      <c r="DSV48" s="57"/>
      <c r="DSW48" s="56"/>
      <c r="DSX48" s="57"/>
      <c r="DSY48" s="57"/>
      <c r="DSZ48" s="56"/>
      <c r="DTA48" s="57"/>
      <c r="DTB48" s="58"/>
      <c r="DTC48" s="56"/>
      <c r="DTD48" s="57"/>
      <c r="DTE48" s="57"/>
      <c r="DTF48" s="57"/>
      <c r="DTG48" s="56"/>
      <c r="DTH48" s="57"/>
      <c r="DTI48" s="57"/>
      <c r="DTJ48" s="56"/>
      <c r="DTK48" s="57"/>
      <c r="DTL48" s="58"/>
      <c r="DTM48" s="56"/>
      <c r="DTN48" s="57"/>
      <c r="DTO48" s="57"/>
      <c r="DTP48" s="57"/>
      <c r="DTQ48" s="56"/>
      <c r="DTR48" s="57"/>
      <c r="DTS48" s="57"/>
      <c r="DTT48" s="56"/>
      <c r="DTU48" s="57"/>
      <c r="DTV48" s="58"/>
      <c r="DTW48" s="56"/>
      <c r="DTX48" s="57"/>
      <c r="DTY48" s="57"/>
      <c r="DTZ48" s="57"/>
      <c r="DUA48" s="56"/>
      <c r="DUB48" s="57"/>
      <c r="DUC48" s="57"/>
      <c r="DUD48" s="56"/>
      <c r="DUE48" s="57"/>
      <c r="DUF48" s="58"/>
      <c r="DUG48" s="56"/>
      <c r="DUH48" s="58"/>
      <c r="DUI48" s="57"/>
      <c r="DUJ48" s="56"/>
      <c r="DUK48" s="57"/>
      <c r="DUL48" s="56"/>
      <c r="DUM48" s="56"/>
      <c r="DUN48" s="56"/>
      <c r="DUO48" s="57"/>
      <c r="DUP48" s="57"/>
      <c r="DUQ48" s="57"/>
      <c r="DUR48" s="57"/>
      <c r="DUS48" s="57"/>
      <c r="DUT48" s="57"/>
      <c r="DUU48" s="57"/>
      <c r="DUV48" s="57"/>
      <c r="DUW48" s="57"/>
      <c r="DUX48" s="57"/>
      <c r="DUY48" s="57"/>
      <c r="DUZ48" s="57"/>
      <c r="DVA48" s="57"/>
      <c r="DVB48" s="57"/>
      <c r="DVC48" s="57"/>
      <c r="DVD48" s="57"/>
      <c r="DVE48" s="57"/>
      <c r="DVF48" s="57"/>
      <c r="DVG48" s="57"/>
      <c r="DVH48" s="57"/>
      <c r="DVI48" s="57"/>
      <c r="DVJ48" s="57"/>
      <c r="DVK48" s="57"/>
      <c r="DVL48" s="57"/>
      <c r="DVM48" s="57"/>
      <c r="DVN48" s="57"/>
      <c r="DVO48" s="57"/>
      <c r="DVP48" s="57"/>
      <c r="DVQ48" s="57"/>
      <c r="DVR48" s="57"/>
      <c r="DVS48" s="57"/>
      <c r="DVT48" s="57"/>
      <c r="DVU48" s="57"/>
      <c r="DVV48" s="57"/>
      <c r="DVW48" s="57"/>
      <c r="DVX48" s="57"/>
      <c r="DVY48" s="57"/>
      <c r="DVZ48" s="58"/>
      <c r="DWA48" s="56"/>
      <c r="DWB48" s="57"/>
      <c r="DWC48" s="57"/>
      <c r="DWD48" s="57"/>
      <c r="DWE48" s="57"/>
      <c r="DWF48" s="57"/>
      <c r="DWG48" s="56"/>
      <c r="DWH48" s="57"/>
      <c r="DWI48" s="57"/>
      <c r="DWJ48" s="56"/>
      <c r="DWK48" s="57"/>
      <c r="DWL48" s="58"/>
      <c r="DWM48" s="56"/>
      <c r="DWN48" s="57"/>
      <c r="DWO48" s="57"/>
      <c r="DWP48" s="57"/>
      <c r="DWQ48" s="56"/>
      <c r="DWR48" s="57"/>
      <c r="DWS48" s="57"/>
      <c r="DWT48" s="56"/>
      <c r="DWU48" s="57"/>
      <c r="DWV48" s="58"/>
      <c r="DWW48" s="56"/>
      <c r="DWX48" s="57"/>
      <c r="DWY48" s="57"/>
      <c r="DWZ48" s="57"/>
      <c r="DXA48" s="56"/>
      <c r="DXB48" s="57"/>
      <c r="DXC48" s="57"/>
      <c r="DXD48" s="56"/>
      <c r="DXE48" s="57"/>
      <c r="DXF48" s="58"/>
      <c r="DXG48" s="56"/>
      <c r="DXH48" s="57"/>
      <c r="DXI48" s="57"/>
      <c r="DXJ48" s="57"/>
      <c r="DXK48" s="56"/>
      <c r="DXL48" s="57"/>
      <c r="DXM48" s="57"/>
      <c r="DXN48" s="56"/>
      <c r="DXO48" s="57"/>
      <c r="DXP48" s="58"/>
      <c r="DXQ48" s="56"/>
      <c r="DXR48" s="58"/>
      <c r="DXS48" s="57"/>
      <c r="DXT48" s="56"/>
      <c r="DXU48" s="57"/>
      <c r="DXV48" s="56"/>
      <c r="DXW48" s="56"/>
      <c r="DXX48" s="56"/>
      <c r="DXY48" s="57"/>
      <c r="DXZ48" s="57"/>
      <c r="DYA48" s="57"/>
      <c r="DYB48" s="57"/>
      <c r="DYC48" s="57"/>
      <c r="DYD48" s="57"/>
      <c r="DYE48" s="57"/>
      <c r="DYF48" s="57"/>
      <c r="DYG48" s="57"/>
      <c r="DYH48" s="57"/>
      <c r="DYI48" s="57"/>
      <c r="DYJ48" s="57"/>
      <c r="DYK48" s="57"/>
      <c r="DYL48" s="57"/>
      <c r="DYM48" s="57"/>
      <c r="DYN48" s="57"/>
      <c r="DYO48" s="57"/>
      <c r="DYP48" s="57"/>
      <c r="DYQ48" s="57"/>
      <c r="DYR48" s="57"/>
      <c r="DYS48" s="57"/>
      <c r="DYT48" s="57"/>
      <c r="DYU48" s="57"/>
      <c r="DYV48" s="57"/>
      <c r="DYW48" s="57"/>
      <c r="DYX48" s="57"/>
      <c r="DYY48" s="57"/>
      <c r="DYZ48" s="57"/>
      <c r="DZA48" s="57"/>
      <c r="DZB48" s="57"/>
      <c r="DZC48" s="57"/>
      <c r="DZD48" s="57"/>
      <c r="DZE48" s="57"/>
      <c r="DZF48" s="57"/>
      <c r="DZG48" s="57"/>
      <c r="DZH48" s="57"/>
      <c r="DZI48" s="57"/>
      <c r="DZJ48" s="58"/>
      <c r="DZK48" s="56"/>
      <c r="DZL48" s="57"/>
      <c r="DZM48" s="57"/>
      <c r="DZN48" s="57"/>
      <c r="DZO48" s="57"/>
      <c r="DZP48" s="57"/>
      <c r="DZQ48" s="56"/>
      <c r="DZR48" s="57"/>
      <c r="DZS48" s="57"/>
      <c r="DZT48" s="56"/>
      <c r="DZU48" s="57"/>
      <c r="DZV48" s="58"/>
      <c r="DZW48" s="56"/>
      <c r="DZX48" s="57"/>
      <c r="DZY48" s="57"/>
      <c r="DZZ48" s="57"/>
      <c r="EAA48" s="56"/>
      <c r="EAB48" s="57"/>
      <c r="EAC48" s="57"/>
      <c r="EAD48" s="56"/>
      <c r="EAE48" s="57"/>
      <c r="EAF48" s="58"/>
      <c r="EAG48" s="56"/>
      <c r="EAH48" s="57"/>
      <c r="EAI48" s="57"/>
      <c r="EAJ48" s="57"/>
      <c r="EAK48" s="56"/>
      <c r="EAL48" s="57"/>
      <c r="EAM48" s="57"/>
      <c r="EAN48" s="56"/>
      <c r="EAO48" s="57"/>
      <c r="EAP48" s="58"/>
      <c r="EAQ48" s="56"/>
      <c r="EAR48" s="57"/>
      <c r="EAS48" s="57"/>
      <c r="EAT48" s="57"/>
      <c r="EAU48" s="56"/>
      <c r="EAV48" s="57"/>
      <c r="EAW48" s="57"/>
      <c r="EAX48" s="56"/>
      <c r="EAY48" s="57"/>
      <c r="EAZ48" s="58"/>
      <c r="EBA48" s="56"/>
      <c r="EBB48" s="58"/>
      <c r="EBC48" s="57"/>
      <c r="EBD48" s="56"/>
      <c r="EBE48" s="57"/>
      <c r="EBF48" s="56"/>
      <c r="EBG48" s="56"/>
      <c r="EBH48" s="56"/>
      <c r="EBI48" s="57"/>
      <c r="EBJ48" s="57"/>
      <c r="EBK48" s="57"/>
      <c r="EBL48" s="57"/>
      <c r="EBM48" s="57"/>
      <c r="EBN48" s="57"/>
      <c r="EBO48" s="57"/>
      <c r="EBP48" s="57"/>
      <c r="EBQ48" s="57"/>
      <c r="EBR48" s="57"/>
      <c r="EBS48" s="57"/>
      <c r="EBT48" s="57"/>
      <c r="EBU48" s="57"/>
      <c r="EBV48" s="57"/>
      <c r="EBW48" s="57"/>
      <c r="EBX48" s="57"/>
      <c r="EBY48" s="57"/>
      <c r="EBZ48" s="57"/>
      <c r="ECA48" s="57"/>
      <c r="ECB48" s="57"/>
      <c r="ECC48" s="57"/>
      <c r="ECD48" s="57"/>
      <c r="ECE48" s="57"/>
      <c r="ECF48" s="57"/>
      <c r="ECG48" s="57"/>
      <c r="ECH48" s="57"/>
      <c r="ECI48" s="57"/>
      <c r="ECJ48" s="57"/>
      <c r="ECK48" s="57"/>
      <c r="ECL48" s="57"/>
      <c r="ECM48" s="57"/>
      <c r="ECN48" s="57"/>
      <c r="ECO48" s="57"/>
      <c r="ECP48" s="57"/>
      <c r="ECQ48" s="57"/>
      <c r="ECR48" s="57"/>
      <c r="ECS48" s="57"/>
      <c r="ECT48" s="58"/>
      <c r="ECU48" s="56"/>
      <c r="ECV48" s="57"/>
      <c r="ECW48" s="57"/>
      <c r="ECX48" s="57"/>
      <c r="ECY48" s="57"/>
      <c r="ECZ48" s="57"/>
      <c r="EDA48" s="56"/>
      <c r="EDB48" s="57"/>
      <c r="EDC48" s="57"/>
      <c r="EDD48" s="56"/>
      <c r="EDE48" s="57"/>
      <c r="EDF48" s="58"/>
      <c r="EDG48" s="56"/>
      <c r="EDH48" s="57"/>
      <c r="EDI48" s="57"/>
      <c r="EDJ48" s="57"/>
      <c r="EDK48" s="56"/>
      <c r="EDL48" s="57"/>
      <c r="EDM48" s="57"/>
      <c r="EDN48" s="56"/>
      <c r="EDO48" s="57"/>
      <c r="EDP48" s="58"/>
      <c r="EDQ48" s="56"/>
      <c r="EDR48" s="57"/>
      <c r="EDS48" s="57"/>
      <c r="EDT48" s="57"/>
      <c r="EDU48" s="56"/>
      <c r="EDV48" s="57"/>
      <c r="EDW48" s="57"/>
      <c r="EDX48" s="56"/>
      <c r="EDY48" s="57"/>
      <c r="EDZ48" s="58"/>
      <c r="EEA48" s="56"/>
      <c r="EEB48" s="57"/>
      <c r="EEC48" s="57"/>
      <c r="EED48" s="57"/>
      <c r="EEE48" s="56"/>
      <c r="EEF48" s="57"/>
      <c r="EEG48" s="57"/>
      <c r="EEH48" s="56"/>
      <c r="EEI48" s="57"/>
      <c r="EEJ48" s="58"/>
      <c r="EEK48" s="56"/>
      <c r="EEL48" s="58"/>
      <c r="EEM48" s="57"/>
      <c r="EEN48" s="56"/>
      <c r="EEO48" s="57"/>
      <c r="EEP48" s="56"/>
      <c r="EEQ48" s="56"/>
      <c r="EER48" s="56"/>
      <c r="EES48" s="57"/>
      <c r="EET48" s="57"/>
      <c r="EEU48" s="57"/>
      <c r="EEV48" s="57"/>
      <c r="EEW48" s="57"/>
      <c r="EEX48" s="57"/>
      <c r="EEY48" s="57"/>
      <c r="EEZ48" s="57"/>
      <c r="EFA48" s="57"/>
      <c r="EFB48" s="57"/>
      <c r="EFC48" s="57"/>
      <c r="EFD48" s="57"/>
      <c r="EFE48" s="57"/>
      <c r="EFF48" s="57"/>
      <c r="EFG48" s="57"/>
      <c r="EFH48" s="57"/>
      <c r="EFI48" s="57"/>
      <c r="EFJ48" s="57"/>
      <c r="EFK48" s="57"/>
      <c r="EFL48" s="57"/>
      <c r="EFM48" s="57"/>
      <c r="EFN48" s="57"/>
      <c r="EFO48" s="57"/>
      <c r="EFP48" s="57"/>
      <c r="EFQ48" s="57"/>
      <c r="EFR48" s="57"/>
      <c r="EFS48" s="57"/>
      <c r="EFT48" s="57"/>
      <c r="EFU48" s="57"/>
      <c r="EFV48" s="57"/>
      <c r="EFW48" s="57"/>
      <c r="EFX48" s="57"/>
      <c r="EFY48" s="57"/>
      <c r="EFZ48" s="57"/>
      <c r="EGA48" s="57"/>
      <c r="EGB48" s="57"/>
      <c r="EGC48" s="57"/>
      <c r="EGD48" s="58"/>
      <c r="EGE48" s="56"/>
      <c r="EGF48" s="57"/>
      <c r="EGG48" s="57"/>
      <c r="EGH48" s="57"/>
      <c r="EGI48" s="57"/>
      <c r="EGJ48" s="57"/>
      <c r="EGK48" s="56"/>
      <c r="EGL48" s="57"/>
      <c r="EGM48" s="57"/>
      <c r="EGN48" s="56"/>
      <c r="EGO48" s="57"/>
      <c r="EGP48" s="58"/>
      <c r="EGQ48" s="56"/>
      <c r="EGR48" s="57"/>
      <c r="EGS48" s="57"/>
      <c r="EGT48" s="57"/>
      <c r="EGU48" s="56"/>
      <c r="EGV48" s="57"/>
      <c r="EGW48" s="57"/>
      <c r="EGX48" s="56"/>
      <c r="EGY48" s="57"/>
      <c r="EGZ48" s="58"/>
      <c r="EHA48" s="56"/>
      <c r="EHB48" s="57"/>
      <c r="EHC48" s="57"/>
      <c r="EHD48" s="57"/>
      <c r="EHE48" s="56"/>
      <c r="EHF48" s="57"/>
      <c r="EHG48" s="57"/>
      <c r="EHH48" s="56"/>
      <c r="EHI48" s="57"/>
      <c r="EHJ48" s="58"/>
      <c r="EHK48" s="56"/>
      <c r="EHL48" s="57"/>
      <c r="EHM48" s="57"/>
      <c r="EHN48" s="57"/>
      <c r="EHO48" s="56"/>
      <c r="EHP48" s="57"/>
      <c r="EHQ48" s="57"/>
      <c r="EHR48" s="56"/>
      <c r="EHS48" s="57"/>
      <c r="EHT48" s="58"/>
      <c r="EHU48" s="56"/>
      <c r="EHV48" s="58"/>
      <c r="EHW48" s="57"/>
      <c r="EHX48" s="56"/>
      <c r="EHY48" s="57"/>
      <c r="EHZ48" s="56"/>
      <c r="EIA48" s="56"/>
      <c r="EIB48" s="56"/>
      <c r="EIC48" s="57"/>
      <c r="EID48" s="57"/>
      <c r="EIE48" s="57"/>
      <c r="EIF48" s="57"/>
      <c r="EIG48" s="57"/>
      <c r="EIH48" s="57"/>
      <c r="EII48" s="57"/>
      <c r="EIJ48" s="57"/>
      <c r="EIK48" s="57"/>
      <c r="EIL48" s="57"/>
      <c r="EIM48" s="57"/>
      <c r="EIN48" s="57"/>
      <c r="EIO48" s="57"/>
      <c r="EIP48" s="57"/>
      <c r="EIQ48" s="57"/>
      <c r="EIR48" s="57"/>
      <c r="EIS48" s="57"/>
      <c r="EIT48" s="57"/>
      <c r="EIU48" s="57"/>
      <c r="EIV48" s="57"/>
      <c r="EIW48" s="57"/>
      <c r="EIX48" s="57"/>
      <c r="EIY48" s="57"/>
      <c r="EIZ48" s="57"/>
      <c r="EJA48" s="57"/>
      <c r="EJB48" s="57"/>
      <c r="EJC48" s="57"/>
      <c r="EJD48" s="57"/>
      <c r="EJE48" s="57"/>
      <c r="EJF48" s="57"/>
      <c r="EJG48" s="57"/>
      <c r="EJH48" s="57"/>
      <c r="EJI48" s="57"/>
      <c r="EJJ48" s="57"/>
      <c r="EJK48" s="57"/>
      <c r="EJL48" s="57"/>
      <c r="EJM48" s="57"/>
      <c r="EJN48" s="58"/>
      <c r="EJO48" s="56"/>
      <c r="EJP48" s="57"/>
      <c r="EJQ48" s="57"/>
      <c r="EJR48" s="57"/>
      <c r="EJS48" s="57"/>
      <c r="EJT48" s="57"/>
      <c r="EJU48" s="56"/>
      <c r="EJV48" s="57"/>
      <c r="EJW48" s="57"/>
      <c r="EJX48" s="56"/>
      <c r="EJY48" s="57"/>
      <c r="EJZ48" s="58"/>
      <c r="EKA48" s="56"/>
      <c r="EKB48" s="57"/>
      <c r="EKC48" s="57"/>
      <c r="EKD48" s="57"/>
      <c r="EKE48" s="56"/>
      <c r="EKF48" s="57"/>
      <c r="EKG48" s="57"/>
      <c r="EKH48" s="56"/>
      <c r="EKI48" s="57"/>
      <c r="EKJ48" s="58"/>
      <c r="EKK48" s="56"/>
      <c r="EKL48" s="57"/>
      <c r="EKM48" s="57"/>
      <c r="EKN48" s="57"/>
      <c r="EKO48" s="56"/>
      <c r="EKP48" s="57"/>
      <c r="EKQ48" s="57"/>
      <c r="EKR48" s="56"/>
      <c r="EKS48" s="57"/>
      <c r="EKT48" s="58"/>
      <c r="EKU48" s="56"/>
      <c r="EKV48" s="57"/>
      <c r="EKW48" s="57"/>
      <c r="EKX48" s="57"/>
      <c r="EKY48" s="56"/>
      <c r="EKZ48" s="57"/>
      <c r="ELA48" s="57"/>
      <c r="ELB48" s="56"/>
      <c r="ELC48" s="57"/>
      <c r="ELD48" s="58"/>
      <c r="ELE48" s="56"/>
      <c r="ELF48" s="58"/>
      <c r="ELG48" s="57"/>
      <c r="ELH48" s="56"/>
      <c r="ELI48" s="57"/>
      <c r="ELJ48" s="56"/>
      <c r="ELK48" s="56"/>
      <c r="ELL48" s="56"/>
      <c r="ELM48" s="57"/>
      <c r="ELN48" s="57"/>
      <c r="ELO48" s="57"/>
      <c r="ELP48" s="57"/>
      <c r="ELQ48" s="57"/>
      <c r="ELR48" s="57"/>
      <c r="ELS48" s="57"/>
      <c r="ELT48" s="57"/>
      <c r="ELU48" s="57"/>
      <c r="ELV48" s="57"/>
      <c r="ELW48" s="57"/>
      <c r="ELX48" s="57"/>
      <c r="ELY48" s="57"/>
      <c r="ELZ48" s="57"/>
      <c r="EMA48" s="57"/>
      <c r="EMB48" s="57"/>
      <c r="EMC48" s="57"/>
      <c r="EMD48" s="57"/>
      <c r="EME48" s="57"/>
      <c r="EMF48" s="57"/>
      <c r="EMG48" s="57"/>
      <c r="EMH48" s="57"/>
      <c r="EMI48" s="57"/>
      <c r="EMJ48" s="57"/>
      <c r="EMK48" s="57"/>
      <c r="EML48" s="57"/>
      <c r="EMM48" s="57"/>
      <c r="EMN48" s="57"/>
      <c r="EMO48" s="57"/>
      <c r="EMP48" s="57"/>
      <c r="EMQ48" s="57"/>
      <c r="EMR48" s="57"/>
      <c r="EMS48" s="57"/>
      <c r="EMT48" s="57"/>
      <c r="EMU48" s="57"/>
      <c r="EMV48" s="57"/>
      <c r="EMW48" s="57"/>
      <c r="EMX48" s="58"/>
      <c r="EMY48" s="56"/>
      <c r="EMZ48" s="57"/>
      <c r="ENA48" s="57"/>
      <c r="ENB48" s="57"/>
      <c r="ENC48" s="57"/>
      <c r="END48" s="57"/>
      <c r="ENE48" s="56"/>
      <c r="ENF48" s="57"/>
      <c r="ENG48" s="57"/>
      <c r="ENH48" s="56"/>
      <c r="ENI48" s="57"/>
      <c r="ENJ48" s="58"/>
      <c r="ENK48" s="56"/>
      <c r="ENL48" s="57"/>
      <c r="ENM48" s="57"/>
      <c r="ENN48" s="57"/>
      <c r="ENO48" s="56"/>
      <c r="ENP48" s="57"/>
      <c r="ENQ48" s="57"/>
      <c r="ENR48" s="56"/>
      <c r="ENS48" s="57"/>
      <c r="ENT48" s="58"/>
      <c r="ENU48" s="56"/>
      <c r="ENV48" s="57"/>
      <c r="ENW48" s="57"/>
      <c r="ENX48" s="57"/>
      <c r="ENY48" s="56"/>
      <c r="ENZ48" s="57"/>
      <c r="EOA48" s="57"/>
      <c r="EOB48" s="56"/>
      <c r="EOC48" s="57"/>
      <c r="EOD48" s="58"/>
      <c r="EOE48" s="56"/>
      <c r="EOF48" s="57"/>
      <c r="EOG48" s="57"/>
      <c r="EOH48" s="57"/>
      <c r="EOI48" s="56"/>
      <c r="EOJ48" s="57"/>
      <c r="EOK48" s="57"/>
      <c r="EOL48" s="56"/>
      <c r="EOM48" s="57"/>
      <c r="EON48" s="58"/>
      <c r="EOO48" s="56"/>
      <c r="EOP48" s="58"/>
      <c r="EOQ48" s="57"/>
      <c r="EOR48" s="56"/>
      <c r="EOS48" s="57"/>
      <c r="EOT48" s="56"/>
      <c r="EOU48" s="56"/>
      <c r="EOV48" s="56"/>
      <c r="EOW48" s="57"/>
      <c r="EOX48" s="57"/>
      <c r="EOY48" s="57"/>
      <c r="EOZ48" s="57"/>
      <c r="EPA48" s="57"/>
      <c r="EPB48" s="57"/>
      <c r="EPC48" s="57"/>
      <c r="EPD48" s="57"/>
      <c r="EPE48" s="57"/>
      <c r="EPF48" s="57"/>
      <c r="EPG48" s="57"/>
      <c r="EPH48" s="57"/>
      <c r="EPI48" s="57"/>
      <c r="EPJ48" s="57"/>
      <c r="EPK48" s="57"/>
      <c r="EPL48" s="57"/>
      <c r="EPM48" s="57"/>
      <c r="EPN48" s="57"/>
      <c r="EPO48" s="57"/>
      <c r="EPP48" s="57"/>
      <c r="EPQ48" s="57"/>
      <c r="EPR48" s="57"/>
      <c r="EPS48" s="57"/>
      <c r="EPT48" s="57"/>
      <c r="EPU48" s="57"/>
      <c r="EPV48" s="57"/>
      <c r="EPW48" s="57"/>
      <c r="EPX48" s="57"/>
      <c r="EPY48" s="57"/>
      <c r="EPZ48" s="57"/>
      <c r="EQA48" s="57"/>
      <c r="EQB48" s="57"/>
      <c r="EQC48" s="57"/>
      <c r="EQD48" s="57"/>
      <c r="EQE48" s="57"/>
      <c r="EQF48" s="57"/>
      <c r="EQG48" s="57"/>
      <c r="EQH48" s="58"/>
      <c r="EQI48" s="56"/>
      <c r="EQJ48" s="57"/>
      <c r="EQK48" s="57"/>
      <c r="EQL48" s="57"/>
      <c r="EQM48" s="57"/>
      <c r="EQN48" s="57"/>
      <c r="EQO48" s="56"/>
      <c r="EQP48" s="57"/>
      <c r="EQQ48" s="57"/>
      <c r="EQR48" s="56"/>
      <c r="EQS48" s="57"/>
      <c r="EQT48" s="58"/>
      <c r="EQU48" s="56"/>
      <c r="EQV48" s="57"/>
      <c r="EQW48" s="57"/>
      <c r="EQX48" s="57"/>
      <c r="EQY48" s="56"/>
      <c r="EQZ48" s="57"/>
      <c r="ERA48" s="57"/>
      <c r="ERB48" s="56"/>
      <c r="ERC48" s="57"/>
      <c r="ERD48" s="58"/>
      <c r="ERE48" s="56"/>
      <c r="ERF48" s="57"/>
      <c r="ERG48" s="57"/>
      <c r="ERH48" s="57"/>
      <c r="ERI48" s="56"/>
      <c r="ERJ48" s="57"/>
      <c r="ERK48" s="57"/>
      <c r="ERL48" s="56"/>
      <c r="ERM48" s="57"/>
      <c r="ERN48" s="58"/>
      <c r="ERO48" s="56"/>
      <c r="ERP48" s="57"/>
      <c r="ERQ48" s="57"/>
      <c r="ERR48" s="57"/>
      <c r="ERS48" s="56"/>
      <c r="ERT48" s="57"/>
      <c r="ERU48" s="57"/>
      <c r="ERV48" s="56"/>
      <c r="ERW48" s="57"/>
      <c r="ERX48" s="58"/>
      <c r="ERY48" s="56"/>
      <c r="ERZ48" s="58"/>
      <c r="ESA48" s="57"/>
      <c r="ESB48" s="56"/>
      <c r="ESC48" s="57"/>
      <c r="ESD48" s="56"/>
      <c r="ESE48" s="56"/>
      <c r="ESF48" s="56"/>
      <c r="ESG48" s="57"/>
      <c r="ESH48" s="57"/>
      <c r="ESI48" s="57"/>
      <c r="ESJ48" s="57"/>
      <c r="ESK48" s="57"/>
      <c r="ESL48" s="57"/>
      <c r="ESM48" s="57"/>
      <c r="ESN48" s="57"/>
      <c r="ESO48" s="57"/>
      <c r="ESP48" s="57"/>
      <c r="ESQ48" s="57"/>
      <c r="ESR48" s="57"/>
      <c r="ESS48" s="57"/>
      <c r="EST48" s="57"/>
      <c r="ESU48" s="57"/>
      <c r="ESV48" s="57"/>
      <c r="ESW48" s="57"/>
      <c r="ESX48" s="57"/>
      <c r="ESY48" s="57"/>
      <c r="ESZ48" s="57"/>
      <c r="ETA48" s="57"/>
      <c r="ETB48" s="57"/>
      <c r="ETC48" s="57"/>
      <c r="ETD48" s="57"/>
      <c r="ETE48" s="57"/>
      <c r="ETF48" s="57"/>
      <c r="ETG48" s="57"/>
      <c r="ETH48" s="57"/>
      <c r="ETI48" s="57"/>
      <c r="ETJ48" s="57"/>
      <c r="ETK48" s="57"/>
      <c r="ETL48" s="57"/>
      <c r="ETM48" s="57"/>
      <c r="ETN48" s="57"/>
      <c r="ETO48" s="57"/>
      <c r="ETP48" s="57"/>
      <c r="ETQ48" s="57"/>
      <c r="ETR48" s="58"/>
      <c r="ETS48" s="56"/>
      <c r="ETT48" s="57"/>
      <c r="ETU48" s="57"/>
      <c r="ETV48" s="57"/>
      <c r="ETW48" s="57"/>
      <c r="ETX48" s="57"/>
      <c r="ETY48" s="56"/>
      <c r="ETZ48" s="57"/>
      <c r="EUA48" s="57"/>
      <c r="EUB48" s="56"/>
      <c r="EUC48" s="57"/>
      <c r="EUD48" s="58"/>
      <c r="EUE48" s="56"/>
      <c r="EUF48" s="57"/>
      <c r="EUG48" s="57"/>
      <c r="EUH48" s="57"/>
      <c r="EUI48" s="56"/>
      <c r="EUJ48" s="57"/>
      <c r="EUK48" s="57"/>
      <c r="EUL48" s="56"/>
      <c r="EUM48" s="57"/>
      <c r="EUN48" s="58"/>
      <c r="EUO48" s="56"/>
      <c r="EUP48" s="57"/>
      <c r="EUQ48" s="57"/>
      <c r="EUR48" s="57"/>
      <c r="EUS48" s="56"/>
      <c r="EUT48" s="57"/>
      <c r="EUU48" s="57"/>
      <c r="EUV48" s="56"/>
      <c r="EUW48" s="57"/>
      <c r="EUX48" s="58"/>
      <c r="EUY48" s="56"/>
      <c r="EUZ48" s="57"/>
      <c r="EVA48" s="57"/>
      <c r="EVB48" s="57"/>
      <c r="EVC48" s="56"/>
      <c r="EVD48" s="57"/>
      <c r="EVE48" s="57"/>
      <c r="EVF48" s="56"/>
      <c r="EVG48" s="57"/>
      <c r="EVH48" s="58"/>
      <c r="EVI48" s="56"/>
    </row>
    <row r="49" spans="1:3961" x14ac:dyDescent="0.3">
      <c r="A49" s="27"/>
      <c r="B49" s="30"/>
      <c r="C49" s="29"/>
      <c r="D49" s="28"/>
      <c r="E49" s="29"/>
      <c r="F49" s="28"/>
      <c r="G49" s="28"/>
      <c r="H49" s="28"/>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30"/>
      <c r="AU49" s="28"/>
      <c r="AV49" s="29"/>
      <c r="AW49" s="29"/>
      <c r="AX49" s="29"/>
      <c r="AY49" s="29"/>
      <c r="AZ49" s="29"/>
      <c r="BA49" s="28"/>
      <c r="BB49" s="29"/>
      <c r="BC49" s="29"/>
      <c r="BD49" s="28"/>
      <c r="BE49" s="29"/>
      <c r="BF49" s="30"/>
      <c r="BG49" s="28"/>
      <c r="BH49" s="29"/>
      <c r="BI49" s="29"/>
      <c r="BJ49" s="29"/>
      <c r="BK49" s="28"/>
      <c r="BL49" s="29"/>
      <c r="BM49" s="29"/>
      <c r="BN49" s="28"/>
      <c r="BO49" s="29"/>
      <c r="BP49" s="30"/>
      <c r="BQ49" s="28"/>
      <c r="BR49" s="29"/>
      <c r="BS49" s="29"/>
      <c r="BT49" s="29"/>
      <c r="BU49" s="28"/>
      <c r="BV49" s="29"/>
      <c r="BW49" s="29"/>
      <c r="BX49" s="28"/>
      <c r="BY49" s="29"/>
      <c r="BZ49" s="30"/>
      <c r="CA49" s="28"/>
      <c r="CB49" s="29"/>
      <c r="CC49" s="29"/>
      <c r="CD49" s="29"/>
      <c r="CE49" s="28"/>
      <c r="CF49" s="29"/>
      <c r="CG49" s="29"/>
      <c r="CH49" s="28"/>
      <c r="CI49" s="29"/>
      <c r="CJ49" s="30"/>
      <c r="CK49" s="28"/>
      <c r="CL49" s="29"/>
      <c r="CM49" s="29"/>
      <c r="CN49" s="29"/>
      <c r="CO49" s="28"/>
      <c r="CP49" s="29"/>
      <c r="CQ49" s="29"/>
      <c r="CR49" s="28"/>
      <c r="CS49" s="29"/>
      <c r="CT49" s="30"/>
      <c r="CU49" s="28"/>
      <c r="CV49" s="29"/>
      <c r="CW49" s="29"/>
      <c r="CX49" s="29"/>
      <c r="CY49" s="28"/>
      <c r="CZ49" s="29"/>
      <c r="DA49" s="29"/>
      <c r="DB49" s="28"/>
      <c r="DC49" s="29"/>
      <c r="DD49" s="30"/>
      <c r="DE49" s="28"/>
      <c r="DF49" s="29"/>
      <c r="DG49" s="29"/>
      <c r="DH49" s="29"/>
      <c r="DI49" s="28"/>
      <c r="DJ49" s="29"/>
      <c r="DK49" s="29"/>
      <c r="DL49" s="28"/>
      <c r="DM49" s="29"/>
      <c r="DN49" s="30"/>
      <c r="DO49" s="28"/>
      <c r="DP49" s="29"/>
      <c r="DQ49" s="29"/>
      <c r="DR49" s="29"/>
      <c r="DS49" s="28"/>
      <c r="DT49" s="29"/>
      <c r="DU49" s="29"/>
      <c r="DV49" s="28"/>
      <c r="DW49" s="29"/>
      <c r="DX49" s="30"/>
      <c r="DY49" s="28"/>
      <c r="DZ49" s="29"/>
      <c r="EA49" s="29"/>
      <c r="EB49" s="29"/>
      <c r="EC49" s="28"/>
      <c r="ED49" s="29"/>
      <c r="EE49" s="28"/>
      <c r="EF49" s="28"/>
      <c r="EG49" s="29"/>
      <c r="EH49" s="30"/>
      <c r="EI49" s="28"/>
      <c r="EJ49" s="29"/>
      <c r="EK49" s="29"/>
      <c r="EL49" s="29"/>
      <c r="EM49" s="28"/>
      <c r="EN49" s="29"/>
      <c r="EO49" s="33"/>
      <c r="EP49" s="28"/>
      <c r="EQ49" s="29"/>
      <c r="ER49" s="30"/>
      <c r="ES49" s="28"/>
      <c r="ET49" s="29"/>
      <c r="EU49" s="29"/>
      <c r="EV49" s="29"/>
      <c r="EW49" s="28"/>
      <c r="EX49" s="29"/>
      <c r="EY49" s="29"/>
      <c r="EZ49" s="28"/>
      <c r="FA49" s="29"/>
      <c r="FB49" s="30"/>
      <c r="FC49" s="28"/>
      <c r="FD49" s="29"/>
      <c r="FE49" s="29"/>
      <c r="FF49" s="29"/>
      <c r="FG49" s="28"/>
      <c r="FH49" s="29"/>
      <c r="FI49" s="29"/>
      <c r="FJ49" s="28"/>
      <c r="FK49" s="29"/>
      <c r="FL49" s="30"/>
      <c r="FM49" s="28"/>
      <c r="FN49" s="29"/>
      <c r="FO49" s="29"/>
      <c r="FP49" s="29"/>
      <c r="FQ49" s="28"/>
      <c r="FR49" s="29"/>
      <c r="FS49" s="29"/>
      <c r="FT49" s="28"/>
      <c r="FU49" s="29"/>
      <c r="FV49" s="30"/>
      <c r="FW49" s="28"/>
      <c r="FX49" s="29"/>
      <c r="FY49" s="29"/>
      <c r="FZ49" s="29"/>
      <c r="GA49" s="28"/>
      <c r="GB49" s="29"/>
      <c r="GC49" s="29"/>
      <c r="GD49" s="28"/>
      <c r="GE49" s="29"/>
      <c r="GF49" s="30"/>
      <c r="GG49" s="28"/>
      <c r="GH49" s="29"/>
      <c r="GI49" s="29"/>
      <c r="GJ49" s="29"/>
      <c r="GK49" s="28"/>
      <c r="GL49" s="29"/>
      <c r="GM49" s="29"/>
      <c r="GN49" s="28"/>
      <c r="GO49" s="29"/>
      <c r="GP49" s="30"/>
      <c r="GQ49" s="28"/>
      <c r="GR49" s="29"/>
      <c r="GS49" s="29"/>
      <c r="GT49" s="29"/>
      <c r="GU49" s="28"/>
      <c r="GV49" s="29"/>
      <c r="GW49" s="29"/>
      <c r="GX49" s="28"/>
      <c r="GY49" s="29"/>
      <c r="GZ49" s="30"/>
      <c r="HA49" s="28"/>
      <c r="HB49" s="29"/>
      <c r="HC49" s="29"/>
      <c r="HD49" s="29"/>
      <c r="HE49" s="28"/>
      <c r="HF49" s="29"/>
      <c r="HG49" s="29"/>
      <c r="HH49" s="28"/>
      <c r="HI49" s="29"/>
      <c r="HJ49" s="30"/>
      <c r="HK49" s="28"/>
      <c r="HL49" s="29"/>
      <c r="HM49" s="29"/>
      <c r="HN49" s="29"/>
      <c r="HO49" s="28"/>
      <c r="HP49" s="29"/>
      <c r="HQ49" s="29"/>
      <c r="HR49" s="28"/>
      <c r="HS49" s="29"/>
      <c r="HT49" s="30"/>
      <c r="HU49" s="28"/>
      <c r="HV49" s="29"/>
      <c r="HW49" s="29"/>
      <c r="HX49" s="29"/>
      <c r="HY49" s="28"/>
      <c r="HZ49" s="29"/>
      <c r="IA49" s="29"/>
      <c r="IB49" s="28"/>
      <c r="IC49" s="29"/>
      <c r="ID49" s="30"/>
      <c r="IE49" s="28"/>
      <c r="IF49" s="29"/>
      <c r="IG49" s="29"/>
      <c r="IH49" s="29"/>
      <c r="II49" s="28"/>
      <c r="IJ49" s="29"/>
      <c r="IK49" s="29"/>
      <c r="IL49" s="28"/>
      <c r="IM49" s="29"/>
      <c r="IN49" s="30"/>
      <c r="IO49" s="28"/>
      <c r="IP49" s="29"/>
      <c r="IQ49" s="29"/>
      <c r="IR49" s="29"/>
      <c r="IS49" s="28"/>
      <c r="IT49" s="29"/>
      <c r="IU49" s="29"/>
      <c r="IV49" s="28"/>
      <c r="IW49" s="29"/>
      <c r="IX49" s="30"/>
      <c r="IY49" s="28"/>
      <c r="IZ49" s="29"/>
      <c r="JA49" s="29"/>
      <c r="JB49" s="29"/>
      <c r="JC49" s="28"/>
      <c r="JD49" s="29"/>
      <c r="JE49" s="29"/>
      <c r="JF49" s="28"/>
      <c r="JG49" s="29"/>
      <c r="JH49" s="30"/>
      <c r="JI49" s="28"/>
      <c r="JJ49" s="29"/>
      <c r="JK49" s="29"/>
      <c r="JL49" s="29"/>
      <c r="JM49" s="28"/>
      <c r="JN49" s="29"/>
      <c r="JO49" s="29"/>
      <c r="JP49" s="28"/>
      <c r="JQ49" s="29"/>
      <c r="JR49" s="30"/>
      <c r="JS49" s="28"/>
      <c r="JT49" s="29"/>
      <c r="JU49" s="29"/>
      <c r="JV49" s="29"/>
      <c r="JW49" s="28"/>
      <c r="JX49" s="29"/>
      <c r="JY49" s="29"/>
      <c r="JZ49" s="28"/>
      <c r="KA49" s="29"/>
      <c r="KB49" s="30"/>
      <c r="KC49" s="28"/>
      <c r="KD49" s="29"/>
      <c r="KE49" s="29"/>
      <c r="KF49" s="29"/>
      <c r="KG49" s="28"/>
      <c r="KH49" s="29"/>
      <c r="KI49" s="29"/>
      <c r="KJ49" s="28"/>
      <c r="KK49" s="29"/>
      <c r="KL49" s="30"/>
      <c r="KM49" s="28"/>
      <c r="KN49" s="29"/>
      <c r="KO49" s="29"/>
      <c r="KP49" s="29"/>
      <c r="KQ49" s="28"/>
      <c r="KR49" s="29"/>
      <c r="KS49" s="29"/>
      <c r="KT49" s="28"/>
      <c r="KU49" s="29"/>
      <c r="KV49" s="30"/>
      <c r="KW49" s="28"/>
      <c r="KX49" s="29"/>
      <c r="KY49" s="29"/>
      <c r="KZ49" s="29"/>
      <c r="LA49" s="28"/>
      <c r="LB49" s="29"/>
      <c r="LC49" s="29"/>
      <c r="LD49" s="28"/>
      <c r="LE49" s="29"/>
      <c r="LF49" s="30"/>
      <c r="LG49" s="28"/>
      <c r="LH49" s="29"/>
      <c r="LI49" s="29"/>
      <c r="LJ49" s="29"/>
      <c r="LK49" s="28"/>
      <c r="LL49" s="29"/>
      <c r="LM49" s="29"/>
      <c r="LN49" s="28"/>
      <c r="LO49" s="29"/>
      <c r="LP49" s="30"/>
      <c r="LQ49" s="28"/>
      <c r="LR49" s="29"/>
      <c r="LS49" s="29"/>
      <c r="LT49" s="29"/>
      <c r="LU49" s="28"/>
      <c r="LV49" s="29"/>
      <c r="LW49" s="29"/>
      <c r="LX49" s="28"/>
      <c r="LY49" s="29"/>
      <c r="LZ49" s="30"/>
      <c r="MA49" s="28"/>
      <c r="MB49" s="29"/>
      <c r="MC49" s="29"/>
      <c r="MD49" s="29"/>
      <c r="ME49" s="28"/>
      <c r="MF49" s="29"/>
      <c r="MG49" s="29"/>
      <c r="MH49" s="28"/>
      <c r="MI49" s="29"/>
      <c r="MJ49" s="30"/>
      <c r="MK49" s="28"/>
      <c r="ML49" s="29"/>
      <c r="MM49" s="29"/>
      <c r="MN49" s="29"/>
      <c r="MO49" s="28"/>
      <c r="MP49" s="29"/>
      <c r="MQ49" s="29"/>
      <c r="MR49" s="28"/>
      <c r="MS49" s="29"/>
      <c r="MT49" s="30"/>
      <c r="MU49" s="28"/>
      <c r="MV49" s="29"/>
      <c r="MW49" s="29"/>
      <c r="MX49" s="29"/>
      <c r="MY49" s="28"/>
      <c r="MZ49" s="29"/>
      <c r="NA49" s="29"/>
      <c r="NB49" s="28"/>
      <c r="NC49" s="29"/>
      <c r="ND49" s="30"/>
      <c r="NE49" s="28"/>
      <c r="NF49" s="29"/>
      <c r="NG49" s="29"/>
      <c r="NH49" s="29"/>
      <c r="NI49" s="28"/>
      <c r="NJ49" s="29"/>
      <c r="NK49" s="29"/>
      <c r="NL49" s="28"/>
      <c r="NM49" s="29"/>
      <c r="NN49" s="30"/>
      <c r="NO49" s="28"/>
      <c r="NP49" s="29"/>
      <c r="NQ49" s="29"/>
      <c r="NR49" s="29"/>
      <c r="NS49" s="28"/>
      <c r="NT49" s="29"/>
      <c r="NU49" s="29"/>
      <c r="NV49" s="28"/>
      <c r="NW49" s="29"/>
      <c r="NX49" s="30"/>
      <c r="NY49" s="28"/>
      <c r="NZ49" s="29"/>
      <c r="OA49" s="29"/>
      <c r="OB49" s="29"/>
      <c r="OC49" s="28"/>
      <c r="OD49" s="29"/>
      <c r="OE49" s="29"/>
      <c r="OF49" s="30"/>
      <c r="OG49" s="30"/>
      <c r="OH49" s="30"/>
      <c r="OI49" s="28"/>
      <c r="OJ49" s="30"/>
      <c r="OK49" s="30"/>
      <c r="OL49" s="30"/>
      <c r="OM49" s="30"/>
      <c r="ON49" s="30"/>
      <c r="OO49" s="30"/>
      <c r="OP49" s="28"/>
      <c r="OQ49" s="29"/>
      <c r="OR49" s="30"/>
      <c r="OS49" s="28"/>
      <c r="OT49" s="29"/>
      <c r="OU49" s="29"/>
      <c r="OV49" s="29"/>
      <c r="OW49" s="28"/>
      <c r="OX49" s="29"/>
      <c r="OY49" s="29"/>
      <c r="OZ49" s="28"/>
      <c r="PA49" s="29"/>
      <c r="PB49" s="30"/>
      <c r="PC49" s="28"/>
      <c r="PD49" s="29"/>
      <c r="PE49" s="29"/>
      <c r="PF49" s="29"/>
      <c r="PG49" s="28"/>
      <c r="PH49" s="29"/>
      <c r="PI49" s="29"/>
      <c r="PJ49" s="28"/>
      <c r="PK49" s="29"/>
      <c r="PL49" s="30"/>
      <c r="PM49" s="28"/>
      <c r="PN49" s="29"/>
      <c r="PO49" s="29"/>
      <c r="PP49" s="29"/>
      <c r="PQ49" s="28"/>
      <c r="PR49" s="29"/>
      <c r="PS49" s="29"/>
      <c r="PT49" s="28"/>
      <c r="PU49" s="29"/>
      <c r="PV49" s="30"/>
      <c r="PW49" s="28"/>
      <c r="PX49" s="29"/>
      <c r="PY49" s="29"/>
      <c r="PZ49" s="29"/>
      <c r="QA49" s="28"/>
      <c r="QB49" s="29"/>
      <c r="QC49" s="29"/>
      <c r="QD49" s="28"/>
      <c r="QE49" s="29"/>
      <c r="QF49" s="30"/>
      <c r="QG49" s="28"/>
      <c r="QH49" s="29"/>
      <c r="QI49" s="29"/>
      <c r="QJ49" s="29"/>
      <c r="QK49" s="28"/>
      <c r="QL49" s="29"/>
      <c r="QM49" s="29"/>
      <c r="QN49" s="28"/>
      <c r="QO49" s="29"/>
      <c r="QP49" s="30"/>
      <c r="QQ49" s="28"/>
      <c r="QR49" s="29"/>
      <c r="QS49" s="29"/>
      <c r="QT49" s="29"/>
      <c r="QU49" s="28"/>
      <c r="QV49" s="29"/>
      <c r="QW49" s="29"/>
      <c r="QX49" s="28"/>
      <c r="QY49" s="29"/>
      <c r="QZ49" s="30"/>
      <c r="RA49" s="28"/>
      <c r="RB49" s="29"/>
      <c r="RC49" s="29"/>
      <c r="RD49" s="29"/>
      <c r="RE49" s="28"/>
      <c r="RF49" s="29"/>
      <c r="RG49" s="29"/>
      <c r="RH49" s="28"/>
      <c r="RI49" s="29"/>
      <c r="RJ49" s="30"/>
      <c r="RK49" s="28"/>
      <c r="RL49" s="29"/>
      <c r="RM49" s="29"/>
      <c r="RN49" s="29"/>
      <c r="RO49" s="28"/>
      <c r="RP49" s="29"/>
      <c r="RQ49" s="29"/>
      <c r="RR49" s="28"/>
      <c r="RS49" s="29"/>
      <c r="RT49" s="30"/>
      <c r="RU49" s="28"/>
      <c r="RV49" s="29"/>
      <c r="RW49" s="29"/>
      <c r="RX49" s="29"/>
      <c r="RY49" s="28"/>
      <c r="RZ49" s="29"/>
      <c r="SA49" s="29"/>
      <c r="SB49" s="28"/>
      <c r="SC49" s="29"/>
      <c r="SD49" s="30"/>
      <c r="SE49" s="28"/>
      <c r="SF49" s="29"/>
      <c r="SG49" s="29"/>
      <c r="SH49" s="29"/>
      <c r="SI49" s="28"/>
      <c r="SJ49" s="29"/>
      <c r="SK49" s="29"/>
      <c r="SL49" s="28"/>
      <c r="SM49" s="29"/>
      <c r="SN49" s="30"/>
      <c r="SO49" s="28"/>
      <c r="SP49" s="29"/>
      <c r="SQ49" s="29"/>
      <c r="SR49" s="29"/>
      <c r="SS49" s="28"/>
      <c r="ST49" s="29"/>
      <c r="SU49" s="29"/>
      <c r="SV49" s="28"/>
      <c r="SW49" s="29"/>
      <c r="SX49" s="30"/>
      <c r="SY49" s="28"/>
      <c r="SZ49" s="29"/>
      <c r="TA49" s="29"/>
      <c r="TB49" s="29"/>
      <c r="TC49" s="28"/>
      <c r="TD49" s="29"/>
      <c r="TE49" s="29"/>
      <c r="TF49" s="28"/>
      <c r="TG49" s="29"/>
      <c r="TH49" s="30"/>
      <c r="TI49" s="28"/>
      <c r="TJ49" s="29"/>
      <c r="TK49" s="29"/>
      <c r="TL49" s="29"/>
      <c r="TM49" s="28"/>
      <c r="TN49" s="29"/>
      <c r="TO49" s="29"/>
      <c r="TP49" s="28"/>
      <c r="TQ49" s="29"/>
      <c r="TR49" s="30"/>
      <c r="TS49" s="28"/>
      <c r="TT49" s="29"/>
      <c r="TU49" s="29"/>
      <c r="TV49" s="29"/>
      <c r="TW49" s="28"/>
      <c r="TX49" s="29"/>
      <c r="TY49" s="29"/>
      <c r="TZ49" s="28"/>
      <c r="UA49" s="29"/>
      <c r="UB49" s="30"/>
      <c r="UC49" s="28"/>
      <c r="UD49" s="29"/>
      <c r="UE49" s="29"/>
      <c r="UF49" s="29"/>
      <c r="UG49" s="28"/>
      <c r="UH49" s="29"/>
      <c r="UI49" s="29"/>
      <c r="UJ49" s="28"/>
      <c r="UK49" s="29"/>
      <c r="UL49" s="30"/>
      <c r="UM49" s="28"/>
      <c r="UN49" s="29"/>
      <c r="UO49" s="29"/>
      <c r="UP49" s="29"/>
      <c r="UQ49" s="28"/>
      <c r="UR49" s="29"/>
      <c r="US49" s="29"/>
      <c r="UT49" s="28"/>
      <c r="UU49" s="29"/>
      <c r="UV49" s="30"/>
      <c r="UW49" s="28"/>
      <c r="UX49" s="29"/>
      <c r="UY49" s="29"/>
      <c r="UZ49" s="29"/>
      <c r="VA49" s="28"/>
      <c r="VB49" s="29"/>
      <c r="VC49" s="29"/>
      <c r="VD49" s="28"/>
      <c r="VE49" s="29"/>
      <c r="VF49" s="30"/>
      <c r="VG49" s="28"/>
      <c r="VH49" s="29"/>
      <c r="VI49" s="29"/>
      <c r="VJ49" s="29"/>
      <c r="VK49" s="28"/>
      <c r="VL49" s="29"/>
      <c r="VM49" s="29"/>
      <c r="VN49" s="28"/>
      <c r="VO49" s="29"/>
      <c r="VP49" s="30"/>
      <c r="VQ49" s="28"/>
      <c r="VR49" s="29"/>
      <c r="VS49" s="29"/>
      <c r="VT49" s="29"/>
      <c r="VU49" s="28"/>
      <c r="VV49" s="29"/>
      <c r="VW49" s="29"/>
      <c r="VX49" s="28"/>
      <c r="VY49" s="29"/>
      <c r="VZ49" s="30"/>
      <c r="WA49" s="28"/>
      <c r="WB49" s="29"/>
      <c r="WC49" s="29"/>
      <c r="WD49" s="29"/>
      <c r="WE49" s="28"/>
      <c r="WF49" s="29"/>
      <c r="WG49" s="29"/>
      <c r="WH49" s="28"/>
      <c r="WI49" s="29"/>
      <c r="WJ49" s="30"/>
      <c r="WK49" s="28"/>
      <c r="WL49" s="29"/>
      <c r="WM49" s="29"/>
      <c r="WN49" s="29"/>
      <c r="WO49" s="28"/>
      <c r="WP49" s="29"/>
      <c r="WQ49" s="29"/>
      <c r="WR49" s="28"/>
      <c r="WS49" s="29"/>
      <c r="WT49" s="30"/>
      <c r="WU49" s="28"/>
      <c r="WV49" s="29"/>
      <c r="WW49" s="29"/>
      <c r="WX49" s="29"/>
      <c r="WY49" s="28"/>
      <c r="WZ49" s="29"/>
      <c r="XA49" s="29"/>
      <c r="XB49" s="28"/>
      <c r="XC49" s="29"/>
      <c r="XD49" s="30"/>
      <c r="XE49" s="28"/>
      <c r="XF49" s="29"/>
      <c r="XG49" s="29"/>
      <c r="XH49" s="29"/>
      <c r="XI49" s="28"/>
      <c r="XJ49" s="29"/>
      <c r="XK49" s="29"/>
      <c r="XL49" s="28"/>
      <c r="XM49" s="29"/>
      <c r="XN49" s="30"/>
      <c r="XO49" s="28"/>
      <c r="XP49" s="29"/>
      <c r="XQ49" s="29"/>
      <c r="XR49" s="29"/>
      <c r="XS49" s="28"/>
      <c r="XT49" s="29"/>
      <c r="XU49" s="29"/>
      <c r="XV49" s="28"/>
      <c r="XW49" s="29"/>
      <c r="XX49" s="30"/>
      <c r="XY49" s="28"/>
      <c r="XZ49" s="29"/>
      <c r="YA49" s="29"/>
      <c r="YB49" s="29"/>
      <c r="YC49" s="28"/>
      <c r="YD49" s="29"/>
      <c r="YE49" s="29"/>
      <c r="YF49" s="28"/>
      <c r="YG49" s="29"/>
      <c r="YH49" s="30"/>
      <c r="YI49" s="28"/>
      <c r="YJ49" s="29"/>
      <c r="YK49" s="29"/>
      <c r="YL49" s="29"/>
      <c r="YM49" s="28"/>
      <c r="YN49" s="29"/>
      <c r="YO49" s="29"/>
      <c r="YP49" s="28"/>
      <c r="YQ49" s="29"/>
      <c r="YR49" s="30"/>
      <c r="YS49" s="28"/>
      <c r="YT49" s="29"/>
      <c r="YU49" s="29"/>
      <c r="YV49" s="29"/>
      <c r="YW49" s="28"/>
      <c r="YX49" s="29"/>
      <c r="YY49" s="29"/>
      <c r="YZ49" s="28"/>
      <c r="ZA49" s="29"/>
      <c r="ZB49" s="30"/>
      <c r="ZC49" s="28"/>
      <c r="ZD49" s="29"/>
      <c r="ZE49" s="29"/>
      <c r="ZF49" s="29"/>
      <c r="ZG49" s="28"/>
      <c r="ZH49" s="29"/>
      <c r="ZI49" s="29"/>
      <c r="ZJ49" s="28"/>
      <c r="ZK49" s="29"/>
      <c r="ZL49" s="30"/>
      <c r="ZM49" s="28"/>
      <c r="ZN49" s="29"/>
      <c r="ZO49" s="29"/>
      <c r="ZP49" s="29"/>
      <c r="ZQ49" s="28"/>
      <c r="ZR49" s="29"/>
      <c r="ZS49" s="29"/>
      <c r="ZT49" s="28"/>
      <c r="ZU49" s="29"/>
      <c r="ZV49" s="30"/>
      <c r="ZW49" s="28"/>
      <c r="ZX49" s="29"/>
      <c r="ZY49" s="29"/>
      <c r="ZZ49" s="29"/>
      <c r="AAA49" s="28"/>
      <c r="AAB49" s="29"/>
      <c r="AAC49" s="29"/>
      <c r="AAD49" s="28"/>
      <c r="AAE49" s="29"/>
      <c r="AAF49" s="30"/>
      <c r="AAG49" s="28"/>
      <c r="AAH49" s="29"/>
      <c r="AAI49" s="29"/>
      <c r="AAJ49" s="29"/>
      <c r="AAK49" s="28"/>
      <c r="AAL49" s="29"/>
      <c r="AAM49" s="29"/>
      <c r="AAN49" s="28"/>
      <c r="AAO49" s="29"/>
      <c r="AAP49" s="30"/>
      <c r="AAQ49" s="28"/>
      <c r="AAR49" s="29"/>
      <c r="AAS49" s="29"/>
      <c r="AAT49" s="29"/>
      <c r="AAU49" s="28"/>
      <c r="AAV49" s="29"/>
      <c r="AAW49" s="29"/>
      <c r="AAX49" s="28"/>
      <c r="AAY49" s="29"/>
      <c r="AAZ49" s="30"/>
      <c r="ABA49" s="28"/>
      <c r="ABB49" s="29"/>
      <c r="ABC49" s="29"/>
      <c r="ABD49" s="29"/>
      <c r="ABE49" s="28"/>
      <c r="ABF49" s="29"/>
      <c r="ABG49" s="29"/>
      <c r="ABH49" s="28"/>
      <c r="ABI49" s="29"/>
      <c r="ABJ49" s="30"/>
      <c r="ABK49" s="28"/>
      <c r="ABL49" s="29"/>
      <c r="ABM49" s="29"/>
      <c r="ABN49" s="29"/>
      <c r="ABO49" s="28"/>
      <c r="ABP49" s="29"/>
      <c r="ABQ49" s="29"/>
      <c r="ABR49" s="28"/>
      <c r="ABS49" s="29"/>
      <c r="ABT49" s="30"/>
      <c r="ABU49" s="28"/>
      <c r="ABV49" s="29"/>
      <c r="ABW49" s="29"/>
      <c r="ABX49" s="29"/>
      <c r="ABY49" s="28"/>
      <c r="ABZ49" s="29"/>
      <c r="ACA49" s="29"/>
      <c r="ACB49" s="28"/>
      <c r="ACC49" s="29"/>
      <c r="ACD49" s="30"/>
      <c r="ACE49" s="28"/>
      <c r="ACF49" s="29"/>
      <c r="ACG49" s="29"/>
      <c r="ACH49" s="29"/>
      <c r="ACI49" s="28"/>
      <c r="ACJ49" s="29"/>
      <c r="ACK49" s="29"/>
      <c r="ACL49" s="28"/>
      <c r="ACM49" s="29"/>
      <c r="ACN49" s="30"/>
      <c r="ACO49" s="28"/>
      <c r="ACP49" s="29"/>
      <c r="ACQ49" s="29"/>
      <c r="ACR49" s="29"/>
      <c r="ACS49" s="28"/>
      <c r="ACT49" s="29"/>
      <c r="ACU49" s="29"/>
      <c r="ACV49" s="28"/>
      <c r="ACW49" s="29"/>
      <c r="ACX49" s="30"/>
      <c r="ACY49" s="28"/>
      <c r="ACZ49" s="29"/>
      <c r="ADA49" s="29"/>
      <c r="ADB49" s="29"/>
      <c r="ADC49" s="28"/>
      <c r="ADD49" s="29"/>
      <c r="ADE49" s="29"/>
      <c r="ADF49" s="28"/>
      <c r="ADG49" s="29"/>
      <c r="ADH49" s="30"/>
      <c r="ADI49" s="28"/>
      <c r="ADJ49" s="29"/>
      <c r="ADK49" s="29"/>
      <c r="ADL49" s="29"/>
      <c r="ADM49" s="28"/>
      <c r="ADN49" s="29"/>
      <c r="ADO49" s="29"/>
      <c r="ADP49" s="28"/>
      <c r="ADQ49" s="29"/>
      <c r="ADR49" s="30"/>
      <c r="ADS49" s="28"/>
      <c r="ADT49" s="29"/>
      <c r="ADU49" s="29"/>
      <c r="ADV49" s="29"/>
      <c r="ADW49" s="28"/>
      <c r="ADX49" s="29"/>
      <c r="ADY49" s="29"/>
      <c r="ADZ49" s="28"/>
      <c r="AEA49" s="29"/>
      <c r="AEB49" s="30"/>
      <c r="AEC49" s="28"/>
      <c r="AED49" s="29"/>
      <c r="AEE49" s="29"/>
      <c r="AEF49" s="29"/>
      <c r="AEG49" s="28"/>
      <c r="AEH49" s="29"/>
      <c r="AEI49" s="29"/>
      <c r="AEJ49" s="28"/>
      <c r="AEK49" s="29"/>
      <c r="AEL49" s="30"/>
      <c r="AEM49" s="28"/>
      <c r="AEN49" s="29"/>
      <c r="AEO49" s="29"/>
      <c r="AEP49" s="29"/>
      <c r="AEQ49" s="28"/>
      <c r="AER49" s="29"/>
      <c r="AES49" s="29"/>
      <c r="AET49" s="28"/>
      <c r="AEU49" s="29"/>
      <c r="AEV49" s="30"/>
      <c r="AEW49" s="28"/>
      <c r="AEX49" s="29"/>
      <c r="AEY49" s="29"/>
      <c r="AEZ49" s="29"/>
      <c r="AFA49" s="28"/>
      <c r="AFB49" s="29"/>
      <c r="AFC49" s="29"/>
      <c r="AFD49" s="28"/>
      <c r="AFE49" s="29"/>
      <c r="AFF49" s="30"/>
      <c r="AFG49" s="28"/>
      <c r="AFH49" s="29"/>
      <c r="AFI49" s="29"/>
      <c r="AFJ49" s="29"/>
      <c r="AFK49" s="28"/>
      <c r="AFL49" s="29"/>
      <c r="AFM49" s="29"/>
      <c r="AFN49" s="28"/>
      <c r="AFO49" s="29"/>
      <c r="AFP49" s="30"/>
      <c r="AFQ49" s="28"/>
      <c r="AFR49" s="29"/>
      <c r="AFS49" s="29"/>
      <c r="AFT49" s="29"/>
      <c r="AFU49" s="28"/>
      <c r="AFV49" s="29"/>
      <c r="AFW49" s="29"/>
      <c r="AFX49" s="28"/>
      <c r="AFY49" s="29"/>
      <c r="AFZ49" s="30"/>
      <c r="AGA49" s="28"/>
      <c r="AGB49" s="29"/>
      <c r="AGC49" s="29"/>
      <c r="AGD49" s="29"/>
      <c r="AGE49" s="28"/>
      <c r="AGF49" s="29"/>
      <c r="AGG49" s="29"/>
      <c r="AGH49" s="28"/>
      <c r="AGI49" s="29"/>
      <c r="AGJ49" s="30"/>
      <c r="AGK49" s="28"/>
      <c r="AGL49" s="29"/>
      <c r="AGM49" s="29"/>
      <c r="AGN49" s="29"/>
      <c r="AGO49" s="28"/>
      <c r="AGP49" s="29"/>
      <c r="AGQ49" s="29"/>
      <c r="AGR49" s="28"/>
      <c r="AGS49" s="29"/>
      <c r="AGT49" s="30"/>
      <c r="AGU49" s="28"/>
      <c r="AGV49" s="29"/>
      <c r="AGW49" s="29"/>
      <c r="AGX49" s="29"/>
      <c r="AGY49" s="28"/>
      <c r="AGZ49" s="29"/>
      <c r="AHA49" s="29"/>
      <c r="AHB49" s="28"/>
      <c r="AHC49" s="29"/>
      <c r="AHD49" s="30"/>
      <c r="AHE49" s="28"/>
      <c r="AHF49" s="29"/>
      <c r="AHG49" s="29"/>
      <c r="AHH49" s="29"/>
      <c r="AHI49" s="28"/>
      <c r="AHJ49" s="29"/>
      <c r="AHK49" s="29"/>
      <c r="AHL49" s="28"/>
      <c r="AHM49" s="29"/>
      <c r="AHN49" s="30"/>
      <c r="AHO49" s="28"/>
      <c r="AHP49" s="29"/>
      <c r="AHQ49" s="29"/>
      <c r="AHR49" s="29"/>
      <c r="AHS49" s="28"/>
      <c r="AHT49" s="29"/>
      <c r="AHU49" s="29"/>
      <c r="AHV49" s="28"/>
      <c r="AHW49" s="29"/>
      <c r="AHX49" s="30"/>
      <c r="AHY49" s="28"/>
      <c r="AHZ49" s="29"/>
      <c r="AIA49" s="29"/>
      <c r="AIB49" s="29"/>
      <c r="AIC49" s="28"/>
      <c r="AID49" s="29"/>
      <c r="AIE49" s="29"/>
      <c r="AIF49" s="28"/>
      <c r="AIG49" s="29"/>
      <c r="AIH49" s="30"/>
      <c r="AII49" s="28"/>
      <c r="AIJ49" s="29"/>
      <c r="AIK49" s="29"/>
      <c r="AIL49" s="29"/>
      <c r="AIM49" s="28"/>
      <c r="AIN49" s="29"/>
      <c r="AIO49" s="29"/>
      <c r="AIP49" s="28"/>
      <c r="AIQ49" s="29"/>
      <c r="AIR49" s="30"/>
      <c r="AIS49" s="28"/>
      <c r="AIT49" s="29"/>
      <c r="AIU49" s="29"/>
      <c r="AIV49" s="29"/>
      <c r="AIW49" s="28"/>
      <c r="AIX49" s="29"/>
      <c r="AIY49" s="29"/>
      <c r="AIZ49" s="28"/>
      <c r="AJA49" s="29"/>
      <c r="AJB49" s="30"/>
      <c r="AJC49" s="28"/>
      <c r="AJD49" s="29"/>
      <c r="AJE49" s="29"/>
      <c r="AJF49" s="29"/>
      <c r="AJG49" s="28"/>
      <c r="AJH49" s="29"/>
      <c r="AJI49" s="29"/>
      <c r="AJJ49" s="28"/>
      <c r="AJK49" s="29"/>
      <c r="AJL49" s="30"/>
      <c r="AJM49" s="28"/>
      <c r="AJN49" s="29"/>
      <c r="AJO49" s="29"/>
      <c r="AJP49" s="29"/>
      <c r="AJQ49" s="28"/>
      <c r="AJR49" s="29"/>
      <c r="AJS49" s="29"/>
      <c r="AJT49" s="28"/>
      <c r="AJU49" s="29"/>
      <c r="AJV49" s="30"/>
      <c r="AJW49" s="28"/>
      <c r="AJX49" s="29"/>
      <c r="AJY49" s="29"/>
      <c r="AJZ49" s="29"/>
      <c r="AKA49" s="28"/>
      <c r="AKB49" s="29"/>
      <c r="AKC49" s="29"/>
      <c r="AKD49" s="28"/>
      <c r="AKE49" s="29"/>
      <c r="AKF49" s="30"/>
      <c r="AKG49" s="28"/>
      <c r="AKH49" s="29"/>
      <c r="AKI49" s="29"/>
      <c r="AKJ49" s="29"/>
      <c r="AKK49" s="28"/>
      <c r="AKL49" s="29"/>
      <c r="AKM49" s="29"/>
      <c r="AKN49" s="28"/>
      <c r="AKO49" s="29"/>
      <c r="AKP49" s="30"/>
      <c r="AKQ49" s="28"/>
      <c r="AKR49" s="29"/>
      <c r="AKS49" s="29"/>
      <c r="AKT49" s="29"/>
      <c r="AKU49" s="28"/>
      <c r="AKV49" s="29"/>
      <c r="AKW49" s="29"/>
      <c r="AKX49" s="28"/>
      <c r="AKY49" s="29"/>
      <c r="AKZ49" s="30"/>
      <c r="ALA49" s="28"/>
      <c r="ALB49" s="29"/>
      <c r="ALC49" s="29"/>
      <c r="ALD49" s="29"/>
      <c r="ALE49" s="28"/>
      <c r="ALF49" s="29"/>
      <c r="ALG49" s="29"/>
      <c r="ALH49" s="29"/>
      <c r="ALI49" s="29"/>
      <c r="ALJ49" s="29"/>
      <c r="ALK49" s="28"/>
      <c r="ALL49" s="29"/>
      <c r="ALM49" s="29"/>
      <c r="ALN49" s="28"/>
      <c r="ALO49" s="29"/>
      <c r="ALP49" s="30"/>
      <c r="ALQ49" s="28"/>
      <c r="ALR49" s="29"/>
      <c r="ALS49" s="29"/>
      <c r="ALT49" s="29"/>
      <c r="ALU49" s="28"/>
      <c r="ALV49" s="29"/>
      <c r="ALW49" s="29"/>
      <c r="ALX49" s="28"/>
      <c r="ALY49" s="29"/>
      <c r="ALZ49" s="30"/>
      <c r="AMA49" s="28"/>
      <c r="AMB49" s="29"/>
      <c r="AMC49" s="29"/>
      <c r="AMD49" s="29"/>
      <c r="AME49" s="28"/>
      <c r="AMF49" s="29"/>
      <c r="AMG49" s="29"/>
      <c r="AMH49" s="29"/>
      <c r="AMI49" s="29"/>
      <c r="AMJ49" s="29"/>
      <c r="AMK49" s="28"/>
      <c r="AML49" s="29"/>
      <c r="AMM49" s="29"/>
      <c r="AMN49" s="28"/>
      <c r="AMO49" s="29"/>
      <c r="AMP49" s="30"/>
      <c r="AMQ49" s="28"/>
      <c r="AMR49" s="29"/>
      <c r="AMS49" s="29"/>
      <c r="AMT49" s="29"/>
      <c r="AMU49" s="28"/>
      <c r="AMV49" s="29"/>
      <c r="AMW49" s="29"/>
      <c r="AMX49" s="28"/>
      <c r="AMY49" s="29"/>
      <c r="AMZ49" s="30"/>
      <c r="ANA49" s="28"/>
      <c r="ANB49" s="29"/>
      <c r="ANC49" s="29"/>
      <c r="AND49" s="29"/>
      <c r="ANE49" s="28"/>
      <c r="ANF49" s="29"/>
      <c r="ANG49" s="29"/>
      <c r="ANH49" s="29"/>
      <c r="ANI49" s="29"/>
      <c r="ANJ49" s="29"/>
      <c r="ANK49" s="28"/>
      <c r="ANL49" s="29"/>
      <c r="ANM49" s="29"/>
      <c r="ANN49" s="28"/>
      <c r="ANO49" s="29"/>
      <c r="ANP49" s="30"/>
      <c r="ANQ49" s="28"/>
      <c r="ANR49" s="29"/>
      <c r="ANS49" s="29"/>
      <c r="ANT49" s="29"/>
      <c r="ANU49" s="28"/>
      <c r="ANV49" s="29"/>
      <c r="ANW49" s="29"/>
      <c r="ANX49" s="28"/>
      <c r="ANY49" s="29"/>
      <c r="ANZ49" s="30"/>
      <c r="AOA49" s="28"/>
      <c r="AOB49" s="29"/>
      <c r="AOC49" s="29"/>
      <c r="AOD49" s="29"/>
      <c r="AOE49" s="28"/>
      <c r="AOF49" s="29"/>
      <c r="AOG49" s="29"/>
      <c r="AOH49" s="29"/>
      <c r="AOI49" s="29"/>
      <c r="AOJ49" s="29"/>
      <c r="AOK49" s="28"/>
      <c r="AOL49" s="29"/>
      <c r="AOM49" s="29"/>
      <c r="AON49" s="28"/>
      <c r="AOO49" s="29"/>
      <c r="AOP49" s="30"/>
      <c r="AOQ49" s="28"/>
      <c r="AOR49" s="29"/>
      <c r="AOS49" s="29"/>
      <c r="AOT49" s="29"/>
      <c r="AOU49" s="28"/>
      <c r="AOV49" s="29"/>
      <c r="AOW49" s="29"/>
      <c r="AOX49" s="28"/>
      <c r="AOY49" s="29"/>
      <c r="AOZ49" s="30"/>
      <c r="APA49" s="28"/>
      <c r="APB49" s="29"/>
      <c r="APC49" s="29"/>
      <c r="APD49" s="29"/>
      <c r="APE49" s="28"/>
      <c r="APF49" s="29"/>
      <c r="APG49" s="29"/>
      <c r="APH49" s="29"/>
      <c r="API49" s="29"/>
      <c r="APJ49" s="29"/>
      <c r="APK49" s="28"/>
      <c r="APL49" s="29"/>
      <c r="APM49" s="29"/>
      <c r="APN49" s="28"/>
      <c r="APO49" s="29"/>
      <c r="APP49" s="30"/>
      <c r="APQ49" s="28"/>
      <c r="APR49" s="29"/>
      <c r="APS49" s="29"/>
      <c r="APT49" s="29"/>
      <c r="APU49" s="28"/>
      <c r="APV49" s="29"/>
      <c r="APW49" s="29"/>
      <c r="APX49" s="28"/>
      <c r="APY49" s="29"/>
      <c r="APZ49" s="30"/>
      <c r="AQA49" s="28"/>
      <c r="AQB49" s="29"/>
      <c r="AQC49" s="29"/>
      <c r="AQD49" s="29"/>
      <c r="AQE49" s="28"/>
      <c r="AQF49" s="29"/>
      <c r="AQG49" s="29"/>
      <c r="AQH49" s="29"/>
      <c r="AQI49" s="29"/>
      <c r="AQJ49" s="29"/>
      <c r="AQK49" s="28"/>
      <c r="AQL49" s="29"/>
      <c r="AQM49" s="29"/>
      <c r="AQN49" s="28"/>
      <c r="AQO49" s="29"/>
      <c r="AQP49" s="30"/>
      <c r="AQQ49" s="28"/>
      <c r="AQR49" s="29"/>
      <c r="AQS49" s="29"/>
      <c r="AQT49" s="29"/>
      <c r="AQU49" s="28"/>
      <c r="AQV49" s="29"/>
      <c r="AQW49" s="29"/>
      <c r="AQX49" s="28"/>
      <c r="AQY49" s="29"/>
      <c r="AQZ49" s="30"/>
      <c r="ARA49" s="28"/>
      <c r="ARB49" s="29"/>
      <c r="ARC49" s="29"/>
      <c r="ARD49" s="29"/>
      <c r="ARE49" s="28"/>
      <c r="ARF49" s="29"/>
      <c r="ARG49" s="29"/>
      <c r="ARH49" s="29"/>
      <c r="ARI49" s="29"/>
      <c r="ARJ49" s="29"/>
      <c r="ARK49" s="28"/>
      <c r="ARL49" s="29"/>
      <c r="ARM49" s="29"/>
      <c r="ARN49" s="28"/>
      <c r="ARO49" s="29"/>
      <c r="ARP49" s="30"/>
      <c r="ARQ49" s="28"/>
      <c r="ARR49" s="29"/>
      <c r="ARS49" s="29"/>
      <c r="ART49" s="29"/>
      <c r="ARU49" s="28"/>
      <c r="ARV49" s="29"/>
      <c r="ARW49" s="29"/>
      <c r="ARX49" s="28"/>
      <c r="ARY49" s="29"/>
      <c r="ARZ49" s="30"/>
      <c r="ASA49" s="28"/>
      <c r="ASB49" s="29"/>
      <c r="ASC49" s="29"/>
      <c r="ASD49" s="29"/>
      <c r="ASE49" s="28"/>
      <c r="ASF49" s="29"/>
      <c r="ASG49" s="29"/>
      <c r="ASH49" s="29"/>
      <c r="ASI49" s="29"/>
      <c r="ASJ49" s="29"/>
      <c r="ASK49" s="28"/>
      <c r="ASL49" s="29"/>
      <c r="ASM49" s="29"/>
      <c r="ASN49" s="28"/>
      <c r="ASO49" s="29"/>
      <c r="ASP49" s="30"/>
      <c r="ASQ49" s="28"/>
      <c r="ASR49" s="29"/>
      <c r="ASS49" s="29"/>
      <c r="AST49" s="29"/>
      <c r="ASU49" s="28"/>
      <c r="ASV49" s="29"/>
      <c r="ASW49" s="29"/>
      <c r="ASX49" s="28"/>
      <c r="ASY49" s="29"/>
      <c r="ASZ49" s="30"/>
      <c r="ATA49" s="28"/>
      <c r="ATB49" s="29"/>
      <c r="ATC49" s="29"/>
      <c r="ATD49" s="29"/>
      <c r="ATE49" s="28"/>
      <c r="ATF49" s="29"/>
      <c r="ATG49" s="29"/>
      <c r="ATH49" s="29"/>
      <c r="ATI49" s="29"/>
      <c r="ATJ49" s="29"/>
      <c r="ATK49" s="28"/>
      <c r="ATL49" s="29"/>
      <c r="ATM49" s="29"/>
      <c r="ATN49" s="28"/>
      <c r="ATO49" s="29"/>
      <c r="ATP49" s="30"/>
      <c r="ATQ49" s="28"/>
      <c r="ATR49" s="29"/>
      <c r="ATS49" s="29"/>
      <c r="ATT49" s="29"/>
      <c r="ATU49" s="28"/>
      <c r="ATV49" s="29"/>
      <c r="ATW49" s="29"/>
      <c r="ATX49" s="28"/>
      <c r="ATY49" s="29"/>
      <c r="ATZ49" s="30"/>
      <c r="AUA49" s="28"/>
      <c r="AUB49" s="29"/>
      <c r="AUC49" s="29"/>
      <c r="AUD49" s="29"/>
      <c r="AUE49" s="28"/>
      <c r="AUF49" s="29"/>
      <c r="AUG49" s="29"/>
      <c r="AUH49" s="29"/>
      <c r="AUI49" s="29"/>
      <c r="AUJ49" s="29"/>
      <c r="AUK49" s="28"/>
      <c r="AUL49" s="29"/>
      <c r="AUM49" s="29"/>
      <c r="AUN49" s="28"/>
      <c r="AUO49" s="29"/>
      <c r="AUP49" s="30"/>
      <c r="AUQ49" s="28"/>
      <c r="AUR49" s="29"/>
      <c r="AUS49" s="29"/>
      <c r="AUT49" s="29"/>
      <c r="AUU49" s="28"/>
      <c r="AUV49" s="29"/>
      <c r="AUW49" s="29"/>
      <c r="AUX49" s="28"/>
      <c r="AUY49" s="29"/>
      <c r="AUZ49" s="30"/>
      <c r="AVA49" s="28"/>
      <c r="AVB49" s="29"/>
      <c r="AVC49" s="29"/>
      <c r="AVD49" s="29"/>
      <c r="AVE49" s="28"/>
      <c r="AVF49" s="29"/>
      <c r="AVG49" s="29"/>
      <c r="AVH49" s="29"/>
      <c r="AVI49" s="29"/>
      <c r="AVJ49" s="29"/>
      <c r="AVK49" s="28"/>
      <c r="AVL49" s="29"/>
      <c r="AVM49" s="29"/>
      <c r="AVN49" s="28"/>
      <c r="AVO49" s="29"/>
      <c r="AVP49" s="30"/>
      <c r="AVQ49" s="28"/>
      <c r="AVR49" s="29"/>
      <c r="AVS49" s="29"/>
      <c r="AVT49" s="29"/>
      <c r="AVU49" s="28"/>
      <c r="AVV49" s="29"/>
      <c r="AVW49" s="29"/>
      <c r="AVX49" s="28"/>
      <c r="AVY49" s="29"/>
      <c r="AVZ49" s="30"/>
      <c r="AWA49" s="28"/>
      <c r="AWB49" s="29"/>
      <c r="AWC49" s="29"/>
      <c r="AWD49" s="29"/>
      <c r="AWE49" s="28"/>
      <c r="AWF49" s="29"/>
      <c r="AWG49" s="29"/>
      <c r="AWH49" s="29"/>
      <c r="AWI49" s="29"/>
      <c r="AWJ49" s="29"/>
      <c r="AWK49" s="28"/>
      <c r="AWL49" s="29"/>
      <c r="AWM49" s="29"/>
      <c r="AWN49" s="28"/>
      <c r="AWO49" s="29"/>
      <c r="AWP49" s="30"/>
      <c r="AWQ49" s="28"/>
      <c r="AWR49" s="29"/>
      <c r="AWS49" s="29"/>
      <c r="AWT49" s="29"/>
      <c r="AWU49" s="28"/>
      <c r="AWV49" s="29"/>
      <c r="AWW49" s="29"/>
      <c r="AWX49" s="28"/>
      <c r="AWY49" s="29"/>
      <c r="AWZ49" s="30"/>
      <c r="AXA49" s="28"/>
      <c r="AXB49" s="29"/>
      <c r="AXC49" s="29"/>
      <c r="AXD49" s="29"/>
      <c r="AXE49" s="28"/>
      <c r="AXF49" s="29"/>
      <c r="AXG49" s="29"/>
      <c r="AXH49" s="29"/>
      <c r="AXI49" s="29"/>
      <c r="AXJ49" s="29"/>
      <c r="AXK49" s="28"/>
      <c r="AXL49" s="29"/>
      <c r="AXM49" s="29"/>
      <c r="AXN49" s="28"/>
      <c r="AXO49" s="29"/>
      <c r="AXP49" s="30"/>
      <c r="AXQ49" s="28"/>
      <c r="AXR49" s="29"/>
      <c r="AXS49" s="29"/>
      <c r="AXT49" s="29"/>
      <c r="AXU49" s="28"/>
      <c r="AXV49" s="29"/>
      <c r="AXW49" s="29"/>
      <c r="AXX49" s="28"/>
      <c r="AXY49" s="29"/>
      <c r="AXZ49" s="30"/>
      <c r="AYA49" s="28"/>
      <c r="AYB49" s="29"/>
      <c r="AYC49" s="29"/>
      <c r="AYD49" s="29"/>
      <c r="AYE49" s="28"/>
      <c r="AYF49" s="29"/>
      <c r="AYG49" s="29"/>
      <c r="AYH49" s="29"/>
      <c r="AYI49" s="29"/>
      <c r="AYJ49" s="29"/>
      <c r="AYK49" s="28"/>
      <c r="AYL49" s="29"/>
      <c r="AYM49" s="29"/>
      <c r="AYN49" s="28"/>
      <c r="AYO49" s="29"/>
      <c r="AYP49" s="30"/>
      <c r="AYQ49" s="28"/>
      <c r="AYR49" s="29"/>
      <c r="AYS49" s="29"/>
      <c r="AYT49" s="29"/>
      <c r="AYU49" s="28"/>
      <c r="AYV49" s="29"/>
      <c r="AYW49" s="29"/>
      <c r="AYX49" s="28"/>
      <c r="AYY49" s="29"/>
      <c r="AYZ49" s="30"/>
      <c r="AZA49" s="28"/>
      <c r="AZB49" s="29"/>
      <c r="AZC49" s="29"/>
      <c r="AZD49" s="29"/>
      <c r="AZE49" s="28"/>
      <c r="AZF49" s="29"/>
      <c r="AZG49" s="29"/>
      <c r="AZH49" s="29"/>
      <c r="AZI49" s="29"/>
      <c r="AZJ49" s="29"/>
      <c r="AZK49" s="28"/>
      <c r="AZL49" s="29"/>
      <c r="AZM49" s="29"/>
      <c r="AZN49" s="28"/>
      <c r="AZO49" s="29"/>
      <c r="AZP49" s="30"/>
      <c r="AZQ49" s="28"/>
      <c r="AZR49" s="29"/>
      <c r="AZS49" s="29"/>
      <c r="AZT49" s="29"/>
      <c r="AZU49" s="28"/>
      <c r="AZV49" s="29"/>
      <c r="AZW49" s="29"/>
      <c r="AZX49" s="28"/>
      <c r="AZY49" s="29"/>
      <c r="AZZ49" s="30"/>
      <c r="BAA49" s="28"/>
      <c r="BAB49" s="29"/>
      <c r="BAC49" s="29"/>
      <c r="BAD49" s="29"/>
      <c r="BAE49" s="28"/>
      <c r="BAF49" s="29"/>
      <c r="BAG49" s="29"/>
      <c r="BAH49" s="29"/>
      <c r="BAI49" s="29"/>
      <c r="BAJ49" s="29"/>
      <c r="BAK49" s="28"/>
      <c r="BAL49" s="29"/>
      <c r="BAM49" s="29"/>
      <c r="BAN49" s="28"/>
      <c r="BAO49" s="29"/>
      <c r="BAP49" s="30"/>
      <c r="BAQ49" s="28"/>
      <c r="BAR49" s="29"/>
      <c r="BAS49" s="29"/>
      <c r="BAT49" s="29"/>
      <c r="BAU49" s="28"/>
      <c r="BAV49" s="29"/>
      <c r="BAW49" s="29"/>
      <c r="BAX49" s="28"/>
      <c r="BAY49" s="29"/>
      <c r="BAZ49" s="30"/>
      <c r="BBA49" s="28"/>
      <c r="BBB49" s="29"/>
      <c r="BBC49" s="29"/>
      <c r="BBD49" s="29"/>
      <c r="BBE49" s="28"/>
      <c r="BBF49" s="29"/>
      <c r="BBG49" s="29"/>
      <c r="BBH49" s="29"/>
      <c r="BBI49" s="29"/>
      <c r="BBJ49" s="29"/>
      <c r="BBK49" s="28"/>
      <c r="BBL49" s="29"/>
      <c r="BBM49" s="29"/>
      <c r="BBN49" s="28"/>
      <c r="BBO49" s="29"/>
      <c r="BBP49" s="30"/>
      <c r="BBQ49" s="28"/>
      <c r="BBR49" s="29"/>
      <c r="BBS49" s="29"/>
      <c r="BBT49" s="29"/>
      <c r="BBU49" s="28"/>
      <c r="BBV49" s="29"/>
      <c r="BBW49" s="29"/>
      <c r="BBX49" s="28"/>
      <c r="BBY49" s="29"/>
      <c r="BBZ49" s="30"/>
      <c r="BCA49" s="28"/>
      <c r="BCB49" s="29"/>
      <c r="BCC49" s="29"/>
      <c r="BCD49" s="29"/>
      <c r="BCE49" s="28"/>
      <c r="BCF49" s="29"/>
      <c r="BCG49" s="29"/>
      <c r="BCH49" s="29"/>
      <c r="BCI49" s="29"/>
      <c r="BCJ49" s="29"/>
      <c r="BCK49" s="28"/>
      <c r="BCL49" s="29"/>
      <c r="BCM49" s="29"/>
      <c r="BCN49" s="28"/>
      <c r="BCO49" s="29"/>
      <c r="BCP49" s="30"/>
      <c r="BCQ49" s="28"/>
      <c r="BCR49" s="29"/>
      <c r="BCS49" s="29"/>
      <c r="BCT49" s="29"/>
      <c r="BCU49" s="28"/>
      <c r="BCV49" s="29"/>
      <c r="BCW49" s="29"/>
      <c r="BCX49" s="28"/>
      <c r="BCY49" s="29"/>
      <c r="BCZ49" s="30"/>
      <c r="BDA49" s="28"/>
      <c r="BDB49" s="29"/>
      <c r="BDC49" s="29"/>
      <c r="BDD49" s="29"/>
      <c r="BDE49" s="28"/>
      <c r="BDF49" s="29"/>
      <c r="BDG49" s="29"/>
      <c r="BDH49" s="29"/>
      <c r="BDI49" s="29"/>
      <c r="BDJ49" s="29"/>
      <c r="BDK49" s="28"/>
      <c r="BDL49" s="29"/>
      <c r="BDM49" s="29"/>
      <c r="BDN49" s="28"/>
      <c r="BDO49" s="29"/>
      <c r="BDP49" s="30"/>
      <c r="BDQ49" s="28"/>
      <c r="BDR49" s="29"/>
      <c r="BDS49" s="29"/>
      <c r="BDT49" s="29"/>
      <c r="BDU49" s="28"/>
      <c r="BDV49" s="29"/>
      <c r="BDW49" s="29"/>
      <c r="BDX49" s="28"/>
      <c r="BDY49" s="29"/>
      <c r="BDZ49" s="30"/>
      <c r="BEA49" s="28"/>
      <c r="BEB49" s="29"/>
      <c r="BEC49" s="29"/>
      <c r="BED49" s="29"/>
      <c r="BEE49" s="28"/>
      <c r="BEF49" s="29"/>
      <c r="BEG49" s="29"/>
      <c r="BEH49" s="29"/>
      <c r="BEI49" s="29"/>
      <c r="BEJ49" s="29"/>
      <c r="BEK49" s="28"/>
      <c r="BEL49" s="29"/>
      <c r="BEM49" s="29"/>
      <c r="BEN49" s="28"/>
      <c r="BEO49" s="29"/>
      <c r="BEP49" s="30"/>
      <c r="BEQ49" s="28"/>
      <c r="BER49" s="29"/>
      <c r="BES49" s="29"/>
      <c r="BET49" s="29"/>
      <c r="BEU49" s="28"/>
      <c r="BEV49" s="29"/>
      <c r="BEW49" s="29"/>
      <c r="BEX49" s="28"/>
      <c r="BEY49" s="29"/>
      <c r="BEZ49" s="30"/>
      <c r="BFA49" s="28"/>
      <c r="BFB49" s="29"/>
      <c r="BFC49" s="29"/>
      <c r="BFD49" s="29"/>
      <c r="BFE49" s="28"/>
      <c r="BFF49" s="29"/>
      <c r="BFG49" s="29"/>
      <c r="BFH49" s="29"/>
      <c r="BFI49" s="29"/>
      <c r="BFJ49" s="29"/>
      <c r="BFK49" s="28"/>
      <c r="BFL49" s="29"/>
      <c r="BFM49" s="29"/>
      <c r="BFN49" s="28"/>
      <c r="BFO49" s="29"/>
      <c r="BFP49" s="30"/>
      <c r="BFQ49" s="28"/>
      <c r="BFR49" s="29"/>
      <c r="BFS49" s="29"/>
      <c r="BFT49" s="29"/>
      <c r="BFU49" s="28"/>
      <c r="BFV49" s="29"/>
      <c r="BFW49" s="29"/>
      <c r="BFX49" s="28"/>
      <c r="BFY49" s="29"/>
      <c r="BFZ49" s="30"/>
      <c r="BGA49" s="28"/>
      <c r="BGB49" s="29"/>
      <c r="BGC49" s="29"/>
      <c r="BGD49" s="29"/>
      <c r="BGE49" s="28"/>
      <c r="BGF49" s="29"/>
      <c r="BGG49" s="29"/>
      <c r="BGH49" s="29"/>
      <c r="BGI49" s="29"/>
      <c r="BGJ49" s="29"/>
      <c r="BGK49" s="28"/>
      <c r="BGL49" s="29"/>
      <c r="BGM49" s="29"/>
      <c r="BGN49" s="28"/>
      <c r="BGO49" s="29"/>
      <c r="BGP49" s="30"/>
      <c r="BGQ49" s="28"/>
      <c r="BGR49" s="29"/>
      <c r="BGS49" s="29"/>
      <c r="BGT49" s="29"/>
      <c r="BGU49" s="28"/>
      <c r="BGV49" s="29"/>
      <c r="BGW49" s="29"/>
      <c r="BGX49" s="28"/>
      <c r="BGY49" s="29"/>
      <c r="BGZ49" s="30"/>
      <c r="BHA49" s="28"/>
      <c r="BHB49" s="29"/>
      <c r="BHC49" s="29"/>
      <c r="BHD49" s="29"/>
      <c r="BHE49" s="28"/>
      <c r="BHF49" s="29"/>
      <c r="BHG49" s="29"/>
      <c r="BHH49" s="29"/>
      <c r="BHI49" s="29"/>
      <c r="BHJ49" s="29"/>
      <c r="BHK49" s="28"/>
      <c r="BHL49" s="29"/>
      <c r="BHM49" s="29"/>
      <c r="BHN49" s="28"/>
      <c r="BHO49" s="29"/>
      <c r="BHP49" s="30"/>
      <c r="BHQ49" s="28"/>
      <c r="BHR49" s="29"/>
      <c r="BHS49" s="29"/>
      <c r="BHT49" s="29"/>
      <c r="BHU49" s="28"/>
      <c r="BHV49" s="29"/>
      <c r="BHW49" s="29"/>
      <c r="BHX49" s="28"/>
      <c r="BHY49" s="29"/>
      <c r="BHZ49" s="30"/>
      <c r="BIA49" s="28"/>
      <c r="BIB49" s="29"/>
      <c r="BIC49" s="29"/>
      <c r="BID49" s="29"/>
      <c r="BIE49" s="28"/>
      <c r="BIF49" s="29"/>
      <c r="BIG49" s="29"/>
      <c r="BIH49" s="29"/>
      <c r="BII49" s="29"/>
      <c r="BIJ49" s="29"/>
      <c r="BIK49" s="28"/>
      <c r="BIL49" s="29"/>
      <c r="BIM49" s="29"/>
      <c r="BIN49" s="28"/>
      <c r="BIO49" s="29"/>
      <c r="BIP49" s="30"/>
      <c r="BIQ49" s="28"/>
      <c r="BIR49" s="29"/>
      <c r="BIS49" s="29"/>
      <c r="BIT49" s="29"/>
      <c r="BIU49" s="28"/>
      <c r="BIV49" s="29"/>
      <c r="BIW49" s="29"/>
      <c r="BIX49" s="28"/>
      <c r="BIY49" s="29"/>
      <c r="BIZ49" s="30"/>
      <c r="BJA49" s="28"/>
      <c r="BJB49" s="29"/>
      <c r="BJC49" s="29"/>
      <c r="BJD49" s="29"/>
      <c r="BJE49" s="28"/>
      <c r="BJF49" s="29"/>
      <c r="BJG49" s="29"/>
      <c r="BJH49" s="29"/>
      <c r="BJI49" s="29"/>
      <c r="BJJ49" s="29"/>
      <c r="BJK49" s="28"/>
      <c r="BJL49" s="29"/>
      <c r="BJM49" s="29"/>
      <c r="BJN49" s="28"/>
      <c r="BJO49" s="29"/>
      <c r="BJP49" s="30"/>
      <c r="BJQ49" s="28"/>
      <c r="BJR49" s="29"/>
      <c r="BJS49" s="29"/>
      <c r="BJT49" s="29"/>
      <c r="BJU49" s="28"/>
      <c r="BJV49" s="29"/>
      <c r="BJW49" s="29"/>
      <c r="BJX49" s="28"/>
      <c r="BJY49" s="29"/>
      <c r="BJZ49" s="30"/>
      <c r="BKA49" s="28"/>
      <c r="BKB49" s="29"/>
      <c r="BKC49" s="29"/>
      <c r="BKD49" s="29"/>
      <c r="BKE49" s="28"/>
      <c r="BKF49" s="29"/>
      <c r="BKG49" s="29"/>
      <c r="BKH49" s="29"/>
      <c r="BKI49" s="29"/>
      <c r="BKJ49" s="29"/>
      <c r="BKK49" s="28"/>
      <c r="BKL49" s="29"/>
      <c r="BKM49" s="29"/>
      <c r="BKN49" s="28"/>
      <c r="BKO49" s="29"/>
      <c r="BKP49" s="30"/>
      <c r="BKQ49" s="28"/>
      <c r="BKR49" s="29"/>
      <c r="BKS49" s="29"/>
      <c r="BKT49" s="29"/>
      <c r="BKU49" s="28"/>
      <c r="BKV49" s="29"/>
      <c r="BKW49" s="29"/>
      <c r="BKX49" s="28"/>
      <c r="BKY49" s="29"/>
      <c r="BKZ49" s="30"/>
      <c r="BLA49" s="28"/>
      <c r="BLB49" s="29"/>
      <c r="BLC49" s="29"/>
      <c r="BLD49" s="29"/>
      <c r="BLE49" s="28"/>
      <c r="BLF49" s="29"/>
      <c r="BLG49" s="29"/>
      <c r="BLH49" s="29"/>
      <c r="BLI49" s="29"/>
      <c r="BLJ49" s="29"/>
      <c r="BLK49" s="28"/>
      <c r="BLL49" s="29"/>
      <c r="BLM49" s="29"/>
      <c r="BLN49" s="28"/>
      <c r="BLO49" s="29"/>
      <c r="BLP49" s="30"/>
      <c r="BLQ49" s="28"/>
      <c r="BLR49" s="29"/>
      <c r="BLS49" s="29"/>
      <c r="BLT49" s="29"/>
      <c r="BLU49" s="28"/>
      <c r="BLV49" s="29"/>
      <c r="BLW49" s="29"/>
      <c r="BLX49" s="28"/>
      <c r="BLY49" s="29"/>
      <c r="BLZ49" s="30"/>
      <c r="BMA49" s="28"/>
      <c r="BMB49" s="29"/>
      <c r="BMC49" s="29"/>
      <c r="BMD49" s="29"/>
      <c r="BME49" s="28"/>
      <c r="BMF49" s="29"/>
      <c r="BMG49" s="29"/>
      <c r="BMH49" s="29"/>
      <c r="BMI49" s="29"/>
      <c r="BMJ49" s="29"/>
      <c r="BMK49" s="28"/>
      <c r="BML49" s="29"/>
      <c r="BMM49" s="29"/>
      <c r="BMN49" s="28"/>
      <c r="BMO49" s="29"/>
      <c r="BMP49" s="30"/>
      <c r="BMQ49" s="28"/>
      <c r="BMR49" s="29"/>
      <c r="BMS49" s="29"/>
      <c r="BMT49" s="29"/>
      <c r="BMU49" s="28"/>
      <c r="BMV49" s="29"/>
      <c r="BMW49" s="29"/>
      <c r="BMX49" s="28"/>
      <c r="BMY49" s="29"/>
      <c r="BMZ49" s="30"/>
      <c r="BNA49" s="28"/>
      <c r="BNB49" s="29"/>
      <c r="BNC49" s="29"/>
      <c r="BND49" s="29"/>
      <c r="BNE49" s="28"/>
      <c r="BNF49" s="29"/>
      <c r="BNG49" s="29"/>
      <c r="BNH49" s="29"/>
      <c r="BNI49" s="29"/>
      <c r="BNJ49" s="29"/>
      <c r="BNK49" s="28"/>
      <c r="BNL49" s="29"/>
      <c r="BNM49" s="29"/>
      <c r="BNN49" s="28"/>
      <c r="BNO49" s="29"/>
      <c r="BNP49" s="30"/>
      <c r="BNQ49" s="28"/>
      <c r="BNR49" s="29"/>
      <c r="BNS49" s="29"/>
      <c r="BNT49" s="29"/>
      <c r="BNU49" s="28"/>
      <c r="BNV49" s="29"/>
      <c r="BNW49" s="29"/>
      <c r="BNX49" s="28"/>
      <c r="BNY49" s="29"/>
      <c r="BNZ49" s="30"/>
      <c r="BOA49" s="28"/>
      <c r="BOB49" s="29"/>
      <c r="BOC49" s="29"/>
      <c r="BOD49" s="29"/>
      <c r="BOE49" s="28"/>
      <c r="BOF49" s="29"/>
      <c r="BOG49" s="29"/>
      <c r="BOH49" s="29"/>
      <c r="BOI49" s="29"/>
      <c r="BOJ49" s="29"/>
      <c r="BOK49" s="28"/>
      <c r="BOL49" s="29"/>
      <c r="BOM49" s="29"/>
      <c r="BON49" s="28"/>
      <c r="BOO49" s="29"/>
      <c r="BOP49" s="30"/>
      <c r="BOQ49" s="28"/>
      <c r="BOR49" s="29"/>
      <c r="BOS49" s="29"/>
      <c r="BOT49" s="29"/>
      <c r="BOU49" s="28"/>
      <c r="BOV49" s="29"/>
      <c r="BOW49" s="29"/>
      <c r="BOX49" s="28"/>
      <c r="BOY49" s="29"/>
      <c r="BOZ49" s="30"/>
      <c r="BPA49" s="28"/>
      <c r="BPB49" s="29"/>
      <c r="BPC49" s="29"/>
      <c r="BPD49" s="29"/>
      <c r="BPE49" s="28"/>
      <c r="BPF49" s="29"/>
      <c r="BPG49" s="29"/>
      <c r="BPH49" s="29"/>
      <c r="BPI49" s="29"/>
      <c r="BPJ49" s="29"/>
      <c r="BPK49" s="28"/>
      <c r="BPL49" s="29"/>
      <c r="BPM49" s="29"/>
      <c r="BPN49" s="28"/>
      <c r="BPO49" s="29"/>
      <c r="BPP49" s="30"/>
      <c r="BPQ49" s="28"/>
      <c r="BPR49" s="29"/>
      <c r="BPS49" s="29"/>
      <c r="BPT49" s="29"/>
      <c r="BPU49" s="28"/>
      <c r="BPV49" s="29"/>
      <c r="BPW49" s="29"/>
      <c r="BPX49" s="28"/>
      <c r="BPY49" s="29"/>
      <c r="BPZ49" s="30"/>
      <c r="BQA49" s="28"/>
      <c r="BQB49" s="29"/>
      <c r="BQC49" s="29"/>
      <c r="BQD49" s="29"/>
      <c r="BQE49" s="28"/>
      <c r="BQF49" s="29"/>
      <c r="BQG49" s="29"/>
      <c r="BQH49" s="29"/>
      <c r="BQI49" s="29"/>
      <c r="BQJ49" s="29"/>
      <c r="BQK49" s="28"/>
      <c r="BQL49" s="29"/>
      <c r="BQM49" s="29"/>
      <c r="BQN49" s="28"/>
      <c r="BQO49" s="29"/>
      <c r="BQP49" s="30"/>
      <c r="BQQ49" s="28"/>
      <c r="BQR49" s="29"/>
      <c r="BQS49" s="29"/>
      <c r="BQT49" s="29"/>
      <c r="BQU49" s="28"/>
      <c r="BQV49" s="29"/>
      <c r="BQW49" s="29"/>
      <c r="BQX49" s="28"/>
      <c r="BQY49" s="29"/>
      <c r="BQZ49" s="30"/>
      <c r="BRA49" s="28"/>
      <c r="BRB49" s="29"/>
      <c r="BRC49" s="29"/>
      <c r="BRD49" s="29"/>
      <c r="BRE49" s="28"/>
      <c r="BRF49" s="29"/>
      <c r="BRG49" s="29"/>
      <c r="BRH49" s="29"/>
      <c r="BRI49" s="29"/>
      <c r="BRJ49" s="29"/>
      <c r="BRK49" s="28"/>
      <c r="BRL49" s="29"/>
      <c r="BRM49" s="29"/>
      <c r="BRN49" s="28"/>
      <c r="BRO49" s="29"/>
      <c r="BRP49" s="30"/>
      <c r="BRQ49" s="28"/>
      <c r="BRR49" s="29"/>
      <c r="BRS49" s="29"/>
      <c r="BRT49" s="29"/>
      <c r="BRU49" s="28"/>
      <c r="BRV49" s="29"/>
      <c r="BRW49" s="29"/>
      <c r="BRX49" s="28"/>
      <c r="BRY49" s="29"/>
      <c r="BRZ49" s="30"/>
      <c r="BSA49" s="28"/>
      <c r="BSB49" s="29"/>
      <c r="BSC49" s="29"/>
      <c r="BSD49" s="29"/>
      <c r="BSE49" s="28"/>
      <c r="BSF49" s="29"/>
      <c r="BSG49" s="29"/>
      <c r="BSH49" s="29"/>
      <c r="BSI49" s="29"/>
      <c r="BSJ49" s="29"/>
      <c r="BSK49" s="28"/>
      <c r="BSL49" s="29"/>
      <c r="BSM49" s="29"/>
      <c r="BSN49" s="28"/>
      <c r="BSO49" s="29"/>
      <c r="BSP49" s="30"/>
      <c r="BSQ49" s="28"/>
      <c r="BSR49" s="29"/>
      <c r="BSS49" s="29"/>
      <c r="BST49" s="29"/>
      <c r="BSU49" s="28"/>
      <c r="BSV49" s="29"/>
      <c r="BSW49" s="29"/>
      <c r="BSX49" s="28"/>
      <c r="BSY49" s="29"/>
      <c r="BSZ49" s="30"/>
      <c r="BTA49" s="28"/>
      <c r="BTB49" s="29"/>
      <c r="BTC49" s="29"/>
      <c r="BTD49" s="29"/>
      <c r="BTE49" s="28"/>
      <c r="BTF49" s="29"/>
      <c r="BTG49" s="29"/>
      <c r="BTH49" s="29"/>
      <c r="BTI49" s="29"/>
      <c r="BTJ49" s="29"/>
      <c r="BTK49" s="28"/>
      <c r="BTL49" s="29"/>
      <c r="BTM49" s="29"/>
      <c r="BTN49" s="28"/>
      <c r="BTO49" s="29"/>
      <c r="BTP49" s="30"/>
      <c r="BTQ49" s="28"/>
      <c r="BTR49" s="29"/>
      <c r="BTS49" s="29"/>
      <c r="BTT49" s="29"/>
      <c r="BTU49" s="28"/>
      <c r="BTV49" s="29"/>
      <c r="BTW49" s="29"/>
      <c r="BTX49" s="28"/>
      <c r="BTY49" s="29"/>
      <c r="BTZ49" s="30"/>
      <c r="BUA49" s="28"/>
      <c r="BUB49" s="29"/>
      <c r="BUC49" s="29"/>
      <c r="BUD49" s="29"/>
      <c r="BUE49" s="28"/>
      <c r="BUF49" s="29"/>
      <c r="BUG49" s="29"/>
      <c r="BUH49" s="29"/>
      <c r="BUI49" s="29"/>
      <c r="BUJ49" s="29"/>
      <c r="BUK49" s="28"/>
      <c r="BUL49" s="29"/>
      <c r="BUM49" s="29"/>
      <c r="BUN49" s="28"/>
      <c r="BUO49" s="29"/>
      <c r="BUP49" s="30"/>
      <c r="BUQ49" s="28"/>
      <c r="BUR49" s="29"/>
      <c r="BUS49" s="29"/>
      <c r="BUT49" s="29"/>
      <c r="BUU49" s="28"/>
      <c r="BUV49" s="29"/>
      <c r="BUW49" s="29"/>
      <c r="BUX49" s="28"/>
      <c r="BUY49" s="29"/>
      <c r="BUZ49" s="30"/>
      <c r="BVA49" s="28"/>
      <c r="BVB49" s="29"/>
      <c r="BVC49" s="29"/>
      <c r="BVD49" s="29"/>
      <c r="BVE49" s="28"/>
      <c r="BVF49" s="29"/>
      <c r="BVG49" s="29"/>
      <c r="BVH49" s="29"/>
      <c r="BVI49" s="29"/>
      <c r="BVJ49" s="29"/>
      <c r="BVK49" s="28"/>
      <c r="BVL49" s="29"/>
      <c r="BVM49" s="29"/>
      <c r="BVN49" s="28"/>
      <c r="BVO49" s="29"/>
      <c r="BVP49" s="30"/>
      <c r="BVQ49" s="28"/>
      <c r="BVR49" s="29"/>
      <c r="BVS49" s="29"/>
      <c r="BVT49" s="29"/>
      <c r="BVU49" s="28"/>
      <c r="BVV49" s="29"/>
      <c r="BVW49" s="29"/>
      <c r="BVX49" s="28"/>
      <c r="BVY49" s="29"/>
      <c r="BVZ49" s="30"/>
      <c r="BWA49" s="28"/>
      <c r="BWB49" s="29"/>
      <c r="BWC49" s="29"/>
      <c r="BWD49" s="29"/>
      <c r="BWE49" s="28"/>
      <c r="BWF49" s="29"/>
      <c r="BWG49" s="29"/>
      <c r="BWH49" s="29"/>
      <c r="BWI49" s="29"/>
      <c r="BWJ49" s="29"/>
      <c r="BWK49" s="28"/>
      <c r="BWL49" s="29"/>
      <c r="BWM49" s="29"/>
      <c r="BWN49" s="28"/>
      <c r="BWO49" s="29"/>
      <c r="BWP49" s="30"/>
      <c r="BWQ49" s="28"/>
      <c r="BWR49" s="29"/>
      <c r="BWS49" s="29"/>
      <c r="BWT49" s="29"/>
      <c r="BWU49" s="28"/>
      <c r="BWV49" s="29"/>
      <c r="BWW49" s="29"/>
      <c r="BWX49" s="28"/>
      <c r="BWY49" s="29"/>
      <c r="BWZ49" s="30"/>
      <c r="BXA49" s="28"/>
      <c r="BXB49" s="29"/>
      <c r="BXC49" s="29"/>
      <c r="BXD49" s="29"/>
      <c r="BXE49" s="28"/>
      <c r="BXF49" s="29"/>
      <c r="BXG49" s="29"/>
      <c r="BXH49" s="29"/>
      <c r="BXI49" s="29"/>
      <c r="BXJ49" s="29"/>
      <c r="BXK49" s="28"/>
      <c r="BXL49" s="29"/>
      <c r="BXM49" s="29"/>
      <c r="BXN49" s="28"/>
      <c r="BXO49" s="29"/>
      <c r="BXP49" s="30"/>
      <c r="BXQ49" s="28"/>
      <c r="BXR49" s="29"/>
      <c r="BXS49" s="29"/>
      <c r="BXT49" s="29"/>
      <c r="BXU49" s="28"/>
      <c r="BXV49" s="29"/>
      <c r="BXW49" s="29"/>
      <c r="BXX49" s="28"/>
      <c r="BXY49" s="29"/>
      <c r="BXZ49" s="30"/>
      <c r="BYA49" s="28"/>
      <c r="BYB49" s="29"/>
      <c r="BYC49" s="29"/>
      <c r="BYD49" s="29"/>
      <c r="BYE49" s="28"/>
      <c r="BYF49" s="29"/>
      <c r="BYG49" s="29"/>
      <c r="BYH49" s="29"/>
      <c r="BYI49" s="29"/>
      <c r="BYJ49" s="29"/>
      <c r="BYK49" s="28"/>
      <c r="BYL49" s="29"/>
      <c r="BYM49" s="29"/>
      <c r="BYN49" s="28"/>
      <c r="BYO49" s="29"/>
      <c r="BYP49" s="30"/>
      <c r="BYQ49" s="28"/>
      <c r="BYR49" s="29"/>
      <c r="BYS49" s="29"/>
      <c r="BYT49" s="29"/>
      <c r="BYU49" s="28"/>
      <c r="BYV49" s="29"/>
      <c r="BYW49" s="29"/>
      <c r="BYX49" s="30"/>
      <c r="BYY49" s="29"/>
      <c r="BYZ49" s="28"/>
      <c r="BZA49" s="29"/>
      <c r="BZB49" s="28"/>
      <c r="BZC49" s="28"/>
      <c r="BZD49" s="28"/>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30"/>
      <c r="CAQ49" s="28"/>
      <c r="CAR49" s="29"/>
      <c r="CAS49" s="29"/>
      <c r="CAT49" s="29"/>
      <c r="CAU49" s="29"/>
      <c r="CAV49" s="29"/>
      <c r="CAW49" s="28"/>
      <c r="CAX49" s="29"/>
      <c r="CAY49" s="29"/>
      <c r="CAZ49" s="28"/>
      <c r="CBA49" s="29"/>
      <c r="CBB49" s="30"/>
      <c r="CBC49" s="28"/>
      <c r="CBD49" s="29"/>
      <c r="CBE49" s="29"/>
      <c r="CBF49" s="29"/>
      <c r="CBG49" s="28"/>
      <c r="CBH49" s="29"/>
      <c r="CBI49" s="29"/>
      <c r="CBJ49" s="28"/>
      <c r="CBK49" s="29"/>
      <c r="CBL49" s="30"/>
      <c r="CBM49" s="28"/>
      <c r="CBN49" s="29"/>
      <c r="CBO49" s="29"/>
      <c r="CBP49" s="29"/>
      <c r="CBQ49" s="28"/>
      <c r="CBR49" s="29"/>
      <c r="CBS49" s="29"/>
      <c r="CBT49" s="28"/>
      <c r="CBU49" s="29"/>
      <c r="CBV49" s="30"/>
      <c r="CBW49" s="28"/>
      <c r="CBX49" s="29"/>
      <c r="CBY49" s="29"/>
      <c r="CBZ49" s="29"/>
      <c r="CCA49" s="28"/>
      <c r="CCB49" s="29"/>
      <c r="CCC49" s="29"/>
      <c r="CCD49" s="28"/>
      <c r="CCE49" s="29"/>
      <c r="CCF49" s="30"/>
      <c r="CCG49" s="28"/>
      <c r="CCH49" s="30"/>
      <c r="CCI49" s="29"/>
      <c r="CCJ49" s="28"/>
      <c r="CCK49" s="29"/>
      <c r="CCL49" s="28"/>
      <c r="CCM49" s="28"/>
      <c r="CCN49" s="28"/>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30"/>
      <c r="CEA49" s="28"/>
      <c r="CEB49" s="29"/>
      <c r="CEC49" s="29"/>
      <c r="CED49" s="29"/>
      <c r="CEE49" s="29"/>
      <c r="CEF49" s="29"/>
      <c r="CEG49" s="28"/>
      <c r="CEH49" s="29"/>
      <c r="CEI49" s="29"/>
      <c r="CEJ49" s="28"/>
      <c r="CEK49" s="29"/>
      <c r="CEL49" s="30"/>
      <c r="CEM49" s="28"/>
      <c r="CEN49" s="29"/>
      <c r="CEO49" s="29"/>
      <c r="CEP49" s="29"/>
      <c r="CEQ49" s="28"/>
      <c r="CER49" s="29"/>
      <c r="CES49" s="29"/>
      <c r="CET49" s="28"/>
      <c r="CEU49" s="29"/>
      <c r="CEV49" s="30"/>
      <c r="CEW49" s="28"/>
      <c r="CEX49" s="29"/>
      <c r="CEY49" s="29"/>
      <c r="CEZ49" s="29"/>
      <c r="CFA49" s="28"/>
      <c r="CFB49" s="29"/>
      <c r="CFC49" s="29"/>
      <c r="CFD49" s="28"/>
      <c r="CFE49" s="29"/>
      <c r="CFF49" s="30"/>
      <c r="CFG49" s="28"/>
      <c r="CFH49" s="29"/>
      <c r="CFI49" s="29"/>
      <c r="CFJ49" s="29"/>
      <c r="CFK49" s="28"/>
      <c r="CFL49" s="29"/>
      <c r="CFM49" s="29"/>
      <c r="CFN49" s="28"/>
      <c r="CFO49" s="29"/>
      <c r="CFP49" s="30"/>
      <c r="CFQ49" s="28"/>
      <c r="CFR49" s="30"/>
      <c r="CFS49" s="29"/>
      <c r="CFT49" s="28"/>
      <c r="CFU49" s="29"/>
      <c r="CFV49" s="28"/>
      <c r="CFW49" s="28"/>
      <c r="CFX49" s="28"/>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30"/>
      <c r="CHK49" s="28"/>
      <c r="CHL49" s="29"/>
      <c r="CHM49" s="29"/>
      <c r="CHN49" s="29"/>
      <c r="CHO49" s="29"/>
      <c r="CHP49" s="29"/>
      <c r="CHQ49" s="28"/>
      <c r="CHR49" s="29"/>
      <c r="CHS49" s="29"/>
      <c r="CHT49" s="28"/>
      <c r="CHU49" s="29"/>
      <c r="CHV49" s="30"/>
      <c r="CHW49" s="28"/>
      <c r="CHX49" s="29"/>
      <c r="CHY49" s="29"/>
      <c r="CHZ49" s="29"/>
      <c r="CIA49" s="28"/>
      <c r="CIB49" s="29"/>
      <c r="CIC49" s="29"/>
      <c r="CID49" s="28"/>
      <c r="CIE49" s="29"/>
      <c r="CIF49" s="30"/>
      <c r="CIG49" s="28"/>
      <c r="CIH49" s="29"/>
      <c r="CII49" s="29"/>
      <c r="CIJ49" s="29"/>
      <c r="CIK49" s="28"/>
      <c r="CIL49" s="29"/>
      <c r="CIM49" s="29"/>
      <c r="CIN49" s="28"/>
      <c r="CIO49" s="29"/>
      <c r="CIP49" s="30"/>
      <c r="CIQ49" s="28"/>
      <c r="CIR49" s="29"/>
      <c r="CIS49" s="29"/>
      <c r="CIT49" s="29"/>
      <c r="CIU49" s="28"/>
      <c r="CIV49" s="29"/>
      <c r="CIW49" s="29"/>
      <c r="CIX49" s="28"/>
      <c r="CIY49" s="29"/>
      <c r="CIZ49" s="30"/>
      <c r="CJA49" s="28"/>
      <c r="CJB49" s="30"/>
      <c r="CJC49" s="29"/>
      <c r="CJD49" s="28"/>
      <c r="CJE49" s="29"/>
      <c r="CJF49" s="28"/>
      <c r="CJG49" s="28"/>
      <c r="CJH49" s="28"/>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30"/>
      <c r="CKU49" s="28"/>
      <c r="CKV49" s="29"/>
      <c r="CKW49" s="29"/>
      <c r="CKX49" s="29"/>
      <c r="CKY49" s="29"/>
      <c r="CKZ49" s="29"/>
      <c r="CLA49" s="28"/>
      <c r="CLB49" s="29"/>
      <c r="CLC49" s="29"/>
      <c r="CLD49" s="28"/>
      <c r="CLE49" s="29"/>
      <c r="CLF49" s="30"/>
      <c r="CLG49" s="28"/>
      <c r="CLH49" s="29"/>
      <c r="CLI49" s="29"/>
      <c r="CLJ49" s="29"/>
      <c r="CLK49" s="28"/>
      <c r="CLL49" s="29"/>
      <c r="CLM49" s="29"/>
      <c r="CLN49" s="28"/>
      <c r="CLO49" s="29"/>
      <c r="CLP49" s="30"/>
      <c r="CLQ49" s="28"/>
      <c r="CLR49" s="29"/>
      <c r="CLS49" s="29"/>
      <c r="CLT49" s="29"/>
      <c r="CLU49" s="28"/>
      <c r="CLV49" s="29"/>
      <c r="CLW49" s="29"/>
      <c r="CLX49" s="28"/>
      <c r="CLY49" s="29"/>
      <c r="CLZ49" s="30"/>
      <c r="CMA49" s="28"/>
      <c r="CMB49" s="29"/>
      <c r="CMC49" s="29"/>
      <c r="CMD49" s="29"/>
      <c r="CME49" s="28"/>
      <c r="CMF49" s="29"/>
      <c r="CMG49" s="29"/>
      <c r="CMH49" s="28"/>
      <c r="CMI49" s="29"/>
      <c r="CMJ49" s="30"/>
      <c r="CMK49" s="28"/>
      <c r="CML49" s="30"/>
      <c r="CMM49" s="29"/>
      <c r="CMN49" s="28"/>
      <c r="CMO49" s="29"/>
      <c r="CMP49" s="28"/>
      <c r="CMQ49" s="28"/>
      <c r="CMR49" s="28"/>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30"/>
      <c r="COE49" s="28"/>
      <c r="COF49" s="29"/>
      <c r="COG49" s="29"/>
      <c r="COH49" s="29"/>
      <c r="COI49" s="29"/>
      <c r="COJ49" s="29"/>
      <c r="COK49" s="28"/>
      <c r="COL49" s="29"/>
      <c r="COM49" s="29"/>
      <c r="CON49" s="28"/>
      <c r="COO49" s="29"/>
      <c r="COP49" s="30"/>
      <c r="COQ49" s="28"/>
      <c r="COR49" s="29"/>
      <c r="COS49" s="29"/>
      <c r="COT49" s="29"/>
      <c r="COU49" s="28"/>
      <c r="COV49" s="29"/>
      <c r="COW49" s="29"/>
      <c r="COX49" s="28"/>
      <c r="COY49" s="29"/>
      <c r="COZ49" s="30"/>
      <c r="CPA49" s="28"/>
      <c r="CPB49" s="29"/>
      <c r="CPC49" s="29"/>
      <c r="CPD49" s="29"/>
      <c r="CPE49" s="28"/>
      <c r="CPF49" s="29"/>
      <c r="CPG49" s="29"/>
      <c r="CPH49" s="28"/>
      <c r="CPI49" s="29"/>
      <c r="CPJ49" s="30"/>
      <c r="CPK49" s="28"/>
      <c r="CPL49" s="29"/>
      <c r="CPM49" s="29"/>
      <c r="CPN49" s="29"/>
      <c r="CPO49" s="28"/>
      <c r="CPP49" s="29"/>
      <c r="CPQ49" s="29"/>
      <c r="CPR49" s="28"/>
      <c r="CPS49" s="29"/>
      <c r="CPT49" s="30"/>
      <c r="CPU49" s="28"/>
      <c r="CPV49" s="30"/>
      <c r="CPW49" s="29"/>
      <c r="CPX49" s="28"/>
      <c r="CPY49" s="29"/>
      <c r="CPZ49" s="28"/>
      <c r="CQA49" s="28"/>
      <c r="CQB49" s="28"/>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30"/>
      <c r="CRO49" s="28"/>
      <c r="CRP49" s="29"/>
      <c r="CRQ49" s="29"/>
      <c r="CRR49" s="29"/>
      <c r="CRS49" s="29"/>
      <c r="CRT49" s="29"/>
      <c r="CRU49" s="28"/>
      <c r="CRV49" s="29"/>
      <c r="CRW49" s="29"/>
      <c r="CRX49" s="28"/>
      <c r="CRY49" s="29"/>
      <c r="CRZ49" s="30"/>
      <c r="CSA49" s="28"/>
      <c r="CSB49" s="29"/>
      <c r="CSC49" s="29"/>
      <c r="CSD49" s="29"/>
      <c r="CSE49" s="28"/>
      <c r="CSF49" s="29"/>
      <c r="CSG49" s="29"/>
      <c r="CSH49" s="28"/>
      <c r="CSI49" s="29"/>
      <c r="CSJ49" s="30"/>
      <c r="CSK49" s="28"/>
      <c r="CSL49" s="29"/>
      <c r="CSM49" s="29"/>
      <c r="CSN49" s="29"/>
      <c r="CSO49" s="28"/>
      <c r="CSP49" s="29"/>
      <c r="CSQ49" s="29"/>
      <c r="CSR49" s="28"/>
      <c r="CSS49" s="29"/>
      <c r="CST49" s="30"/>
      <c r="CSU49" s="28"/>
      <c r="CSV49" s="29"/>
      <c r="CSW49" s="29"/>
      <c r="CSX49" s="29"/>
      <c r="CSY49" s="28"/>
      <c r="CSZ49" s="29"/>
      <c r="CTA49" s="29"/>
      <c r="CTB49" s="28"/>
      <c r="CTC49" s="29"/>
      <c r="CTD49" s="30"/>
      <c r="CTE49" s="28"/>
      <c r="CTF49" s="30"/>
      <c r="CTG49" s="29"/>
      <c r="CTH49" s="28"/>
      <c r="CTI49" s="29"/>
      <c r="CTJ49" s="28"/>
      <c r="CTK49" s="28"/>
      <c r="CTL49" s="28"/>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30"/>
      <c r="CUY49" s="28"/>
      <c r="CUZ49" s="29"/>
      <c r="CVA49" s="29"/>
      <c r="CVB49" s="29"/>
      <c r="CVC49" s="29"/>
      <c r="CVD49" s="29"/>
      <c r="CVE49" s="28"/>
      <c r="CVF49" s="29"/>
      <c r="CVG49" s="29"/>
      <c r="CVH49" s="28"/>
      <c r="CVI49" s="29"/>
      <c r="CVJ49" s="30"/>
      <c r="CVK49" s="28"/>
      <c r="CVL49" s="29"/>
      <c r="CVM49" s="29"/>
      <c r="CVN49" s="29"/>
      <c r="CVO49" s="28"/>
      <c r="CVP49" s="29"/>
      <c r="CVQ49" s="29"/>
      <c r="CVR49" s="28"/>
      <c r="CVS49" s="29"/>
      <c r="CVT49" s="30"/>
      <c r="CVU49" s="28"/>
      <c r="CVV49" s="29"/>
      <c r="CVW49" s="29"/>
      <c r="CVX49" s="29"/>
      <c r="CVY49" s="28"/>
      <c r="CVZ49" s="29"/>
      <c r="CWA49" s="29"/>
      <c r="CWB49" s="28"/>
      <c r="CWC49" s="29"/>
      <c r="CWD49" s="30"/>
      <c r="CWE49" s="28"/>
      <c r="CWF49" s="29"/>
      <c r="CWG49" s="29"/>
      <c r="CWH49" s="29"/>
      <c r="CWI49" s="28"/>
      <c r="CWJ49" s="29"/>
      <c r="CWK49" s="29"/>
      <c r="CWL49" s="28"/>
      <c r="CWM49" s="29"/>
      <c r="CWN49" s="30"/>
      <c r="CWO49" s="28"/>
      <c r="CWP49" s="30"/>
      <c r="CWQ49" s="29"/>
      <c r="CWR49" s="28"/>
      <c r="CWS49" s="29"/>
      <c r="CWT49" s="28"/>
      <c r="CWU49" s="28"/>
      <c r="CWV49" s="28"/>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30"/>
      <c r="CYI49" s="28"/>
      <c r="CYJ49" s="29"/>
      <c r="CYK49" s="29"/>
      <c r="CYL49" s="29"/>
      <c r="CYM49" s="29"/>
      <c r="CYN49" s="29"/>
      <c r="CYO49" s="28"/>
      <c r="CYP49" s="29"/>
      <c r="CYQ49" s="29"/>
      <c r="CYR49" s="28"/>
      <c r="CYS49" s="29"/>
      <c r="CYT49" s="30"/>
      <c r="CYU49" s="28"/>
      <c r="CYV49" s="29"/>
      <c r="CYW49" s="29"/>
      <c r="CYX49" s="29"/>
      <c r="CYY49" s="28"/>
      <c r="CYZ49" s="29"/>
      <c r="CZA49" s="29"/>
      <c r="CZB49" s="28"/>
      <c r="CZC49" s="29"/>
      <c r="CZD49" s="30"/>
      <c r="CZE49" s="28"/>
      <c r="CZF49" s="29"/>
      <c r="CZG49" s="29"/>
      <c r="CZH49" s="29"/>
      <c r="CZI49" s="28"/>
      <c r="CZJ49" s="29"/>
      <c r="CZK49" s="29"/>
      <c r="CZL49" s="28"/>
      <c r="CZM49" s="29"/>
      <c r="CZN49" s="30"/>
      <c r="CZO49" s="28"/>
      <c r="CZP49" s="29"/>
      <c r="CZQ49" s="29"/>
      <c r="CZR49" s="29"/>
      <c r="CZS49" s="28"/>
      <c r="CZT49" s="29"/>
      <c r="CZU49" s="29"/>
      <c r="CZV49" s="28"/>
      <c r="CZW49" s="29"/>
      <c r="CZX49" s="30"/>
      <c r="CZY49" s="28"/>
      <c r="CZZ49" s="30"/>
      <c r="DAA49" s="29"/>
      <c r="DAB49" s="28"/>
      <c r="DAC49" s="29"/>
      <c r="DAD49" s="28"/>
      <c r="DAE49" s="28"/>
      <c r="DAF49" s="28"/>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30"/>
      <c r="DBS49" s="28"/>
      <c r="DBT49" s="29"/>
      <c r="DBU49" s="29"/>
      <c r="DBV49" s="29"/>
      <c r="DBW49" s="29"/>
      <c r="DBX49" s="29"/>
      <c r="DBY49" s="28"/>
      <c r="DBZ49" s="29"/>
      <c r="DCA49" s="29"/>
      <c r="DCB49" s="28"/>
      <c r="DCC49" s="29"/>
      <c r="DCD49" s="30"/>
      <c r="DCE49" s="28"/>
      <c r="DCF49" s="29"/>
      <c r="DCG49" s="29"/>
      <c r="DCH49" s="29"/>
      <c r="DCI49" s="28"/>
      <c r="DCJ49" s="29"/>
      <c r="DCK49" s="29"/>
      <c r="DCL49" s="28"/>
      <c r="DCM49" s="29"/>
      <c r="DCN49" s="30"/>
      <c r="DCO49" s="28"/>
      <c r="DCP49" s="29"/>
      <c r="DCQ49" s="29"/>
      <c r="DCR49" s="29"/>
      <c r="DCS49" s="28"/>
      <c r="DCT49" s="29"/>
      <c r="DCU49" s="29"/>
      <c r="DCV49" s="28"/>
      <c r="DCW49" s="29"/>
      <c r="DCX49" s="30"/>
      <c r="DCY49" s="28"/>
      <c r="DCZ49" s="29"/>
      <c r="DDA49" s="29"/>
      <c r="DDB49" s="29"/>
      <c r="DDC49" s="28"/>
      <c r="DDD49" s="29"/>
      <c r="DDE49" s="29"/>
      <c r="DDF49" s="28"/>
      <c r="DDG49" s="29"/>
      <c r="DDH49" s="30"/>
      <c r="DDI49" s="28"/>
      <c r="DDJ49" s="30"/>
      <c r="DDK49" s="29"/>
      <c r="DDL49" s="28"/>
      <c r="DDM49" s="29"/>
      <c r="DDN49" s="28"/>
      <c r="DDO49" s="28"/>
      <c r="DDP49" s="28"/>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30"/>
      <c r="DFC49" s="28"/>
      <c r="DFD49" s="29"/>
      <c r="DFE49" s="29"/>
      <c r="DFF49" s="29"/>
      <c r="DFG49" s="29"/>
      <c r="DFH49" s="29"/>
      <c r="DFI49" s="28"/>
      <c r="DFJ49" s="29"/>
      <c r="DFK49" s="29"/>
      <c r="DFL49" s="28"/>
      <c r="DFM49" s="29"/>
      <c r="DFN49" s="30"/>
      <c r="DFO49" s="28"/>
      <c r="DFP49" s="29"/>
      <c r="DFQ49" s="29"/>
      <c r="DFR49" s="29"/>
      <c r="DFS49" s="28"/>
      <c r="DFT49" s="29"/>
      <c r="DFU49" s="29"/>
      <c r="DFV49" s="28"/>
      <c r="DFW49" s="29"/>
      <c r="DFX49" s="30"/>
      <c r="DFY49" s="28"/>
      <c r="DFZ49" s="29"/>
      <c r="DGA49" s="29"/>
      <c r="DGB49" s="29"/>
      <c r="DGC49" s="28"/>
      <c r="DGD49" s="29"/>
      <c r="DGE49" s="29"/>
      <c r="DGF49" s="28"/>
      <c r="DGG49" s="29"/>
      <c r="DGH49" s="30"/>
      <c r="DGI49" s="28"/>
      <c r="DGJ49" s="29"/>
      <c r="DGK49" s="29"/>
      <c r="DGL49" s="29"/>
      <c r="DGM49" s="28"/>
      <c r="DGN49" s="29"/>
      <c r="DGO49" s="29"/>
      <c r="DGP49" s="28"/>
      <c r="DGQ49" s="29"/>
      <c r="DGR49" s="30"/>
      <c r="DGS49" s="28"/>
      <c r="DGT49" s="30"/>
      <c r="DGU49" s="29"/>
      <c r="DGV49" s="28"/>
      <c r="DGW49" s="29"/>
      <c r="DGX49" s="28"/>
      <c r="DGY49" s="28"/>
      <c r="DGZ49" s="28"/>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30"/>
      <c r="DIM49" s="28"/>
      <c r="DIN49" s="29"/>
      <c r="DIO49" s="29"/>
      <c r="DIP49" s="29"/>
      <c r="DIQ49" s="29"/>
      <c r="DIR49" s="29"/>
      <c r="DIS49" s="28"/>
      <c r="DIT49" s="29"/>
      <c r="DIU49" s="29"/>
      <c r="DIV49" s="28"/>
      <c r="DIW49" s="29"/>
      <c r="DIX49" s="30"/>
      <c r="DIY49" s="28"/>
      <c r="DIZ49" s="29"/>
      <c r="DJA49" s="29"/>
      <c r="DJB49" s="29"/>
      <c r="DJC49" s="28"/>
      <c r="DJD49" s="29"/>
      <c r="DJE49" s="29"/>
      <c r="DJF49" s="28"/>
      <c r="DJG49" s="29"/>
      <c r="DJH49" s="30"/>
      <c r="DJI49" s="28"/>
      <c r="DJJ49" s="29"/>
      <c r="DJK49" s="29"/>
      <c r="DJL49" s="29"/>
      <c r="DJM49" s="28"/>
      <c r="DJN49" s="29"/>
      <c r="DJO49" s="29"/>
      <c r="DJP49" s="28"/>
      <c r="DJQ49" s="29"/>
      <c r="DJR49" s="30"/>
      <c r="DJS49" s="28"/>
      <c r="DJT49" s="29"/>
      <c r="DJU49" s="29"/>
      <c r="DJV49" s="29"/>
      <c r="DJW49" s="28"/>
      <c r="DJX49" s="29"/>
      <c r="DJY49" s="29"/>
      <c r="DJZ49" s="28"/>
      <c r="DKA49" s="29"/>
      <c r="DKB49" s="30"/>
      <c r="DKC49" s="28"/>
      <c r="DKD49" s="30"/>
      <c r="DKE49" s="29"/>
      <c r="DKF49" s="28"/>
      <c r="DKG49" s="29"/>
      <c r="DKH49" s="28"/>
      <c r="DKI49" s="28"/>
      <c r="DKJ49" s="28"/>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30"/>
      <c r="DLW49" s="28"/>
      <c r="DLX49" s="29"/>
      <c r="DLY49" s="29"/>
      <c r="DLZ49" s="29"/>
      <c r="DMA49" s="29"/>
      <c r="DMB49" s="29"/>
      <c r="DMC49" s="28"/>
      <c r="DMD49" s="29"/>
      <c r="DME49" s="29"/>
      <c r="DMF49" s="28"/>
      <c r="DMG49" s="29"/>
      <c r="DMH49" s="30"/>
      <c r="DMI49" s="28"/>
      <c r="DMJ49" s="29"/>
      <c r="DMK49" s="29"/>
      <c r="DML49" s="29"/>
      <c r="DMM49" s="28"/>
      <c r="DMN49" s="29"/>
      <c r="DMO49" s="29"/>
      <c r="DMP49" s="28"/>
      <c r="DMQ49" s="29"/>
      <c r="DMR49" s="30"/>
      <c r="DMS49" s="28"/>
      <c r="DMT49" s="29"/>
      <c r="DMU49" s="29"/>
      <c r="DMV49" s="29"/>
      <c r="DMW49" s="28"/>
      <c r="DMX49" s="29"/>
      <c r="DMY49" s="29"/>
      <c r="DMZ49" s="28"/>
      <c r="DNA49" s="29"/>
      <c r="DNB49" s="30"/>
      <c r="DNC49" s="28"/>
      <c r="DND49" s="29"/>
      <c r="DNE49" s="29"/>
      <c r="DNF49" s="29"/>
      <c r="DNG49" s="28"/>
      <c r="DNH49" s="29"/>
      <c r="DNI49" s="29"/>
      <c r="DNJ49" s="28"/>
      <c r="DNK49" s="29"/>
      <c r="DNL49" s="30"/>
      <c r="DNM49" s="28"/>
      <c r="DNN49" s="30"/>
      <c r="DNO49" s="29"/>
      <c r="DNP49" s="28"/>
      <c r="DNQ49" s="29"/>
      <c r="DNR49" s="28"/>
      <c r="DNS49" s="28"/>
      <c r="DNT49" s="28"/>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30"/>
      <c r="DPG49" s="28"/>
      <c r="DPH49" s="29"/>
      <c r="DPI49" s="29"/>
      <c r="DPJ49" s="29"/>
      <c r="DPK49" s="29"/>
      <c r="DPL49" s="29"/>
      <c r="DPM49" s="28"/>
      <c r="DPN49" s="29"/>
      <c r="DPO49" s="29"/>
      <c r="DPP49" s="28"/>
      <c r="DPQ49" s="29"/>
      <c r="DPR49" s="30"/>
      <c r="DPS49" s="28"/>
      <c r="DPT49" s="29"/>
      <c r="DPU49" s="29"/>
      <c r="DPV49" s="29"/>
      <c r="DPW49" s="28"/>
      <c r="DPX49" s="29"/>
      <c r="DPY49" s="29"/>
      <c r="DPZ49" s="28"/>
      <c r="DQA49" s="29"/>
      <c r="DQB49" s="30"/>
      <c r="DQC49" s="28"/>
      <c r="DQD49" s="29"/>
      <c r="DQE49" s="29"/>
      <c r="DQF49" s="29"/>
      <c r="DQG49" s="28"/>
      <c r="DQH49" s="29"/>
      <c r="DQI49" s="29"/>
      <c r="DQJ49" s="28"/>
      <c r="DQK49" s="29"/>
      <c r="DQL49" s="30"/>
      <c r="DQM49" s="28"/>
      <c r="DQN49" s="29"/>
      <c r="DQO49" s="29"/>
      <c r="DQP49" s="29"/>
      <c r="DQQ49" s="28"/>
      <c r="DQR49" s="29"/>
      <c r="DQS49" s="29"/>
      <c r="DQT49" s="28"/>
      <c r="DQU49" s="29"/>
      <c r="DQV49" s="30"/>
      <c r="DQW49" s="28"/>
      <c r="DQX49" s="30"/>
      <c r="DQY49" s="29"/>
      <c r="DQZ49" s="28"/>
      <c r="DRA49" s="29"/>
      <c r="DRB49" s="28"/>
      <c r="DRC49" s="28"/>
      <c r="DRD49" s="28"/>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30"/>
      <c r="DSQ49" s="28"/>
      <c r="DSR49" s="29"/>
      <c r="DSS49" s="29"/>
      <c r="DST49" s="29"/>
      <c r="DSU49" s="29"/>
      <c r="DSV49" s="29"/>
      <c r="DSW49" s="28"/>
      <c r="DSX49" s="29"/>
      <c r="DSY49" s="29"/>
      <c r="DSZ49" s="28"/>
      <c r="DTA49" s="29"/>
      <c r="DTB49" s="30"/>
      <c r="DTC49" s="28"/>
      <c r="DTD49" s="29"/>
      <c r="DTE49" s="29"/>
      <c r="DTF49" s="29"/>
      <c r="DTG49" s="28"/>
      <c r="DTH49" s="29"/>
      <c r="DTI49" s="29"/>
      <c r="DTJ49" s="28"/>
      <c r="DTK49" s="29"/>
      <c r="DTL49" s="30"/>
      <c r="DTM49" s="28"/>
      <c r="DTN49" s="29"/>
      <c r="DTO49" s="29"/>
      <c r="DTP49" s="29"/>
      <c r="DTQ49" s="28"/>
      <c r="DTR49" s="29"/>
      <c r="DTS49" s="29"/>
      <c r="DTT49" s="28"/>
      <c r="DTU49" s="29"/>
      <c r="DTV49" s="30"/>
      <c r="DTW49" s="28"/>
      <c r="DTX49" s="29"/>
      <c r="DTY49" s="29"/>
      <c r="DTZ49" s="29"/>
      <c r="DUA49" s="28"/>
      <c r="DUB49" s="29"/>
      <c r="DUC49" s="29"/>
      <c r="DUD49" s="28"/>
      <c r="DUE49" s="29"/>
      <c r="DUF49" s="30"/>
      <c r="DUG49" s="28"/>
      <c r="DUH49" s="30"/>
      <c r="DUI49" s="29"/>
      <c r="DUJ49" s="28"/>
      <c r="DUK49" s="29"/>
      <c r="DUL49" s="28"/>
      <c r="DUM49" s="28"/>
      <c r="DUN49" s="28"/>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30"/>
      <c r="DWA49" s="28"/>
      <c r="DWB49" s="29"/>
      <c r="DWC49" s="29"/>
      <c r="DWD49" s="29"/>
      <c r="DWE49" s="29"/>
      <c r="DWF49" s="29"/>
      <c r="DWG49" s="28"/>
      <c r="DWH49" s="29"/>
      <c r="DWI49" s="29"/>
      <c r="DWJ49" s="28"/>
      <c r="DWK49" s="29"/>
      <c r="DWL49" s="30"/>
      <c r="DWM49" s="28"/>
      <c r="DWN49" s="29"/>
      <c r="DWO49" s="29"/>
      <c r="DWP49" s="29"/>
      <c r="DWQ49" s="28"/>
      <c r="DWR49" s="29"/>
      <c r="DWS49" s="29"/>
      <c r="DWT49" s="28"/>
      <c r="DWU49" s="29"/>
      <c r="DWV49" s="30"/>
      <c r="DWW49" s="28"/>
      <c r="DWX49" s="29"/>
      <c r="DWY49" s="29"/>
      <c r="DWZ49" s="29"/>
      <c r="DXA49" s="28"/>
      <c r="DXB49" s="29"/>
      <c r="DXC49" s="29"/>
      <c r="DXD49" s="28"/>
      <c r="DXE49" s="29"/>
      <c r="DXF49" s="30"/>
      <c r="DXG49" s="28"/>
      <c r="DXH49" s="29"/>
      <c r="DXI49" s="29"/>
      <c r="DXJ49" s="29"/>
      <c r="DXK49" s="28"/>
      <c r="DXL49" s="29"/>
      <c r="DXM49" s="29"/>
      <c r="DXN49" s="28"/>
      <c r="DXO49" s="29"/>
      <c r="DXP49" s="30"/>
      <c r="DXQ49" s="28"/>
      <c r="DXR49" s="30"/>
      <c r="DXS49" s="29"/>
      <c r="DXT49" s="28"/>
      <c r="DXU49" s="29"/>
      <c r="DXV49" s="28"/>
      <c r="DXW49" s="28"/>
      <c r="DXX49" s="28"/>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30"/>
      <c r="DZK49" s="28"/>
      <c r="DZL49" s="29"/>
      <c r="DZM49" s="29"/>
      <c r="DZN49" s="29"/>
      <c r="DZO49" s="29"/>
      <c r="DZP49" s="29"/>
      <c r="DZQ49" s="28"/>
      <c r="DZR49" s="29"/>
      <c r="DZS49" s="29"/>
      <c r="DZT49" s="28"/>
      <c r="DZU49" s="29"/>
      <c r="DZV49" s="30"/>
      <c r="DZW49" s="28"/>
      <c r="DZX49" s="29"/>
      <c r="DZY49" s="29"/>
      <c r="DZZ49" s="29"/>
      <c r="EAA49" s="28"/>
      <c r="EAB49" s="29"/>
      <c r="EAC49" s="29"/>
      <c r="EAD49" s="28"/>
      <c r="EAE49" s="29"/>
      <c r="EAF49" s="30"/>
      <c r="EAG49" s="28"/>
      <c r="EAH49" s="29"/>
      <c r="EAI49" s="29"/>
      <c r="EAJ49" s="29"/>
      <c r="EAK49" s="28"/>
      <c r="EAL49" s="29"/>
      <c r="EAM49" s="29"/>
      <c r="EAN49" s="28"/>
      <c r="EAO49" s="29"/>
      <c r="EAP49" s="30"/>
      <c r="EAQ49" s="28"/>
      <c r="EAR49" s="29"/>
      <c r="EAS49" s="29"/>
      <c r="EAT49" s="29"/>
      <c r="EAU49" s="28"/>
      <c r="EAV49" s="29"/>
      <c r="EAW49" s="29"/>
      <c r="EAX49" s="28"/>
      <c r="EAY49" s="29"/>
      <c r="EAZ49" s="30"/>
      <c r="EBA49" s="28"/>
      <c r="EBB49" s="30"/>
      <c r="EBC49" s="29"/>
      <c r="EBD49" s="28"/>
      <c r="EBE49" s="29"/>
      <c r="EBF49" s="28"/>
      <c r="EBG49" s="28"/>
      <c r="EBH49" s="28"/>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30"/>
      <c r="ECU49" s="28"/>
      <c r="ECV49" s="29"/>
      <c r="ECW49" s="29"/>
      <c r="ECX49" s="29"/>
      <c r="ECY49" s="29"/>
      <c r="ECZ49" s="29"/>
      <c r="EDA49" s="28"/>
      <c r="EDB49" s="29"/>
      <c r="EDC49" s="29"/>
      <c r="EDD49" s="28"/>
      <c r="EDE49" s="29"/>
      <c r="EDF49" s="30"/>
      <c r="EDG49" s="28"/>
      <c r="EDH49" s="29"/>
      <c r="EDI49" s="29"/>
      <c r="EDJ49" s="29"/>
      <c r="EDK49" s="28"/>
      <c r="EDL49" s="29"/>
      <c r="EDM49" s="29"/>
      <c r="EDN49" s="28"/>
      <c r="EDO49" s="29"/>
      <c r="EDP49" s="30"/>
      <c r="EDQ49" s="28"/>
      <c r="EDR49" s="29"/>
      <c r="EDS49" s="29"/>
      <c r="EDT49" s="29"/>
      <c r="EDU49" s="28"/>
      <c r="EDV49" s="29"/>
      <c r="EDW49" s="29"/>
      <c r="EDX49" s="28"/>
      <c r="EDY49" s="29"/>
      <c r="EDZ49" s="30"/>
      <c r="EEA49" s="28"/>
      <c r="EEB49" s="29"/>
      <c r="EEC49" s="29"/>
      <c r="EED49" s="29"/>
      <c r="EEE49" s="28"/>
      <c r="EEF49" s="29"/>
      <c r="EEG49" s="29"/>
      <c r="EEH49" s="28"/>
      <c r="EEI49" s="29"/>
      <c r="EEJ49" s="30"/>
      <c r="EEK49" s="28"/>
      <c r="EEL49" s="30"/>
      <c r="EEM49" s="29"/>
      <c r="EEN49" s="28"/>
      <c r="EEO49" s="29"/>
      <c r="EEP49" s="28"/>
      <c r="EEQ49" s="28"/>
      <c r="EER49" s="28"/>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30"/>
      <c r="EGE49" s="28"/>
      <c r="EGF49" s="29"/>
      <c r="EGG49" s="29"/>
      <c r="EGH49" s="29"/>
      <c r="EGI49" s="29"/>
      <c r="EGJ49" s="29"/>
      <c r="EGK49" s="28"/>
      <c r="EGL49" s="29"/>
      <c r="EGM49" s="29"/>
      <c r="EGN49" s="28"/>
      <c r="EGO49" s="29"/>
      <c r="EGP49" s="30"/>
      <c r="EGQ49" s="28"/>
      <c r="EGR49" s="29"/>
      <c r="EGS49" s="29"/>
      <c r="EGT49" s="29"/>
      <c r="EGU49" s="28"/>
      <c r="EGV49" s="29"/>
      <c r="EGW49" s="29"/>
      <c r="EGX49" s="28"/>
      <c r="EGY49" s="29"/>
      <c r="EGZ49" s="30"/>
      <c r="EHA49" s="28"/>
      <c r="EHB49" s="29"/>
      <c r="EHC49" s="29"/>
      <c r="EHD49" s="29"/>
      <c r="EHE49" s="28"/>
      <c r="EHF49" s="29"/>
      <c r="EHG49" s="29"/>
      <c r="EHH49" s="28"/>
      <c r="EHI49" s="29"/>
      <c r="EHJ49" s="30"/>
      <c r="EHK49" s="28"/>
      <c r="EHL49" s="29"/>
      <c r="EHM49" s="29"/>
      <c r="EHN49" s="29"/>
      <c r="EHO49" s="28"/>
      <c r="EHP49" s="29"/>
      <c r="EHQ49" s="29"/>
      <c r="EHR49" s="28"/>
      <c r="EHS49" s="29"/>
      <c r="EHT49" s="30"/>
      <c r="EHU49" s="28"/>
      <c r="EHV49" s="30"/>
      <c r="EHW49" s="29"/>
      <c r="EHX49" s="28"/>
      <c r="EHY49" s="29"/>
      <c r="EHZ49" s="28"/>
      <c r="EIA49" s="28"/>
      <c r="EIB49" s="28"/>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30"/>
      <c r="EJO49" s="28"/>
      <c r="EJP49" s="29"/>
      <c r="EJQ49" s="29"/>
      <c r="EJR49" s="29"/>
      <c r="EJS49" s="29"/>
      <c r="EJT49" s="29"/>
      <c r="EJU49" s="28"/>
      <c r="EJV49" s="29"/>
      <c r="EJW49" s="29"/>
      <c r="EJX49" s="28"/>
      <c r="EJY49" s="29"/>
      <c r="EJZ49" s="30"/>
      <c r="EKA49" s="28"/>
      <c r="EKB49" s="29"/>
      <c r="EKC49" s="29"/>
      <c r="EKD49" s="29"/>
      <c r="EKE49" s="28"/>
      <c r="EKF49" s="29"/>
      <c r="EKG49" s="29"/>
      <c r="EKH49" s="28"/>
      <c r="EKI49" s="29"/>
      <c r="EKJ49" s="30"/>
      <c r="EKK49" s="28"/>
      <c r="EKL49" s="29"/>
      <c r="EKM49" s="29"/>
      <c r="EKN49" s="29"/>
      <c r="EKO49" s="28"/>
      <c r="EKP49" s="29"/>
      <c r="EKQ49" s="29"/>
      <c r="EKR49" s="28"/>
      <c r="EKS49" s="29"/>
      <c r="EKT49" s="30"/>
      <c r="EKU49" s="28"/>
      <c r="EKV49" s="29"/>
      <c r="EKW49" s="29"/>
      <c r="EKX49" s="29"/>
      <c r="EKY49" s="28"/>
      <c r="EKZ49" s="29"/>
      <c r="ELA49" s="29"/>
      <c r="ELB49" s="28"/>
      <c r="ELC49" s="29"/>
      <c r="ELD49" s="30"/>
      <c r="ELE49" s="28"/>
      <c r="ELF49" s="30"/>
      <c r="ELG49" s="29"/>
      <c r="ELH49" s="28"/>
      <c r="ELI49" s="29"/>
      <c r="ELJ49" s="28"/>
      <c r="ELK49" s="28"/>
      <c r="ELL49" s="28"/>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30"/>
      <c r="EMY49" s="28"/>
      <c r="EMZ49" s="29"/>
      <c r="ENA49" s="29"/>
      <c r="ENB49" s="29"/>
      <c r="ENC49" s="29"/>
      <c r="END49" s="29"/>
      <c r="ENE49" s="28"/>
      <c r="ENF49" s="29"/>
      <c r="ENG49" s="29"/>
      <c r="ENH49" s="28"/>
      <c r="ENI49" s="29"/>
      <c r="ENJ49" s="30"/>
      <c r="ENK49" s="28"/>
      <c r="ENL49" s="29"/>
      <c r="ENM49" s="29"/>
      <c r="ENN49" s="29"/>
      <c r="ENO49" s="28"/>
      <c r="ENP49" s="29"/>
      <c r="ENQ49" s="29"/>
      <c r="ENR49" s="28"/>
      <c r="ENS49" s="29"/>
      <c r="ENT49" s="30"/>
      <c r="ENU49" s="28"/>
      <c r="ENV49" s="29"/>
      <c r="ENW49" s="29"/>
      <c r="ENX49" s="29"/>
      <c r="ENY49" s="28"/>
      <c r="ENZ49" s="29"/>
      <c r="EOA49" s="29"/>
      <c r="EOB49" s="28"/>
      <c r="EOC49" s="29"/>
      <c r="EOD49" s="30"/>
      <c r="EOE49" s="28"/>
      <c r="EOF49" s="29"/>
      <c r="EOG49" s="29"/>
      <c r="EOH49" s="29"/>
      <c r="EOI49" s="28"/>
      <c r="EOJ49" s="29"/>
      <c r="EOK49" s="29"/>
      <c r="EOL49" s="28"/>
      <c r="EOM49" s="29"/>
      <c r="EON49" s="30"/>
      <c r="EOO49" s="28"/>
      <c r="EOP49" s="30"/>
      <c r="EOQ49" s="29"/>
      <c r="EOR49" s="28"/>
      <c r="EOS49" s="29"/>
      <c r="EOT49" s="28"/>
      <c r="EOU49" s="28"/>
      <c r="EOV49" s="28"/>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30"/>
      <c r="EQI49" s="28"/>
      <c r="EQJ49" s="29"/>
      <c r="EQK49" s="29"/>
      <c r="EQL49" s="29"/>
      <c r="EQM49" s="29"/>
      <c r="EQN49" s="29"/>
      <c r="EQO49" s="28"/>
      <c r="EQP49" s="29"/>
      <c r="EQQ49" s="29"/>
      <c r="EQR49" s="28"/>
      <c r="EQS49" s="29"/>
      <c r="EQT49" s="30"/>
      <c r="EQU49" s="28"/>
      <c r="EQV49" s="29"/>
      <c r="EQW49" s="29"/>
      <c r="EQX49" s="29"/>
      <c r="EQY49" s="28"/>
      <c r="EQZ49" s="29"/>
      <c r="ERA49" s="29"/>
      <c r="ERB49" s="28"/>
      <c r="ERC49" s="29"/>
      <c r="ERD49" s="30"/>
      <c r="ERE49" s="28"/>
      <c r="ERF49" s="29"/>
      <c r="ERG49" s="29"/>
      <c r="ERH49" s="29"/>
      <c r="ERI49" s="28"/>
      <c r="ERJ49" s="29"/>
      <c r="ERK49" s="29"/>
      <c r="ERL49" s="28"/>
      <c r="ERM49" s="29"/>
      <c r="ERN49" s="30"/>
      <c r="ERO49" s="28"/>
      <c r="ERP49" s="29"/>
      <c r="ERQ49" s="29"/>
      <c r="ERR49" s="29"/>
      <c r="ERS49" s="28"/>
      <c r="ERT49" s="29"/>
      <c r="ERU49" s="29"/>
      <c r="ERV49" s="28"/>
      <c r="ERW49" s="29"/>
      <c r="ERX49" s="30"/>
      <c r="ERY49" s="28"/>
      <c r="ERZ49" s="30"/>
      <c r="ESA49" s="29"/>
      <c r="ESB49" s="28"/>
      <c r="ESC49" s="29"/>
      <c r="ESD49" s="28"/>
      <c r="ESE49" s="28"/>
      <c r="ESF49" s="28"/>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30"/>
      <c r="ETS49" s="28"/>
      <c r="ETT49" s="29"/>
      <c r="ETU49" s="29"/>
      <c r="ETV49" s="29"/>
      <c r="ETW49" s="29"/>
      <c r="ETX49" s="29"/>
      <c r="ETY49" s="28"/>
      <c r="ETZ49" s="29"/>
      <c r="EUA49" s="29"/>
      <c r="EUB49" s="28"/>
      <c r="EUC49" s="29"/>
      <c r="EUD49" s="30"/>
      <c r="EUE49" s="28"/>
      <c r="EUF49" s="29"/>
      <c r="EUG49" s="29"/>
      <c r="EUH49" s="29"/>
      <c r="EUI49" s="28"/>
      <c r="EUJ49" s="29"/>
      <c r="EUK49" s="29"/>
      <c r="EUL49" s="28"/>
      <c r="EUM49" s="29"/>
      <c r="EUN49" s="30"/>
      <c r="EUO49" s="28"/>
      <c r="EUP49" s="29"/>
      <c r="EUQ49" s="29"/>
      <c r="EUR49" s="29"/>
      <c r="EUS49" s="28"/>
      <c r="EUT49" s="29"/>
      <c r="EUU49" s="29"/>
      <c r="EUV49" s="28"/>
      <c r="EUW49" s="29"/>
      <c r="EUX49" s="30"/>
      <c r="EUY49" s="28"/>
      <c r="EUZ49" s="29"/>
      <c r="EVA49" s="29"/>
      <c r="EVB49" s="29"/>
      <c r="EVC49" s="28"/>
      <c r="EVD49" s="29"/>
      <c r="EVE49" s="29"/>
      <c r="EVF49" s="28"/>
      <c r="EVG49" s="29"/>
      <c r="EVH49" s="30"/>
      <c r="EVI49" s="28"/>
    </row>
    <row r="50" spans="1:3961" x14ac:dyDescent="0.3">
      <c r="B50" s="1">
        <f>COUNTIF(B3:B49,"*")</f>
        <v>43</v>
      </c>
      <c r="F50" s="1"/>
      <c r="G50" s="1"/>
      <c r="H50" s="1"/>
      <c r="AT50" s="1">
        <f>COUNTIF(AT3:AT49,"*")</f>
        <v>39</v>
      </c>
      <c r="CL50" s="1">
        <f>COUNTIF(CL3:CL49,"*")</f>
        <v>34</v>
      </c>
      <c r="ED50" s="1">
        <f>COUNTIF(ED3:ED49,"*")</f>
        <v>31</v>
      </c>
      <c r="FV50" s="1">
        <f>COUNTIF(FV3:FV49,"*")</f>
        <v>29</v>
      </c>
      <c r="HN50" s="1">
        <f>COUNTIF(HN3:HN49,"*")</f>
        <v>25</v>
      </c>
      <c r="JF50" s="1">
        <f>COUNTIF(JF3:JF49,"*")</f>
        <v>25</v>
      </c>
      <c r="KX50" s="1">
        <f>COUNTIF(KX3:KX49,"*")</f>
        <v>23</v>
      </c>
      <c r="MP50" s="1">
        <f>COUNTIF(MP3:MP49,"*")</f>
        <v>20</v>
      </c>
      <c r="OH50" s="1">
        <f>COUNTIF(OH3:OH49,"*")</f>
        <v>18</v>
      </c>
      <c r="PZ50" s="1">
        <f>COUNTIF(PZ3:PZ49,"*")</f>
        <v>15</v>
      </c>
      <c r="RR50" s="1">
        <f>COUNTIF(RR3:RR49,"*")</f>
        <v>14</v>
      </c>
      <c r="TJ50" s="1">
        <f>COUNTIF(TJ3:TJ49,"*")</f>
        <v>14</v>
      </c>
      <c r="VB50" s="1">
        <f>COUNTIF(VB3:VB49,"*")</f>
        <v>13</v>
      </c>
      <c r="WT50" s="1">
        <f>COUNTIF(WT3:WT49,"*")</f>
        <v>12</v>
      </c>
      <c r="YL50" s="1">
        <f>COUNTIF(YL3:YL49,"*")</f>
        <v>9</v>
      </c>
      <c r="AAD50" s="1">
        <f>COUNTIF(AAD3:AAD49,"*")</f>
        <v>9</v>
      </c>
      <c r="ABV50" s="1">
        <f>COUNTIF(ABV3:ABV49,"*")</f>
        <v>9</v>
      </c>
      <c r="ADN50" s="1">
        <f>COUNTIF(ADN3:ADN49,"*")</f>
        <v>8</v>
      </c>
      <c r="AFF50" s="1">
        <f>COUNTIF(AFF3:AFF49,"*")</f>
        <v>8</v>
      </c>
      <c r="AGX50" s="1">
        <f>COUNTIF(AGX3:AGX49,"*")</f>
        <v>7</v>
      </c>
      <c r="AIP50" s="1">
        <f>COUNTIF(AIP3:AIP49,"*")</f>
        <v>7</v>
      </c>
      <c r="AKH50" s="1">
        <f>COUNTIF(AKH3:AKH49,"*")</f>
        <v>7</v>
      </c>
      <c r="ALZ50" s="1">
        <f>COUNTIF(ALZ3:ALZ49,"*")</f>
        <v>7</v>
      </c>
      <c r="ANR50" s="1">
        <f>COUNTIF(ANR3:ANR49,"*")</f>
        <v>7</v>
      </c>
      <c r="APJ50" s="1">
        <f>COUNTIF(APJ3:APJ49,"*")</f>
        <v>6</v>
      </c>
      <c r="ARB50" s="1">
        <f>COUNTIF(ARB3:ARB49,"*")</f>
        <v>6</v>
      </c>
      <c r="AST50" s="1">
        <f>COUNTIF(AST3:AST49,"*")</f>
        <v>6</v>
      </c>
      <c r="AUL50" s="1">
        <f>COUNTIF(AUL3:AUL49,"*")</f>
        <v>6</v>
      </c>
      <c r="AWD50" s="1">
        <f>COUNTIF(AWD3:AWD49,"*")</f>
        <v>5</v>
      </c>
      <c r="AXV50" s="1">
        <f>COUNTIF(AXV3:AXV49,"*")</f>
        <v>5</v>
      </c>
      <c r="AZN50" s="1">
        <f>COUNTIF(AZN3:AZN49,"*")</f>
        <v>4</v>
      </c>
      <c r="BBF50" s="1">
        <f>COUNTIF(BBF3:BBF49,"*")</f>
        <v>4</v>
      </c>
      <c r="BCX50" s="1">
        <f>COUNTIF(BCX3:BCX49,"*")</f>
        <v>3</v>
      </c>
      <c r="BEP50" s="1">
        <f>COUNTIF(BEP3:BEP49,"*")</f>
        <v>3</v>
      </c>
      <c r="BGH50" s="1">
        <f>COUNTIF(BGH3:BGH49,"*")</f>
        <v>3</v>
      </c>
      <c r="BHZ50" s="1">
        <f>COUNTIF(BHZ3:BHZ49,"*")</f>
        <v>3</v>
      </c>
      <c r="BJR50" s="1">
        <f>COUNTIF(BJR3:BJR49,"*")</f>
        <v>3</v>
      </c>
      <c r="BLJ50" s="1">
        <f>COUNTIF(BLJ3:BLJ49,"*")</f>
        <v>3</v>
      </c>
      <c r="BNB50" s="1">
        <f>COUNTIF(BNB3:BNB49,"*")</f>
        <v>3</v>
      </c>
      <c r="BOT50" s="1">
        <f>COUNTIF(BOT3:BOT49,"*")</f>
        <v>3</v>
      </c>
      <c r="BQL50" s="1">
        <f>COUNTIF(BQL3:BQL49,"*")</f>
        <v>3</v>
      </c>
      <c r="BSD50" s="1">
        <f>COUNTIF(BSD3:BSD49,"*")</f>
        <v>3</v>
      </c>
      <c r="BTV50" s="1">
        <f>COUNTIF(BTV3:BTV49,"*")</f>
        <v>3</v>
      </c>
      <c r="BVN50" s="1">
        <f>COUNTIF(BVN3:BVN49,"*")</f>
        <v>3</v>
      </c>
      <c r="BXF50" s="1">
        <f>COUNTIF(BXF3:BXF49,"*")</f>
        <v>2</v>
      </c>
      <c r="BYX50" s="1">
        <f>COUNTIF(BYX3:BYX49,"*")</f>
        <v>2</v>
      </c>
      <c r="CAP50" s="1">
        <f>COUNTIF(CAP3:CAP49,"*")</f>
        <v>2</v>
      </c>
      <c r="CCH50" s="1">
        <f>COUNTIF(CCH3:CCH49,"*")</f>
        <v>2</v>
      </c>
      <c r="CDZ50" s="1">
        <f>COUNTIF(CDZ3:CDZ49,"*")</f>
        <v>2</v>
      </c>
      <c r="CFR50" s="1">
        <f>COUNTIF(CFR3:CFR49,"*")</f>
        <v>2</v>
      </c>
      <c r="CHJ50" s="1">
        <f>COUNTIF(CHJ3:CHJ49,"*")</f>
        <v>2</v>
      </c>
      <c r="CJB50" s="1">
        <f>COUNTIF(CJB3:CJB49,"*")</f>
        <v>2</v>
      </c>
      <c r="CKT50" s="1">
        <f>COUNTIF(CKT3:CKT49,"*")</f>
        <v>2</v>
      </c>
      <c r="CML50" s="1">
        <f>COUNTIF(CML3:CML49,"*")</f>
        <v>2</v>
      </c>
      <c r="COD50" s="1">
        <f>COUNTIF(COD3:COD49,"*")</f>
        <v>2</v>
      </c>
      <c r="CPV50" s="1">
        <f>COUNTIF(CPV3:CPV49,"*")</f>
        <v>2</v>
      </c>
      <c r="CRN50" s="1">
        <f>COUNTIF(CRN3:CRN49,"*")</f>
        <v>2</v>
      </c>
      <c r="CTF50" s="1">
        <f>COUNTIF(CTF3:CTF49,"*")</f>
        <v>2</v>
      </c>
      <c r="CUX50" s="1">
        <f>COUNTIF(CUX3:CUX49,"*")</f>
        <v>2</v>
      </c>
      <c r="CWP50" s="1">
        <f>COUNTIF(CWP3:CWP49,"*")</f>
        <v>1</v>
      </c>
      <c r="CYH50" s="1">
        <f>COUNTIF(CYH3:CYH49,"*")</f>
        <v>1</v>
      </c>
      <c r="CZZ50" s="1">
        <f>COUNTIF(CZZ3:CZZ49,"*")</f>
        <v>1</v>
      </c>
      <c r="DBR50" s="1">
        <f>COUNTIF(DBR3:DBR49,"*")</f>
        <v>1</v>
      </c>
      <c r="DDJ50" s="1">
        <f>COUNTIF(DDJ3:DDJ49,"*")</f>
        <v>1</v>
      </c>
      <c r="DFB50" s="1">
        <f>COUNTIF(DFB3:DFB49,"*")</f>
        <v>1</v>
      </c>
      <c r="DGT50" s="1">
        <f>COUNTIF(DGT3:DGT49,"*")</f>
        <v>1</v>
      </c>
      <c r="DIL50" s="1">
        <f>COUNTIF(DIL3:DIL49,"*")</f>
        <v>1</v>
      </c>
      <c r="DKD50" s="1">
        <f>COUNTIF(DKD3:DKD49,"*")</f>
        <v>1</v>
      </c>
      <c r="DLV50" s="1">
        <f>COUNTIF(DLV3:DLV49,"*")</f>
        <v>1</v>
      </c>
      <c r="DNN50" s="1">
        <f>COUNTIF(DNN3:DNN49,"*")</f>
        <v>1</v>
      </c>
      <c r="DPF50" s="1">
        <f>COUNTIF(DPF3:DPF49,"*")</f>
        <v>1</v>
      </c>
      <c r="DQX50" s="1">
        <f>COUNTIF(DQX3:DQX49,"*")</f>
        <v>1</v>
      </c>
      <c r="DSP50" s="1">
        <f>COUNTIF(DSP3:DSP49,"*")</f>
        <v>1</v>
      </c>
      <c r="DUH50" s="1">
        <f>COUNTIF(DUH3:DUH49,"*")</f>
        <v>1</v>
      </c>
      <c r="DVZ50" s="1">
        <f>COUNTIF(DVZ3:DVZ49,"*")</f>
        <v>1</v>
      </c>
      <c r="DXR50" s="1">
        <f>COUNTIF(DXR3:DXR49,"*")</f>
        <v>1</v>
      </c>
      <c r="DZJ50" s="1">
        <f>COUNTIF(DZJ3:DZJ49,"*")</f>
        <v>1</v>
      </c>
      <c r="EBB50" s="1">
        <f>COUNTIF(EBB3:EBB49,"*")</f>
        <v>1</v>
      </c>
      <c r="ECT50" s="1">
        <f>COUNTIF(ECT3:ECT49,"*")</f>
        <v>1</v>
      </c>
      <c r="EEL50" s="1">
        <f>COUNTIF(EEL3:EEL49,"*")</f>
        <v>1</v>
      </c>
      <c r="EGD50" s="1">
        <f>COUNTIF(EGD3:EGD49,"*")</f>
        <v>0</v>
      </c>
      <c r="EHV50" s="1">
        <f>COUNTIF(EHV3:EHV49,"*")</f>
        <v>0</v>
      </c>
      <c r="EJN50" s="1">
        <f>COUNTIF(EJN3:EJN49,"*")</f>
        <v>0</v>
      </c>
      <c r="ELF50" s="1">
        <f>COUNTIF(ELF3:ELF49,"*")</f>
        <v>0</v>
      </c>
      <c r="EMX50" s="1">
        <f>COUNTIF(EMX3:EMX49,"*")</f>
        <v>0</v>
      </c>
      <c r="EOP50" s="1">
        <f>COUNTIF(EOP3:EOP49,"*")</f>
        <v>0</v>
      </c>
      <c r="EQH50" s="1">
        <f>COUNTIF(EQH3:EQH49,"*")</f>
        <v>0</v>
      </c>
      <c r="ERZ50" s="1">
        <f>COUNTIF(ERZ3:ERZ49,"*")</f>
        <v>0</v>
      </c>
      <c r="ETR50" s="1">
        <f>COUNTIF(ETR3:ETR49,"*")</f>
        <v>0</v>
      </c>
    </row>
    <row r="52" spans="1:3961" s="1" customFormat="1" x14ac:dyDescent="0.3">
      <c r="B52" s="1">
        <v>1</v>
      </c>
      <c r="D52" s="2"/>
      <c r="F52" s="2"/>
      <c r="G52" s="2"/>
      <c r="H52" s="2"/>
      <c r="J52" s="2"/>
      <c r="K52" s="2"/>
      <c r="AT52" s="1">
        <v>2</v>
      </c>
      <c r="CL52" s="1">
        <v>3</v>
      </c>
      <c r="ED52" s="1">
        <v>4</v>
      </c>
      <c r="FV52" s="1">
        <v>5</v>
      </c>
      <c r="HN52" s="1">
        <v>6</v>
      </c>
      <c r="JF52" s="1">
        <v>7</v>
      </c>
      <c r="KX52" s="1">
        <v>8</v>
      </c>
      <c r="MP52" s="1">
        <v>9</v>
      </c>
      <c r="OH52" s="1">
        <v>10</v>
      </c>
      <c r="PZ52" s="1">
        <v>11</v>
      </c>
      <c r="RR52" s="1">
        <v>12</v>
      </c>
      <c r="TJ52" s="1">
        <v>13</v>
      </c>
      <c r="VB52" s="1">
        <v>14</v>
      </c>
      <c r="WT52" s="1">
        <v>15</v>
      </c>
      <c r="YL52" s="1">
        <v>16</v>
      </c>
      <c r="AAD52" s="1">
        <v>17</v>
      </c>
      <c r="ABV52" s="1">
        <v>18</v>
      </c>
      <c r="ADN52" s="1">
        <v>19</v>
      </c>
      <c r="AFF52" s="1">
        <v>20</v>
      </c>
      <c r="AGX52" s="1">
        <v>21</v>
      </c>
      <c r="AIP52" s="1">
        <v>22</v>
      </c>
      <c r="AKH52" s="1">
        <v>23</v>
      </c>
      <c r="ALZ52" s="1">
        <v>24</v>
      </c>
      <c r="ANR52" s="1">
        <v>25</v>
      </c>
      <c r="APJ52" s="1">
        <v>26</v>
      </c>
      <c r="ARB52" s="1">
        <v>27</v>
      </c>
      <c r="AST52" s="1">
        <v>28</v>
      </c>
      <c r="AUL52" s="1">
        <v>29</v>
      </c>
      <c r="AWD52" s="1">
        <v>30</v>
      </c>
      <c r="AXV52" s="1">
        <v>31</v>
      </c>
      <c r="AZN52" s="1">
        <v>32</v>
      </c>
      <c r="BBF52" s="1">
        <v>33</v>
      </c>
      <c r="BCX52" s="1">
        <v>34</v>
      </c>
      <c r="BEP52" s="1">
        <v>35</v>
      </c>
      <c r="BGH52" s="1">
        <v>36</v>
      </c>
      <c r="BHZ52" s="1">
        <v>37</v>
      </c>
      <c r="BJR52" s="1">
        <v>38</v>
      </c>
      <c r="BLJ52" s="1">
        <v>39</v>
      </c>
      <c r="BNB52" s="1">
        <v>40</v>
      </c>
      <c r="BOT52" s="1">
        <v>41</v>
      </c>
      <c r="BQL52" s="1">
        <v>42</v>
      </c>
      <c r="BSD52" s="1">
        <v>43</v>
      </c>
      <c r="BTV52" s="1">
        <v>44</v>
      </c>
      <c r="BVN52" s="1">
        <v>45</v>
      </c>
      <c r="BXF52" s="1">
        <v>46</v>
      </c>
      <c r="BYX52" s="1">
        <v>47</v>
      </c>
      <c r="CAP52" s="1">
        <v>48</v>
      </c>
      <c r="CCH52" s="1">
        <v>49</v>
      </c>
      <c r="CDZ52" s="1">
        <v>50</v>
      </c>
      <c r="CFR52" s="1">
        <v>51</v>
      </c>
      <c r="CHJ52" s="1">
        <v>52</v>
      </c>
      <c r="CJB52" s="1">
        <v>53</v>
      </c>
      <c r="CKT52" s="1">
        <v>54</v>
      </c>
      <c r="CML52" s="1">
        <v>55</v>
      </c>
      <c r="COD52" s="1">
        <v>56</v>
      </c>
      <c r="CPV52" s="1">
        <v>57</v>
      </c>
      <c r="CRN52" s="1">
        <v>58</v>
      </c>
      <c r="CTF52" s="1">
        <v>59</v>
      </c>
      <c r="CUX52" s="1">
        <v>60</v>
      </c>
      <c r="CWP52" s="1">
        <v>61</v>
      </c>
      <c r="CYH52" s="1">
        <v>62</v>
      </c>
      <c r="CZZ52" s="1">
        <v>63</v>
      </c>
      <c r="DBR52" s="1">
        <v>64</v>
      </c>
      <c r="DDJ52" s="1">
        <v>65</v>
      </c>
      <c r="DFB52" s="1">
        <v>66</v>
      </c>
      <c r="DGT52" s="1">
        <v>67</v>
      </c>
      <c r="DIL52" s="1">
        <v>68</v>
      </c>
      <c r="DKD52" s="1">
        <v>69</v>
      </c>
      <c r="DLV52" s="1">
        <v>70</v>
      </c>
      <c r="DNN52" s="1">
        <v>71</v>
      </c>
      <c r="DPF52" s="1">
        <v>72</v>
      </c>
      <c r="DQX52" s="1">
        <v>73</v>
      </c>
      <c r="DSP52" s="1">
        <v>74</v>
      </c>
      <c r="DUH52" s="1">
        <v>75</v>
      </c>
      <c r="DVZ52" s="1">
        <v>76</v>
      </c>
      <c r="DXR52" s="1">
        <v>77</v>
      </c>
      <c r="DZJ52" s="1">
        <v>78</v>
      </c>
      <c r="EBB52" s="1">
        <v>79</v>
      </c>
      <c r="ECT52" s="1">
        <v>80</v>
      </c>
      <c r="EEL52" s="1">
        <v>81</v>
      </c>
      <c r="EGD52" s="1">
        <v>82</v>
      </c>
      <c r="EHV52" s="1">
        <v>83</v>
      </c>
      <c r="EJN52" s="1">
        <v>84</v>
      </c>
      <c r="ELF52" s="1">
        <v>85</v>
      </c>
      <c r="EMX52" s="1">
        <v>86</v>
      </c>
      <c r="EOP52" s="1">
        <v>87</v>
      </c>
      <c r="EQH52" s="1">
        <v>88</v>
      </c>
      <c r="ERZ52" s="1">
        <v>89</v>
      </c>
      <c r="ETR52" s="1">
        <v>90</v>
      </c>
    </row>
    <row r="54" spans="1:3961" x14ac:dyDescent="0.3">
      <c r="B54" s="411">
        <f>SUM(B50,AT50,CL50,ED50,FV50,HN50,JF50,KX50,MP50,OH50,PZ50,RR50,TJ50,VB50,WT50,YL50,AAD50,ABV50,ADN50,AFF50,AGX50,AIP50,AKH50,ALZ50,ANR50,APJ50,ARB50,AST50,AUL50,AWD50,AXV50,AZN50,BBF50,BCX50,BEP50,BGH50,BHZ50,BJR50,BLJ50,BNB50,BOT50,BQL50,BSD50,BTV50,BVN50,BXF50,BYX50,CAP50,CCH50,CDZ50,CFR50,CHJ50,CJB50,CKT50,CML50,COD50,CPV50,CRN50,CTF50,CUX50,CWP50,CYH50,CZZ50,DBR50,DDJ50,DFB50,DGT50,DIL50,DKD50,DLV50,DNN50,DPF50,DQX50,DSP50,DUH50,DVZ50,DXR50,DZJ50,EBB50,ECT50,EEL50,EGD50,EHV50,EJN50,ELF50,EMX50)</f>
        <v>562</v>
      </c>
    </row>
    <row r="55" spans="1:3961" x14ac:dyDescent="0.3">
      <c r="A55" s="411">
        <f>SUM(B50:EOO50)</f>
        <v>562</v>
      </c>
      <c r="B55" s="412" t="s">
        <v>1365</v>
      </c>
    </row>
  </sheetData>
  <sheetProtection algorithmName="SHA-512" hashValue="et3hyB3l/284TduowI7juYxhhugNw4SCkId1zdsSv7bCZRIIt5o6dWUBypgUtOLb45Y9F1+i+0KSpIAhzLJMMQ==" saltValue="mrOTtdRp7ivvwUyzZJJnVg==" spinCount="100000" sheet="1" objects="1" scenarios="1"/>
  <autoFilter ref="A2:EVI50" xr:uid="{4CD05148-0CEB-4B1A-A64F-8FE3E9FF2530}"/>
  <dataValidations count="76">
    <dataValidation type="list" allowBlank="1" showInputMessage="1" showErrorMessage="1" sqref="BNA48 BZI3:BZI49 BZK3:BZR49 BZT3:CAO47 BYB48:BYU48 CCQ3:CCQ49 CCS3:CCS49 CCU3:CDB49 CDD3:CDY47 CBL48:CCE48 CGA3:CGA49 CGC3:CGC49 CGE3:CGL49 CGN3:CHI47 CEV48:CFO48 CJK3:CJK49 CJM3:CJM49 CJO3:CJV49 CJX3:CKS47 CIF48:CIY48 CMU3:CMU49 CMW3:CMW49 CMY3:CNF49 CNH3:COC47 CLP48:CMI48 CQE3:CQE49 CQG3:CQG49 CQI3:CQP49 CQR3:CRM47 COZ48:CPS48 CTO3:CTO49 CTQ3:CTQ49 CTS3:CTZ49 CUB3:CUW47 CSJ48:CTC48 CWY3:CWY49 CXA3:CXA49 CXC3:CXJ49 CXL3:CYG47 CVT48:CWM48 DAI3:DAI49 DAK3:DAK49 DAM3:DAT49 DAV3:DBQ47 CZD48:CZW48 DDQ3:DDQ49 DDS3:DDS49 DDU3:DDU49 DDW3:DED49 DEF3:DFA49 DHA3:DHA49 DHC3:DHC49 DHE3:DHE49 DHG3:DHN49 DHP3:DIK49 DKK3:DKK49 DKM3:DKM49 DKO3:DKO49 DKQ3:DKX49 DKZ3:DLU49 DNU3:DNU49 DNW3:DNW49 DNY3:DNY49 DOA3:DOH49 DOJ3:DPE49 DRE3:DRE49 DRG3:DRG49 DRI3:DRI49 DRK3:DRR49 DRT3:DSO49 DUO3:DUO49 DUQ3:DUQ49 DUS3:DUS49 DUU3:DVB49 DVD3:DVY49 DXY3:DXY49 DYA3:DYA49 DYC3:DYC49 DYE3:DYL49 DYN3:DZI49 EBI3:EBI49 EBK3:EBK49 EBM3:EBM49 EBO3:EBV49 EBX3:ECS49 EES3:EES49 EEU3:EEU49 EEW3:EEW49 EEY3:EFF49 EFH3:EGC49 EIC3:EIC49 EIE3:EIE49 EIG3:EIG49 EII3:EIP49 EIR3:EJM49 ELM3:ELM49 ELO3:ELO49 ELQ3:ELQ49 ELS3:ELZ49 EMB3:EMW49 BA48 BC48 BE48 GR48:HK48 BH48:BN48 CS48 CU48 CW48 CY48:DF48 CK48 EK48 EM48 EO48 EZ48:FU48 GC48 GE48 ER48:EX48 GI48:GP48 HU48 HW48 HY48 IA48:IH48 DH48:EA48 BLQ48 BP48:CI48 IJ48:JC48 JE48 JO48 JQ48 JS48:JZ48 KB48:KU48 KW48 LI48 LK48:LR48 LT48:MM48 MO48 LE48 APU48 QK48 AAM48 QV48:RO48 QG48 NA48 NC48:NJ48 NL48:OE48 AVH48:AWA48 MW48 OS48 OU48:PB48 PD48:PW48 AUY48:AVF48 OO48 AOF48:AOL48 ATP48:AUI48 AWC48 AUS48 AUU48 TU48 TW48:UD48 UF48:UY48 TQ48 TS48 AOA48 SC48 SE48:SL48 QN48:QT48 RY48 AMG48 VM48 VO48:VV48 VX48:WQ48 VI48 ALY48 XE48 XG48:XN48 XP48:YI48 XA48 AJL48:AKE48 YW48 YY48:ZF48 ZH48:AAA48 YS48 ACE48 ACG48 ACI48:ACP48 ACR48:ADK48 ADM48 ADY48 SN48:TG48 AEJ48:AFC48 AFE48 ADU48 AFS48:AFZ48 AGB48:AGU48 AGW48 AFM48 AFO48 AHT48:AIM48 AIO48 AHE48 AHG48 AHI48 AKG48 AIW48 AIY48 AJA48 AHL48:AHR48 AKO48 AKQ48 AKS48 AKU48:ALB48 ALD48:ALW48 AMI48 AMK48 AJD48:AJJ48 AMV48:ANO48 ANQ48 AOC48 AMN48:AMT48 AON48:APG48 API48 ANY48 APW48:AQD48 AQF48:AQY48 ARA48 APQ48 APS48 ARX48:ASQ48 ASS48 ARI48 ARK48 ARM48 AUK48 ATA48 ATC48 ATE48 ATG48:ATN48 AWQ48:AWX48 AXU48 AWK48 AWM48 AWO48 BBE48 AZU48 AZW48 AZY48 BAJ48:BBC48 BCW48 BBM48 BBO48 BBQ48 BCB48:BCU48 BDO48:BDR48 BDE48 BDG48 BDI48 BDT48:BEM48 BGG48 BEW48 BEY48 BFA48 BFL48:BGE48 BHY48 BGO48 BGQ48 BGS48 BHD48:BHW48 BJQ48 BIG48 BGV48:BGW48 BIK48 BIV48:BJO48 BLS48 BLU48 BMF48:BMY48 JM48 LG48 QI48 MY48 OQ48 AUW48 SA48 VK48 XC48 YU48 ACC48 ADW48 AFQ48 AEB48:AEH48 AAO48 AAQ48:AAX48 AAZ48:ABS48 AAK48 ARP48:ARV48 AWZ48:AXS48 DCN48:DDG48 AZM48 AYC48 AYE48 AYG48 AYR48:AZK48 AYJ48:AYP48 BBS48:BBZ48 BAB48:BAH48 BFC48:BFJ48 BDK48:BDM48 BIM48:BIT48 BII48 BKF48:BKL48 BJY48 BKA48 BKC48 BKN48:BLG48 BLW48:BMD48 BNO48:BNV48 BOS48 BNI48 BNK48 BNM48 BNX48:BOQ48 BPG48:BPN48 BQK48 BPA48 BPC48 BPE48 BPP48:BQI48 BQY48:BRF48 BSC48 BQS48 BQU48 BQW48 BRH48:BSA48 BSQ48:BSX48 BTU48 BSK48 BSM48 BSO48 BSZ48:BTS48 BUI48:BUP48 BVM48 BUC48 BUE48 BUG48 BUR48:BVK48 BWA48:BWH48 BXE48 BVU48 BVW48 BVY48 BWJ48:BXC48 BXS48:BXZ48 BYW48 BXM48 BXO48 BXQ48 BGY48:BHB48 CAO48 BZT48:CAM48 CBC48:CBJ48 CCG48 CAW48 CAY48 CBA48 CCO3:CCO49 CDY48 CDD48:CDW48 CEM48:CET48 CFQ48 CEG48 CEI48 CEK48 CFY3:CFY49 CHI48 CGN48:CHG48 CHW48:CID48 CJA48 CHQ48 CHS48 CHU48 CJI3:CJI49 CKS48 CJX48:CKQ48 CLG48:CLN48 CMK48 CLA48 CLC48 CLE48 CMS3:CMS49 COC48 CNH48:COA48 COQ48:COX48 CPU48 COK48 COM48 COO48 CQC3:CQC49 CRM48 CQR48:CRK48 CSA48:CSH48 CTE48 CRU48 CRW48 CRY48 CTM3:CTM49 CUW48 CUB48:CUU48 CVK48:CVR48 CWO48 CVE48 CVG48 CVI48 CWW3:CWW49 CYG48 CXL48:CYE48 CYU48:CZB48 CZY48 CYO48 CYQ48 CYS48 DAG3:DAG49 DBQ48 DAV48:DBO48 DCE48:DCL48 DDI48 DBY48 DCA48 DCC48 BZE3:BZE49 BZG3:BZG49 BGY20:BHB20 BNA20 BYB20:BYU20 BA18:BA20 BC18:BC20 BE18:BE20 GR20:HK20 CS20 CU20 CW20 CY20:DF20 CK18:CK20 EK20 EM20 EO20 EZ20:FU20 GC20 GE20 ER20:EX20 GI20:GP20 HU20 HW20 HY20 IA20:IH20 DH20:EA20 BLQ20 IJ20:JC20 JE20 JO20 JQ20 JS20:JZ20 KB20:KU20 KW20 LI20 LK20:LR20 LT20:MM20 MO20 LE20 APU20 QK20 AAM20 QV20:RO20 QG20 NA20 NC20:NJ20 NL20:OE20 AVH20:AWA20 MW20 OS20 OU20:PB20 PD20:PW20 AUY20:AVF20 OO20 AOF20:AOL20 ATP20:AUI20 AWC20 AUS20 AUU20 TU20 TW20:UD20 UF20:UY20 TQ20 TS20 AOA20 SC20 SE20:SL20 QN20:QT20 RY20 AMG20 VM20 VO20:VV20 VX20:WQ20 VI20 ALY20 XE20 XG20:XN20 XP20:YI20 XA20 AJL20:AKE20 YW20 YY20:ZF20 ZH20:AAA20 YS20 ACE20 ACG20 ACI20:ACP20 ACR20:ADK20 ADM20 ADY20 SN20:TG20 AEJ20:AFC20 AFE20 ADU20 AFS20:AFZ20 AGB20:AGU20 AGW20 AFM20 AFO20 AHT20:AIM20 AIO20 AHE20 AHG20 AHI20 AKG20 AIW20 AIY20 AJA20 AHL20:AHR20 AKO20 AKQ20 AKS20 AKU20:ALB20 ALD20:ALW20 AMI20 AMK20 AJD20:AJJ20 AMV20:ANO20 ANQ20 AOC20 AMN20:AMT20 AON20:APG20 API20 ANY20 APW20:AQD20 AQF20:AQY20 ARA20 APQ20 APS20 ARX20:ASQ20 ASS20 ARI20 ARK20 ARM20 AUK20 ATA20 ATC20 ATE20 ATG20:ATN20 AWQ20:AWX20 AXU20 AWK20 AWM20 AWO20 BBE20 AZU20 AZW20 AZY20 BAJ20:BBC20 BCW20 BBM20 BBO20 BBQ20 BCB20:BCU20 BDO20:BDR20 BDE20 BDG20 BDI20 BDT20:BEM20 BGG20 BEW20 BEY20 BFA20 BFL20:BGE20 BHY20 BGO20 BGQ20 BGS20 BHD20:BHW20 BJQ20 BIG20 BGV20:BGW20 BIK20 BIV20:BJO20 BLS20 BLU20 BMF20:BMY20 JM20 LG20 QI20 MY20 OQ20 AUW20 SA20 VK20 XC20 YU20 ACC20 ADW20 AFQ20 AEB20:AEH20 AAO20 AAQ20:AAX20 AAZ20:ABS20 AAK20 ARP20:ARV20 AWZ20:AXS20 AZM20 AYC20 AYE20 AYG20 AYR20:AZK20 AYJ20:AYP20 BBS20:BBZ20 BAB20:BAH20 BFC20:BFJ20 BDK20:BDM20 BIM20:BIT20 BII20 BKF20:BKL20 BJY20 BKA20 BKC20 BKN20:BLG20 BLW20:BMD20 BNO20:BNV20 BOS20 BNI20 BNK20 BNM20 BNX20:BOQ20 BPG20:BPN20 BQK20 BPA20 BPC20 BPE20 BPP20:BQI20 BQY20:BRF20 BSC20 BQS20 BQU20 BQW20 BRH20:BSA20 BSQ20:BSX20 BTU20 BSK20 BSM20 BSO20 BSZ20:BTS20 BUI20:BUP20 BVM20 BUC20 BUE20 BUG20 BUR20:BVK20 BWA20:BWH20 BXE20 BVU20 BVW20 BVY20 BWJ20:BXC20 BXS20:BXZ20 BYW20 BXM20 BXO20 BXQ20 CY5:DF5 UF3:VA4 BC3:BC5 BA3:BA5 DH3:EC5 CW3:CW5 CU3:CU5 CS3:CS5 BP3:CK3 CK4 EO3:EO5 EM3:EM5 EK3:EK5 EQ3:EX5 CY3:DF3 GG3:GG5 GE3:GE5 GC3:GC5 GI3:GP5 EZ3:FU5 HY3:HY5 HW3:HW5 HU3:HU5 IA3:IH5 GR3:HM5 JQ3:JQ4 JO3:JO4 JM3:JM4 JS3:JZ4 IJ3:JE5 LI3:LI4 LG3:LG4 LE3:LE4 LK3:LR4 KB3:KW4 NA3:NA4 MY3:MY4 MW3:MW4 NC3:NJ4 LT3:MO4 OS3:OS4 OQ3:OQ4 OO3:OO4 OU3:PB4 NL3:OG4 QK3:QK4 QI3:QI4 QG3:QG4 QM3:QT4 PD3:PY4 SC3:SC4 SA3:SA4 RY3:RY4 SE3:SL4 QV3:RQ4 TU3:TU4 TS3:TS4 TQ3:TQ4 SN3:TI4 BP4:CI4 CZ4:DF4 TW3:UD4 BE3:BE5 VX3:WS3 VM3 VK3 VI3 VO3:VV3 BP5:CK5 BG3:BN5 SF7:SL7 BG7:BN7 BA7 BC7 BE7 BP7:CK7 CY7:DF7 CS7 CU7 CW7 SC7 EQ7:EX7 EK7 EM7 EO7 EC7 HM7 GC7 GE7 GG7 FU7 JE7 AUU7 AUW7 AVH7:AWC7 VM7 IE7:IH7 HU7 HW7 HY7 KB7:KW7 MO7 JM7 JO7 JQ7 YU7 LO7:LR7 LE7 LG7 LI7 ND7:NJ7 ACE7 MW7 MY7 NA7 OV7:PB7 QM7:QT7 OO7 OQ7 OS7 QV7:RQ7 ADY7 QG7 QI7 QK7 SN7:TI7 TW7:UD7 TQ7 TS7 TU7 GJ7:GP7 VO7:VV7 GR7:HK7 UF7:UY7 VA7 VX7:WS7 JT7:JZ7 IB7:IC7 XG7:XI7 XK7:XN7 XP7:YK7 YY7:ZF7 XE7 XA7 XC7 ZH7:AAC7 AAQ7:AAX7 NL7:OE7 AAZ7:ABS7 ABU7 OG7 ACI7:ACP7 AAO7 ACR7:ADK7 ADM7 AAK7 AEA7:AEH7 ACC7 PD7:PW7 PY7 AEJ7:AFE7 AFS7:AFZ7 AFM7 AFO7 AFQ7 AGB7:AGW7 AHK7:AHR7 AHE7 AHG7 AHI7 AHT7:AIO7 AJC7:AJJ7 AIW7 AIY7 AJA7 AJL7:AKG7 AKU7:ALB7 AKO7 AKQ7 AKS7 ALD7:ALY7 AMM7:AMT7 AMG7 AMI7 AMK7 AMV7:ANQ7 AOE7:AOL7 ANY7 AOA7 AOC7 AON7:API7 APW7:AQD7 APQ7 APS7 APU7 AQF7:ARA7 ARO7:ARV7 ARI7 ARK7 ARM7 ARX7:ASS7 ATG7:ATN7 ATA7 ATC7 ATE7 ATP7:AUK7 AUY7:AVF7 AUS7 RY7 SA7 DH7:EA7 EZ7:FS7 VI7 VK7 IJ7:JC7 YW7 YS7 LT7:MM7 LK7:LM7 AAM7 ACG7 ADW7 ADU7 O19 O14:O17 AR19 BG19 BP18:CI20 BH18:BN20 AR14:AR17 X3:AS12 O3:V13 HM14 BG14:BN14 BP14:CK14 BA14 BE14 BC14 JO14 DH14:EC14 CS14 CW14 CU14 EQ14:EX14 CZ14:DF14 EK14 EO14 EM14 GI14:GP14 FU14 GC14 GG14 GE14 IA14:IH14 IJ14:JE14 HU14 HY14 HW14 JS14:JZ14 KB14:KW14 JM14 JQ14 EZ14:FS14 GR14:HK14 O21:O23 AR21:AR23 GG24 BC24 BE24 BA24 BH24:BN24 CK24 BP24:CI24 CU24 CW24 CS24 CZ24:DF24 EC24 DH24:EA24 EM24 EO24 EK24 ER24:EX24 FU24 EZ24:FS24 ND24:NJ24 OG24 NL24:OE24 GJ24:GP24 HM24 GR24:HK24 HW24 HY24 HU24 IB24:IH24 GC24 IJ24:JC24 JO24 JQ24 JM24 JT24:JZ24 KW24 KB24:KU24 LG24 LI24 LE24 LL24:LR24 MO24 LT24:MM24 MY24 NA24 MW24 GE24 AR25 VK26 O25 GR26:HK26 HM26 GJ26:GP26 EK26 EO26 EM26 DH26:EA26 EC26 CZ26:DF26 R14:R25 BH26:BI26 BK26:BN26 BP26:CI26 CK26 BA26 BE26 BC26 EZ26:FS26 FU26 ER26:EX26 CS26 CW26 CU26 IJ26:JC26 JE26 IB26:IH26 GC26 GG26 GE26 KB26:KU26 KW26 JO26 HU26 HY26 HW26 LT26:MM26 MO26 LL26:LR26 LE26 LI26 LG26 NL26:OE26 OG26 ND26:NJ26 MW26 NA26 MY26 PD26:PW26 PY26 OV26:PB26 OO26 OS26 OQ26 QV26:RO26 RQ26 QN26:QT26 QG26 QK26 QI26 SN26:TG26 TI26 SF26:SL26 RY26 SC26 SA26 UF26:UY26 VA26 TX26:UD26 TQ26 TU26 TS26 VX26:WQ26 WS26 VP26:VV26 VI26 VM26 JU26:JZ26 JM26 JQ26 O45:O49 BH31:BN31 BE30:BE31 BC30:BC31 BP30:CI31 BA30:BA31 AR27 O27 R27 SI28:SL28 BP28:CI28 CK28 BA28 BE28 BC28 BH28:BI28 BK28:BN28 DH28:EA28 EC28 CS28 CW28 CU28 CZ28:DA28 DC28:DF28 EZ28:FS28 FU28 EK28 EO28 EM28 ER28:ES28 EU28:EX28 GR28:HK28 HM28 GC28 GG28 GE28 GJ28:GK28 GM28:GP28 IJ28:JC28 JE28 HU28 HY28 HW28 IB28:IC28 IE28:IH28 KB28:KU28 KW28 JM28 JQ28 JO28 JT28:JU28 JW28:JZ28 LT28:MM28 MO28 LE28 LI28 LG28 LL28:LM28 LO28:LR28 NL28:OE28 OG28 MW28 NA28 MY28 ND28:NE28 NG28:NJ28 PD28:PW28 PY28 OO28 OS28 OQ28 OV28:OW28 OY28:PB28 QV28:RO28 RQ28 QG28 QK28 QI28 QN28:QO28 QQ28:QT28 SN28:TG28 TI28 RY28 SC28 SA28 SF28:SG28 AR32:AR34 MW35 BG35:BN35 AIW35 AKG35 AJL35:AKE35 CK35 BP35:CI35 CY35:DF35 CU35 CW35 CS35 EC35 DH35:EA35 EQ35:EX35 BE35 BC35 BA35 FU35 EZ35:FS35 GI35:GP35 EK35 GG35 GC35 HM35 GR35:HK35 HW35 EM35 EO35 GE35 JE35 IJ35:JC35 JS35:JZ35 HY35 HU35 IB35:IH35 KW35 KB35:KU35 LK35:LR35 JO35 JQ35 JM35 MO35 LT35:MM35 NC35:NJ35 LG35 LI35 LE35 OG35 NL35:OE35 OU35:PB35 OQ35 OS35 OO35 PY35 PD35:PW35 QM35:QT35 QI35 QK35 QG35 RQ35 QV35:RO35 SE35:SL35 SA35 SC35 RY35 TI35 SN35:TG35 TW35:UD35 TS35 TU35 TQ35 VA35 UF35:UY35 VO35:VV35 VK35 VM35 VI35 WS35 VX35:WQ35 XG35:XN35 XC35 XE35 XA35 YK35 XP35:YI35 YY35:ZF35 YU35 YW35 YS35 AAC35 ZH35:AAA35 AAQ35:AAX35 AAM35 AAO35 AAK35 ABU35 AAZ35:ABS35 ACI35:ACP35 ACE35 ACG35 ACC35 ADM35 ACR35:ADK35 AEA35:AEH35 ADW35 ADY35 ADU35 AFE35 AEJ35:AFC35 AFS35:AFZ35 AFO35 AFQ35 AFM35 AGW35 AGB35:AGU35 AHK35:AHR35 AHG35 AHI35 AHE35 AIO35 AHT35:AIM35 AJC35:AJJ35 AIY35 AJA35 MY35 NA35 R29 O29 AR29 TQ30 AJG30:AJJ30 AJD30:AJE30 AIY30 AIW30 CK30 BH30:BI30 BK30:BN30 CW30 CU30 DH30:EA30 CS30 UA30:UD30 CZ30:DA30 DC30:DF30 VA30 TX30:TY30 EZ30:FS30 EK30 FU30 ER30:ES30 EU30:EX30 GG30 GE30 GR30:HK30 GC30 HM30 GJ30:GK30 GM30:GP30 HY30 HW30 IJ30:JC30 HU30 JE30 IB30:IC30 IE30:IH30 JQ30 JO30 KB30:KU30 JM30 KW30 JT30:JU30 JW30:JZ30 LI30 LG30 LT30:MM30 LE30 MO30 LL30:LM30 LO30:LR30 NA30 MY30 NL30:OE30 MW30 OG30 ND30:NE30 NG30:NJ30 OS30 OQ30 PD30:PW30 OO30 PY30 OV30:OW30 OY30:PB30 QK30 QI30 QV30:RO30 QG30 RQ30 QN30:QO30 QQ30:QT30 SC30 SA30 SN30:TG30 RY30 TI30 SF30:SG30 SI30:SL30 VX30:WQ30 WS30 VM30 VP30:VQ30 VS30:VV30 VK30 VI30 XP30:YI30 YK30 XE30 XH30:XI30 XK30:XN30 XC30 XA30 ZH30:AAA30 AAC30 YW30 YZ30:ZA30 ZC30:ZF30 YU30 YS30 AAZ30:ABS30 ABU30 AAO30 AAR30:AAS30 AAU30:AAX30 AAM30 AAK30 ACR30:ADK30 ADM30 ACG30 ACJ30:ACK30 ACM30:ACP30 ACE30 ACC30 AEJ30:AFC30 AFE30 ADY30 AEB30:AEC30 AEE30:AEH30 ADW30 ADU30 AGB30:AGU30 AGW30 AFQ30 AFT30:AFU30 AFW30:AFZ30 AFO30 AFM30 AHT30:AIM30 AIO30 AHI30 AHL30:AHM30 AHO30:AHR30 AHG30 AHE30 AJL30:AKE30 AKG30 AJA30 TU30 TS30 UF30:UY30 R31:R37 O31:O37 AR36:AR37 DH38:EA38 BA38 BC38 BK38:BN38 BH38:BI38 BE38 CK38 BP38:CI38 CS38 CU38 DC38:DF38 CZ38:DA38 CW38 EC38 AR39 R39 O39 CS40 BP40:CI40 CK40 BE40 BH40:BI40 BK40:BN40 BC40 BA40 DH40:EA40 EC40 CW40 CZ40:DA40 DC40:DF40 CU40 O41 R45:R49 AR41 R41 EV42:EX42 EK42 EM42 ZH42:AAA42 ER42:ES42 EO42 FU42 EZ42:FS42 BA42 BC42 BK42:BN42 BH42:BI42 BE42 CK42 BP42:CI42 CS42 CU42 DC42:DF42 CZ42:DA42 CW42 EC42 DH42:EA42 GC42 GE42 GM42:GP42 GJ42:GK42 GG42 HM42 GR42:HK42 HU42 HW42 IE42:IH42 IB42:IC42 HY42 JE42 IJ42:JC42 JM42 JO42 JW42:JZ42 JT42:JU42 JQ42 KW42 KB42:KU42 LE42 LG42 LO42:LR42 LL42:LM42 LI42 MO42 LT42:MM42 MW42 MY42 NG42:NJ42 ND42:NE42 NA42 OG42 NL42:OE42 OO42 OQ42 OY42:PB42 OV42:OW42 OS42 PY42 PD42:PW42 QG42 QI42 QQ42:QT42 QN42:QO42 QK42 RQ42 QV42:RO42 RY42 SA42 SI42:SL42 SF42:SG42 SC42 TI42 SN42:TG42 TQ42 TS42 UA42:UD42 TX42:TY42 TU42 VA42 UF42:UY42 VI42 VK42 VS42:VV42 VP42:VQ42 VM42 WS42 VX42:WQ42 XA42 XC42 XK42:XN42 XH42:XI42 XE42 YK42 XP42:YI42 YS42 YU42 ZC42:ZF42 YZ42:ZA42 YW42 AAC42 R43 AHE44 AS13:AS49 M3:M49 P14:Q49 S14:V49 K3:K49 I3:I49 O43 AR43 AR45:AR47 Z45:Z49 CK44 BE44 BH44:BI44 BK44:BN44 BC44 BA44 CW44 EC44 Z13:Z43 CZ44:DA44 DC44:DF44 BP44:BQ44 BS44:CI44 DK44:EA44 FU44 EO44 ER44:ES44 EU44:EX44 EM44 EK44 GE44 HM44 FC44:FS44 GJ44:GK44 GM44:GP44 EZ44:FA44 GG44 GU44:HK44 JE44 HY44 IB44:IC44 IE44:IH44 HW44 HU44 IM44:JC44 KW44 JQ44 JT44:JU44 JW44:JZ44 JO44 JM44 LT44:MM44 MO44 LI44 LL44:LM44 LO44:LR44 LG44 LE44 NL44:OE44 OG44 NA44 ND44:NE44 NG44:NJ44 MY44 MW44 PD44:PW44 PY44 OS44 OV44:OW44 OY44:PB44 OQ44 OO44 QV44:RO44 RQ44 QK44 QN44:QO44 QQ44:QT44 QI44 QG44 SN44:TG44 TI44 SC44 SF44:SG44 SI44:SL44 SA44 RY44 UF44:UY44 VA44 TU44 TX44:TY44 UA44:UD44 TS44 TQ44 VX44:WQ44 WS44 VM44 VP44:VQ44 VS44:VV44 VK44 VI44 XP44:YI44 YK44 XE44 XH44:XI44 XK44:XN44 XC44 XA44 ZH44:AAA44 AAC44 YW44 YZ44:ZA44 ZC44:ZF44 YU44 YS44 AAZ44:ABS44 ABU44 AAO44 AAR44:AAS44 AAU44:AAX44 AAM44 AAK44 ACR44:ADK44 ADM44 ACG44 ACJ44:ACK44 ACM44:ACP44 ACE44 ACC44 AEJ44:AFC44 AFE44 ADY44 AEB44:AEC44 AEE44:AEH44 ADW44 ADU44 AGB44:AGU44 AGW44 AFQ44 AFT44:AFU44 AFW44:AFZ44 AFO44 AFM44 AHT44:AIM44 AIO44 AHI44 AHL44:AHM44 AHO44:AHR44 AHG44 X13:Y49 AA13:AQ49 CS44 CU44 DH44:DI44 GC44 GR44:GS44 IJ44:IK44 KB44:KC44 KE44:KU44 BZT49:CAO49 CDD49:CDY49 CGN49:CHI49 CJX49:CKS49 CNH49:COC49 CQR49:CRM49 CUB49:CUW49 CXL49:CYG49 DAV49:DBQ49 AR49 EOW3:EOW49 EOY3:EOY49 EPA3:EPA49 EPC3:EPJ49 EPL3:EQG49 ESG3:ESG49 ESI3:ESI49 ESK3:ESK49 ESM3:EST49 ESV3:ETQ49" xr:uid="{463CA97C-79F6-473B-98FB-FA2A2B473EF6}">
      <formula1>"SI, NO"</formula1>
    </dataValidation>
    <dataValidation type="list" allowBlank="1" showInputMessage="1" showErrorMessage="1" sqref="GH48 L45:L47 BZH3:BZH47 BZJ3:BZJ47 BZF21:BZF47 CCR3:CCR47 CCT3:CCT47 DAH3:DAH47 CGB3:CGB47 CGD3:CGD47 CCP3:CCP47 CJL3:CJL47 CJN3:CJN47 CFZ3:CFZ47 CMV3:CMV47 CMX3:CMX47 CJJ3:CJJ47 CQF3:CQF47 CQH3:CQH47 CMT3:CMT47 CTP3:CTP47 CTR3:CTR47 CQD3:CQD47 CWZ3:CWZ47 CXB3:CXB47 CTN3:CTN47 DAJ3:DAJ47 DAL3:DAL47 CWX3:CWX47 DDR3:DDR49 DDT3:DDT49 DDV3:DDV49 DHB3:DHB49 DHD3:DHD49 DHF3:DHF49 DKL3:DKL49 DKN3:DKN49 DKP3:DKP49 DNV3:DNV49 DNX3:DNX49 DNZ3:DNZ49 DRF3:DRF49 DRH3:DRH49 DRJ3:DRJ49 DUP3:DUP49 DUR3:DUR49 DUT3:DUT49 DXZ3:DXZ49 DYB3:DYB49 DYD3:DYD49 EBJ3:EBJ49 EBL3:EBL49 EBN3:EBN49 EET3:EET49 EEV3:EEV49 EEX3:EEX49 EID3:EID49 EIF3:EIF49 EIH3:EIH49 ELN3:ELN49 ELP3:ELP49 ELR3:ELR49 BZF3:BZF19 VL3 GH20 HZ14 J3 L3 TV3:TV4 HX5 CX3:CX5 EP3:EP5 GH3:GH5 HZ3:HZ5 JR3:JR4 LJ3:LJ4 NB3:NB4 OT3:OT4 QL3:QL4 SD3:SD4 TR3 TT3 BB3 BD3 CT3 CV3 EL3 EN3 GD3 GF3 HV3 HX3 JN3 JP3 LF3 LH3 MX3 MZ3 OP3 OR3 QH3 QJ3 RZ3 SB3 VN3 VJ3 BF4:BF5 BB5 BD5 CT5 CV5 EL5 EN5 GD5 GF5 HV5 AUX7 J5:J6 L5:L6 ARN7 AFR7 N4:N6 ATF7 APV7 AOD7 AML7 AKT7 AJB7 AHJ7 N8:N10 JR14 L15:L19 N12 J8:J12 L8:L12 J15:J19 N15:N17 J21:J23 L21:L23 N21:N23 N25 J25 L25 N45:N47 L29 N29 J29 L27 J27 N27 L32:L34 J32:J34 N32:N34 N36:N37 L36:L37 J36:J37 J39 N39 L39 L41 J41 N41 N43 L43 J43 J45:J47 L49 BZH49 BZJ49 BZF49 CCR49 CCT49 DAH49 CGB49 CGD49 CCP49 CJL49 CJN49 CFZ49 CMV49 CMX49 CJJ49 CQF49 CQH49 CMT49 CTP49 CTR49 CQD49 CWZ49 CXB49 CTN49 DAJ49 DAL49 CWX49 N49 J49 EOX3:EOX49 EOZ3:EOZ49 EPB3:EPB49 ESH3:ESH49 ESJ3:ESJ49 ESL3:ESL49" xr:uid="{237CDC18-E31B-40AB-A04D-B93938321B26}">
      <formula1>"Completo, Incompleto, En Proceso de Valoración"</formula1>
    </dataValidation>
    <dataValidation type="list" allowBlank="1" showInputMessage="1" showErrorMessage="1" sqref="DCM48 BYA48 CBK48 CEU48 CIE48 CLO48 COY48 CSI48 CVS48 CZC48 DEE3:DEE49 DHO3:DHO49 DKY3:DKY49 DOI3:DOI49 DRS3:DRS49 DVC3:DVC49 DYM3:DYM49 EBW3:EBW49 EFG3:EFG49 EIQ3:EIQ49 EMA3:EMA49 BO48 DG48 EY48 GQ48 II48 BME48 KA48 LS48 QU48 NK48 PC48 AVG48 UE48 SM48 VW48 XO48 ZG48 ACQ48 AEI48 AGA48 AHS48 AJK48 ALC48 AMU48 AOM48 AQE48 ARW48 ATO48 AWY48 BAI48 BCA48 BDS48 BFK48 BHC48 BIU48 AAY48 AYQ48 BKM48 BNW48 BPO48 BRG48 BSY48 BUQ48 BWI48 BZS3:BZS49 CDC3:CDC49 CGM3:CGM49 CJW3:CJW49 CNG3:CNG49 CQQ3:CQQ49 CUA3:CUA49 CXK3:CXK49 DAU3:DAU49 VW3 BYA20 BO18:BO20 DG20 EY20 GQ20 II20 BME20 KA20 LS20 QU20 NK20 PC20 AVG20 UE20 SM20 VW20 XO20 ZG20 ACQ20 AEI20 AGA20 AHS20 AJK20 ALC20 AMU20 AOM20 AQE20 ARW20 ATO20 AWY20 BAI20 BCA20 BDS20 BFK20 BHC20 BIU20 AAY20 AYQ20 BKM20 BNW20 BPO20 BRG20 BSY20 BUQ20 BWI20 UE3:UE4 BO3:BO5 DG3:DG5 EY3:EY5 GQ3:GQ5 II3:II5 KA3:KA4 LS3:LS4 NK3:NK4 PC3:PC4 QU3:QU4 SM3:SM4 AVG7 BO7 DG7 EY7 GQ7 II7 KA7 LS7 NK7 PC7 QU7 SM7 UE7 VW7 XO7 ZG7 AAY7 ACQ7 AEI7 AGA7 AHS7 AJK7 ALC7 AMU7 AOM7 AQE7 ARW7 ATO7 KA14 BO14 DG14 EY14 GQ14 II14 NK24 BO24 DG24 EY24 GQ24 II24 KA24 LS24 VW26 GQ26 DG26 BO26 EY26 II26 KA26 LS26 NK26 PC26 QU26 SM26 UE26 BO30:BO31 SM28 BO28 DG28 EY28 GQ28 II28 KA28 LS28 NK28 PC28 QU28 AJK35 BO35 DG35 EY35 GQ35 II35 KA35 LS35 NK35 PC35 QU35 SM35 UE35 VW35 XO35 ZG35 AAY35 ACQ35 AEI35 AGA35 AHS35 UE30 AJK30 DG30 EY30 GQ30 II30 KA30 LS30 NK30 PC30 QU30 SM30 VW30 XO30 ZG30 AAY30 ACQ30 AEI30 AGA30 AHS30 DG38 BO38 DG40 BO40 ZG42 EY42 BO42 DG42 GQ42 II42 KA42 LS42 NK42 PC42 QU42 SM42 UE42 VW42 XO42 W3:W49 BO44 DG44 EY44 GQ44 II44 KA44 LS44 NK44 PC44 QU44 SM44 UE44 VW44 XO44 ZG44 AAY44 ACQ44 AEI44 AGA44 AHS44 EPK3:EPK49 ESU3:ESU49" xr:uid="{B6DD2BC0-31D8-4131-8173-4D5A69BC5147}">
      <formula1>"Si, No, No Aplica"</formula1>
    </dataValidation>
    <dataValidation type="list" allowBlank="1" showInputMessage="1" showErrorMessage="1" sqref="CX15:CX19 CX6 CX8:CX13 CX21:CX23 CX25 CX27 CX31:CX34 CX29 CX36:CX37 CX39 CX41 CX43 CX45:CX47 CX49" xr:uid="{02778981-5669-45D2-B113-B14323CE7F57}">
      <formula1>"Completo, Incompleto, En Proceso de Valoración; Sin firma RL"</formula1>
    </dataValidation>
    <dataValidation type="list" allowBlank="1" showInputMessage="1" showErrorMessage="1" sqref="EP48 N48 BF48 CX48 GG48 HZ48 JR48 LJ48 QL48 NB48 OT48 AUX48 SD48 VN48 XF48 YX48 ACH48 ADZ48 AFR48 AHJ48 AJB48 AKT48 AML48 AOD48 APV48 ARN48 ATF48 TV48 AAP48 AWP48 DCD48 AZZ48 BBR48 BDJ48 BFB48 BGT48 BIL48 BKD48 BLV48 BNN48 BPF48 BQX48 BSP48 BUH48 BVZ48 BXR48 BZJ48 CBB48 CCT48 CEL48 CGD48 CHV48 CJN48 CLF48 CMX48 COP48 CQH48 CRZ48 CTR48 CVJ48 CXB48 CYT48 DAL48 EP20 BXR20 BF20 CX20 GG20 HZ20 JR20 LJ20 QL20 NB20 OT20 AUX20 SD20 VN20 XF20 YX20 ACH20 ADZ20 AFR20 AHJ20 AJB20 AKT20 AML20 AOD20 APV20 ARN20 ATF20 TV20 AAP20 AWP20 AZZ20 BBR20 BDJ20 BFB20 BGT20 BIL20 BKD20 BLV20 BNN20 BPF20 BQX20 BSP20 BUH20 BVZ20 N3 BF3 N7 CX7 EP7 GH7 BF7 HZ7 JR7 LJ7 NB7 OT7 QL7 SD7 TV7 VN7 XF7 YX7 AAP7 ACH7 ADZ7 N11 EP14 BF24 HZ24" xr:uid="{7535DC51-C037-44C9-80C2-1529A223C6F2}">
      <formula1>"Completos, Incompletos, Apendice ByC no llenos-c/historial aparte-falta firma RL"</formula1>
    </dataValidation>
    <dataValidation type="list" allowBlank="1" showInputMessage="1" showErrorMessage="1" sqref="AR48 CJ48 EC48 PY48 RQ48 TI48 VA48 WS48 YK48 AAC48 ABU48 BLI48 AR20 CJ20 EC20 PY20 RQ20 TI20 VA20 WS20 YK20 AAC20 ABU20 BLI20 JD7 OF7 ABT7 AR18 HL14 AR24 CJ24 EB24 OF24 MN24 KV24 AR26 HL26 EB26 CJ26 FT26 JD26 KV26 MN26 OF26 PX26 RP26 TH26 UZ26 WR26 CK31 AR28 CJ28 EB28 FT28 HL28 JD28 KV28 MN28 OF28 PX28 RP28 TH28 AR30 CJ30 UZ30 AKF30 HL30 JD30 KV30 MN30 OF30 PX30 RP30 TH30 WR30 YJ30 AAB30 ABT30 ADL30 AFD30 AGV30 AIN30 AR38 CJ38 EB38 AR40 CJ40 EB40 AR42 FT42 CJ42 EB42 HL42 JD42 KV42 MN42 OF42 PX42 RP42 TH42 UZ42 WR42 YJ42 AAB42 AR44 CJ44 AIN44 FT44 HL44 JD44 KV44 MN44 OF44 PX44 RP44 TH44 UZ44 WR44 YJ44 AAB44 ABT44 ADL44 AFD44 AGV44" xr:uid="{F26BE40E-051B-4350-9FEF-62EF604AD7C4}">
      <formula1>"SI, NO, THSCAN"</formula1>
    </dataValidation>
    <dataValidation type="list" allowBlank="1" showInputMessage="1" showErrorMessage="1" sqref="EQ48 EQ20 Z44 BR44 DJ44 FB44 GT44 IL44 KD44" xr:uid="{8CAB1664-8FD4-4D38-BDF3-E3E8D1D6882C}">
      <formula1>"SI, NO, ES OTRO DOCUMENTO"</formula1>
    </dataValidation>
    <dataValidation type="list" allowBlank="1" showInputMessage="1" showErrorMessage="1" sqref="J48 L48 BB48 BD48 CT48 CV48 EL48 EN48 GD48 GF48 HV48 HX48 JN48 JP48 LF48 LH48 QH48 QJ48 MX48 MZ48 OP48 OR48 AUT48 AUV48 RZ48 SB48 VJ48 VL48 XB48 XD48 YT48 YV48 ACD48 ACF48 ADV48 ADX48 AFN48 AFP48 AHF48 AHH48 AIX48 AIZ48 AKP48 AKR48 AMH48 AMJ48 ANZ48 AOB48 APR48 APT48 ARJ48 ARL48 ATB48 ATD48 TR48 TT48 AAL48 AAN48 AWL48 AWN48 AYD48 AYF48 AZV48 AZX48 BBN48 BBP48 BDF48 BDH48 BEX48 BEZ48 BGP48 BGR48 DCB48 DBZ48 BJZ48 BKB48 BLR48 BLT48 BNJ48 BNL48 BPB48 BPD48 BQT48 BQV48 BSL48 BSN48 BUD48 BUF48 BVV48 BVX48 BXN48 BXP48 BZF48 BZH48 CAX48 CAZ48 CCP48 CCR48 CEH48 CEJ48 CFZ48 CGB48 CHR48 CHT48 CJJ48 CJL48 CLB48 CLD48 CMT48 CMV48 COL48 CON48 CQD48 CQF48 CRV48 CRX48 CTN48 CTP48 CVF48 CVH48 CWX48 CWZ48 CYP48 CYR48 DAH48 DAJ48 J20 L20 BB20 BD20 CT20 CV20 EL20 EN20 GD20 GF20 HV20 HX20 JN20 JP20 LF20 LH20 QH20 QJ20 MX20 MZ20 OP20 OR20 AUT20 AUV20 RZ20 SB20 VJ20 VL20 XB20 XD20 YT20 YV20 ACD20 ACF20 ADV20 ADX20 AFN20 AFP20 AHF20 AHH20 AIX20 AIZ20 AKP20 AKR20 AMH20 AMJ20 ANZ20 AOB20 APR20 APT20 ARJ20 ARL20 ATB20 ATD20 TR20 TT20 AAL20 AAN20 AWL20 AWN20 AYD20 AYF20 AZV20 AZX20 BBN20 BBP20 BDF20 BDH20 BEX20 BEZ20 BGP20 BGR20 BJZ20 BKB20 BLR20 BLT20 BNJ20 BNL20 BPB20 BPD20 BQT20 BQV20 BSL20 BSN20 BUD20 BUF20 BVV20 BVX20 BXN20 BXP20 BZF20 J4 L4 BB4 BD4 CT4 CV4 EL4 EN4 GD4 GF4 HV4 HX4 JN4 JP4 LF4 LH4 MX4 MZ4 OP4 OR4 QH4 QJ4 RZ4 SB4 TR4 TT4 BB18 BD18 J14 L14 BB14 BD14 CT14 CV14 EL14 EN14 GD14 GF14 HV14 HX14 JN14 JP14 J24 L24 MZ24 MX24 CT24 CV24 EL24 EN24 LF24 LH24 HV24 HX24 JN24 JP24 GD24 GF24 J26 L26 EL26 EN26 VJ26 VL26 BB26 BD26 CT26 CV26 GD26 GF26 HV26 HX26 LF26 LH26 MX26 MZ26 OP26 OR26 QH26 QJ26 RZ26 SB26 TR26 TT26 JN26 JP26 J28 L28 BB28 BD28 CT28 CV28 EL28 EN28 GD28 GF28 HV28 HX28 JN28 JP28 LF28 LH28 MX28 MZ28 OP28 OR28 QH28 QJ28 RZ28 SB28 J30 L30 BB30 BD30 CT30 CV30 EL30 EN30 GD30 GF30 HV30 HX30 JN30 JP30 LF30 LH30 MX30 MZ30 OP30 OR30 QH30 QJ30 RZ30 SB30 VJ30 VL30 XB30 XD30 YT30 YV30 AAL30 AAN30 ACD30 ACF30 ADV30 ADX30 AFN30 AFP30 AHF30 AHH30 AIX30 AIZ30 TR30 TT30 J38 L38 BB38 BD38 CT38 CV38 J40 L40 BB40 BD40 CT40 CV40 J42 L42 EL42 EN42 BB42 BD42 CT42 CV42 GD42 GF42 HV42 HX42 JN42 JP42 LF42 LH42 MX42 MZ42 OP42 OR42 QH42 QJ42 RZ42 SB42 TR42 TT42 VJ42 VL42 XB42 XD42 YT42 YV42 J44 L44 BB44 BD44 AHF44 AHH44 EL44 EN44 CT44 CV44 HV44 HX44 JN44 JP44 LF44 LH44 MX44 MZ44 OP44 OR44 QH44 QJ44 RZ44 SB44 TR44 TT44 VJ44 VL44 XB44 XD44 YT44 YV44 AAL44 AAN44 ACD44 ACF44 ADV44 ADX44 AFN44 AFP44 GD44 GF44" xr:uid="{581B6900-59B3-45EB-AFC9-0036CBD06CCC}">
      <formula1>"Completo, Incompleto, Vigente, Vencida"</formula1>
    </dataValidation>
    <dataValidation type="list" allowBlank="1" showInputMessage="1" showErrorMessage="1" sqref="HL48 HL20" xr:uid="{071D0826-6A81-4AFF-B1C2-012A09F25573}">
      <formula1>"SI, NO, ICSIS"</formula1>
    </dataValidation>
    <dataValidation type="list" allowBlank="1" showInputMessage="1" showErrorMessage="1" sqref="HM48 BEO48 HM20 BEO20 EB7 FT7 HL7 UZ7 MN7 ADL7 PX7 AR13 FT14 AR31 CJ31 AKF35 CJ35 EB35 FT35 HL35 JD35 KV35 MN35 OF35 PX35 RP35 TH35 UZ35 WR35 YJ35 AAB35 ABT35 ADL35 AFD35 AGV35 AIN35 AR35" xr:uid="{7F28391F-FC98-480D-A9ED-5D4D24D9B463}">
      <formula1>"SI, NO, VACIS PORTAL"</formula1>
    </dataValidation>
    <dataValidation type="list" allowBlank="1" showInputMessage="1" showErrorMessage="1" sqref="BG48 BG20" xr:uid="{3D9E6F63-9945-4582-BFF7-5B55F9EA157F}">
      <formula1>"SI, NO, ES OTRO DOCUMENTO (HIST ACADEMICO)"</formula1>
    </dataValidation>
    <dataValidation type="list" allowBlank="1" showInputMessage="1" showErrorMessage="1" sqref="EB48 JD48 AIN48 AWB48 AKF48 AXT48 DDH48 DBP48 BCV48 CZX48 CYF48 CWN48 BJP48 CUV48 BMZ48 BOR48 BQJ48 BSB48 BTT48 BVL48 BXD48 BYV48 CAN48 CCF48 CDX48 CFP48 CHH48 CIZ48 CKR48 CMJ48 COB48 CPT48 CRL48 CTD48 EB20 JD20 AIN20 AWB20 AKF20 AXT20 BCV20 BJP20 BMZ20 BOR20 BQJ20 BSB20 BTT20 BVL20 BXD20 BYV20" xr:uid="{7F6E90B9-A4AF-4610-887A-12F088E47246}">
      <formula1>"SI, NO, NUCTHECH FERRO"</formula1>
    </dataValidation>
    <dataValidation type="list" allowBlank="1" showInputMessage="1" showErrorMessage="1" sqref="MN48 KV48 OF48 PX48 RP48 TH48 UZ48 WR48 YJ48 AAB48 ABT48 ADL48 AFD48 AGV48 ALX48 ANP48 APH48 AQZ48 ASR48 AUJ48 AZL48 BBD48 BGF48 BHX48 BLH48 MN20 KV20 OF20 PX20 RP20 TH20 UZ20 WR20 YJ20 AAB20 ABT20 ADL20 AFD20 AGV20 ALX20 ANP20 APH20 AQZ20 ASR20 AUJ20 AZL20 BBD20 BGF20 BHX20 BLH20" xr:uid="{CD2E43EA-9445-4F59-A140-4C0E03C5F15A}">
      <formula1>"SI, NO, NUCTHECH FERRO, VACIS PORTAL"</formula1>
    </dataValidation>
    <dataValidation type="list" allowBlank="1" showInputMessage="1" showErrorMessage="1" sqref="OG48 OG20" xr:uid="{D485864F-DD45-4731-97FE-3ED9342F94FB}">
      <formula1>"SI, NO, ICIS-THSCAN"</formula1>
    </dataValidation>
    <dataValidation type="list" allowBlank="1" showInputMessage="1" showErrorMessage="1" sqref="QM48 QM20" xr:uid="{AC76463C-17A0-4B10-8236-F06C598167B9}">
      <formula1>"SI, NO, SOLO ES CONTANCIA"</formula1>
    </dataValidation>
    <dataValidation type="list" allowBlank="1" showInputMessage="1" showErrorMessage="1" sqref="AEA48 AEA20" xr:uid="{056B0A90-96D1-419A-824C-79C45DDEF653}">
      <formula1>"SI, NO, SOLO CERTIFICADO CON MATERIAS"</formula1>
    </dataValidation>
    <dataValidation type="list" allowBlank="1" showInputMessage="1" showErrorMessage="1" sqref="AHK48 AHK20" xr:uid="{8EB023E0-EA1E-4441-B6A3-16913B088D71}">
      <formula1>"SI, NO, DOCUMENTO NO CLARO"</formula1>
    </dataValidation>
    <dataValidation type="list" allowBlank="1" showInputMessage="1" showErrorMessage="1" sqref="AJC48 AJC20" xr:uid="{AF7BDEEA-4651-4CDC-B0A0-3D0C345BEE63}">
      <formula1>"SI, NO, NO ES TITULO ES CERTIFICADO"</formula1>
    </dataValidation>
    <dataValidation type="list" allowBlank="1" showInputMessage="1" showErrorMessage="1" sqref="AMM48 AMM20 SE7" xr:uid="{483794F4-92F4-496E-A016-90ECCD99DDF3}">
      <formula1>"SI, NO, CONSTANCIA"</formula1>
    </dataValidation>
    <dataValidation type="list" allowBlank="1" showInputMessage="1" showErrorMessage="1" sqref="AOE48 ARO48 AYI48 AOE20 ARO20 AYI20 O20 GI7 NC7 O24 BG24 CY24 EQ24 GI24 IA24 JS24 LK24 NC24 O26 GI26 TW26 VO26 EQ26 IA26 JS26 LK26 NC26 OU26 QM26 SE26 SE28 BG28 QM28 EQ28 GI28 IA28 JS28 LK28 NC28 OU28" xr:uid="{213977A4-6D19-44D8-B506-5B70D613AFD4}">
      <formula1>"SI, NO, CARTA PASANTE"</formula1>
    </dataValidation>
    <dataValidation type="list" allowBlank="1" showInputMessage="1" showErrorMessage="1" sqref="AYH48 AYH20" xr:uid="{951BE868-ADC5-473C-BF02-B321A208CF5A}">
      <formula1>"Completos, Incompletos, Apendice ByC no llenos-c/historial aparte-falta firma RL-foto no legible, nombre mal"</formula1>
    </dataValidation>
    <dataValidation type="list" allowBlank="1" showInputMessage="1" showErrorMessage="1" sqref="BAA48 BAA20 O18 BG18 BG31 IA35" xr:uid="{7E3D557B-9818-4266-A5CC-47781BB446EE}">
      <formula1>"SI, NO, CERTIFICADO"</formula1>
    </dataValidation>
    <dataValidation type="list" allowBlank="1" showInputMessage="1" showErrorMessage="1" sqref="BDN48 BDN20" xr:uid="{4CF47E26-AB41-4720-9C22-0D5C45230458}">
      <formula1>"SI, NO,PASAPORTE"</formula1>
    </dataValidation>
    <dataValidation type="list" allowBlank="1" showInputMessage="1" showErrorMessage="1" sqref="BEN48 BEN20" xr:uid="{81E73C3B-0FD3-4648-9700-AF6749329D1A}">
      <formula1>"SI, NO, NUCTHECH FERRO, THSCAN"</formula1>
    </dataValidation>
    <dataValidation type="list" allowBlank="1" showInputMessage="1" showErrorMessage="1" sqref="BGX48 BGX20 ID7" xr:uid="{2F04C658-8D33-469D-9DA6-2A50865B541A}">
      <formula1>"SI, NO, INE CON FOTO NO LEGIBLE"</formula1>
    </dataValidation>
    <dataValidation type="list" allowBlank="1" showInputMessage="1" showErrorMessage="1" sqref="BGU48 BGU20" xr:uid="{5EEE9322-F825-45C2-AB68-8DA8A7C471D8}">
      <formula1>"SI, NO, CONSTANCIA DE BACHILLETATO"</formula1>
    </dataValidation>
    <dataValidation type="list" allowBlank="1" showInputMessage="1" showErrorMessage="1" sqref="BIH48 BIJ48 BIH20 BIJ20" xr:uid="{C18BE88D-7A31-429B-99BC-5C187DF75C2E}">
      <formula1>"Completo, Incompleto, Vigente-PERO DICE MASCULINO, Vencida"</formula1>
    </dataValidation>
    <dataValidation type="list" allowBlank="1" showInputMessage="1" showErrorMessage="1" sqref="BKE48 BKE20" xr:uid="{221E8740-A09A-457D-AE94-63AFA395AD22}">
      <formula1>"SI, NO, CERTIFICADO TECNICO"</formula1>
    </dataValidation>
    <dataValidation type="list" allowBlank="1" showInputMessage="1" showErrorMessage="1" sqref="N20 NB24 LJ24 JR24" xr:uid="{C0F18705-CE26-4829-BC9C-2922052F0FAE}">
      <formula1>"Completos, Incompletos, Apendice ByC no llenos-c/historial aparte-falta firma RL, ES UN DICTAMEN MEDICO"</formula1>
    </dataValidation>
    <dataValidation type="list" allowBlank="1" showInputMessage="1" showErrorMessage="1" sqref="CJ4 CJ18:CJ19" xr:uid="{5045BCAE-723A-468A-8BBE-CA23BFA98CDD}">
      <formula1>"SI, NO, ASTROPHISICS"</formula1>
    </dataValidation>
    <dataValidation type="list" allowBlank="1" showInputMessage="1" showErrorMessage="1" sqref="CY4" xr:uid="{B5037132-02E1-4510-8112-BAAE2D6DF932}">
      <formula1>"SI, NO, CONSTANCIA DE CREDITOS"</formula1>
    </dataValidation>
    <dataValidation type="list" allowBlank="1" showInputMessage="1" showErrorMessage="1" sqref="AUV7 AUT7 BB7 BD7 CT7 CV7 EL7 EN7 GD7 GF7 ATB7 ATD7 HV7 HX7 JN7 JP7 LF7 LH7 MX7 MZ7 OP7 OR7 QH7 QJ7 SB7 RZ7 ARJ7 ARL7 APR7 APT7 ANZ7 AOB7 AMH7 AMJ7 AKP7 AKR7 AIX7 AIZ7 AFN7 AFP7 AHF7 AHH7 BB19 BD19 J31 L31 BB31 BD31 J35 L35 AIX35 AIZ35 CT35 CV35 BB35 BD35 EN35 EL35 AHF35 AHH35 AFN35 AFP35 ADV35 ADX35 ACD35 ACF35 OP35 OR35 QH35 QJ35 RZ35 SB35 TR35 TT35 VJ35 VL35 XB35 XD35 YT35 YV35 AAL35 AAN35" xr:uid="{0E37C0F2-6D81-4E6F-A669-8AACD69E5A92}">
      <formula1>"Completo, Incompleto, En Proceso de Valoración, Vigente"</formula1>
    </dataValidation>
    <dataValidation type="list" allowBlank="1" showInputMessage="1" showErrorMessage="1" sqref="J7 L7 J13 L13" xr:uid="{9E216BA6-ECF2-438E-AA9B-7B0D42C753D6}">
      <formula1>"Completo, Incompleto, En Proceso de Valoración, Vigente, Vencida"</formula1>
    </dataValidation>
    <dataValidation type="list" allowBlank="1" showInputMessage="1" showErrorMessage="1" sqref="TR7 TT7 VJ7 VL7 XB7 XD7 YT7 YV7 AAL7 AAN7 ACD7 ACF7 ADV7 ADX7 GD35 GF35 HV35 HX35 JN35 JP35 LF35 LH35 MX35 MZ35" xr:uid="{D57D01D0-9F15-41FF-8062-FFAB164CA24C}">
      <formula1>"Completo, Incompleto, En Proceso de Valoración, Vigente, VENCIDA"</formula1>
    </dataValidation>
    <dataValidation type="list" allowBlank="1" showInputMessage="1" showErrorMessage="1" sqref="IA7" xr:uid="{FDAC3CF8-FED0-49DE-9F81-A4B2B2B79DA4}">
      <formula1>"SI, NO, BACHILLERATO"</formula1>
    </dataValidation>
    <dataValidation type="list" allowBlank="1" showInputMessage="1" showErrorMessage="1" sqref="JS7" xr:uid="{E09FCB9A-6551-4F43-B71A-42CD0D57A1BD}">
      <formula1>"SI, NO, CONSTANCIA CALIF DE CIENCIAS SOC Y HUM"</formula1>
    </dataValidation>
    <dataValidation type="list" allowBlank="1" showInputMessage="1" showErrorMessage="1" sqref="XJ7" xr:uid="{567553E7-F66C-4AFE-A881-48B68E0F283B}">
      <formula1>"SI, NO, FOTO DE INE"</formula1>
    </dataValidation>
    <dataValidation type="list" allowBlank="1" showInputMessage="1" showErrorMessage="1" sqref="LN7" xr:uid="{81DADD8A-CC4D-44D9-A7DE-BB7CE0683CE6}">
      <formula1>"SI, NO, INE NO LEGIBLE"</formula1>
    </dataValidation>
    <dataValidation type="list" allowBlank="1" showInputMessage="1" showErrorMessage="1" sqref="OU7" xr:uid="{09A6B6E4-ABCA-4D49-ADC2-7F309B87BBC0}">
      <formula1>"SI, NO, TITULO EN DERECHO"</formula1>
    </dataValidation>
    <dataValidation type="list" allowBlank="1" showInputMessage="1" showErrorMessage="1" sqref="N19" xr:uid="{FE93A00F-245B-415E-B8B8-6A457F5A8D9D}">
      <formula1>"Completo, Incompleto, En Proceso de Valoración, Completo (huellas no visibles)-falta firma del RL"</formula1>
    </dataValidation>
    <dataValidation type="list" allowBlank="1" showInputMessage="1" showErrorMessage="1" sqref="BF19" xr:uid="{C3CBA5EB-B3A2-4E53-897A-11F860539F83}">
      <formula1>"Completo, Incompleto, En Proceso de Valoración, FALTA HISTORIAL (APENDICE C)-falta firma del RL, "</formula1>
    </dataValidation>
    <dataValidation type="list" allowBlank="1" showInputMessage="1" showErrorMessage="1" sqref="N18" xr:uid="{68D829E2-1CBA-4F9E-8F10-DDD70BA89295}">
      <formula1>"Completo, Incompleto, En Proceso de Valoración, Completo-falta firma RL"</formula1>
    </dataValidation>
    <dataValidation type="list" allowBlank="1" showInputMessage="1" showErrorMessage="1" sqref="BF18" xr:uid="{0198EC6B-030B-46AE-9770-7B3899F197FB}">
      <formula1>"Completo, Incompleto, En Proceso de Valoración, Completo -falta firma RL"</formula1>
    </dataValidation>
    <dataValidation type="list" allowBlank="1" showInputMessage="1" showErrorMessage="1" sqref="N13" xr:uid="{A545321F-C8E2-423A-B0E0-4D23153777E1}">
      <formula1>"Completos, Incompletos, Apendice ByC no llenos-c/historial aparte-falta firma RL, Completo-falta firma RL"</formula1>
    </dataValidation>
    <dataValidation type="list" allowBlank="1" showInputMessage="1" showErrorMessage="1" sqref="N14" xr:uid="{29FBD83C-B759-4487-B0FE-3494F7E5B4F3}">
      <formula1>"Completos, Incompletos, Apendice ByC no llenos-falta firma RL"</formula1>
    </dataValidation>
    <dataValidation type="list" allowBlank="1" showInputMessage="1" showErrorMessage="1" sqref="BF14 CX14" xr:uid="{238DC408-9F80-467E-BF64-8219FACD72FE}">
      <formula1>"Completo, Incompleto, En Proceso de Valoración, APENDICES LLENOS PERO FIRMADOS X ESR, NO POR EL RL"</formula1>
    </dataValidation>
    <dataValidation type="list" allowBlank="1" showInputMessage="1" showErrorMessage="1" sqref="CY14" xr:uid="{9CDC10DD-B03D-4FE1-AD95-39FFF675CC92}">
      <formula1>"SI, NO, CONSTANCIA DE CALIFICACIONES"</formula1>
    </dataValidation>
    <dataValidation type="list" allowBlank="1" showInputMessage="1" showErrorMessage="1" sqref="GH14" xr:uid="{8E8A1054-EA4D-4076-B39E-B4C457C7A5A6}">
      <formula1>"Completo, Incompleto, En Proceso de Valoración, NO TIENE FECHA, FIRMADO POR ESE Y NO POR RL"</formula1>
    </dataValidation>
    <dataValidation type="list" allowBlank="1" showInputMessage="1" showErrorMessage="1" sqref="N24 N26 EP26 BF26 VN26 CX26 GH26 HZ26 LJ26 NB26 OT26 QL26 SD26 TV26 JR26 SD28 QL28 OT28 EP28 GH28 HZ28 JR28 LJ28 NB28" xr:uid="{CF4A5F1E-9A63-4AC3-B3DD-B37B379FF650}">
      <formula1>"Completos, Incompletos, Apendice ByC no llenos-Histotial aparte, falta firma RL-VENCIDOS"</formula1>
    </dataValidation>
    <dataValidation type="list" allowBlank="1" showInputMessage="1" showErrorMessage="1" sqref="BB24 BD24" xr:uid="{C55E94EE-3A65-4E29-BE41-BDED78A64561}">
      <formula1>"Completo, Incompleto, Vigente, Vencida, Vigente-error en nombre"</formula1>
    </dataValidation>
    <dataValidation type="list" allowBlank="1" showInputMessage="1" showErrorMessage="1" sqref="CX24 EP24 GH24" xr:uid="{4DE8FC78-0253-4CAB-A125-83E38490D318}">
      <formula1>"Completos, Incompletos, Apendice ByC no llenos-HISTORIAL APARTE -falta firma RL, ES UN DICTAMEN MEDICO"</formula1>
    </dataValidation>
    <dataValidation type="list" allowBlank="1" showInputMessage="1" showErrorMessage="1" sqref="FT24 HL24 JD24:JE24 EB30:EC30 FT30 EB44" xr:uid="{98BC0D65-E372-4974-A8B2-48E5BDC44064}">
      <formula1>"SI, NO, THSCAN, VACIS PORTAL"</formula1>
    </dataValidation>
    <dataValidation type="list" allowBlank="1" showInputMessage="1" showErrorMessage="1" sqref="R26 R28 BJ28 DB28 ET28 GL28 ID28 JV28 LN28 NF28 OX28 QP28 SH28 R30 BJ30 DB30 ET30 GL30 ID30 JV30 LN30 NF30 OX30 QP30 SH30 VR30 XJ30 ZB30 AAT30 ACL30 AED30 AFV30 AHN30 AJF30 TZ30 R38 BJ38 DB38 R40 BJ40 DB40 R42 ET42 ZB42 DB42 GL42 ID42 JV42 LN42 NF42 OX42 QP42 SH42 TZ42 VR42 XJ42 R44 BJ44 DB44 ET44 GL44 ID44 JV44 LN44 NF44 OX44 QP44 SH44 TZ44 VR44 XJ44 ZB44 AAT44 ACL44 AED44 AFV44 AHN44" xr:uid="{343D4010-4A68-4BAF-B424-39A895F27221}">
      <formula1>"SI, NO, INE SOLO POR UN LADO"</formula1>
    </dataValidation>
    <dataValidation type="list" allowBlank="1" showInputMessage="1" showErrorMessage="1" sqref="BJ26" xr:uid="{75E261E5-32B9-409F-BF3D-0EBBC5EB6B76}">
      <formula1>"SI, NO,INE y CARTILLA MILITAR"</formula1>
    </dataValidation>
    <dataValidation type="list" allowBlank="1" showInputMessage="1" showErrorMessage="1" sqref="BG26 O28 CY28 O30 BG30 CY30 EQ30 GI30 IA30 JS30 LK30 NC30 OU30 QM30 SE30 VO30 XG30 YY30 AAQ30 ACI30 AEA30 AFS30 AHK30 AJC30 TW30 O38 BG38 CY38 O40 BG40 CY40 O42 EQ42 BG42 CY42 GI42 IA42 JS42 LK42 NC42 OU42 QM42 SE42 TW42 VO42 XG42 YY42 O44 BG44 CY44 EQ44 AHK44 IA44 JS44 LK44 NC44 OU44 QM44 SE44 TW44 VO44 XG44 YY44 AAQ44 ACI44 AEA44 AFS44" xr:uid="{3CC61751-4208-4F5A-BAAF-3FF1C45434B1}">
      <formula1>"SI, NO, CARTA PASANTE, CERTIFICADO"</formula1>
    </dataValidation>
    <dataValidation type="list" allowBlank="1" showInputMessage="1" showErrorMessage="1" sqref="CY26" xr:uid="{57F6E970-FF23-4528-A9F9-FE20CCF20832}">
      <formula1>"SI, NO, CARTA PASANTE, CERTIFICADO DE CALIFICACIONES"</formula1>
    </dataValidation>
    <dataValidation type="list" allowBlank="1" showInputMessage="1" showErrorMessage="1" sqref="JT26" xr:uid="{0FCB9770-35E1-4392-94DF-7E074D7BD4F6}">
      <formula1>"SI, NO, CEDULA NO VISIBLE"</formula1>
    </dataValidation>
    <dataValidation type="list" allowBlank="1" showInputMessage="1" showErrorMessage="1" sqref="N31 N35 AJB35 AHJ35 AFR35 ADZ35 ACH35 AAP35 YX35 XF35 OT35 QL35 SD35 TV35 VN35" xr:uid="{FFFE7F70-FD9E-49E3-97F0-5EF4501E2D9B}">
      <formula1>"Completo, Incompleto, En Proceso de Valoración, Completo (huellas no visibles)-falta firma del RL, FALTA APENDICE B-NO TIENE FIRMA RL-TACHON EN FECHA APEND A"</formula1>
    </dataValidation>
    <dataValidation type="list" allowBlank="1" showInputMessage="1" showErrorMessage="1" sqref="BF31 BF35" xr:uid="{8AF2E359-8496-40F2-B8DF-32AD4446D93F}">
      <formula1>"Completo, Incompleto, En Proceso de Valoración, Completo (huellas no visibles)-falta firma del RL, FALTA APENDICE B-NO TIENE- FIRMA RL"</formula1>
    </dataValidation>
    <dataValidation type="list" allowBlank="1" showInputMessage="1" showErrorMessage="1" sqref="N28 BF28 CX28 N30 TV30 AJB30 EP30 GH30 HZ30 JR30 LJ30 NB30 OT30 QL30 SD30 VN30 XF30 YX30 AAP30 ACH30 ADZ30 AFR30 AHJ30 CX38" xr:uid="{FCE098AE-91F8-41BC-B4E7-E3D616CC8019}">
      <formula1>"Completos, Incompletos, Apendice ByC no llenos-Histotial aparte, falta firma RL"</formula1>
    </dataValidation>
    <dataValidation type="list" allowBlank="1" showInputMessage="1" showErrorMessage="1" sqref="CX35 EP35" xr:uid="{7C5F3A86-5DA2-4C4A-94AE-6C7F043DDD76}">
      <formula1>"Completo, Incompleto, En Proceso de Valoración, FALTA FIRMA RL"</formula1>
    </dataValidation>
    <dataValidation type="list" allowBlank="1" showInputMessage="1" showErrorMessage="1" sqref="GH35" xr:uid="{FEF0B465-E520-4EA4-A9E7-124B008D41F5}">
      <formula1>"Completo, Incompleto, En Proceso de Valoración, Completo (huellas no visibles)-falta firma del RL, VENCIDOS SIN FECHA- SIN FIRMA DE RL"</formula1>
    </dataValidation>
    <dataValidation type="list" allowBlank="1" showInputMessage="1" showErrorMessage="1" sqref="HZ35 JR35 LJ35" xr:uid="{C671616B-06D1-4C2F-974D-FDF598A7077F}">
      <formula1>"Completo, Incompleto, En Proceso de Valoración, SIN FIRMA DE RL"</formula1>
    </dataValidation>
    <dataValidation type="list" allowBlank="1" showInputMessage="1" showErrorMessage="1" sqref="NB35" xr:uid="{C43DFB5E-7FFA-4270-8439-895FDEDF70B0}">
      <formula1>"Completo, Incompleto, En Proceso de Valoración, SIN FIRMA DE RL-SIN FECHA "</formula1>
    </dataValidation>
    <dataValidation type="list" allowBlank="1" showInputMessage="1" showErrorMessage="1" sqref="BF30 CX30 EO30" xr:uid="{DAF15D3B-FD7B-4D94-A8BB-95AEFDC5CF62}">
      <formula1>"Completos, Incompletos, Apendice B no llenos-falta firma RL-la firma el ESR CORREGIR"</formula1>
    </dataValidation>
    <dataValidation type="list" allowBlank="1" showInputMessage="1" showErrorMessage="1" sqref="EM30" xr:uid="{E9FF19ED-701C-4EA0-B42E-F52790C59323}">
      <formula1>"SI, NO, NO TRAE EL TITULO DEL ESTUDIO"</formula1>
    </dataValidation>
    <dataValidation type="list" allowBlank="1" showInputMessage="1" showErrorMessage="1" sqref="N38 CX40 BF40" xr:uid="{4DC067BB-4CE0-43CD-A814-572C86885A61}">
      <formula1>"Completos, Incompletos, Apendice B no lleno-falta firma RL-lo firma el ESR"</formula1>
    </dataValidation>
    <dataValidation type="list" allowBlank="1" showInputMessage="1" showErrorMessage="1" sqref="BF38" xr:uid="{A86173E8-98C9-40CC-9E9A-1014B4A3E24A}">
      <formula1>"Completos, Incompletos, Apendice B y C no llenos-falta firma RL-la firma el ESR CORREGIR"</formula1>
    </dataValidation>
    <dataValidation type="list" allowBlank="1" showInputMessage="1" showErrorMessage="1" sqref="N40" xr:uid="{16EDAE8F-2C81-455F-9B54-662A49677E27}">
      <formula1>"Completos, Incompletos, Apendice B no lleno-falta firma RL-lo firma el ESR, VENCIDA"</formula1>
    </dataValidation>
    <dataValidation type="list" allowBlank="1" showInputMessage="1" showErrorMessage="1" sqref="N42 YX42 BF42 XF42 VN42 TV42 JR42 LJ42 NB42 OT42 QL42 SD42 AHJ44 AFR44 BF44 EP44 CX44 GH44 JR44 LJ44 NB44 OT44 QL44 SD44 TV44 VN44 XF44 YX44 AAP44 ACH44 ADZ44 HZ44" xr:uid="{BDA61FB7-3158-4FE8-A9CE-8410ED69F18D}">
      <formula1>"Completos, Incompletos, Apendice B no lleno-falta firma RL-lo firma el ESR, SIN FIRMA DE RL"</formula1>
    </dataValidation>
    <dataValidation type="list" allowBlank="1" showInputMessage="1" showErrorMessage="1" sqref="BJ42" xr:uid="{5282D087-79FE-4914-9FA5-C2DA4AE5B067}">
      <formula1>"SI, NO, INE SOLO POR UN LADO, LICENCIA DE CONDUCIR"</formula1>
    </dataValidation>
    <dataValidation type="list" allowBlank="1" showInputMessage="1" showErrorMessage="1" sqref="CX42 EP42" xr:uid="{24C31863-4BF3-458D-9DBF-D2E421FEB2B3}">
      <formula1>"Completos, Incompletos, SIN FIRMA DE RL-SIN FIRMA Y CEDULA DE MEDICO-APENDICE C NO LLENO"</formula1>
    </dataValidation>
    <dataValidation type="list" allowBlank="1" showInputMessage="1" showErrorMessage="1" sqref="EU42" xr:uid="{074E523A-E8DF-48ED-A80A-6A2A4D8F305C}">
      <formula1>"SI, NO, BORROSO"</formula1>
    </dataValidation>
    <dataValidation type="list" allowBlank="1" showInputMessage="1" showErrorMessage="1" sqref="GH42 HZ42" xr:uid="{5F3DE5BE-075E-4381-9372-F14FE0CBE077}">
      <formula1>"Completos, Incompletos, SIN FIRMA DE RL-FIRMADA MAL POR EL ESR COMO RL"</formula1>
    </dataValidation>
    <dataValidation type="list" allowBlank="1" showInputMessage="1" showErrorMessage="1" sqref="N44" xr:uid="{732263ED-E758-4181-9ACB-091F18210395}">
      <formula1>"Completos, Incompletos,FALTA FIRMA RL"</formula1>
    </dataValidation>
    <dataValidation type="list" allowBlank="1" showInputMessage="1" showErrorMessage="1" sqref="GI44" xr:uid="{B3E31A36-6F9E-478B-9CCC-88D36B2AE7F5}">
      <formula1>"SI, NO, CARTA PASANTE, CERTIFICADO, DOCUMENTO DE BACHILLERATO"</formula1>
    </dataValidation>
  </dataValidation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CC29-A8DF-4914-BAC5-A35B82350762}">
  <sheetPr codeName="Sheet3"/>
  <dimension ref="A1:AS3736"/>
  <sheetViews>
    <sheetView showGridLines="0" zoomScale="110" zoomScaleNormal="110" workbookViewId="0">
      <pane xSplit="1" ySplit="1" topLeftCell="B2430" activePane="bottomRight" state="frozen"/>
      <selection activeCell="A44" sqref="A44"/>
      <selection pane="topRight" activeCell="A44" sqref="A44"/>
      <selection pane="bottomLeft" activeCell="A44" sqref="A44"/>
      <selection pane="bottomRight" activeCell="A44" sqref="A44"/>
    </sheetView>
  </sheetViews>
  <sheetFormatPr defaultColWidth="8.88671875" defaultRowHeight="14.4" x14ac:dyDescent="0.3"/>
  <cols>
    <col min="1" max="1" width="18.44140625" customWidth="1"/>
    <col min="2" max="2" width="35" bestFit="1" customWidth="1"/>
    <col min="3" max="3" width="21.44140625" style="2" bestFit="1" customWidth="1"/>
    <col min="4" max="4" width="10.5546875" customWidth="1"/>
    <col min="5" max="5" width="14.5546875" customWidth="1"/>
    <col min="6" max="6" width="17.88671875" customWidth="1"/>
    <col min="7" max="7" width="20.6640625" customWidth="1"/>
    <col min="8" max="8" width="17.6640625" customWidth="1"/>
    <col min="9" max="9" width="22.6640625" style="2" customWidth="1"/>
    <col min="10" max="10" width="27.6640625" customWidth="1"/>
    <col min="11" max="11" width="30.88671875" customWidth="1"/>
    <col min="12" max="12" width="26.6640625" customWidth="1"/>
    <col min="13" max="13" width="14.88671875" customWidth="1"/>
    <col min="14" max="14" width="39.6640625" bestFit="1" customWidth="1"/>
    <col min="15" max="19" width="8.88671875" style="2"/>
    <col min="20" max="24" width="17.88671875" style="2" customWidth="1"/>
    <col min="25" max="25" width="17.6640625" style="2" customWidth="1"/>
    <col min="26" max="28" width="17.88671875" style="2" customWidth="1"/>
    <col min="29" max="45" width="14.88671875" style="2" customWidth="1"/>
  </cols>
  <sheetData>
    <row r="1" spans="1:45" s="87" customFormat="1" ht="43.2" x14ac:dyDescent="0.3">
      <c r="A1" s="414" t="s">
        <v>1</v>
      </c>
      <c r="B1" s="413" t="s">
        <v>1361</v>
      </c>
      <c r="C1" s="413" t="s">
        <v>42</v>
      </c>
      <c r="D1" s="413" t="s">
        <v>1362</v>
      </c>
      <c r="E1" s="413" t="s">
        <v>1363</v>
      </c>
      <c r="F1" s="413" t="s">
        <v>45</v>
      </c>
      <c r="G1" s="413" t="s">
        <v>46</v>
      </c>
      <c r="H1" s="413" t="s">
        <v>47</v>
      </c>
      <c r="I1" s="413" t="s">
        <v>48</v>
      </c>
      <c r="J1" s="413" t="s">
        <v>49</v>
      </c>
      <c r="K1" s="413" t="s">
        <v>50</v>
      </c>
      <c r="L1" s="413" t="s">
        <v>51</v>
      </c>
      <c r="M1" s="413" t="s">
        <v>52</v>
      </c>
      <c r="N1" s="413" t="s">
        <v>53</v>
      </c>
      <c r="O1" s="413" t="s">
        <v>54</v>
      </c>
      <c r="P1" s="413" t="s">
        <v>55</v>
      </c>
      <c r="Q1" s="413" t="s">
        <v>56</v>
      </c>
      <c r="R1" s="413" t="s">
        <v>57</v>
      </c>
      <c r="S1" s="413" t="s">
        <v>58</v>
      </c>
      <c r="T1" s="413" t="s">
        <v>59</v>
      </c>
      <c r="U1" s="413" t="s">
        <v>60</v>
      </c>
      <c r="V1" s="413" t="s">
        <v>61</v>
      </c>
      <c r="W1" s="413" t="s">
        <v>62</v>
      </c>
      <c r="X1" s="413" t="s">
        <v>63</v>
      </c>
      <c r="Y1" s="413" t="s">
        <v>64</v>
      </c>
      <c r="Z1" s="413" t="s">
        <v>65</v>
      </c>
      <c r="AA1" s="413" t="s">
        <v>66</v>
      </c>
      <c r="AB1" s="413" t="s">
        <v>67</v>
      </c>
      <c r="AC1" s="413" t="s">
        <v>68</v>
      </c>
      <c r="AD1" s="413" t="s">
        <v>69</v>
      </c>
      <c r="AE1" s="413" t="s">
        <v>70</v>
      </c>
      <c r="AF1" s="413" t="s">
        <v>71</v>
      </c>
      <c r="AG1" s="413" t="s">
        <v>72</v>
      </c>
      <c r="AH1" s="413" t="s">
        <v>73</v>
      </c>
      <c r="AI1" s="413" t="s">
        <v>74</v>
      </c>
      <c r="AJ1" s="413" t="s">
        <v>75</v>
      </c>
      <c r="AK1" s="413" t="s">
        <v>76</v>
      </c>
      <c r="AL1" s="413" t="s">
        <v>77</v>
      </c>
      <c r="AM1" s="413" t="s">
        <v>78</v>
      </c>
      <c r="AN1" s="413" t="s">
        <v>79</v>
      </c>
      <c r="AO1" s="413" t="s">
        <v>80</v>
      </c>
      <c r="AP1" s="413" t="s">
        <v>81</v>
      </c>
      <c r="AQ1" s="413" t="s">
        <v>82</v>
      </c>
      <c r="AR1" s="413" t="s">
        <v>83</v>
      </c>
      <c r="AS1" s="413" t="s">
        <v>83</v>
      </c>
    </row>
    <row r="2" spans="1:45" x14ac:dyDescent="0.3">
      <c r="A2" s="410" t="s">
        <v>1366</v>
      </c>
      <c r="B2" s="17" t="s">
        <v>1367</v>
      </c>
      <c r="C2" s="19" t="s">
        <v>1368</v>
      </c>
      <c r="D2" s="19">
        <v>23058853</v>
      </c>
      <c r="E2" s="18"/>
      <c r="F2" s="19"/>
      <c r="G2" s="31"/>
      <c r="H2" s="31">
        <v>365</v>
      </c>
      <c r="I2" s="19"/>
      <c r="J2" s="19"/>
      <c r="K2" s="21"/>
      <c r="L2" s="22"/>
      <c r="M2" s="19"/>
      <c r="N2" s="20"/>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row>
    <row r="3" spans="1:45" x14ac:dyDescent="0.3">
      <c r="A3" s="410" t="s">
        <v>1369</v>
      </c>
      <c r="B3" s="17" t="s">
        <v>1370</v>
      </c>
      <c r="C3" s="19" t="s">
        <v>1371</v>
      </c>
      <c r="D3" s="19">
        <v>23112920</v>
      </c>
      <c r="E3" s="18"/>
      <c r="F3" s="19"/>
      <c r="G3" s="31">
        <v>45343</v>
      </c>
      <c r="H3" s="31">
        <v>45708</v>
      </c>
      <c r="I3" s="19" t="s">
        <v>1372</v>
      </c>
      <c r="J3" s="19" t="s">
        <v>1373</v>
      </c>
      <c r="K3" s="18" t="s">
        <v>1372</v>
      </c>
      <c r="L3" s="19" t="s">
        <v>1373</v>
      </c>
      <c r="M3" s="19" t="s">
        <v>1372</v>
      </c>
      <c r="N3" s="20" t="s">
        <v>1374</v>
      </c>
      <c r="O3" s="19" t="s">
        <v>1372</v>
      </c>
      <c r="P3" s="19"/>
      <c r="Q3" s="19" t="s">
        <v>1372</v>
      </c>
      <c r="R3" s="19" t="s">
        <v>1372</v>
      </c>
      <c r="S3" s="19" t="s">
        <v>1372</v>
      </c>
      <c r="T3" s="19" t="s">
        <v>1372</v>
      </c>
      <c r="U3" s="19" t="s">
        <v>1372</v>
      </c>
      <c r="V3" s="19" t="s">
        <v>1372</v>
      </c>
      <c r="W3" s="19"/>
      <c r="X3" s="19"/>
      <c r="Y3" s="19"/>
      <c r="Z3" s="19" t="s">
        <v>1372</v>
      </c>
      <c r="AA3" s="19"/>
      <c r="AB3" s="19"/>
      <c r="AC3" s="19"/>
      <c r="AD3" s="19"/>
      <c r="AE3" s="19"/>
      <c r="AF3" s="19"/>
      <c r="AG3" s="19"/>
      <c r="AH3" s="19"/>
      <c r="AI3" s="19"/>
      <c r="AJ3" s="19"/>
      <c r="AK3" s="19"/>
      <c r="AL3" s="19"/>
      <c r="AM3" s="19"/>
      <c r="AN3" s="19"/>
      <c r="AO3" s="19"/>
      <c r="AP3" s="19" t="s">
        <v>1372</v>
      </c>
      <c r="AQ3" s="19"/>
      <c r="AR3" s="19" t="s">
        <v>1375</v>
      </c>
      <c r="AS3" s="19"/>
    </row>
    <row r="4" spans="1:45" x14ac:dyDescent="0.3">
      <c r="A4" s="410" t="s">
        <v>1376</v>
      </c>
      <c r="B4" s="17" t="s">
        <v>1377</v>
      </c>
      <c r="C4" s="19" t="s">
        <v>1371</v>
      </c>
      <c r="D4" s="19">
        <v>23108943</v>
      </c>
      <c r="E4" s="18"/>
      <c r="F4" s="19"/>
      <c r="G4" s="31">
        <v>45344</v>
      </c>
      <c r="H4" s="31">
        <v>45709</v>
      </c>
      <c r="I4" s="19" t="s">
        <v>1372</v>
      </c>
      <c r="J4" s="19" t="s">
        <v>1373</v>
      </c>
      <c r="K4" s="18" t="s">
        <v>1372</v>
      </c>
      <c r="L4" s="19" t="s">
        <v>1373</v>
      </c>
      <c r="M4" s="19" t="s">
        <v>1372</v>
      </c>
      <c r="N4" s="20" t="s">
        <v>1374</v>
      </c>
      <c r="O4" s="19" t="s">
        <v>1378</v>
      </c>
      <c r="P4" s="19"/>
      <c r="Q4" s="19" t="s">
        <v>1372</v>
      </c>
      <c r="R4" s="19" t="s">
        <v>1372</v>
      </c>
      <c r="S4" s="19" t="s">
        <v>1372</v>
      </c>
      <c r="T4" s="19" t="s">
        <v>1372</v>
      </c>
      <c r="U4" s="19" t="s">
        <v>1372</v>
      </c>
      <c r="V4" s="19" t="s">
        <v>1372</v>
      </c>
      <c r="W4" s="19"/>
      <c r="X4" s="19"/>
      <c r="Y4" s="19"/>
      <c r="Z4" s="19" t="s">
        <v>1372</v>
      </c>
      <c r="AA4" s="19"/>
      <c r="AB4" s="19"/>
      <c r="AC4" s="19"/>
      <c r="AD4" s="19"/>
      <c r="AE4" s="19"/>
      <c r="AF4" s="19"/>
      <c r="AG4" s="19"/>
      <c r="AH4" s="19"/>
      <c r="AI4" s="19"/>
      <c r="AJ4" s="19"/>
      <c r="AK4" s="19"/>
      <c r="AL4" s="19"/>
      <c r="AM4" s="19"/>
      <c r="AN4" s="19"/>
      <c r="AO4" s="19"/>
      <c r="AP4" s="19" t="s">
        <v>1372</v>
      </c>
      <c r="AQ4" s="19"/>
      <c r="AR4" s="19"/>
      <c r="AS4" s="19"/>
    </row>
    <row r="5" spans="1:45" x14ac:dyDescent="0.3">
      <c r="A5" s="410" t="s">
        <v>1379</v>
      </c>
      <c r="B5" s="17" t="s">
        <v>1380</v>
      </c>
      <c r="C5" s="19" t="s">
        <v>1381</v>
      </c>
      <c r="D5" s="19">
        <v>23069029</v>
      </c>
      <c r="E5" s="18"/>
      <c r="F5" s="19"/>
      <c r="G5" s="31">
        <v>45345</v>
      </c>
      <c r="H5" s="31">
        <v>45710</v>
      </c>
      <c r="I5" s="19" t="s">
        <v>1372</v>
      </c>
      <c r="J5" s="19" t="s">
        <v>1373</v>
      </c>
      <c r="K5" s="18" t="s">
        <v>1372</v>
      </c>
      <c r="L5" s="19" t="s">
        <v>1373</v>
      </c>
      <c r="M5" s="19" t="s">
        <v>1372</v>
      </c>
      <c r="N5" s="20" t="s">
        <v>1374</v>
      </c>
      <c r="O5" s="19"/>
      <c r="P5" s="19" t="s">
        <v>1372</v>
      </c>
      <c r="Q5" s="19" t="s">
        <v>1372</v>
      </c>
      <c r="R5" s="19" t="s">
        <v>1372</v>
      </c>
      <c r="S5" s="19" t="s">
        <v>1372</v>
      </c>
      <c r="T5" s="19" t="s">
        <v>1372</v>
      </c>
      <c r="U5" s="19" t="s">
        <v>1372</v>
      </c>
      <c r="V5" s="19"/>
      <c r="W5" s="19" t="s">
        <v>1382</v>
      </c>
      <c r="X5" s="19"/>
      <c r="Y5" s="19"/>
      <c r="Z5" s="19" t="s">
        <v>1372</v>
      </c>
      <c r="AA5" s="19"/>
      <c r="AB5" s="19"/>
      <c r="AC5" s="19"/>
      <c r="AD5" s="19"/>
      <c r="AE5" s="19"/>
      <c r="AF5" s="19"/>
      <c r="AG5" s="19"/>
      <c r="AH5" s="19"/>
      <c r="AI5" s="19"/>
      <c r="AJ5" s="19"/>
      <c r="AK5" s="19"/>
      <c r="AL5" s="19"/>
      <c r="AM5" s="19"/>
      <c r="AN5" s="19"/>
      <c r="AO5" s="19"/>
      <c r="AP5" s="19"/>
      <c r="AQ5" s="19"/>
      <c r="AR5" s="19"/>
      <c r="AS5" s="19"/>
    </row>
    <row r="6" spans="1:45" x14ac:dyDescent="0.3">
      <c r="A6" s="410" t="s">
        <v>1383</v>
      </c>
      <c r="B6" s="17"/>
      <c r="C6" s="19"/>
      <c r="D6" s="19"/>
      <c r="E6" s="18"/>
      <c r="F6" s="19"/>
      <c r="G6" s="31"/>
      <c r="H6" s="31"/>
      <c r="I6" s="19"/>
      <c r="J6" s="19"/>
      <c r="K6" s="18"/>
      <c r="L6" s="19"/>
      <c r="M6" s="19"/>
      <c r="N6" s="20"/>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row>
    <row r="7" spans="1:45" x14ac:dyDescent="0.3">
      <c r="A7" s="410" t="s">
        <v>1384</v>
      </c>
      <c r="B7" s="17"/>
      <c r="C7" s="19"/>
      <c r="D7" s="18"/>
      <c r="E7" s="18"/>
      <c r="F7" s="19"/>
      <c r="G7" s="31"/>
      <c r="H7" s="31"/>
      <c r="I7" s="19"/>
      <c r="J7" s="19"/>
      <c r="K7" s="21"/>
      <c r="L7" s="22"/>
      <c r="M7" s="19"/>
      <c r="N7" s="20"/>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row>
    <row r="8" spans="1:45" x14ac:dyDescent="0.3">
      <c r="A8" s="410" t="s">
        <v>1385</v>
      </c>
      <c r="B8" s="17"/>
      <c r="C8" s="19"/>
      <c r="D8" s="18"/>
      <c r="E8" s="18"/>
      <c r="F8" s="19"/>
      <c r="G8" s="31"/>
      <c r="H8" s="31"/>
      <c r="I8" s="19"/>
      <c r="J8" s="19"/>
      <c r="K8" s="21"/>
      <c r="L8" s="22"/>
      <c r="M8" s="19"/>
      <c r="N8" s="20"/>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row>
    <row r="9" spans="1:45" x14ac:dyDescent="0.3">
      <c r="A9" s="410" t="s">
        <v>1386</v>
      </c>
      <c r="B9" s="17"/>
      <c r="C9" s="19"/>
      <c r="D9" s="18"/>
      <c r="E9" s="18"/>
      <c r="F9" s="19"/>
      <c r="G9" s="31"/>
      <c r="H9" s="31"/>
      <c r="I9" s="19"/>
      <c r="J9" s="19"/>
      <c r="K9" s="18"/>
      <c r="L9" s="19"/>
      <c r="M9" s="19"/>
      <c r="N9" s="20"/>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x14ac:dyDescent="0.3">
      <c r="A10" s="410" t="s">
        <v>1387</v>
      </c>
      <c r="B10" s="17"/>
      <c r="C10" s="19"/>
      <c r="D10" s="18"/>
      <c r="E10" s="18"/>
      <c r="F10" s="19"/>
      <c r="G10" s="31"/>
      <c r="H10" s="31"/>
      <c r="I10" s="19"/>
      <c r="J10" s="19"/>
      <c r="K10" s="21"/>
      <c r="L10" s="22"/>
      <c r="M10" s="19"/>
      <c r="N10" s="20"/>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x14ac:dyDescent="0.3">
      <c r="A11" s="410" t="s">
        <v>1388</v>
      </c>
      <c r="B11" s="17"/>
      <c r="C11" s="19"/>
      <c r="D11" s="18"/>
      <c r="E11" s="18"/>
      <c r="F11" s="19"/>
      <c r="G11" s="31"/>
      <c r="H11" s="31"/>
      <c r="I11" s="19"/>
      <c r="J11" s="19"/>
      <c r="K11" s="21"/>
      <c r="L11" s="22"/>
      <c r="M11" s="19"/>
      <c r="N11" s="20"/>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row>
    <row r="12" spans="1:45" x14ac:dyDescent="0.3">
      <c r="A12" s="410" t="s">
        <v>1389</v>
      </c>
      <c r="B12" s="17"/>
      <c r="C12" s="19"/>
      <c r="D12" s="18"/>
      <c r="E12" s="18"/>
      <c r="F12" s="19"/>
      <c r="G12" s="31"/>
      <c r="H12" s="31"/>
      <c r="I12" s="19"/>
      <c r="J12" s="19"/>
      <c r="K12" s="21"/>
      <c r="L12" s="22"/>
      <c r="M12" s="19"/>
      <c r="N12" s="20"/>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row>
    <row r="13" spans="1:45" x14ac:dyDescent="0.3">
      <c r="A13" s="410" t="s">
        <v>1390</v>
      </c>
      <c r="B13" s="17"/>
      <c r="C13" s="19"/>
      <c r="D13" s="18"/>
      <c r="E13" s="18"/>
      <c r="F13" s="19"/>
      <c r="G13" s="31"/>
      <c r="H13" s="31"/>
      <c r="I13" s="19"/>
      <c r="J13" s="19"/>
      <c r="K13" s="21"/>
      <c r="L13" s="22"/>
      <c r="M13" s="19"/>
      <c r="N13" s="20"/>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row>
    <row r="14" spans="1:45" x14ac:dyDescent="0.3">
      <c r="A14" s="410" t="s">
        <v>1391</v>
      </c>
      <c r="B14" s="17"/>
      <c r="C14" s="19"/>
      <c r="D14" s="18"/>
      <c r="E14" s="18"/>
      <c r="F14" s="19"/>
      <c r="G14" s="31"/>
      <c r="H14" s="31"/>
      <c r="I14" s="19"/>
      <c r="J14" s="19"/>
      <c r="K14" s="21"/>
      <c r="L14" s="22"/>
      <c r="M14" s="19"/>
      <c r="N14" s="20"/>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row>
    <row r="15" spans="1:45" x14ac:dyDescent="0.3">
      <c r="A15" s="410" t="s">
        <v>1392</v>
      </c>
      <c r="B15" s="17"/>
      <c r="C15" s="19"/>
      <c r="D15" s="18"/>
      <c r="E15" s="18"/>
      <c r="F15" s="19"/>
      <c r="G15" s="31"/>
      <c r="H15" s="31"/>
      <c r="I15" s="19"/>
      <c r="J15" s="19"/>
      <c r="K15" s="21"/>
      <c r="L15" s="22"/>
      <c r="M15" s="19"/>
      <c r="N15" s="20"/>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row>
    <row r="16" spans="1:45" x14ac:dyDescent="0.3">
      <c r="A16" s="410" t="s">
        <v>1393</v>
      </c>
      <c r="B16" s="17"/>
      <c r="C16" s="19"/>
      <c r="D16" s="18"/>
      <c r="E16" s="18"/>
      <c r="F16" s="19"/>
      <c r="G16" s="31"/>
      <c r="H16" s="31"/>
      <c r="I16" s="19"/>
      <c r="J16" s="19"/>
      <c r="K16" s="21"/>
      <c r="L16" s="22"/>
      <c r="M16" s="19"/>
      <c r="N16" s="20"/>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row>
    <row r="17" spans="1:45" x14ac:dyDescent="0.3">
      <c r="A17" s="410" t="s">
        <v>1394</v>
      </c>
      <c r="B17" s="17"/>
      <c r="C17" s="19"/>
      <c r="D17" s="18"/>
      <c r="E17" s="18"/>
      <c r="F17" s="19"/>
      <c r="G17" s="31"/>
      <c r="H17" s="31"/>
      <c r="I17" s="19"/>
      <c r="J17" s="19"/>
      <c r="K17" s="21"/>
      <c r="L17" s="22"/>
      <c r="M17" s="19"/>
      <c r="N17" s="20"/>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row>
    <row r="18" spans="1:45" x14ac:dyDescent="0.3">
      <c r="A18" s="410" t="s">
        <v>1395</v>
      </c>
      <c r="B18" s="17"/>
      <c r="C18" s="19"/>
      <c r="D18" s="18"/>
      <c r="E18" s="18"/>
      <c r="F18" s="19"/>
      <c r="G18" s="31"/>
      <c r="H18" s="31"/>
      <c r="I18" s="19"/>
      <c r="J18" s="19"/>
      <c r="K18" s="21"/>
      <c r="L18" s="22"/>
      <c r="M18" s="19"/>
      <c r="N18" s="20"/>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row>
    <row r="19" spans="1:45" x14ac:dyDescent="0.3">
      <c r="A19" s="410" t="s">
        <v>1396</v>
      </c>
      <c r="B19" s="17"/>
      <c r="C19" s="19"/>
      <c r="D19" s="18"/>
      <c r="E19" s="18"/>
      <c r="F19" s="19"/>
      <c r="G19" s="31"/>
      <c r="H19" s="31"/>
      <c r="I19" s="19"/>
      <c r="J19" s="19"/>
      <c r="K19" s="21"/>
      <c r="L19" s="22"/>
      <c r="M19" s="19"/>
      <c r="N19" s="20"/>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x14ac:dyDescent="0.3">
      <c r="A20" s="410" t="s">
        <v>1397</v>
      </c>
      <c r="B20" s="17"/>
      <c r="C20" s="19"/>
      <c r="D20" s="18"/>
      <c r="E20" s="18"/>
      <c r="F20" s="19"/>
      <c r="G20" s="31"/>
      <c r="H20" s="31"/>
      <c r="I20" s="19"/>
      <c r="J20" s="19"/>
      <c r="K20" s="21"/>
      <c r="L20" s="22"/>
      <c r="M20" s="19"/>
      <c r="N20" s="20"/>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row>
    <row r="21" spans="1:45" x14ac:dyDescent="0.3">
      <c r="A21" s="410" t="s">
        <v>1398</v>
      </c>
      <c r="B21" s="17"/>
      <c r="C21" s="19"/>
      <c r="D21" s="18"/>
      <c r="E21" s="18"/>
      <c r="F21" s="19"/>
      <c r="G21" s="31"/>
      <c r="H21" s="31"/>
      <c r="I21" s="19"/>
      <c r="J21" s="19"/>
      <c r="K21" s="21"/>
      <c r="L21" s="22"/>
      <c r="M21" s="19"/>
      <c r="N21" s="20"/>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row>
    <row r="22" spans="1:45" x14ac:dyDescent="0.3">
      <c r="A22" s="410" t="s">
        <v>1399</v>
      </c>
      <c r="B22" s="17"/>
      <c r="C22" s="19"/>
      <c r="D22" s="18"/>
      <c r="E22" s="18"/>
      <c r="F22" s="19"/>
      <c r="G22" s="31"/>
      <c r="H22" s="31"/>
      <c r="I22" s="19"/>
      <c r="J22" s="19"/>
      <c r="K22" s="21"/>
      <c r="L22" s="22"/>
      <c r="M22" s="19"/>
      <c r="N22" s="20"/>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row>
    <row r="23" spans="1:45" x14ac:dyDescent="0.3">
      <c r="A23" s="410" t="s">
        <v>1400</v>
      </c>
      <c r="B23" s="17"/>
      <c r="C23" s="19"/>
      <c r="D23" s="18"/>
      <c r="E23" s="18"/>
      <c r="F23" s="19"/>
      <c r="G23" s="31"/>
      <c r="H23" s="31"/>
      <c r="I23" s="19"/>
      <c r="J23" s="19"/>
      <c r="K23" s="21"/>
      <c r="L23" s="22"/>
      <c r="M23" s="19"/>
      <c r="N23" s="20"/>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row>
    <row r="24" spans="1:45" x14ac:dyDescent="0.3">
      <c r="A24" s="410" t="s">
        <v>1401</v>
      </c>
      <c r="B24" s="17"/>
      <c r="C24" s="19"/>
      <c r="D24" s="18"/>
      <c r="E24" s="18"/>
      <c r="F24" s="19"/>
      <c r="G24" s="31"/>
      <c r="H24" s="31"/>
      <c r="I24" s="19"/>
      <c r="J24" s="19"/>
      <c r="K24" s="21"/>
      <c r="L24" s="22"/>
      <c r="M24" s="19"/>
      <c r="N24" s="20"/>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row>
    <row r="25" spans="1:45" x14ac:dyDescent="0.3">
      <c r="A25" s="410" t="s">
        <v>1402</v>
      </c>
      <c r="B25" s="17"/>
      <c r="C25" s="19"/>
      <c r="D25" s="18"/>
      <c r="E25" s="18"/>
      <c r="F25" s="19"/>
      <c r="G25" s="31"/>
      <c r="H25" s="31"/>
      <c r="I25" s="19"/>
      <c r="J25" s="19"/>
      <c r="K25" s="21"/>
      <c r="L25" s="22"/>
      <c r="M25" s="19"/>
      <c r="N25" s="20"/>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row>
    <row r="26" spans="1:45" x14ac:dyDescent="0.3">
      <c r="A26" s="410" t="s">
        <v>1403</v>
      </c>
      <c r="B26" s="17"/>
      <c r="C26" s="19"/>
      <c r="D26" s="18"/>
      <c r="E26" s="18"/>
      <c r="F26" s="19"/>
      <c r="G26" s="31"/>
      <c r="H26" s="31"/>
      <c r="I26" s="19"/>
      <c r="J26" s="19"/>
      <c r="K26" s="21"/>
      <c r="L26" s="22"/>
      <c r="M26" s="19"/>
      <c r="N26" s="20"/>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row>
    <row r="27" spans="1:45" x14ac:dyDescent="0.3">
      <c r="A27" s="410" t="s">
        <v>1404</v>
      </c>
      <c r="B27" s="17"/>
      <c r="C27" s="19"/>
      <c r="D27" s="18"/>
      <c r="E27" s="18"/>
      <c r="F27" s="19"/>
      <c r="G27" s="31"/>
      <c r="H27" s="31"/>
      <c r="I27" s="19"/>
      <c r="J27" s="19"/>
      <c r="K27" s="21"/>
      <c r="L27" s="22"/>
      <c r="M27" s="19"/>
      <c r="N27" s="20"/>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row>
    <row r="28" spans="1:45" x14ac:dyDescent="0.3">
      <c r="A28" s="410" t="s">
        <v>1405</v>
      </c>
      <c r="B28" s="17"/>
      <c r="C28" s="19"/>
      <c r="D28" s="18"/>
      <c r="E28" s="18"/>
      <c r="F28" s="19"/>
      <c r="G28" s="31"/>
      <c r="H28" s="31"/>
      <c r="I28" s="19"/>
      <c r="J28" s="19"/>
      <c r="K28" s="21"/>
      <c r="L28" s="22"/>
      <c r="M28" s="19"/>
      <c r="N28" s="20"/>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x14ac:dyDescent="0.3">
      <c r="A29" s="410" t="s">
        <v>1406</v>
      </c>
      <c r="B29" s="17"/>
      <c r="C29" s="19"/>
      <c r="D29" s="18"/>
      <c r="E29" s="18"/>
      <c r="F29" s="19"/>
      <c r="G29" s="31"/>
      <c r="H29" s="31"/>
      <c r="I29" s="19"/>
      <c r="J29" s="19"/>
      <c r="K29" s="21"/>
      <c r="L29" s="22"/>
      <c r="M29" s="19"/>
      <c r="N29" s="20"/>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row>
    <row r="30" spans="1:45" x14ac:dyDescent="0.3">
      <c r="A30" s="410" t="s">
        <v>1407</v>
      </c>
      <c r="B30" s="17"/>
      <c r="C30" s="19"/>
      <c r="D30" s="18"/>
      <c r="E30" s="18"/>
      <c r="F30" s="19"/>
      <c r="G30" s="31"/>
      <c r="H30" s="31"/>
      <c r="I30" s="19"/>
      <c r="J30" s="19"/>
      <c r="K30" s="21"/>
      <c r="L30" s="22"/>
      <c r="M30" s="19"/>
      <c r="N30" s="20"/>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x14ac:dyDescent="0.3">
      <c r="A31" s="410" t="s">
        <v>1408</v>
      </c>
      <c r="B31" s="17"/>
      <c r="C31" s="19"/>
      <c r="D31" s="18"/>
      <c r="E31" s="18"/>
      <c r="F31" s="19"/>
      <c r="G31" s="31"/>
      <c r="H31" s="31"/>
      <c r="I31" s="19"/>
      <c r="J31" s="19"/>
      <c r="K31" s="21"/>
      <c r="L31" s="22"/>
      <c r="M31" s="19"/>
      <c r="N31" s="20"/>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row>
    <row r="32" spans="1:45" x14ac:dyDescent="0.3">
      <c r="A32" s="410" t="s">
        <v>1409</v>
      </c>
      <c r="B32" s="17"/>
      <c r="C32" s="19"/>
      <c r="D32" s="18"/>
      <c r="E32" s="18"/>
      <c r="F32" s="19"/>
      <c r="G32" s="31"/>
      <c r="H32" s="31"/>
      <c r="I32" s="19"/>
      <c r="J32" s="19"/>
      <c r="K32" s="21"/>
      <c r="L32" s="22"/>
      <c r="M32" s="19"/>
      <c r="N32" s="20"/>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x14ac:dyDescent="0.3">
      <c r="A33" s="410" t="s">
        <v>1410</v>
      </c>
      <c r="B33" s="17"/>
      <c r="C33" s="19"/>
      <c r="D33" s="18"/>
      <c r="E33" s="18"/>
      <c r="F33" s="19"/>
      <c r="G33" s="31"/>
      <c r="H33" s="31"/>
      <c r="I33" s="19"/>
      <c r="J33" s="19"/>
      <c r="K33" s="21"/>
      <c r="L33" s="22"/>
      <c r="M33" s="19"/>
      <c r="N33" s="20"/>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x14ac:dyDescent="0.3">
      <c r="A34" s="410" t="s">
        <v>1411</v>
      </c>
      <c r="B34" s="17"/>
      <c r="C34" s="19"/>
      <c r="D34" s="18"/>
      <c r="E34" s="18"/>
      <c r="F34" s="19"/>
      <c r="G34" s="31"/>
      <c r="H34" s="31"/>
      <c r="I34" s="19"/>
      <c r="J34" s="19"/>
      <c r="K34" s="21"/>
      <c r="L34" s="22"/>
      <c r="M34" s="19"/>
      <c r="N34" s="20"/>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x14ac:dyDescent="0.3">
      <c r="A35" s="410" t="s">
        <v>1412</v>
      </c>
      <c r="B35" s="17"/>
      <c r="C35" s="19"/>
      <c r="D35" s="18"/>
      <c r="E35" s="18"/>
      <c r="F35" s="19"/>
      <c r="G35" s="31"/>
      <c r="H35" s="31"/>
      <c r="I35" s="19"/>
      <c r="J35" s="19"/>
      <c r="K35" s="21"/>
      <c r="L35" s="22"/>
      <c r="M35" s="19"/>
      <c r="N35" s="20"/>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row>
    <row r="36" spans="1:45" x14ac:dyDescent="0.3">
      <c r="A36" s="410" t="s">
        <v>1413</v>
      </c>
      <c r="B36" s="17"/>
      <c r="C36" s="19"/>
      <c r="D36" s="18"/>
      <c r="E36" s="18"/>
      <c r="F36" s="19"/>
      <c r="G36" s="31"/>
      <c r="H36" s="31"/>
      <c r="I36" s="19"/>
      <c r="J36" s="19"/>
      <c r="K36" s="21"/>
      <c r="L36" s="22"/>
      <c r="M36" s="19"/>
      <c r="N36" s="20"/>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row>
    <row r="37" spans="1:45" x14ac:dyDescent="0.3">
      <c r="A37" s="410" t="s">
        <v>1414</v>
      </c>
      <c r="B37" s="17"/>
      <c r="C37" s="19"/>
      <c r="D37" s="18"/>
      <c r="E37" s="18"/>
      <c r="F37" s="19"/>
      <c r="G37" s="31"/>
      <c r="H37" s="31"/>
      <c r="I37" s="19"/>
      <c r="J37" s="19"/>
      <c r="K37" s="21"/>
      <c r="L37" s="22"/>
      <c r="M37" s="19"/>
      <c r="N37" s="20"/>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row>
    <row r="38" spans="1:45" x14ac:dyDescent="0.3">
      <c r="A38" s="410" t="s">
        <v>1415</v>
      </c>
      <c r="B38" s="17"/>
      <c r="C38" s="19"/>
      <c r="D38" s="18"/>
      <c r="E38" s="18"/>
      <c r="F38" s="19"/>
      <c r="G38" s="31"/>
      <c r="H38" s="31"/>
      <c r="I38" s="19"/>
      <c r="J38" s="19"/>
      <c r="K38" s="21"/>
      <c r="L38" s="22"/>
      <c r="M38" s="19"/>
      <c r="N38" s="20"/>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row>
    <row r="39" spans="1:45" x14ac:dyDescent="0.3">
      <c r="A39" s="410" t="s">
        <v>1416</v>
      </c>
      <c r="B39" s="17"/>
      <c r="C39" s="19"/>
      <c r="D39" s="18"/>
      <c r="E39" s="18"/>
      <c r="F39" s="19"/>
      <c r="G39" s="31"/>
      <c r="H39" s="31"/>
      <c r="I39" s="19"/>
      <c r="J39" s="19"/>
      <c r="K39" s="21"/>
      <c r="L39" s="22"/>
      <c r="M39" s="19"/>
      <c r="N39" s="20"/>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row>
    <row r="40" spans="1:45" x14ac:dyDescent="0.3">
      <c r="A40" s="410" t="s">
        <v>1417</v>
      </c>
      <c r="B40" s="17"/>
      <c r="C40" s="19"/>
      <c r="D40" s="18"/>
      <c r="E40" s="18"/>
      <c r="F40" s="19"/>
      <c r="G40" s="31"/>
      <c r="H40" s="31"/>
      <c r="I40" s="19"/>
      <c r="J40" s="19"/>
      <c r="K40" s="21"/>
      <c r="L40" s="22"/>
      <c r="M40" s="19"/>
      <c r="N40" s="20"/>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row>
    <row r="41" spans="1:45" x14ac:dyDescent="0.3">
      <c r="A41" s="410" t="s">
        <v>1418</v>
      </c>
      <c r="B41" s="17"/>
      <c r="C41" s="19"/>
      <c r="D41" s="18"/>
      <c r="E41" s="18"/>
      <c r="F41" s="19"/>
      <c r="G41" s="31"/>
      <c r="H41" s="31"/>
      <c r="I41" s="19"/>
      <c r="J41" s="19"/>
      <c r="K41" s="21"/>
      <c r="L41" s="22"/>
      <c r="M41" s="19"/>
      <c r="N41" s="20"/>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x14ac:dyDescent="0.3">
      <c r="A42" s="410" t="s">
        <v>1419</v>
      </c>
      <c r="B42" s="17"/>
      <c r="C42" s="19"/>
      <c r="D42" s="18"/>
      <c r="E42" s="18"/>
      <c r="F42" s="19"/>
      <c r="G42" s="31"/>
      <c r="H42" s="31"/>
      <c r="I42" s="19"/>
      <c r="J42" s="19"/>
      <c r="K42" s="21"/>
      <c r="L42" s="22"/>
      <c r="M42" s="19"/>
      <c r="N42" s="20"/>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row>
    <row r="43" spans="1:45" x14ac:dyDescent="0.3">
      <c r="A43" s="410" t="s">
        <v>1420</v>
      </c>
      <c r="B43" s="17"/>
      <c r="C43" s="19"/>
      <c r="D43" s="18"/>
      <c r="E43" s="18"/>
      <c r="F43" s="19"/>
      <c r="G43" s="31"/>
      <c r="H43" s="31"/>
      <c r="I43" s="19"/>
      <c r="J43" s="19"/>
      <c r="K43" s="21"/>
      <c r="L43" s="22"/>
      <c r="M43" s="19"/>
      <c r="N43" s="20"/>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row>
    <row r="44" spans="1:45" x14ac:dyDescent="0.3">
      <c r="A44" s="410" t="s">
        <v>1421</v>
      </c>
      <c r="B44" s="17"/>
      <c r="C44" s="19"/>
      <c r="D44" s="18"/>
      <c r="E44" s="18"/>
      <c r="F44" s="19"/>
      <c r="G44" s="31"/>
      <c r="H44" s="31"/>
      <c r="I44" s="19"/>
      <c r="J44" s="19"/>
      <c r="K44" s="21"/>
      <c r="L44" s="22"/>
      <c r="M44" s="19"/>
      <c r="N44" s="20"/>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row>
    <row r="45" spans="1:45" x14ac:dyDescent="0.3">
      <c r="A45" s="410" t="s">
        <v>1422</v>
      </c>
      <c r="B45" s="17"/>
      <c r="C45" s="19"/>
      <c r="D45" s="18"/>
      <c r="E45" s="18"/>
      <c r="F45" s="19"/>
      <c r="G45" s="31"/>
      <c r="H45" s="31"/>
      <c r="I45" s="19"/>
      <c r="J45" s="19"/>
      <c r="K45" s="21"/>
      <c r="L45" s="22"/>
      <c r="M45" s="19"/>
      <c r="N45" s="20"/>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row>
    <row r="46" spans="1:45" x14ac:dyDescent="0.3">
      <c r="A46" s="410" t="s">
        <v>1423</v>
      </c>
      <c r="B46" s="17"/>
      <c r="C46" s="19"/>
      <c r="D46" s="18"/>
      <c r="E46" s="18"/>
      <c r="F46" s="19"/>
      <c r="G46" s="31"/>
      <c r="H46" s="31"/>
      <c r="I46" s="19"/>
      <c r="J46" s="19"/>
      <c r="K46" s="21"/>
      <c r="L46" s="22"/>
      <c r="M46" s="19"/>
      <c r="N46" s="20"/>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row>
    <row r="47" spans="1:45" x14ac:dyDescent="0.3">
      <c r="A47" s="410" t="s">
        <v>1424</v>
      </c>
      <c r="B47" s="17"/>
      <c r="C47" s="19"/>
      <c r="D47" s="18"/>
      <c r="E47" s="18"/>
      <c r="F47" s="19"/>
      <c r="G47" s="31"/>
      <c r="H47" s="31"/>
      <c r="I47" s="19"/>
      <c r="J47" s="19"/>
      <c r="K47" s="21"/>
      <c r="L47" s="22"/>
      <c r="M47" s="19"/>
      <c r="N47" s="20"/>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row>
    <row r="48" spans="1:45" x14ac:dyDescent="0.3">
      <c r="A48" s="410" t="s">
        <v>1425</v>
      </c>
      <c r="B48" s="17"/>
      <c r="C48" s="19"/>
      <c r="D48" s="18"/>
      <c r="E48" s="18"/>
      <c r="F48" s="19"/>
      <c r="G48" s="31"/>
      <c r="H48" s="31"/>
      <c r="I48" s="19"/>
      <c r="J48" s="19"/>
      <c r="K48" s="21"/>
      <c r="L48" s="22"/>
      <c r="M48" s="19"/>
      <c r="N48" s="20"/>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row>
    <row r="49" spans="1:45" x14ac:dyDescent="0.3">
      <c r="A49" s="410" t="s">
        <v>1426</v>
      </c>
      <c r="B49" s="17"/>
      <c r="C49" s="19"/>
      <c r="D49" s="18"/>
      <c r="E49" s="18"/>
      <c r="F49" s="19"/>
      <c r="G49" s="31"/>
      <c r="H49" s="31"/>
      <c r="I49" s="19"/>
      <c r="J49" s="19"/>
      <c r="K49" s="21"/>
      <c r="L49" s="22"/>
      <c r="M49" s="19"/>
      <c r="N49" s="20"/>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row>
    <row r="50" spans="1:45" x14ac:dyDescent="0.3">
      <c r="A50" s="410" t="s">
        <v>1427</v>
      </c>
      <c r="B50" s="17"/>
      <c r="C50" s="19"/>
      <c r="D50" s="18"/>
      <c r="E50" s="18"/>
      <c r="F50" s="19"/>
      <c r="G50" s="31"/>
      <c r="H50" s="31"/>
      <c r="I50" s="19"/>
      <c r="J50" s="19"/>
      <c r="K50" s="21"/>
      <c r="L50" s="22"/>
      <c r="M50" s="19"/>
      <c r="N50" s="20"/>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row>
    <row r="51" spans="1:45" x14ac:dyDescent="0.3">
      <c r="A51" s="410" t="s">
        <v>1428</v>
      </c>
      <c r="B51" s="17"/>
      <c r="C51" s="19"/>
      <c r="D51" s="18"/>
      <c r="E51" s="18"/>
      <c r="F51" s="19"/>
      <c r="G51" s="31"/>
      <c r="H51" s="31"/>
      <c r="I51" s="19"/>
      <c r="J51" s="19"/>
      <c r="K51" s="21"/>
      <c r="L51" s="22"/>
      <c r="M51" s="19"/>
      <c r="N51" s="20"/>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row>
    <row r="52" spans="1:45" x14ac:dyDescent="0.3">
      <c r="A52" s="410" t="s">
        <v>1429</v>
      </c>
      <c r="B52" s="17"/>
      <c r="C52" s="19"/>
      <c r="D52" s="18"/>
      <c r="E52" s="18"/>
      <c r="F52" s="19"/>
      <c r="G52" s="31"/>
      <c r="H52" s="31"/>
      <c r="I52" s="19"/>
      <c r="J52" s="19"/>
      <c r="K52" s="21"/>
      <c r="L52" s="22"/>
      <c r="M52" s="19"/>
      <c r="N52" s="20"/>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row>
    <row r="53" spans="1:45" x14ac:dyDescent="0.3">
      <c r="A53" s="410" t="s">
        <v>1430</v>
      </c>
      <c r="B53" s="17"/>
      <c r="C53" s="19"/>
      <c r="D53" s="18"/>
      <c r="E53" s="18"/>
      <c r="F53" s="19"/>
      <c r="G53" s="31"/>
      <c r="H53" s="31"/>
      <c r="I53" s="19"/>
      <c r="J53" s="19"/>
      <c r="K53" s="21"/>
      <c r="L53" s="22"/>
      <c r="M53" s="19"/>
      <c r="N53" s="20"/>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row>
    <row r="54" spans="1:45" x14ac:dyDescent="0.3">
      <c r="A54" s="410" t="s">
        <v>1431</v>
      </c>
      <c r="B54" s="17"/>
      <c r="C54" s="19"/>
      <c r="D54" s="18"/>
      <c r="E54" s="18"/>
      <c r="F54" s="19"/>
      <c r="G54" s="31"/>
      <c r="H54" s="31"/>
      <c r="I54" s="19"/>
      <c r="J54" s="19"/>
      <c r="K54" s="21"/>
      <c r="L54" s="22"/>
      <c r="M54" s="19"/>
      <c r="N54" s="20"/>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row>
    <row r="55" spans="1:45" x14ac:dyDescent="0.3">
      <c r="A55" s="410" t="s">
        <v>1432</v>
      </c>
      <c r="B55" s="17"/>
      <c r="C55" s="19"/>
      <c r="D55" s="18"/>
      <c r="E55" s="18"/>
      <c r="F55" s="19"/>
      <c r="G55" s="31"/>
      <c r="H55" s="31"/>
      <c r="I55" s="19"/>
      <c r="J55" s="19"/>
      <c r="K55" s="21"/>
      <c r="L55" s="22"/>
      <c r="M55" s="19"/>
      <c r="N55" s="20"/>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row>
    <row r="56" spans="1:45" x14ac:dyDescent="0.3">
      <c r="A56" s="410" t="s">
        <v>1433</v>
      </c>
      <c r="B56" s="17"/>
      <c r="C56" s="19"/>
      <c r="D56" s="18"/>
      <c r="E56" s="18"/>
      <c r="F56" s="19"/>
      <c r="G56" s="31"/>
      <c r="H56" s="31"/>
      <c r="I56" s="19"/>
      <c r="J56" s="19"/>
      <c r="K56" s="21"/>
      <c r="L56" s="22"/>
      <c r="M56" s="19"/>
      <c r="N56" s="20"/>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row>
    <row r="57" spans="1:45" x14ac:dyDescent="0.3">
      <c r="A57" s="410" t="s">
        <v>1434</v>
      </c>
      <c r="B57" s="17"/>
      <c r="C57" s="19"/>
      <c r="D57" s="18"/>
      <c r="E57" s="18"/>
      <c r="F57" s="19"/>
      <c r="G57" s="31"/>
      <c r="H57" s="31"/>
      <c r="I57" s="19"/>
      <c r="J57" s="19"/>
      <c r="K57" s="21"/>
      <c r="L57" s="22"/>
      <c r="M57" s="19"/>
      <c r="N57" s="20"/>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row>
    <row r="58" spans="1:45" x14ac:dyDescent="0.3">
      <c r="A58" s="410" t="s">
        <v>1435</v>
      </c>
      <c r="B58" s="17"/>
      <c r="C58" s="19"/>
      <c r="D58" s="18"/>
      <c r="E58" s="18"/>
      <c r="F58" s="19"/>
      <c r="G58" s="31"/>
      <c r="H58" s="31"/>
      <c r="I58" s="19"/>
      <c r="J58" s="19"/>
      <c r="K58" s="21"/>
      <c r="L58" s="22"/>
      <c r="M58" s="19"/>
      <c r="N58" s="20"/>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row>
    <row r="59" spans="1:45" x14ac:dyDescent="0.3">
      <c r="A59" s="410" t="s">
        <v>1436</v>
      </c>
      <c r="B59" s="17"/>
      <c r="C59" s="19"/>
      <c r="D59" s="18"/>
      <c r="E59" s="18"/>
      <c r="F59" s="19"/>
      <c r="G59" s="31"/>
      <c r="H59" s="31"/>
      <c r="I59" s="19"/>
      <c r="J59" s="19"/>
      <c r="K59" s="21"/>
      <c r="L59" s="22"/>
      <c r="M59" s="19"/>
      <c r="N59" s="20"/>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row>
    <row r="60" spans="1:45" x14ac:dyDescent="0.3">
      <c r="A60" s="410" t="s">
        <v>1437</v>
      </c>
      <c r="B60" s="17"/>
      <c r="C60" s="19"/>
      <c r="D60" s="18"/>
      <c r="E60" s="18"/>
      <c r="F60" s="19"/>
      <c r="G60" s="31"/>
      <c r="H60" s="31"/>
      <c r="I60" s="19"/>
      <c r="J60" s="19"/>
      <c r="K60" s="21"/>
      <c r="L60" s="22"/>
      <c r="M60" s="19"/>
      <c r="N60" s="20"/>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row>
    <row r="61" spans="1:45" x14ac:dyDescent="0.3">
      <c r="A61" s="410" t="s">
        <v>1438</v>
      </c>
      <c r="B61" s="17"/>
      <c r="C61" s="19"/>
      <c r="D61" s="18"/>
      <c r="E61" s="18"/>
      <c r="F61" s="19"/>
      <c r="G61" s="31"/>
      <c r="H61" s="31"/>
      <c r="I61" s="19"/>
      <c r="J61" s="19"/>
      <c r="K61" s="21"/>
      <c r="L61" s="22"/>
      <c r="M61" s="19"/>
      <c r="N61" s="20"/>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row>
    <row r="62" spans="1:45" x14ac:dyDescent="0.3">
      <c r="A62" s="410" t="s">
        <v>1439</v>
      </c>
      <c r="B62" s="17"/>
      <c r="C62" s="19"/>
      <c r="D62" s="18"/>
      <c r="E62" s="18"/>
      <c r="F62" s="19"/>
      <c r="G62" s="31"/>
      <c r="H62" s="31"/>
      <c r="I62" s="19"/>
      <c r="J62" s="19"/>
      <c r="K62" s="21"/>
      <c r="L62" s="22"/>
      <c r="M62" s="19"/>
      <c r="N62" s="20"/>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row>
    <row r="63" spans="1:45" x14ac:dyDescent="0.3">
      <c r="A63" s="410" t="s">
        <v>1440</v>
      </c>
      <c r="B63" s="17"/>
      <c r="C63" s="19"/>
      <c r="D63" s="18"/>
      <c r="E63" s="18"/>
      <c r="F63" s="19"/>
      <c r="G63" s="31"/>
      <c r="H63" s="31"/>
      <c r="I63" s="19"/>
      <c r="J63" s="19"/>
      <c r="K63" s="21"/>
      <c r="L63" s="22"/>
      <c r="M63" s="19"/>
      <c r="N63" s="20"/>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row>
    <row r="64" spans="1:45" x14ac:dyDescent="0.3">
      <c r="A64" s="410" t="s">
        <v>1441</v>
      </c>
      <c r="B64" s="17"/>
      <c r="C64" s="19"/>
      <c r="D64" s="18"/>
      <c r="E64" s="18"/>
      <c r="F64" s="19"/>
      <c r="G64" s="31"/>
      <c r="H64" s="31"/>
      <c r="I64" s="19"/>
      <c r="J64" s="19"/>
      <c r="K64" s="21"/>
      <c r="L64" s="22"/>
      <c r="M64" s="19"/>
      <c r="N64" s="20"/>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row>
    <row r="65" spans="1:45" x14ac:dyDescent="0.3">
      <c r="A65" s="410" t="s">
        <v>1442</v>
      </c>
      <c r="B65" s="17"/>
      <c r="C65" s="19"/>
      <c r="D65" s="18"/>
      <c r="E65" s="18"/>
      <c r="F65" s="19"/>
      <c r="G65" s="31"/>
      <c r="H65" s="31"/>
      <c r="I65" s="19"/>
      <c r="J65" s="19"/>
      <c r="K65" s="21"/>
      <c r="L65" s="22"/>
      <c r="M65" s="19"/>
      <c r="N65" s="20"/>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row>
    <row r="66" spans="1:45" x14ac:dyDescent="0.3">
      <c r="A66" s="410" t="s">
        <v>1443</v>
      </c>
      <c r="B66" s="17"/>
      <c r="C66" s="19"/>
      <c r="D66" s="18"/>
      <c r="E66" s="18"/>
      <c r="F66" s="19"/>
      <c r="G66" s="31"/>
      <c r="H66" s="31"/>
      <c r="I66" s="19"/>
      <c r="J66" s="19"/>
      <c r="K66" s="21"/>
      <c r="L66" s="22"/>
      <c r="M66" s="19"/>
      <c r="N66" s="20"/>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row>
    <row r="67" spans="1:45" x14ac:dyDescent="0.3">
      <c r="A67" s="410" t="s">
        <v>1444</v>
      </c>
      <c r="B67" s="17"/>
      <c r="C67" s="19"/>
      <c r="D67" s="18"/>
      <c r="E67" s="18"/>
      <c r="F67" s="19"/>
      <c r="G67" s="31"/>
      <c r="H67" s="31"/>
      <c r="I67" s="19"/>
      <c r="J67" s="19"/>
      <c r="K67" s="21"/>
      <c r="L67" s="22"/>
      <c r="M67" s="19"/>
      <c r="N67" s="20"/>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row>
    <row r="68" spans="1:45" x14ac:dyDescent="0.3">
      <c r="A68" s="410" t="s">
        <v>1445</v>
      </c>
      <c r="B68" s="17"/>
      <c r="C68" s="19"/>
      <c r="D68" s="18"/>
      <c r="E68" s="18"/>
      <c r="F68" s="19"/>
      <c r="G68" s="31"/>
      <c r="H68" s="31"/>
      <c r="I68" s="19"/>
      <c r="J68" s="19"/>
      <c r="K68" s="21"/>
      <c r="L68" s="22"/>
      <c r="M68" s="19"/>
      <c r="N68" s="20"/>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row>
    <row r="69" spans="1:45" x14ac:dyDescent="0.3">
      <c r="A69" s="410" t="s">
        <v>1446</v>
      </c>
      <c r="B69" s="17"/>
      <c r="C69" s="19"/>
      <c r="D69" s="18"/>
      <c r="E69" s="18"/>
      <c r="F69" s="19"/>
      <c r="G69" s="31"/>
      <c r="H69" s="31"/>
      <c r="I69" s="19"/>
      <c r="J69" s="19"/>
      <c r="K69" s="21"/>
      <c r="L69" s="22"/>
      <c r="M69" s="19"/>
      <c r="N69" s="20"/>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row>
    <row r="70" spans="1:45" x14ac:dyDescent="0.3">
      <c r="A70" s="410" t="s">
        <v>1447</v>
      </c>
      <c r="B70" s="17"/>
      <c r="C70" s="19"/>
      <c r="D70" s="18"/>
      <c r="E70" s="18"/>
      <c r="F70" s="19"/>
      <c r="G70" s="31"/>
      <c r="H70" s="31"/>
      <c r="I70" s="19"/>
      <c r="J70" s="19"/>
      <c r="K70" s="21"/>
      <c r="L70" s="22"/>
      <c r="M70" s="19"/>
      <c r="N70" s="20"/>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row>
    <row r="71" spans="1:45" x14ac:dyDescent="0.3">
      <c r="A71" s="410" t="s">
        <v>1448</v>
      </c>
      <c r="B71" s="17"/>
      <c r="C71" s="19"/>
      <c r="D71" s="18"/>
      <c r="E71" s="18"/>
      <c r="F71" s="19"/>
      <c r="G71" s="31"/>
      <c r="H71" s="31"/>
      <c r="I71" s="19"/>
      <c r="J71" s="19"/>
      <c r="K71" s="21"/>
      <c r="L71" s="22"/>
      <c r="M71" s="19"/>
      <c r="N71" s="20"/>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row>
    <row r="72" spans="1:45" x14ac:dyDescent="0.3">
      <c r="A72" s="410" t="s">
        <v>1449</v>
      </c>
      <c r="B72" s="17"/>
      <c r="C72" s="19"/>
      <c r="D72" s="18"/>
      <c r="E72" s="18"/>
      <c r="F72" s="19"/>
      <c r="G72" s="31"/>
      <c r="H72" s="31"/>
      <c r="I72" s="19"/>
      <c r="J72" s="19"/>
      <c r="K72" s="21"/>
      <c r="L72" s="22"/>
      <c r="M72" s="19"/>
      <c r="N72" s="20"/>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row>
    <row r="73" spans="1:45" x14ac:dyDescent="0.3">
      <c r="A73" s="410" t="s">
        <v>1450</v>
      </c>
      <c r="B73" s="17"/>
      <c r="C73" s="19"/>
      <c r="D73" s="18"/>
      <c r="E73" s="18"/>
      <c r="F73" s="19"/>
      <c r="G73" s="31"/>
      <c r="H73" s="31"/>
      <c r="I73" s="19"/>
      <c r="J73" s="19"/>
      <c r="K73" s="21"/>
      <c r="L73" s="22"/>
      <c r="M73" s="19"/>
      <c r="N73" s="20"/>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row>
    <row r="74" spans="1:45" x14ac:dyDescent="0.3">
      <c r="A74" s="410" t="s">
        <v>1451</v>
      </c>
      <c r="B74" s="17"/>
      <c r="C74" s="19"/>
      <c r="D74" s="18"/>
      <c r="E74" s="18"/>
      <c r="F74" s="19"/>
      <c r="G74" s="31"/>
      <c r="H74" s="31"/>
      <c r="I74" s="19"/>
      <c r="J74" s="19"/>
      <c r="K74" s="21"/>
      <c r="L74" s="22"/>
      <c r="M74" s="19"/>
      <c r="N74" s="20"/>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row>
    <row r="75" spans="1:45" x14ac:dyDescent="0.3">
      <c r="A75" s="410" t="s">
        <v>1452</v>
      </c>
      <c r="B75" s="17"/>
      <c r="C75" s="19"/>
      <c r="D75" s="18"/>
      <c r="E75" s="18"/>
      <c r="F75" s="19"/>
      <c r="G75" s="31"/>
      <c r="H75" s="31"/>
      <c r="I75" s="19"/>
      <c r="J75" s="19"/>
      <c r="K75" s="21"/>
      <c r="L75" s="22"/>
      <c r="M75" s="19"/>
      <c r="N75" s="20"/>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row>
    <row r="76" spans="1:45" x14ac:dyDescent="0.3">
      <c r="A76" s="410" t="s">
        <v>1453</v>
      </c>
      <c r="B76" s="17"/>
      <c r="C76" s="19"/>
      <c r="D76" s="18"/>
      <c r="E76" s="18"/>
      <c r="F76" s="19"/>
      <c r="G76" s="31"/>
      <c r="H76" s="31"/>
      <c r="I76" s="19"/>
      <c r="J76" s="19"/>
      <c r="K76" s="21"/>
      <c r="L76" s="22"/>
      <c r="M76" s="19"/>
      <c r="N76" s="20"/>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3">
      <c r="A77" s="410" t="s">
        <v>1454</v>
      </c>
      <c r="B77" s="17"/>
      <c r="C77" s="19"/>
      <c r="D77" s="18"/>
      <c r="E77" s="18"/>
      <c r="F77" s="19"/>
      <c r="G77" s="31"/>
      <c r="H77" s="31"/>
      <c r="I77" s="19"/>
      <c r="J77" s="19"/>
      <c r="K77" s="21"/>
      <c r="L77" s="22"/>
      <c r="M77" s="19"/>
      <c r="N77" s="20"/>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row>
    <row r="78" spans="1:45" x14ac:dyDescent="0.3">
      <c r="A78" s="410" t="s">
        <v>1455</v>
      </c>
      <c r="B78" s="17"/>
      <c r="C78" s="19"/>
      <c r="D78" s="18"/>
      <c r="E78" s="18"/>
      <c r="F78" s="19"/>
      <c r="G78" s="31"/>
      <c r="H78" s="31"/>
      <c r="I78" s="19"/>
      <c r="J78" s="19"/>
      <c r="K78" s="21"/>
      <c r="L78" s="22"/>
      <c r="M78" s="19"/>
      <c r="N78" s="20"/>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row>
    <row r="79" spans="1:45" x14ac:dyDescent="0.3">
      <c r="A79" s="410" t="s">
        <v>1456</v>
      </c>
      <c r="B79" s="17"/>
      <c r="C79" s="19"/>
      <c r="D79" s="18"/>
      <c r="E79" s="18"/>
      <c r="F79" s="19"/>
      <c r="G79" s="31"/>
      <c r="H79" s="31"/>
      <c r="I79" s="19"/>
      <c r="J79" s="19"/>
      <c r="K79" s="21"/>
      <c r="L79" s="22"/>
      <c r="M79" s="19"/>
      <c r="N79" s="20"/>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row>
    <row r="80" spans="1:45" x14ac:dyDescent="0.3">
      <c r="A80" s="410" t="s">
        <v>1457</v>
      </c>
      <c r="B80" s="17"/>
      <c r="C80" s="19"/>
      <c r="D80" s="18"/>
      <c r="E80" s="18"/>
      <c r="F80" s="19"/>
      <c r="G80" s="31"/>
      <c r="H80" s="31"/>
      <c r="I80" s="19"/>
      <c r="J80" s="19"/>
      <c r="K80" s="21"/>
      <c r="L80" s="22"/>
      <c r="M80" s="19"/>
      <c r="N80" s="20"/>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3">
      <c r="A81" s="410" t="s">
        <v>1458</v>
      </c>
      <c r="B81" s="17"/>
      <c r="C81" s="19"/>
      <c r="D81" s="18"/>
      <c r="E81" s="18"/>
      <c r="F81" s="19"/>
      <c r="G81" s="31"/>
      <c r="H81" s="31"/>
      <c r="I81" s="19"/>
      <c r="J81" s="19"/>
      <c r="K81" s="21"/>
      <c r="L81" s="22"/>
      <c r="M81" s="19"/>
      <c r="N81" s="20"/>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row>
    <row r="82" spans="1:45" x14ac:dyDescent="0.3">
      <c r="A82" s="410"/>
      <c r="B82" s="17"/>
      <c r="C82" s="19"/>
      <c r="D82" s="18"/>
      <c r="E82" s="18"/>
      <c r="F82" s="19"/>
      <c r="G82" s="31"/>
      <c r="H82" s="31"/>
      <c r="I82" s="19"/>
      <c r="J82" s="19"/>
      <c r="K82" s="21"/>
      <c r="L82" s="22"/>
      <c r="M82" s="19"/>
      <c r="N82" s="20"/>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row>
    <row r="83" spans="1:45" x14ac:dyDescent="0.3">
      <c r="A83" s="410" t="s">
        <v>1459</v>
      </c>
      <c r="B83" s="17" t="s">
        <v>1460</v>
      </c>
      <c r="C83" s="19"/>
      <c r="D83" s="19">
        <v>23140454</v>
      </c>
      <c r="E83" s="18"/>
      <c r="F83" s="19"/>
      <c r="G83" s="31"/>
      <c r="H83" s="31">
        <v>365</v>
      </c>
      <c r="I83" s="19" t="s">
        <v>1372</v>
      </c>
      <c r="J83" s="19" t="s">
        <v>1373</v>
      </c>
      <c r="K83" s="18" t="s">
        <v>1372</v>
      </c>
      <c r="L83" s="19" t="s">
        <v>1373</v>
      </c>
      <c r="M83" s="19" t="s">
        <v>1461</v>
      </c>
      <c r="N83" s="20" t="s">
        <v>1462</v>
      </c>
      <c r="O83" s="19" t="s">
        <v>1372</v>
      </c>
      <c r="P83" s="19" t="s">
        <v>1372</v>
      </c>
      <c r="Q83" s="19" t="s">
        <v>1372</v>
      </c>
      <c r="R83" s="19" t="s">
        <v>1372</v>
      </c>
      <c r="S83" s="19" t="s">
        <v>1372</v>
      </c>
      <c r="T83" s="19" t="s">
        <v>1372</v>
      </c>
      <c r="U83" s="19" t="s">
        <v>1372</v>
      </c>
      <c r="V83" s="19" t="s">
        <v>1372</v>
      </c>
      <c r="W83" s="19"/>
      <c r="X83" s="19"/>
      <c r="Y83" s="19"/>
      <c r="Z83" s="19"/>
      <c r="AA83" s="19"/>
      <c r="AB83" s="19"/>
      <c r="AC83" s="19"/>
      <c r="AD83" s="19"/>
      <c r="AE83" s="19"/>
      <c r="AF83" s="19" t="s">
        <v>1372</v>
      </c>
      <c r="AG83" s="19"/>
      <c r="AH83" s="19"/>
      <c r="AI83" s="19"/>
      <c r="AJ83" s="19"/>
      <c r="AK83" s="19"/>
      <c r="AL83" s="19"/>
      <c r="AM83" s="19"/>
      <c r="AN83" s="19"/>
      <c r="AO83" s="19"/>
      <c r="AP83" s="19"/>
      <c r="AQ83" s="19"/>
      <c r="AR83" s="19"/>
      <c r="AS83" s="19"/>
    </row>
    <row r="84" spans="1:45" x14ac:dyDescent="0.3">
      <c r="A84" s="410" t="s">
        <v>1463</v>
      </c>
      <c r="B84" s="17" t="s">
        <v>1464</v>
      </c>
      <c r="C84" s="19" t="s">
        <v>1368</v>
      </c>
      <c r="D84" s="19">
        <v>23143948</v>
      </c>
      <c r="E84" s="18"/>
      <c r="F84" s="19"/>
      <c r="G84" s="31"/>
      <c r="H84" s="31"/>
      <c r="I84" s="19"/>
      <c r="J84" s="19"/>
      <c r="K84" s="21"/>
      <c r="L84" s="22"/>
      <c r="M84" s="19"/>
      <c r="N84" s="20"/>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row>
    <row r="85" spans="1:45" x14ac:dyDescent="0.3">
      <c r="A85" s="410" t="s">
        <v>1465</v>
      </c>
      <c r="B85" s="17" t="s">
        <v>1466</v>
      </c>
      <c r="C85" s="19" t="s">
        <v>1371</v>
      </c>
      <c r="D85" s="19">
        <v>23139651</v>
      </c>
      <c r="E85" s="18"/>
      <c r="F85" s="19"/>
      <c r="G85" s="31">
        <v>45344</v>
      </c>
      <c r="H85" s="31">
        <v>45709</v>
      </c>
      <c r="I85" s="19" t="s">
        <v>1372</v>
      </c>
      <c r="J85" s="19" t="s">
        <v>1373</v>
      </c>
      <c r="K85" s="21" t="s">
        <v>1372</v>
      </c>
      <c r="L85" s="22" t="s">
        <v>1373</v>
      </c>
      <c r="M85" s="19" t="s">
        <v>1461</v>
      </c>
      <c r="N85" s="20"/>
      <c r="O85" s="19" t="s">
        <v>1372</v>
      </c>
      <c r="P85" s="19"/>
      <c r="Q85" s="19" t="s">
        <v>1372</v>
      </c>
      <c r="R85" s="19" t="s">
        <v>1372</v>
      </c>
      <c r="S85" s="19" t="s">
        <v>1372</v>
      </c>
      <c r="T85" s="19" t="s">
        <v>1372</v>
      </c>
      <c r="U85" s="19" t="s">
        <v>1372</v>
      </c>
      <c r="V85" s="19" t="s">
        <v>1372</v>
      </c>
      <c r="W85" s="19"/>
      <c r="X85" s="19"/>
      <c r="Y85" s="19"/>
      <c r="Z85" s="19" t="s">
        <v>1372</v>
      </c>
      <c r="AA85" s="19"/>
      <c r="AB85" s="19"/>
      <c r="AC85" s="19"/>
      <c r="AD85" s="19"/>
      <c r="AE85" s="19"/>
      <c r="AF85" s="19"/>
      <c r="AG85" s="19"/>
      <c r="AH85" s="19"/>
      <c r="AI85" s="19"/>
      <c r="AJ85" s="19"/>
      <c r="AK85" s="19"/>
      <c r="AL85" s="19"/>
      <c r="AM85" s="19"/>
      <c r="AN85" s="19"/>
      <c r="AO85" s="19"/>
      <c r="AP85" s="19"/>
      <c r="AQ85" s="19"/>
      <c r="AR85" s="19"/>
      <c r="AS85" s="19"/>
    </row>
    <row r="86" spans="1:45" x14ac:dyDescent="0.3">
      <c r="A86" s="410" t="s">
        <v>1467</v>
      </c>
      <c r="B86" s="17"/>
      <c r="C86" s="19"/>
      <c r="D86" s="18" t="s">
        <v>210</v>
      </c>
      <c r="E86" s="18"/>
      <c r="F86" s="19"/>
      <c r="G86" s="31">
        <v>45345</v>
      </c>
      <c r="H86" s="31">
        <v>45710</v>
      </c>
      <c r="I86" s="19" t="s">
        <v>1372</v>
      </c>
      <c r="J86" s="19" t="s">
        <v>1373</v>
      </c>
      <c r="K86" s="21" t="s">
        <v>1372</v>
      </c>
      <c r="L86" s="22" t="s">
        <v>1373</v>
      </c>
      <c r="M86" s="19" t="s">
        <v>1461</v>
      </c>
      <c r="N86" s="20" t="s">
        <v>1462</v>
      </c>
      <c r="O86" s="19" t="s">
        <v>1372</v>
      </c>
      <c r="P86" s="19"/>
      <c r="Q86" s="19" t="s">
        <v>1372</v>
      </c>
      <c r="R86" s="19" t="s">
        <v>1372</v>
      </c>
      <c r="S86" s="19" t="s">
        <v>1372</v>
      </c>
      <c r="T86" s="19" t="s">
        <v>1372</v>
      </c>
      <c r="U86" s="19" t="s">
        <v>1461</v>
      </c>
      <c r="V86" s="19"/>
      <c r="W86" s="19"/>
      <c r="X86" s="19"/>
      <c r="Y86" s="19"/>
      <c r="Z86" s="19" t="s">
        <v>1372</v>
      </c>
      <c r="AA86" s="19"/>
      <c r="AB86" s="19"/>
      <c r="AC86" s="19"/>
      <c r="AD86" s="19"/>
      <c r="AE86" s="19"/>
      <c r="AF86" s="19" t="s">
        <v>1372</v>
      </c>
      <c r="AG86" s="19"/>
      <c r="AH86" s="19"/>
      <c r="AI86" s="19"/>
      <c r="AJ86" s="19"/>
      <c r="AK86" s="19"/>
      <c r="AL86" s="19"/>
      <c r="AM86" s="19"/>
      <c r="AN86" s="19"/>
      <c r="AO86" s="19"/>
      <c r="AP86" s="19"/>
      <c r="AQ86" s="19"/>
      <c r="AR86" s="19"/>
      <c r="AS86" s="19"/>
    </row>
    <row r="87" spans="1:45" x14ac:dyDescent="0.3">
      <c r="A87" s="410" t="s">
        <v>1469</v>
      </c>
      <c r="B87" s="17"/>
      <c r="C87" s="19"/>
      <c r="D87" s="18"/>
      <c r="E87" s="18"/>
      <c r="F87" s="19"/>
      <c r="G87" s="31"/>
      <c r="H87" s="31"/>
      <c r="I87" s="19"/>
      <c r="J87" s="19"/>
      <c r="K87" s="21"/>
      <c r="L87" s="22"/>
      <c r="M87" s="19"/>
      <c r="N87" s="20"/>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x14ac:dyDescent="0.3">
      <c r="A88" s="410" t="s">
        <v>1470</v>
      </c>
      <c r="B88" s="17"/>
      <c r="C88" s="19"/>
      <c r="D88" s="18"/>
      <c r="E88" s="18"/>
      <c r="F88" s="19"/>
      <c r="G88" s="31"/>
      <c r="H88" s="31"/>
      <c r="I88" s="19"/>
      <c r="J88" s="19"/>
      <c r="K88" s="21"/>
      <c r="L88" s="22"/>
      <c r="M88" s="19"/>
      <c r="N88" s="20"/>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row>
    <row r="89" spans="1:45" x14ac:dyDescent="0.3">
      <c r="A89" s="410" t="s">
        <v>1471</v>
      </c>
      <c r="B89" s="17"/>
      <c r="C89" s="19"/>
      <c r="D89" s="18"/>
      <c r="E89" s="18"/>
      <c r="F89" s="19"/>
      <c r="G89" s="31"/>
      <c r="H89" s="31"/>
      <c r="I89" s="19"/>
      <c r="J89" s="19"/>
      <c r="K89" s="21"/>
      <c r="L89" s="22"/>
      <c r="M89" s="19"/>
      <c r="N89" s="20"/>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3">
      <c r="A90" s="410" t="s">
        <v>1472</v>
      </c>
      <c r="B90" s="17"/>
      <c r="C90" s="19"/>
      <c r="D90" s="18"/>
      <c r="E90" s="18"/>
      <c r="F90" s="19"/>
      <c r="G90" s="31"/>
      <c r="H90" s="31"/>
      <c r="I90" s="19"/>
      <c r="J90" s="19"/>
      <c r="K90" s="21"/>
      <c r="L90" s="22"/>
      <c r="M90" s="19"/>
      <c r="N90" s="20"/>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3">
      <c r="A91" s="410" t="s">
        <v>1473</v>
      </c>
      <c r="B91" s="17"/>
      <c r="C91" s="19"/>
      <c r="D91" s="18"/>
      <c r="E91" s="18"/>
      <c r="F91" s="19"/>
      <c r="G91" s="31"/>
      <c r="H91" s="31"/>
      <c r="I91" s="19"/>
      <c r="J91" s="19"/>
      <c r="K91" s="21"/>
      <c r="L91" s="22"/>
      <c r="M91" s="19"/>
      <c r="N91" s="20"/>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3">
      <c r="A92" s="410" t="s">
        <v>1474</v>
      </c>
      <c r="B92" s="17"/>
      <c r="C92" s="19"/>
      <c r="D92" s="18"/>
      <c r="E92" s="18"/>
      <c r="F92" s="19"/>
      <c r="G92" s="31"/>
      <c r="H92" s="31"/>
      <c r="I92" s="19"/>
      <c r="J92" s="19"/>
      <c r="K92" s="21"/>
      <c r="L92" s="22"/>
      <c r="M92" s="19"/>
      <c r="N92" s="20"/>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3">
      <c r="A93" s="410" t="s">
        <v>1475</v>
      </c>
      <c r="B93" s="17"/>
      <c r="C93" s="19"/>
      <c r="D93" s="18"/>
      <c r="E93" s="18"/>
      <c r="F93" s="19"/>
      <c r="G93" s="31"/>
      <c r="H93" s="31"/>
      <c r="I93" s="19"/>
      <c r="J93" s="19"/>
      <c r="K93" s="21"/>
      <c r="L93" s="22"/>
      <c r="M93" s="19"/>
      <c r="N93" s="20"/>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row>
    <row r="94" spans="1:45" x14ac:dyDescent="0.3">
      <c r="A94" s="410" t="s">
        <v>1476</v>
      </c>
      <c r="B94" s="17"/>
      <c r="C94" s="19"/>
      <c r="D94" s="18"/>
      <c r="E94" s="18"/>
      <c r="F94" s="19"/>
      <c r="G94" s="31"/>
      <c r="H94" s="31"/>
      <c r="I94" s="19"/>
      <c r="J94" s="19"/>
      <c r="K94" s="21"/>
      <c r="L94" s="22"/>
      <c r="M94" s="19"/>
      <c r="N94" s="20"/>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3">
      <c r="A95" s="410" t="s">
        <v>1477</v>
      </c>
      <c r="B95" s="17"/>
      <c r="C95" s="19"/>
      <c r="D95" s="18"/>
      <c r="E95" s="18"/>
      <c r="F95" s="19"/>
      <c r="G95" s="31"/>
      <c r="H95" s="31"/>
      <c r="I95" s="19"/>
      <c r="J95" s="19"/>
      <c r="K95" s="21"/>
      <c r="L95" s="22"/>
      <c r="M95" s="19"/>
      <c r="N95" s="20"/>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3">
      <c r="A96" s="410" t="s">
        <v>1478</v>
      </c>
      <c r="B96" s="17"/>
      <c r="C96" s="19"/>
      <c r="D96" s="18"/>
      <c r="E96" s="18"/>
      <c r="F96" s="19"/>
      <c r="G96" s="31"/>
      <c r="H96" s="31"/>
      <c r="I96" s="19"/>
      <c r="J96" s="19"/>
      <c r="K96" s="21"/>
      <c r="L96" s="22"/>
      <c r="M96" s="19"/>
      <c r="N96" s="20"/>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3">
      <c r="A97" s="410" t="s">
        <v>1479</v>
      </c>
      <c r="B97" s="17"/>
      <c r="C97" s="19"/>
      <c r="D97" s="18"/>
      <c r="E97" s="18"/>
      <c r="F97" s="19"/>
      <c r="G97" s="31"/>
      <c r="H97" s="31"/>
      <c r="I97" s="19"/>
      <c r="J97" s="19"/>
      <c r="K97" s="21"/>
      <c r="L97" s="22"/>
      <c r="M97" s="19"/>
      <c r="N97" s="20"/>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x14ac:dyDescent="0.3">
      <c r="A98" s="410" t="s">
        <v>1480</v>
      </c>
      <c r="B98" s="17"/>
      <c r="C98" s="19"/>
      <c r="D98" s="18"/>
      <c r="E98" s="18"/>
      <c r="F98" s="19"/>
      <c r="G98" s="31"/>
      <c r="H98" s="31"/>
      <c r="I98" s="19"/>
      <c r="J98" s="19"/>
      <c r="K98" s="21"/>
      <c r="L98" s="22"/>
      <c r="M98" s="19"/>
      <c r="N98" s="20"/>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x14ac:dyDescent="0.3">
      <c r="A99" s="410" t="s">
        <v>1481</v>
      </c>
      <c r="B99" s="17"/>
      <c r="C99" s="19"/>
      <c r="D99" s="18"/>
      <c r="E99" s="18"/>
      <c r="F99" s="19"/>
      <c r="G99" s="31"/>
      <c r="H99" s="31"/>
      <c r="I99" s="19"/>
      <c r="J99" s="19"/>
      <c r="K99" s="21"/>
      <c r="L99" s="22"/>
      <c r="M99" s="19"/>
      <c r="N99" s="20"/>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row>
    <row r="100" spans="1:45" x14ac:dyDescent="0.3">
      <c r="A100" s="410" t="s">
        <v>1482</v>
      </c>
      <c r="B100" s="17"/>
      <c r="C100" s="19"/>
      <c r="D100" s="18"/>
      <c r="E100" s="18"/>
      <c r="F100" s="19"/>
      <c r="G100" s="31"/>
      <c r="H100" s="31"/>
      <c r="I100" s="19"/>
      <c r="J100" s="19"/>
      <c r="K100" s="21"/>
      <c r="L100" s="22"/>
      <c r="M100" s="19"/>
      <c r="N100" s="20"/>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x14ac:dyDescent="0.3">
      <c r="A101" s="410" t="s">
        <v>1483</v>
      </c>
      <c r="B101" s="17"/>
      <c r="C101" s="19"/>
      <c r="D101" s="18"/>
      <c r="E101" s="18"/>
      <c r="F101" s="19"/>
      <c r="G101" s="31"/>
      <c r="H101" s="31"/>
      <c r="I101" s="19"/>
      <c r="J101" s="19"/>
      <c r="K101" s="21"/>
      <c r="L101" s="22"/>
      <c r="M101" s="19"/>
      <c r="N101" s="20"/>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x14ac:dyDescent="0.3">
      <c r="A102" s="410" t="s">
        <v>1484</v>
      </c>
      <c r="B102" s="17"/>
      <c r="C102" s="19"/>
      <c r="D102" s="18"/>
      <c r="E102" s="18"/>
      <c r="F102" s="19"/>
      <c r="G102" s="31"/>
      <c r="H102" s="31"/>
      <c r="I102" s="19"/>
      <c r="J102" s="19"/>
      <c r="K102" s="21"/>
      <c r="L102" s="22"/>
      <c r="M102" s="19"/>
      <c r="N102" s="20"/>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3">
      <c r="A103" s="410" t="s">
        <v>1485</v>
      </c>
      <c r="B103" s="17"/>
      <c r="C103" s="19"/>
      <c r="D103" s="18"/>
      <c r="E103" s="18"/>
      <c r="F103" s="19"/>
      <c r="G103" s="31"/>
      <c r="H103" s="31"/>
      <c r="I103" s="19"/>
      <c r="J103" s="19"/>
      <c r="K103" s="21"/>
      <c r="L103" s="22"/>
      <c r="M103" s="19"/>
      <c r="N103" s="20"/>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x14ac:dyDescent="0.3">
      <c r="A104" s="410" t="s">
        <v>1486</v>
      </c>
      <c r="B104" s="17"/>
      <c r="C104" s="19"/>
      <c r="D104" s="18"/>
      <c r="E104" s="18"/>
      <c r="F104" s="19"/>
      <c r="G104" s="31"/>
      <c r="H104" s="31"/>
      <c r="I104" s="19"/>
      <c r="J104" s="19"/>
      <c r="K104" s="21"/>
      <c r="L104" s="22"/>
      <c r="M104" s="19"/>
      <c r="N104" s="20"/>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x14ac:dyDescent="0.3">
      <c r="A105" s="410" t="s">
        <v>1487</v>
      </c>
      <c r="B105" s="17"/>
      <c r="C105" s="19"/>
      <c r="D105" s="18"/>
      <c r="E105" s="18"/>
      <c r="F105" s="19"/>
      <c r="G105" s="31"/>
      <c r="H105" s="31"/>
      <c r="I105" s="19"/>
      <c r="J105" s="19"/>
      <c r="K105" s="21"/>
      <c r="L105" s="22"/>
      <c r="M105" s="19"/>
      <c r="N105" s="20"/>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x14ac:dyDescent="0.3">
      <c r="A106" s="410" t="s">
        <v>1488</v>
      </c>
      <c r="B106" s="17"/>
      <c r="C106" s="19"/>
      <c r="D106" s="18"/>
      <c r="E106" s="18"/>
      <c r="F106" s="19"/>
      <c r="G106" s="31"/>
      <c r="H106" s="31"/>
      <c r="I106" s="19"/>
      <c r="J106" s="19"/>
      <c r="K106" s="21"/>
      <c r="L106" s="22"/>
      <c r="M106" s="19"/>
      <c r="N106" s="20"/>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x14ac:dyDescent="0.3">
      <c r="A107" s="410" t="s">
        <v>1489</v>
      </c>
      <c r="B107" s="17"/>
      <c r="C107" s="19"/>
      <c r="D107" s="18"/>
      <c r="E107" s="18"/>
      <c r="F107" s="19"/>
      <c r="G107" s="31"/>
      <c r="H107" s="31"/>
      <c r="I107" s="19"/>
      <c r="J107" s="19"/>
      <c r="K107" s="21"/>
      <c r="L107" s="22"/>
      <c r="M107" s="19"/>
      <c r="N107" s="20"/>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x14ac:dyDescent="0.3">
      <c r="A108" s="410" t="s">
        <v>1490</v>
      </c>
      <c r="B108" s="17"/>
      <c r="C108" s="19"/>
      <c r="D108" s="18"/>
      <c r="E108" s="18"/>
      <c r="F108" s="19"/>
      <c r="G108" s="31"/>
      <c r="H108" s="31"/>
      <c r="I108" s="19"/>
      <c r="J108" s="19"/>
      <c r="K108" s="21"/>
      <c r="L108" s="22"/>
      <c r="M108" s="19"/>
      <c r="N108" s="20"/>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x14ac:dyDescent="0.3">
      <c r="A109" s="410" t="s">
        <v>1491</v>
      </c>
      <c r="B109" s="17"/>
      <c r="C109" s="19"/>
      <c r="D109" s="18"/>
      <c r="E109" s="18"/>
      <c r="F109" s="19"/>
      <c r="G109" s="31"/>
      <c r="H109" s="31"/>
      <c r="I109" s="19"/>
      <c r="J109" s="19"/>
      <c r="K109" s="21"/>
      <c r="L109" s="22"/>
      <c r="M109" s="19"/>
      <c r="N109" s="20"/>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x14ac:dyDescent="0.3">
      <c r="A110" s="410" t="s">
        <v>1492</v>
      </c>
      <c r="B110" s="17"/>
      <c r="C110" s="19"/>
      <c r="D110" s="18"/>
      <c r="E110" s="18"/>
      <c r="F110" s="19"/>
      <c r="G110" s="31"/>
      <c r="H110" s="31"/>
      <c r="I110" s="19"/>
      <c r="J110" s="19"/>
      <c r="K110" s="21"/>
      <c r="L110" s="22"/>
      <c r="M110" s="19"/>
      <c r="N110" s="20"/>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x14ac:dyDescent="0.3">
      <c r="A111" s="410" t="s">
        <v>1493</v>
      </c>
      <c r="B111" s="17"/>
      <c r="C111" s="19"/>
      <c r="D111" s="18"/>
      <c r="E111" s="18"/>
      <c r="F111" s="19"/>
      <c r="G111" s="31"/>
      <c r="H111" s="31"/>
      <c r="I111" s="19"/>
      <c r="J111" s="19"/>
      <c r="K111" s="21"/>
      <c r="L111" s="22"/>
      <c r="M111" s="19"/>
      <c r="N111" s="20"/>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x14ac:dyDescent="0.3">
      <c r="A112" s="410" t="s">
        <v>1494</v>
      </c>
      <c r="B112" s="17"/>
      <c r="C112" s="19"/>
      <c r="D112" s="18"/>
      <c r="E112" s="18"/>
      <c r="F112" s="19"/>
      <c r="G112" s="31"/>
      <c r="H112" s="31"/>
      <c r="I112" s="19"/>
      <c r="J112" s="19"/>
      <c r="K112" s="21"/>
      <c r="L112" s="22"/>
      <c r="M112" s="19"/>
      <c r="N112" s="20"/>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x14ac:dyDescent="0.3">
      <c r="A113" s="410" t="s">
        <v>1495</v>
      </c>
      <c r="B113" s="17"/>
      <c r="C113" s="19"/>
      <c r="D113" s="18"/>
      <c r="E113" s="18"/>
      <c r="F113" s="19"/>
      <c r="G113" s="31"/>
      <c r="H113" s="31"/>
      <c r="I113" s="19"/>
      <c r="J113" s="19"/>
      <c r="K113" s="21"/>
      <c r="L113" s="22"/>
      <c r="M113" s="19"/>
      <c r="N113" s="20"/>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row>
    <row r="114" spans="1:45" x14ac:dyDescent="0.3">
      <c r="A114" s="410" t="s">
        <v>1496</v>
      </c>
      <c r="B114" s="17"/>
      <c r="C114" s="19"/>
      <c r="D114" s="18"/>
      <c r="E114" s="18"/>
      <c r="F114" s="19"/>
      <c r="G114" s="31"/>
      <c r="H114" s="31"/>
      <c r="I114" s="19"/>
      <c r="J114" s="19"/>
      <c r="K114" s="21"/>
      <c r="L114" s="22"/>
      <c r="M114" s="19"/>
      <c r="N114" s="20"/>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row>
    <row r="115" spans="1:45" x14ac:dyDescent="0.3">
      <c r="A115" s="410" t="s">
        <v>1497</v>
      </c>
      <c r="B115" s="17"/>
      <c r="C115" s="19"/>
      <c r="D115" s="18"/>
      <c r="E115" s="18"/>
      <c r="F115" s="19"/>
      <c r="G115" s="31"/>
      <c r="H115" s="31"/>
      <c r="I115" s="19"/>
      <c r="J115" s="19"/>
      <c r="K115" s="21"/>
      <c r="L115" s="22"/>
      <c r="M115" s="19"/>
      <c r="N115" s="20"/>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row>
    <row r="116" spans="1:45" x14ac:dyDescent="0.3">
      <c r="A116" s="410" t="s">
        <v>1498</v>
      </c>
      <c r="B116" s="17"/>
      <c r="C116" s="19"/>
      <c r="D116" s="18"/>
      <c r="E116" s="18"/>
      <c r="F116" s="19"/>
      <c r="G116" s="31"/>
      <c r="H116" s="31"/>
      <c r="I116" s="19"/>
      <c r="J116" s="19"/>
      <c r="K116" s="21"/>
      <c r="L116" s="22"/>
      <c r="M116" s="19"/>
      <c r="N116" s="20"/>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row>
    <row r="117" spans="1:45" x14ac:dyDescent="0.3">
      <c r="A117" s="410" t="s">
        <v>1499</v>
      </c>
      <c r="B117" s="17"/>
      <c r="C117" s="19"/>
      <c r="D117" s="18"/>
      <c r="E117" s="18"/>
      <c r="F117" s="19"/>
      <c r="G117" s="31"/>
      <c r="H117" s="31"/>
      <c r="I117" s="19"/>
      <c r="J117" s="19"/>
      <c r="K117" s="21"/>
      <c r="L117" s="22"/>
      <c r="M117" s="19"/>
      <c r="N117" s="20"/>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row>
    <row r="118" spans="1:45" x14ac:dyDescent="0.3">
      <c r="A118" s="410" t="s">
        <v>1500</v>
      </c>
      <c r="B118" s="17"/>
      <c r="C118" s="19"/>
      <c r="D118" s="18"/>
      <c r="E118" s="18"/>
      <c r="F118" s="19"/>
      <c r="G118" s="31"/>
      <c r="H118" s="31"/>
      <c r="I118" s="19"/>
      <c r="J118" s="19"/>
      <c r="K118" s="21"/>
      <c r="L118" s="22"/>
      <c r="M118" s="19"/>
      <c r="N118" s="20"/>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x14ac:dyDescent="0.3">
      <c r="A119" s="410" t="s">
        <v>1501</v>
      </c>
      <c r="B119" s="17"/>
      <c r="C119" s="19"/>
      <c r="D119" s="18"/>
      <c r="E119" s="18"/>
      <c r="F119" s="19"/>
      <c r="G119" s="31"/>
      <c r="H119" s="31"/>
      <c r="I119" s="19"/>
      <c r="J119" s="19"/>
      <c r="K119" s="21"/>
      <c r="L119" s="22"/>
      <c r="M119" s="19"/>
      <c r="N119" s="20"/>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x14ac:dyDescent="0.3">
      <c r="A120" s="410" t="s">
        <v>1502</v>
      </c>
      <c r="B120" s="17"/>
      <c r="C120" s="19"/>
      <c r="D120" s="18"/>
      <c r="E120" s="18"/>
      <c r="F120" s="19"/>
      <c r="G120" s="31"/>
      <c r="H120" s="31"/>
      <c r="I120" s="19"/>
      <c r="J120" s="19"/>
      <c r="K120" s="21"/>
      <c r="L120" s="22"/>
      <c r="M120" s="19"/>
      <c r="N120" s="20"/>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x14ac:dyDescent="0.3">
      <c r="A121" s="410" t="s">
        <v>1503</v>
      </c>
      <c r="B121" s="17"/>
      <c r="C121" s="19"/>
      <c r="D121" s="18"/>
      <c r="E121" s="18"/>
      <c r="F121" s="19"/>
      <c r="G121" s="31"/>
      <c r="H121" s="31"/>
      <c r="I121" s="19"/>
      <c r="J121" s="19"/>
      <c r="K121" s="21"/>
      <c r="L121" s="22"/>
      <c r="M121" s="19"/>
      <c r="N121" s="20"/>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x14ac:dyDescent="0.3">
      <c r="A122" s="410" t="s">
        <v>1504</v>
      </c>
      <c r="B122" s="17"/>
      <c r="C122" s="19"/>
      <c r="D122" s="18"/>
      <c r="E122" s="18"/>
      <c r="F122" s="19"/>
      <c r="G122" s="31"/>
      <c r="H122" s="31"/>
      <c r="I122" s="19"/>
      <c r="J122" s="19"/>
      <c r="K122" s="21"/>
      <c r="L122" s="22"/>
      <c r="M122" s="19"/>
      <c r="N122" s="20"/>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x14ac:dyDescent="0.3">
      <c r="A123" s="410" t="s">
        <v>1505</v>
      </c>
      <c r="B123" s="17"/>
      <c r="C123" s="19"/>
      <c r="D123" s="18"/>
      <c r="E123" s="18"/>
      <c r="F123" s="19"/>
      <c r="G123" s="31"/>
      <c r="H123" s="31"/>
      <c r="I123" s="19"/>
      <c r="J123" s="19"/>
      <c r="K123" s="21"/>
      <c r="L123" s="22"/>
      <c r="M123" s="19"/>
      <c r="N123" s="20"/>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x14ac:dyDescent="0.3">
      <c r="A124" s="410" t="s">
        <v>1506</v>
      </c>
      <c r="B124" s="17"/>
      <c r="C124" s="19"/>
      <c r="D124" s="18"/>
      <c r="E124" s="18"/>
      <c r="F124" s="19"/>
      <c r="G124" s="31"/>
      <c r="H124" s="31"/>
      <c r="I124" s="19"/>
      <c r="J124" s="19"/>
      <c r="K124" s="21"/>
      <c r="L124" s="22"/>
      <c r="M124" s="19"/>
      <c r="N124" s="20"/>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x14ac:dyDescent="0.3">
      <c r="A125" s="410" t="s">
        <v>1507</v>
      </c>
      <c r="B125" s="17"/>
      <c r="C125" s="19"/>
      <c r="D125" s="18"/>
      <c r="E125" s="18"/>
      <c r="F125" s="19"/>
      <c r="G125" s="31"/>
      <c r="H125" s="31"/>
      <c r="I125" s="19"/>
      <c r="J125" s="19"/>
      <c r="K125" s="21"/>
      <c r="L125" s="22"/>
      <c r="M125" s="19"/>
      <c r="N125" s="20"/>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x14ac:dyDescent="0.3">
      <c r="A126" s="410" t="s">
        <v>1508</v>
      </c>
      <c r="B126" s="17"/>
      <c r="C126" s="19"/>
      <c r="D126" s="18"/>
      <c r="E126" s="18"/>
      <c r="F126" s="19"/>
      <c r="G126" s="31"/>
      <c r="H126" s="31"/>
      <c r="I126" s="19"/>
      <c r="J126" s="19"/>
      <c r="K126" s="21"/>
      <c r="L126" s="22"/>
      <c r="M126" s="19"/>
      <c r="N126" s="20"/>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x14ac:dyDescent="0.3">
      <c r="A127" s="410" t="s">
        <v>1509</v>
      </c>
      <c r="B127" s="17"/>
      <c r="C127" s="19"/>
      <c r="D127" s="18"/>
      <c r="E127" s="18"/>
      <c r="F127" s="19"/>
      <c r="G127" s="31"/>
      <c r="H127" s="31"/>
      <c r="I127" s="19"/>
      <c r="J127" s="19"/>
      <c r="K127" s="21"/>
      <c r="L127" s="22"/>
      <c r="M127" s="19"/>
      <c r="N127" s="20"/>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x14ac:dyDescent="0.3">
      <c r="A128" s="410" t="s">
        <v>1510</v>
      </c>
      <c r="B128" s="17"/>
      <c r="C128" s="19"/>
      <c r="D128" s="18"/>
      <c r="E128" s="18"/>
      <c r="F128" s="19"/>
      <c r="G128" s="31"/>
      <c r="H128" s="31"/>
      <c r="I128" s="19"/>
      <c r="J128" s="19"/>
      <c r="K128" s="21"/>
      <c r="L128" s="22"/>
      <c r="M128" s="19"/>
      <c r="N128" s="20"/>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3">
      <c r="A129" s="410" t="s">
        <v>1511</v>
      </c>
      <c r="B129" s="17"/>
      <c r="C129" s="19"/>
      <c r="D129" s="18"/>
      <c r="E129" s="18"/>
      <c r="F129" s="19"/>
      <c r="G129" s="31"/>
      <c r="H129" s="31"/>
      <c r="I129" s="19"/>
      <c r="J129" s="19"/>
      <c r="K129" s="21"/>
      <c r="L129" s="22"/>
      <c r="M129" s="19"/>
      <c r="N129" s="20"/>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3">
      <c r="A130" s="410" t="s">
        <v>1512</v>
      </c>
      <c r="B130" s="17"/>
      <c r="C130" s="19"/>
      <c r="D130" s="18"/>
      <c r="E130" s="18"/>
      <c r="F130" s="19"/>
      <c r="G130" s="31"/>
      <c r="H130" s="31"/>
      <c r="I130" s="19"/>
      <c r="J130" s="19"/>
      <c r="K130" s="21"/>
      <c r="L130" s="22"/>
      <c r="M130" s="19"/>
      <c r="N130" s="20"/>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3">
      <c r="A131" s="410" t="s">
        <v>1513</v>
      </c>
      <c r="B131" s="17"/>
      <c r="C131" s="19"/>
      <c r="D131" s="18"/>
      <c r="E131" s="18"/>
      <c r="F131" s="19"/>
      <c r="G131" s="31"/>
      <c r="H131" s="31"/>
      <c r="I131" s="19"/>
      <c r="J131" s="19"/>
      <c r="K131" s="21"/>
      <c r="L131" s="22"/>
      <c r="M131" s="19"/>
      <c r="N131" s="20"/>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3">
      <c r="A132" s="410" t="s">
        <v>1514</v>
      </c>
      <c r="B132" s="17"/>
      <c r="C132" s="19"/>
      <c r="D132" s="18"/>
      <c r="E132" s="18"/>
      <c r="F132" s="19"/>
      <c r="G132" s="31"/>
      <c r="H132" s="31"/>
      <c r="I132" s="19"/>
      <c r="J132" s="19"/>
      <c r="K132" s="21"/>
      <c r="L132" s="22"/>
      <c r="M132" s="19"/>
      <c r="N132" s="20"/>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3">
      <c r="A133" s="410" t="s">
        <v>1515</v>
      </c>
      <c r="B133" s="17"/>
      <c r="C133" s="19"/>
      <c r="D133" s="18"/>
      <c r="E133" s="18"/>
      <c r="F133" s="19"/>
      <c r="G133" s="31"/>
      <c r="H133" s="31"/>
      <c r="I133" s="19"/>
      <c r="J133" s="19"/>
      <c r="K133" s="21"/>
      <c r="L133" s="22"/>
      <c r="M133" s="19"/>
      <c r="N133" s="20"/>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3">
      <c r="A134" s="410" t="s">
        <v>1516</v>
      </c>
      <c r="B134" s="17"/>
      <c r="C134" s="19"/>
      <c r="D134" s="18"/>
      <c r="E134" s="18"/>
      <c r="F134" s="19"/>
      <c r="G134" s="31"/>
      <c r="H134" s="31"/>
      <c r="I134" s="19"/>
      <c r="J134" s="19"/>
      <c r="K134" s="21"/>
      <c r="L134" s="22"/>
      <c r="M134" s="19"/>
      <c r="N134" s="20"/>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3">
      <c r="A135" s="410" t="s">
        <v>1517</v>
      </c>
      <c r="B135" s="17"/>
      <c r="C135" s="19"/>
      <c r="D135" s="18"/>
      <c r="E135" s="18"/>
      <c r="F135" s="19"/>
      <c r="G135" s="31"/>
      <c r="H135" s="31"/>
      <c r="I135" s="19"/>
      <c r="J135" s="19"/>
      <c r="K135" s="21"/>
      <c r="L135" s="22"/>
      <c r="M135" s="19"/>
      <c r="N135" s="20"/>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3">
      <c r="A136" s="410" t="s">
        <v>1518</v>
      </c>
      <c r="B136" s="17"/>
      <c r="C136" s="19"/>
      <c r="D136" s="18"/>
      <c r="E136" s="18"/>
      <c r="F136" s="19"/>
      <c r="G136" s="31"/>
      <c r="H136" s="31"/>
      <c r="I136" s="19"/>
      <c r="J136" s="19"/>
      <c r="K136" s="21"/>
      <c r="L136" s="22"/>
      <c r="M136" s="19"/>
      <c r="N136" s="20"/>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x14ac:dyDescent="0.3">
      <c r="A137" s="410" t="s">
        <v>1519</v>
      </c>
      <c r="B137" s="17"/>
      <c r="C137" s="19"/>
      <c r="D137" s="18"/>
      <c r="E137" s="18"/>
      <c r="F137" s="19"/>
      <c r="G137" s="31"/>
      <c r="H137" s="31"/>
      <c r="I137" s="19"/>
      <c r="J137" s="19"/>
      <c r="K137" s="21"/>
      <c r="L137" s="22"/>
      <c r="M137" s="19"/>
      <c r="N137" s="20"/>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45" x14ac:dyDescent="0.3">
      <c r="A138" s="410" t="s">
        <v>1520</v>
      </c>
      <c r="B138" s="17"/>
      <c r="C138" s="19"/>
      <c r="D138" s="18"/>
      <c r="E138" s="18"/>
      <c r="F138" s="19"/>
      <c r="G138" s="31"/>
      <c r="H138" s="31"/>
      <c r="I138" s="19"/>
      <c r="J138" s="19"/>
      <c r="K138" s="21"/>
      <c r="L138" s="22"/>
      <c r="M138" s="19"/>
      <c r="N138" s="20"/>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45" x14ac:dyDescent="0.3">
      <c r="A139" s="410" t="s">
        <v>1521</v>
      </c>
      <c r="B139" s="17"/>
      <c r="C139" s="19"/>
      <c r="D139" s="18"/>
      <c r="E139" s="18"/>
      <c r="F139" s="19"/>
      <c r="G139" s="31"/>
      <c r="H139" s="31"/>
      <c r="I139" s="19"/>
      <c r="J139" s="19"/>
      <c r="K139" s="21"/>
      <c r="L139" s="22"/>
      <c r="M139" s="19"/>
      <c r="N139" s="20"/>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45" x14ac:dyDescent="0.3">
      <c r="A140" s="410" t="s">
        <v>1522</v>
      </c>
      <c r="B140" s="17"/>
      <c r="C140" s="19"/>
      <c r="D140" s="18"/>
      <c r="E140" s="18"/>
      <c r="F140" s="19"/>
      <c r="G140" s="31"/>
      <c r="H140" s="31"/>
      <c r="I140" s="19"/>
      <c r="J140" s="19"/>
      <c r="K140" s="21"/>
      <c r="L140" s="22"/>
      <c r="M140" s="19"/>
      <c r="N140" s="20"/>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45" x14ac:dyDescent="0.3">
      <c r="A141" s="410" t="s">
        <v>1523</v>
      </c>
      <c r="B141" s="17"/>
      <c r="C141" s="19"/>
      <c r="D141" s="18"/>
      <c r="E141" s="18"/>
      <c r="F141" s="19"/>
      <c r="G141" s="31"/>
      <c r="H141" s="31"/>
      <c r="I141" s="19"/>
      <c r="J141" s="19"/>
      <c r="K141" s="21"/>
      <c r="L141" s="22"/>
      <c r="M141" s="19"/>
      <c r="N141" s="20"/>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45" x14ac:dyDescent="0.3">
      <c r="A142" s="410" t="s">
        <v>1524</v>
      </c>
      <c r="B142" s="17"/>
      <c r="C142" s="19"/>
      <c r="D142" s="18"/>
      <c r="E142" s="18"/>
      <c r="F142" s="19"/>
      <c r="G142" s="31"/>
      <c r="H142" s="31"/>
      <c r="I142" s="19"/>
      <c r="J142" s="19"/>
      <c r="K142" s="21"/>
      <c r="L142" s="22"/>
      <c r="M142" s="19"/>
      <c r="N142" s="20"/>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45" x14ac:dyDescent="0.3">
      <c r="A143" s="410" t="s">
        <v>1525</v>
      </c>
      <c r="B143" s="17"/>
      <c r="C143" s="19"/>
      <c r="D143" s="18"/>
      <c r="E143" s="18"/>
      <c r="F143" s="19"/>
      <c r="G143" s="31"/>
      <c r="H143" s="31"/>
      <c r="I143" s="19"/>
      <c r="J143" s="19"/>
      <c r="K143" s="21"/>
      <c r="L143" s="22"/>
      <c r="M143" s="19"/>
      <c r="N143" s="20"/>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45" x14ac:dyDescent="0.3">
      <c r="A144" s="410" t="s">
        <v>1526</v>
      </c>
      <c r="B144" s="17"/>
      <c r="C144" s="19"/>
      <c r="D144" s="18"/>
      <c r="E144" s="18"/>
      <c r="F144" s="19"/>
      <c r="G144" s="31"/>
      <c r="H144" s="31"/>
      <c r="I144" s="19"/>
      <c r="J144" s="19"/>
      <c r="K144" s="21"/>
      <c r="L144" s="22"/>
      <c r="M144" s="19"/>
      <c r="N144" s="20"/>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45" x14ac:dyDescent="0.3">
      <c r="A145" s="410" t="s">
        <v>1527</v>
      </c>
      <c r="B145" s="17"/>
      <c r="C145" s="19"/>
      <c r="D145" s="18"/>
      <c r="E145" s="18"/>
      <c r="F145" s="19"/>
      <c r="G145" s="31"/>
      <c r="H145" s="31"/>
      <c r="I145" s="19"/>
      <c r="J145" s="19"/>
      <c r="K145" s="21"/>
      <c r="L145" s="22"/>
      <c r="M145" s="19"/>
      <c r="N145" s="20"/>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45" x14ac:dyDescent="0.3">
      <c r="A146" s="410" t="s">
        <v>1528</v>
      </c>
      <c r="B146" s="17"/>
      <c r="C146" s="19"/>
      <c r="D146" s="18"/>
      <c r="E146" s="18"/>
      <c r="F146" s="19"/>
      <c r="G146" s="31"/>
      <c r="H146" s="31"/>
      <c r="I146" s="19"/>
      <c r="J146" s="19"/>
      <c r="K146" s="21"/>
      <c r="L146" s="22"/>
      <c r="M146" s="19"/>
      <c r="N146" s="20"/>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45" x14ac:dyDescent="0.3">
      <c r="A147" s="410" t="s">
        <v>1529</v>
      </c>
      <c r="B147" s="17"/>
      <c r="C147" s="19"/>
      <c r="D147" s="18"/>
      <c r="E147" s="18"/>
      <c r="F147" s="19"/>
      <c r="G147" s="31"/>
      <c r="H147" s="31"/>
      <c r="I147" s="19"/>
      <c r="J147" s="19"/>
      <c r="K147" s="21"/>
      <c r="L147" s="22"/>
      <c r="M147" s="19"/>
      <c r="N147" s="20"/>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45" x14ac:dyDescent="0.3">
      <c r="A148" s="410" t="s">
        <v>1530</v>
      </c>
      <c r="B148" s="17"/>
      <c r="C148" s="19"/>
      <c r="D148" s="18"/>
      <c r="E148" s="18"/>
      <c r="F148" s="19"/>
      <c r="G148" s="31"/>
      <c r="H148" s="31"/>
      <c r="I148" s="19"/>
      <c r="J148" s="19"/>
      <c r="K148" s="21"/>
      <c r="L148" s="22"/>
      <c r="M148" s="19"/>
      <c r="N148" s="20"/>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45" x14ac:dyDescent="0.3">
      <c r="A149" s="410" t="s">
        <v>1531</v>
      </c>
      <c r="B149" s="17"/>
      <c r="C149" s="19"/>
      <c r="D149" s="18"/>
      <c r="E149" s="18"/>
      <c r="F149" s="19"/>
      <c r="G149" s="31"/>
      <c r="H149" s="31"/>
      <c r="I149" s="19"/>
      <c r="J149" s="19"/>
      <c r="K149" s="21"/>
      <c r="L149" s="22"/>
      <c r="M149" s="19"/>
      <c r="N149" s="20"/>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45" x14ac:dyDescent="0.3">
      <c r="A150" s="410" t="s">
        <v>1532</v>
      </c>
      <c r="B150" s="17"/>
      <c r="C150" s="19"/>
      <c r="D150" s="18"/>
      <c r="E150" s="18"/>
      <c r="F150" s="19"/>
      <c r="G150" s="31"/>
      <c r="H150" s="31"/>
      <c r="I150" s="19"/>
      <c r="J150" s="19"/>
      <c r="K150" s="21"/>
      <c r="L150" s="22"/>
      <c r="M150" s="19"/>
      <c r="N150" s="20"/>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45" x14ac:dyDescent="0.3">
      <c r="A151" s="410" t="s">
        <v>1533</v>
      </c>
      <c r="B151" s="17"/>
      <c r="C151" s="19"/>
      <c r="D151" s="18"/>
      <c r="E151" s="18"/>
      <c r="F151" s="19"/>
      <c r="G151" s="31"/>
      <c r="H151" s="31"/>
      <c r="I151" s="19"/>
      <c r="J151" s="19"/>
      <c r="K151" s="21"/>
      <c r="L151" s="22"/>
      <c r="M151" s="19"/>
      <c r="N151" s="20"/>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45" x14ac:dyDescent="0.3">
      <c r="A152" s="410" t="s">
        <v>1534</v>
      </c>
      <c r="B152" s="17"/>
      <c r="C152" s="19"/>
      <c r="D152" s="18"/>
      <c r="E152" s="18"/>
      <c r="F152" s="19"/>
      <c r="G152" s="31"/>
      <c r="H152" s="31"/>
      <c r="I152" s="19"/>
      <c r="J152" s="19"/>
      <c r="K152" s="21"/>
      <c r="L152" s="22"/>
      <c r="M152" s="19"/>
      <c r="N152" s="20"/>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45" x14ac:dyDescent="0.3">
      <c r="A153" s="410" t="s">
        <v>1535</v>
      </c>
      <c r="B153" s="17"/>
      <c r="C153" s="19"/>
      <c r="D153" s="18"/>
      <c r="E153" s="18"/>
      <c r="F153" s="19"/>
      <c r="G153" s="31"/>
      <c r="H153" s="31"/>
      <c r="I153" s="19"/>
      <c r="J153" s="19"/>
      <c r="K153" s="21"/>
      <c r="L153" s="22"/>
      <c r="M153" s="19"/>
      <c r="N153" s="20"/>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45" x14ac:dyDescent="0.3">
      <c r="A154" s="410" t="s">
        <v>1536</v>
      </c>
      <c r="B154" s="17"/>
      <c r="C154" s="19"/>
      <c r="D154" s="18"/>
      <c r="E154" s="18"/>
      <c r="F154" s="19"/>
      <c r="G154" s="31"/>
      <c r="H154" s="31"/>
      <c r="I154" s="19"/>
      <c r="J154" s="19"/>
      <c r="K154" s="21"/>
      <c r="L154" s="22"/>
      <c r="M154" s="19"/>
      <c r="N154" s="20"/>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45" x14ac:dyDescent="0.3">
      <c r="A155" s="410" t="s">
        <v>1537</v>
      </c>
      <c r="B155" s="17"/>
      <c r="C155" s="19"/>
      <c r="D155" s="18"/>
      <c r="E155" s="18"/>
      <c r="F155" s="19"/>
      <c r="G155" s="31"/>
      <c r="H155" s="31"/>
      <c r="I155" s="19"/>
      <c r="J155" s="19"/>
      <c r="K155" s="21"/>
      <c r="L155" s="22"/>
      <c r="M155" s="19"/>
      <c r="N155" s="20"/>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45" x14ac:dyDescent="0.3">
      <c r="A156" s="410" t="s">
        <v>1538</v>
      </c>
      <c r="B156" s="17"/>
      <c r="C156" s="19"/>
      <c r="D156" s="18"/>
      <c r="E156" s="18"/>
      <c r="F156" s="19"/>
      <c r="G156" s="31"/>
      <c r="H156" s="31"/>
      <c r="I156" s="19"/>
      <c r="J156" s="19"/>
      <c r="K156" s="21"/>
      <c r="L156" s="22"/>
      <c r="M156" s="19"/>
      <c r="N156" s="20"/>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45" x14ac:dyDescent="0.3">
      <c r="A157" s="410" t="s">
        <v>1539</v>
      </c>
      <c r="B157" s="17"/>
      <c r="C157" s="19"/>
      <c r="D157" s="18"/>
      <c r="E157" s="18"/>
      <c r="F157" s="19"/>
      <c r="G157" s="31"/>
      <c r="H157" s="31"/>
      <c r="I157" s="19"/>
      <c r="J157" s="19"/>
      <c r="K157" s="21"/>
      <c r="L157" s="22"/>
      <c r="M157" s="19"/>
      <c r="N157" s="20"/>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row>
    <row r="158" spans="1:45" x14ac:dyDescent="0.3">
      <c r="A158" s="410" t="s">
        <v>1540</v>
      </c>
      <c r="B158" s="17"/>
      <c r="C158" s="19"/>
      <c r="D158" s="18"/>
      <c r="E158" s="18"/>
      <c r="F158" s="19"/>
      <c r="G158" s="31"/>
      <c r="H158" s="31"/>
      <c r="I158" s="19"/>
      <c r="J158" s="19"/>
      <c r="K158" s="21"/>
      <c r="L158" s="22"/>
      <c r="M158" s="19"/>
      <c r="N158" s="20"/>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row>
    <row r="159" spans="1:45" x14ac:dyDescent="0.3">
      <c r="A159" s="410" t="s">
        <v>1541</v>
      </c>
      <c r="B159" s="17"/>
      <c r="C159" s="19"/>
      <c r="D159" s="18"/>
      <c r="E159" s="18"/>
      <c r="F159" s="19"/>
      <c r="G159" s="31"/>
      <c r="H159" s="31"/>
      <c r="I159" s="19"/>
      <c r="J159" s="19"/>
      <c r="K159" s="21"/>
      <c r="L159" s="22"/>
      <c r="M159" s="19"/>
      <c r="N159" s="20"/>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row>
    <row r="160" spans="1:45" x14ac:dyDescent="0.3">
      <c r="A160" s="410" t="s">
        <v>1542</v>
      </c>
      <c r="B160" s="17"/>
      <c r="C160" s="19"/>
      <c r="D160" s="18"/>
      <c r="E160" s="18"/>
      <c r="F160" s="19"/>
      <c r="G160" s="31"/>
      <c r="H160" s="31"/>
      <c r="I160" s="19"/>
      <c r="J160" s="19"/>
      <c r="K160" s="21"/>
      <c r="L160" s="22"/>
      <c r="M160" s="19"/>
      <c r="N160" s="20"/>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row>
    <row r="161" spans="1:45" x14ac:dyDescent="0.3">
      <c r="A161" s="410" t="s">
        <v>1543</v>
      </c>
      <c r="B161" s="17"/>
      <c r="C161" s="19"/>
      <c r="D161" s="18"/>
      <c r="E161" s="18"/>
      <c r="F161" s="19"/>
      <c r="G161" s="31"/>
      <c r="H161" s="31"/>
      <c r="I161" s="19"/>
      <c r="J161" s="19"/>
      <c r="K161" s="21"/>
      <c r="L161" s="22"/>
      <c r="M161" s="19"/>
      <c r="N161" s="20"/>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row>
    <row r="162" spans="1:45" x14ac:dyDescent="0.3">
      <c r="A162" s="410" t="s">
        <v>1544</v>
      </c>
      <c r="B162" s="17"/>
      <c r="C162" s="19"/>
      <c r="D162" s="18"/>
      <c r="E162" s="18"/>
      <c r="F162" s="19"/>
      <c r="G162" s="31"/>
      <c r="H162" s="31"/>
      <c r="I162" s="19"/>
      <c r="J162" s="19"/>
      <c r="K162" s="21"/>
      <c r="L162" s="22"/>
      <c r="M162" s="19"/>
      <c r="N162" s="20"/>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45" x14ac:dyDescent="0.3">
      <c r="A163" s="410"/>
      <c r="B163" s="17"/>
      <c r="C163" s="19"/>
      <c r="D163" s="18"/>
      <c r="E163" s="18"/>
      <c r="F163" s="19"/>
      <c r="G163" s="31"/>
      <c r="H163" s="31"/>
      <c r="I163" s="19"/>
      <c r="J163" s="19"/>
      <c r="K163" s="21"/>
      <c r="L163" s="22"/>
      <c r="M163" s="19"/>
      <c r="N163" s="20"/>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45" x14ac:dyDescent="0.3">
      <c r="A164" s="410" t="s">
        <v>1545</v>
      </c>
      <c r="B164" s="17" t="s">
        <v>1546</v>
      </c>
      <c r="C164" s="19" t="s">
        <v>1368</v>
      </c>
      <c r="D164" s="19">
        <v>23148117</v>
      </c>
      <c r="E164" s="18"/>
      <c r="F164" s="19"/>
      <c r="G164" s="31"/>
      <c r="H164" s="31"/>
      <c r="I164" s="19"/>
      <c r="J164" s="22"/>
      <c r="K164" s="18"/>
      <c r="L164" s="19"/>
      <c r="M164" s="19"/>
      <c r="N164" s="20"/>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45" x14ac:dyDescent="0.3">
      <c r="A165" s="410" t="s">
        <v>1547</v>
      </c>
      <c r="B165" s="17" t="s">
        <v>1548</v>
      </c>
      <c r="C165" s="19" t="s">
        <v>1368</v>
      </c>
      <c r="D165" s="19">
        <v>23145825</v>
      </c>
      <c r="E165" s="18"/>
      <c r="F165" s="19"/>
      <c r="G165" s="31"/>
      <c r="H165" s="31"/>
      <c r="I165" s="19"/>
      <c r="J165" s="22"/>
      <c r="K165" s="18"/>
      <c r="L165" s="19"/>
      <c r="M165" s="19"/>
      <c r="N165" s="20"/>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45" x14ac:dyDescent="0.3">
      <c r="A166" s="410" t="s">
        <v>1549</v>
      </c>
      <c r="B166" s="17" t="s">
        <v>1550</v>
      </c>
      <c r="C166" s="19" t="s">
        <v>1368</v>
      </c>
      <c r="D166" s="19">
        <v>23194168</v>
      </c>
      <c r="E166" s="18"/>
      <c r="F166" s="19"/>
      <c r="G166" s="31"/>
      <c r="H166" s="31"/>
      <c r="I166" s="19"/>
      <c r="J166" s="22"/>
      <c r="K166" s="18"/>
      <c r="L166" s="19"/>
      <c r="M166" s="19"/>
      <c r="N166" s="20"/>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45" x14ac:dyDescent="0.3">
      <c r="A167" s="410" t="s">
        <v>1551</v>
      </c>
      <c r="B167" s="17" t="s">
        <v>1552</v>
      </c>
      <c r="C167" s="19" t="s">
        <v>1368</v>
      </c>
      <c r="D167" s="19">
        <v>23138486</v>
      </c>
      <c r="E167" s="18"/>
      <c r="F167" s="19"/>
      <c r="G167" s="31"/>
      <c r="H167" s="31"/>
      <c r="I167" s="19"/>
      <c r="J167" s="22"/>
      <c r="K167" s="18"/>
      <c r="L167" s="19"/>
      <c r="M167" s="19"/>
      <c r="N167" s="20"/>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45" x14ac:dyDescent="0.3">
      <c r="A168" s="410" t="s">
        <v>1553</v>
      </c>
      <c r="B168" s="17" t="s">
        <v>1554</v>
      </c>
      <c r="C168" s="19" t="s">
        <v>1368</v>
      </c>
      <c r="D168" s="19">
        <v>23163290</v>
      </c>
      <c r="E168" s="18"/>
      <c r="F168" s="19"/>
      <c r="G168" s="31"/>
      <c r="H168" s="31"/>
      <c r="I168" s="19"/>
      <c r="J168" s="22"/>
      <c r="K168" s="18"/>
      <c r="L168" s="19"/>
      <c r="M168" s="19"/>
      <c r="N168" s="20"/>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45" x14ac:dyDescent="0.3">
      <c r="A169" s="410" t="s">
        <v>1555</v>
      </c>
      <c r="B169" s="17" t="s">
        <v>1556</v>
      </c>
      <c r="C169" s="19" t="s">
        <v>1368</v>
      </c>
      <c r="D169" s="19">
        <v>23148958</v>
      </c>
      <c r="E169" s="18"/>
      <c r="F169" s="19"/>
      <c r="G169" s="31"/>
      <c r="H169" s="31"/>
      <c r="I169" s="19"/>
      <c r="J169" s="22"/>
      <c r="K169" s="18"/>
      <c r="L169" s="19"/>
      <c r="M169" s="19"/>
      <c r="N169" s="20"/>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45" x14ac:dyDescent="0.3">
      <c r="A170" s="410" t="s">
        <v>1557</v>
      </c>
      <c r="B170" s="17" t="s">
        <v>1558</v>
      </c>
      <c r="C170" s="19" t="s">
        <v>1368</v>
      </c>
      <c r="D170" s="19">
        <v>23149844</v>
      </c>
      <c r="E170" s="18"/>
      <c r="F170" s="19"/>
      <c r="G170" s="31"/>
      <c r="H170" s="31"/>
      <c r="I170" s="19"/>
      <c r="J170" s="22"/>
      <c r="K170" s="18"/>
      <c r="L170" s="19"/>
      <c r="M170" s="19"/>
      <c r="N170" s="20"/>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row>
    <row r="171" spans="1:45" x14ac:dyDescent="0.3">
      <c r="A171" s="410" t="s">
        <v>1559</v>
      </c>
      <c r="B171" s="17" t="s">
        <v>1560</v>
      </c>
      <c r="C171" s="19" t="s">
        <v>1368</v>
      </c>
      <c r="D171" s="19">
        <v>23146092</v>
      </c>
      <c r="E171" s="18"/>
      <c r="F171" s="19"/>
      <c r="G171" s="31"/>
      <c r="H171" s="31"/>
      <c r="I171" s="19"/>
      <c r="J171" s="22"/>
      <c r="K171" s="18"/>
      <c r="L171" s="19"/>
      <c r="M171" s="19"/>
      <c r="N171" s="20"/>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3">
      <c r="A172" s="410" t="s">
        <v>1561</v>
      </c>
      <c r="B172" s="17" t="s">
        <v>1562</v>
      </c>
      <c r="C172" s="19" t="s">
        <v>1368</v>
      </c>
      <c r="D172" s="19">
        <v>23162961</v>
      </c>
      <c r="E172" s="18"/>
      <c r="F172" s="19"/>
      <c r="G172" s="31"/>
      <c r="H172" s="31"/>
      <c r="I172" s="19"/>
      <c r="J172" s="22"/>
      <c r="K172" s="18"/>
      <c r="L172" s="19"/>
      <c r="M172" s="19"/>
      <c r="N172" s="20"/>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3">
      <c r="A173" s="410" t="s">
        <v>1563</v>
      </c>
      <c r="B173" s="17" t="s">
        <v>1564</v>
      </c>
      <c r="C173" s="19" t="s">
        <v>1368</v>
      </c>
      <c r="D173" s="19">
        <v>23149451</v>
      </c>
      <c r="E173" s="18"/>
      <c r="F173" s="19"/>
      <c r="G173" s="31"/>
      <c r="H173" s="31"/>
      <c r="I173" s="19"/>
      <c r="J173" s="22"/>
      <c r="K173" s="18"/>
      <c r="L173" s="19"/>
      <c r="M173" s="19"/>
      <c r="N173" s="20"/>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row>
    <row r="174" spans="1:45" x14ac:dyDescent="0.3">
      <c r="A174" s="410" t="s">
        <v>1565</v>
      </c>
      <c r="B174" s="17" t="s">
        <v>1566</v>
      </c>
      <c r="C174" s="19" t="s">
        <v>1368</v>
      </c>
      <c r="D174" s="19">
        <v>23147564</v>
      </c>
      <c r="E174" s="18"/>
      <c r="F174" s="19"/>
      <c r="G174" s="31"/>
      <c r="H174" s="31"/>
      <c r="I174" s="19"/>
      <c r="J174" s="22"/>
      <c r="K174" s="18"/>
      <c r="L174" s="19"/>
      <c r="M174" s="19"/>
      <c r="N174" s="20"/>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3">
      <c r="A175" s="410" t="s">
        <v>1567</v>
      </c>
      <c r="B175" s="17" t="s">
        <v>1568</v>
      </c>
      <c r="C175" s="19" t="s">
        <v>1368</v>
      </c>
      <c r="D175" s="19">
        <v>23150313</v>
      </c>
      <c r="E175" s="18"/>
      <c r="F175" s="19"/>
      <c r="G175" s="31"/>
      <c r="H175" s="31"/>
      <c r="I175" s="19"/>
      <c r="J175" s="22"/>
      <c r="K175" s="18"/>
      <c r="L175" s="19"/>
      <c r="M175" s="19"/>
      <c r="N175" s="20"/>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3">
      <c r="A176" s="410" t="s">
        <v>1569</v>
      </c>
      <c r="B176" s="17" t="s">
        <v>1570</v>
      </c>
      <c r="C176" s="19" t="s">
        <v>1368</v>
      </c>
      <c r="D176" s="19">
        <v>23166072</v>
      </c>
      <c r="E176" s="18"/>
      <c r="F176" s="19"/>
      <c r="G176" s="31"/>
      <c r="H176" s="31">
        <v>45742</v>
      </c>
      <c r="I176" s="19"/>
      <c r="J176" s="19"/>
      <c r="K176" s="21"/>
      <c r="L176" s="22"/>
      <c r="M176" s="19"/>
      <c r="N176" s="20"/>
      <c r="O176" s="19"/>
      <c r="P176" s="19"/>
      <c r="Q176" s="19"/>
      <c r="R176" s="19" t="s">
        <v>1372</v>
      </c>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45" x14ac:dyDescent="0.3">
      <c r="A177" s="410" t="s">
        <v>1571</v>
      </c>
      <c r="B177" s="17" t="s">
        <v>1572</v>
      </c>
      <c r="C177" s="19" t="s">
        <v>1368</v>
      </c>
      <c r="D177" s="19">
        <v>23139147</v>
      </c>
      <c r="E177" s="18"/>
      <c r="F177" s="19"/>
      <c r="G177" s="31"/>
      <c r="H177" s="31"/>
      <c r="I177" s="19"/>
      <c r="J177" s="19"/>
      <c r="K177" s="21"/>
      <c r="L177" s="22"/>
      <c r="M177" s="19"/>
      <c r="N177" s="20"/>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45" x14ac:dyDescent="0.3">
      <c r="A178" s="410" t="s">
        <v>1573</v>
      </c>
      <c r="B178" s="17" t="s">
        <v>1574</v>
      </c>
      <c r="C178" s="19" t="s">
        <v>1368</v>
      </c>
      <c r="D178" s="19">
        <v>23149328</v>
      </c>
      <c r="E178" s="18"/>
      <c r="F178" s="19"/>
      <c r="G178" s="31"/>
      <c r="H178" s="31"/>
      <c r="I178" s="19"/>
      <c r="J178" s="19"/>
      <c r="K178" s="21"/>
      <c r="L178" s="22"/>
      <c r="M178" s="19"/>
      <c r="N178" s="20"/>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3">
      <c r="A179" s="410" t="s">
        <v>1575</v>
      </c>
      <c r="B179" s="17"/>
      <c r="C179" s="19"/>
      <c r="D179" s="18"/>
      <c r="E179" s="18"/>
      <c r="F179" s="19"/>
      <c r="G179" s="31"/>
      <c r="H179" s="31"/>
      <c r="I179" s="19"/>
      <c r="J179" s="19"/>
      <c r="K179" s="21"/>
      <c r="L179" s="22"/>
      <c r="M179" s="19"/>
      <c r="N179" s="20"/>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3">
      <c r="A180" s="410" t="s">
        <v>1576</v>
      </c>
      <c r="B180" s="17"/>
      <c r="C180" s="19"/>
      <c r="D180" s="19"/>
      <c r="E180" s="18"/>
      <c r="F180" s="19"/>
      <c r="G180" s="31"/>
      <c r="H180" s="31"/>
      <c r="I180" s="19"/>
      <c r="J180" s="19"/>
      <c r="K180" s="21"/>
      <c r="L180" s="22"/>
      <c r="M180" s="19"/>
      <c r="N180" s="20"/>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row>
    <row r="181" spans="1:45" x14ac:dyDescent="0.3">
      <c r="A181" s="410" t="s">
        <v>1577</v>
      </c>
      <c r="B181" s="17"/>
      <c r="C181" s="19"/>
      <c r="D181" s="18"/>
      <c r="E181" s="18"/>
      <c r="F181" s="19"/>
      <c r="G181" s="31"/>
      <c r="H181" s="31"/>
      <c r="I181" s="19"/>
      <c r="J181" s="19"/>
      <c r="K181" s="21"/>
      <c r="L181" s="22"/>
      <c r="M181" s="19"/>
      <c r="N181" s="20"/>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row>
    <row r="182" spans="1:45" x14ac:dyDescent="0.3">
      <c r="A182" s="410" t="s">
        <v>1578</v>
      </c>
      <c r="B182" s="17"/>
      <c r="C182" s="19"/>
      <c r="D182" s="18"/>
      <c r="E182" s="18"/>
      <c r="F182" s="19"/>
      <c r="G182" s="31"/>
      <c r="H182" s="31"/>
      <c r="I182" s="19"/>
      <c r="J182" s="19"/>
      <c r="K182" s="21"/>
      <c r="L182" s="22"/>
      <c r="M182" s="19"/>
      <c r="N182" s="20"/>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45" x14ac:dyDescent="0.3">
      <c r="A183" s="410" t="s">
        <v>1579</v>
      </c>
      <c r="B183" s="17"/>
      <c r="C183" s="19"/>
      <c r="D183" s="18"/>
      <c r="E183" s="18"/>
      <c r="F183" s="19"/>
      <c r="G183" s="31"/>
      <c r="H183" s="31"/>
      <c r="I183" s="19"/>
      <c r="J183" s="19"/>
      <c r="K183" s="21"/>
      <c r="L183" s="22"/>
      <c r="M183" s="19"/>
      <c r="N183" s="20"/>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45" x14ac:dyDescent="0.3">
      <c r="A184" s="410" t="s">
        <v>1580</v>
      </c>
      <c r="B184" s="17"/>
      <c r="C184" s="19"/>
      <c r="D184" s="18"/>
      <c r="E184" s="18"/>
      <c r="F184" s="19"/>
      <c r="G184" s="31"/>
      <c r="H184" s="31"/>
      <c r="I184" s="19"/>
      <c r="J184" s="19"/>
      <c r="K184" s="21"/>
      <c r="L184" s="22"/>
      <c r="M184" s="19"/>
      <c r="N184" s="20"/>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45" x14ac:dyDescent="0.3">
      <c r="A185" s="410" t="s">
        <v>1581</v>
      </c>
      <c r="B185" s="17"/>
      <c r="C185" s="19"/>
      <c r="D185" s="18"/>
      <c r="E185" s="18"/>
      <c r="F185" s="19"/>
      <c r="G185" s="31"/>
      <c r="H185" s="31"/>
      <c r="I185" s="19"/>
      <c r="J185" s="19"/>
      <c r="K185" s="21"/>
      <c r="L185" s="22"/>
      <c r="M185" s="19"/>
      <c r="N185" s="20"/>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45" x14ac:dyDescent="0.3">
      <c r="A186" s="410" t="s">
        <v>1582</v>
      </c>
      <c r="B186" s="17"/>
      <c r="C186" s="19"/>
      <c r="D186" s="18"/>
      <c r="E186" s="18"/>
      <c r="F186" s="19"/>
      <c r="G186" s="31"/>
      <c r="H186" s="31"/>
      <c r="I186" s="19"/>
      <c r="J186" s="19"/>
      <c r="K186" s="21"/>
      <c r="L186" s="22"/>
      <c r="M186" s="19"/>
      <c r="N186" s="20"/>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45" x14ac:dyDescent="0.3">
      <c r="A187" s="410" t="s">
        <v>1583</v>
      </c>
      <c r="B187" s="17"/>
      <c r="C187" s="19"/>
      <c r="D187" s="18"/>
      <c r="E187" s="18"/>
      <c r="F187" s="19"/>
      <c r="G187" s="31"/>
      <c r="H187" s="31"/>
      <c r="I187" s="19"/>
      <c r="J187" s="19"/>
      <c r="K187" s="21"/>
      <c r="L187" s="22"/>
      <c r="M187" s="19"/>
      <c r="N187" s="20"/>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x14ac:dyDescent="0.3">
      <c r="A188" s="410" t="s">
        <v>1584</v>
      </c>
      <c r="B188" s="17"/>
      <c r="C188" s="19"/>
      <c r="D188" s="18"/>
      <c r="E188" s="18"/>
      <c r="F188" s="19"/>
      <c r="G188" s="31"/>
      <c r="H188" s="31"/>
      <c r="I188" s="19"/>
      <c r="J188" s="19"/>
      <c r="K188" s="21"/>
      <c r="L188" s="22"/>
      <c r="M188" s="19"/>
      <c r="N188" s="20"/>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45" x14ac:dyDescent="0.3">
      <c r="A189" s="410" t="s">
        <v>1585</v>
      </c>
      <c r="B189" s="17"/>
      <c r="C189" s="19"/>
      <c r="D189" s="18"/>
      <c r="E189" s="18"/>
      <c r="F189" s="19"/>
      <c r="G189" s="31"/>
      <c r="H189" s="31"/>
      <c r="I189" s="19"/>
      <c r="J189" s="19"/>
      <c r="K189" s="21"/>
      <c r="L189" s="22"/>
      <c r="M189" s="19"/>
      <c r="N189" s="20"/>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row>
    <row r="190" spans="1:45" x14ac:dyDescent="0.3">
      <c r="A190" s="410" t="s">
        <v>1586</v>
      </c>
      <c r="B190" s="17"/>
      <c r="C190" s="19"/>
      <c r="D190" s="18"/>
      <c r="E190" s="18"/>
      <c r="F190" s="19"/>
      <c r="G190" s="31"/>
      <c r="H190" s="31"/>
      <c r="I190" s="19"/>
      <c r="J190" s="19"/>
      <c r="K190" s="21"/>
      <c r="L190" s="22"/>
      <c r="M190" s="19"/>
      <c r="N190" s="20"/>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row>
    <row r="191" spans="1:45" x14ac:dyDescent="0.3">
      <c r="A191" s="410" t="s">
        <v>1587</v>
      </c>
      <c r="B191" s="17"/>
      <c r="C191" s="19"/>
      <c r="D191" s="18"/>
      <c r="E191" s="18"/>
      <c r="F191" s="19"/>
      <c r="G191" s="31"/>
      <c r="H191" s="31"/>
      <c r="I191" s="19"/>
      <c r="J191" s="19"/>
      <c r="K191" s="21"/>
      <c r="L191" s="22"/>
      <c r="M191" s="19"/>
      <c r="N191" s="20"/>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row>
    <row r="192" spans="1:45" x14ac:dyDescent="0.3">
      <c r="A192" s="410" t="s">
        <v>1588</v>
      </c>
      <c r="B192" s="17"/>
      <c r="C192" s="19"/>
      <c r="D192" s="18"/>
      <c r="E192" s="18"/>
      <c r="F192" s="19"/>
      <c r="G192" s="31"/>
      <c r="H192" s="31"/>
      <c r="I192" s="19"/>
      <c r="J192" s="19"/>
      <c r="K192" s="21"/>
      <c r="L192" s="22"/>
      <c r="M192" s="19"/>
      <c r="N192" s="20"/>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5" x14ac:dyDescent="0.3">
      <c r="A193" s="410" t="s">
        <v>1589</v>
      </c>
      <c r="B193" s="17"/>
      <c r="C193" s="19"/>
      <c r="D193" s="18"/>
      <c r="E193" s="18"/>
      <c r="F193" s="19"/>
      <c r="G193" s="31"/>
      <c r="H193" s="31"/>
      <c r="I193" s="19"/>
      <c r="J193" s="19"/>
      <c r="K193" s="21"/>
      <c r="L193" s="22"/>
      <c r="M193" s="19"/>
      <c r="N193" s="20"/>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row>
    <row r="194" spans="1:45" x14ac:dyDescent="0.3">
      <c r="A194" s="410" t="s">
        <v>1590</v>
      </c>
      <c r="B194" s="17"/>
      <c r="C194" s="19"/>
      <c r="D194" s="18"/>
      <c r="E194" s="18"/>
      <c r="F194" s="19"/>
      <c r="G194" s="31"/>
      <c r="H194" s="31"/>
      <c r="I194" s="19"/>
      <c r="J194" s="19"/>
      <c r="K194" s="21"/>
      <c r="L194" s="22"/>
      <c r="M194" s="19"/>
      <c r="N194" s="20"/>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row>
    <row r="195" spans="1:45" x14ac:dyDescent="0.3">
      <c r="A195" s="410" t="s">
        <v>1591</v>
      </c>
      <c r="B195" s="17"/>
      <c r="C195" s="19"/>
      <c r="D195" s="18"/>
      <c r="E195" s="18"/>
      <c r="F195" s="19"/>
      <c r="G195" s="31"/>
      <c r="H195" s="31"/>
      <c r="I195" s="19"/>
      <c r="J195" s="19"/>
      <c r="K195" s="21"/>
      <c r="L195" s="22"/>
      <c r="M195" s="19"/>
      <c r="N195" s="20"/>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row>
    <row r="196" spans="1:45" x14ac:dyDescent="0.3">
      <c r="A196" s="410" t="s">
        <v>1592</v>
      </c>
      <c r="B196" s="17"/>
      <c r="C196" s="19"/>
      <c r="D196" s="18"/>
      <c r="E196" s="18"/>
      <c r="F196" s="19"/>
      <c r="G196" s="31"/>
      <c r="H196" s="31"/>
      <c r="I196" s="19"/>
      <c r="J196" s="19"/>
      <c r="K196" s="21"/>
      <c r="L196" s="22"/>
      <c r="M196" s="19"/>
      <c r="N196" s="20"/>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row>
    <row r="197" spans="1:45" x14ac:dyDescent="0.3">
      <c r="A197" s="410" t="s">
        <v>1593</v>
      </c>
      <c r="B197" s="17"/>
      <c r="C197" s="19"/>
      <c r="D197" s="18"/>
      <c r="E197" s="18"/>
      <c r="F197" s="19"/>
      <c r="G197" s="31"/>
      <c r="H197" s="31"/>
      <c r="I197" s="19"/>
      <c r="J197" s="19"/>
      <c r="K197" s="21"/>
      <c r="L197" s="22"/>
      <c r="M197" s="19"/>
      <c r="N197" s="20"/>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row>
    <row r="198" spans="1:45" x14ac:dyDescent="0.3">
      <c r="A198" s="410" t="s">
        <v>1594</v>
      </c>
      <c r="B198" s="17"/>
      <c r="C198" s="19"/>
      <c r="D198" s="18"/>
      <c r="E198" s="18"/>
      <c r="F198" s="19"/>
      <c r="G198" s="31"/>
      <c r="H198" s="31"/>
      <c r="I198" s="19"/>
      <c r="J198" s="19"/>
      <c r="K198" s="21"/>
      <c r="L198" s="22"/>
      <c r="M198" s="19"/>
      <c r="N198" s="20"/>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row>
    <row r="199" spans="1:45" x14ac:dyDescent="0.3">
      <c r="A199" s="410" t="s">
        <v>1595</v>
      </c>
      <c r="B199" s="17"/>
      <c r="C199" s="19"/>
      <c r="D199" s="18"/>
      <c r="E199" s="18"/>
      <c r="F199" s="19"/>
      <c r="G199" s="31"/>
      <c r="H199" s="31"/>
      <c r="I199" s="19"/>
      <c r="J199" s="19"/>
      <c r="K199" s="21"/>
      <c r="L199" s="22"/>
      <c r="M199" s="19"/>
      <c r="N199" s="20"/>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row>
    <row r="200" spans="1:45" x14ac:dyDescent="0.3">
      <c r="A200" s="410" t="s">
        <v>1596</v>
      </c>
      <c r="B200" s="17"/>
      <c r="C200" s="19"/>
      <c r="D200" s="18"/>
      <c r="E200" s="18"/>
      <c r="F200" s="19"/>
      <c r="G200" s="31"/>
      <c r="H200" s="31"/>
      <c r="I200" s="19"/>
      <c r="J200" s="19"/>
      <c r="K200" s="21"/>
      <c r="L200" s="22"/>
      <c r="M200" s="19"/>
      <c r="N200" s="20"/>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row>
    <row r="201" spans="1:45" x14ac:dyDescent="0.3">
      <c r="A201" s="410" t="s">
        <v>1597</v>
      </c>
      <c r="B201" s="17"/>
      <c r="C201" s="19"/>
      <c r="D201" s="18"/>
      <c r="E201" s="18"/>
      <c r="F201" s="19"/>
      <c r="G201" s="31"/>
      <c r="H201" s="31"/>
      <c r="I201" s="19"/>
      <c r="J201" s="19"/>
      <c r="K201" s="21"/>
      <c r="L201" s="22"/>
      <c r="M201" s="19"/>
      <c r="N201" s="20"/>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row>
    <row r="202" spans="1:45" x14ac:dyDescent="0.3">
      <c r="A202" s="410" t="s">
        <v>1598</v>
      </c>
      <c r="B202" s="17"/>
      <c r="C202" s="19"/>
      <c r="D202" s="18"/>
      <c r="E202" s="18"/>
      <c r="F202" s="19"/>
      <c r="G202" s="31"/>
      <c r="H202" s="31"/>
      <c r="I202" s="19"/>
      <c r="J202" s="19"/>
      <c r="K202" s="21"/>
      <c r="L202" s="22"/>
      <c r="M202" s="19"/>
      <c r="N202" s="20"/>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row>
    <row r="203" spans="1:45" x14ac:dyDescent="0.3">
      <c r="A203" s="410" t="s">
        <v>1599</v>
      </c>
      <c r="B203" s="17"/>
      <c r="C203" s="19"/>
      <c r="D203" s="18"/>
      <c r="E203" s="18"/>
      <c r="F203" s="19"/>
      <c r="G203" s="31"/>
      <c r="H203" s="31"/>
      <c r="I203" s="19"/>
      <c r="J203" s="19"/>
      <c r="K203" s="21"/>
      <c r="L203" s="22"/>
      <c r="M203" s="19"/>
      <c r="N203" s="20"/>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row>
    <row r="204" spans="1:45" x14ac:dyDescent="0.3">
      <c r="A204" s="410" t="s">
        <v>1600</v>
      </c>
      <c r="B204" s="17"/>
      <c r="C204" s="19"/>
      <c r="D204" s="18"/>
      <c r="E204" s="18"/>
      <c r="F204" s="19"/>
      <c r="G204" s="31"/>
      <c r="H204" s="31"/>
      <c r="I204" s="19"/>
      <c r="J204" s="19"/>
      <c r="K204" s="21"/>
      <c r="L204" s="22"/>
      <c r="M204" s="19"/>
      <c r="N204" s="20"/>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row>
    <row r="205" spans="1:45" x14ac:dyDescent="0.3">
      <c r="A205" s="410" t="s">
        <v>1601</v>
      </c>
      <c r="B205" s="17"/>
      <c r="C205" s="19"/>
      <c r="D205" s="18"/>
      <c r="E205" s="18"/>
      <c r="F205" s="19"/>
      <c r="G205" s="31"/>
      <c r="H205" s="31"/>
      <c r="I205" s="19"/>
      <c r="J205" s="19"/>
      <c r="K205" s="21"/>
      <c r="L205" s="22"/>
      <c r="M205" s="19"/>
      <c r="N205" s="20"/>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row>
    <row r="206" spans="1:45" x14ac:dyDescent="0.3">
      <c r="A206" s="410" t="s">
        <v>1602</v>
      </c>
      <c r="B206" s="17"/>
      <c r="C206" s="19"/>
      <c r="D206" s="18"/>
      <c r="E206" s="18"/>
      <c r="F206" s="19"/>
      <c r="G206" s="31"/>
      <c r="H206" s="31"/>
      <c r="I206" s="19"/>
      <c r="J206" s="19"/>
      <c r="K206" s="21"/>
      <c r="L206" s="22"/>
      <c r="M206" s="19"/>
      <c r="N206" s="20"/>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row>
    <row r="207" spans="1:45" x14ac:dyDescent="0.3">
      <c r="A207" s="410" t="s">
        <v>1603</v>
      </c>
      <c r="B207" s="17"/>
      <c r="C207" s="19"/>
      <c r="D207" s="18"/>
      <c r="E207" s="18"/>
      <c r="F207" s="19"/>
      <c r="G207" s="31"/>
      <c r="H207" s="31"/>
      <c r="I207" s="19"/>
      <c r="J207" s="19"/>
      <c r="K207" s="21"/>
      <c r="L207" s="22"/>
      <c r="M207" s="19"/>
      <c r="N207" s="20"/>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row>
    <row r="208" spans="1:45" x14ac:dyDescent="0.3">
      <c r="A208" s="410" t="s">
        <v>1604</v>
      </c>
      <c r="B208" s="17"/>
      <c r="C208" s="19"/>
      <c r="D208" s="18"/>
      <c r="E208" s="18"/>
      <c r="F208" s="19"/>
      <c r="G208" s="31"/>
      <c r="H208" s="31"/>
      <c r="I208" s="19"/>
      <c r="J208" s="19"/>
      <c r="K208" s="21"/>
      <c r="L208" s="22"/>
      <c r="M208" s="19"/>
      <c r="N208" s="20"/>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row>
    <row r="209" spans="1:45" x14ac:dyDescent="0.3">
      <c r="A209" s="410" t="s">
        <v>1605</v>
      </c>
      <c r="B209" s="17"/>
      <c r="C209" s="19"/>
      <c r="D209" s="18"/>
      <c r="E209" s="18"/>
      <c r="F209" s="19"/>
      <c r="G209" s="31"/>
      <c r="H209" s="31"/>
      <c r="I209" s="19"/>
      <c r="J209" s="19"/>
      <c r="K209" s="21"/>
      <c r="L209" s="22"/>
      <c r="M209" s="19"/>
      <c r="N209" s="20"/>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row>
    <row r="210" spans="1:45" x14ac:dyDescent="0.3">
      <c r="A210" s="410" t="s">
        <v>1606</v>
      </c>
      <c r="B210" s="17"/>
      <c r="C210" s="19"/>
      <c r="D210" s="18"/>
      <c r="E210" s="18"/>
      <c r="F210" s="19"/>
      <c r="G210" s="31"/>
      <c r="H210" s="31"/>
      <c r="I210" s="19"/>
      <c r="J210" s="19"/>
      <c r="K210" s="21"/>
      <c r="L210" s="22"/>
      <c r="M210" s="19"/>
      <c r="N210" s="20"/>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row>
    <row r="211" spans="1:45" x14ac:dyDescent="0.3">
      <c r="A211" s="410" t="s">
        <v>1607</v>
      </c>
      <c r="B211" s="17"/>
      <c r="C211" s="19"/>
      <c r="D211" s="18"/>
      <c r="E211" s="18"/>
      <c r="F211" s="19"/>
      <c r="G211" s="31"/>
      <c r="H211" s="31"/>
      <c r="I211" s="19"/>
      <c r="J211" s="19"/>
      <c r="K211" s="21"/>
      <c r="L211" s="22"/>
      <c r="M211" s="19"/>
      <c r="N211" s="20"/>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row>
    <row r="212" spans="1:45" x14ac:dyDescent="0.3">
      <c r="A212" s="410" t="s">
        <v>1608</v>
      </c>
      <c r="B212" s="17"/>
      <c r="C212" s="19"/>
      <c r="D212" s="18"/>
      <c r="E212" s="18"/>
      <c r="F212" s="19"/>
      <c r="G212" s="31"/>
      <c r="H212" s="31"/>
      <c r="I212" s="19"/>
      <c r="J212" s="19"/>
      <c r="K212" s="21"/>
      <c r="L212" s="22"/>
      <c r="M212" s="19"/>
      <c r="N212" s="20"/>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row>
    <row r="213" spans="1:45" x14ac:dyDescent="0.3">
      <c r="A213" s="410" t="s">
        <v>1609</v>
      </c>
      <c r="B213" s="17"/>
      <c r="C213" s="19"/>
      <c r="D213" s="18"/>
      <c r="E213" s="18"/>
      <c r="F213" s="19"/>
      <c r="G213" s="31"/>
      <c r="H213" s="31"/>
      <c r="I213" s="19"/>
      <c r="J213" s="19"/>
      <c r="K213" s="21"/>
      <c r="L213" s="22"/>
      <c r="M213" s="19"/>
      <c r="N213" s="20"/>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3">
      <c r="A214" s="410" t="s">
        <v>1610</v>
      </c>
      <c r="B214" s="17"/>
      <c r="C214" s="19"/>
      <c r="D214" s="18"/>
      <c r="E214" s="18"/>
      <c r="F214" s="19"/>
      <c r="G214" s="31"/>
      <c r="H214" s="31"/>
      <c r="I214" s="19"/>
      <c r="J214" s="19"/>
      <c r="K214" s="21"/>
      <c r="L214" s="22"/>
      <c r="M214" s="19"/>
      <c r="N214" s="20"/>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3">
      <c r="A215" s="410" t="s">
        <v>1611</v>
      </c>
      <c r="B215" s="17"/>
      <c r="C215" s="19"/>
      <c r="D215" s="18"/>
      <c r="E215" s="18"/>
      <c r="F215" s="19"/>
      <c r="G215" s="31"/>
      <c r="H215" s="31"/>
      <c r="I215" s="19"/>
      <c r="J215" s="19"/>
      <c r="K215" s="21"/>
      <c r="L215" s="22"/>
      <c r="M215" s="19"/>
      <c r="N215" s="20"/>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row>
    <row r="216" spans="1:45" x14ac:dyDescent="0.3">
      <c r="A216" s="410" t="s">
        <v>1612</v>
      </c>
      <c r="B216" s="17"/>
      <c r="C216" s="19"/>
      <c r="D216" s="18"/>
      <c r="E216" s="18"/>
      <c r="F216" s="19"/>
      <c r="G216" s="31"/>
      <c r="H216" s="31"/>
      <c r="I216" s="19"/>
      <c r="J216" s="19"/>
      <c r="K216" s="21"/>
      <c r="L216" s="22"/>
      <c r="M216" s="19"/>
      <c r="N216" s="20"/>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3">
      <c r="A217" s="410" t="s">
        <v>1613</v>
      </c>
      <c r="B217" s="17"/>
      <c r="C217" s="19"/>
      <c r="D217" s="18"/>
      <c r="E217" s="18"/>
      <c r="F217" s="19"/>
      <c r="G217" s="31"/>
      <c r="H217" s="31"/>
      <c r="I217" s="19"/>
      <c r="J217" s="19"/>
      <c r="K217" s="21"/>
      <c r="L217" s="22"/>
      <c r="M217" s="19"/>
      <c r="N217" s="20"/>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3">
      <c r="A218" s="410" t="s">
        <v>1614</v>
      </c>
      <c r="B218" s="17"/>
      <c r="C218" s="19"/>
      <c r="D218" s="18"/>
      <c r="E218" s="18"/>
      <c r="F218" s="19"/>
      <c r="G218" s="31"/>
      <c r="H218" s="31"/>
      <c r="I218" s="19"/>
      <c r="J218" s="19"/>
      <c r="K218" s="21"/>
      <c r="L218" s="22"/>
      <c r="M218" s="19"/>
      <c r="N218" s="20"/>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row>
    <row r="219" spans="1:45" x14ac:dyDescent="0.3">
      <c r="A219" s="410" t="s">
        <v>1615</v>
      </c>
      <c r="B219" s="17"/>
      <c r="C219" s="19"/>
      <c r="D219" s="18"/>
      <c r="E219" s="18"/>
      <c r="F219" s="19"/>
      <c r="G219" s="31"/>
      <c r="H219" s="31"/>
      <c r="I219" s="19"/>
      <c r="J219" s="19"/>
      <c r="K219" s="21"/>
      <c r="L219" s="22"/>
      <c r="M219" s="19"/>
      <c r="N219" s="20"/>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row>
    <row r="220" spans="1:45" x14ac:dyDescent="0.3">
      <c r="A220" s="410" t="s">
        <v>1616</v>
      </c>
      <c r="B220" s="17"/>
      <c r="C220" s="19"/>
      <c r="D220" s="18"/>
      <c r="E220" s="18"/>
      <c r="F220" s="19"/>
      <c r="G220" s="31"/>
      <c r="H220" s="31"/>
      <c r="I220" s="19"/>
      <c r="J220" s="19"/>
      <c r="K220" s="21"/>
      <c r="L220" s="22"/>
      <c r="M220" s="19"/>
      <c r="N220" s="20"/>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row>
    <row r="221" spans="1:45" x14ac:dyDescent="0.3">
      <c r="A221" s="410" t="s">
        <v>1617</v>
      </c>
      <c r="B221" s="17"/>
      <c r="C221" s="19"/>
      <c r="D221" s="18"/>
      <c r="E221" s="18"/>
      <c r="F221" s="19"/>
      <c r="G221" s="31"/>
      <c r="H221" s="31"/>
      <c r="I221" s="19"/>
      <c r="J221" s="19"/>
      <c r="K221" s="21"/>
      <c r="L221" s="22"/>
      <c r="M221" s="19"/>
      <c r="N221" s="20"/>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row>
    <row r="222" spans="1:45" x14ac:dyDescent="0.3">
      <c r="A222" s="410" t="s">
        <v>1618</v>
      </c>
      <c r="B222" s="17"/>
      <c r="C222" s="19"/>
      <c r="D222" s="18"/>
      <c r="E222" s="18"/>
      <c r="F222" s="19"/>
      <c r="G222" s="31"/>
      <c r="H222" s="31"/>
      <c r="I222" s="19"/>
      <c r="J222" s="19"/>
      <c r="K222" s="21"/>
      <c r="L222" s="22"/>
      <c r="M222" s="19"/>
      <c r="N222" s="20"/>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3">
      <c r="A223" s="410" t="s">
        <v>1619</v>
      </c>
      <c r="B223" s="17"/>
      <c r="C223" s="19"/>
      <c r="D223" s="18"/>
      <c r="E223" s="18"/>
      <c r="F223" s="19"/>
      <c r="G223" s="31"/>
      <c r="H223" s="31"/>
      <c r="I223" s="19"/>
      <c r="J223" s="19"/>
      <c r="K223" s="21"/>
      <c r="L223" s="22"/>
      <c r="M223" s="19"/>
      <c r="N223" s="20"/>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row>
    <row r="224" spans="1:45" x14ac:dyDescent="0.3">
      <c r="A224" s="410" t="s">
        <v>1620</v>
      </c>
      <c r="B224" s="17"/>
      <c r="C224" s="19"/>
      <c r="D224" s="18"/>
      <c r="E224" s="18"/>
      <c r="F224" s="19"/>
      <c r="G224" s="31"/>
      <c r="H224" s="31"/>
      <c r="I224" s="19"/>
      <c r="J224" s="19"/>
      <c r="K224" s="21"/>
      <c r="L224" s="22"/>
      <c r="M224" s="19"/>
      <c r="N224" s="20"/>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row>
    <row r="225" spans="1:45" x14ac:dyDescent="0.3">
      <c r="A225" s="410" t="s">
        <v>1621</v>
      </c>
      <c r="B225" s="17"/>
      <c r="C225" s="19"/>
      <c r="D225" s="18"/>
      <c r="E225" s="18"/>
      <c r="F225" s="19"/>
      <c r="G225" s="31"/>
      <c r="H225" s="31"/>
      <c r="I225" s="19"/>
      <c r="J225" s="19"/>
      <c r="K225" s="21"/>
      <c r="L225" s="22"/>
      <c r="M225" s="19"/>
      <c r="N225" s="20"/>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5" x14ac:dyDescent="0.3">
      <c r="A226" s="410" t="s">
        <v>1622</v>
      </c>
      <c r="B226" s="17"/>
      <c r="C226" s="19"/>
      <c r="D226" s="18"/>
      <c r="E226" s="18"/>
      <c r="F226" s="19"/>
      <c r="G226" s="31"/>
      <c r="H226" s="31"/>
      <c r="I226" s="19"/>
      <c r="J226" s="19"/>
      <c r="K226" s="21"/>
      <c r="L226" s="22"/>
      <c r="M226" s="19"/>
      <c r="N226" s="20"/>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row>
    <row r="227" spans="1:45" x14ac:dyDescent="0.3">
      <c r="A227" s="410" t="s">
        <v>1623</v>
      </c>
      <c r="B227" s="17"/>
      <c r="C227" s="19"/>
      <c r="D227" s="18"/>
      <c r="E227" s="18"/>
      <c r="F227" s="19"/>
      <c r="G227" s="31"/>
      <c r="H227" s="31"/>
      <c r="I227" s="19"/>
      <c r="J227" s="19"/>
      <c r="K227" s="21"/>
      <c r="L227" s="22"/>
      <c r="M227" s="19"/>
      <c r="N227" s="20"/>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28" spans="1:45" x14ac:dyDescent="0.3">
      <c r="A228" s="410" t="s">
        <v>1624</v>
      </c>
      <c r="B228" s="17"/>
      <c r="C228" s="19"/>
      <c r="D228" s="18"/>
      <c r="E228" s="18"/>
      <c r="F228" s="19"/>
      <c r="G228" s="31"/>
      <c r="H228" s="31"/>
      <c r="I228" s="19"/>
      <c r="J228" s="19"/>
      <c r="K228" s="21"/>
      <c r="L228" s="22"/>
      <c r="M228" s="19"/>
      <c r="N228" s="20"/>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row>
    <row r="229" spans="1:45" x14ac:dyDescent="0.3">
      <c r="A229" s="410" t="s">
        <v>1625</v>
      </c>
      <c r="B229" s="17"/>
      <c r="C229" s="19"/>
      <c r="D229" s="18"/>
      <c r="E229" s="18"/>
      <c r="F229" s="19"/>
      <c r="G229" s="31"/>
      <c r="H229" s="31"/>
      <c r="I229" s="19"/>
      <c r="J229" s="19"/>
      <c r="K229" s="21"/>
      <c r="L229" s="22"/>
      <c r="M229" s="19"/>
      <c r="N229" s="20"/>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row>
    <row r="230" spans="1:45" x14ac:dyDescent="0.3">
      <c r="A230" s="410" t="s">
        <v>1626</v>
      </c>
      <c r="B230" s="17"/>
      <c r="C230" s="19"/>
      <c r="D230" s="18"/>
      <c r="E230" s="18"/>
      <c r="F230" s="19"/>
      <c r="G230" s="31"/>
      <c r="H230" s="31"/>
      <c r="I230" s="19"/>
      <c r="J230" s="19"/>
      <c r="K230" s="21"/>
      <c r="L230" s="22"/>
      <c r="M230" s="19"/>
      <c r="N230" s="20"/>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5" x14ac:dyDescent="0.3">
      <c r="A231" s="410" t="s">
        <v>1627</v>
      </c>
      <c r="B231" s="17"/>
      <c r="C231" s="19"/>
      <c r="D231" s="18"/>
      <c r="E231" s="18"/>
      <c r="F231" s="19"/>
      <c r="G231" s="31"/>
      <c r="H231" s="31"/>
      <c r="I231" s="19"/>
      <c r="J231" s="19"/>
      <c r="K231" s="21"/>
      <c r="L231" s="22"/>
      <c r="M231" s="19"/>
      <c r="N231" s="20"/>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row>
    <row r="232" spans="1:45" x14ac:dyDescent="0.3">
      <c r="A232" s="410" t="s">
        <v>1628</v>
      </c>
      <c r="B232" s="17"/>
      <c r="C232" s="19"/>
      <c r="D232" s="18"/>
      <c r="E232" s="18"/>
      <c r="F232" s="19"/>
      <c r="G232" s="31"/>
      <c r="H232" s="31"/>
      <c r="I232" s="19"/>
      <c r="J232" s="19"/>
      <c r="K232" s="21"/>
      <c r="L232" s="22"/>
      <c r="M232" s="19"/>
      <c r="N232" s="20"/>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row>
    <row r="233" spans="1:45" x14ac:dyDescent="0.3">
      <c r="A233" s="410" t="s">
        <v>1629</v>
      </c>
      <c r="B233" s="17"/>
      <c r="C233" s="19"/>
      <c r="D233" s="18"/>
      <c r="E233" s="18"/>
      <c r="F233" s="19"/>
      <c r="G233" s="31"/>
      <c r="H233" s="31"/>
      <c r="I233" s="19"/>
      <c r="J233" s="19"/>
      <c r="K233" s="21"/>
      <c r="L233" s="22"/>
      <c r="M233" s="19"/>
      <c r="N233" s="20"/>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row>
    <row r="234" spans="1:45" x14ac:dyDescent="0.3">
      <c r="A234" s="410" t="s">
        <v>1630</v>
      </c>
      <c r="B234" s="17"/>
      <c r="C234" s="19"/>
      <c r="D234" s="18"/>
      <c r="E234" s="18"/>
      <c r="F234" s="19"/>
      <c r="G234" s="31"/>
      <c r="H234" s="31"/>
      <c r="I234" s="19"/>
      <c r="J234" s="19"/>
      <c r="K234" s="21"/>
      <c r="L234" s="22"/>
      <c r="M234" s="19"/>
      <c r="N234" s="20"/>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row>
    <row r="235" spans="1:45" x14ac:dyDescent="0.3">
      <c r="A235" s="410" t="s">
        <v>1631</v>
      </c>
      <c r="B235" s="17"/>
      <c r="C235" s="19"/>
      <c r="D235" s="18"/>
      <c r="E235" s="18"/>
      <c r="F235" s="19"/>
      <c r="G235" s="31"/>
      <c r="H235" s="31"/>
      <c r="I235" s="19"/>
      <c r="J235" s="19"/>
      <c r="K235" s="21"/>
      <c r="L235" s="22"/>
      <c r="M235" s="19"/>
      <c r="N235" s="20"/>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row>
    <row r="236" spans="1:45" x14ac:dyDescent="0.3">
      <c r="A236" s="410" t="s">
        <v>1632</v>
      </c>
      <c r="B236" s="17"/>
      <c r="C236" s="19"/>
      <c r="D236" s="18"/>
      <c r="E236" s="18"/>
      <c r="F236" s="19"/>
      <c r="G236" s="31"/>
      <c r="H236" s="31"/>
      <c r="I236" s="19"/>
      <c r="J236" s="19"/>
      <c r="K236" s="21"/>
      <c r="L236" s="22"/>
      <c r="M236" s="19"/>
      <c r="N236" s="20"/>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row>
    <row r="237" spans="1:45" x14ac:dyDescent="0.3">
      <c r="A237" s="410" t="s">
        <v>1633</v>
      </c>
      <c r="B237" s="17"/>
      <c r="C237" s="19"/>
      <c r="D237" s="18"/>
      <c r="E237" s="18"/>
      <c r="F237" s="19"/>
      <c r="G237" s="31"/>
      <c r="H237" s="31"/>
      <c r="I237" s="19"/>
      <c r="J237" s="19"/>
      <c r="K237" s="21"/>
      <c r="L237" s="22"/>
      <c r="M237" s="19"/>
      <c r="N237" s="20"/>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row>
    <row r="238" spans="1:45" x14ac:dyDescent="0.3">
      <c r="A238" s="410" t="s">
        <v>1634</v>
      </c>
      <c r="B238" s="17"/>
      <c r="C238" s="19"/>
      <c r="D238" s="18"/>
      <c r="E238" s="18"/>
      <c r="F238" s="19"/>
      <c r="G238" s="31"/>
      <c r="H238" s="31"/>
      <c r="I238" s="19"/>
      <c r="J238" s="19"/>
      <c r="K238" s="21"/>
      <c r="L238" s="22"/>
      <c r="M238" s="19"/>
      <c r="N238" s="20"/>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row>
    <row r="239" spans="1:45" x14ac:dyDescent="0.3">
      <c r="A239" s="410" t="s">
        <v>1635</v>
      </c>
      <c r="B239" s="17"/>
      <c r="C239" s="19"/>
      <c r="D239" s="18"/>
      <c r="E239" s="18"/>
      <c r="F239" s="19"/>
      <c r="G239" s="31"/>
      <c r="H239" s="31"/>
      <c r="I239" s="19"/>
      <c r="J239" s="19"/>
      <c r="K239" s="21"/>
      <c r="L239" s="22"/>
      <c r="M239" s="19"/>
      <c r="N239" s="20"/>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row>
    <row r="240" spans="1:45" x14ac:dyDescent="0.3">
      <c r="A240" s="410" t="s">
        <v>1636</v>
      </c>
      <c r="B240" s="17"/>
      <c r="C240" s="19"/>
      <c r="D240" s="18"/>
      <c r="E240" s="18"/>
      <c r="F240" s="19"/>
      <c r="G240" s="31"/>
      <c r="H240" s="31"/>
      <c r="I240" s="19"/>
      <c r="J240" s="19"/>
      <c r="K240" s="21"/>
      <c r="L240" s="22"/>
      <c r="M240" s="19"/>
      <c r="N240" s="20"/>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row>
    <row r="241" spans="1:45" x14ac:dyDescent="0.3">
      <c r="A241" s="410" t="s">
        <v>1637</v>
      </c>
      <c r="B241" s="17"/>
      <c r="C241" s="19"/>
      <c r="D241" s="18"/>
      <c r="E241" s="18"/>
      <c r="F241" s="19"/>
      <c r="G241" s="31"/>
      <c r="H241" s="31"/>
      <c r="I241" s="19"/>
      <c r="J241" s="19"/>
      <c r="K241" s="21"/>
      <c r="L241" s="22"/>
      <c r="M241" s="19"/>
      <c r="N241" s="20"/>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row>
    <row r="242" spans="1:45" x14ac:dyDescent="0.3">
      <c r="A242" s="410" t="s">
        <v>1638</v>
      </c>
      <c r="B242" s="17"/>
      <c r="C242" s="19"/>
      <c r="D242" s="18"/>
      <c r="E242" s="18"/>
      <c r="F242" s="19"/>
      <c r="G242" s="31"/>
      <c r="H242" s="31"/>
      <c r="I242" s="19"/>
      <c r="J242" s="19"/>
      <c r="K242" s="21"/>
      <c r="L242" s="22"/>
      <c r="M242" s="19"/>
      <c r="N242" s="20"/>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row>
    <row r="243" spans="1:45" x14ac:dyDescent="0.3">
      <c r="A243" s="410" t="s">
        <v>1639</v>
      </c>
      <c r="B243" s="17"/>
      <c r="C243" s="19"/>
      <c r="D243" s="18"/>
      <c r="E243" s="18"/>
      <c r="F243" s="19"/>
      <c r="G243" s="31"/>
      <c r="H243" s="31"/>
      <c r="I243" s="19"/>
      <c r="J243" s="19"/>
      <c r="K243" s="21"/>
      <c r="L243" s="22"/>
      <c r="M243" s="19"/>
      <c r="N243" s="20"/>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row>
    <row r="244" spans="1:45" x14ac:dyDescent="0.3">
      <c r="A244" s="410"/>
      <c r="B244" s="17"/>
      <c r="C244" s="19"/>
      <c r="D244" s="18"/>
      <c r="E244" s="18"/>
      <c r="F244" s="19"/>
      <c r="G244" s="31"/>
      <c r="H244" s="31"/>
      <c r="I244" s="19"/>
      <c r="J244" s="19"/>
      <c r="K244" s="21"/>
      <c r="L244" s="22"/>
      <c r="M244" s="19"/>
      <c r="N244" s="20"/>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row>
    <row r="245" spans="1:45" x14ac:dyDescent="0.3">
      <c r="A245" s="410" t="s">
        <v>1640</v>
      </c>
      <c r="B245" s="17" t="s">
        <v>1641</v>
      </c>
      <c r="C245" s="19"/>
      <c r="D245" s="19">
        <v>23202845</v>
      </c>
      <c r="E245" s="18"/>
      <c r="F245" s="19"/>
      <c r="G245" s="31"/>
      <c r="H245" s="31"/>
      <c r="I245" s="19"/>
      <c r="J245" s="22"/>
      <c r="K245" s="18"/>
      <c r="L245" s="19"/>
      <c r="M245" s="19"/>
      <c r="N245" s="20"/>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row>
    <row r="246" spans="1:45" x14ac:dyDescent="0.3">
      <c r="A246" s="410" t="s">
        <v>1642</v>
      </c>
      <c r="B246" s="17" t="s">
        <v>1643</v>
      </c>
      <c r="C246" s="19"/>
      <c r="D246" s="19">
        <v>23007341</v>
      </c>
      <c r="E246" s="18"/>
      <c r="F246" s="19"/>
      <c r="G246" s="31"/>
      <c r="H246" s="31"/>
      <c r="I246" s="19"/>
      <c r="J246" s="22"/>
      <c r="K246" s="18"/>
      <c r="L246" s="19"/>
      <c r="M246" s="19"/>
      <c r="N246" s="20"/>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row>
    <row r="247" spans="1:45" x14ac:dyDescent="0.3">
      <c r="A247" s="410" t="s">
        <v>1644</v>
      </c>
      <c r="B247" s="17" t="s">
        <v>1645</v>
      </c>
      <c r="C247" s="19"/>
      <c r="D247" s="19">
        <v>23204420</v>
      </c>
      <c r="E247" s="18"/>
      <c r="F247" s="19"/>
      <c r="G247" s="31"/>
      <c r="H247" s="31"/>
      <c r="I247" s="19"/>
      <c r="J247" s="22"/>
      <c r="K247" s="18"/>
      <c r="L247" s="19"/>
      <c r="M247" s="19"/>
      <c r="N247" s="20"/>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row>
    <row r="248" spans="1:45" x14ac:dyDescent="0.3">
      <c r="A248" s="410" t="s">
        <v>1646</v>
      </c>
      <c r="B248" s="17" t="s">
        <v>1647</v>
      </c>
      <c r="C248" s="19"/>
      <c r="D248" s="19">
        <v>23187991</v>
      </c>
      <c r="E248" s="18"/>
      <c r="F248" s="19"/>
      <c r="G248" s="31"/>
      <c r="H248" s="31"/>
      <c r="I248" s="19"/>
      <c r="J248" s="22"/>
      <c r="K248" s="18"/>
      <c r="L248" s="19"/>
      <c r="M248" s="19"/>
      <c r="N248" s="20"/>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row>
    <row r="249" spans="1:45" x14ac:dyDescent="0.3">
      <c r="A249" s="410" t="s">
        <v>1648</v>
      </c>
      <c r="B249" s="17" t="s">
        <v>1649</v>
      </c>
      <c r="C249" s="19"/>
      <c r="D249" s="19">
        <v>23153057</v>
      </c>
      <c r="E249" s="18"/>
      <c r="F249" s="19"/>
      <c r="G249" s="31"/>
      <c r="H249" s="31"/>
      <c r="I249" s="19"/>
      <c r="J249" s="19"/>
      <c r="K249" s="21"/>
      <c r="L249" s="22"/>
      <c r="M249" s="19"/>
      <c r="N249" s="20"/>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row>
    <row r="250" spans="1:45" x14ac:dyDescent="0.3">
      <c r="A250" s="410" t="s">
        <v>1650</v>
      </c>
      <c r="B250" s="17" t="s">
        <v>1651</v>
      </c>
      <c r="C250" s="19"/>
      <c r="D250" s="19">
        <v>23161339</v>
      </c>
      <c r="E250" s="18"/>
      <c r="F250" s="19"/>
      <c r="G250" s="31"/>
      <c r="H250" s="31"/>
      <c r="I250" s="19"/>
      <c r="J250" s="19"/>
      <c r="K250" s="21"/>
      <c r="L250" s="22"/>
      <c r="M250" s="19"/>
      <c r="N250" s="20"/>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row>
    <row r="251" spans="1:45" x14ac:dyDescent="0.3">
      <c r="A251" s="410" t="s">
        <v>1652</v>
      </c>
      <c r="B251" s="17" t="s">
        <v>1653</v>
      </c>
      <c r="C251" s="19"/>
      <c r="D251" s="19">
        <v>23138030</v>
      </c>
      <c r="E251" s="18"/>
      <c r="F251" s="19"/>
      <c r="G251" s="31"/>
      <c r="H251" s="31"/>
      <c r="I251" s="19"/>
      <c r="J251" s="19"/>
      <c r="K251" s="21"/>
      <c r="L251" s="22"/>
      <c r="M251" s="19"/>
      <c r="N251" s="20"/>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row>
    <row r="252" spans="1:45" x14ac:dyDescent="0.3">
      <c r="A252" s="410" t="s">
        <v>1654</v>
      </c>
      <c r="B252" s="17" t="s">
        <v>1655</v>
      </c>
      <c r="C252" s="19"/>
      <c r="D252" s="19">
        <v>23027318</v>
      </c>
      <c r="E252" s="18"/>
      <c r="F252" s="19"/>
      <c r="G252" s="31"/>
      <c r="H252" s="31"/>
      <c r="I252" s="19"/>
      <c r="J252" s="19"/>
      <c r="K252" s="21"/>
      <c r="L252" s="22"/>
      <c r="M252" s="19"/>
      <c r="N252" s="20"/>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row>
    <row r="253" spans="1:45" x14ac:dyDescent="0.3">
      <c r="A253" s="410" t="s">
        <v>1656</v>
      </c>
      <c r="B253" s="17" t="s">
        <v>1657</v>
      </c>
      <c r="C253" s="19"/>
      <c r="D253" s="19">
        <v>23158040</v>
      </c>
      <c r="E253" s="18"/>
      <c r="F253" s="19"/>
      <c r="G253" s="31"/>
      <c r="H253" s="31"/>
      <c r="I253" s="19"/>
      <c r="J253" s="19"/>
      <c r="K253" s="21"/>
      <c r="L253" s="22"/>
      <c r="M253" s="19"/>
      <c r="N253" s="20"/>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row>
    <row r="254" spans="1:45" x14ac:dyDescent="0.3">
      <c r="A254" s="410" t="s">
        <v>1658</v>
      </c>
      <c r="B254" s="17" t="s">
        <v>1659</v>
      </c>
      <c r="C254" s="19"/>
      <c r="D254" s="19">
        <v>23138595</v>
      </c>
      <c r="E254" s="18"/>
      <c r="F254" s="19"/>
      <c r="G254" s="31"/>
      <c r="H254" s="31"/>
      <c r="I254" s="19"/>
      <c r="J254" s="19"/>
      <c r="K254" s="21"/>
      <c r="L254" s="22"/>
      <c r="M254" s="19"/>
      <c r="N254" s="20"/>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row>
    <row r="255" spans="1:45" x14ac:dyDescent="0.3">
      <c r="A255" s="410" t="s">
        <v>1660</v>
      </c>
      <c r="B255" s="17" t="s">
        <v>1661</v>
      </c>
      <c r="C255" s="19"/>
      <c r="D255" s="19">
        <v>23162962</v>
      </c>
      <c r="E255" s="18"/>
      <c r="F255" s="19"/>
      <c r="G255" s="31"/>
      <c r="H255" s="31"/>
      <c r="I255" s="19"/>
      <c r="J255" s="19"/>
      <c r="K255" s="21"/>
      <c r="L255" s="22"/>
      <c r="M255" s="19"/>
      <c r="N255" s="20"/>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row>
    <row r="256" spans="1:45" x14ac:dyDescent="0.3">
      <c r="A256" s="410" t="s">
        <v>1662</v>
      </c>
      <c r="B256" s="17" t="s">
        <v>1663</v>
      </c>
      <c r="C256" s="19"/>
      <c r="D256" s="19">
        <v>23148952</v>
      </c>
      <c r="E256" s="18"/>
      <c r="F256" s="19"/>
      <c r="G256" s="31"/>
      <c r="H256" s="31"/>
      <c r="I256" s="19"/>
      <c r="J256" s="19"/>
      <c r="K256" s="21"/>
      <c r="L256" s="22"/>
      <c r="M256" s="19"/>
      <c r="N256" s="20"/>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row>
    <row r="257" spans="1:45" x14ac:dyDescent="0.3">
      <c r="A257" s="410" t="s">
        <v>1664</v>
      </c>
      <c r="B257" s="17" t="s">
        <v>1665</v>
      </c>
      <c r="C257" s="19"/>
      <c r="D257" s="19">
        <v>23078032</v>
      </c>
      <c r="E257" s="18"/>
      <c r="F257" s="19"/>
      <c r="G257" s="31"/>
      <c r="H257" s="31"/>
      <c r="I257" s="19"/>
      <c r="J257" s="19"/>
      <c r="K257" s="21"/>
      <c r="L257" s="22"/>
      <c r="M257" s="19"/>
      <c r="N257" s="20"/>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row>
    <row r="258" spans="1:45" x14ac:dyDescent="0.3">
      <c r="A258" s="410" t="s">
        <v>1666</v>
      </c>
      <c r="B258" s="17" t="s">
        <v>1667</v>
      </c>
      <c r="C258" s="19"/>
      <c r="D258" s="19">
        <v>23202283</v>
      </c>
      <c r="E258" s="18"/>
      <c r="F258" s="19"/>
      <c r="G258" s="31"/>
      <c r="H258" s="31"/>
      <c r="I258" s="19"/>
      <c r="J258" s="19"/>
      <c r="K258" s="21"/>
      <c r="L258" s="22"/>
      <c r="M258" s="19"/>
      <c r="N258" s="20"/>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row>
    <row r="259" spans="1:45" x14ac:dyDescent="0.3">
      <c r="A259" s="410" t="s">
        <v>1668</v>
      </c>
      <c r="B259" s="17" t="s">
        <v>1669</v>
      </c>
      <c r="C259" s="19"/>
      <c r="D259" s="19">
        <v>23202317</v>
      </c>
      <c r="E259" s="18"/>
      <c r="F259" s="19"/>
      <c r="G259" s="31"/>
      <c r="H259" s="31"/>
      <c r="I259" s="19"/>
      <c r="J259" s="19"/>
      <c r="K259" s="21"/>
      <c r="L259" s="22"/>
      <c r="M259" s="19"/>
      <c r="N259" s="20"/>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row>
    <row r="260" spans="1:45" x14ac:dyDescent="0.3">
      <c r="A260" s="410" t="s">
        <v>1670</v>
      </c>
      <c r="B260" s="17" t="s">
        <v>1671</v>
      </c>
      <c r="C260" s="19"/>
      <c r="D260" s="19">
        <v>23098959</v>
      </c>
      <c r="E260" s="18"/>
      <c r="F260" s="19"/>
      <c r="G260" s="31"/>
      <c r="H260" s="31"/>
      <c r="I260" s="19"/>
      <c r="J260" s="19"/>
      <c r="K260" s="21"/>
      <c r="L260" s="22"/>
      <c r="M260" s="19"/>
      <c r="N260" s="20"/>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row>
    <row r="261" spans="1:45" x14ac:dyDescent="0.3">
      <c r="A261" s="410" t="s">
        <v>1672</v>
      </c>
      <c r="B261" s="17" t="s">
        <v>1673</v>
      </c>
      <c r="C261" s="19"/>
      <c r="D261" s="19">
        <v>23097750</v>
      </c>
      <c r="E261" s="18"/>
      <c r="F261" s="19"/>
      <c r="G261" s="31"/>
      <c r="H261" s="31"/>
      <c r="I261" s="19"/>
      <c r="J261" s="19"/>
      <c r="K261" s="21"/>
      <c r="L261" s="22"/>
      <c r="M261" s="19"/>
      <c r="N261" s="20"/>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row>
    <row r="262" spans="1:45" x14ac:dyDescent="0.3">
      <c r="A262" s="410" t="s">
        <v>1674</v>
      </c>
      <c r="B262" s="17" t="s">
        <v>1675</v>
      </c>
      <c r="C262" s="19"/>
      <c r="D262" s="19">
        <v>23149028</v>
      </c>
      <c r="E262" s="18"/>
      <c r="F262" s="19"/>
      <c r="G262" s="31"/>
      <c r="H262" s="31"/>
      <c r="I262" s="19"/>
      <c r="J262" s="19"/>
      <c r="K262" s="21"/>
      <c r="L262" s="22"/>
      <c r="M262" s="19"/>
      <c r="N262" s="20"/>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row>
    <row r="263" spans="1:45" x14ac:dyDescent="0.3">
      <c r="A263" s="410" t="s">
        <v>1676</v>
      </c>
      <c r="B263" s="17" t="s">
        <v>1677</v>
      </c>
      <c r="C263" s="19"/>
      <c r="D263" s="19">
        <v>23202287</v>
      </c>
      <c r="E263" s="18"/>
      <c r="F263" s="19"/>
      <c r="G263" s="31"/>
      <c r="H263" s="31"/>
      <c r="I263" s="19"/>
      <c r="J263" s="19"/>
      <c r="K263" s="21"/>
      <c r="L263" s="22"/>
      <c r="M263" s="19"/>
      <c r="N263" s="20"/>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row>
    <row r="264" spans="1:45" x14ac:dyDescent="0.3">
      <c r="A264" s="410" t="s">
        <v>1678</v>
      </c>
      <c r="B264" s="17" t="s">
        <v>1679</v>
      </c>
      <c r="C264" s="19"/>
      <c r="D264" s="19">
        <v>23202799</v>
      </c>
      <c r="E264" s="18"/>
      <c r="F264" s="19"/>
      <c r="G264" s="31"/>
      <c r="H264" s="31"/>
      <c r="I264" s="19"/>
      <c r="J264" s="19"/>
      <c r="K264" s="21"/>
      <c r="L264" s="22"/>
      <c r="M264" s="19"/>
      <c r="N264" s="20"/>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row>
    <row r="265" spans="1:45" x14ac:dyDescent="0.3">
      <c r="A265" s="410" t="s">
        <v>1680</v>
      </c>
      <c r="B265" s="17" t="s">
        <v>1681</v>
      </c>
      <c r="C265" s="19"/>
      <c r="D265" s="19">
        <v>23140087</v>
      </c>
      <c r="E265" s="18"/>
      <c r="F265" s="19"/>
      <c r="G265" s="31"/>
      <c r="H265" s="31"/>
      <c r="I265" s="19"/>
      <c r="J265" s="19"/>
      <c r="K265" s="21"/>
      <c r="L265" s="22"/>
      <c r="M265" s="19"/>
      <c r="N265" s="20"/>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row>
    <row r="266" spans="1:45" x14ac:dyDescent="0.3">
      <c r="A266" s="410" t="s">
        <v>1682</v>
      </c>
      <c r="B266" s="17" t="s">
        <v>1683</v>
      </c>
      <c r="C266" s="19"/>
      <c r="D266" s="19">
        <v>23162340</v>
      </c>
      <c r="E266" s="18"/>
      <c r="F266" s="19"/>
      <c r="G266" s="31"/>
      <c r="H266" s="31"/>
      <c r="I266" s="19"/>
      <c r="J266" s="19"/>
      <c r="K266" s="21"/>
      <c r="L266" s="22"/>
      <c r="M266" s="19"/>
      <c r="N266" s="20"/>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row>
    <row r="267" spans="1:45" x14ac:dyDescent="0.3">
      <c r="A267" s="410" t="s">
        <v>1684</v>
      </c>
      <c r="B267" s="17" t="s">
        <v>1685</v>
      </c>
      <c r="C267" s="19"/>
      <c r="D267" s="19">
        <v>23190999</v>
      </c>
      <c r="E267" s="18"/>
      <c r="F267" s="19"/>
      <c r="G267" s="31"/>
      <c r="H267" s="31"/>
      <c r="I267" s="19"/>
      <c r="J267" s="19"/>
      <c r="K267" s="21"/>
      <c r="L267" s="22"/>
      <c r="M267" s="19"/>
      <c r="N267" s="20"/>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row>
    <row r="268" spans="1:45" x14ac:dyDescent="0.3">
      <c r="A268" s="410" t="s">
        <v>1686</v>
      </c>
      <c r="B268" s="17" t="s">
        <v>1687</v>
      </c>
      <c r="C268" s="19"/>
      <c r="D268" s="19">
        <v>23046530</v>
      </c>
      <c r="E268" s="18"/>
      <c r="F268" s="19"/>
      <c r="G268" s="31"/>
      <c r="H268" s="31"/>
      <c r="I268" s="19"/>
      <c r="J268" s="19"/>
      <c r="K268" s="21"/>
      <c r="L268" s="22"/>
      <c r="M268" s="19"/>
      <c r="N268" s="20"/>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row>
    <row r="269" spans="1:45" x14ac:dyDescent="0.3">
      <c r="A269" s="410" t="s">
        <v>1688</v>
      </c>
      <c r="B269" s="17" t="s">
        <v>1689</v>
      </c>
      <c r="C269" s="19"/>
      <c r="D269" s="19">
        <v>23148654</v>
      </c>
      <c r="E269" s="18"/>
      <c r="F269" s="19"/>
      <c r="G269" s="31"/>
      <c r="H269" s="31"/>
      <c r="I269" s="19"/>
      <c r="J269" s="19"/>
      <c r="K269" s="21"/>
      <c r="L269" s="22"/>
      <c r="M269" s="19"/>
      <c r="N269" s="20"/>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row>
    <row r="270" spans="1:45" x14ac:dyDescent="0.3">
      <c r="A270" s="410" t="s">
        <v>1690</v>
      </c>
      <c r="B270" s="17" t="s">
        <v>1691</v>
      </c>
      <c r="C270" s="19"/>
      <c r="D270" s="19">
        <v>23156596</v>
      </c>
      <c r="E270" s="18"/>
      <c r="F270" s="19"/>
      <c r="G270" s="31"/>
      <c r="H270" s="31"/>
      <c r="I270" s="19"/>
      <c r="J270" s="19"/>
      <c r="K270" s="21"/>
      <c r="L270" s="22"/>
      <c r="M270" s="19"/>
      <c r="N270" s="20"/>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row>
    <row r="271" spans="1:45" x14ac:dyDescent="0.3">
      <c r="A271" s="410" t="s">
        <v>1692</v>
      </c>
      <c r="B271" s="17" t="s">
        <v>1693</v>
      </c>
      <c r="C271" s="19"/>
      <c r="D271" s="19">
        <v>23158834</v>
      </c>
      <c r="E271" s="18"/>
      <c r="F271" s="19"/>
      <c r="G271" s="31"/>
      <c r="H271" s="31"/>
      <c r="I271" s="19"/>
      <c r="J271" s="19"/>
      <c r="K271" s="21"/>
      <c r="L271" s="22"/>
      <c r="M271" s="19"/>
      <c r="N271" s="20"/>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row>
    <row r="272" spans="1:45" x14ac:dyDescent="0.3">
      <c r="A272" s="410" t="s">
        <v>1694</v>
      </c>
      <c r="B272" s="17" t="s">
        <v>1695</v>
      </c>
      <c r="C272" s="19"/>
      <c r="D272" s="19">
        <v>23202592</v>
      </c>
      <c r="E272" s="18"/>
      <c r="F272" s="19"/>
      <c r="G272" s="31"/>
      <c r="H272" s="31"/>
      <c r="I272" s="19"/>
      <c r="J272" s="19"/>
      <c r="K272" s="21"/>
      <c r="L272" s="22"/>
      <c r="M272" s="19"/>
      <c r="N272" s="20"/>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row>
    <row r="273" spans="1:45" x14ac:dyDescent="0.3">
      <c r="A273" s="410" t="s">
        <v>1696</v>
      </c>
      <c r="B273" s="17" t="s">
        <v>1697</v>
      </c>
      <c r="C273" s="19"/>
      <c r="D273" s="19">
        <v>23139075</v>
      </c>
      <c r="E273" s="18"/>
      <c r="F273" s="19"/>
      <c r="G273" s="31"/>
      <c r="H273" s="31"/>
      <c r="I273" s="19"/>
      <c r="J273" s="19"/>
      <c r="K273" s="21"/>
      <c r="L273" s="22"/>
      <c r="M273" s="19"/>
      <c r="N273" s="20"/>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row>
    <row r="274" spans="1:45" x14ac:dyDescent="0.3">
      <c r="A274" s="410" t="s">
        <v>1698</v>
      </c>
      <c r="B274" s="17" t="s">
        <v>1699</v>
      </c>
      <c r="C274" s="19"/>
      <c r="D274" s="19">
        <v>23140459</v>
      </c>
      <c r="E274" s="18"/>
      <c r="F274" s="19"/>
      <c r="G274" s="31"/>
      <c r="H274" s="31"/>
      <c r="I274" s="19"/>
      <c r="J274" s="19"/>
      <c r="K274" s="21"/>
      <c r="L274" s="22"/>
      <c r="M274" s="19"/>
      <c r="N274" s="20"/>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row>
    <row r="275" spans="1:45" x14ac:dyDescent="0.3">
      <c r="A275" s="410" t="s">
        <v>1700</v>
      </c>
      <c r="B275" s="17" t="s">
        <v>1701</v>
      </c>
      <c r="C275" s="19"/>
      <c r="D275" s="19">
        <v>23202711</v>
      </c>
      <c r="E275" s="18"/>
      <c r="F275" s="19"/>
      <c r="G275" s="31"/>
      <c r="H275" s="31"/>
      <c r="I275" s="19"/>
      <c r="J275" s="19"/>
      <c r="K275" s="21"/>
      <c r="L275" s="22"/>
      <c r="M275" s="19"/>
      <c r="N275" s="20"/>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row>
    <row r="276" spans="1:45" x14ac:dyDescent="0.3">
      <c r="A276" s="410" t="s">
        <v>1702</v>
      </c>
      <c r="B276" s="17" t="s">
        <v>1703</v>
      </c>
      <c r="C276" s="19"/>
      <c r="D276" s="19">
        <v>23129474</v>
      </c>
      <c r="E276" s="18"/>
      <c r="F276" s="19"/>
      <c r="G276" s="31"/>
      <c r="H276" s="31"/>
      <c r="I276" s="19"/>
      <c r="J276" s="19"/>
      <c r="K276" s="21"/>
      <c r="L276" s="22"/>
      <c r="M276" s="19"/>
      <c r="N276" s="20"/>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row>
    <row r="277" spans="1:45" x14ac:dyDescent="0.3">
      <c r="A277" s="410" t="s">
        <v>1704</v>
      </c>
      <c r="B277" s="17" t="s">
        <v>1705</v>
      </c>
      <c r="C277" s="19"/>
      <c r="D277" s="19">
        <v>23185247</v>
      </c>
      <c r="E277" s="18"/>
      <c r="F277" s="19"/>
      <c r="G277" s="31"/>
      <c r="H277" s="31"/>
      <c r="I277" s="19"/>
      <c r="J277" s="19"/>
      <c r="K277" s="21"/>
      <c r="L277" s="22"/>
      <c r="M277" s="19"/>
      <c r="N277" s="20"/>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row>
    <row r="278" spans="1:45" x14ac:dyDescent="0.3">
      <c r="A278" s="410" t="s">
        <v>1706</v>
      </c>
      <c r="B278" s="17" t="s">
        <v>1707</v>
      </c>
      <c r="C278" s="19"/>
      <c r="D278" s="19">
        <v>23130650</v>
      </c>
      <c r="E278" s="18"/>
      <c r="F278" s="19"/>
      <c r="G278" s="31"/>
      <c r="H278" s="31"/>
      <c r="I278" s="19"/>
      <c r="J278" s="19"/>
      <c r="K278" s="21"/>
      <c r="L278" s="22"/>
      <c r="M278" s="19"/>
      <c r="N278" s="20"/>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row>
    <row r="279" spans="1:45" x14ac:dyDescent="0.3">
      <c r="A279" s="410" t="s">
        <v>1708</v>
      </c>
      <c r="B279" s="17" t="s">
        <v>1709</v>
      </c>
      <c r="C279" s="19"/>
      <c r="D279" s="19">
        <v>23137431</v>
      </c>
      <c r="E279" s="18"/>
      <c r="F279" s="19"/>
      <c r="G279" s="31"/>
      <c r="H279" s="31"/>
      <c r="I279" s="19"/>
      <c r="J279" s="19"/>
      <c r="K279" s="21"/>
      <c r="L279" s="22"/>
      <c r="M279" s="19"/>
      <c r="N279" s="20"/>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row>
    <row r="280" spans="1:45" x14ac:dyDescent="0.3">
      <c r="A280" s="410" t="s">
        <v>1710</v>
      </c>
      <c r="B280" s="17" t="s">
        <v>1711</v>
      </c>
      <c r="C280" s="19"/>
      <c r="D280" s="19">
        <v>23203003</v>
      </c>
      <c r="E280" s="18"/>
      <c r="F280" s="19"/>
      <c r="G280" s="31"/>
      <c r="H280" s="31"/>
      <c r="I280" s="19"/>
      <c r="J280" s="19"/>
      <c r="K280" s="21"/>
      <c r="L280" s="22"/>
      <c r="M280" s="19"/>
      <c r="N280" s="20"/>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row>
    <row r="281" spans="1:45" x14ac:dyDescent="0.3">
      <c r="A281" s="410" t="s">
        <v>1712</v>
      </c>
      <c r="B281" s="17" t="s">
        <v>1713</v>
      </c>
      <c r="C281" s="19"/>
      <c r="D281" s="19">
        <v>23185221</v>
      </c>
      <c r="E281" s="18"/>
      <c r="F281" s="19"/>
      <c r="G281" s="31"/>
      <c r="H281" s="31"/>
      <c r="I281" s="19"/>
      <c r="J281" s="19"/>
      <c r="K281" s="21"/>
      <c r="L281" s="22"/>
      <c r="M281" s="19"/>
      <c r="N281" s="20"/>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row>
    <row r="282" spans="1:45" x14ac:dyDescent="0.3">
      <c r="A282" s="410" t="s">
        <v>1714</v>
      </c>
      <c r="B282" s="17" t="s">
        <v>1715</v>
      </c>
      <c r="C282" s="19"/>
      <c r="D282" s="19">
        <v>23188717</v>
      </c>
      <c r="E282" s="18"/>
      <c r="F282" s="19"/>
      <c r="G282" s="31"/>
      <c r="H282" s="31"/>
      <c r="I282" s="19"/>
      <c r="J282" s="19"/>
      <c r="K282" s="21"/>
      <c r="L282" s="22"/>
      <c r="M282" s="19"/>
      <c r="N282" s="20"/>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row>
    <row r="283" spans="1:45" x14ac:dyDescent="0.3">
      <c r="A283" s="410" t="s">
        <v>1716</v>
      </c>
      <c r="B283" s="17" t="s">
        <v>1717</v>
      </c>
      <c r="C283" s="19"/>
      <c r="D283" s="19">
        <v>23130023</v>
      </c>
      <c r="E283" s="18"/>
      <c r="F283" s="19"/>
      <c r="G283" s="31"/>
      <c r="H283" s="31"/>
      <c r="I283" s="19"/>
      <c r="J283" s="19"/>
      <c r="K283" s="21"/>
      <c r="L283" s="22"/>
      <c r="M283" s="19"/>
      <c r="N283" s="20"/>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row>
    <row r="284" spans="1:45" x14ac:dyDescent="0.3">
      <c r="A284" s="410" t="s">
        <v>1718</v>
      </c>
      <c r="B284" s="17"/>
      <c r="C284" s="19"/>
      <c r="D284" s="18"/>
      <c r="E284" s="18"/>
      <c r="F284" s="19"/>
      <c r="G284" s="31"/>
      <c r="H284" s="31"/>
      <c r="I284" s="19"/>
      <c r="J284" s="19"/>
      <c r="K284" s="21"/>
      <c r="L284" s="22"/>
      <c r="M284" s="19"/>
      <c r="N284" s="20"/>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row>
    <row r="285" spans="1:45" x14ac:dyDescent="0.3">
      <c r="A285" s="410" t="s">
        <v>1719</v>
      </c>
      <c r="B285" s="17"/>
      <c r="C285" s="19"/>
      <c r="D285" s="18"/>
      <c r="E285" s="18"/>
      <c r="F285" s="19"/>
      <c r="G285" s="31"/>
      <c r="H285" s="31"/>
      <c r="I285" s="19"/>
      <c r="J285" s="19"/>
      <c r="K285" s="21"/>
      <c r="L285" s="22"/>
      <c r="M285" s="19"/>
      <c r="N285" s="20"/>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row>
    <row r="286" spans="1:45" x14ac:dyDescent="0.3">
      <c r="A286" s="410" t="s">
        <v>1720</v>
      </c>
      <c r="B286" s="17"/>
      <c r="C286" s="19"/>
      <c r="D286" s="18"/>
      <c r="E286" s="18"/>
      <c r="F286" s="19"/>
      <c r="G286" s="31"/>
      <c r="H286" s="31"/>
      <c r="I286" s="19"/>
      <c r="J286" s="19"/>
      <c r="K286" s="21"/>
      <c r="L286" s="22"/>
      <c r="M286" s="19"/>
      <c r="N286" s="20"/>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row>
    <row r="287" spans="1:45" x14ac:dyDescent="0.3">
      <c r="A287" s="410" t="s">
        <v>1721</v>
      </c>
      <c r="B287" s="17"/>
      <c r="C287" s="19"/>
      <c r="D287" s="18"/>
      <c r="E287" s="18"/>
      <c r="F287" s="19"/>
      <c r="G287" s="31"/>
      <c r="H287" s="31"/>
      <c r="I287" s="19"/>
      <c r="J287" s="19"/>
      <c r="K287" s="21"/>
      <c r="L287" s="22"/>
      <c r="M287" s="19"/>
      <c r="N287" s="20"/>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row>
    <row r="288" spans="1:45" x14ac:dyDescent="0.3">
      <c r="A288" s="410" t="s">
        <v>1722</v>
      </c>
      <c r="B288" s="17"/>
      <c r="C288" s="19"/>
      <c r="D288" s="18"/>
      <c r="E288" s="18"/>
      <c r="F288" s="19"/>
      <c r="G288" s="31"/>
      <c r="H288" s="31"/>
      <c r="I288" s="19"/>
      <c r="J288" s="19"/>
      <c r="K288" s="21"/>
      <c r="L288" s="22"/>
      <c r="M288" s="19"/>
      <c r="N288" s="20"/>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row>
    <row r="289" spans="1:45" x14ac:dyDescent="0.3">
      <c r="A289" s="410" t="s">
        <v>1723</v>
      </c>
      <c r="B289" s="17"/>
      <c r="C289" s="19"/>
      <c r="D289" s="18"/>
      <c r="E289" s="18"/>
      <c r="F289" s="19"/>
      <c r="G289" s="31"/>
      <c r="H289" s="31"/>
      <c r="I289" s="19"/>
      <c r="J289" s="19"/>
      <c r="K289" s="21"/>
      <c r="L289" s="22"/>
      <c r="M289" s="19"/>
      <c r="N289" s="20"/>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row>
    <row r="290" spans="1:45" x14ac:dyDescent="0.3">
      <c r="A290" s="410" t="s">
        <v>1724</v>
      </c>
      <c r="B290" s="17"/>
      <c r="C290" s="19"/>
      <c r="D290" s="18"/>
      <c r="E290" s="18"/>
      <c r="F290" s="19"/>
      <c r="G290" s="31"/>
      <c r="H290" s="31"/>
      <c r="I290" s="19"/>
      <c r="J290" s="19"/>
      <c r="K290" s="21"/>
      <c r="L290" s="22"/>
      <c r="M290" s="19"/>
      <c r="N290" s="20"/>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row>
    <row r="291" spans="1:45" x14ac:dyDescent="0.3">
      <c r="A291" s="410" t="s">
        <v>1725</v>
      </c>
      <c r="B291" s="17"/>
      <c r="C291" s="19"/>
      <c r="D291" s="18"/>
      <c r="E291" s="18"/>
      <c r="F291" s="19"/>
      <c r="G291" s="31"/>
      <c r="H291" s="31"/>
      <c r="I291" s="19"/>
      <c r="J291" s="19"/>
      <c r="K291" s="21"/>
      <c r="L291" s="22"/>
      <c r="M291" s="19"/>
      <c r="N291" s="20"/>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row>
    <row r="292" spans="1:45" x14ac:dyDescent="0.3">
      <c r="A292" s="410" t="s">
        <v>1726</v>
      </c>
      <c r="B292" s="17"/>
      <c r="C292" s="19"/>
      <c r="D292" s="18"/>
      <c r="E292" s="18"/>
      <c r="F292" s="19"/>
      <c r="G292" s="31"/>
      <c r="H292" s="31"/>
      <c r="I292" s="19"/>
      <c r="J292" s="19"/>
      <c r="K292" s="21"/>
      <c r="L292" s="22"/>
      <c r="M292" s="19"/>
      <c r="N292" s="20"/>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row>
    <row r="293" spans="1:45" x14ac:dyDescent="0.3">
      <c r="A293" s="410" t="s">
        <v>1727</v>
      </c>
      <c r="B293" s="17"/>
      <c r="C293" s="19"/>
      <c r="D293" s="18"/>
      <c r="E293" s="18"/>
      <c r="F293" s="19"/>
      <c r="G293" s="31"/>
      <c r="H293" s="31"/>
      <c r="I293" s="19"/>
      <c r="J293" s="19"/>
      <c r="K293" s="21"/>
      <c r="L293" s="22"/>
      <c r="M293" s="19"/>
      <c r="N293" s="20"/>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row>
    <row r="294" spans="1:45" x14ac:dyDescent="0.3">
      <c r="A294" s="410" t="s">
        <v>1728</v>
      </c>
      <c r="B294" s="17"/>
      <c r="C294" s="19"/>
      <c r="D294" s="18"/>
      <c r="E294" s="18"/>
      <c r="F294" s="19"/>
      <c r="G294" s="31"/>
      <c r="H294" s="31"/>
      <c r="I294" s="19"/>
      <c r="J294" s="19"/>
      <c r="K294" s="21"/>
      <c r="L294" s="22"/>
      <c r="M294" s="19"/>
      <c r="N294" s="20"/>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row>
    <row r="295" spans="1:45" x14ac:dyDescent="0.3">
      <c r="A295" s="410" t="s">
        <v>1729</v>
      </c>
      <c r="B295" s="17"/>
      <c r="C295" s="19"/>
      <c r="D295" s="18"/>
      <c r="E295" s="18"/>
      <c r="F295" s="19"/>
      <c r="G295" s="31"/>
      <c r="H295" s="31"/>
      <c r="I295" s="19"/>
      <c r="J295" s="19"/>
      <c r="K295" s="21"/>
      <c r="L295" s="22"/>
      <c r="M295" s="19"/>
      <c r="N295" s="20"/>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row>
    <row r="296" spans="1:45" x14ac:dyDescent="0.3">
      <c r="A296" s="410" t="s">
        <v>1730</v>
      </c>
      <c r="B296" s="17"/>
      <c r="C296" s="19"/>
      <c r="D296" s="18"/>
      <c r="E296" s="18"/>
      <c r="F296" s="19"/>
      <c r="G296" s="31"/>
      <c r="H296" s="31"/>
      <c r="I296" s="19"/>
      <c r="J296" s="19"/>
      <c r="K296" s="21"/>
      <c r="L296" s="22"/>
      <c r="M296" s="19"/>
      <c r="N296" s="20"/>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row>
    <row r="297" spans="1:45" x14ac:dyDescent="0.3">
      <c r="A297" s="410" t="s">
        <v>1731</v>
      </c>
      <c r="B297" s="17"/>
      <c r="C297" s="19"/>
      <c r="D297" s="18"/>
      <c r="E297" s="18"/>
      <c r="F297" s="19"/>
      <c r="G297" s="31"/>
      <c r="H297" s="31"/>
      <c r="I297" s="19"/>
      <c r="J297" s="19"/>
      <c r="K297" s="21"/>
      <c r="L297" s="22"/>
      <c r="M297" s="19"/>
      <c r="N297" s="20"/>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row>
    <row r="298" spans="1:45" x14ac:dyDescent="0.3">
      <c r="A298" s="410" t="s">
        <v>1732</v>
      </c>
      <c r="B298" s="17"/>
      <c r="C298" s="19"/>
      <c r="D298" s="18"/>
      <c r="E298" s="18"/>
      <c r="F298" s="19"/>
      <c r="G298" s="31"/>
      <c r="H298" s="31"/>
      <c r="I298" s="19"/>
      <c r="J298" s="19"/>
      <c r="K298" s="21"/>
      <c r="L298" s="22"/>
      <c r="M298" s="19"/>
      <c r="N298" s="20"/>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row>
    <row r="299" spans="1:45" x14ac:dyDescent="0.3">
      <c r="A299" s="410" t="s">
        <v>1733</v>
      </c>
      <c r="B299" s="17"/>
      <c r="C299" s="19"/>
      <c r="D299" s="18"/>
      <c r="E299" s="18"/>
      <c r="F299" s="19"/>
      <c r="G299" s="31"/>
      <c r="H299" s="31"/>
      <c r="I299" s="19"/>
      <c r="J299" s="19"/>
      <c r="K299" s="21"/>
      <c r="L299" s="22"/>
      <c r="M299" s="19"/>
      <c r="N299" s="20"/>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row>
    <row r="300" spans="1:45" x14ac:dyDescent="0.3">
      <c r="A300" s="410" t="s">
        <v>1734</v>
      </c>
      <c r="B300" s="17"/>
      <c r="C300" s="19"/>
      <c r="D300" s="18"/>
      <c r="E300" s="18"/>
      <c r="F300" s="19"/>
      <c r="G300" s="31"/>
      <c r="H300" s="31"/>
      <c r="I300" s="19"/>
      <c r="J300" s="19"/>
      <c r="K300" s="21"/>
      <c r="L300" s="22"/>
      <c r="M300" s="19"/>
      <c r="N300" s="20"/>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row>
    <row r="301" spans="1:45" x14ac:dyDescent="0.3">
      <c r="A301" s="410" t="s">
        <v>1735</v>
      </c>
      <c r="B301" s="17"/>
      <c r="C301" s="19"/>
      <c r="D301" s="18"/>
      <c r="E301" s="18"/>
      <c r="F301" s="19"/>
      <c r="G301" s="31"/>
      <c r="H301" s="31"/>
      <c r="I301" s="19"/>
      <c r="J301" s="19"/>
      <c r="K301" s="21"/>
      <c r="L301" s="22"/>
      <c r="M301" s="19"/>
      <c r="N301" s="20"/>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row>
    <row r="302" spans="1:45" x14ac:dyDescent="0.3">
      <c r="A302" s="410" t="s">
        <v>1736</v>
      </c>
      <c r="B302" s="17"/>
      <c r="C302" s="19"/>
      <c r="D302" s="18"/>
      <c r="E302" s="18"/>
      <c r="F302" s="19"/>
      <c r="G302" s="31"/>
      <c r="H302" s="31"/>
      <c r="I302" s="19"/>
      <c r="J302" s="19"/>
      <c r="K302" s="21"/>
      <c r="L302" s="22"/>
      <c r="M302" s="19"/>
      <c r="N302" s="20"/>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row>
    <row r="303" spans="1:45" x14ac:dyDescent="0.3">
      <c r="A303" s="410" t="s">
        <v>1737</v>
      </c>
      <c r="B303" s="17"/>
      <c r="C303" s="19"/>
      <c r="D303" s="18"/>
      <c r="E303" s="18"/>
      <c r="F303" s="19"/>
      <c r="G303" s="31"/>
      <c r="H303" s="31"/>
      <c r="I303" s="19"/>
      <c r="J303" s="19"/>
      <c r="K303" s="21"/>
      <c r="L303" s="22"/>
      <c r="M303" s="19"/>
      <c r="N303" s="20"/>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row>
    <row r="304" spans="1:45" x14ac:dyDescent="0.3">
      <c r="A304" s="410" t="s">
        <v>1738</v>
      </c>
      <c r="B304" s="17"/>
      <c r="C304" s="19"/>
      <c r="D304" s="18"/>
      <c r="E304" s="18"/>
      <c r="F304" s="19"/>
      <c r="G304" s="31"/>
      <c r="H304" s="31"/>
      <c r="I304" s="19"/>
      <c r="J304" s="19"/>
      <c r="K304" s="21"/>
      <c r="L304" s="22"/>
      <c r="M304" s="19"/>
      <c r="N304" s="20"/>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row>
    <row r="305" spans="1:45" x14ac:dyDescent="0.3">
      <c r="A305" s="410" t="s">
        <v>1739</v>
      </c>
      <c r="B305" s="17"/>
      <c r="C305" s="19"/>
      <c r="D305" s="18"/>
      <c r="E305" s="18"/>
      <c r="F305" s="19"/>
      <c r="G305" s="31"/>
      <c r="H305" s="31"/>
      <c r="I305" s="19"/>
      <c r="J305" s="19"/>
      <c r="K305" s="21"/>
      <c r="L305" s="22"/>
      <c r="M305" s="19"/>
      <c r="N305" s="20"/>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row>
    <row r="306" spans="1:45" x14ac:dyDescent="0.3">
      <c r="A306" s="410" t="s">
        <v>1740</v>
      </c>
      <c r="B306" s="17"/>
      <c r="C306" s="19"/>
      <c r="D306" s="18"/>
      <c r="E306" s="18"/>
      <c r="F306" s="19"/>
      <c r="G306" s="31"/>
      <c r="H306" s="31"/>
      <c r="I306" s="19"/>
      <c r="J306" s="19"/>
      <c r="K306" s="21"/>
      <c r="L306" s="22"/>
      <c r="M306" s="19"/>
      <c r="N306" s="20"/>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row>
    <row r="307" spans="1:45" x14ac:dyDescent="0.3">
      <c r="A307" s="410" t="s">
        <v>1741</v>
      </c>
      <c r="B307" s="17"/>
      <c r="C307" s="19"/>
      <c r="D307" s="18"/>
      <c r="E307" s="18"/>
      <c r="F307" s="19"/>
      <c r="G307" s="31"/>
      <c r="H307" s="31"/>
      <c r="I307" s="19"/>
      <c r="J307" s="19"/>
      <c r="K307" s="21"/>
      <c r="L307" s="22"/>
      <c r="M307" s="19"/>
      <c r="N307" s="20"/>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row>
    <row r="308" spans="1:45" x14ac:dyDescent="0.3">
      <c r="A308" s="410" t="s">
        <v>1742</v>
      </c>
      <c r="B308" s="17"/>
      <c r="C308" s="19"/>
      <c r="D308" s="18"/>
      <c r="E308" s="18"/>
      <c r="F308" s="19"/>
      <c r="G308" s="31"/>
      <c r="H308" s="31"/>
      <c r="I308" s="19"/>
      <c r="J308" s="19"/>
      <c r="K308" s="21"/>
      <c r="L308" s="22"/>
      <c r="M308" s="19"/>
      <c r="N308" s="20"/>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row>
    <row r="309" spans="1:45" x14ac:dyDescent="0.3">
      <c r="A309" s="410" t="s">
        <v>1743</v>
      </c>
      <c r="B309" s="17"/>
      <c r="C309" s="19"/>
      <c r="D309" s="18"/>
      <c r="E309" s="18"/>
      <c r="F309" s="19"/>
      <c r="G309" s="31"/>
      <c r="H309" s="31"/>
      <c r="I309" s="19"/>
      <c r="J309" s="19"/>
      <c r="K309" s="21"/>
      <c r="L309" s="22"/>
      <c r="M309" s="19"/>
      <c r="N309" s="20"/>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row>
    <row r="310" spans="1:45" x14ac:dyDescent="0.3">
      <c r="A310" s="410" t="s">
        <v>1744</v>
      </c>
      <c r="B310" s="17"/>
      <c r="C310" s="19"/>
      <c r="D310" s="18"/>
      <c r="E310" s="18"/>
      <c r="F310" s="19"/>
      <c r="G310" s="31"/>
      <c r="H310" s="31"/>
      <c r="I310" s="19"/>
      <c r="J310" s="19"/>
      <c r="K310" s="21"/>
      <c r="L310" s="22"/>
      <c r="M310" s="19"/>
      <c r="N310" s="20"/>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row>
    <row r="311" spans="1:45" x14ac:dyDescent="0.3">
      <c r="A311" s="410" t="s">
        <v>1745</v>
      </c>
      <c r="B311" s="17"/>
      <c r="C311" s="19"/>
      <c r="D311" s="18"/>
      <c r="E311" s="18"/>
      <c r="F311" s="19"/>
      <c r="G311" s="31"/>
      <c r="H311" s="31"/>
      <c r="I311" s="19"/>
      <c r="J311" s="19"/>
      <c r="K311" s="21"/>
      <c r="L311" s="22"/>
      <c r="M311" s="19"/>
      <c r="N311" s="20"/>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row>
    <row r="312" spans="1:45" x14ac:dyDescent="0.3">
      <c r="A312" s="410" t="s">
        <v>1746</v>
      </c>
      <c r="B312" s="17"/>
      <c r="C312" s="19"/>
      <c r="D312" s="18"/>
      <c r="E312" s="18"/>
      <c r="F312" s="19"/>
      <c r="G312" s="31"/>
      <c r="H312" s="31"/>
      <c r="I312" s="19"/>
      <c r="J312" s="19"/>
      <c r="K312" s="21"/>
      <c r="L312" s="22"/>
      <c r="M312" s="19"/>
      <c r="N312" s="20"/>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row>
    <row r="313" spans="1:45" x14ac:dyDescent="0.3">
      <c r="A313" s="410" t="s">
        <v>1747</v>
      </c>
      <c r="B313" s="17"/>
      <c r="C313" s="19"/>
      <c r="D313" s="18"/>
      <c r="E313" s="18"/>
      <c r="F313" s="19"/>
      <c r="G313" s="31"/>
      <c r="H313" s="31"/>
      <c r="I313" s="19"/>
      <c r="J313" s="19"/>
      <c r="K313" s="21"/>
      <c r="L313" s="22"/>
      <c r="M313" s="19"/>
      <c r="N313" s="20"/>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row>
    <row r="314" spans="1:45" x14ac:dyDescent="0.3">
      <c r="A314" s="410" t="s">
        <v>1748</v>
      </c>
      <c r="B314" s="17"/>
      <c r="C314" s="19"/>
      <c r="D314" s="18"/>
      <c r="E314" s="18"/>
      <c r="F314" s="19"/>
      <c r="G314" s="31"/>
      <c r="H314" s="31"/>
      <c r="I314" s="19"/>
      <c r="J314" s="19"/>
      <c r="K314" s="21"/>
      <c r="L314" s="22"/>
      <c r="M314" s="19"/>
      <c r="N314" s="20"/>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row>
    <row r="315" spans="1:45" x14ac:dyDescent="0.3">
      <c r="A315" s="410" t="s">
        <v>1749</v>
      </c>
      <c r="B315" s="17"/>
      <c r="C315" s="19"/>
      <c r="D315" s="18"/>
      <c r="E315" s="18"/>
      <c r="F315" s="19"/>
      <c r="G315" s="31"/>
      <c r="H315" s="31"/>
      <c r="I315" s="19"/>
      <c r="J315" s="19"/>
      <c r="K315" s="21"/>
      <c r="L315" s="22"/>
      <c r="M315" s="19"/>
      <c r="N315" s="20"/>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row>
    <row r="316" spans="1:45" x14ac:dyDescent="0.3">
      <c r="A316" s="410" t="s">
        <v>1750</v>
      </c>
      <c r="B316" s="17"/>
      <c r="C316" s="19"/>
      <c r="D316" s="18"/>
      <c r="E316" s="18"/>
      <c r="F316" s="19"/>
      <c r="G316" s="31"/>
      <c r="H316" s="31"/>
      <c r="I316" s="19"/>
      <c r="J316" s="19"/>
      <c r="K316" s="21"/>
      <c r="L316" s="22"/>
      <c r="M316" s="19"/>
      <c r="N316" s="20"/>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row>
    <row r="317" spans="1:45" x14ac:dyDescent="0.3">
      <c r="A317" s="410" t="s">
        <v>1751</v>
      </c>
      <c r="B317" s="17"/>
      <c r="C317" s="19"/>
      <c r="D317" s="18"/>
      <c r="E317" s="18"/>
      <c r="F317" s="19"/>
      <c r="G317" s="31"/>
      <c r="H317" s="31"/>
      <c r="I317" s="19"/>
      <c r="J317" s="19"/>
      <c r="K317" s="21"/>
      <c r="L317" s="22"/>
      <c r="M317" s="19"/>
      <c r="N317" s="20"/>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row>
    <row r="318" spans="1:45" x14ac:dyDescent="0.3">
      <c r="A318" s="410" t="s">
        <v>1752</v>
      </c>
      <c r="B318" s="17"/>
      <c r="C318" s="19"/>
      <c r="D318" s="18"/>
      <c r="E318" s="18"/>
      <c r="F318" s="19"/>
      <c r="G318" s="31"/>
      <c r="H318" s="31"/>
      <c r="I318" s="19"/>
      <c r="J318" s="19"/>
      <c r="K318" s="21"/>
      <c r="L318" s="22"/>
      <c r="M318" s="19"/>
      <c r="N318" s="20"/>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row>
    <row r="319" spans="1:45" x14ac:dyDescent="0.3">
      <c r="A319" s="410" t="s">
        <v>1753</v>
      </c>
      <c r="B319" s="17"/>
      <c r="C319" s="19"/>
      <c r="D319" s="18"/>
      <c r="E319" s="18"/>
      <c r="F319" s="19"/>
      <c r="G319" s="31"/>
      <c r="H319" s="31"/>
      <c r="I319" s="19"/>
      <c r="J319" s="19"/>
      <c r="K319" s="21"/>
      <c r="L319" s="22"/>
      <c r="M319" s="19"/>
      <c r="N319" s="20"/>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row>
    <row r="320" spans="1:45" x14ac:dyDescent="0.3">
      <c r="A320" s="410" t="s">
        <v>1754</v>
      </c>
      <c r="B320" s="17"/>
      <c r="C320" s="19"/>
      <c r="D320" s="18"/>
      <c r="E320" s="18"/>
      <c r="F320" s="19"/>
      <c r="G320" s="31"/>
      <c r="H320" s="31"/>
      <c r="I320" s="19"/>
      <c r="J320" s="19"/>
      <c r="K320" s="21"/>
      <c r="L320" s="22"/>
      <c r="M320" s="19"/>
      <c r="N320" s="20"/>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row>
    <row r="321" spans="1:45" x14ac:dyDescent="0.3">
      <c r="A321" s="410" t="s">
        <v>1755</v>
      </c>
      <c r="B321" s="17"/>
      <c r="C321" s="19"/>
      <c r="D321" s="18"/>
      <c r="E321" s="18"/>
      <c r="F321" s="19"/>
      <c r="G321" s="31"/>
      <c r="H321" s="31"/>
      <c r="I321" s="19"/>
      <c r="J321" s="19"/>
      <c r="K321" s="21"/>
      <c r="L321" s="22"/>
      <c r="M321" s="19"/>
      <c r="N321" s="20"/>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row>
    <row r="322" spans="1:45" x14ac:dyDescent="0.3">
      <c r="A322" s="410" t="s">
        <v>1756</v>
      </c>
      <c r="B322" s="17"/>
      <c r="C322" s="19"/>
      <c r="D322" s="18"/>
      <c r="E322" s="18"/>
      <c r="F322" s="19"/>
      <c r="G322" s="31"/>
      <c r="H322" s="31"/>
      <c r="I322" s="19"/>
      <c r="J322" s="19"/>
      <c r="K322" s="21"/>
      <c r="L322" s="22"/>
      <c r="M322" s="19"/>
      <c r="N322" s="20"/>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row>
    <row r="323" spans="1:45" x14ac:dyDescent="0.3">
      <c r="A323" s="410" t="s">
        <v>1757</v>
      </c>
      <c r="B323" s="17"/>
      <c r="C323" s="19"/>
      <c r="D323" s="18"/>
      <c r="E323" s="18"/>
      <c r="F323" s="19"/>
      <c r="G323" s="31"/>
      <c r="H323" s="31"/>
      <c r="I323" s="19"/>
      <c r="J323" s="19"/>
      <c r="K323" s="21"/>
      <c r="L323" s="22"/>
      <c r="M323" s="19"/>
      <c r="N323" s="20"/>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row>
    <row r="324" spans="1:45" x14ac:dyDescent="0.3">
      <c r="A324" s="410" t="s">
        <v>1758</v>
      </c>
      <c r="B324" s="17"/>
      <c r="C324" s="19"/>
      <c r="D324" s="18"/>
      <c r="E324" s="18"/>
      <c r="F324" s="19"/>
      <c r="G324" s="31"/>
      <c r="H324" s="31"/>
      <c r="I324" s="19"/>
      <c r="J324" s="19"/>
      <c r="K324" s="21"/>
      <c r="L324" s="22"/>
      <c r="M324" s="19"/>
      <c r="N324" s="20"/>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row>
    <row r="325" spans="1:45" x14ac:dyDescent="0.3">
      <c r="A325" s="410"/>
      <c r="B325" s="17"/>
      <c r="C325" s="19"/>
      <c r="D325" s="18"/>
      <c r="E325" s="18"/>
      <c r="F325" s="19"/>
      <c r="G325" s="31"/>
      <c r="H325" s="31"/>
      <c r="I325" s="19"/>
      <c r="J325" s="19"/>
      <c r="K325" s="21"/>
      <c r="L325" s="22"/>
      <c r="M325" s="19"/>
      <c r="N325" s="20"/>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row>
    <row r="326" spans="1:45" x14ac:dyDescent="0.3">
      <c r="A326" s="410" t="s">
        <v>1759</v>
      </c>
      <c r="B326" s="17" t="s">
        <v>1760</v>
      </c>
      <c r="C326" s="19" t="s">
        <v>1368</v>
      </c>
      <c r="D326" s="18">
        <v>23207761</v>
      </c>
      <c r="E326" s="18"/>
      <c r="F326" s="19"/>
      <c r="G326" s="31"/>
      <c r="H326" s="31"/>
      <c r="I326" s="19"/>
      <c r="J326" s="22"/>
      <c r="K326" s="18"/>
      <c r="L326" s="19"/>
      <c r="M326" s="19"/>
      <c r="N326" s="20"/>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row>
    <row r="327" spans="1:45" x14ac:dyDescent="0.3">
      <c r="A327" s="410" t="s">
        <v>1761</v>
      </c>
      <c r="B327" s="17" t="s">
        <v>1762</v>
      </c>
      <c r="C327" s="19" t="s">
        <v>1368</v>
      </c>
      <c r="D327" s="19">
        <v>23141267</v>
      </c>
      <c r="E327" s="18"/>
      <c r="F327" s="19"/>
      <c r="G327" s="31"/>
      <c r="H327" s="31"/>
      <c r="I327" s="19"/>
      <c r="J327" s="22"/>
      <c r="K327" s="21"/>
      <c r="L327" s="22"/>
      <c r="M327" s="19"/>
      <c r="N327" s="20"/>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row>
    <row r="328" spans="1:45" x14ac:dyDescent="0.3">
      <c r="A328" s="410" t="s">
        <v>1763</v>
      </c>
      <c r="B328" s="17" t="s">
        <v>1764</v>
      </c>
      <c r="C328" s="19" t="s">
        <v>1368</v>
      </c>
      <c r="D328" s="19">
        <v>23054926</v>
      </c>
      <c r="E328" s="18"/>
      <c r="F328" s="19"/>
      <c r="G328" s="31"/>
      <c r="H328" s="31"/>
      <c r="I328" s="19"/>
      <c r="J328" s="22"/>
      <c r="K328" s="21"/>
      <c r="L328" s="22"/>
      <c r="M328" s="19"/>
      <c r="N328" s="20"/>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row>
    <row r="329" spans="1:45" x14ac:dyDescent="0.3">
      <c r="A329" s="410" t="s">
        <v>1765</v>
      </c>
      <c r="B329" s="17" t="s">
        <v>1766</v>
      </c>
      <c r="C329" s="19" t="s">
        <v>1371</v>
      </c>
      <c r="D329" s="19">
        <v>23163029</v>
      </c>
      <c r="E329" s="18"/>
      <c r="F329" s="19"/>
      <c r="G329" s="31">
        <v>45474</v>
      </c>
      <c r="H329" s="31">
        <v>45839</v>
      </c>
      <c r="I329" s="19" t="s">
        <v>1372</v>
      </c>
      <c r="J329" s="22" t="s">
        <v>1373</v>
      </c>
      <c r="K329" s="18" t="s">
        <v>1372</v>
      </c>
      <c r="L329" s="19" t="s">
        <v>1373</v>
      </c>
      <c r="M329" s="19" t="s">
        <v>1461</v>
      </c>
      <c r="N329" s="20" t="s">
        <v>1462</v>
      </c>
      <c r="O329" s="19"/>
      <c r="P329" s="19" t="s">
        <v>1372</v>
      </c>
      <c r="Q329" s="19" t="s">
        <v>1372</v>
      </c>
      <c r="R329" s="19" t="s">
        <v>1767</v>
      </c>
      <c r="S329" s="19" t="s">
        <v>1372</v>
      </c>
      <c r="T329" s="19" t="s">
        <v>1372</v>
      </c>
      <c r="U329" s="19" t="s">
        <v>1372</v>
      </c>
      <c r="V329" s="19" t="s">
        <v>1372</v>
      </c>
      <c r="W329" s="19"/>
      <c r="X329" s="19"/>
      <c r="Y329" s="19"/>
      <c r="Z329" s="19" t="s">
        <v>1372</v>
      </c>
      <c r="AA329" s="19"/>
      <c r="AB329" s="19"/>
      <c r="AC329" s="19"/>
      <c r="AD329" s="19"/>
      <c r="AE329" s="19"/>
      <c r="AF329" s="19" t="s">
        <v>1372</v>
      </c>
      <c r="AG329" s="19"/>
      <c r="AH329" s="19"/>
      <c r="AI329" s="19"/>
      <c r="AJ329" s="19"/>
      <c r="AK329" s="19"/>
      <c r="AL329" s="19" t="s">
        <v>1372</v>
      </c>
      <c r="AM329" s="19" t="s">
        <v>1372</v>
      </c>
      <c r="AN329" s="19"/>
      <c r="AO329" s="19"/>
      <c r="AP329" s="19" t="s">
        <v>1372</v>
      </c>
      <c r="AQ329" s="19"/>
      <c r="AR329" s="19" t="s">
        <v>1768</v>
      </c>
      <c r="AS329" s="19"/>
    </row>
    <row r="330" spans="1:45" x14ac:dyDescent="0.3">
      <c r="A330" s="410" t="s">
        <v>1769</v>
      </c>
      <c r="B330" s="17" t="s">
        <v>1770</v>
      </c>
      <c r="C330" s="19" t="s">
        <v>1368</v>
      </c>
      <c r="D330" s="19">
        <v>23129480</v>
      </c>
      <c r="E330" s="18"/>
      <c r="F330" s="19"/>
      <c r="G330" s="31"/>
      <c r="H330" s="31"/>
      <c r="I330" s="19"/>
      <c r="J330" s="22"/>
      <c r="K330" s="21"/>
      <c r="L330" s="22"/>
      <c r="M330" s="19"/>
      <c r="N330" s="20"/>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row>
    <row r="331" spans="1:45" x14ac:dyDescent="0.3">
      <c r="A331" s="410" t="s">
        <v>1771</v>
      </c>
      <c r="B331" s="17" t="s">
        <v>1772</v>
      </c>
      <c r="C331" s="19" t="s">
        <v>1371</v>
      </c>
      <c r="D331" s="19">
        <v>23140083</v>
      </c>
      <c r="E331" s="18"/>
      <c r="F331" s="19"/>
      <c r="G331" s="31" t="s">
        <v>1773</v>
      </c>
      <c r="H331" s="31" t="s">
        <v>1774</v>
      </c>
      <c r="I331" s="19" t="s">
        <v>1372</v>
      </c>
      <c r="J331" s="22" t="s">
        <v>1774</v>
      </c>
      <c r="K331" s="21" t="s">
        <v>1372</v>
      </c>
      <c r="L331" s="22" t="s">
        <v>1774</v>
      </c>
      <c r="M331" s="19" t="s">
        <v>1461</v>
      </c>
      <c r="N331" s="20" t="s">
        <v>1462</v>
      </c>
      <c r="O331" s="19" t="s">
        <v>1372</v>
      </c>
      <c r="P331" s="19"/>
      <c r="Q331" s="19" t="s">
        <v>1372</v>
      </c>
      <c r="R331" s="19" t="s">
        <v>1372</v>
      </c>
      <c r="S331" s="19" t="s">
        <v>1372</v>
      </c>
      <c r="T331" s="19" t="s">
        <v>1372</v>
      </c>
      <c r="U331" s="19" t="s">
        <v>1461</v>
      </c>
      <c r="V331" s="19" t="s">
        <v>1372</v>
      </c>
      <c r="W331" s="19"/>
      <c r="X331" s="19"/>
      <c r="Y331" s="19"/>
      <c r="Z331" s="19" t="s">
        <v>1372</v>
      </c>
      <c r="AA331" s="19"/>
      <c r="AB331" s="19"/>
      <c r="AC331" s="19"/>
      <c r="AD331" s="19"/>
      <c r="AE331" s="19"/>
      <c r="AF331" s="19"/>
      <c r="AG331" s="19"/>
      <c r="AH331" s="19"/>
      <c r="AI331" s="19"/>
      <c r="AJ331" s="19"/>
      <c r="AK331" s="19"/>
      <c r="AL331" s="19" t="s">
        <v>1372</v>
      </c>
      <c r="AM331" s="19" t="s">
        <v>1372</v>
      </c>
      <c r="AN331" s="19"/>
      <c r="AO331" s="19"/>
      <c r="AP331" s="19"/>
      <c r="AQ331" s="19"/>
      <c r="AR331" s="19" t="s">
        <v>1768</v>
      </c>
      <c r="AS331" s="19"/>
    </row>
    <row r="332" spans="1:45" x14ac:dyDescent="0.3">
      <c r="A332" s="410" t="s">
        <v>1775</v>
      </c>
      <c r="B332" s="17" t="s">
        <v>1776</v>
      </c>
      <c r="C332" s="19" t="s">
        <v>1371</v>
      </c>
      <c r="D332" s="19">
        <v>23133842</v>
      </c>
      <c r="E332" s="18"/>
      <c r="F332" s="19"/>
      <c r="G332" s="31" t="s">
        <v>1777</v>
      </c>
      <c r="H332" s="31" t="s">
        <v>1774</v>
      </c>
      <c r="I332" s="19" t="s">
        <v>1372</v>
      </c>
      <c r="J332" s="22" t="s">
        <v>1774</v>
      </c>
      <c r="K332" s="21" t="s">
        <v>1372</v>
      </c>
      <c r="L332" s="22" t="s">
        <v>1774</v>
      </c>
      <c r="M332" s="19" t="s">
        <v>1461</v>
      </c>
      <c r="N332" s="20" t="s">
        <v>1462</v>
      </c>
      <c r="O332" s="19"/>
      <c r="P332" s="19" t="s">
        <v>1372</v>
      </c>
      <c r="Q332" s="19" t="s">
        <v>1372</v>
      </c>
      <c r="R332" s="19" t="s">
        <v>1372</v>
      </c>
      <c r="S332" s="19" t="s">
        <v>1372</v>
      </c>
      <c r="T332" s="19" t="s">
        <v>1372</v>
      </c>
      <c r="U332" s="19" t="s">
        <v>1461</v>
      </c>
      <c r="V332" s="19" t="s">
        <v>1372</v>
      </c>
      <c r="W332" s="19"/>
      <c r="X332" s="19"/>
      <c r="Y332" s="19"/>
      <c r="Z332" s="19"/>
      <c r="AA332" s="19"/>
      <c r="AB332" s="19"/>
      <c r="AC332" s="19"/>
      <c r="AD332" s="19"/>
      <c r="AE332" s="19"/>
      <c r="AF332" s="19"/>
      <c r="AG332" s="19"/>
      <c r="AH332" s="19"/>
      <c r="AI332" s="19"/>
      <c r="AJ332" s="19"/>
      <c r="AK332" s="19"/>
      <c r="AL332" s="19"/>
      <c r="AM332" s="19"/>
      <c r="AN332" s="19"/>
      <c r="AO332" s="19"/>
      <c r="AP332" s="19" t="s">
        <v>1372</v>
      </c>
      <c r="AQ332" s="19"/>
      <c r="AR332" s="19"/>
      <c r="AS332" s="19"/>
    </row>
    <row r="333" spans="1:45" x14ac:dyDescent="0.3">
      <c r="A333" s="410" t="s">
        <v>1778</v>
      </c>
      <c r="B333" s="17" t="s">
        <v>1779</v>
      </c>
      <c r="C333" s="19" t="s">
        <v>1368</v>
      </c>
      <c r="D333" s="19">
        <v>23145221</v>
      </c>
      <c r="E333" s="18"/>
      <c r="F333" s="19"/>
      <c r="G333" s="31"/>
      <c r="H333" s="31"/>
      <c r="I333" s="19"/>
      <c r="J333" s="22"/>
      <c r="K333" s="21"/>
      <c r="L333" s="22"/>
      <c r="M333" s="19"/>
      <c r="N333" s="20"/>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row>
    <row r="334" spans="1:45" x14ac:dyDescent="0.3">
      <c r="A334" s="410" t="s">
        <v>1780</v>
      </c>
      <c r="B334" s="17" t="s">
        <v>1781</v>
      </c>
      <c r="C334" s="19" t="s">
        <v>1371</v>
      </c>
      <c r="D334" s="19">
        <v>23137029</v>
      </c>
      <c r="E334" s="18"/>
      <c r="F334" s="19"/>
      <c r="G334" s="31">
        <v>45474</v>
      </c>
      <c r="H334" s="31">
        <v>45839</v>
      </c>
      <c r="I334" s="19" t="s">
        <v>1372</v>
      </c>
      <c r="J334" s="22" t="s">
        <v>1373</v>
      </c>
      <c r="K334" s="21" t="s">
        <v>1372</v>
      </c>
      <c r="L334" s="22" t="s">
        <v>1373</v>
      </c>
      <c r="M334" s="19" t="s">
        <v>1461</v>
      </c>
      <c r="N334" s="20" t="s">
        <v>1462</v>
      </c>
      <c r="O334" s="19" t="s">
        <v>1782</v>
      </c>
      <c r="P334" s="19"/>
      <c r="Q334" s="19" t="s">
        <v>1372</v>
      </c>
      <c r="R334" s="19" t="s">
        <v>1372</v>
      </c>
      <c r="S334" s="19" t="s">
        <v>1372</v>
      </c>
      <c r="T334" s="19" t="s">
        <v>1372</v>
      </c>
      <c r="U334" s="19" t="s">
        <v>1372</v>
      </c>
      <c r="V334" s="19" t="s">
        <v>1372</v>
      </c>
      <c r="W334" s="19"/>
      <c r="X334" s="19"/>
      <c r="Y334" s="19"/>
      <c r="Z334" s="19"/>
      <c r="AA334" s="19"/>
      <c r="AB334" s="19"/>
      <c r="AC334" s="19"/>
      <c r="AD334" s="19"/>
      <c r="AE334" s="19"/>
      <c r="AF334" s="19"/>
      <c r="AG334" s="19"/>
      <c r="AH334" s="19"/>
      <c r="AI334" s="19"/>
      <c r="AJ334" s="19"/>
      <c r="AK334" s="19"/>
      <c r="AL334" s="19" t="s">
        <v>1372</v>
      </c>
      <c r="AM334" s="19" t="s">
        <v>1372</v>
      </c>
      <c r="AN334" s="19"/>
      <c r="AO334" s="19"/>
      <c r="AP334" s="19"/>
      <c r="AQ334" s="19"/>
      <c r="AR334" s="19" t="s">
        <v>1783</v>
      </c>
      <c r="AS334" s="19"/>
    </row>
    <row r="335" spans="1:45" x14ac:dyDescent="0.3">
      <c r="A335" s="410" t="s">
        <v>1784</v>
      </c>
      <c r="B335" s="17" t="s">
        <v>1785</v>
      </c>
      <c r="C335" s="19" t="s">
        <v>1371</v>
      </c>
      <c r="D335" s="19">
        <v>23169335</v>
      </c>
      <c r="E335" s="18"/>
      <c r="F335" s="19"/>
      <c r="G335" s="31">
        <v>45474</v>
      </c>
      <c r="H335" s="31">
        <v>45839</v>
      </c>
      <c r="I335" s="19" t="s">
        <v>1372</v>
      </c>
      <c r="J335" s="22" t="s">
        <v>1373</v>
      </c>
      <c r="K335" s="18" t="s">
        <v>1372</v>
      </c>
      <c r="L335" s="19" t="s">
        <v>1373</v>
      </c>
      <c r="M335" s="19" t="s">
        <v>1461</v>
      </c>
      <c r="N335" s="20" t="s">
        <v>1462</v>
      </c>
      <c r="O335" s="19" t="s">
        <v>1786</v>
      </c>
      <c r="P335" s="19"/>
      <c r="Q335" s="19" t="s">
        <v>1372</v>
      </c>
      <c r="R335" s="19" t="s">
        <v>1372</v>
      </c>
      <c r="S335" s="19" t="s">
        <v>1372</v>
      </c>
      <c r="T335" s="19" t="s">
        <v>1372</v>
      </c>
      <c r="U335" s="19" t="s">
        <v>1372</v>
      </c>
      <c r="V335" s="19" t="s">
        <v>1372</v>
      </c>
      <c r="W335" s="19"/>
      <c r="X335" s="19"/>
      <c r="Y335" s="19"/>
      <c r="Z335" s="19" t="s">
        <v>1372</v>
      </c>
      <c r="AA335" s="19"/>
      <c r="AB335" s="19"/>
      <c r="AC335" s="19"/>
      <c r="AD335" s="19"/>
      <c r="AE335" s="19"/>
      <c r="AF335" s="19"/>
      <c r="AG335" s="19"/>
      <c r="AH335" s="19"/>
      <c r="AI335" s="19"/>
      <c r="AJ335" s="19"/>
      <c r="AK335" s="19"/>
      <c r="AL335" s="19"/>
      <c r="AM335" s="19"/>
      <c r="AN335" s="19"/>
      <c r="AO335" s="19"/>
      <c r="AP335" s="19" t="s">
        <v>1372</v>
      </c>
      <c r="AQ335" s="19"/>
      <c r="AR335" s="19"/>
      <c r="AS335" s="19"/>
    </row>
    <row r="336" spans="1:45" x14ac:dyDescent="0.3">
      <c r="A336" s="410" t="s">
        <v>1787</v>
      </c>
      <c r="B336" s="17" t="s">
        <v>1788</v>
      </c>
      <c r="C336" s="19" t="s">
        <v>1381</v>
      </c>
      <c r="D336" s="19">
        <v>23165489</v>
      </c>
      <c r="E336" s="18"/>
      <c r="F336" s="19"/>
      <c r="G336" s="31">
        <v>45408</v>
      </c>
      <c r="H336" s="31" t="s">
        <v>1774</v>
      </c>
      <c r="I336" s="19" t="s">
        <v>1372</v>
      </c>
      <c r="J336" s="22" t="s">
        <v>1789</v>
      </c>
      <c r="K336" s="18" t="s">
        <v>1372</v>
      </c>
      <c r="L336" s="19" t="s">
        <v>1789</v>
      </c>
      <c r="M336" s="19" t="s">
        <v>1461</v>
      </c>
      <c r="N336" s="20" t="s">
        <v>1462</v>
      </c>
      <c r="O336" s="19"/>
      <c r="P336" s="19" t="s">
        <v>1372</v>
      </c>
      <c r="Q336" s="19" t="s">
        <v>1372</v>
      </c>
      <c r="R336" s="19" t="s">
        <v>1372</v>
      </c>
      <c r="S336" s="19" t="s">
        <v>1372</v>
      </c>
      <c r="T336" s="19" t="s">
        <v>1372</v>
      </c>
      <c r="U336" s="19" t="s">
        <v>1372</v>
      </c>
      <c r="V336" s="19"/>
      <c r="W336" s="19" t="s">
        <v>1382</v>
      </c>
      <c r="X336" s="19"/>
      <c r="Y336" s="19"/>
      <c r="Z336" s="19" t="s">
        <v>1372</v>
      </c>
      <c r="AA336" s="19"/>
      <c r="AB336" s="19"/>
      <c r="AC336" s="19"/>
      <c r="AD336" s="19"/>
      <c r="AE336" s="19"/>
      <c r="AF336" s="19"/>
      <c r="AG336" s="19"/>
      <c r="AH336" s="19"/>
      <c r="AI336" s="19"/>
      <c r="AJ336" s="19"/>
      <c r="AK336" s="19"/>
      <c r="AL336" s="19"/>
      <c r="AM336" s="19" t="s">
        <v>1372</v>
      </c>
      <c r="AN336" s="19"/>
      <c r="AO336" s="19"/>
      <c r="AP336" s="19"/>
      <c r="AQ336" s="19"/>
      <c r="AR336" s="19"/>
      <c r="AS336" s="19"/>
    </row>
    <row r="337" spans="1:45" x14ac:dyDescent="0.3">
      <c r="A337" s="410" t="s">
        <v>1790</v>
      </c>
      <c r="B337" s="17" t="s">
        <v>1791</v>
      </c>
      <c r="C337" s="19" t="s">
        <v>1371</v>
      </c>
      <c r="D337" s="19">
        <v>23202532</v>
      </c>
      <c r="E337" s="18"/>
      <c r="F337" s="19"/>
      <c r="G337" s="31">
        <v>45475</v>
      </c>
      <c r="H337" s="31">
        <v>45840</v>
      </c>
      <c r="I337" s="19" t="s">
        <v>1372</v>
      </c>
      <c r="J337" s="22" t="s">
        <v>1373</v>
      </c>
      <c r="K337" s="21" t="s">
        <v>1372</v>
      </c>
      <c r="L337" s="22" t="s">
        <v>1373</v>
      </c>
      <c r="M337" s="19" t="s">
        <v>1461</v>
      </c>
      <c r="N337" s="20" t="s">
        <v>1462</v>
      </c>
      <c r="O337" s="19" t="s">
        <v>1792</v>
      </c>
      <c r="P337" s="19"/>
      <c r="Q337" s="19" t="s">
        <v>1372</v>
      </c>
      <c r="R337" s="19" t="s">
        <v>1372</v>
      </c>
      <c r="S337" s="19" t="s">
        <v>1372</v>
      </c>
      <c r="T337" s="19" t="s">
        <v>1372</v>
      </c>
      <c r="U337" s="19" t="s">
        <v>1372</v>
      </c>
      <c r="V337" s="19" t="s">
        <v>1372</v>
      </c>
      <c r="W337" s="19"/>
      <c r="X337" s="19"/>
      <c r="Y337" s="19"/>
      <c r="Z337" s="19" t="s">
        <v>1372</v>
      </c>
      <c r="AA337" s="19"/>
      <c r="AB337" s="19"/>
      <c r="AC337" s="19"/>
      <c r="AD337" s="19"/>
      <c r="AE337" s="19"/>
      <c r="AF337" s="19"/>
      <c r="AG337" s="19" t="s">
        <v>1372</v>
      </c>
      <c r="AH337" s="19"/>
      <c r="AI337" s="19"/>
      <c r="AJ337" s="19"/>
      <c r="AK337" s="19"/>
      <c r="AL337" s="19"/>
      <c r="AM337" s="19"/>
      <c r="AN337" s="19"/>
      <c r="AO337" s="19"/>
      <c r="AP337" s="19"/>
      <c r="AQ337" s="19"/>
      <c r="AR337" s="19"/>
      <c r="AS337" s="19"/>
    </row>
    <row r="338" spans="1:45" x14ac:dyDescent="0.3">
      <c r="A338" s="410" t="s">
        <v>1793</v>
      </c>
      <c r="B338" s="17" t="s">
        <v>1794</v>
      </c>
      <c r="C338" s="19" t="s">
        <v>1371</v>
      </c>
      <c r="D338" s="19">
        <v>23129905</v>
      </c>
      <c r="E338" s="18"/>
      <c r="F338" s="19"/>
      <c r="G338" s="31">
        <v>45476</v>
      </c>
      <c r="H338" s="31">
        <v>45841</v>
      </c>
      <c r="I338" s="19" t="s">
        <v>1372</v>
      </c>
      <c r="J338" s="22" t="s">
        <v>1373</v>
      </c>
      <c r="K338" s="18" t="s">
        <v>1372</v>
      </c>
      <c r="L338" s="19" t="s">
        <v>1373</v>
      </c>
      <c r="M338" s="19" t="s">
        <v>1461</v>
      </c>
      <c r="N338" s="20" t="s">
        <v>1462</v>
      </c>
      <c r="O338" s="19" t="s">
        <v>1372</v>
      </c>
      <c r="P338" s="19"/>
      <c r="Q338" s="19" t="s">
        <v>1372</v>
      </c>
      <c r="R338" s="19" t="s">
        <v>1372</v>
      </c>
      <c r="S338" s="19" t="s">
        <v>1372</v>
      </c>
      <c r="T338" s="19" t="s">
        <v>1372</v>
      </c>
      <c r="U338" s="19" t="s">
        <v>1372</v>
      </c>
      <c r="V338" s="19" t="s">
        <v>1372</v>
      </c>
      <c r="W338" s="19"/>
      <c r="X338" s="19"/>
      <c r="Y338" s="19"/>
      <c r="Z338" s="19" t="s">
        <v>1372</v>
      </c>
      <c r="AA338" s="19"/>
      <c r="AB338" s="19"/>
      <c r="AC338" s="19"/>
      <c r="AD338" s="19"/>
      <c r="AE338" s="19"/>
      <c r="AF338" s="19"/>
      <c r="AG338" s="19"/>
      <c r="AH338" s="19"/>
      <c r="AI338" s="19"/>
      <c r="AJ338" s="19"/>
      <c r="AK338" s="19"/>
      <c r="AL338" s="19"/>
      <c r="AM338" s="19"/>
      <c r="AN338" s="19"/>
      <c r="AO338" s="19"/>
      <c r="AP338" s="19"/>
      <c r="AQ338" s="19"/>
      <c r="AR338" s="19"/>
      <c r="AS338" s="19"/>
    </row>
    <row r="339" spans="1:45" x14ac:dyDescent="0.3">
      <c r="A339" s="410" t="s">
        <v>1795</v>
      </c>
      <c r="B339" s="17" t="s">
        <v>1796</v>
      </c>
      <c r="C339" s="19" t="s">
        <v>1368</v>
      </c>
      <c r="D339" s="19">
        <v>23140082</v>
      </c>
      <c r="E339" s="18"/>
      <c r="F339" s="19"/>
      <c r="G339" s="31"/>
      <c r="H339" s="31"/>
      <c r="I339" s="19"/>
      <c r="J339" s="22"/>
      <c r="K339" s="18"/>
      <c r="L339" s="19"/>
      <c r="M339" s="19"/>
      <c r="N339" s="20"/>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row>
    <row r="340" spans="1:45" x14ac:dyDescent="0.3">
      <c r="A340" s="410" t="s">
        <v>1797</v>
      </c>
      <c r="B340" s="17" t="s">
        <v>1798</v>
      </c>
      <c r="C340" s="19" t="s">
        <v>1371</v>
      </c>
      <c r="D340" s="19">
        <v>23143941</v>
      </c>
      <c r="E340" s="18"/>
      <c r="F340" s="19"/>
      <c r="G340" s="31">
        <v>45041</v>
      </c>
      <c r="H340" s="31" t="s">
        <v>1774</v>
      </c>
      <c r="I340" s="19" t="s">
        <v>1372</v>
      </c>
      <c r="J340" s="22" t="s">
        <v>1774</v>
      </c>
      <c r="K340" s="18" t="s">
        <v>1372</v>
      </c>
      <c r="L340" s="19" t="s">
        <v>1774</v>
      </c>
      <c r="M340" s="19" t="s">
        <v>1461</v>
      </c>
      <c r="N340" s="20" t="s">
        <v>1462</v>
      </c>
      <c r="O340" s="19" t="s">
        <v>1372</v>
      </c>
      <c r="P340" s="19" t="s">
        <v>1372</v>
      </c>
      <c r="Q340" s="19" t="s">
        <v>1372</v>
      </c>
      <c r="R340" s="19" t="s">
        <v>1372</v>
      </c>
      <c r="S340" s="19" t="s">
        <v>1372</v>
      </c>
      <c r="T340" s="19" t="s">
        <v>1372</v>
      </c>
      <c r="U340" s="19" t="s">
        <v>1461</v>
      </c>
      <c r="V340" s="19" t="s">
        <v>1372</v>
      </c>
      <c r="W340" s="19"/>
      <c r="X340" s="19"/>
      <c r="Y340" s="19"/>
      <c r="Z340" s="19" t="s">
        <v>1372</v>
      </c>
      <c r="AA340" s="19"/>
      <c r="AB340" s="19"/>
      <c r="AC340" s="19"/>
      <c r="AD340" s="19"/>
      <c r="AE340" s="19"/>
      <c r="AF340" s="19"/>
      <c r="AG340" s="19"/>
      <c r="AH340" s="19"/>
      <c r="AI340" s="19"/>
      <c r="AJ340" s="19"/>
      <c r="AK340" s="19"/>
      <c r="AL340" s="19"/>
      <c r="AM340" s="19" t="s">
        <v>1372</v>
      </c>
      <c r="AN340" s="19"/>
      <c r="AO340" s="19"/>
      <c r="AP340" s="19" t="s">
        <v>1372</v>
      </c>
      <c r="AQ340" s="19"/>
      <c r="AR340" s="19"/>
      <c r="AS340" s="19"/>
    </row>
    <row r="341" spans="1:45" x14ac:dyDescent="0.3">
      <c r="A341" s="410" t="s">
        <v>1799</v>
      </c>
      <c r="B341" s="17" t="s">
        <v>1800</v>
      </c>
      <c r="C341" s="19" t="s">
        <v>1371</v>
      </c>
      <c r="D341" s="19">
        <v>23159509</v>
      </c>
      <c r="E341" s="18"/>
      <c r="F341" s="19"/>
      <c r="G341" s="31">
        <v>45478</v>
      </c>
      <c r="H341" s="31">
        <v>45843</v>
      </c>
      <c r="I341" s="19" t="s">
        <v>1372</v>
      </c>
      <c r="J341" s="22" t="s">
        <v>1373</v>
      </c>
      <c r="K341" s="18" t="s">
        <v>1372</v>
      </c>
      <c r="L341" s="19" t="s">
        <v>1373</v>
      </c>
      <c r="M341" s="19" t="s">
        <v>1461</v>
      </c>
      <c r="N341" s="20" t="s">
        <v>1462</v>
      </c>
      <c r="O341" s="19" t="s">
        <v>1372</v>
      </c>
      <c r="P341" s="19"/>
      <c r="Q341" s="19" t="s">
        <v>1372</v>
      </c>
      <c r="R341" s="19" t="s">
        <v>1372</v>
      </c>
      <c r="S341" s="19" t="s">
        <v>1372</v>
      </c>
      <c r="T341" s="19" t="s">
        <v>1372</v>
      </c>
      <c r="U341" s="19" t="s">
        <v>1372</v>
      </c>
      <c r="V341" s="19" t="s">
        <v>1372</v>
      </c>
      <c r="W341" s="19"/>
      <c r="X341" s="19"/>
      <c r="Y341" s="19"/>
      <c r="Z341" s="19" t="s">
        <v>1372</v>
      </c>
      <c r="AA341" s="19"/>
      <c r="AB341" s="19"/>
      <c r="AC341" s="19"/>
      <c r="AD341" s="19"/>
      <c r="AE341" s="19"/>
      <c r="AF341" s="19"/>
      <c r="AG341" s="19"/>
      <c r="AH341" s="19"/>
      <c r="AI341" s="19"/>
      <c r="AJ341" s="19"/>
      <c r="AK341" s="19"/>
      <c r="AL341" s="19" t="s">
        <v>1372</v>
      </c>
      <c r="AM341" s="19" t="s">
        <v>1372</v>
      </c>
      <c r="AN341" s="19"/>
      <c r="AO341" s="19"/>
      <c r="AP341" s="19" t="s">
        <v>1372</v>
      </c>
      <c r="AQ341" s="19"/>
      <c r="AR341" s="19" t="s">
        <v>1768</v>
      </c>
      <c r="AS341" s="19"/>
    </row>
    <row r="342" spans="1:45" x14ac:dyDescent="0.3">
      <c r="A342" s="410" t="s">
        <v>1801</v>
      </c>
      <c r="B342" s="17" t="s">
        <v>1802</v>
      </c>
      <c r="C342" s="19"/>
      <c r="D342" s="19">
        <v>23158474</v>
      </c>
      <c r="E342" s="18"/>
      <c r="F342" s="19"/>
      <c r="G342" s="31"/>
      <c r="H342" s="31"/>
      <c r="I342" s="19"/>
      <c r="J342" s="22"/>
      <c r="K342" s="21"/>
      <c r="L342" s="22"/>
      <c r="M342" s="19"/>
      <c r="N342" s="20"/>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row>
    <row r="343" spans="1:45" x14ac:dyDescent="0.3">
      <c r="A343" s="410" t="s">
        <v>1803</v>
      </c>
      <c r="B343" s="17" t="s">
        <v>1804</v>
      </c>
      <c r="C343" s="19"/>
      <c r="D343" s="19">
        <v>23207378</v>
      </c>
      <c r="E343" s="18"/>
      <c r="F343" s="19"/>
      <c r="G343" s="31"/>
      <c r="H343" s="31"/>
      <c r="I343" s="19"/>
      <c r="J343" s="22"/>
      <c r="K343" s="18"/>
      <c r="L343" s="19"/>
      <c r="M343" s="19"/>
      <c r="N343" s="20"/>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row>
    <row r="344" spans="1:45" x14ac:dyDescent="0.3">
      <c r="A344" s="410" t="s">
        <v>1805</v>
      </c>
      <c r="B344" s="17" t="s">
        <v>1806</v>
      </c>
      <c r="C344" s="19"/>
      <c r="D344" s="19">
        <v>23209538</v>
      </c>
      <c r="E344" s="18"/>
      <c r="F344" s="19"/>
      <c r="G344" s="31"/>
      <c r="H344" s="31"/>
      <c r="I344" s="19"/>
      <c r="J344" s="22"/>
      <c r="K344" s="21"/>
      <c r="L344" s="22"/>
      <c r="M344" s="19"/>
      <c r="N344" s="20"/>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row>
    <row r="345" spans="1:45" x14ac:dyDescent="0.3">
      <c r="A345" s="410" t="s">
        <v>1807</v>
      </c>
      <c r="B345" s="17" t="s">
        <v>1808</v>
      </c>
      <c r="C345" s="19" t="s">
        <v>1371</v>
      </c>
      <c r="D345" s="19">
        <v>23130843</v>
      </c>
      <c r="E345" s="18"/>
      <c r="F345" s="19"/>
      <c r="G345" s="31">
        <v>45474</v>
      </c>
      <c r="H345" s="31">
        <v>45839</v>
      </c>
      <c r="I345" s="19" t="s">
        <v>1372</v>
      </c>
      <c r="J345" s="22" t="s">
        <v>1373</v>
      </c>
      <c r="K345" s="21" t="s">
        <v>1372</v>
      </c>
      <c r="L345" s="22" t="s">
        <v>1373</v>
      </c>
      <c r="M345" s="19" t="s">
        <v>1461</v>
      </c>
      <c r="N345" s="20" t="s">
        <v>1462</v>
      </c>
      <c r="O345" s="19"/>
      <c r="P345" s="19" t="s">
        <v>1372</v>
      </c>
      <c r="Q345" s="19" t="s">
        <v>1372</v>
      </c>
      <c r="R345" s="19" t="s">
        <v>1372</v>
      </c>
      <c r="S345" s="19" t="s">
        <v>1372</v>
      </c>
      <c r="T345" s="19" t="s">
        <v>1372</v>
      </c>
      <c r="U345" s="19" t="s">
        <v>1461</v>
      </c>
      <c r="V345" s="19" t="s">
        <v>1372</v>
      </c>
      <c r="W345" s="19"/>
      <c r="X345" s="19"/>
      <c r="Y345" s="19"/>
      <c r="Z345" s="19" t="s">
        <v>1372</v>
      </c>
      <c r="AA345" s="19"/>
      <c r="AB345" s="19"/>
      <c r="AC345" s="19"/>
      <c r="AD345" s="19"/>
      <c r="AE345" s="19"/>
      <c r="AF345" s="19"/>
      <c r="AG345" s="19"/>
      <c r="AH345" s="19"/>
      <c r="AI345" s="19"/>
      <c r="AJ345" s="19"/>
      <c r="AK345" s="19"/>
      <c r="AL345" s="19" t="s">
        <v>1372</v>
      </c>
      <c r="AM345" s="19" t="s">
        <v>1372</v>
      </c>
      <c r="AN345" s="19"/>
      <c r="AO345" s="19"/>
      <c r="AP345" s="19" t="s">
        <v>1372</v>
      </c>
      <c r="AQ345" s="19"/>
      <c r="AR345" s="19" t="s">
        <v>1768</v>
      </c>
      <c r="AS345" s="19"/>
    </row>
    <row r="346" spans="1:45" x14ac:dyDescent="0.3">
      <c r="A346" s="410" t="s">
        <v>1809</v>
      </c>
      <c r="B346" s="17" t="s">
        <v>1810</v>
      </c>
      <c r="C346" s="19"/>
      <c r="D346" s="18">
        <v>23215973</v>
      </c>
      <c r="E346" s="18"/>
      <c r="F346" s="19"/>
      <c r="G346" s="31">
        <v>44673</v>
      </c>
      <c r="H346" s="31" t="s">
        <v>1774</v>
      </c>
      <c r="I346" s="19" t="s">
        <v>1372</v>
      </c>
      <c r="J346" s="22" t="s">
        <v>1774</v>
      </c>
      <c r="K346" s="18" t="s">
        <v>1372</v>
      </c>
      <c r="L346" s="19" t="s">
        <v>1774</v>
      </c>
      <c r="M346" s="19" t="s">
        <v>1461</v>
      </c>
      <c r="N346" s="20" t="s">
        <v>1462</v>
      </c>
      <c r="O346" s="19"/>
      <c r="P346" s="19" t="s">
        <v>1372</v>
      </c>
      <c r="Q346" s="19" t="s">
        <v>1372</v>
      </c>
      <c r="R346" s="19" t="s">
        <v>1372</v>
      </c>
      <c r="S346" s="19" t="s">
        <v>1372</v>
      </c>
      <c r="T346" s="19" t="s">
        <v>1372</v>
      </c>
      <c r="U346" s="19" t="s">
        <v>1372</v>
      </c>
      <c r="V346" s="19" t="s">
        <v>1372</v>
      </c>
      <c r="W346" s="19"/>
      <c r="X346" s="19"/>
      <c r="Y346" s="19"/>
      <c r="Z346" s="19"/>
      <c r="AA346" s="19"/>
      <c r="AB346" s="19"/>
      <c r="AC346" s="19"/>
      <c r="AD346" s="19"/>
      <c r="AE346" s="19"/>
      <c r="AF346" s="19" t="s">
        <v>1372</v>
      </c>
      <c r="AG346" s="19"/>
      <c r="AH346" s="19"/>
      <c r="AI346" s="19"/>
      <c r="AJ346" s="19"/>
      <c r="AK346" s="19"/>
      <c r="AL346" s="19" t="s">
        <v>1372</v>
      </c>
      <c r="AM346" s="19"/>
      <c r="AN346" s="19"/>
      <c r="AO346" s="19"/>
      <c r="AP346" s="19" t="s">
        <v>1372</v>
      </c>
      <c r="AQ346" s="19"/>
      <c r="AR346" s="19" t="s">
        <v>1768</v>
      </c>
      <c r="AS346" s="19"/>
    </row>
    <row r="347" spans="1:45" x14ac:dyDescent="0.3">
      <c r="A347" s="410" t="s">
        <v>1811</v>
      </c>
      <c r="B347" s="17" t="s">
        <v>1812</v>
      </c>
      <c r="C347" s="19" t="s">
        <v>1371</v>
      </c>
      <c r="D347" s="19">
        <v>23209190</v>
      </c>
      <c r="E347" s="18"/>
      <c r="F347" s="19"/>
      <c r="G347" s="31">
        <v>45475</v>
      </c>
      <c r="H347" s="31">
        <v>45840</v>
      </c>
      <c r="I347" s="19" t="s">
        <v>1372</v>
      </c>
      <c r="J347" s="22" t="s">
        <v>1373</v>
      </c>
      <c r="K347" s="21" t="s">
        <v>1372</v>
      </c>
      <c r="L347" s="22" t="s">
        <v>1373</v>
      </c>
      <c r="M347" s="19" t="s">
        <v>1461</v>
      </c>
      <c r="N347" s="20" t="s">
        <v>1462</v>
      </c>
      <c r="O347" s="19" t="s">
        <v>1813</v>
      </c>
      <c r="P347" s="19"/>
      <c r="Q347" s="19" t="s">
        <v>1372</v>
      </c>
      <c r="R347" s="19" t="s">
        <v>1372</v>
      </c>
      <c r="S347" s="19" t="s">
        <v>1372</v>
      </c>
      <c r="T347" s="19" t="s">
        <v>1372</v>
      </c>
      <c r="U347" s="19" t="s">
        <v>1461</v>
      </c>
      <c r="V347" s="19" t="s">
        <v>1372</v>
      </c>
      <c r="W347" s="19"/>
      <c r="X347" s="19"/>
      <c r="Y347" s="19"/>
      <c r="Z347" s="19" t="s">
        <v>1372</v>
      </c>
      <c r="AA347" s="19"/>
      <c r="AB347" s="19"/>
      <c r="AC347" s="19"/>
      <c r="AD347" s="19"/>
      <c r="AE347" s="19"/>
      <c r="AF347" s="19"/>
      <c r="AG347" s="19"/>
      <c r="AH347" s="19"/>
      <c r="AI347" s="19"/>
      <c r="AJ347" s="19"/>
      <c r="AK347" s="19"/>
      <c r="AL347" s="19" t="s">
        <v>1372</v>
      </c>
      <c r="AM347" s="19" t="s">
        <v>1372</v>
      </c>
      <c r="AN347" s="19"/>
      <c r="AO347" s="19"/>
      <c r="AP347" s="19" t="s">
        <v>1372</v>
      </c>
      <c r="AQ347" s="19"/>
      <c r="AR347" s="19" t="s">
        <v>1768</v>
      </c>
      <c r="AS347" s="19"/>
    </row>
    <row r="348" spans="1:45" x14ac:dyDescent="0.3">
      <c r="A348" s="410" t="s">
        <v>1814</v>
      </c>
      <c r="B348" s="17" t="s">
        <v>1815</v>
      </c>
      <c r="C348" s="19" t="s">
        <v>1371</v>
      </c>
      <c r="D348" s="19">
        <v>23202622</v>
      </c>
      <c r="E348" s="18"/>
      <c r="F348" s="19"/>
      <c r="G348" s="31" t="s">
        <v>1777</v>
      </c>
      <c r="H348" s="31" t="s">
        <v>1774</v>
      </c>
      <c r="I348" s="19" t="s">
        <v>1372</v>
      </c>
      <c r="J348" s="22" t="s">
        <v>1774</v>
      </c>
      <c r="K348" s="21" t="s">
        <v>1372</v>
      </c>
      <c r="L348" s="22" t="s">
        <v>1774</v>
      </c>
      <c r="M348" s="19" t="s">
        <v>1461</v>
      </c>
      <c r="N348" s="20" t="s">
        <v>1462</v>
      </c>
      <c r="O348" s="19" t="s">
        <v>1372</v>
      </c>
      <c r="P348" s="19"/>
      <c r="Q348" s="19" t="s">
        <v>1372</v>
      </c>
      <c r="R348" s="19" t="s">
        <v>1372</v>
      </c>
      <c r="S348" s="19" t="s">
        <v>1372</v>
      </c>
      <c r="T348" s="19" t="s">
        <v>1372</v>
      </c>
      <c r="U348" s="19" t="s">
        <v>1372</v>
      </c>
      <c r="V348" s="19" t="s">
        <v>1372</v>
      </c>
      <c r="W348" s="19"/>
      <c r="X348" s="19"/>
      <c r="Y348" s="19"/>
      <c r="Z348" s="19" t="s">
        <v>1372</v>
      </c>
      <c r="AA348" s="19"/>
      <c r="AB348" s="19"/>
      <c r="AC348" s="19"/>
      <c r="AD348" s="19"/>
      <c r="AE348" s="19"/>
      <c r="AF348" s="19"/>
      <c r="AG348" s="19"/>
      <c r="AH348" s="19"/>
      <c r="AI348" s="19"/>
      <c r="AJ348" s="19"/>
      <c r="AK348" s="19"/>
      <c r="AL348" s="19" t="s">
        <v>1372</v>
      </c>
      <c r="AM348" s="19" t="s">
        <v>1372</v>
      </c>
      <c r="AN348" s="19"/>
      <c r="AO348" s="19"/>
      <c r="AP348" s="19" t="s">
        <v>1372</v>
      </c>
      <c r="AQ348" s="19"/>
      <c r="AR348" s="19"/>
      <c r="AS348" s="19"/>
    </row>
    <row r="349" spans="1:45" x14ac:dyDescent="0.3">
      <c r="A349" s="410" t="s">
        <v>1816</v>
      </c>
      <c r="B349" s="17" t="s">
        <v>1817</v>
      </c>
      <c r="C349" s="19" t="s">
        <v>1371</v>
      </c>
      <c r="D349" s="19">
        <v>23202261</v>
      </c>
      <c r="E349" s="18"/>
      <c r="F349" s="19"/>
      <c r="G349" s="31">
        <v>45041</v>
      </c>
      <c r="H349" s="31" t="s">
        <v>1774</v>
      </c>
      <c r="I349" s="19" t="s">
        <v>1372</v>
      </c>
      <c r="J349" s="22" t="s">
        <v>1774</v>
      </c>
      <c r="K349" s="18" t="s">
        <v>1372</v>
      </c>
      <c r="L349" s="19" t="s">
        <v>1774</v>
      </c>
      <c r="M349" s="19" t="s">
        <v>1461</v>
      </c>
      <c r="N349" s="20" t="s">
        <v>1462</v>
      </c>
      <c r="O349" s="19" t="s">
        <v>1372</v>
      </c>
      <c r="P349" s="19"/>
      <c r="Q349" s="19" t="s">
        <v>1372</v>
      </c>
      <c r="R349" s="19" t="s">
        <v>1372</v>
      </c>
      <c r="S349" s="19" t="s">
        <v>1372</v>
      </c>
      <c r="T349" s="19" t="s">
        <v>1372</v>
      </c>
      <c r="U349" s="19" t="s">
        <v>1372</v>
      </c>
      <c r="V349" s="19" t="s">
        <v>1372</v>
      </c>
      <c r="W349" s="19"/>
      <c r="X349" s="19"/>
      <c r="Y349" s="19"/>
      <c r="Z349" s="19" t="s">
        <v>1372</v>
      </c>
      <c r="AA349" s="19"/>
      <c r="AB349" s="19"/>
      <c r="AC349" s="19"/>
      <c r="AD349" s="19"/>
      <c r="AE349" s="19"/>
      <c r="AF349" s="19" t="s">
        <v>1372</v>
      </c>
      <c r="AG349" s="19"/>
      <c r="AH349" s="19"/>
      <c r="AI349" s="19"/>
      <c r="AJ349" s="19"/>
      <c r="AK349" s="19"/>
      <c r="AL349" s="19"/>
      <c r="AM349" s="19" t="s">
        <v>1372</v>
      </c>
      <c r="AN349" s="19"/>
      <c r="AO349" s="19"/>
      <c r="AP349" s="19"/>
      <c r="AQ349" s="19"/>
      <c r="AR349" s="19" t="s">
        <v>1783</v>
      </c>
      <c r="AS349" s="19"/>
    </row>
    <row r="350" spans="1:45" x14ac:dyDescent="0.3">
      <c r="A350" s="410" t="s">
        <v>1818</v>
      </c>
      <c r="B350" s="17" t="s">
        <v>1819</v>
      </c>
      <c r="C350" s="19" t="s">
        <v>1371</v>
      </c>
      <c r="D350" s="19">
        <v>23202751</v>
      </c>
      <c r="E350" s="18"/>
      <c r="F350" s="19"/>
      <c r="G350" s="31">
        <v>45477</v>
      </c>
      <c r="H350" s="31">
        <v>45842</v>
      </c>
      <c r="I350" s="19" t="s">
        <v>1372</v>
      </c>
      <c r="J350" s="22" t="s">
        <v>1373</v>
      </c>
      <c r="K350" s="18" t="s">
        <v>1372</v>
      </c>
      <c r="L350" s="19" t="s">
        <v>1373</v>
      </c>
      <c r="M350" s="19" t="s">
        <v>1461</v>
      </c>
      <c r="N350" s="20" t="s">
        <v>1462</v>
      </c>
      <c r="O350" s="19" t="s">
        <v>1820</v>
      </c>
      <c r="P350" s="19"/>
      <c r="Q350" s="19" t="s">
        <v>1372</v>
      </c>
      <c r="R350" s="19" t="s">
        <v>1821</v>
      </c>
      <c r="S350" s="19"/>
      <c r="T350" s="19"/>
      <c r="U350" s="19"/>
      <c r="V350" s="19" t="s">
        <v>1372</v>
      </c>
      <c r="W350" s="19"/>
      <c r="X350" s="19"/>
      <c r="Y350" s="19"/>
      <c r="Z350" s="19"/>
      <c r="AA350" s="19"/>
      <c r="AB350" s="19"/>
      <c r="AC350" s="19"/>
      <c r="AD350" s="19"/>
      <c r="AE350" s="19"/>
      <c r="AF350" s="19"/>
      <c r="AG350" s="19"/>
      <c r="AH350" s="19"/>
      <c r="AI350" s="19"/>
      <c r="AJ350" s="19"/>
      <c r="AK350" s="19"/>
      <c r="AL350" s="19"/>
      <c r="AM350" s="19" t="s">
        <v>1372</v>
      </c>
      <c r="AN350" s="19"/>
      <c r="AO350" s="19"/>
      <c r="AP350" s="19" t="s">
        <v>1372</v>
      </c>
      <c r="AQ350" s="19"/>
      <c r="AR350" s="19" t="s">
        <v>1783</v>
      </c>
      <c r="AS350" s="19"/>
    </row>
    <row r="351" spans="1:45" x14ac:dyDescent="0.3">
      <c r="A351" s="410" t="s">
        <v>1822</v>
      </c>
      <c r="B351" s="17" t="s">
        <v>1823</v>
      </c>
      <c r="C351" s="19" t="s">
        <v>1371</v>
      </c>
      <c r="D351" s="19">
        <v>23139790</v>
      </c>
      <c r="E351" s="18"/>
      <c r="F351" s="19"/>
      <c r="G351" s="31">
        <v>45476</v>
      </c>
      <c r="H351" s="31">
        <v>45841</v>
      </c>
      <c r="I351" s="19" t="s">
        <v>1372</v>
      </c>
      <c r="J351" s="22" t="s">
        <v>1373</v>
      </c>
      <c r="K351" s="21" t="s">
        <v>1372</v>
      </c>
      <c r="L351" s="22" t="s">
        <v>1373</v>
      </c>
      <c r="M351" s="19" t="s">
        <v>1461</v>
      </c>
      <c r="N351" s="20" t="s">
        <v>1462</v>
      </c>
      <c r="O351" s="19" t="s">
        <v>1782</v>
      </c>
      <c r="P351" s="19"/>
      <c r="Q351" s="19" t="s">
        <v>1372</v>
      </c>
      <c r="R351" s="19" t="s">
        <v>1372</v>
      </c>
      <c r="S351" s="19" t="s">
        <v>1372</v>
      </c>
      <c r="T351" s="19" t="s">
        <v>1372</v>
      </c>
      <c r="U351" s="19" t="s">
        <v>1461</v>
      </c>
      <c r="V351" s="19" t="s">
        <v>1372</v>
      </c>
      <c r="W351" s="19"/>
      <c r="X351" s="19"/>
      <c r="Y351" s="19"/>
      <c r="Z351" s="19" t="s">
        <v>1372</v>
      </c>
      <c r="AA351" s="19"/>
      <c r="AB351" s="19"/>
      <c r="AC351" s="19"/>
      <c r="AD351" s="19"/>
      <c r="AE351" s="19"/>
      <c r="AF351" s="19"/>
      <c r="AG351" s="19"/>
      <c r="AH351" s="19"/>
      <c r="AI351" s="19"/>
      <c r="AJ351" s="19"/>
      <c r="AK351" s="19"/>
      <c r="AL351" s="19" t="s">
        <v>1372</v>
      </c>
      <c r="AM351" s="19" t="s">
        <v>1372</v>
      </c>
      <c r="AN351" s="19"/>
      <c r="AO351" s="19"/>
      <c r="AP351" s="19" t="s">
        <v>1372</v>
      </c>
      <c r="AQ351" s="19"/>
      <c r="AR351" s="19" t="s">
        <v>1768</v>
      </c>
      <c r="AS351" s="19"/>
    </row>
    <row r="352" spans="1:45" x14ac:dyDescent="0.3">
      <c r="A352" s="410" t="s">
        <v>1824</v>
      </c>
      <c r="B352" s="17" t="s">
        <v>1825</v>
      </c>
      <c r="C352" s="19" t="s">
        <v>1826</v>
      </c>
      <c r="D352" s="19">
        <v>23140582</v>
      </c>
      <c r="E352" s="18"/>
      <c r="F352" s="19"/>
      <c r="G352" s="31" t="s">
        <v>1827</v>
      </c>
      <c r="H352" s="31" t="s">
        <v>1774</v>
      </c>
      <c r="I352" s="19" t="s">
        <v>1372</v>
      </c>
      <c r="J352" s="22" t="s">
        <v>1774</v>
      </c>
      <c r="K352" s="21" t="s">
        <v>1372</v>
      </c>
      <c r="L352" s="22" t="s">
        <v>1774</v>
      </c>
      <c r="M352" s="19" t="s">
        <v>1461</v>
      </c>
      <c r="N352" s="20" t="s">
        <v>1462</v>
      </c>
      <c r="O352" s="19" t="s">
        <v>1372</v>
      </c>
      <c r="P352" s="19"/>
      <c r="Q352" s="19" t="s">
        <v>1372</v>
      </c>
      <c r="R352" s="19" t="s">
        <v>1828</v>
      </c>
      <c r="S352" s="19" t="s">
        <v>1372</v>
      </c>
      <c r="T352" s="19" t="s">
        <v>1372</v>
      </c>
      <c r="U352" s="19" t="s">
        <v>1372</v>
      </c>
      <c r="V352" s="19" t="s">
        <v>1372</v>
      </c>
      <c r="W352" s="19"/>
      <c r="X352" s="19"/>
      <c r="Y352" s="19"/>
      <c r="Z352" s="19" t="s">
        <v>1372</v>
      </c>
      <c r="AA352" s="19"/>
      <c r="AB352" s="19"/>
      <c r="AC352" s="19"/>
      <c r="AD352" s="19"/>
      <c r="AE352" s="19"/>
      <c r="AF352" s="19"/>
      <c r="AG352" s="19"/>
      <c r="AH352" s="19"/>
      <c r="AI352" s="19"/>
      <c r="AJ352" s="19"/>
      <c r="AK352" s="19"/>
      <c r="AL352" s="19"/>
      <c r="AM352" s="19" t="s">
        <v>1372</v>
      </c>
      <c r="AN352" s="19"/>
      <c r="AO352" s="19"/>
      <c r="AP352" s="19"/>
      <c r="AQ352" s="19"/>
      <c r="AR352" s="19"/>
      <c r="AS352" s="19"/>
    </row>
    <row r="353" spans="1:45" x14ac:dyDescent="0.3">
      <c r="A353" s="410" t="s">
        <v>1829</v>
      </c>
      <c r="B353" s="17" t="s">
        <v>1830</v>
      </c>
      <c r="C353" s="19" t="s">
        <v>1368</v>
      </c>
      <c r="D353" s="18">
        <v>23207550</v>
      </c>
      <c r="E353" s="18"/>
      <c r="F353" s="19"/>
      <c r="G353" s="31"/>
      <c r="H353" s="31"/>
      <c r="I353" s="19"/>
      <c r="J353" s="22"/>
      <c r="K353" s="21"/>
      <c r="L353" s="22"/>
      <c r="M353" s="19"/>
      <c r="N353" s="20"/>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row>
    <row r="354" spans="1:45" x14ac:dyDescent="0.3">
      <c r="A354" s="410" t="s">
        <v>1831</v>
      </c>
      <c r="B354" s="17" t="s">
        <v>1832</v>
      </c>
      <c r="C354" s="19" t="s">
        <v>1371</v>
      </c>
      <c r="D354" s="18">
        <v>23129901</v>
      </c>
      <c r="E354" s="18"/>
      <c r="F354" s="19"/>
      <c r="G354" s="31">
        <v>45475</v>
      </c>
      <c r="H354" s="31">
        <v>45840</v>
      </c>
      <c r="I354" s="19" t="s">
        <v>1372</v>
      </c>
      <c r="J354" s="22" t="s">
        <v>1373</v>
      </c>
      <c r="K354" s="21" t="s">
        <v>1372</v>
      </c>
      <c r="L354" s="22" t="s">
        <v>1373</v>
      </c>
      <c r="M354" s="19" t="s">
        <v>1461</v>
      </c>
      <c r="N354" s="20" t="s">
        <v>1462</v>
      </c>
      <c r="O354" s="19"/>
      <c r="P354" s="19" t="s">
        <v>1372</v>
      </c>
      <c r="Q354" s="19" t="s">
        <v>1372</v>
      </c>
      <c r="R354" s="19" t="s">
        <v>1372</v>
      </c>
      <c r="S354" s="19" t="s">
        <v>1372</v>
      </c>
      <c r="T354" s="19" t="s">
        <v>1372</v>
      </c>
      <c r="U354" s="19" t="s">
        <v>1461</v>
      </c>
      <c r="V354" s="19" t="s">
        <v>1372</v>
      </c>
      <c r="W354" s="19"/>
      <c r="X354" s="19"/>
      <c r="Y354" s="19"/>
      <c r="Z354" s="19" t="s">
        <v>1372</v>
      </c>
      <c r="AA354" s="19"/>
      <c r="AB354" s="19"/>
      <c r="AC354" s="19"/>
      <c r="AD354" s="19"/>
      <c r="AE354" s="19"/>
      <c r="AF354" s="19"/>
      <c r="AG354" s="19"/>
      <c r="AH354" s="19"/>
      <c r="AI354" s="19"/>
      <c r="AJ354" s="19"/>
      <c r="AK354" s="19"/>
      <c r="AL354" s="19"/>
      <c r="AM354" s="19"/>
      <c r="AN354" s="19"/>
      <c r="AO354" s="19"/>
      <c r="AP354" s="19" t="s">
        <v>1372</v>
      </c>
      <c r="AQ354" s="19"/>
      <c r="AR354" s="19"/>
      <c r="AS354" s="19"/>
    </row>
    <row r="355" spans="1:45" x14ac:dyDescent="0.3">
      <c r="A355" s="410" t="s">
        <v>1833</v>
      </c>
      <c r="B355" s="17"/>
      <c r="C355" s="19"/>
      <c r="D355" s="19"/>
      <c r="E355" s="18"/>
      <c r="F355" s="19"/>
      <c r="G355" s="31"/>
      <c r="H355" s="31"/>
      <c r="I355" s="19"/>
      <c r="J355" s="19"/>
      <c r="K355" s="21"/>
      <c r="L355" s="22"/>
      <c r="M355" s="19"/>
      <c r="N355" s="20"/>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row>
    <row r="356" spans="1:45" x14ac:dyDescent="0.3">
      <c r="A356" s="410" t="s">
        <v>1834</v>
      </c>
      <c r="B356" s="17"/>
      <c r="C356" s="19"/>
      <c r="D356" s="19"/>
      <c r="E356" s="18"/>
      <c r="F356" s="19"/>
      <c r="G356" s="31"/>
      <c r="H356" s="31"/>
      <c r="I356" s="19"/>
      <c r="J356" s="19"/>
      <c r="K356" s="21"/>
      <c r="L356" s="22"/>
      <c r="M356" s="19"/>
      <c r="N356" s="20"/>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row>
    <row r="357" spans="1:45" x14ac:dyDescent="0.3">
      <c r="A357" s="410" t="s">
        <v>1835</v>
      </c>
      <c r="B357" s="17"/>
      <c r="C357" s="19"/>
      <c r="D357" s="19"/>
      <c r="E357" s="18"/>
      <c r="F357" s="19"/>
      <c r="G357" s="31"/>
      <c r="H357" s="31"/>
      <c r="I357" s="19"/>
      <c r="J357" s="19"/>
      <c r="K357" s="21"/>
      <c r="L357" s="22"/>
      <c r="M357" s="19"/>
      <c r="N357" s="20"/>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row>
    <row r="358" spans="1:45" x14ac:dyDescent="0.3">
      <c r="A358" s="410" t="s">
        <v>1836</v>
      </c>
      <c r="B358" s="17"/>
      <c r="C358" s="19"/>
      <c r="D358" s="19"/>
      <c r="E358" s="18"/>
      <c r="F358" s="19"/>
      <c r="G358" s="31"/>
      <c r="H358" s="31"/>
      <c r="I358" s="19"/>
      <c r="J358" s="19"/>
      <c r="K358" s="21"/>
      <c r="L358" s="22"/>
      <c r="M358" s="19"/>
      <c r="N358" s="20"/>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row>
    <row r="359" spans="1:45" x14ac:dyDescent="0.3">
      <c r="A359" s="410" t="s">
        <v>1837</v>
      </c>
      <c r="B359" s="17"/>
      <c r="C359" s="19"/>
      <c r="D359" s="19"/>
      <c r="E359" s="18"/>
      <c r="F359" s="19"/>
      <c r="G359" s="31"/>
      <c r="H359" s="31"/>
      <c r="I359" s="19"/>
      <c r="J359" s="19"/>
      <c r="K359" s="21"/>
      <c r="L359" s="22"/>
      <c r="M359" s="19"/>
      <c r="N359" s="20"/>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row>
    <row r="360" spans="1:45" x14ac:dyDescent="0.3">
      <c r="A360" s="410" t="s">
        <v>1838</v>
      </c>
      <c r="B360" s="17"/>
      <c r="C360" s="19"/>
      <c r="D360" s="19"/>
      <c r="E360" s="18"/>
      <c r="F360" s="19"/>
      <c r="G360" s="31"/>
      <c r="H360" s="31"/>
      <c r="I360" s="19"/>
      <c r="J360" s="19"/>
      <c r="K360" s="21"/>
      <c r="L360" s="22"/>
      <c r="M360" s="19"/>
      <c r="N360" s="20"/>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row>
    <row r="361" spans="1:45" x14ac:dyDescent="0.3">
      <c r="A361" s="410" t="s">
        <v>1839</v>
      </c>
      <c r="B361" s="17"/>
      <c r="C361" s="19"/>
      <c r="D361" s="19"/>
      <c r="E361" s="18"/>
      <c r="F361" s="19"/>
      <c r="G361" s="31"/>
      <c r="H361" s="31"/>
      <c r="I361" s="19"/>
      <c r="J361" s="19"/>
      <c r="K361" s="21"/>
      <c r="L361" s="22"/>
      <c r="M361" s="19"/>
      <c r="N361" s="20"/>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row>
    <row r="362" spans="1:45" x14ac:dyDescent="0.3">
      <c r="A362" s="410" t="s">
        <v>1840</v>
      </c>
      <c r="B362" s="17"/>
      <c r="C362" s="19"/>
      <c r="D362" s="19"/>
      <c r="E362" s="18"/>
      <c r="F362" s="19"/>
      <c r="G362" s="31"/>
      <c r="H362" s="31"/>
      <c r="I362" s="19"/>
      <c r="J362" s="19"/>
      <c r="K362" s="21"/>
      <c r="L362" s="22"/>
      <c r="M362" s="19"/>
      <c r="N362" s="20"/>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row>
    <row r="363" spans="1:45" x14ac:dyDescent="0.3">
      <c r="A363" s="410" t="s">
        <v>1841</v>
      </c>
      <c r="B363" s="17"/>
      <c r="C363" s="19"/>
      <c r="D363" s="19"/>
      <c r="E363" s="18"/>
      <c r="F363" s="19"/>
      <c r="G363" s="31"/>
      <c r="H363" s="31"/>
      <c r="I363" s="19"/>
      <c r="J363" s="19"/>
      <c r="K363" s="21"/>
      <c r="L363" s="22"/>
      <c r="M363" s="19"/>
      <c r="N363" s="20"/>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row>
    <row r="364" spans="1:45" x14ac:dyDescent="0.3">
      <c r="A364" s="410" t="s">
        <v>1842</v>
      </c>
      <c r="B364" s="17"/>
      <c r="C364" s="19"/>
      <c r="D364" s="19"/>
      <c r="E364" s="18"/>
      <c r="F364" s="19"/>
      <c r="G364" s="31"/>
      <c r="H364" s="31"/>
      <c r="I364" s="19"/>
      <c r="J364" s="19"/>
      <c r="K364" s="21"/>
      <c r="L364" s="22"/>
      <c r="M364" s="19"/>
      <c r="N364" s="20"/>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row>
    <row r="365" spans="1:45" x14ac:dyDescent="0.3">
      <c r="A365" s="410" t="s">
        <v>1843</v>
      </c>
      <c r="B365" s="17"/>
      <c r="C365" s="19"/>
      <c r="D365" s="19"/>
      <c r="E365" s="18"/>
      <c r="F365" s="19"/>
      <c r="G365" s="31"/>
      <c r="H365" s="31"/>
      <c r="I365" s="19"/>
      <c r="J365" s="19"/>
      <c r="K365" s="21"/>
      <c r="L365" s="22"/>
      <c r="M365" s="19"/>
      <c r="N365" s="20"/>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row>
    <row r="366" spans="1:45" x14ac:dyDescent="0.3">
      <c r="A366" s="410" t="s">
        <v>1844</v>
      </c>
      <c r="B366" s="17"/>
      <c r="C366" s="19"/>
      <c r="D366" s="19"/>
      <c r="E366" s="18"/>
      <c r="F366" s="19"/>
      <c r="G366" s="31"/>
      <c r="H366" s="31"/>
      <c r="I366" s="19"/>
      <c r="J366" s="19"/>
      <c r="K366" s="21"/>
      <c r="L366" s="22"/>
      <c r="M366" s="19"/>
      <c r="N366" s="20"/>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row>
    <row r="367" spans="1:45" x14ac:dyDescent="0.3">
      <c r="A367" s="410" t="s">
        <v>1845</v>
      </c>
      <c r="B367" s="17"/>
      <c r="C367" s="19"/>
      <c r="D367" s="19"/>
      <c r="E367" s="18"/>
      <c r="F367" s="19"/>
      <c r="G367" s="31"/>
      <c r="H367" s="31"/>
      <c r="I367" s="19"/>
      <c r="J367" s="19"/>
      <c r="K367" s="21"/>
      <c r="L367" s="22"/>
      <c r="M367" s="19"/>
      <c r="N367" s="20"/>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row>
    <row r="368" spans="1:45" x14ac:dyDescent="0.3">
      <c r="A368" s="410" t="s">
        <v>1846</v>
      </c>
      <c r="B368" s="17"/>
      <c r="C368" s="19"/>
      <c r="D368" s="19"/>
      <c r="E368" s="18"/>
      <c r="F368" s="19"/>
      <c r="G368" s="31"/>
      <c r="H368" s="31"/>
      <c r="I368" s="19"/>
      <c r="J368" s="19"/>
      <c r="K368" s="21"/>
      <c r="L368" s="22"/>
      <c r="M368" s="19"/>
      <c r="N368" s="20"/>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row>
    <row r="369" spans="1:45" x14ac:dyDescent="0.3">
      <c r="A369" s="410" t="s">
        <v>1847</v>
      </c>
      <c r="B369" s="17"/>
      <c r="C369" s="19"/>
      <c r="D369" s="19"/>
      <c r="E369" s="18"/>
      <c r="F369" s="19"/>
      <c r="G369" s="31"/>
      <c r="H369" s="31"/>
      <c r="I369" s="19"/>
      <c r="J369" s="19"/>
      <c r="K369" s="21"/>
      <c r="L369" s="22"/>
      <c r="M369" s="19"/>
      <c r="N369" s="20"/>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row>
    <row r="370" spans="1:45" x14ac:dyDescent="0.3">
      <c r="A370" s="410" t="s">
        <v>1848</v>
      </c>
      <c r="B370" s="17"/>
      <c r="C370" s="19"/>
      <c r="D370" s="19"/>
      <c r="E370" s="18"/>
      <c r="F370" s="19"/>
      <c r="G370" s="31"/>
      <c r="H370" s="31"/>
      <c r="I370" s="19"/>
      <c r="J370" s="19"/>
      <c r="K370" s="21"/>
      <c r="L370" s="22"/>
      <c r="M370" s="19"/>
      <c r="N370" s="20"/>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row>
    <row r="371" spans="1:45" x14ac:dyDescent="0.3">
      <c r="A371" s="410" t="s">
        <v>1849</v>
      </c>
      <c r="B371" s="17"/>
      <c r="C371" s="19"/>
      <c r="D371" s="19"/>
      <c r="E371" s="18"/>
      <c r="F371" s="19"/>
      <c r="G371" s="31"/>
      <c r="H371" s="31"/>
      <c r="I371" s="19"/>
      <c r="J371" s="19"/>
      <c r="K371" s="21"/>
      <c r="L371" s="22"/>
      <c r="M371" s="19"/>
      <c r="N371" s="20"/>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row>
    <row r="372" spans="1:45" x14ac:dyDescent="0.3">
      <c r="A372" s="410" t="s">
        <v>1850</v>
      </c>
      <c r="B372" s="17"/>
      <c r="C372" s="19"/>
      <c r="D372" s="19"/>
      <c r="E372" s="18"/>
      <c r="F372" s="19"/>
      <c r="G372" s="31"/>
      <c r="H372" s="31"/>
      <c r="I372" s="19"/>
      <c r="J372" s="19"/>
      <c r="K372" s="21"/>
      <c r="L372" s="22"/>
      <c r="M372" s="19"/>
      <c r="N372" s="20"/>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row>
    <row r="373" spans="1:45" x14ac:dyDescent="0.3">
      <c r="A373" s="410" t="s">
        <v>1851</v>
      </c>
      <c r="B373" s="17"/>
      <c r="C373" s="19"/>
      <c r="D373" s="19"/>
      <c r="E373" s="18"/>
      <c r="F373" s="19"/>
      <c r="G373" s="31"/>
      <c r="H373" s="31"/>
      <c r="I373" s="19"/>
      <c r="J373" s="19"/>
      <c r="K373" s="21"/>
      <c r="L373" s="22"/>
      <c r="M373" s="19"/>
      <c r="N373" s="20"/>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row>
    <row r="374" spans="1:45" x14ac:dyDescent="0.3">
      <c r="A374" s="410" t="s">
        <v>1852</v>
      </c>
      <c r="B374" s="17"/>
      <c r="C374" s="19"/>
      <c r="D374" s="19"/>
      <c r="E374" s="18"/>
      <c r="F374" s="19"/>
      <c r="G374" s="31"/>
      <c r="H374" s="31"/>
      <c r="I374" s="19"/>
      <c r="J374" s="19"/>
      <c r="K374" s="21"/>
      <c r="L374" s="22"/>
      <c r="M374" s="19"/>
      <c r="N374" s="20"/>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row>
    <row r="375" spans="1:45" x14ac:dyDescent="0.3">
      <c r="A375" s="410" t="s">
        <v>1853</v>
      </c>
      <c r="B375" s="17"/>
      <c r="C375" s="19"/>
      <c r="D375" s="19"/>
      <c r="E375" s="18"/>
      <c r="F375" s="19"/>
      <c r="G375" s="31"/>
      <c r="H375" s="31"/>
      <c r="I375" s="19"/>
      <c r="J375" s="19"/>
      <c r="K375" s="21"/>
      <c r="L375" s="22"/>
      <c r="M375" s="19"/>
      <c r="N375" s="20"/>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row>
    <row r="376" spans="1:45" x14ac:dyDescent="0.3">
      <c r="A376" s="410" t="s">
        <v>1854</v>
      </c>
      <c r="B376" s="17"/>
      <c r="C376" s="19"/>
      <c r="D376" s="19"/>
      <c r="E376" s="18"/>
      <c r="F376" s="19"/>
      <c r="G376" s="31"/>
      <c r="H376" s="31"/>
      <c r="I376" s="19"/>
      <c r="J376" s="19"/>
      <c r="K376" s="21"/>
      <c r="L376" s="22"/>
      <c r="M376" s="19"/>
      <c r="N376" s="20"/>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row>
    <row r="377" spans="1:45" x14ac:dyDescent="0.3">
      <c r="A377" s="410" t="s">
        <v>1855</v>
      </c>
      <c r="B377" s="17"/>
      <c r="C377" s="19"/>
      <c r="D377" s="19"/>
      <c r="E377" s="18"/>
      <c r="F377" s="19"/>
      <c r="G377" s="31"/>
      <c r="H377" s="31"/>
      <c r="I377" s="19"/>
      <c r="J377" s="19"/>
      <c r="K377" s="21"/>
      <c r="L377" s="22"/>
      <c r="M377" s="19"/>
      <c r="N377" s="20"/>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row>
    <row r="378" spans="1:45" x14ac:dyDescent="0.3">
      <c r="A378" s="410" t="s">
        <v>1856</v>
      </c>
      <c r="B378" s="17"/>
      <c r="C378" s="19"/>
      <c r="D378" s="18"/>
      <c r="E378" s="18"/>
      <c r="F378" s="19"/>
      <c r="G378" s="31"/>
      <c r="H378" s="31"/>
      <c r="I378" s="19"/>
      <c r="J378" s="19"/>
      <c r="K378" s="21"/>
      <c r="L378" s="22"/>
      <c r="M378" s="19"/>
      <c r="N378" s="20"/>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row>
    <row r="379" spans="1:45" x14ac:dyDescent="0.3">
      <c r="A379" s="410" t="s">
        <v>1857</v>
      </c>
      <c r="B379" s="17"/>
      <c r="C379" s="19"/>
      <c r="D379" s="18"/>
      <c r="E379" s="18"/>
      <c r="F379" s="19"/>
      <c r="G379" s="31"/>
      <c r="H379" s="31"/>
      <c r="I379" s="19"/>
      <c r="J379" s="19"/>
      <c r="K379" s="21"/>
      <c r="L379" s="22"/>
      <c r="M379" s="19"/>
      <c r="N379" s="20"/>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row>
    <row r="380" spans="1:45" x14ac:dyDescent="0.3">
      <c r="A380" s="410" t="s">
        <v>1858</v>
      </c>
      <c r="B380" s="17"/>
      <c r="C380" s="19"/>
      <c r="D380" s="18"/>
      <c r="E380" s="18"/>
      <c r="F380" s="19"/>
      <c r="G380" s="31"/>
      <c r="H380" s="31"/>
      <c r="I380" s="19"/>
      <c r="J380" s="19"/>
      <c r="K380" s="21"/>
      <c r="L380" s="22"/>
      <c r="M380" s="19"/>
      <c r="N380" s="20"/>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row>
    <row r="381" spans="1:45" x14ac:dyDescent="0.3">
      <c r="A381" s="410" t="s">
        <v>1859</v>
      </c>
      <c r="B381" s="17"/>
      <c r="C381" s="19"/>
      <c r="D381" s="18"/>
      <c r="E381" s="18"/>
      <c r="F381" s="19"/>
      <c r="G381" s="31"/>
      <c r="H381" s="31"/>
      <c r="I381" s="19"/>
      <c r="J381" s="19"/>
      <c r="K381" s="21"/>
      <c r="L381" s="22"/>
      <c r="M381" s="19"/>
      <c r="N381" s="20"/>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row>
    <row r="382" spans="1:45" x14ac:dyDescent="0.3">
      <c r="A382" s="410" t="s">
        <v>1860</v>
      </c>
      <c r="B382" s="17"/>
      <c r="C382" s="19"/>
      <c r="D382" s="18"/>
      <c r="E382" s="18"/>
      <c r="F382" s="19"/>
      <c r="G382" s="31"/>
      <c r="H382" s="31"/>
      <c r="I382" s="19"/>
      <c r="J382" s="19"/>
      <c r="K382" s="21"/>
      <c r="L382" s="22"/>
      <c r="M382" s="19"/>
      <c r="N382" s="20"/>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row>
    <row r="383" spans="1:45" x14ac:dyDescent="0.3">
      <c r="A383" s="410" t="s">
        <v>1861</v>
      </c>
      <c r="B383" s="17"/>
      <c r="C383" s="19"/>
      <c r="D383" s="18"/>
      <c r="E383" s="18"/>
      <c r="F383" s="19"/>
      <c r="G383" s="31"/>
      <c r="H383" s="31"/>
      <c r="I383" s="19"/>
      <c r="J383" s="19"/>
      <c r="K383" s="21"/>
      <c r="L383" s="22"/>
      <c r="M383" s="19"/>
      <c r="N383" s="20"/>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row>
    <row r="384" spans="1:45" x14ac:dyDescent="0.3">
      <c r="A384" s="410" t="s">
        <v>1862</v>
      </c>
      <c r="B384" s="17"/>
      <c r="C384" s="19"/>
      <c r="D384" s="18"/>
      <c r="E384" s="18"/>
      <c r="F384" s="19"/>
      <c r="G384" s="31"/>
      <c r="H384" s="31"/>
      <c r="I384" s="19"/>
      <c r="J384" s="19"/>
      <c r="K384" s="21"/>
      <c r="L384" s="22"/>
      <c r="M384" s="19"/>
      <c r="N384" s="20"/>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row>
    <row r="385" spans="1:45" x14ac:dyDescent="0.3">
      <c r="A385" s="410" t="s">
        <v>1863</v>
      </c>
      <c r="B385" s="17"/>
      <c r="C385" s="19"/>
      <c r="D385" s="18"/>
      <c r="E385" s="18"/>
      <c r="F385" s="19"/>
      <c r="G385" s="31"/>
      <c r="H385" s="31"/>
      <c r="I385" s="19"/>
      <c r="J385" s="19"/>
      <c r="K385" s="21"/>
      <c r="L385" s="22"/>
      <c r="M385" s="19"/>
      <c r="N385" s="20"/>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row>
    <row r="386" spans="1:45" x14ac:dyDescent="0.3">
      <c r="A386" s="410" t="s">
        <v>1864</v>
      </c>
      <c r="B386" s="17"/>
      <c r="C386" s="19"/>
      <c r="D386" s="18"/>
      <c r="E386" s="18"/>
      <c r="F386" s="19"/>
      <c r="G386" s="31"/>
      <c r="H386" s="31"/>
      <c r="I386" s="19"/>
      <c r="J386" s="19"/>
      <c r="K386" s="21"/>
      <c r="L386" s="22"/>
      <c r="M386" s="19"/>
      <c r="N386" s="20"/>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row>
    <row r="387" spans="1:45" x14ac:dyDescent="0.3">
      <c r="A387" s="410" t="s">
        <v>1865</v>
      </c>
      <c r="B387" s="17"/>
      <c r="C387" s="19"/>
      <c r="D387" s="18"/>
      <c r="E387" s="18"/>
      <c r="F387" s="19"/>
      <c r="G387" s="31"/>
      <c r="H387" s="31"/>
      <c r="I387" s="19"/>
      <c r="J387" s="19"/>
      <c r="K387" s="21"/>
      <c r="L387" s="22"/>
      <c r="M387" s="19"/>
      <c r="N387" s="20"/>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row>
    <row r="388" spans="1:45" x14ac:dyDescent="0.3">
      <c r="A388" s="410" t="s">
        <v>1866</v>
      </c>
      <c r="B388" s="17"/>
      <c r="C388" s="19"/>
      <c r="D388" s="18"/>
      <c r="E388" s="18"/>
      <c r="F388" s="19"/>
      <c r="G388" s="31"/>
      <c r="H388" s="31"/>
      <c r="I388" s="19"/>
      <c r="J388" s="19"/>
      <c r="K388" s="21"/>
      <c r="L388" s="22"/>
      <c r="M388" s="19"/>
      <c r="N388" s="20"/>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row>
    <row r="389" spans="1:45" x14ac:dyDescent="0.3">
      <c r="A389" s="410" t="s">
        <v>1867</v>
      </c>
      <c r="B389" s="17"/>
      <c r="C389" s="19"/>
      <c r="D389" s="18"/>
      <c r="E389" s="18"/>
      <c r="F389" s="19"/>
      <c r="G389" s="31"/>
      <c r="H389" s="31"/>
      <c r="I389" s="19"/>
      <c r="J389" s="19"/>
      <c r="K389" s="21"/>
      <c r="L389" s="22"/>
      <c r="M389" s="19"/>
      <c r="N389" s="20"/>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row>
    <row r="390" spans="1:45" x14ac:dyDescent="0.3">
      <c r="A390" s="410" t="s">
        <v>1868</v>
      </c>
      <c r="B390" s="17"/>
      <c r="C390" s="19"/>
      <c r="D390" s="18"/>
      <c r="E390" s="18"/>
      <c r="F390" s="19"/>
      <c r="G390" s="31"/>
      <c r="H390" s="31"/>
      <c r="I390" s="19"/>
      <c r="J390" s="19"/>
      <c r="K390" s="21"/>
      <c r="L390" s="22"/>
      <c r="M390" s="19"/>
      <c r="N390" s="20"/>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row>
    <row r="391" spans="1:45" x14ac:dyDescent="0.3">
      <c r="A391" s="410" t="s">
        <v>1869</v>
      </c>
      <c r="B391" s="17"/>
      <c r="C391" s="19"/>
      <c r="D391" s="18"/>
      <c r="E391" s="18"/>
      <c r="F391" s="19"/>
      <c r="G391" s="31"/>
      <c r="H391" s="31"/>
      <c r="I391" s="19"/>
      <c r="J391" s="19"/>
      <c r="K391" s="21"/>
      <c r="L391" s="22"/>
      <c r="M391" s="19"/>
      <c r="N391" s="20"/>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row>
    <row r="392" spans="1:45" x14ac:dyDescent="0.3">
      <c r="A392" s="410" t="s">
        <v>1870</v>
      </c>
      <c r="B392" s="17"/>
      <c r="C392" s="19"/>
      <c r="D392" s="18"/>
      <c r="E392" s="18"/>
      <c r="F392" s="19"/>
      <c r="G392" s="31"/>
      <c r="H392" s="31"/>
      <c r="I392" s="19"/>
      <c r="J392" s="19"/>
      <c r="K392" s="21"/>
      <c r="L392" s="22"/>
      <c r="M392" s="19"/>
      <c r="N392" s="20"/>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row>
    <row r="393" spans="1:45" x14ac:dyDescent="0.3">
      <c r="A393" s="410" t="s">
        <v>1871</v>
      </c>
      <c r="B393" s="17"/>
      <c r="C393" s="19"/>
      <c r="D393" s="18"/>
      <c r="E393" s="18"/>
      <c r="F393" s="19"/>
      <c r="G393" s="31"/>
      <c r="H393" s="31"/>
      <c r="I393" s="19"/>
      <c r="J393" s="19"/>
      <c r="K393" s="21"/>
      <c r="L393" s="22"/>
      <c r="M393" s="19"/>
      <c r="N393" s="20"/>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row>
    <row r="394" spans="1:45" x14ac:dyDescent="0.3">
      <c r="A394" s="410" t="s">
        <v>1872</v>
      </c>
      <c r="B394" s="17"/>
      <c r="C394" s="19"/>
      <c r="D394" s="18"/>
      <c r="E394" s="18"/>
      <c r="F394" s="19"/>
      <c r="G394" s="31"/>
      <c r="H394" s="31"/>
      <c r="I394" s="19"/>
      <c r="J394" s="19"/>
      <c r="K394" s="21"/>
      <c r="L394" s="22"/>
      <c r="M394" s="19"/>
      <c r="N394" s="20"/>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row>
    <row r="395" spans="1:45" x14ac:dyDescent="0.3">
      <c r="A395" s="410" t="s">
        <v>1873</v>
      </c>
      <c r="B395" s="17"/>
      <c r="C395" s="19"/>
      <c r="D395" s="18"/>
      <c r="E395" s="18"/>
      <c r="F395" s="19"/>
      <c r="G395" s="31"/>
      <c r="H395" s="31"/>
      <c r="I395" s="19"/>
      <c r="J395" s="19"/>
      <c r="K395" s="21"/>
      <c r="L395" s="22"/>
      <c r="M395" s="19"/>
      <c r="N395" s="20"/>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row>
    <row r="396" spans="1:45" x14ac:dyDescent="0.3">
      <c r="A396" s="410" t="s">
        <v>1874</v>
      </c>
      <c r="B396" s="17"/>
      <c r="C396" s="19"/>
      <c r="D396" s="18"/>
      <c r="E396" s="18"/>
      <c r="F396" s="19"/>
      <c r="G396" s="31"/>
      <c r="H396" s="31"/>
      <c r="I396" s="19"/>
      <c r="J396" s="19"/>
      <c r="K396" s="21"/>
      <c r="L396" s="22"/>
      <c r="M396" s="19"/>
      <c r="N396" s="20"/>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row>
    <row r="397" spans="1:45" x14ac:dyDescent="0.3">
      <c r="A397" s="410" t="s">
        <v>1875</v>
      </c>
      <c r="B397" s="17"/>
      <c r="C397" s="19"/>
      <c r="D397" s="18"/>
      <c r="E397" s="18"/>
      <c r="F397" s="19"/>
      <c r="G397" s="31"/>
      <c r="H397" s="31"/>
      <c r="I397" s="19"/>
      <c r="J397" s="19"/>
      <c r="K397" s="21"/>
      <c r="L397" s="22"/>
      <c r="M397" s="19"/>
      <c r="N397" s="20"/>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row>
    <row r="398" spans="1:45" x14ac:dyDescent="0.3">
      <c r="A398" s="410" t="s">
        <v>1876</v>
      </c>
      <c r="B398" s="17"/>
      <c r="C398" s="19"/>
      <c r="D398" s="18"/>
      <c r="E398" s="18"/>
      <c r="F398" s="19"/>
      <c r="G398" s="31"/>
      <c r="H398" s="31"/>
      <c r="I398" s="19"/>
      <c r="J398" s="19"/>
      <c r="K398" s="21"/>
      <c r="L398" s="22"/>
      <c r="M398" s="19"/>
      <c r="N398" s="20"/>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row>
    <row r="399" spans="1:45" x14ac:dyDescent="0.3">
      <c r="A399" s="410" t="s">
        <v>1877</v>
      </c>
      <c r="B399" s="17"/>
      <c r="C399" s="19"/>
      <c r="D399" s="18"/>
      <c r="E399" s="18"/>
      <c r="F399" s="19"/>
      <c r="G399" s="31"/>
      <c r="H399" s="31"/>
      <c r="I399" s="19"/>
      <c r="J399" s="19"/>
      <c r="K399" s="21"/>
      <c r="L399" s="22"/>
      <c r="M399" s="19"/>
      <c r="N399" s="20"/>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row>
    <row r="400" spans="1:45" x14ac:dyDescent="0.3">
      <c r="A400" s="410" t="s">
        <v>1878</v>
      </c>
      <c r="B400" s="17"/>
      <c r="C400" s="19"/>
      <c r="D400" s="18"/>
      <c r="E400" s="18"/>
      <c r="F400" s="19"/>
      <c r="G400" s="31"/>
      <c r="H400" s="31"/>
      <c r="I400" s="19"/>
      <c r="J400" s="19"/>
      <c r="K400" s="21"/>
      <c r="L400" s="22"/>
      <c r="M400" s="19"/>
      <c r="N400" s="20"/>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row>
    <row r="401" spans="1:45" x14ac:dyDescent="0.3">
      <c r="A401" s="410" t="s">
        <v>1879</v>
      </c>
      <c r="B401" s="17"/>
      <c r="C401" s="19"/>
      <c r="D401" s="18"/>
      <c r="E401" s="18"/>
      <c r="F401" s="19"/>
      <c r="G401" s="31"/>
      <c r="H401" s="31"/>
      <c r="I401" s="19"/>
      <c r="J401" s="19"/>
      <c r="K401" s="21"/>
      <c r="L401" s="22"/>
      <c r="M401" s="19"/>
      <c r="N401" s="20"/>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row>
    <row r="402" spans="1:45" x14ac:dyDescent="0.3">
      <c r="A402" s="410" t="s">
        <v>1880</v>
      </c>
      <c r="B402" s="17"/>
      <c r="C402" s="19"/>
      <c r="D402" s="18"/>
      <c r="E402" s="18"/>
      <c r="F402" s="19"/>
      <c r="G402" s="31"/>
      <c r="H402" s="31"/>
      <c r="I402" s="19"/>
      <c r="J402" s="19"/>
      <c r="K402" s="21"/>
      <c r="L402" s="22"/>
      <c r="M402" s="19"/>
      <c r="N402" s="20"/>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row>
    <row r="403" spans="1:45" x14ac:dyDescent="0.3">
      <c r="A403" s="410" t="s">
        <v>1881</v>
      </c>
      <c r="B403" s="17"/>
      <c r="C403" s="19"/>
      <c r="D403" s="18"/>
      <c r="E403" s="18"/>
      <c r="F403" s="19"/>
      <c r="G403" s="31"/>
      <c r="H403" s="31"/>
      <c r="I403" s="19"/>
      <c r="J403" s="19"/>
      <c r="K403" s="21"/>
      <c r="L403" s="22"/>
      <c r="M403" s="19"/>
      <c r="N403" s="20"/>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row>
    <row r="404" spans="1:45" x14ac:dyDescent="0.3">
      <c r="A404" s="410" t="s">
        <v>1882</v>
      </c>
      <c r="B404" s="17"/>
      <c r="C404" s="19"/>
      <c r="D404" s="18"/>
      <c r="E404" s="18"/>
      <c r="F404" s="19"/>
      <c r="G404" s="31"/>
      <c r="H404" s="31"/>
      <c r="I404" s="19"/>
      <c r="J404" s="19"/>
      <c r="K404" s="21"/>
      <c r="L404" s="22"/>
      <c r="M404" s="19"/>
      <c r="N404" s="20"/>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row>
    <row r="405" spans="1:45" x14ac:dyDescent="0.3">
      <c r="A405" s="410" t="s">
        <v>1883</v>
      </c>
      <c r="B405" s="17"/>
      <c r="C405" s="19"/>
      <c r="D405" s="18"/>
      <c r="E405" s="18"/>
      <c r="F405" s="19"/>
      <c r="G405" s="31"/>
      <c r="H405" s="31"/>
      <c r="I405" s="19"/>
      <c r="J405" s="19"/>
      <c r="K405" s="21"/>
      <c r="L405" s="22"/>
      <c r="M405" s="19"/>
      <c r="N405" s="20"/>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row>
    <row r="406" spans="1:45" x14ac:dyDescent="0.3">
      <c r="A406" s="410"/>
      <c r="B406" s="17"/>
      <c r="C406" s="19"/>
      <c r="D406" s="18"/>
      <c r="E406" s="18"/>
      <c r="F406" s="19"/>
      <c r="G406" s="31"/>
      <c r="H406" s="31"/>
      <c r="I406" s="19"/>
      <c r="J406" s="19"/>
      <c r="K406" s="21"/>
      <c r="L406" s="22"/>
      <c r="M406" s="19"/>
      <c r="N406" s="20"/>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row>
    <row r="407" spans="1:45" x14ac:dyDescent="0.3">
      <c r="A407" s="410" t="s">
        <v>1884</v>
      </c>
      <c r="B407" s="17" t="s">
        <v>1885</v>
      </c>
      <c r="C407" s="19" t="s">
        <v>1368</v>
      </c>
      <c r="D407" s="19">
        <v>22226550</v>
      </c>
      <c r="E407" s="18"/>
      <c r="F407" s="19"/>
      <c r="G407" s="31"/>
      <c r="H407" s="31"/>
      <c r="I407" s="19"/>
      <c r="J407" s="19"/>
      <c r="K407" s="18"/>
      <c r="L407" s="19"/>
      <c r="M407" s="19"/>
      <c r="N407" s="20"/>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row>
    <row r="408" spans="1:45" x14ac:dyDescent="0.3">
      <c r="A408" s="410" t="s">
        <v>1886</v>
      </c>
      <c r="B408" s="17" t="s">
        <v>1887</v>
      </c>
      <c r="C408" s="19" t="s">
        <v>1368</v>
      </c>
      <c r="D408" s="19">
        <v>22219592</v>
      </c>
      <c r="E408" s="18"/>
      <c r="F408" s="19"/>
      <c r="G408" s="31"/>
      <c r="H408" s="31"/>
      <c r="I408" s="19"/>
      <c r="J408" s="19"/>
      <c r="K408" s="18"/>
      <c r="L408" s="19"/>
      <c r="M408" s="19"/>
      <c r="N408" s="20"/>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row>
    <row r="409" spans="1:45" x14ac:dyDescent="0.3">
      <c r="A409" s="410" t="s">
        <v>1888</v>
      </c>
      <c r="B409" s="17"/>
      <c r="C409" s="19"/>
      <c r="D409" s="18"/>
      <c r="E409" s="18"/>
      <c r="F409" s="19"/>
      <c r="G409" s="31"/>
      <c r="H409" s="31"/>
      <c r="I409" s="19"/>
      <c r="J409" s="19"/>
      <c r="K409" s="21"/>
      <c r="L409" s="22"/>
      <c r="M409" s="19"/>
      <c r="N409" s="20"/>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row>
    <row r="410" spans="1:45" x14ac:dyDescent="0.3">
      <c r="A410" s="410" t="s">
        <v>1889</v>
      </c>
      <c r="B410" s="17"/>
      <c r="C410" s="19"/>
      <c r="D410" s="18"/>
      <c r="E410" s="18"/>
      <c r="F410" s="19"/>
      <c r="G410" s="31"/>
      <c r="H410" s="31"/>
      <c r="I410" s="19"/>
      <c r="J410" s="19"/>
      <c r="K410" s="21"/>
      <c r="L410" s="22"/>
      <c r="M410" s="19"/>
      <c r="N410" s="20"/>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row>
    <row r="411" spans="1:45" x14ac:dyDescent="0.3">
      <c r="A411" s="410" t="s">
        <v>1890</v>
      </c>
      <c r="B411" s="17"/>
      <c r="C411" s="19"/>
      <c r="D411" s="18"/>
      <c r="E411" s="18"/>
      <c r="F411" s="19"/>
      <c r="G411" s="31"/>
      <c r="H411" s="31"/>
      <c r="I411" s="19"/>
      <c r="J411" s="19"/>
      <c r="K411" s="21"/>
      <c r="L411" s="22"/>
      <c r="M411" s="19"/>
      <c r="N411" s="20"/>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row>
    <row r="412" spans="1:45" x14ac:dyDescent="0.3">
      <c r="A412" s="410" t="s">
        <v>1891</v>
      </c>
      <c r="B412" s="17"/>
      <c r="C412" s="19"/>
      <c r="D412" s="18"/>
      <c r="E412" s="18"/>
      <c r="F412" s="19"/>
      <c r="G412" s="31"/>
      <c r="H412" s="31"/>
      <c r="I412" s="19"/>
      <c r="J412" s="19"/>
      <c r="K412" s="21"/>
      <c r="L412" s="22"/>
      <c r="M412" s="19"/>
      <c r="N412" s="20"/>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row>
    <row r="413" spans="1:45" x14ac:dyDescent="0.3">
      <c r="A413" s="410" t="s">
        <v>1892</v>
      </c>
      <c r="B413" s="17"/>
      <c r="C413" s="19"/>
      <c r="D413" s="18"/>
      <c r="E413" s="18"/>
      <c r="F413" s="19"/>
      <c r="G413" s="31"/>
      <c r="H413" s="31"/>
      <c r="I413" s="19"/>
      <c r="J413" s="19"/>
      <c r="K413" s="21"/>
      <c r="L413" s="22"/>
      <c r="M413" s="19"/>
      <c r="N413" s="20"/>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row>
    <row r="414" spans="1:45" x14ac:dyDescent="0.3">
      <c r="A414" s="410" t="s">
        <v>1893</v>
      </c>
      <c r="B414" s="17"/>
      <c r="C414" s="19"/>
      <c r="D414" s="18"/>
      <c r="E414" s="18"/>
      <c r="F414" s="19"/>
      <c r="G414" s="31"/>
      <c r="H414" s="31"/>
      <c r="I414" s="19"/>
      <c r="J414" s="19"/>
      <c r="K414" s="21"/>
      <c r="L414" s="22"/>
      <c r="M414" s="19"/>
      <c r="N414" s="20"/>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row>
    <row r="415" spans="1:45" x14ac:dyDescent="0.3">
      <c r="A415" s="410" t="s">
        <v>1894</v>
      </c>
      <c r="B415" s="17"/>
      <c r="C415" s="19"/>
      <c r="D415" s="18"/>
      <c r="E415" s="18"/>
      <c r="F415" s="19"/>
      <c r="G415" s="31"/>
      <c r="H415" s="31"/>
      <c r="I415" s="19"/>
      <c r="J415" s="19"/>
      <c r="K415" s="21"/>
      <c r="L415" s="22"/>
      <c r="M415" s="19"/>
      <c r="N415" s="20"/>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row>
    <row r="416" spans="1:45" x14ac:dyDescent="0.3">
      <c r="A416" s="410" t="s">
        <v>1895</v>
      </c>
      <c r="B416" s="17"/>
      <c r="C416" s="19"/>
      <c r="D416" s="18"/>
      <c r="E416" s="18"/>
      <c r="F416" s="19"/>
      <c r="G416" s="31"/>
      <c r="H416" s="31"/>
      <c r="I416" s="19"/>
      <c r="J416" s="19"/>
      <c r="K416" s="21"/>
      <c r="L416" s="22"/>
      <c r="M416" s="19"/>
      <c r="N416" s="20"/>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row>
    <row r="417" spans="1:45" x14ac:dyDescent="0.3">
      <c r="A417" s="410" t="s">
        <v>1896</v>
      </c>
      <c r="B417" s="17"/>
      <c r="C417" s="19"/>
      <c r="D417" s="18"/>
      <c r="E417" s="18"/>
      <c r="F417" s="19"/>
      <c r="G417" s="31"/>
      <c r="H417" s="31"/>
      <c r="I417" s="19"/>
      <c r="J417" s="19"/>
      <c r="K417" s="21"/>
      <c r="L417" s="22"/>
      <c r="M417" s="19"/>
      <c r="N417" s="20"/>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row>
    <row r="418" spans="1:45" x14ac:dyDescent="0.3">
      <c r="A418" s="410" t="s">
        <v>1897</v>
      </c>
      <c r="B418" s="17"/>
      <c r="C418" s="19"/>
      <c r="D418" s="18"/>
      <c r="E418" s="18"/>
      <c r="F418" s="19"/>
      <c r="G418" s="31"/>
      <c r="H418" s="31"/>
      <c r="I418" s="19"/>
      <c r="J418" s="19"/>
      <c r="K418" s="21"/>
      <c r="L418" s="22"/>
      <c r="M418" s="19"/>
      <c r="N418" s="20"/>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row>
    <row r="419" spans="1:45" x14ac:dyDescent="0.3">
      <c r="A419" s="410" t="s">
        <v>1898</v>
      </c>
      <c r="B419" s="17"/>
      <c r="C419" s="19"/>
      <c r="D419" s="18"/>
      <c r="E419" s="18"/>
      <c r="F419" s="19"/>
      <c r="G419" s="31"/>
      <c r="H419" s="31"/>
      <c r="I419" s="19"/>
      <c r="J419" s="19"/>
      <c r="K419" s="21"/>
      <c r="L419" s="22"/>
      <c r="M419" s="19"/>
      <c r="N419" s="20"/>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row>
    <row r="420" spans="1:45" x14ac:dyDescent="0.3">
      <c r="A420" s="410" t="s">
        <v>1899</v>
      </c>
      <c r="B420" s="17"/>
      <c r="C420" s="19"/>
      <c r="D420" s="18"/>
      <c r="E420" s="18"/>
      <c r="F420" s="19"/>
      <c r="G420" s="31"/>
      <c r="H420" s="31"/>
      <c r="I420" s="19"/>
      <c r="J420" s="19"/>
      <c r="K420" s="21"/>
      <c r="L420" s="22"/>
      <c r="M420" s="19"/>
      <c r="N420" s="20"/>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row>
    <row r="421" spans="1:45" x14ac:dyDescent="0.3">
      <c r="A421" s="410" t="s">
        <v>1900</v>
      </c>
      <c r="B421" s="17"/>
      <c r="C421" s="19"/>
      <c r="D421" s="18"/>
      <c r="E421" s="18"/>
      <c r="F421" s="19"/>
      <c r="G421" s="31"/>
      <c r="H421" s="31"/>
      <c r="I421" s="19"/>
      <c r="J421" s="19"/>
      <c r="K421" s="21"/>
      <c r="L421" s="22"/>
      <c r="M421" s="19"/>
      <c r="N421" s="20"/>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row>
    <row r="422" spans="1:45" x14ac:dyDescent="0.3">
      <c r="A422" s="410" t="s">
        <v>1901</v>
      </c>
      <c r="B422" s="17"/>
      <c r="C422" s="19"/>
      <c r="D422" s="18"/>
      <c r="E422" s="18"/>
      <c r="F422" s="19"/>
      <c r="G422" s="31"/>
      <c r="H422" s="31"/>
      <c r="I422" s="19"/>
      <c r="J422" s="19"/>
      <c r="K422" s="21"/>
      <c r="L422" s="22"/>
      <c r="M422" s="19"/>
      <c r="N422" s="20"/>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row>
    <row r="423" spans="1:45" x14ac:dyDescent="0.3">
      <c r="A423" s="410" t="s">
        <v>1902</v>
      </c>
      <c r="B423" s="17"/>
      <c r="C423" s="19"/>
      <c r="D423" s="18"/>
      <c r="E423" s="18"/>
      <c r="F423" s="19"/>
      <c r="G423" s="31"/>
      <c r="H423" s="31"/>
      <c r="I423" s="19"/>
      <c r="J423" s="19"/>
      <c r="K423" s="21"/>
      <c r="L423" s="22"/>
      <c r="M423" s="19"/>
      <c r="N423" s="20"/>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row>
    <row r="424" spans="1:45" x14ac:dyDescent="0.3">
      <c r="A424" s="410" t="s">
        <v>1903</v>
      </c>
      <c r="B424" s="17"/>
      <c r="C424" s="19"/>
      <c r="D424" s="18"/>
      <c r="E424" s="18"/>
      <c r="F424" s="19"/>
      <c r="G424" s="31"/>
      <c r="H424" s="31"/>
      <c r="I424" s="19"/>
      <c r="J424" s="19"/>
      <c r="K424" s="21"/>
      <c r="L424" s="22"/>
      <c r="M424" s="19"/>
      <c r="N424" s="20"/>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row>
    <row r="425" spans="1:45" x14ac:dyDescent="0.3">
      <c r="A425" s="410" t="s">
        <v>1904</v>
      </c>
      <c r="B425" s="17"/>
      <c r="C425" s="19"/>
      <c r="D425" s="18"/>
      <c r="E425" s="18"/>
      <c r="F425" s="19"/>
      <c r="G425" s="31"/>
      <c r="H425" s="31"/>
      <c r="I425" s="19"/>
      <c r="J425" s="19"/>
      <c r="K425" s="21"/>
      <c r="L425" s="22"/>
      <c r="M425" s="19"/>
      <c r="N425" s="20"/>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row>
    <row r="426" spans="1:45" x14ac:dyDescent="0.3">
      <c r="A426" s="410" t="s">
        <v>1905</v>
      </c>
      <c r="B426" s="17"/>
      <c r="C426" s="19"/>
      <c r="D426" s="18"/>
      <c r="E426" s="18"/>
      <c r="F426" s="19"/>
      <c r="G426" s="31"/>
      <c r="H426" s="31"/>
      <c r="I426" s="19"/>
      <c r="J426" s="19"/>
      <c r="K426" s="21"/>
      <c r="L426" s="22"/>
      <c r="M426" s="19"/>
      <c r="N426" s="20"/>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row>
    <row r="427" spans="1:45" x14ac:dyDescent="0.3">
      <c r="A427" s="410" t="s">
        <v>1906</v>
      </c>
      <c r="B427" s="17"/>
      <c r="C427" s="19"/>
      <c r="D427" s="18"/>
      <c r="E427" s="18"/>
      <c r="F427" s="19"/>
      <c r="G427" s="31"/>
      <c r="H427" s="31"/>
      <c r="I427" s="19"/>
      <c r="J427" s="19"/>
      <c r="K427" s="21"/>
      <c r="L427" s="22"/>
      <c r="M427" s="19"/>
      <c r="N427" s="20"/>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row>
    <row r="428" spans="1:45" x14ac:dyDescent="0.3">
      <c r="A428" s="410" t="s">
        <v>1907</v>
      </c>
      <c r="B428" s="17"/>
      <c r="C428" s="19"/>
      <c r="D428" s="18"/>
      <c r="E428" s="18"/>
      <c r="F428" s="19"/>
      <c r="G428" s="31"/>
      <c r="H428" s="31"/>
      <c r="I428" s="19"/>
      <c r="J428" s="19"/>
      <c r="K428" s="21"/>
      <c r="L428" s="22"/>
      <c r="M428" s="19"/>
      <c r="N428" s="20"/>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row>
    <row r="429" spans="1:45" x14ac:dyDescent="0.3">
      <c r="A429" s="410" t="s">
        <v>1908</v>
      </c>
      <c r="B429" s="17"/>
      <c r="C429" s="19"/>
      <c r="D429" s="18"/>
      <c r="E429" s="18"/>
      <c r="F429" s="19"/>
      <c r="G429" s="31"/>
      <c r="H429" s="31"/>
      <c r="I429" s="19"/>
      <c r="J429" s="19"/>
      <c r="K429" s="21"/>
      <c r="L429" s="22"/>
      <c r="M429" s="19"/>
      <c r="N429" s="20"/>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row>
    <row r="430" spans="1:45" x14ac:dyDescent="0.3">
      <c r="A430" s="410" t="s">
        <v>1909</v>
      </c>
      <c r="B430" s="17"/>
      <c r="C430" s="19"/>
      <c r="D430" s="18"/>
      <c r="E430" s="18"/>
      <c r="F430" s="19"/>
      <c r="G430" s="31"/>
      <c r="H430" s="31"/>
      <c r="I430" s="19"/>
      <c r="J430" s="19"/>
      <c r="K430" s="21"/>
      <c r="L430" s="22"/>
      <c r="M430" s="19"/>
      <c r="N430" s="20"/>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row>
    <row r="431" spans="1:45" x14ac:dyDescent="0.3">
      <c r="A431" s="410" t="s">
        <v>1910</v>
      </c>
      <c r="B431" s="17"/>
      <c r="C431" s="19"/>
      <c r="D431" s="18"/>
      <c r="E431" s="18"/>
      <c r="F431" s="19"/>
      <c r="G431" s="31"/>
      <c r="H431" s="31"/>
      <c r="I431" s="19"/>
      <c r="J431" s="19"/>
      <c r="K431" s="21"/>
      <c r="L431" s="22"/>
      <c r="M431" s="19"/>
      <c r="N431" s="20"/>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row>
    <row r="432" spans="1:45" x14ac:dyDescent="0.3">
      <c r="A432" s="410" t="s">
        <v>1911</v>
      </c>
      <c r="B432" s="17"/>
      <c r="C432" s="19"/>
      <c r="D432" s="18"/>
      <c r="E432" s="18"/>
      <c r="F432" s="19"/>
      <c r="G432" s="31"/>
      <c r="H432" s="31"/>
      <c r="I432" s="19"/>
      <c r="J432" s="19"/>
      <c r="K432" s="21"/>
      <c r="L432" s="22"/>
      <c r="M432" s="19"/>
      <c r="N432" s="20"/>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row>
    <row r="433" spans="1:45" x14ac:dyDescent="0.3">
      <c r="A433" s="410" t="s">
        <v>1912</v>
      </c>
      <c r="B433" s="17"/>
      <c r="C433" s="19"/>
      <c r="D433" s="18"/>
      <c r="E433" s="18"/>
      <c r="F433" s="19"/>
      <c r="G433" s="31"/>
      <c r="H433" s="31"/>
      <c r="I433" s="19"/>
      <c r="J433" s="19"/>
      <c r="K433" s="21"/>
      <c r="L433" s="22"/>
      <c r="M433" s="19"/>
      <c r="N433" s="20"/>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row>
    <row r="434" spans="1:45" x14ac:dyDescent="0.3">
      <c r="A434" s="410" t="s">
        <v>1913</v>
      </c>
      <c r="B434" s="17"/>
      <c r="C434" s="19"/>
      <c r="D434" s="18"/>
      <c r="E434" s="18"/>
      <c r="F434" s="19"/>
      <c r="G434" s="31"/>
      <c r="H434" s="31"/>
      <c r="I434" s="19"/>
      <c r="J434" s="19"/>
      <c r="K434" s="21"/>
      <c r="L434" s="22"/>
      <c r="M434" s="19"/>
      <c r="N434" s="20"/>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row>
    <row r="435" spans="1:45" x14ac:dyDescent="0.3">
      <c r="A435" s="410" t="s">
        <v>1914</v>
      </c>
      <c r="B435" s="17"/>
      <c r="C435" s="19"/>
      <c r="D435" s="18"/>
      <c r="E435" s="18"/>
      <c r="F435" s="19"/>
      <c r="G435" s="31"/>
      <c r="H435" s="31"/>
      <c r="I435" s="19"/>
      <c r="J435" s="19"/>
      <c r="K435" s="21"/>
      <c r="L435" s="22"/>
      <c r="M435" s="19"/>
      <c r="N435" s="20"/>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row>
    <row r="436" spans="1:45" x14ac:dyDescent="0.3">
      <c r="A436" s="410" t="s">
        <v>1915</v>
      </c>
      <c r="B436" s="17"/>
      <c r="C436" s="19"/>
      <c r="D436" s="18"/>
      <c r="E436" s="18"/>
      <c r="F436" s="19"/>
      <c r="G436" s="31"/>
      <c r="H436" s="31"/>
      <c r="I436" s="19"/>
      <c r="J436" s="19"/>
      <c r="K436" s="21"/>
      <c r="L436" s="22"/>
      <c r="M436" s="19"/>
      <c r="N436" s="20"/>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row>
    <row r="437" spans="1:45" x14ac:dyDescent="0.3">
      <c r="A437" s="410" t="s">
        <v>1916</v>
      </c>
      <c r="B437" s="17"/>
      <c r="C437" s="19"/>
      <c r="D437" s="18"/>
      <c r="E437" s="18"/>
      <c r="F437" s="19"/>
      <c r="G437" s="31"/>
      <c r="H437" s="31"/>
      <c r="I437" s="19"/>
      <c r="J437" s="19"/>
      <c r="K437" s="21"/>
      <c r="L437" s="22"/>
      <c r="M437" s="19"/>
      <c r="N437" s="20"/>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row>
    <row r="438" spans="1:45" x14ac:dyDescent="0.3">
      <c r="A438" s="410" t="s">
        <v>1917</v>
      </c>
      <c r="B438" s="17"/>
      <c r="C438" s="19"/>
      <c r="D438" s="18"/>
      <c r="E438" s="18"/>
      <c r="F438" s="19"/>
      <c r="G438" s="31"/>
      <c r="H438" s="31"/>
      <c r="I438" s="19"/>
      <c r="J438" s="19"/>
      <c r="K438" s="21"/>
      <c r="L438" s="22"/>
      <c r="M438" s="19"/>
      <c r="N438" s="20"/>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row>
    <row r="439" spans="1:45" x14ac:dyDescent="0.3">
      <c r="A439" s="410" t="s">
        <v>1918</v>
      </c>
      <c r="B439" s="17"/>
      <c r="C439" s="19"/>
      <c r="D439" s="18"/>
      <c r="E439" s="18"/>
      <c r="F439" s="19"/>
      <c r="G439" s="31"/>
      <c r="H439" s="31"/>
      <c r="I439" s="19"/>
      <c r="J439" s="19"/>
      <c r="K439" s="21"/>
      <c r="L439" s="22"/>
      <c r="M439" s="19"/>
      <c r="N439" s="20"/>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row>
    <row r="440" spans="1:45" x14ac:dyDescent="0.3">
      <c r="A440" s="410" t="s">
        <v>1919</v>
      </c>
      <c r="B440" s="17"/>
      <c r="C440" s="19"/>
      <c r="D440" s="18"/>
      <c r="E440" s="18"/>
      <c r="F440" s="19"/>
      <c r="G440" s="31"/>
      <c r="H440" s="31"/>
      <c r="I440" s="19"/>
      <c r="J440" s="19"/>
      <c r="K440" s="21"/>
      <c r="L440" s="22"/>
      <c r="M440" s="19"/>
      <c r="N440" s="20"/>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row>
    <row r="441" spans="1:45" x14ac:dyDescent="0.3">
      <c r="A441" s="410" t="s">
        <v>1920</v>
      </c>
      <c r="B441" s="17"/>
      <c r="C441" s="19"/>
      <c r="D441" s="18"/>
      <c r="E441" s="18"/>
      <c r="F441" s="19"/>
      <c r="G441" s="31"/>
      <c r="H441" s="31"/>
      <c r="I441" s="19"/>
      <c r="J441" s="19"/>
      <c r="K441" s="21"/>
      <c r="L441" s="22"/>
      <c r="M441" s="19"/>
      <c r="N441" s="20"/>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row>
    <row r="442" spans="1:45" x14ac:dyDescent="0.3">
      <c r="A442" s="410" t="s">
        <v>1921</v>
      </c>
      <c r="B442" s="17"/>
      <c r="C442" s="19"/>
      <c r="D442" s="18"/>
      <c r="E442" s="18"/>
      <c r="F442" s="19"/>
      <c r="G442" s="31"/>
      <c r="H442" s="31"/>
      <c r="I442" s="19"/>
      <c r="J442" s="19"/>
      <c r="K442" s="21"/>
      <c r="L442" s="22"/>
      <c r="M442" s="19"/>
      <c r="N442" s="20"/>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row>
    <row r="443" spans="1:45" x14ac:dyDescent="0.3">
      <c r="A443" s="410" t="s">
        <v>1922</v>
      </c>
      <c r="B443" s="17"/>
      <c r="C443" s="19"/>
      <c r="D443" s="18"/>
      <c r="E443" s="18"/>
      <c r="F443" s="19"/>
      <c r="G443" s="31"/>
      <c r="H443" s="31"/>
      <c r="I443" s="19"/>
      <c r="J443" s="19"/>
      <c r="K443" s="21"/>
      <c r="L443" s="22"/>
      <c r="M443" s="19"/>
      <c r="N443" s="20"/>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row>
    <row r="444" spans="1:45" x14ac:dyDescent="0.3">
      <c r="A444" s="410" t="s">
        <v>1923</v>
      </c>
      <c r="B444" s="17"/>
      <c r="C444" s="19"/>
      <c r="D444" s="18"/>
      <c r="E444" s="18"/>
      <c r="F444" s="19"/>
      <c r="G444" s="31"/>
      <c r="H444" s="31"/>
      <c r="I444" s="19"/>
      <c r="J444" s="19"/>
      <c r="K444" s="21"/>
      <c r="L444" s="22"/>
      <c r="M444" s="19"/>
      <c r="N444" s="20"/>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row>
    <row r="445" spans="1:45" x14ac:dyDescent="0.3">
      <c r="A445" s="410" t="s">
        <v>1924</v>
      </c>
      <c r="B445" s="17"/>
      <c r="C445" s="19"/>
      <c r="D445" s="18"/>
      <c r="E445" s="18"/>
      <c r="F445" s="19"/>
      <c r="G445" s="31"/>
      <c r="H445" s="31"/>
      <c r="I445" s="19"/>
      <c r="J445" s="19"/>
      <c r="K445" s="21"/>
      <c r="L445" s="22"/>
      <c r="M445" s="19"/>
      <c r="N445" s="20"/>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row>
    <row r="446" spans="1:45" x14ac:dyDescent="0.3">
      <c r="A446" s="410" t="s">
        <v>1925</v>
      </c>
      <c r="B446" s="17"/>
      <c r="C446" s="19"/>
      <c r="D446" s="18"/>
      <c r="E446" s="18"/>
      <c r="F446" s="19"/>
      <c r="G446" s="31"/>
      <c r="H446" s="31"/>
      <c r="I446" s="19"/>
      <c r="J446" s="19"/>
      <c r="K446" s="21"/>
      <c r="L446" s="22"/>
      <c r="M446" s="19"/>
      <c r="N446" s="20"/>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row>
    <row r="447" spans="1:45" x14ac:dyDescent="0.3">
      <c r="A447" s="410" t="s">
        <v>1926</v>
      </c>
      <c r="B447" s="17"/>
      <c r="C447" s="19"/>
      <c r="D447" s="18"/>
      <c r="E447" s="18"/>
      <c r="F447" s="19"/>
      <c r="G447" s="31"/>
      <c r="H447" s="31"/>
      <c r="I447" s="19"/>
      <c r="J447" s="19"/>
      <c r="K447" s="21"/>
      <c r="L447" s="22"/>
      <c r="M447" s="19"/>
      <c r="N447" s="20"/>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row>
    <row r="448" spans="1:45" x14ac:dyDescent="0.3">
      <c r="A448" s="410" t="s">
        <v>1927</v>
      </c>
      <c r="B448" s="17"/>
      <c r="C448" s="19"/>
      <c r="D448" s="18"/>
      <c r="E448" s="18"/>
      <c r="F448" s="19"/>
      <c r="G448" s="31"/>
      <c r="H448" s="31"/>
      <c r="I448" s="19"/>
      <c r="J448" s="19"/>
      <c r="K448" s="21"/>
      <c r="L448" s="22"/>
      <c r="M448" s="19"/>
      <c r="N448" s="20"/>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row>
    <row r="449" spans="1:45" x14ac:dyDescent="0.3">
      <c r="A449" s="410" t="s">
        <v>1928</v>
      </c>
      <c r="B449" s="17"/>
      <c r="C449" s="19"/>
      <c r="D449" s="18"/>
      <c r="E449" s="18"/>
      <c r="F449" s="19"/>
      <c r="G449" s="31"/>
      <c r="H449" s="31"/>
      <c r="I449" s="19"/>
      <c r="J449" s="19"/>
      <c r="K449" s="21"/>
      <c r="L449" s="22"/>
      <c r="M449" s="19"/>
      <c r="N449" s="20"/>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row>
    <row r="450" spans="1:45" x14ac:dyDescent="0.3">
      <c r="A450" s="410" t="s">
        <v>1929</v>
      </c>
      <c r="B450" s="17"/>
      <c r="C450" s="19"/>
      <c r="D450" s="18"/>
      <c r="E450" s="18"/>
      <c r="F450" s="19"/>
      <c r="G450" s="31"/>
      <c r="H450" s="31"/>
      <c r="I450" s="19"/>
      <c r="J450" s="19"/>
      <c r="K450" s="21"/>
      <c r="L450" s="22"/>
      <c r="M450" s="19"/>
      <c r="N450" s="20"/>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row>
    <row r="451" spans="1:45" x14ac:dyDescent="0.3">
      <c r="A451" s="410" t="s">
        <v>1930</v>
      </c>
      <c r="B451" s="17"/>
      <c r="C451" s="19"/>
      <c r="D451" s="18"/>
      <c r="E451" s="18"/>
      <c r="F451" s="19"/>
      <c r="G451" s="31"/>
      <c r="H451" s="31"/>
      <c r="I451" s="19"/>
      <c r="J451" s="19"/>
      <c r="K451" s="21"/>
      <c r="L451" s="22"/>
      <c r="M451" s="19"/>
      <c r="N451" s="20"/>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row>
    <row r="452" spans="1:45" x14ac:dyDescent="0.3">
      <c r="A452" s="410" t="s">
        <v>1931</v>
      </c>
      <c r="B452" s="17"/>
      <c r="C452" s="19"/>
      <c r="D452" s="18"/>
      <c r="E452" s="18"/>
      <c r="F452" s="19"/>
      <c r="G452" s="31"/>
      <c r="H452" s="31"/>
      <c r="I452" s="19"/>
      <c r="J452" s="19"/>
      <c r="K452" s="21"/>
      <c r="L452" s="22"/>
      <c r="M452" s="19"/>
      <c r="N452" s="20"/>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row>
    <row r="453" spans="1:45" x14ac:dyDescent="0.3">
      <c r="A453" s="410" t="s">
        <v>1932</v>
      </c>
      <c r="B453" s="17"/>
      <c r="C453" s="19"/>
      <c r="D453" s="18"/>
      <c r="E453" s="18"/>
      <c r="F453" s="19"/>
      <c r="G453" s="31"/>
      <c r="H453" s="31"/>
      <c r="I453" s="19"/>
      <c r="J453" s="19"/>
      <c r="K453" s="21"/>
      <c r="L453" s="22"/>
      <c r="M453" s="19"/>
      <c r="N453" s="20"/>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row>
    <row r="454" spans="1:45" x14ac:dyDescent="0.3">
      <c r="A454" s="410" t="s">
        <v>1933</v>
      </c>
      <c r="B454" s="17"/>
      <c r="C454" s="19"/>
      <c r="D454" s="18"/>
      <c r="E454" s="18"/>
      <c r="F454" s="19"/>
      <c r="G454" s="31"/>
      <c r="H454" s="31"/>
      <c r="I454" s="19"/>
      <c r="J454" s="19"/>
      <c r="K454" s="21"/>
      <c r="L454" s="22"/>
      <c r="M454" s="19"/>
      <c r="N454" s="20"/>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row>
    <row r="455" spans="1:45" x14ac:dyDescent="0.3">
      <c r="A455" s="410" t="s">
        <v>1934</v>
      </c>
      <c r="B455" s="17"/>
      <c r="C455" s="19"/>
      <c r="D455" s="18"/>
      <c r="E455" s="18"/>
      <c r="F455" s="19"/>
      <c r="G455" s="31"/>
      <c r="H455" s="31"/>
      <c r="I455" s="19"/>
      <c r="J455" s="19"/>
      <c r="K455" s="21"/>
      <c r="L455" s="22"/>
      <c r="M455" s="19"/>
      <c r="N455" s="20"/>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row>
    <row r="456" spans="1:45" x14ac:dyDescent="0.3">
      <c r="A456" s="410" t="s">
        <v>1935</v>
      </c>
      <c r="B456" s="17"/>
      <c r="C456" s="19"/>
      <c r="D456" s="18"/>
      <c r="E456" s="18"/>
      <c r="F456" s="19"/>
      <c r="G456" s="31"/>
      <c r="H456" s="31"/>
      <c r="I456" s="19"/>
      <c r="J456" s="19"/>
      <c r="K456" s="21"/>
      <c r="L456" s="22"/>
      <c r="M456" s="19"/>
      <c r="N456" s="20"/>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row>
    <row r="457" spans="1:45" x14ac:dyDescent="0.3">
      <c r="A457" s="410" t="s">
        <v>1936</v>
      </c>
      <c r="B457" s="17"/>
      <c r="C457" s="19"/>
      <c r="D457" s="18"/>
      <c r="E457" s="18"/>
      <c r="F457" s="19"/>
      <c r="G457" s="31"/>
      <c r="H457" s="31"/>
      <c r="I457" s="19"/>
      <c r="J457" s="19"/>
      <c r="K457" s="21"/>
      <c r="L457" s="22"/>
      <c r="M457" s="19"/>
      <c r="N457" s="20"/>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row>
    <row r="458" spans="1:45" x14ac:dyDescent="0.3">
      <c r="A458" s="410" t="s">
        <v>1937</v>
      </c>
      <c r="B458" s="17"/>
      <c r="C458" s="19"/>
      <c r="D458" s="18"/>
      <c r="E458" s="18"/>
      <c r="F458" s="19"/>
      <c r="G458" s="31"/>
      <c r="H458" s="31"/>
      <c r="I458" s="19"/>
      <c r="J458" s="19"/>
      <c r="K458" s="21"/>
      <c r="L458" s="22"/>
      <c r="M458" s="19"/>
      <c r="N458" s="20"/>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row>
    <row r="459" spans="1:45" x14ac:dyDescent="0.3">
      <c r="A459" s="410" t="s">
        <v>1938</v>
      </c>
      <c r="B459" s="17"/>
      <c r="C459" s="19"/>
      <c r="D459" s="18"/>
      <c r="E459" s="18"/>
      <c r="F459" s="19"/>
      <c r="G459" s="31"/>
      <c r="H459" s="31"/>
      <c r="I459" s="19"/>
      <c r="J459" s="19"/>
      <c r="K459" s="21"/>
      <c r="L459" s="22"/>
      <c r="M459" s="19"/>
      <c r="N459" s="20"/>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row>
    <row r="460" spans="1:45" x14ac:dyDescent="0.3">
      <c r="A460" s="410" t="s">
        <v>1939</v>
      </c>
      <c r="B460" s="17"/>
      <c r="C460" s="19"/>
      <c r="D460" s="18"/>
      <c r="E460" s="18"/>
      <c r="F460" s="19"/>
      <c r="G460" s="31"/>
      <c r="H460" s="31"/>
      <c r="I460" s="19"/>
      <c r="J460" s="19"/>
      <c r="K460" s="21"/>
      <c r="L460" s="22"/>
      <c r="M460" s="19"/>
      <c r="N460" s="20"/>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row>
    <row r="461" spans="1:45" x14ac:dyDescent="0.3">
      <c r="A461" s="410" t="s">
        <v>1940</v>
      </c>
      <c r="B461" s="17"/>
      <c r="C461" s="19"/>
      <c r="D461" s="18"/>
      <c r="E461" s="18"/>
      <c r="F461" s="19"/>
      <c r="G461" s="31"/>
      <c r="H461" s="31"/>
      <c r="I461" s="19"/>
      <c r="J461" s="19"/>
      <c r="K461" s="21"/>
      <c r="L461" s="22"/>
      <c r="M461" s="19"/>
      <c r="N461" s="20"/>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row>
    <row r="462" spans="1:45" x14ac:dyDescent="0.3">
      <c r="A462" s="410" t="s">
        <v>1941</v>
      </c>
      <c r="B462" s="17"/>
      <c r="C462" s="19"/>
      <c r="D462" s="18"/>
      <c r="E462" s="18"/>
      <c r="F462" s="19"/>
      <c r="G462" s="31"/>
      <c r="H462" s="31"/>
      <c r="I462" s="19"/>
      <c r="J462" s="19"/>
      <c r="K462" s="21"/>
      <c r="L462" s="22"/>
      <c r="M462" s="19"/>
      <c r="N462" s="20"/>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row>
    <row r="463" spans="1:45" x14ac:dyDescent="0.3">
      <c r="A463" s="410" t="s">
        <v>1942</v>
      </c>
      <c r="B463" s="17"/>
      <c r="C463" s="19"/>
      <c r="D463" s="18"/>
      <c r="E463" s="18"/>
      <c r="F463" s="19"/>
      <c r="G463" s="31"/>
      <c r="H463" s="31"/>
      <c r="I463" s="19"/>
      <c r="J463" s="19"/>
      <c r="K463" s="21"/>
      <c r="L463" s="22"/>
      <c r="M463" s="19"/>
      <c r="N463" s="20"/>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row>
    <row r="464" spans="1:45" x14ac:dyDescent="0.3">
      <c r="A464" s="410" t="s">
        <v>1943</v>
      </c>
      <c r="B464" s="17"/>
      <c r="C464" s="19"/>
      <c r="D464" s="18"/>
      <c r="E464" s="18"/>
      <c r="F464" s="19"/>
      <c r="G464" s="31"/>
      <c r="H464" s="31"/>
      <c r="I464" s="19"/>
      <c r="J464" s="19"/>
      <c r="K464" s="21"/>
      <c r="L464" s="22"/>
      <c r="M464" s="19"/>
      <c r="N464" s="20"/>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row>
    <row r="465" spans="1:45" x14ac:dyDescent="0.3">
      <c r="A465" s="410" t="s">
        <v>1944</v>
      </c>
      <c r="B465" s="17"/>
      <c r="C465" s="19"/>
      <c r="D465" s="18"/>
      <c r="E465" s="18"/>
      <c r="F465" s="19"/>
      <c r="G465" s="31"/>
      <c r="H465" s="31"/>
      <c r="I465" s="19"/>
      <c r="J465" s="19"/>
      <c r="K465" s="21"/>
      <c r="L465" s="22"/>
      <c r="M465" s="19"/>
      <c r="N465" s="20"/>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row>
    <row r="466" spans="1:45" x14ac:dyDescent="0.3">
      <c r="A466" s="410" t="s">
        <v>1945</v>
      </c>
      <c r="B466" s="17"/>
      <c r="C466" s="19"/>
      <c r="D466" s="18"/>
      <c r="E466" s="18"/>
      <c r="F466" s="19"/>
      <c r="G466" s="31"/>
      <c r="H466" s="31"/>
      <c r="I466" s="19"/>
      <c r="J466" s="19"/>
      <c r="K466" s="21"/>
      <c r="L466" s="22"/>
      <c r="M466" s="19"/>
      <c r="N466" s="20"/>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row>
    <row r="467" spans="1:45" x14ac:dyDescent="0.3">
      <c r="A467" s="410" t="s">
        <v>1946</v>
      </c>
      <c r="B467" s="17"/>
      <c r="C467" s="19"/>
      <c r="D467" s="18"/>
      <c r="E467" s="18"/>
      <c r="F467" s="19"/>
      <c r="G467" s="31"/>
      <c r="H467" s="31"/>
      <c r="I467" s="19"/>
      <c r="J467" s="19"/>
      <c r="K467" s="21"/>
      <c r="L467" s="22"/>
      <c r="M467" s="19"/>
      <c r="N467" s="20"/>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row>
    <row r="468" spans="1:45" x14ac:dyDescent="0.3">
      <c r="A468" s="410" t="s">
        <v>1947</v>
      </c>
      <c r="B468" s="17"/>
      <c r="C468" s="19"/>
      <c r="D468" s="18"/>
      <c r="E468" s="18"/>
      <c r="F468" s="19"/>
      <c r="G468" s="31"/>
      <c r="H468" s="31"/>
      <c r="I468" s="19"/>
      <c r="J468" s="19"/>
      <c r="K468" s="21"/>
      <c r="L468" s="22"/>
      <c r="M468" s="19"/>
      <c r="N468" s="20"/>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row>
    <row r="469" spans="1:45" x14ac:dyDescent="0.3">
      <c r="A469" s="410" t="s">
        <v>1948</v>
      </c>
      <c r="B469" s="17"/>
      <c r="C469" s="19"/>
      <c r="D469" s="18"/>
      <c r="E469" s="18"/>
      <c r="F469" s="19"/>
      <c r="G469" s="31"/>
      <c r="H469" s="31"/>
      <c r="I469" s="19"/>
      <c r="J469" s="19"/>
      <c r="K469" s="21"/>
      <c r="L469" s="22"/>
      <c r="M469" s="19"/>
      <c r="N469" s="20"/>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row>
    <row r="470" spans="1:45" x14ac:dyDescent="0.3">
      <c r="A470" s="410" t="s">
        <v>1949</v>
      </c>
      <c r="B470" s="17"/>
      <c r="C470" s="19"/>
      <c r="D470" s="18"/>
      <c r="E470" s="18"/>
      <c r="F470" s="19"/>
      <c r="G470" s="31"/>
      <c r="H470" s="31"/>
      <c r="I470" s="19"/>
      <c r="J470" s="19"/>
      <c r="K470" s="21"/>
      <c r="L470" s="22"/>
      <c r="M470" s="19"/>
      <c r="N470" s="20"/>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row>
    <row r="471" spans="1:45" x14ac:dyDescent="0.3">
      <c r="A471" s="410" t="s">
        <v>1950</v>
      </c>
      <c r="B471" s="17"/>
      <c r="C471" s="19"/>
      <c r="D471" s="18"/>
      <c r="E471" s="18"/>
      <c r="F471" s="19"/>
      <c r="G471" s="31"/>
      <c r="H471" s="31"/>
      <c r="I471" s="19"/>
      <c r="J471" s="19"/>
      <c r="K471" s="21"/>
      <c r="L471" s="22"/>
      <c r="M471" s="19"/>
      <c r="N471" s="20"/>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row>
    <row r="472" spans="1:45" x14ac:dyDescent="0.3">
      <c r="A472" s="410" t="s">
        <v>1951</v>
      </c>
      <c r="B472" s="17"/>
      <c r="C472" s="19"/>
      <c r="D472" s="18"/>
      <c r="E472" s="18"/>
      <c r="F472" s="19"/>
      <c r="G472" s="31"/>
      <c r="H472" s="31"/>
      <c r="I472" s="19"/>
      <c r="J472" s="19"/>
      <c r="K472" s="21"/>
      <c r="L472" s="22"/>
      <c r="M472" s="19"/>
      <c r="N472" s="20"/>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row>
    <row r="473" spans="1:45" x14ac:dyDescent="0.3">
      <c r="A473" s="410" t="s">
        <v>1952</v>
      </c>
      <c r="B473" s="17"/>
      <c r="C473" s="19"/>
      <c r="D473" s="18"/>
      <c r="E473" s="18"/>
      <c r="F473" s="19"/>
      <c r="G473" s="31"/>
      <c r="H473" s="31"/>
      <c r="I473" s="19"/>
      <c r="J473" s="19"/>
      <c r="K473" s="21"/>
      <c r="L473" s="22"/>
      <c r="M473" s="19"/>
      <c r="N473" s="20"/>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row>
    <row r="474" spans="1:45" x14ac:dyDescent="0.3">
      <c r="A474" s="410" t="s">
        <v>1953</v>
      </c>
      <c r="B474" s="17"/>
      <c r="C474" s="19"/>
      <c r="D474" s="18"/>
      <c r="E474" s="18"/>
      <c r="F474" s="19"/>
      <c r="G474" s="31"/>
      <c r="H474" s="31"/>
      <c r="I474" s="19"/>
      <c r="J474" s="19"/>
      <c r="K474" s="21"/>
      <c r="L474" s="22"/>
      <c r="M474" s="19"/>
      <c r="N474" s="20"/>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row>
    <row r="475" spans="1:45" x14ac:dyDescent="0.3">
      <c r="A475" s="410" t="s">
        <v>1954</v>
      </c>
      <c r="B475" s="17"/>
      <c r="C475" s="19"/>
      <c r="D475" s="18"/>
      <c r="E475" s="18"/>
      <c r="F475" s="19"/>
      <c r="G475" s="31"/>
      <c r="H475" s="31"/>
      <c r="I475" s="19"/>
      <c r="J475" s="19"/>
      <c r="K475" s="21"/>
      <c r="L475" s="22"/>
      <c r="M475" s="19"/>
      <c r="N475" s="20"/>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row>
    <row r="476" spans="1:45" x14ac:dyDescent="0.3">
      <c r="A476" s="410" t="s">
        <v>1955</v>
      </c>
      <c r="B476" s="17"/>
      <c r="C476" s="19"/>
      <c r="D476" s="18"/>
      <c r="E476" s="18"/>
      <c r="F476" s="19"/>
      <c r="G476" s="31"/>
      <c r="H476" s="31"/>
      <c r="I476" s="19"/>
      <c r="J476" s="19"/>
      <c r="K476" s="21"/>
      <c r="L476" s="22"/>
      <c r="M476" s="19"/>
      <c r="N476" s="20"/>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row>
    <row r="477" spans="1:45" x14ac:dyDescent="0.3">
      <c r="A477" s="410" t="s">
        <v>1956</v>
      </c>
      <c r="B477" s="17"/>
      <c r="C477" s="19"/>
      <c r="D477" s="18"/>
      <c r="E477" s="18"/>
      <c r="F477" s="19"/>
      <c r="G477" s="31"/>
      <c r="H477" s="31"/>
      <c r="I477" s="19"/>
      <c r="J477" s="19"/>
      <c r="K477" s="21"/>
      <c r="L477" s="22"/>
      <c r="M477" s="19"/>
      <c r="N477" s="20"/>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row>
    <row r="478" spans="1:45" x14ac:dyDescent="0.3">
      <c r="A478" s="410" t="s">
        <v>1957</v>
      </c>
      <c r="B478" s="17"/>
      <c r="C478" s="19"/>
      <c r="D478" s="18"/>
      <c r="E478" s="18"/>
      <c r="F478" s="19"/>
      <c r="G478" s="31"/>
      <c r="H478" s="31"/>
      <c r="I478" s="19"/>
      <c r="J478" s="19"/>
      <c r="K478" s="21"/>
      <c r="L478" s="22"/>
      <c r="M478" s="19"/>
      <c r="N478" s="20"/>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row>
    <row r="479" spans="1:45" x14ac:dyDescent="0.3">
      <c r="A479" s="410" t="s">
        <v>1958</v>
      </c>
      <c r="B479" s="17"/>
      <c r="C479" s="19"/>
      <c r="D479" s="18"/>
      <c r="E479" s="18"/>
      <c r="F479" s="19"/>
      <c r="G479" s="31"/>
      <c r="H479" s="31"/>
      <c r="I479" s="19"/>
      <c r="J479" s="19"/>
      <c r="K479" s="21"/>
      <c r="L479" s="22"/>
      <c r="M479" s="19"/>
      <c r="N479" s="20"/>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row>
    <row r="480" spans="1:45" x14ac:dyDescent="0.3">
      <c r="A480" s="410" t="s">
        <v>1959</v>
      </c>
      <c r="B480" s="17"/>
      <c r="C480" s="19"/>
      <c r="D480" s="18"/>
      <c r="E480" s="18"/>
      <c r="F480" s="19"/>
      <c r="G480" s="31"/>
      <c r="H480" s="31"/>
      <c r="I480" s="19"/>
      <c r="J480" s="19"/>
      <c r="K480" s="21"/>
      <c r="L480" s="22"/>
      <c r="M480" s="19"/>
      <c r="N480" s="20"/>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row>
    <row r="481" spans="1:45" x14ac:dyDescent="0.3">
      <c r="A481" s="410" t="s">
        <v>1960</v>
      </c>
      <c r="B481" s="17"/>
      <c r="C481" s="19"/>
      <c r="D481" s="18"/>
      <c r="E481" s="18"/>
      <c r="F481" s="19"/>
      <c r="G481" s="31"/>
      <c r="H481" s="31"/>
      <c r="I481" s="19"/>
      <c r="J481" s="19"/>
      <c r="K481" s="21"/>
      <c r="L481" s="22"/>
      <c r="M481" s="19"/>
      <c r="N481" s="20"/>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row>
    <row r="482" spans="1:45" x14ac:dyDescent="0.3">
      <c r="A482" s="410" t="s">
        <v>1961</v>
      </c>
      <c r="B482" s="17"/>
      <c r="C482" s="19"/>
      <c r="D482" s="18"/>
      <c r="E482" s="18"/>
      <c r="F482" s="19"/>
      <c r="G482" s="31"/>
      <c r="H482" s="31"/>
      <c r="I482" s="19"/>
      <c r="J482" s="19"/>
      <c r="K482" s="21"/>
      <c r="L482" s="22"/>
      <c r="M482" s="19"/>
      <c r="N482" s="20"/>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row>
    <row r="483" spans="1:45" x14ac:dyDescent="0.3">
      <c r="A483" s="410" t="s">
        <v>1962</v>
      </c>
      <c r="B483" s="17"/>
      <c r="C483" s="19"/>
      <c r="D483" s="18"/>
      <c r="E483" s="18"/>
      <c r="F483" s="19"/>
      <c r="G483" s="31"/>
      <c r="H483" s="31"/>
      <c r="I483" s="19"/>
      <c r="J483" s="19"/>
      <c r="K483" s="21"/>
      <c r="L483" s="22"/>
      <c r="M483" s="19"/>
      <c r="N483" s="20"/>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row>
    <row r="484" spans="1:45" x14ac:dyDescent="0.3">
      <c r="A484" s="410" t="s">
        <v>1963</v>
      </c>
      <c r="B484" s="17"/>
      <c r="C484" s="19"/>
      <c r="D484" s="18"/>
      <c r="E484" s="18"/>
      <c r="F484" s="19"/>
      <c r="G484" s="31"/>
      <c r="H484" s="31"/>
      <c r="I484" s="19"/>
      <c r="J484" s="19"/>
      <c r="K484" s="21"/>
      <c r="L484" s="22"/>
      <c r="M484" s="19"/>
      <c r="N484" s="20"/>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row>
    <row r="485" spans="1:45" x14ac:dyDescent="0.3">
      <c r="A485" s="410" t="s">
        <v>1964</v>
      </c>
      <c r="B485" s="17"/>
      <c r="C485" s="19"/>
      <c r="D485" s="18"/>
      <c r="E485" s="18"/>
      <c r="F485" s="19"/>
      <c r="G485" s="31"/>
      <c r="H485" s="31"/>
      <c r="I485" s="19"/>
      <c r="J485" s="19"/>
      <c r="K485" s="21"/>
      <c r="L485" s="22"/>
      <c r="M485" s="19"/>
      <c r="N485" s="20"/>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row>
    <row r="486" spans="1:45" x14ac:dyDescent="0.3">
      <c r="A486" s="410" t="s">
        <v>1965</v>
      </c>
      <c r="B486" s="17"/>
      <c r="C486" s="19"/>
      <c r="D486" s="18"/>
      <c r="E486" s="18"/>
      <c r="F486" s="19"/>
      <c r="G486" s="31"/>
      <c r="H486" s="31"/>
      <c r="I486" s="19"/>
      <c r="J486" s="19"/>
      <c r="K486" s="21"/>
      <c r="L486" s="22"/>
      <c r="M486" s="19"/>
      <c r="N486" s="20"/>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row>
    <row r="487" spans="1:45" x14ac:dyDescent="0.3">
      <c r="A487" s="410"/>
      <c r="B487" s="17"/>
      <c r="C487" s="19"/>
      <c r="D487" s="18"/>
      <c r="E487" s="18"/>
      <c r="F487" s="19"/>
      <c r="G487" s="31"/>
      <c r="H487" s="31"/>
      <c r="I487" s="19"/>
      <c r="J487" s="19"/>
      <c r="K487" s="21"/>
      <c r="L487" s="22"/>
      <c r="M487" s="19"/>
      <c r="N487" s="20"/>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row>
    <row r="488" spans="1:45" x14ac:dyDescent="0.3">
      <c r="A488" s="410" t="s">
        <v>1966</v>
      </c>
      <c r="B488" s="17" t="s">
        <v>1967</v>
      </c>
      <c r="C488" s="19" t="s">
        <v>1368</v>
      </c>
      <c r="D488" s="19">
        <v>23194437</v>
      </c>
      <c r="E488" s="17"/>
      <c r="F488" s="19"/>
      <c r="G488" s="31"/>
      <c r="H488" s="31"/>
      <c r="I488" s="19"/>
      <c r="J488" s="19"/>
      <c r="K488" s="21"/>
      <c r="L488" s="22"/>
      <c r="M488" s="19"/>
      <c r="N488" s="20"/>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row>
    <row r="489" spans="1:45" x14ac:dyDescent="0.3">
      <c r="A489" s="410" t="s">
        <v>1968</v>
      </c>
      <c r="B489" s="17" t="s">
        <v>1969</v>
      </c>
      <c r="C489" s="19" t="s">
        <v>1368</v>
      </c>
      <c r="D489" s="19">
        <v>23196464</v>
      </c>
      <c r="E489" s="17"/>
      <c r="F489" s="19"/>
      <c r="G489" s="31"/>
      <c r="H489" s="31"/>
      <c r="I489" s="19"/>
      <c r="J489" s="19"/>
      <c r="K489" s="21"/>
      <c r="L489" s="22"/>
      <c r="M489" s="19"/>
      <c r="N489" s="20"/>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row>
    <row r="490" spans="1:45" x14ac:dyDescent="0.3">
      <c r="A490" s="410" t="s">
        <v>1970</v>
      </c>
      <c r="B490" s="17" t="s">
        <v>1971</v>
      </c>
      <c r="C490" s="19" t="s">
        <v>1368</v>
      </c>
      <c r="D490" s="19">
        <v>23196603</v>
      </c>
      <c r="E490" s="17"/>
      <c r="F490" s="19"/>
      <c r="G490" s="31"/>
      <c r="H490" s="31"/>
      <c r="I490" s="19"/>
      <c r="J490" s="19"/>
      <c r="K490" s="21"/>
      <c r="L490" s="22"/>
      <c r="M490" s="19"/>
      <c r="N490" s="20"/>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row>
    <row r="491" spans="1:45" x14ac:dyDescent="0.3">
      <c r="A491" s="410" t="s">
        <v>1972</v>
      </c>
      <c r="B491" s="17" t="s">
        <v>1973</v>
      </c>
      <c r="C491" s="19" t="s">
        <v>1368</v>
      </c>
      <c r="D491" s="19">
        <v>23189718</v>
      </c>
      <c r="E491" s="17"/>
      <c r="F491" s="19"/>
      <c r="G491" s="31"/>
      <c r="H491" s="31"/>
      <c r="I491" s="19"/>
      <c r="J491" s="19"/>
      <c r="K491" s="21"/>
      <c r="L491" s="22"/>
      <c r="M491" s="19"/>
      <c r="N491" s="20"/>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row>
    <row r="492" spans="1:45" x14ac:dyDescent="0.3">
      <c r="A492" s="410" t="s">
        <v>1974</v>
      </c>
      <c r="B492" s="17" t="s">
        <v>1975</v>
      </c>
      <c r="C492" s="19" t="s">
        <v>1368</v>
      </c>
      <c r="D492" s="19">
        <v>23214796</v>
      </c>
      <c r="E492" s="17"/>
      <c r="F492" s="19"/>
      <c r="G492" s="31"/>
      <c r="H492" s="31"/>
      <c r="I492" s="19"/>
      <c r="J492" s="19"/>
      <c r="K492" s="21"/>
      <c r="L492" s="22"/>
      <c r="M492" s="19"/>
      <c r="N492" s="20"/>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row>
    <row r="493" spans="1:45" x14ac:dyDescent="0.3">
      <c r="A493" s="410" t="s">
        <v>1976</v>
      </c>
      <c r="B493" s="17" t="s">
        <v>1977</v>
      </c>
      <c r="C493" s="19" t="s">
        <v>1381</v>
      </c>
      <c r="D493" s="18" t="s">
        <v>210</v>
      </c>
      <c r="E493" s="17"/>
      <c r="F493" s="19"/>
      <c r="G493" s="31">
        <v>45363</v>
      </c>
      <c r="H493" s="31">
        <v>45728</v>
      </c>
      <c r="I493" s="19" t="s">
        <v>1372</v>
      </c>
      <c r="J493" s="19" t="s">
        <v>1373</v>
      </c>
      <c r="K493" s="21" t="s">
        <v>1372</v>
      </c>
      <c r="L493" s="22" t="s">
        <v>1373</v>
      </c>
      <c r="M493" s="19" t="s">
        <v>1461</v>
      </c>
      <c r="N493" s="20" t="s">
        <v>1462</v>
      </c>
      <c r="O493" s="19" t="s">
        <v>1372</v>
      </c>
      <c r="P493" s="19" t="s">
        <v>1372</v>
      </c>
      <c r="Q493" s="19" t="s">
        <v>1372</v>
      </c>
      <c r="R493" s="19" t="s">
        <v>1372</v>
      </c>
      <c r="S493" s="19" t="s">
        <v>1372</v>
      </c>
      <c r="T493" s="19" t="s">
        <v>1372</v>
      </c>
      <c r="U493" s="19" t="s">
        <v>1372</v>
      </c>
      <c r="V493" s="19"/>
      <c r="W493" s="19" t="s">
        <v>1382</v>
      </c>
      <c r="X493" s="19"/>
      <c r="Y493" s="19"/>
      <c r="Z493" s="19" t="s">
        <v>1372</v>
      </c>
      <c r="AA493" s="19"/>
      <c r="AB493" s="19"/>
      <c r="AC493" s="19"/>
      <c r="AD493" s="19"/>
      <c r="AE493" s="19"/>
      <c r="AF493" s="19"/>
      <c r="AG493" s="19"/>
      <c r="AH493" s="19"/>
      <c r="AI493" s="19"/>
      <c r="AJ493" s="19"/>
      <c r="AK493" s="19"/>
      <c r="AL493" s="19"/>
      <c r="AM493" s="19"/>
      <c r="AN493" s="19"/>
      <c r="AO493" s="19"/>
      <c r="AP493" s="19"/>
      <c r="AQ493" s="19"/>
      <c r="AR493" s="19"/>
      <c r="AS493" s="19"/>
    </row>
    <row r="494" spans="1:45" x14ac:dyDescent="0.3">
      <c r="A494" s="410" t="s">
        <v>1978</v>
      </c>
      <c r="B494" s="17" t="s">
        <v>1979</v>
      </c>
      <c r="C494" s="19" t="s">
        <v>1368</v>
      </c>
      <c r="D494" s="19">
        <v>23217008</v>
      </c>
      <c r="E494" s="17"/>
      <c r="F494" s="19"/>
      <c r="G494" s="31"/>
      <c r="H494" s="31"/>
      <c r="I494" s="19"/>
      <c r="J494" s="19"/>
      <c r="K494" s="21"/>
      <c r="L494" s="22"/>
      <c r="M494" s="19"/>
      <c r="N494" s="20"/>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row>
    <row r="495" spans="1:45" x14ac:dyDescent="0.3">
      <c r="A495" s="410" t="s">
        <v>1980</v>
      </c>
      <c r="B495" s="17" t="s">
        <v>1981</v>
      </c>
      <c r="C495" s="19" t="s">
        <v>1368</v>
      </c>
      <c r="D495" s="19">
        <v>23137563</v>
      </c>
      <c r="E495" s="17"/>
      <c r="F495" s="19"/>
      <c r="G495" s="31"/>
      <c r="H495" s="31"/>
      <c r="I495" s="19"/>
      <c r="J495" s="19"/>
      <c r="K495" s="21"/>
      <c r="L495" s="22"/>
      <c r="M495" s="19"/>
      <c r="N495" s="20"/>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row>
    <row r="496" spans="1:45" x14ac:dyDescent="0.3">
      <c r="A496" s="410" t="s">
        <v>1982</v>
      </c>
      <c r="B496" s="17" t="s">
        <v>1983</v>
      </c>
      <c r="C496" s="19" t="s">
        <v>1368</v>
      </c>
      <c r="D496" s="19">
        <v>23148470</v>
      </c>
      <c r="E496" s="17"/>
      <c r="F496" s="19"/>
      <c r="G496" s="31"/>
      <c r="H496" s="31"/>
      <c r="I496" s="19"/>
      <c r="J496" s="19"/>
      <c r="K496" s="21"/>
      <c r="L496" s="22"/>
      <c r="M496" s="19"/>
      <c r="N496" s="20"/>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row>
    <row r="497" spans="1:45" x14ac:dyDescent="0.3">
      <c r="A497" s="410" t="s">
        <v>1984</v>
      </c>
      <c r="B497" s="17" t="s">
        <v>1985</v>
      </c>
      <c r="C497" s="19" t="s">
        <v>1368</v>
      </c>
      <c r="D497" s="19">
        <v>23193547</v>
      </c>
      <c r="E497" s="17"/>
      <c r="F497" s="19"/>
      <c r="G497" s="31"/>
      <c r="H497" s="31"/>
      <c r="I497" s="19"/>
      <c r="J497" s="19"/>
      <c r="K497" s="21"/>
      <c r="L497" s="22"/>
      <c r="M497" s="19"/>
      <c r="N497" s="20"/>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row>
    <row r="498" spans="1:45" x14ac:dyDescent="0.3">
      <c r="A498" s="410" t="s">
        <v>1986</v>
      </c>
      <c r="B498" s="17" t="s">
        <v>1987</v>
      </c>
      <c r="C498" s="19" t="s">
        <v>1368</v>
      </c>
      <c r="D498" s="19">
        <v>23202013</v>
      </c>
      <c r="E498" s="17"/>
      <c r="F498" s="19"/>
      <c r="G498" s="31"/>
      <c r="H498" s="31"/>
      <c r="I498" s="19"/>
      <c r="J498" s="19"/>
      <c r="K498" s="21"/>
      <c r="L498" s="22"/>
      <c r="M498" s="19"/>
      <c r="N498" s="20"/>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row>
    <row r="499" spans="1:45" x14ac:dyDescent="0.3">
      <c r="A499" s="410" t="s">
        <v>1988</v>
      </c>
      <c r="B499" s="17"/>
      <c r="C499" s="19"/>
      <c r="D499" s="18"/>
      <c r="E499" s="18"/>
      <c r="F499" s="19"/>
      <c r="G499" s="31"/>
      <c r="H499" s="31"/>
      <c r="I499" s="19"/>
      <c r="J499" s="19"/>
      <c r="K499" s="21"/>
      <c r="L499" s="22"/>
      <c r="M499" s="19"/>
      <c r="N499" s="20"/>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row>
    <row r="500" spans="1:45" x14ac:dyDescent="0.3">
      <c r="A500" s="410" t="s">
        <v>1989</v>
      </c>
      <c r="B500" s="17"/>
      <c r="C500" s="19"/>
      <c r="D500" s="18"/>
      <c r="E500" s="18"/>
      <c r="F500" s="19"/>
      <c r="G500" s="31"/>
      <c r="H500" s="31"/>
      <c r="I500" s="19"/>
      <c r="J500" s="19"/>
      <c r="K500" s="21"/>
      <c r="L500" s="22"/>
      <c r="M500" s="19"/>
      <c r="N500" s="20"/>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row>
    <row r="501" spans="1:45" x14ac:dyDescent="0.3">
      <c r="A501" s="410" t="s">
        <v>1990</v>
      </c>
      <c r="B501" s="17"/>
      <c r="C501" s="19"/>
      <c r="D501" s="18"/>
      <c r="E501" s="18"/>
      <c r="F501" s="19"/>
      <c r="G501" s="31"/>
      <c r="H501" s="31"/>
      <c r="I501" s="19"/>
      <c r="J501" s="19"/>
      <c r="K501" s="21"/>
      <c r="L501" s="22"/>
      <c r="M501" s="19"/>
      <c r="N501" s="20"/>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row>
    <row r="502" spans="1:45" x14ac:dyDescent="0.3">
      <c r="A502" s="410" t="s">
        <v>1991</v>
      </c>
      <c r="B502" s="17"/>
      <c r="C502" s="19"/>
      <c r="D502" s="18"/>
      <c r="E502" s="18"/>
      <c r="F502" s="19"/>
      <c r="G502" s="31"/>
      <c r="H502" s="31"/>
      <c r="I502" s="19"/>
      <c r="J502" s="19"/>
      <c r="K502" s="21"/>
      <c r="L502" s="22"/>
      <c r="M502" s="19"/>
      <c r="N502" s="20"/>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row>
    <row r="503" spans="1:45" x14ac:dyDescent="0.3">
      <c r="A503" s="410" t="s">
        <v>1992</v>
      </c>
      <c r="B503" s="17"/>
      <c r="C503" s="19"/>
      <c r="D503" s="18"/>
      <c r="E503" s="18"/>
      <c r="F503" s="19"/>
      <c r="G503" s="31"/>
      <c r="H503" s="31"/>
      <c r="I503" s="19"/>
      <c r="J503" s="19"/>
      <c r="K503" s="21"/>
      <c r="L503" s="22"/>
      <c r="M503" s="19"/>
      <c r="N503" s="20"/>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row>
    <row r="504" spans="1:45" x14ac:dyDescent="0.3">
      <c r="A504" s="410" t="s">
        <v>1993</v>
      </c>
      <c r="B504" s="17"/>
      <c r="C504" s="19"/>
      <c r="D504" s="18"/>
      <c r="E504" s="18"/>
      <c r="F504" s="19"/>
      <c r="G504" s="31"/>
      <c r="H504" s="31"/>
      <c r="I504" s="19"/>
      <c r="J504" s="19"/>
      <c r="K504" s="21"/>
      <c r="L504" s="22"/>
      <c r="M504" s="19"/>
      <c r="N504" s="20"/>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row>
    <row r="505" spans="1:45" x14ac:dyDescent="0.3">
      <c r="A505" s="410" t="s">
        <v>1994</v>
      </c>
      <c r="B505" s="17"/>
      <c r="C505" s="19"/>
      <c r="D505" s="18"/>
      <c r="E505" s="18"/>
      <c r="F505" s="19"/>
      <c r="G505" s="31"/>
      <c r="H505" s="31"/>
      <c r="I505" s="19"/>
      <c r="J505" s="19"/>
      <c r="K505" s="21"/>
      <c r="L505" s="22"/>
      <c r="M505" s="19"/>
      <c r="N505" s="20"/>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row>
    <row r="506" spans="1:45" x14ac:dyDescent="0.3">
      <c r="A506" s="410" t="s">
        <v>1995</v>
      </c>
      <c r="B506" s="17"/>
      <c r="C506" s="19"/>
      <c r="D506" s="18"/>
      <c r="E506" s="18"/>
      <c r="F506" s="19"/>
      <c r="G506" s="31"/>
      <c r="H506" s="31"/>
      <c r="I506" s="19"/>
      <c r="J506" s="19"/>
      <c r="K506" s="21"/>
      <c r="L506" s="22"/>
      <c r="M506" s="19"/>
      <c r="N506" s="20"/>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row>
    <row r="507" spans="1:45" x14ac:dyDescent="0.3">
      <c r="A507" s="410" t="s">
        <v>1996</v>
      </c>
      <c r="B507" s="17"/>
      <c r="C507" s="19"/>
      <c r="D507" s="18"/>
      <c r="E507" s="18"/>
      <c r="F507" s="19"/>
      <c r="G507" s="31"/>
      <c r="H507" s="31"/>
      <c r="I507" s="19"/>
      <c r="J507" s="19"/>
      <c r="K507" s="21"/>
      <c r="L507" s="22"/>
      <c r="M507" s="19"/>
      <c r="N507" s="20"/>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row>
    <row r="508" spans="1:45" x14ac:dyDescent="0.3">
      <c r="A508" s="410" t="s">
        <v>1997</v>
      </c>
      <c r="B508" s="17"/>
      <c r="C508" s="19"/>
      <c r="D508" s="18"/>
      <c r="E508" s="18"/>
      <c r="F508" s="19"/>
      <c r="G508" s="31"/>
      <c r="H508" s="31"/>
      <c r="I508" s="19"/>
      <c r="J508" s="19"/>
      <c r="K508" s="21"/>
      <c r="L508" s="22"/>
      <c r="M508" s="19"/>
      <c r="N508" s="20"/>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row>
    <row r="509" spans="1:45" x14ac:dyDescent="0.3">
      <c r="A509" s="410" t="s">
        <v>1998</v>
      </c>
      <c r="B509" s="17"/>
      <c r="C509" s="19"/>
      <c r="D509" s="18"/>
      <c r="E509" s="18"/>
      <c r="F509" s="19"/>
      <c r="G509" s="31"/>
      <c r="H509" s="31"/>
      <c r="I509" s="19"/>
      <c r="J509" s="19"/>
      <c r="K509" s="21"/>
      <c r="L509" s="22"/>
      <c r="M509" s="19"/>
      <c r="N509" s="20"/>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row>
    <row r="510" spans="1:45" x14ac:dyDescent="0.3">
      <c r="A510" s="410" t="s">
        <v>1999</v>
      </c>
      <c r="B510" s="17"/>
      <c r="C510" s="19"/>
      <c r="D510" s="18"/>
      <c r="E510" s="18"/>
      <c r="F510" s="19"/>
      <c r="G510" s="31"/>
      <c r="H510" s="31"/>
      <c r="I510" s="19"/>
      <c r="J510" s="19"/>
      <c r="K510" s="21"/>
      <c r="L510" s="22"/>
      <c r="M510" s="19"/>
      <c r="N510" s="20"/>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row>
    <row r="511" spans="1:45" x14ac:dyDescent="0.3">
      <c r="A511" s="410" t="s">
        <v>2000</v>
      </c>
      <c r="B511" s="17"/>
      <c r="C511" s="19"/>
      <c r="D511" s="18"/>
      <c r="E511" s="18"/>
      <c r="F511" s="19"/>
      <c r="G511" s="31"/>
      <c r="H511" s="31"/>
      <c r="I511" s="19"/>
      <c r="J511" s="19"/>
      <c r="K511" s="21"/>
      <c r="L511" s="22"/>
      <c r="M511" s="19"/>
      <c r="N511" s="20"/>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row>
    <row r="512" spans="1:45" x14ac:dyDescent="0.3">
      <c r="A512" s="410" t="s">
        <v>2001</v>
      </c>
      <c r="B512" s="17"/>
      <c r="C512" s="19"/>
      <c r="D512" s="18"/>
      <c r="E512" s="18"/>
      <c r="F512" s="19"/>
      <c r="G512" s="31"/>
      <c r="H512" s="31"/>
      <c r="I512" s="19"/>
      <c r="J512" s="19"/>
      <c r="K512" s="21"/>
      <c r="L512" s="22"/>
      <c r="M512" s="19"/>
      <c r="N512" s="20"/>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row>
    <row r="513" spans="1:45" x14ac:dyDescent="0.3">
      <c r="A513" s="410" t="s">
        <v>2002</v>
      </c>
      <c r="B513" s="17"/>
      <c r="C513" s="19"/>
      <c r="D513" s="18"/>
      <c r="E513" s="18"/>
      <c r="F513" s="19"/>
      <c r="G513" s="31"/>
      <c r="H513" s="31"/>
      <c r="I513" s="19"/>
      <c r="J513" s="19"/>
      <c r="K513" s="21"/>
      <c r="L513" s="22"/>
      <c r="M513" s="19"/>
      <c r="N513" s="20"/>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row>
    <row r="514" spans="1:45" x14ac:dyDescent="0.3">
      <c r="A514" s="410" t="s">
        <v>2003</v>
      </c>
      <c r="B514" s="17"/>
      <c r="C514" s="19"/>
      <c r="D514" s="18"/>
      <c r="E514" s="18"/>
      <c r="F514" s="19"/>
      <c r="G514" s="31"/>
      <c r="H514" s="31"/>
      <c r="I514" s="19"/>
      <c r="J514" s="19"/>
      <c r="K514" s="21"/>
      <c r="L514" s="22"/>
      <c r="M514" s="19"/>
      <c r="N514" s="20"/>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row>
    <row r="515" spans="1:45" x14ac:dyDescent="0.3">
      <c r="A515" s="410" t="s">
        <v>2004</v>
      </c>
      <c r="B515" s="17"/>
      <c r="C515" s="19"/>
      <c r="D515" s="18"/>
      <c r="E515" s="18"/>
      <c r="F515" s="19"/>
      <c r="G515" s="31"/>
      <c r="H515" s="31"/>
      <c r="I515" s="19"/>
      <c r="J515" s="19"/>
      <c r="K515" s="21"/>
      <c r="L515" s="22"/>
      <c r="M515" s="19"/>
      <c r="N515" s="20"/>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row>
    <row r="516" spans="1:45" x14ac:dyDescent="0.3">
      <c r="A516" s="410" t="s">
        <v>2005</v>
      </c>
      <c r="B516" s="17"/>
      <c r="C516" s="19"/>
      <c r="D516" s="18"/>
      <c r="E516" s="18"/>
      <c r="F516" s="19"/>
      <c r="G516" s="31"/>
      <c r="H516" s="31"/>
      <c r="I516" s="19"/>
      <c r="J516" s="19"/>
      <c r="K516" s="21"/>
      <c r="L516" s="22"/>
      <c r="M516" s="19"/>
      <c r="N516" s="20"/>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row>
    <row r="517" spans="1:45" x14ac:dyDescent="0.3">
      <c r="A517" s="410" t="s">
        <v>2006</v>
      </c>
      <c r="B517" s="17"/>
      <c r="C517" s="19"/>
      <c r="D517" s="18"/>
      <c r="E517" s="18"/>
      <c r="F517" s="19"/>
      <c r="G517" s="31"/>
      <c r="H517" s="31"/>
      <c r="I517" s="19"/>
      <c r="J517" s="19"/>
      <c r="K517" s="21"/>
      <c r="L517" s="22"/>
      <c r="M517" s="19"/>
      <c r="N517" s="20"/>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row>
    <row r="518" spans="1:45" x14ac:dyDescent="0.3">
      <c r="A518" s="410" t="s">
        <v>2007</v>
      </c>
      <c r="B518" s="17"/>
      <c r="C518" s="19"/>
      <c r="D518" s="18"/>
      <c r="E518" s="18"/>
      <c r="F518" s="19"/>
      <c r="G518" s="31"/>
      <c r="H518" s="31"/>
      <c r="I518" s="19"/>
      <c r="J518" s="19"/>
      <c r="K518" s="21"/>
      <c r="L518" s="22"/>
      <c r="M518" s="19"/>
      <c r="N518" s="20"/>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row>
    <row r="519" spans="1:45" x14ac:dyDescent="0.3">
      <c r="A519" s="410" t="s">
        <v>2008</v>
      </c>
      <c r="B519" s="17"/>
      <c r="C519" s="19"/>
      <c r="D519" s="18"/>
      <c r="E519" s="18"/>
      <c r="F519" s="19"/>
      <c r="G519" s="31"/>
      <c r="H519" s="31"/>
      <c r="I519" s="19"/>
      <c r="J519" s="19"/>
      <c r="K519" s="21"/>
      <c r="L519" s="22"/>
      <c r="M519" s="19"/>
      <c r="N519" s="20"/>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row>
    <row r="520" spans="1:45" x14ac:dyDescent="0.3">
      <c r="A520" s="410" t="s">
        <v>2009</v>
      </c>
      <c r="B520" s="17"/>
      <c r="C520" s="19"/>
      <c r="D520" s="18"/>
      <c r="E520" s="18"/>
      <c r="F520" s="19"/>
      <c r="G520" s="31"/>
      <c r="H520" s="31"/>
      <c r="I520" s="19"/>
      <c r="J520" s="19"/>
      <c r="K520" s="21"/>
      <c r="L520" s="22"/>
      <c r="M520" s="19"/>
      <c r="N520" s="20"/>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row>
    <row r="521" spans="1:45" x14ac:dyDescent="0.3">
      <c r="A521" s="410" t="s">
        <v>2010</v>
      </c>
      <c r="B521" s="17"/>
      <c r="C521" s="19"/>
      <c r="D521" s="18"/>
      <c r="E521" s="18"/>
      <c r="F521" s="19"/>
      <c r="G521" s="31"/>
      <c r="H521" s="31"/>
      <c r="I521" s="19"/>
      <c r="J521" s="19"/>
      <c r="K521" s="21"/>
      <c r="L521" s="22"/>
      <c r="M521" s="19"/>
      <c r="N521" s="20"/>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row>
    <row r="522" spans="1:45" x14ac:dyDescent="0.3">
      <c r="A522" s="410" t="s">
        <v>2011</v>
      </c>
      <c r="B522" s="17"/>
      <c r="C522" s="19"/>
      <c r="D522" s="18"/>
      <c r="E522" s="18"/>
      <c r="F522" s="19"/>
      <c r="G522" s="31"/>
      <c r="H522" s="31"/>
      <c r="I522" s="19"/>
      <c r="J522" s="19"/>
      <c r="K522" s="21"/>
      <c r="L522" s="22"/>
      <c r="M522" s="19"/>
      <c r="N522" s="20"/>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row>
    <row r="523" spans="1:45" x14ac:dyDescent="0.3">
      <c r="A523" s="410" t="s">
        <v>2012</v>
      </c>
      <c r="B523" s="17"/>
      <c r="C523" s="19"/>
      <c r="D523" s="18"/>
      <c r="E523" s="18"/>
      <c r="F523" s="19"/>
      <c r="G523" s="31"/>
      <c r="H523" s="31"/>
      <c r="I523" s="19"/>
      <c r="J523" s="19"/>
      <c r="K523" s="21"/>
      <c r="L523" s="22"/>
      <c r="M523" s="19"/>
      <c r="N523" s="20"/>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row>
    <row r="524" spans="1:45" x14ac:dyDescent="0.3">
      <c r="A524" s="410" t="s">
        <v>2013</v>
      </c>
      <c r="B524" s="17"/>
      <c r="C524" s="19"/>
      <c r="D524" s="18"/>
      <c r="E524" s="18"/>
      <c r="F524" s="19"/>
      <c r="G524" s="31"/>
      <c r="H524" s="31"/>
      <c r="I524" s="19"/>
      <c r="J524" s="19"/>
      <c r="K524" s="21"/>
      <c r="L524" s="22"/>
      <c r="M524" s="19"/>
      <c r="N524" s="20"/>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row>
    <row r="525" spans="1:45" x14ac:dyDescent="0.3">
      <c r="A525" s="410" t="s">
        <v>2014</v>
      </c>
      <c r="B525" s="17"/>
      <c r="C525" s="19"/>
      <c r="D525" s="18"/>
      <c r="E525" s="18"/>
      <c r="F525" s="19"/>
      <c r="G525" s="31"/>
      <c r="H525" s="31"/>
      <c r="I525" s="19"/>
      <c r="J525" s="19"/>
      <c r="K525" s="21"/>
      <c r="L525" s="22"/>
      <c r="M525" s="19"/>
      <c r="N525" s="20"/>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row>
    <row r="526" spans="1:45" x14ac:dyDescent="0.3">
      <c r="A526" s="410" t="s">
        <v>2015</v>
      </c>
      <c r="B526" s="17"/>
      <c r="C526" s="19"/>
      <c r="D526" s="18"/>
      <c r="E526" s="18"/>
      <c r="F526" s="19"/>
      <c r="G526" s="31"/>
      <c r="H526" s="31"/>
      <c r="I526" s="19"/>
      <c r="J526" s="19"/>
      <c r="K526" s="21"/>
      <c r="L526" s="22"/>
      <c r="M526" s="19"/>
      <c r="N526" s="20"/>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row>
    <row r="527" spans="1:45" x14ac:dyDescent="0.3">
      <c r="A527" s="410" t="s">
        <v>2016</v>
      </c>
      <c r="B527" s="17"/>
      <c r="C527" s="19"/>
      <c r="D527" s="18"/>
      <c r="E527" s="18"/>
      <c r="F527" s="19"/>
      <c r="G527" s="31"/>
      <c r="H527" s="31"/>
      <c r="I527" s="19"/>
      <c r="J527" s="19"/>
      <c r="K527" s="21"/>
      <c r="L527" s="22"/>
      <c r="M527" s="19"/>
      <c r="N527" s="20"/>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row>
    <row r="528" spans="1:45" x14ac:dyDescent="0.3">
      <c r="A528" s="410" t="s">
        <v>2017</v>
      </c>
      <c r="B528" s="17"/>
      <c r="C528" s="19"/>
      <c r="D528" s="18"/>
      <c r="E528" s="18"/>
      <c r="F528" s="19"/>
      <c r="G528" s="31"/>
      <c r="H528" s="31"/>
      <c r="I528" s="19"/>
      <c r="J528" s="19"/>
      <c r="K528" s="21"/>
      <c r="L528" s="22"/>
      <c r="M528" s="19"/>
      <c r="N528" s="20"/>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row>
    <row r="529" spans="1:45" x14ac:dyDescent="0.3">
      <c r="A529" s="410" t="s">
        <v>2018</v>
      </c>
      <c r="B529" s="17"/>
      <c r="C529" s="19"/>
      <c r="D529" s="18"/>
      <c r="E529" s="18"/>
      <c r="F529" s="19"/>
      <c r="G529" s="31"/>
      <c r="H529" s="31"/>
      <c r="I529" s="19"/>
      <c r="J529" s="19"/>
      <c r="K529" s="21"/>
      <c r="L529" s="22"/>
      <c r="M529" s="19"/>
      <c r="N529" s="20"/>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row>
    <row r="530" spans="1:45" x14ac:dyDescent="0.3">
      <c r="A530" s="410" t="s">
        <v>2019</v>
      </c>
      <c r="B530" s="17"/>
      <c r="C530" s="19"/>
      <c r="D530" s="18"/>
      <c r="E530" s="18"/>
      <c r="F530" s="19"/>
      <c r="G530" s="31"/>
      <c r="H530" s="31"/>
      <c r="I530" s="19"/>
      <c r="J530" s="19"/>
      <c r="K530" s="21"/>
      <c r="L530" s="22"/>
      <c r="M530" s="19"/>
      <c r="N530" s="20"/>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row>
    <row r="531" spans="1:45" x14ac:dyDescent="0.3">
      <c r="A531" s="410" t="s">
        <v>2020</v>
      </c>
      <c r="B531" s="17"/>
      <c r="C531" s="19"/>
      <c r="D531" s="18"/>
      <c r="E531" s="18"/>
      <c r="F531" s="19"/>
      <c r="G531" s="31"/>
      <c r="H531" s="31"/>
      <c r="I531" s="19"/>
      <c r="J531" s="19"/>
      <c r="K531" s="21"/>
      <c r="L531" s="22"/>
      <c r="M531" s="19"/>
      <c r="N531" s="20"/>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row>
    <row r="532" spans="1:45" x14ac:dyDescent="0.3">
      <c r="A532" s="410" t="s">
        <v>2021</v>
      </c>
      <c r="B532" s="17"/>
      <c r="C532" s="19"/>
      <c r="D532" s="18"/>
      <c r="E532" s="18"/>
      <c r="F532" s="19"/>
      <c r="G532" s="31"/>
      <c r="H532" s="31"/>
      <c r="I532" s="19"/>
      <c r="J532" s="19"/>
      <c r="K532" s="21"/>
      <c r="L532" s="22"/>
      <c r="M532" s="19"/>
      <c r="N532" s="20"/>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row>
    <row r="533" spans="1:45" x14ac:dyDescent="0.3">
      <c r="A533" s="410" t="s">
        <v>2022</v>
      </c>
      <c r="B533" s="17"/>
      <c r="C533" s="19"/>
      <c r="D533" s="18"/>
      <c r="E533" s="18"/>
      <c r="F533" s="19"/>
      <c r="G533" s="31"/>
      <c r="H533" s="31"/>
      <c r="I533" s="19"/>
      <c r="J533" s="19"/>
      <c r="K533" s="21"/>
      <c r="L533" s="22"/>
      <c r="M533" s="19"/>
      <c r="N533" s="20"/>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row>
    <row r="534" spans="1:45" x14ac:dyDescent="0.3">
      <c r="A534" s="410" t="s">
        <v>2023</v>
      </c>
      <c r="B534" s="17"/>
      <c r="C534" s="19"/>
      <c r="D534" s="18"/>
      <c r="E534" s="18"/>
      <c r="F534" s="19"/>
      <c r="G534" s="31"/>
      <c r="H534" s="31"/>
      <c r="I534" s="19"/>
      <c r="J534" s="19"/>
      <c r="K534" s="21"/>
      <c r="L534" s="22"/>
      <c r="M534" s="19"/>
      <c r="N534" s="20"/>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row>
    <row r="535" spans="1:45" x14ac:dyDescent="0.3">
      <c r="A535" s="410" t="s">
        <v>2024</v>
      </c>
      <c r="B535" s="17"/>
      <c r="C535" s="19"/>
      <c r="D535" s="18"/>
      <c r="E535" s="18"/>
      <c r="F535" s="19"/>
      <c r="G535" s="31"/>
      <c r="H535" s="31"/>
      <c r="I535" s="19"/>
      <c r="J535" s="19"/>
      <c r="K535" s="21"/>
      <c r="L535" s="22"/>
      <c r="M535" s="19"/>
      <c r="N535" s="20"/>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row>
    <row r="536" spans="1:45" x14ac:dyDescent="0.3">
      <c r="A536" s="410" t="s">
        <v>2025</v>
      </c>
      <c r="B536" s="17"/>
      <c r="C536" s="19"/>
      <c r="D536" s="18"/>
      <c r="E536" s="18"/>
      <c r="F536" s="19"/>
      <c r="G536" s="31"/>
      <c r="H536" s="31"/>
      <c r="I536" s="19"/>
      <c r="J536" s="19"/>
      <c r="K536" s="21"/>
      <c r="L536" s="22"/>
      <c r="M536" s="19"/>
      <c r="N536" s="20"/>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row>
    <row r="537" spans="1:45" x14ac:dyDescent="0.3">
      <c r="A537" s="410" t="s">
        <v>2026</v>
      </c>
      <c r="B537" s="17"/>
      <c r="C537" s="19"/>
      <c r="D537" s="18"/>
      <c r="E537" s="18"/>
      <c r="F537" s="19"/>
      <c r="G537" s="31"/>
      <c r="H537" s="31"/>
      <c r="I537" s="19"/>
      <c r="J537" s="19"/>
      <c r="K537" s="21"/>
      <c r="L537" s="22"/>
      <c r="M537" s="19"/>
      <c r="N537" s="20"/>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row>
    <row r="538" spans="1:45" x14ac:dyDescent="0.3">
      <c r="A538" s="410" t="s">
        <v>2027</v>
      </c>
      <c r="B538" s="17"/>
      <c r="C538" s="19"/>
      <c r="D538" s="18"/>
      <c r="E538" s="18"/>
      <c r="F538" s="19"/>
      <c r="G538" s="31"/>
      <c r="H538" s="31"/>
      <c r="I538" s="19"/>
      <c r="J538" s="19"/>
      <c r="K538" s="21"/>
      <c r="L538" s="22"/>
      <c r="M538" s="19"/>
      <c r="N538" s="20"/>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row>
    <row r="539" spans="1:45" x14ac:dyDescent="0.3">
      <c r="A539" s="410" t="s">
        <v>2028</v>
      </c>
      <c r="B539" s="17"/>
      <c r="C539" s="19"/>
      <c r="D539" s="18"/>
      <c r="E539" s="18"/>
      <c r="F539" s="19"/>
      <c r="G539" s="31"/>
      <c r="H539" s="31"/>
      <c r="I539" s="19"/>
      <c r="J539" s="19"/>
      <c r="K539" s="21"/>
      <c r="L539" s="22"/>
      <c r="M539" s="19"/>
      <c r="N539" s="20"/>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row>
    <row r="540" spans="1:45" x14ac:dyDescent="0.3">
      <c r="A540" s="410" t="s">
        <v>2029</v>
      </c>
      <c r="B540" s="17"/>
      <c r="C540" s="19"/>
      <c r="D540" s="18"/>
      <c r="E540" s="18"/>
      <c r="F540" s="19"/>
      <c r="G540" s="31"/>
      <c r="H540" s="31"/>
      <c r="I540" s="19"/>
      <c r="J540" s="19"/>
      <c r="K540" s="21"/>
      <c r="L540" s="22"/>
      <c r="M540" s="19"/>
      <c r="N540" s="20"/>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row>
    <row r="541" spans="1:45" x14ac:dyDescent="0.3">
      <c r="A541" s="410" t="s">
        <v>2030</v>
      </c>
      <c r="B541" s="17"/>
      <c r="C541" s="19"/>
      <c r="D541" s="18"/>
      <c r="E541" s="18"/>
      <c r="F541" s="19"/>
      <c r="G541" s="31"/>
      <c r="H541" s="31"/>
      <c r="I541" s="19"/>
      <c r="J541" s="19"/>
      <c r="K541" s="21"/>
      <c r="L541" s="22"/>
      <c r="M541" s="19"/>
      <c r="N541" s="20"/>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row>
    <row r="542" spans="1:45" x14ac:dyDescent="0.3">
      <c r="A542" s="410" t="s">
        <v>2031</v>
      </c>
      <c r="B542" s="17"/>
      <c r="C542" s="19"/>
      <c r="D542" s="18"/>
      <c r="E542" s="18"/>
      <c r="F542" s="19"/>
      <c r="G542" s="31"/>
      <c r="H542" s="31"/>
      <c r="I542" s="19"/>
      <c r="J542" s="19"/>
      <c r="K542" s="21"/>
      <c r="L542" s="22"/>
      <c r="M542" s="19"/>
      <c r="N542" s="20"/>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row>
    <row r="543" spans="1:45" x14ac:dyDescent="0.3">
      <c r="A543" s="410" t="s">
        <v>2032</v>
      </c>
      <c r="B543" s="17"/>
      <c r="C543" s="19"/>
      <c r="D543" s="18"/>
      <c r="E543" s="18"/>
      <c r="F543" s="19"/>
      <c r="G543" s="31"/>
      <c r="H543" s="31"/>
      <c r="I543" s="19"/>
      <c r="J543" s="19"/>
      <c r="K543" s="21"/>
      <c r="L543" s="22"/>
      <c r="M543" s="19"/>
      <c r="N543" s="20"/>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row>
    <row r="544" spans="1:45" x14ac:dyDescent="0.3">
      <c r="A544" s="410" t="s">
        <v>2033</v>
      </c>
      <c r="B544" s="17"/>
      <c r="C544" s="19"/>
      <c r="D544" s="18"/>
      <c r="E544" s="18"/>
      <c r="F544" s="19"/>
      <c r="G544" s="31"/>
      <c r="H544" s="31"/>
      <c r="I544" s="19"/>
      <c r="J544" s="19"/>
      <c r="K544" s="21"/>
      <c r="L544" s="22"/>
      <c r="M544" s="19"/>
      <c r="N544" s="20"/>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row>
    <row r="545" spans="1:45" x14ac:dyDescent="0.3">
      <c r="A545" s="410" t="s">
        <v>2034</v>
      </c>
      <c r="B545" s="17"/>
      <c r="C545" s="19"/>
      <c r="D545" s="18"/>
      <c r="E545" s="18"/>
      <c r="F545" s="19"/>
      <c r="G545" s="31"/>
      <c r="H545" s="31"/>
      <c r="I545" s="19"/>
      <c r="J545" s="19"/>
      <c r="K545" s="21"/>
      <c r="L545" s="22"/>
      <c r="M545" s="19"/>
      <c r="N545" s="20"/>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row>
    <row r="546" spans="1:45" x14ac:dyDescent="0.3">
      <c r="A546" s="410" t="s">
        <v>2035</v>
      </c>
      <c r="B546" s="17"/>
      <c r="C546" s="19"/>
      <c r="D546" s="18"/>
      <c r="E546" s="18"/>
      <c r="F546" s="19"/>
      <c r="G546" s="31"/>
      <c r="H546" s="31"/>
      <c r="I546" s="19"/>
      <c r="J546" s="19"/>
      <c r="K546" s="21"/>
      <c r="L546" s="22"/>
      <c r="M546" s="19"/>
      <c r="N546" s="20"/>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row>
    <row r="547" spans="1:45" x14ac:dyDescent="0.3">
      <c r="A547" s="410" t="s">
        <v>2036</v>
      </c>
      <c r="B547" s="17"/>
      <c r="C547" s="19"/>
      <c r="D547" s="18"/>
      <c r="E547" s="18"/>
      <c r="F547" s="19"/>
      <c r="G547" s="31"/>
      <c r="H547" s="31"/>
      <c r="I547" s="19"/>
      <c r="J547" s="19"/>
      <c r="K547" s="21"/>
      <c r="L547" s="22"/>
      <c r="M547" s="19"/>
      <c r="N547" s="20"/>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row>
    <row r="548" spans="1:45" x14ac:dyDescent="0.3">
      <c r="A548" s="410" t="s">
        <v>2037</v>
      </c>
      <c r="B548" s="17"/>
      <c r="C548" s="19"/>
      <c r="D548" s="18"/>
      <c r="E548" s="18"/>
      <c r="F548" s="19"/>
      <c r="G548" s="31"/>
      <c r="H548" s="31"/>
      <c r="I548" s="19"/>
      <c r="J548" s="19"/>
      <c r="K548" s="21"/>
      <c r="L548" s="22"/>
      <c r="M548" s="19"/>
      <c r="N548" s="20"/>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row>
    <row r="549" spans="1:45" x14ac:dyDescent="0.3">
      <c r="A549" s="410" t="s">
        <v>2038</v>
      </c>
      <c r="B549" s="17"/>
      <c r="C549" s="19"/>
      <c r="D549" s="18"/>
      <c r="E549" s="18"/>
      <c r="F549" s="19"/>
      <c r="G549" s="31"/>
      <c r="H549" s="31"/>
      <c r="I549" s="19"/>
      <c r="J549" s="19"/>
      <c r="K549" s="21"/>
      <c r="L549" s="22"/>
      <c r="M549" s="19"/>
      <c r="N549" s="20"/>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row>
    <row r="550" spans="1:45" x14ac:dyDescent="0.3">
      <c r="A550" s="410" t="s">
        <v>2039</v>
      </c>
      <c r="B550" s="17"/>
      <c r="C550" s="19"/>
      <c r="D550" s="18"/>
      <c r="E550" s="18"/>
      <c r="F550" s="19"/>
      <c r="G550" s="31"/>
      <c r="H550" s="31"/>
      <c r="I550" s="19"/>
      <c r="J550" s="19"/>
      <c r="K550" s="21"/>
      <c r="L550" s="22"/>
      <c r="M550" s="19"/>
      <c r="N550" s="20"/>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row>
    <row r="551" spans="1:45" x14ac:dyDescent="0.3">
      <c r="A551" s="410" t="s">
        <v>2040</v>
      </c>
      <c r="B551" s="17"/>
      <c r="C551" s="19"/>
      <c r="D551" s="18"/>
      <c r="E551" s="18"/>
      <c r="F551" s="19"/>
      <c r="G551" s="31"/>
      <c r="H551" s="31"/>
      <c r="I551" s="19"/>
      <c r="J551" s="19"/>
      <c r="K551" s="21"/>
      <c r="L551" s="22"/>
      <c r="M551" s="19"/>
      <c r="N551" s="20"/>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row>
    <row r="552" spans="1:45" x14ac:dyDescent="0.3">
      <c r="A552" s="410" t="s">
        <v>2041</v>
      </c>
      <c r="B552" s="17"/>
      <c r="C552" s="19"/>
      <c r="D552" s="18"/>
      <c r="E552" s="18"/>
      <c r="F552" s="19"/>
      <c r="G552" s="31"/>
      <c r="H552" s="31"/>
      <c r="I552" s="19"/>
      <c r="J552" s="19"/>
      <c r="K552" s="21"/>
      <c r="L552" s="22"/>
      <c r="M552" s="19"/>
      <c r="N552" s="20"/>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row>
    <row r="553" spans="1:45" x14ac:dyDescent="0.3">
      <c r="A553" s="410" t="s">
        <v>2042</v>
      </c>
      <c r="B553" s="17"/>
      <c r="C553" s="19"/>
      <c r="D553" s="18"/>
      <c r="E553" s="18"/>
      <c r="F553" s="19"/>
      <c r="G553" s="31"/>
      <c r="H553" s="31"/>
      <c r="I553" s="19"/>
      <c r="J553" s="19"/>
      <c r="K553" s="21"/>
      <c r="L553" s="22"/>
      <c r="M553" s="19"/>
      <c r="N553" s="20"/>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row>
    <row r="554" spans="1:45" x14ac:dyDescent="0.3">
      <c r="A554" s="410" t="s">
        <v>2043</v>
      </c>
      <c r="B554" s="17"/>
      <c r="C554" s="19"/>
      <c r="D554" s="18"/>
      <c r="E554" s="18"/>
      <c r="F554" s="19"/>
      <c r="G554" s="31"/>
      <c r="H554" s="31"/>
      <c r="I554" s="19"/>
      <c r="J554" s="19"/>
      <c r="K554" s="21"/>
      <c r="L554" s="22"/>
      <c r="M554" s="19"/>
      <c r="N554" s="20"/>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row>
    <row r="555" spans="1:45" x14ac:dyDescent="0.3">
      <c r="A555" s="410" t="s">
        <v>2044</v>
      </c>
      <c r="B555" s="17"/>
      <c r="C555" s="19"/>
      <c r="D555" s="18"/>
      <c r="E555" s="18"/>
      <c r="F555" s="19"/>
      <c r="G555" s="31"/>
      <c r="H555" s="31"/>
      <c r="I555" s="19"/>
      <c r="J555" s="19"/>
      <c r="K555" s="21"/>
      <c r="L555" s="22"/>
      <c r="M555" s="19"/>
      <c r="N555" s="20"/>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row>
    <row r="556" spans="1:45" x14ac:dyDescent="0.3">
      <c r="A556" s="410" t="s">
        <v>2045</v>
      </c>
      <c r="B556" s="17"/>
      <c r="C556" s="19"/>
      <c r="D556" s="18"/>
      <c r="E556" s="18"/>
      <c r="F556" s="19"/>
      <c r="G556" s="31"/>
      <c r="H556" s="31"/>
      <c r="I556" s="19"/>
      <c r="J556" s="19"/>
      <c r="K556" s="21"/>
      <c r="L556" s="22"/>
      <c r="M556" s="19"/>
      <c r="N556" s="20"/>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row>
    <row r="557" spans="1:45" x14ac:dyDescent="0.3">
      <c r="A557" s="410" t="s">
        <v>2046</v>
      </c>
      <c r="B557" s="17"/>
      <c r="C557" s="19"/>
      <c r="D557" s="18"/>
      <c r="E557" s="18"/>
      <c r="F557" s="19"/>
      <c r="G557" s="31"/>
      <c r="H557" s="31"/>
      <c r="I557" s="19"/>
      <c r="J557" s="19"/>
      <c r="K557" s="21"/>
      <c r="L557" s="22"/>
      <c r="M557" s="19"/>
      <c r="N557" s="20"/>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row>
    <row r="558" spans="1:45" x14ac:dyDescent="0.3">
      <c r="A558" s="410" t="s">
        <v>2047</v>
      </c>
      <c r="B558" s="17"/>
      <c r="C558" s="19"/>
      <c r="D558" s="18"/>
      <c r="E558" s="18"/>
      <c r="F558" s="19"/>
      <c r="G558" s="31"/>
      <c r="H558" s="31"/>
      <c r="I558" s="19"/>
      <c r="J558" s="19"/>
      <c r="K558" s="21"/>
      <c r="L558" s="22"/>
      <c r="M558" s="19"/>
      <c r="N558" s="20"/>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row>
    <row r="559" spans="1:45" x14ac:dyDescent="0.3">
      <c r="A559" s="410" t="s">
        <v>2048</v>
      </c>
      <c r="B559" s="17"/>
      <c r="C559" s="19"/>
      <c r="D559" s="18"/>
      <c r="E559" s="18"/>
      <c r="F559" s="19"/>
      <c r="G559" s="31"/>
      <c r="H559" s="31"/>
      <c r="I559" s="19"/>
      <c r="J559" s="19"/>
      <c r="K559" s="21"/>
      <c r="L559" s="22"/>
      <c r="M559" s="19"/>
      <c r="N559" s="20"/>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row>
    <row r="560" spans="1:45" x14ac:dyDescent="0.3">
      <c r="A560" s="410" t="s">
        <v>2049</v>
      </c>
      <c r="B560" s="17"/>
      <c r="C560" s="19"/>
      <c r="D560" s="18"/>
      <c r="E560" s="18"/>
      <c r="F560" s="19"/>
      <c r="G560" s="31"/>
      <c r="H560" s="31"/>
      <c r="I560" s="19"/>
      <c r="J560" s="19"/>
      <c r="K560" s="21"/>
      <c r="L560" s="22"/>
      <c r="M560" s="19"/>
      <c r="N560" s="20"/>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row>
    <row r="561" spans="1:45" x14ac:dyDescent="0.3">
      <c r="A561" s="410" t="s">
        <v>2050</v>
      </c>
      <c r="B561" s="17"/>
      <c r="C561" s="19"/>
      <c r="D561" s="18"/>
      <c r="E561" s="18"/>
      <c r="F561" s="19"/>
      <c r="G561" s="31"/>
      <c r="H561" s="31"/>
      <c r="I561" s="19"/>
      <c r="J561" s="19"/>
      <c r="K561" s="21"/>
      <c r="L561" s="22"/>
      <c r="M561" s="19"/>
      <c r="N561" s="20"/>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row>
    <row r="562" spans="1:45" x14ac:dyDescent="0.3">
      <c r="A562" s="410" t="s">
        <v>2051</v>
      </c>
      <c r="B562" s="17"/>
      <c r="C562" s="19"/>
      <c r="D562" s="18"/>
      <c r="E562" s="18"/>
      <c r="F562" s="19"/>
      <c r="G562" s="31"/>
      <c r="H562" s="31"/>
      <c r="I562" s="19"/>
      <c r="J562" s="19"/>
      <c r="K562" s="21"/>
      <c r="L562" s="22"/>
      <c r="M562" s="19"/>
      <c r="N562" s="20"/>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row>
    <row r="563" spans="1:45" x14ac:dyDescent="0.3">
      <c r="A563" s="410" t="s">
        <v>2052</v>
      </c>
      <c r="B563" s="17"/>
      <c r="C563" s="19"/>
      <c r="D563" s="18"/>
      <c r="E563" s="18"/>
      <c r="F563" s="19"/>
      <c r="G563" s="31"/>
      <c r="H563" s="31"/>
      <c r="I563" s="19"/>
      <c r="J563" s="19"/>
      <c r="K563" s="21"/>
      <c r="L563" s="22"/>
      <c r="M563" s="19"/>
      <c r="N563" s="20"/>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row>
    <row r="564" spans="1:45" x14ac:dyDescent="0.3">
      <c r="A564" s="410" t="s">
        <v>2053</v>
      </c>
      <c r="B564" s="17"/>
      <c r="C564" s="19"/>
      <c r="D564" s="18"/>
      <c r="E564" s="18"/>
      <c r="F564" s="19"/>
      <c r="G564" s="31"/>
      <c r="H564" s="31"/>
      <c r="I564" s="19"/>
      <c r="J564" s="19"/>
      <c r="K564" s="21"/>
      <c r="L564" s="22"/>
      <c r="M564" s="19"/>
      <c r="N564" s="20"/>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row>
    <row r="565" spans="1:45" x14ac:dyDescent="0.3">
      <c r="A565" s="410" t="s">
        <v>2054</v>
      </c>
      <c r="B565" s="17"/>
      <c r="C565" s="19"/>
      <c r="D565" s="18"/>
      <c r="E565" s="18"/>
      <c r="F565" s="19"/>
      <c r="G565" s="31"/>
      <c r="H565" s="31"/>
      <c r="I565" s="19"/>
      <c r="J565" s="19"/>
      <c r="K565" s="21"/>
      <c r="L565" s="22"/>
      <c r="M565" s="19"/>
      <c r="N565" s="20"/>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row>
    <row r="566" spans="1:45" x14ac:dyDescent="0.3">
      <c r="A566" s="410" t="s">
        <v>2055</v>
      </c>
      <c r="B566" s="17"/>
      <c r="C566" s="19"/>
      <c r="D566" s="18"/>
      <c r="E566" s="18"/>
      <c r="F566" s="19"/>
      <c r="G566" s="31"/>
      <c r="H566" s="31"/>
      <c r="I566" s="19"/>
      <c r="J566" s="19"/>
      <c r="K566" s="21"/>
      <c r="L566" s="22"/>
      <c r="M566" s="19"/>
      <c r="N566" s="20"/>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row>
    <row r="567" spans="1:45" x14ac:dyDescent="0.3">
      <c r="A567" s="410" t="s">
        <v>2056</v>
      </c>
      <c r="B567" s="17"/>
      <c r="C567" s="19"/>
      <c r="D567" s="18"/>
      <c r="E567" s="18"/>
      <c r="F567" s="19"/>
      <c r="G567" s="31"/>
      <c r="H567" s="31"/>
      <c r="I567" s="19"/>
      <c r="J567" s="19"/>
      <c r="K567" s="21"/>
      <c r="L567" s="22"/>
      <c r="M567" s="19"/>
      <c r="N567" s="20"/>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row>
    <row r="568" spans="1:45" x14ac:dyDescent="0.3">
      <c r="A568" s="410"/>
      <c r="B568" s="17"/>
      <c r="C568" s="19"/>
      <c r="D568" s="18"/>
      <c r="E568" s="18"/>
      <c r="F568" s="19"/>
      <c r="G568" s="31"/>
      <c r="H568" s="31"/>
      <c r="I568" s="19"/>
      <c r="J568" s="19"/>
      <c r="K568" s="21"/>
      <c r="L568" s="22"/>
      <c r="M568" s="19"/>
      <c r="N568" s="20"/>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row>
    <row r="569" spans="1:45" x14ac:dyDescent="0.3">
      <c r="A569" s="410" t="s">
        <v>2057</v>
      </c>
      <c r="B569" s="17" t="s">
        <v>2058</v>
      </c>
      <c r="C569" s="19" t="s">
        <v>1381</v>
      </c>
      <c r="D569" s="19">
        <v>23203538</v>
      </c>
      <c r="E569" s="17"/>
      <c r="F569" s="19"/>
      <c r="G569" s="31">
        <v>45379</v>
      </c>
      <c r="H569" s="31">
        <v>45744</v>
      </c>
      <c r="I569" s="19" t="s">
        <v>1372</v>
      </c>
      <c r="J569" s="19" t="s">
        <v>1373</v>
      </c>
      <c r="K569" s="21" t="s">
        <v>1372</v>
      </c>
      <c r="L569" s="22" t="s">
        <v>1373</v>
      </c>
      <c r="M569" s="19"/>
      <c r="N569" s="20" t="s">
        <v>2059</v>
      </c>
      <c r="O569" s="19" t="s">
        <v>1372</v>
      </c>
      <c r="P569" s="19"/>
      <c r="Q569" s="19" t="s">
        <v>1372</v>
      </c>
      <c r="R569" s="19" t="s">
        <v>1372</v>
      </c>
      <c r="S569" s="19" t="s">
        <v>1372</v>
      </c>
      <c r="T569" s="19" t="s">
        <v>1372</v>
      </c>
      <c r="U569" s="19" t="s">
        <v>1372</v>
      </c>
      <c r="V569" s="19" t="s">
        <v>1372</v>
      </c>
      <c r="W569" s="19"/>
      <c r="X569" s="19"/>
      <c r="Y569" s="19"/>
      <c r="Z569" s="19" t="s">
        <v>1372</v>
      </c>
      <c r="AA569" s="19"/>
      <c r="AB569" s="19"/>
      <c r="AC569" s="19"/>
      <c r="AD569" s="19"/>
      <c r="AE569" s="19"/>
      <c r="AF569" s="19"/>
      <c r="AG569" s="19" t="s">
        <v>1372</v>
      </c>
      <c r="AH569" s="19"/>
      <c r="AI569" s="19"/>
      <c r="AJ569" s="19"/>
      <c r="AK569" s="19"/>
      <c r="AL569" s="19"/>
      <c r="AM569" s="19"/>
      <c r="AN569" s="19"/>
      <c r="AO569" s="19"/>
      <c r="AP569" s="19"/>
      <c r="AQ569" s="19"/>
      <c r="AR569" s="19"/>
      <c r="AS569" s="19"/>
    </row>
    <row r="570" spans="1:45" x14ac:dyDescent="0.3">
      <c r="A570" s="410" t="s">
        <v>2060</v>
      </c>
      <c r="B570" s="17" t="s">
        <v>2061</v>
      </c>
      <c r="C570" s="19" t="s">
        <v>1371</v>
      </c>
      <c r="D570" s="19">
        <v>23202773</v>
      </c>
      <c r="E570" s="17"/>
      <c r="F570" s="19"/>
      <c r="G570" s="31">
        <v>45370</v>
      </c>
      <c r="H570" s="31">
        <v>45735</v>
      </c>
      <c r="I570" s="19" t="s">
        <v>1372</v>
      </c>
      <c r="J570" s="19" t="s">
        <v>1373</v>
      </c>
      <c r="K570" s="21" t="s">
        <v>1372</v>
      </c>
      <c r="L570" s="22" t="s">
        <v>1373</v>
      </c>
      <c r="M570" s="19" t="s">
        <v>1461</v>
      </c>
      <c r="N570" s="20" t="s">
        <v>1462</v>
      </c>
      <c r="O570" s="19" t="s">
        <v>1372</v>
      </c>
      <c r="P570" s="19"/>
      <c r="Q570" s="19" t="s">
        <v>1372</v>
      </c>
      <c r="R570" s="19" t="s">
        <v>1372</v>
      </c>
      <c r="S570" s="19" t="s">
        <v>1372</v>
      </c>
      <c r="T570" s="19" t="s">
        <v>1372</v>
      </c>
      <c r="U570" s="19" t="s">
        <v>1372</v>
      </c>
      <c r="V570" s="19" t="s">
        <v>1372</v>
      </c>
      <c r="W570" s="19"/>
      <c r="X570" s="19"/>
      <c r="Y570" s="19"/>
      <c r="Z570" s="19" t="s">
        <v>1372</v>
      </c>
      <c r="AA570" s="19"/>
      <c r="AB570" s="19"/>
      <c r="AC570" s="19"/>
      <c r="AD570" s="19"/>
      <c r="AE570" s="19"/>
      <c r="AF570" s="19" t="s">
        <v>1372</v>
      </c>
      <c r="AG570" s="19"/>
      <c r="AH570" s="19"/>
      <c r="AI570" s="19"/>
      <c r="AJ570" s="19"/>
      <c r="AK570" s="19"/>
      <c r="AL570" s="19"/>
      <c r="AM570" s="19" t="s">
        <v>1372</v>
      </c>
      <c r="AN570" s="19"/>
      <c r="AO570" s="19"/>
      <c r="AP570" s="19"/>
      <c r="AQ570" s="19"/>
      <c r="AR570" s="19" t="s">
        <v>1768</v>
      </c>
      <c r="AS570" s="19"/>
    </row>
    <row r="571" spans="1:45" x14ac:dyDescent="0.3">
      <c r="A571" s="410" t="s">
        <v>2062</v>
      </c>
      <c r="B571" s="17" t="s">
        <v>2063</v>
      </c>
      <c r="C571" s="19" t="s">
        <v>1371</v>
      </c>
      <c r="D571" s="19">
        <v>23157160</v>
      </c>
      <c r="E571" s="17"/>
      <c r="F571" s="19"/>
      <c r="G571" s="31">
        <v>45358</v>
      </c>
      <c r="H571" s="31">
        <v>45723</v>
      </c>
      <c r="I571" s="19" t="s">
        <v>1372</v>
      </c>
      <c r="J571" s="19" t="s">
        <v>1373</v>
      </c>
      <c r="K571" s="21" t="s">
        <v>1372</v>
      </c>
      <c r="L571" s="22" t="s">
        <v>1373</v>
      </c>
      <c r="M571" s="19" t="s">
        <v>1372</v>
      </c>
      <c r="N571" s="20" t="s">
        <v>2064</v>
      </c>
      <c r="O571" s="19" t="s">
        <v>1372</v>
      </c>
      <c r="P571" s="19" t="s">
        <v>1372</v>
      </c>
      <c r="Q571" s="19" t="s">
        <v>1372</v>
      </c>
      <c r="R571" s="19" t="s">
        <v>1372</v>
      </c>
      <c r="S571" s="19" t="s">
        <v>1372</v>
      </c>
      <c r="T571" s="19" t="s">
        <v>1372</v>
      </c>
      <c r="U571" s="19" t="s">
        <v>1372</v>
      </c>
      <c r="V571" s="19"/>
      <c r="W571" s="19" t="s">
        <v>1382</v>
      </c>
      <c r="X571" s="19"/>
      <c r="Y571" s="19"/>
      <c r="Z571" s="19" t="s">
        <v>1372</v>
      </c>
      <c r="AA571" s="19"/>
      <c r="AB571" s="19"/>
      <c r="AC571" s="19"/>
      <c r="AD571" s="19"/>
      <c r="AE571" s="19"/>
      <c r="AF571" s="19" t="s">
        <v>1372</v>
      </c>
      <c r="AG571" s="19" t="s">
        <v>1372</v>
      </c>
      <c r="AH571" s="19"/>
      <c r="AI571" s="19"/>
      <c r="AJ571" s="19"/>
      <c r="AK571" s="19"/>
      <c r="AL571" s="19"/>
      <c r="AM571" s="19"/>
      <c r="AN571" s="19"/>
      <c r="AO571" s="19"/>
      <c r="AP571" s="19"/>
      <c r="AQ571" s="19"/>
      <c r="AR571" s="19"/>
      <c r="AS571" s="19"/>
    </row>
    <row r="572" spans="1:45" x14ac:dyDescent="0.3">
      <c r="A572" s="410" t="s">
        <v>2065</v>
      </c>
      <c r="B572" s="17" t="s">
        <v>2066</v>
      </c>
      <c r="C572" s="19" t="s">
        <v>1371</v>
      </c>
      <c r="D572" s="19">
        <v>23223391</v>
      </c>
      <c r="E572" s="17"/>
      <c r="F572" s="19"/>
      <c r="G572" s="31">
        <v>45360</v>
      </c>
      <c r="H572" s="31">
        <v>45725</v>
      </c>
      <c r="I572" s="19"/>
      <c r="J572" s="19"/>
      <c r="K572" s="21"/>
      <c r="L572" s="22"/>
      <c r="M572" s="19" t="s">
        <v>1461</v>
      </c>
      <c r="N572" s="20" t="s">
        <v>2067</v>
      </c>
      <c r="O572" s="19" t="s">
        <v>1372</v>
      </c>
      <c r="P572" s="19"/>
      <c r="Q572" s="19" t="s">
        <v>1372</v>
      </c>
      <c r="R572" s="19" t="s">
        <v>1372</v>
      </c>
      <c r="S572" s="19"/>
      <c r="T572" s="19"/>
      <c r="U572" s="19"/>
      <c r="V572" s="19" t="s">
        <v>1372</v>
      </c>
      <c r="W572" s="19"/>
      <c r="X572" s="19"/>
      <c r="Y572" s="19"/>
      <c r="Z572" s="19"/>
      <c r="AA572" s="19"/>
      <c r="AB572" s="19"/>
      <c r="AC572" s="19"/>
      <c r="AD572" s="19"/>
      <c r="AE572" s="19"/>
      <c r="AF572" s="19" t="s">
        <v>1372</v>
      </c>
      <c r="AG572" s="19"/>
      <c r="AH572" s="19"/>
      <c r="AI572" s="19"/>
      <c r="AJ572" s="19"/>
      <c r="AK572" s="19"/>
      <c r="AL572" s="19"/>
      <c r="AM572" s="19"/>
      <c r="AN572" s="19"/>
      <c r="AO572" s="19"/>
      <c r="AP572" s="19" t="s">
        <v>1372</v>
      </c>
      <c r="AQ572" s="19"/>
      <c r="AR572" s="19" t="s">
        <v>1783</v>
      </c>
      <c r="AS572" s="19"/>
    </row>
    <row r="573" spans="1:45" x14ac:dyDescent="0.3">
      <c r="A573" s="410" t="s">
        <v>2068</v>
      </c>
      <c r="B573" s="17" t="s">
        <v>2069</v>
      </c>
      <c r="C573" s="19"/>
      <c r="D573" s="19">
        <v>23157156</v>
      </c>
      <c r="E573" s="17"/>
      <c r="F573" s="19"/>
      <c r="G573" s="31">
        <v>45359</v>
      </c>
      <c r="H573" s="31">
        <v>45724</v>
      </c>
      <c r="I573" s="19" t="s">
        <v>1372</v>
      </c>
      <c r="J573" s="19" t="s">
        <v>1373</v>
      </c>
      <c r="K573" s="21" t="s">
        <v>1372</v>
      </c>
      <c r="L573" s="22" t="s">
        <v>1373</v>
      </c>
      <c r="M573" s="19" t="s">
        <v>1461</v>
      </c>
      <c r="N573" s="20" t="s">
        <v>2064</v>
      </c>
      <c r="O573" s="19" t="s">
        <v>1372</v>
      </c>
      <c r="P573" s="19"/>
      <c r="Q573" s="19"/>
      <c r="R573" s="19" t="s">
        <v>1372</v>
      </c>
      <c r="S573" s="19" t="s">
        <v>1372</v>
      </c>
      <c r="T573" s="19" t="s">
        <v>1372</v>
      </c>
      <c r="U573" s="19" t="s">
        <v>1461</v>
      </c>
      <c r="V573" s="19" t="s">
        <v>1372</v>
      </c>
      <c r="W573" s="19"/>
      <c r="X573" s="19"/>
      <c r="Y573" s="19"/>
      <c r="Z573" s="19" t="s">
        <v>1372</v>
      </c>
      <c r="AA573" s="19"/>
      <c r="AB573" s="19"/>
      <c r="AC573" s="19"/>
      <c r="AD573" s="19"/>
      <c r="AE573" s="19"/>
      <c r="AF573" s="19"/>
      <c r="AG573" s="19" t="s">
        <v>1372</v>
      </c>
      <c r="AH573" s="19"/>
      <c r="AI573" s="19"/>
      <c r="AJ573" s="19"/>
      <c r="AK573" s="19"/>
      <c r="AL573" s="19"/>
      <c r="AM573" s="19"/>
      <c r="AN573" s="19"/>
      <c r="AO573" s="19"/>
      <c r="AP573" s="19"/>
      <c r="AQ573" s="19"/>
      <c r="AR573" s="19"/>
      <c r="AS573" s="19"/>
    </row>
    <row r="574" spans="1:45" x14ac:dyDescent="0.3">
      <c r="A574" s="410" t="s">
        <v>2070</v>
      </c>
      <c r="B574" s="17"/>
      <c r="C574" s="19"/>
      <c r="D574" s="18"/>
      <c r="E574" s="17"/>
      <c r="F574" s="19"/>
      <c r="G574" s="31"/>
      <c r="H574" s="31"/>
      <c r="I574" s="19"/>
      <c r="J574" s="19"/>
      <c r="K574" s="21"/>
      <c r="L574" s="22"/>
      <c r="M574" s="19"/>
      <c r="N574" s="20"/>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row>
    <row r="575" spans="1:45" x14ac:dyDescent="0.3">
      <c r="A575" s="410" t="s">
        <v>2071</v>
      </c>
      <c r="B575" s="17"/>
      <c r="C575" s="19"/>
      <c r="D575" s="19"/>
      <c r="E575" s="17"/>
      <c r="F575" s="19"/>
      <c r="G575" s="31"/>
      <c r="H575" s="31"/>
      <c r="I575" s="19"/>
      <c r="J575" s="19"/>
      <c r="K575" s="21"/>
      <c r="L575" s="22"/>
      <c r="M575" s="19"/>
      <c r="N575" s="20"/>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row>
    <row r="576" spans="1:45" x14ac:dyDescent="0.3">
      <c r="A576" s="410" t="s">
        <v>2072</v>
      </c>
      <c r="B576" s="17"/>
      <c r="C576" s="19"/>
      <c r="D576" s="19"/>
      <c r="E576" s="18"/>
      <c r="F576" s="19"/>
      <c r="G576" s="31"/>
      <c r="H576" s="31"/>
      <c r="I576" s="19"/>
      <c r="J576" s="19"/>
      <c r="K576" s="21"/>
      <c r="L576" s="22"/>
      <c r="M576" s="19"/>
      <c r="N576" s="20"/>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row>
    <row r="577" spans="1:45" x14ac:dyDescent="0.3">
      <c r="A577" s="410" t="s">
        <v>2073</v>
      </c>
      <c r="B577" s="17"/>
      <c r="C577" s="19"/>
      <c r="D577" s="18"/>
      <c r="E577" s="18"/>
      <c r="F577" s="19"/>
      <c r="G577" s="31"/>
      <c r="H577" s="31"/>
      <c r="I577" s="19"/>
      <c r="J577" s="19"/>
      <c r="K577" s="21"/>
      <c r="L577" s="22"/>
      <c r="M577" s="19"/>
      <c r="N577" s="20"/>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row>
    <row r="578" spans="1:45" x14ac:dyDescent="0.3">
      <c r="A578" s="410" t="s">
        <v>2074</v>
      </c>
      <c r="B578" s="17"/>
      <c r="C578" s="19"/>
      <c r="D578" s="18"/>
      <c r="E578" s="18"/>
      <c r="F578" s="19"/>
      <c r="G578" s="31"/>
      <c r="H578" s="31"/>
      <c r="I578" s="19"/>
      <c r="J578" s="19"/>
      <c r="K578" s="21"/>
      <c r="L578" s="22"/>
      <c r="M578" s="19"/>
      <c r="N578" s="20"/>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row>
    <row r="579" spans="1:45" x14ac:dyDescent="0.3">
      <c r="A579" s="410" t="s">
        <v>2075</v>
      </c>
      <c r="B579" s="17"/>
      <c r="C579" s="19"/>
      <c r="D579" s="18"/>
      <c r="E579" s="18"/>
      <c r="F579" s="19"/>
      <c r="G579" s="31"/>
      <c r="H579" s="31"/>
      <c r="I579" s="19"/>
      <c r="J579" s="19"/>
      <c r="K579" s="21"/>
      <c r="L579" s="22"/>
      <c r="M579" s="19"/>
      <c r="N579" s="20"/>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row>
    <row r="580" spans="1:45" x14ac:dyDescent="0.3">
      <c r="A580" s="410" t="s">
        <v>2076</v>
      </c>
      <c r="B580" s="17"/>
      <c r="C580" s="19"/>
      <c r="D580" s="18"/>
      <c r="E580" s="18"/>
      <c r="F580" s="19"/>
      <c r="G580" s="31"/>
      <c r="H580" s="31"/>
      <c r="I580" s="19"/>
      <c r="J580" s="19"/>
      <c r="K580" s="21"/>
      <c r="L580" s="22"/>
      <c r="M580" s="19"/>
      <c r="N580" s="20"/>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row>
    <row r="581" spans="1:45" x14ac:dyDescent="0.3">
      <c r="A581" s="410" t="s">
        <v>2077</v>
      </c>
      <c r="B581" s="17"/>
      <c r="C581" s="19"/>
      <c r="D581" s="18"/>
      <c r="E581" s="18"/>
      <c r="F581" s="19"/>
      <c r="G581" s="31"/>
      <c r="H581" s="31"/>
      <c r="I581" s="19"/>
      <c r="J581" s="19"/>
      <c r="K581" s="21"/>
      <c r="L581" s="22"/>
      <c r="M581" s="19"/>
      <c r="N581" s="20"/>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row>
    <row r="582" spans="1:45" x14ac:dyDescent="0.3">
      <c r="A582" s="410" t="s">
        <v>2078</v>
      </c>
      <c r="B582" s="17"/>
      <c r="C582" s="19"/>
      <c r="D582" s="18"/>
      <c r="E582" s="18"/>
      <c r="F582" s="19"/>
      <c r="G582" s="31"/>
      <c r="H582" s="31"/>
      <c r="I582" s="19"/>
      <c r="J582" s="19"/>
      <c r="K582" s="21"/>
      <c r="L582" s="22"/>
      <c r="M582" s="19"/>
      <c r="N582" s="20"/>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row>
    <row r="583" spans="1:45" x14ac:dyDescent="0.3">
      <c r="A583" s="410" t="s">
        <v>2079</v>
      </c>
      <c r="B583" s="17"/>
      <c r="C583" s="19"/>
      <c r="D583" s="18"/>
      <c r="E583" s="18"/>
      <c r="F583" s="19"/>
      <c r="G583" s="31"/>
      <c r="H583" s="31"/>
      <c r="I583" s="19"/>
      <c r="J583" s="19"/>
      <c r="K583" s="21"/>
      <c r="L583" s="22"/>
      <c r="M583" s="19"/>
      <c r="N583" s="20"/>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row>
    <row r="584" spans="1:45" x14ac:dyDescent="0.3">
      <c r="A584" s="410" t="s">
        <v>2080</v>
      </c>
      <c r="B584" s="17"/>
      <c r="C584" s="19"/>
      <c r="D584" s="18"/>
      <c r="E584" s="18"/>
      <c r="F584" s="19"/>
      <c r="G584" s="31"/>
      <c r="H584" s="31"/>
      <c r="I584" s="19"/>
      <c r="J584" s="19"/>
      <c r="K584" s="21"/>
      <c r="L584" s="22"/>
      <c r="M584" s="19"/>
      <c r="N584" s="20"/>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row>
    <row r="585" spans="1:45" x14ac:dyDescent="0.3">
      <c r="A585" s="410" t="s">
        <v>2081</v>
      </c>
      <c r="B585" s="17"/>
      <c r="C585" s="19"/>
      <c r="D585" s="18"/>
      <c r="E585" s="18"/>
      <c r="F585" s="19"/>
      <c r="G585" s="31"/>
      <c r="H585" s="31"/>
      <c r="I585" s="19"/>
      <c r="J585" s="19"/>
      <c r="K585" s="21"/>
      <c r="L585" s="22"/>
      <c r="M585" s="19"/>
      <c r="N585" s="20"/>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row>
    <row r="586" spans="1:45" x14ac:dyDescent="0.3">
      <c r="A586" s="410" t="s">
        <v>2082</v>
      </c>
      <c r="B586" s="17"/>
      <c r="C586" s="19"/>
      <c r="D586" s="18"/>
      <c r="E586" s="18"/>
      <c r="F586" s="19"/>
      <c r="G586" s="31"/>
      <c r="H586" s="31"/>
      <c r="I586" s="19"/>
      <c r="J586" s="19"/>
      <c r="K586" s="21"/>
      <c r="L586" s="22"/>
      <c r="M586" s="19"/>
      <c r="N586" s="20"/>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row>
    <row r="587" spans="1:45" x14ac:dyDescent="0.3">
      <c r="A587" s="410" t="s">
        <v>2083</v>
      </c>
      <c r="B587" s="17"/>
      <c r="C587" s="19"/>
      <c r="D587" s="18"/>
      <c r="E587" s="18"/>
      <c r="F587" s="19"/>
      <c r="G587" s="31"/>
      <c r="H587" s="31"/>
      <c r="I587" s="19"/>
      <c r="J587" s="19"/>
      <c r="K587" s="21"/>
      <c r="L587" s="22"/>
      <c r="M587" s="19"/>
      <c r="N587" s="20"/>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row>
    <row r="588" spans="1:45" x14ac:dyDescent="0.3">
      <c r="A588" s="410" t="s">
        <v>2084</v>
      </c>
      <c r="B588" s="17"/>
      <c r="C588" s="19"/>
      <c r="D588" s="18"/>
      <c r="E588" s="18"/>
      <c r="F588" s="19"/>
      <c r="G588" s="31"/>
      <c r="H588" s="31"/>
      <c r="I588" s="19"/>
      <c r="J588" s="19"/>
      <c r="K588" s="21"/>
      <c r="L588" s="22"/>
      <c r="M588" s="19"/>
      <c r="N588" s="20"/>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row>
    <row r="589" spans="1:45" x14ac:dyDescent="0.3">
      <c r="A589" s="410" t="s">
        <v>2085</v>
      </c>
      <c r="B589" s="17"/>
      <c r="C589" s="19"/>
      <c r="D589" s="18"/>
      <c r="E589" s="18"/>
      <c r="F589" s="19"/>
      <c r="G589" s="31"/>
      <c r="H589" s="31"/>
      <c r="I589" s="19"/>
      <c r="J589" s="19"/>
      <c r="K589" s="21"/>
      <c r="L589" s="22"/>
      <c r="M589" s="19"/>
      <c r="N589" s="20"/>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row>
    <row r="590" spans="1:45" x14ac:dyDescent="0.3">
      <c r="A590" s="410" t="s">
        <v>2086</v>
      </c>
      <c r="B590" s="17"/>
      <c r="C590" s="19"/>
      <c r="D590" s="18"/>
      <c r="E590" s="18"/>
      <c r="F590" s="19"/>
      <c r="G590" s="31"/>
      <c r="H590" s="31"/>
      <c r="I590" s="19"/>
      <c r="J590" s="19"/>
      <c r="K590" s="21"/>
      <c r="L590" s="22"/>
      <c r="M590" s="19"/>
      <c r="N590" s="20"/>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row>
    <row r="591" spans="1:45" x14ac:dyDescent="0.3">
      <c r="A591" s="410" t="s">
        <v>2087</v>
      </c>
      <c r="B591" s="17"/>
      <c r="C591" s="19"/>
      <c r="D591" s="18"/>
      <c r="E591" s="18"/>
      <c r="F591" s="19"/>
      <c r="G591" s="31"/>
      <c r="H591" s="31"/>
      <c r="I591" s="19"/>
      <c r="J591" s="19"/>
      <c r="K591" s="21"/>
      <c r="L591" s="22"/>
      <c r="M591" s="19"/>
      <c r="N591" s="20"/>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row>
    <row r="592" spans="1:45" x14ac:dyDescent="0.3">
      <c r="A592" s="410" t="s">
        <v>2088</v>
      </c>
      <c r="B592" s="17"/>
      <c r="C592" s="19"/>
      <c r="D592" s="18"/>
      <c r="E592" s="18"/>
      <c r="F592" s="19"/>
      <c r="G592" s="31"/>
      <c r="H592" s="31"/>
      <c r="I592" s="19"/>
      <c r="J592" s="19"/>
      <c r="K592" s="21"/>
      <c r="L592" s="22"/>
      <c r="M592" s="19"/>
      <c r="N592" s="20"/>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row>
    <row r="593" spans="1:45" x14ac:dyDescent="0.3">
      <c r="A593" s="410" t="s">
        <v>2089</v>
      </c>
      <c r="B593" s="17"/>
      <c r="C593" s="19"/>
      <c r="D593" s="18"/>
      <c r="E593" s="18"/>
      <c r="F593" s="19"/>
      <c r="G593" s="31"/>
      <c r="H593" s="31"/>
      <c r="I593" s="19"/>
      <c r="J593" s="19"/>
      <c r="K593" s="21"/>
      <c r="L593" s="22"/>
      <c r="M593" s="19"/>
      <c r="N593" s="20"/>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row>
    <row r="594" spans="1:45" x14ac:dyDescent="0.3">
      <c r="A594" s="410" t="s">
        <v>2090</v>
      </c>
      <c r="B594" s="17"/>
      <c r="C594" s="19"/>
      <c r="D594" s="18"/>
      <c r="E594" s="18"/>
      <c r="F594" s="19"/>
      <c r="G594" s="31"/>
      <c r="H594" s="31"/>
      <c r="I594" s="19"/>
      <c r="J594" s="19"/>
      <c r="K594" s="21"/>
      <c r="L594" s="22"/>
      <c r="M594" s="19"/>
      <c r="N594" s="20"/>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row>
    <row r="595" spans="1:45" x14ac:dyDescent="0.3">
      <c r="A595" s="410" t="s">
        <v>2091</v>
      </c>
      <c r="B595" s="17"/>
      <c r="C595" s="19"/>
      <c r="D595" s="18"/>
      <c r="E595" s="18"/>
      <c r="F595" s="19"/>
      <c r="G595" s="31"/>
      <c r="H595" s="31"/>
      <c r="I595" s="19"/>
      <c r="J595" s="19"/>
      <c r="K595" s="21"/>
      <c r="L595" s="22"/>
      <c r="M595" s="19"/>
      <c r="N595" s="20"/>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row>
    <row r="596" spans="1:45" x14ac:dyDescent="0.3">
      <c r="A596" s="410" t="s">
        <v>2092</v>
      </c>
      <c r="B596" s="17"/>
      <c r="C596" s="19"/>
      <c r="D596" s="18"/>
      <c r="E596" s="18"/>
      <c r="F596" s="19"/>
      <c r="G596" s="31"/>
      <c r="H596" s="31"/>
      <c r="I596" s="19"/>
      <c r="J596" s="19"/>
      <c r="K596" s="21"/>
      <c r="L596" s="22"/>
      <c r="M596" s="19"/>
      <c r="N596" s="20"/>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row>
    <row r="597" spans="1:45" x14ac:dyDescent="0.3">
      <c r="A597" s="410" t="s">
        <v>2093</v>
      </c>
      <c r="B597" s="17"/>
      <c r="C597" s="19"/>
      <c r="D597" s="18"/>
      <c r="E597" s="18"/>
      <c r="F597" s="19"/>
      <c r="G597" s="31"/>
      <c r="H597" s="31"/>
      <c r="I597" s="19"/>
      <c r="J597" s="19"/>
      <c r="K597" s="21"/>
      <c r="L597" s="22"/>
      <c r="M597" s="19"/>
      <c r="N597" s="20"/>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row>
    <row r="598" spans="1:45" x14ac:dyDescent="0.3">
      <c r="A598" s="410" t="s">
        <v>2094</v>
      </c>
      <c r="B598" s="17"/>
      <c r="C598" s="19"/>
      <c r="D598" s="18"/>
      <c r="E598" s="18"/>
      <c r="F598" s="19"/>
      <c r="G598" s="31"/>
      <c r="H598" s="31"/>
      <c r="I598" s="19"/>
      <c r="J598" s="19"/>
      <c r="K598" s="21"/>
      <c r="L598" s="22"/>
      <c r="M598" s="19"/>
      <c r="N598" s="20"/>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row>
    <row r="599" spans="1:45" x14ac:dyDescent="0.3">
      <c r="A599" s="410" t="s">
        <v>2095</v>
      </c>
      <c r="B599" s="17"/>
      <c r="C599" s="19"/>
      <c r="D599" s="18"/>
      <c r="E599" s="18"/>
      <c r="F599" s="19"/>
      <c r="G599" s="31"/>
      <c r="H599" s="31"/>
      <c r="I599" s="19"/>
      <c r="J599" s="19"/>
      <c r="K599" s="21"/>
      <c r="L599" s="22"/>
      <c r="M599" s="19"/>
      <c r="N599" s="20"/>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row>
    <row r="600" spans="1:45" x14ac:dyDescent="0.3">
      <c r="A600" s="410" t="s">
        <v>2096</v>
      </c>
      <c r="B600" s="17"/>
      <c r="C600" s="19"/>
      <c r="D600" s="18"/>
      <c r="E600" s="18"/>
      <c r="F600" s="19"/>
      <c r="G600" s="31"/>
      <c r="H600" s="31"/>
      <c r="I600" s="19"/>
      <c r="J600" s="19"/>
      <c r="K600" s="21"/>
      <c r="L600" s="22"/>
      <c r="M600" s="19"/>
      <c r="N600" s="20"/>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row>
    <row r="601" spans="1:45" x14ac:dyDescent="0.3">
      <c r="A601" s="410" t="s">
        <v>2097</v>
      </c>
      <c r="B601" s="17"/>
      <c r="C601" s="19"/>
      <c r="D601" s="18"/>
      <c r="E601" s="18"/>
      <c r="F601" s="19"/>
      <c r="G601" s="31"/>
      <c r="H601" s="31"/>
      <c r="I601" s="19"/>
      <c r="J601" s="19"/>
      <c r="K601" s="21"/>
      <c r="L601" s="22"/>
      <c r="M601" s="19"/>
      <c r="N601" s="20"/>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row>
    <row r="602" spans="1:45" x14ac:dyDescent="0.3">
      <c r="A602" s="410" t="s">
        <v>2098</v>
      </c>
      <c r="B602" s="17"/>
      <c r="C602" s="19"/>
      <c r="D602" s="18"/>
      <c r="E602" s="18"/>
      <c r="F602" s="19"/>
      <c r="G602" s="31"/>
      <c r="H602" s="31"/>
      <c r="I602" s="19"/>
      <c r="J602" s="19"/>
      <c r="K602" s="21"/>
      <c r="L602" s="22"/>
      <c r="M602" s="19"/>
      <c r="N602" s="20"/>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row>
    <row r="603" spans="1:45" x14ac:dyDescent="0.3">
      <c r="A603" s="410" t="s">
        <v>2099</v>
      </c>
      <c r="B603" s="17"/>
      <c r="C603" s="19"/>
      <c r="D603" s="18"/>
      <c r="E603" s="18"/>
      <c r="F603" s="19"/>
      <c r="G603" s="31"/>
      <c r="H603" s="31"/>
      <c r="I603" s="19"/>
      <c r="J603" s="19"/>
      <c r="K603" s="21"/>
      <c r="L603" s="22"/>
      <c r="M603" s="19"/>
      <c r="N603" s="20"/>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row>
    <row r="604" spans="1:45" x14ac:dyDescent="0.3">
      <c r="A604" s="410" t="s">
        <v>2100</v>
      </c>
      <c r="B604" s="17"/>
      <c r="C604" s="19"/>
      <c r="D604" s="18"/>
      <c r="E604" s="18"/>
      <c r="F604" s="19"/>
      <c r="G604" s="31"/>
      <c r="H604" s="31"/>
      <c r="I604" s="19"/>
      <c r="J604" s="19"/>
      <c r="K604" s="21"/>
      <c r="L604" s="22"/>
      <c r="M604" s="19"/>
      <c r="N604" s="20"/>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row>
    <row r="605" spans="1:45" x14ac:dyDescent="0.3">
      <c r="A605" s="410" t="s">
        <v>2101</v>
      </c>
      <c r="B605" s="17"/>
      <c r="C605" s="19"/>
      <c r="D605" s="18"/>
      <c r="E605" s="18"/>
      <c r="F605" s="19"/>
      <c r="G605" s="31"/>
      <c r="H605" s="31"/>
      <c r="I605" s="19"/>
      <c r="J605" s="19"/>
      <c r="K605" s="21"/>
      <c r="L605" s="22"/>
      <c r="M605" s="19"/>
      <c r="N605" s="20"/>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row>
    <row r="606" spans="1:45" x14ac:dyDescent="0.3">
      <c r="A606" s="410" t="s">
        <v>2102</v>
      </c>
      <c r="B606" s="17"/>
      <c r="C606" s="19"/>
      <c r="D606" s="18"/>
      <c r="E606" s="18"/>
      <c r="F606" s="19"/>
      <c r="G606" s="31"/>
      <c r="H606" s="31"/>
      <c r="I606" s="19"/>
      <c r="J606" s="19"/>
      <c r="K606" s="21"/>
      <c r="L606" s="22"/>
      <c r="M606" s="19"/>
      <c r="N606" s="20"/>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row>
    <row r="607" spans="1:45" x14ac:dyDescent="0.3">
      <c r="A607" s="410" t="s">
        <v>2103</v>
      </c>
      <c r="B607" s="17"/>
      <c r="C607" s="19"/>
      <c r="D607" s="18"/>
      <c r="E607" s="18"/>
      <c r="F607" s="19"/>
      <c r="G607" s="31"/>
      <c r="H607" s="31"/>
      <c r="I607" s="19"/>
      <c r="J607" s="19"/>
      <c r="K607" s="21"/>
      <c r="L607" s="22"/>
      <c r="M607" s="19"/>
      <c r="N607" s="20"/>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row>
    <row r="608" spans="1:45" x14ac:dyDescent="0.3">
      <c r="A608" s="410" t="s">
        <v>2104</v>
      </c>
      <c r="B608" s="17"/>
      <c r="C608" s="19"/>
      <c r="D608" s="18"/>
      <c r="E608" s="18"/>
      <c r="F608" s="19"/>
      <c r="G608" s="31"/>
      <c r="H608" s="31"/>
      <c r="I608" s="19"/>
      <c r="J608" s="19"/>
      <c r="K608" s="21"/>
      <c r="L608" s="22"/>
      <c r="M608" s="19"/>
      <c r="N608" s="20"/>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row>
    <row r="609" spans="1:45" x14ac:dyDescent="0.3">
      <c r="A609" s="410" t="s">
        <v>2105</v>
      </c>
      <c r="B609" s="17"/>
      <c r="C609" s="19"/>
      <c r="D609" s="18"/>
      <c r="E609" s="18"/>
      <c r="F609" s="19"/>
      <c r="G609" s="31"/>
      <c r="H609" s="31"/>
      <c r="I609" s="19"/>
      <c r="J609" s="19"/>
      <c r="K609" s="21"/>
      <c r="L609" s="22"/>
      <c r="M609" s="19"/>
      <c r="N609" s="20"/>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row>
    <row r="610" spans="1:45" x14ac:dyDescent="0.3">
      <c r="A610" s="410" t="s">
        <v>2106</v>
      </c>
      <c r="B610" s="17"/>
      <c r="C610" s="19"/>
      <c r="D610" s="18"/>
      <c r="E610" s="18"/>
      <c r="F610" s="19"/>
      <c r="G610" s="31"/>
      <c r="H610" s="31"/>
      <c r="I610" s="19"/>
      <c r="J610" s="19"/>
      <c r="K610" s="21"/>
      <c r="L610" s="22"/>
      <c r="M610" s="19"/>
      <c r="N610" s="20"/>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row>
    <row r="611" spans="1:45" x14ac:dyDescent="0.3">
      <c r="A611" s="410" t="s">
        <v>2107</v>
      </c>
      <c r="B611" s="17"/>
      <c r="C611" s="19"/>
      <c r="D611" s="18"/>
      <c r="E611" s="18"/>
      <c r="F611" s="19"/>
      <c r="G611" s="31"/>
      <c r="H611" s="31"/>
      <c r="I611" s="19"/>
      <c r="J611" s="19"/>
      <c r="K611" s="21"/>
      <c r="L611" s="22"/>
      <c r="M611" s="19"/>
      <c r="N611" s="20"/>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row>
    <row r="612" spans="1:45" x14ac:dyDescent="0.3">
      <c r="A612" s="410" t="s">
        <v>2108</v>
      </c>
      <c r="B612" s="17"/>
      <c r="C612" s="19"/>
      <c r="D612" s="18"/>
      <c r="E612" s="18"/>
      <c r="F612" s="19"/>
      <c r="G612" s="31"/>
      <c r="H612" s="31"/>
      <c r="I612" s="19"/>
      <c r="J612" s="19"/>
      <c r="K612" s="21"/>
      <c r="L612" s="22"/>
      <c r="M612" s="19"/>
      <c r="N612" s="20"/>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row>
    <row r="613" spans="1:45" x14ac:dyDescent="0.3">
      <c r="A613" s="410" t="s">
        <v>2109</v>
      </c>
      <c r="B613" s="17"/>
      <c r="C613" s="19"/>
      <c r="D613" s="18"/>
      <c r="E613" s="18"/>
      <c r="F613" s="19"/>
      <c r="G613" s="31"/>
      <c r="H613" s="31"/>
      <c r="I613" s="19"/>
      <c r="J613" s="19"/>
      <c r="K613" s="21"/>
      <c r="L613" s="22"/>
      <c r="M613" s="19"/>
      <c r="N613" s="20"/>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row>
    <row r="614" spans="1:45" x14ac:dyDescent="0.3">
      <c r="A614" s="410" t="s">
        <v>2110</v>
      </c>
      <c r="B614" s="17"/>
      <c r="C614" s="19"/>
      <c r="D614" s="18"/>
      <c r="E614" s="18"/>
      <c r="F614" s="19"/>
      <c r="G614" s="31"/>
      <c r="H614" s="31"/>
      <c r="I614" s="19"/>
      <c r="J614" s="19"/>
      <c r="K614" s="21"/>
      <c r="L614" s="22"/>
      <c r="M614" s="19"/>
      <c r="N614" s="20"/>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row>
    <row r="615" spans="1:45" x14ac:dyDescent="0.3">
      <c r="A615" s="410" t="s">
        <v>2111</v>
      </c>
      <c r="B615" s="17"/>
      <c r="C615" s="19"/>
      <c r="D615" s="18"/>
      <c r="E615" s="18"/>
      <c r="F615" s="19"/>
      <c r="G615" s="31"/>
      <c r="H615" s="31"/>
      <c r="I615" s="19"/>
      <c r="J615" s="19"/>
      <c r="K615" s="21"/>
      <c r="L615" s="22"/>
      <c r="M615" s="19"/>
      <c r="N615" s="20"/>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row>
    <row r="616" spans="1:45" x14ac:dyDescent="0.3">
      <c r="A616" s="410" t="s">
        <v>2112</v>
      </c>
      <c r="B616" s="17"/>
      <c r="C616" s="19"/>
      <c r="D616" s="18"/>
      <c r="E616" s="18"/>
      <c r="F616" s="19"/>
      <c r="G616" s="31"/>
      <c r="H616" s="31"/>
      <c r="I616" s="19"/>
      <c r="J616" s="19"/>
      <c r="K616" s="21"/>
      <c r="L616" s="22"/>
      <c r="M616" s="19"/>
      <c r="N616" s="20"/>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row>
    <row r="617" spans="1:45" x14ac:dyDescent="0.3">
      <c r="A617" s="410" t="s">
        <v>2113</v>
      </c>
      <c r="B617" s="17"/>
      <c r="C617" s="19"/>
      <c r="D617" s="18"/>
      <c r="E617" s="18"/>
      <c r="F617" s="19"/>
      <c r="G617" s="31"/>
      <c r="H617" s="31"/>
      <c r="I617" s="19"/>
      <c r="J617" s="19"/>
      <c r="K617" s="21"/>
      <c r="L617" s="22"/>
      <c r="M617" s="19"/>
      <c r="N617" s="20"/>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row>
    <row r="618" spans="1:45" x14ac:dyDescent="0.3">
      <c r="A618" s="410" t="s">
        <v>2114</v>
      </c>
      <c r="B618" s="17"/>
      <c r="C618" s="19"/>
      <c r="D618" s="18"/>
      <c r="E618" s="18"/>
      <c r="F618" s="19"/>
      <c r="G618" s="31"/>
      <c r="H618" s="31"/>
      <c r="I618" s="19"/>
      <c r="J618" s="19"/>
      <c r="K618" s="21"/>
      <c r="L618" s="22"/>
      <c r="M618" s="19"/>
      <c r="N618" s="20"/>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row>
    <row r="619" spans="1:45" x14ac:dyDescent="0.3">
      <c r="A619" s="410" t="s">
        <v>2115</v>
      </c>
      <c r="B619" s="17"/>
      <c r="C619" s="19"/>
      <c r="D619" s="18"/>
      <c r="E619" s="18"/>
      <c r="F619" s="19"/>
      <c r="G619" s="31"/>
      <c r="H619" s="31"/>
      <c r="I619" s="19"/>
      <c r="J619" s="19"/>
      <c r="K619" s="21"/>
      <c r="L619" s="22"/>
      <c r="M619" s="19"/>
      <c r="N619" s="20"/>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row>
    <row r="620" spans="1:45" x14ac:dyDescent="0.3">
      <c r="A620" s="410" t="s">
        <v>2116</v>
      </c>
      <c r="B620" s="17"/>
      <c r="C620" s="19"/>
      <c r="D620" s="18"/>
      <c r="E620" s="18"/>
      <c r="F620" s="19"/>
      <c r="G620" s="31"/>
      <c r="H620" s="31"/>
      <c r="I620" s="19"/>
      <c r="J620" s="19"/>
      <c r="K620" s="21"/>
      <c r="L620" s="22"/>
      <c r="M620" s="19"/>
      <c r="N620" s="20"/>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row>
    <row r="621" spans="1:45" x14ac:dyDescent="0.3">
      <c r="A621" s="410" t="s">
        <v>2117</v>
      </c>
      <c r="B621" s="17"/>
      <c r="C621" s="19"/>
      <c r="D621" s="18"/>
      <c r="E621" s="18"/>
      <c r="F621" s="19"/>
      <c r="G621" s="31"/>
      <c r="H621" s="31"/>
      <c r="I621" s="19"/>
      <c r="J621" s="19"/>
      <c r="K621" s="21"/>
      <c r="L621" s="22"/>
      <c r="M621" s="19"/>
      <c r="N621" s="20"/>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row>
    <row r="622" spans="1:45" x14ac:dyDescent="0.3">
      <c r="A622" s="410" t="s">
        <v>2118</v>
      </c>
      <c r="B622" s="17"/>
      <c r="C622" s="19"/>
      <c r="D622" s="18"/>
      <c r="E622" s="18"/>
      <c r="F622" s="19"/>
      <c r="G622" s="31"/>
      <c r="H622" s="31"/>
      <c r="I622" s="19"/>
      <c r="J622" s="19"/>
      <c r="K622" s="21"/>
      <c r="L622" s="22"/>
      <c r="M622" s="19"/>
      <c r="N622" s="20"/>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row>
    <row r="623" spans="1:45" x14ac:dyDescent="0.3">
      <c r="A623" s="410" t="s">
        <v>2119</v>
      </c>
      <c r="B623" s="17"/>
      <c r="C623" s="19"/>
      <c r="D623" s="18"/>
      <c r="E623" s="18"/>
      <c r="F623" s="19"/>
      <c r="G623" s="31"/>
      <c r="H623" s="31"/>
      <c r="I623" s="19"/>
      <c r="J623" s="19"/>
      <c r="K623" s="21"/>
      <c r="L623" s="22"/>
      <c r="M623" s="19"/>
      <c r="N623" s="20"/>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row>
    <row r="624" spans="1:45" x14ac:dyDescent="0.3">
      <c r="A624" s="410" t="s">
        <v>2120</v>
      </c>
      <c r="B624" s="17"/>
      <c r="C624" s="19"/>
      <c r="D624" s="18"/>
      <c r="E624" s="18"/>
      <c r="F624" s="19"/>
      <c r="G624" s="31"/>
      <c r="H624" s="31"/>
      <c r="I624" s="19"/>
      <c r="J624" s="19"/>
      <c r="K624" s="21"/>
      <c r="L624" s="22"/>
      <c r="M624" s="19"/>
      <c r="N624" s="20"/>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row>
    <row r="625" spans="1:45" x14ac:dyDescent="0.3">
      <c r="A625" s="410" t="s">
        <v>2121</v>
      </c>
      <c r="B625" s="17"/>
      <c r="C625" s="19"/>
      <c r="D625" s="18"/>
      <c r="E625" s="18"/>
      <c r="F625" s="19"/>
      <c r="G625" s="31"/>
      <c r="H625" s="31"/>
      <c r="I625" s="19"/>
      <c r="J625" s="19"/>
      <c r="K625" s="21"/>
      <c r="L625" s="22"/>
      <c r="M625" s="19"/>
      <c r="N625" s="20"/>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row>
    <row r="626" spans="1:45" x14ac:dyDescent="0.3">
      <c r="A626" s="410" t="s">
        <v>2122</v>
      </c>
      <c r="B626" s="17"/>
      <c r="C626" s="19"/>
      <c r="D626" s="18"/>
      <c r="E626" s="18"/>
      <c r="F626" s="19"/>
      <c r="G626" s="31"/>
      <c r="H626" s="31"/>
      <c r="I626" s="19"/>
      <c r="J626" s="19"/>
      <c r="K626" s="21"/>
      <c r="L626" s="22"/>
      <c r="M626" s="19"/>
      <c r="N626" s="20"/>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row>
    <row r="627" spans="1:45" x14ac:dyDescent="0.3">
      <c r="A627" s="410" t="s">
        <v>2123</v>
      </c>
      <c r="B627" s="17"/>
      <c r="C627" s="19"/>
      <c r="D627" s="18"/>
      <c r="E627" s="18"/>
      <c r="F627" s="19"/>
      <c r="G627" s="31"/>
      <c r="H627" s="31"/>
      <c r="I627" s="19"/>
      <c r="J627" s="19"/>
      <c r="K627" s="21"/>
      <c r="L627" s="22"/>
      <c r="M627" s="19"/>
      <c r="N627" s="20"/>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row>
    <row r="628" spans="1:45" x14ac:dyDescent="0.3">
      <c r="A628" s="410" t="s">
        <v>2124</v>
      </c>
      <c r="B628" s="17"/>
      <c r="C628" s="19"/>
      <c r="D628" s="18"/>
      <c r="E628" s="18"/>
      <c r="F628" s="19"/>
      <c r="G628" s="31"/>
      <c r="H628" s="31"/>
      <c r="I628" s="19"/>
      <c r="J628" s="19"/>
      <c r="K628" s="21"/>
      <c r="L628" s="22"/>
      <c r="M628" s="19"/>
      <c r="N628" s="20"/>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row>
    <row r="629" spans="1:45" x14ac:dyDescent="0.3">
      <c r="A629" s="410" t="s">
        <v>2125</v>
      </c>
      <c r="B629" s="17"/>
      <c r="C629" s="19"/>
      <c r="D629" s="18"/>
      <c r="E629" s="18"/>
      <c r="F629" s="19"/>
      <c r="G629" s="31"/>
      <c r="H629" s="31"/>
      <c r="I629" s="19"/>
      <c r="J629" s="19"/>
      <c r="K629" s="21"/>
      <c r="L629" s="22"/>
      <c r="M629" s="19"/>
      <c r="N629" s="20"/>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row>
    <row r="630" spans="1:45" x14ac:dyDescent="0.3">
      <c r="A630" s="410" t="s">
        <v>2126</v>
      </c>
      <c r="B630" s="17"/>
      <c r="C630" s="19"/>
      <c r="D630" s="18"/>
      <c r="E630" s="18"/>
      <c r="F630" s="19"/>
      <c r="G630" s="31"/>
      <c r="H630" s="31"/>
      <c r="I630" s="19"/>
      <c r="J630" s="19"/>
      <c r="K630" s="21"/>
      <c r="L630" s="22"/>
      <c r="M630" s="19"/>
      <c r="N630" s="20"/>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row>
    <row r="631" spans="1:45" x14ac:dyDescent="0.3">
      <c r="A631" s="410" t="s">
        <v>2127</v>
      </c>
      <c r="B631" s="17"/>
      <c r="C631" s="19"/>
      <c r="D631" s="18"/>
      <c r="E631" s="18"/>
      <c r="F631" s="19"/>
      <c r="G631" s="31"/>
      <c r="H631" s="31"/>
      <c r="I631" s="19"/>
      <c r="J631" s="19"/>
      <c r="K631" s="21"/>
      <c r="L631" s="22"/>
      <c r="M631" s="19"/>
      <c r="N631" s="20"/>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row>
    <row r="632" spans="1:45" x14ac:dyDescent="0.3">
      <c r="A632" s="410" t="s">
        <v>2128</v>
      </c>
      <c r="B632" s="17"/>
      <c r="C632" s="19"/>
      <c r="D632" s="18"/>
      <c r="E632" s="18"/>
      <c r="F632" s="19"/>
      <c r="G632" s="31"/>
      <c r="H632" s="31"/>
      <c r="I632" s="19"/>
      <c r="J632" s="19"/>
      <c r="K632" s="21"/>
      <c r="L632" s="22"/>
      <c r="M632" s="19"/>
      <c r="N632" s="20"/>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row>
    <row r="633" spans="1:45" x14ac:dyDescent="0.3">
      <c r="A633" s="410" t="s">
        <v>2129</v>
      </c>
      <c r="B633" s="17"/>
      <c r="C633" s="19"/>
      <c r="D633" s="18"/>
      <c r="E633" s="18"/>
      <c r="F633" s="19"/>
      <c r="G633" s="31"/>
      <c r="H633" s="31"/>
      <c r="I633" s="19"/>
      <c r="J633" s="19"/>
      <c r="K633" s="21"/>
      <c r="L633" s="22"/>
      <c r="M633" s="19"/>
      <c r="N633" s="20"/>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row>
    <row r="634" spans="1:45" x14ac:dyDescent="0.3">
      <c r="A634" s="410" t="s">
        <v>2130</v>
      </c>
      <c r="B634" s="17"/>
      <c r="C634" s="19"/>
      <c r="D634" s="18"/>
      <c r="E634" s="18"/>
      <c r="F634" s="19"/>
      <c r="G634" s="31"/>
      <c r="H634" s="31"/>
      <c r="I634" s="19"/>
      <c r="J634" s="19"/>
      <c r="K634" s="21"/>
      <c r="L634" s="22"/>
      <c r="M634" s="19"/>
      <c r="N634" s="20"/>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row>
    <row r="635" spans="1:45" x14ac:dyDescent="0.3">
      <c r="A635" s="410" t="s">
        <v>2131</v>
      </c>
      <c r="B635" s="17"/>
      <c r="C635" s="19"/>
      <c r="D635" s="18"/>
      <c r="E635" s="18"/>
      <c r="F635" s="19"/>
      <c r="G635" s="31"/>
      <c r="H635" s="31"/>
      <c r="I635" s="19"/>
      <c r="J635" s="19"/>
      <c r="K635" s="21"/>
      <c r="L635" s="22"/>
      <c r="M635" s="19"/>
      <c r="N635" s="20"/>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row>
    <row r="636" spans="1:45" x14ac:dyDescent="0.3">
      <c r="A636" s="410" t="s">
        <v>2132</v>
      </c>
      <c r="B636" s="17"/>
      <c r="C636" s="19"/>
      <c r="D636" s="18"/>
      <c r="E636" s="18"/>
      <c r="F636" s="19"/>
      <c r="G636" s="31"/>
      <c r="H636" s="31"/>
      <c r="I636" s="19"/>
      <c r="J636" s="19"/>
      <c r="K636" s="21"/>
      <c r="L636" s="22"/>
      <c r="M636" s="19"/>
      <c r="N636" s="20"/>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row>
    <row r="637" spans="1:45" x14ac:dyDescent="0.3">
      <c r="A637" s="410" t="s">
        <v>2133</v>
      </c>
      <c r="B637" s="17"/>
      <c r="C637" s="19"/>
      <c r="D637" s="18"/>
      <c r="E637" s="18"/>
      <c r="F637" s="19"/>
      <c r="G637" s="31"/>
      <c r="H637" s="31"/>
      <c r="I637" s="19"/>
      <c r="J637" s="19"/>
      <c r="K637" s="21"/>
      <c r="L637" s="22"/>
      <c r="M637" s="19"/>
      <c r="N637" s="20"/>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row>
    <row r="638" spans="1:45" x14ac:dyDescent="0.3">
      <c r="A638" s="410" t="s">
        <v>2134</v>
      </c>
      <c r="B638" s="17"/>
      <c r="C638" s="19"/>
      <c r="D638" s="18"/>
      <c r="E638" s="18"/>
      <c r="F638" s="19"/>
      <c r="G638" s="31"/>
      <c r="H638" s="31"/>
      <c r="I638" s="19"/>
      <c r="J638" s="19"/>
      <c r="K638" s="21"/>
      <c r="L638" s="22"/>
      <c r="M638" s="19"/>
      <c r="N638" s="20"/>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row>
    <row r="639" spans="1:45" x14ac:dyDescent="0.3">
      <c r="A639" s="410" t="s">
        <v>2135</v>
      </c>
      <c r="B639" s="17"/>
      <c r="C639" s="19"/>
      <c r="D639" s="18"/>
      <c r="E639" s="18"/>
      <c r="F639" s="19"/>
      <c r="G639" s="31"/>
      <c r="H639" s="31"/>
      <c r="I639" s="19"/>
      <c r="J639" s="19"/>
      <c r="K639" s="21"/>
      <c r="L639" s="22"/>
      <c r="M639" s="19"/>
      <c r="N639" s="20"/>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row>
    <row r="640" spans="1:45" x14ac:dyDescent="0.3">
      <c r="A640" s="410" t="s">
        <v>2136</v>
      </c>
      <c r="B640" s="17"/>
      <c r="C640" s="19"/>
      <c r="D640" s="18"/>
      <c r="E640" s="18"/>
      <c r="F640" s="19"/>
      <c r="G640" s="31"/>
      <c r="H640" s="31"/>
      <c r="I640" s="19"/>
      <c r="J640" s="19"/>
      <c r="K640" s="21"/>
      <c r="L640" s="22"/>
      <c r="M640" s="19"/>
      <c r="N640" s="20"/>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row>
    <row r="641" spans="1:45" x14ac:dyDescent="0.3">
      <c r="A641" s="410" t="s">
        <v>2137</v>
      </c>
      <c r="B641" s="17"/>
      <c r="C641" s="19"/>
      <c r="D641" s="18"/>
      <c r="E641" s="18"/>
      <c r="F641" s="19"/>
      <c r="G641" s="31"/>
      <c r="H641" s="31"/>
      <c r="I641" s="19"/>
      <c r="J641" s="19"/>
      <c r="K641" s="21"/>
      <c r="L641" s="22"/>
      <c r="M641" s="19"/>
      <c r="N641" s="20"/>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row>
    <row r="642" spans="1:45" x14ac:dyDescent="0.3">
      <c r="A642" s="410" t="s">
        <v>2138</v>
      </c>
      <c r="B642" s="17"/>
      <c r="C642" s="19"/>
      <c r="D642" s="18"/>
      <c r="E642" s="18"/>
      <c r="F642" s="19"/>
      <c r="G642" s="31"/>
      <c r="H642" s="31"/>
      <c r="I642" s="19"/>
      <c r="J642" s="19"/>
      <c r="K642" s="21"/>
      <c r="L642" s="22"/>
      <c r="M642" s="19"/>
      <c r="N642" s="20"/>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row>
    <row r="643" spans="1:45" x14ac:dyDescent="0.3">
      <c r="A643" s="410" t="s">
        <v>2139</v>
      </c>
      <c r="B643" s="17"/>
      <c r="C643" s="19"/>
      <c r="D643" s="18"/>
      <c r="E643" s="18"/>
      <c r="F643" s="19"/>
      <c r="G643" s="31"/>
      <c r="H643" s="31"/>
      <c r="I643" s="19"/>
      <c r="J643" s="19"/>
      <c r="K643" s="21"/>
      <c r="L643" s="22"/>
      <c r="M643" s="19"/>
      <c r="N643" s="20"/>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row>
    <row r="644" spans="1:45" x14ac:dyDescent="0.3">
      <c r="A644" s="410" t="s">
        <v>2140</v>
      </c>
      <c r="B644" s="17"/>
      <c r="C644" s="19"/>
      <c r="D644" s="18"/>
      <c r="E644" s="18"/>
      <c r="F644" s="19"/>
      <c r="G644" s="31"/>
      <c r="H644" s="31"/>
      <c r="I644" s="19"/>
      <c r="J644" s="19"/>
      <c r="K644" s="21"/>
      <c r="L644" s="22"/>
      <c r="M644" s="19"/>
      <c r="N644" s="20"/>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row>
    <row r="645" spans="1:45" x14ac:dyDescent="0.3">
      <c r="A645" s="410" t="s">
        <v>2141</v>
      </c>
      <c r="B645" s="17"/>
      <c r="C645" s="19"/>
      <c r="D645" s="18"/>
      <c r="E645" s="18"/>
      <c r="F645" s="19"/>
      <c r="G645" s="31"/>
      <c r="H645" s="31"/>
      <c r="I645" s="19"/>
      <c r="J645" s="19"/>
      <c r="K645" s="21"/>
      <c r="L645" s="22"/>
      <c r="M645" s="19"/>
      <c r="N645" s="20"/>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row>
    <row r="646" spans="1:45" x14ac:dyDescent="0.3">
      <c r="A646" s="410" t="s">
        <v>2142</v>
      </c>
      <c r="B646" s="17"/>
      <c r="C646" s="19"/>
      <c r="D646" s="18"/>
      <c r="E646" s="18"/>
      <c r="F646" s="19"/>
      <c r="G646" s="31"/>
      <c r="H646" s="31"/>
      <c r="I646" s="19"/>
      <c r="J646" s="19"/>
      <c r="K646" s="21"/>
      <c r="L646" s="22"/>
      <c r="M646" s="19"/>
      <c r="N646" s="20"/>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row>
    <row r="647" spans="1:45" x14ac:dyDescent="0.3">
      <c r="A647" s="410" t="s">
        <v>2143</v>
      </c>
      <c r="B647" s="17"/>
      <c r="C647" s="19"/>
      <c r="D647" s="18"/>
      <c r="E647" s="18"/>
      <c r="F647" s="19"/>
      <c r="G647" s="31"/>
      <c r="H647" s="31"/>
      <c r="I647" s="19"/>
      <c r="J647" s="19"/>
      <c r="K647" s="21"/>
      <c r="L647" s="22"/>
      <c r="M647" s="19"/>
      <c r="N647" s="20"/>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row>
    <row r="648" spans="1:45" x14ac:dyDescent="0.3">
      <c r="A648" s="410" t="s">
        <v>2144</v>
      </c>
      <c r="B648" s="17"/>
      <c r="C648" s="19"/>
      <c r="D648" s="18"/>
      <c r="E648" s="18"/>
      <c r="F648" s="19"/>
      <c r="G648" s="31"/>
      <c r="H648" s="31"/>
      <c r="I648" s="19"/>
      <c r="J648" s="19"/>
      <c r="K648" s="21"/>
      <c r="L648" s="22"/>
      <c r="M648" s="19"/>
      <c r="N648" s="20"/>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row>
    <row r="649" spans="1:45" x14ac:dyDescent="0.3">
      <c r="A649" s="410"/>
      <c r="B649" s="17"/>
      <c r="C649" s="19"/>
      <c r="D649" s="18"/>
      <c r="E649" s="17"/>
      <c r="F649" s="19"/>
      <c r="G649" s="31"/>
      <c r="H649" s="31"/>
      <c r="I649" s="19"/>
      <c r="J649" s="19"/>
      <c r="K649" s="21"/>
      <c r="L649" s="22"/>
      <c r="M649" s="19"/>
      <c r="N649" s="20"/>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row>
    <row r="650" spans="1:45" x14ac:dyDescent="0.3">
      <c r="A650" s="410" t="s">
        <v>2145</v>
      </c>
      <c r="B650" s="17" t="s">
        <v>2146</v>
      </c>
      <c r="C650" s="19" t="s">
        <v>1368</v>
      </c>
      <c r="D650" s="19">
        <v>23213903</v>
      </c>
      <c r="E650" s="17"/>
      <c r="F650" s="19"/>
      <c r="G650" s="31"/>
      <c r="H650" s="31"/>
      <c r="I650" s="19"/>
      <c r="J650" s="19"/>
      <c r="K650" s="18"/>
      <c r="L650" s="19"/>
      <c r="M650" s="19"/>
      <c r="N650" s="20"/>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row>
    <row r="651" spans="1:45" x14ac:dyDescent="0.3">
      <c r="A651" s="410" t="s">
        <v>2147</v>
      </c>
      <c r="B651" s="17" t="s">
        <v>2148</v>
      </c>
      <c r="C651" s="19" t="s">
        <v>1368</v>
      </c>
      <c r="D651" s="19">
        <v>23210754</v>
      </c>
      <c r="E651" s="17"/>
      <c r="F651" s="19"/>
      <c r="G651" s="31"/>
      <c r="H651" s="31"/>
      <c r="I651" s="19"/>
      <c r="J651" s="19"/>
      <c r="K651" s="18"/>
      <c r="L651" s="19"/>
      <c r="M651" s="19"/>
      <c r="N651" s="20"/>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row>
    <row r="652" spans="1:45" x14ac:dyDescent="0.3">
      <c r="A652" s="410" t="s">
        <v>2149</v>
      </c>
      <c r="B652" s="17" t="s">
        <v>2150</v>
      </c>
      <c r="C652" s="19" t="s">
        <v>1368</v>
      </c>
      <c r="D652" s="19">
        <v>23149021</v>
      </c>
      <c r="E652" s="17"/>
      <c r="F652" s="19"/>
      <c r="G652" s="31"/>
      <c r="H652" s="31"/>
      <c r="I652" s="19"/>
      <c r="J652" s="19"/>
      <c r="K652" s="18"/>
      <c r="L652" s="19"/>
      <c r="M652" s="19"/>
      <c r="N652" s="20"/>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row>
    <row r="653" spans="1:45" x14ac:dyDescent="0.3">
      <c r="A653" s="410" t="s">
        <v>2151</v>
      </c>
      <c r="B653" s="17" t="s">
        <v>2152</v>
      </c>
      <c r="C653" s="19" t="s">
        <v>1368</v>
      </c>
      <c r="D653" s="19">
        <v>23210769</v>
      </c>
      <c r="E653" s="17"/>
      <c r="F653" s="19"/>
      <c r="G653" s="31"/>
      <c r="H653" s="31"/>
      <c r="I653" s="19"/>
      <c r="J653" s="19"/>
      <c r="K653" s="18"/>
      <c r="L653" s="19"/>
      <c r="M653" s="19"/>
      <c r="N653" s="20"/>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row>
    <row r="654" spans="1:45" x14ac:dyDescent="0.3">
      <c r="A654" s="410" t="s">
        <v>2153</v>
      </c>
      <c r="B654" s="17" t="s">
        <v>2154</v>
      </c>
      <c r="C654" s="19" t="s">
        <v>1368</v>
      </c>
      <c r="D654" s="19">
        <v>23151017</v>
      </c>
      <c r="E654" s="17"/>
      <c r="F654" s="19"/>
      <c r="G654" s="31"/>
      <c r="H654" s="31"/>
      <c r="I654" s="19"/>
      <c r="J654" s="19"/>
      <c r="K654" s="18"/>
      <c r="L654" s="19"/>
      <c r="M654" s="19"/>
      <c r="N654" s="20"/>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row>
    <row r="655" spans="1:45" x14ac:dyDescent="0.3">
      <c r="A655" s="410" t="s">
        <v>2155</v>
      </c>
      <c r="B655" s="17" t="s">
        <v>2156</v>
      </c>
      <c r="C655" s="19" t="s">
        <v>1368</v>
      </c>
      <c r="D655" s="19">
        <v>23207820</v>
      </c>
      <c r="E655" s="17"/>
      <c r="F655" s="19"/>
      <c r="G655" s="31"/>
      <c r="H655" s="31"/>
      <c r="I655" s="19"/>
      <c r="J655" s="19"/>
      <c r="K655" s="21"/>
      <c r="L655" s="22"/>
      <c r="M655" s="19"/>
      <c r="N655" s="20"/>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row>
    <row r="656" spans="1:45" x14ac:dyDescent="0.3">
      <c r="A656" s="410" t="s">
        <v>2157</v>
      </c>
      <c r="B656" s="17" t="s">
        <v>2158</v>
      </c>
      <c r="C656" s="19" t="s">
        <v>1368</v>
      </c>
      <c r="D656" s="19">
        <v>23149523</v>
      </c>
      <c r="E656" s="17"/>
      <c r="F656" s="19"/>
      <c r="G656" s="31"/>
      <c r="H656" s="31"/>
      <c r="I656" s="19"/>
      <c r="J656" s="19"/>
      <c r="K656" s="21"/>
      <c r="L656" s="22"/>
      <c r="M656" s="19"/>
      <c r="N656" s="20"/>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row>
    <row r="657" spans="1:45" x14ac:dyDescent="0.3">
      <c r="A657" s="410" t="s">
        <v>2159</v>
      </c>
      <c r="B657" s="17" t="s">
        <v>2160</v>
      </c>
      <c r="C657" s="19" t="s">
        <v>1368</v>
      </c>
      <c r="D657" s="19">
        <v>23209539</v>
      </c>
      <c r="E657" s="17"/>
      <c r="F657" s="19"/>
      <c r="G657" s="31"/>
      <c r="H657" s="31"/>
      <c r="I657" s="19"/>
      <c r="J657" s="19"/>
      <c r="K657" s="21"/>
      <c r="L657" s="22"/>
      <c r="M657" s="19"/>
      <c r="N657" s="20"/>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row>
    <row r="658" spans="1:45" x14ac:dyDescent="0.3">
      <c r="A658" s="410" t="s">
        <v>2161</v>
      </c>
      <c r="B658" s="17" t="s">
        <v>2162</v>
      </c>
      <c r="C658" s="19" t="s">
        <v>1368</v>
      </c>
      <c r="D658" s="19">
        <v>23207541</v>
      </c>
      <c r="E658" s="17"/>
      <c r="F658" s="19"/>
      <c r="G658" s="31"/>
      <c r="H658" s="31"/>
      <c r="I658" s="19"/>
      <c r="J658" s="19"/>
      <c r="K658" s="21"/>
      <c r="L658" s="22"/>
      <c r="M658" s="19"/>
      <c r="N658" s="20"/>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row>
    <row r="659" spans="1:45" x14ac:dyDescent="0.3">
      <c r="A659" s="410" t="s">
        <v>2163</v>
      </c>
      <c r="B659" s="17" t="s">
        <v>2164</v>
      </c>
      <c r="C659" s="19" t="s">
        <v>1368</v>
      </c>
      <c r="D659" s="19">
        <v>23157158</v>
      </c>
      <c r="E659" s="17"/>
      <c r="F659" s="19"/>
      <c r="G659" s="31"/>
      <c r="H659" s="31"/>
      <c r="I659" s="19"/>
      <c r="J659" s="19"/>
      <c r="K659" s="21"/>
      <c r="L659" s="22"/>
      <c r="M659" s="19"/>
      <c r="N659" s="20"/>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row>
    <row r="660" spans="1:45" x14ac:dyDescent="0.3">
      <c r="A660" s="410" t="s">
        <v>2165</v>
      </c>
      <c r="B660" s="17" t="s">
        <v>2166</v>
      </c>
      <c r="C660" s="19" t="s">
        <v>1368</v>
      </c>
      <c r="D660" s="19">
        <v>23210182</v>
      </c>
      <c r="E660" s="17"/>
      <c r="F660" s="19"/>
      <c r="G660" s="31"/>
      <c r="H660" s="31"/>
      <c r="I660" s="19"/>
      <c r="J660" s="19"/>
      <c r="K660" s="21"/>
      <c r="L660" s="22"/>
      <c r="M660" s="19"/>
      <c r="N660" s="20"/>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row>
    <row r="661" spans="1:45" x14ac:dyDescent="0.3">
      <c r="A661" s="410" t="s">
        <v>2167</v>
      </c>
      <c r="B661" s="17" t="s">
        <v>2168</v>
      </c>
      <c r="C661" s="19" t="s">
        <v>1368</v>
      </c>
      <c r="D661" s="19">
        <v>23149643</v>
      </c>
      <c r="E661" s="17"/>
      <c r="F661" s="19"/>
      <c r="G661" s="31"/>
      <c r="H661" s="31"/>
      <c r="I661" s="19"/>
      <c r="J661" s="19"/>
      <c r="K661" s="21"/>
      <c r="L661" s="22"/>
      <c r="M661" s="19"/>
      <c r="N661" s="20"/>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row>
    <row r="662" spans="1:45" x14ac:dyDescent="0.3">
      <c r="A662" s="410" t="s">
        <v>2169</v>
      </c>
      <c r="B662" s="17" t="s">
        <v>2170</v>
      </c>
      <c r="C662" s="19" t="s">
        <v>1368</v>
      </c>
      <c r="D662" s="19">
        <v>22226794</v>
      </c>
      <c r="E662" s="17"/>
      <c r="F662" s="19"/>
      <c r="G662" s="31"/>
      <c r="H662" s="31"/>
      <c r="I662" s="19"/>
      <c r="J662" s="19"/>
      <c r="K662" s="21"/>
      <c r="L662" s="22"/>
      <c r="M662" s="19"/>
      <c r="N662" s="20"/>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row>
    <row r="663" spans="1:45" x14ac:dyDescent="0.3">
      <c r="A663" s="410" t="s">
        <v>2171</v>
      </c>
      <c r="B663" s="17" t="s">
        <v>2172</v>
      </c>
      <c r="C663" s="19" t="s">
        <v>1368</v>
      </c>
      <c r="D663" s="19">
        <v>23207457</v>
      </c>
      <c r="E663" s="17"/>
      <c r="F663" s="19"/>
      <c r="G663" s="31"/>
      <c r="H663" s="31"/>
      <c r="I663" s="19"/>
      <c r="J663" s="19"/>
      <c r="K663" s="21"/>
      <c r="L663" s="22"/>
      <c r="M663" s="19"/>
      <c r="N663" s="20"/>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row>
    <row r="664" spans="1:45" x14ac:dyDescent="0.3">
      <c r="A664" s="410" t="s">
        <v>2173</v>
      </c>
      <c r="B664" s="17" t="s">
        <v>2174</v>
      </c>
      <c r="C664" s="19" t="s">
        <v>1368</v>
      </c>
      <c r="D664" s="19">
        <v>23147805</v>
      </c>
      <c r="E664" s="17"/>
      <c r="F664" s="19"/>
      <c r="G664" s="31"/>
      <c r="H664" s="31"/>
      <c r="I664" s="19"/>
      <c r="J664" s="19"/>
      <c r="K664" s="21"/>
      <c r="L664" s="22"/>
      <c r="M664" s="19"/>
      <c r="N664" s="20"/>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row>
    <row r="665" spans="1:45" x14ac:dyDescent="0.3">
      <c r="A665" s="410" t="s">
        <v>2175</v>
      </c>
      <c r="B665" s="17" t="s">
        <v>2176</v>
      </c>
      <c r="C665" s="19" t="s">
        <v>1368</v>
      </c>
      <c r="D665" s="19">
        <v>23148092</v>
      </c>
      <c r="E665" s="17"/>
      <c r="F665" s="19"/>
      <c r="G665" s="31"/>
      <c r="H665" s="31"/>
      <c r="I665" s="19"/>
      <c r="J665" s="19"/>
      <c r="K665" s="21"/>
      <c r="L665" s="22"/>
      <c r="M665" s="19"/>
      <c r="N665" s="20"/>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row>
    <row r="666" spans="1:45" x14ac:dyDescent="0.3">
      <c r="A666" s="410" t="s">
        <v>2177</v>
      </c>
      <c r="B666" s="17" t="s">
        <v>2178</v>
      </c>
      <c r="C666" s="19" t="s">
        <v>1368</v>
      </c>
      <c r="D666" s="19">
        <v>23150036</v>
      </c>
      <c r="E666" s="17"/>
      <c r="F666" s="19"/>
      <c r="G666" s="31"/>
      <c r="H666" s="31"/>
      <c r="I666" s="19"/>
      <c r="J666" s="19"/>
      <c r="K666" s="21"/>
      <c r="L666" s="22"/>
      <c r="M666" s="19"/>
      <c r="N666" s="20"/>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row>
    <row r="667" spans="1:45" x14ac:dyDescent="0.3">
      <c r="A667" s="410" t="s">
        <v>2179</v>
      </c>
      <c r="B667" s="17" t="s">
        <v>2180</v>
      </c>
      <c r="C667" s="19" t="s">
        <v>1368</v>
      </c>
      <c r="D667" s="19">
        <v>23149527</v>
      </c>
      <c r="E667" s="17"/>
      <c r="F667" s="19"/>
      <c r="G667" s="31"/>
      <c r="H667" s="31"/>
      <c r="I667" s="19"/>
      <c r="J667" s="19"/>
      <c r="K667" s="21"/>
      <c r="L667" s="22"/>
      <c r="M667" s="19"/>
      <c r="N667" s="20"/>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row>
    <row r="668" spans="1:45" x14ac:dyDescent="0.3">
      <c r="A668" s="410" t="s">
        <v>2181</v>
      </c>
      <c r="B668" s="17"/>
      <c r="C668" s="19"/>
      <c r="D668" s="18"/>
      <c r="E668" s="18"/>
      <c r="F668" s="19"/>
      <c r="G668" s="31"/>
      <c r="H668" s="31"/>
      <c r="I668" s="19"/>
      <c r="J668" s="19"/>
      <c r="K668" s="21"/>
      <c r="L668" s="22"/>
      <c r="M668" s="19"/>
      <c r="N668" s="20"/>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row>
    <row r="669" spans="1:45" x14ac:dyDescent="0.3">
      <c r="A669" s="410" t="s">
        <v>2182</v>
      </c>
      <c r="B669" s="17"/>
      <c r="C669" s="19"/>
      <c r="D669" s="18"/>
      <c r="E669" s="18"/>
      <c r="F669" s="19"/>
      <c r="G669" s="31"/>
      <c r="H669" s="31"/>
      <c r="I669" s="19"/>
      <c r="J669" s="19"/>
      <c r="K669" s="21"/>
      <c r="L669" s="22"/>
      <c r="M669" s="19"/>
      <c r="N669" s="20"/>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row>
    <row r="670" spans="1:45" x14ac:dyDescent="0.3">
      <c r="A670" s="410" t="s">
        <v>2183</v>
      </c>
      <c r="B670" s="17"/>
      <c r="C670" s="19"/>
      <c r="D670" s="18"/>
      <c r="E670" s="18"/>
      <c r="F670" s="19"/>
      <c r="G670" s="31"/>
      <c r="H670" s="31"/>
      <c r="I670" s="19"/>
      <c r="J670" s="19"/>
      <c r="K670" s="21"/>
      <c r="L670" s="22"/>
      <c r="M670" s="19"/>
      <c r="N670" s="20"/>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row>
    <row r="671" spans="1:45" x14ac:dyDescent="0.3">
      <c r="A671" s="410" t="s">
        <v>2184</v>
      </c>
      <c r="B671" s="17"/>
      <c r="C671" s="19"/>
      <c r="D671" s="18"/>
      <c r="E671" s="18"/>
      <c r="F671" s="19"/>
      <c r="G671" s="31"/>
      <c r="H671" s="31"/>
      <c r="I671" s="19"/>
      <c r="J671" s="19"/>
      <c r="K671" s="21"/>
      <c r="L671" s="22"/>
      <c r="M671" s="19"/>
      <c r="N671" s="20"/>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row>
    <row r="672" spans="1:45" x14ac:dyDescent="0.3">
      <c r="A672" s="410" t="s">
        <v>2185</v>
      </c>
      <c r="B672" s="17"/>
      <c r="C672" s="19"/>
      <c r="D672" s="18"/>
      <c r="E672" s="18"/>
      <c r="F672" s="19"/>
      <c r="G672" s="31"/>
      <c r="H672" s="31"/>
      <c r="I672" s="19"/>
      <c r="J672" s="19"/>
      <c r="K672" s="21"/>
      <c r="L672" s="22"/>
      <c r="M672" s="19"/>
      <c r="N672" s="20"/>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row>
    <row r="673" spans="1:45" x14ac:dyDescent="0.3">
      <c r="A673" s="410" t="s">
        <v>2186</v>
      </c>
      <c r="B673" s="17"/>
      <c r="C673" s="19"/>
      <c r="D673" s="18"/>
      <c r="E673" s="18"/>
      <c r="F673" s="19"/>
      <c r="G673" s="31"/>
      <c r="H673" s="31"/>
      <c r="I673" s="19"/>
      <c r="J673" s="19"/>
      <c r="K673" s="21"/>
      <c r="L673" s="22"/>
      <c r="M673" s="19"/>
      <c r="N673" s="20"/>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row>
    <row r="674" spans="1:45" x14ac:dyDescent="0.3">
      <c r="A674" s="410" t="s">
        <v>2187</v>
      </c>
      <c r="B674" s="17"/>
      <c r="C674" s="19"/>
      <c r="D674" s="18"/>
      <c r="E674" s="18"/>
      <c r="F674" s="19"/>
      <c r="G674" s="31"/>
      <c r="H674" s="31"/>
      <c r="I674" s="19"/>
      <c r="J674" s="19"/>
      <c r="K674" s="21"/>
      <c r="L674" s="22"/>
      <c r="M674" s="19"/>
      <c r="N674" s="20"/>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row>
    <row r="675" spans="1:45" x14ac:dyDescent="0.3">
      <c r="A675" s="410" t="s">
        <v>2188</v>
      </c>
      <c r="B675" s="17"/>
      <c r="C675" s="19"/>
      <c r="D675" s="18"/>
      <c r="E675" s="18"/>
      <c r="F675" s="19"/>
      <c r="G675" s="31"/>
      <c r="H675" s="31"/>
      <c r="I675" s="19"/>
      <c r="J675" s="19"/>
      <c r="K675" s="21"/>
      <c r="L675" s="22"/>
      <c r="M675" s="19"/>
      <c r="N675" s="20"/>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row>
    <row r="676" spans="1:45" x14ac:dyDescent="0.3">
      <c r="A676" s="410" t="s">
        <v>2189</v>
      </c>
      <c r="B676" s="17"/>
      <c r="C676" s="19"/>
      <c r="D676" s="18"/>
      <c r="E676" s="18"/>
      <c r="F676" s="19"/>
      <c r="G676" s="31"/>
      <c r="H676" s="31"/>
      <c r="I676" s="19"/>
      <c r="J676" s="19"/>
      <c r="K676" s="21"/>
      <c r="L676" s="22"/>
      <c r="M676" s="19"/>
      <c r="N676" s="20"/>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row>
    <row r="677" spans="1:45" x14ac:dyDescent="0.3">
      <c r="A677" s="410" t="s">
        <v>2190</v>
      </c>
      <c r="B677" s="17"/>
      <c r="C677" s="19"/>
      <c r="D677" s="18"/>
      <c r="E677" s="18"/>
      <c r="F677" s="19"/>
      <c r="G677" s="31"/>
      <c r="H677" s="31"/>
      <c r="I677" s="19"/>
      <c r="J677" s="19"/>
      <c r="K677" s="21"/>
      <c r="L677" s="22"/>
      <c r="M677" s="19"/>
      <c r="N677" s="20"/>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row>
    <row r="678" spans="1:45" x14ac:dyDescent="0.3">
      <c r="A678" s="410" t="s">
        <v>2191</v>
      </c>
      <c r="B678" s="17"/>
      <c r="C678" s="19"/>
      <c r="D678" s="18"/>
      <c r="E678" s="18"/>
      <c r="F678" s="19"/>
      <c r="G678" s="31"/>
      <c r="H678" s="31"/>
      <c r="I678" s="19"/>
      <c r="J678" s="19"/>
      <c r="K678" s="21"/>
      <c r="L678" s="22"/>
      <c r="M678" s="19"/>
      <c r="N678" s="20"/>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row>
    <row r="679" spans="1:45" x14ac:dyDescent="0.3">
      <c r="A679" s="410" t="s">
        <v>2192</v>
      </c>
      <c r="B679" s="17"/>
      <c r="C679" s="19"/>
      <c r="D679" s="18"/>
      <c r="E679" s="429"/>
      <c r="F679" s="19"/>
      <c r="G679" s="31"/>
      <c r="H679" s="31"/>
      <c r="I679" s="19"/>
      <c r="J679" s="19"/>
      <c r="K679" s="21"/>
      <c r="L679" s="22"/>
      <c r="M679" s="19"/>
      <c r="N679" s="20"/>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row>
    <row r="680" spans="1:45" x14ac:dyDescent="0.3">
      <c r="A680" s="410" t="s">
        <v>2193</v>
      </c>
      <c r="B680" s="17"/>
      <c r="C680" s="19"/>
      <c r="D680" s="18"/>
      <c r="E680" s="18"/>
      <c r="F680" s="19"/>
      <c r="G680" s="31"/>
      <c r="H680" s="31"/>
      <c r="I680" s="19"/>
      <c r="J680" s="19"/>
      <c r="K680" s="21"/>
      <c r="L680" s="22"/>
      <c r="M680" s="19"/>
      <c r="N680" s="20"/>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row>
    <row r="681" spans="1:45" x14ac:dyDescent="0.3">
      <c r="A681" s="410" t="s">
        <v>2194</v>
      </c>
      <c r="B681" s="17"/>
      <c r="C681" s="19"/>
      <c r="D681" s="18"/>
      <c r="E681" s="18"/>
      <c r="F681" s="19"/>
      <c r="G681" s="31"/>
      <c r="H681" s="31"/>
      <c r="I681" s="19"/>
      <c r="J681" s="19"/>
      <c r="K681" s="21"/>
      <c r="L681" s="22"/>
      <c r="M681" s="19"/>
      <c r="N681" s="20"/>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row>
    <row r="682" spans="1:45" x14ac:dyDescent="0.3">
      <c r="A682" s="410" t="s">
        <v>2195</v>
      </c>
      <c r="B682" s="17"/>
      <c r="C682" s="19"/>
      <c r="D682" s="18"/>
      <c r="E682" s="18"/>
      <c r="F682" s="19"/>
      <c r="G682" s="31"/>
      <c r="H682" s="31"/>
      <c r="I682" s="19"/>
      <c r="J682" s="19"/>
      <c r="K682" s="21"/>
      <c r="L682" s="22"/>
      <c r="M682" s="19"/>
      <c r="N682" s="20"/>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row>
    <row r="683" spans="1:45" x14ac:dyDescent="0.3">
      <c r="A683" s="410" t="s">
        <v>2196</v>
      </c>
      <c r="B683" s="17"/>
      <c r="C683" s="19"/>
      <c r="D683" s="18"/>
      <c r="E683" s="18"/>
      <c r="F683" s="19"/>
      <c r="G683" s="31"/>
      <c r="H683" s="31"/>
      <c r="I683" s="19"/>
      <c r="J683" s="19"/>
      <c r="K683" s="21"/>
      <c r="L683" s="22"/>
      <c r="M683" s="19"/>
      <c r="N683" s="20"/>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row>
    <row r="684" spans="1:45" x14ac:dyDescent="0.3">
      <c r="A684" s="410" t="s">
        <v>2197</v>
      </c>
      <c r="B684" s="17"/>
      <c r="C684" s="19"/>
      <c r="D684" s="18"/>
      <c r="E684" s="18"/>
      <c r="F684" s="19"/>
      <c r="G684" s="31"/>
      <c r="H684" s="31"/>
      <c r="I684" s="19"/>
      <c r="J684" s="19"/>
      <c r="K684" s="21"/>
      <c r="L684" s="22"/>
      <c r="M684" s="19"/>
      <c r="N684" s="20"/>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row>
    <row r="685" spans="1:45" x14ac:dyDescent="0.3">
      <c r="A685" s="410" t="s">
        <v>2198</v>
      </c>
      <c r="B685" s="17"/>
      <c r="C685" s="19"/>
      <c r="D685" s="18"/>
      <c r="E685" s="18"/>
      <c r="F685" s="19"/>
      <c r="G685" s="31"/>
      <c r="H685" s="31"/>
      <c r="I685" s="19"/>
      <c r="J685" s="19"/>
      <c r="K685" s="21"/>
      <c r="L685" s="22"/>
      <c r="M685" s="19"/>
      <c r="N685" s="20"/>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row>
    <row r="686" spans="1:45" x14ac:dyDescent="0.3">
      <c r="A686" s="410" t="s">
        <v>2199</v>
      </c>
      <c r="B686" s="17"/>
      <c r="C686" s="19"/>
      <c r="D686" s="18"/>
      <c r="E686" s="18"/>
      <c r="F686" s="19"/>
      <c r="G686" s="31"/>
      <c r="H686" s="31"/>
      <c r="I686" s="19"/>
      <c r="J686" s="19"/>
      <c r="K686" s="21"/>
      <c r="L686" s="22"/>
      <c r="M686" s="19"/>
      <c r="N686" s="20"/>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row>
    <row r="687" spans="1:45" x14ac:dyDescent="0.3">
      <c r="A687" s="410" t="s">
        <v>2200</v>
      </c>
      <c r="B687" s="17"/>
      <c r="C687" s="19"/>
      <c r="D687" s="18"/>
      <c r="E687" s="18"/>
      <c r="F687" s="19"/>
      <c r="G687" s="31"/>
      <c r="H687" s="31"/>
      <c r="I687" s="19"/>
      <c r="J687" s="19"/>
      <c r="K687" s="21"/>
      <c r="L687" s="22"/>
      <c r="M687" s="19"/>
      <c r="N687" s="20"/>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row>
    <row r="688" spans="1:45" x14ac:dyDescent="0.3">
      <c r="A688" s="410" t="s">
        <v>2201</v>
      </c>
      <c r="B688" s="17"/>
      <c r="C688" s="19"/>
      <c r="D688" s="18"/>
      <c r="E688" s="18"/>
      <c r="F688" s="19"/>
      <c r="G688" s="31"/>
      <c r="H688" s="31"/>
      <c r="I688" s="19"/>
      <c r="J688" s="19"/>
      <c r="K688" s="21"/>
      <c r="L688" s="22"/>
      <c r="M688" s="19"/>
      <c r="N688" s="20"/>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row>
    <row r="689" spans="1:45" x14ac:dyDescent="0.3">
      <c r="A689" s="410" t="s">
        <v>2202</v>
      </c>
      <c r="B689" s="17"/>
      <c r="C689" s="19"/>
      <c r="D689" s="18"/>
      <c r="E689" s="18"/>
      <c r="F689" s="19"/>
      <c r="G689" s="31"/>
      <c r="H689" s="31"/>
      <c r="I689" s="19"/>
      <c r="J689" s="19"/>
      <c r="K689" s="21"/>
      <c r="L689" s="22"/>
      <c r="M689" s="19"/>
      <c r="N689" s="20"/>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row>
    <row r="690" spans="1:45" x14ac:dyDescent="0.3">
      <c r="A690" s="410" t="s">
        <v>2203</v>
      </c>
      <c r="B690" s="17"/>
      <c r="C690" s="19"/>
      <c r="D690" s="18"/>
      <c r="E690" s="18"/>
      <c r="F690" s="19"/>
      <c r="G690" s="31"/>
      <c r="H690" s="31"/>
      <c r="I690" s="19"/>
      <c r="J690" s="19"/>
      <c r="K690" s="21"/>
      <c r="L690" s="22"/>
      <c r="M690" s="19"/>
      <c r="N690" s="20"/>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row>
    <row r="691" spans="1:45" x14ac:dyDescent="0.3">
      <c r="A691" s="410" t="s">
        <v>2204</v>
      </c>
      <c r="B691" s="17"/>
      <c r="C691" s="19"/>
      <c r="D691" s="18"/>
      <c r="E691" s="18"/>
      <c r="F691" s="19"/>
      <c r="G691" s="31"/>
      <c r="H691" s="31"/>
      <c r="I691" s="19"/>
      <c r="J691" s="19"/>
      <c r="K691" s="21"/>
      <c r="L691" s="22"/>
      <c r="M691" s="19"/>
      <c r="N691" s="20"/>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row>
    <row r="692" spans="1:45" x14ac:dyDescent="0.3">
      <c r="A692" s="410" t="s">
        <v>2205</v>
      </c>
      <c r="B692" s="17"/>
      <c r="C692" s="19"/>
      <c r="D692" s="18"/>
      <c r="E692" s="18"/>
      <c r="F692" s="19"/>
      <c r="G692" s="31"/>
      <c r="H692" s="31"/>
      <c r="I692" s="19"/>
      <c r="J692" s="19"/>
      <c r="K692" s="21"/>
      <c r="L692" s="22"/>
      <c r="M692" s="19"/>
      <c r="N692" s="20"/>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row>
    <row r="693" spans="1:45" x14ac:dyDescent="0.3">
      <c r="A693" s="410" t="s">
        <v>2206</v>
      </c>
      <c r="B693" s="17"/>
      <c r="C693" s="19"/>
      <c r="D693" s="18"/>
      <c r="E693" s="18"/>
      <c r="F693" s="19"/>
      <c r="G693" s="31"/>
      <c r="H693" s="31"/>
      <c r="I693" s="19"/>
      <c r="J693" s="19"/>
      <c r="K693" s="21"/>
      <c r="L693" s="22"/>
      <c r="M693" s="19"/>
      <c r="N693" s="20"/>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row>
    <row r="694" spans="1:45" x14ac:dyDescent="0.3">
      <c r="A694" s="410" t="s">
        <v>2207</v>
      </c>
      <c r="B694" s="17"/>
      <c r="C694" s="19"/>
      <c r="D694" s="18"/>
      <c r="E694" s="18"/>
      <c r="F694" s="19"/>
      <c r="G694" s="31"/>
      <c r="H694" s="31"/>
      <c r="I694" s="19"/>
      <c r="J694" s="19"/>
      <c r="K694" s="21"/>
      <c r="L694" s="22"/>
      <c r="M694" s="19"/>
      <c r="N694" s="20"/>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row>
    <row r="695" spans="1:45" x14ac:dyDescent="0.3">
      <c r="A695" s="410" t="s">
        <v>2208</v>
      </c>
      <c r="B695" s="17"/>
      <c r="C695" s="19"/>
      <c r="D695" s="18"/>
      <c r="E695" s="18"/>
      <c r="F695" s="19"/>
      <c r="G695" s="31"/>
      <c r="H695" s="31"/>
      <c r="I695" s="19"/>
      <c r="J695" s="19"/>
      <c r="K695" s="21"/>
      <c r="L695" s="22"/>
      <c r="M695" s="19"/>
      <c r="N695" s="20"/>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row>
    <row r="696" spans="1:45" x14ac:dyDescent="0.3">
      <c r="A696" s="410" t="s">
        <v>2209</v>
      </c>
      <c r="B696" s="17"/>
      <c r="C696" s="19"/>
      <c r="D696" s="18"/>
      <c r="E696" s="18"/>
      <c r="F696" s="19"/>
      <c r="G696" s="31"/>
      <c r="H696" s="31"/>
      <c r="I696" s="19"/>
      <c r="J696" s="19"/>
      <c r="K696" s="21"/>
      <c r="L696" s="22"/>
      <c r="M696" s="19"/>
      <c r="N696" s="20"/>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row>
    <row r="697" spans="1:45" x14ac:dyDescent="0.3">
      <c r="A697" s="410" t="s">
        <v>2210</v>
      </c>
      <c r="B697" s="17"/>
      <c r="C697" s="19"/>
      <c r="D697" s="18"/>
      <c r="E697" s="18"/>
      <c r="F697" s="19"/>
      <c r="G697" s="31"/>
      <c r="H697" s="31"/>
      <c r="I697" s="19"/>
      <c r="J697" s="19"/>
      <c r="K697" s="21"/>
      <c r="L697" s="22"/>
      <c r="M697" s="19"/>
      <c r="N697" s="20"/>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row>
    <row r="698" spans="1:45" x14ac:dyDescent="0.3">
      <c r="A698" s="410" t="s">
        <v>2211</v>
      </c>
      <c r="B698" s="17"/>
      <c r="C698" s="19"/>
      <c r="D698" s="18"/>
      <c r="E698" s="18"/>
      <c r="F698" s="19"/>
      <c r="G698" s="31"/>
      <c r="H698" s="31"/>
      <c r="I698" s="19"/>
      <c r="J698" s="19"/>
      <c r="K698" s="21"/>
      <c r="L698" s="22"/>
      <c r="M698" s="19"/>
      <c r="N698" s="20"/>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row>
    <row r="699" spans="1:45" x14ac:dyDescent="0.3">
      <c r="A699" s="410" t="s">
        <v>2212</v>
      </c>
      <c r="B699" s="17"/>
      <c r="C699" s="19"/>
      <c r="D699" s="18"/>
      <c r="E699" s="18"/>
      <c r="F699" s="19"/>
      <c r="G699" s="31"/>
      <c r="H699" s="31"/>
      <c r="I699" s="19"/>
      <c r="J699" s="19"/>
      <c r="K699" s="21"/>
      <c r="L699" s="22"/>
      <c r="M699" s="19"/>
      <c r="N699" s="20"/>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row>
    <row r="700" spans="1:45" x14ac:dyDescent="0.3">
      <c r="A700" s="410" t="s">
        <v>2213</v>
      </c>
      <c r="B700" s="17"/>
      <c r="C700" s="19"/>
      <c r="D700" s="18"/>
      <c r="E700" s="18"/>
      <c r="F700" s="19"/>
      <c r="G700" s="31"/>
      <c r="H700" s="31"/>
      <c r="I700" s="19"/>
      <c r="J700" s="19"/>
      <c r="K700" s="21"/>
      <c r="L700" s="22"/>
      <c r="M700" s="19"/>
      <c r="N700" s="20"/>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row>
    <row r="701" spans="1:45" x14ac:dyDescent="0.3">
      <c r="A701" s="410" t="s">
        <v>2214</v>
      </c>
      <c r="B701" s="17"/>
      <c r="C701" s="19"/>
      <c r="D701" s="18"/>
      <c r="E701" s="18"/>
      <c r="F701" s="19"/>
      <c r="G701" s="31"/>
      <c r="H701" s="31"/>
      <c r="I701" s="19"/>
      <c r="J701" s="19"/>
      <c r="K701" s="21"/>
      <c r="L701" s="22"/>
      <c r="M701" s="19"/>
      <c r="N701" s="20"/>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row>
    <row r="702" spans="1:45" x14ac:dyDescent="0.3">
      <c r="A702" s="410" t="s">
        <v>2215</v>
      </c>
      <c r="B702" s="17"/>
      <c r="C702" s="19"/>
      <c r="D702" s="18"/>
      <c r="E702" s="18"/>
      <c r="F702" s="19"/>
      <c r="G702" s="31"/>
      <c r="H702" s="31"/>
      <c r="I702" s="19"/>
      <c r="J702" s="19"/>
      <c r="K702" s="21"/>
      <c r="L702" s="22"/>
      <c r="M702" s="19"/>
      <c r="N702" s="20"/>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row>
    <row r="703" spans="1:45" x14ac:dyDescent="0.3">
      <c r="A703" s="410" t="s">
        <v>2216</v>
      </c>
      <c r="B703" s="17"/>
      <c r="C703" s="19"/>
      <c r="D703" s="18"/>
      <c r="E703" s="18"/>
      <c r="F703" s="19"/>
      <c r="G703" s="31"/>
      <c r="H703" s="31"/>
      <c r="I703" s="19"/>
      <c r="J703" s="19"/>
      <c r="K703" s="21"/>
      <c r="L703" s="22"/>
      <c r="M703" s="19"/>
      <c r="N703" s="20"/>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row>
    <row r="704" spans="1:45" x14ac:dyDescent="0.3">
      <c r="A704" s="410" t="s">
        <v>2217</v>
      </c>
      <c r="B704" s="17"/>
      <c r="C704" s="19"/>
      <c r="D704" s="18"/>
      <c r="E704" s="18"/>
      <c r="F704" s="19"/>
      <c r="G704" s="31"/>
      <c r="H704" s="31"/>
      <c r="I704" s="19"/>
      <c r="J704" s="19"/>
      <c r="K704" s="21"/>
      <c r="L704" s="22"/>
      <c r="M704" s="19"/>
      <c r="N704" s="20"/>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row>
    <row r="705" spans="1:45" x14ac:dyDescent="0.3">
      <c r="A705" s="410" t="s">
        <v>2218</v>
      </c>
      <c r="B705" s="17"/>
      <c r="C705" s="19"/>
      <c r="D705" s="18"/>
      <c r="E705" s="18"/>
      <c r="F705" s="19"/>
      <c r="G705" s="31"/>
      <c r="H705" s="31"/>
      <c r="I705" s="19"/>
      <c r="J705" s="19"/>
      <c r="K705" s="21"/>
      <c r="L705" s="22"/>
      <c r="M705" s="19"/>
      <c r="N705" s="20"/>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row>
    <row r="706" spans="1:45" x14ac:dyDescent="0.3">
      <c r="A706" s="410" t="s">
        <v>2219</v>
      </c>
      <c r="B706" s="17"/>
      <c r="C706" s="19"/>
      <c r="D706" s="18"/>
      <c r="E706" s="18"/>
      <c r="F706" s="19"/>
      <c r="G706" s="31"/>
      <c r="H706" s="31"/>
      <c r="I706" s="19"/>
      <c r="J706" s="19"/>
      <c r="K706" s="21"/>
      <c r="L706" s="22"/>
      <c r="M706" s="19"/>
      <c r="N706" s="20"/>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row>
    <row r="707" spans="1:45" x14ac:dyDescent="0.3">
      <c r="A707" s="410" t="s">
        <v>2220</v>
      </c>
      <c r="B707" s="17"/>
      <c r="C707" s="19"/>
      <c r="D707" s="18"/>
      <c r="E707" s="18"/>
      <c r="F707" s="19"/>
      <c r="G707" s="31"/>
      <c r="H707" s="31"/>
      <c r="I707" s="19"/>
      <c r="J707" s="19"/>
      <c r="K707" s="21"/>
      <c r="L707" s="22"/>
      <c r="M707" s="19"/>
      <c r="N707" s="20"/>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row>
    <row r="708" spans="1:45" x14ac:dyDescent="0.3">
      <c r="A708" s="410" t="s">
        <v>2221</v>
      </c>
      <c r="B708" s="17"/>
      <c r="C708" s="19"/>
      <c r="D708" s="18"/>
      <c r="E708" s="18"/>
      <c r="F708" s="19"/>
      <c r="G708" s="31"/>
      <c r="H708" s="31"/>
      <c r="I708" s="19"/>
      <c r="J708" s="19"/>
      <c r="K708" s="21"/>
      <c r="L708" s="22"/>
      <c r="M708" s="19"/>
      <c r="N708" s="20"/>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row>
    <row r="709" spans="1:45" x14ac:dyDescent="0.3">
      <c r="A709" s="410" t="s">
        <v>2222</v>
      </c>
      <c r="B709" s="17"/>
      <c r="C709" s="19"/>
      <c r="D709" s="18"/>
      <c r="E709" s="18"/>
      <c r="F709" s="19"/>
      <c r="G709" s="31"/>
      <c r="H709" s="31"/>
      <c r="I709" s="19"/>
      <c r="J709" s="19"/>
      <c r="K709" s="21"/>
      <c r="L709" s="22"/>
      <c r="M709" s="19"/>
      <c r="N709" s="20"/>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row>
    <row r="710" spans="1:45" x14ac:dyDescent="0.3">
      <c r="A710" s="410" t="s">
        <v>2223</v>
      </c>
      <c r="B710" s="17"/>
      <c r="C710" s="19"/>
      <c r="D710" s="18"/>
      <c r="E710" s="18"/>
      <c r="F710" s="19"/>
      <c r="G710" s="31"/>
      <c r="H710" s="31"/>
      <c r="I710" s="19"/>
      <c r="J710" s="19"/>
      <c r="K710" s="21"/>
      <c r="L710" s="22"/>
      <c r="M710" s="19"/>
      <c r="N710" s="20"/>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row>
    <row r="711" spans="1:45" x14ac:dyDescent="0.3">
      <c r="A711" s="410" t="s">
        <v>2224</v>
      </c>
      <c r="B711" s="17"/>
      <c r="C711" s="19"/>
      <c r="D711" s="18"/>
      <c r="E711" s="18"/>
      <c r="F711" s="19"/>
      <c r="G711" s="31"/>
      <c r="H711" s="31"/>
      <c r="I711" s="19"/>
      <c r="J711" s="19"/>
      <c r="K711" s="21"/>
      <c r="L711" s="22"/>
      <c r="M711" s="19"/>
      <c r="N711" s="20"/>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row>
    <row r="712" spans="1:45" x14ac:dyDescent="0.3">
      <c r="A712" s="410" t="s">
        <v>2225</v>
      </c>
      <c r="B712" s="17"/>
      <c r="C712" s="19"/>
      <c r="D712" s="18"/>
      <c r="E712" s="18"/>
      <c r="F712" s="19"/>
      <c r="G712" s="31"/>
      <c r="H712" s="31"/>
      <c r="I712" s="19"/>
      <c r="J712" s="19"/>
      <c r="K712" s="21"/>
      <c r="L712" s="22"/>
      <c r="M712" s="19"/>
      <c r="N712" s="20"/>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row>
    <row r="713" spans="1:45" x14ac:dyDescent="0.3">
      <c r="A713" s="410" t="s">
        <v>2226</v>
      </c>
      <c r="B713" s="17"/>
      <c r="C713" s="19"/>
      <c r="D713" s="18"/>
      <c r="E713" s="18"/>
      <c r="F713" s="19"/>
      <c r="G713" s="31"/>
      <c r="H713" s="31"/>
      <c r="I713" s="19"/>
      <c r="J713" s="19"/>
      <c r="K713" s="21"/>
      <c r="L713" s="22"/>
      <c r="M713" s="19"/>
      <c r="N713" s="20"/>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row>
    <row r="714" spans="1:45" x14ac:dyDescent="0.3">
      <c r="A714" s="410" t="s">
        <v>2227</v>
      </c>
      <c r="B714" s="17"/>
      <c r="C714" s="19"/>
      <c r="D714" s="18"/>
      <c r="E714" s="18"/>
      <c r="F714" s="19"/>
      <c r="G714" s="31"/>
      <c r="H714" s="31"/>
      <c r="I714" s="19"/>
      <c r="J714" s="19"/>
      <c r="K714" s="21"/>
      <c r="L714" s="22"/>
      <c r="M714" s="19"/>
      <c r="N714" s="20"/>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row>
    <row r="715" spans="1:45" x14ac:dyDescent="0.3">
      <c r="A715" s="410" t="s">
        <v>2228</v>
      </c>
      <c r="B715" s="17"/>
      <c r="C715" s="19"/>
      <c r="D715" s="18"/>
      <c r="E715" s="18"/>
      <c r="F715" s="19"/>
      <c r="G715" s="31"/>
      <c r="H715" s="31"/>
      <c r="I715" s="19"/>
      <c r="J715" s="19"/>
      <c r="K715" s="21"/>
      <c r="L715" s="22"/>
      <c r="M715" s="19"/>
      <c r="N715" s="20"/>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row>
    <row r="716" spans="1:45" x14ac:dyDescent="0.3">
      <c r="A716" s="410" t="s">
        <v>2229</v>
      </c>
      <c r="B716" s="17"/>
      <c r="C716" s="19"/>
      <c r="D716" s="18"/>
      <c r="E716" s="18"/>
      <c r="F716" s="19"/>
      <c r="G716" s="31"/>
      <c r="H716" s="31"/>
      <c r="I716" s="19"/>
      <c r="J716" s="19"/>
      <c r="K716" s="21"/>
      <c r="L716" s="22"/>
      <c r="M716" s="19"/>
      <c r="N716" s="20"/>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row>
    <row r="717" spans="1:45" x14ac:dyDescent="0.3">
      <c r="A717" s="410" t="s">
        <v>2230</v>
      </c>
      <c r="B717" s="17"/>
      <c r="C717" s="19"/>
      <c r="D717" s="18"/>
      <c r="E717" s="18"/>
      <c r="F717" s="19"/>
      <c r="G717" s="31"/>
      <c r="H717" s="31"/>
      <c r="I717" s="19"/>
      <c r="J717" s="19"/>
      <c r="K717" s="21"/>
      <c r="L717" s="22"/>
      <c r="M717" s="19"/>
      <c r="N717" s="20"/>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row>
    <row r="718" spans="1:45" x14ac:dyDescent="0.3">
      <c r="A718" s="410" t="s">
        <v>2231</v>
      </c>
      <c r="B718" s="17"/>
      <c r="C718" s="19"/>
      <c r="D718" s="18"/>
      <c r="E718" s="18"/>
      <c r="F718" s="19"/>
      <c r="G718" s="31"/>
      <c r="H718" s="31"/>
      <c r="I718" s="19"/>
      <c r="J718" s="19"/>
      <c r="K718" s="21"/>
      <c r="L718" s="22"/>
      <c r="M718" s="19"/>
      <c r="N718" s="20"/>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row>
    <row r="719" spans="1:45" x14ac:dyDescent="0.3">
      <c r="A719" s="410" t="s">
        <v>2232</v>
      </c>
      <c r="B719" s="17"/>
      <c r="C719" s="19"/>
      <c r="D719" s="18"/>
      <c r="E719" s="18"/>
      <c r="F719" s="19"/>
      <c r="G719" s="31"/>
      <c r="H719" s="31"/>
      <c r="I719" s="19"/>
      <c r="J719" s="19"/>
      <c r="K719" s="21"/>
      <c r="L719" s="22"/>
      <c r="M719" s="19"/>
      <c r="N719" s="20"/>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row>
    <row r="720" spans="1:45" x14ac:dyDescent="0.3">
      <c r="A720" s="410" t="s">
        <v>2233</v>
      </c>
      <c r="B720" s="17"/>
      <c r="C720" s="19"/>
      <c r="D720" s="18"/>
      <c r="E720" s="18"/>
      <c r="F720" s="19"/>
      <c r="G720" s="31"/>
      <c r="H720" s="31"/>
      <c r="I720" s="19"/>
      <c r="J720" s="19"/>
      <c r="K720" s="21"/>
      <c r="L720" s="22"/>
      <c r="M720" s="19"/>
      <c r="N720" s="20"/>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row>
    <row r="721" spans="1:45" x14ac:dyDescent="0.3">
      <c r="A721" s="410" t="s">
        <v>2234</v>
      </c>
      <c r="B721" s="17"/>
      <c r="C721" s="19"/>
      <c r="D721" s="18"/>
      <c r="E721" s="18"/>
      <c r="F721" s="19"/>
      <c r="G721" s="31"/>
      <c r="H721" s="31"/>
      <c r="I721" s="19"/>
      <c r="J721" s="19"/>
      <c r="K721" s="21"/>
      <c r="L721" s="22"/>
      <c r="M721" s="19"/>
      <c r="N721" s="20"/>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row>
    <row r="722" spans="1:45" x14ac:dyDescent="0.3">
      <c r="A722" s="410" t="s">
        <v>2235</v>
      </c>
      <c r="B722" s="17"/>
      <c r="C722" s="19"/>
      <c r="D722" s="18"/>
      <c r="E722" s="18"/>
      <c r="F722" s="19"/>
      <c r="G722" s="31"/>
      <c r="H722" s="31"/>
      <c r="I722" s="19"/>
      <c r="J722" s="19"/>
      <c r="K722" s="21"/>
      <c r="L722" s="22"/>
      <c r="M722" s="19"/>
      <c r="N722" s="20"/>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row>
    <row r="723" spans="1:45" x14ac:dyDescent="0.3">
      <c r="A723" s="410" t="s">
        <v>2236</v>
      </c>
      <c r="B723" s="17"/>
      <c r="C723" s="19"/>
      <c r="D723" s="18"/>
      <c r="E723" s="18"/>
      <c r="F723" s="19"/>
      <c r="G723" s="31"/>
      <c r="H723" s="31"/>
      <c r="I723" s="19"/>
      <c r="J723" s="19"/>
      <c r="K723" s="21"/>
      <c r="L723" s="22"/>
      <c r="M723" s="19"/>
      <c r="N723" s="20"/>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row>
    <row r="724" spans="1:45" x14ac:dyDescent="0.3">
      <c r="A724" s="410" t="s">
        <v>2237</v>
      </c>
      <c r="B724" s="17"/>
      <c r="C724" s="19"/>
      <c r="D724" s="18"/>
      <c r="E724" s="18"/>
      <c r="F724" s="19"/>
      <c r="G724" s="31"/>
      <c r="H724" s="31"/>
      <c r="I724" s="19"/>
      <c r="J724" s="19"/>
      <c r="K724" s="21"/>
      <c r="L724" s="22"/>
      <c r="M724" s="19"/>
      <c r="N724" s="20"/>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row>
    <row r="725" spans="1:45" x14ac:dyDescent="0.3">
      <c r="A725" s="410" t="s">
        <v>2238</v>
      </c>
      <c r="B725" s="17"/>
      <c r="C725" s="19"/>
      <c r="D725" s="18"/>
      <c r="E725" s="18"/>
      <c r="F725" s="19"/>
      <c r="G725" s="31"/>
      <c r="H725" s="31"/>
      <c r="I725" s="19"/>
      <c r="J725" s="19"/>
      <c r="K725" s="21"/>
      <c r="L725" s="22"/>
      <c r="M725" s="19"/>
      <c r="N725" s="20"/>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row>
    <row r="726" spans="1:45" x14ac:dyDescent="0.3">
      <c r="A726" s="410" t="s">
        <v>2239</v>
      </c>
      <c r="B726" s="17"/>
      <c r="C726" s="19"/>
      <c r="D726" s="18"/>
      <c r="E726" s="18"/>
      <c r="F726" s="19"/>
      <c r="G726" s="31"/>
      <c r="H726" s="31"/>
      <c r="I726" s="19"/>
      <c r="J726" s="19"/>
      <c r="K726" s="21"/>
      <c r="L726" s="22"/>
      <c r="M726" s="19"/>
      <c r="N726" s="20"/>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row>
    <row r="727" spans="1:45" x14ac:dyDescent="0.3">
      <c r="A727" s="410" t="s">
        <v>2240</v>
      </c>
      <c r="B727" s="17"/>
      <c r="C727" s="19"/>
      <c r="D727" s="18"/>
      <c r="E727" s="18"/>
      <c r="F727" s="19"/>
      <c r="G727" s="31"/>
      <c r="H727" s="31"/>
      <c r="I727" s="19"/>
      <c r="J727" s="19"/>
      <c r="K727" s="21"/>
      <c r="L727" s="22"/>
      <c r="M727" s="19"/>
      <c r="N727" s="20"/>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row>
    <row r="728" spans="1:45" x14ac:dyDescent="0.3">
      <c r="A728" s="410" t="s">
        <v>2241</v>
      </c>
      <c r="B728" s="17"/>
      <c r="C728" s="19"/>
      <c r="D728" s="18"/>
      <c r="E728" s="17"/>
      <c r="F728" s="19"/>
      <c r="G728" s="31"/>
      <c r="H728" s="31"/>
      <c r="I728" s="19"/>
      <c r="J728" s="19"/>
      <c r="K728" s="21"/>
      <c r="L728" s="22"/>
      <c r="M728" s="19"/>
      <c r="N728" s="20"/>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row>
    <row r="729" spans="1:45" x14ac:dyDescent="0.3">
      <c r="A729" s="410" t="s">
        <v>2242</v>
      </c>
      <c r="B729" s="17"/>
      <c r="C729" s="19"/>
      <c r="D729" s="18"/>
      <c r="E729" s="17"/>
      <c r="F729" s="19"/>
      <c r="G729" s="31"/>
      <c r="H729" s="31"/>
      <c r="I729" s="19"/>
      <c r="J729" s="19"/>
      <c r="K729" s="21"/>
      <c r="L729" s="22"/>
      <c r="M729" s="19"/>
      <c r="N729" s="20"/>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row>
    <row r="730" spans="1:45" x14ac:dyDescent="0.3">
      <c r="A730" s="410"/>
      <c r="B730" s="17"/>
      <c r="C730" s="19"/>
      <c r="D730" s="18"/>
      <c r="E730" s="17"/>
      <c r="F730" s="19"/>
      <c r="G730" s="31"/>
      <c r="H730" s="31"/>
      <c r="I730" s="19"/>
      <c r="J730" s="19"/>
      <c r="K730" s="21"/>
      <c r="L730" s="22"/>
      <c r="M730" s="19"/>
      <c r="N730" s="20"/>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row>
    <row r="731" spans="1:45" x14ac:dyDescent="0.3">
      <c r="A731" s="410" t="s">
        <v>5862</v>
      </c>
      <c r="B731" s="17"/>
      <c r="C731" s="19"/>
      <c r="D731" s="18"/>
      <c r="E731" s="17"/>
      <c r="F731" s="19"/>
      <c r="G731" s="31"/>
      <c r="H731" s="31"/>
      <c r="I731" s="19"/>
      <c r="J731" s="19"/>
      <c r="K731" s="21"/>
      <c r="L731" s="22"/>
      <c r="M731" s="19"/>
      <c r="N731" s="20"/>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row>
    <row r="732" spans="1:45" x14ac:dyDescent="0.3">
      <c r="A732" s="410" t="s">
        <v>5863</v>
      </c>
      <c r="B732" s="17"/>
      <c r="C732" s="19"/>
      <c r="D732" s="18"/>
      <c r="E732" s="17"/>
      <c r="F732" s="19"/>
      <c r="G732" s="31"/>
      <c r="H732" s="31"/>
      <c r="I732" s="19"/>
      <c r="J732" s="19"/>
      <c r="K732" s="21"/>
      <c r="L732" s="22"/>
      <c r="M732" s="19"/>
      <c r="N732" s="20"/>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row>
    <row r="733" spans="1:45" x14ac:dyDescent="0.3">
      <c r="A733" s="410" t="s">
        <v>5864</v>
      </c>
      <c r="B733" s="17"/>
      <c r="C733" s="19"/>
      <c r="D733" s="18"/>
      <c r="E733" s="17"/>
      <c r="F733" s="19"/>
      <c r="G733" s="31"/>
      <c r="H733" s="31"/>
      <c r="I733" s="19"/>
      <c r="J733" s="19"/>
      <c r="K733" s="21"/>
      <c r="L733" s="22"/>
      <c r="M733" s="19"/>
      <c r="N733" s="20"/>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row>
    <row r="734" spans="1:45" x14ac:dyDescent="0.3">
      <c r="A734" s="410" t="s">
        <v>5865</v>
      </c>
      <c r="B734" s="17"/>
      <c r="C734" s="19"/>
      <c r="D734" s="18"/>
      <c r="E734" s="17"/>
      <c r="F734" s="19"/>
      <c r="G734" s="31"/>
      <c r="H734" s="31"/>
      <c r="I734" s="19"/>
      <c r="J734" s="19"/>
      <c r="K734" s="21"/>
      <c r="L734" s="22"/>
      <c r="M734" s="19"/>
      <c r="N734" s="20"/>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row>
    <row r="735" spans="1:45" x14ac:dyDescent="0.3">
      <c r="A735" s="410" t="s">
        <v>5866</v>
      </c>
      <c r="B735" s="17"/>
      <c r="C735" s="19"/>
      <c r="D735" s="18"/>
      <c r="E735" s="17"/>
      <c r="F735" s="19"/>
      <c r="G735" s="31"/>
      <c r="H735" s="31"/>
      <c r="I735" s="19"/>
      <c r="J735" s="19"/>
      <c r="K735" s="21"/>
      <c r="L735" s="22"/>
      <c r="M735" s="19"/>
      <c r="N735" s="20"/>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row>
    <row r="736" spans="1:45" x14ac:dyDescent="0.3">
      <c r="A736" s="410" t="s">
        <v>5867</v>
      </c>
      <c r="B736" s="17"/>
      <c r="C736" s="19"/>
      <c r="D736" s="18"/>
      <c r="E736" s="17"/>
      <c r="F736" s="19"/>
      <c r="G736" s="31"/>
      <c r="H736" s="31"/>
      <c r="I736" s="19"/>
      <c r="J736" s="19"/>
      <c r="K736" s="21"/>
      <c r="L736" s="22"/>
      <c r="M736" s="19"/>
      <c r="N736" s="20"/>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row>
    <row r="737" spans="1:45" x14ac:dyDescent="0.3">
      <c r="A737" s="410" t="s">
        <v>5868</v>
      </c>
      <c r="B737" s="17"/>
      <c r="C737" s="19"/>
      <c r="D737" s="18"/>
      <c r="E737" s="17"/>
      <c r="F737" s="19"/>
      <c r="G737" s="31"/>
      <c r="H737" s="31"/>
      <c r="I737" s="19"/>
      <c r="J737" s="19"/>
      <c r="K737" s="21"/>
      <c r="L737" s="22"/>
      <c r="M737" s="19"/>
      <c r="N737" s="20"/>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row>
    <row r="738" spans="1:45" x14ac:dyDescent="0.3">
      <c r="A738" s="410" t="s">
        <v>5869</v>
      </c>
      <c r="B738" s="17"/>
      <c r="C738" s="19"/>
      <c r="D738" s="18"/>
      <c r="E738" s="17"/>
      <c r="F738" s="19"/>
      <c r="G738" s="31"/>
      <c r="H738" s="31"/>
      <c r="I738" s="19"/>
      <c r="J738" s="19"/>
      <c r="K738" s="21"/>
      <c r="L738" s="22"/>
      <c r="M738" s="19"/>
      <c r="N738" s="20"/>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row>
    <row r="739" spans="1:45" x14ac:dyDescent="0.3">
      <c r="A739" s="410" t="s">
        <v>5870</v>
      </c>
      <c r="B739" s="17"/>
      <c r="C739" s="19"/>
      <c r="D739" s="18"/>
      <c r="E739" s="17"/>
      <c r="F739" s="19"/>
      <c r="G739" s="31"/>
      <c r="H739" s="31"/>
      <c r="I739" s="19"/>
      <c r="J739" s="19"/>
      <c r="K739" s="21"/>
      <c r="L739" s="22"/>
      <c r="M739" s="19"/>
      <c r="N739" s="20"/>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row>
    <row r="740" spans="1:45" x14ac:dyDescent="0.3">
      <c r="A740" s="410" t="s">
        <v>5871</v>
      </c>
      <c r="B740" s="17"/>
      <c r="C740" s="19"/>
      <c r="D740" s="18"/>
      <c r="E740" s="17"/>
      <c r="F740" s="19"/>
      <c r="G740" s="31"/>
      <c r="H740" s="31"/>
      <c r="I740" s="19"/>
      <c r="J740" s="19"/>
      <c r="K740" s="21"/>
      <c r="L740" s="22"/>
      <c r="M740" s="19"/>
      <c r="N740" s="20"/>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row>
    <row r="741" spans="1:45" x14ac:dyDescent="0.3">
      <c r="A741" s="410" t="s">
        <v>5872</v>
      </c>
      <c r="B741" s="17"/>
      <c r="C741" s="19"/>
      <c r="D741" s="18"/>
      <c r="E741" s="17"/>
      <c r="F741" s="19"/>
      <c r="G741" s="31"/>
      <c r="H741" s="31"/>
      <c r="I741" s="19"/>
      <c r="J741" s="19"/>
      <c r="K741" s="21"/>
      <c r="L741" s="22"/>
      <c r="M741" s="19"/>
      <c r="N741" s="20"/>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row>
    <row r="742" spans="1:45" x14ac:dyDescent="0.3">
      <c r="A742" s="410" t="s">
        <v>5873</v>
      </c>
      <c r="B742" s="17"/>
      <c r="C742" s="19"/>
      <c r="D742" s="18"/>
      <c r="E742" s="17"/>
      <c r="F742" s="19"/>
      <c r="G742" s="31"/>
      <c r="H742" s="31"/>
      <c r="I742" s="19"/>
      <c r="J742" s="19"/>
      <c r="K742" s="21"/>
      <c r="L742" s="22"/>
      <c r="M742" s="19"/>
      <c r="N742" s="20"/>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row>
    <row r="743" spans="1:45" x14ac:dyDescent="0.3">
      <c r="A743" s="410" t="s">
        <v>5874</v>
      </c>
      <c r="B743" s="17"/>
      <c r="C743" s="19"/>
      <c r="D743" s="18"/>
      <c r="E743" s="17"/>
      <c r="F743" s="19"/>
      <c r="G743" s="31"/>
      <c r="H743" s="31"/>
      <c r="I743" s="19"/>
      <c r="J743" s="19"/>
      <c r="K743" s="21"/>
      <c r="L743" s="22"/>
      <c r="M743" s="19"/>
      <c r="N743" s="20"/>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row>
    <row r="744" spans="1:45" x14ac:dyDescent="0.3">
      <c r="A744" s="410" t="s">
        <v>5875</v>
      </c>
      <c r="B744" s="17"/>
      <c r="C744" s="19"/>
      <c r="D744" s="18"/>
      <c r="E744" s="17"/>
      <c r="F744" s="19"/>
      <c r="G744" s="31"/>
      <c r="H744" s="31"/>
      <c r="I744" s="19"/>
      <c r="J744" s="19"/>
      <c r="K744" s="21"/>
      <c r="L744" s="22"/>
      <c r="M744" s="19"/>
      <c r="N744" s="20"/>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row>
    <row r="745" spans="1:45" x14ac:dyDescent="0.3">
      <c r="A745" s="410" t="s">
        <v>5876</v>
      </c>
      <c r="B745" s="17"/>
      <c r="C745" s="19"/>
      <c r="D745" s="18"/>
      <c r="E745" s="17"/>
      <c r="F745" s="19"/>
      <c r="G745" s="31"/>
      <c r="H745" s="31"/>
      <c r="I745" s="19"/>
      <c r="J745" s="19"/>
      <c r="K745" s="21"/>
      <c r="L745" s="22"/>
      <c r="M745" s="19"/>
      <c r="N745" s="20"/>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row>
    <row r="746" spans="1:45" x14ac:dyDescent="0.3">
      <c r="A746" s="410" t="s">
        <v>5877</v>
      </c>
      <c r="B746" s="17"/>
      <c r="C746" s="19"/>
      <c r="D746" s="18"/>
      <c r="E746" s="17"/>
      <c r="F746" s="19"/>
      <c r="G746" s="31"/>
      <c r="H746" s="31"/>
      <c r="I746" s="19"/>
      <c r="J746" s="19"/>
      <c r="K746" s="21"/>
      <c r="L746" s="22"/>
      <c r="M746" s="19"/>
      <c r="N746" s="20"/>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row>
    <row r="747" spans="1:45" x14ac:dyDescent="0.3">
      <c r="A747" s="410" t="s">
        <v>5878</v>
      </c>
      <c r="B747" s="17"/>
      <c r="C747" s="19"/>
      <c r="D747" s="18"/>
      <c r="E747" s="17"/>
      <c r="F747" s="19"/>
      <c r="G747" s="31"/>
      <c r="H747" s="31"/>
      <c r="I747" s="19"/>
      <c r="J747" s="19"/>
      <c r="K747" s="21"/>
      <c r="L747" s="22"/>
      <c r="M747" s="19"/>
      <c r="N747" s="20"/>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row>
    <row r="748" spans="1:45" x14ac:dyDescent="0.3">
      <c r="A748" s="410" t="s">
        <v>5879</v>
      </c>
      <c r="B748" s="17"/>
      <c r="C748" s="19"/>
      <c r="D748" s="18"/>
      <c r="E748" s="17"/>
      <c r="F748" s="19"/>
      <c r="G748" s="31"/>
      <c r="H748" s="31"/>
      <c r="I748" s="19"/>
      <c r="J748" s="19"/>
      <c r="K748" s="21"/>
      <c r="L748" s="22"/>
      <c r="M748" s="19"/>
      <c r="N748" s="20"/>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row>
    <row r="749" spans="1:45" x14ac:dyDescent="0.3">
      <c r="A749" s="410" t="s">
        <v>5880</v>
      </c>
      <c r="B749" s="17"/>
      <c r="C749" s="19"/>
      <c r="D749" s="18"/>
      <c r="E749" s="17"/>
      <c r="F749" s="19"/>
      <c r="G749" s="31"/>
      <c r="H749" s="31"/>
      <c r="I749" s="19"/>
      <c r="J749" s="19"/>
      <c r="K749" s="21"/>
      <c r="L749" s="22"/>
      <c r="M749" s="19"/>
      <c r="N749" s="20"/>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row>
    <row r="750" spans="1:45" x14ac:dyDescent="0.3">
      <c r="A750" s="410" t="s">
        <v>5881</v>
      </c>
      <c r="B750" s="17"/>
      <c r="C750" s="19"/>
      <c r="D750" s="18"/>
      <c r="E750" s="17"/>
      <c r="F750" s="19"/>
      <c r="G750" s="31"/>
      <c r="H750" s="31"/>
      <c r="I750" s="19"/>
      <c r="J750" s="19"/>
      <c r="K750" s="21"/>
      <c r="L750" s="22"/>
      <c r="M750" s="19"/>
      <c r="N750" s="20"/>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row>
    <row r="751" spans="1:45" x14ac:dyDescent="0.3">
      <c r="A751" s="410" t="s">
        <v>5882</v>
      </c>
      <c r="B751" s="17"/>
      <c r="C751" s="19"/>
      <c r="D751" s="18"/>
      <c r="E751" s="17"/>
      <c r="F751" s="19"/>
      <c r="G751" s="31"/>
      <c r="H751" s="31"/>
      <c r="I751" s="19"/>
      <c r="J751" s="19"/>
      <c r="K751" s="21"/>
      <c r="L751" s="22"/>
      <c r="M751" s="19"/>
      <c r="N751" s="20"/>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row>
    <row r="752" spans="1:45" x14ac:dyDescent="0.3">
      <c r="A752" s="410" t="s">
        <v>5883</v>
      </c>
      <c r="B752" s="17"/>
      <c r="C752" s="19"/>
      <c r="D752" s="18"/>
      <c r="E752" s="17"/>
      <c r="F752" s="19"/>
      <c r="G752" s="31"/>
      <c r="H752" s="31"/>
      <c r="I752" s="19"/>
      <c r="J752" s="19"/>
      <c r="K752" s="21"/>
      <c r="L752" s="22"/>
      <c r="M752" s="19"/>
      <c r="N752" s="20"/>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row>
    <row r="753" spans="1:45" x14ac:dyDescent="0.3">
      <c r="A753" s="410" t="s">
        <v>5884</v>
      </c>
      <c r="B753" s="17"/>
      <c r="C753" s="19"/>
      <c r="D753" s="18"/>
      <c r="E753" s="17"/>
      <c r="F753" s="19"/>
      <c r="G753" s="31"/>
      <c r="H753" s="31"/>
      <c r="I753" s="19"/>
      <c r="J753" s="19"/>
      <c r="K753" s="21"/>
      <c r="L753" s="22"/>
      <c r="M753" s="19"/>
      <c r="N753" s="20"/>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row>
    <row r="754" spans="1:45" x14ac:dyDescent="0.3">
      <c r="A754" s="410" t="s">
        <v>5885</v>
      </c>
      <c r="B754" s="17"/>
      <c r="C754" s="19"/>
      <c r="D754" s="18"/>
      <c r="E754" s="17"/>
      <c r="F754" s="19"/>
      <c r="G754" s="31"/>
      <c r="H754" s="31"/>
      <c r="I754" s="19"/>
      <c r="J754" s="19"/>
      <c r="K754" s="21"/>
      <c r="L754" s="22"/>
      <c r="M754" s="19"/>
      <c r="N754" s="20"/>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row>
    <row r="755" spans="1:45" x14ac:dyDescent="0.3">
      <c r="A755" s="410" t="s">
        <v>5886</v>
      </c>
      <c r="B755" s="17"/>
      <c r="C755" s="19"/>
      <c r="D755" s="18"/>
      <c r="E755" s="17"/>
      <c r="F755" s="19"/>
      <c r="G755" s="31"/>
      <c r="H755" s="31"/>
      <c r="I755" s="19"/>
      <c r="J755" s="19"/>
      <c r="K755" s="21"/>
      <c r="L755" s="22"/>
      <c r="M755" s="19"/>
      <c r="N755" s="20"/>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row>
    <row r="756" spans="1:45" x14ac:dyDescent="0.3">
      <c r="A756" s="410" t="s">
        <v>5887</v>
      </c>
      <c r="B756" s="17"/>
      <c r="C756" s="19"/>
      <c r="D756" s="18"/>
      <c r="E756" s="17"/>
      <c r="F756" s="19"/>
      <c r="G756" s="31"/>
      <c r="H756" s="31"/>
      <c r="I756" s="19"/>
      <c r="J756" s="19"/>
      <c r="K756" s="21"/>
      <c r="L756" s="22"/>
      <c r="M756" s="19"/>
      <c r="N756" s="20"/>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row>
    <row r="757" spans="1:45" x14ac:dyDescent="0.3">
      <c r="A757" s="410" t="s">
        <v>5888</v>
      </c>
      <c r="B757" s="17"/>
      <c r="C757" s="19"/>
      <c r="D757" s="18"/>
      <c r="E757" s="17"/>
      <c r="F757" s="19"/>
      <c r="G757" s="31"/>
      <c r="H757" s="31"/>
      <c r="I757" s="19"/>
      <c r="J757" s="19"/>
      <c r="K757" s="21"/>
      <c r="L757" s="22"/>
      <c r="M757" s="19"/>
      <c r="N757" s="20"/>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row>
    <row r="758" spans="1:45" x14ac:dyDescent="0.3">
      <c r="A758" s="410" t="s">
        <v>5889</v>
      </c>
      <c r="B758" s="17"/>
      <c r="C758" s="19"/>
      <c r="D758" s="18"/>
      <c r="E758" s="17"/>
      <c r="F758" s="19"/>
      <c r="G758" s="31"/>
      <c r="H758" s="31"/>
      <c r="I758" s="19"/>
      <c r="J758" s="19"/>
      <c r="K758" s="21"/>
      <c r="L758" s="22"/>
      <c r="M758" s="19"/>
      <c r="N758" s="20"/>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row>
    <row r="759" spans="1:45" x14ac:dyDescent="0.3">
      <c r="A759" s="410" t="s">
        <v>5890</v>
      </c>
      <c r="B759" s="17"/>
      <c r="C759" s="19"/>
      <c r="D759" s="18"/>
      <c r="E759" s="17"/>
      <c r="F759" s="19"/>
      <c r="G759" s="31"/>
      <c r="H759" s="31"/>
      <c r="I759" s="19"/>
      <c r="J759" s="19"/>
      <c r="K759" s="21"/>
      <c r="L759" s="22"/>
      <c r="M759" s="19"/>
      <c r="N759" s="20"/>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row>
    <row r="760" spans="1:45" x14ac:dyDescent="0.3">
      <c r="A760" s="410" t="s">
        <v>5891</v>
      </c>
      <c r="B760" s="17"/>
      <c r="C760" s="19"/>
      <c r="D760" s="18"/>
      <c r="E760" s="17"/>
      <c r="F760" s="19"/>
      <c r="G760" s="31"/>
      <c r="H760" s="31"/>
      <c r="I760" s="19"/>
      <c r="J760" s="19"/>
      <c r="K760" s="21"/>
      <c r="L760" s="22"/>
      <c r="M760" s="19"/>
      <c r="N760" s="20"/>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row>
    <row r="761" spans="1:45" x14ac:dyDescent="0.3">
      <c r="A761" s="410" t="s">
        <v>5892</v>
      </c>
      <c r="B761" s="17"/>
      <c r="C761" s="19"/>
      <c r="D761" s="18"/>
      <c r="E761" s="17"/>
      <c r="F761" s="19"/>
      <c r="G761" s="31"/>
      <c r="H761" s="31"/>
      <c r="I761" s="19"/>
      <c r="J761" s="19"/>
      <c r="K761" s="21"/>
      <c r="L761" s="22"/>
      <c r="M761" s="19"/>
      <c r="N761" s="20"/>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row>
    <row r="762" spans="1:45" x14ac:dyDescent="0.3">
      <c r="A762" s="410" t="s">
        <v>5893</v>
      </c>
      <c r="B762" s="17"/>
      <c r="C762" s="19"/>
      <c r="D762" s="18"/>
      <c r="E762" s="17"/>
      <c r="F762" s="19"/>
      <c r="G762" s="31"/>
      <c r="H762" s="31"/>
      <c r="I762" s="19"/>
      <c r="J762" s="19"/>
      <c r="K762" s="21"/>
      <c r="L762" s="22"/>
      <c r="M762" s="19"/>
      <c r="N762" s="20"/>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row>
    <row r="763" spans="1:45" x14ac:dyDescent="0.3">
      <c r="A763" s="410" t="s">
        <v>5894</v>
      </c>
      <c r="B763" s="17"/>
      <c r="C763" s="19"/>
      <c r="D763" s="18"/>
      <c r="E763" s="17"/>
      <c r="F763" s="19"/>
      <c r="G763" s="31"/>
      <c r="H763" s="31"/>
      <c r="I763" s="19"/>
      <c r="J763" s="19"/>
      <c r="K763" s="21"/>
      <c r="L763" s="22"/>
      <c r="M763" s="19"/>
      <c r="N763" s="20"/>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row>
    <row r="764" spans="1:45" x14ac:dyDescent="0.3">
      <c r="A764" s="410" t="s">
        <v>5895</v>
      </c>
      <c r="B764" s="17"/>
      <c r="C764" s="19"/>
      <c r="D764" s="18"/>
      <c r="E764" s="17"/>
      <c r="F764" s="19"/>
      <c r="G764" s="31"/>
      <c r="H764" s="31"/>
      <c r="I764" s="19"/>
      <c r="J764" s="19"/>
      <c r="K764" s="21"/>
      <c r="L764" s="22"/>
      <c r="M764" s="19"/>
      <c r="N764" s="20"/>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row>
    <row r="765" spans="1:45" x14ac:dyDescent="0.3">
      <c r="A765" s="410" t="s">
        <v>5896</v>
      </c>
      <c r="B765" s="17"/>
      <c r="C765" s="19"/>
      <c r="D765" s="18"/>
      <c r="E765" s="17"/>
      <c r="F765" s="19"/>
      <c r="G765" s="31"/>
      <c r="H765" s="31"/>
      <c r="I765" s="19"/>
      <c r="J765" s="19"/>
      <c r="K765" s="21"/>
      <c r="L765" s="22"/>
      <c r="M765" s="19"/>
      <c r="N765" s="20"/>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row>
    <row r="766" spans="1:45" x14ac:dyDescent="0.3">
      <c r="A766" s="410" t="s">
        <v>5897</v>
      </c>
      <c r="B766" s="17"/>
      <c r="C766" s="19"/>
      <c r="D766" s="18"/>
      <c r="E766" s="17"/>
      <c r="F766" s="19"/>
      <c r="G766" s="31"/>
      <c r="H766" s="31"/>
      <c r="I766" s="19"/>
      <c r="J766" s="19"/>
      <c r="K766" s="21"/>
      <c r="L766" s="22"/>
      <c r="M766" s="19"/>
      <c r="N766" s="20"/>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row>
    <row r="767" spans="1:45" x14ac:dyDescent="0.3">
      <c r="A767" s="410" t="s">
        <v>5898</v>
      </c>
      <c r="B767" s="17"/>
      <c r="C767" s="19"/>
      <c r="D767" s="18"/>
      <c r="E767" s="17"/>
      <c r="F767" s="19"/>
      <c r="G767" s="31"/>
      <c r="H767" s="31"/>
      <c r="I767" s="19"/>
      <c r="J767" s="19"/>
      <c r="K767" s="21"/>
      <c r="L767" s="22"/>
      <c r="M767" s="19"/>
      <c r="N767" s="20"/>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row>
    <row r="768" spans="1:45" x14ac:dyDescent="0.3">
      <c r="A768" s="410" t="s">
        <v>5899</v>
      </c>
      <c r="B768" s="17"/>
      <c r="C768" s="19"/>
      <c r="D768" s="18"/>
      <c r="E768" s="17"/>
      <c r="F768" s="19"/>
      <c r="G768" s="31"/>
      <c r="H768" s="31"/>
      <c r="I768" s="19"/>
      <c r="J768" s="19"/>
      <c r="K768" s="21"/>
      <c r="L768" s="22"/>
      <c r="M768" s="19"/>
      <c r="N768" s="20"/>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row>
    <row r="769" spans="1:45" x14ac:dyDescent="0.3">
      <c r="A769" s="410" t="s">
        <v>5900</v>
      </c>
      <c r="B769" s="17"/>
      <c r="C769" s="19"/>
      <c r="D769" s="18"/>
      <c r="E769" s="17"/>
      <c r="F769" s="19"/>
      <c r="G769" s="31"/>
      <c r="H769" s="31"/>
      <c r="I769" s="19"/>
      <c r="J769" s="19"/>
      <c r="K769" s="21"/>
      <c r="L769" s="22"/>
      <c r="M769" s="19"/>
      <c r="N769" s="20"/>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row>
    <row r="770" spans="1:45" x14ac:dyDescent="0.3">
      <c r="A770" s="410" t="s">
        <v>5901</v>
      </c>
      <c r="B770" s="17"/>
      <c r="C770" s="19"/>
      <c r="D770" s="18"/>
      <c r="E770" s="17"/>
      <c r="F770" s="19"/>
      <c r="G770" s="31"/>
      <c r="H770" s="31"/>
      <c r="I770" s="19"/>
      <c r="J770" s="19"/>
      <c r="K770" s="21"/>
      <c r="L770" s="22"/>
      <c r="M770" s="19"/>
      <c r="N770" s="20"/>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row>
    <row r="771" spans="1:45" x14ac:dyDescent="0.3">
      <c r="A771" s="410" t="s">
        <v>5902</v>
      </c>
      <c r="B771" s="17"/>
      <c r="C771" s="19"/>
      <c r="D771" s="18"/>
      <c r="E771" s="17"/>
      <c r="F771" s="19"/>
      <c r="G771" s="31"/>
      <c r="H771" s="31"/>
      <c r="I771" s="19"/>
      <c r="J771" s="19"/>
      <c r="K771" s="21"/>
      <c r="L771" s="22"/>
      <c r="M771" s="19"/>
      <c r="N771" s="20"/>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row>
    <row r="772" spans="1:45" x14ac:dyDescent="0.3">
      <c r="A772" s="410" t="s">
        <v>5903</v>
      </c>
      <c r="B772" s="17"/>
      <c r="C772" s="19"/>
      <c r="D772" s="18"/>
      <c r="E772" s="17"/>
      <c r="F772" s="19"/>
      <c r="G772" s="31"/>
      <c r="H772" s="31"/>
      <c r="I772" s="19"/>
      <c r="J772" s="19"/>
      <c r="K772" s="21"/>
      <c r="L772" s="22"/>
      <c r="M772" s="19"/>
      <c r="N772" s="20"/>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row>
    <row r="773" spans="1:45" x14ac:dyDescent="0.3">
      <c r="A773" s="410" t="s">
        <v>5904</v>
      </c>
      <c r="B773" s="17"/>
      <c r="C773" s="19"/>
      <c r="D773" s="18"/>
      <c r="E773" s="17"/>
      <c r="F773" s="19"/>
      <c r="G773" s="31"/>
      <c r="H773" s="31"/>
      <c r="I773" s="19"/>
      <c r="J773" s="19"/>
      <c r="K773" s="21"/>
      <c r="L773" s="22"/>
      <c r="M773" s="19"/>
      <c r="N773" s="20"/>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row>
    <row r="774" spans="1:45" x14ac:dyDescent="0.3">
      <c r="A774" s="410" t="s">
        <v>5905</v>
      </c>
      <c r="B774" s="17"/>
      <c r="C774" s="19"/>
      <c r="D774" s="18"/>
      <c r="E774" s="17"/>
      <c r="F774" s="19"/>
      <c r="G774" s="31"/>
      <c r="H774" s="31"/>
      <c r="I774" s="19"/>
      <c r="J774" s="19"/>
      <c r="K774" s="21"/>
      <c r="L774" s="22"/>
      <c r="M774" s="19"/>
      <c r="N774" s="20"/>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row>
    <row r="775" spans="1:45" x14ac:dyDescent="0.3">
      <c r="A775" s="410" t="s">
        <v>5906</v>
      </c>
      <c r="B775" s="17"/>
      <c r="C775" s="19"/>
      <c r="D775" s="18"/>
      <c r="E775" s="17"/>
      <c r="F775" s="19"/>
      <c r="G775" s="31"/>
      <c r="H775" s="31"/>
      <c r="I775" s="19"/>
      <c r="J775" s="19"/>
      <c r="K775" s="21"/>
      <c r="L775" s="22"/>
      <c r="M775" s="19"/>
      <c r="N775" s="20"/>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row>
    <row r="776" spans="1:45" x14ac:dyDescent="0.3">
      <c r="A776" s="410" t="s">
        <v>5907</v>
      </c>
      <c r="B776" s="17"/>
      <c r="C776" s="19"/>
      <c r="D776" s="18"/>
      <c r="E776" s="17"/>
      <c r="F776" s="19"/>
      <c r="G776" s="31"/>
      <c r="H776" s="31"/>
      <c r="I776" s="19"/>
      <c r="J776" s="19"/>
      <c r="K776" s="21"/>
      <c r="L776" s="22"/>
      <c r="M776" s="19"/>
      <c r="N776" s="20"/>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row>
    <row r="777" spans="1:45" x14ac:dyDescent="0.3">
      <c r="A777" s="410" t="s">
        <v>5908</v>
      </c>
      <c r="B777" s="17"/>
      <c r="C777" s="19"/>
      <c r="D777" s="18"/>
      <c r="E777" s="17"/>
      <c r="F777" s="19"/>
      <c r="G777" s="31"/>
      <c r="H777" s="31"/>
      <c r="I777" s="19"/>
      <c r="J777" s="19"/>
      <c r="K777" s="21"/>
      <c r="L777" s="22"/>
      <c r="M777" s="19"/>
      <c r="N777" s="20"/>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row>
    <row r="778" spans="1:45" x14ac:dyDescent="0.3">
      <c r="A778" s="410" t="s">
        <v>5909</v>
      </c>
      <c r="B778" s="17"/>
      <c r="C778" s="19"/>
      <c r="D778" s="18"/>
      <c r="E778" s="17"/>
      <c r="F778" s="19"/>
      <c r="G778" s="31"/>
      <c r="H778" s="31"/>
      <c r="I778" s="19"/>
      <c r="J778" s="19"/>
      <c r="K778" s="21"/>
      <c r="L778" s="22"/>
      <c r="M778" s="19"/>
      <c r="N778" s="20"/>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row>
    <row r="779" spans="1:45" x14ac:dyDescent="0.3">
      <c r="A779" s="410" t="s">
        <v>5910</v>
      </c>
      <c r="B779" s="17"/>
      <c r="C779" s="19"/>
      <c r="D779" s="18"/>
      <c r="E779" s="17"/>
      <c r="F779" s="19"/>
      <c r="G779" s="31"/>
      <c r="H779" s="31"/>
      <c r="I779" s="19"/>
      <c r="J779" s="19"/>
      <c r="K779" s="21"/>
      <c r="L779" s="22"/>
      <c r="M779" s="19"/>
      <c r="N779" s="20"/>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row>
    <row r="780" spans="1:45" x14ac:dyDescent="0.3">
      <c r="A780" s="410" t="s">
        <v>5911</v>
      </c>
      <c r="B780" s="17"/>
      <c r="C780" s="19"/>
      <c r="D780" s="18"/>
      <c r="E780" s="17"/>
      <c r="F780" s="19"/>
      <c r="G780" s="31"/>
      <c r="H780" s="31"/>
      <c r="I780" s="19"/>
      <c r="J780" s="19"/>
      <c r="K780" s="21"/>
      <c r="L780" s="22"/>
      <c r="M780" s="19"/>
      <c r="N780" s="20"/>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row>
    <row r="781" spans="1:45" x14ac:dyDescent="0.3">
      <c r="A781" s="410" t="s">
        <v>5912</v>
      </c>
      <c r="B781" s="17"/>
      <c r="C781" s="19"/>
      <c r="D781" s="18"/>
      <c r="E781" s="17"/>
      <c r="F781" s="19"/>
      <c r="G781" s="31"/>
      <c r="H781" s="31"/>
      <c r="I781" s="19"/>
      <c r="J781" s="19"/>
      <c r="K781" s="21"/>
      <c r="L781" s="22"/>
      <c r="M781" s="19"/>
      <c r="N781" s="20"/>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row>
    <row r="782" spans="1:45" x14ac:dyDescent="0.3">
      <c r="A782" s="410" t="s">
        <v>5913</v>
      </c>
      <c r="B782" s="17"/>
      <c r="C782" s="19"/>
      <c r="D782" s="18"/>
      <c r="E782" s="17"/>
      <c r="F782" s="19"/>
      <c r="G782" s="31"/>
      <c r="H782" s="31"/>
      <c r="I782" s="19"/>
      <c r="J782" s="19"/>
      <c r="K782" s="21"/>
      <c r="L782" s="22"/>
      <c r="M782" s="19"/>
      <c r="N782" s="20"/>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row>
    <row r="783" spans="1:45" x14ac:dyDescent="0.3">
      <c r="A783" s="410" t="s">
        <v>5914</v>
      </c>
      <c r="B783" s="17"/>
      <c r="C783" s="19"/>
      <c r="D783" s="18"/>
      <c r="E783" s="17"/>
      <c r="F783" s="19"/>
      <c r="G783" s="31"/>
      <c r="H783" s="31"/>
      <c r="I783" s="19"/>
      <c r="J783" s="19"/>
      <c r="K783" s="21"/>
      <c r="L783" s="22"/>
      <c r="M783" s="19"/>
      <c r="N783" s="20"/>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row>
    <row r="784" spans="1:45" x14ac:dyDescent="0.3">
      <c r="A784" s="410" t="s">
        <v>5915</v>
      </c>
      <c r="B784" s="17"/>
      <c r="C784" s="19"/>
      <c r="D784" s="18"/>
      <c r="E784" s="17"/>
      <c r="F784" s="19"/>
      <c r="G784" s="31"/>
      <c r="H784" s="31"/>
      <c r="I784" s="19"/>
      <c r="J784" s="19"/>
      <c r="K784" s="21"/>
      <c r="L784" s="22"/>
      <c r="M784" s="19"/>
      <c r="N784" s="20"/>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row>
    <row r="785" spans="1:45" x14ac:dyDescent="0.3">
      <c r="A785" s="410" t="s">
        <v>5916</v>
      </c>
      <c r="B785" s="17"/>
      <c r="C785" s="19"/>
      <c r="D785" s="18"/>
      <c r="E785" s="17"/>
      <c r="F785" s="19"/>
      <c r="G785" s="31"/>
      <c r="H785" s="31"/>
      <c r="I785" s="19"/>
      <c r="J785" s="19"/>
      <c r="K785" s="21"/>
      <c r="L785" s="22"/>
      <c r="M785" s="19"/>
      <c r="N785" s="20"/>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row>
    <row r="786" spans="1:45" x14ac:dyDescent="0.3">
      <c r="A786" s="410" t="s">
        <v>5917</v>
      </c>
      <c r="B786" s="17"/>
      <c r="C786" s="19"/>
      <c r="D786" s="18"/>
      <c r="E786" s="17"/>
      <c r="F786" s="19"/>
      <c r="G786" s="31"/>
      <c r="H786" s="31"/>
      <c r="I786" s="19"/>
      <c r="J786" s="19"/>
      <c r="K786" s="21"/>
      <c r="L786" s="22"/>
      <c r="M786" s="19"/>
      <c r="N786" s="20"/>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row>
    <row r="787" spans="1:45" x14ac:dyDescent="0.3">
      <c r="A787" s="410" t="s">
        <v>5918</v>
      </c>
      <c r="B787" s="17"/>
      <c r="C787" s="19"/>
      <c r="D787" s="18"/>
      <c r="E787" s="17"/>
      <c r="F787" s="19"/>
      <c r="G787" s="31"/>
      <c r="H787" s="31"/>
      <c r="I787" s="19"/>
      <c r="J787" s="19"/>
      <c r="K787" s="21"/>
      <c r="L787" s="22"/>
      <c r="M787" s="19"/>
      <c r="N787" s="20"/>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row>
    <row r="788" spans="1:45" x14ac:dyDescent="0.3">
      <c r="A788" s="410" t="s">
        <v>5919</v>
      </c>
      <c r="B788" s="17"/>
      <c r="C788" s="19"/>
      <c r="D788" s="18"/>
      <c r="E788" s="17"/>
      <c r="F788" s="19"/>
      <c r="G788" s="31"/>
      <c r="H788" s="31"/>
      <c r="I788" s="19"/>
      <c r="J788" s="19"/>
      <c r="K788" s="21"/>
      <c r="L788" s="22"/>
      <c r="M788" s="19"/>
      <c r="N788" s="20"/>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row>
    <row r="789" spans="1:45" x14ac:dyDescent="0.3">
      <c r="A789" s="410" t="s">
        <v>5920</v>
      </c>
      <c r="B789" s="17"/>
      <c r="C789" s="19"/>
      <c r="D789" s="18"/>
      <c r="E789" s="17"/>
      <c r="F789" s="19"/>
      <c r="G789" s="31"/>
      <c r="H789" s="31"/>
      <c r="I789" s="19"/>
      <c r="J789" s="19"/>
      <c r="K789" s="21"/>
      <c r="L789" s="22"/>
      <c r="M789" s="19"/>
      <c r="N789" s="20"/>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row>
    <row r="790" spans="1:45" x14ac:dyDescent="0.3">
      <c r="A790" s="410" t="s">
        <v>5921</v>
      </c>
      <c r="B790" s="17"/>
      <c r="C790" s="19"/>
      <c r="D790" s="18"/>
      <c r="E790" s="17"/>
      <c r="F790" s="19"/>
      <c r="G790" s="31"/>
      <c r="H790" s="31"/>
      <c r="I790" s="19"/>
      <c r="J790" s="19"/>
      <c r="K790" s="21"/>
      <c r="L790" s="22"/>
      <c r="M790" s="19"/>
      <c r="N790" s="20"/>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row>
    <row r="791" spans="1:45" x14ac:dyDescent="0.3">
      <c r="A791" s="410" t="s">
        <v>5922</v>
      </c>
      <c r="B791" s="17"/>
      <c r="C791" s="19"/>
      <c r="D791" s="18"/>
      <c r="E791" s="17"/>
      <c r="F791" s="19"/>
      <c r="G791" s="31"/>
      <c r="H791" s="31"/>
      <c r="I791" s="19"/>
      <c r="J791" s="19"/>
      <c r="K791" s="21"/>
      <c r="L791" s="22"/>
      <c r="M791" s="19"/>
      <c r="N791" s="20"/>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row>
    <row r="792" spans="1:45" x14ac:dyDescent="0.3">
      <c r="A792" s="410" t="s">
        <v>5923</v>
      </c>
      <c r="B792" s="17"/>
      <c r="C792" s="19"/>
      <c r="D792" s="18"/>
      <c r="E792" s="17"/>
      <c r="F792" s="19"/>
      <c r="G792" s="31"/>
      <c r="H792" s="31"/>
      <c r="I792" s="19"/>
      <c r="J792" s="19"/>
      <c r="K792" s="21"/>
      <c r="L792" s="22"/>
      <c r="M792" s="19"/>
      <c r="N792" s="20"/>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row>
    <row r="793" spans="1:45" x14ac:dyDescent="0.3">
      <c r="A793" s="410" t="s">
        <v>5924</v>
      </c>
      <c r="B793" s="17"/>
      <c r="C793" s="19"/>
      <c r="D793" s="18"/>
      <c r="E793" s="17"/>
      <c r="F793" s="19"/>
      <c r="G793" s="31"/>
      <c r="H793" s="31"/>
      <c r="I793" s="19"/>
      <c r="J793" s="19"/>
      <c r="K793" s="21"/>
      <c r="L793" s="22"/>
      <c r="M793" s="19"/>
      <c r="N793" s="20"/>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row>
    <row r="794" spans="1:45" x14ac:dyDescent="0.3">
      <c r="A794" s="410" t="s">
        <v>5925</v>
      </c>
      <c r="B794" s="17"/>
      <c r="C794" s="19"/>
      <c r="D794" s="18"/>
      <c r="E794" s="17"/>
      <c r="F794" s="19"/>
      <c r="G794" s="31"/>
      <c r="H794" s="31"/>
      <c r="I794" s="19"/>
      <c r="J794" s="19"/>
      <c r="K794" s="21"/>
      <c r="L794" s="22"/>
      <c r="M794" s="19"/>
      <c r="N794" s="20"/>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row>
    <row r="795" spans="1:45" x14ac:dyDescent="0.3">
      <c r="A795" s="410" t="s">
        <v>5926</v>
      </c>
      <c r="B795" s="17"/>
      <c r="C795" s="19"/>
      <c r="D795" s="18"/>
      <c r="E795" s="17"/>
      <c r="F795" s="19"/>
      <c r="G795" s="31"/>
      <c r="H795" s="31"/>
      <c r="I795" s="19"/>
      <c r="J795" s="19"/>
      <c r="K795" s="21"/>
      <c r="L795" s="22"/>
      <c r="M795" s="19"/>
      <c r="N795" s="20"/>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row>
    <row r="796" spans="1:45" x14ac:dyDescent="0.3">
      <c r="A796" s="410" t="s">
        <v>5927</v>
      </c>
      <c r="B796" s="17"/>
      <c r="C796" s="19"/>
      <c r="D796" s="18"/>
      <c r="E796" s="17"/>
      <c r="F796" s="19"/>
      <c r="G796" s="31"/>
      <c r="H796" s="31"/>
      <c r="I796" s="19"/>
      <c r="J796" s="19"/>
      <c r="K796" s="21"/>
      <c r="L796" s="22"/>
      <c r="M796" s="19"/>
      <c r="N796" s="20"/>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row>
    <row r="797" spans="1:45" x14ac:dyDescent="0.3">
      <c r="A797" s="410" t="s">
        <v>5928</v>
      </c>
      <c r="B797" s="17"/>
      <c r="C797" s="19"/>
      <c r="D797" s="18"/>
      <c r="E797" s="17"/>
      <c r="F797" s="19"/>
      <c r="G797" s="31"/>
      <c r="H797" s="31"/>
      <c r="I797" s="19"/>
      <c r="J797" s="19"/>
      <c r="K797" s="21"/>
      <c r="L797" s="22"/>
      <c r="M797" s="19"/>
      <c r="N797" s="20"/>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row>
    <row r="798" spans="1:45" x14ac:dyDescent="0.3">
      <c r="A798" s="410" t="s">
        <v>5929</v>
      </c>
      <c r="B798" s="17"/>
      <c r="C798" s="19"/>
      <c r="D798" s="18"/>
      <c r="E798" s="17"/>
      <c r="F798" s="19"/>
      <c r="G798" s="31"/>
      <c r="H798" s="31"/>
      <c r="I798" s="19"/>
      <c r="J798" s="19"/>
      <c r="K798" s="21"/>
      <c r="L798" s="22"/>
      <c r="M798" s="19"/>
      <c r="N798" s="20"/>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row>
    <row r="799" spans="1:45" x14ac:dyDescent="0.3">
      <c r="A799" s="410" t="s">
        <v>5930</v>
      </c>
      <c r="B799" s="17"/>
      <c r="C799" s="19"/>
      <c r="D799" s="18"/>
      <c r="E799" s="17"/>
      <c r="F799" s="19"/>
      <c r="G799" s="31"/>
      <c r="H799" s="31"/>
      <c r="I799" s="19"/>
      <c r="J799" s="19"/>
      <c r="K799" s="21"/>
      <c r="L799" s="22"/>
      <c r="M799" s="19"/>
      <c r="N799" s="20"/>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row>
    <row r="800" spans="1:45" x14ac:dyDescent="0.3">
      <c r="A800" s="410" t="s">
        <v>5931</v>
      </c>
      <c r="B800" s="17"/>
      <c r="C800" s="19"/>
      <c r="D800" s="18"/>
      <c r="E800" s="17"/>
      <c r="F800" s="19"/>
      <c r="G800" s="31"/>
      <c r="H800" s="31"/>
      <c r="I800" s="19"/>
      <c r="J800" s="19"/>
      <c r="K800" s="21"/>
      <c r="L800" s="22"/>
      <c r="M800" s="19"/>
      <c r="N800" s="20"/>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row>
    <row r="801" spans="1:45" x14ac:dyDescent="0.3">
      <c r="A801" s="410" t="s">
        <v>5932</v>
      </c>
      <c r="B801" s="17"/>
      <c r="C801" s="19"/>
      <c r="D801" s="18"/>
      <c r="E801" s="17"/>
      <c r="F801" s="19"/>
      <c r="G801" s="31"/>
      <c r="H801" s="31"/>
      <c r="I801" s="19"/>
      <c r="J801" s="19"/>
      <c r="K801" s="21"/>
      <c r="L801" s="22"/>
      <c r="M801" s="19"/>
      <c r="N801" s="20"/>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row>
    <row r="802" spans="1:45" x14ac:dyDescent="0.3">
      <c r="A802" s="410" t="s">
        <v>5933</v>
      </c>
      <c r="B802" s="17"/>
      <c r="C802" s="19"/>
      <c r="D802" s="18"/>
      <c r="E802" s="17"/>
      <c r="F802" s="19"/>
      <c r="G802" s="31"/>
      <c r="H802" s="31"/>
      <c r="I802" s="19"/>
      <c r="J802" s="19"/>
      <c r="K802" s="21"/>
      <c r="L802" s="22"/>
      <c r="M802" s="19"/>
      <c r="N802" s="20"/>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row>
    <row r="803" spans="1:45" x14ac:dyDescent="0.3">
      <c r="A803" s="410" t="s">
        <v>5934</v>
      </c>
      <c r="B803" s="17"/>
      <c r="C803" s="19"/>
      <c r="D803" s="18"/>
      <c r="E803" s="17"/>
      <c r="F803" s="19"/>
      <c r="G803" s="31"/>
      <c r="H803" s="31"/>
      <c r="I803" s="19"/>
      <c r="J803" s="19"/>
      <c r="K803" s="21"/>
      <c r="L803" s="22"/>
      <c r="M803" s="19"/>
      <c r="N803" s="20"/>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row>
    <row r="804" spans="1:45" x14ac:dyDescent="0.3">
      <c r="A804" s="410" t="s">
        <v>5935</v>
      </c>
      <c r="B804" s="17"/>
      <c r="C804" s="19"/>
      <c r="D804" s="18"/>
      <c r="E804" s="17"/>
      <c r="F804" s="19"/>
      <c r="G804" s="31"/>
      <c r="H804" s="31"/>
      <c r="I804" s="19"/>
      <c r="J804" s="19"/>
      <c r="K804" s="21"/>
      <c r="L804" s="22"/>
      <c r="M804" s="19"/>
      <c r="N804" s="20"/>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row>
    <row r="805" spans="1:45" x14ac:dyDescent="0.3">
      <c r="A805" s="410" t="s">
        <v>5936</v>
      </c>
      <c r="B805" s="17"/>
      <c r="C805" s="19"/>
      <c r="D805" s="18"/>
      <c r="E805" s="17"/>
      <c r="F805" s="19"/>
      <c r="G805" s="31"/>
      <c r="H805" s="31"/>
      <c r="I805" s="19"/>
      <c r="J805" s="19"/>
      <c r="K805" s="21"/>
      <c r="L805" s="22"/>
      <c r="M805" s="19"/>
      <c r="N805" s="20"/>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row>
    <row r="806" spans="1:45" x14ac:dyDescent="0.3">
      <c r="A806" s="410" t="s">
        <v>5937</v>
      </c>
      <c r="B806" s="17"/>
      <c r="C806" s="19"/>
      <c r="D806" s="18"/>
      <c r="E806" s="17"/>
      <c r="F806" s="19"/>
      <c r="G806" s="31"/>
      <c r="H806" s="31"/>
      <c r="I806" s="19"/>
      <c r="J806" s="19"/>
      <c r="K806" s="21"/>
      <c r="L806" s="22"/>
      <c r="M806" s="19"/>
      <c r="N806" s="20"/>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row>
    <row r="807" spans="1:45" x14ac:dyDescent="0.3">
      <c r="A807" s="410" t="s">
        <v>5938</v>
      </c>
      <c r="B807" s="17"/>
      <c r="C807" s="19"/>
      <c r="D807" s="18"/>
      <c r="E807" s="17"/>
      <c r="F807" s="19"/>
      <c r="G807" s="31"/>
      <c r="H807" s="31"/>
      <c r="I807" s="19"/>
      <c r="J807" s="19"/>
      <c r="K807" s="21"/>
      <c r="L807" s="22"/>
      <c r="M807" s="19"/>
      <c r="N807" s="20"/>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row>
    <row r="808" spans="1:45" x14ac:dyDescent="0.3">
      <c r="A808" s="410" t="s">
        <v>5939</v>
      </c>
      <c r="B808" s="17"/>
      <c r="C808" s="19"/>
      <c r="D808" s="18"/>
      <c r="E808" s="17"/>
      <c r="F808" s="19"/>
      <c r="G808" s="31"/>
      <c r="H808" s="31"/>
      <c r="I808" s="19"/>
      <c r="J808" s="19"/>
      <c r="K808" s="21"/>
      <c r="L808" s="22"/>
      <c r="M808" s="19"/>
      <c r="N808" s="20"/>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row>
    <row r="809" spans="1:45" x14ac:dyDescent="0.3">
      <c r="A809" s="410" t="s">
        <v>5940</v>
      </c>
      <c r="B809" s="17"/>
      <c r="C809" s="19"/>
      <c r="D809" s="18"/>
      <c r="E809" s="17"/>
      <c r="F809" s="19"/>
      <c r="G809" s="31"/>
      <c r="H809" s="31"/>
      <c r="I809" s="19"/>
      <c r="J809" s="19"/>
      <c r="K809" s="21"/>
      <c r="L809" s="22"/>
      <c r="M809" s="19"/>
      <c r="N809" s="20"/>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row>
    <row r="810" spans="1:45" x14ac:dyDescent="0.3">
      <c r="A810" s="410" t="s">
        <v>5941</v>
      </c>
      <c r="B810" s="17"/>
      <c r="C810" s="19"/>
      <c r="D810" s="18"/>
      <c r="E810" s="17"/>
      <c r="F810" s="19"/>
      <c r="G810" s="31"/>
      <c r="H810" s="31"/>
      <c r="I810" s="19"/>
      <c r="J810" s="19"/>
      <c r="K810" s="21"/>
      <c r="L810" s="22"/>
      <c r="M810" s="19"/>
      <c r="N810" s="20"/>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row>
    <row r="811" spans="1:45" x14ac:dyDescent="0.3">
      <c r="A811" s="410"/>
      <c r="B811" s="17"/>
      <c r="C811" s="19"/>
      <c r="D811" s="18"/>
      <c r="E811" s="17"/>
      <c r="F811" s="19"/>
      <c r="G811" s="31"/>
      <c r="H811" s="31"/>
      <c r="I811" s="19"/>
      <c r="J811" s="19"/>
      <c r="K811" s="21"/>
      <c r="L811" s="22"/>
      <c r="M811" s="19"/>
      <c r="N811" s="20"/>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row>
    <row r="812" spans="1:45" x14ac:dyDescent="0.3">
      <c r="A812" s="410" t="s">
        <v>2243</v>
      </c>
      <c r="B812" s="17" t="s">
        <v>2244</v>
      </c>
      <c r="C812" s="19" t="s">
        <v>1368</v>
      </c>
      <c r="D812" s="19">
        <v>23066830</v>
      </c>
      <c r="E812" s="17"/>
      <c r="F812" s="19"/>
      <c r="G812" s="31"/>
      <c r="H812" s="31"/>
      <c r="I812" s="19"/>
      <c r="J812" s="328"/>
      <c r="K812" s="336"/>
      <c r="L812" s="337"/>
      <c r="M812" s="330"/>
      <c r="N812" s="20"/>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row>
    <row r="813" spans="1:45" x14ac:dyDescent="0.3">
      <c r="A813" s="410" t="s">
        <v>2245</v>
      </c>
      <c r="B813" s="17" t="s">
        <v>2246</v>
      </c>
      <c r="C813" s="19" t="s">
        <v>1368</v>
      </c>
      <c r="D813" s="19">
        <v>23072068</v>
      </c>
      <c r="E813" s="17"/>
      <c r="F813" s="19"/>
      <c r="G813" s="31"/>
      <c r="H813" s="31"/>
      <c r="I813" s="19"/>
      <c r="J813" s="328"/>
      <c r="K813" s="336"/>
      <c r="L813" s="337"/>
      <c r="M813" s="330"/>
      <c r="N813" s="20"/>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row>
    <row r="814" spans="1:45" x14ac:dyDescent="0.3">
      <c r="A814" s="410" t="s">
        <v>2247</v>
      </c>
      <c r="B814" s="17" t="s">
        <v>2248</v>
      </c>
      <c r="C814" s="19" t="s">
        <v>1368</v>
      </c>
      <c r="D814" s="19">
        <v>23087904</v>
      </c>
      <c r="E814" s="17"/>
      <c r="F814" s="19"/>
      <c r="G814" s="31"/>
      <c r="H814" s="31"/>
      <c r="I814" s="19"/>
      <c r="J814" s="19"/>
      <c r="K814" s="333"/>
      <c r="L814" s="331"/>
      <c r="M814" s="19"/>
      <c r="N814" s="20"/>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row>
    <row r="815" spans="1:45" x14ac:dyDescent="0.3">
      <c r="A815" s="410" t="s">
        <v>2249</v>
      </c>
      <c r="B815" s="17" t="s">
        <v>2250</v>
      </c>
      <c r="C815" s="19" t="s">
        <v>1368</v>
      </c>
      <c r="D815" s="19">
        <v>23067285</v>
      </c>
      <c r="E815" s="17"/>
      <c r="F815" s="19"/>
      <c r="G815" s="31"/>
      <c r="H815" s="31"/>
      <c r="I815" s="19"/>
      <c r="J815" s="19"/>
      <c r="K815" s="18"/>
      <c r="L815" s="329"/>
      <c r="M815" s="19"/>
      <c r="N815" s="20"/>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row>
    <row r="816" spans="1:45" x14ac:dyDescent="0.3">
      <c r="A816" s="410" t="s">
        <v>2251</v>
      </c>
      <c r="B816" s="17" t="s">
        <v>2252</v>
      </c>
      <c r="C816" s="19" t="s">
        <v>1368</v>
      </c>
      <c r="D816" s="19">
        <v>23054963</v>
      </c>
      <c r="E816" s="17"/>
      <c r="F816" s="19"/>
      <c r="G816" s="31"/>
      <c r="H816" s="31"/>
      <c r="I816" s="19"/>
      <c r="J816" s="19"/>
      <c r="K816" s="18"/>
      <c r="L816" s="19"/>
      <c r="M816" s="19"/>
      <c r="N816" s="20"/>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row>
    <row r="817" spans="1:45" x14ac:dyDescent="0.3">
      <c r="A817" s="410" t="s">
        <v>2253</v>
      </c>
      <c r="B817" s="17" t="s">
        <v>2254</v>
      </c>
      <c r="C817" s="19" t="s">
        <v>1368</v>
      </c>
      <c r="D817" s="19">
        <v>23074552</v>
      </c>
      <c r="E817" s="17"/>
      <c r="F817" s="19"/>
      <c r="G817" s="31"/>
      <c r="H817" s="31"/>
      <c r="I817" s="19"/>
      <c r="J817" s="19"/>
      <c r="K817" s="18"/>
      <c r="L817" s="19"/>
      <c r="M817" s="19"/>
      <c r="N817" s="20"/>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row>
    <row r="818" spans="1:45" x14ac:dyDescent="0.3">
      <c r="A818" s="410" t="s">
        <v>2255</v>
      </c>
      <c r="B818" s="17" t="s">
        <v>2256</v>
      </c>
      <c r="C818" s="19" t="s">
        <v>1368</v>
      </c>
      <c r="D818" s="19">
        <v>23086971</v>
      </c>
      <c r="E818" s="17"/>
      <c r="F818" s="19"/>
      <c r="G818" s="31"/>
      <c r="H818" s="31"/>
      <c r="I818" s="19"/>
      <c r="J818" s="19"/>
      <c r="K818" s="18"/>
      <c r="L818" s="19"/>
      <c r="M818" s="19"/>
      <c r="N818" s="20"/>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row>
    <row r="819" spans="1:45" x14ac:dyDescent="0.3">
      <c r="A819" s="410" t="s">
        <v>2257</v>
      </c>
      <c r="B819" s="17" t="s">
        <v>2258</v>
      </c>
      <c r="C819" s="19" t="s">
        <v>1368</v>
      </c>
      <c r="D819" s="19">
        <v>23097107</v>
      </c>
      <c r="E819" s="17"/>
      <c r="F819" s="19"/>
      <c r="G819" s="31"/>
      <c r="H819" s="31"/>
      <c r="I819" s="19"/>
      <c r="J819" s="19"/>
      <c r="K819" s="18"/>
      <c r="L819" s="19"/>
      <c r="M819" s="19"/>
      <c r="N819" s="20"/>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row>
    <row r="820" spans="1:45" x14ac:dyDescent="0.3">
      <c r="A820" s="410" t="s">
        <v>2259</v>
      </c>
      <c r="B820" s="17" t="s">
        <v>2260</v>
      </c>
      <c r="C820" s="19" t="s">
        <v>1368</v>
      </c>
      <c r="D820" s="19">
        <v>23093883</v>
      </c>
      <c r="E820" s="17"/>
      <c r="F820" s="19"/>
      <c r="G820" s="31"/>
      <c r="H820" s="31"/>
      <c r="I820" s="19"/>
      <c r="J820" s="19"/>
      <c r="K820" s="18"/>
      <c r="L820" s="19"/>
      <c r="M820" s="19"/>
      <c r="N820" s="20"/>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row>
    <row r="821" spans="1:45" x14ac:dyDescent="0.3">
      <c r="A821" s="410" t="s">
        <v>2261</v>
      </c>
      <c r="B821" s="17"/>
      <c r="C821" s="19"/>
      <c r="D821" s="18"/>
      <c r="E821" s="17"/>
      <c r="F821" s="19"/>
      <c r="G821" s="31"/>
      <c r="H821" s="31"/>
      <c r="I821" s="19"/>
      <c r="J821" s="22"/>
      <c r="K821" s="18"/>
      <c r="L821" s="19"/>
      <c r="M821" s="19"/>
      <c r="N821" s="20"/>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row>
    <row r="822" spans="1:45" x14ac:dyDescent="0.3">
      <c r="A822" s="410" t="s">
        <v>2262</v>
      </c>
      <c r="B822" s="17"/>
      <c r="C822" s="19"/>
      <c r="D822" s="18"/>
      <c r="E822" s="18"/>
      <c r="F822" s="19"/>
      <c r="G822" s="31"/>
      <c r="H822" s="31"/>
      <c r="I822" s="19"/>
      <c r="J822" s="22"/>
      <c r="K822" s="18"/>
      <c r="L822" s="19"/>
      <c r="M822" s="19"/>
      <c r="N822" s="20"/>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row>
    <row r="823" spans="1:45" x14ac:dyDescent="0.3">
      <c r="A823" s="410" t="s">
        <v>2263</v>
      </c>
      <c r="B823" s="17"/>
      <c r="C823" s="19"/>
      <c r="D823" s="18"/>
      <c r="E823" s="18"/>
      <c r="F823" s="19"/>
      <c r="G823" s="31"/>
      <c r="H823" s="31"/>
      <c r="I823" s="19"/>
      <c r="J823" s="22"/>
      <c r="K823" s="18"/>
      <c r="L823" s="19"/>
      <c r="M823" s="19"/>
      <c r="N823" s="20"/>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row>
    <row r="824" spans="1:45" x14ac:dyDescent="0.3">
      <c r="A824" s="410" t="s">
        <v>2264</v>
      </c>
      <c r="B824" s="17"/>
      <c r="C824" s="19"/>
      <c r="D824" s="18"/>
      <c r="E824" s="18"/>
      <c r="F824" s="19"/>
      <c r="G824" s="31"/>
      <c r="H824" s="31"/>
      <c r="I824" s="19"/>
      <c r="J824" s="22"/>
      <c r="K824" s="18"/>
      <c r="L824" s="19"/>
      <c r="M824" s="19"/>
      <c r="N824" s="20"/>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row>
    <row r="825" spans="1:45" x14ac:dyDescent="0.3">
      <c r="A825" s="410" t="s">
        <v>2265</v>
      </c>
      <c r="B825" s="17"/>
      <c r="C825" s="19"/>
      <c r="D825" s="18"/>
      <c r="E825" s="18"/>
      <c r="F825" s="19"/>
      <c r="G825" s="31"/>
      <c r="H825" s="31"/>
      <c r="I825" s="19"/>
      <c r="J825" s="22"/>
      <c r="K825" s="18"/>
      <c r="L825" s="19"/>
      <c r="M825" s="19"/>
      <c r="N825" s="20"/>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row>
    <row r="826" spans="1:45" x14ac:dyDescent="0.3">
      <c r="A826" s="410" t="s">
        <v>2266</v>
      </c>
      <c r="B826" s="17"/>
      <c r="C826" s="19"/>
      <c r="D826" s="18"/>
      <c r="E826" s="18"/>
      <c r="F826" s="19"/>
      <c r="G826" s="31"/>
      <c r="H826" s="31"/>
      <c r="I826" s="19"/>
      <c r="J826" s="22"/>
      <c r="K826" s="18"/>
      <c r="L826" s="19"/>
      <c r="M826" s="19"/>
      <c r="N826" s="20"/>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row>
    <row r="827" spans="1:45" x14ac:dyDescent="0.3">
      <c r="A827" s="410" t="s">
        <v>2267</v>
      </c>
      <c r="B827" s="17"/>
      <c r="C827" s="19"/>
      <c r="D827" s="18"/>
      <c r="E827" s="18"/>
      <c r="F827" s="19"/>
      <c r="G827" s="31"/>
      <c r="H827" s="31"/>
      <c r="I827" s="19"/>
      <c r="J827" s="22"/>
      <c r="K827" s="18"/>
      <c r="L827" s="19"/>
      <c r="M827" s="19"/>
      <c r="N827" s="20"/>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row>
    <row r="828" spans="1:45" x14ac:dyDescent="0.3">
      <c r="A828" s="410" t="s">
        <v>2268</v>
      </c>
      <c r="B828" s="17"/>
      <c r="C828" s="19"/>
      <c r="D828" s="18"/>
      <c r="E828" s="18"/>
      <c r="F828" s="19"/>
      <c r="G828" s="31"/>
      <c r="H828" s="31"/>
      <c r="I828" s="19"/>
      <c r="J828" s="22"/>
      <c r="K828" s="18"/>
      <c r="L828" s="19"/>
      <c r="M828" s="19"/>
      <c r="N828" s="20"/>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row>
    <row r="829" spans="1:45" x14ac:dyDescent="0.3">
      <c r="A829" s="410" t="s">
        <v>2269</v>
      </c>
      <c r="B829" s="17"/>
      <c r="C829" s="19"/>
      <c r="D829" s="18"/>
      <c r="E829" s="18"/>
      <c r="F829" s="19"/>
      <c r="G829" s="31"/>
      <c r="H829" s="31"/>
      <c r="I829" s="19"/>
      <c r="J829" s="22"/>
      <c r="K829" s="18"/>
      <c r="L829" s="19"/>
      <c r="M829" s="19"/>
      <c r="N829" s="20"/>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row>
    <row r="830" spans="1:45" x14ac:dyDescent="0.3">
      <c r="A830" s="410" t="s">
        <v>2270</v>
      </c>
      <c r="B830" s="17"/>
      <c r="C830" s="19"/>
      <c r="D830" s="18"/>
      <c r="E830" s="18"/>
      <c r="F830" s="19"/>
      <c r="G830" s="31"/>
      <c r="H830" s="31"/>
      <c r="I830" s="19"/>
      <c r="J830" s="22"/>
      <c r="K830" s="18"/>
      <c r="L830" s="19"/>
      <c r="M830" s="19"/>
      <c r="N830" s="20"/>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row>
    <row r="831" spans="1:45" x14ac:dyDescent="0.3">
      <c r="A831" s="410" t="s">
        <v>2271</v>
      </c>
      <c r="B831" s="17"/>
      <c r="C831" s="19"/>
      <c r="D831" s="18"/>
      <c r="E831" s="18"/>
      <c r="F831" s="19"/>
      <c r="G831" s="31"/>
      <c r="H831" s="31"/>
      <c r="I831" s="19"/>
      <c r="J831" s="22"/>
      <c r="K831" s="18"/>
      <c r="L831" s="19"/>
      <c r="M831" s="19"/>
      <c r="N831" s="20"/>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row>
    <row r="832" spans="1:45" x14ac:dyDescent="0.3">
      <c r="A832" s="410" t="s">
        <v>2272</v>
      </c>
      <c r="B832" s="17"/>
      <c r="C832" s="19"/>
      <c r="D832" s="18"/>
      <c r="E832" s="18"/>
      <c r="F832" s="19"/>
      <c r="G832" s="31"/>
      <c r="H832" s="31"/>
      <c r="I832" s="19"/>
      <c r="J832" s="22"/>
      <c r="K832" s="18"/>
      <c r="L832" s="19"/>
      <c r="M832" s="19"/>
      <c r="N832" s="20"/>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row>
    <row r="833" spans="1:45" x14ac:dyDescent="0.3">
      <c r="A833" s="410" t="s">
        <v>2273</v>
      </c>
      <c r="B833" s="17"/>
      <c r="C833" s="19"/>
      <c r="D833" s="18"/>
      <c r="E833" s="18"/>
      <c r="F833" s="19"/>
      <c r="G833" s="31"/>
      <c r="H833" s="31"/>
      <c r="I833" s="19"/>
      <c r="J833" s="22"/>
      <c r="K833" s="18"/>
      <c r="L833" s="19"/>
      <c r="M833" s="19"/>
      <c r="N833" s="20"/>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row>
    <row r="834" spans="1:45" x14ac:dyDescent="0.3">
      <c r="A834" s="410" t="s">
        <v>2274</v>
      </c>
      <c r="B834" s="17"/>
      <c r="C834" s="19"/>
      <c r="D834" s="18"/>
      <c r="E834" s="18"/>
      <c r="F834" s="19"/>
      <c r="G834" s="31"/>
      <c r="H834" s="31"/>
      <c r="I834" s="19"/>
      <c r="J834" s="22"/>
      <c r="K834" s="18"/>
      <c r="L834" s="19"/>
      <c r="M834" s="19"/>
      <c r="N834" s="20"/>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row>
    <row r="835" spans="1:45" x14ac:dyDescent="0.3">
      <c r="A835" s="410" t="s">
        <v>2275</v>
      </c>
      <c r="B835" s="17"/>
      <c r="C835" s="19"/>
      <c r="D835" s="18"/>
      <c r="E835" s="18"/>
      <c r="F835" s="19"/>
      <c r="G835" s="31"/>
      <c r="H835" s="31"/>
      <c r="I835" s="19"/>
      <c r="J835" s="22"/>
      <c r="K835" s="18"/>
      <c r="L835" s="19"/>
      <c r="M835" s="19"/>
      <c r="N835" s="20"/>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row>
    <row r="836" spans="1:45" x14ac:dyDescent="0.3">
      <c r="A836" s="410" t="s">
        <v>2276</v>
      </c>
      <c r="B836" s="17"/>
      <c r="C836" s="19"/>
      <c r="D836" s="18"/>
      <c r="E836" s="18"/>
      <c r="F836" s="19"/>
      <c r="G836" s="31"/>
      <c r="H836" s="31"/>
      <c r="I836" s="19"/>
      <c r="J836" s="22"/>
      <c r="K836" s="18"/>
      <c r="L836" s="19"/>
      <c r="M836" s="19"/>
      <c r="N836" s="20"/>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row>
    <row r="837" spans="1:45" x14ac:dyDescent="0.3">
      <c r="A837" s="410" t="s">
        <v>2277</v>
      </c>
      <c r="B837" s="17"/>
      <c r="C837" s="19"/>
      <c r="D837" s="18"/>
      <c r="E837" s="18"/>
      <c r="F837" s="19"/>
      <c r="G837" s="31"/>
      <c r="H837" s="31"/>
      <c r="I837" s="19"/>
      <c r="J837" s="22"/>
      <c r="K837" s="18"/>
      <c r="L837" s="19"/>
      <c r="M837" s="19"/>
      <c r="N837" s="20"/>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row>
    <row r="838" spans="1:45" x14ac:dyDescent="0.3">
      <c r="A838" s="410" t="s">
        <v>2278</v>
      </c>
      <c r="B838" s="17"/>
      <c r="C838" s="19"/>
      <c r="D838" s="18"/>
      <c r="E838" s="18"/>
      <c r="F838" s="19"/>
      <c r="G838" s="31"/>
      <c r="H838" s="31"/>
      <c r="I838" s="19"/>
      <c r="J838" s="22"/>
      <c r="K838" s="18"/>
      <c r="L838" s="19"/>
      <c r="M838" s="19"/>
      <c r="N838" s="20"/>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row>
    <row r="839" spans="1:45" x14ac:dyDescent="0.3">
      <c r="A839" s="410" t="s">
        <v>2279</v>
      </c>
      <c r="B839" s="17"/>
      <c r="C839" s="19"/>
      <c r="D839" s="18"/>
      <c r="E839" s="18"/>
      <c r="F839" s="19"/>
      <c r="G839" s="31"/>
      <c r="H839" s="31"/>
      <c r="I839" s="19"/>
      <c r="J839" s="22"/>
      <c r="K839" s="18"/>
      <c r="L839" s="19"/>
      <c r="M839" s="19"/>
      <c r="N839" s="20"/>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row>
    <row r="840" spans="1:45" x14ac:dyDescent="0.3">
      <c r="A840" s="410" t="s">
        <v>2280</v>
      </c>
      <c r="B840" s="17"/>
      <c r="C840" s="19"/>
      <c r="D840" s="18"/>
      <c r="E840" s="18"/>
      <c r="F840" s="19"/>
      <c r="G840" s="31"/>
      <c r="H840" s="31"/>
      <c r="I840" s="19"/>
      <c r="J840" s="22"/>
      <c r="K840" s="18"/>
      <c r="L840" s="19"/>
      <c r="M840" s="19"/>
      <c r="N840" s="20"/>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row>
    <row r="841" spans="1:45" x14ac:dyDescent="0.3">
      <c r="A841" s="410" t="s">
        <v>2281</v>
      </c>
      <c r="B841" s="17"/>
      <c r="C841" s="19"/>
      <c r="D841" s="18"/>
      <c r="E841" s="18"/>
      <c r="F841" s="19"/>
      <c r="G841" s="31"/>
      <c r="H841" s="31"/>
      <c r="I841" s="19"/>
      <c r="J841" s="22"/>
      <c r="K841" s="18"/>
      <c r="L841" s="19"/>
      <c r="M841" s="19"/>
      <c r="N841" s="20"/>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row>
    <row r="842" spans="1:45" x14ac:dyDescent="0.3">
      <c r="A842" s="410" t="s">
        <v>2282</v>
      </c>
      <c r="B842" s="17"/>
      <c r="C842" s="19"/>
      <c r="D842" s="18"/>
      <c r="E842" s="18"/>
      <c r="F842" s="19"/>
      <c r="G842" s="31"/>
      <c r="H842" s="31"/>
      <c r="I842" s="19"/>
      <c r="J842" s="22"/>
      <c r="K842" s="18"/>
      <c r="L842" s="19"/>
      <c r="M842" s="19"/>
      <c r="N842" s="20"/>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row>
    <row r="843" spans="1:45" x14ac:dyDescent="0.3">
      <c r="A843" s="410" t="s">
        <v>2283</v>
      </c>
      <c r="B843" s="17"/>
      <c r="C843" s="19"/>
      <c r="D843" s="18"/>
      <c r="E843" s="18"/>
      <c r="F843" s="19"/>
      <c r="G843" s="31"/>
      <c r="H843" s="31"/>
      <c r="I843" s="19"/>
      <c r="J843" s="22"/>
      <c r="K843" s="18"/>
      <c r="L843" s="19"/>
      <c r="M843" s="19"/>
      <c r="N843" s="20"/>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row>
    <row r="844" spans="1:45" x14ac:dyDescent="0.3">
      <c r="A844" s="410" t="s">
        <v>2284</v>
      </c>
      <c r="B844" s="17"/>
      <c r="C844" s="19"/>
      <c r="D844" s="18"/>
      <c r="E844" s="18"/>
      <c r="F844" s="19"/>
      <c r="G844" s="31"/>
      <c r="H844" s="31"/>
      <c r="I844" s="19"/>
      <c r="J844" s="22"/>
      <c r="K844" s="18"/>
      <c r="L844" s="19"/>
      <c r="M844" s="19"/>
      <c r="N844" s="20"/>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row>
    <row r="845" spans="1:45" x14ac:dyDescent="0.3">
      <c r="A845" s="410" t="s">
        <v>2285</v>
      </c>
      <c r="B845" s="17"/>
      <c r="C845" s="19"/>
      <c r="D845" s="18"/>
      <c r="E845" s="18"/>
      <c r="F845" s="19"/>
      <c r="G845" s="31"/>
      <c r="H845" s="31"/>
      <c r="I845" s="19"/>
      <c r="J845" s="22"/>
      <c r="K845" s="18"/>
      <c r="L845" s="19"/>
      <c r="M845" s="19"/>
      <c r="N845" s="20"/>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row>
    <row r="846" spans="1:45" x14ac:dyDescent="0.3">
      <c r="A846" s="410" t="s">
        <v>2286</v>
      </c>
      <c r="B846" s="17"/>
      <c r="C846" s="19"/>
      <c r="D846" s="18"/>
      <c r="E846" s="18"/>
      <c r="F846" s="19"/>
      <c r="G846" s="31"/>
      <c r="H846" s="31"/>
      <c r="I846" s="19"/>
      <c r="J846" s="22"/>
      <c r="K846" s="18"/>
      <c r="L846" s="19"/>
      <c r="M846" s="19"/>
      <c r="N846" s="20"/>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row>
    <row r="847" spans="1:45" x14ac:dyDescent="0.3">
      <c r="A847" s="410" t="s">
        <v>2287</v>
      </c>
      <c r="B847" s="17"/>
      <c r="C847" s="19"/>
      <c r="D847" s="18"/>
      <c r="E847" s="18"/>
      <c r="F847" s="19"/>
      <c r="G847" s="31"/>
      <c r="H847" s="31"/>
      <c r="I847" s="19"/>
      <c r="J847" s="22"/>
      <c r="K847" s="18"/>
      <c r="L847" s="19"/>
      <c r="M847" s="19"/>
      <c r="N847" s="20"/>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row>
    <row r="848" spans="1:45" x14ac:dyDescent="0.3">
      <c r="A848" s="410" t="s">
        <v>2288</v>
      </c>
      <c r="B848" s="17"/>
      <c r="C848" s="19"/>
      <c r="D848" s="18"/>
      <c r="E848" s="18"/>
      <c r="F848" s="19"/>
      <c r="G848" s="31"/>
      <c r="H848" s="31"/>
      <c r="I848" s="19"/>
      <c r="J848" s="22"/>
      <c r="K848" s="18"/>
      <c r="L848" s="19"/>
      <c r="M848" s="19"/>
      <c r="N848" s="20"/>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row>
    <row r="849" spans="1:45" x14ac:dyDescent="0.3">
      <c r="A849" s="410" t="s">
        <v>2289</v>
      </c>
      <c r="B849" s="17"/>
      <c r="C849" s="19"/>
      <c r="D849" s="18"/>
      <c r="E849" s="18"/>
      <c r="F849" s="19"/>
      <c r="G849" s="31"/>
      <c r="H849" s="31"/>
      <c r="I849" s="19"/>
      <c r="J849" s="22"/>
      <c r="K849" s="18"/>
      <c r="L849" s="19"/>
      <c r="M849" s="19"/>
      <c r="N849" s="20"/>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row>
    <row r="850" spans="1:45" x14ac:dyDescent="0.3">
      <c r="A850" s="410" t="s">
        <v>2290</v>
      </c>
      <c r="B850" s="17"/>
      <c r="C850" s="19"/>
      <c r="D850" s="18"/>
      <c r="E850" s="18"/>
      <c r="F850" s="19"/>
      <c r="G850" s="31"/>
      <c r="H850" s="31"/>
      <c r="I850" s="19"/>
      <c r="J850" s="22"/>
      <c r="K850" s="18"/>
      <c r="L850" s="19"/>
      <c r="M850" s="19"/>
      <c r="N850" s="20"/>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row>
    <row r="851" spans="1:45" x14ac:dyDescent="0.3">
      <c r="A851" s="410" t="s">
        <v>2291</v>
      </c>
      <c r="B851" s="17"/>
      <c r="C851" s="19"/>
      <c r="D851" s="18"/>
      <c r="E851" s="18"/>
      <c r="F851" s="19"/>
      <c r="G851" s="31"/>
      <c r="H851" s="31"/>
      <c r="I851" s="19"/>
      <c r="J851" s="22"/>
      <c r="K851" s="18"/>
      <c r="L851" s="19"/>
      <c r="M851" s="19"/>
      <c r="N851" s="20"/>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row>
    <row r="852" spans="1:45" x14ac:dyDescent="0.3">
      <c r="A852" s="410" t="s">
        <v>2292</v>
      </c>
      <c r="B852" s="17"/>
      <c r="C852" s="19"/>
      <c r="D852" s="18"/>
      <c r="E852" s="18"/>
      <c r="F852" s="19"/>
      <c r="G852" s="31"/>
      <c r="H852" s="31"/>
      <c r="I852" s="19"/>
      <c r="J852" s="22"/>
      <c r="K852" s="18"/>
      <c r="L852" s="19"/>
      <c r="M852" s="19"/>
      <c r="N852" s="20"/>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row>
    <row r="853" spans="1:45" x14ac:dyDescent="0.3">
      <c r="A853" s="410" t="s">
        <v>2293</v>
      </c>
      <c r="B853" s="17"/>
      <c r="C853" s="19"/>
      <c r="D853" s="18"/>
      <c r="E853" s="18"/>
      <c r="F853" s="19"/>
      <c r="G853" s="31"/>
      <c r="H853" s="31"/>
      <c r="I853" s="19"/>
      <c r="J853" s="22"/>
      <c r="K853" s="18"/>
      <c r="L853" s="19"/>
      <c r="M853" s="19"/>
      <c r="N853" s="20"/>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row>
    <row r="854" spans="1:45" x14ac:dyDescent="0.3">
      <c r="A854" s="410" t="s">
        <v>2294</v>
      </c>
      <c r="B854" s="17"/>
      <c r="C854" s="19"/>
      <c r="D854" s="18"/>
      <c r="E854" s="18"/>
      <c r="F854" s="19"/>
      <c r="G854" s="31"/>
      <c r="H854" s="31"/>
      <c r="I854" s="19"/>
      <c r="J854" s="22"/>
      <c r="K854" s="18"/>
      <c r="L854" s="19"/>
      <c r="M854" s="19"/>
      <c r="N854" s="20"/>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row>
    <row r="855" spans="1:45" x14ac:dyDescent="0.3">
      <c r="A855" s="410" t="s">
        <v>2295</v>
      </c>
      <c r="B855" s="17"/>
      <c r="C855" s="19"/>
      <c r="D855" s="18"/>
      <c r="E855" s="18"/>
      <c r="F855" s="19"/>
      <c r="G855" s="31"/>
      <c r="H855" s="31"/>
      <c r="I855" s="19"/>
      <c r="J855" s="22"/>
      <c r="K855" s="18"/>
      <c r="L855" s="19"/>
      <c r="M855" s="19"/>
      <c r="N855" s="20"/>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row>
    <row r="856" spans="1:45" x14ac:dyDescent="0.3">
      <c r="A856" s="410" t="s">
        <v>2296</v>
      </c>
      <c r="B856" s="17"/>
      <c r="C856" s="19"/>
      <c r="D856" s="18"/>
      <c r="E856" s="18"/>
      <c r="F856" s="19"/>
      <c r="G856" s="31"/>
      <c r="H856" s="31"/>
      <c r="I856" s="19"/>
      <c r="J856" s="22"/>
      <c r="K856" s="18"/>
      <c r="L856" s="19"/>
      <c r="M856" s="19"/>
      <c r="N856" s="20"/>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row>
    <row r="857" spans="1:45" x14ac:dyDescent="0.3">
      <c r="A857" s="410" t="s">
        <v>2297</v>
      </c>
      <c r="B857" s="17"/>
      <c r="C857" s="19"/>
      <c r="D857" s="18"/>
      <c r="E857" s="18"/>
      <c r="F857" s="19"/>
      <c r="G857" s="31"/>
      <c r="H857" s="31"/>
      <c r="I857" s="19"/>
      <c r="J857" s="22"/>
      <c r="K857" s="18"/>
      <c r="L857" s="19"/>
      <c r="M857" s="19"/>
      <c r="N857" s="20"/>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row>
    <row r="858" spans="1:45" x14ac:dyDescent="0.3">
      <c r="A858" s="410" t="s">
        <v>2298</v>
      </c>
      <c r="B858" s="17"/>
      <c r="C858" s="19"/>
      <c r="D858" s="18"/>
      <c r="E858" s="18"/>
      <c r="F858" s="19"/>
      <c r="G858" s="31"/>
      <c r="H858" s="31"/>
      <c r="I858" s="19"/>
      <c r="J858" s="22"/>
      <c r="K858" s="18"/>
      <c r="L858" s="19"/>
      <c r="M858" s="19"/>
      <c r="N858" s="20"/>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row>
    <row r="859" spans="1:45" x14ac:dyDescent="0.3">
      <c r="A859" s="410" t="s">
        <v>2299</v>
      </c>
      <c r="B859" s="17"/>
      <c r="C859" s="19"/>
      <c r="D859" s="18"/>
      <c r="E859" s="18"/>
      <c r="F859" s="19"/>
      <c r="G859" s="31"/>
      <c r="H859" s="31"/>
      <c r="I859" s="19"/>
      <c r="J859" s="22"/>
      <c r="K859" s="18"/>
      <c r="L859" s="19"/>
      <c r="M859" s="19"/>
      <c r="N859" s="20"/>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row>
    <row r="860" spans="1:45" x14ac:dyDescent="0.3">
      <c r="A860" s="410" t="s">
        <v>2300</v>
      </c>
      <c r="B860" s="17"/>
      <c r="C860" s="19"/>
      <c r="D860" s="18"/>
      <c r="E860" s="18"/>
      <c r="F860" s="19"/>
      <c r="G860" s="31"/>
      <c r="H860" s="31"/>
      <c r="I860" s="19"/>
      <c r="J860" s="22"/>
      <c r="K860" s="18"/>
      <c r="L860" s="19"/>
      <c r="M860" s="19"/>
      <c r="N860" s="20"/>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row>
    <row r="861" spans="1:45" x14ac:dyDescent="0.3">
      <c r="A861" s="410" t="s">
        <v>2301</v>
      </c>
      <c r="B861" s="17"/>
      <c r="C861" s="19"/>
      <c r="D861" s="18"/>
      <c r="E861" s="18"/>
      <c r="F861" s="19"/>
      <c r="G861" s="31"/>
      <c r="H861" s="31"/>
      <c r="I861" s="19"/>
      <c r="J861" s="22"/>
      <c r="K861" s="18"/>
      <c r="L861" s="19"/>
      <c r="M861" s="19"/>
      <c r="N861" s="20"/>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row>
    <row r="862" spans="1:45" x14ac:dyDescent="0.3">
      <c r="A862" s="410" t="s">
        <v>2302</v>
      </c>
      <c r="B862" s="17"/>
      <c r="C862" s="19"/>
      <c r="D862" s="18"/>
      <c r="E862" s="18"/>
      <c r="F862" s="19"/>
      <c r="G862" s="31"/>
      <c r="H862" s="31"/>
      <c r="I862" s="19"/>
      <c r="J862" s="22"/>
      <c r="K862" s="18"/>
      <c r="L862" s="19"/>
      <c r="M862" s="19"/>
      <c r="N862" s="20"/>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row>
    <row r="863" spans="1:45" x14ac:dyDescent="0.3">
      <c r="A863" s="410" t="s">
        <v>2303</v>
      </c>
      <c r="B863" s="17"/>
      <c r="C863" s="19"/>
      <c r="D863" s="18"/>
      <c r="E863" s="18"/>
      <c r="F863" s="19"/>
      <c r="G863" s="31"/>
      <c r="H863" s="31"/>
      <c r="I863" s="19"/>
      <c r="J863" s="22"/>
      <c r="K863" s="18"/>
      <c r="L863" s="19"/>
      <c r="M863" s="19"/>
      <c r="N863" s="20"/>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row>
    <row r="864" spans="1:45" x14ac:dyDescent="0.3">
      <c r="A864" s="410" t="s">
        <v>2304</v>
      </c>
      <c r="B864" s="17"/>
      <c r="C864" s="19"/>
      <c r="D864" s="18"/>
      <c r="E864" s="18"/>
      <c r="F864" s="19"/>
      <c r="G864" s="31"/>
      <c r="H864" s="31"/>
      <c r="I864" s="19"/>
      <c r="J864" s="22"/>
      <c r="K864" s="18"/>
      <c r="L864" s="19"/>
      <c r="M864" s="19"/>
      <c r="N864" s="20"/>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row>
    <row r="865" spans="1:45" x14ac:dyDescent="0.3">
      <c r="A865" s="410" t="s">
        <v>2305</v>
      </c>
      <c r="B865" s="17"/>
      <c r="C865" s="19"/>
      <c r="D865" s="18"/>
      <c r="E865" s="18"/>
      <c r="F865" s="19"/>
      <c r="G865" s="31"/>
      <c r="H865" s="31"/>
      <c r="I865" s="19"/>
      <c r="J865" s="22"/>
      <c r="K865" s="18"/>
      <c r="L865" s="19"/>
      <c r="M865" s="19"/>
      <c r="N865" s="20"/>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row>
    <row r="866" spans="1:45" x14ac:dyDescent="0.3">
      <c r="A866" s="410" t="s">
        <v>2306</v>
      </c>
      <c r="B866" s="17"/>
      <c r="C866" s="19"/>
      <c r="D866" s="18"/>
      <c r="E866" s="18"/>
      <c r="F866" s="19"/>
      <c r="G866" s="31"/>
      <c r="H866" s="31"/>
      <c r="I866" s="19"/>
      <c r="J866" s="22"/>
      <c r="K866" s="18"/>
      <c r="L866" s="19"/>
      <c r="M866" s="19"/>
      <c r="N866" s="20"/>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row>
    <row r="867" spans="1:45" x14ac:dyDescent="0.3">
      <c r="A867" s="410" t="s">
        <v>2307</v>
      </c>
      <c r="B867" s="17"/>
      <c r="C867" s="19"/>
      <c r="D867" s="18"/>
      <c r="E867" s="18"/>
      <c r="F867" s="19"/>
      <c r="G867" s="31"/>
      <c r="H867" s="31"/>
      <c r="I867" s="19"/>
      <c r="J867" s="22"/>
      <c r="K867" s="18"/>
      <c r="L867" s="19"/>
      <c r="M867" s="19"/>
      <c r="N867" s="20"/>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row>
    <row r="868" spans="1:45" x14ac:dyDescent="0.3">
      <c r="A868" s="410" t="s">
        <v>2308</v>
      </c>
      <c r="B868" s="17"/>
      <c r="C868" s="19"/>
      <c r="D868" s="18"/>
      <c r="E868" s="18"/>
      <c r="F868" s="19"/>
      <c r="G868" s="31"/>
      <c r="H868" s="31"/>
      <c r="I868" s="19"/>
      <c r="J868" s="22"/>
      <c r="K868" s="18"/>
      <c r="L868" s="19"/>
      <c r="M868" s="19"/>
      <c r="N868" s="20"/>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row>
    <row r="869" spans="1:45" x14ac:dyDescent="0.3">
      <c r="A869" s="410" t="s">
        <v>2309</v>
      </c>
      <c r="B869" s="17"/>
      <c r="C869" s="19"/>
      <c r="D869" s="18"/>
      <c r="E869" s="18"/>
      <c r="F869" s="19"/>
      <c r="G869" s="31"/>
      <c r="H869" s="31"/>
      <c r="I869" s="19"/>
      <c r="J869" s="22"/>
      <c r="K869" s="18"/>
      <c r="L869" s="19"/>
      <c r="M869" s="19"/>
      <c r="N869" s="20"/>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row>
    <row r="870" spans="1:45" x14ac:dyDescent="0.3">
      <c r="A870" s="410" t="s">
        <v>2310</v>
      </c>
      <c r="B870" s="17"/>
      <c r="C870" s="19"/>
      <c r="D870" s="18"/>
      <c r="E870" s="18"/>
      <c r="F870" s="19"/>
      <c r="G870" s="31"/>
      <c r="H870" s="31"/>
      <c r="I870" s="19"/>
      <c r="J870" s="22"/>
      <c r="K870" s="18"/>
      <c r="L870" s="19"/>
      <c r="M870" s="19"/>
      <c r="N870" s="20"/>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row>
    <row r="871" spans="1:45" x14ac:dyDescent="0.3">
      <c r="A871" s="410" t="s">
        <v>2311</v>
      </c>
      <c r="B871" s="17"/>
      <c r="C871" s="19"/>
      <c r="D871" s="18"/>
      <c r="E871" s="18"/>
      <c r="F871" s="19"/>
      <c r="G871" s="31"/>
      <c r="H871" s="31"/>
      <c r="I871" s="19"/>
      <c r="J871" s="22"/>
      <c r="K871" s="18"/>
      <c r="L871" s="19"/>
      <c r="M871" s="19"/>
      <c r="N871" s="20"/>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row>
    <row r="872" spans="1:45" x14ac:dyDescent="0.3">
      <c r="A872" s="410" t="s">
        <v>2312</v>
      </c>
      <c r="B872" s="17"/>
      <c r="C872" s="19"/>
      <c r="D872" s="18"/>
      <c r="E872" s="18"/>
      <c r="F872" s="19"/>
      <c r="G872" s="31"/>
      <c r="H872" s="31"/>
      <c r="I872" s="19"/>
      <c r="J872" s="22"/>
      <c r="K872" s="18"/>
      <c r="L872" s="19"/>
      <c r="M872" s="19"/>
      <c r="N872" s="20"/>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row>
    <row r="873" spans="1:45" x14ac:dyDescent="0.3">
      <c r="A873" s="410" t="s">
        <v>2313</v>
      </c>
      <c r="B873" s="17"/>
      <c r="C873" s="19"/>
      <c r="D873" s="18"/>
      <c r="E873" s="18"/>
      <c r="F873" s="19"/>
      <c r="G873" s="31"/>
      <c r="H873" s="31"/>
      <c r="I873" s="19"/>
      <c r="J873" s="22"/>
      <c r="K873" s="18"/>
      <c r="L873" s="19"/>
      <c r="M873" s="19"/>
      <c r="N873" s="20"/>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row>
    <row r="874" spans="1:45" x14ac:dyDescent="0.3">
      <c r="A874" s="410" t="s">
        <v>2314</v>
      </c>
      <c r="B874" s="17"/>
      <c r="C874" s="19"/>
      <c r="D874" s="18"/>
      <c r="E874" s="18"/>
      <c r="F874" s="19"/>
      <c r="G874" s="31"/>
      <c r="H874" s="31"/>
      <c r="I874" s="19"/>
      <c r="J874" s="22"/>
      <c r="K874" s="18"/>
      <c r="L874" s="19"/>
      <c r="M874" s="19"/>
      <c r="N874" s="20"/>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row>
    <row r="875" spans="1:45" x14ac:dyDescent="0.3">
      <c r="A875" s="410" t="s">
        <v>2315</v>
      </c>
      <c r="B875" s="17"/>
      <c r="C875" s="19"/>
      <c r="D875" s="18"/>
      <c r="E875" s="18"/>
      <c r="F875" s="19"/>
      <c r="G875" s="31"/>
      <c r="H875" s="31"/>
      <c r="I875" s="19"/>
      <c r="J875" s="22"/>
      <c r="K875" s="18"/>
      <c r="L875" s="19"/>
      <c r="M875" s="19"/>
      <c r="N875" s="20"/>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row>
    <row r="876" spans="1:45" x14ac:dyDescent="0.3">
      <c r="A876" s="410" t="s">
        <v>2316</v>
      </c>
      <c r="B876" s="17"/>
      <c r="C876" s="19"/>
      <c r="D876" s="18"/>
      <c r="E876" s="18"/>
      <c r="F876" s="19"/>
      <c r="G876" s="31"/>
      <c r="H876" s="31"/>
      <c r="I876" s="19"/>
      <c r="J876" s="22"/>
      <c r="K876" s="18"/>
      <c r="L876" s="19"/>
      <c r="M876" s="19"/>
      <c r="N876" s="20"/>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row>
    <row r="877" spans="1:45" x14ac:dyDescent="0.3">
      <c r="A877" s="410" t="s">
        <v>2317</v>
      </c>
      <c r="B877" s="17"/>
      <c r="C877" s="19"/>
      <c r="D877" s="18"/>
      <c r="E877" s="18"/>
      <c r="F877" s="19"/>
      <c r="G877" s="31"/>
      <c r="H877" s="31"/>
      <c r="I877" s="19"/>
      <c r="J877" s="22"/>
      <c r="K877" s="18"/>
      <c r="L877" s="19"/>
      <c r="M877" s="19"/>
      <c r="N877" s="20"/>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row>
    <row r="878" spans="1:45" x14ac:dyDescent="0.3">
      <c r="A878" s="410" t="s">
        <v>2318</v>
      </c>
      <c r="B878" s="17"/>
      <c r="C878" s="19"/>
      <c r="D878" s="18"/>
      <c r="E878" s="18"/>
      <c r="F878" s="19"/>
      <c r="G878" s="31"/>
      <c r="H878" s="31"/>
      <c r="I878" s="19"/>
      <c r="J878" s="22"/>
      <c r="K878" s="18"/>
      <c r="L878" s="19"/>
      <c r="M878" s="19"/>
      <c r="N878" s="20"/>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row>
    <row r="879" spans="1:45" x14ac:dyDescent="0.3">
      <c r="A879" s="410" t="s">
        <v>2319</v>
      </c>
      <c r="B879" s="17"/>
      <c r="C879" s="19"/>
      <c r="D879" s="18"/>
      <c r="E879" s="18"/>
      <c r="F879" s="19"/>
      <c r="G879" s="31"/>
      <c r="H879" s="31"/>
      <c r="I879" s="19"/>
      <c r="J879" s="22"/>
      <c r="K879" s="18"/>
      <c r="L879" s="19"/>
      <c r="M879" s="19"/>
      <c r="N879" s="20"/>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row>
    <row r="880" spans="1:45" x14ac:dyDescent="0.3">
      <c r="A880" s="410" t="s">
        <v>2320</v>
      </c>
      <c r="B880" s="17"/>
      <c r="C880" s="19"/>
      <c r="D880" s="18"/>
      <c r="E880" s="18"/>
      <c r="F880" s="19"/>
      <c r="G880" s="31"/>
      <c r="H880" s="31"/>
      <c r="I880" s="19"/>
      <c r="J880" s="22"/>
      <c r="K880" s="18"/>
      <c r="L880" s="19"/>
      <c r="M880" s="19"/>
      <c r="N880" s="20"/>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row>
    <row r="881" spans="1:45" x14ac:dyDescent="0.3">
      <c r="A881" s="410" t="s">
        <v>2321</v>
      </c>
      <c r="B881" s="17"/>
      <c r="C881" s="19"/>
      <c r="D881" s="18"/>
      <c r="E881" s="18"/>
      <c r="F881" s="19"/>
      <c r="G881" s="31"/>
      <c r="H881" s="31"/>
      <c r="I881" s="19"/>
      <c r="J881" s="22"/>
      <c r="K881" s="18"/>
      <c r="L881" s="19"/>
      <c r="M881" s="19"/>
      <c r="N881" s="20"/>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row>
    <row r="882" spans="1:45" x14ac:dyDescent="0.3">
      <c r="A882" s="410" t="s">
        <v>2322</v>
      </c>
      <c r="B882" s="17"/>
      <c r="C882" s="19"/>
      <c r="D882" s="18"/>
      <c r="E882" s="18"/>
      <c r="F882" s="19"/>
      <c r="G882" s="31"/>
      <c r="H882" s="31"/>
      <c r="I882" s="19"/>
      <c r="J882" s="22"/>
      <c r="K882" s="18"/>
      <c r="L882" s="19"/>
      <c r="M882" s="19"/>
      <c r="N882" s="20"/>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row>
    <row r="883" spans="1:45" x14ac:dyDescent="0.3">
      <c r="A883" s="410" t="s">
        <v>2323</v>
      </c>
      <c r="B883" s="17"/>
      <c r="C883" s="19"/>
      <c r="D883" s="18"/>
      <c r="E883" s="18"/>
      <c r="F883" s="19"/>
      <c r="G883" s="31"/>
      <c r="H883" s="31"/>
      <c r="I883" s="19"/>
      <c r="J883" s="22"/>
      <c r="K883" s="18"/>
      <c r="L883" s="19"/>
      <c r="M883" s="19"/>
      <c r="N883" s="20"/>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row>
    <row r="884" spans="1:45" x14ac:dyDescent="0.3">
      <c r="A884" s="410" t="s">
        <v>2324</v>
      </c>
      <c r="B884" s="17"/>
      <c r="C884" s="19"/>
      <c r="D884" s="18"/>
      <c r="E884" s="18"/>
      <c r="F884" s="19"/>
      <c r="G884" s="31"/>
      <c r="H884" s="31"/>
      <c r="I884" s="19"/>
      <c r="J884" s="22"/>
      <c r="K884" s="18"/>
      <c r="L884" s="19"/>
      <c r="M884" s="19"/>
      <c r="N884" s="20"/>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row>
    <row r="885" spans="1:45" x14ac:dyDescent="0.3">
      <c r="A885" s="410" t="s">
        <v>2325</v>
      </c>
      <c r="B885" s="17"/>
      <c r="C885" s="19"/>
      <c r="D885" s="18"/>
      <c r="E885" s="18"/>
      <c r="F885" s="19"/>
      <c r="G885" s="31"/>
      <c r="H885" s="31"/>
      <c r="I885" s="19"/>
      <c r="J885" s="22"/>
      <c r="K885" s="18"/>
      <c r="L885" s="19"/>
      <c r="M885" s="19"/>
      <c r="N885" s="20"/>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row>
    <row r="886" spans="1:45" x14ac:dyDescent="0.3">
      <c r="A886" s="410" t="s">
        <v>2326</v>
      </c>
      <c r="B886" s="17"/>
      <c r="C886" s="19"/>
      <c r="D886" s="18"/>
      <c r="E886" s="18"/>
      <c r="F886" s="19"/>
      <c r="G886" s="31"/>
      <c r="H886" s="31"/>
      <c r="I886" s="19"/>
      <c r="J886" s="22"/>
      <c r="K886" s="18"/>
      <c r="L886" s="19"/>
      <c r="M886" s="19"/>
      <c r="N886" s="20"/>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row>
    <row r="887" spans="1:45" x14ac:dyDescent="0.3">
      <c r="A887" s="410" t="s">
        <v>2327</v>
      </c>
      <c r="B887" s="17"/>
      <c r="C887" s="19"/>
      <c r="D887" s="18"/>
      <c r="E887" s="18"/>
      <c r="F887" s="19"/>
      <c r="G887" s="31"/>
      <c r="H887" s="31"/>
      <c r="I887" s="19"/>
      <c r="J887" s="22"/>
      <c r="K887" s="18"/>
      <c r="L887" s="19"/>
      <c r="M887" s="19"/>
      <c r="N887" s="20"/>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row>
    <row r="888" spans="1:45" x14ac:dyDescent="0.3">
      <c r="A888" s="410" t="s">
        <v>2328</v>
      </c>
      <c r="B888" s="17"/>
      <c r="C888" s="19"/>
      <c r="D888" s="18"/>
      <c r="E888" s="18"/>
      <c r="F888" s="19"/>
      <c r="G888" s="31"/>
      <c r="H888" s="31"/>
      <c r="I888" s="19"/>
      <c r="J888" s="22"/>
      <c r="K888" s="18"/>
      <c r="L888" s="19"/>
      <c r="M888" s="19"/>
      <c r="N888" s="20"/>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row>
    <row r="889" spans="1:45" x14ac:dyDescent="0.3">
      <c r="A889" s="410" t="s">
        <v>2329</v>
      </c>
      <c r="B889" s="17"/>
      <c r="C889" s="19"/>
      <c r="D889" s="18"/>
      <c r="E889" s="18"/>
      <c r="F889" s="19"/>
      <c r="G889" s="31"/>
      <c r="H889" s="31"/>
      <c r="I889" s="19"/>
      <c r="J889" s="22"/>
      <c r="K889" s="18"/>
      <c r="L889" s="19"/>
      <c r="M889" s="19"/>
      <c r="N889" s="20"/>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row>
    <row r="890" spans="1:45" x14ac:dyDescent="0.3">
      <c r="A890" s="410" t="s">
        <v>2330</v>
      </c>
      <c r="B890" s="17"/>
      <c r="C890" s="19"/>
      <c r="D890" s="18"/>
      <c r="E890" s="18"/>
      <c r="F890" s="19"/>
      <c r="G890" s="31"/>
      <c r="H890" s="31"/>
      <c r="I890" s="19"/>
      <c r="J890" s="22"/>
      <c r="K890" s="18"/>
      <c r="L890" s="19"/>
      <c r="M890" s="19"/>
      <c r="N890" s="20"/>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row>
    <row r="891" spans="1:45" x14ac:dyDescent="0.3">
      <c r="A891" s="410" t="s">
        <v>2331</v>
      </c>
      <c r="B891" s="17"/>
      <c r="C891" s="19"/>
      <c r="D891" s="18"/>
      <c r="E891" s="18"/>
      <c r="F891" s="19"/>
      <c r="G891" s="31"/>
      <c r="H891" s="31"/>
      <c r="I891" s="19"/>
      <c r="J891" s="22"/>
      <c r="K891" s="18"/>
      <c r="L891" s="19"/>
      <c r="M891" s="19"/>
      <c r="N891" s="20"/>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row>
    <row r="892" spans="1:45" x14ac:dyDescent="0.3">
      <c r="A892" s="410"/>
      <c r="B892" s="17"/>
      <c r="C892" s="19"/>
      <c r="D892" s="18"/>
      <c r="E892" s="18"/>
      <c r="F892" s="19"/>
      <c r="G892" s="31"/>
      <c r="H892" s="31"/>
      <c r="I892" s="19"/>
      <c r="J892" s="22"/>
      <c r="K892" s="18"/>
      <c r="L892" s="19"/>
      <c r="M892" s="19"/>
      <c r="N892" s="20"/>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row>
    <row r="893" spans="1:45" x14ac:dyDescent="0.3">
      <c r="A893" s="410" t="s">
        <v>2332</v>
      </c>
      <c r="B893" s="17" t="s">
        <v>2333</v>
      </c>
      <c r="C893" s="19"/>
      <c r="D893" s="19">
        <v>20211843</v>
      </c>
      <c r="E893" s="18"/>
      <c r="F893" s="19"/>
      <c r="G893" s="31"/>
      <c r="H893" s="31"/>
      <c r="I893" s="19"/>
      <c r="J893" s="19"/>
      <c r="K893" s="18"/>
      <c r="L893" s="19"/>
      <c r="M893" s="19"/>
      <c r="N893" s="20"/>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row>
    <row r="894" spans="1:45" x14ac:dyDescent="0.3">
      <c r="A894" s="410" t="s">
        <v>2334</v>
      </c>
      <c r="B894" s="17" t="s">
        <v>2335</v>
      </c>
      <c r="C894" s="19"/>
      <c r="D894" s="19">
        <v>22189056</v>
      </c>
      <c r="E894" s="18"/>
      <c r="F894" s="19"/>
      <c r="G894" s="31"/>
      <c r="H894" s="31"/>
      <c r="I894" s="19"/>
      <c r="J894" s="19"/>
      <c r="K894" s="18"/>
      <c r="L894" s="19"/>
      <c r="M894" s="19"/>
      <c r="N894" s="20"/>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row>
    <row r="895" spans="1:45" x14ac:dyDescent="0.3">
      <c r="A895" s="410" t="s">
        <v>2336</v>
      </c>
      <c r="B895" s="17"/>
      <c r="C895" s="19"/>
      <c r="D895" s="18"/>
      <c r="E895" s="18"/>
      <c r="F895" s="19"/>
      <c r="G895" s="31"/>
      <c r="H895" s="31"/>
      <c r="I895" s="19"/>
      <c r="J895" s="22"/>
      <c r="K895" s="18"/>
      <c r="L895" s="19"/>
      <c r="M895" s="19"/>
      <c r="N895" s="20"/>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row>
    <row r="896" spans="1:45" x14ac:dyDescent="0.3">
      <c r="A896" s="410" t="s">
        <v>2337</v>
      </c>
      <c r="B896" s="17"/>
      <c r="C896" s="19"/>
      <c r="D896" s="18"/>
      <c r="E896" s="18"/>
      <c r="F896" s="19"/>
      <c r="G896" s="31"/>
      <c r="H896" s="31"/>
      <c r="I896" s="19"/>
      <c r="J896" s="22"/>
      <c r="K896" s="18"/>
      <c r="L896" s="19"/>
      <c r="M896" s="19"/>
      <c r="N896" s="20"/>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row>
    <row r="897" spans="1:45" x14ac:dyDescent="0.3">
      <c r="A897" s="410" t="s">
        <v>2338</v>
      </c>
      <c r="B897" s="17"/>
      <c r="C897" s="19"/>
      <c r="D897" s="18"/>
      <c r="E897" s="18"/>
      <c r="F897" s="19"/>
      <c r="G897" s="31"/>
      <c r="H897" s="31"/>
      <c r="I897" s="19"/>
      <c r="J897" s="22"/>
      <c r="K897" s="18"/>
      <c r="L897" s="19"/>
      <c r="M897" s="19"/>
      <c r="N897" s="20"/>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row>
    <row r="898" spans="1:45" x14ac:dyDescent="0.3">
      <c r="A898" s="410" t="s">
        <v>2339</v>
      </c>
      <c r="B898" s="17"/>
      <c r="C898" s="19"/>
      <c r="D898" s="18"/>
      <c r="E898" s="18"/>
      <c r="F898" s="19"/>
      <c r="G898" s="31"/>
      <c r="H898" s="31"/>
      <c r="I898" s="19"/>
      <c r="J898" s="22"/>
      <c r="K898" s="18"/>
      <c r="L898" s="19"/>
      <c r="M898" s="19"/>
      <c r="N898" s="20"/>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row>
    <row r="899" spans="1:45" x14ac:dyDescent="0.3">
      <c r="A899" s="410" t="s">
        <v>2340</v>
      </c>
      <c r="B899" s="17"/>
      <c r="C899" s="19"/>
      <c r="D899" s="18"/>
      <c r="E899" s="18"/>
      <c r="F899" s="19"/>
      <c r="G899" s="31"/>
      <c r="H899" s="31"/>
      <c r="I899" s="19"/>
      <c r="J899" s="22"/>
      <c r="K899" s="18"/>
      <c r="L899" s="19"/>
      <c r="M899" s="19"/>
      <c r="N899" s="20"/>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row>
    <row r="900" spans="1:45" x14ac:dyDescent="0.3">
      <c r="A900" s="410" t="s">
        <v>2341</v>
      </c>
      <c r="B900" s="17"/>
      <c r="C900" s="19"/>
      <c r="D900" s="18"/>
      <c r="E900" s="18"/>
      <c r="F900" s="19"/>
      <c r="G900" s="31"/>
      <c r="H900" s="31"/>
      <c r="I900" s="19"/>
      <c r="J900" s="22"/>
      <c r="K900" s="18"/>
      <c r="L900" s="19"/>
      <c r="M900" s="19"/>
      <c r="N900" s="20"/>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row>
    <row r="901" spans="1:45" x14ac:dyDescent="0.3">
      <c r="A901" s="410" t="s">
        <v>2342</v>
      </c>
      <c r="B901" s="17"/>
      <c r="C901" s="19"/>
      <c r="D901" s="18"/>
      <c r="E901" s="18"/>
      <c r="F901" s="19"/>
      <c r="G901" s="31"/>
      <c r="H901" s="31"/>
      <c r="I901" s="19"/>
      <c r="J901" s="22"/>
      <c r="K901" s="18"/>
      <c r="L901" s="19"/>
      <c r="M901" s="19"/>
      <c r="N901" s="20"/>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row>
    <row r="902" spans="1:45" x14ac:dyDescent="0.3">
      <c r="A902" s="410" t="s">
        <v>2343</v>
      </c>
      <c r="B902" s="17"/>
      <c r="C902" s="19"/>
      <c r="D902" s="18"/>
      <c r="E902" s="18"/>
      <c r="F902" s="19"/>
      <c r="G902" s="31"/>
      <c r="H902" s="31"/>
      <c r="I902" s="19"/>
      <c r="J902" s="22"/>
      <c r="K902" s="18"/>
      <c r="L902" s="19"/>
      <c r="M902" s="19"/>
      <c r="N902" s="20"/>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row>
    <row r="903" spans="1:45" x14ac:dyDescent="0.3">
      <c r="A903" s="410" t="s">
        <v>2344</v>
      </c>
      <c r="B903" s="17"/>
      <c r="C903" s="19"/>
      <c r="D903" s="18"/>
      <c r="E903" s="18"/>
      <c r="F903" s="19"/>
      <c r="G903" s="31"/>
      <c r="H903" s="31"/>
      <c r="I903" s="19"/>
      <c r="J903" s="22"/>
      <c r="K903" s="18"/>
      <c r="L903" s="19"/>
      <c r="M903" s="19"/>
      <c r="N903" s="20"/>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row>
    <row r="904" spans="1:45" x14ac:dyDescent="0.3">
      <c r="A904" s="410" t="s">
        <v>2345</v>
      </c>
      <c r="B904" s="17"/>
      <c r="C904" s="19"/>
      <c r="D904" s="18"/>
      <c r="E904" s="18"/>
      <c r="F904" s="19"/>
      <c r="G904" s="31"/>
      <c r="H904" s="31"/>
      <c r="I904" s="19"/>
      <c r="J904" s="22"/>
      <c r="K904" s="18"/>
      <c r="L904" s="19"/>
      <c r="M904" s="19"/>
      <c r="N904" s="20"/>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row>
    <row r="905" spans="1:45" x14ac:dyDescent="0.3">
      <c r="A905" s="410" t="s">
        <v>2346</v>
      </c>
      <c r="B905" s="17"/>
      <c r="C905" s="19"/>
      <c r="D905" s="18"/>
      <c r="E905" s="18"/>
      <c r="F905" s="19"/>
      <c r="G905" s="31"/>
      <c r="H905" s="31"/>
      <c r="I905" s="19"/>
      <c r="J905" s="22"/>
      <c r="K905" s="18"/>
      <c r="L905" s="19"/>
      <c r="M905" s="19"/>
      <c r="N905" s="20"/>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row>
    <row r="906" spans="1:45" x14ac:dyDescent="0.3">
      <c r="A906" s="410" t="s">
        <v>2347</v>
      </c>
      <c r="B906" s="17"/>
      <c r="C906" s="19"/>
      <c r="D906" s="18"/>
      <c r="E906" s="18"/>
      <c r="F906" s="19"/>
      <c r="G906" s="31"/>
      <c r="H906" s="31"/>
      <c r="I906" s="19"/>
      <c r="J906" s="22"/>
      <c r="K906" s="18"/>
      <c r="L906" s="19"/>
      <c r="M906" s="19"/>
      <c r="N906" s="20"/>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row>
    <row r="907" spans="1:45" x14ac:dyDescent="0.3">
      <c r="A907" s="410" t="s">
        <v>2348</v>
      </c>
      <c r="B907" s="17"/>
      <c r="C907" s="19"/>
      <c r="D907" s="18"/>
      <c r="E907" s="18"/>
      <c r="F907" s="19"/>
      <c r="G907" s="31"/>
      <c r="H907" s="31"/>
      <c r="I907" s="19"/>
      <c r="J907" s="22"/>
      <c r="K907" s="18"/>
      <c r="L907" s="19"/>
      <c r="M907" s="19"/>
      <c r="N907" s="20"/>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row>
    <row r="908" spans="1:45" x14ac:dyDescent="0.3">
      <c r="A908" s="410" t="s">
        <v>2349</v>
      </c>
      <c r="B908" s="17"/>
      <c r="C908" s="19"/>
      <c r="D908" s="18"/>
      <c r="E908" s="18"/>
      <c r="F908" s="19"/>
      <c r="G908" s="31"/>
      <c r="H908" s="31"/>
      <c r="I908" s="19"/>
      <c r="J908" s="22"/>
      <c r="K908" s="18"/>
      <c r="L908" s="19"/>
      <c r="M908" s="19"/>
      <c r="N908" s="20"/>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row>
    <row r="909" spans="1:45" x14ac:dyDescent="0.3">
      <c r="A909" s="410" t="s">
        <v>2350</v>
      </c>
      <c r="B909" s="17"/>
      <c r="C909" s="19"/>
      <c r="D909" s="18"/>
      <c r="E909" s="18"/>
      <c r="F909" s="19"/>
      <c r="G909" s="31"/>
      <c r="H909" s="31"/>
      <c r="I909" s="19"/>
      <c r="J909" s="22"/>
      <c r="K909" s="18"/>
      <c r="L909" s="19"/>
      <c r="M909" s="19"/>
      <c r="N909" s="20"/>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row>
    <row r="910" spans="1:45" x14ac:dyDescent="0.3">
      <c r="A910" s="410" t="s">
        <v>2351</v>
      </c>
      <c r="B910" s="17"/>
      <c r="C910" s="19"/>
      <c r="D910" s="18"/>
      <c r="E910" s="18"/>
      <c r="F910" s="19"/>
      <c r="G910" s="31"/>
      <c r="H910" s="31"/>
      <c r="I910" s="19"/>
      <c r="J910" s="22"/>
      <c r="K910" s="18"/>
      <c r="L910" s="19"/>
      <c r="M910" s="19"/>
      <c r="N910" s="20"/>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row>
    <row r="911" spans="1:45" x14ac:dyDescent="0.3">
      <c r="A911" s="410" t="s">
        <v>2352</v>
      </c>
      <c r="B911" s="17"/>
      <c r="C911" s="19"/>
      <c r="D911" s="18"/>
      <c r="E911" s="18"/>
      <c r="F911" s="19"/>
      <c r="G911" s="31"/>
      <c r="H911" s="31"/>
      <c r="I911" s="19"/>
      <c r="J911" s="22"/>
      <c r="K911" s="18"/>
      <c r="L911" s="19"/>
      <c r="M911" s="19"/>
      <c r="N911" s="20"/>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row>
    <row r="912" spans="1:45" x14ac:dyDescent="0.3">
      <c r="A912" s="410" t="s">
        <v>2353</v>
      </c>
      <c r="B912" s="17"/>
      <c r="C912" s="19"/>
      <c r="D912" s="18"/>
      <c r="E912" s="18"/>
      <c r="F912" s="19"/>
      <c r="G912" s="31"/>
      <c r="H912" s="31"/>
      <c r="I912" s="19"/>
      <c r="J912" s="22"/>
      <c r="K912" s="18"/>
      <c r="L912" s="19"/>
      <c r="M912" s="19"/>
      <c r="N912" s="20"/>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row>
    <row r="913" spans="1:45" x14ac:dyDescent="0.3">
      <c r="A913" s="410" t="s">
        <v>2354</v>
      </c>
      <c r="B913" s="17"/>
      <c r="C913" s="19"/>
      <c r="D913" s="18"/>
      <c r="E913" s="18"/>
      <c r="F913" s="19"/>
      <c r="G913" s="31"/>
      <c r="H913" s="31"/>
      <c r="I913" s="19"/>
      <c r="J913" s="22"/>
      <c r="K913" s="18"/>
      <c r="L913" s="19"/>
      <c r="M913" s="19"/>
      <c r="N913" s="20"/>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row>
    <row r="914" spans="1:45" x14ac:dyDescent="0.3">
      <c r="A914" s="410" t="s">
        <v>2355</v>
      </c>
      <c r="B914" s="17"/>
      <c r="C914" s="19"/>
      <c r="D914" s="18"/>
      <c r="E914" s="18"/>
      <c r="F914" s="19"/>
      <c r="G914" s="31"/>
      <c r="H914" s="31"/>
      <c r="I914" s="19"/>
      <c r="J914" s="22"/>
      <c r="K914" s="18"/>
      <c r="L914" s="19"/>
      <c r="M914" s="19"/>
      <c r="N914" s="20"/>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row>
    <row r="915" spans="1:45" x14ac:dyDescent="0.3">
      <c r="A915" s="410" t="s">
        <v>2356</v>
      </c>
      <c r="B915" s="17"/>
      <c r="C915" s="19"/>
      <c r="D915" s="18"/>
      <c r="E915" s="18"/>
      <c r="F915" s="19"/>
      <c r="G915" s="31"/>
      <c r="H915" s="31"/>
      <c r="I915" s="19"/>
      <c r="J915" s="22"/>
      <c r="K915" s="18"/>
      <c r="L915" s="19"/>
      <c r="M915" s="19"/>
      <c r="N915" s="20"/>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row>
    <row r="916" spans="1:45" x14ac:dyDescent="0.3">
      <c r="A916" s="410" t="s">
        <v>2357</v>
      </c>
      <c r="B916" s="17"/>
      <c r="C916" s="19"/>
      <c r="D916" s="18"/>
      <c r="E916" s="18"/>
      <c r="F916" s="19"/>
      <c r="G916" s="31"/>
      <c r="H916" s="31"/>
      <c r="I916" s="19"/>
      <c r="J916" s="22"/>
      <c r="K916" s="18"/>
      <c r="L916" s="19"/>
      <c r="M916" s="19"/>
      <c r="N916" s="20"/>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row>
    <row r="917" spans="1:45" x14ac:dyDescent="0.3">
      <c r="A917" s="410" t="s">
        <v>2358</v>
      </c>
      <c r="B917" s="17"/>
      <c r="C917" s="19"/>
      <c r="D917" s="18"/>
      <c r="E917" s="18"/>
      <c r="F917" s="19"/>
      <c r="G917" s="31"/>
      <c r="H917" s="31"/>
      <c r="I917" s="19"/>
      <c r="J917" s="22"/>
      <c r="K917" s="18"/>
      <c r="L917" s="19"/>
      <c r="M917" s="19"/>
      <c r="N917" s="20"/>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row>
    <row r="918" spans="1:45" x14ac:dyDescent="0.3">
      <c r="A918" s="410" t="s">
        <v>2359</v>
      </c>
      <c r="B918" s="17"/>
      <c r="C918" s="19"/>
      <c r="D918" s="18"/>
      <c r="E918" s="18"/>
      <c r="F918" s="19"/>
      <c r="G918" s="31"/>
      <c r="H918" s="31"/>
      <c r="I918" s="19"/>
      <c r="J918" s="22"/>
      <c r="K918" s="18"/>
      <c r="L918" s="19"/>
      <c r="M918" s="19"/>
      <c r="N918" s="20"/>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row>
    <row r="919" spans="1:45" x14ac:dyDescent="0.3">
      <c r="A919" s="410" t="s">
        <v>2360</v>
      </c>
      <c r="B919" s="17"/>
      <c r="C919" s="19"/>
      <c r="D919" s="18"/>
      <c r="E919" s="18"/>
      <c r="F919" s="19"/>
      <c r="G919" s="31"/>
      <c r="H919" s="31"/>
      <c r="I919" s="19"/>
      <c r="J919" s="22"/>
      <c r="K919" s="18"/>
      <c r="L919" s="19"/>
      <c r="M919" s="19"/>
      <c r="N919" s="20"/>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row>
    <row r="920" spans="1:45" x14ac:dyDescent="0.3">
      <c r="A920" s="410" t="s">
        <v>2361</v>
      </c>
      <c r="B920" s="17"/>
      <c r="C920" s="19"/>
      <c r="D920" s="18"/>
      <c r="E920" s="18"/>
      <c r="F920" s="19"/>
      <c r="G920" s="31"/>
      <c r="H920" s="31"/>
      <c r="I920" s="19"/>
      <c r="J920" s="22"/>
      <c r="K920" s="18"/>
      <c r="L920" s="19"/>
      <c r="M920" s="19"/>
      <c r="N920" s="20"/>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row>
    <row r="921" spans="1:45" x14ac:dyDescent="0.3">
      <c r="A921" s="410" t="s">
        <v>2362</v>
      </c>
      <c r="B921" s="17"/>
      <c r="C921" s="19"/>
      <c r="D921" s="18"/>
      <c r="E921" s="18"/>
      <c r="F921" s="19"/>
      <c r="G921" s="31"/>
      <c r="H921" s="31"/>
      <c r="I921" s="19"/>
      <c r="J921" s="22"/>
      <c r="K921" s="18"/>
      <c r="L921" s="19"/>
      <c r="M921" s="19"/>
      <c r="N921" s="20"/>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row>
    <row r="922" spans="1:45" x14ac:dyDescent="0.3">
      <c r="A922" s="410" t="s">
        <v>2363</v>
      </c>
      <c r="B922" s="17"/>
      <c r="C922" s="19"/>
      <c r="D922" s="18"/>
      <c r="E922" s="18"/>
      <c r="F922" s="19"/>
      <c r="G922" s="31"/>
      <c r="H922" s="31"/>
      <c r="I922" s="19"/>
      <c r="J922" s="22"/>
      <c r="K922" s="18"/>
      <c r="L922" s="19"/>
      <c r="M922" s="19"/>
      <c r="N922" s="20"/>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row>
    <row r="923" spans="1:45" x14ac:dyDescent="0.3">
      <c r="A923" s="410" t="s">
        <v>2364</v>
      </c>
      <c r="B923" s="17"/>
      <c r="C923" s="19"/>
      <c r="D923" s="18"/>
      <c r="E923" s="18"/>
      <c r="F923" s="19"/>
      <c r="G923" s="31"/>
      <c r="H923" s="31"/>
      <c r="I923" s="19"/>
      <c r="J923" s="22"/>
      <c r="K923" s="18"/>
      <c r="L923" s="19"/>
      <c r="M923" s="19"/>
      <c r="N923" s="20"/>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row>
    <row r="924" spans="1:45" x14ac:dyDescent="0.3">
      <c r="A924" s="410" t="s">
        <v>2365</v>
      </c>
      <c r="B924" s="17"/>
      <c r="C924" s="19"/>
      <c r="D924" s="18"/>
      <c r="E924" s="18"/>
      <c r="F924" s="19"/>
      <c r="G924" s="31"/>
      <c r="H924" s="31"/>
      <c r="I924" s="19"/>
      <c r="J924" s="22"/>
      <c r="K924" s="18"/>
      <c r="L924" s="19"/>
      <c r="M924" s="19"/>
      <c r="N924" s="20"/>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row>
    <row r="925" spans="1:45" x14ac:dyDescent="0.3">
      <c r="A925" s="410" t="s">
        <v>2366</v>
      </c>
      <c r="B925" s="17"/>
      <c r="C925" s="19"/>
      <c r="D925" s="18"/>
      <c r="E925" s="18"/>
      <c r="F925" s="19"/>
      <c r="G925" s="31"/>
      <c r="H925" s="31"/>
      <c r="I925" s="19"/>
      <c r="J925" s="22"/>
      <c r="K925" s="18"/>
      <c r="L925" s="19"/>
      <c r="M925" s="19"/>
      <c r="N925" s="20"/>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row>
    <row r="926" spans="1:45" x14ac:dyDescent="0.3">
      <c r="A926" s="410" t="s">
        <v>2367</v>
      </c>
      <c r="B926" s="17"/>
      <c r="C926" s="19"/>
      <c r="D926" s="18"/>
      <c r="E926" s="18"/>
      <c r="F926" s="19"/>
      <c r="G926" s="31"/>
      <c r="H926" s="31"/>
      <c r="I926" s="19"/>
      <c r="J926" s="22"/>
      <c r="K926" s="18"/>
      <c r="L926" s="19"/>
      <c r="M926" s="19"/>
      <c r="N926" s="20"/>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row>
    <row r="927" spans="1:45" x14ac:dyDescent="0.3">
      <c r="A927" s="410" t="s">
        <v>2368</v>
      </c>
      <c r="B927" s="17"/>
      <c r="C927" s="19"/>
      <c r="D927" s="18"/>
      <c r="E927" s="18"/>
      <c r="F927" s="19"/>
      <c r="G927" s="31"/>
      <c r="H927" s="31"/>
      <c r="I927" s="19"/>
      <c r="J927" s="22"/>
      <c r="K927" s="18"/>
      <c r="L927" s="19"/>
      <c r="M927" s="19"/>
      <c r="N927" s="20"/>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row>
    <row r="928" spans="1:45" x14ac:dyDescent="0.3">
      <c r="A928" s="410" t="s">
        <v>2369</v>
      </c>
      <c r="B928" s="17"/>
      <c r="C928" s="19"/>
      <c r="D928" s="18"/>
      <c r="E928" s="18"/>
      <c r="F928" s="19"/>
      <c r="G928" s="31"/>
      <c r="H928" s="31"/>
      <c r="I928" s="19"/>
      <c r="J928" s="22"/>
      <c r="K928" s="18"/>
      <c r="L928" s="19"/>
      <c r="M928" s="19"/>
      <c r="N928" s="20"/>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row>
    <row r="929" spans="1:45" x14ac:dyDescent="0.3">
      <c r="A929" s="410" t="s">
        <v>2370</v>
      </c>
      <c r="B929" s="17"/>
      <c r="C929" s="19"/>
      <c r="D929" s="18"/>
      <c r="E929" s="18"/>
      <c r="F929" s="19"/>
      <c r="G929" s="31"/>
      <c r="H929" s="31"/>
      <c r="I929" s="19"/>
      <c r="J929" s="22"/>
      <c r="K929" s="18"/>
      <c r="L929" s="19"/>
      <c r="M929" s="19"/>
      <c r="N929" s="20"/>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row>
    <row r="930" spans="1:45" x14ac:dyDescent="0.3">
      <c r="A930" s="410" t="s">
        <v>2371</v>
      </c>
      <c r="B930" s="17"/>
      <c r="C930" s="19"/>
      <c r="D930" s="18"/>
      <c r="E930" s="18"/>
      <c r="F930" s="19"/>
      <c r="G930" s="31"/>
      <c r="H930" s="31"/>
      <c r="I930" s="19"/>
      <c r="J930" s="22"/>
      <c r="K930" s="18"/>
      <c r="L930" s="19"/>
      <c r="M930" s="19"/>
      <c r="N930" s="20"/>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row>
    <row r="931" spans="1:45" x14ac:dyDescent="0.3">
      <c r="A931" s="410" t="s">
        <v>2372</v>
      </c>
      <c r="B931" s="17"/>
      <c r="C931" s="19"/>
      <c r="D931" s="18"/>
      <c r="E931" s="18"/>
      <c r="F931" s="19"/>
      <c r="G931" s="31"/>
      <c r="H931" s="31"/>
      <c r="I931" s="19"/>
      <c r="J931" s="22"/>
      <c r="K931" s="18"/>
      <c r="L931" s="19"/>
      <c r="M931" s="19"/>
      <c r="N931" s="20"/>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row>
    <row r="932" spans="1:45" x14ac:dyDescent="0.3">
      <c r="A932" s="410" t="s">
        <v>2373</v>
      </c>
      <c r="B932" s="17"/>
      <c r="C932" s="19"/>
      <c r="D932" s="18"/>
      <c r="E932" s="18"/>
      <c r="F932" s="19"/>
      <c r="G932" s="31"/>
      <c r="H932" s="31"/>
      <c r="I932" s="19"/>
      <c r="J932" s="22"/>
      <c r="K932" s="18"/>
      <c r="L932" s="19"/>
      <c r="M932" s="19"/>
      <c r="N932" s="20"/>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row>
    <row r="933" spans="1:45" x14ac:dyDescent="0.3">
      <c r="A933" s="410" t="s">
        <v>2374</v>
      </c>
      <c r="B933" s="17"/>
      <c r="C933" s="19"/>
      <c r="D933" s="18"/>
      <c r="E933" s="18"/>
      <c r="F933" s="19"/>
      <c r="G933" s="31"/>
      <c r="H933" s="31"/>
      <c r="I933" s="19"/>
      <c r="J933" s="22"/>
      <c r="K933" s="18"/>
      <c r="L933" s="19"/>
      <c r="M933" s="19"/>
      <c r="N933" s="20"/>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row>
    <row r="934" spans="1:45" x14ac:dyDescent="0.3">
      <c r="A934" s="410" t="s">
        <v>2375</v>
      </c>
      <c r="B934" s="17"/>
      <c r="C934" s="19"/>
      <c r="D934" s="18"/>
      <c r="E934" s="18"/>
      <c r="F934" s="19"/>
      <c r="G934" s="31"/>
      <c r="H934" s="31"/>
      <c r="I934" s="19"/>
      <c r="J934" s="22"/>
      <c r="K934" s="18"/>
      <c r="L934" s="19"/>
      <c r="M934" s="19"/>
      <c r="N934" s="20"/>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row>
    <row r="935" spans="1:45" x14ac:dyDescent="0.3">
      <c r="A935" s="410" t="s">
        <v>2376</v>
      </c>
      <c r="B935" s="17"/>
      <c r="C935" s="19"/>
      <c r="D935" s="18"/>
      <c r="E935" s="18"/>
      <c r="F935" s="19"/>
      <c r="G935" s="31"/>
      <c r="H935" s="31"/>
      <c r="I935" s="19"/>
      <c r="J935" s="22"/>
      <c r="K935" s="18"/>
      <c r="L935" s="19"/>
      <c r="M935" s="19"/>
      <c r="N935" s="20"/>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row>
    <row r="936" spans="1:45" x14ac:dyDescent="0.3">
      <c r="A936" s="410" t="s">
        <v>2377</v>
      </c>
      <c r="B936" s="17"/>
      <c r="C936" s="19"/>
      <c r="D936" s="18"/>
      <c r="E936" s="18"/>
      <c r="F936" s="19"/>
      <c r="G936" s="31"/>
      <c r="H936" s="31"/>
      <c r="I936" s="19"/>
      <c r="J936" s="22"/>
      <c r="K936" s="18"/>
      <c r="L936" s="19"/>
      <c r="M936" s="19"/>
      <c r="N936" s="20"/>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row>
    <row r="937" spans="1:45" x14ac:dyDescent="0.3">
      <c r="A937" s="410" t="s">
        <v>2378</v>
      </c>
      <c r="B937" s="17"/>
      <c r="C937" s="19"/>
      <c r="D937" s="18"/>
      <c r="E937" s="18"/>
      <c r="F937" s="19"/>
      <c r="G937" s="31"/>
      <c r="H937" s="31"/>
      <c r="I937" s="19"/>
      <c r="J937" s="22"/>
      <c r="K937" s="18"/>
      <c r="L937" s="19"/>
      <c r="M937" s="19"/>
      <c r="N937" s="20"/>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row>
    <row r="938" spans="1:45" x14ac:dyDescent="0.3">
      <c r="A938" s="410" t="s">
        <v>2379</v>
      </c>
      <c r="B938" s="17"/>
      <c r="C938" s="19"/>
      <c r="D938" s="18"/>
      <c r="E938" s="18"/>
      <c r="F938" s="19"/>
      <c r="G938" s="31"/>
      <c r="H938" s="31"/>
      <c r="I938" s="19"/>
      <c r="J938" s="22"/>
      <c r="K938" s="18"/>
      <c r="L938" s="19"/>
      <c r="M938" s="19"/>
      <c r="N938" s="20"/>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row>
    <row r="939" spans="1:45" x14ac:dyDescent="0.3">
      <c r="A939" s="410" t="s">
        <v>2380</v>
      </c>
      <c r="B939" s="17"/>
      <c r="C939" s="19"/>
      <c r="D939" s="18"/>
      <c r="E939" s="18"/>
      <c r="F939" s="19"/>
      <c r="G939" s="31"/>
      <c r="H939" s="31"/>
      <c r="I939" s="19"/>
      <c r="J939" s="22"/>
      <c r="K939" s="18"/>
      <c r="L939" s="19"/>
      <c r="M939" s="19"/>
      <c r="N939" s="20"/>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row>
    <row r="940" spans="1:45" x14ac:dyDescent="0.3">
      <c r="A940" s="410" t="s">
        <v>2381</v>
      </c>
      <c r="B940" s="17"/>
      <c r="C940" s="19"/>
      <c r="D940" s="18"/>
      <c r="E940" s="18"/>
      <c r="F940" s="19"/>
      <c r="G940" s="31"/>
      <c r="H940" s="31"/>
      <c r="I940" s="19"/>
      <c r="J940" s="22"/>
      <c r="K940" s="18"/>
      <c r="L940" s="19"/>
      <c r="M940" s="19"/>
      <c r="N940" s="20"/>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row>
    <row r="941" spans="1:45" x14ac:dyDescent="0.3">
      <c r="A941" s="410" t="s">
        <v>2382</v>
      </c>
      <c r="B941" s="17"/>
      <c r="C941" s="19"/>
      <c r="D941" s="18"/>
      <c r="E941" s="18"/>
      <c r="F941" s="19"/>
      <c r="G941" s="31"/>
      <c r="H941" s="31"/>
      <c r="I941" s="19"/>
      <c r="J941" s="22"/>
      <c r="K941" s="18"/>
      <c r="L941" s="19"/>
      <c r="M941" s="19"/>
      <c r="N941" s="20"/>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row>
    <row r="942" spans="1:45" x14ac:dyDescent="0.3">
      <c r="A942" s="410" t="s">
        <v>2383</v>
      </c>
      <c r="B942" s="17"/>
      <c r="C942" s="19"/>
      <c r="D942" s="18"/>
      <c r="E942" s="18"/>
      <c r="F942" s="19"/>
      <c r="G942" s="31"/>
      <c r="H942" s="31"/>
      <c r="I942" s="19"/>
      <c r="J942" s="22"/>
      <c r="K942" s="18"/>
      <c r="L942" s="19"/>
      <c r="M942" s="19"/>
      <c r="N942" s="20"/>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row>
    <row r="943" spans="1:45" x14ac:dyDescent="0.3">
      <c r="A943" s="410" t="s">
        <v>2384</v>
      </c>
      <c r="B943" s="17"/>
      <c r="C943" s="19"/>
      <c r="D943" s="18"/>
      <c r="E943" s="18"/>
      <c r="F943" s="19"/>
      <c r="G943" s="31"/>
      <c r="H943" s="31"/>
      <c r="I943" s="19"/>
      <c r="J943" s="22"/>
      <c r="K943" s="18"/>
      <c r="L943" s="19"/>
      <c r="M943" s="19"/>
      <c r="N943" s="20"/>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row>
    <row r="944" spans="1:45" x14ac:dyDescent="0.3">
      <c r="A944" s="410" t="s">
        <v>2385</v>
      </c>
      <c r="B944" s="17"/>
      <c r="C944" s="19"/>
      <c r="D944" s="18"/>
      <c r="E944" s="18"/>
      <c r="F944" s="19"/>
      <c r="G944" s="31"/>
      <c r="H944" s="31"/>
      <c r="I944" s="19"/>
      <c r="J944" s="22"/>
      <c r="K944" s="18"/>
      <c r="L944" s="19"/>
      <c r="M944" s="19"/>
      <c r="N944" s="20"/>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row>
    <row r="945" spans="1:45" x14ac:dyDescent="0.3">
      <c r="A945" s="410" t="s">
        <v>2386</v>
      </c>
      <c r="B945" s="17"/>
      <c r="C945" s="19"/>
      <c r="D945" s="18"/>
      <c r="E945" s="18"/>
      <c r="F945" s="19"/>
      <c r="G945" s="31"/>
      <c r="H945" s="31"/>
      <c r="I945" s="19"/>
      <c r="J945" s="22"/>
      <c r="K945" s="18"/>
      <c r="L945" s="19"/>
      <c r="M945" s="19"/>
      <c r="N945" s="20"/>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row>
    <row r="946" spans="1:45" x14ac:dyDescent="0.3">
      <c r="A946" s="410" t="s">
        <v>2387</v>
      </c>
      <c r="B946" s="17"/>
      <c r="C946" s="19"/>
      <c r="D946" s="18"/>
      <c r="E946" s="18"/>
      <c r="F946" s="19"/>
      <c r="G946" s="31"/>
      <c r="H946" s="31"/>
      <c r="I946" s="19"/>
      <c r="J946" s="22"/>
      <c r="K946" s="18"/>
      <c r="L946" s="19"/>
      <c r="M946" s="19"/>
      <c r="N946" s="20"/>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row>
    <row r="947" spans="1:45" x14ac:dyDescent="0.3">
      <c r="A947" s="410" t="s">
        <v>2388</v>
      </c>
      <c r="B947" s="17"/>
      <c r="C947" s="19"/>
      <c r="D947" s="18"/>
      <c r="E947" s="18"/>
      <c r="F947" s="19"/>
      <c r="G947" s="31"/>
      <c r="H947" s="31"/>
      <c r="I947" s="19"/>
      <c r="J947" s="22"/>
      <c r="K947" s="18"/>
      <c r="L947" s="19"/>
      <c r="M947" s="19"/>
      <c r="N947" s="20"/>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row>
    <row r="948" spans="1:45" x14ac:dyDescent="0.3">
      <c r="A948" s="410" t="s">
        <v>2389</v>
      </c>
      <c r="B948" s="17"/>
      <c r="C948" s="19"/>
      <c r="D948" s="18"/>
      <c r="E948" s="18"/>
      <c r="F948" s="19"/>
      <c r="G948" s="31"/>
      <c r="H948" s="31"/>
      <c r="I948" s="19"/>
      <c r="J948" s="22"/>
      <c r="K948" s="18"/>
      <c r="L948" s="19"/>
      <c r="M948" s="19"/>
      <c r="N948" s="20"/>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row>
    <row r="949" spans="1:45" x14ac:dyDescent="0.3">
      <c r="A949" s="410" t="s">
        <v>2390</v>
      </c>
      <c r="B949" s="17"/>
      <c r="C949" s="19"/>
      <c r="D949" s="18"/>
      <c r="E949" s="18"/>
      <c r="F949" s="19"/>
      <c r="G949" s="31"/>
      <c r="H949" s="31"/>
      <c r="I949" s="19"/>
      <c r="J949" s="22"/>
      <c r="K949" s="18"/>
      <c r="L949" s="19"/>
      <c r="M949" s="19"/>
      <c r="N949" s="20"/>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row>
    <row r="950" spans="1:45" x14ac:dyDescent="0.3">
      <c r="A950" s="410" t="s">
        <v>2391</v>
      </c>
      <c r="B950" s="17"/>
      <c r="C950" s="19"/>
      <c r="D950" s="18"/>
      <c r="E950" s="18"/>
      <c r="F950" s="19"/>
      <c r="G950" s="31"/>
      <c r="H950" s="31"/>
      <c r="I950" s="19"/>
      <c r="J950" s="22"/>
      <c r="K950" s="18"/>
      <c r="L950" s="19"/>
      <c r="M950" s="19"/>
      <c r="N950" s="20"/>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row>
    <row r="951" spans="1:45" x14ac:dyDescent="0.3">
      <c r="A951" s="410" t="s">
        <v>2392</v>
      </c>
      <c r="B951" s="17"/>
      <c r="C951" s="19"/>
      <c r="D951" s="18"/>
      <c r="E951" s="18"/>
      <c r="F951" s="19"/>
      <c r="G951" s="31"/>
      <c r="H951" s="31"/>
      <c r="I951" s="19"/>
      <c r="J951" s="22"/>
      <c r="K951" s="18"/>
      <c r="L951" s="19"/>
      <c r="M951" s="19"/>
      <c r="N951" s="20"/>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row>
    <row r="952" spans="1:45" x14ac:dyDescent="0.3">
      <c r="A952" s="410" t="s">
        <v>2393</v>
      </c>
      <c r="B952" s="17"/>
      <c r="C952" s="19"/>
      <c r="D952" s="18"/>
      <c r="E952" s="18"/>
      <c r="F952" s="19"/>
      <c r="G952" s="31"/>
      <c r="H952" s="31"/>
      <c r="I952" s="19"/>
      <c r="J952" s="22"/>
      <c r="K952" s="18"/>
      <c r="L952" s="19"/>
      <c r="M952" s="19"/>
      <c r="N952" s="20"/>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row>
    <row r="953" spans="1:45" x14ac:dyDescent="0.3">
      <c r="A953" s="410" t="s">
        <v>2394</v>
      </c>
      <c r="B953" s="17"/>
      <c r="C953" s="19"/>
      <c r="D953" s="18"/>
      <c r="E953" s="18"/>
      <c r="F953" s="19"/>
      <c r="G953" s="31"/>
      <c r="H953" s="31"/>
      <c r="I953" s="19"/>
      <c r="J953" s="22"/>
      <c r="K953" s="18"/>
      <c r="L953" s="19"/>
      <c r="M953" s="19"/>
      <c r="N953" s="20"/>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row>
    <row r="954" spans="1:45" x14ac:dyDescent="0.3">
      <c r="A954" s="410" t="s">
        <v>2395</v>
      </c>
      <c r="B954" s="17"/>
      <c r="C954" s="19"/>
      <c r="D954" s="18"/>
      <c r="E954" s="18"/>
      <c r="F954" s="19"/>
      <c r="G954" s="31"/>
      <c r="H954" s="31"/>
      <c r="I954" s="19"/>
      <c r="J954" s="22"/>
      <c r="K954" s="18"/>
      <c r="L954" s="19"/>
      <c r="M954" s="19"/>
      <c r="N954" s="20"/>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row>
    <row r="955" spans="1:45" x14ac:dyDescent="0.3">
      <c r="A955" s="410" t="s">
        <v>2396</v>
      </c>
      <c r="B955" s="17"/>
      <c r="C955" s="19"/>
      <c r="D955" s="18"/>
      <c r="E955" s="18"/>
      <c r="F955" s="19"/>
      <c r="G955" s="31"/>
      <c r="H955" s="31"/>
      <c r="I955" s="19"/>
      <c r="J955" s="22"/>
      <c r="K955" s="18"/>
      <c r="L955" s="19"/>
      <c r="M955" s="19"/>
      <c r="N955" s="20"/>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row>
    <row r="956" spans="1:45" x14ac:dyDescent="0.3">
      <c r="A956" s="410" t="s">
        <v>2397</v>
      </c>
      <c r="B956" s="17"/>
      <c r="C956" s="19"/>
      <c r="D956" s="18"/>
      <c r="E956" s="18"/>
      <c r="F956" s="19"/>
      <c r="G956" s="31"/>
      <c r="H956" s="31"/>
      <c r="I956" s="19"/>
      <c r="J956" s="22"/>
      <c r="K956" s="18"/>
      <c r="L956" s="19"/>
      <c r="M956" s="19"/>
      <c r="N956" s="20"/>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row>
    <row r="957" spans="1:45" x14ac:dyDescent="0.3">
      <c r="A957" s="410" t="s">
        <v>2398</v>
      </c>
      <c r="B957" s="17"/>
      <c r="C957" s="19"/>
      <c r="D957" s="18"/>
      <c r="E957" s="18"/>
      <c r="F957" s="19"/>
      <c r="G957" s="31"/>
      <c r="H957" s="31"/>
      <c r="I957" s="19"/>
      <c r="J957" s="22"/>
      <c r="K957" s="18"/>
      <c r="L957" s="19"/>
      <c r="M957" s="19"/>
      <c r="N957" s="20"/>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row>
    <row r="958" spans="1:45" x14ac:dyDescent="0.3">
      <c r="A958" s="410" t="s">
        <v>2399</v>
      </c>
      <c r="B958" s="17"/>
      <c r="C958" s="19"/>
      <c r="D958" s="18"/>
      <c r="E958" s="18"/>
      <c r="F958" s="19"/>
      <c r="G958" s="31"/>
      <c r="H958" s="31"/>
      <c r="I958" s="19"/>
      <c r="J958" s="22"/>
      <c r="K958" s="18"/>
      <c r="L958" s="19"/>
      <c r="M958" s="19"/>
      <c r="N958" s="20"/>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row>
    <row r="959" spans="1:45" x14ac:dyDescent="0.3">
      <c r="A959" s="410" t="s">
        <v>2400</v>
      </c>
      <c r="B959" s="17"/>
      <c r="C959" s="19"/>
      <c r="D959" s="18"/>
      <c r="E959" s="18"/>
      <c r="F959" s="19"/>
      <c r="G959" s="31"/>
      <c r="H959" s="31"/>
      <c r="I959" s="19"/>
      <c r="J959" s="22"/>
      <c r="K959" s="18"/>
      <c r="L959" s="19"/>
      <c r="M959" s="19"/>
      <c r="N959" s="20"/>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row>
    <row r="960" spans="1:45" x14ac:dyDescent="0.3">
      <c r="A960" s="410" t="s">
        <v>2401</v>
      </c>
      <c r="B960" s="17"/>
      <c r="C960" s="19"/>
      <c r="D960" s="18"/>
      <c r="E960" s="18"/>
      <c r="F960" s="19"/>
      <c r="G960" s="31"/>
      <c r="H960" s="31"/>
      <c r="I960" s="19"/>
      <c r="J960" s="22"/>
      <c r="K960" s="18"/>
      <c r="L960" s="19"/>
      <c r="M960" s="19"/>
      <c r="N960" s="20"/>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row>
    <row r="961" spans="1:45" x14ac:dyDescent="0.3">
      <c r="A961" s="410" t="s">
        <v>2402</v>
      </c>
      <c r="B961" s="17"/>
      <c r="C961" s="19"/>
      <c r="D961" s="18"/>
      <c r="E961" s="18"/>
      <c r="F961" s="19"/>
      <c r="G961" s="31"/>
      <c r="H961" s="31"/>
      <c r="I961" s="19"/>
      <c r="J961" s="22"/>
      <c r="K961" s="18"/>
      <c r="L961" s="19"/>
      <c r="M961" s="19"/>
      <c r="N961" s="20"/>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row>
    <row r="962" spans="1:45" x14ac:dyDescent="0.3">
      <c r="A962" s="410" t="s">
        <v>2403</v>
      </c>
      <c r="B962" s="17"/>
      <c r="C962" s="19"/>
      <c r="D962" s="18"/>
      <c r="E962" s="18"/>
      <c r="F962" s="19"/>
      <c r="G962" s="31"/>
      <c r="H962" s="31"/>
      <c r="I962" s="19"/>
      <c r="J962" s="22"/>
      <c r="K962" s="18"/>
      <c r="L962" s="19"/>
      <c r="M962" s="19"/>
      <c r="N962" s="20"/>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row>
    <row r="963" spans="1:45" x14ac:dyDescent="0.3">
      <c r="A963" s="410" t="s">
        <v>2404</v>
      </c>
      <c r="B963" s="17"/>
      <c r="C963" s="19"/>
      <c r="D963" s="18"/>
      <c r="E963" s="18"/>
      <c r="F963" s="19"/>
      <c r="G963" s="31"/>
      <c r="H963" s="31"/>
      <c r="I963" s="19"/>
      <c r="J963" s="22"/>
      <c r="K963" s="18"/>
      <c r="L963" s="19"/>
      <c r="M963" s="19"/>
      <c r="N963" s="20"/>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row>
    <row r="964" spans="1:45" x14ac:dyDescent="0.3">
      <c r="A964" s="410" t="s">
        <v>2405</v>
      </c>
      <c r="B964" s="17"/>
      <c r="C964" s="19"/>
      <c r="D964" s="18"/>
      <c r="E964" s="18"/>
      <c r="F964" s="19"/>
      <c r="G964" s="31"/>
      <c r="H964" s="31"/>
      <c r="I964" s="19"/>
      <c r="J964" s="22"/>
      <c r="K964" s="18"/>
      <c r="L964" s="19"/>
      <c r="M964" s="19"/>
      <c r="N964" s="20"/>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row>
    <row r="965" spans="1:45" x14ac:dyDescent="0.3">
      <c r="A965" s="410" t="s">
        <v>2406</v>
      </c>
      <c r="B965" s="17"/>
      <c r="C965" s="19"/>
      <c r="D965" s="18"/>
      <c r="E965" s="18"/>
      <c r="F965" s="19"/>
      <c r="G965" s="31"/>
      <c r="H965" s="31"/>
      <c r="I965" s="19"/>
      <c r="J965" s="22"/>
      <c r="K965" s="18"/>
      <c r="L965" s="19"/>
      <c r="M965" s="19"/>
      <c r="N965" s="20"/>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row>
    <row r="966" spans="1:45" x14ac:dyDescent="0.3">
      <c r="A966" s="410" t="s">
        <v>2407</v>
      </c>
      <c r="B966" s="17"/>
      <c r="C966" s="19"/>
      <c r="D966" s="18"/>
      <c r="E966" s="18"/>
      <c r="F966" s="19"/>
      <c r="G966" s="31"/>
      <c r="H966" s="31"/>
      <c r="I966" s="19"/>
      <c r="J966" s="22"/>
      <c r="K966" s="18"/>
      <c r="L966" s="19"/>
      <c r="M966" s="19"/>
      <c r="N966" s="20"/>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row>
    <row r="967" spans="1:45" x14ac:dyDescent="0.3">
      <c r="A967" s="410" t="s">
        <v>2408</v>
      </c>
      <c r="B967" s="17"/>
      <c r="C967" s="19"/>
      <c r="D967" s="18"/>
      <c r="E967" s="18"/>
      <c r="F967" s="19"/>
      <c r="G967" s="31"/>
      <c r="H967" s="31"/>
      <c r="I967" s="19"/>
      <c r="J967" s="22"/>
      <c r="K967" s="18"/>
      <c r="L967" s="19"/>
      <c r="M967" s="19"/>
      <c r="N967" s="20"/>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row>
    <row r="968" spans="1:45" x14ac:dyDescent="0.3">
      <c r="A968" s="410" t="s">
        <v>2409</v>
      </c>
      <c r="B968" s="17"/>
      <c r="C968" s="19"/>
      <c r="D968" s="18"/>
      <c r="E968" s="18"/>
      <c r="F968" s="19"/>
      <c r="G968" s="31"/>
      <c r="H968" s="31"/>
      <c r="I968" s="19"/>
      <c r="J968" s="22"/>
      <c r="K968" s="18"/>
      <c r="L968" s="19"/>
      <c r="M968" s="19"/>
      <c r="N968" s="20"/>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row>
    <row r="969" spans="1:45" x14ac:dyDescent="0.3">
      <c r="A969" s="410" t="s">
        <v>2410</v>
      </c>
      <c r="B969" s="17"/>
      <c r="C969" s="19"/>
      <c r="D969" s="18"/>
      <c r="E969" s="18"/>
      <c r="F969" s="19"/>
      <c r="G969" s="31"/>
      <c r="H969" s="31"/>
      <c r="I969" s="19"/>
      <c r="J969" s="22"/>
      <c r="K969" s="18"/>
      <c r="L969" s="19"/>
      <c r="M969" s="19"/>
      <c r="N969" s="20"/>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row>
    <row r="970" spans="1:45" x14ac:dyDescent="0.3">
      <c r="A970" s="410" t="s">
        <v>2411</v>
      </c>
      <c r="B970" s="17"/>
      <c r="C970" s="19"/>
      <c r="D970" s="18"/>
      <c r="E970" s="18"/>
      <c r="F970" s="19"/>
      <c r="G970" s="31"/>
      <c r="H970" s="31"/>
      <c r="I970" s="19"/>
      <c r="J970" s="22"/>
      <c r="K970" s="18"/>
      <c r="L970" s="19"/>
      <c r="M970" s="19"/>
      <c r="N970" s="20"/>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row>
    <row r="971" spans="1:45" x14ac:dyDescent="0.3">
      <c r="A971" s="410" t="s">
        <v>2412</v>
      </c>
      <c r="B971" s="17"/>
      <c r="C971" s="19"/>
      <c r="D971" s="18"/>
      <c r="E971" s="18"/>
      <c r="F971" s="19"/>
      <c r="G971" s="31"/>
      <c r="H971" s="31"/>
      <c r="I971" s="19"/>
      <c r="J971" s="22"/>
      <c r="K971" s="18"/>
      <c r="L971" s="19"/>
      <c r="M971" s="19"/>
      <c r="N971" s="20"/>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row>
    <row r="972" spans="1:45" x14ac:dyDescent="0.3">
      <c r="A972" s="410" t="s">
        <v>2413</v>
      </c>
      <c r="B972" s="17"/>
      <c r="C972" s="19"/>
      <c r="D972" s="18"/>
      <c r="E972" s="18"/>
      <c r="F972" s="19"/>
      <c r="G972" s="31"/>
      <c r="H972" s="31"/>
      <c r="I972" s="19"/>
      <c r="J972" s="22"/>
      <c r="K972" s="18"/>
      <c r="L972" s="19"/>
      <c r="M972" s="19"/>
      <c r="N972" s="20"/>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row>
    <row r="973" spans="1:45" x14ac:dyDescent="0.3">
      <c r="A973" s="410"/>
      <c r="B973" s="17"/>
      <c r="C973" s="19"/>
      <c r="D973" s="18"/>
      <c r="E973" s="18"/>
      <c r="F973" s="19"/>
      <c r="G973" s="31"/>
      <c r="H973" s="31"/>
      <c r="I973" s="19"/>
      <c r="J973" s="22"/>
      <c r="K973" s="18"/>
      <c r="L973" s="19"/>
      <c r="M973" s="19"/>
      <c r="N973" s="20"/>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row>
    <row r="974" spans="1:45" x14ac:dyDescent="0.3">
      <c r="A974" s="410" t="s">
        <v>2414</v>
      </c>
      <c r="B974" s="17" t="s">
        <v>2415</v>
      </c>
      <c r="C974" s="19"/>
      <c r="D974" s="19">
        <v>22165688</v>
      </c>
      <c r="E974" s="18"/>
      <c r="F974" s="19"/>
      <c r="G974" s="31"/>
      <c r="H974" s="31"/>
      <c r="I974" s="19"/>
      <c r="J974" s="19"/>
      <c r="K974" s="18"/>
      <c r="L974" s="19"/>
      <c r="M974" s="19"/>
      <c r="N974" s="20"/>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row>
    <row r="975" spans="1:45" x14ac:dyDescent="0.3">
      <c r="A975" s="410" t="s">
        <v>2416</v>
      </c>
      <c r="B975" s="17" t="s">
        <v>2417</v>
      </c>
      <c r="C975" s="19"/>
      <c r="D975" s="19">
        <v>22172389</v>
      </c>
      <c r="E975" s="18"/>
      <c r="F975" s="19"/>
      <c r="G975" s="31"/>
      <c r="H975" s="31"/>
      <c r="I975" s="19"/>
      <c r="J975" s="19"/>
      <c r="K975" s="18"/>
      <c r="L975" s="19"/>
      <c r="M975" s="19"/>
      <c r="N975" s="20"/>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row>
    <row r="976" spans="1:45" x14ac:dyDescent="0.3">
      <c r="A976" s="410" t="s">
        <v>2418</v>
      </c>
      <c r="B976" s="17" t="s">
        <v>2419</v>
      </c>
      <c r="C976" s="19"/>
      <c r="D976" s="19">
        <v>22173123</v>
      </c>
      <c r="E976" s="18"/>
      <c r="F976" s="19"/>
      <c r="G976" s="31"/>
      <c r="H976" s="31"/>
      <c r="I976" s="19"/>
      <c r="J976" s="19"/>
      <c r="K976" s="18"/>
      <c r="L976" s="19"/>
      <c r="M976" s="19"/>
      <c r="N976" s="20"/>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row>
    <row r="977" spans="1:45" x14ac:dyDescent="0.3">
      <c r="A977" s="410" t="s">
        <v>2420</v>
      </c>
      <c r="B977" s="17" t="s">
        <v>2421</v>
      </c>
      <c r="C977" s="19"/>
      <c r="D977" s="19">
        <v>22170380</v>
      </c>
      <c r="E977" s="18"/>
      <c r="F977" s="19"/>
      <c r="G977" s="31"/>
      <c r="H977" s="31"/>
      <c r="I977" s="19"/>
      <c r="J977" s="19"/>
      <c r="K977" s="18"/>
      <c r="L977" s="19"/>
      <c r="M977" s="19"/>
      <c r="N977" s="20"/>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row>
    <row r="978" spans="1:45" x14ac:dyDescent="0.3">
      <c r="A978" s="410" t="s">
        <v>2422</v>
      </c>
      <c r="B978" s="17" t="s">
        <v>2423</v>
      </c>
      <c r="C978" s="19"/>
      <c r="D978" s="19">
        <v>22196725</v>
      </c>
      <c r="E978" s="18"/>
      <c r="F978" s="19"/>
      <c r="G978" s="31"/>
      <c r="H978" s="31"/>
      <c r="I978" s="19"/>
      <c r="J978" s="19"/>
      <c r="K978" s="18"/>
      <c r="L978" s="19"/>
      <c r="M978" s="19"/>
      <c r="N978" s="20"/>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row>
    <row r="979" spans="1:45" x14ac:dyDescent="0.3">
      <c r="A979" s="410" t="s">
        <v>2424</v>
      </c>
      <c r="B979" s="17"/>
      <c r="C979" s="19"/>
      <c r="D979" s="18"/>
      <c r="E979" s="18"/>
      <c r="F979" s="19"/>
      <c r="G979" s="31"/>
      <c r="H979" s="31"/>
      <c r="I979" s="19"/>
      <c r="J979" s="22"/>
      <c r="K979" s="18"/>
      <c r="L979" s="19"/>
      <c r="M979" s="19"/>
      <c r="N979" s="20"/>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row>
    <row r="980" spans="1:45" x14ac:dyDescent="0.3">
      <c r="A980" s="410" t="s">
        <v>2425</v>
      </c>
      <c r="B980" s="17"/>
      <c r="C980" s="19"/>
      <c r="D980" s="18"/>
      <c r="E980" s="18"/>
      <c r="F980" s="19"/>
      <c r="G980" s="31"/>
      <c r="H980" s="31"/>
      <c r="I980" s="19"/>
      <c r="J980" s="22"/>
      <c r="K980" s="18"/>
      <c r="L980" s="19"/>
      <c r="M980" s="19"/>
      <c r="N980" s="20"/>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row>
    <row r="981" spans="1:45" x14ac:dyDescent="0.3">
      <c r="A981" s="410" t="s">
        <v>2426</v>
      </c>
      <c r="B981" s="17"/>
      <c r="C981" s="19"/>
      <c r="D981" s="18"/>
      <c r="E981" s="18"/>
      <c r="F981" s="19"/>
      <c r="G981" s="31"/>
      <c r="H981" s="31"/>
      <c r="I981" s="19"/>
      <c r="J981" s="22"/>
      <c r="K981" s="18"/>
      <c r="L981" s="19"/>
      <c r="M981" s="19"/>
      <c r="N981" s="20"/>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row>
    <row r="982" spans="1:45" x14ac:dyDescent="0.3">
      <c r="A982" s="410" t="s">
        <v>2427</v>
      </c>
      <c r="B982" s="17"/>
      <c r="C982" s="19"/>
      <c r="D982" s="18"/>
      <c r="E982" s="18"/>
      <c r="F982" s="19"/>
      <c r="G982" s="31"/>
      <c r="H982" s="31"/>
      <c r="I982" s="19"/>
      <c r="J982" s="22"/>
      <c r="K982" s="18"/>
      <c r="L982" s="19"/>
      <c r="M982" s="19"/>
      <c r="N982" s="20"/>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row>
    <row r="983" spans="1:45" x14ac:dyDescent="0.3">
      <c r="A983" s="410" t="s">
        <v>2428</v>
      </c>
      <c r="B983" s="17"/>
      <c r="C983" s="19"/>
      <c r="D983" s="18"/>
      <c r="E983" s="18"/>
      <c r="F983" s="19"/>
      <c r="G983" s="31"/>
      <c r="H983" s="31"/>
      <c r="I983" s="19"/>
      <c r="J983" s="22"/>
      <c r="K983" s="18"/>
      <c r="L983" s="19"/>
      <c r="M983" s="19"/>
      <c r="N983" s="20"/>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row>
    <row r="984" spans="1:45" x14ac:dyDescent="0.3">
      <c r="A984" s="410" t="s">
        <v>2429</v>
      </c>
      <c r="B984" s="17"/>
      <c r="C984" s="19"/>
      <c r="D984" s="18"/>
      <c r="E984" s="18"/>
      <c r="F984" s="19"/>
      <c r="G984" s="31"/>
      <c r="H984" s="31"/>
      <c r="I984" s="19"/>
      <c r="J984" s="22"/>
      <c r="K984" s="18"/>
      <c r="L984" s="19"/>
      <c r="M984" s="19"/>
      <c r="N984" s="20"/>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row>
    <row r="985" spans="1:45" x14ac:dyDescent="0.3">
      <c r="A985" s="410" t="s">
        <v>2430</v>
      </c>
      <c r="B985" s="17"/>
      <c r="C985" s="19"/>
      <c r="D985" s="18"/>
      <c r="E985" s="18"/>
      <c r="F985" s="19"/>
      <c r="G985" s="31"/>
      <c r="H985" s="31"/>
      <c r="I985" s="19"/>
      <c r="J985" s="22"/>
      <c r="K985" s="18"/>
      <c r="L985" s="19"/>
      <c r="M985" s="19"/>
      <c r="N985" s="20"/>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row>
    <row r="986" spans="1:45" x14ac:dyDescent="0.3">
      <c r="A986" s="410" t="s">
        <v>2431</v>
      </c>
      <c r="B986" s="17"/>
      <c r="C986" s="19"/>
      <c r="D986" s="18"/>
      <c r="E986" s="18"/>
      <c r="F986" s="19"/>
      <c r="G986" s="31"/>
      <c r="H986" s="31"/>
      <c r="I986" s="19"/>
      <c r="J986" s="22"/>
      <c r="K986" s="18"/>
      <c r="L986" s="19"/>
      <c r="M986" s="19"/>
      <c r="N986" s="20"/>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row>
    <row r="987" spans="1:45" x14ac:dyDescent="0.3">
      <c r="A987" s="410" t="s">
        <v>2432</v>
      </c>
      <c r="B987" s="17"/>
      <c r="C987" s="19"/>
      <c r="D987" s="18"/>
      <c r="E987" s="18"/>
      <c r="F987" s="19"/>
      <c r="G987" s="31"/>
      <c r="H987" s="31"/>
      <c r="I987" s="19"/>
      <c r="J987" s="22"/>
      <c r="K987" s="18"/>
      <c r="L987" s="19"/>
      <c r="M987" s="19"/>
      <c r="N987" s="20"/>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row>
    <row r="988" spans="1:45" x14ac:dyDescent="0.3">
      <c r="A988" s="410" t="s">
        <v>2433</v>
      </c>
      <c r="B988" s="17"/>
      <c r="C988" s="19"/>
      <c r="D988" s="18"/>
      <c r="E988" s="18"/>
      <c r="F988" s="19"/>
      <c r="G988" s="31"/>
      <c r="H988" s="31"/>
      <c r="I988" s="19"/>
      <c r="J988" s="22"/>
      <c r="K988" s="18"/>
      <c r="L988" s="19"/>
      <c r="M988" s="19"/>
      <c r="N988" s="20"/>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row>
    <row r="989" spans="1:45" x14ac:dyDescent="0.3">
      <c r="A989" s="410" t="s">
        <v>2434</v>
      </c>
      <c r="B989" s="17"/>
      <c r="C989" s="19"/>
      <c r="D989" s="18"/>
      <c r="E989" s="18"/>
      <c r="F989" s="19"/>
      <c r="G989" s="31"/>
      <c r="H989" s="31"/>
      <c r="I989" s="19"/>
      <c r="J989" s="22"/>
      <c r="K989" s="18"/>
      <c r="L989" s="19"/>
      <c r="M989" s="19"/>
      <c r="N989" s="20"/>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row>
    <row r="990" spans="1:45" x14ac:dyDescent="0.3">
      <c r="A990" s="410" t="s">
        <v>2435</v>
      </c>
      <c r="B990" s="17"/>
      <c r="C990" s="19"/>
      <c r="D990" s="18"/>
      <c r="E990" s="18"/>
      <c r="F990" s="19"/>
      <c r="G990" s="31"/>
      <c r="H990" s="31"/>
      <c r="I990" s="19"/>
      <c r="J990" s="22"/>
      <c r="K990" s="18"/>
      <c r="L990" s="19"/>
      <c r="M990" s="19"/>
      <c r="N990" s="20"/>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row>
    <row r="991" spans="1:45" x14ac:dyDescent="0.3">
      <c r="A991" s="410" t="s">
        <v>2436</v>
      </c>
      <c r="B991" s="17"/>
      <c r="C991" s="19"/>
      <c r="D991" s="18"/>
      <c r="E991" s="18"/>
      <c r="F991" s="19"/>
      <c r="G991" s="31"/>
      <c r="H991" s="31"/>
      <c r="I991" s="19"/>
      <c r="J991" s="22"/>
      <c r="K991" s="18"/>
      <c r="L991" s="19"/>
      <c r="M991" s="19"/>
      <c r="N991" s="20"/>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row>
    <row r="992" spans="1:45" x14ac:dyDescent="0.3">
      <c r="A992" s="410" t="s">
        <v>2437</v>
      </c>
      <c r="B992" s="17"/>
      <c r="C992" s="19"/>
      <c r="D992" s="18"/>
      <c r="E992" s="18"/>
      <c r="F992" s="19"/>
      <c r="G992" s="31"/>
      <c r="H992" s="31"/>
      <c r="I992" s="19"/>
      <c r="J992" s="22"/>
      <c r="K992" s="18"/>
      <c r="L992" s="19"/>
      <c r="M992" s="19"/>
      <c r="N992" s="20"/>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row>
    <row r="993" spans="1:45" x14ac:dyDescent="0.3">
      <c r="A993" s="410" t="s">
        <v>2438</v>
      </c>
      <c r="B993" s="17"/>
      <c r="C993" s="19"/>
      <c r="D993" s="18"/>
      <c r="E993" s="18"/>
      <c r="F993" s="19"/>
      <c r="G993" s="31"/>
      <c r="H993" s="31"/>
      <c r="I993" s="19"/>
      <c r="J993" s="22"/>
      <c r="K993" s="18"/>
      <c r="L993" s="19"/>
      <c r="M993" s="19"/>
      <c r="N993" s="20"/>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row>
    <row r="994" spans="1:45" x14ac:dyDescent="0.3">
      <c r="A994" s="410" t="s">
        <v>2439</v>
      </c>
      <c r="B994" s="17"/>
      <c r="C994" s="19"/>
      <c r="D994" s="18"/>
      <c r="E994" s="18"/>
      <c r="F994" s="19"/>
      <c r="G994" s="31"/>
      <c r="H994" s="31"/>
      <c r="I994" s="19"/>
      <c r="J994" s="22"/>
      <c r="K994" s="18"/>
      <c r="L994" s="19"/>
      <c r="M994" s="19"/>
      <c r="N994" s="20"/>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row>
    <row r="995" spans="1:45" x14ac:dyDescent="0.3">
      <c r="A995" s="410" t="s">
        <v>2440</v>
      </c>
      <c r="B995" s="17"/>
      <c r="C995" s="19"/>
      <c r="D995" s="18"/>
      <c r="E995" s="18"/>
      <c r="F995" s="19"/>
      <c r="G995" s="31"/>
      <c r="H995" s="31"/>
      <c r="I995" s="19"/>
      <c r="J995" s="22"/>
      <c r="K995" s="18"/>
      <c r="L995" s="19"/>
      <c r="M995" s="19"/>
      <c r="N995" s="20"/>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row>
    <row r="996" spans="1:45" x14ac:dyDescent="0.3">
      <c r="A996" s="410" t="s">
        <v>2441</v>
      </c>
      <c r="B996" s="17"/>
      <c r="C996" s="19"/>
      <c r="D996" s="18"/>
      <c r="E996" s="18"/>
      <c r="F996" s="19"/>
      <c r="G996" s="31"/>
      <c r="H996" s="31"/>
      <c r="I996" s="19"/>
      <c r="J996" s="22"/>
      <c r="K996" s="18"/>
      <c r="L996" s="19"/>
      <c r="M996" s="19"/>
      <c r="N996" s="20"/>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row>
    <row r="997" spans="1:45" x14ac:dyDescent="0.3">
      <c r="A997" s="410" t="s">
        <v>2442</v>
      </c>
      <c r="B997" s="17"/>
      <c r="C997" s="19"/>
      <c r="D997" s="18"/>
      <c r="E997" s="18"/>
      <c r="F997" s="19"/>
      <c r="G997" s="31"/>
      <c r="H997" s="31"/>
      <c r="I997" s="19"/>
      <c r="J997" s="22"/>
      <c r="K997" s="18"/>
      <c r="L997" s="19"/>
      <c r="M997" s="19"/>
      <c r="N997" s="20"/>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row>
    <row r="998" spans="1:45" x14ac:dyDescent="0.3">
      <c r="A998" s="410" t="s">
        <v>2443</v>
      </c>
      <c r="B998" s="17"/>
      <c r="C998" s="19"/>
      <c r="D998" s="18"/>
      <c r="E998" s="18"/>
      <c r="F998" s="19"/>
      <c r="G998" s="31"/>
      <c r="H998" s="31"/>
      <c r="I998" s="19"/>
      <c r="J998" s="22"/>
      <c r="K998" s="18"/>
      <c r="L998" s="19"/>
      <c r="M998" s="19"/>
      <c r="N998" s="20"/>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row>
    <row r="999" spans="1:45" x14ac:dyDescent="0.3">
      <c r="A999" s="410" t="s">
        <v>2444</v>
      </c>
      <c r="B999" s="17"/>
      <c r="C999" s="19"/>
      <c r="D999" s="18"/>
      <c r="E999" s="18"/>
      <c r="F999" s="19"/>
      <c r="G999" s="31"/>
      <c r="H999" s="31"/>
      <c r="I999" s="19"/>
      <c r="J999" s="22"/>
      <c r="K999" s="18"/>
      <c r="L999" s="19"/>
      <c r="M999" s="19"/>
      <c r="N999" s="20"/>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row>
    <row r="1000" spans="1:45" x14ac:dyDescent="0.3">
      <c r="A1000" s="410" t="s">
        <v>2445</v>
      </c>
      <c r="B1000" s="17"/>
      <c r="C1000" s="19"/>
      <c r="D1000" s="18"/>
      <c r="E1000" s="18"/>
      <c r="F1000" s="19"/>
      <c r="G1000" s="31"/>
      <c r="H1000" s="31"/>
      <c r="I1000" s="19"/>
      <c r="J1000" s="22"/>
      <c r="K1000" s="18"/>
      <c r="L1000" s="19"/>
      <c r="M1000" s="19"/>
      <c r="N1000" s="20"/>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row>
    <row r="1001" spans="1:45" x14ac:dyDescent="0.3">
      <c r="A1001" s="410" t="s">
        <v>2446</v>
      </c>
      <c r="B1001" s="17"/>
      <c r="C1001" s="19"/>
      <c r="D1001" s="18"/>
      <c r="E1001" s="18"/>
      <c r="F1001" s="19"/>
      <c r="G1001" s="31"/>
      <c r="H1001" s="31"/>
      <c r="I1001" s="19"/>
      <c r="J1001" s="22"/>
      <c r="K1001" s="18"/>
      <c r="L1001" s="19"/>
      <c r="M1001" s="19"/>
      <c r="N1001" s="20"/>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row>
    <row r="1002" spans="1:45" x14ac:dyDescent="0.3">
      <c r="A1002" s="410" t="s">
        <v>2447</v>
      </c>
      <c r="B1002" s="17"/>
      <c r="C1002" s="19"/>
      <c r="D1002" s="18"/>
      <c r="E1002" s="18"/>
      <c r="F1002" s="19"/>
      <c r="G1002" s="31"/>
      <c r="H1002" s="31"/>
      <c r="I1002" s="19"/>
      <c r="J1002" s="22"/>
      <c r="K1002" s="18"/>
      <c r="L1002" s="19"/>
      <c r="M1002" s="19"/>
      <c r="N1002" s="20"/>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row>
    <row r="1003" spans="1:45" x14ac:dyDescent="0.3">
      <c r="A1003" s="410" t="s">
        <v>2448</v>
      </c>
      <c r="B1003" s="17"/>
      <c r="C1003" s="19"/>
      <c r="D1003" s="18"/>
      <c r="E1003" s="18"/>
      <c r="F1003" s="19"/>
      <c r="G1003" s="31"/>
      <c r="H1003" s="31"/>
      <c r="I1003" s="19"/>
      <c r="J1003" s="22"/>
      <c r="K1003" s="18"/>
      <c r="L1003" s="19"/>
      <c r="M1003" s="19"/>
      <c r="N1003" s="20"/>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row>
    <row r="1004" spans="1:45" x14ac:dyDescent="0.3">
      <c r="A1004" s="410" t="s">
        <v>2449</v>
      </c>
      <c r="B1004" s="17"/>
      <c r="C1004" s="19"/>
      <c r="D1004" s="18"/>
      <c r="E1004" s="18"/>
      <c r="F1004" s="19"/>
      <c r="G1004" s="31"/>
      <c r="H1004" s="31"/>
      <c r="I1004" s="19"/>
      <c r="J1004" s="22"/>
      <c r="K1004" s="18"/>
      <c r="L1004" s="19"/>
      <c r="M1004" s="19"/>
      <c r="N1004" s="20"/>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row>
    <row r="1005" spans="1:45" x14ac:dyDescent="0.3">
      <c r="A1005" s="410" t="s">
        <v>2450</v>
      </c>
      <c r="B1005" s="17"/>
      <c r="C1005" s="19"/>
      <c r="D1005" s="18"/>
      <c r="E1005" s="18"/>
      <c r="F1005" s="19"/>
      <c r="G1005" s="31"/>
      <c r="H1005" s="31"/>
      <c r="I1005" s="19"/>
      <c r="J1005" s="22"/>
      <c r="K1005" s="18"/>
      <c r="L1005" s="19"/>
      <c r="M1005" s="19"/>
      <c r="N1005" s="20"/>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row>
    <row r="1006" spans="1:45" x14ac:dyDescent="0.3">
      <c r="A1006" s="410" t="s">
        <v>2451</v>
      </c>
      <c r="B1006" s="17"/>
      <c r="C1006" s="19"/>
      <c r="D1006" s="18"/>
      <c r="E1006" s="18"/>
      <c r="F1006" s="19"/>
      <c r="G1006" s="31"/>
      <c r="H1006" s="31"/>
      <c r="I1006" s="19"/>
      <c r="J1006" s="22"/>
      <c r="K1006" s="18"/>
      <c r="L1006" s="19"/>
      <c r="M1006" s="19"/>
      <c r="N1006" s="20"/>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row>
    <row r="1007" spans="1:45" x14ac:dyDescent="0.3">
      <c r="A1007" s="410" t="s">
        <v>2452</v>
      </c>
      <c r="B1007" s="17"/>
      <c r="C1007" s="19"/>
      <c r="D1007" s="18"/>
      <c r="E1007" s="18"/>
      <c r="F1007" s="19"/>
      <c r="G1007" s="31"/>
      <c r="H1007" s="31"/>
      <c r="I1007" s="19"/>
      <c r="J1007" s="22"/>
      <c r="K1007" s="18"/>
      <c r="L1007" s="19"/>
      <c r="M1007" s="19"/>
      <c r="N1007" s="20"/>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row>
    <row r="1008" spans="1:45" x14ac:dyDescent="0.3">
      <c r="A1008" s="410" t="s">
        <v>2453</v>
      </c>
      <c r="B1008" s="17"/>
      <c r="C1008" s="19"/>
      <c r="D1008" s="18"/>
      <c r="E1008" s="18"/>
      <c r="F1008" s="19"/>
      <c r="G1008" s="31"/>
      <c r="H1008" s="31"/>
      <c r="I1008" s="19"/>
      <c r="J1008" s="22"/>
      <c r="K1008" s="18"/>
      <c r="L1008" s="19"/>
      <c r="M1008" s="19"/>
      <c r="N1008" s="20"/>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row>
    <row r="1009" spans="1:45" x14ac:dyDescent="0.3">
      <c r="A1009" s="410" t="s">
        <v>2454</v>
      </c>
      <c r="B1009" s="17"/>
      <c r="C1009" s="19"/>
      <c r="D1009" s="18"/>
      <c r="E1009" s="18"/>
      <c r="F1009" s="19"/>
      <c r="G1009" s="31"/>
      <c r="H1009" s="31"/>
      <c r="I1009" s="19"/>
      <c r="J1009" s="22"/>
      <c r="K1009" s="18"/>
      <c r="L1009" s="19"/>
      <c r="M1009" s="19"/>
      <c r="N1009" s="20"/>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row>
    <row r="1010" spans="1:45" x14ac:dyDescent="0.3">
      <c r="A1010" s="410" t="s">
        <v>2455</v>
      </c>
      <c r="B1010" s="17"/>
      <c r="C1010" s="19"/>
      <c r="D1010" s="18"/>
      <c r="E1010" s="18"/>
      <c r="F1010" s="19"/>
      <c r="G1010" s="31"/>
      <c r="H1010" s="31"/>
      <c r="I1010" s="19"/>
      <c r="J1010" s="22"/>
      <c r="K1010" s="18"/>
      <c r="L1010" s="19"/>
      <c r="M1010" s="19"/>
      <c r="N1010" s="20"/>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row>
    <row r="1011" spans="1:45" x14ac:dyDescent="0.3">
      <c r="A1011" s="410" t="s">
        <v>2456</v>
      </c>
      <c r="B1011" s="17"/>
      <c r="C1011" s="19"/>
      <c r="D1011" s="18"/>
      <c r="E1011" s="18"/>
      <c r="F1011" s="19"/>
      <c r="G1011" s="31"/>
      <c r="H1011" s="31"/>
      <c r="I1011" s="19"/>
      <c r="J1011" s="22"/>
      <c r="K1011" s="18"/>
      <c r="L1011" s="19"/>
      <c r="M1011" s="19"/>
      <c r="N1011" s="20"/>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row>
    <row r="1012" spans="1:45" x14ac:dyDescent="0.3">
      <c r="A1012" s="410" t="s">
        <v>2457</v>
      </c>
      <c r="B1012" s="17"/>
      <c r="C1012" s="19"/>
      <c r="D1012" s="18"/>
      <c r="E1012" s="18"/>
      <c r="F1012" s="19"/>
      <c r="G1012" s="31"/>
      <c r="H1012" s="31"/>
      <c r="I1012" s="19"/>
      <c r="J1012" s="22"/>
      <c r="K1012" s="18"/>
      <c r="L1012" s="19"/>
      <c r="M1012" s="19"/>
      <c r="N1012" s="20"/>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row>
    <row r="1013" spans="1:45" x14ac:dyDescent="0.3">
      <c r="A1013" s="410" t="s">
        <v>2458</v>
      </c>
      <c r="B1013" s="17"/>
      <c r="C1013" s="19"/>
      <c r="D1013" s="18"/>
      <c r="E1013" s="18"/>
      <c r="F1013" s="19"/>
      <c r="G1013" s="31"/>
      <c r="H1013" s="31"/>
      <c r="I1013" s="19"/>
      <c r="J1013" s="22"/>
      <c r="K1013" s="18"/>
      <c r="L1013" s="19"/>
      <c r="M1013" s="19"/>
      <c r="N1013" s="20"/>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row>
    <row r="1014" spans="1:45" x14ac:dyDescent="0.3">
      <c r="A1014" s="410" t="s">
        <v>2459</v>
      </c>
      <c r="B1014" s="17"/>
      <c r="C1014" s="19"/>
      <c r="D1014" s="18"/>
      <c r="E1014" s="18"/>
      <c r="F1014" s="19"/>
      <c r="G1014" s="31"/>
      <c r="H1014" s="31"/>
      <c r="I1014" s="19"/>
      <c r="J1014" s="22"/>
      <c r="K1014" s="18"/>
      <c r="L1014" s="19"/>
      <c r="M1014" s="19"/>
      <c r="N1014" s="20"/>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row>
    <row r="1015" spans="1:45" x14ac:dyDescent="0.3">
      <c r="A1015" s="410" t="s">
        <v>2460</v>
      </c>
      <c r="B1015" s="17"/>
      <c r="C1015" s="19"/>
      <c r="D1015" s="18"/>
      <c r="E1015" s="18"/>
      <c r="F1015" s="19"/>
      <c r="G1015" s="31"/>
      <c r="H1015" s="31"/>
      <c r="I1015" s="19"/>
      <c r="J1015" s="22"/>
      <c r="K1015" s="18"/>
      <c r="L1015" s="19"/>
      <c r="M1015" s="19"/>
      <c r="N1015" s="20"/>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row>
    <row r="1016" spans="1:45" x14ac:dyDescent="0.3">
      <c r="A1016" s="410" t="s">
        <v>2461</v>
      </c>
      <c r="B1016" s="17"/>
      <c r="C1016" s="19"/>
      <c r="D1016" s="18"/>
      <c r="E1016" s="18"/>
      <c r="F1016" s="19"/>
      <c r="G1016" s="31"/>
      <c r="H1016" s="31"/>
      <c r="I1016" s="19"/>
      <c r="J1016" s="22"/>
      <c r="K1016" s="18"/>
      <c r="L1016" s="19"/>
      <c r="M1016" s="19"/>
      <c r="N1016" s="20"/>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row>
    <row r="1017" spans="1:45" x14ac:dyDescent="0.3">
      <c r="A1017" s="410" t="s">
        <v>2462</v>
      </c>
      <c r="B1017" s="17"/>
      <c r="C1017" s="19"/>
      <c r="D1017" s="18"/>
      <c r="E1017" s="18"/>
      <c r="F1017" s="19"/>
      <c r="G1017" s="31"/>
      <c r="H1017" s="31"/>
      <c r="I1017" s="19"/>
      <c r="J1017" s="22"/>
      <c r="K1017" s="18"/>
      <c r="L1017" s="19"/>
      <c r="M1017" s="19"/>
      <c r="N1017" s="20"/>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row>
    <row r="1018" spans="1:45" x14ac:dyDescent="0.3">
      <c r="A1018" s="410" t="s">
        <v>2463</v>
      </c>
      <c r="B1018" s="17"/>
      <c r="C1018" s="19"/>
      <c r="D1018" s="18"/>
      <c r="E1018" s="18"/>
      <c r="F1018" s="19"/>
      <c r="G1018" s="31"/>
      <c r="H1018" s="31"/>
      <c r="I1018" s="19"/>
      <c r="J1018" s="22"/>
      <c r="K1018" s="18"/>
      <c r="L1018" s="19"/>
      <c r="M1018" s="19"/>
      <c r="N1018" s="20"/>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row>
    <row r="1019" spans="1:45" x14ac:dyDescent="0.3">
      <c r="A1019" s="410" t="s">
        <v>2464</v>
      </c>
      <c r="B1019" s="17"/>
      <c r="C1019" s="19"/>
      <c r="D1019" s="18"/>
      <c r="E1019" s="18"/>
      <c r="F1019" s="19"/>
      <c r="G1019" s="31"/>
      <c r="H1019" s="31"/>
      <c r="I1019" s="19"/>
      <c r="J1019" s="22"/>
      <c r="K1019" s="18"/>
      <c r="L1019" s="19"/>
      <c r="M1019" s="19"/>
      <c r="N1019" s="20"/>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row>
    <row r="1020" spans="1:45" x14ac:dyDescent="0.3">
      <c r="A1020" s="410" t="s">
        <v>2465</v>
      </c>
      <c r="B1020" s="17"/>
      <c r="C1020" s="19"/>
      <c r="D1020" s="18"/>
      <c r="E1020" s="18"/>
      <c r="F1020" s="19"/>
      <c r="G1020" s="31"/>
      <c r="H1020" s="31"/>
      <c r="I1020" s="19"/>
      <c r="J1020" s="22"/>
      <c r="K1020" s="18"/>
      <c r="L1020" s="19"/>
      <c r="M1020" s="19"/>
      <c r="N1020" s="20"/>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row>
    <row r="1021" spans="1:45" x14ac:dyDescent="0.3">
      <c r="A1021" s="410" t="s">
        <v>2466</v>
      </c>
      <c r="B1021" s="17"/>
      <c r="C1021" s="19"/>
      <c r="D1021" s="18"/>
      <c r="E1021" s="18"/>
      <c r="F1021" s="19"/>
      <c r="G1021" s="31"/>
      <c r="H1021" s="31"/>
      <c r="I1021" s="19"/>
      <c r="J1021" s="22"/>
      <c r="K1021" s="18"/>
      <c r="L1021" s="19"/>
      <c r="M1021" s="19"/>
      <c r="N1021" s="20"/>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row>
    <row r="1022" spans="1:45" x14ac:dyDescent="0.3">
      <c r="A1022" s="410" t="s">
        <v>2467</v>
      </c>
      <c r="B1022" s="17"/>
      <c r="C1022" s="19"/>
      <c r="D1022" s="18"/>
      <c r="E1022" s="18"/>
      <c r="F1022" s="19"/>
      <c r="G1022" s="31"/>
      <c r="H1022" s="31"/>
      <c r="I1022" s="19"/>
      <c r="J1022" s="22"/>
      <c r="K1022" s="18"/>
      <c r="L1022" s="19"/>
      <c r="M1022" s="19"/>
      <c r="N1022" s="20"/>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row>
    <row r="1023" spans="1:45" x14ac:dyDescent="0.3">
      <c r="A1023" s="410" t="s">
        <v>2468</v>
      </c>
      <c r="B1023" s="17"/>
      <c r="C1023" s="19"/>
      <c r="D1023" s="18"/>
      <c r="E1023" s="18"/>
      <c r="F1023" s="19"/>
      <c r="G1023" s="31"/>
      <c r="H1023" s="31"/>
      <c r="I1023" s="19"/>
      <c r="J1023" s="22"/>
      <c r="K1023" s="18"/>
      <c r="L1023" s="19"/>
      <c r="M1023" s="19"/>
      <c r="N1023" s="20"/>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row>
    <row r="1024" spans="1:45" x14ac:dyDescent="0.3">
      <c r="A1024" s="410" t="s">
        <v>2469</v>
      </c>
      <c r="B1024" s="17"/>
      <c r="C1024" s="19"/>
      <c r="D1024" s="18"/>
      <c r="E1024" s="18"/>
      <c r="F1024" s="19"/>
      <c r="G1024" s="31"/>
      <c r="H1024" s="31"/>
      <c r="I1024" s="19"/>
      <c r="J1024" s="22"/>
      <c r="K1024" s="18"/>
      <c r="L1024" s="19"/>
      <c r="M1024" s="19"/>
      <c r="N1024" s="20"/>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row>
    <row r="1025" spans="1:45" x14ac:dyDescent="0.3">
      <c r="A1025" s="410" t="s">
        <v>2470</v>
      </c>
      <c r="B1025" s="17"/>
      <c r="C1025" s="19"/>
      <c r="D1025" s="18"/>
      <c r="E1025" s="18"/>
      <c r="F1025" s="19"/>
      <c r="G1025" s="31"/>
      <c r="H1025" s="31"/>
      <c r="I1025" s="19"/>
      <c r="J1025" s="22"/>
      <c r="K1025" s="18"/>
      <c r="L1025" s="19"/>
      <c r="M1025" s="19"/>
      <c r="N1025" s="20"/>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row>
    <row r="1026" spans="1:45" x14ac:dyDescent="0.3">
      <c r="A1026" s="410" t="s">
        <v>2471</v>
      </c>
      <c r="B1026" s="17"/>
      <c r="C1026" s="19"/>
      <c r="D1026" s="18"/>
      <c r="E1026" s="18"/>
      <c r="F1026" s="19"/>
      <c r="G1026" s="31"/>
      <c r="H1026" s="31"/>
      <c r="I1026" s="19"/>
      <c r="J1026" s="22"/>
      <c r="K1026" s="18"/>
      <c r="L1026" s="19"/>
      <c r="M1026" s="19"/>
      <c r="N1026" s="20"/>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row>
    <row r="1027" spans="1:45" x14ac:dyDescent="0.3">
      <c r="A1027" s="410" t="s">
        <v>2472</v>
      </c>
      <c r="B1027" s="17"/>
      <c r="C1027" s="19"/>
      <c r="D1027" s="18"/>
      <c r="E1027" s="18"/>
      <c r="F1027" s="19"/>
      <c r="G1027" s="31"/>
      <c r="H1027" s="31"/>
      <c r="I1027" s="19"/>
      <c r="J1027" s="22"/>
      <c r="K1027" s="18"/>
      <c r="L1027" s="19"/>
      <c r="M1027" s="19"/>
      <c r="N1027" s="20"/>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row>
    <row r="1028" spans="1:45" x14ac:dyDescent="0.3">
      <c r="A1028" s="410" t="s">
        <v>2473</v>
      </c>
      <c r="B1028" s="17"/>
      <c r="C1028" s="19"/>
      <c r="D1028" s="18"/>
      <c r="E1028" s="18"/>
      <c r="F1028" s="19"/>
      <c r="G1028" s="31"/>
      <c r="H1028" s="31"/>
      <c r="I1028" s="19"/>
      <c r="J1028" s="22"/>
      <c r="K1028" s="18"/>
      <c r="L1028" s="19"/>
      <c r="M1028" s="19"/>
      <c r="N1028" s="20"/>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row>
    <row r="1029" spans="1:45" x14ac:dyDescent="0.3">
      <c r="A1029" s="410" t="s">
        <v>2474</v>
      </c>
      <c r="B1029" s="17"/>
      <c r="C1029" s="19"/>
      <c r="D1029" s="18"/>
      <c r="E1029" s="18"/>
      <c r="F1029" s="19"/>
      <c r="G1029" s="31"/>
      <c r="H1029" s="31"/>
      <c r="I1029" s="19"/>
      <c r="J1029" s="22"/>
      <c r="K1029" s="18"/>
      <c r="L1029" s="19"/>
      <c r="M1029" s="19"/>
      <c r="N1029" s="20"/>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row>
    <row r="1030" spans="1:45" x14ac:dyDescent="0.3">
      <c r="A1030" s="410" t="s">
        <v>2475</v>
      </c>
      <c r="B1030" s="17"/>
      <c r="C1030" s="19"/>
      <c r="D1030" s="18"/>
      <c r="E1030" s="18"/>
      <c r="F1030" s="19"/>
      <c r="G1030" s="31"/>
      <c r="H1030" s="31"/>
      <c r="I1030" s="19"/>
      <c r="J1030" s="22"/>
      <c r="K1030" s="18"/>
      <c r="L1030" s="19"/>
      <c r="M1030" s="19"/>
      <c r="N1030" s="20"/>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row>
    <row r="1031" spans="1:45" x14ac:dyDescent="0.3">
      <c r="A1031" s="410" t="s">
        <v>2476</v>
      </c>
      <c r="B1031" s="17"/>
      <c r="C1031" s="19"/>
      <c r="D1031" s="18"/>
      <c r="E1031" s="18"/>
      <c r="F1031" s="19"/>
      <c r="G1031" s="31"/>
      <c r="H1031" s="31"/>
      <c r="I1031" s="19"/>
      <c r="J1031" s="22"/>
      <c r="K1031" s="18"/>
      <c r="L1031" s="19"/>
      <c r="M1031" s="19"/>
      <c r="N1031" s="20"/>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row>
    <row r="1032" spans="1:45" x14ac:dyDescent="0.3">
      <c r="A1032" s="410" t="s">
        <v>2477</v>
      </c>
      <c r="B1032" s="17"/>
      <c r="C1032" s="19"/>
      <c r="D1032" s="18"/>
      <c r="E1032" s="18"/>
      <c r="F1032" s="19"/>
      <c r="G1032" s="31"/>
      <c r="H1032" s="31"/>
      <c r="I1032" s="19"/>
      <c r="J1032" s="22"/>
      <c r="K1032" s="18"/>
      <c r="L1032" s="19"/>
      <c r="M1032" s="19"/>
      <c r="N1032" s="20"/>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row>
    <row r="1033" spans="1:45" x14ac:dyDescent="0.3">
      <c r="A1033" s="410" t="s">
        <v>2478</v>
      </c>
      <c r="B1033" s="17"/>
      <c r="C1033" s="19"/>
      <c r="D1033" s="18"/>
      <c r="E1033" s="18"/>
      <c r="F1033" s="19"/>
      <c r="G1033" s="31"/>
      <c r="H1033" s="31"/>
      <c r="I1033" s="19"/>
      <c r="J1033" s="22"/>
      <c r="K1033" s="18"/>
      <c r="L1033" s="19"/>
      <c r="M1033" s="19"/>
      <c r="N1033" s="20"/>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row>
    <row r="1034" spans="1:45" x14ac:dyDescent="0.3">
      <c r="A1034" s="410" t="s">
        <v>2479</v>
      </c>
      <c r="B1034" s="17"/>
      <c r="C1034" s="19"/>
      <c r="D1034" s="18"/>
      <c r="E1034" s="18"/>
      <c r="F1034" s="19"/>
      <c r="G1034" s="31"/>
      <c r="H1034" s="31"/>
      <c r="I1034" s="19"/>
      <c r="J1034" s="22"/>
      <c r="K1034" s="18"/>
      <c r="L1034" s="19"/>
      <c r="M1034" s="19"/>
      <c r="N1034" s="20"/>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row>
    <row r="1035" spans="1:45" x14ac:dyDescent="0.3">
      <c r="A1035" s="410" t="s">
        <v>2480</v>
      </c>
      <c r="B1035" s="17"/>
      <c r="C1035" s="19"/>
      <c r="D1035" s="18"/>
      <c r="E1035" s="18"/>
      <c r="F1035" s="19"/>
      <c r="G1035" s="31"/>
      <c r="H1035" s="31"/>
      <c r="I1035" s="19"/>
      <c r="J1035" s="22"/>
      <c r="K1035" s="18"/>
      <c r="L1035" s="19"/>
      <c r="M1035" s="19"/>
      <c r="N1035" s="20"/>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row>
    <row r="1036" spans="1:45" x14ac:dyDescent="0.3">
      <c r="A1036" s="410" t="s">
        <v>2481</v>
      </c>
      <c r="B1036" s="17"/>
      <c r="C1036" s="19"/>
      <c r="D1036" s="18"/>
      <c r="E1036" s="18"/>
      <c r="F1036" s="19"/>
      <c r="G1036" s="31"/>
      <c r="H1036" s="31"/>
      <c r="I1036" s="19"/>
      <c r="J1036" s="22"/>
      <c r="K1036" s="18"/>
      <c r="L1036" s="19"/>
      <c r="M1036" s="19"/>
      <c r="N1036" s="20"/>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row>
    <row r="1037" spans="1:45" x14ac:dyDescent="0.3">
      <c r="A1037" s="410" t="s">
        <v>2482</v>
      </c>
      <c r="B1037" s="17"/>
      <c r="C1037" s="19"/>
      <c r="D1037" s="18"/>
      <c r="E1037" s="18"/>
      <c r="F1037" s="19"/>
      <c r="G1037" s="31"/>
      <c r="H1037" s="31"/>
      <c r="I1037" s="19"/>
      <c r="J1037" s="22"/>
      <c r="K1037" s="18"/>
      <c r="L1037" s="19"/>
      <c r="M1037" s="19"/>
      <c r="N1037" s="20"/>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row>
    <row r="1038" spans="1:45" x14ac:dyDescent="0.3">
      <c r="A1038" s="410" t="s">
        <v>2483</v>
      </c>
      <c r="B1038" s="17"/>
      <c r="C1038" s="19"/>
      <c r="D1038" s="18"/>
      <c r="E1038" s="18"/>
      <c r="F1038" s="19"/>
      <c r="G1038" s="31"/>
      <c r="H1038" s="31"/>
      <c r="I1038" s="19"/>
      <c r="J1038" s="22"/>
      <c r="K1038" s="18"/>
      <c r="L1038" s="19"/>
      <c r="M1038" s="19"/>
      <c r="N1038" s="20"/>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row>
    <row r="1039" spans="1:45" x14ac:dyDescent="0.3">
      <c r="A1039" s="410" t="s">
        <v>2484</v>
      </c>
      <c r="B1039" s="17"/>
      <c r="C1039" s="19"/>
      <c r="D1039" s="18"/>
      <c r="E1039" s="18"/>
      <c r="F1039" s="19"/>
      <c r="G1039" s="31"/>
      <c r="H1039" s="31"/>
      <c r="I1039" s="19"/>
      <c r="J1039" s="22"/>
      <c r="K1039" s="18"/>
      <c r="L1039" s="19"/>
      <c r="M1039" s="19"/>
      <c r="N1039" s="20"/>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row>
    <row r="1040" spans="1:45" x14ac:dyDescent="0.3">
      <c r="A1040" s="410" t="s">
        <v>2485</v>
      </c>
      <c r="B1040" s="17"/>
      <c r="C1040" s="19"/>
      <c r="D1040" s="18"/>
      <c r="E1040" s="18"/>
      <c r="F1040" s="19"/>
      <c r="G1040" s="31"/>
      <c r="H1040" s="31"/>
      <c r="I1040" s="19"/>
      <c r="J1040" s="22"/>
      <c r="K1040" s="18"/>
      <c r="L1040" s="19"/>
      <c r="M1040" s="19"/>
      <c r="N1040" s="20"/>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row>
    <row r="1041" spans="1:45" x14ac:dyDescent="0.3">
      <c r="A1041" s="410" t="s">
        <v>2486</v>
      </c>
      <c r="B1041" s="17"/>
      <c r="C1041" s="19"/>
      <c r="D1041" s="18"/>
      <c r="E1041" s="18"/>
      <c r="F1041" s="19"/>
      <c r="G1041" s="31"/>
      <c r="H1041" s="31"/>
      <c r="I1041" s="19"/>
      <c r="J1041" s="22"/>
      <c r="K1041" s="18"/>
      <c r="L1041" s="19"/>
      <c r="M1041" s="19"/>
      <c r="N1041" s="20"/>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row>
    <row r="1042" spans="1:45" x14ac:dyDescent="0.3">
      <c r="A1042" s="410" t="s">
        <v>2487</v>
      </c>
      <c r="B1042" s="17"/>
      <c r="C1042" s="19"/>
      <c r="D1042" s="18"/>
      <c r="E1042" s="18"/>
      <c r="F1042" s="19"/>
      <c r="G1042" s="31"/>
      <c r="H1042" s="31"/>
      <c r="I1042" s="19"/>
      <c r="J1042" s="22"/>
      <c r="K1042" s="18"/>
      <c r="L1042" s="19"/>
      <c r="M1042" s="19"/>
      <c r="N1042" s="20"/>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row>
    <row r="1043" spans="1:45" x14ac:dyDescent="0.3">
      <c r="A1043" s="410" t="s">
        <v>2488</v>
      </c>
      <c r="B1043" s="17"/>
      <c r="C1043" s="19"/>
      <c r="D1043" s="18"/>
      <c r="E1043" s="18"/>
      <c r="F1043" s="19"/>
      <c r="G1043" s="31"/>
      <c r="H1043" s="31"/>
      <c r="I1043" s="19"/>
      <c r="J1043" s="22"/>
      <c r="K1043" s="18"/>
      <c r="L1043" s="19"/>
      <c r="M1043" s="19"/>
      <c r="N1043" s="20"/>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row>
    <row r="1044" spans="1:45" x14ac:dyDescent="0.3">
      <c r="A1044" s="410" t="s">
        <v>2489</v>
      </c>
      <c r="B1044" s="17"/>
      <c r="C1044" s="19"/>
      <c r="D1044" s="18"/>
      <c r="E1044" s="18"/>
      <c r="F1044" s="19"/>
      <c r="G1044" s="31"/>
      <c r="H1044" s="31"/>
      <c r="I1044" s="19"/>
      <c r="J1044" s="22"/>
      <c r="K1044" s="18"/>
      <c r="L1044" s="19"/>
      <c r="M1044" s="19"/>
      <c r="N1044" s="20"/>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row>
    <row r="1045" spans="1:45" x14ac:dyDescent="0.3">
      <c r="A1045" s="410" t="s">
        <v>2490</v>
      </c>
      <c r="B1045" s="17"/>
      <c r="C1045" s="19"/>
      <c r="D1045" s="18"/>
      <c r="E1045" s="18"/>
      <c r="F1045" s="19"/>
      <c r="G1045" s="31"/>
      <c r="H1045" s="31"/>
      <c r="I1045" s="19"/>
      <c r="J1045" s="22"/>
      <c r="K1045" s="18"/>
      <c r="L1045" s="19"/>
      <c r="M1045" s="19"/>
      <c r="N1045" s="20"/>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row>
    <row r="1046" spans="1:45" x14ac:dyDescent="0.3">
      <c r="A1046" s="410" t="s">
        <v>2491</v>
      </c>
      <c r="B1046" s="17"/>
      <c r="C1046" s="19"/>
      <c r="D1046" s="18"/>
      <c r="E1046" s="18"/>
      <c r="F1046" s="19"/>
      <c r="G1046" s="31"/>
      <c r="H1046" s="31"/>
      <c r="I1046" s="19"/>
      <c r="J1046" s="22"/>
      <c r="K1046" s="18"/>
      <c r="L1046" s="19"/>
      <c r="M1046" s="19"/>
      <c r="N1046" s="20"/>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row>
    <row r="1047" spans="1:45" x14ac:dyDescent="0.3">
      <c r="A1047" s="410" t="s">
        <v>2492</v>
      </c>
      <c r="B1047" s="17"/>
      <c r="C1047" s="19"/>
      <c r="D1047" s="18"/>
      <c r="E1047" s="18"/>
      <c r="F1047" s="19"/>
      <c r="G1047" s="31"/>
      <c r="H1047" s="31"/>
      <c r="I1047" s="19"/>
      <c r="J1047" s="22"/>
      <c r="K1047" s="18"/>
      <c r="L1047" s="19"/>
      <c r="M1047" s="19"/>
      <c r="N1047" s="20"/>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row>
    <row r="1048" spans="1:45" x14ac:dyDescent="0.3">
      <c r="A1048" s="410" t="s">
        <v>2493</v>
      </c>
      <c r="B1048" s="17"/>
      <c r="C1048" s="19"/>
      <c r="D1048" s="18"/>
      <c r="E1048" s="18"/>
      <c r="F1048" s="19"/>
      <c r="G1048" s="31"/>
      <c r="H1048" s="31"/>
      <c r="I1048" s="19"/>
      <c r="J1048" s="22"/>
      <c r="K1048" s="18"/>
      <c r="L1048" s="19"/>
      <c r="M1048" s="19"/>
      <c r="N1048" s="20"/>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row>
    <row r="1049" spans="1:45" x14ac:dyDescent="0.3">
      <c r="A1049" s="410" t="s">
        <v>2494</v>
      </c>
      <c r="B1049" s="17"/>
      <c r="C1049" s="19"/>
      <c r="D1049" s="18"/>
      <c r="E1049" s="18"/>
      <c r="F1049" s="19"/>
      <c r="G1049" s="31"/>
      <c r="H1049" s="31"/>
      <c r="I1049" s="19"/>
      <c r="J1049" s="22"/>
      <c r="K1049" s="18"/>
      <c r="L1049" s="19"/>
      <c r="M1049" s="19"/>
      <c r="N1049" s="20"/>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row>
    <row r="1050" spans="1:45" x14ac:dyDescent="0.3">
      <c r="A1050" s="410" t="s">
        <v>2495</v>
      </c>
      <c r="B1050" s="17"/>
      <c r="C1050" s="19"/>
      <c r="D1050" s="18"/>
      <c r="E1050" s="18"/>
      <c r="F1050" s="19"/>
      <c r="G1050" s="31"/>
      <c r="H1050" s="31"/>
      <c r="I1050" s="19"/>
      <c r="J1050" s="22"/>
      <c r="K1050" s="18"/>
      <c r="L1050" s="19"/>
      <c r="M1050" s="19"/>
      <c r="N1050" s="20"/>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row>
    <row r="1051" spans="1:45" x14ac:dyDescent="0.3">
      <c r="A1051" s="410" t="s">
        <v>2496</v>
      </c>
      <c r="B1051" s="17"/>
      <c r="C1051" s="19"/>
      <c r="D1051" s="18"/>
      <c r="E1051" s="18"/>
      <c r="F1051" s="19"/>
      <c r="G1051" s="31"/>
      <c r="H1051" s="31"/>
      <c r="I1051" s="19"/>
      <c r="J1051" s="22"/>
      <c r="K1051" s="18"/>
      <c r="L1051" s="19"/>
      <c r="M1051" s="19"/>
      <c r="N1051" s="20"/>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row>
    <row r="1052" spans="1:45" x14ac:dyDescent="0.3">
      <c r="A1052" s="410" t="s">
        <v>2497</v>
      </c>
      <c r="B1052" s="17"/>
      <c r="C1052" s="19"/>
      <c r="D1052" s="18"/>
      <c r="E1052" s="18"/>
      <c r="F1052" s="19"/>
      <c r="G1052" s="31"/>
      <c r="H1052" s="31"/>
      <c r="I1052" s="19"/>
      <c r="J1052" s="22"/>
      <c r="K1052" s="18"/>
      <c r="L1052" s="19"/>
      <c r="M1052" s="19"/>
      <c r="N1052" s="20"/>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row>
    <row r="1053" spans="1:45" x14ac:dyDescent="0.3">
      <c r="A1053" s="410" t="s">
        <v>2498</v>
      </c>
      <c r="B1053" s="17"/>
      <c r="C1053" s="19"/>
      <c r="D1053" s="18"/>
      <c r="E1053" s="18"/>
      <c r="F1053" s="19"/>
      <c r="G1053" s="31"/>
      <c r="H1053" s="31"/>
      <c r="I1053" s="19"/>
      <c r="J1053" s="22"/>
      <c r="K1053" s="18"/>
      <c r="L1053" s="19"/>
      <c r="M1053" s="19"/>
      <c r="N1053" s="20"/>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row>
    <row r="1054" spans="1:45" x14ac:dyDescent="0.3">
      <c r="A1054" s="410"/>
      <c r="B1054" s="17"/>
      <c r="C1054" s="19"/>
      <c r="D1054" s="18"/>
      <c r="E1054" s="18"/>
      <c r="F1054" s="19"/>
      <c r="G1054" s="31"/>
      <c r="H1054" s="31"/>
      <c r="I1054" s="19"/>
      <c r="J1054" s="22"/>
      <c r="K1054" s="18"/>
      <c r="L1054" s="19"/>
      <c r="M1054" s="19"/>
      <c r="N1054" s="20"/>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row>
    <row r="1055" spans="1:45" x14ac:dyDescent="0.3">
      <c r="A1055" s="410" t="s">
        <v>2499</v>
      </c>
      <c r="B1055" s="17"/>
      <c r="C1055" s="19"/>
      <c r="D1055" s="18"/>
      <c r="E1055" s="18"/>
      <c r="F1055" s="23"/>
      <c r="G1055" s="31"/>
      <c r="H1055" s="31"/>
      <c r="I1055" s="19"/>
      <c r="J1055" s="22"/>
      <c r="K1055" s="18"/>
      <c r="L1055" s="19"/>
      <c r="M1055" s="19"/>
      <c r="N1055" s="20"/>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row>
    <row r="1056" spans="1:45" x14ac:dyDescent="0.3">
      <c r="A1056" s="410" t="s">
        <v>2500</v>
      </c>
      <c r="B1056" s="17"/>
      <c r="C1056" s="19"/>
      <c r="D1056" s="18"/>
      <c r="E1056" s="18"/>
      <c r="F1056" s="23"/>
      <c r="G1056" s="31"/>
      <c r="H1056" s="31"/>
      <c r="I1056" s="19"/>
      <c r="J1056" s="22"/>
      <c r="K1056" s="18"/>
      <c r="L1056" s="19"/>
      <c r="M1056" s="19"/>
      <c r="N1056" s="20"/>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row>
    <row r="1057" spans="1:45" x14ac:dyDescent="0.3">
      <c r="A1057" s="410" t="s">
        <v>2501</v>
      </c>
      <c r="B1057" s="17"/>
      <c r="C1057" s="19"/>
      <c r="D1057" s="18"/>
      <c r="E1057" s="18"/>
      <c r="F1057" s="19"/>
      <c r="G1057" s="31"/>
      <c r="H1057" s="31"/>
      <c r="I1057" s="19"/>
      <c r="J1057" s="22"/>
      <c r="K1057" s="18"/>
      <c r="L1057" s="19"/>
      <c r="M1057" s="19"/>
      <c r="N1057" s="20"/>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row>
    <row r="1058" spans="1:45" x14ac:dyDescent="0.3">
      <c r="A1058" s="410" t="s">
        <v>2502</v>
      </c>
      <c r="B1058" s="17"/>
      <c r="C1058" s="19"/>
      <c r="D1058" s="18"/>
      <c r="E1058" s="18"/>
      <c r="F1058" s="19"/>
      <c r="G1058" s="31"/>
      <c r="H1058" s="31"/>
      <c r="I1058" s="19"/>
      <c r="J1058" s="22"/>
      <c r="K1058" s="18"/>
      <c r="L1058" s="19"/>
      <c r="M1058" s="19"/>
      <c r="N1058" s="20"/>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row>
    <row r="1059" spans="1:45" x14ac:dyDescent="0.3">
      <c r="A1059" s="410" t="s">
        <v>2503</v>
      </c>
      <c r="B1059" s="17"/>
      <c r="C1059" s="19"/>
      <c r="D1059" s="18"/>
      <c r="E1059" s="18"/>
      <c r="F1059" s="19"/>
      <c r="G1059" s="31"/>
      <c r="H1059" s="31"/>
      <c r="I1059" s="19"/>
      <c r="J1059" s="22"/>
      <c r="K1059" s="18"/>
      <c r="L1059" s="19"/>
      <c r="M1059" s="19"/>
      <c r="N1059" s="20"/>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row>
    <row r="1060" spans="1:45" x14ac:dyDescent="0.3">
      <c r="A1060" s="410" t="s">
        <v>2504</v>
      </c>
      <c r="B1060" s="17"/>
      <c r="C1060" s="19"/>
      <c r="D1060" s="18"/>
      <c r="E1060" s="18"/>
      <c r="F1060" s="19"/>
      <c r="G1060" s="31"/>
      <c r="H1060" s="31"/>
      <c r="I1060" s="19"/>
      <c r="J1060" s="22"/>
      <c r="K1060" s="18"/>
      <c r="L1060" s="19"/>
      <c r="M1060" s="19"/>
      <c r="N1060" s="20"/>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row>
    <row r="1061" spans="1:45" x14ac:dyDescent="0.3">
      <c r="A1061" s="410" t="s">
        <v>2505</v>
      </c>
      <c r="B1061" s="17"/>
      <c r="C1061" s="19"/>
      <c r="D1061" s="18"/>
      <c r="E1061" s="18"/>
      <c r="F1061" s="19"/>
      <c r="G1061" s="31"/>
      <c r="H1061" s="31"/>
      <c r="I1061" s="19"/>
      <c r="J1061" s="22"/>
      <c r="K1061" s="18"/>
      <c r="L1061" s="19"/>
      <c r="M1061" s="19"/>
      <c r="N1061" s="20"/>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row>
    <row r="1062" spans="1:45" x14ac:dyDescent="0.3">
      <c r="A1062" s="410" t="s">
        <v>2506</v>
      </c>
      <c r="B1062" s="17"/>
      <c r="C1062" s="19"/>
      <c r="D1062" s="18"/>
      <c r="E1062" s="18"/>
      <c r="F1062" s="19"/>
      <c r="G1062" s="31"/>
      <c r="H1062" s="31"/>
      <c r="I1062" s="19"/>
      <c r="J1062" s="22"/>
      <c r="K1062" s="18"/>
      <c r="L1062" s="19"/>
      <c r="M1062" s="19"/>
      <c r="N1062" s="20"/>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row>
    <row r="1063" spans="1:45" x14ac:dyDescent="0.3">
      <c r="A1063" s="410" t="s">
        <v>2507</v>
      </c>
      <c r="B1063" s="17"/>
      <c r="C1063" s="19"/>
      <c r="D1063" s="18"/>
      <c r="E1063" s="18"/>
      <c r="F1063" s="19"/>
      <c r="G1063" s="31"/>
      <c r="H1063" s="31"/>
      <c r="I1063" s="19"/>
      <c r="J1063" s="22"/>
      <c r="K1063" s="18"/>
      <c r="L1063" s="19"/>
      <c r="M1063" s="19"/>
      <c r="N1063" s="20"/>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row>
    <row r="1064" spans="1:45" x14ac:dyDescent="0.3">
      <c r="A1064" s="410" t="s">
        <v>2508</v>
      </c>
      <c r="B1064" s="17"/>
      <c r="C1064" s="19"/>
      <c r="D1064" s="18"/>
      <c r="E1064" s="18"/>
      <c r="F1064" s="19"/>
      <c r="G1064" s="31"/>
      <c r="H1064" s="31"/>
      <c r="I1064" s="19"/>
      <c r="J1064" s="22"/>
      <c r="K1064" s="18"/>
      <c r="L1064" s="19"/>
      <c r="M1064" s="19"/>
      <c r="N1064" s="20"/>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row>
    <row r="1065" spans="1:45" x14ac:dyDescent="0.3">
      <c r="A1065" s="410" t="s">
        <v>2509</v>
      </c>
      <c r="B1065" s="17"/>
      <c r="C1065" s="19"/>
      <c r="D1065" s="18"/>
      <c r="E1065" s="18"/>
      <c r="F1065" s="19"/>
      <c r="G1065" s="31"/>
      <c r="H1065" s="31"/>
      <c r="I1065" s="19"/>
      <c r="J1065" s="22"/>
      <c r="K1065" s="18"/>
      <c r="L1065" s="19"/>
      <c r="M1065" s="19"/>
      <c r="N1065" s="20"/>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row>
    <row r="1066" spans="1:45" x14ac:dyDescent="0.3">
      <c r="A1066" s="410" t="s">
        <v>2510</v>
      </c>
      <c r="B1066" s="17"/>
      <c r="C1066" s="19"/>
      <c r="D1066" s="18"/>
      <c r="E1066" s="18"/>
      <c r="F1066" s="19"/>
      <c r="G1066" s="31"/>
      <c r="H1066" s="31"/>
      <c r="I1066" s="19"/>
      <c r="J1066" s="22"/>
      <c r="K1066" s="18"/>
      <c r="L1066" s="19"/>
      <c r="M1066" s="19"/>
      <c r="N1066" s="20"/>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row>
    <row r="1067" spans="1:45" x14ac:dyDescent="0.3">
      <c r="A1067" s="410" t="s">
        <v>2511</v>
      </c>
      <c r="B1067" s="17"/>
      <c r="C1067" s="19"/>
      <c r="D1067" s="18"/>
      <c r="E1067" s="18"/>
      <c r="F1067" s="19"/>
      <c r="G1067" s="31"/>
      <c r="H1067" s="31"/>
      <c r="I1067" s="19"/>
      <c r="J1067" s="22"/>
      <c r="K1067" s="18"/>
      <c r="L1067" s="19"/>
      <c r="M1067" s="19"/>
      <c r="N1067" s="20"/>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row>
    <row r="1068" spans="1:45" x14ac:dyDescent="0.3">
      <c r="A1068" s="410" t="s">
        <v>2512</v>
      </c>
      <c r="B1068" s="17"/>
      <c r="C1068" s="19"/>
      <c r="D1068" s="18"/>
      <c r="E1068" s="18"/>
      <c r="F1068" s="19"/>
      <c r="G1068" s="31"/>
      <c r="H1068" s="31"/>
      <c r="I1068" s="19"/>
      <c r="J1068" s="22"/>
      <c r="K1068" s="18"/>
      <c r="L1068" s="19"/>
      <c r="M1068" s="19"/>
      <c r="N1068" s="20"/>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row>
    <row r="1069" spans="1:45" x14ac:dyDescent="0.3">
      <c r="A1069" s="410" t="s">
        <v>2513</v>
      </c>
      <c r="B1069" s="17"/>
      <c r="C1069" s="19"/>
      <c r="D1069" s="18"/>
      <c r="E1069" s="18"/>
      <c r="F1069" s="19"/>
      <c r="G1069" s="31"/>
      <c r="H1069" s="31"/>
      <c r="I1069" s="19"/>
      <c r="J1069" s="22"/>
      <c r="K1069" s="18"/>
      <c r="L1069" s="19"/>
      <c r="M1069" s="19"/>
      <c r="N1069" s="20"/>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row>
    <row r="1070" spans="1:45" x14ac:dyDescent="0.3">
      <c r="A1070" s="410" t="s">
        <v>2514</v>
      </c>
      <c r="B1070" s="17"/>
      <c r="C1070" s="19"/>
      <c r="D1070" s="18"/>
      <c r="E1070" s="18"/>
      <c r="F1070" s="19"/>
      <c r="G1070" s="31"/>
      <c r="H1070" s="31"/>
      <c r="I1070" s="19"/>
      <c r="J1070" s="22"/>
      <c r="K1070" s="18"/>
      <c r="L1070" s="19"/>
      <c r="M1070" s="19"/>
      <c r="N1070" s="20"/>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row>
    <row r="1071" spans="1:45" x14ac:dyDescent="0.3">
      <c r="A1071" s="410" t="s">
        <v>2515</v>
      </c>
      <c r="B1071" s="17"/>
      <c r="C1071" s="19"/>
      <c r="D1071" s="18"/>
      <c r="E1071" s="18"/>
      <c r="F1071" s="19"/>
      <c r="G1071" s="31"/>
      <c r="H1071" s="31"/>
      <c r="I1071" s="19"/>
      <c r="J1071" s="22"/>
      <c r="K1071" s="18"/>
      <c r="L1071" s="19"/>
      <c r="M1071" s="19"/>
      <c r="N1071" s="20"/>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row>
    <row r="1072" spans="1:45" x14ac:dyDescent="0.3">
      <c r="A1072" s="410" t="s">
        <v>2516</v>
      </c>
      <c r="B1072" s="17"/>
      <c r="C1072" s="19"/>
      <c r="D1072" s="18"/>
      <c r="E1072" s="18"/>
      <c r="F1072" s="19"/>
      <c r="G1072" s="31"/>
      <c r="H1072" s="31"/>
      <c r="I1072" s="19"/>
      <c r="J1072" s="22"/>
      <c r="K1072" s="18"/>
      <c r="L1072" s="19"/>
      <c r="M1072" s="19"/>
      <c r="N1072" s="20"/>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row>
    <row r="1073" spans="1:45" x14ac:dyDescent="0.3">
      <c r="A1073" s="410" t="s">
        <v>2517</v>
      </c>
      <c r="B1073" s="17"/>
      <c r="C1073" s="19"/>
      <c r="D1073" s="18"/>
      <c r="E1073" s="18"/>
      <c r="F1073" s="19"/>
      <c r="G1073" s="31"/>
      <c r="H1073" s="31"/>
      <c r="I1073" s="19"/>
      <c r="J1073" s="22"/>
      <c r="K1073" s="18"/>
      <c r="L1073" s="19"/>
      <c r="M1073" s="19"/>
      <c r="N1073" s="20"/>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row>
    <row r="1074" spans="1:45" x14ac:dyDescent="0.3">
      <c r="A1074" s="410" t="s">
        <v>2518</v>
      </c>
      <c r="B1074" s="17"/>
      <c r="C1074" s="19"/>
      <c r="D1074" s="18"/>
      <c r="E1074" s="18"/>
      <c r="F1074" s="19"/>
      <c r="G1074" s="31"/>
      <c r="H1074" s="31"/>
      <c r="I1074" s="19"/>
      <c r="J1074" s="22"/>
      <c r="K1074" s="18"/>
      <c r="L1074" s="19"/>
      <c r="M1074" s="19"/>
      <c r="N1074" s="20"/>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row>
    <row r="1075" spans="1:45" x14ac:dyDescent="0.3">
      <c r="A1075" s="410" t="s">
        <v>2519</v>
      </c>
      <c r="B1075" s="17"/>
      <c r="C1075" s="19"/>
      <c r="D1075" s="18"/>
      <c r="E1075" s="18"/>
      <c r="F1075" s="19"/>
      <c r="G1075" s="31"/>
      <c r="H1075" s="31"/>
      <c r="I1075" s="19"/>
      <c r="J1075" s="22"/>
      <c r="K1075" s="18"/>
      <c r="L1075" s="19"/>
      <c r="M1075" s="19"/>
      <c r="N1075" s="20"/>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row>
    <row r="1076" spans="1:45" x14ac:dyDescent="0.3">
      <c r="A1076" s="410" t="s">
        <v>2520</v>
      </c>
      <c r="B1076" s="17"/>
      <c r="C1076" s="19"/>
      <c r="D1076" s="18"/>
      <c r="E1076" s="18"/>
      <c r="F1076" s="19"/>
      <c r="G1076" s="31"/>
      <c r="H1076" s="31"/>
      <c r="I1076" s="19"/>
      <c r="J1076" s="22"/>
      <c r="K1076" s="18"/>
      <c r="L1076" s="19"/>
      <c r="M1076" s="19"/>
      <c r="N1076" s="20"/>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row>
    <row r="1077" spans="1:45" x14ac:dyDescent="0.3">
      <c r="A1077" s="410" t="s">
        <v>2521</v>
      </c>
      <c r="B1077" s="17"/>
      <c r="C1077" s="19"/>
      <c r="D1077" s="18"/>
      <c r="E1077" s="18"/>
      <c r="F1077" s="19"/>
      <c r="G1077" s="31"/>
      <c r="H1077" s="31"/>
      <c r="I1077" s="19"/>
      <c r="J1077" s="22"/>
      <c r="K1077" s="18"/>
      <c r="L1077" s="19"/>
      <c r="M1077" s="19"/>
      <c r="N1077" s="20"/>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row>
    <row r="1078" spans="1:45" x14ac:dyDescent="0.3">
      <c r="A1078" s="410" t="s">
        <v>2522</v>
      </c>
      <c r="B1078" s="17"/>
      <c r="C1078" s="19"/>
      <c r="D1078" s="18"/>
      <c r="E1078" s="18"/>
      <c r="F1078" s="19"/>
      <c r="G1078" s="31"/>
      <c r="H1078" s="31"/>
      <c r="I1078" s="19"/>
      <c r="J1078" s="22"/>
      <c r="K1078" s="18"/>
      <c r="L1078" s="19"/>
      <c r="M1078" s="19"/>
      <c r="N1078" s="20"/>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row>
    <row r="1079" spans="1:45" x14ac:dyDescent="0.3">
      <c r="A1079" s="410" t="s">
        <v>2523</v>
      </c>
      <c r="B1079" s="17"/>
      <c r="C1079" s="19"/>
      <c r="D1079" s="18"/>
      <c r="E1079" s="18"/>
      <c r="F1079" s="19"/>
      <c r="G1079" s="31"/>
      <c r="H1079" s="31"/>
      <c r="I1079" s="19"/>
      <c r="J1079" s="22"/>
      <c r="K1079" s="18"/>
      <c r="L1079" s="19"/>
      <c r="M1079" s="19"/>
      <c r="N1079" s="20"/>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row>
    <row r="1080" spans="1:45" x14ac:dyDescent="0.3">
      <c r="A1080" s="410" t="s">
        <v>2524</v>
      </c>
      <c r="B1080" s="17"/>
      <c r="C1080" s="19"/>
      <c r="D1080" s="18"/>
      <c r="E1080" s="18"/>
      <c r="F1080" s="19"/>
      <c r="G1080" s="31"/>
      <c r="H1080" s="31"/>
      <c r="I1080" s="19"/>
      <c r="J1080" s="22"/>
      <c r="K1080" s="18"/>
      <c r="L1080" s="19"/>
      <c r="M1080" s="19"/>
      <c r="N1080" s="20"/>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row>
    <row r="1081" spans="1:45" x14ac:dyDescent="0.3">
      <c r="A1081" s="410" t="s">
        <v>2525</v>
      </c>
      <c r="B1081" s="17"/>
      <c r="C1081" s="19"/>
      <c r="D1081" s="18"/>
      <c r="E1081" s="18"/>
      <c r="F1081" s="19"/>
      <c r="G1081" s="31"/>
      <c r="H1081" s="31"/>
      <c r="I1081" s="19"/>
      <c r="J1081" s="22"/>
      <c r="K1081" s="18"/>
      <c r="L1081" s="19"/>
      <c r="M1081" s="19"/>
      <c r="N1081" s="20"/>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row>
    <row r="1082" spans="1:45" x14ac:dyDescent="0.3">
      <c r="A1082" s="410" t="s">
        <v>2526</v>
      </c>
      <c r="B1082" s="17"/>
      <c r="C1082" s="19"/>
      <c r="D1082" s="18"/>
      <c r="E1082" s="18"/>
      <c r="F1082" s="19"/>
      <c r="G1082" s="31"/>
      <c r="H1082" s="31"/>
      <c r="I1082" s="19"/>
      <c r="J1082" s="22"/>
      <c r="K1082" s="18"/>
      <c r="L1082" s="19"/>
      <c r="M1082" s="19"/>
      <c r="N1082" s="20"/>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row>
    <row r="1083" spans="1:45" x14ac:dyDescent="0.3">
      <c r="A1083" s="410" t="s">
        <v>2527</v>
      </c>
      <c r="B1083" s="17"/>
      <c r="C1083" s="19"/>
      <c r="D1083" s="18"/>
      <c r="E1083" s="18"/>
      <c r="F1083" s="19"/>
      <c r="G1083" s="31"/>
      <c r="H1083" s="31"/>
      <c r="I1083" s="19"/>
      <c r="J1083" s="22"/>
      <c r="K1083" s="18"/>
      <c r="L1083" s="19"/>
      <c r="M1083" s="19"/>
      <c r="N1083" s="20"/>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row>
    <row r="1084" spans="1:45" x14ac:dyDescent="0.3">
      <c r="A1084" s="410" t="s">
        <v>2528</v>
      </c>
      <c r="B1084" s="17"/>
      <c r="C1084" s="19"/>
      <c r="D1084" s="18"/>
      <c r="E1084" s="18"/>
      <c r="F1084" s="19"/>
      <c r="G1084" s="31"/>
      <c r="H1084" s="31"/>
      <c r="I1084" s="19"/>
      <c r="J1084" s="22"/>
      <c r="K1084" s="18"/>
      <c r="L1084" s="19"/>
      <c r="M1084" s="19"/>
      <c r="N1084" s="20"/>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row>
    <row r="1085" spans="1:45" x14ac:dyDescent="0.3">
      <c r="A1085" s="410" t="s">
        <v>2529</v>
      </c>
      <c r="B1085" s="17"/>
      <c r="C1085" s="19"/>
      <c r="D1085" s="18"/>
      <c r="E1085" s="18"/>
      <c r="F1085" s="19"/>
      <c r="G1085" s="31"/>
      <c r="H1085" s="31"/>
      <c r="I1085" s="19"/>
      <c r="J1085" s="22"/>
      <c r="K1085" s="18"/>
      <c r="L1085" s="19"/>
      <c r="M1085" s="19"/>
      <c r="N1085" s="20"/>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row>
    <row r="1086" spans="1:45" x14ac:dyDescent="0.3">
      <c r="A1086" s="410" t="s">
        <v>2530</v>
      </c>
      <c r="B1086" s="17"/>
      <c r="C1086" s="19"/>
      <c r="D1086" s="18"/>
      <c r="E1086" s="18"/>
      <c r="F1086" s="19"/>
      <c r="G1086" s="31"/>
      <c r="H1086" s="31"/>
      <c r="I1086" s="19"/>
      <c r="J1086" s="22"/>
      <c r="K1086" s="18"/>
      <c r="L1086" s="19"/>
      <c r="M1086" s="19"/>
      <c r="N1086" s="20"/>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row>
    <row r="1087" spans="1:45" x14ac:dyDescent="0.3">
      <c r="A1087" s="410" t="s">
        <v>2531</v>
      </c>
      <c r="B1087" s="17"/>
      <c r="C1087" s="19"/>
      <c r="D1087" s="18"/>
      <c r="E1087" s="18"/>
      <c r="F1087" s="19"/>
      <c r="G1087" s="31"/>
      <c r="H1087" s="31"/>
      <c r="I1087" s="19"/>
      <c r="J1087" s="22"/>
      <c r="K1087" s="18"/>
      <c r="L1087" s="19"/>
      <c r="M1087" s="19"/>
      <c r="N1087" s="20"/>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row>
    <row r="1088" spans="1:45" x14ac:dyDescent="0.3">
      <c r="A1088" s="410" t="s">
        <v>2532</v>
      </c>
      <c r="B1088" s="17"/>
      <c r="C1088" s="19"/>
      <c r="D1088" s="18"/>
      <c r="E1088" s="18"/>
      <c r="F1088" s="19"/>
      <c r="G1088" s="31"/>
      <c r="H1088" s="31"/>
      <c r="I1088" s="19"/>
      <c r="J1088" s="22"/>
      <c r="K1088" s="18"/>
      <c r="L1088" s="19"/>
      <c r="M1088" s="19"/>
      <c r="N1088" s="20"/>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row>
    <row r="1089" spans="1:45" x14ac:dyDescent="0.3">
      <c r="A1089" s="410" t="s">
        <v>2533</v>
      </c>
      <c r="B1089" s="17"/>
      <c r="C1089" s="19"/>
      <c r="D1089" s="18"/>
      <c r="E1089" s="18"/>
      <c r="F1089" s="19"/>
      <c r="G1089" s="31"/>
      <c r="H1089" s="31"/>
      <c r="I1089" s="19"/>
      <c r="J1089" s="22"/>
      <c r="K1089" s="18"/>
      <c r="L1089" s="19"/>
      <c r="M1089" s="19"/>
      <c r="N1089" s="20"/>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row>
    <row r="1090" spans="1:45" x14ac:dyDescent="0.3">
      <c r="A1090" s="410" t="s">
        <v>2534</v>
      </c>
      <c r="B1090" s="17"/>
      <c r="C1090" s="19"/>
      <c r="D1090" s="18"/>
      <c r="E1090" s="18"/>
      <c r="F1090" s="19"/>
      <c r="G1090" s="31"/>
      <c r="H1090" s="31"/>
      <c r="I1090" s="19"/>
      <c r="J1090" s="22"/>
      <c r="K1090" s="18"/>
      <c r="L1090" s="19"/>
      <c r="M1090" s="19"/>
      <c r="N1090" s="20"/>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row>
    <row r="1091" spans="1:45" x14ac:dyDescent="0.3">
      <c r="A1091" s="410" t="s">
        <v>2535</v>
      </c>
      <c r="B1091" s="17"/>
      <c r="C1091" s="19"/>
      <c r="D1091" s="18"/>
      <c r="E1091" s="18"/>
      <c r="F1091" s="19"/>
      <c r="G1091" s="31"/>
      <c r="H1091" s="31"/>
      <c r="I1091" s="19"/>
      <c r="J1091" s="22"/>
      <c r="K1091" s="18"/>
      <c r="L1091" s="19"/>
      <c r="M1091" s="19"/>
      <c r="N1091" s="20"/>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row>
    <row r="1092" spans="1:45" x14ac:dyDescent="0.3">
      <c r="A1092" s="410" t="s">
        <v>2536</v>
      </c>
      <c r="B1092" s="17"/>
      <c r="C1092" s="19"/>
      <c r="D1092" s="18"/>
      <c r="E1092" s="18"/>
      <c r="F1092" s="19"/>
      <c r="G1092" s="31"/>
      <c r="H1092" s="31"/>
      <c r="I1092" s="19"/>
      <c r="J1092" s="22"/>
      <c r="K1092" s="18"/>
      <c r="L1092" s="19"/>
      <c r="M1092" s="19"/>
      <c r="N1092" s="20"/>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row>
    <row r="1093" spans="1:45" x14ac:dyDescent="0.3">
      <c r="A1093" s="410" t="s">
        <v>2537</v>
      </c>
      <c r="B1093" s="17"/>
      <c r="C1093" s="19"/>
      <c r="D1093" s="18"/>
      <c r="E1093" s="18"/>
      <c r="F1093" s="19"/>
      <c r="G1093" s="31"/>
      <c r="H1093" s="31"/>
      <c r="I1093" s="19"/>
      <c r="J1093" s="22"/>
      <c r="K1093" s="18"/>
      <c r="L1093" s="19"/>
      <c r="M1093" s="19"/>
      <c r="N1093" s="20"/>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row>
    <row r="1094" spans="1:45" x14ac:dyDescent="0.3">
      <c r="A1094" s="410" t="s">
        <v>2538</v>
      </c>
      <c r="B1094" s="17"/>
      <c r="C1094" s="19"/>
      <c r="D1094" s="18"/>
      <c r="E1094" s="18"/>
      <c r="F1094" s="19"/>
      <c r="G1094" s="31"/>
      <c r="H1094" s="31"/>
      <c r="I1094" s="19"/>
      <c r="J1094" s="22"/>
      <c r="K1094" s="18"/>
      <c r="L1094" s="19"/>
      <c r="M1094" s="19"/>
      <c r="N1094" s="20"/>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row>
    <row r="1095" spans="1:45" x14ac:dyDescent="0.3">
      <c r="A1095" s="410" t="s">
        <v>2539</v>
      </c>
      <c r="B1095" s="17"/>
      <c r="C1095" s="19"/>
      <c r="D1095" s="18"/>
      <c r="E1095" s="18"/>
      <c r="F1095" s="19"/>
      <c r="G1095" s="31"/>
      <c r="H1095" s="31"/>
      <c r="I1095" s="19"/>
      <c r="J1095" s="22"/>
      <c r="K1095" s="18"/>
      <c r="L1095" s="19"/>
      <c r="M1095" s="19"/>
      <c r="N1095" s="20"/>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row>
    <row r="1096" spans="1:45" x14ac:dyDescent="0.3">
      <c r="A1096" s="410" t="s">
        <v>2540</v>
      </c>
      <c r="B1096" s="17"/>
      <c r="C1096" s="19"/>
      <c r="D1096" s="18"/>
      <c r="E1096" s="18"/>
      <c r="F1096" s="19"/>
      <c r="G1096" s="31"/>
      <c r="H1096" s="31"/>
      <c r="I1096" s="19"/>
      <c r="J1096" s="22"/>
      <c r="K1096" s="18"/>
      <c r="L1096" s="19"/>
      <c r="M1096" s="19"/>
      <c r="N1096" s="20"/>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row>
    <row r="1097" spans="1:45" x14ac:dyDescent="0.3">
      <c r="A1097" s="410" t="s">
        <v>2541</v>
      </c>
      <c r="B1097" s="17"/>
      <c r="C1097" s="19"/>
      <c r="D1097" s="18"/>
      <c r="E1097" s="18"/>
      <c r="F1097" s="19"/>
      <c r="G1097" s="31"/>
      <c r="H1097" s="31"/>
      <c r="I1097" s="19"/>
      <c r="J1097" s="22"/>
      <c r="K1097" s="18"/>
      <c r="L1097" s="19"/>
      <c r="M1097" s="19"/>
      <c r="N1097" s="20"/>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row>
    <row r="1098" spans="1:45" x14ac:dyDescent="0.3">
      <c r="A1098" s="410" t="s">
        <v>2542</v>
      </c>
      <c r="B1098" s="17"/>
      <c r="C1098" s="19"/>
      <c r="D1098" s="18"/>
      <c r="E1098" s="18"/>
      <c r="F1098" s="19"/>
      <c r="G1098" s="31"/>
      <c r="H1098" s="31"/>
      <c r="I1098" s="19"/>
      <c r="J1098" s="22"/>
      <c r="K1098" s="18"/>
      <c r="L1098" s="19"/>
      <c r="M1098" s="19"/>
      <c r="N1098" s="20"/>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row>
    <row r="1099" spans="1:45" x14ac:dyDescent="0.3">
      <c r="A1099" s="410" t="s">
        <v>2543</v>
      </c>
      <c r="B1099" s="17"/>
      <c r="C1099" s="19"/>
      <c r="D1099" s="18"/>
      <c r="E1099" s="18"/>
      <c r="F1099" s="19"/>
      <c r="G1099" s="31"/>
      <c r="H1099" s="31"/>
      <c r="I1099" s="19"/>
      <c r="J1099" s="22"/>
      <c r="K1099" s="18"/>
      <c r="L1099" s="19"/>
      <c r="M1099" s="19"/>
      <c r="N1099" s="20"/>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row>
    <row r="1100" spans="1:45" x14ac:dyDescent="0.3">
      <c r="A1100" s="410" t="s">
        <v>2544</v>
      </c>
      <c r="B1100" s="17"/>
      <c r="C1100" s="19"/>
      <c r="D1100" s="18"/>
      <c r="E1100" s="18"/>
      <c r="F1100" s="19"/>
      <c r="G1100" s="31"/>
      <c r="H1100" s="31"/>
      <c r="I1100" s="19"/>
      <c r="J1100" s="22"/>
      <c r="K1100" s="18"/>
      <c r="L1100" s="19"/>
      <c r="M1100" s="19"/>
      <c r="N1100" s="20"/>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row>
    <row r="1101" spans="1:45" x14ac:dyDescent="0.3">
      <c r="A1101" s="410" t="s">
        <v>2545</v>
      </c>
      <c r="B1101" s="17"/>
      <c r="C1101" s="19"/>
      <c r="D1101" s="18"/>
      <c r="E1101" s="18"/>
      <c r="F1101" s="19"/>
      <c r="G1101" s="31"/>
      <c r="H1101" s="31"/>
      <c r="I1101" s="19"/>
      <c r="J1101" s="22"/>
      <c r="K1101" s="18"/>
      <c r="L1101" s="19"/>
      <c r="M1101" s="19"/>
      <c r="N1101" s="20"/>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row>
    <row r="1102" spans="1:45" x14ac:dyDescent="0.3">
      <c r="A1102" s="410" t="s">
        <v>2546</v>
      </c>
      <c r="B1102" s="17"/>
      <c r="C1102" s="19"/>
      <c r="D1102" s="18"/>
      <c r="E1102" s="18"/>
      <c r="F1102" s="19"/>
      <c r="G1102" s="31"/>
      <c r="H1102" s="31"/>
      <c r="I1102" s="19"/>
      <c r="J1102" s="22"/>
      <c r="K1102" s="18"/>
      <c r="L1102" s="19"/>
      <c r="M1102" s="19"/>
      <c r="N1102" s="20"/>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row>
    <row r="1103" spans="1:45" x14ac:dyDescent="0.3">
      <c r="A1103" s="410" t="s">
        <v>2547</v>
      </c>
      <c r="B1103" s="17"/>
      <c r="C1103" s="19"/>
      <c r="D1103" s="18"/>
      <c r="E1103" s="18"/>
      <c r="F1103" s="19"/>
      <c r="G1103" s="31"/>
      <c r="H1103" s="31"/>
      <c r="I1103" s="19"/>
      <c r="J1103" s="22"/>
      <c r="K1103" s="18"/>
      <c r="L1103" s="19"/>
      <c r="M1103" s="19"/>
      <c r="N1103" s="20"/>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row>
    <row r="1104" spans="1:45" x14ac:dyDescent="0.3">
      <c r="A1104" s="410" t="s">
        <v>2548</v>
      </c>
      <c r="B1104" s="17"/>
      <c r="C1104" s="19"/>
      <c r="D1104" s="18"/>
      <c r="E1104" s="18"/>
      <c r="F1104" s="19"/>
      <c r="G1104" s="31"/>
      <c r="H1104" s="31"/>
      <c r="I1104" s="19"/>
      <c r="J1104" s="22"/>
      <c r="K1104" s="18"/>
      <c r="L1104" s="19"/>
      <c r="M1104" s="19"/>
      <c r="N1104" s="20"/>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row>
    <row r="1105" spans="1:45" x14ac:dyDescent="0.3">
      <c r="A1105" s="410" t="s">
        <v>2549</v>
      </c>
      <c r="B1105" s="17"/>
      <c r="C1105" s="19"/>
      <c r="D1105" s="18"/>
      <c r="E1105" s="18"/>
      <c r="F1105" s="19"/>
      <c r="G1105" s="31"/>
      <c r="H1105" s="31"/>
      <c r="I1105" s="19"/>
      <c r="J1105" s="22"/>
      <c r="K1105" s="18"/>
      <c r="L1105" s="19"/>
      <c r="M1105" s="19"/>
      <c r="N1105" s="20"/>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row>
    <row r="1106" spans="1:45" x14ac:dyDescent="0.3">
      <c r="A1106" s="410" t="s">
        <v>2550</v>
      </c>
      <c r="B1106" s="17"/>
      <c r="C1106" s="19"/>
      <c r="D1106" s="18"/>
      <c r="E1106" s="18"/>
      <c r="F1106" s="19"/>
      <c r="G1106" s="31"/>
      <c r="H1106" s="31"/>
      <c r="I1106" s="19"/>
      <c r="J1106" s="22"/>
      <c r="K1106" s="18"/>
      <c r="L1106" s="19"/>
      <c r="M1106" s="19"/>
      <c r="N1106" s="20"/>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row>
    <row r="1107" spans="1:45" x14ac:dyDescent="0.3">
      <c r="A1107" s="410" t="s">
        <v>2551</v>
      </c>
      <c r="B1107" s="17"/>
      <c r="C1107" s="19"/>
      <c r="D1107" s="18"/>
      <c r="E1107" s="18"/>
      <c r="F1107" s="19"/>
      <c r="G1107" s="31"/>
      <c r="H1107" s="31"/>
      <c r="I1107" s="19"/>
      <c r="J1107" s="22"/>
      <c r="K1107" s="18"/>
      <c r="L1107" s="19"/>
      <c r="M1107" s="19"/>
      <c r="N1107" s="20"/>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row>
    <row r="1108" spans="1:45" x14ac:dyDescent="0.3">
      <c r="A1108" s="410" t="s">
        <v>2552</v>
      </c>
      <c r="B1108" s="17"/>
      <c r="C1108" s="19"/>
      <c r="D1108" s="18"/>
      <c r="E1108" s="18"/>
      <c r="F1108" s="19"/>
      <c r="G1108" s="31"/>
      <c r="H1108" s="31"/>
      <c r="I1108" s="19"/>
      <c r="J1108" s="22"/>
      <c r="K1108" s="18"/>
      <c r="L1108" s="19"/>
      <c r="M1108" s="19"/>
      <c r="N1108" s="20"/>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row>
    <row r="1109" spans="1:45" x14ac:dyDescent="0.3">
      <c r="A1109" s="410" t="s">
        <v>2553</v>
      </c>
      <c r="B1109" s="17"/>
      <c r="C1109" s="19"/>
      <c r="D1109" s="18"/>
      <c r="E1109" s="18"/>
      <c r="F1109" s="19"/>
      <c r="G1109" s="31"/>
      <c r="H1109" s="31"/>
      <c r="I1109" s="19"/>
      <c r="J1109" s="22"/>
      <c r="K1109" s="18"/>
      <c r="L1109" s="19"/>
      <c r="M1109" s="19"/>
      <c r="N1109" s="20"/>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row>
    <row r="1110" spans="1:45" x14ac:dyDescent="0.3">
      <c r="A1110" s="410" t="s">
        <v>2554</v>
      </c>
      <c r="B1110" s="17"/>
      <c r="C1110" s="19"/>
      <c r="D1110" s="18"/>
      <c r="E1110" s="18"/>
      <c r="F1110" s="19"/>
      <c r="G1110" s="31"/>
      <c r="H1110" s="31"/>
      <c r="I1110" s="19"/>
      <c r="J1110" s="22"/>
      <c r="K1110" s="18"/>
      <c r="L1110" s="19"/>
      <c r="M1110" s="19"/>
      <c r="N1110" s="20"/>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row>
    <row r="1111" spans="1:45" x14ac:dyDescent="0.3">
      <c r="A1111" s="410" t="s">
        <v>2555</v>
      </c>
      <c r="B1111" s="17"/>
      <c r="C1111" s="19"/>
      <c r="D1111" s="18"/>
      <c r="E1111" s="18"/>
      <c r="F1111" s="19"/>
      <c r="G1111" s="31"/>
      <c r="H1111" s="31"/>
      <c r="I1111" s="19"/>
      <c r="J1111" s="22"/>
      <c r="K1111" s="18"/>
      <c r="L1111" s="19"/>
      <c r="M1111" s="19"/>
      <c r="N1111" s="20"/>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row>
    <row r="1112" spans="1:45" x14ac:dyDescent="0.3">
      <c r="A1112" s="410" t="s">
        <v>2556</v>
      </c>
      <c r="B1112" s="17"/>
      <c r="C1112" s="19"/>
      <c r="D1112" s="18"/>
      <c r="E1112" s="18"/>
      <c r="F1112" s="19"/>
      <c r="G1112" s="31"/>
      <c r="H1112" s="31"/>
      <c r="I1112" s="19"/>
      <c r="J1112" s="22"/>
      <c r="K1112" s="18"/>
      <c r="L1112" s="19"/>
      <c r="M1112" s="19"/>
      <c r="N1112" s="20"/>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row>
    <row r="1113" spans="1:45" x14ac:dyDescent="0.3">
      <c r="A1113" s="410" t="s">
        <v>2557</v>
      </c>
      <c r="B1113" s="17"/>
      <c r="C1113" s="19"/>
      <c r="D1113" s="18"/>
      <c r="E1113" s="18"/>
      <c r="F1113" s="19"/>
      <c r="G1113" s="31"/>
      <c r="H1113" s="31"/>
      <c r="I1113" s="19"/>
      <c r="J1113" s="22"/>
      <c r="K1113" s="18"/>
      <c r="L1113" s="19"/>
      <c r="M1113" s="19"/>
      <c r="N1113" s="20"/>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row>
    <row r="1114" spans="1:45" x14ac:dyDescent="0.3">
      <c r="A1114" s="410" t="s">
        <v>2558</v>
      </c>
      <c r="B1114" s="17"/>
      <c r="C1114" s="19"/>
      <c r="D1114" s="18"/>
      <c r="E1114" s="18"/>
      <c r="F1114" s="19"/>
      <c r="G1114" s="31"/>
      <c r="H1114" s="31"/>
      <c r="I1114" s="19"/>
      <c r="J1114" s="22"/>
      <c r="K1114" s="18"/>
      <c r="L1114" s="19"/>
      <c r="M1114" s="19"/>
      <c r="N1114" s="20"/>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row>
    <row r="1115" spans="1:45" x14ac:dyDescent="0.3">
      <c r="A1115" s="410" t="s">
        <v>2559</v>
      </c>
      <c r="B1115" s="17"/>
      <c r="C1115" s="19"/>
      <c r="D1115" s="18"/>
      <c r="E1115" s="18"/>
      <c r="F1115" s="19"/>
      <c r="G1115" s="31"/>
      <c r="H1115" s="31"/>
      <c r="I1115" s="19"/>
      <c r="J1115" s="22"/>
      <c r="K1115" s="18"/>
      <c r="L1115" s="19"/>
      <c r="M1115" s="19"/>
      <c r="N1115" s="20"/>
      <c r="O1115" s="19"/>
      <c r="P1115" s="19"/>
      <c r="Q1115" s="19"/>
      <c r="R1115" s="19"/>
      <c r="S1115" s="19"/>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row>
    <row r="1116" spans="1:45" x14ac:dyDescent="0.3">
      <c r="A1116" s="410" t="s">
        <v>2560</v>
      </c>
      <c r="B1116" s="17"/>
      <c r="C1116" s="19"/>
      <c r="D1116" s="18"/>
      <c r="E1116" s="18"/>
      <c r="F1116" s="19"/>
      <c r="G1116" s="31"/>
      <c r="H1116" s="31"/>
      <c r="I1116" s="19"/>
      <c r="J1116" s="22"/>
      <c r="K1116" s="18"/>
      <c r="L1116" s="19"/>
      <c r="M1116" s="19"/>
      <c r="N1116" s="20"/>
      <c r="O1116" s="19"/>
      <c r="P1116" s="19"/>
      <c r="Q1116" s="19"/>
      <c r="R1116" s="19"/>
      <c r="S1116" s="19"/>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row>
    <row r="1117" spans="1:45" x14ac:dyDescent="0.3">
      <c r="A1117" s="410" t="s">
        <v>2561</v>
      </c>
      <c r="B1117" s="17"/>
      <c r="C1117" s="19"/>
      <c r="D1117" s="18"/>
      <c r="E1117" s="18"/>
      <c r="F1117" s="19"/>
      <c r="G1117" s="31"/>
      <c r="H1117" s="31"/>
      <c r="I1117" s="19"/>
      <c r="J1117" s="22"/>
      <c r="K1117" s="18"/>
      <c r="L1117" s="19"/>
      <c r="M1117" s="19"/>
      <c r="N1117" s="20"/>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row>
    <row r="1118" spans="1:45" x14ac:dyDescent="0.3">
      <c r="A1118" s="410" t="s">
        <v>2562</v>
      </c>
      <c r="B1118" s="17"/>
      <c r="C1118" s="19"/>
      <c r="D1118" s="18"/>
      <c r="E1118" s="18"/>
      <c r="F1118" s="19"/>
      <c r="G1118" s="31"/>
      <c r="H1118" s="31"/>
      <c r="I1118" s="19"/>
      <c r="J1118" s="22"/>
      <c r="K1118" s="18"/>
      <c r="L1118" s="19"/>
      <c r="M1118" s="19"/>
      <c r="N1118" s="20"/>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row>
    <row r="1119" spans="1:45" x14ac:dyDescent="0.3">
      <c r="A1119" s="410" t="s">
        <v>2563</v>
      </c>
      <c r="B1119" s="17"/>
      <c r="C1119" s="19"/>
      <c r="D1119" s="18"/>
      <c r="E1119" s="18"/>
      <c r="F1119" s="19"/>
      <c r="G1119" s="31"/>
      <c r="H1119" s="31"/>
      <c r="I1119" s="19"/>
      <c r="J1119" s="22"/>
      <c r="K1119" s="18"/>
      <c r="L1119" s="19"/>
      <c r="M1119" s="19"/>
      <c r="N1119" s="20"/>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row>
    <row r="1120" spans="1:45" x14ac:dyDescent="0.3">
      <c r="A1120" s="410" t="s">
        <v>2564</v>
      </c>
      <c r="B1120" s="17"/>
      <c r="C1120" s="19"/>
      <c r="D1120" s="18"/>
      <c r="E1120" s="18"/>
      <c r="F1120" s="19"/>
      <c r="G1120" s="31"/>
      <c r="H1120" s="31"/>
      <c r="I1120" s="19"/>
      <c r="J1120" s="22"/>
      <c r="K1120" s="18"/>
      <c r="L1120" s="19"/>
      <c r="M1120" s="19"/>
      <c r="N1120" s="20"/>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row>
    <row r="1121" spans="1:45" x14ac:dyDescent="0.3">
      <c r="A1121" s="410" t="s">
        <v>2565</v>
      </c>
      <c r="B1121" s="17"/>
      <c r="C1121" s="19"/>
      <c r="D1121" s="18"/>
      <c r="E1121" s="18"/>
      <c r="F1121" s="19"/>
      <c r="G1121" s="31"/>
      <c r="H1121" s="31"/>
      <c r="I1121" s="19"/>
      <c r="J1121" s="22"/>
      <c r="K1121" s="18"/>
      <c r="L1121" s="19"/>
      <c r="M1121" s="19"/>
      <c r="N1121" s="20"/>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row>
    <row r="1122" spans="1:45" x14ac:dyDescent="0.3">
      <c r="A1122" s="410" t="s">
        <v>2566</v>
      </c>
      <c r="B1122" s="17"/>
      <c r="C1122" s="19"/>
      <c r="D1122" s="18"/>
      <c r="E1122" s="18"/>
      <c r="F1122" s="19"/>
      <c r="G1122" s="31"/>
      <c r="H1122" s="31"/>
      <c r="I1122" s="19"/>
      <c r="J1122" s="22"/>
      <c r="K1122" s="18"/>
      <c r="L1122" s="19"/>
      <c r="M1122" s="19"/>
      <c r="N1122" s="20"/>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row>
    <row r="1123" spans="1:45" x14ac:dyDescent="0.3">
      <c r="A1123" s="410" t="s">
        <v>2567</v>
      </c>
      <c r="B1123" s="17"/>
      <c r="C1123" s="19"/>
      <c r="D1123" s="18"/>
      <c r="E1123" s="18"/>
      <c r="F1123" s="19"/>
      <c r="G1123" s="31"/>
      <c r="H1123" s="31"/>
      <c r="I1123" s="19"/>
      <c r="J1123" s="22"/>
      <c r="K1123" s="18"/>
      <c r="L1123" s="19"/>
      <c r="M1123" s="19"/>
      <c r="N1123" s="20"/>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row>
    <row r="1124" spans="1:45" x14ac:dyDescent="0.3">
      <c r="A1124" s="410" t="s">
        <v>2568</v>
      </c>
      <c r="B1124" s="17"/>
      <c r="C1124" s="19"/>
      <c r="D1124" s="18"/>
      <c r="E1124" s="18"/>
      <c r="F1124" s="19"/>
      <c r="G1124" s="31"/>
      <c r="H1124" s="31"/>
      <c r="I1124" s="19"/>
      <c r="J1124" s="22"/>
      <c r="K1124" s="18"/>
      <c r="L1124" s="19"/>
      <c r="M1124" s="19"/>
      <c r="N1124" s="20"/>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row>
    <row r="1125" spans="1:45" x14ac:dyDescent="0.3">
      <c r="A1125" s="410" t="s">
        <v>2569</v>
      </c>
      <c r="B1125" s="17"/>
      <c r="C1125" s="19"/>
      <c r="D1125" s="18"/>
      <c r="E1125" s="18"/>
      <c r="F1125" s="19"/>
      <c r="G1125" s="31"/>
      <c r="H1125" s="31"/>
      <c r="I1125" s="19"/>
      <c r="J1125" s="22"/>
      <c r="K1125" s="18"/>
      <c r="L1125" s="19"/>
      <c r="M1125" s="19"/>
      <c r="N1125" s="20"/>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row>
    <row r="1126" spans="1:45" x14ac:dyDescent="0.3">
      <c r="A1126" s="410" t="s">
        <v>2570</v>
      </c>
      <c r="B1126" s="17"/>
      <c r="C1126" s="19"/>
      <c r="D1126" s="18"/>
      <c r="E1126" s="18"/>
      <c r="F1126" s="19"/>
      <c r="G1126" s="31"/>
      <c r="H1126" s="31"/>
      <c r="I1126" s="19"/>
      <c r="J1126" s="22"/>
      <c r="K1126" s="18"/>
      <c r="L1126" s="19"/>
      <c r="M1126" s="19"/>
      <c r="N1126" s="20"/>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row>
    <row r="1127" spans="1:45" x14ac:dyDescent="0.3">
      <c r="A1127" s="410" t="s">
        <v>2571</v>
      </c>
      <c r="B1127" s="17"/>
      <c r="C1127" s="19"/>
      <c r="D1127" s="18"/>
      <c r="E1127" s="18"/>
      <c r="F1127" s="19"/>
      <c r="G1127" s="31"/>
      <c r="H1127" s="31"/>
      <c r="I1127" s="19"/>
      <c r="J1127" s="22"/>
      <c r="K1127" s="18"/>
      <c r="L1127" s="19"/>
      <c r="M1127" s="19"/>
      <c r="N1127" s="20"/>
      <c r="O1127" s="19"/>
      <c r="P1127" s="19"/>
      <c r="Q1127" s="19"/>
      <c r="R1127" s="19"/>
      <c r="S1127" s="19"/>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row>
    <row r="1128" spans="1:45" x14ac:dyDescent="0.3">
      <c r="A1128" s="410" t="s">
        <v>2572</v>
      </c>
      <c r="B1128" s="17"/>
      <c r="C1128" s="19"/>
      <c r="D1128" s="18"/>
      <c r="E1128" s="18"/>
      <c r="F1128" s="19"/>
      <c r="G1128" s="31"/>
      <c r="H1128" s="31"/>
      <c r="I1128" s="19"/>
      <c r="J1128" s="22"/>
      <c r="K1128" s="18"/>
      <c r="L1128" s="19"/>
      <c r="M1128" s="19"/>
      <c r="N1128" s="20"/>
      <c r="O1128" s="19"/>
      <c r="P1128" s="19"/>
      <c r="Q1128" s="19"/>
      <c r="R1128" s="19"/>
      <c r="S1128" s="19"/>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row>
    <row r="1129" spans="1:45" x14ac:dyDescent="0.3">
      <c r="A1129" s="410" t="s">
        <v>2573</v>
      </c>
      <c r="B1129" s="17"/>
      <c r="C1129" s="19"/>
      <c r="D1129" s="18"/>
      <c r="E1129" s="18"/>
      <c r="F1129" s="19"/>
      <c r="G1129" s="31"/>
      <c r="H1129" s="31"/>
      <c r="I1129" s="19"/>
      <c r="J1129" s="22"/>
      <c r="K1129" s="18"/>
      <c r="L1129" s="19"/>
      <c r="M1129" s="19"/>
      <c r="N1129" s="20"/>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row>
    <row r="1130" spans="1:45" x14ac:dyDescent="0.3">
      <c r="A1130" s="410" t="s">
        <v>2574</v>
      </c>
      <c r="B1130" s="17"/>
      <c r="C1130" s="19"/>
      <c r="D1130" s="18"/>
      <c r="E1130" s="18"/>
      <c r="F1130" s="19"/>
      <c r="G1130" s="31"/>
      <c r="H1130" s="31"/>
      <c r="I1130" s="19"/>
      <c r="J1130" s="22"/>
      <c r="K1130" s="18"/>
      <c r="L1130" s="19"/>
      <c r="M1130" s="19"/>
      <c r="N1130" s="20"/>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row>
    <row r="1131" spans="1:45" x14ac:dyDescent="0.3">
      <c r="A1131" s="410" t="s">
        <v>2575</v>
      </c>
      <c r="B1131" s="17"/>
      <c r="C1131" s="19"/>
      <c r="D1131" s="18"/>
      <c r="E1131" s="18"/>
      <c r="F1131" s="19"/>
      <c r="G1131" s="31"/>
      <c r="H1131" s="31"/>
      <c r="I1131" s="19"/>
      <c r="J1131" s="22"/>
      <c r="K1131" s="18"/>
      <c r="L1131" s="19"/>
      <c r="M1131" s="19"/>
      <c r="N1131" s="20"/>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row>
    <row r="1132" spans="1:45" x14ac:dyDescent="0.3">
      <c r="A1132" s="410" t="s">
        <v>2576</v>
      </c>
      <c r="B1132" s="17"/>
      <c r="C1132" s="19"/>
      <c r="D1132" s="18"/>
      <c r="E1132" s="18"/>
      <c r="F1132" s="19"/>
      <c r="G1132" s="31"/>
      <c r="H1132" s="31"/>
      <c r="I1132" s="19"/>
      <c r="J1132" s="22"/>
      <c r="K1132" s="18"/>
      <c r="L1132" s="19"/>
      <c r="M1132" s="19"/>
      <c r="N1132" s="20"/>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row>
    <row r="1133" spans="1:45" x14ac:dyDescent="0.3">
      <c r="A1133" s="410" t="s">
        <v>2577</v>
      </c>
      <c r="B1133" s="17"/>
      <c r="C1133" s="19"/>
      <c r="D1133" s="18"/>
      <c r="E1133" s="18"/>
      <c r="F1133" s="19"/>
      <c r="G1133" s="31"/>
      <c r="H1133" s="31"/>
      <c r="I1133" s="19"/>
      <c r="J1133" s="22"/>
      <c r="K1133" s="18"/>
      <c r="L1133" s="19"/>
      <c r="M1133" s="19"/>
      <c r="N1133" s="20"/>
      <c r="O1133" s="19"/>
      <c r="P1133" s="19"/>
      <c r="Q1133" s="19"/>
      <c r="R1133" s="19"/>
      <c r="S1133" s="19"/>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row>
    <row r="1134" spans="1:45" x14ac:dyDescent="0.3">
      <c r="A1134" s="410" t="s">
        <v>2578</v>
      </c>
      <c r="B1134" s="17"/>
      <c r="C1134" s="19"/>
      <c r="D1134" s="18"/>
      <c r="E1134" s="17"/>
      <c r="F1134" s="19"/>
      <c r="G1134" s="31"/>
      <c r="H1134" s="31"/>
      <c r="I1134" s="19"/>
      <c r="J1134" s="22"/>
      <c r="K1134" s="18"/>
      <c r="L1134" s="19"/>
      <c r="M1134" s="19"/>
      <c r="N1134" s="20"/>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row>
    <row r="1135" spans="1:45" x14ac:dyDescent="0.3">
      <c r="A1135" s="410"/>
      <c r="B1135" s="17"/>
      <c r="C1135" s="19"/>
      <c r="D1135" s="18"/>
      <c r="E1135" s="17"/>
      <c r="F1135" s="19"/>
      <c r="G1135" s="31"/>
      <c r="H1135" s="31"/>
      <c r="I1135" s="19"/>
      <c r="J1135" s="22"/>
      <c r="K1135" s="18"/>
      <c r="L1135" s="19"/>
      <c r="M1135" s="19"/>
      <c r="N1135" s="20"/>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row>
    <row r="1136" spans="1:45" x14ac:dyDescent="0.3">
      <c r="A1136" s="410" t="s">
        <v>5782</v>
      </c>
      <c r="B1136" s="17"/>
      <c r="C1136" s="19"/>
      <c r="D1136" s="18"/>
      <c r="E1136" s="17"/>
      <c r="F1136" s="19"/>
      <c r="G1136" s="31"/>
      <c r="H1136" s="31"/>
      <c r="I1136" s="19"/>
      <c r="J1136" s="22"/>
      <c r="K1136" s="18"/>
      <c r="L1136" s="19"/>
      <c r="M1136" s="19"/>
      <c r="N1136" s="20"/>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row>
    <row r="1137" spans="1:45" x14ac:dyDescent="0.3">
      <c r="A1137" s="410" t="s">
        <v>5783</v>
      </c>
      <c r="B1137" s="17"/>
      <c r="C1137" s="19"/>
      <c r="D1137" s="18"/>
      <c r="E1137" s="17"/>
      <c r="F1137" s="19"/>
      <c r="G1137" s="31"/>
      <c r="H1137" s="31"/>
      <c r="I1137" s="19"/>
      <c r="J1137" s="22"/>
      <c r="K1137" s="18"/>
      <c r="L1137" s="19"/>
      <c r="M1137" s="19"/>
      <c r="N1137" s="20"/>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row>
    <row r="1138" spans="1:45" x14ac:dyDescent="0.3">
      <c r="A1138" s="410" t="s">
        <v>5784</v>
      </c>
      <c r="B1138" s="17"/>
      <c r="C1138" s="19"/>
      <c r="D1138" s="18"/>
      <c r="E1138" s="17"/>
      <c r="F1138" s="19"/>
      <c r="G1138" s="31"/>
      <c r="H1138" s="31"/>
      <c r="I1138" s="19"/>
      <c r="J1138" s="22"/>
      <c r="K1138" s="18"/>
      <c r="L1138" s="19"/>
      <c r="M1138" s="19"/>
      <c r="N1138" s="20"/>
      <c r="O1138" s="19"/>
      <c r="P1138" s="19"/>
      <c r="Q1138" s="19"/>
      <c r="R1138" s="19"/>
      <c r="S1138" s="19"/>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row>
    <row r="1139" spans="1:45" x14ac:dyDescent="0.3">
      <c r="A1139" s="410" t="s">
        <v>5785</v>
      </c>
      <c r="B1139" s="17"/>
      <c r="C1139" s="19"/>
      <c r="D1139" s="18"/>
      <c r="E1139" s="17"/>
      <c r="F1139" s="19"/>
      <c r="G1139" s="31"/>
      <c r="H1139" s="31"/>
      <c r="I1139" s="19"/>
      <c r="J1139" s="22"/>
      <c r="K1139" s="18"/>
      <c r="L1139" s="19"/>
      <c r="M1139" s="19"/>
      <c r="N1139" s="20"/>
      <c r="O1139" s="19"/>
      <c r="P1139" s="19"/>
      <c r="Q1139" s="19"/>
      <c r="R1139" s="19"/>
      <c r="S1139" s="19"/>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row>
    <row r="1140" spans="1:45" x14ac:dyDescent="0.3">
      <c r="A1140" s="410" t="s">
        <v>5786</v>
      </c>
      <c r="B1140" s="17"/>
      <c r="C1140" s="19"/>
      <c r="D1140" s="18"/>
      <c r="E1140" s="17"/>
      <c r="F1140" s="19"/>
      <c r="G1140" s="31"/>
      <c r="H1140" s="31"/>
      <c r="I1140" s="19"/>
      <c r="J1140" s="22"/>
      <c r="K1140" s="18"/>
      <c r="L1140" s="19"/>
      <c r="M1140" s="19"/>
      <c r="N1140" s="20"/>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row>
    <row r="1141" spans="1:45" x14ac:dyDescent="0.3">
      <c r="A1141" s="410" t="s">
        <v>5787</v>
      </c>
      <c r="B1141" s="17"/>
      <c r="C1141" s="19"/>
      <c r="D1141" s="18"/>
      <c r="E1141" s="17"/>
      <c r="F1141" s="19"/>
      <c r="G1141" s="31"/>
      <c r="H1141" s="31"/>
      <c r="I1141" s="19"/>
      <c r="J1141" s="22"/>
      <c r="K1141" s="18"/>
      <c r="L1141" s="19"/>
      <c r="M1141" s="19"/>
      <c r="N1141" s="20"/>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row>
    <row r="1142" spans="1:45" x14ac:dyDescent="0.3">
      <c r="A1142" s="410" t="s">
        <v>5788</v>
      </c>
      <c r="B1142" s="17"/>
      <c r="C1142" s="19"/>
      <c r="D1142" s="18"/>
      <c r="E1142" s="17"/>
      <c r="F1142" s="19"/>
      <c r="G1142" s="31"/>
      <c r="H1142" s="31"/>
      <c r="I1142" s="19"/>
      <c r="J1142" s="22"/>
      <c r="K1142" s="18"/>
      <c r="L1142" s="19"/>
      <c r="M1142" s="19"/>
      <c r="N1142" s="20"/>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row>
    <row r="1143" spans="1:45" x14ac:dyDescent="0.3">
      <c r="A1143" s="410" t="s">
        <v>5789</v>
      </c>
      <c r="B1143" s="17"/>
      <c r="C1143" s="19"/>
      <c r="D1143" s="18"/>
      <c r="E1143" s="17"/>
      <c r="F1143" s="19"/>
      <c r="G1143" s="31"/>
      <c r="H1143" s="31"/>
      <c r="I1143" s="19"/>
      <c r="J1143" s="22"/>
      <c r="K1143" s="18"/>
      <c r="L1143" s="19"/>
      <c r="M1143" s="19"/>
      <c r="N1143" s="20"/>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row>
    <row r="1144" spans="1:45" x14ac:dyDescent="0.3">
      <c r="A1144" s="410" t="s">
        <v>5790</v>
      </c>
      <c r="B1144" s="17"/>
      <c r="C1144" s="19"/>
      <c r="D1144" s="18"/>
      <c r="E1144" s="17"/>
      <c r="F1144" s="19"/>
      <c r="G1144" s="31"/>
      <c r="H1144" s="31"/>
      <c r="I1144" s="19"/>
      <c r="J1144" s="22"/>
      <c r="K1144" s="18"/>
      <c r="L1144" s="19"/>
      <c r="M1144" s="19"/>
      <c r="N1144" s="20"/>
      <c r="O1144" s="19"/>
      <c r="P1144" s="19"/>
      <c r="Q1144" s="19"/>
      <c r="R1144" s="19"/>
      <c r="S1144" s="19"/>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row>
    <row r="1145" spans="1:45" x14ac:dyDescent="0.3">
      <c r="A1145" s="410" t="s">
        <v>5791</v>
      </c>
      <c r="B1145" s="17"/>
      <c r="C1145" s="19"/>
      <c r="D1145" s="18"/>
      <c r="E1145" s="17"/>
      <c r="F1145" s="19"/>
      <c r="G1145" s="31"/>
      <c r="H1145" s="31"/>
      <c r="I1145" s="19"/>
      <c r="J1145" s="22"/>
      <c r="K1145" s="18"/>
      <c r="L1145" s="19"/>
      <c r="M1145" s="19"/>
      <c r="N1145" s="20"/>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row>
    <row r="1146" spans="1:45" x14ac:dyDescent="0.3">
      <c r="A1146" s="410" t="s">
        <v>5792</v>
      </c>
      <c r="B1146" s="17"/>
      <c r="C1146" s="19"/>
      <c r="D1146" s="18"/>
      <c r="E1146" s="17"/>
      <c r="F1146" s="19"/>
      <c r="G1146" s="31"/>
      <c r="H1146" s="31"/>
      <c r="I1146" s="19"/>
      <c r="J1146" s="22"/>
      <c r="K1146" s="18"/>
      <c r="L1146" s="19"/>
      <c r="M1146" s="19"/>
      <c r="N1146" s="20"/>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row>
    <row r="1147" spans="1:45" x14ac:dyDescent="0.3">
      <c r="A1147" s="410" t="s">
        <v>5793</v>
      </c>
      <c r="B1147" s="17"/>
      <c r="C1147" s="19"/>
      <c r="D1147" s="18"/>
      <c r="E1147" s="17"/>
      <c r="F1147" s="19"/>
      <c r="G1147" s="31"/>
      <c r="H1147" s="31"/>
      <c r="I1147" s="19"/>
      <c r="J1147" s="22"/>
      <c r="K1147" s="18"/>
      <c r="L1147" s="19"/>
      <c r="M1147" s="19"/>
      <c r="N1147" s="20"/>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row>
    <row r="1148" spans="1:45" x14ac:dyDescent="0.3">
      <c r="A1148" s="410" t="s">
        <v>5794</v>
      </c>
      <c r="B1148" s="17"/>
      <c r="C1148" s="19"/>
      <c r="D1148" s="18"/>
      <c r="E1148" s="17"/>
      <c r="F1148" s="19"/>
      <c r="G1148" s="31"/>
      <c r="H1148" s="31"/>
      <c r="I1148" s="19"/>
      <c r="J1148" s="22"/>
      <c r="K1148" s="18"/>
      <c r="L1148" s="19"/>
      <c r="M1148" s="19"/>
      <c r="N1148" s="20"/>
      <c r="O1148" s="19"/>
      <c r="P1148" s="19"/>
      <c r="Q1148" s="19"/>
      <c r="R1148" s="19"/>
      <c r="S1148" s="19"/>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row>
    <row r="1149" spans="1:45" x14ac:dyDescent="0.3">
      <c r="A1149" s="410" t="s">
        <v>5795</v>
      </c>
      <c r="B1149" s="17"/>
      <c r="C1149" s="19"/>
      <c r="D1149" s="18"/>
      <c r="E1149" s="17"/>
      <c r="F1149" s="19"/>
      <c r="G1149" s="31"/>
      <c r="H1149" s="31"/>
      <c r="I1149" s="19"/>
      <c r="J1149" s="22"/>
      <c r="K1149" s="18"/>
      <c r="L1149" s="19"/>
      <c r="M1149" s="19"/>
      <c r="N1149" s="20"/>
      <c r="O1149" s="19"/>
      <c r="P1149" s="19"/>
      <c r="Q1149" s="19"/>
      <c r="R1149" s="19"/>
      <c r="S1149" s="19"/>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row>
    <row r="1150" spans="1:45" x14ac:dyDescent="0.3">
      <c r="A1150" s="410" t="s">
        <v>5796</v>
      </c>
      <c r="B1150" s="17"/>
      <c r="C1150" s="19"/>
      <c r="D1150" s="18"/>
      <c r="E1150" s="17"/>
      <c r="F1150" s="19"/>
      <c r="G1150" s="31"/>
      <c r="H1150" s="31"/>
      <c r="I1150" s="19"/>
      <c r="J1150" s="22"/>
      <c r="K1150" s="18"/>
      <c r="L1150" s="19"/>
      <c r="M1150" s="19"/>
      <c r="N1150" s="20"/>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row>
    <row r="1151" spans="1:45" x14ac:dyDescent="0.3">
      <c r="A1151" s="410" t="s">
        <v>5797</v>
      </c>
      <c r="B1151" s="17"/>
      <c r="C1151" s="19"/>
      <c r="D1151" s="18"/>
      <c r="E1151" s="17"/>
      <c r="F1151" s="19"/>
      <c r="G1151" s="31"/>
      <c r="H1151" s="31"/>
      <c r="I1151" s="19"/>
      <c r="J1151" s="22"/>
      <c r="K1151" s="18"/>
      <c r="L1151" s="19"/>
      <c r="M1151" s="19"/>
      <c r="N1151" s="20"/>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row>
    <row r="1152" spans="1:45" x14ac:dyDescent="0.3">
      <c r="A1152" s="410" t="s">
        <v>5798</v>
      </c>
      <c r="B1152" s="17"/>
      <c r="C1152" s="19"/>
      <c r="D1152" s="18"/>
      <c r="E1152" s="17"/>
      <c r="F1152" s="19"/>
      <c r="G1152" s="31"/>
      <c r="H1152" s="31"/>
      <c r="I1152" s="19"/>
      <c r="J1152" s="22"/>
      <c r="K1152" s="18"/>
      <c r="L1152" s="19"/>
      <c r="M1152" s="19"/>
      <c r="N1152" s="20"/>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row>
    <row r="1153" spans="1:45" x14ac:dyDescent="0.3">
      <c r="A1153" s="410" t="s">
        <v>5799</v>
      </c>
      <c r="B1153" s="17"/>
      <c r="C1153" s="19"/>
      <c r="D1153" s="18"/>
      <c r="E1153" s="17"/>
      <c r="F1153" s="19"/>
      <c r="G1153" s="31"/>
      <c r="H1153" s="31"/>
      <c r="I1153" s="19"/>
      <c r="J1153" s="22"/>
      <c r="K1153" s="18"/>
      <c r="L1153" s="19"/>
      <c r="M1153" s="19"/>
      <c r="N1153" s="20"/>
      <c r="O1153" s="19"/>
      <c r="P1153" s="19"/>
      <c r="Q1153" s="19"/>
      <c r="R1153" s="19"/>
      <c r="S1153" s="19"/>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row>
    <row r="1154" spans="1:45" x14ac:dyDescent="0.3">
      <c r="A1154" s="410" t="s">
        <v>5800</v>
      </c>
      <c r="B1154" s="17"/>
      <c r="C1154" s="19"/>
      <c r="D1154" s="18"/>
      <c r="E1154" s="17"/>
      <c r="F1154" s="19"/>
      <c r="G1154" s="31"/>
      <c r="H1154" s="31"/>
      <c r="I1154" s="19"/>
      <c r="J1154" s="22"/>
      <c r="K1154" s="18"/>
      <c r="L1154" s="19"/>
      <c r="M1154" s="19"/>
      <c r="N1154" s="20"/>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row>
    <row r="1155" spans="1:45" x14ac:dyDescent="0.3">
      <c r="A1155" s="410" t="s">
        <v>5801</v>
      </c>
      <c r="B1155" s="17"/>
      <c r="C1155" s="19"/>
      <c r="D1155" s="18"/>
      <c r="E1155" s="17"/>
      <c r="F1155" s="19"/>
      <c r="G1155" s="31"/>
      <c r="H1155" s="31"/>
      <c r="I1155" s="19"/>
      <c r="J1155" s="22"/>
      <c r="K1155" s="18"/>
      <c r="L1155" s="19"/>
      <c r="M1155" s="19"/>
      <c r="N1155" s="20"/>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row>
    <row r="1156" spans="1:45" x14ac:dyDescent="0.3">
      <c r="A1156" s="410" t="s">
        <v>5802</v>
      </c>
      <c r="B1156" s="17"/>
      <c r="C1156" s="19"/>
      <c r="D1156" s="18"/>
      <c r="E1156" s="17"/>
      <c r="F1156" s="19"/>
      <c r="G1156" s="31"/>
      <c r="H1156" s="31"/>
      <c r="I1156" s="19"/>
      <c r="J1156" s="22"/>
      <c r="K1156" s="18"/>
      <c r="L1156" s="19"/>
      <c r="M1156" s="19"/>
      <c r="N1156" s="20"/>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row>
    <row r="1157" spans="1:45" x14ac:dyDescent="0.3">
      <c r="A1157" s="410" t="s">
        <v>5803</v>
      </c>
      <c r="B1157" s="17"/>
      <c r="C1157" s="19"/>
      <c r="D1157" s="18"/>
      <c r="E1157" s="17"/>
      <c r="F1157" s="19"/>
      <c r="G1157" s="31"/>
      <c r="H1157" s="31"/>
      <c r="I1157" s="19"/>
      <c r="J1157" s="22"/>
      <c r="K1157" s="18"/>
      <c r="L1157" s="19"/>
      <c r="M1157" s="19"/>
      <c r="N1157" s="20"/>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row>
    <row r="1158" spans="1:45" x14ac:dyDescent="0.3">
      <c r="A1158" s="410" t="s">
        <v>5804</v>
      </c>
      <c r="B1158" s="17"/>
      <c r="C1158" s="19"/>
      <c r="D1158" s="18"/>
      <c r="E1158" s="17"/>
      <c r="F1158" s="19"/>
      <c r="G1158" s="31"/>
      <c r="H1158" s="31"/>
      <c r="I1158" s="19"/>
      <c r="J1158" s="22"/>
      <c r="K1158" s="18"/>
      <c r="L1158" s="19"/>
      <c r="M1158" s="19"/>
      <c r="N1158" s="20"/>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row>
    <row r="1159" spans="1:45" x14ac:dyDescent="0.3">
      <c r="A1159" s="410" t="s">
        <v>5805</v>
      </c>
      <c r="B1159" s="17"/>
      <c r="C1159" s="19"/>
      <c r="D1159" s="18"/>
      <c r="E1159" s="17"/>
      <c r="F1159" s="19"/>
      <c r="G1159" s="31"/>
      <c r="H1159" s="31"/>
      <c r="I1159" s="19"/>
      <c r="J1159" s="22"/>
      <c r="K1159" s="18"/>
      <c r="L1159" s="19"/>
      <c r="M1159" s="19"/>
      <c r="N1159" s="20"/>
      <c r="O1159" s="19"/>
      <c r="P1159" s="19"/>
      <c r="Q1159" s="19"/>
      <c r="R1159" s="19"/>
      <c r="S1159" s="19"/>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row>
    <row r="1160" spans="1:45" x14ac:dyDescent="0.3">
      <c r="A1160" s="410" t="s">
        <v>5806</v>
      </c>
      <c r="B1160" s="17"/>
      <c r="C1160" s="19"/>
      <c r="D1160" s="18"/>
      <c r="E1160" s="17"/>
      <c r="F1160" s="19"/>
      <c r="G1160" s="31"/>
      <c r="H1160" s="31"/>
      <c r="I1160" s="19"/>
      <c r="J1160" s="22"/>
      <c r="K1160" s="18"/>
      <c r="L1160" s="19"/>
      <c r="M1160" s="19"/>
      <c r="N1160" s="20"/>
      <c r="O1160" s="19"/>
      <c r="P1160" s="19"/>
      <c r="Q1160" s="19"/>
      <c r="R1160" s="19"/>
      <c r="S1160" s="19"/>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row>
    <row r="1161" spans="1:45" x14ac:dyDescent="0.3">
      <c r="A1161" s="410" t="s">
        <v>5807</v>
      </c>
      <c r="B1161" s="17"/>
      <c r="C1161" s="19"/>
      <c r="D1161" s="18"/>
      <c r="E1161" s="17"/>
      <c r="F1161" s="19"/>
      <c r="G1161" s="31"/>
      <c r="H1161" s="31"/>
      <c r="I1161" s="19"/>
      <c r="J1161" s="22"/>
      <c r="K1161" s="18"/>
      <c r="L1161" s="19"/>
      <c r="M1161" s="19"/>
      <c r="N1161" s="20"/>
      <c r="O1161" s="19"/>
      <c r="P1161" s="19"/>
      <c r="Q1161" s="19"/>
      <c r="R1161" s="19"/>
      <c r="S1161" s="19"/>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row>
    <row r="1162" spans="1:45" x14ac:dyDescent="0.3">
      <c r="A1162" s="410" t="s">
        <v>5808</v>
      </c>
      <c r="B1162" s="17"/>
      <c r="C1162" s="19"/>
      <c r="D1162" s="18"/>
      <c r="E1162" s="17"/>
      <c r="F1162" s="19"/>
      <c r="G1162" s="31"/>
      <c r="H1162" s="31"/>
      <c r="I1162" s="19"/>
      <c r="J1162" s="22"/>
      <c r="K1162" s="18"/>
      <c r="L1162" s="19"/>
      <c r="M1162" s="19"/>
      <c r="N1162" s="20"/>
      <c r="O1162" s="19"/>
      <c r="P1162" s="19"/>
      <c r="Q1162" s="19"/>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row>
    <row r="1163" spans="1:45" x14ac:dyDescent="0.3">
      <c r="A1163" s="410" t="s">
        <v>5809</v>
      </c>
      <c r="B1163" s="17"/>
      <c r="C1163" s="19"/>
      <c r="D1163" s="18"/>
      <c r="E1163" s="17"/>
      <c r="F1163" s="19"/>
      <c r="G1163" s="31"/>
      <c r="H1163" s="31"/>
      <c r="I1163" s="19"/>
      <c r="J1163" s="22"/>
      <c r="K1163" s="18"/>
      <c r="L1163" s="19"/>
      <c r="M1163" s="19"/>
      <c r="N1163" s="20"/>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row>
    <row r="1164" spans="1:45" x14ac:dyDescent="0.3">
      <c r="A1164" s="410" t="s">
        <v>5810</v>
      </c>
      <c r="B1164" s="17"/>
      <c r="C1164" s="19"/>
      <c r="D1164" s="18"/>
      <c r="E1164" s="17"/>
      <c r="F1164" s="19"/>
      <c r="G1164" s="31"/>
      <c r="H1164" s="31"/>
      <c r="I1164" s="19"/>
      <c r="J1164" s="22"/>
      <c r="K1164" s="18"/>
      <c r="L1164" s="19"/>
      <c r="M1164" s="19"/>
      <c r="N1164" s="20"/>
      <c r="O1164" s="19"/>
      <c r="P1164" s="19"/>
      <c r="Q1164" s="19"/>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row>
    <row r="1165" spans="1:45" x14ac:dyDescent="0.3">
      <c r="A1165" s="410" t="s">
        <v>5811</v>
      </c>
      <c r="B1165" s="17"/>
      <c r="C1165" s="19"/>
      <c r="D1165" s="18"/>
      <c r="E1165" s="17"/>
      <c r="F1165" s="19"/>
      <c r="G1165" s="31"/>
      <c r="H1165" s="31"/>
      <c r="I1165" s="19"/>
      <c r="J1165" s="22"/>
      <c r="K1165" s="18"/>
      <c r="L1165" s="19"/>
      <c r="M1165" s="19"/>
      <c r="N1165" s="20"/>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row>
    <row r="1166" spans="1:45" x14ac:dyDescent="0.3">
      <c r="A1166" s="410" t="s">
        <v>5812</v>
      </c>
      <c r="B1166" s="17"/>
      <c r="C1166" s="19"/>
      <c r="D1166" s="18"/>
      <c r="E1166" s="17"/>
      <c r="F1166" s="19"/>
      <c r="G1166" s="31"/>
      <c r="H1166" s="31"/>
      <c r="I1166" s="19"/>
      <c r="J1166" s="22"/>
      <c r="K1166" s="18"/>
      <c r="L1166" s="19"/>
      <c r="M1166" s="19"/>
      <c r="N1166" s="20"/>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row>
    <row r="1167" spans="1:45" x14ac:dyDescent="0.3">
      <c r="A1167" s="410" t="s">
        <v>5813</v>
      </c>
      <c r="B1167" s="17"/>
      <c r="C1167" s="19"/>
      <c r="D1167" s="18"/>
      <c r="E1167" s="17"/>
      <c r="F1167" s="19"/>
      <c r="G1167" s="31"/>
      <c r="H1167" s="31"/>
      <c r="I1167" s="19"/>
      <c r="J1167" s="22"/>
      <c r="K1167" s="18"/>
      <c r="L1167" s="19"/>
      <c r="M1167" s="19"/>
      <c r="N1167" s="20"/>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row>
    <row r="1168" spans="1:45" x14ac:dyDescent="0.3">
      <c r="A1168" s="410" t="s">
        <v>5814</v>
      </c>
      <c r="B1168" s="17"/>
      <c r="C1168" s="19"/>
      <c r="D1168" s="18"/>
      <c r="E1168" s="17"/>
      <c r="F1168" s="19"/>
      <c r="G1168" s="31"/>
      <c r="H1168" s="31"/>
      <c r="I1168" s="19"/>
      <c r="J1168" s="22"/>
      <c r="K1168" s="18"/>
      <c r="L1168" s="19"/>
      <c r="M1168" s="19"/>
      <c r="N1168" s="20"/>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row>
    <row r="1169" spans="1:45" x14ac:dyDescent="0.3">
      <c r="A1169" s="410" t="s">
        <v>5815</v>
      </c>
      <c r="B1169" s="17"/>
      <c r="C1169" s="19"/>
      <c r="D1169" s="18"/>
      <c r="E1169" s="17"/>
      <c r="F1169" s="19"/>
      <c r="G1169" s="31"/>
      <c r="H1169" s="31"/>
      <c r="I1169" s="19"/>
      <c r="J1169" s="22"/>
      <c r="K1169" s="18"/>
      <c r="L1169" s="19"/>
      <c r="M1169" s="19"/>
      <c r="N1169" s="20"/>
      <c r="O1169" s="19"/>
      <c r="P1169" s="19"/>
      <c r="Q1169" s="19"/>
      <c r="R1169" s="19"/>
      <c r="S1169" s="19"/>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row>
    <row r="1170" spans="1:45" x14ac:dyDescent="0.3">
      <c r="A1170" s="410" t="s">
        <v>5816</v>
      </c>
      <c r="B1170" s="17"/>
      <c r="C1170" s="19"/>
      <c r="D1170" s="18"/>
      <c r="E1170" s="17"/>
      <c r="F1170" s="19"/>
      <c r="G1170" s="31"/>
      <c r="H1170" s="31"/>
      <c r="I1170" s="19"/>
      <c r="J1170" s="22"/>
      <c r="K1170" s="18"/>
      <c r="L1170" s="19"/>
      <c r="M1170" s="19"/>
      <c r="N1170" s="20"/>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row>
    <row r="1171" spans="1:45" x14ac:dyDescent="0.3">
      <c r="A1171" s="410" t="s">
        <v>5817</v>
      </c>
      <c r="B1171" s="17"/>
      <c r="C1171" s="19"/>
      <c r="D1171" s="18"/>
      <c r="E1171" s="17"/>
      <c r="F1171" s="19"/>
      <c r="G1171" s="31"/>
      <c r="H1171" s="31"/>
      <c r="I1171" s="19"/>
      <c r="J1171" s="22"/>
      <c r="K1171" s="18"/>
      <c r="L1171" s="19"/>
      <c r="M1171" s="19"/>
      <c r="N1171" s="20"/>
      <c r="O1171" s="19"/>
      <c r="P1171" s="19"/>
      <c r="Q1171" s="19"/>
      <c r="R1171" s="19"/>
      <c r="S1171" s="19"/>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row>
    <row r="1172" spans="1:45" x14ac:dyDescent="0.3">
      <c r="A1172" s="410" t="s">
        <v>5818</v>
      </c>
      <c r="B1172" s="17"/>
      <c r="C1172" s="19"/>
      <c r="D1172" s="18"/>
      <c r="E1172" s="17"/>
      <c r="F1172" s="19"/>
      <c r="G1172" s="31"/>
      <c r="H1172" s="31"/>
      <c r="I1172" s="19"/>
      <c r="J1172" s="22"/>
      <c r="K1172" s="18"/>
      <c r="L1172" s="19"/>
      <c r="M1172" s="19"/>
      <c r="N1172" s="20"/>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row>
    <row r="1173" spans="1:45" x14ac:dyDescent="0.3">
      <c r="A1173" s="410" t="s">
        <v>5819</v>
      </c>
      <c r="B1173" s="17"/>
      <c r="C1173" s="19"/>
      <c r="D1173" s="18"/>
      <c r="E1173" s="17"/>
      <c r="F1173" s="19"/>
      <c r="G1173" s="31"/>
      <c r="H1173" s="31"/>
      <c r="I1173" s="19"/>
      <c r="J1173" s="22"/>
      <c r="K1173" s="18"/>
      <c r="L1173" s="19"/>
      <c r="M1173" s="19"/>
      <c r="N1173" s="20"/>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row>
    <row r="1174" spans="1:45" x14ac:dyDescent="0.3">
      <c r="A1174" s="410" t="s">
        <v>5820</v>
      </c>
      <c r="B1174" s="17"/>
      <c r="C1174" s="19"/>
      <c r="D1174" s="18"/>
      <c r="E1174" s="17"/>
      <c r="F1174" s="19"/>
      <c r="G1174" s="31"/>
      <c r="H1174" s="31"/>
      <c r="I1174" s="19"/>
      <c r="J1174" s="22"/>
      <c r="K1174" s="18"/>
      <c r="L1174" s="19"/>
      <c r="M1174" s="19"/>
      <c r="N1174" s="20"/>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row>
    <row r="1175" spans="1:45" x14ac:dyDescent="0.3">
      <c r="A1175" s="410" t="s">
        <v>5821</v>
      </c>
      <c r="B1175" s="17"/>
      <c r="C1175" s="19"/>
      <c r="D1175" s="18"/>
      <c r="E1175" s="17"/>
      <c r="F1175" s="19"/>
      <c r="G1175" s="31"/>
      <c r="H1175" s="31"/>
      <c r="I1175" s="19"/>
      <c r="J1175" s="22"/>
      <c r="K1175" s="18"/>
      <c r="L1175" s="19"/>
      <c r="M1175" s="19"/>
      <c r="N1175" s="20"/>
      <c r="O1175" s="19"/>
      <c r="P1175" s="19"/>
      <c r="Q1175" s="19"/>
      <c r="R1175" s="19"/>
      <c r="S1175" s="19"/>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row>
    <row r="1176" spans="1:45" x14ac:dyDescent="0.3">
      <c r="A1176" s="410" t="s">
        <v>5822</v>
      </c>
      <c r="B1176" s="17"/>
      <c r="C1176" s="19"/>
      <c r="D1176" s="18"/>
      <c r="E1176" s="17"/>
      <c r="F1176" s="19"/>
      <c r="G1176" s="31"/>
      <c r="H1176" s="31"/>
      <c r="I1176" s="19"/>
      <c r="J1176" s="22"/>
      <c r="K1176" s="18"/>
      <c r="L1176" s="19"/>
      <c r="M1176" s="19"/>
      <c r="N1176" s="20"/>
      <c r="O1176" s="19"/>
      <c r="P1176" s="19"/>
      <c r="Q1176" s="19"/>
      <c r="R1176" s="19"/>
      <c r="S1176" s="19"/>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row>
    <row r="1177" spans="1:45" x14ac:dyDescent="0.3">
      <c r="A1177" s="410" t="s">
        <v>5823</v>
      </c>
      <c r="B1177" s="17"/>
      <c r="C1177" s="19"/>
      <c r="D1177" s="18"/>
      <c r="E1177" s="17"/>
      <c r="F1177" s="19"/>
      <c r="G1177" s="31"/>
      <c r="H1177" s="31"/>
      <c r="I1177" s="19"/>
      <c r="J1177" s="22"/>
      <c r="K1177" s="18"/>
      <c r="L1177" s="19"/>
      <c r="M1177" s="19"/>
      <c r="N1177" s="20"/>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row>
    <row r="1178" spans="1:45" x14ac:dyDescent="0.3">
      <c r="A1178" s="410" t="s">
        <v>5824</v>
      </c>
      <c r="B1178" s="17"/>
      <c r="C1178" s="19"/>
      <c r="D1178" s="18"/>
      <c r="E1178" s="17"/>
      <c r="F1178" s="19"/>
      <c r="G1178" s="31"/>
      <c r="H1178" s="31"/>
      <c r="I1178" s="19"/>
      <c r="J1178" s="22"/>
      <c r="K1178" s="18"/>
      <c r="L1178" s="19"/>
      <c r="M1178" s="19"/>
      <c r="N1178" s="20"/>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row>
    <row r="1179" spans="1:45" x14ac:dyDescent="0.3">
      <c r="A1179" s="410" t="s">
        <v>5825</v>
      </c>
      <c r="B1179" s="17"/>
      <c r="C1179" s="19"/>
      <c r="D1179" s="18"/>
      <c r="E1179" s="17"/>
      <c r="F1179" s="19"/>
      <c r="G1179" s="31"/>
      <c r="H1179" s="31"/>
      <c r="I1179" s="19"/>
      <c r="J1179" s="22"/>
      <c r="K1179" s="18"/>
      <c r="L1179" s="19"/>
      <c r="M1179" s="19"/>
      <c r="N1179" s="20"/>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row>
    <row r="1180" spans="1:45" x14ac:dyDescent="0.3">
      <c r="A1180" s="410" t="s">
        <v>5826</v>
      </c>
      <c r="B1180" s="17"/>
      <c r="C1180" s="19"/>
      <c r="D1180" s="18"/>
      <c r="E1180" s="17"/>
      <c r="F1180" s="19"/>
      <c r="G1180" s="31"/>
      <c r="H1180" s="31"/>
      <c r="I1180" s="19"/>
      <c r="J1180" s="22"/>
      <c r="K1180" s="18"/>
      <c r="L1180" s="19"/>
      <c r="M1180" s="19"/>
      <c r="N1180" s="20"/>
      <c r="O1180" s="19"/>
      <c r="P1180" s="19"/>
      <c r="Q1180" s="19"/>
      <c r="R1180" s="19"/>
      <c r="S1180" s="19"/>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row>
    <row r="1181" spans="1:45" x14ac:dyDescent="0.3">
      <c r="A1181" s="410" t="s">
        <v>5827</v>
      </c>
      <c r="B1181" s="17"/>
      <c r="C1181" s="19"/>
      <c r="D1181" s="18"/>
      <c r="E1181" s="17"/>
      <c r="F1181" s="19"/>
      <c r="G1181" s="31"/>
      <c r="H1181" s="31"/>
      <c r="I1181" s="19"/>
      <c r="J1181" s="22"/>
      <c r="K1181" s="18"/>
      <c r="L1181" s="19"/>
      <c r="M1181" s="19"/>
      <c r="N1181" s="20"/>
      <c r="O1181" s="19"/>
      <c r="P1181" s="19"/>
      <c r="Q1181" s="19"/>
      <c r="R1181" s="19"/>
      <c r="S1181" s="19"/>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row>
    <row r="1182" spans="1:45" x14ac:dyDescent="0.3">
      <c r="A1182" s="410" t="s">
        <v>5828</v>
      </c>
      <c r="B1182" s="17"/>
      <c r="C1182" s="19"/>
      <c r="D1182" s="18"/>
      <c r="E1182" s="17"/>
      <c r="F1182" s="19"/>
      <c r="G1182" s="31"/>
      <c r="H1182" s="31"/>
      <c r="I1182" s="19"/>
      <c r="J1182" s="22"/>
      <c r="K1182" s="18"/>
      <c r="L1182" s="19"/>
      <c r="M1182" s="19"/>
      <c r="N1182" s="20"/>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row>
    <row r="1183" spans="1:45" x14ac:dyDescent="0.3">
      <c r="A1183" s="410" t="s">
        <v>5829</v>
      </c>
      <c r="B1183" s="17"/>
      <c r="C1183" s="19"/>
      <c r="D1183" s="18"/>
      <c r="E1183" s="17"/>
      <c r="F1183" s="19"/>
      <c r="G1183" s="31"/>
      <c r="H1183" s="31"/>
      <c r="I1183" s="19"/>
      <c r="J1183" s="22"/>
      <c r="K1183" s="18"/>
      <c r="L1183" s="19"/>
      <c r="M1183" s="19"/>
      <c r="N1183" s="20"/>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row>
    <row r="1184" spans="1:45" x14ac:dyDescent="0.3">
      <c r="A1184" s="410" t="s">
        <v>5830</v>
      </c>
      <c r="B1184" s="17"/>
      <c r="C1184" s="19"/>
      <c r="D1184" s="18"/>
      <c r="E1184" s="17"/>
      <c r="F1184" s="19"/>
      <c r="G1184" s="31"/>
      <c r="H1184" s="31"/>
      <c r="I1184" s="19"/>
      <c r="J1184" s="22"/>
      <c r="K1184" s="18"/>
      <c r="L1184" s="19"/>
      <c r="M1184" s="19"/>
      <c r="N1184" s="20"/>
      <c r="O1184" s="19"/>
      <c r="P1184" s="19"/>
      <c r="Q1184" s="19"/>
      <c r="R1184" s="19"/>
      <c r="S1184" s="19"/>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row>
    <row r="1185" spans="1:45" x14ac:dyDescent="0.3">
      <c r="A1185" s="410" t="s">
        <v>5831</v>
      </c>
      <c r="B1185" s="17"/>
      <c r="C1185" s="19"/>
      <c r="D1185" s="18"/>
      <c r="E1185" s="17"/>
      <c r="F1185" s="19"/>
      <c r="G1185" s="31"/>
      <c r="H1185" s="31"/>
      <c r="I1185" s="19"/>
      <c r="J1185" s="22"/>
      <c r="K1185" s="18"/>
      <c r="L1185" s="19"/>
      <c r="M1185" s="19"/>
      <c r="N1185" s="20"/>
      <c r="O1185" s="19"/>
      <c r="P1185" s="19"/>
      <c r="Q1185" s="19"/>
      <c r="R1185" s="19"/>
      <c r="S1185" s="19"/>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row>
    <row r="1186" spans="1:45" x14ac:dyDescent="0.3">
      <c r="A1186" s="410" t="s">
        <v>5832</v>
      </c>
      <c r="B1186" s="17"/>
      <c r="C1186" s="19"/>
      <c r="D1186" s="18"/>
      <c r="E1186" s="17"/>
      <c r="F1186" s="19"/>
      <c r="G1186" s="31"/>
      <c r="H1186" s="31"/>
      <c r="I1186" s="19"/>
      <c r="J1186" s="22"/>
      <c r="K1186" s="18"/>
      <c r="L1186" s="19"/>
      <c r="M1186" s="19"/>
      <c r="N1186" s="20"/>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row>
    <row r="1187" spans="1:45" x14ac:dyDescent="0.3">
      <c r="A1187" s="410" t="s">
        <v>5833</v>
      </c>
      <c r="B1187" s="17"/>
      <c r="C1187" s="19"/>
      <c r="D1187" s="18"/>
      <c r="E1187" s="17"/>
      <c r="F1187" s="19"/>
      <c r="G1187" s="31"/>
      <c r="H1187" s="31"/>
      <c r="I1187" s="19"/>
      <c r="J1187" s="22"/>
      <c r="K1187" s="18"/>
      <c r="L1187" s="19"/>
      <c r="M1187" s="19"/>
      <c r="N1187" s="20"/>
      <c r="O1187" s="19"/>
      <c r="P1187" s="19"/>
      <c r="Q1187" s="19"/>
      <c r="R1187" s="19"/>
      <c r="S1187" s="19"/>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row>
    <row r="1188" spans="1:45" x14ac:dyDescent="0.3">
      <c r="A1188" s="410" t="s">
        <v>5834</v>
      </c>
      <c r="B1188" s="17"/>
      <c r="C1188" s="19"/>
      <c r="D1188" s="18"/>
      <c r="E1188" s="17"/>
      <c r="F1188" s="19"/>
      <c r="G1188" s="31"/>
      <c r="H1188" s="31"/>
      <c r="I1188" s="19"/>
      <c r="J1188" s="22"/>
      <c r="K1188" s="18"/>
      <c r="L1188" s="19"/>
      <c r="M1188" s="19"/>
      <c r="N1188" s="20"/>
      <c r="O1188" s="19"/>
      <c r="P1188" s="19"/>
      <c r="Q1188" s="19"/>
      <c r="R1188" s="19"/>
      <c r="S1188" s="19"/>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row>
    <row r="1189" spans="1:45" x14ac:dyDescent="0.3">
      <c r="A1189" s="410" t="s">
        <v>5835</v>
      </c>
      <c r="B1189" s="17"/>
      <c r="C1189" s="19"/>
      <c r="D1189" s="18"/>
      <c r="E1189" s="17"/>
      <c r="F1189" s="19"/>
      <c r="G1189" s="31"/>
      <c r="H1189" s="31"/>
      <c r="I1189" s="19"/>
      <c r="J1189" s="22"/>
      <c r="K1189" s="18"/>
      <c r="L1189" s="19"/>
      <c r="M1189" s="19"/>
      <c r="N1189" s="20"/>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row>
    <row r="1190" spans="1:45" x14ac:dyDescent="0.3">
      <c r="A1190" s="410" t="s">
        <v>5836</v>
      </c>
      <c r="B1190" s="17"/>
      <c r="C1190" s="19"/>
      <c r="D1190" s="18"/>
      <c r="E1190" s="17"/>
      <c r="F1190" s="19"/>
      <c r="G1190" s="31"/>
      <c r="H1190" s="31"/>
      <c r="I1190" s="19"/>
      <c r="J1190" s="22"/>
      <c r="K1190" s="18"/>
      <c r="L1190" s="19"/>
      <c r="M1190" s="19"/>
      <c r="N1190" s="20"/>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row>
    <row r="1191" spans="1:45" x14ac:dyDescent="0.3">
      <c r="A1191" s="410" t="s">
        <v>5837</v>
      </c>
      <c r="B1191" s="17"/>
      <c r="C1191" s="19"/>
      <c r="D1191" s="18"/>
      <c r="E1191" s="17"/>
      <c r="F1191" s="19"/>
      <c r="G1191" s="31"/>
      <c r="H1191" s="31"/>
      <c r="I1191" s="19"/>
      <c r="J1191" s="22"/>
      <c r="K1191" s="18"/>
      <c r="L1191" s="19"/>
      <c r="M1191" s="19"/>
      <c r="N1191" s="20"/>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row>
    <row r="1192" spans="1:45" x14ac:dyDescent="0.3">
      <c r="A1192" s="410" t="s">
        <v>5838</v>
      </c>
      <c r="B1192" s="17"/>
      <c r="C1192" s="19"/>
      <c r="D1192" s="18"/>
      <c r="E1192" s="17"/>
      <c r="F1192" s="19"/>
      <c r="G1192" s="31"/>
      <c r="H1192" s="31"/>
      <c r="I1192" s="19"/>
      <c r="J1192" s="22"/>
      <c r="K1192" s="18"/>
      <c r="L1192" s="19"/>
      <c r="M1192" s="19"/>
      <c r="N1192" s="20"/>
      <c r="O1192" s="19"/>
      <c r="P1192" s="19"/>
      <c r="Q1192" s="19"/>
      <c r="R1192" s="19"/>
      <c r="S1192" s="19"/>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row>
    <row r="1193" spans="1:45" x14ac:dyDescent="0.3">
      <c r="A1193" s="410" t="s">
        <v>5839</v>
      </c>
      <c r="B1193" s="17"/>
      <c r="C1193" s="19"/>
      <c r="D1193" s="18"/>
      <c r="E1193" s="17"/>
      <c r="F1193" s="19"/>
      <c r="G1193" s="31"/>
      <c r="H1193" s="31"/>
      <c r="I1193" s="19"/>
      <c r="J1193" s="22"/>
      <c r="K1193" s="18"/>
      <c r="L1193" s="19"/>
      <c r="M1193" s="19"/>
      <c r="N1193" s="20"/>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row>
    <row r="1194" spans="1:45" x14ac:dyDescent="0.3">
      <c r="A1194" s="410" t="s">
        <v>5840</v>
      </c>
      <c r="B1194" s="17"/>
      <c r="C1194" s="19"/>
      <c r="D1194" s="18"/>
      <c r="E1194" s="17"/>
      <c r="F1194" s="19"/>
      <c r="G1194" s="31"/>
      <c r="H1194" s="31"/>
      <c r="I1194" s="19"/>
      <c r="J1194" s="22"/>
      <c r="K1194" s="18"/>
      <c r="L1194" s="19"/>
      <c r="M1194" s="19"/>
      <c r="N1194" s="20"/>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row>
    <row r="1195" spans="1:45" x14ac:dyDescent="0.3">
      <c r="A1195" s="410" t="s">
        <v>5841</v>
      </c>
      <c r="B1195" s="17"/>
      <c r="C1195" s="19"/>
      <c r="D1195" s="18"/>
      <c r="E1195" s="17"/>
      <c r="F1195" s="19"/>
      <c r="G1195" s="31"/>
      <c r="H1195" s="31"/>
      <c r="I1195" s="19"/>
      <c r="J1195" s="22"/>
      <c r="K1195" s="18"/>
      <c r="L1195" s="19"/>
      <c r="M1195" s="19"/>
      <c r="N1195" s="20"/>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row>
    <row r="1196" spans="1:45" x14ac:dyDescent="0.3">
      <c r="A1196" s="410" t="s">
        <v>5842</v>
      </c>
      <c r="B1196" s="17"/>
      <c r="C1196" s="19"/>
      <c r="D1196" s="18"/>
      <c r="E1196" s="17"/>
      <c r="F1196" s="19"/>
      <c r="G1196" s="31"/>
      <c r="H1196" s="31"/>
      <c r="I1196" s="19"/>
      <c r="J1196" s="22"/>
      <c r="K1196" s="18"/>
      <c r="L1196" s="19"/>
      <c r="M1196" s="19"/>
      <c r="N1196" s="20"/>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row>
    <row r="1197" spans="1:45" x14ac:dyDescent="0.3">
      <c r="A1197" s="410" t="s">
        <v>5843</v>
      </c>
      <c r="B1197" s="17"/>
      <c r="C1197" s="19"/>
      <c r="D1197" s="18"/>
      <c r="E1197" s="17"/>
      <c r="F1197" s="19"/>
      <c r="G1197" s="31"/>
      <c r="H1197" s="31"/>
      <c r="I1197" s="19"/>
      <c r="J1197" s="22"/>
      <c r="K1197" s="18"/>
      <c r="L1197" s="19"/>
      <c r="M1197" s="19"/>
      <c r="N1197" s="20"/>
      <c r="O1197" s="19"/>
      <c r="P1197" s="19"/>
      <c r="Q1197" s="19"/>
      <c r="R1197" s="19"/>
      <c r="S1197" s="19"/>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row>
    <row r="1198" spans="1:45" x14ac:dyDescent="0.3">
      <c r="A1198" s="410" t="s">
        <v>5844</v>
      </c>
      <c r="B1198" s="17"/>
      <c r="C1198" s="19"/>
      <c r="D1198" s="18"/>
      <c r="E1198" s="17"/>
      <c r="F1198" s="19"/>
      <c r="G1198" s="31"/>
      <c r="H1198" s="31"/>
      <c r="I1198" s="19"/>
      <c r="J1198" s="22"/>
      <c r="K1198" s="18"/>
      <c r="L1198" s="19"/>
      <c r="M1198" s="19"/>
      <c r="N1198" s="20"/>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row>
    <row r="1199" spans="1:45" x14ac:dyDescent="0.3">
      <c r="A1199" s="410" t="s">
        <v>5845</v>
      </c>
      <c r="B1199" s="17"/>
      <c r="C1199" s="19"/>
      <c r="D1199" s="18"/>
      <c r="E1199" s="17"/>
      <c r="F1199" s="19"/>
      <c r="G1199" s="31"/>
      <c r="H1199" s="31"/>
      <c r="I1199" s="19"/>
      <c r="J1199" s="22"/>
      <c r="K1199" s="18"/>
      <c r="L1199" s="19"/>
      <c r="M1199" s="19"/>
      <c r="N1199" s="20"/>
      <c r="O1199" s="19"/>
      <c r="P1199" s="19"/>
      <c r="Q1199" s="19"/>
      <c r="R1199" s="19"/>
      <c r="S1199" s="19"/>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row>
    <row r="1200" spans="1:45" x14ac:dyDescent="0.3">
      <c r="A1200" s="410" t="s">
        <v>5846</v>
      </c>
      <c r="B1200" s="17"/>
      <c r="C1200" s="19"/>
      <c r="D1200" s="18"/>
      <c r="E1200" s="17"/>
      <c r="F1200" s="19"/>
      <c r="G1200" s="31"/>
      <c r="H1200" s="31"/>
      <c r="I1200" s="19"/>
      <c r="J1200" s="22"/>
      <c r="K1200" s="18"/>
      <c r="L1200" s="19"/>
      <c r="M1200" s="19"/>
      <c r="N1200" s="20"/>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row>
    <row r="1201" spans="1:45" x14ac:dyDescent="0.3">
      <c r="A1201" s="410" t="s">
        <v>5847</v>
      </c>
      <c r="B1201" s="17"/>
      <c r="C1201" s="19"/>
      <c r="D1201" s="18"/>
      <c r="E1201" s="17"/>
      <c r="F1201" s="19"/>
      <c r="G1201" s="31"/>
      <c r="H1201" s="31"/>
      <c r="I1201" s="19"/>
      <c r="J1201" s="22"/>
      <c r="K1201" s="18"/>
      <c r="L1201" s="19"/>
      <c r="M1201" s="19"/>
      <c r="N1201" s="20"/>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row>
    <row r="1202" spans="1:45" x14ac:dyDescent="0.3">
      <c r="A1202" s="410" t="s">
        <v>5848</v>
      </c>
      <c r="B1202" s="17"/>
      <c r="C1202" s="19"/>
      <c r="D1202" s="18"/>
      <c r="E1202" s="17"/>
      <c r="F1202" s="19"/>
      <c r="G1202" s="31"/>
      <c r="H1202" s="31"/>
      <c r="I1202" s="19"/>
      <c r="J1202" s="22"/>
      <c r="K1202" s="18"/>
      <c r="L1202" s="19"/>
      <c r="M1202" s="19"/>
      <c r="N1202" s="20"/>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row>
    <row r="1203" spans="1:45" x14ac:dyDescent="0.3">
      <c r="A1203" s="410" t="s">
        <v>5849</v>
      </c>
      <c r="B1203" s="17"/>
      <c r="C1203" s="19"/>
      <c r="D1203" s="18"/>
      <c r="E1203" s="17"/>
      <c r="F1203" s="19"/>
      <c r="G1203" s="31"/>
      <c r="H1203" s="31"/>
      <c r="I1203" s="19"/>
      <c r="J1203" s="22"/>
      <c r="K1203" s="18"/>
      <c r="L1203" s="19"/>
      <c r="M1203" s="19"/>
      <c r="N1203" s="20"/>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row>
    <row r="1204" spans="1:45" x14ac:dyDescent="0.3">
      <c r="A1204" s="410" t="s">
        <v>5850</v>
      </c>
      <c r="B1204" s="17"/>
      <c r="C1204" s="19"/>
      <c r="D1204" s="18"/>
      <c r="E1204" s="17"/>
      <c r="F1204" s="19"/>
      <c r="G1204" s="31"/>
      <c r="H1204" s="31"/>
      <c r="I1204" s="19"/>
      <c r="J1204" s="22"/>
      <c r="K1204" s="18"/>
      <c r="L1204" s="19"/>
      <c r="M1204" s="19"/>
      <c r="N1204" s="20"/>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row>
    <row r="1205" spans="1:45" x14ac:dyDescent="0.3">
      <c r="A1205" s="410" t="s">
        <v>5851</v>
      </c>
      <c r="B1205" s="17"/>
      <c r="C1205" s="19"/>
      <c r="D1205" s="18"/>
      <c r="E1205" s="17"/>
      <c r="F1205" s="19"/>
      <c r="G1205" s="31"/>
      <c r="H1205" s="31"/>
      <c r="I1205" s="19"/>
      <c r="J1205" s="22"/>
      <c r="K1205" s="18"/>
      <c r="L1205" s="19"/>
      <c r="M1205" s="19"/>
      <c r="N1205" s="20"/>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row>
    <row r="1206" spans="1:45" x14ac:dyDescent="0.3">
      <c r="A1206" s="410" t="s">
        <v>5852</v>
      </c>
      <c r="B1206" s="17"/>
      <c r="C1206" s="19"/>
      <c r="D1206" s="18"/>
      <c r="E1206" s="17"/>
      <c r="F1206" s="19"/>
      <c r="G1206" s="31"/>
      <c r="H1206" s="31"/>
      <c r="I1206" s="19"/>
      <c r="J1206" s="22"/>
      <c r="K1206" s="18"/>
      <c r="L1206" s="19"/>
      <c r="M1206" s="19"/>
      <c r="N1206" s="20"/>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row>
    <row r="1207" spans="1:45" x14ac:dyDescent="0.3">
      <c r="A1207" s="410" t="s">
        <v>5853</v>
      </c>
      <c r="B1207" s="17"/>
      <c r="C1207" s="19"/>
      <c r="D1207" s="18"/>
      <c r="E1207" s="17"/>
      <c r="F1207" s="19"/>
      <c r="G1207" s="31"/>
      <c r="H1207" s="31"/>
      <c r="I1207" s="19"/>
      <c r="J1207" s="22"/>
      <c r="K1207" s="18"/>
      <c r="L1207" s="19"/>
      <c r="M1207" s="19"/>
      <c r="N1207" s="20"/>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row>
    <row r="1208" spans="1:45" x14ac:dyDescent="0.3">
      <c r="A1208" s="410" t="s">
        <v>5854</v>
      </c>
      <c r="B1208" s="17"/>
      <c r="C1208" s="19"/>
      <c r="D1208" s="18"/>
      <c r="E1208" s="17"/>
      <c r="F1208" s="19"/>
      <c r="G1208" s="31"/>
      <c r="H1208" s="31"/>
      <c r="I1208" s="19"/>
      <c r="J1208" s="22"/>
      <c r="K1208" s="18"/>
      <c r="L1208" s="19"/>
      <c r="M1208" s="19"/>
      <c r="N1208" s="20"/>
      <c r="O1208" s="19"/>
      <c r="P1208" s="19"/>
      <c r="Q1208" s="19"/>
      <c r="R1208" s="19"/>
      <c r="S1208" s="19"/>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row>
    <row r="1209" spans="1:45" x14ac:dyDescent="0.3">
      <c r="A1209" s="410" t="s">
        <v>5855</v>
      </c>
      <c r="B1209" s="17"/>
      <c r="C1209" s="19"/>
      <c r="D1209" s="18"/>
      <c r="E1209" s="17"/>
      <c r="F1209" s="19"/>
      <c r="G1209" s="31"/>
      <c r="H1209" s="31"/>
      <c r="I1209" s="19"/>
      <c r="J1209" s="22"/>
      <c r="K1209" s="18"/>
      <c r="L1209" s="19"/>
      <c r="M1209" s="19"/>
      <c r="N1209" s="20"/>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row>
    <row r="1210" spans="1:45" x14ac:dyDescent="0.3">
      <c r="A1210" s="410" t="s">
        <v>5856</v>
      </c>
      <c r="B1210" s="17"/>
      <c r="C1210" s="19"/>
      <c r="D1210" s="18"/>
      <c r="E1210" s="17"/>
      <c r="F1210" s="19"/>
      <c r="G1210" s="31"/>
      <c r="H1210" s="31"/>
      <c r="I1210" s="19"/>
      <c r="J1210" s="22"/>
      <c r="K1210" s="18"/>
      <c r="L1210" s="19"/>
      <c r="M1210" s="19"/>
      <c r="N1210" s="20"/>
      <c r="O1210" s="19"/>
      <c r="P1210" s="19"/>
      <c r="Q1210" s="19"/>
      <c r="R1210" s="19"/>
      <c r="S1210" s="19"/>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row>
    <row r="1211" spans="1:45" x14ac:dyDescent="0.3">
      <c r="A1211" s="410" t="s">
        <v>5857</v>
      </c>
      <c r="B1211" s="17"/>
      <c r="C1211" s="19"/>
      <c r="D1211" s="18"/>
      <c r="E1211" s="17"/>
      <c r="F1211" s="19"/>
      <c r="G1211" s="31"/>
      <c r="H1211" s="31"/>
      <c r="I1211" s="19"/>
      <c r="J1211" s="22"/>
      <c r="K1211" s="18"/>
      <c r="L1211" s="19"/>
      <c r="M1211" s="19"/>
      <c r="N1211" s="20"/>
      <c r="O1211" s="19"/>
      <c r="P1211" s="19"/>
      <c r="Q1211" s="19"/>
      <c r="R1211" s="19"/>
      <c r="S1211" s="19"/>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row>
    <row r="1212" spans="1:45" x14ac:dyDescent="0.3">
      <c r="A1212" s="410" t="s">
        <v>5858</v>
      </c>
      <c r="B1212" s="17"/>
      <c r="C1212" s="19"/>
      <c r="D1212" s="18"/>
      <c r="E1212" s="17"/>
      <c r="F1212" s="19"/>
      <c r="G1212" s="31"/>
      <c r="H1212" s="31"/>
      <c r="I1212" s="19"/>
      <c r="J1212" s="22"/>
      <c r="K1212" s="18"/>
      <c r="L1212" s="19"/>
      <c r="M1212" s="19"/>
      <c r="N1212" s="20"/>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row>
    <row r="1213" spans="1:45" x14ac:dyDescent="0.3">
      <c r="A1213" s="410" t="s">
        <v>5859</v>
      </c>
      <c r="B1213" s="17"/>
      <c r="C1213" s="19"/>
      <c r="D1213" s="18"/>
      <c r="E1213" s="17"/>
      <c r="F1213" s="19"/>
      <c r="G1213" s="31"/>
      <c r="H1213" s="31"/>
      <c r="I1213" s="19"/>
      <c r="J1213" s="22"/>
      <c r="K1213" s="18"/>
      <c r="L1213" s="19"/>
      <c r="M1213" s="19"/>
      <c r="N1213" s="20"/>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row>
    <row r="1214" spans="1:45" x14ac:dyDescent="0.3">
      <c r="A1214" s="410" t="s">
        <v>5860</v>
      </c>
      <c r="B1214" s="17"/>
      <c r="C1214" s="19"/>
      <c r="D1214" s="18"/>
      <c r="E1214" s="17"/>
      <c r="F1214" s="19"/>
      <c r="G1214" s="31"/>
      <c r="H1214" s="31"/>
      <c r="I1214" s="19"/>
      <c r="J1214" s="22"/>
      <c r="K1214" s="18"/>
      <c r="L1214" s="19"/>
      <c r="M1214" s="19"/>
      <c r="N1214" s="20"/>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row>
    <row r="1215" spans="1:45" x14ac:dyDescent="0.3">
      <c r="A1215" s="410" t="s">
        <v>5861</v>
      </c>
      <c r="B1215" s="17"/>
      <c r="C1215" s="19"/>
      <c r="D1215" s="18"/>
      <c r="E1215" s="17"/>
      <c r="F1215" s="19"/>
      <c r="G1215" s="31"/>
      <c r="H1215" s="31"/>
      <c r="I1215" s="19"/>
      <c r="J1215" s="22"/>
      <c r="K1215" s="18"/>
      <c r="L1215" s="19"/>
      <c r="M1215" s="19"/>
      <c r="N1215" s="20"/>
      <c r="O1215" s="19"/>
      <c r="P1215" s="19"/>
      <c r="Q1215" s="19"/>
      <c r="R1215" s="19"/>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row>
    <row r="1216" spans="1:45" x14ac:dyDescent="0.3">
      <c r="A1216" s="410"/>
      <c r="B1216" s="17"/>
      <c r="C1216" s="19"/>
      <c r="D1216" s="18"/>
      <c r="E1216" s="17"/>
      <c r="F1216" s="19"/>
      <c r="G1216" s="31"/>
      <c r="H1216" s="31"/>
      <c r="I1216" s="19"/>
      <c r="J1216" s="22"/>
      <c r="K1216" s="18"/>
      <c r="L1216" s="19"/>
      <c r="M1216" s="19"/>
      <c r="N1216" s="20"/>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row>
    <row r="1217" spans="1:45" x14ac:dyDescent="0.3">
      <c r="A1217" s="410" t="s">
        <v>2579</v>
      </c>
      <c r="B1217" s="17" t="s">
        <v>2580</v>
      </c>
      <c r="C1217" s="19" t="s">
        <v>1371</v>
      </c>
      <c r="D1217" s="19">
        <v>23215302</v>
      </c>
      <c r="E1217" s="17"/>
      <c r="F1217" s="19"/>
      <c r="G1217" s="31">
        <v>45345</v>
      </c>
      <c r="H1217" s="31">
        <v>45710</v>
      </c>
      <c r="I1217" s="19" t="s">
        <v>1372</v>
      </c>
      <c r="J1217" s="22" t="s">
        <v>1373</v>
      </c>
      <c r="K1217" s="18" t="s">
        <v>1372</v>
      </c>
      <c r="L1217" s="19" t="s">
        <v>1373</v>
      </c>
      <c r="M1217" s="19" t="s">
        <v>1372</v>
      </c>
      <c r="N1217" s="20" t="s">
        <v>2581</v>
      </c>
      <c r="O1217" s="19" t="s">
        <v>2582</v>
      </c>
      <c r="P1217" s="19"/>
      <c r="Q1217" s="19" t="s">
        <v>1372</v>
      </c>
      <c r="R1217" s="19" t="s">
        <v>1372</v>
      </c>
      <c r="S1217" s="19" t="s">
        <v>1372</v>
      </c>
      <c r="T1217" s="19" t="s">
        <v>1461</v>
      </c>
      <c r="U1217" s="19" t="s">
        <v>1372</v>
      </c>
      <c r="V1217" s="19" t="s">
        <v>1372</v>
      </c>
      <c r="W1217" s="19"/>
      <c r="X1217" s="19"/>
      <c r="Y1217" s="19"/>
      <c r="Z1217" s="19" t="s">
        <v>1372</v>
      </c>
      <c r="AA1217" s="19"/>
      <c r="AB1217" s="19"/>
      <c r="AC1217" s="19"/>
      <c r="AD1217" s="19"/>
      <c r="AE1217" s="19"/>
      <c r="AF1217" s="19"/>
      <c r="AG1217" s="19" t="s">
        <v>1372</v>
      </c>
      <c r="AH1217" s="19"/>
      <c r="AI1217" s="19"/>
      <c r="AJ1217" s="19"/>
      <c r="AK1217" s="19"/>
      <c r="AL1217" s="19"/>
      <c r="AM1217" s="19" t="s">
        <v>1372</v>
      </c>
      <c r="AN1217" s="19" t="s">
        <v>1372</v>
      </c>
      <c r="AO1217" s="19"/>
      <c r="AP1217" s="19"/>
      <c r="AQ1217" s="19"/>
      <c r="AR1217" s="19"/>
      <c r="AS1217" s="19"/>
    </row>
    <row r="1218" spans="1:45" x14ac:dyDescent="0.3">
      <c r="A1218" s="410" t="s">
        <v>2583</v>
      </c>
      <c r="B1218" s="17" t="s">
        <v>2584</v>
      </c>
      <c r="C1218" s="19" t="s">
        <v>1371</v>
      </c>
      <c r="D1218" s="19">
        <v>23138076</v>
      </c>
      <c r="E1218" s="17"/>
      <c r="F1218" s="19"/>
      <c r="G1218" s="31">
        <v>45345</v>
      </c>
      <c r="H1218" s="31">
        <v>45710</v>
      </c>
      <c r="I1218" s="19" t="s">
        <v>1372</v>
      </c>
      <c r="J1218" s="22" t="s">
        <v>1373</v>
      </c>
      <c r="K1218" s="18" t="s">
        <v>1372</v>
      </c>
      <c r="L1218" s="19" t="s">
        <v>1373</v>
      </c>
      <c r="M1218" s="19" t="s">
        <v>1372</v>
      </c>
      <c r="N1218" s="20" t="s">
        <v>2585</v>
      </c>
      <c r="O1218" s="19" t="s">
        <v>2582</v>
      </c>
      <c r="P1218" s="19"/>
      <c r="Q1218" s="19" t="s">
        <v>1372</v>
      </c>
      <c r="R1218" s="19" t="s">
        <v>1372</v>
      </c>
      <c r="S1218" s="19" t="s">
        <v>1372</v>
      </c>
      <c r="T1218" s="19" t="s">
        <v>1372</v>
      </c>
      <c r="U1218" s="19" t="s">
        <v>1372</v>
      </c>
      <c r="V1218" s="19" t="s">
        <v>1372</v>
      </c>
      <c r="W1218" s="19"/>
      <c r="X1218" s="19"/>
      <c r="Y1218" s="19"/>
      <c r="Z1218" s="19" t="s">
        <v>1372</v>
      </c>
      <c r="AA1218" s="19"/>
      <c r="AB1218" s="19"/>
      <c r="AC1218" s="19"/>
      <c r="AD1218" s="19"/>
      <c r="AE1218" s="19"/>
      <c r="AF1218" s="19" t="s">
        <v>1372</v>
      </c>
      <c r="AG1218" s="19" t="s">
        <v>1372</v>
      </c>
      <c r="AH1218" s="19"/>
      <c r="AI1218" s="19"/>
      <c r="AJ1218" s="19"/>
      <c r="AK1218" s="19"/>
      <c r="AL1218" s="19"/>
      <c r="AM1218" s="19" t="s">
        <v>1372</v>
      </c>
      <c r="AN1218" s="19" t="s">
        <v>1372</v>
      </c>
      <c r="AO1218" s="19"/>
      <c r="AP1218" s="19"/>
      <c r="AQ1218" s="19"/>
      <c r="AR1218" s="19"/>
      <c r="AS1218" s="19"/>
    </row>
    <row r="1219" spans="1:45" x14ac:dyDescent="0.3">
      <c r="A1219" s="410" t="s">
        <v>2586</v>
      </c>
      <c r="B1219" s="17"/>
      <c r="C1219" s="19"/>
      <c r="D1219" s="19"/>
      <c r="E1219" s="17"/>
      <c r="F1219" s="19"/>
      <c r="G1219" s="31"/>
      <c r="H1219" s="31"/>
      <c r="I1219" s="19"/>
      <c r="J1219" s="22"/>
      <c r="K1219" s="18"/>
      <c r="L1219" s="19"/>
      <c r="M1219" s="19"/>
      <c r="N1219" s="20"/>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row>
    <row r="1220" spans="1:45" x14ac:dyDescent="0.3">
      <c r="A1220" s="410" t="s">
        <v>2587</v>
      </c>
      <c r="B1220" s="17"/>
      <c r="C1220" s="19"/>
      <c r="D1220" s="18"/>
      <c r="E1220" s="17"/>
      <c r="F1220" s="19"/>
      <c r="G1220" s="31"/>
      <c r="H1220" s="31"/>
      <c r="I1220" s="19"/>
      <c r="J1220" s="22"/>
      <c r="K1220" s="18"/>
      <c r="L1220" s="19"/>
      <c r="M1220" s="19"/>
      <c r="N1220" s="20"/>
      <c r="O1220" s="19"/>
      <c r="P1220" s="19"/>
      <c r="Q1220" s="19"/>
      <c r="R1220" s="19"/>
      <c r="S1220" s="19"/>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row>
    <row r="1221" spans="1:45" x14ac:dyDescent="0.3">
      <c r="A1221" s="410" t="s">
        <v>2588</v>
      </c>
      <c r="B1221" s="17"/>
      <c r="C1221" s="19"/>
      <c r="D1221" s="18"/>
      <c r="E1221" s="17"/>
      <c r="F1221" s="19"/>
      <c r="G1221" s="31"/>
      <c r="H1221" s="31"/>
      <c r="I1221" s="19"/>
      <c r="J1221" s="22"/>
      <c r="K1221" s="18"/>
      <c r="L1221" s="19"/>
      <c r="M1221" s="19"/>
      <c r="N1221" s="20"/>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row>
    <row r="1222" spans="1:45" x14ac:dyDescent="0.3">
      <c r="A1222" s="410" t="s">
        <v>2589</v>
      </c>
      <c r="B1222" s="17"/>
      <c r="C1222" s="19"/>
      <c r="D1222" s="18"/>
      <c r="E1222" s="17"/>
      <c r="F1222" s="19"/>
      <c r="G1222" s="31"/>
      <c r="H1222" s="31"/>
      <c r="I1222" s="19"/>
      <c r="J1222" s="22"/>
      <c r="K1222" s="18"/>
      <c r="L1222" s="19"/>
      <c r="M1222" s="19"/>
      <c r="N1222" s="20"/>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row>
    <row r="1223" spans="1:45" x14ac:dyDescent="0.3">
      <c r="A1223" s="410" t="s">
        <v>2590</v>
      </c>
      <c r="B1223" s="17"/>
      <c r="C1223" s="19"/>
      <c r="D1223" s="18"/>
      <c r="E1223" s="18"/>
      <c r="F1223" s="19"/>
      <c r="G1223" s="31"/>
      <c r="H1223" s="31"/>
      <c r="I1223" s="19"/>
      <c r="J1223" s="22"/>
      <c r="K1223" s="18"/>
      <c r="L1223" s="19"/>
      <c r="M1223" s="19"/>
      <c r="N1223" s="20"/>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row>
    <row r="1224" spans="1:45" x14ac:dyDescent="0.3">
      <c r="A1224" s="410" t="s">
        <v>2591</v>
      </c>
      <c r="B1224" s="17"/>
      <c r="C1224" s="19"/>
      <c r="D1224" s="18"/>
      <c r="E1224" s="18"/>
      <c r="F1224" s="19"/>
      <c r="G1224" s="31"/>
      <c r="H1224" s="31"/>
      <c r="I1224" s="19"/>
      <c r="J1224" s="22"/>
      <c r="K1224" s="18"/>
      <c r="L1224" s="19"/>
      <c r="M1224" s="19"/>
      <c r="N1224" s="20"/>
      <c r="O1224" s="19"/>
      <c r="P1224" s="19"/>
      <c r="Q1224" s="19"/>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row>
    <row r="1225" spans="1:45" x14ac:dyDescent="0.3">
      <c r="A1225" s="410" t="s">
        <v>2592</v>
      </c>
      <c r="B1225" s="17"/>
      <c r="C1225" s="19"/>
      <c r="D1225" s="18"/>
      <c r="E1225" s="18"/>
      <c r="F1225" s="19"/>
      <c r="G1225" s="31"/>
      <c r="H1225" s="31"/>
      <c r="I1225" s="19"/>
      <c r="J1225" s="22"/>
      <c r="K1225" s="18"/>
      <c r="L1225" s="19"/>
      <c r="M1225" s="19"/>
      <c r="N1225" s="20"/>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row>
    <row r="1226" spans="1:45" x14ac:dyDescent="0.3">
      <c r="A1226" s="410" t="s">
        <v>2593</v>
      </c>
      <c r="B1226" s="17"/>
      <c r="C1226" s="19"/>
      <c r="D1226" s="18"/>
      <c r="E1226" s="18"/>
      <c r="F1226" s="19"/>
      <c r="G1226" s="31"/>
      <c r="H1226" s="31"/>
      <c r="I1226" s="19"/>
      <c r="J1226" s="22"/>
      <c r="K1226" s="18"/>
      <c r="L1226" s="19"/>
      <c r="M1226" s="19"/>
      <c r="N1226" s="20"/>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row>
    <row r="1227" spans="1:45" x14ac:dyDescent="0.3">
      <c r="A1227" s="410" t="s">
        <v>2594</v>
      </c>
      <c r="B1227" s="17"/>
      <c r="C1227" s="19"/>
      <c r="D1227" s="18"/>
      <c r="E1227" s="18"/>
      <c r="F1227" s="19"/>
      <c r="G1227" s="31"/>
      <c r="H1227" s="31"/>
      <c r="I1227" s="19"/>
      <c r="J1227" s="22"/>
      <c r="K1227" s="18"/>
      <c r="L1227" s="19"/>
      <c r="M1227" s="19"/>
      <c r="N1227" s="20"/>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row>
    <row r="1228" spans="1:45" x14ac:dyDescent="0.3">
      <c r="A1228" s="410" t="s">
        <v>2595</v>
      </c>
      <c r="B1228" s="17"/>
      <c r="C1228" s="19"/>
      <c r="D1228" s="18"/>
      <c r="E1228" s="18"/>
      <c r="F1228" s="19"/>
      <c r="G1228" s="31"/>
      <c r="H1228" s="31"/>
      <c r="I1228" s="19"/>
      <c r="J1228" s="22"/>
      <c r="K1228" s="18"/>
      <c r="L1228" s="19"/>
      <c r="M1228" s="19"/>
      <c r="N1228" s="20"/>
      <c r="O1228" s="19"/>
      <c r="P1228" s="19"/>
      <c r="Q1228" s="19"/>
      <c r="R1228" s="19"/>
      <c r="S1228" s="19"/>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row>
    <row r="1229" spans="1:45" x14ac:dyDescent="0.3">
      <c r="A1229" s="410" t="s">
        <v>2596</v>
      </c>
      <c r="B1229" s="17"/>
      <c r="C1229" s="19"/>
      <c r="D1229" s="18"/>
      <c r="E1229" s="18"/>
      <c r="F1229" s="19"/>
      <c r="G1229" s="31"/>
      <c r="H1229" s="31"/>
      <c r="I1229" s="19"/>
      <c r="J1229" s="22"/>
      <c r="K1229" s="18"/>
      <c r="L1229" s="19"/>
      <c r="M1229" s="19"/>
      <c r="N1229" s="20"/>
      <c r="O1229" s="19"/>
      <c r="P1229" s="19"/>
      <c r="Q1229" s="19"/>
      <c r="R1229" s="19"/>
      <c r="S1229" s="19"/>
      <c r="T1229" s="19"/>
      <c r="U1229" s="19"/>
      <c r="V1229" s="19"/>
      <c r="W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row>
    <row r="1230" spans="1:45" x14ac:dyDescent="0.3">
      <c r="A1230" s="410" t="s">
        <v>2597</v>
      </c>
      <c r="B1230" s="17"/>
      <c r="C1230" s="19"/>
      <c r="D1230" s="18"/>
      <c r="E1230" s="18"/>
      <c r="F1230" s="19"/>
      <c r="G1230" s="31"/>
      <c r="H1230" s="31"/>
      <c r="I1230" s="19"/>
      <c r="J1230" s="22"/>
      <c r="K1230" s="18"/>
      <c r="L1230" s="19"/>
      <c r="M1230" s="19"/>
      <c r="N1230" s="20"/>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row>
    <row r="1231" spans="1:45" x14ac:dyDescent="0.3">
      <c r="A1231" s="410" t="s">
        <v>2598</v>
      </c>
      <c r="B1231" s="17"/>
      <c r="C1231" s="19"/>
      <c r="D1231" s="18"/>
      <c r="E1231" s="18"/>
      <c r="F1231" s="19"/>
      <c r="G1231" s="31"/>
      <c r="H1231" s="31"/>
      <c r="I1231" s="19"/>
      <c r="J1231" s="22"/>
      <c r="K1231" s="18"/>
      <c r="L1231" s="19"/>
      <c r="M1231" s="19"/>
      <c r="N1231" s="20"/>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row>
    <row r="1232" spans="1:45" x14ac:dyDescent="0.3">
      <c r="A1232" s="410" t="s">
        <v>2599</v>
      </c>
      <c r="B1232" s="17"/>
      <c r="C1232" s="19"/>
      <c r="D1232" s="18"/>
      <c r="E1232" s="18"/>
      <c r="F1232" s="19"/>
      <c r="G1232" s="31"/>
      <c r="H1232" s="31"/>
      <c r="I1232" s="19"/>
      <c r="J1232" s="22"/>
      <c r="K1232" s="18"/>
      <c r="L1232" s="19"/>
      <c r="M1232" s="19"/>
      <c r="N1232" s="20"/>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row>
    <row r="1233" spans="1:45" x14ac:dyDescent="0.3">
      <c r="A1233" s="410" t="s">
        <v>2600</v>
      </c>
      <c r="B1233" s="17"/>
      <c r="C1233" s="19"/>
      <c r="D1233" s="18"/>
      <c r="E1233" s="18"/>
      <c r="F1233" s="19"/>
      <c r="G1233" s="31"/>
      <c r="H1233" s="31"/>
      <c r="I1233" s="19"/>
      <c r="J1233" s="22"/>
      <c r="K1233" s="18"/>
      <c r="L1233" s="19"/>
      <c r="M1233" s="19"/>
      <c r="N1233" s="20"/>
      <c r="O1233" s="19"/>
      <c r="P1233" s="19"/>
      <c r="Q1233" s="19"/>
      <c r="R1233" s="19"/>
      <c r="S1233" s="19"/>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row>
    <row r="1234" spans="1:45" x14ac:dyDescent="0.3">
      <c r="A1234" s="410" t="s">
        <v>2601</v>
      </c>
      <c r="B1234" s="17"/>
      <c r="C1234" s="19"/>
      <c r="D1234" s="18"/>
      <c r="E1234" s="18"/>
      <c r="F1234" s="19"/>
      <c r="G1234" s="31"/>
      <c r="H1234" s="31"/>
      <c r="I1234" s="19"/>
      <c r="J1234" s="22"/>
      <c r="K1234" s="18"/>
      <c r="L1234" s="19"/>
      <c r="M1234" s="19"/>
      <c r="N1234" s="20"/>
      <c r="O1234" s="19"/>
      <c r="P1234" s="19"/>
      <c r="Q1234" s="19"/>
      <c r="R1234" s="19"/>
      <c r="S1234" s="19"/>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row>
    <row r="1235" spans="1:45" x14ac:dyDescent="0.3">
      <c r="A1235" s="410" t="s">
        <v>2602</v>
      </c>
      <c r="B1235" s="17"/>
      <c r="C1235" s="19"/>
      <c r="D1235" s="18"/>
      <c r="E1235" s="18"/>
      <c r="F1235" s="19"/>
      <c r="G1235" s="31"/>
      <c r="H1235" s="31"/>
      <c r="I1235" s="19"/>
      <c r="J1235" s="22"/>
      <c r="K1235" s="18"/>
      <c r="L1235" s="19"/>
      <c r="M1235" s="19"/>
      <c r="N1235" s="20"/>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row>
    <row r="1236" spans="1:45" x14ac:dyDescent="0.3">
      <c r="A1236" s="410" t="s">
        <v>2603</v>
      </c>
      <c r="B1236" s="17"/>
      <c r="C1236" s="19"/>
      <c r="D1236" s="18"/>
      <c r="E1236" s="18"/>
      <c r="F1236" s="19"/>
      <c r="G1236" s="31"/>
      <c r="H1236" s="31"/>
      <c r="I1236" s="19"/>
      <c r="J1236" s="22"/>
      <c r="K1236" s="18"/>
      <c r="L1236" s="19"/>
      <c r="M1236" s="19"/>
      <c r="N1236" s="20"/>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row>
    <row r="1237" spans="1:45" x14ac:dyDescent="0.3">
      <c r="A1237" s="410" t="s">
        <v>2604</v>
      </c>
      <c r="B1237" s="17"/>
      <c r="C1237" s="19"/>
      <c r="D1237" s="18"/>
      <c r="E1237" s="18"/>
      <c r="F1237" s="19"/>
      <c r="G1237" s="31"/>
      <c r="H1237" s="31"/>
      <c r="I1237" s="19"/>
      <c r="J1237" s="22"/>
      <c r="K1237" s="18"/>
      <c r="L1237" s="19"/>
      <c r="M1237" s="19"/>
      <c r="N1237" s="20"/>
      <c r="O1237" s="19"/>
      <c r="P1237" s="19"/>
      <c r="Q1237" s="19"/>
      <c r="R1237" s="19"/>
      <c r="S1237" s="19"/>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row>
    <row r="1238" spans="1:45" x14ac:dyDescent="0.3">
      <c r="A1238" s="410" t="s">
        <v>2605</v>
      </c>
      <c r="B1238" s="17"/>
      <c r="C1238" s="19"/>
      <c r="D1238" s="18"/>
      <c r="E1238" s="18"/>
      <c r="F1238" s="19"/>
      <c r="G1238" s="31"/>
      <c r="H1238" s="31"/>
      <c r="I1238" s="19"/>
      <c r="J1238" s="22"/>
      <c r="K1238" s="18"/>
      <c r="L1238" s="19"/>
      <c r="M1238" s="19"/>
      <c r="N1238" s="20"/>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row>
    <row r="1239" spans="1:45" x14ac:dyDescent="0.3">
      <c r="A1239" s="410" t="s">
        <v>2606</v>
      </c>
      <c r="B1239" s="17"/>
      <c r="C1239" s="19"/>
      <c r="D1239" s="18"/>
      <c r="E1239" s="18"/>
      <c r="F1239" s="19"/>
      <c r="G1239" s="31"/>
      <c r="H1239" s="31"/>
      <c r="I1239" s="19"/>
      <c r="J1239" s="22"/>
      <c r="K1239" s="18"/>
      <c r="L1239" s="19"/>
      <c r="M1239" s="19"/>
      <c r="N1239" s="20"/>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row>
    <row r="1240" spans="1:45" x14ac:dyDescent="0.3">
      <c r="A1240" s="410" t="s">
        <v>2607</v>
      </c>
      <c r="B1240" s="17"/>
      <c r="C1240" s="19"/>
      <c r="D1240" s="18"/>
      <c r="E1240" s="18"/>
      <c r="F1240" s="19"/>
      <c r="G1240" s="31"/>
      <c r="H1240" s="31"/>
      <c r="I1240" s="19"/>
      <c r="J1240" s="22"/>
      <c r="K1240" s="18"/>
      <c r="L1240" s="19"/>
      <c r="M1240" s="19"/>
      <c r="N1240" s="20"/>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row>
    <row r="1241" spans="1:45" x14ac:dyDescent="0.3">
      <c r="A1241" s="410" t="s">
        <v>2608</v>
      </c>
      <c r="B1241" s="17"/>
      <c r="C1241" s="19"/>
      <c r="D1241" s="18"/>
      <c r="E1241" s="18"/>
      <c r="F1241" s="19"/>
      <c r="G1241" s="31"/>
      <c r="H1241" s="31"/>
      <c r="I1241" s="19"/>
      <c r="J1241" s="22"/>
      <c r="K1241" s="18"/>
      <c r="L1241" s="19"/>
      <c r="M1241" s="19"/>
      <c r="N1241" s="20"/>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row>
    <row r="1242" spans="1:45" x14ac:dyDescent="0.3">
      <c r="A1242" s="410" t="s">
        <v>2609</v>
      </c>
      <c r="B1242" s="17"/>
      <c r="C1242" s="19"/>
      <c r="D1242" s="18"/>
      <c r="E1242" s="18"/>
      <c r="F1242" s="19"/>
      <c r="G1242" s="31"/>
      <c r="H1242" s="31"/>
      <c r="I1242" s="19"/>
      <c r="J1242" s="22"/>
      <c r="K1242" s="18"/>
      <c r="L1242" s="19"/>
      <c r="M1242" s="19"/>
      <c r="N1242" s="20"/>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row>
    <row r="1243" spans="1:45" x14ac:dyDescent="0.3">
      <c r="A1243" s="410" t="s">
        <v>2610</v>
      </c>
      <c r="B1243" s="17"/>
      <c r="C1243" s="19"/>
      <c r="D1243" s="18"/>
      <c r="E1243" s="18"/>
      <c r="F1243" s="19"/>
      <c r="G1243" s="31"/>
      <c r="H1243" s="31"/>
      <c r="I1243" s="19"/>
      <c r="J1243" s="22"/>
      <c r="K1243" s="18"/>
      <c r="L1243" s="19"/>
      <c r="M1243" s="19"/>
      <c r="N1243" s="20"/>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row>
    <row r="1244" spans="1:45" x14ac:dyDescent="0.3">
      <c r="A1244" s="410" t="s">
        <v>2611</v>
      </c>
      <c r="B1244" s="17"/>
      <c r="C1244" s="19"/>
      <c r="D1244" s="18"/>
      <c r="E1244" s="18"/>
      <c r="F1244" s="19"/>
      <c r="G1244" s="31"/>
      <c r="H1244" s="31"/>
      <c r="I1244" s="19"/>
      <c r="J1244" s="22"/>
      <c r="K1244" s="18"/>
      <c r="L1244" s="19"/>
      <c r="M1244" s="19"/>
      <c r="N1244" s="20"/>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row>
    <row r="1245" spans="1:45" x14ac:dyDescent="0.3">
      <c r="A1245" s="410" t="s">
        <v>2612</v>
      </c>
      <c r="B1245" s="17"/>
      <c r="C1245" s="19"/>
      <c r="D1245" s="18"/>
      <c r="E1245" s="18"/>
      <c r="F1245" s="19"/>
      <c r="G1245" s="31"/>
      <c r="H1245" s="31"/>
      <c r="I1245" s="19"/>
      <c r="J1245" s="22"/>
      <c r="K1245" s="18"/>
      <c r="L1245" s="19"/>
      <c r="M1245" s="19"/>
      <c r="N1245" s="20"/>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row>
    <row r="1246" spans="1:45" x14ac:dyDescent="0.3">
      <c r="A1246" s="410" t="s">
        <v>2613</v>
      </c>
      <c r="B1246" s="17"/>
      <c r="C1246" s="19"/>
      <c r="D1246" s="18"/>
      <c r="E1246" s="18"/>
      <c r="F1246" s="19"/>
      <c r="G1246" s="31"/>
      <c r="H1246" s="31"/>
      <c r="I1246" s="19"/>
      <c r="J1246" s="22"/>
      <c r="K1246" s="18"/>
      <c r="L1246" s="19"/>
      <c r="M1246" s="19"/>
      <c r="N1246" s="20"/>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row>
    <row r="1247" spans="1:45" x14ac:dyDescent="0.3">
      <c r="A1247" s="410" t="s">
        <v>2614</v>
      </c>
      <c r="B1247" s="17"/>
      <c r="C1247" s="19"/>
      <c r="D1247" s="18"/>
      <c r="E1247" s="18"/>
      <c r="F1247" s="19"/>
      <c r="G1247" s="31"/>
      <c r="H1247" s="31"/>
      <c r="I1247" s="19"/>
      <c r="J1247" s="22"/>
      <c r="K1247" s="18"/>
      <c r="L1247" s="19"/>
      <c r="M1247" s="19"/>
      <c r="N1247" s="20"/>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row>
    <row r="1248" spans="1:45" x14ac:dyDescent="0.3">
      <c r="A1248" s="410" t="s">
        <v>2615</v>
      </c>
      <c r="B1248" s="17"/>
      <c r="C1248" s="19"/>
      <c r="D1248" s="18"/>
      <c r="E1248" s="18"/>
      <c r="F1248" s="19"/>
      <c r="G1248" s="31"/>
      <c r="H1248" s="31"/>
      <c r="I1248" s="19"/>
      <c r="J1248" s="22"/>
      <c r="K1248" s="18"/>
      <c r="L1248" s="19"/>
      <c r="M1248" s="19"/>
      <c r="N1248" s="20"/>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row>
    <row r="1249" spans="1:45" x14ac:dyDescent="0.3">
      <c r="A1249" s="410" t="s">
        <v>2616</v>
      </c>
      <c r="B1249" s="17"/>
      <c r="C1249" s="19"/>
      <c r="D1249" s="18"/>
      <c r="E1249" s="18"/>
      <c r="F1249" s="19"/>
      <c r="G1249" s="31"/>
      <c r="H1249" s="31"/>
      <c r="I1249" s="19"/>
      <c r="J1249" s="22"/>
      <c r="K1249" s="18"/>
      <c r="L1249" s="19"/>
      <c r="M1249" s="19"/>
      <c r="N1249" s="20"/>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row>
    <row r="1250" spans="1:45" x14ac:dyDescent="0.3">
      <c r="A1250" s="410" t="s">
        <v>2617</v>
      </c>
      <c r="B1250" s="17"/>
      <c r="C1250" s="19"/>
      <c r="D1250" s="18"/>
      <c r="E1250" s="18"/>
      <c r="F1250" s="19"/>
      <c r="G1250" s="31"/>
      <c r="H1250" s="31"/>
      <c r="I1250" s="19"/>
      <c r="J1250" s="22"/>
      <c r="K1250" s="18"/>
      <c r="L1250" s="19"/>
      <c r="M1250" s="19"/>
      <c r="N1250" s="20"/>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row>
    <row r="1251" spans="1:45" x14ac:dyDescent="0.3">
      <c r="A1251" s="410" t="s">
        <v>2618</v>
      </c>
      <c r="B1251" s="17"/>
      <c r="C1251" s="19"/>
      <c r="D1251" s="18"/>
      <c r="E1251" s="18"/>
      <c r="F1251" s="19"/>
      <c r="G1251" s="31"/>
      <c r="H1251" s="31"/>
      <c r="I1251" s="19"/>
      <c r="J1251" s="22"/>
      <c r="K1251" s="18"/>
      <c r="L1251" s="19"/>
      <c r="M1251" s="19"/>
      <c r="N1251" s="20"/>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row>
    <row r="1252" spans="1:45" x14ac:dyDescent="0.3">
      <c r="A1252" s="410" t="s">
        <v>2619</v>
      </c>
      <c r="B1252" s="17"/>
      <c r="C1252" s="19"/>
      <c r="D1252" s="18"/>
      <c r="E1252" s="18"/>
      <c r="F1252" s="19"/>
      <c r="G1252" s="31"/>
      <c r="H1252" s="31"/>
      <c r="I1252" s="19"/>
      <c r="J1252" s="22"/>
      <c r="K1252" s="18"/>
      <c r="L1252" s="19"/>
      <c r="M1252" s="19"/>
      <c r="N1252" s="20"/>
      <c r="O1252" s="19"/>
      <c r="P1252" s="19"/>
      <c r="Q1252" s="19"/>
      <c r="R1252" s="19"/>
      <c r="S1252" s="19"/>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row>
    <row r="1253" spans="1:45" x14ac:dyDescent="0.3">
      <c r="A1253" s="410" t="s">
        <v>2620</v>
      </c>
      <c r="B1253" s="17"/>
      <c r="C1253" s="19"/>
      <c r="D1253" s="18"/>
      <c r="E1253" s="18"/>
      <c r="F1253" s="19"/>
      <c r="G1253" s="31"/>
      <c r="H1253" s="31"/>
      <c r="I1253" s="19"/>
      <c r="J1253" s="22"/>
      <c r="K1253" s="18"/>
      <c r="L1253" s="19"/>
      <c r="M1253" s="19"/>
      <c r="N1253" s="20"/>
      <c r="O1253" s="19"/>
      <c r="P1253" s="19"/>
      <c r="Q1253" s="19"/>
      <c r="R1253" s="19"/>
      <c r="S1253" s="19"/>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row>
    <row r="1254" spans="1:45" x14ac:dyDescent="0.3">
      <c r="A1254" s="410" t="s">
        <v>2621</v>
      </c>
      <c r="B1254" s="17"/>
      <c r="C1254" s="19"/>
      <c r="D1254" s="18"/>
      <c r="E1254" s="18"/>
      <c r="F1254" s="19"/>
      <c r="G1254" s="31"/>
      <c r="H1254" s="31"/>
      <c r="I1254" s="19"/>
      <c r="J1254" s="22"/>
      <c r="K1254" s="18"/>
      <c r="L1254" s="19"/>
      <c r="M1254" s="19"/>
      <c r="N1254" s="20"/>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row>
    <row r="1255" spans="1:45" x14ac:dyDescent="0.3">
      <c r="A1255" s="410" t="s">
        <v>2622</v>
      </c>
      <c r="B1255" s="17"/>
      <c r="C1255" s="19"/>
      <c r="D1255" s="18"/>
      <c r="E1255" s="18"/>
      <c r="F1255" s="19"/>
      <c r="G1255" s="31"/>
      <c r="H1255" s="31"/>
      <c r="I1255" s="19"/>
      <c r="J1255" s="22"/>
      <c r="K1255" s="18"/>
      <c r="L1255" s="19"/>
      <c r="M1255" s="19"/>
      <c r="N1255" s="20"/>
      <c r="O1255" s="19"/>
      <c r="P1255" s="19"/>
      <c r="Q1255" s="19"/>
      <c r="R1255" s="19"/>
      <c r="S1255" s="19"/>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row>
    <row r="1256" spans="1:45" x14ac:dyDescent="0.3">
      <c r="A1256" s="410" t="s">
        <v>2623</v>
      </c>
      <c r="B1256" s="17"/>
      <c r="C1256" s="19"/>
      <c r="D1256" s="18"/>
      <c r="E1256" s="18"/>
      <c r="F1256" s="19"/>
      <c r="G1256" s="31"/>
      <c r="H1256" s="31"/>
      <c r="I1256" s="19"/>
      <c r="J1256" s="22"/>
      <c r="K1256" s="18"/>
      <c r="L1256" s="19"/>
      <c r="M1256" s="19"/>
      <c r="N1256" s="20"/>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row>
    <row r="1257" spans="1:45" x14ac:dyDescent="0.3">
      <c r="A1257" s="410" t="s">
        <v>2624</v>
      </c>
      <c r="B1257" s="17"/>
      <c r="C1257" s="19"/>
      <c r="D1257" s="18"/>
      <c r="E1257" s="18"/>
      <c r="F1257" s="19"/>
      <c r="G1257" s="31"/>
      <c r="H1257" s="31"/>
      <c r="I1257" s="19"/>
      <c r="J1257" s="22"/>
      <c r="K1257" s="18"/>
      <c r="L1257" s="19"/>
      <c r="M1257" s="19"/>
      <c r="N1257" s="20"/>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row>
    <row r="1258" spans="1:45" x14ac:dyDescent="0.3">
      <c r="A1258" s="410" t="s">
        <v>2625</v>
      </c>
      <c r="B1258" s="17"/>
      <c r="C1258" s="19"/>
      <c r="D1258" s="18"/>
      <c r="E1258" s="18"/>
      <c r="F1258" s="19"/>
      <c r="G1258" s="31"/>
      <c r="H1258" s="31"/>
      <c r="I1258" s="19"/>
      <c r="J1258" s="22"/>
      <c r="K1258" s="18"/>
      <c r="L1258" s="19"/>
      <c r="M1258" s="19"/>
      <c r="N1258" s="20"/>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row>
    <row r="1259" spans="1:45" x14ac:dyDescent="0.3">
      <c r="A1259" s="410" t="s">
        <v>2626</v>
      </c>
      <c r="B1259" s="17"/>
      <c r="C1259" s="19"/>
      <c r="D1259" s="18"/>
      <c r="E1259" s="18"/>
      <c r="F1259" s="19"/>
      <c r="G1259" s="31"/>
      <c r="H1259" s="31"/>
      <c r="I1259" s="19"/>
      <c r="J1259" s="22"/>
      <c r="K1259" s="18"/>
      <c r="L1259" s="19"/>
      <c r="M1259" s="19"/>
      <c r="N1259" s="20"/>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row>
    <row r="1260" spans="1:45" x14ac:dyDescent="0.3">
      <c r="A1260" s="410" t="s">
        <v>2627</v>
      </c>
      <c r="B1260" s="17"/>
      <c r="C1260" s="19"/>
      <c r="D1260" s="18"/>
      <c r="E1260" s="18"/>
      <c r="F1260" s="19"/>
      <c r="G1260" s="31"/>
      <c r="H1260" s="31"/>
      <c r="I1260" s="19"/>
      <c r="J1260" s="22"/>
      <c r="K1260" s="18"/>
      <c r="L1260" s="19"/>
      <c r="M1260" s="19"/>
      <c r="N1260" s="20"/>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row>
    <row r="1261" spans="1:45" x14ac:dyDescent="0.3">
      <c r="A1261" s="410" t="s">
        <v>2628</v>
      </c>
      <c r="B1261" s="17"/>
      <c r="C1261" s="19"/>
      <c r="D1261" s="18"/>
      <c r="E1261" s="18"/>
      <c r="F1261" s="19"/>
      <c r="G1261" s="31"/>
      <c r="H1261" s="31"/>
      <c r="I1261" s="19"/>
      <c r="J1261" s="22"/>
      <c r="K1261" s="18"/>
      <c r="L1261" s="19"/>
      <c r="M1261" s="19"/>
      <c r="N1261" s="20"/>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row>
    <row r="1262" spans="1:45" x14ac:dyDescent="0.3">
      <c r="A1262" s="410" t="s">
        <v>2629</v>
      </c>
      <c r="B1262" s="17"/>
      <c r="C1262" s="19"/>
      <c r="D1262" s="18"/>
      <c r="E1262" s="18"/>
      <c r="F1262" s="19"/>
      <c r="G1262" s="31"/>
      <c r="H1262" s="31"/>
      <c r="I1262" s="19"/>
      <c r="J1262" s="22"/>
      <c r="K1262" s="18"/>
      <c r="L1262" s="19"/>
      <c r="M1262" s="19"/>
      <c r="N1262" s="20"/>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row>
    <row r="1263" spans="1:45" x14ac:dyDescent="0.3">
      <c r="A1263" s="410" t="s">
        <v>2630</v>
      </c>
      <c r="B1263" s="17"/>
      <c r="C1263" s="19"/>
      <c r="D1263" s="18"/>
      <c r="E1263" s="18"/>
      <c r="F1263" s="19"/>
      <c r="G1263" s="31"/>
      <c r="H1263" s="31"/>
      <c r="I1263" s="19"/>
      <c r="J1263" s="22"/>
      <c r="K1263" s="18"/>
      <c r="L1263" s="19"/>
      <c r="M1263" s="19"/>
      <c r="N1263" s="20"/>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row>
    <row r="1264" spans="1:45" x14ac:dyDescent="0.3">
      <c r="A1264" s="410" t="s">
        <v>2631</v>
      </c>
      <c r="B1264" s="17"/>
      <c r="C1264" s="19"/>
      <c r="D1264" s="18"/>
      <c r="E1264" s="18"/>
      <c r="F1264" s="19"/>
      <c r="G1264" s="31"/>
      <c r="H1264" s="31"/>
      <c r="I1264" s="19"/>
      <c r="J1264" s="22"/>
      <c r="K1264" s="18"/>
      <c r="L1264" s="19"/>
      <c r="M1264" s="19"/>
      <c r="N1264" s="20"/>
      <c r="O1264" s="19"/>
      <c r="P1264" s="19"/>
      <c r="Q1264" s="19"/>
      <c r="R1264" s="19"/>
      <c r="S1264" s="19"/>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row>
    <row r="1265" spans="1:45" x14ac:dyDescent="0.3">
      <c r="A1265" s="410" t="s">
        <v>2632</v>
      </c>
      <c r="B1265" s="17"/>
      <c r="C1265" s="19"/>
      <c r="D1265" s="18"/>
      <c r="E1265" s="18"/>
      <c r="F1265" s="19"/>
      <c r="G1265" s="31"/>
      <c r="H1265" s="31"/>
      <c r="I1265" s="19"/>
      <c r="J1265" s="22"/>
      <c r="K1265" s="18"/>
      <c r="L1265" s="19"/>
      <c r="M1265" s="19"/>
      <c r="N1265" s="20"/>
      <c r="O1265" s="19"/>
      <c r="P1265" s="19"/>
      <c r="Q1265" s="19"/>
      <c r="R1265" s="19"/>
      <c r="S1265" s="19"/>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row>
    <row r="1266" spans="1:45" x14ac:dyDescent="0.3">
      <c r="A1266" s="410" t="s">
        <v>2633</v>
      </c>
      <c r="B1266" s="17"/>
      <c r="C1266" s="19"/>
      <c r="D1266" s="18"/>
      <c r="E1266" s="18"/>
      <c r="F1266" s="19"/>
      <c r="G1266" s="31"/>
      <c r="H1266" s="31"/>
      <c r="I1266" s="19"/>
      <c r="J1266" s="22"/>
      <c r="K1266" s="18"/>
      <c r="L1266" s="19"/>
      <c r="M1266" s="19"/>
      <c r="N1266" s="20"/>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row>
    <row r="1267" spans="1:45" x14ac:dyDescent="0.3">
      <c r="A1267" s="410" t="s">
        <v>2634</v>
      </c>
      <c r="B1267" s="17"/>
      <c r="C1267" s="19"/>
      <c r="D1267" s="18"/>
      <c r="E1267" s="18"/>
      <c r="F1267" s="19"/>
      <c r="G1267" s="31"/>
      <c r="H1267" s="31"/>
      <c r="I1267" s="19"/>
      <c r="J1267" s="22"/>
      <c r="K1267" s="18"/>
      <c r="L1267" s="19"/>
      <c r="M1267" s="19"/>
      <c r="N1267" s="20"/>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row>
    <row r="1268" spans="1:45" x14ac:dyDescent="0.3">
      <c r="A1268" s="410" t="s">
        <v>2635</v>
      </c>
      <c r="B1268" s="17"/>
      <c r="C1268" s="19"/>
      <c r="D1268" s="18"/>
      <c r="E1268" s="18"/>
      <c r="F1268" s="19"/>
      <c r="G1268" s="31"/>
      <c r="H1268" s="31"/>
      <c r="I1268" s="19"/>
      <c r="J1268" s="22"/>
      <c r="K1268" s="18"/>
      <c r="L1268" s="19"/>
      <c r="M1268" s="19"/>
      <c r="N1268" s="20"/>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row>
    <row r="1269" spans="1:45" x14ac:dyDescent="0.3">
      <c r="A1269" s="410" t="s">
        <v>2636</v>
      </c>
      <c r="B1269" s="17"/>
      <c r="C1269" s="19"/>
      <c r="D1269" s="18"/>
      <c r="E1269" s="18"/>
      <c r="F1269" s="19"/>
      <c r="G1269" s="31"/>
      <c r="H1269" s="31"/>
      <c r="I1269" s="19"/>
      <c r="J1269" s="22"/>
      <c r="K1269" s="18"/>
      <c r="L1269" s="19"/>
      <c r="M1269" s="19"/>
      <c r="N1269" s="20"/>
      <c r="O1269" s="19"/>
      <c r="P1269" s="19"/>
      <c r="Q1269" s="19"/>
      <c r="R1269" s="19"/>
      <c r="S1269" s="19"/>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row>
    <row r="1270" spans="1:45" x14ac:dyDescent="0.3">
      <c r="A1270" s="410" t="s">
        <v>2637</v>
      </c>
      <c r="B1270" s="17"/>
      <c r="C1270" s="19"/>
      <c r="D1270" s="18"/>
      <c r="E1270" s="18"/>
      <c r="F1270" s="19"/>
      <c r="G1270" s="31"/>
      <c r="H1270" s="31"/>
      <c r="I1270" s="19"/>
      <c r="J1270" s="22"/>
      <c r="K1270" s="18"/>
      <c r="L1270" s="19"/>
      <c r="M1270" s="19"/>
      <c r="N1270" s="20"/>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row>
    <row r="1271" spans="1:45" x14ac:dyDescent="0.3">
      <c r="A1271" s="410" t="s">
        <v>2638</v>
      </c>
      <c r="B1271" s="17"/>
      <c r="C1271" s="19"/>
      <c r="D1271" s="18"/>
      <c r="E1271" s="18"/>
      <c r="F1271" s="19"/>
      <c r="G1271" s="31"/>
      <c r="H1271" s="31"/>
      <c r="I1271" s="19"/>
      <c r="J1271" s="22"/>
      <c r="K1271" s="18"/>
      <c r="L1271" s="19"/>
      <c r="M1271" s="19"/>
      <c r="N1271" s="20"/>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row>
    <row r="1272" spans="1:45" x14ac:dyDescent="0.3">
      <c r="A1272" s="410" t="s">
        <v>2639</v>
      </c>
      <c r="B1272" s="17"/>
      <c r="C1272" s="19"/>
      <c r="D1272" s="18"/>
      <c r="E1272" s="18"/>
      <c r="F1272" s="19"/>
      <c r="G1272" s="31"/>
      <c r="H1272" s="31"/>
      <c r="I1272" s="19"/>
      <c r="J1272" s="22"/>
      <c r="K1272" s="18"/>
      <c r="L1272" s="19"/>
      <c r="M1272" s="19"/>
      <c r="N1272" s="20"/>
      <c r="O1272" s="19"/>
      <c r="P1272" s="19"/>
      <c r="Q1272" s="19"/>
      <c r="R1272" s="19"/>
      <c r="S1272" s="19"/>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row>
    <row r="1273" spans="1:45" x14ac:dyDescent="0.3">
      <c r="A1273" s="410" t="s">
        <v>2640</v>
      </c>
      <c r="B1273" s="17"/>
      <c r="C1273" s="19"/>
      <c r="D1273" s="18"/>
      <c r="E1273" s="18"/>
      <c r="F1273" s="19"/>
      <c r="G1273" s="31"/>
      <c r="H1273" s="31"/>
      <c r="I1273" s="19"/>
      <c r="J1273" s="22"/>
      <c r="K1273" s="18"/>
      <c r="L1273" s="19"/>
      <c r="M1273" s="19"/>
      <c r="N1273" s="20"/>
      <c r="O1273" s="19"/>
      <c r="P1273" s="19"/>
      <c r="Q1273" s="19"/>
      <c r="R1273" s="19"/>
      <c r="S1273" s="19"/>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row>
    <row r="1274" spans="1:45" x14ac:dyDescent="0.3">
      <c r="A1274" s="410" t="s">
        <v>2641</v>
      </c>
      <c r="B1274" s="17"/>
      <c r="C1274" s="19"/>
      <c r="D1274" s="18"/>
      <c r="E1274" s="18"/>
      <c r="F1274" s="19"/>
      <c r="G1274" s="31"/>
      <c r="H1274" s="31"/>
      <c r="I1274" s="19"/>
      <c r="J1274" s="22"/>
      <c r="K1274" s="18"/>
      <c r="L1274" s="19"/>
      <c r="M1274" s="19"/>
      <c r="N1274" s="20"/>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row>
    <row r="1275" spans="1:45" x14ac:dyDescent="0.3">
      <c r="A1275" s="410" t="s">
        <v>2642</v>
      </c>
      <c r="B1275" s="17"/>
      <c r="C1275" s="19"/>
      <c r="D1275" s="18"/>
      <c r="E1275" s="18"/>
      <c r="F1275" s="19"/>
      <c r="G1275" s="31"/>
      <c r="H1275" s="31"/>
      <c r="I1275" s="19"/>
      <c r="J1275" s="22"/>
      <c r="K1275" s="18"/>
      <c r="L1275" s="19"/>
      <c r="M1275" s="19"/>
      <c r="N1275" s="20"/>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row>
    <row r="1276" spans="1:45" x14ac:dyDescent="0.3">
      <c r="A1276" s="410" t="s">
        <v>2643</v>
      </c>
      <c r="B1276" s="17"/>
      <c r="C1276" s="19"/>
      <c r="D1276" s="18"/>
      <c r="E1276" s="18"/>
      <c r="F1276" s="19"/>
      <c r="G1276" s="31"/>
      <c r="H1276" s="31"/>
      <c r="I1276" s="19"/>
      <c r="J1276" s="22"/>
      <c r="K1276" s="18"/>
      <c r="L1276" s="19"/>
      <c r="M1276" s="19"/>
      <c r="N1276" s="20"/>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row>
    <row r="1277" spans="1:45" x14ac:dyDescent="0.3">
      <c r="A1277" s="410" t="s">
        <v>2644</v>
      </c>
      <c r="B1277" s="17"/>
      <c r="C1277" s="19"/>
      <c r="D1277" s="18"/>
      <c r="E1277" s="18"/>
      <c r="F1277" s="19"/>
      <c r="G1277" s="31"/>
      <c r="H1277" s="31"/>
      <c r="I1277" s="19"/>
      <c r="J1277" s="22"/>
      <c r="K1277" s="18"/>
      <c r="L1277" s="19"/>
      <c r="M1277" s="19"/>
      <c r="N1277" s="20"/>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row>
    <row r="1278" spans="1:45" x14ac:dyDescent="0.3">
      <c r="A1278" s="410" t="s">
        <v>2645</v>
      </c>
      <c r="B1278" s="17"/>
      <c r="C1278" s="19"/>
      <c r="D1278" s="18"/>
      <c r="E1278" s="18"/>
      <c r="F1278" s="19"/>
      <c r="G1278" s="31"/>
      <c r="H1278" s="31"/>
      <c r="I1278" s="19"/>
      <c r="J1278" s="22"/>
      <c r="K1278" s="18"/>
      <c r="L1278" s="19"/>
      <c r="M1278" s="19"/>
      <c r="N1278" s="20"/>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row>
    <row r="1279" spans="1:45" x14ac:dyDescent="0.3">
      <c r="A1279" s="410" t="s">
        <v>2646</v>
      </c>
      <c r="B1279" s="17"/>
      <c r="C1279" s="19"/>
      <c r="D1279" s="18"/>
      <c r="E1279" s="18"/>
      <c r="F1279" s="19"/>
      <c r="G1279" s="31"/>
      <c r="H1279" s="31"/>
      <c r="I1279" s="19"/>
      <c r="J1279" s="22"/>
      <c r="K1279" s="18"/>
      <c r="L1279" s="19"/>
      <c r="M1279" s="19"/>
      <c r="N1279" s="20"/>
      <c r="O1279" s="19"/>
      <c r="P1279" s="19"/>
      <c r="Q1279" s="19"/>
      <c r="R1279" s="19"/>
      <c r="S1279" s="19"/>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row>
    <row r="1280" spans="1:45" x14ac:dyDescent="0.3">
      <c r="A1280" s="410" t="s">
        <v>2647</v>
      </c>
      <c r="B1280" s="17"/>
      <c r="C1280" s="19"/>
      <c r="D1280" s="18"/>
      <c r="E1280" s="18"/>
      <c r="F1280" s="19"/>
      <c r="G1280" s="31"/>
      <c r="H1280" s="31"/>
      <c r="I1280" s="19"/>
      <c r="J1280" s="22"/>
      <c r="K1280" s="18"/>
      <c r="L1280" s="19"/>
      <c r="M1280" s="19"/>
      <c r="N1280" s="20"/>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row>
    <row r="1281" spans="1:45" x14ac:dyDescent="0.3">
      <c r="A1281" s="410" t="s">
        <v>2648</v>
      </c>
      <c r="B1281" s="17"/>
      <c r="C1281" s="19"/>
      <c r="D1281" s="18"/>
      <c r="E1281" s="18"/>
      <c r="F1281" s="19"/>
      <c r="G1281" s="31"/>
      <c r="H1281" s="31"/>
      <c r="I1281" s="19"/>
      <c r="J1281" s="22"/>
      <c r="K1281" s="18"/>
      <c r="L1281" s="19"/>
      <c r="M1281" s="19"/>
      <c r="N1281" s="20"/>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row>
    <row r="1282" spans="1:45" x14ac:dyDescent="0.3">
      <c r="A1282" s="410" t="s">
        <v>2649</v>
      </c>
      <c r="B1282" s="17"/>
      <c r="C1282" s="19"/>
      <c r="D1282" s="18"/>
      <c r="E1282" s="18"/>
      <c r="F1282" s="19"/>
      <c r="G1282" s="31"/>
      <c r="H1282" s="31"/>
      <c r="I1282" s="19"/>
      <c r="J1282" s="22"/>
      <c r="K1282" s="18"/>
      <c r="L1282" s="19"/>
      <c r="M1282" s="19"/>
      <c r="N1282" s="20"/>
      <c r="O1282" s="19"/>
      <c r="P1282" s="19"/>
      <c r="Q1282" s="19"/>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row>
    <row r="1283" spans="1:45" x14ac:dyDescent="0.3">
      <c r="A1283" s="410" t="s">
        <v>2650</v>
      </c>
      <c r="B1283" s="17"/>
      <c r="C1283" s="19"/>
      <c r="D1283" s="18"/>
      <c r="E1283" s="18"/>
      <c r="F1283" s="19"/>
      <c r="G1283" s="31"/>
      <c r="H1283" s="31"/>
      <c r="I1283" s="19"/>
      <c r="J1283" s="22"/>
      <c r="K1283" s="18"/>
      <c r="L1283" s="19"/>
      <c r="M1283" s="19"/>
      <c r="N1283" s="20"/>
      <c r="O1283" s="19"/>
      <c r="P1283" s="19"/>
      <c r="Q1283" s="19"/>
      <c r="R1283" s="19"/>
      <c r="S1283" s="19"/>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row>
    <row r="1284" spans="1:45" x14ac:dyDescent="0.3">
      <c r="A1284" s="410" t="s">
        <v>2651</v>
      </c>
      <c r="B1284" s="17"/>
      <c r="C1284" s="19"/>
      <c r="D1284" s="18"/>
      <c r="E1284" s="18"/>
      <c r="F1284" s="19"/>
      <c r="G1284" s="31"/>
      <c r="H1284" s="31"/>
      <c r="I1284" s="19"/>
      <c r="J1284" s="22"/>
      <c r="K1284" s="18"/>
      <c r="L1284" s="19"/>
      <c r="M1284" s="19"/>
      <c r="N1284" s="20"/>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row>
    <row r="1285" spans="1:45" x14ac:dyDescent="0.3">
      <c r="A1285" s="410" t="s">
        <v>2652</v>
      </c>
      <c r="B1285" s="17"/>
      <c r="C1285" s="19"/>
      <c r="D1285" s="18"/>
      <c r="E1285" s="18"/>
      <c r="F1285" s="19"/>
      <c r="G1285" s="31"/>
      <c r="H1285" s="31"/>
      <c r="I1285" s="19"/>
      <c r="J1285" s="22"/>
      <c r="K1285" s="18"/>
      <c r="L1285" s="19"/>
      <c r="M1285" s="19"/>
      <c r="N1285" s="20"/>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row>
    <row r="1286" spans="1:45" x14ac:dyDescent="0.3">
      <c r="A1286" s="410" t="s">
        <v>2653</v>
      </c>
      <c r="B1286" s="17"/>
      <c r="C1286" s="19"/>
      <c r="D1286" s="18"/>
      <c r="E1286" s="18"/>
      <c r="F1286" s="19"/>
      <c r="G1286" s="31"/>
      <c r="H1286" s="31"/>
      <c r="I1286" s="19"/>
      <c r="J1286" s="22"/>
      <c r="K1286" s="18"/>
      <c r="L1286" s="19"/>
      <c r="M1286" s="19"/>
      <c r="N1286" s="20"/>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row>
    <row r="1287" spans="1:45" x14ac:dyDescent="0.3">
      <c r="A1287" s="410" t="s">
        <v>2654</v>
      </c>
      <c r="B1287" s="17"/>
      <c r="C1287" s="19"/>
      <c r="D1287" s="18"/>
      <c r="E1287" s="18"/>
      <c r="F1287" s="19"/>
      <c r="G1287" s="31"/>
      <c r="H1287" s="31"/>
      <c r="I1287" s="19"/>
      <c r="J1287" s="22"/>
      <c r="K1287" s="18"/>
      <c r="L1287" s="19"/>
      <c r="M1287" s="19"/>
      <c r="N1287" s="20"/>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row>
    <row r="1288" spans="1:45" x14ac:dyDescent="0.3">
      <c r="A1288" s="410" t="s">
        <v>2655</v>
      </c>
      <c r="B1288" s="17"/>
      <c r="C1288" s="19"/>
      <c r="D1288" s="18"/>
      <c r="E1288" s="18"/>
      <c r="F1288" s="19"/>
      <c r="G1288" s="31"/>
      <c r="H1288" s="31"/>
      <c r="I1288" s="19"/>
      <c r="J1288" s="22"/>
      <c r="K1288" s="18"/>
      <c r="L1288" s="19"/>
      <c r="M1288" s="19"/>
      <c r="N1288" s="20"/>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row>
    <row r="1289" spans="1:45" x14ac:dyDescent="0.3">
      <c r="A1289" s="410" t="s">
        <v>2656</v>
      </c>
      <c r="B1289" s="17"/>
      <c r="C1289" s="19"/>
      <c r="D1289" s="19"/>
      <c r="E1289" s="18"/>
      <c r="F1289" s="19"/>
      <c r="G1289" s="31"/>
      <c r="H1289" s="31"/>
      <c r="I1289" s="19"/>
      <c r="J1289" s="22"/>
      <c r="K1289" s="18"/>
      <c r="L1289" s="19"/>
      <c r="M1289" s="19"/>
      <c r="N1289" s="20"/>
      <c r="O1289" s="19"/>
      <c r="P1289" s="19"/>
      <c r="Q1289" s="19"/>
      <c r="R1289" s="19"/>
      <c r="S1289" s="19"/>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row>
    <row r="1290" spans="1:45" x14ac:dyDescent="0.3">
      <c r="A1290" s="410" t="s">
        <v>2657</v>
      </c>
      <c r="B1290" s="17"/>
      <c r="C1290" s="19"/>
      <c r="D1290" s="19"/>
      <c r="E1290" s="18"/>
      <c r="F1290" s="19"/>
      <c r="G1290" s="31"/>
      <c r="H1290" s="31"/>
      <c r="I1290" s="19"/>
      <c r="J1290" s="22"/>
      <c r="K1290" s="18"/>
      <c r="L1290" s="19"/>
      <c r="M1290" s="19"/>
      <c r="N1290" s="20"/>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row>
    <row r="1291" spans="1:45" x14ac:dyDescent="0.3">
      <c r="A1291" s="410" t="s">
        <v>2658</v>
      </c>
      <c r="B1291" s="17"/>
      <c r="C1291" s="19"/>
      <c r="D1291" s="19"/>
      <c r="E1291" s="18"/>
      <c r="F1291" s="19"/>
      <c r="G1291" s="31"/>
      <c r="H1291" s="31"/>
      <c r="I1291" s="19"/>
      <c r="J1291" s="22"/>
      <c r="K1291" s="18"/>
      <c r="L1291" s="19"/>
      <c r="M1291" s="19"/>
      <c r="N1291" s="20"/>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row>
    <row r="1292" spans="1:45" x14ac:dyDescent="0.3">
      <c r="A1292" s="410" t="s">
        <v>2659</v>
      </c>
      <c r="B1292" s="17"/>
      <c r="C1292" s="19"/>
      <c r="D1292" s="19"/>
      <c r="E1292" s="18"/>
      <c r="F1292" s="19"/>
      <c r="G1292" s="31"/>
      <c r="H1292" s="31"/>
      <c r="I1292" s="19"/>
      <c r="J1292" s="22"/>
      <c r="K1292" s="18"/>
      <c r="L1292" s="19"/>
      <c r="M1292" s="19"/>
      <c r="N1292" s="20"/>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row>
    <row r="1293" spans="1:45" x14ac:dyDescent="0.3">
      <c r="A1293" s="410" t="s">
        <v>2660</v>
      </c>
      <c r="B1293" s="17"/>
      <c r="C1293" s="19"/>
      <c r="D1293" s="19"/>
      <c r="E1293" s="18"/>
      <c r="F1293" s="19"/>
      <c r="G1293" s="31"/>
      <c r="H1293" s="31"/>
      <c r="I1293" s="19"/>
      <c r="J1293" s="22"/>
      <c r="K1293" s="18"/>
      <c r="L1293" s="19"/>
      <c r="M1293" s="19"/>
      <c r="N1293" s="20"/>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row>
    <row r="1294" spans="1:45" x14ac:dyDescent="0.3">
      <c r="A1294" s="410" t="s">
        <v>2661</v>
      </c>
      <c r="B1294" s="17"/>
      <c r="C1294" s="19"/>
      <c r="D1294" s="19"/>
      <c r="E1294" s="18"/>
      <c r="F1294" s="19"/>
      <c r="G1294" s="31"/>
      <c r="H1294" s="31"/>
      <c r="I1294" s="19"/>
      <c r="J1294" s="22"/>
      <c r="K1294" s="18"/>
      <c r="L1294" s="19"/>
      <c r="M1294" s="19"/>
      <c r="N1294" s="20"/>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row>
    <row r="1295" spans="1:45" x14ac:dyDescent="0.3">
      <c r="A1295" s="410" t="s">
        <v>2662</v>
      </c>
      <c r="B1295" s="17"/>
      <c r="C1295" s="19"/>
      <c r="D1295" s="19"/>
      <c r="E1295" s="18"/>
      <c r="F1295" s="19"/>
      <c r="G1295" s="31"/>
      <c r="H1295" s="31"/>
      <c r="I1295" s="19"/>
      <c r="J1295" s="22"/>
      <c r="K1295" s="18"/>
      <c r="L1295" s="19"/>
      <c r="M1295" s="19"/>
      <c r="N1295" s="20"/>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row>
    <row r="1296" spans="1:45" x14ac:dyDescent="0.3">
      <c r="A1296" s="410" t="s">
        <v>2663</v>
      </c>
      <c r="B1296" s="17"/>
      <c r="C1296" s="19"/>
      <c r="D1296" s="19"/>
      <c r="E1296" s="17"/>
      <c r="F1296" s="19"/>
      <c r="G1296" s="31"/>
      <c r="H1296" s="31"/>
      <c r="I1296" s="19"/>
      <c r="J1296" s="22"/>
      <c r="K1296" s="18"/>
      <c r="L1296" s="19"/>
      <c r="M1296" s="19"/>
      <c r="N1296" s="20"/>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row>
    <row r="1297" spans="1:45" x14ac:dyDescent="0.3">
      <c r="A1297" s="410"/>
      <c r="B1297" s="17"/>
      <c r="C1297" s="19"/>
      <c r="D1297" s="19"/>
      <c r="E1297" s="17"/>
      <c r="F1297" s="19"/>
      <c r="G1297" s="31"/>
      <c r="H1297" s="31"/>
      <c r="I1297" s="19"/>
      <c r="J1297" s="22"/>
      <c r="K1297" s="18"/>
      <c r="L1297" s="19"/>
      <c r="M1297" s="19"/>
      <c r="N1297" s="20"/>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row>
    <row r="1298" spans="1:45" x14ac:dyDescent="0.3">
      <c r="A1298" s="410" t="s">
        <v>2664</v>
      </c>
      <c r="B1298" s="17" t="s">
        <v>2665</v>
      </c>
      <c r="C1298" s="19" t="s">
        <v>1368</v>
      </c>
      <c r="D1298" s="19">
        <v>20215215</v>
      </c>
      <c r="E1298" s="17"/>
      <c r="F1298" s="19"/>
      <c r="G1298" s="31"/>
      <c r="H1298" s="31"/>
      <c r="I1298" s="19"/>
      <c r="J1298" s="22"/>
      <c r="K1298" s="18"/>
      <c r="L1298" s="19"/>
      <c r="M1298" s="19"/>
      <c r="N1298" s="20"/>
      <c r="O1298" s="19"/>
      <c r="P1298" s="19"/>
      <c r="Q1298" s="19"/>
      <c r="R1298" s="19"/>
      <c r="S1298" s="19"/>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row>
    <row r="1299" spans="1:45" x14ac:dyDescent="0.3">
      <c r="A1299" s="410" t="s">
        <v>2666</v>
      </c>
      <c r="B1299" s="17" t="s">
        <v>2667</v>
      </c>
      <c r="C1299" s="19" t="s">
        <v>1368</v>
      </c>
      <c r="D1299" s="19">
        <v>23032892</v>
      </c>
      <c r="E1299" s="17"/>
      <c r="F1299" s="19"/>
      <c r="G1299" s="31"/>
      <c r="H1299" s="31"/>
      <c r="I1299" s="19"/>
      <c r="J1299" s="22"/>
      <c r="K1299" s="18"/>
      <c r="L1299" s="19"/>
      <c r="M1299" s="19"/>
      <c r="N1299" s="20"/>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row>
    <row r="1300" spans="1:45" x14ac:dyDescent="0.3">
      <c r="A1300" s="410" t="s">
        <v>2668</v>
      </c>
      <c r="B1300" s="17" t="s">
        <v>2669</v>
      </c>
      <c r="C1300" s="19" t="s">
        <v>1368</v>
      </c>
      <c r="D1300" s="19">
        <v>23028548</v>
      </c>
      <c r="E1300" s="17"/>
      <c r="F1300" s="19"/>
      <c r="G1300" s="31"/>
      <c r="H1300" s="31"/>
      <c r="I1300" s="19"/>
      <c r="J1300" s="22"/>
      <c r="K1300" s="18"/>
      <c r="L1300" s="19"/>
      <c r="M1300" s="19"/>
      <c r="N1300" s="20"/>
      <c r="O1300" s="19"/>
      <c r="P1300" s="19"/>
      <c r="Q1300" s="19"/>
      <c r="R1300" s="19"/>
      <c r="S1300" s="19"/>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row>
    <row r="1301" spans="1:45" x14ac:dyDescent="0.3">
      <c r="A1301" s="410" t="s">
        <v>2670</v>
      </c>
      <c r="B1301" s="17" t="s">
        <v>2671</v>
      </c>
      <c r="C1301" s="19" t="s">
        <v>1368</v>
      </c>
      <c r="D1301" s="19">
        <v>22224680</v>
      </c>
      <c r="E1301" s="17"/>
      <c r="F1301" s="19"/>
      <c r="G1301" s="31"/>
      <c r="H1301" s="31"/>
      <c r="I1301" s="19"/>
      <c r="J1301" s="22"/>
      <c r="K1301" s="18"/>
      <c r="L1301" s="19"/>
      <c r="M1301" s="19"/>
      <c r="N1301" s="20"/>
      <c r="O1301" s="19"/>
      <c r="P1301" s="19"/>
      <c r="Q1301" s="19"/>
      <c r="R1301" s="19"/>
      <c r="S1301" s="19"/>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row>
    <row r="1302" spans="1:45" x14ac:dyDescent="0.3">
      <c r="A1302" s="410" t="s">
        <v>2672</v>
      </c>
      <c r="B1302" s="17" t="s">
        <v>2673</v>
      </c>
      <c r="C1302" s="19" t="s">
        <v>1368</v>
      </c>
      <c r="D1302" s="19">
        <v>23197422</v>
      </c>
      <c r="E1302" s="17"/>
      <c r="F1302" s="19"/>
      <c r="G1302" s="31"/>
      <c r="H1302" s="31"/>
      <c r="I1302" s="19"/>
      <c r="J1302" s="22"/>
      <c r="K1302" s="18"/>
      <c r="L1302" s="19"/>
      <c r="M1302" s="19"/>
      <c r="N1302" s="20"/>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row>
    <row r="1303" spans="1:45" x14ac:dyDescent="0.3">
      <c r="A1303" s="410" t="s">
        <v>2674</v>
      </c>
      <c r="B1303" s="17" t="s">
        <v>2675</v>
      </c>
      <c r="C1303" s="19" t="s">
        <v>1368</v>
      </c>
      <c r="D1303" s="19">
        <v>23161872</v>
      </c>
      <c r="E1303" s="17"/>
      <c r="F1303" s="19"/>
      <c r="G1303" s="31"/>
      <c r="H1303" s="31"/>
      <c r="I1303" s="19"/>
      <c r="J1303" s="22"/>
      <c r="K1303" s="18"/>
      <c r="L1303" s="19"/>
      <c r="M1303" s="19"/>
      <c r="N1303" s="20"/>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row>
    <row r="1304" spans="1:45" x14ac:dyDescent="0.3">
      <c r="A1304" s="410" t="s">
        <v>2676</v>
      </c>
      <c r="B1304" s="17" t="s">
        <v>2677</v>
      </c>
      <c r="C1304" s="19" t="s">
        <v>1368</v>
      </c>
      <c r="D1304" s="19">
        <v>23092177</v>
      </c>
      <c r="E1304" s="17"/>
      <c r="F1304" s="19"/>
      <c r="G1304" s="31"/>
      <c r="H1304" s="31"/>
      <c r="I1304" s="19"/>
      <c r="J1304" s="22"/>
      <c r="K1304" s="18"/>
      <c r="L1304" s="19"/>
      <c r="M1304" s="19"/>
      <c r="N1304" s="20"/>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row>
    <row r="1305" spans="1:45" x14ac:dyDescent="0.3">
      <c r="A1305" s="410" t="s">
        <v>2678</v>
      </c>
      <c r="B1305" s="17" t="s">
        <v>2679</v>
      </c>
      <c r="C1305" s="19" t="s">
        <v>1368</v>
      </c>
      <c r="D1305" s="19">
        <v>23013774</v>
      </c>
      <c r="E1305" s="17"/>
      <c r="F1305" s="19"/>
      <c r="G1305" s="31"/>
      <c r="H1305" s="31"/>
      <c r="I1305" s="19"/>
      <c r="J1305" s="22"/>
      <c r="K1305" s="18"/>
      <c r="L1305" s="19"/>
      <c r="M1305" s="19"/>
      <c r="N1305" s="20"/>
      <c r="O1305" s="19"/>
      <c r="P1305" s="19"/>
      <c r="Q1305" s="19"/>
      <c r="R1305" s="19"/>
      <c r="S1305" s="19"/>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row>
    <row r="1306" spans="1:45" x14ac:dyDescent="0.3">
      <c r="A1306" s="410" t="s">
        <v>2680</v>
      </c>
      <c r="B1306" s="17" t="s">
        <v>2681</v>
      </c>
      <c r="C1306" s="19" t="s">
        <v>1368</v>
      </c>
      <c r="D1306" s="19">
        <v>23012715</v>
      </c>
      <c r="E1306" s="17"/>
      <c r="F1306" s="19"/>
      <c r="G1306" s="31"/>
      <c r="H1306" s="31"/>
      <c r="I1306" s="19"/>
      <c r="J1306" s="22"/>
      <c r="K1306" s="18"/>
      <c r="L1306" s="19"/>
      <c r="M1306" s="19"/>
      <c r="N1306" s="20"/>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row>
    <row r="1307" spans="1:45" x14ac:dyDescent="0.3">
      <c r="A1307" s="410" t="s">
        <v>2682</v>
      </c>
      <c r="B1307" s="17" t="s">
        <v>2683</v>
      </c>
      <c r="C1307" s="19" t="s">
        <v>1371</v>
      </c>
      <c r="D1307" s="19">
        <v>23198475</v>
      </c>
      <c r="E1307" s="17"/>
      <c r="F1307" s="19"/>
      <c r="G1307" s="31">
        <v>45343</v>
      </c>
      <c r="H1307" s="31">
        <v>45708</v>
      </c>
      <c r="I1307" s="19" t="s">
        <v>1372</v>
      </c>
      <c r="J1307" s="22" t="s">
        <v>1373</v>
      </c>
      <c r="K1307" s="18" t="s">
        <v>1372</v>
      </c>
      <c r="L1307" s="19" t="s">
        <v>1373</v>
      </c>
      <c r="M1307" s="19" t="s">
        <v>1372</v>
      </c>
      <c r="N1307" s="20" t="s">
        <v>2684</v>
      </c>
      <c r="O1307" s="19" t="s">
        <v>1372</v>
      </c>
      <c r="P1307" s="19"/>
      <c r="Q1307" s="19" t="s">
        <v>1372</v>
      </c>
      <c r="R1307" s="19" t="s">
        <v>1372</v>
      </c>
      <c r="S1307" s="19" t="s">
        <v>1372</v>
      </c>
      <c r="T1307" s="19" t="s">
        <v>1372</v>
      </c>
      <c r="U1307" s="19" t="s">
        <v>1461</v>
      </c>
      <c r="V1307" s="19" t="s">
        <v>1372</v>
      </c>
      <c r="W1307" s="19"/>
      <c r="X1307" s="19"/>
      <c r="Y1307" s="19"/>
      <c r="Z1307" s="19" t="s">
        <v>1372</v>
      </c>
      <c r="AA1307" s="19"/>
      <c r="AB1307" s="19"/>
      <c r="AC1307" s="19"/>
      <c r="AD1307" s="19"/>
      <c r="AE1307" s="19"/>
      <c r="AF1307" s="19"/>
      <c r="AG1307" s="19" t="s">
        <v>1372</v>
      </c>
      <c r="AH1307" s="19"/>
      <c r="AI1307" s="19"/>
      <c r="AJ1307" s="19"/>
      <c r="AK1307" s="19"/>
      <c r="AL1307" s="19" t="s">
        <v>1372</v>
      </c>
      <c r="AM1307" s="19" t="s">
        <v>1372</v>
      </c>
      <c r="AN1307" s="19"/>
      <c r="AO1307" s="19"/>
      <c r="AP1307" s="19"/>
      <c r="AQ1307" s="19"/>
      <c r="AR1307" s="19"/>
      <c r="AS1307" s="19"/>
    </row>
    <row r="1308" spans="1:45" x14ac:dyDescent="0.3">
      <c r="A1308" s="410" t="s">
        <v>2685</v>
      </c>
      <c r="B1308" s="17" t="s">
        <v>2686</v>
      </c>
      <c r="C1308" s="19" t="s">
        <v>1368</v>
      </c>
      <c r="D1308" s="19">
        <v>23163157</v>
      </c>
      <c r="E1308" s="17"/>
      <c r="F1308" s="19"/>
      <c r="G1308" s="31"/>
      <c r="H1308" s="31"/>
      <c r="I1308" s="19"/>
      <c r="J1308" s="22"/>
      <c r="K1308" s="18"/>
      <c r="L1308" s="19"/>
      <c r="M1308" s="19"/>
      <c r="N1308" s="20"/>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row>
    <row r="1309" spans="1:45" x14ac:dyDescent="0.3">
      <c r="A1309" s="410" t="s">
        <v>2687</v>
      </c>
      <c r="B1309" s="17" t="s">
        <v>2688</v>
      </c>
      <c r="C1309" s="19" t="s">
        <v>1368</v>
      </c>
      <c r="D1309" s="19">
        <v>23162218</v>
      </c>
      <c r="E1309" s="17"/>
      <c r="F1309" s="19"/>
      <c r="G1309" s="31"/>
      <c r="H1309" s="31"/>
      <c r="I1309" s="19"/>
      <c r="J1309" s="22"/>
      <c r="K1309" s="18"/>
      <c r="L1309" s="19"/>
      <c r="M1309" s="19"/>
      <c r="N1309" s="20"/>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row>
    <row r="1310" spans="1:45" x14ac:dyDescent="0.3">
      <c r="A1310" s="410" t="s">
        <v>2689</v>
      </c>
      <c r="B1310" s="17" t="s">
        <v>2690</v>
      </c>
      <c r="C1310" s="19" t="s">
        <v>1368</v>
      </c>
      <c r="D1310" s="19">
        <v>23163649</v>
      </c>
      <c r="E1310" s="17"/>
      <c r="F1310" s="19"/>
      <c r="G1310" s="31"/>
      <c r="H1310" s="31"/>
      <c r="I1310" s="19"/>
      <c r="J1310" s="22"/>
      <c r="K1310" s="18"/>
      <c r="L1310" s="19"/>
      <c r="M1310" s="19"/>
      <c r="N1310" s="20"/>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row>
    <row r="1311" spans="1:45" x14ac:dyDescent="0.3">
      <c r="A1311" s="410" t="s">
        <v>2691</v>
      </c>
      <c r="B1311" s="17" t="s">
        <v>2692</v>
      </c>
      <c r="C1311" s="19" t="s">
        <v>1368</v>
      </c>
      <c r="D1311" s="19">
        <v>23030452</v>
      </c>
      <c r="E1311" s="17"/>
      <c r="F1311" s="19"/>
      <c r="G1311" s="31"/>
      <c r="H1311" s="31"/>
      <c r="I1311" s="19"/>
      <c r="J1311" s="22"/>
      <c r="K1311" s="18"/>
      <c r="L1311" s="19"/>
      <c r="M1311" s="19"/>
      <c r="N1311" s="20"/>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row>
    <row r="1312" spans="1:45" x14ac:dyDescent="0.3">
      <c r="A1312" s="410" t="s">
        <v>2693</v>
      </c>
      <c r="B1312" s="17" t="s">
        <v>2694</v>
      </c>
      <c r="C1312" s="19" t="s">
        <v>1368</v>
      </c>
      <c r="D1312" s="19">
        <v>23013682</v>
      </c>
      <c r="E1312" s="17"/>
      <c r="F1312" s="19"/>
      <c r="G1312" s="31"/>
      <c r="H1312" s="31"/>
      <c r="I1312" s="19"/>
      <c r="J1312" s="22"/>
      <c r="K1312" s="18"/>
      <c r="L1312" s="19"/>
      <c r="M1312" s="19"/>
      <c r="N1312" s="20"/>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row>
    <row r="1313" spans="1:45" x14ac:dyDescent="0.3">
      <c r="A1313" s="410" t="s">
        <v>2695</v>
      </c>
      <c r="B1313" s="17" t="s">
        <v>2696</v>
      </c>
      <c r="C1313" s="19" t="s">
        <v>1368</v>
      </c>
      <c r="D1313" s="19">
        <v>23032542</v>
      </c>
      <c r="E1313" s="17"/>
      <c r="F1313" s="19"/>
      <c r="G1313" s="31"/>
      <c r="H1313" s="31"/>
      <c r="I1313" s="19"/>
      <c r="J1313" s="22"/>
      <c r="K1313" s="18"/>
      <c r="L1313" s="19"/>
      <c r="M1313" s="19"/>
      <c r="N1313" s="20"/>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row>
    <row r="1314" spans="1:45" x14ac:dyDescent="0.3">
      <c r="A1314" s="410" t="s">
        <v>2697</v>
      </c>
      <c r="B1314" s="17" t="s">
        <v>2698</v>
      </c>
      <c r="C1314" s="19" t="s">
        <v>1368</v>
      </c>
      <c r="D1314" s="19">
        <v>23032647</v>
      </c>
      <c r="E1314" s="17"/>
      <c r="F1314" s="19"/>
      <c r="G1314" s="31"/>
      <c r="H1314" s="31"/>
      <c r="I1314" s="19"/>
      <c r="J1314" s="22"/>
      <c r="K1314" s="18"/>
      <c r="L1314" s="19"/>
      <c r="M1314" s="19"/>
      <c r="N1314" s="20"/>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row>
    <row r="1315" spans="1:45" x14ac:dyDescent="0.3">
      <c r="A1315" s="410" t="s">
        <v>2699</v>
      </c>
      <c r="B1315" s="17" t="s">
        <v>2700</v>
      </c>
      <c r="C1315" s="19" t="s">
        <v>1368</v>
      </c>
      <c r="D1315" s="19">
        <v>23029434</v>
      </c>
      <c r="E1315" s="17"/>
      <c r="F1315" s="19"/>
      <c r="G1315" s="31"/>
      <c r="H1315" s="31"/>
      <c r="I1315" s="19"/>
      <c r="J1315" s="19"/>
      <c r="K1315" s="21"/>
      <c r="L1315" s="22"/>
      <c r="M1315" s="19"/>
      <c r="N1315" s="20"/>
      <c r="O1315" s="19"/>
      <c r="P1315" s="19"/>
      <c r="Q1315" s="19"/>
      <c r="R1315" s="19"/>
      <c r="S1315" s="19"/>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row>
    <row r="1316" spans="1:45" x14ac:dyDescent="0.3">
      <c r="A1316" s="410" t="s">
        <v>2701</v>
      </c>
      <c r="B1316" s="17" t="s">
        <v>2702</v>
      </c>
      <c r="C1316" s="19" t="s">
        <v>1381</v>
      </c>
      <c r="D1316" s="19">
        <v>23147817</v>
      </c>
      <c r="E1316" s="17"/>
      <c r="F1316" s="19"/>
      <c r="G1316" s="31">
        <v>45345</v>
      </c>
      <c r="H1316" s="31">
        <v>45710</v>
      </c>
      <c r="I1316" s="19" t="s">
        <v>1372</v>
      </c>
      <c r="J1316" s="22" t="s">
        <v>1373</v>
      </c>
      <c r="K1316" s="18" t="s">
        <v>1372</v>
      </c>
      <c r="L1316" s="19" t="s">
        <v>1373</v>
      </c>
      <c r="M1316" s="19" t="s">
        <v>1461</v>
      </c>
      <c r="N1316" s="20" t="s">
        <v>2703</v>
      </c>
      <c r="O1316" s="19" t="s">
        <v>1372</v>
      </c>
      <c r="P1316" s="19"/>
      <c r="Q1316" s="19" t="s">
        <v>1372</v>
      </c>
      <c r="R1316" s="19" t="s">
        <v>1372</v>
      </c>
      <c r="S1316" s="19" t="s">
        <v>1372</v>
      </c>
      <c r="T1316" s="19" t="s">
        <v>1372</v>
      </c>
      <c r="U1316" s="19" t="s">
        <v>1372</v>
      </c>
      <c r="V1316" s="19"/>
      <c r="W1316" s="19" t="s">
        <v>1382</v>
      </c>
      <c r="X1316" s="19"/>
      <c r="Y1316" s="19"/>
      <c r="Z1316" s="19" t="s">
        <v>1372</v>
      </c>
      <c r="AA1316" s="19"/>
      <c r="AB1316" s="19"/>
      <c r="AC1316" s="19"/>
      <c r="AD1316" s="19"/>
      <c r="AE1316" s="19"/>
      <c r="AF1316" s="19"/>
      <c r="AG1316" s="19"/>
      <c r="AH1316" s="19"/>
      <c r="AI1316" s="19"/>
      <c r="AJ1316" s="19"/>
      <c r="AK1316" s="19"/>
      <c r="AL1316" s="19"/>
      <c r="AM1316" s="19"/>
      <c r="AN1316" s="19"/>
      <c r="AO1316" s="19"/>
      <c r="AP1316" s="19"/>
      <c r="AQ1316" s="19"/>
      <c r="AR1316" s="19" t="s">
        <v>1375</v>
      </c>
      <c r="AS1316" s="19"/>
    </row>
    <row r="1317" spans="1:45" x14ac:dyDescent="0.3">
      <c r="A1317" s="410" t="s">
        <v>2704</v>
      </c>
      <c r="B1317" s="17" t="s">
        <v>2705</v>
      </c>
      <c r="C1317" s="19" t="s">
        <v>1368</v>
      </c>
      <c r="D1317" s="19">
        <v>22186105</v>
      </c>
      <c r="E1317" s="17"/>
      <c r="F1317" s="19"/>
      <c r="G1317" s="31"/>
      <c r="H1317" s="31"/>
      <c r="I1317" s="19"/>
      <c r="J1317" s="19"/>
      <c r="K1317" s="18"/>
      <c r="L1317" s="19"/>
      <c r="M1317" s="19"/>
      <c r="N1317" s="20"/>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row>
    <row r="1318" spans="1:45" x14ac:dyDescent="0.3">
      <c r="A1318" s="410" t="s">
        <v>2706</v>
      </c>
      <c r="B1318" s="17" t="s">
        <v>2707</v>
      </c>
      <c r="C1318" s="19" t="s">
        <v>1368</v>
      </c>
      <c r="D1318" s="19">
        <v>23030947</v>
      </c>
      <c r="E1318" s="17"/>
      <c r="F1318" s="19"/>
      <c r="G1318" s="31"/>
      <c r="H1318" s="31"/>
      <c r="I1318" s="19"/>
      <c r="J1318" s="19"/>
      <c r="K1318" s="18"/>
      <c r="L1318" s="19"/>
      <c r="M1318" s="19"/>
      <c r="N1318" s="20"/>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row>
    <row r="1319" spans="1:45" x14ac:dyDescent="0.3">
      <c r="A1319" s="410" t="s">
        <v>2708</v>
      </c>
      <c r="B1319" s="17" t="s">
        <v>2709</v>
      </c>
      <c r="C1319" s="19" t="s">
        <v>1368</v>
      </c>
      <c r="D1319" s="19">
        <v>23095501</v>
      </c>
      <c r="E1319" s="17"/>
      <c r="F1319" s="19"/>
      <c r="G1319" s="31"/>
      <c r="H1319" s="31"/>
      <c r="I1319" s="19"/>
      <c r="J1319" s="19"/>
      <c r="K1319" s="18"/>
      <c r="L1319" s="19"/>
      <c r="M1319" s="19"/>
      <c r="N1319" s="20"/>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row>
    <row r="1320" spans="1:45" x14ac:dyDescent="0.3">
      <c r="A1320" s="410" t="s">
        <v>2710</v>
      </c>
      <c r="B1320" s="17" t="s">
        <v>2711</v>
      </c>
      <c r="C1320" s="19" t="s">
        <v>1368</v>
      </c>
      <c r="D1320" s="19">
        <v>23011597</v>
      </c>
      <c r="E1320" s="17"/>
      <c r="F1320" s="19"/>
      <c r="G1320" s="31"/>
      <c r="H1320" s="31"/>
      <c r="I1320" s="19"/>
      <c r="J1320" s="19"/>
      <c r="K1320" s="18"/>
      <c r="L1320" s="19"/>
      <c r="M1320" s="19"/>
      <c r="N1320" s="20"/>
      <c r="O1320" s="19"/>
      <c r="P1320" s="19"/>
      <c r="Q1320" s="19"/>
      <c r="R1320" s="19"/>
      <c r="S1320" s="19"/>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row>
    <row r="1321" spans="1:45" x14ac:dyDescent="0.3">
      <c r="A1321" s="410" t="s">
        <v>2712</v>
      </c>
      <c r="B1321" s="17" t="s">
        <v>2713</v>
      </c>
      <c r="C1321" s="19" t="s">
        <v>1368</v>
      </c>
      <c r="D1321" s="19">
        <v>23147634</v>
      </c>
      <c r="E1321" s="17"/>
      <c r="F1321" s="19"/>
      <c r="G1321" s="31"/>
      <c r="H1321" s="31"/>
      <c r="I1321" s="19"/>
      <c r="J1321" s="22"/>
      <c r="K1321" s="21"/>
      <c r="L1321" s="22"/>
      <c r="M1321" s="19"/>
      <c r="N1321" s="20"/>
      <c r="O1321" s="19"/>
      <c r="P1321" s="19"/>
      <c r="Q1321" s="19"/>
      <c r="R1321" s="19"/>
      <c r="S1321" s="19"/>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row>
    <row r="1322" spans="1:45" x14ac:dyDescent="0.3">
      <c r="A1322" s="410" t="s">
        <v>2714</v>
      </c>
      <c r="B1322" s="17" t="s">
        <v>2715</v>
      </c>
      <c r="C1322" s="19" t="s">
        <v>1368</v>
      </c>
      <c r="D1322" s="19">
        <v>23016039</v>
      </c>
      <c r="E1322" s="17"/>
      <c r="F1322" s="19"/>
      <c r="G1322" s="31"/>
      <c r="H1322" s="31"/>
      <c r="I1322" s="19"/>
      <c r="J1322" s="22"/>
      <c r="K1322" s="21"/>
      <c r="L1322" s="22"/>
      <c r="M1322" s="19"/>
      <c r="N1322" s="20"/>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row>
    <row r="1323" spans="1:45" x14ac:dyDescent="0.3">
      <c r="A1323" s="410" t="s">
        <v>2716</v>
      </c>
      <c r="B1323" s="17"/>
      <c r="C1323" s="19"/>
      <c r="D1323" s="19"/>
      <c r="E1323" s="17"/>
      <c r="F1323" s="19"/>
      <c r="G1323" s="31"/>
      <c r="H1323" s="31"/>
      <c r="I1323" s="19"/>
      <c r="J1323" s="19"/>
      <c r="K1323" s="18"/>
      <c r="L1323" s="19"/>
      <c r="M1323" s="19"/>
      <c r="N1323" s="20"/>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row>
    <row r="1324" spans="1:45" x14ac:dyDescent="0.3">
      <c r="A1324" s="410" t="s">
        <v>2717</v>
      </c>
      <c r="B1324" s="17"/>
      <c r="C1324" s="19"/>
      <c r="D1324" s="19"/>
      <c r="E1324" s="18"/>
      <c r="F1324" s="19"/>
      <c r="G1324" s="31"/>
      <c r="H1324" s="31"/>
      <c r="I1324" s="19"/>
      <c r="J1324" s="19"/>
      <c r="K1324" s="18"/>
      <c r="L1324" s="19"/>
      <c r="M1324" s="19"/>
      <c r="N1324" s="20"/>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row>
    <row r="1325" spans="1:45" x14ac:dyDescent="0.3">
      <c r="A1325" s="410" t="s">
        <v>2718</v>
      </c>
      <c r="B1325" s="17"/>
      <c r="C1325" s="19"/>
      <c r="D1325" s="19"/>
      <c r="E1325" s="18"/>
      <c r="F1325" s="19"/>
      <c r="G1325" s="31"/>
      <c r="H1325" s="31"/>
      <c r="I1325" s="19"/>
      <c r="J1325" s="19"/>
      <c r="K1325" s="18"/>
      <c r="L1325" s="19"/>
      <c r="M1325" s="19"/>
      <c r="N1325" s="20"/>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row>
    <row r="1326" spans="1:45" x14ac:dyDescent="0.3">
      <c r="A1326" s="410" t="s">
        <v>2719</v>
      </c>
      <c r="B1326" s="17"/>
      <c r="C1326" s="19"/>
      <c r="D1326" s="19"/>
      <c r="E1326" s="18"/>
      <c r="F1326" s="19"/>
      <c r="G1326" s="31"/>
      <c r="H1326" s="31"/>
      <c r="I1326" s="19"/>
      <c r="J1326" s="22"/>
      <c r="K1326" s="21"/>
      <c r="L1326" s="22"/>
      <c r="M1326" s="19"/>
      <c r="N1326" s="20"/>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row>
    <row r="1327" spans="1:45" x14ac:dyDescent="0.3">
      <c r="A1327" s="410" t="s">
        <v>2720</v>
      </c>
      <c r="B1327" s="17"/>
      <c r="C1327" s="19"/>
      <c r="D1327" s="19"/>
      <c r="E1327" s="18"/>
      <c r="F1327" s="19"/>
      <c r="G1327" s="31"/>
      <c r="H1327" s="31"/>
      <c r="I1327" s="19"/>
      <c r="J1327" s="22"/>
      <c r="K1327" s="21"/>
      <c r="L1327" s="22"/>
      <c r="M1327" s="19"/>
      <c r="N1327" s="20"/>
      <c r="O1327" s="19"/>
      <c r="P1327" s="19"/>
      <c r="Q1327" s="19"/>
      <c r="R1327" s="19"/>
      <c r="S1327" s="19"/>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row>
    <row r="1328" spans="1:45" x14ac:dyDescent="0.3">
      <c r="A1328" s="410" t="s">
        <v>2721</v>
      </c>
      <c r="B1328" s="17"/>
      <c r="C1328" s="19"/>
      <c r="D1328" s="18"/>
      <c r="E1328" s="18"/>
      <c r="F1328" s="19"/>
      <c r="G1328" s="31"/>
      <c r="H1328" s="31"/>
      <c r="I1328" s="19"/>
      <c r="J1328" s="22"/>
      <c r="K1328" s="21"/>
      <c r="L1328" s="22"/>
      <c r="M1328" s="19"/>
      <c r="N1328" s="20"/>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row>
    <row r="1329" spans="1:45" x14ac:dyDescent="0.3">
      <c r="A1329" s="410" t="s">
        <v>2722</v>
      </c>
      <c r="B1329" s="17"/>
      <c r="C1329" s="19"/>
      <c r="D1329" s="18"/>
      <c r="E1329" s="18"/>
      <c r="F1329" s="19"/>
      <c r="G1329" s="31"/>
      <c r="H1329" s="31"/>
      <c r="I1329" s="19"/>
      <c r="J1329" s="22"/>
      <c r="K1329" s="21"/>
      <c r="L1329" s="22"/>
      <c r="M1329" s="19"/>
      <c r="N1329" s="20"/>
      <c r="O1329" s="19"/>
      <c r="P1329" s="19"/>
      <c r="Q1329" s="19"/>
      <c r="R1329" s="19"/>
      <c r="S1329" s="19"/>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row>
    <row r="1330" spans="1:45" x14ac:dyDescent="0.3">
      <c r="A1330" s="410" t="s">
        <v>2723</v>
      </c>
      <c r="B1330" s="17"/>
      <c r="C1330" s="19"/>
      <c r="D1330" s="18"/>
      <c r="E1330" s="18"/>
      <c r="F1330" s="19"/>
      <c r="G1330" s="31"/>
      <c r="H1330" s="31"/>
      <c r="I1330" s="19"/>
      <c r="J1330" s="22"/>
      <c r="K1330" s="21"/>
      <c r="L1330" s="22"/>
      <c r="M1330" s="19"/>
      <c r="N1330" s="20"/>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row>
    <row r="1331" spans="1:45" x14ac:dyDescent="0.3">
      <c r="A1331" s="410" t="s">
        <v>2724</v>
      </c>
      <c r="B1331" s="17"/>
      <c r="C1331" s="19"/>
      <c r="D1331" s="18"/>
      <c r="E1331" s="18"/>
      <c r="F1331" s="19"/>
      <c r="G1331" s="31"/>
      <c r="H1331" s="31"/>
      <c r="I1331" s="19"/>
      <c r="J1331" s="22"/>
      <c r="K1331" s="21"/>
      <c r="L1331" s="22"/>
      <c r="M1331" s="19"/>
      <c r="N1331" s="20"/>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row>
    <row r="1332" spans="1:45" x14ac:dyDescent="0.3">
      <c r="A1332" s="410" t="s">
        <v>2725</v>
      </c>
      <c r="B1332" s="17"/>
      <c r="C1332" s="19"/>
      <c r="D1332" s="18"/>
      <c r="E1332" s="18"/>
      <c r="F1332" s="19"/>
      <c r="G1332" s="31"/>
      <c r="H1332" s="31"/>
      <c r="I1332" s="19"/>
      <c r="J1332" s="22"/>
      <c r="K1332" s="21"/>
      <c r="L1332" s="22"/>
      <c r="M1332" s="19"/>
      <c r="N1332" s="20"/>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row>
    <row r="1333" spans="1:45" x14ac:dyDescent="0.3">
      <c r="A1333" s="410" t="s">
        <v>2726</v>
      </c>
      <c r="B1333" s="17"/>
      <c r="C1333" s="19"/>
      <c r="D1333" s="18"/>
      <c r="E1333" s="18"/>
      <c r="F1333" s="19"/>
      <c r="G1333" s="31"/>
      <c r="H1333" s="31"/>
      <c r="I1333" s="19"/>
      <c r="J1333" s="22"/>
      <c r="K1333" s="21"/>
      <c r="L1333" s="22"/>
      <c r="M1333" s="19"/>
      <c r="N1333" s="20"/>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row>
    <row r="1334" spans="1:45" x14ac:dyDescent="0.3">
      <c r="A1334" s="410" t="s">
        <v>2727</v>
      </c>
      <c r="B1334" s="17"/>
      <c r="C1334" s="19"/>
      <c r="D1334" s="18"/>
      <c r="E1334" s="18"/>
      <c r="F1334" s="19"/>
      <c r="G1334" s="31"/>
      <c r="H1334" s="31"/>
      <c r="I1334" s="19"/>
      <c r="J1334" s="22"/>
      <c r="K1334" s="21"/>
      <c r="L1334" s="22"/>
      <c r="M1334" s="19"/>
      <c r="N1334" s="20"/>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row>
    <row r="1335" spans="1:45" x14ac:dyDescent="0.3">
      <c r="A1335" s="410" t="s">
        <v>2728</v>
      </c>
      <c r="B1335" s="17"/>
      <c r="C1335" s="19"/>
      <c r="D1335" s="18"/>
      <c r="E1335" s="18"/>
      <c r="F1335" s="19"/>
      <c r="G1335" s="31"/>
      <c r="H1335" s="31"/>
      <c r="I1335" s="19"/>
      <c r="J1335" s="22"/>
      <c r="K1335" s="21"/>
      <c r="L1335" s="22"/>
      <c r="M1335" s="19"/>
      <c r="N1335" s="20"/>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row>
    <row r="1336" spans="1:45" x14ac:dyDescent="0.3">
      <c r="A1336" s="410" t="s">
        <v>2729</v>
      </c>
      <c r="B1336" s="17"/>
      <c r="C1336" s="19"/>
      <c r="D1336" s="18"/>
      <c r="E1336" s="18"/>
      <c r="F1336" s="19"/>
      <c r="G1336" s="31"/>
      <c r="H1336" s="31"/>
      <c r="I1336" s="19"/>
      <c r="J1336" s="22"/>
      <c r="K1336" s="21"/>
      <c r="L1336" s="22"/>
      <c r="M1336" s="19"/>
      <c r="N1336" s="20"/>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row>
    <row r="1337" spans="1:45" x14ac:dyDescent="0.3">
      <c r="A1337" s="410" t="s">
        <v>2730</v>
      </c>
      <c r="B1337" s="17"/>
      <c r="C1337" s="19"/>
      <c r="D1337" s="18"/>
      <c r="E1337" s="18"/>
      <c r="F1337" s="19"/>
      <c r="G1337" s="31"/>
      <c r="H1337" s="31"/>
      <c r="I1337" s="19"/>
      <c r="J1337" s="22"/>
      <c r="K1337" s="21"/>
      <c r="L1337" s="22"/>
      <c r="M1337" s="19"/>
      <c r="N1337" s="20"/>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row>
    <row r="1338" spans="1:45" x14ac:dyDescent="0.3">
      <c r="A1338" s="410" t="s">
        <v>2731</v>
      </c>
      <c r="B1338" s="17"/>
      <c r="C1338" s="19"/>
      <c r="D1338" s="18"/>
      <c r="E1338" s="18"/>
      <c r="F1338" s="19"/>
      <c r="G1338" s="31"/>
      <c r="H1338" s="31"/>
      <c r="I1338" s="19"/>
      <c r="J1338" s="22"/>
      <c r="K1338" s="21"/>
      <c r="L1338" s="22"/>
      <c r="M1338" s="19"/>
      <c r="N1338" s="20"/>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row>
    <row r="1339" spans="1:45" x14ac:dyDescent="0.3">
      <c r="A1339" s="410" t="s">
        <v>2732</v>
      </c>
      <c r="B1339" s="17"/>
      <c r="C1339" s="19"/>
      <c r="D1339" s="18"/>
      <c r="E1339" s="18"/>
      <c r="F1339" s="19"/>
      <c r="G1339" s="31"/>
      <c r="H1339" s="31"/>
      <c r="I1339" s="19"/>
      <c r="J1339" s="22"/>
      <c r="K1339" s="21"/>
      <c r="L1339" s="22"/>
      <c r="M1339" s="19"/>
      <c r="N1339" s="20"/>
      <c r="O1339" s="19"/>
      <c r="P1339" s="19"/>
      <c r="Q1339" s="19"/>
      <c r="R1339" s="19"/>
      <c r="S1339" s="19"/>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row>
    <row r="1340" spans="1:45" x14ac:dyDescent="0.3">
      <c r="A1340" s="410" t="s">
        <v>2733</v>
      </c>
      <c r="B1340" s="17"/>
      <c r="C1340" s="19"/>
      <c r="D1340" s="18"/>
      <c r="E1340" s="18"/>
      <c r="F1340" s="19"/>
      <c r="G1340" s="31"/>
      <c r="H1340" s="31"/>
      <c r="I1340" s="19"/>
      <c r="J1340" s="22"/>
      <c r="K1340" s="21"/>
      <c r="L1340" s="22"/>
      <c r="M1340" s="19"/>
      <c r="N1340" s="20"/>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row>
    <row r="1341" spans="1:45" x14ac:dyDescent="0.3">
      <c r="A1341" s="410" t="s">
        <v>2734</v>
      </c>
      <c r="B1341" s="17"/>
      <c r="C1341" s="19"/>
      <c r="D1341" s="18"/>
      <c r="E1341" s="18"/>
      <c r="F1341" s="19"/>
      <c r="G1341" s="31"/>
      <c r="H1341" s="31"/>
      <c r="I1341" s="19"/>
      <c r="J1341" s="22"/>
      <c r="K1341" s="21"/>
      <c r="L1341" s="22"/>
      <c r="M1341" s="19"/>
      <c r="N1341" s="20"/>
      <c r="O1341" s="19"/>
      <c r="P1341" s="19"/>
      <c r="Q1341" s="19"/>
      <c r="R1341" s="19"/>
      <c r="S1341" s="19"/>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row>
    <row r="1342" spans="1:45" x14ac:dyDescent="0.3">
      <c r="A1342" s="410" t="s">
        <v>2735</v>
      </c>
      <c r="B1342" s="17"/>
      <c r="C1342" s="19"/>
      <c r="D1342" s="18"/>
      <c r="E1342" s="18"/>
      <c r="F1342" s="19"/>
      <c r="G1342" s="31"/>
      <c r="H1342" s="31"/>
      <c r="I1342" s="19"/>
      <c r="J1342" s="22"/>
      <c r="K1342" s="21"/>
      <c r="L1342" s="22"/>
      <c r="M1342" s="19"/>
      <c r="N1342" s="20"/>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row>
    <row r="1343" spans="1:45" x14ac:dyDescent="0.3">
      <c r="A1343" s="410" t="s">
        <v>2736</v>
      </c>
      <c r="B1343" s="17"/>
      <c r="C1343" s="19"/>
      <c r="D1343" s="18"/>
      <c r="E1343" s="18"/>
      <c r="F1343" s="19"/>
      <c r="G1343" s="31"/>
      <c r="H1343" s="31"/>
      <c r="I1343" s="19"/>
      <c r="J1343" s="22"/>
      <c r="K1343" s="21"/>
      <c r="L1343" s="22"/>
      <c r="M1343" s="19"/>
      <c r="N1343" s="20"/>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row>
    <row r="1344" spans="1:45" x14ac:dyDescent="0.3">
      <c r="A1344" s="410" t="s">
        <v>2737</v>
      </c>
      <c r="B1344" s="17"/>
      <c r="C1344" s="19"/>
      <c r="D1344" s="18"/>
      <c r="E1344" s="18"/>
      <c r="F1344" s="19"/>
      <c r="G1344" s="31"/>
      <c r="H1344" s="31"/>
      <c r="I1344" s="19"/>
      <c r="J1344" s="22"/>
      <c r="K1344" s="21"/>
      <c r="L1344" s="22"/>
      <c r="M1344" s="19"/>
      <c r="N1344" s="20"/>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row>
    <row r="1345" spans="1:45" x14ac:dyDescent="0.3">
      <c r="A1345" s="410" t="s">
        <v>2738</v>
      </c>
      <c r="B1345" s="17"/>
      <c r="C1345" s="19"/>
      <c r="D1345" s="18"/>
      <c r="E1345" s="18"/>
      <c r="F1345" s="19"/>
      <c r="G1345" s="31"/>
      <c r="H1345" s="31"/>
      <c r="I1345" s="19"/>
      <c r="J1345" s="22"/>
      <c r="K1345" s="21"/>
      <c r="L1345" s="22"/>
      <c r="M1345" s="19"/>
      <c r="N1345" s="20"/>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row>
    <row r="1346" spans="1:45" x14ac:dyDescent="0.3">
      <c r="A1346" s="410" t="s">
        <v>2739</v>
      </c>
      <c r="B1346" s="17"/>
      <c r="C1346" s="19"/>
      <c r="D1346" s="18"/>
      <c r="E1346" s="18"/>
      <c r="F1346" s="19"/>
      <c r="G1346" s="31"/>
      <c r="H1346" s="31"/>
      <c r="I1346" s="19"/>
      <c r="J1346" s="22"/>
      <c r="K1346" s="21"/>
      <c r="L1346" s="22"/>
      <c r="M1346" s="19"/>
      <c r="N1346" s="20"/>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row>
    <row r="1347" spans="1:45" x14ac:dyDescent="0.3">
      <c r="A1347" s="410" t="s">
        <v>2740</v>
      </c>
      <c r="B1347" s="17"/>
      <c r="C1347" s="19"/>
      <c r="D1347" s="18"/>
      <c r="E1347" s="18"/>
      <c r="F1347" s="19"/>
      <c r="G1347" s="31"/>
      <c r="H1347" s="31"/>
      <c r="I1347" s="19"/>
      <c r="J1347" s="22"/>
      <c r="K1347" s="21"/>
      <c r="L1347" s="22"/>
      <c r="M1347" s="19"/>
      <c r="N1347" s="20"/>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row>
    <row r="1348" spans="1:45" x14ac:dyDescent="0.3">
      <c r="A1348" s="410" t="s">
        <v>2741</v>
      </c>
      <c r="B1348" s="17"/>
      <c r="C1348" s="19"/>
      <c r="D1348" s="18"/>
      <c r="E1348" s="18"/>
      <c r="F1348" s="19"/>
      <c r="G1348" s="31"/>
      <c r="H1348" s="31"/>
      <c r="I1348" s="19"/>
      <c r="J1348" s="22"/>
      <c r="K1348" s="21"/>
      <c r="L1348" s="22"/>
      <c r="M1348" s="19"/>
      <c r="N1348" s="20"/>
      <c r="O1348" s="19"/>
      <c r="P1348" s="19"/>
      <c r="Q1348" s="19"/>
      <c r="R1348" s="19"/>
      <c r="S1348" s="19"/>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row>
    <row r="1349" spans="1:45" x14ac:dyDescent="0.3">
      <c r="A1349" s="410" t="s">
        <v>2742</v>
      </c>
      <c r="B1349" s="17"/>
      <c r="C1349" s="19"/>
      <c r="D1349" s="18"/>
      <c r="E1349" s="18"/>
      <c r="F1349" s="19"/>
      <c r="G1349" s="31"/>
      <c r="H1349" s="31"/>
      <c r="I1349" s="19"/>
      <c r="J1349" s="22"/>
      <c r="K1349" s="21"/>
      <c r="L1349" s="22"/>
      <c r="M1349" s="19"/>
      <c r="N1349" s="20"/>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row>
    <row r="1350" spans="1:45" x14ac:dyDescent="0.3">
      <c r="A1350" s="410" t="s">
        <v>2743</v>
      </c>
      <c r="B1350" s="17"/>
      <c r="C1350" s="19"/>
      <c r="D1350" s="18"/>
      <c r="E1350" s="18"/>
      <c r="F1350" s="19"/>
      <c r="G1350" s="31"/>
      <c r="H1350" s="31"/>
      <c r="I1350" s="19"/>
      <c r="J1350" s="22"/>
      <c r="K1350" s="21"/>
      <c r="L1350" s="22"/>
      <c r="M1350" s="19"/>
      <c r="N1350" s="20"/>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row>
    <row r="1351" spans="1:45" x14ac:dyDescent="0.3">
      <c r="A1351" s="410" t="s">
        <v>2744</v>
      </c>
      <c r="B1351" s="17"/>
      <c r="C1351" s="19"/>
      <c r="D1351" s="18"/>
      <c r="E1351" s="18"/>
      <c r="F1351" s="19"/>
      <c r="G1351" s="31"/>
      <c r="H1351" s="31"/>
      <c r="I1351" s="19"/>
      <c r="J1351" s="22"/>
      <c r="K1351" s="21"/>
      <c r="L1351" s="22"/>
      <c r="M1351" s="19"/>
      <c r="N1351" s="20"/>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row>
    <row r="1352" spans="1:45" x14ac:dyDescent="0.3">
      <c r="A1352" s="410" t="s">
        <v>2745</v>
      </c>
      <c r="B1352" s="17"/>
      <c r="C1352" s="19"/>
      <c r="D1352" s="18"/>
      <c r="E1352" s="18"/>
      <c r="F1352" s="19"/>
      <c r="G1352" s="31"/>
      <c r="H1352" s="31"/>
      <c r="I1352" s="19"/>
      <c r="J1352" s="22"/>
      <c r="K1352" s="21"/>
      <c r="L1352" s="22"/>
      <c r="M1352" s="19"/>
      <c r="N1352" s="20"/>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row>
    <row r="1353" spans="1:45" x14ac:dyDescent="0.3">
      <c r="A1353" s="410" t="s">
        <v>2746</v>
      </c>
      <c r="B1353" s="17"/>
      <c r="C1353" s="19"/>
      <c r="D1353" s="18"/>
      <c r="E1353" s="18"/>
      <c r="F1353" s="19"/>
      <c r="G1353" s="31"/>
      <c r="H1353" s="31"/>
      <c r="I1353" s="19"/>
      <c r="J1353" s="22"/>
      <c r="K1353" s="21"/>
      <c r="L1353" s="22"/>
      <c r="M1353" s="19"/>
      <c r="N1353" s="20"/>
      <c r="O1353" s="19"/>
      <c r="P1353" s="19"/>
      <c r="Q1353" s="19"/>
      <c r="R1353" s="19"/>
      <c r="S1353" s="19"/>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row>
    <row r="1354" spans="1:45" x14ac:dyDescent="0.3">
      <c r="A1354" s="410" t="s">
        <v>2747</v>
      </c>
      <c r="B1354" s="17"/>
      <c r="C1354" s="19"/>
      <c r="D1354" s="18"/>
      <c r="E1354" s="18"/>
      <c r="F1354" s="19"/>
      <c r="G1354" s="31"/>
      <c r="H1354" s="31"/>
      <c r="I1354" s="19"/>
      <c r="J1354" s="22"/>
      <c r="K1354" s="21"/>
      <c r="L1354" s="22"/>
      <c r="M1354" s="19"/>
      <c r="N1354" s="20"/>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row>
    <row r="1355" spans="1:45" x14ac:dyDescent="0.3">
      <c r="A1355" s="410" t="s">
        <v>2748</v>
      </c>
      <c r="B1355" s="17"/>
      <c r="C1355" s="19"/>
      <c r="D1355" s="18"/>
      <c r="E1355" s="18"/>
      <c r="F1355" s="19"/>
      <c r="G1355" s="31"/>
      <c r="H1355" s="31"/>
      <c r="I1355" s="19"/>
      <c r="J1355" s="22"/>
      <c r="K1355" s="21"/>
      <c r="L1355" s="22"/>
      <c r="M1355" s="19"/>
      <c r="N1355" s="20"/>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row>
    <row r="1356" spans="1:45" x14ac:dyDescent="0.3">
      <c r="A1356" s="410" t="s">
        <v>2749</v>
      </c>
      <c r="B1356" s="17"/>
      <c r="C1356" s="19"/>
      <c r="D1356" s="18"/>
      <c r="E1356" s="18"/>
      <c r="F1356" s="19"/>
      <c r="G1356" s="31"/>
      <c r="H1356" s="31"/>
      <c r="I1356" s="19"/>
      <c r="J1356" s="22"/>
      <c r="K1356" s="21"/>
      <c r="L1356" s="22"/>
      <c r="M1356" s="19"/>
      <c r="N1356" s="20"/>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row>
    <row r="1357" spans="1:45" x14ac:dyDescent="0.3">
      <c r="A1357" s="410" t="s">
        <v>2750</v>
      </c>
      <c r="B1357" s="17"/>
      <c r="C1357" s="19"/>
      <c r="D1357" s="18"/>
      <c r="E1357" s="18"/>
      <c r="F1357" s="19"/>
      <c r="G1357" s="31"/>
      <c r="H1357" s="31"/>
      <c r="I1357" s="19"/>
      <c r="J1357" s="22"/>
      <c r="K1357" s="21"/>
      <c r="L1357" s="22"/>
      <c r="M1357" s="19"/>
      <c r="N1357" s="20"/>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row>
    <row r="1358" spans="1:45" x14ac:dyDescent="0.3">
      <c r="A1358" s="410" t="s">
        <v>2751</v>
      </c>
      <c r="B1358" s="17"/>
      <c r="C1358" s="19"/>
      <c r="D1358" s="18"/>
      <c r="E1358" s="18"/>
      <c r="F1358" s="19"/>
      <c r="G1358" s="31"/>
      <c r="H1358" s="31"/>
      <c r="I1358" s="19"/>
      <c r="J1358" s="22"/>
      <c r="K1358" s="21"/>
      <c r="L1358" s="22"/>
      <c r="M1358" s="19"/>
      <c r="N1358" s="20"/>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row>
    <row r="1359" spans="1:45" x14ac:dyDescent="0.3">
      <c r="A1359" s="410" t="s">
        <v>2752</v>
      </c>
      <c r="B1359" s="17"/>
      <c r="C1359" s="19"/>
      <c r="D1359" s="18"/>
      <c r="E1359" s="18"/>
      <c r="F1359" s="19"/>
      <c r="G1359" s="31"/>
      <c r="H1359" s="31"/>
      <c r="I1359" s="19"/>
      <c r="J1359" s="22"/>
      <c r="K1359" s="21"/>
      <c r="L1359" s="22"/>
      <c r="M1359" s="19"/>
      <c r="N1359" s="20"/>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row>
    <row r="1360" spans="1:45" x14ac:dyDescent="0.3">
      <c r="A1360" s="410" t="s">
        <v>2753</v>
      </c>
      <c r="B1360" s="17"/>
      <c r="C1360" s="19"/>
      <c r="D1360" s="18"/>
      <c r="E1360" s="18"/>
      <c r="F1360" s="19"/>
      <c r="G1360" s="31"/>
      <c r="H1360" s="31"/>
      <c r="I1360" s="19"/>
      <c r="J1360" s="22"/>
      <c r="K1360" s="21"/>
      <c r="L1360" s="22"/>
      <c r="M1360" s="19"/>
      <c r="N1360" s="20"/>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row>
    <row r="1361" spans="1:45" x14ac:dyDescent="0.3">
      <c r="A1361" s="410" t="s">
        <v>2754</v>
      </c>
      <c r="B1361" s="17"/>
      <c r="C1361" s="19"/>
      <c r="D1361" s="18"/>
      <c r="E1361" s="18"/>
      <c r="F1361" s="19"/>
      <c r="G1361" s="31"/>
      <c r="H1361" s="31"/>
      <c r="I1361" s="19"/>
      <c r="J1361" s="22"/>
      <c r="K1361" s="21"/>
      <c r="L1361" s="22"/>
      <c r="M1361" s="19"/>
      <c r="N1361" s="20"/>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row>
    <row r="1362" spans="1:45" x14ac:dyDescent="0.3">
      <c r="A1362" s="410" t="s">
        <v>2755</v>
      </c>
      <c r="B1362" s="17"/>
      <c r="C1362" s="19"/>
      <c r="D1362" s="18"/>
      <c r="E1362" s="18"/>
      <c r="F1362" s="19"/>
      <c r="G1362" s="31"/>
      <c r="H1362" s="31"/>
      <c r="I1362" s="19"/>
      <c r="J1362" s="22"/>
      <c r="K1362" s="21"/>
      <c r="L1362" s="22"/>
      <c r="M1362" s="19"/>
      <c r="N1362" s="20"/>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row>
    <row r="1363" spans="1:45" x14ac:dyDescent="0.3">
      <c r="A1363" s="410" t="s">
        <v>2756</v>
      </c>
      <c r="B1363" s="17"/>
      <c r="C1363" s="19"/>
      <c r="D1363" s="18"/>
      <c r="E1363" s="18"/>
      <c r="F1363" s="19"/>
      <c r="G1363" s="31"/>
      <c r="H1363" s="31"/>
      <c r="I1363" s="19"/>
      <c r="J1363" s="22"/>
      <c r="K1363" s="21"/>
      <c r="L1363" s="22"/>
      <c r="M1363" s="19"/>
      <c r="N1363" s="20"/>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row>
    <row r="1364" spans="1:45" x14ac:dyDescent="0.3">
      <c r="A1364" s="410" t="s">
        <v>2757</v>
      </c>
      <c r="B1364" s="17"/>
      <c r="C1364" s="19"/>
      <c r="D1364" s="18"/>
      <c r="E1364" s="18"/>
      <c r="F1364" s="19"/>
      <c r="G1364" s="31"/>
      <c r="H1364" s="31"/>
      <c r="I1364" s="19"/>
      <c r="J1364" s="22"/>
      <c r="K1364" s="21"/>
      <c r="L1364" s="22"/>
      <c r="M1364" s="19"/>
      <c r="N1364" s="20"/>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row>
    <row r="1365" spans="1:45" x14ac:dyDescent="0.3">
      <c r="A1365" s="410" t="s">
        <v>2758</v>
      </c>
      <c r="B1365" s="17"/>
      <c r="C1365" s="19"/>
      <c r="D1365" s="18"/>
      <c r="E1365" s="18"/>
      <c r="F1365" s="19"/>
      <c r="G1365" s="31"/>
      <c r="H1365" s="31"/>
      <c r="I1365" s="19"/>
      <c r="J1365" s="22"/>
      <c r="K1365" s="21"/>
      <c r="L1365" s="22"/>
      <c r="M1365" s="19"/>
      <c r="N1365" s="20"/>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row>
    <row r="1366" spans="1:45" x14ac:dyDescent="0.3">
      <c r="A1366" s="410" t="s">
        <v>2759</v>
      </c>
      <c r="B1366" s="17"/>
      <c r="C1366" s="19"/>
      <c r="D1366" s="18"/>
      <c r="E1366" s="18"/>
      <c r="F1366" s="19"/>
      <c r="G1366" s="31"/>
      <c r="H1366" s="31"/>
      <c r="I1366" s="19"/>
      <c r="J1366" s="22"/>
      <c r="K1366" s="21"/>
      <c r="L1366" s="22"/>
      <c r="M1366" s="19"/>
      <c r="N1366" s="20"/>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row>
    <row r="1367" spans="1:45" x14ac:dyDescent="0.3">
      <c r="A1367" s="410" t="s">
        <v>2760</v>
      </c>
      <c r="B1367" s="17"/>
      <c r="C1367" s="19"/>
      <c r="D1367" s="18"/>
      <c r="E1367" s="18"/>
      <c r="F1367" s="19"/>
      <c r="G1367" s="31"/>
      <c r="H1367" s="31"/>
      <c r="I1367" s="19"/>
      <c r="J1367" s="22"/>
      <c r="K1367" s="21"/>
      <c r="L1367" s="22"/>
      <c r="M1367" s="19"/>
      <c r="N1367" s="20"/>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row>
    <row r="1368" spans="1:45" x14ac:dyDescent="0.3">
      <c r="A1368" s="410" t="s">
        <v>2761</v>
      </c>
      <c r="B1368" s="17"/>
      <c r="C1368" s="19"/>
      <c r="D1368" s="18"/>
      <c r="E1368" s="18"/>
      <c r="F1368" s="19"/>
      <c r="G1368" s="31"/>
      <c r="H1368" s="31"/>
      <c r="I1368" s="19"/>
      <c r="J1368" s="22"/>
      <c r="K1368" s="21"/>
      <c r="L1368" s="22"/>
      <c r="M1368" s="19"/>
      <c r="N1368" s="20"/>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row>
    <row r="1369" spans="1:45" x14ac:dyDescent="0.3">
      <c r="A1369" s="410" t="s">
        <v>2762</v>
      </c>
      <c r="B1369" s="17"/>
      <c r="C1369" s="19"/>
      <c r="D1369" s="18"/>
      <c r="E1369" s="18"/>
      <c r="F1369" s="19"/>
      <c r="G1369" s="31"/>
      <c r="H1369" s="31"/>
      <c r="I1369" s="19"/>
      <c r="J1369" s="22"/>
      <c r="K1369" s="21"/>
      <c r="L1369" s="22"/>
      <c r="M1369" s="19"/>
      <c r="N1369" s="20"/>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row>
    <row r="1370" spans="1:45" x14ac:dyDescent="0.3">
      <c r="A1370" s="410" t="s">
        <v>2763</v>
      </c>
      <c r="B1370" s="17"/>
      <c r="C1370" s="19"/>
      <c r="D1370" s="18"/>
      <c r="E1370" s="18"/>
      <c r="F1370" s="19"/>
      <c r="G1370" s="31"/>
      <c r="H1370" s="31"/>
      <c r="I1370" s="19"/>
      <c r="J1370" s="22"/>
      <c r="K1370" s="21"/>
      <c r="L1370" s="22"/>
      <c r="M1370" s="19"/>
      <c r="N1370" s="20"/>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row>
    <row r="1371" spans="1:45" x14ac:dyDescent="0.3">
      <c r="A1371" s="410" t="s">
        <v>2764</v>
      </c>
      <c r="B1371" s="17"/>
      <c r="C1371" s="19"/>
      <c r="D1371" s="18"/>
      <c r="E1371" s="18"/>
      <c r="F1371" s="19"/>
      <c r="G1371" s="31"/>
      <c r="H1371" s="31"/>
      <c r="I1371" s="19"/>
      <c r="J1371" s="22"/>
      <c r="K1371" s="21"/>
      <c r="L1371" s="22"/>
      <c r="M1371" s="19"/>
      <c r="N1371" s="20"/>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row>
    <row r="1372" spans="1:45" x14ac:dyDescent="0.3">
      <c r="A1372" s="410" t="s">
        <v>2765</v>
      </c>
      <c r="B1372" s="17"/>
      <c r="C1372" s="19"/>
      <c r="D1372" s="18"/>
      <c r="E1372" s="18"/>
      <c r="F1372" s="19"/>
      <c r="G1372" s="31"/>
      <c r="H1372" s="31"/>
      <c r="I1372" s="19"/>
      <c r="J1372" s="22"/>
      <c r="K1372" s="21"/>
      <c r="L1372" s="22"/>
      <c r="M1372" s="19"/>
      <c r="N1372" s="20"/>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row>
    <row r="1373" spans="1:45" x14ac:dyDescent="0.3">
      <c r="A1373" s="410" t="s">
        <v>2766</v>
      </c>
      <c r="B1373" s="17"/>
      <c r="C1373" s="19"/>
      <c r="D1373" s="18"/>
      <c r="E1373" s="18"/>
      <c r="F1373" s="19"/>
      <c r="G1373" s="31"/>
      <c r="H1373" s="31"/>
      <c r="I1373" s="19"/>
      <c r="J1373" s="22"/>
      <c r="K1373" s="21"/>
      <c r="L1373" s="22"/>
      <c r="M1373" s="19"/>
      <c r="N1373" s="20"/>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row>
    <row r="1374" spans="1:45" x14ac:dyDescent="0.3">
      <c r="A1374" s="410" t="s">
        <v>2767</v>
      </c>
      <c r="B1374" s="17"/>
      <c r="C1374" s="19"/>
      <c r="D1374" s="18"/>
      <c r="E1374" s="18"/>
      <c r="F1374" s="19"/>
      <c r="G1374" s="31"/>
      <c r="H1374" s="31"/>
      <c r="I1374" s="19"/>
      <c r="J1374" s="22"/>
      <c r="K1374" s="21"/>
      <c r="L1374" s="22"/>
      <c r="M1374" s="19"/>
      <c r="N1374" s="20"/>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row>
    <row r="1375" spans="1:45" x14ac:dyDescent="0.3">
      <c r="A1375" s="410" t="s">
        <v>2768</v>
      </c>
      <c r="B1375" s="17"/>
      <c r="C1375" s="19"/>
      <c r="D1375" s="18"/>
      <c r="E1375" s="18"/>
      <c r="F1375" s="19"/>
      <c r="G1375" s="31"/>
      <c r="H1375" s="31"/>
      <c r="I1375" s="19"/>
      <c r="J1375" s="22"/>
      <c r="K1375" s="21"/>
      <c r="L1375" s="22"/>
      <c r="M1375" s="19"/>
      <c r="N1375" s="20"/>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row>
    <row r="1376" spans="1:45" x14ac:dyDescent="0.3">
      <c r="A1376" s="410" t="s">
        <v>2769</v>
      </c>
      <c r="B1376" s="17"/>
      <c r="C1376" s="19"/>
      <c r="D1376" s="18"/>
      <c r="E1376" s="18"/>
      <c r="F1376" s="19"/>
      <c r="G1376" s="31"/>
      <c r="H1376" s="31"/>
      <c r="I1376" s="19"/>
      <c r="J1376" s="22"/>
      <c r="K1376" s="21"/>
      <c r="L1376" s="22"/>
      <c r="M1376" s="19"/>
      <c r="N1376" s="20"/>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row>
    <row r="1377" spans="1:45" x14ac:dyDescent="0.3">
      <c r="A1377" s="410" t="s">
        <v>2770</v>
      </c>
      <c r="B1377" s="17"/>
      <c r="C1377" s="19"/>
      <c r="D1377" s="18"/>
      <c r="E1377" s="18"/>
      <c r="F1377" s="19"/>
      <c r="G1377" s="31"/>
      <c r="H1377" s="31"/>
      <c r="I1377" s="19"/>
      <c r="J1377" s="22"/>
      <c r="K1377" s="21"/>
      <c r="L1377" s="22"/>
      <c r="M1377" s="19"/>
      <c r="N1377" s="20"/>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row>
    <row r="1378" spans="1:45" x14ac:dyDescent="0.3">
      <c r="A1378" s="410"/>
      <c r="B1378" s="17"/>
      <c r="C1378" s="19"/>
      <c r="D1378" s="18"/>
      <c r="E1378" s="18"/>
      <c r="F1378" s="19"/>
      <c r="G1378" s="31"/>
      <c r="H1378" s="31"/>
      <c r="I1378" s="19"/>
      <c r="J1378" s="22"/>
      <c r="K1378" s="21"/>
      <c r="L1378" s="22"/>
      <c r="M1378" s="19"/>
      <c r="N1378" s="20"/>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row>
    <row r="1379" spans="1:45" x14ac:dyDescent="0.3">
      <c r="A1379" s="410" t="s">
        <v>2771</v>
      </c>
      <c r="B1379" s="17" t="s">
        <v>2772</v>
      </c>
      <c r="C1379" s="19" t="s">
        <v>1371</v>
      </c>
      <c r="D1379" s="18" t="s">
        <v>210</v>
      </c>
      <c r="E1379" s="18"/>
      <c r="F1379" s="19"/>
      <c r="G1379" s="31">
        <v>45363</v>
      </c>
      <c r="H1379" s="31">
        <v>45728</v>
      </c>
      <c r="I1379" s="19" t="s">
        <v>1372</v>
      </c>
      <c r="J1379" s="19" t="s">
        <v>1373</v>
      </c>
      <c r="K1379" s="18" t="s">
        <v>1372</v>
      </c>
      <c r="L1379" s="19" t="s">
        <v>1373</v>
      </c>
      <c r="M1379" s="19" t="s">
        <v>1372</v>
      </c>
      <c r="N1379" s="20" t="s">
        <v>2585</v>
      </c>
      <c r="O1379" s="19" t="s">
        <v>1372</v>
      </c>
      <c r="P1379" s="19" t="s">
        <v>1372</v>
      </c>
      <c r="Q1379" s="19" t="s">
        <v>1372</v>
      </c>
      <c r="R1379" s="19" t="s">
        <v>1461</v>
      </c>
      <c r="S1379" s="19" t="s">
        <v>1372</v>
      </c>
      <c r="T1379" s="19" t="s">
        <v>1372</v>
      </c>
      <c r="U1379" s="19" t="s">
        <v>1372</v>
      </c>
      <c r="V1379" s="19" t="s">
        <v>1372</v>
      </c>
      <c r="W1379" s="19"/>
      <c r="X1379" s="19"/>
      <c r="Y1379" s="19"/>
      <c r="Z1379" s="19" t="s">
        <v>1372</v>
      </c>
      <c r="AA1379" s="19"/>
      <c r="AB1379" s="19"/>
      <c r="AC1379" s="19"/>
      <c r="AD1379" s="19"/>
      <c r="AE1379" s="19"/>
      <c r="AF1379" s="19"/>
      <c r="AG1379" s="19"/>
      <c r="AH1379" s="19"/>
      <c r="AI1379" s="19"/>
      <c r="AJ1379" s="19"/>
      <c r="AK1379" s="19"/>
      <c r="AL1379" s="19"/>
      <c r="AM1379" s="19"/>
      <c r="AN1379" s="19"/>
      <c r="AO1379" s="19"/>
      <c r="AP1379" s="19"/>
      <c r="AQ1379" s="19"/>
      <c r="AR1379" s="19" t="s">
        <v>1768</v>
      </c>
      <c r="AS1379" s="19"/>
    </row>
    <row r="1380" spans="1:45" x14ac:dyDescent="0.3">
      <c r="A1380" s="410" t="s">
        <v>2773</v>
      </c>
      <c r="B1380" s="17"/>
      <c r="C1380" s="19"/>
      <c r="D1380" s="18"/>
      <c r="E1380" s="18"/>
      <c r="F1380" s="19"/>
      <c r="G1380" s="31"/>
      <c r="H1380" s="31"/>
      <c r="I1380" s="19"/>
      <c r="J1380" s="19"/>
      <c r="K1380" s="334"/>
      <c r="L1380" s="332"/>
      <c r="M1380" s="19"/>
      <c r="N1380" s="20"/>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row>
    <row r="1381" spans="1:45" x14ac:dyDescent="0.3">
      <c r="A1381" s="410" t="s">
        <v>2774</v>
      </c>
      <c r="B1381" s="17"/>
      <c r="C1381" s="19"/>
      <c r="D1381" s="18"/>
      <c r="E1381" s="18"/>
      <c r="F1381" s="19"/>
      <c r="G1381" s="31"/>
      <c r="H1381" s="31"/>
      <c r="I1381" s="19"/>
      <c r="J1381" s="328"/>
      <c r="K1381" s="336"/>
      <c r="L1381" s="337"/>
      <c r="M1381" s="330"/>
      <c r="N1381" s="20"/>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row>
    <row r="1382" spans="1:45" x14ac:dyDescent="0.3">
      <c r="A1382" s="410" t="s">
        <v>2775</v>
      </c>
      <c r="B1382" s="17"/>
      <c r="C1382" s="19"/>
      <c r="D1382" s="18"/>
      <c r="E1382" s="18"/>
      <c r="F1382" s="19"/>
      <c r="G1382" s="31"/>
      <c r="H1382" s="31"/>
      <c r="I1382" s="19"/>
      <c r="J1382" s="22"/>
      <c r="K1382" s="21"/>
      <c r="L1382" s="22"/>
      <c r="M1382" s="19"/>
      <c r="N1382" s="20"/>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row>
    <row r="1383" spans="1:45" x14ac:dyDescent="0.3">
      <c r="A1383" s="410" t="s">
        <v>2776</v>
      </c>
      <c r="B1383" s="17"/>
      <c r="C1383" s="19"/>
      <c r="D1383" s="18"/>
      <c r="E1383" s="18"/>
      <c r="F1383" s="19"/>
      <c r="G1383" s="31"/>
      <c r="H1383" s="31"/>
      <c r="I1383" s="19"/>
      <c r="J1383" s="22"/>
      <c r="K1383" s="21"/>
      <c r="L1383" s="22"/>
      <c r="M1383" s="19"/>
      <c r="N1383" s="20"/>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row>
    <row r="1384" spans="1:45" x14ac:dyDescent="0.3">
      <c r="A1384" s="410" t="s">
        <v>2777</v>
      </c>
      <c r="B1384" s="17"/>
      <c r="C1384" s="19"/>
      <c r="D1384" s="18"/>
      <c r="E1384" s="18"/>
      <c r="F1384" s="19"/>
      <c r="G1384" s="31"/>
      <c r="H1384" s="31"/>
      <c r="I1384" s="19"/>
      <c r="J1384" s="22"/>
      <c r="K1384" s="21"/>
      <c r="L1384" s="22"/>
      <c r="M1384" s="19"/>
      <c r="N1384" s="20"/>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row>
    <row r="1385" spans="1:45" x14ac:dyDescent="0.3">
      <c r="A1385" s="410" t="s">
        <v>2778</v>
      </c>
      <c r="B1385" s="17"/>
      <c r="C1385" s="19"/>
      <c r="D1385" s="18"/>
      <c r="E1385" s="18"/>
      <c r="F1385" s="19"/>
      <c r="G1385" s="31"/>
      <c r="H1385" s="31"/>
      <c r="I1385" s="19"/>
      <c r="J1385" s="22"/>
      <c r="K1385" s="21"/>
      <c r="L1385" s="22"/>
      <c r="M1385" s="19"/>
      <c r="N1385" s="20"/>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row>
    <row r="1386" spans="1:45" x14ac:dyDescent="0.3">
      <c r="A1386" s="410" t="s">
        <v>2779</v>
      </c>
      <c r="B1386" s="17"/>
      <c r="C1386" s="19"/>
      <c r="D1386" s="18"/>
      <c r="E1386" s="18"/>
      <c r="F1386" s="19"/>
      <c r="G1386" s="31"/>
      <c r="H1386" s="31"/>
      <c r="I1386" s="19"/>
      <c r="J1386" s="22"/>
      <c r="K1386" s="21"/>
      <c r="L1386" s="22"/>
      <c r="M1386" s="19"/>
      <c r="N1386" s="20"/>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row>
    <row r="1387" spans="1:45" x14ac:dyDescent="0.3">
      <c r="A1387" s="410" t="s">
        <v>2780</v>
      </c>
      <c r="B1387" s="17"/>
      <c r="C1387" s="19"/>
      <c r="D1387" s="18"/>
      <c r="E1387" s="18"/>
      <c r="F1387" s="19"/>
      <c r="G1387" s="31"/>
      <c r="H1387" s="31"/>
      <c r="I1387" s="19"/>
      <c r="J1387" s="22"/>
      <c r="K1387" s="21"/>
      <c r="L1387" s="22"/>
      <c r="M1387" s="19"/>
      <c r="N1387" s="20"/>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row>
    <row r="1388" spans="1:45" x14ac:dyDescent="0.3">
      <c r="A1388" s="410" t="s">
        <v>2781</v>
      </c>
      <c r="B1388" s="17"/>
      <c r="C1388" s="19"/>
      <c r="D1388" s="18"/>
      <c r="E1388" s="18"/>
      <c r="F1388" s="19"/>
      <c r="G1388" s="31"/>
      <c r="H1388" s="31"/>
      <c r="I1388" s="19"/>
      <c r="J1388" s="22"/>
      <c r="K1388" s="21"/>
      <c r="L1388" s="22"/>
      <c r="M1388" s="19"/>
      <c r="N1388" s="20"/>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row>
    <row r="1389" spans="1:45" x14ac:dyDescent="0.3">
      <c r="A1389" s="410" t="s">
        <v>2782</v>
      </c>
      <c r="B1389" s="17"/>
      <c r="C1389" s="19"/>
      <c r="D1389" s="18"/>
      <c r="E1389" s="18"/>
      <c r="F1389" s="19"/>
      <c r="G1389" s="31"/>
      <c r="H1389" s="31"/>
      <c r="I1389" s="19"/>
      <c r="J1389" s="22"/>
      <c r="K1389" s="21"/>
      <c r="L1389" s="22"/>
      <c r="M1389" s="19"/>
      <c r="N1389" s="20"/>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row>
    <row r="1390" spans="1:45" x14ac:dyDescent="0.3">
      <c r="A1390" s="410" t="s">
        <v>2783</v>
      </c>
      <c r="B1390" s="17"/>
      <c r="C1390" s="19"/>
      <c r="D1390" s="18"/>
      <c r="E1390" s="18"/>
      <c r="F1390" s="19"/>
      <c r="G1390" s="31"/>
      <c r="H1390" s="31"/>
      <c r="I1390" s="19"/>
      <c r="J1390" s="22"/>
      <c r="K1390" s="21"/>
      <c r="L1390" s="22"/>
      <c r="M1390" s="19"/>
      <c r="N1390" s="20"/>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row>
    <row r="1391" spans="1:45" x14ac:dyDescent="0.3">
      <c r="A1391" s="410" t="s">
        <v>2784</v>
      </c>
      <c r="B1391" s="17"/>
      <c r="C1391" s="19"/>
      <c r="D1391" s="18"/>
      <c r="E1391" s="18"/>
      <c r="F1391" s="19"/>
      <c r="G1391" s="31"/>
      <c r="H1391" s="31"/>
      <c r="I1391" s="19"/>
      <c r="J1391" s="22"/>
      <c r="K1391" s="21"/>
      <c r="L1391" s="22"/>
      <c r="M1391" s="19"/>
      <c r="N1391" s="20"/>
      <c r="O1391" s="19"/>
      <c r="P1391" s="19"/>
      <c r="Q1391" s="19"/>
      <c r="R1391" s="19"/>
      <c r="S1391" s="19"/>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row>
    <row r="1392" spans="1:45" x14ac:dyDescent="0.3">
      <c r="A1392" s="410" t="s">
        <v>2785</v>
      </c>
      <c r="B1392" s="17"/>
      <c r="C1392" s="19"/>
      <c r="D1392" s="18"/>
      <c r="E1392" s="18"/>
      <c r="F1392" s="19"/>
      <c r="G1392" s="31"/>
      <c r="H1392" s="31"/>
      <c r="I1392" s="19"/>
      <c r="J1392" s="22"/>
      <c r="K1392" s="21"/>
      <c r="L1392" s="22"/>
      <c r="M1392" s="19"/>
      <c r="N1392" s="20"/>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row>
    <row r="1393" spans="1:45" x14ac:dyDescent="0.3">
      <c r="A1393" s="410" t="s">
        <v>2786</v>
      </c>
      <c r="B1393" s="17"/>
      <c r="C1393" s="19"/>
      <c r="D1393" s="18"/>
      <c r="E1393" s="18"/>
      <c r="F1393" s="19"/>
      <c r="G1393" s="31"/>
      <c r="H1393" s="31"/>
      <c r="I1393" s="19"/>
      <c r="J1393" s="22"/>
      <c r="K1393" s="21"/>
      <c r="L1393" s="22"/>
      <c r="M1393" s="19"/>
      <c r="N1393" s="20"/>
      <c r="O1393" s="19"/>
      <c r="P1393" s="19"/>
      <c r="Q1393" s="19"/>
      <c r="R1393" s="19"/>
      <c r="S1393" s="19"/>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row>
    <row r="1394" spans="1:45" x14ac:dyDescent="0.3">
      <c r="A1394" s="410" t="s">
        <v>2787</v>
      </c>
      <c r="B1394" s="17"/>
      <c r="C1394" s="19"/>
      <c r="D1394" s="18"/>
      <c r="E1394" s="18"/>
      <c r="F1394" s="19"/>
      <c r="G1394" s="31"/>
      <c r="H1394" s="31"/>
      <c r="I1394" s="19"/>
      <c r="J1394" s="22"/>
      <c r="K1394" s="21"/>
      <c r="L1394" s="22"/>
      <c r="M1394" s="19"/>
      <c r="N1394" s="20"/>
      <c r="O1394" s="19"/>
      <c r="P1394" s="19"/>
      <c r="Q1394" s="19"/>
      <c r="R1394" s="19"/>
      <c r="S1394" s="19"/>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row>
    <row r="1395" spans="1:45" x14ac:dyDescent="0.3">
      <c r="A1395" s="410" t="s">
        <v>2788</v>
      </c>
      <c r="B1395" s="17"/>
      <c r="C1395" s="19"/>
      <c r="D1395" s="18"/>
      <c r="E1395" s="18"/>
      <c r="F1395" s="19"/>
      <c r="G1395" s="31"/>
      <c r="H1395" s="31"/>
      <c r="I1395" s="19"/>
      <c r="J1395" s="22"/>
      <c r="K1395" s="21"/>
      <c r="L1395" s="22"/>
      <c r="M1395" s="19"/>
      <c r="N1395" s="20"/>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row>
    <row r="1396" spans="1:45" x14ac:dyDescent="0.3">
      <c r="A1396" s="410" t="s">
        <v>2789</v>
      </c>
      <c r="B1396" s="17"/>
      <c r="C1396" s="19"/>
      <c r="D1396" s="18"/>
      <c r="E1396" s="18"/>
      <c r="F1396" s="19"/>
      <c r="G1396" s="31"/>
      <c r="H1396" s="31"/>
      <c r="I1396" s="19"/>
      <c r="J1396" s="22"/>
      <c r="K1396" s="21"/>
      <c r="L1396" s="22"/>
      <c r="M1396" s="19"/>
      <c r="N1396" s="20"/>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row>
    <row r="1397" spans="1:45" x14ac:dyDescent="0.3">
      <c r="A1397" s="410" t="s">
        <v>2790</v>
      </c>
      <c r="B1397" s="17"/>
      <c r="C1397" s="19"/>
      <c r="D1397" s="18"/>
      <c r="E1397" s="18"/>
      <c r="F1397" s="19"/>
      <c r="G1397" s="31"/>
      <c r="H1397" s="31"/>
      <c r="I1397" s="19"/>
      <c r="J1397" s="22"/>
      <c r="K1397" s="21"/>
      <c r="L1397" s="22"/>
      <c r="M1397" s="19"/>
      <c r="N1397" s="20"/>
      <c r="O1397" s="19"/>
      <c r="P1397" s="19"/>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row>
    <row r="1398" spans="1:45" x14ac:dyDescent="0.3">
      <c r="A1398" s="410" t="s">
        <v>2791</v>
      </c>
      <c r="B1398" s="17"/>
      <c r="C1398" s="19"/>
      <c r="D1398" s="18"/>
      <c r="E1398" s="18"/>
      <c r="F1398" s="19"/>
      <c r="G1398" s="31"/>
      <c r="H1398" s="31"/>
      <c r="I1398" s="19"/>
      <c r="J1398" s="22"/>
      <c r="K1398" s="21"/>
      <c r="L1398" s="22"/>
      <c r="M1398" s="19"/>
      <c r="N1398" s="20"/>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row>
    <row r="1399" spans="1:45" x14ac:dyDescent="0.3">
      <c r="A1399" s="410" t="s">
        <v>2792</v>
      </c>
      <c r="B1399" s="17"/>
      <c r="C1399" s="19"/>
      <c r="D1399" s="18"/>
      <c r="E1399" s="18"/>
      <c r="F1399" s="19"/>
      <c r="G1399" s="31"/>
      <c r="H1399" s="31"/>
      <c r="I1399" s="19"/>
      <c r="J1399" s="22"/>
      <c r="K1399" s="21"/>
      <c r="L1399" s="22"/>
      <c r="M1399" s="19"/>
      <c r="N1399" s="20"/>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row>
    <row r="1400" spans="1:45" x14ac:dyDescent="0.3">
      <c r="A1400" s="410" t="s">
        <v>2793</v>
      </c>
      <c r="B1400" s="17"/>
      <c r="C1400" s="19"/>
      <c r="D1400" s="18"/>
      <c r="E1400" s="18"/>
      <c r="F1400" s="19"/>
      <c r="G1400" s="31"/>
      <c r="H1400" s="31"/>
      <c r="I1400" s="19"/>
      <c r="J1400" s="22"/>
      <c r="K1400" s="21"/>
      <c r="L1400" s="22"/>
      <c r="M1400" s="19"/>
      <c r="N1400" s="20"/>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row>
    <row r="1401" spans="1:45" x14ac:dyDescent="0.3">
      <c r="A1401" s="410" t="s">
        <v>2794</v>
      </c>
      <c r="B1401" s="17"/>
      <c r="C1401" s="19"/>
      <c r="D1401" s="18"/>
      <c r="E1401" s="18"/>
      <c r="F1401" s="19"/>
      <c r="G1401" s="31"/>
      <c r="H1401" s="31"/>
      <c r="I1401" s="19"/>
      <c r="J1401" s="22"/>
      <c r="K1401" s="21"/>
      <c r="L1401" s="22"/>
      <c r="M1401" s="19"/>
      <c r="N1401" s="20"/>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row>
    <row r="1402" spans="1:45" x14ac:dyDescent="0.3">
      <c r="A1402" s="410" t="s">
        <v>2795</v>
      </c>
      <c r="B1402" s="17"/>
      <c r="C1402" s="19"/>
      <c r="D1402" s="18"/>
      <c r="E1402" s="18"/>
      <c r="F1402" s="19"/>
      <c r="G1402" s="31"/>
      <c r="H1402" s="31"/>
      <c r="I1402" s="19"/>
      <c r="J1402" s="22"/>
      <c r="K1402" s="21"/>
      <c r="L1402" s="22"/>
      <c r="M1402" s="19"/>
      <c r="N1402" s="20"/>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row>
    <row r="1403" spans="1:45" x14ac:dyDescent="0.3">
      <c r="A1403" s="410" t="s">
        <v>2796</v>
      </c>
      <c r="B1403" s="17"/>
      <c r="C1403" s="19"/>
      <c r="D1403" s="18"/>
      <c r="E1403" s="18"/>
      <c r="F1403" s="19"/>
      <c r="G1403" s="31"/>
      <c r="H1403" s="31"/>
      <c r="I1403" s="19"/>
      <c r="J1403" s="22"/>
      <c r="K1403" s="21"/>
      <c r="L1403" s="22"/>
      <c r="M1403" s="19"/>
      <c r="N1403" s="20"/>
      <c r="O1403" s="19"/>
      <c r="P1403" s="19"/>
      <c r="Q1403" s="19"/>
      <c r="R1403" s="19"/>
      <c r="S1403" s="19"/>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row>
    <row r="1404" spans="1:45" x14ac:dyDescent="0.3">
      <c r="A1404" s="410" t="s">
        <v>2797</v>
      </c>
      <c r="B1404" s="17"/>
      <c r="C1404" s="19"/>
      <c r="D1404" s="18"/>
      <c r="E1404" s="18"/>
      <c r="F1404" s="19"/>
      <c r="G1404" s="31"/>
      <c r="H1404" s="31"/>
      <c r="I1404" s="19"/>
      <c r="J1404" s="22"/>
      <c r="K1404" s="21"/>
      <c r="L1404" s="22"/>
      <c r="M1404" s="19"/>
      <c r="N1404" s="20"/>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row>
    <row r="1405" spans="1:45" x14ac:dyDescent="0.3">
      <c r="A1405" s="410" t="s">
        <v>2798</v>
      </c>
      <c r="B1405" s="17"/>
      <c r="C1405" s="19"/>
      <c r="D1405" s="18"/>
      <c r="E1405" s="18"/>
      <c r="F1405" s="19"/>
      <c r="G1405" s="31"/>
      <c r="H1405" s="31"/>
      <c r="I1405" s="19"/>
      <c r="J1405" s="22"/>
      <c r="K1405" s="21"/>
      <c r="L1405" s="22"/>
      <c r="M1405" s="19"/>
      <c r="N1405" s="20"/>
      <c r="O1405" s="19"/>
      <c r="P1405" s="19"/>
      <c r="Q1405" s="19"/>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row>
    <row r="1406" spans="1:45" x14ac:dyDescent="0.3">
      <c r="A1406" s="410" t="s">
        <v>2799</v>
      </c>
      <c r="B1406" s="17"/>
      <c r="C1406" s="19"/>
      <c r="D1406" s="18"/>
      <c r="E1406" s="18"/>
      <c r="F1406" s="19"/>
      <c r="G1406" s="31"/>
      <c r="H1406" s="31"/>
      <c r="I1406" s="19"/>
      <c r="J1406" s="22"/>
      <c r="K1406" s="21"/>
      <c r="L1406" s="22"/>
      <c r="M1406" s="19"/>
      <c r="N1406" s="20"/>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row>
    <row r="1407" spans="1:45" x14ac:dyDescent="0.3">
      <c r="A1407" s="410" t="s">
        <v>2800</v>
      </c>
      <c r="B1407" s="17"/>
      <c r="C1407" s="19"/>
      <c r="D1407" s="18"/>
      <c r="E1407" s="18"/>
      <c r="F1407" s="19"/>
      <c r="G1407" s="31"/>
      <c r="H1407" s="31"/>
      <c r="I1407" s="19"/>
      <c r="J1407" s="22"/>
      <c r="K1407" s="21"/>
      <c r="L1407" s="22"/>
      <c r="M1407" s="19"/>
      <c r="N1407" s="20"/>
      <c r="O1407" s="19"/>
      <c r="P1407" s="19"/>
      <c r="Q1407" s="19"/>
      <c r="R1407" s="19"/>
      <c r="S1407" s="19"/>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row>
    <row r="1408" spans="1:45" x14ac:dyDescent="0.3">
      <c r="A1408" s="410" t="s">
        <v>2801</v>
      </c>
      <c r="B1408" s="17"/>
      <c r="C1408" s="19"/>
      <c r="D1408" s="18"/>
      <c r="E1408" s="18"/>
      <c r="F1408" s="19"/>
      <c r="G1408" s="31"/>
      <c r="H1408" s="31"/>
      <c r="I1408" s="19"/>
      <c r="J1408" s="22"/>
      <c r="K1408" s="21"/>
      <c r="L1408" s="22"/>
      <c r="M1408" s="19"/>
      <c r="N1408" s="20"/>
      <c r="O1408" s="19"/>
      <c r="P1408" s="19"/>
      <c r="Q1408" s="19"/>
      <c r="R1408" s="19"/>
      <c r="S1408" s="19"/>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row>
    <row r="1409" spans="1:45" x14ac:dyDescent="0.3">
      <c r="A1409" s="410" t="s">
        <v>2802</v>
      </c>
      <c r="B1409" s="17"/>
      <c r="C1409" s="19"/>
      <c r="D1409" s="18"/>
      <c r="E1409" s="18"/>
      <c r="F1409" s="19"/>
      <c r="G1409" s="31"/>
      <c r="H1409" s="31"/>
      <c r="I1409" s="19"/>
      <c r="J1409" s="22"/>
      <c r="K1409" s="21"/>
      <c r="L1409" s="22"/>
      <c r="M1409" s="19"/>
      <c r="N1409" s="20"/>
      <c r="O1409" s="19"/>
      <c r="P1409" s="19"/>
      <c r="Q1409" s="19"/>
      <c r="R1409" s="19"/>
      <c r="S1409" s="19"/>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row>
    <row r="1410" spans="1:45" x14ac:dyDescent="0.3">
      <c r="A1410" s="410" t="s">
        <v>2803</v>
      </c>
      <c r="B1410" s="17"/>
      <c r="C1410" s="19"/>
      <c r="D1410" s="18"/>
      <c r="E1410" s="18"/>
      <c r="F1410" s="19"/>
      <c r="G1410" s="31"/>
      <c r="H1410" s="31"/>
      <c r="I1410" s="19"/>
      <c r="J1410" s="22"/>
      <c r="K1410" s="21"/>
      <c r="L1410" s="22"/>
      <c r="M1410" s="19"/>
      <c r="N1410" s="20"/>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row>
    <row r="1411" spans="1:45" x14ac:dyDescent="0.3">
      <c r="A1411" s="410" t="s">
        <v>2804</v>
      </c>
      <c r="B1411" s="17"/>
      <c r="C1411" s="19"/>
      <c r="D1411" s="18"/>
      <c r="E1411" s="18"/>
      <c r="F1411" s="19"/>
      <c r="G1411" s="31"/>
      <c r="H1411" s="31"/>
      <c r="I1411" s="19"/>
      <c r="J1411" s="22"/>
      <c r="K1411" s="21"/>
      <c r="L1411" s="22"/>
      <c r="M1411" s="19"/>
      <c r="N1411" s="20"/>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row>
    <row r="1412" spans="1:45" x14ac:dyDescent="0.3">
      <c r="A1412" s="410" t="s">
        <v>2805</v>
      </c>
      <c r="B1412" s="17"/>
      <c r="C1412" s="19"/>
      <c r="D1412" s="18"/>
      <c r="E1412" s="18"/>
      <c r="F1412" s="19"/>
      <c r="G1412" s="31"/>
      <c r="H1412" s="31"/>
      <c r="I1412" s="19"/>
      <c r="J1412" s="22"/>
      <c r="K1412" s="21"/>
      <c r="L1412" s="22"/>
      <c r="M1412" s="19"/>
      <c r="N1412" s="20"/>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row>
    <row r="1413" spans="1:45" x14ac:dyDescent="0.3">
      <c r="A1413" s="410" t="s">
        <v>2806</v>
      </c>
      <c r="B1413" s="17"/>
      <c r="C1413" s="19"/>
      <c r="D1413" s="18"/>
      <c r="E1413" s="18"/>
      <c r="F1413" s="19"/>
      <c r="G1413" s="31"/>
      <c r="H1413" s="31"/>
      <c r="I1413" s="19"/>
      <c r="J1413" s="22"/>
      <c r="K1413" s="21"/>
      <c r="L1413" s="22"/>
      <c r="M1413" s="19"/>
      <c r="N1413" s="20"/>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row>
    <row r="1414" spans="1:45" x14ac:dyDescent="0.3">
      <c r="A1414" s="410" t="s">
        <v>2807</v>
      </c>
      <c r="B1414" s="17"/>
      <c r="C1414" s="19"/>
      <c r="D1414" s="18"/>
      <c r="E1414" s="18"/>
      <c r="F1414" s="19"/>
      <c r="G1414" s="31"/>
      <c r="H1414" s="31"/>
      <c r="I1414" s="19"/>
      <c r="J1414" s="22"/>
      <c r="K1414" s="21"/>
      <c r="L1414" s="22"/>
      <c r="M1414" s="19"/>
      <c r="N1414" s="20"/>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row>
    <row r="1415" spans="1:45" x14ac:dyDescent="0.3">
      <c r="A1415" s="410" t="s">
        <v>2808</v>
      </c>
      <c r="B1415" s="17"/>
      <c r="C1415" s="19"/>
      <c r="D1415" s="18"/>
      <c r="E1415" s="18"/>
      <c r="F1415" s="19"/>
      <c r="G1415" s="31"/>
      <c r="H1415" s="31"/>
      <c r="I1415" s="19"/>
      <c r="J1415" s="22"/>
      <c r="K1415" s="21"/>
      <c r="L1415" s="22"/>
      <c r="M1415" s="19"/>
      <c r="N1415" s="20"/>
      <c r="O1415" s="19"/>
      <c r="P1415" s="19"/>
      <c r="Q1415" s="19"/>
      <c r="R1415" s="19"/>
      <c r="S1415" s="19"/>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row>
    <row r="1416" spans="1:45" x14ac:dyDescent="0.3">
      <c r="A1416" s="410" t="s">
        <v>2809</v>
      </c>
      <c r="B1416" s="17"/>
      <c r="C1416" s="19"/>
      <c r="D1416" s="18"/>
      <c r="E1416" s="18"/>
      <c r="F1416" s="19"/>
      <c r="G1416" s="31"/>
      <c r="H1416" s="31"/>
      <c r="I1416" s="19"/>
      <c r="J1416" s="22"/>
      <c r="K1416" s="21"/>
      <c r="L1416" s="22"/>
      <c r="M1416" s="19"/>
      <c r="N1416" s="20"/>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row>
    <row r="1417" spans="1:45" x14ac:dyDescent="0.3">
      <c r="A1417" s="410" t="s">
        <v>2810</v>
      </c>
      <c r="B1417" s="17"/>
      <c r="C1417" s="19"/>
      <c r="D1417" s="18"/>
      <c r="E1417" s="18"/>
      <c r="F1417" s="19"/>
      <c r="G1417" s="31"/>
      <c r="H1417" s="31"/>
      <c r="I1417" s="19"/>
      <c r="J1417" s="22"/>
      <c r="K1417" s="21"/>
      <c r="L1417" s="22"/>
      <c r="M1417" s="19"/>
      <c r="N1417" s="20"/>
      <c r="O1417" s="19"/>
      <c r="P1417" s="19"/>
      <c r="Q1417" s="19"/>
      <c r="R1417" s="19"/>
      <c r="S1417" s="19"/>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row>
    <row r="1418" spans="1:45" x14ac:dyDescent="0.3">
      <c r="A1418" s="410" t="s">
        <v>2811</v>
      </c>
      <c r="B1418" s="17"/>
      <c r="C1418" s="19"/>
      <c r="D1418" s="18"/>
      <c r="E1418" s="18"/>
      <c r="F1418" s="19"/>
      <c r="G1418" s="31"/>
      <c r="H1418" s="31"/>
      <c r="I1418" s="19"/>
      <c r="J1418" s="22"/>
      <c r="K1418" s="21"/>
      <c r="L1418" s="22"/>
      <c r="M1418" s="19"/>
      <c r="N1418" s="20"/>
      <c r="O1418" s="19"/>
      <c r="P1418" s="19"/>
      <c r="Q1418" s="19"/>
      <c r="R1418" s="19"/>
      <c r="S1418" s="19"/>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row>
    <row r="1419" spans="1:45" x14ac:dyDescent="0.3">
      <c r="A1419" s="410" t="s">
        <v>2812</v>
      </c>
      <c r="B1419" s="17"/>
      <c r="C1419" s="19"/>
      <c r="D1419" s="18"/>
      <c r="E1419" s="18"/>
      <c r="F1419" s="19"/>
      <c r="G1419" s="31"/>
      <c r="H1419" s="31"/>
      <c r="I1419" s="19"/>
      <c r="J1419" s="22"/>
      <c r="K1419" s="21"/>
      <c r="L1419" s="22"/>
      <c r="M1419" s="19"/>
      <c r="N1419" s="20"/>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row>
    <row r="1420" spans="1:45" x14ac:dyDescent="0.3">
      <c r="A1420" s="410" t="s">
        <v>2813</v>
      </c>
      <c r="B1420" s="17"/>
      <c r="C1420" s="19"/>
      <c r="D1420" s="18"/>
      <c r="E1420" s="18"/>
      <c r="F1420" s="19"/>
      <c r="G1420" s="31"/>
      <c r="H1420" s="31"/>
      <c r="I1420" s="19"/>
      <c r="J1420" s="22"/>
      <c r="K1420" s="21"/>
      <c r="L1420" s="22"/>
      <c r="M1420" s="19"/>
      <c r="N1420" s="20"/>
      <c r="O1420" s="19"/>
      <c r="P1420" s="19"/>
      <c r="Q1420" s="19"/>
      <c r="R1420" s="19"/>
      <c r="S1420" s="19"/>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row>
    <row r="1421" spans="1:45" x14ac:dyDescent="0.3">
      <c r="A1421" s="410" t="s">
        <v>2814</v>
      </c>
      <c r="B1421" s="17"/>
      <c r="C1421" s="19"/>
      <c r="D1421" s="18"/>
      <c r="E1421" s="18"/>
      <c r="F1421" s="19"/>
      <c r="G1421" s="31"/>
      <c r="H1421" s="31"/>
      <c r="I1421" s="19"/>
      <c r="J1421" s="22"/>
      <c r="K1421" s="21"/>
      <c r="L1421" s="22"/>
      <c r="M1421" s="19"/>
      <c r="N1421" s="20"/>
      <c r="O1421" s="19"/>
      <c r="P1421" s="19"/>
      <c r="Q1421" s="19"/>
      <c r="R1421" s="19"/>
      <c r="S1421" s="19"/>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row>
    <row r="1422" spans="1:45" x14ac:dyDescent="0.3">
      <c r="A1422" s="410" t="s">
        <v>2815</v>
      </c>
      <c r="B1422" s="17"/>
      <c r="C1422" s="19"/>
      <c r="D1422" s="18"/>
      <c r="E1422" s="18"/>
      <c r="F1422" s="19"/>
      <c r="G1422" s="31"/>
      <c r="H1422" s="31"/>
      <c r="I1422" s="19"/>
      <c r="J1422" s="22"/>
      <c r="K1422" s="21"/>
      <c r="L1422" s="22"/>
      <c r="M1422" s="19"/>
      <c r="N1422" s="20"/>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row>
    <row r="1423" spans="1:45" x14ac:dyDescent="0.3">
      <c r="A1423" s="410" t="s">
        <v>2816</v>
      </c>
      <c r="B1423" s="17"/>
      <c r="C1423" s="19"/>
      <c r="D1423" s="18"/>
      <c r="E1423" s="18"/>
      <c r="F1423" s="19"/>
      <c r="G1423" s="31"/>
      <c r="H1423" s="31"/>
      <c r="I1423" s="19"/>
      <c r="J1423" s="22"/>
      <c r="K1423" s="21"/>
      <c r="L1423" s="22"/>
      <c r="M1423" s="19"/>
      <c r="N1423" s="20"/>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row>
    <row r="1424" spans="1:45" x14ac:dyDescent="0.3">
      <c r="A1424" s="410" t="s">
        <v>2817</v>
      </c>
      <c r="B1424" s="17"/>
      <c r="C1424" s="19"/>
      <c r="D1424" s="18"/>
      <c r="E1424" s="18"/>
      <c r="F1424" s="19"/>
      <c r="G1424" s="31"/>
      <c r="H1424" s="31"/>
      <c r="I1424" s="19"/>
      <c r="J1424" s="22"/>
      <c r="K1424" s="21"/>
      <c r="L1424" s="22"/>
      <c r="M1424" s="19"/>
      <c r="N1424" s="20"/>
      <c r="O1424" s="19"/>
      <c r="P1424" s="19"/>
      <c r="Q1424" s="19"/>
      <c r="R1424" s="19"/>
      <c r="S1424" s="19"/>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row>
    <row r="1425" spans="1:45" x14ac:dyDescent="0.3">
      <c r="A1425" s="410" t="s">
        <v>2818</v>
      </c>
      <c r="B1425" s="17"/>
      <c r="C1425" s="19"/>
      <c r="D1425" s="18"/>
      <c r="E1425" s="18"/>
      <c r="F1425" s="19"/>
      <c r="G1425" s="31"/>
      <c r="H1425" s="31"/>
      <c r="I1425" s="19"/>
      <c r="J1425" s="22"/>
      <c r="K1425" s="21"/>
      <c r="L1425" s="22"/>
      <c r="M1425" s="19"/>
      <c r="N1425" s="20"/>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row>
    <row r="1426" spans="1:45" x14ac:dyDescent="0.3">
      <c r="A1426" s="410" t="s">
        <v>2819</v>
      </c>
      <c r="B1426" s="17"/>
      <c r="C1426" s="19"/>
      <c r="D1426" s="18"/>
      <c r="E1426" s="18"/>
      <c r="F1426" s="19"/>
      <c r="G1426" s="31"/>
      <c r="H1426" s="31"/>
      <c r="I1426" s="19"/>
      <c r="J1426" s="22"/>
      <c r="K1426" s="21"/>
      <c r="L1426" s="22"/>
      <c r="M1426" s="19"/>
      <c r="N1426" s="20"/>
      <c r="O1426" s="19"/>
      <c r="P1426" s="19"/>
      <c r="Q1426" s="19"/>
      <c r="R1426" s="19"/>
      <c r="S1426" s="19"/>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row>
    <row r="1427" spans="1:45" x14ac:dyDescent="0.3">
      <c r="A1427" s="410" t="s">
        <v>2820</v>
      </c>
      <c r="B1427" s="17"/>
      <c r="C1427" s="19"/>
      <c r="D1427" s="18"/>
      <c r="E1427" s="18"/>
      <c r="F1427" s="19"/>
      <c r="G1427" s="31"/>
      <c r="H1427" s="31"/>
      <c r="I1427" s="19"/>
      <c r="J1427" s="22"/>
      <c r="K1427" s="21"/>
      <c r="L1427" s="22"/>
      <c r="M1427" s="19"/>
      <c r="N1427" s="20"/>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row>
    <row r="1428" spans="1:45" x14ac:dyDescent="0.3">
      <c r="A1428" s="410" t="s">
        <v>2821</v>
      </c>
      <c r="B1428" s="17"/>
      <c r="C1428" s="19"/>
      <c r="D1428" s="18"/>
      <c r="E1428" s="18"/>
      <c r="F1428" s="19"/>
      <c r="G1428" s="31"/>
      <c r="H1428" s="31"/>
      <c r="I1428" s="19"/>
      <c r="J1428" s="22"/>
      <c r="K1428" s="21"/>
      <c r="L1428" s="22"/>
      <c r="M1428" s="19"/>
      <c r="N1428" s="20"/>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row>
    <row r="1429" spans="1:45" x14ac:dyDescent="0.3">
      <c r="A1429" s="410" t="s">
        <v>2822</v>
      </c>
      <c r="B1429" s="17"/>
      <c r="C1429" s="19"/>
      <c r="D1429" s="18"/>
      <c r="E1429" s="18"/>
      <c r="F1429" s="19"/>
      <c r="G1429" s="31"/>
      <c r="H1429" s="31"/>
      <c r="I1429" s="19"/>
      <c r="J1429" s="22"/>
      <c r="K1429" s="21"/>
      <c r="L1429" s="22"/>
      <c r="M1429" s="19"/>
      <c r="N1429" s="20"/>
      <c r="O1429" s="19"/>
      <c r="P1429" s="19"/>
      <c r="Q1429" s="19"/>
      <c r="R1429" s="19"/>
      <c r="S1429" s="19"/>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row>
    <row r="1430" spans="1:45" x14ac:dyDescent="0.3">
      <c r="A1430" s="410" t="s">
        <v>2823</v>
      </c>
      <c r="B1430" s="17"/>
      <c r="C1430" s="19"/>
      <c r="D1430" s="18"/>
      <c r="E1430" s="18"/>
      <c r="F1430" s="19"/>
      <c r="G1430" s="31"/>
      <c r="H1430" s="31"/>
      <c r="I1430" s="19"/>
      <c r="J1430" s="22"/>
      <c r="K1430" s="21"/>
      <c r="L1430" s="22"/>
      <c r="M1430" s="19"/>
      <c r="N1430" s="20"/>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row>
    <row r="1431" spans="1:45" x14ac:dyDescent="0.3">
      <c r="A1431" s="410" t="s">
        <v>2824</v>
      </c>
      <c r="B1431" s="17"/>
      <c r="C1431" s="19"/>
      <c r="D1431" s="18"/>
      <c r="E1431" s="18"/>
      <c r="F1431" s="19"/>
      <c r="G1431" s="31"/>
      <c r="H1431" s="31"/>
      <c r="I1431" s="19"/>
      <c r="J1431" s="22"/>
      <c r="K1431" s="21"/>
      <c r="L1431" s="22"/>
      <c r="M1431" s="19"/>
      <c r="N1431" s="20"/>
      <c r="O1431" s="19"/>
      <c r="P1431" s="19"/>
      <c r="Q1431" s="19"/>
      <c r="R1431" s="19"/>
      <c r="S1431" s="19"/>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row>
    <row r="1432" spans="1:45" x14ac:dyDescent="0.3">
      <c r="A1432" s="410" t="s">
        <v>2825</v>
      </c>
      <c r="B1432" s="17"/>
      <c r="C1432" s="19"/>
      <c r="D1432" s="18"/>
      <c r="E1432" s="18"/>
      <c r="F1432" s="19"/>
      <c r="G1432" s="31"/>
      <c r="H1432" s="31"/>
      <c r="I1432" s="19"/>
      <c r="J1432" s="22"/>
      <c r="K1432" s="21"/>
      <c r="L1432" s="22"/>
      <c r="M1432" s="19"/>
      <c r="N1432" s="20"/>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row>
    <row r="1433" spans="1:45" x14ac:dyDescent="0.3">
      <c r="A1433" s="410" t="s">
        <v>2826</v>
      </c>
      <c r="B1433" s="17"/>
      <c r="C1433" s="19"/>
      <c r="D1433" s="18"/>
      <c r="E1433" s="18"/>
      <c r="F1433" s="19"/>
      <c r="G1433" s="31"/>
      <c r="H1433" s="31"/>
      <c r="I1433" s="19"/>
      <c r="J1433" s="22"/>
      <c r="K1433" s="21"/>
      <c r="L1433" s="22"/>
      <c r="M1433" s="19"/>
      <c r="N1433" s="20"/>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row>
    <row r="1434" spans="1:45" x14ac:dyDescent="0.3">
      <c r="A1434" s="410" t="s">
        <v>2827</v>
      </c>
      <c r="B1434" s="17"/>
      <c r="C1434" s="19"/>
      <c r="D1434" s="18"/>
      <c r="E1434" s="18"/>
      <c r="F1434" s="19"/>
      <c r="G1434" s="31"/>
      <c r="H1434" s="31"/>
      <c r="I1434" s="19"/>
      <c r="J1434" s="22"/>
      <c r="K1434" s="21"/>
      <c r="L1434" s="22"/>
      <c r="M1434" s="19"/>
      <c r="N1434" s="20"/>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row>
    <row r="1435" spans="1:45" x14ac:dyDescent="0.3">
      <c r="A1435" s="410" t="s">
        <v>2828</v>
      </c>
      <c r="B1435" s="17"/>
      <c r="C1435" s="19"/>
      <c r="D1435" s="18"/>
      <c r="E1435" s="18"/>
      <c r="F1435" s="19"/>
      <c r="G1435" s="31"/>
      <c r="H1435" s="31"/>
      <c r="I1435" s="19"/>
      <c r="J1435" s="22"/>
      <c r="K1435" s="21"/>
      <c r="L1435" s="22"/>
      <c r="M1435" s="19"/>
      <c r="N1435" s="20"/>
      <c r="O1435" s="19"/>
      <c r="P1435" s="19"/>
      <c r="Q1435" s="19"/>
      <c r="R1435" s="19"/>
      <c r="S1435" s="19"/>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row>
    <row r="1436" spans="1:45" x14ac:dyDescent="0.3">
      <c r="A1436" s="410" t="s">
        <v>2829</v>
      </c>
      <c r="B1436" s="17"/>
      <c r="C1436" s="19"/>
      <c r="D1436" s="18"/>
      <c r="E1436" s="18"/>
      <c r="F1436" s="19"/>
      <c r="G1436" s="31"/>
      <c r="H1436" s="31"/>
      <c r="I1436" s="19"/>
      <c r="J1436" s="22"/>
      <c r="K1436" s="21"/>
      <c r="L1436" s="22"/>
      <c r="M1436" s="19"/>
      <c r="N1436" s="20"/>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row>
    <row r="1437" spans="1:45" x14ac:dyDescent="0.3">
      <c r="A1437" s="410" t="s">
        <v>2830</v>
      </c>
      <c r="B1437" s="17"/>
      <c r="C1437" s="19"/>
      <c r="D1437" s="18"/>
      <c r="E1437" s="18"/>
      <c r="F1437" s="19"/>
      <c r="G1437" s="31"/>
      <c r="H1437" s="31"/>
      <c r="I1437" s="19"/>
      <c r="J1437" s="22"/>
      <c r="K1437" s="21"/>
      <c r="L1437" s="22"/>
      <c r="M1437" s="19"/>
      <c r="N1437" s="20"/>
      <c r="O1437" s="19"/>
      <c r="P1437" s="19"/>
      <c r="Q1437" s="19"/>
      <c r="R1437" s="19"/>
      <c r="S1437" s="19"/>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row>
    <row r="1438" spans="1:45" x14ac:dyDescent="0.3">
      <c r="A1438" s="410" t="s">
        <v>2831</v>
      </c>
      <c r="B1438" s="17"/>
      <c r="C1438" s="19"/>
      <c r="D1438" s="18"/>
      <c r="E1438" s="18"/>
      <c r="F1438" s="19"/>
      <c r="G1438" s="31"/>
      <c r="H1438" s="31"/>
      <c r="I1438" s="19"/>
      <c r="J1438" s="22"/>
      <c r="K1438" s="21"/>
      <c r="L1438" s="22"/>
      <c r="M1438" s="19"/>
      <c r="N1438" s="20"/>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row>
    <row r="1439" spans="1:45" x14ac:dyDescent="0.3">
      <c r="A1439" s="410" t="s">
        <v>2832</v>
      </c>
      <c r="B1439" s="17"/>
      <c r="C1439" s="19"/>
      <c r="D1439" s="18"/>
      <c r="E1439" s="18"/>
      <c r="F1439" s="19"/>
      <c r="G1439" s="31"/>
      <c r="H1439" s="31"/>
      <c r="I1439" s="19"/>
      <c r="J1439" s="22"/>
      <c r="K1439" s="21"/>
      <c r="L1439" s="22"/>
      <c r="M1439" s="19"/>
      <c r="N1439" s="20"/>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row>
    <row r="1440" spans="1:45" x14ac:dyDescent="0.3">
      <c r="A1440" s="410" t="s">
        <v>2833</v>
      </c>
      <c r="B1440" s="17"/>
      <c r="C1440" s="19"/>
      <c r="D1440" s="18"/>
      <c r="E1440" s="18"/>
      <c r="F1440" s="19"/>
      <c r="G1440" s="31"/>
      <c r="H1440" s="31"/>
      <c r="I1440" s="19"/>
      <c r="J1440" s="22"/>
      <c r="K1440" s="21"/>
      <c r="L1440" s="22"/>
      <c r="M1440" s="19"/>
      <c r="N1440" s="20"/>
      <c r="O1440" s="19"/>
      <c r="P1440" s="19"/>
      <c r="Q1440" s="19"/>
      <c r="R1440" s="19"/>
      <c r="S1440" s="19"/>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row>
    <row r="1441" spans="1:45" x14ac:dyDescent="0.3">
      <c r="A1441" s="410" t="s">
        <v>2834</v>
      </c>
      <c r="B1441" s="17"/>
      <c r="C1441" s="19"/>
      <c r="D1441" s="18"/>
      <c r="E1441" s="18"/>
      <c r="F1441" s="19"/>
      <c r="G1441" s="31"/>
      <c r="H1441" s="31"/>
      <c r="I1441" s="19"/>
      <c r="J1441" s="22"/>
      <c r="K1441" s="21"/>
      <c r="L1441" s="22"/>
      <c r="M1441" s="19"/>
      <c r="N1441" s="20"/>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row>
    <row r="1442" spans="1:45" x14ac:dyDescent="0.3">
      <c r="A1442" s="410" t="s">
        <v>2835</v>
      </c>
      <c r="B1442" s="17"/>
      <c r="C1442" s="19"/>
      <c r="D1442" s="18"/>
      <c r="E1442" s="18"/>
      <c r="F1442" s="19"/>
      <c r="G1442" s="31"/>
      <c r="H1442" s="31"/>
      <c r="I1442" s="19"/>
      <c r="J1442" s="22"/>
      <c r="K1442" s="21"/>
      <c r="L1442" s="22"/>
      <c r="M1442" s="19"/>
      <c r="N1442" s="20"/>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row>
    <row r="1443" spans="1:45" x14ac:dyDescent="0.3">
      <c r="A1443" s="410" t="s">
        <v>2836</v>
      </c>
      <c r="B1443" s="17"/>
      <c r="C1443" s="19"/>
      <c r="D1443" s="18"/>
      <c r="E1443" s="18"/>
      <c r="F1443" s="19"/>
      <c r="G1443" s="31"/>
      <c r="H1443" s="31"/>
      <c r="I1443" s="19"/>
      <c r="J1443" s="22"/>
      <c r="K1443" s="21"/>
      <c r="L1443" s="22"/>
      <c r="M1443" s="19"/>
      <c r="N1443" s="20"/>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row>
    <row r="1444" spans="1:45" x14ac:dyDescent="0.3">
      <c r="A1444" s="410" t="s">
        <v>2837</v>
      </c>
      <c r="B1444" s="17"/>
      <c r="C1444" s="19"/>
      <c r="D1444" s="18"/>
      <c r="E1444" s="18"/>
      <c r="F1444" s="19"/>
      <c r="G1444" s="31"/>
      <c r="H1444" s="31"/>
      <c r="I1444" s="19"/>
      <c r="J1444" s="22"/>
      <c r="K1444" s="21"/>
      <c r="L1444" s="22"/>
      <c r="M1444" s="19"/>
      <c r="N1444" s="20"/>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row>
    <row r="1445" spans="1:45" x14ac:dyDescent="0.3">
      <c r="A1445" s="410" t="s">
        <v>2838</v>
      </c>
      <c r="B1445" s="17"/>
      <c r="C1445" s="19"/>
      <c r="D1445" s="18"/>
      <c r="E1445" s="18"/>
      <c r="F1445" s="19"/>
      <c r="G1445" s="31"/>
      <c r="H1445" s="31"/>
      <c r="I1445" s="19"/>
      <c r="J1445" s="22"/>
      <c r="K1445" s="21"/>
      <c r="L1445" s="22"/>
      <c r="M1445" s="19"/>
      <c r="N1445" s="20"/>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row>
    <row r="1446" spans="1:45" x14ac:dyDescent="0.3">
      <c r="A1446" s="410" t="s">
        <v>2839</v>
      </c>
      <c r="B1446" s="17"/>
      <c r="C1446" s="19"/>
      <c r="D1446" s="18"/>
      <c r="E1446" s="18"/>
      <c r="F1446" s="19"/>
      <c r="G1446" s="31"/>
      <c r="H1446" s="31"/>
      <c r="I1446" s="19"/>
      <c r="J1446" s="22"/>
      <c r="K1446" s="21"/>
      <c r="L1446" s="22"/>
      <c r="M1446" s="19"/>
      <c r="N1446" s="20"/>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row>
    <row r="1447" spans="1:45" x14ac:dyDescent="0.3">
      <c r="A1447" s="410" t="s">
        <v>2840</v>
      </c>
      <c r="B1447" s="17"/>
      <c r="C1447" s="19"/>
      <c r="D1447" s="18"/>
      <c r="E1447" s="18"/>
      <c r="F1447" s="19"/>
      <c r="G1447" s="31"/>
      <c r="H1447" s="31"/>
      <c r="I1447" s="19"/>
      <c r="J1447" s="22"/>
      <c r="K1447" s="21"/>
      <c r="L1447" s="22"/>
      <c r="M1447" s="19"/>
      <c r="N1447" s="20"/>
      <c r="O1447" s="19"/>
      <c r="P1447" s="19"/>
      <c r="Q1447" s="19"/>
      <c r="R1447" s="19"/>
      <c r="S1447" s="19"/>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row>
    <row r="1448" spans="1:45" x14ac:dyDescent="0.3">
      <c r="A1448" s="410" t="s">
        <v>2841</v>
      </c>
      <c r="B1448" s="17"/>
      <c r="C1448" s="19"/>
      <c r="D1448" s="18"/>
      <c r="E1448" s="18"/>
      <c r="F1448" s="19"/>
      <c r="G1448" s="31"/>
      <c r="H1448" s="31"/>
      <c r="I1448" s="19"/>
      <c r="J1448" s="22"/>
      <c r="K1448" s="21"/>
      <c r="L1448" s="22"/>
      <c r="M1448" s="19"/>
      <c r="N1448" s="20"/>
      <c r="O1448" s="19"/>
      <c r="P1448" s="19"/>
      <c r="Q1448" s="19"/>
      <c r="R1448" s="19"/>
      <c r="S1448" s="19"/>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row>
    <row r="1449" spans="1:45" x14ac:dyDescent="0.3">
      <c r="A1449" s="410" t="s">
        <v>2842</v>
      </c>
      <c r="B1449" s="17"/>
      <c r="C1449" s="19"/>
      <c r="D1449" s="18"/>
      <c r="E1449" s="18"/>
      <c r="F1449" s="19"/>
      <c r="G1449" s="31"/>
      <c r="H1449" s="31"/>
      <c r="I1449" s="19"/>
      <c r="J1449" s="22"/>
      <c r="K1449" s="21"/>
      <c r="L1449" s="22"/>
      <c r="M1449" s="19"/>
      <c r="N1449" s="20"/>
      <c r="O1449" s="19"/>
      <c r="P1449" s="19"/>
      <c r="Q1449" s="19"/>
      <c r="R1449" s="19"/>
      <c r="S1449" s="19"/>
      <c r="T1449" s="19"/>
      <c r="U1449" s="19"/>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row>
    <row r="1450" spans="1:45" x14ac:dyDescent="0.3">
      <c r="A1450" s="410" t="s">
        <v>2843</v>
      </c>
      <c r="B1450" s="17"/>
      <c r="C1450" s="19"/>
      <c r="D1450" s="18"/>
      <c r="E1450" s="18"/>
      <c r="F1450" s="19"/>
      <c r="G1450" s="31"/>
      <c r="H1450" s="31"/>
      <c r="I1450" s="19"/>
      <c r="J1450" s="22"/>
      <c r="K1450" s="21"/>
      <c r="L1450" s="22"/>
      <c r="M1450" s="19"/>
      <c r="N1450" s="20"/>
      <c r="O1450" s="19"/>
      <c r="P1450" s="19"/>
      <c r="Q1450" s="19"/>
      <c r="R1450" s="19"/>
      <c r="S1450" s="19"/>
      <c r="T1450" s="19"/>
      <c r="U1450" s="19"/>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row>
    <row r="1451" spans="1:45" x14ac:dyDescent="0.3">
      <c r="A1451" s="410" t="s">
        <v>2844</v>
      </c>
      <c r="B1451" s="17"/>
      <c r="C1451" s="19"/>
      <c r="D1451" s="18"/>
      <c r="E1451" s="18"/>
      <c r="F1451" s="19"/>
      <c r="G1451" s="31"/>
      <c r="H1451" s="31"/>
      <c r="I1451" s="19"/>
      <c r="J1451" s="22"/>
      <c r="K1451" s="21"/>
      <c r="L1451" s="22"/>
      <c r="M1451" s="19"/>
      <c r="N1451" s="20"/>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row>
    <row r="1452" spans="1:45" x14ac:dyDescent="0.3">
      <c r="A1452" s="410" t="s">
        <v>2845</v>
      </c>
      <c r="B1452" s="17"/>
      <c r="C1452" s="19"/>
      <c r="D1452" s="18"/>
      <c r="E1452" s="18"/>
      <c r="F1452" s="19"/>
      <c r="G1452" s="31"/>
      <c r="H1452" s="31"/>
      <c r="I1452" s="19"/>
      <c r="J1452" s="22"/>
      <c r="K1452" s="21"/>
      <c r="L1452" s="22"/>
      <c r="M1452" s="19"/>
      <c r="N1452" s="20"/>
      <c r="O1452" s="19"/>
      <c r="P1452" s="19"/>
      <c r="Q1452" s="19"/>
      <c r="R1452" s="19"/>
      <c r="S1452" s="19"/>
      <c r="T1452" s="19"/>
      <c r="U1452" s="19"/>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row>
    <row r="1453" spans="1:45" x14ac:dyDescent="0.3">
      <c r="A1453" s="410" t="s">
        <v>2846</v>
      </c>
      <c r="B1453" s="17"/>
      <c r="C1453" s="19"/>
      <c r="D1453" s="18"/>
      <c r="E1453" s="18"/>
      <c r="F1453" s="19"/>
      <c r="G1453" s="31"/>
      <c r="H1453" s="31"/>
      <c r="I1453" s="19"/>
      <c r="J1453" s="22"/>
      <c r="K1453" s="21"/>
      <c r="L1453" s="22"/>
      <c r="M1453" s="19"/>
      <c r="N1453" s="20"/>
      <c r="O1453" s="19"/>
      <c r="P1453" s="19"/>
      <c r="Q1453" s="19"/>
      <c r="R1453" s="19"/>
      <c r="S1453" s="19"/>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row>
    <row r="1454" spans="1:45" x14ac:dyDescent="0.3">
      <c r="A1454" s="410" t="s">
        <v>2847</v>
      </c>
      <c r="B1454" s="17"/>
      <c r="C1454" s="19"/>
      <c r="D1454" s="18"/>
      <c r="E1454" s="18"/>
      <c r="F1454" s="19"/>
      <c r="G1454" s="31"/>
      <c r="H1454" s="31"/>
      <c r="I1454" s="19"/>
      <c r="J1454" s="22"/>
      <c r="K1454" s="21"/>
      <c r="L1454" s="22"/>
      <c r="M1454" s="19"/>
      <c r="N1454" s="20"/>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row>
    <row r="1455" spans="1:45" x14ac:dyDescent="0.3">
      <c r="A1455" s="410" t="s">
        <v>2848</v>
      </c>
      <c r="B1455" s="17"/>
      <c r="C1455" s="19"/>
      <c r="D1455" s="18"/>
      <c r="E1455" s="18"/>
      <c r="F1455" s="19"/>
      <c r="G1455" s="31"/>
      <c r="H1455" s="31"/>
      <c r="I1455" s="19"/>
      <c r="J1455" s="22"/>
      <c r="K1455" s="21"/>
      <c r="L1455" s="22"/>
      <c r="M1455" s="19"/>
      <c r="N1455" s="20"/>
      <c r="O1455" s="19"/>
      <c r="P1455" s="19"/>
      <c r="Q1455" s="19"/>
      <c r="R1455" s="19"/>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row>
    <row r="1456" spans="1:45" x14ac:dyDescent="0.3">
      <c r="A1456" s="410" t="s">
        <v>2849</v>
      </c>
      <c r="B1456" s="17"/>
      <c r="C1456" s="19"/>
      <c r="D1456" s="18"/>
      <c r="E1456" s="18"/>
      <c r="F1456" s="19"/>
      <c r="G1456" s="31"/>
      <c r="H1456" s="31"/>
      <c r="I1456" s="19"/>
      <c r="J1456" s="22"/>
      <c r="K1456" s="21"/>
      <c r="L1456" s="22"/>
      <c r="M1456" s="19"/>
      <c r="N1456" s="20"/>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row>
    <row r="1457" spans="1:45" x14ac:dyDescent="0.3">
      <c r="A1457" s="410" t="s">
        <v>2850</v>
      </c>
      <c r="B1457" s="17"/>
      <c r="C1457" s="19"/>
      <c r="D1457" s="18"/>
      <c r="E1457" s="18"/>
      <c r="F1457" s="19"/>
      <c r="G1457" s="31"/>
      <c r="H1457" s="31"/>
      <c r="I1457" s="19"/>
      <c r="J1457" s="22"/>
      <c r="K1457" s="21"/>
      <c r="L1457" s="22"/>
      <c r="M1457" s="19"/>
      <c r="N1457" s="20"/>
      <c r="O1457" s="19"/>
      <c r="P1457" s="19"/>
      <c r="Q1457" s="19"/>
      <c r="R1457" s="19"/>
      <c r="S1457" s="19"/>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row>
    <row r="1458" spans="1:45" x14ac:dyDescent="0.3">
      <c r="A1458" s="410" t="s">
        <v>2851</v>
      </c>
      <c r="B1458" s="17"/>
      <c r="C1458" s="19"/>
      <c r="D1458" s="18"/>
      <c r="E1458" s="18"/>
      <c r="F1458" s="19"/>
      <c r="G1458" s="31"/>
      <c r="H1458" s="31"/>
      <c r="I1458" s="19"/>
      <c r="J1458" s="22"/>
      <c r="K1458" s="21"/>
      <c r="L1458" s="22"/>
      <c r="M1458" s="19"/>
      <c r="N1458" s="20"/>
      <c r="O1458" s="19"/>
      <c r="P1458" s="19"/>
      <c r="Q1458" s="19"/>
      <c r="R1458" s="19"/>
      <c r="S1458" s="19"/>
      <c r="T1458" s="19"/>
      <c r="U1458" s="19"/>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row>
    <row r="1459" spans="1:45" x14ac:dyDescent="0.3">
      <c r="A1459" s="410"/>
      <c r="B1459" s="17"/>
      <c r="C1459" s="19"/>
      <c r="D1459" s="18"/>
      <c r="E1459" s="18"/>
      <c r="F1459" s="19"/>
      <c r="G1459" s="31"/>
      <c r="H1459" s="31"/>
      <c r="I1459" s="19"/>
      <c r="J1459" s="22"/>
      <c r="K1459" s="21"/>
      <c r="L1459" s="22"/>
      <c r="M1459" s="19"/>
      <c r="N1459" s="20"/>
      <c r="O1459" s="19"/>
      <c r="P1459" s="19"/>
      <c r="Q1459" s="19"/>
      <c r="R1459" s="19"/>
      <c r="S1459" s="19"/>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row>
    <row r="1460" spans="1:45" x14ac:dyDescent="0.3">
      <c r="A1460" s="410" t="s">
        <v>2852</v>
      </c>
      <c r="B1460" s="17" t="s">
        <v>2853</v>
      </c>
      <c r="C1460" s="19" t="s">
        <v>1381</v>
      </c>
      <c r="D1460" s="18" t="s">
        <v>210</v>
      </c>
      <c r="E1460" s="18"/>
      <c r="F1460" s="19"/>
      <c r="G1460" s="31">
        <v>45435</v>
      </c>
      <c r="H1460" s="31">
        <v>45800</v>
      </c>
      <c r="I1460" s="19" t="s">
        <v>1372</v>
      </c>
      <c r="J1460" s="22" t="s">
        <v>1373</v>
      </c>
      <c r="K1460" s="21" t="s">
        <v>1372</v>
      </c>
      <c r="L1460" s="22" t="s">
        <v>1373</v>
      </c>
      <c r="M1460" s="19" t="s">
        <v>1461</v>
      </c>
      <c r="N1460" s="20" t="s">
        <v>2854</v>
      </c>
      <c r="O1460" s="19" t="s">
        <v>1782</v>
      </c>
      <c r="P1460" s="19"/>
      <c r="Q1460" s="19" t="s">
        <v>1372</v>
      </c>
      <c r="R1460" s="19" t="s">
        <v>1372</v>
      </c>
      <c r="S1460" s="19" t="s">
        <v>1372</v>
      </c>
      <c r="T1460" s="19" t="s">
        <v>1372</v>
      </c>
      <c r="U1460" s="19" t="s">
        <v>1372</v>
      </c>
      <c r="V1460" s="19"/>
      <c r="W1460" s="19" t="s">
        <v>1382</v>
      </c>
      <c r="X1460" s="19"/>
      <c r="Y1460" s="19"/>
      <c r="Z1460" s="19" t="s">
        <v>1372</v>
      </c>
      <c r="AA1460" s="19"/>
      <c r="AB1460" s="19"/>
      <c r="AC1460" s="19"/>
      <c r="AD1460" s="19"/>
      <c r="AE1460" s="19"/>
      <c r="AF1460" s="19"/>
      <c r="AG1460" s="19"/>
      <c r="AH1460" s="19"/>
      <c r="AI1460" s="19"/>
      <c r="AJ1460" s="19"/>
      <c r="AK1460" s="19"/>
      <c r="AL1460" s="19"/>
      <c r="AM1460" s="19"/>
      <c r="AN1460" s="19"/>
      <c r="AO1460" s="19"/>
      <c r="AP1460" s="19"/>
      <c r="AQ1460" s="19"/>
      <c r="AR1460" s="19" t="s">
        <v>1783</v>
      </c>
      <c r="AS1460" s="19"/>
    </row>
    <row r="1461" spans="1:45" x14ac:dyDescent="0.3">
      <c r="A1461" s="410" t="s">
        <v>2855</v>
      </c>
      <c r="B1461" s="17"/>
      <c r="C1461" s="19"/>
      <c r="D1461" s="18"/>
      <c r="E1461" s="18"/>
      <c r="F1461" s="19"/>
      <c r="G1461" s="31"/>
      <c r="H1461" s="31"/>
      <c r="I1461" s="19"/>
      <c r="J1461" s="22"/>
      <c r="K1461" s="21"/>
      <c r="L1461" s="22"/>
      <c r="M1461" s="19"/>
      <c r="N1461" s="20"/>
      <c r="O1461" s="19"/>
      <c r="P1461" s="19"/>
      <c r="Q1461" s="19"/>
      <c r="R1461" s="19"/>
      <c r="S1461" s="19"/>
      <c r="T1461" s="19"/>
      <c r="U1461" s="19"/>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row>
    <row r="1462" spans="1:45" x14ac:dyDescent="0.3">
      <c r="A1462" s="410" t="s">
        <v>2856</v>
      </c>
      <c r="B1462" s="17"/>
      <c r="C1462" s="19"/>
      <c r="D1462" s="18"/>
      <c r="E1462" s="18"/>
      <c r="F1462" s="19"/>
      <c r="G1462" s="31"/>
      <c r="H1462" s="31"/>
      <c r="I1462" s="19"/>
      <c r="J1462" s="22"/>
      <c r="K1462" s="21"/>
      <c r="L1462" s="22"/>
      <c r="M1462" s="19"/>
      <c r="N1462" s="20"/>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row>
    <row r="1463" spans="1:45" x14ac:dyDescent="0.3">
      <c r="A1463" s="410" t="s">
        <v>2857</v>
      </c>
      <c r="B1463" s="17"/>
      <c r="C1463" s="19"/>
      <c r="D1463" s="18"/>
      <c r="E1463" s="18"/>
      <c r="F1463" s="19"/>
      <c r="G1463" s="31"/>
      <c r="H1463" s="31"/>
      <c r="I1463" s="19"/>
      <c r="J1463" s="22"/>
      <c r="K1463" s="21"/>
      <c r="L1463" s="22"/>
      <c r="M1463" s="19"/>
      <c r="N1463" s="20"/>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row>
    <row r="1464" spans="1:45" x14ac:dyDescent="0.3">
      <c r="A1464" s="410" t="s">
        <v>2858</v>
      </c>
      <c r="B1464" s="17"/>
      <c r="C1464" s="19"/>
      <c r="D1464" s="18"/>
      <c r="E1464" s="18"/>
      <c r="F1464" s="19"/>
      <c r="G1464" s="31"/>
      <c r="H1464" s="31"/>
      <c r="I1464" s="19"/>
      <c r="J1464" s="22"/>
      <c r="K1464" s="21"/>
      <c r="L1464" s="22"/>
      <c r="M1464" s="19"/>
      <c r="N1464" s="20"/>
      <c r="O1464" s="19"/>
      <c r="P1464" s="19"/>
      <c r="Q1464" s="19"/>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row>
    <row r="1465" spans="1:45" x14ac:dyDescent="0.3">
      <c r="A1465" s="410" t="s">
        <v>2859</v>
      </c>
      <c r="B1465" s="17"/>
      <c r="C1465" s="19"/>
      <c r="D1465" s="18"/>
      <c r="E1465" s="18"/>
      <c r="F1465" s="19"/>
      <c r="G1465" s="31"/>
      <c r="H1465" s="31"/>
      <c r="I1465" s="19"/>
      <c r="J1465" s="22"/>
      <c r="K1465" s="21"/>
      <c r="L1465" s="22"/>
      <c r="M1465" s="19"/>
      <c r="N1465" s="20"/>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row>
    <row r="1466" spans="1:45" x14ac:dyDescent="0.3">
      <c r="A1466" s="410" t="s">
        <v>2860</v>
      </c>
      <c r="B1466" s="17"/>
      <c r="C1466" s="19"/>
      <c r="D1466" s="18"/>
      <c r="E1466" s="18"/>
      <c r="F1466" s="19"/>
      <c r="G1466" s="31"/>
      <c r="H1466" s="31"/>
      <c r="I1466" s="19"/>
      <c r="J1466" s="22"/>
      <c r="K1466" s="21"/>
      <c r="L1466" s="22"/>
      <c r="M1466" s="19"/>
      <c r="N1466" s="20"/>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row>
    <row r="1467" spans="1:45" x14ac:dyDescent="0.3">
      <c r="A1467" s="410" t="s">
        <v>2861</v>
      </c>
      <c r="B1467" s="17"/>
      <c r="C1467" s="19"/>
      <c r="D1467" s="18"/>
      <c r="E1467" s="18"/>
      <c r="F1467" s="19"/>
      <c r="G1467" s="31"/>
      <c r="H1467" s="31"/>
      <c r="I1467" s="19"/>
      <c r="J1467" s="22"/>
      <c r="K1467" s="21"/>
      <c r="L1467" s="22"/>
      <c r="M1467" s="19"/>
      <c r="N1467" s="20"/>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row>
    <row r="1468" spans="1:45" x14ac:dyDescent="0.3">
      <c r="A1468" s="410" t="s">
        <v>2862</v>
      </c>
      <c r="B1468" s="17"/>
      <c r="C1468" s="19"/>
      <c r="D1468" s="18"/>
      <c r="E1468" s="18"/>
      <c r="F1468" s="19"/>
      <c r="G1468" s="31"/>
      <c r="H1468" s="31"/>
      <c r="I1468" s="19"/>
      <c r="J1468" s="22"/>
      <c r="K1468" s="21"/>
      <c r="L1468" s="22"/>
      <c r="M1468" s="19"/>
      <c r="N1468" s="20"/>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row>
    <row r="1469" spans="1:45" x14ac:dyDescent="0.3">
      <c r="A1469" s="410" t="s">
        <v>2863</v>
      </c>
      <c r="B1469" s="17"/>
      <c r="C1469" s="19"/>
      <c r="D1469" s="18"/>
      <c r="E1469" s="18"/>
      <c r="F1469" s="19"/>
      <c r="G1469" s="31"/>
      <c r="H1469" s="31"/>
      <c r="I1469" s="19"/>
      <c r="J1469" s="22"/>
      <c r="K1469" s="21"/>
      <c r="L1469" s="22"/>
      <c r="M1469" s="19"/>
      <c r="N1469" s="20"/>
      <c r="O1469" s="19"/>
      <c r="P1469" s="19"/>
      <c r="Q1469" s="19"/>
      <c r="R1469" s="19"/>
      <c r="S1469" s="19"/>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row>
    <row r="1470" spans="1:45" x14ac:dyDescent="0.3">
      <c r="A1470" s="410" t="s">
        <v>2864</v>
      </c>
      <c r="B1470" s="17"/>
      <c r="C1470" s="19"/>
      <c r="D1470" s="18"/>
      <c r="E1470" s="18"/>
      <c r="F1470" s="19"/>
      <c r="G1470" s="31"/>
      <c r="H1470" s="31"/>
      <c r="I1470" s="19"/>
      <c r="J1470" s="22"/>
      <c r="K1470" s="21"/>
      <c r="L1470" s="22"/>
      <c r="M1470" s="19"/>
      <c r="N1470" s="20"/>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row>
    <row r="1471" spans="1:45" x14ac:dyDescent="0.3">
      <c r="A1471" s="410" t="s">
        <v>2865</v>
      </c>
      <c r="B1471" s="17"/>
      <c r="C1471" s="19"/>
      <c r="D1471" s="18"/>
      <c r="E1471" s="18"/>
      <c r="F1471" s="19"/>
      <c r="G1471" s="31"/>
      <c r="H1471" s="31"/>
      <c r="I1471" s="19"/>
      <c r="J1471" s="22"/>
      <c r="K1471" s="21"/>
      <c r="L1471" s="22"/>
      <c r="M1471" s="19"/>
      <c r="N1471" s="20"/>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row>
    <row r="1472" spans="1:45" x14ac:dyDescent="0.3">
      <c r="A1472" s="410" t="s">
        <v>2866</v>
      </c>
      <c r="B1472" s="17"/>
      <c r="C1472" s="19"/>
      <c r="D1472" s="18"/>
      <c r="E1472" s="18"/>
      <c r="F1472" s="19"/>
      <c r="G1472" s="31"/>
      <c r="H1472" s="31"/>
      <c r="I1472" s="19"/>
      <c r="J1472" s="22"/>
      <c r="K1472" s="21"/>
      <c r="L1472" s="22"/>
      <c r="M1472" s="19"/>
      <c r="N1472" s="20"/>
      <c r="O1472" s="19"/>
      <c r="P1472" s="19"/>
      <c r="Q1472" s="19"/>
      <c r="R1472" s="19"/>
      <c r="S1472" s="19"/>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row>
    <row r="1473" spans="1:45" x14ac:dyDescent="0.3">
      <c r="A1473" s="410" t="s">
        <v>2867</v>
      </c>
      <c r="B1473" s="17"/>
      <c r="C1473" s="19"/>
      <c r="D1473" s="18"/>
      <c r="E1473" s="18"/>
      <c r="F1473" s="19"/>
      <c r="G1473" s="31"/>
      <c r="H1473" s="31"/>
      <c r="I1473" s="19"/>
      <c r="J1473" s="22"/>
      <c r="K1473" s="21"/>
      <c r="L1473" s="22"/>
      <c r="M1473" s="19"/>
      <c r="N1473" s="20"/>
      <c r="O1473" s="19"/>
      <c r="P1473" s="19"/>
      <c r="Q1473" s="19"/>
      <c r="R1473" s="19"/>
      <c r="S1473" s="19"/>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row>
    <row r="1474" spans="1:45" x14ac:dyDescent="0.3">
      <c r="A1474" s="410" t="s">
        <v>2868</v>
      </c>
      <c r="B1474" s="17"/>
      <c r="C1474" s="19"/>
      <c r="D1474" s="18"/>
      <c r="E1474" s="18"/>
      <c r="F1474" s="19"/>
      <c r="G1474" s="31"/>
      <c r="H1474" s="31"/>
      <c r="I1474" s="19"/>
      <c r="J1474" s="22"/>
      <c r="K1474" s="21"/>
      <c r="L1474" s="22"/>
      <c r="M1474" s="19"/>
      <c r="N1474" s="20"/>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row>
    <row r="1475" spans="1:45" x14ac:dyDescent="0.3">
      <c r="A1475" s="410" t="s">
        <v>2869</v>
      </c>
      <c r="B1475" s="17"/>
      <c r="C1475" s="19"/>
      <c r="D1475" s="18"/>
      <c r="E1475" s="18"/>
      <c r="F1475" s="19"/>
      <c r="G1475" s="31"/>
      <c r="H1475" s="31"/>
      <c r="I1475" s="19"/>
      <c r="J1475" s="22"/>
      <c r="K1475" s="21"/>
      <c r="L1475" s="22"/>
      <c r="M1475" s="19"/>
      <c r="N1475" s="20"/>
      <c r="O1475" s="19"/>
      <c r="P1475" s="19"/>
      <c r="Q1475" s="19"/>
      <c r="R1475" s="19"/>
      <c r="S1475" s="19"/>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row>
    <row r="1476" spans="1:45" x14ac:dyDescent="0.3">
      <c r="A1476" s="410" t="s">
        <v>2870</v>
      </c>
      <c r="B1476" s="17"/>
      <c r="C1476" s="19"/>
      <c r="D1476" s="18"/>
      <c r="E1476" s="18"/>
      <c r="F1476" s="19"/>
      <c r="G1476" s="31"/>
      <c r="H1476" s="31"/>
      <c r="I1476" s="19"/>
      <c r="J1476" s="22"/>
      <c r="K1476" s="21"/>
      <c r="L1476" s="22"/>
      <c r="M1476" s="19"/>
      <c r="N1476" s="20"/>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row>
    <row r="1477" spans="1:45" x14ac:dyDescent="0.3">
      <c r="A1477" s="410" t="s">
        <v>2871</v>
      </c>
      <c r="B1477" s="17"/>
      <c r="C1477" s="19"/>
      <c r="D1477" s="18"/>
      <c r="E1477" s="18"/>
      <c r="F1477" s="19"/>
      <c r="G1477" s="31"/>
      <c r="H1477" s="31"/>
      <c r="I1477" s="19"/>
      <c r="J1477" s="22"/>
      <c r="K1477" s="21"/>
      <c r="L1477" s="22"/>
      <c r="M1477" s="19"/>
      <c r="N1477" s="20"/>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row>
    <row r="1478" spans="1:45" x14ac:dyDescent="0.3">
      <c r="A1478" s="410" t="s">
        <v>2872</v>
      </c>
      <c r="B1478" s="17"/>
      <c r="C1478" s="19"/>
      <c r="D1478" s="18"/>
      <c r="E1478" s="18"/>
      <c r="F1478" s="19"/>
      <c r="G1478" s="31"/>
      <c r="H1478" s="31"/>
      <c r="I1478" s="19"/>
      <c r="J1478" s="22"/>
      <c r="K1478" s="21"/>
      <c r="L1478" s="22"/>
      <c r="M1478" s="19"/>
      <c r="N1478" s="20"/>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row>
    <row r="1479" spans="1:45" x14ac:dyDescent="0.3">
      <c r="A1479" s="410" t="s">
        <v>2873</v>
      </c>
      <c r="B1479" s="17"/>
      <c r="C1479" s="19"/>
      <c r="D1479" s="18"/>
      <c r="E1479" s="18"/>
      <c r="F1479" s="19"/>
      <c r="G1479" s="31"/>
      <c r="H1479" s="31"/>
      <c r="I1479" s="19"/>
      <c r="J1479" s="22"/>
      <c r="K1479" s="21"/>
      <c r="L1479" s="22"/>
      <c r="M1479" s="19"/>
      <c r="N1479" s="20"/>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row>
    <row r="1480" spans="1:45" x14ac:dyDescent="0.3">
      <c r="A1480" s="410" t="s">
        <v>2874</v>
      </c>
      <c r="B1480" s="17"/>
      <c r="C1480" s="19"/>
      <c r="D1480" s="18"/>
      <c r="E1480" s="18"/>
      <c r="F1480" s="19"/>
      <c r="G1480" s="31"/>
      <c r="H1480" s="31"/>
      <c r="I1480" s="19"/>
      <c r="J1480" s="22"/>
      <c r="K1480" s="21"/>
      <c r="L1480" s="22"/>
      <c r="M1480" s="19"/>
      <c r="N1480" s="20"/>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row>
    <row r="1481" spans="1:45" x14ac:dyDescent="0.3">
      <c r="A1481" s="410" t="s">
        <v>2875</v>
      </c>
      <c r="B1481" s="17"/>
      <c r="C1481" s="19"/>
      <c r="D1481" s="18"/>
      <c r="E1481" s="18"/>
      <c r="F1481" s="19"/>
      <c r="G1481" s="31"/>
      <c r="H1481" s="31"/>
      <c r="I1481" s="19"/>
      <c r="J1481" s="22"/>
      <c r="K1481" s="21"/>
      <c r="L1481" s="22"/>
      <c r="M1481" s="19"/>
      <c r="N1481" s="20"/>
      <c r="O1481" s="19"/>
      <c r="P1481" s="19"/>
      <c r="Q1481" s="19"/>
      <c r="R1481" s="19"/>
      <c r="S1481" s="19"/>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row>
    <row r="1482" spans="1:45" x14ac:dyDescent="0.3">
      <c r="A1482" s="410" t="s">
        <v>2876</v>
      </c>
      <c r="B1482" s="17"/>
      <c r="C1482" s="19"/>
      <c r="D1482" s="18"/>
      <c r="E1482" s="18"/>
      <c r="F1482" s="19"/>
      <c r="G1482" s="31"/>
      <c r="H1482" s="31"/>
      <c r="I1482" s="19"/>
      <c r="J1482" s="22"/>
      <c r="K1482" s="21"/>
      <c r="L1482" s="22"/>
      <c r="M1482" s="19"/>
      <c r="N1482" s="20"/>
      <c r="O1482" s="19"/>
      <c r="P1482" s="19"/>
      <c r="Q1482" s="19"/>
      <c r="R1482" s="19"/>
      <c r="S1482" s="19"/>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row>
    <row r="1483" spans="1:45" x14ac:dyDescent="0.3">
      <c r="A1483" s="410" t="s">
        <v>2877</v>
      </c>
      <c r="B1483" s="17"/>
      <c r="C1483" s="19"/>
      <c r="D1483" s="18"/>
      <c r="E1483" s="18"/>
      <c r="F1483" s="19"/>
      <c r="G1483" s="31"/>
      <c r="H1483" s="31"/>
      <c r="I1483" s="19"/>
      <c r="J1483" s="22"/>
      <c r="K1483" s="21"/>
      <c r="L1483" s="22"/>
      <c r="M1483" s="19"/>
      <c r="N1483" s="20"/>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row>
    <row r="1484" spans="1:45" x14ac:dyDescent="0.3">
      <c r="A1484" s="410" t="s">
        <v>2878</v>
      </c>
      <c r="B1484" s="17"/>
      <c r="C1484" s="19"/>
      <c r="D1484" s="18"/>
      <c r="E1484" s="18"/>
      <c r="F1484" s="19"/>
      <c r="G1484" s="31"/>
      <c r="H1484" s="31"/>
      <c r="I1484" s="19"/>
      <c r="J1484" s="22"/>
      <c r="K1484" s="21"/>
      <c r="L1484" s="22"/>
      <c r="M1484" s="19"/>
      <c r="N1484" s="20"/>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row>
    <row r="1485" spans="1:45" x14ac:dyDescent="0.3">
      <c r="A1485" s="410" t="s">
        <v>2879</v>
      </c>
      <c r="B1485" s="17"/>
      <c r="C1485" s="19"/>
      <c r="D1485" s="18"/>
      <c r="E1485" s="18"/>
      <c r="F1485" s="19"/>
      <c r="G1485" s="31"/>
      <c r="H1485" s="31"/>
      <c r="I1485" s="19"/>
      <c r="J1485" s="22"/>
      <c r="K1485" s="21"/>
      <c r="L1485" s="22"/>
      <c r="M1485" s="19"/>
      <c r="N1485" s="20"/>
      <c r="O1485" s="19"/>
      <c r="P1485" s="19"/>
      <c r="Q1485" s="19"/>
      <c r="R1485" s="19"/>
      <c r="S1485" s="19"/>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row>
    <row r="1486" spans="1:45" x14ac:dyDescent="0.3">
      <c r="A1486" s="410" t="s">
        <v>2880</v>
      </c>
      <c r="B1486" s="17"/>
      <c r="C1486" s="19"/>
      <c r="D1486" s="18"/>
      <c r="E1486" s="18"/>
      <c r="F1486" s="19"/>
      <c r="G1486" s="31"/>
      <c r="H1486" s="31"/>
      <c r="I1486" s="19"/>
      <c r="J1486" s="22"/>
      <c r="K1486" s="21"/>
      <c r="L1486" s="22"/>
      <c r="M1486" s="19"/>
      <c r="N1486" s="20"/>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row>
    <row r="1487" spans="1:45" x14ac:dyDescent="0.3">
      <c r="A1487" s="410" t="s">
        <v>2881</v>
      </c>
      <c r="B1487" s="17"/>
      <c r="C1487" s="19"/>
      <c r="D1487" s="18"/>
      <c r="E1487" s="18"/>
      <c r="F1487" s="19"/>
      <c r="G1487" s="31"/>
      <c r="H1487" s="31"/>
      <c r="I1487" s="19"/>
      <c r="J1487" s="22"/>
      <c r="K1487" s="21"/>
      <c r="L1487" s="22"/>
      <c r="M1487" s="19"/>
      <c r="N1487" s="20"/>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row>
    <row r="1488" spans="1:45" x14ac:dyDescent="0.3">
      <c r="A1488" s="410" t="s">
        <v>2882</v>
      </c>
      <c r="B1488" s="17"/>
      <c r="C1488" s="19"/>
      <c r="D1488" s="18"/>
      <c r="E1488" s="18"/>
      <c r="F1488" s="19"/>
      <c r="G1488" s="31"/>
      <c r="H1488" s="31"/>
      <c r="I1488" s="19"/>
      <c r="J1488" s="22"/>
      <c r="K1488" s="21"/>
      <c r="L1488" s="22"/>
      <c r="M1488" s="19"/>
      <c r="N1488" s="20"/>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row>
    <row r="1489" spans="1:45" x14ac:dyDescent="0.3">
      <c r="A1489" s="410" t="s">
        <v>2883</v>
      </c>
      <c r="B1489" s="17"/>
      <c r="C1489" s="19"/>
      <c r="D1489" s="18"/>
      <c r="E1489" s="18"/>
      <c r="F1489" s="19"/>
      <c r="G1489" s="31"/>
      <c r="H1489" s="31"/>
      <c r="I1489" s="19"/>
      <c r="J1489" s="22"/>
      <c r="K1489" s="21"/>
      <c r="L1489" s="22"/>
      <c r="M1489" s="19"/>
      <c r="N1489" s="20"/>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row>
    <row r="1490" spans="1:45" x14ac:dyDescent="0.3">
      <c r="A1490" s="410" t="s">
        <v>2884</v>
      </c>
      <c r="B1490" s="17"/>
      <c r="C1490" s="19"/>
      <c r="D1490" s="18"/>
      <c r="E1490" s="18"/>
      <c r="F1490" s="19"/>
      <c r="G1490" s="31"/>
      <c r="H1490" s="31"/>
      <c r="I1490" s="19"/>
      <c r="J1490" s="22"/>
      <c r="K1490" s="21"/>
      <c r="L1490" s="22"/>
      <c r="M1490" s="19"/>
      <c r="N1490" s="20"/>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row>
    <row r="1491" spans="1:45" x14ac:dyDescent="0.3">
      <c r="A1491" s="410" t="s">
        <v>2885</v>
      </c>
      <c r="B1491" s="17"/>
      <c r="C1491" s="19"/>
      <c r="D1491" s="18"/>
      <c r="E1491" s="18"/>
      <c r="F1491" s="19"/>
      <c r="G1491" s="31"/>
      <c r="H1491" s="31"/>
      <c r="I1491" s="19"/>
      <c r="J1491" s="22"/>
      <c r="K1491" s="21"/>
      <c r="L1491" s="22"/>
      <c r="M1491" s="19"/>
      <c r="N1491" s="20"/>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row>
    <row r="1492" spans="1:45" x14ac:dyDescent="0.3">
      <c r="A1492" s="410" t="s">
        <v>2886</v>
      </c>
      <c r="B1492" s="17"/>
      <c r="C1492" s="19"/>
      <c r="D1492" s="18"/>
      <c r="E1492" s="18"/>
      <c r="F1492" s="19"/>
      <c r="G1492" s="31"/>
      <c r="H1492" s="31"/>
      <c r="I1492" s="19"/>
      <c r="J1492" s="22"/>
      <c r="K1492" s="21"/>
      <c r="L1492" s="22"/>
      <c r="M1492" s="19"/>
      <c r="N1492" s="20"/>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row>
    <row r="1493" spans="1:45" x14ac:dyDescent="0.3">
      <c r="A1493" s="410" t="s">
        <v>2887</v>
      </c>
      <c r="B1493" s="17"/>
      <c r="C1493" s="19"/>
      <c r="D1493" s="18"/>
      <c r="E1493" s="18"/>
      <c r="F1493" s="19"/>
      <c r="G1493" s="31"/>
      <c r="H1493" s="31"/>
      <c r="I1493" s="19"/>
      <c r="J1493" s="22"/>
      <c r="K1493" s="21"/>
      <c r="L1493" s="22"/>
      <c r="M1493" s="19"/>
      <c r="N1493" s="20"/>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row>
    <row r="1494" spans="1:45" x14ac:dyDescent="0.3">
      <c r="A1494" s="410" t="s">
        <v>2888</v>
      </c>
      <c r="B1494" s="17"/>
      <c r="C1494" s="19"/>
      <c r="D1494" s="18"/>
      <c r="E1494" s="18"/>
      <c r="F1494" s="19"/>
      <c r="G1494" s="31"/>
      <c r="H1494" s="31"/>
      <c r="I1494" s="19"/>
      <c r="J1494" s="22"/>
      <c r="K1494" s="21"/>
      <c r="L1494" s="22"/>
      <c r="M1494" s="19"/>
      <c r="N1494" s="20"/>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row>
    <row r="1495" spans="1:45" x14ac:dyDescent="0.3">
      <c r="A1495" s="410" t="s">
        <v>2889</v>
      </c>
      <c r="B1495" s="17"/>
      <c r="C1495" s="19"/>
      <c r="D1495" s="18"/>
      <c r="E1495" s="18"/>
      <c r="F1495" s="19"/>
      <c r="G1495" s="31"/>
      <c r="H1495" s="31"/>
      <c r="I1495" s="19"/>
      <c r="J1495" s="22"/>
      <c r="K1495" s="21"/>
      <c r="L1495" s="22"/>
      <c r="M1495" s="19"/>
      <c r="N1495" s="20"/>
      <c r="O1495" s="19"/>
      <c r="P1495" s="19"/>
      <c r="Q1495" s="19"/>
      <c r="R1495" s="19"/>
      <c r="S1495" s="19"/>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row>
    <row r="1496" spans="1:45" x14ac:dyDescent="0.3">
      <c r="A1496" s="410" t="s">
        <v>2890</v>
      </c>
      <c r="B1496" s="17"/>
      <c r="C1496" s="19"/>
      <c r="D1496" s="18"/>
      <c r="E1496" s="18"/>
      <c r="F1496" s="19"/>
      <c r="G1496" s="31"/>
      <c r="H1496" s="31"/>
      <c r="I1496" s="19"/>
      <c r="J1496" s="22"/>
      <c r="K1496" s="21"/>
      <c r="L1496" s="22"/>
      <c r="M1496" s="19"/>
      <c r="N1496" s="20"/>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row>
    <row r="1497" spans="1:45" x14ac:dyDescent="0.3">
      <c r="A1497" s="410" t="s">
        <v>2891</v>
      </c>
      <c r="B1497" s="17"/>
      <c r="C1497" s="19"/>
      <c r="D1497" s="18"/>
      <c r="E1497" s="18"/>
      <c r="F1497" s="19"/>
      <c r="G1497" s="31"/>
      <c r="H1497" s="31"/>
      <c r="I1497" s="19"/>
      <c r="J1497" s="22"/>
      <c r="K1497" s="21"/>
      <c r="L1497" s="22"/>
      <c r="M1497" s="19"/>
      <c r="N1497" s="20"/>
      <c r="O1497" s="19"/>
      <c r="P1497" s="19"/>
      <c r="Q1497" s="19"/>
      <c r="R1497" s="19"/>
      <c r="S1497" s="19"/>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row>
    <row r="1498" spans="1:45" x14ac:dyDescent="0.3">
      <c r="A1498" s="410" t="s">
        <v>2892</v>
      </c>
      <c r="B1498" s="17"/>
      <c r="C1498" s="19"/>
      <c r="D1498" s="18"/>
      <c r="E1498" s="18"/>
      <c r="F1498" s="19"/>
      <c r="G1498" s="31"/>
      <c r="H1498" s="31"/>
      <c r="I1498" s="19"/>
      <c r="J1498" s="22"/>
      <c r="K1498" s="21"/>
      <c r="L1498" s="22"/>
      <c r="M1498" s="19"/>
      <c r="N1498" s="20"/>
      <c r="O1498" s="19"/>
      <c r="P1498" s="19"/>
      <c r="Q1498" s="19"/>
      <c r="R1498" s="19"/>
      <c r="S1498" s="19"/>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row>
    <row r="1499" spans="1:45" x14ac:dyDescent="0.3">
      <c r="A1499" s="410" t="s">
        <v>2893</v>
      </c>
      <c r="B1499" s="17"/>
      <c r="C1499" s="19"/>
      <c r="D1499" s="18"/>
      <c r="E1499" s="18"/>
      <c r="F1499" s="19"/>
      <c r="G1499" s="31"/>
      <c r="H1499" s="31"/>
      <c r="I1499" s="19"/>
      <c r="J1499" s="22"/>
      <c r="K1499" s="21"/>
      <c r="L1499" s="22"/>
      <c r="M1499" s="19"/>
      <c r="N1499" s="20"/>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row>
    <row r="1500" spans="1:45" x14ac:dyDescent="0.3">
      <c r="A1500" s="410" t="s">
        <v>2894</v>
      </c>
      <c r="B1500" s="17"/>
      <c r="C1500" s="19"/>
      <c r="D1500" s="18"/>
      <c r="E1500" s="18"/>
      <c r="F1500" s="19"/>
      <c r="G1500" s="31"/>
      <c r="H1500" s="31"/>
      <c r="I1500" s="19"/>
      <c r="J1500" s="22"/>
      <c r="K1500" s="21"/>
      <c r="L1500" s="22"/>
      <c r="M1500" s="19"/>
      <c r="N1500" s="20"/>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row>
    <row r="1501" spans="1:45" x14ac:dyDescent="0.3">
      <c r="A1501" s="410" t="s">
        <v>2895</v>
      </c>
      <c r="B1501" s="17"/>
      <c r="C1501" s="19"/>
      <c r="D1501" s="18"/>
      <c r="E1501" s="18"/>
      <c r="F1501" s="19"/>
      <c r="G1501" s="31"/>
      <c r="H1501" s="31"/>
      <c r="I1501" s="19"/>
      <c r="J1501" s="22"/>
      <c r="K1501" s="21"/>
      <c r="L1501" s="22"/>
      <c r="M1501" s="19"/>
      <c r="N1501" s="20"/>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row>
    <row r="1502" spans="1:45" x14ac:dyDescent="0.3">
      <c r="A1502" s="410" t="s">
        <v>2896</v>
      </c>
      <c r="B1502" s="17"/>
      <c r="C1502" s="19"/>
      <c r="D1502" s="18"/>
      <c r="E1502" s="18"/>
      <c r="F1502" s="19"/>
      <c r="G1502" s="31"/>
      <c r="H1502" s="31"/>
      <c r="I1502" s="19"/>
      <c r="J1502" s="22"/>
      <c r="K1502" s="21"/>
      <c r="L1502" s="22"/>
      <c r="M1502" s="19"/>
      <c r="N1502" s="20"/>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row>
    <row r="1503" spans="1:45" x14ac:dyDescent="0.3">
      <c r="A1503" s="410" t="s">
        <v>2897</v>
      </c>
      <c r="B1503" s="17"/>
      <c r="C1503" s="19"/>
      <c r="D1503" s="18"/>
      <c r="E1503" s="18"/>
      <c r="F1503" s="19"/>
      <c r="G1503" s="31"/>
      <c r="H1503" s="31"/>
      <c r="I1503" s="19"/>
      <c r="J1503" s="22"/>
      <c r="K1503" s="21"/>
      <c r="L1503" s="22"/>
      <c r="M1503" s="19"/>
      <c r="N1503" s="20"/>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row>
    <row r="1504" spans="1:45" x14ac:dyDescent="0.3">
      <c r="A1504" s="410" t="s">
        <v>2898</v>
      </c>
      <c r="B1504" s="17"/>
      <c r="C1504" s="19"/>
      <c r="D1504" s="18"/>
      <c r="E1504" s="18"/>
      <c r="F1504" s="19"/>
      <c r="G1504" s="31"/>
      <c r="H1504" s="31"/>
      <c r="I1504" s="19"/>
      <c r="J1504" s="22"/>
      <c r="K1504" s="21"/>
      <c r="L1504" s="22"/>
      <c r="M1504" s="19"/>
      <c r="N1504" s="20"/>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row>
    <row r="1505" spans="1:45" x14ac:dyDescent="0.3">
      <c r="A1505" s="410" t="s">
        <v>2899</v>
      </c>
      <c r="B1505" s="17"/>
      <c r="C1505" s="19"/>
      <c r="D1505" s="18"/>
      <c r="E1505" s="18"/>
      <c r="F1505" s="19"/>
      <c r="G1505" s="31"/>
      <c r="H1505" s="31"/>
      <c r="I1505" s="19"/>
      <c r="J1505" s="22"/>
      <c r="K1505" s="21"/>
      <c r="L1505" s="22"/>
      <c r="M1505" s="19"/>
      <c r="N1505" s="20"/>
      <c r="O1505" s="19"/>
      <c r="P1505" s="19"/>
      <c r="Q1505" s="19"/>
      <c r="R1505" s="19"/>
      <c r="S1505" s="19"/>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row>
    <row r="1506" spans="1:45" x14ac:dyDescent="0.3">
      <c r="A1506" s="410" t="s">
        <v>2900</v>
      </c>
      <c r="B1506" s="17"/>
      <c r="C1506" s="19"/>
      <c r="D1506" s="18"/>
      <c r="E1506" s="18"/>
      <c r="F1506" s="19"/>
      <c r="G1506" s="31"/>
      <c r="H1506" s="31"/>
      <c r="I1506" s="19"/>
      <c r="J1506" s="22"/>
      <c r="K1506" s="21"/>
      <c r="L1506" s="22"/>
      <c r="M1506" s="19"/>
      <c r="N1506" s="20"/>
      <c r="O1506" s="19"/>
      <c r="P1506" s="19"/>
      <c r="Q1506" s="19"/>
      <c r="R1506" s="19"/>
      <c r="S1506" s="19"/>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row>
    <row r="1507" spans="1:45" x14ac:dyDescent="0.3">
      <c r="A1507" s="410" t="s">
        <v>2901</v>
      </c>
      <c r="B1507" s="17"/>
      <c r="C1507" s="19"/>
      <c r="D1507" s="18"/>
      <c r="E1507" s="18"/>
      <c r="F1507" s="19"/>
      <c r="G1507" s="31"/>
      <c r="H1507" s="31"/>
      <c r="I1507" s="19"/>
      <c r="J1507" s="22"/>
      <c r="K1507" s="21"/>
      <c r="L1507" s="22"/>
      <c r="M1507" s="19"/>
      <c r="N1507" s="20"/>
      <c r="O1507" s="19"/>
      <c r="P1507" s="19"/>
      <c r="Q1507" s="19"/>
      <c r="R1507" s="19"/>
      <c r="S1507" s="19"/>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row>
    <row r="1508" spans="1:45" x14ac:dyDescent="0.3">
      <c r="A1508" s="410" t="s">
        <v>2902</v>
      </c>
      <c r="B1508" s="17"/>
      <c r="C1508" s="19"/>
      <c r="D1508" s="18"/>
      <c r="E1508" s="18"/>
      <c r="F1508" s="19"/>
      <c r="G1508" s="31"/>
      <c r="H1508" s="31"/>
      <c r="I1508" s="19"/>
      <c r="J1508" s="22"/>
      <c r="K1508" s="21"/>
      <c r="L1508" s="22"/>
      <c r="M1508" s="19"/>
      <c r="N1508" s="20"/>
      <c r="O1508" s="19"/>
      <c r="P1508" s="19"/>
      <c r="Q1508" s="19"/>
      <c r="R1508" s="19"/>
      <c r="S1508" s="19"/>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row>
    <row r="1509" spans="1:45" x14ac:dyDescent="0.3">
      <c r="A1509" s="410" t="s">
        <v>2903</v>
      </c>
      <c r="B1509" s="17"/>
      <c r="C1509" s="19"/>
      <c r="D1509" s="18"/>
      <c r="E1509" s="18"/>
      <c r="F1509" s="19"/>
      <c r="G1509" s="31"/>
      <c r="H1509" s="31"/>
      <c r="I1509" s="19"/>
      <c r="J1509" s="22"/>
      <c r="K1509" s="21"/>
      <c r="L1509" s="22"/>
      <c r="M1509" s="19"/>
      <c r="N1509" s="20"/>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row>
    <row r="1510" spans="1:45" x14ac:dyDescent="0.3">
      <c r="A1510" s="410" t="s">
        <v>2904</v>
      </c>
      <c r="B1510" s="17"/>
      <c r="C1510" s="19"/>
      <c r="D1510" s="18"/>
      <c r="E1510" s="18"/>
      <c r="F1510" s="19"/>
      <c r="G1510" s="31"/>
      <c r="H1510" s="31"/>
      <c r="I1510" s="19"/>
      <c r="J1510" s="22"/>
      <c r="K1510" s="21"/>
      <c r="L1510" s="22"/>
      <c r="M1510" s="19"/>
      <c r="N1510" s="20"/>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row>
    <row r="1511" spans="1:45" x14ac:dyDescent="0.3">
      <c r="A1511" s="410" t="s">
        <v>2905</v>
      </c>
      <c r="B1511" s="17"/>
      <c r="C1511" s="19"/>
      <c r="D1511" s="18"/>
      <c r="E1511" s="18"/>
      <c r="F1511" s="19"/>
      <c r="G1511" s="31"/>
      <c r="H1511" s="31"/>
      <c r="I1511" s="19"/>
      <c r="J1511" s="22"/>
      <c r="K1511" s="21"/>
      <c r="L1511" s="22"/>
      <c r="M1511" s="19"/>
      <c r="N1511" s="20"/>
      <c r="O1511" s="19"/>
      <c r="P1511" s="19"/>
      <c r="Q1511" s="19"/>
      <c r="R1511" s="19"/>
      <c r="S1511" s="19"/>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row>
    <row r="1512" spans="1:45" x14ac:dyDescent="0.3">
      <c r="A1512" s="410" t="s">
        <v>2906</v>
      </c>
      <c r="B1512" s="17"/>
      <c r="C1512" s="19"/>
      <c r="D1512" s="18"/>
      <c r="E1512" s="18"/>
      <c r="F1512" s="19"/>
      <c r="G1512" s="31"/>
      <c r="H1512" s="31"/>
      <c r="I1512" s="19"/>
      <c r="J1512" s="22"/>
      <c r="K1512" s="21"/>
      <c r="L1512" s="22"/>
      <c r="M1512" s="19"/>
      <c r="N1512" s="20"/>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row>
    <row r="1513" spans="1:45" x14ac:dyDescent="0.3">
      <c r="A1513" s="410" t="s">
        <v>2907</v>
      </c>
      <c r="B1513" s="17"/>
      <c r="C1513" s="19"/>
      <c r="D1513" s="18"/>
      <c r="E1513" s="18"/>
      <c r="F1513" s="19"/>
      <c r="G1513" s="31"/>
      <c r="H1513" s="31"/>
      <c r="I1513" s="19"/>
      <c r="J1513" s="22"/>
      <c r="K1513" s="21"/>
      <c r="L1513" s="22"/>
      <c r="M1513" s="19"/>
      <c r="N1513" s="20"/>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row>
    <row r="1514" spans="1:45" x14ac:dyDescent="0.3">
      <c r="A1514" s="410" t="s">
        <v>2908</v>
      </c>
      <c r="B1514" s="17"/>
      <c r="C1514" s="19"/>
      <c r="D1514" s="18"/>
      <c r="E1514" s="18"/>
      <c r="F1514" s="19"/>
      <c r="G1514" s="31"/>
      <c r="H1514" s="31"/>
      <c r="I1514" s="19"/>
      <c r="J1514" s="22"/>
      <c r="K1514" s="21"/>
      <c r="L1514" s="22"/>
      <c r="M1514" s="19"/>
      <c r="N1514" s="20"/>
      <c r="O1514" s="19"/>
      <c r="P1514" s="19"/>
      <c r="Q1514" s="19"/>
      <c r="R1514" s="19"/>
      <c r="S1514" s="19"/>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row>
    <row r="1515" spans="1:45" x14ac:dyDescent="0.3">
      <c r="A1515" s="410" t="s">
        <v>2909</v>
      </c>
      <c r="B1515" s="17"/>
      <c r="C1515" s="19"/>
      <c r="D1515" s="18"/>
      <c r="E1515" s="18"/>
      <c r="F1515" s="19"/>
      <c r="G1515" s="31"/>
      <c r="H1515" s="31"/>
      <c r="I1515" s="19"/>
      <c r="J1515" s="22"/>
      <c r="K1515" s="21"/>
      <c r="L1515" s="22"/>
      <c r="M1515" s="19"/>
      <c r="N1515" s="20"/>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row>
    <row r="1516" spans="1:45" x14ac:dyDescent="0.3">
      <c r="A1516" s="410" t="s">
        <v>2910</v>
      </c>
      <c r="B1516" s="17"/>
      <c r="C1516" s="19"/>
      <c r="D1516" s="18"/>
      <c r="E1516" s="18"/>
      <c r="F1516" s="19"/>
      <c r="G1516" s="31"/>
      <c r="H1516" s="31"/>
      <c r="I1516" s="19"/>
      <c r="J1516" s="22"/>
      <c r="K1516" s="21"/>
      <c r="L1516" s="22"/>
      <c r="M1516" s="19"/>
      <c r="N1516" s="20"/>
      <c r="O1516" s="19"/>
      <c r="P1516" s="19"/>
      <c r="Q1516" s="19"/>
      <c r="R1516" s="19"/>
      <c r="S1516" s="19"/>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row>
    <row r="1517" spans="1:45" x14ac:dyDescent="0.3">
      <c r="A1517" s="410" t="s">
        <v>2911</v>
      </c>
      <c r="B1517" s="17"/>
      <c r="C1517" s="19"/>
      <c r="D1517" s="18"/>
      <c r="E1517" s="18"/>
      <c r="F1517" s="19"/>
      <c r="G1517" s="31"/>
      <c r="H1517" s="31"/>
      <c r="I1517" s="19"/>
      <c r="J1517" s="22"/>
      <c r="K1517" s="21"/>
      <c r="L1517" s="22"/>
      <c r="M1517" s="19"/>
      <c r="N1517" s="20"/>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row>
    <row r="1518" spans="1:45" x14ac:dyDescent="0.3">
      <c r="A1518" s="410" t="s">
        <v>2912</v>
      </c>
      <c r="B1518" s="17"/>
      <c r="C1518" s="19"/>
      <c r="D1518" s="18"/>
      <c r="E1518" s="18"/>
      <c r="F1518" s="19"/>
      <c r="G1518" s="31"/>
      <c r="H1518" s="31"/>
      <c r="I1518" s="19"/>
      <c r="J1518" s="22"/>
      <c r="K1518" s="21"/>
      <c r="L1518" s="22"/>
      <c r="M1518" s="19"/>
      <c r="N1518" s="20"/>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row>
    <row r="1519" spans="1:45" x14ac:dyDescent="0.3">
      <c r="A1519" s="410" t="s">
        <v>2913</v>
      </c>
      <c r="B1519" s="17"/>
      <c r="C1519" s="19"/>
      <c r="D1519" s="18"/>
      <c r="E1519" s="18"/>
      <c r="F1519" s="19"/>
      <c r="G1519" s="31"/>
      <c r="H1519" s="31"/>
      <c r="I1519" s="19"/>
      <c r="J1519" s="22"/>
      <c r="K1519" s="21"/>
      <c r="L1519" s="22"/>
      <c r="M1519" s="19"/>
      <c r="N1519" s="20"/>
      <c r="O1519" s="19"/>
      <c r="P1519" s="19"/>
      <c r="Q1519" s="19"/>
      <c r="R1519" s="19"/>
      <c r="S1519" s="19"/>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row>
    <row r="1520" spans="1:45" x14ac:dyDescent="0.3">
      <c r="A1520" s="410" t="s">
        <v>2914</v>
      </c>
      <c r="B1520" s="17"/>
      <c r="C1520" s="19"/>
      <c r="D1520" s="18"/>
      <c r="E1520" s="18"/>
      <c r="F1520" s="19"/>
      <c r="G1520" s="31"/>
      <c r="H1520" s="31"/>
      <c r="I1520" s="19"/>
      <c r="J1520" s="22"/>
      <c r="K1520" s="21"/>
      <c r="L1520" s="22"/>
      <c r="M1520" s="19"/>
      <c r="N1520" s="20"/>
      <c r="O1520" s="19"/>
      <c r="P1520" s="19"/>
      <c r="Q1520" s="19"/>
      <c r="R1520" s="19"/>
      <c r="S1520" s="19"/>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row>
    <row r="1521" spans="1:45" x14ac:dyDescent="0.3">
      <c r="A1521" s="410" t="s">
        <v>2915</v>
      </c>
      <c r="B1521" s="17"/>
      <c r="C1521" s="19"/>
      <c r="D1521" s="18"/>
      <c r="E1521" s="18"/>
      <c r="F1521" s="19"/>
      <c r="G1521" s="31"/>
      <c r="H1521" s="31"/>
      <c r="I1521" s="19"/>
      <c r="J1521" s="22"/>
      <c r="K1521" s="21"/>
      <c r="L1521" s="22"/>
      <c r="M1521" s="19"/>
      <c r="N1521" s="20"/>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row>
    <row r="1522" spans="1:45" x14ac:dyDescent="0.3">
      <c r="A1522" s="410" t="s">
        <v>2916</v>
      </c>
      <c r="B1522" s="17"/>
      <c r="C1522" s="19"/>
      <c r="D1522" s="18"/>
      <c r="E1522" s="18"/>
      <c r="F1522" s="19"/>
      <c r="G1522" s="31"/>
      <c r="H1522" s="31"/>
      <c r="I1522" s="19"/>
      <c r="J1522" s="22"/>
      <c r="K1522" s="21"/>
      <c r="L1522" s="22"/>
      <c r="M1522" s="19"/>
      <c r="N1522" s="20"/>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row>
    <row r="1523" spans="1:45" x14ac:dyDescent="0.3">
      <c r="A1523" s="410" t="s">
        <v>2917</v>
      </c>
      <c r="B1523" s="17"/>
      <c r="C1523" s="19"/>
      <c r="D1523" s="18"/>
      <c r="E1523" s="18"/>
      <c r="F1523" s="19"/>
      <c r="G1523" s="31"/>
      <c r="H1523" s="31"/>
      <c r="I1523" s="19"/>
      <c r="J1523" s="22"/>
      <c r="K1523" s="21"/>
      <c r="L1523" s="22"/>
      <c r="M1523" s="19"/>
      <c r="N1523" s="20"/>
      <c r="O1523" s="19"/>
      <c r="P1523" s="19"/>
      <c r="Q1523" s="19"/>
      <c r="R1523" s="19"/>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row>
    <row r="1524" spans="1:45" x14ac:dyDescent="0.3">
      <c r="A1524" s="410" t="s">
        <v>2918</v>
      </c>
      <c r="B1524" s="17"/>
      <c r="C1524" s="19"/>
      <c r="D1524" s="18"/>
      <c r="E1524" s="18"/>
      <c r="F1524" s="19"/>
      <c r="G1524" s="31"/>
      <c r="H1524" s="31"/>
      <c r="I1524" s="19"/>
      <c r="J1524" s="22"/>
      <c r="K1524" s="21"/>
      <c r="L1524" s="22"/>
      <c r="M1524" s="19"/>
      <c r="N1524" s="20"/>
      <c r="O1524" s="19"/>
      <c r="P1524" s="19"/>
      <c r="Q1524" s="19"/>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row>
    <row r="1525" spans="1:45" x14ac:dyDescent="0.3">
      <c r="A1525" s="410" t="s">
        <v>2919</v>
      </c>
      <c r="B1525" s="17"/>
      <c r="C1525" s="19"/>
      <c r="D1525" s="18"/>
      <c r="E1525" s="18"/>
      <c r="F1525" s="19"/>
      <c r="G1525" s="31"/>
      <c r="H1525" s="31"/>
      <c r="I1525" s="19"/>
      <c r="J1525" s="22"/>
      <c r="K1525" s="21"/>
      <c r="L1525" s="22"/>
      <c r="M1525" s="19"/>
      <c r="N1525" s="20"/>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row>
    <row r="1526" spans="1:45" x14ac:dyDescent="0.3">
      <c r="A1526" s="410" t="s">
        <v>2920</v>
      </c>
      <c r="B1526" s="17"/>
      <c r="C1526" s="19"/>
      <c r="D1526" s="18"/>
      <c r="E1526" s="18"/>
      <c r="F1526" s="19"/>
      <c r="G1526" s="31"/>
      <c r="H1526" s="31"/>
      <c r="I1526" s="19"/>
      <c r="J1526" s="22"/>
      <c r="K1526" s="21"/>
      <c r="L1526" s="22"/>
      <c r="M1526" s="19"/>
      <c r="N1526" s="20"/>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row>
    <row r="1527" spans="1:45" x14ac:dyDescent="0.3">
      <c r="A1527" s="410" t="s">
        <v>2921</v>
      </c>
      <c r="B1527" s="17"/>
      <c r="C1527" s="19"/>
      <c r="D1527" s="18"/>
      <c r="E1527" s="18"/>
      <c r="F1527" s="19"/>
      <c r="G1527" s="31"/>
      <c r="H1527" s="31"/>
      <c r="I1527" s="19"/>
      <c r="J1527" s="22"/>
      <c r="K1527" s="21"/>
      <c r="L1527" s="22"/>
      <c r="M1527" s="19"/>
      <c r="N1527" s="20"/>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row>
    <row r="1528" spans="1:45" x14ac:dyDescent="0.3">
      <c r="A1528" s="410" t="s">
        <v>2922</v>
      </c>
      <c r="B1528" s="17"/>
      <c r="C1528" s="19"/>
      <c r="D1528" s="18"/>
      <c r="E1528" s="18"/>
      <c r="F1528" s="19"/>
      <c r="G1528" s="31"/>
      <c r="H1528" s="31"/>
      <c r="I1528" s="19"/>
      <c r="J1528" s="22"/>
      <c r="K1528" s="21"/>
      <c r="L1528" s="22"/>
      <c r="M1528" s="19"/>
      <c r="N1528" s="20"/>
      <c r="O1528" s="19"/>
      <c r="P1528" s="19"/>
      <c r="Q1528" s="19"/>
      <c r="R1528" s="19"/>
      <c r="S1528" s="19"/>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row>
    <row r="1529" spans="1:45" x14ac:dyDescent="0.3">
      <c r="A1529" s="410" t="s">
        <v>2923</v>
      </c>
      <c r="B1529" s="17"/>
      <c r="C1529" s="19"/>
      <c r="D1529" s="18"/>
      <c r="E1529" s="18"/>
      <c r="F1529" s="19"/>
      <c r="G1529" s="31"/>
      <c r="H1529" s="31"/>
      <c r="I1529" s="19"/>
      <c r="J1529" s="22"/>
      <c r="K1529" s="21"/>
      <c r="L1529" s="22"/>
      <c r="M1529" s="19"/>
      <c r="N1529" s="20"/>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row>
    <row r="1530" spans="1:45" x14ac:dyDescent="0.3">
      <c r="A1530" s="410" t="s">
        <v>2924</v>
      </c>
      <c r="B1530" s="17"/>
      <c r="C1530" s="19"/>
      <c r="D1530" s="18"/>
      <c r="E1530" s="18"/>
      <c r="F1530" s="19"/>
      <c r="G1530" s="31"/>
      <c r="H1530" s="31"/>
      <c r="I1530" s="19"/>
      <c r="J1530" s="22"/>
      <c r="K1530" s="21"/>
      <c r="L1530" s="22"/>
      <c r="M1530" s="19"/>
      <c r="N1530" s="20"/>
      <c r="O1530" s="19"/>
      <c r="P1530" s="19"/>
      <c r="Q1530" s="19"/>
      <c r="R1530" s="19"/>
      <c r="S1530" s="19"/>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row>
    <row r="1531" spans="1:45" x14ac:dyDescent="0.3">
      <c r="A1531" s="410" t="s">
        <v>2925</v>
      </c>
      <c r="B1531" s="17"/>
      <c r="C1531" s="19"/>
      <c r="D1531" s="18"/>
      <c r="E1531" s="18"/>
      <c r="F1531" s="19"/>
      <c r="G1531" s="31"/>
      <c r="H1531" s="31"/>
      <c r="I1531" s="19"/>
      <c r="J1531" s="22"/>
      <c r="K1531" s="21"/>
      <c r="L1531" s="22"/>
      <c r="M1531" s="19"/>
      <c r="N1531" s="20"/>
      <c r="O1531" s="19"/>
      <c r="P1531" s="19"/>
      <c r="Q1531" s="19"/>
      <c r="R1531" s="19"/>
      <c r="S1531" s="19"/>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row>
    <row r="1532" spans="1:45" x14ac:dyDescent="0.3">
      <c r="A1532" s="410" t="s">
        <v>2926</v>
      </c>
      <c r="B1532" s="17"/>
      <c r="C1532" s="19"/>
      <c r="D1532" s="18"/>
      <c r="E1532" s="18"/>
      <c r="F1532" s="19"/>
      <c r="G1532" s="31"/>
      <c r="H1532" s="31"/>
      <c r="I1532" s="19"/>
      <c r="J1532" s="22"/>
      <c r="K1532" s="21"/>
      <c r="L1532" s="22"/>
      <c r="M1532" s="19"/>
      <c r="N1532" s="20"/>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row>
    <row r="1533" spans="1:45" x14ac:dyDescent="0.3">
      <c r="A1533" s="410" t="s">
        <v>2927</v>
      </c>
      <c r="B1533" s="17"/>
      <c r="C1533" s="19"/>
      <c r="D1533" s="18"/>
      <c r="E1533" s="18"/>
      <c r="F1533" s="19"/>
      <c r="G1533" s="31"/>
      <c r="H1533" s="31"/>
      <c r="I1533" s="19"/>
      <c r="J1533" s="22"/>
      <c r="K1533" s="21"/>
      <c r="L1533" s="22"/>
      <c r="M1533" s="19"/>
      <c r="N1533" s="20"/>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row>
    <row r="1534" spans="1:45" x14ac:dyDescent="0.3">
      <c r="A1534" s="410" t="s">
        <v>2928</v>
      </c>
      <c r="B1534" s="17"/>
      <c r="C1534" s="19"/>
      <c r="D1534" s="18"/>
      <c r="E1534" s="18"/>
      <c r="F1534" s="19"/>
      <c r="G1534" s="31"/>
      <c r="H1534" s="31"/>
      <c r="I1534" s="19"/>
      <c r="J1534" s="22"/>
      <c r="K1534" s="21"/>
      <c r="L1534" s="22"/>
      <c r="M1534" s="19"/>
      <c r="N1534" s="20"/>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row>
    <row r="1535" spans="1:45" x14ac:dyDescent="0.3">
      <c r="A1535" s="410" t="s">
        <v>2929</v>
      </c>
      <c r="B1535" s="17"/>
      <c r="C1535" s="19"/>
      <c r="D1535" s="18"/>
      <c r="E1535" s="18"/>
      <c r="F1535" s="19"/>
      <c r="G1535" s="31"/>
      <c r="H1535" s="31"/>
      <c r="I1535" s="19"/>
      <c r="J1535" s="22"/>
      <c r="K1535" s="21"/>
      <c r="L1535" s="22"/>
      <c r="M1535" s="19"/>
      <c r="N1535" s="20"/>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row>
    <row r="1536" spans="1:45" x14ac:dyDescent="0.3">
      <c r="A1536" s="410" t="s">
        <v>2930</v>
      </c>
      <c r="B1536" s="17"/>
      <c r="C1536" s="19"/>
      <c r="D1536" s="18"/>
      <c r="E1536" s="18"/>
      <c r="F1536" s="19"/>
      <c r="G1536" s="31"/>
      <c r="H1536" s="31"/>
      <c r="I1536" s="19"/>
      <c r="J1536" s="22"/>
      <c r="K1536" s="21"/>
      <c r="L1536" s="22"/>
      <c r="M1536" s="19"/>
      <c r="N1536" s="20"/>
      <c r="O1536" s="19"/>
      <c r="P1536" s="19"/>
      <c r="Q1536" s="19"/>
      <c r="R1536" s="19"/>
      <c r="S1536" s="19"/>
      <c r="T1536" s="19"/>
      <c r="U1536" s="19"/>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row>
    <row r="1537" spans="1:45" x14ac:dyDescent="0.3">
      <c r="A1537" s="410" t="s">
        <v>2931</v>
      </c>
      <c r="B1537" s="17"/>
      <c r="C1537" s="19"/>
      <c r="D1537" s="18"/>
      <c r="E1537" s="18"/>
      <c r="F1537" s="19"/>
      <c r="G1537" s="31"/>
      <c r="H1537" s="31"/>
      <c r="I1537" s="19"/>
      <c r="J1537" s="22"/>
      <c r="K1537" s="21"/>
      <c r="L1537" s="22"/>
      <c r="M1537" s="19"/>
      <c r="N1537" s="20"/>
      <c r="O1537" s="19"/>
      <c r="P1537" s="19"/>
      <c r="Q1537" s="19"/>
      <c r="R1537" s="19"/>
      <c r="S1537" s="19"/>
      <c r="T1537" s="19"/>
      <c r="U1537" s="19"/>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row>
    <row r="1538" spans="1:45" x14ac:dyDescent="0.3">
      <c r="A1538" s="410" t="s">
        <v>2932</v>
      </c>
      <c r="B1538" s="17"/>
      <c r="C1538" s="19"/>
      <c r="D1538" s="18"/>
      <c r="E1538" s="18"/>
      <c r="F1538" s="19"/>
      <c r="G1538" s="31"/>
      <c r="H1538" s="31"/>
      <c r="I1538" s="19"/>
      <c r="J1538" s="22"/>
      <c r="K1538" s="21"/>
      <c r="L1538" s="22"/>
      <c r="M1538" s="19"/>
      <c r="N1538" s="20"/>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row>
    <row r="1539" spans="1:45" x14ac:dyDescent="0.3">
      <c r="A1539" s="410" t="s">
        <v>2933</v>
      </c>
      <c r="B1539" s="17"/>
      <c r="C1539" s="19"/>
      <c r="D1539" s="18"/>
      <c r="E1539" s="17"/>
      <c r="F1539" s="19"/>
      <c r="G1539" s="31"/>
      <c r="H1539" s="31"/>
      <c r="I1539" s="19"/>
      <c r="J1539" s="22"/>
      <c r="K1539" s="21"/>
      <c r="L1539" s="22"/>
      <c r="M1539" s="19"/>
      <c r="N1539" s="20"/>
      <c r="O1539" s="19"/>
      <c r="P1539" s="19"/>
      <c r="Q1539" s="19"/>
      <c r="R1539" s="19"/>
      <c r="S1539" s="19"/>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row>
    <row r="1540" spans="1:45" x14ac:dyDescent="0.3">
      <c r="A1540" s="410"/>
      <c r="B1540" s="17"/>
      <c r="C1540" s="19"/>
      <c r="D1540" s="18"/>
      <c r="E1540" s="17"/>
      <c r="F1540" s="19"/>
      <c r="G1540" s="31"/>
      <c r="H1540" s="31"/>
      <c r="I1540" s="19"/>
      <c r="J1540" s="22"/>
      <c r="K1540" s="21"/>
      <c r="L1540" s="22"/>
      <c r="M1540" s="19"/>
      <c r="N1540" s="20"/>
      <c r="O1540" s="19"/>
      <c r="P1540" s="19"/>
      <c r="Q1540" s="19"/>
      <c r="R1540" s="19"/>
      <c r="S1540" s="19"/>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row>
    <row r="1541" spans="1:45" x14ac:dyDescent="0.3">
      <c r="A1541" s="410" t="s">
        <v>2934</v>
      </c>
      <c r="B1541" s="17" t="s">
        <v>2935</v>
      </c>
      <c r="C1541" s="19" t="s">
        <v>1368</v>
      </c>
      <c r="D1541" s="19">
        <v>23157834</v>
      </c>
      <c r="E1541" s="17"/>
      <c r="F1541" s="19"/>
      <c r="G1541" s="31"/>
      <c r="H1541" s="31"/>
      <c r="I1541" s="19"/>
      <c r="J1541" s="22"/>
      <c r="K1541" s="21"/>
      <c r="L1541" s="22"/>
      <c r="M1541" s="19"/>
      <c r="N1541" s="20"/>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row>
    <row r="1542" spans="1:45" x14ac:dyDescent="0.3">
      <c r="A1542" s="410" t="s">
        <v>2936</v>
      </c>
      <c r="B1542" s="17" t="s">
        <v>2937</v>
      </c>
      <c r="C1542" s="19" t="s">
        <v>1368</v>
      </c>
      <c r="D1542" s="19">
        <v>23147509</v>
      </c>
      <c r="E1542" s="17"/>
      <c r="F1542" s="19"/>
      <c r="G1542" s="31"/>
      <c r="H1542" s="31"/>
      <c r="I1542" s="19"/>
      <c r="J1542" s="22"/>
      <c r="K1542" s="21"/>
      <c r="L1542" s="22"/>
      <c r="M1542" s="19"/>
      <c r="N1542" s="20"/>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row>
    <row r="1543" spans="1:45" x14ac:dyDescent="0.3">
      <c r="A1543" s="410" t="s">
        <v>2938</v>
      </c>
      <c r="B1543" s="17" t="s">
        <v>2939</v>
      </c>
      <c r="C1543" s="19" t="s">
        <v>1368</v>
      </c>
      <c r="D1543" s="19">
        <v>23176659</v>
      </c>
      <c r="E1543" s="17"/>
      <c r="F1543" s="19"/>
      <c r="G1543" s="31"/>
      <c r="H1543" s="31"/>
      <c r="I1543" s="19"/>
      <c r="J1543" s="22"/>
      <c r="K1543" s="21"/>
      <c r="L1543" s="22"/>
      <c r="M1543" s="19"/>
      <c r="N1543" s="20"/>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row>
    <row r="1544" spans="1:45" x14ac:dyDescent="0.3">
      <c r="A1544" s="410" t="s">
        <v>2940</v>
      </c>
      <c r="B1544" s="17" t="s">
        <v>2941</v>
      </c>
      <c r="C1544" s="19" t="s">
        <v>1368</v>
      </c>
      <c r="D1544" s="19">
        <v>23094114</v>
      </c>
      <c r="E1544" s="17"/>
      <c r="F1544" s="19"/>
      <c r="G1544" s="31"/>
      <c r="H1544" s="31"/>
      <c r="I1544" s="19"/>
      <c r="J1544" s="22"/>
      <c r="K1544" s="21"/>
      <c r="L1544" s="22"/>
      <c r="M1544" s="19"/>
      <c r="N1544" s="20"/>
      <c r="O1544" s="19"/>
      <c r="P1544" s="19"/>
      <c r="Q1544" s="19"/>
      <c r="R1544" s="19"/>
      <c r="S1544" s="19"/>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row>
    <row r="1545" spans="1:45" x14ac:dyDescent="0.3">
      <c r="A1545" s="410" t="s">
        <v>2942</v>
      </c>
      <c r="B1545" s="17" t="s">
        <v>2943</v>
      </c>
      <c r="C1545" s="19" t="s">
        <v>1368</v>
      </c>
      <c r="D1545" s="19">
        <v>23147816</v>
      </c>
      <c r="E1545" s="17"/>
      <c r="F1545" s="19"/>
      <c r="G1545" s="31"/>
      <c r="H1545" s="31"/>
      <c r="I1545" s="19"/>
      <c r="J1545" s="22"/>
      <c r="K1545" s="21"/>
      <c r="L1545" s="22"/>
      <c r="M1545" s="19"/>
      <c r="N1545" s="20"/>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row>
    <row r="1546" spans="1:45" x14ac:dyDescent="0.3">
      <c r="A1546" s="410" t="s">
        <v>2944</v>
      </c>
      <c r="B1546" s="17" t="s">
        <v>2945</v>
      </c>
      <c r="C1546" s="19" t="s">
        <v>1368</v>
      </c>
      <c r="D1546" s="19">
        <v>23147902</v>
      </c>
      <c r="E1546" s="17"/>
      <c r="F1546" s="19"/>
      <c r="G1546" s="31"/>
      <c r="H1546" s="31"/>
      <c r="I1546" s="19"/>
      <c r="J1546" s="22"/>
      <c r="K1546" s="21"/>
      <c r="L1546" s="22"/>
      <c r="M1546" s="19"/>
      <c r="N1546" s="20"/>
      <c r="O1546" s="19"/>
      <c r="P1546" s="19"/>
      <c r="Q1546" s="19"/>
      <c r="R1546" s="19"/>
      <c r="S1546" s="19"/>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row>
    <row r="1547" spans="1:45" x14ac:dyDescent="0.3">
      <c r="A1547" s="410" t="s">
        <v>2946</v>
      </c>
      <c r="B1547" s="17" t="s">
        <v>2947</v>
      </c>
      <c r="C1547" s="19" t="s">
        <v>1368</v>
      </c>
      <c r="D1547" s="19">
        <v>23147914</v>
      </c>
      <c r="E1547" s="17"/>
      <c r="F1547" s="19"/>
      <c r="G1547" s="31"/>
      <c r="H1547" s="31"/>
      <c r="I1547" s="19"/>
      <c r="J1547" s="22"/>
      <c r="K1547" s="18"/>
      <c r="L1547" s="19"/>
      <c r="M1547" s="19"/>
      <c r="N1547" s="20"/>
      <c r="O1547" s="19"/>
      <c r="P1547" s="19"/>
      <c r="Q1547" s="19"/>
      <c r="R1547" s="19"/>
      <c r="S1547" s="19"/>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row>
    <row r="1548" spans="1:45" x14ac:dyDescent="0.3">
      <c r="A1548" s="410" t="s">
        <v>2948</v>
      </c>
      <c r="B1548" s="17" t="s">
        <v>2949</v>
      </c>
      <c r="C1548" s="19" t="s">
        <v>1368</v>
      </c>
      <c r="D1548" s="19">
        <v>23198929</v>
      </c>
      <c r="E1548" s="17"/>
      <c r="F1548" s="19"/>
      <c r="G1548" s="31"/>
      <c r="H1548" s="31"/>
      <c r="I1548" s="19"/>
      <c r="J1548" s="22"/>
      <c r="K1548" s="21"/>
      <c r="L1548" s="22"/>
      <c r="M1548" s="19"/>
      <c r="N1548" s="20"/>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row>
    <row r="1549" spans="1:45" x14ac:dyDescent="0.3">
      <c r="A1549" s="410" t="s">
        <v>2950</v>
      </c>
      <c r="B1549" s="17" t="s">
        <v>2951</v>
      </c>
      <c r="C1549" s="19" t="s">
        <v>1368</v>
      </c>
      <c r="D1549" s="19">
        <v>23156740</v>
      </c>
      <c r="E1549" s="17"/>
      <c r="F1549" s="19"/>
      <c r="G1549" s="31"/>
      <c r="H1549" s="31"/>
      <c r="I1549" s="19"/>
      <c r="J1549" s="22"/>
      <c r="K1549" s="21"/>
      <c r="L1549" s="22"/>
      <c r="M1549" s="19"/>
      <c r="N1549" s="20"/>
      <c r="O1549" s="19"/>
      <c r="P1549" s="19"/>
      <c r="Q1549" s="19"/>
      <c r="R1549" s="19"/>
      <c r="S1549" s="19"/>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row>
    <row r="1550" spans="1:45" x14ac:dyDescent="0.3">
      <c r="A1550" s="410" t="s">
        <v>2952</v>
      </c>
      <c r="B1550" s="17" t="s">
        <v>2953</v>
      </c>
      <c r="C1550" s="19" t="s">
        <v>1368</v>
      </c>
      <c r="D1550" s="19">
        <v>23156987</v>
      </c>
      <c r="E1550" s="17"/>
      <c r="F1550" s="19"/>
      <c r="G1550" s="31"/>
      <c r="H1550" s="31"/>
      <c r="I1550" s="19"/>
      <c r="J1550" s="22"/>
      <c r="K1550" s="18"/>
      <c r="L1550" s="19"/>
      <c r="M1550" s="19"/>
      <c r="N1550" s="20"/>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row>
    <row r="1551" spans="1:45" x14ac:dyDescent="0.3">
      <c r="A1551" s="410" t="s">
        <v>2954</v>
      </c>
      <c r="B1551" s="17" t="s">
        <v>2955</v>
      </c>
      <c r="C1551" s="19" t="s">
        <v>1368</v>
      </c>
      <c r="D1551" s="19">
        <v>23148027</v>
      </c>
      <c r="E1551" s="17"/>
      <c r="F1551" s="19"/>
      <c r="G1551" s="31"/>
      <c r="H1551" s="31"/>
      <c r="I1551" s="19"/>
      <c r="J1551" s="22"/>
      <c r="K1551" s="18"/>
      <c r="L1551" s="19"/>
      <c r="M1551" s="19"/>
      <c r="N1551" s="20"/>
      <c r="O1551" s="19"/>
      <c r="P1551" s="19"/>
      <c r="Q1551" s="19"/>
      <c r="R1551" s="19"/>
      <c r="S1551" s="19"/>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row>
    <row r="1552" spans="1:45" x14ac:dyDescent="0.3">
      <c r="A1552" s="410" t="s">
        <v>2956</v>
      </c>
      <c r="B1552" s="17" t="s">
        <v>2957</v>
      </c>
      <c r="C1552" s="19" t="s">
        <v>1368</v>
      </c>
      <c r="D1552" s="19">
        <v>23185643</v>
      </c>
      <c r="E1552" s="17"/>
      <c r="F1552" s="23"/>
      <c r="G1552" s="31"/>
      <c r="H1552" s="31"/>
      <c r="I1552" s="19"/>
      <c r="J1552" s="22"/>
      <c r="K1552" s="18"/>
      <c r="L1552" s="19"/>
      <c r="M1552" s="19"/>
      <c r="N1552" s="20"/>
      <c r="O1552" s="19"/>
      <c r="P1552" s="19"/>
      <c r="Q1552" s="19"/>
      <c r="R1552" s="19"/>
      <c r="S1552" s="19"/>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row>
    <row r="1553" spans="1:45" x14ac:dyDescent="0.3">
      <c r="A1553" s="410" t="s">
        <v>2958</v>
      </c>
      <c r="B1553" s="17" t="s">
        <v>2959</v>
      </c>
      <c r="C1553" s="19" t="s">
        <v>1368</v>
      </c>
      <c r="D1553" s="19">
        <v>23210369</v>
      </c>
      <c r="E1553" s="17"/>
      <c r="F1553" s="23"/>
      <c r="G1553" s="31"/>
      <c r="H1553" s="31"/>
      <c r="I1553" s="19"/>
      <c r="J1553" s="19"/>
      <c r="K1553" s="18"/>
      <c r="L1553" s="19"/>
      <c r="M1553" s="19"/>
      <c r="N1553" s="20"/>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row>
    <row r="1554" spans="1:45" x14ac:dyDescent="0.3">
      <c r="A1554" s="410" t="s">
        <v>2960</v>
      </c>
      <c r="B1554" s="17" t="s">
        <v>2961</v>
      </c>
      <c r="C1554" s="19" t="s">
        <v>1368</v>
      </c>
      <c r="D1554" s="23">
        <v>23215350</v>
      </c>
      <c r="E1554" s="17"/>
      <c r="F1554" s="23"/>
      <c r="G1554" s="31"/>
      <c r="H1554" s="31"/>
      <c r="I1554" s="19"/>
      <c r="J1554" s="19"/>
      <c r="K1554" s="18"/>
      <c r="L1554" s="19"/>
      <c r="M1554" s="19"/>
      <c r="N1554" s="20"/>
      <c r="O1554" s="19"/>
      <c r="P1554" s="19"/>
      <c r="Q1554" s="19"/>
      <c r="R1554" s="19"/>
      <c r="S1554" s="19"/>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row>
    <row r="1555" spans="1:45" x14ac:dyDescent="0.3">
      <c r="A1555" s="410" t="s">
        <v>2962</v>
      </c>
      <c r="B1555" s="17" t="s">
        <v>2963</v>
      </c>
      <c r="C1555" s="19" t="s">
        <v>1368</v>
      </c>
      <c r="D1555" s="19">
        <v>23197436</v>
      </c>
      <c r="E1555" s="17"/>
      <c r="F1555" s="19"/>
      <c r="G1555" s="31"/>
      <c r="H1555" s="31"/>
      <c r="I1555" s="19"/>
      <c r="J1555" s="19"/>
      <c r="K1555" s="18"/>
      <c r="L1555" s="19"/>
      <c r="M1555" s="19"/>
      <c r="N1555" s="20"/>
      <c r="O1555" s="19"/>
      <c r="P1555" s="19"/>
      <c r="Q1555" s="19"/>
      <c r="R1555" s="19"/>
      <c r="S1555" s="19"/>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row>
    <row r="1556" spans="1:45" x14ac:dyDescent="0.3">
      <c r="A1556" s="410" t="s">
        <v>2964</v>
      </c>
      <c r="B1556" s="17" t="s">
        <v>2965</v>
      </c>
      <c r="C1556" s="19" t="s">
        <v>1368</v>
      </c>
      <c r="D1556" s="19">
        <v>23215663</v>
      </c>
      <c r="E1556" s="17"/>
      <c r="F1556" s="19"/>
      <c r="G1556" s="31"/>
      <c r="H1556" s="31"/>
      <c r="I1556" s="19"/>
      <c r="J1556" s="19"/>
      <c r="K1556" s="18"/>
      <c r="L1556" s="19"/>
      <c r="M1556" s="19"/>
      <c r="N1556" s="20"/>
      <c r="O1556" s="19"/>
      <c r="P1556" s="19"/>
      <c r="Q1556" s="19"/>
      <c r="R1556" s="19"/>
      <c r="S1556" s="19"/>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row>
    <row r="1557" spans="1:45" x14ac:dyDescent="0.3">
      <c r="A1557" s="410" t="s">
        <v>2966</v>
      </c>
      <c r="B1557" s="17" t="s">
        <v>2967</v>
      </c>
      <c r="C1557" s="19" t="s">
        <v>1368</v>
      </c>
      <c r="D1557" s="19">
        <v>23057497</v>
      </c>
      <c r="E1557" s="17"/>
      <c r="F1557" s="19"/>
      <c r="G1557" s="31"/>
      <c r="H1557" s="31"/>
      <c r="I1557" s="19"/>
      <c r="J1557" s="19"/>
      <c r="K1557" s="18"/>
      <c r="L1557" s="19"/>
      <c r="M1557" s="19"/>
      <c r="N1557" s="20"/>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row>
    <row r="1558" spans="1:45" x14ac:dyDescent="0.3">
      <c r="A1558" s="410" t="s">
        <v>2968</v>
      </c>
      <c r="B1558" s="17" t="s">
        <v>2969</v>
      </c>
      <c r="C1558" s="19" t="s">
        <v>1368</v>
      </c>
      <c r="D1558" s="19">
        <v>23149522</v>
      </c>
      <c r="E1558" s="17"/>
      <c r="F1558" s="19"/>
      <c r="G1558" s="31"/>
      <c r="H1558" s="31"/>
      <c r="I1558" s="19"/>
      <c r="J1558" s="19"/>
      <c r="K1558" s="18"/>
      <c r="L1558" s="19"/>
      <c r="M1558" s="19"/>
      <c r="N1558" s="20"/>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row>
    <row r="1559" spans="1:45" x14ac:dyDescent="0.3">
      <c r="A1559" s="410" t="s">
        <v>2970</v>
      </c>
      <c r="B1559" s="17" t="s">
        <v>2971</v>
      </c>
      <c r="C1559" s="19" t="s">
        <v>1368</v>
      </c>
      <c r="D1559" s="19">
        <v>23155435</v>
      </c>
      <c r="E1559" s="17"/>
      <c r="F1559" s="19"/>
      <c r="G1559" s="31"/>
      <c r="H1559" s="31"/>
      <c r="I1559" s="19"/>
      <c r="J1559" s="19"/>
      <c r="K1559" s="18"/>
      <c r="L1559" s="19"/>
      <c r="M1559" s="19"/>
      <c r="N1559" s="20"/>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row>
    <row r="1560" spans="1:45" x14ac:dyDescent="0.3">
      <c r="A1560" s="410" t="s">
        <v>2972</v>
      </c>
      <c r="B1560" s="17" t="s">
        <v>2973</v>
      </c>
      <c r="C1560" s="19" t="s">
        <v>1368</v>
      </c>
      <c r="D1560" s="19">
        <v>23157626</v>
      </c>
      <c r="E1560" s="17"/>
      <c r="F1560" s="19"/>
      <c r="G1560" s="31"/>
      <c r="H1560" s="31"/>
      <c r="I1560" s="19"/>
      <c r="J1560" s="328"/>
      <c r="K1560" s="338"/>
      <c r="L1560" s="335"/>
      <c r="M1560" s="330"/>
      <c r="N1560" s="20"/>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row>
    <row r="1561" spans="1:45" x14ac:dyDescent="0.3">
      <c r="A1561" s="410" t="s">
        <v>2974</v>
      </c>
      <c r="B1561" s="17" t="s">
        <v>2975</v>
      </c>
      <c r="C1561" s="19" t="s">
        <v>1368</v>
      </c>
      <c r="D1561" s="19">
        <v>23139154</v>
      </c>
      <c r="E1561" s="17"/>
      <c r="F1561" s="19"/>
      <c r="G1561" s="31"/>
      <c r="H1561" s="31"/>
      <c r="I1561" s="19"/>
      <c r="J1561" s="328"/>
      <c r="K1561" s="338"/>
      <c r="L1561" s="335"/>
      <c r="M1561" s="330"/>
      <c r="N1561" s="20"/>
      <c r="O1561" s="19"/>
      <c r="P1561" s="19"/>
      <c r="Q1561" s="19"/>
      <c r="R1561" s="19"/>
      <c r="S1561" s="19"/>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row>
    <row r="1562" spans="1:45" x14ac:dyDescent="0.3">
      <c r="A1562" s="410" t="s">
        <v>2976</v>
      </c>
      <c r="B1562" s="17" t="s">
        <v>2977</v>
      </c>
      <c r="C1562" s="19" t="s">
        <v>1368</v>
      </c>
      <c r="D1562" s="19">
        <v>23187396</v>
      </c>
      <c r="E1562" s="17"/>
      <c r="F1562" s="19"/>
      <c r="G1562" s="31"/>
      <c r="H1562" s="31"/>
      <c r="I1562" s="19"/>
      <c r="J1562" s="328"/>
      <c r="K1562" s="335"/>
      <c r="L1562" s="335"/>
      <c r="M1562" s="330"/>
      <c r="N1562" s="20"/>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row>
    <row r="1563" spans="1:45" x14ac:dyDescent="0.3">
      <c r="A1563" s="410" t="s">
        <v>2978</v>
      </c>
      <c r="B1563" s="17" t="s">
        <v>2979</v>
      </c>
      <c r="C1563" s="19" t="s">
        <v>1368</v>
      </c>
      <c r="D1563" s="19">
        <v>23214173</v>
      </c>
      <c r="E1563" s="17"/>
      <c r="F1563" s="19"/>
      <c r="G1563" s="31"/>
      <c r="H1563" s="31"/>
      <c r="I1563" s="19"/>
      <c r="J1563" s="328"/>
      <c r="K1563" s="335"/>
      <c r="L1563" s="335"/>
      <c r="M1563" s="330"/>
      <c r="N1563" s="20"/>
      <c r="O1563" s="19"/>
      <c r="P1563" s="19"/>
      <c r="Q1563" s="19"/>
      <c r="R1563" s="19"/>
      <c r="S1563" s="19"/>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row>
    <row r="1564" spans="1:45" x14ac:dyDescent="0.3">
      <c r="A1564" s="410" t="s">
        <v>2980</v>
      </c>
      <c r="B1564" s="17" t="s">
        <v>2981</v>
      </c>
      <c r="C1564" s="19" t="s">
        <v>1368</v>
      </c>
      <c r="D1564" s="19">
        <v>23157835</v>
      </c>
      <c r="E1564" s="17"/>
      <c r="F1564" s="19"/>
      <c r="G1564" s="31"/>
      <c r="H1564" s="31"/>
      <c r="I1564" s="19"/>
      <c r="J1564" s="328"/>
      <c r="K1564" s="335"/>
      <c r="L1564" s="335"/>
      <c r="M1564" s="330"/>
      <c r="N1564" s="20"/>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row>
    <row r="1565" spans="1:45" x14ac:dyDescent="0.3">
      <c r="A1565" s="410" t="s">
        <v>2982</v>
      </c>
      <c r="B1565" s="17" t="s">
        <v>2983</v>
      </c>
      <c r="C1565" s="19" t="s">
        <v>1368</v>
      </c>
      <c r="D1565" s="19">
        <v>23167461</v>
      </c>
      <c r="E1565" s="17"/>
      <c r="F1565" s="19"/>
      <c r="G1565" s="31"/>
      <c r="H1565" s="31"/>
      <c r="I1565" s="19"/>
      <c r="J1565" s="19"/>
      <c r="K1565" s="18"/>
      <c r="L1565" s="19"/>
      <c r="M1565" s="19"/>
      <c r="N1565" s="20"/>
      <c r="O1565" s="19"/>
      <c r="P1565" s="19"/>
      <c r="Q1565" s="19"/>
      <c r="R1565" s="19"/>
      <c r="S1565" s="19"/>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row>
    <row r="1566" spans="1:45" x14ac:dyDescent="0.3">
      <c r="A1566" s="410" t="s">
        <v>2984</v>
      </c>
      <c r="B1566" s="17" t="s">
        <v>2985</v>
      </c>
      <c r="C1566" s="19" t="s">
        <v>1368</v>
      </c>
      <c r="D1566" s="19">
        <v>23147604</v>
      </c>
      <c r="E1566" s="17"/>
      <c r="F1566" s="19"/>
      <c r="G1566" s="31"/>
      <c r="H1566" s="31"/>
      <c r="I1566" s="19"/>
      <c r="J1566" s="19"/>
      <c r="K1566" s="18"/>
      <c r="L1566" s="19"/>
      <c r="M1566" s="19"/>
      <c r="N1566" s="20"/>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row>
    <row r="1567" spans="1:45" x14ac:dyDescent="0.3">
      <c r="A1567" s="410" t="s">
        <v>2986</v>
      </c>
      <c r="B1567" s="17" t="s">
        <v>2987</v>
      </c>
      <c r="C1567" s="19" t="s">
        <v>1368</v>
      </c>
      <c r="D1567" s="19">
        <v>23149453</v>
      </c>
      <c r="E1567" s="17"/>
      <c r="F1567" s="19"/>
      <c r="G1567" s="31"/>
      <c r="H1567" s="31"/>
      <c r="I1567" s="19"/>
      <c r="J1567" s="19"/>
      <c r="K1567" s="18"/>
      <c r="L1567" s="19"/>
      <c r="M1567" s="19"/>
      <c r="N1567" s="20"/>
      <c r="O1567" s="19"/>
      <c r="P1567" s="19"/>
      <c r="Q1567" s="19"/>
      <c r="R1567" s="19"/>
      <c r="S1567" s="19"/>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row>
    <row r="1568" spans="1:45" x14ac:dyDescent="0.3">
      <c r="A1568" s="410" t="s">
        <v>2988</v>
      </c>
      <c r="B1568" s="17" t="s">
        <v>2989</v>
      </c>
      <c r="C1568" s="19" t="s">
        <v>1368</v>
      </c>
      <c r="D1568" s="19">
        <v>23148119</v>
      </c>
      <c r="E1568" s="17"/>
      <c r="F1568" s="19"/>
      <c r="G1568" s="31"/>
      <c r="H1568" s="31"/>
      <c r="I1568" s="19"/>
      <c r="J1568" s="19"/>
      <c r="K1568" s="334"/>
      <c r="L1568" s="332"/>
      <c r="M1568" s="19"/>
      <c r="N1568" s="20"/>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row>
    <row r="1569" spans="1:45" x14ac:dyDescent="0.3">
      <c r="A1569" s="410" t="s">
        <v>2990</v>
      </c>
      <c r="B1569" s="17" t="s">
        <v>2991</v>
      </c>
      <c r="C1569" s="19" t="s">
        <v>1368</v>
      </c>
      <c r="D1569" s="19">
        <v>23217640</v>
      </c>
      <c r="E1569" s="17"/>
      <c r="F1569" s="19"/>
      <c r="G1569" s="31"/>
      <c r="H1569" s="31"/>
      <c r="I1569" s="19"/>
      <c r="J1569" s="328"/>
      <c r="K1569" s="336"/>
      <c r="L1569" s="337"/>
      <c r="M1569" s="330"/>
      <c r="N1569" s="20"/>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row>
    <row r="1570" spans="1:45" x14ac:dyDescent="0.3">
      <c r="A1570" s="410" t="s">
        <v>2992</v>
      </c>
      <c r="B1570" s="17" t="s">
        <v>2993</v>
      </c>
      <c r="C1570" s="19" t="s">
        <v>1368</v>
      </c>
      <c r="D1570" s="19">
        <v>23150255</v>
      </c>
      <c r="E1570" s="17"/>
      <c r="F1570" s="19"/>
      <c r="G1570" s="31"/>
      <c r="H1570" s="31"/>
      <c r="I1570" s="19"/>
      <c r="J1570" s="328"/>
      <c r="K1570" s="336"/>
      <c r="L1570" s="337"/>
      <c r="M1570" s="330"/>
      <c r="N1570" s="20"/>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row>
    <row r="1571" spans="1:45" x14ac:dyDescent="0.3">
      <c r="A1571" s="410" t="s">
        <v>2994</v>
      </c>
      <c r="B1571" s="17" t="s">
        <v>2995</v>
      </c>
      <c r="C1571" s="19" t="s">
        <v>1368</v>
      </c>
      <c r="D1571" s="19">
        <v>23095208</v>
      </c>
      <c r="E1571" s="17"/>
      <c r="F1571" s="19"/>
      <c r="G1571" s="31"/>
      <c r="H1571" s="31"/>
      <c r="I1571" s="19"/>
      <c r="J1571" s="328"/>
      <c r="K1571" s="338"/>
      <c r="L1571" s="335"/>
      <c r="M1571" s="330"/>
      <c r="N1571" s="20"/>
      <c r="O1571" s="19"/>
      <c r="P1571" s="19"/>
      <c r="Q1571" s="19"/>
      <c r="R1571" s="19"/>
      <c r="S1571" s="19"/>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row>
    <row r="1572" spans="1:45" x14ac:dyDescent="0.3">
      <c r="A1572" s="410" t="s">
        <v>2996</v>
      </c>
      <c r="B1572" s="17" t="s">
        <v>2997</v>
      </c>
      <c r="C1572" s="19" t="s">
        <v>1368</v>
      </c>
      <c r="D1572" s="19">
        <v>23214736</v>
      </c>
      <c r="E1572" s="17"/>
      <c r="F1572" s="19"/>
      <c r="G1572" s="31"/>
      <c r="H1572" s="31"/>
      <c r="I1572" s="19"/>
      <c r="J1572" s="328"/>
      <c r="K1572" s="338"/>
      <c r="L1572" s="335"/>
      <c r="M1572" s="330"/>
      <c r="N1572" s="20"/>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row>
    <row r="1573" spans="1:45" x14ac:dyDescent="0.3">
      <c r="A1573" s="410" t="s">
        <v>2998</v>
      </c>
      <c r="B1573" s="17" t="s">
        <v>2999</v>
      </c>
      <c r="C1573" s="19" t="s">
        <v>1368</v>
      </c>
      <c r="D1573" s="19">
        <v>23155879</v>
      </c>
      <c r="E1573" s="18"/>
      <c r="F1573" s="19"/>
      <c r="G1573" s="31"/>
      <c r="H1573" s="31"/>
      <c r="I1573" s="19"/>
      <c r="J1573" s="328"/>
      <c r="K1573" s="338"/>
      <c r="L1573" s="335"/>
      <c r="M1573" s="330"/>
      <c r="N1573" s="20"/>
      <c r="O1573" s="19"/>
      <c r="P1573" s="19"/>
      <c r="Q1573" s="19"/>
      <c r="R1573" s="19"/>
      <c r="S1573" s="19"/>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row>
    <row r="1574" spans="1:45" x14ac:dyDescent="0.3">
      <c r="A1574" s="410" t="s">
        <v>3000</v>
      </c>
      <c r="B1574" s="17"/>
      <c r="C1574" s="19"/>
      <c r="D1574" s="18"/>
      <c r="E1574" s="18"/>
      <c r="F1574" s="19"/>
      <c r="G1574" s="31"/>
      <c r="H1574" s="31"/>
      <c r="I1574" s="19"/>
      <c r="J1574" s="328"/>
      <c r="K1574" s="338"/>
      <c r="L1574" s="335"/>
      <c r="M1574" s="330"/>
      <c r="N1574" s="20"/>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row>
    <row r="1575" spans="1:45" x14ac:dyDescent="0.3">
      <c r="A1575" s="410" t="s">
        <v>3001</v>
      </c>
      <c r="B1575" s="17"/>
      <c r="C1575" s="19"/>
      <c r="D1575" s="18"/>
      <c r="E1575" s="18"/>
      <c r="F1575" s="19"/>
      <c r="G1575" s="31"/>
      <c r="H1575" s="31"/>
      <c r="I1575" s="19"/>
      <c r="J1575" s="328"/>
      <c r="K1575" s="338"/>
      <c r="L1575" s="335"/>
      <c r="M1575" s="330"/>
      <c r="N1575" s="20"/>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row>
    <row r="1576" spans="1:45" x14ac:dyDescent="0.3">
      <c r="A1576" s="410" t="s">
        <v>3002</v>
      </c>
      <c r="B1576" s="17"/>
      <c r="C1576" s="19"/>
      <c r="D1576" s="18"/>
      <c r="E1576" s="18"/>
      <c r="F1576" s="19"/>
      <c r="G1576" s="31"/>
      <c r="H1576" s="31"/>
      <c r="I1576" s="19"/>
      <c r="J1576" s="328"/>
      <c r="K1576" s="338"/>
      <c r="L1576" s="335"/>
      <c r="M1576" s="330"/>
      <c r="N1576" s="20"/>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row>
    <row r="1577" spans="1:45" x14ac:dyDescent="0.3">
      <c r="A1577" s="410" t="s">
        <v>3003</v>
      </c>
      <c r="B1577" s="17"/>
      <c r="C1577" s="19"/>
      <c r="D1577" s="18"/>
      <c r="E1577" s="18"/>
      <c r="F1577" s="19"/>
      <c r="G1577" s="31"/>
      <c r="H1577" s="31"/>
      <c r="I1577" s="19"/>
      <c r="J1577" s="328"/>
      <c r="K1577" s="338"/>
      <c r="L1577" s="335"/>
      <c r="M1577" s="330"/>
      <c r="N1577" s="20"/>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row>
    <row r="1578" spans="1:45" x14ac:dyDescent="0.3">
      <c r="A1578" s="410" t="s">
        <v>3004</v>
      </c>
      <c r="B1578" s="17"/>
      <c r="C1578" s="19"/>
      <c r="D1578" s="18"/>
      <c r="E1578" s="18"/>
      <c r="F1578" s="19"/>
      <c r="G1578" s="31"/>
      <c r="H1578" s="31"/>
      <c r="I1578" s="19"/>
      <c r="J1578" s="328"/>
      <c r="K1578" s="338"/>
      <c r="L1578" s="335"/>
      <c r="M1578" s="330"/>
      <c r="N1578" s="20"/>
      <c r="O1578" s="19"/>
      <c r="P1578" s="19"/>
      <c r="Q1578" s="19"/>
      <c r="R1578" s="19"/>
      <c r="S1578" s="19"/>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row>
    <row r="1579" spans="1:45" x14ac:dyDescent="0.3">
      <c r="A1579" s="410" t="s">
        <v>3005</v>
      </c>
      <c r="B1579" s="17"/>
      <c r="C1579" s="19"/>
      <c r="D1579" s="18"/>
      <c r="E1579" s="18"/>
      <c r="F1579" s="19"/>
      <c r="G1579" s="31"/>
      <c r="H1579" s="31"/>
      <c r="I1579" s="19"/>
      <c r="J1579" s="328"/>
      <c r="K1579" s="338"/>
      <c r="L1579" s="335"/>
      <c r="M1579" s="330"/>
      <c r="N1579" s="20"/>
      <c r="O1579" s="19"/>
      <c r="P1579" s="19"/>
      <c r="Q1579" s="19"/>
      <c r="R1579" s="19"/>
      <c r="S1579" s="19"/>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row>
    <row r="1580" spans="1:45" x14ac:dyDescent="0.3">
      <c r="A1580" s="410" t="s">
        <v>3006</v>
      </c>
      <c r="B1580" s="17"/>
      <c r="C1580" s="19"/>
      <c r="D1580" s="18"/>
      <c r="E1580" s="18"/>
      <c r="F1580" s="19"/>
      <c r="G1580" s="31"/>
      <c r="H1580" s="31"/>
      <c r="I1580" s="19"/>
      <c r="J1580" s="328"/>
      <c r="K1580" s="338"/>
      <c r="L1580" s="335"/>
      <c r="M1580" s="330"/>
      <c r="N1580" s="20"/>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row>
    <row r="1581" spans="1:45" x14ac:dyDescent="0.3">
      <c r="A1581" s="410" t="s">
        <v>3007</v>
      </c>
      <c r="B1581" s="17"/>
      <c r="C1581" s="19"/>
      <c r="D1581" s="18"/>
      <c r="E1581" s="18"/>
      <c r="F1581" s="19"/>
      <c r="G1581" s="31"/>
      <c r="H1581" s="31"/>
      <c r="I1581" s="19"/>
      <c r="J1581" s="328"/>
      <c r="K1581" s="338"/>
      <c r="L1581" s="335"/>
      <c r="M1581" s="330"/>
      <c r="N1581" s="20"/>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row>
    <row r="1582" spans="1:45" x14ac:dyDescent="0.3">
      <c r="A1582" s="410" t="s">
        <v>3008</v>
      </c>
      <c r="B1582" s="17"/>
      <c r="C1582" s="19"/>
      <c r="D1582" s="18"/>
      <c r="E1582" s="18"/>
      <c r="F1582" s="19"/>
      <c r="G1582" s="31"/>
      <c r="H1582" s="31"/>
      <c r="I1582" s="19"/>
      <c r="J1582" s="328"/>
      <c r="K1582" s="338"/>
      <c r="L1582" s="335"/>
      <c r="M1582" s="330"/>
      <c r="N1582" s="20"/>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row>
    <row r="1583" spans="1:45" x14ac:dyDescent="0.3">
      <c r="A1583" s="410" t="s">
        <v>3009</v>
      </c>
      <c r="B1583" s="17"/>
      <c r="C1583" s="19"/>
      <c r="D1583" s="18"/>
      <c r="E1583" s="18"/>
      <c r="F1583" s="19"/>
      <c r="G1583" s="31"/>
      <c r="H1583" s="31"/>
      <c r="I1583" s="19"/>
      <c r="J1583" s="328"/>
      <c r="K1583" s="338"/>
      <c r="L1583" s="335"/>
      <c r="M1583" s="330"/>
      <c r="N1583" s="20"/>
      <c r="O1583" s="19"/>
      <c r="P1583" s="19"/>
      <c r="Q1583" s="19"/>
      <c r="R1583" s="19"/>
      <c r="S1583" s="19"/>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row>
    <row r="1584" spans="1:45" x14ac:dyDescent="0.3">
      <c r="A1584" s="410" t="s">
        <v>3010</v>
      </c>
      <c r="B1584" s="17"/>
      <c r="C1584" s="19"/>
      <c r="D1584" s="18"/>
      <c r="E1584" s="18"/>
      <c r="F1584" s="19"/>
      <c r="G1584" s="31"/>
      <c r="H1584" s="31"/>
      <c r="I1584" s="19"/>
      <c r="J1584" s="328"/>
      <c r="K1584" s="338"/>
      <c r="L1584" s="335"/>
      <c r="M1584" s="330"/>
      <c r="N1584" s="20"/>
      <c r="O1584" s="19"/>
      <c r="P1584" s="19"/>
      <c r="Q1584" s="19"/>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row>
    <row r="1585" spans="1:45" x14ac:dyDescent="0.3">
      <c r="A1585" s="410" t="s">
        <v>3011</v>
      </c>
      <c r="B1585" s="17"/>
      <c r="C1585" s="19"/>
      <c r="D1585" s="18"/>
      <c r="E1585" s="18"/>
      <c r="F1585" s="19"/>
      <c r="G1585" s="31"/>
      <c r="H1585" s="31"/>
      <c r="I1585" s="19"/>
      <c r="J1585" s="328"/>
      <c r="K1585" s="338"/>
      <c r="L1585" s="335"/>
      <c r="M1585" s="330"/>
      <c r="N1585" s="20"/>
      <c r="O1585" s="19"/>
      <c r="P1585" s="19"/>
      <c r="Q1585" s="19"/>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row>
    <row r="1586" spans="1:45" x14ac:dyDescent="0.3">
      <c r="A1586" s="410" t="s">
        <v>3012</v>
      </c>
      <c r="B1586" s="17"/>
      <c r="C1586" s="19"/>
      <c r="D1586" s="18"/>
      <c r="E1586" s="18"/>
      <c r="F1586" s="19"/>
      <c r="G1586" s="31"/>
      <c r="H1586" s="31"/>
      <c r="I1586" s="19"/>
      <c r="J1586" s="328"/>
      <c r="K1586" s="338"/>
      <c r="L1586" s="335"/>
      <c r="M1586" s="330"/>
      <c r="N1586" s="20"/>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row>
    <row r="1587" spans="1:45" x14ac:dyDescent="0.3">
      <c r="A1587" s="410" t="s">
        <v>3013</v>
      </c>
      <c r="B1587" s="17"/>
      <c r="C1587" s="19"/>
      <c r="D1587" s="18"/>
      <c r="E1587" s="18"/>
      <c r="F1587" s="19"/>
      <c r="G1587" s="31"/>
      <c r="H1587" s="31"/>
      <c r="I1587" s="19"/>
      <c r="J1587" s="328"/>
      <c r="K1587" s="338"/>
      <c r="L1587" s="335"/>
      <c r="M1587" s="330"/>
      <c r="N1587" s="20"/>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row>
    <row r="1588" spans="1:45" x14ac:dyDescent="0.3">
      <c r="A1588" s="410" t="s">
        <v>3014</v>
      </c>
      <c r="B1588" s="17"/>
      <c r="C1588" s="19"/>
      <c r="D1588" s="18"/>
      <c r="E1588" s="18"/>
      <c r="F1588" s="19"/>
      <c r="G1588" s="31"/>
      <c r="H1588" s="31"/>
      <c r="I1588" s="19"/>
      <c r="J1588" s="328"/>
      <c r="K1588" s="338"/>
      <c r="L1588" s="335"/>
      <c r="M1588" s="330"/>
      <c r="N1588" s="20"/>
      <c r="O1588" s="19"/>
      <c r="P1588" s="19"/>
      <c r="Q1588" s="19"/>
      <c r="R1588" s="19"/>
      <c r="S1588" s="19"/>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row>
    <row r="1589" spans="1:45" x14ac:dyDescent="0.3">
      <c r="A1589" s="410" t="s">
        <v>3015</v>
      </c>
      <c r="B1589" s="17"/>
      <c r="C1589" s="19"/>
      <c r="D1589" s="18"/>
      <c r="E1589" s="18"/>
      <c r="F1589" s="19"/>
      <c r="G1589" s="31"/>
      <c r="H1589" s="31"/>
      <c r="I1589" s="19"/>
      <c r="J1589" s="328"/>
      <c r="K1589" s="338"/>
      <c r="L1589" s="335"/>
      <c r="M1589" s="330"/>
      <c r="N1589" s="20"/>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row>
    <row r="1590" spans="1:45" x14ac:dyDescent="0.3">
      <c r="A1590" s="410" t="s">
        <v>3016</v>
      </c>
      <c r="B1590" s="17"/>
      <c r="C1590" s="19"/>
      <c r="D1590" s="18"/>
      <c r="E1590" s="18"/>
      <c r="F1590" s="19"/>
      <c r="G1590" s="31"/>
      <c r="H1590" s="31"/>
      <c r="I1590" s="19"/>
      <c r="J1590" s="328"/>
      <c r="K1590" s="338"/>
      <c r="L1590" s="335"/>
      <c r="M1590" s="330"/>
      <c r="N1590" s="20"/>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row>
    <row r="1591" spans="1:45" x14ac:dyDescent="0.3">
      <c r="A1591" s="410" t="s">
        <v>3017</v>
      </c>
      <c r="B1591" s="17"/>
      <c r="C1591" s="19"/>
      <c r="D1591" s="18"/>
      <c r="E1591" s="18"/>
      <c r="F1591" s="19"/>
      <c r="G1591" s="31"/>
      <c r="H1591" s="31"/>
      <c r="I1591" s="19"/>
      <c r="J1591" s="328"/>
      <c r="K1591" s="338"/>
      <c r="L1591" s="335"/>
      <c r="M1591" s="330"/>
      <c r="N1591" s="20"/>
      <c r="O1591" s="19"/>
      <c r="P1591" s="19"/>
      <c r="Q1591" s="19"/>
      <c r="R1591" s="19"/>
      <c r="S1591" s="19"/>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row>
    <row r="1592" spans="1:45" x14ac:dyDescent="0.3">
      <c r="A1592" s="410" t="s">
        <v>3018</v>
      </c>
      <c r="B1592" s="17"/>
      <c r="C1592" s="19"/>
      <c r="D1592" s="18"/>
      <c r="E1592" s="18"/>
      <c r="F1592" s="19"/>
      <c r="G1592" s="31"/>
      <c r="H1592" s="31"/>
      <c r="I1592" s="19"/>
      <c r="J1592" s="328"/>
      <c r="K1592" s="338"/>
      <c r="L1592" s="335"/>
      <c r="M1592" s="330"/>
      <c r="N1592" s="20"/>
      <c r="O1592" s="19"/>
      <c r="P1592" s="19"/>
      <c r="Q1592" s="19"/>
      <c r="R1592" s="19"/>
      <c r="S1592" s="19"/>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row>
    <row r="1593" spans="1:45" x14ac:dyDescent="0.3">
      <c r="A1593" s="410" t="s">
        <v>3019</v>
      </c>
      <c r="B1593" s="17"/>
      <c r="C1593" s="19"/>
      <c r="D1593" s="18"/>
      <c r="E1593" s="18"/>
      <c r="F1593" s="19"/>
      <c r="G1593" s="31"/>
      <c r="H1593" s="31"/>
      <c r="I1593" s="19"/>
      <c r="J1593" s="328"/>
      <c r="K1593" s="338"/>
      <c r="L1593" s="335"/>
      <c r="M1593" s="330"/>
      <c r="N1593" s="20"/>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row>
    <row r="1594" spans="1:45" x14ac:dyDescent="0.3">
      <c r="A1594" s="410" t="s">
        <v>3020</v>
      </c>
      <c r="B1594" s="17"/>
      <c r="C1594" s="19"/>
      <c r="D1594" s="18"/>
      <c r="E1594" s="18"/>
      <c r="F1594" s="19"/>
      <c r="G1594" s="31"/>
      <c r="H1594" s="31"/>
      <c r="I1594" s="19"/>
      <c r="J1594" s="328"/>
      <c r="K1594" s="338"/>
      <c r="L1594" s="335"/>
      <c r="M1594" s="330"/>
      <c r="N1594" s="20"/>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row>
    <row r="1595" spans="1:45" x14ac:dyDescent="0.3">
      <c r="A1595" s="410" t="s">
        <v>3021</v>
      </c>
      <c r="B1595" s="17"/>
      <c r="C1595" s="19"/>
      <c r="D1595" s="18"/>
      <c r="E1595" s="18"/>
      <c r="F1595" s="19"/>
      <c r="G1595" s="31"/>
      <c r="H1595" s="31"/>
      <c r="I1595" s="19"/>
      <c r="J1595" s="328"/>
      <c r="K1595" s="338"/>
      <c r="L1595" s="335"/>
      <c r="M1595" s="330"/>
      <c r="N1595" s="20"/>
      <c r="O1595" s="19"/>
      <c r="P1595" s="19"/>
      <c r="Q1595" s="19"/>
      <c r="R1595" s="19"/>
      <c r="S1595" s="19"/>
      <c r="T1595" s="19"/>
      <c r="U1595" s="19"/>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row>
    <row r="1596" spans="1:45" x14ac:dyDescent="0.3">
      <c r="A1596" s="410" t="s">
        <v>3022</v>
      </c>
      <c r="B1596" s="17"/>
      <c r="C1596" s="19"/>
      <c r="D1596" s="18"/>
      <c r="E1596" s="18"/>
      <c r="F1596" s="19"/>
      <c r="G1596" s="31"/>
      <c r="H1596" s="31"/>
      <c r="I1596" s="19"/>
      <c r="J1596" s="328"/>
      <c r="K1596" s="338"/>
      <c r="L1596" s="335"/>
      <c r="M1596" s="330"/>
      <c r="N1596" s="20"/>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row>
    <row r="1597" spans="1:45" x14ac:dyDescent="0.3">
      <c r="A1597" s="410" t="s">
        <v>3023</v>
      </c>
      <c r="B1597" s="17"/>
      <c r="C1597" s="19"/>
      <c r="D1597" s="18"/>
      <c r="E1597" s="18"/>
      <c r="F1597" s="19"/>
      <c r="G1597" s="31"/>
      <c r="H1597" s="31"/>
      <c r="I1597" s="19"/>
      <c r="J1597" s="328"/>
      <c r="K1597" s="338"/>
      <c r="L1597" s="335"/>
      <c r="M1597" s="330"/>
      <c r="N1597" s="20"/>
      <c r="O1597" s="19"/>
      <c r="P1597" s="19"/>
      <c r="Q1597" s="19"/>
      <c r="R1597" s="19"/>
      <c r="S1597" s="19"/>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row>
    <row r="1598" spans="1:45" x14ac:dyDescent="0.3">
      <c r="A1598" s="410" t="s">
        <v>3024</v>
      </c>
      <c r="B1598" s="17"/>
      <c r="C1598" s="19"/>
      <c r="D1598" s="18"/>
      <c r="E1598" s="18"/>
      <c r="F1598" s="19"/>
      <c r="G1598" s="31"/>
      <c r="H1598" s="31"/>
      <c r="I1598" s="19"/>
      <c r="J1598" s="328"/>
      <c r="K1598" s="338"/>
      <c r="L1598" s="335"/>
      <c r="M1598" s="330"/>
      <c r="N1598" s="20"/>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row>
    <row r="1599" spans="1:45" x14ac:dyDescent="0.3">
      <c r="A1599" s="410" t="s">
        <v>3025</v>
      </c>
      <c r="B1599" s="17"/>
      <c r="C1599" s="19"/>
      <c r="D1599" s="18"/>
      <c r="E1599" s="18"/>
      <c r="F1599" s="19"/>
      <c r="G1599" s="31"/>
      <c r="H1599" s="31"/>
      <c r="I1599" s="19"/>
      <c r="J1599" s="328"/>
      <c r="K1599" s="338"/>
      <c r="L1599" s="335"/>
      <c r="M1599" s="330"/>
      <c r="N1599" s="20"/>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row>
    <row r="1600" spans="1:45" x14ac:dyDescent="0.3">
      <c r="A1600" s="410" t="s">
        <v>3026</v>
      </c>
      <c r="B1600" s="17"/>
      <c r="C1600" s="19"/>
      <c r="D1600" s="18"/>
      <c r="E1600" s="18"/>
      <c r="F1600" s="19"/>
      <c r="G1600" s="31"/>
      <c r="H1600" s="31"/>
      <c r="I1600" s="19"/>
      <c r="J1600" s="328"/>
      <c r="K1600" s="338"/>
      <c r="L1600" s="335"/>
      <c r="M1600" s="330"/>
      <c r="N1600" s="20"/>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row>
    <row r="1601" spans="1:45" x14ac:dyDescent="0.3">
      <c r="A1601" s="410" t="s">
        <v>3027</v>
      </c>
      <c r="B1601" s="17"/>
      <c r="C1601" s="19"/>
      <c r="D1601" s="18"/>
      <c r="E1601" s="18"/>
      <c r="F1601" s="19"/>
      <c r="G1601" s="31"/>
      <c r="H1601" s="31"/>
      <c r="I1601" s="19"/>
      <c r="J1601" s="328"/>
      <c r="K1601" s="338"/>
      <c r="L1601" s="335"/>
      <c r="M1601" s="330"/>
      <c r="N1601" s="20"/>
      <c r="O1601" s="19"/>
      <c r="P1601" s="19"/>
      <c r="Q1601" s="19"/>
      <c r="R1601" s="19"/>
      <c r="S1601" s="19"/>
      <c r="T1601" s="19"/>
      <c r="U1601" s="19"/>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row>
    <row r="1602" spans="1:45" x14ac:dyDescent="0.3">
      <c r="A1602" s="410" t="s">
        <v>3028</v>
      </c>
      <c r="B1602" s="17"/>
      <c r="C1602" s="19"/>
      <c r="D1602" s="18"/>
      <c r="E1602" s="18"/>
      <c r="F1602" s="19"/>
      <c r="G1602" s="31"/>
      <c r="H1602" s="31"/>
      <c r="I1602" s="19"/>
      <c r="J1602" s="328"/>
      <c r="K1602" s="338"/>
      <c r="L1602" s="335"/>
      <c r="M1602" s="330"/>
      <c r="N1602" s="20"/>
      <c r="O1602" s="19"/>
      <c r="P1602" s="19"/>
      <c r="Q1602" s="19"/>
      <c r="R1602" s="19"/>
      <c r="S1602" s="19"/>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row>
    <row r="1603" spans="1:45" x14ac:dyDescent="0.3">
      <c r="A1603" s="410" t="s">
        <v>3029</v>
      </c>
      <c r="B1603" s="17"/>
      <c r="C1603" s="19"/>
      <c r="D1603" s="18"/>
      <c r="E1603" s="18"/>
      <c r="F1603" s="19"/>
      <c r="G1603" s="31"/>
      <c r="H1603" s="31"/>
      <c r="I1603" s="19"/>
      <c r="J1603" s="328"/>
      <c r="K1603" s="338"/>
      <c r="L1603" s="335"/>
      <c r="M1603" s="330"/>
      <c r="N1603" s="20"/>
      <c r="O1603" s="19"/>
      <c r="P1603" s="19"/>
      <c r="Q1603" s="19"/>
      <c r="R1603" s="19"/>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row>
    <row r="1604" spans="1:45" x14ac:dyDescent="0.3">
      <c r="A1604" s="410" t="s">
        <v>3030</v>
      </c>
      <c r="B1604" s="17"/>
      <c r="C1604" s="19"/>
      <c r="D1604" s="18"/>
      <c r="E1604" s="18"/>
      <c r="F1604" s="19"/>
      <c r="G1604" s="31"/>
      <c r="H1604" s="31"/>
      <c r="I1604" s="19"/>
      <c r="J1604" s="328"/>
      <c r="K1604" s="338"/>
      <c r="L1604" s="335"/>
      <c r="M1604" s="330"/>
      <c r="N1604" s="20"/>
      <c r="O1604" s="19"/>
      <c r="P1604" s="19"/>
      <c r="Q1604" s="19"/>
      <c r="R1604" s="19"/>
      <c r="S1604" s="19"/>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row>
    <row r="1605" spans="1:45" x14ac:dyDescent="0.3">
      <c r="A1605" s="410" t="s">
        <v>3031</v>
      </c>
      <c r="B1605" s="17"/>
      <c r="C1605" s="19"/>
      <c r="D1605" s="18"/>
      <c r="E1605" s="18"/>
      <c r="F1605" s="19"/>
      <c r="G1605" s="31"/>
      <c r="H1605" s="31"/>
      <c r="I1605" s="19"/>
      <c r="J1605" s="328"/>
      <c r="K1605" s="338"/>
      <c r="L1605" s="335"/>
      <c r="M1605" s="330"/>
      <c r="N1605" s="20"/>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row>
    <row r="1606" spans="1:45" x14ac:dyDescent="0.3">
      <c r="A1606" s="410" t="s">
        <v>3032</v>
      </c>
      <c r="B1606" s="17"/>
      <c r="C1606" s="19"/>
      <c r="D1606" s="18"/>
      <c r="E1606" s="18"/>
      <c r="F1606" s="19"/>
      <c r="G1606" s="31"/>
      <c r="H1606" s="31"/>
      <c r="I1606" s="19"/>
      <c r="J1606" s="328"/>
      <c r="K1606" s="338"/>
      <c r="L1606" s="335"/>
      <c r="M1606" s="330"/>
      <c r="N1606" s="20"/>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row>
    <row r="1607" spans="1:45" x14ac:dyDescent="0.3">
      <c r="A1607" s="410" t="s">
        <v>3033</v>
      </c>
      <c r="B1607" s="17"/>
      <c r="C1607" s="19"/>
      <c r="D1607" s="18"/>
      <c r="E1607" s="18"/>
      <c r="F1607" s="19"/>
      <c r="G1607" s="31"/>
      <c r="H1607" s="31"/>
      <c r="I1607" s="19"/>
      <c r="J1607" s="328"/>
      <c r="K1607" s="338"/>
      <c r="L1607" s="335"/>
      <c r="M1607" s="330"/>
      <c r="N1607" s="20"/>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row>
    <row r="1608" spans="1:45" x14ac:dyDescent="0.3">
      <c r="A1608" s="410" t="s">
        <v>3034</v>
      </c>
      <c r="B1608" s="17"/>
      <c r="C1608" s="19"/>
      <c r="D1608" s="18"/>
      <c r="E1608" s="18"/>
      <c r="F1608" s="19"/>
      <c r="G1608" s="31"/>
      <c r="H1608" s="31"/>
      <c r="I1608" s="19"/>
      <c r="J1608" s="328"/>
      <c r="K1608" s="338"/>
      <c r="L1608" s="335"/>
      <c r="M1608" s="330"/>
      <c r="N1608" s="20"/>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row>
    <row r="1609" spans="1:45" x14ac:dyDescent="0.3">
      <c r="A1609" s="410" t="s">
        <v>3035</v>
      </c>
      <c r="B1609" s="17"/>
      <c r="C1609" s="19"/>
      <c r="D1609" s="18"/>
      <c r="E1609" s="18"/>
      <c r="F1609" s="19"/>
      <c r="G1609" s="31"/>
      <c r="H1609" s="31"/>
      <c r="I1609" s="19"/>
      <c r="J1609" s="328"/>
      <c r="K1609" s="338"/>
      <c r="L1609" s="335"/>
      <c r="M1609" s="330"/>
      <c r="N1609" s="20"/>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row>
    <row r="1610" spans="1:45" x14ac:dyDescent="0.3">
      <c r="A1610" s="410" t="s">
        <v>3036</v>
      </c>
      <c r="B1610" s="17"/>
      <c r="C1610" s="19"/>
      <c r="D1610" s="18"/>
      <c r="E1610" s="18"/>
      <c r="F1610" s="19"/>
      <c r="G1610" s="31"/>
      <c r="H1610" s="31"/>
      <c r="I1610" s="19"/>
      <c r="J1610" s="328"/>
      <c r="K1610" s="338"/>
      <c r="L1610" s="335"/>
      <c r="M1610" s="330"/>
      <c r="N1610" s="20"/>
      <c r="O1610" s="19"/>
      <c r="P1610" s="19"/>
      <c r="Q1610" s="19"/>
      <c r="R1610" s="19"/>
      <c r="S1610" s="19"/>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row>
    <row r="1611" spans="1:45" x14ac:dyDescent="0.3">
      <c r="A1611" s="410" t="s">
        <v>3037</v>
      </c>
      <c r="B1611" s="17"/>
      <c r="C1611" s="19"/>
      <c r="D1611" s="18"/>
      <c r="E1611" s="18"/>
      <c r="F1611" s="19"/>
      <c r="G1611" s="31"/>
      <c r="H1611" s="31"/>
      <c r="I1611" s="19"/>
      <c r="J1611" s="328"/>
      <c r="K1611" s="338"/>
      <c r="L1611" s="335"/>
      <c r="M1611" s="330"/>
      <c r="N1611" s="20"/>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row>
    <row r="1612" spans="1:45" x14ac:dyDescent="0.3">
      <c r="A1612" s="410" t="s">
        <v>3038</v>
      </c>
      <c r="B1612" s="17"/>
      <c r="C1612" s="19"/>
      <c r="D1612" s="18"/>
      <c r="E1612" s="18"/>
      <c r="F1612" s="19"/>
      <c r="G1612" s="31"/>
      <c r="H1612" s="31"/>
      <c r="I1612" s="19"/>
      <c r="J1612" s="328"/>
      <c r="K1612" s="338"/>
      <c r="L1612" s="335"/>
      <c r="M1612" s="330"/>
      <c r="N1612" s="20"/>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row>
    <row r="1613" spans="1:45" x14ac:dyDescent="0.3">
      <c r="A1613" s="410" t="s">
        <v>3039</v>
      </c>
      <c r="B1613" s="17"/>
      <c r="C1613" s="19"/>
      <c r="D1613" s="18"/>
      <c r="E1613" s="18"/>
      <c r="F1613" s="19"/>
      <c r="G1613" s="31"/>
      <c r="H1613" s="31"/>
      <c r="I1613" s="19"/>
      <c r="J1613" s="328"/>
      <c r="K1613" s="338"/>
      <c r="L1613" s="335"/>
      <c r="M1613" s="330"/>
      <c r="N1613" s="20"/>
      <c r="O1613" s="19"/>
      <c r="P1613" s="19"/>
      <c r="Q1613" s="19"/>
      <c r="R1613" s="19"/>
      <c r="S1613" s="19"/>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row>
    <row r="1614" spans="1:45" x14ac:dyDescent="0.3">
      <c r="A1614" s="410" t="s">
        <v>3040</v>
      </c>
      <c r="B1614" s="17"/>
      <c r="C1614" s="19"/>
      <c r="D1614" s="18"/>
      <c r="E1614" s="18"/>
      <c r="F1614" s="19"/>
      <c r="G1614" s="31"/>
      <c r="H1614" s="31"/>
      <c r="I1614" s="19"/>
      <c r="J1614" s="328"/>
      <c r="K1614" s="338"/>
      <c r="L1614" s="335"/>
      <c r="M1614" s="330"/>
      <c r="N1614" s="20"/>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row>
    <row r="1615" spans="1:45" x14ac:dyDescent="0.3">
      <c r="A1615" s="410" t="s">
        <v>3041</v>
      </c>
      <c r="B1615" s="17"/>
      <c r="C1615" s="19"/>
      <c r="D1615" s="18"/>
      <c r="E1615" s="18"/>
      <c r="F1615" s="19"/>
      <c r="G1615" s="31"/>
      <c r="H1615" s="31"/>
      <c r="I1615" s="19"/>
      <c r="J1615" s="328"/>
      <c r="K1615" s="338"/>
      <c r="L1615" s="335"/>
      <c r="M1615" s="330"/>
      <c r="N1615" s="20"/>
      <c r="O1615" s="19"/>
      <c r="P1615" s="19"/>
      <c r="Q1615" s="19"/>
      <c r="R1615" s="19"/>
      <c r="S1615" s="19"/>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row>
    <row r="1616" spans="1:45" x14ac:dyDescent="0.3">
      <c r="A1616" s="410" t="s">
        <v>3042</v>
      </c>
      <c r="B1616" s="17"/>
      <c r="C1616" s="19"/>
      <c r="D1616" s="18"/>
      <c r="E1616" s="18"/>
      <c r="F1616" s="19"/>
      <c r="G1616" s="31"/>
      <c r="H1616" s="31"/>
      <c r="I1616" s="19"/>
      <c r="J1616" s="328"/>
      <c r="K1616" s="338"/>
      <c r="L1616" s="335"/>
      <c r="M1616" s="330"/>
      <c r="N1616" s="20"/>
      <c r="O1616" s="19"/>
      <c r="P1616" s="19"/>
      <c r="Q1616" s="19"/>
      <c r="R1616" s="19"/>
      <c r="S1616" s="19"/>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row>
    <row r="1617" spans="1:45" x14ac:dyDescent="0.3">
      <c r="A1617" s="410" t="s">
        <v>3043</v>
      </c>
      <c r="B1617" s="17"/>
      <c r="C1617" s="19"/>
      <c r="D1617" s="18"/>
      <c r="E1617" s="18"/>
      <c r="F1617" s="19"/>
      <c r="G1617" s="31"/>
      <c r="H1617" s="31"/>
      <c r="I1617" s="19"/>
      <c r="J1617" s="328"/>
      <c r="K1617" s="338"/>
      <c r="L1617" s="335"/>
      <c r="M1617" s="330"/>
      <c r="N1617" s="20"/>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row>
    <row r="1618" spans="1:45" x14ac:dyDescent="0.3">
      <c r="A1618" s="410" t="s">
        <v>3044</v>
      </c>
      <c r="B1618" s="17"/>
      <c r="C1618" s="19"/>
      <c r="D1618" s="18"/>
      <c r="E1618" s="18"/>
      <c r="F1618" s="19"/>
      <c r="G1618" s="31"/>
      <c r="H1618" s="31"/>
      <c r="I1618" s="19"/>
      <c r="J1618" s="328"/>
      <c r="K1618" s="338"/>
      <c r="L1618" s="335"/>
      <c r="M1618" s="330"/>
      <c r="N1618" s="20"/>
      <c r="O1618" s="19"/>
      <c r="P1618" s="19"/>
      <c r="Q1618" s="19"/>
      <c r="R1618" s="19"/>
      <c r="S1618" s="19"/>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row>
    <row r="1619" spans="1:45" x14ac:dyDescent="0.3">
      <c r="A1619" s="410" t="s">
        <v>3045</v>
      </c>
      <c r="B1619" s="17"/>
      <c r="C1619" s="19"/>
      <c r="D1619" s="18"/>
      <c r="E1619" s="18"/>
      <c r="F1619" s="19"/>
      <c r="G1619" s="31"/>
      <c r="H1619" s="31"/>
      <c r="I1619" s="19"/>
      <c r="J1619" s="328"/>
      <c r="K1619" s="338"/>
      <c r="L1619" s="335"/>
      <c r="M1619" s="330"/>
      <c r="N1619" s="20"/>
      <c r="O1619" s="19"/>
      <c r="P1619" s="19"/>
      <c r="Q1619" s="19"/>
      <c r="R1619" s="19"/>
      <c r="S1619" s="19"/>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row>
    <row r="1620" spans="1:45" x14ac:dyDescent="0.3">
      <c r="A1620" s="410" t="s">
        <v>3046</v>
      </c>
      <c r="B1620" s="17"/>
      <c r="C1620" s="19"/>
      <c r="D1620" s="18"/>
      <c r="E1620" s="18"/>
      <c r="F1620" s="19"/>
      <c r="G1620" s="31"/>
      <c r="H1620" s="31"/>
      <c r="I1620" s="19"/>
      <c r="J1620" s="328"/>
      <c r="K1620" s="338"/>
      <c r="L1620" s="335"/>
      <c r="M1620" s="330"/>
      <c r="N1620" s="20"/>
      <c r="O1620" s="19"/>
      <c r="P1620" s="19"/>
      <c r="Q1620" s="19"/>
      <c r="R1620" s="19"/>
      <c r="S1620" s="19"/>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row>
    <row r="1621" spans="1:45" x14ac:dyDescent="0.3">
      <c r="A1621" s="410"/>
      <c r="B1621" s="17"/>
      <c r="C1621" s="19"/>
      <c r="D1621" s="18"/>
      <c r="E1621" s="18"/>
      <c r="F1621" s="19"/>
      <c r="G1621" s="31"/>
      <c r="H1621" s="31"/>
      <c r="I1621" s="19"/>
      <c r="J1621" s="328"/>
      <c r="K1621" s="338"/>
      <c r="L1621" s="335"/>
      <c r="M1621" s="330"/>
      <c r="N1621" s="20"/>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row>
    <row r="1622" spans="1:45" x14ac:dyDescent="0.3">
      <c r="A1622" s="410" t="s">
        <v>3047</v>
      </c>
      <c r="B1622" s="17" t="s">
        <v>3048</v>
      </c>
      <c r="C1622" s="19"/>
      <c r="D1622" s="19">
        <v>20090328</v>
      </c>
      <c r="E1622" s="18"/>
      <c r="F1622" s="19"/>
      <c r="G1622" s="31"/>
      <c r="H1622" s="31"/>
      <c r="I1622" s="19"/>
      <c r="J1622" s="328"/>
      <c r="K1622" s="338"/>
      <c r="L1622" s="335"/>
      <c r="M1622" s="330"/>
      <c r="N1622" s="20"/>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row>
    <row r="1623" spans="1:45" x14ac:dyDescent="0.3">
      <c r="A1623" s="410" t="s">
        <v>3049</v>
      </c>
      <c r="B1623" s="17"/>
      <c r="C1623" s="19"/>
      <c r="D1623" s="18"/>
      <c r="E1623" s="18"/>
      <c r="F1623" s="19"/>
      <c r="G1623" s="31"/>
      <c r="H1623" s="31"/>
      <c r="I1623" s="19"/>
      <c r="J1623" s="328"/>
      <c r="K1623" s="338"/>
      <c r="L1623" s="335"/>
      <c r="M1623" s="330"/>
      <c r="N1623" s="20"/>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row>
    <row r="1624" spans="1:45" x14ac:dyDescent="0.3">
      <c r="A1624" s="410" t="s">
        <v>3050</v>
      </c>
      <c r="B1624" s="17"/>
      <c r="C1624" s="19"/>
      <c r="D1624" s="18"/>
      <c r="E1624" s="18"/>
      <c r="F1624" s="19"/>
      <c r="G1624" s="31"/>
      <c r="H1624" s="31"/>
      <c r="I1624" s="19"/>
      <c r="J1624" s="328"/>
      <c r="K1624" s="338"/>
      <c r="L1624" s="335"/>
      <c r="M1624" s="330"/>
      <c r="N1624" s="20"/>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row>
    <row r="1625" spans="1:45" x14ac:dyDescent="0.3">
      <c r="A1625" s="410" t="s">
        <v>3051</v>
      </c>
      <c r="B1625" s="17"/>
      <c r="C1625" s="19"/>
      <c r="D1625" s="18"/>
      <c r="E1625" s="18"/>
      <c r="F1625" s="19"/>
      <c r="G1625" s="31"/>
      <c r="H1625" s="31"/>
      <c r="I1625" s="19"/>
      <c r="J1625" s="328"/>
      <c r="K1625" s="338"/>
      <c r="L1625" s="335"/>
      <c r="M1625" s="330"/>
      <c r="N1625" s="20"/>
      <c r="O1625" s="19"/>
      <c r="P1625" s="19"/>
      <c r="Q1625" s="19"/>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row>
    <row r="1626" spans="1:45" x14ac:dyDescent="0.3">
      <c r="A1626" s="410" t="s">
        <v>3052</v>
      </c>
      <c r="B1626" s="17"/>
      <c r="C1626" s="19"/>
      <c r="D1626" s="18"/>
      <c r="E1626" s="18"/>
      <c r="F1626" s="19"/>
      <c r="G1626" s="31"/>
      <c r="H1626" s="31"/>
      <c r="I1626" s="19"/>
      <c r="J1626" s="328"/>
      <c r="K1626" s="338"/>
      <c r="L1626" s="335"/>
      <c r="M1626" s="330"/>
      <c r="N1626" s="20"/>
      <c r="O1626" s="19"/>
      <c r="P1626" s="19"/>
      <c r="Q1626" s="19"/>
      <c r="R1626" s="19"/>
      <c r="S1626" s="19"/>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row>
    <row r="1627" spans="1:45" x14ac:dyDescent="0.3">
      <c r="A1627" s="410" t="s">
        <v>3053</v>
      </c>
      <c r="B1627" s="17"/>
      <c r="C1627" s="19"/>
      <c r="D1627" s="18"/>
      <c r="E1627" s="18"/>
      <c r="F1627" s="19"/>
      <c r="G1627" s="31"/>
      <c r="H1627" s="31"/>
      <c r="I1627" s="19"/>
      <c r="J1627" s="328"/>
      <c r="K1627" s="338"/>
      <c r="L1627" s="335"/>
      <c r="M1627" s="330"/>
      <c r="N1627" s="20"/>
      <c r="O1627" s="19"/>
      <c r="P1627" s="19"/>
      <c r="Q1627" s="19"/>
      <c r="R1627" s="19"/>
      <c r="S1627" s="19"/>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row>
    <row r="1628" spans="1:45" x14ac:dyDescent="0.3">
      <c r="A1628" s="410" t="s">
        <v>3054</v>
      </c>
      <c r="B1628" s="17"/>
      <c r="C1628" s="19"/>
      <c r="D1628" s="18"/>
      <c r="E1628" s="18"/>
      <c r="F1628" s="19"/>
      <c r="G1628" s="31"/>
      <c r="H1628" s="31"/>
      <c r="I1628" s="19"/>
      <c r="J1628" s="328"/>
      <c r="K1628" s="338"/>
      <c r="L1628" s="335"/>
      <c r="M1628" s="330"/>
      <c r="N1628" s="20"/>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row>
    <row r="1629" spans="1:45" x14ac:dyDescent="0.3">
      <c r="A1629" s="410" t="s">
        <v>3055</v>
      </c>
      <c r="B1629" s="17"/>
      <c r="C1629" s="19"/>
      <c r="D1629" s="18"/>
      <c r="E1629" s="18"/>
      <c r="F1629" s="19"/>
      <c r="G1629" s="31"/>
      <c r="H1629" s="31"/>
      <c r="I1629" s="19"/>
      <c r="J1629" s="328"/>
      <c r="K1629" s="338"/>
      <c r="L1629" s="335"/>
      <c r="M1629" s="330"/>
      <c r="N1629" s="20"/>
      <c r="O1629" s="19"/>
      <c r="P1629" s="19"/>
      <c r="Q1629" s="19"/>
      <c r="R1629" s="19"/>
      <c r="S1629" s="19"/>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row>
    <row r="1630" spans="1:45" x14ac:dyDescent="0.3">
      <c r="A1630" s="410" t="s">
        <v>3056</v>
      </c>
      <c r="B1630" s="17"/>
      <c r="C1630" s="19"/>
      <c r="D1630" s="18"/>
      <c r="E1630" s="18"/>
      <c r="F1630" s="19"/>
      <c r="G1630" s="31"/>
      <c r="H1630" s="31"/>
      <c r="I1630" s="19"/>
      <c r="J1630" s="328"/>
      <c r="K1630" s="338"/>
      <c r="L1630" s="335"/>
      <c r="M1630" s="330"/>
      <c r="N1630" s="20"/>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row>
    <row r="1631" spans="1:45" x14ac:dyDescent="0.3">
      <c r="A1631" s="410" t="s">
        <v>3057</v>
      </c>
      <c r="B1631" s="17"/>
      <c r="C1631" s="19"/>
      <c r="D1631" s="18"/>
      <c r="E1631" s="18"/>
      <c r="F1631" s="19"/>
      <c r="G1631" s="31"/>
      <c r="H1631" s="31"/>
      <c r="I1631" s="19"/>
      <c r="J1631" s="328"/>
      <c r="K1631" s="338"/>
      <c r="L1631" s="335"/>
      <c r="M1631" s="330"/>
      <c r="N1631" s="20"/>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row>
    <row r="1632" spans="1:45" x14ac:dyDescent="0.3">
      <c r="A1632" s="410" t="s">
        <v>3058</v>
      </c>
      <c r="B1632" s="17"/>
      <c r="C1632" s="19"/>
      <c r="D1632" s="18"/>
      <c r="E1632" s="18"/>
      <c r="F1632" s="19"/>
      <c r="G1632" s="31"/>
      <c r="H1632" s="31"/>
      <c r="I1632" s="19"/>
      <c r="J1632" s="328"/>
      <c r="K1632" s="338"/>
      <c r="L1632" s="335"/>
      <c r="M1632" s="330"/>
      <c r="N1632" s="20"/>
      <c r="O1632" s="19"/>
      <c r="P1632" s="19"/>
      <c r="Q1632" s="19"/>
      <c r="R1632" s="19"/>
      <c r="S1632" s="19"/>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row>
    <row r="1633" spans="1:45" x14ac:dyDescent="0.3">
      <c r="A1633" s="410" t="s">
        <v>3059</v>
      </c>
      <c r="B1633" s="17"/>
      <c r="C1633" s="19"/>
      <c r="D1633" s="18"/>
      <c r="E1633" s="18"/>
      <c r="F1633" s="19"/>
      <c r="G1633" s="31"/>
      <c r="H1633" s="31"/>
      <c r="I1633" s="19"/>
      <c r="J1633" s="328"/>
      <c r="K1633" s="338"/>
      <c r="L1633" s="335"/>
      <c r="M1633" s="330"/>
      <c r="N1633" s="20"/>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row>
    <row r="1634" spans="1:45" x14ac:dyDescent="0.3">
      <c r="A1634" s="410" t="s">
        <v>3060</v>
      </c>
      <c r="B1634" s="17"/>
      <c r="C1634" s="19"/>
      <c r="D1634" s="18"/>
      <c r="E1634" s="18"/>
      <c r="F1634" s="19"/>
      <c r="G1634" s="31"/>
      <c r="H1634" s="31"/>
      <c r="I1634" s="19"/>
      <c r="J1634" s="328"/>
      <c r="K1634" s="338"/>
      <c r="L1634" s="335"/>
      <c r="M1634" s="330"/>
      <c r="N1634" s="20"/>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row>
    <row r="1635" spans="1:45" x14ac:dyDescent="0.3">
      <c r="A1635" s="410" t="s">
        <v>3061</v>
      </c>
      <c r="B1635" s="17"/>
      <c r="C1635" s="19"/>
      <c r="D1635" s="18"/>
      <c r="E1635" s="18"/>
      <c r="F1635" s="19"/>
      <c r="G1635" s="31"/>
      <c r="H1635" s="31"/>
      <c r="I1635" s="19"/>
      <c r="J1635" s="328"/>
      <c r="K1635" s="338"/>
      <c r="L1635" s="335"/>
      <c r="M1635" s="330"/>
      <c r="N1635" s="20"/>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row>
    <row r="1636" spans="1:45" x14ac:dyDescent="0.3">
      <c r="A1636" s="410" t="s">
        <v>3062</v>
      </c>
      <c r="B1636" s="17"/>
      <c r="C1636" s="19"/>
      <c r="D1636" s="18"/>
      <c r="E1636" s="18"/>
      <c r="F1636" s="19"/>
      <c r="G1636" s="31"/>
      <c r="H1636" s="31"/>
      <c r="I1636" s="19"/>
      <c r="J1636" s="328"/>
      <c r="K1636" s="338"/>
      <c r="L1636" s="335"/>
      <c r="M1636" s="330"/>
      <c r="N1636" s="20"/>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row>
    <row r="1637" spans="1:45" x14ac:dyDescent="0.3">
      <c r="A1637" s="410" t="s">
        <v>3063</v>
      </c>
      <c r="B1637" s="17"/>
      <c r="C1637" s="19"/>
      <c r="D1637" s="18"/>
      <c r="E1637" s="18"/>
      <c r="F1637" s="19"/>
      <c r="G1637" s="31"/>
      <c r="H1637" s="31"/>
      <c r="I1637" s="19"/>
      <c r="J1637" s="328"/>
      <c r="K1637" s="338"/>
      <c r="L1637" s="335"/>
      <c r="M1637" s="330"/>
      <c r="N1637" s="20"/>
      <c r="O1637" s="19"/>
      <c r="P1637" s="19"/>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row>
    <row r="1638" spans="1:45" x14ac:dyDescent="0.3">
      <c r="A1638" s="410" t="s">
        <v>3064</v>
      </c>
      <c r="B1638" s="17"/>
      <c r="C1638" s="19"/>
      <c r="D1638" s="18"/>
      <c r="E1638" s="18"/>
      <c r="F1638" s="19"/>
      <c r="G1638" s="31"/>
      <c r="H1638" s="31"/>
      <c r="I1638" s="19"/>
      <c r="J1638" s="328"/>
      <c r="K1638" s="338"/>
      <c r="L1638" s="335"/>
      <c r="M1638" s="330"/>
      <c r="N1638" s="20"/>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row>
    <row r="1639" spans="1:45" x14ac:dyDescent="0.3">
      <c r="A1639" s="410" t="s">
        <v>3065</v>
      </c>
      <c r="B1639" s="17"/>
      <c r="C1639" s="19"/>
      <c r="D1639" s="18"/>
      <c r="E1639" s="18"/>
      <c r="F1639" s="19"/>
      <c r="G1639" s="31"/>
      <c r="H1639" s="31"/>
      <c r="I1639" s="19"/>
      <c r="J1639" s="328"/>
      <c r="K1639" s="338"/>
      <c r="L1639" s="335"/>
      <c r="M1639" s="330"/>
      <c r="N1639" s="20"/>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row>
    <row r="1640" spans="1:45" x14ac:dyDescent="0.3">
      <c r="A1640" s="410" t="s">
        <v>3066</v>
      </c>
      <c r="B1640" s="17"/>
      <c r="C1640" s="19"/>
      <c r="D1640" s="18"/>
      <c r="E1640" s="18"/>
      <c r="F1640" s="19"/>
      <c r="G1640" s="31"/>
      <c r="H1640" s="31"/>
      <c r="I1640" s="19"/>
      <c r="J1640" s="328"/>
      <c r="K1640" s="338"/>
      <c r="L1640" s="335"/>
      <c r="M1640" s="330"/>
      <c r="N1640" s="20"/>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row>
    <row r="1641" spans="1:45" x14ac:dyDescent="0.3">
      <c r="A1641" s="410" t="s">
        <v>3067</v>
      </c>
      <c r="B1641" s="17"/>
      <c r="C1641" s="19"/>
      <c r="D1641" s="18"/>
      <c r="E1641" s="18"/>
      <c r="F1641" s="19"/>
      <c r="G1641" s="31"/>
      <c r="H1641" s="31"/>
      <c r="I1641" s="19"/>
      <c r="J1641" s="328"/>
      <c r="K1641" s="338"/>
      <c r="L1641" s="335"/>
      <c r="M1641" s="330"/>
      <c r="N1641" s="20"/>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row>
    <row r="1642" spans="1:45" x14ac:dyDescent="0.3">
      <c r="A1642" s="410" t="s">
        <v>3068</v>
      </c>
      <c r="B1642" s="17"/>
      <c r="C1642" s="19"/>
      <c r="D1642" s="18"/>
      <c r="E1642" s="18"/>
      <c r="F1642" s="19"/>
      <c r="G1642" s="31"/>
      <c r="H1642" s="31"/>
      <c r="I1642" s="19"/>
      <c r="J1642" s="328"/>
      <c r="K1642" s="338"/>
      <c r="L1642" s="335"/>
      <c r="M1642" s="330"/>
      <c r="N1642" s="20"/>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row>
    <row r="1643" spans="1:45" x14ac:dyDescent="0.3">
      <c r="A1643" s="410" t="s">
        <v>3069</v>
      </c>
      <c r="B1643" s="17"/>
      <c r="C1643" s="19"/>
      <c r="D1643" s="18"/>
      <c r="E1643" s="18"/>
      <c r="F1643" s="19"/>
      <c r="G1643" s="31"/>
      <c r="H1643" s="31"/>
      <c r="I1643" s="19"/>
      <c r="J1643" s="328"/>
      <c r="K1643" s="338"/>
      <c r="L1643" s="335"/>
      <c r="M1643" s="330"/>
      <c r="N1643" s="20"/>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row>
    <row r="1644" spans="1:45" x14ac:dyDescent="0.3">
      <c r="A1644" s="410" t="s">
        <v>3070</v>
      </c>
      <c r="B1644" s="17"/>
      <c r="C1644" s="19"/>
      <c r="D1644" s="18"/>
      <c r="E1644" s="18"/>
      <c r="F1644" s="19"/>
      <c r="G1644" s="31"/>
      <c r="H1644" s="31"/>
      <c r="I1644" s="19"/>
      <c r="J1644" s="328"/>
      <c r="K1644" s="338"/>
      <c r="L1644" s="335"/>
      <c r="M1644" s="330"/>
      <c r="N1644" s="20"/>
      <c r="O1644" s="19"/>
      <c r="P1644" s="19"/>
      <c r="Q1644" s="19"/>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row>
    <row r="1645" spans="1:45" x14ac:dyDescent="0.3">
      <c r="A1645" s="410" t="s">
        <v>3071</v>
      </c>
      <c r="B1645" s="17"/>
      <c r="C1645" s="19"/>
      <c r="D1645" s="18"/>
      <c r="E1645" s="18"/>
      <c r="F1645" s="19"/>
      <c r="G1645" s="31"/>
      <c r="H1645" s="31"/>
      <c r="I1645" s="19"/>
      <c r="J1645" s="328"/>
      <c r="K1645" s="338"/>
      <c r="L1645" s="335"/>
      <c r="M1645" s="330"/>
      <c r="N1645" s="20"/>
      <c r="O1645" s="19"/>
      <c r="P1645" s="19"/>
      <c r="Q1645" s="19"/>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row>
    <row r="1646" spans="1:45" x14ac:dyDescent="0.3">
      <c r="A1646" s="410" t="s">
        <v>3072</v>
      </c>
      <c r="B1646" s="17"/>
      <c r="C1646" s="19"/>
      <c r="D1646" s="18"/>
      <c r="E1646" s="18"/>
      <c r="F1646" s="19"/>
      <c r="G1646" s="31"/>
      <c r="H1646" s="31"/>
      <c r="I1646" s="19"/>
      <c r="J1646" s="328"/>
      <c r="K1646" s="338"/>
      <c r="L1646" s="335"/>
      <c r="M1646" s="330"/>
      <c r="N1646" s="20"/>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row>
    <row r="1647" spans="1:45" x14ac:dyDescent="0.3">
      <c r="A1647" s="410" t="s">
        <v>3073</v>
      </c>
      <c r="B1647" s="17"/>
      <c r="C1647" s="19"/>
      <c r="D1647" s="18"/>
      <c r="E1647" s="18"/>
      <c r="F1647" s="19"/>
      <c r="G1647" s="31"/>
      <c r="H1647" s="31"/>
      <c r="I1647" s="19"/>
      <c r="J1647" s="328"/>
      <c r="K1647" s="338"/>
      <c r="L1647" s="335"/>
      <c r="M1647" s="330"/>
      <c r="N1647" s="20"/>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row>
    <row r="1648" spans="1:45" x14ac:dyDescent="0.3">
      <c r="A1648" s="410" t="s">
        <v>3074</v>
      </c>
      <c r="B1648" s="17"/>
      <c r="C1648" s="19"/>
      <c r="D1648" s="18"/>
      <c r="E1648" s="18"/>
      <c r="F1648" s="19"/>
      <c r="G1648" s="31"/>
      <c r="H1648" s="31"/>
      <c r="I1648" s="19"/>
      <c r="J1648" s="328"/>
      <c r="K1648" s="338"/>
      <c r="L1648" s="335"/>
      <c r="M1648" s="330"/>
      <c r="N1648" s="20"/>
      <c r="O1648" s="19"/>
      <c r="P1648" s="19"/>
      <c r="Q1648" s="19"/>
      <c r="R1648" s="19"/>
      <c r="S1648" s="19"/>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row>
    <row r="1649" spans="1:45" x14ac:dyDescent="0.3">
      <c r="A1649" s="410" t="s">
        <v>3075</v>
      </c>
      <c r="B1649" s="17"/>
      <c r="C1649" s="19"/>
      <c r="D1649" s="18"/>
      <c r="E1649" s="18"/>
      <c r="F1649" s="19"/>
      <c r="G1649" s="31"/>
      <c r="H1649" s="31"/>
      <c r="I1649" s="19"/>
      <c r="J1649" s="328"/>
      <c r="K1649" s="338"/>
      <c r="L1649" s="335"/>
      <c r="M1649" s="330"/>
      <c r="N1649" s="20"/>
      <c r="O1649" s="19"/>
      <c r="P1649" s="19"/>
      <c r="Q1649" s="19"/>
      <c r="R1649" s="19"/>
      <c r="S1649" s="19"/>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row>
    <row r="1650" spans="1:45" x14ac:dyDescent="0.3">
      <c r="A1650" s="410" t="s">
        <v>3076</v>
      </c>
      <c r="B1650" s="17"/>
      <c r="C1650" s="19"/>
      <c r="D1650" s="18"/>
      <c r="E1650" s="18"/>
      <c r="F1650" s="19"/>
      <c r="G1650" s="31"/>
      <c r="H1650" s="31"/>
      <c r="I1650" s="19"/>
      <c r="J1650" s="328"/>
      <c r="K1650" s="338"/>
      <c r="L1650" s="335"/>
      <c r="M1650" s="330"/>
      <c r="N1650" s="20"/>
      <c r="O1650" s="19"/>
      <c r="P1650" s="19"/>
      <c r="Q1650" s="19"/>
      <c r="R1650" s="19"/>
      <c r="S1650" s="19"/>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row>
    <row r="1651" spans="1:45" x14ac:dyDescent="0.3">
      <c r="A1651" s="410" t="s">
        <v>3077</v>
      </c>
      <c r="B1651" s="17"/>
      <c r="C1651" s="19"/>
      <c r="D1651" s="18"/>
      <c r="E1651" s="18"/>
      <c r="F1651" s="19"/>
      <c r="G1651" s="31"/>
      <c r="H1651" s="31"/>
      <c r="I1651" s="19"/>
      <c r="J1651" s="328"/>
      <c r="K1651" s="338"/>
      <c r="L1651" s="335"/>
      <c r="M1651" s="330"/>
      <c r="N1651" s="20"/>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row>
    <row r="1652" spans="1:45" x14ac:dyDescent="0.3">
      <c r="A1652" s="410" t="s">
        <v>3078</v>
      </c>
      <c r="B1652" s="17"/>
      <c r="C1652" s="19"/>
      <c r="D1652" s="18"/>
      <c r="E1652" s="18"/>
      <c r="F1652" s="19"/>
      <c r="G1652" s="31"/>
      <c r="H1652" s="31"/>
      <c r="I1652" s="19"/>
      <c r="J1652" s="328"/>
      <c r="K1652" s="338"/>
      <c r="L1652" s="335"/>
      <c r="M1652" s="330"/>
      <c r="N1652" s="20"/>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row>
    <row r="1653" spans="1:45" x14ac:dyDescent="0.3">
      <c r="A1653" s="410" t="s">
        <v>3079</v>
      </c>
      <c r="B1653" s="17"/>
      <c r="C1653" s="19"/>
      <c r="D1653" s="18"/>
      <c r="E1653" s="18"/>
      <c r="F1653" s="19"/>
      <c r="G1653" s="31"/>
      <c r="H1653" s="31"/>
      <c r="I1653" s="19"/>
      <c r="J1653" s="328"/>
      <c r="K1653" s="338"/>
      <c r="L1653" s="335"/>
      <c r="M1653" s="330"/>
      <c r="N1653" s="20"/>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row>
    <row r="1654" spans="1:45" x14ac:dyDescent="0.3">
      <c r="A1654" s="410" t="s">
        <v>3080</v>
      </c>
      <c r="B1654" s="17"/>
      <c r="C1654" s="19"/>
      <c r="D1654" s="18"/>
      <c r="E1654" s="18"/>
      <c r="F1654" s="19"/>
      <c r="G1654" s="31"/>
      <c r="H1654" s="31"/>
      <c r="I1654" s="19"/>
      <c r="J1654" s="328"/>
      <c r="K1654" s="338"/>
      <c r="L1654" s="335"/>
      <c r="M1654" s="330"/>
      <c r="N1654" s="20"/>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row>
    <row r="1655" spans="1:45" x14ac:dyDescent="0.3">
      <c r="A1655" s="410" t="s">
        <v>3081</v>
      </c>
      <c r="B1655" s="17"/>
      <c r="C1655" s="19"/>
      <c r="D1655" s="18"/>
      <c r="E1655" s="18"/>
      <c r="F1655" s="19"/>
      <c r="G1655" s="31"/>
      <c r="H1655" s="31"/>
      <c r="I1655" s="19"/>
      <c r="J1655" s="328"/>
      <c r="K1655" s="338"/>
      <c r="L1655" s="335"/>
      <c r="M1655" s="330"/>
      <c r="N1655" s="20"/>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row>
    <row r="1656" spans="1:45" x14ac:dyDescent="0.3">
      <c r="A1656" s="410" t="s">
        <v>3082</v>
      </c>
      <c r="B1656" s="17"/>
      <c r="C1656" s="19"/>
      <c r="D1656" s="18"/>
      <c r="E1656" s="18"/>
      <c r="F1656" s="19"/>
      <c r="G1656" s="31"/>
      <c r="H1656" s="31"/>
      <c r="I1656" s="19"/>
      <c r="J1656" s="328"/>
      <c r="K1656" s="338"/>
      <c r="L1656" s="335"/>
      <c r="M1656" s="330"/>
      <c r="N1656" s="20"/>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row>
    <row r="1657" spans="1:45" x14ac:dyDescent="0.3">
      <c r="A1657" s="410" t="s">
        <v>3083</v>
      </c>
      <c r="B1657" s="17"/>
      <c r="C1657" s="19"/>
      <c r="D1657" s="18"/>
      <c r="E1657" s="18"/>
      <c r="F1657" s="19"/>
      <c r="G1657" s="31"/>
      <c r="H1657" s="31"/>
      <c r="I1657" s="19"/>
      <c r="J1657" s="328"/>
      <c r="K1657" s="338"/>
      <c r="L1657" s="335"/>
      <c r="M1657" s="330"/>
      <c r="N1657" s="20"/>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row>
    <row r="1658" spans="1:45" x14ac:dyDescent="0.3">
      <c r="A1658" s="410" t="s">
        <v>3084</v>
      </c>
      <c r="B1658" s="17"/>
      <c r="C1658" s="19"/>
      <c r="D1658" s="18"/>
      <c r="E1658" s="18"/>
      <c r="F1658" s="19"/>
      <c r="G1658" s="31"/>
      <c r="H1658" s="31"/>
      <c r="I1658" s="19"/>
      <c r="J1658" s="328"/>
      <c r="K1658" s="338"/>
      <c r="L1658" s="335"/>
      <c r="M1658" s="330"/>
      <c r="N1658" s="20"/>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row>
    <row r="1659" spans="1:45" x14ac:dyDescent="0.3">
      <c r="A1659" s="410" t="s">
        <v>3085</v>
      </c>
      <c r="B1659" s="17"/>
      <c r="C1659" s="19"/>
      <c r="D1659" s="18"/>
      <c r="E1659" s="18"/>
      <c r="F1659" s="19"/>
      <c r="G1659" s="31"/>
      <c r="H1659" s="31"/>
      <c r="I1659" s="19"/>
      <c r="J1659" s="328"/>
      <c r="K1659" s="338"/>
      <c r="L1659" s="335"/>
      <c r="M1659" s="330"/>
      <c r="N1659" s="20"/>
      <c r="O1659" s="19"/>
      <c r="P1659" s="19"/>
      <c r="Q1659" s="19"/>
      <c r="R1659" s="19"/>
      <c r="S1659" s="19"/>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row>
    <row r="1660" spans="1:45" x14ac:dyDescent="0.3">
      <c r="A1660" s="410" t="s">
        <v>3086</v>
      </c>
      <c r="B1660" s="17"/>
      <c r="C1660" s="19"/>
      <c r="D1660" s="18"/>
      <c r="E1660" s="18"/>
      <c r="F1660" s="19"/>
      <c r="G1660" s="31"/>
      <c r="H1660" s="31"/>
      <c r="I1660" s="19"/>
      <c r="J1660" s="328"/>
      <c r="K1660" s="338"/>
      <c r="L1660" s="335"/>
      <c r="M1660" s="330"/>
      <c r="N1660" s="20"/>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row>
    <row r="1661" spans="1:45" x14ac:dyDescent="0.3">
      <c r="A1661" s="410" t="s">
        <v>3087</v>
      </c>
      <c r="B1661" s="17"/>
      <c r="C1661" s="19"/>
      <c r="D1661" s="18"/>
      <c r="E1661" s="18"/>
      <c r="F1661" s="19"/>
      <c r="G1661" s="31"/>
      <c r="H1661" s="31"/>
      <c r="I1661" s="19"/>
      <c r="J1661" s="328"/>
      <c r="K1661" s="338"/>
      <c r="L1661" s="335"/>
      <c r="M1661" s="330"/>
      <c r="N1661" s="20"/>
      <c r="O1661" s="19"/>
      <c r="P1661" s="19"/>
      <c r="Q1661" s="19"/>
      <c r="R1661" s="19"/>
      <c r="S1661" s="19"/>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row>
    <row r="1662" spans="1:45" x14ac:dyDescent="0.3">
      <c r="A1662" s="410" t="s">
        <v>3088</v>
      </c>
      <c r="B1662" s="17"/>
      <c r="C1662" s="19"/>
      <c r="D1662" s="18"/>
      <c r="E1662" s="18"/>
      <c r="F1662" s="19"/>
      <c r="G1662" s="31"/>
      <c r="H1662" s="31"/>
      <c r="I1662" s="19"/>
      <c r="J1662" s="328"/>
      <c r="K1662" s="338"/>
      <c r="L1662" s="335"/>
      <c r="M1662" s="330"/>
      <c r="N1662" s="20"/>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row>
    <row r="1663" spans="1:45" x14ac:dyDescent="0.3">
      <c r="A1663" s="410" t="s">
        <v>3089</v>
      </c>
      <c r="B1663" s="17"/>
      <c r="C1663" s="19"/>
      <c r="D1663" s="18"/>
      <c r="E1663" s="18"/>
      <c r="F1663" s="19"/>
      <c r="G1663" s="31"/>
      <c r="H1663" s="31"/>
      <c r="I1663" s="19"/>
      <c r="J1663" s="328"/>
      <c r="K1663" s="338"/>
      <c r="L1663" s="335"/>
      <c r="M1663" s="330"/>
      <c r="N1663" s="20"/>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row>
    <row r="1664" spans="1:45" x14ac:dyDescent="0.3">
      <c r="A1664" s="410" t="s">
        <v>3090</v>
      </c>
      <c r="B1664" s="17"/>
      <c r="C1664" s="19"/>
      <c r="D1664" s="18"/>
      <c r="E1664" s="18"/>
      <c r="F1664" s="19"/>
      <c r="G1664" s="31"/>
      <c r="H1664" s="31"/>
      <c r="I1664" s="19"/>
      <c r="J1664" s="328"/>
      <c r="K1664" s="338"/>
      <c r="L1664" s="335"/>
      <c r="M1664" s="330"/>
      <c r="N1664" s="20"/>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row>
    <row r="1665" spans="1:45" x14ac:dyDescent="0.3">
      <c r="A1665" s="410" t="s">
        <v>3091</v>
      </c>
      <c r="B1665" s="17"/>
      <c r="C1665" s="19"/>
      <c r="D1665" s="18"/>
      <c r="E1665" s="18"/>
      <c r="F1665" s="19"/>
      <c r="G1665" s="31"/>
      <c r="H1665" s="31"/>
      <c r="I1665" s="19"/>
      <c r="J1665" s="328"/>
      <c r="K1665" s="338"/>
      <c r="L1665" s="335"/>
      <c r="M1665" s="330"/>
      <c r="N1665" s="20"/>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row>
    <row r="1666" spans="1:45" x14ac:dyDescent="0.3">
      <c r="A1666" s="410" t="s">
        <v>3092</v>
      </c>
      <c r="B1666" s="17"/>
      <c r="C1666" s="19"/>
      <c r="D1666" s="18"/>
      <c r="E1666" s="18"/>
      <c r="F1666" s="19"/>
      <c r="G1666" s="31"/>
      <c r="H1666" s="31"/>
      <c r="I1666" s="19"/>
      <c r="J1666" s="328"/>
      <c r="K1666" s="338"/>
      <c r="L1666" s="335"/>
      <c r="M1666" s="330"/>
      <c r="N1666" s="20"/>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row>
    <row r="1667" spans="1:45" x14ac:dyDescent="0.3">
      <c r="A1667" s="410" t="s">
        <v>3093</v>
      </c>
      <c r="B1667" s="17"/>
      <c r="C1667" s="19"/>
      <c r="D1667" s="18"/>
      <c r="E1667" s="18"/>
      <c r="F1667" s="19"/>
      <c r="G1667" s="31"/>
      <c r="H1667" s="31"/>
      <c r="I1667" s="19"/>
      <c r="J1667" s="328"/>
      <c r="K1667" s="338"/>
      <c r="L1667" s="335"/>
      <c r="M1667" s="330"/>
      <c r="N1667" s="20"/>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row>
    <row r="1668" spans="1:45" x14ac:dyDescent="0.3">
      <c r="A1668" s="410" t="s">
        <v>3094</v>
      </c>
      <c r="B1668" s="17"/>
      <c r="C1668" s="19"/>
      <c r="D1668" s="18"/>
      <c r="E1668" s="18"/>
      <c r="F1668" s="19"/>
      <c r="G1668" s="31"/>
      <c r="H1668" s="31"/>
      <c r="I1668" s="19"/>
      <c r="J1668" s="328"/>
      <c r="K1668" s="338"/>
      <c r="L1668" s="335"/>
      <c r="M1668" s="330"/>
      <c r="N1668" s="20"/>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row>
    <row r="1669" spans="1:45" x14ac:dyDescent="0.3">
      <c r="A1669" s="410" t="s">
        <v>3095</v>
      </c>
      <c r="B1669" s="17"/>
      <c r="C1669" s="19"/>
      <c r="D1669" s="18"/>
      <c r="E1669" s="18"/>
      <c r="F1669" s="19"/>
      <c r="G1669" s="31"/>
      <c r="H1669" s="31"/>
      <c r="I1669" s="19"/>
      <c r="J1669" s="328"/>
      <c r="K1669" s="338"/>
      <c r="L1669" s="335"/>
      <c r="M1669" s="330"/>
      <c r="N1669" s="20"/>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row>
    <row r="1670" spans="1:45" x14ac:dyDescent="0.3">
      <c r="A1670" s="410" t="s">
        <v>3096</v>
      </c>
      <c r="B1670" s="17"/>
      <c r="C1670" s="19"/>
      <c r="D1670" s="18"/>
      <c r="E1670" s="18"/>
      <c r="F1670" s="19"/>
      <c r="G1670" s="31"/>
      <c r="H1670" s="31"/>
      <c r="I1670" s="19"/>
      <c r="J1670" s="328"/>
      <c r="K1670" s="338"/>
      <c r="L1670" s="335"/>
      <c r="M1670" s="330"/>
      <c r="N1670" s="20"/>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row>
    <row r="1671" spans="1:45" x14ac:dyDescent="0.3">
      <c r="A1671" s="410" t="s">
        <v>3097</v>
      </c>
      <c r="B1671" s="17"/>
      <c r="C1671" s="19"/>
      <c r="D1671" s="18"/>
      <c r="E1671" s="18"/>
      <c r="F1671" s="19"/>
      <c r="G1671" s="31"/>
      <c r="H1671" s="31"/>
      <c r="I1671" s="19"/>
      <c r="J1671" s="328"/>
      <c r="K1671" s="338"/>
      <c r="L1671" s="335"/>
      <c r="M1671" s="330"/>
      <c r="N1671" s="20"/>
      <c r="O1671" s="19"/>
      <c r="P1671" s="19"/>
      <c r="Q1671" s="19"/>
      <c r="R1671" s="19"/>
      <c r="S1671" s="19"/>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row>
    <row r="1672" spans="1:45" x14ac:dyDescent="0.3">
      <c r="A1672" s="410" t="s">
        <v>3098</v>
      </c>
      <c r="B1672" s="17"/>
      <c r="C1672" s="19"/>
      <c r="D1672" s="18"/>
      <c r="E1672" s="18"/>
      <c r="F1672" s="19"/>
      <c r="G1672" s="31"/>
      <c r="H1672" s="31"/>
      <c r="I1672" s="19"/>
      <c r="J1672" s="328"/>
      <c r="K1672" s="338"/>
      <c r="L1672" s="335"/>
      <c r="M1672" s="330"/>
      <c r="N1672" s="20"/>
      <c r="O1672" s="19"/>
      <c r="P1672" s="19"/>
      <c r="Q1672" s="19"/>
      <c r="R1672" s="19"/>
      <c r="S1672" s="19"/>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row>
    <row r="1673" spans="1:45" x14ac:dyDescent="0.3">
      <c r="A1673" s="410" t="s">
        <v>3099</v>
      </c>
      <c r="B1673" s="17"/>
      <c r="C1673" s="19"/>
      <c r="D1673" s="18"/>
      <c r="E1673" s="18"/>
      <c r="F1673" s="19"/>
      <c r="G1673" s="31"/>
      <c r="H1673" s="31"/>
      <c r="I1673" s="19"/>
      <c r="J1673" s="328"/>
      <c r="K1673" s="338"/>
      <c r="L1673" s="335"/>
      <c r="M1673" s="330"/>
      <c r="N1673" s="20"/>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row>
    <row r="1674" spans="1:45" x14ac:dyDescent="0.3">
      <c r="A1674" s="410" t="s">
        <v>3100</v>
      </c>
      <c r="B1674" s="17"/>
      <c r="C1674" s="19"/>
      <c r="D1674" s="18"/>
      <c r="E1674" s="18"/>
      <c r="F1674" s="19"/>
      <c r="G1674" s="31"/>
      <c r="H1674" s="31"/>
      <c r="I1674" s="19"/>
      <c r="J1674" s="328"/>
      <c r="K1674" s="338"/>
      <c r="L1674" s="335"/>
      <c r="M1674" s="330"/>
      <c r="N1674" s="20"/>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row>
    <row r="1675" spans="1:45" x14ac:dyDescent="0.3">
      <c r="A1675" s="410" t="s">
        <v>3101</v>
      </c>
      <c r="B1675" s="17"/>
      <c r="C1675" s="19"/>
      <c r="D1675" s="18"/>
      <c r="E1675" s="18"/>
      <c r="F1675" s="19"/>
      <c r="G1675" s="31"/>
      <c r="H1675" s="31"/>
      <c r="I1675" s="19"/>
      <c r="J1675" s="328"/>
      <c r="K1675" s="338"/>
      <c r="L1675" s="335"/>
      <c r="M1675" s="330"/>
      <c r="N1675" s="20"/>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row>
    <row r="1676" spans="1:45" x14ac:dyDescent="0.3">
      <c r="A1676" s="410" t="s">
        <v>3102</v>
      </c>
      <c r="B1676" s="17"/>
      <c r="C1676" s="19"/>
      <c r="D1676" s="18"/>
      <c r="E1676" s="18"/>
      <c r="F1676" s="19"/>
      <c r="G1676" s="31"/>
      <c r="H1676" s="31"/>
      <c r="I1676" s="19"/>
      <c r="J1676" s="328"/>
      <c r="K1676" s="338"/>
      <c r="L1676" s="335"/>
      <c r="M1676" s="330"/>
      <c r="N1676" s="20"/>
      <c r="O1676" s="19"/>
      <c r="P1676" s="19"/>
      <c r="Q1676" s="19"/>
      <c r="R1676" s="19"/>
      <c r="S1676" s="19"/>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row>
    <row r="1677" spans="1:45" x14ac:dyDescent="0.3">
      <c r="A1677" s="410" t="s">
        <v>3103</v>
      </c>
      <c r="B1677" s="17"/>
      <c r="C1677" s="19"/>
      <c r="D1677" s="18"/>
      <c r="E1677" s="18"/>
      <c r="F1677" s="19"/>
      <c r="G1677" s="31"/>
      <c r="H1677" s="31"/>
      <c r="I1677" s="19"/>
      <c r="J1677" s="328"/>
      <c r="K1677" s="338"/>
      <c r="L1677" s="335"/>
      <c r="M1677" s="330"/>
      <c r="N1677" s="20"/>
      <c r="O1677" s="19"/>
      <c r="P1677" s="19"/>
      <c r="Q1677" s="19"/>
      <c r="R1677" s="19"/>
      <c r="S1677" s="19"/>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row>
    <row r="1678" spans="1:45" x14ac:dyDescent="0.3">
      <c r="A1678" s="410" t="s">
        <v>3104</v>
      </c>
      <c r="B1678" s="17"/>
      <c r="C1678" s="19"/>
      <c r="D1678" s="18"/>
      <c r="E1678" s="18"/>
      <c r="F1678" s="19"/>
      <c r="G1678" s="31"/>
      <c r="H1678" s="31"/>
      <c r="I1678" s="19"/>
      <c r="J1678" s="328"/>
      <c r="K1678" s="338"/>
      <c r="L1678" s="335"/>
      <c r="M1678" s="330"/>
      <c r="N1678" s="20"/>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row>
    <row r="1679" spans="1:45" x14ac:dyDescent="0.3">
      <c r="A1679" s="410" t="s">
        <v>3105</v>
      </c>
      <c r="B1679" s="17"/>
      <c r="C1679" s="19"/>
      <c r="D1679" s="18"/>
      <c r="E1679" s="18"/>
      <c r="F1679" s="19"/>
      <c r="G1679" s="31"/>
      <c r="H1679" s="31"/>
      <c r="I1679" s="19"/>
      <c r="J1679" s="328"/>
      <c r="K1679" s="338"/>
      <c r="L1679" s="335"/>
      <c r="M1679" s="330"/>
      <c r="N1679" s="20"/>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row>
    <row r="1680" spans="1:45" x14ac:dyDescent="0.3">
      <c r="A1680" s="410" t="s">
        <v>3106</v>
      </c>
      <c r="B1680" s="17"/>
      <c r="C1680" s="19"/>
      <c r="D1680" s="18"/>
      <c r="E1680" s="18"/>
      <c r="F1680" s="19"/>
      <c r="G1680" s="31"/>
      <c r="H1680" s="31"/>
      <c r="I1680" s="19"/>
      <c r="J1680" s="328"/>
      <c r="K1680" s="338"/>
      <c r="L1680" s="335"/>
      <c r="M1680" s="330"/>
      <c r="N1680" s="20"/>
      <c r="O1680" s="19"/>
      <c r="P1680" s="19"/>
      <c r="Q1680" s="19"/>
      <c r="R1680" s="19"/>
      <c r="S1680" s="19"/>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row>
    <row r="1681" spans="1:45" x14ac:dyDescent="0.3">
      <c r="A1681" s="410" t="s">
        <v>3107</v>
      </c>
      <c r="B1681" s="17"/>
      <c r="C1681" s="19"/>
      <c r="D1681" s="18"/>
      <c r="E1681" s="18"/>
      <c r="F1681" s="19"/>
      <c r="G1681" s="31"/>
      <c r="H1681" s="31"/>
      <c r="I1681" s="19"/>
      <c r="J1681" s="328"/>
      <c r="K1681" s="338"/>
      <c r="L1681" s="335"/>
      <c r="M1681" s="330"/>
      <c r="N1681" s="20"/>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row>
    <row r="1682" spans="1:45" x14ac:dyDescent="0.3">
      <c r="A1682" s="410" t="s">
        <v>3108</v>
      </c>
      <c r="B1682" s="17"/>
      <c r="C1682" s="19"/>
      <c r="D1682" s="18"/>
      <c r="E1682" s="18"/>
      <c r="F1682" s="19"/>
      <c r="G1682" s="31"/>
      <c r="H1682" s="31"/>
      <c r="I1682" s="19"/>
      <c r="J1682" s="328"/>
      <c r="K1682" s="338"/>
      <c r="L1682" s="335"/>
      <c r="M1682" s="330"/>
      <c r="N1682" s="20"/>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row>
    <row r="1683" spans="1:45" x14ac:dyDescent="0.3">
      <c r="A1683" s="410" t="s">
        <v>3109</v>
      </c>
      <c r="B1683" s="17"/>
      <c r="C1683" s="19"/>
      <c r="D1683" s="18"/>
      <c r="E1683" s="18"/>
      <c r="F1683" s="19"/>
      <c r="G1683" s="31"/>
      <c r="H1683" s="31"/>
      <c r="I1683" s="19"/>
      <c r="J1683" s="328"/>
      <c r="K1683" s="338"/>
      <c r="L1683" s="335"/>
      <c r="M1683" s="330"/>
      <c r="N1683" s="20"/>
      <c r="O1683" s="19"/>
      <c r="P1683" s="19"/>
      <c r="Q1683" s="19"/>
      <c r="R1683" s="19"/>
      <c r="S1683" s="19"/>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row>
    <row r="1684" spans="1:45" x14ac:dyDescent="0.3">
      <c r="A1684" s="410" t="s">
        <v>3110</v>
      </c>
      <c r="B1684" s="17"/>
      <c r="C1684" s="19"/>
      <c r="D1684" s="18"/>
      <c r="E1684" s="18"/>
      <c r="F1684" s="19"/>
      <c r="G1684" s="31"/>
      <c r="H1684" s="31"/>
      <c r="I1684" s="19"/>
      <c r="J1684" s="328"/>
      <c r="K1684" s="338"/>
      <c r="L1684" s="335"/>
      <c r="M1684" s="330"/>
      <c r="N1684" s="20"/>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row>
    <row r="1685" spans="1:45" x14ac:dyDescent="0.3">
      <c r="A1685" s="410" t="s">
        <v>3111</v>
      </c>
      <c r="B1685" s="17"/>
      <c r="C1685" s="19"/>
      <c r="D1685" s="18"/>
      <c r="E1685" s="18"/>
      <c r="F1685" s="19"/>
      <c r="G1685" s="31"/>
      <c r="H1685" s="31"/>
      <c r="I1685" s="19"/>
      <c r="J1685" s="328"/>
      <c r="K1685" s="338"/>
      <c r="L1685" s="335"/>
      <c r="M1685" s="330"/>
      <c r="N1685" s="20"/>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row>
    <row r="1686" spans="1:45" x14ac:dyDescent="0.3">
      <c r="A1686" s="410" t="s">
        <v>3112</v>
      </c>
      <c r="B1686" s="17"/>
      <c r="C1686" s="19"/>
      <c r="D1686" s="18"/>
      <c r="E1686" s="18"/>
      <c r="F1686" s="19"/>
      <c r="G1686" s="31"/>
      <c r="H1686" s="31"/>
      <c r="I1686" s="19"/>
      <c r="J1686" s="328"/>
      <c r="K1686" s="338"/>
      <c r="L1686" s="335"/>
      <c r="M1686" s="330"/>
      <c r="N1686" s="20"/>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row>
    <row r="1687" spans="1:45" x14ac:dyDescent="0.3">
      <c r="A1687" s="410" t="s">
        <v>3113</v>
      </c>
      <c r="B1687" s="17"/>
      <c r="C1687" s="19"/>
      <c r="D1687" s="18"/>
      <c r="E1687" s="18"/>
      <c r="F1687" s="19"/>
      <c r="G1687" s="31"/>
      <c r="H1687" s="31"/>
      <c r="I1687" s="19"/>
      <c r="J1687" s="328"/>
      <c r="K1687" s="338"/>
      <c r="L1687" s="335"/>
      <c r="M1687" s="330"/>
      <c r="N1687" s="20"/>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row>
    <row r="1688" spans="1:45" x14ac:dyDescent="0.3">
      <c r="A1688" s="410" t="s">
        <v>3114</v>
      </c>
      <c r="B1688" s="17"/>
      <c r="C1688" s="19"/>
      <c r="D1688" s="18"/>
      <c r="E1688" s="18"/>
      <c r="F1688" s="19"/>
      <c r="G1688" s="31"/>
      <c r="H1688" s="31"/>
      <c r="I1688" s="19"/>
      <c r="J1688" s="328"/>
      <c r="K1688" s="338"/>
      <c r="L1688" s="335"/>
      <c r="M1688" s="330"/>
      <c r="N1688" s="20"/>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row>
    <row r="1689" spans="1:45" x14ac:dyDescent="0.3">
      <c r="A1689" s="410" t="s">
        <v>3115</v>
      </c>
      <c r="B1689" s="17"/>
      <c r="C1689" s="19"/>
      <c r="D1689" s="18"/>
      <c r="E1689" s="18"/>
      <c r="F1689" s="19"/>
      <c r="G1689" s="31"/>
      <c r="H1689" s="31"/>
      <c r="I1689" s="19"/>
      <c r="J1689" s="328"/>
      <c r="K1689" s="338"/>
      <c r="L1689" s="335"/>
      <c r="M1689" s="330"/>
      <c r="N1689" s="20"/>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row>
    <row r="1690" spans="1:45" x14ac:dyDescent="0.3">
      <c r="A1690" s="410" t="s">
        <v>3116</v>
      </c>
      <c r="B1690" s="17"/>
      <c r="C1690" s="19"/>
      <c r="D1690" s="18"/>
      <c r="E1690" s="18"/>
      <c r="F1690" s="19"/>
      <c r="G1690" s="31"/>
      <c r="H1690" s="31"/>
      <c r="I1690" s="19"/>
      <c r="J1690" s="328"/>
      <c r="K1690" s="338"/>
      <c r="L1690" s="335"/>
      <c r="M1690" s="330"/>
      <c r="N1690" s="20"/>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row>
    <row r="1691" spans="1:45" x14ac:dyDescent="0.3">
      <c r="A1691" s="410" t="s">
        <v>3117</v>
      </c>
      <c r="B1691" s="17"/>
      <c r="C1691" s="19"/>
      <c r="D1691" s="18"/>
      <c r="E1691" s="18"/>
      <c r="F1691" s="19"/>
      <c r="G1691" s="31"/>
      <c r="H1691" s="31"/>
      <c r="I1691" s="19"/>
      <c r="J1691" s="328"/>
      <c r="K1691" s="338"/>
      <c r="L1691" s="335"/>
      <c r="M1691" s="330"/>
      <c r="N1691" s="20"/>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row>
    <row r="1692" spans="1:45" x14ac:dyDescent="0.3">
      <c r="A1692" s="410" t="s">
        <v>3118</v>
      </c>
      <c r="B1692" s="17"/>
      <c r="C1692" s="19"/>
      <c r="D1692" s="18"/>
      <c r="E1692" s="18"/>
      <c r="F1692" s="19"/>
      <c r="G1692" s="31"/>
      <c r="H1692" s="31"/>
      <c r="I1692" s="19"/>
      <c r="J1692" s="328"/>
      <c r="K1692" s="338"/>
      <c r="L1692" s="335"/>
      <c r="M1692" s="330"/>
      <c r="N1692" s="20"/>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row>
    <row r="1693" spans="1:45" x14ac:dyDescent="0.3">
      <c r="A1693" s="410" t="s">
        <v>3119</v>
      </c>
      <c r="B1693" s="17"/>
      <c r="C1693" s="19"/>
      <c r="D1693" s="18"/>
      <c r="E1693" s="18"/>
      <c r="F1693" s="19"/>
      <c r="G1693" s="31"/>
      <c r="H1693" s="31"/>
      <c r="I1693" s="19"/>
      <c r="J1693" s="328"/>
      <c r="K1693" s="338"/>
      <c r="L1693" s="335"/>
      <c r="M1693" s="330"/>
      <c r="N1693" s="20"/>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row>
    <row r="1694" spans="1:45" x14ac:dyDescent="0.3">
      <c r="A1694" s="410" t="s">
        <v>3120</v>
      </c>
      <c r="B1694" s="17"/>
      <c r="C1694" s="19"/>
      <c r="D1694" s="18"/>
      <c r="E1694" s="18"/>
      <c r="F1694" s="19"/>
      <c r="G1694" s="31"/>
      <c r="H1694" s="31"/>
      <c r="I1694" s="19"/>
      <c r="J1694" s="328"/>
      <c r="K1694" s="338"/>
      <c r="L1694" s="335"/>
      <c r="M1694" s="330"/>
      <c r="N1694" s="20"/>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row>
    <row r="1695" spans="1:45" x14ac:dyDescent="0.3">
      <c r="A1695" s="410" t="s">
        <v>3121</v>
      </c>
      <c r="B1695" s="17"/>
      <c r="C1695" s="19"/>
      <c r="D1695" s="18"/>
      <c r="E1695" s="18"/>
      <c r="F1695" s="19"/>
      <c r="G1695" s="31"/>
      <c r="H1695" s="31"/>
      <c r="I1695" s="19"/>
      <c r="J1695" s="328"/>
      <c r="K1695" s="338"/>
      <c r="L1695" s="335"/>
      <c r="M1695" s="330"/>
      <c r="N1695" s="20"/>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row>
    <row r="1696" spans="1:45" x14ac:dyDescent="0.3">
      <c r="A1696" s="410" t="s">
        <v>3122</v>
      </c>
      <c r="B1696" s="17"/>
      <c r="C1696" s="19"/>
      <c r="D1696" s="18"/>
      <c r="E1696" s="18"/>
      <c r="F1696" s="19"/>
      <c r="G1696" s="31"/>
      <c r="H1696" s="31"/>
      <c r="I1696" s="19"/>
      <c r="J1696" s="328"/>
      <c r="K1696" s="338"/>
      <c r="L1696" s="335"/>
      <c r="M1696" s="330"/>
      <c r="N1696" s="20"/>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row>
    <row r="1697" spans="1:45" x14ac:dyDescent="0.3">
      <c r="A1697" s="410" t="s">
        <v>3123</v>
      </c>
      <c r="B1697" s="17"/>
      <c r="C1697" s="19"/>
      <c r="D1697" s="18"/>
      <c r="E1697" s="18"/>
      <c r="F1697" s="19"/>
      <c r="G1697" s="31"/>
      <c r="H1697" s="31"/>
      <c r="I1697" s="19"/>
      <c r="J1697" s="328"/>
      <c r="K1697" s="338"/>
      <c r="L1697" s="335"/>
      <c r="M1697" s="330"/>
      <c r="N1697" s="20"/>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row>
    <row r="1698" spans="1:45" x14ac:dyDescent="0.3">
      <c r="A1698" s="410" t="s">
        <v>3124</v>
      </c>
      <c r="B1698" s="17"/>
      <c r="C1698" s="19"/>
      <c r="D1698" s="18"/>
      <c r="E1698" s="18"/>
      <c r="F1698" s="19"/>
      <c r="G1698" s="31"/>
      <c r="H1698" s="31"/>
      <c r="I1698" s="19"/>
      <c r="J1698" s="328"/>
      <c r="K1698" s="338"/>
      <c r="L1698" s="335"/>
      <c r="M1698" s="330"/>
      <c r="N1698" s="20"/>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row>
    <row r="1699" spans="1:45" x14ac:dyDescent="0.3">
      <c r="A1699" s="410" t="s">
        <v>3125</v>
      </c>
      <c r="B1699" s="17"/>
      <c r="C1699" s="19"/>
      <c r="D1699" s="18"/>
      <c r="E1699" s="17"/>
      <c r="F1699" s="19"/>
      <c r="G1699" s="31"/>
      <c r="H1699" s="31"/>
      <c r="I1699" s="19"/>
      <c r="J1699" s="328"/>
      <c r="K1699" s="338"/>
      <c r="L1699" s="335"/>
      <c r="M1699" s="330"/>
      <c r="N1699" s="20"/>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row>
    <row r="1700" spans="1:45" x14ac:dyDescent="0.3">
      <c r="A1700" s="410" t="s">
        <v>3126</v>
      </c>
      <c r="B1700" s="17"/>
      <c r="C1700" s="19"/>
      <c r="D1700" s="18"/>
      <c r="E1700" s="17"/>
      <c r="F1700" s="19"/>
      <c r="G1700" s="31"/>
      <c r="H1700" s="31"/>
      <c r="I1700" s="19"/>
      <c r="J1700" s="328"/>
      <c r="K1700" s="338"/>
      <c r="L1700" s="335"/>
      <c r="M1700" s="330"/>
      <c r="N1700" s="20"/>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row>
    <row r="1701" spans="1:45" x14ac:dyDescent="0.3">
      <c r="A1701" s="410" t="s">
        <v>3127</v>
      </c>
      <c r="B1701" s="17"/>
      <c r="C1701" s="19"/>
      <c r="D1701" s="18"/>
      <c r="E1701" s="17"/>
      <c r="F1701" s="19"/>
      <c r="G1701" s="31"/>
      <c r="H1701" s="31"/>
      <c r="I1701" s="19"/>
      <c r="J1701" s="328"/>
      <c r="K1701" s="338"/>
      <c r="L1701" s="335"/>
      <c r="M1701" s="330"/>
      <c r="N1701" s="20"/>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row>
    <row r="1702" spans="1:45" x14ac:dyDescent="0.3">
      <c r="A1702" s="410"/>
      <c r="B1702" s="17"/>
      <c r="C1702" s="19"/>
      <c r="D1702" s="18"/>
      <c r="E1702" s="17"/>
      <c r="F1702" s="19"/>
      <c r="G1702" s="31"/>
      <c r="H1702" s="31"/>
      <c r="I1702" s="19"/>
      <c r="J1702" s="328"/>
      <c r="K1702" s="338"/>
      <c r="L1702" s="335"/>
      <c r="M1702" s="330"/>
      <c r="N1702" s="20"/>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row>
    <row r="1703" spans="1:45" x14ac:dyDescent="0.3">
      <c r="A1703" s="410" t="s">
        <v>3128</v>
      </c>
      <c r="B1703" s="17" t="s">
        <v>3129</v>
      </c>
      <c r="C1703" s="19" t="s">
        <v>1368</v>
      </c>
      <c r="D1703" s="19">
        <v>23148036</v>
      </c>
      <c r="E1703" s="17" t="s">
        <v>3129</v>
      </c>
      <c r="F1703" s="19">
        <v>23148036</v>
      </c>
      <c r="G1703" s="31"/>
      <c r="H1703" s="31"/>
      <c r="I1703" s="19"/>
      <c r="J1703" s="328"/>
      <c r="K1703" s="335"/>
      <c r="L1703" s="335"/>
      <c r="M1703" s="330"/>
      <c r="N1703" s="20"/>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row>
    <row r="1704" spans="1:45" x14ac:dyDescent="0.3">
      <c r="A1704" s="410" t="s">
        <v>3130</v>
      </c>
      <c r="B1704" s="17" t="s">
        <v>3131</v>
      </c>
      <c r="C1704" s="19" t="s">
        <v>1368</v>
      </c>
      <c r="D1704" s="19">
        <v>23196936</v>
      </c>
      <c r="E1704" s="17" t="s">
        <v>3131</v>
      </c>
      <c r="F1704" s="19">
        <v>23196936</v>
      </c>
      <c r="G1704" s="31"/>
      <c r="H1704" s="31"/>
      <c r="I1704" s="19"/>
      <c r="J1704" s="328"/>
      <c r="K1704" s="335"/>
      <c r="L1704" s="335"/>
      <c r="M1704" s="330"/>
      <c r="N1704" s="20"/>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row>
    <row r="1705" spans="1:45" x14ac:dyDescent="0.3">
      <c r="A1705" s="410" t="s">
        <v>3132</v>
      </c>
      <c r="B1705" s="17" t="s">
        <v>3133</v>
      </c>
      <c r="C1705" s="19" t="s">
        <v>1368</v>
      </c>
      <c r="D1705" s="19">
        <v>23175750</v>
      </c>
      <c r="E1705" s="17" t="s">
        <v>3133</v>
      </c>
      <c r="F1705" s="19">
        <v>23175750</v>
      </c>
      <c r="G1705" s="31"/>
      <c r="H1705" s="31"/>
      <c r="I1705" s="19"/>
      <c r="J1705" s="328"/>
      <c r="K1705" s="335"/>
      <c r="L1705" s="335"/>
      <c r="M1705" s="330"/>
      <c r="N1705" s="20"/>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row>
    <row r="1706" spans="1:45" x14ac:dyDescent="0.3">
      <c r="A1706" s="410" t="s">
        <v>3134</v>
      </c>
      <c r="B1706" s="17" t="s">
        <v>3135</v>
      </c>
      <c r="C1706" s="19" t="s">
        <v>1368</v>
      </c>
      <c r="D1706" s="19">
        <v>23017713</v>
      </c>
      <c r="E1706" s="17" t="s">
        <v>3135</v>
      </c>
      <c r="F1706" s="19">
        <v>23017713</v>
      </c>
      <c r="G1706" s="31"/>
      <c r="H1706" s="31"/>
      <c r="I1706" s="19"/>
      <c r="J1706" s="328"/>
      <c r="K1706" s="335"/>
      <c r="L1706" s="335"/>
      <c r="M1706" s="330"/>
      <c r="N1706" s="20"/>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row>
    <row r="1707" spans="1:45" x14ac:dyDescent="0.3">
      <c r="A1707" s="410" t="s">
        <v>3136</v>
      </c>
      <c r="B1707" s="17" t="s">
        <v>3137</v>
      </c>
      <c r="C1707" s="19" t="s">
        <v>1368</v>
      </c>
      <c r="D1707" s="19">
        <v>23025898</v>
      </c>
      <c r="E1707" s="17" t="s">
        <v>3137</v>
      </c>
      <c r="F1707" s="19">
        <v>23025898</v>
      </c>
      <c r="G1707" s="31"/>
      <c r="H1707" s="31"/>
      <c r="I1707" s="19"/>
      <c r="J1707" s="328"/>
      <c r="K1707" s="336"/>
      <c r="L1707" s="337"/>
      <c r="M1707" s="330"/>
      <c r="N1707" s="20"/>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row>
    <row r="1708" spans="1:45" x14ac:dyDescent="0.3">
      <c r="A1708" s="410" t="s">
        <v>3138</v>
      </c>
      <c r="B1708" s="17" t="s">
        <v>3139</v>
      </c>
      <c r="C1708" s="19"/>
      <c r="D1708" s="19">
        <v>23013608</v>
      </c>
      <c r="E1708" s="17"/>
      <c r="F1708" s="19"/>
      <c r="G1708" s="31"/>
      <c r="H1708" s="31"/>
      <c r="I1708" s="19"/>
      <c r="J1708" s="328"/>
      <c r="K1708" s="336"/>
      <c r="L1708" s="337"/>
      <c r="M1708" s="330"/>
      <c r="N1708" s="20"/>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row>
    <row r="1709" spans="1:45" x14ac:dyDescent="0.3">
      <c r="A1709" s="410" t="s">
        <v>3140</v>
      </c>
      <c r="B1709" s="17" t="s">
        <v>3141</v>
      </c>
      <c r="C1709" s="19" t="s">
        <v>1368</v>
      </c>
      <c r="D1709" s="19">
        <v>23189672</v>
      </c>
      <c r="E1709" s="17" t="s">
        <v>3141</v>
      </c>
      <c r="F1709" s="19">
        <v>23189672</v>
      </c>
      <c r="G1709" s="31"/>
      <c r="H1709" s="31"/>
      <c r="I1709" s="19"/>
      <c r="J1709" s="19"/>
      <c r="K1709" s="333"/>
      <c r="L1709" s="331"/>
      <c r="M1709" s="1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row>
    <row r="1710" spans="1:45" x14ac:dyDescent="0.3">
      <c r="A1710" s="410" t="s">
        <v>3142</v>
      </c>
      <c r="B1710" s="17" t="s">
        <v>3143</v>
      </c>
      <c r="C1710" s="19" t="s">
        <v>1368</v>
      </c>
      <c r="D1710" s="19">
        <v>23196931</v>
      </c>
      <c r="E1710" s="17" t="s">
        <v>3143</v>
      </c>
      <c r="F1710" s="19">
        <v>23196931</v>
      </c>
      <c r="G1710" s="31"/>
      <c r="H1710" s="31"/>
      <c r="I1710" s="19"/>
      <c r="J1710" s="19"/>
      <c r="K1710" s="18"/>
      <c r="L1710" s="329"/>
      <c r="M1710" s="19"/>
      <c r="N1710" s="20"/>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row>
    <row r="1711" spans="1:45" x14ac:dyDescent="0.3">
      <c r="A1711" s="410" t="s">
        <v>3144</v>
      </c>
      <c r="B1711" s="17" t="s">
        <v>3145</v>
      </c>
      <c r="C1711" s="19" t="s">
        <v>1368</v>
      </c>
      <c r="D1711" s="19">
        <v>23196934</v>
      </c>
      <c r="E1711" s="17" t="s">
        <v>3145</v>
      </c>
      <c r="F1711" s="19">
        <v>23196934</v>
      </c>
      <c r="G1711" s="31"/>
      <c r="H1711" s="31"/>
      <c r="I1711" s="19"/>
      <c r="J1711" s="19"/>
      <c r="K1711" s="18"/>
      <c r="L1711" s="19"/>
      <c r="M1711" s="19"/>
      <c r="N1711" s="20"/>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row>
    <row r="1712" spans="1:45" x14ac:dyDescent="0.3">
      <c r="A1712" s="410" t="s">
        <v>3146</v>
      </c>
      <c r="B1712" s="17" t="s">
        <v>3147</v>
      </c>
      <c r="C1712" s="19" t="s">
        <v>1368</v>
      </c>
      <c r="D1712" s="19">
        <v>23004765</v>
      </c>
      <c r="E1712" s="17" t="s">
        <v>3147</v>
      </c>
      <c r="F1712" s="19">
        <v>23004765</v>
      </c>
      <c r="G1712" s="31"/>
      <c r="H1712" s="31"/>
      <c r="I1712" s="19"/>
      <c r="J1712" s="19"/>
      <c r="K1712" s="18"/>
      <c r="L1712" s="19"/>
      <c r="M1712" s="19"/>
      <c r="N1712" s="20"/>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row>
    <row r="1713" spans="1:45" x14ac:dyDescent="0.3">
      <c r="A1713" s="410" t="s">
        <v>3148</v>
      </c>
      <c r="B1713" s="17" t="s">
        <v>3149</v>
      </c>
      <c r="C1713" s="19" t="s">
        <v>1368</v>
      </c>
      <c r="D1713" s="19">
        <v>23018758</v>
      </c>
      <c r="E1713" s="17" t="s">
        <v>3149</v>
      </c>
      <c r="F1713" s="19">
        <v>23018758</v>
      </c>
      <c r="G1713" s="31"/>
      <c r="H1713" s="31"/>
      <c r="I1713" s="19"/>
      <c r="J1713" s="19"/>
      <c r="K1713" s="18"/>
      <c r="L1713" s="19"/>
      <c r="M1713" s="19"/>
      <c r="N1713" s="20"/>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row>
    <row r="1714" spans="1:45" x14ac:dyDescent="0.3">
      <c r="A1714" s="410" t="s">
        <v>3150</v>
      </c>
      <c r="B1714" s="17" t="s">
        <v>3151</v>
      </c>
      <c r="C1714" s="19" t="s">
        <v>1368</v>
      </c>
      <c r="D1714" s="19">
        <v>23197118</v>
      </c>
      <c r="E1714" s="17" t="s">
        <v>3151</v>
      </c>
      <c r="F1714" s="19">
        <v>23197118</v>
      </c>
      <c r="G1714" s="31"/>
      <c r="H1714" s="31"/>
      <c r="I1714" s="19"/>
      <c r="J1714" s="19"/>
      <c r="K1714" s="18"/>
      <c r="L1714" s="19"/>
      <c r="M1714" s="19"/>
      <c r="N1714" s="20"/>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row>
    <row r="1715" spans="1:45" x14ac:dyDescent="0.3">
      <c r="A1715" s="410" t="s">
        <v>3152</v>
      </c>
      <c r="B1715" s="17" t="s">
        <v>3153</v>
      </c>
      <c r="C1715" s="19" t="s">
        <v>1368</v>
      </c>
      <c r="D1715" s="19">
        <v>23196935</v>
      </c>
      <c r="E1715" s="17" t="s">
        <v>3153</v>
      </c>
      <c r="F1715" s="19">
        <v>23196935</v>
      </c>
      <c r="G1715" s="31"/>
      <c r="H1715" s="31"/>
      <c r="I1715" s="19"/>
      <c r="J1715" s="19"/>
      <c r="K1715" s="18"/>
      <c r="L1715" s="19"/>
      <c r="M1715" s="19"/>
      <c r="N1715" s="20"/>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row>
    <row r="1716" spans="1:45" x14ac:dyDescent="0.3">
      <c r="A1716" s="410" t="s">
        <v>3154</v>
      </c>
      <c r="B1716" s="17" t="s">
        <v>3155</v>
      </c>
      <c r="C1716" s="19" t="s">
        <v>1368</v>
      </c>
      <c r="D1716" s="19">
        <v>23190778</v>
      </c>
      <c r="E1716" s="17" t="s">
        <v>3155</v>
      </c>
      <c r="F1716" s="19">
        <v>23190778</v>
      </c>
      <c r="G1716" s="31"/>
      <c r="H1716" s="31"/>
      <c r="I1716" s="19"/>
      <c r="J1716" s="19"/>
      <c r="K1716" s="18"/>
      <c r="L1716" s="19"/>
      <c r="M1716" s="19"/>
      <c r="N1716" s="20"/>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row>
    <row r="1717" spans="1:45" x14ac:dyDescent="0.3">
      <c r="A1717" s="410" t="s">
        <v>3156</v>
      </c>
      <c r="B1717" s="17" t="s">
        <v>3157</v>
      </c>
      <c r="C1717" s="19" t="s">
        <v>1368</v>
      </c>
      <c r="D1717" s="19">
        <v>23209021</v>
      </c>
      <c r="E1717" s="17" t="s">
        <v>3157</v>
      </c>
      <c r="F1717" s="19">
        <v>23209021</v>
      </c>
      <c r="G1717" s="31"/>
      <c r="H1717" s="31"/>
      <c r="I1717" s="19"/>
      <c r="J1717" s="19"/>
      <c r="K1717" s="18"/>
      <c r="L1717" s="19"/>
      <c r="M1717" s="19"/>
      <c r="N1717" s="20"/>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row>
    <row r="1718" spans="1:45" x14ac:dyDescent="0.3">
      <c r="A1718" s="410" t="s">
        <v>3158</v>
      </c>
      <c r="B1718" s="17" t="s">
        <v>3159</v>
      </c>
      <c r="C1718" s="19" t="s">
        <v>1368</v>
      </c>
      <c r="D1718" s="19">
        <v>23003245</v>
      </c>
      <c r="E1718" s="17" t="s">
        <v>3159</v>
      </c>
      <c r="F1718" s="19">
        <v>23003245</v>
      </c>
      <c r="G1718" s="31"/>
      <c r="H1718" s="31"/>
      <c r="I1718" s="19"/>
      <c r="J1718" s="19"/>
      <c r="K1718" s="18"/>
      <c r="L1718" s="19"/>
      <c r="M1718" s="19"/>
      <c r="N1718" s="20"/>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row>
    <row r="1719" spans="1:45" x14ac:dyDescent="0.3">
      <c r="A1719" s="410" t="s">
        <v>3160</v>
      </c>
      <c r="B1719" s="17" t="s">
        <v>3161</v>
      </c>
      <c r="C1719" s="19" t="s">
        <v>1368</v>
      </c>
      <c r="D1719" s="19">
        <v>23215315</v>
      </c>
      <c r="E1719" s="17" t="s">
        <v>3161</v>
      </c>
      <c r="F1719" s="19"/>
      <c r="G1719" s="31"/>
      <c r="H1719" s="31"/>
      <c r="I1719" s="19"/>
      <c r="J1719" s="19"/>
      <c r="K1719" s="18"/>
      <c r="L1719" s="19"/>
      <c r="M1719" s="19"/>
      <c r="N1719" s="20"/>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row>
    <row r="1720" spans="1:45" x14ac:dyDescent="0.3">
      <c r="A1720" s="410" t="s">
        <v>3162</v>
      </c>
      <c r="B1720" s="17" t="s">
        <v>3163</v>
      </c>
      <c r="C1720" s="19"/>
      <c r="D1720" s="19">
        <v>23051290</v>
      </c>
      <c r="E1720" s="17"/>
      <c r="F1720" s="19"/>
      <c r="G1720" s="31"/>
      <c r="H1720" s="31"/>
      <c r="I1720" s="19"/>
      <c r="J1720" s="19"/>
      <c r="K1720" s="18"/>
      <c r="L1720" s="19"/>
      <c r="M1720" s="19"/>
      <c r="N1720" s="20"/>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row>
    <row r="1721" spans="1:45" x14ac:dyDescent="0.3">
      <c r="A1721" s="410" t="s">
        <v>3164</v>
      </c>
      <c r="B1721" s="17" t="s">
        <v>3165</v>
      </c>
      <c r="C1721" s="19" t="s">
        <v>1368</v>
      </c>
      <c r="D1721" s="19">
        <v>23197335</v>
      </c>
      <c r="E1721" s="17" t="s">
        <v>3165</v>
      </c>
      <c r="F1721" s="19">
        <v>23197335</v>
      </c>
      <c r="G1721" s="31"/>
      <c r="H1721" s="31"/>
      <c r="I1721" s="19"/>
      <c r="J1721" s="19"/>
      <c r="K1721" s="18"/>
      <c r="L1721" s="19"/>
      <c r="M1721" s="19"/>
      <c r="N1721" s="20"/>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row>
    <row r="1722" spans="1:45" x14ac:dyDescent="0.3">
      <c r="A1722" s="410" t="s">
        <v>3166</v>
      </c>
      <c r="B1722" s="17" t="s">
        <v>3167</v>
      </c>
      <c r="C1722" s="19" t="s">
        <v>1368</v>
      </c>
      <c r="D1722" s="19">
        <v>23198208</v>
      </c>
      <c r="E1722" s="17" t="s">
        <v>3167</v>
      </c>
      <c r="F1722" s="19">
        <v>23198208</v>
      </c>
      <c r="G1722" s="31"/>
      <c r="H1722" s="31"/>
      <c r="I1722" s="19"/>
      <c r="J1722" s="19"/>
      <c r="K1722" s="18"/>
      <c r="L1722" s="19"/>
      <c r="M1722" s="19"/>
      <c r="N1722" s="20"/>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row>
    <row r="1723" spans="1:45" x14ac:dyDescent="0.3">
      <c r="A1723" s="410" t="s">
        <v>3168</v>
      </c>
      <c r="B1723" s="17" t="s">
        <v>3169</v>
      </c>
      <c r="C1723" s="19" t="s">
        <v>1368</v>
      </c>
      <c r="D1723" s="19">
        <v>23200660</v>
      </c>
      <c r="E1723" s="17" t="s">
        <v>3169</v>
      </c>
      <c r="F1723" s="19">
        <v>23200660</v>
      </c>
      <c r="G1723" s="31"/>
      <c r="H1723" s="31"/>
      <c r="I1723" s="19"/>
      <c r="J1723" s="19"/>
      <c r="K1723" s="18"/>
      <c r="L1723" s="19"/>
      <c r="M1723" s="19"/>
      <c r="N1723" s="20"/>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row>
    <row r="1724" spans="1:45" x14ac:dyDescent="0.3">
      <c r="A1724" s="410" t="s">
        <v>3170</v>
      </c>
      <c r="B1724" s="17" t="s">
        <v>3171</v>
      </c>
      <c r="C1724" s="19" t="s">
        <v>1368</v>
      </c>
      <c r="D1724" s="19">
        <v>23202863</v>
      </c>
      <c r="E1724" s="17" t="s">
        <v>3171</v>
      </c>
      <c r="F1724" s="19">
        <v>23202863</v>
      </c>
      <c r="G1724" s="31"/>
      <c r="H1724" s="31"/>
      <c r="I1724" s="19"/>
      <c r="J1724" s="19"/>
      <c r="K1724" s="18"/>
      <c r="L1724" s="19"/>
      <c r="M1724" s="19"/>
      <c r="N1724" s="20"/>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row>
    <row r="1725" spans="1:45" x14ac:dyDescent="0.3">
      <c r="A1725" s="410" t="s">
        <v>3172</v>
      </c>
      <c r="B1725" s="17" t="s">
        <v>3173</v>
      </c>
      <c r="C1725" s="19" t="s">
        <v>1368</v>
      </c>
      <c r="D1725" s="19">
        <v>23209234</v>
      </c>
      <c r="E1725" s="17" t="s">
        <v>3173</v>
      </c>
      <c r="F1725" s="19">
        <v>23209234</v>
      </c>
      <c r="G1725" s="31"/>
      <c r="H1725" s="31"/>
      <c r="I1725" s="19"/>
      <c r="J1725" s="19"/>
      <c r="K1725" s="18"/>
      <c r="L1725" s="19"/>
      <c r="M1725" s="19"/>
      <c r="N1725" s="20"/>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row>
    <row r="1726" spans="1:45" x14ac:dyDescent="0.3">
      <c r="A1726" s="410" t="s">
        <v>3174</v>
      </c>
      <c r="B1726" s="17" t="s">
        <v>3175</v>
      </c>
      <c r="C1726" s="19" t="s">
        <v>1368</v>
      </c>
      <c r="D1726" s="19">
        <v>23001067</v>
      </c>
      <c r="E1726" s="17" t="s">
        <v>3175</v>
      </c>
      <c r="F1726" s="19">
        <v>23001067</v>
      </c>
      <c r="G1726" s="31"/>
      <c r="H1726" s="31"/>
      <c r="I1726" s="19"/>
      <c r="J1726" s="22"/>
      <c r="K1726" s="18"/>
      <c r="L1726" s="19"/>
      <c r="M1726" s="19"/>
      <c r="N1726" s="20"/>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row>
    <row r="1727" spans="1:45" x14ac:dyDescent="0.3">
      <c r="A1727" s="410" t="s">
        <v>3176</v>
      </c>
      <c r="B1727" s="17" t="s">
        <v>3177</v>
      </c>
      <c r="C1727" s="19" t="s">
        <v>1368</v>
      </c>
      <c r="D1727" s="19">
        <v>23218083</v>
      </c>
      <c r="E1727" s="17" t="s">
        <v>3177</v>
      </c>
      <c r="F1727" s="19">
        <v>23218083</v>
      </c>
      <c r="G1727" s="31"/>
      <c r="H1727" s="31"/>
      <c r="I1727" s="19"/>
      <c r="J1727" s="22"/>
      <c r="K1727" s="18"/>
      <c r="L1727" s="19"/>
      <c r="M1727" s="19"/>
      <c r="N1727" s="20"/>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row>
    <row r="1728" spans="1:45" x14ac:dyDescent="0.3">
      <c r="A1728" s="410" t="s">
        <v>3178</v>
      </c>
      <c r="B1728" s="17" t="s">
        <v>3179</v>
      </c>
      <c r="C1728" s="19" t="s">
        <v>1368</v>
      </c>
      <c r="D1728" s="19">
        <v>23181564</v>
      </c>
      <c r="E1728" s="17" t="s">
        <v>3179</v>
      </c>
      <c r="F1728" s="19">
        <v>23181564</v>
      </c>
      <c r="G1728" s="31"/>
      <c r="H1728" s="31"/>
      <c r="I1728" s="19"/>
      <c r="J1728" s="22"/>
      <c r="K1728" s="18"/>
      <c r="L1728" s="19"/>
      <c r="M1728" s="19"/>
      <c r="N1728" s="20"/>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row>
    <row r="1729" spans="1:45" x14ac:dyDescent="0.3">
      <c r="A1729" s="410" t="s">
        <v>3180</v>
      </c>
      <c r="B1729" s="17" t="s">
        <v>3181</v>
      </c>
      <c r="C1729" s="19" t="s">
        <v>1368</v>
      </c>
      <c r="D1729" s="19">
        <v>22202247</v>
      </c>
      <c r="E1729" s="17" t="s">
        <v>3181</v>
      </c>
      <c r="F1729" s="19">
        <v>22202247</v>
      </c>
      <c r="G1729" s="31"/>
      <c r="H1729" s="31"/>
      <c r="I1729" s="19"/>
      <c r="J1729" s="22"/>
      <c r="K1729" s="18"/>
      <c r="L1729" s="19"/>
      <c r="M1729" s="19"/>
      <c r="N1729" s="20"/>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row>
    <row r="1730" spans="1:45" x14ac:dyDescent="0.3">
      <c r="A1730" s="410" t="s">
        <v>3182</v>
      </c>
      <c r="B1730" s="17" t="s">
        <v>3183</v>
      </c>
      <c r="C1730" s="19" t="s">
        <v>1368</v>
      </c>
      <c r="D1730" s="19">
        <v>23021021</v>
      </c>
      <c r="E1730" s="17" t="s">
        <v>3183</v>
      </c>
      <c r="F1730" s="19">
        <v>23021021</v>
      </c>
      <c r="G1730" s="31"/>
      <c r="H1730" s="31"/>
      <c r="I1730" s="19"/>
      <c r="J1730" s="22"/>
      <c r="K1730" s="18"/>
      <c r="L1730" s="19"/>
      <c r="M1730" s="19"/>
      <c r="N1730" s="20"/>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row>
    <row r="1731" spans="1:45" x14ac:dyDescent="0.3">
      <c r="A1731" s="410" t="s">
        <v>3184</v>
      </c>
      <c r="B1731" s="17" t="s">
        <v>3185</v>
      </c>
      <c r="C1731" s="19" t="s">
        <v>1368</v>
      </c>
      <c r="D1731" s="19">
        <v>23198209</v>
      </c>
      <c r="E1731" s="17" t="s">
        <v>3185</v>
      </c>
      <c r="F1731" s="19">
        <v>23198209</v>
      </c>
      <c r="G1731" s="31"/>
      <c r="H1731" s="31"/>
      <c r="I1731" s="19"/>
      <c r="J1731" s="22"/>
      <c r="K1731" s="18"/>
      <c r="L1731" s="19"/>
      <c r="M1731" s="19"/>
      <c r="N1731" s="20"/>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row>
    <row r="1732" spans="1:45" x14ac:dyDescent="0.3">
      <c r="A1732" s="410" t="s">
        <v>3186</v>
      </c>
      <c r="B1732" s="17" t="s">
        <v>3187</v>
      </c>
      <c r="C1732" s="19" t="s">
        <v>1368</v>
      </c>
      <c r="D1732" s="19">
        <v>23212994</v>
      </c>
      <c r="E1732" s="17" t="s">
        <v>3187</v>
      </c>
      <c r="F1732" s="19">
        <v>23212994</v>
      </c>
      <c r="G1732" s="31"/>
      <c r="H1732" s="31"/>
      <c r="I1732" s="19"/>
      <c r="J1732" s="22"/>
      <c r="K1732" s="18"/>
      <c r="L1732" s="19"/>
      <c r="M1732" s="19"/>
      <c r="N1732" s="20"/>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row>
    <row r="1733" spans="1:45" x14ac:dyDescent="0.3">
      <c r="A1733" s="410" t="s">
        <v>3188</v>
      </c>
      <c r="B1733" s="17" t="s">
        <v>3189</v>
      </c>
      <c r="C1733" s="19" t="s">
        <v>1368</v>
      </c>
      <c r="D1733" s="19">
        <v>23054703</v>
      </c>
      <c r="E1733" s="17" t="s">
        <v>3189</v>
      </c>
      <c r="F1733" s="19">
        <v>23054703</v>
      </c>
      <c r="G1733" s="31"/>
      <c r="H1733" s="31"/>
      <c r="I1733" s="19"/>
      <c r="J1733" s="22"/>
      <c r="K1733" s="18"/>
      <c r="L1733" s="19"/>
      <c r="M1733" s="19"/>
      <c r="N1733" s="20"/>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row>
    <row r="1734" spans="1:45" x14ac:dyDescent="0.3">
      <c r="A1734" s="410" t="s">
        <v>3190</v>
      </c>
      <c r="B1734" s="17" t="s">
        <v>3191</v>
      </c>
      <c r="C1734" s="19" t="s">
        <v>1368</v>
      </c>
      <c r="D1734" s="19">
        <v>23163350</v>
      </c>
      <c r="E1734" s="17" t="s">
        <v>3191</v>
      </c>
      <c r="F1734" s="19">
        <v>23163350</v>
      </c>
      <c r="G1734" s="31"/>
      <c r="H1734" s="31"/>
      <c r="I1734" s="19"/>
      <c r="J1734" s="22"/>
      <c r="K1734" s="18"/>
      <c r="L1734" s="19"/>
      <c r="M1734" s="19"/>
      <c r="N1734" s="20"/>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row>
    <row r="1735" spans="1:45" x14ac:dyDescent="0.3">
      <c r="A1735" s="410" t="s">
        <v>3192</v>
      </c>
      <c r="B1735" s="17" t="s">
        <v>3193</v>
      </c>
      <c r="C1735" s="19" t="s">
        <v>1368</v>
      </c>
      <c r="D1735" s="19">
        <v>23163160</v>
      </c>
      <c r="E1735" s="17" t="s">
        <v>3193</v>
      </c>
      <c r="F1735" s="19">
        <v>23163160</v>
      </c>
      <c r="G1735" s="31"/>
      <c r="H1735" s="31"/>
      <c r="I1735" s="19"/>
      <c r="J1735" s="22"/>
      <c r="K1735" s="18"/>
      <c r="L1735" s="19"/>
      <c r="M1735" s="19"/>
      <c r="N1735" s="20"/>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row>
    <row r="1736" spans="1:45" x14ac:dyDescent="0.3">
      <c r="A1736" s="410" t="s">
        <v>3194</v>
      </c>
      <c r="B1736" s="17" t="s">
        <v>3195</v>
      </c>
      <c r="C1736" s="19" t="s">
        <v>1368</v>
      </c>
      <c r="D1736" s="19">
        <v>23202830</v>
      </c>
      <c r="E1736" s="17" t="s">
        <v>3195</v>
      </c>
      <c r="F1736" s="19">
        <v>23202830</v>
      </c>
      <c r="G1736" s="31"/>
      <c r="H1736" s="31"/>
      <c r="I1736" s="19"/>
      <c r="J1736" s="22"/>
      <c r="K1736" s="18"/>
      <c r="L1736" s="19"/>
      <c r="M1736" s="19"/>
      <c r="N1736" s="20"/>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row>
    <row r="1737" spans="1:45" x14ac:dyDescent="0.3">
      <c r="A1737" s="410" t="s">
        <v>3196</v>
      </c>
      <c r="B1737" s="17" t="s">
        <v>3197</v>
      </c>
      <c r="C1737" s="19" t="s">
        <v>1368</v>
      </c>
      <c r="D1737" s="19">
        <v>23020828</v>
      </c>
      <c r="E1737" s="17" t="s">
        <v>3197</v>
      </c>
      <c r="F1737" s="19">
        <v>23020828</v>
      </c>
      <c r="G1737" s="31"/>
      <c r="H1737" s="31"/>
      <c r="I1737" s="19"/>
      <c r="J1737" s="22"/>
      <c r="K1737" s="18"/>
      <c r="L1737" s="19"/>
      <c r="M1737" s="19"/>
      <c r="N1737" s="20"/>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row>
    <row r="1738" spans="1:45" x14ac:dyDescent="0.3">
      <c r="A1738" s="410" t="s">
        <v>3198</v>
      </c>
      <c r="B1738" s="17" t="s">
        <v>3199</v>
      </c>
      <c r="C1738" s="19" t="s">
        <v>1368</v>
      </c>
      <c r="D1738" s="19">
        <v>23193129</v>
      </c>
      <c r="E1738" s="17" t="s">
        <v>3199</v>
      </c>
      <c r="F1738" s="19">
        <v>23193129</v>
      </c>
      <c r="G1738" s="31"/>
      <c r="H1738" s="31"/>
      <c r="I1738" s="19"/>
      <c r="J1738" s="22"/>
      <c r="K1738" s="18"/>
      <c r="L1738" s="19"/>
      <c r="M1738" s="19"/>
      <c r="N1738" s="20"/>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row>
    <row r="1739" spans="1:45" x14ac:dyDescent="0.3">
      <c r="A1739" s="410" t="s">
        <v>3200</v>
      </c>
      <c r="B1739" s="17" t="s">
        <v>3201</v>
      </c>
      <c r="C1739" s="19" t="s">
        <v>1368</v>
      </c>
      <c r="D1739" s="19">
        <v>23197425</v>
      </c>
      <c r="E1739" s="17" t="s">
        <v>3201</v>
      </c>
      <c r="F1739" s="19">
        <v>23197425</v>
      </c>
      <c r="G1739" s="31"/>
      <c r="H1739" s="31"/>
      <c r="I1739" s="19"/>
      <c r="J1739" s="22"/>
      <c r="K1739" s="21"/>
      <c r="L1739" s="22"/>
      <c r="M1739" s="19"/>
      <c r="N1739" s="20"/>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row>
    <row r="1740" spans="1:45" x14ac:dyDescent="0.3">
      <c r="A1740" s="410" t="s">
        <v>3202</v>
      </c>
      <c r="B1740" s="17" t="s">
        <v>3203</v>
      </c>
      <c r="C1740" s="19" t="s">
        <v>1368</v>
      </c>
      <c r="D1740" s="19">
        <v>23202263</v>
      </c>
      <c r="E1740" s="17" t="s">
        <v>3203</v>
      </c>
      <c r="F1740" s="19">
        <v>23202263</v>
      </c>
      <c r="G1740" s="31"/>
      <c r="H1740" s="31"/>
      <c r="I1740" s="19"/>
      <c r="J1740" s="22"/>
      <c r="K1740" s="18"/>
      <c r="L1740" s="19"/>
      <c r="M1740" s="19"/>
      <c r="N1740" s="20"/>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row>
    <row r="1741" spans="1:45" x14ac:dyDescent="0.3">
      <c r="A1741" s="410" t="s">
        <v>3204</v>
      </c>
      <c r="B1741" s="17" t="s">
        <v>3205</v>
      </c>
      <c r="C1741" s="19" t="s">
        <v>1368</v>
      </c>
      <c r="D1741" s="19">
        <v>23217802</v>
      </c>
      <c r="E1741" s="17" t="s">
        <v>3205</v>
      </c>
      <c r="F1741" s="19">
        <v>23217802</v>
      </c>
      <c r="G1741" s="31"/>
      <c r="H1741" s="31"/>
      <c r="I1741" s="19"/>
      <c r="J1741" s="22"/>
      <c r="K1741" s="18"/>
      <c r="L1741" s="19"/>
      <c r="M1741" s="19"/>
      <c r="N1741" s="20"/>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row>
    <row r="1742" spans="1:45" x14ac:dyDescent="0.3">
      <c r="A1742" s="410" t="s">
        <v>3206</v>
      </c>
      <c r="B1742" s="17" t="s">
        <v>3207</v>
      </c>
      <c r="C1742" s="19" t="s">
        <v>1368</v>
      </c>
      <c r="D1742" s="19">
        <v>23198478</v>
      </c>
      <c r="E1742" s="17" t="s">
        <v>3207</v>
      </c>
      <c r="F1742" s="19">
        <v>23198478</v>
      </c>
      <c r="G1742" s="31"/>
      <c r="H1742" s="31"/>
      <c r="I1742" s="19"/>
      <c r="J1742" s="22"/>
      <c r="K1742" s="18"/>
      <c r="L1742" s="19"/>
      <c r="M1742" s="19"/>
      <c r="N1742" s="20"/>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row>
    <row r="1743" spans="1:45" x14ac:dyDescent="0.3">
      <c r="A1743" s="410" t="s">
        <v>3208</v>
      </c>
      <c r="B1743" s="17" t="s">
        <v>3209</v>
      </c>
      <c r="C1743" s="19" t="s">
        <v>1368</v>
      </c>
      <c r="D1743" s="19">
        <v>23198348</v>
      </c>
      <c r="E1743" s="17" t="s">
        <v>3209</v>
      </c>
      <c r="F1743" s="19">
        <v>23198348</v>
      </c>
      <c r="G1743" s="31"/>
      <c r="H1743" s="31"/>
      <c r="I1743" s="19"/>
      <c r="J1743" s="22"/>
      <c r="K1743" s="18"/>
      <c r="L1743" s="19"/>
      <c r="M1743" s="19"/>
      <c r="N1743" s="20"/>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row>
    <row r="1744" spans="1:45" x14ac:dyDescent="0.3">
      <c r="A1744" s="410" t="s">
        <v>3210</v>
      </c>
      <c r="B1744" s="17" t="s">
        <v>3211</v>
      </c>
      <c r="C1744" s="19" t="s">
        <v>1368</v>
      </c>
      <c r="D1744" s="19">
        <v>23198265</v>
      </c>
      <c r="E1744" s="17" t="s">
        <v>3211</v>
      </c>
      <c r="F1744" s="19">
        <v>23198265</v>
      </c>
      <c r="G1744" s="31"/>
      <c r="H1744" s="31"/>
      <c r="I1744" s="19"/>
      <c r="J1744" s="22"/>
      <c r="K1744" s="18"/>
      <c r="L1744" s="19"/>
      <c r="M1744" s="19"/>
      <c r="N1744" s="20"/>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row>
    <row r="1745" spans="1:45" x14ac:dyDescent="0.3">
      <c r="A1745" s="410" t="s">
        <v>3212</v>
      </c>
      <c r="B1745" s="17" t="s">
        <v>3213</v>
      </c>
      <c r="C1745" s="19" t="s">
        <v>1368</v>
      </c>
      <c r="D1745" s="19">
        <v>23116466</v>
      </c>
      <c r="E1745" s="17" t="s">
        <v>3213</v>
      </c>
      <c r="F1745" s="19">
        <v>23116466</v>
      </c>
      <c r="G1745" s="31"/>
      <c r="H1745" s="31"/>
      <c r="I1745" s="19"/>
      <c r="J1745" s="22"/>
      <c r="K1745" s="18"/>
      <c r="L1745" s="19"/>
      <c r="M1745" s="19"/>
      <c r="N1745" s="20"/>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row>
    <row r="1746" spans="1:45" x14ac:dyDescent="0.3">
      <c r="A1746" s="410" t="s">
        <v>3214</v>
      </c>
      <c r="B1746" s="17" t="s">
        <v>3215</v>
      </c>
      <c r="C1746" s="19" t="s">
        <v>1368</v>
      </c>
      <c r="D1746" s="19">
        <v>23201367</v>
      </c>
      <c r="E1746" s="17" t="s">
        <v>3215</v>
      </c>
      <c r="F1746" s="19">
        <v>23201367</v>
      </c>
      <c r="G1746" s="31"/>
      <c r="H1746" s="31"/>
      <c r="I1746" s="19"/>
      <c r="J1746" s="22"/>
      <c r="K1746" s="18"/>
      <c r="L1746" s="19"/>
      <c r="M1746" s="19"/>
      <c r="N1746" s="20"/>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row>
    <row r="1747" spans="1:45" x14ac:dyDescent="0.3">
      <c r="A1747" s="410" t="s">
        <v>3216</v>
      </c>
      <c r="B1747" s="17" t="s">
        <v>3217</v>
      </c>
      <c r="C1747" s="19" t="s">
        <v>1368</v>
      </c>
      <c r="D1747" s="19">
        <v>23138643</v>
      </c>
      <c r="E1747" s="17" t="s">
        <v>3217</v>
      </c>
      <c r="F1747" s="19">
        <v>23138643</v>
      </c>
      <c r="G1747" s="31"/>
      <c r="H1747" s="31"/>
      <c r="I1747" s="19"/>
      <c r="J1747" s="22"/>
      <c r="K1747" s="18"/>
      <c r="L1747" s="19"/>
      <c r="M1747" s="19"/>
      <c r="N1747" s="20"/>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row>
    <row r="1748" spans="1:45" x14ac:dyDescent="0.3">
      <c r="A1748" s="410" t="s">
        <v>3218</v>
      </c>
      <c r="B1748" s="17" t="s">
        <v>3219</v>
      </c>
      <c r="C1748" s="19" t="s">
        <v>1368</v>
      </c>
      <c r="D1748" s="19">
        <v>23162179</v>
      </c>
      <c r="E1748" s="17" t="s">
        <v>3219</v>
      </c>
      <c r="F1748" s="19">
        <v>23162179</v>
      </c>
      <c r="G1748" s="31"/>
      <c r="H1748" s="31"/>
      <c r="I1748" s="19"/>
      <c r="J1748" s="22"/>
      <c r="K1748" s="18"/>
      <c r="L1748" s="19"/>
      <c r="M1748" s="19"/>
      <c r="N1748" s="20"/>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row>
    <row r="1749" spans="1:45" x14ac:dyDescent="0.3">
      <c r="A1749" s="410" t="s">
        <v>3220</v>
      </c>
      <c r="B1749" s="17" t="s">
        <v>3221</v>
      </c>
      <c r="C1749" s="19" t="s">
        <v>1368</v>
      </c>
      <c r="D1749" s="19">
        <v>23213095</v>
      </c>
      <c r="E1749" s="17" t="s">
        <v>3221</v>
      </c>
      <c r="F1749" s="19">
        <v>23213095</v>
      </c>
      <c r="G1749" s="31"/>
      <c r="H1749" s="31"/>
      <c r="I1749" s="19"/>
      <c r="J1749" s="22"/>
      <c r="K1749" s="18"/>
      <c r="L1749" s="19"/>
      <c r="M1749" s="19"/>
      <c r="N1749" s="20"/>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row>
    <row r="1750" spans="1:45" x14ac:dyDescent="0.3">
      <c r="A1750" s="410" t="s">
        <v>3222</v>
      </c>
      <c r="B1750" s="17" t="s">
        <v>3223</v>
      </c>
      <c r="C1750" s="19" t="s">
        <v>1368</v>
      </c>
      <c r="D1750" s="19">
        <v>23201361</v>
      </c>
      <c r="E1750" s="17" t="s">
        <v>3223</v>
      </c>
      <c r="F1750" s="19">
        <v>23201361</v>
      </c>
      <c r="G1750" s="31"/>
      <c r="H1750" s="31"/>
      <c r="I1750" s="19"/>
      <c r="J1750" s="19"/>
      <c r="K1750" s="21"/>
      <c r="L1750" s="22"/>
      <c r="M1750" s="19"/>
      <c r="N1750" s="20"/>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row>
    <row r="1751" spans="1:45" x14ac:dyDescent="0.3">
      <c r="A1751" s="410" t="s">
        <v>3224</v>
      </c>
      <c r="B1751" s="17" t="s">
        <v>3225</v>
      </c>
      <c r="C1751" s="19" t="s">
        <v>1368</v>
      </c>
      <c r="D1751" s="19">
        <v>23162963</v>
      </c>
      <c r="E1751" s="17" t="s">
        <v>3225</v>
      </c>
      <c r="F1751" s="19">
        <v>23162963</v>
      </c>
      <c r="G1751" s="31"/>
      <c r="H1751" s="31"/>
      <c r="I1751" s="19"/>
      <c r="J1751" s="19"/>
      <c r="K1751" s="18"/>
      <c r="L1751" s="19"/>
      <c r="M1751" s="19"/>
      <c r="N1751" s="20"/>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row>
    <row r="1752" spans="1:45" x14ac:dyDescent="0.3">
      <c r="A1752" s="410" t="s">
        <v>3226</v>
      </c>
      <c r="B1752" s="17" t="s">
        <v>3227</v>
      </c>
      <c r="C1752" s="19" t="s">
        <v>1368</v>
      </c>
      <c r="D1752" s="19">
        <v>23161873</v>
      </c>
      <c r="E1752" s="17" t="s">
        <v>3227</v>
      </c>
      <c r="F1752" s="19">
        <v>23161873</v>
      </c>
      <c r="G1752" s="31"/>
      <c r="H1752" s="31"/>
      <c r="I1752" s="19"/>
      <c r="J1752" s="19"/>
      <c r="K1752" s="18"/>
      <c r="L1752" s="19"/>
      <c r="M1752" s="19"/>
      <c r="N1752" s="20"/>
      <c r="O1752" s="19"/>
      <c r="P1752" s="19"/>
      <c r="Q1752" s="19"/>
      <c r="R1752" s="19"/>
      <c r="S1752" s="19"/>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row>
    <row r="1753" spans="1:45" x14ac:dyDescent="0.3">
      <c r="A1753" s="410" t="s">
        <v>3228</v>
      </c>
      <c r="B1753" s="17" t="s">
        <v>3229</v>
      </c>
      <c r="C1753" s="19" t="s">
        <v>1368</v>
      </c>
      <c r="D1753" s="19">
        <v>23225422</v>
      </c>
      <c r="E1753" s="17" t="s">
        <v>3229</v>
      </c>
      <c r="F1753" s="19">
        <v>23225422</v>
      </c>
      <c r="G1753" s="31"/>
      <c r="H1753" s="31"/>
      <c r="I1753" s="19"/>
      <c r="J1753" s="19"/>
      <c r="K1753" s="18"/>
      <c r="L1753" s="19"/>
      <c r="M1753" s="19"/>
      <c r="N1753" s="20"/>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row>
    <row r="1754" spans="1:45" x14ac:dyDescent="0.3">
      <c r="A1754" s="410" t="s">
        <v>3230</v>
      </c>
      <c r="B1754" s="17" t="s">
        <v>3231</v>
      </c>
      <c r="C1754" s="19" t="s">
        <v>1368</v>
      </c>
      <c r="D1754" s="19">
        <v>23210522</v>
      </c>
      <c r="E1754" s="17" t="s">
        <v>3231</v>
      </c>
      <c r="F1754" s="19">
        <v>23210522</v>
      </c>
      <c r="G1754" s="31"/>
      <c r="H1754" s="31"/>
      <c r="I1754" s="19"/>
      <c r="J1754" s="19"/>
      <c r="K1754" s="18"/>
      <c r="L1754" s="19"/>
      <c r="M1754" s="19"/>
      <c r="N1754" s="20"/>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row>
    <row r="1755" spans="1:45" x14ac:dyDescent="0.3">
      <c r="A1755" s="410" t="s">
        <v>3232</v>
      </c>
      <c r="B1755" s="17" t="s">
        <v>3233</v>
      </c>
      <c r="C1755" s="19" t="s">
        <v>1368</v>
      </c>
      <c r="D1755" s="19">
        <v>23020811</v>
      </c>
      <c r="E1755" s="17" t="s">
        <v>3233</v>
      </c>
      <c r="F1755" s="19">
        <v>23020811</v>
      </c>
      <c r="G1755" s="31"/>
      <c r="H1755" s="31"/>
      <c r="I1755" s="19"/>
      <c r="J1755" s="19"/>
      <c r="K1755" s="18"/>
      <c r="L1755" s="19"/>
      <c r="M1755" s="19"/>
      <c r="N1755" s="20"/>
      <c r="O1755" s="19"/>
      <c r="P1755" s="19"/>
      <c r="Q1755" s="19"/>
      <c r="R1755" s="19"/>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row>
    <row r="1756" spans="1:45" x14ac:dyDescent="0.3">
      <c r="A1756" s="410" t="s">
        <v>3234</v>
      </c>
      <c r="B1756" s="17" t="s">
        <v>3235</v>
      </c>
      <c r="C1756" s="19" t="s">
        <v>1368</v>
      </c>
      <c r="D1756" s="19">
        <v>23183079</v>
      </c>
      <c r="E1756" s="17" t="s">
        <v>3235</v>
      </c>
      <c r="F1756" s="19">
        <v>23183079</v>
      </c>
      <c r="G1756" s="31"/>
      <c r="H1756" s="31"/>
      <c r="I1756" s="19"/>
      <c r="J1756" s="19"/>
      <c r="K1756" s="18"/>
      <c r="L1756" s="19"/>
      <c r="M1756" s="19"/>
      <c r="N1756" s="20"/>
      <c r="O1756" s="19"/>
      <c r="P1756" s="19"/>
      <c r="Q1756" s="19"/>
      <c r="R1756" s="19"/>
      <c r="S1756" s="19"/>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row>
    <row r="1757" spans="1:45" x14ac:dyDescent="0.3">
      <c r="A1757" s="410" t="s">
        <v>3236</v>
      </c>
      <c r="B1757" s="17" t="s">
        <v>3237</v>
      </c>
      <c r="C1757" s="19" t="s">
        <v>1368</v>
      </c>
      <c r="D1757" s="19">
        <v>23189680</v>
      </c>
      <c r="E1757" s="17" t="s">
        <v>3237</v>
      </c>
      <c r="F1757" s="19">
        <v>23189680</v>
      </c>
      <c r="G1757" s="31"/>
      <c r="H1757" s="31"/>
      <c r="I1757" s="19"/>
      <c r="J1757" s="19"/>
      <c r="K1757" s="18"/>
      <c r="L1757" s="19"/>
      <c r="M1757" s="19"/>
      <c r="N1757" s="20"/>
      <c r="O1757" s="19"/>
      <c r="P1757" s="19"/>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row>
    <row r="1758" spans="1:45" x14ac:dyDescent="0.3">
      <c r="A1758" s="410" t="s">
        <v>3238</v>
      </c>
      <c r="B1758" s="17" t="s">
        <v>3239</v>
      </c>
      <c r="C1758" s="19" t="s">
        <v>1368</v>
      </c>
      <c r="D1758" s="19">
        <v>23217987</v>
      </c>
      <c r="E1758" s="17" t="s">
        <v>3239</v>
      </c>
      <c r="F1758" s="19">
        <v>23217987</v>
      </c>
      <c r="G1758" s="31"/>
      <c r="H1758" s="31"/>
      <c r="I1758" s="19"/>
      <c r="J1758" s="19"/>
      <c r="K1758" s="18"/>
      <c r="L1758" s="19"/>
      <c r="M1758" s="19"/>
      <c r="N1758" s="20"/>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row>
    <row r="1759" spans="1:45" x14ac:dyDescent="0.3">
      <c r="A1759" s="410" t="s">
        <v>3240</v>
      </c>
      <c r="B1759" s="17" t="s">
        <v>3241</v>
      </c>
      <c r="C1759" s="19" t="s">
        <v>1368</v>
      </c>
      <c r="D1759" s="19">
        <v>23189251</v>
      </c>
      <c r="E1759" s="17" t="s">
        <v>3241</v>
      </c>
      <c r="F1759" s="19">
        <v>23189251</v>
      </c>
      <c r="G1759" s="31"/>
      <c r="H1759" s="31"/>
      <c r="I1759" s="19"/>
      <c r="J1759" s="19"/>
      <c r="K1759" s="18"/>
      <c r="L1759" s="19"/>
      <c r="M1759" s="19"/>
      <c r="N1759" s="20"/>
      <c r="O1759" s="19"/>
      <c r="P1759" s="19"/>
      <c r="Q1759" s="19"/>
      <c r="R1759" s="19"/>
      <c r="S1759" s="19"/>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row>
    <row r="1760" spans="1:45" x14ac:dyDescent="0.3">
      <c r="A1760" s="410" t="s">
        <v>3242</v>
      </c>
      <c r="B1760" s="17" t="s">
        <v>3243</v>
      </c>
      <c r="C1760" s="19" t="s">
        <v>1368</v>
      </c>
      <c r="D1760" s="19">
        <v>23181231</v>
      </c>
      <c r="E1760" s="17" t="s">
        <v>3243</v>
      </c>
      <c r="F1760" s="19">
        <v>23181231</v>
      </c>
      <c r="G1760" s="31"/>
      <c r="H1760" s="31"/>
      <c r="I1760" s="19"/>
      <c r="J1760" s="19"/>
      <c r="K1760" s="18"/>
      <c r="L1760" s="19"/>
      <c r="M1760" s="19"/>
      <c r="N1760" s="20"/>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row>
    <row r="1761" spans="1:45" x14ac:dyDescent="0.3">
      <c r="A1761" s="410" t="s">
        <v>3244</v>
      </c>
      <c r="B1761" s="17" t="s">
        <v>3245</v>
      </c>
      <c r="C1761" s="19" t="s">
        <v>1368</v>
      </c>
      <c r="D1761" s="19">
        <v>23198474</v>
      </c>
      <c r="E1761" s="17" t="s">
        <v>3245</v>
      </c>
      <c r="F1761" s="19">
        <v>23198474</v>
      </c>
      <c r="G1761" s="31"/>
      <c r="H1761" s="31"/>
      <c r="I1761" s="19"/>
      <c r="J1761" s="19"/>
      <c r="K1761" s="18"/>
      <c r="L1761" s="19"/>
      <c r="M1761" s="19"/>
      <c r="N1761" s="20"/>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row>
    <row r="1762" spans="1:45" x14ac:dyDescent="0.3">
      <c r="A1762" s="410" t="s">
        <v>3246</v>
      </c>
      <c r="B1762" s="17" t="s">
        <v>3247</v>
      </c>
      <c r="C1762" s="19" t="s">
        <v>1368</v>
      </c>
      <c r="D1762" s="19">
        <v>23182587</v>
      </c>
      <c r="E1762" s="17" t="s">
        <v>3247</v>
      </c>
      <c r="F1762" s="19">
        <v>23182587</v>
      </c>
      <c r="G1762" s="31"/>
      <c r="H1762" s="31"/>
      <c r="I1762" s="19"/>
      <c r="J1762" s="19"/>
      <c r="K1762" s="18"/>
      <c r="L1762" s="19"/>
      <c r="M1762" s="19"/>
      <c r="N1762" s="20"/>
      <c r="O1762" s="19"/>
      <c r="P1762" s="19"/>
      <c r="Q1762" s="19"/>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row>
    <row r="1763" spans="1:45" x14ac:dyDescent="0.3">
      <c r="A1763" s="410" t="s">
        <v>3248</v>
      </c>
      <c r="B1763" s="17" t="s">
        <v>3249</v>
      </c>
      <c r="C1763" s="19" t="s">
        <v>1368</v>
      </c>
      <c r="D1763" s="19">
        <v>23226024</v>
      </c>
      <c r="E1763" s="17" t="s">
        <v>3249</v>
      </c>
      <c r="F1763" s="19">
        <v>23226024</v>
      </c>
      <c r="G1763" s="31"/>
      <c r="H1763" s="31"/>
      <c r="I1763" s="19"/>
      <c r="J1763" s="19"/>
      <c r="K1763" s="18"/>
      <c r="L1763" s="19"/>
      <c r="M1763" s="19"/>
      <c r="N1763" s="20"/>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row>
    <row r="1764" spans="1:45" x14ac:dyDescent="0.3">
      <c r="A1764" s="410" t="s">
        <v>3250</v>
      </c>
      <c r="B1764" s="17" t="s">
        <v>3251</v>
      </c>
      <c r="C1764" s="19" t="s">
        <v>1368</v>
      </c>
      <c r="D1764" s="19">
        <v>23198993</v>
      </c>
      <c r="E1764" s="17" t="s">
        <v>3251</v>
      </c>
      <c r="F1764" s="19">
        <v>23198993</v>
      </c>
      <c r="G1764" s="31"/>
      <c r="H1764" s="31"/>
      <c r="I1764" s="19"/>
      <c r="J1764" s="19"/>
      <c r="K1764" s="18"/>
      <c r="L1764" s="19"/>
      <c r="M1764" s="19"/>
      <c r="N1764" s="20"/>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row>
    <row r="1765" spans="1:45" x14ac:dyDescent="0.3">
      <c r="A1765" s="410" t="s">
        <v>3252</v>
      </c>
      <c r="B1765" s="17" t="s">
        <v>3253</v>
      </c>
      <c r="C1765" s="19" t="s">
        <v>1368</v>
      </c>
      <c r="D1765" s="19">
        <v>23181588</v>
      </c>
      <c r="E1765" s="17" t="s">
        <v>3253</v>
      </c>
      <c r="F1765" s="19">
        <v>23181588</v>
      </c>
      <c r="G1765" s="31"/>
      <c r="H1765" s="31"/>
      <c r="I1765" s="19"/>
      <c r="J1765" s="19"/>
      <c r="K1765" s="18"/>
      <c r="L1765" s="19"/>
      <c r="M1765" s="19"/>
      <c r="N1765" s="20"/>
      <c r="O1765" s="19"/>
      <c r="P1765" s="19"/>
      <c r="Q1765" s="19"/>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row>
    <row r="1766" spans="1:45" x14ac:dyDescent="0.3">
      <c r="A1766" s="410" t="s">
        <v>3254</v>
      </c>
      <c r="B1766" s="17" t="s">
        <v>3255</v>
      </c>
      <c r="C1766" s="19" t="s">
        <v>1368</v>
      </c>
      <c r="D1766" s="19">
        <v>23198972</v>
      </c>
      <c r="E1766" s="17" t="s">
        <v>3255</v>
      </c>
      <c r="F1766" s="19">
        <v>23198972</v>
      </c>
      <c r="G1766" s="31"/>
      <c r="H1766" s="31"/>
      <c r="I1766" s="19"/>
      <c r="J1766" s="19"/>
      <c r="K1766" s="18"/>
      <c r="L1766" s="19"/>
      <c r="M1766" s="19"/>
      <c r="N1766" s="20"/>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row>
    <row r="1767" spans="1:45" x14ac:dyDescent="0.3">
      <c r="A1767" s="410" t="s">
        <v>3256</v>
      </c>
      <c r="B1767" s="17" t="s">
        <v>3257</v>
      </c>
      <c r="C1767" s="19" t="s">
        <v>1368</v>
      </c>
      <c r="D1767" s="19">
        <v>23163282</v>
      </c>
      <c r="E1767" s="17" t="s">
        <v>3257</v>
      </c>
      <c r="F1767" s="19">
        <v>23163282</v>
      </c>
      <c r="G1767" s="31"/>
      <c r="H1767" s="31"/>
      <c r="I1767" s="19"/>
      <c r="J1767" s="19"/>
      <c r="K1767" s="18"/>
      <c r="L1767" s="19"/>
      <c r="M1767" s="19"/>
      <c r="N1767" s="20"/>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row>
    <row r="1768" spans="1:45" x14ac:dyDescent="0.3">
      <c r="A1768" s="410" t="s">
        <v>3258</v>
      </c>
      <c r="B1768" s="17" t="s">
        <v>3259</v>
      </c>
      <c r="C1768" s="19" t="s">
        <v>1368</v>
      </c>
      <c r="D1768" s="19">
        <v>23198472</v>
      </c>
      <c r="E1768" s="17" t="s">
        <v>3259</v>
      </c>
      <c r="F1768" s="19">
        <v>23198472</v>
      </c>
      <c r="G1768" s="31"/>
      <c r="H1768" s="31"/>
      <c r="I1768" s="19"/>
      <c r="J1768" s="19"/>
      <c r="K1768" s="18"/>
      <c r="L1768" s="19"/>
      <c r="M1768" s="19"/>
      <c r="N1768" s="20"/>
      <c r="O1768" s="19"/>
      <c r="P1768" s="19"/>
      <c r="Q1768" s="19"/>
      <c r="R1768" s="19"/>
      <c r="S1768" s="19"/>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row>
    <row r="1769" spans="1:45" x14ac:dyDescent="0.3">
      <c r="A1769" s="410" t="s">
        <v>3260</v>
      </c>
      <c r="B1769" s="17" t="s">
        <v>3261</v>
      </c>
      <c r="C1769" s="19" t="s">
        <v>1368</v>
      </c>
      <c r="D1769" s="19">
        <v>23182232</v>
      </c>
      <c r="E1769" s="17" t="s">
        <v>3261</v>
      </c>
      <c r="F1769" s="19">
        <v>23182232</v>
      </c>
      <c r="G1769" s="31"/>
      <c r="H1769" s="31"/>
      <c r="I1769" s="19"/>
      <c r="J1769" s="19"/>
      <c r="K1769" s="18"/>
      <c r="L1769" s="19"/>
      <c r="M1769" s="19"/>
      <c r="N1769" s="20"/>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row>
    <row r="1770" spans="1:45" x14ac:dyDescent="0.3">
      <c r="A1770" s="410" t="s">
        <v>3262</v>
      </c>
      <c r="B1770" s="17" t="s">
        <v>3263</v>
      </c>
      <c r="C1770" s="19" t="s">
        <v>1368</v>
      </c>
      <c r="D1770" s="19">
        <v>23213328</v>
      </c>
      <c r="E1770" s="17" t="s">
        <v>3263</v>
      </c>
      <c r="F1770" s="19">
        <v>23213328</v>
      </c>
      <c r="G1770" s="31"/>
      <c r="H1770" s="31"/>
      <c r="I1770" s="19"/>
      <c r="J1770" s="19"/>
      <c r="K1770" s="18"/>
      <c r="L1770" s="19"/>
      <c r="M1770" s="19"/>
      <c r="N1770" s="20"/>
      <c r="O1770" s="19"/>
      <c r="P1770" s="19"/>
      <c r="Q1770" s="19"/>
      <c r="R1770" s="19"/>
      <c r="S1770" s="19"/>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row>
    <row r="1771" spans="1:45" x14ac:dyDescent="0.3">
      <c r="A1771" s="410" t="s">
        <v>3264</v>
      </c>
      <c r="B1771" s="17" t="s">
        <v>3265</v>
      </c>
      <c r="C1771" s="19" t="s">
        <v>1368</v>
      </c>
      <c r="D1771" s="19">
        <v>23198450</v>
      </c>
      <c r="E1771" s="17" t="s">
        <v>3265</v>
      </c>
      <c r="F1771" s="19">
        <v>23198450</v>
      </c>
      <c r="G1771" s="31"/>
      <c r="H1771" s="31"/>
      <c r="I1771" s="19"/>
      <c r="J1771" s="19"/>
      <c r="K1771" s="18"/>
      <c r="L1771" s="19"/>
      <c r="M1771" s="19"/>
      <c r="N1771" s="20"/>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row>
    <row r="1772" spans="1:45" x14ac:dyDescent="0.3">
      <c r="A1772" s="410" t="s">
        <v>3266</v>
      </c>
      <c r="B1772" s="17" t="s">
        <v>3267</v>
      </c>
      <c r="C1772" s="19" t="s">
        <v>1368</v>
      </c>
      <c r="D1772" s="19">
        <v>23003694</v>
      </c>
      <c r="E1772" s="17" t="s">
        <v>3267</v>
      </c>
      <c r="F1772" s="19">
        <v>23003694</v>
      </c>
      <c r="G1772" s="31"/>
      <c r="H1772" s="31"/>
      <c r="I1772" s="19"/>
      <c r="J1772" s="19"/>
      <c r="K1772" s="18"/>
      <c r="L1772" s="19"/>
      <c r="M1772" s="19"/>
      <c r="N1772" s="20"/>
      <c r="O1772" s="19"/>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row>
    <row r="1773" spans="1:45" x14ac:dyDescent="0.3">
      <c r="A1773" s="410" t="s">
        <v>3268</v>
      </c>
      <c r="B1773" s="17" t="s">
        <v>3269</v>
      </c>
      <c r="C1773" s="19" t="s">
        <v>1368</v>
      </c>
      <c r="D1773" s="19">
        <v>23157514</v>
      </c>
      <c r="E1773" s="17" t="s">
        <v>3269</v>
      </c>
      <c r="F1773" s="19">
        <v>23157514</v>
      </c>
      <c r="G1773" s="31"/>
      <c r="H1773" s="31"/>
      <c r="I1773" s="19"/>
      <c r="J1773" s="19"/>
      <c r="K1773" s="18"/>
      <c r="L1773" s="19"/>
      <c r="M1773" s="19"/>
      <c r="N1773" s="20"/>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row>
    <row r="1774" spans="1:45" x14ac:dyDescent="0.3">
      <c r="A1774" s="410" t="s">
        <v>3270</v>
      </c>
      <c r="B1774" s="17" t="s">
        <v>3271</v>
      </c>
      <c r="C1774" s="19" t="s">
        <v>1368</v>
      </c>
      <c r="D1774" s="19">
        <v>23199000</v>
      </c>
      <c r="E1774" s="17" t="s">
        <v>3271</v>
      </c>
      <c r="F1774" s="19">
        <v>23199000</v>
      </c>
      <c r="G1774" s="31"/>
      <c r="H1774" s="31"/>
      <c r="I1774" s="19"/>
      <c r="J1774" s="19"/>
      <c r="K1774" s="18"/>
      <c r="L1774" s="19"/>
      <c r="M1774" s="19"/>
      <c r="N1774" s="20"/>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row>
    <row r="1775" spans="1:45" x14ac:dyDescent="0.3">
      <c r="A1775" s="410" t="s">
        <v>3272</v>
      </c>
      <c r="B1775" s="17" t="s">
        <v>3273</v>
      </c>
      <c r="C1775" s="19" t="s">
        <v>1368</v>
      </c>
      <c r="D1775" s="19">
        <v>23198207</v>
      </c>
      <c r="E1775" s="17" t="s">
        <v>3273</v>
      </c>
      <c r="F1775" s="19">
        <v>23198207</v>
      </c>
      <c r="G1775" s="31"/>
      <c r="H1775" s="31"/>
      <c r="I1775" s="19"/>
      <c r="J1775" s="19"/>
      <c r="K1775" s="18"/>
      <c r="L1775" s="19"/>
      <c r="M1775" s="19"/>
      <c r="N1775" s="20"/>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row>
    <row r="1776" spans="1:45" x14ac:dyDescent="0.3">
      <c r="A1776" s="410" t="s">
        <v>3274</v>
      </c>
      <c r="B1776" s="17" t="s">
        <v>3275</v>
      </c>
      <c r="C1776" s="19" t="s">
        <v>1368</v>
      </c>
      <c r="D1776" s="19">
        <v>23115582</v>
      </c>
      <c r="E1776" s="17" t="s">
        <v>3275</v>
      </c>
      <c r="F1776" s="19">
        <v>23115582</v>
      </c>
      <c r="G1776" s="31"/>
      <c r="H1776" s="31"/>
      <c r="I1776" s="19"/>
      <c r="J1776" s="19"/>
      <c r="K1776" s="18"/>
      <c r="L1776" s="19"/>
      <c r="M1776" s="19"/>
      <c r="N1776" s="20"/>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row>
    <row r="1777" spans="1:45" x14ac:dyDescent="0.3">
      <c r="A1777" s="410" t="s">
        <v>3276</v>
      </c>
      <c r="B1777" s="17" t="s">
        <v>3277</v>
      </c>
      <c r="C1777" s="19" t="s">
        <v>1368</v>
      </c>
      <c r="D1777" s="19">
        <v>23223105</v>
      </c>
      <c r="E1777" s="17" t="s">
        <v>3277</v>
      </c>
      <c r="F1777" s="19">
        <v>23223105</v>
      </c>
      <c r="G1777" s="31"/>
      <c r="H1777" s="31"/>
      <c r="I1777" s="19"/>
      <c r="J1777" s="19"/>
      <c r="K1777" s="18"/>
      <c r="L1777" s="19"/>
      <c r="M1777" s="19"/>
      <c r="N1777" s="20"/>
      <c r="O1777" s="19"/>
      <c r="P1777" s="19"/>
      <c r="Q1777" s="19"/>
      <c r="R1777" s="19"/>
      <c r="S1777" s="19"/>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row>
    <row r="1778" spans="1:45" x14ac:dyDescent="0.3">
      <c r="A1778" s="410" t="s">
        <v>3278</v>
      </c>
      <c r="B1778" s="17" t="s">
        <v>3279</v>
      </c>
      <c r="C1778" s="19" t="s">
        <v>1368</v>
      </c>
      <c r="D1778" s="19">
        <v>23198262</v>
      </c>
      <c r="E1778" s="17" t="s">
        <v>3279</v>
      </c>
      <c r="F1778" s="19">
        <v>23198262</v>
      </c>
      <c r="G1778" s="31"/>
      <c r="H1778" s="31"/>
      <c r="I1778" s="19"/>
      <c r="J1778" s="19"/>
      <c r="K1778" s="18"/>
      <c r="L1778" s="19"/>
      <c r="M1778" s="19"/>
      <c r="N1778" s="20"/>
      <c r="O1778" s="19"/>
      <c r="P1778" s="19"/>
      <c r="Q1778" s="19"/>
      <c r="R1778" s="19"/>
      <c r="S1778" s="19"/>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row>
    <row r="1779" spans="1:45" x14ac:dyDescent="0.3">
      <c r="A1779" s="410" t="s">
        <v>3280</v>
      </c>
      <c r="B1779" s="17" t="s">
        <v>3281</v>
      </c>
      <c r="C1779" s="19" t="s">
        <v>1368</v>
      </c>
      <c r="D1779" s="19">
        <v>23199409</v>
      </c>
      <c r="E1779" s="17" t="s">
        <v>3281</v>
      </c>
      <c r="F1779" s="19">
        <v>23199409</v>
      </c>
      <c r="G1779" s="31"/>
      <c r="H1779" s="31"/>
      <c r="I1779" s="19"/>
      <c r="J1779" s="19"/>
      <c r="K1779" s="18"/>
      <c r="L1779" s="19"/>
      <c r="M1779" s="19"/>
      <c r="N1779" s="20"/>
      <c r="O1779" s="19"/>
      <c r="P1779" s="19"/>
      <c r="Q1779" s="19"/>
      <c r="R1779" s="19"/>
      <c r="S1779" s="19"/>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row>
    <row r="1780" spans="1:45" x14ac:dyDescent="0.3">
      <c r="A1780" s="410" t="s">
        <v>3282</v>
      </c>
      <c r="B1780" s="17" t="s">
        <v>3283</v>
      </c>
      <c r="C1780" s="19" t="s">
        <v>1368</v>
      </c>
      <c r="D1780" s="19">
        <v>23217156</v>
      </c>
      <c r="E1780" s="17" t="s">
        <v>3283</v>
      </c>
      <c r="F1780" s="19">
        <v>23217156</v>
      </c>
      <c r="G1780" s="31"/>
      <c r="H1780" s="31"/>
      <c r="I1780" s="19"/>
      <c r="J1780" s="19"/>
      <c r="K1780" s="18"/>
      <c r="L1780" s="19"/>
      <c r="M1780" s="19"/>
      <c r="N1780" s="20"/>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row>
    <row r="1781" spans="1:45" x14ac:dyDescent="0.3">
      <c r="A1781" s="410" t="s">
        <v>3284</v>
      </c>
      <c r="B1781" s="17" t="s">
        <v>3285</v>
      </c>
      <c r="C1781" s="19" t="s">
        <v>1368</v>
      </c>
      <c r="D1781" s="19">
        <v>23190354</v>
      </c>
      <c r="E1781" s="17" t="s">
        <v>3285</v>
      </c>
      <c r="F1781" s="19">
        <v>23190354</v>
      </c>
      <c r="G1781" s="31"/>
      <c r="H1781" s="31"/>
      <c r="I1781" s="19"/>
      <c r="J1781" s="19"/>
      <c r="K1781" s="18"/>
      <c r="L1781" s="19"/>
      <c r="M1781" s="19"/>
      <c r="N1781" s="20"/>
      <c r="O1781" s="19"/>
      <c r="P1781" s="19"/>
      <c r="Q1781" s="19"/>
      <c r="R1781" s="19"/>
      <c r="S1781" s="19"/>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row>
    <row r="1782" spans="1:45" x14ac:dyDescent="0.3">
      <c r="A1782" s="410" t="s">
        <v>3286</v>
      </c>
      <c r="B1782" s="17" t="s">
        <v>3287</v>
      </c>
      <c r="C1782" s="19" t="s">
        <v>1368</v>
      </c>
      <c r="D1782" s="19">
        <v>23198930</v>
      </c>
      <c r="E1782" s="17" t="s">
        <v>3287</v>
      </c>
      <c r="F1782" s="19">
        <v>23198930</v>
      </c>
      <c r="G1782" s="31"/>
      <c r="H1782" s="31"/>
      <c r="I1782" s="19"/>
      <c r="J1782" s="19"/>
      <c r="K1782" s="18"/>
      <c r="L1782" s="19"/>
      <c r="M1782" s="19"/>
      <c r="N1782" s="20"/>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row>
    <row r="1783" spans="1:45" x14ac:dyDescent="0.3">
      <c r="A1783" s="410" t="s">
        <v>3288</v>
      </c>
      <c r="B1783" s="17" t="s">
        <v>3289</v>
      </c>
      <c r="C1783" s="19" t="s">
        <v>1368</v>
      </c>
      <c r="D1783" s="19">
        <v>23117562</v>
      </c>
      <c r="E1783" s="17" t="s">
        <v>3289</v>
      </c>
      <c r="F1783" s="19">
        <v>23117562</v>
      </c>
      <c r="G1783" s="31"/>
      <c r="H1783" s="31"/>
      <c r="I1783" s="19"/>
      <c r="J1783" s="19"/>
      <c r="K1783" s="18"/>
      <c r="L1783" s="19"/>
      <c r="M1783" s="19"/>
      <c r="N1783" s="20"/>
      <c r="O1783" s="19"/>
      <c r="P1783" s="19"/>
      <c r="Q1783" s="19"/>
      <c r="R1783" s="19"/>
      <c r="S1783" s="19"/>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row>
    <row r="1784" spans="1:45" x14ac:dyDescent="0.3">
      <c r="A1784" s="410" t="s">
        <v>3290</v>
      </c>
      <c r="B1784" s="17"/>
      <c r="C1784" s="19"/>
      <c r="D1784" s="18"/>
      <c r="E1784" s="17"/>
      <c r="F1784" s="19"/>
      <c r="G1784" s="31"/>
      <c r="H1784" s="31"/>
      <c r="I1784" s="19"/>
      <c r="J1784" s="19"/>
      <c r="K1784" s="18"/>
      <c r="L1784" s="19"/>
      <c r="M1784" s="19"/>
      <c r="N1784" s="20"/>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row>
    <row r="1785" spans="1:45" x14ac:dyDescent="0.3">
      <c r="A1785" s="410" t="s">
        <v>3291</v>
      </c>
      <c r="B1785" s="17"/>
      <c r="C1785" s="19"/>
      <c r="D1785" s="18"/>
      <c r="E1785" s="17"/>
      <c r="F1785" s="19"/>
      <c r="G1785" s="31"/>
      <c r="H1785" s="31"/>
      <c r="I1785" s="19"/>
      <c r="J1785" s="19"/>
      <c r="K1785" s="18"/>
      <c r="L1785" s="19"/>
      <c r="M1785" s="19"/>
      <c r="N1785" s="20"/>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row>
    <row r="1786" spans="1:45" x14ac:dyDescent="0.3">
      <c r="A1786" s="410" t="s">
        <v>3292</v>
      </c>
      <c r="B1786" s="17"/>
      <c r="C1786" s="19"/>
      <c r="D1786" s="18"/>
      <c r="E1786" s="17"/>
      <c r="F1786" s="19"/>
      <c r="G1786" s="31"/>
      <c r="H1786" s="31"/>
      <c r="I1786" s="19"/>
      <c r="J1786" s="19"/>
      <c r="K1786" s="18"/>
      <c r="L1786" s="19"/>
      <c r="M1786" s="19"/>
      <c r="N1786" s="20"/>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row>
    <row r="1787" spans="1:45" x14ac:dyDescent="0.3">
      <c r="A1787" s="410" t="s">
        <v>3293</v>
      </c>
      <c r="B1787" s="17"/>
      <c r="C1787" s="19"/>
      <c r="D1787" s="18"/>
      <c r="E1787" s="17"/>
      <c r="F1787" s="19"/>
      <c r="G1787" s="31"/>
      <c r="H1787" s="31"/>
      <c r="I1787" s="19"/>
      <c r="J1787" s="19"/>
      <c r="K1787" s="18"/>
      <c r="L1787" s="19"/>
      <c r="M1787" s="19"/>
      <c r="N1787" s="20"/>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row>
    <row r="1788" spans="1:45" x14ac:dyDescent="0.3">
      <c r="A1788" s="410" t="s">
        <v>3294</v>
      </c>
      <c r="B1788" s="17"/>
      <c r="C1788" s="19"/>
      <c r="D1788" s="18"/>
      <c r="E1788" s="18"/>
      <c r="F1788" s="19"/>
      <c r="G1788" s="31"/>
      <c r="H1788" s="31"/>
      <c r="I1788" s="19"/>
      <c r="J1788" s="19"/>
      <c r="K1788" s="18"/>
      <c r="L1788" s="19"/>
      <c r="M1788" s="19"/>
      <c r="N1788" s="20"/>
      <c r="O1788" s="19"/>
      <c r="P1788" s="19"/>
      <c r="Q1788" s="19"/>
      <c r="R1788" s="19"/>
      <c r="S1788" s="19"/>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row>
    <row r="1789" spans="1:45" x14ac:dyDescent="0.3">
      <c r="A1789" s="410" t="s">
        <v>3295</v>
      </c>
      <c r="B1789" s="17"/>
      <c r="C1789" s="19"/>
      <c r="D1789" s="18"/>
      <c r="E1789" s="18"/>
      <c r="F1789" s="19"/>
      <c r="G1789" s="31"/>
      <c r="H1789" s="31"/>
      <c r="I1789" s="19"/>
      <c r="J1789" s="19"/>
      <c r="K1789" s="18"/>
      <c r="L1789" s="19"/>
      <c r="M1789" s="19"/>
      <c r="N1789" s="20"/>
      <c r="O1789" s="19"/>
      <c r="P1789" s="19"/>
      <c r="Q1789" s="19"/>
      <c r="R1789" s="19"/>
      <c r="S1789" s="19"/>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row>
    <row r="1790" spans="1:45" x14ac:dyDescent="0.3">
      <c r="A1790" s="410" t="s">
        <v>3296</v>
      </c>
      <c r="B1790" s="17"/>
      <c r="C1790" s="19"/>
      <c r="D1790" s="18"/>
      <c r="E1790" s="18"/>
      <c r="F1790" s="19"/>
      <c r="G1790" s="31"/>
      <c r="H1790" s="31"/>
      <c r="I1790" s="19"/>
      <c r="J1790" s="19"/>
      <c r="K1790" s="18"/>
      <c r="L1790" s="19"/>
      <c r="M1790" s="19"/>
      <c r="N1790" s="20"/>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row>
    <row r="1791" spans="1:45" x14ac:dyDescent="0.3">
      <c r="A1791" s="410" t="s">
        <v>3297</v>
      </c>
      <c r="B1791" s="17"/>
      <c r="C1791" s="19"/>
      <c r="D1791" s="18"/>
      <c r="E1791" s="18"/>
      <c r="F1791" s="19"/>
      <c r="G1791" s="31"/>
      <c r="H1791" s="31"/>
      <c r="I1791" s="19"/>
      <c r="J1791" s="19"/>
      <c r="K1791" s="18"/>
      <c r="L1791" s="19"/>
      <c r="M1791" s="19"/>
      <c r="N1791" s="20"/>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row>
    <row r="1792" spans="1:45" x14ac:dyDescent="0.3">
      <c r="A1792" s="410" t="s">
        <v>3298</v>
      </c>
      <c r="B1792" s="17"/>
      <c r="C1792" s="19"/>
      <c r="D1792" s="18"/>
      <c r="E1792" s="18"/>
      <c r="F1792" s="19"/>
      <c r="G1792" s="31"/>
      <c r="H1792" s="31"/>
      <c r="I1792" s="19"/>
      <c r="J1792" s="19"/>
      <c r="K1792" s="18"/>
      <c r="L1792" s="19"/>
      <c r="M1792" s="19"/>
      <c r="N1792" s="20"/>
      <c r="O1792" s="19"/>
      <c r="P1792" s="19"/>
      <c r="Q1792" s="19"/>
      <c r="R1792" s="19"/>
      <c r="S1792" s="19"/>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row>
    <row r="1793" spans="1:45" x14ac:dyDescent="0.3">
      <c r="A1793" s="410"/>
      <c r="B1793" s="17"/>
      <c r="C1793" s="19"/>
      <c r="D1793" s="18"/>
      <c r="E1793" s="17"/>
      <c r="F1793" s="19"/>
      <c r="G1793" s="31"/>
      <c r="H1793" s="31"/>
      <c r="I1793" s="19"/>
      <c r="J1793" s="19"/>
      <c r="K1793" s="18"/>
      <c r="L1793" s="19"/>
      <c r="M1793" s="19"/>
      <c r="N1793" s="20"/>
      <c r="O1793" s="19"/>
      <c r="P1793" s="19"/>
      <c r="Q1793" s="19"/>
      <c r="R1793" s="19"/>
      <c r="S1793" s="19"/>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row>
    <row r="1794" spans="1:45" x14ac:dyDescent="0.3">
      <c r="A1794" s="410" t="s">
        <v>3299</v>
      </c>
      <c r="B1794" s="17" t="s">
        <v>3300</v>
      </c>
      <c r="C1794" s="19" t="s">
        <v>1371</v>
      </c>
      <c r="D1794" s="19">
        <v>23180324</v>
      </c>
      <c r="E1794" s="17"/>
      <c r="F1794" s="19"/>
      <c r="G1794" s="31">
        <v>45008</v>
      </c>
      <c r="H1794" s="31" t="s">
        <v>1774</v>
      </c>
      <c r="I1794" s="19" t="s">
        <v>1372</v>
      </c>
      <c r="J1794" s="19" t="s">
        <v>1789</v>
      </c>
      <c r="K1794" s="18" t="s">
        <v>1372</v>
      </c>
      <c r="L1794" s="19" t="s">
        <v>1789</v>
      </c>
      <c r="M1794" s="19" t="s">
        <v>1461</v>
      </c>
      <c r="N1794" s="20" t="s">
        <v>3301</v>
      </c>
      <c r="O1794" s="19" t="s">
        <v>1372</v>
      </c>
      <c r="P1794" s="19" t="s">
        <v>1372</v>
      </c>
      <c r="Q1794" s="19" t="s">
        <v>1372</v>
      </c>
      <c r="R1794" s="19" t="s">
        <v>1372</v>
      </c>
      <c r="S1794" s="19" t="s">
        <v>1372</v>
      </c>
      <c r="T1794" s="19" t="s">
        <v>1461</v>
      </c>
      <c r="U1794" s="19" t="s">
        <v>1372</v>
      </c>
      <c r="V1794" s="19" t="s">
        <v>1372</v>
      </c>
      <c r="W1794" s="19"/>
      <c r="X1794" s="19"/>
      <c r="Y1794" s="19"/>
      <c r="Z1794" s="19" t="s">
        <v>1372</v>
      </c>
      <c r="AA1794" s="19"/>
      <c r="AB1794" s="19"/>
      <c r="AC1794" s="19"/>
      <c r="AD1794" s="19"/>
      <c r="AE1794" s="19"/>
      <c r="AF1794" s="19"/>
      <c r="AG1794" s="19" t="s">
        <v>1372</v>
      </c>
      <c r="AH1794" s="19"/>
      <c r="AI1794" s="19"/>
      <c r="AJ1794" s="19"/>
      <c r="AK1794" s="19"/>
      <c r="AL1794" s="19" t="s">
        <v>1372</v>
      </c>
      <c r="AM1794" s="19" t="s">
        <v>1372</v>
      </c>
      <c r="AN1794" s="19"/>
      <c r="AO1794" s="19"/>
      <c r="AP1794" s="19"/>
      <c r="AQ1794" s="19"/>
      <c r="AR1794" s="19"/>
      <c r="AS1794" s="19"/>
    </row>
    <row r="1795" spans="1:45" x14ac:dyDescent="0.3">
      <c r="A1795" s="410" t="s">
        <v>3302</v>
      </c>
      <c r="B1795" s="17" t="s">
        <v>3303</v>
      </c>
      <c r="C1795" s="19" t="s">
        <v>1368</v>
      </c>
      <c r="D1795" s="19">
        <v>23188466</v>
      </c>
      <c r="E1795" s="17"/>
      <c r="F1795" s="19"/>
      <c r="G1795" s="31"/>
      <c r="H1795" s="31"/>
      <c r="I1795" s="19"/>
      <c r="J1795" s="19"/>
      <c r="K1795" s="18"/>
      <c r="L1795" s="19"/>
      <c r="M1795" s="19"/>
      <c r="N1795" s="20"/>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row>
    <row r="1796" spans="1:45" x14ac:dyDescent="0.3">
      <c r="A1796" s="410" t="s">
        <v>3304</v>
      </c>
      <c r="B1796" s="17" t="s">
        <v>3305</v>
      </c>
      <c r="C1796" s="19" t="s">
        <v>1371</v>
      </c>
      <c r="D1796" s="19">
        <v>23179749</v>
      </c>
      <c r="E1796" s="17"/>
      <c r="F1796" s="19"/>
      <c r="G1796" s="31">
        <v>45328</v>
      </c>
      <c r="H1796" s="31">
        <v>45693</v>
      </c>
      <c r="I1796" s="19" t="s">
        <v>1372</v>
      </c>
      <c r="J1796" s="19" t="s">
        <v>3306</v>
      </c>
      <c r="K1796" s="18" t="s">
        <v>1372</v>
      </c>
      <c r="L1796" s="19" t="s">
        <v>3306</v>
      </c>
      <c r="M1796" s="19" t="s">
        <v>1461</v>
      </c>
      <c r="N1796" s="20" t="s">
        <v>1462</v>
      </c>
      <c r="O1796" s="19" t="s">
        <v>1372</v>
      </c>
      <c r="P1796" s="19" t="s">
        <v>1372</v>
      </c>
      <c r="Q1796" s="19" t="s">
        <v>1372</v>
      </c>
      <c r="R1796" s="19" t="s">
        <v>1372</v>
      </c>
      <c r="S1796" s="19" t="s">
        <v>1372</v>
      </c>
      <c r="T1796" s="19" t="s">
        <v>1372</v>
      </c>
      <c r="U1796" s="19" t="s">
        <v>1372</v>
      </c>
      <c r="V1796" s="19" t="s">
        <v>1372</v>
      </c>
      <c r="W1796" s="19"/>
      <c r="X1796" s="19"/>
      <c r="Y1796" s="19"/>
      <c r="Z1796" s="19" t="s">
        <v>1372</v>
      </c>
      <c r="AA1796" s="19"/>
      <c r="AB1796" s="19"/>
      <c r="AC1796" s="19"/>
      <c r="AD1796" s="19"/>
      <c r="AE1796" s="19"/>
      <c r="AF1796" s="19"/>
      <c r="AG1796" s="19"/>
      <c r="AH1796" s="19"/>
      <c r="AI1796" s="19"/>
      <c r="AJ1796" s="19"/>
      <c r="AK1796" s="19"/>
      <c r="AL1796" s="19" t="s">
        <v>1372</v>
      </c>
      <c r="AM1796" s="19" t="s">
        <v>1372</v>
      </c>
      <c r="AN1796" s="19"/>
      <c r="AO1796" s="19"/>
      <c r="AP1796" s="19"/>
      <c r="AQ1796" s="19"/>
      <c r="AR1796" s="19" t="s">
        <v>1783</v>
      </c>
      <c r="AS1796" s="19"/>
    </row>
    <row r="1797" spans="1:45" x14ac:dyDescent="0.3">
      <c r="A1797" s="410" t="s">
        <v>3307</v>
      </c>
      <c r="B1797" s="17" t="s">
        <v>3308</v>
      </c>
      <c r="C1797" s="19" t="s">
        <v>1371</v>
      </c>
      <c r="D1797" s="19">
        <v>23195980</v>
      </c>
      <c r="E1797" s="17"/>
      <c r="F1797" s="19"/>
      <c r="G1797" s="31">
        <v>45006</v>
      </c>
      <c r="H1797" s="31" t="s">
        <v>1774</v>
      </c>
      <c r="I1797" s="19" t="s">
        <v>1372</v>
      </c>
      <c r="J1797" s="19" t="s">
        <v>1789</v>
      </c>
      <c r="K1797" s="18" t="s">
        <v>1372</v>
      </c>
      <c r="L1797" s="19" t="s">
        <v>1789</v>
      </c>
      <c r="M1797" s="19" t="s">
        <v>1461</v>
      </c>
      <c r="N1797" s="20" t="s">
        <v>3309</v>
      </c>
      <c r="O1797" s="19"/>
      <c r="P1797" s="19" t="s">
        <v>1372</v>
      </c>
      <c r="Q1797" s="19" t="s">
        <v>1372</v>
      </c>
      <c r="R1797" s="19" t="s">
        <v>1372</v>
      </c>
      <c r="S1797" s="19" t="s">
        <v>1372</v>
      </c>
      <c r="T1797" s="19" t="s">
        <v>1372</v>
      </c>
      <c r="U1797" s="19" t="s">
        <v>1372</v>
      </c>
      <c r="V1797" s="19" t="s">
        <v>1372</v>
      </c>
      <c r="W1797" s="19"/>
      <c r="X1797" s="19"/>
      <c r="Y1797" s="19"/>
      <c r="Z1797" s="19"/>
      <c r="AA1797" s="19"/>
      <c r="AB1797" s="19"/>
      <c r="AC1797" s="19"/>
      <c r="AD1797" s="19"/>
      <c r="AE1797" s="19"/>
      <c r="AF1797" s="19" t="s">
        <v>1372</v>
      </c>
      <c r="AG1797" s="19"/>
      <c r="AH1797" s="19"/>
      <c r="AI1797" s="19"/>
      <c r="AJ1797" s="19"/>
      <c r="AK1797" s="19"/>
      <c r="AL1797" s="19"/>
      <c r="AM1797" s="19" t="s">
        <v>1372</v>
      </c>
      <c r="AN1797" s="19"/>
      <c r="AO1797" s="19"/>
      <c r="AP1797" s="19"/>
      <c r="AQ1797" s="19"/>
      <c r="AR1797" s="19" t="s">
        <v>1783</v>
      </c>
      <c r="AS1797" s="19"/>
    </row>
    <row r="1798" spans="1:45" x14ac:dyDescent="0.3">
      <c r="A1798" s="410" t="s">
        <v>3310</v>
      </c>
      <c r="B1798" s="17" t="s">
        <v>3311</v>
      </c>
      <c r="C1798" s="19" t="s">
        <v>1371</v>
      </c>
      <c r="D1798" s="19">
        <v>23060059</v>
      </c>
      <c r="E1798" s="17"/>
      <c r="F1798" s="19"/>
      <c r="G1798" s="31">
        <v>45322</v>
      </c>
      <c r="H1798" s="31">
        <v>45687</v>
      </c>
      <c r="I1798" s="19" t="s">
        <v>1372</v>
      </c>
      <c r="J1798" s="19" t="s">
        <v>1373</v>
      </c>
      <c r="K1798" s="18" t="s">
        <v>1372</v>
      </c>
      <c r="L1798" s="19" t="s">
        <v>1373</v>
      </c>
      <c r="M1798" s="19" t="s">
        <v>1372</v>
      </c>
      <c r="N1798" s="20" t="s">
        <v>1462</v>
      </c>
      <c r="O1798" s="19" t="s">
        <v>1372</v>
      </c>
      <c r="P1798" s="19"/>
      <c r="Q1798" s="19"/>
      <c r="R1798" s="19" t="s">
        <v>1372</v>
      </c>
      <c r="S1798" s="19" t="s">
        <v>1372</v>
      </c>
      <c r="T1798" s="19" t="s">
        <v>1372</v>
      </c>
      <c r="U1798" s="19" t="s">
        <v>1372</v>
      </c>
      <c r="V1798" s="19" t="s">
        <v>1372</v>
      </c>
      <c r="W1798" s="19"/>
      <c r="X1798" s="19"/>
      <c r="Y1798" s="19"/>
      <c r="Z1798" s="19"/>
      <c r="AA1798" s="19"/>
      <c r="AB1798" s="19"/>
      <c r="AC1798" s="19"/>
      <c r="AD1798" s="19"/>
      <c r="AE1798" s="19"/>
      <c r="AF1798" s="19"/>
      <c r="AG1798" s="19"/>
      <c r="AH1798" s="19"/>
      <c r="AI1798" s="19"/>
      <c r="AJ1798" s="19"/>
      <c r="AK1798" s="19"/>
      <c r="AL1798" s="19" t="s">
        <v>1372</v>
      </c>
      <c r="AM1798" s="19"/>
      <c r="AN1798" s="19"/>
      <c r="AO1798" s="19"/>
      <c r="AP1798" s="19"/>
      <c r="AQ1798" s="19"/>
      <c r="AR1798" s="19" t="s">
        <v>1768</v>
      </c>
      <c r="AS1798" s="19" t="s">
        <v>1783</v>
      </c>
    </row>
    <row r="1799" spans="1:45" x14ac:dyDescent="0.3">
      <c r="A1799" s="410" t="s">
        <v>3312</v>
      </c>
      <c r="B1799" s="17" t="s">
        <v>3313</v>
      </c>
      <c r="C1799" s="19" t="s">
        <v>1368</v>
      </c>
      <c r="D1799" s="19">
        <v>23205448</v>
      </c>
      <c r="E1799" s="17"/>
      <c r="F1799" s="19"/>
      <c r="G1799" s="31"/>
      <c r="H1799" s="31"/>
      <c r="I1799" s="19"/>
      <c r="J1799" s="19"/>
      <c r="K1799" s="18"/>
      <c r="L1799" s="19"/>
      <c r="M1799" s="19"/>
      <c r="N1799" s="20"/>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row>
    <row r="1800" spans="1:45" x14ac:dyDescent="0.3">
      <c r="A1800" s="410" t="s">
        <v>3314</v>
      </c>
      <c r="B1800" s="17" t="s">
        <v>3315</v>
      </c>
      <c r="C1800" s="19" t="s">
        <v>1371</v>
      </c>
      <c r="D1800" s="19">
        <v>23212450</v>
      </c>
      <c r="E1800" s="17"/>
      <c r="F1800" s="19"/>
      <c r="G1800" s="31">
        <v>44999</v>
      </c>
      <c r="H1800" s="31" t="s">
        <v>1774</v>
      </c>
      <c r="I1800" s="19" t="s">
        <v>1372</v>
      </c>
      <c r="J1800" s="19" t="s">
        <v>1789</v>
      </c>
      <c r="K1800" s="18" t="s">
        <v>1372</v>
      </c>
      <c r="L1800" s="19" t="s">
        <v>1789</v>
      </c>
      <c r="M1800" s="19" t="s">
        <v>1461</v>
      </c>
      <c r="N1800" s="20" t="s">
        <v>3309</v>
      </c>
      <c r="O1800" s="19" t="s">
        <v>1372</v>
      </c>
      <c r="P1800" s="19"/>
      <c r="Q1800" s="19"/>
      <c r="R1800" s="19" t="s">
        <v>1372</v>
      </c>
      <c r="S1800" s="19" t="s">
        <v>1372</v>
      </c>
      <c r="T1800" s="19" t="s">
        <v>1372</v>
      </c>
      <c r="U1800" s="19" t="s">
        <v>1461</v>
      </c>
      <c r="V1800" s="19" t="s">
        <v>1372</v>
      </c>
      <c r="W1800" s="19"/>
      <c r="X1800" s="19"/>
      <c r="Y1800" s="19"/>
      <c r="Z1800" s="19" t="s">
        <v>1372</v>
      </c>
      <c r="AA1800" s="19"/>
      <c r="AB1800" s="19"/>
      <c r="AC1800" s="19"/>
      <c r="AD1800" s="19"/>
      <c r="AE1800" s="19"/>
      <c r="AF1800" s="19"/>
      <c r="AG1800" s="19" t="s">
        <v>1372</v>
      </c>
      <c r="AH1800" s="19"/>
      <c r="AI1800" s="19"/>
      <c r="AJ1800" s="19"/>
      <c r="AK1800" s="19"/>
      <c r="AL1800" s="19" t="s">
        <v>1372</v>
      </c>
      <c r="AM1800" s="19" t="s">
        <v>1372</v>
      </c>
      <c r="AN1800" s="19"/>
      <c r="AO1800" s="19"/>
      <c r="AP1800" s="19"/>
      <c r="AQ1800" s="19"/>
      <c r="AR1800" s="19" t="s">
        <v>1768</v>
      </c>
      <c r="AS1800" s="19"/>
    </row>
    <row r="1801" spans="1:45" x14ac:dyDescent="0.3">
      <c r="A1801" s="410" t="s">
        <v>3316</v>
      </c>
      <c r="B1801" s="17" t="s">
        <v>3317</v>
      </c>
      <c r="C1801" s="19" t="s">
        <v>1368</v>
      </c>
      <c r="D1801" s="19">
        <v>23206959</v>
      </c>
      <c r="E1801" s="17"/>
      <c r="F1801" s="19"/>
      <c r="G1801" s="31"/>
      <c r="H1801" s="31"/>
      <c r="I1801" s="19"/>
      <c r="J1801" s="19"/>
      <c r="K1801" s="18"/>
      <c r="L1801" s="19"/>
      <c r="M1801" s="19"/>
      <c r="N1801" s="20"/>
      <c r="O1801" s="19"/>
      <c r="P1801" s="19"/>
      <c r="Q1801" s="19"/>
      <c r="R1801" s="19"/>
      <c r="S1801" s="19"/>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row>
    <row r="1802" spans="1:45" x14ac:dyDescent="0.3">
      <c r="A1802" s="410" t="s">
        <v>3318</v>
      </c>
      <c r="B1802" s="17" t="s">
        <v>3319</v>
      </c>
      <c r="C1802" s="19" t="s">
        <v>1381</v>
      </c>
      <c r="D1802" s="19">
        <v>23149272</v>
      </c>
      <c r="E1802" s="17"/>
      <c r="F1802" s="19"/>
      <c r="G1802" s="31">
        <v>44999</v>
      </c>
      <c r="H1802" s="31" t="s">
        <v>1774</v>
      </c>
      <c r="I1802" s="19" t="s">
        <v>1372</v>
      </c>
      <c r="J1802" s="19" t="s">
        <v>1789</v>
      </c>
      <c r="K1802" s="18" t="s">
        <v>1372</v>
      </c>
      <c r="L1802" s="19" t="s">
        <v>1789</v>
      </c>
      <c r="M1802" s="19" t="s">
        <v>1461</v>
      </c>
      <c r="N1802" s="20" t="s">
        <v>3309</v>
      </c>
      <c r="O1802" s="19" t="s">
        <v>1372</v>
      </c>
      <c r="P1802" s="19" t="s">
        <v>1372</v>
      </c>
      <c r="Q1802" s="19" t="s">
        <v>1372</v>
      </c>
      <c r="R1802" s="19" t="s">
        <v>1372</v>
      </c>
      <c r="S1802" s="19" t="s">
        <v>1372</v>
      </c>
      <c r="T1802" s="19" t="s">
        <v>1372</v>
      </c>
      <c r="U1802" s="19" t="s">
        <v>1372</v>
      </c>
      <c r="V1802" s="19"/>
      <c r="W1802" s="19"/>
      <c r="X1802" s="19"/>
      <c r="Y1802" s="19"/>
      <c r="Z1802" s="19" t="s">
        <v>1372</v>
      </c>
      <c r="AA1802" s="19"/>
      <c r="AB1802" s="19"/>
      <c r="AC1802" s="19"/>
      <c r="AD1802" s="19"/>
      <c r="AE1802" s="19"/>
      <c r="AF1802" s="19"/>
      <c r="AG1802" s="19" t="s">
        <v>1372</v>
      </c>
      <c r="AH1802" s="19"/>
      <c r="AI1802" s="19"/>
      <c r="AJ1802" s="19"/>
      <c r="AK1802" s="19"/>
      <c r="AL1802" s="19" t="s">
        <v>1372</v>
      </c>
      <c r="AM1802" s="19" t="s">
        <v>1372</v>
      </c>
      <c r="AN1802" s="19"/>
      <c r="AO1802" s="19"/>
      <c r="AP1802" s="19"/>
      <c r="AQ1802" s="19"/>
      <c r="AR1802" s="19" t="s">
        <v>1768</v>
      </c>
      <c r="AS1802" s="19"/>
    </row>
    <row r="1803" spans="1:45" x14ac:dyDescent="0.3">
      <c r="A1803" s="410" t="s">
        <v>3320</v>
      </c>
      <c r="B1803" s="17"/>
      <c r="C1803" s="19"/>
      <c r="D1803" s="18"/>
      <c r="E1803" s="17"/>
      <c r="F1803" s="19"/>
      <c r="G1803" s="31"/>
      <c r="H1803" s="31"/>
      <c r="I1803" s="19"/>
      <c r="J1803" s="19"/>
      <c r="K1803" s="18"/>
      <c r="L1803" s="19"/>
      <c r="M1803" s="19"/>
      <c r="N1803" s="20"/>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row>
    <row r="1804" spans="1:45" x14ac:dyDescent="0.3">
      <c r="A1804" s="410" t="s">
        <v>3321</v>
      </c>
      <c r="B1804" s="17"/>
      <c r="C1804" s="19"/>
      <c r="D1804" s="19"/>
      <c r="E1804" s="17"/>
      <c r="F1804" s="19"/>
      <c r="G1804" s="31"/>
      <c r="H1804" s="31"/>
      <c r="I1804" s="19"/>
      <c r="J1804" s="19"/>
      <c r="K1804" s="18"/>
      <c r="L1804" s="19"/>
      <c r="M1804" s="19"/>
      <c r="N1804" s="20"/>
      <c r="O1804" s="19"/>
      <c r="P1804" s="19"/>
      <c r="Q1804" s="19"/>
      <c r="R1804" s="19"/>
      <c r="S1804" s="19"/>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row>
    <row r="1805" spans="1:45" x14ac:dyDescent="0.3">
      <c r="A1805" s="410" t="s">
        <v>3322</v>
      </c>
      <c r="B1805" s="17"/>
      <c r="C1805" s="19"/>
      <c r="D1805" s="19"/>
      <c r="E1805" s="17"/>
      <c r="F1805" s="19"/>
      <c r="G1805" s="31"/>
      <c r="H1805" s="31"/>
      <c r="I1805" s="19"/>
      <c r="J1805" s="19"/>
      <c r="K1805" s="18"/>
      <c r="L1805" s="19"/>
      <c r="M1805" s="19"/>
      <c r="N1805" s="20"/>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row>
    <row r="1806" spans="1:45" x14ac:dyDescent="0.3">
      <c r="A1806" s="410" t="s">
        <v>3323</v>
      </c>
      <c r="B1806" s="17"/>
      <c r="C1806" s="19"/>
      <c r="D1806" s="19"/>
      <c r="E1806" s="18"/>
      <c r="F1806" s="19"/>
      <c r="G1806" s="31"/>
      <c r="H1806" s="31"/>
      <c r="I1806" s="19"/>
      <c r="J1806" s="19"/>
      <c r="K1806" s="18"/>
      <c r="L1806" s="19"/>
      <c r="M1806" s="19"/>
      <c r="N1806" s="20"/>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row>
    <row r="1807" spans="1:45" x14ac:dyDescent="0.3">
      <c r="A1807" s="410" t="s">
        <v>3324</v>
      </c>
      <c r="B1807" s="17"/>
      <c r="C1807" s="19"/>
      <c r="D1807" s="19"/>
      <c r="E1807" s="18"/>
      <c r="F1807" s="19"/>
      <c r="G1807" s="31"/>
      <c r="H1807" s="31"/>
      <c r="I1807" s="19"/>
      <c r="J1807" s="19"/>
      <c r="K1807" s="18"/>
      <c r="L1807" s="19"/>
      <c r="M1807" s="19"/>
      <c r="N1807" s="20"/>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row>
    <row r="1808" spans="1:45" x14ac:dyDescent="0.3">
      <c r="A1808" s="410" t="s">
        <v>3325</v>
      </c>
      <c r="B1808" s="17"/>
      <c r="C1808" s="19"/>
      <c r="D1808" s="19"/>
      <c r="E1808" s="18"/>
      <c r="F1808" s="19"/>
      <c r="G1808" s="31"/>
      <c r="H1808" s="31"/>
      <c r="I1808" s="19"/>
      <c r="J1808" s="19"/>
      <c r="K1808" s="18"/>
      <c r="L1808" s="19"/>
      <c r="M1808" s="19"/>
      <c r="N1808" s="20"/>
      <c r="O1808" s="19"/>
      <c r="P1808" s="19"/>
      <c r="Q1808" s="19"/>
      <c r="R1808" s="19"/>
      <c r="S1808" s="19"/>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row>
    <row r="1809" spans="1:45" x14ac:dyDescent="0.3">
      <c r="A1809" s="410" t="s">
        <v>3326</v>
      </c>
      <c r="B1809" s="17"/>
      <c r="C1809" s="19"/>
      <c r="D1809" s="19"/>
      <c r="E1809" s="18"/>
      <c r="F1809" s="19"/>
      <c r="G1809" s="31"/>
      <c r="H1809" s="31"/>
      <c r="I1809" s="19"/>
      <c r="J1809" s="19"/>
      <c r="K1809" s="18"/>
      <c r="L1809" s="19"/>
      <c r="M1809" s="19"/>
      <c r="N1809" s="20"/>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row>
    <row r="1810" spans="1:45" x14ac:dyDescent="0.3">
      <c r="A1810" s="410" t="s">
        <v>3327</v>
      </c>
      <c r="B1810" s="17"/>
      <c r="C1810" s="19"/>
      <c r="D1810" s="18"/>
      <c r="E1810" s="18"/>
      <c r="F1810" s="19"/>
      <c r="G1810" s="31"/>
      <c r="H1810" s="31"/>
      <c r="I1810" s="19"/>
      <c r="J1810" s="19"/>
      <c r="K1810" s="18"/>
      <c r="L1810" s="19"/>
      <c r="M1810" s="19"/>
      <c r="N1810" s="20"/>
      <c r="O1810" s="19"/>
      <c r="P1810" s="19"/>
      <c r="Q1810" s="19"/>
      <c r="R1810" s="19"/>
      <c r="S1810" s="19"/>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row>
    <row r="1811" spans="1:45" x14ac:dyDescent="0.3">
      <c r="A1811" s="410" t="s">
        <v>3328</v>
      </c>
      <c r="B1811" s="17"/>
      <c r="C1811" s="19"/>
      <c r="D1811" s="18"/>
      <c r="E1811" s="18"/>
      <c r="F1811" s="19"/>
      <c r="G1811" s="31"/>
      <c r="H1811" s="31"/>
      <c r="I1811" s="19"/>
      <c r="J1811" s="19"/>
      <c r="K1811" s="18"/>
      <c r="L1811" s="19"/>
      <c r="M1811" s="19"/>
      <c r="N1811" s="20"/>
      <c r="O1811" s="19"/>
      <c r="P1811" s="19"/>
      <c r="Q1811" s="19"/>
      <c r="R1811" s="19"/>
      <c r="S1811" s="19"/>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row>
    <row r="1812" spans="1:45" x14ac:dyDescent="0.3">
      <c r="A1812" s="410" t="s">
        <v>3329</v>
      </c>
      <c r="B1812" s="17"/>
      <c r="C1812" s="19"/>
      <c r="D1812" s="18"/>
      <c r="E1812" s="18"/>
      <c r="F1812" s="19"/>
      <c r="G1812" s="31"/>
      <c r="H1812" s="31"/>
      <c r="I1812" s="19"/>
      <c r="J1812" s="19"/>
      <c r="K1812" s="18"/>
      <c r="L1812" s="19"/>
      <c r="M1812" s="19"/>
      <c r="N1812" s="20"/>
      <c r="O1812" s="19"/>
      <c r="P1812" s="19"/>
      <c r="Q1812" s="19"/>
      <c r="R1812" s="19"/>
      <c r="S1812" s="19"/>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row>
    <row r="1813" spans="1:45" x14ac:dyDescent="0.3">
      <c r="A1813" s="410" t="s">
        <v>3330</v>
      </c>
      <c r="B1813" s="17"/>
      <c r="C1813" s="19"/>
      <c r="D1813" s="18"/>
      <c r="E1813" s="18"/>
      <c r="F1813" s="19"/>
      <c r="G1813" s="31"/>
      <c r="H1813" s="31"/>
      <c r="I1813" s="19"/>
      <c r="J1813" s="19"/>
      <c r="K1813" s="18"/>
      <c r="L1813" s="19"/>
      <c r="M1813" s="19"/>
      <c r="N1813" s="20"/>
      <c r="O1813" s="19"/>
      <c r="P1813" s="19"/>
      <c r="Q1813" s="19"/>
      <c r="R1813" s="19"/>
      <c r="S1813" s="19"/>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row>
    <row r="1814" spans="1:45" x14ac:dyDescent="0.3">
      <c r="A1814" s="410" t="s">
        <v>3331</v>
      </c>
      <c r="B1814" s="17"/>
      <c r="C1814" s="19"/>
      <c r="D1814" s="18"/>
      <c r="E1814" s="18"/>
      <c r="F1814" s="19"/>
      <c r="G1814" s="31"/>
      <c r="H1814" s="31"/>
      <c r="I1814" s="19"/>
      <c r="J1814" s="19"/>
      <c r="K1814" s="18"/>
      <c r="L1814" s="19"/>
      <c r="M1814" s="19"/>
      <c r="N1814" s="20"/>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row>
    <row r="1815" spans="1:45" x14ac:dyDescent="0.3">
      <c r="A1815" s="410" t="s">
        <v>3332</v>
      </c>
      <c r="B1815" s="17"/>
      <c r="C1815" s="19"/>
      <c r="D1815" s="18"/>
      <c r="E1815" s="18"/>
      <c r="F1815" s="19"/>
      <c r="G1815" s="31"/>
      <c r="H1815" s="31"/>
      <c r="I1815" s="19"/>
      <c r="J1815" s="19"/>
      <c r="K1815" s="18"/>
      <c r="L1815" s="19"/>
      <c r="M1815" s="19"/>
      <c r="N1815" s="20"/>
      <c r="O1815" s="19"/>
      <c r="P1815" s="19"/>
      <c r="Q1815" s="19"/>
      <c r="R1815" s="19"/>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row>
    <row r="1816" spans="1:45" x14ac:dyDescent="0.3">
      <c r="A1816" s="410" t="s">
        <v>3333</v>
      </c>
      <c r="B1816" s="17"/>
      <c r="C1816" s="19"/>
      <c r="D1816" s="18"/>
      <c r="E1816" s="18"/>
      <c r="F1816" s="19"/>
      <c r="G1816" s="31"/>
      <c r="H1816" s="31"/>
      <c r="I1816" s="19"/>
      <c r="J1816" s="19"/>
      <c r="K1816" s="18"/>
      <c r="L1816" s="19"/>
      <c r="M1816" s="19"/>
      <c r="N1816" s="20"/>
      <c r="O1816" s="19"/>
      <c r="P1816" s="19"/>
      <c r="Q1816" s="19"/>
      <c r="R1816" s="19"/>
      <c r="S1816" s="19"/>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row>
    <row r="1817" spans="1:45" x14ac:dyDescent="0.3">
      <c r="A1817" s="410" t="s">
        <v>3334</v>
      </c>
      <c r="B1817" s="17"/>
      <c r="C1817" s="19"/>
      <c r="D1817" s="18"/>
      <c r="E1817" s="18"/>
      <c r="F1817" s="19"/>
      <c r="G1817" s="31"/>
      <c r="H1817" s="31"/>
      <c r="I1817" s="19"/>
      <c r="J1817" s="19"/>
      <c r="K1817" s="18"/>
      <c r="L1817" s="19"/>
      <c r="M1817" s="19"/>
      <c r="N1817" s="20"/>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row>
    <row r="1818" spans="1:45" x14ac:dyDescent="0.3">
      <c r="A1818" s="410" t="s">
        <v>3335</v>
      </c>
      <c r="B1818" s="17"/>
      <c r="C1818" s="19"/>
      <c r="D1818" s="18"/>
      <c r="E1818" s="18"/>
      <c r="F1818" s="19"/>
      <c r="G1818" s="31"/>
      <c r="H1818" s="31"/>
      <c r="I1818" s="19"/>
      <c r="J1818" s="19"/>
      <c r="K1818" s="18"/>
      <c r="L1818" s="19"/>
      <c r="M1818" s="19"/>
      <c r="N1818" s="20"/>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row>
    <row r="1819" spans="1:45" x14ac:dyDescent="0.3">
      <c r="A1819" s="410" t="s">
        <v>3336</v>
      </c>
      <c r="B1819" s="17"/>
      <c r="C1819" s="19"/>
      <c r="D1819" s="18"/>
      <c r="E1819" s="18"/>
      <c r="F1819" s="19"/>
      <c r="G1819" s="31"/>
      <c r="H1819" s="31"/>
      <c r="I1819" s="19"/>
      <c r="J1819" s="19"/>
      <c r="K1819" s="18"/>
      <c r="L1819" s="19"/>
      <c r="M1819" s="19"/>
      <c r="N1819" s="20"/>
      <c r="O1819" s="19"/>
      <c r="P1819" s="19"/>
      <c r="Q1819" s="19"/>
      <c r="R1819" s="19"/>
      <c r="S1819" s="19"/>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row>
    <row r="1820" spans="1:45" x14ac:dyDescent="0.3">
      <c r="A1820" s="410" t="s">
        <v>3337</v>
      </c>
      <c r="B1820" s="17"/>
      <c r="C1820" s="19"/>
      <c r="D1820" s="18"/>
      <c r="E1820" s="18"/>
      <c r="F1820" s="19"/>
      <c r="G1820" s="31"/>
      <c r="H1820" s="31"/>
      <c r="I1820" s="19"/>
      <c r="J1820" s="19"/>
      <c r="K1820" s="18"/>
      <c r="L1820" s="19"/>
      <c r="M1820" s="19"/>
      <c r="N1820" s="20"/>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row>
    <row r="1821" spans="1:45" x14ac:dyDescent="0.3">
      <c r="A1821" s="410" t="s">
        <v>3338</v>
      </c>
      <c r="B1821" s="17"/>
      <c r="C1821" s="19"/>
      <c r="D1821" s="18"/>
      <c r="E1821" s="18"/>
      <c r="F1821" s="19"/>
      <c r="G1821" s="31"/>
      <c r="H1821" s="31"/>
      <c r="I1821" s="19"/>
      <c r="J1821" s="19"/>
      <c r="K1821" s="18"/>
      <c r="L1821" s="19"/>
      <c r="M1821" s="19"/>
      <c r="N1821" s="20"/>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row>
    <row r="1822" spans="1:45" x14ac:dyDescent="0.3">
      <c r="A1822" s="410" t="s">
        <v>3339</v>
      </c>
      <c r="B1822" s="17"/>
      <c r="C1822" s="19"/>
      <c r="D1822" s="18"/>
      <c r="E1822" s="18"/>
      <c r="F1822" s="19"/>
      <c r="G1822" s="31"/>
      <c r="H1822" s="31"/>
      <c r="I1822" s="19"/>
      <c r="J1822" s="19"/>
      <c r="K1822" s="18"/>
      <c r="L1822" s="19"/>
      <c r="M1822" s="19"/>
      <c r="N1822" s="20"/>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row>
    <row r="1823" spans="1:45" x14ac:dyDescent="0.3">
      <c r="A1823" s="410" t="s">
        <v>3340</v>
      </c>
      <c r="B1823" s="17"/>
      <c r="C1823" s="19"/>
      <c r="D1823" s="18"/>
      <c r="E1823" s="18"/>
      <c r="F1823" s="19"/>
      <c r="G1823" s="31"/>
      <c r="H1823" s="31"/>
      <c r="I1823" s="19"/>
      <c r="J1823" s="19"/>
      <c r="K1823" s="18"/>
      <c r="L1823" s="19"/>
      <c r="M1823" s="19"/>
      <c r="N1823" s="20"/>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row>
    <row r="1824" spans="1:45" x14ac:dyDescent="0.3">
      <c r="A1824" s="410" t="s">
        <v>3341</v>
      </c>
      <c r="B1824" s="17"/>
      <c r="C1824" s="19"/>
      <c r="D1824" s="18"/>
      <c r="E1824" s="18"/>
      <c r="F1824" s="19"/>
      <c r="G1824" s="31"/>
      <c r="H1824" s="31"/>
      <c r="I1824" s="19"/>
      <c r="J1824" s="19"/>
      <c r="K1824" s="18"/>
      <c r="L1824" s="19"/>
      <c r="M1824" s="19"/>
      <c r="N1824" s="20"/>
      <c r="O1824" s="19"/>
      <c r="P1824" s="19"/>
      <c r="Q1824" s="19"/>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row>
    <row r="1825" spans="1:45" x14ac:dyDescent="0.3">
      <c r="A1825" s="410" t="s">
        <v>3342</v>
      </c>
      <c r="B1825" s="17"/>
      <c r="C1825" s="19"/>
      <c r="D1825" s="18"/>
      <c r="E1825" s="18"/>
      <c r="F1825" s="19"/>
      <c r="G1825" s="31"/>
      <c r="H1825" s="31"/>
      <c r="I1825" s="19"/>
      <c r="J1825" s="19"/>
      <c r="K1825" s="18"/>
      <c r="L1825" s="19"/>
      <c r="M1825" s="19"/>
      <c r="N1825" s="20"/>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row>
    <row r="1826" spans="1:45" x14ac:dyDescent="0.3">
      <c r="A1826" s="410" t="s">
        <v>3343</v>
      </c>
      <c r="B1826" s="17"/>
      <c r="C1826" s="19"/>
      <c r="D1826" s="18"/>
      <c r="E1826" s="18"/>
      <c r="F1826" s="19"/>
      <c r="G1826" s="31"/>
      <c r="H1826" s="31"/>
      <c r="I1826" s="19"/>
      <c r="J1826" s="19"/>
      <c r="K1826" s="18"/>
      <c r="L1826" s="19"/>
      <c r="M1826" s="19"/>
      <c r="N1826" s="20"/>
      <c r="O1826" s="19"/>
      <c r="P1826" s="19"/>
      <c r="Q1826" s="19"/>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row>
    <row r="1827" spans="1:45" x14ac:dyDescent="0.3">
      <c r="A1827" s="410" t="s">
        <v>3344</v>
      </c>
      <c r="B1827" s="17"/>
      <c r="C1827" s="19"/>
      <c r="D1827" s="18"/>
      <c r="E1827" s="18"/>
      <c r="F1827" s="19"/>
      <c r="G1827" s="31"/>
      <c r="H1827" s="31"/>
      <c r="I1827" s="19"/>
      <c r="J1827" s="19"/>
      <c r="K1827" s="18"/>
      <c r="L1827" s="19"/>
      <c r="M1827" s="19"/>
      <c r="N1827" s="20"/>
      <c r="O1827" s="19"/>
      <c r="P1827" s="19"/>
      <c r="Q1827" s="19"/>
      <c r="R1827" s="19"/>
      <c r="S1827" s="19"/>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row>
    <row r="1828" spans="1:45" x14ac:dyDescent="0.3">
      <c r="A1828" s="410" t="s">
        <v>3345</v>
      </c>
      <c r="B1828" s="17"/>
      <c r="C1828" s="19"/>
      <c r="D1828" s="18"/>
      <c r="E1828" s="18"/>
      <c r="F1828" s="19"/>
      <c r="G1828" s="31"/>
      <c r="H1828" s="31"/>
      <c r="I1828" s="19"/>
      <c r="J1828" s="19"/>
      <c r="K1828" s="18"/>
      <c r="L1828" s="19"/>
      <c r="M1828" s="19"/>
      <c r="N1828" s="20"/>
      <c r="O1828" s="19"/>
      <c r="P1828" s="19"/>
      <c r="Q1828" s="19"/>
      <c r="R1828" s="19"/>
      <c r="S1828" s="19"/>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row>
    <row r="1829" spans="1:45" x14ac:dyDescent="0.3">
      <c r="A1829" s="410" t="s">
        <v>3346</v>
      </c>
      <c r="B1829" s="17"/>
      <c r="C1829" s="19"/>
      <c r="D1829" s="18"/>
      <c r="E1829" s="18"/>
      <c r="F1829" s="19"/>
      <c r="G1829" s="31"/>
      <c r="H1829" s="31"/>
      <c r="I1829" s="19"/>
      <c r="J1829" s="19"/>
      <c r="K1829" s="18"/>
      <c r="L1829" s="19"/>
      <c r="M1829" s="19"/>
      <c r="N1829" s="20"/>
      <c r="O1829" s="19"/>
      <c r="P1829" s="19"/>
      <c r="Q1829" s="19"/>
      <c r="R1829" s="19"/>
      <c r="S1829" s="19"/>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row>
    <row r="1830" spans="1:45" x14ac:dyDescent="0.3">
      <c r="A1830" s="410" t="s">
        <v>3347</v>
      </c>
      <c r="B1830" s="17"/>
      <c r="C1830" s="19"/>
      <c r="D1830" s="18"/>
      <c r="E1830" s="18"/>
      <c r="F1830" s="19"/>
      <c r="G1830" s="31"/>
      <c r="H1830" s="31"/>
      <c r="I1830" s="19"/>
      <c r="J1830" s="19"/>
      <c r="K1830" s="18"/>
      <c r="L1830" s="19"/>
      <c r="M1830" s="19"/>
      <c r="N1830" s="20"/>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row>
    <row r="1831" spans="1:45" x14ac:dyDescent="0.3">
      <c r="A1831" s="410" t="s">
        <v>3348</v>
      </c>
      <c r="B1831" s="17"/>
      <c r="C1831" s="19"/>
      <c r="D1831" s="18"/>
      <c r="E1831" s="18"/>
      <c r="F1831" s="19"/>
      <c r="G1831" s="31"/>
      <c r="H1831" s="31"/>
      <c r="I1831" s="19"/>
      <c r="J1831" s="19"/>
      <c r="K1831" s="18"/>
      <c r="L1831" s="19"/>
      <c r="M1831" s="19"/>
      <c r="N1831" s="20"/>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row>
    <row r="1832" spans="1:45" x14ac:dyDescent="0.3">
      <c r="A1832" s="410" t="s">
        <v>3349</v>
      </c>
      <c r="B1832" s="17"/>
      <c r="C1832" s="19"/>
      <c r="D1832" s="18"/>
      <c r="E1832" s="18"/>
      <c r="F1832" s="19"/>
      <c r="G1832" s="31"/>
      <c r="H1832" s="31"/>
      <c r="I1832" s="19"/>
      <c r="J1832" s="19"/>
      <c r="K1832" s="18"/>
      <c r="L1832" s="19"/>
      <c r="M1832" s="19"/>
      <c r="N1832" s="20"/>
      <c r="O1832" s="19"/>
      <c r="P1832" s="19"/>
      <c r="Q1832" s="19"/>
      <c r="R1832" s="19"/>
      <c r="S1832" s="19"/>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row>
    <row r="1833" spans="1:45" x14ac:dyDescent="0.3">
      <c r="A1833" s="410" t="s">
        <v>3350</v>
      </c>
      <c r="B1833" s="17"/>
      <c r="C1833" s="19"/>
      <c r="D1833" s="18"/>
      <c r="E1833" s="18"/>
      <c r="F1833" s="19"/>
      <c r="G1833" s="31"/>
      <c r="H1833" s="31"/>
      <c r="I1833" s="19"/>
      <c r="J1833" s="19"/>
      <c r="K1833" s="18"/>
      <c r="L1833" s="19"/>
      <c r="M1833" s="19"/>
      <c r="N1833" s="20"/>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row>
    <row r="1834" spans="1:45" x14ac:dyDescent="0.3">
      <c r="A1834" s="410" t="s">
        <v>3351</v>
      </c>
      <c r="B1834" s="17"/>
      <c r="C1834" s="19"/>
      <c r="D1834" s="18"/>
      <c r="E1834" s="18"/>
      <c r="F1834" s="19"/>
      <c r="G1834" s="31"/>
      <c r="H1834" s="31"/>
      <c r="I1834" s="19"/>
      <c r="J1834" s="19"/>
      <c r="K1834" s="18"/>
      <c r="L1834" s="19"/>
      <c r="M1834" s="19"/>
      <c r="N1834" s="20"/>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row>
    <row r="1835" spans="1:45" x14ac:dyDescent="0.3">
      <c r="A1835" s="410" t="s">
        <v>3352</v>
      </c>
      <c r="B1835" s="17"/>
      <c r="C1835" s="19"/>
      <c r="D1835" s="18"/>
      <c r="E1835" s="18"/>
      <c r="F1835" s="19"/>
      <c r="G1835" s="31"/>
      <c r="H1835" s="31"/>
      <c r="I1835" s="19"/>
      <c r="J1835" s="19"/>
      <c r="K1835" s="18"/>
      <c r="L1835" s="19"/>
      <c r="M1835" s="19"/>
      <c r="N1835" s="20"/>
      <c r="O1835" s="19"/>
      <c r="P1835" s="19"/>
      <c r="Q1835" s="19"/>
      <c r="R1835" s="19"/>
      <c r="S1835" s="19"/>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row>
    <row r="1836" spans="1:45" x14ac:dyDescent="0.3">
      <c r="A1836" s="410" t="s">
        <v>3353</v>
      </c>
      <c r="B1836" s="17"/>
      <c r="C1836" s="19"/>
      <c r="D1836" s="18"/>
      <c r="E1836" s="18"/>
      <c r="F1836" s="19"/>
      <c r="G1836" s="31"/>
      <c r="H1836" s="31"/>
      <c r="I1836" s="19"/>
      <c r="J1836" s="19"/>
      <c r="K1836" s="18"/>
      <c r="L1836" s="19"/>
      <c r="M1836" s="19"/>
      <c r="N1836" s="20"/>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row>
    <row r="1837" spans="1:45" x14ac:dyDescent="0.3">
      <c r="A1837" s="410" t="s">
        <v>3354</v>
      </c>
      <c r="B1837" s="17"/>
      <c r="C1837" s="19"/>
      <c r="D1837" s="18"/>
      <c r="E1837" s="18"/>
      <c r="F1837" s="19"/>
      <c r="G1837" s="31"/>
      <c r="H1837" s="31"/>
      <c r="I1837" s="19"/>
      <c r="J1837" s="19"/>
      <c r="K1837" s="18"/>
      <c r="L1837" s="19"/>
      <c r="M1837" s="19"/>
      <c r="N1837" s="20"/>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row>
    <row r="1838" spans="1:45" x14ac:dyDescent="0.3">
      <c r="A1838" s="410" t="s">
        <v>3355</v>
      </c>
      <c r="B1838" s="17"/>
      <c r="C1838" s="19"/>
      <c r="D1838" s="18"/>
      <c r="E1838" s="18"/>
      <c r="F1838" s="19"/>
      <c r="G1838" s="31"/>
      <c r="H1838" s="31"/>
      <c r="I1838" s="19"/>
      <c r="J1838" s="19"/>
      <c r="K1838" s="18"/>
      <c r="L1838" s="19"/>
      <c r="M1838" s="19"/>
      <c r="N1838" s="20"/>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row>
    <row r="1839" spans="1:45" x14ac:dyDescent="0.3">
      <c r="A1839" s="410" t="s">
        <v>3356</v>
      </c>
      <c r="B1839" s="17"/>
      <c r="C1839" s="19"/>
      <c r="D1839" s="18"/>
      <c r="E1839" s="18"/>
      <c r="F1839" s="19"/>
      <c r="G1839" s="31"/>
      <c r="H1839" s="31"/>
      <c r="I1839" s="19"/>
      <c r="J1839" s="19"/>
      <c r="K1839" s="18"/>
      <c r="L1839" s="19"/>
      <c r="M1839" s="19"/>
      <c r="N1839" s="20"/>
      <c r="O1839" s="19"/>
      <c r="P1839" s="19"/>
      <c r="Q1839" s="19"/>
      <c r="R1839" s="19"/>
      <c r="S1839" s="19"/>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row>
    <row r="1840" spans="1:45" x14ac:dyDescent="0.3">
      <c r="A1840" s="410" t="s">
        <v>3357</v>
      </c>
      <c r="B1840" s="17"/>
      <c r="C1840" s="19"/>
      <c r="D1840" s="18"/>
      <c r="E1840" s="18"/>
      <c r="F1840" s="19"/>
      <c r="G1840" s="31"/>
      <c r="H1840" s="31"/>
      <c r="I1840" s="19"/>
      <c r="J1840" s="19"/>
      <c r="K1840" s="18"/>
      <c r="L1840" s="19"/>
      <c r="M1840" s="19"/>
      <c r="N1840" s="20"/>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row>
    <row r="1841" spans="1:45" x14ac:dyDescent="0.3">
      <c r="A1841" s="410" t="s">
        <v>3358</v>
      </c>
      <c r="B1841" s="17"/>
      <c r="C1841" s="19"/>
      <c r="D1841" s="18"/>
      <c r="E1841" s="18"/>
      <c r="F1841" s="19"/>
      <c r="G1841" s="31"/>
      <c r="H1841" s="31"/>
      <c r="I1841" s="19"/>
      <c r="J1841" s="19"/>
      <c r="K1841" s="18"/>
      <c r="L1841" s="19"/>
      <c r="M1841" s="19"/>
      <c r="N1841" s="20"/>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row>
    <row r="1842" spans="1:45" x14ac:dyDescent="0.3">
      <c r="A1842" s="410" t="s">
        <v>3359</v>
      </c>
      <c r="B1842" s="17"/>
      <c r="C1842" s="19"/>
      <c r="D1842" s="18"/>
      <c r="E1842" s="18"/>
      <c r="F1842" s="19"/>
      <c r="G1842" s="31"/>
      <c r="H1842" s="31"/>
      <c r="I1842" s="19"/>
      <c r="J1842" s="19"/>
      <c r="K1842" s="18"/>
      <c r="L1842" s="19"/>
      <c r="M1842" s="19"/>
      <c r="N1842" s="20"/>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row>
    <row r="1843" spans="1:45" x14ac:dyDescent="0.3">
      <c r="A1843" s="410" t="s">
        <v>3360</v>
      </c>
      <c r="B1843" s="17"/>
      <c r="C1843" s="19"/>
      <c r="D1843" s="18"/>
      <c r="E1843" s="18"/>
      <c r="F1843" s="19"/>
      <c r="G1843" s="31"/>
      <c r="H1843" s="31"/>
      <c r="I1843" s="19"/>
      <c r="J1843" s="19"/>
      <c r="K1843" s="18"/>
      <c r="L1843" s="19"/>
      <c r="M1843" s="19"/>
      <c r="N1843" s="20"/>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row>
    <row r="1844" spans="1:45" x14ac:dyDescent="0.3">
      <c r="A1844" s="410" t="s">
        <v>3361</v>
      </c>
      <c r="B1844" s="17"/>
      <c r="C1844" s="19"/>
      <c r="D1844" s="18"/>
      <c r="E1844" s="18"/>
      <c r="F1844" s="19"/>
      <c r="G1844" s="31"/>
      <c r="H1844" s="31"/>
      <c r="I1844" s="19"/>
      <c r="J1844" s="19"/>
      <c r="K1844" s="18"/>
      <c r="L1844" s="19"/>
      <c r="M1844" s="19"/>
      <c r="N1844" s="20"/>
      <c r="O1844" s="19"/>
      <c r="P1844" s="19"/>
      <c r="Q1844" s="19"/>
      <c r="R1844" s="19"/>
      <c r="S1844" s="19"/>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row>
    <row r="1845" spans="1:45" x14ac:dyDescent="0.3">
      <c r="A1845" s="410" t="s">
        <v>3362</v>
      </c>
      <c r="B1845" s="17"/>
      <c r="C1845" s="19"/>
      <c r="D1845" s="18"/>
      <c r="E1845" s="18"/>
      <c r="F1845" s="19"/>
      <c r="G1845" s="31"/>
      <c r="H1845" s="31"/>
      <c r="I1845" s="19"/>
      <c r="J1845" s="19"/>
      <c r="K1845" s="18"/>
      <c r="L1845" s="19"/>
      <c r="M1845" s="19"/>
      <c r="N1845" s="20"/>
      <c r="O1845" s="19"/>
      <c r="P1845" s="19"/>
      <c r="Q1845" s="19"/>
      <c r="R1845" s="19"/>
      <c r="S1845" s="19"/>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row>
    <row r="1846" spans="1:45" x14ac:dyDescent="0.3">
      <c r="A1846" s="410" t="s">
        <v>3363</v>
      </c>
      <c r="B1846" s="17"/>
      <c r="C1846" s="19"/>
      <c r="D1846" s="18"/>
      <c r="E1846" s="18"/>
      <c r="F1846" s="19"/>
      <c r="G1846" s="31"/>
      <c r="H1846" s="31"/>
      <c r="I1846" s="19"/>
      <c r="J1846" s="19"/>
      <c r="K1846" s="18"/>
      <c r="L1846" s="19"/>
      <c r="M1846" s="19"/>
      <c r="N1846" s="20"/>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row>
    <row r="1847" spans="1:45" x14ac:dyDescent="0.3">
      <c r="A1847" s="410" t="s">
        <v>3364</v>
      </c>
      <c r="B1847" s="17"/>
      <c r="C1847" s="19"/>
      <c r="D1847" s="18"/>
      <c r="E1847" s="18"/>
      <c r="F1847" s="19"/>
      <c r="G1847" s="31"/>
      <c r="H1847" s="31"/>
      <c r="I1847" s="19"/>
      <c r="J1847" s="19"/>
      <c r="K1847" s="18"/>
      <c r="L1847" s="19"/>
      <c r="M1847" s="19"/>
      <c r="N1847" s="20"/>
      <c r="O1847" s="19"/>
      <c r="P1847" s="19"/>
      <c r="Q1847" s="19"/>
      <c r="R1847" s="19"/>
      <c r="S1847" s="19"/>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row>
    <row r="1848" spans="1:45" x14ac:dyDescent="0.3">
      <c r="A1848" s="410" t="s">
        <v>3365</v>
      </c>
      <c r="B1848" s="17"/>
      <c r="C1848" s="19"/>
      <c r="D1848" s="18"/>
      <c r="E1848" s="18"/>
      <c r="F1848" s="19"/>
      <c r="G1848" s="31"/>
      <c r="H1848" s="31"/>
      <c r="I1848" s="19"/>
      <c r="J1848" s="19"/>
      <c r="K1848" s="18"/>
      <c r="L1848" s="19"/>
      <c r="M1848" s="19"/>
      <c r="N1848" s="20"/>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row>
    <row r="1849" spans="1:45" x14ac:dyDescent="0.3">
      <c r="A1849" s="410" t="s">
        <v>3366</v>
      </c>
      <c r="B1849" s="17"/>
      <c r="C1849" s="19"/>
      <c r="D1849" s="18"/>
      <c r="E1849" s="18"/>
      <c r="F1849" s="19"/>
      <c r="G1849" s="31"/>
      <c r="H1849" s="31"/>
      <c r="I1849" s="19"/>
      <c r="J1849" s="19"/>
      <c r="K1849" s="18"/>
      <c r="L1849" s="19"/>
      <c r="M1849" s="19"/>
      <c r="N1849" s="20"/>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row>
    <row r="1850" spans="1:45" x14ac:dyDescent="0.3">
      <c r="A1850" s="410" t="s">
        <v>3367</v>
      </c>
      <c r="B1850" s="17"/>
      <c r="C1850" s="19"/>
      <c r="D1850" s="18"/>
      <c r="E1850" s="18"/>
      <c r="F1850" s="19"/>
      <c r="G1850" s="31"/>
      <c r="H1850" s="31"/>
      <c r="I1850" s="19"/>
      <c r="J1850" s="19"/>
      <c r="K1850" s="18"/>
      <c r="L1850" s="19"/>
      <c r="M1850" s="19"/>
      <c r="N1850" s="20"/>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row>
    <row r="1851" spans="1:45" x14ac:dyDescent="0.3">
      <c r="A1851" s="410" t="s">
        <v>3368</v>
      </c>
      <c r="B1851" s="17"/>
      <c r="C1851" s="19"/>
      <c r="D1851" s="18"/>
      <c r="E1851" s="18"/>
      <c r="F1851" s="19"/>
      <c r="G1851" s="31"/>
      <c r="H1851" s="31"/>
      <c r="I1851" s="19"/>
      <c r="J1851" s="19"/>
      <c r="K1851" s="18"/>
      <c r="L1851" s="19"/>
      <c r="M1851" s="19"/>
      <c r="N1851" s="20"/>
      <c r="O1851" s="19"/>
      <c r="P1851" s="19"/>
      <c r="Q1851" s="19"/>
      <c r="R1851" s="19"/>
      <c r="S1851" s="19"/>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row>
    <row r="1852" spans="1:45" x14ac:dyDescent="0.3">
      <c r="A1852" s="410" t="s">
        <v>3369</v>
      </c>
      <c r="B1852" s="17"/>
      <c r="C1852" s="19"/>
      <c r="D1852" s="18"/>
      <c r="E1852" s="18"/>
      <c r="F1852" s="19"/>
      <c r="G1852" s="31"/>
      <c r="H1852" s="31"/>
      <c r="I1852" s="19"/>
      <c r="J1852" s="19"/>
      <c r="K1852" s="18"/>
      <c r="L1852" s="19"/>
      <c r="M1852" s="19"/>
      <c r="N1852" s="20"/>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row>
    <row r="1853" spans="1:45" x14ac:dyDescent="0.3">
      <c r="A1853" s="410" t="s">
        <v>3370</v>
      </c>
      <c r="B1853" s="17"/>
      <c r="C1853" s="19"/>
      <c r="D1853" s="18"/>
      <c r="E1853" s="18"/>
      <c r="F1853" s="19"/>
      <c r="G1853" s="31"/>
      <c r="H1853" s="31"/>
      <c r="I1853" s="19"/>
      <c r="J1853" s="19"/>
      <c r="K1853" s="18"/>
      <c r="L1853" s="19"/>
      <c r="M1853" s="19"/>
      <c r="N1853" s="20"/>
      <c r="O1853" s="19"/>
      <c r="P1853" s="19"/>
      <c r="Q1853" s="19"/>
      <c r="R1853" s="19"/>
      <c r="S1853" s="19"/>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row>
    <row r="1854" spans="1:45" x14ac:dyDescent="0.3">
      <c r="A1854" s="410" t="s">
        <v>3371</v>
      </c>
      <c r="B1854" s="17"/>
      <c r="C1854" s="19"/>
      <c r="D1854" s="18"/>
      <c r="E1854" s="18"/>
      <c r="F1854" s="19"/>
      <c r="G1854" s="31"/>
      <c r="H1854" s="31"/>
      <c r="I1854" s="19"/>
      <c r="J1854" s="19"/>
      <c r="K1854" s="18"/>
      <c r="L1854" s="19"/>
      <c r="M1854" s="19"/>
      <c r="N1854" s="20"/>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row>
    <row r="1855" spans="1:45" x14ac:dyDescent="0.3">
      <c r="A1855" s="410" t="s">
        <v>3372</v>
      </c>
      <c r="B1855" s="17"/>
      <c r="C1855" s="19"/>
      <c r="D1855" s="18"/>
      <c r="E1855" s="18"/>
      <c r="F1855" s="19"/>
      <c r="G1855" s="31"/>
      <c r="H1855" s="31"/>
      <c r="I1855" s="19"/>
      <c r="J1855" s="19"/>
      <c r="K1855" s="18"/>
      <c r="L1855" s="19"/>
      <c r="M1855" s="19"/>
      <c r="N1855" s="20"/>
      <c r="O1855" s="19"/>
      <c r="P1855" s="19"/>
      <c r="Q1855" s="19"/>
      <c r="R1855" s="19"/>
      <c r="S1855" s="19"/>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row>
    <row r="1856" spans="1:45" x14ac:dyDescent="0.3">
      <c r="A1856" s="410" t="s">
        <v>3373</v>
      </c>
      <c r="B1856" s="17"/>
      <c r="C1856" s="19"/>
      <c r="D1856" s="18"/>
      <c r="E1856" s="18"/>
      <c r="F1856" s="19"/>
      <c r="G1856" s="31"/>
      <c r="H1856" s="31"/>
      <c r="I1856" s="19"/>
      <c r="J1856" s="19"/>
      <c r="K1856" s="18"/>
      <c r="L1856" s="19"/>
      <c r="M1856" s="19"/>
      <c r="N1856" s="20"/>
      <c r="O1856" s="19"/>
      <c r="P1856" s="19"/>
      <c r="Q1856" s="19"/>
      <c r="R1856" s="19"/>
      <c r="S1856" s="19"/>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row>
    <row r="1857" spans="1:45" x14ac:dyDescent="0.3">
      <c r="A1857" s="410" t="s">
        <v>3374</v>
      </c>
      <c r="B1857" s="17"/>
      <c r="C1857" s="19"/>
      <c r="D1857" s="18"/>
      <c r="E1857" s="18"/>
      <c r="F1857" s="19"/>
      <c r="G1857" s="31"/>
      <c r="H1857" s="31"/>
      <c r="I1857" s="19"/>
      <c r="J1857" s="19"/>
      <c r="K1857" s="18"/>
      <c r="L1857" s="19"/>
      <c r="M1857" s="19"/>
      <c r="N1857" s="20"/>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row>
    <row r="1858" spans="1:45" x14ac:dyDescent="0.3">
      <c r="A1858" s="410" t="s">
        <v>3375</v>
      </c>
      <c r="B1858" s="17"/>
      <c r="C1858" s="19"/>
      <c r="D1858" s="18"/>
      <c r="E1858" s="18"/>
      <c r="F1858" s="19"/>
      <c r="G1858" s="31"/>
      <c r="H1858" s="31"/>
      <c r="I1858" s="19"/>
      <c r="J1858" s="19"/>
      <c r="K1858" s="18"/>
      <c r="L1858" s="19"/>
      <c r="M1858" s="19"/>
      <c r="N1858" s="20"/>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row>
    <row r="1859" spans="1:45" x14ac:dyDescent="0.3">
      <c r="A1859" s="410" t="s">
        <v>3376</v>
      </c>
      <c r="B1859" s="17"/>
      <c r="C1859" s="19"/>
      <c r="D1859" s="18"/>
      <c r="E1859" s="18"/>
      <c r="F1859" s="19"/>
      <c r="G1859" s="31"/>
      <c r="H1859" s="31"/>
      <c r="I1859" s="19"/>
      <c r="J1859" s="19"/>
      <c r="K1859" s="18"/>
      <c r="L1859" s="19"/>
      <c r="M1859" s="19"/>
      <c r="N1859" s="20"/>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row>
    <row r="1860" spans="1:45" x14ac:dyDescent="0.3">
      <c r="A1860" s="410" t="s">
        <v>3377</v>
      </c>
      <c r="B1860" s="17"/>
      <c r="C1860" s="19"/>
      <c r="D1860" s="18"/>
      <c r="E1860" s="18"/>
      <c r="F1860" s="19"/>
      <c r="G1860" s="31"/>
      <c r="H1860" s="31"/>
      <c r="I1860" s="19"/>
      <c r="J1860" s="19"/>
      <c r="K1860" s="18"/>
      <c r="L1860" s="19"/>
      <c r="M1860" s="19"/>
      <c r="N1860" s="20"/>
      <c r="O1860" s="19"/>
      <c r="P1860" s="19"/>
      <c r="Q1860" s="19"/>
      <c r="R1860" s="19"/>
      <c r="S1860" s="19"/>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row>
    <row r="1861" spans="1:45" x14ac:dyDescent="0.3">
      <c r="A1861" s="410" t="s">
        <v>3378</v>
      </c>
      <c r="B1861" s="17"/>
      <c r="C1861" s="19"/>
      <c r="D1861" s="18"/>
      <c r="E1861" s="18"/>
      <c r="F1861" s="19"/>
      <c r="G1861" s="31"/>
      <c r="H1861" s="31"/>
      <c r="I1861" s="19"/>
      <c r="J1861" s="19"/>
      <c r="K1861" s="18"/>
      <c r="L1861" s="19"/>
      <c r="M1861" s="19"/>
      <c r="N1861" s="20"/>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row>
    <row r="1862" spans="1:45" x14ac:dyDescent="0.3">
      <c r="A1862" s="410" t="s">
        <v>3379</v>
      </c>
      <c r="B1862" s="17"/>
      <c r="C1862" s="19"/>
      <c r="D1862" s="18"/>
      <c r="E1862" s="18"/>
      <c r="F1862" s="19"/>
      <c r="G1862" s="31"/>
      <c r="H1862" s="31"/>
      <c r="I1862" s="19"/>
      <c r="J1862" s="19"/>
      <c r="K1862" s="18"/>
      <c r="L1862" s="19"/>
      <c r="M1862" s="19"/>
      <c r="N1862" s="20"/>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row>
    <row r="1863" spans="1:45" x14ac:dyDescent="0.3">
      <c r="A1863" s="410" t="s">
        <v>3380</v>
      </c>
      <c r="B1863" s="17"/>
      <c r="C1863" s="19"/>
      <c r="D1863" s="18"/>
      <c r="E1863" s="18"/>
      <c r="F1863" s="19"/>
      <c r="G1863" s="31"/>
      <c r="H1863" s="31"/>
      <c r="I1863" s="19"/>
      <c r="J1863" s="19"/>
      <c r="K1863" s="18"/>
      <c r="L1863" s="19"/>
      <c r="M1863" s="19"/>
      <c r="N1863" s="20"/>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row>
    <row r="1864" spans="1:45" x14ac:dyDescent="0.3">
      <c r="A1864" s="410" t="s">
        <v>3381</v>
      </c>
      <c r="B1864" s="17"/>
      <c r="C1864" s="19"/>
      <c r="D1864" s="18"/>
      <c r="E1864" s="18"/>
      <c r="F1864" s="19"/>
      <c r="G1864" s="31"/>
      <c r="H1864" s="31"/>
      <c r="I1864" s="19"/>
      <c r="J1864" s="19"/>
      <c r="K1864" s="18"/>
      <c r="L1864" s="19"/>
      <c r="M1864" s="19"/>
      <c r="N1864" s="20"/>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row>
    <row r="1865" spans="1:45" x14ac:dyDescent="0.3">
      <c r="A1865" s="410" t="s">
        <v>3382</v>
      </c>
      <c r="B1865" s="17"/>
      <c r="C1865" s="19"/>
      <c r="D1865" s="18"/>
      <c r="E1865" s="18"/>
      <c r="F1865" s="19"/>
      <c r="G1865" s="31"/>
      <c r="H1865" s="31"/>
      <c r="I1865" s="19"/>
      <c r="J1865" s="19"/>
      <c r="K1865" s="18"/>
      <c r="L1865" s="19"/>
      <c r="M1865" s="19"/>
      <c r="N1865" s="20"/>
      <c r="O1865" s="19"/>
      <c r="P1865" s="19"/>
      <c r="Q1865" s="19"/>
      <c r="R1865" s="19"/>
      <c r="S1865" s="19"/>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row>
    <row r="1866" spans="1:45" x14ac:dyDescent="0.3">
      <c r="A1866" s="410" t="s">
        <v>3383</v>
      </c>
      <c r="B1866" s="17"/>
      <c r="C1866" s="19"/>
      <c r="D1866" s="18"/>
      <c r="E1866" s="18"/>
      <c r="F1866" s="19"/>
      <c r="G1866" s="31"/>
      <c r="H1866" s="31"/>
      <c r="I1866" s="19"/>
      <c r="J1866" s="19"/>
      <c r="K1866" s="18"/>
      <c r="L1866" s="19"/>
      <c r="M1866" s="19"/>
      <c r="N1866" s="20"/>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row>
    <row r="1867" spans="1:45" x14ac:dyDescent="0.3">
      <c r="A1867" s="410" t="s">
        <v>3384</v>
      </c>
      <c r="B1867" s="17"/>
      <c r="C1867" s="19"/>
      <c r="D1867" s="18"/>
      <c r="E1867" s="18"/>
      <c r="F1867" s="19"/>
      <c r="G1867" s="31"/>
      <c r="H1867" s="31"/>
      <c r="I1867" s="19"/>
      <c r="J1867" s="19"/>
      <c r="K1867" s="18"/>
      <c r="L1867" s="19"/>
      <c r="M1867" s="19"/>
      <c r="N1867" s="20"/>
      <c r="O1867" s="19"/>
      <c r="P1867" s="19"/>
      <c r="Q1867" s="19"/>
      <c r="R1867" s="19"/>
      <c r="S1867" s="19"/>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row>
    <row r="1868" spans="1:45" x14ac:dyDescent="0.3">
      <c r="A1868" s="410" t="s">
        <v>3385</v>
      </c>
      <c r="B1868" s="17"/>
      <c r="C1868" s="19"/>
      <c r="D1868" s="18"/>
      <c r="E1868" s="18"/>
      <c r="F1868" s="19"/>
      <c r="G1868" s="31"/>
      <c r="H1868" s="31"/>
      <c r="I1868" s="19"/>
      <c r="J1868" s="19"/>
      <c r="K1868" s="18"/>
      <c r="L1868" s="19"/>
      <c r="M1868" s="19"/>
      <c r="N1868" s="20"/>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row>
    <row r="1869" spans="1:45" x14ac:dyDescent="0.3">
      <c r="A1869" s="410" t="s">
        <v>3386</v>
      </c>
      <c r="B1869" s="17"/>
      <c r="C1869" s="19"/>
      <c r="D1869" s="18"/>
      <c r="E1869" s="18"/>
      <c r="F1869" s="19"/>
      <c r="G1869" s="31"/>
      <c r="H1869" s="31"/>
      <c r="I1869" s="19"/>
      <c r="J1869" s="19"/>
      <c r="K1869" s="18"/>
      <c r="L1869" s="19"/>
      <c r="M1869" s="19"/>
      <c r="N1869" s="20"/>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row>
    <row r="1870" spans="1:45" x14ac:dyDescent="0.3">
      <c r="A1870" s="410" t="s">
        <v>3387</v>
      </c>
      <c r="B1870" s="17"/>
      <c r="C1870" s="19"/>
      <c r="D1870" s="18"/>
      <c r="E1870" s="18"/>
      <c r="F1870" s="19"/>
      <c r="G1870" s="31"/>
      <c r="H1870" s="31"/>
      <c r="I1870" s="19"/>
      <c r="J1870" s="19"/>
      <c r="K1870" s="18"/>
      <c r="L1870" s="19"/>
      <c r="M1870" s="19"/>
      <c r="N1870" s="20"/>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row>
    <row r="1871" spans="1:45" x14ac:dyDescent="0.3">
      <c r="A1871" s="410" t="s">
        <v>3388</v>
      </c>
      <c r="B1871" s="17"/>
      <c r="C1871" s="19"/>
      <c r="D1871" s="18"/>
      <c r="E1871" s="18"/>
      <c r="F1871" s="19"/>
      <c r="G1871" s="31"/>
      <c r="H1871" s="31"/>
      <c r="I1871" s="19"/>
      <c r="J1871" s="19"/>
      <c r="K1871" s="18"/>
      <c r="L1871" s="19"/>
      <c r="M1871" s="19"/>
      <c r="N1871" s="20"/>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row>
    <row r="1872" spans="1:45" x14ac:dyDescent="0.3">
      <c r="A1872" s="410" t="s">
        <v>3389</v>
      </c>
      <c r="B1872" s="17"/>
      <c r="C1872" s="19"/>
      <c r="D1872" s="18"/>
      <c r="E1872" s="17"/>
      <c r="F1872" s="19"/>
      <c r="G1872" s="31"/>
      <c r="H1872" s="31"/>
      <c r="I1872" s="19"/>
      <c r="J1872" s="19"/>
      <c r="K1872" s="18"/>
      <c r="L1872" s="19"/>
      <c r="M1872" s="19"/>
      <c r="N1872" s="20"/>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row>
    <row r="1873" spans="1:45" x14ac:dyDescent="0.3">
      <c r="A1873" s="410" t="s">
        <v>3390</v>
      </c>
      <c r="B1873" s="17"/>
      <c r="C1873" s="19"/>
      <c r="D1873" s="18"/>
      <c r="E1873" s="17"/>
      <c r="F1873" s="19"/>
      <c r="G1873" s="31"/>
      <c r="H1873" s="31"/>
      <c r="I1873" s="19"/>
      <c r="J1873" s="19"/>
      <c r="K1873" s="18"/>
      <c r="L1873" s="19"/>
      <c r="M1873" s="19"/>
      <c r="N1873" s="20"/>
      <c r="O1873" s="19"/>
      <c r="P1873" s="19"/>
      <c r="Q1873" s="19"/>
      <c r="R1873" s="19"/>
      <c r="S1873" s="19"/>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row>
    <row r="1874" spans="1:45" x14ac:dyDescent="0.3">
      <c r="A1874" s="410"/>
      <c r="B1874" s="17"/>
      <c r="C1874" s="19"/>
      <c r="D1874" s="18"/>
      <c r="E1874" s="17"/>
      <c r="F1874" s="19"/>
      <c r="G1874" s="31"/>
      <c r="H1874" s="31"/>
      <c r="I1874" s="19"/>
      <c r="J1874" s="19"/>
      <c r="K1874" s="18"/>
      <c r="L1874" s="19"/>
      <c r="M1874" s="19"/>
      <c r="N1874" s="20"/>
      <c r="O1874" s="19"/>
      <c r="P1874" s="19"/>
      <c r="Q1874" s="19"/>
      <c r="R1874" s="19"/>
      <c r="S1874" s="19"/>
      <c r="T1874" s="19"/>
      <c r="U1874" s="19"/>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row>
    <row r="1875" spans="1:45" x14ac:dyDescent="0.3">
      <c r="A1875" s="410" t="s">
        <v>3391</v>
      </c>
      <c r="B1875" s="17" t="s">
        <v>3392</v>
      </c>
      <c r="C1875" s="19" t="s">
        <v>1368</v>
      </c>
      <c r="D1875" s="19">
        <v>23226336</v>
      </c>
      <c r="E1875" s="17"/>
      <c r="F1875" s="19"/>
      <c r="G1875" s="31"/>
      <c r="H1875" s="31"/>
      <c r="I1875" s="19"/>
      <c r="J1875" s="19"/>
      <c r="K1875" s="18"/>
      <c r="L1875" s="19"/>
      <c r="M1875" s="19"/>
      <c r="N1875" s="20"/>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row>
    <row r="1876" spans="1:45" x14ac:dyDescent="0.3">
      <c r="A1876" s="410" t="s">
        <v>3393</v>
      </c>
      <c r="B1876" s="17" t="s">
        <v>3394</v>
      </c>
      <c r="C1876" s="19" t="s">
        <v>1368</v>
      </c>
      <c r="D1876" s="19">
        <v>23157238</v>
      </c>
      <c r="E1876" s="17"/>
      <c r="F1876" s="19"/>
      <c r="G1876" s="31"/>
      <c r="H1876" s="31"/>
      <c r="I1876" s="19"/>
      <c r="J1876" s="19"/>
      <c r="K1876" s="18"/>
      <c r="L1876" s="19"/>
      <c r="M1876" s="19"/>
      <c r="N1876" s="20"/>
      <c r="O1876" s="19"/>
      <c r="P1876" s="19"/>
      <c r="Q1876" s="19"/>
      <c r="R1876" s="19"/>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row>
    <row r="1877" spans="1:45" x14ac:dyDescent="0.3">
      <c r="A1877" s="410" t="s">
        <v>3395</v>
      </c>
      <c r="B1877" s="17" t="s">
        <v>3396</v>
      </c>
      <c r="C1877" s="19" t="s">
        <v>1368</v>
      </c>
      <c r="D1877" s="19">
        <v>23147550</v>
      </c>
      <c r="E1877" s="17"/>
      <c r="F1877" s="19"/>
      <c r="G1877" s="31"/>
      <c r="H1877" s="31"/>
      <c r="I1877" s="19"/>
      <c r="J1877" s="19"/>
      <c r="K1877" s="18"/>
      <c r="L1877" s="19"/>
      <c r="M1877" s="19"/>
      <c r="N1877" s="20"/>
      <c r="O1877" s="19"/>
      <c r="P1877" s="19"/>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row>
    <row r="1878" spans="1:45" x14ac:dyDescent="0.3">
      <c r="A1878" s="410" t="s">
        <v>3397</v>
      </c>
      <c r="B1878" s="17" t="s">
        <v>1806</v>
      </c>
      <c r="C1878" s="19" t="s">
        <v>1368</v>
      </c>
      <c r="D1878" s="19">
        <v>23155536</v>
      </c>
      <c r="E1878" s="17"/>
      <c r="F1878" s="19"/>
      <c r="G1878" s="31"/>
      <c r="H1878" s="31"/>
      <c r="I1878" s="19"/>
      <c r="J1878" s="19"/>
      <c r="K1878" s="18"/>
      <c r="L1878" s="19"/>
      <c r="M1878" s="19"/>
      <c r="N1878" s="20"/>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row>
    <row r="1879" spans="1:45" x14ac:dyDescent="0.3">
      <c r="A1879" s="410" t="s">
        <v>3398</v>
      </c>
      <c r="B1879" s="17" t="s">
        <v>3399</v>
      </c>
      <c r="C1879" s="19" t="s">
        <v>1368</v>
      </c>
      <c r="D1879" s="19">
        <v>23148118</v>
      </c>
      <c r="E1879" s="17"/>
      <c r="F1879" s="19"/>
      <c r="G1879" s="31"/>
      <c r="H1879" s="31"/>
      <c r="I1879" s="19"/>
      <c r="J1879" s="19"/>
      <c r="K1879" s="18"/>
      <c r="L1879" s="19"/>
      <c r="M1879" s="19"/>
      <c r="N1879" s="20"/>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row>
    <row r="1880" spans="1:45" x14ac:dyDescent="0.3">
      <c r="A1880" s="410" t="s">
        <v>3400</v>
      </c>
      <c r="B1880" s="17" t="s">
        <v>3401</v>
      </c>
      <c r="C1880" s="19" t="s">
        <v>1368</v>
      </c>
      <c r="D1880" s="19">
        <v>23205261</v>
      </c>
      <c r="E1880" s="17"/>
      <c r="F1880" s="19"/>
      <c r="G1880" s="31"/>
      <c r="H1880" s="31"/>
      <c r="I1880" s="19"/>
      <c r="J1880" s="19"/>
      <c r="K1880" s="18"/>
      <c r="L1880" s="19"/>
      <c r="M1880" s="19"/>
      <c r="N1880" s="20"/>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row>
    <row r="1881" spans="1:45" x14ac:dyDescent="0.3">
      <c r="A1881" s="410" t="s">
        <v>3402</v>
      </c>
      <c r="B1881" s="17" t="s">
        <v>3403</v>
      </c>
      <c r="C1881" s="19" t="s">
        <v>1368</v>
      </c>
      <c r="D1881" s="19">
        <v>23149026</v>
      </c>
      <c r="E1881" s="17"/>
      <c r="F1881" s="19"/>
      <c r="G1881" s="31"/>
      <c r="H1881" s="31"/>
      <c r="I1881" s="19"/>
      <c r="J1881" s="19"/>
      <c r="K1881" s="18"/>
      <c r="L1881" s="19"/>
      <c r="M1881" s="19"/>
      <c r="N1881" s="20"/>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row>
    <row r="1882" spans="1:45" x14ac:dyDescent="0.3">
      <c r="A1882" s="410" t="s">
        <v>3404</v>
      </c>
      <c r="B1882" s="17" t="s">
        <v>3405</v>
      </c>
      <c r="C1882" s="19" t="s">
        <v>1368</v>
      </c>
      <c r="D1882" s="19">
        <v>23046630</v>
      </c>
      <c r="E1882" s="17"/>
      <c r="F1882" s="19"/>
      <c r="G1882" s="31"/>
      <c r="H1882" s="31"/>
      <c r="I1882" s="19"/>
      <c r="J1882" s="19"/>
      <c r="K1882" s="18"/>
      <c r="L1882" s="19"/>
      <c r="M1882" s="19"/>
      <c r="N1882" s="20"/>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row>
    <row r="1883" spans="1:45" x14ac:dyDescent="0.3">
      <c r="A1883" s="410" t="s">
        <v>3406</v>
      </c>
      <c r="B1883" s="17" t="s">
        <v>3407</v>
      </c>
      <c r="C1883" s="19" t="s">
        <v>1368</v>
      </c>
      <c r="D1883" s="19">
        <v>23157966</v>
      </c>
      <c r="E1883" s="17"/>
      <c r="F1883" s="19"/>
      <c r="G1883" s="31"/>
      <c r="H1883" s="31"/>
      <c r="I1883" s="19"/>
      <c r="J1883" s="19"/>
      <c r="K1883" s="18"/>
      <c r="L1883" s="19"/>
      <c r="M1883" s="19"/>
      <c r="N1883" s="20"/>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row>
    <row r="1884" spans="1:45" x14ac:dyDescent="0.3">
      <c r="A1884" s="410" t="s">
        <v>3408</v>
      </c>
      <c r="B1884" s="17" t="s">
        <v>3409</v>
      </c>
      <c r="C1884" s="19" t="s">
        <v>1368</v>
      </c>
      <c r="D1884" s="19">
        <v>23207916</v>
      </c>
      <c r="E1884" s="17"/>
      <c r="F1884" s="19"/>
      <c r="G1884" s="31"/>
      <c r="H1884" s="31"/>
      <c r="I1884" s="19"/>
      <c r="J1884" s="19"/>
      <c r="K1884" s="18"/>
      <c r="L1884" s="19"/>
      <c r="M1884" s="19"/>
      <c r="N1884" s="20"/>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row>
    <row r="1885" spans="1:45" x14ac:dyDescent="0.3">
      <c r="A1885" s="410" t="s">
        <v>3410</v>
      </c>
      <c r="B1885" s="17" t="s">
        <v>3411</v>
      </c>
      <c r="C1885" s="19" t="s">
        <v>1368</v>
      </c>
      <c r="D1885" s="19">
        <v>23157955</v>
      </c>
      <c r="E1885" s="17"/>
      <c r="F1885" s="19"/>
      <c r="G1885" s="31"/>
      <c r="H1885" s="31"/>
      <c r="I1885" s="19"/>
      <c r="J1885" s="19"/>
      <c r="K1885" s="18"/>
      <c r="L1885" s="19"/>
      <c r="M1885" s="19"/>
      <c r="N1885" s="20"/>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row>
    <row r="1886" spans="1:45" x14ac:dyDescent="0.3">
      <c r="A1886" s="410" t="s">
        <v>3412</v>
      </c>
      <c r="B1886" s="17" t="s">
        <v>3413</v>
      </c>
      <c r="C1886" s="19" t="s">
        <v>1368</v>
      </c>
      <c r="D1886" s="19">
        <v>23147504</v>
      </c>
      <c r="E1886" s="17"/>
      <c r="F1886" s="19"/>
      <c r="G1886" s="31"/>
      <c r="H1886" s="31"/>
      <c r="I1886" s="19"/>
      <c r="J1886" s="19"/>
      <c r="K1886" s="18"/>
      <c r="L1886" s="19"/>
      <c r="M1886" s="19"/>
      <c r="N1886" s="20"/>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row>
    <row r="1887" spans="1:45" x14ac:dyDescent="0.3">
      <c r="A1887" s="410" t="s">
        <v>3414</v>
      </c>
      <c r="B1887" s="17" t="s">
        <v>3415</v>
      </c>
      <c r="C1887" s="19" t="s">
        <v>1368</v>
      </c>
      <c r="D1887" s="19">
        <v>23181853</v>
      </c>
      <c r="E1887" s="17"/>
      <c r="F1887" s="19"/>
      <c r="G1887" s="31"/>
      <c r="H1887" s="31"/>
      <c r="I1887" s="19"/>
      <c r="J1887" s="19"/>
      <c r="K1887" s="18"/>
      <c r="L1887" s="19"/>
      <c r="M1887" s="19"/>
      <c r="N1887" s="20"/>
      <c r="O1887" s="19"/>
      <c r="P1887" s="19"/>
      <c r="Q1887" s="19"/>
      <c r="R1887" s="19"/>
      <c r="S1887" s="19"/>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row>
    <row r="1888" spans="1:45" x14ac:dyDescent="0.3">
      <c r="A1888" s="410" t="s">
        <v>3416</v>
      </c>
      <c r="B1888" s="17" t="s">
        <v>3417</v>
      </c>
      <c r="C1888" s="19" t="s">
        <v>1368</v>
      </c>
      <c r="D1888" s="19">
        <v>23157333</v>
      </c>
      <c r="E1888" s="17"/>
      <c r="F1888" s="19"/>
      <c r="G1888" s="31"/>
      <c r="H1888" s="31"/>
      <c r="I1888" s="19"/>
      <c r="J1888" s="19"/>
      <c r="K1888" s="18"/>
      <c r="L1888" s="19"/>
      <c r="M1888" s="19"/>
      <c r="N1888" s="20"/>
      <c r="O1888" s="19"/>
      <c r="P1888" s="19"/>
      <c r="Q1888" s="19"/>
      <c r="R1888" s="19"/>
      <c r="S1888" s="19"/>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row>
    <row r="1889" spans="1:45" x14ac:dyDescent="0.3">
      <c r="A1889" s="410" t="s">
        <v>3418</v>
      </c>
      <c r="B1889" s="17" t="s">
        <v>3419</v>
      </c>
      <c r="C1889" s="19" t="s">
        <v>1368</v>
      </c>
      <c r="D1889" s="19">
        <v>23217978</v>
      </c>
      <c r="E1889" s="17"/>
      <c r="F1889" s="19"/>
      <c r="G1889" s="31"/>
      <c r="H1889" s="31"/>
      <c r="I1889" s="19"/>
      <c r="J1889" s="19"/>
      <c r="K1889" s="18"/>
      <c r="L1889" s="19"/>
      <c r="M1889" s="19"/>
      <c r="N1889" s="20"/>
      <c r="O1889" s="19"/>
      <c r="P1889" s="19"/>
      <c r="Q1889" s="19"/>
      <c r="R1889" s="19"/>
      <c r="S1889" s="19"/>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row>
    <row r="1890" spans="1:45" x14ac:dyDescent="0.3">
      <c r="A1890" s="410" t="s">
        <v>3420</v>
      </c>
      <c r="B1890" s="17"/>
      <c r="C1890" s="19"/>
      <c r="D1890" s="18"/>
      <c r="E1890" s="17"/>
      <c r="F1890" s="19"/>
      <c r="G1890" s="31"/>
      <c r="H1890" s="31"/>
      <c r="I1890" s="19"/>
      <c r="J1890" s="19"/>
      <c r="K1890" s="18"/>
      <c r="L1890" s="19"/>
      <c r="M1890" s="19"/>
      <c r="N1890" s="20"/>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row>
    <row r="1891" spans="1:45" x14ac:dyDescent="0.3">
      <c r="A1891" s="410" t="s">
        <v>3421</v>
      </c>
      <c r="B1891" s="17"/>
      <c r="C1891" s="19"/>
      <c r="D1891" s="18"/>
      <c r="E1891" s="17"/>
      <c r="F1891" s="19"/>
      <c r="G1891" s="31"/>
      <c r="H1891" s="31"/>
      <c r="I1891" s="19"/>
      <c r="J1891" s="19"/>
      <c r="K1891" s="18"/>
      <c r="L1891" s="19"/>
      <c r="M1891" s="19"/>
      <c r="N1891" s="20"/>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row>
    <row r="1892" spans="1:45" x14ac:dyDescent="0.3">
      <c r="A1892" s="410" t="s">
        <v>3422</v>
      </c>
      <c r="B1892" s="17"/>
      <c r="C1892" s="19"/>
      <c r="D1892" s="18"/>
      <c r="E1892" s="17"/>
      <c r="F1892" s="19"/>
      <c r="G1892" s="31"/>
      <c r="H1892" s="31"/>
      <c r="I1892" s="19"/>
      <c r="J1892" s="19"/>
      <c r="K1892" s="18"/>
      <c r="L1892" s="19"/>
      <c r="M1892" s="19"/>
      <c r="N1892" s="20"/>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row>
    <row r="1893" spans="1:45" x14ac:dyDescent="0.3">
      <c r="A1893" s="410" t="s">
        <v>3423</v>
      </c>
      <c r="B1893" s="17"/>
      <c r="C1893" s="19"/>
      <c r="D1893" s="18"/>
      <c r="E1893" s="17"/>
      <c r="F1893" s="19"/>
      <c r="G1893" s="31"/>
      <c r="H1893" s="31"/>
      <c r="I1893" s="19"/>
      <c r="J1893" s="19"/>
      <c r="K1893" s="18"/>
      <c r="L1893" s="19"/>
      <c r="M1893" s="19"/>
      <c r="N1893" s="20"/>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row>
    <row r="1894" spans="1:45" x14ac:dyDescent="0.3">
      <c r="A1894" s="410" t="s">
        <v>3424</v>
      </c>
      <c r="B1894" s="17"/>
      <c r="C1894" s="19"/>
      <c r="D1894" s="18"/>
      <c r="E1894" s="18"/>
      <c r="F1894" s="19"/>
      <c r="G1894" s="31"/>
      <c r="H1894" s="31"/>
      <c r="I1894" s="19"/>
      <c r="J1894" s="19"/>
      <c r="K1894" s="18"/>
      <c r="L1894" s="19"/>
      <c r="M1894" s="19"/>
      <c r="N1894" s="20"/>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row>
    <row r="1895" spans="1:45" x14ac:dyDescent="0.3">
      <c r="A1895" s="410" t="s">
        <v>3425</v>
      </c>
      <c r="B1895" s="17"/>
      <c r="C1895" s="19"/>
      <c r="D1895" s="18"/>
      <c r="E1895" s="18"/>
      <c r="F1895" s="19"/>
      <c r="G1895" s="31"/>
      <c r="H1895" s="31"/>
      <c r="I1895" s="19"/>
      <c r="J1895" s="19"/>
      <c r="K1895" s="18"/>
      <c r="L1895" s="19"/>
      <c r="M1895" s="19"/>
      <c r="N1895" s="20"/>
      <c r="O1895" s="19"/>
      <c r="P1895" s="19"/>
      <c r="Q1895" s="19"/>
      <c r="R1895" s="19"/>
      <c r="S1895" s="19"/>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row>
    <row r="1896" spans="1:45" x14ac:dyDescent="0.3">
      <c r="A1896" s="410" t="s">
        <v>3426</v>
      </c>
      <c r="B1896" s="17"/>
      <c r="C1896" s="19"/>
      <c r="D1896" s="18"/>
      <c r="E1896" s="18"/>
      <c r="F1896" s="19"/>
      <c r="G1896" s="31"/>
      <c r="H1896" s="31"/>
      <c r="I1896" s="19"/>
      <c r="J1896" s="19"/>
      <c r="K1896" s="18"/>
      <c r="L1896" s="19"/>
      <c r="M1896" s="19"/>
      <c r="N1896" s="20"/>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row>
    <row r="1897" spans="1:45" x14ac:dyDescent="0.3">
      <c r="A1897" s="410" t="s">
        <v>3427</v>
      </c>
      <c r="B1897" s="17"/>
      <c r="C1897" s="19"/>
      <c r="D1897" s="18"/>
      <c r="E1897" s="18"/>
      <c r="F1897" s="19"/>
      <c r="G1897" s="31"/>
      <c r="H1897" s="31"/>
      <c r="I1897" s="19"/>
      <c r="J1897" s="19"/>
      <c r="K1897" s="18"/>
      <c r="L1897" s="19"/>
      <c r="M1897" s="19"/>
      <c r="N1897" s="20"/>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row>
    <row r="1898" spans="1:45" x14ac:dyDescent="0.3">
      <c r="A1898" s="410" t="s">
        <v>3428</v>
      </c>
      <c r="B1898" s="17"/>
      <c r="C1898" s="19"/>
      <c r="D1898" s="18"/>
      <c r="E1898" s="18"/>
      <c r="F1898" s="19"/>
      <c r="G1898" s="31"/>
      <c r="H1898" s="31"/>
      <c r="I1898" s="19"/>
      <c r="J1898" s="19"/>
      <c r="K1898" s="18"/>
      <c r="L1898" s="19"/>
      <c r="M1898" s="19"/>
      <c r="N1898" s="20"/>
      <c r="O1898" s="19"/>
      <c r="P1898" s="19"/>
      <c r="Q1898" s="19"/>
      <c r="R1898" s="19"/>
      <c r="S1898" s="19"/>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row>
    <row r="1899" spans="1:45" x14ac:dyDescent="0.3">
      <c r="A1899" s="410" t="s">
        <v>3429</v>
      </c>
      <c r="B1899" s="17"/>
      <c r="C1899" s="19"/>
      <c r="D1899" s="18"/>
      <c r="E1899" s="18"/>
      <c r="F1899" s="19"/>
      <c r="G1899" s="31"/>
      <c r="H1899" s="31"/>
      <c r="I1899" s="19"/>
      <c r="J1899" s="19"/>
      <c r="K1899" s="18"/>
      <c r="L1899" s="19"/>
      <c r="M1899" s="19"/>
      <c r="N1899" s="20"/>
      <c r="O1899" s="19"/>
      <c r="P1899" s="19"/>
      <c r="Q1899" s="19"/>
      <c r="R1899" s="19"/>
      <c r="S1899" s="19"/>
      <c r="T1899" s="19"/>
      <c r="U1899" s="19"/>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row>
    <row r="1900" spans="1:45" x14ac:dyDescent="0.3">
      <c r="A1900" s="410" t="s">
        <v>3430</v>
      </c>
      <c r="B1900" s="17"/>
      <c r="C1900" s="19"/>
      <c r="D1900" s="18"/>
      <c r="E1900" s="18"/>
      <c r="F1900" s="19"/>
      <c r="G1900" s="31"/>
      <c r="H1900" s="31"/>
      <c r="I1900" s="19"/>
      <c r="J1900" s="19"/>
      <c r="K1900" s="18"/>
      <c r="L1900" s="19"/>
      <c r="M1900" s="19"/>
      <c r="N1900" s="20"/>
      <c r="O1900" s="19"/>
      <c r="P1900" s="19"/>
      <c r="Q1900" s="19"/>
      <c r="R1900" s="19"/>
      <c r="S1900" s="19"/>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row>
    <row r="1901" spans="1:45" x14ac:dyDescent="0.3">
      <c r="A1901" s="410" t="s">
        <v>3431</v>
      </c>
      <c r="B1901" s="17"/>
      <c r="C1901" s="19"/>
      <c r="D1901" s="18"/>
      <c r="E1901" s="18"/>
      <c r="F1901" s="19"/>
      <c r="G1901" s="31"/>
      <c r="H1901" s="31"/>
      <c r="I1901" s="19"/>
      <c r="J1901" s="19"/>
      <c r="K1901" s="18"/>
      <c r="L1901" s="19"/>
      <c r="M1901" s="19"/>
      <c r="N1901" s="20"/>
      <c r="O1901" s="19"/>
      <c r="P1901" s="19"/>
      <c r="Q1901" s="19"/>
      <c r="R1901" s="19"/>
      <c r="S1901" s="19"/>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row>
    <row r="1902" spans="1:45" x14ac:dyDescent="0.3">
      <c r="A1902" s="410" t="s">
        <v>3432</v>
      </c>
      <c r="B1902" s="17"/>
      <c r="C1902" s="19"/>
      <c r="D1902" s="18"/>
      <c r="E1902" s="18"/>
      <c r="F1902" s="19"/>
      <c r="G1902" s="31"/>
      <c r="H1902" s="31"/>
      <c r="I1902" s="19"/>
      <c r="J1902" s="19"/>
      <c r="K1902" s="18"/>
      <c r="L1902" s="19"/>
      <c r="M1902" s="19"/>
      <c r="N1902" s="20"/>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row>
    <row r="1903" spans="1:45" x14ac:dyDescent="0.3">
      <c r="A1903" s="410" t="s">
        <v>3433</v>
      </c>
      <c r="B1903" s="17"/>
      <c r="C1903" s="19"/>
      <c r="D1903" s="18"/>
      <c r="E1903" s="18"/>
      <c r="F1903" s="19"/>
      <c r="G1903" s="31"/>
      <c r="H1903" s="31"/>
      <c r="I1903" s="19"/>
      <c r="J1903" s="19"/>
      <c r="K1903" s="18"/>
      <c r="L1903" s="19"/>
      <c r="M1903" s="19"/>
      <c r="N1903" s="20"/>
      <c r="O1903" s="19"/>
      <c r="P1903" s="19"/>
      <c r="Q1903" s="19"/>
      <c r="R1903" s="19"/>
      <c r="S1903" s="19"/>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row>
    <row r="1904" spans="1:45" x14ac:dyDescent="0.3">
      <c r="A1904" s="410" t="s">
        <v>3434</v>
      </c>
      <c r="B1904" s="17"/>
      <c r="C1904" s="19"/>
      <c r="D1904" s="18"/>
      <c r="E1904" s="18"/>
      <c r="F1904" s="19"/>
      <c r="G1904" s="31"/>
      <c r="H1904" s="31"/>
      <c r="I1904" s="19"/>
      <c r="J1904" s="19"/>
      <c r="K1904" s="18"/>
      <c r="L1904" s="19"/>
      <c r="M1904" s="19"/>
      <c r="N1904" s="20"/>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row>
    <row r="1905" spans="1:45" x14ac:dyDescent="0.3">
      <c r="A1905" s="410" t="s">
        <v>3435</v>
      </c>
      <c r="B1905" s="17"/>
      <c r="C1905" s="19"/>
      <c r="D1905" s="18"/>
      <c r="E1905" s="18"/>
      <c r="F1905" s="19"/>
      <c r="G1905" s="31"/>
      <c r="H1905" s="31"/>
      <c r="I1905" s="19"/>
      <c r="J1905" s="19"/>
      <c r="K1905" s="18"/>
      <c r="L1905" s="19"/>
      <c r="M1905" s="19"/>
      <c r="N1905" s="20"/>
      <c r="O1905" s="19"/>
      <c r="P1905" s="19"/>
      <c r="Q1905" s="19"/>
      <c r="R1905" s="19"/>
      <c r="S1905" s="19"/>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row>
    <row r="1906" spans="1:45" x14ac:dyDescent="0.3">
      <c r="A1906" s="410" t="s">
        <v>3436</v>
      </c>
      <c r="B1906" s="17"/>
      <c r="C1906" s="19"/>
      <c r="D1906" s="18"/>
      <c r="E1906" s="18"/>
      <c r="F1906" s="19"/>
      <c r="G1906" s="31"/>
      <c r="H1906" s="31"/>
      <c r="I1906" s="19"/>
      <c r="J1906" s="19"/>
      <c r="K1906" s="18"/>
      <c r="L1906" s="19"/>
      <c r="M1906" s="19"/>
      <c r="N1906" s="20"/>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row>
    <row r="1907" spans="1:45" x14ac:dyDescent="0.3">
      <c r="A1907" s="410" t="s">
        <v>3437</v>
      </c>
      <c r="B1907" s="17"/>
      <c r="C1907" s="19"/>
      <c r="D1907" s="18"/>
      <c r="E1907" s="18"/>
      <c r="F1907" s="19"/>
      <c r="G1907" s="31"/>
      <c r="H1907" s="31"/>
      <c r="I1907" s="19"/>
      <c r="J1907" s="19"/>
      <c r="K1907" s="18"/>
      <c r="L1907" s="19"/>
      <c r="M1907" s="19"/>
      <c r="N1907" s="20"/>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row>
    <row r="1908" spans="1:45" x14ac:dyDescent="0.3">
      <c r="A1908" s="410" t="s">
        <v>3438</v>
      </c>
      <c r="B1908" s="17"/>
      <c r="C1908" s="19"/>
      <c r="D1908" s="18"/>
      <c r="E1908" s="18"/>
      <c r="F1908" s="19"/>
      <c r="G1908" s="31"/>
      <c r="H1908" s="31"/>
      <c r="I1908" s="19"/>
      <c r="J1908" s="19"/>
      <c r="K1908" s="18"/>
      <c r="L1908" s="19"/>
      <c r="M1908" s="19"/>
      <c r="N1908" s="20"/>
      <c r="O1908" s="19"/>
      <c r="P1908" s="19"/>
      <c r="Q1908" s="19"/>
      <c r="R1908" s="19"/>
      <c r="S1908" s="19"/>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row>
    <row r="1909" spans="1:45" x14ac:dyDescent="0.3">
      <c r="A1909" s="410" t="s">
        <v>3439</v>
      </c>
      <c r="B1909" s="17"/>
      <c r="C1909" s="19"/>
      <c r="D1909" s="18"/>
      <c r="E1909" s="18"/>
      <c r="F1909" s="19"/>
      <c r="G1909" s="31"/>
      <c r="H1909" s="31"/>
      <c r="I1909" s="19"/>
      <c r="J1909" s="19"/>
      <c r="K1909" s="18"/>
      <c r="L1909" s="19"/>
      <c r="M1909" s="19"/>
      <c r="N1909" s="20"/>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row>
    <row r="1910" spans="1:45" x14ac:dyDescent="0.3">
      <c r="A1910" s="410" t="s">
        <v>3440</v>
      </c>
      <c r="B1910" s="17"/>
      <c r="C1910" s="19"/>
      <c r="D1910" s="18"/>
      <c r="E1910" s="18"/>
      <c r="F1910" s="19"/>
      <c r="G1910" s="31"/>
      <c r="H1910" s="31"/>
      <c r="I1910" s="19"/>
      <c r="J1910" s="19"/>
      <c r="K1910" s="18"/>
      <c r="L1910" s="19"/>
      <c r="M1910" s="19"/>
      <c r="N1910" s="20"/>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row>
    <row r="1911" spans="1:45" x14ac:dyDescent="0.3">
      <c r="A1911" s="410" t="s">
        <v>3441</v>
      </c>
      <c r="B1911" s="17"/>
      <c r="C1911" s="19"/>
      <c r="D1911" s="18"/>
      <c r="E1911" s="18"/>
      <c r="F1911" s="19"/>
      <c r="G1911" s="31"/>
      <c r="H1911" s="31"/>
      <c r="I1911" s="19"/>
      <c r="J1911" s="19"/>
      <c r="K1911" s="18"/>
      <c r="L1911" s="19"/>
      <c r="M1911" s="19"/>
      <c r="N1911" s="20"/>
      <c r="O1911" s="19"/>
      <c r="P1911" s="19"/>
      <c r="Q1911" s="19"/>
      <c r="R1911" s="19"/>
      <c r="S1911" s="19"/>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row>
    <row r="1912" spans="1:45" x14ac:dyDescent="0.3">
      <c r="A1912" s="410" t="s">
        <v>3442</v>
      </c>
      <c r="B1912" s="17"/>
      <c r="C1912" s="19"/>
      <c r="D1912" s="18"/>
      <c r="E1912" s="18"/>
      <c r="F1912" s="19"/>
      <c r="G1912" s="31"/>
      <c r="H1912" s="31"/>
      <c r="I1912" s="19"/>
      <c r="J1912" s="19"/>
      <c r="K1912" s="18"/>
      <c r="L1912" s="19"/>
      <c r="M1912" s="19"/>
      <c r="N1912" s="20"/>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row>
    <row r="1913" spans="1:45" x14ac:dyDescent="0.3">
      <c r="A1913" s="410" t="s">
        <v>3443</v>
      </c>
      <c r="B1913" s="17"/>
      <c r="C1913" s="19"/>
      <c r="D1913" s="18"/>
      <c r="E1913" s="18"/>
      <c r="F1913" s="19"/>
      <c r="G1913" s="31"/>
      <c r="H1913" s="31"/>
      <c r="I1913" s="19"/>
      <c r="J1913" s="19"/>
      <c r="K1913" s="18"/>
      <c r="L1913" s="19"/>
      <c r="M1913" s="19"/>
      <c r="N1913" s="20"/>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row>
    <row r="1914" spans="1:45" x14ac:dyDescent="0.3">
      <c r="A1914" s="410" t="s">
        <v>3444</v>
      </c>
      <c r="B1914" s="17"/>
      <c r="C1914" s="19"/>
      <c r="D1914" s="18"/>
      <c r="E1914" s="18"/>
      <c r="F1914" s="19"/>
      <c r="G1914" s="31"/>
      <c r="H1914" s="31"/>
      <c r="I1914" s="19"/>
      <c r="J1914" s="19"/>
      <c r="K1914" s="18"/>
      <c r="L1914" s="19"/>
      <c r="M1914" s="19"/>
      <c r="N1914" s="20"/>
      <c r="O1914" s="19"/>
      <c r="P1914" s="19"/>
      <c r="Q1914" s="19"/>
      <c r="R1914" s="19"/>
      <c r="S1914" s="19"/>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row>
    <row r="1915" spans="1:45" x14ac:dyDescent="0.3">
      <c r="A1915" s="410" t="s">
        <v>3445</v>
      </c>
      <c r="B1915" s="17"/>
      <c r="C1915" s="19"/>
      <c r="D1915" s="18"/>
      <c r="E1915" s="18"/>
      <c r="F1915" s="19"/>
      <c r="G1915" s="31"/>
      <c r="H1915" s="31"/>
      <c r="I1915" s="19"/>
      <c r="J1915" s="19"/>
      <c r="K1915" s="18"/>
      <c r="L1915" s="19"/>
      <c r="M1915" s="19"/>
      <c r="N1915" s="20"/>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row>
    <row r="1916" spans="1:45" x14ac:dyDescent="0.3">
      <c r="A1916" s="410" t="s">
        <v>3446</v>
      </c>
      <c r="B1916" s="17"/>
      <c r="C1916" s="19"/>
      <c r="D1916" s="18"/>
      <c r="E1916" s="18"/>
      <c r="F1916" s="19"/>
      <c r="G1916" s="31"/>
      <c r="H1916" s="31"/>
      <c r="I1916" s="19"/>
      <c r="J1916" s="19"/>
      <c r="K1916" s="18"/>
      <c r="L1916" s="19"/>
      <c r="M1916" s="19"/>
      <c r="N1916" s="20"/>
      <c r="O1916" s="19"/>
      <c r="P1916" s="19"/>
      <c r="Q1916" s="19"/>
      <c r="R1916" s="19"/>
      <c r="S1916" s="19"/>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row>
    <row r="1917" spans="1:45" x14ac:dyDescent="0.3">
      <c r="A1917" s="410" t="s">
        <v>3447</v>
      </c>
      <c r="B1917" s="17"/>
      <c r="C1917" s="19"/>
      <c r="D1917" s="18"/>
      <c r="E1917" s="18"/>
      <c r="F1917" s="19"/>
      <c r="G1917" s="31"/>
      <c r="H1917" s="31"/>
      <c r="I1917" s="19"/>
      <c r="J1917" s="19"/>
      <c r="K1917" s="18"/>
      <c r="L1917" s="19"/>
      <c r="M1917" s="19"/>
      <c r="N1917" s="20"/>
      <c r="O1917" s="19"/>
      <c r="P1917" s="19"/>
      <c r="Q1917" s="19"/>
      <c r="R1917" s="19"/>
      <c r="S1917" s="19"/>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row>
    <row r="1918" spans="1:45" x14ac:dyDescent="0.3">
      <c r="A1918" s="410" t="s">
        <v>3448</v>
      </c>
      <c r="B1918" s="17"/>
      <c r="C1918" s="19"/>
      <c r="D1918" s="18"/>
      <c r="E1918" s="18"/>
      <c r="F1918" s="19"/>
      <c r="G1918" s="31"/>
      <c r="H1918" s="31"/>
      <c r="I1918" s="19"/>
      <c r="J1918" s="19"/>
      <c r="K1918" s="18"/>
      <c r="L1918" s="19"/>
      <c r="M1918" s="19"/>
      <c r="N1918" s="20"/>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row>
    <row r="1919" spans="1:45" x14ac:dyDescent="0.3">
      <c r="A1919" s="410" t="s">
        <v>3449</v>
      </c>
      <c r="B1919" s="17"/>
      <c r="C1919" s="19"/>
      <c r="D1919" s="18"/>
      <c r="E1919" s="18"/>
      <c r="F1919" s="19"/>
      <c r="G1919" s="31"/>
      <c r="H1919" s="31"/>
      <c r="I1919" s="19"/>
      <c r="J1919" s="19"/>
      <c r="K1919" s="18"/>
      <c r="L1919" s="19"/>
      <c r="M1919" s="19"/>
      <c r="N1919" s="20"/>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row>
    <row r="1920" spans="1:45" x14ac:dyDescent="0.3">
      <c r="A1920" s="410" t="s">
        <v>3450</v>
      </c>
      <c r="B1920" s="17"/>
      <c r="C1920" s="19"/>
      <c r="D1920" s="18"/>
      <c r="E1920" s="18"/>
      <c r="F1920" s="19"/>
      <c r="G1920" s="31"/>
      <c r="H1920" s="31"/>
      <c r="I1920" s="19"/>
      <c r="J1920" s="19"/>
      <c r="K1920" s="18"/>
      <c r="L1920" s="19"/>
      <c r="M1920" s="19"/>
      <c r="N1920" s="20"/>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row>
    <row r="1921" spans="1:45" x14ac:dyDescent="0.3">
      <c r="A1921" s="410" t="s">
        <v>3451</v>
      </c>
      <c r="B1921" s="17"/>
      <c r="C1921" s="19"/>
      <c r="D1921" s="18"/>
      <c r="E1921" s="18"/>
      <c r="F1921" s="19"/>
      <c r="G1921" s="31"/>
      <c r="H1921" s="31"/>
      <c r="I1921" s="19"/>
      <c r="J1921" s="19"/>
      <c r="K1921" s="18"/>
      <c r="L1921" s="19"/>
      <c r="M1921" s="19"/>
      <c r="N1921" s="20"/>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row>
    <row r="1922" spans="1:45" x14ac:dyDescent="0.3">
      <c r="A1922" s="410" t="s">
        <v>3452</v>
      </c>
      <c r="B1922" s="17"/>
      <c r="C1922" s="19"/>
      <c r="D1922" s="18"/>
      <c r="E1922" s="18"/>
      <c r="F1922" s="19"/>
      <c r="G1922" s="31"/>
      <c r="H1922" s="31"/>
      <c r="I1922" s="19"/>
      <c r="J1922" s="19"/>
      <c r="K1922" s="18"/>
      <c r="L1922" s="19"/>
      <c r="M1922" s="19"/>
      <c r="N1922" s="20"/>
      <c r="O1922" s="19"/>
      <c r="P1922" s="19"/>
      <c r="Q1922" s="19"/>
      <c r="R1922" s="19"/>
      <c r="S1922" s="19"/>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row>
    <row r="1923" spans="1:45" x14ac:dyDescent="0.3">
      <c r="A1923" s="410" t="s">
        <v>3453</v>
      </c>
      <c r="B1923" s="17"/>
      <c r="C1923" s="19"/>
      <c r="D1923" s="18"/>
      <c r="E1923" s="18"/>
      <c r="F1923" s="19"/>
      <c r="G1923" s="31"/>
      <c r="H1923" s="31"/>
      <c r="I1923" s="19"/>
      <c r="J1923" s="19"/>
      <c r="K1923" s="18"/>
      <c r="L1923" s="19"/>
      <c r="M1923" s="19"/>
      <c r="N1923" s="20"/>
      <c r="O1923" s="19"/>
      <c r="P1923" s="19"/>
      <c r="Q1923" s="19"/>
      <c r="R1923" s="19"/>
      <c r="S1923" s="19"/>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row>
    <row r="1924" spans="1:45" x14ac:dyDescent="0.3">
      <c r="A1924" s="410" t="s">
        <v>3454</v>
      </c>
      <c r="B1924" s="17"/>
      <c r="C1924" s="19"/>
      <c r="D1924" s="18"/>
      <c r="E1924" s="18"/>
      <c r="F1924" s="19"/>
      <c r="G1924" s="31"/>
      <c r="H1924" s="31"/>
      <c r="I1924" s="19"/>
      <c r="J1924" s="19"/>
      <c r="K1924" s="18"/>
      <c r="L1924" s="19"/>
      <c r="M1924" s="19"/>
      <c r="N1924" s="20"/>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row>
    <row r="1925" spans="1:45" x14ac:dyDescent="0.3">
      <c r="A1925" s="410" t="s">
        <v>3455</v>
      </c>
      <c r="B1925" s="17"/>
      <c r="C1925" s="19"/>
      <c r="D1925" s="18"/>
      <c r="E1925" s="18"/>
      <c r="F1925" s="19"/>
      <c r="G1925" s="31"/>
      <c r="H1925" s="31"/>
      <c r="I1925" s="19"/>
      <c r="J1925" s="19"/>
      <c r="K1925" s="18"/>
      <c r="L1925" s="19"/>
      <c r="M1925" s="19"/>
      <c r="N1925" s="20"/>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row>
    <row r="1926" spans="1:45" x14ac:dyDescent="0.3">
      <c r="A1926" s="410" t="s">
        <v>3456</v>
      </c>
      <c r="B1926" s="17"/>
      <c r="C1926" s="19"/>
      <c r="D1926" s="18"/>
      <c r="E1926" s="18"/>
      <c r="F1926" s="19"/>
      <c r="G1926" s="31"/>
      <c r="H1926" s="31"/>
      <c r="I1926" s="19"/>
      <c r="J1926" s="19"/>
      <c r="K1926" s="18"/>
      <c r="L1926" s="19"/>
      <c r="M1926" s="19"/>
      <c r="N1926" s="20"/>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row>
    <row r="1927" spans="1:45" x14ac:dyDescent="0.3">
      <c r="A1927" s="410" t="s">
        <v>3457</v>
      </c>
      <c r="B1927" s="17"/>
      <c r="C1927" s="19"/>
      <c r="D1927" s="18"/>
      <c r="E1927" s="18"/>
      <c r="F1927" s="19"/>
      <c r="G1927" s="31"/>
      <c r="H1927" s="31"/>
      <c r="I1927" s="19"/>
      <c r="J1927" s="19"/>
      <c r="K1927" s="18"/>
      <c r="L1927" s="19"/>
      <c r="M1927" s="19"/>
      <c r="N1927" s="20"/>
      <c r="O1927" s="19"/>
      <c r="P1927" s="19"/>
      <c r="Q1927" s="19"/>
      <c r="R1927" s="19"/>
      <c r="S1927" s="19"/>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row>
    <row r="1928" spans="1:45" x14ac:dyDescent="0.3">
      <c r="A1928" s="410" t="s">
        <v>3458</v>
      </c>
      <c r="B1928" s="17"/>
      <c r="C1928" s="19"/>
      <c r="D1928" s="18"/>
      <c r="E1928" s="18"/>
      <c r="F1928" s="19"/>
      <c r="G1928" s="31"/>
      <c r="H1928" s="31"/>
      <c r="I1928" s="19"/>
      <c r="J1928" s="19"/>
      <c r="K1928" s="18"/>
      <c r="L1928" s="19"/>
      <c r="M1928" s="19"/>
      <c r="N1928" s="20"/>
      <c r="O1928" s="19"/>
      <c r="P1928" s="19"/>
      <c r="Q1928" s="19"/>
      <c r="R1928" s="19"/>
      <c r="S1928" s="19"/>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row>
    <row r="1929" spans="1:45" x14ac:dyDescent="0.3">
      <c r="A1929" s="410" t="s">
        <v>3459</v>
      </c>
      <c r="B1929" s="17"/>
      <c r="C1929" s="19"/>
      <c r="D1929" s="18"/>
      <c r="E1929" s="18"/>
      <c r="F1929" s="19"/>
      <c r="G1929" s="31"/>
      <c r="H1929" s="31"/>
      <c r="I1929" s="19"/>
      <c r="J1929" s="19"/>
      <c r="K1929" s="18"/>
      <c r="L1929" s="19"/>
      <c r="M1929" s="19"/>
      <c r="N1929" s="20"/>
      <c r="O1929" s="19"/>
      <c r="P1929" s="19"/>
      <c r="Q1929" s="19"/>
      <c r="R1929" s="19"/>
      <c r="S1929" s="19"/>
      <c r="T1929" s="19"/>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row>
    <row r="1930" spans="1:45" x14ac:dyDescent="0.3">
      <c r="A1930" s="410" t="s">
        <v>3460</v>
      </c>
      <c r="B1930" s="17"/>
      <c r="C1930" s="19"/>
      <c r="D1930" s="18"/>
      <c r="E1930" s="18"/>
      <c r="F1930" s="19"/>
      <c r="G1930" s="31"/>
      <c r="H1930" s="31"/>
      <c r="I1930" s="19"/>
      <c r="J1930" s="19"/>
      <c r="K1930" s="18"/>
      <c r="L1930" s="19"/>
      <c r="M1930" s="19"/>
      <c r="N1930" s="20"/>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row>
    <row r="1931" spans="1:45" x14ac:dyDescent="0.3">
      <c r="A1931" s="410" t="s">
        <v>3461</v>
      </c>
      <c r="B1931" s="17"/>
      <c r="C1931" s="19"/>
      <c r="D1931" s="18"/>
      <c r="E1931" s="18"/>
      <c r="F1931" s="19"/>
      <c r="G1931" s="31"/>
      <c r="H1931" s="31"/>
      <c r="I1931" s="19"/>
      <c r="J1931" s="19"/>
      <c r="K1931" s="18"/>
      <c r="L1931" s="19"/>
      <c r="M1931" s="19"/>
      <c r="N1931" s="20"/>
      <c r="O1931" s="19"/>
      <c r="P1931" s="19"/>
      <c r="Q1931" s="19"/>
      <c r="R1931" s="19"/>
      <c r="S1931" s="19"/>
      <c r="T1931" s="19"/>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row>
    <row r="1932" spans="1:45" x14ac:dyDescent="0.3">
      <c r="A1932" s="410" t="s">
        <v>3462</v>
      </c>
      <c r="B1932" s="17"/>
      <c r="C1932" s="19"/>
      <c r="D1932" s="18"/>
      <c r="E1932" s="18"/>
      <c r="F1932" s="19"/>
      <c r="G1932" s="31"/>
      <c r="H1932" s="31"/>
      <c r="I1932" s="19"/>
      <c r="J1932" s="19"/>
      <c r="K1932" s="18"/>
      <c r="L1932" s="19"/>
      <c r="M1932" s="19"/>
      <c r="N1932" s="20"/>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row>
    <row r="1933" spans="1:45" x14ac:dyDescent="0.3">
      <c r="A1933" s="410" t="s">
        <v>3463</v>
      </c>
      <c r="B1933" s="17"/>
      <c r="C1933" s="19"/>
      <c r="D1933" s="18"/>
      <c r="E1933" s="18"/>
      <c r="F1933" s="19"/>
      <c r="G1933" s="31"/>
      <c r="H1933" s="31"/>
      <c r="I1933" s="19"/>
      <c r="J1933" s="19"/>
      <c r="K1933" s="18"/>
      <c r="L1933" s="19"/>
      <c r="M1933" s="19"/>
      <c r="N1933" s="20"/>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row>
    <row r="1934" spans="1:45" x14ac:dyDescent="0.3">
      <c r="A1934" s="410" t="s">
        <v>3464</v>
      </c>
      <c r="B1934" s="17"/>
      <c r="C1934" s="19"/>
      <c r="D1934" s="18"/>
      <c r="E1934" s="18"/>
      <c r="F1934" s="19"/>
      <c r="G1934" s="31"/>
      <c r="H1934" s="31"/>
      <c r="I1934" s="19"/>
      <c r="J1934" s="19"/>
      <c r="K1934" s="18"/>
      <c r="L1934" s="19"/>
      <c r="M1934" s="19"/>
      <c r="N1934" s="20"/>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row>
    <row r="1935" spans="1:45" x14ac:dyDescent="0.3">
      <c r="A1935" s="410" t="s">
        <v>3465</v>
      </c>
      <c r="B1935" s="17"/>
      <c r="C1935" s="19"/>
      <c r="D1935" s="18"/>
      <c r="E1935" s="18"/>
      <c r="F1935" s="19"/>
      <c r="G1935" s="31"/>
      <c r="H1935" s="31"/>
      <c r="I1935" s="19"/>
      <c r="J1935" s="19"/>
      <c r="K1935" s="18"/>
      <c r="L1935" s="19"/>
      <c r="M1935" s="19"/>
      <c r="N1935" s="20"/>
      <c r="O1935" s="19"/>
      <c r="P1935" s="19"/>
      <c r="Q1935" s="19"/>
      <c r="R1935" s="19"/>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row>
    <row r="1936" spans="1:45" x14ac:dyDescent="0.3">
      <c r="A1936" s="410" t="s">
        <v>3466</v>
      </c>
      <c r="B1936" s="17"/>
      <c r="C1936" s="19"/>
      <c r="D1936" s="18"/>
      <c r="E1936" s="18"/>
      <c r="F1936" s="19"/>
      <c r="G1936" s="31"/>
      <c r="H1936" s="31"/>
      <c r="I1936" s="19"/>
      <c r="J1936" s="19"/>
      <c r="K1936" s="18"/>
      <c r="L1936" s="19"/>
      <c r="M1936" s="19"/>
      <c r="N1936" s="20"/>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row>
    <row r="1937" spans="1:45" x14ac:dyDescent="0.3">
      <c r="A1937" s="410" t="s">
        <v>3467</v>
      </c>
      <c r="B1937" s="17"/>
      <c r="C1937" s="19"/>
      <c r="D1937" s="18"/>
      <c r="E1937" s="18"/>
      <c r="F1937" s="19"/>
      <c r="G1937" s="31"/>
      <c r="H1937" s="31"/>
      <c r="I1937" s="19"/>
      <c r="J1937" s="19"/>
      <c r="K1937" s="18"/>
      <c r="L1937" s="19"/>
      <c r="M1937" s="19"/>
      <c r="N1937" s="20"/>
      <c r="O1937" s="19"/>
      <c r="P1937" s="19"/>
      <c r="Q1937" s="19"/>
      <c r="R1937" s="19"/>
      <c r="S1937" s="19"/>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row>
    <row r="1938" spans="1:45" x14ac:dyDescent="0.3">
      <c r="A1938" s="410" t="s">
        <v>3468</v>
      </c>
      <c r="B1938" s="17"/>
      <c r="C1938" s="19"/>
      <c r="D1938" s="18"/>
      <c r="E1938" s="18"/>
      <c r="F1938" s="19"/>
      <c r="G1938" s="31"/>
      <c r="H1938" s="31"/>
      <c r="I1938" s="19"/>
      <c r="J1938" s="19"/>
      <c r="K1938" s="18"/>
      <c r="L1938" s="19"/>
      <c r="M1938" s="19"/>
      <c r="N1938" s="20"/>
      <c r="O1938" s="19"/>
      <c r="P1938" s="19"/>
      <c r="Q1938" s="19"/>
      <c r="R1938" s="19"/>
      <c r="S1938" s="19"/>
      <c r="T1938" s="19"/>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row>
    <row r="1939" spans="1:45" x14ac:dyDescent="0.3">
      <c r="A1939" s="410" t="s">
        <v>3469</v>
      </c>
      <c r="B1939" s="17"/>
      <c r="C1939" s="19"/>
      <c r="D1939" s="18"/>
      <c r="E1939" s="18"/>
      <c r="F1939" s="19"/>
      <c r="G1939" s="31"/>
      <c r="H1939" s="31"/>
      <c r="I1939" s="19"/>
      <c r="J1939" s="19"/>
      <c r="K1939" s="18"/>
      <c r="L1939" s="19"/>
      <c r="M1939" s="19"/>
      <c r="N1939" s="20"/>
      <c r="O1939" s="19"/>
      <c r="P1939" s="19"/>
      <c r="Q1939" s="19"/>
      <c r="R1939" s="19"/>
      <c r="S1939" s="19"/>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row>
    <row r="1940" spans="1:45" x14ac:dyDescent="0.3">
      <c r="A1940" s="410" t="s">
        <v>3470</v>
      </c>
      <c r="B1940" s="17"/>
      <c r="C1940" s="19"/>
      <c r="D1940" s="18"/>
      <c r="E1940" s="18"/>
      <c r="F1940" s="19"/>
      <c r="G1940" s="31"/>
      <c r="H1940" s="31"/>
      <c r="I1940" s="19"/>
      <c r="J1940" s="19"/>
      <c r="K1940" s="18"/>
      <c r="L1940" s="19"/>
      <c r="M1940" s="19"/>
      <c r="N1940" s="20"/>
      <c r="O1940" s="19"/>
      <c r="P1940" s="19"/>
      <c r="Q1940" s="19"/>
      <c r="R1940" s="19"/>
      <c r="S1940" s="19"/>
      <c r="T1940" s="19"/>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row>
    <row r="1941" spans="1:45" x14ac:dyDescent="0.3">
      <c r="A1941" s="410" t="s">
        <v>3471</v>
      </c>
      <c r="B1941" s="17"/>
      <c r="C1941" s="19"/>
      <c r="D1941" s="18"/>
      <c r="E1941" s="18"/>
      <c r="F1941" s="19"/>
      <c r="G1941" s="31"/>
      <c r="H1941" s="31"/>
      <c r="I1941" s="19"/>
      <c r="J1941" s="19"/>
      <c r="K1941" s="18"/>
      <c r="L1941" s="19"/>
      <c r="M1941" s="19"/>
      <c r="N1941" s="20"/>
      <c r="O1941" s="19"/>
      <c r="P1941" s="19"/>
      <c r="Q1941" s="19"/>
      <c r="R1941" s="19"/>
      <c r="S1941" s="19"/>
      <c r="T1941" s="19"/>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row>
    <row r="1942" spans="1:45" x14ac:dyDescent="0.3">
      <c r="A1942" s="410" t="s">
        <v>3472</v>
      </c>
      <c r="B1942" s="17"/>
      <c r="C1942" s="19"/>
      <c r="D1942" s="18"/>
      <c r="E1942" s="18"/>
      <c r="F1942" s="19"/>
      <c r="G1942" s="31"/>
      <c r="H1942" s="31"/>
      <c r="I1942" s="19"/>
      <c r="J1942" s="19"/>
      <c r="K1942" s="18"/>
      <c r="L1942" s="19"/>
      <c r="M1942" s="19"/>
      <c r="N1942" s="20"/>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row>
    <row r="1943" spans="1:45" x14ac:dyDescent="0.3">
      <c r="A1943" s="410" t="s">
        <v>3473</v>
      </c>
      <c r="B1943" s="17"/>
      <c r="C1943" s="19"/>
      <c r="D1943" s="18"/>
      <c r="E1943" s="18"/>
      <c r="F1943" s="19"/>
      <c r="G1943" s="31"/>
      <c r="H1943" s="31"/>
      <c r="I1943" s="19"/>
      <c r="J1943" s="19"/>
      <c r="K1943" s="18"/>
      <c r="L1943" s="19"/>
      <c r="M1943" s="19"/>
      <c r="N1943" s="20"/>
      <c r="O1943" s="19"/>
      <c r="P1943" s="19"/>
      <c r="Q1943" s="19"/>
      <c r="R1943" s="19"/>
      <c r="S1943" s="19"/>
      <c r="T1943" s="19"/>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row>
    <row r="1944" spans="1:45" x14ac:dyDescent="0.3">
      <c r="A1944" s="410" t="s">
        <v>3474</v>
      </c>
      <c r="B1944" s="17"/>
      <c r="C1944" s="19"/>
      <c r="D1944" s="18"/>
      <c r="E1944" s="18"/>
      <c r="F1944" s="19"/>
      <c r="G1944" s="31"/>
      <c r="H1944" s="31"/>
      <c r="I1944" s="19"/>
      <c r="J1944" s="19"/>
      <c r="K1944" s="18"/>
      <c r="L1944" s="19"/>
      <c r="M1944" s="19"/>
      <c r="N1944" s="20"/>
      <c r="O1944" s="19"/>
      <c r="P1944" s="19"/>
      <c r="Q1944" s="19"/>
      <c r="R1944" s="19"/>
      <c r="S1944" s="19"/>
      <c r="T1944" s="19"/>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row>
    <row r="1945" spans="1:45" x14ac:dyDescent="0.3">
      <c r="A1945" s="410" t="s">
        <v>3475</v>
      </c>
      <c r="B1945" s="17"/>
      <c r="C1945" s="19"/>
      <c r="D1945" s="18"/>
      <c r="E1945" s="18"/>
      <c r="F1945" s="19"/>
      <c r="G1945" s="31"/>
      <c r="H1945" s="31"/>
      <c r="I1945" s="19"/>
      <c r="J1945" s="19"/>
      <c r="K1945" s="18"/>
      <c r="L1945" s="19"/>
      <c r="M1945" s="19"/>
      <c r="N1945" s="20"/>
      <c r="O1945" s="19"/>
      <c r="P1945" s="19"/>
      <c r="Q1945" s="19"/>
      <c r="R1945" s="19"/>
      <c r="S1945" s="19"/>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row>
    <row r="1946" spans="1:45" x14ac:dyDescent="0.3">
      <c r="A1946" s="410" t="s">
        <v>3476</v>
      </c>
      <c r="B1946" s="17"/>
      <c r="C1946" s="19"/>
      <c r="D1946" s="18"/>
      <c r="E1946" s="18"/>
      <c r="F1946" s="19"/>
      <c r="G1946" s="31"/>
      <c r="H1946" s="31"/>
      <c r="I1946" s="19"/>
      <c r="J1946" s="19"/>
      <c r="K1946" s="18"/>
      <c r="L1946" s="19"/>
      <c r="M1946" s="19"/>
      <c r="N1946" s="20"/>
      <c r="O1946" s="19"/>
      <c r="P1946" s="19"/>
      <c r="Q1946" s="19"/>
      <c r="R1946" s="19"/>
      <c r="S1946" s="19"/>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row>
    <row r="1947" spans="1:45" x14ac:dyDescent="0.3">
      <c r="A1947" s="410" t="s">
        <v>3477</v>
      </c>
      <c r="B1947" s="17"/>
      <c r="C1947" s="19"/>
      <c r="D1947" s="18"/>
      <c r="E1947" s="18"/>
      <c r="F1947" s="19"/>
      <c r="G1947" s="31"/>
      <c r="H1947" s="31"/>
      <c r="I1947" s="19"/>
      <c r="J1947" s="19"/>
      <c r="K1947" s="18"/>
      <c r="L1947" s="19"/>
      <c r="M1947" s="19"/>
      <c r="N1947" s="20"/>
      <c r="O1947" s="19"/>
      <c r="P1947" s="19"/>
      <c r="Q1947" s="19"/>
      <c r="R1947" s="19"/>
      <c r="S1947" s="19"/>
      <c r="T1947" s="19"/>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row>
    <row r="1948" spans="1:45" x14ac:dyDescent="0.3">
      <c r="A1948" s="410" t="s">
        <v>3478</v>
      </c>
      <c r="B1948" s="17"/>
      <c r="C1948" s="19"/>
      <c r="D1948" s="18"/>
      <c r="E1948" s="18"/>
      <c r="F1948" s="19"/>
      <c r="G1948" s="31"/>
      <c r="H1948" s="31"/>
      <c r="I1948" s="19"/>
      <c r="J1948" s="19"/>
      <c r="K1948" s="18"/>
      <c r="L1948" s="19"/>
      <c r="M1948" s="19"/>
      <c r="N1948" s="20"/>
      <c r="O1948" s="19"/>
      <c r="P1948" s="19"/>
      <c r="Q1948" s="19"/>
      <c r="R1948" s="19"/>
      <c r="S1948" s="19"/>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row>
    <row r="1949" spans="1:45" x14ac:dyDescent="0.3">
      <c r="A1949" s="410" t="s">
        <v>3479</v>
      </c>
      <c r="B1949" s="17"/>
      <c r="C1949" s="19"/>
      <c r="D1949" s="18"/>
      <c r="E1949" s="18"/>
      <c r="F1949" s="19"/>
      <c r="G1949" s="31"/>
      <c r="H1949" s="31"/>
      <c r="I1949" s="19"/>
      <c r="J1949" s="19"/>
      <c r="K1949" s="18"/>
      <c r="L1949" s="19"/>
      <c r="M1949" s="19"/>
      <c r="N1949" s="20"/>
      <c r="O1949" s="19"/>
      <c r="P1949" s="19"/>
      <c r="Q1949" s="19"/>
      <c r="R1949" s="19"/>
      <c r="S1949" s="19"/>
      <c r="T1949" s="19"/>
      <c r="U1949" s="19"/>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row>
    <row r="1950" spans="1:45" x14ac:dyDescent="0.3">
      <c r="A1950" s="410" t="s">
        <v>3480</v>
      </c>
      <c r="B1950" s="17"/>
      <c r="C1950" s="19"/>
      <c r="D1950" s="18"/>
      <c r="E1950" s="18"/>
      <c r="F1950" s="19"/>
      <c r="G1950" s="31"/>
      <c r="H1950" s="31"/>
      <c r="I1950" s="19"/>
      <c r="J1950" s="19"/>
      <c r="K1950" s="18"/>
      <c r="L1950" s="19"/>
      <c r="M1950" s="19"/>
      <c r="N1950" s="20"/>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row>
    <row r="1951" spans="1:45" x14ac:dyDescent="0.3">
      <c r="A1951" s="410" t="s">
        <v>3481</v>
      </c>
      <c r="B1951" s="17"/>
      <c r="C1951" s="19"/>
      <c r="D1951" s="18"/>
      <c r="E1951" s="18"/>
      <c r="F1951" s="19"/>
      <c r="G1951" s="31"/>
      <c r="H1951" s="31"/>
      <c r="I1951" s="19"/>
      <c r="J1951" s="19"/>
      <c r="K1951" s="18"/>
      <c r="L1951" s="19"/>
      <c r="M1951" s="19"/>
      <c r="N1951" s="20"/>
      <c r="O1951" s="19"/>
      <c r="P1951" s="19"/>
      <c r="Q1951" s="19"/>
      <c r="R1951" s="19"/>
      <c r="S1951" s="19"/>
      <c r="T1951" s="19"/>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row>
    <row r="1952" spans="1:45" x14ac:dyDescent="0.3">
      <c r="A1952" s="410" t="s">
        <v>3482</v>
      </c>
      <c r="B1952" s="17"/>
      <c r="C1952" s="19"/>
      <c r="D1952" s="18"/>
      <c r="E1952" s="18"/>
      <c r="F1952" s="19"/>
      <c r="G1952" s="31"/>
      <c r="H1952" s="31"/>
      <c r="I1952" s="19"/>
      <c r="J1952" s="19"/>
      <c r="K1952" s="18"/>
      <c r="L1952" s="19"/>
      <c r="M1952" s="19"/>
      <c r="N1952" s="20"/>
      <c r="O1952" s="19"/>
      <c r="P1952" s="19"/>
      <c r="Q1952" s="19"/>
      <c r="R1952" s="19"/>
      <c r="S1952" s="19"/>
      <c r="T1952" s="19"/>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row>
    <row r="1953" spans="1:45" x14ac:dyDescent="0.3">
      <c r="A1953" s="410" t="s">
        <v>3483</v>
      </c>
      <c r="B1953" s="17"/>
      <c r="C1953" s="19"/>
      <c r="D1953" s="18"/>
      <c r="E1953" s="18"/>
      <c r="F1953" s="19"/>
      <c r="G1953" s="31"/>
      <c r="H1953" s="31"/>
      <c r="I1953" s="19"/>
      <c r="J1953" s="19"/>
      <c r="K1953" s="18"/>
      <c r="L1953" s="19"/>
      <c r="M1953" s="19"/>
      <c r="N1953" s="20"/>
      <c r="O1953" s="19"/>
      <c r="P1953" s="19"/>
      <c r="Q1953" s="19"/>
      <c r="R1953" s="19"/>
      <c r="S1953" s="19"/>
      <c r="T1953" s="19"/>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row>
    <row r="1954" spans="1:45" x14ac:dyDescent="0.3">
      <c r="A1954" s="410" t="s">
        <v>3484</v>
      </c>
      <c r="B1954" s="17"/>
      <c r="C1954" s="19"/>
      <c r="D1954" s="18"/>
      <c r="E1954" s="17"/>
      <c r="F1954" s="19"/>
      <c r="G1954" s="31"/>
      <c r="H1954" s="31"/>
      <c r="I1954" s="19"/>
      <c r="J1954" s="19"/>
      <c r="K1954" s="18"/>
      <c r="L1954" s="19"/>
      <c r="M1954" s="19"/>
      <c r="N1954" s="20"/>
      <c r="O1954" s="19"/>
      <c r="P1954" s="19"/>
      <c r="Q1954" s="19"/>
      <c r="R1954" s="19"/>
      <c r="S1954" s="19"/>
      <c r="T1954" s="19"/>
      <c r="U1954" s="19"/>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row>
    <row r="1955" spans="1:45" x14ac:dyDescent="0.3">
      <c r="A1955" s="410"/>
      <c r="B1955" s="17"/>
      <c r="C1955" s="19"/>
      <c r="D1955" s="18"/>
      <c r="E1955" s="17"/>
      <c r="F1955" s="19"/>
      <c r="G1955" s="31"/>
      <c r="H1955" s="31"/>
      <c r="I1955" s="19"/>
      <c r="J1955" s="19"/>
      <c r="K1955" s="18"/>
      <c r="L1955" s="19"/>
      <c r="M1955" s="19"/>
      <c r="N1955" s="20"/>
      <c r="O1955" s="19"/>
      <c r="P1955" s="19"/>
      <c r="Q1955" s="19"/>
      <c r="R1955" s="19"/>
      <c r="S1955" s="19"/>
      <c r="T1955" s="19"/>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row>
    <row r="1956" spans="1:45" x14ac:dyDescent="0.3">
      <c r="A1956" s="410" t="s">
        <v>3485</v>
      </c>
      <c r="B1956" s="17" t="s">
        <v>3486</v>
      </c>
      <c r="C1956" s="19" t="s">
        <v>1826</v>
      </c>
      <c r="D1956" s="19">
        <v>23150403</v>
      </c>
      <c r="E1956" s="17"/>
      <c r="F1956" s="19"/>
      <c r="G1956" s="31">
        <v>45162</v>
      </c>
      <c r="H1956" s="31" t="s">
        <v>1774</v>
      </c>
      <c r="I1956" s="19" t="s">
        <v>1372</v>
      </c>
      <c r="J1956" s="19" t="s">
        <v>1789</v>
      </c>
      <c r="K1956" s="18" t="s">
        <v>1372</v>
      </c>
      <c r="L1956" s="19" t="s">
        <v>1789</v>
      </c>
      <c r="M1956" s="19" t="s">
        <v>1461</v>
      </c>
      <c r="N1956" s="20" t="s">
        <v>3487</v>
      </c>
      <c r="O1956" s="19" t="s">
        <v>2582</v>
      </c>
      <c r="P1956" s="19"/>
      <c r="Q1956" s="19" t="s">
        <v>1372</v>
      </c>
      <c r="R1956" s="19" t="s">
        <v>3488</v>
      </c>
      <c r="S1956" s="19"/>
      <c r="T1956" s="19"/>
      <c r="U1956" s="19"/>
      <c r="V1956" s="19"/>
      <c r="W1956" s="19" t="s">
        <v>1382</v>
      </c>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row>
    <row r="1957" spans="1:45" x14ac:dyDescent="0.3">
      <c r="A1957" s="410" t="s">
        <v>3489</v>
      </c>
      <c r="B1957" s="17" t="s">
        <v>3490</v>
      </c>
      <c r="C1957" s="19" t="s">
        <v>1381</v>
      </c>
      <c r="D1957" s="19">
        <v>23204287</v>
      </c>
      <c r="E1957" s="17"/>
      <c r="F1957" s="19"/>
      <c r="G1957" s="31" t="s">
        <v>3491</v>
      </c>
      <c r="H1957" s="31" t="s">
        <v>1774</v>
      </c>
      <c r="I1957" s="19" t="s">
        <v>1372</v>
      </c>
      <c r="J1957" s="19" t="s">
        <v>1789</v>
      </c>
      <c r="K1957" s="18" t="s">
        <v>1372</v>
      </c>
      <c r="L1957" s="19" t="s">
        <v>1789</v>
      </c>
      <c r="M1957" s="19" t="s">
        <v>1461</v>
      </c>
      <c r="N1957" s="20" t="s">
        <v>3487</v>
      </c>
      <c r="O1957" s="19" t="s">
        <v>1372</v>
      </c>
      <c r="P1957" s="19" t="s">
        <v>1372</v>
      </c>
      <c r="Q1957" s="19" t="s">
        <v>1372</v>
      </c>
      <c r="R1957" s="19" t="s">
        <v>1372</v>
      </c>
      <c r="S1957" s="19" t="s">
        <v>1372</v>
      </c>
      <c r="T1957" s="19" t="s">
        <v>1372</v>
      </c>
      <c r="U1957" s="19" t="s">
        <v>1372</v>
      </c>
      <c r="V1957" s="19" t="s">
        <v>1372</v>
      </c>
      <c r="W1957" s="19"/>
      <c r="X1957" s="19"/>
      <c r="Y1957" s="19"/>
      <c r="Z1957" s="19" t="s">
        <v>1372</v>
      </c>
      <c r="AA1957" s="19"/>
      <c r="AB1957" s="19"/>
      <c r="AC1957" s="19"/>
      <c r="AD1957" s="19"/>
      <c r="AE1957" s="19"/>
      <c r="AF1957" s="19"/>
      <c r="AG1957" s="19" t="s">
        <v>1372</v>
      </c>
      <c r="AH1957" s="19"/>
      <c r="AI1957" s="19"/>
      <c r="AJ1957" s="19"/>
      <c r="AK1957" s="19"/>
      <c r="AL1957" s="19"/>
      <c r="AM1957" s="19"/>
      <c r="AN1957" s="19"/>
      <c r="AO1957" s="19"/>
      <c r="AP1957" s="19"/>
      <c r="AQ1957" s="19"/>
      <c r="AR1957" s="19"/>
      <c r="AS1957" s="19"/>
    </row>
    <row r="1958" spans="1:45" x14ac:dyDescent="0.3">
      <c r="A1958" s="410" t="s">
        <v>3492</v>
      </c>
      <c r="B1958" s="17" t="s">
        <v>3493</v>
      </c>
      <c r="C1958" s="19" t="s">
        <v>1368</v>
      </c>
      <c r="D1958" s="19">
        <v>23204235</v>
      </c>
      <c r="E1958" s="17"/>
      <c r="F1958" s="19"/>
      <c r="G1958" s="31"/>
      <c r="H1958" s="31"/>
      <c r="I1958" s="19"/>
      <c r="J1958" s="19"/>
      <c r="K1958" s="18"/>
      <c r="L1958" s="19"/>
      <c r="M1958" s="19"/>
      <c r="N1958" s="20"/>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row>
    <row r="1959" spans="1:45" x14ac:dyDescent="0.3">
      <c r="A1959" s="410" t="s">
        <v>3494</v>
      </c>
      <c r="B1959" s="17" t="s">
        <v>3495</v>
      </c>
      <c r="C1959" s="19" t="s">
        <v>1368</v>
      </c>
      <c r="D1959" s="19">
        <v>23162970</v>
      </c>
      <c r="E1959" s="17"/>
      <c r="F1959" s="19"/>
      <c r="G1959" s="31"/>
      <c r="H1959" s="31"/>
      <c r="I1959" s="19"/>
      <c r="J1959" s="19"/>
      <c r="K1959" s="18"/>
      <c r="L1959" s="19"/>
      <c r="M1959" s="19"/>
      <c r="N1959" s="20"/>
      <c r="O1959" s="19"/>
      <c r="P1959" s="19"/>
      <c r="Q1959" s="19"/>
      <c r="R1959" s="19"/>
      <c r="S1959" s="19"/>
      <c r="T1959" s="19"/>
      <c r="U1959" s="19"/>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row>
    <row r="1960" spans="1:45" x14ac:dyDescent="0.3">
      <c r="A1960" s="410" t="s">
        <v>3496</v>
      </c>
      <c r="B1960" s="17" t="s">
        <v>3497</v>
      </c>
      <c r="C1960" s="19" t="s">
        <v>1368</v>
      </c>
      <c r="D1960" s="19">
        <v>22246911</v>
      </c>
      <c r="E1960" s="17"/>
      <c r="F1960" s="19"/>
      <c r="G1960" s="31"/>
      <c r="H1960" s="31"/>
      <c r="I1960" s="19"/>
      <c r="J1960" s="19"/>
      <c r="K1960" s="18"/>
      <c r="L1960" s="19"/>
      <c r="M1960" s="19"/>
      <c r="N1960" s="20"/>
      <c r="O1960" s="19"/>
      <c r="P1960" s="19"/>
      <c r="Q1960" s="19"/>
      <c r="R1960" s="19"/>
      <c r="S1960" s="19"/>
      <c r="T1960" s="19"/>
      <c r="U1960" s="19"/>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row>
    <row r="1961" spans="1:45" x14ac:dyDescent="0.3">
      <c r="A1961" s="410" t="s">
        <v>3498</v>
      </c>
      <c r="B1961" s="17" t="s">
        <v>3499</v>
      </c>
      <c r="C1961" s="19" t="s">
        <v>1368</v>
      </c>
      <c r="D1961" s="19">
        <v>23138611</v>
      </c>
      <c r="E1961" s="17"/>
      <c r="F1961" s="19"/>
      <c r="G1961" s="31"/>
      <c r="H1961" s="31"/>
      <c r="I1961" s="19"/>
      <c r="J1961" s="19"/>
      <c r="K1961" s="18"/>
      <c r="L1961" s="19"/>
      <c r="M1961" s="19"/>
      <c r="N1961" s="20"/>
      <c r="O1961" s="19"/>
      <c r="P1961" s="19"/>
      <c r="Q1961" s="19"/>
      <c r="R1961" s="19"/>
      <c r="S1961" s="19"/>
      <c r="T1961" s="19"/>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row>
    <row r="1962" spans="1:45" x14ac:dyDescent="0.3">
      <c r="A1962" s="410" t="s">
        <v>3500</v>
      </c>
      <c r="B1962" s="17" t="s">
        <v>3501</v>
      </c>
      <c r="C1962" s="19" t="s">
        <v>1371</v>
      </c>
      <c r="D1962" s="19">
        <v>23112545</v>
      </c>
      <c r="E1962" s="17"/>
      <c r="F1962" s="19"/>
      <c r="G1962" s="31">
        <v>45176</v>
      </c>
      <c r="H1962" s="31" t="s">
        <v>1774</v>
      </c>
      <c r="I1962" s="19" t="s">
        <v>1372</v>
      </c>
      <c r="J1962" s="19" t="s">
        <v>1789</v>
      </c>
      <c r="K1962" s="18" t="s">
        <v>1372</v>
      </c>
      <c r="L1962" s="19" t="s">
        <v>1789</v>
      </c>
      <c r="M1962" s="19" t="s">
        <v>1461</v>
      </c>
      <c r="N1962" s="20" t="s">
        <v>3487</v>
      </c>
      <c r="O1962" s="19" t="s">
        <v>3502</v>
      </c>
      <c r="P1962" s="19"/>
      <c r="Q1962" s="19" t="s">
        <v>1372</v>
      </c>
      <c r="R1962" s="19" t="s">
        <v>1372</v>
      </c>
      <c r="S1962" s="19" t="s">
        <v>1372</v>
      </c>
      <c r="T1962" s="19" t="s">
        <v>1372</v>
      </c>
      <c r="U1962" s="19" t="s">
        <v>1372</v>
      </c>
      <c r="V1962" s="19" t="s">
        <v>1372</v>
      </c>
      <c r="W1962" s="19"/>
      <c r="X1962" s="19"/>
      <c r="Y1962" s="19"/>
      <c r="Z1962" s="19" t="s">
        <v>1372</v>
      </c>
      <c r="AA1962" s="19"/>
      <c r="AB1962" s="19"/>
      <c r="AC1962" s="19"/>
      <c r="AD1962" s="19"/>
      <c r="AE1962" s="19"/>
      <c r="AF1962" s="19" t="s">
        <v>1372</v>
      </c>
      <c r="AG1962" s="19"/>
      <c r="AH1962" s="19"/>
      <c r="AI1962" s="19"/>
      <c r="AJ1962" s="19"/>
      <c r="AK1962" s="19"/>
      <c r="AL1962" s="19"/>
      <c r="AM1962" s="19"/>
      <c r="AN1962" s="19"/>
      <c r="AO1962" s="19"/>
      <c r="AP1962" s="19"/>
      <c r="AQ1962" s="19"/>
      <c r="AR1962" s="19" t="s">
        <v>1783</v>
      </c>
      <c r="AS1962" s="19"/>
    </row>
    <row r="1963" spans="1:45" x14ac:dyDescent="0.3">
      <c r="A1963" s="410" t="s">
        <v>3503</v>
      </c>
      <c r="B1963" s="17" t="s">
        <v>3504</v>
      </c>
      <c r="C1963" s="19" t="s">
        <v>1368</v>
      </c>
      <c r="D1963" s="19">
        <v>23163281</v>
      </c>
      <c r="E1963" s="17"/>
      <c r="F1963" s="19"/>
      <c r="G1963" s="31"/>
      <c r="H1963" s="31"/>
      <c r="I1963" s="19"/>
      <c r="J1963" s="19"/>
      <c r="K1963" s="18"/>
      <c r="L1963" s="19"/>
      <c r="M1963" s="19"/>
      <c r="N1963" s="20"/>
      <c r="O1963" s="19"/>
      <c r="P1963" s="19"/>
      <c r="Q1963" s="19"/>
      <c r="R1963" s="19"/>
      <c r="S1963" s="19"/>
      <c r="T1963" s="19"/>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row>
    <row r="1964" spans="1:45" x14ac:dyDescent="0.3">
      <c r="A1964" s="410" t="s">
        <v>3505</v>
      </c>
      <c r="B1964" s="17" t="s">
        <v>3506</v>
      </c>
      <c r="C1964" s="19" t="s">
        <v>1368</v>
      </c>
      <c r="D1964" s="19">
        <v>23162213</v>
      </c>
      <c r="E1964" s="17"/>
      <c r="F1964" s="19"/>
      <c r="G1964" s="31"/>
      <c r="H1964" s="31"/>
      <c r="I1964" s="19"/>
      <c r="J1964" s="19"/>
      <c r="K1964" s="18"/>
      <c r="L1964" s="19"/>
      <c r="M1964" s="19"/>
      <c r="N1964" s="20"/>
      <c r="O1964" s="19"/>
      <c r="P1964" s="19"/>
      <c r="Q1964" s="19"/>
      <c r="R1964" s="19"/>
      <c r="S1964" s="19"/>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row>
    <row r="1965" spans="1:45" x14ac:dyDescent="0.3">
      <c r="A1965" s="410" t="s">
        <v>3507</v>
      </c>
      <c r="B1965" s="17" t="s">
        <v>3508</v>
      </c>
      <c r="C1965" s="19" t="s">
        <v>1371</v>
      </c>
      <c r="D1965" s="19">
        <v>23108946</v>
      </c>
      <c r="E1965" s="17"/>
      <c r="F1965" s="19"/>
      <c r="G1965" s="31">
        <v>45177</v>
      </c>
      <c r="H1965" s="31" t="s">
        <v>1774</v>
      </c>
      <c r="I1965" s="19" t="s">
        <v>1372</v>
      </c>
      <c r="J1965" s="19" t="s">
        <v>1789</v>
      </c>
      <c r="K1965" s="18" t="s">
        <v>1372</v>
      </c>
      <c r="L1965" s="19" t="s">
        <v>1789</v>
      </c>
      <c r="M1965" s="19" t="s">
        <v>1461</v>
      </c>
      <c r="N1965" s="20" t="s">
        <v>3487</v>
      </c>
      <c r="O1965" s="19"/>
      <c r="P1965" s="19"/>
      <c r="Q1965" s="19" t="s">
        <v>1372</v>
      </c>
      <c r="R1965" s="19" t="s">
        <v>1372</v>
      </c>
      <c r="S1965" s="19" t="s">
        <v>1372</v>
      </c>
      <c r="T1965" s="19" t="s">
        <v>1372</v>
      </c>
      <c r="U1965" s="19" t="s">
        <v>1372</v>
      </c>
      <c r="V1965" s="19" t="s">
        <v>1372</v>
      </c>
      <c r="W1965" s="19"/>
      <c r="X1965" s="19"/>
      <c r="Y1965" s="19"/>
      <c r="Z1965" s="19" t="s">
        <v>1372</v>
      </c>
      <c r="AA1965" s="19"/>
      <c r="AB1965" s="19"/>
      <c r="AC1965" s="19"/>
      <c r="AD1965" s="19"/>
      <c r="AE1965" s="19"/>
      <c r="AF1965" s="19"/>
      <c r="AG1965" s="19" t="s">
        <v>1372</v>
      </c>
      <c r="AH1965" s="19"/>
      <c r="AI1965" s="19"/>
      <c r="AJ1965" s="19"/>
      <c r="AK1965" s="19"/>
      <c r="AL1965" s="19"/>
      <c r="AM1965" s="19"/>
      <c r="AN1965" s="19"/>
      <c r="AO1965" s="19"/>
      <c r="AP1965" s="19"/>
      <c r="AQ1965" s="19"/>
      <c r="AR1965" s="19"/>
      <c r="AS1965" s="19"/>
    </row>
    <row r="1966" spans="1:45" x14ac:dyDescent="0.3">
      <c r="A1966" s="410" t="s">
        <v>3509</v>
      </c>
      <c r="B1966" s="17" t="s">
        <v>3510</v>
      </c>
      <c r="C1966" s="19" t="s">
        <v>1371</v>
      </c>
      <c r="D1966" s="19">
        <v>23163284</v>
      </c>
      <c r="E1966" s="17"/>
      <c r="F1966" s="19"/>
      <c r="G1966" s="31">
        <v>45006</v>
      </c>
      <c r="H1966" s="31" t="s">
        <v>1774</v>
      </c>
      <c r="I1966" s="19" t="s">
        <v>1372</v>
      </c>
      <c r="J1966" s="19" t="s">
        <v>1789</v>
      </c>
      <c r="K1966" s="18" t="s">
        <v>1372</v>
      </c>
      <c r="L1966" s="19" t="s">
        <v>1789</v>
      </c>
      <c r="M1966" s="19" t="s">
        <v>1461</v>
      </c>
      <c r="N1966" s="20" t="s">
        <v>3487</v>
      </c>
      <c r="O1966" s="19"/>
      <c r="P1966" s="19" t="s">
        <v>3511</v>
      </c>
      <c r="Q1966" s="19" t="s">
        <v>1372</v>
      </c>
      <c r="R1966" s="19" t="s">
        <v>1372</v>
      </c>
      <c r="S1966" s="19" t="s">
        <v>1372</v>
      </c>
      <c r="T1966" s="19" t="s">
        <v>1372</v>
      </c>
      <c r="U1966" s="19" t="s">
        <v>1461</v>
      </c>
      <c r="V1966" s="19" t="s">
        <v>1372</v>
      </c>
      <c r="W1966" s="19"/>
      <c r="X1966" s="19"/>
      <c r="Y1966" s="19"/>
      <c r="Z1966" s="19" t="s">
        <v>1372</v>
      </c>
      <c r="AA1966" s="19"/>
      <c r="AB1966" s="19"/>
      <c r="AC1966" s="19"/>
      <c r="AD1966" s="19"/>
      <c r="AE1966" s="19"/>
      <c r="AF1966" s="19"/>
      <c r="AG1966" s="19"/>
      <c r="AH1966" s="19"/>
      <c r="AI1966" s="19"/>
      <c r="AJ1966" s="19"/>
      <c r="AK1966" s="19"/>
      <c r="AL1966" s="19"/>
      <c r="AM1966" s="19"/>
      <c r="AN1966" s="19"/>
      <c r="AO1966" s="19"/>
      <c r="AP1966" s="19"/>
      <c r="AQ1966" s="19"/>
      <c r="AR1966" s="19"/>
      <c r="AS1966" s="19"/>
    </row>
    <row r="1967" spans="1:45" x14ac:dyDescent="0.3">
      <c r="A1967" s="410" t="s">
        <v>3512</v>
      </c>
      <c r="B1967" s="17" t="s">
        <v>3513</v>
      </c>
      <c r="C1967" s="19" t="s">
        <v>1371</v>
      </c>
      <c r="D1967" s="19">
        <v>23205816</v>
      </c>
      <c r="E1967" s="17"/>
      <c r="F1967" s="19"/>
      <c r="G1967" s="31">
        <v>45006</v>
      </c>
      <c r="H1967" s="31" t="s">
        <v>1774</v>
      </c>
      <c r="I1967" s="19" t="s">
        <v>1372</v>
      </c>
      <c r="J1967" s="19" t="s">
        <v>1789</v>
      </c>
      <c r="K1967" s="18"/>
      <c r="L1967" s="19"/>
      <c r="M1967" s="19" t="s">
        <v>1461</v>
      </c>
      <c r="N1967" s="20" t="s">
        <v>3487</v>
      </c>
      <c r="O1967" s="19"/>
      <c r="P1967" s="19" t="s">
        <v>1372</v>
      </c>
      <c r="Q1967" s="19" t="s">
        <v>1372</v>
      </c>
      <c r="R1967" s="19" t="s">
        <v>3514</v>
      </c>
      <c r="S1967" s="19" t="s">
        <v>1372</v>
      </c>
      <c r="T1967" s="19" t="s">
        <v>1372</v>
      </c>
      <c r="U1967" s="19" t="s">
        <v>1372</v>
      </c>
      <c r="V1967" s="19" t="s">
        <v>1372</v>
      </c>
      <c r="W1967" s="19"/>
      <c r="X1967" s="19"/>
      <c r="Y1967" s="19"/>
      <c r="Z1967" s="19" t="s">
        <v>1372</v>
      </c>
      <c r="AA1967" s="19"/>
      <c r="AB1967" s="19"/>
      <c r="AC1967" s="19"/>
      <c r="AD1967" s="19"/>
      <c r="AE1967" s="19"/>
      <c r="AF1967" s="19" t="s">
        <v>1372</v>
      </c>
      <c r="AG1967" s="19" t="s">
        <v>1372</v>
      </c>
      <c r="AH1967" s="19"/>
      <c r="AI1967" s="19"/>
      <c r="AJ1967" s="19"/>
      <c r="AK1967" s="19"/>
      <c r="AL1967" s="19"/>
      <c r="AM1967" s="19"/>
      <c r="AN1967" s="19"/>
      <c r="AO1967" s="19"/>
      <c r="AP1967" s="19"/>
      <c r="AQ1967" s="19"/>
      <c r="AR1967" s="19"/>
      <c r="AS1967" s="19"/>
    </row>
    <row r="1968" spans="1:45" x14ac:dyDescent="0.3">
      <c r="A1968" s="410" t="s">
        <v>3515</v>
      </c>
      <c r="B1968" s="17" t="s">
        <v>3516</v>
      </c>
      <c r="C1968" s="19" t="s">
        <v>1371</v>
      </c>
      <c r="D1968" s="19">
        <v>23147543</v>
      </c>
      <c r="E1968" s="17"/>
      <c r="F1968" s="19"/>
      <c r="G1968" s="31">
        <v>45006</v>
      </c>
      <c r="H1968" s="31" t="s">
        <v>1774</v>
      </c>
      <c r="I1968" s="19" t="s">
        <v>1372</v>
      </c>
      <c r="J1968" s="19" t="s">
        <v>1789</v>
      </c>
      <c r="K1968" s="18" t="s">
        <v>1372</v>
      </c>
      <c r="L1968" s="19" t="s">
        <v>1789</v>
      </c>
      <c r="M1968" s="19" t="s">
        <v>1461</v>
      </c>
      <c r="N1968" s="20" t="s">
        <v>3487</v>
      </c>
      <c r="O1968" s="19" t="s">
        <v>1372</v>
      </c>
      <c r="P1968" s="19" t="s">
        <v>1372</v>
      </c>
      <c r="Q1968" s="19" t="s">
        <v>1372</v>
      </c>
      <c r="R1968" s="19" t="s">
        <v>1372</v>
      </c>
      <c r="S1968" s="19" t="s">
        <v>1372</v>
      </c>
      <c r="T1968" s="19" t="s">
        <v>1372</v>
      </c>
      <c r="U1968" s="19" t="s">
        <v>1372</v>
      </c>
      <c r="V1968" s="19"/>
      <c r="W1968" s="19"/>
      <c r="X1968" s="19"/>
      <c r="Y1968" s="19"/>
      <c r="Z1968" s="19" t="s">
        <v>1372</v>
      </c>
      <c r="AA1968" s="19"/>
      <c r="AB1968" s="19"/>
      <c r="AC1968" s="19"/>
      <c r="AD1968" s="19"/>
      <c r="AE1968" s="19"/>
      <c r="AF1968" s="19"/>
      <c r="AG1968" s="19" t="s">
        <v>1372</v>
      </c>
      <c r="AH1968" s="19"/>
      <c r="AI1968" s="19"/>
      <c r="AJ1968" s="19"/>
      <c r="AK1968" s="19"/>
      <c r="AL1968" s="19"/>
      <c r="AM1968" s="19"/>
      <c r="AN1968" s="19"/>
      <c r="AO1968" s="19"/>
      <c r="AP1968" s="19"/>
      <c r="AQ1968" s="19"/>
      <c r="AR1968" s="19"/>
      <c r="AS1968" s="19"/>
    </row>
    <row r="1969" spans="1:45" x14ac:dyDescent="0.3">
      <c r="A1969" s="410" t="s">
        <v>3517</v>
      </c>
      <c r="B1969" s="17"/>
      <c r="C1969" s="19"/>
      <c r="D1969" s="18"/>
      <c r="E1969" s="17"/>
      <c r="F1969" s="19"/>
      <c r="G1969" s="31"/>
      <c r="H1969" s="31"/>
      <c r="I1969" s="19"/>
      <c r="J1969" s="19"/>
      <c r="K1969" s="18"/>
      <c r="L1969" s="19"/>
      <c r="M1969" s="19"/>
      <c r="N1969" s="20"/>
      <c r="O1969" s="19"/>
      <c r="P1969" s="19"/>
      <c r="Q1969" s="19"/>
      <c r="R1969" s="19"/>
      <c r="S1969" s="19"/>
      <c r="T1969" s="19"/>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row>
    <row r="1970" spans="1:45" x14ac:dyDescent="0.3">
      <c r="A1970" s="410" t="s">
        <v>3518</v>
      </c>
      <c r="B1970" s="17"/>
      <c r="C1970" s="19"/>
      <c r="D1970" s="18"/>
      <c r="E1970" s="17"/>
      <c r="F1970" s="19"/>
      <c r="G1970" s="31"/>
      <c r="H1970" s="31"/>
      <c r="I1970" s="19"/>
      <c r="J1970" s="19"/>
      <c r="K1970" s="18"/>
      <c r="L1970" s="19"/>
      <c r="M1970" s="19"/>
      <c r="N1970" s="20"/>
      <c r="O1970" s="19"/>
      <c r="P1970" s="19"/>
      <c r="Q1970" s="19"/>
      <c r="R1970" s="19"/>
      <c r="S1970" s="19"/>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row>
    <row r="1971" spans="1:45" x14ac:dyDescent="0.3">
      <c r="A1971" s="410" t="s">
        <v>3519</v>
      </c>
      <c r="B1971" s="17"/>
      <c r="C1971" s="19"/>
      <c r="D1971" s="18"/>
      <c r="E1971" s="17"/>
      <c r="F1971" s="19"/>
      <c r="G1971" s="31"/>
      <c r="H1971" s="31"/>
      <c r="I1971" s="19"/>
      <c r="J1971" s="19"/>
      <c r="K1971" s="18"/>
      <c r="L1971" s="19"/>
      <c r="M1971" s="19"/>
      <c r="N1971" s="20"/>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row>
    <row r="1972" spans="1:45" x14ac:dyDescent="0.3">
      <c r="A1972" s="410" t="s">
        <v>3520</v>
      </c>
      <c r="B1972" s="17"/>
      <c r="C1972" s="19"/>
      <c r="D1972" s="18"/>
      <c r="E1972" s="17"/>
      <c r="F1972" s="19"/>
      <c r="G1972" s="31"/>
      <c r="H1972" s="31"/>
      <c r="I1972" s="19"/>
      <c r="J1972" s="19"/>
      <c r="K1972" s="18"/>
      <c r="L1972" s="19"/>
      <c r="M1972" s="19"/>
      <c r="N1972" s="20"/>
      <c r="O1972" s="19"/>
      <c r="P1972" s="19"/>
      <c r="Q1972" s="19"/>
      <c r="R1972" s="19"/>
      <c r="S1972" s="19"/>
      <c r="T1972" s="19"/>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row>
    <row r="1973" spans="1:45" x14ac:dyDescent="0.3">
      <c r="A1973" s="410" t="s">
        <v>3521</v>
      </c>
      <c r="B1973" s="17"/>
      <c r="C1973" s="19"/>
      <c r="D1973" s="18"/>
      <c r="E1973" s="17"/>
      <c r="F1973" s="19"/>
      <c r="G1973" s="31"/>
      <c r="H1973" s="31"/>
      <c r="I1973" s="19"/>
      <c r="J1973" s="19"/>
      <c r="K1973" s="18"/>
      <c r="L1973" s="19"/>
      <c r="M1973" s="19"/>
      <c r="N1973" s="20"/>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row>
    <row r="1974" spans="1:45" x14ac:dyDescent="0.3">
      <c r="A1974" s="410" t="s">
        <v>3522</v>
      </c>
      <c r="B1974" s="17"/>
      <c r="C1974" s="19"/>
      <c r="D1974" s="18"/>
      <c r="E1974" s="17"/>
      <c r="F1974" s="19"/>
      <c r="G1974" s="31"/>
      <c r="H1974" s="31"/>
      <c r="I1974" s="19"/>
      <c r="J1974" s="19"/>
      <c r="K1974" s="18"/>
      <c r="L1974" s="19"/>
      <c r="M1974" s="19"/>
      <c r="N1974" s="20"/>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row>
    <row r="1975" spans="1:45" x14ac:dyDescent="0.3">
      <c r="A1975" s="410" t="s">
        <v>3523</v>
      </c>
      <c r="B1975" s="17"/>
      <c r="C1975" s="19"/>
      <c r="D1975" s="18"/>
      <c r="E1975" s="18"/>
      <c r="F1975" s="19"/>
      <c r="G1975" s="31"/>
      <c r="H1975" s="31"/>
      <c r="I1975" s="19"/>
      <c r="J1975" s="19"/>
      <c r="K1975" s="18"/>
      <c r="L1975" s="19"/>
      <c r="M1975" s="19"/>
      <c r="N1975" s="20"/>
      <c r="O1975" s="19"/>
      <c r="P1975" s="19"/>
      <c r="Q1975" s="19"/>
      <c r="R1975" s="19"/>
      <c r="S1975" s="19"/>
      <c r="T1975" s="19"/>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row>
    <row r="1976" spans="1:45" x14ac:dyDescent="0.3">
      <c r="A1976" s="410" t="s">
        <v>3524</v>
      </c>
      <c r="B1976" s="17"/>
      <c r="C1976" s="19"/>
      <c r="D1976" s="18"/>
      <c r="E1976" s="18"/>
      <c r="F1976" s="19"/>
      <c r="G1976" s="31"/>
      <c r="H1976" s="31"/>
      <c r="I1976" s="19"/>
      <c r="J1976" s="19"/>
      <c r="K1976" s="18"/>
      <c r="L1976" s="19"/>
      <c r="M1976" s="19"/>
      <c r="N1976" s="20"/>
      <c r="O1976" s="19"/>
      <c r="P1976" s="19"/>
      <c r="Q1976" s="19"/>
      <c r="R1976" s="19"/>
      <c r="S1976" s="19"/>
      <c r="T1976" s="19"/>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row>
    <row r="1977" spans="1:45" x14ac:dyDescent="0.3">
      <c r="A1977" s="410" t="s">
        <v>3525</v>
      </c>
      <c r="B1977" s="17"/>
      <c r="C1977" s="19"/>
      <c r="D1977" s="18"/>
      <c r="E1977" s="18"/>
      <c r="F1977" s="19"/>
      <c r="G1977" s="31"/>
      <c r="H1977" s="31"/>
      <c r="I1977" s="19"/>
      <c r="J1977" s="19"/>
      <c r="K1977" s="18"/>
      <c r="L1977" s="19"/>
      <c r="M1977" s="19"/>
      <c r="N1977" s="20"/>
      <c r="O1977" s="19"/>
      <c r="P1977" s="19"/>
      <c r="Q1977" s="19"/>
      <c r="R1977" s="19"/>
      <c r="S1977" s="19"/>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row>
    <row r="1978" spans="1:45" x14ac:dyDescent="0.3">
      <c r="A1978" s="410" t="s">
        <v>3526</v>
      </c>
      <c r="B1978" s="17"/>
      <c r="C1978" s="19"/>
      <c r="D1978" s="18"/>
      <c r="E1978" s="18"/>
      <c r="F1978" s="19"/>
      <c r="G1978" s="31"/>
      <c r="H1978" s="31"/>
      <c r="I1978" s="19"/>
      <c r="J1978" s="19"/>
      <c r="K1978" s="18"/>
      <c r="L1978" s="19"/>
      <c r="M1978" s="19"/>
      <c r="N1978" s="20"/>
      <c r="O1978" s="19"/>
      <c r="P1978" s="19"/>
      <c r="Q1978" s="19"/>
      <c r="R1978" s="19"/>
      <c r="S1978" s="19"/>
      <c r="T1978" s="19"/>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row>
    <row r="1979" spans="1:45" x14ac:dyDescent="0.3">
      <c r="A1979" s="410" t="s">
        <v>3527</v>
      </c>
      <c r="B1979" s="17"/>
      <c r="C1979" s="19"/>
      <c r="D1979" s="18"/>
      <c r="E1979" s="18"/>
      <c r="F1979" s="19"/>
      <c r="G1979" s="31"/>
      <c r="H1979" s="31"/>
      <c r="I1979" s="19"/>
      <c r="J1979" s="19"/>
      <c r="K1979" s="18"/>
      <c r="L1979" s="19"/>
      <c r="M1979" s="19"/>
      <c r="N1979" s="20"/>
      <c r="O1979" s="19"/>
      <c r="P1979" s="19"/>
      <c r="Q1979" s="19"/>
      <c r="R1979" s="19"/>
      <c r="S1979" s="19"/>
      <c r="T1979" s="19"/>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row>
    <row r="1980" spans="1:45" x14ac:dyDescent="0.3">
      <c r="A1980" s="410" t="s">
        <v>3528</v>
      </c>
      <c r="B1980" s="17"/>
      <c r="C1980" s="19"/>
      <c r="D1980" s="18"/>
      <c r="E1980" s="18"/>
      <c r="F1980" s="19"/>
      <c r="G1980" s="31"/>
      <c r="H1980" s="31"/>
      <c r="I1980" s="19"/>
      <c r="J1980" s="19"/>
      <c r="K1980" s="18"/>
      <c r="L1980" s="19"/>
      <c r="M1980" s="19"/>
      <c r="N1980" s="20"/>
      <c r="O1980" s="19"/>
      <c r="P1980" s="19"/>
      <c r="Q1980" s="19"/>
      <c r="R1980" s="19"/>
      <c r="S1980" s="19"/>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row>
    <row r="1981" spans="1:45" x14ac:dyDescent="0.3">
      <c r="A1981" s="410" t="s">
        <v>3529</v>
      </c>
      <c r="B1981" s="17"/>
      <c r="C1981" s="19"/>
      <c r="D1981" s="18"/>
      <c r="E1981" s="18"/>
      <c r="F1981" s="19"/>
      <c r="G1981" s="31"/>
      <c r="H1981" s="31"/>
      <c r="I1981" s="19"/>
      <c r="J1981" s="19"/>
      <c r="K1981" s="18"/>
      <c r="L1981" s="19"/>
      <c r="M1981" s="19"/>
      <c r="N1981" s="20"/>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row>
    <row r="1982" spans="1:45" x14ac:dyDescent="0.3">
      <c r="A1982" s="410" t="s">
        <v>3530</v>
      </c>
      <c r="B1982" s="17"/>
      <c r="C1982" s="19"/>
      <c r="D1982" s="18"/>
      <c r="E1982" s="18"/>
      <c r="F1982" s="19"/>
      <c r="G1982" s="31"/>
      <c r="H1982" s="31"/>
      <c r="I1982" s="19"/>
      <c r="J1982" s="19"/>
      <c r="K1982" s="18"/>
      <c r="L1982" s="19"/>
      <c r="M1982" s="19"/>
      <c r="N1982" s="20"/>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row>
    <row r="1983" spans="1:45" x14ac:dyDescent="0.3">
      <c r="A1983" s="410" t="s">
        <v>3531</v>
      </c>
      <c r="B1983" s="17"/>
      <c r="C1983" s="19"/>
      <c r="D1983" s="18"/>
      <c r="E1983" s="18"/>
      <c r="F1983" s="19"/>
      <c r="G1983" s="31"/>
      <c r="H1983" s="31"/>
      <c r="I1983" s="19"/>
      <c r="J1983" s="19"/>
      <c r="K1983" s="18"/>
      <c r="L1983" s="19"/>
      <c r="M1983" s="19"/>
      <c r="N1983" s="20"/>
      <c r="O1983" s="19"/>
      <c r="P1983" s="19"/>
      <c r="Q1983" s="19"/>
      <c r="R1983" s="19"/>
      <c r="S1983" s="19"/>
      <c r="T1983" s="19"/>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row>
    <row r="1984" spans="1:45" x14ac:dyDescent="0.3">
      <c r="A1984" s="410" t="s">
        <v>3532</v>
      </c>
      <c r="B1984" s="17"/>
      <c r="C1984" s="19"/>
      <c r="D1984" s="18"/>
      <c r="E1984" s="18"/>
      <c r="F1984" s="19"/>
      <c r="G1984" s="31"/>
      <c r="H1984" s="31"/>
      <c r="I1984" s="19"/>
      <c r="J1984" s="19"/>
      <c r="K1984" s="18"/>
      <c r="L1984" s="19"/>
      <c r="M1984" s="19"/>
      <c r="N1984" s="20"/>
      <c r="O1984" s="19"/>
      <c r="P1984" s="19"/>
      <c r="Q1984" s="19"/>
      <c r="R1984" s="19"/>
      <c r="S1984" s="19"/>
      <c r="T1984" s="19"/>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row>
    <row r="1985" spans="1:45" x14ac:dyDescent="0.3">
      <c r="A1985" s="410" t="s">
        <v>3533</v>
      </c>
      <c r="B1985" s="17"/>
      <c r="C1985" s="19"/>
      <c r="D1985" s="18"/>
      <c r="E1985" s="18"/>
      <c r="F1985" s="19"/>
      <c r="G1985" s="31"/>
      <c r="H1985" s="31"/>
      <c r="I1985" s="19"/>
      <c r="J1985" s="19"/>
      <c r="K1985" s="18"/>
      <c r="L1985" s="19"/>
      <c r="M1985" s="19"/>
      <c r="N1985" s="20"/>
      <c r="O1985" s="19"/>
      <c r="P1985" s="19"/>
      <c r="Q1985" s="19"/>
      <c r="R1985" s="19"/>
      <c r="S1985" s="19"/>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row>
    <row r="1986" spans="1:45" x14ac:dyDescent="0.3">
      <c r="A1986" s="410" t="s">
        <v>3534</v>
      </c>
      <c r="B1986" s="17"/>
      <c r="C1986" s="19"/>
      <c r="D1986" s="18"/>
      <c r="E1986" s="18"/>
      <c r="F1986" s="19"/>
      <c r="G1986" s="31"/>
      <c r="H1986" s="31"/>
      <c r="I1986" s="19"/>
      <c r="J1986" s="19"/>
      <c r="K1986" s="18"/>
      <c r="L1986" s="19"/>
      <c r="M1986" s="19"/>
      <c r="N1986" s="20"/>
      <c r="O1986" s="19"/>
      <c r="P1986" s="19"/>
      <c r="Q1986" s="19"/>
      <c r="R1986" s="19"/>
      <c r="S1986" s="19"/>
      <c r="T1986" s="19"/>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row>
    <row r="1987" spans="1:45" x14ac:dyDescent="0.3">
      <c r="A1987" s="410" t="s">
        <v>3535</v>
      </c>
      <c r="B1987" s="17"/>
      <c r="C1987" s="19"/>
      <c r="D1987" s="18"/>
      <c r="E1987" s="18"/>
      <c r="F1987" s="19"/>
      <c r="G1987" s="31"/>
      <c r="H1987" s="31"/>
      <c r="I1987" s="19"/>
      <c r="J1987" s="19"/>
      <c r="K1987" s="18"/>
      <c r="L1987" s="19"/>
      <c r="M1987" s="19"/>
      <c r="N1987" s="20"/>
      <c r="O1987" s="19"/>
      <c r="P1987" s="19"/>
      <c r="Q1987" s="19"/>
      <c r="R1987" s="19"/>
      <c r="S1987" s="19"/>
      <c r="T1987" s="19"/>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row>
    <row r="1988" spans="1:45" x14ac:dyDescent="0.3">
      <c r="A1988" s="410" t="s">
        <v>3536</v>
      </c>
      <c r="B1988" s="17"/>
      <c r="C1988" s="19"/>
      <c r="D1988" s="18"/>
      <c r="E1988" s="18"/>
      <c r="F1988" s="19"/>
      <c r="G1988" s="31"/>
      <c r="H1988" s="31"/>
      <c r="I1988" s="19"/>
      <c r="J1988" s="19"/>
      <c r="K1988" s="18"/>
      <c r="L1988" s="19"/>
      <c r="M1988" s="19"/>
      <c r="N1988" s="20"/>
      <c r="O1988" s="19"/>
      <c r="P1988" s="19"/>
      <c r="Q1988" s="19"/>
      <c r="R1988" s="19"/>
      <c r="S1988" s="19"/>
      <c r="T1988" s="19"/>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row>
    <row r="1989" spans="1:45" x14ac:dyDescent="0.3">
      <c r="A1989" s="410" t="s">
        <v>3537</v>
      </c>
      <c r="B1989" s="17"/>
      <c r="C1989" s="19"/>
      <c r="D1989" s="18"/>
      <c r="E1989" s="18"/>
      <c r="F1989" s="19"/>
      <c r="G1989" s="31"/>
      <c r="H1989" s="31"/>
      <c r="I1989" s="19"/>
      <c r="J1989" s="19"/>
      <c r="K1989" s="18"/>
      <c r="L1989" s="19"/>
      <c r="M1989" s="19"/>
      <c r="N1989" s="20"/>
      <c r="O1989" s="19"/>
      <c r="P1989" s="19"/>
      <c r="Q1989" s="19"/>
      <c r="R1989" s="19"/>
      <c r="S1989" s="19"/>
      <c r="T1989" s="19"/>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row>
    <row r="1990" spans="1:45" x14ac:dyDescent="0.3">
      <c r="A1990" s="410" t="s">
        <v>3538</v>
      </c>
      <c r="B1990" s="17"/>
      <c r="C1990" s="19"/>
      <c r="D1990" s="18"/>
      <c r="E1990" s="18"/>
      <c r="F1990" s="19"/>
      <c r="G1990" s="31"/>
      <c r="H1990" s="31"/>
      <c r="I1990" s="19"/>
      <c r="J1990" s="19"/>
      <c r="K1990" s="18"/>
      <c r="L1990" s="19"/>
      <c r="M1990" s="19"/>
      <c r="N1990" s="20"/>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row>
    <row r="1991" spans="1:45" x14ac:dyDescent="0.3">
      <c r="A1991" s="410" t="s">
        <v>3539</v>
      </c>
      <c r="B1991" s="17"/>
      <c r="C1991" s="19"/>
      <c r="D1991" s="18"/>
      <c r="E1991" s="18"/>
      <c r="F1991" s="19"/>
      <c r="G1991" s="31"/>
      <c r="H1991" s="31"/>
      <c r="I1991" s="19"/>
      <c r="J1991" s="19"/>
      <c r="K1991" s="18"/>
      <c r="L1991" s="19"/>
      <c r="M1991" s="19"/>
      <c r="N1991" s="20"/>
      <c r="O1991" s="19"/>
      <c r="P1991" s="19"/>
      <c r="Q1991" s="19"/>
      <c r="R1991" s="19"/>
      <c r="S1991" s="19"/>
      <c r="T1991" s="19"/>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row>
    <row r="1992" spans="1:45" x14ac:dyDescent="0.3">
      <c r="A1992" s="410" t="s">
        <v>3540</v>
      </c>
      <c r="B1992" s="17"/>
      <c r="C1992" s="19"/>
      <c r="D1992" s="18"/>
      <c r="E1992" s="18"/>
      <c r="F1992" s="19"/>
      <c r="G1992" s="31"/>
      <c r="H1992" s="31"/>
      <c r="I1992" s="19"/>
      <c r="J1992" s="19"/>
      <c r="K1992" s="18"/>
      <c r="L1992" s="19"/>
      <c r="M1992" s="19"/>
      <c r="N1992" s="20"/>
      <c r="O1992" s="19"/>
      <c r="P1992" s="19"/>
      <c r="Q1992" s="19"/>
      <c r="R1992" s="19"/>
      <c r="S1992" s="19"/>
      <c r="T1992" s="19"/>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row>
    <row r="1993" spans="1:45" x14ac:dyDescent="0.3">
      <c r="A1993" s="410" t="s">
        <v>3541</v>
      </c>
      <c r="B1993" s="17"/>
      <c r="C1993" s="19"/>
      <c r="D1993" s="18"/>
      <c r="E1993" s="18"/>
      <c r="F1993" s="19"/>
      <c r="G1993" s="31"/>
      <c r="H1993" s="31"/>
      <c r="I1993" s="19"/>
      <c r="J1993" s="19"/>
      <c r="K1993" s="18"/>
      <c r="L1993" s="19"/>
      <c r="M1993" s="19"/>
      <c r="N1993" s="20"/>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row>
    <row r="1994" spans="1:45" x14ac:dyDescent="0.3">
      <c r="A1994" s="410" t="s">
        <v>3542</v>
      </c>
      <c r="B1994" s="17"/>
      <c r="C1994" s="19"/>
      <c r="D1994" s="18"/>
      <c r="E1994" s="18"/>
      <c r="F1994" s="19"/>
      <c r="G1994" s="31"/>
      <c r="H1994" s="31"/>
      <c r="I1994" s="19"/>
      <c r="J1994" s="19"/>
      <c r="K1994" s="18"/>
      <c r="L1994" s="19"/>
      <c r="M1994" s="19"/>
      <c r="N1994" s="20"/>
      <c r="O1994" s="19"/>
      <c r="P1994" s="19"/>
      <c r="Q1994" s="19"/>
      <c r="R1994" s="19"/>
      <c r="S1994" s="19"/>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row>
    <row r="1995" spans="1:45" x14ac:dyDescent="0.3">
      <c r="A1995" s="410" t="s">
        <v>3543</v>
      </c>
      <c r="B1995" s="17"/>
      <c r="C1995" s="19"/>
      <c r="D1995" s="18"/>
      <c r="E1995" s="18"/>
      <c r="F1995" s="19"/>
      <c r="G1995" s="31"/>
      <c r="H1995" s="31"/>
      <c r="I1995" s="19"/>
      <c r="J1995" s="19"/>
      <c r="K1995" s="18"/>
      <c r="L1995" s="19"/>
      <c r="M1995" s="19"/>
      <c r="N1995" s="20"/>
      <c r="O1995" s="19"/>
      <c r="P1995" s="19"/>
      <c r="Q1995" s="19"/>
      <c r="R1995" s="19"/>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row>
    <row r="1996" spans="1:45" x14ac:dyDescent="0.3">
      <c r="A1996" s="410" t="s">
        <v>3544</v>
      </c>
      <c r="B1996" s="17"/>
      <c r="C1996" s="19"/>
      <c r="D1996" s="18"/>
      <c r="E1996" s="18"/>
      <c r="F1996" s="19"/>
      <c r="G1996" s="31"/>
      <c r="H1996" s="31"/>
      <c r="I1996" s="19"/>
      <c r="J1996" s="19"/>
      <c r="K1996" s="18"/>
      <c r="L1996" s="19"/>
      <c r="M1996" s="19"/>
      <c r="N1996" s="20"/>
      <c r="O1996" s="19"/>
      <c r="P1996" s="19"/>
      <c r="Q1996" s="19"/>
      <c r="R1996" s="19"/>
      <c r="S1996" s="19"/>
      <c r="T1996" s="19"/>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row>
    <row r="1997" spans="1:45" x14ac:dyDescent="0.3">
      <c r="A1997" s="410" t="s">
        <v>3545</v>
      </c>
      <c r="B1997" s="17"/>
      <c r="C1997" s="19"/>
      <c r="D1997" s="18"/>
      <c r="E1997" s="18"/>
      <c r="F1997" s="19"/>
      <c r="G1997" s="31"/>
      <c r="H1997" s="31"/>
      <c r="I1997" s="19"/>
      <c r="J1997" s="19"/>
      <c r="K1997" s="18"/>
      <c r="L1997" s="19"/>
      <c r="M1997" s="19"/>
      <c r="N1997" s="20"/>
      <c r="O1997" s="19"/>
      <c r="P1997" s="19"/>
      <c r="Q1997" s="19"/>
      <c r="R1997" s="19"/>
      <c r="S1997" s="19"/>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row>
    <row r="1998" spans="1:45" x14ac:dyDescent="0.3">
      <c r="A1998" s="410" t="s">
        <v>3546</v>
      </c>
      <c r="B1998" s="17"/>
      <c r="C1998" s="19"/>
      <c r="D1998" s="18"/>
      <c r="E1998" s="18"/>
      <c r="F1998" s="19"/>
      <c r="G1998" s="31"/>
      <c r="H1998" s="31"/>
      <c r="I1998" s="19"/>
      <c r="J1998" s="19"/>
      <c r="K1998" s="18"/>
      <c r="L1998" s="19"/>
      <c r="M1998" s="19"/>
      <c r="N1998" s="20"/>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row>
    <row r="1999" spans="1:45" x14ac:dyDescent="0.3">
      <c r="A1999" s="410" t="s">
        <v>3547</v>
      </c>
      <c r="B1999" s="17"/>
      <c r="C1999" s="19"/>
      <c r="D1999" s="18"/>
      <c r="E1999" s="18"/>
      <c r="F1999" s="19"/>
      <c r="G1999" s="31"/>
      <c r="H1999" s="31"/>
      <c r="I1999" s="19"/>
      <c r="J1999" s="19"/>
      <c r="K1999" s="18"/>
      <c r="L1999" s="19"/>
      <c r="M1999" s="19"/>
      <c r="N1999" s="20"/>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row>
    <row r="2000" spans="1:45" x14ac:dyDescent="0.3">
      <c r="A2000" s="410" t="s">
        <v>3548</v>
      </c>
      <c r="B2000" s="17"/>
      <c r="C2000" s="19"/>
      <c r="D2000" s="18"/>
      <c r="E2000" s="18"/>
      <c r="F2000" s="19"/>
      <c r="G2000" s="31"/>
      <c r="H2000" s="31"/>
      <c r="I2000" s="19"/>
      <c r="J2000" s="19"/>
      <c r="K2000" s="18"/>
      <c r="L2000" s="19"/>
      <c r="M2000" s="19"/>
      <c r="N2000" s="20"/>
      <c r="O2000" s="19"/>
      <c r="P2000" s="19"/>
      <c r="Q2000" s="19"/>
      <c r="R2000" s="19"/>
      <c r="S2000" s="19"/>
      <c r="T2000" s="19"/>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row>
    <row r="2001" spans="1:45" x14ac:dyDescent="0.3">
      <c r="A2001" s="410" t="s">
        <v>3549</v>
      </c>
      <c r="B2001" s="17"/>
      <c r="C2001" s="19"/>
      <c r="D2001" s="18"/>
      <c r="E2001" s="18"/>
      <c r="F2001" s="19"/>
      <c r="G2001" s="31"/>
      <c r="H2001" s="31"/>
      <c r="I2001" s="19"/>
      <c r="J2001" s="19"/>
      <c r="K2001" s="18"/>
      <c r="L2001" s="19"/>
      <c r="M2001" s="19"/>
      <c r="N2001" s="20"/>
      <c r="O2001" s="19"/>
      <c r="P2001" s="19"/>
      <c r="Q2001" s="19"/>
      <c r="R2001" s="19"/>
      <c r="S2001" s="19"/>
      <c r="T2001" s="19"/>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row>
    <row r="2002" spans="1:45" x14ac:dyDescent="0.3">
      <c r="A2002" s="410" t="s">
        <v>3550</v>
      </c>
      <c r="B2002" s="17"/>
      <c r="C2002" s="19"/>
      <c r="D2002" s="18"/>
      <c r="E2002" s="18"/>
      <c r="F2002" s="19"/>
      <c r="G2002" s="31"/>
      <c r="H2002" s="31"/>
      <c r="I2002" s="19"/>
      <c r="J2002" s="19"/>
      <c r="K2002" s="18"/>
      <c r="L2002" s="19"/>
      <c r="M2002" s="19"/>
      <c r="N2002" s="20"/>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row>
    <row r="2003" spans="1:45" x14ac:dyDescent="0.3">
      <c r="A2003" s="410" t="s">
        <v>3551</v>
      </c>
      <c r="B2003" s="17"/>
      <c r="C2003" s="19"/>
      <c r="D2003" s="18"/>
      <c r="E2003" s="18"/>
      <c r="F2003" s="19"/>
      <c r="G2003" s="31"/>
      <c r="H2003" s="31"/>
      <c r="I2003" s="19"/>
      <c r="J2003" s="19"/>
      <c r="K2003" s="18"/>
      <c r="L2003" s="19"/>
      <c r="M2003" s="19"/>
      <c r="N2003" s="20"/>
      <c r="O2003" s="19"/>
      <c r="P2003" s="19"/>
      <c r="Q2003" s="19"/>
      <c r="R2003" s="19"/>
      <c r="S2003" s="19"/>
      <c r="T2003" s="19"/>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row>
    <row r="2004" spans="1:45" x14ac:dyDescent="0.3">
      <c r="A2004" s="410" t="s">
        <v>3552</v>
      </c>
      <c r="B2004" s="17"/>
      <c r="C2004" s="19"/>
      <c r="D2004" s="18"/>
      <c r="E2004" s="18"/>
      <c r="F2004" s="19"/>
      <c r="G2004" s="31"/>
      <c r="H2004" s="31"/>
      <c r="I2004" s="19"/>
      <c r="J2004" s="19"/>
      <c r="K2004" s="18"/>
      <c r="L2004" s="19"/>
      <c r="M2004" s="19"/>
      <c r="N2004" s="20"/>
      <c r="O2004" s="19"/>
      <c r="P2004" s="19"/>
      <c r="Q2004" s="19"/>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row>
    <row r="2005" spans="1:45" x14ac:dyDescent="0.3">
      <c r="A2005" s="410" t="s">
        <v>3553</v>
      </c>
      <c r="B2005" s="17"/>
      <c r="C2005" s="19"/>
      <c r="D2005" s="18"/>
      <c r="E2005" s="18"/>
      <c r="F2005" s="19"/>
      <c r="G2005" s="31"/>
      <c r="H2005" s="31"/>
      <c r="I2005" s="19"/>
      <c r="J2005" s="19"/>
      <c r="K2005" s="18"/>
      <c r="L2005" s="19"/>
      <c r="M2005" s="19"/>
      <c r="N2005" s="20"/>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row>
    <row r="2006" spans="1:45" x14ac:dyDescent="0.3">
      <c r="A2006" s="410" t="s">
        <v>3554</v>
      </c>
      <c r="B2006" s="17"/>
      <c r="C2006" s="19"/>
      <c r="D2006" s="18"/>
      <c r="E2006" s="18"/>
      <c r="F2006" s="19"/>
      <c r="G2006" s="31"/>
      <c r="H2006" s="31"/>
      <c r="I2006" s="19"/>
      <c r="J2006" s="19"/>
      <c r="K2006" s="18"/>
      <c r="L2006" s="19"/>
      <c r="M2006" s="19"/>
      <c r="N2006" s="20"/>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row>
    <row r="2007" spans="1:45" x14ac:dyDescent="0.3">
      <c r="A2007" s="410" t="s">
        <v>3555</v>
      </c>
      <c r="B2007" s="17"/>
      <c r="C2007" s="19"/>
      <c r="D2007" s="18"/>
      <c r="E2007" s="18"/>
      <c r="F2007" s="19"/>
      <c r="G2007" s="31"/>
      <c r="H2007" s="31"/>
      <c r="I2007" s="19"/>
      <c r="J2007" s="19"/>
      <c r="K2007" s="18"/>
      <c r="L2007" s="19"/>
      <c r="M2007" s="19"/>
      <c r="N2007" s="20"/>
      <c r="O2007" s="19"/>
      <c r="P2007" s="19"/>
      <c r="Q2007" s="19"/>
      <c r="R2007" s="19"/>
      <c r="S2007" s="19"/>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row>
    <row r="2008" spans="1:45" x14ac:dyDescent="0.3">
      <c r="A2008" s="410" t="s">
        <v>3556</v>
      </c>
      <c r="B2008" s="17"/>
      <c r="C2008" s="19"/>
      <c r="D2008" s="18"/>
      <c r="E2008" s="18"/>
      <c r="F2008" s="19"/>
      <c r="G2008" s="31"/>
      <c r="H2008" s="31"/>
      <c r="I2008" s="19"/>
      <c r="J2008" s="19"/>
      <c r="K2008" s="18"/>
      <c r="L2008" s="19"/>
      <c r="M2008" s="19"/>
      <c r="N2008" s="20"/>
      <c r="O2008" s="19"/>
      <c r="P2008" s="19"/>
      <c r="Q2008" s="19"/>
      <c r="R2008" s="19"/>
      <c r="S2008" s="19"/>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row>
    <row r="2009" spans="1:45" x14ac:dyDescent="0.3">
      <c r="A2009" s="410" t="s">
        <v>3557</v>
      </c>
      <c r="B2009" s="17"/>
      <c r="C2009" s="19"/>
      <c r="D2009" s="18"/>
      <c r="E2009" s="18"/>
      <c r="F2009" s="19"/>
      <c r="G2009" s="31"/>
      <c r="H2009" s="31"/>
      <c r="I2009" s="19"/>
      <c r="J2009" s="19"/>
      <c r="K2009" s="18"/>
      <c r="L2009" s="19"/>
      <c r="M2009" s="19"/>
      <c r="N2009" s="20"/>
      <c r="O2009" s="19"/>
      <c r="P2009" s="19"/>
      <c r="Q2009" s="19"/>
      <c r="R2009" s="19"/>
      <c r="S2009" s="19"/>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row>
    <row r="2010" spans="1:45" x14ac:dyDescent="0.3">
      <c r="A2010" s="410" t="s">
        <v>3558</v>
      </c>
      <c r="B2010" s="17"/>
      <c r="C2010" s="19"/>
      <c r="D2010" s="18"/>
      <c r="E2010" s="18"/>
      <c r="F2010" s="19"/>
      <c r="G2010" s="31"/>
      <c r="H2010" s="31"/>
      <c r="I2010" s="19"/>
      <c r="J2010" s="19"/>
      <c r="K2010" s="18"/>
      <c r="L2010" s="19"/>
      <c r="M2010" s="19"/>
      <c r="N2010" s="20"/>
      <c r="O2010" s="19"/>
      <c r="P2010" s="19"/>
      <c r="Q2010" s="19"/>
      <c r="R2010" s="19"/>
      <c r="S2010" s="19"/>
      <c r="T2010" s="19"/>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row>
    <row r="2011" spans="1:45" x14ac:dyDescent="0.3">
      <c r="A2011" s="410" t="s">
        <v>3559</v>
      </c>
      <c r="B2011" s="17"/>
      <c r="C2011" s="19"/>
      <c r="D2011" s="18"/>
      <c r="E2011" s="18"/>
      <c r="F2011" s="19"/>
      <c r="G2011" s="31"/>
      <c r="H2011" s="31"/>
      <c r="I2011" s="19"/>
      <c r="J2011" s="19"/>
      <c r="K2011" s="18"/>
      <c r="L2011" s="19"/>
      <c r="M2011" s="19"/>
      <c r="N2011" s="20"/>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row>
    <row r="2012" spans="1:45" x14ac:dyDescent="0.3">
      <c r="A2012" s="410" t="s">
        <v>3560</v>
      </c>
      <c r="B2012" s="17"/>
      <c r="C2012" s="19"/>
      <c r="D2012" s="18"/>
      <c r="E2012" s="18"/>
      <c r="F2012" s="19"/>
      <c r="G2012" s="31"/>
      <c r="H2012" s="31"/>
      <c r="I2012" s="19"/>
      <c r="J2012" s="19"/>
      <c r="K2012" s="18"/>
      <c r="L2012" s="19"/>
      <c r="M2012" s="19"/>
      <c r="N2012" s="20"/>
      <c r="O2012" s="19"/>
      <c r="P2012" s="19"/>
      <c r="Q2012" s="19"/>
      <c r="R2012" s="19"/>
      <c r="S2012" s="19"/>
      <c r="T2012" s="19"/>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row>
    <row r="2013" spans="1:45" x14ac:dyDescent="0.3">
      <c r="A2013" s="410" t="s">
        <v>3561</v>
      </c>
      <c r="B2013" s="17"/>
      <c r="C2013" s="19"/>
      <c r="D2013" s="18"/>
      <c r="E2013" s="18"/>
      <c r="F2013" s="19"/>
      <c r="G2013" s="31"/>
      <c r="H2013" s="31"/>
      <c r="I2013" s="19"/>
      <c r="J2013" s="19"/>
      <c r="K2013" s="18"/>
      <c r="L2013" s="19"/>
      <c r="M2013" s="19"/>
      <c r="N2013" s="20"/>
      <c r="O2013" s="19"/>
      <c r="P2013" s="19"/>
      <c r="Q2013" s="19"/>
      <c r="R2013" s="19"/>
      <c r="S2013" s="19"/>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row>
    <row r="2014" spans="1:45" x14ac:dyDescent="0.3">
      <c r="A2014" s="410" t="s">
        <v>3562</v>
      </c>
      <c r="B2014" s="17"/>
      <c r="C2014" s="19"/>
      <c r="D2014" s="18"/>
      <c r="E2014" s="18"/>
      <c r="F2014" s="19"/>
      <c r="G2014" s="31"/>
      <c r="H2014" s="31"/>
      <c r="I2014" s="19"/>
      <c r="J2014" s="19"/>
      <c r="K2014" s="18"/>
      <c r="L2014" s="19"/>
      <c r="M2014" s="19"/>
      <c r="N2014" s="20"/>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row>
    <row r="2015" spans="1:45" x14ac:dyDescent="0.3">
      <c r="A2015" s="410" t="s">
        <v>3563</v>
      </c>
      <c r="B2015" s="17"/>
      <c r="C2015" s="19"/>
      <c r="D2015" s="18"/>
      <c r="E2015" s="18"/>
      <c r="F2015" s="19"/>
      <c r="G2015" s="31"/>
      <c r="H2015" s="31"/>
      <c r="I2015" s="19"/>
      <c r="J2015" s="19"/>
      <c r="K2015" s="18"/>
      <c r="L2015" s="19"/>
      <c r="M2015" s="19"/>
      <c r="N2015" s="20"/>
      <c r="O2015" s="19"/>
      <c r="P2015" s="19"/>
      <c r="Q2015" s="19"/>
      <c r="R2015" s="19"/>
      <c r="S2015" s="19"/>
      <c r="T2015" s="19"/>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row>
    <row r="2016" spans="1:45" x14ac:dyDescent="0.3">
      <c r="A2016" s="410" t="s">
        <v>3564</v>
      </c>
      <c r="B2016" s="17"/>
      <c r="C2016" s="19"/>
      <c r="D2016" s="18"/>
      <c r="E2016" s="18"/>
      <c r="F2016" s="19"/>
      <c r="G2016" s="31"/>
      <c r="H2016" s="31"/>
      <c r="I2016" s="19"/>
      <c r="J2016" s="19"/>
      <c r="K2016" s="18"/>
      <c r="L2016" s="19"/>
      <c r="M2016" s="19"/>
      <c r="N2016" s="20"/>
      <c r="O2016" s="19"/>
      <c r="P2016" s="19"/>
      <c r="Q2016" s="19"/>
      <c r="R2016" s="19"/>
      <c r="S2016" s="19"/>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row>
    <row r="2017" spans="1:45" x14ac:dyDescent="0.3">
      <c r="A2017" s="410" t="s">
        <v>3565</v>
      </c>
      <c r="B2017" s="17"/>
      <c r="C2017" s="19"/>
      <c r="D2017" s="18"/>
      <c r="E2017" s="18"/>
      <c r="F2017" s="19"/>
      <c r="G2017" s="31"/>
      <c r="H2017" s="31"/>
      <c r="I2017" s="19"/>
      <c r="J2017" s="19"/>
      <c r="K2017" s="18"/>
      <c r="L2017" s="19"/>
      <c r="M2017" s="19"/>
      <c r="N2017" s="20"/>
      <c r="O2017" s="19"/>
      <c r="P2017" s="19"/>
      <c r="Q2017" s="19"/>
      <c r="R2017" s="19"/>
      <c r="S2017" s="19"/>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row>
    <row r="2018" spans="1:45" x14ac:dyDescent="0.3">
      <c r="A2018" s="410" t="s">
        <v>3566</v>
      </c>
      <c r="B2018" s="17"/>
      <c r="C2018" s="19"/>
      <c r="D2018" s="18"/>
      <c r="E2018" s="18"/>
      <c r="F2018" s="19"/>
      <c r="G2018" s="31"/>
      <c r="H2018" s="31"/>
      <c r="I2018" s="19"/>
      <c r="J2018" s="19"/>
      <c r="K2018" s="18"/>
      <c r="L2018" s="19"/>
      <c r="M2018" s="19"/>
      <c r="N2018" s="20"/>
      <c r="O2018" s="19"/>
      <c r="P2018" s="19"/>
      <c r="Q2018" s="19"/>
      <c r="R2018" s="19"/>
      <c r="S2018" s="19"/>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row>
    <row r="2019" spans="1:45" x14ac:dyDescent="0.3">
      <c r="A2019" s="410" t="s">
        <v>3567</v>
      </c>
      <c r="B2019" s="17"/>
      <c r="C2019" s="19"/>
      <c r="D2019" s="18"/>
      <c r="E2019" s="18"/>
      <c r="F2019" s="19"/>
      <c r="G2019" s="31"/>
      <c r="H2019" s="31"/>
      <c r="I2019" s="19"/>
      <c r="J2019" s="19"/>
      <c r="K2019" s="18"/>
      <c r="L2019" s="19"/>
      <c r="M2019" s="19"/>
      <c r="N2019" s="20"/>
      <c r="O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row>
    <row r="2020" spans="1:45" x14ac:dyDescent="0.3">
      <c r="A2020" s="410" t="s">
        <v>3568</v>
      </c>
      <c r="B2020" s="17"/>
      <c r="C2020" s="19"/>
      <c r="D2020" s="18"/>
      <c r="E2020" s="18"/>
      <c r="F2020" s="19"/>
      <c r="G2020" s="31"/>
      <c r="H2020" s="31"/>
      <c r="I2020" s="19"/>
      <c r="J2020" s="19"/>
      <c r="K2020" s="18"/>
      <c r="L2020" s="19"/>
      <c r="M2020" s="19"/>
      <c r="N2020" s="20"/>
      <c r="O2020" s="19"/>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row>
    <row r="2021" spans="1:45" x14ac:dyDescent="0.3">
      <c r="A2021" s="410" t="s">
        <v>3569</v>
      </c>
      <c r="B2021" s="17"/>
      <c r="C2021" s="19"/>
      <c r="D2021" s="18"/>
      <c r="E2021" s="18"/>
      <c r="F2021" s="19"/>
      <c r="G2021" s="31"/>
      <c r="H2021" s="31"/>
      <c r="I2021" s="19"/>
      <c r="J2021" s="19"/>
      <c r="K2021" s="18"/>
      <c r="L2021" s="19"/>
      <c r="M2021" s="19"/>
      <c r="N2021" s="20"/>
      <c r="O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row>
    <row r="2022" spans="1:45" x14ac:dyDescent="0.3">
      <c r="A2022" s="410" t="s">
        <v>3570</v>
      </c>
      <c r="B2022" s="17"/>
      <c r="C2022" s="19"/>
      <c r="D2022" s="18"/>
      <c r="E2022" s="18"/>
      <c r="F2022" s="19"/>
      <c r="G2022" s="31"/>
      <c r="H2022" s="31"/>
      <c r="I2022" s="19"/>
      <c r="J2022" s="19"/>
      <c r="K2022" s="18"/>
      <c r="L2022" s="19"/>
      <c r="M2022" s="19"/>
      <c r="N2022" s="20"/>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row>
    <row r="2023" spans="1:45" x14ac:dyDescent="0.3">
      <c r="A2023" s="410" t="s">
        <v>3571</v>
      </c>
      <c r="B2023" s="17"/>
      <c r="C2023" s="19"/>
      <c r="D2023" s="18"/>
      <c r="E2023" s="18"/>
      <c r="F2023" s="19"/>
      <c r="G2023" s="31"/>
      <c r="H2023" s="31"/>
      <c r="I2023" s="19"/>
      <c r="J2023" s="19"/>
      <c r="K2023" s="18"/>
      <c r="L2023" s="19"/>
      <c r="M2023" s="19"/>
      <c r="N2023" s="20"/>
      <c r="O2023" s="19"/>
      <c r="P2023" s="19"/>
      <c r="Q2023" s="19"/>
      <c r="R2023" s="19"/>
      <c r="S2023" s="19"/>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row>
    <row r="2024" spans="1:45" x14ac:dyDescent="0.3">
      <c r="A2024" s="410" t="s">
        <v>3572</v>
      </c>
      <c r="B2024" s="17"/>
      <c r="C2024" s="19"/>
      <c r="D2024" s="18"/>
      <c r="E2024" s="18"/>
      <c r="F2024" s="19"/>
      <c r="G2024" s="31"/>
      <c r="H2024" s="31"/>
      <c r="I2024" s="19"/>
      <c r="J2024" s="19"/>
      <c r="K2024" s="18"/>
      <c r="L2024" s="19"/>
      <c r="M2024" s="19"/>
      <c r="N2024" s="20"/>
      <c r="O2024" s="19"/>
      <c r="P2024" s="19"/>
      <c r="Q2024" s="19"/>
      <c r="R2024" s="19"/>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row>
    <row r="2025" spans="1:45" x14ac:dyDescent="0.3">
      <c r="A2025" s="410" t="s">
        <v>3573</v>
      </c>
      <c r="B2025" s="17"/>
      <c r="C2025" s="19"/>
      <c r="D2025" s="18"/>
      <c r="E2025" s="18"/>
      <c r="F2025" s="19"/>
      <c r="G2025" s="31"/>
      <c r="H2025" s="31"/>
      <c r="I2025" s="19"/>
      <c r="J2025" s="19"/>
      <c r="K2025" s="18"/>
      <c r="L2025" s="19"/>
      <c r="M2025" s="19"/>
      <c r="N2025" s="20"/>
      <c r="O2025" s="19"/>
      <c r="P2025" s="19"/>
      <c r="Q2025" s="19"/>
      <c r="R2025" s="19"/>
      <c r="S2025" s="19"/>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row>
    <row r="2026" spans="1:45" x14ac:dyDescent="0.3">
      <c r="A2026" s="410" t="s">
        <v>3574</v>
      </c>
      <c r="B2026" s="17"/>
      <c r="C2026" s="19"/>
      <c r="D2026" s="18"/>
      <c r="E2026" s="18"/>
      <c r="F2026" s="19"/>
      <c r="G2026" s="31"/>
      <c r="H2026" s="31"/>
      <c r="I2026" s="19"/>
      <c r="J2026" s="19"/>
      <c r="K2026" s="18"/>
      <c r="L2026" s="19"/>
      <c r="M2026" s="19"/>
      <c r="N2026" s="20"/>
      <c r="O2026" s="19"/>
      <c r="P2026" s="19"/>
      <c r="Q2026" s="19"/>
      <c r="R2026" s="19"/>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row>
    <row r="2027" spans="1:45" x14ac:dyDescent="0.3">
      <c r="A2027" s="410" t="s">
        <v>3575</v>
      </c>
      <c r="B2027" s="17"/>
      <c r="C2027" s="19"/>
      <c r="D2027" s="18"/>
      <c r="E2027" s="18"/>
      <c r="F2027" s="19"/>
      <c r="G2027" s="31"/>
      <c r="H2027" s="31"/>
      <c r="I2027" s="19"/>
      <c r="J2027" s="19"/>
      <c r="K2027" s="18"/>
      <c r="L2027" s="19"/>
      <c r="M2027" s="19"/>
      <c r="N2027" s="20"/>
      <c r="O2027" s="19"/>
      <c r="P2027" s="19"/>
      <c r="Q2027" s="19"/>
      <c r="R2027" s="19"/>
      <c r="S2027" s="19"/>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row>
    <row r="2028" spans="1:45" x14ac:dyDescent="0.3">
      <c r="A2028" s="410" t="s">
        <v>3576</v>
      </c>
      <c r="B2028" s="17"/>
      <c r="C2028" s="19"/>
      <c r="D2028" s="18"/>
      <c r="E2028" s="18"/>
      <c r="F2028" s="19"/>
      <c r="G2028" s="31"/>
      <c r="H2028" s="31"/>
      <c r="I2028" s="19"/>
      <c r="J2028" s="19"/>
      <c r="K2028" s="18"/>
      <c r="L2028" s="19"/>
      <c r="M2028" s="19"/>
      <c r="N2028" s="20"/>
      <c r="O2028" s="19"/>
      <c r="P2028" s="19"/>
      <c r="Q2028" s="19"/>
      <c r="R2028" s="19"/>
      <c r="S2028" s="19"/>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row>
    <row r="2029" spans="1:45" x14ac:dyDescent="0.3">
      <c r="A2029" s="410" t="s">
        <v>3577</v>
      </c>
      <c r="B2029" s="17"/>
      <c r="C2029" s="19"/>
      <c r="D2029" s="18"/>
      <c r="E2029" s="18"/>
      <c r="F2029" s="19"/>
      <c r="G2029" s="31"/>
      <c r="H2029" s="31"/>
      <c r="I2029" s="19"/>
      <c r="J2029" s="19"/>
      <c r="K2029" s="18"/>
      <c r="L2029" s="19"/>
      <c r="M2029" s="19"/>
      <c r="N2029" s="20"/>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row>
    <row r="2030" spans="1:45" x14ac:dyDescent="0.3">
      <c r="A2030" s="410" t="s">
        <v>3578</v>
      </c>
      <c r="B2030" s="17"/>
      <c r="C2030" s="19"/>
      <c r="D2030" s="18"/>
      <c r="E2030" s="18"/>
      <c r="F2030" s="19"/>
      <c r="G2030" s="31"/>
      <c r="H2030" s="31"/>
      <c r="I2030" s="19"/>
      <c r="J2030" s="19"/>
      <c r="K2030" s="18"/>
      <c r="L2030" s="19"/>
      <c r="M2030" s="19"/>
      <c r="N2030" s="20"/>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row>
    <row r="2031" spans="1:45" x14ac:dyDescent="0.3">
      <c r="A2031" s="410" t="s">
        <v>3579</v>
      </c>
      <c r="B2031" s="17"/>
      <c r="C2031" s="19"/>
      <c r="D2031" s="18"/>
      <c r="E2031" s="18"/>
      <c r="F2031" s="19"/>
      <c r="G2031" s="31"/>
      <c r="H2031" s="31"/>
      <c r="I2031" s="19"/>
      <c r="J2031" s="19"/>
      <c r="K2031" s="18"/>
      <c r="L2031" s="19"/>
      <c r="M2031" s="19"/>
      <c r="N2031" s="20"/>
      <c r="O2031" s="19"/>
      <c r="P2031" s="19"/>
      <c r="Q2031" s="19"/>
      <c r="R2031" s="19"/>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row>
    <row r="2032" spans="1:45" x14ac:dyDescent="0.3">
      <c r="A2032" s="410" t="s">
        <v>3580</v>
      </c>
      <c r="B2032" s="17"/>
      <c r="C2032" s="19"/>
      <c r="D2032" s="18"/>
      <c r="E2032" s="18"/>
      <c r="F2032" s="19"/>
      <c r="G2032" s="31"/>
      <c r="H2032" s="31"/>
      <c r="I2032" s="19"/>
      <c r="J2032" s="19"/>
      <c r="K2032" s="18"/>
      <c r="L2032" s="19"/>
      <c r="M2032" s="19"/>
      <c r="N2032" s="20"/>
      <c r="O2032" s="19"/>
      <c r="P2032" s="19"/>
      <c r="Q2032" s="19"/>
      <c r="R2032" s="19"/>
      <c r="S2032" s="19"/>
      <c r="T2032" s="19"/>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row>
    <row r="2033" spans="1:45" x14ac:dyDescent="0.3">
      <c r="A2033" s="410" t="s">
        <v>3581</v>
      </c>
      <c r="B2033" s="17"/>
      <c r="C2033" s="19"/>
      <c r="D2033" s="18"/>
      <c r="E2033" s="18"/>
      <c r="F2033" s="19"/>
      <c r="G2033" s="31"/>
      <c r="H2033" s="31"/>
      <c r="I2033" s="19"/>
      <c r="J2033" s="19"/>
      <c r="K2033" s="18"/>
      <c r="L2033" s="19"/>
      <c r="M2033" s="19"/>
      <c r="N2033" s="20"/>
      <c r="O2033" s="19"/>
      <c r="P2033" s="19"/>
      <c r="Q2033" s="19"/>
      <c r="R2033" s="19"/>
      <c r="S2033" s="19"/>
      <c r="T2033" s="19"/>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row>
    <row r="2034" spans="1:45" x14ac:dyDescent="0.3">
      <c r="A2034" s="410" t="s">
        <v>3582</v>
      </c>
      <c r="B2034" s="17"/>
      <c r="C2034" s="19"/>
      <c r="D2034" s="18"/>
      <c r="E2034" s="18"/>
      <c r="F2034" s="19"/>
      <c r="G2034" s="31"/>
      <c r="H2034" s="31"/>
      <c r="I2034" s="19"/>
      <c r="J2034" s="19"/>
      <c r="K2034" s="18"/>
      <c r="L2034" s="19"/>
      <c r="M2034" s="19"/>
      <c r="N2034" s="20"/>
      <c r="O2034" s="19"/>
      <c r="P2034" s="19"/>
      <c r="Q2034" s="19"/>
      <c r="R2034" s="19"/>
      <c r="S2034" s="19"/>
      <c r="T2034" s="19"/>
      <c r="U2034" s="19"/>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row>
    <row r="2035" spans="1:45" x14ac:dyDescent="0.3">
      <c r="A2035" s="410" t="s">
        <v>3583</v>
      </c>
      <c r="B2035" s="17"/>
      <c r="C2035" s="19"/>
      <c r="D2035" s="18"/>
      <c r="E2035" s="18"/>
      <c r="F2035" s="19"/>
      <c r="G2035" s="31"/>
      <c r="H2035" s="31"/>
      <c r="I2035" s="19"/>
      <c r="J2035" s="19"/>
      <c r="K2035" s="18"/>
      <c r="L2035" s="19"/>
      <c r="M2035" s="19"/>
      <c r="N2035" s="20"/>
      <c r="O2035" s="19"/>
      <c r="P2035" s="19"/>
      <c r="Q2035" s="19"/>
      <c r="R2035" s="19"/>
      <c r="S2035" s="19"/>
      <c r="T2035" s="19"/>
      <c r="U2035" s="19"/>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row>
    <row r="2036" spans="1:45" x14ac:dyDescent="0.3">
      <c r="A2036" s="410"/>
      <c r="B2036" s="17"/>
      <c r="C2036" s="19"/>
      <c r="D2036" s="18"/>
      <c r="E2036" s="17"/>
      <c r="F2036" s="19"/>
      <c r="G2036" s="31"/>
      <c r="H2036" s="31"/>
      <c r="I2036" s="19"/>
      <c r="J2036" s="19"/>
      <c r="K2036" s="18"/>
      <c r="L2036" s="19"/>
      <c r="M2036" s="19"/>
      <c r="N2036" s="20"/>
      <c r="O2036" s="19"/>
      <c r="P2036" s="19"/>
      <c r="Q2036" s="19"/>
      <c r="R2036" s="19"/>
      <c r="S2036" s="19"/>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row>
    <row r="2037" spans="1:45" x14ac:dyDescent="0.3">
      <c r="A2037" s="410" t="s">
        <v>3584</v>
      </c>
      <c r="B2037" s="17" t="s">
        <v>3585</v>
      </c>
      <c r="C2037" s="19" t="s">
        <v>1368</v>
      </c>
      <c r="D2037" s="19">
        <v>22146017</v>
      </c>
      <c r="E2037" s="17"/>
      <c r="F2037" s="19"/>
      <c r="G2037" s="31"/>
      <c r="H2037" s="31"/>
      <c r="I2037" s="19"/>
      <c r="J2037" s="19"/>
      <c r="K2037" s="18"/>
      <c r="L2037" s="19"/>
      <c r="M2037" s="19"/>
      <c r="N2037" s="20"/>
      <c r="O2037" s="19"/>
      <c r="P2037" s="19"/>
      <c r="Q2037" s="19"/>
      <c r="R2037" s="19"/>
      <c r="S2037" s="19"/>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row>
    <row r="2038" spans="1:45" x14ac:dyDescent="0.3">
      <c r="A2038" s="410" t="s">
        <v>3586</v>
      </c>
      <c r="B2038" s="17" t="s">
        <v>3587</v>
      </c>
      <c r="C2038" s="19" t="s">
        <v>1368</v>
      </c>
      <c r="D2038" s="19">
        <v>22251283</v>
      </c>
      <c r="E2038" s="17"/>
      <c r="F2038" s="19"/>
      <c r="G2038" s="31"/>
      <c r="H2038" s="31"/>
      <c r="I2038" s="19"/>
      <c r="J2038" s="19"/>
      <c r="K2038" s="18"/>
      <c r="L2038" s="19"/>
      <c r="M2038" s="19"/>
      <c r="N2038" s="20"/>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row>
    <row r="2039" spans="1:45" x14ac:dyDescent="0.3">
      <c r="A2039" s="410" t="s">
        <v>3588</v>
      </c>
      <c r="B2039" s="17" t="s">
        <v>3589</v>
      </c>
      <c r="C2039" s="19" t="s">
        <v>1368</v>
      </c>
      <c r="D2039" s="19">
        <v>22251626</v>
      </c>
      <c r="E2039" s="17"/>
      <c r="F2039" s="19"/>
      <c r="G2039" s="31"/>
      <c r="H2039" s="31"/>
      <c r="I2039" s="19"/>
      <c r="J2039" s="19"/>
      <c r="K2039" s="18"/>
      <c r="L2039" s="19"/>
      <c r="M2039" s="19"/>
      <c r="N2039" s="20"/>
      <c r="O2039" s="19"/>
      <c r="P2039" s="19"/>
      <c r="Q2039" s="19"/>
      <c r="R2039" s="19"/>
      <c r="S2039" s="19"/>
      <c r="T2039" s="19"/>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row>
    <row r="2040" spans="1:45" x14ac:dyDescent="0.3">
      <c r="A2040" s="410" t="s">
        <v>3590</v>
      </c>
      <c r="B2040" s="17" t="s">
        <v>3591</v>
      </c>
      <c r="C2040" s="19" t="s">
        <v>1368</v>
      </c>
      <c r="D2040" s="19">
        <v>22251630</v>
      </c>
      <c r="E2040" s="17"/>
      <c r="F2040" s="19"/>
      <c r="G2040" s="31"/>
      <c r="H2040" s="31"/>
      <c r="I2040" s="19"/>
      <c r="J2040" s="19"/>
      <c r="K2040" s="18"/>
      <c r="L2040" s="19"/>
      <c r="M2040" s="19"/>
      <c r="N2040" s="20"/>
      <c r="O2040" s="19"/>
      <c r="P2040" s="19"/>
      <c r="Q2040" s="19"/>
      <c r="R2040" s="19"/>
      <c r="S2040" s="19"/>
      <c r="T2040" s="19"/>
      <c r="U2040" s="19"/>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row>
    <row r="2041" spans="1:45" x14ac:dyDescent="0.3">
      <c r="A2041" s="410" t="s">
        <v>3592</v>
      </c>
      <c r="B2041" s="17" t="s">
        <v>3593</v>
      </c>
      <c r="C2041" s="19" t="s">
        <v>1368</v>
      </c>
      <c r="D2041" s="19">
        <v>20179457</v>
      </c>
      <c r="E2041" s="17"/>
      <c r="F2041" s="19"/>
      <c r="G2041" s="31"/>
      <c r="H2041" s="31"/>
      <c r="I2041" s="19"/>
      <c r="J2041" s="19"/>
      <c r="K2041" s="18"/>
      <c r="L2041" s="19"/>
      <c r="M2041" s="19"/>
      <c r="N2041" s="20"/>
      <c r="O2041" s="19"/>
      <c r="P2041" s="19"/>
      <c r="Q2041" s="19"/>
      <c r="R2041" s="19"/>
      <c r="S2041" s="19"/>
      <c r="T2041" s="19"/>
      <c r="U2041" s="19"/>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row>
    <row r="2042" spans="1:45" x14ac:dyDescent="0.3">
      <c r="A2042" s="410" t="s">
        <v>3594</v>
      </c>
      <c r="B2042" s="17" t="s">
        <v>3595</v>
      </c>
      <c r="C2042" s="19" t="s">
        <v>1368</v>
      </c>
      <c r="D2042" s="19">
        <v>20179452</v>
      </c>
      <c r="E2042" s="17"/>
      <c r="F2042" s="19"/>
      <c r="G2042" s="31"/>
      <c r="H2042" s="31"/>
      <c r="I2042" s="19"/>
      <c r="J2042" s="19"/>
      <c r="K2042" s="18"/>
      <c r="L2042" s="19"/>
      <c r="M2042" s="19"/>
      <c r="N2042" s="20"/>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row>
    <row r="2043" spans="1:45" x14ac:dyDescent="0.3">
      <c r="A2043" s="410" t="s">
        <v>3596</v>
      </c>
      <c r="B2043" s="17" t="s">
        <v>3597</v>
      </c>
      <c r="C2043" s="19" t="s">
        <v>1368</v>
      </c>
      <c r="D2043" s="19">
        <v>20164009</v>
      </c>
      <c r="E2043" s="17"/>
      <c r="F2043" s="19"/>
      <c r="G2043" s="31"/>
      <c r="H2043" s="31"/>
      <c r="I2043" s="19"/>
      <c r="J2043" s="19"/>
      <c r="K2043" s="18"/>
      <c r="L2043" s="19"/>
      <c r="M2043" s="19"/>
      <c r="N2043" s="20"/>
      <c r="O2043" s="19"/>
      <c r="P2043" s="19"/>
      <c r="Q2043" s="19"/>
      <c r="R2043" s="19"/>
      <c r="S2043" s="19"/>
      <c r="T2043" s="19"/>
      <c r="U2043" s="19"/>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row>
    <row r="2044" spans="1:45" x14ac:dyDescent="0.3">
      <c r="A2044" s="410" t="s">
        <v>3598</v>
      </c>
      <c r="B2044" s="17" t="s">
        <v>3599</v>
      </c>
      <c r="C2044" s="19" t="s">
        <v>1368</v>
      </c>
      <c r="D2044" s="19">
        <v>20244990</v>
      </c>
      <c r="E2044" s="17"/>
      <c r="F2044" s="19"/>
      <c r="G2044" s="31"/>
      <c r="H2044" s="31"/>
      <c r="I2044" s="19"/>
      <c r="J2044" s="19"/>
      <c r="K2044" s="18"/>
      <c r="L2044" s="19"/>
      <c r="M2044" s="19"/>
      <c r="N2044" s="20"/>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row>
    <row r="2045" spans="1:45" x14ac:dyDescent="0.3">
      <c r="A2045" s="410" t="s">
        <v>3600</v>
      </c>
      <c r="B2045" s="17"/>
      <c r="C2045" s="19"/>
      <c r="D2045" s="18"/>
      <c r="E2045" s="17"/>
      <c r="F2045" s="19"/>
      <c r="G2045" s="31"/>
      <c r="H2045" s="31"/>
      <c r="I2045" s="19"/>
      <c r="J2045" s="19"/>
      <c r="K2045" s="18"/>
      <c r="L2045" s="19"/>
      <c r="M2045" s="19"/>
      <c r="N2045" s="20"/>
      <c r="O2045" s="19"/>
      <c r="P2045" s="19"/>
      <c r="Q2045" s="19"/>
      <c r="R2045" s="19"/>
      <c r="S2045" s="19"/>
      <c r="T2045" s="19"/>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row>
    <row r="2046" spans="1:45" x14ac:dyDescent="0.3">
      <c r="A2046" s="410" t="s">
        <v>3601</v>
      </c>
      <c r="B2046" s="17"/>
      <c r="C2046" s="19"/>
      <c r="D2046" s="18"/>
      <c r="E2046" s="17"/>
      <c r="F2046" s="19"/>
      <c r="G2046" s="31"/>
      <c r="H2046" s="31"/>
      <c r="I2046" s="19"/>
      <c r="J2046" s="19"/>
      <c r="K2046" s="18"/>
      <c r="L2046" s="19"/>
      <c r="M2046" s="19"/>
      <c r="N2046" s="20"/>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row>
    <row r="2047" spans="1:45" x14ac:dyDescent="0.3">
      <c r="A2047" s="410" t="s">
        <v>3602</v>
      </c>
      <c r="B2047" s="17"/>
      <c r="C2047" s="19"/>
      <c r="D2047" s="18"/>
      <c r="E2047" s="18"/>
      <c r="F2047" s="19"/>
      <c r="G2047" s="31"/>
      <c r="H2047" s="31"/>
      <c r="I2047" s="19"/>
      <c r="J2047" s="19"/>
      <c r="K2047" s="18"/>
      <c r="L2047" s="19"/>
      <c r="M2047" s="19"/>
      <c r="N2047" s="20"/>
      <c r="O2047" s="19"/>
      <c r="P2047" s="19"/>
      <c r="Q2047" s="19"/>
      <c r="R2047" s="19"/>
      <c r="S2047" s="19"/>
      <c r="T2047" s="19"/>
      <c r="U2047" s="19"/>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row>
    <row r="2048" spans="1:45" x14ac:dyDescent="0.3">
      <c r="A2048" s="410" t="s">
        <v>3603</v>
      </c>
      <c r="B2048" s="17"/>
      <c r="C2048" s="19"/>
      <c r="D2048" s="18"/>
      <c r="E2048" s="18"/>
      <c r="F2048" s="19"/>
      <c r="G2048" s="31"/>
      <c r="H2048" s="31"/>
      <c r="I2048" s="19"/>
      <c r="J2048" s="19"/>
      <c r="K2048" s="18"/>
      <c r="L2048" s="19"/>
      <c r="M2048" s="19"/>
      <c r="N2048" s="20"/>
      <c r="O2048" s="19"/>
      <c r="P2048" s="19"/>
      <c r="Q2048" s="19"/>
      <c r="R2048" s="19"/>
      <c r="S2048" s="19"/>
      <c r="T2048" s="19"/>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row>
    <row r="2049" spans="1:45" x14ac:dyDescent="0.3">
      <c r="A2049" s="410" t="s">
        <v>3604</v>
      </c>
      <c r="B2049" s="17"/>
      <c r="C2049" s="19"/>
      <c r="D2049" s="18"/>
      <c r="E2049" s="18"/>
      <c r="F2049" s="19"/>
      <c r="G2049" s="31"/>
      <c r="H2049" s="31"/>
      <c r="I2049" s="19"/>
      <c r="J2049" s="19"/>
      <c r="K2049" s="18"/>
      <c r="L2049" s="19"/>
      <c r="M2049" s="19"/>
      <c r="N2049" s="20"/>
      <c r="O2049" s="19"/>
      <c r="P2049" s="19"/>
      <c r="Q2049" s="19"/>
      <c r="R2049" s="19"/>
      <c r="S2049" s="19"/>
      <c r="T2049" s="19"/>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row>
    <row r="2050" spans="1:45" x14ac:dyDescent="0.3">
      <c r="A2050" s="410" t="s">
        <v>3605</v>
      </c>
      <c r="B2050" s="17"/>
      <c r="C2050" s="19"/>
      <c r="D2050" s="18"/>
      <c r="E2050" s="18"/>
      <c r="F2050" s="19"/>
      <c r="G2050" s="31"/>
      <c r="H2050" s="31"/>
      <c r="I2050" s="19"/>
      <c r="J2050" s="19"/>
      <c r="K2050" s="18"/>
      <c r="L2050" s="19"/>
      <c r="M2050" s="19"/>
      <c r="N2050" s="20"/>
      <c r="O2050" s="19"/>
      <c r="P2050" s="19"/>
      <c r="Q2050" s="19"/>
      <c r="R2050" s="19"/>
      <c r="S2050" s="19"/>
      <c r="T2050" s="19"/>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row>
    <row r="2051" spans="1:45" x14ac:dyDescent="0.3">
      <c r="A2051" s="410" t="s">
        <v>3606</v>
      </c>
      <c r="B2051" s="17"/>
      <c r="C2051" s="19"/>
      <c r="D2051" s="18"/>
      <c r="E2051" s="18"/>
      <c r="F2051" s="19"/>
      <c r="G2051" s="31"/>
      <c r="H2051" s="31"/>
      <c r="I2051" s="19"/>
      <c r="J2051" s="19"/>
      <c r="K2051" s="18"/>
      <c r="L2051" s="19"/>
      <c r="M2051" s="19"/>
      <c r="N2051" s="20"/>
      <c r="O2051" s="19"/>
      <c r="P2051" s="19"/>
      <c r="Q2051" s="19"/>
      <c r="R2051" s="19"/>
      <c r="S2051" s="19"/>
      <c r="T2051" s="19"/>
      <c r="U2051" s="19"/>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row>
    <row r="2052" spans="1:45" x14ac:dyDescent="0.3">
      <c r="A2052" s="410" t="s">
        <v>3607</v>
      </c>
      <c r="B2052" s="17"/>
      <c r="C2052" s="19"/>
      <c r="D2052" s="18"/>
      <c r="E2052" s="18"/>
      <c r="F2052" s="19"/>
      <c r="G2052" s="31"/>
      <c r="H2052" s="31"/>
      <c r="I2052" s="19"/>
      <c r="J2052" s="19"/>
      <c r="K2052" s="18"/>
      <c r="L2052" s="19"/>
      <c r="M2052" s="19"/>
      <c r="N2052" s="20"/>
      <c r="O2052" s="19"/>
      <c r="P2052" s="19"/>
      <c r="Q2052" s="19"/>
      <c r="R2052" s="19"/>
      <c r="S2052" s="19"/>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row>
    <row r="2053" spans="1:45" x14ac:dyDescent="0.3">
      <c r="A2053" s="410" t="s">
        <v>3608</v>
      </c>
      <c r="B2053" s="17"/>
      <c r="C2053" s="19"/>
      <c r="D2053" s="18"/>
      <c r="E2053" s="18"/>
      <c r="F2053" s="19"/>
      <c r="G2053" s="31"/>
      <c r="H2053" s="31"/>
      <c r="I2053" s="19"/>
      <c r="J2053" s="19"/>
      <c r="K2053" s="18"/>
      <c r="L2053" s="19"/>
      <c r="M2053" s="19"/>
      <c r="N2053" s="20"/>
      <c r="O2053" s="19"/>
      <c r="P2053" s="19"/>
      <c r="Q2053" s="19"/>
      <c r="R2053" s="19"/>
      <c r="S2053" s="19"/>
      <c r="T2053" s="19"/>
      <c r="U2053" s="19"/>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row>
    <row r="2054" spans="1:45" x14ac:dyDescent="0.3">
      <c r="A2054" s="410" t="s">
        <v>3609</v>
      </c>
      <c r="B2054" s="17"/>
      <c r="C2054" s="19"/>
      <c r="D2054" s="18"/>
      <c r="E2054" s="18"/>
      <c r="F2054" s="19"/>
      <c r="G2054" s="31"/>
      <c r="H2054" s="31"/>
      <c r="I2054" s="19"/>
      <c r="J2054" s="19"/>
      <c r="K2054" s="18"/>
      <c r="L2054" s="19"/>
      <c r="M2054" s="19"/>
      <c r="N2054" s="20"/>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row>
    <row r="2055" spans="1:45" x14ac:dyDescent="0.3">
      <c r="A2055" s="410" t="s">
        <v>3610</v>
      </c>
      <c r="B2055" s="17"/>
      <c r="C2055" s="19"/>
      <c r="D2055" s="18"/>
      <c r="E2055" s="18"/>
      <c r="F2055" s="19"/>
      <c r="G2055" s="31"/>
      <c r="H2055" s="31"/>
      <c r="I2055" s="19"/>
      <c r="J2055" s="19"/>
      <c r="K2055" s="18"/>
      <c r="L2055" s="19"/>
      <c r="M2055" s="19"/>
      <c r="N2055" s="20"/>
      <c r="O2055" s="19"/>
      <c r="P2055" s="19"/>
      <c r="Q2055" s="19"/>
      <c r="R2055" s="19"/>
      <c r="S2055" s="19"/>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row>
    <row r="2056" spans="1:45" x14ac:dyDescent="0.3">
      <c r="A2056" s="410" t="s">
        <v>3611</v>
      </c>
      <c r="B2056" s="17"/>
      <c r="C2056" s="19"/>
      <c r="D2056" s="18"/>
      <c r="E2056" s="18"/>
      <c r="F2056" s="19"/>
      <c r="G2056" s="31"/>
      <c r="H2056" s="31"/>
      <c r="I2056" s="19"/>
      <c r="J2056" s="19"/>
      <c r="K2056" s="18"/>
      <c r="L2056" s="19"/>
      <c r="M2056" s="19"/>
      <c r="N2056" s="20"/>
      <c r="O2056" s="19"/>
      <c r="P2056" s="19"/>
      <c r="Q2056" s="19"/>
      <c r="R2056" s="19"/>
      <c r="S2056" s="19"/>
      <c r="T2056" s="19"/>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row>
    <row r="2057" spans="1:45" x14ac:dyDescent="0.3">
      <c r="A2057" s="410" t="s">
        <v>3612</v>
      </c>
      <c r="B2057" s="17"/>
      <c r="C2057" s="19"/>
      <c r="D2057" s="18"/>
      <c r="E2057" s="18"/>
      <c r="F2057" s="19"/>
      <c r="G2057" s="31"/>
      <c r="H2057" s="31"/>
      <c r="I2057" s="19"/>
      <c r="J2057" s="19"/>
      <c r="K2057" s="18"/>
      <c r="L2057" s="19"/>
      <c r="M2057" s="19"/>
      <c r="N2057" s="20"/>
      <c r="O2057" s="19"/>
      <c r="P2057" s="19"/>
      <c r="Q2057" s="19"/>
      <c r="R2057" s="19"/>
      <c r="S2057" s="19"/>
      <c r="T2057" s="19"/>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row>
    <row r="2058" spans="1:45" x14ac:dyDescent="0.3">
      <c r="A2058" s="410" t="s">
        <v>3613</v>
      </c>
      <c r="B2058" s="17"/>
      <c r="C2058" s="19"/>
      <c r="D2058" s="18"/>
      <c r="E2058" s="18"/>
      <c r="F2058" s="19"/>
      <c r="G2058" s="31"/>
      <c r="H2058" s="31"/>
      <c r="I2058" s="19"/>
      <c r="J2058" s="19"/>
      <c r="K2058" s="18"/>
      <c r="L2058" s="19"/>
      <c r="M2058" s="19"/>
      <c r="N2058" s="20"/>
      <c r="O2058" s="19"/>
      <c r="P2058" s="19"/>
      <c r="Q2058" s="19"/>
      <c r="R2058" s="19"/>
      <c r="S2058" s="19"/>
      <c r="T2058" s="19"/>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row>
    <row r="2059" spans="1:45" x14ac:dyDescent="0.3">
      <c r="A2059" s="410" t="s">
        <v>3614</v>
      </c>
      <c r="B2059" s="17"/>
      <c r="C2059" s="19"/>
      <c r="D2059" s="18"/>
      <c r="E2059" s="18"/>
      <c r="F2059" s="19"/>
      <c r="G2059" s="31"/>
      <c r="H2059" s="31"/>
      <c r="I2059" s="19"/>
      <c r="J2059" s="19"/>
      <c r="K2059" s="18"/>
      <c r="L2059" s="19"/>
      <c r="M2059" s="19"/>
      <c r="N2059" s="20"/>
      <c r="O2059" s="19"/>
      <c r="P2059" s="19"/>
      <c r="Q2059" s="19"/>
      <c r="R2059" s="19"/>
      <c r="S2059" s="19"/>
      <c r="T2059" s="19"/>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row>
    <row r="2060" spans="1:45" x14ac:dyDescent="0.3">
      <c r="A2060" s="410" t="s">
        <v>3615</v>
      </c>
      <c r="B2060" s="17"/>
      <c r="C2060" s="19"/>
      <c r="D2060" s="18"/>
      <c r="E2060" s="18"/>
      <c r="F2060" s="19"/>
      <c r="G2060" s="31"/>
      <c r="H2060" s="31"/>
      <c r="I2060" s="19"/>
      <c r="J2060" s="19"/>
      <c r="K2060" s="18"/>
      <c r="L2060" s="19"/>
      <c r="M2060" s="19"/>
      <c r="N2060" s="20"/>
      <c r="O2060" s="19"/>
      <c r="P2060" s="19"/>
      <c r="Q2060" s="19"/>
      <c r="R2060" s="19"/>
      <c r="S2060" s="19"/>
      <c r="T2060" s="19"/>
      <c r="U2060" s="19"/>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row>
    <row r="2061" spans="1:45" x14ac:dyDescent="0.3">
      <c r="A2061" s="410" t="s">
        <v>3616</v>
      </c>
      <c r="B2061" s="17"/>
      <c r="C2061" s="19"/>
      <c r="D2061" s="18"/>
      <c r="E2061" s="18"/>
      <c r="F2061" s="19"/>
      <c r="G2061" s="31"/>
      <c r="H2061" s="31"/>
      <c r="I2061" s="19"/>
      <c r="J2061" s="19"/>
      <c r="K2061" s="18"/>
      <c r="L2061" s="19"/>
      <c r="M2061" s="19"/>
      <c r="N2061" s="20"/>
      <c r="O2061" s="19"/>
      <c r="P2061" s="19"/>
      <c r="Q2061" s="19"/>
      <c r="R2061" s="19"/>
      <c r="S2061" s="19"/>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row>
    <row r="2062" spans="1:45" x14ac:dyDescent="0.3">
      <c r="A2062" s="410" t="s">
        <v>3617</v>
      </c>
      <c r="B2062" s="17"/>
      <c r="C2062" s="19"/>
      <c r="D2062" s="18"/>
      <c r="E2062" s="18"/>
      <c r="F2062" s="19"/>
      <c r="G2062" s="31"/>
      <c r="H2062" s="31"/>
      <c r="I2062" s="19"/>
      <c r="J2062" s="19"/>
      <c r="K2062" s="18"/>
      <c r="L2062" s="19"/>
      <c r="M2062" s="19"/>
      <c r="N2062" s="20"/>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row>
    <row r="2063" spans="1:45" x14ac:dyDescent="0.3">
      <c r="A2063" s="410" t="s">
        <v>3618</v>
      </c>
      <c r="B2063" s="17"/>
      <c r="C2063" s="19"/>
      <c r="D2063" s="18"/>
      <c r="E2063" s="18"/>
      <c r="F2063" s="19"/>
      <c r="G2063" s="31"/>
      <c r="H2063" s="31"/>
      <c r="I2063" s="19"/>
      <c r="J2063" s="19"/>
      <c r="K2063" s="18"/>
      <c r="L2063" s="19"/>
      <c r="M2063" s="19"/>
      <c r="N2063" s="20"/>
      <c r="O2063" s="19"/>
      <c r="P2063" s="19"/>
      <c r="Q2063" s="19"/>
      <c r="R2063" s="19"/>
      <c r="S2063" s="19"/>
      <c r="T2063" s="19"/>
      <c r="U2063" s="19"/>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row>
    <row r="2064" spans="1:45" x14ac:dyDescent="0.3">
      <c r="A2064" s="410" t="s">
        <v>3619</v>
      </c>
      <c r="B2064" s="17"/>
      <c r="C2064" s="19"/>
      <c r="D2064" s="18"/>
      <c r="E2064" s="18"/>
      <c r="F2064" s="19"/>
      <c r="G2064" s="31"/>
      <c r="H2064" s="31"/>
      <c r="I2064" s="19"/>
      <c r="J2064" s="19"/>
      <c r="K2064" s="18"/>
      <c r="L2064" s="19"/>
      <c r="M2064" s="19"/>
      <c r="N2064" s="20"/>
      <c r="O2064" s="19"/>
      <c r="P2064" s="19"/>
      <c r="Q2064" s="19"/>
      <c r="R2064" s="19"/>
      <c r="S2064" s="19"/>
      <c r="T2064" s="19"/>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row>
    <row r="2065" spans="1:45" x14ac:dyDescent="0.3">
      <c r="A2065" s="410" t="s">
        <v>3620</v>
      </c>
      <c r="B2065" s="17"/>
      <c r="C2065" s="19"/>
      <c r="D2065" s="18"/>
      <c r="E2065" s="18"/>
      <c r="F2065" s="19"/>
      <c r="G2065" s="31"/>
      <c r="H2065" s="31"/>
      <c r="I2065" s="19"/>
      <c r="J2065" s="19"/>
      <c r="K2065" s="18"/>
      <c r="L2065" s="19"/>
      <c r="M2065" s="19"/>
      <c r="N2065" s="20"/>
      <c r="O2065" s="19"/>
      <c r="P2065" s="19"/>
      <c r="Q2065" s="19"/>
      <c r="R2065" s="19"/>
      <c r="S2065" s="19"/>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row>
    <row r="2066" spans="1:45" x14ac:dyDescent="0.3">
      <c r="A2066" s="410" t="s">
        <v>3621</v>
      </c>
      <c r="B2066" s="17"/>
      <c r="C2066" s="19"/>
      <c r="D2066" s="18"/>
      <c r="E2066" s="18"/>
      <c r="F2066" s="19"/>
      <c r="G2066" s="31"/>
      <c r="H2066" s="31"/>
      <c r="I2066" s="19"/>
      <c r="J2066" s="19"/>
      <c r="K2066" s="18"/>
      <c r="L2066" s="19"/>
      <c r="M2066" s="19"/>
      <c r="N2066" s="20"/>
      <c r="O2066" s="19"/>
      <c r="P2066" s="19"/>
      <c r="Q2066" s="19"/>
      <c r="R2066" s="19"/>
      <c r="S2066" s="19"/>
      <c r="T2066" s="19"/>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row>
    <row r="2067" spans="1:45" x14ac:dyDescent="0.3">
      <c r="A2067" s="410" t="s">
        <v>3622</v>
      </c>
      <c r="B2067" s="17"/>
      <c r="C2067" s="19"/>
      <c r="D2067" s="18"/>
      <c r="E2067" s="18"/>
      <c r="F2067" s="19"/>
      <c r="G2067" s="31"/>
      <c r="H2067" s="31"/>
      <c r="I2067" s="19"/>
      <c r="J2067" s="19"/>
      <c r="K2067" s="18"/>
      <c r="L2067" s="19"/>
      <c r="M2067" s="19"/>
      <c r="N2067" s="20"/>
      <c r="O2067" s="19"/>
      <c r="P2067" s="19"/>
      <c r="Q2067" s="19"/>
      <c r="R2067" s="19"/>
      <c r="S2067" s="19"/>
      <c r="T2067" s="19"/>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row>
    <row r="2068" spans="1:45" x14ac:dyDescent="0.3">
      <c r="A2068" s="410" t="s">
        <v>3623</v>
      </c>
      <c r="B2068" s="17"/>
      <c r="C2068" s="19"/>
      <c r="D2068" s="18"/>
      <c r="E2068" s="18"/>
      <c r="F2068" s="19"/>
      <c r="G2068" s="31"/>
      <c r="H2068" s="31"/>
      <c r="I2068" s="19"/>
      <c r="J2068" s="19"/>
      <c r="K2068" s="18"/>
      <c r="L2068" s="19"/>
      <c r="M2068" s="19"/>
      <c r="N2068" s="20"/>
      <c r="O2068" s="19"/>
      <c r="P2068" s="19"/>
      <c r="Q2068" s="19"/>
      <c r="R2068" s="19"/>
      <c r="S2068" s="19"/>
      <c r="T2068" s="19"/>
      <c r="U2068" s="19"/>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row>
    <row r="2069" spans="1:45" x14ac:dyDescent="0.3">
      <c r="A2069" s="410" t="s">
        <v>3624</v>
      </c>
      <c r="B2069" s="17"/>
      <c r="C2069" s="19"/>
      <c r="D2069" s="18"/>
      <c r="E2069" s="18"/>
      <c r="F2069" s="19"/>
      <c r="G2069" s="31"/>
      <c r="H2069" s="31"/>
      <c r="I2069" s="19"/>
      <c r="J2069" s="19"/>
      <c r="K2069" s="18"/>
      <c r="L2069" s="19"/>
      <c r="M2069" s="19"/>
      <c r="N2069" s="20"/>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row>
    <row r="2070" spans="1:45" x14ac:dyDescent="0.3">
      <c r="A2070" s="410" t="s">
        <v>3625</v>
      </c>
      <c r="B2070" s="17"/>
      <c r="C2070" s="19"/>
      <c r="D2070" s="18"/>
      <c r="E2070" s="18"/>
      <c r="F2070" s="19"/>
      <c r="G2070" s="31"/>
      <c r="H2070" s="31"/>
      <c r="I2070" s="19"/>
      <c r="J2070" s="19"/>
      <c r="K2070" s="18"/>
      <c r="L2070" s="19"/>
      <c r="M2070" s="19"/>
      <c r="N2070" s="20"/>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row>
    <row r="2071" spans="1:45" x14ac:dyDescent="0.3">
      <c r="A2071" s="410" t="s">
        <v>3626</v>
      </c>
      <c r="B2071" s="17"/>
      <c r="C2071" s="19"/>
      <c r="D2071" s="18"/>
      <c r="E2071" s="18"/>
      <c r="F2071" s="19"/>
      <c r="G2071" s="31"/>
      <c r="H2071" s="31"/>
      <c r="I2071" s="19"/>
      <c r="J2071" s="19"/>
      <c r="K2071" s="18"/>
      <c r="L2071" s="19"/>
      <c r="M2071" s="19"/>
      <c r="N2071" s="20"/>
      <c r="O2071" s="19"/>
      <c r="P2071" s="19"/>
      <c r="Q2071" s="19"/>
      <c r="R2071" s="19"/>
      <c r="S2071" s="19"/>
      <c r="T2071" s="19"/>
      <c r="U2071" s="19"/>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row>
    <row r="2072" spans="1:45" x14ac:dyDescent="0.3">
      <c r="A2072" s="410" t="s">
        <v>3627</v>
      </c>
      <c r="B2072" s="17"/>
      <c r="C2072" s="19"/>
      <c r="D2072" s="18"/>
      <c r="E2072" s="18"/>
      <c r="F2072" s="19"/>
      <c r="G2072" s="31"/>
      <c r="H2072" s="31"/>
      <c r="I2072" s="19"/>
      <c r="J2072" s="19"/>
      <c r="K2072" s="18"/>
      <c r="L2072" s="19"/>
      <c r="M2072" s="19"/>
      <c r="N2072" s="20"/>
      <c r="O2072" s="19"/>
      <c r="P2072" s="19"/>
      <c r="Q2072" s="19"/>
      <c r="R2072" s="19"/>
      <c r="S2072" s="19"/>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row>
    <row r="2073" spans="1:45" x14ac:dyDescent="0.3">
      <c r="A2073" s="410" t="s">
        <v>3628</v>
      </c>
      <c r="B2073" s="17"/>
      <c r="C2073" s="19"/>
      <c r="D2073" s="18"/>
      <c r="E2073" s="18"/>
      <c r="F2073" s="19"/>
      <c r="G2073" s="31"/>
      <c r="H2073" s="31"/>
      <c r="I2073" s="19"/>
      <c r="J2073" s="19"/>
      <c r="K2073" s="18"/>
      <c r="L2073" s="19"/>
      <c r="M2073" s="19"/>
      <c r="N2073" s="20"/>
      <c r="O2073" s="19"/>
      <c r="P2073" s="19"/>
      <c r="Q2073" s="19"/>
      <c r="R2073" s="19"/>
      <c r="S2073" s="19"/>
      <c r="T2073" s="19"/>
      <c r="U2073" s="19"/>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row>
    <row r="2074" spans="1:45" x14ac:dyDescent="0.3">
      <c r="A2074" s="410" t="s">
        <v>3629</v>
      </c>
      <c r="B2074" s="17"/>
      <c r="C2074" s="19"/>
      <c r="D2074" s="18"/>
      <c r="E2074" s="18"/>
      <c r="F2074" s="19"/>
      <c r="G2074" s="31"/>
      <c r="H2074" s="31"/>
      <c r="I2074" s="19"/>
      <c r="J2074" s="19"/>
      <c r="K2074" s="18"/>
      <c r="L2074" s="19"/>
      <c r="M2074" s="19"/>
      <c r="N2074" s="20"/>
      <c r="O2074" s="19"/>
      <c r="P2074" s="19"/>
      <c r="Q2074" s="19"/>
      <c r="R2074" s="19"/>
      <c r="S2074" s="19"/>
      <c r="T2074" s="19"/>
      <c r="U2074" s="19"/>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row>
    <row r="2075" spans="1:45" x14ac:dyDescent="0.3">
      <c r="A2075" s="410" t="s">
        <v>3630</v>
      </c>
      <c r="B2075" s="17"/>
      <c r="C2075" s="19"/>
      <c r="D2075" s="18"/>
      <c r="E2075" s="18"/>
      <c r="F2075" s="19"/>
      <c r="G2075" s="31"/>
      <c r="H2075" s="31"/>
      <c r="I2075" s="19"/>
      <c r="J2075" s="19"/>
      <c r="K2075" s="18"/>
      <c r="L2075" s="19"/>
      <c r="M2075" s="19"/>
      <c r="N2075" s="20"/>
      <c r="O2075" s="19"/>
      <c r="P2075" s="19"/>
      <c r="Q2075" s="19"/>
      <c r="R2075" s="19"/>
      <c r="S2075" s="19"/>
      <c r="T2075" s="19"/>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row>
    <row r="2076" spans="1:45" x14ac:dyDescent="0.3">
      <c r="A2076" s="410" t="s">
        <v>3631</v>
      </c>
      <c r="B2076" s="17"/>
      <c r="C2076" s="19"/>
      <c r="D2076" s="18"/>
      <c r="E2076" s="18"/>
      <c r="F2076" s="19"/>
      <c r="G2076" s="31"/>
      <c r="H2076" s="31"/>
      <c r="I2076" s="19"/>
      <c r="J2076" s="19"/>
      <c r="K2076" s="18"/>
      <c r="L2076" s="19"/>
      <c r="M2076" s="19"/>
      <c r="N2076" s="20"/>
      <c r="O2076" s="19"/>
      <c r="P2076" s="19"/>
      <c r="Q2076" s="19"/>
      <c r="R2076" s="19"/>
      <c r="S2076" s="19"/>
      <c r="T2076" s="19"/>
      <c r="U2076" s="19"/>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row>
    <row r="2077" spans="1:45" x14ac:dyDescent="0.3">
      <c r="A2077" s="410" t="s">
        <v>3632</v>
      </c>
      <c r="B2077" s="17"/>
      <c r="C2077" s="19"/>
      <c r="D2077" s="18"/>
      <c r="E2077" s="18"/>
      <c r="F2077" s="19"/>
      <c r="G2077" s="31"/>
      <c r="H2077" s="31"/>
      <c r="I2077" s="19"/>
      <c r="J2077" s="19"/>
      <c r="K2077" s="18"/>
      <c r="L2077" s="19"/>
      <c r="M2077" s="19"/>
      <c r="N2077" s="20"/>
      <c r="O2077" s="19"/>
      <c r="P2077" s="19"/>
      <c r="Q2077" s="19"/>
      <c r="R2077" s="19"/>
      <c r="S2077" s="19"/>
      <c r="T2077" s="19"/>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row>
    <row r="2078" spans="1:45" x14ac:dyDescent="0.3">
      <c r="A2078" s="410" t="s">
        <v>3633</v>
      </c>
      <c r="B2078" s="17"/>
      <c r="C2078" s="19"/>
      <c r="D2078" s="18"/>
      <c r="E2078" s="18"/>
      <c r="F2078" s="19"/>
      <c r="G2078" s="31"/>
      <c r="H2078" s="31"/>
      <c r="I2078" s="19"/>
      <c r="J2078" s="19"/>
      <c r="K2078" s="18"/>
      <c r="L2078" s="19"/>
      <c r="M2078" s="19"/>
      <c r="N2078" s="20"/>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row>
    <row r="2079" spans="1:45" x14ac:dyDescent="0.3">
      <c r="A2079" s="410" t="s">
        <v>3634</v>
      </c>
      <c r="B2079" s="17"/>
      <c r="C2079" s="19"/>
      <c r="D2079" s="18"/>
      <c r="E2079" s="18"/>
      <c r="F2079" s="19"/>
      <c r="G2079" s="31"/>
      <c r="H2079" s="31"/>
      <c r="I2079" s="19"/>
      <c r="J2079" s="19"/>
      <c r="K2079" s="18"/>
      <c r="L2079" s="19"/>
      <c r="M2079" s="19"/>
      <c r="N2079" s="20"/>
      <c r="O2079" s="19"/>
      <c r="P2079" s="19"/>
      <c r="Q2079" s="19"/>
      <c r="R2079" s="19"/>
      <c r="S2079" s="19"/>
      <c r="T2079" s="19"/>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row>
    <row r="2080" spans="1:45" x14ac:dyDescent="0.3">
      <c r="A2080" s="410" t="s">
        <v>3635</v>
      </c>
      <c r="B2080" s="17"/>
      <c r="C2080" s="19"/>
      <c r="D2080" s="18"/>
      <c r="E2080" s="18"/>
      <c r="F2080" s="19"/>
      <c r="G2080" s="31"/>
      <c r="H2080" s="31"/>
      <c r="I2080" s="19"/>
      <c r="J2080" s="19"/>
      <c r="K2080" s="18"/>
      <c r="L2080" s="19"/>
      <c r="M2080" s="19"/>
      <c r="N2080" s="20"/>
      <c r="O2080" s="19"/>
      <c r="P2080" s="19"/>
      <c r="Q2080" s="19"/>
      <c r="R2080" s="19"/>
      <c r="S2080" s="19"/>
      <c r="T2080" s="19"/>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row>
    <row r="2081" spans="1:45" x14ac:dyDescent="0.3">
      <c r="A2081" s="410" t="s">
        <v>3636</v>
      </c>
      <c r="B2081" s="17"/>
      <c r="C2081" s="19"/>
      <c r="D2081" s="18"/>
      <c r="E2081" s="18"/>
      <c r="F2081" s="19"/>
      <c r="G2081" s="31"/>
      <c r="H2081" s="31"/>
      <c r="I2081" s="19"/>
      <c r="J2081" s="19"/>
      <c r="K2081" s="18"/>
      <c r="L2081" s="19"/>
      <c r="M2081" s="19"/>
      <c r="N2081" s="20"/>
      <c r="O2081" s="19"/>
      <c r="P2081" s="19"/>
      <c r="Q2081" s="19"/>
      <c r="R2081" s="19"/>
      <c r="S2081" s="19"/>
      <c r="T2081" s="19"/>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row>
    <row r="2082" spans="1:45" x14ac:dyDescent="0.3">
      <c r="A2082" s="410" t="s">
        <v>3637</v>
      </c>
      <c r="B2082" s="17"/>
      <c r="C2082" s="19"/>
      <c r="D2082" s="18"/>
      <c r="E2082" s="18"/>
      <c r="F2082" s="19"/>
      <c r="G2082" s="31"/>
      <c r="H2082" s="31"/>
      <c r="I2082" s="19"/>
      <c r="J2082" s="19"/>
      <c r="K2082" s="18"/>
      <c r="L2082" s="19"/>
      <c r="M2082" s="19"/>
      <c r="N2082" s="20"/>
      <c r="O2082" s="19"/>
      <c r="P2082" s="19"/>
      <c r="Q2082" s="19"/>
      <c r="R2082" s="19"/>
      <c r="S2082" s="19"/>
      <c r="T2082" s="19"/>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row>
    <row r="2083" spans="1:45" x14ac:dyDescent="0.3">
      <c r="A2083" s="410" t="s">
        <v>3638</v>
      </c>
      <c r="B2083" s="17"/>
      <c r="C2083" s="19"/>
      <c r="D2083" s="18"/>
      <c r="E2083" s="18"/>
      <c r="F2083" s="19"/>
      <c r="G2083" s="31"/>
      <c r="H2083" s="31"/>
      <c r="I2083" s="19"/>
      <c r="J2083" s="19"/>
      <c r="K2083" s="18"/>
      <c r="L2083" s="19"/>
      <c r="M2083" s="19"/>
      <c r="N2083" s="20"/>
      <c r="O2083" s="19"/>
      <c r="P2083" s="19"/>
      <c r="Q2083" s="19"/>
      <c r="R2083" s="19"/>
      <c r="S2083" s="19"/>
      <c r="T2083" s="19"/>
      <c r="U2083" s="19"/>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row>
    <row r="2084" spans="1:45" x14ac:dyDescent="0.3">
      <c r="A2084" s="410" t="s">
        <v>3639</v>
      </c>
      <c r="B2084" s="17"/>
      <c r="C2084" s="19"/>
      <c r="D2084" s="18"/>
      <c r="E2084" s="18"/>
      <c r="F2084" s="19"/>
      <c r="G2084" s="31"/>
      <c r="H2084" s="31"/>
      <c r="I2084" s="19"/>
      <c r="J2084" s="19"/>
      <c r="K2084" s="18"/>
      <c r="L2084" s="19"/>
      <c r="M2084" s="19"/>
      <c r="N2084" s="20"/>
      <c r="O2084" s="19"/>
      <c r="P2084" s="19"/>
      <c r="Q2084" s="19"/>
      <c r="R2084" s="19"/>
      <c r="S2084" s="19"/>
      <c r="T2084" s="19"/>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row>
    <row r="2085" spans="1:45" x14ac:dyDescent="0.3">
      <c r="A2085" s="410" t="s">
        <v>3640</v>
      </c>
      <c r="B2085" s="17"/>
      <c r="C2085" s="19"/>
      <c r="D2085" s="18"/>
      <c r="E2085" s="18"/>
      <c r="F2085" s="19"/>
      <c r="G2085" s="31"/>
      <c r="H2085" s="31"/>
      <c r="I2085" s="19"/>
      <c r="J2085" s="19"/>
      <c r="K2085" s="18"/>
      <c r="L2085" s="19"/>
      <c r="M2085" s="19"/>
      <c r="N2085" s="20"/>
      <c r="O2085" s="19"/>
      <c r="P2085" s="19"/>
      <c r="Q2085" s="19"/>
      <c r="R2085" s="19"/>
      <c r="S2085" s="19"/>
      <c r="T2085" s="19"/>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row>
    <row r="2086" spans="1:45" x14ac:dyDescent="0.3">
      <c r="A2086" s="410" t="s">
        <v>3641</v>
      </c>
      <c r="B2086" s="17"/>
      <c r="C2086" s="19"/>
      <c r="D2086" s="18"/>
      <c r="E2086" s="18"/>
      <c r="F2086" s="19"/>
      <c r="G2086" s="31"/>
      <c r="H2086" s="31"/>
      <c r="I2086" s="19"/>
      <c r="J2086" s="19"/>
      <c r="K2086" s="18"/>
      <c r="L2086" s="19"/>
      <c r="M2086" s="19"/>
      <c r="N2086" s="20"/>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row>
    <row r="2087" spans="1:45" x14ac:dyDescent="0.3">
      <c r="A2087" s="410" t="s">
        <v>3642</v>
      </c>
      <c r="B2087" s="17"/>
      <c r="C2087" s="19"/>
      <c r="D2087" s="18"/>
      <c r="E2087" s="18"/>
      <c r="F2087" s="19"/>
      <c r="G2087" s="31"/>
      <c r="H2087" s="31"/>
      <c r="I2087" s="19"/>
      <c r="J2087" s="19"/>
      <c r="K2087" s="18"/>
      <c r="L2087" s="19"/>
      <c r="M2087" s="19"/>
      <c r="N2087" s="20"/>
      <c r="O2087" s="19"/>
      <c r="P2087" s="19"/>
      <c r="Q2087" s="19"/>
      <c r="R2087" s="19"/>
      <c r="S2087" s="19"/>
      <c r="T2087" s="19"/>
      <c r="U2087" s="19"/>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row>
    <row r="2088" spans="1:45" x14ac:dyDescent="0.3">
      <c r="A2088" s="410" t="s">
        <v>3643</v>
      </c>
      <c r="B2088" s="17"/>
      <c r="C2088" s="19"/>
      <c r="D2088" s="18"/>
      <c r="E2088" s="18"/>
      <c r="F2088" s="19"/>
      <c r="G2088" s="31"/>
      <c r="H2088" s="31"/>
      <c r="I2088" s="19"/>
      <c r="J2088" s="19"/>
      <c r="K2088" s="18"/>
      <c r="L2088" s="19"/>
      <c r="M2088" s="19"/>
      <c r="N2088" s="20"/>
      <c r="O2088" s="19"/>
      <c r="P2088" s="19"/>
      <c r="Q2088" s="19"/>
      <c r="R2088" s="19"/>
      <c r="S2088" s="19"/>
      <c r="T2088" s="19"/>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row>
    <row r="2089" spans="1:45" x14ac:dyDescent="0.3">
      <c r="A2089" s="410" t="s">
        <v>3644</v>
      </c>
      <c r="B2089" s="17"/>
      <c r="C2089" s="19"/>
      <c r="D2089" s="18"/>
      <c r="E2089" s="18"/>
      <c r="F2089" s="19"/>
      <c r="G2089" s="31"/>
      <c r="H2089" s="31"/>
      <c r="I2089" s="19"/>
      <c r="J2089" s="19"/>
      <c r="K2089" s="18"/>
      <c r="L2089" s="19"/>
      <c r="M2089" s="19"/>
      <c r="N2089" s="20"/>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row>
    <row r="2090" spans="1:45" x14ac:dyDescent="0.3">
      <c r="A2090" s="410" t="s">
        <v>3645</v>
      </c>
      <c r="B2090" s="17"/>
      <c r="C2090" s="19"/>
      <c r="D2090" s="18"/>
      <c r="E2090" s="18"/>
      <c r="F2090" s="19"/>
      <c r="G2090" s="31"/>
      <c r="H2090" s="31"/>
      <c r="I2090" s="19"/>
      <c r="J2090" s="19"/>
      <c r="K2090" s="18"/>
      <c r="L2090" s="19"/>
      <c r="M2090" s="19"/>
      <c r="N2090" s="20"/>
      <c r="O2090" s="19"/>
      <c r="P2090" s="19"/>
      <c r="Q2090" s="19"/>
      <c r="R2090" s="19"/>
      <c r="S2090" s="19"/>
      <c r="T2090" s="19"/>
      <c r="U2090" s="19"/>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row>
    <row r="2091" spans="1:45" x14ac:dyDescent="0.3">
      <c r="A2091" s="410" t="s">
        <v>3646</v>
      </c>
      <c r="B2091" s="17"/>
      <c r="C2091" s="19"/>
      <c r="D2091" s="18"/>
      <c r="E2091" s="18"/>
      <c r="F2091" s="19"/>
      <c r="G2091" s="31"/>
      <c r="H2091" s="31"/>
      <c r="I2091" s="19"/>
      <c r="J2091" s="19"/>
      <c r="K2091" s="18"/>
      <c r="L2091" s="19"/>
      <c r="M2091" s="19"/>
      <c r="N2091" s="20"/>
      <c r="O2091" s="19"/>
      <c r="P2091" s="19"/>
      <c r="Q2091" s="19"/>
      <c r="R2091" s="19"/>
      <c r="S2091" s="19"/>
      <c r="T2091" s="19"/>
      <c r="U2091" s="19"/>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row>
    <row r="2092" spans="1:45" x14ac:dyDescent="0.3">
      <c r="A2092" s="410" t="s">
        <v>3647</v>
      </c>
      <c r="B2092" s="17"/>
      <c r="C2092" s="19"/>
      <c r="D2092" s="18"/>
      <c r="E2092" s="18"/>
      <c r="F2092" s="19"/>
      <c r="G2092" s="31"/>
      <c r="H2092" s="31"/>
      <c r="I2092" s="19"/>
      <c r="J2092" s="19"/>
      <c r="K2092" s="18"/>
      <c r="L2092" s="19"/>
      <c r="M2092" s="19"/>
      <c r="N2092" s="20"/>
      <c r="O2092" s="19"/>
      <c r="P2092" s="19"/>
      <c r="Q2092" s="19"/>
      <c r="R2092" s="19"/>
      <c r="S2092" s="19"/>
      <c r="T2092" s="19"/>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row>
    <row r="2093" spans="1:45" x14ac:dyDescent="0.3">
      <c r="A2093" s="410" t="s">
        <v>3648</v>
      </c>
      <c r="B2093" s="17"/>
      <c r="C2093" s="19"/>
      <c r="D2093" s="18"/>
      <c r="E2093" s="18"/>
      <c r="F2093" s="19"/>
      <c r="G2093" s="31"/>
      <c r="H2093" s="31"/>
      <c r="I2093" s="19"/>
      <c r="J2093" s="19"/>
      <c r="K2093" s="18"/>
      <c r="L2093" s="19"/>
      <c r="M2093" s="19"/>
      <c r="N2093" s="20"/>
      <c r="O2093" s="19"/>
      <c r="P2093" s="19"/>
      <c r="Q2093" s="19"/>
      <c r="R2093" s="19"/>
      <c r="S2093" s="19"/>
      <c r="T2093" s="19"/>
      <c r="U2093" s="19"/>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row>
    <row r="2094" spans="1:45" x14ac:dyDescent="0.3">
      <c r="A2094" s="410" t="s">
        <v>3649</v>
      </c>
      <c r="B2094" s="17"/>
      <c r="C2094" s="19"/>
      <c r="D2094" s="18"/>
      <c r="E2094" s="18"/>
      <c r="F2094" s="19"/>
      <c r="G2094" s="31"/>
      <c r="H2094" s="31"/>
      <c r="I2094" s="19"/>
      <c r="J2094" s="19"/>
      <c r="K2094" s="18"/>
      <c r="L2094" s="19"/>
      <c r="M2094" s="19"/>
      <c r="N2094" s="20"/>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row>
    <row r="2095" spans="1:45" x14ac:dyDescent="0.3">
      <c r="A2095" s="410" t="s">
        <v>3650</v>
      </c>
      <c r="B2095" s="17"/>
      <c r="C2095" s="19"/>
      <c r="D2095" s="18"/>
      <c r="E2095" s="18"/>
      <c r="F2095" s="19"/>
      <c r="G2095" s="31"/>
      <c r="H2095" s="31"/>
      <c r="I2095" s="19"/>
      <c r="J2095" s="19"/>
      <c r="K2095" s="18"/>
      <c r="L2095" s="19"/>
      <c r="M2095" s="19"/>
      <c r="N2095" s="20"/>
      <c r="O2095" s="19"/>
      <c r="P2095" s="19"/>
      <c r="Q2095" s="19"/>
      <c r="R2095" s="19"/>
      <c r="S2095" s="19"/>
      <c r="T2095" s="19"/>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row>
    <row r="2096" spans="1:45" x14ac:dyDescent="0.3">
      <c r="A2096" s="410" t="s">
        <v>3651</v>
      </c>
      <c r="B2096" s="17"/>
      <c r="C2096" s="19"/>
      <c r="D2096" s="18"/>
      <c r="E2096" s="18"/>
      <c r="F2096" s="19"/>
      <c r="G2096" s="31"/>
      <c r="H2096" s="31"/>
      <c r="I2096" s="19"/>
      <c r="J2096" s="19"/>
      <c r="K2096" s="18"/>
      <c r="L2096" s="19"/>
      <c r="M2096" s="19"/>
      <c r="N2096" s="20"/>
      <c r="O2096" s="19"/>
      <c r="P2096" s="19"/>
      <c r="Q2096" s="19"/>
      <c r="R2096" s="19"/>
      <c r="S2096" s="19"/>
      <c r="T2096" s="19"/>
      <c r="U2096" s="19"/>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row>
    <row r="2097" spans="1:45" x14ac:dyDescent="0.3">
      <c r="A2097" s="410" t="s">
        <v>3652</v>
      </c>
      <c r="B2097" s="17"/>
      <c r="C2097" s="19"/>
      <c r="D2097" s="18"/>
      <c r="E2097" s="18"/>
      <c r="F2097" s="19"/>
      <c r="G2097" s="31"/>
      <c r="H2097" s="31"/>
      <c r="I2097" s="19"/>
      <c r="J2097" s="19"/>
      <c r="K2097" s="18"/>
      <c r="L2097" s="19"/>
      <c r="M2097" s="19"/>
      <c r="N2097" s="20"/>
      <c r="O2097" s="19"/>
      <c r="P2097" s="19"/>
      <c r="Q2097" s="19"/>
      <c r="R2097" s="19"/>
      <c r="S2097" s="19"/>
      <c r="T2097" s="19"/>
      <c r="U2097" s="19"/>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row>
    <row r="2098" spans="1:45" x14ac:dyDescent="0.3">
      <c r="A2098" s="410" t="s">
        <v>3653</v>
      </c>
      <c r="B2098" s="17"/>
      <c r="C2098" s="19"/>
      <c r="D2098" s="18"/>
      <c r="E2098" s="18"/>
      <c r="F2098" s="19"/>
      <c r="G2098" s="31"/>
      <c r="H2098" s="31"/>
      <c r="I2098" s="19"/>
      <c r="J2098" s="19"/>
      <c r="K2098" s="18"/>
      <c r="L2098" s="19"/>
      <c r="M2098" s="19"/>
      <c r="N2098" s="20"/>
      <c r="O2098" s="19"/>
      <c r="P2098" s="19"/>
      <c r="Q2098" s="19"/>
      <c r="R2098" s="19"/>
      <c r="S2098" s="19"/>
      <c r="T2098" s="19"/>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row>
    <row r="2099" spans="1:45" x14ac:dyDescent="0.3">
      <c r="A2099" s="410" t="s">
        <v>3654</v>
      </c>
      <c r="B2099" s="17"/>
      <c r="C2099" s="19"/>
      <c r="D2099" s="18"/>
      <c r="E2099" s="18"/>
      <c r="F2099" s="19"/>
      <c r="G2099" s="31"/>
      <c r="H2099" s="31"/>
      <c r="I2099" s="19"/>
      <c r="J2099" s="19"/>
      <c r="K2099" s="18"/>
      <c r="L2099" s="19"/>
      <c r="M2099" s="19"/>
      <c r="N2099" s="20"/>
      <c r="O2099" s="19"/>
      <c r="P2099" s="19"/>
      <c r="Q2099" s="19"/>
      <c r="R2099" s="19"/>
      <c r="S2099" s="19"/>
      <c r="T2099" s="19"/>
      <c r="U2099" s="19"/>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row>
    <row r="2100" spans="1:45" x14ac:dyDescent="0.3">
      <c r="A2100" s="410" t="s">
        <v>3655</v>
      </c>
      <c r="B2100" s="17"/>
      <c r="C2100" s="19"/>
      <c r="D2100" s="18"/>
      <c r="E2100" s="18"/>
      <c r="F2100" s="19"/>
      <c r="G2100" s="31"/>
      <c r="H2100" s="31"/>
      <c r="I2100" s="19"/>
      <c r="J2100" s="19"/>
      <c r="K2100" s="18"/>
      <c r="L2100" s="19"/>
      <c r="M2100" s="19"/>
      <c r="N2100" s="20"/>
      <c r="O2100" s="19"/>
      <c r="P2100" s="19"/>
      <c r="Q2100" s="19"/>
      <c r="R2100" s="19"/>
      <c r="S2100" s="19"/>
      <c r="T2100" s="19"/>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row>
    <row r="2101" spans="1:45" x14ac:dyDescent="0.3">
      <c r="A2101" s="410" t="s">
        <v>3656</v>
      </c>
      <c r="B2101" s="17"/>
      <c r="C2101" s="19"/>
      <c r="D2101" s="18"/>
      <c r="E2101" s="18"/>
      <c r="F2101" s="19"/>
      <c r="G2101" s="31"/>
      <c r="H2101" s="31"/>
      <c r="I2101" s="19"/>
      <c r="J2101" s="19"/>
      <c r="K2101" s="18"/>
      <c r="L2101" s="19"/>
      <c r="M2101" s="19"/>
      <c r="N2101" s="20"/>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row>
    <row r="2102" spans="1:45" x14ac:dyDescent="0.3">
      <c r="A2102" s="410" t="s">
        <v>3657</v>
      </c>
      <c r="B2102" s="17"/>
      <c r="C2102" s="19"/>
      <c r="D2102" s="18"/>
      <c r="E2102" s="18"/>
      <c r="F2102" s="19"/>
      <c r="G2102" s="31"/>
      <c r="H2102" s="31"/>
      <c r="I2102" s="19"/>
      <c r="J2102" s="19"/>
      <c r="K2102" s="18"/>
      <c r="L2102" s="19"/>
      <c r="M2102" s="19"/>
      <c r="N2102" s="20"/>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row>
    <row r="2103" spans="1:45" x14ac:dyDescent="0.3">
      <c r="A2103" s="410" t="s">
        <v>3658</v>
      </c>
      <c r="B2103" s="17"/>
      <c r="C2103" s="19"/>
      <c r="D2103" s="18"/>
      <c r="E2103" s="18"/>
      <c r="F2103" s="19"/>
      <c r="G2103" s="31"/>
      <c r="H2103" s="31"/>
      <c r="I2103" s="19"/>
      <c r="J2103" s="19"/>
      <c r="K2103" s="18"/>
      <c r="L2103" s="19"/>
      <c r="M2103" s="19"/>
      <c r="N2103" s="20"/>
      <c r="O2103" s="19"/>
      <c r="P2103" s="19"/>
      <c r="Q2103" s="19"/>
      <c r="R2103" s="19"/>
      <c r="S2103" s="19"/>
      <c r="T2103" s="19"/>
      <c r="U2103" s="19"/>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row>
    <row r="2104" spans="1:45" x14ac:dyDescent="0.3">
      <c r="A2104" s="410" t="s">
        <v>3659</v>
      </c>
      <c r="B2104" s="17"/>
      <c r="C2104" s="19"/>
      <c r="D2104" s="18"/>
      <c r="E2104" s="18"/>
      <c r="F2104" s="19"/>
      <c r="G2104" s="31"/>
      <c r="H2104" s="31"/>
      <c r="I2104" s="19"/>
      <c r="J2104" s="19"/>
      <c r="K2104" s="18"/>
      <c r="L2104" s="19"/>
      <c r="M2104" s="19"/>
      <c r="N2104" s="20"/>
      <c r="O2104" s="19"/>
      <c r="P2104" s="19"/>
      <c r="Q2104" s="19"/>
      <c r="R2104" s="19"/>
      <c r="S2104" s="19"/>
      <c r="T2104" s="19"/>
      <c r="U2104" s="19"/>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row>
    <row r="2105" spans="1:45" x14ac:dyDescent="0.3">
      <c r="A2105" s="410" t="s">
        <v>3660</v>
      </c>
      <c r="B2105" s="17"/>
      <c r="C2105" s="19"/>
      <c r="D2105" s="18"/>
      <c r="E2105" s="18"/>
      <c r="F2105" s="19"/>
      <c r="G2105" s="31"/>
      <c r="H2105" s="31"/>
      <c r="I2105" s="19"/>
      <c r="J2105" s="19"/>
      <c r="K2105" s="18"/>
      <c r="L2105" s="19"/>
      <c r="M2105" s="19"/>
      <c r="N2105" s="20"/>
      <c r="O2105" s="19"/>
      <c r="P2105" s="19"/>
      <c r="Q2105" s="19"/>
      <c r="R2105" s="19"/>
      <c r="S2105" s="19"/>
      <c r="T2105" s="19"/>
      <c r="U2105" s="19"/>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row>
    <row r="2106" spans="1:45" x14ac:dyDescent="0.3">
      <c r="A2106" s="410" t="s">
        <v>3661</v>
      </c>
      <c r="B2106" s="17"/>
      <c r="C2106" s="19"/>
      <c r="D2106" s="18"/>
      <c r="E2106" s="18"/>
      <c r="F2106" s="19"/>
      <c r="G2106" s="31"/>
      <c r="H2106" s="31"/>
      <c r="I2106" s="19"/>
      <c r="J2106" s="19"/>
      <c r="K2106" s="18"/>
      <c r="L2106" s="19"/>
      <c r="M2106" s="19"/>
      <c r="N2106" s="20"/>
      <c r="O2106" s="19"/>
      <c r="P2106" s="19"/>
      <c r="Q2106" s="19"/>
      <c r="R2106" s="19"/>
      <c r="S2106" s="19"/>
      <c r="T2106" s="19"/>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row>
    <row r="2107" spans="1:45" x14ac:dyDescent="0.3">
      <c r="A2107" s="410" t="s">
        <v>3662</v>
      </c>
      <c r="B2107" s="17"/>
      <c r="C2107" s="19"/>
      <c r="D2107" s="18"/>
      <c r="E2107" s="18"/>
      <c r="F2107" s="19"/>
      <c r="G2107" s="31"/>
      <c r="H2107" s="31"/>
      <c r="I2107" s="19"/>
      <c r="J2107" s="19"/>
      <c r="K2107" s="18"/>
      <c r="L2107" s="19"/>
      <c r="M2107" s="19"/>
      <c r="N2107" s="20"/>
      <c r="O2107" s="19"/>
      <c r="P2107" s="19"/>
      <c r="Q2107" s="19"/>
      <c r="R2107" s="19"/>
      <c r="S2107" s="19"/>
      <c r="T2107" s="19"/>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row>
    <row r="2108" spans="1:45" x14ac:dyDescent="0.3">
      <c r="A2108" s="410" t="s">
        <v>3663</v>
      </c>
      <c r="B2108" s="17"/>
      <c r="C2108" s="19"/>
      <c r="D2108" s="18"/>
      <c r="E2108" s="18"/>
      <c r="F2108" s="19"/>
      <c r="G2108" s="31"/>
      <c r="H2108" s="31"/>
      <c r="I2108" s="19"/>
      <c r="J2108" s="19"/>
      <c r="K2108" s="18"/>
      <c r="L2108" s="19"/>
      <c r="M2108" s="19"/>
      <c r="N2108" s="20"/>
      <c r="O2108" s="19"/>
      <c r="P2108" s="19"/>
      <c r="Q2108" s="19"/>
      <c r="R2108" s="19"/>
      <c r="S2108" s="19"/>
      <c r="T2108" s="19"/>
      <c r="U2108" s="19"/>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row>
    <row r="2109" spans="1:45" x14ac:dyDescent="0.3">
      <c r="A2109" s="410" t="s">
        <v>3664</v>
      </c>
      <c r="B2109" s="17"/>
      <c r="C2109" s="19"/>
      <c r="D2109" s="18"/>
      <c r="E2109" s="18"/>
      <c r="F2109" s="19"/>
      <c r="G2109" s="31"/>
      <c r="H2109" s="31"/>
      <c r="I2109" s="19"/>
      <c r="J2109" s="19"/>
      <c r="K2109" s="18"/>
      <c r="L2109" s="19"/>
      <c r="M2109" s="19"/>
      <c r="N2109" s="20"/>
      <c r="O2109" s="19"/>
      <c r="P2109" s="19"/>
      <c r="Q2109" s="19"/>
      <c r="R2109" s="19"/>
      <c r="S2109" s="19"/>
      <c r="T2109" s="19"/>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row>
    <row r="2110" spans="1:45" x14ac:dyDescent="0.3">
      <c r="A2110" s="410" t="s">
        <v>3665</v>
      </c>
      <c r="B2110" s="17"/>
      <c r="C2110" s="19"/>
      <c r="D2110" s="18"/>
      <c r="E2110" s="18"/>
      <c r="F2110" s="19"/>
      <c r="G2110" s="31"/>
      <c r="H2110" s="31"/>
      <c r="I2110" s="19"/>
      <c r="J2110" s="19"/>
      <c r="K2110" s="18"/>
      <c r="L2110" s="19"/>
      <c r="M2110" s="19"/>
      <c r="N2110" s="20"/>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row>
    <row r="2111" spans="1:45" x14ac:dyDescent="0.3">
      <c r="A2111" s="410" t="s">
        <v>3666</v>
      </c>
      <c r="B2111" s="17"/>
      <c r="C2111" s="19"/>
      <c r="D2111" s="18"/>
      <c r="E2111" s="18"/>
      <c r="F2111" s="19"/>
      <c r="G2111" s="31"/>
      <c r="H2111" s="31"/>
      <c r="I2111" s="19"/>
      <c r="J2111" s="19"/>
      <c r="K2111" s="18"/>
      <c r="L2111" s="19"/>
      <c r="M2111" s="19"/>
      <c r="N2111" s="20"/>
      <c r="O2111" s="19"/>
      <c r="P2111" s="19"/>
      <c r="Q2111" s="19"/>
      <c r="R2111" s="19"/>
      <c r="S2111" s="19"/>
      <c r="T2111" s="19"/>
      <c r="U2111" s="19"/>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row>
    <row r="2112" spans="1:45" x14ac:dyDescent="0.3">
      <c r="A2112" s="410" t="s">
        <v>3667</v>
      </c>
      <c r="B2112" s="17"/>
      <c r="C2112" s="19"/>
      <c r="D2112" s="18"/>
      <c r="E2112" s="18"/>
      <c r="F2112" s="19"/>
      <c r="G2112" s="31"/>
      <c r="H2112" s="31"/>
      <c r="I2112" s="19"/>
      <c r="J2112" s="19"/>
      <c r="K2112" s="18"/>
      <c r="L2112" s="19"/>
      <c r="M2112" s="19"/>
      <c r="N2112" s="20"/>
      <c r="O2112" s="19"/>
      <c r="P2112" s="19"/>
      <c r="Q2112" s="19"/>
      <c r="R2112" s="19"/>
      <c r="S2112" s="19"/>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row>
    <row r="2113" spans="1:45" x14ac:dyDescent="0.3">
      <c r="A2113" s="410" t="s">
        <v>3668</v>
      </c>
      <c r="B2113" s="17"/>
      <c r="C2113" s="19"/>
      <c r="D2113" s="18"/>
      <c r="E2113" s="18"/>
      <c r="F2113" s="19"/>
      <c r="G2113" s="31"/>
      <c r="H2113" s="31"/>
      <c r="I2113" s="19"/>
      <c r="J2113" s="19"/>
      <c r="K2113" s="18"/>
      <c r="L2113" s="19"/>
      <c r="M2113" s="19"/>
      <c r="N2113" s="20"/>
      <c r="O2113" s="19"/>
      <c r="P2113" s="19"/>
      <c r="Q2113" s="19"/>
      <c r="R2113" s="19"/>
      <c r="S2113" s="19"/>
      <c r="T2113" s="19"/>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row>
    <row r="2114" spans="1:45" x14ac:dyDescent="0.3">
      <c r="A2114" s="410" t="s">
        <v>3669</v>
      </c>
      <c r="B2114" s="17"/>
      <c r="C2114" s="19"/>
      <c r="D2114" s="18"/>
      <c r="E2114" s="18"/>
      <c r="F2114" s="19"/>
      <c r="G2114" s="31"/>
      <c r="H2114" s="31"/>
      <c r="I2114" s="19"/>
      <c r="J2114" s="19"/>
      <c r="K2114" s="18"/>
      <c r="L2114" s="19"/>
      <c r="M2114" s="19"/>
      <c r="N2114" s="20"/>
      <c r="O2114" s="19"/>
      <c r="P2114" s="19"/>
      <c r="Q2114" s="19"/>
      <c r="R2114" s="19"/>
      <c r="S2114" s="19"/>
      <c r="T2114" s="19"/>
      <c r="U2114" s="19"/>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row>
    <row r="2115" spans="1:45" x14ac:dyDescent="0.3">
      <c r="A2115" s="410" t="s">
        <v>3670</v>
      </c>
      <c r="B2115" s="17"/>
      <c r="C2115" s="19"/>
      <c r="D2115" s="18"/>
      <c r="E2115" s="18"/>
      <c r="F2115" s="19"/>
      <c r="G2115" s="31"/>
      <c r="H2115" s="31"/>
      <c r="I2115" s="19"/>
      <c r="J2115" s="19"/>
      <c r="K2115" s="18"/>
      <c r="L2115" s="19"/>
      <c r="M2115" s="19"/>
      <c r="N2115" s="20"/>
      <c r="O2115" s="19"/>
      <c r="P2115" s="19"/>
      <c r="Q2115" s="19"/>
      <c r="R2115" s="19"/>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row>
    <row r="2116" spans="1:45" x14ac:dyDescent="0.3">
      <c r="A2116" s="410" t="s">
        <v>3671</v>
      </c>
      <c r="B2116" s="17"/>
      <c r="C2116" s="19"/>
      <c r="D2116" s="18"/>
      <c r="E2116" s="17"/>
      <c r="F2116" s="19"/>
      <c r="G2116" s="31"/>
      <c r="H2116" s="31"/>
      <c r="I2116" s="19"/>
      <c r="J2116" s="19"/>
      <c r="K2116" s="18"/>
      <c r="L2116" s="19"/>
      <c r="M2116" s="19"/>
      <c r="N2116" s="20"/>
      <c r="O2116" s="19"/>
      <c r="P2116" s="19"/>
      <c r="Q2116" s="19"/>
      <c r="R2116" s="19"/>
      <c r="S2116" s="19"/>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row>
    <row r="2117" spans="1:45" x14ac:dyDescent="0.3">
      <c r="A2117" s="410"/>
      <c r="B2117" s="17"/>
      <c r="C2117" s="19"/>
      <c r="D2117" s="18"/>
      <c r="E2117" s="17"/>
      <c r="F2117" s="19"/>
      <c r="G2117" s="31"/>
      <c r="H2117" s="31"/>
      <c r="I2117" s="19"/>
      <c r="J2117" s="19"/>
      <c r="K2117" s="18"/>
      <c r="L2117" s="19"/>
      <c r="M2117" s="19"/>
      <c r="N2117" s="20"/>
      <c r="O2117" s="19"/>
      <c r="P2117" s="19"/>
      <c r="Q2117" s="19"/>
      <c r="R2117" s="19"/>
      <c r="S2117" s="19"/>
      <c r="T2117" s="19"/>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row>
    <row r="2118" spans="1:45" x14ac:dyDescent="0.3">
      <c r="A2118" s="410" t="s">
        <v>3672</v>
      </c>
      <c r="B2118" s="17" t="s">
        <v>3673</v>
      </c>
      <c r="C2118" s="19" t="s">
        <v>1368</v>
      </c>
      <c r="D2118" s="19">
        <v>23092006</v>
      </c>
      <c r="E2118" s="18"/>
      <c r="F2118" s="19"/>
      <c r="G2118" s="31"/>
      <c r="H2118" s="31"/>
      <c r="I2118" s="19"/>
      <c r="J2118" s="19"/>
      <c r="K2118" s="18"/>
      <c r="L2118" s="19"/>
      <c r="M2118" s="19"/>
      <c r="N2118" s="20"/>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row>
    <row r="2119" spans="1:45" x14ac:dyDescent="0.3">
      <c r="A2119" s="410" t="s">
        <v>3674</v>
      </c>
      <c r="B2119" s="17" t="s">
        <v>3675</v>
      </c>
      <c r="C2119" s="19" t="s">
        <v>1368</v>
      </c>
      <c r="D2119" s="19">
        <v>23139080</v>
      </c>
      <c r="E2119" s="18"/>
      <c r="F2119" s="19"/>
      <c r="G2119" s="31"/>
      <c r="H2119" s="31"/>
      <c r="I2119" s="19"/>
      <c r="J2119" s="19"/>
      <c r="K2119" s="18"/>
      <c r="L2119" s="19"/>
      <c r="M2119" s="19"/>
      <c r="N2119" s="20"/>
      <c r="O2119" s="19"/>
      <c r="P2119" s="19"/>
      <c r="Q2119" s="19"/>
      <c r="R2119" s="19"/>
      <c r="S2119" s="19"/>
      <c r="T2119" s="19"/>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row>
    <row r="2120" spans="1:45" x14ac:dyDescent="0.3">
      <c r="A2120" s="410" t="s">
        <v>3676</v>
      </c>
      <c r="B2120" s="17" t="s">
        <v>3677</v>
      </c>
      <c r="C2120" s="19" t="s">
        <v>1368</v>
      </c>
      <c r="D2120" s="19">
        <v>23095222</v>
      </c>
      <c r="E2120" s="18"/>
      <c r="F2120" s="19"/>
      <c r="G2120" s="31"/>
      <c r="H2120" s="31"/>
      <c r="I2120" s="19"/>
      <c r="J2120" s="19"/>
      <c r="K2120" s="18"/>
      <c r="L2120" s="19"/>
      <c r="M2120" s="19"/>
      <c r="N2120" s="20"/>
      <c r="O2120" s="19"/>
      <c r="P2120" s="19"/>
      <c r="Q2120" s="19"/>
      <c r="R2120" s="19"/>
      <c r="S2120" s="19"/>
      <c r="T2120" s="19"/>
      <c r="U2120" s="19"/>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row>
    <row r="2121" spans="1:45" x14ac:dyDescent="0.3">
      <c r="A2121" s="410" t="s">
        <v>3678</v>
      </c>
      <c r="B2121" s="17" t="s">
        <v>3679</v>
      </c>
      <c r="C2121" s="19" t="s">
        <v>1368</v>
      </c>
      <c r="D2121" s="19">
        <v>23089278</v>
      </c>
      <c r="E2121" s="18"/>
      <c r="F2121" s="19"/>
      <c r="G2121" s="31"/>
      <c r="H2121" s="31"/>
      <c r="I2121" s="19"/>
      <c r="J2121" s="19"/>
      <c r="K2121" s="18"/>
      <c r="L2121" s="19"/>
      <c r="M2121" s="19"/>
      <c r="N2121" s="20"/>
      <c r="O2121" s="19"/>
      <c r="P2121" s="19"/>
      <c r="Q2121" s="19"/>
      <c r="R2121" s="19"/>
      <c r="S2121" s="19"/>
      <c r="T2121" s="19"/>
      <c r="U2121" s="19"/>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row>
    <row r="2122" spans="1:45" x14ac:dyDescent="0.3">
      <c r="A2122" s="410" t="s">
        <v>3680</v>
      </c>
      <c r="B2122" s="17" t="s">
        <v>3681</v>
      </c>
      <c r="C2122" s="19" t="s">
        <v>1368</v>
      </c>
      <c r="D2122" s="19">
        <v>23096011</v>
      </c>
      <c r="E2122" s="18"/>
      <c r="F2122" s="19"/>
      <c r="G2122" s="31"/>
      <c r="H2122" s="31"/>
      <c r="I2122" s="19"/>
      <c r="J2122" s="19"/>
      <c r="K2122" s="18"/>
      <c r="L2122" s="19"/>
      <c r="M2122" s="19"/>
      <c r="N2122" s="20"/>
      <c r="O2122" s="19"/>
      <c r="P2122" s="19"/>
      <c r="Q2122" s="19"/>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row>
    <row r="2123" spans="1:45" x14ac:dyDescent="0.3">
      <c r="A2123" s="410" t="s">
        <v>3682</v>
      </c>
      <c r="B2123" s="17" t="s">
        <v>3683</v>
      </c>
      <c r="C2123" s="19" t="s">
        <v>1368</v>
      </c>
      <c r="D2123" s="19">
        <v>23143108</v>
      </c>
      <c r="E2123" s="18"/>
      <c r="F2123" s="19"/>
      <c r="G2123" s="31"/>
      <c r="H2123" s="31"/>
      <c r="I2123" s="19"/>
      <c r="J2123" s="19"/>
      <c r="K2123" s="18"/>
      <c r="L2123" s="19"/>
      <c r="M2123" s="19"/>
      <c r="N2123" s="20"/>
      <c r="O2123" s="19"/>
      <c r="P2123" s="19"/>
      <c r="Q2123" s="19"/>
      <c r="R2123" s="19"/>
      <c r="S2123" s="19"/>
      <c r="T2123" s="19"/>
      <c r="U2123" s="19"/>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row>
    <row r="2124" spans="1:45" x14ac:dyDescent="0.3">
      <c r="A2124" s="410" t="s">
        <v>3684</v>
      </c>
      <c r="B2124" s="17" t="s">
        <v>3685</v>
      </c>
      <c r="C2124" s="19" t="s">
        <v>1368</v>
      </c>
      <c r="D2124" s="19">
        <v>20241319</v>
      </c>
      <c r="E2124" s="18"/>
      <c r="F2124" s="19"/>
      <c r="G2124" s="31"/>
      <c r="H2124" s="31"/>
      <c r="I2124" s="19"/>
      <c r="J2124" s="19"/>
      <c r="K2124" s="18"/>
      <c r="L2124" s="19"/>
      <c r="M2124" s="19"/>
      <c r="N2124" s="20"/>
      <c r="O2124" s="19"/>
      <c r="P2124" s="19"/>
      <c r="Q2124" s="19"/>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row>
    <row r="2125" spans="1:45" x14ac:dyDescent="0.3">
      <c r="A2125" s="410" t="s">
        <v>3686</v>
      </c>
      <c r="B2125" s="17" t="s">
        <v>3687</v>
      </c>
      <c r="C2125" s="19" t="s">
        <v>1368</v>
      </c>
      <c r="D2125" s="19">
        <v>23087864</v>
      </c>
      <c r="E2125" s="18"/>
      <c r="F2125" s="19"/>
      <c r="G2125" s="31"/>
      <c r="H2125" s="31"/>
      <c r="I2125" s="19"/>
      <c r="J2125" s="19"/>
      <c r="K2125" s="18"/>
      <c r="L2125" s="19"/>
      <c r="M2125" s="19"/>
      <c r="N2125" s="20"/>
      <c r="O2125" s="19"/>
      <c r="P2125" s="19"/>
      <c r="Q2125" s="19"/>
      <c r="R2125" s="19"/>
      <c r="S2125" s="19"/>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row>
    <row r="2126" spans="1:45" x14ac:dyDescent="0.3">
      <c r="A2126" s="410" t="s">
        <v>3688</v>
      </c>
      <c r="B2126" s="17" t="s">
        <v>3689</v>
      </c>
      <c r="C2126" s="19" t="s">
        <v>1368</v>
      </c>
      <c r="D2126" s="19">
        <v>23092457</v>
      </c>
      <c r="E2126" s="18"/>
      <c r="F2126" s="19"/>
      <c r="G2126" s="31"/>
      <c r="H2126" s="31"/>
      <c r="I2126" s="19"/>
      <c r="J2126" s="19"/>
      <c r="K2126" s="18"/>
      <c r="L2126" s="19"/>
      <c r="M2126" s="19"/>
      <c r="N2126" s="20"/>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row>
    <row r="2127" spans="1:45" x14ac:dyDescent="0.3">
      <c r="A2127" s="410" t="s">
        <v>3690</v>
      </c>
      <c r="B2127" s="17" t="s">
        <v>3691</v>
      </c>
      <c r="C2127" s="19" t="s">
        <v>1368</v>
      </c>
      <c r="D2127" s="19">
        <v>23202301</v>
      </c>
      <c r="E2127" s="18"/>
      <c r="F2127" s="19"/>
      <c r="G2127" s="31"/>
      <c r="H2127" s="31"/>
      <c r="I2127" s="19"/>
      <c r="J2127" s="19"/>
      <c r="K2127" s="18"/>
      <c r="L2127" s="19"/>
      <c r="M2127" s="19"/>
      <c r="N2127" s="20"/>
      <c r="O2127" s="19"/>
      <c r="P2127" s="19"/>
      <c r="Q2127" s="19"/>
      <c r="R2127" s="19"/>
      <c r="S2127" s="19"/>
      <c r="T2127" s="19"/>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row>
    <row r="2128" spans="1:45" x14ac:dyDescent="0.3">
      <c r="A2128" s="410" t="s">
        <v>3692</v>
      </c>
      <c r="B2128" s="17" t="s">
        <v>3693</v>
      </c>
      <c r="C2128" s="19" t="s">
        <v>1368</v>
      </c>
      <c r="D2128" s="19">
        <v>23202637</v>
      </c>
      <c r="E2128" s="18"/>
      <c r="F2128" s="19"/>
      <c r="G2128" s="31"/>
      <c r="H2128" s="31"/>
      <c r="I2128" s="19"/>
      <c r="J2128" s="19"/>
      <c r="K2128" s="18"/>
      <c r="L2128" s="19"/>
      <c r="M2128" s="19"/>
      <c r="N2128" s="20"/>
      <c r="O2128" s="19"/>
      <c r="P2128" s="19"/>
      <c r="Q2128" s="19"/>
      <c r="R2128" s="19"/>
      <c r="S2128" s="19"/>
      <c r="T2128" s="19"/>
      <c r="U2128" s="19"/>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row>
    <row r="2129" spans="1:45" x14ac:dyDescent="0.3">
      <c r="A2129" s="410" t="s">
        <v>3694</v>
      </c>
      <c r="B2129" s="17" t="s">
        <v>3695</v>
      </c>
      <c r="C2129" s="19" t="s">
        <v>1371</v>
      </c>
      <c r="D2129" s="19">
        <v>23036426</v>
      </c>
      <c r="E2129" s="18"/>
      <c r="F2129" s="19"/>
      <c r="G2129" s="31">
        <v>45313</v>
      </c>
      <c r="H2129" s="31">
        <v>45678</v>
      </c>
      <c r="I2129" s="19" t="s">
        <v>1372</v>
      </c>
      <c r="J2129" s="19" t="s">
        <v>1373</v>
      </c>
      <c r="K2129" s="18" t="s">
        <v>1372</v>
      </c>
      <c r="L2129" s="19" t="s">
        <v>1373</v>
      </c>
      <c r="M2129" s="19" t="s">
        <v>1461</v>
      </c>
      <c r="N2129" s="20" t="s">
        <v>3696</v>
      </c>
      <c r="O2129" s="19" t="s">
        <v>2582</v>
      </c>
      <c r="P2129" s="19"/>
      <c r="Q2129" s="19" t="s">
        <v>1372</v>
      </c>
      <c r="R2129" s="19" t="s">
        <v>1372</v>
      </c>
      <c r="S2129" s="19" t="s">
        <v>1372</v>
      </c>
      <c r="T2129" s="19" t="s">
        <v>1372</v>
      </c>
      <c r="U2129" s="19" t="s">
        <v>1372</v>
      </c>
      <c r="V2129" s="19" t="s">
        <v>1372</v>
      </c>
      <c r="W2129" s="19"/>
      <c r="X2129" s="19"/>
      <c r="Y2129" s="19"/>
      <c r="Z2129" s="19" t="s">
        <v>1372</v>
      </c>
      <c r="AA2129" s="19"/>
      <c r="AB2129" s="19"/>
      <c r="AC2129" s="19"/>
      <c r="AD2129" s="19"/>
      <c r="AE2129" s="19"/>
      <c r="AF2129" s="19" t="s">
        <v>1372</v>
      </c>
      <c r="AG2129" s="19"/>
      <c r="AH2129" s="19"/>
      <c r="AI2129" s="19"/>
      <c r="AJ2129" s="19"/>
      <c r="AK2129" s="19"/>
      <c r="AL2129" s="19"/>
      <c r="AM2129" s="19"/>
      <c r="AN2129" s="19"/>
      <c r="AO2129" s="19"/>
      <c r="AP2129" s="19"/>
      <c r="AQ2129" s="19"/>
      <c r="AR2129" s="19"/>
      <c r="AS2129" s="19" t="s">
        <v>1783</v>
      </c>
    </row>
    <row r="2130" spans="1:45" x14ac:dyDescent="0.3">
      <c r="A2130" s="410" t="s">
        <v>3697</v>
      </c>
      <c r="B2130" s="17" t="s">
        <v>3698</v>
      </c>
      <c r="C2130" s="19" t="s">
        <v>1368</v>
      </c>
      <c r="D2130" s="19">
        <v>23086982</v>
      </c>
      <c r="E2130" s="18"/>
      <c r="F2130" s="19"/>
      <c r="G2130" s="31"/>
      <c r="H2130" s="31"/>
      <c r="I2130" s="19"/>
      <c r="J2130" s="19"/>
      <c r="K2130" s="18"/>
      <c r="L2130" s="19"/>
      <c r="M2130" s="19"/>
      <c r="N2130" s="20"/>
      <c r="O2130" s="19"/>
      <c r="P2130" s="19"/>
      <c r="Q2130" s="19"/>
      <c r="R2130" s="19"/>
      <c r="S2130" s="19"/>
      <c r="T2130" s="19"/>
      <c r="U2130" s="19"/>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row>
    <row r="2131" spans="1:45" x14ac:dyDescent="0.3">
      <c r="A2131" s="410" t="s">
        <v>3699</v>
      </c>
      <c r="B2131" s="17" t="s">
        <v>3700</v>
      </c>
      <c r="C2131" s="19" t="s">
        <v>1368</v>
      </c>
      <c r="D2131" s="19">
        <v>23089935</v>
      </c>
      <c r="E2131" s="18"/>
      <c r="F2131" s="19"/>
      <c r="G2131" s="31"/>
      <c r="H2131" s="31"/>
      <c r="I2131" s="19"/>
      <c r="J2131" s="19"/>
      <c r="K2131" s="18"/>
      <c r="L2131" s="19"/>
      <c r="M2131" s="19"/>
      <c r="N2131" s="20"/>
      <c r="O2131" s="19"/>
      <c r="P2131" s="19"/>
      <c r="Q2131" s="19"/>
      <c r="R2131" s="19"/>
      <c r="S2131" s="19"/>
      <c r="T2131" s="19"/>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row>
    <row r="2132" spans="1:45" x14ac:dyDescent="0.3">
      <c r="A2132" s="410" t="s">
        <v>3701</v>
      </c>
      <c r="B2132" s="17" t="s">
        <v>3702</v>
      </c>
      <c r="C2132" s="19" t="s">
        <v>1368</v>
      </c>
      <c r="D2132" s="19">
        <v>23198973</v>
      </c>
      <c r="E2132" s="18"/>
      <c r="F2132" s="19"/>
      <c r="G2132" s="31"/>
      <c r="H2132" s="31"/>
      <c r="I2132" s="19"/>
      <c r="J2132" s="19"/>
      <c r="K2132" s="18"/>
      <c r="L2132" s="19"/>
      <c r="M2132" s="19"/>
      <c r="N2132" s="20"/>
      <c r="O2132" s="19"/>
      <c r="P2132" s="19"/>
      <c r="Q2132" s="19"/>
      <c r="R2132" s="19"/>
      <c r="S2132" s="19"/>
      <c r="T2132" s="19"/>
      <c r="U2132" s="19"/>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row>
    <row r="2133" spans="1:45" x14ac:dyDescent="0.3">
      <c r="A2133" s="410" t="s">
        <v>3703</v>
      </c>
      <c r="B2133" s="17" t="s">
        <v>3704</v>
      </c>
      <c r="C2133" s="19" t="s">
        <v>1368</v>
      </c>
      <c r="D2133" s="19">
        <v>23096018</v>
      </c>
      <c r="E2133" s="18"/>
      <c r="F2133" s="19"/>
      <c r="G2133" s="31"/>
      <c r="H2133" s="31"/>
      <c r="I2133" s="19"/>
      <c r="J2133" s="19"/>
      <c r="K2133" s="18"/>
      <c r="L2133" s="19"/>
      <c r="M2133" s="19"/>
      <c r="N2133" s="20"/>
      <c r="O2133" s="19"/>
      <c r="P2133" s="19"/>
      <c r="Q2133" s="19"/>
      <c r="R2133" s="19"/>
      <c r="S2133" s="19"/>
      <c r="T2133" s="19"/>
      <c r="U2133" s="19"/>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row>
    <row r="2134" spans="1:45" x14ac:dyDescent="0.3">
      <c r="A2134" s="410" t="s">
        <v>3705</v>
      </c>
      <c r="B2134" s="17" t="s">
        <v>3706</v>
      </c>
      <c r="C2134" s="19" t="s">
        <v>1368</v>
      </c>
      <c r="D2134" s="19">
        <v>23095419</v>
      </c>
      <c r="E2134" s="18"/>
      <c r="F2134" s="19"/>
      <c r="G2134" s="31"/>
      <c r="H2134" s="31"/>
      <c r="I2134" s="19"/>
      <c r="J2134" s="19"/>
      <c r="K2134" s="18"/>
      <c r="L2134" s="19"/>
      <c r="M2134" s="19"/>
      <c r="N2134" s="20"/>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row>
    <row r="2135" spans="1:45" x14ac:dyDescent="0.3">
      <c r="A2135" s="410" t="s">
        <v>3707</v>
      </c>
      <c r="B2135" s="17" t="s">
        <v>3708</v>
      </c>
      <c r="C2135" s="19" t="s">
        <v>1368</v>
      </c>
      <c r="D2135" s="19">
        <v>23194284</v>
      </c>
      <c r="E2135" s="18"/>
      <c r="F2135" s="19"/>
      <c r="G2135" s="31"/>
      <c r="H2135" s="31"/>
      <c r="I2135" s="19"/>
      <c r="J2135" s="19"/>
      <c r="K2135" s="18"/>
      <c r="L2135" s="19"/>
      <c r="M2135" s="19"/>
      <c r="N2135" s="20"/>
      <c r="O2135" s="19"/>
      <c r="P2135" s="19"/>
      <c r="Q2135" s="19"/>
      <c r="R2135" s="19"/>
      <c r="S2135" s="19"/>
      <c r="T2135" s="19"/>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row>
    <row r="2136" spans="1:45" x14ac:dyDescent="0.3">
      <c r="A2136" s="410" t="s">
        <v>3709</v>
      </c>
      <c r="B2136" s="17" t="s">
        <v>3710</v>
      </c>
      <c r="C2136" s="19" t="s">
        <v>1368</v>
      </c>
      <c r="D2136" s="19">
        <v>23198115</v>
      </c>
      <c r="E2136" s="18"/>
      <c r="F2136" s="19"/>
      <c r="G2136" s="31"/>
      <c r="H2136" s="31"/>
      <c r="I2136" s="19"/>
      <c r="J2136" s="19"/>
      <c r="K2136" s="18"/>
      <c r="L2136" s="19"/>
      <c r="M2136" s="19"/>
      <c r="N2136" s="20"/>
      <c r="O2136" s="19"/>
      <c r="P2136" s="19"/>
      <c r="Q2136" s="19"/>
      <c r="R2136" s="19"/>
      <c r="S2136" s="19"/>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row>
    <row r="2137" spans="1:45" x14ac:dyDescent="0.3">
      <c r="A2137" s="410" t="s">
        <v>3711</v>
      </c>
      <c r="B2137" s="17" t="s">
        <v>3712</v>
      </c>
      <c r="C2137" s="19" t="s">
        <v>1368</v>
      </c>
      <c r="D2137" s="19">
        <v>23197457</v>
      </c>
      <c r="E2137" s="18"/>
      <c r="F2137" s="19"/>
      <c r="G2137" s="31"/>
      <c r="H2137" s="31"/>
      <c r="I2137" s="19"/>
      <c r="J2137" s="19"/>
      <c r="K2137" s="18"/>
      <c r="L2137" s="19"/>
      <c r="M2137" s="19"/>
      <c r="N2137" s="20"/>
      <c r="O2137" s="19"/>
      <c r="P2137" s="19"/>
      <c r="Q2137" s="19"/>
      <c r="R2137" s="19"/>
      <c r="S2137" s="19"/>
      <c r="T2137" s="19"/>
      <c r="U2137" s="19"/>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row>
    <row r="2138" spans="1:45" x14ac:dyDescent="0.3">
      <c r="A2138" s="410" t="s">
        <v>3713</v>
      </c>
      <c r="B2138" s="17" t="s">
        <v>3714</v>
      </c>
      <c r="C2138" s="19"/>
      <c r="D2138" s="19">
        <v>23202594</v>
      </c>
      <c r="E2138" s="18"/>
      <c r="F2138" s="19"/>
      <c r="G2138" s="31"/>
      <c r="H2138" s="31"/>
      <c r="I2138" s="19"/>
      <c r="J2138" s="19"/>
      <c r="K2138" s="18"/>
      <c r="L2138" s="19"/>
      <c r="M2138" s="19"/>
      <c r="N2138" s="20"/>
      <c r="O2138" s="19"/>
      <c r="P2138" s="19"/>
      <c r="Q2138" s="19"/>
      <c r="R2138" s="19"/>
      <c r="S2138" s="19"/>
      <c r="T2138" s="19"/>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row>
    <row r="2139" spans="1:45" x14ac:dyDescent="0.3">
      <c r="A2139" s="410" t="s">
        <v>3715</v>
      </c>
      <c r="B2139" s="17" t="s">
        <v>3716</v>
      </c>
      <c r="C2139" s="19" t="s">
        <v>1368</v>
      </c>
      <c r="D2139" s="19">
        <v>23094001</v>
      </c>
      <c r="E2139" s="18"/>
      <c r="F2139" s="19"/>
      <c r="G2139" s="31"/>
      <c r="H2139" s="31"/>
      <c r="I2139" s="19"/>
      <c r="J2139" s="19"/>
      <c r="K2139" s="18"/>
      <c r="L2139" s="19"/>
      <c r="M2139" s="19"/>
      <c r="N2139" s="20"/>
      <c r="O2139" s="19"/>
      <c r="P2139" s="19"/>
      <c r="Q2139" s="19"/>
      <c r="R2139" s="19"/>
      <c r="S2139" s="19"/>
      <c r="T2139" s="19"/>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row>
    <row r="2140" spans="1:45" x14ac:dyDescent="0.3">
      <c r="A2140" s="410" t="s">
        <v>3717</v>
      </c>
      <c r="B2140" s="17" t="s">
        <v>3718</v>
      </c>
      <c r="C2140" s="19" t="s">
        <v>1368</v>
      </c>
      <c r="D2140" s="19">
        <v>23091076</v>
      </c>
      <c r="E2140" s="18"/>
      <c r="F2140" s="19"/>
      <c r="G2140" s="31"/>
      <c r="H2140" s="31"/>
      <c r="I2140" s="19"/>
      <c r="J2140" s="19"/>
      <c r="K2140" s="18"/>
      <c r="L2140" s="19"/>
      <c r="M2140" s="19"/>
      <c r="N2140" s="20"/>
      <c r="O2140" s="19"/>
      <c r="P2140" s="19"/>
      <c r="Q2140" s="19"/>
      <c r="R2140" s="19"/>
      <c r="S2140" s="19"/>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row>
    <row r="2141" spans="1:45" x14ac:dyDescent="0.3">
      <c r="A2141" s="410" t="s">
        <v>3719</v>
      </c>
      <c r="B2141" s="17" t="s">
        <v>3720</v>
      </c>
      <c r="C2141" s="19" t="s">
        <v>1368</v>
      </c>
      <c r="D2141" s="19">
        <v>23191034</v>
      </c>
      <c r="E2141" s="18"/>
      <c r="F2141" s="19"/>
      <c r="G2141" s="31"/>
      <c r="H2141" s="31"/>
      <c r="I2141" s="19"/>
      <c r="J2141" s="19"/>
      <c r="K2141" s="18"/>
      <c r="L2141" s="19"/>
      <c r="M2141" s="19"/>
      <c r="N2141" s="20"/>
      <c r="O2141" s="19"/>
      <c r="P2141" s="19"/>
      <c r="Q2141" s="19"/>
      <c r="R2141" s="19"/>
      <c r="S2141" s="19"/>
      <c r="T2141" s="19"/>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row>
    <row r="2142" spans="1:45" x14ac:dyDescent="0.3">
      <c r="A2142" s="410" t="s">
        <v>3721</v>
      </c>
      <c r="B2142" s="17" t="s">
        <v>3722</v>
      </c>
      <c r="C2142" s="19"/>
      <c r="D2142" s="19">
        <v>23157969</v>
      </c>
      <c r="E2142" s="18"/>
      <c r="F2142" s="19"/>
      <c r="G2142" s="31"/>
      <c r="H2142" s="31"/>
      <c r="I2142" s="19"/>
      <c r="J2142" s="19"/>
      <c r="K2142" s="18"/>
      <c r="L2142" s="19"/>
      <c r="M2142" s="19"/>
      <c r="N2142" s="20"/>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row>
    <row r="2143" spans="1:45" x14ac:dyDescent="0.3">
      <c r="A2143" s="410" t="s">
        <v>3723</v>
      </c>
      <c r="B2143" s="17" t="s">
        <v>3724</v>
      </c>
      <c r="C2143" s="19" t="s">
        <v>1368</v>
      </c>
      <c r="D2143" s="19">
        <v>23220833</v>
      </c>
      <c r="E2143" s="18"/>
      <c r="F2143" s="19"/>
      <c r="G2143" s="31"/>
      <c r="H2143" s="31"/>
      <c r="I2143" s="19"/>
      <c r="J2143" s="19"/>
      <c r="K2143" s="18"/>
      <c r="L2143" s="19"/>
      <c r="M2143" s="19"/>
      <c r="N2143" s="20"/>
      <c r="O2143" s="19"/>
      <c r="P2143" s="19"/>
      <c r="Q2143" s="19"/>
      <c r="R2143" s="19"/>
      <c r="S2143" s="19"/>
      <c r="T2143" s="19"/>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row>
    <row r="2144" spans="1:45" x14ac:dyDescent="0.3">
      <c r="A2144" s="410" t="s">
        <v>3725</v>
      </c>
      <c r="B2144" s="17" t="s">
        <v>3726</v>
      </c>
      <c r="C2144" s="19" t="s">
        <v>1368</v>
      </c>
      <c r="D2144" s="19">
        <v>23092517</v>
      </c>
      <c r="E2144" s="18"/>
      <c r="F2144" s="19"/>
      <c r="G2144" s="31"/>
      <c r="H2144" s="31"/>
      <c r="I2144" s="19"/>
      <c r="J2144" s="19"/>
      <c r="K2144" s="18"/>
      <c r="L2144" s="19"/>
      <c r="M2144" s="19"/>
      <c r="N2144" s="20"/>
      <c r="O2144" s="19"/>
      <c r="P2144" s="19"/>
      <c r="Q2144" s="19"/>
      <c r="R2144" s="19"/>
      <c r="S2144" s="19"/>
      <c r="T2144" s="19"/>
      <c r="U2144" s="19"/>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row>
    <row r="2145" spans="1:45" x14ac:dyDescent="0.3">
      <c r="A2145" s="410" t="s">
        <v>3727</v>
      </c>
      <c r="B2145" s="17" t="s">
        <v>3728</v>
      </c>
      <c r="C2145" s="19" t="s">
        <v>1368</v>
      </c>
      <c r="D2145" s="19">
        <v>23094883</v>
      </c>
      <c r="E2145" s="18"/>
      <c r="F2145" s="19"/>
      <c r="G2145" s="31"/>
      <c r="H2145" s="31"/>
      <c r="I2145" s="19"/>
      <c r="J2145" s="19"/>
      <c r="K2145" s="18"/>
      <c r="L2145" s="19"/>
      <c r="M2145" s="19"/>
      <c r="N2145" s="20"/>
      <c r="O2145" s="19"/>
      <c r="P2145" s="19"/>
      <c r="Q2145" s="19"/>
      <c r="R2145" s="19"/>
      <c r="S2145" s="19"/>
      <c r="T2145" s="19"/>
      <c r="U2145" s="19"/>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row>
    <row r="2146" spans="1:45" x14ac:dyDescent="0.3">
      <c r="A2146" s="410" t="s">
        <v>3729</v>
      </c>
      <c r="B2146" s="17" t="s">
        <v>3730</v>
      </c>
      <c r="C2146" s="19" t="s">
        <v>1368</v>
      </c>
      <c r="D2146" s="19">
        <v>23124222</v>
      </c>
      <c r="E2146" s="18"/>
      <c r="F2146" s="19"/>
      <c r="G2146" s="31"/>
      <c r="H2146" s="31"/>
      <c r="I2146" s="19"/>
      <c r="J2146" s="19"/>
      <c r="K2146" s="18"/>
      <c r="L2146" s="19"/>
      <c r="M2146" s="19"/>
      <c r="N2146" s="20"/>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row>
    <row r="2147" spans="1:45" x14ac:dyDescent="0.3">
      <c r="A2147" s="410" t="s">
        <v>3731</v>
      </c>
      <c r="B2147" s="17" t="s">
        <v>3732</v>
      </c>
      <c r="C2147" s="19" t="s">
        <v>1368</v>
      </c>
      <c r="D2147" s="19">
        <v>23089746</v>
      </c>
      <c r="E2147" s="18"/>
      <c r="F2147" s="19"/>
      <c r="G2147" s="31"/>
      <c r="H2147" s="31"/>
      <c r="I2147" s="19"/>
      <c r="J2147" s="19"/>
      <c r="K2147" s="18"/>
      <c r="L2147" s="19"/>
      <c r="M2147" s="19"/>
      <c r="N2147" s="20"/>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row>
    <row r="2148" spans="1:45" x14ac:dyDescent="0.3">
      <c r="A2148" s="410" t="s">
        <v>3733</v>
      </c>
      <c r="B2148" s="17" t="s">
        <v>3734</v>
      </c>
      <c r="C2148" s="19" t="s">
        <v>1368</v>
      </c>
      <c r="D2148" s="19">
        <v>23198927</v>
      </c>
      <c r="E2148" s="18"/>
      <c r="F2148" s="19"/>
      <c r="G2148" s="31"/>
      <c r="H2148" s="31"/>
      <c r="I2148" s="19"/>
      <c r="J2148" s="19"/>
      <c r="K2148" s="18"/>
      <c r="L2148" s="19"/>
      <c r="M2148" s="19"/>
      <c r="N2148" s="20"/>
      <c r="O2148" s="19"/>
      <c r="P2148" s="19"/>
      <c r="Q2148" s="19"/>
      <c r="R2148" s="19"/>
      <c r="S2148" s="19"/>
      <c r="T2148" s="19"/>
      <c r="U2148" s="19"/>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row>
    <row r="2149" spans="1:45" x14ac:dyDescent="0.3">
      <c r="A2149" s="410" t="s">
        <v>3735</v>
      </c>
      <c r="B2149" s="17" t="s">
        <v>3736</v>
      </c>
      <c r="C2149" s="19" t="s">
        <v>1368</v>
      </c>
      <c r="D2149" s="19">
        <v>23094396</v>
      </c>
      <c r="E2149" s="18"/>
      <c r="F2149" s="19"/>
      <c r="G2149" s="31"/>
      <c r="H2149" s="31"/>
      <c r="I2149" s="19"/>
      <c r="J2149" s="19"/>
      <c r="K2149" s="18"/>
      <c r="L2149" s="19"/>
      <c r="M2149" s="19"/>
      <c r="N2149" s="20"/>
      <c r="O2149" s="19"/>
      <c r="P2149" s="19"/>
      <c r="Q2149" s="19"/>
      <c r="R2149" s="19"/>
      <c r="S2149" s="19"/>
      <c r="T2149" s="19"/>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row>
    <row r="2150" spans="1:45" x14ac:dyDescent="0.3">
      <c r="A2150" s="410" t="s">
        <v>3737</v>
      </c>
      <c r="B2150" s="17" t="s">
        <v>3738</v>
      </c>
      <c r="C2150" s="19"/>
      <c r="D2150" s="19">
        <v>23196940</v>
      </c>
      <c r="E2150" s="18"/>
      <c r="F2150" s="19"/>
      <c r="G2150" s="31">
        <v>45313</v>
      </c>
      <c r="H2150" s="31">
        <v>45678</v>
      </c>
      <c r="I2150" s="19" t="s">
        <v>1372</v>
      </c>
      <c r="J2150" s="19" t="s">
        <v>1373</v>
      </c>
      <c r="K2150" s="18" t="s">
        <v>1372</v>
      </c>
      <c r="L2150" s="19" t="s">
        <v>1373</v>
      </c>
      <c r="M2150" s="19" t="s">
        <v>1461</v>
      </c>
      <c r="N2150" s="20" t="s">
        <v>3739</v>
      </c>
      <c r="O2150" s="19"/>
      <c r="P2150" s="19" t="s">
        <v>1372</v>
      </c>
      <c r="Q2150" s="19" t="s">
        <v>1372</v>
      </c>
      <c r="R2150" s="19" t="s">
        <v>1372</v>
      </c>
      <c r="S2150" s="19" t="s">
        <v>1372</v>
      </c>
      <c r="T2150" s="19" t="s">
        <v>1372</v>
      </c>
      <c r="U2150" s="19" t="s">
        <v>1372</v>
      </c>
      <c r="V2150" s="19" t="s">
        <v>1372</v>
      </c>
      <c r="W2150" s="19"/>
      <c r="X2150" s="19"/>
      <c r="Y2150" s="19"/>
      <c r="Z2150" s="19" t="s">
        <v>1372</v>
      </c>
      <c r="AA2150" s="19"/>
      <c r="AB2150" s="19"/>
      <c r="AC2150" s="19"/>
      <c r="AD2150" s="19"/>
      <c r="AE2150" s="19"/>
      <c r="AF2150" s="19" t="s">
        <v>1372</v>
      </c>
      <c r="AG2150" s="19" t="s">
        <v>1372</v>
      </c>
      <c r="AH2150" s="19"/>
      <c r="AI2150" s="19"/>
      <c r="AJ2150" s="19"/>
      <c r="AK2150" s="19"/>
      <c r="AL2150" s="19" t="s">
        <v>1372</v>
      </c>
      <c r="AM2150" s="19" t="s">
        <v>1372</v>
      </c>
      <c r="AN2150" s="19"/>
      <c r="AO2150" s="19"/>
      <c r="AP2150" s="19" t="s">
        <v>1372</v>
      </c>
      <c r="AQ2150" s="19"/>
      <c r="AR2150" s="19" t="s">
        <v>1768</v>
      </c>
      <c r="AS2150" s="19"/>
    </row>
    <row r="2151" spans="1:45" x14ac:dyDescent="0.3">
      <c r="A2151" s="410" t="s">
        <v>3740</v>
      </c>
      <c r="B2151" s="17" t="s">
        <v>3741</v>
      </c>
      <c r="C2151" s="19" t="s">
        <v>1368</v>
      </c>
      <c r="D2151" s="19">
        <v>23095457</v>
      </c>
      <c r="E2151" s="18"/>
      <c r="F2151" s="19"/>
      <c r="G2151" s="31"/>
      <c r="H2151" s="31"/>
      <c r="I2151" s="19"/>
      <c r="J2151" s="19"/>
      <c r="K2151" s="18"/>
      <c r="L2151" s="19"/>
      <c r="M2151" s="19"/>
      <c r="N2151" s="20"/>
      <c r="O2151" s="19"/>
      <c r="P2151" s="19"/>
      <c r="Q2151" s="19"/>
      <c r="R2151" s="19"/>
      <c r="S2151" s="19"/>
      <c r="T2151" s="19"/>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row>
    <row r="2152" spans="1:45" x14ac:dyDescent="0.3">
      <c r="A2152" s="410" t="s">
        <v>3742</v>
      </c>
      <c r="B2152" s="17" t="s">
        <v>3743</v>
      </c>
      <c r="C2152" s="19" t="s">
        <v>1368</v>
      </c>
      <c r="D2152" s="19">
        <v>23094416</v>
      </c>
      <c r="E2152" s="18"/>
      <c r="F2152" s="19"/>
      <c r="G2152" s="31"/>
      <c r="H2152" s="31"/>
      <c r="I2152" s="19"/>
      <c r="J2152" s="19"/>
      <c r="K2152" s="18"/>
      <c r="L2152" s="19"/>
      <c r="M2152" s="19"/>
      <c r="N2152" s="20"/>
      <c r="O2152" s="19"/>
      <c r="P2152" s="19"/>
      <c r="Q2152" s="19"/>
      <c r="R2152" s="19"/>
      <c r="S2152" s="19"/>
      <c r="T2152" s="19"/>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row>
    <row r="2153" spans="1:45" x14ac:dyDescent="0.3">
      <c r="A2153" s="410" t="s">
        <v>3744</v>
      </c>
      <c r="B2153" s="17" t="s">
        <v>3745</v>
      </c>
      <c r="C2153" s="19" t="s">
        <v>1368</v>
      </c>
      <c r="D2153" s="19">
        <v>23089277</v>
      </c>
      <c r="E2153" s="18"/>
      <c r="F2153" s="19"/>
      <c r="G2153" s="31"/>
      <c r="H2153" s="31"/>
      <c r="I2153" s="19"/>
      <c r="J2153" s="19"/>
      <c r="K2153" s="18"/>
      <c r="L2153" s="19"/>
      <c r="M2153" s="19"/>
      <c r="N2153" s="20"/>
      <c r="O2153" s="19"/>
      <c r="P2153" s="19"/>
      <c r="Q2153" s="19"/>
      <c r="R2153" s="19"/>
      <c r="S2153" s="19"/>
      <c r="T2153" s="19"/>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row>
    <row r="2154" spans="1:45" x14ac:dyDescent="0.3">
      <c r="A2154" s="410" t="s">
        <v>3746</v>
      </c>
      <c r="B2154" s="17" t="s">
        <v>3747</v>
      </c>
      <c r="C2154" s="19" t="s">
        <v>1368</v>
      </c>
      <c r="D2154" s="19">
        <v>23189676</v>
      </c>
      <c r="E2154" s="18"/>
      <c r="F2154" s="19"/>
      <c r="G2154" s="31"/>
      <c r="H2154" s="31"/>
      <c r="I2154" s="19"/>
      <c r="J2154" s="19"/>
      <c r="K2154" s="18"/>
      <c r="L2154" s="19"/>
      <c r="M2154" s="19"/>
      <c r="N2154" s="20"/>
      <c r="O2154" s="19"/>
      <c r="P2154" s="19"/>
      <c r="Q2154" s="19"/>
      <c r="R2154" s="19"/>
      <c r="S2154" s="19"/>
      <c r="T2154" s="19"/>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row>
    <row r="2155" spans="1:45" x14ac:dyDescent="0.3">
      <c r="A2155" s="410" t="s">
        <v>3748</v>
      </c>
      <c r="B2155" s="17" t="s">
        <v>3749</v>
      </c>
      <c r="C2155" s="19" t="s">
        <v>1368</v>
      </c>
      <c r="D2155" s="19">
        <v>23091072</v>
      </c>
      <c r="E2155" s="18"/>
      <c r="F2155" s="19"/>
      <c r="G2155" s="31"/>
      <c r="H2155" s="31"/>
      <c r="I2155" s="19"/>
      <c r="J2155" s="19"/>
      <c r="K2155" s="18"/>
      <c r="L2155" s="19"/>
      <c r="M2155" s="19"/>
      <c r="N2155" s="20"/>
      <c r="O2155" s="19"/>
      <c r="P2155" s="19"/>
      <c r="Q2155" s="19"/>
      <c r="R2155" s="19"/>
      <c r="S2155" s="19"/>
      <c r="T2155" s="19"/>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row>
    <row r="2156" spans="1:45" x14ac:dyDescent="0.3">
      <c r="A2156" s="410" t="s">
        <v>3750</v>
      </c>
      <c r="B2156" s="17" t="s">
        <v>3751</v>
      </c>
      <c r="C2156" s="19" t="s">
        <v>1368</v>
      </c>
      <c r="D2156" s="19">
        <v>23086890</v>
      </c>
      <c r="E2156" s="18"/>
      <c r="F2156" s="19"/>
      <c r="G2156" s="31"/>
      <c r="H2156" s="31"/>
      <c r="I2156" s="19"/>
      <c r="J2156" s="19"/>
      <c r="K2156" s="18"/>
      <c r="L2156" s="19"/>
      <c r="M2156" s="19"/>
      <c r="N2156" s="20"/>
      <c r="O2156" s="19"/>
      <c r="P2156" s="19"/>
      <c r="Q2156" s="19"/>
      <c r="R2156" s="19"/>
      <c r="S2156" s="19"/>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row>
    <row r="2157" spans="1:45" x14ac:dyDescent="0.3">
      <c r="A2157" s="410" t="s">
        <v>3752</v>
      </c>
      <c r="B2157" s="17" t="s">
        <v>3753</v>
      </c>
      <c r="C2157" s="19" t="s">
        <v>1368</v>
      </c>
      <c r="D2157" s="19">
        <v>23086887</v>
      </c>
      <c r="E2157" s="18"/>
      <c r="F2157" s="19"/>
      <c r="G2157" s="31"/>
      <c r="H2157" s="31"/>
      <c r="I2157" s="19"/>
      <c r="J2157" s="19"/>
      <c r="K2157" s="21"/>
      <c r="L2157" s="22"/>
      <c r="M2157" s="19"/>
      <c r="N2157" s="20"/>
      <c r="O2157" s="19"/>
      <c r="P2157" s="19"/>
      <c r="Q2157" s="19"/>
      <c r="R2157" s="19"/>
      <c r="S2157" s="19"/>
      <c r="T2157" s="19"/>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row>
    <row r="2158" spans="1:45" x14ac:dyDescent="0.3">
      <c r="A2158" s="410" t="s">
        <v>3754</v>
      </c>
      <c r="B2158" s="17" t="s">
        <v>3755</v>
      </c>
      <c r="C2158" s="19" t="s">
        <v>1368</v>
      </c>
      <c r="D2158" s="19">
        <v>23096026</v>
      </c>
      <c r="E2158" s="18"/>
      <c r="F2158" s="19"/>
      <c r="G2158" s="31"/>
      <c r="H2158" s="31"/>
      <c r="I2158" s="19"/>
      <c r="J2158" s="19"/>
      <c r="K2158" s="21"/>
      <c r="L2158" s="22"/>
      <c r="M2158" s="19"/>
      <c r="N2158" s="20"/>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row>
    <row r="2159" spans="1:45" x14ac:dyDescent="0.3">
      <c r="A2159" s="410" t="s">
        <v>3756</v>
      </c>
      <c r="B2159" s="17" t="s">
        <v>3757</v>
      </c>
      <c r="C2159" s="19" t="s">
        <v>1368</v>
      </c>
      <c r="D2159" s="19">
        <v>23207721</v>
      </c>
      <c r="E2159" s="18"/>
      <c r="F2159" s="19"/>
      <c r="G2159" s="31"/>
      <c r="H2159" s="31"/>
      <c r="I2159" s="19"/>
      <c r="J2159" s="19"/>
      <c r="K2159" s="21"/>
      <c r="L2159" s="22"/>
      <c r="M2159" s="19"/>
      <c r="N2159" s="20"/>
      <c r="O2159" s="19"/>
      <c r="P2159" s="19"/>
      <c r="Q2159" s="19"/>
      <c r="R2159" s="19"/>
      <c r="S2159" s="19"/>
      <c r="T2159" s="19"/>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row>
    <row r="2160" spans="1:45" x14ac:dyDescent="0.3">
      <c r="A2160" s="410" t="s">
        <v>3758</v>
      </c>
      <c r="B2160" s="17" t="s">
        <v>3759</v>
      </c>
      <c r="C2160" s="19" t="s">
        <v>1368</v>
      </c>
      <c r="D2160" s="19">
        <v>23096016</v>
      </c>
      <c r="E2160" s="18"/>
      <c r="F2160" s="19"/>
      <c r="G2160" s="31"/>
      <c r="H2160" s="31"/>
      <c r="I2160" s="19"/>
      <c r="J2160" s="19"/>
      <c r="K2160" s="21"/>
      <c r="L2160" s="22"/>
      <c r="M2160" s="19"/>
      <c r="N2160" s="20"/>
      <c r="O2160" s="19"/>
      <c r="P2160" s="19"/>
      <c r="Q2160" s="19"/>
      <c r="R2160" s="19"/>
      <c r="S2160" s="19"/>
      <c r="T2160" s="19"/>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row>
    <row r="2161" spans="1:45" x14ac:dyDescent="0.3">
      <c r="A2161" s="410" t="s">
        <v>3760</v>
      </c>
      <c r="B2161" s="17" t="s">
        <v>3761</v>
      </c>
      <c r="C2161" s="19" t="s">
        <v>1368</v>
      </c>
      <c r="D2161" s="19">
        <v>23089744</v>
      </c>
      <c r="E2161" s="18"/>
      <c r="F2161" s="19"/>
      <c r="G2161" s="31"/>
      <c r="H2161" s="31"/>
      <c r="I2161" s="19"/>
      <c r="J2161" s="19"/>
      <c r="K2161" s="21"/>
      <c r="L2161" s="22"/>
      <c r="M2161" s="19"/>
      <c r="N2161" s="20"/>
      <c r="O2161" s="19"/>
      <c r="P2161" s="19"/>
      <c r="Q2161" s="19"/>
      <c r="R2161" s="19"/>
      <c r="S2161" s="19"/>
      <c r="T2161" s="19"/>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row>
    <row r="2162" spans="1:45" x14ac:dyDescent="0.3">
      <c r="A2162" s="410" t="s">
        <v>3762</v>
      </c>
      <c r="B2162" s="17" t="s">
        <v>3763</v>
      </c>
      <c r="C2162" s="19" t="s">
        <v>1368</v>
      </c>
      <c r="D2162" s="19">
        <v>23194281</v>
      </c>
      <c r="E2162" s="18"/>
      <c r="F2162" s="19"/>
      <c r="G2162" s="31"/>
      <c r="H2162" s="31"/>
      <c r="I2162" s="19"/>
      <c r="J2162" s="19"/>
      <c r="K2162" s="18"/>
      <c r="L2162" s="19"/>
      <c r="M2162" s="19"/>
      <c r="N2162" s="20"/>
      <c r="O2162" s="19"/>
      <c r="P2162" s="19"/>
      <c r="Q2162" s="19"/>
      <c r="R2162" s="19"/>
      <c r="S2162" s="19"/>
      <c r="T2162" s="19"/>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row>
    <row r="2163" spans="1:45" x14ac:dyDescent="0.3">
      <c r="A2163" s="410" t="s">
        <v>3764</v>
      </c>
      <c r="B2163" s="17"/>
      <c r="C2163" s="19"/>
      <c r="D2163" s="19"/>
      <c r="E2163" s="18"/>
      <c r="F2163" s="19"/>
      <c r="G2163" s="31"/>
      <c r="H2163" s="31"/>
      <c r="I2163" s="19"/>
      <c r="J2163" s="19"/>
      <c r="K2163" s="21"/>
      <c r="L2163" s="22"/>
      <c r="M2163" s="19"/>
      <c r="N2163" s="20"/>
      <c r="O2163" s="19"/>
      <c r="P2163" s="19"/>
      <c r="Q2163" s="19"/>
      <c r="R2163" s="19"/>
      <c r="S2163" s="19"/>
      <c r="T2163" s="19"/>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row>
    <row r="2164" spans="1:45" x14ac:dyDescent="0.3">
      <c r="A2164" s="410" t="s">
        <v>3765</v>
      </c>
      <c r="B2164" s="17"/>
      <c r="C2164" s="19"/>
      <c r="D2164" s="19"/>
      <c r="E2164" s="17"/>
      <c r="F2164" s="19"/>
      <c r="G2164" s="31"/>
      <c r="H2164" s="31"/>
      <c r="I2164" s="19"/>
      <c r="J2164" s="19"/>
      <c r="K2164" s="21"/>
      <c r="L2164" s="22"/>
      <c r="M2164" s="19"/>
      <c r="N2164" s="20"/>
      <c r="O2164" s="19"/>
      <c r="P2164" s="19"/>
      <c r="Q2164" s="19"/>
      <c r="R2164" s="19"/>
      <c r="S2164" s="19"/>
      <c r="T2164" s="19"/>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row>
    <row r="2165" spans="1:45" x14ac:dyDescent="0.3">
      <c r="A2165" s="410" t="s">
        <v>3766</v>
      </c>
      <c r="B2165" s="17"/>
      <c r="C2165" s="19"/>
      <c r="D2165" s="19"/>
      <c r="E2165" s="17"/>
      <c r="F2165" s="19"/>
      <c r="G2165" s="31"/>
      <c r="H2165" s="31"/>
      <c r="I2165" s="19"/>
      <c r="J2165" s="19"/>
      <c r="K2165" s="18"/>
      <c r="L2165" s="19"/>
      <c r="M2165" s="19"/>
      <c r="N2165" s="20"/>
      <c r="O2165" s="19"/>
      <c r="P2165" s="19"/>
      <c r="Q2165" s="19"/>
      <c r="R2165" s="19"/>
      <c r="S2165" s="19"/>
      <c r="T2165" s="19"/>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row>
    <row r="2166" spans="1:45" x14ac:dyDescent="0.3">
      <c r="A2166" s="410" t="s">
        <v>3767</v>
      </c>
      <c r="B2166" s="17"/>
      <c r="C2166" s="19"/>
      <c r="D2166" s="19"/>
      <c r="E2166" s="17"/>
      <c r="F2166" s="19"/>
      <c r="G2166" s="31"/>
      <c r="H2166" s="31"/>
      <c r="I2166" s="19"/>
      <c r="J2166" s="19"/>
      <c r="K2166" s="18"/>
      <c r="L2166" s="19"/>
      <c r="M2166" s="19"/>
      <c r="N2166" s="20"/>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row>
    <row r="2167" spans="1:45" x14ac:dyDescent="0.3">
      <c r="A2167" s="410" t="s">
        <v>3768</v>
      </c>
      <c r="B2167" s="17"/>
      <c r="C2167" s="19"/>
      <c r="D2167" s="18"/>
      <c r="E2167" s="18"/>
      <c r="F2167" s="19"/>
      <c r="G2167" s="31"/>
      <c r="H2167" s="31"/>
      <c r="I2167" s="19"/>
      <c r="J2167" s="19"/>
      <c r="K2167" s="21"/>
      <c r="L2167" s="22"/>
      <c r="M2167" s="19"/>
      <c r="N2167" s="20"/>
      <c r="O2167" s="19"/>
      <c r="P2167" s="19"/>
      <c r="Q2167" s="19"/>
      <c r="R2167" s="19"/>
      <c r="S2167" s="19"/>
      <c r="T2167" s="19"/>
      <c r="U2167" s="19"/>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row>
    <row r="2168" spans="1:45" x14ac:dyDescent="0.3">
      <c r="A2168" s="410" t="s">
        <v>3769</v>
      </c>
      <c r="B2168" s="17"/>
      <c r="C2168" s="19"/>
      <c r="D2168" s="18"/>
      <c r="E2168" s="18"/>
      <c r="F2168" s="19"/>
      <c r="G2168" s="31"/>
      <c r="H2168" s="31"/>
      <c r="I2168" s="19"/>
      <c r="J2168" s="19"/>
      <c r="K2168" s="21"/>
      <c r="L2168" s="22"/>
      <c r="M2168" s="19"/>
      <c r="N2168" s="20"/>
      <c r="O2168" s="19"/>
      <c r="P2168" s="19"/>
      <c r="Q2168" s="19"/>
      <c r="R2168" s="19"/>
      <c r="S2168" s="19"/>
      <c r="T2168" s="19"/>
      <c r="U2168" s="19"/>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row>
    <row r="2169" spans="1:45" x14ac:dyDescent="0.3">
      <c r="A2169" s="410" t="s">
        <v>3770</v>
      </c>
      <c r="B2169" s="17"/>
      <c r="C2169" s="19"/>
      <c r="D2169" s="18"/>
      <c r="E2169" s="18"/>
      <c r="F2169" s="19"/>
      <c r="G2169" s="31"/>
      <c r="H2169" s="31"/>
      <c r="I2169" s="19"/>
      <c r="J2169" s="19"/>
      <c r="K2169" s="21"/>
      <c r="L2169" s="22"/>
      <c r="M2169" s="19"/>
      <c r="N2169" s="20"/>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row>
    <row r="2170" spans="1:45" x14ac:dyDescent="0.3">
      <c r="A2170" s="410" t="s">
        <v>3771</v>
      </c>
      <c r="B2170" s="17"/>
      <c r="C2170" s="19"/>
      <c r="D2170" s="18"/>
      <c r="E2170" s="18"/>
      <c r="F2170" s="19"/>
      <c r="G2170" s="31"/>
      <c r="H2170" s="31"/>
      <c r="I2170" s="19"/>
      <c r="J2170" s="19"/>
      <c r="K2170" s="21"/>
      <c r="L2170" s="22"/>
      <c r="M2170" s="19"/>
      <c r="N2170" s="20"/>
      <c r="O2170" s="19"/>
      <c r="P2170" s="19"/>
      <c r="Q2170" s="19"/>
      <c r="R2170" s="19"/>
      <c r="S2170" s="19"/>
      <c r="T2170" s="19"/>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row>
    <row r="2171" spans="1:45" x14ac:dyDescent="0.3">
      <c r="A2171" s="410" t="s">
        <v>3772</v>
      </c>
      <c r="B2171" s="17"/>
      <c r="C2171" s="19"/>
      <c r="D2171" s="18"/>
      <c r="E2171" s="18"/>
      <c r="F2171" s="19"/>
      <c r="G2171" s="31"/>
      <c r="H2171" s="31"/>
      <c r="I2171" s="19"/>
      <c r="J2171" s="19"/>
      <c r="K2171" s="21"/>
      <c r="L2171" s="22"/>
      <c r="M2171" s="19"/>
      <c r="N2171" s="20"/>
      <c r="O2171" s="19"/>
      <c r="P2171" s="19"/>
      <c r="Q2171" s="19"/>
      <c r="R2171" s="19"/>
      <c r="S2171" s="19"/>
      <c r="T2171" s="19"/>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row>
    <row r="2172" spans="1:45" x14ac:dyDescent="0.3">
      <c r="A2172" s="410" t="s">
        <v>3773</v>
      </c>
      <c r="B2172" s="17"/>
      <c r="C2172" s="19"/>
      <c r="D2172" s="18"/>
      <c r="E2172" s="18"/>
      <c r="F2172" s="19"/>
      <c r="G2172" s="31"/>
      <c r="H2172" s="31"/>
      <c r="I2172" s="19"/>
      <c r="J2172" s="19"/>
      <c r="K2172" s="21"/>
      <c r="L2172" s="22"/>
      <c r="M2172" s="19"/>
      <c r="N2172" s="20"/>
      <c r="O2172" s="19"/>
      <c r="P2172" s="19"/>
      <c r="Q2172" s="19"/>
      <c r="R2172" s="19"/>
      <c r="S2172" s="19"/>
      <c r="T2172" s="19"/>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row>
    <row r="2173" spans="1:45" x14ac:dyDescent="0.3">
      <c r="A2173" s="410" t="s">
        <v>3774</v>
      </c>
      <c r="B2173" s="17"/>
      <c r="C2173" s="19"/>
      <c r="D2173" s="18"/>
      <c r="E2173" s="18"/>
      <c r="F2173" s="19"/>
      <c r="G2173" s="31"/>
      <c r="H2173" s="31"/>
      <c r="I2173" s="19"/>
      <c r="J2173" s="19"/>
      <c r="K2173" s="21"/>
      <c r="L2173" s="22"/>
      <c r="M2173" s="19"/>
      <c r="N2173" s="20"/>
      <c r="O2173" s="19"/>
      <c r="P2173" s="19"/>
      <c r="Q2173" s="19"/>
      <c r="R2173" s="19"/>
      <c r="S2173" s="19"/>
      <c r="T2173" s="19"/>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row>
    <row r="2174" spans="1:45" x14ac:dyDescent="0.3">
      <c r="A2174" s="410" t="s">
        <v>3775</v>
      </c>
      <c r="B2174" s="17"/>
      <c r="C2174" s="19"/>
      <c r="D2174" s="18"/>
      <c r="E2174" s="18"/>
      <c r="F2174" s="19"/>
      <c r="G2174" s="31"/>
      <c r="H2174" s="31"/>
      <c r="I2174" s="19"/>
      <c r="J2174" s="19"/>
      <c r="K2174" s="21"/>
      <c r="L2174" s="22"/>
      <c r="M2174" s="19"/>
      <c r="N2174" s="20"/>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row>
    <row r="2175" spans="1:45" x14ac:dyDescent="0.3">
      <c r="A2175" s="410" t="s">
        <v>3776</v>
      </c>
      <c r="B2175" s="17"/>
      <c r="C2175" s="19"/>
      <c r="D2175" s="18"/>
      <c r="E2175" s="18"/>
      <c r="F2175" s="19"/>
      <c r="G2175" s="31"/>
      <c r="H2175" s="31"/>
      <c r="I2175" s="19"/>
      <c r="J2175" s="19"/>
      <c r="K2175" s="21"/>
      <c r="L2175" s="22"/>
      <c r="M2175" s="19"/>
      <c r="N2175" s="20"/>
      <c r="O2175" s="19"/>
      <c r="P2175" s="19"/>
      <c r="Q2175" s="19"/>
      <c r="R2175" s="19"/>
      <c r="S2175" s="19"/>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row>
    <row r="2176" spans="1:45" x14ac:dyDescent="0.3">
      <c r="A2176" s="410" t="s">
        <v>3777</v>
      </c>
      <c r="B2176" s="17"/>
      <c r="C2176" s="19"/>
      <c r="D2176" s="18"/>
      <c r="E2176" s="18"/>
      <c r="F2176" s="19"/>
      <c r="G2176" s="31"/>
      <c r="H2176" s="31"/>
      <c r="I2176" s="19"/>
      <c r="J2176" s="19"/>
      <c r="K2176" s="21"/>
      <c r="L2176" s="22"/>
      <c r="M2176" s="19"/>
      <c r="N2176" s="20"/>
      <c r="O2176" s="19"/>
      <c r="P2176" s="19"/>
      <c r="Q2176" s="19"/>
      <c r="R2176" s="19"/>
      <c r="S2176" s="19"/>
      <c r="T2176" s="19"/>
      <c r="U2176" s="19"/>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row>
    <row r="2177" spans="1:45" x14ac:dyDescent="0.3">
      <c r="A2177" s="410" t="s">
        <v>3778</v>
      </c>
      <c r="B2177" s="17"/>
      <c r="C2177" s="19"/>
      <c r="D2177" s="18"/>
      <c r="E2177" s="18"/>
      <c r="F2177" s="19"/>
      <c r="G2177" s="31"/>
      <c r="H2177" s="31"/>
      <c r="I2177" s="19"/>
      <c r="J2177" s="19"/>
      <c r="K2177" s="21"/>
      <c r="L2177" s="22"/>
      <c r="M2177" s="19"/>
      <c r="N2177" s="20"/>
      <c r="O2177" s="19"/>
      <c r="P2177" s="19"/>
      <c r="Q2177" s="19"/>
      <c r="R2177" s="19"/>
      <c r="S2177" s="19"/>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row>
    <row r="2178" spans="1:45" x14ac:dyDescent="0.3">
      <c r="A2178" s="410" t="s">
        <v>3779</v>
      </c>
      <c r="B2178" s="17"/>
      <c r="C2178" s="19"/>
      <c r="D2178" s="18"/>
      <c r="E2178" s="18"/>
      <c r="F2178" s="19"/>
      <c r="G2178" s="31"/>
      <c r="H2178" s="31"/>
      <c r="I2178" s="19"/>
      <c r="J2178" s="19"/>
      <c r="K2178" s="21"/>
      <c r="L2178" s="22"/>
      <c r="M2178" s="19"/>
      <c r="N2178" s="20"/>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row>
    <row r="2179" spans="1:45" x14ac:dyDescent="0.3">
      <c r="A2179" s="410" t="s">
        <v>3780</v>
      </c>
      <c r="B2179" s="17"/>
      <c r="C2179" s="19"/>
      <c r="D2179" s="18"/>
      <c r="E2179" s="18"/>
      <c r="F2179" s="19"/>
      <c r="G2179" s="31"/>
      <c r="H2179" s="31"/>
      <c r="I2179" s="19"/>
      <c r="J2179" s="19"/>
      <c r="K2179" s="21"/>
      <c r="L2179" s="22"/>
      <c r="M2179" s="19"/>
      <c r="N2179" s="20"/>
      <c r="O2179" s="19"/>
      <c r="P2179" s="19"/>
      <c r="Q2179" s="19"/>
      <c r="R2179" s="19"/>
      <c r="S2179" s="19"/>
      <c r="T2179" s="19"/>
      <c r="U2179" s="19"/>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row>
    <row r="2180" spans="1:45" x14ac:dyDescent="0.3">
      <c r="A2180" s="410" t="s">
        <v>3781</v>
      </c>
      <c r="B2180" s="17"/>
      <c r="C2180" s="19"/>
      <c r="D2180" s="18"/>
      <c r="E2180" s="18"/>
      <c r="F2180" s="19"/>
      <c r="G2180" s="31"/>
      <c r="H2180" s="31"/>
      <c r="I2180" s="19"/>
      <c r="J2180" s="19"/>
      <c r="K2180" s="21"/>
      <c r="L2180" s="22"/>
      <c r="M2180" s="19"/>
      <c r="N2180" s="20"/>
      <c r="O2180" s="19"/>
      <c r="P2180" s="19"/>
      <c r="Q2180" s="19"/>
      <c r="R2180" s="19"/>
      <c r="S2180" s="19"/>
      <c r="T2180" s="19"/>
      <c r="U2180" s="19"/>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row>
    <row r="2181" spans="1:45" x14ac:dyDescent="0.3">
      <c r="A2181" s="410" t="s">
        <v>3782</v>
      </c>
      <c r="B2181" s="17"/>
      <c r="C2181" s="19"/>
      <c r="D2181" s="18"/>
      <c r="E2181" s="18"/>
      <c r="F2181" s="19"/>
      <c r="G2181" s="31"/>
      <c r="H2181" s="31"/>
      <c r="I2181" s="19"/>
      <c r="J2181" s="19"/>
      <c r="K2181" s="21"/>
      <c r="L2181" s="22"/>
      <c r="M2181" s="19"/>
      <c r="N2181" s="20"/>
      <c r="O2181" s="19"/>
      <c r="P2181" s="19"/>
      <c r="Q2181" s="19"/>
      <c r="R2181" s="19"/>
      <c r="S2181" s="19"/>
      <c r="T2181" s="19"/>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row>
    <row r="2182" spans="1:45" x14ac:dyDescent="0.3">
      <c r="A2182" s="410" t="s">
        <v>3783</v>
      </c>
      <c r="B2182" s="17"/>
      <c r="C2182" s="19"/>
      <c r="D2182" s="18"/>
      <c r="E2182" s="18"/>
      <c r="F2182" s="19"/>
      <c r="G2182" s="31"/>
      <c r="H2182" s="31"/>
      <c r="I2182" s="19"/>
      <c r="J2182" s="19"/>
      <c r="K2182" s="21"/>
      <c r="L2182" s="22"/>
      <c r="M2182" s="19"/>
      <c r="N2182" s="20"/>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row>
    <row r="2183" spans="1:45" x14ac:dyDescent="0.3">
      <c r="A2183" s="410" t="s">
        <v>3784</v>
      </c>
      <c r="B2183" s="17"/>
      <c r="C2183" s="19"/>
      <c r="D2183" s="18"/>
      <c r="E2183" s="18"/>
      <c r="F2183" s="19"/>
      <c r="G2183" s="31"/>
      <c r="H2183" s="31"/>
      <c r="I2183" s="19"/>
      <c r="J2183" s="19"/>
      <c r="K2183" s="21"/>
      <c r="L2183" s="22"/>
      <c r="M2183" s="19"/>
      <c r="N2183" s="20"/>
      <c r="O2183" s="19"/>
      <c r="P2183" s="19"/>
      <c r="Q2183" s="19"/>
      <c r="R2183" s="19"/>
      <c r="S2183" s="19"/>
      <c r="T2183" s="19"/>
      <c r="U2183" s="19"/>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row>
    <row r="2184" spans="1:45" x14ac:dyDescent="0.3">
      <c r="A2184" s="410" t="s">
        <v>3785</v>
      </c>
      <c r="B2184" s="17"/>
      <c r="C2184" s="19"/>
      <c r="D2184" s="18"/>
      <c r="E2184" s="18"/>
      <c r="F2184" s="19"/>
      <c r="G2184" s="31"/>
      <c r="H2184" s="31"/>
      <c r="I2184" s="19"/>
      <c r="J2184" s="19"/>
      <c r="K2184" s="21"/>
      <c r="L2184" s="22"/>
      <c r="M2184" s="19"/>
      <c r="N2184" s="20"/>
      <c r="O2184" s="19"/>
      <c r="P2184" s="19"/>
      <c r="Q2184" s="19"/>
      <c r="R2184" s="19"/>
      <c r="S2184" s="19"/>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row>
    <row r="2185" spans="1:45" x14ac:dyDescent="0.3">
      <c r="A2185" s="410" t="s">
        <v>3786</v>
      </c>
      <c r="B2185" s="17"/>
      <c r="C2185" s="19"/>
      <c r="D2185" s="18"/>
      <c r="E2185" s="18"/>
      <c r="F2185" s="19"/>
      <c r="G2185" s="31"/>
      <c r="H2185" s="31"/>
      <c r="I2185" s="19"/>
      <c r="J2185" s="19"/>
      <c r="K2185" s="21"/>
      <c r="L2185" s="22"/>
      <c r="M2185" s="19"/>
      <c r="N2185" s="20"/>
      <c r="O2185" s="19"/>
      <c r="P2185" s="19"/>
      <c r="Q2185" s="19"/>
      <c r="R2185" s="19"/>
      <c r="S2185" s="19"/>
      <c r="T2185" s="19"/>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row>
    <row r="2186" spans="1:45" x14ac:dyDescent="0.3">
      <c r="A2186" s="410" t="s">
        <v>3787</v>
      </c>
      <c r="B2186" s="17"/>
      <c r="C2186" s="19"/>
      <c r="D2186" s="18"/>
      <c r="E2186" s="18"/>
      <c r="F2186" s="19"/>
      <c r="G2186" s="31"/>
      <c r="H2186" s="31"/>
      <c r="I2186" s="19"/>
      <c r="J2186" s="19"/>
      <c r="K2186" s="21"/>
      <c r="L2186" s="22"/>
      <c r="M2186" s="19"/>
      <c r="N2186" s="20"/>
      <c r="O2186" s="19"/>
      <c r="P2186" s="19"/>
      <c r="Q2186" s="19"/>
      <c r="R2186" s="19"/>
      <c r="S2186" s="19"/>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row>
    <row r="2187" spans="1:45" x14ac:dyDescent="0.3">
      <c r="A2187" s="410" t="s">
        <v>3788</v>
      </c>
      <c r="B2187" s="17"/>
      <c r="C2187" s="19"/>
      <c r="D2187" s="18"/>
      <c r="E2187" s="18"/>
      <c r="F2187" s="19"/>
      <c r="G2187" s="31"/>
      <c r="H2187" s="31"/>
      <c r="I2187" s="19"/>
      <c r="J2187" s="19"/>
      <c r="K2187" s="21"/>
      <c r="L2187" s="22"/>
      <c r="M2187" s="19"/>
      <c r="N2187" s="20"/>
      <c r="O2187" s="19"/>
      <c r="P2187" s="19"/>
      <c r="Q2187" s="19"/>
      <c r="R2187" s="19"/>
      <c r="S2187" s="19"/>
      <c r="T2187" s="19"/>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row>
    <row r="2188" spans="1:45" x14ac:dyDescent="0.3">
      <c r="A2188" s="410" t="s">
        <v>3789</v>
      </c>
      <c r="B2188" s="17"/>
      <c r="C2188" s="19"/>
      <c r="D2188" s="18"/>
      <c r="E2188" s="18"/>
      <c r="F2188" s="19"/>
      <c r="G2188" s="31"/>
      <c r="H2188" s="31"/>
      <c r="I2188" s="19"/>
      <c r="J2188" s="19"/>
      <c r="K2188" s="21"/>
      <c r="L2188" s="22"/>
      <c r="M2188" s="19"/>
      <c r="N2188" s="20"/>
      <c r="O2188" s="19"/>
      <c r="P2188" s="19"/>
      <c r="Q2188" s="19"/>
      <c r="R2188" s="19"/>
      <c r="S2188" s="19"/>
      <c r="T2188" s="19"/>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row>
    <row r="2189" spans="1:45" x14ac:dyDescent="0.3">
      <c r="A2189" s="410" t="s">
        <v>3790</v>
      </c>
      <c r="B2189" s="17"/>
      <c r="C2189" s="19"/>
      <c r="D2189" s="18"/>
      <c r="E2189" s="18"/>
      <c r="F2189" s="19"/>
      <c r="G2189" s="31"/>
      <c r="H2189" s="31"/>
      <c r="I2189" s="19"/>
      <c r="J2189" s="19"/>
      <c r="K2189" s="21"/>
      <c r="L2189" s="22"/>
      <c r="M2189" s="19"/>
      <c r="N2189" s="20"/>
      <c r="O2189" s="19"/>
      <c r="P2189" s="19"/>
      <c r="Q2189" s="19"/>
      <c r="R2189" s="19"/>
      <c r="S2189" s="19"/>
      <c r="T2189" s="19"/>
      <c r="U2189" s="19"/>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row>
    <row r="2190" spans="1:45" x14ac:dyDescent="0.3">
      <c r="A2190" s="410" t="s">
        <v>3791</v>
      </c>
      <c r="B2190" s="17"/>
      <c r="C2190" s="19"/>
      <c r="D2190" s="18"/>
      <c r="E2190" s="18"/>
      <c r="F2190" s="19"/>
      <c r="G2190" s="31"/>
      <c r="H2190" s="31"/>
      <c r="I2190" s="19"/>
      <c r="J2190" s="19"/>
      <c r="K2190" s="21"/>
      <c r="L2190" s="22"/>
      <c r="M2190" s="19"/>
      <c r="N2190" s="20"/>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row>
    <row r="2191" spans="1:45" x14ac:dyDescent="0.3">
      <c r="A2191" s="410" t="s">
        <v>3792</v>
      </c>
      <c r="B2191" s="17"/>
      <c r="C2191" s="19"/>
      <c r="D2191" s="18"/>
      <c r="E2191" s="18"/>
      <c r="F2191" s="19"/>
      <c r="G2191" s="31"/>
      <c r="H2191" s="31"/>
      <c r="I2191" s="19"/>
      <c r="J2191" s="19"/>
      <c r="K2191" s="21"/>
      <c r="L2191" s="22"/>
      <c r="M2191" s="19"/>
      <c r="N2191" s="20"/>
      <c r="O2191" s="19"/>
      <c r="P2191" s="19"/>
      <c r="Q2191" s="19"/>
      <c r="R2191" s="19"/>
      <c r="S2191" s="19"/>
      <c r="T2191" s="19"/>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row>
    <row r="2192" spans="1:45" x14ac:dyDescent="0.3">
      <c r="A2192" s="410" t="s">
        <v>3793</v>
      </c>
      <c r="B2192" s="17"/>
      <c r="C2192" s="19"/>
      <c r="D2192" s="18"/>
      <c r="E2192" s="18"/>
      <c r="F2192" s="19"/>
      <c r="G2192" s="31"/>
      <c r="H2192" s="31"/>
      <c r="I2192" s="19"/>
      <c r="J2192" s="19"/>
      <c r="K2192" s="21"/>
      <c r="L2192" s="22"/>
      <c r="M2192" s="19"/>
      <c r="N2192" s="20"/>
      <c r="O2192" s="19"/>
      <c r="P2192" s="19"/>
      <c r="Q2192" s="19"/>
      <c r="R2192" s="19"/>
      <c r="S2192" s="19"/>
      <c r="T2192" s="19"/>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row>
    <row r="2193" spans="1:45" x14ac:dyDescent="0.3">
      <c r="A2193" s="410" t="s">
        <v>3794</v>
      </c>
      <c r="B2193" s="17"/>
      <c r="C2193" s="19"/>
      <c r="D2193" s="18"/>
      <c r="E2193" s="18"/>
      <c r="F2193" s="19"/>
      <c r="G2193" s="31"/>
      <c r="H2193" s="31"/>
      <c r="I2193" s="19"/>
      <c r="J2193" s="19"/>
      <c r="K2193" s="21"/>
      <c r="L2193" s="22"/>
      <c r="M2193" s="19"/>
      <c r="N2193" s="20"/>
      <c r="O2193" s="19"/>
      <c r="P2193" s="19"/>
      <c r="Q2193" s="19"/>
      <c r="R2193" s="19"/>
      <c r="S2193" s="19"/>
      <c r="T2193" s="19"/>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row>
    <row r="2194" spans="1:45" x14ac:dyDescent="0.3">
      <c r="A2194" s="410" t="s">
        <v>3795</v>
      </c>
      <c r="B2194" s="17"/>
      <c r="C2194" s="19"/>
      <c r="D2194" s="18"/>
      <c r="E2194" s="17"/>
      <c r="F2194" s="19"/>
      <c r="G2194" s="31"/>
      <c r="H2194" s="31"/>
      <c r="I2194" s="19"/>
      <c r="J2194" s="19"/>
      <c r="K2194" s="21"/>
      <c r="L2194" s="22"/>
      <c r="M2194" s="19"/>
      <c r="N2194" s="20"/>
      <c r="O2194" s="19"/>
      <c r="P2194" s="19"/>
      <c r="Q2194" s="19"/>
      <c r="R2194" s="19"/>
      <c r="S2194" s="19"/>
      <c r="T2194" s="19"/>
      <c r="U2194" s="19"/>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row>
    <row r="2195" spans="1:45" x14ac:dyDescent="0.3">
      <c r="A2195" s="410" t="s">
        <v>3796</v>
      </c>
      <c r="B2195" s="17"/>
      <c r="C2195" s="19"/>
      <c r="D2195" s="18"/>
      <c r="E2195" s="17"/>
      <c r="F2195" s="19"/>
      <c r="G2195" s="31"/>
      <c r="H2195" s="31"/>
      <c r="I2195" s="19"/>
      <c r="J2195" s="19"/>
      <c r="K2195" s="21"/>
      <c r="L2195" s="22"/>
      <c r="M2195" s="19"/>
      <c r="N2195" s="20"/>
      <c r="O2195" s="19"/>
      <c r="P2195" s="19"/>
      <c r="Q2195" s="19"/>
      <c r="R2195" s="19"/>
      <c r="S2195" s="19"/>
      <c r="T2195" s="19"/>
      <c r="U2195" s="19"/>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row>
    <row r="2196" spans="1:45" x14ac:dyDescent="0.3">
      <c r="A2196" s="410" t="s">
        <v>3797</v>
      </c>
      <c r="B2196" s="17"/>
      <c r="C2196" s="19"/>
      <c r="D2196" s="18"/>
      <c r="E2196" s="17"/>
      <c r="F2196" s="19"/>
      <c r="G2196" s="31"/>
      <c r="H2196" s="31"/>
      <c r="I2196" s="19"/>
      <c r="J2196" s="19"/>
      <c r="K2196" s="21"/>
      <c r="L2196" s="22"/>
      <c r="M2196" s="19"/>
      <c r="N2196" s="20"/>
      <c r="O2196" s="19"/>
      <c r="P2196" s="19"/>
      <c r="Q2196" s="19"/>
      <c r="R2196" s="19"/>
      <c r="S2196" s="19"/>
      <c r="T2196" s="19"/>
      <c r="U2196" s="19"/>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row>
    <row r="2197" spans="1:45" x14ac:dyDescent="0.3">
      <c r="A2197" s="410" t="s">
        <v>3798</v>
      </c>
      <c r="B2197" s="17"/>
      <c r="C2197" s="19"/>
      <c r="D2197" s="18"/>
      <c r="E2197" s="17"/>
      <c r="F2197" s="19"/>
      <c r="G2197" s="31"/>
      <c r="H2197" s="31"/>
      <c r="I2197" s="19"/>
      <c r="J2197" s="19"/>
      <c r="K2197" s="21"/>
      <c r="L2197" s="22"/>
      <c r="M2197" s="19"/>
      <c r="N2197" s="20"/>
      <c r="O2197" s="19"/>
      <c r="P2197" s="19"/>
      <c r="Q2197" s="19"/>
      <c r="R2197" s="19"/>
      <c r="S2197" s="19"/>
      <c r="T2197" s="19"/>
      <c r="U2197" s="19"/>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row>
    <row r="2198" spans="1:45" x14ac:dyDescent="0.3">
      <c r="A2198" s="410"/>
      <c r="B2198" s="17"/>
      <c r="C2198" s="19"/>
      <c r="D2198" s="18"/>
      <c r="E2198" s="17"/>
      <c r="F2198" s="19"/>
      <c r="G2198" s="31"/>
      <c r="H2198" s="31"/>
      <c r="I2198" s="19"/>
      <c r="J2198" s="19"/>
      <c r="K2198" s="21"/>
      <c r="L2198" s="22"/>
      <c r="M2198" s="19"/>
      <c r="N2198" s="20"/>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row>
    <row r="2199" spans="1:45" x14ac:dyDescent="0.3">
      <c r="A2199" s="410" t="s">
        <v>3799</v>
      </c>
      <c r="B2199" s="17" t="s">
        <v>3800</v>
      </c>
      <c r="C2199" s="19" t="s">
        <v>1368</v>
      </c>
      <c r="D2199" s="19">
        <v>23024116</v>
      </c>
      <c r="E2199" s="17"/>
      <c r="F2199" s="19"/>
      <c r="G2199" s="31"/>
      <c r="H2199" s="31"/>
      <c r="I2199" s="19"/>
      <c r="J2199" s="19"/>
      <c r="K2199" s="21"/>
      <c r="L2199" s="22"/>
      <c r="M2199" s="19"/>
      <c r="N2199" s="20"/>
      <c r="O2199" s="19"/>
      <c r="P2199" s="19"/>
      <c r="Q2199" s="19"/>
      <c r="R2199" s="19"/>
      <c r="S2199" s="19"/>
      <c r="T2199" s="19"/>
      <c r="U2199" s="19"/>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row>
    <row r="2200" spans="1:45" x14ac:dyDescent="0.3">
      <c r="A2200" s="410" t="s">
        <v>3801</v>
      </c>
      <c r="B2200" s="17" t="s">
        <v>3802</v>
      </c>
      <c r="C2200" s="19" t="s">
        <v>1368</v>
      </c>
      <c r="D2200" s="19">
        <v>23138646</v>
      </c>
      <c r="E2200" s="17"/>
      <c r="F2200" s="19"/>
      <c r="G2200" s="31"/>
      <c r="H2200" s="31"/>
      <c r="I2200" s="19"/>
      <c r="J2200" s="19"/>
      <c r="K2200" s="21"/>
      <c r="L2200" s="22"/>
      <c r="M2200" s="19"/>
      <c r="N2200" s="20"/>
      <c r="O2200" s="19"/>
      <c r="P2200" s="19"/>
      <c r="Q2200" s="19"/>
      <c r="R2200" s="19"/>
      <c r="S2200" s="19"/>
      <c r="T2200" s="19"/>
      <c r="U2200" s="19"/>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row>
    <row r="2201" spans="1:45" x14ac:dyDescent="0.3">
      <c r="A2201" s="410" t="s">
        <v>3803</v>
      </c>
      <c r="B2201" s="17" t="s">
        <v>3804</v>
      </c>
      <c r="C2201" s="19" t="s">
        <v>1368</v>
      </c>
      <c r="D2201" s="19">
        <v>23139016</v>
      </c>
      <c r="E2201" s="17"/>
      <c r="F2201" s="19"/>
      <c r="G2201" s="31"/>
      <c r="H2201" s="31"/>
      <c r="I2201" s="19"/>
      <c r="J2201" s="19"/>
      <c r="K2201" s="21"/>
      <c r="L2201" s="22"/>
      <c r="M2201" s="19"/>
      <c r="N2201" s="20"/>
      <c r="O2201" s="19"/>
      <c r="P2201" s="19"/>
      <c r="Q2201" s="19"/>
      <c r="R2201" s="19"/>
      <c r="S2201" s="19"/>
      <c r="T2201" s="19"/>
      <c r="U2201" s="19"/>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row>
    <row r="2202" spans="1:45" x14ac:dyDescent="0.3">
      <c r="A2202" s="410" t="s">
        <v>3805</v>
      </c>
      <c r="B2202" s="17" t="s">
        <v>3806</v>
      </c>
      <c r="C2202" s="19" t="s">
        <v>1368</v>
      </c>
      <c r="D2202" s="19">
        <v>23137992</v>
      </c>
      <c r="E2202" s="17"/>
      <c r="F2202" s="19"/>
      <c r="G2202" s="31"/>
      <c r="H2202" s="31"/>
      <c r="I2202" s="19"/>
      <c r="J2202" s="19"/>
      <c r="K2202" s="21"/>
      <c r="L2202" s="22"/>
      <c r="M2202" s="19"/>
      <c r="N2202" s="20"/>
      <c r="O2202" s="19"/>
      <c r="P2202" s="19"/>
      <c r="Q2202" s="19"/>
      <c r="R2202" s="19"/>
      <c r="S2202" s="19"/>
      <c r="T2202" s="19"/>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row>
    <row r="2203" spans="1:45" x14ac:dyDescent="0.3">
      <c r="A2203" s="410" t="s">
        <v>3807</v>
      </c>
      <c r="B2203" s="17" t="s">
        <v>3808</v>
      </c>
      <c r="C2203" s="19" t="s">
        <v>1368</v>
      </c>
      <c r="D2203" s="19">
        <v>23137773</v>
      </c>
      <c r="E2203" s="17"/>
      <c r="F2203" s="19"/>
      <c r="G2203" s="31"/>
      <c r="H2203" s="31"/>
      <c r="I2203" s="19"/>
      <c r="J2203" s="19"/>
      <c r="K2203" s="21"/>
      <c r="L2203" s="22"/>
      <c r="M2203" s="19"/>
      <c r="N2203" s="20"/>
      <c r="O2203" s="19"/>
      <c r="P2203" s="19"/>
      <c r="Q2203" s="19"/>
      <c r="R2203" s="19"/>
      <c r="S2203" s="19"/>
      <c r="T2203" s="19"/>
      <c r="U2203" s="19"/>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row>
    <row r="2204" spans="1:45" x14ac:dyDescent="0.3">
      <c r="A2204" s="410" t="s">
        <v>3809</v>
      </c>
      <c r="B2204" s="17" t="s">
        <v>3810</v>
      </c>
      <c r="C2204" s="19" t="s">
        <v>1368</v>
      </c>
      <c r="D2204" s="19">
        <v>23006133</v>
      </c>
      <c r="E2204" s="17"/>
      <c r="F2204" s="19"/>
      <c r="G2204" s="31"/>
      <c r="H2204" s="31"/>
      <c r="I2204" s="19"/>
      <c r="J2204" s="19"/>
      <c r="K2204" s="21"/>
      <c r="L2204" s="22"/>
      <c r="M2204" s="19"/>
      <c r="N2204" s="20"/>
      <c r="O2204" s="19"/>
      <c r="P2204" s="19"/>
      <c r="Q2204" s="19"/>
      <c r="R2204" s="19"/>
      <c r="S2204" s="19"/>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row>
    <row r="2205" spans="1:45" x14ac:dyDescent="0.3">
      <c r="A2205" s="410" t="s">
        <v>3811</v>
      </c>
      <c r="B2205" s="17" t="s">
        <v>3810</v>
      </c>
      <c r="C2205" s="19" t="s">
        <v>1368</v>
      </c>
      <c r="D2205" s="19">
        <v>23006133</v>
      </c>
      <c r="E2205" s="17"/>
      <c r="F2205" s="19"/>
      <c r="G2205" s="31"/>
      <c r="H2205" s="31"/>
      <c r="I2205" s="19"/>
      <c r="J2205" s="19"/>
      <c r="K2205" s="21"/>
      <c r="L2205" s="22"/>
      <c r="M2205" s="19"/>
      <c r="N2205" s="20"/>
      <c r="O2205" s="19"/>
      <c r="P2205" s="19"/>
      <c r="Q2205" s="19"/>
      <c r="R2205" s="19"/>
      <c r="S2205" s="19"/>
      <c r="T2205" s="19"/>
      <c r="U2205" s="19"/>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row>
    <row r="2206" spans="1:45" x14ac:dyDescent="0.3">
      <c r="A2206" s="410" t="s">
        <v>3812</v>
      </c>
      <c r="B2206" s="17" t="s">
        <v>3813</v>
      </c>
      <c r="C2206" s="19" t="s">
        <v>1368</v>
      </c>
      <c r="D2206" s="19">
        <v>23163648</v>
      </c>
      <c r="E2206" s="17"/>
      <c r="F2206" s="19"/>
      <c r="G2206" s="31"/>
      <c r="H2206" s="31"/>
      <c r="I2206" s="19"/>
      <c r="J2206" s="19"/>
      <c r="K2206" s="18"/>
      <c r="L2206" s="19"/>
      <c r="M2206" s="19"/>
      <c r="N2206" s="20"/>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row>
    <row r="2207" spans="1:45" x14ac:dyDescent="0.3">
      <c r="A2207" s="410" t="s">
        <v>3814</v>
      </c>
      <c r="B2207" s="17" t="s">
        <v>3815</v>
      </c>
      <c r="C2207" s="19" t="s">
        <v>1368</v>
      </c>
      <c r="D2207" s="19">
        <v>23137790</v>
      </c>
      <c r="E2207" s="17"/>
      <c r="F2207" s="19"/>
      <c r="G2207" s="31"/>
      <c r="H2207" s="31"/>
      <c r="I2207" s="19"/>
      <c r="J2207" s="19"/>
      <c r="K2207" s="18"/>
      <c r="L2207" s="19"/>
      <c r="M2207" s="19"/>
      <c r="N2207" s="20"/>
      <c r="O2207" s="19"/>
      <c r="P2207" s="19"/>
      <c r="Q2207" s="19"/>
      <c r="R2207" s="19"/>
      <c r="S2207" s="19"/>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row>
    <row r="2208" spans="1:45" x14ac:dyDescent="0.3">
      <c r="A2208" s="410" t="s">
        <v>3816</v>
      </c>
      <c r="B2208" s="17" t="s">
        <v>3817</v>
      </c>
      <c r="C2208" s="19" t="s">
        <v>1368</v>
      </c>
      <c r="D2208" s="19">
        <v>23139410</v>
      </c>
      <c r="E2208" s="17"/>
      <c r="F2208" s="19"/>
      <c r="G2208" s="31"/>
      <c r="H2208" s="31"/>
      <c r="I2208" s="19"/>
      <c r="J2208" s="19"/>
      <c r="K2208" s="18"/>
      <c r="L2208" s="19"/>
      <c r="M2208" s="19"/>
      <c r="N2208" s="20"/>
      <c r="O2208" s="19"/>
      <c r="P2208" s="19"/>
      <c r="Q2208" s="19"/>
      <c r="R2208" s="19"/>
      <c r="S2208" s="19"/>
      <c r="T2208" s="19"/>
      <c r="U2208" s="19"/>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row>
    <row r="2209" spans="1:45" x14ac:dyDescent="0.3">
      <c r="A2209" s="410" t="s">
        <v>3818</v>
      </c>
      <c r="B2209" s="17" t="s">
        <v>3819</v>
      </c>
      <c r="C2209" s="19" t="s">
        <v>1368</v>
      </c>
      <c r="D2209" s="19">
        <v>23149643</v>
      </c>
      <c r="E2209" s="17"/>
      <c r="F2209" s="19"/>
      <c r="G2209" s="31"/>
      <c r="H2209" s="31"/>
      <c r="I2209" s="19"/>
      <c r="J2209" s="19"/>
      <c r="K2209" s="18"/>
      <c r="L2209" s="19"/>
      <c r="M2209" s="19"/>
      <c r="N2209" s="20"/>
      <c r="O2209" s="19"/>
      <c r="P2209" s="19"/>
      <c r="Q2209" s="19"/>
      <c r="R2209" s="19"/>
      <c r="S2209" s="19"/>
      <c r="T2209" s="19"/>
      <c r="U2209" s="19"/>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row>
    <row r="2210" spans="1:45" x14ac:dyDescent="0.3">
      <c r="A2210" s="410" t="s">
        <v>3820</v>
      </c>
      <c r="B2210" s="17" t="s">
        <v>3821</v>
      </c>
      <c r="C2210" s="19" t="s">
        <v>1368</v>
      </c>
      <c r="D2210" s="19">
        <v>23137448</v>
      </c>
      <c r="E2210" s="17"/>
      <c r="F2210" s="19"/>
      <c r="G2210" s="31"/>
      <c r="H2210" s="31"/>
      <c r="I2210" s="19"/>
      <c r="J2210" s="19"/>
      <c r="K2210" s="18"/>
      <c r="L2210" s="19"/>
      <c r="M2210" s="19"/>
      <c r="N2210" s="20"/>
      <c r="O2210" s="19"/>
      <c r="P2210" s="19"/>
      <c r="Q2210" s="19"/>
      <c r="R2210" s="19"/>
      <c r="S2210" s="19"/>
      <c r="T2210" s="19"/>
      <c r="U2210" s="19"/>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row>
    <row r="2211" spans="1:45" x14ac:dyDescent="0.3">
      <c r="A2211" s="410" t="s">
        <v>3822</v>
      </c>
      <c r="B2211" s="17" t="s">
        <v>3823</v>
      </c>
      <c r="C2211" s="19" t="s">
        <v>1368</v>
      </c>
      <c r="D2211" s="18">
        <v>23150036</v>
      </c>
      <c r="E2211" s="17"/>
      <c r="F2211" s="19"/>
      <c r="G2211" s="31"/>
      <c r="H2211" s="31"/>
      <c r="I2211" s="19"/>
      <c r="J2211" s="19"/>
      <c r="K2211" s="18"/>
      <c r="L2211" s="19"/>
      <c r="M2211" s="19"/>
      <c r="N2211" s="20"/>
      <c r="O2211" s="19"/>
      <c r="P2211" s="19"/>
      <c r="Q2211" s="19"/>
      <c r="R2211" s="19"/>
      <c r="S2211" s="19"/>
      <c r="T2211" s="19"/>
      <c r="U2211" s="19"/>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row>
    <row r="2212" spans="1:45" x14ac:dyDescent="0.3">
      <c r="A2212" s="410" t="s">
        <v>3824</v>
      </c>
      <c r="B2212" s="17" t="s">
        <v>3825</v>
      </c>
      <c r="C2212" s="19" t="s">
        <v>1368</v>
      </c>
      <c r="D2212" s="18">
        <v>23137520</v>
      </c>
      <c r="E2212" s="17"/>
      <c r="F2212" s="19"/>
      <c r="G2212" s="31"/>
      <c r="H2212" s="31"/>
      <c r="I2212" s="19"/>
      <c r="J2212" s="19"/>
      <c r="K2212" s="18"/>
      <c r="L2212" s="19"/>
      <c r="M2212" s="19"/>
      <c r="N2212" s="20"/>
      <c r="O2212" s="19"/>
      <c r="P2212" s="19"/>
      <c r="Q2212" s="19"/>
      <c r="R2212" s="19"/>
      <c r="S2212" s="19"/>
      <c r="T2212" s="19"/>
      <c r="U2212" s="19"/>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row>
    <row r="2213" spans="1:45" x14ac:dyDescent="0.3">
      <c r="A2213" s="410" t="s">
        <v>3826</v>
      </c>
      <c r="B2213" s="17" t="s">
        <v>3827</v>
      </c>
      <c r="C2213" s="19" t="s">
        <v>1368</v>
      </c>
      <c r="D2213" s="18">
        <v>23113753</v>
      </c>
      <c r="E2213" s="17"/>
      <c r="F2213" s="19"/>
      <c r="G2213" s="31"/>
      <c r="H2213" s="31"/>
      <c r="I2213" s="19"/>
      <c r="J2213" s="19"/>
      <c r="K2213" s="18"/>
      <c r="L2213" s="19"/>
      <c r="M2213" s="19"/>
      <c r="N2213" s="20"/>
      <c r="O2213" s="19"/>
      <c r="P2213" s="19"/>
      <c r="Q2213" s="19"/>
      <c r="R2213" s="19"/>
      <c r="S2213" s="19"/>
      <c r="T2213" s="19"/>
      <c r="U2213" s="19"/>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row>
    <row r="2214" spans="1:45" x14ac:dyDescent="0.3">
      <c r="A2214" s="410" t="s">
        <v>3828</v>
      </c>
      <c r="B2214" s="17"/>
      <c r="C2214" s="19"/>
      <c r="D2214" s="18"/>
      <c r="E2214" s="17"/>
      <c r="F2214" s="19"/>
      <c r="G2214" s="31"/>
      <c r="H2214" s="31"/>
      <c r="I2214" s="19"/>
      <c r="J2214" s="19"/>
      <c r="K2214" s="18"/>
      <c r="L2214" s="19"/>
      <c r="M2214" s="19"/>
      <c r="N2214" s="20"/>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row>
    <row r="2215" spans="1:45" x14ac:dyDescent="0.3">
      <c r="A2215" s="410" t="s">
        <v>3829</v>
      </c>
      <c r="B2215" s="17"/>
      <c r="C2215" s="19"/>
      <c r="D2215" s="18"/>
      <c r="E2215" s="17"/>
      <c r="F2215" s="19"/>
      <c r="G2215" s="31"/>
      <c r="H2215" s="31"/>
      <c r="I2215" s="19"/>
      <c r="J2215" s="19"/>
      <c r="K2215" s="18"/>
      <c r="L2215" s="19"/>
      <c r="M2215" s="19"/>
      <c r="N2215" s="20"/>
      <c r="O2215" s="19"/>
      <c r="P2215" s="19"/>
      <c r="Q2215" s="19"/>
      <c r="R2215" s="19"/>
      <c r="S2215" s="19"/>
      <c r="T2215" s="19"/>
      <c r="U2215" s="19"/>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row>
    <row r="2216" spans="1:45" x14ac:dyDescent="0.3">
      <c r="A2216" s="410" t="s">
        <v>3830</v>
      </c>
      <c r="B2216" s="17"/>
      <c r="C2216" s="19"/>
      <c r="D2216" s="18"/>
      <c r="E2216" s="17"/>
      <c r="F2216" s="19"/>
      <c r="G2216" s="31"/>
      <c r="H2216" s="31"/>
      <c r="I2216" s="19"/>
      <c r="J2216" s="19"/>
      <c r="K2216" s="18"/>
      <c r="L2216" s="19"/>
      <c r="M2216" s="19"/>
      <c r="N2216" s="20"/>
      <c r="O2216" s="19"/>
      <c r="P2216" s="19"/>
      <c r="Q2216" s="19"/>
      <c r="R2216" s="19"/>
      <c r="S2216" s="19"/>
      <c r="T2216" s="19"/>
      <c r="U2216" s="19"/>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row>
    <row r="2217" spans="1:45" x14ac:dyDescent="0.3">
      <c r="A2217" s="410" t="s">
        <v>3831</v>
      </c>
      <c r="B2217" s="17"/>
      <c r="C2217" s="19"/>
      <c r="D2217" s="18"/>
      <c r="E2217" s="17"/>
      <c r="F2217" s="19"/>
      <c r="G2217" s="31"/>
      <c r="H2217" s="31"/>
      <c r="I2217" s="19"/>
      <c r="J2217" s="19"/>
      <c r="K2217" s="18"/>
      <c r="L2217" s="19"/>
      <c r="M2217" s="19"/>
      <c r="N2217" s="20"/>
      <c r="O2217" s="19"/>
      <c r="P2217" s="19"/>
      <c r="Q2217" s="19"/>
      <c r="R2217" s="19"/>
      <c r="S2217" s="19"/>
      <c r="T2217" s="19"/>
      <c r="U2217" s="19"/>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row>
    <row r="2218" spans="1:45" x14ac:dyDescent="0.3">
      <c r="A2218" s="410" t="s">
        <v>3832</v>
      </c>
      <c r="B2218" s="17"/>
      <c r="C2218" s="19"/>
      <c r="D2218" s="18"/>
      <c r="E2218" s="18"/>
      <c r="F2218" s="19"/>
      <c r="G2218" s="31"/>
      <c r="H2218" s="31"/>
      <c r="I2218" s="19"/>
      <c r="J2218" s="19"/>
      <c r="K2218" s="18"/>
      <c r="L2218" s="19"/>
      <c r="M2218" s="19"/>
      <c r="N2218" s="20"/>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row>
    <row r="2219" spans="1:45" x14ac:dyDescent="0.3">
      <c r="A2219" s="410" t="s">
        <v>3833</v>
      </c>
      <c r="B2219" s="17"/>
      <c r="C2219" s="19"/>
      <c r="D2219" s="18"/>
      <c r="E2219" s="18"/>
      <c r="F2219" s="19"/>
      <c r="G2219" s="31"/>
      <c r="H2219" s="31"/>
      <c r="I2219" s="19"/>
      <c r="J2219" s="19"/>
      <c r="K2219" s="18"/>
      <c r="L2219" s="19"/>
      <c r="M2219" s="19"/>
      <c r="N2219" s="20"/>
      <c r="O2219" s="19"/>
      <c r="P2219" s="19"/>
      <c r="Q2219" s="19"/>
      <c r="R2219" s="19"/>
      <c r="S2219" s="19"/>
      <c r="T2219" s="19"/>
      <c r="U2219" s="19"/>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row>
    <row r="2220" spans="1:45" x14ac:dyDescent="0.3">
      <c r="A2220" s="410" t="s">
        <v>3834</v>
      </c>
      <c r="B2220" s="17"/>
      <c r="C2220" s="19"/>
      <c r="D2220" s="18"/>
      <c r="E2220" s="18"/>
      <c r="F2220" s="19"/>
      <c r="G2220" s="31"/>
      <c r="H2220" s="31"/>
      <c r="I2220" s="19"/>
      <c r="J2220" s="19"/>
      <c r="K2220" s="18"/>
      <c r="L2220" s="19"/>
      <c r="M2220" s="19"/>
      <c r="N2220" s="20"/>
      <c r="O2220" s="19"/>
      <c r="P2220" s="19"/>
      <c r="Q2220" s="19"/>
      <c r="R2220" s="19"/>
      <c r="S2220" s="19"/>
      <c r="T2220" s="19"/>
      <c r="U2220" s="19"/>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row>
    <row r="2221" spans="1:45" x14ac:dyDescent="0.3">
      <c r="A2221" s="410" t="s">
        <v>3835</v>
      </c>
      <c r="B2221" s="17"/>
      <c r="C2221" s="19"/>
      <c r="D2221" s="18"/>
      <c r="E2221" s="18"/>
      <c r="F2221" s="19"/>
      <c r="G2221" s="31"/>
      <c r="H2221" s="31"/>
      <c r="I2221" s="19"/>
      <c r="J2221" s="19"/>
      <c r="K2221" s="18"/>
      <c r="L2221" s="19"/>
      <c r="M2221" s="19"/>
      <c r="N2221" s="20"/>
      <c r="O2221" s="19"/>
      <c r="P2221" s="19"/>
      <c r="Q2221" s="19"/>
      <c r="R2221" s="19"/>
      <c r="S2221" s="19"/>
      <c r="T2221" s="19"/>
      <c r="U2221" s="19"/>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row>
    <row r="2222" spans="1:45" x14ac:dyDescent="0.3">
      <c r="A2222" s="410" t="s">
        <v>3836</v>
      </c>
      <c r="B2222" s="17"/>
      <c r="C2222" s="19"/>
      <c r="D2222" s="18"/>
      <c r="E2222" s="18"/>
      <c r="F2222" s="19"/>
      <c r="G2222" s="31"/>
      <c r="H2222" s="31"/>
      <c r="I2222" s="19"/>
      <c r="J2222" s="19"/>
      <c r="K2222" s="18"/>
      <c r="L2222" s="19"/>
      <c r="M2222" s="19"/>
      <c r="N2222" s="20"/>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row>
    <row r="2223" spans="1:45" x14ac:dyDescent="0.3">
      <c r="A2223" s="410" t="s">
        <v>3837</v>
      </c>
      <c r="B2223" s="17"/>
      <c r="C2223" s="19"/>
      <c r="D2223" s="18"/>
      <c r="E2223" s="18"/>
      <c r="F2223" s="19"/>
      <c r="G2223" s="31"/>
      <c r="H2223" s="31"/>
      <c r="I2223" s="19"/>
      <c r="J2223" s="19"/>
      <c r="K2223" s="18"/>
      <c r="L2223" s="19"/>
      <c r="M2223" s="19"/>
      <c r="N2223" s="20"/>
      <c r="O2223" s="19"/>
      <c r="P2223" s="19"/>
      <c r="Q2223" s="19"/>
      <c r="R2223" s="19"/>
      <c r="S2223" s="19"/>
      <c r="T2223" s="19"/>
      <c r="U2223" s="19"/>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row>
    <row r="2224" spans="1:45" x14ac:dyDescent="0.3">
      <c r="A2224" s="410" t="s">
        <v>3838</v>
      </c>
      <c r="B2224" s="17"/>
      <c r="C2224" s="19"/>
      <c r="D2224" s="18"/>
      <c r="E2224" s="18"/>
      <c r="F2224" s="19"/>
      <c r="G2224" s="31"/>
      <c r="H2224" s="31"/>
      <c r="I2224" s="19"/>
      <c r="J2224" s="19"/>
      <c r="K2224" s="18"/>
      <c r="L2224" s="19"/>
      <c r="M2224" s="19"/>
      <c r="N2224" s="20"/>
      <c r="O2224" s="19"/>
      <c r="P2224" s="19"/>
      <c r="Q2224" s="19"/>
      <c r="R2224" s="19"/>
      <c r="S2224" s="19"/>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row>
    <row r="2225" spans="1:45" x14ac:dyDescent="0.3">
      <c r="A2225" s="410" t="s">
        <v>3839</v>
      </c>
      <c r="B2225" s="17"/>
      <c r="C2225" s="19"/>
      <c r="D2225" s="18"/>
      <c r="E2225" s="18"/>
      <c r="F2225" s="19"/>
      <c r="G2225" s="31"/>
      <c r="H2225" s="31"/>
      <c r="I2225" s="19"/>
      <c r="J2225" s="19"/>
      <c r="K2225" s="18"/>
      <c r="L2225" s="19"/>
      <c r="M2225" s="19"/>
      <c r="N2225" s="20"/>
      <c r="O2225" s="19"/>
      <c r="P2225" s="19"/>
      <c r="Q2225" s="19"/>
      <c r="R2225" s="19"/>
      <c r="S2225" s="19"/>
      <c r="T2225" s="19"/>
      <c r="U2225" s="19"/>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row>
    <row r="2226" spans="1:45" x14ac:dyDescent="0.3">
      <c r="A2226" s="410" t="s">
        <v>3840</v>
      </c>
      <c r="B2226" s="17"/>
      <c r="C2226" s="19"/>
      <c r="D2226" s="18"/>
      <c r="E2226" s="18"/>
      <c r="F2226" s="19"/>
      <c r="G2226" s="31"/>
      <c r="H2226" s="31"/>
      <c r="I2226" s="19"/>
      <c r="J2226" s="19"/>
      <c r="K2226" s="18"/>
      <c r="L2226" s="19"/>
      <c r="M2226" s="19"/>
      <c r="N2226" s="20"/>
      <c r="O2226" s="19"/>
      <c r="P2226" s="19"/>
      <c r="Q2226" s="19"/>
      <c r="R2226" s="19"/>
      <c r="S2226" s="19"/>
      <c r="T2226" s="19"/>
      <c r="U2226" s="19"/>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row>
    <row r="2227" spans="1:45" x14ac:dyDescent="0.3">
      <c r="A2227" s="410" t="s">
        <v>3841</v>
      </c>
      <c r="B2227" s="17"/>
      <c r="C2227" s="19"/>
      <c r="D2227" s="18"/>
      <c r="E2227" s="18"/>
      <c r="F2227" s="19"/>
      <c r="G2227" s="31"/>
      <c r="H2227" s="31"/>
      <c r="I2227" s="19"/>
      <c r="J2227" s="19"/>
      <c r="K2227" s="18"/>
      <c r="L2227" s="19"/>
      <c r="M2227" s="19"/>
      <c r="N2227" s="20"/>
      <c r="O2227" s="19"/>
      <c r="P2227" s="19"/>
      <c r="Q2227" s="19"/>
      <c r="R2227" s="19"/>
      <c r="S2227" s="19"/>
      <c r="T2227" s="19"/>
      <c r="U2227" s="19"/>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row>
    <row r="2228" spans="1:45" x14ac:dyDescent="0.3">
      <c r="A2228" s="410" t="s">
        <v>3842</v>
      </c>
      <c r="B2228" s="17"/>
      <c r="C2228" s="19"/>
      <c r="D2228" s="18"/>
      <c r="E2228" s="18"/>
      <c r="F2228" s="19"/>
      <c r="G2228" s="31"/>
      <c r="H2228" s="31"/>
      <c r="I2228" s="19"/>
      <c r="J2228" s="19"/>
      <c r="K2228" s="18"/>
      <c r="L2228" s="19"/>
      <c r="M2228" s="19"/>
      <c r="N2228" s="20"/>
      <c r="O2228" s="19"/>
      <c r="P2228" s="19"/>
      <c r="Q2228" s="19"/>
      <c r="R2228" s="19"/>
      <c r="S2228" s="19"/>
      <c r="T2228" s="19"/>
      <c r="U2228" s="19"/>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row>
    <row r="2229" spans="1:45" x14ac:dyDescent="0.3">
      <c r="A2229" s="410" t="s">
        <v>3843</v>
      </c>
      <c r="B2229" s="17"/>
      <c r="C2229" s="19"/>
      <c r="D2229" s="18"/>
      <c r="E2229" s="18"/>
      <c r="F2229" s="19"/>
      <c r="G2229" s="31"/>
      <c r="H2229" s="31"/>
      <c r="I2229" s="19"/>
      <c r="J2229" s="19"/>
      <c r="K2229" s="18"/>
      <c r="L2229" s="19"/>
      <c r="M2229" s="19"/>
      <c r="N2229" s="20"/>
      <c r="O2229" s="19"/>
      <c r="P2229" s="19"/>
      <c r="Q2229" s="19"/>
      <c r="R2229" s="19"/>
      <c r="S2229" s="19"/>
      <c r="T2229" s="19"/>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row>
    <row r="2230" spans="1:45" x14ac:dyDescent="0.3">
      <c r="A2230" s="410" t="s">
        <v>3844</v>
      </c>
      <c r="B2230" s="17"/>
      <c r="C2230" s="19"/>
      <c r="D2230" s="18"/>
      <c r="E2230" s="18"/>
      <c r="F2230" s="19"/>
      <c r="G2230" s="31"/>
      <c r="H2230" s="31"/>
      <c r="I2230" s="19"/>
      <c r="J2230" s="19"/>
      <c r="K2230" s="18"/>
      <c r="L2230" s="19"/>
      <c r="M2230" s="19"/>
      <c r="N2230" s="20"/>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row>
    <row r="2231" spans="1:45" x14ac:dyDescent="0.3">
      <c r="A2231" s="410" t="s">
        <v>3845</v>
      </c>
      <c r="B2231" s="17"/>
      <c r="C2231" s="19"/>
      <c r="D2231" s="18"/>
      <c r="E2231" s="18"/>
      <c r="F2231" s="19"/>
      <c r="G2231" s="31"/>
      <c r="H2231" s="31"/>
      <c r="I2231" s="19"/>
      <c r="J2231" s="19"/>
      <c r="K2231" s="18"/>
      <c r="L2231" s="19"/>
      <c r="M2231" s="19"/>
      <c r="N2231" s="20"/>
      <c r="O2231" s="19"/>
      <c r="P2231" s="19"/>
      <c r="Q2231" s="19"/>
      <c r="R2231" s="19"/>
      <c r="S2231" s="19"/>
      <c r="T2231" s="19"/>
      <c r="U2231" s="19"/>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row>
    <row r="2232" spans="1:45" x14ac:dyDescent="0.3">
      <c r="A2232" s="410" t="s">
        <v>3846</v>
      </c>
      <c r="B2232" s="17"/>
      <c r="C2232" s="19"/>
      <c r="D2232" s="18"/>
      <c r="E2232" s="18"/>
      <c r="F2232" s="19"/>
      <c r="G2232" s="31"/>
      <c r="H2232" s="31"/>
      <c r="I2232" s="19"/>
      <c r="J2232" s="19"/>
      <c r="K2232" s="18"/>
      <c r="L2232" s="19"/>
      <c r="M2232" s="19"/>
      <c r="N2232" s="20"/>
      <c r="O2232" s="19"/>
      <c r="P2232" s="19"/>
      <c r="Q2232" s="19"/>
      <c r="R2232" s="19"/>
      <c r="S2232" s="19"/>
      <c r="T2232" s="19"/>
      <c r="U2232" s="19"/>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row>
    <row r="2233" spans="1:45" x14ac:dyDescent="0.3">
      <c r="A2233" s="410" t="s">
        <v>3847</v>
      </c>
      <c r="B2233" s="17"/>
      <c r="C2233" s="19"/>
      <c r="D2233" s="18"/>
      <c r="E2233" s="18"/>
      <c r="F2233" s="19"/>
      <c r="G2233" s="31"/>
      <c r="H2233" s="31"/>
      <c r="I2233" s="19"/>
      <c r="J2233" s="19"/>
      <c r="K2233" s="18"/>
      <c r="L2233" s="19"/>
      <c r="M2233" s="19"/>
      <c r="N2233" s="20"/>
      <c r="O2233" s="19"/>
      <c r="P2233" s="19"/>
      <c r="Q2233" s="19"/>
      <c r="R2233" s="19"/>
      <c r="S2233" s="19"/>
      <c r="T2233" s="19"/>
      <c r="U2233" s="19"/>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row>
    <row r="2234" spans="1:45" x14ac:dyDescent="0.3">
      <c r="A2234" s="410" t="s">
        <v>3848</v>
      </c>
      <c r="B2234" s="17"/>
      <c r="C2234" s="19"/>
      <c r="D2234" s="18"/>
      <c r="E2234" s="18"/>
      <c r="F2234" s="19"/>
      <c r="G2234" s="31"/>
      <c r="H2234" s="31"/>
      <c r="I2234" s="19"/>
      <c r="J2234" s="19"/>
      <c r="K2234" s="18"/>
      <c r="L2234" s="19"/>
      <c r="M2234" s="19"/>
      <c r="N2234" s="20"/>
      <c r="O2234" s="19"/>
      <c r="P2234" s="19"/>
      <c r="Q2234" s="19"/>
      <c r="R2234" s="19"/>
      <c r="S2234" s="19"/>
      <c r="T2234" s="19"/>
      <c r="U2234" s="19"/>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row>
    <row r="2235" spans="1:45" x14ac:dyDescent="0.3">
      <c r="A2235" s="410" t="s">
        <v>3849</v>
      </c>
      <c r="B2235" s="17"/>
      <c r="C2235" s="19"/>
      <c r="D2235" s="18"/>
      <c r="E2235" s="18"/>
      <c r="F2235" s="19"/>
      <c r="G2235" s="31"/>
      <c r="H2235" s="31"/>
      <c r="I2235" s="19"/>
      <c r="J2235" s="19"/>
      <c r="K2235" s="18"/>
      <c r="L2235" s="19"/>
      <c r="M2235" s="19"/>
      <c r="N2235" s="20"/>
      <c r="O2235" s="19"/>
      <c r="P2235" s="19"/>
      <c r="Q2235" s="19"/>
      <c r="R2235" s="19"/>
      <c r="S2235" s="19"/>
      <c r="T2235" s="19"/>
      <c r="U2235" s="19"/>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row>
    <row r="2236" spans="1:45" x14ac:dyDescent="0.3">
      <c r="A2236" s="410" t="s">
        <v>3850</v>
      </c>
      <c r="B2236" s="17"/>
      <c r="C2236" s="19"/>
      <c r="D2236" s="18"/>
      <c r="E2236" s="18"/>
      <c r="F2236" s="19"/>
      <c r="G2236" s="31"/>
      <c r="H2236" s="31"/>
      <c r="I2236" s="19"/>
      <c r="J2236" s="19"/>
      <c r="K2236" s="18"/>
      <c r="L2236" s="19"/>
      <c r="M2236" s="19"/>
      <c r="N2236" s="20"/>
      <c r="O2236" s="19"/>
      <c r="P2236" s="19"/>
      <c r="Q2236" s="19"/>
      <c r="R2236" s="19"/>
      <c r="S2236" s="19"/>
      <c r="T2236" s="19"/>
      <c r="U2236" s="19"/>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row>
    <row r="2237" spans="1:45" x14ac:dyDescent="0.3">
      <c r="A2237" s="410" t="s">
        <v>3851</v>
      </c>
      <c r="B2237" s="17"/>
      <c r="C2237" s="19"/>
      <c r="D2237" s="18"/>
      <c r="E2237" s="18"/>
      <c r="F2237" s="19"/>
      <c r="G2237" s="31"/>
      <c r="H2237" s="31"/>
      <c r="I2237" s="19"/>
      <c r="J2237" s="19"/>
      <c r="K2237" s="18"/>
      <c r="L2237" s="19"/>
      <c r="M2237" s="19"/>
      <c r="N2237" s="20"/>
      <c r="O2237" s="19"/>
      <c r="P2237" s="19"/>
      <c r="Q2237" s="19"/>
      <c r="R2237" s="19"/>
      <c r="S2237" s="19"/>
      <c r="T2237" s="19"/>
      <c r="U2237" s="19"/>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row>
    <row r="2238" spans="1:45" x14ac:dyDescent="0.3">
      <c r="A2238" s="410" t="s">
        <v>3852</v>
      </c>
      <c r="B2238" s="17"/>
      <c r="C2238" s="19"/>
      <c r="D2238" s="18"/>
      <c r="E2238" s="18"/>
      <c r="F2238" s="19"/>
      <c r="G2238" s="31"/>
      <c r="H2238" s="31"/>
      <c r="I2238" s="19"/>
      <c r="J2238" s="19"/>
      <c r="K2238" s="18"/>
      <c r="L2238" s="19"/>
      <c r="M2238" s="19"/>
      <c r="N2238" s="20"/>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row>
    <row r="2239" spans="1:45" x14ac:dyDescent="0.3">
      <c r="A2239" s="410" t="s">
        <v>3853</v>
      </c>
      <c r="B2239" s="17"/>
      <c r="C2239" s="19"/>
      <c r="D2239" s="18"/>
      <c r="E2239" s="18"/>
      <c r="F2239" s="19"/>
      <c r="G2239" s="31"/>
      <c r="H2239" s="31"/>
      <c r="I2239" s="19"/>
      <c r="J2239" s="19"/>
      <c r="K2239" s="18"/>
      <c r="L2239" s="19"/>
      <c r="M2239" s="19"/>
      <c r="N2239" s="20"/>
      <c r="O2239" s="19"/>
      <c r="P2239" s="19"/>
      <c r="Q2239" s="19"/>
      <c r="R2239" s="19"/>
      <c r="S2239" s="19"/>
      <c r="T2239" s="19"/>
      <c r="U2239" s="19"/>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row>
    <row r="2240" spans="1:45" x14ac:dyDescent="0.3">
      <c r="A2240" s="410" t="s">
        <v>3854</v>
      </c>
      <c r="B2240" s="17"/>
      <c r="C2240" s="19"/>
      <c r="D2240" s="18"/>
      <c r="E2240" s="18"/>
      <c r="F2240" s="19"/>
      <c r="G2240" s="31"/>
      <c r="H2240" s="31"/>
      <c r="I2240" s="19"/>
      <c r="J2240" s="19"/>
      <c r="K2240" s="18"/>
      <c r="L2240" s="19"/>
      <c r="M2240" s="19"/>
      <c r="N2240" s="20"/>
      <c r="O2240" s="19"/>
      <c r="P2240" s="19"/>
      <c r="Q2240" s="19"/>
      <c r="R2240" s="19"/>
      <c r="S2240" s="19"/>
      <c r="T2240" s="19"/>
      <c r="U2240" s="19"/>
      <c r="V2240" s="19"/>
      <c r="W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row>
    <row r="2241" spans="1:45" x14ac:dyDescent="0.3">
      <c r="A2241" s="410" t="s">
        <v>3855</v>
      </c>
      <c r="B2241" s="17"/>
      <c r="C2241" s="19"/>
      <c r="D2241" s="18"/>
      <c r="E2241" s="18"/>
      <c r="F2241" s="19"/>
      <c r="G2241" s="31"/>
      <c r="H2241" s="31"/>
      <c r="I2241" s="19"/>
      <c r="J2241" s="19"/>
      <c r="K2241" s="18"/>
      <c r="L2241" s="19"/>
      <c r="M2241" s="19"/>
      <c r="N2241" s="20"/>
      <c r="O2241" s="19"/>
      <c r="P2241" s="19"/>
      <c r="Q2241" s="19"/>
      <c r="R2241" s="19"/>
      <c r="S2241" s="19"/>
      <c r="T2241" s="19"/>
      <c r="U2241" s="19"/>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row>
    <row r="2242" spans="1:45" x14ac:dyDescent="0.3">
      <c r="A2242" s="410" t="s">
        <v>3856</v>
      </c>
      <c r="B2242" s="17"/>
      <c r="C2242" s="19"/>
      <c r="D2242" s="18"/>
      <c r="E2242" s="18"/>
      <c r="F2242" s="19"/>
      <c r="G2242" s="31"/>
      <c r="H2242" s="31"/>
      <c r="I2242" s="19"/>
      <c r="J2242" s="19"/>
      <c r="K2242" s="18"/>
      <c r="L2242" s="19"/>
      <c r="M2242" s="19"/>
      <c r="N2242" s="20"/>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row>
    <row r="2243" spans="1:45" x14ac:dyDescent="0.3">
      <c r="A2243" s="410" t="s">
        <v>3857</v>
      </c>
      <c r="B2243" s="17"/>
      <c r="C2243" s="19"/>
      <c r="D2243" s="18"/>
      <c r="E2243" s="18"/>
      <c r="F2243" s="19"/>
      <c r="G2243" s="31"/>
      <c r="H2243" s="31"/>
      <c r="I2243" s="19"/>
      <c r="J2243" s="19"/>
      <c r="K2243" s="18"/>
      <c r="L2243" s="19"/>
      <c r="M2243" s="19"/>
      <c r="N2243" s="20"/>
      <c r="O2243" s="19"/>
      <c r="P2243" s="19"/>
      <c r="Q2243" s="19"/>
      <c r="R2243" s="19"/>
      <c r="S2243" s="19"/>
      <c r="T2243" s="19"/>
      <c r="U2243" s="19"/>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row>
    <row r="2244" spans="1:45" x14ac:dyDescent="0.3">
      <c r="A2244" s="410" t="s">
        <v>3858</v>
      </c>
      <c r="B2244" s="17"/>
      <c r="C2244" s="19"/>
      <c r="D2244" s="18"/>
      <c r="E2244" s="18"/>
      <c r="F2244" s="19"/>
      <c r="G2244" s="31"/>
      <c r="H2244" s="31"/>
      <c r="I2244" s="19"/>
      <c r="J2244" s="19"/>
      <c r="K2244" s="18"/>
      <c r="L2244" s="19"/>
      <c r="M2244" s="19"/>
      <c r="N2244" s="20"/>
      <c r="O2244" s="19"/>
      <c r="P2244" s="19"/>
      <c r="Q2244" s="19"/>
      <c r="R2244" s="19"/>
      <c r="S2244" s="19"/>
      <c r="T2244" s="19"/>
      <c r="U2244" s="19"/>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row>
    <row r="2245" spans="1:45" x14ac:dyDescent="0.3">
      <c r="A2245" s="410" t="s">
        <v>3859</v>
      </c>
      <c r="B2245" s="17"/>
      <c r="C2245" s="19"/>
      <c r="D2245" s="18"/>
      <c r="E2245" s="18"/>
      <c r="F2245" s="19"/>
      <c r="G2245" s="31"/>
      <c r="H2245" s="31"/>
      <c r="I2245" s="19"/>
      <c r="J2245" s="19"/>
      <c r="K2245" s="18"/>
      <c r="L2245" s="19"/>
      <c r="M2245" s="19"/>
      <c r="N2245" s="20"/>
      <c r="O2245" s="19"/>
      <c r="P2245" s="19"/>
      <c r="Q2245" s="19"/>
      <c r="R2245" s="19"/>
      <c r="S2245" s="19"/>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row>
    <row r="2246" spans="1:45" x14ac:dyDescent="0.3">
      <c r="A2246" s="410" t="s">
        <v>3860</v>
      </c>
      <c r="B2246" s="17"/>
      <c r="C2246" s="19"/>
      <c r="D2246" s="18"/>
      <c r="E2246" s="18"/>
      <c r="F2246" s="19"/>
      <c r="G2246" s="31"/>
      <c r="H2246" s="31"/>
      <c r="I2246" s="19"/>
      <c r="J2246" s="19"/>
      <c r="K2246" s="18"/>
      <c r="L2246" s="19"/>
      <c r="M2246" s="19"/>
      <c r="N2246" s="20"/>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row>
    <row r="2247" spans="1:45" x14ac:dyDescent="0.3">
      <c r="A2247" s="410" t="s">
        <v>3861</v>
      </c>
      <c r="B2247" s="17"/>
      <c r="C2247" s="19"/>
      <c r="D2247" s="18"/>
      <c r="E2247" s="18"/>
      <c r="F2247" s="19"/>
      <c r="G2247" s="31"/>
      <c r="H2247" s="31"/>
      <c r="I2247" s="19"/>
      <c r="J2247" s="19"/>
      <c r="K2247" s="18"/>
      <c r="L2247" s="19"/>
      <c r="M2247" s="19"/>
      <c r="N2247" s="20"/>
      <c r="O2247" s="19"/>
      <c r="P2247" s="19"/>
      <c r="Q2247" s="19"/>
      <c r="R2247" s="19"/>
      <c r="S2247" s="19"/>
      <c r="T2247" s="19"/>
      <c r="U2247" s="19"/>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row>
    <row r="2248" spans="1:45" x14ac:dyDescent="0.3">
      <c r="A2248" s="410" t="s">
        <v>3862</v>
      </c>
      <c r="B2248" s="17"/>
      <c r="C2248" s="19"/>
      <c r="D2248" s="18"/>
      <c r="E2248" s="18"/>
      <c r="F2248" s="19"/>
      <c r="G2248" s="31"/>
      <c r="H2248" s="31"/>
      <c r="I2248" s="19"/>
      <c r="J2248" s="19"/>
      <c r="K2248" s="18"/>
      <c r="L2248" s="19"/>
      <c r="M2248" s="19"/>
      <c r="N2248" s="20"/>
      <c r="O2248" s="19"/>
      <c r="P2248" s="19"/>
      <c r="Q2248" s="19"/>
      <c r="R2248" s="19"/>
      <c r="S2248" s="19"/>
      <c r="T2248" s="19"/>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row>
    <row r="2249" spans="1:45" x14ac:dyDescent="0.3">
      <c r="A2249" s="410" t="s">
        <v>3863</v>
      </c>
      <c r="B2249" s="17"/>
      <c r="C2249" s="19"/>
      <c r="D2249" s="18"/>
      <c r="E2249" s="18"/>
      <c r="F2249" s="19"/>
      <c r="G2249" s="31"/>
      <c r="H2249" s="31"/>
      <c r="I2249" s="19"/>
      <c r="J2249" s="19"/>
      <c r="K2249" s="18"/>
      <c r="L2249" s="19"/>
      <c r="M2249" s="19"/>
      <c r="N2249" s="20"/>
      <c r="O2249" s="19"/>
      <c r="P2249" s="19"/>
      <c r="Q2249" s="19"/>
      <c r="R2249" s="19"/>
      <c r="S2249" s="19"/>
      <c r="T2249" s="19"/>
      <c r="U2249" s="19"/>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row>
    <row r="2250" spans="1:45" x14ac:dyDescent="0.3">
      <c r="A2250" s="410" t="s">
        <v>3864</v>
      </c>
      <c r="B2250" s="17"/>
      <c r="C2250" s="19"/>
      <c r="D2250" s="18"/>
      <c r="E2250" s="18"/>
      <c r="F2250" s="19"/>
      <c r="G2250" s="31"/>
      <c r="H2250" s="31"/>
      <c r="I2250" s="19"/>
      <c r="J2250" s="19"/>
      <c r="K2250" s="18"/>
      <c r="L2250" s="19"/>
      <c r="M2250" s="19"/>
      <c r="N2250" s="20"/>
      <c r="O2250" s="19"/>
      <c r="P2250" s="19"/>
      <c r="Q2250" s="19"/>
      <c r="R2250" s="19"/>
      <c r="S2250" s="19"/>
      <c r="T2250" s="19"/>
      <c r="U2250" s="19"/>
      <c r="V2250" s="19"/>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row>
    <row r="2251" spans="1:45" x14ac:dyDescent="0.3">
      <c r="A2251" s="410" t="s">
        <v>3865</v>
      </c>
      <c r="B2251" s="17"/>
      <c r="C2251" s="19"/>
      <c r="D2251" s="18"/>
      <c r="E2251" s="18"/>
      <c r="F2251" s="19"/>
      <c r="G2251" s="31"/>
      <c r="H2251" s="31"/>
      <c r="I2251" s="19"/>
      <c r="J2251" s="19"/>
      <c r="K2251" s="18"/>
      <c r="L2251" s="19"/>
      <c r="M2251" s="19"/>
      <c r="N2251" s="20"/>
      <c r="O2251" s="19"/>
      <c r="P2251" s="19"/>
      <c r="Q2251" s="19"/>
      <c r="R2251" s="19"/>
      <c r="S2251" s="19"/>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row>
    <row r="2252" spans="1:45" x14ac:dyDescent="0.3">
      <c r="A2252" s="410" t="s">
        <v>3866</v>
      </c>
      <c r="B2252" s="17"/>
      <c r="C2252" s="19"/>
      <c r="D2252" s="18"/>
      <c r="E2252" s="18"/>
      <c r="F2252" s="19"/>
      <c r="G2252" s="31"/>
      <c r="H2252" s="31"/>
      <c r="I2252" s="19"/>
      <c r="J2252" s="19"/>
      <c r="K2252" s="18"/>
      <c r="L2252" s="19"/>
      <c r="M2252" s="19"/>
      <c r="N2252" s="20"/>
      <c r="O2252" s="19"/>
      <c r="P2252" s="19"/>
      <c r="Q2252" s="19"/>
      <c r="R2252" s="19"/>
      <c r="S2252" s="19"/>
      <c r="T2252" s="19"/>
      <c r="U2252" s="19"/>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row>
    <row r="2253" spans="1:45" x14ac:dyDescent="0.3">
      <c r="A2253" s="410" t="s">
        <v>3867</v>
      </c>
      <c r="B2253" s="17"/>
      <c r="C2253" s="19"/>
      <c r="D2253" s="18"/>
      <c r="E2253" s="18"/>
      <c r="F2253" s="19"/>
      <c r="G2253" s="31"/>
      <c r="H2253" s="31"/>
      <c r="I2253" s="19"/>
      <c r="J2253" s="19"/>
      <c r="K2253" s="18"/>
      <c r="L2253" s="19"/>
      <c r="M2253" s="19"/>
      <c r="N2253" s="20"/>
      <c r="O2253" s="19"/>
      <c r="P2253" s="19"/>
      <c r="Q2253" s="19"/>
      <c r="R2253" s="19"/>
      <c r="S2253" s="19"/>
      <c r="T2253" s="19"/>
      <c r="U2253" s="19"/>
      <c r="V2253" s="19"/>
      <c r="W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row>
    <row r="2254" spans="1:45" x14ac:dyDescent="0.3">
      <c r="A2254" s="410" t="s">
        <v>3868</v>
      </c>
      <c r="B2254" s="17"/>
      <c r="C2254" s="19"/>
      <c r="D2254" s="18"/>
      <c r="E2254" s="18"/>
      <c r="F2254" s="19"/>
      <c r="G2254" s="31"/>
      <c r="H2254" s="31"/>
      <c r="I2254" s="19"/>
      <c r="J2254" s="19"/>
      <c r="K2254" s="18"/>
      <c r="L2254" s="19"/>
      <c r="M2254" s="19"/>
      <c r="N2254" s="20"/>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row>
    <row r="2255" spans="1:45" x14ac:dyDescent="0.3">
      <c r="A2255" s="410" t="s">
        <v>3869</v>
      </c>
      <c r="B2255" s="17"/>
      <c r="C2255" s="19"/>
      <c r="D2255" s="18"/>
      <c r="E2255" s="18"/>
      <c r="F2255" s="19"/>
      <c r="G2255" s="31"/>
      <c r="H2255" s="31"/>
      <c r="I2255" s="19"/>
      <c r="J2255" s="19"/>
      <c r="K2255" s="18"/>
      <c r="L2255" s="19"/>
      <c r="M2255" s="19"/>
      <c r="N2255" s="20"/>
      <c r="O2255" s="19"/>
      <c r="P2255" s="19"/>
      <c r="Q2255" s="19"/>
      <c r="R2255" s="19"/>
      <c r="S2255" s="19"/>
      <c r="T2255" s="19"/>
      <c r="U2255" s="19"/>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row>
    <row r="2256" spans="1:45" x14ac:dyDescent="0.3">
      <c r="A2256" s="410" t="s">
        <v>3870</v>
      </c>
      <c r="B2256" s="17"/>
      <c r="C2256" s="19"/>
      <c r="D2256" s="18"/>
      <c r="E2256" s="18"/>
      <c r="F2256" s="19"/>
      <c r="G2256" s="31"/>
      <c r="H2256" s="31"/>
      <c r="I2256" s="19"/>
      <c r="J2256" s="19"/>
      <c r="K2256" s="18"/>
      <c r="L2256" s="19"/>
      <c r="M2256" s="19"/>
      <c r="N2256" s="20"/>
      <c r="O2256" s="19"/>
      <c r="P2256" s="19"/>
      <c r="Q2256" s="19"/>
      <c r="R2256" s="19"/>
      <c r="S2256" s="19"/>
      <c r="T2256" s="19"/>
      <c r="U2256" s="19"/>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row>
    <row r="2257" spans="1:45" x14ac:dyDescent="0.3">
      <c r="A2257" s="410" t="s">
        <v>3871</v>
      </c>
      <c r="B2257" s="17"/>
      <c r="C2257" s="19"/>
      <c r="D2257" s="18"/>
      <c r="E2257" s="18"/>
      <c r="F2257" s="19"/>
      <c r="G2257" s="31"/>
      <c r="H2257" s="31"/>
      <c r="I2257" s="19"/>
      <c r="J2257" s="19"/>
      <c r="K2257" s="18"/>
      <c r="L2257" s="19"/>
      <c r="M2257" s="19"/>
      <c r="N2257" s="20"/>
      <c r="O2257" s="19"/>
      <c r="P2257" s="19"/>
      <c r="Q2257" s="19"/>
      <c r="R2257" s="19"/>
      <c r="S2257" s="19"/>
      <c r="T2257" s="19"/>
      <c r="U2257" s="19"/>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row>
    <row r="2258" spans="1:45" x14ac:dyDescent="0.3">
      <c r="A2258" s="410" t="s">
        <v>3872</v>
      </c>
      <c r="B2258" s="17"/>
      <c r="C2258" s="19"/>
      <c r="D2258" s="18"/>
      <c r="E2258" s="18"/>
      <c r="F2258" s="19"/>
      <c r="G2258" s="31"/>
      <c r="H2258" s="31"/>
      <c r="I2258" s="19"/>
      <c r="J2258" s="19"/>
      <c r="K2258" s="18"/>
      <c r="L2258" s="19"/>
      <c r="M2258" s="19"/>
      <c r="N2258" s="20"/>
      <c r="O2258" s="19"/>
      <c r="P2258" s="19"/>
      <c r="Q2258" s="19"/>
      <c r="R2258" s="19"/>
      <c r="S2258" s="19"/>
      <c r="T2258" s="19"/>
      <c r="U2258" s="19"/>
      <c r="V2258" s="19"/>
      <c r="W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row>
    <row r="2259" spans="1:45" x14ac:dyDescent="0.3">
      <c r="A2259" s="410" t="s">
        <v>3873</v>
      </c>
      <c r="B2259" s="17"/>
      <c r="C2259" s="19"/>
      <c r="D2259" s="18"/>
      <c r="E2259" s="18"/>
      <c r="F2259" s="19"/>
      <c r="G2259" s="31"/>
      <c r="H2259" s="31"/>
      <c r="I2259" s="19"/>
      <c r="J2259" s="19"/>
      <c r="K2259" s="18"/>
      <c r="L2259" s="19"/>
      <c r="M2259" s="19"/>
      <c r="N2259" s="20"/>
      <c r="O2259" s="19"/>
      <c r="P2259" s="19"/>
      <c r="Q2259" s="19"/>
      <c r="R2259" s="19"/>
      <c r="S2259" s="19"/>
      <c r="T2259" s="19"/>
      <c r="U2259" s="19"/>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row>
    <row r="2260" spans="1:45" x14ac:dyDescent="0.3">
      <c r="A2260" s="410" t="s">
        <v>3874</v>
      </c>
      <c r="B2260" s="17"/>
      <c r="C2260" s="19"/>
      <c r="D2260" s="18"/>
      <c r="E2260" s="18"/>
      <c r="F2260" s="19"/>
      <c r="G2260" s="31"/>
      <c r="H2260" s="31"/>
      <c r="I2260" s="19"/>
      <c r="J2260" s="19"/>
      <c r="K2260" s="18"/>
      <c r="L2260" s="19"/>
      <c r="M2260" s="19"/>
      <c r="N2260" s="20"/>
      <c r="O2260" s="19"/>
      <c r="P2260" s="19"/>
      <c r="Q2260" s="19"/>
      <c r="R2260" s="19"/>
      <c r="S2260" s="19"/>
      <c r="T2260" s="19"/>
      <c r="U2260" s="19"/>
      <c r="V2260" s="19"/>
      <c r="W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row>
    <row r="2261" spans="1:45" x14ac:dyDescent="0.3">
      <c r="A2261" s="410" t="s">
        <v>3875</v>
      </c>
      <c r="B2261" s="17"/>
      <c r="C2261" s="19"/>
      <c r="D2261" s="18"/>
      <c r="E2261" s="18"/>
      <c r="F2261" s="19"/>
      <c r="G2261" s="31"/>
      <c r="H2261" s="31"/>
      <c r="I2261" s="19"/>
      <c r="J2261" s="19"/>
      <c r="K2261" s="18"/>
      <c r="L2261" s="19"/>
      <c r="M2261" s="19"/>
      <c r="N2261" s="20"/>
      <c r="O2261" s="19"/>
      <c r="P2261" s="19"/>
      <c r="Q2261" s="19"/>
      <c r="R2261" s="19"/>
      <c r="S2261" s="19"/>
      <c r="T2261" s="19"/>
      <c r="U2261" s="19"/>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row>
    <row r="2262" spans="1:45" x14ac:dyDescent="0.3">
      <c r="A2262" s="410" t="s">
        <v>3876</v>
      </c>
      <c r="B2262" s="17"/>
      <c r="C2262" s="19"/>
      <c r="D2262" s="18"/>
      <c r="E2262" s="18"/>
      <c r="F2262" s="19"/>
      <c r="G2262" s="31"/>
      <c r="H2262" s="31"/>
      <c r="I2262" s="19"/>
      <c r="J2262" s="19"/>
      <c r="K2262" s="18"/>
      <c r="L2262" s="19"/>
      <c r="M2262" s="19"/>
      <c r="N2262" s="20"/>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row>
    <row r="2263" spans="1:45" x14ac:dyDescent="0.3">
      <c r="A2263" s="410" t="s">
        <v>3877</v>
      </c>
      <c r="B2263" s="17"/>
      <c r="C2263" s="19"/>
      <c r="D2263" s="18"/>
      <c r="E2263" s="18"/>
      <c r="F2263" s="19"/>
      <c r="G2263" s="31"/>
      <c r="H2263" s="31"/>
      <c r="I2263" s="19"/>
      <c r="J2263" s="19"/>
      <c r="K2263" s="18"/>
      <c r="L2263" s="19"/>
      <c r="M2263" s="19"/>
      <c r="N2263" s="20"/>
      <c r="O2263" s="19"/>
      <c r="P2263" s="19"/>
      <c r="Q2263" s="19"/>
      <c r="R2263" s="19"/>
      <c r="S2263" s="19"/>
      <c r="T2263" s="19"/>
      <c r="U2263" s="19"/>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row>
    <row r="2264" spans="1:45" x14ac:dyDescent="0.3">
      <c r="A2264" s="410" t="s">
        <v>3878</v>
      </c>
      <c r="B2264" s="17"/>
      <c r="C2264" s="19"/>
      <c r="D2264" s="18"/>
      <c r="E2264" s="18"/>
      <c r="F2264" s="19"/>
      <c r="G2264" s="31"/>
      <c r="H2264" s="31"/>
      <c r="I2264" s="19"/>
      <c r="J2264" s="19"/>
      <c r="K2264" s="18"/>
      <c r="L2264" s="19"/>
      <c r="M2264" s="19"/>
      <c r="N2264" s="20"/>
      <c r="O2264" s="19"/>
      <c r="P2264" s="19"/>
      <c r="Q2264" s="19"/>
      <c r="R2264" s="19"/>
      <c r="S2264" s="19"/>
      <c r="T2264" s="19"/>
      <c r="U2264" s="19"/>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row>
    <row r="2265" spans="1:45" x14ac:dyDescent="0.3">
      <c r="A2265" s="410" t="s">
        <v>3879</v>
      </c>
      <c r="B2265" s="17"/>
      <c r="C2265" s="19"/>
      <c r="D2265" s="18"/>
      <c r="E2265" s="18"/>
      <c r="F2265" s="19"/>
      <c r="G2265" s="31"/>
      <c r="H2265" s="31"/>
      <c r="I2265" s="19"/>
      <c r="J2265" s="19"/>
      <c r="K2265" s="18"/>
      <c r="L2265" s="19"/>
      <c r="M2265" s="19"/>
      <c r="N2265" s="20"/>
      <c r="O2265" s="19"/>
      <c r="P2265" s="19"/>
      <c r="Q2265" s="19"/>
      <c r="R2265" s="19"/>
      <c r="S2265" s="19"/>
      <c r="T2265" s="19"/>
      <c r="U2265" s="19"/>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row>
    <row r="2266" spans="1:45" x14ac:dyDescent="0.3">
      <c r="A2266" s="410" t="s">
        <v>3880</v>
      </c>
      <c r="B2266" s="17"/>
      <c r="C2266" s="19"/>
      <c r="D2266" s="18"/>
      <c r="E2266" s="18"/>
      <c r="F2266" s="19"/>
      <c r="G2266" s="31"/>
      <c r="H2266" s="31"/>
      <c r="I2266" s="19"/>
      <c r="J2266" s="19"/>
      <c r="K2266" s="18"/>
      <c r="L2266" s="19"/>
      <c r="M2266" s="19"/>
      <c r="N2266" s="20"/>
      <c r="O2266" s="19"/>
      <c r="P2266" s="19"/>
      <c r="Q2266" s="19"/>
      <c r="R2266" s="19"/>
      <c r="S2266" s="19"/>
      <c r="T2266" s="19"/>
      <c r="U2266" s="19"/>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row>
    <row r="2267" spans="1:45" x14ac:dyDescent="0.3">
      <c r="A2267" s="410" t="s">
        <v>3881</v>
      </c>
      <c r="B2267" s="17"/>
      <c r="C2267" s="19"/>
      <c r="D2267" s="18"/>
      <c r="E2267" s="18"/>
      <c r="F2267" s="19"/>
      <c r="G2267" s="31"/>
      <c r="H2267" s="31"/>
      <c r="I2267" s="19"/>
      <c r="J2267" s="19"/>
      <c r="K2267" s="18"/>
      <c r="L2267" s="19"/>
      <c r="M2267" s="19"/>
      <c r="N2267" s="20"/>
      <c r="O2267" s="19"/>
      <c r="P2267" s="19"/>
      <c r="Q2267" s="19"/>
      <c r="R2267" s="19"/>
      <c r="S2267" s="19"/>
      <c r="T2267" s="19"/>
      <c r="U2267" s="19"/>
      <c r="V2267" s="19"/>
      <c r="W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row>
    <row r="2268" spans="1:45" x14ac:dyDescent="0.3">
      <c r="A2268" s="410" t="s">
        <v>3882</v>
      </c>
      <c r="B2268" s="17"/>
      <c r="C2268" s="19"/>
      <c r="D2268" s="18"/>
      <c r="E2268" s="18"/>
      <c r="F2268" s="19"/>
      <c r="G2268" s="31"/>
      <c r="H2268" s="31"/>
      <c r="I2268" s="19"/>
      <c r="J2268" s="19"/>
      <c r="K2268" s="18"/>
      <c r="L2268" s="19"/>
      <c r="M2268" s="19"/>
      <c r="N2268" s="20"/>
      <c r="O2268" s="19"/>
      <c r="P2268" s="19"/>
      <c r="Q2268" s="19"/>
      <c r="R2268" s="19"/>
      <c r="S2268" s="19"/>
      <c r="T2268" s="19"/>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row>
    <row r="2269" spans="1:45" x14ac:dyDescent="0.3">
      <c r="A2269" s="410" t="s">
        <v>3883</v>
      </c>
      <c r="B2269" s="17"/>
      <c r="C2269" s="19"/>
      <c r="D2269" s="18"/>
      <c r="E2269" s="18"/>
      <c r="F2269" s="19"/>
      <c r="G2269" s="31"/>
      <c r="H2269" s="31"/>
      <c r="I2269" s="19"/>
      <c r="J2269" s="19"/>
      <c r="K2269" s="18"/>
      <c r="L2269" s="19"/>
      <c r="M2269" s="19"/>
      <c r="N2269" s="20"/>
      <c r="O2269" s="19"/>
      <c r="P2269" s="19"/>
      <c r="Q2269" s="19"/>
      <c r="R2269" s="19"/>
      <c r="S2269" s="19"/>
      <c r="T2269" s="19"/>
      <c r="U2269" s="19"/>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row>
    <row r="2270" spans="1:45" x14ac:dyDescent="0.3">
      <c r="A2270" s="410" t="s">
        <v>3884</v>
      </c>
      <c r="B2270" s="17"/>
      <c r="C2270" s="19"/>
      <c r="D2270" s="18"/>
      <c r="E2270" s="18"/>
      <c r="F2270" s="19"/>
      <c r="G2270" s="31"/>
      <c r="H2270" s="31"/>
      <c r="I2270" s="19"/>
      <c r="J2270" s="19"/>
      <c r="K2270" s="18"/>
      <c r="L2270" s="19"/>
      <c r="M2270" s="19"/>
      <c r="N2270" s="20"/>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row>
    <row r="2271" spans="1:45" x14ac:dyDescent="0.3">
      <c r="A2271" s="410" t="s">
        <v>3885</v>
      </c>
      <c r="B2271" s="17"/>
      <c r="C2271" s="19"/>
      <c r="D2271" s="18"/>
      <c r="E2271" s="18"/>
      <c r="F2271" s="19"/>
      <c r="G2271" s="31"/>
      <c r="H2271" s="31"/>
      <c r="I2271" s="19"/>
      <c r="J2271" s="19"/>
      <c r="K2271" s="18"/>
      <c r="L2271" s="19"/>
      <c r="M2271" s="19"/>
      <c r="N2271" s="20"/>
      <c r="O2271" s="19"/>
      <c r="P2271" s="19"/>
      <c r="Q2271" s="19"/>
      <c r="R2271" s="19"/>
      <c r="S2271" s="19"/>
      <c r="T2271" s="19"/>
      <c r="U2271" s="19"/>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row>
    <row r="2272" spans="1:45" x14ac:dyDescent="0.3">
      <c r="A2272" s="410" t="s">
        <v>3886</v>
      </c>
      <c r="B2272" s="17"/>
      <c r="C2272" s="19"/>
      <c r="D2272" s="18"/>
      <c r="E2272" s="18"/>
      <c r="F2272" s="19"/>
      <c r="G2272" s="31"/>
      <c r="H2272" s="31"/>
      <c r="I2272" s="19"/>
      <c r="J2272" s="19"/>
      <c r="K2272" s="18"/>
      <c r="L2272" s="19"/>
      <c r="M2272" s="19"/>
      <c r="N2272" s="20"/>
      <c r="O2272" s="19"/>
      <c r="P2272" s="19"/>
      <c r="Q2272" s="19"/>
      <c r="R2272" s="19"/>
      <c r="S2272" s="19"/>
      <c r="T2272" s="19"/>
      <c r="U2272" s="19"/>
      <c r="V2272" s="19"/>
      <c r="W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row>
    <row r="2273" spans="1:45" x14ac:dyDescent="0.3">
      <c r="A2273" s="410" t="s">
        <v>3887</v>
      </c>
      <c r="B2273" s="17"/>
      <c r="C2273" s="19"/>
      <c r="D2273" s="18"/>
      <c r="E2273" s="18"/>
      <c r="F2273" s="19"/>
      <c r="G2273" s="31"/>
      <c r="H2273" s="31"/>
      <c r="I2273" s="19"/>
      <c r="J2273" s="19"/>
      <c r="K2273" s="18"/>
      <c r="L2273" s="19"/>
      <c r="M2273" s="19"/>
      <c r="N2273" s="20"/>
      <c r="O2273" s="19"/>
      <c r="P2273" s="19"/>
      <c r="Q2273" s="19"/>
      <c r="R2273" s="19"/>
      <c r="S2273" s="19"/>
      <c r="T2273" s="19"/>
      <c r="U2273" s="19"/>
      <c r="V2273" s="19"/>
      <c r="W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row>
    <row r="2274" spans="1:45" x14ac:dyDescent="0.3">
      <c r="A2274" s="410" t="s">
        <v>3888</v>
      </c>
      <c r="B2274" s="17"/>
      <c r="C2274" s="19"/>
      <c r="D2274" s="18"/>
      <c r="E2274" s="18"/>
      <c r="F2274" s="19"/>
      <c r="G2274" s="31"/>
      <c r="H2274" s="31"/>
      <c r="I2274" s="19"/>
      <c r="J2274" s="19"/>
      <c r="K2274" s="18"/>
      <c r="L2274" s="19"/>
      <c r="M2274" s="19"/>
      <c r="N2274" s="20"/>
      <c r="O2274" s="19"/>
      <c r="P2274" s="19"/>
      <c r="Q2274" s="19"/>
      <c r="R2274" s="19"/>
      <c r="S2274" s="19"/>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row>
    <row r="2275" spans="1:45" x14ac:dyDescent="0.3">
      <c r="A2275" s="410" t="s">
        <v>3889</v>
      </c>
      <c r="B2275" s="17"/>
      <c r="C2275" s="19"/>
      <c r="D2275" s="18"/>
      <c r="E2275" s="18"/>
      <c r="F2275" s="19"/>
      <c r="G2275" s="31"/>
      <c r="H2275" s="31"/>
      <c r="I2275" s="19"/>
      <c r="J2275" s="19"/>
      <c r="K2275" s="18"/>
      <c r="L2275" s="19"/>
      <c r="M2275" s="19"/>
      <c r="N2275" s="20"/>
      <c r="O2275" s="19"/>
      <c r="P2275" s="19"/>
      <c r="Q2275" s="19"/>
      <c r="R2275" s="19"/>
      <c r="S2275" s="19"/>
      <c r="T2275" s="19"/>
      <c r="U2275" s="19"/>
      <c r="V2275" s="19"/>
      <c r="W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row>
    <row r="2276" spans="1:45" x14ac:dyDescent="0.3">
      <c r="A2276" s="410" t="s">
        <v>3890</v>
      </c>
      <c r="B2276" s="17"/>
      <c r="C2276" s="19"/>
      <c r="D2276" s="18"/>
      <c r="E2276" s="18"/>
      <c r="F2276" s="19"/>
      <c r="G2276" s="31"/>
      <c r="H2276" s="31"/>
      <c r="I2276" s="19"/>
      <c r="J2276" s="19"/>
      <c r="K2276" s="18"/>
      <c r="L2276" s="19"/>
      <c r="M2276" s="19"/>
      <c r="N2276" s="20"/>
      <c r="O2276" s="19"/>
      <c r="P2276" s="19"/>
      <c r="Q2276" s="19"/>
      <c r="R2276" s="19"/>
      <c r="S2276" s="19"/>
      <c r="T2276" s="19"/>
      <c r="U2276" s="19"/>
      <c r="V2276" s="19"/>
      <c r="W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row>
    <row r="2277" spans="1:45" x14ac:dyDescent="0.3">
      <c r="A2277" s="410" t="s">
        <v>3891</v>
      </c>
      <c r="B2277" s="17"/>
      <c r="C2277" s="19"/>
      <c r="D2277" s="18"/>
      <c r="E2277" s="18"/>
      <c r="F2277" s="19"/>
      <c r="G2277" s="31"/>
      <c r="H2277" s="31"/>
      <c r="I2277" s="19"/>
      <c r="J2277" s="19"/>
      <c r="K2277" s="18"/>
      <c r="L2277" s="19"/>
      <c r="M2277" s="19"/>
      <c r="N2277" s="20"/>
      <c r="O2277" s="19"/>
      <c r="P2277" s="19"/>
      <c r="Q2277" s="19"/>
      <c r="R2277" s="19"/>
      <c r="S2277" s="19"/>
      <c r="T2277" s="19"/>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row>
    <row r="2278" spans="1:45" x14ac:dyDescent="0.3">
      <c r="A2278" s="410" t="s">
        <v>3892</v>
      </c>
      <c r="B2278" s="17"/>
      <c r="C2278" s="19"/>
      <c r="D2278" s="18"/>
      <c r="E2278" s="18"/>
      <c r="F2278" s="19"/>
      <c r="G2278" s="31"/>
      <c r="H2278" s="31"/>
      <c r="I2278" s="19"/>
      <c r="J2278" s="19"/>
      <c r="K2278" s="18"/>
      <c r="L2278" s="19"/>
      <c r="M2278" s="19"/>
      <c r="N2278" s="20"/>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row>
    <row r="2279" spans="1:45" x14ac:dyDescent="0.3">
      <c r="A2279" s="410"/>
      <c r="B2279" s="17"/>
      <c r="C2279" s="19"/>
      <c r="D2279" s="18"/>
      <c r="E2279" s="17"/>
      <c r="F2279" s="19"/>
      <c r="G2279" s="31"/>
      <c r="H2279" s="31"/>
      <c r="I2279" s="19"/>
      <c r="J2279" s="19"/>
      <c r="K2279" s="18"/>
      <c r="L2279" s="19"/>
      <c r="M2279" s="19"/>
      <c r="N2279" s="20"/>
      <c r="O2279" s="19"/>
      <c r="P2279" s="19"/>
      <c r="Q2279" s="19"/>
      <c r="R2279" s="19"/>
      <c r="S2279" s="19"/>
      <c r="T2279" s="19"/>
      <c r="U2279" s="19"/>
      <c r="V2279" s="19"/>
      <c r="W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row>
    <row r="2280" spans="1:45" x14ac:dyDescent="0.3">
      <c r="A2280" s="410" t="s">
        <v>3893</v>
      </c>
      <c r="B2280" s="17" t="s">
        <v>3894</v>
      </c>
      <c r="C2280" s="19" t="s">
        <v>1371</v>
      </c>
      <c r="D2280" s="19">
        <v>23148299</v>
      </c>
      <c r="E2280" s="17"/>
      <c r="F2280" s="19"/>
      <c r="G2280" s="31">
        <v>45387</v>
      </c>
      <c r="H2280" s="31">
        <v>45752</v>
      </c>
      <c r="I2280" s="19" t="s">
        <v>1372</v>
      </c>
      <c r="J2280" s="19" t="s">
        <v>1373</v>
      </c>
      <c r="K2280" s="18" t="s">
        <v>1372</v>
      </c>
      <c r="L2280" s="19" t="s">
        <v>1373</v>
      </c>
      <c r="M2280" s="19" t="s">
        <v>1461</v>
      </c>
      <c r="N2280" s="20" t="s">
        <v>3895</v>
      </c>
      <c r="O2280" s="19" t="s">
        <v>1372</v>
      </c>
      <c r="P2280" s="19"/>
      <c r="Q2280" s="19" t="s">
        <v>1372</v>
      </c>
      <c r="R2280" s="19" t="s">
        <v>1372</v>
      </c>
      <c r="S2280" s="19" t="s">
        <v>1372</v>
      </c>
      <c r="T2280" s="19" t="s">
        <v>1461</v>
      </c>
      <c r="U2280" s="19" t="s">
        <v>1461</v>
      </c>
      <c r="V2280" s="19" t="s">
        <v>1372</v>
      </c>
      <c r="W2280" s="19"/>
      <c r="X2280" s="19"/>
      <c r="Y2280" s="19"/>
      <c r="Z2280" s="19"/>
      <c r="AA2280" s="19"/>
      <c r="AB2280" s="19"/>
      <c r="AC2280" s="19"/>
      <c r="AD2280" s="19"/>
      <c r="AE2280" s="19"/>
      <c r="AF2280" s="19"/>
      <c r="AG2280" s="19"/>
      <c r="AH2280" s="19"/>
      <c r="AI2280" s="19"/>
      <c r="AJ2280" s="19"/>
      <c r="AK2280" s="19"/>
      <c r="AL2280" s="19"/>
      <c r="AM2280" s="19" t="s">
        <v>1372</v>
      </c>
      <c r="AN2280" s="19"/>
      <c r="AO2280" s="19"/>
      <c r="AP2280" s="19"/>
      <c r="AQ2280" s="19"/>
      <c r="AR2280" s="19"/>
      <c r="AS2280" s="19"/>
    </row>
    <row r="2281" spans="1:45" x14ac:dyDescent="0.3">
      <c r="A2281" s="410" t="s">
        <v>3896</v>
      </c>
      <c r="B2281" s="17" t="s">
        <v>3897</v>
      </c>
      <c r="C2281" s="19" t="s">
        <v>1381</v>
      </c>
      <c r="D2281" s="19">
        <v>23148988</v>
      </c>
      <c r="E2281" s="17"/>
      <c r="F2281" s="19"/>
      <c r="G2281" s="31">
        <v>45394</v>
      </c>
      <c r="H2281" s="31">
        <v>45759</v>
      </c>
      <c r="I2281" s="19" t="s">
        <v>1372</v>
      </c>
      <c r="J2281" s="19" t="s">
        <v>1373</v>
      </c>
      <c r="K2281" s="18" t="s">
        <v>1372</v>
      </c>
      <c r="L2281" s="19" t="s">
        <v>1373</v>
      </c>
      <c r="M2281" s="19" t="s">
        <v>1372</v>
      </c>
      <c r="N2281" s="20" t="s">
        <v>3895</v>
      </c>
      <c r="O2281" s="19" t="s">
        <v>2582</v>
      </c>
      <c r="P2281" s="19"/>
      <c r="Q2281" s="19" t="s">
        <v>1372</v>
      </c>
      <c r="R2281" s="19" t="s">
        <v>1372</v>
      </c>
      <c r="S2281" s="19" t="s">
        <v>1372</v>
      </c>
      <c r="T2281" s="19" t="s">
        <v>1461</v>
      </c>
      <c r="U2281" s="19" t="s">
        <v>1461</v>
      </c>
      <c r="V2281" s="19"/>
      <c r="W2281" s="19" t="s">
        <v>1382</v>
      </c>
      <c r="X2281" s="19"/>
      <c r="Y2281" s="19"/>
      <c r="Z2281" s="19" t="s">
        <v>1372</v>
      </c>
      <c r="AA2281" s="19"/>
      <c r="AB2281" s="19"/>
      <c r="AC2281" s="19"/>
      <c r="AD2281" s="19"/>
      <c r="AE2281" s="19"/>
      <c r="AF2281" s="19"/>
      <c r="AG2281" s="19" t="s">
        <v>1372</v>
      </c>
      <c r="AH2281" s="19"/>
      <c r="AI2281" s="19"/>
      <c r="AJ2281" s="19"/>
      <c r="AK2281" s="19"/>
      <c r="AL2281" s="19"/>
      <c r="AM2281" s="19"/>
      <c r="AN2281" s="19"/>
      <c r="AO2281" s="19"/>
      <c r="AP2281" s="19"/>
      <c r="AQ2281" s="19"/>
      <c r="AR2281" s="19"/>
      <c r="AS2281" s="19"/>
    </row>
    <row r="2282" spans="1:45" x14ac:dyDescent="0.3">
      <c r="A2282" s="410" t="s">
        <v>3898</v>
      </c>
      <c r="B2282" s="17" t="s">
        <v>3899</v>
      </c>
      <c r="C2282" s="19" t="s">
        <v>1371</v>
      </c>
      <c r="D2282" s="18" t="s">
        <v>210</v>
      </c>
      <c r="E2282" s="17"/>
      <c r="F2282" s="19"/>
      <c r="G2282" s="31">
        <v>45391</v>
      </c>
      <c r="H2282" s="31">
        <v>45756</v>
      </c>
      <c r="I2282" s="19" t="s">
        <v>1372</v>
      </c>
      <c r="J2282" s="19" t="s">
        <v>1373</v>
      </c>
      <c r="K2282" s="18" t="s">
        <v>1372</v>
      </c>
      <c r="L2282" s="19" t="s">
        <v>1373</v>
      </c>
      <c r="M2282" s="19" t="s">
        <v>1372</v>
      </c>
      <c r="N2282" s="20" t="s">
        <v>3895</v>
      </c>
      <c r="O2282" s="19" t="s">
        <v>2582</v>
      </c>
      <c r="P2282" s="19"/>
      <c r="Q2282" s="19" t="s">
        <v>1372</v>
      </c>
      <c r="R2282" s="19" t="s">
        <v>1372</v>
      </c>
      <c r="S2282" s="19" t="s">
        <v>1372</v>
      </c>
      <c r="T2282" s="19" t="s">
        <v>1461</v>
      </c>
      <c r="U2282" s="19" t="s">
        <v>1461</v>
      </c>
      <c r="V2282" s="19" t="s">
        <v>1372</v>
      </c>
      <c r="W2282" s="19"/>
      <c r="X2282" s="19"/>
      <c r="Y2282" s="19"/>
      <c r="Z2282" s="19" t="s">
        <v>1372</v>
      </c>
      <c r="AA2282" s="19"/>
      <c r="AB2282" s="19"/>
      <c r="AC2282" s="19"/>
      <c r="AD2282" s="19"/>
      <c r="AE2282" s="19"/>
      <c r="AF2282" s="19"/>
      <c r="AG2282" s="19"/>
      <c r="AH2282" s="19"/>
      <c r="AI2282" s="19"/>
      <c r="AJ2282" s="19"/>
      <c r="AK2282" s="19"/>
      <c r="AL2282" s="19"/>
      <c r="AM2282" s="19" t="s">
        <v>1372</v>
      </c>
      <c r="AN2282" s="19"/>
      <c r="AO2282" s="19"/>
      <c r="AP2282" s="19"/>
      <c r="AQ2282" s="19"/>
      <c r="AR2282" s="19"/>
      <c r="AS2282" s="19"/>
    </row>
    <row r="2283" spans="1:45" x14ac:dyDescent="0.3">
      <c r="A2283" s="410" t="s">
        <v>3900</v>
      </c>
      <c r="B2283" s="17"/>
      <c r="C2283" s="19"/>
      <c r="D2283" s="18"/>
      <c r="E2283" s="17"/>
      <c r="F2283" s="19"/>
      <c r="G2283" s="31"/>
      <c r="H2283" s="31"/>
      <c r="I2283" s="19"/>
      <c r="J2283" s="19"/>
      <c r="K2283" s="18"/>
      <c r="L2283" s="19"/>
      <c r="M2283" s="19"/>
      <c r="N2283" s="20"/>
      <c r="O2283" s="19"/>
      <c r="P2283" s="19"/>
      <c r="Q2283" s="19"/>
      <c r="R2283" s="19"/>
      <c r="S2283" s="19"/>
      <c r="T2283" s="19"/>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row>
    <row r="2284" spans="1:45" x14ac:dyDescent="0.3">
      <c r="A2284" s="410" t="s">
        <v>3901</v>
      </c>
      <c r="B2284" s="17"/>
      <c r="C2284" s="19"/>
      <c r="D2284" s="18"/>
      <c r="E2284" s="17"/>
      <c r="F2284" s="19"/>
      <c r="G2284" s="31"/>
      <c r="H2284" s="31"/>
      <c r="I2284" s="19"/>
      <c r="J2284" s="19"/>
      <c r="K2284" s="18"/>
      <c r="L2284" s="19"/>
      <c r="M2284" s="19"/>
      <c r="N2284" s="20"/>
      <c r="O2284" s="19"/>
      <c r="P2284" s="19"/>
      <c r="Q2284" s="19"/>
      <c r="R2284" s="19"/>
      <c r="S2284" s="19"/>
      <c r="T2284" s="19"/>
      <c r="U2284" s="19"/>
      <c r="V2284" s="19"/>
      <c r="W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row>
    <row r="2285" spans="1:45" x14ac:dyDescent="0.3">
      <c r="A2285" s="410" t="s">
        <v>3902</v>
      </c>
      <c r="B2285" s="17"/>
      <c r="C2285" s="19"/>
      <c r="D2285" s="18"/>
      <c r="E2285" s="18"/>
      <c r="F2285" s="19"/>
      <c r="G2285" s="31"/>
      <c r="H2285" s="31"/>
      <c r="I2285" s="19"/>
      <c r="J2285" s="19"/>
      <c r="K2285" s="18"/>
      <c r="L2285" s="19"/>
      <c r="M2285" s="19"/>
      <c r="N2285" s="20"/>
      <c r="O2285" s="19"/>
      <c r="P2285" s="19"/>
      <c r="Q2285" s="19"/>
      <c r="R2285" s="19"/>
      <c r="S2285" s="19"/>
      <c r="T2285" s="19"/>
      <c r="U2285" s="19"/>
      <c r="V2285" s="19"/>
      <c r="W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row>
    <row r="2286" spans="1:45" x14ac:dyDescent="0.3">
      <c r="A2286" s="410" t="s">
        <v>3903</v>
      </c>
      <c r="B2286" s="17"/>
      <c r="C2286" s="19"/>
      <c r="D2286" s="18"/>
      <c r="E2286" s="18"/>
      <c r="F2286" s="19"/>
      <c r="G2286" s="31"/>
      <c r="H2286" s="31"/>
      <c r="I2286" s="19"/>
      <c r="J2286" s="19"/>
      <c r="K2286" s="18"/>
      <c r="L2286" s="19"/>
      <c r="M2286" s="19"/>
      <c r="N2286" s="20"/>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row>
    <row r="2287" spans="1:45" x14ac:dyDescent="0.3">
      <c r="A2287" s="410" t="s">
        <v>3904</v>
      </c>
      <c r="B2287" s="17"/>
      <c r="C2287" s="19"/>
      <c r="D2287" s="18"/>
      <c r="E2287" s="18"/>
      <c r="F2287" s="19"/>
      <c r="G2287" s="31"/>
      <c r="H2287" s="31"/>
      <c r="I2287" s="19"/>
      <c r="J2287" s="19"/>
      <c r="K2287" s="18"/>
      <c r="L2287" s="19"/>
      <c r="M2287" s="19"/>
      <c r="N2287" s="20"/>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row>
    <row r="2288" spans="1:45" x14ac:dyDescent="0.3">
      <c r="A2288" s="410" t="s">
        <v>3905</v>
      </c>
      <c r="B2288" s="17"/>
      <c r="C2288" s="19"/>
      <c r="D2288" s="18"/>
      <c r="E2288" s="18"/>
      <c r="F2288" s="19"/>
      <c r="G2288" s="31"/>
      <c r="H2288" s="31"/>
      <c r="I2288" s="19"/>
      <c r="J2288" s="19"/>
      <c r="K2288" s="18"/>
      <c r="L2288" s="19"/>
      <c r="M2288" s="19"/>
      <c r="N2288" s="20"/>
      <c r="O2288" s="19"/>
      <c r="P2288" s="19"/>
      <c r="Q2288" s="19"/>
      <c r="R2288" s="19"/>
      <c r="S2288" s="19"/>
      <c r="T2288" s="19"/>
      <c r="U2288" s="19"/>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row>
    <row r="2289" spans="1:45" x14ac:dyDescent="0.3">
      <c r="A2289" s="410" t="s">
        <v>3906</v>
      </c>
      <c r="B2289" s="17"/>
      <c r="C2289" s="19"/>
      <c r="D2289" s="18"/>
      <c r="E2289" s="18"/>
      <c r="F2289" s="19"/>
      <c r="G2289" s="31"/>
      <c r="H2289" s="31"/>
      <c r="I2289" s="19"/>
      <c r="J2289" s="19"/>
      <c r="K2289" s="18"/>
      <c r="L2289" s="19"/>
      <c r="M2289" s="19"/>
      <c r="N2289" s="20"/>
      <c r="O2289" s="19"/>
      <c r="P2289" s="19"/>
      <c r="Q2289" s="19"/>
      <c r="R2289" s="19"/>
      <c r="S2289" s="19"/>
      <c r="T2289" s="19"/>
      <c r="U2289" s="19"/>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row>
    <row r="2290" spans="1:45" x14ac:dyDescent="0.3">
      <c r="A2290" s="410" t="s">
        <v>3907</v>
      </c>
      <c r="B2290" s="17"/>
      <c r="C2290" s="19"/>
      <c r="D2290" s="18"/>
      <c r="E2290" s="18"/>
      <c r="F2290" s="19"/>
      <c r="G2290" s="31"/>
      <c r="H2290" s="31"/>
      <c r="I2290" s="19"/>
      <c r="J2290" s="19"/>
      <c r="K2290" s="18"/>
      <c r="L2290" s="19"/>
      <c r="M2290" s="19"/>
      <c r="N2290" s="20"/>
      <c r="O2290" s="19"/>
      <c r="P2290" s="19"/>
      <c r="Q2290" s="19"/>
      <c r="R2290" s="19"/>
      <c r="S2290" s="19"/>
      <c r="T2290" s="19"/>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row>
    <row r="2291" spans="1:45" x14ac:dyDescent="0.3">
      <c r="A2291" s="410" t="s">
        <v>3908</v>
      </c>
      <c r="B2291" s="17"/>
      <c r="C2291" s="19"/>
      <c r="D2291" s="18"/>
      <c r="E2291" s="18"/>
      <c r="F2291" s="19"/>
      <c r="G2291" s="31"/>
      <c r="H2291" s="31"/>
      <c r="I2291" s="19"/>
      <c r="J2291" s="19"/>
      <c r="K2291" s="18"/>
      <c r="L2291" s="19"/>
      <c r="M2291" s="19"/>
      <c r="N2291" s="20"/>
      <c r="O2291" s="19"/>
      <c r="P2291" s="19"/>
      <c r="Q2291" s="19"/>
      <c r="R2291" s="19"/>
      <c r="S2291" s="19"/>
      <c r="T2291" s="19"/>
      <c r="U2291" s="19"/>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row>
    <row r="2292" spans="1:45" x14ac:dyDescent="0.3">
      <c r="A2292" s="410" t="s">
        <v>3909</v>
      </c>
      <c r="B2292" s="17"/>
      <c r="C2292" s="19"/>
      <c r="D2292" s="18"/>
      <c r="E2292" s="18"/>
      <c r="F2292" s="19"/>
      <c r="G2292" s="31"/>
      <c r="H2292" s="31"/>
      <c r="I2292" s="19"/>
      <c r="J2292" s="19"/>
      <c r="K2292" s="18"/>
      <c r="L2292" s="19"/>
      <c r="M2292" s="19"/>
      <c r="N2292" s="20"/>
      <c r="O2292" s="19"/>
      <c r="P2292" s="19"/>
      <c r="Q2292" s="19"/>
      <c r="R2292" s="19"/>
      <c r="S2292" s="19"/>
      <c r="T2292" s="19"/>
      <c r="U2292" s="19"/>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row>
    <row r="2293" spans="1:45" x14ac:dyDescent="0.3">
      <c r="A2293" s="410" t="s">
        <v>3910</v>
      </c>
      <c r="B2293" s="17"/>
      <c r="C2293" s="19"/>
      <c r="D2293" s="18"/>
      <c r="E2293" s="18"/>
      <c r="F2293" s="19"/>
      <c r="G2293" s="31"/>
      <c r="H2293" s="31"/>
      <c r="I2293" s="19"/>
      <c r="J2293" s="19"/>
      <c r="K2293" s="18"/>
      <c r="L2293" s="19"/>
      <c r="M2293" s="19"/>
      <c r="N2293" s="20"/>
      <c r="O2293" s="19"/>
      <c r="P2293" s="19"/>
      <c r="Q2293" s="19"/>
      <c r="R2293" s="19"/>
      <c r="S2293" s="19"/>
      <c r="T2293" s="19"/>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row>
    <row r="2294" spans="1:45" x14ac:dyDescent="0.3">
      <c r="A2294" s="410" t="s">
        <v>3911</v>
      </c>
      <c r="B2294" s="17"/>
      <c r="C2294" s="19"/>
      <c r="D2294" s="18"/>
      <c r="E2294" s="18"/>
      <c r="F2294" s="19"/>
      <c r="G2294" s="31"/>
      <c r="H2294" s="31"/>
      <c r="I2294" s="19"/>
      <c r="J2294" s="19"/>
      <c r="K2294" s="18"/>
      <c r="L2294" s="19"/>
      <c r="M2294" s="19"/>
      <c r="N2294" s="20"/>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row>
    <row r="2295" spans="1:45" x14ac:dyDescent="0.3">
      <c r="A2295" s="410" t="s">
        <v>3912</v>
      </c>
      <c r="B2295" s="17"/>
      <c r="C2295" s="19"/>
      <c r="D2295" s="18"/>
      <c r="E2295" s="18"/>
      <c r="F2295" s="19"/>
      <c r="G2295" s="31"/>
      <c r="H2295" s="31"/>
      <c r="I2295" s="19"/>
      <c r="J2295" s="19"/>
      <c r="K2295" s="18"/>
      <c r="L2295" s="19"/>
      <c r="M2295" s="19"/>
      <c r="N2295" s="20"/>
      <c r="O2295" s="19"/>
      <c r="P2295" s="19"/>
      <c r="Q2295" s="19"/>
      <c r="R2295" s="19"/>
      <c r="S2295" s="19"/>
      <c r="T2295" s="19"/>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row>
    <row r="2296" spans="1:45" x14ac:dyDescent="0.3">
      <c r="A2296" s="410" t="s">
        <v>3913</v>
      </c>
      <c r="B2296" s="17"/>
      <c r="C2296" s="19"/>
      <c r="D2296" s="18"/>
      <c r="E2296" s="18"/>
      <c r="F2296" s="19"/>
      <c r="G2296" s="31"/>
      <c r="H2296" s="31"/>
      <c r="I2296" s="19"/>
      <c r="J2296" s="19"/>
      <c r="K2296" s="18"/>
      <c r="L2296" s="19"/>
      <c r="M2296" s="19"/>
      <c r="N2296" s="20"/>
      <c r="O2296" s="19"/>
      <c r="P2296" s="19"/>
      <c r="Q2296" s="19"/>
      <c r="R2296" s="19"/>
      <c r="S2296" s="19"/>
      <c r="T2296" s="19"/>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row>
    <row r="2297" spans="1:45" x14ac:dyDescent="0.3">
      <c r="A2297" s="410" t="s">
        <v>3914</v>
      </c>
      <c r="B2297" s="17"/>
      <c r="C2297" s="19"/>
      <c r="D2297" s="18"/>
      <c r="E2297" s="18"/>
      <c r="F2297" s="19"/>
      <c r="G2297" s="31"/>
      <c r="H2297" s="31"/>
      <c r="I2297" s="19"/>
      <c r="J2297" s="19"/>
      <c r="K2297" s="18"/>
      <c r="L2297" s="19"/>
      <c r="M2297" s="19"/>
      <c r="N2297" s="20"/>
      <c r="O2297" s="19"/>
      <c r="P2297" s="19"/>
      <c r="Q2297" s="19"/>
      <c r="R2297" s="19"/>
      <c r="S2297" s="19"/>
      <c r="T2297" s="19"/>
      <c r="U2297" s="19"/>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row>
    <row r="2298" spans="1:45" x14ac:dyDescent="0.3">
      <c r="A2298" s="410" t="s">
        <v>3915</v>
      </c>
      <c r="B2298" s="17"/>
      <c r="C2298" s="19"/>
      <c r="D2298" s="18"/>
      <c r="E2298" s="18"/>
      <c r="F2298" s="19"/>
      <c r="G2298" s="31"/>
      <c r="H2298" s="31"/>
      <c r="I2298" s="19"/>
      <c r="J2298" s="19"/>
      <c r="K2298" s="18"/>
      <c r="L2298" s="19"/>
      <c r="M2298" s="19"/>
      <c r="N2298" s="20"/>
      <c r="O2298" s="19"/>
      <c r="P2298" s="19"/>
      <c r="Q2298" s="19"/>
      <c r="R2298" s="19"/>
      <c r="S2298" s="19"/>
      <c r="T2298" s="19"/>
      <c r="U2298" s="19"/>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row>
    <row r="2299" spans="1:45" x14ac:dyDescent="0.3">
      <c r="A2299" s="410" t="s">
        <v>3916</v>
      </c>
      <c r="B2299" s="17"/>
      <c r="C2299" s="19"/>
      <c r="D2299" s="18"/>
      <c r="E2299" s="18"/>
      <c r="F2299" s="19"/>
      <c r="G2299" s="31"/>
      <c r="H2299" s="31"/>
      <c r="I2299" s="19"/>
      <c r="J2299" s="19"/>
      <c r="K2299" s="18"/>
      <c r="L2299" s="19"/>
      <c r="M2299" s="19"/>
      <c r="N2299" s="20"/>
      <c r="O2299" s="19"/>
      <c r="P2299" s="19"/>
      <c r="Q2299" s="19"/>
      <c r="R2299" s="19"/>
      <c r="S2299" s="19"/>
      <c r="T2299" s="19"/>
      <c r="U2299" s="19"/>
      <c r="V2299" s="19"/>
      <c r="W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row>
    <row r="2300" spans="1:45" x14ac:dyDescent="0.3">
      <c r="A2300" s="410" t="s">
        <v>3917</v>
      </c>
      <c r="B2300" s="17"/>
      <c r="C2300" s="19"/>
      <c r="D2300" s="18"/>
      <c r="E2300" s="18"/>
      <c r="F2300" s="19"/>
      <c r="G2300" s="31"/>
      <c r="H2300" s="31"/>
      <c r="I2300" s="19"/>
      <c r="J2300" s="19"/>
      <c r="K2300" s="18"/>
      <c r="L2300" s="19"/>
      <c r="M2300" s="19"/>
      <c r="N2300" s="20"/>
      <c r="O2300" s="19"/>
      <c r="P2300" s="19"/>
      <c r="Q2300" s="19"/>
      <c r="R2300" s="19"/>
      <c r="S2300" s="19"/>
      <c r="T2300" s="19"/>
      <c r="U2300" s="19"/>
      <c r="V2300" s="19"/>
      <c r="W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row>
    <row r="2301" spans="1:45" x14ac:dyDescent="0.3">
      <c r="A2301" s="410" t="s">
        <v>3918</v>
      </c>
      <c r="B2301" s="17"/>
      <c r="C2301" s="19"/>
      <c r="D2301" s="18"/>
      <c r="E2301" s="18"/>
      <c r="F2301" s="19"/>
      <c r="G2301" s="31"/>
      <c r="H2301" s="31"/>
      <c r="I2301" s="19"/>
      <c r="J2301" s="19"/>
      <c r="K2301" s="18"/>
      <c r="L2301" s="19"/>
      <c r="M2301" s="19"/>
      <c r="N2301" s="20"/>
      <c r="O2301" s="19"/>
      <c r="P2301" s="19"/>
      <c r="Q2301" s="19"/>
      <c r="R2301" s="19"/>
      <c r="S2301" s="19"/>
      <c r="T2301" s="19"/>
      <c r="U2301" s="19"/>
      <c r="V2301" s="19"/>
      <c r="W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row>
    <row r="2302" spans="1:45" x14ac:dyDescent="0.3">
      <c r="A2302" s="410" t="s">
        <v>3919</v>
      </c>
      <c r="B2302" s="17"/>
      <c r="C2302" s="19"/>
      <c r="D2302" s="18"/>
      <c r="E2302" s="18"/>
      <c r="F2302" s="19"/>
      <c r="G2302" s="31"/>
      <c r="H2302" s="31"/>
      <c r="I2302" s="19"/>
      <c r="J2302" s="19"/>
      <c r="K2302" s="18"/>
      <c r="L2302" s="19"/>
      <c r="M2302" s="19"/>
      <c r="N2302" s="20"/>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row>
    <row r="2303" spans="1:45" x14ac:dyDescent="0.3">
      <c r="A2303" s="410" t="s">
        <v>3920</v>
      </c>
      <c r="B2303" s="17"/>
      <c r="C2303" s="19"/>
      <c r="D2303" s="18"/>
      <c r="E2303" s="18"/>
      <c r="F2303" s="19"/>
      <c r="G2303" s="31"/>
      <c r="H2303" s="31"/>
      <c r="I2303" s="19"/>
      <c r="J2303" s="19"/>
      <c r="K2303" s="18"/>
      <c r="L2303" s="19"/>
      <c r="M2303" s="19"/>
      <c r="N2303" s="20"/>
      <c r="O2303" s="19"/>
      <c r="P2303" s="19"/>
      <c r="Q2303" s="19"/>
      <c r="R2303" s="19"/>
      <c r="S2303" s="19"/>
      <c r="T2303" s="19"/>
      <c r="U2303" s="19"/>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row>
    <row r="2304" spans="1:45" x14ac:dyDescent="0.3">
      <c r="A2304" s="410" t="s">
        <v>3921</v>
      </c>
      <c r="B2304" s="17"/>
      <c r="C2304" s="19"/>
      <c r="D2304" s="18"/>
      <c r="E2304" s="18"/>
      <c r="F2304" s="19"/>
      <c r="G2304" s="31"/>
      <c r="H2304" s="31"/>
      <c r="I2304" s="19"/>
      <c r="J2304" s="19"/>
      <c r="K2304" s="18"/>
      <c r="L2304" s="19"/>
      <c r="M2304" s="19"/>
      <c r="N2304" s="20"/>
      <c r="O2304" s="19"/>
      <c r="P2304" s="19"/>
      <c r="Q2304" s="19"/>
      <c r="R2304" s="19"/>
      <c r="S2304" s="19"/>
      <c r="T2304" s="19"/>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row>
    <row r="2305" spans="1:45" x14ac:dyDescent="0.3">
      <c r="A2305" s="410" t="s">
        <v>3922</v>
      </c>
      <c r="B2305" s="17"/>
      <c r="C2305" s="19"/>
      <c r="D2305" s="18"/>
      <c r="E2305" s="18"/>
      <c r="F2305" s="19"/>
      <c r="G2305" s="31"/>
      <c r="H2305" s="31"/>
      <c r="I2305" s="19"/>
      <c r="J2305" s="19"/>
      <c r="K2305" s="18"/>
      <c r="L2305" s="19"/>
      <c r="M2305" s="19"/>
      <c r="N2305" s="20"/>
      <c r="O2305" s="19"/>
      <c r="P2305" s="19"/>
      <c r="Q2305" s="19"/>
      <c r="R2305" s="19"/>
      <c r="S2305" s="19"/>
      <c r="T2305" s="19"/>
      <c r="U2305" s="19"/>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row>
    <row r="2306" spans="1:45" x14ac:dyDescent="0.3">
      <c r="A2306" s="410" t="s">
        <v>3923</v>
      </c>
      <c r="B2306" s="17"/>
      <c r="C2306" s="19"/>
      <c r="D2306" s="18"/>
      <c r="E2306" s="18"/>
      <c r="F2306" s="19"/>
      <c r="G2306" s="31"/>
      <c r="H2306" s="31"/>
      <c r="I2306" s="19"/>
      <c r="J2306" s="19"/>
      <c r="K2306" s="18"/>
      <c r="L2306" s="19"/>
      <c r="M2306" s="19"/>
      <c r="N2306" s="20"/>
      <c r="O2306" s="19"/>
      <c r="P2306" s="19"/>
      <c r="Q2306" s="19"/>
      <c r="R2306" s="19"/>
      <c r="S2306" s="19"/>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row>
    <row r="2307" spans="1:45" x14ac:dyDescent="0.3">
      <c r="A2307" s="410" t="s">
        <v>3924</v>
      </c>
      <c r="B2307" s="17"/>
      <c r="C2307" s="19"/>
      <c r="D2307" s="18"/>
      <c r="E2307" s="18"/>
      <c r="F2307" s="19"/>
      <c r="G2307" s="31"/>
      <c r="H2307" s="31"/>
      <c r="I2307" s="19"/>
      <c r="J2307" s="19"/>
      <c r="K2307" s="18"/>
      <c r="L2307" s="19"/>
      <c r="M2307" s="19"/>
      <c r="N2307" s="20"/>
      <c r="O2307" s="19"/>
      <c r="P2307" s="19"/>
      <c r="Q2307" s="19"/>
      <c r="R2307" s="19"/>
      <c r="S2307" s="19"/>
      <c r="T2307" s="19"/>
      <c r="U2307" s="19"/>
      <c r="V2307" s="19"/>
      <c r="W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row>
    <row r="2308" spans="1:45" x14ac:dyDescent="0.3">
      <c r="A2308" s="410" t="s">
        <v>3925</v>
      </c>
      <c r="B2308" s="17"/>
      <c r="C2308" s="19"/>
      <c r="D2308" s="18"/>
      <c r="E2308" s="18"/>
      <c r="F2308" s="19"/>
      <c r="G2308" s="31"/>
      <c r="H2308" s="31"/>
      <c r="I2308" s="19"/>
      <c r="J2308" s="19"/>
      <c r="K2308" s="18"/>
      <c r="L2308" s="19"/>
      <c r="M2308" s="19"/>
      <c r="N2308" s="20"/>
      <c r="O2308" s="19"/>
      <c r="P2308" s="19"/>
      <c r="Q2308" s="19"/>
      <c r="R2308" s="19"/>
      <c r="S2308" s="19"/>
      <c r="T2308" s="19"/>
      <c r="U2308" s="19"/>
      <c r="V2308" s="19"/>
      <c r="W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row>
    <row r="2309" spans="1:45" x14ac:dyDescent="0.3">
      <c r="A2309" s="410" t="s">
        <v>3926</v>
      </c>
      <c r="B2309" s="17"/>
      <c r="C2309" s="19"/>
      <c r="D2309" s="18"/>
      <c r="E2309" s="18"/>
      <c r="F2309" s="19"/>
      <c r="G2309" s="31"/>
      <c r="H2309" s="31"/>
      <c r="I2309" s="19"/>
      <c r="J2309" s="19"/>
      <c r="K2309" s="18"/>
      <c r="L2309" s="19"/>
      <c r="M2309" s="19"/>
      <c r="N2309" s="20"/>
      <c r="O2309" s="19"/>
      <c r="P2309" s="19"/>
      <c r="Q2309" s="19"/>
      <c r="R2309" s="19"/>
      <c r="S2309" s="19"/>
      <c r="T2309" s="19"/>
      <c r="U2309" s="19"/>
      <c r="V2309" s="19"/>
      <c r="W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row>
    <row r="2310" spans="1:45" x14ac:dyDescent="0.3">
      <c r="A2310" s="410" t="s">
        <v>3927</v>
      </c>
      <c r="B2310" s="17"/>
      <c r="C2310" s="19"/>
      <c r="D2310" s="18"/>
      <c r="E2310" s="18"/>
      <c r="F2310" s="19"/>
      <c r="G2310" s="31"/>
      <c r="H2310" s="31"/>
      <c r="I2310" s="19"/>
      <c r="J2310" s="19"/>
      <c r="K2310" s="18"/>
      <c r="L2310" s="19"/>
      <c r="M2310" s="19"/>
      <c r="N2310" s="20"/>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row>
    <row r="2311" spans="1:45" x14ac:dyDescent="0.3">
      <c r="A2311" s="410" t="s">
        <v>3928</v>
      </c>
      <c r="B2311" s="17"/>
      <c r="C2311" s="19"/>
      <c r="D2311" s="18"/>
      <c r="E2311" s="18"/>
      <c r="F2311" s="19"/>
      <c r="G2311" s="31"/>
      <c r="H2311" s="31"/>
      <c r="I2311" s="19"/>
      <c r="J2311" s="19"/>
      <c r="K2311" s="18"/>
      <c r="L2311" s="19"/>
      <c r="M2311" s="19"/>
      <c r="N2311" s="20"/>
      <c r="O2311" s="19"/>
      <c r="P2311" s="19"/>
      <c r="Q2311" s="19"/>
      <c r="R2311" s="19"/>
      <c r="S2311" s="19"/>
      <c r="T2311" s="19"/>
      <c r="U2311" s="19"/>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row>
    <row r="2312" spans="1:45" x14ac:dyDescent="0.3">
      <c r="A2312" s="410" t="s">
        <v>3929</v>
      </c>
      <c r="B2312" s="17"/>
      <c r="C2312" s="19"/>
      <c r="D2312" s="18"/>
      <c r="E2312" s="18"/>
      <c r="F2312" s="19"/>
      <c r="G2312" s="31"/>
      <c r="H2312" s="31"/>
      <c r="I2312" s="19"/>
      <c r="J2312" s="19"/>
      <c r="K2312" s="18"/>
      <c r="L2312" s="19"/>
      <c r="M2312" s="19"/>
      <c r="N2312" s="20"/>
      <c r="O2312" s="19"/>
      <c r="P2312" s="19"/>
      <c r="Q2312" s="19"/>
      <c r="R2312" s="19"/>
      <c r="S2312" s="19"/>
      <c r="T2312" s="19"/>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row>
    <row r="2313" spans="1:45" x14ac:dyDescent="0.3">
      <c r="A2313" s="410" t="s">
        <v>3930</v>
      </c>
      <c r="B2313" s="17"/>
      <c r="C2313" s="19"/>
      <c r="D2313" s="18"/>
      <c r="E2313" s="18"/>
      <c r="F2313" s="19"/>
      <c r="G2313" s="31"/>
      <c r="H2313" s="31"/>
      <c r="I2313" s="19"/>
      <c r="J2313" s="19"/>
      <c r="K2313" s="18"/>
      <c r="L2313" s="19"/>
      <c r="M2313" s="19"/>
      <c r="N2313" s="20"/>
      <c r="O2313" s="19"/>
      <c r="P2313" s="19"/>
      <c r="Q2313" s="19"/>
      <c r="R2313" s="19"/>
      <c r="S2313" s="19"/>
      <c r="T2313" s="19"/>
      <c r="U2313" s="19"/>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row>
    <row r="2314" spans="1:45" x14ac:dyDescent="0.3">
      <c r="A2314" s="410" t="s">
        <v>3931</v>
      </c>
      <c r="B2314" s="17"/>
      <c r="C2314" s="19"/>
      <c r="D2314" s="18"/>
      <c r="E2314" s="18"/>
      <c r="F2314" s="19"/>
      <c r="G2314" s="31"/>
      <c r="H2314" s="31"/>
      <c r="I2314" s="19"/>
      <c r="J2314" s="19"/>
      <c r="K2314" s="18"/>
      <c r="L2314" s="19"/>
      <c r="M2314" s="19"/>
      <c r="N2314" s="20"/>
      <c r="O2314" s="19"/>
      <c r="P2314" s="19"/>
      <c r="Q2314" s="19"/>
      <c r="R2314" s="19"/>
      <c r="S2314" s="19"/>
      <c r="T2314" s="19"/>
      <c r="U2314" s="19"/>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row>
    <row r="2315" spans="1:45" x14ac:dyDescent="0.3">
      <c r="A2315" s="410" t="s">
        <v>3932</v>
      </c>
      <c r="B2315" s="17"/>
      <c r="C2315" s="19"/>
      <c r="D2315" s="18"/>
      <c r="E2315" s="18"/>
      <c r="F2315" s="19"/>
      <c r="G2315" s="31"/>
      <c r="H2315" s="31"/>
      <c r="I2315" s="19"/>
      <c r="J2315" s="19"/>
      <c r="K2315" s="18"/>
      <c r="L2315" s="19"/>
      <c r="M2315" s="19"/>
      <c r="N2315" s="20"/>
      <c r="O2315" s="19"/>
      <c r="P2315" s="19"/>
      <c r="Q2315" s="19"/>
      <c r="R2315" s="19"/>
      <c r="S2315" s="19"/>
      <c r="T2315" s="19"/>
      <c r="U2315" s="19"/>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row>
    <row r="2316" spans="1:45" x14ac:dyDescent="0.3">
      <c r="A2316" s="410" t="s">
        <v>3933</v>
      </c>
      <c r="B2316" s="17"/>
      <c r="C2316" s="19"/>
      <c r="D2316" s="18"/>
      <c r="E2316" s="18"/>
      <c r="F2316" s="19"/>
      <c r="G2316" s="31"/>
      <c r="H2316" s="31"/>
      <c r="I2316" s="19"/>
      <c r="J2316" s="19"/>
      <c r="K2316" s="18"/>
      <c r="L2316" s="19"/>
      <c r="M2316" s="19"/>
      <c r="N2316" s="20"/>
      <c r="O2316" s="19"/>
      <c r="P2316" s="19"/>
      <c r="Q2316" s="19"/>
      <c r="R2316" s="19"/>
      <c r="S2316" s="19"/>
      <c r="T2316" s="19"/>
      <c r="U2316" s="19"/>
      <c r="V2316" s="19"/>
      <c r="W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row>
    <row r="2317" spans="1:45" x14ac:dyDescent="0.3">
      <c r="A2317" s="410" t="s">
        <v>3934</v>
      </c>
      <c r="B2317" s="17"/>
      <c r="C2317" s="19"/>
      <c r="D2317" s="18"/>
      <c r="E2317" s="18"/>
      <c r="F2317" s="19"/>
      <c r="G2317" s="31"/>
      <c r="H2317" s="31"/>
      <c r="I2317" s="19"/>
      <c r="J2317" s="19"/>
      <c r="K2317" s="18"/>
      <c r="L2317" s="19"/>
      <c r="M2317" s="19"/>
      <c r="N2317" s="20"/>
      <c r="O2317" s="19"/>
      <c r="P2317" s="19"/>
      <c r="Q2317" s="19"/>
      <c r="R2317" s="19"/>
      <c r="S2317" s="19"/>
      <c r="T2317" s="19"/>
      <c r="U2317" s="19"/>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row>
    <row r="2318" spans="1:45" x14ac:dyDescent="0.3">
      <c r="A2318" s="410" t="s">
        <v>3935</v>
      </c>
      <c r="B2318" s="17"/>
      <c r="C2318" s="19"/>
      <c r="D2318" s="18"/>
      <c r="E2318" s="18"/>
      <c r="F2318" s="19"/>
      <c r="G2318" s="31"/>
      <c r="H2318" s="31"/>
      <c r="I2318" s="19"/>
      <c r="J2318" s="19"/>
      <c r="K2318" s="18"/>
      <c r="L2318" s="19"/>
      <c r="M2318" s="19"/>
      <c r="N2318" s="20"/>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row>
    <row r="2319" spans="1:45" x14ac:dyDescent="0.3">
      <c r="A2319" s="410" t="s">
        <v>3936</v>
      </c>
      <c r="B2319" s="17"/>
      <c r="C2319" s="19"/>
      <c r="D2319" s="18"/>
      <c r="E2319" s="18"/>
      <c r="F2319" s="19"/>
      <c r="G2319" s="31"/>
      <c r="H2319" s="31"/>
      <c r="I2319" s="19"/>
      <c r="J2319" s="19"/>
      <c r="K2319" s="18"/>
      <c r="L2319" s="19"/>
      <c r="M2319" s="19"/>
      <c r="N2319" s="20"/>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row>
    <row r="2320" spans="1:45" x14ac:dyDescent="0.3">
      <c r="A2320" s="410" t="s">
        <v>3937</v>
      </c>
      <c r="B2320" s="17"/>
      <c r="C2320" s="19"/>
      <c r="D2320" s="18"/>
      <c r="E2320" s="18"/>
      <c r="F2320" s="19"/>
      <c r="G2320" s="31"/>
      <c r="H2320" s="31"/>
      <c r="I2320" s="19"/>
      <c r="J2320" s="19"/>
      <c r="K2320" s="18"/>
      <c r="L2320" s="19"/>
      <c r="M2320" s="19"/>
      <c r="N2320" s="20"/>
      <c r="O2320" s="19"/>
      <c r="P2320" s="19"/>
      <c r="Q2320" s="19"/>
      <c r="R2320" s="19"/>
      <c r="S2320" s="19"/>
      <c r="T2320" s="19"/>
      <c r="U2320" s="19"/>
      <c r="V2320" s="19"/>
      <c r="W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row>
    <row r="2321" spans="1:45" x14ac:dyDescent="0.3">
      <c r="A2321" s="410" t="s">
        <v>3938</v>
      </c>
      <c r="B2321" s="17"/>
      <c r="C2321" s="19"/>
      <c r="D2321" s="18"/>
      <c r="E2321" s="18"/>
      <c r="F2321" s="19"/>
      <c r="G2321" s="31"/>
      <c r="H2321" s="31"/>
      <c r="I2321" s="19"/>
      <c r="J2321" s="19"/>
      <c r="K2321" s="18"/>
      <c r="L2321" s="19"/>
      <c r="M2321" s="19"/>
      <c r="N2321" s="20"/>
      <c r="O2321" s="19"/>
      <c r="P2321" s="19"/>
      <c r="Q2321" s="19"/>
      <c r="R2321" s="19"/>
      <c r="S2321" s="19"/>
      <c r="T2321" s="19"/>
      <c r="U2321" s="19"/>
      <c r="V2321" s="19"/>
      <c r="W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row>
    <row r="2322" spans="1:45" x14ac:dyDescent="0.3">
      <c r="A2322" s="410" t="s">
        <v>3939</v>
      </c>
      <c r="B2322" s="17"/>
      <c r="C2322" s="19"/>
      <c r="D2322" s="18"/>
      <c r="E2322" s="18"/>
      <c r="F2322" s="19"/>
      <c r="G2322" s="31"/>
      <c r="H2322" s="31"/>
      <c r="I2322" s="19"/>
      <c r="J2322" s="19"/>
      <c r="K2322" s="18"/>
      <c r="L2322" s="19"/>
      <c r="M2322" s="19"/>
      <c r="N2322" s="20"/>
      <c r="O2322" s="19"/>
      <c r="P2322" s="19"/>
      <c r="Q2322" s="19"/>
      <c r="R2322" s="19"/>
      <c r="S2322" s="19"/>
      <c r="T2322" s="19"/>
      <c r="U2322" s="19"/>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row>
    <row r="2323" spans="1:45" x14ac:dyDescent="0.3">
      <c r="A2323" s="410" t="s">
        <v>3940</v>
      </c>
      <c r="B2323" s="17"/>
      <c r="C2323" s="19"/>
      <c r="D2323" s="18"/>
      <c r="E2323" s="18"/>
      <c r="F2323" s="19"/>
      <c r="G2323" s="31"/>
      <c r="H2323" s="31"/>
      <c r="I2323" s="19"/>
      <c r="J2323" s="19"/>
      <c r="K2323" s="18"/>
      <c r="L2323" s="19"/>
      <c r="M2323" s="19"/>
      <c r="N2323" s="20"/>
      <c r="O2323" s="19"/>
      <c r="P2323" s="19"/>
      <c r="Q2323" s="19"/>
      <c r="R2323" s="19"/>
      <c r="S2323" s="19"/>
      <c r="T2323" s="19"/>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row>
    <row r="2324" spans="1:45" x14ac:dyDescent="0.3">
      <c r="A2324" s="410" t="s">
        <v>3941</v>
      </c>
      <c r="B2324" s="17"/>
      <c r="C2324" s="19"/>
      <c r="D2324" s="18"/>
      <c r="E2324" s="18"/>
      <c r="F2324" s="19"/>
      <c r="G2324" s="31"/>
      <c r="H2324" s="31"/>
      <c r="I2324" s="19"/>
      <c r="J2324" s="19"/>
      <c r="K2324" s="18"/>
      <c r="L2324" s="19"/>
      <c r="M2324" s="19"/>
      <c r="N2324" s="20"/>
      <c r="O2324" s="19"/>
      <c r="P2324" s="19"/>
      <c r="Q2324" s="19"/>
      <c r="R2324" s="19"/>
      <c r="S2324" s="19"/>
      <c r="T2324" s="19"/>
      <c r="U2324" s="19"/>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row>
    <row r="2325" spans="1:45" x14ac:dyDescent="0.3">
      <c r="A2325" s="410" t="s">
        <v>3942</v>
      </c>
      <c r="B2325" s="17"/>
      <c r="C2325" s="19"/>
      <c r="D2325" s="18"/>
      <c r="E2325" s="18"/>
      <c r="F2325" s="19"/>
      <c r="G2325" s="31"/>
      <c r="H2325" s="31"/>
      <c r="I2325" s="19"/>
      <c r="J2325" s="19"/>
      <c r="K2325" s="18"/>
      <c r="L2325" s="19"/>
      <c r="M2325" s="19"/>
      <c r="N2325" s="20"/>
      <c r="O2325" s="19"/>
      <c r="P2325" s="19"/>
      <c r="Q2325" s="19"/>
      <c r="R2325" s="19"/>
      <c r="S2325" s="19"/>
      <c r="T2325" s="19"/>
      <c r="U2325" s="19"/>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row>
    <row r="2326" spans="1:45" x14ac:dyDescent="0.3">
      <c r="A2326" s="410" t="s">
        <v>3943</v>
      </c>
      <c r="B2326" s="17"/>
      <c r="C2326" s="19"/>
      <c r="D2326" s="18"/>
      <c r="E2326" s="18"/>
      <c r="F2326" s="19"/>
      <c r="G2326" s="31"/>
      <c r="H2326" s="31"/>
      <c r="I2326" s="19"/>
      <c r="J2326" s="19"/>
      <c r="K2326" s="18"/>
      <c r="L2326" s="19"/>
      <c r="M2326" s="19"/>
      <c r="N2326" s="20"/>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row>
    <row r="2327" spans="1:45" x14ac:dyDescent="0.3">
      <c r="A2327" s="410" t="s">
        <v>3944</v>
      </c>
      <c r="B2327" s="17"/>
      <c r="C2327" s="19"/>
      <c r="D2327" s="18"/>
      <c r="E2327" s="18"/>
      <c r="F2327" s="19"/>
      <c r="G2327" s="31"/>
      <c r="H2327" s="31"/>
      <c r="I2327" s="19"/>
      <c r="J2327" s="19"/>
      <c r="K2327" s="18"/>
      <c r="L2327" s="19"/>
      <c r="M2327" s="19"/>
      <c r="N2327" s="20"/>
      <c r="O2327" s="19"/>
      <c r="P2327" s="19"/>
      <c r="Q2327" s="19"/>
      <c r="R2327" s="19"/>
      <c r="S2327" s="19"/>
      <c r="T2327" s="19"/>
      <c r="U2327" s="19"/>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row>
    <row r="2328" spans="1:45" x14ac:dyDescent="0.3">
      <c r="A2328" s="410" t="s">
        <v>3945</v>
      </c>
      <c r="B2328" s="17"/>
      <c r="C2328" s="19"/>
      <c r="D2328" s="18"/>
      <c r="E2328" s="18"/>
      <c r="F2328" s="19"/>
      <c r="G2328" s="31"/>
      <c r="H2328" s="31"/>
      <c r="I2328" s="19"/>
      <c r="J2328" s="19"/>
      <c r="K2328" s="18"/>
      <c r="L2328" s="19"/>
      <c r="M2328" s="19"/>
      <c r="N2328" s="20"/>
      <c r="O2328" s="19"/>
      <c r="P2328" s="19"/>
      <c r="Q2328" s="19"/>
      <c r="R2328" s="19"/>
      <c r="S2328" s="19"/>
      <c r="T2328" s="19"/>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row>
    <row r="2329" spans="1:45" x14ac:dyDescent="0.3">
      <c r="A2329" s="410" t="s">
        <v>3946</v>
      </c>
      <c r="B2329" s="17"/>
      <c r="C2329" s="19"/>
      <c r="D2329" s="18"/>
      <c r="E2329" s="18"/>
      <c r="F2329" s="19"/>
      <c r="G2329" s="31"/>
      <c r="H2329" s="31"/>
      <c r="I2329" s="19"/>
      <c r="J2329" s="19"/>
      <c r="K2329" s="18"/>
      <c r="L2329" s="19"/>
      <c r="M2329" s="19"/>
      <c r="N2329" s="20"/>
      <c r="O2329" s="19"/>
      <c r="P2329" s="19"/>
      <c r="Q2329" s="19"/>
      <c r="R2329" s="19"/>
      <c r="S2329" s="19"/>
      <c r="T2329" s="19"/>
      <c r="U2329" s="19"/>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row>
    <row r="2330" spans="1:45" x14ac:dyDescent="0.3">
      <c r="A2330" s="410" t="s">
        <v>3947</v>
      </c>
      <c r="B2330" s="17"/>
      <c r="C2330" s="19"/>
      <c r="D2330" s="18"/>
      <c r="E2330" s="18"/>
      <c r="F2330" s="19"/>
      <c r="G2330" s="31"/>
      <c r="H2330" s="31"/>
      <c r="I2330" s="19"/>
      <c r="J2330" s="19"/>
      <c r="K2330" s="18"/>
      <c r="L2330" s="19"/>
      <c r="M2330" s="19"/>
      <c r="N2330" s="20"/>
      <c r="O2330" s="19"/>
      <c r="P2330" s="19"/>
      <c r="Q2330" s="19"/>
      <c r="R2330" s="19"/>
      <c r="S2330" s="19"/>
      <c r="T2330" s="19"/>
      <c r="U2330" s="19"/>
      <c r="V2330" s="19"/>
      <c r="W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row>
    <row r="2331" spans="1:45" x14ac:dyDescent="0.3">
      <c r="A2331" s="410" t="s">
        <v>3948</v>
      </c>
      <c r="B2331" s="17"/>
      <c r="C2331" s="19"/>
      <c r="D2331" s="18"/>
      <c r="E2331" s="18"/>
      <c r="F2331" s="19"/>
      <c r="G2331" s="31"/>
      <c r="H2331" s="31"/>
      <c r="I2331" s="19"/>
      <c r="J2331" s="19"/>
      <c r="K2331" s="18"/>
      <c r="L2331" s="19"/>
      <c r="M2331" s="19"/>
      <c r="N2331" s="20"/>
      <c r="O2331" s="19"/>
      <c r="P2331" s="19"/>
      <c r="Q2331" s="19"/>
      <c r="R2331" s="19"/>
      <c r="S2331" s="19"/>
      <c r="T2331" s="19"/>
      <c r="U2331" s="19"/>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row>
    <row r="2332" spans="1:45" x14ac:dyDescent="0.3">
      <c r="A2332" s="410" t="s">
        <v>3949</v>
      </c>
      <c r="B2332" s="17"/>
      <c r="C2332" s="19"/>
      <c r="D2332" s="18"/>
      <c r="E2332" s="18"/>
      <c r="F2332" s="19"/>
      <c r="G2332" s="31"/>
      <c r="H2332" s="31"/>
      <c r="I2332" s="19"/>
      <c r="J2332" s="19"/>
      <c r="K2332" s="18"/>
      <c r="L2332" s="19"/>
      <c r="M2332" s="19"/>
      <c r="N2332" s="20"/>
      <c r="O2332" s="19"/>
      <c r="P2332" s="19"/>
      <c r="Q2332" s="19"/>
      <c r="R2332" s="19"/>
      <c r="S2332" s="19"/>
      <c r="T2332" s="19"/>
      <c r="U2332" s="19"/>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row>
    <row r="2333" spans="1:45" x14ac:dyDescent="0.3">
      <c r="A2333" s="410" t="s">
        <v>3950</v>
      </c>
      <c r="B2333" s="17"/>
      <c r="C2333" s="19"/>
      <c r="D2333" s="18"/>
      <c r="E2333" s="18"/>
      <c r="F2333" s="19"/>
      <c r="G2333" s="31"/>
      <c r="H2333" s="31"/>
      <c r="I2333" s="19"/>
      <c r="J2333" s="19"/>
      <c r="K2333" s="18"/>
      <c r="L2333" s="19"/>
      <c r="M2333" s="19"/>
      <c r="N2333" s="20"/>
      <c r="O2333" s="19"/>
      <c r="P2333" s="19"/>
      <c r="Q2333" s="19"/>
      <c r="R2333" s="19"/>
      <c r="S2333" s="19"/>
      <c r="T2333" s="19"/>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row>
    <row r="2334" spans="1:45" x14ac:dyDescent="0.3">
      <c r="A2334" s="410" t="s">
        <v>3951</v>
      </c>
      <c r="B2334" s="17"/>
      <c r="C2334" s="19"/>
      <c r="D2334" s="18"/>
      <c r="E2334" s="18"/>
      <c r="F2334" s="19"/>
      <c r="G2334" s="31"/>
      <c r="H2334" s="31"/>
      <c r="I2334" s="19"/>
      <c r="J2334" s="19"/>
      <c r="K2334" s="18"/>
      <c r="L2334" s="19"/>
      <c r="M2334" s="19"/>
      <c r="N2334" s="20"/>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row>
    <row r="2335" spans="1:45" x14ac:dyDescent="0.3">
      <c r="A2335" s="410" t="s">
        <v>3952</v>
      </c>
      <c r="B2335" s="17"/>
      <c r="C2335" s="19"/>
      <c r="D2335" s="18"/>
      <c r="E2335" s="18"/>
      <c r="F2335" s="19"/>
      <c r="G2335" s="31"/>
      <c r="H2335" s="31"/>
      <c r="I2335" s="19"/>
      <c r="J2335" s="19"/>
      <c r="K2335" s="18"/>
      <c r="L2335" s="19"/>
      <c r="M2335" s="19"/>
      <c r="N2335" s="20"/>
      <c r="O2335" s="19"/>
      <c r="P2335" s="19"/>
      <c r="Q2335" s="19"/>
      <c r="R2335" s="19"/>
      <c r="S2335" s="19"/>
      <c r="T2335" s="19"/>
      <c r="U2335" s="19"/>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row>
    <row r="2336" spans="1:45" x14ac:dyDescent="0.3">
      <c r="A2336" s="410" t="s">
        <v>3953</v>
      </c>
      <c r="B2336" s="17"/>
      <c r="C2336" s="19"/>
      <c r="D2336" s="18"/>
      <c r="E2336" s="18"/>
      <c r="F2336" s="19"/>
      <c r="G2336" s="31"/>
      <c r="H2336" s="31"/>
      <c r="I2336" s="19"/>
      <c r="J2336" s="19"/>
      <c r="K2336" s="18"/>
      <c r="L2336" s="19"/>
      <c r="M2336" s="19"/>
      <c r="N2336" s="20"/>
      <c r="O2336" s="19"/>
      <c r="P2336" s="19"/>
      <c r="Q2336" s="19"/>
      <c r="R2336" s="19"/>
      <c r="S2336" s="19"/>
      <c r="T2336" s="19"/>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row>
    <row r="2337" spans="1:45" x14ac:dyDescent="0.3">
      <c r="A2337" s="410" t="s">
        <v>3954</v>
      </c>
      <c r="B2337" s="17"/>
      <c r="C2337" s="19"/>
      <c r="D2337" s="18"/>
      <c r="E2337" s="18"/>
      <c r="F2337" s="19"/>
      <c r="G2337" s="31"/>
      <c r="H2337" s="31"/>
      <c r="I2337" s="19"/>
      <c r="J2337" s="19"/>
      <c r="K2337" s="18"/>
      <c r="L2337" s="19"/>
      <c r="M2337" s="19"/>
      <c r="N2337" s="20"/>
      <c r="O2337" s="19"/>
      <c r="P2337" s="19"/>
      <c r="Q2337" s="19"/>
      <c r="R2337" s="19"/>
      <c r="S2337" s="19"/>
      <c r="T2337" s="19"/>
      <c r="U2337" s="19"/>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row>
    <row r="2338" spans="1:45" x14ac:dyDescent="0.3">
      <c r="A2338" s="410" t="s">
        <v>3955</v>
      </c>
      <c r="B2338" s="17"/>
      <c r="C2338" s="19"/>
      <c r="D2338" s="18"/>
      <c r="E2338" s="18"/>
      <c r="F2338" s="19"/>
      <c r="G2338" s="31"/>
      <c r="H2338" s="31"/>
      <c r="I2338" s="19"/>
      <c r="J2338" s="19"/>
      <c r="K2338" s="18"/>
      <c r="L2338" s="19"/>
      <c r="M2338" s="19"/>
      <c r="N2338" s="20"/>
      <c r="O2338" s="19"/>
      <c r="P2338" s="19"/>
      <c r="Q2338" s="19"/>
      <c r="R2338" s="19"/>
      <c r="S2338" s="19"/>
      <c r="T2338" s="19"/>
      <c r="U2338" s="19"/>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row>
    <row r="2339" spans="1:45" x14ac:dyDescent="0.3">
      <c r="A2339" s="410" t="s">
        <v>3956</v>
      </c>
      <c r="B2339" s="17"/>
      <c r="C2339" s="19"/>
      <c r="D2339" s="18"/>
      <c r="E2339" s="18"/>
      <c r="F2339" s="19"/>
      <c r="G2339" s="31"/>
      <c r="H2339" s="31"/>
      <c r="I2339" s="19"/>
      <c r="J2339" s="19"/>
      <c r="K2339" s="18"/>
      <c r="L2339" s="19"/>
      <c r="M2339" s="19"/>
      <c r="N2339" s="20"/>
      <c r="O2339" s="19"/>
      <c r="P2339" s="19"/>
      <c r="Q2339" s="19"/>
      <c r="R2339" s="19"/>
      <c r="S2339" s="19"/>
      <c r="T2339" s="19"/>
      <c r="U2339" s="19"/>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row>
    <row r="2340" spans="1:45" x14ac:dyDescent="0.3">
      <c r="A2340" s="410" t="s">
        <v>3957</v>
      </c>
      <c r="B2340" s="17"/>
      <c r="C2340" s="19"/>
      <c r="D2340" s="18"/>
      <c r="E2340" s="18"/>
      <c r="F2340" s="19"/>
      <c r="G2340" s="31"/>
      <c r="H2340" s="31"/>
      <c r="I2340" s="19"/>
      <c r="J2340" s="19"/>
      <c r="K2340" s="18"/>
      <c r="L2340" s="19"/>
      <c r="M2340" s="19"/>
      <c r="N2340" s="20"/>
      <c r="O2340" s="19"/>
      <c r="P2340" s="19"/>
      <c r="Q2340" s="19"/>
      <c r="R2340" s="19"/>
      <c r="S2340" s="19"/>
      <c r="T2340" s="19"/>
      <c r="U2340" s="19"/>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row>
    <row r="2341" spans="1:45" x14ac:dyDescent="0.3">
      <c r="A2341" s="410" t="s">
        <v>3958</v>
      </c>
      <c r="B2341" s="17"/>
      <c r="C2341" s="19"/>
      <c r="D2341" s="18"/>
      <c r="E2341" s="18"/>
      <c r="F2341" s="19"/>
      <c r="G2341" s="31"/>
      <c r="H2341" s="31"/>
      <c r="I2341" s="19"/>
      <c r="J2341" s="19"/>
      <c r="K2341" s="18"/>
      <c r="L2341" s="19"/>
      <c r="M2341" s="19"/>
      <c r="N2341" s="20"/>
      <c r="O2341" s="19"/>
      <c r="P2341" s="19"/>
      <c r="Q2341" s="19"/>
      <c r="R2341" s="19"/>
      <c r="S2341" s="19"/>
      <c r="T2341" s="19"/>
      <c r="U2341" s="19"/>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row>
    <row r="2342" spans="1:45" x14ac:dyDescent="0.3">
      <c r="A2342" s="410" t="s">
        <v>3959</v>
      </c>
      <c r="B2342" s="17"/>
      <c r="C2342" s="19"/>
      <c r="D2342" s="18"/>
      <c r="E2342" s="18"/>
      <c r="F2342" s="19"/>
      <c r="G2342" s="31"/>
      <c r="H2342" s="31"/>
      <c r="I2342" s="19"/>
      <c r="J2342" s="19"/>
      <c r="K2342" s="18"/>
      <c r="L2342" s="19"/>
      <c r="M2342" s="19"/>
      <c r="N2342" s="20"/>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row>
    <row r="2343" spans="1:45" x14ac:dyDescent="0.3">
      <c r="A2343" s="410" t="s">
        <v>3960</v>
      </c>
      <c r="B2343" s="17"/>
      <c r="C2343" s="19"/>
      <c r="D2343" s="18"/>
      <c r="E2343" s="18"/>
      <c r="F2343" s="19"/>
      <c r="G2343" s="31"/>
      <c r="H2343" s="31"/>
      <c r="I2343" s="19"/>
      <c r="J2343" s="19"/>
      <c r="K2343" s="18"/>
      <c r="L2343" s="19"/>
      <c r="M2343" s="19"/>
      <c r="N2343" s="20"/>
      <c r="O2343" s="19"/>
      <c r="P2343" s="19"/>
      <c r="Q2343" s="19"/>
      <c r="R2343" s="19"/>
      <c r="S2343" s="19"/>
      <c r="T2343" s="19"/>
      <c r="U2343" s="19"/>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row>
    <row r="2344" spans="1:45" x14ac:dyDescent="0.3">
      <c r="A2344" s="410" t="s">
        <v>3961</v>
      </c>
      <c r="B2344" s="17"/>
      <c r="C2344" s="19"/>
      <c r="D2344" s="18"/>
      <c r="E2344" s="18"/>
      <c r="F2344" s="19"/>
      <c r="G2344" s="31"/>
      <c r="H2344" s="31"/>
      <c r="I2344" s="19"/>
      <c r="J2344" s="19"/>
      <c r="K2344" s="18"/>
      <c r="L2344" s="19"/>
      <c r="M2344" s="19"/>
      <c r="N2344" s="20"/>
      <c r="O2344" s="19"/>
      <c r="P2344" s="19"/>
      <c r="Q2344" s="19"/>
      <c r="R2344" s="19"/>
      <c r="S2344" s="19"/>
      <c r="T2344" s="19"/>
      <c r="U2344" s="19"/>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row>
    <row r="2345" spans="1:45" x14ac:dyDescent="0.3">
      <c r="A2345" s="410" t="s">
        <v>3962</v>
      </c>
      <c r="B2345" s="17"/>
      <c r="C2345" s="19"/>
      <c r="D2345" s="18"/>
      <c r="E2345" s="18"/>
      <c r="F2345" s="19"/>
      <c r="G2345" s="31"/>
      <c r="H2345" s="31"/>
      <c r="I2345" s="19"/>
      <c r="J2345" s="19"/>
      <c r="K2345" s="18"/>
      <c r="L2345" s="19"/>
      <c r="M2345" s="19"/>
      <c r="N2345" s="20"/>
      <c r="O2345" s="19"/>
      <c r="P2345" s="19"/>
      <c r="Q2345" s="19"/>
      <c r="R2345" s="19"/>
      <c r="S2345" s="19"/>
      <c r="T2345" s="19"/>
      <c r="U2345" s="19"/>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row>
    <row r="2346" spans="1:45" x14ac:dyDescent="0.3">
      <c r="A2346" s="410" t="s">
        <v>3963</v>
      </c>
      <c r="B2346" s="17"/>
      <c r="C2346" s="19"/>
      <c r="D2346" s="18"/>
      <c r="E2346" s="18"/>
      <c r="F2346" s="19"/>
      <c r="G2346" s="31"/>
      <c r="H2346" s="31"/>
      <c r="I2346" s="19"/>
      <c r="J2346" s="19"/>
      <c r="K2346" s="18"/>
      <c r="L2346" s="19"/>
      <c r="M2346" s="19"/>
      <c r="N2346" s="20"/>
      <c r="O2346" s="19"/>
      <c r="P2346" s="19"/>
      <c r="Q2346" s="19"/>
      <c r="R2346" s="19"/>
      <c r="S2346" s="19"/>
      <c r="T2346" s="19"/>
      <c r="U2346" s="19"/>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row>
    <row r="2347" spans="1:45" x14ac:dyDescent="0.3">
      <c r="A2347" s="410" t="s">
        <v>3964</v>
      </c>
      <c r="B2347" s="17"/>
      <c r="C2347" s="19"/>
      <c r="D2347" s="18"/>
      <c r="E2347" s="18"/>
      <c r="F2347" s="19"/>
      <c r="G2347" s="31"/>
      <c r="H2347" s="31"/>
      <c r="I2347" s="19"/>
      <c r="J2347" s="19"/>
      <c r="K2347" s="18"/>
      <c r="L2347" s="19"/>
      <c r="M2347" s="19"/>
      <c r="N2347" s="20"/>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row>
    <row r="2348" spans="1:45" x14ac:dyDescent="0.3">
      <c r="A2348" s="410" t="s">
        <v>3965</v>
      </c>
      <c r="B2348" s="17"/>
      <c r="C2348" s="19"/>
      <c r="D2348" s="18"/>
      <c r="E2348" s="18"/>
      <c r="F2348" s="19"/>
      <c r="G2348" s="31"/>
      <c r="H2348" s="31"/>
      <c r="I2348" s="19"/>
      <c r="J2348" s="19"/>
      <c r="K2348" s="18"/>
      <c r="L2348" s="19"/>
      <c r="M2348" s="19"/>
      <c r="N2348" s="20"/>
      <c r="O2348" s="19"/>
      <c r="P2348" s="19"/>
      <c r="Q2348" s="19"/>
      <c r="R2348" s="19"/>
      <c r="S2348" s="19"/>
      <c r="T2348" s="19"/>
      <c r="U2348" s="19"/>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row>
    <row r="2349" spans="1:45" x14ac:dyDescent="0.3">
      <c r="A2349" s="410" t="s">
        <v>3966</v>
      </c>
      <c r="B2349" s="17"/>
      <c r="C2349" s="19"/>
      <c r="D2349" s="18"/>
      <c r="E2349" s="18"/>
      <c r="F2349" s="19"/>
      <c r="G2349" s="31"/>
      <c r="H2349" s="31"/>
      <c r="I2349" s="19"/>
      <c r="J2349" s="19"/>
      <c r="K2349" s="18"/>
      <c r="L2349" s="19"/>
      <c r="M2349" s="19"/>
      <c r="N2349" s="20"/>
      <c r="O2349" s="19"/>
      <c r="P2349" s="19"/>
      <c r="Q2349" s="19"/>
      <c r="R2349" s="19"/>
      <c r="S2349" s="19"/>
      <c r="T2349" s="19"/>
      <c r="U2349" s="19"/>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row>
    <row r="2350" spans="1:45" x14ac:dyDescent="0.3">
      <c r="A2350" s="410" t="s">
        <v>3967</v>
      </c>
      <c r="B2350" s="17"/>
      <c r="C2350" s="19"/>
      <c r="D2350" s="18"/>
      <c r="E2350" s="18"/>
      <c r="F2350" s="19"/>
      <c r="G2350" s="31"/>
      <c r="H2350" s="31"/>
      <c r="I2350" s="19"/>
      <c r="J2350" s="19"/>
      <c r="K2350" s="18"/>
      <c r="L2350" s="19"/>
      <c r="M2350" s="19"/>
      <c r="N2350" s="20"/>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row>
    <row r="2351" spans="1:45" x14ac:dyDescent="0.3">
      <c r="A2351" s="410" t="s">
        <v>3968</v>
      </c>
      <c r="B2351" s="17"/>
      <c r="C2351" s="19"/>
      <c r="D2351" s="18"/>
      <c r="E2351" s="18"/>
      <c r="F2351" s="19"/>
      <c r="G2351" s="31"/>
      <c r="H2351" s="31"/>
      <c r="I2351" s="19"/>
      <c r="J2351" s="19"/>
      <c r="K2351" s="18"/>
      <c r="L2351" s="19"/>
      <c r="M2351" s="19"/>
      <c r="N2351" s="20"/>
      <c r="O2351" s="19"/>
      <c r="P2351" s="19"/>
      <c r="Q2351" s="19"/>
      <c r="R2351" s="19"/>
      <c r="S2351" s="19"/>
      <c r="T2351" s="19"/>
      <c r="U2351" s="19"/>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row>
    <row r="2352" spans="1:45" x14ac:dyDescent="0.3">
      <c r="A2352" s="410" t="s">
        <v>3969</v>
      </c>
      <c r="B2352" s="17"/>
      <c r="C2352" s="19"/>
      <c r="D2352" s="18"/>
      <c r="E2352" s="18"/>
      <c r="F2352" s="19"/>
      <c r="G2352" s="31"/>
      <c r="H2352" s="31"/>
      <c r="I2352" s="19"/>
      <c r="J2352" s="19"/>
      <c r="K2352" s="18"/>
      <c r="L2352" s="19"/>
      <c r="M2352" s="19"/>
      <c r="N2352" s="20"/>
      <c r="O2352" s="19"/>
      <c r="P2352" s="19"/>
      <c r="Q2352" s="19"/>
      <c r="R2352" s="19"/>
      <c r="S2352" s="19"/>
      <c r="T2352" s="19"/>
      <c r="U2352" s="19"/>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row>
    <row r="2353" spans="1:45" x14ac:dyDescent="0.3">
      <c r="A2353" s="410" t="s">
        <v>3970</v>
      </c>
      <c r="B2353" s="17"/>
      <c r="C2353" s="19"/>
      <c r="D2353" s="18"/>
      <c r="E2353" s="18"/>
      <c r="F2353" s="19"/>
      <c r="G2353" s="31"/>
      <c r="H2353" s="31"/>
      <c r="I2353" s="19"/>
      <c r="J2353" s="19"/>
      <c r="K2353" s="18"/>
      <c r="L2353" s="19"/>
      <c r="M2353" s="19"/>
      <c r="N2353" s="20"/>
      <c r="O2353" s="19"/>
      <c r="P2353" s="19"/>
      <c r="Q2353" s="19"/>
      <c r="R2353" s="19"/>
      <c r="S2353" s="19"/>
      <c r="T2353" s="19"/>
      <c r="U2353" s="19"/>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row>
    <row r="2354" spans="1:45" x14ac:dyDescent="0.3">
      <c r="A2354" s="410" t="s">
        <v>3971</v>
      </c>
      <c r="B2354" s="17"/>
      <c r="C2354" s="19"/>
      <c r="D2354" s="18"/>
      <c r="E2354" s="18"/>
      <c r="F2354" s="19"/>
      <c r="G2354" s="31"/>
      <c r="H2354" s="31"/>
      <c r="I2354" s="19"/>
      <c r="J2354" s="19"/>
      <c r="K2354" s="18"/>
      <c r="L2354" s="19"/>
      <c r="M2354" s="19"/>
      <c r="N2354" s="20"/>
      <c r="O2354" s="19"/>
      <c r="P2354" s="19"/>
      <c r="Q2354" s="19"/>
      <c r="R2354" s="19"/>
      <c r="S2354" s="19"/>
      <c r="T2354" s="19"/>
      <c r="U2354" s="19"/>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row>
    <row r="2355" spans="1:45" x14ac:dyDescent="0.3">
      <c r="A2355" s="410" t="s">
        <v>3972</v>
      </c>
      <c r="B2355" s="17"/>
      <c r="C2355" s="19"/>
      <c r="D2355" s="18"/>
      <c r="E2355" s="18"/>
      <c r="F2355" s="19"/>
      <c r="G2355" s="31"/>
      <c r="H2355" s="31"/>
      <c r="I2355" s="19"/>
      <c r="J2355" s="19"/>
      <c r="K2355" s="18"/>
      <c r="L2355" s="19"/>
      <c r="M2355" s="19"/>
      <c r="N2355" s="20"/>
      <c r="O2355" s="19"/>
      <c r="P2355" s="19"/>
      <c r="Q2355" s="19"/>
      <c r="R2355" s="19"/>
      <c r="S2355" s="19"/>
      <c r="T2355" s="19"/>
      <c r="U2355" s="19"/>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row>
    <row r="2356" spans="1:45" x14ac:dyDescent="0.3">
      <c r="A2356" s="410" t="s">
        <v>3973</v>
      </c>
      <c r="B2356" s="17"/>
      <c r="C2356" s="19"/>
      <c r="D2356" s="18"/>
      <c r="E2356" s="18"/>
      <c r="F2356" s="19"/>
      <c r="G2356" s="31"/>
      <c r="H2356" s="31"/>
      <c r="I2356" s="19"/>
      <c r="J2356" s="19"/>
      <c r="K2356" s="18"/>
      <c r="L2356" s="19"/>
      <c r="M2356" s="19"/>
      <c r="N2356" s="20"/>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row>
    <row r="2357" spans="1:45" x14ac:dyDescent="0.3">
      <c r="A2357" s="410" t="s">
        <v>3974</v>
      </c>
      <c r="B2357" s="17"/>
      <c r="C2357" s="19"/>
      <c r="D2357" s="18"/>
      <c r="E2357" s="18"/>
      <c r="F2357" s="19"/>
      <c r="G2357" s="31"/>
      <c r="H2357" s="31"/>
      <c r="I2357" s="19"/>
      <c r="J2357" s="19"/>
      <c r="K2357" s="18"/>
      <c r="L2357" s="19"/>
      <c r="M2357" s="19"/>
      <c r="N2357" s="20"/>
      <c r="O2357" s="19"/>
      <c r="P2357" s="19"/>
      <c r="Q2357" s="19"/>
      <c r="R2357" s="19"/>
      <c r="S2357" s="19"/>
      <c r="T2357" s="19"/>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row>
    <row r="2358" spans="1:45" x14ac:dyDescent="0.3">
      <c r="A2358" s="410" t="s">
        <v>3975</v>
      </c>
      <c r="B2358" s="17"/>
      <c r="C2358" s="19"/>
      <c r="D2358" s="18"/>
      <c r="E2358" s="17"/>
      <c r="F2358" s="19"/>
      <c r="G2358" s="31"/>
      <c r="H2358" s="31"/>
      <c r="I2358" s="19"/>
      <c r="J2358" s="19"/>
      <c r="K2358" s="18"/>
      <c r="L2358" s="19"/>
      <c r="M2358" s="19"/>
      <c r="N2358" s="20"/>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row>
    <row r="2359" spans="1:45" x14ac:dyDescent="0.3">
      <c r="A2359" s="410" t="s">
        <v>3976</v>
      </c>
      <c r="B2359" s="17"/>
      <c r="C2359" s="19"/>
      <c r="D2359" s="18"/>
      <c r="E2359" s="17"/>
      <c r="F2359" s="19"/>
      <c r="G2359" s="31"/>
      <c r="H2359" s="31"/>
      <c r="I2359" s="19"/>
      <c r="J2359" s="19"/>
      <c r="K2359" s="18"/>
      <c r="L2359" s="19"/>
      <c r="M2359" s="19"/>
      <c r="N2359" s="20"/>
      <c r="O2359" s="19"/>
      <c r="P2359" s="19"/>
      <c r="Q2359" s="19"/>
      <c r="R2359" s="19"/>
      <c r="S2359" s="19"/>
      <c r="T2359" s="19"/>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row>
    <row r="2360" spans="1:45" x14ac:dyDescent="0.3">
      <c r="A2360" s="410"/>
      <c r="B2360" s="17"/>
      <c r="C2360" s="19"/>
      <c r="D2360" s="18"/>
      <c r="E2360" s="17"/>
      <c r="F2360" s="19"/>
      <c r="G2360" s="31"/>
      <c r="H2360" s="31"/>
      <c r="I2360" s="19"/>
      <c r="J2360" s="19"/>
      <c r="K2360" s="18"/>
      <c r="L2360" s="19"/>
      <c r="M2360" s="19"/>
      <c r="N2360" s="20"/>
      <c r="O2360" s="19"/>
      <c r="P2360" s="19"/>
      <c r="Q2360" s="19"/>
      <c r="R2360" s="19"/>
      <c r="S2360" s="19"/>
      <c r="T2360" s="19"/>
      <c r="U2360" s="19"/>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row>
    <row r="2361" spans="1:45" x14ac:dyDescent="0.3">
      <c r="A2361" s="410" t="s">
        <v>3977</v>
      </c>
      <c r="B2361" s="17" t="s">
        <v>3978</v>
      </c>
      <c r="C2361" s="19" t="s">
        <v>1368</v>
      </c>
      <c r="D2361" s="19">
        <v>20245681</v>
      </c>
      <c r="E2361" s="17"/>
      <c r="F2361" s="19"/>
      <c r="G2361" s="31"/>
      <c r="H2361" s="31"/>
      <c r="I2361" s="19"/>
      <c r="J2361" s="19"/>
      <c r="K2361" s="18"/>
      <c r="L2361" s="19"/>
      <c r="M2361" s="19"/>
      <c r="N2361" s="20"/>
      <c r="O2361" s="19"/>
      <c r="P2361" s="19"/>
      <c r="Q2361" s="19"/>
      <c r="R2361" s="19"/>
      <c r="S2361" s="19"/>
      <c r="T2361" s="19"/>
      <c r="U2361" s="19"/>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row>
    <row r="2362" spans="1:45" x14ac:dyDescent="0.3">
      <c r="A2362" s="410" t="s">
        <v>3979</v>
      </c>
      <c r="B2362" s="17" t="s">
        <v>3980</v>
      </c>
      <c r="C2362" s="19" t="s">
        <v>1368</v>
      </c>
      <c r="D2362" s="19">
        <v>22157414</v>
      </c>
      <c r="E2362" s="17"/>
      <c r="F2362" s="19"/>
      <c r="G2362" s="31"/>
      <c r="H2362" s="31"/>
      <c r="I2362" s="19"/>
      <c r="J2362" s="19"/>
      <c r="K2362" s="339"/>
      <c r="L2362" s="340"/>
      <c r="M2362" s="19"/>
      <c r="N2362" s="20"/>
      <c r="O2362" s="19"/>
      <c r="P2362" s="19"/>
      <c r="Q2362" s="19"/>
      <c r="R2362" s="19"/>
      <c r="S2362" s="19"/>
      <c r="T2362" s="19"/>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row>
    <row r="2363" spans="1:45" x14ac:dyDescent="0.3">
      <c r="A2363" s="410" t="s">
        <v>3981</v>
      </c>
      <c r="B2363" s="17" t="s">
        <v>3982</v>
      </c>
      <c r="C2363" s="19" t="s">
        <v>1368</v>
      </c>
      <c r="D2363" s="19">
        <v>20180654</v>
      </c>
      <c r="E2363" s="17"/>
      <c r="F2363" s="19"/>
      <c r="G2363" s="31"/>
      <c r="H2363" s="31"/>
      <c r="I2363" s="19"/>
      <c r="J2363" s="19"/>
      <c r="K2363" s="18"/>
      <c r="L2363" s="19"/>
      <c r="M2363" s="19"/>
      <c r="N2363" s="20"/>
      <c r="O2363" s="19"/>
      <c r="P2363" s="19"/>
      <c r="Q2363" s="19"/>
      <c r="R2363" s="19"/>
      <c r="S2363" s="19"/>
      <c r="T2363" s="19"/>
      <c r="U2363" s="19"/>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row>
    <row r="2364" spans="1:45" x14ac:dyDescent="0.3">
      <c r="A2364" s="410" t="s">
        <v>3983</v>
      </c>
      <c r="B2364" s="17"/>
      <c r="C2364" s="19"/>
      <c r="D2364" s="18"/>
      <c r="E2364" s="17"/>
      <c r="F2364" s="19"/>
      <c r="G2364" s="31"/>
      <c r="H2364" s="31"/>
      <c r="I2364" s="19"/>
      <c r="J2364" s="19"/>
      <c r="K2364" s="18"/>
      <c r="L2364" s="19"/>
      <c r="M2364" s="19"/>
      <c r="N2364" s="20"/>
      <c r="O2364" s="19"/>
      <c r="P2364" s="19"/>
      <c r="Q2364" s="19"/>
      <c r="R2364" s="19"/>
      <c r="S2364" s="19"/>
      <c r="T2364" s="19"/>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row>
    <row r="2365" spans="1:45" x14ac:dyDescent="0.3">
      <c r="A2365" s="410" t="s">
        <v>3984</v>
      </c>
      <c r="B2365" s="17"/>
      <c r="C2365" s="19"/>
      <c r="D2365" s="18"/>
      <c r="E2365" s="17"/>
      <c r="F2365" s="19"/>
      <c r="G2365" s="31"/>
      <c r="H2365" s="31"/>
      <c r="I2365" s="19"/>
      <c r="J2365" s="19"/>
      <c r="K2365" s="18"/>
      <c r="L2365" s="19"/>
      <c r="M2365" s="19"/>
      <c r="N2365" s="20"/>
      <c r="O2365" s="19"/>
      <c r="P2365" s="19"/>
      <c r="Q2365" s="19"/>
      <c r="R2365" s="19"/>
      <c r="S2365" s="19"/>
      <c r="T2365" s="19"/>
      <c r="U2365" s="19"/>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row>
    <row r="2366" spans="1:45" x14ac:dyDescent="0.3">
      <c r="A2366" s="410" t="s">
        <v>3985</v>
      </c>
      <c r="B2366" s="17"/>
      <c r="C2366" s="19"/>
      <c r="D2366" s="18"/>
      <c r="E2366" s="17"/>
      <c r="F2366" s="19"/>
      <c r="G2366" s="31"/>
      <c r="H2366" s="31"/>
      <c r="I2366" s="19"/>
      <c r="J2366" s="19"/>
      <c r="K2366" s="18"/>
      <c r="L2366" s="19"/>
      <c r="M2366" s="19"/>
      <c r="N2366" s="20"/>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row>
    <row r="2367" spans="1:45" x14ac:dyDescent="0.3">
      <c r="A2367" s="410" t="s">
        <v>3986</v>
      </c>
      <c r="B2367" s="17"/>
      <c r="C2367" s="19"/>
      <c r="D2367" s="18"/>
      <c r="E2367" s="18"/>
      <c r="F2367" s="19"/>
      <c r="G2367" s="31"/>
      <c r="H2367" s="31"/>
      <c r="I2367" s="19"/>
      <c r="J2367" s="19"/>
      <c r="K2367" s="18"/>
      <c r="L2367" s="19"/>
      <c r="M2367" s="19"/>
      <c r="N2367" s="20"/>
      <c r="O2367" s="19"/>
      <c r="P2367" s="19"/>
      <c r="Q2367" s="19"/>
      <c r="R2367" s="19"/>
      <c r="S2367" s="19"/>
      <c r="T2367" s="19"/>
      <c r="U2367" s="19"/>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row>
    <row r="2368" spans="1:45" x14ac:dyDescent="0.3">
      <c r="A2368" s="410" t="s">
        <v>3987</v>
      </c>
      <c r="B2368" s="17"/>
      <c r="C2368" s="19"/>
      <c r="D2368" s="18"/>
      <c r="E2368" s="18"/>
      <c r="F2368" s="19"/>
      <c r="G2368" s="31"/>
      <c r="H2368" s="31"/>
      <c r="I2368" s="19"/>
      <c r="J2368" s="19"/>
      <c r="K2368" s="18"/>
      <c r="L2368" s="19"/>
      <c r="M2368" s="19"/>
      <c r="N2368" s="20"/>
      <c r="O2368" s="19"/>
      <c r="P2368" s="19"/>
      <c r="Q2368" s="19"/>
      <c r="R2368" s="19"/>
      <c r="S2368" s="19"/>
      <c r="T2368" s="19"/>
      <c r="U2368" s="19"/>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row>
    <row r="2369" spans="1:45" x14ac:dyDescent="0.3">
      <c r="A2369" s="410" t="s">
        <v>3988</v>
      </c>
      <c r="B2369" s="17"/>
      <c r="C2369" s="19"/>
      <c r="D2369" s="18"/>
      <c r="E2369" s="18"/>
      <c r="F2369" s="19"/>
      <c r="G2369" s="31"/>
      <c r="H2369" s="31"/>
      <c r="I2369" s="19"/>
      <c r="J2369" s="19"/>
      <c r="K2369" s="18"/>
      <c r="L2369" s="19"/>
      <c r="M2369" s="19"/>
      <c r="N2369" s="20"/>
      <c r="O2369" s="19"/>
      <c r="P2369" s="19"/>
      <c r="Q2369" s="19"/>
      <c r="R2369" s="19"/>
      <c r="S2369" s="19"/>
      <c r="T2369" s="19"/>
      <c r="U2369" s="19"/>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row>
    <row r="2370" spans="1:45" x14ac:dyDescent="0.3">
      <c r="A2370" s="410" t="s">
        <v>3989</v>
      </c>
      <c r="B2370" s="17"/>
      <c r="C2370" s="19"/>
      <c r="D2370" s="18"/>
      <c r="E2370" s="18"/>
      <c r="F2370" s="19"/>
      <c r="G2370" s="31"/>
      <c r="H2370" s="31"/>
      <c r="I2370" s="19"/>
      <c r="J2370" s="19"/>
      <c r="K2370" s="18"/>
      <c r="L2370" s="19"/>
      <c r="M2370" s="19"/>
      <c r="N2370" s="20"/>
      <c r="O2370" s="19"/>
      <c r="P2370" s="19"/>
      <c r="Q2370" s="19"/>
      <c r="R2370" s="19"/>
      <c r="S2370" s="19"/>
      <c r="T2370" s="19"/>
      <c r="U2370" s="19"/>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row>
    <row r="2371" spans="1:45" x14ac:dyDescent="0.3">
      <c r="A2371" s="410" t="s">
        <v>3990</v>
      </c>
      <c r="B2371" s="17"/>
      <c r="C2371" s="19"/>
      <c r="D2371" s="18"/>
      <c r="E2371" s="18"/>
      <c r="F2371" s="19"/>
      <c r="G2371" s="31"/>
      <c r="H2371" s="31"/>
      <c r="I2371" s="19"/>
      <c r="J2371" s="19"/>
      <c r="K2371" s="18"/>
      <c r="L2371" s="19"/>
      <c r="M2371" s="19"/>
      <c r="N2371" s="20"/>
      <c r="O2371" s="19"/>
      <c r="P2371" s="19"/>
      <c r="Q2371" s="19"/>
      <c r="R2371" s="19"/>
      <c r="S2371" s="19"/>
      <c r="T2371" s="19"/>
      <c r="U2371" s="19"/>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row>
    <row r="2372" spans="1:45" x14ac:dyDescent="0.3">
      <c r="A2372" s="410" t="s">
        <v>3991</v>
      </c>
      <c r="B2372" s="17"/>
      <c r="C2372" s="19"/>
      <c r="D2372" s="18"/>
      <c r="E2372" s="18"/>
      <c r="F2372" s="19"/>
      <c r="G2372" s="31"/>
      <c r="H2372" s="31"/>
      <c r="I2372" s="19"/>
      <c r="J2372" s="19"/>
      <c r="K2372" s="18"/>
      <c r="L2372" s="19"/>
      <c r="M2372" s="19"/>
      <c r="N2372" s="20"/>
      <c r="O2372" s="19"/>
      <c r="P2372" s="19"/>
      <c r="Q2372" s="19"/>
      <c r="R2372" s="19"/>
      <c r="S2372" s="19"/>
      <c r="T2372" s="19"/>
      <c r="U2372" s="19"/>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row>
    <row r="2373" spans="1:45" x14ac:dyDescent="0.3">
      <c r="A2373" s="410" t="s">
        <v>3992</v>
      </c>
      <c r="B2373" s="17"/>
      <c r="C2373" s="19"/>
      <c r="D2373" s="18"/>
      <c r="E2373" s="18"/>
      <c r="F2373" s="19"/>
      <c r="G2373" s="31"/>
      <c r="H2373" s="31"/>
      <c r="I2373" s="19"/>
      <c r="J2373" s="19"/>
      <c r="K2373" s="18"/>
      <c r="L2373" s="19"/>
      <c r="M2373" s="19"/>
      <c r="N2373" s="20"/>
      <c r="O2373" s="19"/>
      <c r="P2373" s="19"/>
      <c r="Q2373" s="19"/>
      <c r="R2373" s="19"/>
      <c r="S2373" s="19"/>
      <c r="T2373" s="19"/>
      <c r="U2373" s="19"/>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row>
    <row r="2374" spans="1:45" x14ac:dyDescent="0.3">
      <c r="A2374" s="410" t="s">
        <v>3993</v>
      </c>
      <c r="B2374" s="17"/>
      <c r="C2374" s="19"/>
      <c r="D2374" s="18"/>
      <c r="E2374" s="18"/>
      <c r="F2374" s="19"/>
      <c r="G2374" s="31"/>
      <c r="H2374" s="31"/>
      <c r="I2374" s="19"/>
      <c r="J2374" s="19"/>
      <c r="K2374" s="18"/>
      <c r="L2374" s="19"/>
      <c r="M2374" s="19"/>
      <c r="N2374" s="20"/>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row>
    <row r="2375" spans="1:45" x14ac:dyDescent="0.3">
      <c r="A2375" s="410" t="s">
        <v>3994</v>
      </c>
      <c r="B2375" s="17"/>
      <c r="C2375" s="19"/>
      <c r="D2375" s="18"/>
      <c r="E2375" s="18"/>
      <c r="F2375" s="19"/>
      <c r="G2375" s="31"/>
      <c r="H2375" s="31"/>
      <c r="I2375" s="19"/>
      <c r="J2375" s="19"/>
      <c r="K2375" s="18"/>
      <c r="L2375" s="19"/>
      <c r="M2375" s="19"/>
      <c r="N2375" s="20"/>
      <c r="O2375" s="19"/>
      <c r="P2375" s="19"/>
      <c r="Q2375" s="19"/>
      <c r="R2375" s="19"/>
      <c r="S2375" s="19"/>
      <c r="T2375" s="19"/>
      <c r="U2375" s="19"/>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row>
    <row r="2376" spans="1:45" x14ac:dyDescent="0.3">
      <c r="A2376" s="410" t="s">
        <v>3995</v>
      </c>
      <c r="B2376" s="17"/>
      <c r="C2376" s="19"/>
      <c r="D2376" s="18"/>
      <c r="E2376" s="18"/>
      <c r="F2376" s="19"/>
      <c r="G2376" s="31"/>
      <c r="H2376" s="31"/>
      <c r="I2376" s="19"/>
      <c r="J2376" s="19"/>
      <c r="K2376" s="18"/>
      <c r="L2376" s="19"/>
      <c r="M2376" s="19"/>
      <c r="N2376" s="20"/>
      <c r="O2376" s="19"/>
      <c r="P2376" s="19"/>
      <c r="Q2376" s="19"/>
      <c r="R2376" s="19"/>
      <c r="S2376" s="19"/>
      <c r="T2376" s="19"/>
      <c r="U2376" s="19"/>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row>
    <row r="2377" spans="1:45" x14ac:dyDescent="0.3">
      <c r="A2377" s="410" t="s">
        <v>3996</v>
      </c>
      <c r="B2377" s="17"/>
      <c r="C2377" s="19"/>
      <c r="D2377" s="18"/>
      <c r="E2377" s="18"/>
      <c r="F2377" s="19"/>
      <c r="G2377" s="31"/>
      <c r="H2377" s="31"/>
      <c r="I2377" s="19"/>
      <c r="J2377" s="19"/>
      <c r="K2377" s="18"/>
      <c r="L2377" s="19"/>
      <c r="M2377" s="19"/>
      <c r="N2377" s="20"/>
      <c r="O2377" s="19"/>
      <c r="P2377" s="19"/>
      <c r="Q2377" s="19"/>
      <c r="R2377" s="19"/>
      <c r="S2377" s="19"/>
      <c r="T2377" s="19"/>
      <c r="U2377" s="19"/>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row>
    <row r="2378" spans="1:45" x14ac:dyDescent="0.3">
      <c r="A2378" s="410" t="s">
        <v>3997</v>
      </c>
      <c r="B2378" s="17"/>
      <c r="C2378" s="19"/>
      <c r="D2378" s="18"/>
      <c r="E2378" s="18"/>
      <c r="F2378" s="19"/>
      <c r="G2378" s="31"/>
      <c r="H2378" s="31"/>
      <c r="I2378" s="19"/>
      <c r="J2378" s="19"/>
      <c r="K2378" s="18"/>
      <c r="L2378" s="19"/>
      <c r="M2378" s="19"/>
      <c r="N2378" s="20"/>
      <c r="O2378" s="19"/>
      <c r="P2378" s="19"/>
      <c r="Q2378" s="19"/>
      <c r="R2378" s="19"/>
      <c r="S2378" s="19"/>
      <c r="T2378" s="19"/>
      <c r="U2378" s="19"/>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row>
    <row r="2379" spans="1:45" x14ac:dyDescent="0.3">
      <c r="A2379" s="410" t="s">
        <v>3998</v>
      </c>
      <c r="B2379" s="17"/>
      <c r="C2379" s="19"/>
      <c r="D2379" s="18"/>
      <c r="E2379" s="18"/>
      <c r="F2379" s="19"/>
      <c r="G2379" s="31"/>
      <c r="H2379" s="31"/>
      <c r="I2379" s="19"/>
      <c r="J2379" s="19"/>
      <c r="K2379" s="18"/>
      <c r="L2379" s="19"/>
      <c r="M2379" s="19"/>
      <c r="N2379" s="20"/>
      <c r="O2379" s="19"/>
      <c r="P2379" s="19"/>
      <c r="Q2379" s="19"/>
      <c r="R2379" s="19"/>
      <c r="S2379" s="19"/>
      <c r="T2379" s="19"/>
      <c r="U2379" s="19"/>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row>
    <row r="2380" spans="1:45" x14ac:dyDescent="0.3">
      <c r="A2380" s="410" t="s">
        <v>3999</v>
      </c>
      <c r="B2380" s="17"/>
      <c r="C2380" s="19"/>
      <c r="D2380" s="18"/>
      <c r="E2380" s="18"/>
      <c r="F2380" s="19"/>
      <c r="G2380" s="31"/>
      <c r="H2380" s="31"/>
      <c r="I2380" s="19"/>
      <c r="J2380" s="19"/>
      <c r="K2380" s="18"/>
      <c r="L2380" s="19"/>
      <c r="M2380" s="19"/>
      <c r="N2380" s="20"/>
      <c r="O2380" s="19"/>
      <c r="P2380" s="19"/>
      <c r="Q2380" s="19"/>
      <c r="R2380" s="19"/>
      <c r="S2380" s="19"/>
      <c r="T2380" s="19"/>
      <c r="U2380" s="19"/>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row>
    <row r="2381" spans="1:45" x14ac:dyDescent="0.3">
      <c r="A2381" s="410" t="s">
        <v>4000</v>
      </c>
      <c r="B2381" s="17"/>
      <c r="C2381" s="19"/>
      <c r="D2381" s="18"/>
      <c r="E2381" s="18"/>
      <c r="F2381" s="19"/>
      <c r="G2381" s="31"/>
      <c r="H2381" s="31"/>
      <c r="I2381" s="19"/>
      <c r="J2381" s="19"/>
      <c r="K2381" s="18"/>
      <c r="L2381" s="19"/>
      <c r="M2381" s="19"/>
      <c r="N2381" s="20"/>
      <c r="O2381" s="19"/>
      <c r="P2381" s="19"/>
      <c r="Q2381" s="19"/>
      <c r="R2381" s="19"/>
      <c r="S2381" s="19"/>
      <c r="T2381" s="19"/>
      <c r="U2381" s="19"/>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row>
    <row r="2382" spans="1:45" x14ac:dyDescent="0.3">
      <c r="A2382" s="410" t="s">
        <v>4001</v>
      </c>
      <c r="B2382" s="17"/>
      <c r="C2382" s="19"/>
      <c r="D2382" s="18"/>
      <c r="E2382" s="18"/>
      <c r="F2382" s="19"/>
      <c r="G2382" s="31"/>
      <c r="H2382" s="31"/>
      <c r="I2382" s="19"/>
      <c r="J2382" s="19"/>
      <c r="K2382" s="18"/>
      <c r="L2382" s="19"/>
      <c r="M2382" s="19"/>
      <c r="N2382" s="20"/>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row>
    <row r="2383" spans="1:45" x14ac:dyDescent="0.3">
      <c r="A2383" s="410" t="s">
        <v>4002</v>
      </c>
      <c r="B2383" s="17"/>
      <c r="C2383" s="19"/>
      <c r="D2383" s="18"/>
      <c r="E2383" s="18"/>
      <c r="F2383" s="19"/>
      <c r="G2383" s="31"/>
      <c r="H2383" s="31"/>
      <c r="I2383" s="19"/>
      <c r="J2383" s="19"/>
      <c r="K2383" s="18"/>
      <c r="L2383" s="19"/>
      <c r="M2383" s="19"/>
      <c r="N2383" s="20"/>
      <c r="O2383" s="19"/>
      <c r="P2383" s="19"/>
      <c r="Q2383" s="19"/>
      <c r="R2383" s="19"/>
      <c r="S2383" s="19"/>
      <c r="T2383" s="19"/>
      <c r="U2383" s="19"/>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row>
    <row r="2384" spans="1:45" x14ac:dyDescent="0.3">
      <c r="A2384" s="410" t="s">
        <v>4003</v>
      </c>
      <c r="B2384" s="17"/>
      <c r="C2384" s="19"/>
      <c r="D2384" s="18"/>
      <c r="E2384" s="18"/>
      <c r="F2384" s="19"/>
      <c r="G2384" s="31"/>
      <c r="H2384" s="31"/>
      <c r="I2384" s="19"/>
      <c r="J2384" s="19"/>
      <c r="K2384" s="18"/>
      <c r="L2384" s="19"/>
      <c r="M2384" s="19"/>
      <c r="N2384" s="20"/>
      <c r="O2384" s="19"/>
      <c r="P2384" s="19"/>
      <c r="Q2384" s="19"/>
      <c r="R2384" s="19"/>
      <c r="S2384" s="19"/>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row>
    <row r="2385" spans="1:45" x14ac:dyDescent="0.3">
      <c r="A2385" s="410" t="s">
        <v>4004</v>
      </c>
      <c r="B2385" s="17"/>
      <c r="C2385" s="19"/>
      <c r="D2385" s="18"/>
      <c r="E2385" s="18"/>
      <c r="F2385" s="19"/>
      <c r="G2385" s="31"/>
      <c r="H2385" s="31"/>
      <c r="I2385" s="19"/>
      <c r="J2385" s="19"/>
      <c r="K2385" s="18"/>
      <c r="L2385" s="19"/>
      <c r="M2385" s="19"/>
      <c r="N2385" s="20"/>
      <c r="O2385" s="19"/>
      <c r="P2385" s="19"/>
      <c r="Q2385" s="19"/>
      <c r="R2385" s="19"/>
      <c r="S2385" s="19"/>
      <c r="T2385" s="19"/>
      <c r="U2385" s="19"/>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row>
    <row r="2386" spans="1:45" x14ac:dyDescent="0.3">
      <c r="A2386" s="410" t="s">
        <v>4005</v>
      </c>
      <c r="B2386" s="17"/>
      <c r="C2386" s="19"/>
      <c r="D2386" s="18"/>
      <c r="E2386" s="18"/>
      <c r="F2386" s="19"/>
      <c r="G2386" s="31"/>
      <c r="H2386" s="31"/>
      <c r="I2386" s="19"/>
      <c r="J2386" s="19"/>
      <c r="K2386" s="18"/>
      <c r="L2386" s="19"/>
      <c r="M2386" s="19"/>
      <c r="N2386" s="20"/>
      <c r="O2386" s="19"/>
      <c r="P2386" s="19"/>
      <c r="Q2386" s="19"/>
      <c r="R2386" s="19"/>
      <c r="S2386" s="19"/>
      <c r="T2386" s="19"/>
      <c r="U2386" s="19"/>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row>
    <row r="2387" spans="1:45" x14ac:dyDescent="0.3">
      <c r="A2387" s="410" t="s">
        <v>4006</v>
      </c>
      <c r="B2387" s="17"/>
      <c r="C2387" s="19"/>
      <c r="D2387" s="18"/>
      <c r="E2387" s="18"/>
      <c r="F2387" s="19"/>
      <c r="G2387" s="31"/>
      <c r="H2387" s="31"/>
      <c r="I2387" s="19"/>
      <c r="J2387" s="19"/>
      <c r="K2387" s="18"/>
      <c r="L2387" s="19"/>
      <c r="M2387" s="19"/>
      <c r="N2387" s="20"/>
      <c r="O2387" s="19"/>
      <c r="P2387" s="19"/>
      <c r="Q2387" s="19"/>
      <c r="R2387" s="19"/>
      <c r="S2387" s="19"/>
      <c r="T2387" s="19"/>
      <c r="U2387" s="19"/>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row>
    <row r="2388" spans="1:45" x14ac:dyDescent="0.3">
      <c r="A2388" s="410" t="s">
        <v>4007</v>
      </c>
      <c r="B2388" s="17"/>
      <c r="C2388" s="19"/>
      <c r="D2388" s="18"/>
      <c r="E2388" s="18"/>
      <c r="F2388" s="19"/>
      <c r="G2388" s="31"/>
      <c r="H2388" s="31"/>
      <c r="I2388" s="19"/>
      <c r="J2388" s="19"/>
      <c r="K2388" s="18"/>
      <c r="L2388" s="19"/>
      <c r="M2388" s="19"/>
      <c r="N2388" s="20"/>
      <c r="O2388" s="19"/>
      <c r="P2388" s="19"/>
      <c r="Q2388" s="19"/>
      <c r="R2388" s="19"/>
      <c r="S2388" s="19"/>
      <c r="T2388" s="19"/>
      <c r="U2388" s="19"/>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row>
    <row r="2389" spans="1:45" x14ac:dyDescent="0.3">
      <c r="A2389" s="410" t="s">
        <v>4008</v>
      </c>
      <c r="B2389" s="17"/>
      <c r="C2389" s="19"/>
      <c r="D2389" s="18"/>
      <c r="E2389" s="18"/>
      <c r="F2389" s="19"/>
      <c r="G2389" s="31"/>
      <c r="H2389" s="31"/>
      <c r="I2389" s="19"/>
      <c r="J2389" s="19"/>
      <c r="K2389" s="18"/>
      <c r="L2389" s="19"/>
      <c r="M2389" s="19"/>
      <c r="N2389" s="20"/>
      <c r="O2389" s="19"/>
      <c r="P2389" s="19"/>
      <c r="Q2389" s="19"/>
      <c r="R2389" s="19"/>
      <c r="S2389" s="19"/>
      <c r="T2389" s="19"/>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row>
    <row r="2390" spans="1:45" x14ac:dyDescent="0.3">
      <c r="A2390" s="410" t="s">
        <v>4009</v>
      </c>
      <c r="B2390" s="17"/>
      <c r="C2390" s="19"/>
      <c r="D2390" s="18"/>
      <c r="E2390" s="18"/>
      <c r="F2390" s="19"/>
      <c r="G2390" s="31"/>
      <c r="H2390" s="31"/>
      <c r="I2390" s="19"/>
      <c r="J2390" s="19"/>
      <c r="K2390" s="18"/>
      <c r="L2390" s="19"/>
      <c r="M2390" s="19"/>
      <c r="N2390" s="20"/>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row>
    <row r="2391" spans="1:45" x14ac:dyDescent="0.3">
      <c r="A2391" s="410" t="s">
        <v>4010</v>
      </c>
      <c r="B2391" s="17"/>
      <c r="C2391" s="19"/>
      <c r="D2391" s="18"/>
      <c r="E2391" s="18"/>
      <c r="F2391" s="19"/>
      <c r="G2391" s="31"/>
      <c r="H2391" s="31"/>
      <c r="I2391" s="19"/>
      <c r="J2391" s="19"/>
      <c r="K2391" s="18"/>
      <c r="L2391" s="19"/>
      <c r="M2391" s="19"/>
      <c r="N2391" s="20"/>
      <c r="O2391" s="19"/>
      <c r="P2391" s="19"/>
      <c r="Q2391" s="19"/>
      <c r="R2391" s="19"/>
      <c r="S2391" s="19"/>
      <c r="T2391" s="19"/>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row>
    <row r="2392" spans="1:45" x14ac:dyDescent="0.3">
      <c r="A2392" s="410" t="s">
        <v>4011</v>
      </c>
      <c r="B2392" s="17"/>
      <c r="C2392" s="19"/>
      <c r="D2392" s="18"/>
      <c r="E2392" s="18"/>
      <c r="F2392" s="19"/>
      <c r="G2392" s="31"/>
      <c r="H2392" s="31"/>
      <c r="I2392" s="19"/>
      <c r="J2392" s="19"/>
      <c r="K2392" s="18"/>
      <c r="L2392" s="19"/>
      <c r="M2392" s="19"/>
      <c r="N2392" s="20"/>
      <c r="O2392" s="19"/>
      <c r="P2392" s="19"/>
      <c r="Q2392" s="19"/>
      <c r="R2392" s="19"/>
      <c r="S2392" s="19"/>
      <c r="T2392" s="19"/>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row>
    <row r="2393" spans="1:45" x14ac:dyDescent="0.3">
      <c r="A2393" s="410" t="s">
        <v>4012</v>
      </c>
      <c r="B2393" s="17"/>
      <c r="C2393" s="19"/>
      <c r="D2393" s="18"/>
      <c r="E2393" s="18"/>
      <c r="F2393" s="19"/>
      <c r="G2393" s="31"/>
      <c r="H2393" s="31"/>
      <c r="I2393" s="19"/>
      <c r="J2393" s="19"/>
      <c r="K2393" s="18"/>
      <c r="L2393" s="19"/>
      <c r="M2393" s="19"/>
      <c r="N2393" s="20"/>
      <c r="O2393" s="19"/>
      <c r="P2393" s="19"/>
      <c r="Q2393" s="19"/>
      <c r="R2393" s="19"/>
      <c r="S2393" s="19"/>
      <c r="T2393" s="19"/>
      <c r="U2393" s="19"/>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row>
    <row r="2394" spans="1:45" x14ac:dyDescent="0.3">
      <c r="A2394" s="410" t="s">
        <v>4013</v>
      </c>
      <c r="B2394" s="17"/>
      <c r="C2394" s="19"/>
      <c r="D2394" s="18"/>
      <c r="E2394" s="18"/>
      <c r="F2394" s="19"/>
      <c r="G2394" s="31"/>
      <c r="H2394" s="31"/>
      <c r="I2394" s="19"/>
      <c r="J2394" s="19"/>
      <c r="K2394" s="18"/>
      <c r="L2394" s="19"/>
      <c r="M2394" s="19"/>
      <c r="N2394" s="20"/>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row>
    <row r="2395" spans="1:45" x14ac:dyDescent="0.3">
      <c r="A2395" s="410" t="s">
        <v>4014</v>
      </c>
      <c r="B2395" s="17"/>
      <c r="C2395" s="19"/>
      <c r="D2395" s="18"/>
      <c r="E2395" s="18"/>
      <c r="F2395" s="19"/>
      <c r="G2395" s="31"/>
      <c r="H2395" s="31"/>
      <c r="I2395" s="19"/>
      <c r="J2395" s="19"/>
      <c r="K2395" s="18"/>
      <c r="L2395" s="19"/>
      <c r="M2395" s="19"/>
      <c r="N2395" s="20"/>
      <c r="O2395" s="19"/>
      <c r="P2395" s="19"/>
      <c r="Q2395" s="19"/>
      <c r="R2395" s="19"/>
      <c r="S2395" s="19"/>
      <c r="T2395" s="19"/>
      <c r="U2395" s="19"/>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row>
    <row r="2396" spans="1:45" x14ac:dyDescent="0.3">
      <c r="A2396" s="410" t="s">
        <v>4015</v>
      </c>
      <c r="B2396" s="17"/>
      <c r="C2396" s="19"/>
      <c r="D2396" s="18"/>
      <c r="E2396" s="18"/>
      <c r="F2396" s="19"/>
      <c r="G2396" s="31"/>
      <c r="H2396" s="31"/>
      <c r="I2396" s="19"/>
      <c r="J2396" s="19"/>
      <c r="K2396" s="18"/>
      <c r="L2396" s="19"/>
      <c r="M2396" s="19"/>
      <c r="N2396" s="20"/>
      <c r="O2396" s="19"/>
      <c r="P2396" s="19"/>
      <c r="Q2396" s="19"/>
      <c r="R2396" s="19"/>
      <c r="S2396" s="19"/>
      <c r="T2396" s="19"/>
      <c r="U2396" s="19"/>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row>
    <row r="2397" spans="1:45" x14ac:dyDescent="0.3">
      <c r="A2397" s="410" t="s">
        <v>4016</v>
      </c>
      <c r="B2397" s="17"/>
      <c r="C2397" s="19"/>
      <c r="D2397" s="18"/>
      <c r="E2397" s="18"/>
      <c r="F2397" s="19"/>
      <c r="G2397" s="31"/>
      <c r="H2397" s="31"/>
      <c r="I2397" s="19"/>
      <c r="J2397" s="19"/>
      <c r="K2397" s="18"/>
      <c r="L2397" s="19"/>
      <c r="M2397" s="19"/>
      <c r="N2397" s="20"/>
      <c r="O2397" s="19"/>
      <c r="P2397" s="19"/>
      <c r="Q2397" s="19"/>
      <c r="R2397" s="19"/>
      <c r="S2397" s="19"/>
      <c r="T2397" s="19"/>
      <c r="U2397" s="19"/>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row>
    <row r="2398" spans="1:45" x14ac:dyDescent="0.3">
      <c r="A2398" s="410" t="s">
        <v>4017</v>
      </c>
      <c r="B2398" s="17"/>
      <c r="C2398" s="19"/>
      <c r="D2398" s="18"/>
      <c r="E2398" s="18"/>
      <c r="F2398" s="19"/>
      <c r="G2398" s="31"/>
      <c r="H2398" s="31"/>
      <c r="I2398" s="19"/>
      <c r="J2398" s="19"/>
      <c r="K2398" s="18"/>
      <c r="L2398" s="19"/>
      <c r="M2398" s="19"/>
      <c r="N2398" s="20"/>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row>
    <row r="2399" spans="1:45" x14ac:dyDescent="0.3">
      <c r="A2399" s="410" t="s">
        <v>4018</v>
      </c>
      <c r="B2399" s="17"/>
      <c r="C2399" s="19"/>
      <c r="D2399" s="18"/>
      <c r="E2399" s="18"/>
      <c r="F2399" s="19"/>
      <c r="G2399" s="31"/>
      <c r="H2399" s="31"/>
      <c r="I2399" s="19"/>
      <c r="J2399" s="19"/>
      <c r="K2399" s="18"/>
      <c r="L2399" s="19"/>
      <c r="M2399" s="19"/>
      <c r="N2399" s="20"/>
      <c r="O2399" s="19"/>
      <c r="P2399" s="19"/>
      <c r="Q2399" s="19"/>
      <c r="R2399" s="19"/>
      <c r="S2399" s="19"/>
      <c r="T2399" s="19"/>
      <c r="U2399" s="19"/>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row>
    <row r="2400" spans="1:45" x14ac:dyDescent="0.3">
      <c r="A2400" s="410" t="s">
        <v>4019</v>
      </c>
      <c r="B2400" s="17"/>
      <c r="C2400" s="19"/>
      <c r="D2400" s="18"/>
      <c r="E2400" s="18"/>
      <c r="F2400" s="19"/>
      <c r="G2400" s="31"/>
      <c r="H2400" s="31"/>
      <c r="I2400" s="19"/>
      <c r="J2400" s="19"/>
      <c r="K2400" s="18"/>
      <c r="L2400" s="19"/>
      <c r="M2400" s="19"/>
      <c r="N2400" s="20"/>
      <c r="O2400" s="19"/>
      <c r="P2400" s="19"/>
      <c r="Q2400" s="19"/>
      <c r="R2400" s="19"/>
      <c r="S2400" s="19"/>
      <c r="T2400" s="19"/>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row>
    <row r="2401" spans="1:45" x14ac:dyDescent="0.3">
      <c r="A2401" s="410" t="s">
        <v>4020</v>
      </c>
      <c r="B2401" s="17"/>
      <c r="C2401" s="19"/>
      <c r="D2401" s="18"/>
      <c r="E2401" s="18"/>
      <c r="F2401" s="19"/>
      <c r="G2401" s="31"/>
      <c r="H2401" s="31"/>
      <c r="I2401" s="19"/>
      <c r="J2401" s="19"/>
      <c r="K2401" s="18"/>
      <c r="L2401" s="19"/>
      <c r="M2401" s="19"/>
      <c r="N2401" s="20"/>
      <c r="O2401" s="19"/>
      <c r="P2401" s="19"/>
      <c r="Q2401" s="19"/>
      <c r="R2401" s="19"/>
      <c r="S2401" s="19"/>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row>
    <row r="2402" spans="1:45" x14ac:dyDescent="0.3">
      <c r="A2402" s="410" t="s">
        <v>4021</v>
      </c>
      <c r="B2402" s="17"/>
      <c r="C2402" s="19"/>
      <c r="D2402" s="18"/>
      <c r="E2402" s="18"/>
      <c r="F2402" s="19"/>
      <c r="G2402" s="31"/>
      <c r="H2402" s="31"/>
      <c r="I2402" s="19"/>
      <c r="J2402" s="19"/>
      <c r="K2402" s="18"/>
      <c r="L2402" s="19"/>
      <c r="M2402" s="19"/>
      <c r="N2402" s="20"/>
      <c r="O2402" s="19"/>
      <c r="P2402" s="19"/>
      <c r="Q2402" s="19"/>
      <c r="R2402" s="19"/>
      <c r="S2402" s="19"/>
      <c r="T2402" s="19"/>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row>
    <row r="2403" spans="1:45" x14ac:dyDescent="0.3">
      <c r="A2403" s="410" t="s">
        <v>4022</v>
      </c>
      <c r="B2403" s="17"/>
      <c r="C2403" s="19"/>
      <c r="D2403" s="18"/>
      <c r="E2403" s="18"/>
      <c r="F2403" s="19"/>
      <c r="G2403" s="31"/>
      <c r="H2403" s="31"/>
      <c r="I2403" s="19"/>
      <c r="J2403" s="19"/>
      <c r="K2403" s="18"/>
      <c r="L2403" s="19"/>
      <c r="M2403" s="19"/>
      <c r="N2403" s="20"/>
      <c r="O2403" s="19"/>
      <c r="P2403" s="19"/>
      <c r="Q2403" s="19"/>
      <c r="R2403" s="19"/>
      <c r="S2403" s="19"/>
      <c r="T2403" s="19"/>
      <c r="U2403" s="19"/>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row>
    <row r="2404" spans="1:45" x14ac:dyDescent="0.3">
      <c r="A2404" s="410" t="s">
        <v>4023</v>
      </c>
      <c r="B2404" s="17"/>
      <c r="C2404" s="19"/>
      <c r="D2404" s="18"/>
      <c r="E2404" s="18"/>
      <c r="F2404" s="19"/>
      <c r="G2404" s="31"/>
      <c r="H2404" s="31"/>
      <c r="I2404" s="19"/>
      <c r="J2404" s="19"/>
      <c r="K2404" s="18"/>
      <c r="L2404" s="19"/>
      <c r="M2404" s="19"/>
      <c r="N2404" s="20"/>
      <c r="O2404" s="19"/>
      <c r="P2404" s="19"/>
      <c r="Q2404" s="19"/>
      <c r="R2404" s="19"/>
      <c r="S2404" s="19"/>
      <c r="T2404" s="19"/>
      <c r="U2404" s="19"/>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row>
    <row r="2405" spans="1:45" x14ac:dyDescent="0.3">
      <c r="A2405" s="410" t="s">
        <v>4024</v>
      </c>
      <c r="B2405" s="17"/>
      <c r="C2405" s="19"/>
      <c r="D2405" s="18"/>
      <c r="E2405" s="18"/>
      <c r="F2405" s="19"/>
      <c r="G2405" s="31"/>
      <c r="H2405" s="31"/>
      <c r="I2405" s="19"/>
      <c r="J2405" s="19"/>
      <c r="K2405" s="18"/>
      <c r="L2405" s="19"/>
      <c r="M2405" s="19"/>
      <c r="N2405" s="20"/>
      <c r="O2405" s="19"/>
      <c r="P2405" s="19"/>
      <c r="Q2405" s="19"/>
      <c r="R2405" s="19"/>
      <c r="S2405" s="19"/>
      <c r="T2405" s="19"/>
      <c r="U2405" s="19"/>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row>
    <row r="2406" spans="1:45" x14ac:dyDescent="0.3">
      <c r="A2406" s="410" t="s">
        <v>4025</v>
      </c>
      <c r="B2406" s="17"/>
      <c r="C2406" s="19"/>
      <c r="D2406" s="18"/>
      <c r="E2406" s="18"/>
      <c r="F2406" s="19"/>
      <c r="G2406" s="31"/>
      <c r="H2406" s="31"/>
      <c r="I2406" s="19"/>
      <c r="J2406" s="19"/>
      <c r="K2406" s="18"/>
      <c r="L2406" s="19"/>
      <c r="M2406" s="19"/>
      <c r="N2406" s="20"/>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row>
    <row r="2407" spans="1:45" x14ac:dyDescent="0.3">
      <c r="A2407" s="410" t="s">
        <v>4026</v>
      </c>
      <c r="B2407" s="17"/>
      <c r="C2407" s="19"/>
      <c r="D2407" s="18"/>
      <c r="E2407" s="18"/>
      <c r="F2407" s="19"/>
      <c r="G2407" s="31"/>
      <c r="H2407" s="31"/>
      <c r="I2407" s="19"/>
      <c r="J2407" s="19"/>
      <c r="K2407" s="18"/>
      <c r="L2407" s="19"/>
      <c r="M2407" s="19"/>
      <c r="N2407" s="20"/>
      <c r="O2407" s="19"/>
      <c r="P2407" s="19"/>
      <c r="Q2407" s="19"/>
      <c r="R2407" s="19"/>
      <c r="S2407" s="19"/>
      <c r="T2407" s="19"/>
      <c r="U2407" s="19"/>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row>
    <row r="2408" spans="1:45" x14ac:dyDescent="0.3">
      <c r="A2408" s="410" t="s">
        <v>4027</v>
      </c>
      <c r="B2408" s="17"/>
      <c r="C2408" s="19"/>
      <c r="D2408" s="18"/>
      <c r="E2408" s="18"/>
      <c r="F2408" s="19"/>
      <c r="G2408" s="31"/>
      <c r="H2408" s="31"/>
      <c r="I2408" s="19"/>
      <c r="J2408" s="19"/>
      <c r="K2408" s="18"/>
      <c r="L2408" s="19"/>
      <c r="M2408" s="19"/>
      <c r="N2408" s="20"/>
      <c r="O2408" s="19"/>
      <c r="P2408" s="19"/>
      <c r="Q2408" s="19"/>
      <c r="R2408" s="19"/>
      <c r="S2408" s="19"/>
      <c r="T2408" s="19"/>
      <c r="U2408" s="19"/>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row>
    <row r="2409" spans="1:45" x14ac:dyDescent="0.3">
      <c r="A2409" s="410" t="s">
        <v>4028</v>
      </c>
      <c r="B2409" s="17"/>
      <c r="C2409" s="19"/>
      <c r="D2409" s="18"/>
      <c r="E2409" s="18"/>
      <c r="F2409" s="19"/>
      <c r="G2409" s="31"/>
      <c r="H2409" s="31"/>
      <c r="I2409" s="19"/>
      <c r="J2409" s="19"/>
      <c r="K2409" s="18"/>
      <c r="L2409" s="19"/>
      <c r="M2409" s="19"/>
      <c r="N2409" s="20"/>
      <c r="O2409" s="19"/>
      <c r="P2409" s="19"/>
      <c r="Q2409" s="19"/>
      <c r="R2409" s="19"/>
      <c r="S2409" s="19"/>
      <c r="T2409" s="19"/>
      <c r="U2409" s="19"/>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row>
    <row r="2410" spans="1:45" x14ac:dyDescent="0.3">
      <c r="A2410" s="410" t="s">
        <v>4029</v>
      </c>
      <c r="B2410" s="17"/>
      <c r="C2410" s="19"/>
      <c r="D2410" s="18"/>
      <c r="E2410" s="18"/>
      <c r="F2410" s="19"/>
      <c r="G2410" s="31"/>
      <c r="H2410" s="31"/>
      <c r="I2410" s="19"/>
      <c r="J2410" s="19"/>
      <c r="K2410" s="18"/>
      <c r="L2410" s="19"/>
      <c r="M2410" s="19"/>
      <c r="N2410" s="20"/>
      <c r="O2410" s="19"/>
      <c r="P2410" s="19"/>
      <c r="Q2410" s="19"/>
      <c r="R2410" s="19"/>
      <c r="S2410" s="19"/>
      <c r="T2410" s="19"/>
      <c r="U2410" s="19"/>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row>
    <row r="2411" spans="1:45" x14ac:dyDescent="0.3">
      <c r="A2411" s="410" t="s">
        <v>4030</v>
      </c>
      <c r="B2411" s="17"/>
      <c r="C2411" s="19"/>
      <c r="D2411" s="18"/>
      <c r="E2411" s="18"/>
      <c r="F2411" s="19"/>
      <c r="G2411" s="31"/>
      <c r="H2411" s="31"/>
      <c r="I2411" s="19"/>
      <c r="J2411" s="19"/>
      <c r="K2411" s="18"/>
      <c r="L2411" s="19"/>
      <c r="M2411" s="19"/>
      <c r="N2411" s="20"/>
      <c r="O2411" s="19"/>
      <c r="P2411" s="19"/>
      <c r="Q2411" s="19"/>
      <c r="R2411" s="19"/>
      <c r="S2411" s="19"/>
      <c r="T2411" s="19"/>
      <c r="U2411" s="19"/>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row>
    <row r="2412" spans="1:45" x14ac:dyDescent="0.3">
      <c r="A2412" s="410" t="s">
        <v>4031</v>
      </c>
      <c r="B2412" s="17"/>
      <c r="C2412" s="19"/>
      <c r="D2412" s="18"/>
      <c r="E2412" s="18"/>
      <c r="F2412" s="19"/>
      <c r="G2412" s="31"/>
      <c r="H2412" s="31"/>
      <c r="I2412" s="19"/>
      <c r="J2412" s="19"/>
      <c r="K2412" s="18"/>
      <c r="L2412" s="19"/>
      <c r="M2412" s="19"/>
      <c r="N2412" s="20"/>
      <c r="O2412" s="19"/>
      <c r="P2412" s="19"/>
      <c r="Q2412" s="19"/>
      <c r="R2412" s="19"/>
      <c r="S2412" s="19"/>
      <c r="T2412" s="19"/>
      <c r="U2412" s="19"/>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row>
    <row r="2413" spans="1:45" x14ac:dyDescent="0.3">
      <c r="A2413" s="410" t="s">
        <v>4032</v>
      </c>
      <c r="B2413" s="17"/>
      <c r="C2413" s="19"/>
      <c r="D2413" s="18"/>
      <c r="E2413" s="18"/>
      <c r="F2413" s="19"/>
      <c r="G2413" s="31"/>
      <c r="H2413" s="31"/>
      <c r="I2413" s="19"/>
      <c r="J2413" s="19"/>
      <c r="K2413" s="18"/>
      <c r="L2413" s="19"/>
      <c r="M2413" s="19"/>
      <c r="N2413" s="20"/>
      <c r="O2413" s="19"/>
      <c r="P2413" s="19"/>
      <c r="Q2413" s="19"/>
      <c r="R2413" s="19"/>
      <c r="S2413" s="19"/>
      <c r="T2413" s="19"/>
      <c r="U2413" s="19"/>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row>
    <row r="2414" spans="1:45" x14ac:dyDescent="0.3">
      <c r="A2414" s="410" t="s">
        <v>4033</v>
      </c>
      <c r="B2414" s="17"/>
      <c r="C2414" s="19"/>
      <c r="D2414" s="18"/>
      <c r="E2414" s="18"/>
      <c r="F2414" s="19"/>
      <c r="G2414" s="31"/>
      <c r="H2414" s="31"/>
      <c r="I2414" s="19"/>
      <c r="J2414" s="19"/>
      <c r="K2414" s="18"/>
      <c r="L2414" s="19"/>
      <c r="M2414" s="19"/>
      <c r="N2414" s="20"/>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row>
    <row r="2415" spans="1:45" x14ac:dyDescent="0.3">
      <c r="A2415" s="410" t="s">
        <v>4034</v>
      </c>
      <c r="B2415" s="17"/>
      <c r="C2415" s="19"/>
      <c r="D2415" s="18"/>
      <c r="E2415" s="18"/>
      <c r="F2415" s="19"/>
      <c r="G2415" s="31"/>
      <c r="H2415" s="31"/>
      <c r="I2415" s="19"/>
      <c r="J2415" s="19"/>
      <c r="K2415" s="18"/>
      <c r="L2415" s="19"/>
      <c r="M2415" s="19"/>
      <c r="N2415" s="20"/>
      <c r="O2415" s="19"/>
      <c r="P2415" s="19"/>
      <c r="Q2415" s="19"/>
      <c r="R2415" s="19"/>
      <c r="S2415" s="19"/>
      <c r="T2415" s="19"/>
      <c r="U2415" s="19"/>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row>
    <row r="2416" spans="1:45" x14ac:dyDescent="0.3">
      <c r="A2416" s="410" t="s">
        <v>4035</v>
      </c>
      <c r="B2416" s="17"/>
      <c r="C2416" s="19"/>
      <c r="D2416" s="18"/>
      <c r="E2416" s="18"/>
      <c r="F2416" s="19"/>
      <c r="G2416" s="31"/>
      <c r="H2416" s="31"/>
      <c r="I2416" s="19"/>
      <c r="J2416" s="19"/>
      <c r="K2416" s="18"/>
      <c r="L2416" s="19"/>
      <c r="M2416" s="19"/>
      <c r="N2416" s="20"/>
      <c r="O2416" s="19"/>
      <c r="P2416" s="19"/>
      <c r="Q2416" s="19"/>
      <c r="R2416" s="19"/>
      <c r="S2416" s="19"/>
      <c r="T2416" s="19"/>
      <c r="U2416" s="19"/>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row>
    <row r="2417" spans="1:45" x14ac:dyDescent="0.3">
      <c r="A2417" s="410" t="s">
        <v>4036</v>
      </c>
      <c r="B2417" s="17"/>
      <c r="C2417" s="19"/>
      <c r="D2417" s="18"/>
      <c r="E2417" s="18"/>
      <c r="F2417" s="19"/>
      <c r="G2417" s="31"/>
      <c r="H2417" s="31"/>
      <c r="I2417" s="19"/>
      <c r="J2417" s="19"/>
      <c r="K2417" s="18"/>
      <c r="L2417" s="19"/>
      <c r="M2417" s="19"/>
      <c r="N2417" s="20"/>
      <c r="O2417" s="19"/>
      <c r="P2417" s="19"/>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row>
    <row r="2418" spans="1:45" x14ac:dyDescent="0.3">
      <c r="A2418" s="410" t="s">
        <v>4037</v>
      </c>
      <c r="B2418" s="17"/>
      <c r="C2418" s="19"/>
      <c r="D2418" s="18"/>
      <c r="E2418" s="18"/>
      <c r="F2418" s="19"/>
      <c r="G2418" s="31"/>
      <c r="H2418" s="31"/>
      <c r="I2418" s="19"/>
      <c r="J2418" s="19"/>
      <c r="K2418" s="18"/>
      <c r="L2418" s="19"/>
      <c r="M2418" s="19"/>
      <c r="N2418" s="20"/>
      <c r="O2418" s="19"/>
      <c r="P2418" s="19"/>
      <c r="Q2418" s="19"/>
      <c r="R2418" s="19"/>
      <c r="S2418" s="19"/>
      <c r="T2418" s="19"/>
      <c r="U2418" s="19"/>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row>
    <row r="2419" spans="1:45" x14ac:dyDescent="0.3">
      <c r="A2419" s="410" t="s">
        <v>4038</v>
      </c>
      <c r="B2419" s="17"/>
      <c r="C2419" s="19"/>
      <c r="D2419" s="18"/>
      <c r="E2419" s="18"/>
      <c r="F2419" s="19"/>
      <c r="G2419" s="31"/>
      <c r="H2419" s="31"/>
      <c r="I2419" s="19"/>
      <c r="J2419" s="19"/>
      <c r="K2419" s="18"/>
      <c r="L2419" s="19"/>
      <c r="M2419" s="19"/>
      <c r="N2419" s="20"/>
      <c r="O2419" s="19"/>
      <c r="P2419" s="19"/>
      <c r="Q2419" s="19"/>
      <c r="R2419" s="19"/>
      <c r="S2419" s="19"/>
      <c r="T2419" s="19"/>
      <c r="U2419" s="19"/>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row>
    <row r="2420" spans="1:45" x14ac:dyDescent="0.3">
      <c r="A2420" s="410" t="s">
        <v>4039</v>
      </c>
      <c r="B2420" s="17"/>
      <c r="C2420" s="19"/>
      <c r="D2420" s="18"/>
      <c r="E2420" s="18"/>
      <c r="F2420" s="19"/>
      <c r="G2420" s="31"/>
      <c r="H2420" s="31"/>
      <c r="I2420" s="19"/>
      <c r="J2420" s="19"/>
      <c r="K2420" s="18"/>
      <c r="L2420" s="19"/>
      <c r="M2420" s="19"/>
      <c r="N2420" s="20"/>
      <c r="O2420" s="19"/>
      <c r="P2420" s="19"/>
      <c r="Q2420" s="19"/>
      <c r="R2420" s="19"/>
      <c r="S2420" s="19"/>
      <c r="T2420" s="19"/>
      <c r="U2420" s="19"/>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row>
    <row r="2421" spans="1:45" x14ac:dyDescent="0.3">
      <c r="A2421" s="410" t="s">
        <v>4040</v>
      </c>
      <c r="B2421" s="17"/>
      <c r="C2421" s="19"/>
      <c r="D2421" s="18"/>
      <c r="E2421" s="18"/>
      <c r="F2421" s="19"/>
      <c r="G2421" s="31"/>
      <c r="H2421" s="31"/>
      <c r="I2421" s="19"/>
      <c r="J2421" s="19"/>
      <c r="K2421" s="18"/>
      <c r="L2421" s="19"/>
      <c r="M2421" s="19"/>
      <c r="N2421" s="20"/>
      <c r="O2421" s="19"/>
      <c r="P2421" s="19"/>
      <c r="Q2421" s="19"/>
      <c r="R2421" s="19"/>
      <c r="S2421" s="19"/>
      <c r="T2421" s="19"/>
      <c r="U2421" s="19"/>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row>
    <row r="2422" spans="1:45" x14ac:dyDescent="0.3">
      <c r="A2422" s="410" t="s">
        <v>4041</v>
      </c>
      <c r="B2422" s="17"/>
      <c r="C2422" s="19"/>
      <c r="D2422" s="18"/>
      <c r="E2422" s="18"/>
      <c r="F2422" s="19"/>
      <c r="G2422" s="31"/>
      <c r="H2422" s="31"/>
      <c r="I2422" s="19"/>
      <c r="J2422" s="19"/>
      <c r="K2422" s="18"/>
      <c r="L2422" s="19"/>
      <c r="M2422" s="19"/>
      <c r="N2422" s="20"/>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row>
    <row r="2423" spans="1:45" x14ac:dyDescent="0.3">
      <c r="A2423" s="410" t="s">
        <v>4042</v>
      </c>
      <c r="B2423" s="17"/>
      <c r="C2423" s="19"/>
      <c r="D2423" s="18"/>
      <c r="E2423" s="18"/>
      <c r="F2423" s="19"/>
      <c r="G2423" s="31"/>
      <c r="H2423" s="31"/>
      <c r="I2423" s="19"/>
      <c r="J2423" s="19"/>
      <c r="K2423" s="18"/>
      <c r="L2423" s="19"/>
      <c r="M2423" s="19"/>
      <c r="N2423" s="20"/>
      <c r="O2423" s="19"/>
      <c r="P2423" s="19"/>
      <c r="Q2423" s="19"/>
      <c r="R2423" s="19"/>
      <c r="S2423" s="19"/>
      <c r="T2423" s="19"/>
      <c r="U2423" s="19"/>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row>
    <row r="2424" spans="1:45" x14ac:dyDescent="0.3">
      <c r="A2424" s="410" t="s">
        <v>4043</v>
      </c>
      <c r="B2424" s="17"/>
      <c r="C2424" s="19"/>
      <c r="D2424" s="18"/>
      <c r="E2424" s="18"/>
      <c r="F2424" s="19"/>
      <c r="G2424" s="31"/>
      <c r="H2424" s="31"/>
      <c r="I2424" s="19"/>
      <c r="J2424" s="19"/>
      <c r="K2424" s="18"/>
      <c r="L2424" s="19"/>
      <c r="M2424" s="19"/>
      <c r="N2424" s="20"/>
      <c r="O2424" s="19"/>
      <c r="P2424" s="19"/>
      <c r="Q2424" s="19"/>
      <c r="R2424" s="19"/>
      <c r="S2424" s="19"/>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row>
    <row r="2425" spans="1:45" x14ac:dyDescent="0.3">
      <c r="A2425" s="410" t="s">
        <v>4044</v>
      </c>
      <c r="B2425" s="17"/>
      <c r="C2425" s="19"/>
      <c r="D2425" s="18"/>
      <c r="E2425" s="18"/>
      <c r="F2425" s="19"/>
      <c r="G2425" s="31"/>
      <c r="H2425" s="31"/>
      <c r="I2425" s="19"/>
      <c r="J2425" s="19"/>
      <c r="K2425" s="18"/>
      <c r="L2425" s="19"/>
      <c r="M2425" s="19"/>
      <c r="N2425" s="20"/>
      <c r="O2425" s="19"/>
      <c r="P2425" s="19"/>
      <c r="Q2425" s="19"/>
      <c r="R2425" s="19"/>
      <c r="S2425" s="19"/>
      <c r="T2425" s="19"/>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row>
    <row r="2426" spans="1:45" x14ac:dyDescent="0.3">
      <c r="A2426" s="410" t="s">
        <v>4045</v>
      </c>
      <c r="B2426" s="17"/>
      <c r="C2426" s="19"/>
      <c r="D2426" s="18"/>
      <c r="E2426" s="18"/>
      <c r="F2426" s="19"/>
      <c r="G2426" s="31"/>
      <c r="H2426" s="31"/>
      <c r="I2426" s="19"/>
      <c r="J2426" s="19"/>
      <c r="K2426" s="18"/>
      <c r="L2426" s="19"/>
      <c r="M2426" s="19"/>
      <c r="N2426" s="20"/>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row>
    <row r="2427" spans="1:45" x14ac:dyDescent="0.3">
      <c r="A2427" s="410" t="s">
        <v>4046</v>
      </c>
      <c r="B2427" s="17"/>
      <c r="C2427" s="19"/>
      <c r="D2427" s="18"/>
      <c r="E2427" s="18"/>
      <c r="F2427" s="19"/>
      <c r="G2427" s="31"/>
      <c r="H2427" s="31"/>
      <c r="I2427" s="19"/>
      <c r="J2427" s="19"/>
      <c r="K2427" s="18"/>
      <c r="L2427" s="19"/>
      <c r="M2427" s="19"/>
      <c r="N2427" s="20"/>
      <c r="O2427" s="19"/>
      <c r="P2427" s="19"/>
      <c r="Q2427" s="19"/>
      <c r="R2427" s="19"/>
      <c r="S2427" s="19"/>
      <c r="T2427" s="19"/>
      <c r="U2427" s="19"/>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row>
    <row r="2428" spans="1:45" x14ac:dyDescent="0.3">
      <c r="A2428" s="410" t="s">
        <v>4047</v>
      </c>
      <c r="B2428" s="17"/>
      <c r="C2428" s="19"/>
      <c r="D2428" s="18"/>
      <c r="E2428" s="18"/>
      <c r="F2428" s="19"/>
      <c r="G2428" s="31"/>
      <c r="H2428" s="31"/>
      <c r="I2428" s="19"/>
      <c r="J2428" s="19"/>
      <c r="K2428" s="18"/>
      <c r="L2428" s="19"/>
      <c r="M2428" s="19"/>
      <c r="N2428" s="20"/>
      <c r="O2428" s="19"/>
      <c r="P2428" s="19"/>
      <c r="Q2428" s="19"/>
      <c r="R2428" s="19"/>
      <c r="S2428" s="19"/>
      <c r="T2428" s="19"/>
      <c r="U2428" s="19"/>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row>
    <row r="2429" spans="1:45" x14ac:dyDescent="0.3">
      <c r="A2429" s="410" t="s">
        <v>4048</v>
      </c>
      <c r="B2429" s="17"/>
      <c r="C2429" s="19"/>
      <c r="D2429" s="18"/>
      <c r="E2429" s="18"/>
      <c r="F2429" s="19"/>
      <c r="G2429" s="31"/>
      <c r="H2429" s="31"/>
      <c r="I2429" s="19"/>
      <c r="J2429" s="19"/>
      <c r="K2429" s="18"/>
      <c r="L2429" s="19"/>
      <c r="M2429" s="19"/>
      <c r="N2429" s="20"/>
      <c r="O2429" s="19"/>
      <c r="P2429" s="19"/>
      <c r="Q2429" s="19"/>
      <c r="R2429" s="19"/>
      <c r="S2429" s="19"/>
      <c r="T2429" s="19"/>
      <c r="U2429" s="19"/>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row>
    <row r="2430" spans="1:45" x14ac:dyDescent="0.3">
      <c r="A2430" s="410" t="s">
        <v>4049</v>
      </c>
      <c r="B2430" s="17"/>
      <c r="C2430" s="19"/>
      <c r="D2430" s="18"/>
      <c r="E2430" s="18"/>
      <c r="F2430" s="19"/>
      <c r="G2430" s="31"/>
      <c r="H2430" s="31"/>
      <c r="I2430" s="19"/>
      <c r="J2430" s="19"/>
      <c r="K2430" s="18"/>
      <c r="L2430" s="19"/>
      <c r="M2430" s="19"/>
      <c r="N2430" s="20"/>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row>
    <row r="2431" spans="1:45" x14ac:dyDescent="0.3">
      <c r="A2431" s="410" t="s">
        <v>4050</v>
      </c>
      <c r="B2431" s="17"/>
      <c r="C2431" s="19"/>
      <c r="D2431" s="18"/>
      <c r="E2431" s="18"/>
      <c r="F2431" s="19"/>
      <c r="G2431" s="31"/>
      <c r="H2431" s="31"/>
      <c r="I2431" s="19"/>
      <c r="J2431" s="19"/>
      <c r="K2431" s="18"/>
      <c r="L2431" s="19"/>
      <c r="M2431" s="19"/>
      <c r="N2431" s="20"/>
      <c r="O2431" s="19"/>
      <c r="P2431" s="19"/>
      <c r="Q2431" s="19"/>
      <c r="R2431" s="19"/>
      <c r="S2431" s="19"/>
      <c r="T2431" s="19"/>
      <c r="U2431" s="19"/>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row>
    <row r="2432" spans="1:45" x14ac:dyDescent="0.3">
      <c r="A2432" s="410" t="s">
        <v>4051</v>
      </c>
      <c r="B2432" s="17"/>
      <c r="C2432" s="19"/>
      <c r="D2432" s="18"/>
      <c r="E2432" s="18"/>
      <c r="F2432" s="19"/>
      <c r="G2432" s="31"/>
      <c r="H2432" s="31"/>
      <c r="I2432" s="19"/>
      <c r="J2432" s="19"/>
      <c r="K2432" s="18"/>
      <c r="L2432" s="19"/>
      <c r="M2432" s="19"/>
      <c r="N2432" s="20"/>
      <c r="O2432" s="19"/>
      <c r="P2432" s="19"/>
      <c r="Q2432" s="19"/>
      <c r="R2432" s="19"/>
      <c r="S2432" s="19"/>
      <c r="T2432" s="19"/>
      <c r="U2432" s="19"/>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row>
    <row r="2433" spans="1:45" x14ac:dyDescent="0.3">
      <c r="A2433" s="410" t="s">
        <v>4052</v>
      </c>
      <c r="B2433" s="17"/>
      <c r="C2433" s="19"/>
      <c r="D2433" s="18"/>
      <c r="E2433" s="18"/>
      <c r="F2433" s="19"/>
      <c r="G2433" s="31"/>
      <c r="H2433" s="31"/>
      <c r="I2433" s="19"/>
      <c r="J2433" s="19"/>
      <c r="K2433" s="18"/>
      <c r="L2433" s="19"/>
      <c r="M2433" s="19"/>
      <c r="N2433" s="20"/>
      <c r="O2433" s="19"/>
      <c r="P2433" s="19"/>
      <c r="Q2433" s="19"/>
      <c r="R2433" s="19"/>
      <c r="S2433" s="19"/>
      <c r="T2433" s="19"/>
      <c r="U2433" s="19"/>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row>
    <row r="2434" spans="1:45" x14ac:dyDescent="0.3">
      <c r="A2434" s="410" t="s">
        <v>4053</v>
      </c>
      <c r="B2434" s="17"/>
      <c r="C2434" s="19"/>
      <c r="D2434" s="18"/>
      <c r="E2434" s="18"/>
      <c r="F2434" s="19"/>
      <c r="G2434" s="31"/>
      <c r="H2434" s="31"/>
      <c r="I2434" s="19"/>
      <c r="J2434" s="19"/>
      <c r="K2434" s="18"/>
      <c r="L2434" s="19"/>
      <c r="M2434" s="19"/>
      <c r="N2434" s="20"/>
      <c r="O2434" s="19"/>
      <c r="P2434" s="19"/>
      <c r="Q2434" s="19"/>
      <c r="R2434" s="19"/>
      <c r="S2434" s="19"/>
      <c r="T2434" s="19"/>
      <c r="U2434" s="19"/>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row>
    <row r="2435" spans="1:45" x14ac:dyDescent="0.3">
      <c r="A2435" s="410" t="s">
        <v>4054</v>
      </c>
      <c r="B2435" s="17"/>
      <c r="C2435" s="19"/>
      <c r="D2435" s="18"/>
      <c r="E2435" s="18"/>
      <c r="F2435" s="19"/>
      <c r="G2435" s="31"/>
      <c r="H2435" s="31"/>
      <c r="I2435" s="19"/>
      <c r="J2435" s="19"/>
      <c r="K2435" s="18"/>
      <c r="L2435" s="19"/>
      <c r="M2435" s="19"/>
      <c r="N2435" s="20"/>
      <c r="O2435" s="19"/>
      <c r="P2435" s="19"/>
      <c r="Q2435" s="19"/>
      <c r="R2435" s="19"/>
      <c r="S2435" s="19"/>
      <c r="T2435" s="19"/>
      <c r="U2435" s="19"/>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row>
    <row r="2436" spans="1:45" x14ac:dyDescent="0.3">
      <c r="A2436" s="410" t="s">
        <v>4055</v>
      </c>
      <c r="B2436" s="17"/>
      <c r="C2436" s="19"/>
      <c r="D2436" s="18"/>
      <c r="E2436" s="18"/>
      <c r="F2436" s="19"/>
      <c r="G2436" s="31"/>
      <c r="H2436" s="31"/>
      <c r="I2436" s="19"/>
      <c r="J2436" s="19"/>
      <c r="K2436" s="18"/>
      <c r="L2436" s="19"/>
      <c r="M2436" s="19"/>
      <c r="N2436" s="20"/>
      <c r="O2436" s="19"/>
      <c r="P2436" s="19"/>
      <c r="Q2436" s="19"/>
      <c r="R2436" s="19"/>
      <c r="S2436" s="19"/>
      <c r="T2436" s="19"/>
      <c r="U2436" s="19"/>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row>
    <row r="2437" spans="1:45" x14ac:dyDescent="0.3">
      <c r="A2437" s="410" t="s">
        <v>4056</v>
      </c>
      <c r="B2437" s="17"/>
      <c r="C2437" s="19"/>
      <c r="D2437" s="18"/>
      <c r="E2437" s="18"/>
      <c r="F2437" s="19"/>
      <c r="G2437" s="31"/>
      <c r="H2437" s="31"/>
      <c r="I2437" s="19"/>
      <c r="J2437" s="19"/>
      <c r="K2437" s="18"/>
      <c r="L2437" s="19"/>
      <c r="M2437" s="19"/>
      <c r="N2437" s="20"/>
      <c r="O2437" s="19"/>
      <c r="P2437" s="19"/>
      <c r="Q2437" s="19"/>
      <c r="R2437" s="19"/>
      <c r="S2437" s="19"/>
      <c r="T2437" s="19"/>
      <c r="U2437" s="19"/>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row>
    <row r="2438" spans="1:45" x14ac:dyDescent="0.3">
      <c r="A2438" s="410" t="s">
        <v>4057</v>
      </c>
      <c r="B2438" s="17"/>
      <c r="C2438" s="19"/>
      <c r="D2438" s="18"/>
      <c r="E2438" s="18"/>
      <c r="F2438" s="19"/>
      <c r="G2438" s="31"/>
      <c r="H2438" s="31"/>
      <c r="I2438" s="19"/>
      <c r="J2438" s="19"/>
      <c r="K2438" s="18"/>
      <c r="L2438" s="19"/>
      <c r="M2438" s="19"/>
      <c r="N2438" s="20"/>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row>
    <row r="2439" spans="1:45" x14ac:dyDescent="0.3">
      <c r="A2439" s="410" t="s">
        <v>4058</v>
      </c>
      <c r="B2439" s="17"/>
      <c r="C2439" s="19"/>
      <c r="D2439" s="18"/>
      <c r="E2439" s="17"/>
      <c r="F2439" s="19"/>
      <c r="G2439" s="31"/>
      <c r="H2439" s="31"/>
      <c r="I2439" s="19"/>
      <c r="J2439" s="19"/>
      <c r="K2439" s="18"/>
      <c r="L2439" s="19"/>
      <c r="M2439" s="19"/>
      <c r="N2439" s="20"/>
      <c r="O2439" s="19"/>
      <c r="P2439" s="19"/>
      <c r="Q2439" s="19"/>
      <c r="R2439" s="19"/>
      <c r="S2439" s="19"/>
      <c r="T2439" s="19"/>
      <c r="U2439" s="19"/>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row>
    <row r="2440" spans="1:45" x14ac:dyDescent="0.3">
      <c r="A2440" s="410" t="s">
        <v>4059</v>
      </c>
      <c r="B2440" s="17"/>
      <c r="C2440" s="19"/>
      <c r="D2440" s="18"/>
      <c r="E2440" s="17"/>
      <c r="F2440" s="19"/>
      <c r="G2440" s="31"/>
      <c r="H2440" s="31"/>
      <c r="I2440" s="19"/>
      <c r="J2440" s="19"/>
      <c r="K2440" s="18"/>
      <c r="L2440" s="19"/>
      <c r="M2440" s="19"/>
      <c r="N2440" s="20"/>
      <c r="O2440" s="19"/>
      <c r="P2440" s="19"/>
      <c r="Q2440" s="19"/>
      <c r="R2440" s="19"/>
      <c r="S2440" s="19"/>
      <c r="T2440" s="19"/>
      <c r="U2440" s="19"/>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row>
    <row r="2441" spans="1:45" x14ac:dyDescent="0.3">
      <c r="A2441" s="410"/>
      <c r="B2441" s="17"/>
      <c r="C2441" s="19"/>
      <c r="D2441" s="18"/>
      <c r="E2441" s="17"/>
      <c r="F2441" s="19"/>
      <c r="G2441" s="31"/>
      <c r="H2441" s="31"/>
      <c r="I2441" s="19"/>
      <c r="J2441" s="19"/>
      <c r="K2441" s="18"/>
      <c r="L2441" s="19"/>
      <c r="M2441" s="19"/>
      <c r="N2441" s="20"/>
      <c r="O2441" s="19"/>
      <c r="P2441" s="19"/>
      <c r="Q2441" s="19"/>
      <c r="R2441" s="19"/>
      <c r="S2441" s="19"/>
      <c r="T2441" s="19"/>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row>
    <row r="2442" spans="1:45" x14ac:dyDescent="0.3">
      <c r="A2442" s="410" t="s">
        <v>4060</v>
      </c>
      <c r="B2442" s="17" t="s">
        <v>4061</v>
      </c>
      <c r="C2442" s="19"/>
      <c r="D2442" s="19">
        <v>23163641</v>
      </c>
      <c r="E2442" s="17"/>
      <c r="F2442" s="19"/>
      <c r="G2442" s="31">
        <v>45360</v>
      </c>
      <c r="H2442" s="31">
        <v>45725</v>
      </c>
      <c r="I2442" s="19" t="s">
        <v>1372</v>
      </c>
      <c r="J2442" s="19" t="s">
        <v>1373</v>
      </c>
      <c r="K2442" s="21" t="s">
        <v>4062</v>
      </c>
      <c r="L2442" s="22" t="s">
        <v>1373</v>
      </c>
      <c r="M2442" s="19" t="s">
        <v>4063</v>
      </c>
      <c r="N2442" s="20"/>
      <c r="O2442" s="19" t="s">
        <v>1372</v>
      </c>
      <c r="P2442" s="19"/>
      <c r="Q2442" s="19" t="s">
        <v>1372</v>
      </c>
      <c r="R2442" s="19" t="s">
        <v>1372</v>
      </c>
      <c r="S2442" s="19" t="s">
        <v>1372</v>
      </c>
      <c r="T2442" s="19" t="s">
        <v>1372</v>
      </c>
      <c r="U2442" s="19" t="s">
        <v>1372</v>
      </c>
      <c r="V2442" s="19" t="s">
        <v>1372</v>
      </c>
      <c r="W2442" s="19"/>
      <c r="X2442" s="19"/>
      <c r="Y2442" s="19"/>
      <c r="Z2442" s="19" t="s">
        <v>1372</v>
      </c>
      <c r="AA2442" s="19"/>
      <c r="AB2442" s="19"/>
      <c r="AC2442" s="19"/>
      <c r="AD2442" s="19"/>
      <c r="AE2442" s="19"/>
      <c r="AF2442" s="19" t="s">
        <v>1372</v>
      </c>
      <c r="AG2442" s="19"/>
      <c r="AH2442" s="19"/>
      <c r="AI2442" s="19"/>
      <c r="AJ2442" s="19"/>
      <c r="AK2442" s="19"/>
      <c r="AL2442" s="19"/>
      <c r="AM2442" s="19"/>
      <c r="AN2442" s="19"/>
      <c r="AO2442" s="19"/>
      <c r="AP2442" s="19" t="s">
        <v>1372</v>
      </c>
      <c r="AQ2442" s="19"/>
      <c r="AR2442" s="19" t="s">
        <v>1768</v>
      </c>
      <c r="AS2442" s="19"/>
    </row>
    <row r="2443" spans="1:45" x14ac:dyDescent="0.3">
      <c r="A2443" s="410" t="s">
        <v>4064</v>
      </c>
      <c r="B2443" s="17" t="s">
        <v>4065</v>
      </c>
      <c r="C2443" s="19"/>
      <c r="D2443" s="19">
        <v>23157954</v>
      </c>
      <c r="E2443" s="17"/>
      <c r="F2443" s="19"/>
      <c r="G2443" s="31">
        <v>45362</v>
      </c>
      <c r="H2443" s="31">
        <v>45727</v>
      </c>
      <c r="I2443" s="19" t="s">
        <v>1372</v>
      </c>
      <c r="J2443" s="19" t="s">
        <v>1373</v>
      </c>
      <c r="K2443" s="21" t="s">
        <v>1372</v>
      </c>
      <c r="L2443" s="22" t="s">
        <v>1373</v>
      </c>
      <c r="M2443" s="19" t="s">
        <v>1461</v>
      </c>
      <c r="N2443" s="20" t="s">
        <v>4063</v>
      </c>
      <c r="O2443" s="19" t="s">
        <v>1372</v>
      </c>
      <c r="P2443" s="19"/>
      <c r="Q2443" s="19" t="s">
        <v>1372</v>
      </c>
      <c r="R2443" s="19" t="s">
        <v>1372</v>
      </c>
      <c r="S2443" s="19" t="s">
        <v>1372</v>
      </c>
      <c r="T2443" s="19" t="s">
        <v>1372</v>
      </c>
      <c r="U2443" s="19"/>
      <c r="V2443" s="19" t="s">
        <v>1372</v>
      </c>
      <c r="W2443" s="19"/>
      <c r="X2443" s="19"/>
      <c r="Y2443" s="19"/>
      <c r="Z2443" s="19" t="s">
        <v>1372</v>
      </c>
      <c r="AA2443" s="19"/>
      <c r="AB2443" s="19"/>
      <c r="AC2443" s="19"/>
      <c r="AD2443" s="19"/>
      <c r="AE2443" s="19"/>
      <c r="AF2443" s="19" t="s">
        <v>1372</v>
      </c>
      <c r="AG2443" s="19"/>
      <c r="AH2443" s="19"/>
      <c r="AI2443" s="19"/>
      <c r="AJ2443" s="19"/>
      <c r="AK2443" s="19"/>
      <c r="AL2443" s="19"/>
      <c r="AM2443" s="19" t="s">
        <v>1372</v>
      </c>
      <c r="AN2443" s="19"/>
      <c r="AO2443" s="19"/>
      <c r="AP2443" s="19" t="s">
        <v>1372</v>
      </c>
      <c r="AQ2443" s="19"/>
      <c r="AR2443" s="19" t="s">
        <v>1783</v>
      </c>
      <c r="AS2443" s="19"/>
    </row>
    <row r="2444" spans="1:45" x14ac:dyDescent="0.3">
      <c r="A2444" s="410" t="s">
        <v>4066</v>
      </c>
      <c r="B2444" s="17" t="s">
        <v>4067</v>
      </c>
      <c r="C2444" s="19"/>
      <c r="D2444" s="19">
        <v>23212166</v>
      </c>
      <c r="E2444" s="17"/>
      <c r="F2444" s="19"/>
      <c r="G2444" s="31">
        <v>45360</v>
      </c>
      <c r="H2444" s="31">
        <v>45725</v>
      </c>
      <c r="I2444" s="19" t="s">
        <v>1372</v>
      </c>
      <c r="J2444" s="19" t="s">
        <v>1373</v>
      </c>
      <c r="K2444" s="18" t="s">
        <v>1372</v>
      </c>
      <c r="L2444" s="19" t="s">
        <v>1373</v>
      </c>
      <c r="M2444" s="19" t="s">
        <v>1461</v>
      </c>
      <c r="N2444" s="20" t="s">
        <v>4063</v>
      </c>
      <c r="O2444" s="19" t="s">
        <v>1372</v>
      </c>
      <c r="P2444" s="19"/>
      <c r="Q2444" s="19" t="s">
        <v>1372</v>
      </c>
      <c r="R2444" s="19" t="s">
        <v>1372</v>
      </c>
      <c r="S2444" s="19" t="s">
        <v>1372</v>
      </c>
      <c r="T2444" s="19" t="s">
        <v>1372</v>
      </c>
      <c r="U2444" s="19" t="s">
        <v>1372</v>
      </c>
      <c r="V2444" s="19" t="s">
        <v>1372</v>
      </c>
      <c r="W2444" s="19"/>
      <c r="X2444" s="19"/>
      <c r="Y2444" s="19"/>
      <c r="Z2444" s="19" t="s">
        <v>1372</v>
      </c>
      <c r="AA2444" s="19"/>
      <c r="AB2444" s="19"/>
      <c r="AC2444" s="19"/>
      <c r="AD2444" s="19"/>
      <c r="AE2444" s="19"/>
      <c r="AF2444" s="19" t="s">
        <v>1372</v>
      </c>
      <c r="AG2444" s="19"/>
      <c r="AH2444" s="19"/>
      <c r="AI2444" s="19"/>
      <c r="AJ2444" s="19"/>
      <c r="AK2444" s="19"/>
      <c r="AL2444" s="19"/>
      <c r="AM2444" s="19" t="s">
        <v>1372</v>
      </c>
      <c r="AN2444" s="19"/>
      <c r="AO2444" s="19"/>
      <c r="AP2444" s="19" t="s">
        <v>1372</v>
      </c>
      <c r="AQ2444" s="19"/>
      <c r="AR2444" s="19" t="s">
        <v>1372</v>
      </c>
      <c r="AS2444" s="19" t="s">
        <v>1783</v>
      </c>
    </row>
    <row r="2445" spans="1:45" x14ac:dyDescent="0.3">
      <c r="A2445" s="410" t="s">
        <v>4068</v>
      </c>
      <c r="B2445" s="17" t="s">
        <v>4069</v>
      </c>
      <c r="C2445" s="19" t="s">
        <v>4070</v>
      </c>
      <c r="D2445" s="19">
        <v>23163809</v>
      </c>
      <c r="E2445" s="17"/>
      <c r="F2445" s="19"/>
      <c r="G2445" s="31">
        <v>45361</v>
      </c>
      <c r="H2445" s="31">
        <v>45726</v>
      </c>
      <c r="I2445" s="19" t="s">
        <v>1372</v>
      </c>
      <c r="J2445" s="19" t="s">
        <v>1373</v>
      </c>
      <c r="K2445" s="18" t="s">
        <v>1372</v>
      </c>
      <c r="L2445" s="19" t="s">
        <v>1373</v>
      </c>
      <c r="M2445" s="19"/>
      <c r="N2445" s="20"/>
      <c r="O2445" s="19" t="s">
        <v>1372</v>
      </c>
      <c r="P2445" s="19"/>
      <c r="Q2445" s="19" t="s">
        <v>1372</v>
      </c>
      <c r="R2445" s="19" t="s">
        <v>1372</v>
      </c>
      <c r="S2445" s="19" t="s">
        <v>1372</v>
      </c>
      <c r="T2445" s="19" t="s">
        <v>1372</v>
      </c>
      <c r="U2445" s="19" t="s">
        <v>1372</v>
      </c>
      <c r="V2445" s="19" t="s">
        <v>1372</v>
      </c>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t="s">
        <v>1783</v>
      </c>
      <c r="AS2445" s="19"/>
    </row>
    <row r="2446" spans="1:45" x14ac:dyDescent="0.3">
      <c r="A2446" s="410" t="s">
        <v>4071</v>
      </c>
      <c r="B2446" s="17"/>
      <c r="C2446" s="19"/>
      <c r="D2446" s="18"/>
      <c r="E2446" s="17"/>
      <c r="F2446" s="19"/>
      <c r="G2446" s="31"/>
      <c r="H2446" s="31"/>
      <c r="I2446" s="19"/>
      <c r="J2446" s="19"/>
      <c r="K2446" s="21"/>
      <c r="L2446" s="22"/>
      <c r="M2446" s="19"/>
      <c r="N2446" s="20"/>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row>
    <row r="2447" spans="1:45" x14ac:dyDescent="0.3">
      <c r="A2447" s="410" t="s">
        <v>4072</v>
      </c>
      <c r="B2447" s="17"/>
      <c r="C2447" s="19"/>
      <c r="D2447" s="18"/>
      <c r="E2447" s="18"/>
      <c r="F2447" s="19"/>
      <c r="G2447" s="31"/>
      <c r="H2447" s="31"/>
      <c r="I2447" s="19"/>
      <c r="J2447" s="19"/>
      <c r="K2447" s="21"/>
      <c r="L2447" s="22"/>
      <c r="M2447" s="19"/>
      <c r="N2447" s="20"/>
      <c r="O2447" s="19"/>
      <c r="P2447" s="19"/>
      <c r="Q2447" s="19"/>
      <c r="R2447" s="19"/>
      <c r="S2447" s="19"/>
      <c r="T2447" s="19"/>
      <c r="U2447" s="19"/>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row>
    <row r="2448" spans="1:45" x14ac:dyDescent="0.3">
      <c r="A2448" s="410" t="s">
        <v>4073</v>
      </c>
      <c r="B2448" s="17"/>
      <c r="C2448" s="19"/>
      <c r="D2448" s="18"/>
      <c r="E2448" s="18"/>
      <c r="F2448" s="19"/>
      <c r="G2448" s="31"/>
      <c r="H2448" s="31"/>
      <c r="I2448" s="19"/>
      <c r="J2448" s="19"/>
      <c r="K2448" s="21"/>
      <c r="L2448" s="22"/>
      <c r="M2448" s="19"/>
      <c r="N2448" s="20"/>
      <c r="O2448" s="19"/>
      <c r="P2448" s="19"/>
      <c r="Q2448" s="19"/>
      <c r="R2448" s="19"/>
      <c r="S2448" s="19"/>
      <c r="T2448" s="19"/>
      <c r="U2448" s="19"/>
      <c r="V2448" s="19"/>
      <c r="W2448" s="19"/>
      <c r="X2448" s="19"/>
      <c r="Y2448" s="19"/>
      <c r="Z2448" s="19"/>
      <c r="AA2448" s="19"/>
      <c r="AB2448" s="19"/>
      <c r="AC2448" s="19"/>
      <c r="AD2448" s="19"/>
      <c r="AE2448" s="19"/>
      <c r="AF2448" s="19"/>
      <c r="AG2448" s="19"/>
      <c r="AH2448" s="19"/>
      <c r="AI2448" s="19"/>
      <c r="AJ2448" s="19"/>
      <c r="AK2448" s="19"/>
      <c r="AL2448" s="19"/>
      <c r="AM2448" s="19"/>
      <c r="AN2448" s="19"/>
      <c r="AO2448" s="19"/>
      <c r="AP2448" s="19"/>
      <c r="AQ2448" s="19"/>
      <c r="AR2448" s="19"/>
      <c r="AS2448" s="19"/>
    </row>
    <row r="2449" spans="1:45" x14ac:dyDescent="0.3">
      <c r="A2449" s="410" t="s">
        <v>4074</v>
      </c>
      <c r="B2449" s="17"/>
      <c r="C2449" s="19"/>
      <c r="D2449" s="18"/>
      <c r="E2449" s="18"/>
      <c r="F2449" s="19"/>
      <c r="G2449" s="31"/>
      <c r="H2449" s="31"/>
      <c r="I2449" s="19"/>
      <c r="J2449" s="19"/>
      <c r="K2449" s="21"/>
      <c r="L2449" s="22"/>
      <c r="M2449" s="19"/>
      <c r="N2449" s="20"/>
      <c r="O2449" s="19"/>
      <c r="P2449" s="19"/>
      <c r="Q2449" s="19"/>
      <c r="R2449" s="19"/>
      <c r="S2449" s="19"/>
      <c r="T2449" s="19"/>
      <c r="U2449" s="19"/>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row>
    <row r="2450" spans="1:45" x14ac:dyDescent="0.3">
      <c r="A2450" s="410" t="s">
        <v>4075</v>
      </c>
      <c r="B2450" s="17"/>
      <c r="C2450" s="19"/>
      <c r="D2450" s="18"/>
      <c r="E2450" s="18"/>
      <c r="F2450" s="19"/>
      <c r="G2450" s="31"/>
      <c r="H2450" s="31"/>
      <c r="I2450" s="19"/>
      <c r="J2450" s="19"/>
      <c r="K2450" s="21"/>
      <c r="L2450" s="22"/>
      <c r="M2450" s="19"/>
      <c r="N2450" s="20"/>
      <c r="O2450" s="19"/>
      <c r="P2450" s="19"/>
      <c r="Q2450" s="19"/>
      <c r="R2450" s="19"/>
      <c r="S2450" s="19"/>
      <c r="T2450" s="19"/>
      <c r="U2450" s="19"/>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row>
    <row r="2451" spans="1:45" x14ac:dyDescent="0.3">
      <c r="A2451" s="410" t="s">
        <v>4076</v>
      </c>
      <c r="B2451" s="17"/>
      <c r="C2451" s="19"/>
      <c r="D2451" s="18"/>
      <c r="E2451" s="18"/>
      <c r="F2451" s="19"/>
      <c r="G2451" s="31"/>
      <c r="H2451" s="31"/>
      <c r="I2451" s="19"/>
      <c r="J2451" s="19"/>
      <c r="K2451" s="21"/>
      <c r="L2451" s="22"/>
      <c r="M2451" s="19"/>
      <c r="N2451" s="20"/>
      <c r="O2451" s="19"/>
      <c r="P2451" s="19"/>
      <c r="Q2451" s="19"/>
      <c r="R2451" s="19"/>
      <c r="S2451" s="19"/>
      <c r="T2451" s="19"/>
      <c r="U2451" s="19"/>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row>
    <row r="2452" spans="1:45" x14ac:dyDescent="0.3">
      <c r="A2452" s="410" t="s">
        <v>4077</v>
      </c>
      <c r="B2452" s="17"/>
      <c r="C2452" s="19"/>
      <c r="D2452" s="18"/>
      <c r="E2452" s="18"/>
      <c r="F2452" s="19"/>
      <c r="G2452" s="31"/>
      <c r="H2452" s="31"/>
      <c r="I2452" s="19"/>
      <c r="J2452" s="19"/>
      <c r="K2452" s="21"/>
      <c r="L2452" s="22"/>
      <c r="M2452" s="19"/>
      <c r="N2452" s="20"/>
      <c r="O2452" s="19"/>
      <c r="P2452" s="19"/>
      <c r="Q2452" s="19"/>
      <c r="R2452" s="19"/>
      <c r="S2452" s="19"/>
      <c r="T2452" s="19"/>
      <c r="U2452" s="19"/>
      <c r="V2452" s="19"/>
      <c r="W2452" s="19"/>
      <c r="X2452" s="19"/>
      <c r="Y2452" s="19"/>
      <c r="Z2452" s="19"/>
      <c r="AA2452" s="19"/>
      <c r="AB2452" s="19"/>
      <c r="AC2452" s="19"/>
      <c r="AD2452" s="19"/>
      <c r="AE2452" s="19"/>
      <c r="AF2452" s="19"/>
      <c r="AG2452" s="19"/>
      <c r="AH2452" s="19"/>
      <c r="AI2452" s="19"/>
      <c r="AJ2452" s="19"/>
      <c r="AK2452" s="19"/>
      <c r="AL2452" s="19"/>
      <c r="AM2452" s="19"/>
      <c r="AN2452" s="19"/>
      <c r="AO2452" s="19"/>
      <c r="AP2452" s="19"/>
      <c r="AQ2452" s="19"/>
      <c r="AR2452" s="19"/>
      <c r="AS2452" s="19"/>
    </row>
    <row r="2453" spans="1:45" x14ac:dyDescent="0.3">
      <c r="A2453" s="410" t="s">
        <v>4078</v>
      </c>
      <c r="B2453" s="17"/>
      <c r="C2453" s="19"/>
      <c r="D2453" s="18"/>
      <c r="E2453" s="18"/>
      <c r="F2453" s="19"/>
      <c r="G2453" s="31"/>
      <c r="H2453" s="31"/>
      <c r="I2453" s="19"/>
      <c r="J2453" s="19"/>
      <c r="K2453" s="21"/>
      <c r="L2453" s="22"/>
      <c r="M2453" s="19"/>
      <c r="N2453" s="20"/>
      <c r="O2453" s="19"/>
      <c r="P2453" s="19"/>
      <c r="Q2453" s="19"/>
      <c r="R2453" s="19"/>
      <c r="S2453" s="19"/>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row>
    <row r="2454" spans="1:45" x14ac:dyDescent="0.3">
      <c r="A2454" s="410" t="s">
        <v>4079</v>
      </c>
      <c r="B2454" s="17"/>
      <c r="C2454" s="19"/>
      <c r="D2454" s="18"/>
      <c r="E2454" s="18"/>
      <c r="F2454" s="19"/>
      <c r="G2454" s="31"/>
      <c r="H2454" s="31"/>
      <c r="I2454" s="19"/>
      <c r="J2454" s="19"/>
      <c r="K2454" s="21"/>
      <c r="L2454" s="22"/>
      <c r="M2454" s="19"/>
      <c r="N2454" s="20"/>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row>
    <row r="2455" spans="1:45" x14ac:dyDescent="0.3">
      <c r="A2455" s="410" t="s">
        <v>4080</v>
      </c>
      <c r="B2455" s="17"/>
      <c r="C2455" s="19"/>
      <c r="D2455" s="18"/>
      <c r="E2455" s="18"/>
      <c r="F2455" s="19"/>
      <c r="G2455" s="31"/>
      <c r="H2455" s="31"/>
      <c r="I2455" s="19"/>
      <c r="J2455" s="19"/>
      <c r="K2455" s="21"/>
      <c r="L2455" s="22"/>
      <c r="M2455" s="19"/>
      <c r="N2455" s="20"/>
      <c r="O2455" s="19"/>
      <c r="P2455" s="19"/>
      <c r="Q2455" s="19"/>
      <c r="R2455" s="19"/>
      <c r="S2455" s="19"/>
      <c r="T2455" s="19"/>
      <c r="U2455" s="19"/>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row>
    <row r="2456" spans="1:45" x14ac:dyDescent="0.3">
      <c r="A2456" s="410" t="s">
        <v>4081</v>
      </c>
      <c r="B2456" s="17"/>
      <c r="C2456" s="19"/>
      <c r="D2456" s="18"/>
      <c r="E2456" s="18"/>
      <c r="F2456" s="19"/>
      <c r="G2456" s="31"/>
      <c r="H2456" s="31"/>
      <c r="I2456" s="19"/>
      <c r="J2456" s="19"/>
      <c r="K2456" s="21"/>
      <c r="L2456" s="22"/>
      <c r="M2456" s="19"/>
      <c r="N2456" s="20"/>
      <c r="O2456" s="19"/>
      <c r="P2456" s="19"/>
      <c r="Q2456" s="19"/>
      <c r="R2456" s="19"/>
      <c r="S2456" s="19"/>
      <c r="T2456" s="19"/>
      <c r="U2456" s="19"/>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row>
    <row r="2457" spans="1:45" x14ac:dyDescent="0.3">
      <c r="A2457" s="410" t="s">
        <v>4082</v>
      </c>
      <c r="B2457" s="17"/>
      <c r="C2457" s="19"/>
      <c r="D2457" s="18"/>
      <c r="E2457" s="18"/>
      <c r="F2457" s="19"/>
      <c r="G2457" s="31"/>
      <c r="H2457" s="31"/>
      <c r="I2457" s="19"/>
      <c r="J2457" s="19"/>
      <c r="K2457" s="21"/>
      <c r="L2457" s="22"/>
      <c r="M2457" s="19"/>
      <c r="N2457" s="20"/>
      <c r="O2457" s="19"/>
      <c r="P2457" s="19"/>
      <c r="Q2457" s="19"/>
      <c r="R2457" s="19"/>
      <c r="S2457" s="19"/>
      <c r="T2457" s="19"/>
      <c r="U2457" s="19"/>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row>
    <row r="2458" spans="1:45" x14ac:dyDescent="0.3">
      <c r="A2458" s="410" t="s">
        <v>4083</v>
      </c>
      <c r="B2458" s="17"/>
      <c r="C2458" s="19"/>
      <c r="D2458" s="18"/>
      <c r="E2458" s="18"/>
      <c r="F2458" s="19"/>
      <c r="G2458" s="31"/>
      <c r="H2458" s="31"/>
      <c r="I2458" s="19"/>
      <c r="J2458" s="19"/>
      <c r="K2458" s="21"/>
      <c r="L2458" s="22"/>
      <c r="M2458" s="19"/>
      <c r="N2458" s="20"/>
      <c r="O2458" s="19"/>
      <c r="P2458" s="19"/>
      <c r="Q2458" s="19"/>
      <c r="R2458" s="19"/>
      <c r="S2458" s="19"/>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row>
    <row r="2459" spans="1:45" x14ac:dyDescent="0.3">
      <c r="A2459" s="410" t="s">
        <v>4084</v>
      </c>
      <c r="B2459" s="17"/>
      <c r="C2459" s="19"/>
      <c r="D2459" s="18"/>
      <c r="E2459" s="18"/>
      <c r="F2459" s="19"/>
      <c r="G2459" s="31"/>
      <c r="H2459" s="31"/>
      <c r="I2459" s="19"/>
      <c r="J2459" s="19"/>
      <c r="K2459" s="21"/>
      <c r="L2459" s="22"/>
      <c r="M2459" s="19"/>
      <c r="N2459" s="20"/>
      <c r="O2459" s="19"/>
      <c r="P2459" s="19"/>
      <c r="Q2459" s="19"/>
      <c r="R2459" s="19"/>
      <c r="S2459" s="19"/>
      <c r="T2459" s="19"/>
      <c r="U2459" s="19"/>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row>
    <row r="2460" spans="1:45" x14ac:dyDescent="0.3">
      <c r="A2460" s="410" t="s">
        <v>4085</v>
      </c>
      <c r="B2460" s="17"/>
      <c r="C2460" s="19"/>
      <c r="D2460" s="18"/>
      <c r="E2460" s="18"/>
      <c r="F2460" s="19"/>
      <c r="G2460" s="31"/>
      <c r="H2460" s="31"/>
      <c r="I2460" s="19"/>
      <c r="J2460" s="19"/>
      <c r="K2460" s="21"/>
      <c r="L2460" s="22"/>
      <c r="M2460" s="19"/>
      <c r="N2460" s="20"/>
      <c r="O2460" s="19"/>
      <c r="P2460" s="19"/>
      <c r="Q2460" s="19"/>
      <c r="R2460" s="19"/>
      <c r="S2460" s="19"/>
      <c r="T2460" s="19"/>
      <c r="U2460" s="19"/>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row>
    <row r="2461" spans="1:45" x14ac:dyDescent="0.3">
      <c r="A2461" s="410" t="s">
        <v>4086</v>
      </c>
      <c r="B2461" s="17"/>
      <c r="C2461" s="19"/>
      <c r="D2461" s="18"/>
      <c r="E2461" s="18"/>
      <c r="F2461" s="19"/>
      <c r="G2461" s="31"/>
      <c r="H2461" s="31"/>
      <c r="I2461" s="19"/>
      <c r="J2461" s="19"/>
      <c r="K2461" s="21"/>
      <c r="L2461" s="22"/>
      <c r="M2461" s="19"/>
      <c r="N2461" s="20"/>
      <c r="O2461" s="19"/>
      <c r="P2461" s="19"/>
      <c r="Q2461" s="19"/>
      <c r="R2461" s="19"/>
      <c r="S2461" s="19"/>
      <c r="T2461" s="19"/>
      <c r="U2461" s="19"/>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row>
    <row r="2462" spans="1:45" x14ac:dyDescent="0.3">
      <c r="A2462" s="410" t="s">
        <v>4087</v>
      </c>
      <c r="B2462" s="17"/>
      <c r="C2462" s="19"/>
      <c r="D2462" s="18"/>
      <c r="E2462" s="18"/>
      <c r="F2462" s="19"/>
      <c r="G2462" s="31"/>
      <c r="H2462" s="31"/>
      <c r="I2462" s="19"/>
      <c r="J2462" s="19"/>
      <c r="K2462" s="21"/>
      <c r="L2462" s="22"/>
      <c r="M2462" s="19"/>
      <c r="N2462" s="20"/>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row>
    <row r="2463" spans="1:45" x14ac:dyDescent="0.3">
      <c r="A2463" s="410" t="s">
        <v>4088</v>
      </c>
      <c r="B2463" s="17"/>
      <c r="C2463" s="19"/>
      <c r="D2463" s="18"/>
      <c r="E2463" s="18"/>
      <c r="F2463" s="19"/>
      <c r="G2463" s="31"/>
      <c r="H2463" s="31"/>
      <c r="I2463" s="19"/>
      <c r="J2463" s="19"/>
      <c r="K2463" s="21"/>
      <c r="L2463" s="22"/>
      <c r="M2463" s="19"/>
      <c r="N2463" s="20"/>
      <c r="O2463" s="19"/>
      <c r="P2463" s="19"/>
      <c r="Q2463" s="19"/>
      <c r="R2463" s="19"/>
      <c r="S2463" s="19"/>
      <c r="T2463" s="19"/>
      <c r="U2463" s="19"/>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row>
    <row r="2464" spans="1:45" x14ac:dyDescent="0.3">
      <c r="A2464" s="410" t="s">
        <v>4089</v>
      </c>
      <c r="B2464" s="17"/>
      <c r="C2464" s="19"/>
      <c r="D2464" s="18"/>
      <c r="E2464" s="18"/>
      <c r="F2464" s="19"/>
      <c r="G2464" s="31"/>
      <c r="H2464" s="31"/>
      <c r="I2464" s="19"/>
      <c r="J2464" s="19"/>
      <c r="K2464" s="21"/>
      <c r="L2464" s="22"/>
      <c r="M2464" s="19"/>
      <c r="N2464" s="20"/>
      <c r="O2464" s="19"/>
      <c r="P2464" s="19"/>
      <c r="Q2464" s="19"/>
      <c r="R2464" s="19"/>
      <c r="S2464" s="19"/>
      <c r="T2464" s="19"/>
      <c r="U2464" s="19"/>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row>
    <row r="2465" spans="1:45" x14ac:dyDescent="0.3">
      <c r="A2465" s="410" t="s">
        <v>4090</v>
      </c>
      <c r="B2465" s="17"/>
      <c r="C2465" s="19"/>
      <c r="D2465" s="18"/>
      <c r="E2465" s="18"/>
      <c r="F2465" s="19"/>
      <c r="G2465" s="31"/>
      <c r="H2465" s="31"/>
      <c r="I2465" s="19"/>
      <c r="J2465" s="19"/>
      <c r="K2465" s="21"/>
      <c r="L2465" s="22"/>
      <c r="M2465" s="19"/>
      <c r="N2465" s="20"/>
      <c r="O2465" s="19"/>
      <c r="P2465" s="19"/>
      <c r="Q2465" s="19"/>
      <c r="R2465" s="19"/>
      <c r="S2465" s="19"/>
      <c r="T2465" s="19"/>
      <c r="U2465" s="19"/>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row>
    <row r="2466" spans="1:45" x14ac:dyDescent="0.3">
      <c r="A2466" s="410" t="s">
        <v>4091</v>
      </c>
      <c r="B2466" s="17"/>
      <c r="C2466" s="19"/>
      <c r="D2466" s="18"/>
      <c r="E2466" s="18"/>
      <c r="F2466" s="19"/>
      <c r="G2466" s="31"/>
      <c r="H2466" s="31"/>
      <c r="I2466" s="19"/>
      <c r="J2466" s="19"/>
      <c r="K2466" s="21"/>
      <c r="L2466" s="22"/>
      <c r="M2466" s="19"/>
      <c r="N2466" s="20"/>
      <c r="O2466" s="19"/>
      <c r="P2466" s="19"/>
      <c r="Q2466" s="19"/>
      <c r="R2466" s="19"/>
      <c r="S2466" s="19"/>
      <c r="T2466" s="19"/>
      <c r="U2466" s="19"/>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row>
    <row r="2467" spans="1:45" x14ac:dyDescent="0.3">
      <c r="A2467" s="410" t="s">
        <v>4092</v>
      </c>
      <c r="B2467" s="17"/>
      <c r="C2467" s="19"/>
      <c r="D2467" s="18"/>
      <c r="E2467" s="18"/>
      <c r="F2467" s="19"/>
      <c r="G2467" s="31"/>
      <c r="H2467" s="31"/>
      <c r="I2467" s="19"/>
      <c r="J2467" s="19"/>
      <c r="K2467" s="21"/>
      <c r="L2467" s="22"/>
      <c r="M2467" s="19"/>
      <c r="N2467" s="20"/>
      <c r="O2467" s="19"/>
      <c r="P2467" s="19"/>
      <c r="Q2467" s="19"/>
      <c r="R2467" s="19"/>
      <c r="S2467" s="19"/>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row>
    <row r="2468" spans="1:45" x14ac:dyDescent="0.3">
      <c r="A2468" s="410" t="s">
        <v>4093</v>
      </c>
      <c r="B2468" s="17"/>
      <c r="C2468" s="19"/>
      <c r="D2468" s="18"/>
      <c r="E2468" s="18"/>
      <c r="F2468" s="19"/>
      <c r="G2468" s="31"/>
      <c r="H2468" s="31"/>
      <c r="I2468" s="19"/>
      <c r="J2468" s="19"/>
      <c r="K2468" s="21"/>
      <c r="L2468" s="22"/>
      <c r="M2468" s="19"/>
      <c r="N2468" s="20"/>
      <c r="O2468" s="19"/>
      <c r="P2468" s="19"/>
      <c r="Q2468" s="19"/>
      <c r="R2468" s="19"/>
      <c r="S2468" s="19"/>
      <c r="T2468" s="19"/>
      <c r="U2468" s="19"/>
      <c r="V2468" s="19"/>
      <c r="W2468" s="19"/>
      <c r="X2468" s="19"/>
      <c r="Y2468" s="19"/>
      <c r="Z2468" s="19"/>
      <c r="AA2468" s="19"/>
      <c r="AB2468" s="19"/>
      <c r="AC2468" s="19"/>
      <c r="AD2468" s="19"/>
      <c r="AE2468" s="19"/>
      <c r="AF2468" s="19"/>
      <c r="AG2468" s="19"/>
      <c r="AH2468" s="19"/>
      <c r="AI2468" s="19"/>
      <c r="AJ2468" s="19"/>
      <c r="AK2468" s="19"/>
      <c r="AL2468" s="19"/>
      <c r="AM2468" s="19"/>
      <c r="AN2468" s="19"/>
      <c r="AO2468" s="19"/>
      <c r="AP2468" s="19"/>
      <c r="AQ2468" s="19"/>
      <c r="AR2468" s="19"/>
      <c r="AS2468" s="19"/>
    </row>
    <row r="2469" spans="1:45" x14ac:dyDescent="0.3">
      <c r="A2469" s="410" t="s">
        <v>4094</v>
      </c>
      <c r="B2469" s="17"/>
      <c r="C2469" s="19"/>
      <c r="D2469" s="18"/>
      <c r="E2469" s="18"/>
      <c r="F2469" s="19"/>
      <c r="G2469" s="31"/>
      <c r="H2469" s="31"/>
      <c r="I2469" s="19"/>
      <c r="J2469" s="19"/>
      <c r="K2469" s="21"/>
      <c r="L2469" s="22"/>
      <c r="M2469" s="19"/>
      <c r="N2469" s="20"/>
      <c r="O2469" s="19"/>
      <c r="P2469" s="19"/>
      <c r="Q2469" s="19"/>
      <c r="R2469" s="19"/>
      <c r="S2469" s="19"/>
      <c r="T2469" s="19"/>
      <c r="U2469" s="19"/>
      <c r="V2469" s="19"/>
      <c r="W2469" s="19"/>
      <c r="X2469" s="19"/>
      <c r="Y2469" s="19"/>
      <c r="Z2469" s="19"/>
      <c r="AA2469" s="19"/>
      <c r="AB2469" s="19"/>
      <c r="AC2469" s="19"/>
      <c r="AD2469" s="19"/>
      <c r="AE2469" s="19"/>
      <c r="AF2469" s="19"/>
      <c r="AG2469" s="19"/>
      <c r="AH2469" s="19"/>
      <c r="AI2469" s="19"/>
      <c r="AJ2469" s="19"/>
      <c r="AK2469" s="19"/>
      <c r="AL2469" s="19"/>
      <c r="AM2469" s="19"/>
      <c r="AN2469" s="19"/>
      <c r="AO2469" s="19"/>
      <c r="AP2469" s="19"/>
      <c r="AQ2469" s="19"/>
      <c r="AR2469" s="19"/>
      <c r="AS2469" s="19"/>
    </row>
    <row r="2470" spans="1:45" x14ac:dyDescent="0.3">
      <c r="A2470" s="410" t="s">
        <v>4095</v>
      </c>
      <c r="B2470" s="17"/>
      <c r="C2470" s="19"/>
      <c r="D2470" s="18"/>
      <c r="E2470" s="18"/>
      <c r="F2470" s="19"/>
      <c r="G2470" s="31"/>
      <c r="H2470" s="31"/>
      <c r="I2470" s="19"/>
      <c r="J2470" s="19"/>
      <c r="K2470" s="21"/>
      <c r="L2470" s="22"/>
      <c r="M2470" s="19"/>
      <c r="N2470" s="20"/>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row>
    <row r="2471" spans="1:45" x14ac:dyDescent="0.3">
      <c r="A2471" s="410" t="s">
        <v>4096</v>
      </c>
      <c r="B2471" s="17"/>
      <c r="C2471" s="19"/>
      <c r="D2471" s="18"/>
      <c r="E2471" s="18"/>
      <c r="F2471" s="19"/>
      <c r="G2471" s="31"/>
      <c r="H2471" s="31"/>
      <c r="I2471" s="19"/>
      <c r="J2471" s="19"/>
      <c r="K2471" s="21"/>
      <c r="L2471" s="22"/>
      <c r="M2471" s="19"/>
      <c r="N2471" s="20"/>
      <c r="O2471" s="19"/>
      <c r="P2471" s="19"/>
      <c r="Q2471" s="19"/>
      <c r="R2471" s="19"/>
      <c r="S2471" s="19"/>
      <c r="T2471" s="19"/>
      <c r="U2471" s="19"/>
      <c r="V2471" s="19"/>
      <c r="W2471" s="19"/>
      <c r="X2471" s="19"/>
      <c r="Y2471" s="19"/>
      <c r="Z2471" s="19"/>
      <c r="AA2471" s="19"/>
      <c r="AB2471" s="19"/>
      <c r="AC2471" s="19"/>
      <c r="AD2471" s="19"/>
      <c r="AE2471" s="19"/>
      <c r="AF2471" s="19"/>
      <c r="AG2471" s="19"/>
      <c r="AH2471" s="19"/>
      <c r="AI2471" s="19"/>
      <c r="AJ2471" s="19"/>
      <c r="AK2471" s="19"/>
      <c r="AL2471" s="19"/>
      <c r="AM2471" s="19"/>
      <c r="AN2471" s="19"/>
      <c r="AO2471" s="19"/>
      <c r="AP2471" s="19"/>
      <c r="AQ2471" s="19"/>
      <c r="AR2471" s="19"/>
      <c r="AS2471" s="19"/>
    </row>
    <row r="2472" spans="1:45" x14ac:dyDescent="0.3">
      <c r="A2472" s="410" t="s">
        <v>4097</v>
      </c>
      <c r="B2472" s="17"/>
      <c r="C2472" s="19"/>
      <c r="D2472" s="18"/>
      <c r="E2472" s="18"/>
      <c r="F2472" s="19"/>
      <c r="G2472" s="31"/>
      <c r="H2472" s="31"/>
      <c r="I2472" s="19"/>
      <c r="J2472" s="19"/>
      <c r="K2472" s="21"/>
      <c r="L2472" s="22"/>
      <c r="M2472" s="19"/>
      <c r="N2472" s="20"/>
      <c r="O2472" s="19"/>
      <c r="P2472" s="19"/>
      <c r="Q2472" s="19"/>
      <c r="R2472" s="19"/>
      <c r="S2472" s="19"/>
      <c r="T2472" s="19"/>
      <c r="U2472" s="19"/>
      <c r="V2472" s="19"/>
      <c r="W2472" s="19"/>
      <c r="X2472" s="19"/>
      <c r="Y2472" s="19"/>
      <c r="Z2472" s="19"/>
      <c r="AA2472" s="19"/>
      <c r="AB2472" s="19"/>
      <c r="AC2472" s="19"/>
      <c r="AD2472" s="19"/>
      <c r="AE2472" s="19"/>
      <c r="AF2472" s="19"/>
      <c r="AG2472" s="19"/>
      <c r="AH2472" s="19"/>
      <c r="AI2472" s="19"/>
      <c r="AJ2472" s="19"/>
      <c r="AK2472" s="19"/>
      <c r="AL2472" s="19"/>
      <c r="AM2472" s="19"/>
      <c r="AN2472" s="19"/>
      <c r="AO2472" s="19"/>
      <c r="AP2472" s="19"/>
      <c r="AQ2472" s="19"/>
      <c r="AR2472" s="19"/>
      <c r="AS2472" s="19"/>
    </row>
    <row r="2473" spans="1:45" x14ac:dyDescent="0.3">
      <c r="A2473" s="410" t="s">
        <v>4098</v>
      </c>
      <c r="B2473" s="17"/>
      <c r="C2473" s="19"/>
      <c r="D2473" s="18"/>
      <c r="E2473" s="18"/>
      <c r="F2473" s="19"/>
      <c r="G2473" s="31"/>
      <c r="H2473" s="31"/>
      <c r="I2473" s="19"/>
      <c r="J2473" s="19"/>
      <c r="K2473" s="21"/>
      <c r="L2473" s="22"/>
      <c r="M2473" s="19"/>
      <c r="N2473" s="20"/>
      <c r="O2473" s="19"/>
      <c r="P2473" s="19"/>
      <c r="Q2473" s="19"/>
      <c r="R2473" s="19"/>
      <c r="S2473" s="19"/>
      <c r="T2473" s="19"/>
      <c r="U2473" s="19"/>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row>
    <row r="2474" spans="1:45" x14ac:dyDescent="0.3">
      <c r="A2474" s="410" t="s">
        <v>4099</v>
      </c>
      <c r="B2474" s="17"/>
      <c r="C2474" s="19"/>
      <c r="D2474" s="18"/>
      <c r="E2474" s="18"/>
      <c r="F2474" s="19"/>
      <c r="G2474" s="31"/>
      <c r="H2474" s="31"/>
      <c r="I2474" s="19"/>
      <c r="J2474" s="19"/>
      <c r="K2474" s="21"/>
      <c r="L2474" s="22"/>
      <c r="M2474" s="19"/>
      <c r="N2474" s="20"/>
      <c r="O2474" s="19"/>
      <c r="P2474" s="19"/>
      <c r="Q2474" s="19"/>
      <c r="R2474" s="19"/>
      <c r="S2474" s="19"/>
      <c r="T2474" s="19"/>
      <c r="U2474" s="19"/>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row>
    <row r="2475" spans="1:45" x14ac:dyDescent="0.3">
      <c r="A2475" s="410" t="s">
        <v>4100</v>
      </c>
      <c r="B2475" s="17"/>
      <c r="C2475" s="19"/>
      <c r="D2475" s="18"/>
      <c r="E2475" s="18"/>
      <c r="F2475" s="19"/>
      <c r="G2475" s="31"/>
      <c r="H2475" s="31"/>
      <c r="I2475" s="19"/>
      <c r="J2475" s="19"/>
      <c r="K2475" s="21"/>
      <c r="L2475" s="22"/>
      <c r="M2475" s="19"/>
      <c r="N2475" s="20"/>
      <c r="O2475" s="19"/>
      <c r="P2475" s="19"/>
      <c r="Q2475" s="19"/>
      <c r="R2475" s="19"/>
      <c r="S2475" s="19"/>
      <c r="T2475" s="19"/>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row>
    <row r="2476" spans="1:45" x14ac:dyDescent="0.3">
      <c r="A2476" s="410" t="s">
        <v>4101</v>
      </c>
      <c r="B2476" s="17"/>
      <c r="C2476" s="19"/>
      <c r="D2476" s="18"/>
      <c r="E2476" s="18"/>
      <c r="F2476" s="19"/>
      <c r="G2476" s="31"/>
      <c r="H2476" s="31"/>
      <c r="I2476" s="19"/>
      <c r="J2476" s="19"/>
      <c r="K2476" s="21"/>
      <c r="L2476" s="22"/>
      <c r="M2476" s="19"/>
      <c r="N2476" s="20"/>
      <c r="O2476" s="19"/>
      <c r="P2476" s="19"/>
      <c r="Q2476" s="19"/>
      <c r="R2476" s="19"/>
      <c r="S2476" s="19"/>
      <c r="T2476" s="19"/>
      <c r="U2476" s="19"/>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row>
    <row r="2477" spans="1:45" x14ac:dyDescent="0.3">
      <c r="A2477" s="410" t="s">
        <v>4102</v>
      </c>
      <c r="B2477" s="17"/>
      <c r="C2477" s="19"/>
      <c r="D2477" s="18"/>
      <c r="E2477" s="18"/>
      <c r="F2477" s="19"/>
      <c r="G2477" s="31"/>
      <c r="H2477" s="31"/>
      <c r="I2477" s="19"/>
      <c r="J2477" s="19"/>
      <c r="K2477" s="21"/>
      <c r="L2477" s="22"/>
      <c r="M2477" s="19"/>
      <c r="N2477" s="20"/>
      <c r="O2477" s="19"/>
      <c r="P2477" s="19"/>
      <c r="Q2477" s="19"/>
      <c r="R2477" s="19"/>
      <c r="S2477" s="19"/>
      <c r="T2477" s="19"/>
      <c r="U2477" s="19"/>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row>
    <row r="2478" spans="1:45" x14ac:dyDescent="0.3">
      <c r="A2478" s="410" t="s">
        <v>4103</v>
      </c>
      <c r="B2478" s="17"/>
      <c r="C2478" s="19"/>
      <c r="D2478" s="18"/>
      <c r="E2478" s="18"/>
      <c r="F2478" s="19"/>
      <c r="G2478" s="31"/>
      <c r="H2478" s="31"/>
      <c r="I2478" s="19"/>
      <c r="J2478" s="19"/>
      <c r="K2478" s="21"/>
      <c r="L2478" s="22"/>
      <c r="M2478" s="19"/>
      <c r="N2478" s="20"/>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row>
    <row r="2479" spans="1:45" x14ac:dyDescent="0.3">
      <c r="A2479" s="410" t="s">
        <v>4104</v>
      </c>
      <c r="B2479" s="17"/>
      <c r="C2479" s="19"/>
      <c r="D2479" s="18"/>
      <c r="E2479" s="18"/>
      <c r="F2479" s="19"/>
      <c r="G2479" s="31"/>
      <c r="H2479" s="31"/>
      <c r="I2479" s="19"/>
      <c r="J2479" s="19"/>
      <c r="K2479" s="21"/>
      <c r="L2479" s="22"/>
      <c r="M2479" s="19"/>
      <c r="N2479" s="20"/>
      <c r="O2479" s="19"/>
      <c r="P2479" s="19"/>
      <c r="Q2479" s="19"/>
      <c r="R2479" s="19"/>
      <c r="S2479" s="19"/>
      <c r="T2479" s="19"/>
      <c r="U2479" s="19"/>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19"/>
    </row>
    <row r="2480" spans="1:45" x14ac:dyDescent="0.3">
      <c r="A2480" s="410" t="s">
        <v>4105</v>
      </c>
      <c r="B2480" s="17"/>
      <c r="C2480" s="19"/>
      <c r="D2480" s="18"/>
      <c r="E2480" s="18"/>
      <c r="F2480" s="19"/>
      <c r="G2480" s="31"/>
      <c r="H2480" s="31"/>
      <c r="I2480" s="19"/>
      <c r="J2480" s="19"/>
      <c r="K2480" s="21"/>
      <c r="L2480" s="22"/>
      <c r="M2480" s="19"/>
      <c r="N2480" s="20"/>
      <c r="O2480" s="19"/>
      <c r="P2480" s="19"/>
      <c r="Q2480" s="19"/>
      <c r="R2480" s="19"/>
      <c r="S2480" s="19"/>
      <c r="T2480" s="19"/>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row>
    <row r="2481" spans="1:45" x14ac:dyDescent="0.3">
      <c r="A2481" s="410" t="s">
        <v>4106</v>
      </c>
      <c r="B2481" s="17"/>
      <c r="C2481" s="19"/>
      <c r="D2481" s="18"/>
      <c r="E2481" s="18"/>
      <c r="F2481" s="19"/>
      <c r="G2481" s="31"/>
      <c r="H2481" s="31"/>
      <c r="I2481" s="19"/>
      <c r="J2481" s="19"/>
      <c r="K2481" s="21"/>
      <c r="L2481" s="22"/>
      <c r="M2481" s="19"/>
      <c r="N2481" s="20"/>
      <c r="O2481" s="19"/>
      <c r="P2481" s="19"/>
      <c r="Q2481" s="19"/>
      <c r="R2481" s="19"/>
      <c r="S2481" s="19"/>
      <c r="T2481" s="19"/>
      <c r="U2481" s="19"/>
      <c r="V2481" s="19"/>
      <c r="W2481" s="19"/>
      <c r="X2481" s="19"/>
      <c r="Y2481" s="19"/>
      <c r="Z2481" s="19"/>
      <c r="AA2481" s="19"/>
      <c r="AB2481" s="19"/>
      <c r="AC2481" s="19"/>
      <c r="AD2481" s="19"/>
      <c r="AE2481" s="19"/>
      <c r="AF2481" s="19"/>
      <c r="AG2481" s="19"/>
      <c r="AH2481" s="19"/>
      <c r="AI2481" s="19"/>
      <c r="AJ2481" s="19"/>
      <c r="AK2481" s="19"/>
      <c r="AL2481" s="19"/>
      <c r="AM2481" s="19"/>
      <c r="AN2481" s="19"/>
      <c r="AO2481" s="19"/>
      <c r="AP2481" s="19"/>
      <c r="AQ2481" s="19"/>
      <c r="AR2481" s="19"/>
      <c r="AS2481" s="19"/>
    </row>
    <row r="2482" spans="1:45" x14ac:dyDescent="0.3">
      <c r="A2482" s="410" t="s">
        <v>4107</v>
      </c>
      <c r="B2482" s="17"/>
      <c r="C2482" s="19"/>
      <c r="D2482" s="18"/>
      <c r="E2482" s="18"/>
      <c r="F2482" s="19"/>
      <c r="G2482" s="31"/>
      <c r="H2482" s="31"/>
      <c r="I2482" s="19"/>
      <c r="J2482" s="19"/>
      <c r="K2482" s="21"/>
      <c r="L2482" s="22"/>
      <c r="M2482" s="19"/>
      <c r="N2482" s="20"/>
      <c r="O2482" s="19"/>
      <c r="P2482" s="19"/>
      <c r="Q2482" s="19"/>
      <c r="R2482" s="19"/>
      <c r="S2482" s="19"/>
      <c r="T2482" s="19"/>
      <c r="U2482" s="19"/>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row>
    <row r="2483" spans="1:45" x14ac:dyDescent="0.3">
      <c r="A2483" s="410" t="s">
        <v>4108</v>
      </c>
      <c r="B2483" s="17"/>
      <c r="C2483" s="19"/>
      <c r="D2483" s="18"/>
      <c r="E2483" s="18"/>
      <c r="F2483" s="19"/>
      <c r="G2483" s="31"/>
      <c r="H2483" s="31"/>
      <c r="I2483" s="19"/>
      <c r="J2483" s="19"/>
      <c r="K2483" s="21"/>
      <c r="L2483" s="22"/>
      <c r="M2483" s="19"/>
      <c r="N2483" s="20"/>
      <c r="O2483" s="19"/>
      <c r="P2483" s="19"/>
      <c r="Q2483" s="19"/>
      <c r="R2483" s="19"/>
      <c r="S2483" s="19"/>
      <c r="T2483" s="19"/>
      <c r="U2483" s="19"/>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row>
    <row r="2484" spans="1:45" x14ac:dyDescent="0.3">
      <c r="A2484" s="410" t="s">
        <v>4109</v>
      </c>
      <c r="B2484" s="17"/>
      <c r="C2484" s="19"/>
      <c r="D2484" s="18"/>
      <c r="E2484" s="18"/>
      <c r="F2484" s="19"/>
      <c r="G2484" s="31"/>
      <c r="H2484" s="31"/>
      <c r="I2484" s="19"/>
      <c r="J2484" s="19"/>
      <c r="K2484" s="21"/>
      <c r="L2484" s="22"/>
      <c r="M2484" s="19"/>
      <c r="N2484" s="20"/>
      <c r="O2484" s="19"/>
      <c r="P2484" s="19"/>
      <c r="Q2484" s="19"/>
      <c r="R2484" s="19"/>
      <c r="S2484" s="19"/>
      <c r="T2484" s="19"/>
      <c r="U2484" s="19"/>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row>
    <row r="2485" spans="1:45" x14ac:dyDescent="0.3">
      <c r="A2485" s="410" t="s">
        <v>4110</v>
      </c>
      <c r="B2485" s="17"/>
      <c r="C2485" s="19"/>
      <c r="D2485" s="18"/>
      <c r="E2485" s="18"/>
      <c r="F2485" s="19"/>
      <c r="G2485" s="31"/>
      <c r="H2485" s="31"/>
      <c r="I2485" s="19"/>
      <c r="J2485" s="19"/>
      <c r="K2485" s="21"/>
      <c r="L2485" s="22"/>
      <c r="M2485" s="19"/>
      <c r="N2485" s="20"/>
      <c r="O2485" s="19"/>
      <c r="P2485" s="19"/>
      <c r="Q2485" s="19"/>
      <c r="R2485" s="19"/>
      <c r="S2485" s="19"/>
      <c r="T2485" s="19"/>
      <c r="U2485" s="19"/>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row>
    <row r="2486" spans="1:45" x14ac:dyDescent="0.3">
      <c r="A2486" s="410" t="s">
        <v>4111</v>
      </c>
      <c r="B2486" s="17"/>
      <c r="C2486" s="19"/>
      <c r="D2486" s="18"/>
      <c r="E2486" s="18"/>
      <c r="F2486" s="19"/>
      <c r="G2486" s="31"/>
      <c r="H2486" s="31"/>
      <c r="I2486" s="19"/>
      <c r="J2486" s="19"/>
      <c r="K2486" s="21"/>
      <c r="L2486" s="22"/>
      <c r="M2486" s="19"/>
      <c r="N2486" s="20"/>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row>
    <row r="2487" spans="1:45" x14ac:dyDescent="0.3">
      <c r="A2487" s="410" t="s">
        <v>4112</v>
      </c>
      <c r="B2487" s="17"/>
      <c r="C2487" s="19"/>
      <c r="D2487" s="18"/>
      <c r="E2487" s="18"/>
      <c r="F2487" s="19"/>
      <c r="G2487" s="31"/>
      <c r="H2487" s="31"/>
      <c r="I2487" s="19"/>
      <c r="J2487" s="19"/>
      <c r="K2487" s="21"/>
      <c r="L2487" s="22"/>
      <c r="M2487" s="19"/>
      <c r="N2487" s="20"/>
      <c r="O2487" s="19"/>
      <c r="P2487" s="19"/>
      <c r="Q2487" s="19"/>
      <c r="R2487" s="19"/>
      <c r="S2487" s="19"/>
      <c r="T2487" s="19"/>
      <c r="U2487" s="19"/>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row>
    <row r="2488" spans="1:45" x14ac:dyDescent="0.3">
      <c r="A2488" s="410" t="s">
        <v>4113</v>
      </c>
      <c r="B2488" s="17"/>
      <c r="C2488" s="19"/>
      <c r="D2488" s="18"/>
      <c r="E2488" s="18"/>
      <c r="F2488" s="19"/>
      <c r="G2488" s="31"/>
      <c r="H2488" s="31"/>
      <c r="I2488" s="19"/>
      <c r="J2488" s="19"/>
      <c r="K2488" s="21"/>
      <c r="L2488" s="22"/>
      <c r="M2488" s="19"/>
      <c r="N2488" s="20"/>
      <c r="O2488" s="19"/>
      <c r="P2488" s="19"/>
      <c r="Q2488" s="19"/>
      <c r="R2488" s="19"/>
      <c r="S2488" s="19"/>
      <c r="T2488" s="19"/>
      <c r="U2488" s="19"/>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row>
    <row r="2489" spans="1:45" x14ac:dyDescent="0.3">
      <c r="A2489" s="410" t="s">
        <v>4114</v>
      </c>
      <c r="B2489" s="17"/>
      <c r="C2489" s="19"/>
      <c r="D2489" s="18"/>
      <c r="E2489" s="18"/>
      <c r="F2489" s="19"/>
      <c r="G2489" s="31"/>
      <c r="H2489" s="31"/>
      <c r="I2489" s="19"/>
      <c r="J2489" s="19"/>
      <c r="K2489" s="21"/>
      <c r="L2489" s="22"/>
      <c r="M2489" s="19"/>
      <c r="N2489" s="20"/>
      <c r="O2489" s="19"/>
      <c r="P2489" s="19"/>
      <c r="Q2489" s="19"/>
      <c r="R2489" s="19"/>
      <c r="S2489" s="19"/>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row>
    <row r="2490" spans="1:45" x14ac:dyDescent="0.3">
      <c r="A2490" s="410" t="s">
        <v>4115</v>
      </c>
      <c r="B2490" s="17"/>
      <c r="C2490" s="19"/>
      <c r="D2490" s="18"/>
      <c r="E2490" s="18"/>
      <c r="F2490" s="19"/>
      <c r="G2490" s="31"/>
      <c r="H2490" s="31"/>
      <c r="I2490" s="19"/>
      <c r="J2490" s="19"/>
      <c r="K2490" s="21"/>
      <c r="L2490" s="22"/>
      <c r="M2490" s="19"/>
      <c r="N2490" s="20"/>
      <c r="O2490" s="19"/>
      <c r="P2490" s="19"/>
      <c r="Q2490" s="19"/>
      <c r="R2490" s="19"/>
      <c r="S2490" s="19"/>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row>
    <row r="2491" spans="1:45" x14ac:dyDescent="0.3">
      <c r="A2491" s="410" t="s">
        <v>4116</v>
      </c>
      <c r="B2491" s="17"/>
      <c r="C2491" s="19"/>
      <c r="D2491" s="18"/>
      <c r="E2491" s="18"/>
      <c r="F2491" s="19"/>
      <c r="G2491" s="31"/>
      <c r="H2491" s="31"/>
      <c r="I2491" s="19"/>
      <c r="J2491" s="19"/>
      <c r="K2491" s="21"/>
      <c r="L2491" s="22"/>
      <c r="M2491" s="19"/>
      <c r="N2491" s="20"/>
      <c r="O2491" s="19"/>
      <c r="P2491" s="19"/>
      <c r="Q2491" s="19"/>
      <c r="R2491" s="19"/>
      <c r="S2491" s="19"/>
      <c r="T2491" s="19"/>
      <c r="U2491" s="19"/>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19"/>
    </row>
    <row r="2492" spans="1:45" x14ac:dyDescent="0.3">
      <c r="A2492" s="410" t="s">
        <v>4117</v>
      </c>
      <c r="B2492" s="17"/>
      <c r="C2492" s="19"/>
      <c r="D2492" s="18"/>
      <c r="E2492" s="18"/>
      <c r="F2492" s="19"/>
      <c r="G2492" s="31"/>
      <c r="H2492" s="31"/>
      <c r="I2492" s="19"/>
      <c r="J2492" s="19"/>
      <c r="K2492" s="21"/>
      <c r="L2492" s="22"/>
      <c r="M2492" s="19"/>
      <c r="N2492" s="20"/>
      <c r="O2492" s="19"/>
      <c r="P2492" s="19"/>
      <c r="Q2492" s="19"/>
      <c r="R2492" s="19"/>
      <c r="S2492" s="19"/>
      <c r="T2492" s="19"/>
      <c r="U2492" s="19"/>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19"/>
    </row>
    <row r="2493" spans="1:45" x14ac:dyDescent="0.3">
      <c r="A2493" s="410" t="s">
        <v>4118</v>
      </c>
      <c r="B2493" s="17"/>
      <c r="C2493" s="19"/>
      <c r="D2493" s="18"/>
      <c r="E2493" s="18"/>
      <c r="F2493" s="19"/>
      <c r="G2493" s="31"/>
      <c r="H2493" s="31"/>
      <c r="I2493" s="19"/>
      <c r="J2493" s="19"/>
      <c r="K2493" s="21"/>
      <c r="L2493" s="22"/>
      <c r="M2493" s="19"/>
      <c r="N2493" s="20"/>
      <c r="O2493" s="19"/>
      <c r="P2493" s="19"/>
      <c r="Q2493" s="19"/>
      <c r="R2493" s="19"/>
      <c r="S2493" s="19"/>
      <c r="T2493" s="19"/>
      <c r="U2493" s="19"/>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row>
    <row r="2494" spans="1:45" x14ac:dyDescent="0.3">
      <c r="A2494" s="410" t="s">
        <v>4119</v>
      </c>
      <c r="B2494" s="17"/>
      <c r="C2494" s="19"/>
      <c r="D2494" s="18"/>
      <c r="E2494" s="18"/>
      <c r="F2494" s="19"/>
      <c r="G2494" s="31"/>
      <c r="H2494" s="31"/>
      <c r="I2494" s="19"/>
      <c r="J2494" s="19"/>
      <c r="K2494" s="21"/>
      <c r="L2494" s="22"/>
      <c r="M2494" s="19"/>
      <c r="N2494" s="20"/>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row>
    <row r="2495" spans="1:45" x14ac:dyDescent="0.3">
      <c r="A2495" s="410" t="s">
        <v>4120</v>
      </c>
      <c r="B2495" s="17"/>
      <c r="C2495" s="19"/>
      <c r="D2495" s="18"/>
      <c r="E2495" s="18"/>
      <c r="F2495" s="19"/>
      <c r="G2495" s="31"/>
      <c r="H2495" s="31"/>
      <c r="I2495" s="19"/>
      <c r="J2495" s="19"/>
      <c r="K2495" s="21"/>
      <c r="L2495" s="22"/>
      <c r="M2495" s="19"/>
      <c r="N2495" s="20"/>
      <c r="O2495" s="19"/>
      <c r="P2495" s="19"/>
      <c r="Q2495" s="19"/>
      <c r="R2495" s="19"/>
      <c r="S2495" s="19"/>
      <c r="T2495" s="19"/>
      <c r="U2495" s="19"/>
      <c r="V2495" s="19"/>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row>
    <row r="2496" spans="1:45" x14ac:dyDescent="0.3">
      <c r="A2496" s="410" t="s">
        <v>4121</v>
      </c>
      <c r="B2496" s="17"/>
      <c r="C2496" s="19"/>
      <c r="D2496" s="18"/>
      <c r="E2496" s="18"/>
      <c r="F2496" s="19"/>
      <c r="G2496" s="31"/>
      <c r="H2496" s="31"/>
      <c r="I2496" s="19"/>
      <c r="J2496" s="19"/>
      <c r="K2496" s="21"/>
      <c r="L2496" s="22"/>
      <c r="M2496" s="19"/>
      <c r="N2496" s="20"/>
      <c r="O2496" s="19"/>
      <c r="P2496" s="19"/>
      <c r="Q2496" s="19"/>
      <c r="R2496" s="19"/>
      <c r="S2496" s="19"/>
      <c r="T2496" s="19"/>
      <c r="U2496" s="19"/>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row>
    <row r="2497" spans="1:45" x14ac:dyDescent="0.3">
      <c r="A2497" s="410" t="s">
        <v>4122</v>
      </c>
      <c r="B2497" s="17"/>
      <c r="C2497" s="19"/>
      <c r="D2497" s="18"/>
      <c r="E2497" s="18"/>
      <c r="F2497" s="19"/>
      <c r="G2497" s="31"/>
      <c r="H2497" s="31"/>
      <c r="I2497" s="19"/>
      <c r="J2497" s="19"/>
      <c r="K2497" s="21"/>
      <c r="L2497" s="22"/>
      <c r="M2497" s="19"/>
      <c r="N2497" s="20"/>
      <c r="O2497" s="19"/>
      <c r="P2497" s="19"/>
      <c r="Q2497" s="19"/>
      <c r="R2497" s="19"/>
      <c r="S2497" s="19"/>
      <c r="T2497" s="19"/>
      <c r="U2497" s="19"/>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19"/>
    </row>
    <row r="2498" spans="1:45" x14ac:dyDescent="0.3">
      <c r="A2498" s="410" t="s">
        <v>4123</v>
      </c>
      <c r="B2498" s="17"/>
      <c r="C2498" s="19"/>
      <c r="D2498" s="18"/>
      <c r="E2498" s="18"/>
      <c r="F2498" s="19"/>
      <c r="G2498" s="31"/>
      <c r="H2498" s="31"/>
      <c r="I2498" s="19"/>
      <c r="J2498" s="19"/>
      <c r="K2498" s="21"/>
      <c r="L2498" s="22"/>
      <c r="M2498" s="19"/>
      <c r="N2498" s="20"/>
      <c r="O2498" s="19"/>
      <c r="P2498" s="19"/>
      <c r="Q2498" s="19"/>
      <c r="R2498" s="19"/>
      <c r="S2498" s="19"/>
      <c r="T2498" s="19"/>
      <c r="U2498" s="19"/>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row>
    <row r="2499" spans="1:45" x14ac:dyDescent="0.3">
      <c r="A2499" s="410" t="s">
        <v>4124</v>
      </c>
      <c r="B2499" s="17"/>
      <c r="C2499" s="19"/>
      <c r="D2499" s="18"/>
      <c r="E2499" s="18"/>
      <c r="F2499" s="19"/>
      <c r="G2499" s="31"/>
      <c r="H2499" s="31"/>
      <c r="I2499" s="19"/>
      <c r="J2499" s="19"/>
      <c r="K2499" s="21"/>
      <c r="L2499" s="22"/>
      <c r="M2499" s="19"/>
      <c r="N2499" s="20"/>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row>
    <row r="2500" spans="1:45" x14ac:dyDescent="0.3">
      <c r="A2500" s="410" t="s">
        <v>4125</v>
      </c>
      <c r="B2500" s="17"/>
      <c r="C2500" s="19"/>
      <c r="D2500" s="18"/>
      <c r="E2500" s="18"/>
      <c r="F2500" s="19"/>
      <c r="G2500" s="31"/>
      <c r="H2500" s="31"/>
      <c r="I2500" s="19"/>
      <c r="J2500" s="19"/>
      <c r="K2500" s="21"/>
      <c r="L2500" s="22"/>
      <c r="M2500" s="19"/>
      <c r="N2500" s="20"/>
      <c r="O2500" s="19"/>
      <c r="P2500" s="19"/>
      <c r="Q2500" s="19"/>
      <c r="R2500" s="19"/>
      <c r="S2500" s="19"/>
      <c r="T2500" s="19"/>
      <c r="U2500" s="19"/>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row>
    <row r="2501" spans="1:45" x14ac:dyDescent="0.3">
      <c r="A2501" s="410" t="s">
        <v>4126</v>
      </c>
      <c r="B2501" s="17"/>
      <c r="C2501" s="19"/>
      <c r="D2501" s="18"/>
      <c r="E2501" s="18"/>
      <c r="F2501" s="19"/>
      <c r="G2501" s="31"/>
      <c r="H2501" s="31"/>
      <c r="I2501" s="19"/>
      <c r="J2501" s="19"/>
      <c r="K2501" s="21"/>
      <c r="L2501" s="22"/>
      <c r="M2501" s="19"/>
      <c r="N2501" s="20"/>
      <c r="O2501" s="19"/>
      <c r="P2501" s="19"/>
      <c r="Q2501" s="19"/>
      <c r="R2501" s="19"/>
      <c r="S2501" s="19"/>
      <c r="T2501" s="19"/>
      <c r="U2501" s="19"/>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row>
    <row r="2502" spans="1:45" x14ac:dyDescent="0.3">
      <c r="A2502" s="410" t="s">
        <v>4127</v>
      </c>
      <c r="B2502" s="17"/>
      <c r="C2502" s="19"/>
      <c r="D2502" s="18"/>
      <c r="E2502" s="18"/>
      <c r="F2502" s="19"/>
      <c r="G2502" s="31"/>
      <c r="H2502" s="31"/>
      <c r="I2502" s="19"/>
      <c r="J2502" s="19"/>
      <c r="K2502" s="21"/>
      <c r="L2502" s="22"/>
      <c r="M2502" s="19"/>
      <c r="N2502" s="20"/>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row>
    <row r="2503" spans="1:45" x14ac:dyDescent="0.3">
      <c r="A2503" s="410" t="s">
        <v>4128</v>
      </c>
      <c r="B2503" s="17"/>
      <c r="C2503" s="19"/>
      <c r="D2503" s="18"/>
      <c r="E2503" s="18"/>
      <c r="F2503" s="19"/>
      <c r="G2503" s="31"/>
      <c r="H2503" s="31"/>
      <c r="I2503" s="19"/>
      <c r="J2503" s="19"/>
      <c r="K2503" s="21"/>
      <c r="L2503" s="22"/>
      <c r="M2503" s="19"/>
      <c r="N2503" s="20"/>
      <c r="O2503" s="19"/>
      <c r="P2503" s="19"/>
      <c r="Q2503" s="19"/>
      <c r="R2503" s="19"/>
      <c r="S2503" s="19"/>
      <c r="T2503" s="19"/>
      <c r="U2503" s="19"/>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row>
    <row r="2504" spans="1:45" x14ac:dyDescent="0.3">
      <c r="A2504" s="410" t="s">
        <v>4129</v>
      </c>
      <c r="B2504" s="17"/>
      <c r="C2504" s="19"/>
      <c r="D2504" s="18"/>
      <c r="E2504" s="18"/>
      <c r="F2504" s="19"/>
      <c r="G2504" s="31"/>
      <c r="H2504" s="31"/>
      <c r="I2504" s="19"/>
      <c r="J2504" s="19"/>
      <c r="K2504" s="21"/>
      <c r="L2504" s="22"/>
      <c r="M2504" s="19"/>
      <c r="N2504" s="20"/>
      <c r="O2504" s="19"/>
      <c r="P2504" s="19"/>
      <c r="Q2504" s="19"/>
      <c r="R2504" s="19"/>
      <c r="S2504" s="19"/>
      <c r="T2504" s="19"/>
      <c r="U2504" s="19"/>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row>
    <row r="2505" spans="1:45" x14ac:dyDescent="0.3">
      <c r="A2505" s="410" t="s">
        <v>4130</v>
      </c>
      <c r="B2505" s="17"/>
      <c r="C2505" s="19"/>
      <c r="D2505" s="18"/>
      <c r="E2505" s="18"/>
      <c r="F2505" s="19"/>
      <c r="G2505" s="31"/>
      <c r="H2505" s="31"/>
      <c r="I2505" s="19"/>
      <c r="J2505" s="19"/>
      <c r="K2505" s="21"/>
      <c r="L2505" s="22"/>
      <c r="M2505" s="19"/>
      <c r="N2505" s="20"/>
      <c r="O2505" s="19"/>
      <c r="P2505" s="19"/>
      <c r="Q2505" s="19"/>
      <c r="R2505" s="19"/>
      <c r="S2505" s="19"/>
      <c r="T2505" s="19"/>
      <c r="U2505" s="19"/>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row>
    <row r="2506" spans="1:45" x14ac:dyDescent="0.3">
      <c r="A2506" s="410" t="s">
        <v>4131</v>
      </c>
      <c r="B2506" s="17"/>
      <c r="C2506" s="19"/>
      <c r="D2506" s="18"/>
      <c r="E2506" s="18"/>
      <c r="F2506" s="19"/>
      <c r="G2506" s="31"/>
      <c r="H2506" s="31"/>
      <c r="I2506" s="19"/>
      <c r="J2506" s="19"/>
      <c r="K2506" s="21"/>
      <c r="L2506" s="22"/>
      <c r="M2506" s="19"/>
      <c r="N2506" s="20"/>
      <c r="O2506" s="19"/>
      <c r="P2506" s="19"/>
      <c r="Q2506" s="19"/>
      <c r="R2506" s="19"/>
      <c r="S2506" s="19"/>
      <c r="T2506" s="19"/>
      <c r="U2506" s="19"/>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row>
    <row r="2507" spans="1:45" x14ac:dyDescent="0.3">
      <c r="A2507" s="410" t="s">
        <v>4132</v>
      </c>
      <c r="B2507" s="17"/>
      <c r="C2507" s="19"/>
      <c r="D2507" s="18"/>
      <c r="E2507" s="18"/>
      <c r="F2507" s="19"/>
      <c r="G2507" s="31"/>
      <c r="H2507" s="31"/>
      <c r="I2507" s="19"/>
      <c r="J2507" s="19"/>
      <c r="K2507" s="21"/>
      <c r="L2507" s="22"/>
      <c r="M2507" s="19"/>
      <c r="N2507" s="20"/>
      <c r="O2507" s="19"/>
      <c r="P2507" s="19"/>
      <c r="Q2507" s="19"/>
      <c r="R2507" s="19"/>
      <c r="S2507" s="19"/>
      <c r="T2507" s="19"/>
      <c r="U2507" s="19"/>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row>
    <row r="2508" spans="1:45" x14ac:dyDescent="0.3">
      <c r="A2508" s="410" t="s">
        <v>4133</v>
      </c>
      <c r="B2508" s="17"/>
      <c r="C2508" s="19"/>
      <c r="D2508" s="18"/>
      <c r="E2508" s="18"/>
      <c r="F2508" s="19"/>
      <c r="G2508" s="31"/>
      <c r="H2508" s="31"/>
      <c r="I2508" s="19"/>
      <c r="J2508" s="19"/>
      <c r="K2508" s="21"/>
      <c r="L2508" s="22"/>
      <c r="M2508" s="19"/>
      <c r="N2508" s="20"/>
      <c r="O2508" s="19"/>
      <c r="P2508" s="19"/>
      <c r="Q2508" s="19"/>
      <c r="R2508" s="19"/>
      <c r="S2508" s="19"/>
      <c r="T2508" s="19"/>
      <c r="U2508" s="19"/>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row>
    <row r="2509" spans="1:45" x14ac:dyDescent="0.3">
      <c r="A2509" s="410" t="s">
        <v>4134</v>
      </c>
      <c r="B2509" s="17"/>
      <c r="C2509" s="19"/>
      <c r="D2509" s="18"/>
      <c r="E2509" s="18"/>
      <c r="F2509" s="19"/>
      <c r="G2509" s="31"/>
      <c r="H2509" s="31"/>
      <c r="I2509" s="19"/>
      <c r="J2509" s="19"/>
      <c r="K2509" s="21"/>
      <c r="L2509" s="22"/>
      <c r="M2509" s="19"/>
      <c r="N2509" s="20"/>
      <c r="O2509" s="19"/>
      <c r="P2509" s="19"/>
      <c r="Q2509" s="19"/>
      <c r="R2509" s="19"/>
      <c r="S2509" s="19"/>
      <c r="T2509" s="19"/>
      <c r="U2509" s="19"/>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row>
    <row r="2510" spans="1:45" x14ac:dyDescent="0.3">
      <c r="A2510" s="410" t="s">
        <v>4135</v>
      </c>
      <c r="B2510" s="17"/>
      <c r="C2510" s="19"/>
      <c r="D2510" s="18"/>
      <c r="E2510" s="18"/>
      <c r="F2510" s="19"/>
      <c r="G2510" s="31"/>
      <c r="H2510" s="31"/>
      <c r="I2510" s="19"/>
      <c r="J2510" s="19"/>
      <c r="K2510" s="21"/>
      <c r="L2510" s="22"/>
      <c r="M2510" s="19"/>
      <c r="N2510" s="20"/>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row>
    <row r="2511" spans="1:45" x14ac:dyDescent="0.3">
      <c r="A2511" s="410" t="s">
        <v>4136</v>
      </c>
      <c r="B2511" s="17"/>
      <c r="C2511" s="19"/>
      <c r="D2511" s="18"/>
      <c r="E2511" s="18"/>
      <c r="F2511" s="19"/>
      <c r="G2511" s="31"/>
      <c r="H2511" s="31"/>
      <c r="I2511" s="19"/>
      <c r="J2511" s="19"/>
      <c r="K2511" s="21"/>
      <c r="L2511" s="22"/>
      <c r="M2511" s="19"/>
      <c r="N2511" s="20"/>
      <c r="O2511" s="19"/>
      <c r="P2511" s="19"/>
      <c r="Q2511" s="19"/>
      <c r="R2511" s="19"/>
      <c r="S2511" s="19"/>
      <c r="T2511" s="19"/>
      <c r="U2511" s="19"/>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row>
    <row r="2512" spans="1:45" x14ac:dyDescent="0.3">
      <c r="A2512" s="410" t="s">
        <v>4137</v>
      </c>
      <c r="B2512" s="17"/>
      <c r="C2512" s="19"/>
      <c r="D2512" s="18"/>
      <c r="E2512" s="18"/>
      <c r="F2512" s="19"/>
      <c r="G2512" s="31"/>
      <c r="H2512" s="31"/>
      <c r="I2512" s="19"/>
      <c r="J2512" s="19"/>
      <c r="K2512" s="21"/>
      <c r="L2512" s="22"/>
      <c r="M2512" s="19"/>
      <c r="N2512" s="20"/>
      <c r="O2512" s="19"/>
      <c r="P2512" s="19"/>
      <c r="Q2512" s="19"/>
      <c r="R2512" s="19"/>
      <c r="S2512" s="19"/>
      <c r="T2512" s="19"/>
      <c r="U2512" s="19"/>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row>
    <row r="2513" spans="1:45" x14ac:dyDescent="0.3">
      <c r="A2513" s="410" t="s">
        <v>4138</v>
      </c>
      <c r="B2513" s="17"/>
      <c r="C2513" s="19"/>
      <c r="D2513" s="18"/>
      <c r="E2513" s="18"/>
      <c r="F2513" s="19"/>
      <c r="G2513" s="31"/>
      <c r="H2513" s="31"/>
      <c r="I2513" s="19"/>
      <c r="J2513" s="19"/>
      <c r="K2513" s="21"/>
      <c r="L2513" s="22"/>
      <c r="M2513" s="19"/>
      <c r="N2513" s="20"/>
      <c r="O2513" s="19"/>
      <c r="P2513" s="19"/>
      <c r="Q2513" s="19"/>
      <c r="R2513" s="19"/>
      <c r="S2513" s="19"/>
      <c r="T2513" s="19"/>
      <c r="U2513" s="19"/>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row>
    <row r="2514" spans="1:45" x14ac:dyDescent="0.3">
      <c r="A2514" s="410" t="s">
        <v>4139</v>
      </c>
      <c r="B2514" s="17"/>
      <c r="C2514" s="19"/>
      <c r="D2514" s="18"/>
      <c r="E2514" s="18"/>
      <c r="F2514" s="19"/>
      <c r="G2514" s="31"/>
      <c r="H2514" s="31"/>
      <c r="I2514" s="19"/>
      <c r="J2514" s="19"/>
      <c r="K2514" s="21"/>
      <c r="L2514" s="22"/>
      <c r="M2514" s="19"/>
      <c r="N2514" s="20"/>
      <c r="O2514" s="19"/>
      <c r="P2514" s="19"/>
      <c r="Q2514" s="19"/>
      <c r="R2514" s="19"/>
      <c r="S2514" s="19"/>
      <c r="T2514" s="19"/>
      <c r="U2514" s="19"/>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row>
    <row r="2515" spans="1:45" x14ac:dyDescent="0.3">
      <c r="A2515" s="410" t="s">
        <v>4140</v>
      </c>
      <c r="B2515" s="17"/>
      <c r="C2515" s="19"/>
      <c r="D2515" s="18"/>
      <c r="E2515" s="18"/>
      <c r="F2515" s="19"/>
      <c r="G2515" s="31"/>
      <c r="H2515" s="31"/>
      <c r="I2515" s="19"/>
      <c r="J2515" s="19"/>
      <c r="K2515" s="21"/>
      <c r="L2515" s="22"/>
      <c r="M2515" s="19"/>
      <c r="N2515" s="20"/>
      <c r="O2515" s="19"/>
      <c r="P2515" s="19"/>
      <c r="Q2515" s="19"/>
      <c r="R2515" s="19"/>
      <c r="S2515" s="19"/>
      <c r="T2515" s="19"/>
      <c r="U2515" s="19"/>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row>
    <row r="2516" spans="1:45" x14ac:dyDescent="0.3">
      <c r="A2516" s="410" t="s">
        <v>4141</v>
      </c>
      <c r="B2516" s="17"/>
      <c r="C2516" s="19"/>
      <c r="D2516" s="18"/>
      <c r="E2516" s="18"/>
      <c r="F2516" s="19"/>
      <c r="G2516" s="31"/>
      <c r="H2516" s="31"/>
      <c r="I2516" s="19"/>
      <c r="J2516" s="19"/>
      <c r="K2516" s="21"/>
      <c r="L2516" s="22"/>
      <c r="M2516" s="19"/>
      <c r="N2516" s="20"/>
      <c r="O2516" s="19"/>
      <c r="P2516" s="19"/>
      <c r="Q2516" s="19"/>
      <c r="R2516" s="19"/>
      <c r="S2516" s="19"/>
      <c r="T2516" s="19"/>
      <c r="U2516" s="19"/>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row>
    <row r="2517" spans="1:45" x14ac:dyDescent="0.3">
      <c r="A2517" s="410" t="s">
        <v>4142</v>
      </c>
      <c r="B2517" s="17"/>
      <c r="C2517" s="19"/>
      <c r="D2517" s="18"/>
      <c r="E2517" s="18"/>
      <c r="F2517" s="19"/>
      <c r="G2517" s="31"/>
      <c r="H2517" s="31"/>
      <c r="I2517" s="19"/>
      <c r="J2517" s="19"/>
      <c r="K2517" s="21"/>
      <c r="L2517" s="22"/>
      <c r="M2517" s="19"/>
      <c r="N2517" s="20"/>
      <c r="O2517" s="19"/>
      <c r="P2517" s="19"/>
      <c r="Q2517" s="19"/>
      <c r="R2517" s="19"/>
      <c r="S2517" s="19"/>
      <c r="T2517" s="19"/>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row>
    <row r="2518" spans="1:45" x14ac:dyDescent="0.3">
      <c r="A2518" s="410" t="s">
        <v>4143</v>
      </c>
      <c r="B2518" s="17"/>
      <c r="C2518" s="19"/>
      <c r="D2518" s="18"/>
      <c r="E2518" s="18"/>
      <c r="F2518" s="19"/>
      <c r="G2518" s="31"/>
      <c r="H2518" s="31"/>
      <c r="I2518" s="19"/>
      <c r="J2518" s="19"/>
      <c r="K2518" s="21"/>
      <c r="L2518" s="22"/>
      <c r="M2518" s="19"/>
      <c r="N2518" s="20"/>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row>
    <row r="2519" spans="1:45" x14ac:dyDescent="0.3">
      <c r="A2519" s="410" t="s">
        <v>4144</v>
      </c>
      <c r="B2519" s="17"/>
      <c r="C2519" s="19"/>
      <c r="D2519" s="18"/>
      <c r="E2519" s="18"/>
      <c r="F2519" s="19"/>
      <c r="G2519" s="31"/>
      <c r="H2519" s="31"/>
      <c r="I2519" s="19"/>
      <c r="J2519" s="19"/>
      <c r="K2519" s="21"/>
      <c r="L2519" s="22"/>
      <c r="M2519" s="19"/>
      <c r="N2519" s="20"/>
      <c r="O2519" s="19"/>
      <c r="P2519" s="19"/>
      <c r="Q2519" s="19"/>
      <c r="R2519" s="19"/>
      <c r="S2519" s="19"/>
      <c r="T2519" s="19"/>
      <c r="U2519" s="19"/>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row>
    <row r="2520" spans="1:45" x14ac:dyDescent="0.3">
      <c r="A2520" s="410" t="s">
        <v>4145</v>
      </c>
      <c r="B2520" s="17"/>
      <c r="C2520" s="19"/>
      <c r="D2520" s="18"/>
      <c r="E2520" s="18"/>
      <c r="F2520" s="19"/>
      <c r="G2520" s="31"/>
      <c r="H2520" s="31"/>
      <c r="I2520" s="19"/>
      <c r="J2520" s="19"/>
      <c r="K2520" s="21"/>
      <c r="L2520" s="22"/>
      <c r="M2520" s="19"/>
      <c r="N2520" s="20"/>
      <c r="O2520" s="19"/>
      <c r="P2520" s="19"/>
      <c r="Q2520" s="19"/>
      <c r="R2520" s="19"/>
      <c r="S2520" s="19"/>
      <c r="T2520" s="19"/>
      <c r="U2520" s="19"/>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row>
    <row r="2521" spans="1:45" x14ac:dyDescent="0.3">
      <c r="A2521" s="410" t="s">
        <v>4146</v>
      </c>
      <c r="B2521" s="17"/>
      <c r="C2521" s="19"/>
      <c r="D2521" s="18"/>
      <c r="E2521" s="18"/>
      <c r="F2521" s="19"/>
      <c r="G2521" s="31"/>
      <c r="H2521" s="31"/>
      <c r="I2521" s="19"/>
      <c r="J2521" s="19"/>
      <c r="K2521" s="21"/>
      <c r="L2521" s="22"/>
      <c r="M2521" s="19"/>
      <c r="N2521" s="20"/>
      <c r="O2521" s="19"/>
      <c r="P2521" s="19"/>
      <c r="Q2521" s="19"/>
      <c r="R2521" s="19"/>
      <c r="S2521" s="19"/>
      <c r="T2521" s="19"/>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row>
    <row r="2522" spans="1:45" x14ac:dyDescent="0.3">
      <c r="A2522" s="410"/>
      <c r="B2522" s="17"/>
      <c r="C2522" s="19"/>
      <c r="D2522" s="18"/>
      <c r="E2522" s="17"/>
      <c r="F2522" s="19"/>
      <c r="G2522" s="31"/>
      <c r="H2522" s="31"/>
      <c r="I2522" s="19"/>
      <c r="J2522" s="19"/>
      <c r="K2522" s="21"/>
      <c r="L2522" s="22"/>
      <c r="M2522" s="19"/>
      <c r="N2522" s="20"/>
      <c r="O2522" s="19"/>
      <c r="P2522" s="19"/>
      <c r="Q2522" s="19"/>
      <c r="R2522" s="19"/>
      <c r="S2522" s="19"/>
      <c r="T2522" s="19"/>
      <c r="U2522" s="19"/>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row>
    <row r="2523" spans="1:45" x14ac:dyDescent="0.3">
      <c r="A2523" s="410" t="s">
        <v>4147</v>
      </c>
      <c r="B2523" s="17" t="s">
        <v>4148</v>
      </c>
      <c r="C2523" s="19" t="s">
        <v>1368</v>
      </c>
      <c r="D2523" s="19">
        <v>22234271</v>
      </c>
      <c r="E2523" s="17"/>
      <c r="F2523" s="19"/>
      <c r="G2523" s="31"/>
      <c r="H2523" s="31"/>
      <c r="I2523" s="19"/>
      <c r="J2523" s="19"/>
      <c r="K2523" s="317"/>
      <c r="L2523" s="22"/>
      <c r="M2523" s="19"/>
      <c r="N2523" s="20"/>
      <c r="O2523" s="19"/>
      <c r="P2523" s="19"/>
      <c r="Q2523" s="19"/>
      <c r="R2523" s="19"/>
      <c r="S2523" s="19"/>
      <c r="T2523" s="19"/>
      <c r="U2523" s="19"/>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row>
    <row r="2524" spans="1:45" x14ac:dyDescent="0.3">
      <c r="A2524" s="410" t="s">
        <v>4149</v>
      </c>
      <c r="B2524" s="17" t="s">
        <v>4150</v>
      </c>
      <c r="C2524" s="19" t="s">
        <v>1368</v>
      </c>
      <c r="D2524" s="19">
        <v>23176120</v>
      </c>
      <c r="E2524" s="17"/>
      <c r="F2524" s="19"/>
      <c r="G2524" s="31"/>
      <c r="H2524" s="31"/>
      <c r="I2524" s="19"/>
      <c r="J2524" s="19"/>
      <c r="K2524" s="317"/>
      <c r="L2524" s="22"/>
      <c r="M2524" s="19"/>
      <c r="N2524" s="20"/>
      <c r="O2524" s="19"/>
      <c r="P2524" s="19"/>
      <c r="Q2524" s="19"/>
      <c r="R2524" s="19"/>
      <c r="S2524" s="19"/>
      <c r="T2524" s="19"/>
      <c r="U2524" s="19"/>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row>
    <row r="2525" spans="1:45" x14ac:dyDescent="0.3">
      <c r="A2525" s="410" t="s">
        <v>4151</v>
      </c>
      <c r="B2525" s="17"/>
      <c r="C2525" s="19"/>
      <c r="D2525" s="18"/>
      <c r="E2525" s="18"/>
      <c r="F2525" s="19"/>
      <c r="G2525" s="31"/>
      <c r="H2525" s="31"/>
      <c r="I2525" s="19"/>
      <c r="J2525" s="19"/>
      <c r="K2525" s="317"/>
      <c r="L2525" s="22"/>
      <c r="M2525" s="19"/>
      <c r="N2525" s="20"/>
      <c r="O2525" s="19"/>
      <c r="P2525" s="19"/>
      <c r="Q2525" s="19"/>
      <c r="R2525" s="19"/>
      <c r="S2525" s="19"/>
      <c r="T2525" s="19"/>
      <c r="U2525" s="19"/>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row>
    <row r="2526" spans="1:45" x14ac:dyDescent="0.3">
      <c r="A2526" s="410" t="s">
        <v>4152</v>
      </c>
      <c r="B2526" s="17"/>
      <c r="C2526" s="19"/>
      <c r="D2526" s="18"/>
      <c r="E2526" s="18"/>
      <c r="F2526" s="19"/>
      <c r="G2526" s="31"/>
      <c r="H2526" s="31"/>
      <c r="I2526" s="19"/>
      <c r="J2526" s="19"/>
      <c r="K2526" s="317"/>
      <c r="L2526" s="22"/>
      <c r="M2526" s="19"/>
      <c r="N2526" s="20"/>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row>
    <row r="2527" spans="1:45" x14ac:dyDescent="0.3">
      <c r="A2527" s="410" t="s">
        <v>4153</v>
      </c>
      <c r="B2527" s="17"/>
      <c r="C2527" s="19"/>
      <c r="D2527" s="18"/>
      <c r="E2527" s="18"/>
      <c r="F2527" s="19"/>
      <c r="G2527" s="31"/>
      <c r="H2527" s="31"/>
      <c r="I2527" s="19"/>
      <c r="J2527" s="19"/>
      <c r="K2527" s="317"/>
      <c r="L2527" s="22"/>
      <c r="M2527" s="19"/>
      <c r="N2527" s="20"/>
      <c r="O2527" s="19"/>
      <c r="P2527" s="19"/>
      <c r="Q2527" s="19"/>
      <c r="R2527" s="19"/>
      <c r="S2527" s="19"/>
      <c r="T2527" s="19"/>
      <c r="U2527" s="19"/>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row>
    <row r="2528" spans="1:45" x14ac:dyDescent="0.3">
      <c r="A2528" s="410" t="s">
        <v>4154</v>
      </c>
      <c r="B2528" s="17"/>
      <c r="C2528" s="19"/>
      <c r="D2528" s="18"/>
      <c r="E2528" s="18"/>
      <c r="F2528" s="19"/>
      <c r="G2528" s="31"/>
      <c r="H2528" s="31"/>
      <c r="I2528" s="19"/>
      <c r="J2528" s="19"/>
      <c r="K2528" s="317"/>
      <c r="L2528" s="22"/>
      <c r="M2528" s="19"/>
      <c r="N2528" s="20"/>
      <c r="O2528" s="19"/>
      <c r="P2528" s="19"/>
      <c r="Q2528" s="19"/>
      <c r="R2528" s="19"/>
      <c r="S2528" s="19"/>
      <c r="T2528" s="19"/>
      <c r="U2528" s="19"/>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row>
    <row r="2529" spans="1:45" x14ac:dyDescent="0.3">
      <c r="A2529" s="410" t="s">
        <v>4155</v>
      </c>
      <c r="B2529" s="17"/>
      <c r="C2529" s="19"/>
      <c r="D2529" s="18"/>
      <c r="E2529" s="18"/>
      <c r="F2529" s="19"/>
      <c r="G2529" s="31"/>
      <c r="H2529" s="31"/>
      <c r="I2529" s="19"/>
      <c r="J2529" s="19"/>
      <c r="K2529" s="317"/>
      <c r="L2529" s="22"/>
      <c r="M2529" s="19"/>
      <c r="N2529" s="20"/>
      <c r="O2529" s="19"/>
      <c r="P2529" s="19"/>
      <c r="Q2529" s="19"/>
      <c r="R2529" s="19"/>
      <c r="S2529" s="19"/>
      <c r="T2529" s="19"/>
      <c r="U2529" s="19"/>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row>
    <row r="2530" spans="1:45" x14ac:dyDescent="0.3">
      <c r="A2530" s="410" t="s">
        <v>4156</v>
      </c>
      <c r="B2530" s="17"/>
      <c r="C2530" s="19"/>
      <c r="D2530" s="18"/>
      <c r="E2530" s="18"/>
      <c r="F2530" s="19"/>
      <c r="G2530" s="31"/>
      <c r="H2530" s="31"/>
      <c r="I2530" s="19"/>
      <c r="J2530" s="19"/>
      <c r="K2530" s="317"/>
      <c r="L2530" s="22"/>
      <c r="M2530" s="19"/>
      <c r="N2530" s="20"/>
      <c r="O2530" s="19"/>
      <c r="P2530" s="19"/>
      <c r="Q2530" s="19"/>
      <c r="R2530" s="19"/>
      <c r="S2530" s="19"/>
      <c r="T2530" s="19"/>
      <c r="U2530" s="19"/>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row>
    <row r="2531" spans="1:45" x14ac:dyDescent="0.3">
      <c r="A2531" s="410" t="s">
        <v>4157</v>
      </c>
      <c r="B2531" s="17"/>
      <c r="C2531" s="19"/>
      <c r="D2531" s="18"/>
      <c r="E2531" s="18"/>
      <c r="F2531" s="19"/>
      <c r="G2531" s="31"/>
      <c r="H2531" s="31"/>
      <c r="I2531" s="19"/>
      <c r="J2531" s="19"/>
      <c r="K2531" s="317"/>
      <c r="L2531" s="22"/>
      <c r="M2531" s="19"/>
      <c r="N2531" s="20"/>
      <c r="O2531" s="19"/>
      <c r="P2531" s="19"/>
      <c r="Q2531" s="19"/>
      <c r="R2531" s="19"/>
      <c r="S2531" s="19"/>
      <c r="T2531" s="19"/>
      <c r="U2531" s="19"/>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row>
    <row r="2532" spans="1:45" x14ac:dyDescent="0.3">
      <c r="A2532" s="410" t="s">
        <v>4158</v>
      </c>
      <c r="B2532" s="17"/>
      <c r="C2532" s="19"/>
      <c r="D2532" s="18"/>
      <c r="E2532" s="18"/>
      <c r="F2532" s="19"/>
      <c r="G2532" s="31"/>
      <c r="H2532" s="31"/>
      <c r="I2532" s="19"/>
      <c r="J2532" s="19"/>
      <c r="K2532" s="317"/>
      <c r="L2532" s="22"/>
      <c r="M2532" s="19"/>
      <c r="N2532" s="20"/>
      <c r="O2532" s="19"/>
      <c r="P2532" s="19"/>
      <c r="Q2532" s="19"/>
      <c r="R2532" s="19"/>
      <c r="S2532" s="19"/>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row>
    <row r="2533" spans="1:45" x14ac:dyDescent="0.3">
      <c r="A2533" s="410" t="s">
        <v>4159</v>
      </c>
      <c r="B2533" s="17"/>
      <c r="C2533" s="19"/>
      <c r="D2533" s="18"/>
      <c r="E2533" s="18"/>
      <c r="F2533" s="19"/>
      <c r="G2533" s="31"/>
      <c r="H2533" s="31"/>
      <c r="I2533" s="19"/>
      <c r="J2533" s="19"/>
      <c r="K2533" s="317"/>
      <c r="L2533" s="22"/>
      <c r="M2533" s="19"/>
      <c r="N2533" s="20"/>
      <c r="O2533" s="19"/>
      <c r="P2533" s="19"/>
      <c r="Q2533" s="19"/>
      <c r="R2533" s="19"/>
      <c r="S2533" s="19"/>
      <c r="T2533" s="19"/>
      <c r="U2533" s="19"/>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row>
    <row r="2534" spans="1:45" x14ac:dyDescent="0.3">
      <c r="A2534" s="410" t="s">
        <v>4160</v>
      </c>
      <c r="B2534" s="17"/>
      <c r="C2534" s="19"/>
      <c r="D2534" s="18"/>
      <c r="E2534" s="18"/>
      <c r="F2534" s="19"/>
      <c r="G2534" s="31"/>
      <c r="H2534" s="31"/>
      <c r="I2534" s="19"/>
      <c r="J2534" s="19"/>
      <c r="K2534" s="317"/>
      <c r="L2534" s="22"/>
      <c r="M2534" s="19"/>
      <c r="N2534" s="20"/>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row>
    <row r="2535" spans="1:45" x14ac:dyDescent="0.3">
      <c r="A2535" s="410" t="s">
        <v>4161</v>
      </c>
      <c r="B2535" s="17"/>
      <c r="C2535" s="19"/>
      <c r="D2535" s="18"/>
      <c r="E2535" s="18"/>
      <c r="F2535" s="19"/>
      <c r="G2535" s="31"/>
      <c r="H2535" s="31"/>
      <c r="I2535" s="19"/>
      <c r="J2535" s="19"/>
      <c r="K2535" s="317"/>
      <c r="L2535" s="22"/>
      <c r="M2535" s="19"/>
      <c r="N2535" s="20"/>
      <c r="O2535" s="19"/>
      <c r="P2535" s="19"/>
      <c r="Q2535" s="19"/>
      <c r="R2535" s="19"/>
      <c r="S2535" s="19"/>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row>
    <row r="2536" spans="1:45" x14ac:dyDescent="0.3">
      <c r="A2536" s="410" t="s">
        <v>4162</v>
      </c>
      <c r="B2536" s="17"/>
      <c r="C2536" s="19"/>
      <c r="D2536" s="18"/>
      <c r="E2536" s="18"/>
      <c r="F2536" s="19"/>
      <c r="G2536" s="31"/>
      <c r="H2536" s="31"/>
      <c r="I2536" s="19"/>
      <c r="J2536" s="19"/>
      <c r="K2536" s="317"/>
      <c r="L2536" s="22"/>
      <c r="M2536" s="19"/>
      <c r="N2536" s="20"/>
      <c r="O2536" s="19"/>
      <c r="P2536" s="19"/>
      <c r="Q2536" s="19"/>
      <c r="R2536" s="19"/>
      <c r="S2536" s="19"/>
      <c r="T2536" s="19"/>
      <c r="U2536" s="19"/>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row>
    <row r="2537" spans="1:45" x14ac:dyDescent="0.3">
      <c r="A2537" s="410" t="s">
        <v>4163</v>
      </c>
      <c r="B2537" s="17"/>
      <c r="C2537" s="19"/>
      <c r="D2537" s="18"/>
      <c r="E2537" s="18"/>
      <c r="F2537" s="19"/>
      <c r="G2537" s="31"/>
      <c r="H2537" s="31"/>
      <c r="I2537" s="19"/>
      <c r="J2537" s="19"/>
      <c r="K2537" s="317"/>
      <c r="L2537" s="22"/>
      <c r="M2537" s="19"/>
      <c r="N2537" s="20"/>
      <c r="O2537" s="19"/>
      <c r="P2537" s="19"/>
      <c r="Q2537" s="19"/>
      <c r="R2537" s="19"/>
      <c r="S2537" s="19"/>
      <c r="T2537" s="19"/>
      <c r="U2537" s="19"/>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row>
    <row r="2538" spans="1:45" x14ac:dyDescent="0.3">
      <c r="A2538" s="410" t="s">
        <v>4164</v>
      </c>
      <c r="B2538" s="17"/>
      <c r="C2538" s="19"/>
      <c r="D2538" s="18"/>
      <c r="E2538" s="18"/>
      <c r="F2538" s="19"/>
      <c r="G2538" s="31"/>
      <c r="H2538" s="31"/>
      <c r="I2538" s="19"/>
      <c r="J2538" s="19"/>
      <c r="K2538" s="317"/>
      <c r="L2538" s="22"/>
      <c r="M2538" s="19"/>
      <c r="N2538" s="20"/>
      <c r="O2538" s="19"/>
      <c r="P2538" s="19"/>
      <c r="Q2538" s="19"/>
      <c r="R2538" s="19"/>
      <c r="S2538" s="19"/>
      <c r="T2538" s="19"/>
      <c r="U2538" s="19"/>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row>
    <row r="2539" spans="1:45" x14ac:dyDescent="0.3">
      <c r="A2539" s="410" t="s">
        <v>4165</v>
      </c>
      <c r="B2539" s="17"/>
      <c r="C2539" s="19"/>
      <c r="D2539" s="18"/>
      <c r="E2539" s="18"/>
      <c r="F2539" s="19"/>
      <c r="G2539" s="31"/>
      <c r="H2539" s="31"/>
      <c r="I2539" s="19"/>
      <c r="J2539" s="19"/>
      <c r="K2539" s="317"/>
      <c r="L2539" s="22"/>
      <c r="M2539" s="19"/>
      <c r="N2539" s="20"/>
      <c r="O2539" s="19"/>
      <c r="P2539" s="19"/>
      <c r="Q2539" s="19"/>
      <c r="R2539" s="19"/>
      <c r="S2539" s="19"/>
      <c r="T2539" s="19"/>
      <c r="U2539" s="19"/>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19"/>
    </row>
    <row r="2540" spans="1:45" x14ac:dyDescent="0.3">
      <c r="A2540" s="410" t="s">
        <v>4166</v>
      </c>
      <c r="B2540" s="17"/>
      <c r="C2540" s="19"/>
      <c r="D2540" s="18"/>
      <c r="E2540" s="18"/>
      <c r="F2540" s="19"/>
      <c r="G2540" s="31"/>
      <c r="H2540" s="31"/>
      <c r="I2540" s="19"/>
      <c r="J2540" s="19"/>
      <c r="K2540" s="317"/>
      <c r="L2540" s="22"/>
      <c r="M2540" s="19"/>
      <c r="N2540" s="20"/>
      <c r="O2540" s="19"/>
      <c r="P2540" s="19"/>
      <c r="Q2540" s="19"/>
      <c r="R2540" s="19"/>
      <c r="S2540" s="19"/>
      <c r="T2540" s="19"/>
      <c r="U2540" s="19"/>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row>
    <row r="2541" spans="1:45" x14ac:dyDescent="0.3">
      <c r="A2541" s="410" t="s">
        <v>4167</v>
      </c>
      <c r="B2541" s="17"/>
      <c r="C2541" s="19"/>
      <c r="D2541" s="18"/>
      <c r="E2541" s="18"/>
      <c r="F2541" s="19"/>
      <c r="G2541" s="31"/>
      <c r="H2541" s="31"/>
      <c r="I2541" s="19"/>
      <c r="J2541" s="19"/>
      <c r="K2541" s="317"/>
      <c r="L2541" s="22"/>
      <c r="M2541" s="19"/>
      <c r="N2541" s="20"/>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row>
    <row r="2542" spans="1:45" x14ac:dyDescent="0.3">
      <c r="A2542" s="410" t="s">
        <v>4168</v>
      </c>
      <c r="B2542" s="17"/>
      <c r="C2542" s="19"/>
      <c r="D2542" s="18"/>
      <c r="E2542" s="18"/>
      <c r="F2542" s="19"/>
      <c r="G2542" s="31"/>
      <c r="H2542" s="31"/>
      <c r="I2542" s="19"/>
      <c r="J2542" s="19"/>
      <c r="K2542" s="317"/>
      <c r="L2542" s="22"/>
      <c r="M2542" s="19"/>
      <c r="N2542" s="20"/>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row>
    <row r="2543" spans="1:45" x14ac:dyDescent="0.3">
      <c r="A2543" s="410" t="s">
        <v>4169</v>
      </c>
      <c r="B2543" s="17"/>
      <c r="C2543" s="19"/>
      <c r="D2543" s="18"/>
      <c r="E2543" s="18"/>
      <c r="F2543" s="19"/>
      <c r="G2543" s="31"/>
      <c r="H2543" s="31"/>
      <c r="I2543" s="19"/>
      <c r="J2543" s="19"/>
      <c r="K2543" s="317"/>
      <c r="L2543" s="22"/>
      <c r="M2543" s="19"/>
      <c r="N2543" s="20"/>
      <c r="O2543" s="19"/>
      <c r="P2543" s="19"/>
      <c r="Q2543" s="19"/>
      <c r="R2543" s="19"/>
      <c r="S2543" s="19"/>
      <c r="T2543" s="19"/>
      <c r="U2543" s="19"/>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row>
    <row r="2544" spans="1:45" x14ac:dyDescent="0.3">
      <c r="A2544" s="410" t="s">
        <v>4170</v>
      </c>
      <c r="B2544" s="17"/>
      <c r="C2544" s="19"/>
      <c r="D2544" s="18"/>
      <c r="E2544" s="18"/>
      <c r="F2544" s="19"/>
      <c r="G2544" s="31"/>
      <c r="H2544" s="31"/>
      <c r="I2544" s="19"/>
      <c r="J2544" s="19"/>
      <c r="K2544" s="317"/>
      <c r="L2544" s="22"/>
      <c r="M2544" s="19"/>
      <c r="N2544" s="20"/>
      <c r="O2544" s="19"/>
      <c r="P2544" s="19"/>
      <c r="Q2544" s="19"/>
      <c r="R2544" s="19"/>
      <c r="S2544" s="19"/>
      <c r="T2544" s="19"/>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row>
    <row r="2545" spans="1:45" x14ac:dyDescent="0.3">
      <c r="A2545" s="410" t="s">
        <v>4171</v>
      </c>
      <c r="B2545" s="17"/>
      <c r="C2545" s="19"/>
      <c r="D2545" s="18"/>
      <c r="E2545" s="18"/>
      <c r="F2545" s="19"/>
      <c r="G2545" s="31"/>
      <c r="H2545" s="31"/>
      <c r="I2545" s="19"/>
      <c r="J2545" s="19"/>
      <c r="K2545" s="317"/>
      <c r="L2545" s="22"/>
      <c r="M2545" s="19"/>
      <c r="N2545" s="20"/>
      <c r="O2545" s="19"/>
      <c r="P2545" s="19"/>
      <c r="Q2545" s="19"/>
      <c r="R2545" s="19"/>
      <c r="S2545" s="19"/>
      <c r="T2545" s="19"/>
      <c r="U2545" s="19"/>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row>
    <row r="2546" spans="1:45" x14ac:dyDescent="0.3">
      <c r="A2546" s="410" t="s">
        <v>4172</v>
      </c>
      <c r="B2546" s="17"/>
      <c r="C2546" s="19"/>
      <c r="D2546" s="18"/>
      <c r="E2546" s="18"/>
      <c r="F2546" s="19"/>
      <c r="G2546" s="31"/>
      <c r="H2546" s="31"/>
      <c r="I2546" s="19"/>
      <c r="J2546" s="19"/>
      <c r="K2546" s="317"/>
      <c r="L2546" s="22"/>
      <c r="M2546" s="19"/>
      <c r="N2546" s="20"/>
      <c r="O2546" s="19"/>
      <c r="P2546" s="19"/>
      <c r="Q2546" s="19"/>
      <c r="R2546" s="19"/>
      <c r="S2546" s="19"/>
      <c r="T2546" s="19"/>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row>
    <row r="2547" spans="1:45" x14ac:dyDescent="0.3">
      <c r="A2547" s="410" t="s">
        <v>4173</v>
      </c>
      <c r="B2547" s="17"/>
      <c r="C2547" s="19"/>
      <c r="D2547" s="18"/>
      <c r="E2547" s="18"/>
      <c r="F2547" s="19"/>
      <c r="G2547" s="31"/>
      <c r="H2547" s="31"/>
      <c r="I2547" s="19"/>
      <c r="J2547" s="19"/>
      <c r="K2547" s="317"/>
      <c r="L2547" s="22"/>
      <c r="M2547" s="19"/>
      <c r="N2547" s="20"/>
      <c r="O2547" s="19"/>
      <c r="P2547" s="19"/>
      <c r="Q2547" s="19"/>
      <c r="R2547" s="19"/>
      <c r="S2547" s="19"/>
      <c r="T2547" s="19"/>
      <c r="U2547" s="19"/>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row>
    <row r="2548" spans="1:45" x14ac:dyDescent="0.3">
      <c r="A2548" s="410" t="s">
        <v>4174</v>
      </c>
      <c r="B2548" s="17"/>
      <c r="C2548" s="19"/>
      <c r="D2548" s="18"/>
      <c r="E2548" s="18"/>
      <c r="F2548" s="19"/>
      <c r="G2548" s="31"/>
      <c r="H2548" s="31"/>
      <c r="I2548" s="19"/>
      <c r="J2548" s="19"/>
      <c r="K2548" s="317"/>
      <c r="L2548" s="22"/>
      <c r="M2548" s="19"/>
      <c r="N2548" s="20"/>
      <c r="O2548" s="19"/>
      <c r="P2548" s="19"/>
      <c r="Q2548" s="19"/>
      <c r="R2548" s="19"/>
      <c r="S2548" s="19"/>
      <c r="T2548" s="19"/>
      <c r="U2548" s="19"/>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row>
    <row r="2549" spans="1:45" x14ac:dyDescent="0.3">
      <c r="A2549" s="410" t="s">
        <v>4175</v>
      </c>
      <c r="B2549" s="17"/>
      <c r="C2549" s="19"/>
      <c r="D2549" s="18"/>
      <c r="E2549" s="18"/>
      <c r="F2549" s="19"/>
      <c r="G2549" s="31"/>
      <c r="H2549" s="31"/>
      <c r="I2549" s="19"/>
      <c r="J2549" s="19"/>
      <c r="K2549" s="317"/>
      <c r="L2549" s="22"/>
      <c r="M2549" s="19"/>
      <c r="N2549" s="20"/>
      <c r="O2549" s="19"/>
      <c r="P2549" s="19"/>
      <c r="Q2549" s="19"/>
      <c r="R2549" s="19"/>
      <c r="S2549" s="19"/>
      <c r="T2549" s="19"/>
      <c r="U2549" s="19"/>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row>
    <row r="2550" spans="1:45" x14ac:dyDescent="0.3">
      <c r="A2550" s="410" t="s">
        <v>4176</v>
      </c>
      <c r="B2550" s="17"/>
      <c r="C2550" s="19"/>
      <c r="D2550" s="18"/>
      <c r="E2550" s="18"/>
      <c r="F2550" s="19"/>
      <c r="G2550" s="31"/>
      <c r="H2550" s="31"/>
      <c r="I2550" s="19"/>
      <c r="J2550" s="19"/>
      <c r="K2550" s="317"/>
      <c r="L2550" s="22"/>
      <c r="M2550" s="19"/>
      <c r="N2550" s="20"/>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row>
    <row r="2551" spans="1:45" x14ac:dyDescent="0.3">
      <c r="A2551" s="410" t="s">
        <v>4177</v>
      </c>
      <c r="B2551" s="17"/>
      <c r="C2551" s="19"/>
      <c r="D2551" s="18"/>
      <c r="E2551" s="18"/>
      <c r="F2551" s="19"/>
      <c r="G2551" s="31"/>
      <c r="H2551" s="31"/>
      <c r="I2551" s="19"/>
      <c r="J2551" s="19"/>
      <c r="K2551" s="317"/>
      <c r="L2551" s="22"/>
      <c r="M2551" s="19"/>
      <c r="N2551" s="20"/>
      <c r="O2551" s="19"/>
      <c r="P2551" s="19"/>
      <c r="Q2551" s="19"/>
      <c r="R2551" s="19"/>
      <c r="S2551" s="19"/>
      <c r="T2551" s="19"/>
      <c r="U2551" s="19"/>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row>
    <row r="2552" spans="1:45" x14ac:dyDescent="0.3">
      <c r="A2552" s="410" t="s">
        <v>4178</v>
      </c>
      <c r="B2552" s="17"/>
      <c r="C2552" s="19"/>
      <c r="D2552" s="18"/>
      <c r="E2552" s="18"/>
      <c r="F2552" s="19"/>
      <c r="G2552" s="31"/>
      <c r="H2552" s="31"/>
      <c r="I2552" s="19"/>
      <c r="J2552" s="19"/>
      <c r="K2552" s="317"/>
      <c r="L2552" s="22"/>
      <c r="M2552" s="19"/>
      <c r="N2552" s="20"/>
      <c r="O2552" s="19"/>
      <c r="P2552" s="19"/>
      <c r="Q2552" s="19"/>
      <c r="R2552" s="19"/>
      <c r="S2552" s="19"/>
      <c r="T2552" s="19"/>
      <c r="U2552" s="19"/>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row>
    <row r="2553" spans="1:45" x14ac:dyDescent="0.3">
      <c r="A2553" s="410" t="s">
        <v>4179</v>
      </c>
      <c r="B2553" s="17"/>
      <c r="C2553" s="19"/>
      <c r="D2553" s="18"/>
      <c r="E2553" s="18"/>
      <c r="F2553" s="19"/>
      <c r="G2553" s="31"/>
      <c r="H2553" s="31"/>
      <c r="I2553" s="19"/>
      <c r="J2553" s="19"/>
      <c r="K2553" s="317"/>
      <c r="L2553" s="22"/>
      <c r="M2553" s="19"/>
      <c r="N2553" s="20"/>
      <c r="O2553" s="19"/>
      <c r="P2553" s="19"/>
      <c r="Q2553" s="19"/>
      <c r="R2553" s="19"/>
      <c r="S2553" s="19"/>
      <c r="T2553" s="19"/>
      <c r="U2553" s="19"/>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row>
    <row r="2554" spans="1:45" x14ac:dyDescent="0.3">
      <c r="A2554" s="410" t="s">
        <v>4180</v>
      </c>
      <c r="B2554" s="17"/>
      <c r="C2554" s="19"/>
      <c r="D2554" s="18"/>
      <c r="E2554" s="18"/>
      <c r="F2554" s="19"/>
      <c r="G2554" s="31"/>
      <c r="H2554" s="31"/>
      <c r="I2554" s="19"/>
      <c r="J2554" s="19"/>
      <c r="K2554" s="317"/>
      <c r="L2554" s="22"/>
      <c r="M2554" s="19"/>
      <c r="N2554" s="20"/>
      <c r="O2554" s="19"/>
      <c r="P2554" s="19"/>
      <c r="Q2554" s="19"/>
      <c r="R2554" s="19"/>
      <c r="S2554" s="19"/>
      <c r="T2554" s="19"/>
      <c r="U2554" s="19"/>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row>
    <row r="2555" spans="1:45" x14ac:dyDescent="0.3">
      <c r="A2555" s="410" t="s">
        <v>4181</v>
      </c>
      <c r="B2555" s="17"/>
      <c r="C2555" s="19"/>
      <c r="D2555" s="18"/>
      <c r="E2555" s="18"/>
      <c r="F2555" s="19"/>
      <c r="G2555" s="31"/>
      <c r="H2555" s="31"/>
      <c r="I2555" s="19"/>
      <c r="J2555" s="19"/>
      <c r="K2555" s="317"/>
      <c r="L2555" s="22"/>
      <c r="M2555" s="19"/>
      <c r="N2555" s="20"/>
      <c r="O2555" s="19"/>
      <c r="P2555" s="19"/>
      <c r="Q2555" s="19"/>
      <c r="R2555" s="19"/>
      <c r="S2555" s="19"/>
      <c r="T2555" s="19"/>
      <c r="U2555" s="19"/>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row>
    <row r="2556" spans="1:45" x14ac:dyDescent="0.3">
      <c r="A2556" s="410" t="s">
        <v>4182</v>
      </c>
      <c r="B2556" s="17"/>
      <c r="C2556" s="19"/>
      <c r="D2556" s="18"/>
      <c r="E2556" s="18"/>
      <c r="F2556" s="19"/>
      <c r="G2556" s="31"/>
      <c r="H2556" s="31"/>
      <c r="I2556" s="19"/>
      <c r="J2556" s="19"/>
      <c r="K2556" s="317"/>
      <c r="L2556" s="22"/>
      <c r="M2556" s="19"/>
      <c r="N2556" s="20"/>
      <c r="O2556" s="19"/>
      <c r="P2556" s="19"/>
      <c r="Q2556" s="19"/>
      <c r="R2556" s="19"/>
      <c r="S2556" s="19"/>
      <c r="T2556" s="19"/>
      <c r="U2556" s="19"/>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row>
    <row r="2557" spans="1:45" x14ac:dyDescent="0.3">
      <c r="A2557" s="410" t="s">
        <v>4183</v>
      </c>
      <c r="B2557" s="17"/>
      <c r="C2557" s="19"/>
      <c r="D2557" s="18"/>
      <c r="E2557" s="18"/>
      <c r="F2557" s="19"/>
      <c r="G2557" s="31"/>
      <c r="H2557" s="31"/>
      <c r="I2557" s="19"/>
      <c r="J2557" s="19"/>
      <c r="K2557" s="317"/>
      <c r="L2557" s="22"/>
      <c r="M2557" s="19"/>
      <c r="N2557" s="20"/>
      <c r="O2557" s="19"/>
      <c r="P2557" s="19"/>
      <c r="Q2557" s="19"/>
      <c r="R2557" s="19"/>
      <c r="S2557" s="19"/>
      <c r="T2557" s="19"/>
      <c r="U2557" s="19"/>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row>
    <row r="2558" spans="1:45" x14ac:dyDescent="0.3">
      <c r="A2558" s="410" t="s">
        <v>4184</v>
      </c>
      <c r="B2558" s="17"/>
      <c r="C2558" s="19"/>
      <c r="D2558" s="18"/>
      <c r="E2558" s="18"/>
      <c r="F2558" s="19"/>
      <c r="G2558" s="31"/>
      <c r="H2558" s="31"/>
      <c r="I2558" s="19"/>
      <c r="J2558" s="19"/>
      <c r="K2558" s="317"/>
      <c r="L2558" s="22"/>
      <c r="M2558" s="19"/>
      <c r="N2558" s="20"/>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row>
    <row r="2559" spans="1:45" x14ac:dyDescent="0.3">
      <c r="A2559" s="410" t="s">
        <v>4185</v>
      </c>
      <c r="B2559" s="17"/>
      <c r="C2559" s="19"/>
      <c r="D2559" s="18"/>
      <c r="E2559" s="18"/>
      <c r="F2559" s="19"/>
      <c r="G2559" s="31"/>
      <c r="H2559" s="31"/>
      <c r="I2559" s="19"/>
      <c r="J2559" s="19"/>
      <c r="K2559" s="317"/>
      <c r="L2559" s="22"/>
      <c r="M2559" s="19"/>
      <c r="N2559" s="20"/>
      <c r="O2559" s="19"/>
      <c r="P2559" s="19"/>
      <c r="Q2559" s="19"/>
      <c r="R2559" s="19"/>
      <c r="S2559" s="19"/>
      <c r="T2559" s="19"/>
      <c r="U2559" s="19"/>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row>
    <row r="2560" spans="1:45" x14ac:dyDescent="0.3">
      <c r="A2560" s="410" t="s">
        <v>4186</v>
      </c>
      <c r="B2560" s="17"/>
      <c r="C2560" s="19"/>
      <c r="D2560" s="18"/>
      <c r="E2560" s="18"/>
      <c r="F2560" s="19"/>
      <c r="G2560" s="31"/>
      <c r="H2560" s="31"/>
      <c r="I2560" s="19"/>
      <c r="J2560" s="19"/>
      <c r="K2560" s="317"/>
      <c r="L2560" s="22"/>
      <c r="M2560" s="19"/>
      <c r="N2560" s="20"/>
      <c r="O2560" s="19"/>
      <c r="P2560" s="19"/>
      <c r="Q2560" s="19"/>
      <c r="R2560" s="19"/>
      <c r="S2560" s="19"/>
      <c r="T2560" s="19"/>
      <c r="U2560" s="19"/>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19"/>
    </row>
    <row r="2561" spans="1:45" x14ac:dyDescent="0.3">
      <c r="A2561" s="410" t="s">
        <v>4187</v>
      </c>
      <c r="B2561" s="17"/>
      <c r="C2561" s="19"/>
      <c r="D2561" s="18"/>
      <c r="E2561" s="18"/>
      <c r="F2561" s="19"/>
      <c r="G2561" s="31"/>
      <c r="H2561" s="31"/>
      <c r="I2561" s="19"/>
      <c r="J2561" s="19"/>
      <c r="K2561" s="317"/>
      <c r="L2561" s="22"/>
      <c r="M2561" s="19"/>
      <c r="N2561" s="20"/>
      <c r="O2561" s="19"/>
      <c r="P2561" s="19"/>
      <c r="Q2561" s="19"/>
      <c r="R2561" s="19"/>
      <c r="S2561" s="19"/>
      <c r="T2561" s="19"/>
      <c r="U2561" s="19"/>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row>
    <row r="2562" spans="1:45" x14ac:dyDescent="0.3">
      <c r="A2562" s="410" t="s">
        <v>4188</v>
      </c>
      <c r="B2562" s="17"/>
      <c r="C2562" s="19"/>
      <c r="D2562" s="18"/>
      <c r="E2562" s="18"/>
      <c r="F2562" s="19"/>
      <c r="G2562" s="31"/>
      <c r="H2562" s="31"/>
      <c r="I2562" s="19"/>
      <c r="J2562" s="19"/>
      <c r="K2562" s="317"/>
      <c r="L2562" s="22"/>
      <c r="M2562" s="19"/>
      <c r="N2562" s="20"/>
      <c r="O2562" s="19"/>
      <c r="P2562" s="19"/>
      <c r="Q2562" s="19"/>
      <c r="R2562" s="19"/>
      <c r="S2562" s="19"/>
      <c r="T2562" s="19"/>
      <c r="U2562" s="19"/>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row>
    <row r="2563" spans="1:45" x14ac:dyDescent="0.3">
      <c r="A2563" s="410" t="s">
        <v>4189</v>
      </c>
      <c r="B2563" s="17"/>
      <c r="C2563" s="19"/>
      <c r="D2563" s="18"/>
      <c r="E2563" s="18"/>
      <c r="F2563" s="19"/>
      <c r="G2563" s="31"/>
      <c r="H2563" s="31"/>
      <c r="I2563" s="19"/>
      <c r="J2563" s="19"/>
      <c r="K2563" s="317"/>
      <c r="L2563" s="22"/>
      <c r="M2563" s="19"/>
      <c r="N2563" s="20"/>
      <c r="O2563" s="19"/>
      <c r="P2563" s="19"/>
      <c r="Q2563" s="19"/>
      <c r="R2563" s="19"/>
      <c r="S2563" s="19"/>
      <c r="T2563" s="19"/>
      <c r="U2563" s="19"/>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row>
    <row r="2564" spans="1:45" x14ac:dyDescent="0.3">
      <c r="A2564" s="410" t="s">
        <v>4190</v>
      </c>
      <c r="B2564" s="17"/>
      <c r="C2564" s="19"/>
      <c r="D2564" s="18"/>
      <c r="E2564" s="18"/>
      <c r="F2564" s="19"/>
      <c r="G2564" s="31"/>
      <c r="H2564" s="31"/>
      <c r="I2564" s="19"/>
      <c r="J2564" s="19"/>
      <c r="K2564" s="317"/>
      <c r="L2564" s="22"/>
      <c r="M2564" s="19"/>
      <c r="N2564" s="20"/>
      <c r="O2564" s="19"/>
      <c r="P2564" s="19"/>
      <c r="Q2564" s="19"/>
      <c r="R2564" s="19"/>
      <c r="S2564" s="19"/>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row>
    <row r="2565" spans="1:45" x14ac:dyDescent="0.3">
      <c r="A2565" s="410" t="s">
        <v>4191</v>
      </c>
      <c r="B2565" s="17"/>
      <c r="C2565" s="19"/>
      <c r="D2565" s="18"/>
      <c r="E2565" s="18"/>
      <c r="F2565" s="19"/>
      <c r="G2565" s="31"/>
      <c r="H2565" s="31"/>
      <c r="I2565" s="19"/>
      <c r="J2565" s="19"/>
      <c r="K2565" s="317"/>
      <c r="L2565" s="22"/>
      <c r="M2565" s="19"/>
      <c r="N2565" s="20"/>
      <c r="O2565" s="19"/>
      <c r="P2565" s="19"/>
      <c r="Q2565" s="19"/>
      <c r="R2565" s="19"/>
      <c r="S2565" s="19"/>
      <c r="T2565" s="19"/>
      <c r="U2565" s="19"/>
      <c r="V2565" s="19"/>
      <c r="W2565" s="19"/>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19"/>
    </row>
    <row r="2566" spans="1:45" x14ac:dyDescent="0.3">
      <c r="A2566" s="410" t="s">
        <v>4192</v>
      </c>
      <c r="B2566" s="17"/>
      <c r="C2566" s="19"/>
      <c r="D2566" s="18"/>
      <c r="E2566" s="18"/>
      <c r="F2566" s="19"/>
      <c r="G2566" s="31"/>
      <c r="H2566" s="31"/>
      <c r="I2566" s="19"/>
      <c r="J2566" s="19"/>
      <c r="K2566" s="317"/>
      <c r="L2566" s="22"/>
      <c r="M2566" s="19"/>
      <c r="N2566" s="20"/>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row>
    <row r="2567" spans="1:45" x14ac:dyDescent="0.3">
      <c r="A2567" s="410" t="s">
        <v>4193</v>
      </c>
      <c r="B2567" s="17"/>
      <c r="C2567" s="19"/>
      <c r="D2567" s="18"/>
      <c r="E2567" s="18"/>
      <c r="F2567" s="19"/>
      <c r="G2567" s="31"/>
      <c r="H2567" s="31"/>
      <c r="I2567" s="19"/>
      <c r="J2567" s="19"/>
      <c r="K2567" s="317"/>
      <c r="L2567" s="22"/>
      <c r="M2567" s="19"/>
      <c r="N2567" s="20"/>
      <c r="O2567" s="19"/>
      <c r="P2567" s="19"/>
      <c r="Q2567" s="19"/>
      <c r="R2567" s="19"/>
      <c r="S2567" s="19"/>
      <c r="T2567" s="19"/>
      <c r="U2567" s="19"/>
      <c r="V2567" s="19"/>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19"/>
    </row>
    <row r="2568" spans="1:45" x14ac:dyDescent="0.3">
      <c r="A2568" s="410" t="s">
        <v>4194</v>
      </c>
      <c r="B2568" s="17"/>
      <c r="C2568" s="19"/>
      <c r="D2568" s="18"/>
      <c r="E2568" s="18"/>
      <c r="F2568" s="19"/>
      <c r="G2568" s="31"/>
      <c r="H2568" s="31"/>
      <c r="I2568" s="19"/>
      <c r="J2568" s="19"/>
      <c r="K2568" s="317"/>
      <c r="L2568" s="22"/>
      <c r="M2568" s="19"/>
      <c r="N2568" s="20"/>
      <c r="O2568" s="19"/>
      <c r="P2568" s="19"/>
      <c r="Q2568" s="19"/>
      <c r="R2568" s="19"/>
      <c r="S2568" s="19"/>
      <c r="T2568" s="19"/>
      <c r="U2568" s="19"/>
      <c r="V2568" s="19"/>
      <c r="W2568" s="19"/>
      <c r="X2568" s="19"/>
      <c r="Y2568" s="19"/>
      <c r="Z2568" s="19"/>
      <c r="AA2568" s="19"/>
      <c r="AB2568" s="19"/>
      <c r="AC2568" s="19"/>
      <c r="AD2568" s="19"/>
      <c r="AE2568" s="19"/>
      <c r="AF2568" s="19"/>
      <c r="AG2568" s="19"/>
      <c r="AH2568" s="19"/>
      <c r="AI2568" s="19"/>
      <c r="AJ2568" s="19"/>
      <c r="AK2568" s="19"/>
      <c r="AL2568" s="19"/>
      <c r="AM2568" s="19"/>
      <c r="AN2568" s="19"/>
      <c r="AO2568" s="19"/>
      <c r="AP2568" s="19"/>
      <c r="AQ2568" s="19"/>
      <c r="AR2568" s="19"/>
      <c r="AS2568" s="19"/>
    </row>
    <row r="2569" spans="1:45" x14ac:dyDescent="0.3">
      <c r="A2569" s="410" t="s">
        <v>4195</v>
      </c>
      <c r="B2569" s="17"/>
      <c r="C2569" s="19"/>
      <c r="D2569" s="18"/>
      <c r="E2569" s="18"/>
      <c r="F2569" s="19"/>
      <c r="G2569" s="31"/>
      <c r="H2569" s="31"/>
      <c r="I2569" s="19"/>
      <c r="J2569" s="19"/>
      <c r="K2569" s="317"/>
      <c r="L2569" s="22"/>
      <c r="M2569" s="19"/>
      <c r="N2569" s="20"/>
      <c r="O2569" s="19"/>
      <c r="P2569" s="19"/>
      <c r="Q2569" s="19"/>
      <c r="R2569" s="19"/>
      <c r="S2569" s="19"/>
      <c r="T2569" s="19"/>
      <c r="U2569" s="19"/>
      <c r="V2569" s="19"/>
      <c r="W2569" s="19"/>
      <c r="X2569" s="19"/>
      <c r="Y2569" s="19"/>
      <c r="Z2569" s="19"/>
      <c r="AA2569" s="19"/>
      <c r="AB2569" s="19"/>
      <c r="AC2569" s="19"/>
      <c r="AD2569" s="19"/>
      <c r="AE2569" s="19"/>
      <c r="AF2569" s="19"/>
      <c r="AG2569" s="19"/>
      <c r="AH2569" s="19"/>
      <c r="AI2569" s="19"/>
      <c r="AJ2569" s="19"/>
      <c r="AK2569" s="19"/>
      <c r="AL2569" s="19"/>
      <c r="AM2569" s="19"/>
      <c r="AN2569" s="19"/>
      <c r="AO2569" s="19"/>
      <c r="AP2569" s="19"/>
      <c r="AQ2569" s="19"/>
      <c r="AR2569" s="19"/>
      <c r="AS2569" s="19"/>
    </row>
    <row r="2570" spans="1:45" x14ac:dyDescent="0.3">
      <c r="A2570" s="410" t="s">
        <v>4196</v>
      </c>
      <c r="B2570" s="17"/>
      <c r="C2570" s="19"/>
      <c r="D2570" s="18"/>
      <c r="E2570" s="18"/>
      <c r="F2570" s="19"/>
      <c r="G2570" s="31"/>
      <c r="H2570" s="31"/>
      <c r="I2570" s="19"/>
      <c r="J2570" s="19"/>
      <c r="K2570" s="317"/>
      <c r="L2570" s="22"/>
      <c r="M2570" s="19"/>
      <c r="N2570" s="20"/>
      <c r="O2570" s="19"/>
      <c r="P2570" s="19"/>
      <c r="Q2570" s="19"/>
      <c r="R2570" s="19"/>
      <c r="S2570" s="19"/>
      <c r="T2570" s="19"/>
      <c r="U2570" s="19"/>
      <c r="V2570" s="19"/>
      <c r="W2570" s="19"/>
      <c r="X2570" s="19"/>
      <c r="Y2570" s="19"/>
      <c r="Z2570" s="19"/>
      <c r="AA2570" s="19"/>
      <c r="AB2570" s="19"/>
      <c r="AC2570" s="19"/>
      <c r="AD2570" s="19"/>
      <c r="AE2570" s="19"/>
      <c r="AF2570" s="19"/>
      <c r="AG2570" s="19"/>
      <c r="AH2570" s="19"/>
      <c r="AI2570" s="19"/>
      <c r="AJ2570" s="19"/>
      <c r="AK2570" s="19"/>
      <c r="AL2570" s="19"/>
      <c r="AM2570" s="19"/>
      <c r="AN2570" s="19"/>
      <c r="AO2570" s="19"/>
      <c r="AP2570" s="19"/>
      <c r="AQ2570" s="19"/>
      <c r="AR2570" s="19"/>
      <c r="AS2570" s="19"/>
    </row>
    <row r="2571" spans="1:45" x14ac:dyDescent="0.3">
      <c r="A2571" s="410" t="s">
        <v>4197</v>
      </c>
      <c r="B2571" s="17"/>
      <c r="C2571" s="19"/>
      <c r="D2571" s="18"/>
      <c r="E2571" s="18"/>
      <c r="F2571" s="19"/>
      <c r="G2571" s="31"/>
      <c r="H2571" s="31"/>
      <c r="I2571" s="19"/>
      <c r="J2571" s="19"/>
      <c r="K2571" s="317"/>
      <c r="L2571" s="22"/>
      <c r="M2571" s="19"/>
      <c r="N2571" s="20"/>
      <c r="O2571" s="19"/>
      <c r="P2571" s="19"/>
      <c r="Q2571" s="19"/>
      <c r="R2571" s="19"/>
      <c r="S2571" s="19"/>
      <c r="T2571" s="19"/>
      <c r="U2571" s="19"/>
      <c r="V2571" s="19"/>
      <c r="W2571" s="19"/>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19"/>
    </row>
    <row r="2572" spans="1:45" x14ac:dyDescent="0.3">
      <c r="A2572" s="410" t="s">
        <v>4198</v>
      </c>
      <c r="B2572" s="17"/>
      <c r="C2572" s="19"/>
      <c r="D2572" s="18"/>
      <c r="E2572" s="18"/>
      <c r="F2572" s="19"/>
      <c r="G2572" s="31"/>
      <c r="H2572" s="31"/>
      <c r="I2572" s="19"/>
      <c r="J2572" s="19"/>
      <c r="K2572" s="317"/>
      <c r="L2572" s="22"/>
      <c r="M2572" s="19"/>
      <c r="N2572" s="20"/>
      <c r="O2572" s="19"/>
      <c r="P2572" s="19"/>
      <c r="Q2572" s="19"/>
      <c r="R2572" s="19"/>
      <c r="S2572" s="19"/>
      <c r="T2572" s="19"/>
      <c r="U2572" s="19"/>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row>
    <row r="2573" spans="1:45" x14ac:dyDescent="0.3">
      <c r="A2573" s="410" t="s">
        <v>4199</v>
      </c>
      <c r="B2573" s="17"/>
      <c r="C2573" s="19"/>
      <c r="D2573" s="18"/>
      <c r="E2573" s="18"/>
      <c r="F2573" s="19"/>
      <c r="G2573" s="31"/>
      <c r="H2573" s="31"/>
      <c r="I2573" s="19"/>
      <c r="J2573" s="19"/>
      <c r="K2573" s="317"/>
      <c r="L2573" s="22"/>
      <c r="M2573" s="19"/>
      <c r="N2573" s="20"/>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row>
    <row r="2574" spans="1:45" x14ac:dyDescent="0.3">
      <c r="A2574" s="410" t="s">
        <v>4200</v>
      </c>
      <c r="B2574" s="17"/>
      <c r="C2574" s="19"/>
      <c r="D2574" s="18"/>
      <c r="E2574" s="18"/>
      <c r="F2574" s="19"/>
      <c r="G2574" s="31"/>
      <c r="H2574" s="31"/>
      <c r="I2574" s="19"/>
      <c r="J2574" s="19"/>
      <c r="K2574" s="317"/>
      <c r="L2574" s="22"/>
      <c r="M2574" s="19"/>
      <c r="N2574" s="20"/>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row>
    <row r="2575" spans="1:45" x14ac:dyDescent="0.3">
      <c r="A2575" s="410" t="s">
        <v>4201</v>
      </c>
      <c r="B2575" s="17"/>
      <c r="C2575" s="19"/>
      <c r="D2575" s="18"/>
      <c r="E2575" s="18"/>
      <c r="F2575" s="19"/>
      <c r="G2575" s="31"/>
      <c r="H2575" s="31"/>
      <c r="I2575" s="19"/>
      <c r="J2575" s="19"/>
      <c r="K2575" s="317"/>
      <c r="L2575" s="22"/>
      <c r="M2575" s="19"/>
      <c r="N2575" s="20"/>
      <c r="O2575" s="19"/>
      <c r="P2575" s="19"/>
      <c r="Q2575" s="19"/>
      <c r="R2575" s="19"/>
      <c r="S2575" s="19"/>
      <c r="T2575" s="19"/>
      <c r="U2575" s="19"/>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row>
    <row r="2576" spans="1:45" x14ac:dyDescent="0.3">
      <c r="A2576" s="410" t="s">
        <v>4202</v>
      </c>
      <c r="B2576" s="17"/>
      <c r="C2576" s="19"/>
      <c r="D2576" s="18"/>
      <c r="E2576" s="18"/>
      <c r="F2576" s="19"/>
      <c r="G2576" s="31"/>
      <c r="H2576" s="31"/>
      <c r="I2576" s="19"/>
      <c r="J2576" s="19"/>
      <c r="K2576" s="317"/>
      <c r="L2576" s="22"/>
      <c r="M2576" s="19"/>
      <c r="N2576" s="20"/>
      <c r="O2576" s="19"/>
      <c r="P2576" s="19"/>
      <c r="Q2576" s="19"/>
      <c r="R2576" s="19"/>
      <c r="S2576" s="19"/>
      <c r="T2576" s="19"/>
      <c r="U2576" s="19"/>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row>
    <row r="2577" spans="1:45" x14ac:dyDescent="0.3">
      <c r="A2577" s="410" t="s">
        <v>4203</v>
      </c>
      <c r="B2577" s="17"/>
      <c r="C2577" s="19"/>
      <c r="D2577" s="18"/>
      <c r="E2577" s="18"/>
      <c r="F2577" s="19"/>
      <c r="G2577" s="31"/>
      <c r="H2577" s="31"/>
      <c r="I2577" s="19"/>
      <c r="J2577" s="19"/>
      <c r="K2577" s="317"/>
      <c r="L2577" s="22"/>
      <c r="M2577" s="19"/>
      <c r="N2577" s="20"/>
      <c r="O2577" s="19"/>
      <c r="P2577" s="19"/>
      <c r="Q2577" s="19"/>
      <c r="R2577" s="19"/>
      <c r="S2577" s="19"/>
      <c r="T2577" s="19"/>
      <c r="U2577" s="19"/>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row>
    <row r="2578" spans="1:45" x14ac:dyDescent="0.3">
      <c r="A2578" s="410" t="s">
        <v>4204</v>
      </c>
      <c r="B2578" s="17"/>
      <c r="C2578" s="19"/>
      <c r="D2578" s="18"/>
      <c r="E2578" s="18"/>
      <c r="F2578" s="19"/>
      <c r="G2578" s="31"/>
      <c r="H2578" s="31"/>
      <c r="I2578" s="19"/>
      <c r="J2578" s="19"/>
      <c r="K2578" s="317"/>
      <c r="L2578" s="22"/>
      <c r="M2578" s="19"/>
      <c r="N2578" s="20"/>
      <c r="O2578" s="19"/>
      <c r="P2578" s="19"/>
      <c r="Q2578" s="19"/>
      <c r="R2578" s="19"/>
      <c r="S2578" s="19"/>
      <c r="T2578" s="19"/>
      <c r="U2578" s="19"/>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row>
    <row r="2579" spans="1:45" x14ac:dyDescent="0.3">
      <c r="A2579" s="410" t="s">
        <v>4205</v>
      </c>
      <c r="B2579" s="17"/>
      <c r="C2579" s="19"/>
      <c r="D2579" s="18"/>
      <c r="E2579" s="18"/>
      <c r="F2579" s="19"/>
      <c r="G2579" s="31"/>
      <c r="H2579" s="31"/>
      <c r="I2579" s="19"/>
      <c r="J2579" s="19"/>
      <c r="K2579" s="317"/>
      <c r="L2579" s="22"/>
      <c r="M2579" s="19"/>
      <c r="N2579" s="20"/>
      <c r="O2579" s="19"/>
      <c r="P2579" s="19"/>
      <c r="Q2579" s="19"/>
      <c r="R2579" s="19"/>
      <c r="S2579" s="19"/>
      <c r="T2579" s="19"/>
      <c r="U2579" s="19"/>
      <c r="V2579" s="19"/>
      <c r="W2579" s="19"/>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19"/>
    </row>
    <row r="2580" spans="1:45" x14ac:dyDescent="0.3">
      <c r="A2580" s="410" t="s">
        <v>4206</v>
      </c>
      <c r="B2580" s="17"/>
      <c r="C2580" s="19"/>
      <c r="D2580" s="18"/>
      <c r="E2580" s="18"/>
      <c r="F2580" s="19"/>
      <c r="G2580" s="31"/>
      <c r="H2580" s="31"/>
      <c r="I2580" s="19"/>
      <c r="J2580" s="19"/>
      <c r="K2580" s="317"/>
      <c r="L2580" s="22"/>
      <c r="M2580" s="19"/>
      <c r="N2580" s="20"/>
      <c r="O2580" s="19"/>
      <c r="P2580" s="19"/>
      <c r="Q2580" s="19"/>
      <c r="R2580" s="19"/>
      <c r="S2580" s="19"/>
      <c r="T2580" s="19"/>
      <c r="U2580" s="19"/>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row>
    <row r="2581" spans="1:45" x14ac:dyDescent="0.3">
      <c r="A2581" s="410" t="s">
        <v>4207</v>
      </c>
      <c r="B2581" s="17"/>
      <c r="C2581" s="19"/>
      <c r="D2581" s="18"/>
      <c r="E2581" s="18"/>
      <c r="F2581" s="19"/>
      <c r="G2581" s="31"/>
      <c r="H2581" s="31"/>
      <c r="I2581" s="19"/>
      <c r="J2581" s="19"/>
      <c r="K2581" s="317"/>
      <c r="L2581" s="22"/>
      <c r="M2581" s="19"/>
      <c r="N2581" s="20"/>
      <c r="O2581" s="19"/>
      <c r="P2581" s="19"/>
      <c r="Q2581" s="19"/>
      <c r="R2581" s="19"/>
      <c r="S2581" s="19"/>
      <c r="T2581" s="19"/>
      <c r="U2581" s="19"/>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19"/>
    </row>
    <row r="2582" spans="1:45" x14ac:dyDescent="0.3">
      <c r="A2582" s="410" t="s">
        <v>4208</v>
      </c>
      <c r="B2582" s="17"/>
      <c r="C2582" s="19"/>
      <c r="D2582" s="18"/>
      <c r="E2582" s="18"/>
      <c r="F2582" s="19"/>
      <c r="G2582" s="31"/>
      <c r="H2582" s="31"/>
      <c r="I2582" s="19"/>
      <c r="J2582" s="19"/>
      <c r="K2582" s="317"/>
      <c r="L2582" s="22"/>
      <c r="M2582" s="19"/>
      <c r="N2582" s="20"/>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row>
    <row r="2583" spans="1:45" x14ac:dyDescent="0.3">
      <c r="A2583" s="410" t="s">
        <v>4209</v>
      </c>
      <c r="B2583" s="17"/>
      <c r="C2583" s="19"/>
      <c r="D2583" s="18"/>
      <c r="E2583" s="18"/>
      <c r="F2583" s="19"/>
      <c r="G2583" s="31"/>
      <c r="H2583" s="31"/>
      <c r="I2583" s="19"/>
      <c r="J2583" s="19"/>
      <c r="K2583" s="317"/>
      <c r="L2583" s="22"/>
      <c r="M2583" s="19"/>
      <c r="N2583" s="20"/>
      <c r="O2583" s="19"/>
      <c r="P2583" s="19"/>
      <c r="Q2583" s="19"/>
      <c r="R2583" s="19"/>
      <c r="S2583" s="19"/>
      <c r="T2583" s="19"/>
      <c r="U2583" s="19"/>
      <c r="V2583" s="19"/>
      <c r="W2583" s="19"/>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19"/>
    </row>
    <row r="2584" spans="1:45" x14ac:dyDescent="0.3">
      <c r="A2584" s="410" t="s">
        <v>4210</v>
      </c>
      <c r="B2584" s="17"/>
      <c r="C2584" s="19"/>
      <c r="D2584" s="18"/>
      <c r="E2584" s="18"/>
      <c r="F2584" s="19"/>
      <c r="G2584" s="31"/>
      <c r="H2584" s="31"/>
      <c r="I2584" s="19"/>
      <c r="J2584" s="19"/>
      <c r="K2584" s="317"/>
      <c r="L2584" s="22"/>
      <c r="M2584" s="19"/>
      <c r="N2584" s="20"/>
      <c r="O2584" s="19"/>
      <c r="P2584" s="19"/>
      <c r="Q2584" s="19"/>
      <c r="R2584" s="19"/>
      <c r="S2584" s="19"/>
      <c r="T2584" s="19"/>
      <c r="U2584" s="19"/>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19"/>
    </row>
    <row r="2585" spans="1:45" x14ac:dyDescent="0.3">
      <c r="A2585" s="410" t="s">
        <v>4211</v>
      </c>
      <c r="B2585" s="17"/>
      <c r="C2585" s="19"/>
      <c r="D2585" s="18"/>
      <c r="E2585" s="18"/>
      <c r="F2585" s="19"/>
      <c r="G2585" s="31"/>
      <c r="H2585" s="31"/>
      <c r="I2585" s="19"/>
      <c r="J2585" s="19"/>
      <c r="K2585" s="317"/>
      <c r="L2585" s="22"/>
      <c r="M2585" s="19"/>
      <c r="N2585" s="20"/>
      <c r="O2585" s="19"/>
      <c r="P2585" s="19"/>
      <c r="Q2585" s="19"/>
      <c r="R2585" s="19"/>
      <c r="S2585" s="19"/>
      <c r="T2585" s="19"/>
      <c r="U2585" s="19"/>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row>
    <row r="2586" spans="1:45" x14ac:dyDescent="0.3">
      <c r="A2586" s="410" t="s">
        <v>4212</v>
      </c>
      <c r="B2586" s="17"/>
      <c r="C2586" s="19"/>
      <c r="D2586" s="18"/>
      <c r="E2586" s="18"/>
      <c r="F2586" s="19"/>
      <c r="G2586" s="31"/>
      <c r="H2586" s="31"/>
      <c r="I2586" s="19"/>
      <c r="J2586" s="19"/>
      <c r="K2586" s="317"/>
      <c r="L2586" s="22"/>
      <c r="M2586" s="19"/>
      <c r="N2586" s="20"/>
      <c r="O2586" s="19"/>
      <c r="P2586" s="19"/>
      <c r="Q2586" s="19"/>
      <c r="R2586" s="19"/>
      <c r="S2586" s="19"/>
      <c r="T2586" s="19"/>
      <c r="U2586" s="19"/>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row>
    <row r="2587" spans="1:45" x14ac:dyDescent="0.3">
      <c r="A2587" s="410" t="s">
        <v>4213</v>
      </c>
      <c r="B2587" s="17"/>
      <c r="C2587" s="19"/>
      <c r="D2587" s="18"/>
      <c r="E2587" s="18"/>
      <c r="F2587" s="19"/>
      <c r="G2587" s="31"/>
      <c r="H2587" s="31"/>
      <c r="I2587" s="19"/>
      <c r="J2587" s="19"/>
      <c r="K2587" s="317"/>
      <c r="L2587" s="22"/>
      <c r="M2587" s="19"/>
      <c r="N2587" s="20"/>
      <c r="O2587" s="19"/>
      <c r="P2587" s="19"/>
      <c r="Q2587" s="19"/>
      <c r="R2587" s="19"/>
      <c r="S2587" s="19"/>
      <c r="T2587" s="19"/>
      <c r="U2587" s="19"/>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row>
    <row r="2588" spans="1:45" x14ac:dyDescent="0.3">
      <c r="A2588" s="410" t="s">
        <v>4214</v>
      </c>
      <c r="B2588" s="17"/>
      <c r="C2588" s="19"/>
      <c r="D2588" s="18"/>
      <c r="E2588" s="18"/>
      <c r="F2588" s="19"/>
      <c r="G2588" s="31"/>
      <c r="H2588" s="31"/>
      <c r="I2588" s="19"/>
      <c r="J2588" s="19"/>
      <c r="K2588" s="317"/>
      <c r="L2588" s="22"/>
      <c r="M2588" s="19"/>
      <c r="N2588" s="20"/>
      <c r="O2588" s="19"/>
      <c r="P2588" s="19"/>
      <c r="Q2588" s="19"/>
      <c r="R2588" s="19"/>
      <c r="S2588" s="19"/>
      <c r="T2588" s="19"/>
      <c r="U2588" s="19"/>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row>
    <row r="2589" spans="1:45" x14ac:dyDescent="0.3">
      <c r="A2589" s="410" t="s">
        <v>4215</v>
      </c>
      <c r="B2589" s="17"/>
      <c r="C2589" s="19"/>
      <c r="D2589" s="18"/>
      <c r="E2589" s="18"/>
      <c r="F2589" s="19"/>
      <c r="G2589" s="31"/>
      <c r="H2589" s="31"/>
      <c r="I2589" s="19"/>
      <c r="J2589" s="19"/>
      <c r="K2589" s="317"/>
      <c r="L2589" s="22"/>
      <c r="M2589" s="19"/>
      <c r="N2589" s="20"/>
      <c r="O2589" s="19"/>
      <c r="P2589" s="19"/>
      <c r="Q2589" s="19"/>
      <c r="R2589" s="19"/>
      <c r="S2589" s="19"/>
      <c r="T2589" s="19"/>
      <c r="U2589" s="19"/>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row>
    <row r="2590" spans="1:45" x14ac:dyDescent="0.3">
      <c r="A2590" s="410" t="s">
        <v>4216</v>
      </c>
      <c r="B2590" s="17"/>
      <c r="C2590" s="19"/>
      <c r="D2590" s="18"/>
      <c r="E2590" s="18"/>
      <c r="F2590" s="19"/>
      <c r="G2590" s="31"/>
      <c r="H2590" s="31"/>
      <c r="I2590" s="19"/>
      <c r="J2590" s="19"/>
      <c r="K2590" s="317"/>
      <c r="L2590" s="22"/>
      <c r="M2590" s="19"/>
      <c r="N2590" s="20"/>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row>
    <row r="2591" spans="1:45" x14ac:dyDescent="0.3">
      <c r="A2591" s="410" t="s">
        <v>4217</v>
      </c>
      <c r="B2591" s="17"/>
      <c r="C2591" s="19"/>
      <c r="D2591" s="18"/>
      <c r="E2591" s="18"/>
      <c r="F2591" s="19"/>
      <c r="G2591" s="31"/>
      <c r="H2591" s="31"/>
      <c r="I2591" s="19"/>
      <c r="J2591" s="19"/>
      <c r="K2591" s="317"/>
      <c r="L2591" s="22"/>
      <c r="M2591" s="19"/>
      <c r="N2591" s="20"/>
      <c r="O2591" s="19"/>
      <c r="P2591" s="19"/>
      <c r="Q2591" s="19"/>
      <c r="R2591" s="19"/>
      <c r="S2591" s="19"/>
      <c r="T2591" s="19"/>
      <c r="U2591" s="19"/>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row>
    <row r="2592" spans="1:45" x14ac:dyDescent="0.3">
      <c r="A2592" s="410" t="s">
        <v>4218</v>
      </c>
      <c r="B2592" s="17"/>
      <c r="C2592" s="19"/>
      <c r="D2592" s="18"/>
      <c r="E2592" s="18"/>
      <c r="F2592" s="19"/>
      <c r="G2592" s="31"/>
      <c r="H2592" s="31"/>
      <c r="I2592" s="19"/>
      <c r="J2592" s="19"/>
      <c r="K2592" s="317"/>
      <c r="L2592" s="22"/>
      <c r="M2592" s="19"/>
      <c r="N2592" s="20"/>
      <c r="O2592" s="19"/>
      <c r="P2592" s="19"/>
      <c r="Q2592" s="19"/>
      <c r="R2592" s="19"/>
      <c r="S2592" s="19"/>
      <c r="T2592" s="19"/>
      <c r="U2592" s="19"/>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row>
    <row r="2593" spans="1:45" x14ac:dyDescent="0.3">
      <c r="A2593" s="410" t="s">
        <v>4219</v>
      </c>
      <c r="B2593" s="17"/>
      <c r="C2593" s="19"/>
      <c r="D2593" s="18"/>
      <c r="E2593" s="18"/>
      <c r="F2593" s="19"/>
      <c r="G2593" s="31"/>
      <c r="H2593" s="31"/>
      <c r="I2593" s="19"/>
      <c r="J2593" s="19"/>
      <c r="K2593" s="317"/>
      <c r="L2593" s="22"/>
      <c r="M2593" s="19"/>
      <c r="N2593" s="20"/>
      <c r="O2593" s="19"/>
      <c r="P2593" s="19"/>
      <c r="Q2593" s="19"/>
      <c r="R2593" s="19"/>
      <c r="S2593" s="19"/>
      <c r="T2593" s="19"/>
      <c r="U2593" s="19"/>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19"/>
    </row>
    <row r="2594" spans="1:45" x14ac:dyDescent="0.3">
      <c r="A2594" s="410" t="s">
        <v>4220</v>
      </c>
      <c r="B2594" s="17"/>
      <c r="C2594" s="19"/>
      <c r="D2594" s="18"/>
      <c r="E2594" s="18"/>
      <c r="F2594" s="19"/>
      <c r="G2594" s="31"/>
      <c r="H2594" s="31"/>
      <c r="I2594" s="19"/>
      <c r="J2594" s="19"/>
      <c r="K2594" s="317"/>
      <c r="L2594" s="22"/>
      <c r="M2594" s="19"/>
      <c r="N2594" s="20"/>
      <c r="O2594" s="19"/>
      <c r="P2594" s="19"/>
      <c r="Q2594" s="19"/>
      <c r="R2594" s="19"/>
      <c r="S2594" s="19"/>
      <c r="T2594" s="19"/>
      <c r="U2594" s="19"/>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19"/>
    </row>
    <row r="2595" spans="1:45" x14ac:dyDescent="0.3">
      <c r="A2595" s="410" t="s">
        <v>4221</v>
      </c>
      <c r="B2595" s="17"/>
      <c r="C2595" s="19"/>
      <c r="D2595" s="18"/>
      <c r="E2595" s="18"/>
      <c r="F2595" s="19"/>
      <c r="G2595" s="31"/>
      <c r="H2595" s="31"/>
      <c r="I2595" s="19"/>
      <c r="J2595" s="19"/>
      <c r="K2595" s="317"/>
      <c r="L2595" s="22"/>
      <c r="M2595" s="19"/>
      <c r="N2595" s="20"/>
      <c r="O2595" s="19"/>
      <c r="P2595" s="19"/>
      <c r="Q2595" s="19"/>
      <c r="R2595" s="19"/>
      <c r="S2595" s="19"/>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row>
    <row r="2596" spans="1:45" x14ac:dyDescent="0.3">
      <c r="A2596" s="410" t="s">
        <v>4222</v>
      </c>
      <c r="B2596" s="17"/>
      <c r="C2596" s="19"/>
      <c r="D2596" s="18"/>
      <c r="E2596" s="18"/>
      <c r="F2596" s="19"/>
      <c r="G2596" s="31"/>
      <c r="H2596" s="31"/>
      <c r="I2596" s="19"/>
      <c r="J2596" s="19"/>
      <c r="K2596" s="317"/>
      <c r="L2596" s="22"/>
      <c r="M2596" s="19"/>
      <c r="N2596" s="20"/>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row>
    <row r="2597" spans="1:45" x14ac:dyDescent="0.3">
      <c r="A2597" s="410" t="s">
        <v>4223</v>
      </c>
      <c r="B2597" s="17"/>
      <c r="C2597" s="19"/>
      <c r="D2597" s="18"/>
      <c r="E2597" s="18"/>
      <c r="F2597" s="19"/>
      <c r="G2597" s="31"/>
      <c r="H2597" s="31"/>
      <c r="I2597" s="19"/>
      <c r="J2597" s="19"/>
      <c r="K2597" s="317"/>
      <c r="L2597" s="22"/>
      <c r="M2597" s="19"/>
      <c r="N2597" s="20"/>
      <c r="O2597" s="19"/>
      <c r="P2597" s="19"/>
      <c r="Q2597" s="19"/>
      <c r="R2597" s="19"/>
      <c r="S2597" s="19"/>
      <c r="T2597" s="19"/>
      <c r="U2597" s="19"/>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row>
    <row r="2598" spans="1:45" x14ac:dyDescent="0.3">
      <c r="A2598" s="410" t="s">
        <v>4224</v>
      </c>
      <c r="B2598" s="17"/>
      <c r="C2598" s="19"/>
      <c r="D2598" s="18"/>
      <c r="E2598" s="18"/>
      <c r="F2598" s="19"/>
      <c r="G2598" s="31"/>
      <c r="H2598" s="31"/>
      <c r="I2598" s="19"/>
      <c r="J2598" s="19"/>
      <c r="K2598" s="317"/>
      <c r="L2598" s="22"/>
      <c r="M2598" s="19"/>
      <c r="N2598" s="20"/>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row>
    <row r="2599" spans="1:45" x14ac:dyDescent="0.3">
      <c r="A2599" s="410" t="s">
        <v>4225</v>
      </c>
      <c r="B2599" s="17"/>
      <c r="C2599" s="19"/>
      <c r="D2599" s="18"/>
      <c r="E2599" s="18"/>
      <c r="F2599" s="19"/>
      <c r="G2599" s="31"/>
      <c r="H2599" s="31"/>
      <c r="I2599" s="19"/>
      <c r="J2599" s="19"/>
      <c r="K2599" s="317"/>
      <c r="L2599" s="22"/>
      <c r="M2599" s="19"/>
      <c r="N2599" s="20"/>
      <c r="O2599" s="19"/>
      <c r="P2599" s="19"/>
      <c r="Q2599" s="19"/>
      <c r="R2599" s="19"/>
      <c r="S2599" s="19"/>
      <c r="T2599" s="19"/>
      <c r="U2599" s="19"/>
      <c r="V2599" s="19"/>
      <c r="W2599" s="19"/>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19"/>
    </row>
    <row r="2600" spans="1:45" x14ac:dyDescent="0.3">
      <c r="A2600" s="410" t="s">
        <v>4226</v>
      </c>
      <c r="B2600" s="17"/>
      <c r="C2600" s="19"/>
      <c r="D2600" s="18"/>
      <c r="E2600" s="18"/>
      <c r="F2600" s="19"/>
      <c r="G2600" s="31"/>
      <c r="H2600" s="31"/>
      <c r="I2600" s="19"/>
      <c r="J2600" s="19"/>
      <c r="K2600" s="317"/>
      <c r="L2600" s="22"/>
      <c r="M2600" s="19"/>
      <c r="N2600" s="20"/>
      <c r="O2600" s="19"/>
      <c r="P2600" s="19"/>
      <c r="Q2600" s="19"/>
      <c r="R2600" s="19"/>
      <c r="S2600" s="19"/>
      <c r="T2600" s="19"/>
      <c r="U2600" s="19"/>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19"/>
    </row>
    <row r="2601" spans="1:45" x14ac:dyDescent="0.3">
      <c r="A2601" s="410" t="s">
        <v>4227</v>
      </c>
      <c r="B2601" s="17"/>
      <c r="C2601" s="19"/>
      <c r="D2601" s="18"/>
      <c r="E2601" s="18"/>
      <c r="F2601" s="19"/>
      <c r="G2601" s="31"/>
      <c r="H2601" s="31"/>
      <c r="I2601" s="19"/>
      <c r="J2601" s="19"/>
      <c r="K2601" s="317"/>
      <c r="L2601" s="22"/>
      <c r="M2601" s="19"/>
      <c r="N2601" s="20"/>
      <c r="O2601" s="19"/>
      <c r="P2601" s="19"/>
      <c r="Q2601" s="19"/>
      <c r="R2601" s="19"/>
      <c r="S2601" s="19"/>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row>
    <row r="2602" spans="1:45" x14ac:dyDescent="0.3">
      <c r="A2602" s="410" t="s">
        <v>4228</v>
      </c>
      <c r="B2602" s="17"/>
      <c r="C2602" s="19"/>
      <c r="D2602" s="18"/>
      <c r="E2602" s="17"/>
      <c r="F2602" s="19"/>
      <c r="G2602" s="31"/>
      <c r="H2602" s="31"/>
      <c r="I2602" s="19"/>
      <c r="J2602" s="19"/>
      <c r="K2602" s="317"/>
      <c r="L2602" s="22"/>
      <c r="M2602" s="19"/>
      <c r="N2602" s="20"/>
      <c r="O2602" s="19"/>
      <c r="P2602" s="19"/>
      <c r="Q2602" s="19"/>
      <c r="R2602" s="19"/>
      <c r="S2602" s="19"/>
      <c r="T2602" s="19"/>
      <c r="U2602" s="19"/>
      <c r="V2602" s="19"/>
      <c r="W2602" s="19"/>
      <c r="X2602" s="19"/>
      <c r="Y2602" s="19"/>
      <c r="Z2602" s="19"/>
      <c r="AA2602" s="19"/>
      <c r="AB2602" s="19"/>
      <c r="AC2602" s="19"/>
      <c r="AD2602" s="19"/>
      <c r="AE2602" s="19"/>
      <c r="AF2602" s="19"/>
      <c r="AG2602" s="19"/>
      <c r="AH2602" s="19"/>
      <c r="AI2602" s="19"/>
      <c r="AJ2602" s="19"/>
      <c r="AK2602" s="19"/>
      <c r="AL2602" s="19"/>
      <c r="AM2602" s="19"/>
      <c r="AN2602" s="19"/>
      <c r="AO2602" s="19"/>
      <c r="AP2602" s="19"/>
      <c r="AQ2602" s="19"/>
      <c r="AR2602" s="19"/>
      <c r="AS2602" s="19"/>
    </row>
    <row r="2603" spans="1:45" x14ac:dyDescent="0.3">
      <c r="A2603" s="410"/>
      <c r="B2603" s="17"/>
      <c r="C2603" s="19"/>
      <c r="D2603" s="18"/>
      <c r="E2603" s="17"/>
      <c r="F2603" s="19"/>
      <c r="G2603" s="31"/>
      <c r="H2603" s="31"/>
      <c r="I2603" s="19"/>
      <c r="J2603" s="19"/>
      <c r="K2603" s="317"/>
      <c r="L2603" s="22"/>
      <c r="M2603" s="19"/>
      <c r="N2603" s="20"/>
      <c r="O2603" s="19"/>
      <c r="P2603" s="19"/>
      <c r="Q2603" s="19"/>
      <c r="R2603" s="19"/>
      <c r="S2603" s="19"/>
      <c r="T2603" s="19"/>
      <c r="U2603" s="19"/>
      <c r="V2603" s="19"/>
      <c r="W2603" s="19"/>
      <c r="X2603" s="19"/>
      <c r="Y2603" s="19"/>
      <c r="Z2603" s="19"/>
      <c r="AA2603" s="19"/>
      <c r="AB2603" s="19"/>
      <c r="AC2603" s="19"/>
      <c r="AD2603" s="19"/>
      <c r="AE2603" s="19"/>
      <c r="AF2603" s="19"/>
      <c r="AG2603" s="19"/>
      <c r="AH2603" s="19"/>
      <c r="AI2603" s="19"/>
      <c r="AJ2603" s="19"/>
      <c r="AK2603" s="19"/>
      <c r="AL2603" s="19"/>
      <c r="AM2603" s="19"/>
      <c r="AN2603" s="19"/>
      <c r="AO2603" s="19"/>
      <c r="AP2603" s="19"/>
      <c r="AQ2603" s="19"/>
      <c r="AR2603" s="19"/>
      <c r="AS2603" s="19"/>
    </row>
    <row r="2604" spans="1:45" x14ac:dyDescent="0.3">
      <c r="A2604" s="410" t="s">
        <v>4229</v>
      </c>
      <c r="B2604" s="17" t="s">
        <v>4230</v>
      </c>
      <c r="C2604" s="19" t="s">
        <v>1368</v>
      </c>
      <c r="D2604" s="19">
        <v>22180768</v>
      </c>
      <c r="E2604" s="17"/>
      <c r="F2604" s="19"/>
      <c r="G2604" s="31"/>
      <c r="H2604" s="31"/>
      <c r="I2604" s="19"/>
      <c r="J2604" s="19"/>
      <c r="K2604" s="21"/>
      <c r="L2604" s="22"/>
      <c r="M2604" s="19"/>
      <c r="N2604" s="20"/>
      <c r="O2604" s="19"/>
      <c r="P2604" s="19"/>
      <c r="Q2604" s="19"/>
      <c r="R2604" s="19"/>
      <c r="S2604" s="19"/>
      <c r="T2604" s="19"/>
      <c r="U2604" s="19"/>
      <c r="V2604" s="19"/>
      <c r="W2604" s="19"/>
      <c r="X2604" s="19"/>
      <c r="Y2604" s="19"/>
      <c r="Z2604" s="19"/>
      <c r="AA2604" s="19"/>
      <c r="AB2604" s="19"/>
      <c r="AC2604" s="19"/>
      <c r="AD2604" s="19"/>
      <c r="AE2604" s="19"/>
      <c r="AF2604" s="19"/>
      <c r="AG2604" s="19"/>
      <c r="AH2604" s="19"/>
      <c r="AI2604" s="19"/>
      <c r="AJ2604" s="19"/>
      <c r="AK2604" s="19"/>
      <c r="AL2604" s="19"/>
      <c r="AM2604" s="19"/>
      <c r="AN2604" s="19"/>
      <c r="AO2604" s="19"/>
      <c r="AP2604" s="19"/>
      <c r="AQ2604" s="19"/>
      <c r="AR2604" s="19"/>
      <c r="AS2604" s="19"/>
    </row>
    <row r="2605" spans="1:45" x14ac:dyDescent="0.3">
      <c r="A2605" s="410" t="s">
        <v>4231</v>
      </c>
      <c r="B2605" s="17" t="s">
        <v>4232</v>
      </c>
      <c r="C2605" s="19" t="s">
        <v>1368</v>
      </c>
      <c r="D2605" s="19">
        <v>22181357</v>
      </c>
      <c r="E2605" s="17"/>
      <c r="F2605" s="19"/>
      <c r="G2605" s="31"/>
      <c r="H2605" s="31"/>
      <c r="I2605" s="19"/>
      <c r="J2605" s="19"/>
      <c r="K2605" s="18"/>
      <c r="L2605" s="19"/>
      <c r="M2605" s="19"/>
      <c r="N2605" s="20"/>
      <c r="O2605" s="19"/>
      <c r="P2605" s="19"/>
      <c r="Q2605" s="19"/>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row>
    <row r="2606" spans="1:45" x14ac:dyDescent="0.3">
      <c r="A2606" s="410" t="s">
        <v>4233</v>
      </c>
      <c r="B2606" s="17" t="s">
        <v>4234</v>
      </c>
      <c r="C2606" s="19" t="s">
        <v>1368</v>
      </c>
      <c r="D2606" s="19">
        <v>22180728</v>
      </c>
      <c r="E2606" s="17"/>
      <c r="F2606" s="19"/>
      <c r="G2606" s="31"/>
      <c r="H2606" s="31"/>
      <c r="I2606" s="19"/>
      <c r="J2606" s="19"/>
      <c r="K2606" s="21"/>
      <c r="L2606" s="22"/>
      <c r="M2606" s="19"/>
      <c r="N2606" s="20"/>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row>
    <row r="2607" spans="1:45" x14ac:dyDescent="0.3">
      <c r="A2607" s="410" t="s">
        <v>4235</v>
      </c>
      <c r="B2607" s="17" t="s">
        <v>4236</v>
      </c>
      <c r="C2607" s="19" t="s">
        <v>1368</v>
      </c>
      <c r="D2607" s="19">
        <v>22180763</v>
      </c>
      <c r="E2607" s="17"/>
      <c r="F2607" s="19"/>
      <c r="G2607" s="31"/>
      <c r="H2607" s="31"/>
      <c r="I2607" s="19"/>
      <c r="J2607" s="19"/>
      <c r="K2607" s="21"/>
      <c r="L2607" s="22"/>
      <c r="M2607" s="19"/>
      <c r="N2607" s="20"/>
      <c r="O2607" s="19"/>
      <c r="P2607" s="19"/>
      <c r="Q2607" s="19"/>
      <c r="R2607" s="19"/>
      <c r="S2607" s="19"/>
      <c r="T2607" s="19"/>
      <c r="U2607" s="19"/>
      <c r="V2607" s="19"/>
      <c r="W2607" s="19"/>
      <c r="X2607" s="19"/>
      <c r="Y2607" s="19"/>
      <c r="Z2607" s="19"/>
      <c r="AA2607" s="19"/>
      <c r="AB2607" s="19"/>
      <c r="AC2607" s="19"/>
      <c r="AD2607" s="19"/>
      <c r="AE2607" s="19"/>
      <c r="AF2607" s="19"/>
      <c r="AG2607" s="19"/>
      <c r="AH2607" s="19"/>
      <c r="AI2607" s="19"/>
      <c r="AJ2607" s="19"/>
      <c r="AK2607" s="19"/>
      <c r="AL2607" s="19"/>
      <c r="AM2607" s="19"/>
      <c r="AN2607" s="19"/>
      <c r="AO2607" s="19"/>
      <c r="AP2607" s="19"/>
      <c r="AQ2607" s="19"/>
      <c r="AR2607" s="19"/>
      <c r="AS2607" s="19"/>
    </row>
    <row r="2608" spans="1:45" x14ac:dyDescent="0.3">
      <c r="A2608" s="410" t="s">
        <v>4237</v>
      </c>
      <c r="B2608" s="17" t="s">
        <v>4238</v>
      </c>
      <c r="C2608" s="19" t="s">
        <v>1368</v>
      </c>
      <c r="D2608" s="19">
        <v>22181428</v>
      </c>
      <c r="E2608" s="17"/>
      <c r="F2608" s="19"/>
      <c r="G2608" s="31"/>
      <c r="H2608" s="31"/>
      <c r="I2608" s="19"/>
      <c r="J2608" s="19"/>
      <c r="K2608" s="18"/>
      <c r="L2608" s="19"/>
      <c r="M2608" s="19"/>
      <c r="N2608" s="20"/>
      <c r="O2608" s="19"/>
      <c r="P2608" s="19"/>
      <c r="Q2608" s="19"/>
      <c r="R2608" s="19"/>
      <c r="S2608" s="19"/>
      <c r="T2608" s="19"/>
      <c r="U2608" s="19"/>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19"/>
    </row>
    <row r="2609" spans="1:45" x14ac:dyDescent="0.3">
      <c r="A2609" s="410" t="s">
        <v>4239</v>
      </c>
      <c r="B2609" s="17" t="s">
        <v>4240</v>
      </c>
      <c r="C2609" s="19" t="s">
        <v>1368</v>
      </c>
      <c r="D2609" s="19">
        <v>22180759</v>
      </c>
      <c r="E2609" s="17"/>
      <c r="F2609" s="19"/>
      <c r="G2609" s="31"/>
      <c r="H2609" s="31"/>
      <c r="I2609" s="19"/>
      <c r="J2609" s="19"/>
      <c r="K2609" s="18"/>
      <c r="L2609" s="19"/>
      <c r="M2609" s="19"/>
      <c r="N2609" s="20"/>
      <c r="O2609" s="19"/>
      <c r="P2609" s="19"/>
      <c r="Q2609" s="19"/>
      <c r="R2609" s="19"/>
      <c r="S2609" s="19"/>
      <c r="T2609" s="19"/>
      <c r="U2609" s="19"/>
      <c r="V2609" s="19"/>
      <c r="W2609" s="19"/>
      <c r="X2609" s="19"/>
      <c r="Y2609" s="19"/>
      <c r="Z2609" s="19"/>
      <c r="AA2609" s="19"/>
      <c r="AB2609" s="19"/>
      <c r="AC2609" s="19"/>
      <c r="AD2609" s="19"/>
      <c r="AE2609" s="19"/>
      <c r="AF2609" s="19"/>
      <c r="AG2609" s="19"/>
      <c r="AH2609" s="19"/>
      <c r="AI2609" s="19"/>
      <c r="AJ2609" s="19"/>
      <c r="AK2609" s="19"/>
      <c r="AL2609" s="19"/>
      <c r="AM2609" s="19"/>
      <c r="AN2609" s="19"/>
      <c r="AO2609" s="19"/>
      <c r="AP2609" s="19"/>
      <c r="AQ2609" s="19"/>
      <c r="AR2609" s="19"/>
      <c r="AS2609" s="19"/>
    </row>
    <row r="2610" spans="1:45" x14ac:dyDescent="0.3">
      <c r="A2610" s="410" t="s">
        <v>4241</v>
      </c>
      <c r="B2610" s="17" t="s">
        <v>4242</v>
      </c>
      <c r="C2610" s="19" t="s">
        <v>1368</v>
      </c>
      <c r="D2610" s="19">
        <v>22180758</v>
      </c>
      <c r="E2610" s="17"/>
      <c r="F2610" s="19"/>
      <c r="G2610" s="31"/>
      <c r="H2610" s="31"/>
      <c r="I2610" s="19"/>
      <c r="J2610" s="19"/>
      <c r="K2610" s="18"/>
      <c r="L2610" s="19"/>
      <c r="M2610" s="19"/>
      <c r="N2610" s="20"/>
      <c r="O2610" s="19"/>
      <c r="P2610" s="19"/>
      <c r="Q2610" s="19"/>
      <c r="R2610" s="19"/>
      <c r="S2610" s="19"/>
      <c r="T2610" s="19"/>
      <c r="U2610" s="19"/>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19"/>
    </row>
    <row r="2611" spans="1:45" x14ac:dyDescent="0.3">
      <c r="A2611" s="410" t="s">
        <v>4243</v>
      </c>
      <c r="B2611" s="17"/>
      <c r="C2611" s="19"/>
      <c r="D2611" s="18"/>
      <c r="E2611" s="17"/>
      <c r="F2611" s="19"/>
      <c r="G2611" s="31"/>
      <c r="H2611" s="31"/>
      <c r="I2611" s="19"/>
      <c r="J2611" s="19"/>
      <c r="K2611" s="18"/>
      <c r="L2611" s="19"/>
      <c r="M2611" s="19"/>
      <c r="N2611" s="20"/>
      <c r="O2611" s="19"/>
      <c r="P2611" s="19"/>
      <c r="Q2611" s="19"/>
      <c r="R2611" s="19"/>
      <c r="S2611" s="19"/>
      <c r="T2611" s="19"/>
      <c r="U2611" s="19"/>
      <c r="V2611" s="19"/>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AQ2611" s="19"/>
      <c r="AR2611" s="19"/>
      <c r="AS2611" s="19"/>
    </row>
    <row r="2612" spans="1:45" x14ac:dyDescent="0.3">
      <c r="A2612" s="410" t="s">
        <v>4244</v>
      </c>
      <c r="B2612" s="17"/>
      <c r="C2612" s="19"/>
      <c r="D2612" s="18"/>
      <c r="E2612" s="18"/>
      <c r="F2612" s="19"/>
      <c r="G2612" s="31"/>
      <c r="H2612" s="31"/>
      <c r="I2612" s="19"/>
      <c r="J2612" s="19"/>
      <c r="K2612" s="18"/>
      <c r="L2612" s="19"/>
      <c r="M2612" s="19"/>
      <c r="N2612" s="20"/>
      <c r="O2612" s="19"/>
      <c r="P2612" s="19"/>
      <c r="Q2612" s="19"/>
      <c r="R2612" s="19"/>
      <c r="S2612" s="19"/>
      <c r="T2612" s="19"/>
      <c r="U2612" s="19"/>
      <c r="V2612" s="19"/>
      <c r="W2612" s="19"/>
      <c r="X2612" s="19"/>
      <c r="Y2612" s="19"/>
      <c r="Z2612" s="19"/>
      <c r="AA2612" s="19"/>
      <c r="AB2612" s="19"/>
      <c r="AC2612" s="19"/>
      <c r="AD2612" s="19"/>
      <c r="AE2612" s="19"/>
      <c r="AF2612" s="19"/>
      <c r="AG2612" s="19"/>
      <c r="AH2612" s="19"/>
      <c r="AI2612" s="19"/>
      <c r="AJ2612" s="19"/>
      <c r="AK2612" s="19"/>
      <c r="AL2612" s="19"/>
      <c r="AM2612" s="19"/>
      <c r="AN2612" s="19"/>
      <c r="AO2612" s="19"/>
      <c r="AP2612" s="19"/>
      <c r="AQ2612" s="19"/>
      <c r="AR2612" s="19"/>
      <c r="AS2612" s="19"/>
    </row>
    <row r="2613" spans="1:45" x14ac:dyDescent="0.3">
      <c r="A2613" s="410" t="s">
        <v>4245</v>
      </c>
      <c r="B2613" s="17"/>
      <c r="C2613" s="19"/>
      <c r="D2613" s="18"/>
      <c r="E2613" s="18"/>
      <c r="F2613" s="19"/>
      <c r="G2613" s="31"/>
      <c r="H2613" s="31"/>
      <c r="I2613" s="19"/>
      <c r="J2613" s="19"/>
      <c r="K2613" s="18"/>
      <c r="L2613" s="19"/>
      <c r="M2613" s="19"/>
      <c r="N2613" s="20"/>
      <c r="O2613" s="19"/>
      <c r="P2613" s="19"/>
      <c r="Q2613" s="19"/>
      <c r="R2613" s="19"/>
      <c r="S2613" s="19"/>
      <c r="T2613" s="19"/>
      <c r="U2613" s="19"/>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19"/>
    </row>
    <row r="2614" spans="1:45" x14ac:dyDescent="0.3">
      <c r="A2614" s="410" t="s">
        <v>4246</v>
      </c>
      <c r="B2614" s="17"/>
      <c r="C2614" s="19"/>
      <c r="D2614" s="18"/>
      <c r="E2614" s="18"/>
      <c r="F2614" s="19"/>
      <c r="G2614" s="31"/>
      <c r="H2614" s="31"/>
      <c r="I2614" s="19"/>
      <c r="J2614" s="19"/>
      <c r="K2614" s="18"/>
      <c r="L2614" s="19"/>
      <c r="M2614" s="19"/>
      <c r="N2614" s="20"/>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row>
    <row r="2615" spans="1:45" x14ac:dyDescent="0.3">
      <c r="A2615" s="410" t="s">
        <v>4247</v>
      </c>
      <c r="B2615" s="17"/>
      <c r="C2615" s="19"/>
      <c r="D2615" s="18"/>
      <c r="E2615" s="18"/>
      <c r="F2615" s="19"/>
      <c r="G2615" s="31"/>
      <c r="H2615" s="31"/>
      <c r="I2615" s="19"/>
      <c r="J2615" s="19"/>
      <c r="K2615" s="18"/>
      <c r="L2615" s="19"/>
      <c r="M2615" s="19"/>
      <c r="N2615" s="20"/>
      <c r="O2615" s="19"/>
      <c r="P2615" s="19"/>
      <c r="Q2615" s="19"/>
      <c r="R2615" s="19"/>
      <c r="S2615" s="19"/>
      <c r="T2615" s="19"/>
      <c r="U2615" s="19"/>
      <c r="V2615" s="19"/>
      <c r="W2615" s="19"/>
      <c r="X2615" s="19"/>
      <c r="Y2615" s="19"/>
      <c r="Z2615" s="19"/>
      <c r="AA2615" s="19"/>
      <c r="AB2615" s="19"/>
      <c r="AC2615" s="19"/>
      <c r="AD2615" s="19"/>
      <c r="AE2615" s="19"/>
      <c r="AF2615" s="19"/>
      <c r="AG2615" s="19"/>
      <c r="AH2615" s="19"/>
      <c r="AI2615" s="19"/>
      <c r="AJ2615" s="19"/>
      <c r="AK2615" s="19"/>
      <c r="AL2615" s="19"/>
      <c r="AM2615" s="19"/>
      <c r="AN2615" s="19"/>
      <c r="AO2615" s="19"/>
      <c r="AP2615" s="19"/>
      <c r="AQ2615" s="19"/>
      <c r="AR2615" s="19"/>
      <c r="AS2615" s="19"/>
    </row>
    <row r="2616" spans="1:45" x14ac:dyDescent="0.3">
      <c r="A2616" s="410" t="s">
        <v>4248</v>
      </c>
      <c r="B2616" s="17"/>
      <c r="C2616" s="19"/>
      <c r="D2616" s="18"/>
      <c r="E2616" s="18"/>
      <c r="F2616" s="19"/>
      <c r="G2616" s="31"/>
      <c r="H2616" s="31"/>
      <c r="I2616" s="19"/>
      <c r="J2616" s="19"/>
      <c r="K2616" s="18"/>
      <c r="L2616" s="19"/>
      <c r="M2616" s="19"/>
      <c r="N2616" s="20"/>
      <c r="O2616" s="19"/>
      <c r="P2616" s="19"/>
      <c r="Q2616" s="19"/>
      <c r="R2616" s="19"/>
      <c r="S2616" s="19"/>
      <c r="T2616" s="19"/>
      <c r="U2616" s="19"/>
      <c r="V2616" s="19"/>
      <c r="W2616" s="19"/>
      <c r="X2616" s="19"/>
      <c r="Y2616" s="19"/>
      <c r="Z2616" s="19"/>
      <c r="AA2616" s="19"/>
      <c r="AB2616" s="19"/>
      <c r="AC2616" s="19"/>
      <c r="AD2616" s="19"/>
      <c r="AE2616" s="19"/>
      <c r="AF2616" s="19"/>
      <c r="AG2616" s="19"/>
      <c r="AH2616" s="19"/>
      <c r="AI2616" s="19"/>
      <c r="AJ2616" s="19"/>
      <c r="AK2616" s="19"/>
      <c r="AL2616" s="19"/>
      <c r="AM2616" s="19"/>
      <c r="AN2616" s="19"/>
      <c r="AO2616" s="19"/>
      <c r="AP2616" s="19"/>
      <c r="AQ2616" s="19"/>
      <c r="AR2616" s="19"/>
      <c r="AS2616" s="19"/>
    </row>
    <row r="2617" spans="1:45" x14ac:dyDescent="0.3">
      <c r="A2617" s="410" t="s">
        <v>4249</v>
      </c>
      <c r="B2617" s="17"/>
      <c r="C2617" s="19"/>
      <c r="D2617" s="18"/>
      <c r="E2617" s="18"/>
      <c r="F2617" s="19"/>
      <c r="G2617" s="31"/>
      <c r="H2617" s="31"/>
      <c r="I2617" s="19"/>
      <c r="J2617" s="19"/>
      <c r="K2617" s="18"/>
      <c r="L2617" s="19"/>
      <c r="M2617" s="19"/>
      <c r="N2617" s="20"/>
      <c r="O2617" s="19"/>
      <c r="P2617" s="19"/>
      <c r="Q2617" s="19"/>
      <c r="R2617" s="19"/>
      <c r="S2617" s="19"/>
      <c r="T2617" s="19"/>
      <c r="U2617" s="19"/>
      <c r="V2617" s="19"/>
      <c r="W2617" s="19"/>
      <c r="X2617" s="19"/>
      <c r="Y2617" s="19"/>
      <c r="Z2617" s="19"/>
      <c r="AA2617" s="19"/>
      <c r="AB2617" s="19"/>
      <c r="AC2617" s="19"/>
      <c r="AD2617" s="19"/>
      <c r="AE2617" s="19"/>
      <c r="AF2617" s="19"/>
      <c r="AG2617" s="19"/>
      <c r="AH2617" s="19"/>
      <c r="AI2617" s="19"/>
      <c r="AJ2617" s="19"/>
      <c r="AK2617" s="19"/>
      <c r="AL2617" s="19"/>
      <c r="AM2617" s="19"/>
      <c r="AN2617" s="19"/>
      <c r="AO2617" s="19"/>
      <c r="AP2617" s="19"/>
      <c r="AQ2617" s="19"/>
      <c r="AR2617" s="19"/>
      <c r="AS2617" s="19"/>
    </row>
    <row r="2618" spans="1:45" x14ac:dyDescent="0.3">
      <c r="A2618" s="410" t="s">
        <v>4250</v>
      </c>
      <c r="B2618" s="17"/>
      <c r="C2618" s="19"/>
      <c r="D2618" s="18"/>
      <c r="E2618" s="18"/>
      <c r="F2618" s="19"/>
      <c r="G2618" s="31"/>
      <c r="H2618" s="31"/>
      <c r="I2618" s="19"/>
      <c r="J2618" s="19"/>
      <c r="K2618" s="18"/>
      <c r="L2618" s="19"/>
      <c r="M2618" s="19"/>
      <c r="N2618" s="20"/>
      <c r="O2618" s="19"/>
      <c r="P2618" s="19"/>
      <c r="Q2618" s="19"/>
      <c r="R2618" s="19"/>
      <c r="S2618" s="19"/>
      <c r="T2618" s="19"/>
      <c r="U2618" s="19"/>
      <c r="V2618" s="19"/>
      <c r="W2618" s="19"/>
      <c r="X2618" s="19"/>
      <c r="Y2618" s="19"/>
      <c r="Z2618" s="19"/>
      <c r="AA2618" s="19"/>
      <c r="AB2618" s="19"/>
      <c r="AC2618" s="19"/>
      <c r="AD2618" s="19"/>
      <c r="AE2618" s="19"/>
      <c r="AF2618" s="19"/>
      <c r="AG2618" s="19"/>
      <c r="AH2618" s="19"/>
      <c r="AI2618" s="19"/>
      <c r="AJ2618" s="19"/>
      <c r="AK2618" s="19"/>
      <c r="AL2618" s="19"/>
      <c r="AM2618" s="19"/>
      <c r="AN2618" s="19"/>
      <c r="AO2618" s="19"/>
      <c r="AP2618" s="19"/>
      <c r="AQ2618" s="19"/>
      <c r="AR2618" s="19"/>
      <c r="AS2618" s="19"/>
    </row>
    <row r="2619" spans="1:45" x14ac:dyDescent="0.3">
      <c r="A2619" s="410" t="s">
        <v>4251</v>
      </c>
      <c r="B2619" s="17"/>
      <c r="C2619" s="19"/>
      <c r="D2619" s="18"/>
      <c r="E2619" s="18"/>
      <c r="F2619" s="19"/>
      <c r="G2619" s="31"/>
      <c r="H2619" s="31"/>
      <c r="I2619" s="19"/>
      <c r="J2619" s="19"/>
      <c r="K2619" s="18"/>
      <c r="L2619" s="19"/>
      <c r="M2619" s="19"/>
      <c r="N2619" s="20"/>
      <c r="O2619" s="19"/>
      <c r="P2619" s="19"/>
      <c r="Q2619" s="19"/>
      <c r="R2619" s="19"/>
      <c r="S2619" s="19"/>
      <c r="T2619" s="19"/>
      <c r="U2619" s="19"/>
      <c r="V2619" s="19"/>
      <c r="W2619" s="19"/>
      <c r="X2619" s="19"/>
      <c r="Y2619" s="19"/>
      <c r="Z2619" s="19"/>
      <c r="AA2619" s="19"/>
      <c r="AB2619" s="19"/>
      <c r="AC2619" s="19"/>
      <c r="AD2619" s="19"/>
      <c r="AE2619" s="19"/>
      <c r="AF2619" s="19"/>
      <c r="AG2619" s="19"/>
      <c r="AH2619" s="19"/>
      <c r="AI2619" s="19"/>
      <c r="AJ2619" s="19"/>
      <c r="AK2619" s="19"/>
      <c r="AL2619" s="19"/>
      <c r="AM2619" s="19"/>
      <c r="AN2619" s="19"/>
      <c r="AO2619" s="19"/>
      <c r="AP2619" s="19"/>
      <c r="AQ2619" s="19"/>
      <c r="AR2619" s="19"/>
      <c r="AS2619" s="19"/>
    </row>
    <row r="2620" spans="1:45" x14ac:dyDescent="0.3">
      <c r="A2620" s="410" t="s">
        <v>4252</v>
      </c>
      <c r="B2620" s="17"/>
      <c r="C2620" s="19"/>
      <c r="D2620" s="18"/>
      <c r="E2620" s="18"/>
      <c r="F2620" s="19"/>
      <c r="G2620" s="31"/>
      <c r="H2620" s="31"/>
      <c r="I2620" s="19"/>
      <c r="J2620" s="19"/>
      <c r="K2620" s="18"/>
      <c r="L2620" s="19"/>
      <c r="M2620" s="19"/>
      <c r="N2620" s="20"/>
      <c r="O2620" s="19"/>
      <c r="P2620" s="19"/>
      <c r="Q2620" s="19"/>
      <c r="R2620" s="19"/>
      <c r="S2620" s="19"/>
      <c r="T2620" s="19"/>
      <c r="U2620" s="19"/>
      <c r="V2620" s="19"/>
      <c r="W2620" s="19"/>
      <c r="X2620" s="19"/>
      <c r="Y2620" s="19"/>
      <c r="Z2620" s="19"/>
      <c r="AA2620" s="19"/>
      <c r="AB2620" s="19"/>
      <c r="AC2620" s="19"/>
      <c r="AD2620" s="19"/>
      <c r="AE2620" s="19"/>
      <c r="AF2620" s="19"/>
      <c r="AG2620" s="19"/>
      <c r="AH2620" s="19"/>
      <c r="AI2620" s="19"/>
      <c r="AJ2620" s="19"/>
      <c r="AK2620" s="19"/>
      <c r="AL2620" s="19"/>
      <c r="AM2620" s="19"/>
      <c r="AN2620" s="19"/>
      <c r="AO2620" s="19"/>
      <c r="AP2620" s="19"/>
      <c r="AQ2620" s="19"/>
      <c r="AR2620" s="19"/>
      <c r="AS2620" s="19"/>
    </row>
    <row r="2621" spans="1:45" x14ac:dyDescent="0.3">
      <c r="A2621" s="410" t="s">
        <v>4253</v>
      </c>
      <c r="B2621" s="17"/>
      <c r="C2621" s="19"/>
      <c r="D2621" s="18"/>
      <c r="E2621" s="18"/>
      <c r="F2621" s="19"/>
      <c r="G2621" s="31"/>
      <c r="H2621" s="31"/>
      <c r="I2621" s="19"/>
      <c r="J2621" s="19"/>
      <c r="K2621" s="18"/>
      <c r="L2621" s="19"/>
      <c r="M2621" s="19"/>
      <c r="N2621" s="20"/>
      <c r="O2621" s="19"/>
      <c r="P2621" s="19"/>
      <c r="Q2621" s="19"/>
      <c r="R2621" s="19"/>
      <c r="S2621" s="19"/>
      <c r="T2621" s="19"/>
      <c r="U2621" s="19"/>
      <c r="V2621" s="19"/>
      <c r="W2621" s="19"/>
      <c r="X2621" s="19"/>
      <c r="Y2621" s="19"/>
      <c r="Z2621" s="19"/>
      <c r="AA2621" s="19"/>
      <c r="AB2621" s="19"/>
      <c r="AC2621" s="19"/>
      <c r="AD2621" s="19"/>
      <c r="AE2621" s="19"/>
      <c r="AF2621" s="19"/>
      <c r="AG2621" s="19"/>
      <c r="AH2621" s="19"/>
      <c r="AI2621" s="19"/>
      <c r="AJ2621" s="19"/>
      <c r="AK2621" s="19"/>
      <c r="AL2621" s="19"/>
      <c r="AM2621" s="19"/>
      <c r="AN2621" s="19"/>
      <c r="AO2621" s="19"/>
      <c r="AP2621" s="19"/>
      <c r="AQ2621" s="19"/>
      <c r="AR2621" s="19"/>
      <c r="AS2621" s="19"/>
    </row>
    <row r="2622" spans="1:45" x14ac:dyDescent="0.3">
      <c r="A2622" s="410" t="s">
        <v>4254</v>
      </c>
      <c r="B2622" s="17"/>
      <c r="C2622" s="19"/>
      <c r="D2622" s="18"/>
      <c r="E2622" s="18"/>
      <c r="F2622" s="19"/>
      <c r="G2622" s="31"/>
      <c r="H2622" s="31"/>
      <c r="I2622" s="19"/>
      <c r="J2622" s="19"/>
      <c r="K2622" s="18"/>
      <c r="L2622" s="19"/>
      <c r="M2622" s="19"/>
      <c r="N2622" s="20"/>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row>
    <row r="2623" spans="1:45" x14ac:dyDescent="0.3">
      <c r="A2623" s="410" t="s">
        <v>4255</v>
      </c>
      <c r="B2623" s="17"/>
      <c r="C2623" s="19"/>
      <c r="D2623" s="18"/>
      <c r="E2623" s="18"/>
      <c r="F2623" s="19"/>
      <c r="G2623" s="31"/>
      <c r="H2623" s="31"/>
      <c r="I2623" s="19"/>
      <c r="J2623" s="19"/>
      <c r="K2623" s="18"/>
      <c r="L2623" s="19"/>
      <c r="M2623" s="19"/>
      <c r="N2623" s="20"/>
      <c r="O2623" s="19"/>
      <c r="P2623" s="19"/>
      <c r="Q2623" s="19"/>
      <c r="R2623" s="19"/>
      <c r="S2623" s="19"/>
      <c r="T2623" s="19"/>
      <c r="U2623" s="19"/>
      <c r="V2623" s="19"/>
      <c r="W2623" s="19"/>
      <c r="X2623" s="19"/>
      <c r="Y2623" s="19"/>
      <c r="Z2623" s="19"/>
      <c r="AA2623" s="19"/>
      <c r="AB2623" s="19"/>
      <c r="AC2623" s="19"/>
      <c r="AD2623" s="19"/>
      <c r="AE2623" s="19"/>
      <c r="AF2623" s="19"/>
      <c r="AG2623" s="19"/>
      <c r="AH2623" s="19"/>
      <c r="AI2623" s="19"/>
      <c r="AJ2623" s="19"/>
      <c r="AK2623" s="19"/>
      <c r="AL2623" s="19"/>
      <c r="AM2623" s="19"/>
      <c r="AN2623" s="19"/>
      <c r="AO2623" s="19"/>
      <c r="AP2623" s="19"/>
      <c r="AQ2623" s="19"/>
      <c r="AR2623" s="19"/>
      <c r="AS2623" s="19"/>
    </row>
    <row r="2624" spans="1:45" x14ac:dyDescent="0.3">
      <c r="A2624" s="410" t="s">
        <v>4256</v>
      </c>
      <c r="B2624" s="17"/>
      <c r="C2624" s="19"/>
      <c r="D2624" s="18"/>
      <c r="E2624" s="18"/>
      <c r="F2624" s="19"/>
      <c r="G2624" s="31"/>
      <c r="H2624" s="31"/>
      <c r="I2624" s="19"/>
      <c r="J2624" s="19"/>
      <c r="K2624" s="18"/>
      <c r="L2624" s="19"/>
      <c r="M2624" s="19"/>
      <c r="N2624" s="20"/>
      <c r="O2624" s="19"/>
      <c r="P2624" s="19"/>
      <c r="Q2624" s="19"/>
      <c r="R2624" s="19"/>
      <c r="S2624" s="19"/>
      <c r="T2624" s="19"/>
      <c r="U2624" s="19"/>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19"/>
    </row>
    <row r="2625" spans="1:45" x14ac:dyDescent="0.3">
      <c r="A2625" s="410" t="s">
        <v>4257</v>
      </c>
      <c r="B2625" s="17"/>
      <c r="C2625" s="19"/>
      <c r="D2625" s="18"/>
      <c r="E2625" s="18"/>
      <c r="F2625" s="19"/>
      <c r="G2625" s="31"/>
      <c r="H2625" s="31"/>
      <c r="I2625" s="19"/>
      <c r="J2625" s="19"/>
      <c r="K2625" s="18"/>
      <c r="L2625" s="19"/>
      <c r="M2625" s="19"/>
      <c r="N2625" s="20"/>
      <c r="O2625" s="19"/>
      <c r="P2625" s="19"/>
      <c r="Q2625" s="19"/>
      <c r="R2625" s="19"/>
      <c r="S2625" s="19"/>
      <c r="T2625" s="19"/>
      <c r="U2625" s="19"/>
      <c r="V2625" s="19"/>
      <c r="W2625" s="19"/>
      <c r="X2625" s="19"/>
      <c r="Y2625" s="19"/>
      <c r="Z2625" s="19"/>
      <c r="AA2625" s="19"/>
      <c r="AB2625" s="19"/>
      <c r="AC2625" s="19"/>
      <c r="AD2625" s="19"/>
      <c r="AE2625" s="19"/>
      <c r="AF2625" s="19"/>
      <c r="AG2625" s="19"/>
      <c r="AH2625" s="19"/>
      <c r="AI2625" s="19"/>
      <c r="AJ2625" s="19"/>
      <c r="AK2625" s="19"/>
      <c r="AL2625" s="19"/>
      <c r="AM2625" s="19"/>
      <c r="AN2625" s="19"/>
      <c r="AO2625" s="19"/>
      <c r="AP2625" s="19"/>
      <c r="AQ2625" s="19"/>
      <c r="AR2625" s="19"/>
      <c r="AS2625" s="19"/>
    </row>
    <row r="2626" spans="1:45" x14ac:dyDescent="0.3">
      <c r="A2626" s="410" t="s">
        <v>4258</v>
      </c>
      <c r="B2626" s="17"/>
      <c r="C2626" s="19"/>
      <c r="D2626" s="18"/>
      <c r="E2626" s="18"/>
      <c r="F2626" s="19"/>
      <c r="G2626" s="31"/>
      <c r="H2626" s="31"/>
      <c r="I2626" s="19"/>
      <c r="J2626" s="19"/>
      <c r="K2626" s="18"/>
      <c r="L2626" s="19"/>
      <c r="M2626" s="19"/>
      <c r="N2626" s="20"/>
      <c r="O2626" s="19"/>
      <c r="P2626" s="19"/>
      <c r="Q2626" s="19"/>
      <c r="R2626" s="19"/>
      <c r="S2626" s="19"/>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row>
    <row r="2627" spans="1:45" x14ac:dyDescent="0.3">
      <c r="A2627" s="410" t="s">
        <v>4259</v>
      </c>
      <c r="B2627" s="17"/>
      <c r="C2627" s="19"/>
      <c r="D2627" s="18"/>
      <c r="E2627" s="18"/>
      <c r="F2627" s="19"/>
      <c r="G2627" s="31"/>
      <c r="H2627" s="31"/>
      <c r="I2627" s="19"/>
      <c r="J2627" s="19"/>
      <c r="K2627" s="18"/>
      <c r="L2627" s="19"/>
      <c r="M2627" s="19"/>
      <c r="N2627" s="20"/>
      <c r="O2627" s="19"/>
      <c r="P2627" s="19"/>
      <c r="Q2627" s="19"/>
      <c r="R2627" s="19"/>
      <c r="S2627" s="19"/>
      <c r="T2627" s="19"/>
      <c r="U2627" s="19"/>
      <c r="V2627" s="19"/>
      <c r="W2627" s="19"/>
      <c r="X2627" s="19"/>
      <c r="Y2627" s="19"/>
      <c r="Z2627" s="19"/>
      <c r="AA2627" s="19"/>
      <c r="AB2627" s="19"/>
      <c r="AC2627" s="19"/>
      <c r="AD2627" s="19"/>
      <c r="AE2627" s="19"/>
      <c r="AF2627" s="19"/>
      <c r="AG2627" s="19"/>
      <c r="AH2627" s="19"/>
      <c r="AI2627" s="19"/>
      <c r="AJ2627" s="19"/>
      <c r="AK2627" s="19"/>
      <c r="AL2627" s="19"/>
      <c r="AM2627" s="19"/>
      <c r="AN2627" s="19"/>
      <c r="AO2627" s="19"/>
      <c r="AP2627" s="19"/>
      <c r="AQ2627" s="19"/>
      <c r="AR2627" s="19"/>
      <c r="AS2627" s="19"/>
    </row>
    <row r="2628" spans="1:45" x14ac:dyDescent="0.3">
      <c r="A2628" s="410" t="s">
        <v>4260</v>
      </c>
      <c r="B2628" s="17"/>
      <c r="C2628" s="19"/>
      <c r="D2628" s="18"/>
      <c r="E2628" s="18"/>
      <c r="F2628" s="19"/>
      <c r="G2628" s="31"/>
      <c r="H2628" s="31"/>
      <c r="I2628" s="19"/>
      <c r="J2628" s="19"/>
      <c r="K2628" s="18"/>
      <c r="L2628" s="19"/>
      <c r="M2628" s="19"/>
      <c r="N2628" s="20"/>
      <c r="O2628" s="19"/>
      <c r="P2628" s="19"/>
      <c r="Q2628" s="19"/>
      <c r="R2628" s="19"/>
      <c r="S2628" s="19"/>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row>
    <row r="2629" spans="1:45" x14ac:dyDescent="0.3">
      <c r="A2629" s="410" t="s">
        <v>4261</v>
      </c>
      <c r="B2629" s="17"/>
      <c r="C2629" s="19"/>
      <c r="D2629" s="18"/>
      <c r="E2629" s="18"/>
      <c r="F2629" s="19"/>
      <c r="G2629" s="31"/>
      <c r="H2629" s="31"/>
      <c r="I2629" s="19"/>
      <c r="J2629" s="19"/>
      <c r="K2629" s="18"/>
      <c r="L2629" s="19"/>
      <c r="M2629" s="19"/>
      <c r="N2629" s="20"/>
      <c r="O2629" s="19"/>
      <c r="P2629" s="19"/>
      <c r="Q2629" s="19"/>
      <c r="R2629" s="19"/>
      <c r="S2629" s="19"/>
      <c r="T2629" s="19"/>
      <c r="U2629" s="19"/>
      <c r="V2629" s="19"/>
      <c r="W2629" s="19"/>
      <c r="X2629" s="19"/>
      <c r="Y2629" s="19"/>
      <c r="Z2629" s="19"/>
      <c r="AA2629" s="19"/>
      <c r="AB2629" s="19"/>
      <c r="AC2629" s="19"/>
      <c r="AD2629" s="19"/>
      <c r="AE2629" s="19"/>
      <c r="AF2629" s="19"/>
      <c r="AG2629" s="19"/>
      <c r="AH2629" s="19"/>
      <c r="AI2629" s="19"/>
      <c r="AJ2629" s="19"/>
      <c r="AK2629" s="19"/>
      <c r="AL2629" s="19"/>
      <c r="AM2629" s="19"/>
      <c r="AN2629" s="19"/>
      <c r="AO2629" s="19"/>
      <c r="AP2629" s="19"/>
      <c r="AQ2629" s="19"/>
      <c r="AR2629" s="19"/>
      <c r="AS2629" s="19"/>
    </row>
    <row r="2630" spans="1:45" x14ac:dyDescent="0.3">
      <c r="A2630" s="410" t="s">
        <v>4262</v>
      </c>
      <c r="B2630" s="17"/>
      <c r="C2630" s="19"/>
      <c r="D2630" s="18"/>
      <c r="E2630" s="18"/>
      <c r="F2630" s="19"/>
      <c r="G2630" s="31"/>
      <c r="H2630" s="31"/>
      <c r="I2630" s="19"/>
      <c r="J2630" s="19"/>
      <c r="K2630" s="18"/>
      <c r="L2630" s="19"/>
      <c r="M2630" s="19"/>
      <c r="N2630" s="20"/>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row>
    <row r="2631" spans="1:45" x14ac:dyDescent="0.3">
      <c r="A2631" s="410" t="s">
        <v>4263</v>
      </c>
      <c r="B2631" s="17"/>
      <c r="C2631" s="19"/>
      <c r="D2631" s="18"/>
      <c r="E2631" s="18"/>
      <c r="F2631" s="19"/>
      <c r="G2631" s="31"/>
      <c r="H2631" s="31"/>
      <c r="I2631" s="19"/>
      <c r="J2631" s="19"/>
      <c r="K2631" s="18"/>
      <c r="L2631" s="19"/>
      <c r="M2631" s="19"/>
      <c r="N2631" s="20"/>
      <c r="O2631" s="19"/>
      <c r="P2631" s="19"/>
      <c r="Q2631" s="19"/>
      <c r="R2631" s="19"/>
      <c r="S2631" s="19"/>
      <c r="T2631" s="19"/>
      <c r="U2631" s="19"/>
      <c r="V2631" s="19"/>
      <c r="W2631" s="19"/>
      <c r="X2631" s="19"/>
      <c r="Y2631" s="19"/>
      <c r="Z2631" s="19"/>
      <c r="AA2631" s="19"/>
      <c r="AB2631" s="19"/>
      <c r="AC2631" s="19"/>
      <c r="AD2631" s="19"/>
      <c r="AE2631" s="19"/>
      <c r="AF2631" s="19"/>
      <c r="AG2631" s="19"/>
      <c r="AH2631" s="19"/>
      <c r="AI2631" s="19"/>
      <c r="AJ2631" s="19"/>
      <c r="AK2631" s="19"/>
      <c r="AL2631" s="19"/>
      <c r="AM2631" s="19"/>
      <c r="AN2631" s="19"/>
      <c r="AO2631" s="19"/>
      <c r="AP2631" s="19"/>
      <c r="AQ2631" s="19"/>
      <c r="AR2631" s="19"/>
      <c r="AS2631" s="19"/>
    </row>
    <row r="2632" spans="1:45" x14ac:dyDescent="0.3">
      <c r="A2632" s="410" t="s">
        <v>4264</v>
      </c>
      <c r="B2632" s="17"/>
      <c r="C2632" s="19"/>
      <c r="D2632" s="18"/>
      <c r="E2632" s="18"/>
      <c r="F2632" s="19"/>
      <c r="G2632" s="31"/>
      <c r="H2632" s="31"/>
      <c r="I2632" s="19"/>
      <c r="J2632" s="19"/>
      <c r="K2632" s="18"/>
      <c r="L2632" s="19"/>
      <c r="M2632" s="19"/>
      <c r="N2632" s="20"/>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row>
    <row r="2633" spans="1:45" x14ac:dyDescent="0.3">
      <c r="A2633" s="410" t="s">
        <v>4265</v>
      </c>
      <c r="B2633" s="17"/>
      <c r="C2633" s="19"/>
      <c r="D2633" s="18"/>
      <c r="E2633" s="18"/>
      <c r="F2633" s="19"/>
      <c r="G2633" s="31"/>
      <c r="H2633" s="31"/>
      <c r="I2633" s="19"/>
      <c r="J2633" s="19"/>
      <c r="K2633" s="18"/>
      <c r="L2633" s="19"/>
      <c r="M2633" s="19"/>
      <c r="N2633" s="20"/>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row>
    <row r="2634" spans="1:45" x14ac:dyDescent="0.3">
      <c r="A2634" s="410" t="s">
        <v>4266</v>
      </c>
      <c r="B2634" s="17"/>
      <c r="C2634" s="19"/>
      <c r="D2634" s="18"/>
      <c r="E2634" s="18"/>
      <c r="F2634" s="19"/>
      <c r="G2634" s="31"/>
      <c r="H2634" s="31"/>
      <c r="I2634" s="19"/>
      <c r="J2634" s="19"/>
      <c r="K2634" s="18"/>
      <c r="L2634" s="19"/>
      <c r="M2634" s="19"/>
      <c r="N2634" s="20"/>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row>
    <row r="2635" spans="1:45" x14ac:dyDescent="0.3">
      <c r="A2635" s="410" t="s">
        <v>4267</v>
      </c>
      <c r="B2635" s="17"/>
      <c r="C2635" s="19"/>
      <c r="D2635" s="18"/>
      <c r="E2635" s="18"/>
      <c r="F2635" s="19"/>
      <c r="G2635" s="31"/>
      <c r="H2635" s="31"/>
      <c r="I2635" s="19"/>
      <c r="J2635" s="19"/>
      <c r="K2635" s="18"/>
      <c r="L2635" s="19"/>
      <c r="M2635" s="19"/>
      <c r="N2635" s="20"/>
      <c r="O2635" s="19"/>
      <c r="P2635" s="19"/>
      <c r="Q2635" s="19"/>
      <c r="R2635" s="19"/>
      <c r="S2635" s="19"/>
      <c r="T2635" s="19"/>
      <c r="U2635" s="19"/>
      <c r="V2635" s="19"/>
      <c r="W2635" s="19"/>
      <c r="X2635" s="19"/>
      <c r="Y2635" s="19"/>
      <c r="Z2635" s="19"/>
      <c r="AA2635" s="19"/>
      <c r="AB2635" s="19"/>
      <c r="AC2635" s="19"/>
      <c r="AD2635" s="19"/>
      <c r="AE2635" s="19"/>
      <c r="AF2635" s="19"/>
      <c r="AG2635" s="19"/>
      <c r="AH2635" s="19"/>
      <c r="AI2635" s="19"/>
      <c r="AJ2635" s="19"/>
      <c r="AK2635" s="19"/>
      <c r="AL2635" s="19"/>
      <c r="AM2635" s="19"/>
      <c r="AN2635" s="19"/>
      <c r="AO2635" s="19"/>
      <c r="AP2635" s="19"/>
      <c r="AQ2635" s="19"/>
      <c r="AR2635" s="19"/>
      <c r="AS2635" s="19"/>
    </row>
    <row r="2636" spans="1:45" x14ac:dyDescent="0.3">
      <c r="A2636" s="410" t="s">
        <v>4268</v>
      </c>
      <c r="B2636" s="17"/>
      <c r="C2636" s="19"/>
      <c r="D2636" s="18"/>
      <c r="E2636" s="18"/>
      <c r="F2636" s="19"/>
      <c r="G2636" s="31"/>
      <c r="H2636" s="31"/>
      <c r="I2636" s="19"/>
      <c r="J2636" s="19"/>
      <c r="K2636" s="18"/>
      <c r="L2636" s="19"/>
      <c r="M2636" s="19"/>
      <c r="N2636" s="20"/>
      <c r="O2636" s="19"/>
      <c r="P2636" s="19"/>
      <c r="Q2636" s="19"/>
      <c r="R2636" s="19"/>
      <c r="S2636" s="19"/>
      <c r="T2636" s="19"/>
      <c r="U2636" s="19"/>
      <c r="V2636" s="19"/>
      <c r="W2636" s="19"/>
      <c r="X2636" s="19"/>
      <c r="Y2636" s="19"/>
      <c r="Z2636" s="19"/>
      <c r="AA2636" s="19"/>
      <c r="AB2636" s="19"/>
      <c r="AC2636" s="19"/>
      <c r="AD2636" s="19"/>
      <c r="AE2636" s="19"/>
      <c r="AF2636" s="19"/>
      <c r="AG2636" s="19"/>
      <c r="AH2636" s="19"/>
      <c r="AI2636" s="19"/>
      <c r="AJ2636" s="19"/>
      <c r="AK2636" s="19"/>
      <c r="AL2636" s="19"/>
      <c r="AM2636" s="19"/>
      <c r="AN2636" s="19"/>
      <c r="AO2636" s="19"/>
      <c r="AP2636" s="19"/>
      <c r="AQ2636" s="19"/>
      <c r="AR2636" s="19"/>
      <c r="AS2636" s="19"/>
    </row>
    <row r="2637" spans="1:45" x14ac:dyDescent="0.3">
      <c r="A2637" s="410" t="s">
        <v>4269</v>
      </c>
      <c r="B2637" s="17"/>
      <c r="C2637" s="19"/>
      <c r="D2637" s="18"/>
      <c r="E2637" s="18"/>
      <c r="F2637" s="19"/>
      <c r="G2637" s="31"/>
      <c r="H2637" s="31"/>
      <c r="I2637" s="19"/>
      <c r="J2637" s="19"/>
      <c r="K2637" s="18"/>
      <c r="L2637" s="19"/>
      <c r="M2637" s="19"/>
      <c r="N2637" s="20"/>
      <c r="O2637" s="19"/>
      <c r="P2637" s="19"/>
      <c r="Q2637" s="19"/>
      <c r="R2637" s="19"/>
      <c r="S2637" s="19"/>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row>
    <row r="2638" spans="1:45" x14ac:dyDescent="0.3">
      <c r="A2638" s="410" t="s">
        <v>4270</v>
      </c>
      <c r="B2638" s="17"/>
      <c r="C2638" s="19"/>
      <c r="D2638" s="18"/>
      <c r="E2638" s="18"/>
      <c r="F2638" s="19"/>
      <c r="G2638" s="31"/>
      <c r="H2638" s="31"/>
      <c r="I2638" s="19"/>
      <c r="J2638" s="19"/>
      <c r="K2638" s="18"/>
      <c r="L2638" s="19"/>
      <c r="M2638" s="19"/>
      <c r="N2638" s="20"/>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row>
    <row r="2639" spans="1:45" x14ac:dyDescent="0.3">
      <c r="A2639" s="410" t="s">
        <v>4271</v>
      </c>
      <c r="B2639" s="17"/>
      <c r="C2639" s="19"/>
      <c r="D2639" s="18"/>
      <c r="E2639" s="18"/>
      <c r="F2639" s="19"/>
      <c r="G2639" s="31"/>
      <c r="H2639" s="31"/>
      <c r="I2639" s="19"/>
      <c r="J2639" s="19"/>
      <c r="K2639" s="18"/>
      <c r="L2639" s="19"/>
      <c r="M2639" s="19"/>
      <c r="N2639" s="20"/>
      <c r="O2639" s="19"/>
      <c r="P2639" s="19"/>
      <c r="Q2639" s="19"/>
      <c r="R2639" s="19"/>
      <c r="S2639" s="19"/>
      <c r="T2639" s="19"/>
      <c r="U2639" s="19"/>
      <c r="V2639" s="19"/>
      <c r="W2639" s="19"/>
      <c r="X2639" s="19"/>
      <c r="Y2639" s="19"/>
      <c r="Z2639" s="19"/>
      <c r="AA2639" s="19"/>
      <c r="AB2639" s="19"/>
      <c r="AC2639" s="19"/>
      <c r="AD2639" s="19"/>
      <c r="AE2639" s="19"/>
      <c r="AF2639" s="19"/>
      <c r="AG2639" s="19"/>
      <c r="AH2639" s="19"/>
      <c r="AI2639" s="19"/>
      <c r="AJ2639" s="19"/>
      <c r="AK2639" s="19"/>
      <c r="AL2639" s="19"/>
      <c r="AM2639" s="19"/>
      <c r="AN2639" s="19"/>
      <c r="AO2639" s="19"/>
      <c r="AP2639" s="19"/>
      <c r="AQ2639" s="19"/>
      <c r="AR2639" s="19"/>
      <c r="AS2639" s="19"/>
    </row>
    <row r="2640" spans="1:45" x14ac:dyDescent="0.3">
      <c r="A2640" s="410" t="s">
        <v>4272</v>
      </c>
      <c r="B2640" s="17"/>
      <c r="C2640" s="19"/>
      <c r="D2640" s="18"/>
      <c r="E2640" s="18"/>
      <c r="F2640" s="19"/>
      <c r="G2640" s="31"/>
      <c r="H2640" s="31"/>
      <c r="I2640" s="19"/>
      <c r="J2640" s="19"/>
      <c r="K2640" s="18"/>
      <c r="L2640" s="19"/>
      <c r="M2640" s="19"/>
      <c r="N2640" s="20"/>
      <c r="O2640" s="19"/>
      <c r="P2640" s="19"/>
      <c r="Q2640" s="19"/>
      <c r="R2640" s="19"/>
      <c r="S2640" s="19"/>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row>
    <row r="2641" spans="1:45" x14ac:dyDescent="0.3">
      <c r="A2641" s="410" t="s">
        <v>4273</v>
      </c>
      <c r="B2641" s="17"/>
      <c r="C2641" s="19"/>
      <c r="D2641" s="18"/>
      <c r="E2641" s="18"/>
      <c r="F2641" s="19"/>
      <c r="G2641" s="31"/>
      <c r="H2641" s="31"/>
      <c r="I2641" s="19"/>
      <c r="J2641" s="19"/>
      <c r="K2641" s="18"/>
      <c r="L2641" s="19"/>
      <c r="M2641" s="19"/>
      <c r="N2641" s="20"/>
      <c r="O2641" s="19"/>
      <c r="P2641" s="19"/>
      <c r="Q2641" s="19"/>
      <c r="R2641" s="19"/>
      <c r="S2641" s="19"/>
      <c r="T2641" s="19"/>
      <c r="U2641" s="19"/>
      <c r="V2641" s="19"/>
      <c r="W2641" s="19"/>
      <c r="X2641" s="19"/>
      <c r="Y2641" s="19"/>
      <c r="Z2641" s="19"/>
      <c r="AA2641" s="19"/>
      <c r="AB2641" s="19"/>
      <c r="AC2641" s="19"/>
      <c r="AD2641" s="19"/>
      <c r="AE2641" s="19"/>
      <c r="AF2641" s="19"/>
      <c r="AG2641" s="19"/>
      <c r="AH2641" s="19"/>
      <c r="AI2641" s="19"/>
      <c r="AJ2641" s="19"/>
      <c r="AK2641" s="19"/>
      <c r="AL2641" s="19"/>
      <c r="AM2641" s="19"/>
      <c r="AN2641" s="19"/>
      <c r="AO2641" s="19"/>
      <c r="AP2641" s="19"/>
      <c r="AQ2641" s="19"/>
      <c r="AR2641" s="19"/>
      <c r="AS2641" s="19"/>
    </row>
    <row r="2642" spans="1:45" x14ac:dyDescent="0.3">
      <c r="A2642" s="410" t="s">
        <v>4274</v>
      </c>
      <c r="B2642" s="17"/>
      <c r="C2642" s="19"/>
      <c r="D2642" s="18"/>
      <c r="E2642" s="18"/>
      <c r="F2642" s="19"/>
      <c r="G2642" s="31"/>
      <c r="H2642" s="31"/>
      <c r="I2642" s="19"/>
      <c r="J2642" s="19"/>
      <c r="K2642" s="18"/>
      <c r="L2642" s="19"/>
      <c r="M2642" s="19"/>
      <c r="N2642" s="20"/>
      <c r="O2642" s="19"/>
      <c r="P2642" s="19"/>
      <c r="Q2642" s="19"/>
      <c r="R2642" s="19"/>
      <c r="S2642" s="19"/>
      <c r="T2642" s="19"/>
      <c r="U2642" s="19"/>
      <c r="V2642" s="19"/>
      <c r="W2642" s="19"/>
      <c r="X2642" s="19"/>
      <c r="Y2642" s="19"/>
      <c r="Z2642" s="19"/>
      <c r="AA2642" s="19"/>
      <c r="AB2642" s="19"/>
      <c r="AC2642" s="19"/>
      <c r="AD2642" s="19"/>
      <c r="AE2642" s="19"/>
      <c r="AF2642" s="19"/>
      <c r="AG2642" s="19"/>
      <c r="AH2642" s="19"/>
      <c r="AI2642" s="19"/>
      <c r="AJ2642" s="19"/>
      <c r="AK2642" s="19"/>
      <c r="AL2642" s="19"/>
      <c r="AM2642" s="19"/>
      <c r="AN2642" s="19"/>
      <c r="AO2642" s="19"/>
      <c r="AP2642" s="19"/>
      <c r="AQ2642" s="19"/>
      <c r="AR2642" s="19"/>
      <c r="AS2642" s="19"/>
    </row>
    <row r="2643" spans="1:45" x14ac:dyDescent="0.3">
      <c r="A2643" s="410" t="s">
        <v>4275</v>
      </c>
      <c r="B2643" s="17"/>
      <c r="C2643" s="19"/>
      <c r="D2643" s="18"/>
      <c r="E2643" s="18"/>
      <c r="F2643" s="19"/>
      <c r="G2643" s="31"/>
      <c r="H2643" s="31"/>
      <c r="I2643" s="19"/>
      <c r="J2643" s="19"/>
      <c r="K2643" s="18"/>
      <c r="L2643" s="19"/>
      <c r="M2643" s="19"/>
      <c r="N2643" s="20"/>
      <c r="O2643" s="19"/>
      <c r="P2643" s="19"/>
      <c r="Q2643" s="19"/>
      <c r="R2643" s="19"/>
      <c r="S2643" s="19"/>
      <c r="T2643" s="19"/>
      <c r="U2643" s="19"/>
      <c r="V2643" s="19"/>
      <c r="W2643" s="19"/>
      <c r="X2643" s="19"/>
      <c r="Y2643" s="19"/>
      <c r="Z2643" s="19"/>
      <c r="AA2643" s="19"/>
      <c r="AB2643" s="19"/>
      <c r="AC2643" s="19"/>
      <c r="AD2643" s="19"/>
      <c r="AE2643" s="19"/>
      <c r="AF2643" s="19"/>
      <c r="AG2643" s="19"/>
      <c r="AH2643" s="19"/>
      <c r="AI2643" s="19"/>
      <c r="AJ2643" s="19"/>
      <c r="AK2643" s="19"/>
      <c r="AL2643" s="19"/>
      <c r="AM2643" s="19"/>
      <c r="AN2643" s="19"/>
      <c r="AO2643" s="19"/>
      <c r="AP2643" s="19"/>
      <c r="AQ2643" s="19"/>
      <c r="AR2643" s="19"/>
      <c r="AS2643" s="19"/>
    </row>
    <row r="2644" spans="1:45" x14ac:dyDescent="0.3">
      <c r="A2644" s="410" t="s">
        <v>4276</v>
      </c>
      <c r="B2644" s="17"/>
      <c r="C2644" s="19"/>
      <c r="D2644" s="18"/>
      <c r="E2644" s="18"/>
      <c r="F2644" s="19"/>
      <c r="G2644" s="31"/>
      <c r="H2644" s="31"/>
      <c r="I2644" s="19"/>
      <c r="J2644" s="19"/>
      <c r="K2644" s="18"/>
      <c r="L2644" s="19"/>
      <c r="M2644" s="19"/>
      <c r="N2644" s="20"/>
      <c r="O2644" s="19"/>
      <c r="P2644" s="19"/>
      <c r="Q2644" s="19"/>
      <c r="R2644" s="19"/>
      <c r="S2644" s="19"/>
      <c r="T2644" s="19"/>
      <c r="U2644" s="19"/>
      <c r="V2644" s="19"/>
      <c r="W2644" s="19"/>
      <c r="X2644" s="19"/>
      <c r="Y2644" s="19"/>
      <c r="Z2644" s="19"/>
      <c r="AA2644" s="19"/>
      <c r="AB2644" s="19"/>
      <c r="AC2644" s="19"/>
      <c r="AD2644" s="19"/>
      <c r="AE2644" s="19"/>
      <c r="AF2644" s="19"/>
      <c r="AG2644" s="19"/>
      <c r="AH2644" s="19"/>
      <c r="AI2644" s="19"/>
      <c r="AJ2644" s="19"/>
      <c r="AK2644" s="19"/>
      <c r="AL2644" s="19"/>
      <c r="AM2644" s="19"/>
      <c r="AN2644" s="19"/>
      <c r="AO2644" s="19"/>
      <c r="AP2644" s="19"/>
      <c r="AQ2644" s="19"/>
      <c r="AR2644" s="19"/>
      <c r="AS2644" s="19"/>
    </row>
    <row r="2645" spans="1:45" x14ac:dyDescent="0.3">
      <c r="A2645" s="410" t="s">
        <v>4277</v>
      </c>
      <c r="B2645" s="17"/>
      <c r="C2645" s="19"/>
      <c r="D2645" s="18"/>
      <c r="E2645" s="18"/>
      <c r="F2645" s="19"/>
      <c r="G2645" s="31"/>
      <c r="H2645" s="31"/>
      <c r="I2645" s="19"/>
      <c r="J2645" s="19"/>
      <c r="K2645" s="18"/>
      <c r="L2645" s="19"/>
      <c r="M2645" s="19"/>
      <c r="N2645" s="20"/>
      <c r="O2645" s="19"/>
      <c r="P2645" s="19"/>
      <c r="Q2645" s="19"/>
      <c r="R2645" s="19"/>
      <c r="S2645" s="19"/>
      <c r="T2645" s="19"/>
      <c r="U2645" s="19"/>
      <c r="V2645" s="19"/>
      <c r="W2645" s="19"/>
      <c r="X2645" s="19"/>
      <c r="Y2645" s="19"/>
      <c r="Z2645" s="19"/>
      <c r="AA2645" s="19"/>
      <c r="AB2645" s="19"/>
      <c r="AC2645" s="19"/>
      <c r="AD2645" s="19"/>
      <c r="AE2645" s="19"/>
      <c r="AF2645" s="19"/>
      <c r="AG2645" s="19"/>
      <c r="AH2645" s="19"/>
      <c r="AI2645" s="19"/>
      <c r="AJ2645" s="19"/>
      <c r="AK2645" s="19"/>
      <c r="AL2645" s="19"/>
      <c r="AM2645" s="19"/>
      <c r="AN2645" s="19"/>
      <c r="AO2645" s="19"/>
      <c r="AP2645" s="19"/>
      <c r="AQ2645" s="19"/>
      <c r="AR2645" s="19"/>
      <c r="AS2645" s="19"/>
    </row>
    <row r="2646" spans="1:45" x14ac:dyDescent="0.3">
      <c r="A2646" s="410" t="s">
        <v>4278</v>
      </c>
      <c r="B2646" s="17"/>
      <c r="C2646" s="19"/>
      <c r="D2646" s="18"/>
      <c r="E2646" s="18"/>
      <c r="F2646" s="19"/>
      <c r="G2646" s="31"/>
      <c r="H2646" s="31"/>
      <c r="I2646" s="19"/>
      <c r="J2646" s="19"/>
      <c r="K2646" s="18"/>
      <c r="L2646" s="19"/>
      <c r="M2646" s="19"/>
      <c r="N2646" s="20"/>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row>
    <row r="2647" spans="1:45" x14ac:dyDescent="0.3">
      <c r="A2647" s="410" t="s">
        <v>4279</v>
      </c>
      <c r="B2647" s="17"/>
      <c r="C2647" s="19"/>
      <c r="D2647" s="18"/>
      <c r="E2647" s="18"/>
      <c r="F2647" s="19"/>
      <c r="G2647" s="31"/>
      <c r="H2647" s="31"/>
      <c r="I2647" s="19"/>
      <c r="J2647" s="19"/>
      <c r="K2647" s="18"/>
      <c r="L2647" s="19"/>
      <c r="M2647" s="19"/>
      <c r="N2647" s="20"/>
      <c r="O2647" s="19"/>
      <c r="P2647" s="19"/>
      <c r="Q2647" s="19"/>
      <c r="R2647" s="19"/>
      <c r="S2647" s="19"/>
      <c r="T2647" s="19"/>
      <c r="U2647" s="19"/>
      <c r="V2647" s="19"/>
      <c r="W2647" s="19"/>
      <c r="X2647" s="19"/>
      <c r="Y2647" s="19"/>
      <c r="Z2647" s="19"/>
      <c r="AA2647" s="19"/>
      <c r="AB2647" s="19"/>
      <c r="AC2647" s="19"/>
      <c r="AD2647" s="19"/>
      <c r="AE2647" s="19"/>
      <c r="AF2647" s="19"/>
      <c r="AG2647" s="19"/>
      <c r="AH2647" s="19"/>
      <c r="AI2647" s="19"/>
      <c r="AJ2647" s="19"/>
      <c r="AK2647" s="19"/>
      <c r="AL2647" s="19"/>
      <c r="AM2647" s="19"/>
      <c r="AN2647" s="19"/>
      <c r="AO2647" s="19"/>
      <c r="AP2647" s="19"/>
      <c r="AQ2647" s="19"/>
      <c r="AR2647" s="19"/>
      <c r="AS2647" s="19"/>
    </row>
    <row r="2648" spans="1:45" x14ac:dyDescent="0.3">
      <c r="A2648" s="410" t="s">
        <v>4280</v>
      </c>
      <c r="B2648" s="17"/>
      <c r="C2648" s="19"/>
      <c r="D2648" s="18"/>
      <c r="E2648" s="18"/>
      <c r="F2648" s="19"/>
      <c r="G2648" s="31"/>
      <c r="H2648" s="31"/>
      <c r="I2648" s="19"/>
      <c r="J2648" s="19"/>
      <c r="K2648" s="18"/>
      <c r="L2648" s="19"/>
      <c r="M2648" s="19"/>
      <c r="N2648" s="20"/>
      <c r="O2648" s="19"/>
      <c r="P2648" s="19"/>
      <c r="Q2648" s="19"/>
      <c r="R2648" s="19"/>
      <c r="S2648" s="19"/>
      <c r="T2648" s="19"/>
      <c r="U2648" s="19"/>
      <c r="V2648" s="19"/>
      <c r="W2648" s="19"/>
      <c r="X2648" s="19"/>
      <c r="Y2648" s="19"/>
      <c r="Z2648" s="19"/>
      <c r="AA2648" s="19"/>
      <c r="AB2648" s="19"/>
      <c r="AC2648" s="19"/>
      <c r="AD2648" s="19"/>
      <c r="AE2648" s="19"/>
      <c r="AF2648" s="19"/>
      <c r="AG2648" s="19"/>
      <c r="AH2648" s="19"/>
      <c r="AI2648" s="19"/>
      <c r="AJ2648" s="19"/>
      <c r="AK2648" s="19"/>
      <c r="AL2648" s="19"/>
      <c r="AM2648" s="19"/>
      <c r="AN2648" s="19"/>
      <c r="AO2648" s="19"/>
      <c r="AP2648" s="19"/>
      <c r="AQ2648" s="19"/>
      <c r="AR2648" s="19"/>
      <c r="AS2648" s="19"/>
    </row>
    <row r="2649" spans="1:45" x14ac:dyDescent="0.3">
      <c r="A2649" s="410" t="s">
        <v>4281</v>
      </c>
      <c r="B2649" s="17"/>
      <c r="C2649" s="19"/>
      <c r="D2649" s="18"/>
      <c r="E2649" s="18"/>
      <c r="F2649" s="19"/>
      <c r="G2649" s="31"/>
      <c r="H2649" s="31"/>
      <c r="I2649" s="19"/>
      <c r="J2649" s="19"/>
      <c r="K2649" s="18"/>
      <c r="L2649" s="19"/>
      <c r="M2649" s="19"/>
      <c r="N2649" s="20"/>
      <c r="O2649" s="19"/>
      <c r="P2649" s="19"/>
      <c r="Q2649" s="19"/>
      <c r="R2649" s="19"/>
      <c r="S2649" s="19"/>
      <c r="T2649" s="19"/>
      <c r="U2649" s="19"/>
      <c r="V2649" s="19"/>
      <c r="W2649" s="19"/>
      <c r="X2649" s="19"/>
      <c r="Y2649" s="19"/>
      <c r="Z2649" s="19"/>
      <c r="AA2649" s="19"/>
      <c r="AB2649" s="19"/>
      <c r="AC2649" s="19"/>
      <c r="AD2649" s="19"/>
      <c r="AE2649" s="19"/>
      <c r="AF2649" s="19"/>
      <c r="AG2649" s="19"/>
      <c r="AH2649" s="19"/>
      <c r="AI2649" s="19"/>
      <c r="AJ2649" s="19"/>
      <c r="AK2649" s="19"/>
      <c r="AL2649" s="19"/>
      <c r="AM2649" s="19"/>
      <c r="AN2649" s="19"/>
      <c r="AO2649" s="19"/>
      <c r="AP2649" s="19"/>
      <c r="AQ2649" s="19"/>
      <c r="AR2649" s="19"/>
      <c r="AS2649" s="19"/>
    </row>
    <row r="2650" spans="1:45" x14ac:dyDescent="0.3">
      <c r="A2650" s="410" t="s">
        <v>4282</v>
      </c>
      <c r="B2650" s="17"/>
      <c r="C2650" s="19"/>
      <c r="D2650" s="18"/>
      <c r="E2650" s="18"/>
      <c r="F2650" s="19"/>
      <c r="G2650" s="31"/>
      <c r="H2650" s="31"/>
      <c r="I2650" s="19"/>
      <c r="J2650" s="19"/>
      <c r="K2650" s="18"/>
      <c r="L2650" s="19"/>
      <c r="M2650" s="19"/>
      <c r="N2650" s="20"/>
      <c r="O2650" s="19"/>
      <c r="P2650" s="19"/>
      <c r="Q2650" s="19"/>
      <c r="R2650" s="19"/>
      <c r="S2650" s="19"/>
      <c r="T2650" s="19"/>
      <c r="U2650" s="19"/>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row>
    <row r="2651" spans="1:45" x14ac:dyDescent="0.3">
      <c r="A2651" s="410" t="s">
        <v>4283</v>
      </c>
      <c r="B2651" s="17"/>
      <c r="C2651" s="19"/>
      <c r="D2651" s="18"/>
      <c r="E2651" s="18"/>
      <c r="F2651" s="19"/>
      <c r="G2651" s="31"/>
      <c r="H2651" s="31"/>
      <c r="I2651" s="19"/>
      <c r="J2651" s="19"/>
      <c r="K2651" s="18"/>
      <c r="L2651" s="19"/>
      <c r="M2651" s="19"/>
      <c r="N2651" s="20"/>
      <c r="O2651" s="19"/>
      <c r="P2651" s="19"/>
      <c r="Q2651" s="19"/>
      <c r="R2651" s="19"/>
      <c r="S2651" s="19"/>
      <c r="T2651" s="19"/>
      <c r="U2651" s="19"/>
      <c r="V2651" s="19"/>
      <c r="W2651" s="19"/>
      <c r="X2651" s="19"/>
      <c r="Y2651" s="19"/>
      <c r="Z2651" s="19"/>
      <c r="AA2651" s="19"/>
      <c r="AB2651" s="19"/>
      <c r="AC2651" s="19"/>
      <c r="AD2651" s="19"/>
      <c r="AE2651" s="19"/>
      <c r="AF2651" s="19"/>
      <c r="AG2651" s="19"/>
      <c r="AH2651" s="19"/>
      <c r="AI2651" s="19"/>
      <c r="AJ2651" s="19"/>
      <c r="AK2651" s="19"/>
      <c r="AL2651" s="19"/>
      <c r="AM2651" s="19"/>
      <c r="AN2651" s="19"/>
      <c r="AO2651" s="19"/>
      <c r="AP2651" s="19"/>
      <c r="AQ2651" s="19"/>
      <c r="AR2651" s="19"/>
      <c r="AS2651" s="19"/>
    </row>
    <row r="2652" spans="1:45" x14ac:dyDescent="0.3">
      <c r="A2652" s="410" t="s">
        <v>4284</v>
      </c>
      <c r="B2652" s="17"/>
      <c r="C2652" s="19"/>
      <c r="D2652" s="18"/>
      <c r="E2652" s="18"/>
      <c r="F2652" s="19"/>
      <c r="G2652" s="31"/>
      <c r="H2652" s="31"/>
      <c r="I2652" s="19"/>
      <c r="J2652" s="19"/>
      <c r="K2652" s="18"/>
      <c r="L2652" s="19"/>
      <c r="M2652" s="19"/>
      <c r="N2652" s="20"/>
      <c r="O2652" s="19"/>
      <c r="P2652" s="19"/>
      <c r="Q2652" s="19"/>
      <c r="R2652" s="19"/>
      <c r="S2652" s="19"/>
      <c r="T2652" s="19"/>
      <c r="U2652" s="19"/>
      <c r="V2652" s="19"/>
      <c r="W2652" s="19"/>
      <c r="X2652" s="19"/>
      <c r="Y2652" s="19"/>
      <c r="Z2652" s="19"/>
      <c r="AA2652" s="19"/>
      <c r="AB2652" s="19"/>
      <c r="AC2652" s="19"/>
      <c r="AD2652" s="19"/>
      <c r="AE2652" s="19"/>
      <c r="AF2652" s="19"/>
      <c r="AG2652" s="19"/>
      <c r="AH2652" s="19"/>
      <c r="AI2652" s="19"/>
      <c r="AJ2652" s="19"/>
      <c r="AK2652" s="19"/>
      <c r="AL2652" s="19"/>
      <c r="AM2652" s="19"/>
      <c r="AN2652" s="19"/>
      <c r="AO2652" s="19"/>
      <c r="AP2652" s="19"/>
      <c r="AQ2652" s="19"/>
      <c r="AR2652" s="19"/>
      <c r="AS2652" s="19"/>
    </row>
    <row r="2653" spans="1:45" x14ac:dyDescent="0.3">
      <c r="A2653" s="410" t="s">
        <v>4285</v>
      </c>
      <c r="B2653" s="17"/>
      <c r="C2653" s="19"/>
      <c r="D2653" s="18"/>
      <c r="E2653" s="18"/>
      <c r="F2653" s="19"/>
      <c r="G2653" s="31"/>
      <c r="H2653" s="31"/>
      <c r="I2653" s="19"/>
      <c r="J2653" s="19"/>
      <c r="K2653" s="18"/>
      <c r="L2653" s="19"/>
      <c r="M2653" s="19"/>
      <c r="N2653" s="20"/>
      <c r="O2653" s="19"/>
      <c r="P2653" s="19"/>
      <c r="Q2653" s="19"/>
      <c r="R2653" s="19"/>
      <c r="S2653" s="19"/>
      <c r="T2653" s="19"/>
      <c r="U2653" s="19"/>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row>
    <row r="2654" spans="1:45" x14ac:dyDescent="0.3">
      <c r="A2654" s="410" t="s">
        <v>4286</v>
      </c>
      <c r="B2654" s="17"/>
      <c r="C2654" s="19"/>
      <c r="D2654" s="18"/>
      <c r="E2654" s="18"/>
      <c r="F2654" s="19"/>
      <c r="G2654" s="31"/>
      <c r="H2654" s="31"/>
      <c r="I2654" s="19"/>
      <c r="J2654" s="19"/>
      <c r="K2654" s="18"/>
      <c r="L2654" s="19"/>
      <c r="M2654" s="19"/>
      <c r="N2654" s="20"/>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row>
    <row r="2655" spans="1:45" x14ac:dyDescent="0.3">
      <c r="A2655" s="410" t="s">
        <v>4287</v>
      </c>
      <c r="B2655" s="17"/>
      <c r="C2655" s="19"/>
      <c r="D2655" s="18"/>
      <c r="E2655" s="18"/>
      <c r="F2655" s="19"/>
      <c r="G2655" s="31"/>
      <c r="H2655" s="31"/>
      <c r="I2655" s="19"/>
      <c r="J2655" s="19"/>
      <c r="K2655" s="18"/>
      <c r="L2655" s="19"/>
      <c r="M2655" s="19"/>
      <c r="N2655" s="20"/>
      <c r="O2655" s="19"/>
      <c r="P2655" s="19"/>
      <c r="Q2655" s="19"/>
      <c r="R2655" s="19"/>
      <c r="S2655" s="19"/>
      <c r="T2655" s="19"/>
      <c r="U2655" s="19"/>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19"/>
    </row>
    <row r="2656" spans="1:45" x14ac:dyDescent="0.3">
      <c r="A2656" s="410" t="s">
        <v>4288</v>
      </c>
      <c r="B2656" s="17"/>
      <c r="C2656" s="19"/>
      <c r="D2656" s="18"/>
      <c r="E2656" s="18"/>
      <c r="F2656" s="19"/>
      <c r="G2656" s="31"/>
      <c r="H2656" s="31"/>
      <c r="I2656" s="19"/>
      <c r="J2656" s="19"/>
      <c r="K2656" s="18"/>
      <c r="L2656" s="19"/>
      <c r="M2656" s="19"/>
      <c r="N2656" s="20"/>
      <c r="O2656" s="19"/>
      <c r="P2656" s="19"/>
      <c r="Q2656" s="19"/>
      <c r="R2656" s="19"/>
      <c r="S2656" s="19"/>
      <c r="T2656" s="19"/>
      <c r="U2656" s="19"/>
      <c r="V2656" s="19"/>
      <c r="W2656" s="19"/>
      <c r="X2656" s="19"/>
      <c r="Y2656" s="19"/>
      <c r="Z2656" s="19"/>
      <c r="AA2656" s="19"/>
      <c r="AB2656" s="19"/>
      <c r="AC2656" s="19"/>
      <c r="AD2656" s="19"/>
      <c r="AE2656" s="19"/>
      <c r="AF2656" s="19"/>
      <c r="AG2656" s="19"/>
      <c r="AH2656" s="19"/>
      <c r="AI2656" s="19"/>
      <c r="AJ2656" s="19"/>
      <c r="AK2656" s="19"/>
      <c r="AL2656" s="19"/>
      <c r="AM2656" s="19"/>
      <c r="AN2656" s="19"/>
      <c r="AO2656" s="19"/>
      <c r="AP2656" s="19"/>
      <c r="AQ2656" s="19"/>
      <c r="AR2656" s="19"/>
      <c r="AS2656" s="19"/>
    </row>
    <row r="2657" spans="1:45" x14ac:dyDescent="0.3">
      <c r="A2657" s="410" t="s">
        <v>4289</v>
      </c>
      <c r="B2657" s="17"/>
      <c r="C2657" s="19"/>
      <c r="D2657" s="18"/>
      <c r="E2657" s="18"/>
      <c r="F2657" s="19"/>
      <c r="G2657" s="31"/>
      <c r="H2657" s="31"/>
      <c r="I2657" s="19"/>
      <c r="J2657" s="19"/>
      <c r="K2657" s="18"/>
      <c r="L2657" s="19"/>
      <c r="M2657" s="19"/>
      <c r="N2657" s="20"/>
      <c r="O2657" s="19"/>
      <c r="P2657" s="19"/>
      <c r="Q2657" s="19"/>
      <c r="R2657" s="19"/>
      <c r="S2657" s="19"/>
      <c r="T2657" s="19"/>
      <c r="U2657" s="19"/>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row>
    <row r="2658" spans="1:45" x14ac:dyDescent="0.3">
      <c r="A2658" s="410" t="s">
        <v>4290</v>
      </c>
      <c r="B2658" s="17"/>
      <c r="C2658" s="19"/>
      <c r="D2658" s="18"/>
      <c r="E2658" s="18"/>
      <c r="F2658" s="19"/>
      <c r="G2658" s="31"/>
      <c r="H2658" s="31"/>
      <c r="I2658" s="19"/>
      <c r="J2658" s="19"/>
      <c r="K2658" s="18"/>
      <c r="L2658" s="19"/>
      <c r="M2658" s="19"/>
      <c r="N2658" s="20"/>
      <c r="O2658" s="19"/>
      <c r="P2658" s="19"/>
      <c r="Q2658" s="19"/>
      <c r="R2658" s="19"/>
      <c r="S2658" s="19"/>
      <c r="T2658" s="19"/>
      <c r="U2658" s="19"/>
      <c r="V2658" s="19"/>
      <c r="W2658" s="19"/>
      <c r="X2658" s="19"/>
      <c r="Y2658" s="19"/>
      <c r="Z2658" s="19"/>
      <c r="AA2658" s="19"/>
      <c r="AB2658" s="19"/>
      <c r="AC2658" s="19"/>
      <c r="AD2658" s="19"/>
      <c r="AE2658" s="19"/>
      <c r="AF2658" s="19"/>
      <c r="AG2658" s="19"/>
      <c r="AH2658" s="19"/>
      <c r="AI2658" s="19"/>
      <c r="AJ2658" s="19"/>
      <c r="AK2658" s="19"/>
      <c r="AL2658" s="19"/>
      <c r="AM2658" s="19"/>
      <c r="AN2658" s="19"/>
      <c r="AO2658" s="19"/>
      <c r="AP2658" s="19"/>
      <c r="AQ2658" s="19"/>
      <c r="AR2658" s="19"/>
      <c r="AS2658" s="19"/>
    </row>
    <row r="2659" spans="1:45" x14ac:dyDescent="0.3">
      <c r="A2659" s="410" t="s">
        <v>4291</v>
      </c>
      <c r="B2659" s="17"/>
      <c r="C2659" s="19"/>
      <c r="D2659" s="18"/>
      <c r="E2659" s="18"/>
      <c r="F2659" s="19"/>
      <c r="G2659" s="31"/>
      <c r="H2659" s="31"/>
      <c r="I2659" s="19"/>
      <c r="J2659" s="19"/>
      <c r="K2659" s="18"/>
      <c r="L2659" s="19"/>
      <c r="M2659" s="19"/>
      <c r="N2659" s="20"/>
      <c r="O2659" s="19"/>
      <c r="P2659" s="19"/>
      <c r="Q2659" s="19"/>
      <c r="R2659" s="19"/>
      <c r="S2659" s="19"/>
      <c r="T2659" s="19"/>
      <c r="U2659" s="19"/>
      <c r="V2659" s="19"/>
      <c r="W2659" s="19"/>
      <c r="X2659" s="19"/>
      <c r="Y2659" s="19"/>
      <c r="Z2659" s="19"/>
      <c r="AA2659" s="19"/>
      <c r="AB2659" s="19"/>
      <c r="AC2659" s="19"/>
      <c r="AD2659" s="19"/>
      <c r="AE2659" s="19"/>
      <c r="AF2659" s="19"/>
      <c r="AG2659" s="19"/>
      <c r="AH2659" s="19"/>
      <c r="AI2659" s="19"/>
      <c r="AJ2659" s="19"/>
      <c r="AK2659" s="19"/>
      <c r="AL2659" s="19"/>
      <c r="AM2659" s="19"/>
      <c r="AN2659" s="19"/>
      <c r="AO2659" s="19"/>
      <c r="AP2659" s="19"/>
      <c r="AQ2659" s="19"/>
      <c r="AR2659" s="19"/>
      <c r="AS2659" s="19"/>
    </row>
    <row r="2660" spans="1:45" x14ac:dyDescent="0.3">
      <c r="A2660" s="410" t="s">
        <v>4292</v>
      </c>
      <c r="B2660" s="17"/>
      <c r="C2660" s="19"/>
      <c r="D2660" s="18"/>
      <c r="E2660" s="18"/>
      <c r="F2660" s="19"/>
      <c r="G2660" s="31"/>
      <c r="H2660" s="31"/>
      <c r="I2660" s="19"/>
      <c r="J2660" s="19"/>
      <c r="K2660" s="18"/>
      <c r="L2660" s="19"/>
      <c r="M2660" s="19"/>
      <c r="N2660" s="20"/>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row>
    <row r="2661" spans="1:45" x14ac:dyDescent="0.3">
      <c r="A2661" s="410" t="s">
        <v>4293</v>
      </c>
      <c r="B2661" s="17"/>
      <c r="C2661" s="19"/>
      <c r="D2661" s="18"/>
      <c r="E2661" s="18"/>
      <c r="F2661" s="19"/>
      <c r="G2661" s="31"/>
      <c r="H2661" s="31"/>
      <c r="I2661" s="19"/>
      <c r="J2661" s="19"/>
      <c r="K2661" s="18"/>
      <c r="L2661" s="19"/>
      <c r="M2661" s="19"/>
      <c r="N2661" s="20"/>
      <c r="O2661" s="19"/>
      <c r="P2661" s="19"/>
      <c r="Q2661" s="19"/>
      <c r="R2661" s="19"/>
      <c r="S2661" s="19"/>
      <c r="T2661" s="19"/>
      <c r="U2661" s="19"/>
      <c r="V2661" s="19"/>
      <c r="W2661" s="19"/>
      <c r="X2661" s="19"/>
      <c r="Y2661" s="19"/>
      <c r="Z2661" s="19"/>
      <c r="AA2661" s="19"/>
      <c r="AB2661" s="19"/>
      <c r="AC2661" s="19"/>
      <c r="AD2661" s="19"/>
      <c r="AE2661" s="19"/>
      <c r="AF2661" s="19"/>
      <c r="AG2661" s="19"/>
      <c r="AH2661" s="19"/>
      <c r="AI2661" s="19"/>
      <c r="AJ2661" s="19"/>
      <c r="AK2661" s="19"/>
      <c r="AL2661" s="19"/>
      <c r="AM2661" s="19"/>
      <c r="AN2661" s="19"/>
      <c r="AO2661" s="19"/>
      <c r="AP2661" s="19"/>
      <c r="AQ2661" s="19"/>
      <c r="AR2661" s="19"/>
      <c r="AS2661" s="19"/>
    </row>
    <row r="2662" spans="1:45" x14ac:dyDescent="0.3">
      <c r="A2662" s="410" t="s">
        <v>4294</v>
      </c>
      <c r="B2662" s="17"/>
      <c r="C2662" s="19"/>
      <c r="D2662" s="18"/>
      <c r="E2662" s="18"/>
      <c r="F2662" s="19"/>
      <c r="G2662" s="31"/>
      <c r="H2662" s="31"/>
      <c r="I2662" s="19"/>
      <c r="J2662" s="19"/>
      <c r="K2662" s="18"/>
      <c r="L2662" s="19"/>
      <c r="M2662" s="19"/>
      <c r="N2662" s="20"/>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row>
    <row r="2663" spans="1:45" x14ac:dyDescent="0.3">
      <c r="A2663" s="410" t="s">
        <v>4295</v>
      </c>
      <c r="B2663" s="17"/>
      <c r="C2663" s="19"/>
      <c r="D2663" s="18"/>
      <c r="E2663" s="18"/>
      <c r="F2663" s="19"/>
      <c r="G2663" s="31"/>
      <c r="H2663" s="31"/>
      <c r="I2663" s="19"/>
      <c r="J2663" s="19"/>
      <c r="K2663" s="18"/>
      <c r="L2663" s="19"/>
      <c r="M2663" s="19"/>
      <c r="N2663" s="20"/>
      <c r="O2663" s="19"/>
      <c r="P2663" s="19"/>
      <c r="Q2663" s="19"/>
      <c r="R2663" s="19"/>
      <c r="S2663" s="19"/>
      <c r="T2663" s="19"/>
      <c r="U2663" s="19"/>
      <c r="V2663" s="19"/>
      <c r="W2663" s="19"/>
      <c r="X2663" s="19"/>
      <c r="Y2663" s="19"/>
      <c r="Z2663" s="19"/>
      <c r="AA2663" s="19"/>
      <c r="AB2663" s="19"/>
      <c r="AC2663" s="19"/>
      <c r="AD2663" s="19"/>
      <c r="AE2663" s="19"/>
      <c r="AF2663" s="19"/>
      <c r="AG2663" s="19"/>
      <c r="AH2663" s="19"/>
      <c r="AI2663" s="19"/>
      <c r="AJ2663" s="19"/>
      <c r="AK2663" s="19"/>
      <c r="AL2663" s="19"/>
      <c r="AM2663" s="19"/>
      <c r="AN2663" s="19"/>
      <c r="AO2663" s="19"/>
      <c r="AP2663" s="19"/>
      <c r="AQ2663" s="19"/>
      <c r="AR2663" s="19"/>
      <c r="AS2663" s="19"/>
    </row>
    <row r="2664" spans="1:45" x14ac:dyDescent="0.3">
      <c r="A2664" s="410" t="s">
        <v>4296</v>
      </c>
      <c r="B2664" s="17"/>
      <c r="C2664" s="19"/>
      <c r="D2664" s="18"/>
      <c r="E2664" s="18"/>
      <c r="F2664" s="19"/>
      <c r="G2664" s="31"/>
      <c r="H2664" s="31"/>
      <c r="I2664" s="19"/>
      <c r="J2664" s="19"/>
      <c r="K2664" s="18"/>
      <c r="L2664" s="19"/>
      <c r="M2664" s="19"/>
      <c r="N2664" s="20"/>
      <c r="O2664" s="19"/>
      <c r="P2664" s="19"/>
      <c r="Q2664" s="19"/>
      <c r="R2664" s="19"/>
      <c r="S2664" s="19"/>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row>
    <row r="2665" spans="1:45" x14ac:dyDescent="0.3">
      <c r="A2665" s="410" t="s">
        <v>4297</v>
      </c>
      <c r="B2665" s="17"/>
      <c r="C2665" s="19"/>
      <c r="D2665" s="18"/>
      <c r="E2665" s="18"/>
      <c r="F2665" s="19"/>
      <c r="G2665" s="31"/>
      <c r="H2665" s="31"/>
      <c r="I2665" s="19"/>
      <c r="J2665" s="19"/>
      <c r="K2665" s="18"/>
      <c r="L2665" s="19"/>
      <c r="M2665" s="19"/>
      <c r="N2665" s="20"/>
      <c r="O2665" s="19"/>
      <c r="P2665" s="19"/>
      <c r="Q2665" s="19"/>
      <c r="R2665" s="19"/>
      <c r="S2665" s="19"/>
      <c r="T2665" s="19"/>
      <c r="U2665" s="19"/>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row>
    <row r="2666" spans="1:45" x14ac:dyDescent="0.3">
      <c r="A2666" s="410" t="s">
        <v>4298</v>
      </c>
      <c r="B2666" s="17"/>
      <c r="C2666" s="19"/>
      <c r="D2666" s="18"/>
      <c r="E2666" s="18"/>
      <c r="F2666" s="19"/>
      <c r="G2666" s="31"/>
      <c r="H2666" s="31"/>
      <c r="I2666" s="19"/>
      <c r="J2666" s="19"/>
      <c r="K2666" s="18"/>
      <c r="L2666" s="19"/>
      <c r="M2666" s="19"/>
      <c r="N2666" s="20"/>
      <c r="O2666" s="19"/>
      <c r="P2666" s="19"/>
      <c r="Q2666" s="19"/>
      <c r="R2666" s="19"/>
      <c r="S2666" s="19"/>
      <c r="T2666" s="19"/>
      <c r="U2666" s="19"/>
      <c r="V2666" s="19"/>
      <c r="W2666" s="19"/>
      <c r="X2666" s="19"/>
      <c r="Y2666" s="19"/>
      <c r="Z2666" s="19"/>
      <c r="AA2666" s="19"/>
      <c r="AB2666" s="19"/>
      <c r="AC2666" s="19"/>
      <c r="AD2666" s="19"/>
      <c r="AE2666" s="19"/>
      <c r="AF2666" s="19"/>
      <c r="AG2666" s="19"/>
      <c r="AH2666" s="19"/>
      <c r="AI2666" s="19"/>
      <c r="AJ2666" s="19"/>
      <c r="AK2666" s="19"/>
      <c r="AL2666" s="19"/>
      <c r="AM2666" s="19"/>
      <c r="AN2666" s="19"/>
      <c r="AO2666" s="19"/>
      <c r="AP2666" s="19"/>
      <c r="AQ2666" s="19"/>
      <c r="AR2666" s="19"/>
      <c r="AS2666" s="19"/>
    </row>
    <row r="2667" spans="1:45" x14ac:dyDescent="0.3">
      <c r="A2667" s="410" t="s">
        <v>4299</v>
      </c>
      <c r="B2667" s="17"/>
      <c r="C2667" s="19"/>
      <c r="D2667" s="18"/>
      <c r="E2667" s="18"/>
      <c r="F2667" s="19"/>
      <c r="G2667" s="31"/>
      <c r="H2667" s="31"/>
      <c r="I2667" s="19"/>
      <c r="J2667" s="19"/>
      <c r="K2667" s="18"/>
      <c r="L2667" s="19"/>
      <c r="M2667" s="19"/>
      <c r="N2667" s="20"/>
      <c r="O2667" s="19"/>
      <c r="P2667" s="19"/>
      <c r="Q2667" s="19"/>
      <c r="R2667" s="19"/>
      <c r="S2667" s="19"/>
      <c r="T2667" s="19"/>
      <c r="U2667" s="19"/>
      <c r="V2667" s="19"/>
      <c r="W2667" s="19"/>
      <c r="X2667" s="19"/>
      <c r="Y2667" s="19"/>
      <c r="Z2667" s="19"/>
      <c r="AA2667" s="19"/>
      <c r="AB2667" s="19"/>
      <c r="AC2667" s="19"/>
      <c r="AD2667" s="19"/>
      <c r="AE2667" s="19"/>
      <c r="AF2667" s="19"/>
      <c r="AG2667" s="19"/>
      <c r="AH2667" s="19"/>
      <c r="AI2667" s="19"/>
      <c r="AJ2667" s="19"/>
      <c r="AK2667" s="19"/>
      <c r="AL2667" s="19"/>
      <c r="AM2667" s="19"/>
      <c r="AN2667" s="19"/>
      <c r="AO2667" s="19"/>
      <c r="AP2667" s="19"/>
      <c r="AQ2667" s="19"/>
      <c r="AR2667" s="19"/>
      <c r="AS2667" s="19"/>
    </row>
    <row r="2668" spans="1:45" x14ac:dyDescent="0.3">
      <c r="A2668" s="410" t="s">
        <v>4300</v>
      </c>
      <c r="B2668" s="17"/>
      <c r="C2668" s="19"/>
      <c r="D2668" s="18"/>
      <c r="E2668" s="18"/>
      <c r="F2668" s="19"/>
      <c r="G2668" s="31"/>
      <c r="H2668" s="31"/>
      <c r="I2668" s="19"/>
      <c r="J2668" s="19"/>
      <c r="K2668" s="18"/>
      <c r="L2668" s="19"/>
      <c r="M2668" s="19"/>
      <c r="N2668" s="20"/>
      <c r="O2668" s="19"/>
      <c r="P2668" s="19"/>
      <c r="Q2668" s="19"/>
      <c r="R2668" s="19"/>
      <c r="S2668" s="19"/>
      <c r="T2668" s="19"/>
      <c r="U2668" s="19"/>
      <c r="V2668" s="19"/>
      <c r="W2668" s="19"/>
      <c r="X2668" s="19"/>
      <c r="Y2668" s="19"/>
      <c r="Z2668" s="19"/>
      <c r="AA2668" s="19"/>
      <c r="AB2668" s="19"/>
      <c r="AC2668" s="19"/>
      <c r="AD2668" s="19"/>
      <c r="AE2668" s="19"/>
      <c r="AF2668" s="19"/>
      <c r="AG2668" s="19"/>
      <c r="AH2668" s="19"/>
      <c r="AI2668" s="19"/>
      <c r="AJ2668" s="19"/>
      <c r="AK2668" s="19"/>
      <c r="AL2668" s="19"/>
      <c r="AM2668" s="19"/>
      <c r="AN2668" s="19"/>
      <c r="AO2668" s="19"/>
      <c r="AP2668" s="19"/>
      <c r="AQ2668" s="19"/>
      <c r="AR2668" s="19"/>
      <c r="AS2668" s="19"/>
    </row>
    <row r="2669" spans="1:45" x14ac:dyDescent="0.3">
      <c r="A2669" s="410" t="s">
        <v>4301</v>
      </c>
      <c r="B2669" s="17"/>
      <c r="C2669" s="19"/>
      <c r="D2669" s="18"/>
      <c r="E2669" s="18"/>
      <c r="F2669" s="19"/>
      <c r="G2669" s="31"/>
      <c r="H2669" s="31"/>
      <c r="I2669" s="19"/>
      <c r="J2669" s="19"/>
      <c r="K2669" s="18"/>
      <c r="L2669" s="19"/>
      <c r="M2669" s="19"/>
      <c r="N2669" s="20"/>
      <c r="O2669" s="19"/>
      <c r="P2669" s="19"/>
      <c r="Q2669" s="19"/>
      <c r="R2669" s="19"/>
      <c r="S2669" s="19"/>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row>
    <row r="2670" spans="1:45" x14ac:dyDescent="0.3">
      <c r="A2670" s="410" t="s">
        <v>4302</v>
      </c>
      <c r="B2670" s="17"/>
      <c r="C2670" s="19"/>
      <c r="D2670" s="18"/>
      <c r="E2670" s="18"/>
      <c r="F2670" s="19"/>
      <c r="G2670" s="31"/>
      <c r="H2670" s="31"/>
      <c r="I2670" s="19"/>
      <c r="J2670" s="19"/>
      <c r="K2670" s="18"/>
      <c r="L2670" s="19"/>
      <c r="M2670" s="19"/>
      <c r="N2670" s="20"/>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row>
    <row r="2671" spans="1:45" x14ac:dyDescent="0.3">
      <c r="A2671" s="410" t="s">
        <v>4303</v>
      </c>
      <c r="B2671" s="17"/>
      <c r="C2671" s="19"/>
      <c r="D2671" s="18"/>
      <c r="E2671" s="18"/>
      <c r="F2671" s="19"/>
      <c r="G2671" s="31"/>
      <c r="H2671" s="31"/>
      <c r="I2671" s="19"/>
      <c r="J2671" s="19"/>
      <c r="K2671" s="18"/>
      <c r="L2671" s="19"/>
      <c r="M2671" s="19"/>
      <c r="N2671" s="20"/>
      <c r="O2671" s="19"/>
      <c r="P2671" s="19"/>
      <c r="Q2671" s="19"/>
      <c r="R2671" s="19"/>
      <c r="S2671" s="19"/>
      <c r="T2671" s="19"/>
      <c r="U2671" s="19"/>
      <c r="V2671" s="19"/>
      <c r="W2671" s="19"/>
      <c r="X2671" s="19"/>
      <c r="Y2671" s="19"/>
      <c r="Z2671" s="19"/>
      <c r="AA2671" s="19"/>
      <c r="AB2671" s="19"/>
      <c r="AC2671" s="19"/>
      <c r="AD2671" s="19"/>
      <c r="AE2671" s="19"/>
      <c r="AF2671" s="19"/>
      <c r="AG2671" s="19"/>
      <c r="AH2671" s="19"/>
      <c r="AI2671" s="19"/>
      <c r="AJ2671" s="19"/>
      <c r="AK2671" s="19"/>
      <c r="AL2671" s="19"/>
      <c r="AM2671" s="19"/>
      <c r="AN2671" s="19"/>
      <c r="AO2671" s="19"/>
      <c r="AP2671" s="19"/>
      <c r="AQ2671" s="19"/>
      <c r="AR2671" s="19"/>
      <c r="AS2671" s="19"/>
    </row>
    <row r="2672" spans="1:45" x14ac:dyDescent="0.3">
      <c r="A2672" s="410" t="s">
        <v>4304</v>
      </c>
      <c r="B2672" s="17"/>
      <c r="C2672" s="19"/>
      <c r="D2672" s="18"/>
      <c r="E2672" s="18"/>
      <c r="F2672" s="19"/>
      <c r="G2672" s="31"/>
      <c r="H2672" s="31"/>
      <c r="I2672" s="19"/>
      <c r="J2672" s="19"/>
      <c r="K2672" s="18"/>
      <c r="L2672" s="19"/>
      <c r="M2672" s="19"/>
      <c r="N2672" s="20"/>
      <c r="O2672" s="19"/>
      <c r="P2672" s="19"/>
      <c r="Q2672" s="19"/>
      <c r="R2672" s="19"/>
      <c r="S2672" s="19"/>
      <c r="T2672" s="19"/>
      <c r="U2672" s="19"/>
      <c r="V2672" s="19"/>
      <c r="W2672" s="19"/>
      <c r="X2672" s="19"/>
      <c r="Y2672" s="19"/>
      <c r="Z2672" s="19"/>
      <c r="AA2672" s="19"/>
      <c r="AB2672" s="19"/>
      <c r="AC2672" s="19"/>
      <c r="AD2672" s="19"/>
      <c r="AE2672" s="19"/>
      <c r="AF2672" s="19"/>
      <c r="AG2672" s="19"/>
      <c r="AH2672" s="19"/>
      <c r="AI2672" s="19"/>
      <c r="AJ2672" s="19"/>
      <c r="AK2672" s="19"/>
      <c r="AL2672" s="19"/>
      <c r="AM2672" s="19"/>
      <c r="AN2672" s="19"/>
      <c r="AO2672" s="19"/>
      <c r="AP2672" s="19"/>
      <c r="AQ2672" s="19"/>
      <c r="AR2672" s="19"/>
      <c r="AS2672" s="19"/>
    </row>
    <row r="2673" spans="1:45" x14ac:dyDescent="0.3">
      <c r="A2673" s="410" t="s">
        <v>4305</v>
      </c>
      <c r="B2673" s="17"/>
      <c r="C2673" s="19"/>
      <c r="D2673" s="18"/>
      <c r="E2673" s="18"/>
      <c r="F2673" s="19"/>
      <c r="G2673" s="31"/>
      <c r="H2673" s="31"/>
      <c r="I2673" s="19"/>
      <c r="J2673" s="19"/>
      <c r="K2673" s="18"/>
      <c r="L2673" s="19"/>
      <c r="M2673" s="19"/>
      <c r="N2673" s="20"/>
      <c r="O2673" s="19"/>
      <c r="P2673" s="19"/>
      <c r="Q2673" s="19"/>
      <c r="R2673" s="19"/>
      <c r="S2673" s="19"/>
      <c r="T2673" s="19"/>
      <c r="U2673" s="19"/>
      <c r="V2673" s="19"/>
      <c r="W2673" s="19"/>
      <c r="X2673" s="19"/>
      <c r="Y2673" s="19"/>
      <c r="Z2673" s="19"/>
      <c r="AA2673" s="19"/>
      <c r="AB2673" s="19"/>
      <c r="AC2673" s="19"/>
      <c r="AD2673" s="19"/>
      <c r="AE2673" s="19"/>
      <c r="AF2673" s="19"/>
      <c r="AG2673" s="19"/>
      <c r="AH2673" s="19"/>
      <c r="AI2673" s="19"/>
      <c r="AJ2673" s="19"/>
      <c r="AK2673" s="19"/>
      <c r="AL2673" s="19"/>
      <c r="AM2673" s="19"/>
      <c r="AN2673" s="19"/>
      <c r="AO2673" s="19"/>
      <c r="AP2673" s="19"/>
      <c r="AQ2673" s="19"/>
      <c r="AR2673" s="19"/>
      <c r="AS2673" s="19"/>
    </row>
    <row r="2674" spans="1:45" x14ac:dyDescent="0.3">
      <c r="A2674" s="410" t="s">
        <v>4306</v>
      </c>
      <c r="B2674" s="17"/>
      <c r="C2674" s="19"/>
      <c r="D2674" s="18"/>
      <c r="E2674" s="18"/>
      <c r="F2674" s="19"/>
      <c r="G2674" s="31"/>
      <c r="H2674" s="31"/>
      <c r="I2674" s="19"/>
      <c r="J2674" s="19"/>
      <c r="K2674" s="18"/>
      <c r="L2674" s="19"/>
      <c r="M2674" s="19"/>
      <c r="N2674" s="20"/>
      <c r="O2674" s="19"/>
      <c r="P2674" s="19"/>
      <c r="Q2674" s="19"/>
      <c r="R2674" s="19"/>
      <c r="S2674" s="19"/>
      <c r="T2674" s="19"/>
      <c r="U2674" s="19"/>
      <c r="V2674" s="19"/>
      <c r="W2674" s="19"/>
      <c r="X2674" s="19"/>
      <c r="Y2674" s="19"/>
      <c r="Z2674" s="19"/>
      <c r="AA2674" s="19"/>
      <c r="AB2674" s="19"/>
      <c r="AC2674" s="19"/>
      <c r="AD2674" s="19"/>
      <c r="AE2674" s="19"/>
      <c r="AF2674" s="19"/>
      <c r="AG2674" s="19"/>
      <c r="AH2674" s="19"/>
      <c r="AI2674" s="19"/>
      <c r="AJ2674" s="19"/>
      <c r="AK2674" s="19"/>
      <c r="AL2674" s="19"/>
      <c r="AM2674" s="19"/>
      <c r="AN2674" s="19"/>
      <c r="AO2674" s="19"/>
      <c r="AP2674" s="19"/>
      <c r="AQ2674" s="19"/>
      <c r="AR2674" s="19"/>
      <c r="AS2674" s="19"/>
    </row>
    <row r="2675" spans="1:45" x14ac:dyDescent="0.3">
      <c r="A2675" s="410" t="s">
        <v>4307</v>
      </c>
      <c r="B2675" s="17"/>
      <c r="C2675" s="19"/>
      <c r="D2675" s="18"/>
      <c r="E2675" s="18"/>
      <c r="F2675" s="19"/>
      <c r="G2675" s="31"/>
      <c r="H2675" s="31"/>
      <c r="I2675" s="19"/>
      <c r="J2675" s="19"/>
      <c r="K2675" s="18"/>
      <c r="L2675" s="19"/>
      <c r="M2675" s="19"/>
      <c r="N2675" s="20"/>
      <c r="O2675" s="19"/>
      <c r="P2675" s="19"/>
      <c r="Q2675" s="19"/>
      <c r="R2675" s="19"/>
      <c r="S2675" s="19"/>
      <c r="T2675" s="19"/>
      <c r="U2675" s="19"/>
      <c r="V2675" s="19"/>
      <c r="W2675" s="19"/>
      <c r="X2675" s="19"/>
      <c r="Y2675" s="19"/>
      <c r="Z2675" s="19"/>
      <c r="AA2675" s="19"/>
      <c r="AB2675" s="19"/>
      <c r="AC2675" s="19"/>
      <c r="AD2675" s="19"/>
      <c r="AE2675" s="19"/>
      <c r="AF2675" s="19"/>
      <c r="AG2675" s="19"/>
      <c r="AH2675" s="19"/>
      <c r="AI2675" s="19"/>
      <c r="AJ2675" s="19"/>
      <c r="AK2675" s="19"/>
      <c r="AL2675" s="19"/>
      <c r="AM2675" s="19"/>
      <c r="AN2675" s="19"/>
      <c r="AO2675" s="19"/>
      <c r="AP2675" s="19"/>
      <c r="AQ2675" s="19"/>
      <c r="AR2675" s="19"/>
      <c r="AS2675" s="19"/>
    </row>
    <row r="2676" spans="1:45" x14ac:dyDescent="0.3">
      <c r="A2676" s="410" t="s">
        <v>4308</v>
      </c>
      <c r="B2676" s="17"/>
      <c r="C2676" s="19"/>
      <c r="D2676" s="18"/>
      <c r="E2676" s="18"/>
      <c r="F2676" s="19"/>
      <c r="G2676" s="31"/>
      <c r="H2676" s="31"/>
      <c r="I2676" s="19"/>
      <c r="J2676" s="19"/>
      <c r="K2676" s="18"/>
      <c r="L2676" s="19"/>
      <c r="M2676" s="19"/>
      <c r="N2676" s="20"/>
      <c r="O2676" s="19"/>
      <c r="P2676" s="19"/>
      <c r="Q2676" s="19"/>
      <c r="R2676" s="19"/>
      <c r="S2676" s="19"/>
      <c r="T2676" s="19"/>
      <c r="U2676" s="19"/>
      <c r="V2676" s="19"/>
      <c r="W2676" s="19"/>
      <c r="X2676" s="19"/>
      <c r="Y2676" s="19"/>
      <c r="Z2676" s="19"/>
      <c r="AA2676" s="19"/>
      <c r="AB2676" s="19"/>
      <c r="AC2676" s="19"/>
      <c r="AD2676" s="19"/>
      <c r="AE2676" s="19"/>
      <c r="AF2676" s="19"/>
      <c r="AG2676" s="19"/>
      <c r="AH2676" s="19"/>
      <c r="AI2676" s="19"/>
      <c r="AJ2676" s="19"/>
      <c r="AK2676" s="19"/>
      <c r="AL2676" s="19"/>
      <c r="AM2676" s="19"/>
      <c r="AN2676" s="19"/>
      <c r="AO2676" s="19"/>
      <c r="AP2676" s="19"/>
      <c r="AQ2676" s="19"/>
      <c r="AR2676" s="19"/>
      <c r="AS2676" s="19"/>
    </row>
    <row r="2677" spans="1:45" x14ac:dyDescent="0.3">
      <c r="A2677" s="410" t="s">
        <v>4309</v>
      </c>
      <c r="B2677" s="17"/>
      <c r="C2677" s="19"/>
      <c r="D2677" s="18"/>
      <c r="E2677" s="18"/>
      <c r="F2677" s="19"/>
      <c r="G2677" s="31"/>
      <c r="H2677" s="31"/>
      <c r="I2677" s="19"/>
      <c r="J2677" s="19"/>
      <c r="K2677" s="18"/>
      <c r="L2677" s="19"/>
      <c r="M2677" s="19"/>
      <c r="N2677" s="20"/>
      <c r="O2677" s="19"/>
      <c r="P2677" s="19"/>
      <c r="Q2677" s="19"/>
      <c r="R2677" s="19"/>
      <c r="S2677" s="19"/>
      <c r="T2677" s="19"/>
      <c r="U2677" s="19"/>
      <c r="V2677" s="19"/>
      <c r="W2677" s="19"/>
      <c r="X2677" s="19"/>
      <c r="Y2677" s="19"/>
      <c r="Z2677" s="19"/>
      <c r="AA2677" s="19"/>
      <c r="AB2677" s="19"/>
      <c r="AC2677" s="19"/>
      <c r="AD2677" s="19"/>
      <c r="AE2677" s="19"/>
      <c r="AF2677" s="19"/>
      <c r="AG2677" s="19"/>
      <c r="AH2677" s="19"/>
      <c r="AI2677" s="19"/>
      <c r="AJ2677" s="19"/>
      <c r="AK2677" s="19"/>
      <c r="AL2677" s="19"/>
      <c r="AM2677" s="19"/>
      <c r="AN2677" s="19"/>
      <c r="AO2677" s="19"/>
      <c r="AP2677" s="19"/>
      <c r="AQ2677" s="19"/>
      <c r="AR2677" s="19"/>
      <c r="AS2677" s="19"/>
    </row>
    <row r="2678" spans="1:45" x14ac:dyDescent="0.3">
      <c r="A2678" s="410" t="s">
        <v>4310</v>
      </c>
      <c r="B2678" s="17"/>
      <c r="C2678" s="19"/>
      <c r="D2678" s="18"/>
      <c r="E2678" s="18"/>
      <c r="F2678" s="19"/>
      <c r="G2678" s="31"/>
      <c r="H2678" s="31"/>
      <c r="I2678" s="19"/>
      <c r="J2678" s="19"/>
      <c r="K2678" s="18"/>
      <c r="L2678" s="19"/>
      <c r="M2678" s="19"/>
      <c r="N2678" s="20"/>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row>
    <row r="2679" spans="1:45" x14ac:dyDescent="0.3">
      <c r="A2679" s="410" t="s">
        <v>4311</v>
      </c>
      <c r="B2679" s="17"/>
      <c r="C2679" s="19"/>
      <c r="D2679" s="18"/>
      <c r="E2679" s="18"/>
      <c r="F2679" s="19"/>
      <c r="G2679" s="31"/>
      <c r="H2679" s="31"/>
      <c r="I2679" s="19"/>
      <c r="J2679" s="19"/>
      <c r="K2679" s="18"/>
      <c r="L2679" s="19"/>
      <c r="M2679" s="19"/>
      <c r="N2679" s="20"/>
      <c r="O2679" s="19"/>
      <c r="P2679" s="19"/>
      <c r="Q2679" s="19"/>
      <c r="R2679" s="19"/>
      <c r="S2679" s="19"/>
      <c r="T2679" s="19"/>
      <c r="U2679" s="19"/>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row>
    <row r="2680" spans="1:45" x14ac:dyDescent="0.3">
      <c r="A2680" s="410" t="s">
        <v>4312</v>
      </c>
      <c r="B2680" s="17"/>
      <c r="C2680" s="19"/>
      <c r="D2680" s="18"/>
      <c r="E2680" s="18"/>
      <c r="F2680" s="19"/>
      <c r="G2680" s="31"/>
      <c r="H2680" s="31"/>
      <c r="I2680" s="19"/>
      <c r="J2680" s="19"/>
      <c r="K2680" s="18"/>
      <c r="L2680" s="19"/>
      <c r="M2680" s="19"/>
      <c r="N2680" s="20"/>
      <c r="O2680" s="19"/>
      <c r="P2680" s="19"/>
      <c r="Q2680" s="19"/>
      <c r="R2680" s="19"/>
      <c r="S2680" s="19"/>
      <c r="T2680" s="19"/>
      <c r="U2680" s="19"/>
      <c r="V2680" s="19"/>
      <c r="W2680" s="19"/>
      <c r="X2680" s="19"/>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19"/>
    </row>
    <row r="2681" spans="1:45" x14ac:dyDescent="0.3">
      <c r="A2681" s="410" t="s">
        <v>4313</v>
      </c>
      <c r="B2681" s="17"/>
      <c r="C2681" s="19"/>
      <c r="D2681" s="18"/>
      <c r="E2681" s="18"/>
      <c r="F2681" s="19"/>
      <c r="G2681" s="31"/>
      <c r="H2681" s="31"/>
      <c r="I2681" s="19"/>
      <c r="J2681" s="19"/>
      <c r="K2681" s="18"/>
      <c r="L2681" s="19"/>
      <c r="M2681" s="19"/>
      <c r="N2681" s="20"/>
      <c r="O2681" s="19"/>
      <c r="P2681" s="19"/>
      <c r="Q2681" s="19"/>
      <c r="R2681" s="19"/>
      <c r="S2681" s="19"/>
      <c r="T2681" s="19"/>
      <c r="U2681" s="19"/>
      <c r="V2681" s="19"/>
      <c r="W2681" s="19"/>
      <c r="X2681" s="19"/>
      <c r="Y2681" s="19"/>
      <c r="Z2681" s="19"/>
      <c r="AA2681" s="19"/>
      <c r="AB2681" s="19"/>
      <c r="AC2681" s="19"/>
      <c r="AD2681" s="19"/>
      <c r="AE2681" s="19"/>
      <c r="AF2681" s="19"/>
      <c r="AG2681" s="19"/>
      <c r="AH2681" s="19"/>
      <c r="AI2681" s="19"/>
      <c r="AJ2681" s="19"/>
      <c r="AK2681" s="19"/>
      <c r="AL2681" s="19"/>
      <c r="AM2681" s="19"/>
      <c r="AN2681" s="19"/>
      <c r="AO2681" s="19"/>
      <c r="AP2681" s="19"/>
      <c r="AQ2681" s="19"/>
      <c r="AR2681" s="19"/>
      <c r="AS2681" s="19"/>
    </row>
    <row r="2682" spans="1:45" x14ac:dyDescent="0.3">
      <c r="A2682" s="410" t="s">
        <v>4314</v>
      </c>
      <c r="B2682" s="17"/>
      <c r="C2682" s="19"/>
      <c r="D2682" s="18"/>
      <c r="E2682" s="18"/>
      <c r="F2682" s="19"/>
      <c r="G2682" s="31"/>
      <c r="H2682" s="31"/>
      <c r="I2682" s="19"/>
      <c r="J2682" s="19"/>
      <c r="K2682" s="18"/>
      <c r="L2682" s="19"/>
      <c r="M2682" s="19"/>
      <c r="N2682" s="20"/>
      <c r="O2682" s="19"/>
      <c r="P2682" s="19"/>
      <c r="Q2682" s="19"/>
      <c r="R2682" s="19"/>
      <c r="S2682" s="19"/>
      <c r="T2682" s="19"/>
      <c r="U2682" s="19"/>
      <c r="V2682" s="19"/>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row>
    <row r="2683" spans="1:45" x14ac:dyDescent="0.3">
      <c r="A2683" s="410" t="s">
        <v>4315</v>
      </c>
      <c r="B2683" s="17"/>
      <c r="C2683" s="19"/>
      <c r="D2683" s="18"/>
      <c r="E2683" s="18"/>
      <c r="F2683" s="19"/>
      <c r="G2683" s="31"/>
      <c r="H2683" s="31"/>
      <c r="I2683" s="19"/>
      <c r="J2683" s="19"/>
      <c r="K2683" s="18"/>
      <c r="L2683" s="19"/>
      <c r="M2683" s="19"/>
      <c r="N2683" s="20"/>
      <c r="O2683" s="19"/>
      <c r="P2683" s="19"/>
      <c r="Q2683" s="19"/>
      <c r="R2683" s="19"/>
      <c r="S2683" s="19"/>
      <c r="T2683" s="19"/>
      <c r="U2683" s="19"/>
      <c r="V2683" s="19"/>
      <c r="W2683" s="19"/>
      <c r="X2683" s="19"/>
      <c r="Y2683" s="19"/>
      <c r="Z2683" s="19"/>
      <c r="AA2683" s="19"/>
      <c r="AB2683" s="19"/>
      <c r="AC2683" s="19"/>
      <c r="AD2683" s="19"/>
      <c r="AE2683" s="19"/>
      <c r="AF2683" s="19"/>
      <c r="AG2683" s="19"/>
      <c r="AH2683" s="19"/>
      <c r="AI2683" s="19"/>
      <c r="AJ2683" s="19"/>
      <c r="AK2683" s="19"/>
      <c r="AL2683" s="19"/>
      <c r="AM2683" s="19"/>
      <c r="AN2683" s="19"/>
      <c r="AO2683" s="19"/>
      <c r="AP2683" s="19"/>
      <c r="AQ2683" s="19"/>
      <c r="AR2683" s="19"/>
      <c r="AS2683" s="19"/>
    </row>
    <row r="2684" spans="1:45" x14ac:dyDescent="0.3">
      <c r="A2684" s="410"/>
      <c r="B2684" s="17"/>
      <c r="C2684" s="19"/>
      <c r="D2684" s="19"/>
      <c r="E2684" s="17"/>
      <c r="F2684" s="19"/>
      <c r="G2684" s="31"/>
      <c r="H2684" s="31"/>
      <c r="I2684" s="19"/>
      <c r="J2684" s="19"/>
      <c r="K2684" s="18"/>
      <c r="L2684" s="19"/>
      <c r="M2684" s="19"/>
      <c r="N2684" s="20"/>
      <c r="O2684" s="19"/>
      <c r="P2684" s="19"/>
      <c r="Q2684" s="19"/>
      <c r="R2684" s="19"/>
      <c r="S2684" s="19"/>
      <c r="T2684" s="19"/>
      <c r="U2684" s="19"/>
      <c r="V2684" s="19"/>
      <c r="W2684" s="19"/>
      <c r="X2684" s="19"/>
      <c r="Y2684" s="19"/>
      <c r="Z2684" s="19"/>
      <c r="AA2684" s="19"/>
      <c r="AB2684" s="19"/>
      <c r="AC2684" s="19"/>
      <c r="AD2684" s="19"/>
      <c r="AE2684" s="19"/>
      <c r="AF2684" s="19"/>
      <c r="AG2684" s="19"/>
      <c r="AH2684" s="19"/>
      <c r="AI2684" s="19"/>
      <c r="AJ2684" s="19"/>
      <c r="AK2684" s="19"/>
      <c r="AL2684" s="19"/>
      <c r="AM2684" s="19"/>
      <c r="AN2684" s="19"/>
      <c r="AO2684" s="19"/>
      <c r="AP2684" s="19"/>
      <c r="AQ2684" s="19"/>
      <c r="AR2684" s="19"/>
      <c r="AS2684" s="19"/>
    </row>
    <row r="2685" spans="1:45" x14ac:dyDescent="0.3">
      <c r="A2685" s="410" t="s">
        <v>4316</v>
      </c>
      <c r="B2685" s="17" t="s">
        <v>4317</v>
      </c>
      <c r="C2685" s="19"/>
      <c r="D2685" s="19">
        <v>23142251</v>
      </c>
      <c r="E2685" s="17"/>
      <c r="F2685" s="19"/>
      <c r="G2685" s="31"/>
      <c r="H2685" s="31"/>
      <c r="I2685" s="19"/>
      <c r="J2685" s="19"/>
      <c r="K2685" s="18"/>
      <c r="L2685" s="19"/>
      <c r="M2685" s="19"/>
      <c r="N2685" s="20"/>
      <c r="O2685" s="19"/>
      <c r="P2685" s="19"/>
      <c r="Q2685" s="19"/>
      <c r="R2685" s="19"/>
      <c r="S2685" s="19"/>
      <c r="T2685" s="19"/>
      <c r="U2685" s="19"/>
      <c r="V2685" s="19"/>
      <c r="W2685" s="19"/>
      <c r="X2685" s="19"/>
      <c r="Y2685" s="19"/>
      <c r="Z2685" s="19"/>
      <c r="AA2685" s="19"/>
      <c r="AB2685" s="19"/>
      <c r="AC2685" s="19"/>
      <c r="AD2685" s="19"/>
      <c r="AE2685" s="19"/>
      <c r="AF2685" s="19"/>
      <c r="AG2685" s="19"/>
      <c r="AH2685" s="19"/>
      <c r="AI2685" s="19"/>
      <c r="AJ2685" s="19"/>
      <c r="AK2685" s="19"/>
      <c r="AL2685" s="19"/>
      <c r="AM2685" s="19"/>
      <c r="AN2685" s="19"/>
      <c r="AO2685" s="19"/>
      <c r="AP2685" s="19"/>
      <c r="AQ2685" s="19"/>
      <c r="AR2685" s="19"/>
      <c r="AS2685" s="19"/>
    </row>
    <row r="2686" spans="1:45" x14ac:dyDescent="0.3">
      <c r="A2686" s="410" t="s">
        <v>4318</v>
      </c>
      <c r="B2686" s="17" t="s">
        <v>4319</v>
      </c>
      <c r="C2686" s="19" t="s">
        <v>1368</v>
      </c>
      <c r="D2686" s="19">
        <v>23162203</v>
      </c>
      <c r="E2686" s="17" t="s">
        <v>4319</v>
      </c>
      <c r="F2686" s="19">
        <v>23162203</v>
      </c>
      <c r="G2686" s="31"/>
      <c r="H2686" s="31"/>
      <c r="I2686" s="19"/>
      <c r="J2686" s="19"/>
      <c r="K2686" s="18"/>
      <c r="L2686" s="19"/>
      <c r="M2686" s="19"/>
      <c r="N2686" s="20"/>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row>
    <row r="2687" spans="1:45" x14ac:dyDescent="0.3">
      <c r="A2687" s="410" t="s">
        <v>4320</v>
      </c>
      <c r="B2687" s="17" t="s">
        <v>4321</v>
      </c>
      <c r="C2687" s="19"/>
      <c r="D2687" s="19">
        <v>23147609</v>
      </c>
      <c r="E2687" s="17"/>
      <c r="F2687" s="19"/>
      <c r="G2687" s="31"/>
      <c r="H2687" s="31"/>
      <c r="I2687" s="19"/>
      <c r="J2687" s="19"/>
      <c r="K2687" s="18"/>
      <c r="L2687" s="19"/>
      <c r="M2687" s="19"/>
      <c r="N2687" s="20"/>
      <c r="O2687" s="19"/>
      <c r="P2687" s="19"/>
      <c r="Q2687" s="19"/>
      <c r="R2687" s="19"/>
      <c r="S2687" s="19"/>
      <c r="T2687" s="19"/>
      <c r="U2687" s="19"/>
      <c r="V2687" s="19"/>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19"/>
    </row>
    <row r="2688" spans="1:45" x14ac:dyDescent="0.3">
      <c r="A2688" s="410" t="s">
        <v>4322</v>
      </c>
      <c r="B2688" s="17" t="s">
        <v>4323</v>
      </c>
      <c r="C2688" s="19"/>
      <c r="D2688" s="19">
        <v>23139038</v>
      </c>
      <c r="E2688" s="17"/>
      <c r="F2688" s="19"/>
      <c r="G2688" s="31"/>
      <c r="H2688" s="31"/>
      <c r="I2688" s="19"/>
      <c r="J2688" s="19"/>
      <c r="K2688" s="18"/>
      <c r="L2688" s="19"/>
      <c r="M2688" s="19"/>
      <c r="N2688" s="20"/>
      <c r="O2688" s="19"/>
      <c r="P2688" s="19"/>
      <c r="Q2688" s="19"/>
      <c r="R2688" s="19"/>
      <c r="S2688" s="19"/>
      <c r="T2688" s="19"/>
      <c r="U2688" s="19"/>
      <c r="V2688" s="19"/>
      <c r="W2688" s="19"/>
      <c r="X2688" s="19"/>
      <c r="Y2688" s="19"/>
      <c r="Z2688" s="19"/>
      <c r="AA2688" s="19"/>
      <c r="AB2688" s="19"/>
      <c r="AC2688" s="19"/>
      <c r="AD2688" s="19"/>
      <c r="AE2688" s="19"/>
      <c r="AF2688" s="19"/>
      <c r="AG2688" s="19"/>
      <c r="AH2688" s="19"/>
      <c r="AI2688" s="19"/>
      <c r="AJ2688" s="19"/>
      <c r="AK2688" s="19"/>
      <c r="AL2688" s="19"/>
      <c r="AM2688" s="19"/>
      <c r="AN2688" s="19"/>
      <c r="AO2688" s="19"/>
      <c r="AP2688" s="19"/>
      <c r="AQ2688" s="19"/>
      <c r="AR2688" s="19"/>
      <c r="AS2688" s="19"/>
    </row>
    <row r="2689" spans="1:45" x14ac:dyDescent="0.3">
      <c r="A2689" s="410" t="s">
        <v>4324</v>
      </c>
      <c r="B2689" s="17" t="s">
        <v>4325</v>
      </c>
      <c r="C2689" s="19" t="s">
        <v>1371</v>
      </c>
      <c r="D2689" s="19">
        <v>23163285</v>
      </c>
      <c r="E2689" s="17" t="s">
        <v>4326</v>
      </c>
      <c r="F2689" s="19">
        <v>23163285</v>
      </c>
      <c r="G2689" s="31">
        <v>45267</v>
      </c>
      <c r="H2689" s="31">
        <v>45632</v>
      </c>
      <c r="I2689" s="19" t="s">
        <v>1372</v>
      </c>
      <c r="J2689" s="19" t="s">
        <v>1373</v>
      </c>
      <c r="K2689" s="18" t="s">
        <v>1372</v>
      </c>
      <c r="L2689" s="19" t="s">
        <v>1373</v>
      </c>
      <c r="M2689" s="19" t="s">
        <v>1461</v>
      </c>
      <c r="N2689" s="20" t="s">
        <v>4327</v>
      </c>
      <c r="O2689" s="19" t="s">
        <v>2582</v>
      </c>
      <c r="P2689" s="19"/>
      <c r="Q2689" s="19" t="s">
        <v>1372</v>
      </c>
      <c r="R2689" s="19" t="s">
        <v>1372</v>
      </c>
      <c r="S2689" s="19" t="s">
        <v>1372</v>
      </c>
      <c r="T2689" s="19" t="s">
        <v>1461</v>
      </c>
      <c r="U2689" s="19" t="s">
        <v>1461</v>
      </c>
      <c r="V2689" s="19" t="s">
        <v>1372</v>
      </c>
      <c r="W2689" s="19"/>
      <c r="X2689" s="19"/>
      <c r="Y2689" s="19"/>
      <c r="Z2689" s="19" t="s">
        <v>1372</v>
      </c>
      <c r="AA2689" s="19"/>
      <c r="AB2689" s="19"/>
      <c r="AC2689" s="19"/>
      <c r="AD2689" s="19"/>
      <c r="AE2689" s="19"/>
      <c r="AF2689" s="19" t="s">
        <v>1372</v>
      </c>
      <c r="AG2689" s="19"/>
      <c r="AH2689" s="19"/>
      <c r="AI2689" s="19"/>
      <c r="AJ2689" s="19"/>
      <c r="AK2689" s="19"/>
      <c r="AL2689" s="19" t="s">
        <v>1372</v>
      </c>
      <c r="AM2689" s="19" t="s">
        <v>1372</v>
      </c>
      <c r="AN2689" s="19"/>
      <c r="AO2689" s="19"/>
      <c r="AP2689" s="19"/>
      <c r="AQ2689" s="19"/>
      <c r="AR2689" s="19"/>
      <c r="AS2689" s="19"/>
    </row>
    <row r="2690" spans="1:45" x14ac:dyDescent="0.3">
      <c r="A2690" s="410" t="s">
        <v>4328</v>
      </c>
      <c r="B2690" s="17" t="s">
        <v>4329</v>
      </c>
      <c r="C2690" s="19" t="s">
        <v>1371</v>
      </c>
      <c r="D2690" s="19">
        <v>23143235</v>
      </c>
      <c r="E2690" s="17" t="s">
        <v>4330</v>
      </c>
      <c r="F2690" s="19">
        <v>23143235</v>
      </c>
      <c r="G2690" s="31">
        <v>45271</v>
      </c>
      <c r="H2690" s="31">
        <v>45636</v>
      </c>
      <c r="I2690" s="19" t="s">
        <v>1372</v>
      </c>
      <c r="J2690" s="19" t="s">
        <v>1373</v>
      </c>
      <c r="K2690" s="18" t="s">
        <v>1372</v>
      </c>
      <c r="L2690" s="19" t="s">
        <v>1373</v>
      </c>
      <c r="M2690" s="19" t="s">
        <v>1461</v>
      </c>
      <c r="N2690" s="20" t="s">
        <v>3895</v>
      </c>
      <c r="O2690" s="19"/>
      <c r="P2690" s="19"/>
      <c r="Q2690" s="19" t="s">
        <v>1372</v>
      </c>
      <c r="R2690" s="19" t="s">
        <v>1372</v>
      </c>
      <c r="S2690" s="19" t="s">
        <v>1372</v>
      </c>
      <c r="T2690" s="19" t="s">
        <v>1461</v>
      </c>
      <c r="U2690" s="19" t="s">
        <v>1461</v>
      </c>
      <c r="V2690" s="19" t="s">
        <v>1372</v>
      </c>
      <c r="W2690" s="19"/>
      <c r="X2690" s="19"/>
      <c r="Y2690" s="19"/>
      <c r="Z2690" s="19" t="s">
        <v>1372</v>
      </c>
      <c r="AA2690" s="19"/>
      <c r="AB2690" s="19"/>
      <c r="AC2690" s="19"/>
      <c r="AD2690" s="19"/>
      <c r="AE2690" s="19"/>
      <c r="AF2690" s="19" t="s">
        <v>1372</v>
      </c>
      <c r="AG2690" s="19"/>
      <c r="AH2690" s="19"/>
      <c r="AI2690" s="19"/>
      <c r="AJ2690" s="19"/>
      <c r="AK2690" s="19"/>
      <c r="AL2690" s="19" t="s">
        <v>1372</v>
      </c>
      <c r="AM2690" s="19" t="s">
        <v>1372</v>
      </c>
      <c r="AN2690" s="19"/>
      <c r="AO2690" s="19"/>
      <c r="AP2690" s="19"/>
      <c r="AQ2690" s="19"/>
      <c r="AR2690" s="19"/>
      <c r="AS2690" s="19"/>
    </row>
    <row r="2691" spans="1:45" x14ac:dyDescent="0.3">
      <c r="A2691" s="410" t="s">
        <v>4331</v>
      </c>
      <c r="B2691" s="17" t="s">
        <v>4332</v>
      </c>
      <c r="C2691" s="19"/>
      <c r="D2691" s="19">
        <v>23143942</v>
      </c>
      <c r="E2691" s="17"/>
      <c r="F2691" s="19"/>
      <c r="G2691" s="31"/>
      <c r="H2691" s="31"/>
      <c r="I2691" s="19"/>
      <c r="J2691" s="19"/>
      <c r="K2691" s="18"/>
      <c r="L2691" s="19"/>
      <c r="M2691" s="19"/>
      <c r="N2691" s="20"/>
      <c r="O2691" s="19"/>
      <c r="P2691" s="19"/>
      <c r="Q2691" s="19"/>
      <c r="R2691" s="19"/>
      <c r="S2691" s="19"/>
      <c r="T2691" s="19"/>
      <c r="U2691" s="19"/>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19"/>
    </row>
    <row r="2692" spans="1:45" x14ac:dyDescent="0.3">
      <c r="A2692" s="410" t="s">
        <v>4333</v>
      </c>
      <c r="B2692" s="17" t="s">
        <v>4334</v>
      </c>
      <c r="C2692" s="19"/>
      <c r="D2692" s="19">
        <v>23182509</v>
      </c>
      <c r="E2692" s="17"/>
      <c r="F2692" s="19"/>
      <c r="G2692" s="31"/>
      <c r="H2692" s="31"/>
      <c r="I2692" s="19"/>
      <c r="J2692" s="19"/>
      <c r="K2692" s="18"/>
      <c r="L2692" s="19"/>
      <c r="M2692" s="19"/>
      <c r="N2692" s="20"/>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row>
    <row r="2693" spans="1:45" x14ac:dyDescent="0.3">
      <c r="A2693" s="410" t="s">
        <v>4335</v>
      </c>
      <c r="B2693" s="17" t="s">
        <v>4336</v>
      </c>
      <c r="C2693" s="19" t="s">
        <v>1368</v>
      </c>
      <c r="D2693" s="19">
        <v>23185649</v>
      </c>
      <c r="E2693" s="17" t="s">
        <v>4336</v>
      </c>
      <c r="F2693" s="19">
        <v>23185649</v>
      </c>
      <c r="G2693" s="31"/>
      <c r="H2693" s="31"/>
      <c r="I2693" s="19"/>
      <c r="J2693" s="19"/>
      <c r="K2693" s="18"/>
      <c r="L2693" s="19"/>
      <c r="M2693" s="19"/>
      <c r="N2693" s="20"/>
      <c r="O2693" s="19"/>
      <c r="P2693" s="19"/>
      <c r="Q2693" s="19"/>
      <c r="R2693" s="19"/>
      <c r="S2693" s="19"/>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row>
    <row r="2694" spans="1:45" x14ac:dyDescent="0.3">
      <c r="A2694" s="410" t="s">
        <v>4337</v>
      </c>
      <c r="B2694" s="17" t="s">
        <v>4338</v>
      </c>
      <c r="C2694" s="19" t="s">
        <v>1371</v>
      </c>
      <c r="D2694" s="19">
        <v>23105570</v>
      </c>
      <c r="E2694" s="17" t="s">
        <v>4339</v>
      </c>
      <c r="F2694" s="19">
        <v>23105570</v>
      </c>
      <c r="G2694" s="31" t="s">
        <v>4340</v>
      </c>
      <c r="H2694" s="31" t="s">
        <v>4340</v>
      </c>
      <c r="I2694" s="19" t="s">
        <v>1372</v>
      </c>
      <c r="J2694" s="19" t="s">
        <v>1373</v>
      </c>
      <c r="K2694" s="18" t="s">
        <v>1372</v>
      </c>
      <c r="L2694" s="19" t="s">
        <v>1373</v>
      </c>
      <c r="M2694" s="19" t="s">
        <v>1461</v>
      </c>
      <c r="N2694" s="20" t="s">
        <v>4341</v>
      </c>
      <c r="O2694" s="19" t="s">
        <v>1372</v>
      </c>
      <c r="P2694" s="19"/>
      <c r="Q2694" s="19" t="s">
        <v>1372</v>
      </c>
      <c r="R2694" s="19" t="s">
        <v>1461</v>
      </c>
      <c r="S2694" s="19" t="s">
        <v>1372</v>
      </c>
      <c r="T2694" s="19" t="s">
        <v>1461</v>
      </c>
      <c r="U2694" s="19" t="s">
        <v>1461</v>
      </c>
      <c r="V2694" s="19" t="s">
        <v>1372</v>
      </c>
      <c r="W2694" s="19"/>
      <c r="X2694" s="19"/>
      <c r="Y2694" s="19"/>
      <c r="Z2694" s="19" t="s">
        <v>1372</v>
      </c>
      <c r="AA2694" s="19"/>
      <c r="AB2694" s="19"/>
      <c r="AC2694" s="19"/>
      <c r="AD2694" s="19"/>
      <c r="AE2694" s="19"/>
      <c r="AF2694" s="19" t="s">
        <v>1372</v>
      </c>
      <c r="AG2694" s="19"/>
      <c r="AH2694" s="19"/>
      <c r="AI2694" s="19"/>
      <c r="AJ2694" s="19"/>
      <c r="AK2694" s="19"/>
      <c r="AL2694" s="19" t="s">
        <v>1372</v>
      </c>
      <c r="AM2694" s="19" t="s">
        <v>1372</v>
      </c>
      <c r="AN2694" s="19"/>
      <c r="AO2694" s="19"/>
      <c r="AP2694" s="19"/>
      <c r="AQ2694" s="19"/>
      <c r="AR2694" s="19" t="s">
        <v>1768</v>
      </c>
      <c r="AS2694" s="19"/>
    </row>
    <row r="2695" spans="1:45" x14ac:dyDescent="0.3">
      <c r="A2695" s="410" t="s">
        <v>4342</v>
      </c>
      <c r="B2695" s="17" t="s">
        <v>4343</v>
      </c>
      <c r="C2695" s="19" t="s">
        <v>1368</v>
      </c>
      <c r="D2695" s="19">
        <v>23182886</v>
      </c>
      <c r="E2695" s="17" t="s">
        <v>4343</v>
      </c>
      <c r="F2695" s="19">
        <v>23182886</v>
      </c>
      <c r="G2695" s="31"/>
      <c r="H2695" s="31"/>
      <c r="I2695" s="19"/>
      <c r="J2695" s="19"/>
      <c r="K2695" s="18"/>
      <c r="L2695" s="19"/>
      <c r="M2695" s="19"/>
      <c r="N2695" s="20"/>
      <c r="O2695" s="19"/>
      <c r="P2695" s="19"/>
      <c r="Q2695" s="19"/>
      <c r="R2695" s="19"/>
      <c r="S2695" s="19"/>
      <c r="T2695" s="19"/>
      <c r="U2695" s="19"/>
      <c r="V2695" s="19"/>
      <c r="W2695" s="19"/>
      <c r="X2695" s="19"/>
      <c r="Y2695" s="19"/>
      <c r="Z2695" s="19"/>
      <c r="AA2695" s="19"/>
      <c r="AB2695" s="19"/>
      <c r="AC2695" s="19"/>
      <c r="AD2695" s="19"/>
      <c r="AE2695" s="19"/>
      <c r="AF2695" s="19"/>
      <c r="AG2695" s="19"/>
      <c r="AH2695" s="19"/>
      <c r="AI2695" s="19"/>
      <c r="AJ2695" s="19"/>
      <c r="AK2695" s="19"/>
      <c r="AL2695" s="19"/>
      <c r="AM2695" s="19"/>
      <c r="AN2695" s="19"/>
      <c r="AO2695" s="19"/>
      <c r="AP2695" s="19"/>
      <c r="AQ2695" s="19"/>
      <c r="AR2695" s="19"/>
      <c r="AS2695" s="19"/>
    </row>
    <row r="2696" spans="1:45" x14ac:dyDescent="0.3">
      <c r="A2696" s="410" t="s">
        <v>4344</v>
      </c>
      <c r="B2696" s="17" t="s">
        <v>4345</v>
      </c>
      <c r="C2696" s="19" t="s">
        <v>1371</v>
      </c>
      <c r="D2696" s="19">
        <v>23143233</v>
      </c>
      <c r="E2696" s="17" t="s">
        <v>4346</v>
      </c>
      <c r="F2696" s="19">
        <v>23143233</v>
      </c>
      <c r="G2696" s="31">
        <v>45268</v>
      </c>
      <c r="H2696" s="31">
        <v>45633</v>
      </c>
      <c r="I2696" s="19" t="s">
        <v>1372</v>
      </c>
      <c r="J2696" s="19" t="s">
        <v>1373</v>
      </c>
      <c r="K2696" s="18" t="s">
        <v>1372</v>
      </c>
      <c r="L2696" s="19" t="s">
        <v>1373</v>
      </c>
      <c r="M2696" s="19" t="s">
        <v>1461</v>
      </c>
      <c r="N2696" s="20" t="s">
        <v>4347</v>
      </c>
      <c r="O2696" s="19" t="s">
        <v>1372</v>
      </c>
      <c r="P2696" s="19"/>
      <c r="Q2696" s="19" t="s">
        <v>1372</v>
      </c>
      <c r="R2696" s="19" t="s">
        <v>1372</v>
      </c>
      <c r="S2696" s="19" t="s">
        <v>1372</v>
      </c>
      <c r="T2696" s="19" t="s">
        <v>1461</v>
      </c>
      <c r="U2696" s="19" t="s">
        <v>1461</v>
      </c>
      <c r="V2696" s="19" t="s">
        <v>1372</v>
      </c>
      <c r="W2696" s="19"/>
      <c r="X2696" s="19"/>
      <c r="Y2696" s="19"/>
      <c r="Z2696" s="19" t="s">
        <v>1372</v>
      </c>
      <c r="AA2696" s="19"/>
      <c r="AB2696" s="19"/>
      <c r="AC2696" s="19"/>
      <c r="AD2696" s="19"/>
      <c r="AE2696" s="19"/>
      <c r="AF2696" s="19" t="s">
        <v>1372</v>
      </c>
      <c r="AG2696" s="19"/>
      <c r="AH2696" s="19"/>
      <c r="AI2696" s="19"/>
      <c r="AJ2696" s="19"/>
      <c r="AK2696" s="19"/>
      <c r="AL2696" s="19"/>
      <c r="AM2696" s="19" t="s">
        <v>1372</v>
      </c>
      <c r="AN2696" s="19"/>
      <c r="AO2696" s="19"/>
      <c r="AP2696" s="19"/>
      <c r="AQ2696" s="19"/>
      <c r="AR2696" s="19" t="s">
        <v>1768</v>
      </c>
      <c r="AS2696" s="19"/>
    </row>
    <row r="2697" spans="1:45" x14ac:dyDescent="0.3">
      <c r="A2697" s="410" t="s">
        <v>4348</v>
      </c>
      <c r="B2697" s="17" t="s">
        <v>4349</v>
      </c>
      <c r="C2697" s="19" t="s">
        <v>1368</v>
      </c>
      <c r="D2697" s="19">
        <v>22227436</v>
      </c>
      <c r="E2697" s="17" t="s">
        <v>4350</v>
      </c>
      <c r="F2697" s="19">
        <v>22227436</v>
      </c>
      <c r="G2697" s="31">
        <v>45274</v>
      </c>
      <c r="H2697" s="31">
        <v>45639</v>
      </c>
      <c r="I2697" s="19" t="s">
        <v>1372</v>
      </c>
      <c r="J2697" s="19" t="s">
        <v>1373</v>
      </c>
      <c r="K2697" s="18" t="s">
        <v>1372</v>
      </c>
      <c r="L2697" s="19" t="s">
        <v>1373</v>
      </c>
      <c r="M2697" s="19" t="s">
        <v>1372</v>
      </c>
      <c r="N2697" s="20" t="s">
        <v>3895</v>
      </c>
      <c r="O2697" s="19" t="s">
        <v>1372</v>
      </c>
      <c r="P2697" s="19"/>
      <c r="Q2697" s="19" t="s">
        <v>1372</v>
      </c>
      <c r="R2697" s="19" t="s">
        <v>1372</v>
      </c>
      <c r="S2697" s="19" t="s">
        <v>1372</v>
      </c>
      <c r="T2697" s="19" t="s">
        <v>1461</v>
      </c>
      <c r="U2697" s="19" t="s">
        <v>1461</v>
      </c>
      <c r="V2697" s="19" t="s">
        <v>1372</v>
      </c>
      <c r="W2697" s="19"/>
      <c r="X2697" s="19"/>
      <c r="Y2697" s="19"/>
      <c r="Z2697" s="19" t="s">
        <v>1372</v>
      </c>
      <c r="AA2697" s="19"/>
      <c r="AB2697" s="19"/>
      <c r="AC2697" s="19"/>
      <c r="AD2697" s="19"/>
      <c r="AE2697" s="19"/>
      <c r="AF2697" s="19" t="s">
        <v>1372</v>
      </c>
      <c r="AG2697" s="19"/>
      <c r="AH2697" s="19"/>
      <c r="AI2697" s="19"/>
      <c r="AJ2697" s="19"/>
      <c r="AK2697" s="19"/>
      <c r="AL2697" s="19" t="s">
        <v>1372</v>
      </c>
      <c r="AM2697" s="19" t="s">
        <v>1372</v>
      </c>
      <c r="AN2697" s="19"/>
      <c r="AO2697" s="19"/>
      <c r="AP2697" s="19"/>
      <c r="AQ2697" s="19"/>
      <c r="AR2697" s="19" t="s">
        <v>1768</v>
      </c>
      <c r="AS2697" s="19"/>
    </row>
    <row r="2698" spans="1:45" x14ac:dyDescent="0.3">
      <c r="A2698" s="410" t="s">
        <v>4351</v>
      </c>
      <c r="B2698" s="17" t="s">
        <v>4352</v>
      </c>
      <c r="C2698" s="19"/>
      <c r="D2698" s="19">
        <v>23030977</v>
      </c>
      <c r="E2698" s="17"/>
      <c r="F2698" s="19"/>
      <c r="G2698" s="31"/>
      <c r="H2698" s="31"/>
      <c r="I2698" s="19"/>
      <c r="J2698" s="19"/>
      <c r="K2698" s="18"/>
      <c r="L2698" s="19"/>
      <c r="M2698" s="19"/>
      <c r="N2698" s="20"/>
      <c r="O2698" s="19"/>
      <c r="P2698" s="19"/>
      <c r="Q2698" s="19"/>
      <c r="R2698" s="19"/>
      <c r="S2698" s="19"/>
      <c r="T2698" s="19"/>
      <c r="U2698" s="19"/>
      <c r="V2698" s="19"/>
      <c r="W2698" s="19"/>
      <c r="X2698" s="19"/>
      <c r="Y2698" s="19"/>
      <c r="Z2698" s="19"/>
      <c r="AA2698" s="19"/>
      <c r="AB2698" s="19"/>
      <c r="AC2698" s="19"/>
      <c r="AD2698" s="19"/>
      <c r="AE2698" s="19"/>
      <c r="AF2698" s="19"/>
      <c r="AG2698" s="19"/>
      <c r="AH2698" s="19"/>
      <c r="AI2698" s="19"/>
      <c r="AJ2698" s="19"/>
      <c r="AK2698" s="19"/>
      <c r="AL2698" s="19"/>
      <c r="AM2698" s="19"/>
      <c r="AN2698" s="19"/>
      <c r="AO2698" s="19"/>
      <c r="AP2698" s="19"/>
      <c r="AQ2698" s="19"/>
      <c r="AR2698" s="19"/>
      <c r="AS2698" s="19"/>
    </row>
    <row r="2699" spans="1:45" x14ac:dyDescent="0.3">
      <c r="A2699" s="410" t="s">
        <v>4353</v>
      </c>
      <c r="B2699" s="17" t="s">
        <v>4354</v>
      </c>
      <c r="C2699" s="19"/>
      <c r="D2699" s="19">
        <v>23047735</v>
      </c>
      <c r="E2699" s="17"/>
      <c r="F2699" s="19"/>
      <c r="G2699" s="31"/>
      <c r="H2699" s="31"/>
      <c r="I2699" s="19"/>
      <c r="J2699" s="19"/>
      <c r="K2699" s="18"/>
      <c r="L2699" s="19"/>
      <c r="M2699" s="19"/>
      <c r="N2699" s="20"/>
      <c r="O2699" s="19"/>
      <c r="P2699" s="19"/>
      <c r="Q2699" s="19"/>
      <c r="R2699" s="19"/>
      <c r="S2699" s="19"/>
      <c r="T2699" s="19"/>
      <c r="U2699" s="19"/>
      <c r="V2699" s="19"/>
      <c r="W2699" s="19"/>
      <c r="X2699" s="19"/>
      <c r="Y2699" s="19"/>
      <c r="Z2699" s="19"/>
      <c r="AA2699" s="19"/>
      <c r="AB2699" s="19"/>
      <c r="AC2699" s="19"/>
      <c r="AD2699" s="19"/>
      <c r="AE2699" s="19"/>
      <c r="AF2699" s="19"/>
      <c r="AG2699" s="19"/>
      <c r="AH2699" s="19"/>
      <c r="AI2699" s="19"/>
      <c r="AJ2699" s="19"/>
      <c r="AK2699" s="19"/>
      <c r="AL2699" s="19"/>
      <c r="AM2699" s="19"/>
      <c r="AN2699" s="19"/>
      <c r="AO2699" s="19"/>
      <c r="AP2699" s="19"/>
      <c r="AQ2699" s="19"/>
      <c r="AR2699" s="19"/>
      <c r="AS2699" s="19"/>
    </row>
    <row r="2700" spans="1:45" x14ac:dyDescent="0.3">
      <c r="A2700" s="410" t="s">
        <v>4355</v>
      </c>
      <c r="B2700" s="17" t="s">
        <v>4356</v>
      </c>
      <c r="C2700" s="19" t="s">
        <v>1368</v>
      </c>
      <c r="D2700" s="19">
        <v>23158800</v>
      </c>
      <c r="E2700" s="17" t="s">
        <v>4357</v>
      </c>
      <c r="F2700" s="19">
        <v>23158800</v>
      </c>
      <c r="G2700" s="31">
        <v>45049</v>
      </c>
      <c r="H2700" s="31" t="s">
        <v>1774</v>
      </c>
      <c r="I2700" s="19" t="s">
        <v>1372</v>
      </c>
      <c r="J2700" s="19" t="s">
        <v>1774</v>
      </c>
      <c r="K2700" s="18" t="s">
        <v>1372</v>
      </c>
      <c r="L2700" s="19" t="s">
        <v>1774</v>
      </c>
      <c r="M2700" s="19" t="s">
        <v>1461</v>
      </c>
      <c r="N2700" s="20" t="s">
        <v>4358</v>
      </c>
      <c r="O2700" s="19"/>
      <c r="P2700" s="19" t="s">
        <v>1372</v>
      </c>
      <c r="Q2700" s="19" t="s">
        <v>1372</v>
      </c>
      <c r="R2700" s="19" t="s">
        <v>1372</v>
      </c>
      <c r="S2700" s="19" t="s">
        <v>1372</v>
      </c>
      <c r="T2700" s="19" t="s">
        <v>1461</v>
      </c>
      <c r="U2700" s="19" t="s">
        <v>1461</v>
      </c>
      <c r="V2700" s="19"/>
      <c r="W2700" s="19" t="s">
        <v>1382</v>
      </c>
      <c r="X2700" s="19"/>
      <c r="Y2700" s="19"/>
      <c r="Z2700" s="19" t="s">
        <v>1372</v>
      </c>
      <c r="AA2700" s="19"/>
      <c r="AB2700" s="19"/>
      <c r="AC2700" s="19"/>
      <c r="AD2700" s="19"/>
      <c r="AE2700" s="19"/>
      <c r="AF2700" s="19" t="s">
        <v>1372</v>
      </c>
      <c r="AG2700" s="19"/>
      <c r="AH2700" s="19"/>
      <c r="AI2700" s="19"/>
      <c r="AJ2700" s="19"/>
      <c r="AK2700" s="19"/>
      <c r="AL2700" s="19" t="s">
        <v>1372</v>
      </c>
      <c r="AM2700" s="19" t="s">
        <v>1372</v>
      </c>
      <c r="AN2700" s="19"/>
      <c r="AO2700" s="19"/>
      <c r="AP2700" s="19"/>
      <c r="AQ2700" s="19"/>
      <c r="AR2700" s="19" t="s">
        <v>1768</v>
      </c>
      <c r="AS2700" s="19"/>
    </row>
    <row r="2701" spans="1:45" x14ac:dyDescent="0.3">
      <c r="A2701" s="410" t="s">
        <v>4359</v>
      </c>
      <c r="B2701" s="17" t="s">
        <v>4360</v>
      </c>
      <c r="C2701" s="19" t="s">
        <v>1368</v>
      </c>
      <c r="D2701" s="19">
        <v>23186659</v>
      </c>
      <c r="E2701" s="17" t="s">
        <v>4360</v>
      </c>
      <c r="F2701" s="19">
        <v>23186659</v>
      </c>
      <c r="G2701" s="31"/>
      <c r="H2701" s="31"/>
      <c r="I2701" s="19"/>
      <c r="J2701" s="19"/>
      <c r="K2701" s="18"/>
      <c r="L2701" s="19"/>
      <c r="M2701" s="19"/>
      <c r="N2701" s="20"/>
      <c r="O2701" s="19"/>
      <c r="P2701" s="19"/>
      <c r="Q2701" s="19"/>
      <c r="R2701" s="19"/>
      <c r="S2701" s="19"/>
      <c r="T2701" s="19"/>
      <c r="U2701" s="19"/>
      <c r="V2701" s="19"/>
      <c r="W2701" s="19"/>
      <c r="X2701" s="19"/>
      <c r="Y2701" s="19"/>
      <c r="Z2701" s="19"/>
      <c r="AA2701" s="19"/>
      <c r="AB2701" s="19"/>
      <c r="AC2701" s="19"/>
      <c r="AD2701" s="19"/>
      <c r="AE2701" s="19"/>
      <c r="AF2701" s="19"/>
      <c r="AG2701" s="19"/>
      <c r="AH2701" s="19"/>
      <c r="AI2701" s="19"/>
      <c r="AJ2701" s="19"/>
      <c r="AK2701" s="19"/>
      <c r="AL2701" s="19"/>
      <c r="AM2701" s="19"/>
      <c r="AN2701" s="19"/>
      <c r="AO2701" s="19"/>
      <c r="AP2701" s="19"/>
      <c r="AQ2701" s="19"/>
      <c r="AR2701" s="19"/>
      <c r="AS2701" s="19"/>
    </row>
    <row r="2702" spans="1:45" x14ac:dyDescent="0.3">
      <c r="A2702" s="410" t="s">
        <v>4361</v>
      </c>
      <c r="B2702" s="17" t="s">
        <v>4362</v>
      </c>
      <c r="C2702" s="19" t="s">
        <v>1371</v>
      </c>
      <c r="D2702" s="19">
        <v>23139653</v>
      </c>
      <c r="E2702" s="17" t="s">
        <v>4363</v>
      </c>
      <c r="F2702" s="19">
        <v>23139653</v>
      </c>
      <c r="G2702" s="31">
        <v>45274</v>
      </c>
      <c r="H2702" s="31">
        <v>45639</v>
      </c>
      <c r="I2702" s="19" t="s">
        <v>1372</v>
      </c>
      <c r="J2702" s="19" t="s">
        <v>1373</v>
      </c>
      <c r="K2702" s="18" t="s">
        <v>1372</v>
      </c>
      <c r="L2702" s="19" t="s">
        <v>1373</v>
      </c>
      <c r="M2702" s="19" t="s">
        <v>1461</v>
      </c>
      <c r="N2702" s="20" t="s">
        <v>4327</v>
      </c>
      <c r="O2702" s="19" t="s">
        <v>1372</v>
      </c>
      <c r="P2702" s="19"/>
      <c r="Q2702" s="19" t="s">
        <v>1372</v>
      </c>
      <c r="R2702" s="19" t="s">
        <v>1372</v>
      </c>
      <c r="S2702" s="19" t="s">
        <v>1372</v>
      </c>
      <c r="T2702" s="19" t="s">
        <v>1461</v>
      </c>
      <c r="U2702" s="19" t="s">
        <v>1461</v>
      </c>
      <c r="V2702" s="19" t="s">
        <v>1372</v>
      </c>
      <c r="W2702" s="19"/>
      <c r="X2702" s="19"/>
      <c r="Y2702" s="19"/>
      <c r="Z2702" s="19" t="s">
        <v>1372</v>
      </c>
      <c r="AA2702" s="19"/>
      <c r="AB2702" s="19"/>
      <c r="AC2702" s="19"/>
      <c r="AD2702" s="19"/>
      <c r="AE2702" s="19"/>
      <c r="AF2702" s="19" t="s">
        <v>1372</v>
      </c>
      <c r="AG2702" s="19"/>
      <c r="AH2702" s="19"/>
      <c r="AI2702" s="19"/>
      <c r="AJ2702" s="19"/>
      <c r="AK2702" s="19"/>
      <c r="AL2702" s="19" t="s">
        <v>1372</v>
      </c>
      <c r="AM2702" s="19" t="s">
        <v>1372</v>
      </c>
      <c r="AN2702" s="19"/>
      <c r="AO2702" s="19"/>
      <c r="AP2702" s="19"/>
      <c r="AQ2702" s="19"/>
      <c r="AR2702" s="19" t="s">
        <v>1768</v>
      </c>
      <c r="AS2702" s="19"/>
    </row>
    <row r="2703" spans="1:45" x14ac:dyDescent="0.3">
      <c r="A2703" s="410" t="s">
        <v>4364</v>
      </c>
      <c r="B2703" s="17" t="s">
        <v>4365</v>
      </c>
      <c r="C2703" s="19"/>
      <c r="D2703" s="19">
        <v>23138362</v>
      </c>
      <c r="E2703" s="17"/>
      <c r="F2703" s="19"/>
      <c r="G2703" s="31"/>
      <c r="H2703" s="31"/>
      <c r="I2703" s="19"/>
      <c r="J2703" s="19"/>
      <c r="K2703" s="18"/>
      <c r="L2703" s="19"/>
      <c r="M2703" s="19"/>
      <c r="N2703" s="20"/>
      <c r="O2703" s="19"/>
      <c r="P2703" s="19"/>
      <c r="Q2703" s="19"/>
      <c r="R2703" s="19"/>
      <c r="S2703" s="19"/>
      <c r="T2703" s="19"/>
      <c r="U2703" s="19"/>
      <c r="V2703" s="19"/>
      <c r="W2703" s="19"/>
      <c r="X2703" s="19"/>
      <c r="Y2703" s="19"/>
      <c r="Z2703" s="19"/>
      <c r="AA2703" s="19"/>
      <c r="AB2703" s="19"/>
      <c r="AC2703" s="19"/>
      <c r="AD2703" s="19"/>
      <c r="AE2703" s="19"/>
      <c r="AF2703" s="19"/>
      <c r="AG2703" s="19"/>
      <c r="AH2703" s="19"/>
      <c r="AI2703" s="19"/>
      <c r="AJ2703" s="19"/>
      <c r="AK2703" s="19"/>
      <c r="AL2703" s="19"/>
      <c r="AM2703" s="19"/>
      <c r="AN2703" s="19"/>
      <c r="AO2703" s="19"/>
      <c r="AP2703" s="19"/>
      <c r="AQ2703" s="19"/>
      <c r="AR2703" s="19"/>
      <c r="AS2703" s="19"/>
    </row>
    <row r="2704" spans="1:45" x14ac:dyDescent="0.3">
      <c r="A2704" s="410" t="s">
        <v>4366</v>
      </c>
      <c r="B2704" s="17" t="s">
        <v>4367</v>
      </c>
      <c r="C2704" s="19"/>
      <c r="D2704" s="19">
        <v>23047556</v>
      </c>
      <c r="E2704" s="17"/>
      <c r="F2704" s="19"/>
      <c r="G2704" s="31"/>
      <c r="H2704" s="31"/>
      <c r="I2704" s="19"/>
      <c r="J2704" s="19"/>
      <c r="K2704" s="18"/>
      <c r="L2704" s="19"/>
      <c r="M2704" s="19"/>
      <c r="N2704" s="20"/>
      <c r="O2704" s="19"/>
      <c r="P2704" s="19"/>
      <c r="Q2704" s="19"/>
      <c r="R2704" s="19"/>
      <c r="S2704" s="19"/>
      <c r="T2704" s="19"/>
      <c r="U2704" s="19"/>
      <c r="V2704" s="19"/>
      <c r="W2704" s="19"/>
      <c r="X2704" s="19"/>
      <c r="Y2704" s="19"/>
      <c r="Z2704" s="19"/>
      <c r="AA2704" s="19"/>
      <c r="AB2704" s="19"/>
      <c r="AC2704" s="19"/>
      <c r="AD2704" s="19"/>
      <c r="AE2704" s="19"/>
      <c r="AF2704" s="19"/>
      <c r="AG2704" s="19"/>
      <c r="AH2704" s="19"/>
      <c r="AI2704" s="19"/>
      <c r="AJ2704" s="19"/>
      <c r="AK2704" s="19"/>
      <c r="AL2704" s="19"/>
      <c r="AM2704" s="19"/>
      <c r="AN2704" s="19"/>
      <c r="AO2704" s="19"/>
      <c r="AP2704" s="19"/>
      <c r="AQ2704" s="19"/>
      <c r="AR2704" s="19"/>
      <c r="AS2704" s="19"/>
    </row>
    <row r="2705" spans="1:45" x14ac:dyDescent="0.3">
      <c r="A2705" s="410" t="s">
        <v>4368</v>
      </c>
      <c r="B2705" s="17" t="s">
        <v>4369</v>
      </c>
      <c r="C2705" s="19" t="s">
        <v>1371</v>
      </c>
      <c r="D2705" s="19">
        <v>23198263</v>
      </c>
      <c r="E2705" s="17" t="s">
        <v>4370</v>
      </c>
      <c r="F2705" s="19">
        <v>23198263</v>
      </c>
      <c r="G2705" s="31">
        <v>45275</v>
      </c>
      <c r="H2705" s="31">
        <v>45640</v>
      </c>
      <c r="I2705" s="19" t="s">
        <v>1372</v>
      </c>
      <c r="J2705" s="19" t="s">
        <v>1373</v>
      </c>
      <c r="K2705" s="18" t="s">
        <v>1372</v>
      </c>
      <c r="L2705" s="19" t="s">
        <v>1373</v>
      </c>
      <c r="M2705" s="19" t="s">
        <v>1461</v>
      </c>
      <c r="N2705" s="20" t="s">
        <v>4327</v>
      </c>
      <c r="O2705" s="19" t="s">
        <v>1372</v>
      </c>
      <c r="P2705" s="19"/>
      <c r="Q2705" s="19" t="s">
        <v>1372</v>
      </c>
      <c r="R2705" s="19" t="s">
        <v>1372</v>
      </c>
      <c r="S2705" s="19" t="s">
        <v>1372</v>
      </c>
      <c r="T2705" s="19" t="s">
        <v>1461</v>
      </c>
      <c r="U2705" s="19" t="s">
        <v>1461</v>
      </c>
      <c r="V2705" s="19" t="s">
        <v>1372</v>
      </c>
      <c r="W2705" s="19"/>
      <c r="X2705" s="19"/>
      <c r="Y2705" s="19"/>
      <c r="Z2705" s="19" t="s">
        <v>1372</v>
      </c>
      <c r="AA2705" s="19"/>
      <c r="AB2705" s="19"/>
      <c r="AC2705" s="19"/>
      <c r="AD2705" s="19"/>
      <c r="AE2705" s="19"/>
      <c r="AF2705" s="19" t="s">
        <v>1372</v>
      </c>
      <c r="AG2705" s="19"/>
      <c r="AH2705" s="19"/>
      <c r="AI2705" s="19"/>
      <c r="AJ2705" s="19"/>
      <c r="AK2705" s="19"/>
      <c r="AL2705" s="19" t="s">
        <v>1372</v>
      </c>
      <c r="AM2705" s="19" t="s">
        <v>1372</v>
      </c>
      <c r="AN2705" s="19"/>
      <c r="AO2705" s="19"/>
      <c r="AP2705" s="19"/>
      <c r="AQ2705" s="19"/>
      <c r="AR2705" s="19"/>
      <c r="AS2705" s="19"/>
    </row>
    <row r="2706" spans="1:45" x14ac:dyDescent="0.3">
      <c r="A2706" s="410" t="s">
        <v>4371</v>
      </c>
      <c r="B2706" s="17" t="s">
        <v>4372</v>
      </c>
      <c r="C2706" s="19" t="s">
        <v>1371</v>
      </c>
      <c r="D2706" s="19">
        <v>23202268</v>
      </c>
      <c r="E2706" s="17" t="s">
        <v>4373</v>
      </c>
      <c r="F2706" s="19">
        <v>23202268</v>
      </c>
      <c r="G2706" s="31">
        <v>45275</v>
      </c>
      <c r="H2706" s="31">
        <v>45640</v>
      </c>
      <c r="I2706" s="19" t="s">
        <v>1372</v>
      </c>
      <c r="J2706" s="19" t="s">
        <v>1373</v>
      </c>
      <c r="K2706" s="18" t="s">
        <v>1372</v>
      </c>
      <c r="L2706" s="19" t="s">
        <v>1373</v>
      </c>
      <c r="M2706" s="19" t="s">
        <v>1461</v>
      </c>
      <c r="N2706" s="20" t="s">
        <v>4347</v>
      </c>
      <c r="O2706" s="19" t="s">
        <v>1372</v>
      </c>
      <c r="P2706" s="19"/>
      <c r="Q2706" s="19" t="s">
        <v>1372</v>
      </c>
      <c r="R2706" s="19" t="s">
        <v>1372</v>
      </c>
      <c r="S2706" s="19"/>
      <c r="T2706" s="19"/>
      <c r="U2706" s="19"/>
      <c r="V2706" s="19" t="s">
        <v>1372</v>
      </c>
      <c r="W2706" s="19"/>
      <c r="X2706" s="19"/>
      <c r="Y2706" s="19"/>
      <c r="Z2706" s="19" t="s">
        <v>1372</v>
      </c>
      <c r="AA2706" s="19"/>
      <c r="AB2706" s="19"/>
      <c r="AC2706" s="19"/>
      <c r="AD2706" s="19"/>
      <c r="AE2706" s="19"/>
      <c r="AF2706" s="19" t="s">
        <v>1372</v>
      </c>
      <c r="AG2706" s="19"/>
      <c r="AH2706" s="19"/>
      <c r="AI2706" s="19"/>
      <c r="AJ2706" s="19"/>
      <c r="AK2706" s="19"/>
      <c r="AL2706" s="19" t="s">
        <v>1372</v>
      </c>
      <c r="AM2706" s="19" t="s">
        <v>1372</v>
      </c>
      <c r="AN2706" s="19"/>
      <c r="AO2706" s="19"/>
      <c r="AP2706" s="19"/>
      <c r="AQ2706" s="19"/>
      <c r="AR2706" s="19"/>
      <c r="AS2706" s="19"/>
    </row>
    <row r="2707" spans="1:45" x14ac:dyDescent="0.3">
      <c r="A2707" s="410" t="s">
        <v>4374</v>
      </c>
      <c r="B2707" s="17" t="s">
        <v>4375</v>
      </c>
      <c r="C2707" s="19"/>
      <c r="D2707" s="19">
        <v>23031170</v>
      </c>
      <c r="E2707" s="17"/>
      <c r="F2707" s="19"/>
      <c r="G2707" s="31"/>
      <c r="H2707" s="31"/>
      <c r="I2707" s="19"/>
      <c r="J2707" s="19"/>
      <c r="K2707" s="18"/>
      <c r="L2707" s="19"/>
      <c r="M2707" s="19"/>
      <c r="N2707" s="20"/>
      <c r="O2707" s="19"/>
      <c r="P2707" s="19"/>
      <c r="Q2707" s="19"/>
      <c r="R2707" s="19"/>
      <c r="S2707" s="19"/>
      <c r="T2707" s="19"/>
      <c r="U2707" s="19"/>
      <c r="V2707" s="19"/>
      <c r="W2707" s="19"/>
      <c r="X2707" s="19"/>
      <c r="Y2707" s="19"/>
      <c r="Z2707" s="19"/>
      <c r="AA2707" s="19"/>
      <c r="AB2707" s="19"/>
      <c r="AC2707" s="19"/>
      <c r="AD2707" s="19"/>
      <c r="AE2707" s="19"/>
      <c r="AF2707" s="19"/>
      <c r="AG2707" s="19"/>
      <c r="AH2707" s="19"/>
      <c r="AI2707" s="19"/>
      <c r="AJ2707" s="19"/>
      <c r="AK2707" s="19"/>
      <c r="AL2707" s="19"/>
      <c r="AM2707" s="19"/>
      <c r="AN2707" s="19"/>
      <c r="AO2707" s="19"/>
      <c r="AP2707" s="19"/>
      <c r="AQ2707" s="19"/>
      <c r="AR2707" s="19"/>
      <c r="AS2707" s="19"/>
    </row>
    <row r="2708" spans="1:45" x14ac:dyDescent="0.3">
      <c r="A2708" s="410" t="s">
        <v>4376</v>
      </c>
      <c r="B2708" s="17"/>
      <c r="C2708" s="19"/>
      <c r="D2708" s="18"/>
      <c r="E2708" s="17"/>
      <c r="F2708" s="19"/>
      <c r="G2708" s="31"/>
      <c r="H2708" s="31"/>
      <c r="I2708" s="19"/>
      <c r="J2708" s="19"/>
      <c r="K2708" s="18"/>
      <c r="L2708" s="19"/>
      <c r="M2708" s="19"/>
      <c r="N2708" s="20"/>
      <c r="O2708" s="19"/>
      <c r="P2708" s="19"/>
      <c r="Q2708" s="19"/>
      <c r="R2708" s="19"/>
      <c r="S2708" s="19"/>
      <c r="T2708" s="19"/>
      <c r="U2708" s="19"/>
      <c r="V2708" s="19"/>
      <c r="W2708" s="19"/>
      <c r="X2708" s="19"/>
      <c r="Y2708" s="19"/>
      <c r="Z2708" s="19"/>
      <c r="AA2708" s="19"/>
      <c r="AB2708" s="19"/>
      <c r="AC2708" s="19"/>
      <c r="AD2708" s="19"/>
      <c r="AE2708" s="19"/>
      <c r="AF2708" s="19"/>
      <c r="AG2708" s="19"/>
      <c r="AH2708" s="19"/>
      <c r="AI2708" s="19"/>
      <c r="AJ2708" s="19"/>
      <c r="AK2708" s="19"/>
      <c r="AL2708" s="19"/>
      <c r="AM2708" s="19"/>
      <c r="AN2708" s="19"/>
      <c r="AO2708" s="19"/>
      <c r="AP2708" s="19"/>
      <c r="AQ2708" s="19"/>
      <c r="AR2708" s="19"/>
      <c r="AS2708" s="19"/>
    </row>
    <row r="2709" spans="1:45" x14ac:dyDescent="0.3">
      <c r="A2709" s="410" t="s">
        <v>4377</v>
      </c>
      <c r="B2709" s="17"/>
      <c r="C2709" s="19"/>
      <c r="D2709" s="19"/>
      <c r="E2709" s="17"/>
      <c r="F2709" s="19"/>
      <c r="G2709" s="31"/>
      <c r="H2709" s="31"/>
      <c r="I2709" s="19"/>
      <c r="J2709" s="19"/>
      <c r="K2709" s="18"/>
      <c r="L2709" s="19"/>
      <c r="M2709" s="19"/>
      <c r="N2709" s="20"/>
      <c r="O2709" s="19"/>
      <c r="P2709" s="19"/>
      <c r="Q2709" s="19"/>
      <c r="R2709" s="19"/>
      <c r="S2709" s="19"/>
      <c r="T2709" s="19"/>
      <c r="U2709" s="19"/>
      <c r="V2709" s="19"/>
      <c r="W2709" s="19"/>
      <c r="X2709" s="19"/>
      <c r="Y2709" s="19"/>
      <c r="Z2709" s="19"/>
      <c r="AA2709" s="19"/>
      <c r="AB2709" s="19"/>
      <c r="AC2709" s="19"/>
      <c r="AD2709" s="19"/>
      <c r="AE2709" s="19"/>
      <c r="AF2709" s="19"/>
      <c r="AG2709" s="19"/>
      <c r="AH2709" s="19"/>
      <c r="AI2709" s="19"/>
      <c r="AJ2709" s="19"/>
      <c r="AK2709" s="19"/>
      <c r="AL2709" s="19"/>
      <c r="AM2709" s="19"/>
      <c r="AN2709" s="19"/>
      <c r="AO2709" s="19"/>
      <c r="AP2709" s="19"/>
      <c r="AQ2709" s="19"/>
      <c r="AR2709" s="19"/>
      <c r="AS2709" s="19"/>
    </row>
    <row r="2710" spans="1:45" x14ac:dyDescent="0.3">
      <c r="A2710" s="410" t="s">
        <v>4378</v>
      </c>
      <c r="B2710" s="17"/>
      <c r="C2710" s="19"/>
      <c r="D2710" s="18"/>
      <c r="E2710" s="18"/>
      <c r="F2710" s="19"/>
      <c r="G2710" s="31"/>
      <c r="H2710" s="31"/>
      <c r="I2710" s="19"/>
      <c r="J2710" s="19"/>
      <c r="K2710" s="18"/>
      <c r="L2710" s="19"/>
      <c r="M2710" s="19"/>
      <c r="N2710" s="20"/>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row>
    <row r="2711" spans="1:45" x14ac:dyDescent="0.3">
      <c r="A2711" s="410" t="s">
        <v>4379</v>
      </c>
      <c r="B2711" s="17"/>
      <c r="C2711" s="19"/>
      <c r="D2711" s="18"/>
      <c r="E2711" s="18"/>
      <c r="F2711" s="19"/>
      <c r="G2711" s="31"/>
      <c r="H2711" s="31"/>
      <c r="I2711" s="19"/>
      <c r="J2711" s="19"/>
      <c r="K2711" s="18"/>
      <c r="L2711" s="19"/>
      <c r="M2711" s="19"/>
      <c r="N2711" s="20"/>
      <c r="O2711" s="19"/>
      <c r="P2711" s="19"/>
      <c r="Q2711" s="19"/>
      <c r="R2711" s="19"/>
      <c r="S2711" s="19"/>
      <c r="T2711" s="19"/>
      <c r="U2711" s="19"/>
      <c r="V2711" s="19"/>
      <c r="W2711" s="19"/>
      <c r="X2711" s="19"/>
      <c r="Y2711" s="19"/>
      <c r="Z2711" s="19"/>
      <c r="AA2711" s="19"/>
      <c r="AB2711" s="19"/>
      <c r="AC2711" s="19"/>
      <c r="AD2711" s="19"/>
      <c r="AE2711" s="19"/>
      <c r="AF2711" s="19"/>
      <c r="AG2711" s="19"/>
      <c r="AH2711" s="19"/>
      <c r="AI2711" s="19"/>
      <c r="AJ2711" s="19"/>
      <c r="AK2711" s="19"/>
      <c r="AL2711" s="19"/>
      <c r="AM2711" s="19"/>
      <c r="AN2711" s="19"/>
      <c r="AO2711" s="19"/>
      <c r="AP2711" s="19"/>
      <c r="AQ2711" s="19"/>
      <c r="AR2711" s="19"/>
      <c r="AS2711" s="19"/>
    </row>
    <row r="2712" spans="1:45" x14ac:dyDescent="0.3">
      <c r="A2712" s="410" t="s">
        <v>4380</v>
      </c>
      <c r="B2712" s="17"/>
      <c r="C2712" s="19"/>
      <c r="D2712" s="18"/>
      <c r="E2712" s="18"/>
      <c r="F2712" s="19"/>
      <c r="G2712" s="31"/>
      <c r="H2712" s="31"/>
      <c r="I2712" s="19"/>
      <c r="J2712" s="19"/>
      <c r="K2712" s="18"/>
      <c r="L2712" s="19"/>
      <c r="M2712" s="19"/>
      <c r="N2712" s="20"/>
      <c r="O2712" s="19"/>
      <c r="P2712" s="19"/>
      <c r="Q2712" s="19"/>
      <c r="R2712" s="19"/>
      <c r="S2712" s="19"/>
      <c r="T2712" s="19"/>
      <c r="U2712" s="19"/>
      <c r="V2712" s="19"/>
      <c r="W2712" s="19"/>
      <c r="X2712" s="19"/>
      <c r="Y2712" s="19"/>
      <c r="Z2712" s="19"/>
      <c r="AA2712" s="19"/>
      <c r="AB2712" s="19"/>
      <c r="AC2712" s="19"/>
      <c r="AD2712" s="19"/>
      <c r="AE2712" s="19"/>
      <c r="AF2712" s="19"/>
      <c r="AG2712" s="19"/>
      <c r="AH2712" s="19"/>
      <c r="AI2712" s="19"/>
      <c r="AJ2712" s="19"/>
      <c r="AK2712" s="19"/>
      <c r="AL2712" s="19"/>
      <c r="AM2712" s="19"/>
      <c r="AN2712" s="19"/>
      <c r="AO2712" s="19"/>
      <c r="AP2712" s="19"/>
      <c r="AQ2712" s="19"/>
      <c r="AR2712" s="19"/>
      <c r="AS2712" s="19"/>
    </row>
    <row r="2713" spans="1:45" x14ac:dyDescent="0.3">
      <c r="A2713" s="410" t="s">
        <v>4381</v>
      </c>
      <c r="B2713" s="17"/>
      <c r="C2713" s="19"/>
      <c r="D2713" s="18"/>
      <c r="E2713" s="18"/>
      <c r="F2713" s="19"/>
      <c r="G2713" s="31"/>
      <c r="H2713" s="31"/>
      <c r="I2713" s="19"/>
      <c r="J2713" s="19"/>
      <c r="K2713" s="18"/>
      <c r="L2713" s="19"/>
      <c r="M2713" s="19"/>
      <c r="N2713" s="20"/>
      <c r="O2713" s="19"/>
      <c r="P2713" s="19"/>
      <c r="Q2713" s="19"/>
      <c r="R2713" s="19"/>
      <c r="S2713" s="19"/>
      <c r="T2713" s="19"/>
      <c r="U2713" s="19"/>
      <c r="V2713" s="19"/>
      <c r="W2713" s="19"/>
      <c r="X2713" s="19"/>
      <c r="Y2713" s="19"/>
      <c r="Z2713" s="19"/>
      <c r="AA2713" s="19"/>
      <c r="AB2713" s="19"/>
      <c r="AC2713" s="19"/>
      <c r="AD2713" s="19"/>
      <c r="AE2713" s="19"/>
      <c r="AF2713" s="19"/>
      <c r="AG2713" s="19"/>
      <c r="AH2713" s="19"/>
      <c r="AI2713" s="19"/>
      <c r="AJ2713" s="19"/>
      <c r="AK2713" s="19"/>
      <c r="AL2713" s="19"/>
      <c r="AM2713" s="19"/>
      <c r="AN2713" s="19"/>
      <c r="AO2713" s="19"/>
      <c r="AP2713" s="19"/>
      <c r="AQ2713" s="19"/>
      <c r="AR2713" s="19"/>
      <c r="AS2713" s="19"/>
    </row>
    <row r="2714" spans="1:45" x14ac:dyDescent="0.3">
      <c r="A2714" s="410" t="s">
        <v>4382</v>
      </c>
      <c r="B2714" s="17"/>
      <c r="C2714" s="19"/>
      <c r="D2714" s="18"/>
      <c r="E2714" s="18"/>
      <c r="F2714" s="19"/>
      <c r="G2714" s="31"/>
      <c r="H2714" s="31"/>
      <c r="I2714" s="19"/>
      <c r="J2714" s="19"/>
      <c r="K2714" s="18"/>
      <c r="L2714" s="19"/>
      <c r="M2714" s="19"/>
      <c r="N2714" s="20"/>
      <c r="O2714" s="19"/>
      <c r="P2714" s="19"/>
      <c r="Q2714" s="19"/>
      <c r="R2714" s="19"/>
      <c r="S2714" s="19"/>
      <c r="T2714" s="19"/>
      <c r="U2714" s="19"/>
      <c r="V2714" s="19"/>
      <c r="W2714" s="19"/>
      <c r="X2714" s="19"/>
      <c r="Y2714" s="19"/>
      <c r="Z2714" s="19"/>
      <c r="AA2714" s="19"/>
      <c r="AB2714" s="19"/>
      <c r="AC2714" s="19"/>
      <c r="AD2714" s="19"/>
      <c r="AE2714" s="19"/>
      <c r="AF2714" s="19"/>
      <c r="AG2714" s="19"/>
      <c r="AH2714" s="19"/>
      <c r="AI2714" s="19"/>
      <c r="AJ2714" s="19"/>
      <c r="AK2714" s="19"/>
      <c r="AL2714" s="19"/>
      <c r="AM2714" s="19"/>
      <c r="AN2714" s="19"/>
      <c r="AO2714" s="19"/>
      <c r="AP2714" s="19"/>
      <c r="AQ2714" s="19"/>
      <c r="AR2714" s="19"/>
      <c r="AS2714" s="19"/>
    </row>
    <row r="2715" spans="1:45" x14ac:dyDescent="0.3">
      <c r="A2715" s="410" t="s">
        <v>4383</v>
      </c>
      <c r="B2715" s="17"/>
      <c r="C2715" s="19"/>
      <c r="D2715" s="18"/>
      <c r="E2715" s="18"/>
      <c r="F2715" s="19"/>
      <c r="G2715" s="31"/>
      <c r="H2715" s="31"/>
      <c r="I2715" s="19"/>
      <c r="J2715" s="19"/>
      <c r="K2715" s="18"/>
      <c r="L2715" s="19"/>
      <c r="M2715" s="19"/>
      <c r="N2715" s="20"/>
      <c r="O2715" s="19"/>
      <c r="P2715" s="19"/>
      <c r="Q2715" s="19"/>
      <c r="R2715" s="19"/>
      <c r="S2715" s="19"/>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row>
    <row r="2716" spans="1:45" x14ac:dyDescent="0.3">
      <c r="A2716" s="410" t="s">
        <v>4384</v>
      </c>
      <c r="B2716" s="17"/>
      <c r="C2716" s="19"/>
      <c r="D2716" s="18"/>
      <c r="E2716" s="18"/>
      <c r="F2716" s="19"/>
      <c r="G2716" s="31"/>
      <c r="H2716" s="31"/>
      <c r="I2716" s="19"/>
      <c r="J2716" s="19"/>
      <c r="K2716" s="18"/>
      <c r="L2716" s="19"/>
      <c r="M2716" s="19"/>
      <c r="N2716" s="20"/>
      <c r="O2716" s="19"/>
      <c r="P2716" s="19"/>
      <c r="Q2716" s="19"/>
      <c r="R2716" s="19"/>
      <c r="S2716" s="19"/>
      <c r="T2716" s="19"/>
      <c r="U2716" s="19"/>
      <c r="V2716" s="19"/>
      <c r="W2716" s="19"/>
      <c r="X2716" s="19"/>
      <c r="Y2716" s="19"/>
      <c r="Z2716" s="19"/>
      <c r="AA2716" s="19"/>
      <c r="AB2716" s="19"/>
      <c r="AC2716" s="19"/>
      <c r="AD2716" s="19"/>
      <c r="AE2716" s="19"/>
      <c r="AF2716" s="19"/>
      <c r="AG2716" s="19"/>
      <c r="AH2716" s="19"/>
      <c r="AI2716" s="19"/>
      <c r="AJ2716" s="19"/>
      <c r="AK2716" s="19"/>
      <c r="AL2716" s="19"/>
      <c r="AM2716" s="19"/>
      <c r="AN2716" s="19"/>
      <c r="AO2716" s="19"/>
      <c r="AP2716" s="19"/>
      <c r="AQ2716" s="19"/>
      <c r="AR2716" s="19"/>
      <c r="AS2716" s="19"/>
    </row>
    <row r="2717" spans="1:45" x14ac:dyDescent="0.3">
      <c r="A2717" s="410" t="s">
        <v>4385</v>
      </c>
      <c r="B2717" s="17"/>
      <c r="C2717" s="19"/>
      <c r="D2717" s="18"/>
      <c r="E2717" s="18"/>
      <c r="F2717" s="19"/>
      <c r="G2717" s="31"/>
      <c r="H2717" s="31"/>
      <c r="I2717" s="19"/>
      <c r="J2717" s="19"/>
      <c r="K2717" s="18"/>
      <c r="L2717" s="19"/>
      <c r="M2717" s="19"/>
      <c r="N2717" s="20"/>
      <c r="O2717" s="19"/>
      <c r="P2717" s="19"/>
      <c r="Q2717" s="19"/>
      <c r="R2717" s="19"/>
      <c r="S2717" s="19"/>
      <c r="T2717" s="19"/>
      <c r="U2717" s="19"/>
      <c r="V2717" s="19"/>
      <c r="W2717" s="19"/>
      <c r="X2717" s="19"/>
      <c r="Y2717" s="19"/>
      <c r="Z2717" s="19"/>
      <c r="AA2717" s="19"/>
      <c r="AB2717" s="19"/>
      <c r="AC2717" s="19"/>
      <c r="AD2717" s="19"/>
      <c r="AE2717" s="19"/>
      <c r="AF2717" s="19"/>
      <c r="AG2717" s="19"/>
      <c r="AH2717" s="19"/>
      <c r="AI2717" s="19"/>
      <c r="AJ2717" s="19"/>
      <c r="AK2717" s="19"/>
      <c r="AL2717" s="19"/>
      <c r="AM2717" s="19"/>
      <c r="AN2717" s="19"/>
      <c r="AO2717" s="19"/>
      <c r="AP2717" s="19"/>
      <c r="AQ2717" s="19"/>
      <c r="AR2717" s="19"/>
      <c r="AS2717" s="19"/>
    </row>
    <row r="2718" spans="1:45" x14ac:dyDescent="0.3">
      <c r="A2718" s="410" t="s">
        <v>4386</v>
      </c>
      <c r="B2718" s="17"/>
      <c r="C2718" s="19"/>
      <c r="D2718" s="18"/>
      <c r="E2718" s="18"/>
      <c r="F2718" s="19"/>
      <c r="G2718" s="31"/>
      <c r="H2718" s="31"/>
      <c r="I2718" s="19"/>
      <c r="J2718" s="19"/>
      <c r="K2718" s="18"/>
      <c r="L2718" s="19"/>
      <c r="M2718" s="19"/>
      <c r="N2718" s="20"/>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row>
    <row r="2719" spans="1:45" x14ac:dyDescent="0.3">
      <c r="A2719" s="410" t="s">
        <v>4387</v>
      </c>
      <c r="B2719" s="17"/>
      <c r="C2719" s="19"/>
      <c r="D2719" s="18"/>
      <c r="E2719" s="18"/>
      <c r="F2719" s="19"/>
      <c r="G2719" s="31"/>
      <c r="H2719" s="31"/>
      <c r="I2719" s="19"/>
      <c r="J2719" s="19"/>
      <c r="K2719" s="18"/>
      <c r="L2719" s="19"/>
      <c r="M2719" s="19"/>
      <c r="N2719" s="20"/>
      <c r="O2719" s="19"/>
      <c r="P2719" s="19"/>
      <c r="Q2719" s="19"/>
      <c r="R2719" s="19"/>
      <c r="S2719" s="19"/>
      <c r="T2719" s="19"/>
      <c r="U2719" s="19"/>
      <c r="V2719" s="19"/>
      <c r="W2719" s="19"/>
      <c r="X2719" s="19"/>
      <c r="Y2719" s="19"/>
      <c r="Z2719" s="19"/>
      <c r="AA2719" s="19"/>
      <c r="AB2719" s="19"/>
      <c r="AC2719" s="19"/>
      <c r="AD2719" s="19"/>
      <c r="AE2719" s="19"/>
      <c r="AF2719" s="19"/>
      <c r="AG2719" s="19"/>
      <c r="AH2719" s="19"/>
      <c r="AI2719" s="19"/>
      <c r="AJ2719" s="19"/>
      <c r="AK2719" s="19"/>
      <c r="AL2719" s="19"/>
      <c r="AM2719" s="19"/>
      <c r="AN2719" s="19"/>
      <c r="AO2719" s="19"/>
      <c r="AP2719" s="19"/>
      <c r="AQ2719" s="19"/>
      <c r="AR2719" s="19"/>
      <c r="AS2719" s="19"/>
    </row>
    <row r="2720" spans="1:45" x14ac:dyDescent="0.3">
      <c r="A2720" s="410" t="s">
        <v>4388</v>
      </c>
      <c r="B2720" s="17"/>
      <c r="C2720" s="19"/>
      <c r="D2720" s="18"/>
      <c r="E2720" s="18"/>
      <c r="F2720" s="19"/>
      <c r="G2720" s="31"/>
      <c r="H2720" s="31"/>
      <c r="I2720" s="19"/>
      <c r="J2720" s="19"/>
      <c r="K2720" s="18"/>
      <c r="L2720" s="19"/>
      <c r="M2720" s="19"/>
      <c r="N2720" s="20"/>
      <c r="O2720" s="19"/>
      <c r="P2720" s="19"/>
      <c r="Q2720" s="19"/>
      <c r="R2720" s="19"/>
      <c r="S2720" s="19"/>
      <c r="T2720" s="19"/>
      <c r="U2720" s="19"/>
      <c r="V2720" s="19"/>
      <c r="W2720" s="19"/>
      <c r="X2720" s="19"/>
      <c r="Y2720" s="19"/>
      <c r="Z2720" s="19"/>
      <c r="AA2720" s="19"/>
      <c r="AB2720" s="19"/>
      <c r="AC2720" s="19"/>
      <c r="AD2720" s="19"/>
      <c r="AE2720" s="19"/>
      <c r="AF2720" s="19"/>
      <c r="AG2720" s="19"/>
      <c r="AH2720" s="19"/>
      <c r="AI2720" s="19"/>
      <c r="AJ2720" s="19"/>
      <c r="AK2720" s="19"/>
      <c r="AL2720" s="19"/>
      <c r="AM2720" s="19"/>
      <c r="AN2720" s="19"/>
      <c r="AO2720" s="19"/>
      <c r="AP2720" s="19"/>
      <c r="AQ2720" s="19"/>
      <c r="AR2720" s="19"/>
      <c r="AS2720" s="19"/>
    </row>
    <row r="2721" spans="1:45" x14ac:dyDescent="0.3">
      <c r="A2721" s="410" t="s">
        <v>4389</v>
      </c>
      <c r="B2721" s="17"/>
      <c r="C2721" s="19"/>
      <c r="D2721" s="18"/>
      <c r="E2721" s="18"/>
      <c r="F2721" s="19"/>
      <c r="G2721" s="31"/>
      <c r="H2721" s="31"/>
      <c r="I2721" s="19"/>
      <c r="J2721" s="19"/>
      <c r="K2721" s="18"/>
      <c r="L2721" s="19"/>
      <c r="M2721" s="19"/>
      <c r="N2721" s="20"/>
      <c r="O2721" s="19"/>
      <c r="P2721" s="19"/>
      <c r="Q2721" s="19"/>
      <c r="R2721" s="19"/>
      <c r="S2721" s="19"/>
      <c r="T2721" s="19"/>
      <c r="U2721" s="19"/>
      <c r="V2721" s="19"/>
      <c r="W2721" s="19"/>
      <c r="X2721" s="19"/>
      <c r="Y2721" s="19"/>
      <c r="Z2721" s="19"/>
      <c r="AA2721" s="19"/>
      <c r="AB2721" s="19"/>
      <c r="AC2721" s="19"/>
      <c r="AD2721" s="19"/>
      <c r="AE2721" s="19"/>
      <c r="AF2721" s="19"/>
      <c r="AG2721" s="19"/>
      <c r="AH2721" s="19"/>
      <c r="AI2721" s="19"/>
      <c r="AJ2721" s="19"/>
      <c r="AK2721" s="19"/>
      <c r="AL2721" s="19"/>
      <c r="AM2721" s="19"/>
      <c r="AN2721" s="19"/>
      <c r="AO2721" s="19"/>
      <c r="AP2721" s="19"/>
      <c r="AQ2721" s="19"/>
      <c r="AR2721" s="19"/>
      <c r="AS2721" s="19"/>
    </row>
    <row r="2722" spans="1:45" x14ac:dyDescent="0.3">
      <c r="A2722" s="410" t="s">
        <v>4390</v>
      </c>
      <c r="B2722" s="17"/>
      <c r="C2722" s="19"/>
      <c r="D2722" s="18"/>
      <c r="E2722" s="18"/>
      <c r="F2722" s="19"/>
      <c r="G2722" s="31"/>
      <c r="H2722" s="31"/>
      <c r="I2722" s="19"/>
      <c r="J2722" s="19"/>
      <c r="K2722" s="18"/>
      <c r="L2722" s="19"/>
      <c r="M2722" s="19"/>
      <c r="N2722" s="20"/>
      <c r="O2722" s="19"/>
      <c r="P2722" s="19"/>
      <c r="Q2722" s="19"/>
      <c r="R2722" s="19"/>
      <c r="S2722" s="19"/>
      <c r="T2722" s="19"/>
      <c r="U2722" s="19"/>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row>
    <row r="2723" spans="1:45" x14ac:dyDescent="0.3">
      <c r="A2723" s="410" t="s">
        <v>4391</v>
      </c>
      <c r="B2723" s="17"/>
      <c r="C2723" s="19"/>
      <c r="D2723" s="18"/>
      <c r="E2723" s="18"/>
      <c r="F2723" s="19"/>
      <c r="G2723" s="31"/>
      <c r="H2723" s="31"/>
      <c r="I2723" s="19"/>
      <c r="J2723" s="19"/>
      <c r="K2723" s="18"/>
      <c r="L2723" s="19"/>
      <c r="M2723" s="19"/>
      <c r="N2723" s="20"/>
      <c r="O2723" s="19"/>
      <c r="P2723" s="19"/>
      <c r="Q2723" s="19"/>
      <c r="R2723" s="19"/>
      <c r="S2723" s="19"/>
      <c r="T2723" s="19"/>
      <c r="U2723" s="19"/>
      <c r="V2723" s="19"/>
      <c r="W2723" s="19"/>
      <c r="X2723" s="19"/>
      <c r="Y2723" s="19"/>
      <c r="Z2723" s="19"/>
      <c r="AA2723" s="19"/>
      <c r="AB2723" s="19"/>
      <c r="AC2723" s="19"/>
      <c r="AD2723" s="19"/>
      <c r="AE2723" s="19"/>
      <c r="AF2723" s="19"/>
      <c r="AG2723" s="19"/>
      <c r="AH2723" s="19"/>
      <c r="AI2723" s="19"/>
      <c r="AJ2723" s="19"/>
      <c r="AK2723" s="19"/>
      <c r="AL2723" s="19"/>
      <c r="AM2723" s="19"/>
      <c r="AN2723" s="19"/>
      <c r="AO2723" s="19"/>
      <c r="AP2723" s="19"/>
      <c r="AQ2723" s="19"/>
      <c r="AR2723" s="19"/>
      <c r="AS2723" s="19"/>
    </row>
    <row r="2724" spans="1:45" x14ac:dyDescent="0.3">
      <c r="A2724" s="410" t="s">
        <v>4392</v>
      </c>
      <c r="B2724" s="17"/>
      <c r="C2724" s="19"/>
      <c r="D2724" s="18"/>
      <c r="E2724" s="18"/>
      <c r="F2724" s="19"/>
      <c r="G2724" s="31"/>
      <c r="H2724" s="31"/>
      <c r="I2724" s="19"/>
      <c r="J2724" s="19"/>
      <c r="K2724" s="18"/>
      <c r="L2724" s="19"/>
      <c r="M2724" s="19"/>
      <c r="N2724" s="20"/>
      <c r="O2724" s="19"/>
      <c r="P2724" s="19"/>
      <c r="Q2724" s="19"/>
      <c r="R2724" s="19"/>
      <c r="S2724" s="19"/>
      <c r="T2724" s="19"/>
      <c r="U2724" s="19"/>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row>
    <row r="2725" spans="1:45" x14ac:dyDescent="0.3">
      <c r="A2725" s="410" t="s">
        <v>4393</v>
      </c>
      <c r="B2725" s="17"/>
      <c r="C2725" s="19"/>
      <c r="D2725" s="18"/>
      <c r="E2725" s="18"/>
      <c r="F2725" s="19"/>
      <c r="G2725" s="31"/>
      <c r="H2725" s="31"/>
      <c r="I2725" s="19"/>
      <c r="J2725" s="19"/>
      <c r="K2725" s="18"/>
      <c r="L2725" s="19"/>
      <c r="M2725" s="19"/>
      <c r="N2725" s="20"/>
      <c r="O2725" s="19"/>
      <c r="P2725" s="19"/>
      <c r="Q2725" s="19"/>
      <c r="R2725" s="19"/>
      <c r="S2725" s="19"/>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row>
    <row r="2726" spans="1:45" x14ac:dyDescent="0.3">
      <c r="A2726" s="410" t="s">
        <v>4394</v>
      </c>
      <c r="B2726" s="17"/>
      <c r="C2726" s="19"/>
      <c r="D2726" s="18"/>
      <c r="E2726" s="18"/>
      <c r="F2726" s="19"/>
      <c r="G2726" s="31"/>
      <c r="H2726" s="31"/>
      <c r="I2726" s="19"/>
      <c r="J2726" s="19"/>
      <c r="K2726" s="18"/>
      <c r="L2726" s="19"/>
      <c r="M2726" s="19"/>
      <c r="N2726" s="20"/>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row>
    <row r="2727" spans="1:45" x14ac:dyDescent="0.3">
      <c r="A2727" s="410" t="s">
        <v>4395</v>
      </c>
      <c r="B2727" s="17"/>
      <c r="C2727" s="19"/>
      <c r="D2727" s="18"/>
      <c r="E2727" s="18"/>
      <c r="F2727" s="19"/>
      <c r="G2727" s="31"/>
      <c r="H2727" s="31"/>
      <c r="I2727" s="19"/>
      <c r="J2727" s="19"/>
      <c r="K2727" s="18"/>
      <c r="L2727" s="19"/>
      <c r="M2727" s="19"/>
      <c r="N2727" s="20"/>
      <c r="O2727" s="19"/>
      <c r="P2727" s="19"/>
      <c r="Q2727" s="19"/>
      <c r="R2727" s="19"/>
      <c r="S2727" s="19"/>
      <c r="T2727" s="19"/>
      <c r="U2727" s="19"/>
      <c r="V2727" s="19"/>
      <c r="W2727" s="19"/>
      <c r="X2727" s="19"/>
      <c r="Y2727" s="19"/>
      <c r="Z2727" s="19"/>
      <c r="AA2727" s="19"/>
      <c r="AB2727" s="19"/>
      <c r="AC2727" s="19"/>
      <c r="AD2727" s="19"/>
      <c r="AE2727" s="19"/>
      <c r="AF2727" s="19"/>
      <c r="AG2727" s="19"/>
      <c r="AH2727" s="19"/>
      <c r="AI2727" s="19"/>
      <c r="AJ2727" s="19"/>
      <c r="AK2727" s="19"/>
      <c r="AL2727" s="19"/>
      <c r="AM2727" s="19"/>
      <c r="AN2727" s="19"/>
      <c r="AO2727" s="19"/>
      <c r="AP2727" s="19"/>
      <c r="AQ2727" s="19"/>
      <c r="AR2727" s="19"/>
      <c r="AS2727" s="19"/>
    </row>
    <row r="2728" spans="1:45" x14ac:dyDescent="0.3">
      <c r="A2728" s="410" t="s">
        <v>4396</v>
      </c>
      <c r="B2728" s="17"/>
      <c r="C2728" s="19"/>
      <c r="D2728" s="18"/>
      <c r="E2728" s="18"/>
      <c r="F2728" s="19"/>
      <c r="G2728" s="31"/>
      <c r="H2728" s="31"/>
      <c r="I2728" s="19"/>
      <c r="J2728" s="19"/>
      <c r="K2728" s="18"/>
      <c r="L2728" s="19"/>
      <c r="M2728" s="19"/>
      <c r="N2728" s="20"/>
      <c r="O2728" s="19"/>
      <c r="P2728" s="19"/>
      <c r="Q2728" s="19"/>
      <c r="R2728" s="19"/>
      <c r="S2728" s="19"/>
      <c r="T2728" s="19"/>
      <c r="U2728" s="19"/>
      <c r="V2728" s="19"/>
      <c r="W2728" s="19"/>
      <c r="X2728" s="19"/>
      <c r="Y2728" s="19"/>
      <c r="Z2728" s="19"/>
      <c r="AA2728" s="19"/>
      <c r="AB2728" s="19"/>
      <c r="AC2728" s="19"/>
      <c r="AD2728" s="19"/>
      <c r="AE2728" s="19"/>
      <c r="AF2728" s="19"/>
      <c r="AG2728" s="19"/>
      <c r="AH2728" s="19"/>
      <c r="AI2728" s="19"/>
      <c r="AJ2728" s="19"/>
      <c r="AK2728" s="19"/>
      <c r="AL2728" s="19"/>
      <c r="AM2728" s="19"/>
      <c r="AN2728" s="19"/>
      <c r="AO2728" s="19"/>
      <c r="AP2728" s="19"/>
      <c r="AQ2728" s="19"/>
      <c r="AR2728" s="19"/>
      <c r="AS2728" s="19"/>
    </row>
    <row r="2729" spans="1:45" x14ac:dyDescent="0.3">
      <c r="A2729" s="410" t="s">
        <v>4397</v>
      </c>
      <c r="B2729" s="17"/>
      <c r="C2729" s="19"/>
      <c r="D2729" s="18"/>
      <c r="E2729" s="18"/>
      <c r="F2729" s="19"/>
      <c r="G2729" s="31"/>
      <c r="H2729" s="31"/>
      <c r="I2729" s="19"/>
      <c r="J2729" s="19"/>
      <c r="K2729" s="18"/>
      <c r="L2729" s="19"/>
      <c r="M2729" s="19"/>
      <c r="N2729" s="20"/>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row>
    <row r="2730" spans="1:45" x14ac:dyDescent="0.3">
      <c r="A2730" s="410" t="s">
        <v>4398</v>
      </c>
      <c r="B2730" s="17"/>
      <c r="C2730" s="19"/>
      <c r="D2730" s="18"/>
      <c r="E2730" s="18"/>
      <c r="F2730" s="19"/>
      <c r="G2730" s="31"/>
      <c r="H2730" s="31"/>
      <c r="I2730" s="19"/>
      <c r="J2730" s="19"/>
      <c r="K2730" s="18"/>
      <c r="L2730" s="19"/>
      <c r="M2730" s="19"/>
      <c r="N2730" s="20"/>
      <c r="O2730" s="19"/>
      <c r="P2730" s="19"/>
      <c r="Q2730" s="19"/>
      <c r="R2730" s="19"/>
      <c r="S2730" s="19"/>
      <c r="T2730" s="19"/>
      <c r="U2730" s="19"/>
      <c r="V2730" s="19"/>
      <c r="W2730" s="19"/>
      <c r="X2730" s="19"/>
      <c r="Y2730" s="19"/>
      <c r="Z2730" s="19"/>
      <c r="AA2730" s="19"/>
      <c r="AB2730" s="19"/>
      <c r="AC2730" s="19"/>
      <c r="AD2730" s="19"/>
      <c r="AE2730" s="19"/>
      <c r="AF2730" s="19"/>
      <c r="AG2730" s="19"/>
      <c r="AH2730" s="19"/>
      <c r="AI2730" s="19"/>
      <c r="AJ2730" s="19"/>
      <c r="AK2730" s="19"/>
      <c r="AL2730" s="19"/>
      <c r="AM2730" s="19"/>
      <c r="AN2730" s="19"/>
      <c r="AO2730" s="19"/>
      <c r="AP2730" s="19"/>
      <c r="AQ2730" s="19"/>
      <c r="AR2730" s="19"/>
      <c r="AS2730" s="19"/>
    </row>
    <row r="2731" spans="1:45" x14ac:dyDescent="0.3">
      <c r="A2731" s="410" t="s">
        <v>4399</v>
      </c>
      <c r="B2731" s="17"/>
      <c r="C2731" s="19"/>
      <c r="D2731" s="18"/>
      <c r="E2731" s="18"/>
      <c r="F2731" s="19"/>
      <c r="G2731" s="31"/>
      <c r="H2731" s="31"/>
      <c r="I2731" s="19"/>
      <c r="J2731" s="19"/>
      <c r="K2731" s="18"/>
      <c r="L2731" s="19"/>
      <c r="M2731" s="19"/>
      <c r="N2731" s="20"/>
      <c r="O2731" s="19"/>
      <c r="P2731" s="19"/>
      <c r="Q2731" s="19"/>
      <c r="R2731" s="19"/>
      <c r="S2731" s="19"/>
      <c r="T2731" s="19"/>
      <c r="U2731" s="19"/>
      <c r="V2731" s="19"/>
      <c r="W2731" s="19"/>
      <c r="X2731" s="19"/>
      <c r="Y2731" s="19"/>
      <c r="Z2731" s="19"/>
      <c r="AA2731" s="19"/>
      <c r="AB2731" s="19"/>
      <c r="AC2731" s="19"/>
      <c r="AD2731" s="19"/>
      <c r="AE2731" s="19"/>
      <c r="AF2731" s="19"/>
      <c r="AG2731" s="19"/>
      <c r="AH2731" s="19"/>
      <c r="AI2731" s="19"/>
      <c r="AJ2731" s="19"/>
      <c r="AK2731" s="19"/>
      <c r="AL2731" s="19"/>
      <c r="AM2731" s="19"/>
      <c r="AN2731" s="19"/>
      <c r="AO2731" s="19"/>
      <c r="AP2731" s="19"/>
      <c r="AQ2731" s="19"/>
      <c r="AR2731" s="19"/>
      <c r="AS2731" s="19"/>
    </row>
    <row r="2732" spans="1:45" x14ac:dyDescent="0.3">
      <c r="A2732" s="410" t="s">
        <v>4400</v>
      </c>
      <c r="B2732" s="17"/>
      <c r="C2732" s="19"/>
      <c r="D2732" s="18"/>
      <c r="E2732" s="18"/>
      <c r="F2732" s="19"/>
      <c r="G2732" s="31"/>
      <c r="H2732" s="31"/>
      <c r="I2732" s="19"/>
      <c r="J2732" s="19"/>
      <c r="K2732" s="18"/>
      <c r="L2732" s="19"/>
      <c r="M2732" s="19"/>
      <c r="N2732" s="20"/>
      <c r="O2732" s="19"/>
      <c r="P2732" s="19"/>
      <c r="Q2732" s="19"/>
      <c r="R2732" s="19"/>
      <c r="S2732" s="19"/>
      <c r="T2732" s="19"/>
      <c r="U2732" s="19"/>
      <c r="V2732" s="19"/>
      <c r="W2732" s="19"/>
      <c r="X2732" s="19"/>
      <c r="Y2732" s="19"/>
      <c r="Z2732" s="19"/>
      <c r="AA2732" s="19"/>
      <c r="AB2732" s="19"/>
      <c r="AC2732" s="19"/>
      <c r="AD2732" s="19"/>
      <c r="AE2732" s="19"/>
      <c r="AF2732" s="19"/>
      <c r="AG2732" s="19"/>
      <c r="AH2732" s="19"/>
      <c r="AI2732" s="19"/>
      <c r="AJ2732" s="19"/>
      <c r="AK2732" s="19"/>
      <c r="AL2732" s="19"/>
      <c r="AM2732" s="19"/>
      <c r="AN2732" s="19"/>
      <c r="AO2732" s="19"/>
      <c r="AP2732" s="19"/>
      <c r="AQ2732" s="19"/>
      <c r="AR2732" s="19"/>
      <c r="AS2732" s="19"/>
    </row>
    <row r="2733" spans="1:45" x14ac:dyDescent="0.3">
      <c r="A2733" s="410" t="s">
        <v>4401</v>
      </c>
      <c r="B2733" s="17"/>
      <c r="C2733" s="19"/>
      <c r="D2733" s="18"/>
      <c r="E2733" s="18"/>
      <c r="F2733" s="19"/>
      <c r="G2733" s="31"/>
      <c r="H2733" s="31"/>
      <c r="I2733" s="19"/>
      <c r="J2733" s="19"/>
      <c r="K2733" s="18"/>
      <c r="L2733" s="19"/>
      <c r="M2733" s="19"/>
      <c r="N2733" s="20"/>
      <c r="O2733" s="19"/>
      <c r="P2733" s="19"/>
      <c r="Q2733" s="19"/>
      <c r="R2733" s="19"/>
      <c r="S2733" s="19"/>
      <c r="T2733" s="19"/>
      <c r="U2733" s="19"/>
      <c r="V2733" s="19"/>
      <c r="W2733" s="19"/>
      <c r="X2733" s="19"/>
      <c r="Y2733" s="19"/>
      <c r="Z2733" s="19"/>
      <c r="AA2733" s="19"/>
      <c r="AB2733" s="19"/>
      <c r="AC2733" s="19"/>
      <c r="AD2733" s="19"/>
      <c r="AE2733" s="19"/>
      <c r="AF2733" s="19"/>
      <c r="AG2733" s="19"/>
      <c r="AH2733" s="19"/>
      <c r="AI2733" s="19"/>
      <c r="AJ2733" s="19"/>
      <c r="AK2733" s="19"/>
      <c r="AL2733" s="19"/>
      <c r="AM2733" s="19"/>
      <c r="AN2733" s="19"/>
      <c r="AO2733" s="19"/>
      <c r="AP2733" s="19"/>
      <c r="AQ2733" s="19"/>
      <c r="AR2733" s="19"/>
      <c r="AS2733" s="19"/>
    </row>
    <row r="2734" spans="1:45" x14ac:dyDescent="0.3">
      <c r="A2734" s="410" t="s">
        <v>4402</v>
      </c>
      <c r="B2734" s="17"/>
      <c r="C2734" s="19"/>
      <c r="D2734" s="18"/>
      <c r="E2734" s="18"/>
      <c r="F2734" s="19"/>
      <c r="G2734" s="31"/>
      <c r="H2734" s="31"/>
      <c r="I2734" s="19"/>
      <c r="J2734" s="19"/>
      <c r="K2734" s="18"/>
      <c r="L2734" s="19"/>
      <c r="M2734" s="19"/>
      <c r="N2734" s="20"/>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row>
    <row r="2735" spans="1:45" x14ac:dyDescent="0.3">
      <c r="A2735" s="410" t="s">
        <v>4403</v>
      </c>
      <c r="B2735" s="17"/>
      <c r="C2735" s="19"/>
      <c r="D2735" s="18"/>
      <c r="E2735" s="18"/>
      <c r="F2735" s="19"/>
      <c r="G2735" s="31"/>
      <c r="H2735" s="31"/>
      <c r="I2735" s="19"/>
      <c r="J2735" s="19"/>
      <c r="K2735" s="18"/>
      <c r="L2735" s="19"/>
      <c r="M2735" s="19"/>
      <c r="N2735" s="20"/>
      <c r="O2735" s="19"/>
      <c r="P2735" s="19"/>
      <c r="Q2735" s="19"/>
      <c r="R2735" s="19"/>
      <c r="S2735" s="19"/>
      <c r="T2735" s="19"/>
      <c r="U2735" s="19"/>
      <c r="V2735" s="19"/>
      <c r="W2735" s="19"/>
      <c r="X2735" s="19"/>
      <c r="Y2735" s="19"/>
      <c r="Z2735" s="19"/>
      <c r="AA2735" s="19"/>
      <c r="AB2735" s="19"/>
      <c r="AC2735" s="19"/>
      <c r="AD2735" s="19"/>
      <c r="AE2735" s="19"/>
      <c r="AF2735" s="19"/>
      <c r="AG2735" s="19"/>
      <c r="AH2735" s="19"/>
      <c r="AI2735" s="19"/>
      <c r="AJ2735" s="19"/>
      <c r="AK2735" s="19"/>
      <c r="AL2735" s="19"/>
      <c r="AM2735" s="19"/>
      <c r="AN2735" s="19"/>
      <c r="AO2735" s="19"/>
      <c r="AP2735" s="19"/>
      <c r="AQ2735" s="19"/>
      <c r="AR2735" s="19"/>
      <c r="AS2735" s="19"/>
    </row>
    <row r="2736" spans="1:45" x14ac:dyDescent="0.3">
      <c r="A2736" s="410" t="s">
        <v>4404</v>
      </c>
      <c r="B2736" s="17"/>
      <c r="C2736" s="19"/>
      <c r="D2736" s="18"/>
      <c r="E2736" s="18"/>
      <c r="F2736" s="19"/>
      <c r="G2736" s="31"/>
      <c r="H2736" s="31"/>
      <c r="I2736" s="19"/>
      <c r="J2736" s="19"/>
      <c r="K2736" s="18"/>
      <c r="L2736" s="19"/>
      <c r="M2736" s="19"/>
      <c r="N2736" s="20"/>
      <c r="O2736" s="19"/>
      <c r="P2736" s="19"/>
      <c r="Q2736" s="19"/>
      <c r="R2736" s="19"/>
      <c r="S2736" s="19"/>
      <c r="T2736" s="19"/>
      <c r="U2736" s="19"/>
      <c r="V2736" s="19"/>
      <c r="W2736" s="19"/>
      <c r="X2736" s="19"/>
      <c r="Y2736" s="19"/>
      <c r="Z2736" s="19"/>
      <c r="AA2736" s="19"/>
      <c r="AB2736" s="19"/>
      <c r="AC2736" s="19"/>
      <c r="AD2736" s="19"/>
      <c r="AE2736" s="19"/>
      <c r="AF2736" s="19"/>
      <c r="AG2736" s="19"/>
      <c r="AH2736" s="19"/>
      <c r="AI2736" s="19"/>
      <c r="AJ2736" s="19"/>
      <c r="AK2736" s="19"/>
      <c r="AL2736" s="19"/>
      <c r="AM2736" s="19"/>
      <c r="AN2736" s="19"/>
      <c r="AO2736" s="19"/>
      <c r="AP2736" s="19"/>
      <c r="AQ2736" s="19"/>
      <c r="AR2736" s="19"/>
      <c r="AS2736" s="19"/>
    </row>
    <row r="2737" spans="1:45" x14ac:dyDescent="0.3">
      <c r="A2737" s="410" t="s">
        <v>4405</v>
      </c>
      <c r="B2737" s="17"/>
      <c r="C2737" s="19"/>
      <c r="D2737" s="18"/>
      <c r="E2737" s="18"/>
      <c r="F2737" s="19"/>
      <c r="G2737" s="31"/>
      <c r="H2737" s="31"/>
      <c r="I2737" s="19"/>
      <c r="J2737" s="19"/>
      <c r="K2737" s="18"/>
      <c r="L2737" s="19"/>
      <c r="M2737" s="19"/>
      <c r="N2737" s="20"/>
      <c r="O2737" s="19"/>
      <c r="P2737" s="19"/>
      <c r="Q2737" s="19"/>
      <c r="R2737" s="19"/>
      <c r="S2737" s="19"/>
      <c r="T2737" s="19"/>
      <c r="U2737" s="19"/>
      <c r="V2737" s="19"/>
      <c r="W2737" s="19"/>
      <c r="X2737" s="19"/>
      <c r="Y2737" s="19"/>
      <c r="Z2737" s="19"/>
      <c r="AA2737" s="19"/>
      <c r="AB2737" s="19"/>
      <c r="AC2737" s="19"/>
      <c r="AD2737" s="19"/>
      <c r="AE2737" s="19"/>
      <c r="AF2737" s="19"/>
      <c r="AG2737" s="19"/>
      <c r="AH2737" s="19"/>
      <c r="AI2737" s="19"/>
      <c r="AJ2737" s="19"/>
      <c r="AK2737" s="19"/>
      <c r="AL2737" s="19"/>
      <c r="AM2737" s="19"/>
      <c r="AN2737" s="19"/>
      <c r="AO2737" s="19"/>
      <c r="AP2737" s="19"/>
      <c r="AQ2737" s="19"/>
      <c r="AR2737" s="19"/>
      <c r="AS2737" s="19"/>
    </row>
    <row r="2738" spans="1:45" x14ac:dyDescent="0.3">
      <c r="A2738" s="410" t="s">
        <v>4406</v>
      </c>
      <c r="B2738" s="17"/>
      <c r="C2738" s="19"/>
      <c r="D2738" s="18"/>
      <c r="E2738" s="18"/>
      <c r="F2738" s="19"/>
      <c r="G2738" s="31"/>
      <c r="H2738" s="31"/>
      <c r="I2738" s="19"/>
      <c r="J2738" s="19"/>
      <c r="K2738" s="18"/>
      <c r="L2738" s="19"/>
      <c r="M2738" s="19"/>
      <c r="N2738" s="20"/>
      <c r="O2738" s="19"/>
      <c r="P2738" s="19"/>
      <c r="Q2738" s="19"/>
      <c r="R2738" s="19"/>
      <c r="S2738" s="19"/>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row>
    <row r="2739" spans="1:45" x14ac:dyDescent="0.3">
      <c r="A2739" s="410" t="s">
        <v>4407</v>
      </c>
      <c r="B2739" s="17"/>
      <c r="C2739" s="19"/>
      <c r="D2739" s="18"/>
      <c r="E2739" s="18"/>
      <c r="F2739" s="19"/>
      <c r="G2739" s="31"/>
      <c r="H2739" s="31"/>
      <c r="I2739" s="19"/>
      <c r="J2739" s="19"/>
      <c r="K2739" s="18"/>
      <c r="L2739" s="19"/>
      <c r="M2739" s="19"/>
      <c r="N2739" s="20"/>
      <c r="O2739" s="19"/>
      <c r="P2739" s="19"/>
      <c r="Q2739" s="19"/>
      <c r="R2739" s="19"/>
      <c r="S2739" s="19"/>
      <c r="T2739" s="19"/>
      <c r="U2739" s="19"/>
      <c r="V2739" s="19"/>
      <c r="W2739" s="19"/>
      <c r="X2739" s="19"/>
      <c r="Y2739" s="19"/>
      <c r="Z2739" s="19"/>
      <c r="AA2739" s="19"/>
      <c r="AB2739" s="19"/>
      <c r="AC2739" s="19"/>
      <c r="AD2739" s="19"/>
      <c r="AE2739" s="19"/>
      <c r="AF2739" s="19"/>
      <c r="AG2739" s="19"/>
      <c r="AH2739" s="19"/>
      <c r="AI2739" s="19"/>
      <c r="AJ2739" s="19"/>
      <c r="AK2739" s="19"/>
      <c r="AL2739" s="19"/>
      <c r="AM2739" s="19"/>
      <c r="AN2739" s="19"/>
      <c r="AO2739" s="19"/>
      <c r="AP2739" s="19"/>
      <c r="AQ2739" s="19"/>
      <c r="AR2739" s="19"/>
      <c r="AS2739" s="19"/>
    </row>
    <row r="2740" spans="1:45" x14ac:dyDescent="0.3">
      <c r="A2740" s="410" t="s">
        <v>4408</v>
      </c>
      <c r="B2740" s="17"/>
      <c r="C2740" s="19"/>
      <c r="D2740" s="18"/>
      <c r="E2740" s="18"/>
      <c r="F2740" s="19"/>
      <c r="G2740" s="31"/>
      <c r="H2740" s="31"/>
      <c r="I2740" s="19"/>
      <c r="J2740" s="19"/>
      <c r="K2740" s="18"/>
      <c r="L2740" s="19"/>
      <c r="M2740" s="19"/>
      <c r="N2740" s="20"/>
      <c r="O2740" s="19"/>
      <c r="P2740" s="19"/>
      <c r="Q2740" s="19"/>
      <c r="R2740" s="19"/>
      <c r="S2740" s="19"/>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row>
    <row r="2741" spans="1:45" x14ac:dyDescent="0.3">
      <c r="A2741" s="410" t="s">
        <v>4409</v>
      </c>
      <c r="B2741" s="17"/>
      <c r="C2741" s="19"/>
      <c r="D2741" s="18"/>
      <c r="E2741" s="18"/>
      <c r="F2741" s="19"/>
      <c r="G2741" s="31"/>
      <c r="H2741" s="31"/>
      <c r="I2741" s="19"/>
      <c r="J2741" s="19"/>
      <c r="K2741" s="18"/>
      <c r="L2741" s="19"/>
      <c r="M2741" s="19"/>
      <c r="N2741" s="20"/>
      <c r="O2741" s="19"/>
      <c r="P2741" s="19"/>
      <c r="Q2741" s="19"/>
      <c r="R2741" s="19"/>
      <c r="S2741" s="19"/>
      <c r="T2741" s="19"/>
      <c r="U2741" s="19"/>
      <c r="V2741" s="19"/>
      <c r="W2741" s="19"/>
      <c r="X2741" s="19"/>
      <c r="Y2741" s="19"/>
      <c r="Z2741" s="19"/>
      <c r="AA2741" s="19"/>
      <c r="AB2741" s="19"/>
      <c r="AC2741" s="19"/>
      <c r="AD2741" s="19"/>
      <c r="AE2741" s="19"/>
      <c r="AF2741" s="19"/>
      <c r="AG2741" s="19"/>
      <c r="AH2741" s="19"/>
      <c r="AI2741" s="19"/>
      <c r="AJ2741" s="19"/>
      <c r="AK2741" s="19"/>
      <c r="AL2741" s="19"/>
      <c r="AM2741" s="19"/>
      <c r="AN2741" s="19"/>
      <c r="AO2741" s="19"/>
      <c r="AP2741" s="19"/>
      <c r="AQ2741" s="19"/>
      <c r="AR2741" s="19"/>
      <c r="AS2741" s="19"/>
    </row>
    <row r="2742" spans="1:45" x14ac:dyDescent="0.3">
      <c r="A2742" s="410" t="s">
        <v>4410</v>
      </c>
      <c r="B2742" s="17"/>
      <c r="C2742" s="19"/>
      <c r="D2742" s="18"/>
      <c r="E2742" s="18"/>
      <c r="F2742" s="19"/>
      <c r="G2742" s="31"/>
      <c r="H2742" s="31"/>
      <c r="I2742" s="19"/>
      <c r="J2742" s="19"/>
      <c r="K2742" s="18"/>
      <c r="L2742" s="19"/>
      <c r="M2742" s="19"/>
      <c r="N2742" s="20"/>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row>
    <row r="2743" spans="1:45" x14ac:dyDescent="0.3">
      <c r="A2743" s="410" t="s">
        <v>4411</v>
      </c>
      <c r="B2743" s="17"/>
      <c r="C2743" s="19"/>
      <c r="D2743" s="18"/>
      <c r="E2743" s="18"/>
      <c r="F2743" s="19"/>
      <c r="G2743" s="31"/>
      <c r="H2743" s="31"/>
      <c r="I2743" s="19"/>
      <c r="J2743" s="19"/>
      <c r="K2743" s="18"/>
      <c r="L2743" s="19"/>
      <c r="M2743" s="19"/>
      <c r="N2743" s="20"/>
      <c r="O2743" s="19"/>
      <c r="P2743" s="19"/>
      <c r="Q2743" s="19"/>
      <c r="R2743" s="19"/>
      <c r="S2743" s="19"/>
      <c r="T2743" s="19"/>
      <c r="U2743" s="19"/>
      <c r="V2743" s="19"/>
      <c r="W2743" s="19"/>
      <c r="X2743" s="19"/>
      <c r="Y2743" s="19"/>
      <c r="Z2743" s="19"/>
      <c r="AA2743" s="19"/>
      <c r="AB2743" s="19"/>
      <c r="AC2743" s="19"/>
      <c r="AD2743" s="19"/>
      <c r="AE2743" s="19"/>
      <c r="AF2743" s="19"/>
      <c r="AG2743" s="19"/>
      <c r="AH2743" s="19"/>
      <c r="AI2743" s="19"/>
      <c r="AJ2743" s="19"/>
      <c r="AK2743" s="19"/>
      <c r="AL2743" s="19"/>
      <c r="AM2743" s="19"/>
      <c r="AN2743" s="19"/>
      <c r="AO2743" s="19"/>
      <c r="AP2743" s="19"/>
      <c r="AQ2743" s="19"/>
      <c r="AR2743" s="19"/>
      <c r="AS2743" s="19"/>
    </row>
    <row r="2744" spans="1:45" x14ac:dyDescent="0.3">
      <c r="A2744" s="410" t="s">
        <v>4412</v>
      </c>
      <c r="B2744" s="17"/>
      <c r="C2744" s="19"/>
      <c r="D2744" s="18"/>
      <c r="E2744" s="18"/>
      <c r="F2744" s="19"/>
      <c r="G2744" s="31"/>
      <c r="H2744" s="31"/>
      <c r="I2744" s="19"/>
      <c r="J2744" s="19"/>
      <c r="K2744" s="18"/>
      <c r="L2744" s="19"/>
      <c r="M2744" s="19"/>
      <c r="N2744" s="20"/>
      <c r="O2744" s="19"/>
      <c r="P2744" s="19"/>
      <c r="Q2744" s="19"/>
      <c r="R2744" s="19"/>
      <c r="S2744" s="19"/>
      <c r="T2744" s="19"/>
      <c r="U2744" s="19"/>
      <c r="V2744" s="19"/>
      <c r="W2744" s="19"/>
      <c r="X2744" s="19"/>
      <c r="Y2744" s="19"/>
      <c r="Z2744" s="19"/>
      <c r="AA2744" s="19"/>
      <c r="AB2744" s="19"/>
      <c r="AC2744" s="19"/>
      <c r="AD2744" s="19"/>
      <c r="AE2744" s="19"/>
      <c r="AF2744" s="19"/>
      <c r="AG2744" s="19"/>
      <c r="AH2744" s="19"/>
      <c r="AI2744" s="19"/>
      <c r="AJ2744" s="19"/>
      <c r="AK2744" s="19"/>
      <c r="AL2744" s="19"/>
      <c r="AM2744" s="19"/>
      <c r="AN2744" s="19"/>
      <c r="AO2744" s="19"/>
      <c r="AP2744" s="19"/>
      <c r="AQ2744" s="19"/>
      <c r="AR2744" s="19"/>
      <c r="AS2744" s="19"/>
    </row>
    <row r="2745" spans="1:45" x14ac:dyDescent="0.3">
      <c r="A2745" s="410" t="s">
        <v>4413</v>
      </c>
      <c r="B2745" s="17"/>
      <c r="C2745" s="19"/>
      <c r="D2745" s="18"/>
      <c r="E2745" s="18"/>
      <c r="F2745" s="19"/>
      <c r="G2745" s="31"/>
      <c r="H2745" s="31"/>
      <c r="I2745" s="19"/>
      <c r="J2745" s="19"/>
      <c r="K2745" s="18"/>
      <c r="L2745" s="19"/>
      <c r="M2745" s="19"/>
      <c r="N2745" s="20"/>
      <c r="O2745" s="19"/>
      <c r="P2745" s="19"/>
      <c r="Q2745" s="19"/>
      <c r="R2745" s="19"/>
      <c r="S2745" s="19"/>
      <c r="T2745" s="19"/>
      <c r="U2745" s="19"/>
      <c r="V2745" s="19"/>
      <c r="W2745" s="19"/>
      <c r="X2745" s="19"/>
      <c r="Y2745" s="19"/>
      <c r="Z2745" s="19"/>
      <c r="AA2745" s="19"/>
      <c r="AB2745" s="19"/>
      <c r="AC2745" s="19"/>
      <c r="AD2745" s="19"/>
      <c r="AE2745" s="19"/>
      <c r="AF2745" s="19"/>
      <c r="AG2745" s="19"/>
      <c r="AH2745" s="19"/>
      <c r="AI2745" s="19"/>
      <c r="AJ2745" s="19"/>
      <c r="AK2745" s="19"/>
      <c r="AL2745" s="19"/>
      <c r="AM2745" s="19"/>
      <c r="AN2745" s="19"/>
      <c r="AO2745" s="19"/>
      <c r="AP2745" s="19"/>
      <c r="AQ2745" s="19"/>
      <c r="AR2745" s="19"/>
      <c r="AS2745" s="19"/>
    </row>
    <row r="2746" spans="1:45" x14ac:dyDescent="0.3">
      <c r="A2746" s="410" t="s">
        <v>4414</v>
      </c>
      <c r="B2746" s="17"/>
      <c r="C2746" s="19"/>
      <c r="D2746" s="18"/>
      <c r="E2746" s="18"/>
      <c r="F2746" s="19"/>
      <c r="G2746" s="31"/>
      <c r="H2746" s="31"/>
      <c r="I2746" s="19"/>
      <c r="J2746" s="19"/>
      <c r="K2746" s="18"/>
      <c r="L2746" s="19"/>
      <c r="M2746" s="19"/>
      <c r="N2746" s="20"/>
      <c r="O2746" s="19"/>
      <c r="P2746" s="19"/>
      <c r="Q2746" s="19"/>
      <c r="R2746" s="19"/>
      <c r="S2746" s="19"/>
      <c r="T2746" s="19"/>
      <c r="U2746" s="19"/>
      <c r="V2746" s="19"/>
      <c r="W2746" s="19"/>
      <c r="X2746" s="19"/>
      <c r="Y2746" s="19"/>
      <c r="Z2746" s="19"/>
      <c r="AA2746" s="19"/>
      <c r="AB2746" s="19"/>
      <c r="AC2746" s="19"/>
      <c r="AD2746" s="19"/>
      <c r="AE2746" s="19"/>
      <c r="AF2746" s="19"/>
      <c r="AG2746" s="19"/>
      <c r="AH2746" s="19"/>
      <c r="AI2746" s="19"/>
      <c r="AJ2746" s="19"/>
      <c r="AK2746" s="19"/>
      <c r="AL2746" s="19"/>
      <c r="AM2746" s="19"/>
      <c r="AN2746" s="19"/>
      <c r="AO2746" s="19"/>
      <c r="AP2746" s="19"/>
      <c r="AQ2746" s="19"/>
      <c r="AR2746" s="19"/>
      <c r="AS2746" s="19"/>
    </row>
    <row r="2747" spans="1:45" x14ac:dyDescent="0.3">
      <c r="A2747" s="410" t="s">
        <v>4415</v>
      </c>
      <c r="B2747" s="17"/>
      <c r="C2747" s="19"/>
      <c r="D2747" s="18"/>
      <c r="E2747" s="18"/>
      <c r="F2747" s="19"/>
      <c r="G2747" s="31"/>
      <c r="H2747" s="31"/>
      <c r="I2747" s="19"/>
      <c r="J2747" s="19"/>
      <c r="K2747" s="18"/>
      <c r="L2747" s="19"/>
      <c r="M2747" s="19"/>
      <c r="N2747" s="20"/>
      <c r="O2747" s="19"/>
      <c r="P2747" s="19"/>
      <c r="Q2747" s="19"/>
      <c r="R2747" s="19"/>
      <c r="S2747" s="19"/>
      <c r="T2747" s="19"/>
      <c r="U2747" s="19"/>
      <c r="V2747" s="19"/>
      <c r="W2747" s="19"/>
      <c r="X2747" s="19"/>
      <c r="Y2747" s="19"/>
      <c r="Z2747" s="19"/>
      <c r="AA2747" s="19"/>
      <c r="AB2747" s="19"/>
      <c r="AC2747" s="19"/>
      <c r="AD2747" s="19"/>
      <c r="AE2747" s="19"/>
      <c r="AF2747" s="19"/>
      <c r="AG2747" s="19"/>
      <c r="AH2747" s="19"/>
      <c r="AI2747" s="19"/>
      <c r="AJ2747" s="19"/>
      <c r="AK2747" s="19"/>
      <c r="AL2747" s="19"/>
      <c r="AM2747" s="19"/>
      <c r="AN2747" s="19"/>
      <c r="AO2747" s="19"/>
      <c r="AP2747" s="19"/>
      <c r="AQ2747" s="19"/>
      <c r="AR2747" s="19"/>
      <c r="AS2747" s="19"/>
    </row>
    <row r="2748" spans="1:45" x14ac:dyDescent="0.3">
      <c r="A2748" s="410" t="s">
        <v>4416</v>
      </c>
      <c r="B2748" s="17"/>
      <c r="C2748" s="19"/>
      <c r="D2748" s="18"/>
      <c r="E2748" s="18"/>
      <c r="F2748" s="19"/>
      <c r="G2748" s="31"/>
      <c r="H2748" s="31"/>
      <c r="I2748" s="19"/>
      <c r="J2748" s="19"/>
      <c r="K2748" s="18"/>
      <c r="L2748" s="19"/>
      <c r="M2748" s="19"/>
      <c r="N2748" s="20"/>
      <c r="O2748" s="19"/>
      <c r="P2748" s="19"/>
      <c r="Q2748" s="19"/>
      <c r="R2748" s="19"/>
      <c r="S2748" s="19"/>
      <c r="T2748" s="19"/>
      <c r="U2748" s="19"/>
      <c r="V2748" s="19"/>
      <c r="W2748" s="19"/>
      <c r="X2748" s="19"/>
      <c r="Y2748" s="19"/>
      <c r="Z2748" s="19"/>
      <c r="AA2748" s="19"/>
      <c r="AB2748" s="19"/>
      <c r="AC2748" s="19"/>
      <c r="AD2748" s="19"/>
      <c r="AE2748" s="19"/>
      <c r="AF2748" s="19"/>
      <c r="AG2748" s="19"/>
      <c r="AH2748" s="19"/>
      <c r="AI2748" s="19"/>
      <c r="AJ2748" s="19"/>
      <c r="AK2748" s="19"/>
      <c r="AL2748" s="19"/>
      <c r="AM2748" s="19"/>
      <c r="AN2748" s="19"/>
      <c r="AO2748" s="19"/>
      <c r="AP2748" s="19"/>
      <c r="AQ2748" s="19"/>
      <c r="AR2748" s="19"/>
      <c r="AS2748" s="19"/>
    </row>
    <row r="2749" spans="1:45" x14ac:dyDescent="0.3">
      <c r="A2749" s="410" t="s">
        <v>4417</v>
      </c>
      <c r="B2749" s="17"/>
      <c r="C2749" s="19"/>
      <c r="D2749" s="18"/>
      <c r="E2749" s="18"/>
      <c r="F2749" s="19"/>
      <c r="G2749" s="31"/>
      <c r="H2749" s="31"/>
      <c r="I2749" s="19"/>
      <c r="J2749" s="19"/>
      <c r="K2749" s="18"/>
      <c r="L2749" s="19"/>
      <c r="M2749" s="19"/>
      <c r="N2749" s="20"/>
      <c r="O2749" s="19"/>
      <c r="P2749" s="19"/>
      <c r="Q2749" s="19"/>
      <c r="R2749" s="19"/>
      <c r="S2749" s="19"/>
      <c r="T2749" s="19"/>
      <c r="U2749" s="19"/>
      <c r="V2749" s="19"/>
      <c r="W2749" s="19"/>
      <c r="X2749" s="19"/>
      <c r="Y2749" s="19"/>
      <c r="Z2749" s="19"/>
      <c r="AA2749" s="19"/>
      <c r="AB2749" s="19"/>
      <c r="AC2749" s="19"/>
      <c r="AD2749" s="19"/>
      <c r="AE2749" s="19"/>
      <c r="AF2749" s="19"/>
      <c r="AG2749" s="19"/>
      <c r="AH2749" s="19"/>
      <c r="AI2749" s="19"/>
      <c r="AJ2749" s="19"/>
      <c r="AK2749" s="19"/>
      <c r="AL2749" s="19"/>
      <c r="AM2749" s="19"/>
      <c r="AN2749" s="19"/>
      <c r="AO2749" s="19"/>
      <c r="AP2749" s="19"/>
      <c r="AQ2749" s="19"/>
      <c r="AR2749" s="19"/>
      <c r="AS2749" s="19"/>
    </row>
    <row r="2750" spans="1:45" x14ac:dyDescent="0.3">
      <c r="A2750" s="410" t="s">
        <v>4418</v>
      </c>
      <c r="B2750" s="17"/>
      <c r="C2750" s="19"/>
      <c r="D2750" s="18"/>
      <c r="E2750" s="18"/>
      <c r="F2750" s="19"/>
      <c r="G2750" s="31"/>
      <c r="H2750" s="31"/>
      <c r="I2750" s="19"/>
      <c r="J2750" s="19"/>
      <c r="K2750" s="18"/>
      <c r="L2750" s="19"/>
      <c r="M2750" s="19"/>
      <c r="N2750" s="20"/>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row>
    <row r="2751" spans="1:45" x14ac:dyDescent="0.3">
      <c r="A2751" s="410" t="s">
        <v>4419</v>
      </c>
      <c r="B2751" s="17"/>
      <c r="C2751" s="19"/>
      <c r="D2751" s="18"/>
      <c r="E2751" s="18"/>
      <c r="F2751" s="19"/>
      <c r="G2751" s="31"/>
      <c r="H2751" s="31"/>
      <c r="I2751" s="19"/>
      <c r="J2751" s="19"/>
      <c r="K2751" s="18"/>
      <c r="L2751" s="19"/>
      <c r="M2751" s="19"/>
      <c r="N2751" s="20"/>
      <c r="O2751" s="19"/>
      <c r="P2751" s="19"/>
      <c r="Q2751" s="19"/>
      <c r="R2751" s="19"/>
      <c r="S2751" s="19"/>
      <c r="T2751" s="19"/>
      <c r="U2751" s="19"/>
      <c r="V2751" s="19"/>
      <c r="W2751" s="19"/>
      <c r="X2751" s="19"/>
      <c r="Y2751" s="19"/>
      <c r="Z2751" s="19"/>
      <c r="AA2751" s="19"/>
      <c r="AB2751" s="19"/>
      <c r="AC2751" s="19"/>
      <c r="AD2751" s="19"/>
      <c r="AE2751" s="19"/>
      <c r="AF2751" s="19"/>
      <c r="AG2751" s="19"/>
      <c r="AH2751" s="19"/>
      <c r="AI2751" s="19"/>
      <c r="AJ2751" s="19"/>
      <c r="AK2751" s="19"/>
      <c r="AL2751" s="19"/>
      <c r="AM2751" s="19"/>
      <c r="AN2751" s="19"/>
      <c r="AO2751" s="19"/>
      <c r="AP2751" s="19"/>
      <c r="AQ2751" s="19"/>
      <c r="AR2751" s="19"/>
      <c r="AS2751" s="19"/>
    </row>
    <row r="2752" spans="1:45" x14ac:dyDescent="0.3">
      <c r="A2752" s="410" t="s">
        <v>4420</v>
      </c>
      <c r="B2752" s="17"/>
      <c r="C2752" s="19"/>
      <c r="D2752" s="18"/>
      <c r="E2752" s="18"/>
      <c r="F2752" s="19"/>
      <c r="G2752" s="31"/>
      <c r="H2752" s="31"/>
      <c r="I2752" s="19"/>
      <c r="J2752" s="19"/>
      <c r="K2752" s="18"/>
      <c r="L2752" s="19"/>
      <c r="M2752" s="19"/>
      <c r="N2752" s="20"/>
      <c r="O2752" s="19"/>
      <c r="P2752" s="19"/>
      <c r="Q2752" s="19"/>
      <c r="R2752" s="19"/>
      <c r="S2752" s="19"/>
      <c r="T2752" s="19"/>
      <c r="U2752" s="19"/>
      <c r="V2752" s="19"/>
      <c r="W2752" s="19"/>
      <c r="X2752" s="19"/>
      <c r="Y2752" s="19"/>
      <c r="Z2752" s="19"/>
      <c r="AA2752" s="19"/>
      <c r="AB2752" s="19"/>
      <c r="AC2752" s="19"/>
      <c r="AD2752" s="19"/>
      <c r="AE2752" s="19"/>
      <c r="AF2752" s="19"/>
      <c r="AG2752" s="19"/>
      <c r="AH2752" s="19"/>
      <c r="AI2752" s="19"/>
      <c r="AJ2752" s="19"/>
      <c r="AK2752" s="19"/>
      <c r="AL2752" s="19"/>
      <c r="AM2752" s="19"/>
      <c r="AN2752" s="19"/>
      <c r="AO2752" s="19"/>
      <c r="AP2752" s="19"/>
      <c r="AQ2752" s="19"/>
      <c r="AR2752" s="19"/>
      <c r="AS2752" s="19"/>
    </row>
    <row r="2753" spans="1:45" x14ac:dyDescent="0.3">
      <c r="A2753" s="410" t="s">
        <v>4421</v>
      </c>
      <c r="B2753" s="17"/>
      <c r="C2753" s="19"/>
      <c r="D2753" s="18"/>
      <c r="E2753" s="18"/>
      <c r="F2753" s="19"/>
      <c r="G2753" s="31"/>
      <c r="H2753" s="31"/>
      <c r="I2753" s="19"/>
      <c r="J2753" s="19"/>
      <c r="K2753" s="18"/>
      <c r="L2753" s="19"/>
      <c r="M2753" s="19"/>
      <c r="N2753" s="20"/>
      <c r="O2753" s="19"/>
      <c r="P2753" s="19"/>
      <c r="Q2753" s="19"/>
      <c r="R2753" s="19"/>
      <c r="S2753" s="19"/>
      <c r="T2753" s="19"/>
      <c r="U2753" s="19"/>
      <c r="V2753" s="19"/>
      <c r="W2753" s="19"/>
      <c r="X2753" s="19"/>
      <c r="Y2753" s="19"/>
      <c r="Z2753" s="19"/>
      <c r="AA2753" s="19"/>
      <c r="AB2753" s="19"/>
      <c r="AC2753" s="19"/>
      <c r="AD2753" s="19"/>
      <c r="AE2753" s="19"/>
      <c r="AF2753" s="19"/>
      <c r="AG2753" s="19"/>
      <c r="AH2753" s="19"/>
      <c r="AI2753" s="19"/>
      <c r="AJ2753" s="19"/>
      <c r="AK2753" s="19"/>
      <c r="AL2753" s="19"/>
      <c r="AM2753" s="19"/>
      <c r="AN2753" s="19"/>
      <c r="AO2753" s="19"/>
      <c r="AP2753" s="19"/>
      <c r="AQ2753" s="19"/>
      <c r="AR2753" s="19"/>
      <c r="AS2753" s="19"/>
    </row>
    <row r="2754" spans="1:45" x14ac:dyDescent="0.3">
      <c r="A2754" s="410" t="s">
        <v>4422</v>
      </c>
      <c r="B2754" s="17"/>
      <c r="C2754" s="19"/>
      <c r="D2754" s="18"/>
      <c r="E2754" s="18"/>
      <c r="F2754" s="19"/>
      <c r="G2754" s="31"/>
      <c r="H2754" s="31"/>
      <c r="I2754" s="19"/>
      <c r="J2754" s="19"/>
      <c r="K2754" s="18"/>
      <c r="L2754" s="19"/>
      <c r="M2754" s="19"/>
      <c r="N2754" s="20"/>
      <c r="O2754" s="19"/>
      <c r="P2754" s="19"/>
      <c r="Q2754" s="19"/>
      <c r="R2754" s="19"/>
      <c r="S2754" s="19"/>
      <c r="T2754" s="19"/>
      <c r="U2754" s="19"/>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row>
    <row r="2755" spans="1:45" x14ac:dyDescent="0.3">
      <c r="A2755" s="410" t="s">
        <v>4423</v>
      </c>
      <c r="B2755" s="17"/>
      <c r="C2755" s="19"/>
      <c r="D2755" s="18"/>
      <c r="E2755" s="18"/>
      <c r="F2755" s="19"/>
      <c r="G2755" s="31"/>
      <c r="H2755" s="31"/>
      <c r="I2755" s="19"/>
      <c r="J2755" s="19"/>
      <c r="K2755" s="18"/>
      <c r="L2755" s="19"/>
      <c r="M2755" s="19"/>
      <c r="N2755" s="20"/>
      <c r="O2755" s="19"/>
      <c r="P2755" s="19"/>
      <c r="Q2755" s="19"/>
      <c r="R2755" s="19"/>
      <c r="S2755" s="19"/>
      <c r="T2755" s="19"/>
      <c r="U2755" s="19"/>
      <c r="V2755" s="19"/>
      <c r="W2755" s="19"/>
      <c r="X2755" s="19"/>
      <c r="Y2755" s="19"/>
      <c r="Z2755" s="19"/>
      <c r="AA2755" s="19"/>
      <c r="AB2755" s="19"/>
      <c r="AC2755" s="19"/>
      <c r="AD2755" s="19"/>
      <c r="AE2755" s="19"/>
      <c r="AF2755" s="19"/>
      <c r="AG2755" s="19"/>
      <c r="AH2755" s="19"/>
      <c r="AI2755" s="19"/>
      <c r="AJ2755" s="19"/>
      <c r="AK2755" s="19"/>
      <c r="AL2755" s="19"/>
      <c r="AM2755" s="19"/>
      <c r="AN2755" s="19"/>
      <c r="AO2755" s="19"/>
      <c r="AP2755" s="19"/>
      <c r="AQ2755" s="19"/>
      <c r="AR2755" s="19"/>
      <c r="AS2755" s="19"/>
    </row>
    <row r="2756" spans="1:45" x14ac:dyDescent="0.3">
      <c r="A2756" s="410" t="s">
        <v>4424</v>
      </c>
      <c r="B2756" s="17"/>
      <c r="C2756" s="19"/>
      <c r="D2756" s="18"/>
      <c r="E2756" s="18"/>
      <c r="F2756" s="19"/>
      <c r="G2756" s="31"/>
      <c r="H2756" s="31"/>
      <c r="I2756" s="19"/>
      <c r="J2756" s="19"/>
      <c r="K2756" s="18"/>
      <c r="L2756" s="19"/>
      <c r="M2756" s="19"/>
      <c r="N2756" s="20"/>
      <c r="O2756" s="19"/>
      <c r="P2756" s="19"/>
      <c r="Q2756" s="19"/>
      <c r="R2756" s="19"/>
      <c r="S2756" s="19"/>
      <c r="T2756" s="19"/>
      <c r="U2756" s="19"/>
      <c r="V2756" s="19"/>
      <c r="W2756" s="19"/>
      <c r="X2756" s="19"/>
      <c r="Y2756" s="19"/>
      <c r="Z2756" s="19"/>
      <c r="AA2756" s="19"/>
      <c r="AB2756" s="19"/>
      <c r="AC2756" s="19"/>
      <c r="AD2756" s="19"/>
      <c r="AE2756" s="19"/>
      <c r="AF2756" s="19"/>
      <c r="AG2756" s="19"/>
      <c r="AH2756" s="19"/>
      <c r="AI2756" s="19"/>
      <c r="AJ2756" s="19"/>
      <c r="AK2756" s="19"/>
      <c r="AL2756" s="19"/>
      <c r="AM2756" s="19"/>
      <c r="AN2756" s="19"/>
      <c r="AO2756" s="19"/>
      <c r="AP2756" s="19"/>
      <c r="AQ2756" s="19"/>
      <c r="AR2756" s="19"/>
      <c r="AS2756" s="19"/>
    </row>
    <row r="2757" spans="1:45" x14ac:dyDescent="0.3">
      <c r="A2757" s="410" t="s">
        <v>4425</v>
      </c>
      <c r="B2757" s="17"/>
      <c r="C2757" s="19"/>
      <c r="D2757" s="18"/>
      <c r="E2757" s="18"/>
      <c r="F2757" s="19"/>
      <c r="G2757" s="31"/>
      <c r="H2757" s="31"/>
      <c r="I2757" s="19"/>
      <c r="J2757" s="19"/>
      <c r="K2757" s="18"/>
      <c r="L2757" s="19"/>
      <c r="M2757" s="19"/>
      <c r="N2757" s="20"/>
      <c r="O2757" s="19"/>
      <c r="P2757" s="19"/>
      <c r="Q2757" s="19"/>
      <c r="R2757" s="19"/>
      <c r="S2757" s="19"/>
      <c r="T2757" s="19"/>
      <c r="U2757" s="19"/>
      <c r="V2757" s="19"/>
      <c r="W2757" s="19"/>
      <c r="X2757" s="19"/>
      <c r="Y2757" s="19"/>
      <c r="Z2757" s="19"/>
      <c r="AA2757" s="19"/>
      <c r="AB2757" s="19"/>
      <c r="AC2757" s="19"/>
      <c r="AD2757" s="19"/>
      <c r="AE2757" s="19"/>
      <c r="AF2757" s="19"/>
      <c r="AG2757" s="19"/>
      <c r="AH2757" s="19"/>
      <c r="AI2757" s="19"/>
      <c r="AJ2757" s="19"/>
      <c r="AK2757" s="19"/>
      <c r="AL2757" s="19"/>
      <c r="AM2757" s="19"/>
      <c r="AN2757" s="19"/>
      <c r="AO2757" s="19"/>
      <c r="AP2757" s="19"/>
      <c r="AQ2757" s="19"/>
      <c r="AR2757" s="19"/>
      <c r="AS2757" s="19"/>
    </row>
    <row r="2758" spans="1:45" x14ac:dyDescent="0.3">
      <c r="A2758" s="410" t="s">
        <v>4426</v>
      </c>
      <c r="B2758" s="17"/>
      <c r="C2758" s="19"/>
      <c r="D2758" s="18"/>
      <c r="E2758" s="18"/>
      <c r="F2758" s="19"/>
      <c r="G2758" s="31"/>
      <c r="H2758" s="31"/>
      <c r="I2758" s="19"/>
      <c r="J2758" s="19"/>
      <c r="K2758" s="18"/>
      <c r="L2758" s="19"/>
      <c r="M2758" s="19"/>
      <c r="N2758" s="20"/>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row>
    <row r="2759" spans="1:45" x14ac:dyDescent="0.3">
      <c r="A2759" s="410" t="s">
        <v>4427</v>
      </c>
      <c r="B2759" s="17"/>
      <c r="C2759" s="19"/>
      <c r="D2759" s="18"/>
      <c r="E2759" s="18"/>
      <c r="F2759" s="19"/>
      <c r="G2759" s="31"/>
      <c r="H2759" s="31"/>
      <c r="I2759" s="19"/>
      <c r="J2759" s="19"/>
      <c r="K2759" s="18"/>
      <c r="L2759" s="19"/>
      <c r="M2759" s="19"/>
      <c r="N2759" s="20"/>
      <c r="O2759" s="19"/>
      <c r="P2759" s="19"/>
      <c r="Q2759" s="19"/>
      <c r="R2759" s="19"/>
      <c r="S2759" s="19"/>
      <c r="T2759" s="19"/>
      <c r="U2759" s="19"/>
      <c r="V2759" s="19"/>
      <c r="W2759" s="19"/>
      <c r="X2759" s="19"/>
      <c r="Y2759" s="19"/>
      <c r="Z2759" s="19"/>
      <c r="AA2759" s="19"/>
      <c r="AB2759" s="19"/>
      <c r="AC2759" s="19"/>
      <c r="AD2759" s="19"/>
      <c r="AE2759" s="19"/>
      <c r="AF2759" s="19"/>
      <c r="AG2759" s="19"/>
      <c r="AH2759" s="19"/>
      <c r="AI2759" s="19"/>
      <c r="AJ2759" s="19"/>
      <c r="AK2759" s="19"/>
      <c r="AL2759" s="19"/>
      <c r="AM2759" s="19"/>
      <c r="AN2759" s="19"/>
      <c r="AO2759" s="19"/>
      <c r="AP2759" s="19"/>
      <c r="AQ2759" s="19"/>
      <c r="AR2759" s="19"/>
      <c r="AS2759" s="19"/>
    </row>
    <row r="2760" spans="1:45" x14ac:dyDescent="0.3">
      <c r="A2760" s="410" t="s">
        <v>4428</v>
      </c>
      <c r="B2760" s="17"/>
      <c r="C2760" s="19"/>
      <c r="D2760" s="18"/>
      <c r="E2760" s="18"/>
      <c r="F2760" s="19"/>
      <c r="G2760" s="31"/>
      <c r="H2760" s="31"/>
      <c r="I2760" s="19"/>
      <c r="J2760" s="19"/>
      <c r="K2760" s="18"/>
      <c r="L2760" s="19"/>
      <c r="M2760" s="19"/>
      <c r="N2760" s="20"/>
      <c r="O2760" s="19"/>
      <c r="P2760" s="19"/>
      <c r="Q2760" s="19"/>
      <c r="R2760" s="19"/>
      <c r="S2760" s="19"/>
      <c r="T2760" s="19"/>
      <c r="U2760" s="19"/>
      <c r="V2760" s="19"/>
      <c r="W2760" s="19"/>
      <c r="X2760" s="19"/>
      <c r="Y2760" s="19"/>
      <c r="Z2760" s="19"/>
      <c r="AA2760" s="19"/>
      <c r="AB2760" s="19"/>
      <c r="AC2760" s="19"/>
      <c r="AD2760" s="19"/>
      <c r="AE2760" s="19"/>
      <c r="AF2760" s="19"/>
      <c r="AG2760" s="19"/>
      <c r="AH2760" s="19"/>
      <c r="AI2760" s="19"/>
      <c r="AJ2760" s="19"/>
      <c r="AK2760" s="19"/>
      <c r="AL2760" s="19"/>
      <c r="AM2760" s="19"/>
      <c r="AN2760" s="19"/>
      <c r="AO2760" s="19"/>
      <c r="AP2760" s="19"/>
      <c r="AQ2760" s="19"/>
      <c r="AR2760" s="19"/>
      <c r="AS2760" s="19"/>
    </row>
    <row r="2761" spans="1:45" x14ac:dyDescent="0.3">
      <c r="A2761" s="410" t="s">
        <v>4429</v>
      </c>
      <c r="B2761" s="17"/>
      <c r="C2761" s="19"/>
      <c r="D2761" s="18"/>
      <c r="E2761" s="18"/>
      <c r="F2761" s="19"/>
      <c r="G2761" s="31"/>
      <c r="H2761" s="31"/>
      <c r="I2761" s="19"/>
      <c r="J2761" s="19"/>
      <c r="K2761" s="18"/>
      <c r="L2761" s="19"/>
      <c r="M2761" s="19"/>
      <c r="N2761" s="20"/>
      <c r="O2761" s="19"/>
      <c r="P2761" s="19"/>
      <c r="Q2761" s="19"/>
      <c r="R2761" s="19"/>
      <c r="S2761" s="19"/>
      <c r="T2761" s="19"/>
      <c r="U2761" s="19"/>
      <c r="V2761" s="19"/>
      <c r="W2761" s="19"/>
      <c r="X2761" s="19"/>
      <c r="Y2761" s="19"/>
      <c r="Z2761" s="19"/>
      <c r="AA2761" s="19"/>
      <c r="AB2761" s="19"/>
      <c r="AC2761" s="19"/>
      <c r="AD2761" s="19"/>
      <c r="AE2761" s="19"/>
      <c r="AF2761" s="19"/>
      <c r="AG2761" s="19"/>
      <c r="AH2761" s="19"/>
      <c r="AI2761" s="19"/>
      <c r="AJ2761" s="19"/>
      <c r="AK2761" s="19"/>
      <c r="AL2761" s="19"/>
      <c r="AM2761" s="19"/>
      <c r="AN2761" s="19"/>
      <c r="AO2761" s="19"/>
      <c r="AP2761" s="19"/>
      <c r="AQ2761" s="19"/>
      <c r="AR2761" s="19"/>
      <c r="AS2761" s="19"/>
    </row>
    <row r="2762" spans="1:45" x14ac:dyDescent="0.3">
      <c r="A2762" s="410" t="s">
        <v>4430</v>
      </c>
      <c r="B2762" s="17"/>
      <c r="C2762" s="19"/>
      <c r="D2762" s="18"/>
      <c r="E2762" s="18"/>
      <c r="F2762" s="19"/>
      <c r="G2762" s="31"/>
      <c r="H2762" s="31"/>
      <c r="I2762" s="19"/>
      <c r="J2762" s="19"/>
      <c r="K2762" s="18"/>
      <c r="L2762" s="19"/>
      <c r="M2762" s="19"/>
      <c r="N2762" s="20"/>
      <c r="O2762" s="19"/>
      <c r="P2762" s="19"/>
      <c r="Q2762" s="19"/>
      <c r="R2762" s="19"/>
      <c r="S2762" s="19"/>
      <c r="T2762" s="19"/>
      <c r="U2762" s="19"/>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row>
    <row r="2763" spans="1:45" x14ac:dyDescent="0.3">
      <c r="A2763" s="410" t="s">
        <v>4431</v>
      </c>
      <c r="B2763" s="17"/>
      <c r="C2763" s="19"/>
      <c r="D2763" s="18"/>
      <c r="E2763" s="18"/>
      <c r="F2763" s="19"/>
      <c r="G2763" s="31"/>
      <c r="H2763" s="31"/>
      <c r="I2763" s="19"/>
      <c r="J2763" s="19"/>
      <c r="K2763" s="18"/>
      <c r="L2763" s="19"/>
      <c r="M2763" s="19"/>
      <c r="N2763" s="20"/>
      <c r="O2763" s="19"/>
      <c r="P2763" s="19"/>
      <c r="Q2763" s="19"/>
      <c r="R2763" s="19"/>
      <c r="S2763" s="19"/>
      <c r="T2763" s="19"/>
      <c r="U2763" s="19"/>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row>
    <row r="2764" spans="1:45" x14ac:dyDescent="0.3">
      <c r="A2764" s="410" t="s">
        <v>4432</v>
      </c>
      <c r="B2764" s="17"/>
      <c r="C2764" s="19"/>
      <c r="D2764" s="18"/>
      <c r="E2764" s="18"/>
      <c r="F2764" s="19"/>
      <c r="G2764" s="31"/>
      <c r="H2764" s="31"/>
      <c r="I2764" s="19"/>
      <c r="J2764" s="19"/>
      <c r="K2764" s="18"/>
      <c r="L2764" s="19"/>
      <c r="M2764" s="19"/>
      <c r="N2764" s="20"/>
      <c r="O2764" s="19"/>
      <c r="P2764" s="19"/>
      <c r="Q2764" s="19"/>
      <c r="R2764" s="19"/>
      <c r="S2764" s="19"/>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row>
    <row r="2765" spans="1:45" x14ac:dyDescent="0.3">
      <c r="A2765" s="410"/>
      <c r="B2765" s="17"/>
      <c r="C2765" s="19"/>
      <c r="D2765" s="18"/>
      <c r="E2765" s="18"/>
      <c r="F2765" s="19"/>
      <c r="G2765" s="31"/>
      <c r="H2765" s="31"/>
      <c r="I2765" s="19"/>
      <c r="J2765" s="19"/>
      <c r="K2765" s="18"/>
      <c r="L2765" s="19"/>
      <c r="M2765" s="19"/>
      <c r="N2765" s="20"/>
      <c r="O2765" s="19"/>
      <c r="P2765" s="19"/>
      <c r="Q2765" s="19"/>
      <c r="R2765" s="19"/>
      <c r="S2765" s="19"/>
      <c r="T2765" s="19"/>
      <c r="U2765" s="19"/>
      <c r="V2765" s="19"/>
      <c r="W2765" s="19"/>
      <c r="X2765" s="19"/>
      <c r="Y2765" s="19"/>
      <c r="Z2765" s="19"/>
      <c r="AA2765" s="19"/>
      <c r="AB2765" s="19"/>
      <c r="AC2765" s="19"/>
      <c r="AD2765" s="19"/>
      <c r="AE2765" s="19"/>
      <c r="AF2765" s="19"/>
      <c r="AG2765" s="19"/>
      <c r="AH2765" s="19"/>
      <c r="AI2765" s="19"/>
      <c r="AJ2765" s="19"/>
      <c r="AK2765" s="19"/>
      <c r="AL2765" s="19"/>
      <c r="AM2765" s="19"/>
      <c r="AN2765" s="19"/>
      <c r="AO2765" s="19"/>
      <c r="AP2765" s="19"/>
      <c r="AQ2765" s="19"/>
      <c r="AR2765" s="19"/>
      <c r="AS2765" s="19"/>
    </row>
    <row r="2766" spans="1:45" x14ac:dyDescent="0.3">
      <c r="A2766" s="410" t="s">
        <v>4433</v>
      </c>
      <c r="B2766" s="17" t="s">
        <v>4434</v>
      </c>
      <c r="C2766" s="19" t="s">
        <v>1368</v>
      </c>
      <c r="D2766" s="19">
        <v>20251121</v>
      </c>
      <c r="E2766" s="18"/>
      <c r="F2766" s="19"/>
      <c r="G2766" s="31"/>
      <c r="H2766" s="31"/>
      <c r="I2766" s="19"/>
      <c r="J2766" s="19"/>
      <c r="K2766" s="18"/>
      <c r="L2766" s="19"/>
      <c r="M2766" s="19"/>
      <c r="N2766" s="20"/>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row>
    <row r="2767" spans="1:45" x14ac:dyDescent="0.3">
      <c r="A2767" s="410" t="s">
        <v>4435</v>
      </c>
      <c r="B2767" s="17" t="s">
        <v>4436</v>
      </c>
      <c r="C2767" s="19" t="s">
        <v>1368</v>
      </c>
      <c r="D2767" s="19">
        <v>23177628</v>
      </c>
      <c r="E2767" s="18"/>
      <c r="F2767" s="19"/>
      <c r="G2767" s="31"/>
      <c r="H2767" s="31"/>
      <c r="I2767" s="19"/>
      <c r="J2767" s="19"/>
      <c r="K2767" s="18"/>
      <c r="L2767" s="19"/>
      <c r="M2767" s="19"/>
      <c r="N2767" s="20"/>
      <c r="O2767" s="19"/>
      <c r="P2767" s="19"/>
      <c r="Q2767" s="19"/>
      <c r="R2767" s="19"/>
      <c r="S2767" s="19"/>
      <c r="T2767" s="19"/>
      <c r="U2767" s="19"/>
      <c r="V2767" s="19"/>
      <c r="W2767" s="19"/>
      <c r="X2767" s="19"/>
      <c r="Y2767" s="19"/>
      <c r="Z2767" s="19"/>
      <c r="AA2767" s="19"/>
      <c r="AB2767" s="19"/>
      <c r="AC2767" s="19"/>
      <c r="AD2767" s="19"/>
      <c r="AE2767" s="19"/>
      <c r="AF2767" s="19"/>
      <c r="AG2767" s="19"/>
      <c r="AH2767" s="19"/>
      <c r="AI2767" s="19"/>
      <c r="AJ2767" s="19"/>
      <c r="AK2767" s="19"/>
      <c r="AL2767" s="19"/>
      <c r="AM2767" s="19"/>
      <c r="AN2767" s="19"/>
      <c r="AO2767" s="19"/>
      <c r="AP2767" s="19"/>
      <c r="AQ2767" s="19"/>
      <c r="AR2767" s="19"/>
      <c r="AS2767" s="19"/>
    </row>
    <row r="2768" spans="1:45" x14ac:dyDescent="0.3">
      <c r="A2768" s="410" t="s">
        <v>4437</v>
      </c>
      <c r="B2768" s="17" t="s">
        <v>4438</v>
      </c>
      <c r="C2768" s="19" t="s">
        <v>1368</v>
      </c>
      <c r="D2768" s="19">
        <v>22149740</v>
      </c>
      <c r="E2768" s="18"/>
      <c r="F2768" s="19"/>
      <c r="G2768" s="31"/>
      <c r="H2768" s="31"/>
      <c r="I2768" s="19"/>
      <c r="J2768" s="19"/>
      <c r="K2768" s="18"/>
      <c r="L2768" s="19"/>
      <c r="M2768" s="19"/>
      <c r="N2768" s="20"/>
      <c r="O2768" s="19"/>
      <c r="P2768" s="19"/>
      <c r="Q2768" s="19"/>
      <c r="R2768" s="19"/>
      <c r="S2768" s="19"/>
      <c r="T2768" s="19"/>
      <c r="U2768" s="19"/>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row>
    <row r="2769" spans="1:45" x14ac:dyDescent="0.3">
      <c r="A2769" s="410" t="s">
        <v>4439</v>
      </c>
      <c r="B2769" s="17" t="s">
        <v>4440</v>
      </c>
      <c r="C2769" s="19" t="s">
        <v>1368</v>
      </c>
      <c r="D2769" s="19">
        <v>20240914</v>
      </c>
      <c r="E2769" s="18"/>
      <c r="F2769" s="19"/>
      <c r="G2769" s="31"/>
      <c r="H2769" s="31"/>
      <c r="I2769" s="19"/>
      <c r="J2769" s="19"/>
      <c r="K2769" s="21"/>
      <c r="L2769" s="22"/>
      <c r="M2769" s="19"/>
      <c r="N2769" s="20"/>
      <c r="O2769" s="19"/>
      <c r="P2769" s="19"/>
      <c r="Q2769" s="19"/>
      <c r="R2769" s="19"/>
      <c r="S2769" s="19"/>
      <c r="T2769" s="19"/>
      <c r="U2769" s="19"/>
      <c r="V2769" s="19"/>
      <c r="W2769" s="19"/>
      <c r="X2769" s="19"/>
      <c r="Y2769" s="19"/>
      <c r="Z2769" s="19"/>
      <c r="AA2769" s="19"/>
      <c r="AB2769" s="19"/>
      <c r="AC2769" s="19"/>
      <c r="AD2769" s="19"/>
      <c r="AE2769" s="19"/>
      <c r="AF2769" s="19"/>
      <c r="AG2769" s="19"/>
      <c r="AH2769" s="19"/>
      <c r="AI2769" s="19"/>
      <c r="AJ2769" s="19"/>
      <c r="AK2769" s="19"/>
      <c r="AL2769" s="19"/>
      <c r="AM2769" s="19"/>
      <c r="AN2769" s="19"/>
      <c r="AO2769" s="19"/>
      <c r="AP2769" s="19"/>
      <c r="AQ2769" s="19"/>
      <c r="AR2769" s="19"/>
      <c r="AS2769" s="19"/>
    </row>
    <row r="2770" spans="1:45" x14ac:dyDescent="0.3">
      <c r="A2770" s="410" t="s">
        <v>4441</v>
      </c>
      <c r="B2770" s="17" t="s">
        <v>4442</v>
      </c>
      <c r="C2770" s="19" t="s">
        <v>1381</v>
      </c>
      <c r="D2770" s="18"/>
      <c r="E2770" s="18"/>
      <c r="F2770" s="19"/>
      <c r="G2770" s="31"/>
      <c r="H2770" s="31"/>
      <c r="I2770" s="19"/>
      <c r="J2770" s="19"/>
      <c r="K2770" s="21"/>
      <c r="L2770" s="22"/>
      <c r="M2770" s="19"/>
      <c r="N2770" s="20"/>
      <c r="O2770" s="19"/>
      <c r="P2770" s="19"/>
      <c r="Q2770" s="19"/>
      <c r="R2770" s="19"/>
      <c r="S2770" s="19"/>
      <c r="T2770" s="19"/>
      <c r="U2770" s="19"/>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row>
    <row r="2771" spans="1:45" x14ac:dyDescent="0.3">
      <c r="A2771" s="410" t="s">
        <v>4443</v>
      </c>
      <c r="B2771" s="17"/>
      <c r="C2771" s="19"/>
      <c r="D2771" s="18"/>
      <c r="E2771" s="18"/>
      <c r="F2771" s="19"/>
      <c r="G2771" s="31"/>
      <c r="H2771" s="31"/>
      <c r="I2771" s="19"/>
      <c r="J2771" s="19"/>
      <c r="K2771" s="21"/>
      <c r="L2771" s="22"/>
      <c r="M2771" s="19"/>
      <c r="N2771" s="20"/>
      <c r="O2771" s="19"/>
      <c r="P2771" s="19"/>
      <c r="Q2771" s="19"/>
      <c r="R2771" s="19"/>
      <c r="S2771" s="19"/>
      <c r="T2771" s="19"/>
      <c r="U2771" s="19"/>
      <c r="V2771" s="19"/>
      <c r="W2771" s="19"/>
      <c r="X2771" s="19"/>
      <c r="Y2771" s="19"/>
      <c r="Z2771" s="19"/>
      <c r="AA2771" s="19"/>
      <c r="AB2771" s="19"/>
      <c r="AC2771" s="19"/>
      <c r="AD2771" s="19"/>
      <c r="AE2771" s="19"/>
      <c r="AF2771" s="19"/>
      <c r="AG2771" s="19"/>
      <c r="AH2771" s="19"/>
      <c r="AI2771" s="19"/>
      <c r="AJ2771" s="19"/>
      <c r="AK2771" s="19"/>
      <c r="AL2771" s="19"/>
      <c r="AM2771" s="19"/>
      <c r="AN2771" s="19"/>
      <c r="AO2771" s="19"/>
      <c r="AP2771" s="19"/>
      <c r="AQ2771" s="19"/>
      <c r="AR2771" s="19"/>
      <c r="AS2771" s="19"/>
    </row>
    <row r="2772" spans="1:45" x14ac:dyDescent="0.3">
      <c r="A2772" s="410" t="s">
        <v>4444</v>
      </c>
      <c r="B2772" s="17"/>
      <c r="C2772" s="19"/>
      <c r="D2772" s="18"/>
      <c r="E2772" s="18"/>
      <c r="F2772" s="19"/>
      <c r="G2772" s="31"/>
      <c r="H2772" s="31"/>
      <c r="I2772" s="19"/>
      <c r="J2772" s="19"/>
      <c r="K2772" s="21"/>
      <c r="L2772" s="22"/>
      <c r="M2772" s="19"/>
      <c r="N2772" s="20"/>
      <c r="O2772" s="19"/>
      <c r="P2772" s="19"/>
      <c r="Q2772" s="19"/>
      <c r="R2772" s="19"/>
      <c r="S2772" s="19"/>
      <c r="T2772" s="19"/>
      <c r="U2772" s="19"/>
      <c r="V2772" s="19"/>
      <c r="W2772" s="19"/>
      <c r="X2772" s="19"/>
      <c r="Y2772" s="19"/>
      <c r="Z2772" s="19"/>
      <c r="AA2772" s="19"/>
      <c r="AB2772" s="19"/>
      <c r="AC2772" s="19"/>
      <c r="AD2772" s="19"/>
      <c r="AE2772" s="19"/>
      <c r="AF2772" s="19"/>
      <c r="AG2772" s="19"/>
      <c r="AH2772" s="19"/>
      <c r="AI2772" s="19"/>
      <c r="AJ2772" s="19"/>
      <c r="AK2772" s="19"/>
      <c r="AL2772" s="19"/>
      <c r="AM2772" s="19"/>
      <c r="AN2772" s="19"/>
      <c r="AO2772" s="19"/>
      <c r="AP2772" s="19"/>
      <c r="AQ2772" s="19"/>
      <c r="AR2772" s="19"/>
      <c r="AS2772" s="19"/>
    </row>
    <row r="2773" spans="1:45" x14ac:dyDescent="0.3">
      <c r="A2773" s="410" t="s">
        <v>4445</v>
      </c>
      <c r="B2773" s="17"/>
      <c r="C2773" s="19"/>
      <c r="D2773" s="18"/>
      <c r="E2773" s="18"/>
      <c r="F2773" s="19"/>
      <c r="G2773" s="31"/>
      <c r="H2773" s="31"/>
      <c r="I2773" s="19"/>
      <c r="J2773" s="19"/>
      <c r="K2773" s="21"/>
      <c r="L2773" s="22"/>
      <c r="M2773" s="19"/>
      <c r="N2773" s="20"/>
      <c r="O2773" s="19"/>
      <c r="P2773" s="19"/>
      <c r="Q2773" s="19"/>
      <c r="R2773" s="19"/>
      <c r="S2773" s="19"/>
      <c r="T2773" s="19"/>
      <c r="U2773" s="19"/>
      <c r="V2773" s="19"/>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19"/>
      <c r="AR2773" s="19"/>
      <c r="AS2773" s="19"/>
    </row>
    <row r="2774" spans="1:45" x14ac:dyDescent="0.3">
      <c r="A2774" s="410" t="s">
        <v>4446</v>
      </c>
      <c r="B2774" s="17"/>
      <c r="C2774" s="19"/>
      <c r="D2774" s="18"/>
      <c r="E2774" s="18"/>
      <c r="F2774" s="19"/>
      <c r="G2774" s="31"/>
      <c r="H2774" s="31"/>
      <c r="I2774" s="19"/>
      <c r="J2774" s="19"/>
      <c r="K2774" s="21"/>
      <c r="L2774" s="22"/>
      <c r="M2774" s="19"/>
      <c r="N2774" s="20"/>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row>
    <row r="2775" spans="1:45" x14ac:dyDescent="0.3">
      <c r="A2775" s="410" t="s">
        <v>4447</v>
      </c>
      <c r="B2775" s="17"/>
      <c r="C2775" s="19"/>
      <c r="D2775" s="18"/>
      <c r="E2775" s="18"/>
      <c r="F2775" s="19"/>
      <c r="G2775" s="31"/>
      <c r="H2775" s="31"/>
      <c r="I2775" s="19"/>
      <c r="J2775" s="19"/>
      <c r="K2775" s="21"/>
      <c r="L2775" s="22"/>
      <c r="M2775" s="19"/>
      <c r="N2775" s="20"/>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row>
    <row r="2776" spans="1:45" x14ac:dyDescent="0.3">
      <c r="A2776" s="410" t="s">
        <v>4448</v>
      </c>
      <c r="B2776" s="17"/>
      <c r="C2776" s="19"/>
      <c r="D2776" s="18"/>
      <c r="E2776" s="18"/>
      <c r="F2776" s="19"/>
      <c r="G2776" s="31"/>
      <c r="H2776" s="31"/>
      <c r="I2776" s="19"/>
      <c r="J2776" s="19"/>
      <c r="K2776" s="21"/>
      <c r="L2776" s="22"/>
      <c r="M2776" s="19"/>
      <c r="N2776" s="20"/>
      <c r="O2776" s="19"/>
      <c r="P2776" s="19"/>
      <c r="Q2776" s="19"/>
      <c r="R2776" s="19"/>
      <c r="S2776" s="19"/>
      <c r="T2776" s="19"/>
      <c r="U2776" s="19"/>
      <c r="V2776" s="19"/>
      <c r="W2776" s="19"/>
      <c r="X2776" s="19"/>
      <c r="Y2776" s="19"/>
      <c r="Z2776" s="19"/>
      <c r="AA2776" s="19"/>
      <c r="AB2776" s="19"/>
      <c r="AC2776" s="19"/>
      <c r="AD2776" s="19"/>
      <c r="AE2776" s="19"/>
      <c r="AF2776" s="19"/>
      <c r="AG2776" s="19"/>
      <c r="AH2776" s="19"/>
      <c r="AI2776" s="19"/>
      <c r="AJ2776" s="19"/>
      <c r="AK2776" s="19"/>
      <c r="AL2776" s="19"/>
      <c r="AM2776" s="19"/>
      <c r="AN2776" s="19"/>
      <c r="AO2776" s="19"/>
      <c r="AP2776" s="19"/>
      <c r="AQ2776" s="19"/>
      <c r="AR2776" s="19"/>
      <c r="AS2776" s="19"/>
    </row>
    <row r="2777" spans="1:45" x14ac:dyDescent="0.3">
      <c r="A2777" s="410" t="s">
        <v>4449</v>
      </c>
      <c r="B2777" s="17"/>
      <c r="C2777" s="19"/>
      <c r="D2777" s="18"/>
      <c r="E2777" s="18"/>
      <c r="F2777" s="19"/>
      <c r="G2777" s="31"/>
      <c r="H2777" s="31"/>
      <c r="I2777" s="19"/>
      <c r="J2777" s="19"/>
      <c r="K2777" s="21"/>
      <c r="L2777" s="22"/>
      <c r="M2777" s="19"/>
      <c r="N2777" s="20"/>
      <c r="O2777" s="19"/>
      <c r="P2777" s="19"/>
      <c r="Q2777" s="19"/>
      <c r="R2777" s="19"/>
      <c r="S2777" s="19"/>
      <c r="T2777" s="19"/>
      <c r="U2777" s="19"/>
      <c r="V2777" s="19"/>
      <c r="W2777" s="19"/>
      <c r="X2777" s="19"/>
      <c r="Y2777" s="19"/>
      <c r="Z2777" s="19"/>
      <c r="AA2777" s="19"/>
      <c r="AB2777" s="19"/>
      <c r="AC2777" s="19"/>
      <c r="AD2777" s="19"/>
      <c r="AE2777" s="19"/>
      <c r="AF2777" s="19"/>
      <c r="AG2777" s="19"/>
      <c r="AH2777" s="19"/>
      <c r="AI2777" s="19"/>
      <c r="AJ2777" s="19"/>
      <c r="AK2777" s="19"/>
      <c r="AL2777" s="19"/>
      <c r="AM2777" s="19"/>
      <c r="AN2777" s="19"/>
      <c r="AO2777" s="19"/>
      <c r="AP2777" s="19"/>
      <c r="AQ2777" s="19"/>
      <c r="AR2777" s="19"/>
      <c r="AS2777" s="19"/>
    </row>
    <row r="2778" spans="1:45" x14ac:dyDescent="0.3">
      <c r="A2778" s="410" t="s">
        <v>4450</v>
      </c>
      <c r="B2778" s="17"/>
      <c r="C2778" s="19"/>
      <c r="D2778" s="18"/>
      <c r="E2778" s="18"/>
      <c r="F2778" s="19"/>
      <c r="G2778" s="31"/>
      <c r="H2778" s="31"/>
      <c r="I2778" s="19"/>
      <c r="J2778" s="19"/>
      <c r="K2778" s="21"/>
      <c r="L2778" s="22"/>
      <c r="M2778" s="19"/>
      <c r="N2778" s="20"/>
      <c r="O2778" s="19"/>
      <c r="P2778" s="19"/>
      <c r="Q2778" s="19"/>
      <c r="R2778" s="19"/>
      <c r="S2778" s="19"/>
      <c r="T2778" s="19"/>
      <c r="U2778" s="19"/>
      <c r="V2778" s="19"/>
      <c r="W2778" s="19"/>
      <c r="X2778" s="19"/>
      <c r="Y2778" s="19"/>
      <c r="Z2778" s="19"/>
      <c r="AA2778" s="19"/>
      <c r="AB2778" s="19"/>
      <c r="AC2778" s="19"/>
      <c r="AD2778" s="19"/>
      <c r="AE2778" s="19"/>
      <c r="AF2778" s="19"/>
      <c r="AG2778" s="19"/>
      <c r="AH2778" s="19"/>
      <c r="AI2778" s="19"/>
      <c r="AJ2778" s="19"/>
      <c r="AK2778" s="19"/>
      <c r="AL2778" s="19"/>
      <c r="AM2778" s="19"/>
      <c r="AN2778" s="19"/>
      <c r="AO2778" s="19"/>
      <c r="AP2778" s="19"/>
      <c r="AQ2778" s="19"/>
      <c r="AR2778" s="19"/>
      <c r="AS2778" s="19"/>
    </row>
    <row r="2779" spans="1:45" x14ac:dyDescent="0.3">
      <c r="A2779" s="410" t="s">
        <v>4451</v>
      </c>
      <c r="B2779" s="17"/>
      <c r="C2779" s="19"/>
      <c r="D2779" s="18"/>
      <c r="E2779" s="18"/>
      <c r="F2779" s="19"/>
      <c r="G2779" s="31"/>
      <c r="H2779" s="31"/>
      <c r="I2779" s="19"/>
      <c r="J2779" s="19"/>
      <c r="K2779" s="21"/>
      <c r="L2779" s="22"/>
      <c r="M2779" s="19"/>
      <c r="N2779" s="20"/>
      <c r="O2779" s="19"/>
      <c r="P2779" s="19"/>
      <c r="Q2779" s="19"/>
      <c r="R2779" s="19"/>
      <c r="S2779" s="19"/>
      <c r="T2779" s="19"/>
      <c r="U2779" s="19"/>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row>
    <row r="2780" spans="1:45" x14ac:dyDescent="0.3">
      <c r="A2780" s="410" t="s">
        <v>4452</v>
      </c>
      <c r="B2780" s="17"/>
      <c r="C2780" s="19"/>
      <c r="D2780" s="18"/>
      <c r="E2780" s="18"/>
      <c r="F2780" s="19"/>
      <c r="G2780" s="31"/>
      <c r="H2780" s="31"/>
      <c r="I2780" s="19"/>
      <c r="J2780" s="19"/>
      <c r="K2780" s="21"/>
      <c r="L2780" s="22"/>
      <c r="M2780" s="19"/>
      <c r="N2780" s="20"/>
      <c r="O2780" s="19"/>
      <c r="P2780" s="19"/>
      <c r="Q2780" s="19"/>
      <c r="R2780" s="19"/>
      <c r="S2780" s="19"/>
      <c r="T2780" s="19"/>
      <c r="U2780" s="19"/>
      <c r="V2780" s="19"/>
      <c r="W2780" s="19"/>
      <c r="X2780" s="19"/>
      <c r="Y2780" s="19"/>
      <c r="Z2780" s="19"/>
      <c r="AA2780" s="19"/>
      <c r="AB2780" s="19"/>
      <c r="AC2780" s="19"/>
      <c r="AD2780" s="19"/>
      <c r="AE2780" s="19"/>
      <c r="AF2780" s="19"/>
      <c r="AG2780" s="19"/>
      <c r="AH2780" s="19"/>
      <c r="AI2780" s="19"/>
      <c r="AJ2780" s="19"/>
      <c r="AK2780" s="19"/>
      <c r="AL2780" s="19"/>
      <c r="AM2780" s="19"/>
      <c r="AN2780" s="19"/>
      <c r="AO2780" s="19"/>
      <c r="AP2780" s="19"/>
      <c r="AQ2780" s="19"/>
      <c r="AR2780" s="19"/>
      <c r="AS2780" s="19"/>
    </row>
    <row r="2781" spans="1:45" x14ac:dyDescent="0.3">
      <c r="A2781" s="410" t="s">
        <v>4453</v>
      </c>
      <c r="B2781" s="17"/>
      <c r="C2781" s="19"/>
      <c r="D2781" s="18"/>
      <c r="E2781" s="18"/>
      <c r="F2781" s="19"/>
      <c r="G2781" s="31"/>
      <c r="H2781" s="31"/>
      <c r="I2781" s="19"/>
      <c r="J2781" s="19"/>
      <c r="K2781" s="21"/>
      <c r="L2781" s="22"/>
      <c r="M2781" s="19"/>
      <c r="N2781" s="20"/>
      <c r="O2781" s="19"/>
      <c r="P2781" s="19"/>
      <c r="Q2781" s="19"/>
      <c r="R2781" s="19"/>
      <c r="S2781" s="19"/>
      <c r="T2781" s="19"/>
      <c r="U2781" s="19"/>
      <c r="V2781" s="19"/>
      <c r="W2781" s="19"/>
      <c r="X2781" s="19"/>
      <c r="Y2781" s="19"/>
      <c r="Z2781" s="19"/>
      <c r="AA2781" s="19"/>
      <c r="AB2781" s="19"/>
      <c r="AC2781" s="19"/>
      <c r="AD2781" s="19"/>
      <c r="AE2781" s="19"/>
      <c r="AF2781" s="19"/>
      <c r="AG2781" s="19"/>
      <c r="AH2781" s="19"/>
      <c r="AI2781" s="19"/>
      <c r="AJ2781" s="19"/>
      <c r="AK2781" s="19"/>
      <c r="AL2781" s="19"/>
      <c r="AM2781" s="19"/>
      <c r="AN2781" s="19"/>
      <c r="AO2781" s="19"/>
      <c r="AP2781" s="19"/>
      <c r="AQ2781" s="19"/>
      <c r="AR2781" s="19"/>
      <c r="AS2781" s="19"/>
    </row>
    <row r="2782" spans="1:45" x14ac:dyDescent="0.3">
      <c r="A2782" s="410" t="s">
        <v>4454</v>
      </c>
      <c r="B2782" s="17"/>
      <c r="C2782" s="19"/>
      <c r="D2782" s="18"/>
      <c r="E2782" s="18"/>
      <c r="F2782" s="19"/>
      <c r="G2782" s="31"/>
      <c r="H2782" s="31"/>
      <c r="I2782" s="19"/>
      <c r="J2782" s="19"/>
      <c r="K2782" s="21"/>
      <c r="L2782" s="22"/>
      <c r="M2782" s="19"/>
      <c r="N2782" s="20"/>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row>
    <row r="2783" spans="1:45" x14ac:dyDescent="0.3">
      <c r="A2783" s="410" t="s">
        <v>4455</v>
      </c>
      <c r="B2783" s="17"/>
      <c r="C2783" s="19"/>
      <c r="D2783" s="18"/>
      <c r="E2783" s="18"/>
      <c r="F2783" s="19"/>
      <c r="G2783" s="31"/>
      <c r="H2783" s="31"/>
      <c r="I2783" s="19"/>
      <c r="J2783" s="19"/>
      <c r="K2783" s="21"/>
      <c r="L2783" s="22"/>
      <c r="M2783" s="19"/>
      <c r="N2783" s="20"/>
      <c r="O2783" s="19"/>
      <c r="P2783" s="19"/>
      <c r="Q2783" s="19"/>
      <c r="R2783" s="19"/>
      <c r="S2783" s="19"/>
      <c r="T2783" s="19"/>
      <c r="U2783" s="19"/>
      <c r="V2783" s="19"/>
      <c r="W2783" s="19"/>
      <c r="X2783" s="19"/>
      <c r="Y2783" s="19"/>
      <c r="Z2783" s="19"/>
      <c r="AA2783" s="19"/>
      <c r="AB2783" s="19"/>
      <c r="AC2783" s="19"/>
      <c r="AD2783" s="19"/>
      <c r="AE2783" s="19"/>
      <c r="AF2783" s="19"/>
      <c r="AG2783" s="19"/>
      <c r="AH2783" s="19"/>
      <c r="AI2783" s="19"/>
      <c r="AJ2783" s="19"/>
      <c r="AK2783" s="19"/>
      <c r="AL2783" s="19"/>
      <c r="AM2783" s="19"/>
      <c r="AN2783" s="19"/>
      <c r="AO2783" s="19"/>
      <c r="AP2783" s="19"/>
      <c r="AQ2783" s="19"/>
      <c r="AR2783" s="19"/>
      <c r="AS2783" s="19"/>
    </row>
    <row r="2784" spans="1:45" x14ac:dyDescent="0.3">
      <c r="A2784" s="410" t="s">
        <v>4456</v>
      </c>
      <c r="B2784" s="17"/>
      <c r="C2784" s="19"/>
      <c r="D2784" s="18"/>
      <c r="E2784" s="18"/>
      <c r="F2784" s="19"/>
      <c r="G2784" s="31"/>
      <c r="H2784" s="31"/>
      <c r="I2784" s="19"/>
      <c r="J2784" s="19"/>
      <c r="K2784" s="21"/>
      <c r="L2784" s="22"/>
      <c r="M2784" s="19"/>
      <c r="N2784" s="20"/>
      <c r="O2784" s="19"/>
      <c r="P2784" s="19"/>
      <c r="Q2784" s="19"/>
      <c r="R2784" s="19"/>
      <c r="S2784" s="19"/>
      <c r="T2784" s="19"/>
      <c r="U2784" s="19"/>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row>
    <row r="2785" spans="1:45" x14ac:dyDescent="0.3">
      <c r="A2785" s="410" t="s">
        <v>4457</v>
      </c>
      <c r="B2785" s="17"/>
      <c r="C2785" s="19"/>
      <c r="D2785" s="18"/>
      <c r="E2785" s="18"/>
      <c r="F2785" s="19"/>
      <c r="G2785" s="31"/>
      <c r="H2785" s="31"/>
      <c r="I2785" s="19"/>
      <c r="J2785" s="19"/>
      <c r="K2785" s="21"/>
      <c r="L2785" s="22"/>
      <c r="M2785" s="19"/>
      <c r="N2785" s="20"/>
      <c r="O2785" s="19"/>
      <c r="P2785" s="19"/>
      <c r="Q2785" s="19"/>
      <c r="R2785" s="19"/>
      <c r="S2785" s="19"/>
      <c r="T2785" s="19"/>
      <c r="U2785" s="19"/>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row>
    <row r="2786" spans="1:45" x14ac:dyDescent="0.3">
      <c r="A2786" s="410" t="s">
        <v>4458</v>
      </c>
      <c r="B2786" s="17"/>
      <c r="C2786" s="19"/>
      <c r="D2786" s="18"/>
      <c r="E2786" s="18"/>
      <c r="F2786" s="19"/>
      <c r="G2786" s="31"/>
      <c r="H2786" s="31"/>
      <c r="I2786" s="19"/>
      <c r="J2786" s="19"/>
      <c r="K2786" s="21"/>
      <c r="L2786" s="22"/>
      <c r="M2786" s="19"/>
      <c r="N2786" s="20"/>
      <c r="O2786" s="19"/>
      <c r="P2786" s="19"/>
      <c r="Q2786" s="19"/>
      <c r="R2786" s="19"/>
      <c r="S2786" s="19"/>
      <c r="T2786" s="19"/>
      <c r="U2786" s="19"/>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row>
    <row r="2787" spans="1:45" x14ac:dyDescent="0.3">
      <c r="A2787" s="410" t="s">
        <v>4459</v>
      </c>
      <c r="B2787" s="17"/>
      <c r="C2787" s="19"/>
      <c r="D2787" s="18"/>
      <c r="E2787" s="18"/>
      <c r="F2787" s="19"/>
      <c r="G2787" s="31"/>
      <c r="H2787" s="31"/>
      <c r="I2787" s="19"/>
      <c r="J2787" s="19"/>
      <c r="K2787" s="21"/>
      <c r="L2787" s="22"/>
      <c r="M2787" s="19"/>
      <c r="N2787" s="20"/>
      <c r="O2787" s="19"/>
      <c r="P2787" s="19"/>
      <c r="Q2787" s="19"/>
      <c r="R2787" s="19"/>
      <c r="S2787" s="19"/>
      <c r="T2787" s="19"/>
      <c r="U2787" s="19"/>
      <c r="V2787" s="19"/>
      <c r="W2787" s="19"/>
      <c r="X2787" s="19"/>
      <c r="Y2787" s="19"/>
      <c r="Z2787" s="19"/>
      <c r="AA2787" s="19"/>
      <c r="AB2787" s="19"/>
      <c r="AC2787" s="19"/>
      <c r="AD2787" s="19"/>
      <c r="AE2787" s="19"/>
      <c r="AF2787" s="19"/>
      <c r="AG2787" s="19"/>
      <c r="AH2787" s="19"/>
      <c r="AI2787" s="19"/>
      <c r="AJ2787" s="19"/>
      <c r="AK2787" s="19"/>
      <c r="AL2787" s="19"/>
      <c r="AM2787" s="19"/>
      <c r="AN2787" s="19"/>
      <c r="AO2787" s="19"/>
      <c r="AP2787" s="19"/>
      <c r="AQ2787" s="19"/>
      <c r="AR2787" s="19"/>
      <c r="AS2787" s="19"/>
    </row>
    <row r="2788" spans="1:45" x14ac:dyDescent="0.3">
      <c r="A2788" s="410" t="s">
        <v>4460</v>
      </c>
      <c r="B2788" s="17"/>
      <c r="C2788" s="19"/>
      <c r="D2788" s="18"/>
      <c r="E2788" s="18"/>
      <c r="F2788" s="19"/>
      <c r="G2788" s="31"/>
      <c r="H2788" s="31"/>
      <c r="I2788" s="19"/>
      <c r="J2788" s="19"/>
      <c r="K2788" s="21"/>
      <c r="L2788" s="22"/>
      <c r="M2788" s="19"/>
      <c r="N2788" s="20"/>
      <c r="O2788" s="19"/>
      <c r="P2788" s="19"/>
      <c r="Q2788" s="19"/>
      <c r="R2788" s="19"/>
      <c r="S2788" s="19"/>
      <c r="T2788" s="19"/>
      <c r="U2788" s="19"/>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row>
    <row r="2789" spans="1:45" x14ac:dyDescent="0.3">
      <c r="A2789" s="410" t="s">
        <v>4461</v>
      </c>
      <c r="B2789" s="17"/>
      <c r="C2789" s="19"/>
      <c r="D2789" s="18"/>
      <c r="E2789" s="18"/>
      <c r="F2789" s="19"/>
      <c r="G2789" s="31"/>
      <c r="H2789" s="31"/>
      <c r="I2789" s="19"/>
      <c r="J2789" s="19"/>
      <c r="K2789" s="21"/>
      <c r="L2789" s="22"/>
      <c r="M2789" s="19"/>
      <c r="N2789" s="20"/>
      <c r="O2789" s="19"/>
      <c r="P2789" s="19"/>
      <c r="Q2789" s="19"/>
      <c r="R2789" s="19"/>
      <c r="S2789" s="19"/>
      <c r="T2789" s="19"/>
      <c r="U2789" s="19"/>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row>
    <row r="2790" spans="1:45" x14ac:dyDescent="0.3">
      <c r="A2790" s="410" t="s">
        <v>4462</v>
      </c>
      <c r="B2790" s="17"/>
      <c r="C2790" s="19"/>
      <c r="D2790" s="18"/>
      <c r="E2790" s="18"/>
      <c r="F2790" s="19"/>
      <c r="G2790" s="31"/>
      <c r="H2790" s="31"/>
      <c r="I2790" s="19"/>
      <c r="J2790" s="19"/>
      <c r="K2790" s="21"/>
      <c r="L2790" s="22"/>
      <c r="M2790" s="19"/>
      <c r="N2790" s="20"/>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row>
    <row r="2791" spans="1:45" x14ac:dyDescent="0.3">
      <c r="A2791" s="410" t="s">
        <v>4463</v>
      </c>
      <c r="B2791" s="17"/>
      <c r="C2791" s="19"/>
      <c r="D2791" s="18"/>
      <c r="E2791" s="18"/>
      <c r="F2791" s="19"/>
      <c r="G2791" s="31"/>
      <c r="H2791" s="31"/>
      <c r="I2791" s="19"/>
      <c r="J2791" s="19"/>
      <c r="K2791" s="21"/>
      <c r="L2791" s="22"/>
      <c r="M2791" s="19"/>
      <c r="N2791" s="20"/>
      <c r="O2791" s="19"/>
      <c r="P2791" s="19"/>
      <c r="Q2791" s="19"/>
      <c r="R2791" s="19"/>
      <c r="S2791" s="19"/>
      <c r="T2791" s="19"/>
      <c r="U2791" s="19"/>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row>
    <row r="2792" spans="1:45" x14ac:dyDescent="0.3">
      <c r="A2792" s="410" t="s">
        <v>4464</v>
      </c>
      <c r="B2792" s="17"/>
      <c r="C2792" s="19"/>
      <c r="D2792" s="18"/>
      <c r="E2792" s="18"/>
      <c r="F2792" s="19"/>
      <c r="G2792" s="31"/>
      <c r="H2792" s="31"/>
      <c r="I2792" s="19"/>
      <c r="J2792" s="19"/>
      <c r="K2792" s="21"/>
      <c r="L2792" s="22"/>
      <c r="M2792" s="19"/>
      <c r="N2792" s="20"/>
      <c r="O2792" s="19"/>
      <c r="P2792" s="19"/>
      <c r="Q2792" s="19"/>
      <c r="R2792" s="19"/>
      <c r="S2792" s="19"/>
      <c r="T2792" s="19"/>
      <c r="U2792" s="19"/>
      <c r="V2792" s="19"/>
      <c r="W2792" s="19"/>
      <c r="X2792" s="19"/>
      <c r="Y2792" s="19"/>
      <c r="Z2792" s="19"/>
      <c r="AA2792" s="19"/>
      <c r="AB2792" s="19"/>
      <c r="AC2792" s="19"/>
      <c r="AD2792" s="19"/>
      <c r="AE2792" s="19"/>
      <c r="AF2792" s="19"/>
      <c r="AG2792" s="19"/>
      <c r="AH2792" s="19"/>
      <c r="AI2792" s="19"/>
      <c r="AJ2792" s="19"/>
      <c r="AK2792" s="19"/>
      <c r="AL2792" s="19"/>
      <c r="AM2792" s="19"/>
      <c r="AN2792" s="19"/>
      <c r="AO2792" s="19"/>
      <c r="AP2792" s="19"/>
      <c r="AQ2792" s="19"/>
      <c r="AR2792" s="19"/>
      <c r="AS2792" s="19"/>
    </row>
    <row r="2793" spans="1:45" x14ac:dyDescent="0.3">
      <c r="A2793" s="410" t="s">
        <v>4465</v>
      </c>
      <c r="B2793" s="17"/>
      <c r="C2793" s="19"/>
      <c r="D2793" s="18"/>
      <c r="E2793" s="18"/>
      <c r="F2793" s="19"/>
      <c r="G2793" s="31"/>
      <c r="H2793" s="31"/>
      <c r="I2793" s="19"/>
      <c r="J2793" s="19"/>
      <c r="K2793" s="21"/>
      <c r="L2793" s="22"/>
      <c r="M2793" s="19"/>
      <c r="N2793" s="20"/>
      <c r="O2793" s="19"/>
      <c r="P2793" s="19"/>
      <c r="Q2793" s="19"/>
      <c r="R2793" s="19"/>
      <c r="S2793" s="19"/>
      <c r="T2793" s="19"/>
      <c r="U2793" s="19"/>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row>
    <row r="2794" spans="1:45" x14ac:dyDescent="0.3">
      <c r="A2794" s="410" t="s">
        <v>4466</v>
      </c>
      <c r="B2794" s="17"/>
      <c r="C2794" s="19"/>
      <c r="D2794" s="18"/>
      <c r="E2794" s="18"/>
      <c r="F2794" s="19"/>
      <c r="G2794" s="31"/>
      <c r="H2794" s="31"/>
      <c r="I2794" s="19"/>
      <c r="J2794" s="19"/>
      <c r="K2794" s="21"/>
      <c r="L2794" s="22"/>
      <c r="M2794" s="19"/>
      <c r="N2794" s="20"/>
      <c r="O2794" s="19"/>
      <c r="P2794" s="19"/>
      <c r="Q2794" s="19"/>
      <c r="R2794" s="19"/>
      <c r="S2794" s="19"/>
      <c r="T2794" s="19"/>
      <c r="U2794" s="19"/>
      <c r="V2794" s="19"/>
      <c r="W2794" s="19"/>
      <c r="X2794" s="19"/>
      <c r="Y2794" s="19"/>
      <c r="Z2794" s="19"/>
      <c r="AA2794" s="19"/>
      <c r="AB2794" s="19"/>
      <c r="AC2794" s="19"/>
      <c r="AD2794" s="19"/>
      <c r="AE2794" s="19"/>
      <c r="AF2794" s="19"/>
      <c r="AG2794" s="19"/>
      <c r="AH2794" s="19"/>
      <c r="AI2794" s="19"/>
      <c r="AJ2794" s="19"/>
      <c r="AK2794" s="19"/>
      <c r="AL2794" s="19"/>
      <c r="AM2794" s="19"/>
      <c r="AN2794" s="19"/>
      <c r="AO2794" s="19"/>
      <c r="AP2794" s="19"/>
      <c r="AQ2794" s="19"/>
      <c r="AR2794" s="19"/>
      <c r="AS2794" s="19"/>
    </row>
    <row r="2795" spans="1:45" x14ac:dyDescent="0.3">
      <c r="A2795" s="410" t="s">
        <v>4467</v>
      </c>
      <c r="B2795" s="17"/>
      <c r="C2795" s="19"/>
      <c r="D2795" s="18"/>
      <c r="E2795" s="18"/>
      <c r="F2795" s="19"/>
      <c r="G2795" s="31"/>
      <c r="H2795" s="31"/>
      <c r="I2795" s="19"/>
      <c r="J2795" s="19"/>
      <c r="K2795" s="21"/>
      <c r="L2795" s="22"/>
      <c r="M2795" s="19"/>
      <c r="N2795" s="20"/>
      <c r="O2795" s="19"/>
      <c r="P2795" s="19"/>
      <c r="Q2795" s="19"/>
      <c r="R2795" s="19"/>
      <c r="S2795" s="19"/>
      <c r="T2795" s="19"/>
      <c r="U2795" s="19"/>
      <c r="V2795" s="19"/>
      <c r="W2795" s="19"/>
      <c r="X2795" s="19"/>
      <c r="Y2795" s="19"/>
      <c r="Z2795" s="19"/>
      <c r="AA2795" s="19"/>
      <c r="AB2795" s="19"/>
      <c r="AC2795" s="19"/>
      <c r="AD2795" s="19"/>
      <c r="AE2795" s="19"/>
      <c r="AF2795" s="19"/>
      <c r="AG2795" s="19"/>
      <c r="AH2795" s="19"/>
      <c r="AI2795" s="19"/>
      <c r="AJ2795" s="19"/>
      <c r="AK2795" s="19"/>
      <c r="AL2795" s="19"/>
      <c r="AM2795" s="19"/>
      <c r="AN2795" s="19"/>
      <c r="AO2795" s="19"/>
      <c r="AP2795" s="19"/>
      <c r="AQ2795" s="19"/>
      <c r="AR2795" s="19"/>
      <c r="AS2795" s="19"/>
    </row>
    <row r="2796" spans="1:45" x14ac:dyDescent="0.3">
      <c r="A2796" s="410" t="s">
        <v>4468</v>
      </c>
      <c r="B2796" s="17"/>
      <c r="C2796" s="19"/>
      <c r="D2796" s="18"/>
      <c r="E2796" s="18"/>
      <c r="F2796" s="19"/>
      <c r="G2796" s="31"/>
      <c r="H2796" s="31"/>
      <c r="I2796" s="19"/>
      <c r="J2796" s="19"/>
      <c r="K2796" s="21"/>
      <c r="L2796" s="22"/>
      <c r="M2796" s="19"/>
      <c r="N2796" s="20"/>
      <c r="O2796" s="19"/>
      <c r="P2796" s="19"/>
      <c r="Q2796" s="19"/>
      <c r="R2796" s="19"/>
      <c r="S2796" s="19"/>
      <c r="T2796" s="19"/>
      <c r="U2796" s="19"/>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19"/>
    </row>
    <row r="2797" spans="1:45" x14ac:dyDescent="0.3">
      <c r="A2797" s="410" t="s">
        <v>4469</v>
      </c>
      <c r="B2797" s="17"/>
      <c r="C2797" s="19"/>
      <c r="D2797" s="18"/>
      <c r="E2797" s="18"/>
      <c r="F2797" s="19"/>
      <c r="G2797" s="31"/>
      <c r="H2797" s="31"/>
      <c r="I2797" s="19"/>
      <c r="J2797" s="19"/>
      <c r="K2797" s="21"/>
      <c r="L2797" s="22"/>
      <c r="M2797" s="19"/>
      <c r="N2797" s="20"/>
      <c r="O2797" s="19"/>
      <c r="P2797" s="19"/>
      <c r="Q2797" s="19"/>
      <c r="R2797" s="19"/>
      <c r="S2797" s="19"/>
      <c r="T2797" s="19"/>
      <c r="U2797" s="19"/>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row>
    <row r="2798" spans="1:45" x14ac:dyDescent="0.3">
      <c r="A2798" s="410" t="s">
        <v>4470</v>
      </c>
      <c r="B2798" s="17"/>
      <c r="C2798" s="19"/>
      <c r="D2798" s="18"/>
      <c r="E2798" s="18"/>
      <c r="F2798" s="19"/>
      <c r="G2798" s="31"/>
      <c r="H2798" s="31"/>
      <c r="I2798" s="19"/>
      <c r="J2798" s="19"/>
      <c r="K2798" s="21"/>
      <c r="L2798" s="22"/>
      <c r="M2798" s="19"/>
      <c r="N2798" s="20"/>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row>
    <row r="2799" spans="1:45" x14ac:dyDescent="0.3">
      <c r="A2799" s="410" t="s">
        <v>4471</v>
      </c>
      <c r="B2799" s="17"/>
      <c r="C2799" s="19"/>
      <c r="D2799" s="18"/>
      <c r="E2799" s="18"/>
      <c r="F2799" s="19"/>
      <c r="G2799" s="31"/>
      <c r="H2799" s="31"/>
      <c r="I2799" s="19"/>
      <c r="J2799" s="19"/>
      <c r="K2799" s="21"/>
      <c r="L2799" s="22"/>
      <c r="M2799" s="19"/>
      <c r="N2799" s="20"/>
      <c r="O2799" s="19"/>
      <c r="P2799" s="19"/>
      <c r="Q2799" s="19"/>
      <c r="R2799" s="19"/>
      <c r="S2799" s="19"/>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row>
    <row r="2800" spans="1:45" x14ac:dyDescent="0.3">
      <c r="A2800" s="410" t="s">
        <v>4472</v>
      </c>
      <c r="B2800" s="17"/>
      <c r="C2800" s="19"/>
      <c r="D2800" s="18"/>
      <c r="E2800" s="18"/>
      <c r="F2800" s="19"/>
      <c r="G2800" s="31"/>
      <c r="H2800" s="31"/>
      <c r="I2800" s="19"/>
      <c r="J2800" s="19"/>
      <c r="K2800" s="21"/>
      <c r="L2800" s="22"/>
      <c r="M2800" s="19"/>
      <c r="N2800" s="20"/>
      <c r="O2800" s="19"/>
      <c r="P2800" s="19"/>
      <c r="Q2800" s="19"/>
      <c r="R2800" s="19"/>
      <c r="S2800" s="19"/>
      <c r="T2800" s="19"/>
      <c r="U2800" s="19"/>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row>
    <row r="2801" spans="1:45" x14ac:dyDescent="0.3">
      <c r="A2801" s="410" t="s">
        <v>4473</v>
      </c>
      <c r="B2801" s="17"/>
      <c r="C2801" s="19"/>
      <c r="D2801" s="18"/>
      <c r="E2801" s="18"/>
      <c r="F2801" s="19"/>
      <c r="G2801" s="31"/>
      <c r="H2801" s="31"/>
      <c r="I2801" s="19"/>
      <c r="J2801" s="19"/>
      <c r="K2801" s="21"/>
      <c r="L2801" s="22"/>
      <c r="M2801" s="19"/>
      <c r="N2801" s="20"/>
      <c r="O2801" s="19"/>
      <c r="P2801" s="19"/>
      <c r="Q2801" s="19"/>
      <c r="R2801" s="19"/>
      <c r="S2801" s="19"/>
      <c r="T2801" s="19"/>
      <c r="U2801" s="19"/>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19"/>
    </row>
    <row r="2802" spans="1:45" x14ac:dyDescent="0.3">
      <c r="A2802" s="410" t="s">
        <v>4474</v>
      </c>
      <c r="B2802" s="17"/>
      <c r="C2802" s="19"/>
      <c r="D2802" s="18"/>
      <c r="E2802" s="18"/>
      <c r="F2802" s="19"/>
      <c r="G2802" s="31"/>
      <c r="H2802" s="31"/>
      <c r="I2802" s="19"/>
      <c r="J2802" s="19"/>
      <c r="K2802" s="21"/>
      <c r="L2802" s="22"/>
      <c r="M2802" s="19"/>
      <c r="N2802" s="20"/>
      <c r="O2802" s="19"/>
      <c r="P2802" s="19"/>
      <c r="Q2802" s="19"/>
      <c r="R2802" s="19"/>
      <c r="S2802" s="19"/>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row>
    <row r="2803" spans="1:45" x14ac:dyDescent="0.3">
      <c r="A2803" s="410" t="s">
        <v>4475</v>
      </c>
      <c r="B2803" s="17"/>
      <c r="C2803" s="19"/>
      <c r="D2803" s="18"/>
      <c r="E2803" s="18"/>
      <c r="F2803" s="19"/>
      <c r="G2803" s="31"/>
      <c r="H2803" s="31"/>
      <c r="I2803" s="19"/>
      <c r="J2803" s="19"/>
      <c r="K2803" s="21"/>
      <c r="L2803" s="22"/>
      <c r="M2803" s="19"/>
      <c r="N2803" s="20"/>
      <c r="O2803" s="19"/>
      <c r="P2803" s="19"/>
      <c r="Q2803" s="19"/>
      <c r="R2803" s="19"/>
      <c r="S2803" s="19"/>
      <c r="T2803" s="19"/>
      <c r="U2803" s="19"/>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19"/>
    </row>
    <row r="2804" spans="1:45" x14ac:dyDescent="0.3">
      <c r="A2804" s="410" t="s">
        <v>4476</v>
      </c>
      <c r="B2804" s="17"/>
      <c r="C2804" s="19"/>
      <c r="D2804" s="18"/>
      <c r="E2804" s="18"/>
      <c r="F2804" s="19"/>
      <c r="G2804" s="31"/>
      <c r="H2804" s="31"/>
      <c r="I2804" s="19"/>
      <c r="J2804" s="19"/>
      <c r="K2804" s="21"/>
      <c r="L2804" s="22"/>
      <c r="M2804" s="19"/>
      <c r="N2804" s="20"/>
      <c r="O2804" s="19"/>
      <c r="P2804" s="19"/>
      <c r="Q2804" s="19"/>
      <c r="R2804" s="19"/>
      <c r="S2804" s="19"/>
      <c r="T2804" s="19"/>
      <c r="U2804" s="19"/>
      <c r="V2804" s="19"/>
      <c r="W2804" s="19"/>
      <c r="X2804" s="19"/>
      <c r="Y2804" s="19"/>
      <c r="Z2804" s="19"/>
      <c r="AA2804" s="19"/>
      <c r="AB2804" s="19"/>
      <c r="AC2804" s="19"/>
      <c r="AD2804" s="19"/>
      <c r="AE2804" s="19"/>
      <c r="AF2804" s="19"/>
      <c r="AG2804" s="19"/>
      <c r="AH2804" s="19"/>
      <c r="AI2804" s="19"/>
      <c r="AJ2804" s="19"/>
      <c r="AK2804" s="19"/>
      <c r="AL2804" s="19"/>
      <c r="AM2804" s="19"/>
      <c r="AN2804" s="19"/>
      <c r="AO2804" s="19"/>
      <c r="AP2804" s="19"/>
      <c r="AQ2804" s="19"/>
      <c r="AR2804" s="19"/>
      <c r="AS2804" s="19"/>
    </row>
    <row r="2805" spans="1:45" x14ac:dyDescent="0.3">
      <c r="A2805" s="410" t="s">
        <v>4477</v>
      </c>
      <c r="B2805" s="17"/>
      <c r="C2805" s="19"/>
      <c r="D2805" s="18"/>
      <c r="E2805" s="18"/>
      <c r="F2805" s="19"/>
      <c r="G2805" s="31"/>
      <c r="H2805" s="31"/>
      <c r="I2805" s="19"/>
      <c r="J2805" s="19"/>
      <c r="K2805" s="21"/>
      <c r="L2805" s="22"/>
      <c r="M2805" s="19"/>
      <c r="N2805" s="20"/>
      <c r="O2805" s="19"/>
      <c r="P2805" s="19"/>
      <c r="Q2805" s="19"/>
      <c r="R2805" s="19"/>
      <c r="S2805" s="19"/>
      <c r="T2805" s="19"/>
      <c r="U2805" s="19"/>
      <c r="V2805" s="19"/>
      <c r="W2805" s="19"/>
      <c r="X2805" s="19"/>
      <c r="Y2805" s="19"/>
      <c r="Z2805" s="19"/>
      <c r="AA2805" s="19"/>
      <c r="AB2805" s="19"/>
      <c r="AC2805" s="19"/>
      <c r="AD2805" s="19"/>
      <c r="AE2805" s="19"/>
      <c r="AF2805" s="19"/>
      <c r="AG2805" s="19"/>
      <c r="AH2805" s="19"/>
      <c r="AI2805" s="19"/>
      <c r="AJ2805" s="19"/>
      <c r="AK2805" s="19"/>
      <c r="AL2805" s="19"/>
      <c r="AM2805" s="19"/>
      <c r="AN2805" s="19"/>
      <c r="AO2805" s="19"/>
      <c r="AP2805" s="19"/>
      <c r="AQ2805" s="19"/>
      <c r="AR2805" s="19"/>
      <c r="AS2805" s="19"/>
    </row>
    <row r="2806" spans="1:45" x14ac:dyDescent="0.3">
      <c r="A2806" s="410" t="s">
        <v>4478</v>
      </c>
      <c r="B2806" s="17"/>
      <c r="C2806" s="19"/>
      <c r="D2806" s="18"/>
      <c r="E2806" s="18"/>
      <c r="F2806" s="19"/>
      <c r="G2806" s="31"/>
      <c r="H2806" s="31"/>
      <c r="I2806" s="19"/>
      <c r="J2806" s="19"/>
      <c r="K2806" s="21"/>
      <c r="L2806" s="22"/>
      <c r="M2806" s="19"/>
      <c r="N2806" s="20"/>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row>
    <row r="2807" spans="1:45" x14ac:dyDescent="0.3">
      <c r="A2807" s="410" t="s">
        <v>4479</v>
      </c>
      <c r="B2807" s="17"/>
      <c r="C2807" s="19"/>
      <c r="D2807" s="18"/>
      <c r="E2807" s="18"/>
      <c r="F2807" s="19"/>
      <c r="G2807" s="31"/>
      <c r="H2807" s="31"/>
      <c r="I2807" s="19"/>
      <c r="J2807" s="19"/>
      <c r="K2807" s="21"/>
      <c r="L2807" s="22"/>
      <c r="M2807" s="19"/>
      <c r="N2807" s="20"/>
      <c r="O2807" s="19"/>
      <c r="P2807" s="19"/>
      <c r="Q2807" s="19"/>
      <c r="R2807" s="19"/>
      <c r="S2807" s="19"/>
      <c r="T2807" s="19"/>
      <c r="U2807" s="19"/>
      <c r="V2807" s="19"/>
      <c r="W2807" s="19"/>
      <c r="X2807" s="19"/>
      <c r="Y2807" s="19"/>
      <c r="Z2807" s="19"/>
      <c r="AA2807" s="19"/>
      <c r="AB2807" s="19"/>
      <c r="AC2807" s="19"/>
      <c r="AD2807" s="19"/>
      <c r="AE2807" s="19"/>
      <c r="AF2807" s="19"/>
      <c r="AG2807" s="19"/>
      <c r="AH2807" s="19"/>
      <c r="AI2807" s="19"/>
      <c r="AJ2807" s="19"/>
      <c r="AK2807" s="19"/>
      <c r="AL2807" s="19"/>
      <c r="AM2807" s="19"/>
      <c r="AN2807" s="19"/>
      <c r="AO2807" s="19"/>
      <c r="AP2807" s="19"/>
      <c r="AQ2807" s="19"/>
      <c r="AR2807" s="19"/>
      <c r="AS2807" s="19"/>
    </row>
    <row r="2808" spans="1:45" x14ac:dyDescent="0.3">
      <c r="A2808" s="410" t="s">
        <v>4480</v>
      </c>
      <c r="B2808" s="17"/>
      <c r="C2808" s="19"/>
      <c r="D2808" s="18"/>
      <c r="E2808" s="18"/>
      <c r="F2808" s="19"/>
      <c r="G2808" s="31"/>
      <c r="H2808" s="31"/>
      <c r="I2808" s="19"/>
      <c r="J2808" s="19"/>
      <c r="K2808" s="21"/>
      <c r="L2808" s="22"/>
      <c r="M2808" s="19"/>
      <c r="N2808" s="20"/>
      <c r="O2808" s="19"/>
      <c r="P2808" s="19"/>
      <c r="Q2808" s="19"/>
      <c r="R2808" s="19"/>
      <c r="S2808" s="19"/>
      <c r="T2808" s="19"/>
      <c r="U2808" s="19"/>
      <c r="V2808" s="19"/>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AQ2808" s="19"/>
      <c r="AR2808" s="19"/>
      <c r="AS2808" s="19"/>
    </row>
    <row r="2809" spans="1:45" x14ac:dyDescent="0.3">
      <c r="A2809" s="410" t="s">
        <v>4481</v>
      </c>
      <c r="B2809" s="17"/>
      <c r="C2809" s="19"/>
      <c r="D2809" s="18"/>
      <c r="E2809" s="18"/>
      <c r="F2809" s="19"/>
      <c r="G2809" s="31"/>
      <c r="H2809" s="31"/>
      <c r="I2809" s="19"/>
      <c r="J2809" s="19"/>
      <c r="K2809" s="21"/>
      <c r="L2809" s="22"/>
      <c r="M2809" s="19"/>
      <c r="N2809" s="20"/>
      <c r="O2809" s="19"/>
      <c r="P2809" s="19"/>
      <c r="Q2809" s="19"/>
      <c r="R2809" s="19"/>
      <c r="S2809" s="19"/>
      <c r="T2809" s="19"/>
      <c r="U2809" s="19"/>
      <c r="V2809" s="19"/>
      <c r="W2809" s="19"/>
      <c r="X2809" s="19"/>
      <c r="Y2809" s="19"/>
      <c r="Z2809" s="19"/>
      <c r="AA2809" s="19"/>
      <c r="AB2809" s="19"/>
      <c r="AC2809" s="19"/>
      <c r="AD2809" s="19"/>
      <c r="AE2809" s="19"/>
      <c r="AF2809" s="19"/>
      <c r="AG2809" s="19"/>
      <c r="AH2809" s="19"/>
      <c r="AI2809" s="19"/>
      <c r="AJ2809" s="19"/>
      <c r="AK2809" s="19"/>
      <c r="AL2809" s="19"/>
      <c r="AM2809" s="19"/>
      <c r="AN2809" s="19"/>
      <c r="AO2809" s="19"/>
      <c r="AP2809" s="19"/>
      <c r="AQ2809" s="19"/>
      <c r="AR2809" s="19"/>
      <c r="AS2809" s="19"/>
    </row>
    <row r="2810" spans="1:45" x14ac:dyDescent="0.3">
      <c r="A2810" s="410" t="s">
        <v>4482</v>
      </c>
      <c r="B2810" s="17"/>
      <c r="C2810" s="19"/>
      <c r="D2810" s="18"/>
      <c r="E2810" s="18"/>
      <c r="F2810" s="19"/>
      <c r="G2810" s="31"/>
      <c r="H2810" s="31"/>
      <c r="I2810" s="19"/>
      <c r="J2810" s="19"/>
      <c r="K2810" s="21"/>
      <c r="L2810" s="22"/>
      <c r="M2810" s="19"/>
      <c r="N2810" s="20"/>
      <c r="O2810" s="19"/>
      <c r="P2810" s="19"/>
      <c r="Q2810" s="19"/>
      <c r="R2810" s="19"/>
      <c r="S2810" s="19"/>
      <c r="T2810" s="19"/>
      <c r="U2810" s="19"/>
      <c r="V2810" s="19"/>
      <c r="W2810" s="19"/>
      <c r="X2810" s="19"/>
      <c r="Y2810" s="19"/>
      <c r="Z2810" s="19"/>
      <c r="AA2810" s="19"/>
      <c r="AB2810" s="19"/>
      <c r="AC2810" s="19"/>
      <c r="AD2810" s="19"/>
      <c r="AE2810" s="19"/>
      <c r="AF2810" s="19"/>
      <c r="AG2810" s="19"/>
      <c r="AH2810" s="19"/>
      <c r="AI2810" s="19"/>
      <c r="AJ2810" s="19"/>
      <c r="AK2810" s="19"/>
      <c r="AL2810" s="19"/>
      <c r="AM2810" s="19"/>
      <c r="AN2810" s="19"/>
      <c r="AO2810" s="19"/>
      <c r="AP2810" s="19"/>
      <c r="AQ2810" s="19"/>
      <c r="AR2810" s="19"/>
      <c r="AS2810" s="19"/>
    </row>
    <row r="2811" spans="1:45" x14ac:dyDescent="0.3">
      <c r="A2811" s="410" t="s">
        <v>4483</v>
      </c>
      <c r="B2811" s="17"/>
      <c r="C2811" s="19"/>
      <c r="D2811" s="18"/>
      <c r="E2811" s="18"/>
      <c r="F2811" s="19"/>
      <c r="G2811" s="31"/>
      <c r="H2811" s="31"/>
      <c r="I2811" s="19"/>
      <c r="J2811" s="19"/>
      <c r="K2811" s="21"/>
      <c r="L2811" s="22"/>
      <c r="M2811" s="19"/>
      <c r="N2811" s="20"/>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row>
    <row r="2812" spans="1:45" x14ac:dyDescent="0.3">
      <c r="A2812" s="410" t="s">
        <v>4484</v>
      </c>
      <c r="B2812" s="17"/>
      <c r="C2812" s="19"/>
      <c r="D2812" s="18"/>
      <c r="E2812" s="18"/>
      <c r="F2812" s="19"/>
      <c r="G2812" s="31"/>
      <c r="H2812" s="31"/>
      <c r="I2812" s="19"/>
      <c r="J2812" s="19"/>
      <c r="K2812" s="21"/>
      <c r="L2812" s="22"/>
      <c r="M2812" s="19"/>
      <c r="N2812" s="20"/>
      <c r="O2812" s="19"/>
      <c r="P2812" s="19"/>
      <c r="Q2812" s="19"/>
      <c r="R2812" s="19"/>
      <c r="S2812" s="19"/>
      <c r="T2812" s="19"/>
      <c r="U2812" s="19"/>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row>
    <row r="2813" spans="1:45" x14ac:dyDescent="0.3">
      <c r="A2813" s="410" t="s">
        <v>4485</v>
      </c>
      <c r="B2813" s="17"/>
      <c r="C2813" s="19"/>
      <c r="D2813" s="18"/>
      <c r="E2813" s="18"/>
      <c r="F2813" s="19"/>
      <c r="G2813" s="31"/>
      <c r="H2813" s="31"/>
      <c r="I2813" s="19"/>
      <c r="J2813" s="19"/>
      <c r="K2813" s="21"/>
      <c r="L2813" s="22"/>
      <c r="M2813" s="19"/>
      <c r="N2813" s="20"/>
      <c r="O2813" s="19"/>
      <c r="P2813" s="19"/>
      <c r="Q2813" s="19"/>
      <c r="R2813" s="19"/>
      <c r="S2813" s="19"/>
      <c r="T2813" s="19"/>
      <c r="U2813" s="19"/>
      <c r="V2813" s="19"/>
      <c r="W2813" s="19"/>
      <c r="X2813" s="19"/>
      <c r="Y2813" s="19"/>
      <c r="Z2813" s="19"/>
      <c r="AA2813" s="19"/>
      <c r="AB2813" s="19"/>
      <c r="AC2813" s="19"/>
      <c r="AD2813" s="19"/>
      <c r="AE2813" s="19"/>
      <c r="AF2813" s="19"/>
      <c r="AG2813" s="19"/>
      <c r="AH2813" s="19"/>
      <c r="AI2813" s="19"/>
      <c r="AJ2813" s="19"/>
      <c r="AK2813" s="19"/>
      <c r="AL2813" s="19"/>
      <c r="AM2813" s="19"/>
      <c r="AN2813" s="19"/>
      <c r="AO2813" s="19"/>
      <c r="AP2813" s="19"/>
      <c r="AQ2813" s="19"/>
      <c r="AR2813" s="19"/>
      <c r="AS2813" s="19"/>
    </row>
    <row r="2814" spans="1:45" x14ac:dyDescent="0.3">
      <c r="A2814" s="410" t="s">
        <v>4486</v>
      </c>
      <c r="B2814" s="17"/>
      <c r="C2814" s="19"/>
      <c r="D2814" s="18"/>
      <c r="E2814" s="18"/>
      <c r="F2814" s="19"/>
      <c r="G2814" s="31"/>
      <c r="H2814" s="31"/>
      <c r="I2814" s="19"/>
      <c r="J2814" s="19"/>
      <c r="K2814" s="21"/>
      <c r="L2814" s="22"/>
      <c r="M2814" s="19"/>
      <c r="N2814" s="20"/>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row>
    <row r="2815" spans="1:45" x14ac:dyDescent="0.3">
      <c r="A2815" s="410" t="s">
        <v>4487</v>
      </c>
      <c r="B2815" s="17"/>
      <c r="C2815" s="19"/>
      <c r="D2815" s="18"/>
      <c r="E2815" s="18"/>
      <c r="F2815" s="19"/>
      <c r="G2815" s="31"/>
      <c r="H2815" s="31"/>
      <c r="I2815" s="19"/>
      <c r="J2815" s="19"/>
      <c r="K2815" s="21"/>
      <c r="L2815" s="22"/>
      <c r="M2815" s="19"/>
      <c r="N2815" s="20"/>
      <c r="O2815" s="19"/>
      <c r="P2815" s="19"/>
      <c r="Q2815" s="19"/>
      <c r="R2815" s="19"/>
      <c r="S2815" s="19"/>
      <c r="T2815" s="19"/>
      <c r="U2815" s="19"/>
      <c r="V2815" s="19"/>
      <c r="W2815" s="19"/>
      <c r="X2815" s="19"/>
      <c r="Y2815" s="19"/>
      <c r="Z2815" s="19"/>
      <c r="AA2815" s="19"/>
      <c r="AB2815" s="19"/>
      <c r="AC2815" s="19"/>
      <c r="AD2815" s="19"/>
      <c r="AE2815" s="19"/>
      <c r="AF2815" s="19"/>
      <c r="AG2815" s="19"/>
      <c r="AH2815" s="19"/>
      <c r="AI2815" s="19"/>
      <c r="AJ2815" s="19"/>
      <c r="AK2815" s="19"/>
      <c r="AL2815" s="19"/>
      <c r="AM2815" s="19"/>
      <c r="AN2815" s="19"/>
      <c r="AO2815" s="19"/>
      <c r="AP2815" s="19"/>
      <c r="AQ2815" s="19"/>
      <c r="AR2815" s="19"/>
      <c r="AS2815" s="19"/>
    </row>
    <row r="2816" spans="1:45" x14ac:dyDescent="0.3">
      <c r="A2816" s="410" t="s">
        <v>4488</v>
      </c>
      <c r="B2816" s="17"/>
      <c r="C2816" s="19"/>
      <c r="D2816" s="18"/>
      <c r="E2816" s="18"/>
      <c r="F2816" s="19"/>
      <c r="G2816" s="31"/>
      <c r="H2816" s="31"/>
      <c r="I2816" s="19"/>
      <c r="J2816" s="19"/>
      <c r="K2816" s="21"/>
      <c r="L2816" s="22"/>
      <c r="M2816" s="19"/>
      <c r="N2816" s="20"/>
      <c r="O2816" s="19"/>
      <c r="P2816" s="19"/>
      <c r="Q2816" s="19"/>
      <c r="R2816" s="19"/>
      <c r="S2816" s="19"/>
      <c r="T2816" s="19"/>
      <c r="U2816" s="19"/>
      <c r="V2816" s="19"/>
      <c r="W2816" s="19"/>
      <c r="X2816" s="19"/>
      <c r="Y2816" s="19"/>
      <c r="Z2816" s="19"/>
      <c r="AA2816" s="19"/>
      <c r="AB2816" s="19"/>
      <c r="AC2816" s="19"/>
      <c r="AD2816" s="19"/>
      <c r="AE2816" s="19"/>
      <c r="AF2816" s="19"/>
      <c r="AG2816" s="19"/>
      <c r="AH2816" s="19"/>
      <c r="AI2816" s="19"/>
      <c r="AJ2816" s="19"/>
      <c r="AK2816" s="19"/>
      <c r="AL2816" s="19"/>
      <c r="AM2816" s="19"/>
      <c r="AN2816" s="19"/>
      <c r="AO2816" s="19"/>
      <c r="AP2816" s="19"/>
      <c r="AQ2816" s="19"/>
      <c r="AR2816" s="19"/>
      <c r="AS2816" s="19"/>
    </row>
    <row r="2817" spans="1:45" x14ac:dyDescent="0.3">
      <c r="A2817" s="410" t="s">
        <v>4489</v>
      </c>
      <c r="B2817" s="17"/>
      <c r="C2817" s="19"/>
      <c r="D2817" s="18"/>
      <c r="E2817" s="18"/>
      <c r="F2817" s="19"/>
      <c r="G2817" s="31"/>
      <c r="H2817" s="31"/>
      <c r="I2817" s="19"/>
      <c r="J2817" s="19"/>
      <c r="K2817" s="21"/>
      <c r="L2817" s="22"/>
      <c r="M2817" s="19"/>
      <c r="N2817" s="20"/>
      <c r="O2817" s="19"/>
      <c r="P2817" s="19"/>
      <c r="Q2817" s="19"/>
      <c r="R2817" s="19"/>
      <c r="S2817" s="19"/>
      <c r="T2817" s="19"/>
      <c r="U2817" s="19"/>
      <c r="V2817" s="19"/>
      <c r="W2817" s="19"/>
      <c r="X2817" s="19"/>
      <c r="Y2817" s="19"/>
      <c r="Z2817" s="19"/>
      <c r="AA2817" s="19"/>
      <c r="AB2817" s="19"/>
      <c r="AC2817" s="19"/>
      <c r="AD2817" s="19"/>
      <c r="AE2817" s="19"/>
      <c r="AF2817" s="19"/>
      <c r="AG2817" s="19"/>
      <c r="AH2817" s="19"/>
      <c r="AI2817" s="19"/>
      <c r="AJ2817" s="19"/>
      <c r="AK2817" s="19"/>
      <c r="AL2817" s="19"/>
      <c r="AM2817" s="19"/>
      <c r="AN2817" s="19"/>
      <c r="AO2817" s="19"/>
      <c r="AP2817" s="19"/>
      <c r="AQ2817" s="19"/>
      <c r="AR2817" s="19"/>
      <c r="AS2817" s="19"/>
    </row>
    <row r="2818" spans="1:45" x14ac:dyDescent="0.3">
      <c r="A2818" s="410" t="s">
        <v>4490</v>
      </c>
      <c r="B2818" s="17"/>
      <c r="C2818" s="19"/>
      <c r="D2818" s="18"/>
      <c r="E2818" s="18"/>
      <c r="F2818" s="19"/>
      <c r="G2818" s="31"/>
      <c r="H2818" s="31"/>
      <c r="I2818" s="19"/>
      <c r="J2818" s="19"/>
      <c r="K2818" s="21"/>
      <c r="L2818" s="22"/>
      <c r="M2818" s="19"/>
      <c r="N2818" s="20"/>
      <c r="O2818" s="19"/>
      <c r="P2818" s="19"/>
      <c r="Q2818" s="19"/>
      <c r="R2818" s="19"/>
      <c r="S2818" s="19"/>
      <c r="T2818" s="19"/>
      <c r="U2818" s="19"/>
      <c r="V2818" s="19"/>
      <c r="W2818" s="19"/>
      <c r="X2818" s="19"/>
      <c r="Y2818" s="19"/>
      <c r="Z2818" s="19"/>
      <c r="AA2818" s="19"/>
      <c r="AB2818" s="19"/>
      <c r="AC2818" s="19"/>
      <c r="AD2818" s="19"/>
      <c r="AE2818" s="19"/>
      <c r="AF2818" s="19"/>
      <c r="AG2818" s="19"/>
      <c r="AH2818" s="19"/>
      <c r="AI2818" s="19"/>
      <c r="AJ2818" s="19"/>
      <c r="AK2818" s="19"/>
      <c r="AL2818" s="19"/>
      <c r="AM2818" s="19"/>
      <c r="AN2818" s="19"/>
      <c r="AO2818" s="19"/>
      <c r="AP2818" s="19"/>
      <c r="AQ2818" s="19"/>
      <c r="AR2818" s="19"/>
      <c r="AS2818" s="19"/>
    </row>
    <row r="2819" spans="1:45" x14ac:dyDescent="0.3">
      <c r="A2819" s="410" t="s">
        <v>4491</v>
      </c>
      <c r="B2819" s="17"/>
      <c r="C2819" s="19"/>
      <c r="D2819" s="18"/>
      <c r="E2819" s="18"/>
      <c r="F2819" s="19"/>
      <c r="G2819" s="31"/>
      <c r="H2819" s="31"/>
      <c r="I2819" s="19"/>
      <c r="J2819" s="19"/>
      <c r="K2819" s="21"/>
      <c r="L2819" s="22"/>
      <c r="M2819" s="19"/>
      <c r="N2819" s="20"/>
      <c r="O2819" s="19"/>
      <c r="P2819" s="19"/>
      <c r="Q2819" s="19"/>
      <c r="R2819" s="19"/>
      <c r="S2819" s="19"/>
      <c r="T2819" s="19"/>
      <c r="U2819" s="19"/>
      <c r="V2819" s="19"/>
      <c r="W2819" s="19"/>
      <c r="X2819" s="19"/>
      <c r="Y2819" s="19"/>
      <c r="Z2819" s="19"/>
      <c r="AA2819" s="19"/>
      <c r="AB2819" s="19"/>
      <c r="AC2819" s="19"/>
      <c r="AD2819" s="19"/>
      <c r="AE2819" s="19"/>
      <c r="AF2819" s="19"/>
      <c r="AG2819" s="19"/>
      <c r="AH2819" s="19"/>
      <c r="AI2819" s="19"/>
      <c r="AJ2819" s="19"/>
      <c r="AK2819" s="19"/>
      <c r="AL2819" s="19"/>
      <c r="AM2819" s="19"/>
      <c r="AN2819" s="19"/>
      <c r="AO2819" s="19"/>
      <c r="AP2819" s="19"/>
      <c r="AQ2819" s="19"/>
      <c r="AR2819" s="19"/>
      <c r="AS2819" s="19"/>
    </row>
    <row r="2820" spans="1:45" x14ac:dyDescent="0.3">
      <c r="A2820" s="410" t="s">
        <v>4492</v>
      </c>
      <c r="B2820" s="17"/>
      <c r="C2820" s="19"/>
      <c r="D2820" s="18"/>
      <c r="E2820" s="18"/>
      <c r="F2820" s="19"/>
      <c r="G2820" s="31"/>
      <c r="H2820" s="31"/>
      <c r="I2820" s="19"/>
      <c r="J2820" s="19"/>
      <c r="K2820" s="21"/>
      <c r="L2820" s="22"/>
      <c r="M2820" s="19"/>
      <c r="N2820" s="20"/>
      <c r="O2820" s="19"/>
      <c r="P2820" s="19"/>
      <c r="Q2820" s="19"/>
      <c r="R2820" s="19"/>
      <c r="S2820" s="19"/>
      <c r="T2820" s="19"/>
      <c r="U2820" s="19"/>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row>
    <row r="2821" spans="1:45" x14ac:dyDescent="0.3">
      <c r="A2821" s="410" t="s">
        <v>4493</v>
      </c>
      <c r="B2821" s="17"/>
      <c r="C2821" s="19"/>
      <c r="D2821" s="18"/>
      <c r="E2821" s="18"/>
      <c r="F2821" s="19"/>
      <c r="G2821" s="31"/>
      <c r="H2821" s="31"/>
      <c r="I2821" s="19"/>
      <c r="J2821" s="19"/>
      <c r="K2821" s="21"/>
      <c r="L2821" s="22"/>
      <c r="M2821" s="19"/>
      <c r="N2821" s="20"/>
      <c r="O2821" s="19"/>
      <c r="P2821" s="19"/>
      <c r="Q2821" s="19"/>
      <c r="R2821" s="19"/>
      <c r="S2821" s="19"/>
      <c r="T2821" s="19"/>
      <c r="U2821" s="19"/>
      <c r="V2821" s="19"/>
      <c r="W2821" s="19"/>
      <c r="X2821" s="19"/>
      <c r="Y2821" s="19"/>
      <c r="Z2821" s="19"/>
      <c r="AA2821" s="19"/>
      <c r="AB2821" s="19"/>
      <c r="AC2821" s="19"/>
      <c r="AD2821" s="19"/>
      <c r="AE2821" s="19"/>
      <c r="AF2821" s="19"/>
      <c r="AG2821" s="19"/>
      <c r="AH2821" s="19"/>
      <c r="AI2821" s="19"/>
      <c r="AJ2821" s="19"/>
      <c r="AK2821" s="19"/>
      <c r="AL2821" s="19"/>
      <c r="AM2821" s="19"/>
      <c r="AN2821" s="19"/>
      <c r="AO2821" s="19"/>
      <c r="AP2821" s="19"/>
      <c r="AQ2821" s="19"/>
      <c r="AR2821" s="19"/>
      <c r="AS2821" s="19"/>
    </row>
    <row r="2822" spans="1:45" x14ac:dyDescent="0.3">
      <c r="A2822" s="410" t="s">
        <v>4494</v>
      </c>
      <c r="B2822" s="17"/>
      <c r="C2822" s="19"/>
      <c r="D2822" s="18"/>
      <c r="E2822" s="18"/>
      <c r="F2822" s="19"/>
      <c r="G2822" s="31"/>
      <c r="H2822" s="31"/>
      <c r="I2822" s="19"/>
      <c r="J2822" s="19"/>
      <c r="K2822" s="21"/>
      <c r="L2822" s="22"/>
      <c r="M2822" s="19"/>
      <c r="N2822" s="20"/>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row>
    <row r="2823" spans="1:45" x14ac:dyDescent="0.3">
      <c r="A2823" s="410" t="s">
        <v>4495</v>
      </c>
      <c r="B2823" s="17"/>
      <c r="C2823" s="19"/>
      <c r="D2823" s="18"/>
      <c r="E2823" s="18"/>
      <c r="F2823" s="19"/>
      <c r="G2823" s="31"/>
      <c r="H2823" s="31"/>
      <c r="I2823" s="19"/>
      <c r="J2823" s="19"/>
      <c r="K2823" s="21"/>
      <c r="L2823" s="22"/>
      <c r="M2823" s="19"/>
      <c r="N2823" s="20"/>
      <c r="O2823" s="19"/>
      <c r="P2823" s="19"/>
      <c r="Q2823" s="19"/>
      <c r="R2823" s="19"/>
      <c r="S2823" s="19"/>
      <c r="T2823" s="19"/>
      <c r="U2823" s="19"/>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row>
    <row r="2824" spans="1:45" x14ac:dyDescent="0.3">
      <c r="A2824" s="410" t="s">
        <v>4496</v>
      </c>
      <c r="B2824" s="17"/>
      <c r="C2824" s="19"/>
      <c r="D2824" s="18"/>
      <c r="E2824" s="18"/>
      <c r="F2824" s="19"/>
      <c r="G2824" s="31"/>
      <c r="H2824" s="31"/>
      <c r="I2824" s="19"/>
      <c r="J2824" s="19"/>
      <c r="K2824" s="21"/>
      <c r="L2824" s="22"/>
      <c r="M2824" s="19"/>
      <c r="N2824" s="20"/>
      <c r="O2824" s="19"/>
      <c r="P2824" s="19"/>
      <c r="Q2824" s="19"/>
      <c r="R2824" s="19"/>
      <c r="S2824" s="19"/>
      <c r="T2824" s="19"/>
      <c r="U2824" s="19"/>
      <c r="V2824" s="19"/>
      <c r="W2824" s="19"/>
      <c r="X2824" s="19"/>
      <c r="Y2824" s="19"/>
      <c r="Z2824" s="19"/>
      <c r="AA2824" s="19"/>
      <c r="AB2824" s="19"/>
      <c r="AC2824" s="19"/>
      <c r="AD2824" s="19"/>
      <c r="AE2824" s="19"/>
      <c r="AF2824" s="19"/>
      <c r="AG2824" s="19"/>
      <c r="AH2824" s="19"/>
      <c r="AI2824" s="19"/>
      <c r="AJ2824" s="19"/>
      <c r="AK2824" s="19"/>
      <c r="AL2824" s="19"/>
      <c r="AM2824" s="19"/>
      <c r="AN2824" s="19"/>
      <c r="AO2824" s="19"/>
      <c r="AP2824" s="19"/>
      <c r="AQ2824" s="19"/>
      <c r="AR2824" s="19"/>
      <c r="AS2824" s="19"/>
    </row>
    <row r="2825" spans="1:45" x14ac:dyDescent="0.3">
      <c r="A2825" s="410" t="s">
        <v>4497</v>
      </c>
      <c r="B2825" s="17"/>
      <c r="C2825" s="19"/>
      <c r="D2825" s="18"/>
      <c r="E2825" s="18"/>
      <c r="F2825" s="19"/>
      <c r="G2825" s="31"/>
      <c r="H2825" s="31"/>
      <c r="I2825" s="19"/>
      <c r="J2825" s="19"/>
      <c r="K2825" s="21"/>
      <c r="L2825" s="22"/>
      <c r="M2825" s="19"/>
      <c r="N2825" s="20"/>
      <c r="O2825" s="19"/>
      <c r="P2825" s="19"/>
      <c r="Q2825" s="19"/>
      <c r="R2825" s="19"/>
      <c r="S2825" s="19"/>
      <c r="T2825" s="19"/>
      <c r="U2825" s="19"/>
      <c r="V2825" s="19"/>
      <c r="W2825" s="19"/>
      <c r="X2825" s="19"/>
      <c r="Y2825" s="19"/>
      <c r="Z2825" s="19"/>
      <c r="AA2825" s="19"/>
      <c r="AB2825" s="19"/>
      <c r="AC2825" s="19"/>
      <c r="AD2825" s="19"/>
      <c r="AE2825" s="19"/>
      <c r="AF2825" s="19"/>
      <c r="AG2825" s="19"/>
      <c r="AH2825" s="19"/>
      <c r="AI2825" s="19"/>
      <c r="AJ2825" s="19"/>
      <c r="AK2825" s="19"/>
      <c r="AL2825" s="19"/>
      <c r="AM2825" s="19"/>
      <c r="AN2825" s="19"/>
      <c r="AO2825" s="19"/>
      <c r="AP2825" s="19"/>
      <c r="AQ2825" s="19"/>
      <c r="AR2825" s="19"/>
      <c r="AS2825" s="19"/>
    </row>
    <row r="2826" spans="1:45" x14ac:dyDescent="0.3">
      <c r="A2826" s="410" t="s">
        <v>4498</v>
      </c>
      <c r="B2826" s="17"/>
      <c r="C2826" s="19"/>
      <c r="D2826" s="18"/>
      <c r="E2826" s="18"/>
      <c r="F2826" s="19"/>
      <c r="G2826" s="31"/>
      <c r="H2826" s="31"/>
      <c r="I2826" s="19"/>
      <c r="J2826" s="19"/>
      <c r="K2826" s="21"/>
      <c r="L2826" s="22"/>
      <c r="M2826" s="19"/>
      <c r="N2826" s="20"/>
      <c r="O2826" s="19"/>
      <c r="P2826" s="19"/>
      <c r="Q2826" s="19"/>
      <c r="R2826" s="19"/>
      <c r="S2826" s="19"/>
      <c r="T2826" s="19"/>
      <c r="U2826" s="19"/>
      <c r="V2826" s="19"/>
      <c r="W2826" s="19"/>
      <c r="X2826" s="19"/>
      <c r="Y2826" s="19"/>
      <c r="Z2826" s="19"/>
      <c r="AA2826" s="19"/>
      <c r="AB2826" s="19"/>
      <c r="AC2826" s="19"/>
      <c r="AD2826" s="19"/>
      <c r="AE2826" s="19"/>
      <c r="AF2826" s="19"/>
      <c r="AG2826" s="19"/>
      <c r="AH2826" s="19"/>
      <c r="AI2826" s="19"/>
      <c r="AJ2826" s="19"/>
      <c r="AK2826" s="19"/>
      <c r="AL2826" s="19"/>
      <c r="AM2826" s="19"/>
      <c r="AN2826" s="19"/>
      <c r="AO2826" s="19"/>
      <c r="AP2826" s="19"/>
      <c r="AQ2826" s="19"/>
      <c r="AR2826" s="19"/>
      <c r="AS2826" s="19"/>
    </row>
    <row r="2827" spans="1:45" x14ac:dyDescent="0.3">
      <c r="A2827" s="410" t="s">
        <v>4499</v>
      </c>
      <c r="B2827" s="17"/>
      <c r="C2827" s="19"/>
      <c r="D2827" s="18"/>
      <c r="E2827" s="18"/>
      <c r="F2827" s="19"/>
      <c r="G2827" s="31"/>
      <c r="H2827" s="31"/>
      <c r="I2827" s="19"/>
      <c r="J2827" s="19"/>
      <c r="K2827" s="21"/>
      <c r="L2827" s="22"/>
      <c r="M2827" s="19"/>
      <c r="N2827" s="20"/>
      <c r="O2827" s="19"/>
      <c r="P2827" s="19"/>
      <c r="Q2827" s="19"/>
      <c r="R2827" s="19"/>
      <c r="S2827" s="19"/>
      <c r="T2827" s="19"/>
      <c r="U2827" s="19"/>
      <c r="V2827" s="19"/>
      <c r="W2827" s="19"/>
      <c r="X2827" s="19"/>
      <c r="Y2827" s="19"/>
      <c r="Z2827" s="19"/>
      <c r="AA2827" s="19"/>
      <c r="AB2827" s="19"/>
      <c r="AC2827" s="19"/>
      <c r="AD2827" s="19"/>
      <c r="AE2827" s="19"/>
      <c r="AF2827" s="19"/>
      <c r="AG2827" s="19"/>
      <c r="AH2827" s="19"/>
      <c r="AI2827" s="19"/>
      <c r="AJ2827" s="19"/>
      <c r="AK2827" s="19"/>
      <c r="AL2827" s="19"/>
      <c r="AM2827" s="19"/>
      <c r="AN2827" s="19"/>
      <c r="AO2827" s="19"/>
      <c r="AP2827" s="19"/>
      <c r="AQ2827" s="19"/>
      <c r="AR2827" s="19"/>
      <c r="AS2827" s="19"/>
    </row>
    <row r="2828" spans="1:45" x14ac:dyDescent="0.3">
      <c r="A2828" s="410" t="s">
        <v>4500</v>
      </c>
      <c r="B2828" s="17"/>
      <c r="C2828" s="19"/>
      <c r="D2828" s="18"/>
      <c r="E2828" s="18"/>
      <c r="F2828" s="19"/>
      <c r="G2828" s="31"/>
      <c r="H2828" s="31"/>
      <c r="I2828" s="19"/>
      <c r="J2828" s="19"/>
      <c r="K2828" s="21"/>
      <c r="L2828" s="22"/>
      <c r="M2828" s="19"/>
      <c r="N2828" s="20"/>
      <c r="O2828" s="19"/>
      <c r="P2828" s="19"/>
      <c r="Q2828" s="19"/>
      <c r="R2828" s="19"/>
      <c r="S2828" s="19"/>
      <c r="T2828" s="19"/>
      <c r="U2828" s="19"/>
      <c r="V2828" s="19"/>
      <c r="W2828" s="19"/>
      <c r="X2828" s="19"/>
      <c r="Y2828" s="19"/>
      <c r="Z2828" s="19"/>
      <c r="AA2828" s="19"/>
      <c r="AB2828" s="19"/>
      <c r="AC2828" s="19"/>
      <c r="AD2828" s="19"/>
      <c r="AE2828" s="19"/>
      <c r="AF2828" s="19"/>
      <c r="AG2828" s="19"/>
      <c r="AH2828" s="19"/>
      <c r="AI2828" s="19"/>
      <c r="AJ2828" s="19"/>
      <c r="AK2828" s="19"/>
      <c r="AL2828" s="19"/>
      <c r="AM2828" s="19"/>
      <c r="AN2828" s="19"/>
      <c r="AO2828" s="19"/>
      <c r="AP2828" s="19"/>
      <c r="AQ2828" s="19"/>
      <c r="AR2828" s="19"/>
      <c r="AS2828" s="19"/>
    </row>
    <row r="2829" spans="1:45" x14ac:dyDescent="0.3">
      <c r="A2829" s="410" t="s">
        <v>4501</v>
      </c>
      <c r="B2829" s="17"/>
      <c r="C2829" s="19"/>
      <c r="D2829" s="18"/>
      <c r="E2829" s="18"/>
      <c r="F2829" s="19"/>
      <c r="G2829" s="31"/>
      <c r="H2829" s="31"/>
      <c r="I2829" s="19"/>
      <c r="J2829" s="19"/>
      <c r="K2829" s="21"/>
      <c r="L2829" s="22"/>
      <c r="M2829" s="19"/>
      <c r="N2829" s="20"/>
      <c r="O2829" s="19"/>
      <c r="P2829" s="19"/>
      <c r="Q2829" s="19"/>
      <c r="R2829" s="19"/>
      <c r="S2829" s="19"/>
      <c r="T2829" s="19"/>
      <c r="U2829" s="19"/>
      <c r="V2829" s="19"/>
      <c r="W2829" s="19"/>
      <c r="X2829" s="19"/>
      <c r="Y2829" s="19"/>
      <c r="Z2829" s="19"/>
      <c r="AA2829" s="19"/>
      <c r="AB2829" s="19"/>
      <c r="AC2829" s="19"/>
      <c r="AD2829" s="19"/>
      <c r="AE2829" s="19"/>
      <c r="AF2829" s="19"/>
      <c r="AG2829" s="19"/>
      <c r="AH2829" s="19"/>
      <c r="AI2829" s="19"/>
      <c r="AJ2829" s="19"/>
      <c r="AK2829" s="19"/>
      <c r="AL2829" s="19"/>
      <c r="AM2829" s="19"/>
      <c r="AN2829" s="19"/>
      <c r="AO2829" s="19"/>
      <c r="AP2829" s="19"/>
      <c r="AQ2829" s="19"/>
      <c r="AR2829" s="19"/>
      <c r="AS2829" s="19"/>
    </row>
    <row r="2830" spans="1:45" x14ac:dyDescent="0.3">
      <c r="A2830" s="410" t="s">
        <v>4502</v>
      </c>
      <c r="B2830" s="17"/>
      <c r="C2830" s="19"/>
      <c r="D2830" s="18"/>
      <c r="E2830" s="18"/>
      <c r="F2830" s="19"/>
      <c r="G2830" s="31"/>
      <c r="H2830" s="31"/>
      <c r="I2830" s="19"/>
      <c r="J2830" s="19"/>
      <c r="K2830" s="21"/>
      <c r="L2830" s="22"/>
      <c r="M2830" s="19"/>
      <c r="N2830" s="20"/>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row>
    <row r="2831" spans="1:45" x14ac:dyDescent="0.3">
      <c r="A2831" s="410" t="s">
        <v>4503</v>
      </c>
      <c r="B2831" s="17"/>
      <c r="C2831" s="19"/>
      <c r="D2831" s="18"/>
      <c r="E2831" s="18"/>
      <c r="F2831" s="19"/>
      <c r="G2831" s="31"/>
      <c r="H2831" s="31"/>
      <c r="I2831" s="19"/>
      <c r="J2831" s="19"/>
      <c r="K2831" s="21"/>
      <c r="L2831" s="22"/>
      <c r="M2831" s="19"/>
      <c r="N2831" s="20"/>
      <c r="O2831" s="19"/>
      <c r="P2831" s="19"/>
      <c r="Q2831" s="19"/>
      <c r="R2831" s="19"/>
      <c r="S2831" s="19"/>
      <c r="T2831" s="19"/>
      <c r="U2831" s="19"/>
      <c r="V2831" s="19"/>
      <c r="W2831" s="19"/>
      <c r="X2831" s="19"/>
      <c r="Y2831" s="19"/>
      <c r="Z2831" s="19"/>
      <c r="AA2831" s="19"/>
      <c r="AB2831" s="19"/>
      <c r="AC2831" s="19"/>
      <c r="AD2831" s="19"/>
      <c r="AE2831" s="19"/>
      <c r="AF2831" s="19"/>
      <c r="AG2831" s="19"/>
      <c r="AH2831" s="19"/>
      <c r="AI2831" s="19"/>
      <c r="AJ2831" s="19"/>
      <c r="AK2831" s="19"/>
      <c r="AL2831" s="19"/>
      <c r="AM2831" s="19"/>
      <c r="AN2831" s="19"/>
      <c r="AO2831" s="19"/>
      <c r="AP2831" s="19"/>
      <c r="AQ2831" s="19"/>
      <c r="AR2831" s="19"/>
      <c r="AS2831" s="19"/>
    </row>
    <row r="2832" spans="1:45" x14ac:dyDescent="0.3">
      <c r="A2832" s="410" t="s">
        <v>4504</v>
      </c>
      <c r="B2832" s="17"/>
      <c r="C2832" s="19"/>
      <c r="D2832" s="18"/>
      <c r="E2832" s="18"/>
      <c r="F2832" s="19"/>
      <c r="G2832" s="31"/>
      <c r="H2832" s="31"/>
      <c r="I2832" s="19"/>
      <c r="J2832" s="19"/>
      <c r="K2832" s="21"/>
      <c r="L2832" s="22"/>
      <c r="M2832" s="19"/>
      <c r="N2832" s="20"/>
      <c r="O2832" s="19"/>
      <c r="P2832" s="19"/>
      <c r="Q2832" s="19"/>
      <c r="R2832" s="19"/>
      <c r="S2832" s="19"/>
      <c r="T2832" s="19"/>
      <c r="U2832" s="19"/>
      <c r="V2832" s="19"/>
      <c r="W2832" s="19"/>
      <c r="X2832" s="19"/>
      <c r="Y2832" s="19"/>
      <c r="Z2832" s="19"/>
      <c r="AA2832" s="19"/>
      <c r="AB2832" s="19"/>
      <c r="AC2832" s="19"/>
      <c r="AD2832" s="19"/>
      <c r="AE2832" s="19"/>
      <c r="AF2832" s="19"/>
      <c r="AG2832" s="19"/>
      <c r="AH2832" s="19"/>
      <c r="AI2832" s="19"/>
      <c r="AJ2832" s="19"/>
      <c r="AK2832" s="19"/>
      <c r="AL2832" s="19"/>
      <c r="AM2832" s="19"/>
      <c r="AN2832" s="19"/>
      <c r="AO2832" s="19"/>
      <c r="AP2832" s="19"/>
      <c r="AQ2832" s="19"/>
      <c r="AR2832" s="19"/>
      <c r="AS2832" s="19"/>
    </row>
    <row r="2833" spans="1:45" x14ac:dyDescent="0.3">
      <c r="A2833" s="410" t="s">
        <v>4505</v>
      </c>
      <c r="B2833" s="17"/>
      <c r="C2833" s="19"/>
      <c r="D2833" s="18"/>
      <c r="E2833" s="18"/>
      <c r="F2833" s="19"/>
      <c r="G2833" s="31"/>
      <c r="H2833" s="31"/>
      <c r="I2833" s="19"/>
      <c r="J2833" s="19"/>
      <c r="K2833" s="21"/>
      <c r="L2833" s="22"/>
      <c r="M2833" s="19"/>
      <c r="N2833" s="20"/>
      <c r="O2833" s="19"/>
      <c r="P2833" s="19"/>
      <c r="Q2833" s="19"/>
      <c r="R2833" s="19"/>
      <c r="S2833" s="19"/>
      <c r="T2833" s="19"/>
      <c r="U2833" s="19"/>
      <c r="V2833" s="19"/>
      <c r="W2833" s="19"/>
      <c r="X2833" s="19"/>
      <c r="Y2833" s="19"/>
      <c r="Z2833" s="19"/>
      <c r="AA2833" s="19"/>
      <c r="AB2833" s="19"/>
      <c r="AC2833" s="19"/>
      <c r="AD2833" s="19"/>
      <c r="AE2833" s="19"/>
      <c r="AF2833" s="19"/>
      <c r="AG2833" s="19"/>
      <c r="AH2833" s="19"/>
      <c r="AI2833" s="19"/>
      <c r="AJ2833" s="19"/>
      <c r="AK2833" s="19"/>
      <c r="AL2833" s="19"/>
      <c r="AM2833" s="19"/>
      <c r="AN2833" s="19"/>
      <c r="AO2833" s="19"/>
      <c r="AP2833" s="19"/>
      <c r="AQ2833" s="19"/>
      <c r="AR2833" s="19"/>
      <c r="AS2833" s="19"/>
    </row>
    <row r="2834" spans="1:45" x14ac:dyDescent="0.3">
      <c r="A2834" s="410" t="s">
        <v>4506</v>
      </c>
      <c r="B2834" s="17"/>
      <c r="C2834" s="19"/>
      <c r="D2834" s="18"/>
      <c r="E2834" s="18"/>
      <c r="F2834" s="19"/>
      <c r="G2834" s="31"/>
      <c r="H2834" s="31"/>
      <c r="I2834" s="19"/>
      <c r="J2834" s="19"/>
      <c r="K2834" s="21"/>
      <c r="L2834" s="22"/>
      <c r="M2834" s="19"/>
      <c r="N2834" s="20"/>
      <c r="O2834" s="19"/>
      <c r="P2834" s="19"/>
      <c r="Q2834" s="19"/>
      <c r="R2834" s="19"/>
      <c r="S2834" s="19"/>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row>
    <row r="2835" spans="1:45" x14ac:dyDescent="0.3">
      <c r="A2835" s="410" t="s">
        <v>4507</v>
      </c>
      <c r="B2835" s="17"/>
      <c r="C2835" s="19"/>
      <c r="D2835" s="18"/>
      <c r="E2835" s="18"/>
      <c r="F2835" s="19"/>
      <c r="G2835" s="31"/>
      <c r="H2835" s="31"/>
      <c r="I2835" s="19"/>
      <c r="J2835" s="19"/>
      <c r="K2835" s="21"/>
      <c r="L2835" s="22"/>
      <c r="M2835" s="19"/>
      <c r="N2835" s="20"/>
      <c r="O2835" s="19"/>
      <c r="P2835" s="19"/>
      <c r="Q2835" s="19"/>
      <c r="R2835" s="19"/>
      <c r="S2835" s="19"/>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row>
    <row r="2836" spans="1:45" x14ac:dyDescent="0.3">
      <c r="A2836" s="410" t="s">
        <v>4508</v>
      </c>
      <c r="B2836" s="17"/>
      <c r="C2836" s="19"/>
      <c r="D2836" s="18"/>
      <c r="E2836" s="18"/>
      <c r="F2836" s="19"/>
      <c r="G2836" s="31"/>
      <c r="H2836" s="31"/>
      <c r="I2836" s="19"/>
      <c r="J2836" s="19"/>
      <c r="K2836" s="21"/>
      <c r="L2836" s="22"/>
      <c r="M2836" s="19"/>
      <c r="N2836" s="20"/>
      <c r="O2836" s="19"/>
      <c r="P2836" s="19"/>
      <c r="Q2836" s="19"/>
      <c r="R2836" s="19"/>
      <c r="S2836" s="19"/>
      <c r="T2836" s="19"/>
      <c r="U2836" s="19"/>
      <c r="V2836" s="19"/>
      <c r="W2836" s="19"/>
      <c r="X2836" s="19"/>
      <c r="Y2836" s="19"/>
      <c r="Z2836" s="19"/>
      <c r="AA2836" s="19"/>
      <c r="AB2836" s="19"/>
      <c r="AC2836" s="19"/>
      <c r="AD2836" s="19"/>
      <c r="AE2836" s="19"/>
      <c r="AF2836" s="19"/>
      <c r="AG2836" s="19"/>
      <c r="AH2836" s="19"/>
      <c r="AI2836" s="19"/>
      <c r="AJ2836" s="19"/>
      <c r="AK2836" s="19"/>
      <c r="AL2836" s="19"/>
      <c r="AM2836" s="19"/>
      <c r="AN2836" s="19"/>
      <c r="AO2836" s="19"/>
      <c r="AP2836" s="19"/>
      <c r="AQ2836" s="19"/>
      <c r="AR2836" s="19"/>
      <c r="AS2836" s="19"/>
    </row>
    <row r="2837" spans="1:45" x14ac:dyDescent="0.3">
      <c r="A2837" s="410" t="s">
        <v>4509</v>
      </c>
      <c r="B2837" s="17"/>
      <c r="C2837" s="19"/>
      <c r="D2837" s="18"/>
      <c r="E2837" s="18"/>
      <c r="F2837" s="19"/>
      <c r="G2837" s="31"/>
      <c r="H2837" s="31"/>
      <c r="I2837" s="19"/>
      <c r="J2837" s="19"/>
      <c r="K2837" s="21"/>
      <c r="L2837" s="22"/>
      <c r="M2837" s="19"/>
      <c r="N2837" s="20"/>
      <c r="O2837" s="19"/>
      <c r="P2837" s="19"/>
      <c r="Q2837" s="19"/>
      <c r="R2837" s="19"/>
      <c r="S2837" s="19"/>
      <c r="T2837" s="19"/>
      <c r="U2837" s="19"/>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19"/>
    </row>
    <row r="2838" spans="1:45" x14ac:dyDescent="0.3">
      <c r="A2838" s="410" t="s">
        <v>4510</v>
      </c>
      <c r="B2838" s="17"/>
      <c r="C2838" s="19"/>
      <c r="D2838" s="18"/>
      <c r="E2838" s="18"/>
      <c r="F2838" s="19"/>
      <c r="G2838" s="31"/>
      <c r="H2838" s="31"/>
      <c r="I2838" s="19"/>
      <c r="J2838" s="19"/>
      <c r="K2838" s="21"/>
      <c r="L2838" s="22"/>
      <c r="M2838" s="19"/>
      <c r="N2838" s="20"/>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row>
    <row r="2839" spans="1:45" x14ac:dyDescent="0.3">
      <c r="A2839" s="410" t="s">
        <v>4511</v>
      </c>
      <c r="B2839" s="17"/>
      <c r="C2839" s="19"/>
      <c r="D2839" s="18"/>
      <c r="E2839" s="18"/>
      <c r="F2839" s="19"/>
      <c r="G2839" s="31"/>
      <c r="H2839" s="31"/>
      <c r="I2839" s="19"/>
      <c r="J2839" s="19"/>
      <c r="K2839" s="21"/>
      <c r="L2839" s="22"/>
      <c r="M2839" s="19"/>
      <c r="N2839" s="20"/>
      <c r="O2839" s="19"/>
      <c r="P2839" s="19"/>
      <c r="Q2839" s="19"/>
      <c r="R2839" s="19"/>
      <c r="S2839" s="19"/>
      <c r="T2839" s="19"/>
      <c r="U2839" s="19"/>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row>
    <row r="2840" spans="1:45" x14ac:dyDescent="0.3">
      <c r="A2840" s="410" t="s">
        <v>4512</v>
      </c>
      <c r="B2840" s="17"/>
      <c r="C2840" s="19"/>
      <c r="D2840" s="18"/>
      <c r="E2840" s="18"/>
      <c r="F2840" s="19"/>
      <c r="G2840" s="31"/>
      <c r="H2840" s="31"/>
      <c r="I2840" s="19"/>
      <c r="J2840" s="19"/>
      <c r="K2840" s="21"/>
      <c r="L2840" s="22"/>
      <c r="M2840" s="19"/>
      <c r="N2840" s="20"/>
      <c r="O2840" s="19"/>
      <c r="P2840" s="19"/>
      <c r="Q2840" s="19"/>
      <c r="R2840" s="19"/>
      <c r="S2840" s="19"/>
      <c r="T2840" s="19"/>
      <c r="U2840" s="19"/>
      <c r="V2840" s="19"/>
      <c r="W2840" s="19"/>
      <c r="X2840" s="19"/>
      <c r="Y2840" s="19"/>
      <c r="Z2840" s="19"/>
      <c r="AA2840" s="19"/>
      <c r="AB2840" s="19"/>
      <c r="AC2840" s="19"/>
      <c r="AD2840" s="19"/>
      <c r="AE2840" s="19"/>
      <c r="AF2840" s="19"/>
      <c r="AG2840" s="19"/>
      <c r="AH2840" s="19"/>
      <c r="AI2840" s="19"/>
      <c r="AJ2840" s="19"/>
      <c r="AK2840" s="19"/>
      <c r="AL2840" s="19"/>
      <c r="AM2840" s="19"/>
      <c r="AN2840" s="19"/>
      <c r="AO2840" s="19"/>
      <c r="AP2840" s="19"/>
      <c r="AQ2840" s="19"/>
      <c r="AR2840" s="19"/>
      <c r="AS2840" s="19"/>
    </row>
    <row r="2841" spans="1:45" x14ac:dyDescent="0.3">
      <c r="A2841" s="410" t="s">
        <v>4513</v>
      </c>
      <c r="B2841" s="17"/>
      <c r="C2841" s="19"/>
      <c r="D2841" s="18"/>
      <c r="E2841" s="18"/>
      <c r="F2841" s="19"/>
      <c r="G2841" s="31"/>
      <c r="H2841" s="31"/>
      <c r="I2841" s="19"/>
      <c r="J2841" s="19"/>
      <c r="K2841" s="21"/>
      <c r="L2841" s="22"/>
      <c r="M2841" s="19"/>
      <c r="N2841" s="20"/>
      <c r="O2841" s="19"/>
      <c r="P2841" s="19"/>
      <c r="Q2841" s="19"/>
      <c r="R2841" s="19"/>
      <c r="S2841" s="19"/>
      <c r="T2841" s="19"/>
      <c r="U2841" s="19"/>
      <c r="V2841" s="19"/>
      <c r="W2841" s="19"/>
      <c r="X2841" s="19"/>
      <c r="Y2841" s="19"/>
      <c r="Z2841" s="19"/>
      <c r="AA2841" s="19"/>
      <c r="AB2841" s="19"/>
      <c r="AC2841" s="19"/>
      <c r="AD2841" s="19"/>
      <c r="AE2841" s="19"/>
      <c r="AF2841" s="19"/>
      <c r="AG2841" s="19"/>
      <c r="AH2841" s="19"/>
      <c r="AI2841" s="19"/>
      <c r="AJ2841" s="19"/>
      <c r="AK2841" s="19"/>
      <c r="AL2841" s="19"/>
      <c r="AM2841" s="19"/>
      <c r="AN2841" s="19"/>
      <c r="AO2841" s="19"/>
      <c r="AP2841" s="19"/>
      <c r="AQ2841" s="19"/>
      <c r="AR2841" s="19"/>
      <c r="AS2841" s="19"/>
    </row>
    <row r="2842" spans="1:45" x14ac:dyDescent="0.3">
      <c r="A2842" s="410" t="s">
        <v>4514</v>
      </c>
      <c r="B2842" s="17"/>
      <c r="C2842" s="19"/>
      <c r="D2842" s="18"/>
      <c r="E2842" s="18"/>
      <c r="F2842" s="19"/>
      <c r="G2842" s="31"/>
      <c r="H2842" s="31"/>
      <c r="I2842" s="19"/>
      <c r="J2842" s="19"/>
      <c r="K2842" s="21"/>
      <c r="L2842" s="22"/>
      <c r="M2842" s="19"/>
      <c r="N2842" s="20"/>
      <c r="O2842" s="19"/>
      <c r="P2842" s="19"/>
      <c r="Q2842" s="19"/>
      <c r="R2842" s="19"/>
      <c r="S2842" s="19"/>
      <c r="T2842" s="19"/>
      <c r="U2842" s="19"/>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19"/>
    </row>
    <row r="2843" spans="1:45" x14ac:dyDescent="0.3">
      <c r="A2843" s="410" t="s">
        <v>4515</v>
      </c>
      <c r="B2843" s="17"/>
      <c r="C2843" s="19"/>
      <c r="D2843" s="18"/>
      <c r="E2843" s="18"/>
      <c r="F2843" s="19"/>
      <c r="G2843" s="31"/>
      <c r="H2843" s="31"/>
      <c r="I2843" s="19"/>
      <c r="J2843" s="19"/>
      <c r="K2843" s="21"/>
      <c r="L2843" s="22"/>
      <c r="M2843" s="19"/>
      <c r="N2843" s="20"/>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row>
    <row r="2844" spans="1:45" x14ac:dyDescent="0.3">
      <c r="A2844" s="410" t="s">
        <v>4516</v>
      </c>
      <c r="B2844" s="17"/>
      <c r="C2844" s="19"/>
      <c r="D2844" s="18"/>
      <c r="E2844" s="18"/>
      <c r="F2844" s="19"/>
      <c r="G2844" s="31"/>
      <c r="H2844" s="31"/>
      <c r="I2844" s="19"/>
      <c r="J2844" s="19"/>
      <c r="K2844" s="21"/>
      <c r="L2844" s="22"/>
      <c r="M2844" s="19"/>
      <c r="N2844" s="20"/>
      <c r="O2844" s="19"/>
      <c r="P2844" s="19"/>
      <c r="Q2844" s="19"/>
      <c r="R2844" s="19"/>
      <c r="S2844" s="19"/>
      <c r="T2844" s="19"/>
      <c r="U2844" s="19"/>
      <c r="V2844" s="19"/>
      <c r="W2844" s="19"/>
      <c r="X2844" s="19"/>
      <c r="Y2844" s="19"/>
      <c r="Z2844" s="19"/>
      <c r="AA2844" s="19"/>
      <c r="AB2844" s="19"/>
      <c r="AC2844" s="19"/>
      <c r="AD2844" s="19"/>
      <c r="AE2844" s="19"/>
      <c r="AF2844" s="19"/>
      <c r="AG2844" s="19"/>
      <c r="AH2844" s="19"/>
      <c r="AI2844" s="19"/>
      <c r="AJ2844" s="19"/>
      <c r="AK2844" s="19"/>
      <c r="AL2844" s="19"/>
      <c r="AM2844" s="19"/>
      <c r="AN2844" s="19"/>
      <c r="AO2844" s="19"/>
      <c r="AP2844" s="19"/>
      <c r="AQ2844" s="19"/>
      <c r="AR2844" s="19"/>
      <c r="AS2844" s="19"/>
    </row>
    <row r="2845" spans="1:45" x14ac:dyDescent="0.3">
      <c r="A2845" s="410" t="s">
        <v>4517</v>
      </c>
      <c r="B2845" s="17"/>
      <c r="C2845" s="19"/>
      <c r="D2845" s="18"/>
      <c r="E2845" s="18"/>
      <c r="F2845" s="19"/>
      <c r="G2845" s="31"/>
      <c r="H2845" s="31"/>
      <c r="I2845" s="19"/>
      <c r="J2845" s="19"/>
      <c r="K2845" s="21"/>
      <c r="L2845" s="22"/>
      <c r="M2845" s="19"/>
      <c r="N2845" s="20"/>
      <c r="O2845" s="19"/>
      <c r="P2845" s="19"/>
      <c r="Q2845" s="19"/>
      <c r="R2845" s="19"/>
      <c r="S2845" s="19"/>
      <c r="T2845" s="19"/>
      <c r="U2845" s="19"/>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row>
    <row r="2846" spans="1:45" x14ac:dyDescent="0.3">
      <c r="A2846" s="410"/>
      <c r="B2846" s="17"/>
      <c r="C2846" s="19"/>
      <c r="D2846" s="18"/>
      <c r="E2846" s="18"/>
      <c r="F2846" s="19"/>
      <c r="G2846" s="31"/>
      <c r="H2846" s="31"/>
      <c r="I2846" s="19"/>
      <c r="J2846" s="19"/>
      <c r="K2846" s="21"/>
      <c r="L2846" s="22"/>
      <c r="M2846" s="19"/>
      <c r="N2846" s="20"/>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row>
    <row r="2847" spans="1:45" x14ac:dyDescent="0.3">
      <c r="A2847" s="410" t="s">
        <v>4518</v>
      </c>
      <c r="B2847" s="17" t="s">
        <v>4519</v>
      </c>
      <c r="C2847" s="19" t="s">
        <v>1368</v>
      </c>
      <c r="D2847" s="19">
        <v>23008032</v>
      </c>
      <c r="E2847" s="17"/>
      <c r="F2847" s="19"/>
      <c r="G2847" s="31"/>
      <c r="H2847" s="31"/>
      <c r="I2847" s="19"/>
      <c r="J2847" s="19"/>
      <c r="K2847" s="21"/>
      <c r="L2847" s="22"/>
      <c r="M2847" s="19"/>
      <c r="N2847" s="20"/>
      <c r="O2847" s="19"/>
      <c r="P2847" s="19"/>
      <c r="Q2847" s="19"/>
      <c r="R2847" s="19"/>
      <c r="S2847" s="19"/>
      <c r="T2847" s="19"/>
      <c r="U2847" s="19"/>
      <c r="V2847" s="19"/>
      <c r="W2847" s="19"/>
      <c r="X2847" s="19"/>
      <c r="Y2847" s="19"/>
      <c r="Z2847" s="19"/>
      <c r="AA2847" s="19"/>
      <c r="AB2847" s="19"/>
      <c r="AC2847" s="19"/>
      <c r="AD2847" s="19"/>
      <c r="AE2847" s="19"/>
      <c r="AF2847" s="19"/>
      <c r="AG2847" s="19"/>
      <c r="AH2847" s="19"/>
      <c r="AI2847" s="19"/>
      <c r="AJ2847" s="19"/>
      <c r="AK2847" s="19"/>
      <c r="AL2847" s="19"/>
      <c r="AM2847" s="19"/>
      <c r="AN2847" s="19"/>
      <c r="AO2847" s="19"/>
      <c r="AP2847" s="19"/>
      <c r="AQ2847" s="19"/>
      <c r="AR2847" s="19"/>
      <c r="AS2847" s="19"/>
    </row>
    <row r="2848" spans="1:45" x14ac:dyDescent="0.3">
      <c r="A2848" s="410" t="s">
        <v>4520</v>
      </c>
      <c r="B2848" s="17" t="s">
        <v>4521</v>
      </c>
      <c r="C2848" s="19" t="s">
        <v>1368</v>
      </c>
      <c r="D2848" s="19">
        <v>23126524</v>
      </c>
      <c r="E2848" s="17"/>
      <c r="F2848" s="19"/>
      <c r="G2848" s="31"/>
      <c r="H2848" s="31"/>
      <c r="I2848" s="19"/>
      <c r="J2848" s="19"/>
      <c r="K2848" s="21"/>
      <c r="L2848" s="22"/>
      <c r="M2848" s="19"/>
      <c r="N2848" s="20"/>
      <c r="O2848" s="19"/>
      <c r="P2848" s="19"/>
      <c r="Q2848" s="19"/>
      <c r="R2848" s="19"/>
      <c r="S2848" s="19"/>
      <c r="T2848" s="19"/>
      <c r="U2848" s="19"/>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19"/>
    </row>
    <row r="2849" spans="1:45" x14ac:dyDescent="0.3">
      <c r="A2849" s="410" t="s">
        <v>4522</v>
      </c>
      <c r="B2849" s="17" t="s">
        <v>4523</v>
      </c>
      <c r="C2849" s="19" t="s">
        <v>1368</v>
      </c>
      <c r="D2849" s="19">
        <v>23005767</v>
      </c>
      <c r="E2849" s="17"/>
      <c r="F2849" s="19"/>
      <c r="G2849" s="31"/>
      <c r="H2849" s="31"/>
      <c r="I2849" s="19"/>
      <c r="J2849" s="19"/>
      <c r="K2849" s="21"/>
      <c r="L2849" s="22"/>
      <c r="M2849" s="19"/>
      <c r="N2849" s="20"/>
      <c r="O2849" s="19"/>
      <c r="P2849" s="19"/>
      <c r="Q2849" s="19"/>
      <c r="R2849" s="19"/>
      <c r="S2849" s="19"/>
      <c r="T2849" s="19"/>
      <c r="U2849" s="19"/>
      <c r="V2849" s="19"/>
      <c r="W2849" s="19"/>
      <c r="X2849" s="19"/>
      <c r="Y2849" s="19"/>
      <c r="Z2849" s="19"/>
      <c r="AA2849" s="19"/>
      <c r="AB2849" s="19"/>
      <c r="AC2849" s="19"/>
      <c r="AD2849" s="19"/>
      <c r="AE2849" s="19"/>
      <c r="AF2849" s="19"/>
      <c r="AG2849" s="19"/>
      <c r="AH2849" s="19"/>
      <c r="AI2849" s="19"/>
      <c r="AJ2849" s="19"/>
      <c r="AK2849" s="19"/>
      <c r="AL2849" s="19"/>
      <c r="AM2849" s="19"/>
      <c r="AN2849" s="19"/>
      <c r="AO2849" s="19"/>
      <c r="AP2849" s="19"/>
      <c r="AQ2849" s="19"/>
      <c r="AR2849" s="19"/>
      <c r="AS2849" s="19"/>
    </row>
    <row r="2850" spans="1:45" x14ac:dyDescent="0.3">
      <c r="A2850" s="410" t="s">
        <v>4524</v>
      </c>
      <c r="B2850" s="17" t="s">
        <v>4525</v>
      </c>
      <c r="C2850" s="19" t="s">
        <v>1368</v>
      </c>
      <c r="D2850" s="19">
        <v>23008798</v>
      </c>
      <c r="E2850" s="17"/>
      <c r="F2850" s="19"/>
      <c r="G2850" s="31"/>
      <c r="H2850" s="31"/>
      <c r="I2850" s="19"/>
      <c r="J2850" s="19"/>
      <c r="K2850" s="21"/>
      <c r="L2850" s="22"/>
      <c r="M2850" s="19"/>
      <c r="N2850" s="20"/>
      <c r="O2850" s="19"/>
      <c r="P2850" s="19"/>
      <c r="Q2850" s="19"/>
      <c r="R2850" s="19"/>
      <c r="S2850" s="19"/>
      <c r="T2850" s="19"/>
      <c r="U2850" s="19"/>
      <c r="V2850" s="19"/>
      <c r="W2850" s="19"/>
      <c r="X2850" s="19"/>
      <c r="Y2850" s="19"/>
      <c r="Z2850" s="19"/>
      <c r="AA2850" s="19"/>
      <c r="AB2850" s="19"/>
      <c r="AC2850" s="19"/>
      <c r="AD2850" s="19"/>
      <c r="AE2850" s="19"/>
      <c r="AF2850" s="19"/>
      <c r="AG2850" s="19"/>
      <c r="AH2850" s="19"/>
      <c r="AI2850" s="19"/>
      <c r="AJ2850" s="19"/>
      <c r="AK2850" s="19"/>
      <c r="AL2850" s="19"/>
      <c r="AM2850" s="19"/>
      <c r="AN2850" s="19"/>
      <c r="AO2850" s="19"/>
      <c r="AP2850" s="19"/>
      <c r="AQ2850" s="19"/>
      <c r="AR2850" s="19"/>
      <c r="AS2850" s="19"/>
    </row>
    <row r="2851" spans="1:45" x14ac:dyDescent="0.3">
      <c r="A2851" s="410" t="s">
        <v>4526</v>
      </c>
      <c r="B2851" s="17" t="s">
        <v>4527</v>
      </c>
      <c r="C2851" s="19" t="s">
        <v>1368</v>
      </c>
      <c r="D2851" s="19">
        <v>23094748</v>
      </c>
      <c r="E2851" s="17"/>
      <c r="F2851" s="19"/>
      <c r="G2851" s="31"/>
      <c r="H2851" s="31"/>
      <c r="I2851" s="19"/>
      <c r="J2851" s="19"/>
      <c r="K2851" s="21"/>
      <c r="L2851" s="22"/>
      <c r="M2851" s="19"/>
      <c r="N2851" s="20"/>
      <c r="O2851" s="19"/>
      <c r="P2851" s="19"/>
      <c r="Q2851" s="19"/>
      <c r="R2851" s="19"/>
      <c r="S2851" s="19"/>
      <c r="T2851" s="19"/>
      <c r="U2851" s="19"/>
      <c r="V2851" s="19"/>
      <c r="W2851" s="19"/>
      <c r="X2851" s="19"/>
      <c r="Y2851" s="19"/>
      <c r="Z2851" s="19"/>
      <c r="AA2851" s="19"/>
      <c r="AB2851" s="19"/>
      <c r="AC2851" s="19"/>
      <c r="AD2851" s="19"/>
      <c r="AE2851" s="19"/>
      <c r="AF2851" s="19"/>
      <c r="AG2851" s="19"/>
      <c r="AH2851" s="19"/>
      <c r="AI2851" s="19"/>
      <c r="AJ2851" s="19"/>
      <c r="AK2851" s="19"/>
      <c r="AL2851" s="19"/>
      <c r="AM2851" s="19"/>
      <c r="AN2851" s="19"/>
      <c r="AO2851" s="19"/>
      <c r="AP2851" s="19"/>
      <c r="AQ2851" s="19"/>
      <c r="AR2851" s="19"/>
      <c r="AS2851" s="19"/>
    </row>
    <row r="2852" spans="1:45" x14ac:dyDescent="0.3">
      <c r="A2852" s="410" t="s">
        <v>4528</v>
      </c>
      <c r="B2852" s="17" t="s">
        <v>4529</v>
      </c>
      <c r="C2852" s="19" t="s">
        <v>1368</v>
      </c>
      <c r="D2852" s="19">
        <v>23054736</v>
      </c>
      <c r="E2852" s="17"/>
      <c r="F2852" s="19"/>
      <c r="G2852" s="31"/>
      <c r="H2852" s="31"/>
      <c r="I2852" s="19"/>
      <c r="J2852" s="19"/>
      <c r="K2852" s="21"/>
      <c r="L2852" s="22"/>
      <c r="M2852" s="19"/>
      <c r="N2852" s="20"/>
      <c r="O2852" s="19"/>
      <c r="P2852" s="19"/>
      <c r="Q2852" s="19"/>
      <c r="R2852" s="19"/>
      <c r="S2852" s="19"/>
      <c r="T2852" s="19"/>
      <c r="U2852" s="19"/>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19"/>
    </row>
    <row r="2853" spans="1:45" x14ac:dyDescent="0.3">
      <c r="A2853" s="410" t="s">
        <v>4530</v>
      </c>
      <c r="B2853" s="17" t="s">
        <v>4531</v>
      </c>
      <c r="C2853" s="19" t="s">
        <v>1368</v>
      </c>
      <c r="D2853" s="19">
        <v>23004757</v>
      </c>
      <c r="E2853" s="17"/>
      <c r="F2853" s="19"/>
      <c r="G2853" s="31"/>
      <c r="H2853" s="31"/>
      <c r="I2853" s="19"/>
      <c r="J2853" s="19"/>
      <c r="K2853" s="21"/>
      <c r="L2853" s="22"/>
      <c r="M2853" s="19"/>
      <c r="N2853" s="20"/>
      <c r="O2853" s="19"/>
      <c r="P2853" s="19"/>
      <c r="Q2853" s="19"/>
      <c r="R2853" s="19"/>
      <c r="S2853" s="19"/>
      <c r="T2853" s="19"/>
      <c r="U2853" s="19"/>
      <c r="V2853" s="19"/>
      <c r="W2853" s="19"/>
      <c r="X2853" s="19"/>
      <c r="Y2853" s="19"/>
      <c r="Z2853" s="19"/>
      <c r="AA2853" s="19"/>
      <c r="AB2853" s="19"/>
      <c r="AC2853" s="19"/>
      <c r="AD2853" s="19"/>
      <c r="AE2853" s="19"/>
      <c r="AF2853" s="19"/>
      <c r="AG2853" s="19"/>
      <c r="AH2853" s="19"/>
      <c r="AI2853" s="19"/>
      <c r="AJ2853" s="19"/>
      <c r="AK2853" s="19"/>
      <c r="AL2853" s="19"/>
      <c r="AM2853" s="19"/>
      <c r="AN2853" s="19"/>
      <c r="AO2853" s="19"/>
      <c r="AP2853" s="19"/>
      <c r="AQ2853" s="19"/>
      <c r="AR2853" s="19"/>
      <c r="AS2853" s="19"/>
    </row>
    <row r="2854" spans="1:45" x14ac:dyDescent="0.3">
      <c r="A2854" s="410" t="s">
        <v>4532</v>
      </c>
      <c r="B2854" s="17" t="s">
        <v>4533</v>
      </c>
      <c r="C2854" s="19" t="s">
        <v>1368</v>
      </c>
      <c r="D2854" s="19">
        <v>23129724</v>
      </c>
      <c r="E2854" s="17"/>
      <c r="F2854" s="19"/>
      <c r="G2854" s="31"/>
      <c r="H2854" s="31"/>
      <c r="I2854" s="19"/>
      <c r="J2854" s="19"/>
      <c r="K2854" s="21"/>
      <c r="L2854" s="22"/>
      <c r="M2854" s="19"/>
      <c r="N2854" s="20"/>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row>
    <row r="2855" spans="1:45" x14ac:dyDescent="0.3">
      <c r="A2855" s="410" t="s">
        <v>4534</v>
      </c>
      <c r="B2855" s="17" t="s">
        <v>4535</v>
      </c>
      <c r="C2855" s="19" t="s">
        <v>1368</v>
      </c>
      <c r="D2855" s="19">
        <v>23122482</v>
      </c>
      <c r="E2855" s="17"/>
      <c r="F2855" s="19"/>
      <c r="G2855" s="31"/>
      <c r="H2855" s="31"/>
      <c r="I2855" s="19"/>
      <c r="J2855" s="19"/>
      <c r="K2855" s="21"/>
      <c r="L2855" s="22"/>
      <c r="M2855" s="19"/>
      <c r="N2855" s="20"/>
      <c r="O2855" s="19"/>
      <c r="P2855" s="19"/>
      <c r="Q2855" s="19"/>
      <c r="R2855" s="19"/>
      <c r="S2855" s="19"/>
      <c r="T2855" s="19"/>
      <c r="U2855" s="19"/>
      <c r="V2855" s="19"/>
      <c r="W2855" s="19"/>
      <c r="X2855" s="19"/>
      <c r="Y2855" s="19"/>
      <c r="Z2855" s="19"/>
      <c r="AA2855" s="19"/>
      <c r="AB2855" s="19"/>
      <c r="AC2855" s="19"/>
      <c r="AD2855" s="19"/>
      <c r="AE2855" s="19"/>
      <c r="AF2855" s="19"/>
      <c r="AG2855" s="19"/>
      <c r="AH2855" s="19"/>
      <c r="AI2855" s="19"/>
      <c r="AJ2855" s="19"/>
      <c r="AK2855" s="19"/>
      <c r="AL2855" s="19"/>
      <c r="AM2855" s="19"/>
      <c r="AN2855" s="19"/>
      <c r="AO2855" s="19"/>
      <c r="AP2855" s="19"/>
      <c r="AQ2855" s="19"/>
      <c r="AR2855" s="19"/>
      <c r="AS2855" s="19"/>
    </row>
    <row r="2856" spans="1:45" x14ac:dyDescent="0.3">
      <c r="A2856" s="410" t="s">
        <v>4536</v>
      </c>
      <c r="B2856" s="17" t="s">
        <v>4537</v>
      </c>
      <c r="C2856" s="19" t="s">
        <v>1368</v>
      </c>
      <c r="D2856" s="19">
        <v>23214573</v>
      </c>
      <c r="E2856" s="17"/>
      <c r="F2856" s="19"/>
      <c r="G2856" s="31"/>
      <c r="H2856" s="31"/>
      <c r="I2856" s="19"/>
      <c r="J2856" s="19"/>
      <c r="K2856" s="21"/>
      <c r="L2856" s="22"/>
      <c r="M2856" s="19"/>
      <c r="N2856" s="20"/>
      <c r="O2856" s="19"/>
      <c r="P2856" s="19"/>
      <c r="Q2856" s="19"/>
      <c r="R2856" s="19"/>
      <c r="S2856" s="19"/>
      <c r="T2856" s="19"/>
      <c r="U2856" s="19"/>
      <c r="V2856" s="19"/>
      <c r="W2856" s="19"/>
      <c r="X2856" s="19"/>
      <c r="Y2856" s="19"/>
      <c r="Z2856" s="19"/>
      <c r="AA2856" s="19"/>
      <c r="AB2856" s="19"/>
      <c r="AC2856" s="19"/>
      <c r="AD2856" s="19"/>
      <c r="AE2856" s="19"/>
      <c r="AF2856" s="19"/>
      <c r="AG2856" s="19"/>
      <c r="AH2856" s="19"/>
      <c r="AI2856" s="19"/>
      <c r="AJ2856" s="19"/>
      <c r="AK2856" s="19"/>
      <c r="AL2856" s="19"/>
      <c r="AM2856" s="19"/>
      <c r="AN2856" s="19"/>
      <c r="AO2856" s="19"/>
      <c r="AP2856" s="19"/>
      <c r="AQ2856" s="19"/>
      <c r="AR2856" s="19"/>
      <c r="AS2856" s="19"/>
    </row>
    <row r="2857" spans="1:45" x14ac:dyDescent="0.3">
      <c r="A2857" s="410" t="s">
        <v>4538</v>
      </c>
      <c r="B2857" s="17" t="s">
        <v>4539</v>
      </c>
      <c r="C2857" s="19" t="s">
        <v>1368</v>
      </c>
      <c r="D2857" s="19">
        <v>23000825</v>
      </c>
      <c r="E2857" s="17"/>
      <c r="F2857" s="19"/>
      <c r="G2857" s="31"/>
      <c r="H2857" s="31"/>
      <c r="I2857" s="19"/>
      <c r="J2857" s="19"/>
      <c r="K2857" s="21"/>
      <c r="L2857" s="22"/>
      <c r="M2857" s="19"/>
      <c r="N2857" s="20"/>
      <c r="O2857" s="19"/>
      <c r="P2857" s="19"/>
      <c r="Q2857" s="19"/>
      <c r="R2857" s="19"/>
      <c r="S2857" s="19"/>
      <c r="T2857" s="19"/>
      <c r="U2857" s="19"/>
      <c r="V2857" s="19"/>
      <c r="W2857" s="19"/>
      <c r="X2857" s="19"/>
      <c r="Y2857" s="19"/>
      <c r="Z2857" s="19"/>
      <c r="AA2857" s="19"/>
      <c r="AB2857" s="19"/>
      <c r="AC2857" s="19"/>
      <c r="AD2857" s="19"/>
      <c r="AE2857" s="19"/>
      <c r="AF2857" s="19"/>
      <c r="AG2857" s="19"/>
      <c r="AH2857" s="19"/>
      <c r="AI2857" s="19"/>
      <c r="AJ2857" s="19"/>
      <c r="AK2857" s="19"/>
      <c r="AL2857" s="19"/>
      <c r="AM2857" s="19"/>
      <c r="AN2857" s="19"/>
      <c r="AO2857" s="19"/>
      <c r="AP2857" s="19"/>
      <c r="AQ2857" s="19"/>
      <c r="AR2857" s="19"/>
      <c r="AS2857" s="19"/>
    </row>
    <row r="2858" spans="1:45" x14ac:dyDescent="0.3">
      <c r="A2858" s="410" t="s">
        <v>4540</v>
      </c>
      <c r="B2858" s="17" t="s">
        <v>4541</v>
      </c>
      <c r="C2858" s="19" t="s">
        <v>1368</v>
      </c>
      <c r="D2858" s="19">
        <v>23092936</v>
      </c>
      <c r="E2858" s="17"/>
      <c r="F2858" s="19"/>
      <c r="G2858" s="31"/>
      <c r="H2858" s="31"/>
      <c r="I2858" s="19"/>
      <c r="J2858" s="19"/>
      <c r="K2858" s="21"/>
      <c r="L2858" s="22"/>
      <c r="M2858" s="19"/>
      <c r="N2858" s="20"/>
      <c r="O2858" s="19"/>
      <c r="P2858" s="19"/>
      <c r="Q2858" s="19"/>
      <c r="R2858" s="19"/>
      <c r="S2858" s="19"/>
      <c r="T2858" s="19"/>
      <c r="U2858" s="19"/>
      <c r="V2858" s="19"/>
      <c r="W2858" s="19"/>
      <c r="X2858" s="19"/>
      <c r="Y2858" s="19"/>
      <c r="Z2858" s="19"/>
      <c r="AA2858" s="19"/>
      <c r="AB2858" s="19"/>
      <c r="AC2858" s="19"/>
      <c r="AD2858" s="19"/>
      <c r="AE2858" s="19"/>
      <c r="AF2858" s="19"/>
      <c r="AG2858" s="19"/>
      <c r="AH2858" s="19"/>
      <c r="AI2858" s="19"/>
      <c r="AJ2858" s="19"/>
      <c r="AK2858" s="19"/>
      <c r="AL2858" s="19"/>
      <c r="AM2858" s="19"/>
      <c r="AN2858" s="19"/>
      <c r="AO2858" s="19"/>
      <c r="AP2858" s="19"/>
      <c r="AQ2858" s="19"/>
      <c r="AR2858" s="19"/>
      <c r="AS2858" s="19"/>
    </row>
    <row r="2859" spans="1:45" x14ac:dyDescent="0.3">
      <c r="A2859" s="410" t="s">
        <v>4542</v>
      </c>
      <c r="B2859" s="17" t="s">
        <v>4543</v>
      </c>
      <c r="C2859" s="19" t="s">
        <v>1368</v>
      </c>
      <c r="D2859" s="19">
        <v>23000822</v>
      </c>
      <c r="E2859" s="17"/>
      <c r="F2859" s="19"/>
      <c r="G2859" s="31"/>
      <c r="H2859" s="31"/>
      <c r="I2859" s="19"/>
      <c r="J2859" s="19"/>
      <c r="K2859" s="21"/>
      <c r="L2859" s="22"/>
      <c r="M2859" s="19"/>
      <c r="N2859" s="20"/>
      <c r="O2859" s="19"/>
      <c r="P2859" s="19"/>
      <c r="Q2859" s="19"/>
      <c r="R2859" s="19"/>
      <c r="S2859" s="19"/>
      <c r="T2859" s="19"/>
      <c r="U2859" s="19"/>
      <c r="V2859" s="19"/>
      <c r="W2859" s="19"/>
      <c r="X2859" s="19"/>
      <c r="Y2859" s="19"/>
      <c r="Z2859" s="19"/>
      <c r="AA2859" s="19"/>
      <c r="AB2859" s="19"/>
      <c r="AC2859" s="19"/>
      <c r="AD2859" s="19"/>
      <c r="AE2859" s="19"/>
      <c r="AF2859" s="19"/>
      <c r="AG2859" s="19"/>
      <c r="AH2859" s="19"/>
      <c r="AI2859" s="19"/>
      <c r="AJ2859" s="19"/>
      <c r="AK2859" s="19"/>
      <c r="AL2859" s="19"/>
      <c r="AM2859" s="19"/>
      <c r="AN2859" s="19"/>
      <c r="AO2859" s="19"/>
      <c r="AP2859" s="19"/>
      <c r="AQ2859" s="19"/>
      <c r="AR2859" s="19"/>
      <c r="AS2859" s="19"/>
    </row>
    <row r="2860" spans="1:45" x14ac:dyDescent="0.3">
      <c r="A2860" s="410" t="s">
        <v>4544</v>
      </c>
      <c r="B2860" s="17" t="s">
        <v>4545</v>
      </c>
      <c r="C2860" s="19" t="s">
        <v>1368</v>
      </c>
      <c r="D2860" s="19">
        <v>23095479</v>
      </c>
      <c r="E2860" s="17"/>
      <c r="F2860" s="19"/>
      <c r="G2860" s="31"/>
      <c r="H2860" s="31"/>
      <c r="I2860" s="19"/>
      <c r="J2860" s="19"/>
      <c r="K2860" s="21"/>
      <c r="L2860" s="22"/>
      <c r="M2860" s="19"/>
      <c r="N2860" s="20"/>
      <c r="O2860" s="19"/>
      <c r="P2860" s="19"/>
      <c r="Q2860" s="19"/>
      <c r="R2860" s="19"/>
      <c r="S2860" s="19"/>
      <c r="T2860" s="19"/>
      <c r="U2860" s="19"/>
      <c r="V2860" s="19"/>
      <c r="W2860" s="19"/>
      <c r="X2860" s="19"/>
      <c r="Y2860" s="19"/>
      <c r="Z2860" s="19"/>
      <c r="AA2860" s="19"/>
      <c r="AB2860" s="19"/>
      <c r="AC2860" s="19"/>
      <c r="AD2860" s="19"/>
      <c r="AE2860" s="19"/>
      <c r="AF2860" s="19"/>
      <c r="AG2860" s="19"/>
      <c r="AH2860" s="19"/>
      <c r="AI2860" s="19"/>
      <c r="AJ2860" s="19"/>
      <c r="AK2860" s="19"/>
      <c r="AL2860" s="19"/>
      <c r="AM2860" s="19"/>
      <c r="AN2860" s="19"/>
      <c r="AO2860" s="19"/>
      <c r="AP2860" s="19"/>
      <c r="AQ2860" s="19"/>
      <c r="AR2860" s="19"/>
      <c r="AS2860" s="19"/>
    </row>
    <row r="2861" spans="1:45" x14ac:dyDescent="0.3">
      <c r="A2861" s="410" t="s">
        <v>4546</v>
      </c>
      <c r="B2861" s="17"/>
      <c r="C2861" s="19"/>
      <c r="D2861" s="18"/>
      <c r="E2861" s="18"/>
      <c r="F2861" s="19"/>
      <c r="G2861" s="31"/>
      <c r="H2861" s="31"/>
      <c r="I2861" s="19"/>
      <c r="J2861" s="19"/>
      <c r="K2861" s="21"/>
      <c r="L2861" s="22"/>
      <c r="M2861" s="19"/>
      <c r="N2861" s="20"/>
      <c r="O2861" s="19"/>
      <c r="P2861" s="19"/>
      <c r="Q2861" s="19"/>
      <c r="R2861" s="19"/>
      <c r="S2861" s="19"/>
      <c r="T2861" s="19"/>
      <c r="U2861" s="19"/>
      <c r="V2861" s="19"/>
      <c r="W2861" s="19"/>
      <c r="X2861" s="19"/>
      <c r="Y2861" s="19"/>
      <c r="Z2861" s="19"/>
      <c r="AA2861" s="19"/>
      <c r="AB2861" s="19"/>
      <c r="AC2861" s="19"/>
      <c r="AD2861" s="19"/>
      <c r="AE2861" s="19"/>
      <c r="AF2861" s="19"/>
      <c r="AG2861" s="19"/>
      <c r="AH2861" s="19"/>
      <c r="AI2861" s="19"/>
      <c r="AJ2861" s="19"/>
      <c r="AK2861" s="19"/>
      <c r="AL2861" s="19"/>
      <c r="AM2861" s="19"/>
      <c r="AN2861" s="19"/>
      <c r="AO2861" s="19"/>
      <c r="AP2861" s="19"/>
      <c r="AQ2861" s="19"/>
      <c r="AR2861" s="19"/>
      <c r="AS2861" s="19"/>
    </row>
    <row r="2862" spans="1:45" x14ac:dyDescent="0.3">
      <c r="A2862" s="410" t="s">
        <v>4547</v>
      </c>
      <c r="B2862" s="17"/>
      <c r="C2862" s="19"/>
      <c r="D2862" s="18"/>
      <c r="E2862" s="18"/>
      <c r="F2862" s="19"/>
      <c r="G2862" s="31"/>
      <c r="H2862" s="31"/>
      <c r="I2862" s="19"/>
      <c r="J2862" s="19"/>
      <c r="K2862" s="21"/>
      <c r="L2862" s="22"/>
      <c r="M2862" s="19"/>
      <c r="N2862" s="20"/>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row>
    <row r="2863" spans="1:45" x14ac:dyDescent="0.3">
      <c r="A2863" s="410" t="s">
        <v>4548</v>
      </c>
      <c r="B2863" s="17"/>
      <c r="C2863" s="19"/>
      <c r="D2863" s="18"/>
      <c r="E2863" s="18"/>
      <c r="F2863" s="19"/>
      <c r="G2863" s="31"/>
      <c r="H2863" s="31"/>
      <c r="I2863" s="19"/>
      <c r="J2863" s="19"/>
      <c r="K2863" s="21"/>
      <c r="L2863" s="22"/>
      <c r="M2863" s="19"/>
      <c r="N2863" s="20"/>
      <c r="O2863" s="19"/>
      <c r="P2863" s="19"/>
      <c r="Q2863" s="19"/>
      <c r="R2863" s="19"/>
      <c r="S2863" s="19"/>
      <c r="T2863" s="19"/>
      <c r="U2863" s="19"/>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row>
    <row r="2864" spans="1:45" x14ac:dyDescent="0.3">
      <c r="A2864" s="410" t="s">
        <v>4549</v>
      </c>
      <c r="B2864" s="17"/>
      <c r="C2864" s="19"/>
      <c r="D2864" s="18"/>
      <c r="E2864" s="18"/>
      <c r="F2864" s="19"/>
      <c r="G2864" s="31"/>
      <c r="H2864" s="31"/>
      <c r="I2864" s="19"/>
      <c r="J2864" s="19"/>
      <c r="K2864" s="21"/>
      <c r="L2864" s="22"/>
      <c r="M2864" s="19"/>
      <c r="N2864" s="20"/>
      <c r="O2864" s="19"/>
      <c r="P2864" s="19"/>
      <c r="Q2864" s="19"/>
      <c r="R2864" s="19"/>
      <c r="S2864" s="19"/>
      <c r="T2864" s="19"/>
      <c r="U2864" s="19"/>
      <c r="V2864" s="19"/>
      <c r="W2864" s="19"/>
      <c r="X2864" s="19"/>
      <c r="Y2864" s="19"/>
      <c r="Z2864" s="19"/>
      <c r="AA2864" s="19"/>
      <c r="AB2864" s="19"/>
      <c r="AC2864" s="19"/>
      <c r="AD2864" s="19"/>
      <c r="AE2864" s="19"/>
      <c r="AF2864" s="19"/>
      <c r="AG2864" s="19"/>
      <c r="AH2864" s="19"/>
      <c r="AI2864" s="19"/>
      <c r="AJ2864" s="19"/>
      <c r="AK2864" s="19"/>
      <c r="AL2864" s="19"/>
      <c r="AM2864" s="19"/>
      <c r="AN2864" s="19"/>
      <c r="AO2864" s="19"/>
      <c r="AP2864" s="19"/>
      <c r="AQ2864" s="19"/>
      <c r="AR2864" s="19"/>
      <c r="AS2864" s="19"/>
    </row>
    <row r="2865" spans="1:45" x14ac:dyDescent="0.3">
      <c r="A2865" s="410" t="s">
        <v>4550</v>
      </c>
      <c r="B2865" s="17"/>
      <c r="C2865" s="19"/>
      <c r="D2865" s="18"/>
      <c r="E2865" s="18"/>
      <c r="F2865" s="19"/>
      <c r="G2865" s="31"/>
      <c r="H2865" s="31"/>
      <c r="I2865" s="19"/>
      <c r="J2865" s="19"/>
      <c r="K2865" s="21"/>
      <c r="L2865" s="22"/>
      <c r="M2865" s="19"/>
      <c r="N2865" s="20"/>
      <c r="O2865" s="19"/>
      <c r="P2865" s="19"/>
      <c r="Q2865" s="19"/>
      <c r="R2865" s="19"/>
      <c r="S2865" s="19"/>
      <c r="T2865" s="19"/>
      <c r="U2865" s="19"/>
      <c r="V2865" s="19"/>
      <c r="W2865" s="19"/>
      <c r="X2865" s="19"/>
      <c r="Y2865" s="19"/>
      <c r="Z2865" s="19"/>
      <c r="AA2865" s="19"/>
      <c r="AB2865" s="19"/>
      <c r="AC2865" s="19"/>
      <c r="AD2865" s="19"/>
      <c r="AE2865" s="19"/>
      <c r="AF2865" s="19"/>
      <c r="AG2865" s="19"/>
      <c r="AH2865" s="19"/>
      <c r="AI2865" s="19"/>
      <c r="AJ2865" s="19"/>
      <c r="AK2865" s="19"/>
      <c r="AL2865" s="19"/>
      <c r="AM2865" s="19"/>
      <c r="AN2865" s="19"/>
      <c r="AO2865" s="19"/>
      <c r="AP2865" s="19"/>
      <c r="AQ2865" s="19"/>
      <c r="AR2865" s="19"/>
      <c r="AS2865" s="19"/>
    </row>
    <row r="2866" spans="1:45" x14ac:dyDescent="0.3">
      <c r="A2866" s="410" t="s">
        <v>4551</v>
      </c>
      <c r="B2866" s="17"/>
      <c r="C2866" s="19"/>
      <c r="D2866" s="18"/>
      <c r="E2866" s="18"/>
      <c r="F2866" s="19"/>
      <c r="G2866" s="31"/>
      <c r="H2866" s="31"/>
      <c r="I2866" s="19"/>
      <c r="J2866" s="19"/>
      <c r="K2866" s="21"/>
      <c r="L2866" s="22"/>
      <c r="M2866" s="19"/>
      <c r="N2866" s="20"/>
      <c r="O2866" s="19"/>
      <c r="P2866" s="19"/>
      <c r="Q2866" s="19"/>
      <c r="R2866" s="19"/>
      <c r="S2866" s="19"/>
      <c r="T2866" s="19"/>
      <c r="U2866" s="19"/>
      <c r="V2866" s="19"/>
      <c r="W2866" s="19"/>
      <c r="X2866" s="19"/>
      <c r="Y2866" s="19"/>
      <c r="Z2866" s="19"/>
      <c r="AA2866" s="19"/>
      <c r="AB2866" s="19"/>
      <c r="AC2866" s="19"/>
      <c r="AD2866" s="19"/>
      <c r="AE2866" s="19"/>
      <c r="AF2866" s="19"/>
      <c r="AG2866" s="19"/>
      <c r="AH2866" s="19"/>
      <c r="AI2866" s="19"/>
      <c r="AJ2866" s="19"/>
      <c r="AK2866" s="19"/>
      <c r="AL2866" s="19"/>
      <c r="AM2866" s="19"/>
      <c r="AN2866" s="19"/>
      <c r="AO2866" s="19"/>
      <c r="AP2866" s="19"/>
      <c r="AQ2866" s="19"/>
      <c r="AR2866" s="19"/>
      <c r="AS2866" s="19"/>
    </row>
    <row r="2867" spans="1:45" x14ac:dyDescent="0.3">
      <c r="A2867" s="410" t="s">
        <v>4552</v>
      </c>
      <c r="B2867" s="17"/>
      <c r="C2867" s="19"/>
      <c r="D2867" s="18"/>
      <c r="E2867" s="18"/>
      <c r="F2867" s="19"/>
      <c r="G2867" s="31"/>
      <c r="H2867" s="31"/>
      <c r="I2867" s="19"/>
      <c r="J2867" s="19"/>
      <c r="K2867" s="21"/>
      <c r="L2867" s="22"/>
      <c r="M2867" s="19"/>
      <c r="N2867" s="20"/>
      <c r="O2867" s="19"/>
      <c r="P2867" s="19"/>
      <c r="Q2867" s="19"/>
      <c r="R2867" s="19"/>
      <c r="S2867" s="19"/>
      <c r="T2867" s="19"/>
      <c r="U2867" s="19"/>
      <c r="V2867" s="19"/>
      <c r="W2867" s="19"/>
      <c r="X2867" s="19"/>
      <c r="Y2867" s="19"/>
      <c r="Z2867" s="19"/>
      <c r="AA2867" s="19"/>
      <c r="AB2867" s="19"/>
      <c r="AC2867" s="19"/>
      <c r="AD2867" s="19"/>
      <c r="AE2867" s="19"/>
      <c r="AF2867" s="19"/>
      <c r="AG2867" s="19"/>
      <c r="AH2867" s="19"/>
      <c r="AI2867" s="19"/>
      <c r="AJ2867" s="19"/>
      <c r="AK2867" s="19"/>
      <c r="AL2867" s="19"/>
      <c r="AM2867" s="19"/>
      <c r="AN2867" s="19"/>
      <c r="AO2867" s="19"/>
      <c r="AP2867" s="19"/>
      <c r="AQ2867" s="19"/>
      <c r="AR2867" s="19"/>
      <c r="AS2867" s="19"/>
    </row>
    <row r="2868" spans="1:45" x14ac:dyDescent="0.3">
      <c r="A2868" s="410" t="s">
        <v>4553</v>
      </c>
      <c r="B2868" s="17"/>
      <c r="C2868" s="19"/>
      <c r="D2868" s="18"/>
      <c r="E2868" s="18"/>
      <c r="F2868" s="19"/>
      <c r="G2868" s="31"/>
      <c r="H2868" s="31"/>
      <c r="I2868" s="19"/>
      <c r="J2868" s="19"/>
      <c r="K2868" s="21"/>
      <c r="L2868" s="22"/>
      <c r="M2868" s="19"/>
      <c r="N2868" s="20"/>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row>
    <row r="2869" spans="1:45" x14ac:dyDescent="0.3">
      <c r="A2869" s="410" t="s">
        <v>4554</v>
      </c>
      <c r="B2869" s="17"/>
      <c r="C2869" s="19"/>
      <c r="D2869" s="18"/>
      <c r="E2869" s="18"/>
      <c r="F2869" s="19"/>
      <c r="G2869" s="31"/>
      <c r="H2869" s="31"/>
      <c r="I2869" s="19"/>
      <c r="J2869" s="19"/>
      <c r="K2869" s="21"/>
      <c r="L2869" s="22"/>
      <c r="M2869" s="19"/>
      <c r="N2869" s="20"/>
      <c r="O2869" s="19"/>
      <c r="P2869" s="19"/>
      <c r="Q2869" s="19"/>
      <c r="R2869" s="19"/>
      <c r="S2869" s="19"/>
      <c r="T2869" s="19"/>
      <c r="U2869" s="19"/>
      <c r="V2869" s="19"/>
      <c r="W2869" s="19"/>
      <c r="X2869" s="19"/>
      <c r="Y2869" s="19"/>
      <c r="Z2869" s="19"/>
      <c r="AA2869" s="19"/>
      <c r="AB2869" s="19"/>
      <c r="AC2869" s="19"/>
      <c r="AD2869" s="19"/>
      <c r="AE2869" s="19"/>
      <c r="AF2869" s="19"/>
      <c r="AG2869" s="19"/>
      <c r="AH2869" s="19"/>
      <c r="AI2869" s="19"/>
      <c r="AJ2869" s="19"/>
      <c r="AK2869" s="19"/>
      <c r="AL2869" s="19"/>
      <c r="AM2869" s="19"/>
      <c r="AN2869" s="19"/>
      <c r="AO2869" s="19"/>
      <c r="AP2869" s="19"/>
      <c r="AQ2869" s="19"/>
      <c r="AR2869" s="19"/>
      <c r="AS2869" s="19"/>
    </row>
    <row r="2870" spans="1:45" x14ac:dyDescent="0.3">
      <c r="A2870" s="410" t="s">
        <v>4555</v>
      </c>
      <c r="B2870" s="17"/>
      <c r="C2870" s="19"/>
      <c r="D2870" s="18"/>
      <c r="E2870" s="18"/>
      <c r="F2870" s="19"/>
      <c r="G2870" s="31"/>
      <c r="H2870" s="31"/>
      <c r="I2870" s="19"/>
      <c r="J2870" s="19"/>
      <c r="K2870" s="21"/>
      <c r="L2870" s="22"/>
      <c r="M2870" s="19"/>
      <c r="N2870" s="20"/>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row>
    <row r="2871" spans="1:45" x14ac:dyDescent="0.3">
      <c r="A2871" s="410" t="s">
        <v>4556</v>
      </c>
      <c r="B2871" s="17"/>
      <c r="C2871" s="19"/>
      <c r="D2871" s="18"/>
      <c r="E2871" s="18"/>
      <c r="F2871" s="19"/>
      <c r="G2871" s="31"/>
      <c r="H2871" s="31"/>
      <c r="I2871" s="19"/>
      <c r="J2871" s="19"/>
      <c r="K2871" s="21"/>
      <c r="L2871" s="22"/>
      <c r="M2871" s="19"/>
      <c r="N2871" s="20"/>
      <c r="O2871" s="19"/>
      <c r="P2871" s="19"/>
      <c r="Q2871" s="19"/>
      <c r="R2871" s="19"/>
      <c r="S2871" s="19"/>
      <c r="T2871" s="19"/>
      <c r="U2871" s="19"/>
      <c r="V2871" s="19"/>
      <c r="W2871" s="19"/>
      <c r="X2871" s="19"/>
      <c r="Y2871" s="19"/>
      <c r="Z2871" s="19"/>
      <c r="AA2871" s="19"/>
      <c r="AB2871" s="19"/>
      <c r="AC2871" s="19"/>
      <c r="AD2871" s="19"/>
      <c r="AE2871" s="19"/>
      <c r="AF2871" s="19"/>
      <c r="AG2871" s="19"/>
      <c r="AH2871" s="19"/>
      <c r="AI2871" s="19"/>
      <c r="AJ2871" s="19"/>
      <c r="AK2871" s="19"/>
      <c r="AL2871" s="19"/>
      <c r="AM2871" s="19"/>
      <c r="AN2871" s="19"/>
      <c r="AO2871" s="19"/>
      <c r="AP2871" s="19"/>
      <c r="AQ2871" s="19"/>
      <c r="AR2871" s="19"/>
      <c r="AS2871" s="19"/>
    </row>
    <row r="2872" spans="1:45" x14ac:dyDescent="0.3">
      <c r="A2872" s="410" t="s">
        <v>4557</v>
      </c>
      <c r="B2872" s="17"/>
      <c r="C2872" s="19"/>
      <c r="D2872" s="18"/>
      <c r="E2872" s="18"/>
      <c r="F2872" s="19"/>
      <c r="G2872" s="31"/>
      <c r="H2872" s="31"/>
      <c r="I2872" s="19"/>
      <c r="J2872" s="19"/>
      <c r="K2872" s="21"/>
      <c r="L2872" s="22"/>
      <c r="M2872" s="19"/>
      <c r="N2872" s="20"/>
      <c r="O2872" s="19"/>
      <c r="P2872" s="19"/>
      <c r="Q2872" s="19"/>
      <c r="R2872" s="19"/>
      <c r="S2872" s="19"/>
      <c r="T2872" s="19"/>
      <c r="U2872" s="19"/>
      <c r="V2872" s="19"/>
      <c r="W2872" s="19"/>
      <c r="X2872" s="19"/>
      <c r="Y2872" s="19"/>
      <c r="Z2872" s="19"/>
      <c r="AA2872" s="19"/>
      <c r="AB2872" s="19"/>
      <c r="AC2872" s="19"/>
      <c r="AD2872" s="19"/>
      <c r="AE2872" s="19"/>
      <c r="AF2872" s="19"/>
      <c r="AG2872" s="19"/>
      <c r="AH2872" s="19"/>
      <c r="AI2872" s="19"/>
      <c r="AJ2872" s="19"/>
      <c r="AK2872" s="19"/>
      <c r="AL2872" s="19"/>
      <c r="AM2872" s="19"/>
      <c r="AN2872" s="19"/>
      <c r="AO2872" s="19"/>
      <c r="AP2872" s="19"/>
      <c r="AQ2872" s="19"/>
      <c r="AR2872" s="19"/>
      <c r="AS2872" s="19"/>
    </row>
    <row r="2873" spans="1:45" x14ac:dyDescent="0.3">
      <c r="A2873" s="410" t="s">
        <v>4558</v>
      </c>
      <c r="B2873" s="17"/>
      <c r="C2873" s="19"/>
      <c r="D2873" s="18"/>
      <c r="E2873" s="18"/>
      <c r="F2873" s="19"/>
      <c r="G2873" s="31"/>
      <c r="H2873" s="31"/>
      <c r="I2873" s="19"/>
      <c r="J2873" s="19"/>
      <c r="K2873" s="21"/>
      <c r="L2873" s="22"/>
      <c r="M2873" s="19"/>
      <c r="N2873" s="20"/>
      <c r="O2873" s="19"/>
      <c r="P2873" s="19"/>
      <c r="Q2873" s="19"/>
      <c r="R2873" s="19"/>
      <c r="S2873" s="19"/>
      <c r="T2873" s="19"/>
      <c r="U2873" s="19"/>
      <c r="V2873" s="19"/>
      <c r="W2873" s="19"/>
      <c r="X2873" s="19"/>
      <c r="Y2873" s="19"/>
      <c r="Z2873" s="19"/>
      <c r="AA2873" s="19"/>
      <c r="AB2873" s="19"/>
      <c r="AC2873" s="19"/>
      <c r="AD2873" s="19"/>
      <c r="AE2873" s="19"/>
      <c r="AF2873" s="19"/>
      <c r="AG2873" s="19"/>
      <c r="AH2873" s="19"/>
      <c r="AI2873" s="19"/>
      <c r="AJ2873" s="19"/>
      <c r="AK2873" s="19"/>
      <c r="AL2873" s="19"/>
      <c r="AM2873" s="19"/>
      <c r="AN2873" s="19"/>
      <c r="AO2873" s="19"/>
      <c r="AP2873" s="19"/>
      <c r="AQ2873" s="19"/>
      <c r="AR2873" s="19"/>
      <c r="AS2873" s="19"/>
    </row>
    <row r="2874" spans="1:45" x14ac:dyDescent="0.3">
      <c r="A2874" s="410" t="s">
        <v>4559</v>
      </c>
      <c r="B2874" s="17"/>
      <c r="C2874" s="19"/>
      <c r="D2874" s="18"/>
      <c r="E2874" s="18"/>
      <c r="F2874" s="19"/>
      <c r="G2874" s="31"/>
      <c r="H2874" s="31"/>
      <c r="I2874" s="19"/>
      <c r="J2874" s="19"/>
      <c r="K2874" s="21"/>
      <c r="L2874" s="22"/>
      <c r="M2874" s="19"/>
      <c r="N2874" s="20"/>
      <c r="O2874" s="19"/>
      <c r="P2874" s="19"/>
      <c r="Q2874" s="19"/>
      <c r="R2874" s="19"/>
      <c r="S2874" s="19"/>
      <c r="T2874" s="19"/>
      <c r="U2874" s="19"/>
      <c r="V2874" s="19"/>
      <c r="W2874" s="19"/>
      <c r="X2874" s="19"/>
      <c r="Y2874" s="19"/>
      <c r="Z2874" s="19"/>
      <c r="AA2874" s="19"/>
      <c r="AB2874" s="19"/>
      <c r="AC2874" s="19"/>
      <c r="AD2874" s="19"/>
      <c r="AE2874" s="19"/>
      <c r="AF2874" s="19"/>
      <c r="AG2874" s="19"/>
      <c r="AH2874" s="19"/>
      <c r="AI2874" s="19"/>
      <c r="AJ2874" s="19"/>
      <c r="AK2874" s="19"/>
      <c r="AL2874" s="19"/>
      <c r="AM2874" s="19"/>
      <c r="AN2874" s="19"/>
      <c r="AO2874" s="19"/>
      <c r="AP2874" s="19"/>
      <c r="AQ2874" s="19"/>
      <c r="AR2874" s="19"/>
      <c r="AS2874" s="19"/>
    </row>
    <row r="2875" spans="1:45" x14ac:dyDescent="0.3">
      <c r="A2875" s="410" t="s">
        <v>4560</v>
      </c>
      <c r="B2875" s="17"/>
      <c r="C2875" s="19"/>
      <c r="D2875" s="18"/>
      <c r="E2875" s="18"/>
      <c r="F2875" s="19"/>
      <c r="G2875" s="31"/>
      <c r="H2875" s="31"/>
      <c r="I2875" s="19"/>
      <c r="J2875" s="19"/>
      <c r="K2875" s="21"/>
      <c r="L2875" s="22"/>
      <c r="M2875" s="19"/>
      <c r="N2875" s="20"/>
      <c r="O2875" s="19"/>
      <c r="P2875" s="19"/>
      <c r="Q2875" s="19"/>
      <c r="R2875" s="19"/>
      <c r="S2875" s="19"/>
      <c r="T2875" s="19"/>
      <c r="U2875" s="19"/>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row>
    <row r="2876" spans="1:45" x14ac:dyDescent="0.3">
      <c r="A2876" s="410" t="s">
        <v>4561</v>
      </c>
      <c r="B2876" s="17"/>
      <c r="C2876" s="19"/>
      <c r="D2876" s="18"/>
      <c r="E2876" s="18"/>
      <c r="F2876" s="19"/>
      <c r="G2876" s="31"/>
      <c r="H2876" s="31"/>
      <c r="I2876" s="19"/>
      <c r="J2876" s="19"/>
      <c r="K2876" s="21"/>
      <c r="L2876" s="22"/>
      <c r="M2876" s="19"/>
      <c r="N2876" s="20"/>
      <c r="O2876" s="19"/>
      <c r="P2876" s="19"/>
      <c r="Q2876" s="19"/>
      <c r="R2876" s="19"/>
      <c r="S2876" s="19"/>
      <c r="T2876" s="19"/>
      <c r="U2876" s="19"/>
      <c r="V2876" s="19"/>
      <c r="W2876" s="19"/>
      <c r="X2876" s="19"/>
      <c r="Y2876" s="19"/>
      <c r="Z2876" s="19"/>
      <c r="AA2876" s="19"/>
      <c r="AB2876" s="19"/>
      <c r="AC2876" s="19"/>
      <c r="AD2876" s="19"/>
      <c r="AE2876" s="19"/>
      <c r="AF2876" s="19"/>
      <c r="AG2876" s="19"/>
      <c r="AH2876" s="19"/>
      <c r="AI2876" s="19"/>
      <c r="AJ2876" s="19"/>
      <c r="AK2876" s="19"/>
      <c r="AL2876" s="19"/>
      <c r="AM2876" s="19"/>
      <c r="AN2876" s="19"/>
      <c r="AO2876" s="19"/>
      <c r="AP2876" s="19"/>
      <c r="AQ2876" s="19"/>
      <c r="AR2876" s="19"/>
      <c r="AS2876" s="19"/>
    </row>
    <row r="2877" spans="1:45" x14ac:dyDescent="0.3">
      <c r="A2877" s="410" t="s">
        <v>4562</v>
      </c>
      <c r="B2877" s="17"/>
      <c r="C2877" s="19"/>
      <c r="D2877" s="18"/>
      <c r="E2877" s="18"/>
      <c r="F2877" s="19"/>
      <c r="G2877" s="31"/>
      <c r="H2877" s="31"/>
      <c r="I2877" s="19"/>
      <c r="J2877" s="19"/>
      <c r="K2877" s="21"/>
      <c r="L2877" s="22"/>
      <c r="M2877" s="19"/>
      <c r="N2877" s="20"/>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row>
    <row r="2878" spans="1:45" x14ac:dyDescent="0.3">
      <c r="A2878" s="410" t="s">
        <v>4563</v>
      </c>
      <c r="B2878" s="17"/>
      <c r="C2878" s="19"/>
      <c r="D2878" s="18"/>
      <c r="E2878" s="18"/>
      <c r="F2878" s="19"/>
      <c r="G2878" s="31"/>
      <c r="H2878" s="31"/>
      <c r="I2878" s="19"/>
      <c r="J2878" s="19"/>
      <c r="K2878" s="21"/>
      <c r="L2878" s="22"/>
      <c r="M2878" s="19"/>
      <c r="N2878" s="20"/>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row>
    <row r="2879" spans="1:45" x14ac:dyDescent="0.3">
      <c r="A2879" s="410" t="s">
        <v>4564</v>
      </c>
      <c r="B2879" s="17"/>
      <c r="C2879" s="19"/>
      <c r="D2879" s="18"/>
      <c r="E2879" s="18"/>
      <c r="F2879" s="19"/>
      <c r="G2879" s="31"/>
      <c r="H2879" s="31"/>
      <c r="I2879" s="19"/>
      <c r="J2879" s="19"/>
      <c r="K2879" s="21"/>
      <c r="L2879" s="22"/>
      <c r="M2879" s="19"/>
      <c r="N2879" s="20"/>
      <c r="O2879" s="19"/>
      <c r="P2879" s="19"/>
      <c r="Q2879" s="19"/>
      <c r="R2879" s="19"/>
      <c r="S2879" s="19"/>
      <c r="T2879" s="19"/>
      <c r="U2879" s="19"/>
      <c r="V2879" s="19"/>
      <c r="W2879" s="19"/>
      <c r="X2879" s="19"/>
      <c r="Y2879" s="19"/>
      <c r="Z2879" s="19"/>
      <c r="AA2879" s="19"/>
      <c r="AB2879" s="19"/>
      <c r="AC2879" s="19"/>
      <c r="AD2879" s="19"/>
      <c r="AE2879" s="19"/>
      <c r="AF2879" s="19"/>
      <c r="AG2879" s="19"/>
      <c r="AH2879" s="19"/>
      <c r="AI2879" s="19"/>
      <c r="AJ2879" s="19"/>
      <c r="AK2879" s="19"/>
      <c r="AL2879" s="19"/>
      <c r="AM2879" s="19"/>
      <c r="AN2879" s="19"/>
      <c r="AO2879" s="19"/>
      <c r="AP2879" s="19"/>
      <c r="AQ2879" s="19"/>
      <c r="AR2879" s="19"/>
      <c r="AS2879" s="19"/>
    </row>
    <row r="2880" spans="1:45" x14ac:dyDescent="0.3">
      <c r="A2880" s="410" t="s">
        <v>4565</v>
      </c>
      <c r="B2880" s="17"/>
      <c r="C2880" s="19"/>
      <c r="D2880" s="18"/>
      <c r="E2880" s="18"/>
      <c r="F2880" s="19"/>
      <c r="G2880" s="31"/>
      <c r="H2880" s="31"/>
      <c r="I2880" s="19"/>
      <c r="J2880" s="19"/>
      <c r="K2880" s="21"/>
      <c r="L2880" s="22"/>
      <c r="M2880" s="19"/>
      <c r="N2880" s="20"/>
      <c r="O2880" s="19"/>
      <c r="P2880" s="19"/>
      <c r="Q2880" s="19"/>
      <c r="R2880" s="19"/>
      <c r="S2880" s="19"/>
      <c r="T2880" s="19"/>
      <c r="U2880" s="19"/>
      <c r="V2880" s="19"/>
      <c r="W2880" s="19"/>
      <c r="X2880" s="19"/>
      <c r="Y2880" s="19"/>
      <c r="Z2880" s="19"/>
      <c r="AA2880" s="19"/>
      <c r="AB2880" s="19"/>
      <c r="AC2880" s="19"/>
      <c r="AD2880" s="19"/>
      <c r="AE2880" s="19"/>
      <c r="AF2880" s="19"/>
      <c r="AG2880" s="19"/>
      <c r="AH2880" s="19"/>
      <c r="AI2880" s="19"/>
      <c r="AJ2880" s="19"/>
      <c r="AK2880" s="19"/>
      <c r="AL2880" s="19"/>
      <c r="AM2880" s="19"/>
      <c r="AN2880" s="19"/>
      <c r="AO2880" s="19"/>
      <c r="AP2880" s="19"/>
      <c r="AQ2880" s="19"/>
      <c r="AR2880" s="19"/>
      <c r="AS2880" s="19"/>
    </row>
    <row r="2881" spans="1:45" x14ac:dyDescent="0.3">
      <c r="A2881" s="410" t="s">
        <v>4566</v>
      </c>
      <c r="B2881" s="17"/>
      <c r="C2881" s="19"/>
      <c r="D2881" s="18"/>
      <c r="E2881" s="18"/>
      <c r="F2881" s="19"/>
      <c r="G2881" s="31"/>
      <c r="H2881" s="31"/>
      <c r="I2881" s="19"/>
      <c r="J2881" s="19"/>
      <c r="K2881" s="21"/>
      <c r="L2881" s="22"/>
      <c r="M2881" s="19"/>
      <c r="N2881" s="20"/>
      <c r="O2881" s="19"/>
      <c r="P2881" s="19"/>
      <c r="Q2881" s="19"/>
      <c r="R2881" s="19"/>
      <c r="S2881" s="19"/>
      <c r="T2881" s="19"/>
      <c r="U2881" s="19"/>
      <c r="V2881" s="19"/>
      <c r="W2881" s="19"/>
      <c r="X2881" s="19"/>
      <c r="Y2881" s="19"/>
      <c r="Z2881" s="19"/>
      <c r="AA2881" s="19"/>
      <c r="AB2881" s="19"/>
      <c r="AC2881" s="19"/>
      <c r="AD2881" s="19"/>
      <c r="AE2881" s="19"/>
      <c r="AF2881" s="19"/>
      <c r="AG2881" s="19"/>
      <c r="AH2881" s="19"/>
      <c r="AI2881" s="19"/>
      <c r="AJ2881" s="19"/>
      <c r="AK2881" s="19"/>
      <c r="AL2881" s="19"/>
      <c r="AM2881" s="19"/>
      <c r="AN2881" s="19"/>
      <c r="AO2881" s="19"/>
      <c r="AP2881" s="19"/>
      <c r="AQ2881" s="19"/>
      <c r="AR2881" s="19"/>
      <c r="AS2881" s="19"/>
    </row>
    <row r="2882" spans="1:45" x14ac:dyDescent="0.3">
      <c r="A2882" s="410" t="s">
        <v>4567</v>
      </c>
      <c r="B2882" s="17"/>
      <c r="C2882" s="19"/>
      <c r="D2882" s="18"/>
      <c r="E2882" s="18"/>
      <c r="F2882" s="19"/>
      <c r="G2882" s="31"/>
      <c r="H2882" s="31"/>
      <c r="I2882" s="19"/>
      <c r="J2882" s="19"/>
      <c r="K2882" s="21"/>
      <c r="L2882" s="22"/>
      <c r="M2882" s="19"/>
      <c r="N2882" s="20"/>
      <c r="O2882" s="19"/>
      <c r="P2882" s="19"/>
      <c r="Q2882" s="19"/>
      <c r="R2882" s="19"/>
      <c r="S2882" s="19"/>
      <c r="T2882" s="19"/>
      <c r="U2882" s="19"/>
      <c r="V2882" s="19"/>
      <c r="W2882" s="19"/>
      <c r="X2882" s="19"/>
      <c r="Y2882" s="19"/>
      <c r="Z2882" s="19"/>
      <c r="AA2882" s="19"/>
      <c r="AB2882" s="19"/>
      <c r="AC2882" s="19"/>
      <c r="AD2882" s="19"/>
      <c r="AE2882" s="19"/>
      <c r="AF2882" s="19"/>
      <c r="AG2882" s="19"/>
      <c r="AH2882" s="19"/>
      <c r="AI2882" s="19"/>
      <c r="AJ2882" s="19"/>
      <c r="AK2882" s="19"/>
      <c r="AL2882" s="19"/>
      <c r="AM2882" s="19"/>
      <c r="AN2882" s="19"/>
      <c r="AO2882" s="19"/>
      <c r="AP2882" s="19"/>
      <c r="AQ2882" s="19"/>
      <c r="AR2882" s="19"/>
      <c r="AS2882" s="19"/>
    </row>
    <row r="2883" spans="1:45" x14ac:dyDescent="0.3">
      <c r="A2883" s="410" t="s">
        <v>4568</v>
      </c>
      <c r="B2883" s="17"/>
      <c r="C2883" s="19"/>
      <c r="D2883" s="18"/>
      <c r="E2883" s="18"/>
      <c r="F2883" s="19"/>
      <c r="G2883" s="31"/>
      <c r="H2883" s="31"/>
      <c r="I2883" s="19"/>
      <c r="J2883" s="19"/>
      <c r="K2883" s="21"/>
      <c r="L2883" s="22"/>
      <c r="M2883" s="19"/>
      <c r="N2883" s="20"/>
      <c r="O2883" s="19"/>
      <c r="P2883" s="19"/>
      <c r="Q2883" s="19"/>
      <c r="R2883" s="19"/>
      <c r="S2883" s="19"/>
      <c r="T2883" s="19"/>
      <c r="U2883" s="19"/>
      <c r="V2883" s="19"/>
      <c r="W2883" s="19"/>
      <c r="X2883" s="19"/>
      <c r="Y2883" s="19"/>
      <c r="Z2883" s="19"/>
      <c r="AA2883" s="19"/>
      <c r="AB2883" s="19"/>
      <c r="AC2883" s="19"/>
      <c r="AD2883" s="19"/>
      <c r="AE2883" s="19"/>
      <c r="AF2883" s="19"/>
      <c r="AG2883" s="19"/>
      <c r="AH2883" s="19"/>
      <c r="AI2883" s="19"/>
      <c r="AJ2883" s="19"/>
      <c r="AK2883" s="19"/>
      <c r="AL2883" s="19"/>
      <c r="AM2883" s="19"/>
      <c r="AN2883" s="19"/>
      <c r="AO2883" s="19"/>
      <c r="AP2883" s="19"/>
      <c r="AQ2883" s="19"/>
      <c r="AR2883" s="19"/>
      <c r="AS2883" s="19"/>
    </row>
    <row r="2884" spans="1:45" x14ac:dyDescent="0.3">
      <c r="A2884" s="410" t="s">
        <v>4569</v>
      </c>
      <c r="B2884" s="17"/>
      <c r="C2884" s="19"/>
      <c r="D2884" s="18"/>
      <c r="E2884" s="18"/>
      <c r="F2884" s="19"/>
      <c r="G2884" s="31"/>
      <c r="H2884" s="31"/>
      <c r="I2884" s="19"/>
      <c r="J2884" s="19"/>
      <c r="K2884" s="21"/>
      <c r="L2884" s="22"/>
      <c r="M2884" s="19"/>
      <c r="N2884" s="20"/>
      <c r="O2884" s="19"/>
      <c r="P2884" s="19"/>
      <c r="Q2884" s="19"/>
      <c r="R2884" s="19"/>
      <c r="S2884" s="19"/>
      <c r="T2884" s="19"/>
      <c r="U2884" s="19"/>
      <c r="V2884" s="19"/>
      <c r="W2884" s="19"/>
      <c r="X2884" s="19"/>
      <c r="Y2884" s="19"/>
      <c r="Z2884" s="19"/>
      <c r="AA2884" s="19"/>
      <c r="AB2884" s="19"/>
      <c r="AC2884" s="19"/>
      <c r="AD2884" s="19"/>
      <c r="AE2884" s="19"/>
      <c r="AF2884" s="19"/>
      <c r="AG2884" s="19"/>
      <c r="AH2884" s="19"/>
      <c r="AI2884" s="19"/>
      <c r="AJ2884" s="19"/>
      <c r="AK2884" s="19"/>
      <c r="AL2884" s="19"/>
      <c r="AM2884" s="19"/>
      <c r="AN2884" s="19"/>
      <c r="AO2884" s="19"/>
      <c r="AP2884" s="19"/>
      <c r="AQ2884" s="19"/>
      <c r="AR2884" s="19"/>
      <c r="AS2884" s="19"/>
    </row>
    <row r="2885" spans="1:45" x14ac:dyDescent="0.3">
      <c r="A2885" s="410" t="s">
        <v>4570</v>
      </c>
      <c r="B2885" s="17"/>
      <c r="C2885" s="19"/>
      <c r="D2885" s="18"/>
      <c r="E2885" s="18"/>
      <c r="F2885" s="19"/>
      <c r="G2885" s="31"/>
      <c r="H2885" s="31"/>
      <c r="I2885" s="19"/>
      <c r="J2885" s="19"/>
      <c r="K2885" s="21"/>
      <c r="L2885" s="22"/>
      <c r="M2885" s="19"/>
      <c r="N2885" s="20"/>
      <c r="O2885" s="19"/>
      <c r="P2885" s="19"/>
      <c r="Q2885" s="19"/>
      <c r="R2885" s="19"/>
      <c r="S2885" s="19"/>
      <c r="T2885" s="19"/>
      <c r="U2885" s="19"/>
      <c r="V2885" s="19"/>
      <c r="W2885" s="19"/>
      <c r="X2885" s="19"/>
      <c r="Y2885" s="19"/>
      <c r="Z2885" s="19"/>
      <c r="AA2885" s="19"/>
      <c r="AB2885" s="19"/>
      <c r="AC2885" s="19"/>
      <c r="AD2885" s="19"/>
      <c r="AE2885" s="19"/>
      <c r="AF2885" s="19"/>
      <c r="AG2885" s="19"/>
      <c r="AH2885" s="19"/>
      <c r="AI2885" s="19"/>
      <c r="AJ2885" s="19"/>
      <c r="AK2885" s="19"/>
      <c r="AL2885" s="19"/>
      <c r="AM2885" s="19"/>
      <c r="AN2885" s="19"/>
      <c r="AO2885" s="19"/>
      <c r="AP2885" s="19"/>
      <c r="AQ2885" s="19"/>
      <c r="AR2885" s="19"/>
      <c r="AS2885" s="19"/>
    </row>
    <row r="2886" spans="1:45" x14ac:dyDescent="0.3">
      <c r="A2886" s="410" t="s">
        <v>4571</v>
      </c>
      <c r="B2886" s="17"/>
      <c r="C2886" s="19"/>
      <c r="D2886" s="18"/>
      <c r="E2886" s="18"/>
      <c r="F2886" s="19"/>
      <c r="G2886" s="31"/>
      <c r="H2886" s="31"/>
      <c r="I2886" s="19"/>
      <c r="J2886" s="19"/>
      <c r="K2886" s="21"/>
      <c r="L2886" s="22"/>
      <c r="M2886" s="19"/>
      <c r="N2886" s="20"/>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row>
    <row r="2887" spans="1:45" x14ac:dyDescent="0.3">
      <c r="A2887" s="410" t="s">
        <v>4572</v>
      </c>
      <c r="B2887" s="17"/>
      <c r="C2887" s="19"/>
      <c r="D2887" s="18"/>
      <c r="E2887" s="18"/>
      <c r="F2887" s="19"/>
      <c r="G2887" s="31"/>
      <c r="H2887" s="31"/>
      <c r="I2887" s="19"/>
      <c r="J2887" s="19"/>
      <c r="K2887" s="21"/>
      <c r="L2887" s="22"/>
      <c r="M2887" s="19"/>
      <c r="N2887" s="20"/>
      <c r="O2887" s="19"/>
      <c r="P2887" s="19"/>
      <c r="Q2887" s="19"/>
      <c r="R2887" s="19"/>
      <c r="S2887" s="19"/>
      <c r="T2887" s="19"/>
      <c r="U2887" s="19"/>
      <c r="V2887" s="19"/>
      <c r="W2887" s="19"/>
      <c r="X2887" s="19"/>
      <c r="Y2887" s="19"/>
      <c r="Z2887" s="19"/>
      <c r="AA2887" s="19"/>
      <c r="AB2887" s="19"/>
      <c r="AC2887" s="19"/>
      <c r="AD2887" s="19"/>
      <c r="AE2887" s="19"/>
      <c r="AF2887" s="19"/>
      <c r="AG2887" s="19"/>
      <c r="AH2887" s="19"/>
      <c r="AI2887" s="19"/>
      <c r="AJ2887" s="19"/>
      <c r="AK2887" s="19"/>
      <c r="AL2887" s="19"/>
      <c r="AM2887" s="19"/>
      <c r="AN2887" s="19"/>
      <c r="AO2887" s="19"/>
      <c r="AP2887" s="19"/>
      <c r="AQ2887" s="19"/>
      <c r="AR2887" s="19"/>
      <c r="AS2887" s="19"/>
    </row>
    <row r="2888" spans="1:45" x14ac:dyDescent="0.3">
      <c r="A2888" s="410" t="s">
        <v>4573</v>
      </c>
      <c r="B2888" s="17"/>
      <c r="C2888" s="19"/>
      <c r="D2888" s="18"/>
      <c r="E2888" s="18"/>
      <c r="F2888" s="19"/>
      <c r="G2888" s="31"/>
      <c r="H2888" s="31"/>
      <c r="I2888" s="19"/>
      <c r="J2888" s="19"/>
      <c r="K2888" s="21"/>
      <c r="L2888" s="22"/>
      <c r="M2888" s="19"/>
      <c r="N2888" s="20"/>
      <c r="O2888" s="19"/>
      <c r="P2888" s="19"/>
      <c r="Q2888" s="19"/>
      <c r="R2888" s="19"/>
      <c r="S2888" s="19"/>
      <c r="T2888" s="19"/>
      <c r="U2888" s="19"/>
      <c r="V2888" s="19"/>
      <c r="W2888" s="19"/>
      <c r="X2888" s="19"/>
      <c r="Y2888" s="19"/>
      <c r="Z2888" s="19"/>
      <c r="AA2888" s="19"/>
      <c r="AB2888" s="19"/>
      <c r="AC2888" s="19"/>
      <c r="AD2888" s="19"/>
      <c r="AE2888" s="19"/>
      <c r="AF2888" s="19"/>
      <c r="AG2888" s="19"/>
      <c r="AH2888" s="19"/>
      <c r="AI2888" s="19"/>
      <c r="AJ2888" s="19"/>
      <c r="AK2888" s="19"/>
      <c r="AL2888" s="19"/>
      <c r="AM2888" s="19"/>
      <c r="AN2888" s="19"/>
      <c r="AO2888" s="19"/>
      <c r="AP2888" s="19"/>
      <c r="AQ2888" s="19"/>
      <c r="AR2888" s="19"/>
      <c r="AS2888" s="19"/>
    </row>
    <row r="2889" spans="1:45" x14ac:dyDescent="0.3">
      <c r="A2889" s="410" t="s">
        <v>4574</v>
      </c>
      <c r="B2889" s="17"/>
      <c r="C2889" s="19"/>
      <c r="D2889" s="18"/>
      <c r="E2889" s="18"/>
      <c r="F2889" s="19"/>
      <c r="G2889" s="31"/>
      <c r="H2889" s="31"/>
      <c r="I2889" s="19"/>
      <c r="J2889" s="19"/>
      <c r="K2889" s="21"/>
      <c r="L2889" s="22"/>
      <c r="M2889" s="19"/>
      <c r="N2889" s="20"/>
      <c r="O2889" s="19"/>
      <c r="P2889" s="19"/>
      <c r="Q2889" s="19"/>
      <c r="R2889" s="19"/>
      <c r="S2889" s="19"/>
      <c r="T2889" s="19"/>
      <c r="U2889" s="19"/>
      <c r="V2889" s="19"/>
      <c r="W2889" s="19"/>
      <c r="X2889" s="19"/>
      <c r="Y2889" s="19"/>
      <c r="Z2889" s="19"/>
      <c r="AA2889" s="19"/>
      <c r="AB2889" s="19"/>
      <c r="AC2889" s="19"/>
      <c r="AD2889" s="19"/>
      <c r="AE2889" s="19"/>
      <c r="AF2889" s="19"/>
      <c r="AG2889" s="19"/>
      <c r="AH2889" s="19"/>
      <c r="AI2889" s="19"/>
      <c r="AJ2889" s="19"/>
      <c r="AK2889" s="19"/>
      <c r="AL2889" s="19"/>
      <c r="AM2889" s="19"/>
      <c r="AN2889" s="19"/>
      <c r="AO2889" s="19"/>
      <c r="AP2889" s="19"/>
      <c r="AQ2889" s="19"/>
      <c r="AR2889" s="19"/>
      <c r="AS2889" s="19"/>
    </row>
    <row r="2890" spans="1:45" x14ac:dyDescent="0.3">
      <c r="A2890" s="410" t="s">
        <v>4575</v>
      </c>
      <c r="B2890" s="17"/>
      <c r="C2890" s="19"/>
      <c r="D2890" s="18"/>
      <c r="E2890" s="18"/>
      <c r="F2890" s="19"/>
      <c r="G2890" s="31"/>
      <c r="H2890" s="31"/>
      <c r="I2890" s="19"/>
      <c r="J2890" s="19"/>
      <c r="K2890" s="21"/>
      <c r="L2890" s="22"/>
      <c r="M2890" s="19"/>
      <c r="N2890" s="20"/>
      <c r="O2890" s="19"/>
      <c r="P2890" s="19"/>
      <c r="Q2890" s="19"/>
      <c r="R2890" s="19"/>
      <c r="S2890" s="19"/>
      <c r="T2890" s="19"/>
      <c r="U2890" s="19"/>
      <c r="V2890" s="19"/>
      <c r="W2890" s="19"/>
      <c r="X2890" s="19"/>
      <c r="Y2890" s="19"/>
      <c r="Z2890" s="19"/>
      <c r="AA2890" s="19"/>
      <c r="AB2890" s="19"/>
      <c r="AC2890" s="19"/>
      <c r="AD2890" s="19"/>
      <c r="AE2890" s="19"/>
      <c r="AF2890" s="19"/>
      <c r="AG2890" s="19"/>
      <c r="AH2890" s="19"/>
      <c r="AI2890" s="19"/>
      <c r="AJ2890" s="19"/>
      <c r="AK2890" s="19"/>
      <c r="AL2890" s="19"/>
      <c r="AM2890" s="19"/>
      <c r="AN2890" s="19"/>
      <c r="AO2890" s="19"/>
      <c r="AP2890" s="19"/>
      <c r="AQ2890" s="19"/>
      <c r="AR2890" s="19"/>
      <c r="AS2890" s="19"/>
    </row>
    <row r="2891" spans="1:45" x14ac:dyDescent="0.3">
      <c r="A2891" s="410" t="s">
        <v>4576</v>
      </c>
      <c r="B2891" s="17"/>
      <c r="C2891" s="19"/>
      <c r="D2891" s="18"/>
      <c r="E2891" s="18"/>
      <c r="F2891" s="19"/>
      <c r="G2891" s="31"/>
      <c r="H2891" s="31"/>
      <c r="I2891" s="19"/>
      <c r="J2891" s="19"/>
      <c r="K2891" s="21"/>
      <c r="L2891" s="22"/>
      <c r="M2891" s="19"/>
      <c r="N2891" s="20"/>
      <c r="O2891" s="19"/>
      <c r="P2891" s="19"/>
      <c r="Q2891" s="19"/>
      <c r="R2891" s="19"/>
      <c r="S2891" s="19"/>
      <c r="T2891" s="19"/>
      <c r="U2891" s="19"/>
      <c r="V2891" s="19"/>
      <c r="W2891" s="19"/>
      <c r="X2891" s="19"/>
      <c r="Y2891" s="19"/>
      <c r="Z2891" s="19"/>
      <c r="AA2891" s="19"/>
      <c r="AB2891" s="19"/>
      <c r="AC2891" s="19"/>
      <c r="AD2891" s="19"/>
      <c r="AE2891" s="19"/>
      <c r="AF2891" s="19"/>
      <c r="AG2891" s="19"/>
      <c r="AH2891" s="19"/>
      <c r="AI2891" s="19"/>
      <c r="AJ2891" s="19"/>
      <c r="AK2891" s="19"/>
      <c r="AL2891" s="19"/>
      <c r="AM2891" s="19"/>
      <c r="AN2891" s="19"/>
      <c r="AO2891" s="19"/>
      <c r="AP2891" s="19"/>
      <c r="AQ2891" s="19"/>
      <c r="AR2891" s="19"/>
      <c r="AS2891" s="19"/>
    </row>
    <row r="2892" spans="1:45" x14ac:dyDescent="0.3">
      <c r="A2892" s="410" t="s">
        <v>4577</v>
      </c>
      <c r="B2892" s="17"/>
      <c r="C2892" s="19"/>
      <c r="D2892" s="18"/>
      <c r="E2892" s="18"/>
      <c r="F2892" s="19"/>
      <c r="G2892" s="31"/>
      <c r="H2892" s="31"/>
      <c r="I2892" s="19"/>
      <c r="J2892" s="19"/>
      <c r="K2892" s="21"/>
      <c r="L2892" s="22"/>
      <c r="M2892" s="19"/>
      <c r="N2892" s="20"/>
      <c r="O2892" s="19"/>
      <c r="P2892" s="19"/>
      <c r="Q2892" s="19"/>
      <c r="R2892" s="19"/>
      <c r="S2892" s="19"/>
      <c r="T2892" s="19"/>
      <c r="U2892" s="19"/>
      <c r="V2892" s="19"/>
      <c r="W2892" s="19"/>
      <c r="X2892" s="19"/>
      <c r="Y2892" s="19"/>
      <c r="Z2892" s="19"/>
      <c r="AA2892" s="19"/>
      <c r="AB2892" s="19"/>
      <c r="AC2892" s="19"/>
      <c r="AD2892" s="19"/>
      <c r="AE2892" s="19"/>
      <c r="AF2892" s="19"/>
      <c r="AG2892" s="19"/>
      <c r="AH2892" s="19"/>
      <c r="AI2892" s="19"/>
      <c r="AJ2892" s="19"/>
      <c r="AK2892" s="19"/>
      <c r="AL2892" s="19"/>
      <c r="AM2892" s="19"/>
      <c r="AN2892" s="19"/>
      <c r="AO2892" s="19"/>
      <c r="AP2892" s="19"/>
      <c r="AQ2892" s="19"/>
      <c r="AR2892" s="19"/>
      <c r="AS2892" s="19"/>
    </row>
    <row r="2893" spans="1:45" x14ac:dyDescent="0.3">
      <c r="A2893" s="410" t="s">
        <v>4578</v>
      </c>
      <c r="B2893" s="17"/>
      <c r="C2893" s="19"/>
      <c r="D2893" s="18"/>
      <c r="E2893" s="18"/>
      <c r="F2893" s="19"/>
      <c r="G2893" s="31"/>
      <c r="H2893" s="31"/>
      <c r="I2893" s="19"/>
      <c r="J2893" s="19"/>
      <c r="K2893" s="21"/>
      <c r="L2893" s="22"/>
      <c r="M2893" s="19"/>
      <c r="N2893" s="20"/>
      <c r="O2893" s="19"/>
      <c r="P2893" s="19"/>
      <c r="Q2893" s="19"/>
      <c r="R2893" s="19"/>
      <c r="S2893" s="19"/>
      <c r="T2893" s="19"/>
      <c r="U2893" s="19"/>
      <c r="V2893" s="19"/>
      <c r="W2893" s="19"/>
      <c r="X2893" s="19"/>
      <c r="Y2893" s="19"/>
      <c r="Z2893" s="19"/>
      <c r="AA2893" s="19"/>
      <c r="AB2893" s="19"/>
      <c r="AC2893" s="19"/>
      <c r="AD2893" s="19"/>
      <c r="AE2893" s="19"/>
      <c r="AF2893" s="19"/>
      <c r="AG2893" s="19"/>
      <c r="AH2893" s="19"/>
      <c r="AI2893" s="19"/>
      <c r="AJ2893" s="19"/>
      <c r="AK2893" s="19"/>
      <c r="AL2893" s="19"/>
      <c r="AM2893" s="19"/>
      <c r="AN2893" s="19"/>
      <c r="AO2893" s="19"/>
      <c r="AP2893" s="19"/>
      <c r="AQ2893" s="19"/>
      <c r="AR2893" s="19"/>
      <c r="AS2893" s="19"/>
    </row>
    <row r="2894" spans="1:45" x14ac:dyDescent="0.3">
      <c r="A2894" s="410" t="s">
        <v>4579</v>
      </c>
      <c r="B2894" s="17"/>
      <c r="C2894" s="19"/>
      <c r="D2894" s="18"/>
      <c r="E2894" s="18"/>
      <c r="F2894" s="19"/>
      <c r="G2894" s="31"/>
      <c r="H2894" s="31"/>
      <c r="I2894" s="19"/>
      <c r="J2894" s="19"/>
      <c r="K2894" s="21"/>
      <c r="L2894" s="22"/>
      <c r="M2894" s="19"/>
      <c r="N2894" s="20"/>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row>
    <row r="2895" spans="1:45" x14ac:dyDescent="0.3">
      <c r="A2895" s="410" t="s">
        <v>4580</v>
      </c>
      <c r="B2895" s="17"/>
      <c r="C2895" s="19"/>
      <c r="D2895" s="18"/>
      <c r="E2895" s="18"/>
      <c r="F2895" s="19"/>
      <c r="G2895" s="31"/>
      <c r="H2895" s="31"/>
      <c r="I2895" s="19"/>
      <c r="J2895" s="19"/>
      <c r="K2895" s="21"/>
      <c r="L2895" s="22"/>
      <c r="M2895" s="19"/>
      <c r="N2895" s="20"/>
      <c r="O2895" s="19"/>
      <c r="P2895" s="19"/>
      <c r="Q2895" s="19"/>
      <c r="R2895" s="19"/>
      <c r="S2895" s="19"/>
      <c r="T2895" s="19"/>
      <c r="U2895" s="19"/>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row>
    <row r="2896" spans="1:45" x14ac:dyDescent="0.3">
      <c r="A2896" s="410" t="s">
        <v>4581</v>
      </c>
      <c r="B2896" s="17"/>
      <c r="C2896" s="19"/>
      <c r="D2896" s="18"/>
      <c r="E2896" s="18"/>
      <c r="F2896" s="19"/>
      <c r="G2896" s="31"/>
      <c r="H2896" s="31"/>
      <c r="I2896" s="19"/>
      <c r="J2896" s="19"/>
      <c r="K2896" s="21"/>
      <c r="L2896" s="22"/>
      <c r="M2896" s="19"/>
      <c r="N2896" s="20"/>
      <c r="O2896" s="19"/>
      <c r="P2896" s="19"/>
      <c r="Q2896" s="19"/>
      <c r="R2896" s="19"/>
      <c r="S2896" s="19"/>
      <c r="T2896" s="19"/>
      <c r="U2896" s="19"/>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row>
    <row r="2897" spans="1:45" x14ac:dyDescent="0.3">
      <c r="A2897" s="410" t="s">
        <v>4582</v>
      </c>
      <c r="B2897" s="17"/>
      <c r="C2897" s="19"/>
      <c r="D2897" s="18"/>
      <c r="E2897" s="18"/>
      <c r="F2897" s="19"/>
      <c r="G2897" s="31"/>
      <c r="H2897" s="31"/>
      <c r="I2897" s="19"/>
      <c r="J2897" s="19"/>
      <c r="K2897" s="21"/>
      <c r="L2897" s="22"/>
      <c r="M2897" s="19"/>
      <c r="N2897" s="20"/>
      <c r="O2897" s="19"/>
      <c r="P2897" s="19"/>
      <c r="Q2897" s="19"/>
      <c r="R2897" s="19"/>
      <c r="S2897" s="19"/>
      <c r="T2897" s="19"/>
      <c r="U2897" s="19"/>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row>
    <row r="2898" spans="1:45" x14ac:dyDescent="0.3">
      <c r="A2898" s="410" t="s">
        <v>4583</v>
      </c>
      <c r="B2898" s="17"/>
      <c r="C2898" s="19"/>
      <c r="D2898" s="18"/>
      <c r="E2898" s="18"/>
      <c r="F2898" s="19"/>
      <c r="G2898" s="31"/>
      <c r="H2898" s="31"/>
      <c r="I2898" s="19"/>
      <c r="J2898" s="19"/>
      <c r="K2898" s="21"/>
      <c r="L2898" s="22"/>
      <c r="M2898" s="19"/>
      <c r="N2898" s="20"/>
      <c r="O2898" s="19"/>
      <c r="P2898" s="19"/>
      <c r="Q2898" s="19"/>
      <c r="R2898" s="19"/>
      <c r="S2898" s="19"/>
      <c r="T2898" s="19"/>
      <c r="U2898" s="19"/>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row>
    <row r="2899" spans="1:45" x14ac:dyDescent="0.3">
      <c r="A2899" s="410" t="s">
        <v>4584</v>
      </c>
      <c r="B2899" s="17"/>
      <c r="C2899" s="19"/>
      <c r="D2899" s="18"/>
      <c r="E2899" s="18"/>
      <c r="F2899" s="19"/>
      <c r="G2899" s="31"/>
      <c r="H2899" s="31"/>
      <c r="I2899" s="19"/>
      <c r="J2899" s="19"/>
      <c r="K2899" s="21"/>
      <c r="L2899" s="22"/>
      <c r="M2899" s="19"/>
      <c r="N2899" s="20"/>
      <c r="O2899" s="19"/>
      <c r="P2899" s="19"/>
      <c r="Q2899" s="19"/>
      <c r="R2899" s="19"/>
      <c r="S2899" s="19"/>
      <c r="T2899" s="19"/>
      <c r="U2899" s="19"/>
      <c r="V2899" s="19"/>
      <c r="W2899" s="19"/>
      <c r="X2899" s="19"/>
      <c r="Y2899" s="19"/>
      <c r="Z2899" s="19"/>
      <c r="AA2899" s="19"/>
      <c r="AB2899" s="19"/>
      <c r="AC2899" s="19"/>
      <c r="AD2899" s="19"/>
      <c r="AE2899" s="19"/>
      <c r="AF2899" s="19"/>
      <c r="AG2899" s="19"/>
      <c r="AH2899" s="19"/>
      <c r="AI2899" s="19"/>
      <c r="AJ2899" s="19"/>
      <c r="AK2899" s="19"/>
      <c r="AL2899" s="19"/>
      <c r="AM2899" s="19"/>
      <c r="AN2899" s="19"/>
      <c r="AO2899" s="19"/>
      <c r="AP2899" s="19"/>
      <c r="AQ2899" s="19"/>
      <c r="AR2899" s="19"/>
      <c r="AS2899" s="19"/>
    </row>
    <row r="2900" spans="1:45" x14ac:dyDescent="0.3">
      <c r="A2900" s="410" t="s">
        <v>4585</v>
      </c>
      <c r="B2900" s="17"/>
      <c r="C2900" s="19"/>
      <c r="D2900" s="18"/>
      <c r="E2900" s="18"/>
      <c r="F2900" s="19"/>
      <c r="G2900" s="31"/>
      <c r="H2900" s="31"/>
      <c r="I2900" s="19"/>
      <c r="J2900" s="19"/>
      <c r="K2900" s="21"/>
      <c r="L2900" s="22"/>
      <c r="M2900" s="19"/>
      <c r="N2900" s="20"/>
      <c r="O2900" s="19"/>
      <c r="P2900" s="19"/>
      <c r="Q2900" s="19"/>
      <c r="R2900" s="19"/>
      <c r="S2900" s="19"/>
      <c r="T2900" s="19"/>
      <c r="U2900" s="19"/>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row>
    <row r="2901" spans="1:45" x14ac:dyDescent="0.3">
      <c r="A2901" s="410" t="s">
        <v>4586</v>
      </c>
      <c r="B2901" s="17"/>
      <c r="C2901" s="19"/>
      <c r="D2901" s="18"/>
      <c r="E2901" s="18"/>
      <c r="F2901" s="19"/>
      <c r="G2901" s="31"/>
      <c r="H2901" s="31"/>
      <c r="I2901" s="19"/>
      <c r="J2901" s="19"/>
      <c r="K2901" s="21"/>
      <c r="L2901" s="22"/>
      <c r="M2901" s="19"/>
      <c r="N2901" s="20"/>
      <c r="O2901" s="19"/>
      <c r="P2901" s="19"/>
      <c r="Q2901" s="19"/>
      <c r="R2901" s="19"/>
      <c r="S2901" s="19"/>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row>
    <row r="2902" spans="1:45" x14ac:dyDescent="0.3">
      <c r="A2902" s="410" t="s">
        <v>4587</v>
      </c>
      <c r="B2902" s="17"/>
      <c r="C2902" s="19"/>
      <c r="D2902" s="18"/>
      <c r="E2902" s="18"/>
      <c r="F2902" s="19"/>
      <c r="G2902" s="31"/>
      <c r="H2902" s="31"/>
      <c r="I2902" s="19"/>
      <c r="J2902" s="19"/>
      <c r="K2902" s="21"/>
      <c r="L2902" s="22"/>
      <c r="M2902" s="19"/>
      <c r="N2902" s="20"/>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row>
    <row r="2903" spans="1:45" x14ac:dyDescent="0.3">
      <c r="A2903" s="410" t="s">
        <v>4588</v>
      </c>
      <c r="B2903" s="17"/>
      <c r="C2903" s="19"/>
      <c r="D2903" s="18"/>
      <c r="E2903" s="18"/>
      <c r="F2903" s="19"/>
      <c r="G2903" s="31"/>
      <c r="H2903" s="31"/>
      <c r="I2903" s="19"/>
      <c r="J2903" s="19"/>
      <c r="K2903" s="21"/>
      <c r="L2903" s="22"/>
      <c r="M2903" s="19"/>
      <c r="N2903" s="20"/>
      <c r="O2903" s="19"/>
      <c r="P2903" s="19"/>
      <c r="Q2903" s="19"/>
      <c r="R2903" s="19"/>
      <c r="S2903" s="19"/>
      <c r="T2903" s="19"/>
      <c r="U2903" s="19"/>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row>
    <row r="2904" spans="1:45" x14ac:dyDescent="0.3">
      <c r="A2904" s="410" t="s">
        <v>4589</v>
      </c>
      <c r="B2904" s="17"/>
      <c r="C2904" s="19"/>
      <c r="D2904" s="18"/>
      <c r="E2904" s="18"/>
      <c r="F2904" s="19"/>
      <c r="G2904" s="31"/>
      <c r="H2904" s="31"/>
      <c r="I2904" s="19"/>
      <c r="J2904" s="19"/>
      <c r="K2904" s="21"/>
      <c r="L2904" s="22"/>
      <c r="M2904" s="19"/>
      <c r="N2904" s="20"/>
      <c r="O2904" s="19"/>
      <c r="P2904" s="19"/>
      <c r="Q2904" s="19"/>
      <c r="R2904" s="19"/>
      <c r="S2904" s="19"/>
      <c r="T2904" s="19"/>
      <c r="U2904" s="19"/>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row>
    <row r="2905" spans="1:45" x14ac:dyDescent="0.3">
      <c r="A2905" s="410" t="s">
        <v>4590</v>
      </c>
      <c r="B2905" s="17"/>
      <c r="C2905" s="19"/>
      <c r="D2905" s="18"/>
      <c r="E2905" s="18"/>
      <c r="F2905" s="19"/>
      <c r="G2905" s="31"/>
      <c r="H2905" s="31"/>
      <c r="I2905" s="19"/>
      <c r="J2905" s="19"/>
      <c r="K2905" s="21"/>
      <c r="L2905" s="22"/>
      <c r="M2905" s="19"/>
      <c r="N2905" s="20"/>
      <c r="O2905" s="19"/>
      <c r="P2905" s="19"/>
      <c r="Q2905" s="19"/>
      <c r="R2905" s="19"/>
      <c r="S2905" s="19"/>
      <c r="T2905" s="19"/>
      <c r="U2905" s="19"/>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row>
    <row r="2906" spans="1:45" x14ac:dyDescent="0.3">
      <c r="A2906" s="410" t="s">
        <v>4591</v>
      </c>
      <c r="B2906" s="17"/>
      <c r="C2906" s="19"/>
      <c r="D2906" s="18"/>
      <c r="E2906" s="18"/>
      <c r="F2906" s="19"/>
      <c r="G2906" s="31"/>
      <c r="H2906" s="31"/>
      <c r="I2906" s="19"/>
      <c r="J2906" s="19"/>
      <c r="K2906" s="21"/>
      <c r="L2906" s="22"/>
      <c r="M2906" s="19"/>
      <c r="N2906" s="20"/>
      <c r="O2906" s="19"/>
      <c r="P2906" s="19"/>
      <c r="Q2906" s="19"/>
      <c r="R2906" s="19"/>
      <c r="S2906" s="19"/>
      <c r="T2906" s="19"/>
      <c r="U2906" s="19"/>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row>
    <row r="2907" spans="1:45" x14ac:dyDescent="0.3">
      <c r="A2907" s="410" t="s">
        <v>4592</v>
      </c>
      <c r="B2907" s="17"/>
      <c r="C2907" s="19"/>
      <c r="D2907" s="18"/>
      <c r="E2907" s="18"/>
      <c r="F2907" s="19"/>
      <c r="G2907" s="31"/>
      <c r="H2907" s="31"/>
      <c r="I2907" s="19"/>
      <c r="J2907" s="19"/>
      <c r="K2907" s="21"/>
      <c r="L2907" s="22"/>
      <c r="M2907" s="19"/>
      <c r="N2907" s="20"/>
      <c r="O2907" s="19"/>
      <c r="P2907" s="19"/>
      <c r="Q2907" s="19"/>
      <c r="R2907" s="19"/>
      <c r="S2907" s="19"/>
      <c r="T2907" s="19"/>
      <c r="U2907" s="19"/>
      <c r="V2907" s="19"/>
      <c r="W2907" s="19"/>
      <c r="X2907" s="19"/>
      <c r="Y2907" s="19"/>
      <c r="Z2907" s="19"/>
      <c r="AA2907" s="19"/>
      <c r="AB2907" s="19"/>
      <c r="AC2907" s="19"/>
      <c r="AD2907" s="19"/>
      <c r="AE2907" s="19"/>
      <c r="AF2907" s="19"/>
      <c r="AG2907" s="19"/>
      <c r="AH2907" s="19"/>
      <c r="AI2907" s="19"/>
      <c r="AJ2907" s="19"/>
      <c r="AK2907" s="19"/>
      <c r="AL2907" s="19"/>
      <c r="AM2907" s="19"/>
      <c r="AN2907" s="19"/>
      <c r="AO2907" s="19"/>
      <c r="AP2907" s="19"/>
      <c r="AQ2907" s="19"/>
      <c r="AR2907" s="19"/>
      <c r="AS2907" s="19"/>
    </row>
    <row r="2908" spans="1:45" x14ac:dyDescent="0.3">
      <c r="A2908" s="410" t="s">
        <v>4593</v>
      </c>
      <c r="B2908" s="17"/>
      <c r="C2908" s="19"/>
      <c r="D2908" s="18"/>
      <c r="E2908" s="18"/>
      <c r="F2908" s="19"/>
      <c r="G2908" s="31"/>
      <c r="H2908" s="31"/>
      <c r="I2908" s="19"/>
      <c r="J2908" s="19"/>
      <c r="K2908" s="21"/>
      <c r="L2908" s="22"/>
      <c r="M2908" s="19"/>
      <c r="N2908" s="20"/>
      <c r="O2908" s="19"/>
      <c r="P2908" s="19"/>
      <c r="Q2908" s="19"/>
      <c r="R2908" s="19"/>
      <c r="S2908" s="19"/>
      <c r="T2908" s="19"/>
      <c r="U2908" s="19"/>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row>
    <row r="2909" spans="1:45" x14ac:dyDescent="0.3">
      <c r="A2909" s="410" t="s">
        <v>4594</v>
      </c>
      <c r="B2909" s="17"/>
      <c r="C2909" s="19"/>
      <c r="D2909" s="18"/>
      <c r="E2909" s="18"/>
      <c r="F2909" s="19"/>
      <c r="G2909" s="31"/>
      <c r="H2909" s="31"/>
      <c r="I2909" s="19"/>
      <c r="J2909" s="19"/>
      <c r="K2909" s="21"/>
      <c r="L2909" s="22"/>
      <c r="M2909" s="19"/>
      <c r="N2909" s="20"/>
      <c r="O2909" s="19"/>
      <c r="P2909" s="19"/>
      <c r="Q2909" s="19"/>
      <c r="R2909" s="19"/>
      <c r="S2909" s="19"/>
      <c r="T2909" s="19"/>
      <c r="U2909" s="19"/>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row>
    <row r="2910" spans="1:45" x14ac:dyDescent="0.3">
      <c r="A2910" s="410" t="s">
        <v>4595</v>
      </c>
      <c r="B2910" s="17"/>
      <c r="C2910" s="19"/>
      <c r="D2910" s="18"/>
      <c r="E2910" s="18"/>
      <c r="F2910" s="19"/>
      <c r="G2910" s="31"/>
      <c r="H2910" s="31"/>
      <c r="I2910" s="19"/>
      <c r="J2910" s="19"/>
      <c r="K2910" s="21"/>
      <c r="L2910" s="22"/>
      <c r="M2910" s="19"/>
      <c r="N2910" s="20"/>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row>
    <row r="2911" spans="1:45" x14ac:dyDescent="0.3">
      <c r="A2911" s="410" t="s">
        <v>4596</v>
      </c>
      <c r="B2911" s="17"/>
      <c r="C2911" s="19"/>
      <c r="D2911" s="18"/>
      <c r="E2911" s="18"/>
      <c r="F2911" s="19"/>
      <c r="G2911" s="31"/>
      <c r="H2911" s="31"/>
      <c r="I2911" s="19"/>
      <c r="J2911" s="19"/>
      <c r="K2911" s="21"/>
      <c r="L2911" s="22"/>
      <c r="M2911" s="19"/>
      <c r="N2911" s="20"/>
      <c r="O2911" s="19"/>
      <c r="P2911" s="19"/>
      <c r="Q2911" s="19"/>
      <c r="R2911" s="19"/>
      <c r="S2911" s="19"/>
      <c r="T2911" s="19"/>
      <c r="U2911" s="19"/>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row>
    <row r="2912" spans="1:45" x14ac:dyDescent="0.3">
      <c r="A2912" s="410" t="s">
        <v>4597</v>
      </c>
      <c r="B2912" s="17"/>
      <c r="C2912" s="19"/>
      <c r="D2912" s="18"/>
      <c r="E2912" s="18"/>
      <c r="F2912" s="19"/>
      <c r="G2912" s="31"/>
      <c r="H2912" s="31"/>
      <c r="I2912" s="19"/>
      <c r="J2912" s="19"/>
      <c r="K2912" s="21"/>
      <c r="L2912" s="22"/>
      <c r="M2912" s="19"/>
      <c r="N2912" s="20"/>
      <c r="O2912" s="19"/>
      <c r="P2912" s="19"/>
      <c r="Q2912" s="19"/>
      <c r="R2912" s="19"/>
      <c r="S2912" s="19"/>
      <c r="T2912" s="19"/>
      <c r="U2912" s="19"/>
      <c r="V2912" s="19"/>
      <c r="W2912" s="19"/>
      <c r="X2912" s="19"/>
      <c r="Y2912" s="19"/>
      <c r="Z2912" s="19"/>
      <c r="AA2912" s="19"/>
      <c r="AB2912" s="19"/>
      <c r="AC2912" s="19"/>
      <c r="AD2912" s="19"/>
      <c r="AE2912" s="19"/>
      <c r="AF2912" s="19"/>
      <c r="AG2912" s="19"/>
      <c r="AH2912" s="19"/>
      <c r="AI2912" s="19"/>
      <c r="AJ2912" s="19"/>
      <c r="AK2912" s="19"/>
      <c r="AL2912" s="19"/>
      <c r="AM2912" s="19"/>
      <c r="AN2912" s="19"/>
      <c r="AO2912" s="19"/>
      <c r="AP2912" s="19"/>
      <c r="AQ2912" s="19"/>
      <c r="AR2912" s="19"/>
      <c r="AS2912" s="19"/>
    </row>
    <row r="2913" spans="1:45" x14ac:dyDescent="0.3">
      <c r="A2913" s="410" t="s">
        <v>4598</v>
      </c>
      <c r="B2913" s="17"/>
      <c r="C2913" s="19"/>
      <c r="D2913" s="18"/>
      <c r="E2913" s="18"/>
      <c r="F2913" s="19"/>
      <c r="G2913" s="31"/>
      <c r="H2913" s="31"/>
      <c r="I2913" s="19"/>
      <c r="J2913" s="19"/>
      <c r="K2913" s="21"/>
      <c r="L2913" s="22"/>
      <c r="M2913" s="19"/>
      <c r="N2913" s="20"/>
      <c r="O2913" s="19"/>
      <c r="P2913" s="19"/>
      <c r="Q2913" s="19"/>
      <c r="R2913" s="19"/>
      <c r="S2913" s="19"/>
      <c r="T2913" s="19"/>
      <c r="U2913" s="19"/>
      <c r="V2913" s="19"/>
      <c r="W2913" s="19"/>
      <c r="X2913" s="19"/>
      <c r="Y2913" s="19"/>
      <c r="Z2913" s="19"/>
      <c r="AA2913" s="19"/>
      <c r="AB2913" s="19"/>
      <c r="AC2913" s="19"/>
      <c r="AD2913" s="19"/>
      <c r="AE2913" s="19"/>
      <c r="AF2913" s="19"/>
      <c r="AG2913" s="19"/>
      <c r="AH2913" s="19"/>
      <c r="AI2913" s="19"/>
      <c r="AJ2913" s="19"/>
      <c r="AK2913" s="19"/>
      <c r="AL2913" s="19"/>
      <c r="AM2913" s="19"/>
      <c r="AN2913" s="19"/>
      <c r="AO2913" s="19"/>
      <c r="AP2913" s="19"/>
      <c r="AQ2913" s="19"/>
      <c r="AR2913" s="19"/>
      <c r="AS2913" s="19"/>
    </row>
    <row r="2914" spans="1:45" x14ac:dyDescent="0.3">
      <c r="A2914" s="410" t="s">
        <v>4599</v>
      </c>
      <c r="B2914" s="17"/>
      <c r="C2914" s="19"/>
      <c r="D2914" s="18"/>
      <c r="E2914" s="18"/>
      <c r="F2914" s="19"/>
      <c r="G2914" s="31"/>
      <c r="H2914" s="31"/>
      <c r="I2914" s="19"/>
      <c r="J2914" s="19"/>
      <c r="K2914" s="21"/>
      <c r="L2914" s="22"/>
      <c r="M2914" s="19"/>
      <c r="N2914" s="20"/>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row>
    <row r="2915" spans="1:45" x14ac:dyDescent="0.3">
      <c r="A2915" s="410" t="s">
        <v>4600</v>
      </c>
      <c r="B2915" s="17"/>
      <c r="C2915" s="19"/>
      <c r="D2915" s="18"/>
      <c r="E2915" s="18"/>
      <c r="F2915" s="19"/>
      <c r="G2915" s="31"/>
      <c r="H2915" s="31"/>
      <c r="I2915" s="19"/>
      <c r="J2915" s="19"/>
      <c r="K2915" s="21"/>
      <c r="L2915" s="22"/>
      <c r="M2915" s="19"/>
      <c r="N2915" s="20"/>
      <c r="O2915" s="19"/>
      <c r="P2915" s="19"/>
      <c r="Q2915" s="19"/>
      <c r="R2915" s="19"/>
      <c r="S2915" s="19"/>
      <c r="T2915" s="19"/>
      <c r="U2915" s="19"/>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row>
    <row r="2916" spans="1:45" x14ac:dyDescent="0.3">
      <c r="A2916" s="410" t="s">
        <v>4601</v>
      </c>
      <c r="B2916" s="17"/>
      <c r="C2916" s="19"/>
      <c r="D2916" s="18"/>
      <c r="E2916" s="18"/>
      <c r="F2916" s="19"/>
      <c r="G2916" s="31"/>
      <c r="H2916" s="31"/>
      <c r="I2916" s="19"/>
      <c r="J2916" s="19"/>
      <c r="K2916" s="21"/>
      <c r="L2916" s="22"/>
      <c r="M2916" s="19"/>
      <c r="N2916" s="20"/>
      <c r="O2916" s="19"/>
      <c r="P2916" s="19"/>
      <c r="Q2916" s="19"/>
      <c r="R2916" s="19"/>
      <c r="S2916" s="19"/>
      <c r="T2916" s="19"/>
      <c r="U2916" s="19"/>
      <c r="V2916" s="19"/>
      <c r="W2916" s="19"/>
      <c r="X2916" s="19"/>
      <c r="Y2916" s="19"/>
      <c r="Z2916" s="19"/>
      <c r="AA2916" s="19"/>
      <c r="AB2916" s="19"/>
      <c r="AC2916" s="19"/>
      <c r="AD2916" s="19"/>
      <c r="AE2916" s="19"/>
      <c r="AF2916" s="19"/>
      <c r="AG2916" s="19"/>
      <c r="AH2916" s="19"/>
      <c r="AI2916" s="19"/>
      <c r="AJ2916" s="19"/>
      <c r="AK2916" s="19"/>
      <c r="AL2916" s="19"/>
      <c r="AM2916" s="19"/>
      <c r="AN2916" s="19"/>
      <c r="AO2916" s="19"/>
      <c r="AP2916" s="19"/>
      <c r="AQ2916" s="19"/>
      <c r="AR2916" s="19"/>
      <c r="AS2916" s="19"/>
    </row>
    <row r="2917" spans="1:45" x14ac:dyDescent="0.3">
      <c r="A2917" s="410" t="s">
        <v>4602</v>
      </c>
      <c r="B2917" s="17"/>
      <c r="C2917" s="19"/>
      <c r="D2917" s="18"/>
      <c r="E2917" s="18"/>
      <c r="F2917" s="19"/>
      <c r="G2917" s="31"/>
      <c r="H2917" s="31"/>
      <c r="I2917" s="19"/>
      <c r="J2917" s="19"/>
      <c r="K2917" s="21"/>
      <c r="L2917" s="22"/>
      <c r="M2917" s="19"/>
      <c r="N2917" s="20"/>
      <c r="O2917" s="19"/>
      <c r="P2917" s="19"/>
      <c r="Q2917" s="19"/>
      <c r="R2917" s="19"/>
      <c r="S2917" s="19"/>
      <c r="T2917" s="19"/>
      <c r="U2917" s="19"/>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19"/>
    </row>
    <row r="2918" spans="1:45" x14ac:dyDescent="0.3">
      <c r="A2918" s="410" t="s">
        <v>4603</v>
      </c>
      <c r="B2918" s="17"/>
      <c r="C2918" s="19"/>
      <c r="D2918" s="18"/>
      <c r="E2918" s="18"/>
      <c r="F2918" s="19"/>
      <c r="G2918" s="31"/>
      <c r="H2918" s="31"/>
      <c r="I2918" s="19"/>
      <c r="J2918" s="19"/>
      <c r="K2918" s="21"/>
      <c r="L2918" s="22"/>
      <c r="M2918" s="19"/>
      <c r="N2918" s="20"/>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row>
    <row r="2919" spans="1:45" x14ac:dyDescent="0.3">
      <c r="A2919" s="410" t="s">
        <v>4604</v>
      </c>
      <c r="B2919" s="17"/>
      <c r="C2919" s="19"/>
      <c r="D2919" s="18"/>
      <c r="E2919" s="18"/>
      <c r="F2919" s="19"/>
      <c r="G2919" s="31"/>
      <c r="H2919" s="31"/>
      <c r="I2919" s="19"/>
      <c r="J2919" s="19"/>
      <c r="K2919" s="21"/>
      <c r="L2919" s="22"/>
      <c r="M2919" s="19"/>
      <c r="N2919" s="20"/>
      <c r="O2919" s="19"/>
      <c r="P2919" s="19"/>
      <c r="Q2919" s="19"/>
      <c r="R2919" s="19"/>
      <c r="S2919" s="19"/>
      <c r="T2919" s="19"/>
      <c r="U2919" s="19"/>
      <c r="V2919" s="19"/>
      <c r="W2919" s="19"/>
      <c r="X2919" s="19"/>
      <c r="Y2919" s="19"/>
      <c r="Z2919" s="19"/>
      <c r="AA2919" s="19"/>
      <c r="AB2919" s="19"/>
      <c r="AC2919" s="19"/>
      <c r="AD2919" s="19"/>
      <c r="AE2919" s="19"/>
      <c r="AF2919" s="19"/>
      <c r="AG2919" s="19"/>
      <c r="AH2919" s="19"/>
      <c r="AI2919" s="19"/>
      <c r="AJ2919" s="19"/>
      <c r="AK2919" s="19"/>
      <c r="AL2919" s="19"/>
      <c r="AM2919" s="19"/>
      <c r="AN2919" s="19"/>
      <c r="AO2919" s="19"/>
      <c r="AP2919" s="19"/>
      <c r="AQ2919" s="19"/>
      <c r="AR2919" s="19"/>
      <c r="AS2919" s="19"/>
    </row>
    <row r="2920" spans="1:45" x14ac:dyDescent="0.3">
      <c r="A2920" s="410" t="s">
        <v>4605</v>
      </c>
      <c r="B2920" s="17"/>
      <c r="C2920" s="19"/>
      <c r="D2920" s="18"/>
      <c r="E2920" s="18"/>
      <c r="F2920" s="19"/>
      <c r="G2920" s="31"/>
      <c r="H2920" s="31"/>
      <c r="I2920" s="19"/>
      <c r="J2920" s="19"/>
      <c r="K2920" s="21"/>
      <c r="L2920" s="22"/>
      <c r="M2920" s="19"/>
      <c r="N2920" s="20"/>
      <c r="O2920" s="19"/>
      <c r="P2920" s="19"/>
      <c r="Q2920" s="19"/>
      <c r="R2920" s="19"/>
      <c r="S2920" s="19"/>
      <c r="T2920" s="19"/>
      <c r="U2920" s="19"/>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row>
    <row r="2921" spans="1:45" x14ac:dyDescent="0.3">
      <c r="A2921" s="410" t="s">
        <v>4606</v>
      </c>
      <c r="B2921" s="17"/>
      <c r="C2921" s="19"/>
      <c r="D2921" s="18"/>
      <c r="E2921" s="18"/>
      <c r="F2921" s="19"/>
      <c r="G2921" s="31"/>
      <c r="H2921" s="31"/>
      <c r="I2921" s="19"/>
      <c r="J2921" s="19"/>
      <c r="K2921" s="21"/>
      <c r="L2921" s="22"/>
      <c r="M2921" s="19"/>
      <c r="N2921" s="20"/>
      <c r="O2921" s="19"/>
      <c r="P2921" s="19"/>
      <c r="Q2921" s="19"/>
      <c r="R2921" s="19"/>
      <c r="S2921" s="19"/>
      <c r="T2921" s="19"/>
      <c r="U2921" s="19"/>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19"/>
    </row>
    <row r="2922" spans="1:45" x14ac:dyDescent="0.3">
      <c r="A2922" s="410" t="s">
        <v>4607</v>
      </c>
      <c r="B2922" s="17"/>
      <c r="C2922" s="19"/>
      <c r="D2922" s="18"/>
      <c r="E2922" s="18"/>
      <c r="F2922" s="19"/>
      <c r="G2922" s="31"/>
      <c r="H2922" s="31"/>
      <c r="I2922" s="19"/>
      <c r="J2922" s="19"/>
      <c r="K2922" s="21"/>
      <c r="L2922" s="22"/>
      <c r="M2922" s="19"/>
      <c r="N2922" s="20"/>
      <c r="O2922" s="19"/>
      <c r="P2922" s="19"/>
      <c r="Q2922" s="19"/>
      <c r="R2922" s="19"/>
      <c r="S2922" s="19"/>
      <c r="T2922" s="19"/>
      <c r="U2922" s="19"/>
      <c r="V2922" s="19"/>
      <c r="W2922" s="19"/>
      <c r="X2922" s="19"/>
      <c r="Y2922" s="19"/>
      <c r="Z2922" s="19"/>
      <c r="AA2922" s="19"/>
      <c r="AB2922" s="19"/>
      <c r="AC2922" s="19"/>
      <c r="AD2922" s="19"/>
      <c r="AE2922" s="19"/>
      <c r="AF2922" s="19"/>
      <c r="AG2922" s="19"/>
      <c r="AH2922" s="19"/>
      <c r="AI2922" s="19"/>
      <c r="AJ2922" s="19"/>
      <c r="AK2922" s="19"/>
      <c r="AL2922" s="19"/>
      <c r="AM2922" s="19"/>
      <c r="AN2922" s="19"/>
      <c r="AO2922" s="19"/>
      <c r="AP2922" s="19"/>
      <c r="AQ2922" s="19"/>
      <c r="AR2922" s="19"/>
      <c r="AS2922" s="19"/>
    </row>
    <row r="2923" spans="1:45" x14ac:dyDescent="0.3">
      <c r="A2923" s="410" t="s">
        <v>4608</v>
      </c>
      <c r="B2923" s="17"/>
      <c r="C2923" s="19"/>
      <c r="D2923" s="18"/>
      <c r="E2923" s="18"/>
      <c r="F2923" s="19"/>
      <c r="G2923" s="31"/>
      <c r="H2923" s="31"/>
      <c r="I2923" s="19"/>
      <c r="J2923" s="19"/>
      <c r="K2923" s="21"/>
      <c r="L2923" s="22"/>
      <c r="M2923" s="19"/>
      <c r="N2923" s="20"/>
      <c r="O2923" s="19"/>
      <c r="P2923" s="19"/>
      <c r="Q2923" s="19"/>
      <c r="R2923" s="19"/>
      <c r="S2923" s="19"/>
      <c r="T2923" s="19"/>
      <c r="U2923" s="19"/>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row>
    <row r="2924" spans="1:45" x14ac:dyDescent="0.3">
      <c r="A2924" s="410" t="s">
        <v>4609</v>
      </c>
      <c r="B2924" s="17"/>
      <c r="C2924" s="19"/>
      <c r="D2924" s="18"/>
      <c r="E2924" s="18"/>
      <c r="F2924" s="19"/>
      <c r="G2924" s="31"/>
      <c r="H2924" s="31"/>
      <c r="I2924" s="19"/>
      <c r="J2924" s="19"/>
      <c r="K2924" s="21"/>
      <c r="L2924" s="22"/>
      <c r="M2924" s="19"/>
      <c r="N2924" s="20"/>
      <c r="O2924" s="19"/>
      <c r="P2924" s="19"/>
      <c r="Q2924" s="19"/>
      <c r="R2924" s="19"/>
      <c r="S2924" s="19"/>
      <c r="T2924" s="19"/>
      <c r="U2924" s="19"/>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19"/>
    </row>
    <row r="2925" spans="1:45" x14ac:dyDescent="0.3">
      <c r="A2925" s="410" t="s">
        <v>4610</v>
      </c>
      <c r="B2925" s="17"/>
      <c r="C2925" s="19"/>
      <c r="D2925" s="18"/>
      <c r="E2925" s="18"/>
      <c r="F2925" s="19"/>
      <c r="G2925" s="31"/>
      <c r="H2925" s="31"/>
      <c r="I2925" s="19"/>
      <c r="J2925" s="19"/>
      <c r="K2925" s="21"/>
      <c r="L2925" s="22"/>
      <c r="M2925" s="19"/>
      <c r="N2925" s="20"/>
      <c r="O2925" s="19"/>
      <c r="P2925" s="19"/>
      <c r="Q2925" s="19"/>
      <c r="R2925" s="19"/>
      <c r="S2925" s="19"/>
      <c r="T2925" s="19"/>
      <c r="U2925" s="19"/>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19"/>
    </row>
    <row r="2926" spans="1:45" x14ac:dyDescent="0.3">
      <c r="A2926" s="410" t="s">
        <v>4611</v>
      </c>
      <c r="B2926" s="17"/>
      <c r="C2926" s="19"/>
      <c r="D2926" s="18"/>
      <c r="E2926" s="18"/>
      <c r="F2926" s="19"/>
      <c r="G2926" s="31"/>
      <c r="H2926" s="31"/>
      <c r="I2926" s="19"/>
      <c r="J2926" s="19"/>
      <c r="K2926" s="21"/>
      <c r="L2926" s="22"/>
      <c r="M2926" s="19"/>
      <c r="N2926" s="20"/>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row>
    <row r="2927" spans="1:45" x14ac:dyDescent="0.3">
      <c r="A2927" s="410"/>
      <c r="B2927" s="17"/>
      <c r="C2927" s="19"/>
      <c r="D2927" s="18"/>
      <c r="E2927" s="17"/>
      <c r="F2927" s="19"/>
      <c r="G2927" s="31"/>
      <c r="H2927" s="31"/>
      <c r="I2927" s="19"/>
      <c r="J2927" s="19"/>
      <c r="K2927" s="21"/>
      <c r="L2927" s="22"/>
      <c r="M2927" s="19"/>
      <c r="N2927" s="20"/>
      <c r="O2927" s="19"/>
      <c r="P2927" s="19"/>
      <c r="Q2927" s="19"/>
      <c r="R2927" s="19"/>
      <c r="S2927" s="19"/>
      <c r="T2927" s="19"/>
      <c r="U2927" s="19"/>
      <c r="V2927" s="19"/>
      <c r="W2927" s="19"/>
      <c r="X2927" s="19"/>
      <c r="Y2927" s="19"/>
      <c r="Z2927" s="19"/>
      <c r="AA2927" s="19"/>
      <c r="AB2927" s="19"/>
      <c r="AC2927" s="19"/>
      <c r="AD2927" s="19"/>
      <c r="AE2927" s="19"/>
      <c r="AF2927" s="19"/>
      <c r="AG2927" s="19"/>
      <c r="AH2927" s="19"/>
      <c r="AI2927" s="19"/>
      <c r="AJ2927" s="19"/>
      <c r="AK2927" s="19"/>
      <c r="AL2927" s="19"/>
      <c r="AM2927" s="19"/>
      <c r="AN2927" s="19"/>
      <c r="AO2927" s="19"/>
      <c r="AP2927" s="19"/>
      <c r="AQ2927" s="19"/>
      <c r="AR2927" s="19"/>
      <c r="AS2927" s="19"/>
    </row>
    <row r="2928" spans="1:45" x14ac:dyDescent="0.3">
      <c r="A2928" s="410" t="s">
        <v>4612</v>
      </c>
      <c r="B2928" s="17" t="s">
        <v>4613</v>
      </c>
      <c r="C2928" s="19"/>
      <c r="D2928" s="18" t="s">
        <v>210</v>
      </c>
      <c r="E2928" s="17"/>
      <c r="F2928" s="19"/>
      <c r="G2928" s="31">
        <v>45425</v>
      </c>
      <c r="H2928" s="31">
        <v>45790</v>
      </c>
      <c r="I2928" s="19" t="s">
        <v>1372</v>
      </c>
      <c r="J2928" s="19" t="s">
        <v>1373</v>
      </c>
      <c r="K2928" s="21" t="s">
        <v>1372</v>
      </c>
      <c r="L2928" s="22" t="s">
        <v>1373</v>
      </c>
      <c r="M2928" s="19" t="s">
        <v>1461</v>
      </c>
      <c r="N2928" s="20" t="s">
        <v>4614</v>
      </c>
      <c r="O2928" s="19" t="s">
        <v>1372</v>
      </c>
      <c r="P2928" s="19" t="s">
        <v>1372</v>
      </c>
      <c r="Q2928" s="19" t="s">
        <v>1372</v>
      </c>
      <c r="R2928" s="19" t="s">
        <v>1372</v>
      </c>
      <c r="S2928" s="19" t="s">
        <v>1372</v>
      </c>
      <c r="T2928" s="19" t="s">
        <v>1372</v>
      </c>
      <c r="U2928" s="19" t="s">
        <v>1372</v>
      </c>
      <c r="V2928" s="19" t="s">
        <v>1372</v>
      </c>
      <c r="W2928" s="19"/>
      <c r="X2928" s="19"/>
      <c r="Y2928" s="19"/>
      <c r="Z2928" s="19" t="s">
        <v>1372</v>
      </c>
      <c r="AA2928" s="19"/>
      <c r="AB2928" s="19"/>
      <c r="AC2928" s="19"/>
      <c r="AD2928" s="19"/>
      <c r="AE2928" s="19"/>
      <c r="AF2928" s="19"/>
      <c r="AG2928" s="19" t="s">
        <v>1372</v>
      </c>
      <c r="AH2928" s="19"/>
      <c r="AI2928" s="19"/>
      <c r="AJ2928" s="19"/>
      <c r="AK2928" s="19"/>
      <c r="AL2928" s="19"/>
      <c r="AM2928" s="19"/>
      <c r="AN2928" s="19"/>
      <c r="AO2928" s="19"/>
      <c r="AP2928" s="19"/>
      <c r="AQ2928" s="19"/>
      <c r="AR2928" s="19"/>
      <c r="AS2928" s="19"/>
    </row>
    <row r="2929" spans="1:45" x14ac:dyDescent="0.3">
      <c r="A2929" s="410" t="s">
        <v>4615</v>
      </c>
      <c r="B2929" s="17" t="s">
        <v>4616</v>
      </c>
      <c r="C2929" s="19" t="s">
        <v>1368</v>
      </c>
      <c r="D2929" s="19">
        <v>23197440</v>
      </c>
      <c r="E2929" s="17"/>
      <c r="F2929" s="19"/>
      <c r="G2929" s="31"/>
      <c r="H2929" s="31"/>
      <c r="I2929" s="19"/>
      <c r="J2929" s="19"/>
      <c r="K2929" s="21"/>
      <c r="L2929" s="22"/>
      <c r="M2929" s="19"/>
      <c r="N2929" s="20"/>
      <c r="O2929" s="19"/>
      <c r="P2929" s="19"/>
      <c r="Q2929" s="19"/>
      <c r="R2929" s="19"/>
      <c r="S2929" s="19"/>
      <c r="T2929" s="19"/>
      <c r="U2929" s="19"/>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row>
    <row r="2930" spans="1:45" x14ac:dyDescent="0.3">
      <c r="A2930" s="410" t="s">
        <v>4617</v>
      </c>
      <c r="B2930" s="17" t="s">
        <v>4618</v>
      </c>
      <c r="C2930" s="19" t="s">
        <v>1368</v>
      </c>
      <c r="D2930" s="19">
        <v>23113168</v>
      </c>
      <c r="E2930" s="17"/>
      <c r="F2930" s="19"/>
      <c r="G2930" s="31"/>
      <c r="H2930" s="31"/>
      <c r="I2930" s="19"/>
      <c r="J2930" s="19"/>
      <c r="K2930" s="21"/>
      <c r="L2930" s="22"/>
      <c r="M2930" s="19"/>
      <c r="N2930" s="20"/>
      <c r="O2930" s="19"/>
      <c r="P2930" s="19"/>
      <c r="Q2930" s="19"/>
      <c r="R2930" s="19"/>
      <c r="S2930" s="19"/>
      <c r="T2930" s="19"/>
      <c r="U2930" s="19"/>
      <c r="V2930" s="19"/>
      <c r="W2930" s="19"/>
      <c r="X2930" s="19"/>
      <c r="Y2930" s="19"/>
      <c r="Z2930" s="19"/>
      <c r="AA2930" s="19"/>
      <c r="AB2930" s="19"/>
      <c r="AC2930" s="19"/>
      <c r="AD2930" s="19"/>
      <c r="AE2930" s="19"/>
      <c r="AF2930" s="19"/>
      <c r="AG2930" s="19"/>
      <c r="AH2930" s="19"/>
      <c r="AI2930" s="19"/>
      <c r="AJ2930" s="19"/>
      <c r="AK2930" s="19"/>
      <c r="AL2930" s="19"/>
      <c r="AM2930" s="19"/>
      <c r="AN2930" s="19"/>
      <c r="AO2930" s="19"/>
      <c r="AP2930" s="19"/>
      <c r="AQ2930" s="19"/>
      <c r="AR2930" s="19"/>
      <c r="AS2930" s="19"/>
    </row>
    <row r="2931" spans="1:45" x14ac:dyDescent="0.3">
      <c r="A2931" s="410" t="s">
        <v>4619</v>
      </c>
      <c r="B2931" s="17" t="s">
        <v>4620</v>
      </c>
      <c r="C2931" s="19" t="s">
        <v>1368</v>
      </c>
      <c r="D2931" s="19">
        <v>23162220</v>
      </c>
      <c r="E2931" s="17"/>
      <c r="F2931" s="19"/>
      <c r="G2931" s="31"/>
      <c r="H2931" s="31"/>
      <c r="I2931" s="19"/>
      <c r="J2931" s="19"/>
      <c r="K2931" s="21"/>
      <c r="L2931" s="22"/>
      <c r="M2931" s="19"/>
      <c r="N2931" s="20"/>
      <c r="O2931" s="19"/>
      <c r="P2931" s="19"/>
      <c r="Q2931" s="19"/>
      <c r="R2931" s="19"/>
      <c r="S2931" s="19"/>
      <c r="T2931" s="19"/>
      <c r="U2931" s="19"/>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row>
    <row r="2932" spans="1:45" x14ac:dyDescent="0.3">
      <c r="A2932" s="410" t="s">
        <v>4621</v>
      </c>
      <c r="B2932" s="17" t="s">
        <v>4622</v>
      </c>
      <c r="C2932" s="19"/>
      <c r="D2932" s="19">
        <v>23214118</v>
      </c>
      <c r="E2932" s="17"/>
      <c r="F2932" s="19"/>
      <c r="G2932" s="31">
        <v>45392</v>
      </c>
      <c r="H2932" s="31">
        <v>45757</v>
      </c>
      <c r="I2932" s="19" t="s">
        <v>1372</v>
      </c>
      <c r="J2932" s="19" t="s">
        <v>1373</v>
      </c>
      <c r="K2932" s="21" t="s">
        <v>1372</v>
      </c>
      <c r="L2932" s="22" t="s">
        <v>1373</v>
      </c>
      <c r="M2932" s="19" t="s">
        <v>1461</v>
      </c>
      <c r="N2932" s="20" t="s">
        <v>4623</v>
      </c>
      <c r="O2932" s="19" t="s">
        <v>1372</v>
      </c>
      <c r="P2932" s="19"/>
      <c r="Q2932" s="19" t="s">
        <v>1372</v>
      </c>
      <c r="R2932" s="19" t="s">
        <v>1372</v>
      </c>
      <c r="S2932" s="19" t="s">
        <v>1372</v>
      </c>
      <c r="T2932" s="19" t="s">
        <v>1372</v>
      </c>
      <c r="U2932" s="19" t="s">
        <v>1372</v>
      </c>
      <c r="V2932" s="19" t="s">
        <v>1372</v>
      </c>
      <c r="W2932" s="19"/>
      <c r="X2932" s="19"/>
      <c r="Y2932" s="19"/>
      <c r="Z2932" s="19" t="s">
        <v>1372</v>
      </c>
      <c r="AA2932" s="19"/>
      <c r="AB2932" s="19"/>
      <c r="AC2932" s="19"/>
      <c r="AD2932" s="19"/>
      <c r="AE2932" s="19"/>
      <c r="AF2932" s="19"/>
      <c r="AG2932" s="19" t="s">
        <v>1372</v>
      </c>
      <c r="AH2932" s="19"/>
      <c r="AI2932" s="19"/>
      <c r="AJ2932" s="19"/>
      <c r="AK2932" s="19"/>
      <c r="AL2932" s="19"/>
      <c r="AM2932" s="19"/>
      <c r="AN2932" s="19"/>
      <c r="AO2932" s="19"/>
      <c r="AP2932" s="19"/>
      <c r="AQ2932" s="19"/>
      <c r="AR2932" s="19"/>
      <c r="AS2932" s="19"/>
    </row>
    <row r="2933" spans="1:45" x14ac:dyDescent="0.3">
      <c r="A2933" s="410" t="s">
        <v>4624</v>
      </c>
      <c r="B2933" s="17" t="s">
        <v>4625</v>
      </c>
      <c r="C2933" s="19" t="s">
        <v>1368</v>
      </c>
      <c r="D2933" s="19">
        <v>23198977</v>
      </c>
      <c r="E2933" s="17"/>
      <c r="F2933" s="19"/>
      <c r="G2933" s="31"/>
      <c r="H2933" s="31"/>
      <c r="I2933" s="19"/>
      <c r="J2933" s="19"/>
      <c r="K2933" s="21"/>
      <c r="L2933" s="22"/>
      <c r="M2933" s="19"/>
      <c r="N2933" s="20"/>
      <c r="O2933" s="19"/>
      <c r="P2933" s="19"/>
      <c r="Q2933" s="19"/>
      <c r="R2933" s="19"/>
      <c r="S2933" s="19"/>
      <c r="T2933" s="19"/>
      <c r="U2933" s="19"/>
      <c r="V2933" s="19"/>
      <c r="W2933" s="19"/>
      <c r="X2933" s="19"/>
      <c r="Y2933" s="19"/>
      <c r="Z2933" s="19"/>
      <c r="AA2933" s="19"/>
      <c r="AB2933" s="19"/>
      <c r="AC2933" s="19"/>
      <c r="AD2933" s="19"/>
      <c r="AE2933" s="19"/>
      <c r="AF2933" s="19"/>
      <c r="AG2933" s="19"/>
      <c r="AH2933" s="19"/>
      <c r="AI2933" s="19"/>
      <c r="AJ2933" s="19"/>
      <c r="AK2933" s="19"/>
      <c r="AL2933" s="19"/>
      <c r="AM2933" s="19"/>
      <c r="AN2933" s="19"/>
      <c r="AO2933" s="19"/>
      <c r="AP2933" s="19"/>
      <c r="AQ2933" s="19"/>
      <c r="AR2933" s="19"/>
      <c r="AS2933" s="19"/>
    </row>
    <row r="2934" spans="1:45" x14ac:dyDescent="0.3">
      <c r="A2934" s="410" t="s">
        <v>4626</v>
      </c>
      <c r="B2934" s="17" t="s">
        <v>4627</v>
      </c>
      <c r="C2934" s="19" t="s">
        <v>1368</v>
      </c>
      <c r="D2934" s="19">
        <v>23209537</v>
      </c>
      <c r="E2934" s="17"/>
      <c r="F2934" s="19"/>
      <c r="G2934" s="31"/>
      <c r="H2934" s="31"/>
      <c r="I2934" s="19"/>
      <c r="J2934" s="19"/>
      <c r="K2934" s="21"/>
      <c r="L2934" s="22"/>
      <c r="M2934" s="19"/>
      <c r="N2934" s="20"/>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row>
    <row r="2935" spans="1:45" x14ac:dyDescent="0.3">
      <c r="A2935" s="410" t="s">
        <v>4628</v>
      </c>
      <c r="B2935" s="17" t="s">
        <v>4629</v>
      </c>
      <c r="C2935" s="19" t="s">
        <v>1368</v>
      </c>
      <c r="D2935" s="19">
        <v>23207342</v>
      </c>
      <c r="E2935" s="17"/>
      <c r="F2935" s="19"/>
      <c r="G2935" s="31"/>
      <c r="H2935" s="31"/>
      <c r="I2935" s="19"/>
      <c r="J2935" s="19"/>
      <c r="K2935" s="21"/>
      <c r="L2935" s="22"/>
      <c r="M2935" s="19"/>
      <c r="N2935" s="20"/>
      <c r="O2935" s="19"/>
      <c r="P2935" s="19"/>
      <c r="Q2935" s="19"/>
      <c r="R2935" s="19"/>
      <c r="S2935" s="19"/>
      <c r="T2935" s="19"/>
      <c r="U2935" s="19"/>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row>
    <row r="2936" spans="1:45" x14ac:dyDescent="0.3">
      <c r="A2936" s="410" t="s">
        <v>4630</v>
      </c>
      <c r="B2936" s="17"/>
      <c r="C2936" s="19"/>
      <c r="D2936" s="18"/>
      <c r="E2936" s="17"/>
      <c r="F2936" s="19"/>
      <c r="G2936" s="31"/>
      <c r="H2936" s="31"/>
      <c r="I2936" s="19"/>
      <c r="J2936" s="19"/>
      <c r="K2936" s="21"/>
      <c r="L2936" s="22"/>
      <c r="M2936" s="19"/>
      <c r="N2936" s="20"/>
      <c r="O2936" s="19"/>
      <c r="P2936" s="19"/>
      <c r="Q2936" s="19"/>
      <c r="R2936" s="19"/>
      <c r="S2936" s="19"/>
      <c r="T2936" s="19"/>
      <c r="U2936" s="19"/>
      <c r="V2936" s="19"/>
      <c r="W2936" s="19"/>
      <c r="X2936" s="19"/>
      <c r="Y2936" s="19"/>
      <c r="Z2936" s="19"/>
      <c r="AA2936" s="19"/>
      <c r="AB2936" s="19"/>
      <c r="AC2936" s="19"/>
      <c r="AD2936" s="19"/>
      <c r="AE2936" s="19"/>
      <c r="AF2936" s="19"/>
      <c r="AG2936" s="19"/>
      <c r="AH2936" s="19"/>
      <c r="AI2936" s="19"/>
      <c r="AJ2936" s="19"/>
      <c r="AK2936" s="19"/>
      <c r="AL2936" s="19"/>
      <c r="AM2936" s="19"/>
      <c r="AN2936" s="19"/>
      <c r="AO2936" s="19"/>
      <c r="AP2936" s="19"/>
      <c r="AQ2936" s="19"/>
      <c r="AR2936" s="19"/>
      <c r="AS2936" s="19"/>
    </row>
    <row r="2937" spans="1:45" x14ac:dyDescent="0.3">
      <c r="A2937" s="410" t="s">
        <v>4631</v>
      </c>
      <c r="B2937" s="17"/>
      <c r="C2937" s="19"/>
      <c r="D2937" s="18"/>
      <c r="E2937" s="18"/>
      <c r="F2937" s="19"/>
      <c r="G2937" s="31"/>
      <c r="H2937" s="31"/>
      <c r="I2937" s="19"/>
      <c r="J2937" s="19"/>
      <c r="K2937" s="21"/>
      <c r="L2937" s="22"/>
      <c r="M2937" s="19"/>
      <c r="N2937" s="20"/>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row>
    <row r="2938" spans="1:45" x14ac:dyDescent="0.3">
      <c r="A2938" s="410" t="s">
        <v>4632</v>
      </c>
      <c r="B2938" s="17"/>
      <c r="C2938" s="19"/>
      <c r="D2938" s="18"/>
      <c r="E2938" s="18"/>
      <c r="F2938" s="19"/>
      <c r="G2938" s="31"/>
      <c r="H2938" s="31"/>
      <c r="I2938" s="19"/>
      <c r="J2938" s="19"/>
      <c r="K2938" s="21"/>
      <c r="L2938" s="22"/>
      <c r="M2938" s="19"/>
      <c r="N2938" s="20"/>
      <c r="O2938" s="19"/>
      <c r="P2938" s="19"/>
      <c r="Q2938" s="19"/>
      <c r="R2938" s="19"/>
      <c r="S2938" s="19"/>
      <c r="T2938" s="19"/>
      <c r="U2938" s="19"/>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row>
    <row r="2939" spans="1:45" x14ac:dyDescent="0.3">
      <c r="A2939" s="410" t="s">
        <v>4633</v>
      </c>
      <c r="B2939" s="17"/>
      <c r="C2939" s="19"/>
      <c r="D2939" s="18"/>
      <c r="E2939" s="18"/>
      <c r="F2939" s="19"/>
      <c r="G2939" s="31"/>
      <c r="H2939" s="31"/>
      <c r="I2939" s="19"/>
      <c r="J2939" s="19"/>
      <c r="K2939" s="21"/>
      <c r="L2939" s="22"/>
      <c r="M2939" s="19"/>
      <c r="N2939" s="20"/>
      <c r="O2939" s="19"/>
      <c r="P2939" s="19"/>
      <c r="Q2939" s="19"/>
      <c r="R2939" s="19"/>
      <c r="S2939" s="19"/>
      <c r="T2939" s="19"/>
      <c r="U2939" s="19"/>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row>
    <row r="2940" spans="1:45" x14ac:dyDescent="0.3">
      <c r="A2940" s="410" t="s">
        <v>4634</v>
      </c>
      <c r="B2940" s="17"/>
      <c r="C2940" s="19"/>
      <c r="D2940" s="18"/>
      <c r="E2940" s="18"/>
      <c r="F2940" s="19"/>
      <c r="G2940" s="31"/>
      <c r="H2940" s="31"/>
      <c r="I2940" s="19"/>
      <c r="J2940" s="19"/>
      <c r="K2940" s="21"/>
      <c r="L2940" s="22"/>
      <c r="M2940" s="19"/>
      <c r="N2940" s="20"/>
      <c r="O2940" s="19"/>
      <c r="P2940" s="19"/>
      <c r="Q2940" s="19"/>
      <c r="R2940" s="19"/>
      <c r="S2940" s="19"/>
      <c r="T2940" s="19"/>
      <c r="U2940" s="19"/>
      <c r="V2940" s="19"/>
      <c r="W2940" s="19"/>
      <c r="X2940" s="19"/>
      <c r="Y2940" s="19"/>
      <c r="Z2940" s="19"/>
      <c r="AA2940" s="19"/>
      <c r="AB2940" s="19"/>
      <c r="AC2940" s="19"/>
      <c r="AD2940" s="19"/>
      <c r="AE2940" s="19"/>
      <c r="AF2940" s="19"/>
      <c r="AG2940" s="19"/>
      <c r="AH2940" s="19"/>
      <c r="AI2940" s="19"/>
      <c r="AJ2940" s="19"/>
      <c r="AK2940" s="19"/>
      <c r="AL2940" s="19"/>
      <c r="AM2940" s="19"/>
      <c r="AN2940" s="19"/>
      <c r="AO2940" s="19"/>
      <c r="AP2940" s="19"/>
      <c r="AQ2940" s="19"/>
      <c r="AR2940" s="19"/>
      <c r="AS2940" s="19"/>
    </row>
    <row r="2941" spans="1:45" x14ac:dyDescent="0.3">
      <c r="A2941" s="410" t="s">
        <v>4635</v>
      </c>
      <c r="B2941" s="17"/>
      <c r="C2941" s="19"/>
      <c r="D2941" s="18"/>
      <c r="E2941" s="18"/>
      <c r="F2941" s="19"/>
      <c r="G2941" s="31"/>
      <c r="H2941" s="31"/>
      <c r="I2941" s="19"/>
      <c r="J2941" s="19"/>
      <c r="K2941" s="21"/>
      <c r="L2941" s="22"/>
      <c r="M2941" s="19"/>
      <c r="N2941" s="20"/>
      <c r="O2941" s="19"/>
      <c r="P2941" s="19"/>
      <c r="Q2941" s="19"/>
      <c r="R2941" s="19"/>
      <c r="S2941" s="19"/>
      <c r="T2941" s="19"/>
      <c r="U2941" s="19"/>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row>
    <row r="2942" spans="1:45" x14ac:dyDescent="0.3">
      <c r="A2942" s="410" t="s">
        <v>4636</v>
      </c>
      <c r="B2942" s="17"/>
      <c r="C2942" s="19"/>
      <c r="D2942" s="18"/>
      <c r="E2942" s="18"/>
      <c r="F2942" s="19"/>
      <c r="G2942" s="31"/>
      <c r="H2942" s="31"/>
      <c r="I2942" s="19"/>
      <c r="J2942" s="19"/>
      <c r="K2942" s="21"/>
      <c r="L2942" s="22"/>
      <c r="M2942" s="19"/>
      <c r="N2942" s="20"/>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row>
    <row r="2943" spans="1:45" x14ac:dyDescent="0.3">
      <c r="A2943" s="410" t="s">
        <v>4637</v>
      </c>
      <c r="B2943" s="17"/>
      <c r="C2943" s="19"/>
      <c r="D2943" s="18"/>
      <c r="E2943" s="18"/>
      <c r="F2943" s="19"/>
      <c r="G2943" s="31"/>
      <c r="H2943" s="31"/>
      <c r="I2943" s="19"/>
      <c r="J2943" s="19"/>
      <c r="K2943" s="21"/>
      <c r="L2943" s="22"/>
      <c r="M2943" s="19"/>
      <c r="N2943" s="20"/>
      <c r="O2943" s="19"/>
      <c r="P2943" s="19"/>
      <c r="Q2943" s="19"/>
      <c r="R2943" s="19"/>
      <c r="S2943" s="19"/>
      <c r="T2943" s="19"/>
      <c r="U2943" s="19"/>
      <c r="V2943" s="19"/>
      <c r="W2943" s="19"/>
      <c r="X2943" s="19"/>
      <c r="Y2943" s="19"/>
      <c r="Z2943" s="19"/>
      <c r="AA2943" s="19"/>
      <c r="AB2943" s="19"/>
      <c r="AC2943" s="19"/>
      <c r="AD2943" s="19"/>
      <c r="AE2943" s="19"/>
      <c r="AF2943" s="19"/>
      <c r="AG2943" s="19"/>
      <c r="AH2943" s="19"/>
      <c r="AI2943" s="19"/>
      <c r="AJ2943" s="19"/>
      <c r="AK2943" s="19"/>
      <c r="AL2943" s="19"/>
      <c r="AM2943" s="19"/>
      <c r="AN2943" s="19"/>
      <c r="AO2943" s="19"/>
      <c r="AP2943" s="19"/>
      <c r="AQ2943" s="19"/>
      <c r="AR2943" s="19"/>
      <c r="AS2943" s="19"/>
    </row>
    <row r="2944" spans="1:45" x14ac:dyDescent="0.3">
      <c r="A2944" s="410" t="s">
        <v>4638</v>
      </c>
      <c r="B2944" s="17"/>
      <c r="C2944" s="19"/>
      <c r="D2944" s="18"/>
      <c r="E2944" s="18"/>
      <c r="F2944" s="19"/>
      <c r="G2944" s="31"/>
      <c r="H2944" s="31"/>
      <c r="I2944" s="19"/>
      <c r="J2944" s="19"/>
      <c r="K2944" s="21"/>
      <c r="L2944" s="22"/>
      <c r="M2944" s="19"/>
      <c r="N2944" s="20"/>
      <c r="O2944" s="19"/>
      <c r="P2944" s="19"/>
      <c r="Q2944" s="19"/>
      <c r="R2944" s="19"/>
      <c r="S2944" s="19"/>
      <c r="T2944" s="19"/>
      <c r="U2944" s="19"/>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row>
    <row r="2945" spans="1:45" x14ac:dyDescent="0.3">
      <c r="A2945" s="410" t="s">
        <v>4639</v>
      </c>
      <c r="B2945" s="17"/>
      <c r="C2945" s="19"/>
      <c r="D2945" s="18"/>
      <c r="E2945" s="18"/>
      <c r="F2945" s="19"/>
      <c r="G2945" s="31"/>
      <c r="H2945" s="31"/>
      <c r="I2945" s="19"/>
      <c r="J2945" s="19"/>
      <c r="K2945" s="21"/>
      <c r="L2945" s="22"/>
      <c r="M2945" s="19"/>
      <c r="N2945" s="20"/>
      <c r="O2945" s="19"/>
      <c r="P2945" s="19"/>
      <c r="Q2945" s="19"/>
      <c r="R2945" s="19"/>
      <c r="S2945" s="19"/>
      <c r="T2945" s="19"/>
      <c r="U2945" s="19"/>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19"/>
    </row>
    <row r="2946" spans="1:45" x14ac:dyDescent="0.3">
      <c r="A2946" s="410" t="s">
        <v>4640</v>
      </c>
      <c r="B2946" s="17"/>
      <c r="C2946" s="19"/>
      <c r="D2946" s="18"/>
      <c r="E2946" s="18"/>
      <c r="F2946" s="19"/>
      <c r="G2946" s="31"/>
      <c r="H2946" s="31"/>
      <c r="I2946" s="19"/>
      <c r="J2946" s="19"/>
      <c r="K2946" s="21"/>
      <c r="L2946" s="22"/>
      <c r="M2946" s="19"/>
      <c r="N2946" s="20"/>
      <c r="O2946" s="19"/>
      <c r="P2946" s="19"/>
      <c r="Q2946" s="19"/>
      <c r="R2946" s="19"/>
      <c r="S2946" s="19"/>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row>
    <row r="2947" spans="1:45" x14ac:dyDescent="0.3">
      <c r="A2947" s="410" t="s">
        <v>4641</v>
      </c>
      <c r="B2947" s="17"/>
      <c r="C2947" s="19"/>
      <c r="D2947" s="18"/>
      <c r="E2947" s="18"/>
      <c r="F2947" s="19"/>
      <c r="G2947" s="31"/>
      <c r="H2947" s="31"/>
      <c r="I2947" s="19"/>
      <c r="J2947" s="19"/>
      <c r="K2947" s="21"/>
      <c r="L2947" s="22"/>
      <c r="M2947" s="19"/>
      <c r="N2947" s="20"/>
      <c r="O2947" s="19"/>
      <c r="P2947" s="19"/>
      <c r="Q2947" s="19"/>
      <c r="R2947" s="19"/>
      <c r="S2947" s="19"/>
      <c r="T2947" s="19"/>
      <c r="U2947" s="19"/>
      <c r="V2947" s="19"/>
      <c r="W2947" s="19"/>
      <c r="X2947" s="19"/>
      <c r="Y2947" s="19"/>
      <c r="Z2947" s="19"/>
      <c r="AA2947" s="19"/>
      <c r="AB2947" s="19"/>
      <c r="AC2947" s="19"/>
      <c r="AD2947" s="19"/>
      <c r="AE2947" s="19"/>
      <c r="AF2947" s="19"/>
      <c r="AG2947" s="19"/>
      <c r="AH2947" s="19"/>
      <c r="AI2947" s="19"/>
      <c r="AJ2947" s="19"/>
      <c r="AK2947" s="19"/>
      <c r="AL2947" s="19"/>
      <c r="AM2947" s="19"/>
      <c r="AN2947" s="19"/>
      <c r="AO2947" s="19"/>
      <c r="AP2947" s="19"/>
      <c r="AQ2947" s="19"/>
      <c r="AR2947" s="19"/>
      <c r="AS2947" s="19"/>
    </row>
    <row r="2948" spans="1:45" x14ac:dyDescent="0.3">
      <c r="A2948" s="410" t="s">
        <v>4642</v>
      </c>
      <c r="B2948" s="17"/>
      <c r="C2948" s="19"/>
      <c r="D2948" s="18"/>
      <c r="E2948" s="18"/>
      <c r="F2948" s="19"/>
      <c r="G2948" s="31"/>
      <c r="H2948" s="31"/>
      <c r="I2948" s="19"/>
      <c r="J2948" s="19"/>
      <c r="K2948" s="21"/>
      <c r="L2948" s="22"/>
      <c r="M2948" s="19"/>
      <c r="N2948" s="20"/>
      <c r="O2948" s="19"/>
      <c r="P2948" s="19"/>
      <c r="Q2948" s="19"/>
      <c r="R2948" s="19"/>
      <c r="S2948" s="19"/>
      <c r="T2948" s="19"/>
      <c r="U2948" s="19"/>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row>
    <row r="2949" spans="1:45" x14ac:dyDescent="0.3">
      <c r="A2949" s="410" t="s">
        <v>4643</v>
      </c>
      <c r="B2949" s="17"/>
      <c r="C2949" s="19"/>
      <c r="D2949" s="18"/>
      <c r="E2949" s="18"/>
      <c r="F2949" s="19"/>
      <c r="G2949" s="31"/>
      <c r="H2949" s="31"/>
      <c r="I2949" s="19"/>
      <c r="J2949" s="19"/>
      <c r="K2949" s="21"/>
      <c r="L2949" s="22"/>
      <c r="M2949" s="19"/>
      <c r="N2949" s="20"/>
      <c r="O2949" s="19"/>
      <c r="P2949" s="19"/>
      <c r="Q2949" s="19"/>
      <c r="R2949" s="19"/>
      <c r="S2949" s="19"/>
      <c r="T2949" s="19"/>
      <c r="U2949" s="19"/>
      <c r="V2949" s="19"/>
      <c r="W2949" s="19"/>
      <c r="X2949" s="19"/>
      <c r="Y2949" s="19"/>
      <c r="Z2949" s="19"/>
      <c r="AA2949" s="19"/>
      <c r="AB2949" s="19"/>
      <c r="AC2949" s="19"/>
      <c r="AD2949" s="19"/>
      <c r="AE2949" s="19"/>
      <c r="AF2949" s="19"/>
      <c r="AG2949" s="19"/>
      <c r="AH2949" s="19"/>
      <c r="AI2949" s="19"/>
      <c r="AJ2949" s="19"/>
      <c r="AK2949" s="19"/>
      <c r="AL2949" s="19"/>
      <c r="AM2949" s="19"/>
      <c r="AN2949" s="19"/>
      <c r="AO2949" s="19"/>
      <c r="AP2949" s="19"/>
      <c r="AQ2949" s="19"/>
      <c r="AR2949" s="19"/>
      <c r="AS2949" s="19"/>
    </row>
    <row r="2950" spans="1:45" x14ac:dyDescent="0.3">
      <c r="A2950" s="410" t="s">
        <v>4644</v>
      </c>
      <c r="B2950" s="17"/>
      <c r="C2950" s="19"/>
      <c r="D2950" s="18"/>
      <c r="E2950" s="18"/>
      <c r="F2950" s="19"/>
      <c r="G2950" s="31"/>
      <c r="H2950" s="31"/>
      <c r="I2950" s="19"/>
      <c r="J2950" s="19"/>
      <c r="K2950" s="21"/>
      <c r="L2950" s="22"/>
      <c r="M2950" s="19"/>
      <c r="N2950" s="20"/>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row>
    <row r="2951" spans="1:45" x14ac:dyDescent="0.3">
      <c r="A2951" s="410" t="s">
        <v>4645</v>
      </c>
      <c r="B2951" s="17"/>
      <c r="C2951" s="19"/>
      <c r="D2951" s="18"/>
      <c r="E2951" s="18"/>
      <c r="F2951" s="19"/>
      <c r="G2951" s="31"/>
      <c r="H2951" s="31"/>
      <c r="I2951" s="19"/>
      <c r="J2951" s="19"/>
      <c r="K2951" s="21"/>
      <c r="L2951" s="22"/>
      <c r="M2951" s="19"/>
      <c r="N2951" s="20"/>
      <c r="O2951" s="19"/>
      <c r="P2951" s="19"/>
      <c r="Q2951" s="19"/>
      <c r="R2951" s="19"/>
      <c r="S2951" s="19"/>
      <c r="T2951" s="19"/>
      <c r="U2951" s="19"/>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19"/>
    </row>
    <row r="2952" spans="1:45" x14ac:dyDescent="0.3">
      <c r="A2952" s="410" t="s">
        <v>4646</v>
      </c>
      <c r="B2952" s="17"/>
      <c r="C2952" s="19"/>
      <c r="D2952" s="18"/>
      <c r="E2952" s="18"/>
      <c r="F2952" s="19"/>
      <c r="G2952" s="31"/>
      <c r="H2952" s="31"/>
      <c r="I2952" s="19"/>
      <c r="J2952" s="19"/>
      <c r="K2952" s="21"/>
      <c r="L2952" s="22"/>
      <c r="M2952" s="19"/>
      <c r="N2952" s="20"/>
      <c r="O2952" s="19"/>
      <c r="P2952" s="19"/>
      <c r="Q2952" s="19"/>
      <c r="R2952" s="19"/>
      <c r="S2952" s="19"/>
      <c r="T2952" s="19"/>
      <c r="U2952" s="19"/>
      <c r="V2952" s="19"/>
      <c r="W2952" s="19"/>
      <c r="X2952" s="19"/>
      <c r="Y2952" s="19"/>
      <c r="Z2952" s="19"/>
      <c r="AA2952" s="19"/>
      <c r="AB2952" s="19"/>
      <c r="AC2952" s="19"/>
      <c r="AD2952" s="19"/>
      <c r="AE2952" s="19"/>
      <c r="AF2952" s="19"/>
      <c r="AG2952" s="19"/>
      <c r="AH2952" s="19"/>
      <c r="AI2952" s="19"/>
      <c r="AJ2952" s="19"/>
      <c r="AK2952" s="19"/>
      <c r="AL2952" s="19"/>
      <c r="AM2952" s="19"/>
      <c r="AN2952" s="19"/>
      <c r="AO2952" s="19"/>
      <c r="AP2952" s="19"/>
      <c r="AQ2952" s="19"/>
      <c r="AR2952" s="19"/>
      <c r="AS2952" s="19"/>
    </row>
    <row r="2953" spans="1:45" x14ac:dyDescent="0.3">
      <c r="A2953" s="410" t="s">
        <v>4647</v>
      </c>
      <c r="B2953" s="17"/>
      <c r="C2953" s="19"/>
      <c r="D2953" s="18"/>
      <c r="E2953" s="18"/>
      <c r="F2953" s="19"/>
      <c r="G2953" s="31"/>
      <c r="H2953" s="31"/>
      <c r="I2953" s="19"/>
      <c r="J2953" s="19"/>
      <c r="K2953" s="21"/>
      <c r="L2953" s="22"/>
      <c r="M2953" s="19"/>
      <c r="N2953" s="20"/>
      <c r="O2953" s="19"/>
      <c r="P2953" s="19"/>
      <c r="Q2953" s="19"/>
      <c r="R2953" s="19"/>
      <c r="S2953" s="19"/>
      <c r="T2953" s="19"/>
      <c r="U2953" s="19"/>
      <c r="V2953" s="19"/>
      <c r="W2953" s="19"/>
      <c r="X2953" s="19"/>
      <c r="Y2953" s="19"/>
      <c r="Z2953" s="19"/>
      <c r="AA2953" s="19"/>
      <c r="AB2953" s="19"/>
      <c r="AC2953" s="19"/>
      <c r="AD2953" s="19"/>
      <c r="AE2953" s="19"/>
      <c r="AF2953" s="19"/>
      <c r="AG2953" s="19"/>
      <c r="AH2953" s="19"/>
      <c r="AI2953" s="19"/>
      <c r="AJ2953" s="19"/>
      <c r="AK2953" s="19"/>
      <c r="AL2953" s="19"/>
      <c r="AM2953" s="19"/>
      <c r="AN2953" s="19"/>
      <c r="AO2953" s="19"/>
      <c r="AP2953" s="19"/>
      <c r="AQ2953" s="19"/>
      <c r="AR2953" s="19"/>
      <c r="AS2953" s="19"/>
    </row>
    <row r="2954" spans="1:45" x14ac:dyDescent="0.3">
      <c r="A2954" s="410" t="s">
        <v>4648</v>
      </c>
      <c r="B2954" s="17"/>
      <c r="C2954" s="19"/>
      <c r="D2954" s="18"/>
      <c r="E2954" s="18"/>
      <c r="F2954" s="19"/>
      <c r="G2954" s="31"/>
      <c r="H2954" s="31"/>
      <c r="I2954" s="19"/>
      <c r="J2954" s="19"/>
      <c r="K2954" s="21"/>
      <c r="L2954" s="22"/>
      <c r="M2954" s="19"/>
      <c r="N2954" s="20"/>
      <c r="O2954" s="19"/>
      <c r="P2954" s="19"/>
      <c r="Q2954" s="19"/>
      <c r="R2954" s="19"/>
      <c r="S2954" s="19"/>
      <c r="T2954" s="19"/>
      <c r="U2954" s="19"/>
      <c r="V2954" s="19"/>
      <c r="W2954" s="19"/>
      <c r="X2954" s="19"/>
      <c r="Y2954" s="19"/>
      <c r="Z2954" s="19"/>
      <c r="AA2954" s="19"/>
      <c r="AB2954" s="19"/>
      <c r="AC2954" s="19"/>
      <c r="AD2954" s="19"/>
      <c r="AE2954" s="19"/>
      <c r="AF2954" s="19"/>
      <c r="AG2954" s="19"/>
      <c r="AH2954" s="19"/>
      <c r="AI2954" s="19"/>
      <c r="AJ2954" s="19"/>
      <c r="AK2954" s="19"/>
      <c r="AL2954" s="19"/>
      <c r="AM2954" s="19"/>
      <c r="AN2954" s="19"/>
      <c r="AO2954" s="19"/>
      <c r="AP2954" s="19"/>
      <c r="AQ2954" s="19"/>
      <c r="AR2954" s="19"/>
      <c r="AS2954" s="19"/>
    </row>
    <row r="2955" spans="1:45" x14ac:dyDescent="0.3">
      <c r="A2955" s="410" t="s">
        <v>4649</v>
      </c>
      <c r="B2955" s="17"/>
      <c r="C2955" s="19"/>
      <c r="D2955" s="18"/>
      <c r="E2955" s="18"/>
      <c r="F2955" s="19"/>
      <c r="G2955" s="31"/>
      <c r="H2955" s="31"/>
      <c r="I2955" s="19"/>
      <c r="J2955" s="19"/>
      <c r="K2955" s="21"/>
      <c r="L2955" s="22"/>
      <c r="M2955" s="19"/>
      <c r="N2955" s="20"/>
      <c r="O2955" s="19"/>
      <c r="P2955" s="19"/>
      <c r="Q2955" s="19"/>
      <c r="R2955" s="19"/>
      <c r="S2955" s="19"/>
      <c r="T2955" s="19"/>
      <c r="U2955" s="19"/>
      <c r="V2955" s="19"/>
      <c r="W2955" s="19"/>
      <c r="X2955" s="19"/>
      <c r="Y2955" s="19"/>
      <c r="Z2955" s="19"/>
      <c r="AA2955" s="19"/>
      <c r="AB2955" s="19"/>
      <c r="AC2955" s="19"/>
      <c r="AD2955" s="19"/>
      <c r="AE2955" s="19"/>
      <c r="AF2955" s="19"/>
      <c r="AG2955" s="19"/>
      <c r="AH2955" s="19"/>
      <c r="AI2955" s="19"/>
      <c r="AJ2955" s="19"/>
      <c r="AK2955" s="19"/>
      <c r="AL2955" s="19"/>
      <c r="AM2955" s="19"/>
      <c r="AN2955" s="19"/>
      <c r="AO2955" s="19"/>
      <c r="AP2955" s="19"/>
      <c r="AQ2955" s="19"/>
      <c r="AR2955" s="19"/>
      <c r="AS2955" s="19"/>
    </row>
    <row r="2956" spans="1:45" x14ac:dyDescent="0.3">
      <c r="A2956" s="410" t="s">
        <v>4650</v>
      </c>
      <c r="B2956" s="17"/>
      <c r="C2956" s="19"/>
      <c r="D2956" s="18"/>
      <c r="E2956" s="18"/>
      <c r="F2956" s="19"/>
      <c r="G2956" s="31"/>
      <c r="H2956" s="31"/>
      <c r="I2956" s="19"/>
      <c r="J2956" s="19"/>
      <c r="K2956" s="21"/>
      <c r="L2956" s="22"/>
      <c r="M2956" s="19"/>
      <c r="N2956" s="20"/>
      <c r="O2956" s="19"/>
      <c r="P2956" s="19"/>
      <c r="Q2956" s="19"/>
      <c r="R2956" s="19"/>
      <c r="S2956" s="19"/>
      <c r="T2956" s="19"/>
      <c r="U2956" s="19"/>
      <c r="V2956" s="19"/>
      <c r="W2956" s="19"/>
      <c r="X2956" s="19"/>
      <c r="Y2956" s="19"/>
      <c r="Z2956" s="19"/>
      <c r="AA2956" s="19"/>
      <c r="AB2956" s="19"/>
      <c r="AC2956" s="19"/>
      <c r="AD2956" s="19"/>
      <c r="AE2956" s="19"/>
      <c r="AF2956" s="19"/>
      <c r="AG2956" s="19"/>
      <c r="AH2956" s="19"/>
      <c r="AI2956" s="19"/>
      <c r="AJ2956" s="19"/>
      <c r="AK2956" s="19"/>
      <c r="AL2956" s="19"/>
      <c r="AM2956" s="19"/>
      <c r="AN2956" s="19"/>
      <c r="AO2956" s="19"/>
      <c r="AP2956" s="19"/>
      <c r="AQ2956" s="19"/>
      <c r="AR2956" s="19"/>
      <c r="AS2956" s="19"/>
    </row>
    <row r="2957" spans="1:45" x14ac:dyDescent="0.3">
      <c r="A2957" s="410" t="s">
        <v>4651</v>
      </c>
      <c r="B2957" s="17"/>
      <c r="C2957" s="19"/>
      <c r="D2957" s="18"/>
      <c r="E2957" s="18"/>
      <c r="F2957" s="19"/>
      <c r="G2957" s="31"/>
      <c r="H2957" s="31"/>
      <c r="I2957" s="19"/>
      <c r="J2957" s="19"/>
      <c r="K2957" s="21"/>
      <c r="L2957" s="22"/>
      <c r="M2957" s="19"/>
      <c r="N2957" s="20"/>
      <c r="O2957" s="19"/>
      <c r="P2957" s="19"/>
      <c r="Q2957" s="19"/>
      <c r="R2957" s="19"/>
      <c r="S2957" s="19"/>
      <c r="T2957" s="19"/>
      <c r="U2957" s="19"/>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row>
    <row r="2958" spans="1:45" x14ac:dyDescent="0.3">
      <c r="A2958" s="410" t="s">
        <v>4652</v>
      </c>
      <c r="B2958" s="17"/>
      <c r="C2958" s="19"/>
      <c r="D2958" s="18"/>
      <c r="E2958" s="18"/>
      <c r="F2958" s="19"/>
      <c r="G2958" s="31"/>
      <c r="H2958" s="31"/>
      <c r="I2958" s="19"/>
      <c r="J2958" s="19"/>
      <c r="K2958" s="21"/>
      <c r="L2958" s="22"/>
      <c r="M2958" s="19"/>
      <c r="N2958" s="20"/>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row>
    <row r="2959" spans="1:45" x14ac:dyDescent="0.3">
      <c r="A2959" s="410" t="s">
        <v>4653</v>
      </c>
      <c r="B2959" s="17"/>
      <c r="C2959" s="19"/>
      <c r="D2959" s="18"/>
      <c r="E2959" s="18"/>
      <c r="F2959" s="19"/>
      <c r="G2959" s="31"/>
      <c r="H2959" s="31"/>
      <c r="I2959" s="19"/>
      <c r="J2959" s="19"/>
      <c r="K2959" s="21"/>
      <c r="L2959" s="22"/>
      <c r="M2959" s="19"/>
      <c r="N2959" s="20"/>
      <c r="O2959" s="19"/>
      <c r="P2959" s="19"/>
      <c r="Q2959" s="19"/>
      <c r="R2959" s="19"/>
      <c r="S2959" s="19"/>
      <c r="T2959" s="19"/>
      <c r="U2959" s="19"/>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19"/>
    </row>
    <row r="2960" spans="1:45" x14ac:dyDescent="0.3">
      <c r="A2960" s="410" t="s">
        <v>4654</v>
      </c>
      <c r="B2960" s="17"/>
      <c r="C2960" s="19"/>
      <c r="D2960" s="18"/>
      <c r="E2960" s="18"/>
      <c r="F2960" s="19"/>
      <c r="G2960" s="31"/>
      <c r="H2960" s="31"/>
      <c r="I2960" s="19"/>
      <c r="J2960" s="19"/>
      <c r="K2960" s="21"/>
      <c r="L2960" s="22"/>
      <c r="M2960" s="19"/>
      <c r="N2960" s="20"/>
      <c r="O2960" s="19"/>
      <c r="P2960" s="19"/>
      <c r="Q2960" s="19"/>
      <c r="R2960" s="19"/>
      <c r="S2960" s="19"/>
      <c r="T2960" s="19"/>
      <c r="U2960" s="19"/>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row>
    <row r="2961" spans="1:45" x14ac:dyDescent="0.3">
      <c r="A2961" s="410" t="s">
        <v>4655</v>
      </c>
      <c r="B2961" s="17"/>
      <c r="C2961" s="19"/>
      <c r="D2961" s="18"/>
      <c r="E2961" s="18"/>
      <c r="F2961" s="19"/>
      <c r="G2961" s="31"/>
      <c r="H2961" s="31"/>
      <c r="I2961" s="19"/>
      <c r="J2961" s="19"/>
      <c r="K2961" s="21"/>
      <c r="L2961" s="22"/>
      <c r="M2961" s="19"/>
      <c r="N2961" s="20"/>
      <c r="O2961" s="19"/>
      <c r="P2961" s="19"/>
      <c r="Q2961" s="19"/>
      <c r="R2961" s="19"/>
      <c r="S2961" s="19"/>
      <c r="T2961" s="19"/>
      <c r="U2961" s="19"/>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row>
    <row r="2962" spans="1:45" x14ac:dyDescent="0.3">
      <c r="A2962" s="410" t="s">
        <v>4656</v>
      </c>
      <c r="B2962" s="17"/>
      <c r="C2962" s="19"/>
      <c r="D2962" s="18"/>
      <c r="E2962" s="18"/>
      <c r="F2962" s="19"/>
      <c r="G2962" s="31"/>
      <c r="H2962" s="31"/>
      <c r="I2962" s="19"/>
      <c r="J2962" s="19"/>
      <c r="K2962" s="21"/>
      <c r="L2962" s="22"/>
      <c r="M2962" s="19"/>
      <c r="N2962" s="20"/>
      <c r="O2962" s="19"/>
      <c r="P2962" s="19"/>
      <c r="Q2962" s="19"/>
      <c r="R2962" s="19"/>
      <c r="S2962" s="19"/>
      <c r="T2962" s="19"/>
      <c r="U2962" s="19"/>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19"/>
    </row>
    <row r="2963" spans="1:45" x14ac:dyDescent="0.3">
      <c r="A2963" s="410" t="s">
        <v>4657</v>
      </c>
      <c r="B2963" s="17"/>
      <c r="C2963" s="19"/>
      <c r="D2963" s="18"/>
      <c r="E2963" s="18"/>
      <c r="F2963" s="19"/>
      <c r="G2963" s="31"/>
      <c r="H2963" s="31"/>
      <c r="I2963" s="19"/>
      <c r="J2963" s="19"/>
      <c r="K2963" s="21"/>
      <c r="L2963" s="22"/>
      <c r="M2963" s="19"/>
      <c r="N2963" s="20"/>
      <c r="O2963" s="19"/>
      <c r="P2963" s="19"/>
      <c r="Q2963" s="19"/>
      <c r="R2963" s="19"/>
      <c r="S2963" s="19"/>
      <c r="T2963" s="19"/>
      <c r="U2963" s="19"/>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19"/>
    </row>
    <row r="2964" spans="1:45" x14ac:dyDescent="0.3">
      <c r="A2964" s="410" t="s">
        <v>4658</v>
      </c>
      <c r="B2964" s="17"/>
      <c r="C2964" s="19"/>
      <c r="D2964" s="18"/>
      <c r="E2964" s="18"/>
      <c r="F2964" s="19"/>
      <c r="G2964" s="31"/>
      <c r="H2964" s="31"/>
      <c r="I2964" s="19"/>
      <c r="J2964" s="19"/>
      <c r="K2964" s="21"/>
      <c r="L2964" s="22"/>
      <c r="M2964" s="19"/>
      <c r="N2964" s="20"/>
      <c r="O2964" s="19"/>
      <c r="P2964" s="19"/>
      <c r="Q2964" s="19"/>
      <c r="R2964" s="19"/>
      <c r="S2964" s="19"/>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row>
    <row r="2965" spans="1:45" x14ac:dyDescent="0.3">
      <c r="A2965" s="410" t="s">
        <v>4659</v>
      </c>
      <c r="B2965" s="17"/>
      <c r="C2965" s="19"/>
      <c r="D2965" s="18"/>
      <c r="E2965" s="18"/>
      <c r="F2965" s="19"/>
      <c r="G2965" s="31"/>
      <c r="H2965" s="31"/>
      <c r="I2965" s="19"/>
      <c r="J2965" s="19"/>
      <c r="K2965" s="21"/>
      <c r="L2965" s="22"/>
      <c r="M2965" s="19"/>
      <c r="N2965" s="20"/>
      <c r="O2965" s="19"/>
      <c r="P2965" s="19"/>
      <c r="Q2965" s="19"/>
      <c r="R2965" s="19"/>
      <c r="S2965" s="19"/>
      <c r="T2965" s="19"/>
      <c r="U2965" s="19"/>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19"/>
    </row>
    <row r="2966" spans="1:45" x14ac:dyDescent="0.3">
      <c r="A2966" s="410" t="s">
        <v>4660</v>
      </c>
      <c r="B2966" s="17"/>
      <c r="C2966" s="19"/>
      <c r="D2966" s="18"/>
      <c r="E2966" s="18"/>
      <c r="F2966" s="19"/>
      <c r="G2966" s="31"/>
      <c r="H2966" s="31"/>
      <c r="I2966" s="19"/>
      <c r="J2966" s="19"/>
      <c r="K2966" s="21"/>
      <c r="L2966" s="22"/>
      <c r="M2966" s="19"/>
      <c r="N2966" s="20"/>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row>
    <row r="2967" spans="1:45" x14ac:dyDescent="0.3">
      <c r="A2967" s="410" t="s">
        <v>4661</v>
      </c>
      <c r="B2967" s="17"/>
      <c r="C2967" s="19"/>
      <c r="D2967" s="18"/>
      <c r="E2967" s="18"/>
      <c r="F2967" s="19"/>
      <c r="G2967" s="31"/>
      <c r="H2967" s="31"/>
      <c r="I2967" s="19"/>
      <c r="J2967" s="19"/>
      <c r="K2967" s="21"/>
      <c r="L2967" s="22"/>
      <c r="M2967" s="19"/>
      <c r="N2967" s="20"/>
      <c r="O2967" s="19"/>
      <c r="P2967" s="19"/>
      <c r="Q2967" s="19"/>
      <c r="R2967" s="19"/>
      <c r="S2967" s="19"/>
      <c r="T2967" s="19"/>
      <c r="U2967" s="19"/>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row>
    <row r="2968" spans="1:45" x14ac:dyDescent="0.3">
      <c r="A2968" s="410" t="s">
        <v>4662</v>
      </c>
      <c r="B2968" s="17"/>
      <c r="C2968" s="19"/>
      <c r="D2968" s="18"/>
      <c r="E2968" s="18"/>
      <c r="F2968" s="19"/>
      <c r="G2968" s="31"/>
      <c r="H2968" s="31"/>
      <c r="I2968" s="19"/>
      <c r="J2968" s="19"/>
      <c r="K2968" s="21"/>
      <c r="L2968" s="22"/>
      <c r="M2968" s="19"/>
      <c r="N2968" s="20"/>
      <c r="O2968" s="19"/>
      <c r="P2968" s="19"/>
      <c r="Q2968" s="19"/>
      <c r="R2968" s="19"/>
      <c r="S2968" s="19"/>
      <c r="T2968" s="19"/>
      <c r="U2968" s="19"/>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row>
    <row r="2969" spans="1:45" x14ac:dyDescent="0.3">
      <c r="A2969" s="410" t="s">
        <v>4663</v>
      </c>
      <c r="B2969" s="17"/>
      <c r="C2969" s="19"/>
      <c r="D2969" s="18"/>
      <c r="E2969" s="18"/>
      <c r="F2969" s="19"/>
      <c r="G2969" s="31"/>
      <c r="H2969" s="31"/>
      <c r="I2969" s="19"/>
      <c r="J2969" s="19"/>
      <c r="K2969" s="21"/>
      <c r="L2969" s="22"/>
      <c r="M2969" s="19"/>
      <c r="N2969" s="20"/>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row>
    <row r="2970" spans="1:45" x14ac:dyDescent="0.3">
      <c r="A2970" s="410" t="s">
        <v>4664</v>
      </c>
      <c r="B2970" s="17"/>
      <c r="C2970" s="19"/>
      <c r="D2970" s="18"/>
      <c r="E2970" s="18"/>
      <c r="F2970" s="19"/>
      <c r="G2970" s="31"/>
      <c r="H2970" s="31"/>
      <c r="I2970" s="19"/>
      <c r="J2970" s="19"/>
      <c r="K2970" s="21"/>
      <c r="L2970" s="22"/>
      <c r="M2970" s="19"/>
      <c r="N2970" s="20"/>
      <c r="O2970" s="19"/>
      <c r="P2970" s="19"/>
      <c r="Q2970" s="19"/>
      <c r="R2970" s="19"/>
      <c r="S2970" s="19"/>
      <c r="T2970" s="19"/>
      <c r="U2970" s="19"/>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19"/>
    </row>
    <row r="2971" spans="1:45" x14ac:dyDescent="0.3">
      <c r="A2971" s="410" t="s">
        <v>4665</v>
      </c>
      <c r="B2971" s="17"/>
      <c r="C2971" s="19"/>
      <c r="D2971" s="18"/>
      <c r="E2971" s="18"/>
      <c r="F2971" s="19"/>
      <c r="G2971" s="31"/>
      <c r="H2971" s="31"/>
      <c r="I2971" s="19"/>
      <c r="J2971" s="19"/>
      <c r="K2971" s="21"/>
      <c r="L2971" s="22"/>
      <c r="M2971" s="19"/>
      <c r="N2971" s="20"/>
      <c r="O2971" s="19"/>
      <c r="P2971" s="19"/>
      <c r="Q2971" s="19"/>
      <c r="R2971" s="19"/>
      <c r="S2971" s="19"/>
      <c r="T2971" s="19"/>
      <c r="U2971" s="19"/>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19"/>
    </row>
    <row r="2972" spans="1:45" x14ac:dyDescent="0.3">
      <c r="A2972" s="410" t="s">
        <v>4666</v>
      </c>
      <c r="B2972" s="17"/>
      <c r="C2972" s="19"/>
      <c r="D2972" s="18"/>
      <c r="E2972" s="18"/>
      <c r="F2972" s="19"/>
      <c r="G2972" s="31"/>
      <c r="H2972" s="31"/>
      <c r="I2972" s="19"/>
      <c r="J2972" s="19"/>
      <c r="K2972" s="21"/>
      <c r="L2972" s="22"/>
      <c r="M2972" s="19"/>
      <c r="N2972" s="20"/>
      <c r="O2972" s="19"/>
      <c r="P2972" s="19"/>
      <c r="Q2972" s="19"/>
      <c r="R2972" s="19"/>
      <c r="S2972" s="19"/>
      <c r="T2972" s="19"/>
      <c r="U2972" s="19"/>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row>
    <row r="2973" spans="1:45" x14ac:dyDescent="0.3">
      <c r="A2973" s="410" t="s">
        <v>4667</v>
      </c>
      <c r="B2973" s="17"/>
      <c r="C2973" s="19"/>
      <c r="D2973" s="18"/>
      <c r="E2973" s="18"/>
      <c r="F2973" s="19"/>
      <c r="G2973" s="31"/>
      <c r="H2973" s="31"/>
      <c r="I2973" s="19"/>
      <c r="J2973" s="19"/>
      <c r="K2973" s="21"/>
      <c r="L2973" s="22"/>
      <c r="M2973" s="19"/>
      <c r="N2973" s="20"/>
      <c r="O2973" s="19"/>
      <c r="P2973" s="19"/>
      <c r="Q2973" s="19"/>
      <c r="R2973" s="19"/>
      <c r="S2973" s="19"/>
      <c r="T2973" s="19"/>
      <c r="U2973" s="19"/>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row>
    <row r="2974" spans="1:45" x14ac:dyDescent="0.3">
      <c r="A2974" s="410" t="s">
        <v>4668</v>
      </c>
      <c r="B2974" s="17"/>
      <c r="C2974" s="19"/>
      <c r="D2974" s="18"/>
      <c r="E2974" s="18"/>
      <c r="F2974" s="19"/>
      <c r="G2974" s="31"/>
      <c r="H2974" s="31"/>
      <c r="I2974" s="19"/>
      <c r="J2974" s="19"/>
      <c r="K2974" s="21"/>
      <c r="L2974" s="22"/>
      <c r="M2974" s="19"/>
      <c r="N2974" s="20"/>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row>
    <row r="2975" spans="1:45" x14ac:dyDescent="0.3">
      <c r="A2975" s="410" t="s">
        <v>4669</v>
      </c>
      <c r="B2975" s="17"/>
      <c r="C2975" s="19"/>
      <c r="D2975" s="18"/>
      <c r="E2975" s="18"/>
      <c r="F2975" s="19"/>
      <c r="G2975" s="31"/>
      <c r="H2975" s="31"/>
      <c r="I2975" s="19"/>
      <c r="J2975" s="19"/>
      <c r="K2975" s="21"/>
      <c r="L2975" s="22"/>
      <c r="M2975" s="19"/>
      <c r="N2975" s="20"/>
      <c r="O2975" s="19"/>
      <c r="P2975" s="19"/>
      <c r="Q2975" s="19"/>
      <c r="R2975" s="19"/>
      <c r="S2975" s="19"/>
      <c r="T2975" s="19"/>
      <c r="U2975" s="19"/>
      <c r="V2975" s="19"/>
      <c r="W2975" s="19"/>
      <c r="X2975" s="19"/>
      <c r="Y2975" s="19"/>
      <c r="Z2975" s="19"/>
      <c r="AA2975" s="19"/>
      <c r="AB2975" s="19"/>
      <c r="AC2975" s="19"/>
      <c r="AD2975" s="19"/>
      <c r="AE2975" s="19"/>
      <c r="AF2975" s="19"/>
      <c r="AG2975" s="19"/>
      <c r="AH2975" s="19"/>
      <c r="AI2975" s="19"/>
      <c r="AJ2975" s="19"/>
      <c r="AK2975" s="19"/>
      <c r="AL2975" s="19"/>
      <c r="AM2975" s="19"/>
      <c r="AN2975" s="19"/>
      <c r="AO2975" s="19"/>
      <c r="AP2975" s="19"/>
      <c r="AQ2975" s="19"/>
      <c r="AR2975" s="19"/>
      <c r="AS2975" s="19"/>
    </row>
    <row r="2976" spans="1:45" x14ac:dyDescent="0.3">
      <c r="A2976" s="410" t="s">
        <v>4670</v>
      </c>
      <c r="B2976" s="17"/>
      <c r="C2976" s="19"/>
      <c r="D2976" s="18"/>
      <c r="E2976" s="18"/>
      <c r="F2976" s="19"/>
      <c r="G2976" s="31"/>
      <c r="H2976" s="31"/>
      <c r="I2976" s="19"/>
      <c r="J2976" s="19"/>
      <c r="K2976" s="21"/>
      <c r="L2976" s="22"/>
      <c r="M2976" s="19"/>
      <c r="N2976" s="20"/>
      <c r="O2976" s="19"/>
      <c r="P2976" s="19"/>
      <c r="Q2976" s="19"/>
      <c r="R2976" s="19"/>
      <c r="S2976" s="19"/>
      <c r="T2976" s="19"/>
      <c r="U2976" s="19"/>
      <c r="V2976" s="19"/>
      <c r="W2976" s="19"/>
      <c r="X2976" s="19"/>
      <c r="Y2976" s="19"/>
      <c r="Z2976" s="19"/>
      <c r="AA2976" s="19"/>
      <c r="AB2976" s="19"/>
      <c r="AC2976" s="19"/>
      <c r="AD2976" s="19"/>
      <c r="AE2976" s="19"/>
      <c r="AF2976" s="19"/>
      <c r="AG2976" s="19"/>
      <c r="AH2976" s="19"/>
      <c r="AI2976" s="19"/>
      <c r="AJ2976" s="19"/>
      <c r="AK2976" s="19"/>
      <c r="AL2976" s="19"/>
      <c r="AM2976" s="19"/>
      <c r="AN2976" s="19"/>
      <c r="AO2976" s="19"/>
      <c r="AP2976" s="19"/>
      <c r="AQ2976" s="19"/>
      <c r="AR2976" s="19"/>
      <c r="AS2976" s="19"/>
    </row>
    <row r="2977" spans="1:45" x14ac:dyDescent="0.3">
      <c r="A2977" s="410" t="s">
        <v>4671</v>
      </c>
      <c r="B2977" s="17"/>
      <c r="C2977" s="19"/>
      <c r="D2977" s="18"/>
      <c r="E2977" s="18"/>
      <c r="F2977" s="19"/>
      <c r="G2977" s="31"/>
      <c r="H2977" s="31"/>
      <c r="I2977" s="19"/>
      <c r="J2977" s="19"/>
      <c r="K2977" s="21"/>
      <c r="L2977" s="22"/>
      <c r="M2977" s="19"/>
      <c r="N2977" s="20"/>
      <c r="O2977" s="19"/>
      <c r="P2977" s="19"/>
      <c r="Q2977" s="19"/>
      <c r="R2977" s="19"/>
      <c r="S2977" s="19"/>
      <c r="T2977" s="19"/>
      <c r="U2977" s="19"/>
      <c r="V2977" s="19"/>
      <c r="W2977" s="19"/>
      <c r="X2977" s="19"/>
      <c r="Y2977" s="19"/>
      <c r="Z2977" s="19"/>
      <c r="AA2977" s="19"/>
      <c r="AB2977" s="19"/>
      <c r="AC2977" s="19"/>
      <c r="AD2977" s="19"/>
      <c r="AE2977" s="19"/>
      <c r="AF2977" s="19"/>
      <c r="AG2977" s="19"/>
      <c r="AH2977" s="19"/>
      <c r="AI2977" s="19"/>
      <c r="AJ2977" s="19"/>
      <c r="AK2977" s="19"/>
      <c r="AL2977" s="19"/>
      <c r="AM2977" s="19"/>
      <c r="AN2977" s="19"/>
      <c r="AO2977" s="19"/>
      <c r="AP2977" s="19"/>
      <c r="AQ2977" s="19"/>
      <c r="AR2977" s="19"/>
      <c r="AS2977" s="19"/>
    </row>
    <row r="2978" spans="1:45" x14ac:dyDescent="0.3">
      <c r="A2978" s="410" t="s">
        <v>4672</v>
      </c>
      <c r="B2978" s="17"/>
      <c r="C2978" s="19"/>
      <c r="D2978" s="18"/>
      <c r="E2978" s="18"/>
      <c r="F2978" s="19"/>
      <c r="G2978" s="31"/>
      <c r="H2978" s="31"/>
      <c r="I2978" s="19"/>
      <c r="J2978" s="19"/>
      <c r="K2978" s="21"/>
      <c r="L2978" s="22"/>
      <c r="M2978" s="19"/>
      <c r="N2978" s="20"/>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row>
    <row r="2979" spans="1:45" x14ac:dyDescent="0.3">
      <c r="A2979" s="410" t="s">
        <v>4673</v>
      </c>
      <c r="B2979" s="17"/>
      <c r="C2979" s="19"/>
      <c r="D2979" s="18"/>
      <c r="E2979" s="18"/>
      <c r="F2979" s="19"/>
      <c r="G2979" s="31"/>
      <c r="H2979" s="31"/>
      <c r="I2979" s="19"/>
      <c r="J2979" s="19"/>
      <c r="K2979" s="21"/>
      <c r="L2979" s="22"/>
      <c r="M2979" s="19"/>
      <c r="N2979" s="20"/>
      <c r="O2979" s="19"/>
      <c r="P2979" s="19"/>
      <c r="Q2979" s="19"/>
      <c r="R2979" s="19"/>
      <c r="S2979" s="19"/>
      <c r="T2979" s="19"/>
      <c r="U2979" s="19"/>
      <c r="V2979" s="19"/>
      <c r="W2979" s="19"/>
      <c r="X2979" s="19"/>
      <c r="Y2979" s="19"/>
      <c r="Z2979" s="19"/>
      <c r="AA2979" s="19"/>
      <c r="AB2979" s="19"/>
      <c r="AC2979" s="19"/>
      <c r="AD2979" s="19"/>
      <c r="AE2979" s="19"/>
      <c r="AF2979" s="19"/>
      <c r="AG2979" s="19"/>
      <c r="AH2979" s="19"/>
      <c r="AI2979" s="19"/>
      <c r="AJ2979" s="19"/>
      <c r="AK2979" s="19"/>
      <c r="AL2979" s="19"/>
      <c r="AM2979" s="19"/>
      <c r="AN2979" s="19"/>
      <c r="AO2979" s="19"/>
      <c r="AP2979" s="19"/>
      <c r="AQ2979" s="19"/>
      <c r="AR2979" s="19"/>
      <c r="AS2979" s="19"/>
    </row>
    <row r="2980" spans="1:45" x14ac:dyDescent="0.3">
      <c r="A2980" s="410" t="s">
        <v>4674</v>
      </c>
      <c r="B2980" s="17"/>
      <c r="C2980" s="19"/>
      <c r="D2980" s="18"/>
      <c r="E2980" s="18"/>
      <c r="F2980" s="19"/>
      <c r="G2980" s="31"/>
      <c r="H2980" s="31"/>
      <c r="I2980" s="19"/>
      <c r="J2980" s="19"/>
      <c r="K2980" s="21"/>
      <c r="L2980" s="22"/>
      <c r="M2980" s="19"/>
      <c r="N2980" s="20"/>
      <c r="O2980" s="19"/>
      <c r="P2980" s="19"/>
      <c r="Q2980" s="19"/>
      <c r="R2980" s="19"/>
      <c r="S2980" s="19"/>
      <c r="T2980" s="19"/>
      <c r="U2980" s="19"/>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19"/>
    </row>
    <row r="2981" spans="1:45" x14ac:dyDescent="0.3">
      <c r="A2981" s="410" t="s">
        <v>4675</v>
      </c>
      <c r="B2981" s="17"/>
      <c r="C2981" s="19"/>
      <c r="D2981" s="18"/>
      <c r="E2981" s="18"/>
      <c r="F2981" s="19"/>
      <c r="G2981" s="31"/>
      <c r="H2981" s="31"/>
      <c r="I2981" s="19"/>
      <c r="J2981" s="19"/>
      <c r="K2981" s="21"/>
      <c r="L2981" s="22"/>
      <c r="M2981" s="19"/>
      <c r="N2981" s="20"/>
      <c r="O2981" s="19"/>
      <c r="P2981" s="19"/>
      <c r="Q2981" s="19"/>
      <c r="R2981" s="19"/>
      <c r="S2981" s="19"/>
      <c r="T2981" s="19"/>
      <c r="U2981" s="19"/>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19"/>
    </row>
    <row r="2982" spans="1:45" x14ac:dyDescent="0.3">
      <c r="A2982" s="410" t="s">
        <v>4676</v>
      </c>
      <c r="B2982" s="17"/>
      <c r="C2982" s="19"/>
      <c r="D2982" s="18"/>
      <c r="E2982" s="18"/>
      <c r="F2982" s="19"/>
      <c r="G2982" s="31"/>
      <c r="H2982" s="31"/>
      <c r="I2982" s="19"/>
      <c r="J2982" s="19"/>
      <c r="K2982" s="21"/>
      <c r="L2982" s="22"/>
      <c r="M2982" s="19"/>
      <c r="N2982" s="20"/>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row>
    <row r="2983" spans="1:45" x14ac:dyDescent="0.3">
      <c r="A2983" s="410" t="s">
        <v>4677</v>
      </c>
      <c r="B2983" s="17"/>
      <c r="C2983" s="19"/>
      <c r="D2983" s="18"/>
      <c r="E2983" s="18"/>
      <c r="F2983" s="19"/>
      <c r="G2983" s="31"/>
      <c r="H2983" s="31"/>
      <c r="I2983" s="19"/>
      <c r="J2983" s="19"/>
      <c r="K2983" s="21"/>
      <c r="L2983" s="22"/>
      <c r="M2983" s="19"/>
      <c r="N2983" s="20"/>
      <c r="O2983" s="19"/>
      <c r="P2983" s="19"/>
      <c r="Q2983" s="19"/>
      <c r="R2983" s="19"/>
      <c r="S2983" s="19"/>
      <c r="T2983" s="19"/>
      <c r="U2983" s="19"/>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19"/>
    </row>
    <row r="2984" spans="1:45" x14ac:dyDescent="0.3">
      <c r="A2984" s="410" t="s">
        <v>4678</v>
      </c>
      <c r="B2984" s="17"/>
      <c r="C2984" s="19"/>
      <c r="D2984" s="18"/>
      <c r="E2984" s="18"/>
      <c r="F2984" s="19"/>
      <c r="G2984" s="31"/>
      <c r="H2984" s="31"/>
      <c r="I2984" s="19"/>
      <c r="J2984" s="19"/>
      <c r="K2984" s="21"/>
      <c r="L2984" s="22"/>
      <c r="M2984" s="19"/>
      <c r="N2984" s="20"/>
      <c r="O2984" s="19"/>
      <c r="P2984" s="19"/>
      <c r="Q2984" s="19"/>
      <c r="R2984" s="19"/>
      <c r="S2984" s="19"/>
      <c r="T2984" s="19"/>
      <c r="U2984" s="19"/>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row>
    <row r="2985" spans="1:45" x14ac:dyDescent="0.3">
      <c r="A2985" s="410" t="s">
        <v>4679</v>
      </c>
      <c r="B2985" s="17"/>
      <c r="C2985" s="19"/>
      <c r="D2985" s="18"/>
      <c r="E2985" s="18"/>
      <c r="F2985" s="19"/>
      <c r="G2985" s="31"/>
      <c r="H2985" s="31"/>
      <c r="I2985" s="19"/>
      <c r="J2985" s="19"/>
      <c r="K2985" s="21"/>
      <c r="L2985" s="22"/>
      <c r="M2985" s="19"/>
      <c r="N2985" s="20"/>
      <c r="O2985" s="19"/>
      <c r="P2985" s="19"/>
      <c r="Q2985" s="19"/>
      <c r="R2985" s="19"/>
      <c r="S2985" s="19"/>
      <c r="T2985" s="19"/>
      <c r="U2985" s="19"/>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row>
    <row r="2986" spans="1:45" x14ac:dyDescent="0.3">
      <c r="A2986" s="410" t="s">
        <v>4680</v>
      </c>
      <c r="B2986" s="17"/>
      <c r="C2986" s="19"/>
      <c r="D2986" s="18"/>
      <c r="E2986" s="18"/>
      <c r="F2986" s="19"/>
      <c r="G2986" s="31"/>
      <c r="H2986" s="31"/>
      <c r="I2986" s="19"/>
      <c r="J2986" s="19"/>
      <c r="K2986" s="21"/>
      <c r="L2986" s="22"/>
      <c r="M2986" s="19"/>
      <c r="N2986" s="20"/>
      <c r="O2986" s="19"/>
      <c r="P2986" s="19"/>
      <c r="Q2986" s="19"/>
      <c r="R2986" s="19"/>
      <c r="S2986" s="19"/>
      <c r="T2986" s="19"/>
      <c r="U2986" s="19"/>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row>
    <row r="2987" spans="1:45" x14ac:dyDescent="0.3">
      <c r="A2987" s="410" t="s">
        <v>4681</v>
      </c>
      <c r="B2987" s="17"/>
      <c r="C2987" s="19"/>
      <c r="D2987" s="18"/>
      <c r="E2987" s="18"/>
      <c r="F2987" s="19"/>
      <c r="G2987" s="31"/>
      <c r="H2987" s="31"/>
      <c r="I2987" s="19"/>
      <c r="J2987" s="19"/>
      <c r="K2987" s="21"/>
      <c r="L2987" s="22"/>
      <c r="M2987" s="19"/>
      <c r="N2987" s="20"/>
      <c r="O2987" s="19"/>
      <c r="P2987" s="19"/>
      <c r="Q2987" s="19"/>
      <c r="R2987" s="19"/>
      <c r="S2987" s="19"/>
      <c r="T2987" s="19"/>
      <c r="U2987" s="19"/>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19"/>
    </row>
    <row r="2988" spans="1:45" x14ac:dyDescent="0.3">
      <c r="A2988" s="410" t="s">
        <v>4682</v>
      </c>
      <c r="B2988" s="17"/>
      <c r="C2988" s="19"/>
      <c r="D2988" s="18"/>
      <c r="E2988" s="18"/>
      <c r="F2988" s="19"/>
      <c r="G2988" s="31"/>
      <c r="H2988" s="31"/>
      <c r="I2988" s="19"/>
      <c r="J2988" s="19"/>
      <c r="K2988" s="21"/>
      <c r="L2988" s="22"/>
      <c r="M2988" s="19"/>
      <c r="N2988" s="20"/>
      <c r="O2988" s="19"/>
      <c r="P2988" s="19"/>
      <c r="Q2988" s="19"/>
      <c r="R2988" s="19"/>
      <c r="S2988" s="19"/>
      <c r="T2988" s="19"/>
      <c r="U2988" s="19"/>
      <c r="V2988" s="19"/>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19"/>
    </row>
    <row r="2989" spans="1:45" x14ac:dyDescent="0.3">
      <c r="A2989" s="410" t="s">
        <v>4683</v>
      </c>
      <c r="B2989" s="17"/>
      <c r="C2989" s="19"/>
      <c r="D2989" s="18"/>
      <c r="E2989" s="18"/>
      <c r="F2989" s="19"/>
      <c r="G2989" s="31"/>
      <c r="H2989" s="31"/>
      <c r="I2989" s="19"/>
      <c r="J2989" s="19"/>
      <c r="K2989" s="21"/>
      <c r="L2989" s="22"/>
      <c r="M2989" s="19"/>
      <c r="N2989" s="20"/>
      <c r="O2989" s="19"/>
      <c r="P2989" s="19"/>
      <c r="Q2989" s="19"/>
      <c r="R2989" s="19"/>
      <c r="S2989" s="19"/>
      <c r="T2989" s="19"/>
      <c r="U2989" s="19"/>
      <c r="V2989" s="19"/>
      <c r="W2989" s="19"/>
      <c r="X2989" s="19"/>
      <c r="Y2989" s="19"/>
      <c r="Z2989" s="19"/>
      <c r="AA2989" s="19"/>
      <c r="AB2989" s="19"/>
      <c r="AC2989" s="19"/>
      <c r="AD2989" s="19"/>
      <c r="AE2989" s="19"/>
      <c r="AF2989" s="19"/>
      <c r="AG2989" s="19"/>
      <c r="AH2989" s="19"/>
      <c r="AI2989" s="19"/>
      <c r="AJ2989" s="19"/>
      <c r="AK2989" s="19"/>
      <c r="AL2989" s="19"/>
      <c r="AM2989" s="19"/>
      <c r="AN2989" s="19"/>
      <c r="AO2989" s="19"/>
      <c r="AP2989" s="19"/>
      <c r="AQ2989" s="19"/>
      <c r="AR2989" s="19"/>
      <c r="AS2989" s="19"/>
    </row>
    <row r="2990" spans="1:45" x14ac:dyDescent="0.3">
      <c r="A2990" s="410" t="s">
        <v>4684</v>
      </c>
      <c r="B2990" s="17"/>
      <c r="C2990" s="19"/>
      <c r="D2990" s="18"/>
      <c r="E2990" s="18"/>
      <c r="F2990" s="19"/>
      <c r="G2990" s="31"/>
      <c r="H2990" s="31"/>
      <c r="I2990" s="19"/>
      <c r="J2990" s="19"/>
      <c r="K2990" s="21"/>
      <c r="L2990" s="22"/>
      <c r="M2990" s="19"/>
      <c r="N2990" s="20"/>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row>
    <row r="2991" spans="1:45" x14ac:dyDescent="0.3">
      <c r="A2991" s="410" t="s">
        <v>4685</v>
      </c>
      <c r="B2991" s="17"/>
      <c r="C2991" s="19"/>
      <c r="D2991" s="18"/>
      <c r="E2991" s="18"/>
      <c r="F2991" s="19"/>
      <c r="G2991" s="31"/>
      <c r="H2991" s="31"/>
      <c r="I2991" s="19"/>
      <c r="J2991" s="19"/>
      <c r="K2991" s="21"/>
      <c r="L2991" s="22"/>
      <c r="M2991" s="19"/>
      <c r="N2991" s="20"/>
      <c r="O2991" s="19"/>
      <c r="P2991" s="19"/>
      <c r="Q2991" s="19"/>
      <c r="R2991" s="19"/>
      <c r="S2991" s="19"/>
      <c r="T2991" s="19"/>
      <c r="U2991" s="19"/>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row>
    <row r="2992" spans="1:45" x14ac:dyDescent="0.3">
      <c r="A2992" s="410" t="s">
        <v>4686</v>
      </c>
      <c r="B2992" s="17"/>
      <c r="C2992" s="19"/>
      <c r="D2992" s="18"/>
      <c r="E2992" s="18"/>
      <c r="F2992" s="19"/>
      <c r="G2992" s="31"/>
      <c r="H2992" s="31"/>
      <c r="I2992" s="19"/>
      <c r="J2992" s="19"/>
      <c r="K2992" s="21"/>
      <c r="L2992" s="22"/>
      <c r="M2992" s="19"/>
      <c r="N2992" s="20"/>
      <c r="O2992" s="19"/>
      <c r="P2992" s="19"/>
      <c r="Q2992" s="19"/>
      <c r="R2992" s="19"/>
      <c r="S2992" s="19"/>
      <c r="T2992" s="19"/>
      <c r="U2992" s="19"/>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19"/>
    </row>
    <row r="2993" spans="1:45" x14ac:dyDescent="0.3">
      <c r="A2993" s="410" t="s">
        <v>4687</v>
      </c>
      <c r="B2993" s="17"/>
      <c r="C2993" s="19"/>
      <c r="D2993" s="18"/>
      <c r="E2993" s="18"/>
      <c r="F2993" s="19"/>
      <c r="G2993" s="31"/>
      <c r="H2993" s="31"/>
      <c r="I2993" s="19"/>
      <c r="J2993" s="19"/>
      <c r="K2993" s="21"/>
      <c r="L2993" s="22"/>
      <c r="M2993" s="19"/>
      <c r="N2993" s="20"/>
      <c r="O2993" s="19"/>
      <c r="P2993" s="19"/>
      <c r="Q2993" s="19"/>
      <c r="R2993" s="19"/>
      <c r="S2993" s="19"/>
      <c r="T2993" s="19"/>
      <c r="U2993" s="19"/>
      <c r="V2993" s="19"/>
      <c r="W2993" s="19"/>
      <c r="X2993" s="19"/>
      <c r="Y2993" s="19"/>
      <c r="Z2993" s="19"/>
      <c r="AA2993" s="19"/>
      <c r="AB2993" s="19"/>
      <c r="AC2993" s="19"/>
      <c r="AD2993" s="19"/>
      <c r="AE2993" s="19"/>
      <c r="AF2993" s="19"/>
      <c r="AG2993" s="19"/>
      <c r="AH2993" s="19"/>
      <c r="AI2993" s="19"/>
      <c r="AJ2993" s="19"/>
      <c r="AK2993" s="19"/>
      <c r="AL2993" s="19"/>
      <c r="AM2993" s="19"/>
      <c r="AN2993" s="19"/>
      <c r="AO2993" s="19"/>
      <c r="AP2993" s="19"/>
      <c r="AQ2993" s="19"/>
      <c r="AR2993" s="19"/>
      <c r="AS2993" s="19"/>
    </row>
    <row r="2994" spans="1:45" x14ac:dyDescent="0.3">
      <c r="A2994" s="410" t="s">
        <v>4688</v>
      </c>
      <c r="B2994" s="17"/>
      <c r="C2994" s="19"/>
      <c r="D2994" s="18"/>
      <c r="E2994" s="18"/>
      <c r="F2994" s="19"/>
      <c r="G2994" s="31"/>
      <c r="H2994" s="31"/>
      <c r="I2994" s="19"/>
      <c r="J2994" s="19"/>
      <c r="K2994" s="21"/>
      <c r="L2994" s="22"/>
      <c r="M2994" s="19"/>
      <c r="N2994" s="20"/>
      <c r="O2994" s="19"/>
      <c r="P2994" s="19"/>
      <c r="Q2994" s="19"/>
      <c r="R2994" s="19"/>
      <c r="S2994" s="19"/>
      <c r="T2994" s="19"/>
      <c r="U2994" s="19"/>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19"/>
    </row>
    <row r="2995" spans="1:45" x14ac:dyDescent="0.3">
      <c r="A2995" s="410" t="s">
        <v>4689</v>
      </c>
      <c r="B2995" s="17"/>
      <c r="C2995" s="19"/>
      <c r="D2995" s="18"/>
      <c r="E2995" s="18"/>
      <c r="F2995" s="19"/>
      <c r="G2995" s="31"/>
      <c r="H2995" s="31"/>
      <c r="I2995" s="19"/>
      <c r="J2995" s="19"/>
      <c r="K2995" s="21"/>
      <c r="L2995" s="22"/>
      <c r="M2995" s="19"/>
      <c r="N2995" s="20"/>
      <c r="O2995" s="19"/>
      <c r="P2995" s="19"/>
      <c r="Q2995" s="19"/>
      <c r="R2995" s="19"/>
      <c r="S2995" s="19"/>
      <c r="T2995" s="19"/>
      <c r="U2995" s="19"/>
      <c r="V2995" s="19"/>
      <c r="W2995" s="19"/>
      <c r="X2995" s="19"/>
      <c r="Y2995" s="19"/>
      <c r="Z2995" s="19"/>
      <c r="AA2995" s="19"/>
      <c r="AB2995" s="19"/>
      <c r="AC2995" s="19"/>
      <c r="AD2995" s="19"/>
      <c r="AE2995" s="19"/>
      <c r="AF2995" s="19"/>
      <c r="AG2995" s="19"/>
      <c r="AH2995" s="19"/>
      <c r="AI2995" s="19"/>
      <c r="AJ2995" s="19"/>
      <c r="AK2995" s="19"/>
      <c r="AL2995" s="19"/>
      <c r="AM2995" s="19"/>
      <c r="AN2995" s="19"/>
      <c r="AO2995" s="19"/>
      <c r="AP2995" s="19"/>
      <c r="AQ2995" s="19"/>
      <c r="AR2995" s="19"/>
      <c r="AS2995" s="19"/>
    </row>
    <row r="2996" spans="1:45" x14ac:dyDescent="0.3">
      <c r="A2996" s="410" t="s">
        <v>4690</v>
      </c>
      <c r="B2996" s="17"/>
      <c r="C2996" s="19"/>
      <c r="D2996" s="18"/>
      <c r="E2996" s="18"/>
      <c r="F2996" s="19"/>
      <c r="G2996" s="31"/>
      <c r="H2996" s="31"/>
      <c r="I2996" s="19"/>
      <c r="J2996" s="19"/>
      <c r="K2996" s="21"/>
      <c r="L2996" s="22"/>
      <c r="M2996" s="19"/>
      <c r="N2996" s="20"/>
      <c r="O2996" s="19"/>
      <c r="P2996" s="19"/>
      <c r="Q2996" s="19"/>
      <c r="R2996" s="19"/>
      <c r="S2996" s="19"/>
      <c r="T2996" s="19"/>
      <c r="U2996" s="19"/>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row>
    <row r="2997" spans="1:45" x14ac:dyDescent="0.3">
      <c r="A2997" s="410" t="s">
        <v>4691</v>
      </c>
      <c r="B2997" s="17"/>
      <c r="C2997" s="19"/>
      <c r="D2997" s="18"/>
      <c r="E2997" s="18"/>
      <c r="F2997" s="19"/>
      <c r="G2997" s="31"/>
      <c r="H2997" s="31"/>
      <c r="I2997" s="19"/>
      <c r="J2997" s="19"/>
      <c r="K2997" s="21"/>
      <c r="L2997" s="22"/>
      <c r="M2997" s="19"/>
      <c r="N2997" s="20"/>
      <c r="O2997" s="19"/>
      <c r="P2997" s="19"/>
      <c r="Q2997" s="19"/>
      <c r="R2997" s="19"/>
      <c r="S2997" s="19"/>
      <c r="T2997" s="19"/>
      <c r="U2997" s="19"/>
      <c r="V2997" s="19"/>
      <c r="W2997" s="19"/>
      <c r="X2997" s="19"/>
      <c r="Y2997" s="19"/>
      <c r="Z2997" s="19"/>
      <c r="AA2997" s="19"/>
      <c r="AB2997" s="19"/>
      <c r="AC2997" s="19"/>
      <c r="AD2997" s="19"/>
      <c r="AE2997" s="19"/>
      <c r="AF2997" s="19"/>
      <c r="AG2997" s="19"/>
      <c r="AH2997" s="19"/>
      <c r="AI2997" s="19"/>
      <c r="AJ2997" s="19"/>
      <c r="AK2997" s="19"/>
      <c r="AL2997" s="19"/>
      <c r="AM2997" s="19"/>
      <c r="AN2997" s="19"/>
      <c r="AO2997" s="19"/>
      <c r="AP2997" s="19"/>
      <c r="AQ2997" s="19"/>
      <c r="AR2997" s="19"/>
      <c r="AS2997" s="19"/>
    </row>
    <row r="2998" spans="1:45" x14ac:dyDescent="0.3">
      <c r="A2998" s="410" t="s">
        <v>4692</v>
      </c>
      <c r="B2998" s="17"/>
      <c r="C2998" s="19"/>
      <c r="D2998" s="18"/>
      <c r="E2998" s="18"/>
      <c r="F2998" s="19"/>
      <c r="G2998" s="31"/>
      <c r="H2998" s="31"/>
      <c r="I2998" s="19"/>
      <c r="J2998" s="19"/>
      <c r="K2998" s="21"/>
      <c r="L2998" s="22"/>
      <c r="M2998" s="19"/>
      <c r="N2998" s="20"/>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row>
    <row r="2999" spans="1:45" x14ac:dyDescent="0.3">
      <c r="A2999" s="410" t="s">
        <v>4693</v>
      </c>
      <c r="B2999" s="17"/>
      <c r="C2999" s="19"/>
      <c r="D2999" s="18"/>
      <c r="E2999" s="18"/>
      <c r="F2999" s="19"/>
      <c r="G2999" s="31"/>
      <c r="H2999" s="31"/>
      <c r="I2999" s="19"/>
      <c r="J2999" s="19"/>
      <c r="K2999" s="21"/>
      <c r="L2999" s="22"/>
      <c r="M2999" s="19"/>
      <c r="N2999" s="20"/>
      <c r="O2999" s="19"/>
      <c r="P2999" s="19"/>
      <c r="Q2999" s="19"/>
      <c r="R2999" s="19"/>
      <c r="S2999" s="19"/>
      <c r="T2999" s="19"/>
      <c r="U2999" s="19"/>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19"/>
    </row>
    <row r="3000" spans="1:45" x14ac:dyDescent="0.3">
      <c r="A3000" s="410" t="s">
        <v>4694</v>
      </c>
      <c r="B3000" s="17"/>
      <c r="C3000" s="19"/>
      <c r="D3000" s="18"/>
      <c r="E3000" s="18"/>
      <c r="F3000" s="19"/>
      <c r="G3000" s="31"/>
      <c r="H3000" s="31"/>
      <c r="I3000" s="19"/>
      <c r="J3000" s="19"/>
      <c r="K3000" s="21"/>
      <c r="L3000" s="22"/>
      <c r="M3000" s="19"/>
      <c r="N3000" s="20"/>
      <c r="O3000" s="19"/>
      <c r="P3000" s="19"/>
      <c r="Q3000" s="19"/>
      <c r="R3000" s="19"/>
      <c r="S3000" s="19"/>
      <c r="T3000" s="19"/>
      <c r="U3000" s="19"/>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19"/>
    </row>
    <row r="3001" spans="1:45" x14ac:dyDescent="0.3">
      <c r="A3001" s="410" t="s">
        <v>4695</v>
      </c>
      <c r="B3001" s="17"/>
      <c r="C3001" s="19"/>
      <c r="D3001" s="18"/>
      <c r="E3001" s="18"/>
      <c r="F3001" s="19"/>
      <c r="G3001" s="31"/>
      <c r="H3001" s="31"/>
      <c r="I3001" s="19"/>
      <c r="J3001" s="19"/>
      <c r="K3001" s="21"/>
      <c r="L3001" s="22"/>
      <c r="M3001" s="19"/>
      <c r="N3001" s="20"/>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row>
    <row r="3002" spans="1:45" x14ac:dyDescent="0.3">
      <c r="A3002" s="410" t="s">
        <v>4696</v>
      </c>
      <c r="B3002" s="17"/>
      <c r="C3002" s="19"/>
      <c r="D3002" s="18"/>
      <c r="E3002" s="18"/>
      <c r="F3002" s="19"/>
      <c r="G3002" s="31"/>
      <c r="H3002" s="31"/>
      <c r="I3002" s="19"/>
      <c r="J3002" s="19"/>
      <c r="K3002" s="21"/>
      <c r="L3002" s="22"/>
      <c r="M3002" s="19"/>
      <c r="N3002" s="20"/>
      <c r="O3002" s="19"/>
      <c r="P3002" s="19"/>
      <c r="Q3002" s="19"/>
      <c r="R3002" s="19"/>
      <c r="S3002" s="19"/>
      <c r="T3002" s="19"/>
      <c r="U3002" s="19"/>
      <c r="V3002" s="19"/>
      <c r="W3002" s="19"/>
      <c r="X3002" s="19"/>
      <c r="Y3002" s="19"/>
      <c r="Z3002" s="19"/>
      <c r="AA3002" s="19"/>
      <c r="AB3002" s="19"/>
      <c r="AC3002" s="19"/>
      <c r="AD3002" s="19"/>
      <c r="AE3002" s="19"/>
      <c r="AF3002" s="19"/>
      <c r="AG3002" s="19"/>
      <c r="AH3002" s="19"/>
      <c r="AI3002" s="19"/>
      <c r="AJ3002" s="19"/>
      <c r="AK3002" s="19"/>
      <c r="AL3002" s="19"/>
      <c r="AM3002" s="19"/>
      <c r="AN3002" s="19"/>
      <c r="AO3002" s="19"/>
      <c r="AP3002" s="19"/>
      <c r="AQ3002" s="19"/>
      <c r="AR3002" s="19"/>
      <c r="AS3002" s="19"/>
    </row>
    <row r="3003" spans="1:45" x14ac:dyDescent="0.3">
      <c r="A3003" s="410" t="s">
        <v>4697</v>
      </c>
      <c r="B3003" s="17"/>
      <c r="C3003" s="19"/>
      <c r="D3003" s="18"/>
      <c r="E3003" s="18"/>
      <c r="F3003" s="19"/>
      <c r="G3003" s="31"/>
      <c r="H3003" s="31"/>
      <c r="I3003" s="19"/>
      <c r="J3003" s="19"/>
      <c r="K3003" s="21"/>
      <c r="L3003" s="22"/>
      <c r="M3003" s="19"/>
      <c r="N3003" s="20"/>
      <c r="O3003" s="19"/>
      <c r="P3003" s="19"/>
      <c r="Q3003" s="19"/>
      <c r="R3003" s="19"/>
      <c r="S3003" s="19"/>
      <c r="T3003" s="19"/>
      <c r="U3003" s="19"/>
      <c r="V3003" s="19"/>
      <c r="W3003" s="19"/>
      <c r="X3003" s="19"/>
      <c r="Y3003" s="19"/>
      <c r="Z3003" s="19"/>
      <c r="AA3003" s="19"/>
      <c r="AB3003" s="19"/>
      <c r="AC3003" s="19"/>
      <c r="AD3003" s="19"/>
      <c r="AE3003" s="19"/>
      <c r="AF3003" s="19"/>
      <c r="AG3003" s="19"/>
      <c r="AH3003" s="19"/>
      <c r="AI3003" s="19"/>
      <c r="AJ3003" s="19"/>
      <c r="AK3003" s="19"/>
      <c r="AL3003" s="19"/>
      <c r="AM3003" s="19"/>
      <c r="AN3003" s="19"/>
      <c r="AO3003" s="19"/>
      <c r="AP3003" s="19"/>
      <c r="AQ3003" s="19"/>
      <c r="AR3003" s="19"/>
      <c r="AS3003" s="19"/>
    </row>
    <row r="3004" spans="1:45" x14ac:dyDescent="0.3">
      <c r="A3004" s="410" t="s">
        <v>4698</v>
      </c>
      <c r="B3004" s="17"/>
      <c r="C3004" s="19"/>
      <c r="D3004" s="18"/>
      <c r="E3004" s="18"/>
      <c r="F3004" s="19"/>
      <c r="G3004" s="31"/>
      <c r="H3004" s="31"/>
      <c r="I3004" s="19"/>
      <c r="J3004" s="19"/>
      <c r="K3004" s="21"/>
      <c r="L3004" s="22"/>
      <c r="M3004" s="19"/>
      <c r="N3004" s="20"/>
      <c r="O3004" s="19"/>
      <c r="P3004" s="19"/>
      <c r="Q3004" s="19"/>
      <c r="R3004" s="19"/>
      <c r="S3004" s="19"/>
      <c r="T3004" s="19"/>
      <c r="U3004" s="19"/>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19"/>
    </row>
    <row r="3005" spans="1:45" x14ac:dyDescent="0.3">
      <c r="A3005" s="410" t="s">
        <v>4699</v>
      </c>
      <c r="B3005" s="17"/>
      <c r="C3005" s="19"/>
      <c r="D3005" s="18"/>
      <c r="E3005" s="18"/>
      <c r="F3005" s="19"/>
      <c r="G3005" s="31"/>
      <c r="H3005" s="31"/>
      <c r="I3005" s="19"/>
      <c r="J3005" s="19"/>
      <c r="K3005" s="21"/>
      <c r="L3005" s="22"/>
      <c r="M3005" s="19"/>
      <c r="N3005" s="20"/>
      <c r="O3005" s="19"/>
      <c r="P3005" s="19"/>
      <c r="Q3005" s="19"/>
      <c r="R3005" s="19"/>
      <c r="S3005" s="19"/>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row>
    <row r="3006" spans="1:45" x14ac:dyDescent="0.3">
      <c r="A3006" s="410" t="s">
        <v>4700</v>
      </c>
      <c r="B3006" s="17"/>
      <c r="C3006" s="19"/>
      <c r="D3006" s="18"/>
      <c r="E3006" s="18"/>
      <c r="F3006" s="19"/>
      <c r="G3006" s="31"/>
      <c r="H3006" s="31"/>
      <c r="I3006" s="19"/>
      <c r="J3006" s="19"/>
      <c r="K3006" s="21"/>
      <c r="L3006" s="22"/>
      <c r="M3006" s="19"/>
      <c r="N3006" s="20"/>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row>
    <row r="3007" spans="1:45" x14ac:dyDescent="0.3">
      <c r="A3007" s="410" t="s">
        <v>4701</v>
      </c>
      <c r="B3007" s="17"/>
      <c r="C3007" s="19"/>
      <c r="D3007" s="18"/>
      <c r="E3007" s="18"/>
      <c r="F3007" s="19"/>
      <c r="G3007" s="31"/>
      <c r="H3007" s="31"/>
      <c r="I3007" s="19"/>
      <c r="J3007" s="19"/>
      <c r="K3007" s="21"/>
      <c r="L3007" s="22"/>
      <c r="M3007" s="19"/>
      <c r="N3007" s="20"/>
      <c r="O3007" s="19"/>
      <c r="P3007" s="19"/>
      <c r="Q3007" s="19"/>
      <c r="R3007" s="19"/>
      <c r="S3007" s="19"/>
      <c r="T3007" s="19"/>
      <c r="U3007" s="19"/>
      <c r="V3007" s="19"/>
      <c r="W3007" s="19"/>
      <c r="X3007" s="19"/>
      <c r="Y3007" s="19"/>
      <c r="Z3007" s="19"/>
      <c r="AA3007" s="19"/>
      <c r="AB3007" s="19"/>
      <c r="AC3007" s="19"/>
      <c r="AD3007" s="19"/>
      <c r="AE3007" s="19"/>
      <c r="AF3007" s="19"/>
      <c r="AG3007" s="19"/>
      <c r="AH3007" s="19"/>
      <c r="AI3007" s="19"/>
      <c r="AJ3007" s="19"/>
      <c r="AK3007" s="19"/>
      <c r="AL3007" s="19"/>
      <c r="AM3007" s="19"/>
      <c r="AN3007" s="19"/>
      <c r="AO3007" s="19"/>
      <c r="AP3007" s="19"/>
      <c r="AQ3007" s="19"/>
      <c r="AR3007" s="19"/>
      <c r="AS3007" s="19"/>
    </row>
    <row r="3008" spans="1:45" x14ac:dyDescent="0.3">
      <c r="A3008" s="410"/>
      <c r="B3008" s="17"/>
      <c r="C3008" s="19"/>
      <c r="D3008" s="18"/>
      <c r="E3008" s="18"/>
      <c r="F3008" s="19"/>
      <c r="G3008" s="31"/>
      <c r="H3008" s="31"/>
      <c r="I3008" s="19"/>
      <c r="J3008" s="19"/>
      <c r="K3008" s="21"/>
      <c r="L3008" s="22"/>
      <c r="M3008" s="19"/>
      <c r="N3008" s="20"/>
      <c r="O3008" s="19"/>
      <c r="P3008" s="19"/>
      <c r="Q3008" s="19"/>
      <c r="R3008" s="19"/>
      <c r="S3008" s="19"/>
      <c r="T3008" s="19"/>
      <c r="U3008" s="19"/>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19"/>
    </row>
    <row r="3009" spans="1:45" x14ac:dyDescent="0.3">
      <c r="A3009" s="410" t="s">
        <v>4702</v>
      </c>
      <c r="B3009" s="17" t="s">
        <v>4703</v>
      </c>
      <c r="C3009" s="19" t="s">
        <v>1368</v>
      </c>
      <c r="D3009" s="19">
        <v>23046628</v>
      </c>
      <c r="E3009" s="18"/>
      <c r="F3009" s="19"/>
      <c r="G3009" s="31"/>
      <c r="H3009" s="31"/>
      <c r="I3009" s="19"/>
      <c r="J3009" s="19"/>
      <c r="K3009" s="21"/>
      <c r="L3009" s="22"/>
      <c r="M3009" s="19"/>
      <c r="N3009" s="20"/>
      <c r="O3009" s="19"/>
      <c r="P3009" s="19"/>
      <c r="Q3009" s="19"/>
      <c r="R3009" s="19"/>
      <c r="S3009" s="19"/>
      <c r="T3009" s="19"/>
      <c r="U3009" s="19"/>
      <c r="V3009" s="19"/>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AQ3009" s="19"/>
      <c r="AR3009" s="19"/>
      <c r="AS3009" s="19"/>
    </row>
    <row r="3010" spans="1:45" x14ac:dyDescent="0.3">
      <c r="A3010" s="410" t="s">
        <v>4704</v>
      </c>
      <c r="B3010" s="17" t="s">
        <v>4705</v>
      </c>
      <c r="C3010" s="19" t="s">
        <v>1368</v>
      </c>
      <c r="D3010" s="19">
        <v>23157331</v>
      </c>
      <c r="E3010" s="18"/>
      <c r="F3010" s="19"/>
      <c r="G3010" s="31"/>
      <c r="H3010" s="31"/>
      <c r="I3010" s="19"/>
      <c r="J3010" s="19"/>
      <c r="K3010" s="21"/>
      <c r="L3010" s="22"/>
      <c r="M3010" s="19"/>
      <c r="N3010" s="20"/>
      <c r="O3010" s="19"/>
      <c r="P3010" s="19"/>
      <c r="Q3010" s="19"/>
      <c r="R3010" s="19"/>
      <c r="S3010" s="19"/>
      <c r="T3010" s="19"/>
      <c r="U3010" s="19"/>
      <c r="V3010" s="19"/>
      <c r="W3010" s="19"/>
      <c r="X3010" s="19"/>
      <c r="Y3010" s="19"/>
      <c r="Z3010" s="19"/>
      <c r="AA3010" s="19"/>
      <c r="AB3010" s="19"/>
      <c r="AC3010" s="19"/>
      <c r="AD3010" s="19"/>
      <c r="AE3010" s="19"/>
      <c r="AF3010" s="19"/>
      <c r="AG3010" s="19"/>
      <c r="AH3010" s="19"/>
      <c r="AI3010" s="19"/>
      <c r="AJ3010" s="19"/>
      <c r="AK3010" s="19"/>
      <c r="AL3010" s="19"/>
      <c r="AM3010" s="19"/>
      <c r="AN3010" s="19"/>
      <c r="AO3010" s="19"/>
      <c r="AP3010" s="19"/>
      <c r="AQ3010" s="19"/>
      <c r="AR3010" s="19"/>
      <c r="AS3010" s="19"/>
    </row>
    <row r="3011" spans="1:45" x14ac:dyDescent="0.3">
      <c r="A3011" s="410" t="s">
        <v>4706</v>
      </c>
      <c r="B3011" s="17" t="s">
        <v>4707</v>
      </c>
      <c r="C3011" s="19" t="s">
        <v>1368</v>
      </c>
      <c r="D3011" s="19">
        <v>23046627</v>
      </c>
      <c r="E3011" s="18"/>
      <c r="F3011" s="19"/>
      <c r="G3011" s="31"/>
      <c r="H3011" s="31"/>
      <c r="I3011" s="19"/>
      <c r="J3011" s="19"/>
      <c r="K3011" s="21"/>
      <c r="L3011" s="22"/>
      <c r="M3011" s="19"/>
      <c r="N3011" s="20"/>
      <c r="O3011" s="19"/>
      <c r="P3011" s="19"/>
      <c r="Q3011" s="19"/>
      <c r="R3011" s="19"/>
      <c r="S3011" s="19"/>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row>
    <row r="3012" spans="1:45" x14ac:dyDescent="0.3">
      <c r="A3012" s="410" t="s">
        <v>4708</v>
      </c>
      <c r="B3012" s="17" t="s">
        <v>4709</v>
      </c>
      <c r="C3012" s="19" t="s">
        <v>1368</v>
      </c>
      <c r="D3012" s="19">
        <v>23165959</v>
      </c>
      <c r="E3012" s="18"/>
      <c r="F3012" s="19"/>
      <c r="G3012" s="31"/>
      <c r="H3012" s="31"/>
      <c r="I3012" s="19"/>
      <c r="J3012" s="19"/>
      <c r="K3012" s="21"/>
      <c r="L3012" s="22"/>
      <c r="M3012" s="19"/>
      <c r="N3012" s="20"/>
      <c r="O3012" s="19"/>
      <c r="P3012" s="19"/>
      <c r="Q3012" s="19"/>
      <c r="R3012" s="19"/>
      <c r="S3012" s="19"/>
      <c r="T3012" s="19"/>
      <c r="U3012" s="19"/>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19"/>
    </row>
    <row r="3013" spans="1:45" x14ac:dyDescent="0.3">
      <c r="A3013" s="410" t="s">
        <v>4710</v>
      </c>
      <c r="B3013" s="17" t="s">
        <v>4711</v>
      </c>
      <c r="C3013" s="19" t="s">
        <v>1368</v>
      </c>
      <c r="D3013" s="19">
        <v>23046075</v>
      </c>
      <c r="E3013" s="18"/>
      <c r="F3013" s="19"/>
      <c r="G3013" s="31"/>
      <c r="H3013" s="31"/>
      <c r="I3013" s="19"/>
      <c r="J3013" s="19"/>
      <c r="K3013" s="21"/>
      <c r="L3013" s="22"/>
      <c r="M3013" s="19"/>
      <c r="N3013" s="20"/>
      <c r="O3013" s="19"/>
      <c r="P3013" s="19"/>
      <c r="Q3013" s="19"/>
      <c r="R3013" s="19"/>
      <c r="S3013" s="19"/>
      <c r="T3013" s="19"/>
      <c r="U3013" s="19"/>
      <c r="V3013" s="19"/>
      <c r="W3013" s="19"/>
      <c r="X3013" s="19"/>
      <c r="Y3013" s="19"/>
      <c r="Z3013" s="19"/>
      <c r="AA3013" s="19"/>
      <c r="AB3013" s="19"/>
      <c r="AC3013" s="19"/>
      <c r="AD3013" s="19"/>
      <c r="AE3013" s="19"/>
      <c r="AF3013" s="19"/>
      <c r="AG3013" s="19"/>
      <c r="AH3013" s="19"/>
      <c r="AI3013" s="19"/>
      <c r="AJ3013" s="19"/>
      <c r="AK3013" s="19"/>
      <c r="AL3013" s="19"/>
      <c r="AM3013" s="19"/>
      <c r="AN3013" s="19"/>
      <c r="AO3013" s="19"/>
      <c r="AP3013" s="19"/>
      <c r="AQ3013" s="19"/>
      <c r="AR3013" s="19"/>
      <c r="AS3013" s="19"/>
    </row>
    <row r="3014" spans="1:45" x14ac:dyDescent="0.3">
      <c r="A3014" s="410" t="s">
        <v>4712</v>
      </c>
      <c r="B3014" s="17" t="s">
        <v>4713</v>
      </c>
      <c r="C3014" s="19" t="s">
        <v>1368</v>
      </c>
      <c r="D3014" s="19">
        <v>23139071</v>
      </c>
      <c r="E3014" s="18"/>
      <c r="F3014" s="19"/>
      <c r="G3014" s="31"/>
      <c r="H3014" s="31"/>
      <c r="I3014" s="19"/>
      <c r="J3014" s="19"/>
      <c r="K3014" s="21"/>
      <c r="L3014" s="22"/>
      <c r="M3014" s="19"/>
      <c r="N3014" s="20"/>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row>
    <row r="3015" spans="1:45" x14ac:dyDescent="0.3">
      <c r="A3015" s="410" t="s">
        <v>4714</v>
      </c>
      <c r="B3015" s="17" t="s">
        <v>4715</v>
      </c>
      <c r="C3015" s="19" t="s">
        <v>1368</v>
      </c>
      <c r="D3015" s="19">
        <v>23046622</v>
      </c>
      <c r="E3015" s="18"/>
      <c r="F3015" s="19"/>
      <c r="G3015" s="31"/>
      <c r="H3015" s="31"/>
      <c r="I3015" s="19"/>
      <c r="J3015" s="19"/>
      <c r="K3015" s="21"/>
      <c r="L3015" s="22"/>
      <c r="M3015" s="19"/>
      <c r="N3015" s="20"/>
      <c r="O3015" s="19"/>
      <c r="P3015" s="19"/>
      <c r="Q3015" s="19"/>
      <c r="R3015" s="19"/>
      <c r="S3015" s="19"/>
      <c r="T3015" s="19"/>
      <c r="U3015" s="19"/>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row>
    <row r="3016" spans="1:45" x14ac:dyDescent="0.3">
      <c r="A3016" s="410" t="s">
        <v>4716</v>
      </c>
      <c r="B3016" s="17" t="s">
        <v>4717</v>
      </c>
      <c r="C3016" s="19" t="s">
        <v>1368</v>
      </c>
      <c r="D3016" s="19">
        <v>23150032</v>
      </c>
      <c r="E3016" s="18"/>
      <c r="F3016" s="19"/>
      <c r="G3016" s="31"/>
      <c r="H3016" s="31"/>
      <c r="I3016" s="19"/>
      <c r="J3016" s="19"/>
      <c r="K3016" s="21"/>
      <c r="L3016" s="22"/>
      <c r="M3016" s="19"/>
      <c r="N3016" s="20"/>
      <c r="O3016" s="19"/>
      <c r="P3016" s="19"/>
      <c r="Q3016" s="19"/>
      <c r="R3016" s="19"/>
      <c r="S3016" s="19"/>
      <c r="T3016" s="19"/>
      <c r="U3016" s="19"/>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19"/>
    </row>
    <row r="3017" spans="1:45" x14ac:dyDescent="0.3">
      <c r="A3017" s="410" t="s">
        <v>4718</v>
      </c>
      <c r="B3017" s="17" t="s">
        <v>4719</v>
      </c>
      <c r="C3017" s="19" t="s">
        <v>1368</v>
      </c>
      <c r="D3017" s="19">
        <v>23139404</v>
      </c>
      <c r="E3017" s="18"/>
      <c r="F3017" s="19"/>
      <c r="G3017" s="31"/>
      <c r="H3017" s="31"/>
      <c r="I3017" s="19"/>
      <c r="J3017" s="19"/>
      <c r="K3017" s="21"/>
      <c r="L3017" s="22"/>
      <c r="M3017" s="19"/>
      <c r="N3017" s="20"/>
      <c r="O3017" s="19"/>
      <c r="P3017" s="19"/>
      <c r="Q3017" s="19"/>
      <c r="R3017" s="19"/>
      <c r="S3017" s="19"/>
      <c r="T3017" s="19"/>
      <c r="U3017" s="19"/>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19"/>
    </row>
    <row r="3018" spans="1:45" x14ac:dyDescent="0.3">
      <c r="A3018" s="410" t="s">
        <v>4720</v>
      </c>
      <c r="B3018" s="17" t="s">
        <v>4721</v>
      </c>
      <c r="C3018" s="19" t="s">
        <v>1368</v>
      </c>
      <c r="D3018" s="19">
        <v>23139077</v>
      </c>
      <c r="E3018" s="18"/>
      <c r="F3018" s="19"/>
      <c r="G3018" s="31"/>
      <c r="H3018" s="31"/>
      <c r="I3018" s="19"/>
      <c r="J3018" s="19"/>
      <c r="K3018" s="21"/>
      <c r="L3018" s="22"/>
      <c r="M3018" s="19"/>
      <c r="N3018" s="20"/>
      <c r="O3018" s="19"/>
      <c r="P3018" s="19"/>
      <c r="Q3018" s="19"/>
      <c r="R3018" s="19"/>
      <c r="S3018" s="19"/>
      <c r="T3018" s="19"/>
      <c r="U3018" s="19"/>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row>
    <row r="3019" spans="1:45" x14ac:dyDescent="0.3">
      <c r="A3019" s="410" t="s">
        <v>4722</v>
      </c>
      <c r="B3019" s="17"/>
      <c r="C3019" s="19"/>
      <c r="D3019" s="18"/>
      <c r="E3019" s="18"/>
      <c r="F3019" s="19"/>
      <c r="G3019" s="31"/>
      <c r="H3019" s="31"/>
      <c r="I3019" s="19"/>
      <c r="J3019" s="19"/>
      <c r="K3019" s="21"/>
      <c r="L3019" s="22"/>
      <c r="M3019" s="19"/>
      <c r="N3019" s="20"/>
      <c r="O3019" s="19"/>
      <c r="P3019" s="19"/>
      <c r="Q3019" s="19"/>
      <c r="R3019" s="19"/>
      <c r="S3019" s="19"/>
      <c r="T3019" s="19"/>
      <c r="U3019" s="19"/>
      <c r="V3019" s="19"/>
      <c r="W3019" s="19"/>
      <c r="X3019" s="19"/>
      <c r="Y3019" s="19"/>
      <c r="Z3019" s="19"/>
      <c r="AA3019" s="19"/>
      <c r="AB3019" s="19"/>
      <c r="AC3019" s="19"/>
      <c r="AD3019" s="19"/>
      <c r="AE3019" s="19"/>
      <c r="AF3019" s="19"/>
      <c r="AG3019" s="19"/>
      <c r="AH3019" s="19"/>
      <c r="AI3019" s="19"/>
      <c r="AJ3019" s="19"/>
      <c r="AK3019" s="19"/>
      <c r="AL3019" s="19"/>
      <c r="AM3019" s="19"/>
      <c r="AN3019" s="19"/>
      <c r="AO3019" s="19"/>
      <c r="AP3019" s="19"/>
      <c r="AQ3019" s="19"/>
      <c r="AR3019" s="19"/>
      <c r="AS3019" s="19"/>
    </row>
    <row r="3020" spans="1:45" x14ac:dyDescent="0.3">
      <c r="A3020" s="410" t="s">
        <v>4723</v>
      </c>
      <c r="B3020" s="17"/>
      <c r="C3020" s="19"/>
      <c r="D3020" s="18"/>
      <c r="E3020" s="18"/>
      <c r="F3020" s="19"/>
      <c r="G3020" s="31"/>
      <c r="H3020" s="31"/>
      <c r="I3020" s="19"/>
      <c r="J3020" s="19"/>
      <c r="K3020" s="21"/>
      <c r="L3020" s="22"/>
      <c r="M3020" s="19"/>
      <c r="N3020" s="20"/>
      <c r="O3020" s="19"/>
      <c r="P3020" s="19"/>
      <c r="Q3020" s="19"/>
      <c r="R3020" s="19"/>
      <c r="S3020" s="19"/>
      <c r="T3020" s="19"/>
      <c r="U3020" s="19"/>
      <c r="V3020" s="19"/>
      <c r="W3020" s="19"/>
      <c r="X3020" s="19"/>
      <c r="Y3020" s="19"/>
      <c r="Z3020" s="19"/>
      <c r="AA3020" s="19"/>
      <c r="AB3020" s="19"/>
      <c r="AC3020" s="19"/>
      <c r="AD3020" s="19"/>
      <c r="AE3020" s="19"/>
      <c r="AF3020" s="19"/>
      <c r="AG3020" s="19"/>
      <c r="AH3020" s="19"/>
      <c r="AI3020" s="19"/>
      <c r="AJ3020" s="19"/>
      <c r="AK3020" s="19"/>
      <c r="AL3020" s="19"/>
      <c r="AM3020" s="19"/>
      <c r="AN3020" s="19"/>
      <c r="AO3020" s="19"/>
      <c r="AP3020" s="19"/>
      <c r="AQ3020" s="19"/>
      <c r="AR3020" s="19"/>
      <c r="AS3020" s="19"/>
    </row>
    <row r="3021" spans="1:45" x14ac:dyDescent="0.3">
      <c r="A3021" s="410" t="s">
        <v>4724</v>
      </c>
      <c r="B3021" s="17"/>
      <c r="C3021" s="19"/>
      <c r="D3021" s="18"/>
      <c r="E3021" s="18"/>
      <c r="F3021" s="19"/>
      <c r="G3021" s="31"/>
      <c r="H3021" s="31"/>
      <c r="I3021" s="19"/>
      <c r="J3021" s="19"/>
      <c r="K3021" s="21"/>
      <c r="L3021" s="22"/>
      <c r="M3021" s="19"/>
      <c r="N3021" s="20"/>
      <c r="O3021" s="19"/>
      <c r="P3021" s="19"/>
      <c r="Q3021" s="19"/>
      <c r="R3021" s="19"/>
      <c r="S3021" s="19"/>
      <c r="T3021" s="19"/>
      <c r="U3021" s="19"/>
      <c r="V3021" s="19"/>
      <c r="W3021" s="19"/>
      <c r="X3021" s="19"/>
      <c r="Y3021" s="19"/>
      <c r="Z3021" s="19"/>
      <c r="AA3021" s="19"/>
      <c r="AB3021" s="19"/>
      <c r="AC3021" s="19"/>
      <c r="AD3021" s="19"/>
      <c r="AE3021" s="19"/>
      <c r="AF3021" s="19"/>
      <c r="AG3021" s="19"/>
      <c r="AH3021" s="19"/>
      <c r="AI3021" s="19"/>
      <c r="AJ3021" s="19"/>
      <c r="AK3021" s="19"/>
      <c r="AL3021" s="19"/>
      <c r="AM3021" s="19"/>
      <c r="AN3021" s="19"/>
      <c r="AO3021" s="19"/>
      <c r="AP3021" s="19"/>
      <c r="AQ3021" s="19"/>
      <c r="AR3021" s="19"/>
      <c r="AS3021" s="19"/>
    </row>
    <row r="3022" spans="1:45" x14ac:dyDescent="0.3">
      <c r="A3022" s="410" t="s">
        <v>4725</v>
      </c>
      <c r="B3022" s="17"/>
      <c r="C3022" s="19"/>
      <c r="D3022" s="18"/>
      <c r="E3022" s="18"/>
      <c r="F3022" s="19"/>
      <c r="G3022" s="31"/>
      <c r="H3022" s="31"/>
      <c r="I3022" s="19"/>
      <c r="J3022" s="19"/>
      <c r="K3022" s="21"/>
      <c r="L3022" s="22"/>
      <c r="M3022" s="19"/>
      <c r="N3022" s="20"/>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row>
    <row r="3023" spans="1:45" x14ac:dyDescent="0.3">
      <c r="A3023" s="410" t="s">
        <v>4726</v>
      </c>
      <c r="B3023" s="17"/>
      <c r="C3023" s="19"/>
      <c r="D3023" s="18"/>
      <c r="E3023" s="18"/>
      <c r="F3023" s="19"/>
      <c r="G3023" s="31"/>
      <c r="H3023" s="31"/>
      <c r="I3023" s="19"/>
      <c r="J3023" s="19"/>
      <c r="K3023" s="21"/>
      <c r="L3023" s="22"/>
      <c r="M3023" s="19"/>
      <c r="N3023" s="20"/>
      <c r="O3023" s="19"/>
      <c r="P3023" s="19"/>
      <c r="Q3023" s="19"/>
      <c r="R3023" s="19"/>
      <c r="S3023" s="19"/>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row>
    <row r="3024" spans="1:45" x14ac:dyDescent="0.3">
      <c r="A3024" s="410" t="s">
        <v>4727</v>
      </c>
      <c r="B3024" s="17"/>
      <c r="C3024" s="19"/>
      <c r="D3024" s="18"/>
      <c r="E3024" s="18"/>
      <c r="F3024" s="19"/>
      <c r="G3024" s="31"/>
      <c r="H3024" s="31"/>
      <c r="I3024" s="19"/>
      <c r="J3024" s="19"/>
      <c r="K3024" s="21"/>
      <c r="L3024" s="22"/>
      <c r="M3024" s="19"/>
      <c r="N3024" s="20"/>
      <c r="O3024" s="19"/>
      <c r="P3024" s="19"/>
      <c r="Q3024" s="19"/>
      <c r="R3024" s="19"/>
      <c r="S3024" s="19"/>
      <c r="T3024" s="19"/>
      <c r="U3024" s="19"/>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row>
    <row r="3025" spans="1:45" x14ac:dyDescent="0.3">
      <c r="A3025" s="410" t="s">
        <v>4728</v>
      </c>
      <c r="B3025" s="17"/>
      <c r="C3025" s="19"/>
      <c r="D3025" s="18"/>
      <c r="E3025" s="18"/>
      <c r="F3025" s="19"/>
      <c r="G3025" s="31"/>
      <c r="H3025" s="31"/>
      <c r="I3025" s="19"/>
      <c r="J3025" s="19"/>
      <c r="K3025" s="21"/>
      <c r="L3025" s="22"/>
      <c r="M3025" s="19"/>
      <c r="N3025" s="20"/>
      <c r="O3025" s="19"/>
      <c r="P3025" s="19"/>
      <c r="Q3025" s="19"/>
      <c r="R3025" s="19"/>
      <c r="S3025" s="19"/>
      <c r="T3025" s="19"/>
      <c r="U3025" s="19"/>
      <c r="V3025" s="19"/>
      <c r="W3025" s="19"/>
      <c r="X3025" s="19"/>
      <c r="Y3025" s="19"/>
      <c r="Z3025" s="19"/>
      <c r="AA3025" s="19"/>
      <c r="AB3025" s="19"/>
      <c r="AC3025" s="19"/>
      <c r="AD3025" s="19"/>
      <c r="AE3025" s="19"/>
      <c r="AF3025" s="19"/>
      <c r="AG3025" s="19"/>
      <c r="AH3025" s="19"/>
      <c r="AI3025" s="19"/>
      <c r="AJ3025" s="19"/>
      <c r="AK3025" s="19"/>
      <c r="AL3025" s="19"/>
      <c r="AM3025" s="19"/>
      <c r="AN3025" s="19"/>
      <c r="AO3025" s="19"/>
      <c r="AP3025" s="19"/>
      <c r="AQ3025" s="19"/>
      <c r="AR3025" s="19"/>
      <c r="AS3025" s="19"/>
    </row>
    <row r="3026" spans="1:45" x14ac:dyDescent="0.3">
      <c r="A3026" s="410" t="s">
        <v>4729</v>
      </c>
      <c r="B3026" s="17"/>
      <c r="C3026" s="19"/>
      <c r="D3026" s="18"/>
      <c r="E3026" s="18"/>
      <c r="F3026" s="19"/>
      <c r="G3026" s="31"/>
      <c r="H3026" s="31"/>
      <c r="I3026" s="19"/>
      <c r="J3026" s="19"/>
      <c r="K3026" s="21"/>
      <c r="L3026" s="22"/>
      <c r="M3026" s="19"/>
      <c r="N3026" s="20"/>
      <c r="O3026" s="19"/>
      <c r="P3026" s="19"/>
      <c r="Q3026" s="19"/>
      <c r="R3026" s="19"/>
      <c r="S3026" s="19"/>
      <c r="T3026" s="19"/>
      <c r="U3026" s="19"/>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row>
    <row r="3027" spans="1:45" x14ac:dyDescent="0.3">
      <c r="A3027" s="410" t="s">
        <v>4730</v>
      </c>
      <c r="B3027" s="17"/>
      <c r="C3027" s="19"/>
      <c r="D3027" s="18"/>
      <c r="E3027" s="18"/>
      <c r="F3027" s="19"/>
      <c r="G3027" s="31"/>
      <c r="H3027" s="31"/>
      <c r="I3027" s="19"/>
      <c r="J3027" s="19"/>
      <c r="K3027" s="21"/>
      <c r="L3027" s="22"/>
      <c r="M3027" s="19"/>
      <c r="N3027" s="20"/>
      <c r="O3027" s="19"/>
      <c r="P3027" s="19"/>
      <c r="Q3027" s="19"/>
      <c r="R3027" s="19"/>
      <c r="S3027" s="19"/>
      <c r="T3027" s="19"/>
      <c r="U3027" s="19"/>
      <c r="V3027" s="19"/>
      <c r="W3027" s="19"/>
      <c r="X3027" s="19"/>
      <c r="Y3027" s="19"/>
      <c r="Z3027" s="19"/>
      <c r="AA3027" s="19"/>
      <c r="AB3027" s="19"/>
      <c r="AC3027" s="19"/>
      <c r="AD3027" s="19"/>
      <c r="AE3027" s="19"/>
      <c r="AF3027" s="19"/>
      <c r="AG3027" s="19"/>
      <c r="AH3027" s="19"/>
      <c r="AI3027" s="19"/>
      <c r="AJ3027" s="19"/>
      <c r="AK3027" s="19"/>
      <c r="AL3027" s="19"/>
      <c r="AM3027" s="19"/>
      <c r="AN3027" s="19"/>
      <c r="AO3027" s="19"/>
      <c r="AP3027" s="19"/>
      <c r="AQ3027" s="19"/>
      <c r="AR3027" s="19"/>
      <c r="AS3027" s="19"/>
    </row>
    <row r="3028" spans="1:45" x14ac:dyDescent="0.3">
      <c r="A3028" s="410" t="s">
        <v>4731</v>
      </c>
      <c r="B3028" s="17"/>
      <c r="C3028" s="19"/>
      <c r="D3028" s="18"/>
      <c r="E3028" s="18"/>
      <c r="F3028" s="19"/>
      <c r="G3028" s="31"/>
      <c r="H3028" s="31"/>
      <c r="I3028" s="19"/>
      <c r="J3028" s="19"/>
      <c r="K3028" s="21"/>
      <c r="L3028" s="22"/>
      <c r="M3028" s="19"/>
      <c r="N3028" s="20"/>
      <c r="O3028" s="19"/>
      <c r="P3028" s="19"/>
      <c r="Q3028" s="19"/>
      <c r="R3028" s="19"/>
      <c r="S3028" s="19"/>
      <c r="T3028" s="19"/>
      <c r="U3028" s="19"/>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row>
    <row r="3029" spans="1:45" x14ac:dyDescent="0.3">
      <c r="A3029" s="410" t="s">
        <v>4732</v>
      </c>
      <c r="B3029" s="17"/>
      <c r="C3029" s="19"/>
      <c r="D3029" s="18"/>
      <c r="E3029" s="18"/>
      <c r="F3029" s="19"/>
      <c r="G3029" s="31"/>
      <c r="H3029" s="31"/>
      <c r="I3029" s="19"/>
      <c r="J3029" s="19"/>
      <c r="K3029" s="21"/>
      <c r="L3029" s="22"/>
      <c r="M3029" s="19"/>
      <c r="N3029" s="20"/>
      <c r="O3029" s="19"/>
      <c r="P3029" s="19"/>
      <c r="Q3029" s="19"/>
      <c r="R3029" s="19"/>
      <c r="S3029" s="19"/>
      <c r="T3029" s="19"/>
      <c r="U3029" s="19"/>
      <c r="V3029" s="19"/>
      <c r="W3029" s="19"/>
      <c r="X3029" s="19"/>
      <c r="Y3029" s="19"/>
      <c r="Z3029" s="19"/>
      <c r="AA3029" s="19"/>
      <c r="AB3029" s="19"/>
      <c r="AC3029" s="19"/>
      <c r="AD3029" s="19"/>
      <c r="AE3029" s="19"/>
      <c r="AF3029" s="19"/>
      <c r="AG3029" s="19"/>
      <c r="AH3029" s="19"/>
      <c r="AI3029" s="19"/>
      <c r="AJ3029" s="19"/>
      <c r="AK3029" s="19"/>
      <c r="AL3029" s="19"/>
      <c r="AM3029" s="19"/>
      <c r="AN3029" s="19"/>
      <c r="AO3029" s="19"/>
      <c r="AP3029" s="19"/>
      <c r="AQ3029" s="19"/>
      <c r="AR3029" s="19"/>
      <c r="AS3029" s="19"/>
    </row>
    <row r="3030" spans="1:45" x14ac:dyDescent="0.3">
      <c r="A3030" s="410" t="s">
        <v>4733</v>
      </c>
      <c r="B3030" s="17"/>
      <c r="C3030" s="19"/>
      <c r="D3030" s="18"/>
      <c r="E3030" s="18"/>
      <c r="F3030" s="19"/>
      <c r="G3030" s="31"/>
      <c r="H3030" s="31"/>
      <c r="I3030" s="19"/>
      <c r="J3030" s="19"/>
      <c r="K3030" s="21"/>
      <c r="L3030" s="22"/>
      <c r="M3030" s="19"/>
      <c r="N3030" s="20"/>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row>
    <row r="3031" spans="1:45" x14ac:dyDescent="0.3">
      <c r="A3031" s="410" t="s">
        <v>4734</v>
      </c>
      <c r="B3031" s="17"/>
      <c r="C3031" s="19"/>
      <c r="D3031" s="18"/>
      <c r="E3031" s="18"/>
      <c r="F3031" s="19"/>
      <c r="G3031" s="31"/>
      <c r="H3031" s="31"/>
      <c r="I3031" s="19"/>
      <c r="J3031" s="19"/>
      <c r="K3031" s="21"/>
      <c r="L3031" s="22"/>
      <c r="M3031" s="19"/>
      <c r="N3031" s="20"/>
      <c r="O3031" s="19"/>
      <c r="P3031" s="19"/>
      <c r="Q3031" s="19"/>
      <c r="R3031" s="19"/>
      <c r="S3031" s="19"/>
      <c r="T3031" s="19"/>
      <c r="U3031" s="19"/>
      <c r="V3031" s="19"/>
      <c r="W3031" s="19"/>
      <c r="X3031" s="19"/>
      <c r="Y3031" s="19"/>
      <c r="Z3031" s="19"/>
      <c r="AA3031" s="19"/>
      <c r="AB3031" s="19"/>
      <c r="AC3031" s="19"/>
      <c r="AD3031" s="19"/>
      <c r="AE3031" s="19"/>
      <c r="AF3031" s="19"/>
      <c r="AG3031" s="19"/>
      <c r="AH3031" s="19"/>
      <c r="AI3031" s="19"/>
      <c r="AJ3031" s="19"/>
      <c r="AK3031" s="19"/>
      <c r="AL3031" s="19"/>
      <c r="AM3031" s="19"/>
      <c r="AN3031" s="19"/>
      <c r="AO3031" s="19"/>
      <c r="AP3031" s="19"/>
      <c r="AQ3031" s="19"/>
      <c r="AR3031" s="19"/>
      <c r="AS3031" s="19"/>
    </row>
    <row r="3032" spans="1:45" x14ac:dyDescent="0.3">
      <c r="A3032" s="410" t="s">
        <v>4735</v>
      </c>
      <c r="B3032" s="17"/>
      <c r="C3032" s="19"/>
      <c r="D3032" s="18"/>
      <c r="E3032" s="18"/>
      <c r="F3032" s="19"/>
      <c r="G3032" s="31"/>
      <c r="H3032" s="31"/>
      <c r="I3032" s="19"/>
      <c r="J3032" s="19"/>
      <c r="K3032" s="21"/>
      <c r="L3032" s="22"/>
      <c r="M3032" s="19"/>
      <c r="N3032" s="20"/>
      <c r="O3032" s="19"/>
      <c r="P3032" s="19"/>
      <c r="Q3032" s="19"/>
      <c r="R3032" s="19"/>
      <c r="S3032" s="19"/>
      <c r="T3032" s="19"/>
      <c r="U3032" s="19"/>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19"/>
    </row>
    <row r="3033" spans="1:45" x14ac:dyDescent="0.3">
      <c r="A3033" s="410" t="s">
        <v>4736</v>
      </c>
      <c r="B3033" s="17"/>
      <c r="C3033" s="19"/>
      <c r="D3033" s="18"/>
      <c r="E3033" s="18"/>
      <c r="F3033" s="19"/>
      <c r="G3033" s="31"/>
      <c r="H3033" s="31"/>
      <c r="I3033" s="19"/>
      <c r="J3033" s="19"/>
      <c r="K3033" s="21"/>
      <c r="L3033" s="22"/>
      <c r="M3033" s="19"/>
      <c r="N3033" s="20"/>
      <c r="O3033" s="19"/>
      <c r="P3033" s="19"/>
      <c r="Q3033" s="19"/>
      <c r="R3033" s="19"/>
      <c r="S3033" s="19"/>
      <c r="T3033" s="19"/>
      <c r="U3033" s="19"/>
      <c r="V3033" s="19"/>
      <c r="W3033" s="19"/>
      <c r="X3033" s="19"/>
      <c r="Y3033" s="19"/>
      <c r="Z3033" s="19"/>
      <c r="AA3033" s="19"/>
      <c r="AB3033" s="19"/>
      <c r="AC3033" s="19"/>
      <c r="AD3033" s="19"/>
      <c r="AE3033" s="19"/>
      <c r="AF3033" s="19"/>
      <c r="AG3033" s="19"/>
      <c r="AH3033" s="19"/>
      <c r="AI3033" s="19"/>
      <c r="AJ3033" s="19"/>
      <c r="AK3033" s="19"/>
      <c r="AL3033" s="19"/>
      <c r="AM3033" s="19"/>
      <c r="AN3033" s="19"/>
      <c r="AO3033" s="19"/>
      <c r="AP3033" s="19"/>
      <c r="AQ3033" s="19"/>
      <c r="AR3033" s="19"/>
      <c r="AS3033" s="19"/>
    </row>
    <row r="3034" spans="1:45" x14ac:dyDescent="0.3">
      <c r="A3034" s="410" t="s">
        <v>4737</v>
      </c>
      <c r="B3034" s="17"/>
      <c r="C3034" s="19"/>
      <c r="D3034" s="18"/>
      <c r="E3034" s="18"/>
      <c r="F3034" s="19"/>
      <c r="G3034" s="31"/>
      <c r="H3034" s="31"/>
      <c r="I3034" s="19"/>
      <c r="J3034" s="19"/>
      <c r="K3034" s="21"/>
      <c r="L3034" s="22"/>
      <c r="M3034" s="19"/>
      <c r="N3034" s="20"/>
      <c r="O3034" s="19"/>
      <c r="P3034" s="19"/>
      <c r="Q3034" s="19"/>
      <c r="R3034" s="19"/>
      <c r="S3034" s="19"/>
      <c r="T3034" s="19"/>
      <c r="U3034" s="19"/>
      <c r="V3034" s="19"/>
      <c r="W3034" s="19"/>
      <c r="X3034" s="19"/>
      <c r="Y3034" s="19"/>
      <c r="Z3034" s="19"/>
      <c r="AA3034" s="19"/>
      <c r="AB3034" s="19"/>
      <c r="AC3034" s="19"/>
      <c r="AD3034" s="19"/>
      <c r="AE3034" s="19"/>
      <c r="AF3034" s="19"/>
      <c r="AG3034" s="19"/>
      <c r="AH3034" s="19"/>
      <c r="AI3034" s="19"/>
      <c r="AJ3034" s="19"/>
      <c r="AK3034" s="19"/>
      <c r="AL3034" s="19"/>
      <c r="AM3034" s="19"/>
      <c r="AN3034" s="19"/>
      <c r="AO3034" s="19"/>
      <c r="AP3034" s="19"/>
      <c r="AQ3034" s="19"/>
      <c r="AR3034" s="19"/>
      <c r="AS3034" s="19"/>
    </row>
    <row r="3035" spans="1:45" x14ac:dyDescent="0.3">
      <c r="A3035" s="410" t="s">
        <v>4738</v>
      </c>
      <c r="B3035" s="17"/>
      <c r="C3035" s="19"/>
      <c r="D3035" s="18"/>
      <c r="E3035" s="18"/>
      <c r="F3035" s="19"/>
      <c r="G3035" s="31"/>
      <c r="H3035" s="31"/>
      <c r="I3035" s="19"/>
      <c r="J3035" s="19"/>
      <c r="K3035" s="21"/>
      <c r="L3035" s="22"/>
      <c r="M3035" s="19"/>
      <c r="N3035" s="20"/>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row>
    <row r="3036" spans="1:45" x14ac:dyDescent="0.3">
      <c r="A3036" s="410" t="s">
        <v>4739</v>
      </c>
      <c r="B3036" s="17"/>
      <c r="C3036" s="19"/>
      <c r="D3036" s="18"/>
      <c r="E3036" s="18"/>
      <c r="F3036" s="19"/>
      <c r="G3036" s="31"/>
      <c r="H3036" s="31"/>
      <c r="I3036" s="19"/>
      <c r="J3036" s="19"/>
      <c r="K3036" s="21"/>
      <c r="L3036" s="22"/>
      <c r="M3036" s="19"/>
      <c r="N3036" s="20"/>
      <c r="O3036" s="19"/>
      <c r="P3036" s="19"/>
      <c r="Q3036" s="19"/>
      <c r="R3036" s="19"/>
      <c r="S3036" s="19"/>
      <c r="T3036" s="19"/>
      <c r="U3036" s="19"/>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row>
    <row r="3037" spans="1:45" x14ac:dyDescent="0.3">
      <c r="A3037" s="410" t="s">
        <v>4740</v>
      </c>
      <c r="B3037" s="17"/>
      <c r="C3037" s="19"/>
      <c r="D3037" s="18"/>
      <c r="E3037" s="18"/>
      <c r="F3037" s="19"/>
      <c r="G3037" s="31"/>
      <c r="H3037" s="31"/>
      <c r="I3037" s="19"/>
      <c r="J3037" s="19"/>
      <c r="K3037" s="21"/>
      <c r="L3037" s="22"/>
      <c r="M3037" s="19"/>
      <c r="N3037" s="20"/>
      <c r="O3037" s="19"/>
      <c r="P3037" s="19"/>
      <c r="Q3037" s="19"/>
      <c r="R3037" s="19"/>
      <c r="S3037" s="19"/>
      <c r="T3037" s="19"/>
      <c r="U3037" s="19"/>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19"/>
    </row>
    <row r="3038" spans="1:45" x14ac:dyDescent="0.3">
      <c r="A3038" s="410" t="s">
        <v>4741</v>
      </c>
      <c r="B3038" s="17"/>
      <c r="C3038" s="19"/>
      <c r="D3038" s="18"/>
      <c r="E3038" s="18"/>
      <c r="F3038" s="19"/>
      <c r="G3038" s="31"/>
      <c r="H3038" s="31"/>
      <c r="I3038" s="19"/>
      <c r="J3038" s="19"/>
      <c r="K3038" s="21"/>
      <c r="L3038" s="22"/>
      <c r="M3038" s="19"/>
      <c r="N3038" s="20"/>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row>
    <row r="3039" spans="1:45" x14ac:dyDescent="0.3">
      <c r="A3039" s="410" t="s">
        <v>4742</v>
      </c>
      <c r="B3039" s="17"/>
      <c r="C3039" s="19"/>
      <c r="D3039" s="18"/>
      <c r="E3039" s="18"/>
      <c r="F3039" s="19"/>
      <c r="G3039" s="31"/>
      <c r="H3039" s="31"/>
      <c r="I3039" s="19"/>
      <c r="J3039" s="19"/>
      <c r="K3039" s="21"/>
      <c r="L3039" s="22"/>
      <c r="M3039" s="19"/>
      <c r="N3039" s="20"/>
      <c r="O3039" s="19"/>
      <c r="P3039" s="19"/>
      <c r="Q3039" s="19"/>
      <c r="R3039" s="19"/>
      <c r="S3039" s="19"/>
      <c r="T3039" s="19"/>
      <c r="U3039" s="19"/>
      <c r="V3039" s="19"/>
      <c r="W3039" s="19"/>
      <c r="X3039" s="19"/>
      <c r="Y3039" s="19"/>
      <c r="Z3039" s="19"/>
      <c r="AA3039" s="19"/>
      <c r="AB3039" s="19"/>
      <c r="AC3039" s="19"/>
      <c r="AD3039" s="19"/>
      <c r="AE3039" s="19"/>
      <c r="AF3039" s="19"/>
      <c r="AG3039" s="19"/>
      <c r="AH3039" s="19"/>
      <c r="AI3039" s="19"/>
      <c r="AJ3039" s="19"/>
      <c r="AK3039" s="19"/>
      <c r="AL3039" s="19"/>
      <c r="AM3039" s="19"/>
      <c r="AN3039" s="19"/>
      <c r="AO3039" s="19"/>
      <c r="AP3039" s="19"/>
      <c r="AQ3039" s="19"/>
      <c r="AR3039" s="19"/>
      <c r="AS3039" s="19"/>
    </row>
    <row r="3040" spans="1:45" x14ac:dyDescent="0.3">
      <c r="A3040" s="410" t="s">
        <v>4743</v>
      </c>
      <c r="B3040" s="17"/>
      <c r="C3040" s="19"/>
      <c r="D3040" s="18"/>
      <c r="E3040" s="18"/>
      <c r="F3040" s="19"/>
      <c r="G3040" s="31"/>
      <c r="H3040" s="31"/>
      <c r="I3040" s="19"/>
      <c r="J3040" s="19"/>
      <c r="K3040" s="21"/>
      <c r="L3040" s="22"/>
      <c r="M3040" s="19"/>
      <c r="N3040" s="20"/>
      <c r="O3040" s="19"/>
      <c r="P3040" s="19"/>
      <c r="Q3040" s="19"/>
      <c r="R3040" s="19"/>
      <c r="S3040" s="19"/>
      <c r="T3040" s="19"/>
      <c r="U3040" s="19"/>
      <c r="V3040" s="19"/>
      <c r="W3040" s="19"/>
      <c r="X3040" s="19"/>
      <c r="Y3040" s="19"/>
      <c r="Z3040" s="19"/>
      <c r="AA3040" s="19"/>
      <c r="AB3040" s="19"/>
      <c r="AC3040" s="19"/>
      <c r="AD3040" s="19"/>
      <c r="AE3040" s="19"/>
      <c r="AF3040" s="19"/>
      <c r="AG3040" s="19"/>
      <c r="AH3040" s="19"/>
      <c r="AI3040" s="19"/>
      <c r="AJ3040" s="19"/>
      <c r="AK3040" s="19"/>
      <c r="AL3040" s="19"/>
      <c r="AM3040" s="19"/>
      <c r="AN3040" s="19"/>
      <c r="AO3040" s="19"/>
      <c r="AP3040" s="19"/>
      <c r="AQ3040" s="19"/>
      <c r="AR3040" s="19"/>
      <c r="AS3040" s="19"/>
    </row>
    <row r="3041" spans="1:45" x14ac:dyDescent="0.3">
      <c r="A3041" s="410" t="s">
        <v>4744</v>
      </c>
      <c r="B3041" s="17"/>
      <c r="C3041" s="19"/>
      <c r="D3041" s="18"/>
      <c r="E3041" s="18"/>
      <c r="F3041" s="19"/>
      <c r="G3041" s="31"/>
      <c r="H3041" s="31"/>
      <c r="I3041" s="19"/>
      <c r="J3041" s="19"/>
      <c r="K3041" s="21"/>
      <c r="L3041" s="22"/>
      <c r="M3041" s="19"/>
      <c r="N3041" s="20"/>
      <c r="O3041" s="19"/>
      <c r="P3041" s="19"/>
      <c r="Q3041" s="19"/>
      <c r="R3041" s="19"/>
      <c r="S3041" s="19"/>
      <c r="T3041" s="19"/>
      <c r="U3041" s="19"/>
      <c r="V3041" s="19"/>
      <c r="W3041" s="19"/>
      <c r="X3041" s="19"/>
      <c r="Y3041" s="19"/>
      <c r="Z3041" s="19"/>
      <c r="AA3041" s="19"/>
      <c r="AB3041" s="19"/>
      <c r="AC3041" s="19"/>
      <c r="AD3041" s="19"/>
      <c r="AE3041" s="19"/>
      <c r="AF3041" s="19"/>
      <c r="AG3041" s="19"/>
      <c r="AH3041" s="19"/>
      <c r="AI3041" s="19"/>
      <c r="AJ3041" s="19"/>
      <c r="AK3041" s="19"/>
      <c r="AL3041" s="19"/>
      <c r="AM3041" s="19"/>
      <c r="AN3041" s="19"/>
      <c r="AO3041" s="19"/>
      <c r="AP3041" s="19"/>
      <c r="AQ3041" s="19"/>
      <c r="AR3041" s="19"/>
      <c r="AS3041" s="19"/>
    </row>
    <row r="3042" spans="1:45" x14ac:dyDescent="0.3">
      <c r="A3042" s="410" t="s">
        <v>4745</v>
      </c>
      <c r="B3042" s="17"/>
      <c r="C3042" s="19"/>
      <c r="D3042" s="18"/>
      <c r="E3042" s="18"/>
      <c r="F3042" s="19"/>
      <c r="G3042" s="31"/>
      <c r="H3042" s="31"/>
      <c r="I3042" s="19"/>
      <c r="J3042" s="19"/>
      <c r="K3042" s="21"/>
      <c r="L3042" s="22"/>
      <c r="M3042" s="19"/>
      <c r="N3042" s="20"/>
      <c r="O3042" s="19"/>
      <c r="P3042" s="19"/>
      <c r="Q3042" s="19"/>
      <c r="R3042" s="19"/>
      <c r="S3042" s="19"/>
      <c r="T3042" s="19"/>
      <c r="U3042" s="19"/>
      <c r="V3042" s="19"/>
      <c r="W3042" s="19"/>
      <c r="X3042" s="19"/>
      <c r="Y3042" s="19"/>
      <c r="Z3042" s="19"/>
      <c r="AA3042" s="19"/>
      <c r="AB3042" s="19"/>
      <c r="AC3042" s="19"/>
      <c r="AD3042" s="19"/>
      <c r="AE3042" s="19"/>
      <c r="AF3042" s="19"/>
      <c r="AG3042" s="19"/>
      <c r="AH3042" s="19"/>
      <c r="AI3042" s="19"/>
      <c r="AJ3042" s="19"/>
      <c r="AK3042" s="19"/>
      <c r="AL3042" s="19"/>
      <c r="AM3042" s="19"/>
      <c r="AN3042" s="19"/>
      <c r="AO3042" s="19"/>
      <c r="AP3042" s="19"/>
      <c r="AQ3042" s="19"/>
      <c r="AR3042" s="19"/>
      <c r="AS3042" s="19"/>
    </row>
    <row r="3043" spans="1:45" x14ac:dyDescent="0.3">
      <c r="A3043" s="410" t="s">
        <v>4746</v>
      </c>
      <c r="B3043" s="17"/>
      <c r="C3043" s="19"/>
      <c r="D3043" s="18"/>
      <c r="E3043" s="18"/>
      <c r="F3043" s="19"/>
      <c r="G3043" s="31"/>
      <c r="H3043" s="31"/>
      <c r="I3043" s="19"/>
      <c r="J3043" s="19"/>
      <c r="K3043" s="21"/>
      <c r="L3043" s="22"/>
      <c r="M3043" s="19"/>
      <c r="N3043" s="20"/>
      <c r="O3043" s="19"/>
      <c r="P3043" s="19"/>
      <c r="Q3043" s="19"/>
      <c r="R3043" s="19"/>
      <c r="S3043" s="19"/>
      <c r="T3043" s="19"/>
      <c r="U3043" s="19"/>
      <c r="V3043" s="19"/>
      <c r="W3043" s="19"/>
      <c r="X3043" s="19"/>
      <c r="Y3043" s="19"/>
      <c r="Z3043" s="19"/>
      <c r="AA3043" s="19"/>
      <c r="AB3043" s="19"/>
      <c r="AC3043" s="19"/>
      <c r="AD3043" s="19"/>
      <c r="AE3043" s="19"/>
      <c r="AF3043" s="19"/>
      <c r="AG3043" s="19"/>
      <c r="AH3043" s="19"/>
      <c r="AI3043" s="19"/>
      <c r="AJ3043" s="19"/>
      <c r="AK3043" s="19"/>
      <c r="AL3043" s="19"/>
      <c r="AM3043" s="19"/>
      <c r="AN3043" s="19"/>
      <c r="AO3043" s="19"/>
      <c r="AP3043" s="19"/>
      <c r="AQ3043" s="19"/>
      <c r="AR3043" s="19"/>
      <c r="AS3043" s="19"/>
    </row>
    <row r="3044" spans="1:45" x14ac:dyDescent="0.3">
      <c r="A3044" s="410" t="s">
        <v>4747</v>
      </c>
      <c r="B3044" s="17"/>
      <c r="C3044" s="19"/>
      <c r="D3044" s="18"/>
      <c r="E3044" s="18"/>
      <c r="F3044" s="19"/>
      <c r="G3044" s="31"/>
      <c r="H3044" s="31"/>
      <c r="I3044" s="19"/>
      <c r="J3044" s="19"/>
      <c r="K3044" s="21"/>
      <c r="L3044" s="22"/>
      <c r="M3044" s="19"/>
      <c r="N3044" s="20"/>
      <c r="O3044" s="19"/>
      <c r="P3044" s="19"/>
      <c r="Q3044" s="19"/>
      <c r="R3044" s="19"/>
      <c r="S3044" s="19"/>
      <c r="T3044" s="19"/>
      <c r="U3044" s="19"/>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row>
    <row r="3045" spans="1:45" x14ac:dyDescent="0.3">
      <c r="A3045" s="410" t="s">
        <v>4748</v>
      </c>
      <c r="B3045" s="17"/>
      <c r="C3045" s="19"/>
      <c r="D3045" s="18"/>
      <c r="E3045" s="18"/>
      <c r="F3045" s="19"/>
      <c r="G3045" s="31"/>
      <c r="H3045" s="31"/>
      <c r="I3045" s="19"/>
      <c r="J3045" s="19"/>
      <c r="K3045" s="21"/>
      <c r="L3045" s="22"/>
      <c r="M3045" s="19"/>
      <c r="N3045" s="20"/>
      <c r="O3045" s="19"/>
      <c r="P3045" s="19"/>
      <c r="Q3045" s="19"/>
      <c r="R3045" s="19"/>
      <c r="S3045" s="19"/>
      <c r="T3045" s="19"/>
      <c r="U3045" s="19"/>
      <c r="V3045" s="19"/>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AQ3045" s="19"/>
      <c r="AR3045" s="19"/>
      <c r="AS3045" s="19"/>
    </row>
    <row r="3046" spans="1:45" x14ac:dyDescent="0.3">
      <c r="A3046" s="410" t="s">
        <v>4749</v>
      </c>
      <c r="B3046" s="17"/>
      <c r="C3046" s="19"/>
      <c r="D3046" s="18"/>
      <c r="E3046" s="18"/>
      <c r="F3046" s="19"/>
      <c r="G3046" s="31"/>
      <c r="H3046" s="31"/>
      <c r="I3046" s="19"/>
      <c r="J3046" s="19"/>
      <c r="K3046" s="21"/>
      <c r="L3046" s="22"/>
      <c r="M3046" s="19"/>
      <c r="N3046" s="20"/>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row>
    <row r="3047" spans="1:45" x14ac:dyDescent="0.3">
      <c r="A3047" s="410" t="s">
        <v>4750</v>
      </c>
      <c r="B3047" s="17"/>
      <c r="C3047" s="19"/>
      <c r="D3047" s="18"/>
      <c r="E3047" s="18"/>
      <c r="F3047" s="19"/>
      <c r="G3047" s="31"/>
      <c r="H3047" s="31"/>
      <c r="I3047" s="19"/>
      <c r="J3047" s="19"/>
      <c r="K3047" s="21"/>
      <c r="L3047" s="22"/>
      <c r="M3047" s="19"/>
      <c r="N3047" s="20"/>
      <c r="O3047" s="19"/>
      <c r="P3047" s="19"/>
      <c r="Q3047" s="19"/>
      <c r="R3047" s="19"/>
      <c r="S3047" s="19"/>
      <c r="T3047" s="19"/>
      <c r="U3047" s="19"/>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19"/>
    </row>
    <row r="3048" spans="1:45" x14ac:dyDescent="0.3">
      <c r="A3048" s="410" t="s">
        <v>4751</v>
      </c>
      <c r="B3048" s="17"/>
      <c r="C3048" s="19"/>
      <c r="D3048" s="18"/>
      <c r="E3048" s="18"/>
      <c r="F3048" s="19"/>
      <c r="G3048" s="31"/>
      <c r="H3048" s="31"/>
      <c r="I3048" s="19"/>
      <c r="J3048" s="19"/>
      <c r="K3048" s="21"/>
      <c r="L3048" s="22"/>
      <c r="M3048" s="19"/>
      <c r="N3048" s="20"/>
      <c r="O3048" s="19"/>
      <c r="P3048" s="19"/>
      <c r="Q3048" s="19"/>
      <c r="R3048" s="19"/>
      <c r="S3048" s="19"/>
      <c r="T3048" s="19"/>
      <c r="U3048" s="19"/>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row>
    <row r="3049" spans="1:45" x14ac:dyDescent="0.3">
      <c r="A3049" s="410" t="s">
        <v>4752</v>
      </c>
      <c r="B3049" s="17"/>
      <c r="C3049" s="19"/>
      <c r="D3049" s="18"/>
      <c r="E3049" s="18"/>
      <c r="F3049" s="19"/>
      <c r="G3049" s="31"/>
      <c r="H3049" s="31"/>
      <c r="I3049" s="19"/>
      <c r="J3049" s="19"/>
      <c r="K3049" s="21"/>
      <c r="L3049" s="22"/>
      <c r="M3049" s="19"/>
      <c r="N3049" s="20"/>
      <c r="O3049" s="19"/>
      <c r="P3049" s="19"/>
      <c r="Q3049" s="19"/>
      <c r="R3049" s="19"/>
      <c r="S3049" s="19"/>
      <c r="T3049" s="19"/>
      <c r="U3049" s="19"/>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19"/>
    </row>
    <row r="3050" spans="1:45" x14ac:dyDescent="0.3">
      <c r="A3050" s="410" t="s">
        <v>4753</v>
      </c>
      <c r="B3050" s="17"/>
      <c r="C3050" s="19"/>
      <c r="D3050" s="18"/>
      <c r="E3050" s="18"/>
      <c r="F3050" s="19"/>
      <c r="G3050" s="31"/>
      <c r="H3050" s="31"/>
      <c r="I3050" s="19"/>
      <c r="J3050" s="19"/>
      <c r="K3050" s="21"/>
      <c r="L3050" s="22"/>
      <c r="M3050" s="19"/>
      <c r="N3050" s="20"/>
      <c r="O3050" s="19"/>
      <c r="P3050" s="19"/>
      <c r="Q3050" s="19"/>
      <c r="R3050" s="19"/>
      <c r="S3050" s="19"/>
      <c r="T3050" s="19"/>
      <c r="U3050" s="19"/>
      <c r="V3050" s="19"/>
      <c r="W3050" s="19"/>
      <c r="X3050" s="19"/>
      <c r="Y3050" s="19"/>
      <c r="Z3050" s="19"/>
      <c r="AA3050" s="19"/>
      <c r="AB3050" s="19"/>
      <c r="AC3050" s="19"/>
      <c r="AD3050" s="19"/>
      <c r="AE3050" s="19"/>
      <c r="AF3050" s="19"/>
      <c r="AG3050" s="19"/>
      <c r="AH3050" s="19"/>
      <c r="AI3050" s="19"/>
      <c r="AJ3050" s="19"/>
      <c r="AK3050" s="19"/>
      <c r="AL3050" s="19"/>
      <c r="AM3050" s="19"/>
      <c r="AN3050" s="19"/>
      <c r="AO3050" s="19"/>
      <c r="AP3050" s="19"/>
      <c r="AQ3050" s="19"/>
      <c r="AR3050" s="19"/>
      <c r="AS3050" s="19"/>
    </row>
    <row r="3051" spans="1:45" x14ac:dyDescent="0.3">
      <c r="A3051" s="410" t="s">
        <v>4754</v>
      </c>
      <c r="B3051" s="17"/>
      <c r="C3051" s="19"/>
      <c r="D3051" s="18"/>
      <c r="E3051" s="18"/>
      <c r="F3051" s="19"/>
      <c r="G3051" s="31"/>
      <c r="H3051" s="31"/>
      <c r="I3051" s="19"/>
      <c r="J3051" s="19"/>
      <c r="K3051" s="21"/>
      <c r="L3051" s="22"/>
      <c r="M3051" s="19"/>
      <c r="N3051" s="20"/>
      <c r="O3051" s="19"/>
      <c r="P3051" s="19"/>
      <c r="Q3051" s="19"/>
      <c r="R3051" s="19"/>
      <c r="S3051" s="19"/>
      <c r="T3051" s="19"/>
      <c r="U3051" s="19"/>
      <c r="V3051" s="19"/>
      <c r="W3051" s="19"/>
      <c r="X3051" s="19"/>
      <c r="Y3051" s="19"/>
      <c r="Z3051" s="19"/>
      <c r="AA3051" s="19"/>
      <c r="AB3051" s="19"/>
      <c r="AC3051" s="19"/>
      <c r="AD3051" s="19"/>
      <c r="AE3051" s="19"/>
      <c r="AF3051" s="19"/>
      <c r="AG3051" s="19"/>
      <c r="AH3051" s="19"/>
      <c r="AI3051" s="19"/>
      <c r="AJ3051" s="19"/>
      <c r="AK3051" s="19"/>
      <c r="AL3051" s="19"/>
      <c r="AM3051" s="19"/>
      <c r="AN3051" s="19"/>
      <c r="AO3051" s="19"/>
      <c r="AP3051" s="19"/>
      <c r="AQ3051" s="19"/>
      <c r="AR3051" s="19"/>
      <c r="AS3051" s="19"/>
    </row>
    <row r="3052" spans="1:45" x14ac:dyDescent="0.3">
      <c r="A3052" s="410" t="s">
        <v>4755</v>
      </c>
      <c r="B3052" s="17"/>
      <c r="C3052" s="19"/>
      <c r="D3052" s="18"/>
      <c r="E3052" s="18"/>
      <c r="F3052" s="19"/>
      <c r="G3052" s="31"/>
      <c r="H3052" s="31"/>
      <c r="I3052" s="19"/>
      <c r="J3052" s="19"/>
      <c r="K3052" s="21"/>
      <c r="L3052" s="22"/>
      <c r="M3052" s="19"/>
      <c r="N3052" s="20"/>
      <c r="O3052" s="19"/>
      <c r="P3052" s="19"/>
      <c r="Q3052" s="19"/>
      <c r="R3052" s="19"/>
      <c r="S3052" s="19"/>
      <c r="T3052" s="19"/>
      <c r="U3052" s="19"/>
      <c r="V3052" s="19"/>
      <c r="W3052" s="19"/>
      <c r="X3052" s="19"/>
      <c r="Y3052" s="19"/>
      <c r="Z3052" s="19"/>
      <c r="AA3052" s="19"/>
      <c r="AB3052" s="19"/>
      <c r="AC3052" s="19"/>
      <c r="AD3052" s="19"/>
      <c r="AE3052" s="19"/>
      <c r="AF3052" s="19"/>
      <c r="AG3052" s="19"/>
      <c r="AH3052" s="19"/>
      <c r="AI3052" s="19"/>
      <c r="AJ3052" s="19"/>
      <c r="AK3052" s="19"/>
      <c r="AL3052" s="19"/>
      <c r="AM3052" s="19"/>
      <c r="AN3052" s="19"/>
      <c r="AO3052" s="19"/>
      <c r="AP3052" s="19"/>
      <c r="AQ3052" s="19"/>
      <c r="AR3052" s="19"/>
      <c r="AS3052" s="19"/>
    </row>
    <row r="3053" spans="1:45" x14ac:dyDescent="0.3">
      <c r="A3053" s="410" t="s">
        <v>4756</v>
      </c>
      <c r="B3053" s="17"/>
      <c r="C3053" s="19"/>
      <c r="D3053" s="18"/>
      <c r="E3053" s="18"/>
      <c r="F3053" s="19"/>
      <c r="G3053" s="31"/>
      <c r="H3053" s="31"/>
      <c r="I3053" s="19"/>
      <c r="J3053" s="19"/>
      <c r="K3053" s="21"/>
      <c r="L3053" s="22"/>
      <c r="M3053" s="19"/>
      <c r="N3053" s="20"/>
      <c r="O3053" s="19"/>
      <c r="P3053" s="19"/>
      <c r="Q3053" s="19"/>
      <c r="R3053" s="19"/>
      <c r="S3053" s="19"/>
      <c r="T3053" s="19"/>
      <c r="U3053" s="19"/>
      <c r="V3053" s="19"/>
      <c r="W3053" s="19"/>
      <c r="X3053" s="19"/>
      <c r="Y3053" s="19"/>
      <c r="Z3053" s="19"/>
      <c r="AA3053" s="19"/>
      <c r="AB3053" s="19"/>
      <c r="AC3053" s="19"/>
      <c r="AD3053" s="19"/>
      <c r="AE3053" s="19"/>
      <c r="AF3053" s="19"/>
      <c r="AG3053" s="19"/>
      <c r="AH3053" s="19"/>
      <c r="AI3053" s="19"/>
      <c r="AJ3053" s="19"/>
      <c r="AK3053" s="19"/>
      <c r="AL3053" s="19"/>
      <c r="AM3053" s="19"/>
      <c r="AN3053" s="19"/>
      <c r="AO3053" s="19"/>
      <c r="AP3053" s="19"/>
      <c r="AQ3053" s="19"/>
      <c r="AR3053" s="19"/>
      <c r="AS3053" s="19"/>
    </row>
    <row r="3054" spans="1:45" x14ac:dyDescent="0.3">
      <c r="A3054" s="410" t="s">
        <v>4757</v>
      </c>
      <c r="B3054" s="17"/>
      <c r="C3054" s="19"/>
      <c r="D3054" s="18"/>
      <c r="E3054" s="18"/>
      <c r="F3054" s="19"/>
      <c r="G3054" s="31"/>
      <c r="H3054" s="31"/>
      <c r="I3054" s="19"/>
      <c r="J3054" s="19"/>
      <c r="K3054" s="21"/>
      <c r="L3054" s="22"/>
      <c r="M3054" s="19"/>
      <c r="N3054" s="20"/>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row>
    <row r="3055" spans="1:45" x14ac:dyDescent="0.3">
      <c r="A3055" s="410" t="s">
        <v>4758</v>
      </c>
      <c r="B3055" s="17"/>
      <c r="C3055" s="19"/>
      <c r="D3055" s="18"/>
      <c r="E3055" s="18"/>
      <c r="F3055" s="19"/>
      <c r="G3055" s="31"/>
      <c r="H3055" s="31"/>
      <c r="I3055" s="19"/>
      <c r="J3055" s="19"/>
      <c r="K3055" s="21"/>
      <c r="L3055" s="22"/>
      <c r="M3055" s="19"/>
      <c r="N3055" s="20"/>
      <c r="O3055" s="19"/>
      <c r="P3055" s="19"/>
      <c r="Q3055" s="19"/>
      <c r="R3055" s="19"/>
      <c r="S3055" s="19"/>
      <c r="T3055" s="19"/>
      <c r="U3055" s="19"/>
      <c r="V3055" s="19"/>
      <c r="W3055" s="19"/>
      <c r="X3055" s="19"/>
      <c r="Y3055" s="19"/>
      <c r="Z3055" s="19"/>
      <c r="AA3055" s="19"/>
      <c r="AB3055" s="19"/>
      <c r="AC3055" s="19"/>
      <c r="AD3055" s="19"/>
      <c r="AE3055" s="19"/>
      <c r="AF3055" s="19"/>
      <c r="AG3055" s="19"/>
      <c r="AH3055" s="19"/>
      <c r="AI3055" s="19"/>
      <c r="AJ3055" s="19"/>
      <c r="AK3055" s="19"/>
      <c r="AL3055" s="19"/>
      <c r="AM3055" s="19"/>
      <c r="AN3055" s="19"/>
      <c r="AO3055" s="19"/>
      <c r="AP3055" s="19"/>
      <c r="AQ3055" s="19"/>
      <c r="AR3055" s="19"/>
      <c r="AS3055" s="19"/>
    </row>
    <row r="3056" spans="1:45" x14ac:dyDescent="0.3">
      <c r="A3056" s="410" t="s">
        <v>4759</v>
      </c>
      <c r="B3056" s="17"/>
      <c r="C3056" s="19"/>
      <c r="D3056" s="18"/>
      <c r="E3056" s="18"/>
      <c r="F3056" s="19"/>
      <c r="G3056" s="31"/>
      <c r="H3056" s="31"/>
      <c r="I3056" s="19"/>
      <c r="J3056" s="19"/>
      <c r="K3056" s="21"/>
      <c r="L3056" s="22"/>
      <c r="M3056" s="19"/>
      <c r="N3056" s="20"/>
      <c r="O3056" s="19"/>
      <c r="P3056" s="19"/>
      <c r="Q3056" s="19"/>
      <c r="R3056" s="19"/>
      <c r="S3056" s="19"/>
      <c r="T3056" s="19"/>
      <c r="U3056" s="19"/>
      <c r="V3056" s="19"/>
      <c r="W3056" s="19"/>
      <c r="X3056" s="19"/>
      <c r="Y3056" s="19"/>
      <c r="Z3056" s="19"/>
      <c r="AA3056" s="19"/>
      <c r="AB3056" s="19"/>
      <c r="AC3056" s="19"/>
      <c r="AD3056" s="19"/>
      <c r="AE3056" s="19"/>
      <c r="AF3056" s="19"/>
      <c r="AG3056" s="19"/>
      <c r="AH3056" s="19"/>
      <c r="AI3056" s="19"/>
      <c r="AJ3056" s="19"/>
      <c r="AK3056" s="19"/>
      <c r="AL3056" s="19"/>
      <c r="AM3056" s="19"/>
      <c r="AN3056" s="19"/>
      <c r="AO3056" s="19"/>
      <c r="AP3056" s="19"/>
      <c r="AQ3056" s="19"/>
      <c r="AR3056" s="19"/>
      <c r="AS3056" s="19"/>
    </row>
    <row r="3057" spans="1:45" x14ac:dyDescent="0.3">
      <c r="A3057" s="410" t="s">
        <v>4760</v>
      </c>
      <c r="B3057" s="17"/>
      <c r="C3057" s="19"/>
      <c r="D3057" s="18"/>
      <c r="E3057" s="18"/>
      <c r="F3057" s="19"/>
      <c r="G3057" s="31"/>
      <c r="H3057" s="31"/>
      <c r="I3057" s="19"/>
      <c r="J3057" s="19"/>
      <c r="K3057" s="21"/>
      <c r="L3057" s="22"/>
      <c r="M3057" s="19"/>
      <c r="N3057" s="20"/>
      <c r="O3057" s="19"/>
      <c r="P3057" s="19"/>
      <c r="Q3057" s="19"/>
      <c r="R3057" s="19"/>
      <c r="S3057" s="19"/>
      <c r="T3057" s="19"/>
      <c r="U3057" s="19"/>
      <c r="V3057" s="19"/>
      <c r="W3057" s="19"/>
      <c r="X3057" s="19"/>
      <c r="Y3057" s="19"/>
      <c r="Z3057" s="19"/>
      <c r="AA3057" s="19"/>
      <c r="AB3057" s="19"/>
      <c r="AC3057" s="19"/>
      <c r="AD3057" s="19"/>
      <c r="AE3057" s="19"/>
      <c r="AF3057" s="19"/>
      <c r="AG3057" s="19"/>
      <c r="AH3057" s="19"/>
      <c r="AI3057" s="19"/>
      <c r="AJ3057" s="19"/>
      <c r="AK3057" s="19"/>
      <c r="AL3057" s="19"/>
      <c r="AM3057" s="19"/>
      <c r="AN3057" s="19"/>
      <c r="AO3057" s="19"/>
      <c r="AP3057" s="19"/>
      <c r="AQ3057" s="19"/>
      <c r="AR3057" s="19"/>
      <c r="AS3057" s="19"/>
    </row>
    <row r="3058" spans="1:45" x14ac:dyDescent="0.3">
      <c r="A3058" s="410" t="s">
        <v>4761</v>
      </c>
      <c r="B3058" s="17"/>
      <c r="C3058" s="19"/>
      <c r="D3058" s="18"/>
      <c r="E3058" s="18"/>
      <c r="F3058" s="19"/>
      <c r="G3058" s="31"/>
      <c r="H3058" s="31"/>
      <c r="I3058" s="19"/>
      <c r="J3058" s="19"/>
      <c r="K3058" s="21"/>
      <c r="L3058" s="22"/>
      <c r="M3058" s="19"/>
      <c r="N3058" s="20"/>
      <c r="O3058" s="19"/>
      <c r="P3058" s="19"/>
      <c r="Q3058" s="19"/>
      <c r="R3058" s="19"/>
      <c r="S3058" s="19"/>
      <c r="T3058" s="19"/>
      <c r="U3058" s="19"/>
      <c r="V3058" s="19"/>
      <c r="W3058" s="19"/>
      <c r="X3058" s="19"/>
      <c r="Y3058" s="19"/>
      <c r="Z3058" s="19"/>
      <c r="AA3058" s="19"/>
      <c r="AB3058" s="19"/>
      <c r="AC3058" s="19"/>
      <c r="AD3058" s="19"/>
      <c r="AE3058" s="19"/>
      <c r="AF3058" s="19"/>
      <c r="AG3058" s="19"/>
      <c r="AH3058" s="19"/>
      <c r="AI3058" s="19"/>
      <c r="AJ3058" s="19"/>
      <c r="AK3058" s="19"/>
      <c r="AL3058" s="19"/>
      <c r="AM3058" s="19"/>
      <c r="AN3058" s="19"/>
      <c r="AO3058" s="19"/>
      <c r="AP3058" s="19"/>
      <c r="AQ3058" s="19"/>
      <c r="AR3058" s="19"/>
      <c r="AS3058" s="19"/>
    </row>
    <row r="3059" spans="1:45" x14ac:dyDescent="0.3">
      <c r="A3059" s="410" t="s">
        <v>4762</v>
      </c>
      <c r="B3059" s="17"/>
      <c r="C3059" s="19"/>
      <c r="D3059" s="18"/>
      <c r="E3059" s="18"/>
      <c r="F3059" s="19"/>
      <c r="G3059" s="31"/>
      <c r="H3059" s="31"/>
      <c r="I3059" s="19"/>
      <c r="J3059" s="19"/>
      <c r="K3059" s="21"/>
      <c r="L3059" s="22"/>
      <c r="M3059" s="19"/>
      <c r="N3059" s="20"/>
      <c r="O3059" s="19"/>
      <c r="P3059" s="19"/>
      <c r="Q3059" s="19"/>
      <c r="R3059" s="19"/>
      <c r="S3059" s="19"/>
      <c r="T3059" s="19"/>
      <c r="U3059" s="19"/>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19"/>
    </row>
    <row r="3060" spans="1:45" x14ac:dyDescent="0.3">
      <c r="A3060" s="410" t="s">
        <v>4763</v>
      </c>
      <c r="B3060" s="17"/>
      <c r="C3060" s="19"/>
      <c r="D3060" s="18"/>
      <c r="E3060" s="18"/>
      <c r="F3060" s="19"/>
      <c r="G3060" s="31"/>
      <c r="H3060" s="31"/>
      <c r="I3060" s="19"/>
      <c r="J3060" s="19"/>
      <c r="K3060" s="21"/>
      <c r="L3060" s="22"/>
      <c r="M3060" s="19"/>
      <c r="N3060" s="20"/>
      <c r="O3060" s="19"/>
      <c r="P3060" s="19"/>
      <c r="Q3060" s="19"/>
      <c r="R3060" s="19"/>
      <c r="S3060" s="19"/>
      <c r="T3060" s="19"/>
      <c r="U3060" s="19"/>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19"/>
    </row>
    <row r="3061" spans="1:45" x14ac:dyDescent="0.3">
      <c r="A3061" s="410" t="s">
        <v>4764</v>
      </c>
      <c r="B3061" s="17"/>
      <c r="C3061" s="19"/>
      <c r="D3061" s="18"/>
      <c r="E3061" s="18"/>
      <c r="F3061" s="19"/>
      <c r="G3061" s="31"/>
      <c r="H3061" s="31"/>
      <c r="I3061" s="19"/>
      <c r="J3061" s="19"/>
      <c r="K3061" s="21"/>
      <c r="L3061" s="22"/>
      <c r="M3061" s="19"/>
      <c r="N3061" s="20"/>
      <c r="O3061" s="19"/>
      <c r="P3061" s="19"/>
      <c r="Q3061" s="19"/>
      <c r="R3061" s="19"/>
      <c r="S3061" s="19"/>
      <c r="T3061" s="19"/>
      <c r="U3061" s="19"/>
      <c r="V3061" s="19"/>
      <c r="W3061" s="19"/>
      <c r="X3061" s="19"/>
      <c r="Y3061" s="19"/>
      <c r="Z3061" s="19"/>
      <c r="AA3061" s="19"/>
      <c r="AB3061" s="19"/>
      <c r="AC3061" s="19"/>
      <c r="AD3061" s="19"/>
      <c r="AE3061" s="19"/>
      <c r="AF3061" s="19"/>
      <c r="AG3061" s="19"/>
      <c r="AH3061" s="19"/>
      <c r="AI3061" s="19"/>
      <c r="AJ3061" s="19"/>
      <c r="AK3061" s="19"/>
      <c r="AL3061" s="19"/>
      <c r="AM3061" s="19"/>
      <c r="AN3061" s="19"/>
      <c r="AO3061" s="19"/>
      <c r="AP3061" s="19"/>
      <c r="AQ3061" s="19"/>
      <c r="AR3061" s="19"/>
      <c r="AS3061" s="19"/>
    </row>
    <row r="3062" spans="1:45" x14ac:dyDescent="0.3">
      <c r="A3062" s="410" t="s">
        <v>4765</v>
      </c>
      <c r="B3062" s="17"/>
      <c r="C3062" s="19"/>
      <c r="D3062" s="18"/>
      <c r="E3062" s="18"/>
      <c r="F3062" s="19"/>
      <c r="G3062" s="31"/>
      <c r="H3062" s="31"/>
      <c r="I3062" s="19"/>
      <c r="J3062" s="19"/>
      <c r="K3062" s="21"/>
      <c r="L3062" s="22"/>
      <c r="M3062" s="19"/>
      <c r="N3062" s="20"/>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row>
    <row r="3063" spans="1:45" x14ac:dyDescent="0.3">
      <c r="A3063" s="410" t="s">
        <v>4766</v>
      </c>
      <c r="B3063" s="17"/>
      <c r="C3063" s="19"/>
      <c r="D3063" s="18"/>
      <c r="E3063" s="18"/>
      <c r="F3063" s="19"/>
      <c r="G3063" s="31"/>
      <c r="H3063" s="31"/>
      <c r="I3063" s="19"/>
      <c r="J3063" s="19"/>
      <c r="K3063" s="21"/>
      <c r="L3063" s="22"/>
      <c r="M3063" s="19"/>
      <c r="N3063" s="20"/>
      <c r="O3063" s="19"/>
      <c r="P3063" s="19"/>
      <c r="Q3063" s="19"/>
      <c r="R3063" s="19"/>
      <c r="S3063" s="19"/>
      <c r="T3063" s="19"/>
      <c r="U3063" s="19"/>
      <c r="V3063" s="19"/>
      <c r="W3063" s="19"/>
      <c r="X3063" s="19"/>
      <c r="Y3063" s="19"/>
      <c r="Z3063" s="19"/>
      <c r="AA3063" s="19"/>
      <c r="AB3063" s="19"/>
      <c r="AC3063" s="19"/>
      <c r="AD3063" s="19"/>
      <c r="AE3063" s="19"/>
      <c r="AF3063" s="19"/>
      <c r="AG3063" s="19"/>
      <c r="AH3063" s="19"/>
      <c r="AI3063" s="19"/>
      <c r="AJ3063" s="19"/>
      <c r="AK3063" s="19"/>
      <c r="AL3063" s="19"/>
      <c r="AM3063" s="19"/>
      <c r="AN3063" s="19"/>
      <c r="AO3063" s="19"/>
      <c r="AP3063" s="19"/>
      <c r="AQ3063" s="19"/>
      <c r="AR3063" s="19"/>
      <c r="AS3063" s="19"/>
    </row>
    <row r="3064" spans="1:45" x14ac:dyDescent="0.3">
      <c r="A3064" s="410" t="s">
        <v>4767</v>
      </c>
      <c r="B3064" s="17"/>
      <c r="C3064" s="19"/>
      <c r="D3064" s="18"/>
      <c r="E3064" s="18"/>
      <c r="F3064" s="19"/>
      <c r="G3064" s="31"/>
      <c r="H3064" s="31"/>
      <c r="I3064" s="19"/>
      <c r="J3064" s="19"/>
      <c r="K3064" s="21"/>
      <c r="L3064" s="22"/>
      <c r="M3064" s="19"/>
      <c r="N3064" s="20"/>
      <c r="O3064" s="19"/>
      <c r="P3064" s="19"/>
      <c r="Q3064" s="19"/>
      <c r="R3064" s="19"/>
      <c r="S3064" s="19"/>
      <c r="T3064" s="19"/>
      <c r="U3064" s="19"/>
      <c r="V3064" s="19"/>
      <c r="W3064" s="19"/>
      <c r="X3064" s="19"/>
      <c r="Y3064" s="19"/>
      <c r="Z3064" s="19"/>
      <c r="AA3064" s="19"/>
      <c r="AB3064" s="19"/>
      <c r="AC3064" s="19"/>
      <c r="AD3064" s="19"/>
      <c r="AE3064" s="19"/>
      <c r="AF3064" s="19"/>
      <c r="AG3064" s="19"/>
      <c r="AH3064" s="19"/>
      <c r="AI3064" s="19"/>
      <c r="AJ3064" s="19"/>
      <c r="AK3064" s="19"/>
      <c r="AL3064" s="19"/>
      <c r="AM3064" s="19"/>
      <c r="AN3064" s="19"/>
      <c r="AO3064" s="19"/>
      <c r="AP3064" s="19"/>
      <c r="AQ3064" s="19"/>
      <c r="AR3064" s="19"/>
      <c r="AS3064" s="19"/>
    </row>
    <row r="3065" spans="1:45" x14ac:dyDescent="0.3">
      <c r="A3065" s="410" t="s">
        <v>4768</v>
      </c>
      <c r="B3065" s="17"/>
      <c r="C3065" s="19"/>
      <c r="D3065" s="18"/>
      <c r="E3065" s="18"/>
      <c r="F3065" s="19"/>
      <c r="G3065" s="31"/>
      <c r="H3065" s="31"/>
      <c r="I3065" s="19"/>
      <c r="J3065" s="19"/>
      <c r="K3065" s="21"/>
      <c r="L3065" s="22"/>
      <c r="M3065" s="19"/>
      <c r="N3065" s="20"/>
      <c r="O3065" s="19"/>
      <c r="P3065" s="19"/>
      <c r="Q3065" s="19"/>
      <c r="R3065" s="19"/>
      <c r="S3065" s="19"/>
      <c r="T3065" s="19"/>
      <c r="U3065" s="19"/>
      <c r="V3065" s="19"/>
      <c r="W3065" s="19"/>
      <c r="X3065" s="19"/>
      <c r="Y3065" s="19"/>
      <c r="Z3065" s="19"/>
      <c r="AA3065" s="19"/>
      <c r="AB3065" s="19"/>
      <c r="AC3065" s="19"/>
      <c r="AD3065" s="19"/>
      <c r="AE3065" s="19"/>
      <c r="AF3065" s="19"/>
      <c r="AG3065" s="19"/>
      <c r="AH3065" s="19"/>
      <c r="AI3065" s="19"/>
      <c r="AJ3065" s="19"/>
      <c r="AK3065" s="19"/>
      <c r="AL3065" s="19"/>
      <c r="AM3065" s="19"/>
      <c r="AN3065" s="19"/>
      <c r="AO3065" s="19"/>
      <c r="AP3065" s="19"/>
      <c r="AQ3065" s="19"/>
      <c r="AR3065" s="19"/>
      <c r="AS3065" s="19"/>
    </row>
    <row r="3066" spans="1:45" x14ac:dyDescent="0.3">
      <c r="A3066" s="410" t="s">
        <v>4769</v>
      </c>
      <c r="B3066" s="17"/>
      <c r="C3066" s="19"/>
      <c r="D3066" s="18"/>
      <c r="E3066" s="18"/>
      <c r="F3066" s="19"/>
      <c r="G3066" s="31"/>
      <c r="H3066" s="31"/>
      <c r="I3066" s="19"/>
      <c r="J3066" s="19"/>
      <c r="K3066" s="21"/>
      <c r="L3066" s="22"/>
      <c r="M3066" s="19"/>
      <c r="N3066" s="20"/>
      <c r="O3066" s="19"/>
      <c r="P3066" s="19"/>
      <c r="Q3066" s="19"/>
      <c r="R3066" s="19"/>
      <c r="S3066" s="19"/>
      <c r="T3066" s="19"/>
      <c r="U3066" s="19"/>
      <c r="V3066" s="19"/>
      <c r="W3066" s="19"/>
      <c r="X3066" s="19"/>
      <c r="Y3066" s="19"/>
      <c r="Z3066" s="19"/>
      <c r="AA3066" s="19"/>
      <c r="AB3066" s="19"/>
      <c r="AC3066" s="19"/>
      <c r="AD3066" s="19"/>
      <c r="AE3066" s="19"/>
      <c r="AF3066" s="19"/>
      <c r="AG3066" s="19"/>
      <c r="AH3066" s="19"/>
      <c r="AI3066" s="19"/>
      <c r="AJ3066" s="19"/>
      <c r="AK3066" s="19"/>
      <c r="AL3066" s="19"/>
      <c r="AM3066" s="19"/>
      <c r="AN3066" s="19"/>
      <c r="AO3066" s="19"/>
      <c r="AP3066" s="19"/>
      <c r="AQ3066" s="19"/>
      <c r="AR3066" s="19"/>
      <c r="AS3066" s="19"/>
    </row>
    <row r="3067" spans="1:45" x14ac:dyDescent="0.3">
      <c r="A3067" s="410" t="s">
        <v>4770</v>
      </c>
      <c r="B3067" s="17"/>
      <c r="C3067" s="19"/>
      <c r="D3067" s="18"/>
      <c r="E3067" s="18"/>
      <c r="F3067" s="19"/>
      <c r="G3067" s="31"/>
      <c r="H3067" s="31"/>
      <c r="I3067" s="19"/>
      <c r="J3067" s="19"/>
      <c r="K3067" s="21"/>
      <c r="L3067" s="22"/>
      <c r="M3067" s="19"/>
      <c r="N3067" s="20"/>
      <c r="O3067" s="19"/>
      <c r="P3067" s="19"/>
      <c r="Q3067" s="19"/>
      <c r="R3067" s="19"/>
      <c r="S3067" s="19"/>
      <c r="T3067" s="19"/>
      <c r="U3067" s="19"/>
      <c r="V3067" s="19"/>
      <c r="W3067" s="19"/>
      <c r="X3067" s="19"/>
      <c r="Y3067" s="19"/>
      <c r="Z3067" s="19"/>
      <c r="AA3067" s="19"/>
      <c r="AB3067" s="19"/>
      <c r="AC3067" s="19"/>
      <c r="AD3067" s="19"/>
      <c r="AE3067" s="19"/>
      <c r="AF3067" s="19"/>
      <c r="AG3067" s="19"/>
      <c r="AH3067" s="19"/>
      <c r="AI3067" s="19"/>
      <c r="AJ3067" s="19"/>
      <c r="AK3067" s="19"/>
      <c r="AL3067" s="19"/>
      <c r="AM3067" s="19"/>
      <c r="AN3067" s="19"/>
      <c r="AO3067" s="19"/>
      <c r="AP3067" s="19"/>
      <c r="AQ3067" s="19"/>
      <c r="AR3067" s="19"/>
      <c r="AS3067" s="19"/>
    </row>
    <row r="3068" spans="1:45" x14ac:dyDescent="0.3">
      <c r="A3068" s="410" t="s">
        <v>4771</v>
      </c>
      <c r="B3068" s="17"/>
      <c r="C3068" s="19"/>
      <c r="D3068" s="18"/>
      <c r="E3068" s="18"/>
      <c r="F3068" s="19"/>
      <c r="G3068" s="31"/>
      <c r="H3068" s="31"/>
      <c r="I3068" s="19"/>
      <c r="J3068" s="19"/>
      <c r="K3068" s="21"/>
      <c r="L3068" s="22"/>
      <c r="M3068" s="19"/>
      <c r="N3068" s="20"/>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row>
    <row r="3069" spans="1:45" x14ac:dyDescent="0.3">
      <c r="A3069" s="410" t="s">
        <v>4772</v>
      </c>
      <c r="B3069" s="17"/>
      <c r="C3069" s="19"/>
      <c r="D3069" s="18"/>
      <c r="E3069" s="18"/>
      <c r="F3069" s="19"/>
      <c r="G3069" s="31"/>
      <c r="H3069" s="31"/>
      <c r="I3069" s="19"/>
      <c r="J3069" s="19"/>
      <c r="K3069" s="21"/>
      <c r="L3069" s="22"/>
      <c r="M3069" s="19"/>
      <c r="N3069" s="20"/>
      <c r="O3069" s="19"/>
      <c r="P3069" s="19"/>
      <c r="Q3069" s="19"/>
      <c r="R3069" s="19"/>
      <c r="S3069" s="19"/>
      <c r="T3069" s="19"/>
      <c r="U3069" s="19"/>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row>
    <row r="3070" spans="1:45" x14ac:dyDescent="0.3">
      <c r="A3070" s="410" t="s">
        <v>4773</v>
      </c>
      <c r="B3070" s="17"/>
      <c r="C3070" s="19"/>
      <c r="D3070" s="18"/>
      <c r="E3070" s="18"/>
      <c r="F3070" s="19"/>
      <c r="G3070" s="31"/>
      <c r="H3070" s="31"/>
      <c r="I3070" s="19"/>
      <c r="J3070" s="19"/>
      <c r="K3070" s="21"/>
      <c r="L3070" s="22"/>
      <c r="M3070" s="19"/>
      <c r="N3070" s="20"/>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row>
    <row r="3071" spans="1:45" x14ac:dyDescent="0.3">
      <c r="A3071" s="410" t="s">
        <v>4774</v>
      </c>
      <c r="B3071" s="17"/>
      <c r="C3071" s="19"/>
      <c r="D3071" s="18"/>
      <c r="E3071" s="18"/>
      <c r="F3071" s="19"/>
      <c r="G3071" s="31"/>
      <c r="H3071" s="31"/>
      <c r="I3071" s="19"/>
      <c r="J3071" s="19"/>
      <c r="K3071" s="21"/>
      <c r="L3071" s="22"/>
      <c r="M3071" s="19"/>
      <c r="N3071" s="20"/>
      <c r="O3071" s="19"/>
      <c r="P3071" s="19"/>
      <c r="Q3071" s="19"/>
      <c r="R3071" s="19"/>
      <c r="S3071" s="19"/>
      <c r="T3071" s="19"/>
      <c r="U3071" s="19"/>
      <c r="V3071" s="19"/>
      <c r="W3071" s="19"/>
      <c r="X3071" s="19"/>
      <c r="Y3071" s="19"/>
      <c r="Z3071" s="19"/>
      <c r="AA3071" s="19"/>
      <c r="AB3071" s="19"/>
      <c r="AC3071" s="19"/>
      <c r="AD3071" s="19"/>
      <c r="AE3071" s="19"/>
      <c r="AF3071" s="19"/>
      <c r="AG3071" s="19"/>
      <c r="AH3071" s="19"/>
      <c r="AI3071" s="19"/>
      <c r="AJ3071" s="19"/>
      <c r="AK3071" s="19"/>
      <c r="AL3071" s="19"/>
      <c r="AM3071" s="19"/>
      <c r="AN3071" s="19"/>
      <c r="AO3071" s="19"/>
      <c r="AP3071" s="19"/>
      <c r="AQ3071" s="19"/>
      <c r="AR3071" s="19"/>
      <c r="AS3071" s="19"/>
    </row>
    <row r="3072" spans="1:45" x14ac:dyDescent="0.3">
      <c r="A3072" s="410" t="s">
        <v>4775</v>
      </c>
      <c r="B3072" s="17"/>
      <c r="C3072" s="19"/>
      <c r="D3072" s="18"/>
      <c r="E3072" s="18"/>
      <c r="F3072" s="19"/>
      <c r="G3072" s="31"/>
      <c r="H3072" s="31"/>
      <c r="I3072" s="19"/>
      <c r="J3072" s="19"/>
      <c r="K3072" s="21"/>
      <c r="L3072" s="22"/>
      <c r="M3072" s="19"/>
      <c r="N3072" s="20"/>
      <c r="O3072" s="19"/>
      <c r="P3072" s="19"/>
      <c r="Q3072" s="19"/>
      <c r="R3072" s="19"/>
      <c r="S3072" s="19"/>
      <c r="T3072" s="19"/>
      <c r="U3072" s="19"/>
      <c r="V3072" s="19"/>
      <c r="W3072" s="19"/>
      <c r="X3072" s="19"/>
      <c r="Y3072" s="19"/>
      <c r="Z3072" s="19"/>
      <c r="AA3072" s="19"/>
      <c r="AB3072" s="19"/>
      <c r="AC3072" s="19"/>
      <c r="AD3072" s="19"/>
      <c r="AE3072" s="19"/>
      <c r="AF3072" s="19"/>
      <c r="AG3072" s="19"/>
      <c r="AH3072" s="19"/>
      <c r="AI3072" s="19"/>
      <c r="AJ3072" s="19"/>
      <c r="AK3072" s="19"/>
      <c r="AL3072" s="19"/>
      <c r="AM3072" s="19"/>
      <c r="AN3072" s="19"/>
      <c r="AO3072" s="19"/>
      <c r="AP3072" s="19"/>
      <c r="AQ3072" s="19"/>
      <c r="AR3072" s="19"/>
      <c r="AS3072" s="19"/>
    </row>
    <row r="3073" spans="1:45" x14ac:dyDescent="0.3">
      <c r="A3073" s="410" t="s">
        <v>4776</v>
      </c>
      <c r="B3073" s="17"/>
      <c r="C3073" s="19"/>
      <c r="D3073" s="18"/>
      <c r="E3073" s="18"/>
      <c r="F3073" s="19"/>
      <c r="G3073" s="31"/>
      <c r="H3073" s="31"/>
      <c r="I3073" s="19"/>
      <c r="J3073" s="19"/>
      <c r="K3073" s="21"/>
      <c r="L3073" s="22"/>
      <c r="M3073" s="19"/>
      <c r="N3073" s="20"/>
      <c r="O3073" s="19"/>
      <c r="P3073" s="19"/>
      <c r="Q3073" s="19"/>
      <c r="R3073" s="19"/>
      <c r="S3073" s="19"/>
      <c r="T3073" s="19"/>
      <c r="U3073" s="19"/>
      <c r="V3073" s="19"/>
      <c r="W3073" s="19"/>
      <c r="X3073" s="19"/>
      <c r="Y3073" s="19"/>
      <c r="Z3073" s="19"/>
      <c r="AA3073" s="19"/>
      <c r="AB3073" s="19"/>
      <c r="AC3073" s="19"/>
      <c r="AD3073" s="19"/>
      <c r="AE3073" s="19"/>
      <c r="AF3073" s="19"/>
      <c r="AG3073" s="19"/>
      <c r="AH3073" s="19"/>
      <c r="AI3073" s="19"/>
      <c r="AJ3073" s="19"/>
      <c r="AK3073" s="19"/>
      <c r="AL3073" s="19"/>
      <c r="AM3073" s="19"/>
      <c r="AN3073" s="19"/>
      <c r="AO3073" s="19"/>
      <c r="AP3073" s="19"/>
      <c r="AQ3073" s="19"/>
      <c r="AR3073" s="19"/>
      <c r="AS3073" s="19"/>
    </row>
    <row r="3074" spans="1:45" x14ac:dyDescent="0.3">
      <c r="A3074" s="410" t="s">
        <v>4777</v>
      </c>
      <c r="B3074" s="17"/>
      <c r="C3074" s="19"/>
      <c r="D3074" s="18"/>
      <c r="E3074" s="18"/>
      <c r="F3074" s="19"/>
      <c r="G3074" s="31"/>
      <c r="H3074" s="31"/>
      <c r="I3074" s="19"/>
      <c r="J3074" s="19"/>
      <c r="K3074" s="21"/>
      <c r="L3074" s="22"/>
      <c r="M3074" s="19"/>
      <c r="N3074" s="20"/>
      <c r="O3074" s="19"/>
      <c r="P3074" s="19"/>
      <c r="Q3074" s="19"/>
      <c r="R3074" s="19"/>
      <c r="S3074" s="19"/>
      <c r="T3074" s="19"/>
      <c r="U3074" s="19"/>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row>
    <row r="3075" spans="1:45" x14ac:dyDescent="0.3">
      <c r="A3075" s="410" t="s">
        <v>4778</v>
      </c>
      <c r="B3075" s="17"/>
      <c r="C3075" s="19"/>
      <c r="D3075" s="18"/>
      <c r="E3075" s="18"/>
      <c r="F3075" s="19"/>
      <c r="G3075" s="31"/>
      <c r="H3075" s="31"/>
      <c r="I3075" s="19"/>
      <c r="J3075" s="19"/>
      <c r="K3075" s="21"/>
      <c r="L3075" s="22"/>
      <c r="M3075" s="19"/>
      <c r="N3075" s="20"/>
      <c r="O3075" s="19"/>
      <c r="P3075" s="19"/>
      <c r="Q3075" s="19"/>
      <c r="R3075" s="19"/>
      <c r="S3075" s="19"/>
      <c r="T3075" s="19"/>
      <c r="U3075" s="19"/>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19"/>
    </row>
    <row r="3076" spans="1:45" x14ac:dyDescent="0.3">
      <c r="A3076" s="410" t="s">
        <v>4779</v>
      </c>
      <c r="B3076" s="17"/>
      <c r="C3076" s="19"/>
      <c r="D3076" s="18"/>
      <c r="E3076" s="18"/>
      <c r="F3076" s="19"/>
      <c r="G3076" s="31"/>
      <c r="H3076" s="31"/>
      <c r="I3076" s="19"/>
      <c r="J3076" s="19"/>
      <c r="K3076" s="21"/>
      <c r="L3076" s="22"/>
      <c r="M3076" s="19"/>
      <c r="N3076" s="20"/>
      <c r="O3076" s="19"/>
      <c r="P3076" s="19"/>
      <c r="Q3076" s="19"/>
      <c r="R3076" s="19"/>
      <c r="S3076" s="19"/>
      <c r="T3076" s="19"/>
      <c r="U3076" s="19"/>
      <c r="V3076" s="19"/>
      <c r="W3076" s="19"/>
      <c r="X3076" s="19"/>
      <c r="Y3076" s="19"/>
      <c r="Z3076" s="19"/>
      <c r="AA3076" s="19"/>
      <c r="AB3076" s="19"/>
      <c r="AC3076" s="19"/>
      <c r="AD3076" s="19"/>
      <c r="AE3076" s="19"/>
      <c r="AF3076" s="19"/>
      <c r="AG3076" s="19"/>
      <c r="AH3076" s="19"/>
      <c r="AI3076" s="19"/>
      <c r="AJ3076" s="19"/>
      <c r="AK3076" s="19"/>
      <c r="AL3076" s="19"/>
      <c r="AM3076" s="19"/>
      <c r="AN3076" s="19"/>
      <c r="AO3076" s="19"/>
      <c r="AP3076" s="19"/>
      <c r="AQ3076" s="19"/>
      <c r="AR3076" s="19"/>
      <c r="AS3076" s="19"/>
    </row>
    <row r="3077" spans="1:45" x14ac:dyDescent="0.3">
      <c r="A3077" s="410" t="s">
        <v>4780</v>
      </c>
      <c r="B3077" s="17"/>
      <c r="C3077" s="19"/>
      <c r="D3077" s="18"/>
      <c r="E3077" s="18"/>
      <c r="F3077" s="19"/>
      <c r="G3077" s="31"/>
      <c r="H3077" s="31"/>
      <c r="I3077" s="19"/>
      <c r="J3077" s="19"/>
      <c r="K3077" s="21"/>
      <c r="L3077" s="22"/>
      <c r="M3077" s="19"/>
      <c r="N3077" s="20"/>
      <c r="O3077" s="19"/>
      <c r="P3077" s="19"/>
      <c r="Q3077" s="19"/>
      <c r="R3077" s="19"/>
      <c r="S3077" s="19"/>
      <c r="T3077" s="19"/>
      <c r="U3077" s="19"/>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row>
    <row r="3078" spans="1:45" x14ac:dyDescent="0.3">
      <c r="A3078" s="410" t="s">
        <v>4781</v>
      </c>
      <c r="B3078" s="17"/>
      <c r="C3078" s="19"/>
      <c r="D3078" s="18"/>
      <c r="E3078" s="18"/>
      <c r="F3078" s="19"/>
      <c r="G3078" s="31"/>
      <c r="H3078" s="31"/>
      <c r="I3078" s="19"/>
      <c r="J3078" s="19"/>
      <c r="K3078" s="21"/>
      <c r="L3078" s="22"/>
      <c r="M3078" s="19"/>
      <c r="N3078" s="20"/>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row>
    <row r="3079" spans="1:45" x14ac:dyDescent="0.3">
      <c r="A3079" s="410" t="s">
        <v>4782</v>
      </c>
      <c r="B3079" s="17"/>
      <c r="C3079" s="19"/>
      <c r="D3079" s="18"/>
      <c r="E3079" s="18"/>
      <c r="F3079" s="19"/>
      <c r="G3079" s="31"/>
      <c r="H3079" s="31"/>
      <c r="I3079" s="19"/>
      <c r="J3079" s="19"/>
      <c r="K3079" s="21"/>
      <c r="L3079" s="22"/>
      <c r="M3079" s="19"/>
      <c r="N3079" s="20"/>
      <c r="O3079" s="19"/>
      <c r="P3079" s="19"/>
      <c r="Q3079" s="19"/>
      <c r="R3079" s="19"/>
      <c r="S3079" s="19"/>
      <c r="T3079" s="19"/>
      <c r="U3079" s="19"/>
      <c r="V3079" s="19"/>
      <c r="W3079" s="19"/>
      <c r="X3079" s="19"/>
      <c r="Y3079" s="19"/>
      <c r="Z3079" s="19"/>
      <c r="AA3079" s="19"/>
      <c r="AB3079" s="19"/>
      <c r="AC3079" s="19"/>
      <c r="AD3079" s="19"/>
      <c r="AE3079" s="19"/>
      <c r="AF3079" s="19"/>
      <c r="AG3079" s="19"/>
      <c r="AH3079" s="19"/>
      <c r="AI3079" s="19"/>
      <c r="AJ3079" s="19"/>
      <c r="AK3079" s="19"/>
      <c r="AL3079" s="19"/>
      <c r="AM3079" s="19"/>
      <c r="AN3079" s="19"/>
      <c r="AO3079" s="19"/>
      <c r="AP3079" s="19"/>
      <c r="AQ3079" s="19"/>
      <c r="AR3079" s="19"/>
      <c r="AS3079" s="19"/>
    </row>
    <row r="3080" spans="1:45" x14ac:dyDescent="0.3">
      <c r="A3080" s="410" t="s">
        <v>4783</v>
      </c>
      <c r="B3080" s="17"/>
      <c r="C3080" s="19"/>
      <c r="D3080" s="18"/>
      <c r="E3080" s="18"/>
      <c r="F3080" s="19"/>
      <c r="G3080" s="31"/>
      <c r="H3080" s="31"/>
      <c r="I3080" s="19"/>
      <c r="J3080" s="19"/>
      <c r="K3080" s="21"/>
      <c r="L3080" s="22"/>
      <c r="M3080" s="19"/>
      <c r="N3080" s="20"/>
      <c r="O3080" s="19"/>
      <c r="P3080" s="19"/>
      <c r="Q3080" s="19"/>
      <c r="R3080" s="19"/>
      <c r="S3080" s="19"/>
      <c r="T3080" s="19"/>
      <c r="U3080" s="19"/>
      <c r="V3080" s="19"/>
      <c r="W3080" s="19"/>
      <c r="X3080" s="19"/>
      <c r="Y3080" s="19"/>
      <c r="Z3080" s="19"/>
      <c r="AA3080" s="19"/>
      <c r="AB3080" s="19"/>
      <c r="AC3080" s="19"/>
      <c r="AD3080" s="19"/>
      <c r="AE3080" s="19"/>
      <c r="AF3080" s="19"/>
      <c r="AG3080" s="19"/>
      <c r="AH3080" s="19"/>
      <c r="AI3080" s="19"/>
      <c r="AJ3080" s="19"/>
      <c r="AK3080" s="19"/>
      <c r="AL3080" s="19"/>
      <c r="AM3080" s="19"/>
      <c r="AN3080" s="19"/>
      <c r="AO3080" s="19"/>
      <c r="AP3080" s="19"/>
      <c r="AQ3080" s="19"/>
      <c r="AR3080" s="19"/>
      <c r="AS3080" s="19"/>
    </row>
    <row r="3081" spans="1:45" x14ac:dyDescent="0.3">
      <c r="A3081" s="410" t="s">
        <v>4784</v>
      </c>
      <c r="B3081" s="17"/>
      <c r="C3081" s="19"/>
      <c r="D3081" s="18"/>
      <c r="E3081" s="18"/>
      <c r="F3081" s="19"/>
      <c r="G3081" s="31"/>
      <c r="H3081" s="31"/>
      <c r="I3081" s="19"/>
      <c r="J3081" s="19"/>
      <c r="K3081" s="21"/>
      <c r="L3081" s="22"/>
      <c r="M3081" s="19"/>
      <c r="N3081" s="20"/>
      <c r="O3081" s="19"/>
      <c r="P3081" s="19"/>
      <c r="Q3081" s="19"/>
      <c r="R3081" s="19"/>
      <c r="S3081" s="19"/>
      <c r="T3081" s="19"/>
      <c r="U3081" s="19"/>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19"/>
    </row>
    <row r="3082" spans="1:45" x14ac:dyDescent="0.3">
      <c r="A3082" s="410" t="s">
        <v>4785</v>
      </c>
      <c r="B3082" s="17"/>
      <c r="C3082" s="19"/>
      <c r="D3082" s="18"/>
      <c r="E3082" s="18"/>
      <c r="F3082" s="19"/>
      <c r="G3082" s="31"/>
      <c r="H3082" s="31"/>
      <c r="I3082" s="19"/>
      <c r="J3082" s="19"/>
      <c r="K3082" s="21"/>
      <c r="L3082" s="22"/>
      <c r="M3082" s="19"/>
      <c r="N3082" s="20"/>
      <c r="O3082" s="19"/>
      <c r="P3082" s="19"/>
      <c r="Q3082" s="19"/>
      <c r="R3082" s="19"/>
      <c r="S3082" s="19"/>
      <c r="T3082" s="19"/>
      <c r="U3082" s="19"/>
      <c r="V3082" s="19"/>
      <c r="W3082" s="19"/>
      <c r="X3082" s="19"/>
      <c r="Y3082" s="19"/>
      <c r="Z3082" s="19"/>
      <c r="AA3082" s="19"/>
      <c r="AB3082" s="19"/>
      <c r="AC3082" s="19"/>
      <c r="AD3082" s="19"/>
      <c r="AE3082" s="19"/>
      <c r="AF3082" s="19"/>
      <c r="AG3082" s="19"/>
      <c r="AH3082" s="19"/>
      <c r="AI3082" s="19"/>
      <c r="AJ3082" s="19"/>
      <c r="AK3082" s="19"/>
      <c r="AL3082" s="19"/>
      <c r="AM3082" s="19"/>
      <c r="AN3082" s="19"/>
      <c r="AO3082" s="19"/>
      <c r="AP3082" s="19"/>
      <c r="AQ3082" s="19"/>
      <c r="AR3082" s="19"/>
      <c r="AS3082" s="19"/>
    </row>
    <row r="3083" spans="1:45" x14ac:dyDescent="0.3">
      <c r="A3083" s="410" t="s">
        <v>4786</v>
      </c>
      <c r="B3083" s="17"/>
      <c r="C3083" s="19"/>
      <c r="D3083" s="18"/>
      <c r="E3083" s="18"/>
      <c r="F3083" s="19"/>
      <c r="G3083" s="31"/>
      <c r="H3083" s="31"/>
      <c r="I3083" s="19"/>
      <c r="J3083" s="19"/>
      <c r="K3083" s="21"/>
      <c r="L3083" s="22"/>
      <c r="M3083" s="19"/>
      <c r="N3083" s="20"/>
      <c r="O3083" s="19"/>
      <c r="P3083" s="19"/>
      <c r="Q3083" s="19"/>
      <c r="R3083" s="19"/>
      <c r="S3083" s="19"/>
      <c r="T3083" s="19"/>
      <c r="U3083" s="19"/>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19"/>
    </row>
    <row r="3084" spans="1:45" x14ac:dyDescent="0.3">
      <c r="A3084" s="410" t="s">
        <v>4787</v>
      </c>
      <c r="B3084" s="17"/>
      <c r="C3084" s="19"/>
      <c r="D3084" s="18"/>
      <c r="E3084" s="18"/>
      <c r="F3084" s="19"/>
      <c r="G3084" s="31"/>
      <c r="H3084" s="31"/>
      <c r="I3084" s="19"/>
      <c r="J3084" s="19"/>
      <c r="K3084" s="21"/>
      <c r="L3084" s="22"/>
      <c r="M3084" s="19"/>
      <c r="N3084" s="20"/>
      <c r="O3084" s="19"/>
      <c r="P3084" s="19"/>
      <c r="Q3084" s="19"/>
      <c r="R3084" s="19"/>
      <c r="S3084" s="19"/>
      <c r="T3084" s="19"/>
      <c r="U3084" s="19"/>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19"/>
    </row>
    <row r="3085" spans="1:45" x14ac:dyDescent="0.3">
      <c r="A3085" s="410" t="s">
        <v>4788</v>
      </c>
      <c r="B3085" s="17"/>
      <c r="C3085" s="19"/>
      <c r="D3085" s="18"/>
      <c r="E3085" s="18"/>
      <c r="F3085" s="19"/>
      <c r="G3085" s="31"/>
      <c r="H3085" s="31"/>
      <c r="I3085" s="19"/>
      <c r="J3085" s="19"/>
      <c r="K3085" s="21"/>
      <c r="L3085" s="22"/>
      <c r="M3085" s="19"/>
      <c r="N3085" s="20"/>
      <c r="O3085" s="19"/>
      <c r="P3085" s="19"/>
      <c r="Q3085" s="19"/>
      <c r="R3085" s="19"/>
      <c r="S3085" s="19"/>
      <c r="T3085" s="19"/>
      <c r="U3085" s="19"/>
      <c r="V3085" s="19"/>
      <c r="W3085" s="19"/>
      <c r="X3085" s="19"/>
      <c r="Y3085" s="19"/>
      <c r="Z3085" s="19"/>
      <c r="AA3085" s="19"/>
      <c r="AB3085" s="19"/>
      <c r="AC3085" s="19"/>
      <c r="AD3085" s="19"/>
      <c r="AE3085" s="19"/>
      <c r="AF3085" s="19"/>
      <c r="AG3085" s="19"/>
      <c r="AH3085" s="19"/>
      <c r="AI3085" s="19"/>
      <c r="AJ3085" s="19"/>
      <c r="AK3085" s="19"/>
      <c r="AL3085" s="19"/>
      <c r="AM3085" s="19"/>
      <c r="AN3085" s="19"/>
      <c r="AO3085" s="19"/>
      <c r="AP3085" s="19"/>
      <c r="AQ3085" s="19"/>
      <c r="AR3085" s="19"/>
      <c r="AS3085" s="19"/>
    </row>
    <row r="3086" spans="1:45" x14ac:dyDescent="0.3">
      <c r="A3086" s="410" t="s">
        <v>4789</v>
      </c>
      <c r="B3086" s="17"/>
      <c r="C3086" s="19"/>
      <c r="D3086" s="18"/>
      <c r="E3086" s="18"/>
      <c r="F3086" s="19"/>
      <c r="G3086" s="31"/>
      <c r="H3086" s="31"/>
      <c r="I3086" s="19"/>
      <c r="J3086" s="19"/>
      <c r="K3086" s="21"/>
      <c r="L3086" s="22"/>
      <c r="M3086" s="19"/>
      <c r="N3086" s="20"/>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row>
    <row r="3087" spans="1:45" x14ac:dyDescent="0.3">
      <c r="A3087" s="410" t="s">
        <v>4790</v>
      </c>
      <c r="B3087" s="17"/>
      <c r="C3087" s="19"/>
      <c r="D3087" s="18"/>
      <c r="E3087" s="18"/>
      <c r="F3087" s="19"/>
      <c r="G3087" s="31"/>
      <c r="H3087" s="31"/>
      <c r="I3087" s="19"/>
      <c r="J3087" s="19"/>
      <c r="K3087" s="21"/>
      <c r="L3087" s="22"/>
      <c r="M3087" s="19"/>
      <c r="N3087" s="20"/>
      <c r="O3087" s="19"/>
      <c r="P3087" s="19"/>
      <c r="Q3087" s="19"/>
      <c r="R3087" s="19"/>
      <c r="S3087" s="19"/>
      <c r="T3087" s="19"/>
      <c r="U3087" s="19"/>
      <c r="V3087" s="19"/>
      <c r="W3087" s="19"/>
      <c r="X3087" s="19"/>
      <c r="Y3087" s="19"/>
      <c r="Z3087" s="19"/>
      <c r="AA3087" s="19"/>
      <c r="AB3087" s="19"/>
      <c r="AC3087" s="19"/>
      <c r="AD3087" s="19"/>
      <c r="AE3087" s="19"/>
      <c r="AF3087" s="19"/>
      <c r="AG3087" s="19"/>
      <c r="AH3087" s="19"/>
      <c r="AI3087" s="19"/>
      <c r="AJ3087" s="19"/>
      <c r="AK3087" s="19"/>
      <c r="AL3087" s="19"/>
      <c r="AM3087" s="19"/>
      <c r="AN3087" s="19"/>
      <c r="AO3087" s="19"/>
      <c r="AP3087" s="19"/>
      <c r="AQ3087" s="19"/>
      <c r="AR3087" s="19"/>
      <c r="AS3087" s="19"/>
    </row>
    <row r="3088" spans="1:45" x14ac:dyDescent="0.3">
      <c r="A3088" s="410" t="s">
        <v>4791</v>
      </c>
      <c r="B3088" s="17"/>
      <c r="C3088" s="19"/>
      <c r="D3088" s="18"/>
      <c r="E3088" s="18"/>
      <c r="F3088" s="19"/>
      <c r="G3088" s="31"/>
      <c r="H3088" s="31"/>
      <c r="I3088" s="19"/>
      <c r="J3088" s="19"/>
      <c r="K3088" s="21"/>
      <c r="L3088" s="22"/>
      <c r="M3088" s="19"/>
      <c r="N3088" s="20"/>
      <c r="O3088" s="19"/>
      <c r="P3088" s="19"/>
      <c r="Q3088" s="19"/>
      <c r="R3088" s="19"/>
      <c r="S3088" s="19"/>
      <c r="T3088" s="19"/>
      <c r="U3088" s="19"/>
      <c r="V3088" s="19"/>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19"/>
    </row>
    <row r="3089" spans="1:45" x14ac:dyDescent="0.3">
      <c r="A3089" s="410"/>
      <c r="B3089" s="17"/>
      <c r="C3089" s="19"/>
      <c r="D3089" s="18"/>
      <c r="E3089" s="18"/>
      <c r="F3089" s="19"/>
      <c r="G3089" s="31"/>
      <c r="H3089" s="31"/>
      <c r="I3089" s="19"/>
      <c r="J3089" s="19"/>
      <c r="K3089" s="21"/>
      <c r="L3089" s="22"/>
      <c r="M3089" s="19"/>
      <c r="N3089" s="20"/>
      <c r="O3089" s="19"/>
      <c r="P3089" s="19"/>
      <c r="Q3089" s="19"/>
      <c r="R3089" s="19"/>
      <c r="S3089" s="19"/>
      <c r="T3089" s="19"/>
      <c r="U3089" s="19"/>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row>
    <row r="3090" spans="1:45" x14ac:dyDescent="0.3">
      <c r="A3090" s="410" t="s">
        <v>4792</v>
      </c>
      <c r="B3090" s="17"/>
      <c r="C3090" s="19"/>
      <c r="D3090" s="18"/>
      <c r="E3090" s="18"/>
      <c r="F3090" s="19"/>
      <c r="G3090" s="31"/>
      <c r="H3090" s="31"/>
      <c r="I3090" s="19"/>
      <c r="J3090" s="19"/>
      <c r="K3090" s="21"/>
      <c r="L3090" s="22"/>
      <c r="M3090" s="19"/>
      <c r="N3090" s="20"/>
      <c r="O3090" s="19"/>
      <c r="P3090" s="19"/>
      <c r="Q3090" s="19"/>
      <c r="R3090" s="19"/>
      <c r="S3090" s="19"/>
      <c r="T3090" s="19"/>
      <c r="U3090" s="19"/>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19"/>
    </row>
    <row r="3091" spans="1:45" x14ac:dyDescent="0.3">
      <c r="A3091" s="410" t="s">
        <v>4793</v>
      </c>
      <c r="B3091" s="17"/>
      <c r="C3091" s="19"/>
      <c r="D3091" s="18"/>
      <c r="E3091" s="18"/>
      <c r="F3091" s="19"/>
      <c r="G3091" s="31"/>
      <c r="H3091" s="31"/>
      <c r="I3091" s="19"/>
      <c r="J3091" s="19"/>
      <c r="K3091" s="21"/>
      <c r="L3091" s="22"/>
      <c r="M3091" s="19"/>
      <c r="N3091" s="20"/>
      <c r="O3091" s="19"/>
      <c r="P3091" s="19"/>
      <c r="Q3091" s="19"/>
      <c r="R3091" s="19"/>
      <c r="S3091" s="19"/>
      <c r="T3091" s="19"/>
      <c r="U3091" s="19"/>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row>
    <row r="3092" spans="1:45" x14ac:dyDescent="0.3">
      <c r="A3092" s="410" t="s">
        <v>4794</v>
      </c>
      <c r="B3092" s="17"/>
      <c r="C3092" s="19"/>
      <c r="D3092" s="18"/>
      <c r="E3092" s="18"/>
      <c r="F3092" s="19"/>
      <c r="G3092" s="31"/>
      <c r="H3092" s="31"/>
      <c r="I3092" s="19"/>
      <c r="J3092" s="19"/>
      <c r="K3092" s="21"/>
      <c r="L3092" s="22"/>
      <c r="M3092" s="19"/>
      <c r="N3092" s="20"/>
      <c r="O3092" s="19"/>
      <c r="P3092" s="19"/>
      <c r="Q3092" s="19"/>
      <c r="R3092" s="19"/>
      <c r="S3092" s="19"/>
      <c r="T3092" s="19"/>
      <c r="U3092" s="19"/>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row>
    <row r="3093" spans="1:45" x14ac:dyDescent="0.3">
      <c r="A3093" s="410" t="s">
        <v>4795</v>
      </c>
      <c r="B3093" s="17"/>
      <c r="C3093" s="19"/>
      <c r="D3093" s="18"/>
      <c r="E3093" s="18"/>
      <c r="F3093" s="19"/>
      <c r="G3093" s="31"/>
      <c r="H3093" s="31"/>
      <c r="I3093" s="19"/>
      <c r="J3093" s="19"/>
      <c r="K3093" s="21"/>
      <c r="L3093" s="22"/>
      <c r="M3093" s="19"/>
      <c r="N3093" s="20"/>
      <c r="O3093" s="19"/>
      <c r="P3093" s="19"/>
      <c r="Q3093" s="19"/>
      <c r="R3093" s="19"/>
      <c r="S3093" s="19"/>
      <c r="T3093" s="19"/>
      <c r="U3093" s="19"/>
      <c r="V3093" s="19"/>
      <c r="W3093" s="19"/>
      <c r="X3093" s="19"/>
      <c r="Y3093" s="19"/>
      <c r="Z3093" s="19"/>
      <c r="AA3093" s="19"/>
      <c r="AB3093" s="19"/>
      <c r="AC3093" s="19"/>
      <c r="AD3093" s="19"/>
      <c r="AE3093" s="19"/>
      <c r="AF3093" s="19"/>
      <c r="AG3093" s="19"/>
      <c r="AH3093" s="19"/>
      <c r="AI3093" s="19"/>
      <c r="AJ3093" s="19"/>
      <c r="AK3093" s="19"/>
      <c r="AL3093" s="19"/>
      <c r="AM3093" s="19"/>
      <c r="AN3093" s="19"/>
      <c r="AO3093" s="19"/>
      <c r="AP3093" s="19"/>
      <c r="AQ3093" s="19"/>
      <c r="AR3093" s="19"/>
      <c r="AS3093" s="19"/>
    </row>
    <row r="3094" spans="1:45" x14ac:dyDescent="0.3">
      <c r="A3094" s="410" t="s">
        <v>4796</v>
      </c>
      <c r="B3094" s="17"/>
      <c r="C3094" s="19"/>
      <c r="D3094" s="18"/>
      <c r="E3094" s="18"/>
      <c r="F3094" s="19"/>
      <c r="G3094" s="31"/>
      <c r="H3094" s="31"/>
      <c r="I3094" s="19"/>
      <c r="J3094" s="19"/>
      <c r="K3094" s="21"/>
      <c r="L3094" s="22"/>
      <c r="M3094" s="19"/>
      <c r="N3094" s="20"/>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row>
    <row r="3095" spans="1:45" x14ac:dyDescent="0.3">
      <c r="A3095" s="410" t="s">
        <v>4797</v>
      </c>
      <c r="B3095" s="17"/>
      <c r="C3095" s="19"/>
      <c r="D3095" s="18"/>
      <c r="E3095" s="18"/>
      <c r="F3095" s="19"/>
      <c r="G3095" s="31"/>
      <c r="H3095" s="31"/>
      <c r="I3095" s="19"/>
      <c r="J3095" s="19"/>
      <c r="K3095" s="21"/>
      <c r="L3095" s="22"/>
      <c r="M3095" s="19"/>
      <c r="N3095" s="20"/>
      <c r="O3095" s="19"/>
      <c r="P3095" s="19"/>
      <c r="Q3095" s="19"/>
      <c r="R3095" s="19"/>
      <c r="S3095" s="19"/>
      <c r="T3095" s="19"/>
      <c r="U3095" s="19"/>
      <c r="V3095" s="19"/>
      <c r="W3095" s="19"/>
      <c r="X3095" s="19"/>
      <c r="Y3095" s="19"/>
      <c r="Z3095" s="19"/>
      <c r="AA3095" s="19"/>
      <c r="AB3095" s="19"/>
      <c r="AC3095" s="19"/>
      <c r="AD3095" s="19"/>
      <c r="AE3095" s="19"/>
      <c r="AF3095" s="19"/>
      <c r="AG3095" s="19"/>
      <c r="AH3095" s="19"/>
      <c r="AI3095" s="19"/>
      <c r="AJ3095" s="19"/>
      <c r="AK3095" s="19"/>
      <c r="AL3095" s="19"/>
      <c r="AM3095" s="19"/>
      <c r="AN3095" s="19"/>
      <c r="AO3095" s="19"/>
      <c r="AP3095" s="19"/>
      <c r="AQ3095" s="19"/>
      <c r="AR3095" s="19"/>
      <c r="AS3095" s="19"/>
    </row>
    <row r="3096" spans="1:45" x14ac:dyDescent="0.3">
      <c r="A3096" s="410" t="s">
        <v>4798</v>
      </c>
      <c r="B3096" s="17"/>
      <c r="C3096" s="19"/>
      <c r="D3096" s="18"/>
      <c r="E3096" s="18"/>
      <c r="F3096" s="19"/>
      <c r="G3096" s="31"/>
      <c r="H3096" s="31"/>
      <c r="I3096" s="19"/>
      <c r="J3096" s="19"/>
      <c r="K3096" s="21"/>
      <c r="L3096" s="22"/>
      <c r="M3096" s="19"/>
      <c r="N3096" s="20"/>
      <c r="O3096" s="19"/>
      <c r="P3096" s="19"/>
      <c r="Q3096" s="19"/>
      <c r="R3096" s="19"/>
      <c r="S3096" s="19"/>
      <c r="T3096" s="19"/>
      <c r="U3096" s="19"/>
      <c r="V3096" s="19"/>
      <c r="W3096" s="19"/>
      <c r="X3096" s="19"/>
      <c r="Y3096" s="19"/>
      <c r="Z3096" s="19"/>
      <c r="AA3096" s="19"/>
      <c r="AB3096" s="19"/>
      <c r="AC3096" s="19"/>
      <c r="AD3096" s="19"/>
      <c r="AE3096" s="19"/>
      <c r="AF3096" s="19"/>
      <c r="AG3096" s="19"/>
      <c r="AH3096" s="19"/>
      <c r="AI3096" s="19"/>
      <c r="AJ3096" s="19"/>
      <c r="AK3096" s="19"/>
      <c r="AL3096" s="19"/>
      <c r="AM3096" s="19"/>
      <c r="AN3096" s="19"/>
      <c r="AO3096" s="19"/>
      <c r="AP3096" s="19"/>
      <c r="AQ3096" s="19"/>
      <c r="AR3096" s="19"/>
      <c r="AS3096" s="19"/>
    </row>
    <row r="3097" spans="1:45" x14ac:dyDescent="0.3">
      <c r="A3097" s="410" t="s">
        <v>4799</v>
      </c>
      <c r="B3097" s="17"/>
      <c r="C3097" s="19"/>
      <c r="D3097" s="18"/>
      <c r="E3097" s="18"/>
      <c r="F3097" s="19"/>
      <c r="G3097" s="31"/>
      <c r="H3097" s="31"/>
      <c r="I3097" s="19"/>
      <c r="J3097" s="19"/>
      <c r="K3097" s="21"/>
      <c r="L3097" s="22"/>
      <c r="M3097" s="19"/>
      <c r="N3097" s="20"/>
      <c r="O3097" s="19"/>
      <c r="P3097" s="19"/>
      <c r="Q3097" s="19"/>
      <c r="R3097" s="19"/>
      <c r="S3097" s="19"/>
      <c r="T3097" s="19"/>
      <c r="U3097" s="19"/>
      <c r="V3097" s="19"/>
      <c r="W3097" s="19"/>
      <c r="X3097" s="19"/>
      <c r="Y3097" s="19"/>
      <c r="Z3097" s="19"/>
      <c r="AA3097" s="19"/>
      <c r="AB3097" s="19"/>
      <c r="AC3097" s="19"/>
      <c r="AD3097" s="19"/>
      <c r="AE3097" s="19"/>
      <c r="AF3097" s="19"/>
      <c r="AG3097" s="19"/>
      <c r="AH3097" s="19"/>
      <c r="AI3097" s="19"/>
      <c r="AJ3097" s="19"/>
      <c r="AK3097" s="19"/>
      <c r="AL3097" s="19"/>
      <c r="AM3097" s="19"/>
      <c r="AN3097" s="19"/>
      <c r="AO3097" s="19"/>
      <c r="AP3097" s="19"/>
      <c r="AQ3097" s="19"/>
      <c r="AR3097" s="19"/>
      <c r="AS3097" s="19"/>
    </row>
    <row r="3098" spans="1:45" x14ac:dyDescent="0.3">
      <c r="A3098" s="410" t="s">
        <v>4800</v>
      </c>
      <c r="B3098" s="17"/>
      <c r="C3098" s="19"/>
      <c r="D3098" s="18"/>
      <c r="E3098" s="18"/>
      <c r="F3098" s="19"/>
      <c r="G3098" s="31"/>
      <c r="H3098" s="31"/>
      <c r="I3098" s="19"/>
      <c r="J3098" s="19"/>
      <c r="K3098" s="21"/>
      <c r="L3098" s="22"/>
      <c r="M3098" s="19"/>
      <c r="N3098" s="20"/>
      <c r="O3098" s="19"/>
      <c r="P3098" s="19"/>
      <c r="Q3098" s="19"/>
      <c r="R3098" s="19"/>
      <c r="S3098" s="19"/>
      <c r="T3098" s="19"/>
      <c r="U3098" s="19"/>
      <c r="V3098" s="19"/>
      <c r="W3098" s="19"/>
      <c r="X3098" s="19"/>
      <c r="Y3098" s="19"/>
      <c r="Z3098" s="19"/>
      <c r="AA3098" s="19"/>
      <c r="AB3098" s="19"/>
      <c r="AC3098" s="19"/>
      <c r="AD3098" s="19"/>
      <c r="AE3098" s="19"/>
      <c r="AF3098" s="19"/>
      <c r="AG3098" s="19"/>
      <c r="AH3098" s="19"/>
      <c r="AI3098" s="19"/>
      <c r="AJ3098" s="19"/>
      <c r="AK3098" s="19"/>
      <c r="AL3098" s="19"/>
      <c r="AM3098" s="19"/>
      <c r="AN3098" s="19"/>
      <c r="AO3098" s="19"/>
      <c r="AP3098" s="19"/>
      <c r="AQ3098" s="19"/>
      <c r="AR3098" s="19"/>
      <c r="AS3098" s="19"/>
    </row>
    <row r="3099" spans="1:45" x14ac:dyDescent="0.3">
      <c r="A3099" s="410" t="s">
        <v>4801</v>
      </c>
      <c r="B3099" s="17"/>
      <c r="C3099" s="19"/>
      <c r="D3099" s="18"/>
      <c r="E3099" s="18"/>
      <c r="F3099" s="19"/>
      <c r="G3099" s="31"/>
      <c r="H3099" s="31"/>
      <c r="I3099" s="19"/>
      <c r="J3099" s="19"/>
      <c r="K3099" s="21"/>
      <c r="L3099" s="22"/>
      <c r="M3099" s="19"/>
      <c r="N3099" s="20"/>
      <c r="O3099" s="19"/>
      <c r="P3099" s="19"/>
      <c r="Q3099" s="19"/>
      <c r="R3099" s="19"/>
      <c r="S3099" s="19"/>
      <c r="T3099" s="19"/>
      <c r="U3099" s="19"/>
      <c r="V3099" s="19"/>
      <c r="W3099" s="19"/>
      <c r="X3099" s="19"/>
      <c r="Y3099" s="19"/>
      <c r="Z3099" s="19"/>
      <c r="AA3099" s="19"/>
      <c r="AB3099" s="19"/>
      <c r="AC3099" s="19"/>
      <c r="AD3099" s="19"/>
      <c r="AE3099" s="19"/>
      <c r="AF3099" s="19"/>
      <c r="AG3099" s="19"/>
      <c r="AH3099" s="19"/>
      <c r="AI3099" s="19"/>
      <c r="AJ3099" s="19"/>
      <c r="AK3099" s="19"/>
      <c r="AL3099" s="19"/>
      <c r="AM3099" s="19"/>
      <c r="AN3099" s="19"/>
      <c r="AO3099" s="19"/>
      <c r="AP3099" s="19"/>
      <c r="AQ3099" s="19"/>
      <c r="AR3099" s="19"/>
      <c r="AS3099" s="19"/>
    </row>
    <row r="3100" spans="1:45" x14ac:dyDescent="0.3">
      <c r="A3100" s="410" t="s">
        <v>4802</v>
      </c>
      <c r="B3100" s="17"/>
      <c r="C3100" s="19"/>
      <c r="D3100" s="18"/>
      <c r="E3100" s="18"/>
      <c r="F3100" s="19"/>
      <c r="G3100" s="31"/>
      <c r="H3100" s="31"/>
      <c r="I3100" s="19"/>
      <c r="J3100" s="19"/>
      <c r="K3100" s="21"/>
      <c r="L3100" s="22"/>
      <c r="M3100" s="19"/>
      <c r="N3100" s="20"/>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row>
    <row r="3101" spans="1:45" x14ac:dyDescent="0.3">
      <c r="A3101" s="410" t="s">
        <v>4803</v>
      </c>
      <c r="B3101" s="17"/>
      <c r="C3101" s="19"/>
      <c r="D3101" s="18"/>
      <c r="E3101" s="18"/>
      <c r="F3101" s="19"/>
      <c r="G3101" s="31"/>
      <c r="H3101" s="31"/>
      <c r="I3101" s="19"/>
      <c r="J3101" s="19"/>
      <c r="K3101" s="21"/>
      <c r="L3101" s="22"/>
      <c r="M3101" s="19"/>
      <c r="N3101" s="20"/>
      <c r="O3101" s="19"/>
      <c r="P3101" s="19"/>
      <c r="Q3101" s="19"/>
      <c r="R3101" s="19"/>
      <c r="S3101" s="19"/>
      <c r="T3101" s="19"/>
      <c r="U3101" s="19"/>
      <c r="V3101" s="19"/>
      <c r="W3101" s="19"/>
      <c r="X3101" s="19"/>
      <c r="Y3101" s="19"/>
      <c r="Z3101" s="19"/>
      <c r="AA3101" s="19"/>
      <c r="AB3101" s="19"/>
      <c r="AC3101" s="19"/>
      <c r="AD3101" s="19"/>
      <c r="AE3101" s="19"/>
      <c r="AF3101" s="19"/>
      <c r="AG3101" s="19"/>
      <c r="AH3101" s="19"/>
      <c r="AI3101" s="19"/>
      <c r="AJ3101" s="19"/>
      <c r="AK3101" s="19"/>
      <c r="AL3101" s="19"/>
      <c r="AM3101" s="19"/>
      <c r="AN3101" s="19"/>
      <c r="AO3101" s="19"/>
      <c r="AP3101" s="19"/>
      <c r="AQ3101" s="19"/>
      <c r="AR3101" s="19"/>
      <c r="AS3101" s="19"/>
    </row>
    <row r="3102" spans="1:45" x14ac:dyDescent="0.3">
      <c r="A3102" s="410" t="s">
        <v>4804</v>
      </c>
      <c r="B3102" s="17"/>
      <c r="C3102" s="19"/>
      <c r="D3102" s="18"/>
      <c r="E3102" s="18"/>
      <c r="F3102" s="19"/>
      <c r="G3102" s="31"/>
      <c r="H3102" s="31"/>
      <c r="I3102" s="19"/>
      <c r="J3102" s="19"/>
      <c r="K3102" s="21"/>
      <c r="L3102" s="22"/>
      <c r="M3102" s="19"/>
      <c r="N3102" s="20"/>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row>
    <row r="3103" spans="1:45" x14ac:dyDescent="0.3">
      <c r="A3103" s="410" t="s">
        <v>4805</v>
      </c>
      <c r="B3103" s="17"/>
      <c r="C3103" s="19"/>
      <c r="D3103" s="18"/>
      <c r="E3103" s="18"/>
      <c r="F3103" s="19"/>
      <c r="G3103" s="31"/>
      <c r="H3103" s="31"/>
      <c r="I3103" s="19"/>
      <c r="J3103" s="19"/>
      <c r="K3103" s="21"/>
      <c r="L3103" s="22"/>
      <c r="M3103" s="19"/>
      <c r="N3103" s="20"/>
      <c r="O3103" s="19"/>
      <c r="P3103" s="19"/>
      <c r="Q3103" s="19"/>
      <c r="R3103" s="19"/>
      <c r="S3103" s="19"/>
      <c r="T3103" s="19"/>
      <c r="U3103" s="19"/>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row>
    <row r="3104" spans="1:45" x14ac:dyDescent="0.3">
      <c r="A3104" s="410" t="s">
        <v>4806</v>
      </c>
      <c r="B3104" s="17"/>
      <c r="C3104" s="19"/>
      <c r="D3104" s="18"/>
      <c r="E3104" s="18"/>
      <c r="F3104" s="19"/>
      <c r="G3104" s="31"/>
      <c r="H3104" s="31"/>
      <c r="I3104" s="19"/>
      <c r="J3104" s="19"/>
      <c r="K3104" s="21"/>
      <c r="L3104" s="22"/>
      <c r="M3104" s="19"/>
      <c r="N3104" s="20"/>
      <c r="O3104" s="19"/>
      <c r="P3104" s="19"/>
      <c r="Q3104" s="19"/>
      <c r="R3104" s="19"/>
      <c r="S3104" s="19"/>
      <c r="T3104" s="19"/>
      <c r="U3104" s="19"/>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19"/>
    </row>
    <row r="3105" spans="1:45" x14ac:dyDescent="0.3">
      <c r="A3105" s="410" t="s">
        <v>4807</v>
      </c>
      <c r="B3105" s="17"/>
      <c r="C3105" s="19"/>
      <c r="D3105" s="18"/>
      <c r="E3105" s="18"/>
      <c r="F3105" s="19"/>
      <c r="G3105" s="31"/>
      <c r="H3105" s="31"/>
      <c r="I3105" s="19"/>
      <c r="J3105" s="19"/>
      <c r="K3105" s="21"/>
      <c r="L3105" s="22"/>
      <c r="M3105" s="19"/>
      <c r="N3105" s="20"/>
      <c r="O3105" s="19"/>
      <c r="P3105" s="19"/>
      <c r="Q3105" s="19"/>
      <c r="R3105" s="19"/>
      <c r="S3105" s="19"/>
      <c r="T3105" s="19"/>
      <c r="U3105" s="19"/>
      <c r="V3105" s="19"/>
      <c r="W3105" s="19"/>
      <c r="X3105" s="19"/>
      <c r="Y3105" s="19"/>
      <c r="Z3105" s="19"/>
      <c r="AA3105" s="19"/>
      <c r="AB3105" s="19"/>
      <c r="AC3105" s="19"/>
      <c r="AD3105" s="19"/>
      <c r="AE3105" s="19"/>
      <c r="AF3105" s="19"/>
      <c r="AG3105" s="19"/>
      <c r="AH3105" s="19"/>
      <c r="AI3105" s="19"/>
      <c r="AJ3105" s="19"/>
      <c r="AK3105" s="19"/>
      <c r="AL3105" s="19"/>
      <c r="AM3105" s="19"/>
      <c r="AN3105" s="19"/>
      <c r="AO3105" s="19"/>
      <c r="AP3105" s="19"/>
      <c r="AQ3105" s="19"/>
      <c r="AR3105" s="19"/>
      <c r="AS3105" s="19"/>
    </row>
    <row r="3106" spans="1:45" x14ac:dyDescent="0.3">
      <c r="A3106" s="410" t="s">
        <v>4808</v>
      </c>
      <c r="B3106" s="17"/>
      <c r="C3106" s="19"/>
      <c r="D3106" s="18"/>
      <c r="E3106" s="18"/>
      <c r="F3106" s="19"/>
      <c r="G3106" s="31"/>
      <c r="H3106" s="31"/>
      <c r="I3106" s="19"/>
      <c r="J3106" s="19"/>
      <c r="K3106" s="21"/>
      <c r="L3106" s="22"/>
      <c r="M3106" s="19"/>
      <c r="N3106" s="20"/>
      <c r="O3106" s="19"/>
      <c r="P3106" s="19"/>
      <c r="Q3106" s="19"/>
      <c r="R3106" s="19"/>
      <c r="S3106" s="19"/>
      <c r="T3106" s="19"/>
      <c r="U3106" s="19"/>
      <c r="V3106" s="19"/>
      <c r="W3106" s="19"/>
      <c r="X3106" s="19"/>
      <c r="Y3106" s="19"/>
      <c r="Z3106" s="19"/>
      <c r="AA3106" s="19"/>
      <c r="AB3106" s="19"/>
      <c r="AC3106" s="19"/>
      <c r="AD3106" s="19"/>
      <c r="AE3106" s="19"/>
      <c r="AF3106" s="19"/>
      <c r="AG3106" s="19"/>
      <c r="AH3106" s="19"/>
      <c r="AI3106" s="19"/>
      <c r="AJ3106" s="19"/>
      <c r="AK3106" s="19"/>
      <c r="AL3106" s="19"/>
      <c r="AM3106" s="19"/>
      <c r="AN3106" s="19"/>
      <c r="AO3106" s="19"/>
      <c r="AP3106" s="19"/>
      <c r="AQ3106" s="19"/>
      <c r="AR3106" s="19"/>
      <c r="AS3106" s="19"/>
    </row>
    <row r="3107" spans="1:45" x14ac:dyDescent="0.3">
      <c r="A3107" s="410" t="s">
        <v>4809</v>
      </c>
      <c r="B3107" s="17"/>
      <c r="C3107" s="19"/>
      <c r="D3107" s="18"/>
      <c r="E3107" s="18"/>
      <c r="F3107" s="19"/>
      <c r="G3107" s="31"/>
      <c r="H3107" s="31"/>
      <c r="I3107" s="19"/>
      <c r="J3107" s="19"/>
      <c r="K3107" s="21"/>
      <c r="L3107" s="22"/>
      <c r="M3107" s="19"/>
      <c r="N3107" s="20"/>
      <c r="O3107" s="19"/>
      <c r="P3107" s="19"/>
      <c r="Q3107" s="19"/>
      <c r="R3107" s="19"/>
      <c r="S3107" s="19"/>
      <c r="T3107" s="19"/>
      <c r="U3107" s="19"/>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row>
    <row r="3108" spans="1:45" x14ac:dyDescent="0.3">
      <c r="A3108" s="410" t="s">
        <v>4810</v>
      </c>
      <c r="B3108" s="17"/>
      <c r="C3108" s="19"/>
      <c r="D3108" s="18"/>
      <c r="E3108" s="18"/>
      <c r="F3108" s="19"/>
      <c r="G3108" s="31"/>
      <c r="H3108" s="31"/>
      <c r="I3108" s="19"/>
      <c r="J3108" s="19"/>
      <c r="K3108" s="21"/>
      <c r="L3108" s="22"/>
      <c r="M3108" s="19"/>
      <c r="N3108" s="20"/>
      <c r="O3108" s="19"/>
      <c r="P3108" s="19"/>
      <c r="Q3108" s="19"/>
      <c r="R3108" s="19"/>
      <c r="S3108" s="19"/>
      <c r="T3108" s="19"/>
      <c r="U3108" s="19"/>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19"/>
    </row>
    <row r="3109" spans="1:45" x14ac:dyDescent="0.3">
      <c r="A3109" s="410" t="s">
        <v>4811</v>
      </c>
      <c r="B3109" s="17"/>
      <c r="C3109" s="19"/>
      <c r="D3109" s="18"/>
      <c r="E3109" s="18"/>
      <c r="F3109" s="19"/>
      <c r="G3109" s="31"/>
      <c r="H3109" s="31"/>
      <c r="I3109" s="19"/>
      <c r="J3109" s="19"/>
      <c r="K3109" s="21"/>
      <c r="L3109" s="22"/>
      <c r="M3109" s="19"/>
      <c r="N3109" s="20"/>
      <c r="O3109" s="19"/>
      <c r="P3109" s="19"/>
      <c r="Q3109" s="19"/>
      <c r="R3109" s="19"/>
      <c r="S3109" s="19"/>
      <c r="T3109" s="19"/>
      <c r="U3109" s="19"/>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row>
    <row r="3110" spans="1:45" x14ac:dyDescent="0.3">
      <c r="A3110" s="410" t="s">
        <v>4812</v>
      </c>
      <c r="B3110" s="17"/>
      <c r="C3110" s="19"/>
      <c r="D3110" s="18"/>
      <c r="E3110" s="18"/>
      <c r="F3110" s="19"/>
      <c r="G3110" s="31"/>
      <c r="H3110" s="31"/>
      <c r="I3110" s="19"/>
      <c r="J3110" s="19"/>
      <c r="K3110" s="21"/>
      <c r="L3110" s="22"/>
      <c r="M3110" s="19"/>
      <c r="N3110" s="20"/>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row>
    <row r="3111" spans="1:45" x14ac:dyDescent="0.3">
      <c r="A3111" s="410" t="s">
        <v>4813</v>
      </c>
      <c r="B3111" s="17"/>
      <c r="C3111" s="19"/>
      <c r="D3111" s="18"/>
      <c r="E3111" s="18"/>
      <c r="F3111" s="19"/>
      <c r="G3111" s="31"/>
      <c r="H3111" s="31"/>
      <c r="I3111" s="19"/>
      <c r="J3111" s="19"/>
      <c r="K3111" s="21"/>
      <c r="L3111" s="22"/>
      <c r="M3111" s="19"/>
      <c r="N3111" s="20"/>
      <c r="O3111" s="19"/>
      <c r="P3111" s="19"/>
      <c r="Q3111" s="19"/>
      <c r="R3111" s="19"/>
      <c r="S3111" s="19"/>
      <c r="T3111" s="19"/>
      <c r="U3111" s="19"/>
      <c r="V3111" s="19"/>
      <c r="W3111" s="19"/>
      <c r="X3111" s="19"/>
      <c r="Y3111" s="19"/>
      <c r="Z3111" s="19"/>
      <c r="AA3111" s="19"/>
      <c r="AB3111" s="19"/>
      <c r="AC3111" s="19"/>
      <c r="AD3111" s="19"/>
      <c r="AE3111" s="19"/>
      <c r="AF3111" s="19"/>
      <c r="AG3111" s="19"/>
      <c r="AH3111" s="19"/>
      <c r="AI3111" s="19"/>
      <c r="AJ3111" s="19"/>
      <c r="AK3111" s="19"/>
      <c r="AL3111" s="19"/>
      <c r="AM3111" s="19"/>
      <c r="AN3111" s="19"/>
      <c r="AO3111" s="19"/>
      <c r="AP3111" s="19"/>
      <c r="AQ3111" s="19"/>
      <c r="AR3111" s="19"/>
      <c r="AS3111" s="19"/>
    </row>
    <row r="3112" spans="1:45" x14ac:dyDescent="0.3">
      <c r="A3112" s="410" t="s">
        <v>4814</v>
      </c>
      <c r="B3112" s="17"/>
      <c r="C3112" s="19"/>
      <c r="D3112" s="18"/>
      <c r="E3112" s="18"/>
      <c r="F3112" s="19"/>
      <c r="G3112" s="31"/>
      <c r="H3112" s="31"/>
      <c r="I3112" s="19"/>
      <c r="J3112" s="19"/>
      <c r="K3112" s="21"/>
      <c r="L3112" s="22"/>
      <c r="M3112" s="19"/>
      <c r="N3112" s="20"/>
      <c r="O3112" s="19"/>
      <c r="P3112" s="19"/>
      <c r="Q3112" s="19"/>
      <c r="R3112" s="19"/>
      <c r="S3112" s="19"/>
      <c r="T3112" s="19"/>
      <c r="U3112" s="19"/>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19"/>
    </row>
    <row r="3113" spans="1:45" x14ac:dyDescent="0.3">
      <c r="A3113" s="410" t="s">
        <v>4815</v>
      </c>
      <c r="B3113" s="17"/>
      <c r="C3113" s="19"/>
      <c r="D3113" s="18"/>
      <c r="E3113" s="18"/>
      <c r="F3113" s="19"/>
      <c r="G3113" s="31"/>
      <c r="H3113" s="31"/>
      <c r="I3113" s="19"/>
      <c r="J3113" s="19"/>
      <c r="K3113" s="21"/>
      <c r="L3113" s="22"/>
      <c r="M3113" s="19"/>
      <c r="N3113" s="20"/>
      <c r="O3113" s="19"/>
      <c r="P3113" s="19"/>
      <c r="Q3113" s="19"/>
      <c r="R3113" s="19"/>
      <c r="S3113" s="19"/>
      <c r="T3113" s="19"/>
      <c r="U3113" s="19"/>
      <c r="V3113" s="19"/>
      <c r="W3113" s="19"/>
      <c r="X3113" s="19"/>
      <c r="Y3113" s="19"/>
      <c r="Z3113" s="19"/>
      <c r="AA3113" s="19"/>
      <c r="AB3113" s="19"/>
      <c r="AC3113" s="19"/>
      <c r="AD3113" s="19"/>
      <c r="AE3113" s="19"/>
      <c r="AF3113" s="19"/>
      <c r="AG3113" s="19"/>
      <c r="AH3113" s="19"/>
      <c r="AI3113" s="19"/>
      <c r="AJ3113" s="19"/>
      <c r="AK3113" s="19"/>
      <c r="AL3113" s="19"/>
      <c r="AM3113" s="19"/>
      <c r="AN3113" s="19"/>
      <c r="AO3113" s="19"/>
      <c r="AP3113" s="19"/>
      <c r="AQ3113" s="19"/>
      <c r="AR3113" s="19"/>
      <c r="AS3113" s="19"/>
    </row>
    <row r="3114" spans="1:45" x14ac:dyDescent="0.3">
      <c r="A3114" s="410" t="s">
        <v>4816</v>
      </c>
      <c r="B3114" s="17"/>
      <c r="C3114" s="19"/>
      <c r="D3114" s="18"/>
      <c r="E3114" s="18"/>
      <c r="F3114" s="19"/>
      <c r="G3114" s="31"/>
      <c r="H3114" s="31"/>
      <c r="I3114" s="19"/>
      <c r="J3114" s="19"/>
      <c r="K3114" s="21"/>
      <c r="L3114" s="22"/>
      <c r="M3114" s="19"/>
      <c r="N3114" s="20"/>
      <c r="O3114" s="19"/>
      <c r="P3114" s="19"/>
      <c r="Q3114" s="19"/>
      <c r="R3114" s="19"/>
      <c r="S3114" s="19"/>
      <c r="T3114" s="19"/>
      <c r="U3114" s="19"/>
      <c r="V3114" s="19"/>
      <c r="W3114" s="19"/>
      <c r="X3114" s="19"/>
      <c r="Y3114" s="19"/>
      <c r="Z3114" s="19"/>
      <c r="AA3114" s="19"/>
      <c r="AB3114" s="19"/>
      <c r="AC3114" s="19"/>
      <c r="AD3114" s="19"/>
      <c r="AE3114" s="19"/>
      <c r="AF3114" s="19"/>
      <c r="AG3114" s="19"/>
      <c r="AH3114" s="19"/>
      <c r="AI3114" s="19"/>
      <c r="AJ3114" s="19"/>
      <c r="AK3114" s="19"/>
      <c r="AL3114" s="19"/>
      <c r="AM3114" s="19"/>
      <c r="AN3114" s="19"/>
      <c r="AO3114" s="19"/>
      <c r="AP3114" s="19"/>
      <c r="AQ3114" s="19"/>
      <c r="AR3114" s="19"/>
      <c r="AS3114" s="19"/>
    </row>
    <row r="3115" spans="1:45" x14ac:dyDescent="0.3">
      <c r="A3115" s="410" t="s">
        <v>4817</v>
      </c>
      <c r="B3115" s="17"/>
      <c r="C3115" s="19"/>
      <c r="D3115" s="18"/>
      <c r="E3115" s="18"/>
      <c r="F3115" s="19"/>
      <c r="G3115" s="31"/>
      <c r="H3115" s="31"/>
      <c r="I3115" s="19"/>
      <c r="J3115" s="19"/>
      <c r="K3115" s="21"/>
      <c r="L3115" s="22"/>
      <c r="M3115" s="19"/>
      <c r="N3115" s="20"/>
      <c r="O3115" s="19"/>
      <c r="P3115" s="19"/>
      <c r="Q3115" s="19"/>
      <c r="R3115" s="19"/>
      <c r="S3115" s="19"/>
      <c r="T3115" s="19"/>
      <c r="U3115" s="19"/>
      <c r="V3115" s="19"/>
      <c r="W3115" s="19"/>
      <c r="X3115" s="19"/>
      <c r="Y3115" s="19"/>
      <c r="Z3115" s="19"/>
      <c r="AA3115" s="19"/>
      <c r="AB3115" s="19"/>
      <c r="AC3115" s="19"/>
      <c r="AD3115" s="19"/>
      <c r="AE3115" s="19"/>
      <c r="AF3115" s="19"/>
      <c r="AG3115" s="19"/>
      <c r="AH3115" s="19"/>
      <c r="AI3115" s="19"/>
      <c r="AJ3115" s="19"/>
      <c r="AK3115" s="19"/>
      <c r="AL3115" s="19"/>
      <c r="AM3115" s="19"/>
      <c r="AN3115" s="19"/>
      <c r="AO3115" s="19"/>
      <c r="AP3115" s="19"/>
      <c r="AQ3115" s="19"/>
      <c r="AR3115" s="19"/>
      <c r="AS3115" s="19"/>
    </row>
    <row r="3116" spans="1:45" x14ac:dyDescent="0.3">
      <c r="A3116" s="410" t="s">
        <v>4818</v>
      </c>
      <c r="B3116" s="17"/>
      <c r="C3116" s="19"/>
      <c r="D3116" s="18"/>
      <c r="E3116" s="18"/>
      <c r="F3116" s="19"/>
      <c r="G3116" s="31"/>
      <c r="H3116" s="31"/>
      <c r="I3116" s="19"/>
      <c r="J3116" s="19"/>
      <c r="K3116" s="21"/>
      <c r="L3116" s="22"/>
      <c r="M3116" s="19"/>
      <c r="N3116" s="20"/>
      <c r="O3116" s="19"/>
      <c r="P3116" s="19"/>
      <c r="Q3116" s="19"/>
      <c r="R3116" s="19"/>
      <c r="S3116" s="19"/>
      <c r="T3116" s="19"/>
      <c r="U3116" s="19"/>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row>
    <row r="3117" spans="1:45" x14ac:dyDescent="0.3">
      <c r="A3117" s="410" t="s">
        <v>4819</v>
      </c>
      <c r="B3117" s="17"/>
      <c r="C3117" s="19"/>
      <c r="D3117" s="18"/>
      <c r="E3117" s="18"/>
      <c r="F3117" s="19"/>
      <c r="G3117" s="31"/>
      <c r="H3117" s="31"/>
      <c r="I3117" s="19"/>
      <c r="J3117" s="19"/>
      <c r="K3117" s="21"/>
      <c r="L3117" s="22"/>
      <c r="M3117" s="19"/>
      <c r="N3117" s="20"/>
      <c r="O3117" s="19"/>
      <c r="P3117" s="19"/>
      <c r="Q3117" s="19"/>
      <c r="R3117" s="19"/>
      <c r="S3117" s="19"/>
      <c r="T3117" s="19"/>
      <c r="U3117" s="19"/>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19"/>
    </row>
    <row r="3118" spans="1:45" x14ac:dyDescent="0.3">
      <c r="A3118" s="410" t="s">
        <v>4820</v>
      </c>
      <c r="B3118" s="17"/>
      <c r="C3118" s="19"/>
      <c r="D3118" s="18"/>
      <c r="E3118" s="18"/>
      <c r="F3118" s="19"/>
      <c r="G3118" s="31"/>
      <c r="H3118" s="31"/>
      <c r="I3118" s="19"/>
      <c r="J3118" s="19"/>
      <c r="K3118" s="21"/>
      <c r="L3118" s="22"/>
      <c r="M3118" s="19"/>
      <c r="N3118" s="20"/>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row>
    <row r="3119" spans="1:45" x14ac:dyDescent="0.3">
      <c r="A3119" s="410" t="s">
        <v>4821</v>
      </c>
      <c r="B3119" s="17"/>
      <c r="C3119" s="19"/>
      <c r="D3119" s="18"/>
      <c r="E3119" s="18"/>
      <c r="F3119" s="19"/>
      <c r="G3119" s="31"/>
      <c r="H3119" s="31"/>
      <c r="I3119" s="19"/>
      <c r="J3119" s="19"/>
      <c r="K3119" s="21"/>
      <c r="L3119" s="22"/>
      <c r="M3119" s="19"/>
      <c r="N3119" s="20"/>
      <c r="O3119" s="19"/>
      <c r="P3119" s="19"/>
      <c r="Q3119" s="19"/>
      <c r="R3119" s="19"/>
      <c r="S3119" s="19"/>
      <c r="T3119" s="19"/>
      <c r="U3119" s="19"/>
      <c r="V3119" s="19"/>
      <c r="W3119" s="19"/>
      <c r="X3119" s="19"/>
      <c r="Y3119" s="19"/>
      <c r="Z3119" s="19"/>
      <c r="AA3119" s="19"/>
      <c r="AB3119" s="19"/>
      <c r="AC3119" s="19"/>
      <c r="AD3119" s="19"/>
      <c r="AE3119" s="19"/>
      <c r="AF3119" s="19"/>
      <c r="AG3119" s="19"/>
      <c r="AH3119" s="19"/>
      <c r="AI3119" s="19"/>
      <c r="AJ3119" s="19"/>
      <c r="AK3119" s="19"/>
      <c r="AL3119" s="19"/>
      <c r="AM3119" s="19"/>
      <c r="AN3119" s="19"/>
      <c r="AO3119" s="19"/>
      <c r="AP3119" s="19"/>
      <c r="AQ3119" s="19"/>
      <c r="AR3119" s="19"/>
      <c r="AS3119" s="19"/>
    </row>
    <row r="3120" spans="1:45" x14ac:dyDescent="0.3">
      <c r="A3120" s="410" t="s">
        <v>4822</v>
      </c>
      <c r="B3120" s="17"/>
      <c r="C3120" s="19"/>
      <c r="D3120" s="18"/>
      <c r="E3120" s="18"/>
      <c r="F3120" s="19"/>
      <c r="G3120" s="31"/>
      <c r="H3120" s="31"/>
      <c r="I3120" s="19"/>
      <c r="J3120" s="19"/>
      <c r="K3120" s="21"/>
      <c r="L3120" s="22"/>
      <c r="M3120" s="19"/>
      <c r="N3120" s="20"/>
      <c r="O3120" s="19"/>
      <c r="P3120" s="19"/>
      <c r="Q3120" s="19"/>
      <c r="R3120" s="19"/>
      <c r="S3120" s="19"/>
      <c r="T3120" s="19"/>
      <c r="U3120" s="19"/>
      <c r="V3120" s="19"/>
      <c r="W3120" s="19"/>
      <c r="X3120" s="19"/>
      <c r="Y3120" s="19"/>
      <c r="Z3120" s="19"/>
      <c r="AA3120" s="19"/>
      <c r="AB3120" s="19"/>
      <c r="AC3120" s="19"/>
      <c r="AD3120" s="19"/>
      <c r="AE3120" s="19"/>
      <c r="AF3120" s="19"/>
      <c r="AG3120" s="19"/>
      <c r="AH3120" s="19"/>
      <c r="AI3120" s="19"/>
      <c r="AJ3120" s="19"/>
      <c r="AK3120" s="19"/>
      <c r="AL3120" s="19"/>
      <c r="AM3120" s="19"/>
      <c r="AN3120" s="19"/>
      <c r="AO3120" s="19"/>
      <c r="AP3120" s="19"/>
      <c r="AQ3120" s="19"/>
      <c r="AR3120" s="19"/>
      <c r="AS3120" s="19"/>
    </row>
    <row r="3121" spans="1:45" x14ac:dyDescent="0.3">
      <c r="A3121" s="410" t="s">
        <v>4823</v>
      </c>
      <c r="B3121" s="17"/>
      <c r="C3121" s="19"/>
      <c r="D3121" s="18"/>
      <c r="E3121" s="18"/>
      <c r="F3121" s="19"/>
      <c r="G3121" s="31"/>
      <c r="H3121" s="31"/>
      <c r="I3121" s="19"/>
      <c r="J3121" s="19"/>
      <c r="K3121" s="21"/>
      <c r="L3121" s="22"/>
      <c r="M3121" s="19"/>
      <c r="N3121" s="20"/>
      <c r="O3121" s="19"/>
      <c r="P3121" s="19"/>
      <c r="Q3121" s="19"/>
      <c r="R3121" s="19"/>
      <c r="S3121" s="19"/>
      <c r="T3121" s="19"/>
      <c r="U3121" s="19"/>
      <c r="V3121" s="19"/>
      <c r="W3121" s="19"/>
      <c r="X3121" s="19"/>
      <c r="Y3121" s="19"/>
      <c r="Z3121" s="19"/>
      <c r="AA3121" s="19"/>
      <c r="AB3121" s="19"/>
      <c r="AC3121" s="19"/>
      <c r="AD3121" s="19"/>
      <c r="AE3121" s="19"/>
      <c r="AF3121" s="19"/>
      <c r="AG3121" s="19"/>
      <c r="AH3121" s="19"/>
      <c r="AI3121" s="19"/>
      <c r="AJ3121" s="19"/>
      <c r="AK3121" s="19"/>
      <c r="AL3121" s="19"/>
      <c r="AM3121" s="19"/>
      <c r="AN3121" s="19"/>
      <c r="AO3121" s="19"/>
      <c r="AP3121" s="19"/>
      <c r="AQ3121" s="19"/>
      <c r="AR3121" s="19"/>
      <c r="AS3121" s="19"/>
    </row>
    <row r="3122" spans="1:45" x14ac:dyDescent="0.3">
      <c r="A3122" s="410" t="s">
        <v>4824</v>
      </c>
      <c r="B3122" s="17"/>
      <c r="C3122" s="19"/>
      <c r="D3122" s="18"/>
      <c r="E3122" s="18"/>
      <c r="F3122" s="19"/>
      <c r="G3122" s="31"/>
      <c r="H3122" s="31"/>
      <c r="I3122" s="19"/>
      <c r="J3122" s="19"/>
      <c r="K3122" s="21"/>
      <c r="L3122" s="22"/>
      <c r="M3122" s="19"/>
      <c r="N3122" s="20"/>
      <c r="O3122" s="19"/>
      <c r="P3122" s="19"/>
      <c r="Q3122" s="19"/>
      <c r="R3122" s="19"/>
      <c r="S3122" s="19"/>
      <c r="T3122" s="19"/>
      <c r="U3122" s="19"/>
      <c r="V3122" s="19"/>
      <c r="W3122" s="19"/>
      <c r="X3122" s="19"/>
      <c r="Y3122" s="19"/>
      <c r="Z3122" s="19"/>
      <c r="AA3122" s="19"/>
      <c r="AB3122" s="19"/>
      <c r="AC3122" s="19"/>
      <c r="AD3122" s="19"/>
      <c r="AE3122" s="19"/>
      <c r="AF3122" s="19"/>
      <c r="AG3122" s="19"/>
      <c r="AH3122" s="19"/>
      <c r="AI3122" s="19"/>
      <c r="AJ3122" s="19"/>
      <c r="AK3122" s="19"/>
      <c r="AL3122" s="19"/>
      <c r="AM3122" s="19"/>
      <c r="AN3122" s="19"/>
      <c r="AO3122" s="19"/>
      <c r="AP3122" s="19"/>
      <c r="AQ3122" s="19"/>
      <c r="AR3122" s="19"/>
      <c r="AS3122" s="19"/>
    </row>
    <row r="3123" spans="1:45" x14ac:dyDescent="0.3">
      <c r="A3123" s="410" t="s">
        <v>4825</v>
      </c>
      <c r="B3123" s="17"/>
      <c r="C3123" s="19"/>
      <c r="D3123" s="18"/>
      <c r="E3123" s="18"/>
      <c r="F3123" s="19"/>
      <c r="G3123" s="31"/>
      <c r="H3123" s="31"/>
      <c r="I3123" s="19"/>
      <c r="J3123" s="19"/>
      <c r="K3123" s="21"/>
      <c r="L3123" s="22"/>
      <c r="M3123" s="19"/>
      <c r="N3123" s="20"/>
      <c r="O3123" s="19"/>
      <c r="P3123" s="19"/>
      <c r="Q3123" s="19"/>
      <c r="R3123" s="19"/>
      <c r="S3123" s="19"/>
      <c r="T3123" s="19"/>
      <c r="U3123" s="19"/>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row>
    <row r="3124" spans="1:45" x14ac:dyDescent="0.3">
      <c r="A3124" s="410" t="s">
        <v>4826</v>
      </c>
      <c r="B3124" s="17"/>
      <c r="C3124" s="19"/>
      <c r="D3124" s="18"/>
      <c r="E3124" s="18"/>
      <c r="F3124" s="19"/>
      <c r="G3124" s="31"/>
      <c r="H3124" s="31"/>
      <c r="I3124" s="19"/>
      <c r="J3124" s="19"/>
      <c r="K3124" s="21"/>
      <c r="L3124" s="22"/>
      <c r="M3124" s="19"/>
      <c r="N3124" s="20"/>
      <c r="O3124" s="19"/>
      <c r="P3124" s="19"/>
      <c r="Q3124" s="19"/>
      <c r="R3124" s="19"/>
      <c r="S3124" s="19"/>
      <c r="T3124" s="19"/>
      <c r="U3124" s="19"/>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row>
    <row r="3125" spans="1:45" x14ac:dyDescent="0.3">
      <c r="A3125" s="410" t="s">
        <v>4827</v>
      </c>
      <c r="B3125" s="17"/>
      <c r="C3125" s="19"/>
      <c r="D3125" s="18"/>
      <c r="E3125" s="18"/>
      <c r="F3125" s="19"/>
      <c r="G3125" s="31"/>
      <c r="H3125" s="31"/>
      <c r="I3125" s="19"/>
      <c r="J3125" s="19"/>
      <c r="K3125" s="21"/>
      <c r="L3125" s="22"/>
      <c r="M3125" s="19"/>
      <c r="N3125" s="20"/>
      <c r="O3125" s="19"/>
      <c r="P3125" s="19"/>
      <c r="Q3125" s="19"/>
      <c r="R3125" s="19"/>
      <c r="S3125" s="19"/>
      <c r="T3125" s="19"/>
      <c r="U3125" s="19"/>
      <c r="V3125" s="19"/>
      <c r="W3125" s="19"/>
      <c r="X3125" s="19"/>
      <c r="Y3125" s="19"/>
      <c r="Z3125" s="19"/>
      <c r="AA3125" s="19"/>
      <c r="AB3125" s="19"/>
      <c r="AC3125" s="19"/>
      <c r="AD3125" s="19"/>
      <c r="AE3125" s="19"/>
      <c r="AF3125" s="19"/>
      <c r="AG3125" s="19"/>
      <c r="AH3125" s="19"/>
      <c r="AI3125" s="19"/>
      <c r="AJ3125" s="19"/>
      <c r="AK3125" s="19"/>
      <c r="AL3125" s="19"/>
      <c r="AM3125" s="19"/>
      <c r="AN3125" s="19"/>
      <c r="AO3125" s="19"/>
      <c r="AP3125" s="19"/>
      <c r="AQ3125" s="19"/>
      <c r="AR3125" s="19"/>
      <c r="AS3125" s="19"/>
    </row>
    <row r="3126" spans="1:45" x14ac:dyDescent="0.3">
      <c r="A3126" s="410" t="s">
        <v>4828</v>
      </c>
      <c r="B3126" s="17"/>
      <c r="C3126" s="19"/>
      <c r="D3126" s="18"/>
      <c r="E3126" s="18"/>
      <c r="F3126" s="19"/>
      <c r="G3126" s="31"/>
      <c r="H3126" s="31"/>
      <c r="I3126" s="19"/>
      <c r="J3126" s="19"/>
      <c r="K3126" s="21"/>
      <c r="L3126" s="22"/>
      <c r="M3126" s="19"/>
      <c r="N3126" s="20"/>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row>
    <row r="3127" spans="1:45" x14ac:dyDescent="0.3">
      <c r="A3127" s="410" t="s">
        <v>4829</v>
      </c>
      <c r="B3127" s="17"/>
      <c r="C3127" s="19"/>
      <c r="D3127" s="18"/>
      <c r="E3127" s="18"/>
      <c r="F3127" s="19"/>
      <c r="G3127" s="31"/>
      <c r="H3127" s="31"/>
      <c r="I3127" s="19"/>
      <c r="J3127" s="19"/>
      <c r="K3127" s="21"/>
      <c r="L3127" s="22"/>
      <c r="M3127" s="19"/>
      <c r="N3127" s="20"/>
      <c r="O3127" s="19"/>
      <c r="P3127" s="19"/>
      <c r="Q3127" s="19"/>
      <c r="R3127" s="19"/>
      <c r="S3127" s="19"/>
      <c r="T3127" s="19"/>
      <c r="U3127" s="19"/>
      <c r="V3127" s="19"/>
      <c r="W3127" s="19"/>
      <c r="X3127" s="19"/>
      <c r="Y3127" s="19"/>
      <c r="Z3127" s="19"/>
      <c r="AA3127" s="19"/>
      <c r="AB3127" s="19"/>
      <c r="AC3127" s="19"/>
      <c r="AD3127" s="19"/>
      <c r="AE3127" s="19"/>
      <c r="AF3127" s="19"/>
      <c r="AG3127" s="19"/>
      <c r="AH3127" s="19"/>
      <c r="AI3127" s="19"/>
      <c r="AJ3127" s="19"/>
      <c r="AK3127" s="19"/>
      <c r="AL3127" s="19"/>
      <c r="AM3127" s="19"/>
      <c r="AN3127" s="19"/>
      <c r="AO3127" s="19"/>
      <c r="AP3127" s="19"/>
      <c r="AQ3127" s="19"/>
      <c r="AR3127" s="19"/>
      <c r="AS3127" s="19"/>
    </row>
    <row r="3128" spans="1:45" x14ac:dyDescent="0.3">
      <c r="A3128" s="410" t="s">
        <v>4830</v>
      </c>
      <c r="B3128" s="17"/>
      <c r="C3128" s="19"/>
      <c r="D3128" s="18"/>
      <c r="E3128" s="18"/>
      <c r="F3128" s="19"/>
      <c r="G3128" s="31"/>
      <c r="H3128" s="31"/>
      <c r="I3128" s="19"/>
      <c r="J3128" s="19"/>
      <c r="K3128" s="21"/>
      <c r="L3128" s="22"/>
      <c r="M3128" s="19"/>
      <c r="N3128" s="20"/>
      <c r="O3128" s="19"/>
      <c r="P3128" s="19"/>
      <c r="Q3128" s="19"/>
      <c r="R3128" s="19"/>
      <c r="S3128" s="19"/>
      <c r="T3128" s="19"/>
      <c r="U3128" s="19"/>
      <c r="V3128" s="19"/>
      <c r="W3128" s="19"/>
      <c r="X3128" s="19"/>
      <c r="Y3128" s="19"/>
      <c r="Z3128" s="19"/>
      <c r="AA3128" s="19"/>
      <c r="AB3128" s="19"/>
      <c r="AC3128" s="19"/>
      <c r="AD3128" s="19"/>
      <c r="AE3128" s="19"/>
      <c r="AF3128" s="19"/>
      <c r="AG3128" s="19"/>
      <c r="AH3128" s="19"/>
      <c r="AI3128" s="19"/>
      <c r="AJ3128" s="19"/>
      <c r="AK3128" s="19"/>
      <c r="AL3128" s="19"/>
      <c r="AM3128" s="19"/>
      <c r="AN3128" s="19"/>
      <c r="AO3128" s="19"/>
      <c r="AP3128" s="19"/>
      <c r="AQ3128" s="19"/>
      <c r="AR3128" s="19"/>
      <c r="AS3128" s="19"/>
    </row>
    <row r="3129" spans="1:45" x14ac:dyDescent="0.3">
      <c r="A3129" s="410" t="s">
        <v>4831</v>
      </c>
      <c r="B3129" s="17"/>
      <c r="C3129" s="19"/>
      <c r="D3129" s="18"/>
      <c r="E3129" s="18"/>
      <c r="F3129" s="19"/>
      <c r="G3129" s="31"/>
      <c r="H3129" s="31"/>
      <c r="I3129" s="19"/>
      <c r="J3129" s="19"/>
      <c r="K3129" s="21"/>
      <c r="L3129" s="22"/>
      <c r="M3129" s="19"/>
      <c r="N3129" s="20"/>
      <c r="O3129" s="19"/>
      <c r="P3129" s="19"/>
      <c r="Q3129" s="19"/>
      <c r="R3129" s="19"/>
      <c r="S3129" s="19"/>
      <c r="T3129" s="19"/>
      <c r="U3129" s="19"/>
      <c r="V3129" s="19"/>
      <c r="W3129" s="19"/>
      <c r="X3129" s="19"/>
      <c r="Y3129" s="19"/>
      <c r="Z3129" s="19"/>
      <c r="AA3129" s="19"/>
      <c r="AB3129" s="19"/>
      <c r="AC3129" s="19"/>
      <c r="AD3129" s="19"/>
      <c r="AE3129" s="19"/>
      <c r="AF3129" s="19"/>
      <c r="AG3129" s="19"/>
      <c r="AH3129" s="19"/>
      <c r="AI3129" s="19"/>
      <c r="AJ3129" s="19"/>
      <c r="AK3129" s="19"/>
      <c r="AL3129" s="19"/>
      <c r="AM3129" s="19"/>
      <c r="AN3129" s="19"/>
      <c r="AO3129" s="19"/>
      <c r="AP3129" s="19"/>
      <c r="AQ3129" s="19"/>
      <c r="AR3129" s="19"/>
      <c r="AS3129" s="19"/>
    </row>
    <row r="3130" spans="1:45" x14ac:dyDescent="0.3">
      <c r="A3130" s="410" t="s">
        <v>4832</v>
      </c>
      <c r="B3130" s="17"/>
      <c r="C3130" s="19"/>
      <c r="D3130" s="18"/>
      <c r="E3130" s="18"/>
      <c r="F3130" s="19"/>
      <c r="G3130" s="31"/>
      <c r="H3130" s="31"/>
      <c r="I3130" s="19"/>
      <c r="J3130" s="19"/>
      <c r="K3130" s="21"/>
      <c r="L3130" s="22"/>
      <c r="M3130" s="19"/>
      <c r="N3130" s="20"/>
      <c r="O3130" s="19"/>
      <c r="P3130" s="19"/>
      <c r="Q3130" s="19"/>
      <c r="R3130" s="19"/>
      <c r="S3130" s="19"/>
      <c r="T3130" s="19"/>
      <c r="U3130" s="19"/>
      <c r="V3130" s="19"/>
      <c r="W3130" s="19"/>
      <c r="X3130" s="19"/>
      <c r="Y3130" s="19"/>
      <c r="Z3130" s="19"/>
      <c r="AA3130" s="19"/>
      <c r="AB3130" s="19"/>
      <c r="AC3130" s="19"/>
      <c r="AD3130" s="19"/>
      <c r="AE3130" s="19"/>
      <c r="AF3130" s="19"/>
      <c r="AG3130" s="19"/>
      <c r="AH3130" s="19"/>
      <c r="AI3130" s="19"/>
      <c r="AJ3130" s="19"/>
      <c r="AK3130" s="19"/>
      <c r="AL3130" s="19"/>
      <c r="AM3130" s="19"/>
      <c r="AN3130" s="19"/>
      <c r="AO3130" s="19"/>
      <c r="AP3130" s="19"/>
      <c r="AQ3130" s="19"/>
      <c r="AR3130" s="19"/>
      <c r="AS3130" s="19"/>
    </row>
    <row r="3131" spans="1:45" x14ac:dyDescent="0.3">
      <c r="A3131" s="410" t="s">
        <v>4833</v>
      </c>
      <c r="B3131" s="17"/>
      <c r="C3131" s="19"/>
      <c r="D3131" s="18"/>
      <c r="E3131" s="18"/>
      <c r="F3131" s="19"/>
      <c r="G3131" s="31"/>
      <c r="H3131" s="31"/>
      <c r="I3131" s="19"/>
      <c r="J3131" s="19"/>
      <c r="K3131" s="21"/>
      <c r="L3131" s="22"/>
      <c r="M3131" s="19"/>
      <c r="N3131" s="20"/>
      <c r="O3131" s="19"/>
      <c r="P3131" s="19"/>
      <c r="Q3131" s="19"/>
      <c r="R3131" s="19"/>
      <c r="S3131" s="19"/>
      <c r="T3131" s="19"/>
      <c r="U3131" s="19"/>
      <c r="V3131" s="19"/>
      <c r="W3131" s="19"/>
      <c r="X3131" s="19"/>
      <c r="Y3131" s="19"/>
      <c r="Z3131" s="19"/>
      <c r="AA3131" s="19"/>
      <c r="AB3131" s="19"/>
      <c r="AC3131" s="19"/>
      <c r="AD3131" s="19"/>
      <c r="AE3131" s="19"/>
      <c r="AF3131" s="19"/>
      <c r="AG3131" s="19"/>
      <c r="AH3131" s="19"/>
      <c r="AI3131" s="19"/>
      <c r="AJ3131" s="19"/>
      <c r="AK3131" s="19"/>
      <c r="AL3131" s="19"/>
      <c r="AM3131" s="19"/>
      <c r="AN3131" s="19"/>
      <c r="AO3131" s="19"/>
      <c r="AP3131" s="19"/>
      <c r="AQ3131" s="19"/>
      <c r="AR3131" s="19"/>
      <c r="AS3131" s="19"/>
    </row>
    <row r="3132" spans="1:45" x14ac:dyDescent="0.3">
      <c r="A3132" s="410" t="s">
        <v>4834</v>
      </c>
      <c r="B3132" s="17"/>
      <c r="C3132" s="19"/>
      <c r="D3132" s="18"/>
      <c r="E3132" s="18"/>
      <c r="F3132" s="19"/>
      <c r="G3132" s="31"/>
      <c r="H3132" s="31"/>
      <c r="I3132" s="19"/>
      <c r="J3132" s="19"/>
      <c r="K3132" s="21"/>
      <c r="L3132" s="22"/>
      <c r="M3132" s="19"/>
      <c r="N3132" s="20"/>
      <c r="O3132" s="19"/>
      <c r="P3132" s="19"/>
      <c r="Q3132" s="19"/>
      <c r="R3132" s="19"/>
      <c r="S3132" s="19"/>
      <c r="T3132" s="19"/>
      <c r="U3132" s="19"/>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row>
    <row r="3133" spans="1:45" x14ac:dyDescent="0.3">
      <c r="A3133" s="410" t="s">
        <v>4835</v>
      </c>
      <c r="B3133" s="17"/>
      <c r="C3133" s="19"/>
      <c r="D3133" s="18"/>
      <c r="E3133" s="18"/>
      <c r="F3133" s="19"/>
      <c r="G3133" s="31"/>
      <c r="H3133" s="31"/>
      <c r="I3133" s="19"/>
      <c r="J3133" s="19"/>
      <c r="K3133" s="21"/>
      <c r="L3133" s="22"/>
      <c r="M3133" s="19"/>
      <c r="N3133" s="20"/>
      <c r="O3133" s="19"/>
      <c r="P3133" s="19"/>
      <c r="Q3133" s="19"/>
      <c r="R3133" s="19"/>
      <c r="S3133" s="19"/>
      <c r="T3133" s="19"/>
      <c r="U3133" s="19"/>
      <c r="V3133" s="19"/>
      <c r="W3133" s="19"/>
      <c r="X3133" s="19"/>
      <c r="Y3133" s="19"/>
      <c r="Z3133" s="19"/>
      <c r="AA3133" s="19"/>
      <c r="AB3133" s="19"/>
      <c r="AC3133" s="19"/>
      <c r="AD3133" s="19"/>
      <c r="AE3133" s="19"/>
      <c r="AF3133" s="19"/>
      <c r="AG3133" s="19"/>
      <c r="AH3133" s="19"/>
      <c r="AI3133" s="19"/>
      <c r="AJ3133" s="19"/>
      <c r="AK3133" s="19"/>
      <c r="AL3133" s="19"/>
      <c r="AM3133" s="19"/>
      <c r="AN3133" s="19"/>
      <c r="AO3133" s="19"/>
      <c r="AP3133" s="19"/>
      <c r="AQ3133" s="19"/>
      <c r="AR3133" s="19"/>
      <c r="AS3133" s="19"/>
    </row>
    <row r="3134" spans="1:45" x14ac:dyDescent="0.3">
      <c r="A3134" s="410" t="s">
        <v>4836</v>
      </c>
      <c r="B3134" s="17"/>
      <c r="C3134" s="19"/>
      <c r="D3134" s="18"/>
      <c r="E3134" s="18"/>
      <c r="F3134" s="19"/>
      <c r="G3134" s="31"/>
      <c r="H3134" s="31"/>
      <c r="I3134" s="19"/>
      <c r="J3134" s="19"/>
      <c r="K3134" s="21"/>
      <c r="L3134" s="22"/>
      <c r="M3134" s="19"/>
      <c r="N3134" s="20"/>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row>
    <row r="3135" spans="1:45" x14ac:dyDescent="0.3">
      <c r="A3135" s="410" t="s">
        <v>4837</v>
      </c>
      <c r="B3135" s="17"/>
      <c r="C3135" s="19"/>
      <c r="D3135" s="18"/>
      <c r="E3135" s="18"/>
      <c r="F3135" s="19"/>
      <c r="G3135" s="31"/>
      <c r="H3135" s="31"/>
      <c r="I3135" s="19"/>
      <c r="J3135" s="19"/>
      <c r="K3135" s="21"/>
      <c r="L3135" s="22"/>
      <c r="M3135" s="19"/>
      <c r="N3135" s="20"/>
      <c r="O3135" s="19"/>
      <c r="P3135" s="19"/>
      <c r="Q3135" s="19"/>
      <c r="R3135" s="19"/>
      <c r="S3135" s="19"/>
      <c r="T3135" s="19"/>
      <c r="U3135" s="19"/>
      <c r="V3135" s="19"/>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AQ3135" s="19"/>
      <c r="AR3135" s="19"/>
      <c r="AS3135" s="19"/>
    </row>
    <row r="3136" spans="1:45" x14ac:dyDescent="0.3">
      <c r="A3136" s="410" t="s">
        <v>4838</v>
      </c>
      <c r="B3136" s="17"/>
      <c r="C3136" s="19"/>
      <c r="D3136" s="18"/>
      <c r="E3136" s="18"/>
      <c r="F3136" s="19"/>
      <c r="G3136" s="31"/>
      <c r="H3136" s="31"/>
      <c r="I3136" s="19"/>
      <c r="J3136" s="19"/>
      <c r="K3136" s="21"/>
      <c r="L3136" s="22"/>
      <c r="M3136" s="19"/>
      <c r="N3136" s="20"/>
      <c r="O3136" s="19"/>
      <c r="P3136" s="19"/>
      <c r="Q3136" s="19"/>
      <c r="R3136" s="19"/>
      <c r="S3136" s="19"/>
      <c r="T3136" s="19"/>
      <c r="U3136" s="19"/>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row>
    <row r="3137" spans="1:45" x14ac:dyDescent="0.3">
      <c r="A3137" s="410" t="s">
        <v>4839</v>
      </c>
      <c r="B3137" s="17"/>
      <c r="C3137" s="19"/>
      <c r="D3137" s="18"/>
      <c r="E3137" s="18"/>
      <c r="F3137" s="19"/>
      <c r="G3137" s="31"/>
      <c r="H3137" s="31"/>
      <c r="I3137" s="19"/>
      <c r="J3137" s="19"/>
      <c r="K3137" s="21"/>
      <c r="L3137" s="22"/>
      <c r="M3137" s="19"/>
      <c r="N3137" s="20"/>
      <c r="O3137" s="19"/>
      <c r="P3137" s="19"/>
      <c r="Q3137" s="19"/>
      <c r="R3137" s="19"/>
      <c r="S3137" s="19"/>
      <c r="T3137" s="19"/>
      <c r="U3137" s="19"/>
      <c r="V3137" s="19"/>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AQ3137" s="19"/>
      <c r="AR3137" s="19"/>
      <c r="AS3137" s="19"/>
    </row>
    <row r="3138" spans="1:45" x14ac:dyDescent="0.3">
      <c r="A3138" s="410" t="s">
        <v>4840</v>
      </c>
      <c r="B3138" s="17"/>
      <c r="C3138" s="19"/>
      <c r="D3138" s="18"/>
      <c r="E3138" s="18"/>
      <c r="F3138" s="19"/>
      <c r="G3138" s="31"/>
      <c r="H3138" s="31"/>
      <c r="I3138" s="19"/>
      <c r="J3138" s="19"/>
      <c r="K3138" s="21"/>
      <c r="L3138" s="22"/>
      <c r="M3138" s="19"/>
      <c r="N3138" s="20"/>
      <c r="O3138" s="19"/>
      <c r="P3138" s="19"/>
      <c r="Q3138" s="19"/>
      <c r="R3138" s="19"/>
      <c r="S3138" s="19"/>
      <c r="T3138" s="19"/>
      <c r="U3138" s="19"/>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19"/>
    </row>
    <row r="3139" spans="1:45" x14ac:dyDescent="0.3">
      <c r="A3139" s="410" t="s">
        <v>4841</v>
      </c>
      <c r="B3139" s="17"/>
      <c r="C3139" s="19"/>
      <c r="D3139" s="18"/>
      <c r="E3139" s="18"/>
      <c r="F3139" s="19"/>
      <c r="G3139" s="31"/>
      <c r="H3139" s="31"/>
      <c r="I3139" s="19"/>
      <c r="J3139" s="19"/>
      <c r="K3139" s="21"/>
      <c r="L3139" s="22"/>
      <c r="M3139" s="19"/>
      <c r="N3139" s="20"/>
      <c r="O3139" s="19"/>
      <c r="P3139" s="19"/>
      <c r="Q3139" s="19"/>
      <c r="R3139" s="19"/>
      <c r="S3139" s="19"/>
      <c r="T3139" s="19"/>
      <c r="U3139" s="19"/>
      <c r="V3139" s="19"/>
      <c r="W3139" s="19"/>
      <c r="X3139" s="19"/>
      <c r="Y3139" s="19"/>
      <c r="Z3139" s="19"/>
      <c r="AA3139" s="19"/>
      <c r="AB3139" s="19"/>
      <c r="AC3139" s="19"/>
      <c r="AD3139" s="19"/>
      <c r="AE3139" s="19"/>
      <c r="AF3139" s="19"/>
      <c r="AG3139" s="19"/>
      <c r="AH3139" s="19"/>
      <c r="AI3139" s="19"/>
      <c r="AJ3139" s="19"/>
      <c r="AK3139" s="19"/>
      <c r="AL3139" s="19"/>
      <c r="AM3139" s="19"/>
      <c r="AN3139" s="19"/>
      <c r="AO3139" s="19"/>
      <c r="AP3139" s="19"/>
      <c r="AQ3139" s="19"/>
      <c r="AR3139" s="19"/>
      <c r="AS3139" s="19"/>
    </row>
    <row r="3140" spans="1:45" x14ac:dyDescent="0.3">
      <c r="A3140" s="410" t="s">
        <v>4842</v>
      </c>
      <c r="B3140" s="17"/>
      <c r="C3140" s="19"/>
      <c r="D3140" s="18"/>
      <c r="E3140" s="18"/>
      <c r="F3140" s="19"/>
      <c r="G3140" s="31"/>
      <c r="H3140" s="31"/>
      <c r="I3140" s="19"/>
      <c r="J3140" s="19"/>
      <c r="K3140" s="21"/>
      <c r="L3140" s="22"/>
      <c r="M3140" s="19"/>
      <c r="N3140" s="20"/>
      <c r="O3140" s="19"/>
      <c r="P3140" s="19"/>
      <c r="Q3140" s="19"/>
      <c r="R3140" s="19"/>
      <c r="S3140" s="19"/>
      <c r="T3140" s="19"/>
      <c r="U3140" s="19"/>
      <c r="V3140" s="19"/>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AQ3140" s="19"/>
      <c r="AR3140" s="19"/>
      <c r="AS3140" s="19"/>
    </row>
    <row r="3141" spans="1:45" x14ac:dyDescent="0.3">
      <c r="A3141" s="410" t="s">
        <v>4843</v>
      </c>
      <c r="B3141" s="17"/>
      <c r="C3141" s="19"/>
      <c r="D3141" s="18"/>
      <c r="E3141" s="18"/>
      <c r="F3141" s="19"/>
      <c r="G3141" s="31"/>
      <c r="H3141" s="31"/>
      <c r="I3141" s="19"/>
      <c r="J3141" s="19"/>
      <c r="K3141" s="21"/>
      <c r="L3141" s="22"/>
      <c r="M3141" s="19"/>
      <c r="N3141" s="20"/>
      <c r="O3141" s="19"/>
      <c r="P3141" s="19"/>
      <c r="Q3141" s="19"/>
      <c r="R3141" s="19"/>
      <c r="S3141" s="19"/>
      <c r="T3141" s="19"/>
      <c r="U3141" s="19"/>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19"/>
    </row>
    <row r="3142" spans="1:45" x14ac:dyDescent="0.3">
      <c r="A3142" s="410" t="s">
        <v>4844</v>
      </c>
      <c r="B3142" s="17"/>
      <c r="C3142" s="19"/>
      <c r="D3142" s="18"/>
      <c r="E3142" s="18"/>
      <c r="F3142" s="19"/>
      <c r="G3142" s="31"/>
      <c r="H3142" s="31"/>
      <c r="I3142" s="19"/>
      <c r="J3142" s="19"/>
      <c r="K3142" s="21"/>
      <c r="L3142" s="22"/>
      <c r="M3142" s="19"/>
      <c r="N3142" s="20"/>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row>
    <row r="3143" spans="1:45" x14ac:dyDescent="0.3">
      <c r="A3143" s="410" t="s">
        <v>4845</v>
      </c>
      <c r="B3143" s="17"/>
      <c r="C3143" s="19"/>
      <c r="D3143" s="18"/>
      <c r="E3143" s="18"/>
      <c r="F3143" s="19"/>
      <c r="G3143" s="31"/>
      <c r="H3143" s="31"/>
      <c r="I3143" s="19"/>
      <c r="J3143" s="19"/>
      <c r="K3143" s="21"/>
      <c r="L3143" s="22"/>
      <c r="M3143" s="19"/>
      <c r="N3143" s="20"/>
      <c r="O3143" s="19"/>
      <c r="P3143" s="19"/>
      <c r="Q3143" s="19"/>
      <c r="R3143" s="19"/>
      <c r="S3143" s="19"/>
      <c r="T3143" s="19"/>
      <c r="U3143" s="19"/>
      <c r="V3143" s="19"/>
      <c r="W3143" s="19"/>
      <c r="X3143" s="19"/>
      <c r="Y3143" s="19"/>
      <c r="Z3143" s="19"/>
      <c r="AA3143" s="19"/>
      <c r="AB3143" s="19"/>
      <c r="AC3143" s="19"/>
      <c r="AD3143" s="19"/>
      <c r="AE3143" s="19"/>
      <c r="AF3143" s="19"/>
      <c r="AG3143" s="19"/>
      <c r="AH3143" s="19"/>
      <c r="AI3143" s="19"/>
      <c r="AJ3143" s="19"/>
      <c r="AK3143" s="19"/>
      <c r="AL3143" s="19"/>
      <c r="AM3143" s="19"/>
      <c r="AN3143" s="19"/>
      <c r="AO3143" s="19"/>
      <c r="AP3143" s="19"/>
      <c r="AQ3143" s="19"/>
      <c r="AR3143" s="19"/>
      <c r="AS3143" s="19"/>
    </row>
    <row r="3144" spans="1:45" x14ac:dyDescent="0.3">
      <c r="A3144" s="410" t="s">
        <v>4846</v>
      </c>
      <c r="B3144" s="17"/>
      <c r="C3144" s="19"/>
      <c r="D3144" s="18"/>
      <c r="E3144" s="18"/>
      <c r="F3144" s="19"/>
      <c r="G3144" s="31"/>
      <c r="H3144" s="31"/>
      <c r="I3144" s="19"/>
      <c r="J3144" s="19"/>
      <c r="K3144" s="21"/>
      <c r="L3144" s="22"/>
      <c r="M3144" s="19"/>
      <c r="N3144" s="20"/>
      <c r="O3144" s="19"/>
      <c r="P3144" s="19"/>
      <c r="Q3144" s="19"/>
      <c r="R3144" s="19"/>
      <c r="S3144" s="19"/>
      <c r="T3144" s="19"/>
      <c r="U3144" s="19"/>
      <c r="V3144" s="19"/>
      <c r="W3144" s="19"/>
      <c r="X3144" s="19"/>
      <c r="Y3144" s="19"/>
      <c r="Z3144" s="19"/>
      <c r="AA3144" s="19"/>
      <c r="AB3144" s="19"/>
      <c r="AC3144" s="19"/>
      <c r="AD3144" s="19"/>
      <c r="AE3144" s="19"/>
      <c r="AF3144" s="19"/>
      <c r="AG3144" s="19"/>
      <c r="AH3144" s="19"/>
      <c r="AI3144" s="19"/>
      <c r="AJ3144" s="19"/>
      <c r="AK3144" s="19"/>
      <c r="AL3144" s="19"/>
      <c r="AM3144" s="19"/>
      <c r="AN3144" s="19"/>
      <c r="AO3144" s="19"/>
      <c r="AP3144" s="19"/>
      <c r="AQ3144" s="19"/>
      <c r="AR3144" s="19"/>
      <c r="AS3144" s="19"/>
    </row>
    <row r="3145" spans="1:45" x14ac:dyDescent="0.3">
      <c r="A3145" s="410" t="s">
        <v>4847</v>
      </c>
      <c r="B3145" s="17"/>
      <c r="C3145" s="19"/>
      <c r="D3145" s="18"/>
      <c r="E3145" s="18"/>
      <c r="F3145" s="19"/>
      <c r="G3145" s="31"/>
      <c r="H3145" s="31"/>
      <c r="I3145" s="19"/>
      <c r="J3145" s="19"/>
      <c r="K3145" s="21"/>
      <c r="L3145" s="22"/>
      <c r="M3145" s="19"/>
      <c r="N3145" s="20"/>
      <c r="O3145" s="19"/>
      <c r="P3145" s="19"/>
      <c r="Q3145" s="19"/>
      <c r="R3145" s="19"/>
      <c r="S3145" s="19"/>
      <c r="T3145" s="19"/>
      <c r="U3145" s="19"/>
      <c r="V3145" s="19"/>
      <c r="W3145" s="19"/>
      <c r="X3145" s="19"/>
      <c r="Y3145" s="19"/>
      <c r="Z3145" s="19"/>
      <c r="AA3145" s="19"/>
      <c r="AB3145" s="19"/>
      <c r="AC3145" s="19"/>
      <c r="AD3145" s="19"/>
      <c r="AE3145" s="19"/>
      <c r="AF3145" s="19"/>
      <c r="AG3145" s="19"/>
      <c r="AH3145" s="19"/>
      <c r="AI3145" s="19"/>
      <c r="AJ3145" s="19"/>
      <c r="AK3145" s="19"/>
      <c r="AL3145" s="19"/>
      <c r="AM3145" s="19"/>
      <c r="AN3145" s="19"/>
      <c r="AO3145" s="19"/>
      <c r="AP3145" s="19"/>
      <c r="AQ3145" s="19"/>
      <c r="AR3145" s="19"/>
      <c r="AS3145" s="19"/>
    </row>
    <row r="3146" spans="1:45" x14ac:dyDescent="0.3">
      <c r="A3146" s="410" t="s">
        <v>4848</v>
      </c>
      <c r="B3146" s="17"/>
      <c r="C3146" s="19"/>
      <c r="D3146" s="18"/>
      <c r="E3146" s="18"/>
      <c r="F3146" s="19"/>
      <c r="G3146" s="31"/>
      <c r="H3146" s="31"/>
      <c r="I3146" s="19"/>
      <c r="J3146" s="19"/>
      <c r="K3146" s="21"/>
      <c r="L3146" s="22"/>
      <c r="M3146" s="19"/>
      <c r="N3146" s="20"/>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row>
    <row r="3147" spans="1:45" x14ac:dyDescent="0.3">
      <c r="A3147" s="410" t="s">
        <v>4849</v>
      </c>
      <c r="B3147" s="17"/>
      <c r="C3147" s="19"/>
      <c r="D3147" s="18"/>
      <c r="E3147" s="18"/>
      <c r="F3147" s="19"/>
      <c r="G3147" s="31"/>
      <c r="H3147" s="31"/>
      <c r="I3147" s="19"/>
      <c r="J3147" s="19"/>
      <c r="K3147" s="21"/>
      <c r="L3147" s="22"/>
      <c r="M3147" s="19"/>
      <c r="N3147" s="20"/>
      <c r="O3147" s="19"/>
      <c r="P3147" s="19"/>
      <c r="Q3147" s="19"/>
      <c r="R3147" s="19"/>
      <c r="S3147" s="19"/>
      <c r="T3147" s="19"/>
      <c r="U3147" s="19"/>
      <c r="V3147" s="19"/>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AQ3147" s="19"/>
      <c r="AR3147" s="19"/>
      <c r="AS3147" s="19"/>
    </row>
    <row r="3148" spans="1:45" x14ac:dyDescent="0.3">
      <c r="A3148" s="410" t="s">
        <v>4850</v>
      </c>
      <c r="B3148" s="17"/>
      <c r="C3148" s="19"/>
      <c r="D3148" s="18"/>
      <c r="E3148" s="18"/>
      <c r="F3148" s="19"/>
      <c r="G3148" s="31"/>
      <c r="H3148" s="31"/>
      <c r="I3148" s="19"/>
      <c r="J3148" s="19"/>
      <c r="K3148" s="21"/>
      <c r="L3148" s="22"/>
      <c r="M3148" s="19"/>
      <c r="N3148" s="20"/>
      <c r="O3148" s="19"/>
      <c r="P3148" s="19"/>
      <c r="Q3148" s="19"/>
      <c r="R3148" s="19"/>
      <c r="S3148" s="19"/>
      <c r="T3148" s="19"/>
      <c r="U3148" s="19"/>
      <c r="V3148" s="19"/>
      <c r="W3148" s="19"/>
      <c r="X3148" s="19"/>
      <c r="Y3148" s="19"/>
      <c r="Z3148" s="19"/>
      <c r="AA3148" s="19"/>
      <c r="AB3148" s="19"/>
      <c r="AC3148" s="19"/>
      <c r="AD3148" s="19"/>
      <c r="AE3148" s="19"/>
      <c r="AF3148" s="19"/>
      <c r="AG3148" s="19"/>
      <c r="AH3148" s="19"/>
      <c r="AI3148" s="19"/>
      <c r="AJ3148" s="19"/>
      <c r="AK3148" s="19"/>
      <c r="AL3148" s="19"/>
      <c r="AM3148" s="19"/>
      <c r="AN3148" s="19"/>
      <c r="AO3148" s="19"/>
      <c r="AP3148" s="19"/>
      <c r="AQ3148" s="19"/>
      <c r="AR3148" s="19"/>
      <c r="AS3148" s="19"/>
    </row>
    <row r="3149" spans="1:45" x14ac:dyDescent="0.3">
      <c r="A3149" s="410" t="s">
        <v>4851</v>
      </c>
      <c r="B3149" s="17"/>
      <c r="C3149" s="19"/>
      <c r="D3149" s="18"/>
      <c r="E3149" s="18"/>
      <c r="F3149" s="19"/>
      <c r="G3149" s="31"/>
      <c r="H3149" s="31"/>
      <c r="I3149" s="19"/>
      <c r="J3149" s="19"/>
      <c r="K3149" s="21"/>
      <c r="L3149" s="22"/>
      <c r="M3149" s="19"/>
      <c r="N3149" s="20"/>
      <c r="O3149" s="19"/>
      <c r="P3149" s="19"/>
      <c r="Q3149" s="19"/>
      <c r="R3149" s="19"/>
      <c r="S3149" s="19"/>
      <c r="T3149" s="19"/>
      <c r="U3149" s="19"/>
      <c r="V3149" s="19"/>
      <c r="W3149" s="19"/>
      <c r="X3149" s="19"/>
      <c r="Y3149" s="19"/>
      <c r="Z3149" s="19"/>
      <c r="AA3149" s="19"/>
      <c r="AB3149" s="19"/>
      <c r="AC3149" s="19"/>
      <c r="AD3149" s="19"/>
      <c r="AE3149" s="19"/>
      <c r="AF3149" s="19"/>
      <c r="AG3149" s="19"/>
      <c r="AH3149" s="19"/>
      <c r="AI3149" s="19"/>
      <c r="AJ3149" s="19"/>
      <c r="AK3149" s="19"/>
      <c r="AL3149" s="19"/>
      <c r="AM3149" s="19"/>
      <c r="AN3149" s="19"/>
      <c r="AO3149" s="19"/>
      <c r="AP3149" s="19"/>
      <c r="AQ3149" s="19"/>
      <c r="AR3149" s="19"/>
      <c r="AS3149" s="19"/>
    </row>
    <row r="3150" spans="1:45" x14ac:dyDescent="0.3">
      <c r="A3150" s="410" t="s">
        <v>4852</v>
      </c>
      <c r="B3150" s="17"/>
      <c r="C3150" s="19"/>
      <c r="D3150" s="18"/>
      <c r="E3150" s="18"/>
      <c r="F3150" s="19"/>
      <c r="G3150" s="31"/>
      <c r="H3150" s="31"/>
      <c r="I3150" s="19"/>
      <c r="J3150" s="19"/>
      <c r="K3150" s="21"/>
      <c r="L3150" s="22"/>
      <c r="M3150" s="19"/>
      <c r="N3150" s="20"/>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row>
    <row r="3151" spans="1:45" x14ac:dyDescent="0.3">
      <c r="A3151" s="410" t="s">
        <v>4853</v>
      </c>
      <c r="B3151" s="17"/>
      <c r="C3151" s="19"/>
      <c r="D3151" s="18"/>
      <c r="E3151" s="18"/>
      <c r="F3151" s="19"/>
      <c r="G3151" s="31"/>
      <c r="H3151" s="31"/>
      <c r="I3151" s="19"/>
      <c r="J3151" s="19"/>
      <c r="K3151" s="21"/>
      <c r="L3151" s="22"/>
      <c r="M3151" s="19"/>
      <c r="N3151" s="20"/>
      <c r="O3151" s="19"/>
      <c r="P3151" s="19"/>
      <c r="Q3151" s="19"/>
      <c r="R3151" s="19"/>
      <c r="S3151" s="19"/>
      <c r="T3151" s="19"/>
      <c r="U3151" s="19"/>
      <c r="V3151" s="19"/>
      <c r="W3151" s="19"/>
      <c r="X3151" s="19"/>
      <c r="Y3151" s="19"/>
      <c r="Z3151" s="19"/>
      <c r="AA3151" s="19"/>
      <c r="AB3151" s="19"/>
      <c r="AC3151" s="19"/>
      <c r="AD3151" s="19"/>
      <c r="AE3151" s="19"/>
      <c r="AF3151" s="19"/>
      <c r="AG3151" s="19"/>
      <c r="AH3151" s="19"/>
      <c r="AI3151" s="19"/>
      <c r="AJ3151" s="19"/>
      <c r="AK3151" s="19"/>
      <c r="AL3151" s="19"/>
      <c r="AM3151" s="19"/>
      <c r="AN3151" s="19"/>
      <c r="AO3151" s="19"/>
      <c r="AP3151" s="19"/>
      <c r="AQ3151" s="19"/>
      <c r="AR3151" s="19"/>
      <c r="AS3151" s="19"/>
    </row>
    <row r="3152" spans="1:45" x14ac:dyDescent="0.3">
      <c r="A3152" s="410" t="s">
        <v>4854</v>
      </c>
      <c r="B3152" s="17"/>
      <c r="C3152" s="19"/>
      <c r="D3152" s="18"/>
      <c r="E3152" s="18"/>
      <c r="F3152" s="19"/>
      <c r="G3152" s="31"/>
      <c r="H3152" s="31"/>
      <c r="I3152" s="19"/>
      <c r="J3152" s="19"/>
      <c r="K3152" s="21"/>
      <c r="L3152" s="22"/>
      <c r="M3152" s="19"/>
      <c r="N3152" s="20"/>
      <c r="O3152" s="19"/>
      <c r="P3152" s="19"/>
      <c r="Q3152" s="19"/>
      <c r="R3152" s="19"/>
      <c r="S3152" s="19"/>
      <c r="T3152" s="19"/>
      <c r="U3152" s="19"/>
      <c r="V3152" s="19"/>
      <c r="W3152" s="19"/>
      <c r="X3152" s="19"/>
      <c r="Y3152" s="19"/>
      <c r="Z3152" s="19"/>
      <c r="AA3152" s="19"/>
      <c r="AB3152" s="19"/>
      <c r="AC3152" s="19"/>
      <c r="AD3152" s="19"/>
      <c r="AE3152" s="19"/>
      <c r="AF3152" s="19"/>
      <c r="AG3152" s="19"/>
      <c r="AH3152" s="19"/>
      <c r="AI3152" s="19"/>
      <c r="AJ3152" s="19"/>
      <c r="AK3152" s="19"/>
      <c r="AL3152" s="19"/>
      <c r="AM3152" s="19"/>
      <c r="AN3152" s="19"/>
      <c r="AO3152" s="19"/>
      <c r="AP3152" s="19"/>
      <c r="AQ3152" s="19"/>
      <c r="AR3152" s="19"/>
      <c r="AS3152" s="19"/>
    </row>
    <row r="3153" spans="1:45" x14ac:dyDescent="0.3">
      <c r="A3153" s="410" t="s">
        <v>4855</v>
      </c>
      <c r="B3153" s="17"/>
      <c r="C3153" s="19"/>
      <c r="D3153" s="18"/>
      <c r="E3153" s="18"/>
      <c r="F3153" s="19"/>
      <c r="G3153" s="31"/>
      <c r="H3153" s="31"/>
      <c r="I3153" s="19"/>
      <c r="J3153" s="19"/>
      <c r="K3153" s="21"/>
      <c r="L3153" s="22"/>
      <c r="M3153" s="19"/>
      <c r="N3153" s="20"/>
      <c r="O3153" s="19"/>
      <c r="P3153" s="19"/>
      <c r="Q3153" s="19"/>
      <c r="R3153" s="19"/>
      <c r="S3153" s="19"/>
      <c r="T3153" s="19"/>
      <c r="U3153" s="19"/>
      <c r="V3153" s="19"/>
      <c r="W3153" s="19"/>
      <c r="X3153" s="19"/>
      <c r="Y3153" s="19"/>
      <c r="Z3153" s="19"/>
      <c r="AA3153" s="19"/>
      <c r="AB3153" s="19"/>
      <c r="AC3153" s="19"/>
      <c r="AD3153" s="19"/>
      <c r="AE3153" s="19"/>
      <c r="AF3153" s="19"/>
      <c r="AG3153" s="19"/>
      <c r="AH3153" s="19"/>
      <c r="AI3153" s="19"/>
      <c r="AJ3153" s="19"/>
      <c r="AK3153" s="19"/>
      <c r="AL3153" s="19"/>
      <c r="AM3153" s="19"/>
      <c r="AN3153" s="19"/>
      <c r="AO3153" s="19"/>
      <c r="AP3153" s="19"/>
      <c r="AQ3153" s="19"/>
      <c r="AR3153" s="19"/>
      <c r="AS3153" s="19"/>
    </row>
    <row r="3154" spans="1:45" x14ac:dyDescent="0.3">
      <c r="A3154" s="410" t="s">
        <v>4856</v>
      </c>
      <c r="B3154" s="17"/>
      <c r="C3154" s="19"/>
      <c r="D3154" s="18"/>
      <c r="E3154" s="18"/>
      <c r="F3154" s="19"/>
      <c r="G3154" s="31"/>
      <c r="H3154" s="31"/>
      <c r="I3154" s="19"/>
      <c r="J3154" s="19"/>
      <c r="K3154" s="21"/>
      <c r="L3154" s="22"/>
      <c r="M3154" s="19"/>
      <c r="N3154" s="20"/>
      <c r="O3154" s="19"/>
      <c r="P3154" s="19"/>
      <c r="Q3154" s="19"/>
      <c r="R3154" s="19"/>
      <c r="S3154" s="19"/>
      <c r="T3154" s="19"/>
      <c r="U3154" s="19"/>
      <c r="V3154" s="19"/>
      <c r="W3154" s="19"/>
      <c r="X3154" s="19"/>
      <c r="Y3154" s="19"/>
      <c r="Z3154" s="19"/>
      <c r="AA3154" s="19"/>
      <c r="AB3154" s="19"/>
      <c r="AC3154" s="19"/>
      <c r="AD3154" s="19"/>
      <c r="AE3154" s="19"/>
      <c r="AF3154" s="19"/>
      <c r="AG3154" s="19"/>
      <c r="AH3154" s="19"/>
      <c r="AI3154" s="19"/>
      <c r="AJ3154" s="19"/>
      <c r="AK3154" s="19"/>
      <c r="AL3154" s="19"/>
      <c r="AM3154" s="19"/>
      <c r="AN3154" s="19"/>
      <c r="AO3154" s="19"/>
      <c r="AP3154" s="19"/>
      <c r="AQ3154" s="19"/>
      <c r="AR3154" s="19"/>
      <c r="AS3154" s="19"/>
    </row>
    <row r="3155" spans="1:45" x14ac:dyDescent="0.3">
      <c r="A3155" s="410" t="s">
        <v>4857</v>
      </c>
      <c r="B3155" s="17"/>
      <c r="C3155" s="19"/>
      <c r="D3155" s="18"/>
      <c r="E3155" s="18"/>
      <c r="F3155" s="19"/>
      <c r="G3155" s="31"/>
      <c r="H3155" s="31"/>
      <c r="I3155" s="19"/>
      <c r="J3155" s="19"/>
      <c r="K3155" s="21"/>
      <c r="L3155" s="22"/>
      <c r="M3155" s="19"/>
      <c r="N3155" s="20"/>
      <c r="O3155" s="19"/>
      <c r="P3155" s="19"/>
      <c r="Q3155" s="19"/>
      <c r="R3155" s="19"/>
      <c r="S3155" s="19"/>
      <c r="T3155" s="19"/>
      <c r="U3155" s="19"/>
      <c r="V3155" s="19"/>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19"/>
    </row>
    <row r="3156" spans="1:45" x14ac:dyDescent="0.3">
      <c r="A3156" s="410" t="s">
        <v>4858</v>
      </c>
      <c r="B3156" s="17"/>
      <c r="C3156" s="19"/>
      <c r="D3156" s="18"/>
      <c r="E3156" s="18"/>
      <c r="F3156" s="19"/>
      <c r="G3156" s="31"/>
      <c r="H3156" s="31"/>
      <c r="I3156" s="19"/>
      <c r="J3156" s="19"/>
      <c r="K3156" s="21"/>
      <c r="L3156" s="22"/>
      <c r="M3156" s="19"/>
      <c r="N3156" s="20"/>
      <c r="O3156" s="19"/>
      <c r="P3156" s="19"/>
      <c r="Q3156" s="19"/>
      <c r="R3156" s="19"/>
      <c r="S3156" s="19"/>
      <c r="T3156" s="19"/>
      <c r="U3156" s="19"/>
      <c r="V3156" s="19"/>
      <c r="W3156" s="19"/>
      <c r="X3156" s="19"/>
      <c r="Y3156" s="19"/>
      <c r="Z3156" s="19"/>
      <c r="AA3156" s="19"/>
      <c r="AB3156" s="19"/>
      <c r="AC3156" s="19"/>
      <c r="AD3156" s="19"/>
      <c r="AE3156" s="19"/>
      <c r="AF3156" s="19"/>
      <c r="AG3156" s="19"/>
      <c r="AH3156" s="19"/>
      <c r="AI3156" s="19"/>
      <c r="AJ3156" s="19"/>
      <c r="AK3156" s="19"/>
      <c r="AL3156" s="19"/>
      <c r="AM3156" s="19"/>
      <c r="AN3156" s="19"/>
      <c r="AO3156" s="19"/>
      <c r="AP3156" s="19"/>
      <c r="AQ3156" s="19"/>
      <c r="AR3156" s="19"/>
      <c r="AS3156" s="19"/>
    </row>
    <row r="3157" spans="1:45" x14ac:dyDescent="0.3">
      <c r="A3157" s="410" t="s">
        <v>4859</v>
      </c>
      <c r="B3157" s="17"/>
      <c r="C3157" s="19"/>
      <c r="D3157" s="18"/>
      <c r="E3157" s="18"/>
      <c r="F3157" s="19"/>
      <c r="G3157" s="31"/>
      <c r="H3157" s="31"/>
      <c r="I3157" s="19"/>
      <c r="J3157" s="19"/>
      <c r="K3157" s="21"/>
      <c r="L3157" s="22"/>
      <c r="M3157" s="19"/>
      <c r="N3157" s="20"/>
      <c r="O3157" s="19"/>
      <c r="P3157" s="19"/>
      <c r="Q3157" s="19"/>
      <c r="R3157" s="19"/>
      <c r="S3157" s="19"/>
      <c r="T3157" s="19"/>
      <c r="U3157" s="19"/>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19"/>
    </row>
    <row r="3158" spans="1:45" x14ac:dyDescent="0.3">
      <c r="A3158" s="410" t="s">
        <v>4860</v>
      </c>
      <c r="B3158" s="17"/>
      <c r="C3158" s="19"/>
      <c r="D3158" s="18"/>
      <c r="E3158" s="18"/>
      <c r="F3158" s="19"/>
      <c r="G3158" s="31"/>
      <c r="H3158" s="31"/>
      <c r="I3158" s="19"/>
      <c r="J3158" s="19"/>
      <c r="K3158" s="21"/>
      <c r="L3158" s="22"/>
      <c r="M3158" s="19"/>
      <c r="N3158" s="20"/>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row>
    <row r="3159" spans="1:45" x14ac:dyDescent="0.3">
      <c r="A3159" s="410" t="s">
        <v>4861</v>
      </c>
      <c r="B3159" s="17"/>
      <c r="C3159" s="19"/>
      <c r="D3159" s="18"/>
      <c r="E3159" s="18"/>
      <c r="F3159" s="19"/>
      <c r="G3159" s="31"/>
      <c r="H3159" s="31"/>
      <c r="I3159" s="19"/>
      <c r="J3159" s="19"/>
      <c r="K3159" s="21"/>
      <c r="L3159" s="22"/>
      <c r="M3159" s="19"/>
      <c r="N3159" s="20"/>
      <c r="O3159" s="19"/>
      <c r="P3159" s="19"/>
      <c r="Q3159" s="19"/>
      <c r="R3159" s="19"/>
      <c r="S3159" s="19"/>
      <c r="T3159" s="19"/>
      <c r="U3159" s="19"/>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row>
    <row r="3160" spans="1:45" x14ac:dyDescent="0.3">
      <c r="A3160" s="410" t="s">
        <v>4862</v>
      </c>
      <c r="B3160" s="17"/>
      <c r="C3160" s="19"/>
      <c r="D3160" s="18"/>
      <c r="E3160" s="18"/>
      <c r="F3160" s="19"/>
      <c r="G3160" s="31"/>
      <c r="H3160" s="31"/>
      <c r="I3160" s="19"/>
      <c r="J3160" s="19"/>
      <c r="K3160" s="21"/>
      <c r="L3160" s="22"/>
      <c r="M3160" s="19"/>
      <c r="N3160" s="20"/>
      <c r="O3160" s="19"/>
      <c r="P3160" s="19"/>
      <c r="Q3160" s="19"/>
      <c r="R3160" s="19"/>
      <c r="S3160" s="19"/>
      <c r="T3160" s="19"/>
      <c r="U3160" s="19"/>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row>
    <row r="3161" spans="1:45" x14ac:dyDescent="0.3">
      <c r="A3161" s="410" t="s">
        <v>4863</v>
      </c>
      <c r="B3161" s="17"/>
      <c r="C3161" s="19"/>
      <c r="D3161" s="18"/>
      <c r="E3161" s="18"/>
      <c r="F3161" s="19"/>
      <c r="G3161" s="31"/>
      <c r="H3161" s="31"/>
      <c r="I3161" s="19"/>
      <c r="J3161" s="19"/>
      <c r="K3161" s="21"/>
      <c r="L3161" s="22"/>
      <c r="M3161" s="19"/>
      <c r="N3161" s="20"/>
      <c r="O3161" s="19"/>
      <c r="P3161" s="19"/>
      <c r="Q3161" s="19"/>
      <c r="R3161" s="19"/>
      <c r="S3161" s="19"/>
      <c r="T3161" s="19"/>
      <c r="U3161" s="19"/>
      <c r="V3161" s="19"/>
      <c r="W3161" s="19"/>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19"/>
    </row>
    <row r="3162" spans="1:45" x14ac:dyDescent="0.3">
      <c r="A3162" s="410" t="s">
        <v>4864</v>
      </c>
      <c r="B3162" s="17"/>
      <c r="C3162" s="19"/>
      <c r="D3162" s="18"/>
      <c r="E3162" s="18"/>
      <c r="F3162" s="19"/>
      <c r="G3162" s="31"/>
      <c r="H3162" s="31"/>
      <c r="I3162" s="19"/>
      <c r="J3162" s="19"/>
      <c r="K3162" s="21"/>
      <c r="L3162" s="22"/>
      <c r="M3162" s="19"/>
      <c r="N3162" s="20"/>
      <c r="O3162" s="19"/>
      <c r="P3162" s="19"/>
      <c r="Q3162" s="19"/>
      <c r="R3162" s="19"/>
      <c r="S3162" s="19"/>
      <c r="T3162" s="19"/>
      <c r="U3162" s="19"/>
      <c r="V3162" s="19"/>
      <c r="W3162" s="19"/>
      <c r="X3162" s="19"/>
      <c r="Y3162" s="19"/>
      <c r="Z3162" s="19"/>
      <c r="AA3162" s="19"/>
      <c r="AB3162" s="19"/>
      <c r="AC3162" s="19"/>
      <c r="AD3162" s="19"/>
      <c r="AE3162" s="19"/>
      <c r="AF3162" s="19"/>
      <c r="AG3162" s="19"/>
      <c r="AH3162" s="19"/>
      <c r="AI3162" s="19"/>
      <c r="AJ3162" s="19"/>
      <c r="AK3162" s="19"/>
      <c r="AL3162" s="19"/>
      <c r="AM3162" s="19"/>
      <c r="AN3162" s="19"/>
      <c r="AO3162" s="19"/>
      <c r="AP3162" s="19"/>
      <c r="AQ3162" s="19"/>
      <c r="AR3162" s="19"/>
      <c r="AS3162" s="19"/>
    </row>
    <row r="3163" spans="1:45" x14ac:dyDescent="0.3">
      <c r="A3163" s="410" t="s">
        <v>4865</v>
      </c>
      <c r="B3163" s="17"/>
      <c r="C3163" s="19"/>
      <c r="D3163" s="18"/>
      <c r="E3163" s="18"/>
      <c r="F3163" s="19"/>
      <c r="G3163" s="31"/>
      <c r="H3163" s="31"/>
      <c r="I3163" s="19"/>
      <c r="J3163" s="19"/>
      <c r="K3163" s="21"/>
      <c r="L3163" s="22"/>
      <c r="M3163" s="19"/>
      <c r="N3163" s="20"/>
      <c r="O3163" s="19"/>
      <c r="P3163" s="19"/>
      <c r="Q3163" s="19"/>
      <c r="R3163" s="19"/>
      <c r="S3163" s="19"/>
      <c r="T3163" s="19"/>
      <c r="U3163" s="19"/>
      <c r="V3163" s="19"/>
      <c r="W3163" s="19"/>
      <c r="X3163" s="19"/>
      <c r="Y3163" s="19"/>
      <c r="Z3163" s="19"/>
      <c r="AA3163" s="19"/>
      <c r="AB3163" s="19"/>
      <c r="AC3163" s="19"/>
      <c r="AD3163" s="19"/>
      <c r="AE3163" s="19"/>
      <c r="AF3163" s="19"/>
      <c r="AG3163" s="19"/>
      <c r="AH3163" s="19"/>
      <c r="AI3163" s="19"/>
      <c r="AJ3163" s="19"/>
      <c r="AK3163" s="19"/>
      <c r="AL3163" s="19"/>
      <c r="AM3163" s="19"/>
      <c r="AN3163" s="19"/>
      <c r="AO3163" s="19"/>
      <c r="AP3163" s="19"/>
      <c r="AQ3163" s="19"/>
      <c r="AR3163" s="19"/>
      <c r="AS3163" s="19"/>
    </row>
    <row r="3164" spans="1:45" x14ac:dyDescent="0.3">
      <c r="A3164" s="410" t="s">
        <v>4866</v>
      </c>
      <c r="B3164" s="17"/>
      <c r="C3164" s="19"/>
      <c r="D3164" s="18"/>
      <c r="E3164" s="18"/>
      <c r="F3164" s="19"/>
      <c r="G3164" s="31"/>
      <c r="H3164" s="31"/>
      <c r="I3164" s="19"/>
      <c r="J3164" s="19"/>
      <c r="K3164" s="21"/>
      <c r="L3164" s="22"/>
      <c r="M3164" s="19"/>
      <c r="N3164" s="20"/>
      <c r="O3164" s="19"/>
      <c r="P3164" s="19"/>
      <c r="Q3164" s="19"/>
      <c r="R3164" s="19"/>
      <c r="S3164" s="19"/>
      <c r="T3164" s="19"/>
      <c r="U3164" s="19"/>
      <c r="V3164" s="19"/>
      <c r="W3164" s="19"/>
      <c r="X3164" s="19"/>
      <c r="Y3164" s="19"/>
      <c r="Z3164" s="19"/>
      <c r="AA3164" s="19"/>
      <c r="AB3164" s="19"/>
      <c r="AC3164" s="19"/>
      <c r="AD3164" s="19"/>
      <c r="AE3164" s="19"/>
      <c r="AF3164" s="19"/>
      <c r="AG3164" s="19"/>
      <c r="AH3164" s="19"/>
      <c r="AI3164" s="19"/>
      <c r="AJ3164" s="19"/>
      <c r="AK3164" s="19"/>
      <c r="AL3164" s="19"/>
      <c r="AM3164" s="19"/>
      <c r="AN3164" s="19"/>
      <c r="AO3164" s="19"/>
      <c r="AP3164" s="19"/>
      <c r="AQ3164" s="19"/>
      <c r="AR3164" s="19"/>
      <c r="AS3164" s="19"/>
    </row>
    <row r="3165" spans="1:45" x14ac:dyDescent="0.3">
      <c r="A3165" s="410" t="s">
        <v>4867</v>
      </c>
      <c r="B3165" s="17"/>
      <c r="C3165" s="19"/>
      <c r="D3165" s="18"/>
      <c r="E3165" s="18"/>
      <c r="F3165" s="19"/>
      <c r="G3165" s="31"/>
      <c r="H3165" s="31"/>
      <c r="I3165" s="19"/>
      <c r="J3165" s="19"/>
      <c r="K3165" s="21"/>
      <c r="L3165" s="22"/>
      <c r="M3165" s="19"/>
      <c r="N3165" s="20"/>
      <c r="O3165" s="19"/>
      <c r="P3165" s="19"/>
      <c r="Q3165" s="19"/>
      <c r="R3165" s="19"/>
      <c r="S3165" s="19"/>
      <c r="T3165" s="19"/>
      <c r="U3165" s="19"/>
      <c r="V3165" s="19"/>
      <c r="W3165" s="19"/>
      <c r="X3165" s="19"/>
      <c r="Y3165" s="19"/>
      <c r="Z3165" s="19"/>
      <c r="AA3165" s="19"/>
      <c r="AB3165" s="19"/>
      <c r="AC3165" s="19"/>
      <c r="AD3165" s="19"/>
      <c r="AE3165" s="19"/>
      <c r="AF3165" s="19"/>
      <c r="AG3165" s="19"/>
      <c r="AH3165" s="19"/>
      <c r="AI3165" s="19"/>
      <c r="AJ3165" s="19"/>
      <c r="AK3165" s="19"/>
      <c r="AL3165" s="19"/>
      <c r="AM3165" s="19"/>
      <c r="AN3165" s="19"/>
      <c r="AO3165" s="19"/>
      <c r="AP3165" s="19"/>
      <c r="AQ3165" s="19"/>
      <c r="AR3165" s="19"/>
      <c r="AS3165" s="19"/>
    </row>
    <row r="3166" spans="1:45" x14ac:dyDescent="0.3">
      <c r="A3166" s="410" t="s">
        <v>4868</v>
      </c>
      <c r="B3166" s="17"/>
      <c r="C3166" s="19"/>
      <c r="D3166" s="18"/>
      <c r="E3166" s="18"/>
      <c r="F3166" s="19"/>
      <c r="G3166" s="31"/>
      <c r="H3166" s="31"/>
      <c r="I3166" s="19"/>
      <c r="J3166" s="19"/>
      <c r="K3166" s="21"/>
      <c r="L3166" s="22"/>
      <c r="M3166" s="19"/>
      <c r="N3166" s="20"/>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row>
    <row r="3167" spans="1:45" x14ac:dyDescent="0.3">
      <c r="A3167" s="410" t="s">
        <v>4869</v>
      </c>
      <c r="B3167" s="17"/>
      <c r="C3167" s="19"/>
      <c r="D3167" s="18"/>
      <c r="E3167" s="18"/>
      <c r="F3167" s="19"/>
      <c r="G3167" s="31"/>
      <c r="H3167" s="31"/>
      <c r="I3167" s="19"/>
      <c r="J3167" s="19"/>
      <c r="K3167" s="21"/>
      <c r="L3167" s="22"/>
      <c r="M3167" s="19"/>
      <c r="N3167" s="20"/>
      <c r="O3167" s="19"/>
      <c r="P3167" s="19"/>
      <c r="Q3167" s="19"/>
      <c r="R3167" s="19"/>
      <c r="S3167" s="19"/>
      <c r="T3167" s="19"/>
      <c r="U3167" s="19"/>
      <c r="V3167" s="19"/>
      <c r="W3167" s="19"/>
      <c r="X3167" s="19"/>
      <c r="Y3167" s="19"/>
      <c r="Z3167" s="19"/>
      <c r="AA3167" s="19"/>
      <c r="AB3167" s="19"/>
      <c r="AC3167" s="19"/>
      <c r="AD3167" s="19"/>
      <c r="AE3167" s="19"/>
      <c r="AF3167" s="19"/>
      <c r="AG3167" s="19"/>
      <c r="AH3167" s="19"/>
      <c r="AI3167" s="19"/>
      <c r="AJ3167" s="19"/>
      <c r="AK3167" s="19"/>
      <c r="AL3167" s="19"/>
      <c r="AM3167" s="19"/>
      <c r="AN3167" s="19"/>
      <c r="AO3167" s="19"/>
      <c r="AP3167" s="19"/>
      <c r="AQ3167" s="19"/>
      <c r="AR3167" s="19"/>
      <c r="AS3167" s="19"/>
    </row>
    <row r="3168" spans="1:45" x14ac:dyDescent="0.3">
      <c r="A3168" s="410" t="s">
        <v>4870</v>
      </c>
      <c r="B3168" s="17"/>
      <c r="C3168" s="19"/>
      <c r="D3168" s="18"/>
      <c r="E3168" s="18"/>
      <c r="F3168" s="19"/>
      <c r="G3168" s="31"/>
      <c r="H3168" s="31"/>
      <c r="I3168" s="19"/>
      <c r="J3168" s="19"/>
      <c r="K3168" s="21"/>
      <c r="L3168" s="22"/>
      <c r="M3168" s="19"/>
      <c r="N3168" s="20"/>
      <c r="O3168" s="19"/>
      <c r="P3168" s="19"/>
      <c r="Q3168" s="19"/>
      <c r="R3168" s="19"/>
      <c r="S3168" s="19"/>
      <c r="T3168" s="19"/>
      <c r="U3168" s="19"/>
      <c r="V3168" s="19"/>
      <c r="W3168" s="19"/>
      <c r="X3168" s="19"/>
      <c r="Y3168" s="19"/>
      <c r="Z3168" s="19"/>
      <c r="AA3168" s="19"/>
      <c r="AB3168" s="19"/>
      <c r="AC3168" s="19"/>
      <c r="AD3168" s="19"/>
      <c r="AE3168" s="19"/>
      <c r="AF3168" s="19"/>
      <c r="AG3168" s="19"/>
      <c r="AH3168" s="19"/>
      <c r="AI3168" s="19"/>
      <c r="AJ3168" s="19"/>
      <c r="AK3168" s="19"/>
      <c r="AL3168" s="19"/>
      <c r="AM3168" s="19"/>
      <c r="AN3168" s="19"/>
      <c r="AO3168" s="19"/>
      <c r="AP3168" s="19"/>
      <c r="AQ3168" s="19"/>
      <c r="AR3168" s="19"/>
      <c r="AS3168" s="19"/>
    </row>
    <row r="3169" spans="1:45" x14ac:dyDescent="0.3">
      <c r="A3169" s="410" t="s">
        <v>4871</v>
      </c>
      <c r="B3169" s="17"/>
      <c r="C3169" s="19"/>
      <c r="D3169" s="18"/>
      <c r="E3169" s="18"/>
      <c r="F3169" s="19"/>
      <c r="G3169" s="31"/>
      <c r="H3169" s="31"/>
      <c r="I3169" s="19"/>
      <c r="J3169" s="19"/>
      <c r="K3169" s="21"/>
      <c r="L3169" s="22"/>
      <c r="M3169" s="19"/>
      <c r="N3169" s="20"/>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row>
    <row r="3170" spans="1:45" x14ac:dyDescent="0.3">
      <c r="A3170" s="410"/>
      <c r="B3170" s="17"/>
      <c r="C3170" s="19"/>
      <c r="D3170" s="18"/>
      <c r="E3170" s="18"/>
      <c r="F3170" s="19"/>
      <c r="G3170" s="31"/>
      <c r="H3170" s="31"/>
      <c r="I3170" s="19"/>
      <c r="J3170" s="19"/>
      <c r="K3170" s="21"/>
      <c r="L3170" s="22"/>
      <c r="M3170" s="19"/>
      <c r="N3170" s="20"/>
      <c r="O3170" s="19"/>
      <c r="P3170" s="19"/>
      <c r="Q3170" s="19"/>
      <c r="R3170" s="19"/>
      <c r="S3170" s="19"/>
      <c r="T3170" s="19"/>
      <c r="U3170" s="19"/>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row>
    <row r="3171" spans="1:45" x14ac:dyDescent="0.3">
      <c r="A3171" s="410" t="s">
        <v>4872</v>
      </c>
      <c r="B3171" s="17" t="s">
        <v>4873</v>
      </c>
      <c r="C3171" s="19"/>
      <c r="D3171" s="19">
        <v>23179908</v>
      </c>
      <c r="E3171" s="18"/>
      <c r="F3171" s="19"/>
      <c r="G3171" s="31"/>
      <c r="H3171" s="31"/>
      <c r="I3171" s="19"/>
      <c r="J3171" s="19"/>
      <c r="K3171" s="21"/>
      <c r="L3171" s="22"/>
      <c r="M3171" s="19"/>
      <c r="N3171" s="20"/>
      <c r="O3171" s="19"/>
      <c r="P3171" s="19"/>
      <c r="Q3171" s="19"/>
      <c r="R3171" s="19"/>
      <c r="S3171" s="19"/>
      <c r="T3171" s="19"/>
      <c r="U3171" s="19"/>
      <c r="V3171" s="19"/>
      <c r="W3171" s="19"/>
      <c r="X3171" s="19"/>
      <c r="Y3171" s="19"/>
      <c r="Z3171" s="19"/>
      <c r="AA3171" s="19"/>
      <c r="AB3171" s="19"/>
      <c r="AC3171" s="19"/>
      <c r="AD3171" s="19"/>
      <c r="AE3171" s="19"/>
      <c r="AF3171" s="19"/>
      <c r="AG3171" s="19"/>
      <c r="AH3171" s="19"/>
      <c r="AI3171" s="19"/>
      <c r="AJ3171" s="19"/>
      <c r="AK3171" s="19"/>
      <c r="AL3171" s="19"/>
      <c r="AM3171" s="19"/>
      <c r="AN3171" s="19"/>
      <c r="AO3171" s="19"/>
      <c r="AP3171" s="19"/>
      <c r="AQ3171" s="19"/>
      <c r="AR3171" s="19"/>
      <c r="AS3171" s="19"/>
    </row>
    <row r="3172" spans="1:45" x14ac:dyDescent="0.3">
      <c r="A3172" s="410" t="s">
        <v>4874</v>
      </c>
      <c r="B3172" s="17" t="s">
        <v>4875</v>
      </c>
      <c r="C3172" s="19"/>
      <c r="D3172" s="19">
        <v>23182585</v>
      </c>
      <c r="E3172" s="18"/>
      <c r="F3172" s="19"/>
      <c r="G3172" s="31"/>
      <c r="H3172" s="31"/>
      <c r="I3172" s="19"/>
      <c r="J3172" s="19"/>
      <c r="K3172" s="21"/>
      <c r="L3172" s="22"/>
      <c r="M3172" s="19"/>
      <c r="N3172" s="20"/>
      <c r="O3172" s="19"/>
      <c r="P3172" s="19"/>
      <c r="Q3172" s="19"/>
      <c r="R3172" s="19"/>
      <c r="S3172" s="19"/>
      <c r="T3172" s="19"/>
      <c r="U3172" s="19"/>
      <c r="V3172" s="19"/>
      <c r="W3172" s="19"/>
      <c r="X3172" s="19"/>
      <c r="Y3172" s="19"/>
      <c r="Z3172" s="19"/>
      <c r="AA3172" s="19"/>
      <c r="AB3172" s="19"/>
      <c r="AC3172" s="19"/>
      <c r="AD3172" s="19"/>
      <c r="AE3172" s="19"/>
      <c r="AF3172" s="19"/>
      <c r="AG3172" s="19"/>
      <c r="AH3172" s="19"/>
      <c r="AI3172" s="19"/>
      <c r="AJ3172" s="19"/>
      <c r="AK3172" s="19"/>
      <c r="AL3172" s="19"/>
      <c r="AM3172" s="19"/>
      <c r="AN3172" s="19"/>
      <c r="AO3172" s="19"/>
      <c r="AP3172" s="19"/>
      <c r="AQ3172" s="19"/>
      <c r="AR3172" s="19"/>
      <c r="AS3172" s="19"/>
    </row>
    <row r="3173" spans="1:45" x14ac:dyDescent="0.3">
      <c r="A3173" s="410" t="s">
        <v>4876</v>
      </c>
      <c r="B3173" s="17" t="s">
        <v>4877</v>
      </c>
      <c r="C3173" s="19"/>
      <c r="D3173" s="19">
        <v>23191873</v>
      </c>
      <c r="E3173" s="18"/>
      <c r="F3173" s="19"/>
      <c r="G3173" s="31"/>
      <c r="H3173" s="31"/>
      <c r="I3173" s="19"/>
      <c r="J3173" s="19"/>
      <c r="K3173" s="21"/>
      <c r="L3173" s="22"/>
      <c r="M3173" s="19"/>
      <c r="N3173" s="20"/>
      <c r="O3173" s="19"/>
      <c r="P3173" s="19"/>
      <c r="Q3173" s="19"/>
      <c r="R3173" s="19"/>
      <c r="S3173" s="19"/>
      <c r="T3173" s="19"/>
      <c r="U3173" s="19"/>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19"/>
    </row>
    <row r="3174" spans="1:45" x14ac:dyDescent="0.3">
      <c r="A3174" s="410" t="s">
        <v>4878</v>
      </c>
      <c r="B3174" s="17" t="s">
        <v>4879</v>
      </c>
      <c r="C3174" s="19"/>
      <c r="D3174" s="19">
        <v>23197331</v>
      </c>
      <c r="E3174" s="18"/>
      <c r="F3174" s="19"/>
      <c r="G3174" s="31"/>
      <c r="H3174" s="31"/>
      <c r="I3174" s="19"/>
      <c r="J3174" s="19"/>
      <c r="K3174" s="21"/>
      <c r="L3174" s="22"/>
      <c r="M3174" s="19"/>
      <c r="N3174" s="20"/>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row>
    <row r="3175" spans="1:45" x14ac:dyDescent="0.3">
      <c r="A3175" s="410" t="s">
        <v>4880</v>
      </c>
      <c r="B3175" s="17" t="s">
        <v>4881</v>
      </c>
      <c r="C3175" s="19"/>
      <c r="D3175" s="19">
        <v>23202860</v>
      </c>
      <c r="E3175" s="18"/>
      <c r="F3175" s="19"/>
      <c r="G3175" s="31"/>
      <c r="H3175" s="31"/>
      <c r="I3175" s="19"/>
      <c r="J3175" s="19"/>
      <c r="K3175" s="21"/>
      <c r="L3175" s="22"/>
      <c r="M3175" s="19"/>
      <c r="N3175" s="20"/>
      <c r="O3175" s="19"/>
      <c r="P3175" s="19"/>
      <c r="Q3175" s="19"/>
      <c r="R3175" s="19"/>
      <c r="S3175" s="19"/>
      <c r="T3175" s="19"/>
      <c r="U3175" s="19"/>
      <c r="V3175" s="19"/>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AQ3175" s="19"/>
      <c r="AR3175" s="19"/>
      <c r="AS3175" s="19"/>
    </row>
    <row r="3176" spans="1:45" x14ac:dyDescent="0.3">
      <c r="A3176" s="410" t="s">
        <v>4882</v>
      </c>
      <c r="B3176" s="17" t="s">
        <v>4883</v>
      </c>
      <c r="C3176" s="19"/>
      <c r="D3176" s="19">
        <v>23188315</v>
      </c>
      <c r="E3176" s="18"/>
      <c r="F3176" s="19"/>
      <c r="G3176" s="31"/>
      <c r="H3176" s="31"/>
      <c r="I3176" s="19"/>
      <c r="J3176" s="19"/>
      <c r="K3176" s="21"/>
      <c r="L3176" s="22"/>
      <c r="M3176" s="19"/>
      <c r="N3176" s="20"/>
      <c r="O3176" s="19"/>
      <c r="P3176" s="19"/>
      <c r="Q3176" s="19"/>
      <c r="R3176" s="19"/>
      <c r="S3176" s="19"/>
      <c r="T3176" s="19"/>
      <c r="U3176" s="19"/>
      <c r="V3176" s="19"/>
      <c r="W3176" s="19"/>
      <c r="X3176" s="19"/>
      <c r="Y3176" s="19"/>
      <c r="Z3176" s="19"/>
      <c r="AA3176" s="19"/>
      <c r="AB3176" s="19"/>
      <c r="AC3176" s="19"/>
      <c r="AD3176" s="19"/>
      <c r="AE3176" s="19"/>
      <c r="AF3176" s="19"/>
      <c r="AG3176" s="19"/>
      <c r="AH3176" s="19"/>
      <c r="AI3176" s="19"/>
      <c r="AJ3176" s="19"/>
      <c r="AK3176" s="19"/>
      <c r="AL3176" s="19"/>
      <c r="AM3176" s="19"/>
      <c r="AN3176" s="19"/>
      <c r="AO3176" s="19"/>
      <c r="AP3176" s="19"/>
      <c r="AQ3176" s="19"/>
      <c r="AR3176" s="19"/>
      <c r="AS3176" s="19"/>
    </row>
    <row r="3177" spans="1:45" x14ac:dyDescent="0.3">
      <c r="A3177" s="410" t="s">
        <v>4884</v>
      </c>
      <c r="B3177" s="17" t="s">
        <v>4885</v>
      </c>
      <c r="C3177" s="19"/>
      <c r="D3177" s="19">
        <v>23148976</v>
      </c>
      <c r="E3177" s="18"/>
      <c r="F3177" s="19"/>
      <c r="G3177" s="31"/>
      <c r="H3177" s="31"/>
      <c r="I3177" s="19"/>
      <c r="J3177" s="19"/>
      <c r="K3177" s="21"/>
      <c r="L3177" s="22"/>
      <c r="M3177" s="19"/>
      <c r="N3177" s="20"/>
      <c r="O3177" s="19"/>
      <c r="P3177" s="19"/>
      <c r="Q3177" s="19"/>
      <c r="R3177" s="19"/>
      <c r="S3177" s="19"/>
      <c r="T3177" s="19"/>
      <c r="U3177" s="19"/>
      <c r="V3177" s="19"/>
      <c r="W3177" s="19"/>
      <c r="X3177" s="19"/>
      <c r="Y3177" s="19"/>
      <c r="Z3177" s="19"/>
      <c r="AA3177" s="19"/>
      <c r="AB3177" s="19"/>
      <c r="AC3177" s="19"/>
      <c r="AD3177" s="19"/>
      <c r="AE3177" s="19"/>
      <c r="AF3177" s="19"/>
      <c r="AG3177" s="19"/>
      <c r="AH3177" s="19"/>
      <c r="AI3177" s="19"/>
      <c r="AJ3177" s="19"/>
      <c r="AK3177" s="19"/>
      <c r="AL3177" s="19"/>
      <c r="AM3177" s="19"/>
      <c r="AN3177" s="19"/>
      <c r="AO3177" s="19"/>
      <c r="AP3177" s="19"/>
      <c r="AQ3177" s="19"/>
      <c r="AR3177" s="19"/>
      <c r="AS3177" s="19"/>
    </row>
    <row r="3178" spans="1:45" x14ac:dyDescent="0.3">
      <c r="A3178" s="410" t="s">
        <v>4886</v>
      </c>
      <c r="B3178" s="17" t="s">
        <v>4887</v>
      </c>
      <c r="C3178" s="19"/>
      <c r="D3178" s="19">
        <v>23198206</v>
      </c>
      <c r="E3178" s="18"/>
      <c r="F3178" s="19"/>
      <c r="G3178" s="31"/>
      <c r="H3178" s="31"/>
      <c r="I3178" s="19"/>
      <c r="J3178" s="19"/>
      <c r="K3178" s="21"/>
      <c r="L3178" s="22"/>
      <c r="M3178" s="19"/>
      <c r="N3178" s="20"/>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row>
    <row r="3179" spans="1:45" x14ac:dyDescent="0.3">
      <c r="A3179" s="410" t="s">
        <v>4888</v>
      </c>
      <c r="B3179" s="17"/>
      <c r="C3179" s="19"/>
      <c r="D3179" s="19"/>
      <c r="E3179" s="18"/>
      <c r="F3179" s="19"/>
      <c r="G3179" s="31"/>
      <c r="H3179" s="31"/>
      <c r="I3179" s="19"/>
      <c r="J3179" s="19"/>
      <c r="K3179" s="21"/>
      <c r="L3179" s="22"/>
      <c r="M3179" s="19"/>
      <c r="N3179" s="20"/>
      <c r="O3179" s="19"/>
      <c r="P3179" s="19"/>
      <c r="Q3179" s="19"/>
      <c r="R3179" s="19"/>
      <c r="S3179" s="19"/>
      <c r="T3179" s="19"/>
      <c r="U3179" s="19"/>
      <c r="V3179" s="19"/>
      <c r="W3179" s="19"/>
      <c r="X3179" s="19"/>
      <c r="Y3179" s="19"/>
      <c r="Z3179" s="19"/>
      <c r="AA3179" s="19"/>
      <c r="AB3179" s="19"/>
      <c r="AC3179" s="19"/>
      <c r="AD3179" s="19"/>
      <c r="AE3179" s="19"/>
      <c r="AF3179" s="19"/>
      <c r="AG3179" s="19"/>
      <c r="AH3179" s="19"/>
      <c r="AI3179" s="19"/>
      <c r="AJ3179" s="19"/>
      <c r="AK3179" s="19"/>
      <c r="AL3179" s="19"/>
      <c r="AM3179" s="19"/>
      <c r="AN3179" s="19"/>
      <c r="AO3179" s="19"/>
      <c r="AP3179" s="19"/>
      <c r="AQ3179" s="19"/>
      <c r="AR3179" s="19"/>
      <c r="AS3179" s="19"/>
    </row>
    <row r="3180" spans="1:45" x14ac:dyDescent="0.3">
      <c r="A3180" s="410" t="s">
        <v>4889</v>
      </c>
      <c r="B3180" s="17"/>
      <c r="C3180" s="19"/>
      <c r="D3180" s="18"/>
      <c r="E3180" s="18"/>
      <c r="F3180" s="19"/>
      <c r="G3180" s="31"/>
      <c r="H3180" s="31"/>
      <c r="I3180" s="19"/>
      <c r="J3180" s="19"/>
      <c r="K3180" s="21"/>
      <c r="L3180" s="22"/>
      <c r="M3180" s="19"/>
      <c r="N3180" s="20"/>
      <c r="O3180" s="19"/>
      <c r="P3180" s="19"/>
      <c r="Q3180" s="19"/>
      <c r="R3180" s="19"/>
      <c r="S3180" s="19"/>
      <c r="T3180" s="19"/>
      <c r="U3180" s="19"/>
      <c r="V3180" s="19"/>
      <c r="W3180" s="19"/>
      <c r="X3180" s="19"/>
      <c r="Y3180" s="19"/>
      <c r="Z3180" s="19"/>
      <c r="AA3180" s="19"/>
      <c r="AB3180" s="19"/>
      <c r="AC3180" s="19"/>
      <c r="AD3180" s="19"/>
      <c r="AE3180" s="19"/>
      <c r="AF3180" s="19"/>
      <c r="AG3180" s="19"/>
      <c r="AH3180" s="19"/>
      <c r="AI3180" s="19"/>
      <c r="AJ3180" s="19"/>
      <c r="AK3180" s="19"/>
      <c r="AL3180" s="19"/>
      <c r="AM3180" s="19"/>
      <c r="AN3180" s="19"/>
      <c r="AO3180" s="19"/>
      <c r="AP3180" s="19"/>
      <c r="AQ3180" s="19"/>
      <c r="AR3180" s="19"/>
      <c r="AS3180" s="19"/>
    </row>
    <row r="3181" spans="1:45" x14ac:dyDescent="0.3">
      <c r="A3181" s="410" t="s">
        <v>4890</v>
      </c>
      <c r="B3181" s="17"/>
      <c r="C3181" s="19"/>
      <c r="D3181" s="18"/>
      <c r="E3181" s="18"/>
      <c r="F3181" s="19"/>
      <c r="G3181" s="31"/>
      <c r="H3181" s="31"/>
      <c r="I3181" s="19"/>
      <c r="J3181" s="19"/>
      <c r="K3181" s="21"/>
      <c r="L3181" s="22"/>
      <c r="M3181" s="19"/>
      <c r="N3181" s="20"/>
      <c r="O3181" s="19"/>
      <c r="P3181" s="19"/>
      <c r="Q3181" s="19"/>
      <c r="R3181" s="19"/>
      <c r="S3181" s="19"/>
      <c r="T3181" s="19"/>
      <c r="U3181" s="19"/>
      <c r="V3181" s="19"/>
      <c r="W3181" s="19"/>
      <c r="X3181" s="19"/>
      <c r="Y3181" s="19"/>
      <c r="Z3181" s="19"/>
      <c r="AA3181" s="19"/>
      <c r="AB3181" s="19"/>
      <c r="AC3181" s="19"/>
      <c r="AD3181" s="19"/>
      <c r="AE3181" s="19"/>
      <c r="AF3181" s="19"/>
      <c r="AG3181" s="19"/>
      <c r="AH3181" s="19"/>
      <c r="AI3181" s="19"/>
      <c r="AJ3181" s="19"/>
      <c r="AK3181" s="19"/>
      <c r="AL3181" s="19"/>
      <c r="AM3181" s="19"/>
      <c r="AN3181" s="19"/>
      <c r="AO3181" s="19"/>
      <c r="AP3181" s="19"/>
      <c r="AQ3181" s="19"/>
      <c r="AR3181" s="19"/>
      <c r="AS3181" s="19"/>
    </row>
    <row r="3182" spans="1:45" x14ac:dyDescent="0.3">
      <c r="A3182" s="410" t="s">
        <v>4891</v>
      </c>
      <c r="B3182" s="17"/>
      <c r="C3182" s="19"/>
      <c r="D3182" s="18"/>
      <c r="E3182" s="18"/>
      <c r="F3182" s="19"/>
      <c r="G3182" s="31"/>
      <c r="H3182" s="31"/>
      <c r="I3182" s="19"/>
      <c r="J3182" s="19"/>
      <c r="K3182" s="21"/>
      <c r="L3182" s="22"/>
      <c r="M3182" s="19"/>
      <c r="N3182" s="20"/>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row>
    <row r="3183" spans="1:45" x14ac:dyDescent="0.3">
      <c r="A3183" s="410" t="s">
        <v>4892</v>
      </c>
      <c r="B3183" s="17"/>
      <c r="C3183" s="19"/>
      <c r="D3183" s="18"/>
      <c r="E3183" s="18"/>
      <c r="F3183" s="19"/>
      <c r="G3183" s="31"/>
      <c r="H3183" s="31"/>
      <c r="I3183" s="19"/>
      <c r="J3183" s="19"/>
      <c r="K3183" s="21"/>
      <c r="L3183" s="22"/>
      <c r="M3183" s="19"/>
      <c r="N3183" s="20"/>
      <c r="O3183" s="19"/>
      <c r="P3183" s="19"/>
      <c r="Q3183" s="19"/>
      <c r="R3183" s="19"/>
      <c r="S3183" s="19"/>
      <c r="T3183" s="19"/>
      <c r="U3183" s="19"/>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row>
    <row r="3184" spans="1:45" x14ac:dyDescent="0.3">
      <c r="A3184" s="410" t="s">
        <v>4893</v>
      </c>
      <c r="B3184" s="17"/>
      <c r="C3184" s="19"/>
      <c r="D3184" s="18"/>
      <c r="E3184" s="18"/>
      <c r="F3184" s="19"/>
      <c r="G3184" s="31"/>
      <c r="H3184" s="31"/>
      <c r="I3184" s="19"/>
      <c r="J3184" s="19"/>
      <c r="K3184" s="21"/>
      <c r="L3184" s="22"/>
      <c r="M3184" s="19"/>
      <c r="N3184" s="20"/>
      <c r="O3184" s="19"/>
      <c r="P3184" s="19"/>
      <c r="Q3184" s="19"/>
      <c r="R3184" s="19"/>
      <c r="S3184" s="19"/>
      <c r="T3184" s="19"/>
      <c r="U3184" s="19"/>
      <c r="V3184" s="19"/>
      <c r="W3184" s="19"/>
      <c r="X3184" s="19"/>
      <c r="Y3184" s="19"/>
      <c r="Z3184" s="19"/>
      <c r="AA3184" s="19"/>
      <c r="AB3184" s="19"/>
      <c r="AC3184" s="19"/>
      <c r="AD3184" s="19"/>
      <c r="AE3184" s="19"/>
      <c r="AF3184" s="19"/>
      <c r="AG3184" s="19"/>
      <c r="AH3184" s="19"/>
      <c r="AI3184" s="19"/>
      <c r="AJ3184" s="19"/>
      <c r="AK3184" s="19"/>
      <c r="AL3184" s="19"/>
      <c r="AM3184" s="19"/>
      <c r="AN3184" s="19"/>
      <c r="AO3184" s="19"/>
      <c r="AP3184" s="19"/>
      <c r="AQ3184" s="19"/>
      <c r="AR3184" s="19"/>
      <c r="AS3184" s="19"/>
    </row>
    <row r="3185" spans="1:45" x14ac:dyDescent="0.3">
      <c r="A3185" s="410" t="s">
        <v>4894</v>
      </c>
      <c r="B3185" s="17"/>
      <c r="C3185" s="19"/>
      <c r="D3185" s="18"/>
      <c r="E3185" s="18"/>
      <c r="F3185" s="19"/>
      <c r="G3185" s="31"/>
      <c r="H3185" s="31"/>
      <c r="I3185" s="19"/>
      <c r="J3185" s="19"/>
      <c r="K3185" s="21"/>
      <c r="L3185" s="22"/>
      <c r="M3185" s="19"/>
      <c r="N3185" s="20"/>
      <c r="O3185" s="19"/>
      <c r="P3185" s="19"/>
      <c r="Q3185" s="19"/>
      <c r="R3185" s="19"/>
      <c r="S3185" s="19"/>
      <c r="T3185" s="19"/>
      <c r="U3185" s="19"/>
      <c r="V3185" s="19"/>
      <c r="W3185" s="19"/>
      <c r="X3185" s="19"/>
      <c r="Y3185" s="19"/>
      <c r="Z3185" s="19"/>
      <c r="AA3185" s="19"/>
      <c r="AB3185" s="19"/>
      <c r="AC3185" s="19"/>
      <c r="AD3185" s="19"/>
      <c r="AE3185" s="19"/>
      <c r="AF3185" s="19"/>
      <c r="AG3185" s="19"/>
      <c r="AH3185" s="19"/>
      <c r="AI3185" s="19"/>
      <c r="AJ3185" s="19"/>
      <c r="AK3185" s="19"/>
      <c r="AL3185" s="19"/>
      <c r="AM3185" s="19"/>
      <c r="AN3185" s="19"/>
      <c r="AO3185" s="19"/>
      <c r="AP3185" s="19"/>
      <c r="AQ3185" s="19"/>
      <c r="AR3185" s="19"/>
      <c r="AS3185" s="19"/>
    </row>
    <row r="3186" spans="1:45" x14ac:dyDescent="0.3">
      <c r="A3186" s="410" t="s">
        <v>4895</v>
      </c>
      <c r="B3186" s="17"/>
      <c r="C3186" s="19"/>
      <c r="D3186" s="18"/>
      <c r="E3186" s="18"/>
      <c r="F3186" s="19"/>
      <c r="G3186" s="31"/>
      <c r="H3186" s="31"/>
      <c r="I3186" s="19"/>
      <c r="J3186" s="19"/>
      <c r="K3186" s="21"/>
      <c r="L3186" s="22"/>
      <c r="M3186" s="19"/>
      <c r="N3186" s="20"/>
      <c r="O3186" s="19"/>
      <c r="P3186" s="19"/>
      <c r="Q3186" s="19"/>
      <c r="R3186" s="19"/>
      <c r="S3186" s="19"/>
      <c r="T3186" s="19"/>
      <c r="U3186" s="19"/>
      <c r="V3186" s="19"/>
      <c r="W3186" s="19"/>
      <c r="X3186" s="19"/>
      <c r="Y3186" s="19"/>
      <c r="Z3186" s="19"/>
      <c r="AA3186" s="19"/>
      <c r="AB3186" s="19"/>
      <c r="AC3186" s="19"/>
      <c r="AD3186" s="19"/>
      <c r="AE3186" s="19"/>
      <c r="AF3186" s="19"/>
      <c r="AG3186" s="19"/>
      <c r="AH3186" s="19"/>
      <c r="AI3186" s="19"/>
      <c r="AJ3186" s="19"/>
      <c r="AK3186" s="19"/>
      <c r="AL3186" s="19"/>
      <c r="AM3186" s="19"/>
      <c r="AN3186" s="19"/>
      <c r="AO3186" s="19"/>
      <c r="AP3186" s="19"/>
      <c r="AQ3186" s="19"/>
      <c r="AR3186" s="19"/>
      <c r="AS3186" s="19"/>
    </row>
    <row r="3187" spans="1:45" x14ac:dyDescent="0.3">
      <c r="A3187" s="410" t="s">
        <v>4896</v>
      </c>
      <c r="B3187" s="17"/>
      <c r="C3187" s="19"/>
      <c r="D3187" s="18"/>
      <c r="E3187" s="18"/>
      <c r="F3187" s="19"/>
      <c r="G3187" s="31"/>
      <c r="H3187" s="31"/>
      <c r="I3187" s="19"/>
      <c r="J3187" s="19"/>
      <c r="K3187" s="21"/>
      <c r="L3187" s="22"/>
      <c r="M3187" s="19"/>
      <c r="N3187" s="20"/>
      <c r="O3187" s="19"/>
      <c r="P3187" s="19"/>
      <c r="Q3187" s="19"/>
      <c r="R3187" s="19"/>
      <c r="S3187" s="19"/>
      <c r="T3187" s="19"/>
      <c r="U3187" s="19"/>
      <c r="V3187" s="19"/>
      <c r="W3187" s="19"/>
      <c r="X3187" s="19"/>
      <c r="Y3187" s="19"/>
      <c r="Z3187" s="19"/>
      <c r="AA3187" s="19"/>
      <c r="AB3187" s="19"/>
      <c r="AC3187" s="19"/>
      <c r="AD3187" s="19"/>
      <c r="AE3187" s="19"/>
      <c r="AF3187" s="19"/>
      <c r="AG3187" s="19"/>
      <c r="AH3187" s="19"/>
      <c r="AI3187" s="19"/>
      <c r="AJ3187" s="19"/>
      <c r="AK3187" s="19"/>
      <c r="AL3187" s="19"/>
      <c r="AM3187" s="19"/>
      <c r="AN3187" s="19"/>
      <c r="AO3187" s="19"/>
      <c r="AP3187" s="19"/>
      <c r="AQ3187" s="19"/>
      <c r="AR3187" s="19"/>
      <c r="AS3187" s="19"/>
    </row>
    <row r="3188" spans="1:45" x14ac:dyDescent="0.3">
      <c r="A3188" s="410" t="s">
        <v>4897</v>
      </c>
      <c r="B3188" s="17"/>
      <c r="C3188" s="19"/>
      <c r="D3188" s="18"/>
      <c r="E3188" s="18"/>
      <c r="F3188" s="19"/>
      <c r="G3188" s="31"/>
      <c r="H3188" s="31"/>
      <c r="I3188" s="19"/>
      <c r="J3188" s="19"/>
      <c r="K3188" s="21"/>
      <c r="L3188" s="22"/>
      <c r="M3188" s="19"/>
      <c r="N3188" s="20"/>
      <c r="O3188" s="19"/>
      <c r="P3188" s="19"/>
      <c r="Q3188" s="19"/>
      <c r="R3188" s="19"/>
      <c r="S3188" s="19"/>
      <c r="T3188" s="19"/>
      <c r="U3188" s="19"/>
      <c r="V3188" s="19"/>
      <c r="W3188" s="19"/>
      <c r="X3188" s="19"/>
      <c r="Y3188" s="19"/>
      <c r="Z3188" s="19"/>
      <c r="AA3188" s="19"/>
      <c r="AB3188" s="19"/>
      <c r="AC3188" s="19"/>
      <c r="AD3188" s="19"/>
      <c r="AE3188" s="19"/>
      <c r="AF3188" s="19"/>
      <c r="AG3188" s="19"/>
      <c r="AH3188" s="19"/>
      <c r="AI3188" s="19"/>
      <c r="AJ3188" s="19"/>
      <c r="AK3188" s="19"/>
      <c r="AL3188" s="19"/>
      <c r="AM3188" s="19"/>
      <c r="AN3188" s="19"/>
      <c r="AO3188" s="19"/>
      <c r="AP3188" s="19"/>
      <c r="AQ3188" s="19"/>
      <c r="AR3188" s="19"/>
      <c r="AS3188" s="19"/>
    </row>
    <row r="3189" spans="1:45" x14ac:dyDescent="0.3">
      <c r="A3189" s="410" t="s">
        <v>4898</v>
      </c>
      <c r="B3189" s="17"/>
      <c r="C3189" s="19"/>
      <c r="D3189" s="18"/>
      <c r="E3189" s="18"/>
      <c r="F3189" s="19"/>
      <c r="G3189" s="31"/>
      <c r="H3189" s="31"/>
      <c r="I3189" s="19"/>
      <c r="J3189" s="19"/>
      <c r="K3189" s="21"/>
      <c r="L3189" s="22"/>
      <c r="M3189" s="19"/>
      <c r="N3189" s="20"/>
      <c r="O3189" s="19"/>
      <c r="P3189" s="19"/>
      <c r="Q3189" s="19"/>
      <c r="R3189" s="19"/>
      <c r="S3189" s="19"/>
      <c r="T3189" s="19"/>
      <c r="U3189" s="19"/>
      <c r="V3189" s="19"/>
      <c r="W3189" s="19"/>
      <c r="X3189" s="19"/>
      <c r="Y3189" s="19"/>
      <c r="Z3189" s="19"/>
      <c r="AA3189" s="19"/>
      <c r="AB3189" s="19"/>
      <c r="AC3189" s="19"/>
      <c r="AD3189" s="19"/>
      <c r="AE3189" s="19"/>
      <c r="AF3189" s="19"/>
      <c r="AG3189" s="19"/>
      <c r="AH3189" s="19"/>
      <c r="AI3189" s="19"/>
      <c r="AJ3189" s="19"/>
      <c r="AK3189" s="19"/>
      <c r="AL3189" s="19"/>
      <c r="AM3189" s="19"/>
      <c r="AN3189" s="19"/>
      <c r="AO3189" s="19"/>
      <c r="AP3189" s="19"/>
      <c r="AQ3189" s="19"/>
      <c r="AR3189" s="19"/>
      <c r="AS3189" s="19"/>
    </row>
    <row r="3190" spans="1:45" x14ac:dyDescent="0.3">
      <c r="A3190" s="410" t="s">
        <v>4899</v>
      </c>
      <c r="B3190" s="17"/>
      <c r="C3190" s="19"/>
      <c r="D3190" s="18"/>
      <c r="E3190" s="18"/>
      <c r="F3190" s="19"/>
      <c r="G3190" s="31"/>
      <c r="H3190" s="31"/>
      <c r="I3190" s="19"/>
      <c r="J3190" s="19"/>
      <c r="K3190" s="21"/>
      <c r="L3190" s="22"/>
      <c r="M3190" s="19"/>
      <c r="N3190" s="20"/>
      <c r="O3190" s="19"/>
      <c r="P3190" s="19"/>
      <c r="Q3190" s="19"/>
      <c r="R3190" s="19"/>
      <c r="S3190" s="19"/>
      <c r="T3190" s="19"/>
      <c r="U3190" s="19"/>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row>
    <row r="3191" spans="1:45" x14ac:dyDescent="0.3">
      <c r="A3191" s="410" t="s">
        <v>4900</v>
      </c>
      <c r="B3191" s="17"/>
      <c r="C3191" s="19"/>
      <c r="D3191" s="18"/>
      <c r="E3191" s="18"/>
      <c r="F3191" s="19"/>
      <c r="G3191" s="31"/>
      <c r="H3191" s="31"/>
      <c r="I3191" s="19"/>
      <c r="J3191" s="19"/>
      <c r="K3191" s="21"/>
      <c r="L3191" s="22"/>
      <c r="M3191" s="19"/>
      <c r="N3191" s="20"/>
      <c r="O3191" s="19"/>
      <c r="P3191" s="19"/>
      <c r="Q3191" s="19"/>
      <c r="R3191" s="19"/>
      <c r="S3191" s="19"/>
      <c r="T3191" s="19"/>
      <c r="U3191" s="19"/>
      <c r="V3191" s="19"/>
      <c r="W3191" s="19"/>
      <c r="X3191" s="19"/>
      <c r="Y3191" s="19"/>
      <c r="Z3191" s="19"/>
      <c r="AA3191" s="19"/>
      <c r="AB3191" s="19"/>
      <c r="AC3191" s="19"/>
      <c r="AD3191" s="19"/>
      <c r="AE3191" s="19"/>
      <c r="AF3191" s="19"/>
      <c r="AG3191" s="19"/>
      <c r="AH3191" s="19"/>
      <c r="AI3191" s="19"/>
      <c r="AJ3191" s="19"/>
      <c r="AK3191" s="19"/>
      <c r="AL3191" s="19"/>
      <c r="AM3191" s="19"/>
      <c r="AN3191" s="19"/>
      <c r="AO3191" s="19"/>
      <c r="AP3191" s="19"/>
      <c r="AQ3191" s="19"/>
      <c r="AR3191" s="19"/>
      <c r="AS3191" s="19"/>
    </row>
    <row r="3192" spans="1:45" x14ac:dyDescent="0.3">
      <c r="A3192" s="410" t="s">
        <v>4901</v>
      </c>
      <c r="B3192" s="17"/>
      <c r="C3192" s="19"/>
      <c r="D3192" s="18"/>
      <c r="E3192" s="18"/>
      <c r="F3192" s="19"/>
      <c r="G3192" s="31"/>
      <c r="H3192" s="31"/>
      <c r="I3192" s="19"/>
      <c r="J3192" s="19"/>
      <c r="K3192" s="21"/>
      <c r="L3192" s="22"/>
      <c r="M3192" s="19"/>
      <c r="N3192" s="20"/>
      <c r="O3192" s="19"/>
      <c r="P3192" s="19"/>
      <c r="Q3192" s="19"/>
      <c r="R3192" s="19"/>
      <c r="S3192" s="19"/>
      <c r="T3192" s="19"/>
      <c r="U3192" s="19"/>
      <c r="V3192" s="19"/>
      <c r="W3192" s="19"/>
      <c r="X3192" s="19"/>
      <c r="Y3192" s="19"/>
      <c r="Z3192" s="19"/>
      <c r="AA3192" s="19"/>
      <c r="AB3192" s="19"/>
      <c r="AC3192" s="19"/>
      <c r="AD3192" s="19"/>
      <c r="AE3192" s="19"/>
      <c r="AF3192" s="19"/>
      <c r="AG3192" s="19"/>
      <c r="AH3192" s="19"/>
      <c r="AI3192" s="19"/>
      <c r="AJ3192" s="19"/>
      <c r="AK3192" s="19"/>
      <c r="AL3192" s="19"/>
      <c r="AM3192" s="19"/>
      <c r="AN3192" s="19"/>
      <c r="AO3192" s="19"/>
      <c r="AP3192" s="19"/>
      <c r="AQ3192" s="19"/>
      <c r="AR3192" s="19"/>
      <c r="AS3192" s="19"/>
    </row>
    <row r="3193" spans="1:45" x14ac:dyDescent="0.3">
      <c r="A3193" s="410" t="s">
        <v>4902</v>
      </c>
      <c r="B3193" s="17"/>
      <c r="C3193" s="19"/>
      <c r="D3193" s="18"/>
      <c r="E3193" s="18"/>
      <c r="F3193" s="19"/>
      <c r="G3193" s="31"/>
      <c r="H3193" s="31"/>
      <c r="I3193" s="19"/>
      <c r="J3193" s="19"/>
      <c r="K3193" s="21"/>
      <c r="L3193" s="22"/>
      <c r="M3193" s="19"/>
      <c r="N3193" s="20"/>
      <c r="O3193" s="19"/>
      <c r="P3193" s="19"/>
      <c r="Q3193" s="19"/>
      <c r="R3193" s="19"/>
      <c r="S3193" s="19"/>
      <c r="T3193" s="19"/>
      <c r="U3193" s="19"/>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row>
    <row r="3194" spans="1:45" x14ac:dyDescent="0.3">
      <c r="A3194" s="410" t="s">
        <v>4903</v>
      </c>
      <c r="B3194" s="17"/>
      <c r="C3194" s="19"/>
      <c r="D3194" s="18"/>
      <c r="E3194" s="18"/>
      <c r="F3194" s="19"/>
      <c r="G3194" s="31"/>
      <c r="H3194" s="31"/>
      <c r="I3194" s="19"/>
      <c r="J3194" s="19"/>
      <c r="K3194" s="21"/>
      <c r="L3194" s="22"/>
      <c r="M3194" s="19"/>
      <c r="N3194" s="20"/>
      <c r="O3194" s="19"/>
      <c r="P3194" s="19"/>
      <c r="Q3194" s="19"/>
      <c r="R3194" s="19"/>
      <c r="S3194" s="19"/>
      <c r="T3194" s="19"/>
      <c r="U3194" s="19"/>
      <c r="V3194" s="19"/>
      <c r="W3194" s="19"/>
      <c r="X3194" s="19"/>
      <c r="Y3194" s="19"/>
      <c r="Z3194" s="19"/>
      <c r="AA3194" s="19"/>
      <c r="AB3194" s="19"/>
      <c r="AC3194" s="19"/>
      <c r="AD3194" s="19"/>
      <c r="AE3194" s="19"/>
      <c r="AF3194" s="19"/>
      <c r="AG3194" s="19"/>
      <c r="AH3194" s="19"/>
      <c r="AI3194" s="19"/>
      <c r="AJ3194" s="19"/>
      <c r="AK3194" s="19"/>
      <c r="AL3194" s="19"/>
      <c r="AM3194" s="19"/>
      <c r="AN3194" s="19"/>
      <c r="AO3194" s="19"/>
      <c r="AP3194" s="19"/>
      <c r="AQ3194" s="19"/>
      <c r="AR3194" s="19"/>
      <c r="AS3194" s="19"/>
    </row>
    <row r="3195" spans="1:45" x14ac:dyDescent="0.3">
      <c r="A3195" s="410" t="s">
        <v>4904</v>
      </c>
      <c r="B3195" s="17"/>
      <c r="C3195" s="19"/>
      <c r="D3195" s="18"/>
      <c r="E3195" s="18"/>
      <c r="F3195" s="19"/>
      <c r="G3195" s="31"/>
      <c r="H3195" s="31"/>
      <c r="I3195" s="19"/>
      <c r="J3195" s="19"/>
      <c r="K3195" s="21"/>
      <c r="L3195" s="22"/>
      <c r="M3195" s="19"/>
      <c r="N3195" s="20"/>
      <c r="O3195" s="19"/>
      <c r="P3195" s="19"/>
      <c r="Q3195" s="19"/>
      <c r="R3195" s="19"/>
      <c r="S3195" s="19"/>
      <c r="T3195" s="19"/>
      <c r="U3195" s="19"/>
      <c r="V3195" s="19"/>
      <c r="W3195" s="19"/>
      <c r="X3195" s="19"/>
      <c r="Y3195" s="19"/>
      <c r="Z3195" s="19"/>
      <c r="AA3195" s="19"/>
      <c r="AB3195" s="19"/>
      <c r="AC3195" s="19"/>
      <c r="AD3195" s="19"/>
      <c r="AE3195" s="19"/>
      <c r="AF3195" s="19"/>
      <c r="AG3195" s="19"/>
      <c r="AH3195" s="19"/>
      <c r="AI3195" s="19"/>
      <c r="AJ3195" s="19"/>
      <c r="AK3195" s="19"/>
      <c r="AL3195" s="19"/>
      <c r="AM3195" s="19"/>
      <c r="AN3195" s="19"/>
      <c r="AO3195" s="19"/>
      <c r="AP3195" s="19"/>
      <c r="AQ3195" s="19"/>
      <c r="AR3195" s="19"/>
      <c r="AS3195" s="19"/>
    </row>
    <row r="3196" spans="1:45" x14ac:dyDescent="0.3">
      <c r="A3196" s="410" t="s">
        <v>4905</v>
      </c>
      <c r="B3196" s="17"/>
      <c r="C3196" s="19"/>
      <c r="D3196" s="18"/>
      <c r="E3196" s="18"/>
      <c r="F3196" s="19"/>
      <c r="G3196" s="31"/>
      <c r="H3196" s="31"/>
      <c r="I3196" s="19"/>
      <c r="J3196" s="19"/>
      <c r="K3196" s="21"/>
      <c r="L3196" s="22"/>
      <c r="M3196" s="19"/>
      <c r="N3196" s="20"/>
      <c r="O3196" s="19"/>
      <c r="P3196" s="19"/>
      <c r="Q3196" s="19"/>
      <c r="R3196" s="19"/>
      <c r="S3196" s="19"/>
      <c r="T3196" s="19"/>
      <c r="U3196" s="19"/>
      <c r="V3196" s="19"/>
      <c r="W3196" s="19"/>
      <c r="X3196" s="19"/>
      <c r="Y3196" s="19"/>
      <c r="Z3196" s="19"/>
      <c r="AA3196" s="19"/>
      <c r="AB3196" s="19"/>
      <c r="AC3196" s="19"/>
      <c r="AD3196" s="19"/>
      <c r="AE3196" s="19"/>
      <c r="AF3196" s="19"/>
      <c r="AG3196" s="19"/>
      <c r="AH3196" s="19"/>
      <c r="AI3196" s="19"/>
      <c r="AJ3196" s="19"/>
      <c r="AK3196" s="19"/>
      <c r="AL3196" s="19"/>
      <c r="AM3196" s="19"/>
      <c r="AN3196" s="19"/>
      <c r="AO3196" s="19"/>
      <c r="AP3196" s="19"/>
      <c r="AQ3196" s="19"/>
      <c r="AR3196" s="19"/>
      <c r="AS3196" s="19"/>
    </row>
    <row r="3197" spans="1:45" x14ac:dyDescent="0.3">
      <c r="A3197" s="410" t="s">
        <v>4906</v>
      </c>
      <c r="B3197" s="17"/>
      <c r="C3197" s="19"/>
      <c r="D3197" s="18"/>
      <c r="E3197" s="18"/>
      <c r="F3197" s="19"/>
      <c r="G3197" s="31"/>
      <c r="H3197" s="31"/>
      <c r="I3197" s="19"/>
      <c r="J3197" s="19"/>
      <c r="K3197" s="21"/>
      <c r="L3197" s="22"/>
      <c r="M3197" s="19"/>
      <c r="N3197" s="20"/>
      <c r="O3197" s="19"/>
      <c r="P3197" s="19"/>
      <c r="Q3197" s="19"/>
      <c r="R3197" s="19"/>
      <c r="S3197" s="19"/>
      <c r="T3197" s="19"/>
      <c r="U3197" s="19"/>
      <c r="V3197" s="19"/>
      <c r="W3197" s="19"/>
      <c r="X3197" s="19"/>
      <c r="Y3197" s="19"/>
      <c r="Z3197" s="19"/>
      <c r="AA3197" s="19"/>
      <c r="AB3197" s="19"/>
      <c r="AC3197" s="19"/>
      <c r="AD3197" s="19"/>
      <c r="AE3197" s="19"/>
      <c r="AF3197" s="19"/>
      <c r="AG3197" s="19"/>
      <c r="AH3197" s="19"/>
      <c r="AI3197" s="19"/>
      <c r="AJ3197" s="19"/>
      <c r="AK3197" s="19"/>
      <c r="AL3197" s="19"/>
      <c r="AM3197" s="19"/>
      <c r="AN3197" s="19"/>
      <c r="AO3197" s="19"/>
      <c r="AP3197" s="19"/>
      <c r="AQ3197" s="19"/>
      <c r="AR3197" s="19"/>
      <c r="AS3197" s="19"/>
    </row>
    <row r="3198" spans="1:45" x14ac:dyDescent="0.3">
      <c r="A3198" s="410" t="s">
        <v>4907</v>
      </c>
      <c r="B3198" s="17"/>
      <c r="C3198" s="19"/>
      <c r="D3198" s="18"/>
      <c r="E3198" s="18"/>
      <c r="F3198" s="19"/>
      <c r="G3198" s="31"/>
      <c r="H3198" s="31"/>
      <c r="I3198" s="19"/>
      <c r="J3198" s="19"/>
      <c r="K3198" s="21"/>
      <c r="L3198" s="22"/>
      <c r="M3198" s="19"/>
      <c r="N3198" s="20"/>
      <c r="O3198" s="19"/>
      <c r="P3198" s="19"/>
      <c r="Q3198" s="19"/>
      <c r="R3198" s="19"/>
      <c r="S3198" s="19"/>
      <c r="T3198" s="19"/>
      <c r="U3198" s="19"/>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row>
    <row r="3199" spans="1:45" x14ac:dyDescent="0.3">
      <c r="A3199" s="410" t="s">
        <v>4908</v>
      </c>
      <c r="B3199" s="17"/>
      <c r="C3199" s="19"/>
      <c r="D3199" s="18"/>
      <c r="E3199" s="18"/>
      <c r="F3199" s="19"/>
      <c r="G3199" s="31"/>
      <c r="H3199" s="31"/>
      <c r="I3199" s="19"/>
      <c r="J3199" s="19"/>
      <c r="K3199" s="21"/>
      <c r="L3199" s="22"/>
      <c r="M3199" s="19"/>
      <c r="N3199" s="20"/>
      <c r="O3199" s="19"/>
      <c r="P3199" s="19"/>
      <c r="Q3199" s="19"/>
      <c r="R3199" s="19"/>
      <c r="S3199" s="19"/>
      <c r="T3199" s="19"/>
      <c r="U3199" s="19"/>
      <c r="V3199" s="19"/>
      <c r="W3199" s="19"/>
      <c r="X3199" s="19"/>
      <c r="Y3199" s="19"/>
      <c r="Z3199" s="19"/>
      <c r="AA3199" s="19"/>
      <c r="AB3199" s="19"/>
      <c r="AC3199" s="19"/>
      <c r="AD3199" s="19"/>
      <c r="AE3199" s="19"/>
      <c r="AF3199" s="19"/>
      <c r="AG3199" s="19"/>
      <c r="AH3199" s="19"/>
      <c r="AI3199" s="19"/>
      <c r="AJ3199" s="19"/>
      <c r="AK3199" s="19"/>
      <c r="AL3199" s="19"/>
      <c r="AM3199" s="19"/>
      <c r="AN3199" s="19"/>
      <c r="AO3199" s="19"/>
      <c r="AP3199" s="19"/>
      <c r="AQ3199" s="19"/>
      <c r="AR3199" s="19"/>
      <c r="AS3199" s="19"/>
    </row>
    <row r="3200" spans="1:45" x14ac:dyDescent="0.3">
      <c r="A3200" s="410" t="s">
        <v>4909</v>
      </c>
      <c r="B3200" s="17"/>
      <c r="C3200" s="19"/>
      <c r="D3200" s="18"/>
      <c r="E3200" s="18"/>
      <c r="F3200" s="19"/>
      <c r="G3200" s="31"/>
      <c r="H3200" s="31"/>
      <c r="I3200" s="19"/>
      <c r="J3200" s="19"/>
      <c r="K3200" s="21"/>
      <c r="L3200" s="22"/>
      <c r="M3200" s="19"/>
      <c r="N3200" s="20"/>
      <c r="O3200" s="19"/>
      <c r="P3200" s="19"/>
      <c r="Q3200" s="19"/>
      <c r="R3200" s="19"/>
      <c r="S3200" s="19"/>
      <c r="T3200" s="19"/>
      <c r="U3200" s="19"/>
      <c r="V3200" s="19"/>
      <c r="W3200" s="19"/>
      <c r="X3200" s="19"/>
      <c r="Y3200" s="19"/>
      <c r="Z3200" s="19"/>
      <c r="AA3200" s="19"/>
      <c r="AB3200" s="19"/>
      <c r="AC3200" s="19"/>
      <c r="AD3200" s="19"/>
      <c r="AE3200" s="19"/>
      <c r="AF3200" s="19"/>
      <c r="AG3200" s="19"/>
      <c r="AH3200" s="19"/>
      <c r="AI3200" s="19"/>
      <c r="AJ3200" s="19"/>
      <c r="AK3200" s="19"/>
      <c r="AL3200" s="19"/>
      <c r="AM3200" s="19"/>
      <c r="AN3200" s="19"/>
      <c r="AO3200" s="19"/>
      <c r="AP3200" s="19"/>
      <c r="AQ3200" s="19"/>
      <c r="AR3200" s="19"/>
      <c r="AS3200" s="19"/>
    </row>
    <row r="3201" spans="1:45" x14ac:dyDescent="0.3">
      <c r="A3201" s="410" t="s">
        <v>4910</v>
      </c>
      <c r="B3201" s="17"/>
      <c r="C3201" s="19"/>
      <c r="D3201" s="18"/>
      <c r="E3201" s="18"/>
      <c r="F3201" s="19"/>
      <c r="G3201" s="31"/>
      <c r="H3201" s="31"/>
      <c r="I3201" s="19"/>
      <c r="J3201" s="19"/>
      <c r="K3201" s="21"/>
      <c r="L3201" s="22"/>
      <c r="M3201" s="19"/>
      <c r="N3201" s="20"/>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row>
    <row r="3202" spans="1:45" x14ac:dyDescent="0.3">
      <c r="A3202" s="410" t="s">
        <v>4911</v>
      </c>
      <c r="B3202" s="17"/>
      <c r="C3202" s="19"/>
      <c r="D3202" s="18"/>
      <c r="E3202" s="18"/>
      <c r="F3202" s="19"/>
      <c r="G3202" s="31"/>
      <c r="H3202" s="31"/>
      <c r="I3202" s="19"/>
      <c r="J3202" s="19"/>
      <c r="K3202" s="21"/>
      <c r="L3202" s="22"/>
      <c r="M3202" s="19"/>
      <c r="N3202" s="20"/>
      <c r="O3202" s="19"/>
      <c r="P3202" s="19"/>
      <c r="Q3202" s="19"/>
      <c r="R3202" s="19"/>
      <c r="S3202" s="19"/>
      <c r="T3202" s="19"/>
      <c r="U3202" s="19"/>
      <c r="V3202" s="19"/>
      <c r="W3202" s="19"/>
      <c r="X3202" s="19"/>
      <c r="Y3202" s="19"/>
      <c r="Z3202" s="19"/>
      <c r="AA3202" s="19"/>
      <c r="AB3202" s="19"/>
      <c r="AC3202" s="19"/>
      <c r="AD3202" s="19"/>
      <c r="AE3202" s="19"/>
      <c r="AF3202" s="19"/>
      <c r="AG3202" s="19"/>
      <c r="AH3202" s="19"/>
      <c r="AI3202" s="19"/>
      <c r="AJ3202" s="19"/>
      <c r="AK3202" s="19"/>
      <c r="AL3202" s="19"/>
      <c r="AM3202" s="19"/>
      <c r="AN3202" s="19"/>
      <c r="AO3202" s="19"/>
      <c r="AP3202" s="19"/>
      <c r="AQ3202" s="19"/>
      <c r="AR3202" s="19"/>
      <c r="AS3202" s="19"/>
    </row>
    <row r="3203" spans="1:45" x14ac:dyDescent="0.3">
      <c r="A3203" s="410" t="s">
        <v>4912</v>
      </c>
      <c r="B3203" s="17"/>
      <c r="C3203" s="19"/>
      <c r="D3203" s="18"/>
      <c r="E3203" s="18"/>
      <c r="F3203" s="19"/>
      <c r="G3203" s="31"/>
      <c r="H3203" s="31"/>
      <c r="I3203" s="19"/>
      <c r="J3203" s="19"/>
      <c r="K3203" s="21"/>
      <c r="L3203" s="22"/>
      <c r="M3203" s="19"/>
      <c r="N3203" s="20"/>
      <c r="O3203" s="19"/>
      <c r="P3203" s="19"/>
      <c r="Q3203" s="19"/>
      <c r="R3203" s="19"/>
      <c r="S3203" s="19"/>
      <c r="T3203" s="19"/>
      <c r="U3203" s="19"/>
      <c r="V3203" s="19"/>
      <c r="W3203" s="19"/>
      <c r="X3203" s="19"/>
      <c r="Y3203" s="19"/>
      <c r="Z3203" s="19"/>
      <c r="AA3203" s="19"/>
      <c r="AB3203" s="19"/>
      <c r="AC3203" s="19"/>
      <c r="AD3203" s="19"/>
      <c r="AE3203" s="19"/>
      <c r="AF3203" s="19"/>
      <c r="AG3203" s="19"/>
      <c r="AH3203" s="19"/>
      <c r="AI3203" s="19"/>
      <c r="AJ3203" s="19"/>
      <c r="AK3203" s="19"/>
      <c r="AL3203" s="19"/>
      <c r="AM3203" s="19"/>
      <c r="AN3203" s="19"/>
      <c r="AO3203" s="19"/>
      <c r="AP3203" s="19"/>
      <c r="AQ3203" s="19"/>
      <c r="AR3203" s="19"/>
      <c r="AS3203" s="19"/>
    </row>
    <row r="3204" spans="1:45" x14ac:dyDescent="0.3">
      <c r="A3204" s="410" t="s">
        <v>4913</v>
      </c>
      <c r="B3204" s="17"/>
      <c r="C3204" s="19"/>
      <c r="D3204" s="18"/>
      <c r="E3204" s="18"/>
      <c r="F3204" s="19"/>
      <c r="G3204" s="31"/>
      <c r="H3204" s="31"/>
      <c r="I3204" s="19"/>
      <c r="J3204" s="19"/>
      <c r="K3204" s="21"/>
      <c r="L3204" s="22"/>
      <c r="M3204" s="19"/>
      <c r="N3204" s="20"/>
      <c r="O3204" s="19"/>
      <c r="P3204" s="19"/>
      <c r="Q3204" s="19"/>
      <c r="R3204" s="19"/>
      <c r="S3204" s="19"/>
      <c r="T3204" s="19"/>
      <c r="U3204" s="19"/>
      <c r="V3204" s="19"/>
      <c r="W3204" s="19"/>
      <c r="X3204" s="19"/>
      <c r="Y3204" s="19"/>
      <c r="Z3204" s="19"/>
      <c r="AA3204" s="19"/>
      <c r="AB3204" s="19"/>
      <c r="AC3204" s="19"/>
      <c r="AD3204" s="19"/>
      <c r="AE3204" s="19"/>
      <c r="AF3204" s="19"/>
      <c r="AG3204" s="19"/>
      <c r="AH3204" s="19"/>
      <c r="AI3204" s="19"/>
      <c r="AJ3204" s="19"/>
      <c r="AK3204" s="19"/>
      <c r="AL3204" s="19"/>
      <c r="AM3204" s="19"/>
      <c r="AN3204" s="19"/>
      <c r="AO3204" s="19"/>
      <c r="AP3204" s="19"/>
      <c r="AQ3204" s="19"/>
      <c r="AR3204" s="19"/>
      <c r="AS3204" s="19"/>
    </row>
    <row r="3205" spans="1:45" x14ac:dyDescent="0.3">
      <c r="A3205" s="410" t="s">
        <v>4914</v>
      </c>
      <c r="B3205" s="17"/>
      <c r="C3205" s="19"/>
      <c r="D3205" s="18"/>
      <c r="E3205" s="18"/>
      <c r="F3205" s="19"/>
      <c r="G3205" s="31"/>
      <c r="H3205" s="31"/>
      <c r="I3205" s="19"/>
      <c r="J3205" s="19"/>
      <c r="K3205" s="21"/>
      <c r="L3205" s="22"/>
      <c r="M3205" s="19"/>
      <c r="N3205" s="20"/>
      <c r="O3205" s="19"/>
      <c r="P3205" s="19"/>
      <c r="Q3205" s="19"/>
      <c r="R3205" s="19"/>
      <c r="S3205" s="19"/>
      <c r="T3205" s="19"/>
      <c r="U3205" s="19"/>
      <c r="V3205" s="19"/>
      <c r="W3205" s="19"/>
      <c r="X3205" s="19"/>
      <c r="Y3205" s="19"/>
      <c r="Z3205" s="19"/>
      <c r="AA3205" s="19"/>
      <c r="AB3205" s="19"/>
      <c r="AC3205" s="19"/>
      <c r="AD3205" s="19"/>
      <c r="AE3205" s="19"/>
      <c r="AF3205" s="19"/>
      <c r="AG3205" s="19"/>
      <c r="AH3205" s="19"/>
      <c r="AI3205" s="19"/>
      <c r="AJ3205" s="19"/>
      <c r="AK3205" s="19"/>
      <c r="AL3205" s="19"/>
      <c r="AM3205" s="19"/>
      <c r="AN3205" s="19"/>
      <c r="AO3205" s="19"/>
      <c r="AP3205" s="19"/>
      <c r="AQ3205" s="19"/>
      <c r="AR3205" s="19"/>
      <c r="AS3205" s="19"/>
    </row>
    <row r="3206" spans="1:45" x14ac:dyDescent="0.3">
      <c r="A3206" s="410" t="s">
        <v>4915</v>
      </c>
      <c r="B3206" s="17"/>
      <c r="C3206" s="19"/>
      <c r="D3206" s="18"/>
      <c r="E3206" s="18"/>
      <c r="F3206" s="19"/>
      <c r="G3206" s="31"/>
      <c r="H3206" s="31"/>
      <c r="I3206" s="19"/>
      <c r="J3206" s="19"/>
      <c r="K3206" s="21"/>
      <c r="L3206" s="22"/>
      <c r="M3206" s="19"/>
      <c r="N3206" s="20"/>
      <c r="O3206" s="19"/>
      <c r="P3206" s="19"/>
      <c r="Q3206" s="19"/>
      <c r="R3206" s="19"/>
      <c r="S3206" s="19"/>
      <c r="T3206" s="19"/>
      <c r="U3206" s="19"/>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19"/>
    </row>
    <row r="3207" spans="1:45" x14ac:dyDescent="0.3">
      <c r="A3207" s="410" t="s">
        <v>4916</v>
      </c>
      <c r="B3207" s="17"/>
      <c r="C3207" s="19"/>
      <c r="D3207" s="18"/>
      <c r="E3207" s="18"/>
      <c r="F3207" s="19"/>
      <c r="G3207" s="31"/>
      <c r="H3207" s="31"/>
      <c r="I3207" s="19"/>
      <c r="J3207" s="19"/>
      <c r="K3207" s="21"/>
      <c r="L3207" s="22"/>
      <c r="M3207" s="19"/>
      <c r="N3207" s="20"/>
      <c r="O3207" s="19"/>
      <c r="P3207" s="19"/>
      <c r="Q3207" s="19"/>
      <c r="R3207" s="19"/>
      <c r="S3207" s="19"/>
      <c r="T3207" s="19"/>
      <c r="U3207" s="19"/>
      <c r="V3207" s="19"/>
      <c r="W3207" s="19"/>
      <c r="X3207" s="19"/>
      <c r="Y3207" s="19"/>
      <c r="Z3207" s="19"/>
      <c r="AA3207" s="19"/>
      <c r="AB3207" s="19"/>
      <c r="AC3207" s="19"/>
      <c r="AD3207" s="19"/>
      <c r="AE3207" s="19"/>
      <c r="AF3207" s="19"/>
      <c r="AG3207" s="19"/>
      <c r="AH3207" s="19"/>
      <c r="AI3207" s="19"/>
      <c r="AJ3207" s="19"/>
      <c r="AK3207" s="19"/>
      <c r="AL3207" s="19"/>
      <c r="AM3207" s="19"/>
      <c r="AN3207" s="19"/>
      <c r="AO3207" s="19"/>
      <c r="AP3207" s="19"/>
      <c r="AQ3207" s="19"/>
      <c r="AR3207" s="19"/>
      <c r="AS3207" s="19"/>
    </row>
    <row r="3208" spans="1:45" x14ac:dyDescent="0.3">
      <c r="A3208" s="410" t="s">
        <v>4917</v>
      </c>
      <c r="B3208" s="17"/>
      <c r="C3208" s="19"/>
      <c r="D3208" s="18"/>
      <c r="E3208" s="18"/>
      <c r="F3208" s="19"/>
      <c r="G3208" s="31"/>
      <c r="H3208" s="31"/>
      <c r="I3208" s="19"/>
      <c r="J3208" s="19"/>
      <c r="K3208" s="21"/>
      <c r="L3208" s="22"/>
      <c r="M3208" s="19"/>
      <c r="N3208" s="20"/>
      <c r="O3208" s="19"/>
      <c r="P3208" s="19"/>
      <c r="Q3208" s="19"/>
      <c r="R3208" s="19"/>
      <c r="S3208" s="19"/>
      <c r="T3208" s="19"/>
      <c r="U3208" s="19"/>
      <c r="V3208" s="19"/>
      <c r="W3208" s="19"/>
      <c r="X3208" s="19"/>
      <c r="Y3208" s="19"/>
      <c r="Z3208" s="19"/>
      <c r="AA3208" s="19"/>
      <c r="AB3208" s="19"/>
      <c r="AC3208" s="19"/>
      <c r="AD3208" s="19"/>
      <c r="AE3208" s="19"/>
      <c r="AF3208" s="19"/>
      <c r="AG3208" s="19"/>
      <c r="AH3208" s="19"/>
      <c r="AI3208" s="19"/>
      <c r="AJ3208" s="19"/>
      <c r="AK3208" s="19"/>
      <c r="AL3208" s="19"/>
      <c r="AM3208" s="19"/>
      <c r="AN3208" s="19"/>
      <c r="AO3208" s="19"/>
      <c r="AP3208" s="19"/>
      <c r="AQ3208" s="19"/>
      <c r="AR3208" s="19"/>
      <c r="AS3208" s="19"/>
    </row>
    <row r="3209" spans="1:45" x14ac:dyDescent="0.3">
      <c r="A3209" s="410" t="s">
        <v>4918</v>
      </c>
      <c r="B3209" s="17"/>
      <c r="C3209" s="19"/>
      <c r="D3209" s="18"/>
      <c r="E3209" s="18"/>
      <c r="F3209" s="19"/>
      <c r="G3209" s="31"/>
      <c r="H3209" s="31"/>
      <c r="I3209" s="19"/>
      <c r="J3209" s="19"/>
      <c r="K3209" s="21"/>
      <c r="L3209" s="22"/>
      <c r="M3209" s="19"/>
      <c r="N3209" s="20"/>
      <c r="O3209" s="19"/>
      <c r="P3209" s="19"/>
      <c r="Q3209" s="19"/>
      <c r="R3209" s="19"/>
      <c r="S3209" s="19"/>
      <c r="T3209" s="19"/>
      <c r="U3209" s="19"/>
      <c r="V3209" s="19"/>
      <c r="W3209" s="19"/>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19"/>
    </row>
    <row r="3210" spans="1:45" x14ac:dyDescent="0.3">
      <c r="A3210" s="410" t="s">
        <v>4919</v>
      </c>
      <c r="B3210" s="17"/>
      <c r="C3210" s="19"/>
      <c r="D3210" s="18"/>
      <c r="E3210" s="18"/>
      <c r="F3210" s="19"/>
      <c r="G3210" s="31"/>
      <c r="H3210" s="31"/>
      <c r="I3210" s="19"/>
      <c r="J3210" s="19"/>
      <c r="K3210" s="21"/>
      <c r="L3210" s="22"/>
      <c r="M3210" s="19"/>
      <c r="N3210" s="20"/>
      <c r="O3210" s="19"/>
      <c r="P3210" s="19"/>
      <c r="Q3210" s="19"/>
      <c r="R3210" s="19"/>
      <c r="S3210" s="19"/>
      <c r="T3210" s="19"/>
      <c r="U3210" s="19"/>
      <c r="V3210" s="19"/>
      <c r="W3210" s="19"/>
      <c r="X3210" s="19"/>
      <c r="Y3210" s="19"/>
      <c r="Z3210" s="19"/>
      <c r="AA3210" s="19"/>
      <c r="AB3210" s="19"/>
      <c r="AC3210" s="19"/>
      <c r="AD3210" s="19"/>
      <c r="AE3210" s="19"/>
      <c r="AF3210" s="19"/>
      <c r="AG3210" s="19"/>
      <c r="AH3210" s="19"/>
      <c r="AI3210" s="19"/>
      <c r="AJ3210" s="19"/>
      <c r="AK3210" s="19"/>
      <c r="AL3210" s="19"/>
      <c r="AM3210" s="19"/>
      <c r="AN3210" s="19"/>
      <c r="AO3210" s="19"/>
      <c r="AP3210" s="19"/>
      <c r="AQ3210" s="19"/>
      <c r="AR3210" s="19"/>
      <c r="AS3210" s="19"/>
    </row>
    <row r="3211" spans="1:45" x14ac:dyDescent="0.3">
      <c r="A3211" s="410" t="s">
        <v>4920</v>
      </c>
      <c r="B3211" s="17"/>
      <c r="C3211" s="19"/>
      <c r="D3211" s="18"/>
      <c r="E3211" s="18"/>
      <c r="F3211" s="19"/>
      <c r="G3211" s="31"/>
      <c r="H3211" s="31"/>
      <c r="I3211" s="19"/>
      <c r="J3211" s="19"/>
      <c r="K3211" s="21"/>
      <c r="L3211" s="22"/>
      <c r="M3211" s="19"/>
      <c r="N3211" s="20"/>
      <c r="O3211" s="19"/>
      <c r="P3211" s="19"/>
      <c r="Q3211" s="19"/>
      <c r="R3211" s="19"/>
      <c r="S3211" s="19"/>
      <c r="T3211" s="19"/>
      <c r="U3211" s="19"/>
      <c r="V3211" s="19"/>
      <c r="W3211" s="19"/>
      <c r="X3211" s="19"/>
      <c r="Y3211" s="19"/>
      <c r="Z3211" s="19"/>
      <c r="AA3211" s="19"/>
      <c r="AB3211" s="19"/>
      <c r="AC3211" s="19"/>
      <c r="AD3211" s="19"/>
      <c r="AE3211" s="19"/>
      <c r="AF3211" s="19"/>
      <c r="AG3211" s="19"/>
      <c r="AH3211" s="19"/>
      <c r="AI3211" s="19"/>
      <c r="AJ3211" s="19"/>
      <c r="AK3211" s="19"/>
      <c r="AL3211" s="19"/>
      <c r="AM3211" s="19"/>
      <c r="AN3211" s="19"/>
      <c r="AO3211" s="19"/>
      <c r="AP3211" s="19"/>
      <c r="AQ3211" s="19"/>
      <c r="AR3211" s="19"/>
      <c r="AS3211" s="19"/>
    </row>
    <row r="3212" spans="1:45" x14ac:dyDescent="0.3">
      <c r="A3212" s="410" t="s">
        <v>4921</v>
      </c>
      <c r="B3212" s="17"/>
      <c r="C3212" s="19"/>
      <c r="D3212" s="18"/>
      <c r="E3212" s="18"/>
      <c r="F3212" s="19"/>
      <c r="G3212" s="31"/>
      <c r="H3212" s="31"/>
      <c r="I3212" s="19"/>
      <c r="J3212" s="19"/>
      <c r="K3212" s="21"/>
      <c r="L3212" s="22"/>
      <c r="M3212" s="19"/>
      <c r="N3212" s="20"/>
      <c r="O3212" s="19"/>
      <c r="P3212" s="19"/>
      <c r="Q3212" s="19"/>
      <c r="R3212" s="19"/>
      <c r="S3212" s="19"/>
      <c r="T3212" s="19"/>
      <c r="U3212" s="19"/>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19"/>
    </row>
    <row r="3213" spans="1:45" x14ac:dyDescent="0.3">
      <c r="A3213" s="410" t="s">
        <v>4922</v>
      </c>
      <c r="B3213" s="17"/>
      <c r="C3213" s="19"/>
      <c r="D3213" s="18"/>
      <c r="E3213" s="18"/>
      <c r="F3213" s="19"/>
      <c r="G3213" s="31"/>
      <c r="H3213" s="31"/>
      <c r="I3213" s="19"/>
      <c r="J3213" s="19"/>
      <c r="K3213" s="21"/>
      <c r="L3213" s="22"/>
      <c r="M3213" s="19"/>
      <c r="N3213" s="20"/>
      <c r="O3213" s="19"/>
      <c r="P3213" s="19"/>
      <c r="Q3213" s="19"/>
      <c r="R3213" s="19"/>
      <c r="S3213" s="19"/>
      <c r="T3213" s="19"/>
      <c r="U3213" s="19"/>
      <c r="V3213" s="19"/>
      <c r="W3213" s="19"/>
      <c r="X3213" s="19"/>
      <c r="Y3213" s="19"/>
      <c r="Z3213" s="19"/>
      <c r="AA3213" s="19"/>
      <c r="AB3213" s="19"/>
      <c r="AC3213" s="19"/>
      <c r="AD3213" s="19"/>
      <c r="AE3213" s="19"/>
      <c r="AF3213" s="19"/>
      <c r="AG3213" s="19"/>
      <c r="AH3213" s="19"/>
      <c r="AI3213" s="19"/>
      <c r="AJ3213" s="19"/>
      <c r="AK3213" s="19"/>
      <c r="AL3213" s="19"/>
      <c r="AM3213" s="19"/>
      <c r="AN3213" s="19"/>
      <c r="AO3213" s="19"/>
      <c r="AP3213" s="19"/>
      <c r="AQ3213" s="19"/>
      <c r="AR3213" s="19"/>
      <c r="AS3213" s="19"/>
    </row>
    <row r="3214" spans="1:45" x14ac:dyDescent="0.3">
      <c r="A3214" s="410" t="s">
        <v>4923</v>
      </c>
      <c r="B3214" s="17"/>
      <c r="C3214" s="19"/>
      <c r="D3214" s="18"/>
      <c r="E3214" s="18"/>
      <c r="F3214" s="19"/>
      <c r="G3214" s="31"/>
      <c r="H3214" s="31"/>
      <c r="I3214" s="19"/>
      <c r="J3214" s="19"/>
      <c r="K3214" s="21"/>
      <c r="L3214" s="22"/>
      <c r="M3214" s="19"/>
      <c r="N3214" s="20"/>
      <c r="O3214" s="19"/>
      <c r="P3214" s="19"/>
      <c r="Q3214" s="19"/>
      <c r="R3214" s="19"/>
      <c r="S3214" s="19"/>
      <c r="T3214" s="19"/>
      <c r="U3214" s="19"/>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row>
    <row r="3215" spans="1:45" x14ac:dyDescent="0.3">
      <c r="A3215" s="410" t="s">
        <v>4924</v>
      </c>
      <c r="B3215" s="17"/>
      <c r="C3215" s="19"/>
      <c r="D3215" s="18"/>
      <c r="E3215" s="18"/>
      <c r="F3215" s="19"/>
      <c r="G3215" s="31"/>
      <c r="H3215" s="31"/>
      <c r="I3215" s="19"/>
      <c r="J3215" s="19"/>
      <c r="K3215" s="21"/>
      <c r="L3215" s="22"/>
      <c r="M3215" s="19"/>
      <c r="N3215" s="20"/>
      <c r="O3215" s="19"/>
      <c r="P3215" s="19"/>
      <c r="Q3215" s="19"/>
      <c r="R3215" s="19"/>
      <c r="S3215" s="19"/>
      <c r="T3215" s="19"/>
      <c r="U3215" s="19"/>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19"/>
    </row>
    <row r="3216" spans="1:45" x14ac:dyDescent="0.3">
      <c r="A3216" s="410" t="s">
        <v>4925</v>
      </c>
      <c r="B3216" s="17"/>
      <c r="C3216" s="19"/>
      <c r="D3216" s="18"/>
      <c r="E3216" s="18"/>
      <c r="F3216" s="19"/>
      <c r="G3216" s="31"/>
      <c r="H3216" s="31"/>
      <c r="I3216" s="19"/>
      <c r="J3216" s="19"/>
      <c r="K3216" s="21"/>
      <c r="L3216" s="22"/>
      <c r="M3216" s="19"/>
      <c r="N3216" s="20"/>
      <c r="O3216" s="19"/>
      <c r="P3216" s="19"/>
      <c r="Q3216" s="19"/>
      <c r="R3216" s="19"/>
      <c r="S3216" s="19"/>
      <c r="T3216" s="19"/>
      <c r="U3216" s="19"/>
      <c r="V3216" s="19"/>
      <c r="W3216" s="19"/>
      <c r="X3216" s="19"/>
      <c r="Y3216" s="19"/>
      <c r="Z3216" s="19"/>
      <c r="AA3216" s="19"/>
      <c r="AB3216" s="19"/>
      <c r="AC3216" s="19"/>
      <c r="AD3216" s="19"/>
      <c r="AE3216" s="19"/>
      <c r="AF3216" s="19"/>
      <c r="AG3216" s="19"/>
      <c r="AH3216" s="19"/>
      <c r="AI3216" s="19"/>
      <c r="AJ3216" s="19"/>
      <c r="AK3216" s="19"/>
      <c r="AL3216" s="19"/>
      <c r="AM3216" s="19"/>
      <c r="AN3216" s="19"/>
      <c r="AO3216" s="19"/>
      <c r="AP3216" s="19"/>
      <c r="AQ3216" s="19"/>
      <c r="AR3216" s="19"/>
      <c r="AS3216" s="19"/>
    </row>
    <row r="3217" spans="1:45" x14ac:dyDescent="0.3">
      <c r="A3217" s="410" t="s">
        <v>4926</v>
      </c>
      <c r="B3217" s="17"/>
      <c r="C3217" s="19"/>
      <c r="D3217" s="18"/>
      <c r="E3217" s="18"/>
      <c r="F3217" s="19"/>
      <c r="G3217" s="31"/>
      <c r="H3217" s="31"/>
      <c r="I3217" s="19"/>
      <c r="J3217" s="19"/>
      <c r="K3217" s="21"/>
      <c r="L3217" s="22"/>
      <c r="M3217" s="19"/>
      <c r="N3217" s="20"/>
      <c r="O3217" s="19"/>
      <c r="P3217" s="19"/>
      <c r="Q3217" s="19"/>
      <c r="R3217" s="19"/>
      <c r="S3217" s="19"/>
      <c r="T3217" s="19"/>
      <c r="U3217" s="19"/>
      <c r="V3217" s="19"/>
      <c r="W3217" s="19"/>
      <c r="X3217" s="19"/>
      <c r="Y3217" s="19"/>
      <c r="Z3217" s="19"/>
      <c r="AA3217" s="19"/>
      <c r="AB3217" s="19"/>
      <c r="AC3217" s="19"/>
      <c r="AD3217" s="19"/>
      <c r="AE3217" s="19"/>
      <c r="AF3217" s="19"/>
      <c r="AG3217" s="19"/>
      <c r="AH3217" s="19"/>
      <c r="AI3217" s="19"/>
      <c r="AJ3217" s="19"/>
      <c r="AK3217" s="19"/>
      <c r="AL3217" s="19"/>
      <c r="AM3217" s="19"/>
      <c r="AN3217" s="19"/>
      <c r="AO3217" s="19"/>
      <c r="AP3217" s="19"/>
      <c r="AQ3217" s="19"/>
      <c r="AR3217" s="19"/>
      <c r="AS3217" s="19"/>
    </row>
    <row r="3218" spans="1:45" x14ac:dyDescent="0.3">
      <c r="A3218" s="410" t="s">
        <v>4927</v>
      </c>
      <c r="B3218" s="17"/>
      <c r="C3218" s="19"/>
      <c r="D3218" s="18"/>
      <c r="E3218" s="18"/>
      <c r="F3218" s="19"/>
      <c r="G3218" s="31"/>
      <c r="H3218" s="31"/>
      <c r="I3218" s="19"/>
      <c r="J3218" s="19"/>
      <c r="K3218" s="21"/>
      <c r="L3218" s="22"/>
      <c r="M3218" s="19"/>
      <c r="N3218" s="20"/>
      <c r="O3218" s="19"/>
      <c r="P3218" s="19"/>
      <c r="Q3218" s="19"/>
      <c r="R3218" s="19"/>
      <c r="S3218" s="19"/>
      <c r="T3218" s="19"/>
      <c r="U3218" s="19"/>
      <c r="V3218" s="19"/>
      <c r="W3218" s="19"/>
      <c r="X3218" s="19"/>
      <c r="Y3218" s="19"/>
      <c r="Z3218" s="19"/>
      <c r="AA3218" s="19"/>
      <c r="AB3218" s="19"/>
      <c r="AC3218" s="19"/>
      <c r="AD3218" s="19"/>
      <c r="AE3218" s="19"/>
      <c r="AF3218" s="19"/>
      <c r="AG3218" s="19"/>
      <c r="AH3218" s="19"/>
      <c r="AI3218" s="19"/>
      <c r="AJ3218" s="19"/>
      <c r="AK3218" s="19"/>
      <c r="AL3218" s="19"/>
      <c r="AM3218" s="19"/>
      <c r="AN3218" s="19"/>
      <c r="AO3218" s="19"/>
      <c r="AP3218" s="19"/>
      <c r="AQ3218" s="19"/>
      <c r="AR3218" s="19"/>
      <c r="AS3218" s="19"/>
    </row>
    <row r="3219" spans="1:45" x14ac:dyDescent="0.3">
      <c r="A3219" s="410" t="s">
        <v>4928</v>
      </c>
      <c r="B3219" s="17"/>
      <c r="C3219" s="19"/>
      <c r="D3219" s="18"/>
      <c r="E3219" s="18"/>
      <c r="F3219" s="19"/>
      <c r="G3219" s="31"/>
      <c r="H3219" s="31"/>
      <c r="I3219" s="19"/>
      <c r="J3219" s="19"/>
      <c r="K3219" s="21"/>
      <c r="L3219" s="22"/>
      <c r="M3219" s="19"/>
      <c r="N3219" s="20"/>
      <c r="O3219" s="19"/>
      <c r="P3219" s="19"/>
      <c r="Q3219" s="19"/>
      <c r="R3219" s="19"/>
      <c r="S3219" s="19"/>
      <c r="T3219" s="19"/>
      <c r="U3219" s="19"/>
      <c r="V3219" s="19"/>
      <c r="W3219" s="19"/>
      <c r="X3219" s="19"/>
      <c r="Y3219" s="19"/>
      <c r="Z3219" s="19"/>
      <c r="AA3219" s="19"/>
      <c r="AB3219" s="19"/>
      <c r="AC3219" s="19"/>
      <c r="AD3219" s="19"/>
      <c r="AE3219" s="19"/>
      <c r="AF3219" s="19"/>
      <c r="AG3219" s="19"/>
      <c r="AH3219" s="19"/>
      <c r="AI3219" s="19"/>
      <c r="AJ3219" s="19"/>
      <c r="AK3219" s="19"/>
      <c r="AL3219" s="19"/>
      <c r="AM3219" s="19"/>
      <c r="AN3219" s="19"/>
      <c r="AO3219" s="19"/>
      <c r="AP3219" s="19"/>
      <c r="AQ3219" s="19"/>
      <c r="AR3219" s="19"/>
      <c r="AS3219" s="19"/>
    </row>
    <row r="3220" spans="1:45" x14ac:dyDescent="0.3">
      <c r="A3220" s="410" t="s">
        <v>4929</v>
      </c>
      <c r="B3220" s="17"/>
      <c r="C3220" s="19"/>
      <c r="D3220" s="18"/>
      <c r="E3220" s="18"/>
      <c r="F3220" s="19"/>
      <c r="G3220" s="31"/>
      <c r="H3220" s="31"/>
      <c r="I3220" s="19"/>
      <c r="J3220" s="19"/>
      <c r="K3220" s="21"/>
      <c r="L3220" s="22"/>
      <c r="M3220" s="19"/>
      <c r="N3220" s="20"/>
      <c r="O3220" s="19"/>
      <c r="P3220" s="19"/>
      <c r="Q3220" s="19"/>
      <c r="R3220" s="19"/>
      <c r="S3220" s="19"/>
      <c r="T3220" s="19"/>
      <c r="U3220" s="19"/>
      <c r="V3220" s="19"/>
      <c r="W3220" s="19"/>
      <c r="X3220" s="19"/>
      <c r="Y3220" s="19"/>
      <c r="Z3220" s="19"/>
      <c r="AA3220" s="19"/>
      <c r="AB3220" s="19"/>
      <c r="AC3220" s="19"/>
      <c r="AD3220" s="19"/>
      <c r="AE3220" s="19"/>
      <c r="AF3220" s="19"/>
      <c r="AG3220" s="19"/>
      <c r="AH3220" s="19"/>
      <c r="AI3220" s="19"/>
      <c r="AJ3220" s="19"/>
      <c r="AK3220" s="19"/>
      <c r="AL3220" s="19"/>
      <c r="AM3220" s="19"/>
      <c r="AN3220" s="19"/>
      <c r="AO3220" s="19"/>
      <c r="AP3220" s="19"/>
      <c r="AQ3220" s="19"/>
      <c r="AR3220" s="19"/>
      <c r="AS3220" s="19"/>
    </row>
    <row r="3221" spans="1:45" x14ac:dyDescent="0.3">
      <c r="A3221" s="410" t="s">
        <v>4930</v>
      </c>
      <c r="B3221" s="17"/>
      <c r="C3221" s="19"/>
      <c r="D3221" s="18"/>
      <c r="E3221" s="18"/>
      <c r="F3221" s="19"/>
      <c r="G3221" s="31"/>
      <c r="H3221" s="31"/>
      <c r="I3221" s="19"/>
      <c r="J3221" s="19"/>
      <c r="K3221" s="21"/>
      <c r="L3221" s="22"/>
      <c r="M3221" s="19"/>
      <c r="N3221" s="20"/>
      <c r="O3221" s="19"/>
      <c r="P3221" s="19"/>
      <c r="Q3221" s="19"/>
      <c r="R3221" s="19"/>
      <c r="S3221" s="19"/>
      <c r="T3221" s="19"/>
      <c r="U3221" s="19"/>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19"/>
    </row>
    <row r="3222" spans="1:45" x14ac:dyDescent="0.3">
      <c r="A3222" s="410" t="s">
        <v>4931</v>
      </c>
      <c r="B3222" s="17"/>
      <c r="C3222" s="19"/>
      <c r="D3222" s="18"/>
      <c r="E3222" s="18"/>
      <c r="F3222" s="19"/>
      <c r="G3222" s="31"/>
      <c r="H3222" s="31"/>
      <c r="I3222" s="19"/>
      <c r="J3222" s="19"/>
      <c r="K3222" s="21"/>
      <c r="L3222" s="22"/>
      <c r="M3222" s="19"/>
      <c r="N3222" s="20"/>
      <c r="O3222" s="19"/>
      <c r="P3222" s="19"/>
      <c r="Q3222" s="19"/>
      <c r="R3222" s="19"/>
      <c r="S3222" s="19"/>
      <c r="T3222" s="19"/>
      <c r="U3222" s="19"/>
      <c r="V3222" s="19"/>
      <c r="W3222" s="19"/>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19"/>
    </row>
    <row r="3223" spans="1:45" x14ac:dyDescent="0.3">
      <c r="A3223" s="410" t="s">
        <v>4932</v>
      </c>
      <c r="B3223" s="17"/>
      <c r="C3223" s="19"/>
      <c r="D3223" s="18"/>
      <c r="E3223" s="18"/>
      <c r="F3223" s="19"/>
      <c r="G3223" s="31"/>
      <c r="H3223" s="31"/>
      <c r="I3223" s="19"/>
      <c r="J3223" s="19"/>
      <c r="K3223" s="21"/>
      <c r="L3223" s="22"/>
      <c r="M3223" s="19"/>
      <c r="N3223" s="20"/>
      <c r="O3223" s="19"/>
      <c r="P3223" s="19"/>
      <c r="Q3223" s="19"/>
      <c r="R3223" s="19"/>
      <c r="S3223" s="19"/>
      <c r="T3223" s="19"/>
      <c r="U3223" s="19"/>
      <c r="V3223" s="19"/>
      <c r="W3223" s="19"/>
      <c r="X3223" s="19"/>
      <c r="Y3223" s="19"/>
      <c r="Z3223" s="19"/>
      <c r="AA3223" s="19"/>
      <c r="AB3223" s="19"/>
      <c r="AC3223" s="19"/>
      <c r="AD3223" s="19"/>
      <c r="AE3223" s="19"/>
      <c r="AF3223" s="19"/>
      <c r="AG3223" s="19"/>
      <c r="AH3223" s="19"/>
      <c r="AI3223" s="19"/>
      <c r="AJ3223" s="19"/>
      <c r="AK3223" s="19"/>
      <c r="AL3223" s="19"/>
      <c r="AM3223" s="19"/>
      <c r="AN3223" s="19"/>
      <c r="AO3223" s="19"/>
      <c r="AP3223" s="19"/>
      <c r="AQ3223" s="19"/>
      <c r="AR3223" s="19"/>
      <c r="AS3223" s="19"/>
    </row>
    <row r="3224" spans="1:45" x14ac:dyDescent="0.3">
      <c r="A3224" s="410" t="s">
        <v>4933</v>
      </c>
      <c r="B3224" s="17"/>
      <c r="C3224" s="19"/>
      <c r="D3224" s="18"/>
      <c r="E3224" s="18"/>
      <c r="F3224" s="19"/>
      <c r="G3224" s="31"/>
      <c r="H3224" s="31"/>
      <c r="I3224" s="19"/>
      <c r="J3224" s="19"/>
      <c r="K3224" s="21"/>
      <c r="L3224" s="22"/>
      <c r="M3224" s="19"/>
      <c r="N3224" s="20"/>
      <c r="O3224" s="19"/>
      <c r="P3224" s="19"/>
      <c r="Q3224" s="19"/>
      <c r="R3224" s="19"/>
      <c r="S3224" s="19"/>
      <c r="T3224" s="19"/>
      <c r="U3224" s="19"/>
      <c r="V3224" s="19"/>
      <c r="W3224" s="19"/>
      <c r="X3224" s="19"/>
      <c r="Y3224" s="19"/>
      <c r="Z3224" s="19"/>
      <c r="AA3224" s="19"/>
      <c r="AB3224" s="19"/>
      <c r="AC3224" s="19"/>
      <c r="AD3224" s="19"/>
      <c r="AE3224" s="19"/>
      <c r="AF3224" s="19"/>
      <c r="AG3224" s="19"/>
      <c r="AH3224" s="19"/>
      <c r="AI3224" s="19"/>
      <c r="AJ3224" s="19"/>
      <c r="AK3224" s="19"/>
      <c r="AL3224" s="19"/>
      <c r="AM3224" s="19"/>
      <c r="AN3224" s="19"/>
      <c r="AO3224" s="19"/>
      <c r="AP3224" s="19"/>
      <c r="AQ3224" s="19"/>
      <c r="AR3224" s="19"/>
      <c r="AS3224" s="19"/>
    </row>
    <row r="3225" spans="1:45" x14ac:dyDescent="0.3">
      <c r="A3225" s="410" t="s">
        <v>4934</v>
      </c>
      <c r="B3225" s="17"/>
      <c r="C3225" s="19"/>
      <c r="D3225" s="18"/>
      <c r="E3225" s="18"/>
      <c r="F3225" s="19"/>
      <c r="G3225" s="31"/>
      <c r="H3225" s="31"/>
      <c r="I3225" s="19"/>
      <c r="J3225" s="19"/>
      <c r="K3225" s="21"/>
      <c r="L3225" s="22"/>
      <c r="M3225" s="19"/>
      <c r="N3225" s="20"/>
      <c r="O3225" s="19"/>
      <c r="P3225" s="19"/>
      <c r="Q3225" s="19"/>
      <c r="R3225" s="19"/>
      <c r="S3225" s="19"/>
      <c r="T3225" s="19"/>
      <c r="U3225" s="19"/>
      <c r="V3225" s="19"/>
      <c r="W3225" s="19"/>
      <c r="X3225" s="19"/>
      <c r="Y3225" s="19"/>
      <c r="Z3225" s="19"/>
      <c r="AA3225" s="19"/>
      <c r="AB3225" s="19"/>
      <c r="AC3225" s="19"/>
      <c r="AD3225" s="19"/>
      <c r="AE3225" s="19"/>
      <c r="AF3225" s="19"/>
      <c r="AG3225" s="19"/>
      <c r="AH3225" s="19"/>
      <c r="AI3225" s="19"/>
      <c r="AJ3225" s="19"/>
      <c r="AK3225" s="19"/>
      <c r="AL3225" s="19"/>
      <c r="AM3225" s="19"/>
      <c r="AN3225" s="19"/>
      <c r="AO3225" s="19"/>
      <c r="AP3225" s="19"/>
      <c r="AQ3225" s="19"/>
      <c r="AR3225" s="19"/>
      <c r="AS3225" s="19"/>
    </row>
    <row r="3226" spans="1:45" x14ac:dyDescent="0.3">
      <c r="A3226" s="410" t="s">
        <v>4935</v>
      </c>
      <c r="B3226" s="17"/>
      <c r="C3226" s="19"/>
      <c r="D3226" s="18"/>
      <c r="E3226" s="18"/>
      <c r="F3226" s="19"/>
      <c r="G3226" s="31"/>
      <c r="H3226" s="31"/>
      <c r="I3226" s="19"/>
      <c r="J3226" s="19"/>
      <c r="K3226" s="21"/>
      <c r="L3226" s="22"/>
      <c r="M3226" s="19"/>
      <c r="N3226" s="20"/>
      <c r="O3226" s="19"/>
      <c r="P3226" s="19"/>
      <c r="Q3226" s="19"/>
      <c r="R3226" s="19"/>
      <c r="S3226" s="19"/>
      <c r="T3226" s="19"/>
      <c r="U3226" s="19"/>
      <c r="V3226" s="19"/>
      <c r="W3226" s="19"/>
      <c r="X3226" s="19"/>
      <c r="Y3226" s="19"/>
      <c r="Z3226" s="19"/>
      <c r="AA3226" s="19"/>
      <c r="AB3226" s="19"/>
      <c r="AC3226" s="19"/>
      <c r="AD3226" s="19"/>
      <c r="AE3226" s="19"/>
      <c r="AF3226" s="19"/>
      <c r="AG3226" s="19"/>
      <c r="AH3226" s="19"/>
      <c r="AI3226" s="19"/>
      <c r="AJ3226" s="19"/>
      <c r="AK3226" s="19"/>
      <c r="AL3226" s="19"/>
      <c r="AM3226" s="19"/>
      <c r="AN3226" s="19"/>
      <c r="AO3226" s="19"/>
      <c r="AP3226" s="19"/>
      <c r="AQ3226" s="19"/>
      <c r="AR3226" s="19"/>
      <c r="AS3226" s="19"/>
    </row>
    <row r="3227" spans="1:45" x14ac:dyDescent="0.3">
      <c r="A3227" s="410" t="s">
        <v>4936</v>
      </c>
      <c r="B3227" s="17"/>
      <c r="C3227" s="19"/>
      <c r="D3227" s="18"/>
      <c r="E3227" s="18"/>
      <c r="F3227" s="19"/>
      <c r="G3227" s="31"/>
      <c r="H3227" s="31"/>
      <c r="I3227" s="19"/>
      <c r="J3227" s="19"/>
      <c r="K3227" s="21"/>
      <c r="L3227" s="22"/>
      <c r="M3227" s="19"/>
      <c r="N3227" s="20"/>
      <c r="O3227" s="19"/>
      <c r="P3227" s="19"/>
      <c r="Q3227" s="19"/>
      <c r="R3227" s="19"/>
      <c r="S3227" s="19"/>
      <c r="T3227" s="19"/>
      <c r="U3227" s="19"/>
      <c r="V3227" s="19"/>
      <c r="W3227" s="19"/>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19"/>
    </row>
    <row r="3228" spans="1:45" x14ac:dyDescent="0.3">
      <c r="A3228" s="410" t="s">
        <v>4937</v>
      </c>
      <c r="B3228" s="17"/>
      <c r="C3228" s="19"/>
      <c r="D3228" s="18"/>
      <c r="E3228" s="18"/>
      <c r="F3228" s="19"/>
      <c r="G3228" s="31"/>
      <c r="H3228" s="31"/>
      <c r="I3228" s="19"/>
      <c r="J3228" s="19"/>
      <c r="K3228" s="21"/>
      <c r="L3228" s="22"/>
      <c r="M3228" s="19"/>
      <c r="N3228" s="20"/>
      <c r="O3228" s="19"/>
      <c r="P3228" s="19"/>
      <c r="Q3228" s="19"/>
      <c r="R3228" s="19"/>
      <c r="S3228" s="19"/>
      <c r="T3228" s="19"/>
      <c r="U3228" s="19"/>
      <c r="V3228" s="19"/>
      <c r="W3228" s="19"/>
      <c r="X3228" s="19"/>
      <c r="Y3228" s="19"/>
      <c r="Z3228" s="19"/>
      <c r="AA3228" s="19"/>
      <c r="AB3228" s="19"/>
      <c r="AC3228" s="19"/>
      <c r="AD3228" s="19"/>
      <c r="AE3228" s="19"/>
      <c r="AF3228" s="19"/>
      <c r="AG3228" s="19"/>
      <c r="AH3228" s="19"/>
      <c r="AI3228" s="19"/>
      <c r="AJ3228" s="19"/>
      <c r="AK3228" s="19"/>
      <c r="AL3228" s="19"/>
      <c r="AM3228" s="19"/>
      <c r="AN3228" s="19"/>
      <c r="AO3228" s="19"/>
      <c r="AP3228" s="19"/>
      <c r="AQ3228" s="19"/>
      <c r="AR3228" s="19"/>
      <c r="AS3228" s="19"/>
    </row>
    <row r="3229" spans="1:45" x14ac:dyDescent="0.3">
      <c r="A3229" s="410" t="s">
        <v>4938</v>
      </c>
      <c r="B3229" s="17"/>
      <c r="C3229" s="19"/>
      <c r="D3229" s="18"/>
      <c r="E3229" s="18"/>
      <c r="F3229" s="19"/>
      <c r="G3229" s="31"/>
      <c r="H3229" s="31"/>
      <c r="I3229" s="19"/>
      <c r="J3229" s="19"/>
      <c r="K3229" s="21"/>
      <c r="L3229" s="22"/>
      <c r="M3229" s="19"/>
      <c r="N3229" s="20"/>
      <c r="O3229" s="19"/>
      <c r="P3229" s="19"/>
      <c r="Q3229" s="19"/>
      <c r="R3229" s="19"/>
      <c r="S3229" s="19"/>
      <c r="T3229" s="19"/>
      <c r="U3229" s="19"/>
      <c r="V3229" s="19"/>
      <c r="W3229" s="19"/>
      <c r="X3229" s="19"/>
      <c r="Y3229" s="19"/>
      <c r="Z3229" s="19"/>
      <c r="AA3229" s="19"/>
      <c r="AB3229" s="19"/>
      <c r="AC3229" s="19"/>
      <c r="AD3229" s="19"/>
      <c r="AE3229" s="19"/>
      <c r="AF3229" s="19"/>
      <c r="AG3229" s="19"/>
      <c r="AH3229" s="19"/>
      <c r="AI3229" s="19"/>
      <c r="AJ3229" s="19"/>
      <c r="AK3229" s="19"/>
      <c r="AL3229" s="19"/>
      <c r="AM3229" s="19"/>
      <c r="AN3229" s="19"/>
      <c r="AO3229" s="19"/>
      <c r="AP3229" s="19"/>
      <c r="AQ3229" s="19"/>
      <c r="AR3229" s="19"/>
      <c r="AS3229" s="19"/>
    </row>
    <row r="3230" spans="1:45" x14ac:dyDescent="0.3">
      <c r="A3230" s="410" t="s">
        <v>4939</v>
      </c>
      <c r="B3230" s="17"/>
      <c r="C3230" s="19"/>
      <c r="D3230" s="18"/>
      <c r="E3230" s="18"/>
      <c r="F3230" s="19"/>
      <c r="G3230" s="31"/>
      <c r="H3230" s="31"/>
      <c r="I3230" s="19"/>
      <c r="J3230" s="19"/>
      <c r="K3230" s="21"/>
      <c r="L3230" s="22"/>
      <c r="M3230" s="19"/>
      <c r="N3230" s="20"/>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row>
    <row r="3231" spans="1:45" x14ac:dyDescent="0.3">
      <c r="A3231" s="410" t="s">
        <v>4940</v>
      </c>
      <c r="B3231" s="17"/>
      <c r="C3231" s="19"/>
      <c r="D3231" s="18"/>
      <c r="E3231" s="18"/>
      <c r="F3231" s="19"/>
      <c r="G3231" s="31"/>
      <c r="H3231" s="31"/>
      <c r="I3231" s="19"/>
      <c r="J3231" s="19"/>
      <c r="K3231" s="21"/>
      <c r="L3231" s="22"/>
      <c r="M3231" s="19"/>
      <c r="N3231" s="20"/>
      <c r="O3231" s="19"/>
      <c r="P3231" s="19"/>
      <c r="Q3231" s="19"/>
      <c r="R3231" s="19"/>
      <c r="S3231" s="19"/>
      <c r="T3231" s="19"/>
      <c r="U3231" s="19"/>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19"/>
    </row>
    <row r="3232" spans="1:45" x14ac:dyDescent="0.3">
      <c r="A3232" s="410" t="s">
        <v>4941</v>
      </c>
      <c r="B3232" s="17"/>
      <c r="C3232" s="19"/>
      <c r="D3232" s="18"/>
      <c r="E3232" s="18"/>
      <c r="F3232" s="19"/>
      <c r="G3232" s="31"/>
      <c r="H3232" s="31"/>
      <c r="I3232" s="19"/>
      <c r="J3232" s="19"/>
      <c r="K3232" s="21"/>
      <c r="L3232" s="22"/>
      <c r="M3232" s="19"/>
      <c r="N3232" s="20"/>
      <c r="O3232" s="19"/>
      <c r="P3232" s="19"/>
      <c r="Q3232" s="19"/>
      <c r="R3232" s="19"/>
      <c r="S3232" s="19"/>
      <c r="T3232" s="19"/>
      <c r="U3232" s="19"/>
      <c r="V3232" s="19"/>
      <c r="W3232" s="19"/>
      <c r="X3232" s="19"/>
      <c r="Y3232" s="19"/>
      <c r="Z3232" s="19"/>
      <c r="AA3232" s="19"/>
      <c r="AB3232" s="19"/>
      <c r="AC3232" s="19"/>
      <c r="AD3232" s="19"/>
      <c r="AE3232" s="19"/>
      <c r="AF3232" s="19"/>
      <c r="AG3232" s="19"/>
      <c r="AH3232" s="19"/>
      <c r="AI3232" s="19"/>
      <c r="AJ3232" s="19"/>
      <c r="AK3232" s="19"/>
      <c r="AL3232" s="19"/>
      <c r="AM3232" s="19"/>
      <c r="AN3232" s="19"/>
      <c r="AO3232" s="19"/>
      <c r="AP3232" s="19"/>
      <c r="AQ3232" s="19"/>
      <c r="AR3232" s="19"/>
      <c r="AS3232" s="19"/>
    </row>
    <row r="3233" spans="1:45" x14ac:dyDescent="0.3">
      <c r="A3233" s="410" t="s">
        <v>4942</v>
      </c>
      <c r="B3233" s="17"/>
      <c r="C3233" s="19"/>
      <c r="D3233" s="18"/>
      <c r="E3233" s="18"/>
      <c r="F3233" s="19"/>
      <c r="G3233" s="31"/>
      <c r="H3233" s="31"/>
      <c r="I3233" s="19"/>
      <c r="J3233" s="19"/>
      <c r="K3233" s="21"/>
      <c r="L3233" s="22"/>
      <c r="M3233" s="19"/>
      <c r="N3233" s="20"/>
      <c r="O3233" s="19"/>
      <c r="P3233" s="19"/>
      <c r="Q3233" s="19"/>
      <c r="R3233" s="19"/>
      <c r="S3233" s="19"/>
      <c r="T3233" s="19"/>
      <c r="U3233" s="19"/>
      <c r="V3233" s="19"/>
      <c r="W3233" s="19"/>
      <c r="X3233" s="19"/>
      <c r="Y3233" s="19"/>
      <c r="Z3233" s="19"/>
      <c r="AA3233" s="19"/>
      <c r="AB3233" s="19"/>
      <c r="AC3233" s="19"/>
      <c r="AD3233" s="19"/>
      <c r="AE3233" s="19"/>
      <c r="AF3233" s="19"/>
      <c r="AG3233" s="19"/>
      <c r="AH3233" s="19"/>
      <c r="AI3233" s="19"/>
      <c r="AJ3233" s="19"/>
      <c r="AK3233" s="19"/>
      <c r="AL3233" s="19"/>
      <c r="AM3233" s="19"/>
      <c r="AN3233" s="19"/>
      <c r="AO3233" s="19"/>
      <c r="AP3233" s="19"/>
      <c r="AQ3233" s="19"/>
      <c r="AR3233" s="19"/>
      <c r="AS3233" s="19"/>
    </row>
    <row r="3234" spans="1:45" x14ac:dyDescent="0.3">
      <c r="A3234" s="410" t="s">
        <v>4943</v>
      </c>
      <c r="B3234" s="17"/>
      <c r="C3234" s="19"/>
      <c r="D3234" s="18"/>
      <c r="E3234" s="18"/>
      <c r="F3234" s="19"/>
      <c r="G3234" s="31"/>
      <c r="H3234" s="31"/>
      <c r="I3234" s="19"/>
      <c r="J3234" s="19"/>
      <c r="K3234" s="21"/>
      <c r="L3234" s="22"/>
      <c r="M3234" s="19"/>
      <c r="N3234" s="20"/>
      <c r="O3234" s="19"/>
      <c r="P3234" s="19"/>
      <c r="Q3234" s="19"/>
      <c r="R3234" s="19"/>
      <c r="S3234" s="19"/>
      <c r="T3234" s="19"/>
      <c r="U3234" s="19"/>
      <c r="V3234" s="19"/>
      <c r="W3234" s="19"/>
      <c r="X3234" s="19"/>
      <c r="Y3234" s="19"/>
      <c r="Z3234" s="19"/>
      <c r="AA3234" s="19"/>
      <c r="AB3234" s="19"/>
      <c r="AC3234" s="19"/>
      <c r="AD3234" s="19"/>
      <c r="AE3234" s="19"/>
      <c r="AF3234" s="19"/>
      <c r="AG3234" s="19"/>
      <c r="AH3234" s="19"/>
      <c r="AI3234" s="19"/>
      <c r="AJ3234" s="19"/>
      <c r="AK3234" s="19"/>
      <c r="AL3234" s="19"/>
      <c r="AM3234" s="19"/>
      <c r="AN3234" s="19"/>
      <c r="AO3234" s="19"/>
      <c r="AP3234" s="19"/>
      <c r="AQ3234" s="19"/>
      <c r="AR3234" s="19"/>
      <c r="AS3234" s="19"/>
    </row>
    <row r="3235" spans="1:45" x14ac:dyDescent="0.3">
      <c r="A3235" s="410" t="s">
        <v>4944</v>
      </c>
      <c r="B3235" s="17"/>
      <c r="C3235" s="19"/>
      <c r="D3235" s="18"/>
      <c r="E3235" s="18"/>
      <c r="F3235" s="19"/>
      <c r="G3235" s="31"/>
      <c r="H3235" s="31"/>
      <c r="I3235" s="19"/>
      <c r="J3235" s="19"/>
      <c r="K3235" s="21"/>
      <c r="L3235" s="22"/>
      <c r="M3235" s="19"/>
      <c r="N3235" s="20"/>
      <c r="O3235" s="19"/>
      <c r="P3235" s="19"/>
      <c r="Q3235" s="19"/>
      <c r="R3235" s="19"/>
      <c r="S3235" s="19"/>
      <c r="T3235" s="19"/>
      <c r="U3235" s="19"/>
      <c r="V3235" s="19"/>
      <c r="W3235" s="19"/>
      <c r="X3235" s="19"/>
      <c r="Y3235" s="19"/>
      <c r="Z3235" s="19"/>
      <c r="AA3235" s="19"/>
      <c r="AB3235" s="19"/>
      <c r="AC3235" s="19"/>
      <c r="AD3235" s="19"/>
      <c r="AE3235" s="19"/>
      <c r="AF3235" s="19"/>
      <c r="AG3235" s="19"/>
      <c r="AH3235" s="19"/>
      <c r="AI3235" s="19"/>
      <c r="AJ3235" s="19"/>
      <c r="AK3235" s="19"/>
      <c r="AL3235" s="19"/>
      <c r="AM3235" s="19"/>
      <c r="AN3235" s="19"/>
      <c r="AO3235" s="19"/>
      <c r="AP3235" s="19"/>
      <c r="AQ3235" s="19"/>
      <c r="AR3235" s="19"/>
      <c r="AS3235" s="19"/>
    </row>
    <row r="3236" spans="1:45" x14ac:dyDescent="0.3">
      <c r="A3236" s="410" t="s">
        <v>4945</v>
      </c>
      <c r="B3236" s="17"/>
      <c r="C3236" s="19"/>
      <c r="D3236" s="18"/>
      <c r="E3236" s="18"/>
      <c r="F3236" s="19"/>
      <c r="G3236" s="31"/>
      <c r="H3236" s="31"/>
      <c r="I3236" s="19"/>
      <c r="J3236" s="19"/>
      <c r="K3236" s="21"/>
      <c r="L3236" s="22"/>
      <c r="M3236" s="19"/>
      <c r="N3236" s="20"/>
      <c r="O3236" s="19"/>
      <c r="P3236" s="19"/>
      <c r="Q3236" s="19"/>
      <c r="R3236" s="19"/>
      <c r="S3236" s="19"/>
      <c r="T3236" s="19"/>
      <c r="U3236" s="19"/>
      <c r="V3236" s="19"/>
      <c r="W3236" s="19"/>
      <c r="X3236" s="19"/>
      <c r="Y3236" s="19"/>
      <c r="Z3236" s="19"/>
      <c r="AA3236" s="19"/>
      <c r="AB3236" s="19"/>
      <c r="AC3236" s="19"/>
      <c r="AD3236" s="19"/>
      <c r="AE3236" s="19"/>
      <c r="AF3236" s="19"/>
      <c r="AG3236" s="19"/>
      <c r="AH3236" s="19"/>
      <c r="AI3236" s="19"/>
      <c r="AJ3236" s="19"/>
      <c r="AK3236" s="19"/>
      <c r="AL3236" s="19"/>
      <c r="AM3236" s="19"/>
      <c r="AN3236" s="19"/>
      <c r="AO3236" s="19"/>
      <c r="AP3236" s="19"/>
      <c r="AQ3236" s="19"/>
      <c r="AR3236" s="19"/>
      <c r="AS3236" s="19"/>
    </row>
    <row r="3237" spans="1:45" x14ac:dyDescent="0.3">
      <c r="A3237" s="410" t="s">
        <v>4946</v>
      </c>
      <c r="B3237" s="17"/>
      <c r="C3237" s="19"/>
      <c r="D3237" s="18"/>
      <c r="E3237" s="18"/>
      <c r="F3237" s="19"/>
      <c r="G3237" s="31"/>
      <c r="H3237" s="31"/>
      <c r="I3237" s="19"/>
      <c r="J3237" s="19"/>
      <c r="K3237" s="21"/>
      <c r="L3237" s="22"/>
      <c r="M3237" s="19"/>
      <c r="N3237" s="20"/>
      <c r="O3237" s="19"/>
      <c r="P3237" s="19"/>
      <c r="Q3237" s="19"/>
      <c r="R3237" s="19"/>
      <c r="S3237" s="19"/>
      <c r="T3237" s="19"/>
      <c r="U3237" s="19"/>
      <c r="V3237" s="19"/>
      <c r="W3237" s="19"/>
      <c r="X3237" s="19"/>
      <c r="Y3237" s="19"/>
      <c r="Z3237" s="19"/>
      <c r="AA3237" s="19"/>
      <c r="AB3237" s="19"/>
      <c r="AC3237" s="19"/>
      <c r="AD3237" s="19"/>
      <c r="AE3237" s="19"/>
      <c r="AF3237" s="19"/>
      <c r="AG3237" s="19"/>
      <c r="AH3237" s="19"/>
      <c r="AI3237" s="19"/>
      <c r="AJ3237" s="19"/>
      <c r="AK3237" s="19"/>
      <c r="AL3237" s="19"/>
      <c r="AM3237" s="19"/>
      <c r="AN3237" s="19"/>
      <c r="AO3237" s="19"/>
      <c r="AP3237" s="19"/>
      <c r="AQ3237" s="19"/>
      <c r="AR3237" s="19"/>
      <c r="AS3237" s="19"/>
    </row>
    <row r="3238" spans="1:45" x14ac:dyDescent="0.3">
      <c r="A3238" s="410" t="s">
        <v>4947</v>
      </c>
      <c r="B3238" s="17"/>
      <c r="C3238" s="19"/>
      <c r="D3238" s="18"/>
      <c r="E3238" s="18"/>
      <c r="F3238" s="19"/>
      <c r="G3238" s="31"/>
      <c r="H3238" s="31"/>
      <c r="I3238" s="19"/>
      <c r="J3238" s="19"/>
      <c r="K3238" s="21"/>
      <c r="L3238" s="22"/>
      <c r="M3238" s="19"/>
      <c r="N3238" s="20"/>
      <c r="O3238" s="19"/>
      <c r="P3238" s="19"/>
      <c r="Q3238" s="19"/>
      <c r="R3238" s="19"/>
      <c r="S3238" s="19"/>
      <c r="T3238" s="19"/>
      <c r="U3238" s="19"/>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19"/>
    </row>
    <row r="3239" spans="1:45" x14ac:dyDescent="0.3">
      <c r="A3239" s="410" t="s">
        <v>4948</v>
      </c>
      <c r="B3239" s="17"/>
      <c r="C3239" s="19"/>
      <c r="D3239" s="18"/>
      <c r="E3239" s="18"/>
      <c r="F3239" s="19"/>
      <c r="G3239" s="31"/>
      <c r="H3239" s="31"/>
      <c r="I3239" s="19"/>
      <c r="J3239" s="19"/>
      <c r="K3239" s="21"/>
      <c r="L3239" s="22"/>
      <c r="M3239" s="19"/>
      <c r="N3239" s="20"/>
      <c r="O3239" s="19"/>
      <c r="P3239" s="19"/>
      <c r="Q3239" s="19"/>
      <c r="R3239" s="19"/>
      <c r="S3239" s="19"/>
      <c r="T3239" s="19"/>
      <c r="U3239" s="19"/>
      <c r="V3239" s="19"/>
      <c r="W3239" s="19"/>
      <c r="X3239" s="19"/>
      <c r="Y3239" s="19"/>
      <c r="Z3239" s="19"/>
      <c r="AA3239" s="19"/>
      <c r="AB3239" s="19"/>
      <c r="AC3239" s="19"/>
      <c r="AD3239" s="19"/>
      <c r="AE3239" s="19"/>
      <c r="AF3239" s="19"/>
      <c r="AG3239" s="19"/>
      <c r="AH3239" s="19"/>
      <c r="AI3239" s="19"/>
      <c r="AJ3239" s="19"/>
      <c r="AK3239" s="19"/>
      <c r="AL3239" s="19"/>
      <c r="AM3239" s="19"/>
      <c r="AN3239" s="19"/>
      <c r="AO3239" s="19"/>
      <c r="AP3239" s="19"/>
      <c r="AQ3239" s="19"/>
      <c r="AR3239" s="19"/>
      <c r="AS3239" s="19"/>
    </row>
    <row r="3240" spans="1:45" x14ac:dyDescent="0.3">
      <c r="A3240" s="410" t="s">
        <v>4949</v>
      </c>
      <c r="B3240" s="17"/>
      <c r="C3240" s="19"/>
      <c r="D3240" s="18"/>
      <c r="E3240" s="18"/>
      <c r="F3240" s="19"/>
      <c r="G3240" s="31"/>
      <c r="H3240" s="31"/>
      <c r="I3240" s="19"/>
      <c r="J3240" s="19"/>
      <c r="K3240" s="21"/>
      <c r="L3240" s="22"/>
      <c r="M3240" s="19"/>
      <c r="N3240" s="20"/>
      <c r="O3240" s="19"/>
      <c r="P3240" s="19"/>
      <c r="Q3240" s="19"/>
      <c r="R3240" s="19"/>
      <c r="S3240" s="19"/>
      <c r="T3240" s="19"/>
      <c r="U3240" s="19"/>
      <c r="V3240" s="19"/>
      <c r="W3240" s="19"/>
      <c r="X3240" s="19"/>
      <c r="Y3240" s="19"/>
      <c r="Z3240" s="19"/>
      <c r="AA3240" s="19"/>
      <c r="AB3240" s="19"/>
      <c r="AC3240" s="19"/>
      <c r="AD3240" s="19"/>
      <c r="AE3240" s="19"/>
      <c r="AF3240" s="19"/>
      <c r="AG3240" s="19"/>
      <c r="AH3240" s="19"/>
      <c r="AI3240" s="19"/>
      <c r="AJ3240" s="19"/>
      <c r="AK3240" s="19"/>
      <c r="AL3240" s="19"/>
      <c r="AM3240" s="19"/>
      <c r="AN3240" s="19"/>
      <c r="AO3240" s="19"/>
      <c r="AP3240" s="19"/>
      <c r="AQ3240" s="19"/>
      <c r="AR3240" s="19"/>
      <c r="AS3240" s="19"/>
    </row>
    <row r="3241" spans="1:45" x14ac:dyDescent="0.3">
      <c r="A3241" s="410" t="s">
        <v>4950</v>
      </c>
      <c r="B3241" s="17"/>
      <c r="C3241" s="19"/>
      <c r="D3241" s="18"/>
      <c r="E3241" s="18"/>
      <c r="F3241" s="19"/>
      <c r="G3241" s="31"/>
      <c r="H3241" s="31"/>
      <c r="I3241" s="19"/>
      <c r="J3241" s="19"/>
      <c r="K3241" s="21"/>
      <c r="L3241" s="22"/>
      <c r="M3241" s="19"/>
      <c r="N3241" s="20"/>
      <c r="O3241" s="19"/>
      <c r="P3241" s="19"/>
      <c r="Q3241" s="19"/>
      <c r="R3241" s="19"/>
      <c r="S3241" s="19"/>
      <c r="T3241" s="19"/>
      <c r="U3241" s="19"/>
      <c r="V3241" s="19"/>
      <c r="W3241" s="19"/>
      <c r="X3241" s="19"/>
      <c r="Y3241" s="19"/>
      <c r="Z3241" s="19"/>
      <c r="AA3241" s="19"/>
      <c r="AB3241" s="19"/>
      <c r="AC3241" s="19"/>
      <c r="AD3241" s="19"/>
      <c r="AE3241" s="19"/>
      <c r="AF3241" s="19"/>
      <c r="AG3241" s="19"/>
      <c r="AH3241" s="19"/>
      <c r="AI3241" s="19"/>
      <c r="AJ3241" s="19"/>
      <c r="AK3241" s="19"/>
      <c r="AL3241" s="19"/>
      <c r="AM3241" s="19"/>
      <c r="AN3241" s="19"/>
      <c r="AO3241" s="19"/>
      <c r="AP3241" s="19"/>
      <c r="AQ3241" s="19"/>
      <c r="AR3241" s="19"/>
      <c r="AS3241" s="19"/>
    </row>
    <row r="3242" spans="1:45" x14ac:dyDescent="0.3">
      <c r="A3242" s="410" t="s">
        <v>4951</v>
      </c>
      <c r="B3242" s="17"/>
      <c r="C3242" s="19"/>
      <c r="D3242" s="18"/>
      <c r="E3242" s="18"/>
      <c r="F3242" s="19"/>
      <c r="G3242" s="31"/>
      <c r="H3242" s="31"/>
      <c r="I3242" s="19"/>
      <c r="J3242" s="19"/>
      <c r="K3242" s="21"/>
      <c r="L3242" s="22"/>
      <c r="M3242" s="19"/>
      <c r="N3242" s="20"/>
      <c r="O3242" s="19"/>
      <c r="P3242" s="19"/>
      <c r="Q3242" s="19"/>
      <c r="R3242" s="19"/>
      <c r="S3242" s="19"/>
      <c r="T3242" s="19"/>
      <c r="U3242" s="19"/>
      <c r="V3242" s="19"/>
      <c r="W3242" s="19"/>
      <c r="X3242" s="19"/>
      <c r="Y3242" s="19"/>
      <c r="Z3242" s="19"/>
      <c r="AA3242" s="19"/>
      <c r="AB3242" s="19"/>
      <c r="AC3242" s="19"/>
      <c r="AD3242" s="19"/>
      <c r="AE3242" s="19"/>
      <c r="AF3242" s="19"/>
      <c r="AG3242" s="19"/>
      <c r="AH3242" s="19"/>
      <c r="AI3242" s="19"/>
      <c r="AJ3242" s="19"/>
      <c r="AK3242" s="19"/>
      <c r="AL3242" s="19"/>
      <c r="AM3242" s="19"/>
      <c r="AN3242" s="19"/>
      <c r="AO3242" s="19"/>
      <c r="AP3242" s="19"/>
      <c r="AQ3242" s="19"/>
      <c r="AR3242" s="19"/>
      <c r="AS3242" s="19"/>
    </row>
    <row r="3243" spans="1:45" x14ac:dyDescent="0.3">
      <c r="A3243" s="410" t="s">
        <v>4952</v>
      </c>
      <c r="B3243" s="17"/>
      <c r="C3243" s="19"/>
      <c r="D3243" s="18"/>
      <c r="E3243" s="18"/>
      <c r="F3243" s="19"/>
      <c r="G3243" s="31"/>
      <c r="H3243" s="31"/>
      <c r="I3243" s="19"/>
      <c r="J3243" s="19"/>
      <c r="K3243" s="21"/>
      <c r="L3243" s="22"/>
      <c r="M3243" s="19"/>
      <c r="N3243" s="20"/>
      <c r="O3243" s="19"/>
      <c r="P3243" s="19"/>
      <c r="Q3243" s="19"/>
      <c r="R3243" s="19"/>
      <c r="S3243" s="19"/>
      <c r="T3243" s="19"/>
      <c r="U3243" s="19"/>
      <c r="V3243" s="19"/>
      <c r="W3243" s="19"/>
      <c r="X3243" s="19"/>
      <c r="Y3243" s="19"/>
      <c r="Z3243" s="19"/>
      <c r="AA3243" s="19"/>
      <c r="AB3243" s="19"/>
      <c r="AC3243" s="19"/>
      <c r="AD3243" s="19"/>
      <c r="AE3243" s="19"/>
      <c r="AF3243" s="19"/>
      <c r="AG3243" s="19"/>
      <c r="AH3243" s="19"/>
      <c r="AI3243" s="19"/>
      <c r="AJ3243" s="19"/>
      <c r="AK3243" s="19"/>
      <c r="AL3243" s="19"/>
      <c r="AM3243" s="19"/>
      <c r="AN3243" s="19"/>
      <c r="AO3243" s="19"/>
      <c r="AP3243" s="19"/>
      <c r="AQ3243" s="19"/>
      <c r="AR3243" s="19"/>
      <c r="AS3243" s="19"/>
    </row>
    <row r="3244" spans="1:45" x14ac:dyDescent="0.3">
      <c r="A3244" s="410" t="s">
        <v>4953</v>
      </c>
      <c r="B3244" s="17"/>
      <c r="C3244" s="19"/>
      <c r="D3244" s="18"/>
      <c r="E3244" s="18"/>
      <c r="F3244" s="19"/>
      <c r="G3244" s="31"/>
      <c r="H3244" s="31"/>
      <c r="I3244" s="19"/>
      <c r="J3244" s="19"/>
      <c r="K3244" s="21"/>
      <c r="L3244" s="22"/>
      <c r="M3244" s="19"/>
      <c r="N3244" s="20"/>
      <c r="O3244" s="19"/>
      <c r="P3244" s="19"/>
      <c r="Q3244" s="19"/>
      <c r="R3244" s="19"/>
      <c r="S3244" s="19"/>
      <c r="T3244" s="19"/>
      <c r="U3244" s="19"/>
      <c r="V3244" s="19"/>
      <c r="W3244" s="19"/>
      <c r="X3244" s="19"/>
      <c r="Y3244" s="19"/>
      <c r="Z3244" s="19"/>
      <c r="AA3244" s="19"/>
      <c r="AB3244" s="19"/>
      <c r="AC3244" s="19"/>
      <c r="AD3244" s="19"/>
      <c r="AE3244" s="19"/>
      <c r="AF3244" s="19"/>
      <c r="AG3244" s="19"/>
      <c r="AH3244" s="19"/>
      <c r="AI3244" s="19"/>
      <c r="AJ3244" s="19"/>
      <c r="AK3244" s="19"/>
      <c r="AL3244" s="19"/>
      <c r="AM3244" s="19"/>
      <c r="AN3244" s="19"/>
      <c r="AO3244" s="19"/>
      <c r="AP3244" s="19"/>
      <c r="AQ3244" s="19"/>
      <c r="AR3244" s="19"/>
      <c r="AS3244" s="19"/>
    </row>
    <row r="3245" spans="1:45" x14ac:dyDescent="0.3">
      <c r="A3245" s="410" t="s">
        <v>4954</v>
      </c>
      <c r="B3245" s="17"/>
      <c r="C3245" s="19"/>
      <c r="D3245" s="18"/>
      <c r="E3245" s="18"/>
      <c r="F3245" s="19"/>
      <c r="G3245" s="31"/>
      <c r="H3245" s="31"/>
      <c r="I3245" s="19"/>
      <c r="J3245" s="19"/>
      <c r="K3245" s="21"/>
      <c r="L3245" s="22"/>
      <c r="M3245" s="19"/>
      <c r="N3245" s="20"/>
      <c r="O3245" s="19"/>
      <c r="P3245" s="19"/>
      <c r="Q3245" s="19"/>
      <c r="R3245" s="19"/>
      <c r="S3245" s="19"/>
      <c r="T3245" s="19"/>
      <c r="U3245" s="19"/>
      <c r="V3245" s="19"/>
      <c r="W3245" s="19"/>
      <c r="X3245" s="19"/>
      <c r="Y3245" s="19"/>
      <c r="Z3245" s="19"/>
      <c r="AA3245" s="19"/>
      <c r="AB3245" s="19"/>
      <c r="AC3245" s="19"/>
      <c r="AD3245" s="19"/>
      <c r="AE3245" s="19"/>
      <c r="AF3245" s="19"/>
      <c r="AG3245" s="19"/>
      <c r="AH3245" s="19"/>
      <c r="AI3245" s="19"/>
      <c r="AJ3245" s="19"/>
      <c r="AK3245" s="19"/>
      <c r="AL3245" s="19"/>
      <c r="AM3245" s="19"/>
      <c r="AN3245" s="19"/>
      <c r="AO3245" s="19"/>
      <c r="AP3245" s="19"/>
      <c r="AQ3245" s="19"/>
      <c r="AR3245" s="19"/>
      <c r="AS3245" s="19"/>
    </row>
    <row r="3246" spans="1:45" x14ac:dyDescent="0.3">
      <c r="A3246" s="410" t="s">
        <v>4955</v>
      </c>
      <c r="B3246" s="17"/>
      <c r="C3246" s="19"/>
      <c r="D3246" s="18"/>
      <c r="E3246" s="18"/>
      <c r="F3246" s="19"/>
      <c r="G3246" s="31"/>
      <c r="H3246" s="31"/>
      <c r="I3246" s="19"/>
      <c r="J3246" s="19"/>
      <c r="K3246" s="21"/>
      <c r="L3246" s="22"/>
      <c r="M3246" s="19"/>
      <c r="N3246" s="20"/>
      <c r="O3246" s="19"/>
      <c r="P3246" s="19"/>
      <c r="Q3246" s="19"/>
      <c r="R3246" s="19"/>
      <c r="S3246" s="19"/>
      <c r="T3246" s="19"/>
      <c r="U3246" s="19"/>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row>
    <row r="3247" spans="1:45" x14ac:dyDescent="0.3">
      <c r="A3247" s="410" t="s">
        <v>4956</v>
      </c>
      <c r="B3247" s="17"/>
      <c r="C3247" s="19"/>
      <c r="D3247" s="18"/>
      <c r="E3247" s="18"/>
      <c r="F3247" s="19"/>
      <c r="G3247" s="31"/>
      <c r="H3247" s="31"/>
      <c r="I3247" s="19"/>
      <c r="J3247" s="19"/>
      <c r="K3247" s="21"/>
      <c r="L3247" s="22"/>
      <c r="M3247" s="19"/>
      <c r="N3247" s="20"/>
      <c r="O3247" s="19"/>
      <c r="P3247" s="19"/>
      <c r="Q3247" s="19"/>
      <c r="R3247" s="19"/>
      <c r="S3247" s="19"/>
      <c r="T3247" s="19"/>
      <c r="U3247" s="19"/>
      <c r="V3247" s="19"/>
      <c r="W3247" s="19"/>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19"/>
    </row>
    <row r="3248" spans="1:45" x14ac:dyDescent="0.3">
      <c r="A3248" s="410" t="s">
        <v>4957</v>
      </c>
      <c r="B3248" s="17"/>
      <c r="C3248" s="19"/>
      <c r="D3248" s="18"/>
      <c r="E3248" s="18"/>
      <c r="F3248" s="19"/>
      <c r="G3248" s="31"/>
      <c r="H3248" s="31"/>
      <c r="I3248" s="19"/>
      <c r="J3248" s="19"/>
      <c r="K3248" s="21"/>
      <c r="L3248" s="22"/>
      <c r="M3248" s="19"/>
      <c r="N3248" s="20"/>
      <c r="O3248" s="19"/>
      <c r="P3248" s="19"/>
      <c r="Q3248" s="19"/>
      <c r="R3248" s="19"/>
      <c r="S3248" s="19"/>
      <c r="T3248" s="19"/>
      <c r="U3248" s="19"/>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19"/>
    </row>
    <row r="3249" spans="1:45" x14ac:dyDescent="0.3">
      <c r="A3249" s="410" t="s">
        <v>4958</v>
      </c>
      <c r="B3249" s="17"/>
      <c r="C3249" s="19"/>
      <c r="D3249" s="18"/>
      <c r="E3249" s="17"/>
      <c r="F3249" s="19"/>
      <c r="G3249" s="31"/>
      <c r="H3249" s="31"/>
      <c r="I3249" s="19"/>
      <c r="J3249" s="19"/>
      <c r="K3249" s="21"/>
      <c r="L3249" s="22"/>
      <c r="M3249" s="19"/>
      <c r="N3249" s="20"/>
      <c r="O3249" s="19"/>
      <c r="P3249" s="19"/>
      <c r="Q3249" s="19"/>
      <c r="R3249" s="19"/>
      <c r="S3249" s="19"/>
      <c r="T3249" s="19"/>
      <c r="U3249" s="19"/>
      <c r="V3249" s="19"/>
      <c r="W3249" s="19"/>
      <c r="X3249" s="19"/>
      <c r="Y3249" s="19"/>
      <c r="Z3249" s="19"/>
      <c r="AA3249" s="19"/>
      <c r="AB3249" s="19"/>
      <c r="AC3249" s="19"/>
      <c r="AD3249" s="19"/>
      <c r="AE3249" s="19"/>
      <c r="AF3249" s="19"/>
      <c r="AG3249" s="19"/>
      <c r="AH3249" s="19"/>
      <c r="AI3249" s="19"/>
      <c r="AJ3249" s="19"/>
      <c r="AK3249" s="19"/>
      <c r="AL3249" s="19"/>
      <c r="AM3249" s="19"/>
      <c r="AN3249" s="19"/>
      <c r="AO3249" s="19"/>
      <c r="AP3249" s="19"/>
      <c r="AQ3249" s="19"/>
      <c r="AR3249" s="19"/>
      <c r="AS3249" s="19"/>
    </row>
    <row r="3250" spans="1:45" x14ac:dyDescent="0.3">
      <c r="A3250" s="410" t="s">
        <v>4959</v>
      </c>
      <c r="B3250" s="17"/>
      <c r="C3250" s="19"/>
      <c r="D3250" s="18"/>
      <c r="E3250" s="17"/>
      <c r="F3250" s="19"/>
      <c r="G3250" s="31"/>
      <c r="H3250" s="31"/>
      <c r="I3250" s="19"/>
      <c r="J3250" s="19"/>
      <c r="K3250" s="21"/>
      <c r="L3250" s="22"/>
      <c r="M3250" s="19"/>
      <c r="N3250" s="20"/>
      <c r="O3250" s="19"/>
      <c r="P3250" s="19"/>
      <c r="Q3250" s="19"/>
      <c r="R3250" s="19"/>
      <c r="S3250" s="19"/>
      <c r="T3250" s="19"/>
      <c r="U3250" s="19"/>
      <c r="V3250" s="19"/>
      <c r="W3250" s="19"/>
      <c r="X3250" s="19"/>
      <c r="Y3250" s="19"/>
      <c r="Z3250" s="19"/>
      <c r="AA3250" s="19"/>
      <c r="AB3250" s="19"/>
      <c r="AC3250" s="19"/>
      <c r="AD3250" s="19"/>
      <c r="AE3250" s="19"/>
      <c r="AF3250" s="19"/>
      <c r="AG3250" s="19"/>
      <c r="AH3250" s="19"/>
      <c r="AI3250" s="19"/>
      <c r="AJ3250" s="19"/>
      <c r="AK3250" s="19"/>
      <c r="AL3250" s="19"/>
      <c r="AM3250" s="19"/>
      <c r="AN3250" s="19"/>
      <c r="AO3250" s="19"/>
      <c r="AP3250" s="19"/>
      <c r="AQ3250" s="19"/>
      <c r="AR3250" s="19"/>
      <c r="AS3250" s="19"/>
    </row>
    <row r="3251" spans="1:45" x14ac:dyDescent="0.3">
      <c r="A3251" s="410"/>
      <c r="B3251" s="17"/>
      <c r="C3251" s="19"/>
      <c r="D3251" s="18"/>
      <c r="E3251" s="17"/>
      <c r="F3251" s="19"/>
      <c r="G3251" s="31"/>
      <c r="H3251" s="31"/>
      <c r="I3251" s="19"/>
      <c r="J3251" s="19"/>
      <c r="K3251" s="21"/>
      <c r="L3251" s="22"/>
      <c r="M3251" s="19"/>
      <c r="N3251" s="20"/>
      <c r="O3251" s="19"/>
      <c r="P3251" s="19"/>
      <c r="Q3251" s="19"/>
      <c r="R3251" s="19"/>
      <c r="S3251" s="19"/>
      <c r="T3251" s="19"/>
      <c r="U3251" s="19"/>
      <c r="V3251" s="19"/>
      <c r="W3251" s="19"/>
      <c r="X3251" s="19"/>
      <c r="Y3251" s="19"/>
      <c r="Z3251" s="19"/>
      <c r="AA3251" s="19"/>
      <c r="AB3251" s="19"/>
      <c r="AC3251" s="19"/>
      <c r="AD3251" s="19"/>
      <c r="AE3251" s="19"/>
      <c r="AF3251" s="19"/>
      <c r="AG3251" s="19"/>
      <c r="AH3251" s="19"/>
      <c r="AI3251" s="19"/>
      <c r="AJ3251" s="19"/>
      <c r="AK3251" s="19"/>
      <c r="AL3251" s="19"/>
      <c r="AM3251" s="19"/>
      <c r="AN3251" s="19"/>
      <c r="AO3251" s="19"/>
      <c r="AP3251" s="19"/>
      <c r="AQ3251" s="19"/>
      <c r="AR3251" s="19"/>
      <c r="AS3251" s="19"/>
    </row>
    <row r="3252" spans="1:45" x14ac:dyDescent="0.3">
      <c r="A3252" s="410" t="s">
        <v>4960</v>
      </c>
      <c r="B3252" s="17" t="s">
        <v>4961</v>
      </c>
      <c r="C3252" s="19"/>
      <c r="D3252" s="18" t="s">
        <v>210</v>
      </c>
      <c r="E3252" s="17"/>
      <c r="F3252" s="19"/>
      <c r="G3252" s="31">
        <v>45345</v>
      </c>
      <c r="H3252" s="31">
        <v>45710</v>
      </c>
      <c r="I3252" s="19" t="s">
        <v>1372</v>
      </c>
      <c r="J3252" s="19" t="s">
        <v>1373</v>
      </c>
      <c r="K3252" s="21" t="s">
        <v>1372</v>
      </c>
      <c r="L3252" s="22" t="s">
        <v>1373</v>
      </c>
      <c r="M3252" s="19" t="s">
        <v>1461</v>
      </c>
      <c r="N3252" s="20" t="s">
        <v>4962</v>
      </c>
      <c r="O3252" s="19" t="s">
        <v>1372</v>
      </c>
      <c r="P3252" s="19" t="s">
        <v>1372</v>
      </c>
      <c r="Q3252" s="19"/>
      <c r="R3252" s="19" t="s">
        <v>1372</v>
      </c>
      <c r="S3252" s="19" t="s">
        <v>1372</v>
      </c>
      <c r="T3252" s="19" t="s">
        <v>1372</v>
      </c>
      <c r="U3252" s="19" t="s">
        <v>1372</v>
      </c>
      <c r="V3252" s="19" t="s">
        <v>1372</v>
      </c>
      <c r="W3252" s="19"/>
      <c r="X3252" s="19"/>
      <c r="Y3252" s="19"/>
      <c r="Z3252" s="19" t="s">
        <v>1372</v>
      </c>
      <c r="AA3252" s="19"/>
      <c r="AB3252" s="19"/>
      <c r="AC3252" s="19"/>
      <c r="AD3252" s="19"/>
      <c r="AE3252" s="19"/>
      <c r="AF3252" s="19" t="s">
        <v>1372</v>
      </c>
      <c r="AG3252" s="19" t="s">
        <v>1372</v>
      </c>
      <c r="AH3252" s="19"/>
      <c r="AI3252" s="19"/>
      <c r="AJ3252" s="19"/>
      <c r="AK3252" s="19"/>
      <c r="AL3252" s="19"/>
      <c r="AM3252" s="19"/>
      <c r="AN3252" s="19"/>
      <c r="AO3252" s="19"/>
      <c r="AP3252" s="19"/>
      <c r="AQ3252" s="19"/>
      <c r="AR3252" s="19"/>
      <c r="AS3252" s="19"/>
    </row>
    <row r="3253" spans="1:45" x14ac:dyDescent="0.3">
      <c r="A3253" s="410" t="s">
        <v>4963</v>
      </c>
      <c r="B3253" s="17" t="s">
        <v>4964</v>
      </c>
      <c r="C3253" s="19" t="s">
        <v>4070</v>
      </c>
      <c r="D3253" s="19">
        <v>23157904</v>
      </c>
      <c r="E3253" s="17"/>
      <c r="F3253" s="19"/>
      <c r="G3253" s="31">
        <v>45355</v>
      </c>
      <c r="H3253" s="31">
        <v>45720</v>
      </c>
      <c r="I3253" s="19" t="s">
        <v>1372</v>
      </c>
      <c r="J3253" s="19" t="s">
        <v>1373</v>
      </c>
      <c r="K3253" s="21" t="s">
        <v>1372</v>
      </c>
      <c r="L3253" s="22" t="s">
        <v>1373</v>
      </c>
      <c r="M3253" s="19" t="s">
        <v>1461</v>
      </c>
      <c r="N3253" s="20" t="s">
        <v>4327</v>
      </c>
      <c r="O3253" s="19"/>
      <c r="P3253" s="19"/>
      <c r="Q3253" s="19"/>
      <c r="R3253" s="19" t="s">
        <v>4965</v>
      </c>
      <c r="S3253" s="19" t="s">
        <v>1372</v>
      </c>
      <c r="T3253" s="19" t="s">
        <v>1372</v>
      </c>
      <c r="U3253" s="19" t="s">
        <v>1372</v>
      </c>
      <c r="V3253" s="19" t="s">
        <v>1372</v>
      </c>
      <c r="W3253" s="19"/>
      <c r="X3253" s="19"/>
      <c r="Y3253" s="19"/>
      <c r="Z3253" s="19" t="s">
        <v>1372</v>
      </c>
      <c r="AA3253" s="19"/>
      <c r="AB3253" s="19"/>
      <c r="AC3253" s="19"/>
      <c r="AD3253" s="19"/>
      <c r="AE3253" s="19"/>
      <c r="AF3253" s="19" t="s">
        <v>1372</v>
      </c>
      <c r="AG3253" s="19"/>
      <c r="AH3253" s="19"/>
      <c r="AI3253" s="19"/>
      <c r="AJ3253" s="19"/>
      <c r="AK3253" s="19"/>
      <c r="AL3253" s="19"/>
      <c r="AM3253" s="19"/>
      <c r="AN3253" s="19"/>
      <c r="AO3253" s="19"/>
      <c r="AP3253" s="19"/>
      <c r="AQ3253" s="19"/>
      <c r="AR3253" s="19" t="s">
        <v>1783</v>
      </c>
      <c r="AS3253" s="19"/>
    </row>
    <row r="3254" spans="1:45" x14ac:dyDescent="0.3">
      <c r="A3254" s="410" t="s">
        <v>4966</v>
      </c>
      <c r="B3254" s="17" t="s">
        <v>4967</v>
      </c>
      <c r="C3254" s="19"/>
      <c r="D3254" s="18" t="s">
        <v>210</v>
      </c>
      <c r="E3254" s="17"/>
      <c r="F3254" s="19"/>
      <c r="G3254" s="31">
        <v>45345</v>
      </c>
      <c r="H3254" s="31">
        <v>45710</v>
      </c>
      <c r="I3254" s="19" t="s">
        <v>1372</v>
      </c>
      <c r="J3254" s="19" t="s">
        <v>1373</v>
      </c>
      <c r="K3254" s="21" t="s">
        <v>1372</v>
      </c>
      <c r="L3254" s="22" t="s">
        <v>1373</v>
      </c>
      <c r="M3254" s="19" t="s">
        <v>1461</v>
      </c>
      <c r="N3254" s="20" t="s">
        <v>4962</v>
      </c>
      <c r="O3254" s="19"/>
      <c r="P3254" s="19"/>
      <c r="Q3254" s="19"/>
      <c r="R3254" s="19"/>
      <c r="S3254" s="19" t="s">
        <v>1372</v>
      </c>
      <c r="T3254" s="19" t="s">
        <v>1372</v>
      </c>
      <c r="U3254" s="19" t="s">
        <v>1372</v>
      </c>
      <c r="V3254" s="19" t="s">
        <v>1372</v>
      </c>
      <c r="W3254" s="19"/>
      <c r="X3254" s="19"/>
      <c r="Y3254" s="19"/>
      <c r="Z3254" s="19" t="s">
        <v>1372</v>
      </c>
      <c r="AA3254" s="19"/>
      <c r="AB3254" s="19"/>
      <c r="AC3254" s="19"/>
      <c r="AD3254" s="19"/>
      <c r="AE3254" s="19"/>
      <c r="AF3254" s="19" t="s">
        <v>1372</v>
      </c>
      <c r="AG3254" s="19" t="s">
        <v>1372</v>
      </c>
      <c r="AH3254" s="19"/>
      <c r="AI3254" s="19"/>
      <c r="AJ3254" s="19"/>
      <c r="AK3254" s="19"/>
      <c r="AL3254" s="19"/>
      <c r="AM3254" s="19"/>
      <c r="AN3254" s="19"/>
      <c r="AO3254" s="19"/>
      <c r="AP3254" s="19"/>
      <c r="AQ3254" s="19"/>
      <c r="AR3254" s="19"/>
      <c r="AS3254" s="19"/>
    </row>
    <row r="3255" spans="1:45" x14ac:dyDescent="0.3">
      <c r="A3255" s="410" t="s">
        <v>4968</v>
      </c>
      <c r="B3255" s="17" t="s">
        <v>4969</v>
      </c>
      <c r="C3255" s="19" t="s">
        <v>1381</v>
      </c>
      <c r="D3255" s="19">
        <v>23202224</v>
      </c>
      <c r="E3255" s="17"/>
      <c r="F3255" s="19"/>
      <c r="G3255" s="31">
        <v>45435</v>
      </c>
      <c r="H3255" s="31">
        <v>45800</v>
      </c>
      <c r="I3255" s="19" t="s">
        <v>1372</v>
      </c>
      <c r="J3255" s="19" t="s">
        <v>1373</v>
      </c>
      <c r="K3255" s="21" t="s">
        <v>1372</v>
      </c>
      <c r="L3255" s="22" t="s">
        <v>1373</v>
      </c>
      <c r="M3255" s="19" t="s">
        <v>1461</v>
      </c>
      <c r="N3255" s="20" t="s">
        <v>4327</v>
      </c>
      <c r="O3255" s="19" t="s">
        <v>1372</v>
      </c>
      <c r="P3255" s="19"/>
      <c r="Q3255" s="19" t="s">
        <v>1372</v>
      </c>
      <c r="R3255" s="19" t="s">
        <v>1372</v>
      </c>
      <c r="S3255" s="19" t="s">
        <v>1372</v>
      </c>
      <c r="T3255" s="19" t="s">
        <v>1372</v>
      </c>
      <c r="U3255" s="19" t="s">
        <v>1372</v>
      </c>
      <c r="V3255" s="19" t="s">
        <v>1372</v>
      </c>
      <c r="W3255" s="19"/>
      <c r="X3255" s="19"/>
      <c r="Y3255" s="19"/>
      <c r="Z3255" s="19" t="s">
        <v>1372</v>
      </c>
      <c r="AA3255" s="19"/>
      <c r="AB3255" s="19"/>
      <c r="AC3255" s="19"/>
      <c r="AD3255" s="19"/>
      <c r="AE3255" s="19"/>
      <c r="AF3255" s="19" t="s">
        <v>1372</v>
      </c>
      <c r="AG3255" s="19"/>
      <c r="AH3255" s="19"/>
      <c r="AI3255" s="19"/>
      <c r="AJ3255" s="19"/>
      <c r="AK3255" s="19"/>
      <c r="AL3255" s="19"/>
      <c r="AM3255" s="19"/>
      <c r="AN3255" s="19"/>
      <c r="AO3255" s="19"/>
      <c r="AP3255" s="19" t="s">
        <v>1372</v>
      </c>
      <c r="AQ3255" s="19"/>
      <c r="AR3255" s="19" t="s">
        <v>1783</v>
      </c>
      <c r="AS3255" s="19"/>
    </row>
    <row r="3256" spans="1:45" x14ac:dyDescent="0.3">
      <c r="A3256" s="410" t="s">
        <v>4970</v>
      </c>
      <c r="B3256" s="17" t="s">
        <v>4971</v>
      </c>
      <c r="C3256" s="19" t="s">
        <v>1368</v>
      </c>
      <c r="D3256" s="19">
        <v>23209535</v>
      </c>
      <c r="E3256" s="17"/>
      <c r="F3256" s="19"/>
      <c r="G3256" s="31"/>
      <c r="H3256" s="31"/>
      <c r="I3256" s="19"/>
      <c r="J3256" s="19"/>
      <c r="K3256" s="21"/>
      <c r="L3256" s="22"/>
      <c r="M3256" s="19"/>
      <c r="N3256" s="20"/>
      <c r="O3256" s="19"/>
      <c r="P3256" s="19"/>
      <c r="Q3256" s="19"/>
      <c r="R3256" s="19"/>
      <c r="S3256" s="19"/>
      <c r="T3256" s="19"/>
      <c r="U3256" s="19"/>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19"/>
    </row>
    <row r="3257" spans="1:45" x14ac:dyDescent="0.3">
      <c r="A3257" s="410" t="s">
        <v>4972</v>
      </c>
      <c r="B3257" s="17" t="s">
        <v>4973</v>
      </c>
      <c r="C3257" s="19" t="s">
        <v>1371</v>
      </c>
      <c r="D3257" s="18" t="s">
        <v>210</v>
      </c>
      <c r="E3257" s="17"/>
      <c r="F3257" s="19"/>
      <c r="G3257" s="31">
        <v>45345</v>
      </c>
      <c r="H3257" s="31">
        <v>45710</v>
      </c>
      <c r="I3257" s="19" t="s">
        <v>1372</v>
      </c>
      <c r="J3257" s="19" t="s">
        <v>1373</v>
      </c>
      <c r="K3257" s="21" t="s">
        <v>1372</v>
      </c>
      <c r="L3257" s="22" t="s">
        <v>1373</v>
      </c>
      <c r="M3257" s="19" t="s">
        <v>1461</v>
      </c>
      <c r="N3257" s="20" t="s">
        <v>4974</v>
      </c>
      <c r="O3257" s="19" t="s">
        <v>2582</v>
      </c>
      <c r="P3257" s="19"/>
      <c r="Q3257" s="19" t="s">
        <v>1372</v>
      </c>
      <c r="R3257" s="19"/>
      <c r="S3257" s="19" t="s">
        <v>4975</v>
      </c>
      <c r="T3257" s="19" t="s">
        <v>1461</v>
      </c>
      <c r="U3257" s="19" t="s">
        <v>1461</v>
      </c>
      <c r="V3257" s="19" t="s">
        <v>1372</v>
      </c>
      <c r="W3257" s="19"/>
      <c r="X3257" s="19"/>
      <c r="Y3257" s="19"/>
      <c r="Z3257" s="19" t="s">
        <v>1372</v>
      </c>
      <c r="AA3257" s="19"/>
      <c r="AB3257" s="19"/>
      <c r="AC3257" s="19"/>
      <c r="AD3257" s="19"/>
      <c r="AE3257" s="19"/>
      <c r="AF3257" s="19" t="s">
        <v>1372</v>
      </c>
      <c r="AG3257" s="19"/>
      <c r="AH3257" s="19"/>
      <c r="AI3257" s="19"/>
      <c r="AJ3257" s="19"/>
      <c r="AK3257" s="19"/>
      <c r="AL3257" s="19"/>
      <c r="AM3257" s="19"/>
      <c r="AN3257" s="19"/>
      <c r="AO3257" s="19"/>
      <c r="AP3257" s="19"/>
      <c r="AQ3257" s="19"/>
      <c r="AR3257" s="19" t="s">
        <v>1783</v>
      </c>
      <c r="AS3257" s="19"/>
    </row>
    <row r="3258" spans="1:45" x14ac:dyDescent="0.3">
      <c r="A3258" s="410" t="s">
        <v>4976</v>
      </c>
      <c r="B3258" s="17" t="s">
        <v>4977</v>
      </c>
      <c r="C3258" s="19" t="s">
        <v>1371</v>
      </c>
      <c r="D3258" s="19">
        <v>23137390</v>
      </c>
      <c r="E3258" s="18"/>
      <c r="F3258" s="19"/>
      <c r="G3258" s="31">
        <v>45345</v>
      </c>
      <c r="H3258" s="31">
        <v>45710</v>
      </c>
      <c r="I3258" s="19" t="s">
        <v>1372</v>
      </c>
      <c r="J3258" s="19" t="s">
        <v>1373</v>
      </c>
      <c r="K3258" s="21" t="s">
        <v>1372</v>
      </c>
      <c r="L3258" s="22" t="s">
        <v>1373</v>
      </c>
      <c r="M3258" s="19" t="s">
        <v>1461</v>
      </c>
      <c r="N3258" s="20" t="s">
        <v>4974</v>
      </c>
      <c r="O3258" s="19" t="s">
        <v>1372</v>
      </c>
      <c r="P3258" s="19"/>
      <c r="Q3258" s="19" t="s">
        <v>1372</v>
      </c>
      <c r="R3258" s="19" t="s">
        <v>1372</v>
      </c>
      <c r="S3258" s="19" t="s">
        <v>1372</v>
      </c>
      <c r="T3258" s="19" t="s">
        <v>1372</v>
      </c>
      <c r="U3258" s="19" t="s">
        <v>1372</v>
      </c>
      <c r="V3258" s="19" t="s">
        <v>1372</v>
      </c>
      <c r="W3258" s="19"/>
      <c r="X3258" s="19"/>
      <c r="Y3258" s="19"/>
      <c r="Z3258" s="19" t="s">
        <v>1372</v>
      </c>
      <c r="AA3258" s="19"/>
      <c r="AB3258" s="19"/>
      <c r="AC3258" s="19"/>
      <c r="AD3258" s="19"/>
      <c r="AE3258" s="19"/>
      <c r="AF3258" s="19" t="s">
        <v>1372</v>
      </c>
      <c r="AG3258" s="19"/>
      <c r="AH3258" s="19"/>
      <c r="AI3258" s="19"/>
      <c r="AJ3258" s="19"/>
      <c r="AK3258" s="19"/>
      <c r="AL3258" s="19"/>
      <c r="AM3258" s="19"/>
      <c r="AN3258" s="19"/>
      <c r="AO3258" s="19"/>
      <c r="AP3258" s="19"/>
      <c r="AQ3258" s="19"/>
      <c r="AR3258" s="19" t="s">
        <v>1783</v>
      </c>
      <c r="AS3258" s="19"/>
    </row>
    <row r="3259" spans="1:45" x14ac:dyDescent="0.3">
      <c r="A3259" s="410" t="s">
        <v>4978</v>
      </c>
      <c r="B3259" s="17"/>
      <c r="C3259" s="19"/>
      <c r="D3259" s="18"/>
      <c r="E3259" s="18"/>
      <c r="F3259" s="19"/>
      <c r="G3259" s="31"/>
      <c r="H3259" s="31"/>
      <c r="I3259" s="19"/>
      <c r="J3259" s="19"/>
      <c r="K3259" s="21"/>
      <c r="L3259" s="22"/>
      <c r="M3259" s="19"/>
      <c r="N3259" s="20"/>
      <c r="O3259" s="19"/>
      <c r="P3259" s="19"/>
      <c r="Q3259" s="19"/>
      <c r="R3259" s="19"/>
      <c r="S3259" s="19"/>
      <c r="T3259" s="19"/>
      <c r="U3259" s="19"/>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19"/>
    </row>
    <row r="3260" spans="1:45" x14ac:dyDescent="0.3">
      <c r="A3260" s="410" t="s">
        <v>4979</v>
      </c>
      <c r="B3260" s="17"/>
      <c r="C3260" s="19"/>
      <c r="D3260" s="18"/>
      <c r="E3260" s="18"/>
      <c r="F3260" s="19"/>
      <c r="G3260" s="31"/>
      <c r="H3260" s="31"/>
      <c r="I3260" s="19"/>
      <c r="J3260" s="19"/>
      <c r="K3260" s="21"/>
      <c r="L3260" s="22"/>
      <c r="M3260" s="19"/>
      <c r="N3260" s="20"/>
      <c r="O3260" s="19"/>
      <c r="P3260" s="19"/>
      <c r="Q3260" s="19"/>
      <c r="R3260" s="19"/>
      <c r="S3260" s="19"/>
      <c r="T3260" s="19"/>
      <c r="U3260" s="19"/>
      <c r="V3260" s="19"/>
      <c r="W3260" s="19"/>
      <c r="X3260" s="19"/>
      <c r="Y3260" s="19"/>
      <c r="Z3260" s="19"/>
      <c r="AA3260" s="19"/>
      <c r="AB3260" s="19"/>
      <c r="AC3260" s="19"/>
      <c r="AD3260" s="19"/>
      <c r="AE3260" s="19"/>
      <c r="AF3260" s="19"/>
      <c r="AG3260" s="19"/>
      <c r="AH3260" s="19"/>
      <c r="AI3260" s="19"/>
      <c r="AJ3260" s="19"/>
      <c r="AK3260" s="19"/>
      <c r="AL3260" s="19"/>
      <c r="AM3260" s="19"/>
      <c r="AN3260" s="19"/>
      <c r="AO3260" s="19"/>
      <c r="AP3260" s="19"/>
      <c r="AQ3260" s="19"/>
      <c r="AR3260" s="19"/>
      <c r="AS3260" s="19"/>
    </row>
    <row r="3261" spans="1:45" x14ac:dyDescent="0.3">
      <c r="A3261" s="410" t="s">
        <v>4980</v>
      </c>
      <c r="B3261" s="17"/>
      <c r="C3261" s="19"/>
      <c r="D3261" s="19"/>
      <c r="E3261" s="18"/>
      <c r="F3261" s="19"/>
      <c r="G3261" s="31"/>
      <c r="H3261" s="31"/>
      <c r="I3261" s="19"/>
      <c r="J3261" s="19"/>
      <c r="K3261" s="21"/>
      <c r="L3261" s="22"/>
      <c r="M3261" s="19"/>
      <c r="N3261" s="20"/>
      <c r="O3261" s="19"/>
      <c r="P3261" s="19"/>
      <c r="Q3261" s="19"/>
      <c r="R3261" s="19"/>
      <c r="S3261" s="19"/>
      <c r="T3261" s="19"/>
      <c r="U3261" s="19"/>
      <c r="V3261" s="19"/>
      <c r="W3261" s="19"/>
      <c r="X3261" s="19"/>
      <c r="Y3261" s="19"/>
      <c r="Z3261" s="19"/>
      <c r="AA3261" s="19"/>
      <c r="AB3261" s="19"/>
      <c r="AC3261" s="19"/>
      <c r="AD3261" s="19"/>
      <c r="AE3261" s="19"/>
      <c r="AF3261" s="19"/>
      <c r="AG3261" s="19"/>
      <c r="AH3261" s="19"/>
      <c r="AI3261" s="19"/>
      <c r="AJ3261" s="19"/>
      <c r="AK3261" s="19"/>
      <c r="AL3261" s="19"/>
      <c r="AM3261" s="19"/>
      <c r="AN3261" s="19"/>
      <c r="AO3261" s="19"/>
      <c r="AP3261" s="19"/>
      <c r="AQ3261" s="19"/>
      <c r="AR3261" s="19"/>
      <c r="AS3261" s="19"/>
    </row>
    <row r="3262" spans="1:45" x14ac:dyDescent="0.3">
      <c r="A3262" s="410" t="s">
        <v>4981</v>
      </c>
      <c r="B3262" s="17"/>
      <c r="C3262" s="19"/>
      <c r="D3262" s="19"/>
      <c r="E3262" s="18"/>
      <c r="F3262" s="19"/>
      <c r="G3262" s="31"/>
      <c r="H3262" s="31"/>
      <c r="I3262" s="19"/>
      <c r="J3262" s="19"/>
      <c r="K3262" s="21"/>
      <c r="L3262" s="22"/>
      <c r="M3262" s="19"/>
      <c r="N3262" s="20"/>
      <c r="O3262" s="19"/>
      <c r="P3262" s="19"/>
      <c r="Q3262" s="19"/>
      <c r="R3262" s="19"/>
      <c r="S3262" s="19"/>
      <c r="T3262" s="19"/>
      <c r="U3262" s="19"/>
      <c r="V3262" s="19"/>
      <c r="W3262" s="19"/>
      <c r="X3262" s="19"/>
      <c r="Y3262" s="19"/>
      <c r="Z3262" s="19"/>
      <c r="AA3262" s="19"/>
      <c r="AB3262" s="19"/>
      <c r="AC3262" s="19"/>
      <c r="AD3262" s="19"/>
      <c r="AE3262" s="19"/>
      <c r="AF3262" s="19"/>
      <c r="AG3262" s="19"/>
      <c r="AH3262" s="19"/>
      <c r="AI3262" s="19"/>
      <c r="AJ3262" s="19"/>
      <c r="AK3262" s="19"/>
      <c r="AL3262" s="19"/>
      <c r="AM3262" s="19"/>
      <c r="AN3262" s="19"/>
      <c r="AO3262" s="19"/>
      <c r="AP3262" s="19"/>
      <c r="AQ3262" s="19"/>
      <c r="AR3262" s="19"/>
      <c r="AS3262" s="19"/>
    </row>
    <row r="3263" spans="1:45" x14ac:dyDescent="0.3">
      <c r="A3263" s="410" t="s">
        <v>4982</v>
      </c>
      <c r="B3263" s="17"/>
      <c r="C3263" s="19"/>
      <c r="D3263" s="19"/>
      <c r="E3263" s="18"/>
      <c r="F3263" s="19"/>
      <c r="G3263" s="31"/>
      <c r="H3263" s="31"/>
      <c r="I3263" s="19"/>
      <c r="J3263" s="19"/>
      <c r="K3263" s="21"/>
      <c r="L3263" s="22"/>
      <c r="M3263" s="19"/>
      <c r="N3263" s="20"/>
      <c r="O3263" s="19"/>
      <c r="P3263" s="19"/>
      <c r="Q3263" s="19"/>
      <c r="R3263" s="19"/>
      <c r="S3263" s="19"/>
      <c r="T3263" s="19"/>
      <c r="U3263" s="19"/>
      <c r="V3263" s="19"/>
      <c r="W3263" s="19"/>
      <c r="X3263" s="19"/>
      <c r="Y3263" s="19"/>
      <c r="Z3263" s="19"/>
      <c r="AA3263" s="19"/>
      <c r="AB3263" s="19"/>
      <c r="AC3263" s="19"/>
      <c r="AD3263" s="19"/>
      <c r="AE3263" s="19"/>
      <c r="AF3263" s="19"/>
      <c r="AG3263" s="19"/>
      <c r="AH3263" s="19"/>
      <c r="AI3263" s="19"/>
      <c r="AJ3263" s="19"/>
      <c r="AK3263" s="19"/>
      <c r="AL3263" s="19"/>
      <c r="AM3263" s="19"/>
      <c r="AN3263" s="19"/>
      <c r="AO3263" s="19"/>
      <c r="AP3263" s="19"/>
      <c r="AQ3263" s="19"/>
      <c r="AR3263" s="19"/>
      <c r="AS3263" s="19"/>
    </row>
    <row r="3264" spans="1:45" x14ac:dyDescent="0.3">
      <c r="A3264" s="410" t="s">
        <v>4983</v>
      </c>
      <c r="B3264" s="17"/>
      <c r="C3264" s="19"/>
      <c r="D3264" s="19"/>
      <c r="E3264" s="18"/>
      <c r="F3264" s="19"/>
      <c r="G3264" s="31"/>
      <c r="H3264" s="31"/>
      <c r="I3264" s="19"/>
      <c r="J3264" s="19"/>
      <c r="K3264" s="21"/>
      <c r="L3264" s="22"/>
      <c r="M3264" s="19"/>
      <c r="N3264" s="20"/>
      <c r="O3264" s="19"/>
      <c r="P3264" s="19"/>
      <c r="Q3264" s="19"/>
      <c r="R3264" s="19"/>
      <c r="S3264" s="19"/>
      <c r="T3264" s="19"/>
      <c r="U3264" s="19"/>
      <c r="V3264" s="19"/>
      <c r="W3264" s="19"/>
      <c r="X3264" s="19"/>
      <c r="Y3264" s="19"/>
      <c r="Z3264" s="19"/>
      <c r="AA3264" s="19"/>
      <c r="AB3264" s="19"/>
      <c r="AC3264" s="19"/>
      <c r="AD3264" s="19"/>
      <c r="AE3264" s="19"/>
      <c r="AF3264" s="19"/>
      <c r="AG3264" s="19"/>
      <c r="AH3264" s="19"/>
      <c r="AI3264" s="19"/>
      <c r="AJ3264" s="19"/>
      <c r="AK3264" s="19"/>
      <c r="AL3264" s="19"/>
      <c r="AM3264" s="19"/>
      <c r="AN3264" s="19"/>
      <c r="AO3264" s="19"/>
      <c r="AP3264" s="19"/>
      <c r="AQ3264" s="19"/>
      <c r="AR3264" s="19"/>
      <c r="AS3264" s="19"/>
    </row>
    <row r="3265" spans="1:45" x14ac:dyDescent="0.3">
      <c r="A3265" s="410" t="s">
        <v>4984</v>
      </c>
      <c r="B3265" s="17"/>
      <c r="C3265" s="19"/>
      <c r="D3265" s="18"/>
      <c r="E3265" s="18"/>
      <c r="F3265" s="19"/>
      <c r="G3265" s="31"/>
      <c r="H3265" s="31"/>
      <c r="I3265" s="19"/>
      <c r="J3265" s="19"/>
      <c r="K3265" s="21"/>
      <c r="L3265" s="22"/>
      <c r="M3265" s="19"/>
      <c r="N3265" s="20"/>
      <c r="O3265" s="19"/>
      <c r="P3265" s="19"/>
      <c r="Q3265" s="19"/>
      <c r="R3265" s="19"/>
      <c r="S3265" s="19"/>
      <c r="T3265" s="19"/>
      <c r="U3265" s="19"/>
      <c r="V3265" s="19"/>
      <c r="W3265" s="19"/>
      <c r="X3265" s="19"/>
      <c r="Y3265" s="19"/>
      <c r="Z3265" s="19"/>
      <c r="AA3265" s="19"/>
      <c r="AB3265" s="19"/>
      <c r="AC3265" s="19"/>
      <c r="AD3265" s="19"/>
      <c r="AE3265" s="19"/>
      <c r="AF3265" s="19"/>
      <c r="AG3265" s="19"/>
      <c r="AH3265" s="19"/>
      <c r="AI3265" s="19"/>
      <c r="AJ3265" s="19"/>
      <c r="AK3265" s="19"/>
      <c r="AL3265" s="19"/>
      <c r="AM3265" s="19"/>
      <c r="AN3265" s="19"/>
      <c r="AO3265" s="19"/>
      <c r="AP3265" s="19"/>
      <c r="AQ3265" s="19"/>
      <c r="AR3265" s="19"/>
      <c r="AS3265" s="19"/>
    </row>
    <row r="3266" spans="1:45" x14ac:dyDescent="0.3">
      <c r="A3266" s="410" t="s">
        <v>4985</v>
      </c>
      <c r="B3266" s="17"/>
      <c r="C3266" s="19"/>
      <c r="D3266" s="18"/>
      <c r="E3266" s="18"/>
      <c r="F3266" s="19"/>
      <c r="G3266" s="31"/>
      <c r="H3266" s="31"/>
      <c r="I3266" s="19"/>
      <c r="J3266" s="19"/>
      <c r="K3266" s="21"/>
      <c r="L3266" s="22"/>
      <c r="M3266" s="19"/>
      <c r="N3266" s="20"/>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row>
    <row r="3267" spans="1:45" x14ac:dyDescent="0.3">
      <c r="A3267" s="410" t="s">
        <v>4986</v>
      </c>
      <c r="B3267" s="17"/>
      <c r="C3267" s="19"/>
      <c r="D3267" s="18"/>
      <c r="E3267" s="18"/>
      <c r="F3267" s="19"/>
      <c r="G3267" s="31"/>
      <c r="H3267" s="31"/>
      <c r="I3267" s="19"/>
      <c r="J3267" s="19"/>
      <c r="K3267" s="21"/>
      <c r="L3267" s="22"/>
      <c r="M3267" s="19"/>
      <c r="N3267" s="20"/>
      <c r="O3267" s="19"/>
      <c r="P3267" s="19"/>
      <c r="Q3267" s="19"/>
      <c r="R3267" s="19"/>
      <c r="S3267" s="19"/>
      <c r="T3267" s="19"/>
      <c r="U3267" s="19"/>
      <c r="V3267" s="19"/>
      <c r="W3267" s="19"/>
      <c r="X3267" s="19"/>
      <c r="Y3267" s="19"/>
      <c r="Z3267" s="19"/>
      <c r="AA3267" s="19"/>
      <c r="AB3267" s="19"/>
      <c r="AC3267" s="19"/>
      <c r="AD3267" s="19"/>
      <c r="AE3267" s="19"/>
      <c r="AF3267" s="19"/>
      <c r="AG3267" s="19"/>
      <c r="AH3267" s="19"/>
      <c r="AI3267" s="19"/>
      <c r="AJ3267" s="19"/>
      <c r="AK3267" s="19"/>
      <c r="AL3267" s="19"/>
      <c r="AM3267" s="19"/>
      <c r="AN3267" s="19"/>
      <c r="AO3267" s="19"/>
      <c r="AP3267" s="19"/>
      <c r="AQ3267" s="19"/>
      <c r="AR3267" s="19"/>
      <c r="AS3267" s="19"/>
    </row>
    <row r="3268" spans="1:45" x14ac:dyDescent="0.3">
      <c r="A3268" s="410" t="s">
        <v>4987</v>
      </c>
      <c r="B3268" s="17"/>
      <c r="C3268" s="19"/>
      <c r="D3268" s="18"/>
      <c r="E3268" s="18"/>
      <c r="F3268" s="19"/>
      <c r="G3268" s="31"/>
      <c r="H3268" s="31"/>
      <c r="I3268" s="19"/>
      <c r="J3268" s="19"/>
      <c r="K3268" s="21"/>
      <c r="L3268" s="22"/>
      <c r="M3268" s="19"/>
      <c r="N3268" s="20"/>
      <c r="O3268" s="19"/>
      <c r="P3268" s="19"/>
      <c r="Q3268" s="19"/>
      <c r="R3268" s="19"/>
      <c r="S3268" s="19"/>
      <c r="T3268" s="19"/>
      <c r="U3268" s="19"/>
      <c r="V3268" s="19"/>
      <c r="W3268" s="19"/>
      <c r="X3268" s="19"/>
      <c r="Y3268" s="19"/>
      <c r="Z3268" s="19"/>
      <c r="AA3268" s="19"/>
      <c r="AB3268" s="19"/>
      <c r="AC3268" s="19"/>
      <c r="AD3268" s="19"/>
      <c r="AE3268" s="19"/>
      <c r="AF3268" s="19"/>
      <c r="AG3268" s="19"/>
      <c r="AH3268" s="19"/>
      <c r="AI3268" s="19"/>
      <c r="AJ3268" s="19"/>
      <c r="AK3268" s="19"/>
      <c r="AL3268" s="19"/>
      <c r="AM3268" s="19"/>
      <c r="AN3268" s="19"/>
      <c r="AO3268" s="19"/>
      <c r="AP3268" s="19"/>
      <c r="AQ3268" s="19"/>
      <c r="AR3268" s="19"/>
      <c r="AS3268" s="19"/>
    </row>
    <row r="3269" spans="1:45" x14ac:dyDescent="0.3">
      <c r="A3269" s="410" t="s">
        <v>4988</v>
      </c>
      <c r="B3269" s="17"/>
      <c r="C3269" s="19"/>
      <c r="D3269" s="18"/>
      <c r="E3269" s="18"/>
      <c r="F3269" s="19"/>
      <c r="G3269" s="31"/>
      <c r="H3269" s="31"/>
      <c r="I3269" s="19"/>
      <c r="J3269" s="19"/>
      <c r="K3269" s="21"/>
      <c r="L3269" s="22"/>
      <c r="M3269" s="19"/>
      <c r="N3269" s="20"/>
      <c r="O3269" s="19"/>
      <c r="P3269" s="19"/>
      <c r="Q3269" s="19"/>
      <c r="R3269" s="19"/>
      <c r="S3269" s="19"/>
      <c r="T3269" s="19"/>
      <c r="U3269" s="19"/>
      <c r="V3269" s="19"/>
      <c r="W3269" s="19"/>
      <c r="X3269" s="19"/>
      <c r="Y3269" s="19"/>
      <c r="Z3269" s="19"/>
      <c r="AA3269" s="19"/>
      <c r="AB3269" s="19"/>
      <c r="AC3269" s="19"/>
      <c r="AD3269" s="19"/>
      <c r="AE3269" s="19"/>
      <c r="AF3269" s="19"/>
      <c r="AG3269" s="19"/>
      <c r="AH3269" s="19"/>
      <c r="AI3269" s="19"/>
      <c r="AJ3269" s="19"/>
      <c r="AK3269" s="19"/>
      <c r="AL3269" s="19"/>
      <c r="AM3269" s="19"/>
      <c r="AN3269" s="19"/>
      <c r="AO3269" s="19"/>
      <c r="AP3269" s="19"/>
      <c r="AQ3269" s="19"/>
      <c r="AR3269" s="19"/>
      <c r="AS3269" s="19"/>
    </row>
    <row r="3270" spans="1:45" x14ac:dyDescent="0.3">
      <c r="A3270" s="410" t="s">
        <v>4989</v>
      </c>
      <c r="B3270" s="17"/>
      <c r="C3270" s="19"/>
      <c r="D3270" s="18"/>
      <c r="E3270" s="18"/>
      <c r="F3270" s="19"/>
      <c r="G3270" s="31"/>
      <c r="H3270" s="31"/>
      <c r="I3270" s="19"/>
      <c r="J3270" s="19"/>
      <c r="K3270" s="21"/>
      <c r="L3270" s="22"/>
      <c r="M3270" s="19"/>
      <c r="N3270" s="20"/>
      <c r="O3270" s="19"/>
      <c r="P3270" s="19"/>
      <c r="Q3270" s="19"/>
      <c r="R3270" s="19"/>
      <c r="S3270" s="19"/>
      <c r="T3270" s="19"/>
      <c r="U3270" s="19"/>
      <c r="V3270" s="19"/>
      <c r="W3270" s="19"/>
      <c r="X3270" s="19"/>
      <c r="Y3270" s="19"/>
      <c r="Z3270" s="19"/>
      <c r="AA3270" s="19"/>
      <c r="AB3270" s="19"/>
      <c r="AC3270" s="19"/>
      <c r="AD3270" s="19"/>
      <c r="AE3270" s="19"/>
      <c r="AF3270" s="19"/>
      <c r="AG3270" s="19"/>
      <c r="AH3270" s="19"/>
      <c r="AI3270" s="19"/>
      <c r="AJ3270" s="19"/>
      <c r="AK3270" s="19"/>
      <c r="AL3270" s="19"/>
      <c r="AM3270" s="19"/>
      <c r="AN3270" s="19"/>
      <c r="AO3270" s="19"/>
      <c r="AP3270" s="19"/>
      <c r="AQ3270" s="19"/>
      <c r="AR3270" s="19"/>
      <c r="AS3270" s="19"/>
    </row>
    <row r="3271" spans="1:45" x14ac:dyDescent="0.3">
      <c r="A3271" s="410" t="s">
        <v>4990</v>
      </c>
      <c r="B3271" s="17"/>
      <c r="C3271" s="19"/>
      <c r="D3271" s="18"/>
      <c r="E3271" s="18"/>
      <c r="F3271" s="19"/>
      <c r="G3271" s="31"/>
      <c r="H3271" s="31"/>
      <c r="I3271" s="19"/>
      <c r="J3271" s="19"/>
      <c r="K3271" s="21"/>
      <c r="L3271" s="22"/>
      <c r="M3271" s="19"/>
      <c r="N3271" s="20"/>
      <c r="O3271" s="19"/>
      <c r="P3271" s="19"/>
      <c r="Q3271" s="19"/>
      <c r="R3271" s="19"/>
      <c r="S3271" s="19"/>
      <c r="T3271" s="19"/>
      <c r="U3271" s="19"/>
      <c r="V3271" s="19"/>
      <c r="W3271" s="19"/>
      <c r="X3271" s="19"/>
      <c r="Y3271" s="19"/>
      <c r="Z3271" s="19"/>
      <c r="AA3271" s="19"/>
      <c r="AB3271" s="19"/>
      <c r="AC3271" s="19"/>
      <c r="AD3271" s="19"/>
      <c r="AE3271" s="19"/>
      <c r="AF3271" s="19"/>
      <c r="AG3271" s="19"/>
      <c r="AH3271" s="19"/>
      <c r="AI3271" s="19"/>
      <c r="AJ3271" s="19"/>
      <c r="AK3271" s="19"/>
      <c r="AL3271" s="19"/>
      <c r="AM3271" s="19"/>
      <c r="AN3271" s="19"/>
      <c r="AO3271" s="19"/>
      <c r="AP3271" s="19"/>
      <c r="AQ3271" s="19"/>
      <c r="AR3271" s="19"/>
      <c r="AS3271" s="19"/>
    </row>
    <row r="3272" spans="1:45" x14ac:dyDescent="0.3">
      <c r="A3272" s="410" t="s">
        <v>4991</v>
      </c>
      <c r="B3272" s="17"/>
      <c r="C3272" s="19"/>
      <c r="D3272" s="18"/>
      <c r="E3272" s="18"/>
      <c r="F3272" s="19"/>
      <c r="G3272" s="31"/>
      <c r="H3272" s="31"/>
      <c r="I3272" s="19"/>
      <c r="J3272" s="19"/>
      <c r="K3272" s="21"/>
      <c r="L3272" s="22"/>
      <c r="M3272" s="19"/>
      <c r="N3272" s="20"/>
      <c r="O3272" s="19"/>
      <c r="P3272" s="19"/>
      <c r="Q3272" s="19"/>
      <c r="R3272" s="19"/>
      <c r="S3272" s="19"/>
      <c r="T3272" s="19"/>
      <c r="U3272" s="19"/>
      <c r="V3272" s="19"/>
      <c r="W3272" s="19"/>
      <c r="X3272" s="19"/>
      <c r="Y3272" s="19"/>
      <c r="Z3272" s="19"/>
      <c r="AA3272" s="19"/>
      <c r="AB3272" s="19"/>
      <c r="AC3272" s="19"/>
      <c r="AD3272" s="19"/>
      <c r="AE3272" s="19"/>
      <c r="AF3272" s="19"/>
      <c r="AG3272" s="19"/>
      <c r="AH3272" s="19"/>
      <c r="AI3272" s="19"/>
      <c r="AJ3272" s="19"/>
      <c r="AK3272" s="19"/>
      <c r="AL3272" s="19"/>
      <c r="AM3272" s="19"/>
      <c r="AN3272" s="19"/>
      <c r="AO3272" s="19"/>
      <c r="AP3272" s="19"/>
      <c r="AQ3272" s="19"/>
      <c r="AR3272" s="19"/>
      <c r="AS3272" s="19"/>
    </row>
    <row r="3273" spans="1:45" x14ac:dyDescent="0.3">
      <c r="A3273" s="410" t="s">
        <v>4992</v>
      </c>
      <c r="B3273" s="17"/>
      <c r="C3273" s="19"/>
      <c r="D3273" s="18"/>
      <c r="E3273" s="18"/>
      <c r="F3273" s="19"/>
      <c r="G3273" s="31"/>
      <c r="H3273" s="31"/>
      <c r="I3273" s="19"/>
      <c r="J3273" s="19"/>
      <c r="K3273" s="21"/>
      <c r="L3273" s="22"/>
      <c r="M3273" s="19"/>
      <c r="N3273" s="20"/>
      <c r="O3273" s="19"/>
      <c r="P3273" s="19"/>
      <c r="Q3273" s="19"/>
      <c r="R3273" s="19"/>
      <c r="S3273" s="19"/>
      <c r="T3273" s="19"/>
      <c r="U3273" s="19"/>
      <c r="V3273" s="19"/>
      <c r="W3273" s="19"/>
      <c r="X3273" s="19"/>
      <c r="Y3273" s="19"/>
      <c r="Z3273" s="19"/>
      <c r="AA3273" s="19"/>
      <c r="AB3273" s="19"/>
      <c r="AC3273" s="19"/>
      <c r="AD3273" s="19"/>
      <c r="AE3273" s="19"/>
      <c r="AF3273" s="19"/>
      <c r="AG3273" s="19"/>
      <c r="AH3273" s="19"/>
      <c r="AI3273" s="19"/>
      <c r="AJ3273" s="19"/>
      <c r="AK3273" s="19"/>
      <c r="AL3273" s="19"/>
      <c r="AM3273" s="19"/>
      <c r="AN3273" s="19"/>
      <c r="AO3273" s="19"/>
      <c r="AP3273" s="19"/>
      <c r="AQ3273" s="19"/>
      <c r="AR3273" s="19"/>
      <c r="AS3273" s="19"/>
    </row>
    <row r="3274" spans="1:45" x14ac:dyDescent="0.3">
      <c r="A3274" s="410" t="s">
        <v>4993</v>
      </c>
      <c r="B3274" s="17"/>
      <c r="C3274" s="19"/>
      <c r="D3274" s="18"/>
      <c r="E3274" s="18"/>
      <c r="F3274" s="19"/>
      <c r="G3274" s="31"/>
      <c r="H3274" s="31"/>
      <c r="I3274" s="19"/>
      <c r="J3274" s="19"/>
      <c r="K3274" s="21"/>
      <c r="L3274" s="22"/>
      <c r="M3274" s="19"/>
      <c r="N3274" s="20"/>
      <c r="O3274" s="19"/>
      <c r="P3274" s="19"/>
      <c r="Q3274" s="19"/>
      <c r="R3274" s="19"/>
      <c r="S3274" s="19"/>
      <c r="T3274" s="19"/>
      <c r="U3274" s="19"/>
      <c r="V3274" s="19"/>
      <c r="W3274" s="19"/>
      <c r="X3274" s="19"/>
      <c r="Y3274" s="19"/>
      <c r="Z3274" s="19"/>
      <c r="AA3274" s="19"/>
      <c r="AB3274" s="19"/>
      <c r="AC3274" s="19"/>
      <c r="AD3274" s="19"/>
      <c r="AE3274" s="19"/>
      <c r="AF3274" s="19"/>
      <c r="AG3274" s="19"/>
      <c r="AH3274" s="19"/>
      <c r="AI3274" s="19"/>
      <c r="AJ3274" s="19"/>
      <c r="AK3274" s="19"/>
      <c r="AL3274" s="19"/>
      <c r="AM3274" s="19"/>
      <c r="AN3274" s="19"/>
      <c r="AO3274" s="19"/>
      <c r="AP3274" s="19"/>
      <c r="AQ3274" s="19"/>
      <c r="AR3274" s="19"/>
      <c r="AS3274" s="19"/>
    </row>
    <row r="3275" spans="1:45" x14ac:dyDescent="0.3">
      <c r="A3275" s="410" t="s">
        <v>4994</v>
      </c>
      <c r="B3275" s="17"/>
      <c r="C3275" s="19"/>
      <c r="D3275" s="18"/>
      <c r="E3275" s="18"/>
      <c r="F3275" s="19"/>
      <c r="G3275" s="31"/>
      <c r="H3275" s="31"/>
      <c r="I3275" s="19"/>
      <c r="J3275" s="19"/>
      <c r="K3275" s="21"/>
      <c r="L3275" s="22"/>
      <c r="M3275" s="19"/>
      <c r="N3275" s="20"/>
      <c r="O3275" s="19"/>
      <c r="P3275" s="19"/>
      <c r="Q3275" s="19"/>
      <c r="R3275" s="19"/>
      <c r="S3275" s="19"/>
      <c r="T3275" s="19"/>
      <c r="U3275" s="19"/>
      <c r="V3275" s="19"/>
      <c r="W3275" s="19"/>
      <c r="X3275" s="19"/>
      <c r="Y3275" s="19"/>
      <c r="Z3275" s="19"/>
      <c r="AA3275" s="19"/>
      <c r="AB3275" s="19"/>
      <c r="AC3275" s="19"/>
      <c r="AD3275" s="19"/>
      <c r="AE3275" s="19"/>
      <c r="AF3275" s="19"/>
      <c r="AG3275" s="19"/>
      <c r="AH3275" s="19"/>
      <c r="AI3275" s="19"/>
      <c r="AJ3275" s="19"/>
      <c r="AK3275" s="19"/>
      <c r="AL3275" s="19"/>
      <c r="AM3275" s="19"/>
      <c r="AN3275" s="19"/>
      <c r="AO3275" s="19"/>
      <c r="AP3275" s="19"/>
      <c r="AQ3275" s="19"/>
      <c r="AR3275" s="19"/>
      <c r="AS3275" s="19"/>
    </row>
    <row r="3276" spans="1:45" x14ac:dyDescent="0.3">
      <c r="A3276" s="410" t="s">
        <v>4995</v>
      </c>
      <c r="B3276" s="17"/>
      <c r="C3276" s="19"/>
      <c r="D3276" s="18"/>
      <c r="E3276" s="18"/>
      <c r="F3276" s="19"/>
      <c r="G3276" s="31"/>
      <c r="H3276" s="31"/>
      <c r="I3276" s="19"/>
      <c r="J3276" s="19"/>
      <c r="K3276" s="21"/>
      <c r="L3276" s="22"/>
      <c r="M3276" s="19"/>
      <c r="N3276" s="20"/>
      <c r="O3276" s="19"/>
      <c r="P3276" s="19"/>
      <c r="Q3276" s="19"/>
      <c r="R3276" s="19"/>
      <c r="S3276" s="19"/>
      <c r="T3276" s="19"/>
      <c r="U3276" s="19"/>
      <c r="V3276" s="19"/>
      <c r="W3276" s="19"/>
      <c r="X3276" s="19"/>
      <c r="Y3276" s="19"/>
      <c r="Z3276" s="19"/>
      <c r="AA3276" s="19"/>
      <c r="AB3276" s="19"/>
      <c r="AC3276" s="19"/>
      <c r="AD3276" s="19"/>
      <c r="AE3276" s="19"/>
      <c r="AF3276" s="19"/>
      <c r="AG3276" s="19"/>
      <c r="AH3276" s="19"/>
      <c r="AI3276" s="19"/>
      <c r="AJ3276" s="19"/>
      <c r="AK3276" s="19"/>
      <c r="AL3276" s="19"/>
      <c r="AM3276" s="19"/>
      <c r="AN3276" s="19"/>
      <c r="AO3276" s="19"/>
      <c r="AP3276" s="19"/>
      <c r="AQ3276" s="19"/>
      <c r="AR3276" s="19"/>
      <c r="AS3276" s="19"/>
    </row>
    <row r="3277" spans="1:45" x14ac:dyDescent="0.3">
      <c r="A3277" s="410" t="s">
        <v>4996</v>
      </c>
      <c r="B3277" s="17"/>
      <c r="C3277" s="19"/>
      <c r="D3277" s="18"/>
      <c r="E3277" s="18"/>
      <c r="F3277" s="19"/>
      <c r="G3277" s="31"/>
      <c r="H3277" s="31"/>
      <c r="I3277" s="19"/>
      <c r="J3277" s="19"/>
      <c r="K3277" s="21"/>
      <c r="L3277" s="22"/>
      <c r="M3277" s="19"/>
      <c r="N3277" s="20"/>
      <c r="O3277" s="19"/>
      <c r="P3277" s="19"/>
      <c r="Q3277" s="19"/>
      <c r="R3277" s="19"/>
      <c r="S3277" s="19"/>
      <c r="T3277" s="19"/>
      <c r="U3277" s="19"/>
      <c r="V3277" s="19"/>
      <c r="W3277" s="19"/>
      <c r="X3277" s="19"/>
      <c r="Y3277" s="19"/>
      <c r="Z3277" s="19"/>
      <c r="AA3277" s="19"/>
      <c r="AB3277" s="19"/>
      <c r="AC3277" s="19"/>
      <c r="AD3277" s="19"/>
      <c r="AE3277" s="19"/>
      <c r="AF3277" s="19"/>
      <c r="AG3277" s="19"/>
      <c r="AH3277" s="19"/>
      <c r="AI3277" s="19"/>
      <c r="AJ3277" s="19"/>
      <c r="AK3277" s="19"/>
      <c r="AL3277" s="19"/>
      <c r="AM3277" s="19"/>
      <c r="AN3277" s="19"/>
      <c r="AO3277" s="19"/>
      <c r="AP3277" s="19"/>
      <c r="AQ3277" s="19"/>
      <c r="AR3277" s="19"/>
      <c r="AS3277" s="19"/>
    </row>
    <row r="3278" spans="1:45" x14ac:dyDescent="0.3">
      <c r="A3278" s="410" t="s">
        <v>4997</v>
      </c>
      <c r="B3278" s="17"/>
      <c r="C3278" s="19"/>
      <c r="D3278" s="18"/>
      <c r="E3278" s="18"/>
      <c r="F3278" s="19"/>
      <c r="G3278" s="31"/>
      <c r="H3278" s="31"/>
      <c r="I3278" s="19"/>
      <c r="J3278" s="19"/>
      <c r="K3278" s="21"/>
      <c r="L3278" s="22"/>
      <c r="M3278" s="19"/>
      <c r="N3278" s="20"/>
      <c r="O3278" s="19"/>
      <c r="P3278" s="19"/>
      <c r="Q3278" s="19"/>
      <c r="R3278" s="19"/>
      <c r="S3278" s="19"/>
      <c r="T3278" s="19"/>
      <c r="U3278" s="19"/>
      <c r="V3278" s="19"/>
      <c r="W3278" s="19"/>
      <c r="X3278" s="19"/>
      <c r="Y3278" s="19"/>
      <c r="Z3278" s="19"/>
      <c r="AA3278" s="19"/>
      <c r="AB3278" s="19"/>
      <c r="AC3278" s="19"/>
      <c r="AD3278" s="19"/>
      <c r="AE3278" s="19"/>
      <c r="AF3278" s="19"/>
      <c r="AG3278" s="19"/>
      <c r="AH3278" s="19"/>
      <c r="AI3278" s="19"/>
      <c r="AJ3278" s="19"/>
      <c r="AK3278" s="19"/>
      <c r="AL3278" s="19"/>
      <c r="AM3278" s="19"/>
      <c r="AN3278" s="19"/>
      <c r="AO3278" s="19"/>
      <c r="AP3278" s="19"/>
      <c r="AQ3278" s="19"/>
      <c r="AR3278" s="19"/>
      <c r="AS3278" s="19"/>
    </row>
    <row r="3279" spans="1:45" x14ac:dyDescent="0.3">
      <c r="A3279" s="410" t="s">
        <v>4998</v>
      </c>
      <c r="B3279" s="17"/>
      <c r="C3279" s="19"/>
      <c r="D3279" s="18"/>
      <c r="E3279" s="18"/>
      <c r="F3279" s="19"/>
      <c r="G3279" s="31"/>
      <c r="H3279" s="31"/>
      <c r="I3279" s="19"/>
      <c r="J3279" s="19"/>
      <c r="K3279" s="21"/>
      <c r="L3279" s="22"/>
      <c r="M3279" s="19"/>
      <c r="N3279" s="20"/>
      <c r="O3279" s="19"/>
      <c r="P3279" s="19"/>
      <c r="Q3279" s="19"/>
      <c r="R3279" s="19"/>
      <c r="S3279" s="19"/>
      <c r="T3279" s="19"/>
      <c r="U3279" s="19"/>
      <c r="V3279" s="19"/>
      <c r="W3279" s="19"/>
      <c r="X3279" s="19"/>
      <c r="Y3279" s="19"/>
      <c r="Z3279" s="19"/>
      <c r="AA3279" s="19"/>
      <c r="AB3279" s="19"/>
      <c r="AC3279" s="19"/>
      <c r="AD3279" s="19"/>
      <c r="AE3279" s="19"/>
      <c r="AF3279" s="19"/>
      <c r="AG3279" s="19"/>
      <c r="AH3279" s="19"/>
      <c r="AI3279" s="19"/>
      <c r="AJ3279" s="19"/>
      <c r="AK3279" s="19"/>
      <c r="AL3279" s="19"/>
      <c r="AM3279" s="19"/>
      <c r="AN3279" s="19"/>
      <c r="AO3279" s="19"/>
      <c r="AP3279" s="19"/>
      <c r="AQ3279" s="19"/>
      <c r="AR3279" s="19"/>
      <c r="AS3279" s="19"/>
    </row>
    <row r="3280" spans="1:45" x14ac:dyDescent="0.3">
      <c r="A3280" s="410" t="s">
        <v>4999</v>
      </c>
      <c r="B3280" s="17"/>
      <c r="C3280" s="19"/>
      <c r="D3280" s="18"/>
      <c r="E3280" s="18"/>
      <c r="F3280" s="19"/>
      <c r="G3280" s="31"/>
      <c r="H3280" s="31"/>
      <c r="I3280" s="19"/>
      <c r="J3280" s="19"/>
      <c r="K3280" s="21"/>
      <c r="L3280" s="22"/>
      <c r="M3280" s="19"/>
      <c r="N3280" s="20"/>
      <c r="O3280" s="19"/>
      <c r="P3280" s="19"/>
      <c r="Q3280" s="19"/>
      <c r="R3280" s="19"/>
      <c r="S3280" s="19"/>
      <c r="T3280" s="19"/>
      <c r="U3280" s="19"/>
      <c r="V3280" s="19"/>
      <c r="W3280" s="19"/>
      <c r="X3280" s="19"/>
      <c r="Y3280" s="19"/>
      <c r="Z3280" s="19"/>
      <c r="AA3280" s="19"/>
      <c r="AB3280" s="19"/>
      <c r="AC3280" s="19"/>
      <c r="AD3280" s="19"/>
      <c r="AE3280" s="19"/>
      <c r="AF3280" s="19"/>
      <c r="AG3280" s="19"/>
      <c r="AH3280" s="19"/>
      <c r="AI3280" s="19"/>
      <c r="AJ3280" s="19"/>
      <c r="AK3280" s="19"/>
      <c r="AL3280" s="19"/>
      <c r="AM3280" s="19"/>
      <c r="AN3280" s="19"/>
      <c r="AO3280" s="19"/>
      <c r="AP3280" s="19"/>
      <c r="AQ3280" s="19"/>
      <c r="AR3280" s="19"/>
      <c r="AS3280" s="19"/>
    </row>
    <row r="3281" spans="1:45" x14ac:dyDescent="0.3">
      <c r="A3281" s="410" t="s">
        <v>5000</v>
      </c>
      <c r="B3281" s="17"/>
      <c r="C3281" s="19"/>
      <c r="D3281" s="18"/>
      <c r="E3281" s="18"/>
      <c r="F3281" s="19"/>
      <c r="G3281" s="31"/>
      <c r="H3281" s="31"/>
      <c r="I3281" s="19"/>
      <c r="J3281" s="19"/>
      <c r="K3281" s="21"/>
      <c r="L3281" s="22"/>
      <c r="M3281" s="19"/>
      <c r="N3281" s="20"/>
      <c r="O3281" s="19"/>
      <c r="P3281" s="19"/>
      <c r="Q3281" s="19"/>
      <c r="R3281" s="19"/>
      <c r="S3281" s="19"/>
      <c r="T3281" s="19"/>
      <c r="U3281" s="19"/>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row>
    <row r="3282" spans="1:45" x14ac:dyDescent="0.3">
      <c r="A3282" s="410" t="s">
        <v>5001</v>
      </c>
      <c r="B3282" s="17"/>
      <c r="C3282" s="19"/>
      <c r="D3282" s="18"/>
      <c r="E3282" s="18"/>
      <c r="F3282" s="19"/>
      <c r="G3282" s="31"/>
      <c r="H3282" s="31"/>
      <c r="I3282" s="19"/>
      <c r="J3282" s="19"/>
      <c r="K3282" s="21"/>
      <c r="L3282" s="22"/>
      <c r="M3282" s="19"/>
      <c r="N3282" s="20"/>
      <c r="O3282" s="19"/>
      <c r="P3282" s="19"/>
      <c r="Q3282" s="19"/>
      <c r="R3282" s="19"/>
      <c r="S3282" s="19"/>
      <c r="T3282" s="19"/>
      <c r="U3282" s="19"/>
      <c r="V3282" s="19"/>
      <c r="W3282" s="19"/>
      <c r="X3282" s="19"/>
      <c r="Y3282" s="19"/>
      <c r="Z3282" s="19"/>
      <c r="AA3282" s="19"/>
      <c r="AB3282" s="19"/>
      <c r="AC3282" s="19"/>
      <c r="AD3282" s="19"/>
      <c r="AE3282" s="19"/>
      <c r="AF3282" s="19"/>
      <c r="AG3282" s="19"/>
      <c r="AH3282" s="19"/>
      <c r="AI3282" s="19"/>
      <c r="AJ3282" s="19"/>
      <c r="AK3282" s="19"/>
      <c r="AL3282" s="19"/>
      <c r="AM3282" s="19"/>
      <c r="AN3282" s="19"/>
      <c r="AO3282" s="19"/>
      <c r="AP3282" s="19"/>
      <c r="AQ3282" s="19"/>
      <c r="AR3282" s="19"/>
      <c r="AS3282" s="19"/>
    </row>
    <row r="3283" spans="1:45" x14ac:dyDescent="0.3">
      <c r="A3283" s="410" t="s">
        <v>5002</v>
      </c>
      <c r="B3283" s="17"/>
      <c r="C3283" s="19"/>
      <c r="D3283" s="18"/>
      <c r="E3283" s="18"/>
      <c r="F3283" s="19"/>
      <c r="G3283" s="31"/>
      <c r="H3283" s="31"/>
      <c r="I3283" s="19"/>
      <c r="J3283" s="19"/>
      <c r="K3283" s="21"/>
      <c r="L3283" s="22"/>
      <c r="M3283" s="19"/>
      <c r="N3283" s="20"/>
      <c r="O3283" s="19"/>
      <c r="P3283" s="19"/>
      <c r="Q3283" s="19"/>
      <c r="R3283" s="19"/>
      <c r="S3283" s="19"/>
      <c r="T3283" s="19"/>
      <c r="U3283" s="19"/>
      <c r="V3283" s="19"/>
      <c r="W3283" s="19"/>
      <c r="X3283" s="19"/>
      <c r="Y3283" s="19"/>
      <c r="Z3283" s="19"/>
      <c r="AA3283" s="19"/>
      <c r="AB3283" s="19"/>
      <c r="AC3283" s="19"/>
      <c r="AD3283" s="19"/>
      <c r="AE3283" s="19"/>
      <c r="AF3283" s="19"/>
      <c r="AG3283" s="19"/>
      <c r="AH3283" s="19"/>
      <c r="AI3283" s="19"/>
      <c r="AJ3283" s="19"/>
      <c r="AK3283" s="19"/>
      <c r="AL3283" s="19"/>
      <c r="AM3283" s="19"/>
      <c r="AN3283" s="19"/>
      <c r="AO3283" s="19"/>
      <c r="AP3283" s="19"/>
      <c r="AQ3283" s="19"/>
      <c r="AR3283" s="19"/>
      <c r="AS3283" s="19"/>
    </row>
    <row r="3284" spans="1:45" x14ac:dyDescent="0.3">
      <c r="A3284" s="410" t="s">
        <v>5003</v>
      </c>
      <c r="B3284" s="17"/>
      <c r="C3284" s="19"/>
      <c r="D3284" s="18"/>
      <c r="E3284" s="18"/>
      <c r="F3284" s="19"/>
      <c r="G3284" s="31"/>
      <c r="H3284" s="31"/>
      <c r="I3284" s="19"/>
      <c r="J3284" s="19"/>
      <c r="K3284" s="21"/>
      <c r="L3284" s="22"/>
      <c r="M3284" s="19"/>
      <c r="N3284" s="20"/>
      <c r="O3284" s="19"/>
      <c r="P3284" s="19"/>
      <c r="Q3284" s="19"/>
      <c r="R3284" s="19"/>
      <c r="S3284" s="19"/>
      <c r="T3284" s="19"/>
      <c r="U3284" s="19"/>
      <c r="V3284" s="19"/>
      <c r="W3284" s="19"/>
      <c r="X3284" s="19"/>
      <c r="Y3284" s="19"/>
      <c r="Z3284" s="19"/>
      <c r="AA3284" s="19"/>
      <c r="AB3284" s="19"/>
      <c r="AC3284" s="19"/>
      <c r="AD3284" s="19"/>
      <c r="AE3284" s="19"/>
      <c r="AF3284" s="19"/>
      <c r="AG3284" s="19"/>
      <c r="AH3284" s="19"/>
      <c r="AI3284" s="19"/>
      <c r="AJ3284" s="19"/>
      <c r="AK3284" s="19"/>
      <c r="AL3284" s="19"/>
      <c r="AM3284" s="19"/>
      <c r="AN3284" s="19"/>
      <c r="AO3284" s="19"/>
      <c r="AP3284" s="19"/>
      <c r="AQ3284" s="19"/>
      <c r="AR3284" s="19"/>
      <c r="AS3284" s="19"/>
    </row>
    <row r="3285" spans="1:45" x14ac:dyDescent="0.3">
      <c r="A3285" s="410" t="s">
        <v>5004</v>
      </c>
      <c r="B3285" s="17"/>
      <c r="C3285" s="19"/>
      <c r="D3285" s="18"/>
      <c r="E3285" s="18"/>
      <c r="F3285" s="19"/>
      <c r="G3285" s="31"/>
      <c r="H3285" s="31"/>
      <c r="I3285" s="19"/>
      <c r="J3285" s="19"/>
      <c r="K3285" s="21"/>
      <c r="L3285" s="22"/>
      <c r="M3285" s="19"/>
      <c r="N3285" s="20"/>
      <c r="O3285" s="19"/>
      <c r="P3285" s="19"/>
      <c r="Q3285" s="19"/>
      <c r="R3285" s="19"/>
      <c r="S3285" s="19"/>
      <c r="T3285" s="19"/>
      <c r="U3285" s="19"/>
      <c r="V3285" s="19"/>
      <c r="W3285" s="19"/>
      <c r="X3285" s="19"/>
      <c r="Y3285" s="19"/>
      <c r="Z3285" s="19"/>
      <c r="AA3285" s="19"/>
      <c r="AB3285" s="19"/>
      <c r="AC3285" s="19"/>
      <c r="AD3285" s="19"/>
      <c r="AE3285" s="19"/>
      <c r="AF3285" s="19"/>
      <c r="AG3285" s="19"/>
      <c r="AH3285" s="19"/>
      <c r="AI3285" s="19"/>
      <c r="AJ3285" s="19"/>
      <c r="AK3285" s="19"/>
      <c r="AL3285" s="19"/>
      <c r="AM3285" s="19"/>
      <c r="AN3285" s="19"/>
      <c r="AO3285" s="19"/>
      <c r="AP3285" s="19"/>
      <c r="AQ3285" s="19"/>
      <c r="AR3285" s="19"/>
      <c r="AS3285" s="19"/>
    </row>
    <row r="3286" spans="1:45" x14ac:dyDescent="0.3">
      <c r="A3286" s="410" t="s">
        <v>5005</v>
      </c>
      <c r="B3286" s="17"/>
      <c r="C3286" s="19"/>
      <c r="D3286" s="18"/>
      <c r="E3286" s="18"/>
      <c r="F3286" s="19"/>
      <c r="G3286" s="31"/>
      <c r="H3286" s="31"/>
      <c r="I3286" s="19"/>
      <c r="J3286" s="19"/>
      <c r="K3286" s="21"/>
      <c r="L3286" s="22"/>
      <c r="M3286" s="19"/>
      <c r="N3286" s="20"/>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row>
    <row r="3287" spans="1:45" x14ac:dyDescent="0.3">
      <c r="A3287" s="410" t="s">
        <v>5006</v>
      </c>
      <c r="B3287" s="17"/>
      <c r="C3287" s="19"/>
      <c r="D3287" s="18"/>
      <c r="E3287" s="18"/>
      <c r="F3287" s="19"/>
      <c r="G3287" s="31"/>
      <c r="H3287" s="31"/>
      <c r="I3287" s="19"/>
      <c r="J3287" s="19"/>
      <c r="K3287" s="21"/>
      <c r="L3287" s="22"/>
      <c r="M3287" s="19"/>
      <c r="N3287" s="20"/>
      <c r="O3287" s="19"/>
      <c r="P3287" s="19"/>
      <c r="Q3287" s="19"/>
      <c r="R3287" s="19"/>
      <c r="S3287" s="19"/>
      <c r="T3287" s="19"/>
      <c r="U3287" s="19"/>
      <c r="V3287" s="19"/>
      <c r="W3287" s="19"/>
      <c r="X3287" s="19"/>
      <c r="Y3287" s="19"/>
      <c r="Z3287" s="19"/>
      <c r="AA3287" s="19"/>
      <c r="AB3287" s="19"/>
      <c r="AC3287" s="19"/>
      <c r="AD3287" s="19"/>
      <c r="AE3287" s="19"/>
      <c r="AF3287" s="19"/>
      <c r="AG3287" s="19"/>
      <c r="AH3287" s="19"/>
      <c r="AI3287" s="19"/>
      <c r="AJ3287" s="19"/>
      <c r="AK3287" s="19"/>
      <c r="AL3287" s="19"/>
      <c r="AM3287" s="19"/>
      <c r="AN3287" s="19"/>
      <c r="AO3287" s="19"/>
      <c r="AP3287" s="19"/>
      <c r="AQ3287" s="19"/>
      <c r="AR3287" s="19"/>
      <c r="AS3287" s="19"/>
    </row>
    <row r="3288" spans="1:45" x14ac:dyDescent="0.3">
      <c r="A3288" s="410" t="s">
        <v>5007</v>
      </c>
      <c r="B3288" s="17"/>
      <c r="C3288" s="19"/>
      <c r="D3288" s="18"/>
      <c r="E3288" s="18"/>
      <c r="F3288" s="19"/>
      <c r="G3288" s="31"/>
      <c r="H3288" s="31"/>
      <c r="I3288" s="19"/>
      <c r="J3288" s="19"/>
      <c r="K3288" s="21"/>
      <c r="L3288" s="22"/>
      <c r="M3288" s="19"/>
      <c r="N3288" s="20"/>
      <c r="O3288" s="19"/>
      <c r="P3288" s="19"/>
      <c r="Q3288" s="19"/>
      <c r="R3288" s="19"/>
      <c r="S3288" s="19"/>
      <c r="T3288" s="19"/>
      <c r="U3288" s="19"/>
      <c r="V3288" s="19"/>
      <c r="W3288" s="19"/>
      <c r="X3288" s="19"/>
      <c r="Y3288" s="19"/>
      <c r="Z3288" s="19"/>
      <c r="AA3288" s="19"/>
      <c r="AB3288" s="19"/>
      <c r="AC3288" s="19"/>
      <c r="AD3288" s="19"/>
      <c r="AE3288" s="19"/>
      <c r="AF3288" s="19"/>
      <c r="AG3288" s="19"/>
      <c r="AH3288" s="19"/>
      <c r="AI3288" s="19"/>
      <c r="AJ3288" s="19"/>
      <c r="AK3288" s="19"/>
      <c r="AL3288" s="19"/>
      <c r="AM3288" s="19"/>
      <c r="AN3288" s="19"/>
      <c r="AO3288" s="19"/>
      <c r="AP3288" s="19"/>
      <c r="AQ3288" s="19"/>
      <c r="AR3288" s="19"/>
      <c r="AS3288" s="19"/>
    </row>
    <row r="3289" spans="1:45" x14ac:dyDescent="0.3">
      <c r="A3289" s="410" t="s">
        <v>5008</v>
      </c>
      <c r="B3289" s="17"/>
      <c r="C3289" s="19"/>
      <c r="D3289" s="18"/>
      <c r="E3289" s="18"/>
      <c r="F3289" s="19"/>
      <c r="G3289" s="31"/>
      <c r="H3289" s="31"/>
      <c r="I3289" s="19"/>
      <c r="J3289" s="19"/>
      <c r="K3289" s="21"/>
      <c r="L3289" s="22"/>
      <c r="M3289" s="19"/>
      <c r="N3289" s="20"/>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row>
    <row r="3290" spans="1:45" x14ac:dyDescent="0.3">
      <c r="A3290" s="410" t="s">
        <v>5009</v>
      </c>
      <c r="B3290" s="17"/>
      <c r="C3290" s="19"/>
      <c r="D3290" s="18"/>
      <c r="E3290" s="18"/>
      <c r="F3290" s="19"/>
      <c r="G3290" s="31"/>
      <c r="H3290" s="31"/>
      <c r="I3290" s="19"/>
      <c r="J3290" s="19"/>
      <c r="K3290" s="21"/>
      <c r="L3290" s="22"/>
      <c r="M3290" s="19"/>
      <c r="N3290" s="20"/>
      <c r="O3290" s="19"/>
      <c r="P3290" s="19"/>
      <c r="Q3290" s="19"/>
      <c r="R3290" s="19"/>
      <c r="S3290" s="19"/>
      <c r="T3290" s="19"/>
      <c r="U3290" s="19"/>
      <c r="V3290" s="19"/>
      <c r="W3290" s="19"/>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19"/>
    </row>
    <row r="3291" spans="1:45" x14ac:dyDescent="0.3">
      <c r="A3291" s="410" t="s">
        <v>5010</v>
      </c>
      <c r="B3291" s="17"/>
      <c r="C3291" s="19"/>
      <c r="D3291" s="18"/>
      <c r="E3291" s="18"/>
      <c r="F3291" s="19"/>
      <c r="G3291" s="31"/>
      <c r="H3291" s="31"/>
      <c r="I3291" s="19"/>
      <c r="J3291" s="19"/>
      <c r="K3291" s="21"/>
      <c r="L3291" s="22"/>
      <c r="M3291" s="19"/>
      <c r="N3291" s="20"/>
      <c r="O3291" s="19"/>
      <c r="P3291" s="19"/>
      <c r="Q3291" s="19"/>
      <c r="R3291" s="19"/>
      <c r="S3291" s="19"/>
      <c r="T3291" s="19"/>
      <c r="U3291" s="19"/>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19"/>
    </row>
    <row r="3292" spans="1:45" x14ac:dyDescent="0.3">
      <c r="A3292" s="410" t="s">
        <v>5011</v>
      </c>
      <c r="B3292" s="17"/>
      <c r="C3292" s="19"/>
      <c r="D3292" s="18"/>
      <c r="E3292" s="18"/>
      <c r="F3292" s="19"/>
      <c r="G3292" s="31"/>
      <c r="H3292" s="31"/>
      <c r="I3292" s="19"/>
      <c r="J3292" s="19"/>
      <c r="K3292" s="21"/>
      <c r="L3292" s="22"/>
      <c r="M3292" s="19"/>
      <c r="N3292" s="20"/>
      <c r="O3292" s="19"/>
      <c r="P3292" s="19"/>
      <c r="Q3292" s="19"/>
      <c r="R3292" s="19"/>
      <c r="S3292" s="19"/>
      <c r="T3292" s="19"/>
      <c r="U3292" s="19"/>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19"/>
    </row>
    <row r="3293" spans="1:45" x14ac:dyDescent="0.3">
      <c r="A3293" s="410" t="s">
        <v>5012</v>
      </c>
      <c r="B3293" s="17"/>
      <c r="C3293" s="19"/>
      <c r="D3293" s="18"/>
      <c r="E3293" s="18"/>
      <c r="F3293" s="19"/>
      <c r="G3293" s="31"/>
      <c r="H3293" s="31"/>
      <c r="I3293" s="19"/>
      <c r="J3293" s="19"/>
      <c r="K3293" s="21"/>
      <c r="L3293" s="22"/>
      <c r="M3293" s="19"/>
      <c r="N3293" s="20"/>
      <c r="O3293" s="19"/>
      <c r="P3293" s="19"/>
      <c r="Q3293" s="19"/>
      <c r="R3293" s="19"/>
      <c r="S3293" s="19"/>
      <c r="T3293" s="19"/>
      <c r="U3293" s="19"/>
      <c r="V3293" s="19"/>
      <c r="W3293" s="19"/>
      <c r="X3293" s="19"/>
      <c r="Y3293" s="19"/>
      <c r="Z3293" s="19"/>
      <c r="AA3293" s="19"/>
      <c r="AB3293" s="19"/>
      <c r="AC3293" s="19"/>
      <c r="AD3293" s="19"/>
      <c r="AE3293" s="19"/>
      <c r="AF3293" s="19"/>
      <c r="AG3293" s="19"/>
      <c r="AH3293" s="19"/>
      <c r="AI3293" s="19"/>
      <c r="AJ3293" s="19"/>
      <c r="AK3293" s="19"/>
      <c r="AL3293" s="19"/>
      <c r="AM3293" s="19"/>
      <c r="AN3293" s="19"/>
      <c r="AO3293" s="19"/>
      <c r="AP3293" s="19"/>
      <c r="AQ3293" s="19"/>
      <c r="AR3293" s="19"/>
      <c r="AS3293" s="19"/>
    </row>
    <row r="3294" spans="1:45" x14ac:dyDescent="0.3">
      <c r="A3294" s="410" t="s">
        <v>5013</v>
      </c>
      <c r="B3294" s="17"/>
      <c r="C3294" s="19"/>
      <c r="D3294" s="18"/>
      <c r="E3294" s="18"/>
      <c r="F3294" s="19"/>
      <c r="G3294" s="31"/>
      <c r="H3294" s="31"/>
      <c r="I3294" s="19"/>
      <c r="J3294" s="19"/>
      <c r="K3294" s="21"/>
      <c r="L3294" s="22"/>
      <c r="M3294" s="19"/>
      <c r="N3294" s="20"/>
      <c r="O3294" s="19"/>
      <c r="P3294" s="19"/>
      <c r="Q3294" s="19"/>
      <c r="R3294" s="19"/>
      <c r="S3294" s="19"/>
      <c r="T3294" s="19"/>
      <c r="U3294" s="19"/>
      <c r="V3294" s="19"/>
      <c r="W3294" s="19"/>
      <c r="X3294" s="19"/>
      <c r="Y3294" s="19"/>
      <c r="Z3294" s="19"/>
      <c r="AA3294" s="19"/>
      <c r="AB3294" s="19"/>
      <c r="AC3294" s="19"/>
      <c r="AD3294" s="19"/>
      <c r="AE3294" s="19"/>
      <c r="AF3294" s="19"/>
      <c r="AG3294" s="19"/>
      <c r="AH3294" s="19"/>
      <c r="AI3294" s="19"/>
      <c r="AJ3294" s="19"/>
      <c r="AK3294" s="19"/>
      <c r="AL3294" s="19"/>
      <c r="AM3294" s="19"/>
      <c r="AN3294" s="19"/>
      <c r="AO3294" s="19"/>
      <c r="AP3294" s="19"/>
      <c r="AQ3294" s="19"/>
      <c r="AR3294" s="19"/>
      <c r="AS3294" s="19"/>
    </row>
    <row r="3295" spans="1:45" x14ac:dyDescent="0.3">
      <c r="A3295" s="410" t="s">
        <v>5014</v>
      </c>
      <c r="B3295" s="17"/>
      <c r="C3295" s="19"/>
      <c r="D3295" s="18"/>
      <c r="E3295" s="18"/>
      <c r="F3295" s="19"/>
      <c r="G3295" s="31"/>
      <c r="H3295" s="31"/>
      <c r="I3295" s="19"/>
      <c r="J3295" s="19"/>
      <c r="K3295" s="21"/>
      <c r="L3295" s="22"/>
      <c r="M3295" s="19"/>
      <c r="N3295" s="20"/>
      <c r="O3295" s="19"/>
      <c r="P3295" s="19"/>
      <c r="Q3295" s="19"/>
      <c r="R3295" s="19"/>
      <c r="S3295" s="19"/>
      <c r="T3295" s="19"/>
      <c r="U3295" s="19"/>
      <c r="V3295" s="19"/>
      <c r="W3295" s="19"/>
      <c r="X3295" s="19"/>
      <c r="Y3295" s="19"/>
      <c r="Z3295" s="19"/>
      <c r="AA3295" s="19"/>
      <c r="AB3295" s="19"/>
      <c r="AC3295" s="19"/>
      <c r="AD3295" s="19"/>
      <c r="AE3295" s="19"/>
      <c r="AF3295" s="19"/>
      <c r="AG3295" s="19"/>
      <c r="AH3295" s="19"/>
      <c r="AI3295" s="19"/>
      <c r="AJ3295" s="19"/>
      <c r="AK3295" s="19"/>
      <c r="AL3295" s="19"/>
      <c r="AM3295" s="19"/>
      <c r="AN3295" s="19"/>
      <c r="AO3295" s="19"/>
      <c r="AP3295" s="19"/>
      <c r="AQ3295" s="19"/>
      <c r="AR3295" s="19"/>
      <c r="AS3295" s="19"/>
    </row>
    <row r="3296" spans="1:45" x14ac:dyDescent="0.3">
      <c r="A3296" s="410" t="s">
        <v>5015</v>
      </c>
      <c r="B3296" s="17"/>
      <c r="C3296" s="19"/>
      <c r="D3296" s="18"/>
      <c r="E3296" s="18"/>
      <c r="F3296" s="19"/>
      <c r="G3296" s="31"/>
      <c r="H3296" s="31"/>
      <c r="I3296" s="19"/>
      <c r="J3296" s="19"/>
      <c r="K3296" s="21"/>
      <c r="L3296" s="22"/>
      <c r="M3296" s="19"/>
      <c r="N3296" s="20"/>
      <c r="O3296" s="19"/>
      <c r="P3296" s="19"/>
      <c r="Q3296" s="19"/>
      <c r="R3296" s="19"/>
      <c r="S3296" s="19"/>
      <c r="T3296" s="19"/>
      <c r="U3296" s="19"/>
      <c r="V3296" s="19"/>
      <c r="W3296" s="19"/>
      <c r="X3296" s="19"/>
      <c r="Y3296" s="19"/>
      <c r="Z3296" s="19"/>
      <c r="AA3296" s="19"/>
      <c r="AB3296" s="19"/>
      <c r="AC3296" s="19"/>
      <c r="AD3296" s="19"/>
      <c r="AE3296" s="19"/>
      <c r="AF3296" s="19"/>
      <c r="AG3296" s="19"/>
      <c r="AH3296" s="19"/>
      <c r="AI3296" s="19"/>
      <c r="AJ3296" s="19"/>
      <c r="AK3296" s="19"/>
      <c r="AL3296" s="19"/>
      <c r="AM3296" s="19"/>
      <c r="AN3296" s="19"/>
      <c r="AO3296" s="19"/>
      <c r="AP3296" s="19"/>
      <c r="AQ3296" s="19"/>
      <c r="AR3296" s="19"/>
      <c r="AS3296" s="19"/>
    </row>
    <row r="3297" spans="1:45" x14ac:dyDescent="0.3">
      <c r="A3297" s="410" t="s">
        <v>5016</v>
      </c>
      <c r="B3297" s="17"/>
      <c r="C3297" s="19"/>
      <c r="D3297" s="18"/>
      <c r="E3297" s="18"/>
      <c r="F3297" s="19"/>
      <c r="G3297" s="31"/>
      <c r="H3297" s="31"/>
      <c r="I3297" s="19"/>
      <c r="J3297" s="19"/>
      <c r="K3297" s="21"/>
      <c r="L3297" s="22"/>
      <c r="M3297" s="19"/>
      <c r="N3297" s="20"/>
      <c r="O3297" s="19"/>
      <c r="P3297" s="19"/>
      <c r="Q3297" s="19"/>
      <c r="R3297" s="19"/>
      <c r="S3297" s="19"/>
      <c r="T3297" s="19"/>
      <c r="U3297" s="19"/>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19"/>
    </row>
    <row r="3298" spans="1:45" x14ac:dyDescent="0.3">
      <c r="A3298" s="410" t="s">
        <v>5017</v>
      </c>
      <c r="B3298" s="17"/>
      <c r="C3298" s="19"/>
      <c r="D3298" s="18"/>
      <c r="E3298" s="18"/>
      <c r="F3298" s="19"/>
      <c r="G3298" s="31"/>
      <c r="H3298" s="31"/>
      <c r="I3298" s="19"/>
      <c r="J3298" s="19"/>
      <c r="K3298" s="21"/>
      <c r="L3298" s="22"/>
      <c r="M3298" s="19"/>
      <c r="N3298" s="20"/>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row>
    <row r="3299" spans="1:45" x14ac:dyDescent="0.3">
      <c r="A3299" s="410" t="s">
        <v>5018</v>
      </c>
      <c r="B3299" s="17"/>
      <c r="C3299" s="19"/>
      <c r="D3299" s="18"/>
      <c r="E3299" s="18"/>
      <c r="F3299" s="19"/>
      <c r="G3299" s="31"/>
      <c r="H3299" s="31"/>
      <c r="I3299" s="19"/>
      <c r="J3299" s="19"/>
      <c r="K3299" s="21"/>
      <c r="L3299" s="22"/>
      <c r="M3299" s="19"/>
      <c r="N3299" s="20"/>
      <c r="O3299" s="19"/>
      <c r="P3299" s="19"/>
      <c r="Q3299" s="19"/>
      <c r="R3299" s="19"/>
      <c r="S3299" s="19"/>
      <c r="T3299" s="19"/>
      <c r="U3299" s="19"/>
      <c r="V3299" s="19"/>
      <c r="W3299" s="19"/>
      <c r="X3299" s="19"/>
      <c r="Y3299" s="19"/>
      <c r="Z3299" s="19"/>
      <c r="AA3299" s="19"/>
      <c r="AB3299" s="19"/>
      <c r="AC3299" s="19"/>
      <c r="AD3299" s="19"/>
      <c r="AE3299" s="19"/>
      <c r="AF3299" s="19"/>
      <c r="AG3299" s="19"/>
      <c r="AH3299" s="19"/>
      <c r="AI3299" s="19"/>
      <c r="AJ3299" s="19"/>
      <c r="AK3299" s="19"/>
      <c r="AL3299" s="19"/>
      <c r="AM3299" s="19"/>
      <c r="AN3299" s="19"/>
      <c r="AO3299" s="19"/>
      <c r="AP3299" s="19"/>
      <c r="AQ3299" s="19"/>
      <c r="AR3299" s="19"/>
      <c r="AS3299" s="19"/>
    </row>
    <row r="3300" spans="1:45" x14ac:dyDescent="0.3">
      <c r="A3300" s="410" t="s">
        <v>5019</v>
      </c>
      <c r="B3300" s="17"/>
      <c r="C3300" s="19"/>
      <c r="D3300" s="18"/>
      <c r="E3300" s="18"/>
      <c r="F3300" s="19"/>
      <c r="G3300" s="31"/>
      <c r="H3300" s="31"/>
      <c r="I3300" s="19"/>
      <c r="J3300" s="19"/>
      <c r="K3300" s="21"/>
      <c r="L3300" s="22"/>
      <c r="M3300" s="19"/>
      <c r="N3300" s="20"/>
      <c r="O3300" s="19"/>
      <c r="P3300" s="19"/>
      <c r="Q3300" s="19"/>
      <c r="R3300" s="19"/>
      <c r="S3300" s="19"/>
      <c r="T3300" s="19"/>
      <c r="U3300" s="19"/>
      <c r="V3300" s="19"/>
      <c r="W3300" s="19"/>
      <c r="X3300" s="19"/>
      <c r="Y3300" s="19"/>
      <c r="Z3300" s="19"/>
      <c r="AA3300" s="19"/>
      <c r="AB3300" s="19"/>
      <c r="AC3300" s="19"/>
      <c r="AD3300" s="19"/>
      <c r="AE3300" s="19"/>
      <c r="AF3300" s="19"/>
      <c r="AG3300" s="19"/>
      <c r="AH3300" s="19"/>
      <c r="AI3300" s="19"/>
      <c r="AJ3300" s="19"/>
      <c r="AK3300" s="19"/>
      <c r="AL3300" s="19"/>
      <c r="AM3300" s="19"/>
      <c r="AN3300" s="19"/>
      <c r="AO3300" s="19"/>
      <c r="AP3300" s="19"/>
      <c r="AQ3300" s="19"/>
      <c r="AR3300" s="19"/>
      <c r="AS3300" s="19"/>
    </row>
    <row r="3301" spans="1:45" x14ac:dyDescent="0.3">
      <c r="A3301" s="410" t="s">
        <v>5020</v>
      </c>
      <c r="B3301" s="17"/>
      <c r="C3301" s="19"/>
      <c r="D3301" s="18"/>
      <c r="E3301" s="18"/>
      <c r="F3301" s="19"/>
      <c r="G3301" s="31"/>
      <c r="H3301" s="31"/>
      <c r="I3301" s="19"/>
      <c r="J3301" s="19"/>
      <c r="K3301" s="21"/>
      <c r="L3301" s="22"/>
      <c r="M3301" s="19"/>
      <c r="N3301" s="20"/>
      <c r="O3301" s="19"/>
      <c r="P3301" s="19"/>
      <c r="Q3301" s="19"/>
      <c r="R3301" s="19"/>
      <c r="S3301" s="19"/>
      <c r="T3301" s="19"/>
      <c r="U3301" s="19"/>
      <c r="V3301" s="19"/>
      <c r="W3301" s="19"/>
      <c r="X3301" s="19"/>
      <c r="Y3301" s="19"/>
      <c r="Z3301" s="19"/>
      <c r="AA3301" s="19"/>
      <c r="AB3301" s="19"/>
      <c r="AC3301" s="19"/>
      <c r="AD3301" s="19"/>
      <c r="AE3301" s="19"/>
      <c r="AF3301" s="19"/>
      <c r="AG3301" s="19"/>
      <c r="AH3301" s="19"/>
      <c r="AI3301" s="19"/>
      <c r="AJ3301" s="19"/>
      <c r="AK3301" s="19"/>
      <c r="AL3301" s="19"/>
      <c r="AM3301" s="19"/>
      <c r="AN3301" s="19"/>
      <c r="AO3301" s="19"/>
      <c r="AP3301" s="19"/>
      <c r="AQ3301" s="19"/>
      <c r="AR3301" s="19"/>
      <c r="AS3301" s="19"/>
    </row>
    <row r="3302" spans="1:45" x14ac:dyDescent="0.3">
      <c r="A3302" s="410" t="s">
        <v>5021</v>
      </c>
      <c r="B3302" s="17"/>
      <c r="C3302" s="19"/>
      <c r="D3302" s="18"/>
      <c r="E3302" s="18"/>
      <c r="F3302" s="19"/>
      <c r="G3302" s="31"/>
      <c r="H3302" s="31"/>
      <c r="I3302" s="19"/>
      <c r="J3302" s="19"/>
      <c r="K3302" s="21"/>
      <c r="L3302" s="22"/>
      <c r="M3302" s="19"/>
      <c r="N3302" s="20"/>
      <c r="O3302" s="19"/>
      <c r="P3302" s="19"/>
      <c r="Q3302" s="19"/>
      <c r="R3302" s="19"/>
      <c r="S3302" s="19"/>
      <c r="T3302" s="19"/>
      <c r="U3302" s="19"/>
      <c r="V3302" s="19"/>
      <c r="W3302" s="19"/>
      <c r="X3302" s="19"/>
      <c r="Y3302" s="19"/>
      <c r="Z3302" s="19"/>
      <c r="AA3302" s="19"/>
      <c r="AB3302" s="19"/>
      <c r="AC3302" s="19"/>
      <c r="AD3302" s="19"/>
      <c r="AE3302" s="19"/>
      <c r="AF3302" s="19"/>
      <c r="AG3302" s="19"/>
      <c r="AH3302" s="19"/>
      <c r="AI3302" s="19"/>
      <c r="AJ3302" s="19"/>
      <c r="AK3302" s="19"/>
      <c r="AL3302" s="19"/>
      <c r="AM3302" s="19"/>
      <c r="AN3302" s="19"/>
      <c r="AO3302" s="19"/>
      <c r="AP3302" s="19"/>
      <c r="AQ3302" s="19"/>
      <c r="AR3302" s="19"/>
      <c r="AS3302" s="19"/>
    </row>
    <row r="3303" spans="1:45" x14ac:dyDescent="0.3">
      <c r="A3303" s="410" t="s">
        <v>5022</v>
      </c>
      <c r="B3303" s="17"/>
      <c r="C3303" s="19"/>
      <c r="D3303" s="18"/>
      <c r="E3303" s="18"/>
      <c r="F3303" s="19"/>
      <c r="G3303" s="31"/>
      <c r="H3303" s="31"/>
      <c r="I3303" s="19"/>
      <c r="J3303" s="19"/>
      <c r="K3303" s="21"/>
      <c r="L3303" s="22"/>
      <c r="M3303" s="19"/>
      <c r="N3303" s="20"/>
      <c r="O3303" s="19"/>
      <c r="P3303" s="19"/>
      <c r="Q3303" s="19"/>
      <c r="R3303" s="19"/>
      <c r="S3303" s="19"/>
      <c r="T3303" s="19"/>
      <c r="U3303" s="19"/>
      <c r="V3303" s="19"/>
      <c r="W3303" s="19"/>
      <c r="X3303" s="19"/>
      <c r="Y3303" s="19"/>
      <c r="Z3303" s="19"/>
      <c r="AA3303" s="19"/>
      <c r="AB3303" s="19"/>
      <c r="AC3303" s="19"/>
      <c r="AD3303" s="19"/>
      <c r="AE3303" s="19"/>
      <c r="AF3303" s="19"/>
      <c r="AG3303" s="19"/>
      <c r="AH3303" s="19"/>
      <c r="AI3303" s="19"/>
      <c r="AJ3303" s="19"/>
      <c r="AK3303" s="19"/>
      <c r="AL3303" s="19"/>
      <c r="AM3303" s="19"/>
      <c r="AN3303" s="19"/>
      <c r="AO3303" s="19"/>
      <c r="AP3303" s="19"/>
      <c r="AQ3303" s="19"/>
      <c r="AR3303" s="19"/>
      <c r="AS3303" s="19"/>
    </row>
    <row r="3304" spans="1:45" x14ac:dyDescent="0.3">
      <c r="A3304" s="410" t="s">
        <v>5023</v>
      </c>
      <c r="B3304" s="17"/>
      <c r="C3304" s="19"/>
      <c r="D3304" s="18"/>
      <c r="E3304" s="18"/>
      <c r="F3304" s="19"/>
      <c r="G3304" s="31"/>
      <c r="H3304" s="31"/>
      <c r="I3304" s="19"/>
      <c r="J3304" s="19"/>
      <c r="K3304" s="21"/>
      <c r="L3304" s="22"/>
      <c r="M3304" s="19"/>
      <c r="N3304" s="20"/>
      <c r="O3304" s="19"/>
      <c r="P3304" s="19"/>
      <c r="Q3304" s="19"/>
      <c r="R3304" s="19"/>
      <c r="S3304" s="19"/>
      <c r="T3304" s="19"/>
      <c r="U3304" s="19"/>
      <c r="V3304" s="19"/>
      <c r="W3304" s="19"/>
      <c r="X3304" s="19"/>
      <c r="Y3304" s="19"/>
      <c r="Z3304" s="19"/>
      <c r="AA3304" s="19"/>
      <c r="AB3304" s="19"/>
      <c r="AC3304" s="19"/>
      <c r="AD3304" s="19"/>
      <c r="AE3304" s="19"/>
      <c r="AF3304" s="19"/>
      <c r="AG3304" s="19"/>
      <c r="AH3304" s="19"/>
      <c r="AI3304" s="19"/>
      <c r="AJ3304" s="19"/>
      <c r="AK3304" s="19"/>
      <c r="AL3304" s="19"/>
      <c r="AM3304" s="19"/>
      <c r="AN3304" s="19"/>
      <c r="AO3304" s="19"/>
      <c r="AP3304" s="19"/>
      <c r="AQ3304" s="19"/>
      <c r="AR3304" s="19"/>
      <c r="AS3304" s="19"/>
    </row>
    <row r="3305" spans="1:45" x14ac:dyDescent="0.3">
      <c r="A3305" s="410" t="s">
        <v>5024</v>
      </c>
      <c r="B3305" s="17"/>
      <c r="C3305" s="19"/>
      <c r="D3305" s="18"/>
      <c r="E3305" s="18"/>
      <c r="F3305" s="19"/>
      <c r="G3305" s="31"/>
      <c r="H3305" s="31"/>
      <c r="I3305" s="19"/>
      <c r="J3305" s="19"/>
      <c r="K3305" s="21"/>
      <c r="L3305" s="22"/>
      <c r="M3305" s="19"/>
      <c r="N3305" s="20"/>
      <c r="O3305" s="19"/>
      <c r="P3305" s="19"/>
      <c r="Q3305" s="19"/>
      <c r="R3305" s="19"/>
      <c r="S3305" s="19"/>
      <c r="T3305" s="19"/>
      <c r="U3305" s="19"/>
      <c r="V3305" s="19"/>
      <c r="W3305" s="19"/>
      <c r="X3305" s="19"/>
      <c r="Y3305" s="19"/>
      <c r="Z3305" s="19"/>
      <c r="AA3305" s="19"/>
      <c r="AB3305" s="19"/>
      <c r="AC3305" s="19"/>
      <c r="AD3305" s="19"/>
      <c r="AE3305" s="19"/>
      <c r="AF3305" s="19"/>
      <c r="AG3305" s="19"/>
      <c r="AH3305" s="19"/>
      <c r="AI3305" s="19"/>
      <c r="AJ3305" s="19"/>
      <c r="AK3305" s="19"/>
      <c r="AL3305" s="19"/>
      <c r="AM3305" s="19"/>
      <c r="AN3305" s="19"/>
      <c r="AO3305" s="19"/>
      <c r="AP3305" s="19"/>
      <c r="AQ3305" s="19"/>
      <c r="AR3305" s="19"/>
      <c r="AS3305" s="19"/>
    </row>
    <row r="3306" spans="1:45" x14ac:dyDescent="0.3">
      <c r="A3306" s="410" t="s">
        <v>5025</v>
      </c>
      <c r="B3306" s="17"/>
      <c r="C3306" s="19"/>
      <c r="D3306" s="18"/>
      <c r="E3306" s="18"/>
      <c r="F3306" s="19"/>
      <c r="G3306" s="31"/>
      <c r="H3306" s="31"/>
      <c r="I3306" s="19"/>
      <c r="J3306" s="19"/>
      <c r="K3306" s="21"/>
      <c r="L3306" s="22"/>
      <c r="M3306" s="19"/>
      <c r="N3306" s="20"/>
      <c r="O3306" s="19"/>
      <c r="P3306" s="19"/>
      <c r="Q3306" s="19"/>
      <c r="R3306" s="19"/>
      <c r="S3306" s="19"/>
      <c r="T3306" s="19"/>
      <c r="U3306" s="19"/>
      <c r="V3306" s="19"/>
      <c r="W3306" s="19"/>
      <c r="X3306" s="19"/>
      <c r="Y3306" s="19"/>
      <c r="Z3306" s="19"/>
      <c r="AA3306" s="19"/>
      <c r="AB3306" s="19"/>
      <c r="AC3306" s="19"/>
      <c r="AD3306" s="19"/>
      <c r="AE3306" s="19"/>
      <c r="AF3306" s="19"/>
      <c r="AG3306" s="19"/>
      <c r="AH3306" s="19"/>
      <c r="AI3306" s="19"/>
      <c r="AJ3306" s="19"/>
      <c r="AK3306" s="19"/>
      <c r="AL3306" s="19"/>
      <c r="AM3306" s="19"/>
      <c r="AN3306" s="19"/>
      <c r="AO3306" s="19"/>
      <c r="AP3306" s="19"/>
      <c r="AQ3306" s="19"/>
      <c r="AR3306" s="19"/>
      <c r="AS3306" s="19"/>
    </row>
    <row r="3307" spans="1:45" x14ac:dyDescent="0.3">
      <c r="A3307" s="410" t="s">
        <v>5026</v>
      </c>
      <c r="B3307" s="17"/>
      <c r="C3307" s="19"/>
      <c r="D3307" s="18"/>
      <c r="E3307" s="18"/>
      <c r="F3307" s="19"/>
      <c r="G3307" s="31"/>
      <c r="H3307" s="31"/>
      <c r="I3307" s="19"/>
      <c r="J3307" s="19"/>
      <c r="K3307" s="21"/>
      <c r="L3307" s="22"/>
      <c r="M3307" s="19"/>
      <c r="N3307" s="20"/>
      <c r="O3307" s="19"/>
      <c r="P3307" s="19"/>
      <c r="Q3307" s="19"/>
      <c r="R3307" s="19"/>
      <c r="S3307" s="19"/>
      <c r="T3307" s="19"/>
      <c r="U3307" s="19"/>
      <c r="V3307" s="19"/>
      <c r="W3307" s="19"/>
      <c r="X3307" s="19"/>
      <c r="Y3307" s="19"/>
      <c r="Z3307" s="19"/>
      <c r="AA3307" s="19"/>
      <c r="AB3307" s="19"/>
      <c r="AC3307" s="19"/>
      <c r="AD3307" s="19"/>
      <c r="AE3307" s="19"/>
      <c r="AF3307" s="19"/>
      <c r="AG3307" s="19"/>
      <c r="AH3307" s="19"/>
      <c r="AI3307" s="19"/>
      <c r="AJ3307" s="19"/>
      <c r="AK3307" s="19"/>
      <c r="AL3307" s="19"/>
      <c r="AM3307" s="19"/>
      <c r="AN3307" s="19"/>
      <c r="AO3307" s="19"/>
      <c r="AP3307" s="19"/>
      <c r="AQ3307" s="19"/>
      <c r="AR3307" s="19"/>
      <c r="AS3307" s="19"/>
    </row>
    <row r="3308" spans="1:45" x14ac:dyDescent="0.3">
      <c r="A3308" s="410" t="s">
        <v>5027</v>
      </c>
      <c r="B3308" s="17"/>
      <c r="C3308" s="19"/>
      <c r="D3308" s="18"/>
      <c r="E3308" s="18"/>
      <c r="F3308" s="19"/>
      <c r="G3308" s="31"/>
      <c r="H3308" s="31"/>
      <c r="I3308" s="19"/>
      <c r="J3308" s="19"/>
      <c r="K3308" s="21"/>
      <c r="L3308" s="22"/>
      <c r="M3308" s="19"/>
      <c r="N3308" s="20"/>
      <c r="O3308" s="19"/>
      <c r="P3308" s="19"/>
      <c r="Q3308" s="19"/>
      <c r="R3308" s="19"/>
      <c r="S3308" s="19"/>
      <c r="T3308" s="19"/>
      <c r="U3308" s="19"/>
      <c r="V3308" s="19"/>
      <c r="W3308" s="19"/>
      <c r="X3308" s="19"/>
      <c r="Y3308" s="19"/>
      <c r="Z3308" s="19"/>
      <c r="AA3308" s="19"/>
      <c r="AB3308" s="19"/>
      <c r="AC3308" s="19"/>
      <c r="AD3308" s="19"/>
      <c r="AE3308" s="19"/>
      <c r="AF3308" s="19"/>
      <c r="AG3308" s="19"/>
      <c r="AH3308" s="19"/>
      <c r="AI3308" s="19"/>
      <c r="AJ3308" s="19"/>
      <c r="AK3308" s="19"/>
      <c r="AL3308" s="19"/>
      <c r="AM3308" s="19"/>
      <c r="AN3308" s="19"/>
      <c r="AO3308" s="19"/>
      <c r="AP3308" s="19"/>
      <c r="AQ3308" s="19"/>
      <c r="AR3308" s="19"/>
      <c r="AS3308" s="19"/>
    </row>
    <row r="3309" spans="1:45" x14ac:dyDescent="0.3">
      <c r="A3309" s="410" t="s">
        <v>5028</v>
      </c>
      <c r="B3309" s="17"/>
      <c r="C3309" s="19"/>
      <c r="D3309" s="18"/>
      <c r="E3309" s="18"/>
      <c r="F3309" s="19"/>
      <c r="G3309" s="31"/>
      <c r="H3309" s="31"/>
      <c r="I3309" s="19"/>
      <c r="J3309" s="19"/>
      <c r="K3309" s="21"/>
      <c r="L3309" s="22"/>
      <c r="M3309" s="19"/>
      <c r="N3309" s="20"/>
      <c r="O3309" s="19"/>
      <c r="P3309" s="19"/>
      <c r="Q3309" s="19"/>
      <c r="R3309" s="19"/>
      <c r="S3309" s="19"/>
      <c r="T3309" s="19"/>
      <c r="U3309" s="19"/>
      <c r="V3309" s="19"/>
      <c r="W3309" s="19"/>
      <c r="X3309" s="19"/>
      <c r="Y3309" s="19"/>
      <c r="Z3309" s="19"/>
      <c r="AA3309" s="19"/>
      <c r="AB3309" s="19"/>
      <c r="AC3309" s="19"/>
      <c r="AD3309" s="19"/>
      <c r="AE3309" s="19"/>
      <c r="AF3309" s="19"/>
      <c r="AG3309" s="19"/>
      <c r="AH3309" s="19"/>
      <c r="AI3309" s="19"/>
      <c r="AJ3309" s="19"/>
      <c r="AK3309" s="19"/>
      <c r="AL3309" s="19"/>
      <c r="AM3309" s="19"/>
      <c r="AN3309" s="19"/>
      <c r="AO3309" s="19"/>
      <c r="AP3309" s="19"/>
      <c r="AQ3309" s="19"/>
      <c r="AR3309" s="19"/>
      <c r="AS3309" s="19"/>
    </row>
    <row r="3310" spans="1:45" x14ac:dyDescent="0.3">
      <c r="A3310" s="410" t="s">
        <v>5029</v>
      </c>
      <c r="B3310" s="17"/>
      <c r="C3310" s="19"/>
      <c r="D3310" s="18"/>
      <c r="E3310" s="18"/>
      <c r="F3310" s="19"/>
      <c r="G3310" s="31"/>
      <c r="H3310" s="31"/>
      <c r="I3310" s="19"/>
      <c r="J3310" s="19"/>
      <c r="K3310" s="21"/>
      <c r="L3310" s="22"/>
      <c r="M3310" s="19"/>
      <c r="N3310" s="20"/>
      <c r="O3310" s="19"/>
      <c r="P3310" s="19"/>
      <c r="Q3310" s="19"/>
      <c r="R3310" s="19"/>
      <c r="S3310" s="19"/>
      <c r="T3310" s="19"/>
      <c r="U3310" s="19"/>
      <c r="V3310" s="19"/>
      <c r="W3310" s="19"/>
      <c r="X3310" s="19"/>
      <c r="Y3310" s="19"/>
      <c r="Z3310" s="19"/>
      <c r="AA3310" s="19"/>
      <c r="AB3310" s="19"/>
      <c r="AC3310" s="19"/>
      <c r="AD3310" s="19"/>
      <c r="AE3310" s="19"/>
      <c r="AF3310" s="19"/>
      <c r="AG3310" s="19"/>
      <c r="AH3310" s="19"/>
      <c r="AI3310" s="19"/>
      <c r="AJ3310" s="19"/>
      <c r="AK3310" s="19"/>
      <c r="AL3310" s="19"/>
      <c r="AM3310" s="19"/>
      <c r="AN3310" s="19"/>
      <c r="AO3310" s="19"/>
      <c r="AP3310" s="19"/>
      <c r="AQ3310" s="19"/>
      <c r="AR3310" s="19"/>
      <c r="AS3310" s="19"/>
    </row>
    <row r="3311" spans="1:45" x14ac:dyDescent="0.3">
      <c r="A3311" s="410" t="s">
        <v>5030</v>
      </c>
      <c r="B3311" s="17"/>
      <c r="C3311" s="19"/>
      <c r="D3311" s="18"/>
      <c r="E3311" s="18"/>
      <c r="F3311" s="19"/>
      <c r="G3311" s="31"/>
      <c r="H3311" s="31"/>
      <c r="I3311" s="19"/>
      <c r="J3311" s="19"/>
      <c r="K3311" s="21"/>
      <c r="L3311" s="22"/>
      <c r="M3311" s="19"/>
      <c r="N3311" s="20"/>
      <c r="O3311" s="19"/>
      <c r="P3311" s="19"/>
      <c r="Q3311" s="19"/>
      <c r="R3311" s="19"/>
      <c r="S3311" s="19"/>
      <c r="T3311" s="19"/>
      <c r="U3311" s="19"/>
      <c r="V3311" s="19"/>
      <c r="W3311" s="19"/>
      <c r="X3311" s="19"/>
      <c r="Y3311" s="19"/>
      <c r="Z3311" s="19"/>
      <c r="AA3311" s="19"/>
      <c r="AB3311" s="19"/>
      <c r="AC3311" s="19"/>
      <c r="AD3311" s="19"/>
      <c r="AE3311" s="19"/>
      <c r="AF3311" s="19"/>
      <c r="AG3311" s="19"/>
      <c r="AH3311" s="19"/>
      <c r="AI3311" s="19"/>
      <c r="AJ3311" s="19"/>
      <c r="AK3311" s="19"/>
      <c r="AL3311" s="19"/>
      <c r="AM3311" s="19"/>
      <c r="AN3311" s="19"/>
      <c r="AO3311" s="19"/>
      <c r="AP3311" s="19"/>
      <c r="AQ3311" s="19"/>
      <c r="AR3311" s="19"/>
      <c r="AS3311" s="19"/>
    </row>
    <row r="3312" spans="1:45" x14ac:dyDescent="0.3">
      <c r="A3312" s="410" t="s">
        <v>5031</v>
      </c>
      <c r="B3312" s="17"/>
      <c r="C3312" s="19"/>
      <c r="D3312" s="18"/>
      <c r="E3312" s="18"/>
      <c r="F3312" s="19"/>
      <c r="G3312" s="31"/>
      <c r="H3312" s="31"/>
      <c r="I3312" s="19"/>
      <c r="J3312" s="19"/>
      <c r="K3312" s="21"/>
      <c r="L3312" s="22"/>
      <c r="M3312" s="19"/>
      <c r="N3312" s="20"/>
      <c r="O3312" s="19"/>
      <c r="P3312" s="19"/>
      <c r="Q3312" s="19"/>
      <c r="R3312" s="19"/>
      <c r="S3312" s="19"/>
      <c r="T3312" s="19"/>
      <c r="U3312" s="19"/>
      <c r="V3312" s="19"/>
      <c r="W3312" s="19"/>
      <c r="X3312" s="19"/>
      <c r="Y3312" s="19"/>
      <c r="Z3312" s="19"/>
      <c r="AA3312" s="19"/>
      <c r="AB3312" s="19"/>
      <c r="AC3312" s="19"/>
      <c r="AD3312" s="19"/>
      <c r="AE3312" s="19"/>
      <c r="AF3312" s="19"/>
      <c r="AG3312" s="19"/>
      <c r="AH3312" s="19"/>
      <c r="AI3312" s="19"/>
      <c r="AJ3312" s="19"/>
      <c r="AK3312" s="19"/>
      <c r="AL3312" s="19"/>
      <c r="AM3312" s="19"/>
      <c r="AN3312" s="19"/>
      <c r="AO3312" s="19"/>
      <c r="AP3312" s="19"/>
      <c r="AQ3312" s="19"/>
      <c r="AR3312" s="19"/>
      <c r="AS3312" s="19"/>
    </row>
    <row r="3313" spans="1:45" x14ac:dyDescent="0.3">
      <c r="A3313" s="410" t="s">
        <v>5032</v>
      </c>
      <c r="B3313" s="17"/>
      <c r="C3313" s="19"/>
      <c r="D3313" s="18"/>
      <c r="E3313" s="18"/>
      <c r="F3313" s="19"/>
      <c r="G3313" s="31"/>
      <c r="H3313" s="31"/>
      <c r="I3313" s="19"/>
      <c r="J3313" s="19"/>
      <c r="K3313" s="21"/>
      <c r="L3313" s="22"/>
      <c r="M3313" s="19"/>
      <c r="N3313" s="20"/>
      <c r="O3313" s="19"/>
      <c r="P3313" s="19"/>
      <c r="Q3313" s="19"/>
      <c r="R3313" s="19"/>
      <c r="S3313" s="19"/>
      <c r="T3313" s="19"/>
      <c r="U3313" s="19"/>
      <c r="V3313" s="19"/>
      <c r="W3313" s="19"/>
      <c r="X3313" s="19"/>
      <c r="Y3313" s="19"/>
      <c r="Z3313" s="19"/>
      <c r="AA3313" s="19"/>
      <c r="AB3313" s="19"/>
      <c r="AC3313" s="19"/>
      <c r="AD3313" s="19"/>
      <c r="AE3313" s="19"/>
      <c r="AF3313" s="19"/>
      <c r="AG3313" s="19"/>
      <c r="AH3313" s="19"/>
      <c r="AI3313" s="19"/>
      <c r="AJ3313" s="19"/>
      <c r="AK3313" s="19"/>
      <c r="AL3313" s="19"/>
      <c r="AM3313" s="19"/>
      <c r="AN3313" s="19"/>
      <c r="AO3313" s="19"/>
      <c r="AP3313" s="19"/>
      <c r="AQ3313" s="19"/>
      <c r="AR3313" s="19"/>
      <c r="AS3313" s="19"/>
    </row>
    <row r="3314" spans="1:45" x14ac:dyDescent="0.3">
      <c r="A3314" s="410" t="s">
        <v>5033</v>
      </c>
      <c r="B3314" s="17"/>
      <c r="C3314" s="19"/>
      <c r="D3314" s="18"/>
      <c r="E3314" s="18"/>
      <c r="F3314" s="19"/>
      <c r="G3314" s="31"/>
      <c r="H3314" s="31"/>
      <c r="I3314" s="19"/>
      <c r="J3314" s="19"/>
      <c r="K3314" s="21"/>
      <c r="L3314" s="22"/>
      <c r="M3314" s="19"/>
      <c r="N3314" s="20"/>
      <c r="O3314" s="19"/>
      <c r="P3314" s="19"/>
      <c r="Q3314" s="19"/>
      <c r="R3314" s="19"/>
      <c r="S3314" s="19"/>
      <c r="T3314" s="19"/>
      <c r="U3314" s="19"/>
      <c r="V3314" s="19"/>
      <c r="W3314" s="19"/>
      <c r="X3314" s="19"/>
      <c r="Y3314" s="19"/>
      <c r="Z3314" s="19"/>
      <c r="AA3314" s="19"/>
      <c r="AB3314" s="19"/>
      <c r="AC3314" s="19"/>
      <c r="AD3314" s="19"/>
      <c r="AE3314" s="19"/>
      <c r="AF3314" s="19"/>
      <c r="AG3314" s="19"/>
      <c r="AH3314" s="19"/>
      <c r="AI3314" s="19"/>
      <c r="AJ3314" s="19"/>
      <c r="AK3314" s="19"/>
      <c r="AL3314" s="19"/>
      <c r="AM3314" s="19"/>
      <c r="AN3314" s="19"/>
      <c r="AO3314" s="19"/>
      <c r="AP3314" s="19"/>
      <c r="AQ3314" s="19"/>
      <c r="AR3314" s="19"/>
      <c r="AS3314" s="19"/>
    </row>
    <row r="3315" spans="1:45" x14ac:dyDescent="0.3">
      <c r="A3315" s="410" t="s">
        <v>5034</v>
      </c>
      <c r="B3315" s="17"/>
      <c r="C3315" s="19"/>
      <c r="D3315" s="18"/>
      <c r="E3315" s="18"/>
      <c r="F3315" s="19"/>
      <c r="G3315" s="31"/>
      <c r="H3315" s="31"/>
      <c r="I3315" s="19"/>
      <c r="J3315" s="19"/>
      <c r="K3315" s="21"/>
      <c r="L3315" s="22"/>
      <c r="M3315" s="19"/>
      <c r="N3315" s="20"/>
      <c r="O3315" s="19"/>
      <c r="P3315" s="19"/>
      <c r="Q3315" s="19"/>
      <c r="R3315" s="19"/>
      <c r="S3315" s="19"/>
      <c r="T3315" s="19"/>
      <c r="U3315" s="19"/>
      <c r="V3315" s="19"/>
      <c r="W3315" s="19"/>
      <c r="X3315" s="19"/>
      <c r="Y3315" s="19"/>
      <c r="Z3315" s="19"/>
      <c r="AA3315" s="19"/>
      <c r="AB3315" s="19"/>
      <c r="AC3315" s="19"/>
      <c r="AD3315" s="19"/>
      <c r="AE3315" s="19"/>
      <c r="AF3315" s="19"/>
      <c r="AG3315" s="19"/>
      <c r="AH3315" s="19"/>
      <c r="AI3315" s="19"/>
      <c r="AJ3315" s="19"/>
      <c r="AK3315" s="19"/>
      <c r="AL3315" s="19"/>
      <c r="AM3315" s="19"/>
      <c r="AN3315" s="19"/>
      <c r="AO3315" s="19"/>
      <c r="AP3315" s="19"/>
      <c r="AQ3315" s="19"/>
      <c r="AR3315" s="19"/>
      <c r="AS3315" s="19"/>
    </row>
    <row r="3316" spans="1:45" x14ac:dyDescent="0.3">
      <c r="A3316" s="410" t="s">
        <v>5035</v>
      </c>
      <c r="B3316" s="17"/>
      <c r="C3316" s="19"/>
      <c r="D3316" s="18"/>
      <c r="E3316" s="18"/>
      <c r="F3316" s="19"/>
      <c r="G3316" s="31"/>
      <c r="H3316" s="31"/>
      <c r="I3316" s="19"/>
      <c r="J3316" s="19"/>
      <c r="K3316" s="21"/>
      <c r="L3316" s="22"/>
      <c r="M3316" s="19"/>
      <c r="N3316" s="20"/>
      <c r="O3316" s="19"/>
      <c r="P3316" s="19"/>
      <c r="Q3316" s="19"/>
      <c r="R3316" s="19"/>
      <c r="S3316" s="19"/>
      <c r="T3316" s="19"/>
      <c r="U3316" s="19"/>
      <c r="V3316" s="19"/>
      <c r="W3316" s="19"/>
      <c r="X3316" s="19"/>
      <c r="Y3316" s="19"/>
      <c r="Z3316" s="19"/>
      <c r="AA3316" s="19"/>
      <c r="AB3316" s="19"/>
      <c r="AC3316" s="19"/>
      <c r="AD3316" s="19"/>
      <c r="AE3316" s="19"/>
      <c r="AF3316" s="19"/>
      <c r="AG3316" s="19"/>
      <c r="AH3316" s="19"/>
      <c r="AI3316" s="19"/>
      <c r="AJ3316" s="19"/>
      <c r="AK3316" s="19"/>
      <c r="AL3316" s="19"/>
      <c r="AM3316" s="19"/>
      <c r="AN3316" s="19"/>
      <c r="AO3316" s="19"/>
      <c r="AP3316" s="19"/>
      <c r="AQ3316" s="19"/>
      <c r="AR3316" s="19"/>
      <c r="AS3316" s="19"/>
    </row>
    <row r="3317" spans="1:45" x14ac:dyDescent="0.3">
      <c r="A3317" s="410" t="s">
        <v>5036</v>
      </c>
      <c r="B3317" s="17"/>
      <c r="C3317" s="19"/>
      <c r="D3317" s="18"/>
      <c r="E3317" s="18"/>
      <c r="F3317" s="19"/>
      <c r="G3317" s="31"/>
      <c r="H3317" s="31"/>
      <c r="I3317" s="19"/>
      <c r="J3317" s="19"/>
      <c r="K3317" s="21"/>
      <c r="L3317" s="22"/>
      <c r="M3317" s="19"/>
      <c r="N3317" s="20"/>
      <c r="O3317" s="19"/>
      <c r="P3317" s="19"/>
      <c r="Q3317" s="19"/>
      <c r="R3317" s="19"/>
      <c r="S3317" s="19"/>
      <c r="T3317" s="19"/>
      <c r="U3317" s="19"/>
      <c r="V3317" s="19"/>
      <c r="W3317" s="19"/>
      <c r="X3317" s="19"/>
      <c r="Y3317" s="19"/>
      <c r="Z3317" s="19"/>
      <c r="AA3317" s="19"/>
      <c r="AB3317" s="19"/>
      <c r="AC3317" s="19"/>
      <c r="AD3317" s="19"/>
      <c r="AE3317" s="19"/>
      <c r="AF3317" s="19"/>
      <c r="AG3317" s="19"/>
      <c r="AH3317" s="19"/>
      <c r="AI3317" s="19"/>
      <c r="AJ3317" s="19"/>
      <c r="AK3317" s="19"/>
      <c r="AL3317" s="19"/>
      <c r="AM3317" s="19"/>
      <c r="AN3317" s="19"/>
      <c r="AO3317" s="19"/>
      <c r="AP3317" s="19"/>
      <c r="AQ3317" s="19"/>
      <c r="AR3317" s="19"/>
      <c r="AS3317" s="19"/>
    </row>
    <row r="3318" spans="1:45" x14ac:dyDescent="0.3">
      <c r="A3318" s="410" t="s">
        <v>5037</v>
      </c>
      <c r="B3318" s="17"/>
      <c r="C3318" s="19"/>
      <c r="D3318" s="18"/>
      <c r="E3318" s="18"/>
      <c r="F3318" s="19"/>
      <c r="G3318" s="31"/>
      <c r="H3318" s="31"/>
      <c r="I3318" s="19"/>
      <c r="J3318" s="19"/>
      <c r="K3318" s="21"/>
      <c r="L3318" s="22"/>
      <c r="M3318" s="19"/>
      <c r="N3318" s="20"/>
      <c r="O3318" s="19"/>
      <c r="P3318" s="19"/>
      <c r="Q3318" s="19"/>
      <c r="R3318" s="19"/>
      <c r="S3318" s="19"/>
      <c r="T3318" s="19"/>
      <c r="U3318" s="19"/>
      <c r="V3318" s="19"/>
      <c r="W3318" s="19"/>
      <c r="X3318" s="19"/>
      <c r="Y3318" s="19"/>
      <c r="Z3318" s="19"/>
      <c r="AA3318" s="19"/>
      <c r="AB3318" s="19"/>
      <c r="AC3318" s="19"/>
      <c r="AD3318" s="19"/>
      <c r="AE3318" s="19"/>
      <c r="AF3318" s="19"/>
      <c r="AG3318" s="19"/>
      <c r="AH3318" s="19"/>
      <c r="AI3318" s="19"/>
      <c r="AJ3318" s="19"/>
      <c r="AK3318" s="19"/>
      <c r="AL3318" s="19"/>
      <c r="AM3318" s="19"/>
      <c r="AN3318" s="19"/>
      <c r="AO3318" s="19"/>
      <c r="AP3318" s="19"/>
      <c r="AQ3318" s="19"/>
      <c r="AR3318" s="19"/>
      <c r="AS3318" s="19"/>
    </row>
    <row r="3319" spans="1:45" x14ac:dyDescent="0.3">
      <c r="A3319" s="410" t="s">
        <v>5038</v>
      </c>
      <c r="B3319" s="17"/>
      <c r="C3319" s="19"/>
      <c r="D3319" s="18"/>
      <c r="E3319" s="18"/>
      <c r="F3319" s="19"/>
      <c r="G3319" s="31"/>
      <c r="H3319" s="31"/>
      <c r="I3319" s="19"/>
      <c r="J3319" s="19"/>
      <c r="K3319" s="21"/>
      <c r="L3319" s="22"/>
      <c r="M3319" s="19"/>
      <c r="N3319" s="20"/>
      <c r="O3319" s="19"/>
      <c r="P3319" s="19"/>
      <c r="Q3319" s="19"/>
      <c r="R3319" s="19"/>
      <c r="S3319" s="19"/>
      <c r="T3319" s="19"/>
      <c r="U3319" s="19"/>
      <c r="V3319" s="19"/>
      <c r="W3319" s="19"/>
      <c r="X3319" s="19"/>
      <c r="Y3319" s="19"/>
      <c r="Z3319" s="19"/>
      <c r="AA3319" s="19"/>
      <c r="AB3319" s="19"/>
      <c r="AC3319" s="19"/>
      <c r="AD3319" s="19"/>
      <c r="AE3319" s="19"/>
      <c r="AF3319" s="19"/>
      <c r="AG3319" s="19"/>
      <c r="AH3319" s="19"/>
      <c r="AI3319" s="19"/>
      <c r="AJ3319" s="19"/>
      <c r="AK3319" s="19"/>
      <c r="AL3319" s="19"/>
      <c r="AM3319" s="19"/>
      <c r="AN3319" s="19"/>
      <c r="AO3319" s="19"/>
      <c r="AP3319" s="19"/>
      <c r="AQ3319" s="19"/>
      <c r="AR3319" s="19"/>
      <c r="AS3319" s="19"/>
    </row>
    <row r="3320" spans="1:45" x14ac:dyDescent="0.3">
      <c r="A3320" s="410" t="s">
        <v>5039</v>
      </c>
      <c r="B3320" s="17"/>
      <c r="C3320" s="19"/>
      <c r="D3320" s="18"/>
      <c r="E3320" s="18"/>
      <c r="F3320" s="19"/>
      <c r="G3320" s="31"/>
      <c r="H3320" s="31"/>
      <c r="I3320" s="19"/>
      <c r="J3320" s="19"/>
      <c r="K3320" s="21"/>
      <c r="L3320" s="22"/>
      <c r="M3320" s="19"/>
      <c r="N3320" s="20"/>
      <c r="O3320" s="19"/>
      <c r="P3320" s="19"/>
      <c r="Q3320" s="19"/>
      <c r="R3320" s="19"/>
      <c r="S3320" s="19"/>
      <c r="T3320" s="19"/>
      <c r="U3320" s="19"/>
      <c r="V3320" s="19"/>
      <c r="W3320" s="19"/>
      <c r="X3320" s="19"/>
      <c r="Y3320" s="19"/>
      <c r="Z3320" s="19"/>
      <c r="AA3320" s="19"/>
      <c r="AB3320" s="19"/>
      <c r="AC3320" s="19"/>
      <c r="AD3320" s="19"/>
      <c r="AE3320" s="19"/>
      <c r="AF3320" s="19"/>
      <c r="AG3320" s="19"/>
      <c r="AH3320" s="19"/>
      <c r="AI3320" s="19"/>
      <c r="AJ3320" s="19"/>
      <c r="AK3320" s="19"/>
      <c r="AL3320" s="19"/>
      <c r="AM3320" s="19"/>
      <c r="AN3320" s="19"/>
      <c r="AO3320" s="19"/>
      <c r="AP3320" s="19"/>
      <c r="AQ3320" s="19"/>
      <c r="AR3320" s="19"/>
      <c r="AS3320" s="19"/>
    </row>
    <row r="3321" spans="1:45" x14ac:dyDescent="0.3">
      <c r="A3321" s="410" t="s">
        <v>5040</v>
      </c>
      <c r="B3321" s="17"/>
      <c r="C3321" s="19"/>
      <c r="D3321" s="18"/>
      <c r="E3321" s="18"/>
      <c r="F3321" s="19"/>
      <c r="G3321" s="31"/>
      <c r="H3321" s="31"/>
      <c r="I3321" s="19"/>
      <c r="J3321" s="19"/>
      <c r="K3321" s="21"/>
      <c r="L3321" s="22"/>
      <c r="M3321" s="19"/>
      <c r="N3321" s="20"/>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row>
    <row r="3322" spans="1:45" x14ac:dyDescent="0.3">
      <c r="A3322" s="410" t="s">
        <v>5041</v>
      </c>
      <c r="B3322" s="17"/>
      <c r="C3322" s="19"/>
      <c r="D3322" s="18"/>
      <c r="E3322" s="18"/>
      <c r="F3322" s="19"/>
      <c r="G3322" s="31"/>
      <c r="H3322" s="31"/>
      <c r="I3322" s="19"/>
      <c r="J3322" s="19"/>
      <c r="K3322" s="21"/>
      <c r="L3322" s="22"/>
      <c r="M3322" s="19"/>
      <c r="N3322" s="20"/>
      <c r="O3322" s="19"/>
      <c r="P3322" s="19"/>
      <c r="Q3322" s="19"/>
      <c r="R3322" s="19"/>
      <c r="S3322" s="19"/>
      <c r="T3322" s="19"/>
      <c r="U3322" s="19"/>
      <c r="V3322" s="19"/>
      <c r="W3322" s="19"/>
      <c r="X3322" s="19"/>
      <c r="Y3322" s="19"/>
      <c r="Z3322" s="19"/>
      <c r="AA3322" s="19"/>
      <c r="AB3322" s="19"/>
      <c r="AC3322" s="19"/>
      <c r="AD3322" s="19"/>
      <c r="AE3322" s="19"/>
      <c r="AF3322" s="19"/>
      <c r="AG3322" s="19"/>
      <c r="AH3322" s="19"/>
      <c r="AI3322" s="19"/>
      <c r="AJ3322" s="19"/>
      <c r="AK3322" s="19"/>
      <c r="AL3322" s="19"/>
      <c r="AM3322" s="19"/>
      <c r="AN3322" s="19"/>
      <c r="AO3322" s="19"/>
      <c r="AP3322" s="19"/>
      <c r="AQ3322" s="19"/>
      <c r="AR3322" s="19"/>
      <c r="AS3322" s="19"/>
    </row>
    <row r="3323" spans="1:45" x14ac:dyDescent="0.3">
      <c r="A3323" s="410" t="s">
        <v>5042</v>
      </c>
      <c r="B3323" s="17"/>
      <c r="C3323" s="19"/>
      <c r="D3323" s="18"/>
      <c r="E3323" s="18"/>
      <c r="F3323" s="19"/>
      <c r="G3323" s="31"/>
      <c r="H3323" s="31"/>
      <c r="I3323" s="19"/>
      <c r="J3323" s="19"/>
      <c r="K3323" s="21"/>
      <c r="L3323" s="22"/>
      <c r="M3323" s="19"/>
      <c r="N3323" s="20"/>
      <c r="O3323" s="19"/>
      <c r="P3323" s="19"/>
      <c r="Q3323" s="19"/>
      <c r="R3323" s="19"/>
      <c r="S3323" s="19"/>
      <c r="T3323" s="19"/>
      <c r="U3323" s="19"/>
      <c r="V3323" s="19"/>
      <c r="W3323" s="19"/>
      <c r="X3323" s="19"/>
      <c r="Y3323" s="19"/>
      <c r="Z3323" s="19"/>
      <c r="AA3323" s="19"/>
      <c r="AB3323" s="19"/>
      <c r="AC3323" s="19"/>
      <c r="AD3323" s="19"/>
      <c r="AE3323" s="19"/>
      <c r="AF3323" s="19"/>
      <c r="AG3323" s="19"/>
      <c r="AH3323" s="19"/>
      <c r="AI3323" s="19"/>
      <c r="AJ3323" s="19"/>
      <c r="AK3323" s="19"/>
      <c r="AL3323" s="19"/>
      <c r="AM3323" s="19"/>
      <c r="AN3323" s="19"/>
      <c r="AO3323" s="19"/>
      <c r="AP3323" s="19"/>
      <c r="AQ3323" s="19"/>
      <c r="AR3323" s="19"/>
      <c r="AS3323" s="19"/>
    </row>
    <row r="3324" spans="1:45" x14ac:dyDescent="0.3">
      <c r="A3324" s="410" t="s">
        <v>5043</v>
      </c>
      <c r="B3324" s="17"/>
      <c r="C3324" s="19"/>
      <c r="D3324" s="18"/>
      <c r="E3324" s="18"/>
      <c r="F3324" s="19"/>
      <c r="G3324" s="31"/>
      <c r="H3324" s="31"/>
      <c r="I3324" s="19"/>
      <c r="J3324" s="19"/>
      <c r="K3324" s="21"/>
      <c r="L3324" s="22"/>
      <c r="M3324" s="19"/>
      <c r="N3324" s="20"/>
      <c r="O3324" s="19"/>
      <c r="P3324" s="19"/>
      <c r="Q3324" s="19"/>
      <c r="R3324" s="19"/>
      <c r="S3324" s="19"/>
      <c r="T3324" s="19"/>
      <c r="U3324" s="19"/>
      <c r="V3324" s="19"/>
      <c r="W3324" s="19"/>
      <c r="X3324" s="19"/>
      <c r="Y3324" s="19"/>
      <c r="Z3324" s="19"/>
      <c r="AA3324" s="19"/>
      <c r="AB3324" s="19"/>
      <c r="AC3324" s="19"/>
      <c r="AD3324" s="19"/>
      <c r="AE3324" s="19"/>
      <c r="AF3324" s="19"/>
      <c r="AG3324" s="19"/>
      <c r="AH3324" s="19"/>
      <c r="AI3324" s="19"/>
      <c r="AJ3324" s="19"/>
      <c r="AK3324" s="19"/>
      <c r="AL3324" s="19"/>
      <c r="AM3324" s="19"/>
      <c r="AN3324" s="19"/>
      <c r="AO3324" s="19"/>
      <c r="AP3324" s="19"/>
      <c r="AQ3324" s="19"/>
      <c r="AR3324" s="19"/>
      <c r="AS3324" s="19"/>
    </row>
    <row r="3325" spans="1:45" x14ac:dyDescent="0.3">
      <c r="A3325" s="410" t="s">
        <v>5044</v>
      </c>
      <c r="B3325" s="17"/>
      <c r="C3325" s="19"/>
      <c r="D3325" s="18"/>
      <c r="E3325" s="18"/>
      <c r="F3325" s="19"/>
      <c r="G3325" s="31"/>
      <c r="H3325" s="31"/>
      <c r="I3325" s="19"/>
      <c r="J3325" s="19"/>
      <c r="K3325" s="21"/>
      <c r="L3325" s="22"/>
      <c r="M3325" s="19"/>
      <c r="N3325" s="20"/>
      <c r="O3325" s="19"/>
      <c r="P3325" s="19"/>
      <c r="Q3325" s="19"/>
      <c r="R3325" s="19"/>
      <c r="S3325" s="19"/>
      <c r="T3325" s="19"/>
      <c r="U3325" s="19"/>
      <c r="V3325" s="19"/>
      <c r="W3325" s="19"/>
      <c r="X3325" s="19"/>
      <c r="Y3325" s="19"/>
      <c r="Z3325" s="19"/>
      <c r="AA3325" s="19"/>
      <c r="AB3325" s="19"/>
      <c r="AC3325" s="19"/>
      <c r="AD3325" s="19"/>
      <c r="AE3325" s="19"/>
      <c r="AF3325" s="19"/>
      <c r="AG3325" s="19"/>
      <c r="AH3325" s="19"/>
      <c r="AI3325" s="19"/>
      <c r="AJ3325" s="19"/>
      <c r="AK3325" s="19"/>
      <c r="AL3325" s="19"/>
      <c r="AM3325" s="19"/>
      <c r="AN3325" s="19"/>
      <c r="AO3325" s="19"/>
      <c r="AP3325" s="19"/>
      <c r="AQ3325" s="19"/>
      <c r="AR3325" s="19"/>
      <c r="AS3325" s="19"/>
    </row>
    <row r="3326" spans="1:45" x14ac:dyDescent="0.3">
      <c r="A3326" s="410" t="s">
        <v>5045</v>
      </c>
      <c r="B3326" s="17"/>
      <c r="C3326" s="19"/>
      <c r="D3326" s="18"/>
      <c r="E3326" s="18"/>
      <c r="F3326" s="19"/>
      <c r="G3326" s="31"/>
      <c r="H3326" s="31"/>
      <c r="I3326" s="19"/>
      <c r="J3326" s="19"/>
      <c r="K3326" s="21"/>
      <c r="L3326" s="22"/>
      <c r="M3326" s="19"/>
      <c r="N3326" s="20"/>
      <c r="O3326" s="19"/>
      <c r="P3326" s="19"/>
      <c r="Q3326" s="19"/>
      <c r="R3326" s="19"/>
      <c r="S3326" s="19"/>
      <c r="T3326" s="19"/>
      <c r="U3326" s="19"/>
      <c r="V3326" s="19"/>
      <c r="W3326" s="19"/>
      <c r="X3326" s="19"/>
      <c r="Y3326" s="19"/>
      <c r="Z3326" s="19"/>
      <c r="AA3326" s="19"/>
      <c r="AB3326" s="19"/>
      <c r="AC3326" s="19"/>
      <c r="AD3326" s="19"/>
      <c r="AE3326" s="19"/>
      <c r="AF3326" s="19"/>
      <c r="AG3326" s="19"/>
      <c r="AH3326" s="19"/>
      <c r="AI3326" s="19"/>
      <c r="AJ3326" s="19"/>
      <c r="AK3326" s="19"/>
      <c r="AL3326" s="19"/>
      <c r="AM3326" s="19"/>
      <c r="AN3326" s="19"/>
      <c r="AO3326" s="19"/>
      <c r="AP3326" s="19"/>
      <c r="AQ3326" s="19"/>
      <c r="AR3326" s="19"/>
      <c r="AS3326" s="19"/>
    </row>
    <row r="3327" spans="1:45" x14ac:dyDescent="0.3">
      <c r="A3327" s="410" t="s">
        <v>5046</v>
      </c>
      <c r="B3327" s="17"/>
      <c r="C3327" s="19"/>
      <c r="D3327" s="18"/>
      <c r="E3327" s="18"/>
      <c r="F3327" s="19"/>
      <c r="G3327" s="31"/>
      <c r="H3327" s="31"/>
      <c r="I3327" s="19"/>
      <c r="J3327" s="19"/>
      <c r="K3327" s="21"/>
      <c r="L3327" s="22"/>
      <c r="M3327" s="19"/>
      <c r="N3327" s="20"/>
      <c r="O3327" s="19"/>
      <c r="P3327" s="19"/>
      <c r="Q3327" s="19"/>
      <c r="R3327" s="19"/>
      <c r="S3327" s="19"/>
      <c r="T3327" s="19"/>
      <c r="U3327" s="19"/>
      <c r="V3327" s="19"/>
      <c r="W3327" s="19"/>
      <c r="X3327" s="19"/>
      <c r="Y3327" s="19"/>
      <c r="Z3327" s="19"/>
      <c r="AA3327" s="19"/>
      <c r="AB3327" s="19"/>
      <c r="AC3327" s="19"/>
      <c r="AD3327" s="19"/>
      <c r="AE3327" s="19"/>
      <c r="AF3327" s="19"/>
      <c r="AG3327" s="19"/>
      <c r="AH3327" s="19"/>
      <c r="AI3327" s="19"/>
      <c r="AJ3327" s="19"/>
      <c r="AK3327" s="19"/>
      <c r="AL3327" s="19"/>
      <c r="AM3327" s="19"/>
      <c r="AN3327" s="19"/>
      <c r="AO3327" s="19"/>
      <c r="AP3327" s="19"/>
      <c r="AQ3327" s="19"/>
      <c r="AR3327" s="19"/>
      <c r="AS3327" s="19"/>
    </row>
    <row r="3328" spans="1:45" x14ac:dyDescent="0.3">
      <c r="A3328" s="410" t="s">
        <v>5047</v>
      </c>
      <c r="B3328" s="17"/>
      <c r="C3328" s="19"/>
      <c r="D3328" s="19"/>
      <c r="E3328" s="18"/>
      <c r="F3328" s="19"/>
      <c r="G3328" s="31"/>
      <c r="H3328" s="31"/>
      <c r="I3328" s="19"/>
      <c r="J3328" s="19"/>
      <c r="K3328" s="21"/>
      <c r="L3328" s="22"/>
      <c r="M3328" s="19"/>
      <c r="N3328" s="20"/>
      <c r="O3328" s="19"/>
      <c r="P3328" s="19"/>
      <c r="Q3328" s="19"/>
      <c r="R3328" s="19"/>
      <c r="S3328" s="19"/>
      <c r="T3328" s="19"/>
      <c r="U3328" s="19"/>
      <c r="V3328" s="19"/>
      <c r="W3328" s="19"/>
      <c r="X3328" s="19"/>
      <c r="Y3328" s="19"/>
      <c r="Z3328" s="19"/>
      <c r="AA3328" s="19"/>
      <c r="AB3328" s="19"/>
      <c r="AC3328" s="19"/>
      <c r="AD3328" s="19"/>
      <c r="AE3328" s="19"/>
      <c r="AF3328" s="19"/>
      <c r="AG3328" s="19"/>
      <c r="AH3328" s="19"/>
      <c r="AI3328" s="19"/>
      <c r="AJ3328" s="19"/>
      <c r="AK3328" s="19"/>
      <c r="AL3328" s="19"/>
      <c r="AM3328" s="19"/>
      <c r="AN3328" s="19"/>
      <c r="AO3328" s="19"/>
      <c r="AP3328" s="19"/>
      <c r="AQ3328" s="19"/>
      <c r="AR3328" s="19"/>
      <c r="AS3328" s="19"/>
    </row>
    <row r="3329" spans="1:45" x14ac:dyDescent="0.3">
      <c r="A3329" s="410" t="s">
        <v>5048</v>
      </c>
      <c r="B3329" s="17"/>
      <c r="C3329" s="19"/>
      <c r="D3329" s="19"/>
      <c r="E3329" s="18"/>
      <c r="F3329" s="19"/>
      <c r="G3329" s="31"/>
      <c r="H3329" s="31"/>
      <c r="I3329" s="19"/>
      <c r="J3329" s="19"/>
      <c r="K3329" s="21"/>
      <c r="L3329" s="22"/>
      <c r="M3329" s="19"/>
      <c r="N3329" s="20"/>
      <c r="O3329" s="19"/>
      <c r="P3329" s="19"/>
      <c r="Q3329" s="19"/>
      <c r="R3329" s="19"/>
      <c r="S3329" s="19"/>
      <c r="T3329" s="19"/>
      <c r="U3329" s="19"/>
      <c r="V3329" s="19"/>
      <c r="W3329" s="19"/>
      <c r="X3329" s="19"/>
      <c r="Y3329" s="19"/>
      <c r="Z3329" s="19"/>
      <c r="AA3329" s="19"/>
      <c r="AB3329" s="19"/>
      <c r="AC3329" s="19"/>
      <c r="AD3329" s="19"/>
      <c r="AE3329" s="19"/>
      <c r="AF3329" s="19"/>
      <c r="AG3329" s="19"/>
      <c r="AH3329" s="19"/>
      <c r="AI3329" s="19"/>
      <c r="AJ3329" s="19"/>
      <c r="AK3329" s="19"/>
      <c r="AL3329" s="19"/>
      <c r="AM3329" s="19"/>
      <c r="AN3329" s="19"/>
      <c r="AO3329" s="19"/>
      <c r="AP3329" s="19"/>
      <c r="AQ3329" s="19"/>
      <c r="AR3329" s="19"/>
      <c r="AS3329" s="19"/>
    </row>
    <row r="3330" spans="1:45" x14ac:dyDescent="0.3">
      <c r="A3330" s="410" t="s">
        <v>5049</v>
      </c>
      <c r="B3330" s="17"/>
      <c r="C3330" s="19"/>
      <c r="D3330" s="19"/>
      <c r="E3330" s="18"/>
      <c r="F3330" s="19"/>
      <c r="G3330" s="31"/>
      <c r="H3330" s="31"/>
      <c r="I3330" s="19"/>
      <c r="J3330" s="19"/>
      <c r="K3330" s="21"/>
      <c r="L3330" s="22"/>
      <c r="M3330" s="19"/>
      <c r="N3330" s="20"/>
      <c r="O3330" s="19"/>
      <c r="P3330" s="19"/>
      <c r="Q3330" s="19"/>
      <c r="R3330" s="19"/>
      <c r="S3330" s="19"/>
      <c r="T3330" s="19"/>
      <c r="U3330" s="19"/>
      <c r="V3330" s="19"/>
      <c r="W3330" s="19"/>
      <c r="X3330" s="19"/>
      <c r="Y3330" s="19"/>
      <c r="Z3330" s="19"/>
      <c r="AA3330" s="19"/>
      <c r="AB3330" s="19"/>
      <c r="AC3330" s="19"/>
      <c r="AD3330" s="19"/>
      <c r="AE3330" s="19"/>
      <c r="AF3330" s="19"/>
      <c r="AG3330" s="19"/>
      <c r="AH3330" s="19"/>
      <c r="AI3330" s="19"/>
      <c r="AJ3330" s="19"/>
      <c r="AK3330" s="19"/>
      <c r="AL3330" s="19"/>
      <c r="AM3330" s="19"/>
      <c r="AN3330" s="19"/>
      <c r="AO3330" s="19"/>
      <c r="AP3330" s="19"/>
      <c r="AQ3330" s="19"/>
      <c r="AR3330" s="19"/>
      <c r="AS3330" s="19"/>
    </row>
    <row r="3331" spans="1:45" x14ac:dyDescent="0.3">
      <c r="A3331" s="410" t="s">
        <v>5050</v>
      </c>
      <c r="B3331" s="17"/>
      <c r="C3331" s="19"/>
      <c r="D3331" s="19"/>
      <c r="E3331" s="18"/>
      <c r="F3331" s="19"/>
      <c r="G3331" s="31"/>
      <c r="H3331" s="31"/>
      <c r="I3331" s="19"/>
      <c r="J3331" s="19"/>
      <c r="K3331" s="21"/>
      <c r="L3331" s="22"/>
      <c r="M3331" s="19"/>
      <c r="N3331" s="20"/>
      <c r="O3331" s="19"/>
      <c r="P3331" s="19"/>
      <c r="Q3331" s="19"/>
      <c r="R3331" s="19"/>
      <c r="S3331" s="19"/>
      <c r="T3331" s="19"/>
      <c r="U3331" s="19"/>
      <c r="V3331" s="19"/>
      <c r="W3331" s="19"/>
      <c r="X3331" s="19"/>
      <c r="Y3331" s="19"/>
      <c r="Z3331" s="19"/>
      <c r="AA3331" s="19"/>
      <c r="AB3331" s="19"/>
      <c r="AC3331" s="19"/>
      <c r="AD3331" s="19"/>
      <c r="AE3331" s="19"/>
      <c r="AF3331" s="19"/>
      <c r="AG3331" s="19"/>
      <c r="AH3331" s="19"/>
      <c r="AI3331" s="19"/>
      <c r="AJ3331" s="19"/>
      <c r="AK3331" s="19"/>
      <c r="AL3331" s="19"/>
      <c r="AM3331" s="19"/>
      <c r="AN3331" s="19"/>
      <c r="AO3331" s="19"/>
      <c r="AP3331" s="19"/>
      <c r="AQ3331" s="19"/>
      <c r="AR3331" s="19"/>
      <c r="AS3331" s="19"/>
    </row>
    <row r="3332" spans="1:45" x14ac:dyDescent="0.3">
      <c r="A3332" s="410"/>
      <c r="B3332" s="17"/>
      <c r="C3332" s="19"/>
      <c r="D3332" s="19"/>
      <c r="E3332" s="18"/>
      <c r="F3332" s="19"/>
      <c r="G3332" s="31"/>
      <c r="H3332" s="31"/>
      <c r="I3332" s="19"/>
      <c r="J3332" s="19"/>
      <c r="K3332" s="21"/>
      <c r="L3332" s="22"/>
      <c r="M3332" s="19"/>
      <c r="N3332" s="20"/>
      <c r="O3332" s="19"/>
      <c r="P3332" s="19"/>
      <c r="Q3332" s="19"/>
      <c r="R3332" s="19"/>
      <c r="S3332" s="19"/>
      <c r="T3332" s="19"/>
      <c r="U3332" s="19"/>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19"/>
    </row>
    <row r="3333" spans="1:45" x14ac:dyDescent="0.3">
      <c r="A3333" s="410" t="s">
        <v>5051</v>
      </c>
      <c r="B3333" s="17"/>
      <c r="C3333" s="19"/>
      <c r="D3333" s="19"/>
      <c r="E3333" s="18"/>
      <c r="F3333" s="19"/>
      <c r="G3333" s="31"/>
      <c r="H3333" s="31"/>
      <c r="I3333" s="19"/>
      <c r="J3333" s="19"/>
      <c r="K3333" s="21"/>
      <c r="L3333" s="22"/>
      <c r="M3333" s="19"/>
      <c r="N3333" s="20"/>
      <c r="O3333" s="19"/>
      <c r="P3333" s="19"/>
      <c r="Q3333" s="19"/>
      <c r="R3333" s="19"/>
      <c r="S3333" s="19"/>
      <c r="T3333" s="19"/>
      <c r="U3333" s="19"/>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19"/>
    </row>
    <row r="3334" spans="1:45" x14ac:dyDescent="0.3">
      <c r="A3334" s="410" t="s">
        <v>5052</v>
      </c>
      <c r="B3334" s="17"/>
      <c r="C3334" s="19"/>
      <c r="D3334" s="19"/>
      <c r="E3334" s="18"/>
      <c r="F3334" s="19"/>
      <c r="G3334" s="31"/>
      <c r="H3334" s="31"/>
      <c r="I3334" s="19"/>
      <c r="J3334" s="19"/>
      <c r="K3334" s="21"/>
      <c r="L3334" s="22"/>
      <c r="M3334" s="19"/>
      <c r="N3334" s="20"/>
      <c r="O3334" s="19"/>
      <c r="P3334" s="19"/>
      <c r="Q3334" s="19"/>
      <c r="R3334" s="19"/>
      <c r="S3334" s="19"/>
      <c r="T3334" s="19"/>
      <c r="U3334" s="19"/>
      <c r="V3334" s="19"/>
      <c r="W3334" s="19"/>
      <c r="X3334" s="19"/>
      <c r="Y3334" s="19"/>
      <c r="Z3334" s="19"/>
      <c r="AA3334" s="19"/>
      <c r="AB3334" s="19"/>
      <c r="AC3334" s="19"/>
      <c r="AD3334" s="19"/>
      <c r="AE3334" s="19"/>
      <c r="AF3334" s="19"/>
      <c r="AG3334" s="19"/>
      <c r="AH3334" s="19"/>
      <c r="AI3334" s="19"/>
      <c r="AJ3334" s="19"/>
      <c r="AK3334" s="19"/>
      <c r="AL3334" s="19"/>
      <c r="AM3334" s="19"/>
      <c r="AN3334" s="19"/>
      <c r="AO3334" s="19"/>
      <c r="AP3334" s="19"/>
      <c r="AQ3334" s="19"/>
      <c r="AR3334" s="19"/>
      <c r="AS3334" s="19"/>
    </row>
    <row r="3335" spans="1:45" x14ac:dyDescent="0.3">
      <c r="A3335" s="410" t="s">
        <v>5053</v>
      </c>
      <c r="B3335" s="17"/>
      <c r="C3335" s="19"/>
      <c r="D3335" s="19"/>
      <c r="E3335" s="18"/>
      <c r="F3335" s="19"/>
      <c r="G3335" s="31"/>
      <c r="H3335" s="31"/>
      <c r="I3335" s="19"/>
      <c r="J3335" s="19"/>
      <c r="K3335" s="21"/>
      <c r="L3335" s="22"/>
      <c r="M3335" s="19"/>
      <c r="N3335" s="20"/>
      <c r="O3335" s="19"/>
      <c r="P3335" s="19"/>
      <c r="Q3335" s="19"/>
      <c r="R3335" s="19"/>
      <c r="S3335" s="19"/>
      <c r="T3335" s="19"/>
      <c r="U3335" s="19"/>
      <c r="V3335" s="19"/>
      <c r="W3335" s="19"/>
      <c r="X3335" s="19"/>
      <c r="Y3335" s="19"/>
      <c r="Z3335" s="19"/>
      <c r="AA3335" s="19"/>
      <c r="AB3335" s="19"/>
      <c r="AC3335" s="19"/>
      <c r="AD3335" s="19"/>
      <c r="AE3335" s="19"/>
      <c r="AF3335" s="19"/>
      <c r="AG3335" s="19"/>
      <c r="AH3335" s="19"/>
      <c r="AI3335" s="19"/>
      <c r="AJ3335" s="19"/>
      <c r="AK3335" s="19"/>
      <c r="AL3335" s="19"/>
      <c r="AM3335" s="19"/>
      <c r="AN3335" s="19"/>
      <c r="AO3335" s="19"/>
      <c r="AP3335" s="19"/>
      <c r="AQ3335" s="19"/>
      <c r="AR3335" s="19"/>
      <c r="AS3335" s="19"/>
    </row>
    <row r="3336" spans="1:45" x14ac:dyDescent="0.3">
      <c r="A3336" s="410" t="s">
        <v>5054</v>
      </c>
      <c r="B3336" s="17"/>
      <c r="C3336" s="19"/>
      <c r="D3336" s="19"/>
      <c r="E3336" s="18"/>
      <c r="F3336" s="19"/>
      <c r="G3336" s="31"/>
      <c r="H3336" s="31"/>
      <c r="I3336" s="19"/>
      <c r="J3336" s="19"/>
      <c r="K3336" s="21"/>
      <c r="L3336" s="22"/>
      <c r="M3336" s="19"/>
      <c r="N3336" s="20"/>
      <c r="O3336" s="19"/>
      <c r="P3336" s="19"/>
      <c r="Q3336" s="19"/>
      <c r="R3336" s="19"/>
      <c r="S3336" s="19"/>
      <c r="T3336" s="19"/>
      <c r="U3336" s="19"/>
      <c r="V3336" s="19"/>
      <c r="W3336" s="19"/>
      <c r="X3336" s="19"/>
      <c r="Y3336" s="19"/>
      <c r="Z3336" s="19"/>
      <c r="AA3336" s="19"/>
      <c r="AB3336" s="19"/>
      <c r="AC3336" s="19"/>
      <c r="AD3336" s="19"/>
      <c r="AE3336" s="19"/>
      <c r="AF3336" s="19"/>
      <c r="AG3336" s="19"/>
      <c r="AH3336" s="19"/>
      <c r="AI3336" s="19"/>
      <c r="AJ3336" s="19"/>
      <c r="AK3336" s="19"/>
      <c r="AL3336" s="19"/>
      <c r="AM3336" s="19"/>
      <c r="AN3336" s="19"/>
      <c r="AO3336" s="19"/>
      <c r="AP3336" s="19"/>
      <c r="AQ3336" s="19"/>
      <c r="AR3336" s="19"/>
      <c r="AS3336" s="19"/>
    </row>
    <row r="3337" spans="1:45" x14ac:dyDescent="0.3">
      <c r="A3337" s="410" t="s">
        <v>5055</v>
      </c>
      <c r="B3337" s="17"/>
      <c r="C3337" s="19"/>
      <c r="D3337" s="19"/>
      <c r="E3337" s="18"/>
      <c r="F3337" s="19"/>
      <c r="G3337" s="31"/>
      <c r="H3337" s="31"/>
      <c r="I3337" s="19"/>
      <c r="J3337" s="19"/>
      <c r="K3337" s="21"/>
      <c r="L3337" s="22"/>
      <c r="M3337" s="19"/>
      <c r="N3337" s="20"/>
      <c r="O3337" s="19"/>
      <c r="P3337" s="19"/>
      <c r="Q3337" s="19"/>
      <c r="R3337" s="19"/>
      <c r="S3337" s="19"/>
      <c r="T3337" s="19"/>
      <c r="U3337" s="19"/>
      <c r="V3337" s="19"/>
      <c r="W3337" s="19"/>
      <c r="X3337" s="19"/>
      <c r="Y3337" s="19"/>
      <c r="Z3337" s="19"/>
      <c r="AA3337" s="19"/>
      <c r="AB3337" s="19"/>
      <c r="AC3337" s="19"/>
      <c r="AD3337" s="19"/>
      <c r="AE3337" s="19"/>
      <c r="AF3337" s="19"/>
      <c r="AG3337" s="19"/>
      <c r="AH3337" s="19"/>
      <c r="AI3337" s="19"/>
      <c r="AJ3337" s="19"/>
      <c r="AK3337" s="19"/>
      <c r="AL3337" s="19"/>
      <c r="AM3337" s="19"/>
      <c r="AN3337" s="19"/>
      <c r="AO3337" s="19"/>
      <c r="AP3337" s="19"/>
      <c r="AQ3337" s="19"/>
      <c r="AR3337" s="19"/>
      <c r="AS3337" s="19"/>
    </row>
    <row r="3338" spans="1:45" x14ac:dyDescent="0.3">
      <c r="A3338" s="410" t="s">
        <v>5056</v>
      </c>
      <c r="B3338" s="17"/>
      <c r="C3338" s="19"/>
      <c r="D3338" s="19"/>
      <c r="E3338" s="18"/>
      <c r="F3338" s="19"/>
      <c r="G3338" s="31"/>
      <c r="H3338" s="31"/>
      <c r="I3338" s="19"/>
      <c r="J3338" s="19"/>
      <c r="K3338" s="21"/>
      <c r="L3338" s="22"/>
      <c r="M3338" s="19"/>
      <c r="N3338" s="20"/>
      <c r="O3338" s="19"/>
      <c r="P3338" s="19"/>
      <c r="Q3338" s="19"/>
      <c r="R3338" s="19"/>
      <c r="S3338" s="19"/>
      <c r="T3338" s="19"/>
      <c r="U3338" s="19"/>
      <c r="V3338" s="19"/>
      <c r="W3338" s="19"/>
      <c r="X3338" s="19"/>
      <c r="Y3338" s="19"/>
      <c r="Z3338" s="19"/>
      <c r="AA3338" s="19"/>
      <c r="AB3338" s="19"/>
      <c r="AC3338" s="19"/>
      <c r="AD3338" s="19"/>
      <c r="AE3338" s="19"/>
      <c r="AF3338" s="19"/>
      <c r="AG3338" s="19"/>
      <c r="AH3338" s="19"/>
      <c r="AI3338" s="19"/>
      <c r="AJ3338" s="19"/>
      <c r="AK3338" s="19"/>
      <c r="AL3338" s="19"/>
      <c r="AM3338" s="19"/>
      <c r="AN3338" s="19"/>
      <c r="AO3338" s="19"/>
      <c r="AP3338" s="19"/>
      <c r="AQ3338" s="19"/>
      <c r="AR3338" s="19"/>
      <c r="AS3338" s="19"/>
    </row>
    <row r="3339" spans="1:45" x14ac:dyDescent="0.3">
      <c r="A3339" s="410" t="s">
        <v>5057</v>
      </c>
      <c r="B3339" s="17"/>
      <c r="C3339" s="19"/>
      <c r="D3339" s="19"/>
      <c r="E3339" s="18"/>
      <c r="F3339" s="19"/>
      <c r="G3339" s="31"/>
      <c r="H3339" s="31"/>
      <c r="I3339" s="19"/>
      <c r="J3339" s="19"/>
      <c r="K3339" s="21"/>
      <c r="L3339" s="22"/>
      <c r="M3339" s="19"/>
      <c r="N3339" s="20"/>
      <c r="O3339" s="19"/>
      <c r="P3339" s="19"/>
      <c r="Q3339" s="19"/>
      <c r="R3339" s="19"/>
      <c r="S3339" s="19"/>
      <c r="T3339" s="19"/>
      <c r="U3339" s="19"/>
      <c r="V3339" s="19"/>
      <c r="W3339" s="19"/>
      <c r="X3339" s="19"/>
      <c r="Y3339" s="19"/>
      <c r="Z3339" s="19"/>
      <c r="AA3339" s="19"/>
      <c r="AB3339" s="19"/>
      <c r="AC3339" s="19"/>
      <c r="AD3339" s="19"/>
      <c r="AE3339" s="19"/>
      <c r="AF3339" s="19"/>
      <c r="AG3339" s="19"/>
      <c r="AH3339" s="19"/>
      <c r="AI3339" s="19"/>
      <c r="AJ3339" s="19"/>
      <c r="AK3339" s="19"/>
      <c r="AL3339" s="19"/>
      <c r="AM3339" s="19"/>
      <c r="AN3339" s="19"/>
      <c r="AO3339" s="19"/>
      <c r="AP3339" s="19"/>
      <c r="AQ3339" s="19"/>
      <c r="AR3339" s="19"/>
      <c r="AS3339" s="19"/>
    </row>
    <row r="3340" spans="1:45" x14ac:dyDescent="0.3">
      <c r="A3340" s="410" t="s">
        <v>5058</v>
      </c>
      <c r="B3340" s="17"/>
      <c r="C3340" s="19"/>
      <c r="D3340" s="19"/>
      <c r="E3340" s="18"/>
      <c r="F3340" s="19"/>
      <c r="G3340" s="31"/>
      <c r="H3340" s="31"/>
      <c r="I3340" s="19"/>
      <c r="J3340" s="19"/>
      <c r="K3340" s="21"/>
      <c r="L3340" s="22"/>
      <c r="M3340" s="19"/>
      <c r="N3340" s="20"/>
      <c r="O3340" s="19"/>
      <c r="P3340" s="19"/>
      <c r="Q3340" s="19"/>
      <c r="R3340" s="19"/>
      <c r="S3340" s="19"/>
      <c r="T3340" s="19"/>
      <c r="U3340" s="19"/>
      <c r="V3340" s="19"/>
      <c r="W3340" s="19"/>
      <c r="X3340" s="19"/>
      <c r="Y3340" s="19"/>
      <c r="Z3340" s="19"/>
      <c r="AA3340" s="19"/>
      <c r="AB3340" s="19"/>
      <c r="AC3340" s="19"/>
      <c r="AD3340" s="19"/>
      <c r="AE3340" s="19"/>
      <c r="AF3340" s="19"/>
      <c r="AG3340" s="19"/>
      <c r="AH3340" s="19"/>
      <c r="AI3340" s="19"/>
      <c r="AJ3340" s="19"/>
      <c r="AK3340" s="19"/>
      <c r="AL3340" s="19"/>
      <c r="AM3340" s="19"/>
      <c r="AN3340" s="19"/>
      <c r="AO3340" s="19"/>
      <c r="AP3340" s="19"/>
      <c r="AQ3340" s="19"/>
      <c r="AR3340" s="19"/>
      <c r="AS3340" s="19"/>
    </row>
    <row r="3341" spans="1:45" x14ac:dyDescent="0.3">
      <c r="A3341" s="410" t="s">
        <v>5059</v>
      </c>
      <c r="B3341" s="17"/>
      <c r="C3341" s="19"/>
      <c r="D3341" s="19"/>
      <c r="E3341" s="18"/>
      <c r="F3341" s="19"/>
      <c r="G3341" s="31"/>
      <c r="H3341" s="31"/>
      <c r="I3341" s="19"/>
      <c r="J3341" s="19"/>
      <c r="K3341" s="21"/>
      <c r="L3341" s="22"/>
      <c r="M3341" s="19"/>
      <c r="N3341" s="20"/>
      <c r="O3341" s="19"/>
      <c r="P3341" s="19"/>
      <c r="Q3341" s="19"/>
      <c r="R3341" s="19"/>
      <c r="S3341" s="19"/>
      <c r="T3341" s="19"/>
      <c r="U3341" s="19"/>
      <c r="V3341" s="19"/>
      <c r="W3341" s="19"/>
      <c r="X3341" s="19"/>
      <c r="Y3341" s="19"/>
      <c r="Z3341" s="19"/>
      <c r="AA3341" s="19"/>
      <c r="AB3341" s="19"/>
      <c r="AC3341" s="19"/>
      <c r="AD3341" s="19"/>
      <c r="AE3341" s="19"/>
      <c r="AF3341" s="19"/>
      <c r="AG3341" s="19"/>
      <c r="AH3341" s="19"/>
      <c r="AI3341" s="19"/>
      <c r="AJ3341" s="19"/>
      <c r="AK3341" s="19"/>
      <c r="AL3341" s="19"/>
      <c r="AM3341" s="19"/>
      <c r="AN3341" s="19"/>
      <c r="AO3341" s="19"/>
      <c r="AP3341" s="19"/>
      <c r="AQ3341" s="19"/>
      <c r="AR3341" s="19"/>
      <c r="AS3341" s="19"/>
    </row>
    <row r="3342" spans="1:45" x14ac:dyDescent="0.3">
      <c r="A3342" s="410" t="s">
        <v>5060</v>
      </c>
      <c r="B3342" s="17"/>
      <c r="C3342" s="19"/>
      <c r="D3342" s="19"/>
      <c r="E3342" s="18"/>
      <c r="F3342" s="19"/>
      <c r="G3342" s="31"/>
      <c r="H3342" s="31"/>
      <c r="I3342" s="19"/>
      <c r="J3342" s="19"/>
      <c r="K3342" s="21"/>
      <c r="L3342" s="22"/>
      <c r="M3342" s="19"/>
      <c r="N3342" s="20"/>
      <c r="O3342" s="19"/>
      <c r="P3342" s="19"/>
      <c r="Q3342" s="19"/>
      <c r="R3342" s="19"/>
      <c r="S3342" s="19"/>
      <c r="T3342" s="19"/>
      <c r="U3342" s="19"/>
      <c r="V3342" s="19"/>
      <c r="W3342" s="19"/>
      <c r="X3342" s="19"/>
      <c r="Y3342" s="19"/>
      <c r="Z3342" s="19"/>
      <c r="AA3342" s="19"/>
      <c r="AB3342" s="19"/>
      <c r="AC3342" s="19"/>
      <c r="AD3342" s="19"/>
      <c r="AE3342" s="19"/>
      <c r="AF3342" s="19"/>
      <c r="AG3342" s="19"/>
      <c r="AH3342" s="19"/>
      <c r="AI3342" s="19"/>
      <c r="AJ3342" s="19"/>
      <c r="AK3342" s="19"/>
      <c r="AL3342" s="19"/>
      <c r="AM3342" s="19"/>
      <c r="AN3342" s="19"/>
      <c r="AO3342" s="19"/>
      <c r="AP3342" s="19"/>
      <c r="AQ3342" s="19"/>
      <c r="AR3342" s="19"/>
      <c r="AS3342" s="19"/>
    </row>
    <row r="3343" spans="1:45" x14ac:dyDescent="0.3">
      <c r="A3343" s="410" t="s">
        <v>5061</v>
      </c>
      <c r="B3343" s="17"/>
      <c r="C3343" s="19"/>
      <c r="D3343" s="19"/>
      <c r="E3343" s="18"/>
      <c r="F3343" s="19"/>
      <c r="G3343" s="31"/>
      <c r="H3343" s="31"/>
      <c r="I3343" s="19"/>
      <c r="J3343" s="19"/>
      <c r="K3343" s="21"/>
      <c r="L3343" s="22"/>
      <c r="M3343" s="19"/>
      <c r="N3343" s="20"/>
      <c r="O3343" s="19"/>
      <c r="P3343" s="19"/>
      <c r="Q3343" s="19"/>
      <c r="R3343" s="19"/>
      <c r="S3343" s="19"/>
      <c r="T3343" s="19"/>
      <c r="U3343" s="19"/>
      <c r="V3343" s="19"/>
      <c r="W3343" s="19"/>
      <c r="X3343" s="19"/>
      <c r="Y3343" s="19"/>
      <c r="Z3343" s="19"/>
      <c r="AA3343" s="19"/>
      <c r="AB3343" s="19"/>
      <c r="AC3343" s="19"/>
      <c r="AD3343" s="19"/>
      <c r="AE3343" s="19"/>
      <c r="AF3343" s="19"/>
      <c r="AG3343" s="19"/>
      <c r="AH3343" s="19"/>
      <c r="AI3343" s="19"/>
      <c r="AJ3343" s="19"/>
      <c r="AK3343" s="19"/>
      <c r="AL3343" s="19"/>
      <c r="AM3343" s="19"/>
      <c r="AN3343" s="19"/>
      <c r="AO3343" s="19"/>
      <c r="AP3343" s="19"/>
      <c r="AQ3343" s="19"/>
      <c r="AR3343" s="19"/>
      <c r="AS3343" s="19"/>
    </row>
    <row r="3344" spans="1:45" x14ac:dyDescent="0.3">
      <c r="A3344" s="410" t="s">
        <v>5062</v>
      </c>
      <c r="B3344" s="17"/>
      <c r="C3344" s="19"/>
      <c r="D3344" s="19"/>
      <c r="E3344" s="18"/>
      <c r="F3344" s="19"/>
      <c r="G3344" s="31"/>
      <c r="H3344" s="31"/>
      <c r="I3344" s="19"/>
      <c r="J3344" s="19"/>
      <c r="K3344" s="21"/>
      <c r="L3344" s="22"/>
      <c r="M3344" s="19"/>
      <c r="N3344" s="20"/>
      <c r="O3344" s="19"/>
      <c r="P3344" s="19"/>
      <c r="Q3344" s="19"/>
      <c r="R3344" s="19"/>
      <c r="S3344" s="19"/>
      <c r="T3344" s="19"/>
      <c r="U3344" s="19"/>
      <c r="V3344" s="19"/>
      <c r="W3344" s="19"/>
      <c r="X3344" s="19"/>
      <c r="Y3344" s="19"/>
      <c r="Z3344" s="19"/>
      <c r="AA3344" s="19"/>
      <c r="AB3344" s="19"/>
      <c r="AC3344" s="19"/>
      <c r="AD3344" s="19"/>
      <c r="AE3344" s="19"/>
      <c r="AF3344" s="19"/>
      <c r="AG3344" s="19"/>
      <c r="AH3344" s="19"/>
      <c r="AI3344" s="19"/>
      <c r="AJ3344" s="19"/>
      <c r="AK3344" s="19"/>
      <c r="AL3344" s="19"/>
      <c r="AM3344" s="19"/>
      <c r="AN3344" s="19"/>
      <c r="AO3344" s="19"/>
      <c r="AP3344" s="19"/>
      <c r="AQ3344" s="19"/>
      <c r="AR3344" s="19"/>
      <c r="AS3344" s="19"/>
    </row>
    <row r="3345" spans="1:45" x14ac:dyDescent="0.3">
      <c r="A3345" s="410" t="s">
        <v>5063</v>
      </c>
      <c r="B3345" s="17"/>
      <c r="C3345" s="19"/>
      <c r="D3345" s="19"/>
      <c r="E3345" s="18"/>
      <c r="F3345" s="19"/>
      <c r="G3345" s="31"/>
      <c r="H3345" s="31"/>
      <c r="I3345" s="19"/>
      <c r="J3345" s="19"/>
      <c r="K3345" s="21"/>
      <c r="L3345" s="22"/>
      <c r="M3345" s="19"/>
      <c r="N3345" s="20"/>
      <c r="O3345" s="19"/>
      <c r="P3345" s="19"/>
      <c r="Q3345" s="19"/>
      <c r="R3345" s="19"/>
      <c r="S3345" s="19"/>
      <c r="T3345" s="19"/>
      <c r="U3345" s="19"/>
      <c r="V3345" s="19"/>
      <c r="W3345" s="19"/>
      <c r="X3345" s="19"/>
      <c r="Y3345" s="19"/>
      <c r="Z3345" s="19"/>
      <c r="AA3345" s="19"/>
      <c r="AB3345" s="19"/>
      <c r="AC3345" s="19"/>
      <c r="AD3345" s="19"/>
      <c r="AE3345" s="19"/>
      <c r="AF3345" s="19"/>
      <c r="AG3345" s="19"/>
      <c r="AH3345" s="19"/>
      <c r="AI3345" s="19"/>
      <c r="AJ3345" s="19"/>
      <c r="AK3345" s="19"/>
      <c r="AL3345" s="19"/>
      <c r="AM3345" s="19"/>
      <c r="AN3345" s="19"/>
      <c r="AO3345" s="19"/>
      <c r="AP3345" s="19"/>
      <c r="AQ3345" s="19"/>
      <c r="AR3345" s="19"/>
      <c r="AS3345" s="19"/>
    </row>
    <row r="3346" spans="1:45" x14ac:dyDescent="0.3">
      <c r="A3346" s="410" t="s">
        <v>5064</v>
      </c>
      <c r="B3346" s="17"/>
      <c r="C3346" s="19"/>
      <c r="D3346" s="19"/>
      <c r="E3346" s="18"/>
      <c r="F3346" s="19"/>
      <c r="G3346" s="31"/>
      <c r="H3346" s="31"/>
      <c r="I3346" s="19"/>
      <c r="J3346" s="19"/>
      <c r="K3346" s="21"/>
      <c r="L3346" s="22"/>
      <c r="M3346" s="19"/>
      <c r="N3346" s="20"/>
      <c r="O3346" s="19"/>
      <c r="P3346" s="19"/>
      <c r="Q3346" s="19"/>
      <c r="R3346" s="19"/>
      <c r="S3346" s="19"/>
      <c r="T3346" s="19"/>
      <c r="U3346" s="19"/>
      <c r="V3346" s="19"/>
      <c r="W3346" s="19"/>
      <c r="X3346" s="19"/>
      <c r="Y3346" s="19"/>
      <c r="Z3346" s="19"/>
      <c r="AA3346" s="19"/>
      <c r="AB3346" s="19"/>
      <c r="AC3346" s="19"/>
      <c r="AD3346" s="19"/>
      <c r="AE3346" s="19"/>
      <c r="AF3346" s="19"/>
      <c r="AG3346" s="19"/>
      <c r="AH3346" s="19"/>
      <c r="AI3346" s="19"/>
      <c r="AJ3346" s="19"/>
      <c r="AK3346" s="19"/>
      <c r="AL3346" s="19"/>
      <c r="AM3346" s="19"/>
      <c r="AN3346" s="19"/>
      <c r="AO3346" s="19"/>
      <c r="AP3346" s="19"/>
      <c r="AQ3346" s="19"/>
      <c r="AR3346" s="19"/>
      <c r="AS3346" s="19"/>
    </row>
    <row r="3347" spans="1:45" x14ac:dyDescent="0.3">
      <c r="A3347" s="410" t="s">
        <v>5065</v>
      </c>
      <c r="B3347" s="17"/>
      <c r="C3347" s="19"/>
      <c r="D3347" s="19"/>
      <c r="E3347" s="18"/>
      <c r="F3347" s="19"/>
      <c r="G3347" s="31"/>
      <c r="H3347" s="31"/>
      <c r="I3347" s="19"/>
      <c r="J3347" s="19"/>
      <c r="K3347" s="21"/>
      <c r="L3347" s="22"/>
      <c r="M3347" s="19"/>
      <c r="N3347" s="20"/>
      <c r="O3347" s="19"/>
      <c r="P3347" s="19"/>
      <c r="Q3347" s="19"/>
      <c r="R3347" s="19"/>
      <c r="S3347" s="19"/>
      <c r="T3347" s="19"/>
      <c r="U3347" s="19"/>
      <c r="V3347" s="19"/>
      <c r="W3347" s="19"/>
      <c r="X3347" s="19"/>
      <c r="Y3347" s="19"/>
      <c r="Z3347" s="19"/>
      <c r="AA3347" s="19"/>
      <c r="AB3347" s="19"/>
      <c r="AC3347" s="19"/>
      <c r="AD3347" s="19"/>
      <c r="AE3347" s="19"/>
      <c r="AF3347" s="19"/>
      <c r="AG3347" s="19"/>
      <c r="AH3347" s="19"/>
      <c r="AI3347" s="19"/>
      <c r="AJ3347" s="19"/>
      <c r="AK3347" s="19"/>
      <c r="AL3347" s="19"/>
      <c r="AM3347" s="19"/>
      <c r="AN3347" s="19"/>
      <c r="AO3347" s="19"/>
      <c r="AP3347" s="19"/>
      <c r="AQ3347" s="19"/>
      <c r="AR3347" s="19"/>
      <c r="AS3347" s="19"/>
    </row>
    <row r="3348" spans="1:45" x14ac:dyDescent="0.3">
      <c r="A3348" s="410" t="s">
        <v>5066</v>
      </c>
      <c r="B3348" s="17"/>
      <c r="C3348" s="19"/>
      <c r="D3348" s="19"/>
      <c r="E3348" s="18"/>
      <c r="F3348" s="19"/>
      <c r="G3348" s="31"/>
      <c r="H3348" s="31"/>
      <c r="I3348" s="19"/>
      <c r="J3348" s="19"/>
      <c r="K3348" s="21"/>
      <c r="L3348" s="22"/>
      <c r="M3348" s="19"/>
      <c r="N3348" s="20"/>
      <c r="O3348" s="19"/>
      <c r="P3348" s="19"/>
      <c r="Q3348" s="19"/>
      <c r="R3348" s="19"/>
      <c r="S3348" s="19"/>
      <c r="T3348" s="19"/>
      <c r="U3348" s="19"/>
      <c r="V3348" s="19"/>
      <c r="W3348" s="19"/>
      <c r="X3348" s="19"/>
      <c r="Y3348" s="19"/>
      <c r="Z3348" s="19"/>
      <c r="AA3348" s="19"/>
      <c r="AB3348" s="19"/>
      <c r="AC3348" s="19"/>
      <c r="AD3348" s="19"/>
      <c r="AE3348" s="19"/>
      <c r="AF3348" s="19"/>
      <c r="AG3348" s="19"/>
      <c r="AH3348" s="19"/>
      <c r="AI3348" s="19"/>
      <c r="AJ3348" s="19"/>
      <c r="AK3348" s="19"/>
      <c r="AL3348" s="19"/>
      <c r="AM3348" s="19"/>
      <c r="AN3348" s="19"/>
      <c r="AO3348" s="19"/>
      <c r="AP3348" s="19"/>
      <c r="AQ3348" s="19"/>
      <c r="AR3348" s="19"/>
      <c r="AS3348" s="19"/>
    </row>
    <row r="3349" spans="1:45" x14ac:dyDescent="0.3">
      <c r="A3349" s="410" t="s">
        <v>5067</v>
      </c>
      <c r="B3349" s="17"/>
      <c r="C3349" s="19"/>
      <c r="D3349" s="19"/>
      <c r="E3349" s="18"/>
      <c r="F3349" s="19"/>
      <c r="G3349" s="31"/>
      <c r="H3349" s="31"/>
      <c r="I3349" s="19"/>
      <c r="J3349" s="19"/>
      <c r="K3349" s="21"/>
      <c r="L3349" s="22"/>
      <c r="M3349" s="19"/>
      <c r="N3349" s="20"/>
      <c r="O3349" s="19"/>
      <c r="P3349" s="19"/>
      <c r="Q3349" s="19"/>
      <c r="R3349" s="19"/>
      <c r="S3349" s="19"/>
      <c r="T3349" s="19"/>
      <c r="U3349" s="19"/>
      <c r="V3349" s="19"/>
      <c r="W3349" s="19"/>
      <c r="X3349" s="19"/>
      <c r="Y3349" s="19"/>
      <c r="Z3349" s="19"/>
      <c r="AA3349" s="19"/>
      <c r="AB3349" s="19"/>
      <c r="AC3349" s="19"/>
      <c r="AD3349" s="19"/>
      <c r="AE3349" s="19"/>
      <c r="AF3349" s="19"/>
      <c r="AG3349" s="19"/>
      <c r="AH3349" s="19"/>
      <c r="AI3349" s="19"/>
      <c r="AJ3349" s="19"/>
      <c r="AK3349" s="19"/>
      <c r="AL3349" s="19"/>
      <c r="AM3349" s="19"/>
      <c r="AN3349" s="19"/>
      <c r="AO3349" s="19"/>
      <c r="AP3349" s="19"/>
      <c r="AQ3349" s="19"/>
      <c r="AR3349" s="19"/>
      <c r="AS3349" s="19"/>
    </row>
    <row r="3350" spans="1:45" x14ac:dyDescent="0.3">
      <c r="A3350" s="410" t="s">
        <v>5068</v>
      </c>
      <c r="B3350" s="17"/>
      <c r="C3350" s="19"/>
      <c r="D3350" s="19"/>
      <c r="E3350" s="18"/>
      <c r="F3350" s="19"/>
      <c r="G3350" s="31"/>
      <c r="H3350" s="31"/>
      <c r="I3350" s="19"/>
      <c r="J3350" s="19"/>
      <c r="K3350" s="21"/>
      <c r="L3350" s="22"/>
      <c r="M3350" s="19"/>
      <c r="N3350" s="20"/>
      <c r="O3350" s="19"/>
      <c r="P3350" s="19"/>
      <c r="Q3350" s="19"/>
      <c r="R3350" s="19"/>
      <c r="S3350" s="19"/>
      <c r="T3350" s="19"/>
      <c r="U3350" s="19"/>
      <c r="V3350" s="19"/>
      <c r="W3350" s="19"/>
      <c r="X3350" s="19"/>
      <c r="Y3350" s="19"/>
      <c r="Z3350" s="19"/>
      <c r="AA3350" s="19"/>
      <c r="AB3350" s="19"/>
      <c r="AC3350" s="19"/>
      <c r="AD3350" s="19"/>
      <c r="AE3350" s="19"/>
      <c r="AF3350" s="19"/>
      <c r="AG3350" s="19"/>
      <c r="AH3350" s="19"/>
      <c r="AI3350" s="19"/>
      <c r="AJ3350" s="19"/>
      <c r="AK3350" s="19"/>
      <c r="AL3350" s="19"/>
      <c r="AM3350" s="19"/>
      <c r="AN3350" s="19"/>
      <c r="AO3350" s="19"/>
      <c r="AP3350" s="19"/>
      <c r="AQ3350" s="19"/>
      <c r="AR3350" s="19"/>
      <c r="AS3350" s="19"/>
    </row>
    <row r="3351" spans="1:45" x14ac:dyDescent="0.3">
      <c r="A3351" s="410" t="s">
        <v>5069</v>
      </c>
      <c r="B3351" s="17"/>
      <c r="C3351" s="19"/>
      <c r="D3351" s="19"/>
      <c r="E3351" s="18"/>
      <c r="F3351" s="19"/>
      <c r="G3351" s="31"/>
      <c r="H3351" s="31"/>
      <c r="I3351" s="19"/>
      <c r="J3351" s="19"/>
      <c r="K3351" s="21"/>
      <c r="L3351" s="22"/>
      <c r="M3351" s="19"/>
      <c r="N3351" s="20"/>
      <c r="O3351" s="19"/>
      <c r="P3351" s="19"/>
      <c r="Q3351" s="19"/>
      <c r="R3351" s="19"/>
      <c r="S3351" s="19"/>
      <c r="T3351" s="19"/>
      <c r="U3351" s="19"/>
      <c r="V3351" s="19"/>
      <c r="W3351" s="19"/>
      <c r="X3351" s="19"/>
      <c r="Y3351" s="19"/>
      <c r="Z3351" s="19"/>
      <c r="AA3351" s="19"/>
      <c r="AB3351" s="19"/>
      <c r="AC3351" s="19"/>
      <c r="AD3351" s="19"/>
      <c r="AE3351" s="19"/>
      <c r="AF3351" s="19"/>
      <c r="AG3351" s="19"/>
      <c r="AH3351" s="19"/>
      <c r="AI3351" s="19"/>
      <c r="AJ3351" s="19"/>
      <c r="AK3351" s="19"/>
      <c r="AL3351" s="19"/>
      <c r="AM3351" s="19"/>
      <c r="AN3351" s="19"/>
      <c r="AO3351" s="19"/>
      <c r="AP3351" s="19"/>
      <c r="AQ3351" s="19"/>
      <c r="AR3351" s="19"/>
      <c r="AS3351" s="19"/>
    </row>
    <row r="3352" spans="1:45" x14ac:dyDescent="0.3">
      <c r="A3352" s="410" t="s">
        <v>5070</v>
      </c>
      <c r="B3352" s="17"/>
      <c r="C3352" s="19"/>
      <c r="D3352" s="19"/>
      <c r="E3352" s="18"/>
      <c r="F3352" s="19"/>
      <c r="G3352" s="31"/>
      <c r="H3352" s="31"/>
      <c r="I3352" s="19"/>
      <c r="J3352" s="19"/>
      <c r="K3352" s="21"/>
      <c r="L3352" s="22"/>
      <c r="M3352" s="19"/>
      <c r="N3352" s="20"/>
      <c r="O3352" s="19"/>
      <c r="P3352" s="19"/>
      <c r="Q3352" s="19"/>
      <c r="R3352" s="19"/>
      <c r="S3352" s="19"/>
      <c r="T3352" s="19"/>
      <c r="U3352" s="19"/>
      <c r="V3352" s="19"/>
      <c r="W3352" s="19"/>
      <c r="X3352" s="19"/>
      <c r="Y3352" s="19"/>
      <c r="Z3352" s="19"/>
      <c r="AA3352" s="19"/>
      <c r="AB3352" s="19"/>
      <c r="AC3352" s="19"/>
      <c r="AD3352" s="19"/>
      <c r="AE3352" s="19"/>
      <c r="AF3352" s="19"/>
      <c r="AG3352" s="19"/>
      <c r="AH3352" s="19"/>
      <c r="AI3352" s="19"/>
      <c r="AJ3352" s="19"/>
      <c r="AK3352" s="19"/>
      <c r="AL3352" s="19"/>
      <c r="AM3352" s="19"/>
      <c r="AN3352" s="19"/>
      <c r="AO3352" s="19"/>
      <c r="AP3352" s="19"/>
      <c r="AQ3352" s="19"/>
      <c r="AR3352" s="19"/>
      <c r="AS3352" s="19"/>
    </row>
    <row r="3353" spans="1:45" x14ac:dyDescent="0.3">
      <c r="A3353" s="410" t="s">
        <v>5071</v>
      </c>
      <c r="B3353" s="17"/>
      <c r="C3353" s="19"/>
      <c r="D3353" s="19"/>
      <c r="E3353" s="18"/>
      <c r="F3353" s="19"/>
      <c r="G3353" s="31"/>
      <c r="H3353" s="31"/>
      <c r="I3353" s="19"/>
      <c r="J3353" s="19"/>
      <c r="K3353" s="21"/>
      <c r="L3353" s="22"/>
      <c r="M3353" s="19"/>
      <c r="N3353" s="20"/>
      <c r="O3353" s="19"/>
      <c r="P3353" s="19"/>
      <c r="Q3353" s="19"/>
      <c r="R3353" s="19"/>
      <c r="S3353" s="19"/>
      <c r="T3353" s="19"/>
      <c r="U3353" s="19"/>
      <c r="V3353" s="19"/>
      <c r="W3353" s="19"/>
      <c r="X3353" s="19"/>
      <c r="Y3353" s="19"/>
      <c r="Z3353" s="19"/>
      <c r="AA3353" s="19"/>
      <c r="AB3353" s="19"/>
      <c r="AC3353" s="19"/>
      <c r="AD3353" s="19"/>
      <c r="AE3353" s="19"/>
      <c r="AF3353" s="19"/>
      <c r="AG3353" s="19"/>
      <c r="AH3353" s="19"/>
      <c r="AI3353" s="19"/>
      <c r="AJ3353" s="19"/>
      <c r="AK3353" s="19"/>
      <c r="AL3353" s="19"/>
      <c r="AM3353" s="19"/>
      <c r="AN3353" s="19"/>
      <c r="AO3353" s="19"/>
      <c r="AP3353" s="19"/>
      <c r="AQ3353" s="19"/>
      <c r="AR3353" s="19"/>
      <c r="AS3353" s="19"/>
    </row>
    <row r="3354" spans="1:45" x14ac:dyDescent="0.3">
      <c r="A3354" s="410" t="s">
        <v>5072</v>
      </c>
      <c r="B3354" s="17"/>
      <c r="C3354" s="19"/>
      <c r="D3354" s="19"/>
      <c r="E3354" s="18"/>
      <c r="F3354" s="19"/>
      <c r="G3354" s="31"/>
      <c r="H3354" s="31"/>
      <c r="I3354" s="19"/>
      <c r="J3354" s="19"/>
      <c r="K3354" s="21"/>
      <c r="L3354" s="22"/>
      <c r="M3354" s="19"/>
      <c r="N3354" s="20"/>
      <c r="O3354" s="19"/>
      <c r="P3354" s="19"/>
      <c r="Q3354" s="19"/>
      <c r="R3354" s="19"/>
      <c r="S3354" s="19"/>
      <c r="T3354" s="19"/>
      <c r="U3354" s="19"/>
      <c r="V3354" s="19"/>
      <c r="W3354" s="19"/>
      <c r="X3354" s="19"/>
      <c r="Y3354" s="19"/>
      <c r="Z3354" s="19"/>
      <c r="AA3354" s="19"/>
      <c r="AB3354" s="19"/>
      <c r="AC3354" s="19"/>
      <c r="AD3354" s="19"/>
      <c r="AE3354" s="19"/>
      <c r="AF3354" s="19"/>
      <c r="AG3354" s="19"/>
      <c r="AH3354" s="19"/>
      <c r="AI3354" s="19"/>
      <c r="AJ3354" s="19"/>
      <c r="AK3354" s="19"/>
      <c r="AL3354" s="19"/>
      <c r="AM3354" s="19"/>
      <c r="AN3354" s="19"/>
      <c r="AO3354" s="19"/>
      <c r="AP3354" s="19"/>
      <c r="AQ3354" s="19"/>
      <c r="AR3354" s="19"/>
      <c r="AS3354" s="19"/>
    </row>
    <row r="3355" spans="1:45" x14ac:dyDescent="0.3">
      <c r="A3355" s="410" t="s">
        <v>5073</v>
      </c>
      <c r="B3355" s="17"/>
      <c r="C3355" s="19"/>
      <c r="D3355" s="19"/>
      <c r="E3355" s="18"/>
      <c r="F3355" s="19"/>
      <c r="G3355" s="31"/>
      <c r="H3355" s="31"/>
      <c r="I3355" s="19"/>
      <c r="J3355" s="19"/>
      <c r="K3355" s="21"/>
      <c r="L3355" s="22"/>
      <c r="M3355" s="19"/>
      <c r="N3355" s="20"/>
      <c r="O3355" s="19"/>
      <c r="P3355" s="19"/>
      <c r="Q3355" s="19"/>
      <c r="R3355" s="19"/>
      <c r="S3355" s="19"/>
      <c r="T3355" s="19"/>
      <c r="U3355" s="19"/>
      <c r="V3355" s="19"/>
      <c r="W3355" s="19"/>
      <c r="X3355" s="19"/>
      <c r="Y3355" s="19"/>
      <c r="Z3355" s="19"/>
      <c r="AA3355" s="19"/>
      <c r="AB3355" s="19"/>
      <c r="AC3355" s="19"/>
      <c r="AD3355" s="19"/>
      <c r="AE3355" s="19"/>
      <c r="AF3355" s="19"/>
      <c r="AG3355" s="19"/>
      <c r="AH3355" s="19"/>
      <c r="AI3355" s="19"/>
      <c r="AJ3355" s="19"/>
      <c r="AK3355" s="19"/>
      <c r="AL3355" s="19"/>
      <c r="AM3355" s="19"/>
      <c r="AN3355" s="19"/>
      <c r="AO3355" s="19"/>
      <c r="AP3355" s="19"/>
      <c r="AQ3355" s="19"/>
      <c r="AR3355" s="19"/>
      <c r="AS3355" s="19"/>
    </row>
    <row r="3356" spans="1:45" x14ac:dyDescent="0.3">
      <c r="A3356" s="410" t="s">
        <v>5074</v>
      </c>
      <c r="B3356" s="17"/>
      <c r="C3356" s="19"/>
      <c r="D3356" s="19"/>
      <c r="E3356" s="18"/>
      <c r="F3356" s="19"/>
      <c r="G3356" s="31"/>
      <c r="H3356" s="31"/>
      <c r="I3356" s="19"/>
      <c r="J3356" s="19"/>
      <c r="K3356" s="21"/>
      <c r="L3356" s="22"/>
      <c r="M3356" s="19"/>
      <c r="N3356" s="20"/>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row>
    <row r="3357" spans="1:45" x14ac:dyDescent="0.3">
      <c r="A3357" s="410" t="s">
        <v>5075</v>
      </c>
      <c r="B3357" s="17"/>
      <c r="C3357" s="19"/>
      <c r="D3357" s="19"/>
      <c r="E3357" s="18"/>
      <c r="F3357" s="19"/>
      <c r="G3357" s="31"/>
      <c r="H3357" s="31"/>
      <c r="I3357" s="19"/>
      <c r="J3357" s="19"/>
      <c r="K3357" s="21"/>
      <c r="L3357" s="22"/>
      <c r="M3357" s="19"/>
      <c r="N3357" s="20"/>
      <c r="O3357" s="19"/>
      <c r="P3357" s="19"/>
      <c r="Q3357" s="19"/>
      <c r="R3357" s="19"/>
      <c r="S3357" s="19"/>
      <c r="T3357" s="19"/>
      <c r="U3357" s="19"/>
      <c r="V3357" s="19"/>
      <c r="W3357" s="19"/>
      <c r="X3357" s="19"/>
      <c r="Y3357" s="19"/>
      <c r="Z3357" s="19"/>
      <c r="AA3357" s="19"/>
      <c r="AB3357" s="19"/>
      <c r="AC3357" s="19"/>
      <c r="AD3357" s="19"/>
      <c r="AE3357" s="19"/>
      <c r="AF3357" s="19"/>
      <c r="AG3357" s="19"/>
      <c r="AH3357" s="19"/>
      <c r="AI3357" s="19"/>
      <c r="AJ3357" s="19"/>
      <c r="AK3357" s="19"/>
      <c r="AL3357" s="19"/>
      <c r="AM3357" s="19"/>
      <c r="AN3357" s="19"/>
      <c r="AO3357" s="19"/>
      <c r="AP3357" s="19"/>
      <c r="AQ3357" s="19"/>
      <c r="AR3357" s="19"/>
      <c r="AS3357" s="19"/>
    </row>
    <row r="3358" spans="1:45" x14ac:dyDescent="0.3">
      <c r="A3358" s="410" t="s">
        <v>5076</v>
      </c>
      <c r="B3358" s="17"/>
      <c r="C3358" s="19"/>
      <c r="D3358" s="19"/>
      <c r="E3358" s="18"/>
      <c r="F3358" s="19"/>
      <c r="G3358" s="31"/>
      <c r="H3358" s="31"/>
      <c r="I3358" s="19"/>
      <c r="J3358" s="19"/>
      <c r="K3358" s="21"/>
      <c r="L3358" s="22"/>
      <c r="M3358" s="19"/>
      <c r="N3358" s="20"/>
      <c r="O3358" s="19"/>
      <c r="P3358" s="19"/>
      <c r="Q3358" s="19"/>
      <c r="R3358" s="19"/>
      <c r="S3358" s="19"/>
      <c r="T3358" s="19"/>
      <c r="U3358" s="19"/>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row>
    <row r="3359" spans="1:45" x14ac:dyDescent="0.3">
      <c r="A3359" s="410" t="s">
        <v>5077</v>
      </c>
      <c r="B3359" s="17"/>
      <c r="C3359" s="19"/>
      <c r="D3359" s="19"/>
      <c r="E3359" s="18"/>
      <c r="F3359" s="19"/>
      <c r="G3359" s="31"/>
      <c r="H3359" s="31"/>
      <c r="I3359" s="19"/>
      <c r="J3359" s="19"/>
      <c r="K3359" s="21"/>
      <c r="L3359" s="22"/>
      <c r="M3359" s="19"/>
      <c r="N3359" s="20"/>
      <c r="O3359" s="19"/>
      <c r="P3359" s="19"/>
      <c r="Q3359" s="19"/>
      <c r="R3359" s="19"/>
      <c r="S3359" s="19"/>
      <c r="T3359" s="19"/>
      <c r="U3359" s="19"/>
      <c r="V3359" s="19"/>
      <c r="W3359" s="19"/>
      <c r="X3359" s="19"/>
      <c r="Y3359" s="19"/>
      <c r="Z3359" s="19"/>
      <c r="AA3359" s="19"/>
      <c r="AB3359" s="19"/>
      <c r="AC3359" s="19"/>
      <c r="AD3359" s="19"/>
      <c r="AE3359" s="19"/>
      <c r="AF3359" s="19"/>
      <c r="AG3359" s="19"/>
      <c r="AH3359" s="19"/>
      <c r="AI3359" s="19"/>
      <c r="AJ3359" s="19"/>
      <c r="AK3359" s="19"/>
      <c r="AL3359" s="19"/>
      <c r="AM3359" s="19"/>
      <c r="AN3359" s="19"/>
      <c r="AO3359" s="19"/>
      <c r="AP3359" s="19"/>
      <c r="AQ3359" s="19"/>
      <c r="AR3359" s="19"/>
      <c r="AS3359" s="19"/>
    </row>
    <row r="3360" spans="1:45" x14ac:dyDescent="0.3">
      <c r="A3360" s="410" t="s">
        <v>5078</v>
      </c>
      <c r="B3360" s="17"/>
      <c r="C3360" s="19"/>
      <c r="D3360" s="19"/>
      <c r="E3360" s="18"/>
      <c r="F3360" s="19"/>
      <c r="G3360" s="31"/>
      <c r="H3360" s="31"/>
      <c r="I3360" s="19"/>
      <c r="J3360" s="19"/>
      <c r="K3360" s="21"/>
      <c r="L3360" s="22"/>
      <c r="M3360" s="19"/>
      <c r="N3360" s="20"/>
      <c r="O3360" s="19"/>
      <c r="P3360" s="19"/>
      <c r="Q3360" s="19"/>
      <c r="R3360" s="19"/>
      <c r="S3360" s="19"/>
      <c r="T3360" s="19"/>
      <c r="U3360" s="19"/>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19"/>
    </row>
    <row r="3361" spans="1:45" x14ac:dyDescent="0.3">
      <c r="A3361" s="410" t="s">
        <v>5079</v>
      </c>
      <c r="B3361" s="17"/>
      <c r="C3361" s="19"/>
      <c r="D3361" s="19"/>
      <c r="E3361" s="18"/>
      <c r="F3361" s="19"/>
      <c r="G3361" s="31"/>
      <c r="H3361" s="31"/>
      <c r="I3361" s="19"/>
      <c r="J3361" s="19"/>
      <c r="K3361" s="21"/>
      <c r="L3361" s="22"/>
      <c r="M3361" s="19"/>
      <c r="N3361" s="20"/>
      <c r="O3361" s="19"/>
      <c r="P3361" s="19"/>
      <c r="Q3361" s="19"/>
      <c r="R3361" s="19"/>
      <c r="S3361" s="19"/>
      <c r="T3361" s="19"/>
      <c r="U3361" s="19"/>
      <c r="V3361" s="19"/>
      <c r="W3361" s="19"/>
      <c r="X3361" s="19"/>
      <c r="Y3361" s="19"/>
      <c r="Z3361" s="19"/>
      <c r="AA3361" s="19"/>
      <c r="AB3361" s="19"/>
      <c r="AC3361" s="19"/>
      <c r="AD3361" s="19"/>
      <c r="AE3361" s="19"/>
      <c r="AF3361" s="19"/>
      <c r="AG3361" s="19"/>
      <c r="AH3361" s="19"/>
      <c r="AI3361" s="19"/>
      <c r="AJ3361" s="19"/>
      <c r="AK3361" s="19"/>
      <c r="AL3361" s="19"/>
      <c r="AM3361" s="19"/>
      <c r="AN3361" s="19"/>
      <c r="AO3361" s="19"/>
      <c r="AP3361" s="19"/>
      <c r="AQ3361" s="19"/>
      <c r="AR3361" s="19"/>
      <c r="AS3361" s="19"/>
    </row>
    <row r="3362" spans="1:45" x14ac:dyDescent="0.3">
      <c r="A3362" s="410" t="s">
        <v>5080</v>
      </c>
      <c r="B3362" s="17"/>
      <c r="C3362" s="19"/>
      <c r="D3362" s="19"/>
      <c r="E3362" s="18"/>
      <c r="F3362" s="19"/>
      <c r="G3362" s="31"/>
      <c r="H3362" s="31"/>
      <c r="I3362" s="19"/>
      <c r="J3362" s="19"/>
      <c r="K3362" s="21"/>
      <c r="L3362" s="22"/>
      <c r="M3362" s="19"/>
      <c r="N3362" s="20"/>
      <c r="O3362" s="19"/>
      <c r="P3362" s="19"/>
      <c r="Q3362" s="19"/>
      <c r="R3362" s="19"/>
      <c r="S3362" s="19"/>
      <c r="T3362" s="19"/>
      <c r="U3362" s="19"/>
      <c r="V3362" s="19"/>
      <c r="W3362" s="19"/>
      <c r="X3362" s="19"/>
      <c r="Y3362" s="19"/>
      <c r="Z3362" s="19"/>
      <c r="AA3362" s="19"/>
      <c r="AB3362" s="19"/>
      <c r="AC3362" s="19"/>
      <c r="AD3362" s="19"/>
      <c r="AE3362" s="19"/>
      <c r="AF3362" s="19"/>
      <c r="AG3362" s="19"/>
      <c r="AH3362" s="19"/>
      <c r="AI3362" s="19"/>
      <c r="AJ3362" s="19"/>
      <c r="AK3362" s="19"/>
      <c r="AL3362" s="19"/>
      <c r="AM3362" s="19"/>
      <c r="AN3362" s="19"/>
      <c r="AO3362" s="19"/>
      <c r="AP3362" s="19"/>
      <c r="AQ3362" s="19"/>
      <c r="AR3362" s="19"/>
      <c r="AS3362" s="19"/>
    </row>
    <row r="3363" spans="1:45" x14ac:dyDescent="0.3">
      <c r="A3363" s="410" t="s">
        <v>5081</v>
      </c>
      <c r="B3363" s="17"/>
      <c r="C3363" s="19"/>
      <c r="D3363" s="19"/>
      <c r="E3363" s="18"/>
      <c r="F3363" s="19"/>
      <c r="G3363" s="31"/>
      <c r="H3363" s="31"/>
      <c r="I3363" s="19"/>
      <c r="J3363" s="19"/>
      <c r="K3363" s="21"/>
      <c r="L3363" s="22"/>
      <c r="M3363" s="19"/>
      <c r="N3363" s="20"/>
      <c r="O3363" s="19"/>
      <c r="P3363" s="19"/>
      <c r="Q3363" s="19"/>
      <c r="R3363" s="19"/>
      <c r="S3363" s="19"/>
      <c r="T3363" s="19"/>
      <c r="U3363" s="19"/>
      <c r="V3363" s="19"/>
      <c r="W3363" s="19"/>
      <c r="X3363" s="19"/>
      <c r="Y3363" s="19"/>
      <c r="Z3363" s="19"/>
      <c r="AA3363" s="19"/>
      <c r="AB3363" s="19"/>
      <c r="AC3363" s="19"/>
      <c r="AD3363" s="19"/>
      <c r="AE3363" s="19"/>
      <c r="AF3363" s="19"/>
      <c r="AG3363" s="19"/>
      <c r="AH3363" s="19"/>
      <c r="AI3363" s="19"/>
      <c r="AJ3363" s="19"/>
      <c r="AK3363" s="19"/>
      <c r="AL3363" s="19"/>
      <c r="AM3363" s="19"/>
      <c r="AN3363" s="19"/>
      <c r="AO3363" s="19"/>
      <c r="AP3363" s="19"/>
      <c r="AQ3363" s="19"/>
      <c r="AR3363" s="19"/>
      <c r="AS3363" s="19"/>
    </row>
    <row r="3364" spans="1:45" x14ac:dyDescent="0.3">
      <c r="A3364" s="410" t="s">
        <v>5082</v>
      </c>
      <c r="B3364" s="17"/>
      <c r="C3364" s="19"/>
      <c r="D3364" s="19"/>
      <c r="E3364" s="18"/>
      <c r="F3364" s="19"/>
      <c r="G3364" s="31"/>
      <c r="H3364" s="31"/>
      <c r="I3364" s="19"/>
      <c r="J3364" s="19"/>
      <c r="K3364" s="21"/>
      <c r="L3364" s="22"/>
      <c r="M3364" s="19"/>
      <c r="N3364" s="20"/>
      <c r="O3364" s="19"/>
      <c r="P3364" s="19"/>
      <c r="Q3364" s="19"/>
      <c r="R3364" s="19"/>
      <c r="S3364" s="19"/>
      <c r="T3364" s="19"/>
      <c r="U3364" s="19"/>
      <c r="V3364" s="19"/>
      <c r="W3364" s="19"/>
      <c r="X3364" s="19"/>
      <c r="Y3364" s="19"/>
      <c r="Z3364" s="19"/>
      <c r="AA3364" s="19"/>
      <c r="AB3364" s="19"/>
      <c r="AC3364" s="19"/>
      <c r="AD3364" s="19"/>
      <c r="AE3364" s="19"/>
      <c r="AF3364" s="19"/>
      <c r="AG3364" s="19"/>
      <c r="AH3364" s="19"/>
      <c r="AI3364" s="19"/>
      <c r="AJ3364" s="19"/>
      <c r="AK3364" s="19"/>
      <c r="AL3364" s="19"/>
      <c r="AM3364" s="19"/>
      <c r="AN3364" s="19"/>
      <c r="AO3364" s="19"/>
      <c r="AP3364" s="19"/>
      <c r="AQ3364" s="19"/>
      <c r="AR3364" s="19"/>
      <c r="AS3364" s="19"/>
    </row>
    <row r="3365" spans="1:45" x14ac:dyDescent="0.3">
      <c r="A3365" s="410" t="s">
        <v>5083</v>
      </c>
      <c r="B3365" s="17"/>
      <c r="C3365" s="19"/>
      <c r="D3365" s="19"/>
      <c r="E3365" s="18"/>
      <c r="F3365" s="19"/>
      <c r="G3365" s="31"/>
      <c r="H3365" s="31"/>
      <c r="I3365" s="19"/>
      <c r="J3365" s="19"/>
      <c r="K3365" s="21"/>
      <c r="L3365" s="22"/>
      <c r="M3365" s="19"/>
      <c r="N3365" s="20"/>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row>
    <row r="3366" spans="1:45" x14ac:dyDescent="0.3">
      <c r="A3366" s="410" t="s">
        <v>5084</v>
      </c>
      <c r="B3366" s="17"/>
      <c r="C3366" s="19"/>
      <c r="D3366" s="19"/>
      <c r="E3366" s="18"/>
      <c r="F3366" s="19"/>
      <c r="G3366" s="31"/>
      <c r="H3366" s="31"/>
      <c r="I3366" s="19"/>
      <c r="J3366" s="19"/>
      <c r="K3366" s="21"/>
      <c r="L3366" s="22"/>
      <c r="M3366" s="19"/>
      <c r="N3366" s="20"/>
      <c r="O3366" s="19"/>
      <c r="P3366" s="19"/>
      <c r="Q3366" s="19"/>
      <c r="R3366" s="19"/>
      <c r="S3366" s="19"/>
      <c r="T3366" s="19"/>
      <c r="U3366" s="19"/>
      <c r="V3366" s="19"/>
      <c r="W3366" s="19"/>
      <c r="X3366" s="19"/>
      <c r="Y3366" s="19"/>
      <c r="Z3366" s="19"/>
      <c r="AA3366" s="19"/>
      <c r="AB3366" s="19"/>
      <c r="AC3366" s="19"/>
      <c r="AD3366" s="19"/>
      <c r="AE3366" s="19"/>
      <c r="AF3366" s="19"/>
      <c r="AG3366" s="19"/>
      <c r="AH3366" s="19"/>
      <c r="AI3366" s="19"/>
      <c r="AJ3366" s="19"/>
      <c r="AK3366" s="19"/>
      <c r="AL3366" s="19"/>
      <c r="AM3366" s="19"/>
      <c r="AN3366" s="19"/>
      <c r="AO3366" s="19"/>
      <c r="AP3366" s="19"/>
      <c r="AQ3366" s="19"/>
      <c r="AR3366" s="19"/>
      <c r="AS3366" s="19"/>
    </row>
    <row r="3367" spans="1:45" x14ac:dyDescent="0.3">
      <c r="A3367" s="410" t="s">
        <v>5085</v>
      </c>
      <c r="B3367" s="17"/>
      <c r="C3367" s="19"/>
      <c r="D3367" s="19"/>
      <c r="E3367" s="18"/>
      <c r="F3367" s="19"/>
      <c r="G3367" s="31"/>
      <c r="H3367" s="31"/>
      <c r="I3367" s="19"/>
      <c r="J3367" s="19"/>
      <c r="K3367" s="21"/>
      <c r="L3367" s="22"/>
      <c r="M3367" s="19"/>
      <c r="N3367" s="20"/>
      <c r="O3367" s="19"/>
      <c r="P3367" s="19"/>
      <c r="Q3367" s="19"/>
      <c r="R3367" s="19"/>
      <c r="S3367" s="19"/>
      <c r="T3367" s="19"/>
      <c r="U3367" s="19"/>
      <c r="V3367" s="19"/>
      <c r="W3367" s="19"/>
      <c r="X3367" s="19"/>
      <c r="Y3367" s="19"/>
      <c r="Z3367" s="19"/>
      <c r="AA3367" s="19"/>
      <c r="AB3367" s="19"/>
      <c r="AC3367" s="19"/>
      <c r="AD3367" s="19"/>
      <c r="AE3367" s="19"/>
      <c r="AF3367" s="19"/>
      <c r="AG3367" s="19"/>
      <c r="AH3367" s="19"/>
      <c r="AI3367" s="19"/>
      <c r="AJ3367" s="19"/>
      <c r="AK3367" s="19"/>
      <c r="AL3367" s="19"/>
      <c r="AM3367" s="19"/>
      <c r="AN3367" s="19"/>
      <c r="AO3367" s="19"/>
      <c r="AP3367" s="19"/>
      <c r="AQ3367" s="19"/>
      <c r="AR3367" s="19"/>
      <c r="AS3367" s="19"/>
    </row>
    <row r="3368" spans="1:45" x14ac:dyDescent="0.3">
      <c r="A3368" s="410" t="s">
        <v>5086</v>
      </c>
      <c r="B3368" s="17"/>
      <c r="C3368" s="19"/>
      <c r="D3368" s="19"/>
      <c r="E3368" s="18"/>
      <c r="F3368" s="19"/>
      <c r="G3368" s="31"/>
      <c r="H3368" s="31"/>
      <c r="I3368" s="19"/>
      <c r="J3368" s="19"/>
      <c r="K3368" s="21"/>
      <c r="L3368" s="22"/>
      <c r="M3368" s="19"/>
      <c r="N3368" s="20"/>
      <c r="O3368" s="19"/>
      <c r="P3368" s="19"/>
      <c r="Q3368" s="19"/>
      <c r="R3368" s="19"/>
      <c r="S3368" s="19"/>
      <c r="T3368" s="19"/>
      <c r="U3368" s="19"/>
      <c r="V3368" s="19"/>
      <c r="W3368" s="19"/>
      <c r="X3368" s="19"/>
      <c r="Y3368" s="19"/>
      <c r="Z3368" s="19"/>
      <c r="AA3368" s="19"/>
      <c r="AB3368" s="19"/>
      <c r="AC3368" s="19"/>
      <c r="AD3368" s="19"/>
      <c r="AE3368" s="19"/>
      <c r="AF3368" s="19"/>
      <c r="AG3368" s="19"/>
      <c r="AH3368" s="19"/>
      <c r="AI3368" s="19"/>
      <c r="AJ3368" s="19"/>
      <c r="AK3368" s="19"/>
      <c r="AL3368" s="19"/>
      <c r="AM3368" s="19"/>
      <c r="AN3368" s="19"/>
      <c r="AO3368" s="19"/>
      <c r="AP3368" s="19"/>
      <c r="AQ3368" s="19"/>
      <c r="AR3368" s="19"/>
      <c r="AS3368" s="19"/>
    </row>
    <row r="3369" spans="1:45" x14ac:dyDescent="0.3">
      <c r="A3369" s="410" t="s">
        <v>5087</v>
      </c>
      <c r="B3369" s="17"/>
      <c r="C3369" s="19"/>
      <c r="D3369" s="19"/>
      <c r="E3369" s="18"/>
      <c r="F3369" s="19"/>
      <c r="G3369" s="31"/>
      <c r="H3369" s="31"/>
      <c r="I3369" s="19"/>
      <c r="J3369" s="19"/>
      <c r="K3369" s="21"/>
      <c r="L3369" s="22"/>
      <c r="M3369" s="19"/>
      <c r="N3369" s="20"/>
      <c r="O3369" s="19"/>
      <c r="P3369" s="19"/>
      <c r="Q3369" s="19"/>
      <c r="R3369" s="19"/>
      <c r="S3369" s="19"/>
      <c r="T3369" s="19"/>
      <c r="U3369" s="19"/>
      <c r="V3369" s="19"/>
      <c r="W3369" s="19"/>
      <c r="X3369" s="19"/>
      <c r="Y3369" s="19"/>
      <c r="Z3369" s="19"/>
      <c r="AA3369" s="19"/>
      <c r="AB3369" s="19"/>
      <c r="AC3369" s="19"/>
      <c r="AD3369" s="19"/>
      <c r="AE3369" s="19"/>
      <c r="AF3369" s="19"/>
      <c r="AG3369" s="19"/>
      <c r="AH3369" s="19"/>
      <c r="AI3369" s="19"/>
      <c r="AJ3369" s="19"/>
      <c r="AK3369" s="19"/>
      <c r="AL3369" s="19"/>
      <c r="AM3369" s="19"/>
      <c r="AN3369" s="19"/>
      <c r="AO3369" s="19"/>
      <c r="AP3369" s="19"/>
      <c r="AQ3369" s="19"/>
      <c r="AR3369" s="19"/>
      <c r="AS3369" s="19"/>
    </row>
    <row r="3370" spans="1:45" x14ac:dyDescent="0.3">
      <c r="A3370" s="410" t="s">
        <v>5088</v>
      </c>
      <c r="B3370" s="17"/>
      <c r="C3370" s="19"/>
      <c r="D3370" s="19"/>
      <c r="E3370" s="18"/>
      <c r="F3370" s="19"/>
      <c r="G3370" s="31"/>
      <c r="H3370" s="31"/>
      <c r="I3370" s="19"/>
      <c r="J3370" s="19"/>
      <c r="K3370" s="21"/>
      <c r="L3370" s="22"/>
      <c r="M3370" s="19"/>
      <c r="N3370" s="20"/>
      <c r="O3370" s="19"/>
      <c r="P3370" s="19"/>
      <c r="Q3370" s="19"/>
      <c r="R3370" s="19"/>
      <c r="S3370" s="19"/>
      <c r="T3370" s="19"/>
      <c r="U3370" s="19"/>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19"/>
    </row>
    <row r="3371" spans="1:45" x14ac:dyDescent="0.3">
      <c r="A3371" s="410" t="s">
        <v>5089</v>
      </c>
      <c r="B3371" s="17"/>
      <c r="C3371" s="19"/>
      <c r="D3371" s="19"/>
      <c r="E3371" s="18"/>
      <c r="F3371" s="19"/>
      <c r="G3371" s="31"/>
      <c r="H3371" s="31"/>
      <c r="I3371" s="19"/>
      <c r="J3371" s="19"/>
      <c r="K3371" s="21"/>
      <c r="L3371" s="22"/>
      <c r="M3371" s="19"/>
      <c r="N3371" s="20"/>
      <c r="O3371" s="19"/>
      <c r="P3371" s="19"/>
      <c r="Q3371" s="19"/>
      <c r="R3371" s="19"/>
      <c r="S3371" s="19"/>
      <c r="T3371" s="19"/>
      <c r="U3371" s="19"/>
      <c r="V3371" s="19"/>
      <c r="W3371" s="19"/>
      <c r="X3371" s="19"/>
      <c r="Y3371" s="19"/>
      <c r="Z3371" s="19"/>
      <c r="AA3371" s="19"/>
      <c r="AB3371" s="19"/>
      <c r="AC3371" s="19"/>
      <c r="AD3371" s="19"/>
      <c r="AE3371" s="19"/>
      <c r="AF3371" s="19"/>
      <c r="AG3371" s="19"/>
      <c r="AH3371" s="19"/>
      <c r="AI3371" s="19"/>
      <c r="AJ3371" s="19"/>
      <c r="AK3371" s="19"/>
      <c r="AL3371" s="19"/>
      <c r="AM3371" s="19"/>
      <c r="AN3371" s="19"/>
      <c r="AO3371" s="19"/>
      <c r="AP3371" s="19"/>
      <c r="AQ3371" s="19"/>
      <c r="AR3371" s="19"/>
      <c r="AS3371" s="19"/>
    </row>
    <row r="3372" spans="1:45" x14ac:dyDescent="0.3">
      <c r="A3372" s="410" t="s">
        <v>5090</v>
      </c>
      <c r="B3372" s="17"/>
      <c r="C3372" s="19"/>
      <c r="D3372" s="19"/>
      <c r="E3372" s="18"/>
      <c r="F3372" s="19"/>
      <c r="G3372" s="31"/>
      <c r="H3372" s="31"/>
      <c r="I3372" s="19"/>
      <c r="J3372" s="19"/>
      <c r="K3372" s="21"/>
      <c r="L3372" s="22"/>
      <c r="M3372" s="19"/>
      <c r="N3372" s="20"/>
      <c r="O3372" s="19"/>
      <c r="P3372" s="19"/>
      <c r="Q3372" s="19"/>
      <c r="R3372" s="19"/>
      <c r="S3372" s="19"/>
      <c r="T3372" s="19"/>
      <c r="U3372" s="19"/>
      <c r="V3372" s="19"/>
      <c r="W3372" s="19"/>
      <c r="X3372" s="19"/>
      <c r="Y3372" s="19"/>
      <c r="Z3372" s="19"/>
      <c r="AA3372" s="19"/>
      <c r="AB3372" s="19"/>
      <c r="AC3372" s="19"/>
      <c r="AD3372" s="19"/>
      <c r="AE3372" s="19"/>
      <c r="AF3372" s="19"/>
      <c r="AG3372" s="19"/>
      <c r="AH3372" s="19"/>
      <c r="AI3372" s="19"/>
      <c r="AJ3372" s="19"/>
      <c r="AK3372" s="19"/>
      <c r="AL3372" s="19"/>
      <c r="AM3372" s="19"/>
      <c r="AN3372" s="19"/>
      <c r="AO3372" s="19"/>
      <c r="AP3372" s="19"/>
      <c r="AQ3372" s="19"/>
      <c r="AR3372" s="19"/>
      <c r="AS3372" s="19"/>
    </row>
    <row r="3373" spans="1:45" x14ac:dyDescent="0.3">
      <c r="A3373" s="410" t="s">
        <v>5091</v>
      </c>
      <c r="B3373" s="17"/>
      <c r="C3373" s="19"/>
      <c r="D3373" s="19"/>
      <c r="E3373" s="18"/>
      <c r="F3373" s="19"/>
      <c r="G3373" s="31"/>
      <c r="H3373" s="31"/>
      <c r="I3373" s="19"/>
      <c r="J3373" s="19"/>
      <c r="K3373" s="21"/>
      <c r="L3373" s="22"/>
      <c r="M3373" s="19"/>
      <c r="N3373" s="20"/>
      <c r="O3373" s="19"/>
      <c r="P3373" s="19"/>
      <c r="Q3373" s="19"/>
      <c r="R3373" s="19"/>
      <c r="S3373" s="19"/>
      <c r="T3373" s="19"/>
      <c r="U3373" s="19"/>
      <c r="V3373" s="19"/>
      <c r="W3373" s="19"/>
      <c r="X3373" s="19"/>
      <c r="Y3373" s="19"/>
      <c r="Z3373" s="19"/>
      <c r="AA3373" s="19"/>
      <c r="AB3373" s="19"/>
      <c r="AC3373" s="19"/>
      <c r="AD3373" s="19"/>
      <c r="AE3373" s="19"/>
      <c r="AF3373" s="19"/>
      <c r="AG3373" s="19"/>
      <c r="AH3373" s="19"/>
      <c r="AI3373" s="19"/>
      <c r="AJ3373" s="19"/>
      <c r="AK3373" s="19"/>
      <c r="AL3373" s="19"/>
      <c r="AM3373" s="19"/>
      <c r="AN3373" s="19"/>
      <c r="AO3373" s="19"/>
      <c r="AP3373" s="19"/>
      <c r="AQ3373" s="19"/>
      <c r="AR3373" s="19"/>
      <c r="AS3373" s="19"/>
    </row>
    <row r="3374" spans="1:45" x14ac:dyDescent="0.3">
      <c r="A3374" s="410" t="s">
        <v>5092</v>
      </c>
      <c r="B3374" s="17"/>
      <c r="C3374" s="19"/>
      <c r="D3374" s="19"/>
      <c r="E3374" s="18"/>
      <c r="F3374" s="19"/>
      <c r="G3374" s="31"/>
      <c r="H3374" s="31"/>
      <c r="I3374" s="19"/>
      <c r="J3374" s="19"/>
      <c r="K3374" s="21"/>
      <c r="L3374" s="22"/>
      <c r="M3374" s="19"/>
      <c r="N3374" s="20"/>
      <c r="O3374" s="19"/>
      <c r="P3374" s="19"/>
      <c r="Q3374" s="19"/>
      <c r="R3374" s="19"/>
      <c r="S3374" s="19"/>
      <c r="T3374" s="19"/>
      <c r="U3374" s="19"/>
      <c r="V3374" s="19"/>
      <c r="W3374" s="19"/>
      <c r="X3374" s="19"/>
      <c r="Y3374" s="19"/>
      <c r="Z3374" s="19"/>
      <c r="AA3374" s="19"/>
      <c r="AB3374" s="19"/>
      <c r="AC3374" s="19"/>
      <c r="AD3374" s="19"/>
      <c r="AE3374" s="19"/>
      <c r="AF3374" s="19"/>
      <c r="AG3374" s="19"/>
      <c r="AH3374" s="19"/>
      <c r="AI3374" s="19"/>
      <c r="AJ3374" s="19"/>
      <c r="AK3374" s="19"/>
      <c r="AL3374" s="19"/>
      <c r="AM3374" s="19"/>
      <c r="AN3374" s="19"/>
      <c r="AO3374" s="19"/>
      <c r="AP3374" s="19"/>
      <c r="AQ3374" s="19"/>
      <c r="AR3374" s="19"/>
      <c r="AS3374" s="19"/>
    </row>
    <row r="3375" spans="1:45" x14ac:dyDescent="0.3">
      <c r="A3375" s="410" t="s">
        <v>5093</v>
      </c>
      <c r="B3375" s="17"/>
      <c r="C3375" s="19"/>
      <c r="D3375" s="19"/>
      <c r="E3375" s="18"/>
      <c r="F3375" s="19"/>
      <c r="G3375" s="31"/>
      <c r="H3375" s="31"/>
      <c r="I3375" s="19"/>
      <c r="J3375" s="19"/>
      <c r="K3375" s="21"/>
      <c r="L3375" s="22"/>
      <c r="M3375" s="19"/>
      <c r="N3375" s="20"/>
      <c r="O3375" s="19"/>
      <c r="P3375" s="19"/>
      <c r="Q3375" s="19"/>
      <c r="R3375" s="19"/>
      <c r="S3375" s="19"/>
      <c r="T3375" s="19"/>
      <c r="U3375" s="19"/>
      <c r="V3375" s="19"/>
      <c r="W3375" s="19"/>
      <c r="X3375" s="19"/>
      <c r="Y3375" s="19"/>
      <c r="Z3375" s="19"/>
      <c r="AA3375" s="19"/>
      <c r="AB3375" s="19"/>
      <c r="AC3375" s="19"/>
      <c r="AD3375" s="19"/>
      <c r="AE3375" s="19"/>
      <c r="AF3375" s="19"/>
      <c r="AG3375" s="19"/>
      <c r="AH3375" s="19"/>
      <c r="AI3375" s="19"/>
      <c r="AJ3375" s="19"/>
      <c r="AK3375" s="19"/>
      <c r="AL3375" s="19"/>
      <c r="AM3375" s="19"/>
      <c r="AN3375" s="19"/>
      <c r="AO3375" s="19"/>
      <c r="AP3375" s="19"/>
      <c r="AQ3375" s="19"/>
      <c r="AR3375" s="19"/>
      <c r="AS3375" s="19"/>
    </row>
    <row r="3376" spans="1:45" x14ac:dyDescent="0.3">
      <c r="A3376" s="410" t="s">
        <v>5094</v>
      </c>
      <c r="B3376" s="17"/>
      <c r="C3376" s="19"/>
      <c r="D3376" s="19"/>
      <c r="E3376" s="18"/>
      <c r="F3376" s="19"/>
      <c r="G3376" s="31"/>
      <c r="H3376" s="31"/>
      <c r="I3376" s="19"/>
      <c r="J3376" s="19"/>
      <c r="K3376" s="21"/>
      <c r="L3376" s="22"/>
      <c r="M3376" s="19"/>
      <c r="N3376" s="20"/>
      <c r="O3376" s="19"/>
      <c r="P3376" s="19"/>
      <c r="Q3376" s="19"/>
      <c r="R3376" s="19"/>
      <c r="S3376" s="19"/>
      <c r="T3376" s="19"/>
      <c r="U3376" s="19"/>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19"/>
    </row>
    <row r="3377" spans="1:45" x14ac:dyDescent="0.3">
      <c r="A3377" s="410" t="s">
        <v>5095</v>
      </c>
      <c r="B3377" s="17"/>
      <c r="C3377" s="19"/>
      <c r="D3377" s="19"/>
      <c r="E3377" s="18"/>
      <c r="F3377" s="19"/>
      <c r="G3377" s="31"/>
      <c r="H3377" s="31"/>
      <c r="I3377" s="19"/>
      <c r="J3377" s="19"/>
      <c r="K3377" s="21"/>
      <c r="L3377" s="22"/>
      <c r="M3377" s="19"/>
      <c r="N3377" s="20"/>
      <c r="O3377" s="19"/>
      <c r="P3377" s="19"/>
      <c r="Q3377" s="19"/>
      <c r="R3377" s="19"/>
      <c r="S3377" s="19"/>
      <c r="T3377" s="19"/>
      <c r="U3377" s="19"/>
      <c r="V3377" s="19"/>
      <c r="W3377" s="19"/>
      <c r="X3377" s="19"/>
      <c r="Y3377" s="19"/>
      <c r="Z3377" s="19"/>
      <c r="AA3377" s="19"/>
      <c r="AB3377" s="19"/>
      <c r="AC3377" s="19"/>
      <c r="AD3377" s="19"/>
      <c r="AE3377" s="19"/>
      <c r="AF3377" s="19"/>
      <c r="AG3377" s="19"/>
      <c r="AH3377" s="19"/>
      <c r="AI3377" s="19"/>
      <c r="AJ3377" s="19"/>
      <c r="AK3377" s="19"/>
      <c r="AL3377" s="19"/>
      <c r="AM3377" s="19"/>
      <c r="AN3377" s="19"/>
      <c r="AO3377" s="19"/>
      <c r="AP3377" s="19"/>
      <c r="AQ3377" s="19"/>
      <c r="AR3377" s="19"/>
      <c r="AS3377" s="19"/>
    </row>
    <row r="3378" spans="1:45" x14ac:dyDescent="0.3">
      <c r="A3378" s="410" t="s">
        <v>5096</v>
      </c>
      <c r="B3378" s="17"/>
      <c r="C3378" s="19"/>
      <c r="D3378" s="19"/>
      <c r="E3378" s="18"/>
      <c r="F3378" s="19"/>
      <c r="G3378" s="31"/>
      <c r="H3378" s="31"/>
      <c r="I3378" s="19"/>
      <c r="J3378" s="19"/>
      <c r="K3378" s="21"/>
      <c r="L3378" s="22"/>
      <c r="M3378" s="19"/>
      <c r="N3378" s="20"/>
      <c r="O3378" s="19"/>
      <c r="P3378" s="19"/>
      <c r="Q3378" s="19"/>
      <c r="R3378" s="19"/>
      <c r="S3378" s="19"/>
      <c r="T3378" s="19"/>
      <c r="U3378" s="19"/>
      <c r="V3378" s="19"/>
      <c r="W3378" s="19"/>
      <c r="X3378" s="19"/>
      <c r="Y3378" s="19"/>
      <c r="Z3378" s="19"/>
      <c r="AA3378" s="19"/>
      <c r="AB3378" s="19"/>
      <c r="AC3378" s="19"/>
      <c r="AD3378" s="19"/>
      <c r="AE3378" s="19"/>
      <c r="AF3378" s="19"/>
      <c r="AG3378" s="19"/>
      <c r="AH3378" s="19"/>
      <c r="AI3378" s="19"/>
      <c r="AJ3378" s="19"/>
      <c r="AK3378" s="19"/>
      <c r="AL3378" s="19"/>
      <c r="AM3378" s="19"/>
      <c r="AN3378" s="19"/>
      <c r="AO3378" s="19"/>
      <c r="AP3378" s="19"/>
      <c r="AQ3378" s="19"/>
      <c r="AR3378" s="19"/>
      <c r="AS3378" s="19"/>
    </row>
    <row r="3379" spans="1:45" x14ac:dyDescent="0.3">
      <c r="A3379" s="410" t="s">
        <v>5097</v>
      </c>
      <c r="B3379" s="17"/>
      <c r="C3379" s="19"/>
      <c r="D3379" s="19"/>
      <c r="E3379" s="18"/>
      <c r="F3379" s="19"/>
      <c r="G3379" s="31"/>
      <c r="H3379" s="31"/>
      <c r="I3379" s="19"/>
      <c r="J3379" s="19"/>
      <c r="K3379" s="21"/>
      <c r="L3379" s="22"/>
      <c r="M3379" s="19"/>
      <c r="N3379" s="20"/>
      <c r="O3379" s="19"/>
      <c r="P3379" s="19"/>
      <c r="Q3379" s="19"/>
      <c r="R3379" s="19"/>
      <c r="S3379" s="19"/>
      <c r="T3379" s="19"/>
      <c r="U3379" s="19"/>
      <c r="V3379" s="19"/>
      <c r="W3379" s="19"/>
      <c r="X3379" s="19"/>
      <c r="Y3379" s="19"/>
      <c r="Z3379" s="19"/>
      <c r="AA3379" s="19"/>
      <c r="AB3379" s="19"/>
      <c r="AC3379" s="19"/>
      <c r="AD3379" s="19"/>
      <c r="AE3379" s="19"/>
      <c r="AF3379" s="19"/>
      <c r="AG3379" s="19"/>
      <c r="AH3379" s="19"/>
      <c r="AI3379" s="19"/>
      <c r="AJ3379" s="19"/>
      <c r="AK3379" s="19"/>
      <c r="AL3379" s="19"/>
      <c r="AM3379" s="19"/>
      <c r="AN3379" s="19"/>
      <c r="AO3379" s="19"/>
      <c r="AP3379" s="19"/>
      <c r="AQ3379" s="19"/>
      <c r="AR3379" s="19"/>
      <c r="AS3379" s="19"/>
    </row>
    <row r="3380" spans="1:45" x14ac:dyDescent="0.3">
      <c r="A3380" s="410" t="s">
        <v>5098</v>
      </c>
      <c r="B3380" s="17"/>
      <c r="C3380" s="19"/>
      <c r="D3380" s="19"/>
      <c r="E3380" s="18"/>
      <c r="F3380" s="19"/>
      <c r="G3380" s="31"/>
      <c r="H3380" s="31"/>
      <c r="I3380" s="19"/>
      <c r="J3380" s="19"/>
      <c r="K3380" s="21"/>
      <c r="L3380" s="22"/>
      <c r="M3380" s="19"/>
      <c r="N3380" s="20"/>
      <c r="O3380" s="19"/>
      <c r="P3380" s="19"/>
      <c r="Q3380" s="19"/>
      <c r="R3380" s="19"/>
      <c r="S3380" s="19"/>
      <c r="T3380" s="19"/>
      <c r="U3380" s="19"/>
      <c r="V3380" s="19"/>
      <c r="W3380" s="19"/>
      <c r="X3380" s="19"/>
      <c r="Y3380" s="19"/>
      <c r="Z3380" s="19"/>
      <c r="AA3380" s="19"/>
      <c r="AB3380" s="19"/>
      <c r="AC3380" s="19"/>
      <c r="AD3380" s="19"/>
      <c r="AE3380" s="19"/>
      <c r="AF3380" s="19"/>
      <c r="AG3380" s="19"/>
      <c r="AH3380" s="19"/>
      <c r="AI3380" s="19"/>
      <c r="AJ3380" s="19"/>
      <c r="AK3380" s="19"/>
      <c r="AL3380" s="19"/>
      <c r="AM3380" s="19"/>
      <c r="AN3380" s="19"/>
      <c r="AO3380" s="19"/>
      <c r="AP3380" s="19"/>
      <c r="AQ3380" s="19"/>
      <c r="AR3380" s="19"/>
      <c r="AS3380" s="19"/>
    </row>
    <row r="3381" spans="1:45" x14ac:dyDescent="0.3">
      <c r="A3381" s="410" t="s">
        <v>5099</v>
      </c>
      <c r="B3381" s="17"/>
      <c r="C3381" s="19"/>
      <c r="D3381" s="19"/>
      <c r="E3381" s="18"/>
      <c r="F3381" s="19"/>
      <c r="G3381" s="31"/>
      <c r="H3381" s="31"/>
      <c r="I3381" s="19"/>
      <c r="J3381" s="19"/>
      <c r="K3381" s="21"/>
      <c r="L3381" s="22"/>
      <c r="M3381" s="19"/>
      <c r="N3381" s="20"/>
      <c r="O3381" s="19"/>
      <c r="P3381" s="19"/>
      <c r="Q3381" s="19"/>
      <c r="R3381" s="19"/>
      <c r="S3381" s="19"/>
      <c r="T3381" s="19"/>
      <c r="U3381" s="19"/>
      <c r="V3381" s="19"/>
      <c r="W3381" s="19"/>
      <c r="X3381" s="19"/>
      <c r="Y3381" s="19"/>
      <c r="Z3381" s="19"/>
      <c r="AA3381" s="19"/>
      <c r="AB3381" s="19"/>
      <c r="AC3381" s="19"/>
      <c r="AD3381" s="19"/>
      <c r="AE3381" s="19"/>
      <c r="AF3381" s="19"/>
      <c r="AG3381" s="19"/>
      <c r="AH3381" s="19"/>
      <c r="AI3381" s="19"/>
      <c r="AJ3381" s="19"/>
      <c r="AK3381" s="19"/>
      <c r="AL3381" s="19"/>
      <c r="AM3381" s="19"/>
      <c r="AN3381" s="19"/>
      <c r="AO3381" s="19"/>
      <c r="AP3381" s="19"/>
      <c r="AQ3381" s="19"/>
      <c r="AR3381" s="19"/>
      <c r="AS3381" s="19"/>
    </row>
    <row r="3382" spans="1:45" x14ac:dyDescent="0.3">
      <c r="A3382" s="410" t="s">
        <v>5100</v>
      </c>
      <c r="B3382" s="17"/>
      <c r="C3382" s="19"/>
      <c r="D3382" s="19"/>
      <c r="E3382" s="18"/>
      <c r="F3382" s="19"/>
      <c r="G3382" s="31"/>
      <c r="H3382" s="31"/>
      <c r="I3382" s="19"/>
      <c r="J3382" s="19"/>
      <c r="K3382" s="21"/>
      <c r="L3382" s="22"/>
      <c r="M3382" s="19"/>
      <c r="N3382" s="20"/>
      <c r="O3382" s="19"/>
      <c r="P3382" s="19"/>
      <c r="Q3382" s="19"/>
      <c r="R3382" s="19"/>
      <c r="S3382" s="19"/>
      <c r="T3382" s="19"/>
      <c r="U3382" s="19"/>
      <c r="V3382" s="19"/>
      <c r="W3382" s="19"/>
      <c r="X3382" s="19"/>
      <c r="Y3382" s="19"/>
      <c r="Z3382" s="19"/>
      <c r="AA3382" s="19"/>
      <c r="AB3382" s="19"/>
      <c r="AC3382" s="19"/>
      <c r="AD3382" s="19"/>
      <c r="AE3382" s="19"/>
      <c r="AF3382" s="19"/>
      <c r="AG3382" s="19"/>
      <c r="AH3382" s="19"/>
      <c r="AI3382" s="19"/>
      <c r="AJ3382" s="19"/>
      <c r="AK3382" s="19"/>
      <c r="AL3382" s="19"/>
      <c r="AM3382" s="19"/>
      <c r="AN3382" s="19"/>
      <c r="AO3382" s="19"/>
      <c r="AP3382" s="19"/>
      <c r="AQ3382" s="19"/>
      <c r="AR3382" s="19"/>
      <c r="AS3382" s="19"/>
    </row>
    <row r="3383" spans="1:45" x14ac:dyDescent="0.3">
      <c r="A3383" s="410" t="s">
        <v>5101</v>
      </c>
      <c r="B3383" s="17"/>
      <c r="C3383" s="19"/>
      <c r="D3383" s="19"/>
      <c r="E3383" s="18"/>
      <c r="F3383" s="19"/>
      <c r="G3383" s="31"/>
      <c r="H3383" s="31"/>
      <c r="I3383" s="19"/>
      <c r="J3383" s="19"/>
      <c r="K3383" s="21"/>
      <c r="L3383" s="22"/>
      <c r="M3383" s="19"/>
      <c r="N3383" s="20"/>
      <c r="O3383" s="19"/>
      <c r="P3383" s="19"/>
      <c r="Q3383" s="19"/>
      <c r="R3383" s="19"/>
      <c r="S3383" s="19"/>
      <c r="T3383" s="19"/>
      <c r="U3383" s="19"/>
      <c r="V3383" s="19"/>
      <c r="W3383" s="19"/>
      <c r="X3383" s="19"/>
      <c r="Y3383" s="19"/>
      <c r="Z3383" s="19"/>
      <c r="AA3383" s="19"/>
      <c r="AB3383" s="19"/>
      <c r="AC3383" s="19"/>
      <c r="AD3383" s="19"/>
      <c r="AE3383" s="19"/>
      <c r="AF3383" s="19"/>
      <c r="AG3383" s="19"/>
      <c r="AH3383" s="19"/>
      <c r="AI3383" s="19"/>
      <c r="AJ3383" s="19"/>
      <c r="AK3383" s="19"/>
      <c r="AL3383" s="19"/>
      <c r="AM3383" s="19"/>
      <c r="AN3383" s="19"/>
      <c r="AO3383" s="19"/>
      <c r="AP3383" s="19"/>
      <c r="AQ3383" s="19"/>
      <c r="AR3383" s="19"/>
      <c r="AS3383" s="19"/>
    </row>
    <row r="3384" spans="1:45" x14ac:dyDescent="0.3">
      <c r="A3384" s="410" t="s">
        <v>5102</v>
      </c>
      <c r="B3384" s="17"/>
      <c r="C3384" s="19"/>
      <c r="D3384" s="19"/>
      <c r="E3384" s="18"/>
      <c r="F3384" s="19"/>
      <c r="G3384" s="31"/>
      <c r="H3384" s="31"/>
      <c r="I3384" s="19"/>
      <c r="J3384" s="19"/>
      <c r="K3384" s="21"/>
      <c r="L3384" s="22"/>
      <c r="M3384" s="19"/>
      <c r="N3384" s="20"/>
      <c r="O3384" s="19"/>
      <c r="P3384" s="19"/>
      <c r="Q3384" s="19"/>
      <c r="R3384" s="19"/>
      <c r="S3384" s="19"/>
      <c r="T3384" s="19"/>
      <c r="U3384" s="19"/>
      <c r="V3384" s="19"/>
      <c r="W3384" s="19"/>
      <c r="X3384" s="19"/>
      <c r="Y3384" s="19"/>
      <c r="Z3384" s="19"/>
      <c r="AA3384" s="19"/>
      <c r="AB3384" s="19"/>
      <c r="AC3384" s="19"/>
      <c r="AD3384" s="19"/>
      <c r="AE3384" s="19"/>
      <c r="AF3384" s="19"/>
      <c r="AG3384" s="19"/>
      <c r="AH3384" s="19"/>
      <c r="AI3384" s="19"/>
      <c r="AJ3384" s="19"/>
      <c r="AK3384" s="19"/>
      <c r="AL3384" s="19"/>
      <c r="AM3384" s="19"/>
      <c r="AN3384" s="19"/>
      <c r="AO3384" s="19"/>
      <c r="AP3384" s="19"/>
      <c r="AQ3384" s="19"/>
      <c r="AR3384" s="19"/>
      <c r="AS3384" s="19"/>
    </row>
    <row r="3385" spans="1:45" x14ac:dyDescent="0.3">
      <c r="A3385" s="410" t="s">
        <v>5103</v>
      </c>
      <c r="B3385" s="17"/>
      <c r="C3385" s="19"/>
      <c r="D3385" s="19"/>
      <c r="E3385" s="18"/>
      <c r="F3385" s="19"/>
      <c r="G3385" s="31"/>
      <c r="H3385" s="31"/>
      <c r="I3385" s="19"/>
      <c r="J3385" s="19"/>
      <c r="K3385" s="21"/>
      <c r="L3385" s="22"/>
      <c r="M3385" s="19"/>
      <c r="N3385" s="20"/>
      <c r="O3385" s="19"/>
      <c r="P3385" s="19"/>
      <c r="Q3385" s="19"/>
      <c r="R3385" s="19"/>
      <c r="S3385" s="19"/>
      <c r="T3385" s="19"/>
      <c r="U3385" s="19"/>
      <c r="V3385" s="19"/>
      <c r="W3385" s="19"/>
      <c r="X3385" s="19"/>
      <c r="Y3385" s="19"/>
      <c r="Z3385" s="19"/>
      <c r="AA3385" s="19"/>
      <c r="AB3385" s="19"/>
      <c r="AC3385" s="19"/>
      <c r="AD3385" s="19"/>
      <c r="AE3385" s="19"/>
      <c r="AF3385" s="19"/>
      <c r="AG3385" s="19"/>
      <c r="AH3385" s="19"/>
      <c r="AI3385" s="19"/>
      <c r="AJ3385" s="19"/>
      <c r="AK3385" s="19"/>
      <c r="AL3385" s="19"/>
      <c r="AM3385" s="19"/>
      <c r="AN3385" s="19"/>
      <c r="AO3385" s="19"/>
      <c r="AP3385" s="19"/>
      <c r="AQ3385" s="19"/>
      <c r="AR3385" s="19"/>
      <c r="AS3385" s="19"/>
    </row>
    <row r="3386" spans="1:45" x14ac:dyDescent="0.3">
      <c r="A3386" s="410" t="s">
        <v>5104</v>
      </c>
      <c r="B3386" s="17"/>
      <c r="C3386" s="19"/>
      <c r="D3386" s="19"/>
      <c r="E3386" s="18"/>
      <c r="F3386" s="19"/>
      <c r="G3386" s="31"/>
      <c r="H3386" s="31"/>
      <c r="I3386" s="19"/>
      <c r="J3386" s="19"/>
      <c r="K3386" s="21"/>
      <c r="L3386" s="22"/>
      <c r="M3386" s="19"/>
      <c r="N3386" s="20"/>
      <c r="O3386" s="19"/>
      <c r="P3386" s="19"/>
      <c r="Q3386" s="19"/>
      <c r="R3386" s="19"/>
      <c r="S3386" s="19"/>
      <c r="T3386" s="19"/>
      <c r="U3386" s="19"/>
      <c r="V3386" s="19"/>
      <c r="W3386" s="19"/>
      <c r="X3386" s="19"/>
      <c r="Y3386" s="19"/>
      <c r="Z3386" s="19"/>
      <c r="AA3386" s="19"/>
      <c r="AB3386" s="19"/>
      <c r="AC3386" s="19"/>
      <c r="AD3386" s="19"/>
      <c r="AE3386" s="19"/>
      <c r="AF3386" s="19"/>
      <c r="AG3386" s="19"/>
      <c r="AH3386" s="19"/>
      <c r="AI3386" s="19"/>
      <c r="AJ3386" s="19"/>
      <c r="AK3386" s="19"/>
      <c r="AL3386" s="19"/>
      <c r="AM3386" s="19"/>
      <c r="AN3386" s="19"/>
      <c r="AO3386" s="19"/>
      <c r="AP3386" s="19"/>
      <c r="AQ3386" s="19"/>
      <c r="AR3386" s="19"/>
      <c r="AS3386" s="19"/>
    </row>
    <row r="3387" spans="1:45" x14ac:dyDescent="0.3">
      <c r="A3387" s="410" t="s">
        <v>5105</v>
      </c>
      <c r="B3387" s="17"/>
      <c r="C3387" s="19"/>
      <c r="D3387" s="19"/>
      <c r="E3387" s="18"/>
      <c r="F3387" s="19"/>
      <c r="G3387" s="31"/>
      <c r="H3387" s="31"/>
      <c r="I3387" s="19"/>
      <c r="J3387" s="19"/>
      <c r="K3387" s="21"/>
      <c r="L3387" s="22"/>
      <c r="M3387" s="19"/>
      <c r="N3387" s="20"/>
      <c r="O3387" s="19"/>
      <c r="P3387" s="19"/>
      <c r="Q3387" s="19"/>
      <c r="R3387" s="19"/>
      <c r="S3387" s="19"/>
      <c r="T3387" s="19"/>
      <c r="U3387" s="19"/>
      <c r="V3387" s="19"/>
      <c r="W3387" s="19"/>
      <c r="X3387" s="19"/>
      <c r="Y3387" s="19"/>
      <c r="Z3387" s="19"/>
      <c r="AA3387" s="19"/>
      <c r="AB3387" s="19"/>
      <c r="AC3387" s="19"/>
      <c r="AD3387" s="19"/>
      <c r="AE3387" s="19"/>
      <c r="AF3387" s="19"/>
      <c r="AG3387" s="19"/>
      <c r="AH3387" s="19"/>
      <c r="AI3387" s="19"/>
      <c r="AJ3387" s="19"/>
      <c r="AK3387" s="19"/>
      <c r="AL3387" s="19"/>
      <c r="AM3387" s="19"/>
      <c r="AN3387" s="19"/>
      <c r="AO3387" s="19"/>
      <c r="AP3387" s="19"/>
      <c r="AQ3387" s="19"/>
      <c r="AR3387" s="19"/>
      <c r="AS3387" s="19"/>
    </row>
    <row r="3388" spans="1:45" x14ac:dyDescent="0.3">
      <c r="A3388" s="410" t="s">
        <v>5106</v>
      </c>
      <c r="B3388" s="17"/>
      <c r="C3388" s="19"/>
      <c r="D3388" s="19"/>
      <c r="E3388" s="18"/>
      <c r="F3388" s="19"/>
      <c r="G3388" s="31"/>
      <c r="H3388" s="31"/>
      <c r="I3388" s="19"/>
      <c r="J3388" s="19"/>
      <c r="K3388" s="21"/>
      <c r="L3388" s="22"/>
      <c r="M3388" s="19"/>
      <c r="N3388" s="20"/>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row>
    <row r="3389" spans="1:45" x14ac:dyDescent="0.3">
      <c r="A3389" s="410" t="s">
        <v>5107</v>
      </c>
      <c r="B3389" s="17"/>
      <c r="C3389" s="19"/>
      <c r="D3389" s="19"/>
      <c r="E3389" s="18"/>
      <c r="F3389" s="19"/>
      <c r="G3389" s="31"/>
      <c r="H3389" s="31"/>
      <c r="I3389" s="19"/>
      <c r="J3389" s="19"/>
      <c r="K3389" s="21"/>
      <c r="L3389" s="22"/>
      <c r="M3389" s="19"/>
      <c r="N3389" s="20"/>
      <c r="O3389" s="19"/>
      <c r="P3389" s="19"/>
      <c r="Q3389" s="19"/>
      <c r="R3389" s="19"/>
      <c r="S3389" s="19"/>
      <c r="T3389" s="19"/>
      <c r="U3389" s="19"/>
      <c r="V3389" s="19"/>
      <c r="W3389" s="19"/>
      <c r="X3389" s="19"/>
      <c r="Y3389" s="19"/>
      <c r="Z3389" s="19"/>
      <c r="AA3389" s="19"/>
      <c r="AB3389" s="19"/>
      <c r="AC3389" s="19"/>
      <c r="AD3389" s="19"/>
      <c r="AE3389" s="19"/>
      <c r="AF3389" s="19"/>
      <c r="AG3389" s="19"/>
      <c r="AH3389" s="19"/>
      <c r="AI3389" s="19"/>
      <c r="AJ3389" s="19"/>
      <c r="AK3389" s="19"/>
      <c r="AL3389" s="19"/>
      <c r="AM3389" s="19"/>
      <c r="AN3389" s="19"/>
      <c r="AO3389" s="19"/>
      <c r="AP3389" s="19"/>
      <c r="AQ3389" s="19"/>
      <c r="AR3389" s="19"/>
      <c r="AS3389" s="19"/>
    </row>
    <row r="3390" spans="1:45" x14ac:dyDescent="0.3">
      <c r="A3390" s="410" t="s">
        <v>5108</v>
      </c>
      <c r="B3390" s="17"/>
      <c r="C3390" s="19"/>
      <c r="D3390" s="19"/>
      <c r="E3390" s="18"/>
      <c r="F3390" s="19"/>
      <c r="G3390" s="31"/>
      <c r="H3390" s="31"/>
      <c r="I3390" s="19"/>
      <c r="J3390" s="19"/>
      <c r="K3390" s="21"/>
      <c r="L3390" s="22"/>
      <c r="M3390" s="19"/>
      <c r="N3390" s="20"/>
      <c r="O3390" s="19"/>
      <c r="P3390" s="19"/>
      <c r="Q3390" s="19"/>
      <c r="R3390" s="19"/>
      <c r="S3390" s="19"/>
      <c r="T3390" s="19"/>
      <c r="U3390" s="19"/>
      <c r="V3390" s="19"/>
      <c r="W3390" s="19"/>
      <c r="X3390" s="19"/>
      <c r="Y3390" s="19"/>
      <c r="Z3390" s="19"/>
      <c r="AA3390" s="19"/>
      <c r="AB3390" s="19"/>
      <c r="AC3390" s="19"/>
      <c r="AD3390" s="19"/>
      <c r="AE3390" s="19"/>
      <c r="AF3390" s="19"/>
      <c r="AG3390" s="19"/>
      <c r="AH3390" s="19"/>
      <c r="AI3390" s="19"/>
      <c r="AJ3390" s="19"/>
      <c r="AK3390" s="19"/>
      <c r="AL3390" s="19"/>
      <c r="AM3390" s="19"/>
      <c r="AN3390" s="19"/>
      <c r="AO3390" s="19"/>
      <c r="AP3390" s="19"/>
      <c r="AQ3390" s="19"/>
      <c r="AR3390" s="19"/>
      <c r="AS3390" s="19"/>
    </row>
    <row r="3391" spans="1:45" x14ac:dyDescent="0.3">
      <c r="A3391" s="410" t="s">
        <v>5109</v>
      </c>
      <c r="B3391" s="17"/>
      <c r="C3391" s="19"/>
      <c r="D3391" s="19"/>
      <c r="E3391" s="18"/>
      <c r="F3391" s="19"/>
      <c r="G3391" s="31"/>
      <c r="H3391" s="31"/>
      <c r="I3391" s="19"/>
      <c r="J3391" s="19"/>
      <c r="K3391" s="21"/>
      <c r="L3391" s="22"/>
      <c r="M3391" s="19"/>
      <c r="N3391" s="20"/>
      <c r="O3391" s="19"/>
      <c r="P3391" s="19"/>
      <c r="Q3391" s="19"/>
      <c r="R3391" s="19"/>
      <c r="S3391" s="19"/>
      <c r="T3391" s="19"/>
      <c r="U3391" s="19"/>
      <c r="V3391" s="19"/>
      <c r="W3391" s="19"/>
      <c r="X3391" s="19"/>
      <c r="Y3391" s="19"/>
      <c r="Z3391" s="19"/>
      <c r="AA3391" s="19"/>
      <c r="AB3391" s="19"/>
      <c r="AC3391" s="19"/>
      <c r="AD3391" s="19"/>
      <c r="AE3391" s="19"/>
      <c r="AF3391" s="19"/>
      <c r="AG3391" s="19"/>
      <c r="AH3391" s="19"/>
      <c r="AI3391" s="19"/>
      <c r="AJ3391" s="19"/>
      <c r="AK3391" s="19"/>
      <c r="AL3391" s="19"/>
      <c r="AM3391" s="19"/>
      <c r="AN3391" s="19"/>
      <c r="AO3391" s="19"/>
      <c r="AP3391" s="19"/>
      <c r="AQ3391" s="19"/>
      <c r="AR3391" s="19"/>
      <c r="AS3391" s="19"/>
    </row>
    <row r="3392" spans="1:45" x14ac:dyDescent="0.3">
      <c r="A3392" s="410" t="s">
        <v>5110</v>
      </c>
      <c r="B3392" s="17"/>
      <c r="C3392" s="19"/>
      <c r="D3392" s="19"/>
      <c r="E3392" s="18"/>
      <c r="F3392" s="19"/>
      <c r="G3392" s="31"/>
      <c r="H3392" s="31"/>
      <c r="I3392" s="19"/>
      <c r="J3392" s="19"/>
      <c r="K3392" s="21"/>
      <c r="L3392" s="22"/>
      <c r="M3392" s="19"/>
      <c r="N3392" s="20"/>
      <c r="O3392" s="19"/>
      <c r="P3392" s="19"/>
      <c r="Q3392" s="19"/>
      <c r="R3392" s="19"/>
      <c r="S3392" s="19"/>
      <c r="T3392" s="19"/>
      <c r="U3392" s="19"/>
      <c r="V3392" s="19"/>
      <c r="W3392" s="19"/>
      <c r="X3392" s="19"/>
      <c r="Y3392" s="19"/>
      <c r="Z3392" s="19"/>
      <c r="AA3392" s="19"/>
      <c r="AB3392" s="19"/>
      <c r="AC3392" s="19"/>
      <c r="AD3392" s="19"/>
      <c r="AE3392" s="19"/>
      <c r="AF3392" s="19"/>
      <c r="AG3392" s="19"/>
      <c r="AH3392" s="19"/>
      <c r="AI3392" s="19"/>
      <c r="AJ3392" s="19"/>
      <c r="AK3392" s="19"/>
      <c r="AL3392" s="19"/>
      <c r="AM3392" s="19"/>
      <c r="AN3392" s="19"/>
      <c r="AO3392" s="19"/>
      <c r="AP3392" s="19"/>
      <c r="AQ3392" s="19"/>
      <c r="AR3392" s="19"/>
      <c r="AS3392" s="19"/>
    </row>
    <row r="3393" spans="1:45" x14ac:dyDescent="0.3">
      <c r="A3393" s="410" t="s">
        <v>5111</v>
      </c>
      <c r="B3393" s="17"/>
      <c r="C3393" s="19"/>
      <c r="D3393" s="19"/>
      <c r="E3393" s="18"/>
      <c r="F3393" s="19"/>
      <c r="G3393" s="31"/>
      <c r="H3393" s="31"/>
      <c r="I3393" s="19"/>
      <c r="J3393" s="19"/>
      <c r="K3393" s="21"/>
      <c r="L3393" s="22"/>
      <c r="M3393" s="19"/>
      <c r="N3393" s="20"/>
      <c r="O3393" s="19"/>
      <c r="P3393" s="19"/>
      <c r="Q3393" s="19"/>
      <c r="R3393" s="19"/>
      <c r="S3393" s="19"/>
      <c r="T3393" s="19"/>
      <c r="U3393" s="19"/>
      <c r="V3393" s="19"/>
      <c r="W3393" s="19"/>
      <c r="X3393" s="19"/>
      <c r="Y3393" s="19"/>
      <c r="Z3393" s="19"/>
      <c r="AA3393" s="19"/>
      <c r="AB3393" s="19"/>
      <c r="AC3393" s="19"/>
      <c r="AD3393" s="19"/>
      <c r="AE3393" s="19"/>
      <c r="AF3393" s="19"/>
      <c r="AG3393" s="19"/>
      <c r="AH3393" s="19"/>
      <c r="AI3393" s="19"/>
      <c r="AJ3393" s="19"/>
      <c r="AK3393" s="19"/>
      <c r="AL3393" s="19"/>
      <c r="AM3393" s="19"/>
      <c r="AN3393" s="19"/>
      <c r="AO3393" s="19"/>
      <c r="AP3393" s="19"/>
      <c r="AQ3393" s="19"/>
      <c r="AR3393" s="19"/>
      <c r="AS3393" s="19"/>
    </row>
    <row r="3394" spans="1:45" x14ac:dyDescent="0.3">
      <c r="A3394" s="410" t="s">
        <v>5112</v>
      </c>
      <c r="B3394" s="17"/>
      <c r="C3394" s="19"/>
      <c r="D3394" s="19"/>
      <c r="E3394" s="18"/>
      <c r="F3394" s="19"/>
      <c r="G3394" s="31"/>
      <c r="H3394" s="31"/>
      <c r="I3394" s="19"/>
      <c r="J3394" s="19"/>
      <c r="K3394" s="21"/>
      <c r="L3394" s="22"/>
      <c r="M3394" s="19"/>
      <c r="N3394" s="20"/>
      <c r="O3394" s="19"/>
      <c r="P3394" s="19"/>
      <c r="Q3394" s="19"/>
      <c r="R3394" s="19"/>
      <c r="S3394" s="19"/>
      <c r="T3394" s="19"/>
      <c r="U3394" s="19"/>
      <c r="V3394" s="19"/>
      <c r="W3394" s="19"/>
      <c r="X3394" s="19"/>
      <c r="Y3394" s="19"/>
      <c r="Z3394" s="19"/>
      <c r="AA3394" s="19"/>
      <c r="AB3394" s="19"/>
      <c r="AC3394" s="19"/>
      <c r="AD3394" s="19"/>
      <c r="AE3394" s="19"/>
      <c r="AF3394" s="19"/>
      <c r="AG3394" s="19"/>
      <c r="AH3394" s="19"/>
      <c r="AI3394" s="19"/>
      <c r="AJ3394" s="19"/>
      <c r="AK3394" s="19"/>
      <c r="AL3394" s="19"/>
      <c r="AM3394" s="19"/>
      <c r="AN3394" s="19"/>
      <c r="AO3394" s="19"/>
      <c r="AP3394" s="19"/>
      <c r="AQ3394" s="19"/>
      <c r="AR3394" s="19"/>
      <c r="AS3394" s="19"/>
    </row>
    <row r="3395" spans="1:45" x14ac:dyDescent="0.3">
      <c r="A3395" s="410" t="s">
        <v>5113</v>
      </c>
      <c r="B3395" s="17"/>
      <c r="C3395" s="19"/>
      <c r="D3395" s="19"/>
      <c r="E3395" s="18"/>
      <c r="F3395" s="19"/>
      <c r="G3395" s="31"/>
      <c r="H3395" s="31"/>
      <c r="I3395" s="19"/>
      <c r="J3395" s="19"/>
      <c r="K3395" s="21"/>
      <c r="L3395" s="22"/>
      <c r="M3395" s="19"/>
      <c r="N3395" s="20"/>
      <c r="O3395" s="19"/>
      <c r="P3395" s="19"/>
      <c r="Q3395" s="19"/>
      <c r="R3395" s="19"/>
      <c r="S3395" s="19"/>
      <c r="T3395" s="19"/>
      <c r="U3395" s="19"/>
      <c r="V3395" s="19"/>
      <c r="W3395" s="19"/>
      <c r="X3395" s="19"/>
      <c r="Y3395" s="19"/>
      <c r="Z3395" s="19"/>
      <c r="AA3395" s="19"/>
      <c r="AB3395" s="19"/>
      <c r="AC3395" s="19"/>
      <c r="AD3395" s="19"/>
      <c r="AE3395" s="19"/>
      <c r="AF3395" s="19"/>
      <c r="AG3395" s="19"/>
      <c r="AH3395" s="19"/>
      <c r="AI3395" s="19"/>
      <c r="AJ3395" s="19"/>
      <c r="AK3395" s="19"/>
      <c r="AL3395" s="19"/>
      <c r="AM3395" s="19"/>
      <c r="AN3395" s="19"/>
      <c r="AO3395" s="19"/>
      <c r="AP3395" s="19"/>
      <c r="AQ3395" s="19"/>
      <c r="AR3395" s="19"/>
      <c r="AS3395" s="19"/>
    </row>
    <row r="3396" spans="1:45" x14ac:dyDescent="0.3">
      <c r="A3396" s="410" t="s">
        <v>5114</v>
      </c>
      <c r="B3396" s="17"/>
      <c r="C3396" s="19"/>
      <c r="D3396" s="19"/>
      <c r="E3396" s="18"/>
      <c r="F3396" s="19"/>
      <c r="G3396" s="31"/>
      <c r="H3396" s="31"/>
      <c r="I3396" s="19"/>
      <c r="J3396" s="19"/>
      <c r="K3396" s="21"/>
      <c r="L3396" s="22"/>
      <c r="M3396" s="19"/>
      <c r="N3396" s="20"/>
      <c r="O3396" s="19"/>
      <c r="P3396" s="19"/>
      <c r="Q3396" s="19"/>
      <c r="R3396" s="19"/>
      <c r="S3396" s="19"/>
      <c r="T3396" s="19"/>
      <c r="U3396" s="19"/>
      <c r="V3396" s="19"/>
      <c r="W3396" s="19"/>
      <c r="X3396" s="19"/>
      <c r="Y3396" s="19"/>
      <c r="Z3396" s="19"/>
      <c r="AA3396" s="19"/>
      <c r="AB3396" s="19"/>
      <c r="AC3396" s="19"/>
      <c r="AD3396" s="19"/>
      <c r="AE3396" s="19"/>
      <c r="AF3396" s="19"/>
      <c r="AG3396" s="19"/>
      <c r="AH3396" s="19"/>
      <c r="AI3396" s="19"/>
      <c r="AJ3396" s="19"/>
      <c r="AK3396" s="19"/>
      <c r="AL3396" s="19"/>
      <c r="AM3396" s="19"/>
      <c r="AN3396" s="19"/>
      <c r="AO3396" s="19"/>
      <c r="AP3396" s="19"/>
      <c r="AQ3396" s="19"/>
      <c r="AR3396" s="19"/>
      <c r="AS3396" s="19"/>
    </row>
    <row r="3397" spans="1:45" x14ac:dyDescent="0.3">
      <c r="A3397" s="410" t="s">
        <v>5115</v>
      </c>
      <c r="B3397" s="17"/>
      <c r="C3397" s="19"/>
      <c r="D3397" s="19"/>
      <c r="E3397" s="18"/>
      <c r="F3397" s="19"/>
      <c r="G3397" s="31"/>
      <c r="H3397" s="31"/>
      <c r="I3397" s="19"/>
      <c r="J3397" s="19"/>
      <c r="K3397" s="21"/>
      <c r="L3397" s="22"/>
      <c r="M3397" s="19"/>
      <c r="N3397" s="20"/>
      <c r="O3397" s="19"/>
      <c r="P3397" s="19"/>
      <c r="Q3397" s="19"/>
      <c r="R3397" s="19"/>
      <c r="S3397" s="19"/>
      <c r="T3397" s="19"/>
      <c r="U3397" s="19"/>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row>
    <row r="3398" spans="1:45" x14ac:dyDescent="0.3">
      <c r="A3398" s="410" t="s">
        <v>5116</v>
      </c>
      <c r="B3398" s="17"/>
      <c r="C3398" s="19"/>
      <c r="D3398" s="19"/>
      <c r="E3398" s="18"/>
      <c r="F3398" s="19"/>
      <c r="G3398" s="31"/>
      <c r="H3398" s="31"/>
      <c r="I3398" s="19"/>
      <c r="J3398" s="19"/>
      <c r="K3398" s="21"/>
      <c r="L3398" s="22"/>
      <c r="M3398" s="19"/>
      <c r="N3398" s="20"/>
      <c r="O3398" s="19"/>
      <c r="P3398" s="19"/>
      <c r="Q3398" s="19"/>
      <c r="R3398" s="19"/>
      <c r="S3398" s="19"/>
      <c r="T3398" s="19"/>
      <c r="U3398" s="19"/>
      <c r="V3398" s="19"/>
      <c r="W3398" s="19"/>
      <c r="X3398" s="19"/>
      <c r="Y3398" s="19"/>
      <c r="Z3398" s="19"/>
      <c r="AA3398" s="19"/>
      <c r="AB3398" s="19"/>
      <c r="AC3398" s="19"/>
      <c r="AD3398" s="19"/>
      <c r="AE3398" s="19"/>
      <c r="AF3398" s="19"/>
      <c r="AG3398" s="19"/>
      <c r="AH3398" s="19"/>
      <c r="AI3398" s="19"/>
      <c r="AJ3398" s="19"/>
      <c r="AK3398" s="19"/>
      <c r="AL3398" s="19"/>
      <c r="AM3398" s="19"/>
      <c r="AN3398" s="19"/>
      <c r="AO3398" s="19"/>
      <c r="AP3398" s="19"/>
      <c r="AQ3398" s="19"/>
      <c r="AR3398" s="19"/>
      <c r="AS3398" s="19"/>
    </row>
    <row r="3399" spans="1:45" x14ac:dyDescent="0.3">
      <c r="A3399" s="410" t="s">
        <v>5117</v>
      </c>
      <c r="B3399" s="17"/>
      <c r="C3399" s="19"/>
      <c r="D3399" s="19"/>
      <c r="E3399" s="18"/>
      <c r="F3399" s="19"/>
      <c r="G3399" s="31"/>
      <c r="H3399" s="31"/>
      <c r="I3399" s="19"/>
      <c r="J3399" s="19"/>
      <c r="K3399" s="21"/>
      <c r="L3399" s="22"/>
      <c r="M3399" s="19"/>
      <c r="N3399" s="20"/>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row>
    <row r="3400" spans="1:45" x14ac:dyDescent="0.3">
      <c r="A3400" s="410" t="s">
        <v>5118</v>
      </c>
      <c r="B3400" s="17"/>
      <c r="C3400" s="19"/>
      <c r="D3400" s="19"/>
      <c r="E3400" s="18"/>
      <c r="F3400" s="19"/>
      <c r="G3400" s="31"/>
      <c r="H3400" s="31"/>
      <c r="I3400" s="19"/>
      <c r="J3400" s="19"/>
      <c r="K3400" s="21"/>
      <c r="L3400" s="22"/>
      <c r="M3400" s="19"/>
      <c r="N3400" s="20"/>
      <c r="O3400" s="19"/>
      <c r="P3400" s="19"/>
      <c r="Q3400" s="19"/>
      <c r="R3400" s="19"/>
      <c r="S3400" s="19"/>
      <c r="T3400" s="19"/>
      <c r="U3400" s="19"/>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row>
    <row r="3401" spans="1:45" x14ac:dyDescent="0.3">
      <c r="A3401" s="410" t="s">
        <v>5119</v>
      </c>
      <c r="B3401" s="17"/>
      <c r="C3401" s="19"/>
      <c r="D3401" s="19"/>
      <c r="E3401" s="18"/>
      <c r="F3401" s="19"/>
      <c r="G3401" s="31"/>
      <c r="H3401" s="31"/>
      <c r="I3401" s="19"/>
      <c r="J3401" s="19"/>
      <c r="K3401" s="21"/>
      <c r="L3401" s="22"/>
      <c r="M3401" s="19"/>
      <c r="N3401" s="20"/>
      <c r="O3401" s="19"/>
      <c r="P3401" s="19"/>
      <c r="Q3401" s="19"/>
      <c r="R3401" s="19"/>
      <c r="S3401" s="19"/>
      <c r="T3401" s="19"/>
      <c r="U3401" s="19"/>
      <c r="V3401" s="19"/>
      <c r="W3401" s="19"/>
      <c r="X3401" s="19"/>
      <c r="Y3401" s="19"/>
      <c r="Z3401" s="19"/>
      <c r="AA3401" s="19"/>
      <c r="AB3401" s="19"/>
      <c r="AC3401" s="19"/>
      <c r="AD3401" s="19"/>
      <c r="AE3401" s="19"/>
      <c r="AF3401" s="19"/>
      <c r="AG3401" s="19"/>
      <c r="AH3401" s="19"/>
      <c r="AI3401" s="19"/>
      <c r="AJ3401" s="19"/>
      <c r="AK3401" s="19"/>
      <c r="AL3401" s="19"/>
      <c r="AM3401" s="19"/>
      <c r="AN3401" s="19"/>
      <c r="AO3401" s="19"/>
      <c r="AP3401" s="19"/>
      <c r="AQ3401" s="19"/>
      <c r="AR3401" s="19"/>
      <c r="AS3401" s="19"/>
    </row>
    <row r="3402" spans="1:45" x14ac:dyDescent="0.3">
      <c r="A3402" s="410" t="s">
        <v>5120</v>
      </c>
      <c r="B3402" s="17"/>
      <c r="C3402" s="19"/>
      <c r="D3402" s="19"/>
      <c r="E3402" s="18"/>
      <c r="F3402" s="19"/>
      <c r="G3402" s="31"/>
      <c r="H3402" s="31"/>
      <c r="I3402" s="19"/>
      <c r="J3402" s="19"/>
      <c r="K3402" s="21"/>
      <c r="L3402" s="22"/>
      <c r="M3402" s="19"/>
      <c r="N3402" s="20"/>
      <c r="O3402" s="19"/>
      <c r="P3402" s="19"/>
      <c r="Q3402" s="19"/>
      <c r="R3402" s="19"/>
      <c r="S3402" s="19"/>
      <c r="T3402" s="19"/>
      <c r="U3402" s="19"/>
      <c r="V3402" s="19"/>
      <c r="W3402" s="19"/>
      <c r="X3402" s="19"/>
      <c r="Y3402" s="19"/>
      <c r="Z3402" s="19"/>
      <c r="AA3402" s="19"/>
      <c r="AB3402" s="19"/>
      <c r="AC3402" s="19"/>
      <c r="AD3402" s="19"/>
      <c r="AE3402" s="19"/>
      <c r="AF3402" s="19"/>
      <c r="AG3402" s="19"/>
      <c r="AH3402" s="19"/>
      <c r="AI3402" s="19"/>
      <c r="AJ3402" s="19"/>
      <c r="AK3402" s="19"/>
      <c r="AL3402" s="19"/>
      <c r="AM3402" s="19"/>
      <c r="AN3402" s="19"/>
      <c r="AO3402" s="19"/>
      <c r="AP3402" s="19"/>
      <c r="AQ3402" s="19"/>
      <c r="AR3402" s="19"/>
      <c r="AS3402" s="19"/>
    </row>
    <row r="3403" spans="1:45" x14ac:dyDescent="0.3">
      <c r="A3403" s="410" t="s">
        <v>5121</v>
      </c>
      <c r="B3403" s="17"/>
      <c r="C3403" s="19"/>
      <c r="D3403" s="19"/>
      <c r="E3403" s="18"/>
      <c r="F3403" s="19"/>
      <c r="G3403" s="31"/>
      <c r="H3403" s="31"/>
      <c r="I3403" s="19"/>
      <c r="J3403" s="19"/>
      <c r="K3403" s="21"/>
      <c r="L3403" s="22"/>
      <c r="M3403" s="19"/>
      <c r="N3403" s="20"/>
      <c r="O3403" s="19"/>
      <c r="P3403" s="19"/>
      <c r="Q3403" s="19"/>
      <c r="R3403" s="19"/>
      <c r="S3403" s="19"/>
      <c r="T3403" s="19"/>
      <c r="U3403" s="19"/>
      <c r="V3403" s="19"/>
      <c r="W3403" s="19"/>
      <c r="X3403" s="19"/>
      <c r="Y3403" s="19"/>
      <c r="Z3403" s="19"/>
      <c r="AA3403" s="19"/>
      <c r="AB3403" s="19"/>
      <c r="AC3403" s="19"/>
      <c r="AD3403" s="19"/>
      <c r="AE3403" s="19"/>
      <c r="AF3403" s="19"/>
      <c r="AG3403" s="19"/>
      <c r="AH3403" s="19"/>
      <c r="AI3403" s="19"/>
      <c r="AJ3403" s="19"/>
      <c r="AK3403" s="19"/>
      <c r="AL3403" s="19"/>
      <c r="AM3403" s="19"/>
      <c r="AN3403" s="19"/>
      <c r="AO3403" s="19"/>
      <c r="AP3403" s="19"/>
      <c r="AQ3403" s="19"/>
      <c r="AR3403" s="19"/>
      <c r="AS3403" s="19"/>
    </row>
    <row r="3404" spans="1:45" x14ac:dyDescent="0.3">
      <c r="A3404" s="410" t="s">
        <v>5122</v>
      </c>
      <c r="B3404" s="17"/>
      <c r="C3404" s="19"/>
      <c r="D3404" s="19"/>
      <c r="E3404" s="18"/>
      <c r="F3404" s="19"/>
      <c r="G3404" s="31"/>
      <c r="H3404" s="31"/>
      <c r="I3404" s="19"/>
      <c r="J3404" s="19"/>
      <c r="K3404" s="21"/>
      <c r="L3404" s="22"/>
      <c r="M3404" s="19"/>
      <c r="N3404" s="20"/>
      <c r="O3404" s="19"/>
      <c r="P3404" s="19"/>
      <c r="Q3404" s="19"/>
      <c r="R3404" s="19"/>
      <c r="S3404" s="19"/>
      <c r="T3404" s="19"/>
      <c r="U3404" s="19"/>
      <c r="V3404" s="19"/>
      <c r="W3404" s="19"/>
      <c r="X3404" s="19"/>
      <c r="Y3404" s="19"/>
      <c r="Z3404" s="19"/>
      <c r="AA3404" s="19"/>
      <c r="AB3404" s="19"/>
      <c r="AC3404" s="19"/>
      <c r="AD3404" s="19"/>
      <c r="AE3404" s="19"/>
      <c r="AF3404" s="19"/>
      <c r="AG3404" s="19"/>
      <c r="AH3404" s="19"/>
      <c r="AI3404" s="19"/>
      <c r="AJ3404" s="19"/>
      <c r="AK3404" s="19"/>
      <c r="AL3404" s="19"/>
      <c r="AM3404" s="19"/>
      <c r="AN3404" s="19"/>
      <c r="AO3404" s="19"/>
      <c r="AP3404" s="19"/>
      <c r="AQ3404" s="19"/>
      <c r="AR3404" s="19"/>
      <c r="AS3404" s="19"/>
    </row>
    <row r="3405" spans="1:45" x14ac:dyDescent="0.3">
      <c r="A3405" s="410" t="s">
        <v>5123</v>
      </c>
      <c r="B3405" s="17"/>
      <c r="C3405" s="19"/>
      <c r="D3405" s="19"/>
      <c r="E3405" s="18"/>
      <c r="F3405" s="19"/>
      <c r="G3405" s="31"/>
      <c r="H3405" s="31"/>
      <c r="I3405" s="19"/>
      <c r="J3405" s="19"/>
      <c r="K3405" s="21"/>
      <c r="L3405" s="22"/>
      <c r="M3405" s="19"/>
      <c r="N3405" s="20"/>
      <c r="O3405" s="19"/>
      <c r="P3405" s="19"/>
      <c r="Q3405" s="19"/>
      <c r="R3405" s="19"/>
      <c r="S3405" s="19"/>
      <c r="T3405" s="19"/>
      <c r="U3405" s="19"/>
      <c r="V3405" s="19"/>
      <c r="W3405" s="19"/>
      <c r="X3405" s="19"/>
      <c r="Y3405" s="19"/>
      <c r="Z3405" s="19"/>
      <c r="AA3405" s="19"/>
      <c r="AB3405" s="19"/>
      <c r="AC3405" s="19"/>
      <c r="AD3405" s="19"/>
      <c r="AE3405" s="19"/>
      <c r="AF3405" s="19"/>
      <c r="AG3405" s="19"/>
      <c r="AH3405" s="19"/>
      <c r="AI3405" s="19"/>
      <c r="AJ3405" s="19"/>
      <c r="AK3405" s="19"/>
      <c r="AL3405" s="19"/>
      <c r="AM3405" s="19"/>
      <c r="AN3405" s="19"/>
      <c r="AO3405" s="19"/>
      <c r="AP3405" s="19"/>
      <c r="AQ3405" s="19"/>
      <c r="AR3405" s="19"/>
      <c r="AS3405" s="19"/>
    </row>
    <row r="3406" spans="1:45" x14ac:dyDescent="0.3">
      <c r="A3406" s="410" t="s">
        <v>5124</v>
      </c>
      <c r="B3406" s="17"/>
      <c r="C3406" s="19"/>
      <c r="D3406" s="19"/>
      <c r="E3406" s="18"/>
      <c r="F3406" s="19"/>
      <c r="G3406" s="31"/>
      <c r="H3406" s="31"/>
      <c r="I3406" s="19"/>
      <c r="J3406" s="19"/>
      <c r="K3406" s="21"/>
      <c r="L3406" s="22"/>
      <c r="M3406" s="19"/>
      <c r="N3406" s="20"/>
      <c r="O3406" s="19"/>
      <c r="P3406" s="19"/>
      <c r="Q3406" s="19"/>
      <c r="R3406" s="19"/>
      <c r="S3406" s="19"/>
      <c r="T3406" s="19"/>
      <c r="U3406" s="19"/>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19"/>
    </row>
    <row r="3407" spans="1:45" x14ac:dyDescent="0.3">
      <c r="A3407" s="410" t="s">
        <v>5125</v>
      </c>
      <c r="B3407" s="17"/>
      <c r="C3407" s="19"/>
      <c r="D3407" s="19"/>
      <c r="E3407" s="18"/>
      <c r="F3407" s="19"/>
      <c r="G3407" s="31"/>
      <c r="H3407" s="31"/>
      <c r="I3407" s="19"/>
      <c r="J3407" s="19"/>
      <c r="K3407" s="21"/>
      <c r="L3407" s="22"/>
      <c r="M3407" s="19"/>
      <c r="N3407" s="20"/>
      <c r="O3407" s="19"/>
      <c r="P3407" s="19"/>
      <c r="Q3407" s="19"/>
      <c r="R3407" s="19"/>
      <c r="S3407" s="19"/>
      <c r="T3407" s="19"/>
      <c r="U3407" s="19"/>
      <c r="V3407" s="19"/>
      <c r="W3407" s="19"/>
      <c r="X3407" s="19"/>
      <c r="Y3407" s="19"/>
      <c r="Z3407" s="19"/>
      <c r="AA3407" s="19"/>
      <c r="AB3407" s="19"/>
      <c r="AC3407" s="19"/>
      <c r="AD3407" s="19"/>
      <c r="AE3407" s="19"/>
      <c r="AF3407" s="19"/>
      <c r="AG3407" s="19"/>
      <c r="AH3407" s="19"/>
      <c r="AI3407" s="19"/>
      <c r="AJ3407" s="19"/>
      <c r="AK3407" s="19"/>
      <c r="AL3407" s="19"/>
      <c r="AM3407" s="19"/>
      <c r="AN3407" s="19"/>
      <c r="AO3407" s="19"/>
      <c r="AP3407" s="19"/>
      <c r="AQ3407" s="19"/>
      <c r="AR3407" s="19"/>
      <c r="AS3407" s="19"/>
    </row>
    <row r="3408" spans="1:45" x14ac:dyDescent="0.3">
      <c r="A3408" s="410" t="s">
        <v>5126</v>
      </c>
      <c r="B3408" s="17"/>
      <c r="C3408" s="19"/>
      <c r="D3408" s="19"/>
      <c r="E3408" s="18"/>
      <c r="F3408" s="19"/>
      <c r="G3408" s="31"/>
      <c r="H3408" s="31"/>
      <c r="I3408" s="19"/>
      <c r="J3408" s="19"/>
      <c r="K3408" s="21"/>
      <c r="L3408" s="22"/>
      <c r="M3408" s="19"/>
      <c r="N3408" s="20"/>
      <c r="O3408" s="19"/>
      <c r="P3408" s="19"/>
      <c r="Q3408" s="19"/>
      <c r="R3408" s="19"/>
      <c r="S3408" s="19"/>
      <c r="T3408" s="19"/>
      <c r="U3408" s="19"/>
      <c r="V3408" s="19"/>
      <c r="W3408" s="19"/>
      <c r="X3408" s="19"/>
      <c r="Y3408" s="19"/>
      <c r="Z3408" s="19"/>
      <c r="AA3408" s="19"/>
      <c r="AB3408" s="19"/>
      <c r="AC3408" s="19"/>
      <c r="AD3408" s="19"/>
      <c r="AE3408" s="19"/>
      <c r="AF3408" s="19"/>
      <c r="AG3408" s="19"/>
      <c r="AH3408" s="19"/>
      <c r="AI3408" s="19"/>
      <c r="AJ3408" s="19"/>
      <c r="AK3408" s="19"/>
      <c r="AL3408" s="19"/>
      <c r="AM3408" s="19"/>
      <c r="AN3408" s="19"/>
      <c r="AO3408" s="19"/>
      <c r="AP3408" s="19"/>
      <c r="AQ3408" s="19"/>
      <c r="AR3408" s="19"/>
      <c r="AS3408" s="19"/>
    </row>
    <row r="3409" spans="1:45" x14ac:dyDescent="0.3">
      <c r="A3409" s="410" t="s">
        <v>5127</v>
      </c>
      <c r="B3409" s="17"/>
      <c r="C3409" s="19"/>
      <c r="D3409" s="19"/>
      <c r="E3409" s="18"/>
      <c r="F3409" s="19"/>
      <c r="G3409" s="31"/>
      <c r="H3409" s="31"/>
      <c r="I3409" s="19"/>
      <c r="J3409" s="19"/>
      <c r="K3409" s="21"/>
      <c r="L3409" s="22"/>
      <c r="M3409" s="19"/>
      <c r="N3409" s="20"/>
      <c r="O3409" s="19"/>
      <c r="P3409" s="19"/>
      <c r="Q3409" s="19"/>
      <c r="R3409" s="19"/>
      <c r="S3409" s="19"/>
      <c r="T3409" s="19"/>
      <c r="U3409" s="19"/>
      <c r="V3409" s="19"/>
      <c r="W3409" s="19"/>
      <c r="X3409" s="19"/>
      <c r="Y3409" s="19"/>
      <c r="Z3409" s="19"/>
      <c r="AA3409" s="19"/>
      <c r="AB3409" s="19"/>
      <c r="AC3409" s="19"/>
      <c r="AD3409" s="19"/>
      <c r="AE3409" s="19"/>
      <c r="AF3409" s="19"/>
      <c r="AG3409" s="19"/>
      <c r="AH3409" s="19"/>
      <c r="AI3409" s="19"/>
      <c r="AJ3409" s="19"/>
      <c r="AK3409" s="19"/>
      <c r="AL3409" s="19"/>
      <c r="AM3409" s="19"/>
      <c r="AN3409" s="19"/>
      <c r="AO3409" s="19"/>
      <c r="AP3409" s="19"/>
      <c r="AQ3409" s="19"/>
      <c r="AR3409" s="19"/>
      <c r="AS3409" s="19"/>
    </row>
    <row r="3410" spans="1:45" x14ac:dyDescent="0.3">
      <c r="A3410" s="410" t="s">
        <v>5128</v>
      </c>
      <c r="B3410" s="17"/>
      <c r="C3410" s="19"/>
      <c r="D3410" s="19"/>
      <c r="E3410" s="18"/>
      <c r="F3410" s="19"/>
      <c r="G3410" s="31"/>
      <c r="H3410" s="31"/>
      <c r="I3410" s="19"/>
      <c r="J3410" s="19"/>
      <c r="K3410" s="21"/>
      <c r="L3410" s="22"/>
      <c r="M3410" s="19"/>
      <c r="N3410" s="20"/>
      <c r="O3410" s="19"/>
      <c r="P3410" s="19"/>
      <c r="Q3410" s="19"/>
      <c r="R3410" s="19"/>
      <c r="S3410" s="19"/>
      <c r="T3410" s="19"/>
      <c r="U3410" s="19"/>
      <c r="V3410" s="19"/>
      <c r="W3410" s="19"/>
      <c r="X3410" s="19"/>
      <c r="Y3410" s="19"/>
      <c r="Z3410" s="19"/>
      <c r="AA3410" s="19"/>
      <c r="AB3410" s="19"/>
      <c r="AC3410" s="19"/>
      <c r="AD3410" s="19"/>
      <c r="AE3410" s="19"/>
      <c r="AF3410" s="19"/>
      <c r="AG3410" s="19"/>
      <c r="AH3410" s="19"/>
      <c r="AI3410" s="19"/>
      <c r="AJ3410" s="19"/>
      <c r="AK3410" s="19"/>
      <c r="AL3410" s="19"/>
      <c r="AM3410" s="19"/>
      <c r="AN3410" s="19"/>
      <c r="AO3410" s="19"/>
      <c r="AP3410" s="19"/>
      <c r="AQ3410" s="19"/>
      <c r="AR3410" s="19"/>
      <c r="AS3410" s="19"/>
    </row>
    <row r="3411" spans="1:45" x14ac:dyDescent="0.3">
      <c r="A3411" s="410" t="s">
        <v>5129</v>
      </c>
      <c r="B3411" s="17"/>
      <c r="C3411" s="19"/>
      <c r="D3411" s="19"/>
      <c r="E3411" s="18"/>
      <c r="F3411" s="19"/>
      <c r="G3411" s="31"/>
      <c r="H3411" s="31"/>
      <c r="I3411" s="19"/>
      <c r="J3411" s="19"/>
      <c r="K3411" s="21"/>
      <c r="L3411" s="22"/>
      <c r="M3411" s="19"/>
      <c r="N3411" s="20"/>
      <c r="O3411" s="19"/>
      <c r="P3411" s="19"/>
      <c r="Q3411" s="19"/>
      <c r="R3411" s="19"/>
      <c r="S3411" s="19"/>
      <c r="T3411" s="19"/>
      <c r="U3411" s="19"/>
      <c r="V3411" s="19"/>
      <c r="W3411" s="19"/>
      <c r="X3411" s="19"/>
      <c r="Y3411" s="19"/>
      <c r="Z3411" s="19"/>
      <c r="AA3411" s="19"/>
      <c r="AB3411" s="19"/>
      <c r="AC3411" s="19"/>
      <c r="AD3411" s="19"/>
      <c r="AE3411" s="19"/>
      <c r="AF3411" s="19"/>
      <c r="AG3411" s="19"/>
      <c r="AH3411" s="19"/>
      <c r="AI3411" s="19"/>
      <c r="AJ3411" s="19"/>
      <c r="AK3411" s="19"/>
      <c r="AL3411" s="19"/>
      <c r="AM3411" s="19"/>
      <c r="AN3411" s="19"/>
      <c r="AO3411" s="19"/>
      <c r="AP3411" s="19"/>
      <c r="AQ3411" s="19"/>
      <c r="AR3411" s="19"/>
      <c r="AS3411" s="19"/>
    </row>
    <row r="3412" spans="1:45" x14ac:dyDescent="0.3">
      <c r="A3412" s="410" t="s">
        <v>5130</v>
      </c>
      <c r="B3412" s="17"/>
      <c r="C3412" s="19"/>
      <c r="D3412" s="19"/>
      <c r="E3412" s="17"/>
      <c r="F3412" s="19"/>
      <c r="G3412" s="31"/>
      <c r="H3412" s="31"/>
      <c r="I3412" s="19"/>
      <c r="J3412" s="19"/>
      <c r="K3412" s="21"/>
      <c r="L3412" s="22"/>
      <c r="M3412" s="19"/>
      <c r="N3412" s="20"/>
      <c r="O3412" s="19"/>
      <c r="P3412" s="19"/>
      <c r="Q3412" s="19"/>
      <c r="R3412" s="19"/>
      <c r="S3412" s="19"/>
      <c r="T3412" s="19"/>
      <c r="U3412" s="19"/>
      <c r="V3412" s="19"/>
      <c r="W3412" s="19"/>
      <c r="X3412" s="19"/>
      <c r="Y3412" s="19"/>
      <c r="Z3412" s="19"/>
      <c r="AA3412" s="19"/>
      <c r="AB3412" s="19"/>
      <c r="AC3412" s="19"/>
      <c r="AD3412" s="19"/>
      <c r="AE3412" s="19"/>
      <c r="AF3412" s="19"/>
      <c r="AG3412" s="19"/>
      <c r="AH3412" s="19"/>
      <c r="AI3412" s="19"/>
      <c r="AJ3412" s="19"/>
      <c r="AK3412" s="19"/>
      <c r="AL3412" s="19"/>
      <c r="AM3412" s="19"/>
      <c r="AN3412" s="19"/>
      <c r="AO3412" s="19"/>
      <c r="AP3412" s="19"/>
      <c r="AQ3412" s="19"/>
      <c r="AR3412" s="19"/>
      <c r="AS3412" s="19"/>
    </row>
    <row r="3413" spans="1:45" x14ac:dyDescent="0.3">
      <c r="A3413" s="410"/>
      <c r="B3413" s="17"/>
      <c r="C3413" s="19"/>
      <c r="D3413" s="19"/>
      <c r="E3413" s="17"/>
      <c r="F3413" s="19"/>
      <c r="G3413" s="31"/>
      <c r="H3413" s="31"/>
      <c r="I3413" s="19"/>
      <c r="J3413" s="19"/>
      <c r="K3413" s="21"/>
      <c r="L3413" s="22"/>
      <c r="M3413" s="19"/>
      <c r="N3413" s="20"/>
      <c r="O3413" s="19"/>
      <c r="P3413" s="19"/>
      <c r="Q3413" s="19"/>
      <c r="R3413" s="19"/>
      <c r="S3413" s="19"/>
      <c r="T3413" s="19"/>
      <c r="U3413" s="19"/>
      <c r="V3413" s="19"/>
      <c r="W3413" s="19"/>
      <c r="X3413" s="19"/>
      <c r="Y3413" s="19"/>
      <c r="Z3413" s="19"/>
      <c r="AA3413" s="19"/>
      <c r="AB3413" s="19"/>
      <c r="AC3413" s="19"/>
      <c r="AD3413" s="19"/>
      <c r="AE3413" s="19"/>
      <c r="AF3413" s="19"/>
      <c r="AG3413" s="19"/>
      <c r="AH3413" s="19"/>
      <c r="AI3413" s="19"/>
      <c r="AJ3413" s="19"/>
      <c r="AK3413" s="19"/>
      <c r="AL3413" s="19"/>
      <c r="AM3413" s="19"/>
      <c r="AN3413" s="19"/>
      <c r="AO3413" s="19"/>
      <c r="AP3413" s="19"/>
      <c r="AQ3413" s="19"/>
      <c r="AR3413" s="19"/>
      <c r="AS3413" s="19"/>
    </row>
    <row r="3414" spans="1:45" x14ac:dyDescent="0.3">
      <c r="A3414" s="410" t="s">
        <v>5131</v>
      </c>
      <c r="B3414" s="17" t="s">
        <v>5132</v>
      </c>
      <c r="C3414" s="19" t="s">
        <v>1368</v>
      </c>
      <c r="D3414" s="19">
        <v>23196741</v>
      </c>
      <c r="E3414" s="17"/>
      <c r="F3414" s="19"/>
      <c r="G3414" s="31"/>
      <c r="H3414" s="31"/>
      <c r="I3414" s="19"/>
      <c r="J3414" s="19"/>
      <c r="K3414" s="21"/>
      <c r="L3414" s="22"/>
      <c r="M3414" s="19"/>
      <c r="N3414" s="20"/>
      <c r="O3414" s="19"/>
      <c r="P3414" s="19"/>
      <c r="Q3414" s="19"/>
      <c r="R3414" s="19"/>
      <c r="S3414" s="19"/>
      <c r="T3414" s="19"/>
      <c r="U3414" s="19"/>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19"/>
    </row>
    <row r="3415" spans="1:45" x14ac:dyDescent="0.3">
      <c r="A3415" s="410" t="s">
        <v>5133</v>
      </c>
      <c r="B3415" s="17" t="s">
        <v>5134</v>
      </c>
      <c r="C3415" s="19" t="s">
        <v>1368</v>
      </c>
      <c r="D3415" s="19">
        <v>23194659</v>
      </c>
      <c r="E3415" s="17"/>
      <c r="F3415" s="19"/>
      <c r="G3415" s="31"/>
      <c r="H3415" s="31"/>
      <c r="I3415" s="19"/>
      <c r="J3415" s="19"/>
      <c r="K3415" s="21"/>
      <c r="L3415" s="22"/>
      <c r="M3415" s="19"/>
      <c r="N3415" s="20"/>
      <c r="O3415" s="19"/>
      <c r="P3415" s="19"/>
      <c r="Q3415" s="19"/>
      <c r="R3415" s="19"/>
      <c r="S3415" s="19"/>
      <c r="T3415" s="19"/>
      <c r="U3415" s="19"/>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19"/>
    </row>
    <row r="3416" spans="1:45" x14ac:dyDescent="0.3">
      <c r="A3416" s="410" t="s">
        <v>5135</v>
      </c>
      <c r="B3416" s="17" t="s">
        <v>5136</v>
      </c>
      <c r="C3416" s="19" t="s">
        <v>1368</v>
      </c>
      <c r="D3416" s="19">
        <v>23139660</v>
      </c>
      <c r="E3416" s="17"/>
      <c r="F3416" s="19"/>
      <c r="G3416" s="31"/>
      <c r="H3416" s="31"/>
      <c r="I3416" s="19"/>
      <c r="J3416" s="19"/>
      <c r="K3416" s="21"/>
      <c r="L3416" s="22"/>
      <c r="M3416" s="19"/>
      <c r="N3416" s="20"/>
      <c r="O3416" s="19"/>
      <c r="P3416" s="19"/>
      <c r="Q3416" s="19"/>
      <c r="R3416" s="19"/>
      <c r="S3416" s="19"/>
      <c r="T3416" s="19"/>
      <c r="U3416" s="19"/>
      <c r="V3416" s="19"/>
      <c r="W3416" s="19"/>
      <c r="X3416" s="19"/>
      <c r="Y3416" s="19"/>
      <c r="Z3416" s="19"/>
      <c r="AA3416" s="19"/>
      <c r="AB3416" s="19"/>
      <c r="AC3416" s="19"/>
      <c r="AD3416" s="19"/>
      <c r="AE3416" s="19"/>
      <c r="AF3416" s="19"/>
      <c r="AG3416" s="19"/>
      <c r="AH3416" s="19"/>
      <c r="AI3416" s="19"/>
      <c r="AJ3416" s="19"/>
      <c r="AK3416" s="19"/>
      <c r="AL3416" s="19"/>
      <c r="AM3416" s="19"/>
      <c r="AN3416" s="19"/>
      <c r="AO3416" s="19"/>
      <c r="AP3416" s="19"/>
      <c r="AQ3416" s="19"/>
      <c r="AR3416" s="19"/>
      <c r="AS3416" s="19"/>
    </row>
    <row r="3417" spans="1:45" x14ac:dyDescent="0.3">
      <c r="A3417" s="410" t="s">
        <v>5137</v>
      </c>
      <c r="B3417" s="17" t="s">
        <v>5138</v>
      </c>
      <c r="C3417" s="19" t="s">
        <v>1368</v>
      </c>
      <c r="D3417" s="19">
        <v>23193946</v>
      </c>
      <c r="E3417" s="17"/>
      <c r="F3417" s="19"/>
      <c r="G3417" s="31"/>
      <c r="H3417" s="31"/>
      <c r="I3417" s="19"/>
      <c r="J3417" s="19"/>
      <c r="K3417" s="21"/>
      <c r="L3417" s="22"/>
      <c r="M3417" s="19"/>
      <c r="N3417" s="20"/>
      <c r="O3417" s="19"/>
      <c r="P3417" s="19"/>
      <c r="Q3417" s="19"/>
      <c r="R3417" s="19"/>
      <c r="S3417" s="19"/>
      <c r="T3417" s="19"/>
      <c r="U3417" s="19"/>
      <c r="V3417" s="19"/>
      <c r="W3417" s="19"/>
      <c r="X3417" s="19"/>
      <c r="Y3417" s="19"/>
      <c r="Z3417" s="19"/>
      <c r="AA3417" s="19"/>
      <c r="AB3417" s="19"/>
      <c r="AC3417" s="19"/>
      <c r="AD3417" s="19"/>
      <c r="AE3417" s="19"/>
      <c r="AF3417" s="19"/>
      <c r="AG3417" s="19"/>
      <c r="AH3417" s="19"/>
      <c r="AI3417" s="19"/>
      <c r="AJ3417" s="19"/>
      <c r="AK3417" s="19"/>
      <c r="AL3417" s="19"/>
      <c r="AM3417" s="19"/>
      <c r="AN3417" s="19"/>
      <c r="AO3417" s="19"/>
      <c r="AP3417" s="19"/>
      <c r="AQ3417" s="19"/>
      <c r="AR3417" s="19"/>
      <c r="AS3417" s="19"/>
    </row>
    <row r="3418" spans="1:45" x14ac:dyDescent="0.3">
      <c r="A3418" s="410" t="s">
        <v>5139</v>
      </c>
      <c r="B3418" s="17" t="s">
        <v>5140</v>
      </c>
      <c r="C3418" s="19" t="s">
        <v>1368</v>
      </c>
      <c r="D3418" s="19">
        <v>23149327</v>
      </c>
      <c r="E3418" s="17"/>
      <c r="F3418" s="19"/>
      <c r="G3418" s="31"/>
      <c r="H3418" s="31"/>
      <c r="I3418" s="19"/>
      <c r="J3418" s="19"/>
      <c r="K3418" s="21"/>
      <c r="L3418" s="22"/>
      <c r="M3418" s="19"/>
      <c r="N3418" s="20"/>
      <c r="O3418" s="19"/>
      <c r="P3418" s="19"/>
      <c r="Q3418" s="19"/>
      <c r="R3418" s="19"/>
      <c r="S3418" s="19"/>
      <c r="T3418" s="19"/>
      <c r="U3418" s="19"/>
      <c r="V3418" s="19"/>
      <c r="W3418" s="19"/>
      <c r="X3418" s="19"/>
      <c r="Y3418" s="19"/>
      <c r="Z3418" s="19"/>
      <c r="AA3418" s="19"/>
      <c r="AB3418" s="19"/>
      <c r="AC3418" s="19"/>
      <c r="AD3418" s="19"/>
      <c r="AE3418" s="19"/>
      <c r="AF3418" s="19"/>
      <c r="AG3418" s="19"/>
      <c r="AH3418" s="19"/>
      <c r="AI3418" s="19"/>
      <c r="AJ3418" s="19"/>
      <c r="AK3418" s="19"/>
      <c r="AL3418" s="19"/>
      <c r="AM3418" s="19"/>
      <c r="AN3418" s="19"/>
      <c r="AO3418" s="19"/>
      <c r="AP3418" s="19"/>
      <c r="AQ3418" s="19"/>
      <c r="AR3418" s="19"/>
      <c r="AS3418" s="19"/>
    </row>
    <row r="3419" spans="1:45" x14ac:dyDescent="0.3">
      <c r="A3419" s="410" t="s">
        <v>5141</v>
      </c>
      <c r="B3419" s="17" t="s">
        <v>5142</v>
      </c>
      <c r="C3419" s="19"/>
      <c r="D3419" s="19">
        <v>23054739</v>
      </c>
      <c r="E3419" s="17"/>
      <c r="F3419" s="19"/>
      <c r="G3419" s="31">
        <v>45351</v>
      </c>
      <c r="H3419" s="31">
        <v>45716</v>
      </c>
      <c r="I3419" s="19" t="s">
        <v>1372</v>
      </c>
      <c r="J3419" s="19" t="s">
        <v>1373</v>
      </c>
      <c r="K3419" s="21" t="s">
        <v>1372</v>
      </c>
      <c r="L3419" s="22" t="s">
        <v>1373</v>
      </c>
      <c r="M3419" s="19" t="s">
        <v>1461</v>
      </c>
      <c r="N3419" s="20" t="s">
        <v>4327</v>
      </c>
      <c r="O3419" s="19" t="s">
        <v>2582</v>
      </c>
      <c r="P3419" s="19"/>
      <c r="Q3419" s="19" t="s">
        <v>1372</v>
      </c>
      <c r="R3419" s="19" t="s">
        <v>1372</v>
      </c>
      <c r="S3419" s="19" t="s">
        <v>1372</v>
      </c>
      <c r="T3419" s="19" t="s">
        <v>1372</v>
      </c>
      <c r="U3419" s="19" t="s">
        <v>1461</v>
      </c>
      <c r="V3419" s="19" t="s">
        <v>1372</v>
      </c>
      <c r="W3419" s="19"/>
      <c r="X3419" s="19"/>
      <c r="Y3419" s="19"/>
      <c r="Z3419" s="19" t="s">
        <v>5143</v>
      </c>
      <c r="AA3419" s="19"/>
      <c r="AB3419" s="19"/>
      <c r="AC3419" s="19"/>
      <c r="AD3419" s="19"/>
      <c r="AE3419" s="19"/>
      <c r="AF3419" s="19"/>
      <c r="AG3419" s="19" t="s">
        <v>1372</v>
      </c>
      <c r="AH3419" s="19"/>
      <c r="AI3419" s="19"/>
      <c r="AJ3419" s="19"/>
      <c r="AK3419" s="19"/>
      <c r="AL3419" s="19"/>
      <c r="AM3419" s="19" t="s">
        <v>1372</v>
      </c>
      <c r="AN3419" s="19"/>
      <c r="AO3419" s="19"/>
      <c r="AP3419" s="19"/>
      <c r="AQ3419" s="19"/>
      <c r="AR3419" s="19"/>
      <c r="AS3419" s="19"/>
    </row>
    <row r="3420" spans="1:45" x14ac:dyDescent="0.3">
      <c r="A3420" s="410" t="s">
        <v>5144</v>
      </c>
      <c r="B3420" s="17" t="s">
        <v>5145</v>
      </c>
      <c r="C3420" s="19"/>
      <c r="D3420" s="18">
        <v>23199219</v>
      </c>
      <c r="E3420" s="17"/>
      <c r="F3420" s="19"/>
      <c r="G3420" s="31">
        <v>45351</v>
      </c>
      <c r="H3420" s="31">
        <v>45716</v>
      </c>
      <c r="I3420" s="19" t="s">
        <v>1372</v>
      </c>
      <c r="J3420" s="19" t="s">
        <v>1373</v>
      </c>
      <c r="K3420" s="21" t="s">
        <v>1372</v>
      </c>
      <c r="L3420" s="22" t="s">
        <v>1373</v>
      </c>
      <c r="M3420" s="19" t="s">
        <v>1461</v>
      </c>
      <c r="N3420" s="20" t="s">
        <v>4327</v>
      </c>
      <c r="O3420" s="19"/>
      <c r="P3420" s="19" t="s">
        <v>1372</v>
      </c>
      <c r="Q3420" s="19" t="s">
        <v>1372</v>
      </c>
      <c r="R3420" s="19" t="s">
        <v>1372</v>
      </c>
      <c r="S3420" s="19" t="s">
        <v>1372</v>
      </c>
      <c r="T3420" s="19" t="s">
        <v>1372</v>
      </c>
      <c r="U3420" s="19" t="s">
        <v>1372</v>
      </c>
      <c r="V3420" s="19" t="s">
        <v>1372</v>
      </c>
      <c r="W3420" s="19"/>
      <c r="X3420" s="19"/>
      <c r="Y3420" s="19"/>
      <c r="Z3420" s="19" t="s">
        <v>5143</v>
      </c>
      <c r="AA3420" s="19"/>
      <c r="AB3420" s="19"/>
      <c r="AC3420" s="19"/>
      <c r="AD3420" s="19"/>
      <c r="AE3420" s="19"/>
      <c r="AF3420" s="19" t="s">
        <v>1372</v>
      </c>
      <c r="AG3420" s="19" t="s">
        <v>1372</v>
      </c>
      <c r="AH3420" s="19"/>
      <c r="AI3420" s="19"/>
      <c r="AJ3420" s="19"/>
      <c r="AK3420" s="19"/>
      <c r="AL3420" s="19"/>
      <c r="AM3420" s="19" t="s">
        <v>1372</v>
      </c>
      <c r="AN3420" s="19"/>
      <c r="AO3420" s="19"/>
      <c r="AP3420" s="19"/>
      <c r="AQ3420" s="19"/>
      <c r="AR3420" s="19" t="s">
        <v>1768</v>
      </c>
      <c r="AS3420" s="19"/>
    </row>
    <row r="3421" spans="1:45" x14ac:dyDescent="0.3">
      <c r="A3421" s="410" t="s">
        <v>5146</v>
      </c>
      <c r="B3421" s="17" t="s">
        <v>5147</v>
      </c>
      <c r="C3421" s="19"/>
      <c r="D3421" s="19">
        <v>23208614</v>
      </c>
      <c r="E3421" s="17"/>
      <c r="F3421" s="19"/>
      <c r="G3421" s="31"/>
      <c r="H3421" s="31">
        <v>365</v>
      </c>
      <c r="I3421" s="19" t="s">
        <v>1372</v>
      </c>
      <c r="J3421" s="19" t="s">
        <v>1373</v>
      </c>
      <c r="K3421" s="21" t="s">
        <v>1372</v>
      </c>
      <c r="L3421" s="22" t="s">
        <v>1373</v>
      </c>
      <c r="M3421" s="19" t="s">
        <v>1461</v>
      </c>
      <c r="N3421" s="20" t="s">
        <v>4327</v>
      </c>
      <c r="O3421" s="19"/>
      <c r="P3421" s="19" t="s">
        <v>1372</v>
      </c>
      <c r="Q3421" s="19" t="s">
        <v>1372</v>
      </c>
      <c r="R3421" s="19" t="s">
        <v>1372</v>
      </c>
      <c r="S3421" s="19" t="s">
        <v>1372</v>
      </c>
      <c r="T3421" s="19" t="s">
        <v>1372</v>
      </c>
      <c r="U3421" s="19" t="s">
        <v>1372</v>
      </c>
      <c r="V3421" s="19" t="s">
        <v>1372</v>
      </c>
      <c r="W3421" s="19"/>
      <c r="X3421" s="19"/>
      <c r="Y3421" s="19"/>
      <c r="Z3421" s="19" t="s">
        <v>5143</v>
      </c>
      <c r="AA3421" s="19"/>
      <c r="AB3421" s="19"/>
      <c r="AC3421" s="19"/>
      <c r="AD3421" s="19"/>
      <c r="AE3421" s="19"/>
      <c r="AF3421" s="19" t="s">
        <v>1372</v>
      </c>
      <c r="AG3421" s="19"/>
      <c r="AH3421" s="19"/>
      <c r="AI3421" s="19"/>
      <c r="AJ3421" s="19"/>
      <c r="AK3421" s="19"/>
      <c r="AL3421" s="19"/>
      <c r="AM3421" s="19" t="s">
        <v>1372</v>
      </c>
      <c r="AN3421" s="19"/>
      <c r="AO3421" s="19"/>
      <c r="AP3421" s="19"/>
      <c r="AQ3421" s="19"/>
      <c r="AR3421" s="19"/>
      <c r="AS3421" s="19"/>
    </row>
    <row r="3422" spans="1:45" x14ac:dyDescent="0.3">
      <c r="A3422" s="410" t="s">
        <v>5148</v>
      </c>
      <c r="B3422" s="17" t="s">
        <v>5149</v>
      </c>
      <c r="C3422" s="19" t="s">
        <v>1368</v>
      </c>
      <c r="D3422" s="19">
        <v>23192557</v>
      </c>
      <c r="E3422" s="17"/>
      <c r="F3422" s="19"/>
      <c r="G3422" s="31"/>
      <c r="H3422" s="31"/>
      <c r="I3422" s="19"/>
      <c r="J3422" s="19"/>
      <c r="K3422" s="21"/>
      <c r="L3422" s="22"/>
      <c r="M3422" s="19"/>
      <c r="N3422" s="20"/>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row>
    <row r="3423" spans="1:45" x14ac:dyDescent="0.3">
      <c r="A3423" s="410" t="s">
        <v>5150</v>
      </c>
      <c r="B3423" s="17" t="s">
        <v>5151</v>
      </c>
      <c r="C3423" s="19" t="s">
        <v>1368</v>
      </c>
      <c r="D3423" s="19">
        <v>23195896</v>
      </c>
      <c r="E3423" s="17"/>
      <c r="F3423" s="19"/>
      <c r="G3423" s="31"/>
      <c r="H3423" s="31"/>
      <c r="I3423" s="19"/>
      <c r="J3423" s="19"/>
      <c r="K3423" s="21"/>
      <c r="L3423" s="22"/>
      <c r="M3423" s="19"/>
      <c r="N3423" s="20"/>
      <c r="O3423" s="19"/>
      <c r="P3423" s="19"/>
      <c r="Q3423" s="19"/>
      <c r="R3423" s="19"/>
      <c r="S3423" s="19"/>
      <c r="T3423" s="19"/>
      <c r="U3423" s="19"/>
      <c r="V3423" s="19"/>
      <c r="W3423" s="19"/>
      <c r="X3423" s="19"/>
      <c r="Y3423" s="19"/>
      <c r="Z3423" s="19"/>
      <c r="AA3423" s="19"/>
      <c r="AB3423" s="19"/>
      <c r="AC3423" s="19"/>
      <c r="AD3423" s="19"/>
      <c r="AE3423" s="19"/>
      <c r="AF3423" s="19"/>
      <c r="AG3423" s="19"/>
      <c r="AH3423" s="19"/>
      <c r="AI3423" s="19"/>
      <c r="AJ3423" s="19"/>
      <c r="AK3423" s="19"/>
      <c r="AL3423" s="19"/>
      <c r="AM3423" s="19"/>
      <c r="AN3423" s="19"/>
      <c r="AO3423" s="19"/>
      <c r="AP3423" s="19"/>
      <c r="AQ3423" s="19"/>
      <c r="AR3423" s="19"/>
      <c r="AS3423" s="19"/>
    </row>
    <row r="3424" spans="1:45" x14ac:dyDescent="0.3">
      <c r="A3424" s="410" t="s">
        <v>5152</v>
      </c>
      <c r="B3424" s="17" t="s">
        <v>5153</v>
      </c>
      <c r="C3424" s="19" t="s">
        <v>1368</v>
      </c>
      <c r="D3424" s="19">
        <v>23054706</v>
      </c>
      <c r="E3424" s="17"/>
      <c r="F3424" s="19"/>
      <c r="G3424" s="31"/>
      <c r="H3424" s="31"/>
      <c r="I3424" s="19"/>
      <c r="J3424" s="19"/>
      <c r="K3424" s="21"/>
      <c r="L3424" s="22"/>
      <c r="M3424" s="19"/>
      <c r="N3424" s="20"/>
      <c r="O3424" s="19"/>
      <c r="P3424" s="19"/>
      <c r="Q3424" s="19"/>
      <c r="R3424" s="19"/>
      <c r="S3424" s="19"/>
      <c r="T3424" s="19"/>
      <c r="U3424" s="19"/>
      <c r="V3424" s="19"/>
      <c r="W3424" s="19"/>
      <c r="X3424" s="19"/>
      <c r="Y3424" s="19"/>
      <c r="Z3424" s="19"/>
      <c r="AA3424" s="19"/>
      <c r="AB3424" s="19"/>
      <c r="AC3424" s="19"/>
      <c r="AD3424" s="19"/>
      <c r="AE3424" s="19"/>
      <c r="AF3424" s="19"/>
      <c r="AG3424" s="19"/>
      <c r="AH3424" s="19"/>
      <c r="AI3424" s="19"/>
      <c r="AJ3424" s="19"/>
      <c r="AK3424" s="19"/>
      <c r="AL3424" s="19"/>
      <c r="AM3424" s="19"/>
      <c r="AN3424" s="19"/>
      <c r="AO3424" s="19"/>
      <c r="AP3424" s="19"/>
      <c r="AQ3424" s="19"/>
      <c r="AR3424" s="19"/>
      <c r="AS3424" s="19"/>
    </row>
    <row r="3425" spans="1:45" x14ac:dyDescent="0.3">
      <c r="A3425" s="410" t="s">
        <v>5154</v>
      </c>
      <c r="B3425" s="17" t="s">
        <v>5155</v>
      </c>
      <c r="C3425" s="19" t="s">
        <v>1368</v>
      </c>
      <c r="D3425" s="19">
        <v>23199213</v>
      </c>
      <c r="E3425" s="17"/>
      <c r="F3425" s="19"/>
      <c r="G3425" s="31"/>
      <c r="H3425" s="31"/>
      <c r="I3425" s="19"/>
      <c r="J3425" s="19"/>
      <c r="K3425" s="21"/>
      <c r="L3425" s="22"/>
      <c r="M3425" s="19"/>
      <c r="N3425" s="20"/>
      <c r="O3425" s="19"/>
      <c r="P3425" s="19"/>
      <c r="Q3425" s="19"/>
      <c r="R3425" s="19"/>
      <c r="S3425" s="19"/>
      <c r="T3425" s="19"/>
      <c r="U3425" s="19"/>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19"/>
    </row>
    <row r="3426" spans="1:45" x14ac:dyDescent="0.3">
      <c r="A3426" s="410" t="s">
        <v>5156</v>
      </c>
      <c r="B3426" s="17" t="s">
        <v>5157</v>
      </c>
      <c r="C3426" s="19" t="s">
        <v>1368</v>
      </c>
      <c r="D3426" s="19">
        <v>23196748</v>
      </c>
      <c r="E3426" s="17"/>
      <c r="F3426" s="19"/>
      <c r="G3426" s="31"/>
      <c r="H3426" s="31"/>
      <c r="I3426" s="19"/>
      <c r="J3426" s="19"/>
      <c r="K3426" s="21"/>
      <c r="L3426" s="22"/>
      <c r="M3426" s="19"/>
      <c r="N3426" s="20"/>
      <c r="O3426" s="19"/>
      <c r="P3426" s="19"/>
      <c r="Q3426" s="19"/>
      <c r="R3426" s="19"/>
      <c r="S3426" s="19"/>
      <c r="T3426" s="19"/>
      <c r="U3426" s="19"/>
      <c r="V3426" s="19"/>
      <c r="W3426" s="19"/>
      <c r="X3426" s="19"/>
      <c r="Y3426" s="19"/>
      <c r="Z3426" s="19"/>
      <c r="AA3426" s="19"/>
      <c r="AB3426" s="19"/>
      <c r="AC3426" s="19"/>
      <c r="AD3426" s="19"/>
      <c r="AE3426" s="19"/>
      <c r="AF3426" s="19"/>
      <c r="AG3426" s="19"/>
      <c r="AH3426" s="19"/>
      <c r="AI3426" s="19"/>
      <c r="AJ3426" s="19"/>
      <c r="AK3426" s="19"/>
      <c r="AL3426" s="19"/>
      <c r="AM3426" s="19"/>
      <c r="AN3426" s="19"/>
      <c r="AO3426" s="19"/>
      <c r="AP3426" s="19"/>
      <c r="AQ3426" s="19"/>
      <c r="AR3426" s="19"/>
      <c r="AS3426" s="19"/>
    </row>
    <row r="3427" spans="1:45" x14ac:dyDescent="0.3">
      <c r="A3427" s="410" t="s">
        <v>5158</v>
      </c>
      <c r="B3427" s="17" t="s">
        <v>5159</v>
      </c>
      <c r="C3427" s="19"/>
      <c r="D3427" s="19">
        <v>23160775</v>
      </c>
      <c r="E3427" s="17"/>
      <c r="F3427" s="19"/>
      <c r="G3427" s="31">
        <v>45351</v>
      </c>
      <c r="H3427" s="31">
        <v>45716</v>
      </c>
      <c r="I3427" s="19" t="s">
        <v>1372</v>
      </c>
      <c r="J3427" s="19" t="s">
        <v>1373</v>
      </c>
      <c r="K3427" s="21" t="s">
        <v>1372</v>
      </c>
      <c r="L3427" s="22" t="s">
        <v>1373</v>
      </c>
      <c r="M3427" s="19" t="s">
        <v>1461</v>
      </c>
      <c r="N3427" s="20" t="s">
        <v>4327</v>
      </c>
      <c r="O3427" s="19" t="s">
        <v>5160</v>
      </c>
      <c r="P3427" s="19"/>
      <c r="Q3427" s="19" t="s">
        <v>1372</v>
      </c>
      <c r="R3427" s="19" t="s">
        <v>1372</v>
      </c>
      <c r="S3427" s="19" t="s">
        <v>1372</v>
      </c>
      <c r="T3427" s="19" t="s">
        <v>1461</v>
      </c>
      <c r="U3427" s="19" t="s">
        <v>1461</v>
      </c>
      <c r="V3427" s="19" t="s">
        <v>1372</v>
      </c>
      <c r="W3427" s="19"/>
      <c r="X3427" s="19"/>
      <c r="Y3427" s="19"/>
      <c r="Z3427" s="19" t="s">
        <v>5143</v>
      </c>
      <c r="AA3427" s="19"/>
      <c r="AB3427" s="19"/>
      <c r="AC3427" s="19"/>
      <c r="AD3427" s="19"/>
      <c r="AE3427" s="19"/>
      <c r="AF3427" s="19"/>
      <c r="AG3427" s="19" t="s">
        <v>1372</v>
      </c>
      <c r="AH3427" s="19"/>
      <c r="AI3427" s="19"/>
      <c r="AJ3427" s="19"/>
      <c r="AK3427" s="19"/>
      <c r="AL3427" s="19"/>
      <c r="AM3427" s="19"/>
      <c r="AN3427" s="19"/>
      <c r="AO3427" s="19"/>
      <c r="AP3427" s="19"/>
      <c r="AQ3427" s="19"/>
      <c r="AR3427" s="19"/>
      <c r="AS3427" s="19"/>
    </row>
    <row r="3428" spans="1:45" x14ac:dyDescent="0.3">
      <c r="A3428" s="410" t="s">
        <v>5161</v>
      </c>
      <c r="B3428" s="17" t="s">
        <v>5162</v>
      </c>
      <c r="C3428" s="19"/>
      <c r="D3428" s="19">
        <v>23140085</v>
      </c>
      <c r="E3428" s="17"/>
      <c r="F3428" s="19"/>
      <c r="G3428" s="31">
        <v>45355</v>
      </c>
      <c r="H3428" s="31">
        <v>45720</v>
      </c>
      <c r="I3428" s="19" t="s">
        <v>1372</v>
      </c>
      <c r="J3428" s="19" t="s">
        <v>1373</v>
      </c>
      <c r="K3428" s="21" t="s">
        <v>1372</v>
      </c>
      <c r="L3428" s="22" t="s">
        <v>1373</v>
      </c>
      <c r="M3428" s="19" t="s">
        <v>1372</v>
      </c>
      <c r="N3428" s="20" t="s">
        <v>4347</v>
      </c>
      <c r="O3428" s="19"/>
      <c r="P3428" s="19" t="s">
        <v>1372</v>
      </c>
      <c r="Q3428" s="19" t="s">
        <v>1372</v>
      </c>
      <c r="R3428" s="19" t="s">
        <v>1372</v>
      </c>
      <c r="S3428" s="19" t="s">
        <v>1372</v>
      </c>
      <c r="T3428" s="19" t="s">
        <v>1372</v>
      </c>
      <c r="U3428" s="19" t="s">
        <v>1372</v>
      </c>
      <c r="V3428" s="19" t="s">
        <v>1372</v>
      </c>
      <c r="W3428" s="19"/>
      <c r="X3428" s="19"/>
      <c r="Y3428" s="19"/>
      <c r="Z3428" s="19" t="s">
        <v>5143</v>
      </c>
      <c r="AA3428" s="19"/>
      <c r="AB3428" s="19"/>
      <c r="AC3428" s="19"/>
      <c r="AD3428" s="19"/>
      <c r="AE3428" s="19"/>
      <c r="AF3428" s="19" t="s">
        <v>1372</v>
      </c>
      <c r="AG3428" s="19" t="s">
        <v>1372</v>
      </c>
      <c r="AH3428" s="19"/>
      <c r="AI3428" s="19"/>
      <c r="AJ3428" s="19"/>
      <c r="AK3428" s="19"/>
      <c r="AL3428" s="19"/>
      <c r="AM3428" s="19" t="s">
        <v>1372</v>
      </c>
      <c r="AN3428" s="19"/>
      <c r="AO3428" s="19"/>
      <c r="AP3428" s="19"/>
      <c r="AQ3428" s="19"/>
      <c r="AR3428" s="19"/>
      <c r="AS3428" s="19"/>
    </row>
    <row r="3429" spans="1:45" x14ac:dyDescent="0.3">
      <c r="A3429" s="410" t="s">
        <v>5163</v>
      </c>
      <c r="B3429" s="17" t="s">
        <v>5164</v>
      </c>
      <c r="C3429" s="19" t="s">
        <v>1368</v>
      </c>
      <c r="D3429" s="19">
        <v>23192563</v>
      </c>
      <c r="E3429" s="17"/>
      <c r="F3429" s="19"/>
      <c r="G3429" s="31"/>
      <c r="H3429" s="31"/>
      <c r="I3429" s="19"/>
      <c r="J3429" s="19"/>
      <c r="K3429" s="18"/>
      <c r="L3429" s="19"/>
      <c r="M3429" s="19"/>
      <c r="N3429" s="20"/>
      <c r="O3429" s="19"/>
      <c r="P3429" s="19"/>
      <c r="Q3429" s="19"/>
      <c r="R3429" s="19"/>
      <c r="S3429" s="19"/>
      <c r="T3429" s="19"/>
      <c r="U3429" s="19"/>
      <c r="V3429" s="19"/>
      <c r="W3429" s="19"/>
      <c r="X3429" s="19"/>
      <c r="Y3429" s="19"/>
      <c r="Z3429" s="19"/>
      <c r="AA3429" s="19"/>
      <c r="AB3429" s="19"/>
      <c r="AC3429" s="19"/>
      <c r="AD3429" s="19"/>
      <c r="AE3429" s="19"/>
      <c r="AF3429" s="19"/>
      <c r="AG3429" s="19"/>
      <c r="AH3429" s="19"/>
      <c r="AI3429" s="19"/>
      <c r="AJ3429" s="19"/>
      <c r="AK3429" s="19"/>
      <c r="AL3429" s="19"/>
      <c r="AM3429" s="19"/>
      <c r="AN3429" s="19"/>
      <c r="AO3429" s="19"/>
      <c r="AP3429" s="19"/>
      <c r="AQ3429" s="19"/>
      <c r="AR3429" s="19"/>
      <c r="AS3429" s="19"/>
    </row>
    <row r="3430" spans="1:45" x14ac:dyDescent="0.3">
      <c r="A3430" s="410" t="s">
        <v>5165</v>
      </c>
      <c r="B3430" s="17" t="s">
        <v>5166</v>
      </c>
      <c r="C3430" s="19" t="s">
        <v>1368</v>
      </c>
      <c r="D3430" s="19">
        <v>23193557</v>
      </c>
      <c r="E3430" s="17"/>
      <c r="F3430" s="19"/>
      <c r="G3430" s="31"/>
      <c r="H3430" s="31"/>
      <c r="I3430" s="19"/>
      <c r="J3430" s="19"/>
      <c r="K3430" s="18"/>
      <c r="L3430" s="19"/>
      <c r="M3430" s="19"/>
      <c r="N3430" s="20"/>
      <c r="O3430" s="19"/>
      <c r="P3430" s="19"/>
      <c r="Q3430" s="19"/>
      <c r="R3430" s="19"/>
      <c r="S3430" s="19"/>
      <c r="T3430" s="19"/>
      <c r="U3430" s="19"/>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19"/>
    </row>
    <row r="3431" spans="1:45" x14ac:dyDescent="0.3">
      <c r="A3431" s="410" t="s">
        <v>5167</v>
      </c>
      <c r="B3431" s="17" t="s">
        <v>5168</v>
      </c>
      <c r="C3431" s="19" t="s">
        <v>1368</v>
      </c>
      <c r="D3431" s="19">
        <v>23149849</v>
      </c>
      <c r="E3431" s="17"/>
      <c r="F3431" s="19"/>
      <c r="G3431" s="31"/>
      <c r="H3431" s="31"/>
      <c r="I3431" s="19"/>
      <c r="J3431" s="19"/>
      <c r="K3431" s="18"/>
      <c r="L3431" s="19"/>
      <c r="M3431" s="19"/>
      <c r="N3431" s="20"/>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row>
    <row r="3432" spans="1:45" x14ac:dyDescent="0.3">
      <c r="A3432" s="410" t="s">
        <v>5169</v>
      </c>
      <c r="B3432" s="17" t="s">
        <v>5170</v>
      </c>
      <c r="C3432" s="19" t="s">
        <v>1368</v>
      </c>
      <c r="D3432" s="19">
        <v>23199218</v>
      </c>
      <c r="E3432" s="17"/>
      <c r="F3432" s="19"/>
      <c r="G3432" s="31"/>
      <c r="H3432" s="31"/>
      <c r="I3432" s="19"/>
      <c r="J3432" s="19"/>
      <c r="K3432" s="18"/>
      <c r="L3432" s="19"/>
      <c r="M3432" s="19"/>
      <c r="N3432" s="20"/>
      <c r="O3432" s="19"/>
      <c r="P3432" s="19"/>
      <c r="Q3432" s="19"/>
      <c r="R3432" s="19"/>
      <c r="S3432" s="19"/>
      <c r="T3432" s="19"/>
      <c r="U3432" s="19"/>
      <c r="V3432" s="19"/>
      <c r="W3432" s="19"/>
      <c r="X3432" s="19"/>
      <c r="Y3432" s="19"/>
      <c r="Z3432" s="19"/>
      <c r="AA3432" s="19"/>
      <c r="AB3432" s="19"/>
      <c r="AC3432" s="19"/>
      <c r="AD3432" s="19"/>
      <c r="AE3432" s="19"/>
      <c r="AF3432" s="19"/>
      <c r="AG3432" s="19"/>
      <c r="AH3432" s="19"/>
      <c r="AI3432" s="19"/>
      <c r="AJ3432" s="19"/>
      <c r="AK3432" s="19"/>
      <c r="AL3432" s="19"/>
      <c r="AM3432" s="19"/>
      <c r="AN3432" s="19"/>
      <c r="AO3432" s="19"/>
      <c r="AP3432" s="19"/>
      <c r="AQ3432" s="19"/>
      <c r="AR3432" s="19"/>
      <c r="AS3432" s="19"/>
    </row>
    <row r="3433" spans="1:45" x14ac:dyDescent="0.3">
      <c r="A3433" s="410" t="s">
        <v>5171</v>
      </c>
      <c r="B3433" s="17" t="s">
        <v>5172</v>
      </c>
      <c r="C3433" s="19" t="s">
        <v>1368</v>
      </c>
      <c r="D3433" s="19">
        <v>23190008</v>
      </c>
      <c r="E3433" s="17"/>
      <c r="F3433" s="19"/>
      <c r="G3433" s="31"/>
      <c r="H3433" s="31"/>
      <c r="I3433" s="19"/>
      <c r="J3433" s="19"/>
      <c r="K3433" s="18"/>
      <c r="L3433" s="19"/>
      <c r="M3433" s="19"/>
      <c r="N3433" s="20"/>
      <c r="O3433" s="19"/>
      <c r="P3433" s="19"/>
      <c r="Q3433" s="19"/>
      <c r="R3433" s="19"/>
      <c r="S3433" s="19"/>
      <c r="T3433" s="19"/>
      <c r="U3433" s="19"/>
      <c r="V3433" s="19"/>
      <c r="W3433" s="19"/>
      <c r="X3433" s="19"/>
      <c r="Y3433" s="19"/>
      <c r="Z3433" s="19"/>
      <c r="AA3433" s="19"/>
      <c r="AB3433" s="19"/>
      <c r="AC3433" s="19"/>
      <c r="AD3433" s="19"/>
      <c r="AE3433" s="19"/>
      <c r="AF3433" s="19"/>
      <c r="AG3433" s="19"/>
      <c r="AH3433" s="19"/>
      <c r="AI3433" s="19"/>
      <c r="AJ3433" s="19"/>
      <c r="AK3433" s="19"/>
      <c r="AL3433" s="19"/>
      <c r="AM3433" s="19"/>
      <c r="AN3433" s="19"/>
      <c r="AO3433" s="19"/>
      <c r="AP3433" s="19"/>
      <c r="AQ3433" s="19"/>
      <c r="AR3433" s="19"/>
      <c r="AS3433" s="19"/>
    </row>
    <row r="3434" spans="1:45" x14ac:dyDescent="0.3">
      <c r="A3434" s="410" t="s">
        <v>5173</v>
      </c>
      <c r="B3434" s="17" t="s">
        <v>5174</v>
      </c>
      <c r="C3434" s="19" t="s">
        <v>1368</v>
      </c>
      <c r="D3434" s="19">
        <v>23193551</v>
      </c>
      <c r="E3434" s="17"/>
      <c r="F3434" s="19"/>
      <c r="G3434" s="31"/>
      <c r="H3434" s="31"/>
      <c r="I3434" s="19"/>
      <c r="J3434" s="19"/>
      <c r="K3434" s="18"/>
      <c r="L3434" s="19"/>
      <c r="M3434" s="19"/>
      <c r="N3434" s="20"/>
      <c r="O3434" s="19"/>
      <c r="P3434" s="19"/>
      <c r="Q3434" s="19"/>
      <c r="R3434" s="19"/>
      <c r="S3434" s="19"/>
      <c r="T3434" s="19"/>
      <c r="U3434" s="19"/>
      <c r="V3434" s="19"/>
      <c r="W3434" s="19"/>
      <c r="X3434" s="19"/>
      <c r="Y3434" s="19"/>
      <c r="Z3434" s="19"/>
      <c r="AA3434" s="19"/>
      <c r="AB3434" s="19"/>
      <c r="AC3434" s="19"/>
      <c r="AD3434" s="19"/>
      <c r="AE3434" s="19"/>
      <c r="AF3434" s="19"/>
      <c r="AG3434" s="19"/>
      <c r="AH3434" s="19"/>
      <c r="AI3434" s="19"/>
      <c r="AJ3434" s="19"/>
      <c r="AK3434" s="19"/>
      <c r="AL3434" s="19"/>
      <c r="AM3434" s="19"/>
      <c r="AN3434" s="19"/>
      <c r="AO3434" s="19"/>
      <c r="AP3434" s="19"/>
      <c r="AQ3434" s="19"/>
      <c r="AR3434" s="19"/>
      <c r="AS3434" s="19"/>
    </row>
    <row r="3435" spans="1:45" x14ac:dyDescent="0.3">
      <c r="A3435" s="410" t="s">
        <v>5175</v>
      </c>
      <c r="B3435" s="17" t="s">
        <v>5176</v>
      </c>
      <c r="C3435" s="19" t="s">
        <v>1368</v>
      </c>
      <c r="D3435" s="19">
        <v>23198205</v>
      </c>
      <c r="E3435" s="17"/>
      <c r="F3435" s="19"/>
      <c r="G3435" s="31"/>
      <c r="H3435" s="31"/>
      <c r="I3435" s="19"/>
      <c r="J3435" s="19"/>
      <c r="K3435" s="21"/>
      <c r="L3435" s="22"/>
      <c r="M3435" s="19"/>
      <c r="N3435" s="20"/>
      <c r="O3435" s="19"/>
      <c r="P3435" s="19"/>
      <c r="Q3435" s="19"/>
      <c r="R3435" s="19"/>
      <c r="S3435" s="19"/>
      <c r="T3435" s="19"/>
      <c r="U3435" s="19"/>
      <c r="V3435" s="19"/>
      <c r="W3435" s="19"/>
      <c r="X3435" s="19"/>
      <c r="Y3435" s="19"/>
      <c r="Z3435" s="19"/>
      <c r="AA3435" s="19"/>
      <c r="AB3435" s="19"/>
      <c r="AC3435" s="19"/>
      <c r="AD3435" s="19"/>
      <c r="AE3435" s="19"/>
      <c r="AF3435" s="19"/>
      <c r="AG3435" s="19"/>
      <c r="AH3435" s="19"/>
      <c r="AI3435" s="19"/>
      <c r="AJ3435" s="19"/>
      <c r="AK3435" s="19"/>
      <c r="AL3435" s="19"/>
      <c r="AM3435" s="19"/>
      <c r="AN3435" s="19"/>
      <c r="AO3435" s="19"/>
      <c r="AP3435" s="19"/>
      <c r="AQ3435" s="19"/>
      <c r="AR3435" s="19"/>
      <c r="AS3435" s="19"/>
    </row>
    <row r="3436" spans="1:45" x14ac:dyDescent="0.3">
      <c r="A3436" s="410" t="s">
        <v>5177</v>
      </c>
      <c r="B3436" s="17" t="s">
        <v>5178</v>
      </c>
      <c r="C3436" s="19" t="s">
        <v>1368</v>
      </c>
      <c r="D3436" s="19">
        <v>23199707</v>
      </c>
      <c r="E3436" s="17"/>
      <c r="F3436" s="19"/>
      <c r="G3436" s="31"/>
      <c r="H3436" s="31"/>
      <c r="I3436" s="19"/>
      <c r="J3436" s="19"/>
      <c r="K3436" s="21"/>
      <c r="L3436" s="22"/>
      <c r="M3436" s="19"/>
      <c r="N3436" s="20"/>
      <c r="O3436" s="19"/>
      <c r="P3436" s="19"/>
      <c r="Q3436" s="19"/>
      <c r="R3436" s="19"/>
      <c r="S3436" s="19"/>
      <c r="T3436" s="19"/>
      <c r="U3436" s="19"/>
      <c r="V3436" s="19"/>
      <c r="W3436" s="19"/>
      <c r="X3436" s="19"/>
      <c r="Y3436" s="19"/>
      <c r="Z3436" s="19"/>
      <c r="AA3436" s="19"/>
      <c r="AB3436" s="19"/>
      <c r="AC3436" s="19"/>
      <c r="AD3436" s="19"/>
      <c r="AE3436" s="19"/>
      <c r="AF3436" s="19"/>
      <c r="AG3436" s="19"/>
      <c r="AH3436" s="19"/>
      <c r="AI3436" s="19"/>
      <c r="AJ3436" s="19"/>
      <c r="AK3436" s="19"/>
      <c r="AL3436" s="19"/>
      <c r="AM3436" s="19"/>
      <c r="AN3436" s="19"/>
      <c r="AO3436" s="19"/>
      <c r="AP3436" s="19"/>
      <c r="AQ3436" s="19"/>
      <c r="AR3436" s="19"/>
      <c r="AS3436" s="19"/>
    </row>
    <row r="3437" spans="1:45" x14ac:dyDescent="0.3">
      <c r="A3437" s="410" t="s">
        <v>5179</v>
      </c>
      <c r="B3437" s="17" t="s">
        <v>5180</v>
      </c>
      <c r="C3437" s="19"/>
      <c r="D3437" s="19">
        <v>23140088</v>
      </c>
      <c r="E3437" s="17"/>
      <c r="F3437" s="19"/>
      <c r="G3437" s="31">
        <v>45360</v>
      </c>
      <c r="H3437" s="31">
        <v>45725</v>
      </c>
      <c r="I3437" s="19" t="s">
        <v>1372</v>
      </c>
      <c r="J3437" s="19" t="s">
        <v>1373</v>
      </c>
      <c r="K3437" s="21" t="s">
        <v>1372</v>
      </c>
      <c r="L3437" s="22" t="s">
        <v>1373</v>
      </c>
      <c r="M3437" s="19" t="s">
        <v>1461</v>
      </c>
      <c r="N3437" s="20" t="s">
        <v>4327</v>
      </c>
      <c r="O3437" s="19" t="s">
        <v>2582</v>
      </c>
      <c r="P3437" s="19"/>
      <c r="Q3437" s="19" t="s">
        <v>1372</v>
      </c>
      <c r="R3437" s="19" t="s">
        <v>1372</v>
      </c>
      <c r="S3437" s="19" t="s">
        <v>1372</v>
      </c>
      <c r="T3437" s="19" t="s">
        <v>1461</v>
      </c>
      <c r="U3437" s="19" t="s">
        <v>1461</v>
      </c>
      <c r="V3437" s="19" t="s">
        <v>1372</v>
      </c>
      <c r="W3437" s="19"/>
      <c r="X3437" s="19"/>
      <c r="Y3437" s="19"/>
      <c r="Z3437" s="19" t="s">
        <v>5143</v>
      </c>
      <c r="AA3437" s="19"/>
      <c r="AB3437" s="19"/>
      <c r="AC3437" s="19"/>
      <c r="AD3437" s="19"/>
      <c r="AE3437" s="19"/>
      <c r="AF3437" s="19"/>
      <c r="AG3437" s="19"/>
      <c r="AH3437" s="19"/>
      <c r="AI3437" s="19"/>
      <c r="AJ3437" s="19"/>
      <c r="AK3437" s="19"/>
      <c r="AL3437" s="19"/>
      <c r="AM3437" s="19"/>
      <c r="AN3437" s="19"/>
      <c r="AO3437" s="19"/>
      <c r="AP3437" s="19"/>
      <c r="AQ3437" s="19"/>
      <c r="AR3437" s="19"/>
      <c r="AS3437" s="19"/>
    </row>
    <row r="3438" spans="1:45" x14ac:dyDescent="0.3">
      <c r="A3438" s="410" t="s">
        <v>5181</v>
      </c>
      <c r="B3438" s="17" t="s">
        <v>5182</v>
      </c>
      <c r="C3438" s="19"/>
      <c r="D3438" s="19">
        <v>23054961</v>
      </c>
      <c r="E3438" s="17"/>
      <c r="F3438" s="19"/>
      <c r="G3438" s="31">
        <v>45355</v>
      </c>
      <c r="H3438" s="31">
        <v>45720</v>
      </c>
      <c r="I3438" s="19" t="s">
        <v>1372</v>
      </c>
      <c r="J3438" s="19" t="s">
        <v>1373</v>
      </c>
      <c r="K3438" s="21" t="s">
        <v>1372</v>
      </c>
      <c r="L3438" s="22" t="s">
        <v>1373</v>
      </c>
      <c r="M3438" s="19" t="s">
        <v>1461</v>
      </c>
      <c r="N3438" s="20" t="s">
        <v>4327</v>
      </c>
      <c r="O3438" s="19" t="s">
        <v>1372</v>
      </c>
      <c r="P3438" s="19"/>
      <c r="Q3438" s="19" t="s">
        <v>1372</v>
      </c>
      <c r="R3438" s="19" t="s">
        <v>1372</v>
      </c>
      <c r="S3438" s="19" t="s">
        <v>1372</v>
      </c>
      <c r="T3438" s="19" t="s">
        <v>1372</v>
      </c>
      <c r="U3438" s="19" t="s">
        <v>1461</v>
      </c>
      <c r="V3438" s="19" t="s">
        <v>1372</v>
      </c>
      <c r="W3438" s="19"/>
      <c r="X3438" s="19"/>
      <c r="Y3438" s="19"/>
      <c r="Z3438" s="19" t="s">
        <v>5143</v>
      </c>
      <c r="AA3438" s="19"/>
      <c r="AB3438" s="19"/>
      <c r="AC3438" s="19"/>
      <c r="AD3438" s="19"/>
      <c r="AE3438" s="19"/>
      <c r="AF3438" s="19"/>
      <c r="AG3438" s="19" t="s">
        <v>1372</v>
      </c>
      <c r="AH3438" s="19"/>
      <c r="AI3438" s="19"/>
      <c r="AJ3438" s="19"/>
      <c r="AK3438" s="19"/>
      <c r="AL3438" s="19"/>
      <c r="AM3438" s="19" t="s">
        <v>1372</v>
      </c>
      <c r="AN3438" s="19"/>
      <c r="AO3438" s="19"/>
      <c r="AP3438" s="19"/>
      <c r="AQ3438" s="19"/>
      <c r="AR3438" s="19"/>
      <c r="AS3438" s="19"/>
    </row>
    <row r="3439" spans="1:45" x14ac:dyDescent="0.3">
      <c r="A3439" s="410" t="s">
        <v>5183</v>
      </c>
      <c r="B3439" s="17" t="s">
        <v>5184</v>
      </c>
      <c r="C3439" s="19" t="s">
        <v>1368</v>
      </c>
      <c r="D3439" s="19">
        <v>23157332</v>
      </c>
      <c r="E3439" s="17"/>
      <c r="F3439" s="19"/>
      <c r="G3439" s="31"/>
      <c r="H3439" s="31"/>
      <c r="I3439" s="19"/>
      <c r="J3439" s="19"/>
      <c r="K3439" s="21"/>
      <c r="L3439" s="22"/>
      <c r="M3439" s="19"/>
      <c r="N3439" s="20"/>
      <c r="O3439" s="19"/>
      <c r="P3439" s="19"/>
      <c r="Q3439" s="19"/>
      <c r="R3439" s="19"/>
      <c r="S3439" s="19"/>
      <c r="T3439" s="19"/>
      <c r="U3439" s="19"/>
      <c r="V3439" s="19"/>
      <c r="W3439" s="19"/>
      <c r="X3439" s="19"/>
      <c r="Y3439" s="19"/>
      <c r="Z3439" s="19"/>
      <c r="AA3439" s="19"/>
      <c r="AB3439" s="19"/>
      <c r="AC3439" s="19"/>
      <c r="AD3439" s="19"/>
      <c r="AE3439" s="19"/>
      <c r="AF3439" s="19"/>
      <c r="AG3439" s="19"/>
      <c r="AH3439" s="19"/>
      <c r="AI3439" s="19"/>
      <c r="AJ3439" s="19"/>
      <c r="AK3439" s="19"/>
      <c r="AL3439" s="19"/>
      <c r="AM3439" s="19"/>
      <c r="AN3439" s="19"/>
      <c r="AO3439" s="19"/>
      <c r="AP3439" s="19"/>
      <c r="AQ3439" s="19"/>
      <c r="AR3439" s="19"/>
      <c r="AS3439" s="19"/>
    </row>
    <row r="3440" spans="1:45" x14ac:dyDescent="0.3">
      <c r="A3440" s="410" t="s">
        <v>5185</v>
      </c>
      <c r="B3440" s="17" t="s">
        <v>5186</v>
      </c>
      <c r="C3440" s="19" t="s">
        <v>1368</v>
      </c>
      <c r="D3440" s="19">
        <v>23194660</v>
      </c>
      <c r="E3440" s="17"/>
      <c r="F3440" s="19"/>
      <c r="G3440" s="31"/>
      <c r="H3440" s="31"/>
      <c r="I3440" s="19"/>
      <c r="J3440" s="19"/>
      <c r="K3440" s="21"/>
      <c r="L3440" s="22"/>
      <c r="M3440" s="19"/>
      <c r="N3440" s="20"/>
      <c r="O3440" s="19"/>
      <c r="P3440" s="19"/>
      <c r="Q3440" s="19"/>
      <c r="R3440" s="19"/>
      <c r="S3440" s="19"/>
      <c r="T3440" s="19"/>
      <c r="U3440" s="19"/>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19"/>
    </row>
    <row r="3441" spans="1:45" x14ac:dyDescent="0.3">
      <c r="A3441" s="410" t="s">
        <v>5187</v>
      </c>
      <c r="B3441" s="17" t="s">
        <v>5188</v>
      </c>
      <c r="C3441" s="19" t="s">
        <v>1368</v>
      </c>
      <c r="D3441" s="19">
        <v>23194652</v>
      </c>
      <c r="E3441" s="17"/>
      <c r="F3441" s="19"/>
      <c r="G3441" s="31"/>
      <c r="H3441" s="31"/>
      <c r="I3441" s="19"/>
      <c r="J3441" s="19"/>
      <c r="K3441" s="21"/>
      <c r="L3441" s="22"/>
      <c r="M3441" s="19"/>
      <c r="N3441" s="20"/>
      <c r="O3441" s="19"/>
      <c r="P3441" s="19"/>
      <c r="Q3441" s="19"/>
      <c r="R3441" s="19"/>
      <c r="S3441" s="19"/>
      <c r="T3441" s="19"/>
      <c r="U3441" s="19"/>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row>
    <row r="3442" spans="1:45" x14ac:dyDescent="0.3">
      <c r="A3442" s="410" t="s">
        <v>5189</v>
      </c>
      <c r="B3442" s="17" t="s">
        <v>5190</v>
      </c>
      <c r="C3442" s="19" t="s">
        <v>1368</v>
      </c>
      <c r="D3442" s="19">
        <v>23195894</v>
      </c>
      <c r="E3442" s="17"/>
      <c r="F3442" s="19"/>
      <c r="G3442" s="31"/>
      <c r="H3442" s="31"/>
      <c r="I3442" s="19"/>
      <c r="J3442" s="19"/>
      <c r="K3442" s="21"/>
      <c r="L3442" s="22"/>
      <c r="M3442" s="19"/>
      <c r="N3442" s="20"/>
      <c r="O3442" s="19"/>
      <c r="P3442" s="19"/>
      <c r="Q3442" s="19"/>
      <c r="R3442" s="19"/>
      <c r="S3442" s="19"/>
      <c r="T3442" s="19"/>
      <c r="U3442" s="19"/>
      <c r="V3442" s="19"/>
      <c r="W3442" s="19"/>
      <c r="X3442" s="19"/>
      <c r="Y3442" s="19"/>
      <c r="Z3442" s="19"/>
      <c r="AA3442" s="19"/>
      <c r="AB3442" s="19"/>
      <c r="AC3442" s="19"/>
      <c r="AD3442" s="19"/>
      <c r="AE3442" s="19"/>
      <c r="AF3442" s="19"/>
      <c r="AG3442" s="19"/>
      <c r="AH3442" s="19"/>
      <c r="AI3442" s="19"/>
      <c r="AJ3442" s="19"/>
      <c r="AK3442" s="19"/>
      <c r="AL3442" s="19"/>
      <c r="AM3442" s="19"/>
      <c r="AN3442" s="19"/>
      <c r="AO3442" s="19"/>
      <c r="AP3442" s="19"/>
      <c r="AQ3442" s="19"/>
      <c r="AR3442" s="19"/>
      <c r="AS3442" s="19"/>
    </row>
    <row r="3443" spans="1:45" x14ac:dyDescent="0.3">
      <c r="A3443" s="410" t="s">
        <v>5191</v>
      </c>
      <c r="B3443" s="17" t="s">
        <v>5192</v>
      </c>
      <c r="C3443" s="19" t="s">
        <v>1368</v>
      </c>
      <c r="D3443" s="19">
        <v>23122967</v>
      </c>
      <c r="E3443" s="17"/>
      <c r="F3443" s="19"/>
      <c r="G3443" s="31"/>
      <c r="H3443" s="31"/>
      <c r="I3443" s="19"/>
      <c r="J3443" s="19"/>
      <c r="K3443" s="21"/>
      <c r="L3443" s="22"/>
      <c r="M3443" s="19"/>
      <c r="N3443" s="20"/>
      <c r="O3443" s="19"/>
      <c r="P3443" s="19"/>
      <c r="Q3443" s="19"/>
      <c r="R3443" s="19"/>
      <c r="S3443" s="19"/>
      <c r="T3443" s="19"/>
      <c r="U3443" s="19"/>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row>
    <row r="3444" spans="1:45" x14ac:dyDescent="0.3">
      <c r="A3444" s="410" t="s">
        <v>5193</v>
      </c>
      <c r="B3444" s="17" t="s">
        <v>5194</v>
      </c>
      <c r="C3444" s="19" t="s">
        <v>1368</v>
      </c>
      <c r="D3444" s="19">
        <v>23054888</v>
      </c>
      <c r="E3444" s="17"/>
      <c r="F3444" s="19"/>
      <c r="G3444" s="31"/>
      <c r="H3444" s="31"/>
      <c r="I3444" s="19"/>
      <c r="J3444" s="19"/>
      <c r="K3444" s="21"/>
      <c r="L3444" s="22"/>
      <c r="M3444" s="19"/>
      <c r="N3444" s="20"/>
      <c r="O3444" s="19"/>
      <c r="P3444" s="19"/>
      <c r="Q3444" s="19"/>
      <c r="R3444" s="19"/>
      <c r="S3444" s="19"/>
      <c r="T3444" s="19"/>
      <c r="U3444" s="19"/>
      <c r="V3444" s="19"/>
      <c r="W3444" s="19"/>
      <c r="X3444" s="19"/>
      <c r="Y3444" s="19"/>
      <c r="Z3444" s="19"/>
      <c r="AA3444" s="19"/>
      <c r="AB3444" s="19"/>
      <c r="AC3444" s="19"/>
      <c r="AD3444" s="19"/>
      <c r="AE3444" s="19"/>
      <c r="AF3444" s="19"/>
      <c r="AG3444" s="19"/>
      <c r="AH3444" s="19"/>
      <c r="AI3444" s="19"/>
      <c r="AJ3444" s="19"/>
      <c r="AK3444" s="19"/>
      <c r="AL3444" s="19"/>
      <c r="AM3444" s="19"/>
      <c r="AN3444" s="19"/>
      <c r="AO3444" s="19"/>
      <c r="AP3444" s="19"/>
      <c r="AQ3444" s="19"/>
      <c r="AR3444" s="19"/>
      <c r="AS3444" s="19"/>
    </row>
    <row r="3445" spans="1:45" x14ac:dyDescent="0.3">
      <c r="A3445" s="410" t="s">
        <v>5195</v>
      </c>
      <c r="B3445" s="17"/>
      <c r="C3445" s="19"/>
      <c r="D3445" s="19"/>
      <c r="E3445" s="17"/>
      <c r="F3445" s="19"/>
      <c r="G3445" s="31"/>
      <c r="H3445" s="31"/>
      <c r="I3445" s="19"/>
      <c r="J3445" s="19"/>
      <c r="K3445" s="21"/>
      <c r="L3445" s="22"/>
      <c r="M3445" s="19"/>
      <c r="N3445" s="20"/>
      <c r="O3445" s="19"/>
      <c r="P3445" s="19"/>
      <c r="Q3445" s="19"/>
      <c r="R3445" s="19"/>
      <c r="S3445" s="19"/>
      <c r="T3445" s="19"/>
      <c r="U3445" s="19"/>
      <c r="V3445" s="19"/>
      <c r="W3445" s="19"/>
      <c r="X3445" s="19"/>
      <c r="Y3445" s="19"/>
      <c r="Z3445" s="19"/>
      <c r="AA3445" s="19"/>
      <c r="AB3445" s="19"/>
      <c r="AC3445" s="19"/>
      <c r="AD3445" s="19"/>
      <c r="AE3445" s="19"/>
      <c r="AF3445" s="19"/>
      <c r="AG3445" s="19"/>
      <c r="AH3445" s="19"/>
      <c r="AI3445" s="19"/>
      <c r="AJ3445" s="19"/>
      <c r="AK3445" s="19"/>
      <c r="AL3445" s="19"/>
      <c r="AM3445" s="19"/>
      <c r="AN3445" s="19"/>
      <c r="AO3445" s="19"/>
      <c r="AP3445" s="19"/>
      <c r="AQ3445" s="19"/>
      <c r="AR3445" s="19"/>
      <c r="AS3445" s="19"/>
    </row>
    <row r="3446" spans="1:45" x14ac:dyDescent="0.3">
      <c r="A3446" s="410" t="s">
        <v>5196</v>
      </c>
      <c r="B3446" s="17"/>
      <c r="C3446" s="19"/>
      <c r="D3446" s="19"/>
      <c r="E3446" s="17"/>
      <c r="F3446" s="19"/>
      <c r="G3446" s="31"/>
      <c r="H3446" s="31"/>
      <c r="I3446" s="19"/>
      <c r="J3446" s="19"/>
      <c r="K3446" s="21"/>
      <c r="L3446" s="22"/>
      <c r="M3446" s="19"/>
      <c r="N3446" s="20"/>
      <c r="O3446" s="19"/>
      <c r="P3446" s="19"/>
      <c r="Q3446" s="19"/>
      <c r="R3446" s="19"/>
      <c r="S3446" s="19"/>
      <c r="T3446" s="19"/>
      <c r="U3446" s="19"/>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19"/>
    </row>
    <row r="3447" spans="1:45" x14ac:dyDescent="0.3">
      <c r="A3447" s="410" t="s">
        <v>5197</v>
      </c>
      <c r="B3447" s="17"/>
      <c r="C3447" s="19"/>
      <c r="D3447" s="19"/>
      <c r="E3447" s="18"/>
      <c r="F3447" s="19"/>
      <c r="G3447" s="31"/>
      <c r="H3447" s="31"/>
      <c r="I3447" s="19"/>
      <c r="J3447" s="19"/>
      <c r="K3447" s="21"/>
      <c r="L3447" s="22"/>
      <c r="M3447" s="19"/>
      <c r="N3447" s="20"/>
      <c r="O3447" s="19"/>
      <c r="P3447" s="19"/>
      <c r="Q3447" s="19"/>
      <c r="R3447" s="19"/>
      <c r="S3447" s="19"/>
      <c r="T3447" s="19"/>
      <c r="U3447" s="19"/>
      <c r="V3447" s="19"/>
      <c r="W3447" s="19"/>
      <c r="X3447" s="19"/>
      <c r="Y3447" s="19"/>
      <c r="Z3447" s="19"/>
      <c r="AA3447" s="19"/>
      <c r="AB3447" s="19"/>
      <c r="AC3447" s="19"/>
      <c r="AD3447" s="19"/>
      <c r="AE3447" s="19"/>
      <c r="AF3447" s="19"/>
      <c r="AG3447" s="19"/>
      <c r="AH3447" s="19"/>
      <c r="AI3447" s="19"/>
      <c r="AJ3447" s="19"/>
      <c r="AK3447" s="19"/>
      <c r="AL3447" s="19"/>
      <c r="AM3447" s="19"/>
      <c r="AN3447" s="19"/>
      <c r="AO3447" s="19"/>
      <c r="AP3447" s="19"/>
      <c r="AQ3447" s="19"/>
      <c r="AR3447" s="19"/>
      <c r="AS3447" s="19"/>
    </row>
    <row r="3448" spans="1:45" x14ac:dyDescent="0.3">
      <c r="A3448" s="410" t="s">
        <v>5198</v>
      </c>
      <c r="B3448" s="17"/>
      <c r="C3448" s="19"/>
      <c r="D3448" s="19"/>
      <c r="E3448" s="18"/>
      <c r="F3448" s="19"/>
      <c r="G3448" s="31"/>
      <c r="H3448" s="31"/>
      <c r="I3448" s="19"/>
      <c r="J3448" s="19"/>
      <c r="K3448" s="21"/>
      <c r="L3448" s="22"/>
      <c r="M3448" s="19"/>
      <c r="N3448" s="20"/>
      <c r="O3448" s="19"/>
      <c r="P3448" s="19"/>
      <c r="Q3448" s="19"/>
      <c r="R3448" s="19"/>
      <c r="S3448" s="19"/>
      <c r="T3448" s="19"/>
      <c r="U3448" s="19"/>
      <c r="V3448" s="19"/>
      <c r="W3448" s="19"/>
      <c r="X3448" s="19"/>
      <c r="Y3448" s="19"/>
      <c r="Z3448" s="19"/>
      <c r="AA3448" s="19"/>
      <c r="AB3448" s="19"/>
      <c r="AC3448" s="19"/>
      <c r="AD3448" s="19"/>
      <c r="AE3448" s="19"/>
      <c r="AF3448" s="19"/>
      <c r="AG3448" s="19"/>
      <c r="AH3448" s="19"/>
      <c r="AI3448" s="19"/>
      <c r="AJ3448" s="19"/>
      <c r="AK3448" s="19"/>
      <c r="AL3448" s="19"/>
      <c r="AM3448" s="19"/>
      <c r="AN3448" s="19"/>
      <c r="AO3448" s="19"/>
      <c r="AP3448" s="19"/>
      <c r="AQ3448" s="19"/>
      <c r="AR3448" s="19"/>
      <c r="AS3448" s="19"/>
    </row>
    <row r="3449" spans="1:45" x14ac:dyDescent="0.3">
      <c r="A3449" s="410" t="s">
        <v>5199</v>
      </c>
      <c r="B3449" s="17"/>
      <c r="C3449" s="19"/>
      <c r="D3449" s="19"/>
      <c r="E3449" s="18"/>
      <c r="F3449" s="19"/>
      <c r="G3449" s="31"/>
      <c r="H3449" s="31"/>
      <c r="I3449" s="19"/>
      <c r="J3449" s="19"/>
      <c r="K3449" s="21"/>
      <c r="L3449" s="22"/>
      <c r="M3449" s="19"/>
      <c r="N3449" s="20"/>
      <c r="O3449" s="19"/>
      <c r="P3449" s="19"/>
      <c r="Q3449" s="19"/>
      <c r="R3449" s="19"/>
      <c r="S3449" s="19"/>
      <c r="T3449" s="19"/>
      <c r="U3449" s="19"/>
      <c r="V3449" s="19"/>
      <c r="W3449" s="19"/>
      <c r="X3449" s="19"/>
      <c r="Y3449" s="19"/>
      <c r="Z3449" s="19"/>
      <c r="AA3449" s="19"/>
      <c r="AB3449" s="19"/>
      <c r="AC3449" s="19"/>
      <c r="AD3449" s="19"/>
      <c r="AE3449" s="19"/>
      <c r="AF3449" s="19"/>
      <c r="AG3449" s="19"/>
      <c r="AH3449" s="19"/>
      <c r="AI3449" s="19"/>
      <c r="AJ3449" s="19"/>
      <c r="AK3449" s="19"/>
      <c r="AL3449" s="19"/>
      <c r="AM3449" s="19"/>
      <c r="AN3449" s="19"/>
      <c r="AO3449" s="19"/>
      <c r="AP3449" s="19"/>
      <c r="AQ3449" s="19"/>
      <c r="AR3449" s="19"/>
      <c r="AS3449" s="19"/>
    </row>
    <row r="3450" spans="1:45" x14ac:dyDescent="0.3">
      <c r="A3450" s="410" t="s">
        <v>5200</v>
      </c>
      <c r="B3450" s="17"/>
      <c r="C3450" s="19"/>
      <c r="D3450" s="19"/>
      <c r="E3450" s="18"/>
      <c r="F3450" s="19"/>
      <c r="G3450" s="31"/>
      <c r="H3450" s="31"/>
      <c r="I3450" s="19"/>
      <c r="J3450" s="19"/>
      <c r="K3450" s="21"/>
      <c r="L3450" s="22"/>
      <c r="M3450" s="19"/>
      <c r="N3450" s="20"/>
      <c r="O3450" s="19"/>
      <c r="P3450" s="19"/>
      <c r="Q3450" s="19"/>
      <c r="R3450" s="19"/>
      <c r="S3450" s="19"/>
      <c r="T3450" s="19"/>
      <c r="U3450" s="19"/>
      <c r="V3450" s="19"/>
      <c r="W3450" s="19"/>
      <c r="X3450" s="19"/>
      <c r="Y3450" s="19"/>
      <c r="Z3450" s="19"/>
      <c r="AA3450" s="19"/>
      <c r="AB3450" s="19"/>
      <c r="AC3450" s="19"/>
      <c r="AD3450" s="19"/>
      <c r="AE3450" s="19"/>
      <c r="AF3450" s="19"/>
      <c r="AG3450" s="19"/>
      <c r="AH3450" s="19"/>
      <c r="AI3450" s="19"/>
      <c r="AJ3450" s="19"/>
      <c r="AK3450" s="19"/>
      <c r="AL3450" s="19"/>
      <c r="AM3450" s="19"/>
      <c r="AN3450" s="19"/>
      <c r="AO3450" s="19"/>
      <c r="AP3450" s="19"/>
      <c r="AQ3450" s="19"/>
      <c r="AR3450" s="19"/>
      <c r="AS3450" s="19"/>
    </row>
    <row r="3451" spans="1:45" x14ac:dyDescent="0.3">
      <c r="A3451" s="410" t="s">
        <v>5201</v>
      </c>
      <c r="B3451" s="17"/>
      <c r="C3451" s="19"/>
      <c r="D3451" s="19"/>
      <c r="E3451" s="18"/>
      <c r="F3451" s="19"/>
      <c r="G3451" s="31"/>
      <c r="H3451" s="31"/>
      <c r="I3451" s="19"/>
      <c r="J3451" s="19"/>
      <c r="K3451" s="21"/>
      <c r="L3451" s="22"/>
      <c r="M3451" s="19"/>
      <c r="N3451" s="20"/>
      <c r="O3451" s="19"/>
      <c r="P3451" s="19"/>
      <c r="Q3451" s="19"/>
      <c r="R3451" s="19"/>
      <c r="S3451" s="19"/>
      <c r="T3451" s="19"/>
      <c r="U3451" s="19"/>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19"/>
    </row>
    <row r="3452" spans="1:45" x14ac:dyDescent="0.3">
      <c r="A3452" s="410" t="s">
        <v>5202</v>
      </c>
      <c r="B3452" s="17"/>
      <c r="C3452" s="19"/>
      <c r="D3452" s="19"/>
      <c r="E3452" s="18"/>
      <c r="F3452" s="19"/>
      <c r="G3452" s="31"/>
      <c r="H3452" s="31"/>
      <c r="I3452" s="19"/>
      <c r="J3452" s="19"/>
      <c r="K3452" s="21"/>
      <c r="L3452" s="22"/>
      <c r="M3452" s="19"/>
      <c r="N3452" s="20"/>
      <c r="O3452" s="19"/>
      <c r="P3452" s="19"/>
      <c r="Q3452" s="19"/>
      <c r="R3452" s="19"/>
      <c r="S3452" s="19"/>
      <c r="T3452" s="19"/>
      <c r="U3452" s="19"/>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19"/>
    </row>
    <row r="3453" spans="1:45" x14ac:dyDescent="0.3">
      <c r="A3453" s="410" t="s">
        <v>5203</v>
      </c>
      <c r="B3453" s="17"/>
      <c r="C3453" s="19"/>
      <c r="D3453" s="19"/>
      <c r="E3453" s="18"/>
      <c r="F3453" s="19"/>
      <c r="G3453" s="31"/>
      <c r="H3453" s="31"/>
      <c r="I3453" s="19"/>
      <c r="J3453" s="19"/>
      <c r="K3453" s="21"/>
      <c r="L3453" s="22"/>
      <c r="M3453" s="19"/>
      <c r="N3453" s="20"/>
      <c r="O3453" s="19"/>
      <c r="P3453" s="19"/>
      <c r="Q3453" s="19"/>
      <c r="R3453" s="19"/>
      <c r="S3453" s="19"/>
      <c r="T3453" s="19"/>
      <c r="U3453" s="19"/>
      <c r="V3453" s="19"/>
      <c r="W3453" s="19"/>
      <c r="X3453" s="19"/>
      <c r="Y3453" s="19"/>
      <c r="Z3453" s="19"/>
      <c r="AA3453" s="19"/>
      <c r="AB3453" s="19"/>
      <c r="AC3453" s="19"/>
      <c r="AD3453" s="19"/>
      <c r="AE3453" s="19"/>
      <c r="AF3453" s="19"/>
      <c r="AG3453" s="19"/>
      <c r="AH3453" s="19"/>
      <c r="AI3453" s="19"/>
      <c r="AJ3453" s="19"/>
      <c r="AK3453" s="19"/>
      <c r="AL3453" s="19"/>
      <c r="AM3453" s="19"/>
      <c r="AN3453" s="19"/>
      <c r="AO3453" s="19"/>
      <c r="AP3453" s="19"/>
      <c r="AQ3453" s="19"/>
      <c r="AR3453" s="19"/>
      <c r="AS3453" s="19"/>
    </row>
    <row r="3454" spans="1:45" x14ac:dyDescent="0.3">
      <c r="A3454" s="410" t="s">
        <v>5204</v>
      </c>
      <c r="B3454" s="17"/>
      <c r="C3454" s="19"/>
      <c r="D3454" s="18"/>
      <c r="E3454" s="18"/>
      <c r="F3454" s="19"/>
      <c r="G3454" s="31"/>
      <c r="H3454" s="31"/>
      <c r="I3454" s="19"/>
      <c r="J3454" s="19"/>
      <c r="K3454" s="21"/>
      <c r="L3454" s="22"/>
      <c r="M3454" s="19"/>
      <c r="N3454" s="20"/>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row>
    <row r="3455" spans="1:45" x14ac:dyDescent="0.3">
      <c r="A3455" s="410" t="s">
        <v>5205</v>
      </c>
      <c r="B3455" s="17"/>
      <c r="C3455" s="19"/>
      <c r="D3455" s="18"/>
      <c r="E3455" s="18"/>
      <c r="F3455" s="19"/>
      <c r="G3455" s="31"/>
      <c r="H3455" s="31"/>
      <c r="I3455" s="19"/>
      <c r="J3455" s="19"/>
      <c r="K3455" s="21"/>
      <c r="L3455" s="22"/>
      <c r="M3455" s="19"/>
      <c r="N3455" s="20"/>
      <c r="O3455" s="19"/>
      <c r="P3455" s="19"/>
      <c r="Q3455" s="19"/>
      <c r="R3455" s="19"/>
      <c r="S3455" s="19"/>
      <c r="T3455" s="19"/>
      <c r="U3455" s="19"/>
      <c r="V3455" s="19"/>
      <c r="W3455" s="19"/>
      <c r="X3455" s="19"/>
      <c r="Y3455" s="19"/>
      <c r="Z3455" s="19"/>
      <c r="AA3455" s="19"/>
      <c r="AB3455" s="19"/>
      <c r="AC3455" s="19"/>
      <c r="AD3455" s="19"/>
      <c r="AE3455" s="19"/>
      <c r="AF3455" s="19"/>
      <c r="AG3455" s="19"/>
      <c r="AH3455" s="19"/>
      <c r="AI3455" s="19"/>
      <c r="AJ3455" s="19"/>
      <c r="AK3455" s="19"/>
      <c r="AL3455" s="19"/>
      <c r="AM3455" s="19"/>
      <c r="AN3455" s="19"/>
      <c r="AO3455" s="19"/>
      <c r="AP3455" s="19"/>
      <c r="AQ3455" s="19"/>
      <c r="AR3455" s="19"/>
      <c r="AS3455" s="19"/>
    </row>
    <row r="3456" spans="1:45" x14ac:dyDescent="0.3">
      <c r="A3456" s="410" t="s">
        <v>5206</v>
      </c>
      <c r="B3456" s="17"/>
      <c r="C3456" s="19"/>
      <c r="D3456" s="18"/>
      <c r="E3456" s="18"/>
      <c r="F3456" s="19"/>
      <c r="G3456" s="31"/>
      <c r="H3456" s="31"/>
      <c r="I3456" s="19"/>
      <c r="J3456" s="19"/>
      <c r="K3456" s="21"/>
      <c r="L3456" s="22"/>
      <c r="M3456" s="19"/>
      <c r="N3456" s="20"/>
      <c r="O3456" s="19"/>
      <c r="P3456" s="19"/>
      <c r="Q3456" s="19"/>
      <c r="R3456" s="19"/>
      <c r="S3456" s="19"/>
      <c r="T3456" s="19"/>
      <c r="U3456" s="19"/>
      <c r="V3456" s="19"/>
      <c r="W3456" s="19"/>
      <c r="X3456" s="19"/>
      <c r="Y3456" s="19"/>
      <c r="Z3456" s="19"/>
      <c r="AA3456" s="19"/>
      <c r="AB3456" s="19"/>
      <c r="AC3456" s="19"/>
      <c r="AD3456" s="19"/>
      <c r="AE3456" s="19"/>
      <c r="AF3456" s="19"/>
      <c r="AG3456" s="19"/>
      <c r="AH3456" s="19"/>
      <c r="AI3456" s="19"/>
      <c r="AJ3456" s="19"/>
      <c r="AK3456" s="19"/>
      <c r="AL3456" s="19"/>
      <c r="AM3456" s="19"/>
      <c r="AN3456" s="19"/>
      <c r="AO3456" s="19"/>
      <c r="AP3456" s="19"/>
      <c r="AQ3456" s="19"/>
      <c r="AR3456" s="19"/>
      <c r="AS3456" s="19"/>
    </row>
    <row r="3457" spans="1:45" x14ac:dyDescent="0.3">
      <c r="A3457" s="410" t="s">
        <v>5207</v>
      </c>
      <c r="B3457" s="17"/>
      <c r="C3457" s="19"/>
      <c r="D3457" s="18"/>
      <c r="E3457" s="18"/>
      <c r="F3457" s="19"/>
      <c r="G3457" s="31"/>
      <c r="H3457" s="31"/>
      <c r="I3457" s="19"/>
      <c r="J3457" s="19"/>
      <c r="K3457" s="21"/>
      <c r="L3457" s="22"/>
      <c r="M3457" s="19"/>
      <c r="N3457" s="20"/>
      <c r="O3457" s="19"/>
      <c r="P3457" s="19"/>
      <c r="Q3457" s="19"/>
      <c r="R3457" s="19"/>
      <c r="S3457" s="19"/>
      <c r="T3457" s="19"/>
      <c r="U3457" s="19"/>
      <c r="V3457" s="19"/>
      <c r="W3457" s="19"/>
      <c r="X3457" s="19"/>
      <c r="Y3457" s="19"/>
      <c r="Z3457" s="19"/>
      <c r="AA3457" s="19"/>
      <c r="AB3457" s="19"/>
      <c r="AC3457" s="19"/>
      <c r="AD3457" s="19"/>
      <c r="AE3457" s="19"/>
      <c r="AF3457" s="19"/>
      <c r="AG3457" s="19"/>
      <c r="AH3457" s="19"/>
      <c r="AI3457" s="19"/>
      <c r="AJ3457" s="19"/>
      <c r="AK3457" s="19"/>
      <c r="AL3457" s="19"/>
      <c r="AM3457" s="19"/>
      <c r="AN3457" s="19"/>
      <c r="AO3457" s="19"/>
      <c r="AP3457" s="19"/>
      <c r="AQ3457" s="19"/>
      <c r="AR3457" s="19"/>
      <c r="AS3457" s="19"/>
    </row>
    <row r="3458" spans="1:45" x14ac:dyDescent="0.3">
      <c r="A3458" s="410" t="s">
        <v>5208</v>
      </c>
      <c r="B3458" s="17"/>
      <c r="C3458" s="19"/>
      <c r="D3458" s="18"/>
      <c r="E3458" s="18"/>
      <c r="F3458" s="19"/>
      <c r="G3458" s="31"/>
      <c r="H3458" s="31"/>
      <c r="I3458" s="19"/>
      <c r="J3458" s="19"/>
      <c r="K3458" s="21"/>
      <c r="L3458" s="22"/>
      <c r="M3458" s="19"/>
      <c r="N3458" s="20"/>
      <c r="O3458" s="19"/>
      <c r="P3458" s="19"/>
      <c r="Q3458" s="19"/>
      <c r="R3458" s="19"/>
      <c r="S3458" s="19"/>
      <c r="T3458" s="19"/>
      <c r="U3458" s="19"/>
      <c r="V3458" s="19"/>
      <c r="W3458" s="19"/>
      <c r="X3458" s="19"/>
      <c r="Y3458" s="19"/>
      <c r="Z3458" s="19"/>
      <c r="AA3458" s="19"/>
      <c r="AB3458" s="19"/>
      <c r="AC3458" s="19"/>
      <c r="AD3458" s="19"/>
      <c r="AE3458" s="19"/>
      <c r="AF3458" s="19"/>
      <c r="AG3458" s="19"/>
      <c r="AH3458" s="19"/>
      <c r="AI3458" s="19"/>
      <c r="AJ3458" s="19"/>
      <c r="AK3458" s="19"/>
      <c r="AL3458" s="19"/>
      <c r="AM3458" s="19"/>
      <c r="AN3458" s="19"/>
      <c r="AO3458" s="19"/>
      <c r="AP3458" s="19"/>
      <c r="AQ3458" s="19"/>
      <c r="AR3458" s="19"/>
      <c r="AS3458" s="19"/>
    </row>
    <row r="3459" spans="1:45" x14ac:dyDescent="0.3">
      <c r="A3459" s="410" t="s">
        <v>5209</v>
      </c>
      <c r="B3459" s="17"/>
      <c r="C3459" s="19"/>
      <c r="D3459" s="18"/>
      <c r="E3459" s="18"/>
      <c r="F3459" s="19"/>
      <c r="G3459" s="31"/>
      <c r="H3459" s="31"/>
      <c r="I3459" s="19"/>
      <c r="J3459" s="19"/>
      <c r="K3459" s="21"/>
      <c r="L3459" s="22"/>
      <c r="M3459" s="19"/>
      <c r="N3459" s="20"/>
      <c r="O3459" s="19"/>
      <c r="P3459" s="19"/>
      <c r="Q3459" s="19"/>
      <c r="R3459" s="19"/>
      <c r="S3459" s="19"/>
      <c r="T3459" s="19"/>
      <c r="U3459" s="19"/>
      <c r="V3459" s="19"/>
      <c r="W3459" s="19"/>
      <c r="X3459" s="19"/>
      <c r="Y3459" s="19"/>
      <c r="Z3459" s="19"/>
      <c r="AA3459" s="19"/>
      <c r="AB3459" s="19"/>
      <c r="AC3459" s="19"/>
      <c r="AD3459" s="19"/>
      <c r="AE3459" s="19"/>
      <c r="AF3459" s="19"/>
      <c r="AG3459" s="19"/>
      <c r="AH3459" s="19"/>
      <c r="AI3459" s="19"/>
      <c r="AJ3459" s="19"/>
      <c r="AK3459" s="19"/>
      <c r="AL3459" s="19"/>
      <c r="AM3459" s="19"/>
      <c r="AN3459" s="19"/>
      <c r="AO3459" s="19"/>
      <c r="AP3459" s="19"/>
      <c r="AQ3459" s="19"/>
      <c r="AR3459" s="19"/>
      <c r="AS3459" s="19"/>
    </row>
    <row r="3460" spans="1:45" x14ac:dyDescent="0.3">
      <c r="A3460" s="410" t="s">
        <v>5210</v>
      </c>
      <c r="B3460" s="17"/>
      <c r="C3460" s="19"/>
      <c r="D3460" s="18"/>
      <c r="E3460" s="18"/>
      <c r="F3460" s="19"/>
      <c r="G3460" s="31"/>
      <c r="H3460" s="31"/>
      <c r="I3460" s="19"/>
      <c r="J3460" s="19"/>
      <c r="K3460" s="21"/>
      <c r="L3460" s="22"/>
      <c r="M3460" s="19"/>
      <c r="N3460" s="20"/>
      <c r="O3460" s="19"/>
      <c r="P3460" s="19"/>
      <c r="Q3460" s="19"/>
      <c r="R3460" s="19"/>
      <c r="S3460" s="19"/>
      <c r="T3460" s="19"/>
      <c r="U3460" s="19"/>
      <c r="V3460" s="19"/>
      <c r="W3460" s="19"/>
      <c r="X3460" s="19"/>
      <c r="Y3460" s="19"/>
      <c r="Z3460" s="19"/>
      <c r="AA3460" s="19"/>
      <c r="AB3460" s="19"/>
      <c r="AC3460" s="19"/>
      <c r="AD3460" s="19"/>
      <c r="AE3460" s="19"/>
      <c r="AF3460" s="19"/>
      <c r="AG3460" s="19"/>
      <c r="AH3460" s="19"/>
      <c r="AI3460" s="19"/>
      <c r="AJ3460" s="19"/>
      <c r="AK3460" s="19"/>
      <c r="AL3460" s="19"/>
      <c r="AM3460" s="19"/>
      <c r="AN3460" s="19"/>
      <c r="AO3460" s="19"/>
      <c r="AP3460" s="19"/>
      <c r="AQ3460" s="19"/>
      <c r="AR3460" s="19"/>
      <c r="AS3460" s="19"/>
    </row>
    <row r="3461" spans="1:45" x14ac:dyDescent="0.3">
      <c r="A3461" s="410" t="s">
        <v>5211</v>
      </c>
      <c r="B3461" s="17"/>
      <c r="C3461" s="19"/>
      <c r="D3461" s="18"/>
      <c r="E3461" s="18"/>
      <c r="F3461" s="19"/>
      <c r="G3461" s="31"/>
      <c r="H3461" s="31"/>
      <c r="I3461" s="19"/>
      <c r="J3461" s="19"/>
      <c r="K3461" s="21"/>
      <c r="L3461" s="22"/>
      <c r="M3461" s="19"/>
      <c r="N3461" s="20"/>
      <c r="O3461" s="19"/>
      <c r="P3461" s="19"/>
      <c r="Q3461" s="19"/>
      <c r="R3461" s="19"/>
      <c r="S3461" s="19"/>
      <c r="T3461" s="19"/>
      <c r="U3461" s="19"/>
      <c r="V3461" s="19"/>
      <c r="W3461" s="19"/>
      <c r="X3461" s="19"/>
      <c r="Y3461" s="19"/>
      <c r="Z3461" s="19"/>
      <c r="AA3461" s="19"/>
      <c r="AB3461" s="19"/>
      <c r="AC3461" s="19"/>
      <c r="AD3461" s="19"/>
      <c r="AE3461" s="19"/>
      <c r="AF3461" s="19"/>
      <c r="AG3461" s="19"/>
      <c r="AH3461" s="19"/>
      <c r="AI3461" s="19"/>
      <c r="AJ3461" s="19"/>
      <c r="AK3461" s="19"/>
      <c r="AL3461" s="19"/>
      <c r="AM3461" s="19"/>
      <c r="AN3461" s="19"/>
      <c r="AO3461" s="19"/>
      <c r="AP3461" s="19"/>
      <c r="AQ3461" s="19"/>
      <c r="AR3461" s="19"/>
      <c r="AS3461" s="19"/>
    </row>
    <row r="3462" spans="1:45" x14ac:dyDescent="0.3">
      <c r="A3462" s="410" t="s">
        <v>5212</v>
      </c>
      <c r="B3462" s="17"/>
      <c r="C3462" s="19"/>
      <c r="D3462" s="18"/>
      <c r="E3462" s="18"/>
      <c r="F3462" s="19"/>
      <c r="G3462" s="31"/>
      <c r="H3462" s="31"/>
      <c r="I3462" s="19"/>
      <c r="J3462" s="19"/>
      <c r="K3462" s="21"/>
      <c r="L3462" s="22"/>
      <c r="M3462" s="19"/>
      <c r="N3462" s="20"/>
      <c r="O3462" s="19"/>
      <c r="P3462" s="19"/>
      <c r="Q3462" s="19"/>
      <c r="R3462" s="19"/>
      <c r="S3462" s="19"/>
      <c r="T3462" s="19"/>
      <c r="U3462" s="19"/>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row>
    <row r="3463" spans="1:45" x14ac:dyDescent="0.3">
      <c r="A3463" s="410" t="s">
        <v>5213</v>
      </c>
      <c r="B3463" s="17"/>
      <c r="C3463" s="19"/>
      <c r="D3463" s="18"/>
      <c r="E3463" s="18"/>
      <c r="F3463" s="19"/>
      <c r="G3463" s="31"/>
      <c r="H3463" s="31"/>
      <c r="I3463" s="19"/>
      <c r="J3463" s="19"/>
      <c r="K3463" s="21"/>
      <c r="L3463" s="22"/>
      <c r="M3463" s="19"/>
      <c r="N3463" s="20"/>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row>
    <row r="3464" spans="1:45" x14ac:dyDescent="0.3">
      <c r="A3464" s="410" t="s">
        <v>5214</v>
      </c>
      <c r="B3464" s="17"/>
      <c r="C3464" s="19"/>
      <c r="D3464" s="18"/>
      <c r="E3464" s="18"/>
      <c r="F3464" s="19"/>
      <c r="G3464" s="31"/>
      <c r="H3464" s="31"/>
      <c r="I3464" s="19"/>
      <c r="J3464" s="19"/>
      <c r="K3464" s="21"/>
      <c r="L3464" s="22"/>
      <c r="M3464" s="19"/>
      <c r="N3464" s="20"/>
      <c r="O3464" s="19"/>
      <c r="P3464" s="19"/>
      <c r="Q3464" s="19"/>
      <c r="R3464" s="19"/>
      <c r="S3464" s="19"/>
      <c r="T3464" s="19"/>
      <c r="U3464" s="19"/>
      <c r="V3464" s="19"/>
      <c r="W3464" s="19"/>
      <c r="X3464" s="19"/>
      <c r="Y3464" s="19"/>
      <c r="Z3464" s="19"/>
      <c r="AA3464" s="19"/>
      <c r="AB3464" s="19"/>
      <c r="AC3464" s="19"/>
      <c r="AD3464" s="19"/>
      <c r="AE3464" s="19"/>
      <c r="AF3464" s="19"/>
      <c r="AG3464" s="19"/>
      <c r="AH3464" s="19"/>
      <c r="AI3464" s="19"/>
      <c r="AJ3464" s="19"/>
      <c r="AK3464" s="19"/>
      <c r="AL3464" s="19"/>
      <c r="AM3464" s="19"/>
      <c r="AN3464" s="19"/>
      <c r="AO3464" s="19"/>
      <c r="AP3464" s="19"/>
      <c r="AQ3464" s="19"/>
      <c r="AR3464" s="19"/>
      <c r="AS3464" s="19"/>
    </row>
    <row r="3465" spans="1:45" x14ac:dyDescent="0.3">
      <c r="A3465" s="410" t="s">
        <v>5215</v>
      </c>
      <c r="B3465" s="17"/>
      <c r="C3465" s="19"/>
      <c r="D3465" s="18"/>
      <c r="E3465" s="18"/>
      <c r="F3465" s="19"/>
      <c r="G3465" s="31"/>
      <c r="H3465" s="31"/>
      <c r="I3465" s="19"/>
      <c r="J3465" s="19"/>
      <c r="K3465" s="21"/>
      <c r="L3465" s="22"/>
      <c r="M3465" s="19"/>
      <c r="N3465" s="20"/>
      <c r="O3465" s="19"/>
      <c r="P3465" s="19"/>
      <c r="Q3465" s="19"/>
      <c r="R3465" s="19"/>
      <c r="S3465" s="19"/>
      <c r="T3465" s="19"/>
      <c r="U3465" s="19"/>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19"/>
    </row>
    <row r="3466" spans="1:45" x14ac:dyDescent="0.3">
      <c r="A3466" s="410" t="s">
        <v>5216</v>
      </c>
      <c r="B3466" s="17"/>
      <c r="C3466" s="19"/>
      <c r="D3466" s="18"/>
      <c r="E3466" s="18"/>
      <c r="F3466" s="19"/>
      <c r="G3466" s="31"/>
      <c r="H3466" s="31"/>
      <c r="I3466" s="19"/>
      <c r="J3466" s="19"/>
      <c r="K3466" s="21"/>
      <c r="L3466" s="22"/>
      <c r="M3466" s="19"/>
      <c r="N3466" s="20"/>
      <c r="O3466" s="19"/>
      <c r="P3466" s="19"/>
      <c r="Q3466" s="19"/>
      <c r="R3466" s="19"/>
      <c r="S3466" s="19"/>
      <c r="T3466" s="19"/>
      <c r="U3466" s="19"/>
      <c r="V3466" s="19"/>
      <c r="W3466" s="19"/>
      <c r="X3466" s="19"/>
      <c r="Y3466" s="19"/>
      <c r="Z3466" s="19"/>
      <c r="AA3466" s="19"/>
      <c r="AB3466" s="19"/>
      <c r="AC3466" s="19"/>
      <c r="AD3466" s="19"/>
      <c r="AE3466" s="19"/>
      <c r="AF3466" s="19"/>
      <c r="AG3466" s="19"/>
      <c r="AH3466" s="19"/>
      <c r="AI3466" s="19"/>
      <c r="AJ3466" s="19"/>
      <c r="AK3466" s="19"/>
      <c r="AL3466" s="19"/>
      <c r="AM3466" s="19"/>
      <c r="AN3466" s="19"/>
      <c r="AO3466" s="19"/>
      <c r="AP3466" s="19"/>
      <c r="AQ3466" s="19"/>
      <c r="AR3466" s="19"/>
      <c r="AS3466" s="19"/>
    </row>
    <row r="3467" spans="1:45" x14ac:dyDescent="0.3">
      <c r="A3467" s="410" t="s">
        <v>5217</v>
      </c>
      <c r="B3467" s="17"/>
      <c r="C3467" s="19"/>
      <c r="D3467" s="18"/>
      <c r="E3467" s="18"/>
      <c r="F3467" s="19"/>
      <c r="G3467" s="31"/>
      <c r="H3467" s="31"/>
      <c r="I3467" s="19"/>
      <c r="J3467" s="19"/>
      <c r="K3467" s="21"/>
      <c r="L3467" s="22"/>
      <c r="M3467" s="19"/>
      <c r="N3467" s="20"/>
      <c r="O3467" s="19"/>
      <c r="P3467" s="19"/>
      <c r="Q3467" s="19"/>
      <c r="R3467" s="19"/>
      <c r="S3467" s="19"/>
      <c r="T3467" s="19"/>
      <c r="U3467" s="19"/>
      <c r="V3467" s="19"/>
      <c r="W3467" s="19"/>
      <c r="X3467" s="19"/>
      <c r="Y3467" s="19"/>
      <c r="Z3467" s="19"/>
      <c r="AA3467" s="19"/>
      <c r="AB3467" s="19"/>
      <c r="AC3467" s="19"/>
      <c r="AD3467" s="19"/>
      <c r="AE3467" s="19"/>
      <c r="AF3467" s="19"/>
      <c r="AG3467" s="19"/>
      <c r="AH3467" s="19"/>
      <c r="AI3467" s="19"/>
      <c r="AJ3467" s="19"/>
      <c r="AK3467" s="19"/>
      <c r="AL3467" s="19"/>
      <c r="AM3467" s="19"/>
      <c r="AN3467" s="19"/>
      <c r="AO3467" s="19"/>
      <c r="AP3467" s="19"/>
      <c r="AQ3467" s="19"/>
      <c r="AR3467" s="19"/>
      <c r="AS3467" s="19"/>
    </row>
    <row r="3468" spans="1:45" x14ac:dyDescent="0.3">
      <c r="A3468" s="410" t="s">
        <v>5218</v>
      </c>
      <c r="B3468" s="17"/>
      <c r="C3468" s="19"/>
      <c r="D3468" s="18"/>
      <c r="E3468" s="18"/>
      <c r="F3468" s="19"/>
      <c r="G3468" s="31"/>
      <c r="H3468" s="31"/>
      <c r="I3468" s="19"/>
      <c r="J3468" s="19"/>
      <c r="K3468" s="21"/>
      <c r="L3468" s="22"/>
      <c r="M3468" s="19"/>
      <c r="N3468" s="20"/>
      <c r="O3468" s="19"/>
      <c r="P3468" s="19"/>
      <c r="Q3468" s="19"/>
      <c r="R3468" s="19"/>
      <c r="S3468" s="19"/>
      <c r="T3468" s="19"/>
      <c r="U3468" s="19"/>
      <c r="V3468" s="19"/>
      <c r="W3468" s="19"/>
      <c r="X3468" s="19"/>
      <c r="Y3468" s="19"/>
      <c r="Z3468" s="19"/>
      <c r="AA3468" s="19"/>
      <c r="AB3468" s="19"/>
      <c r="AC3468" s="19"/>
      <c r="AD3468" s="19"/>
      <c r="AE3468" s="19"/>
      <c r="AF3468" s="19"/>
      <c r="AG3468" s="19"/>
      <c r="AH3468" s="19"/>
      <c r="AI3468" s="19"/>
      <c r="AJ3468" s="19"/>
      <c r="AK3468" s="19"/>
      <c r="AL3468" s="19"/>
      <c r="AM3468" s="19"/>
      <c r="AN3468" s="19"/>
      <c r="AO3468" s="19"/>
      <c r="AP3468" s="19"/>
      <c r="AQ3468" s="19"/>
      <c r="AR3468" s="19"/>
      <c r="AS3468" s="19"/>
    </row>
    <row r="3469" spans="1:45" x14ac:dyDescent="0.3">
      <c r="A3469" s="410" t="s">
        <v>5219</v>
      </c>
      <c r="B3469" s="17"/>
      <c r="C3469" s="19"/>
      <c r="D3469" s="18"/>
      <c r="E3469" s="18"/>
      <c r="F3469" s="19"/>
      <c r="G3469" s="31"/>
      <c r="H3469" s="31"/>
      <c r="I3469" s="19"/>
      <c r="J3469" s="19"/>
      <c r="K3469" s="21"/>
      <c r="L3469" s="22"/>
      <c r="M3469" s="19"/>
      <c r="N3469" s="20"/>
      <c r="O3469" s="19"/>
      <c r="P3469" s="19"/>
      <c r="Q3469" s="19"/>
      <c r="R3469" s="19"/>
      <c r="S3469" s="19"/>
      <c r="T3469" s="19"/>
      <c r="U3469" s="19"/>
      <c r="V3469" s="19"/>
      <c r="W3469" s="19"/>
      <c r="X3469" s="19"/>
      <c r="Y3469" s="19"/>
      <c r="Z3469" s="19"/>
      <c r="AA3469" s="19"/>
      <c r="AB3469" s="19"/>
      <c r="AC3469" s="19"/>
      <c r="AD3469" s="19"/>
      <c r="AE3469" s="19"/>
      <c r="AF3469" s="19"/>
      <c r="AG3469" s="19"/>
      <c r="AH3469" s="19"/>
      <c r="AI3469" s="19"/>
      <c r="AJ3469" s="19"/>
      <c r="AK3469" s="19"/>
      <c r="AL3469" s="19"/>
      <c r="AM3469" s="19"/>
      <c r="AN3469" s="19"/>
      <c r="AO3469" s="19"/>
      <c r="AP3469" s="19"/>
      <c r="AQ3469" s="19"/>
      <c r="AR3469" s="19"/>
      <c r="AS3469" s="19"/>
    </row>
    <row r="3470" spans="1:45" x14ac:dyDescent="0.3">
      <c r="A3470" s="410" t="s">
        <v>5220</v>
      </c>
      <c r="B3470" s="17"/>
      <c r="C3470" s="19"/>
      <c r="D3470" s="18"/>
      <c r="E3470" s="18"/>
      <c r="F3470" s="19"/>
      <c r="G3470" s="31"/>
      <c r="H3470" s="31"/>
      <c r="I3470" s="19"/>
      <c r="J3470" s="19"/>
      <c r="K3470" s="21"/>
      <c r="L3470" s="22"/>
      <c r="M3470" s="19"/>
      <c r="N3470" s="20"/>
      <c r="O3470" s="19"/>
      <c r="P3470" s="19"/>
      <c r="Q3470" s="19"/>
      <c r="R3470" s="19"/>
      <c r="S3470" s="19"/>
      <c r="T3470" s="19"/>
      <c r="U3470" s="19"/>
      <c r="V3470" s="19"/>
      <c r="W3470" s="19"/>
      <c r="X3470" s="19"/>
      <c r="Y3470" s="19"/>
      <c r="Z3470" s="19"/>
      <c r="AA3470" s="19"/>
      <c r="AB3470" s="19"/>
      <c r="AC3470" s="19"/>
      <c r="AD3470" s="19"/>
      <c r="AE3470" s="19"/>
      <c r="AF3470" s="19"/>
      <c r="AG3470" s="19"/>
      <c r="AH3470" s="19"/>
      <c r="AI3470" s="19"/>
      <c r="AJ3470" s="19"/>
      <c r="AK3470" s="19"/>
      <c r="AL3470" s="19"/>
      <c r="AM3470" s="19"/>
      <c r="AN3470" s="19"/>
      <c r="AO3470" s="19"/>
      <c r="AP3470" s="19"/>
      <c r="AQ3470" s="19"/>
      <c r="AR3470" s="19"/>
      <c r="AS3470" s="19"/>
    </row>
    <row r="3471" spans="1:45" x14ac:dyDescent="0.3">
      <c r="A3471" s="410" t="s">
        <v>5221</v>
      </c>
      <c r="B3471" s="17"/>
      <c r="C3471" s="19"/>
      <c r="D3471" s="18"/>
      <c r="E3471" s="18"/>
      <c r="F3471" s="19"/>
      <c r="G3471" s="31"/>
      <c r="H3471" s="31"/>
      <c r="I3471" s="19"/>
      <c r="J3471" s="19"/>
      <c r="K3471" s="21"/>
      <c r="L3471" s="22"/>
      <c r="M3471" s="19"/>
      <c r="N3471" s="20"/>
      <c r="O3471" s="19"/>
      <c r="P3471" s="19"/>
      <c r="Q3471" s="19"/>
      <c r="R3471" s="19"/>
      <c r="S3471" s="19"/>
      <c r="T3471" s="19"/>
      <c r="U3471" s="19"/>
      <c r="V3471" s="19"/>
      <c r="W3471" s="19"/>
      <c r="X3471" s="19"/>
      <c r="Y3471" s="19"/>
      <c r="Z3471" s="19"/>
      <c r="AA3471" s="19"/>
      <c r="AB3471" s="19"/>
      <c r="AC3471" s="19"/>
      <c r="AD3471" s="19"/>
      <c r="AE3471" s="19"/>
      <c r="AF3471" s="19"/>
      <c r="AG3471" s="19"/>
      <c r="AH3471" s="19"/>
      <c r="AI3471" s="19"/>
      <c r="AJ3471" s="19"/>
      <c r="AK3471" s="19"/>
      <c r="AL3471" s="19"/>
      <c r="AM3471" s="19"/>
      <c r="AN3471" s="19"/>
      <c r="AO3471" s="19"/>
      <c r="AP3471" s="19"/>
      <c r="AQ3471" s="19"/>
      <c r="AR3471" s="19"/>
      <c r="AS3471" s="19"/>
    </row>
    <row r="3472" spans="1:45" x14ac:dyDescent="0.3">
      <c r="A3472" s="410" t="s">
        <v>5222</v>
      </c>
      <c r="B3472" s="17"/>
      <c r="C3472" s="19"/>
      <c r="D3472" s="18"/>
      <c r="E3472" s="18"/>
      <c r="F3472" s="19"/>
      <c r="G3472" s="31"/>
      <c r="H3472" s="31"/>
      <c r="I3472" s="19"/>
      <c r="J3472" s="19"/>
      <c r="K3472" s="21"/>
      <c r="L3472" s="22"/>
      <c r="M3472" s="19"/>
      <c r="N3472" s="20"/>
      <c r="O3472" s="19"/>
      <c r="P3472" s="19"/>
      <c r="Q3472" s="19"/>
      <c r="R3472" s="19"/>
      <c r="S3472" s="19"/>
      <c r="T3472" s="19"/>
      <c r="U3472" s="19"/>
      <c r="V3472" s="19"/>
      <c r="W3472" s="19"/>
      <c r="X3472" s="19"/>
      <c r="Y3472" s="19"/>
      <c r="Z3472" s="19"/>
      <c r="AA3472" s="19"/>
      <c r="AB3472" s="19"/>
      <c r="AC3472" s="19"/>
      <c r="AD3472" s="19"/>
      <c r="AE3472" s="19"/>
      <c r="AF3472" s="19"/>
      <c r="AG3472" s="19"/>
      <c r="AH3472" s="19"/>
      <c r="AI3472" s="19"/>
      <c r="AJ3472" s="19"/>
      <c r="AK3472" s="19"/>
      <c r="AL3472" s="19"/>
      <c r="AM3472" s="19"/>
      <c r="AN3472" s="19"/>
      <c r="AO3472" s="19"/>
      <c r="AP3472" s="19"/>
      <c r="AQ3472" s="19"/>
      <c r="AR3472" s="19"/>
      <c r="AS3472" s="19"/>
    </row>
    <row r="3473" spans="1:45" x14ac:dyDescent="0.3">
      <c r="A3473" s="410" t="s">
        <v>5223</v>
      </c>
      <c r="B3473" s="17"/>
      <c r="C3473" s="19"/>
      <c r="D3473" s="18"/>
      <c r="E3473" s="18"/>
      <c r="F3473" s="19"/>
      <c r="G3473" s="31"/>
      <c r="H3473" s="31"/>
      <c r="I3473" s="19"/>
      <c r="J3473" s="19"/>
      <c r="K3473" s="21"/>
      <c r="L3473" s="22"/>
      <c r="M3473" s="19"/>
      <c r="N3473" s="20"/>
      <c r="O3473" s="19"/>
      <c r="P3473" s="19"/>
      <c r="Q3473" s="19"/>
      <c r="R3473" s="19"/>
      <c r="S3473" s="19"/>
      <c r="T3473" s="19"/>
      <c r="U3473" s="19"/>
      <c r="V3473" s="19"/>
      <c r="W3473" s="19"/>
      <c r="X3473" s="19"/>
      <c r="Y3473" s="19"/>
      <c r="Z3473" s="19"/>
      <c r="AA3473" s="19"/>
      <c r="AB3473" s="19"/>
      <c r="AC3473" s="19"/>
      <c r="AD3473" s="19"/>
      <c r="AE3473" s="19"/>
      <c r="AF3473" s="19"/>
      <c r="AG3473" s="19"/>
      <c r="AH3473" s="19"/>
      <c r="AI3473" s="19"/>
      <c r="AJ3473" s="19"/>
      <c r="AK3473" s="19"/>
      <c r="AL3473" s="19"/>
      <c r="AM3473" s="19"/>
      <c r="AN3473" s="19"/>
      <c r="AO3473" s="19"/>
      <c r="AP3473" s="19"/>
      <c r="AQ3473" s="19"/>
      <c r="AR3473" s="19"/>
      <c r="AS3473" s="19"/>
    </row>
    <row r="3474" spans="1:45" x14ac:dyDescent="0.3">
      <c r="A3474" s="410" t="s">
        <v>5224</v>
      </c>
      <c r="B3474" s="17"/>
      <c r="C3474" s="19"/>
      <c r="D3474" s="18"/>
      <c r="E3474" s="18"/>
      <c r="F3474" s="19"/>
      <c r="G3474" s="31"/>
      <c r="H3474" s="31"/>
      <c r="I3474" s="19"/>
      <c r="J3474" s="19"/>
      <c r="K3474" s="21"/>
      <c r="L3474" s="22"/>
      <c r="M3474" s="19"/>
      <c r="N3474" s="20"/>
      <c r="O3474" s="19"/>
      <c r="P3474" s="19"/>
      <c r="Q3474" s="19"/>
      <c r="R3474" s="19"/>
      <c r="S3474" s="19"/>
      <c r="T3474" s="19"/>
      <c r="U3474" s="19"/>
      <c r="V3474" s="19"/>
      <c r="W3474" s="19"/>
      <c r="X3474" s="19"/>
      <c r="Y3474" s="19"/>
      <c r="Z3474" s="19"/>
      <c r="AA3474" s="19"/>
      <c r="AB3474" s="19"/>
      <c r="AC3474" s="19"/>
      <c r="AD3474" s="19"/>
      <c r="AE3474" s="19"/>
      <c r="AF3474" s="19"/>
      <c r="AG3474" s="19"/>
      <c r="AH3474" s="19"/>
      <c r="AI3474" s="19"/>
      <c r="AJ3474" s="19"/>
      <c r="AK3474" s="19"/>
      <c r="AL3474" s="19"/>
      <c r="AM3474" s="19"/>
      <c r="AN3474" s="19"/>
      <c r="AO3474" s="19"/>
      <c r="AP3474" s="19"/>
      <c r="AQ3474" s="19"/>
      <c r="AR3474" s="19"/>
      <c r="AS3474" s="19"/>
    </row>
    <row r="3475" spans="1:45" x14ac:dyDescent="0.3">
      <c r="A3475" s="410" t="s">
        <v>5225</v>
      </c>
      <c r="B3475" s="17"/>
      <c r="C3475" s="19"/>
      <c r="D3475" s="18"/>
      <c r="E3475" s="18"/>
      <c r="F3475" s="19"/>
      <c r="G3475" s="31"/>
      <c r="H3475" s="31"/>
      <c r="I3475" s="19"/>
      <c r="J3475" s="19"/>
      <c r="K3475" s="21"/>
      <c r="L3475" s="22"/>
      <c r="M3475" s="19"/>
      <c r="N3475" s="20"/>
      <c r="O3475" s="19"/>
      <c r="P3475" s="19"/>
      <c r="Q3475" s="19"/>
      <c r="R3475" s="19"/>
      <c r="S3475" s="19"/>
      <c r="T3475" s="19"/>
      <c r="U3475" s="19"/>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19"/>
    </row>
    <row r="3476" spans="1:45" x14ac:dyDescent="0.3">
      <c r="A3476" s="410" t="s">
        <v>5226</v>
      </c>
      <c r="B3476" s="17"/>
      <c r="C3476" s="19"/>
      <c r="D3476" s="18"/>
      <c r="E3476" s="18"/>
      <c r="F3476" s="19"/>
      <c r="G3476" s="31"/>
      <c r="H3476" s="31"/>
      <c r="I3476" s="19"/>
      <c r="J3476" s="19"/>
      <c r="K3476" s="21"/>
      <c r="L3476" s="22"/>
      <c r="M3476" s="19"/>
      <c r="N3476" s="20"/>
      <c r="O3476" s="19"/>
      <c r="P3476" s="19"/>
      <c r="Q3476" s="19"/>
      <c r="R3476" s="19"/>
      <c r="S3476" s="19"/>
      <c r="T3476" s="19"/>
      <c r="U3476" s="19"/>
      <c r="V3476" s="19"/>
      <c r="W3476" s="19"/>
      <c r="X3476" s="19"/>
      <c r="Y3476" s="19"/>
      <c r="Z3476" s="19"/>
      <c r="AA3476" s="19"/>
      <c r="AB3476" s="19"/>
      <c r="AC3476" s="19"/>
      <c r="AD3476" s="19"/>
      <c r="AE3476" s="19"/>
      <c r="AF3476" s="19"/>
      <c r="AG3476" s="19"/>
      <c r="AH3476" s="19"/>
      <c r="AI3476" s="19"/>
      <c r="AJ3476" s="19"/>
      <c r="AK3476" s="19"/>
      <c r="AL3476" s="19"/>
      <c r="AM3476" s="19"/>
      <c r="AN3476" s="19"/>
      <c r="AO3476" s="19"/>
      <c r="AP3476" s="19"/>
      <c r="AQ3476" s="19"/>
      <c r="AR3476" s="19"/>
      <c r="AS3476" s="19"/>
    </row>
    <row r="3477" spans="1:45" x14ac:dyDescent="0.3">
      <c r="A3477" s="410" t="s">
        <v>5227</v>
      </c>
      <c r="B3477" s="17"/>
      <c r="C3477" s="19"/>
      <c r="D3477" s="18"/>
      <c r="E3477" s="18"/>
      <c r="F3477" s="19"/>
      <c r="G3477" s="31"/>
      <c r="H3477" s="31"/>
      <c r="I3477" s="19"/>
      <c r="J3477" s="19"/>
      <c r="K3477" s="21"/>
      <c r="L3477" s="22"/>
      <c r="M3477" s="19"/>
      <c r="N3477" s="20"/>
      <c r="O3477" s="19"/>
      <c r="P3477" s="19"/>
      <c r="Q3477" s="19"/>
      <c r="R3477" s="19"/>
      <c r="S3477" s="19"/>
      <c r="T3477" s="19"/>
      <c r="U3477" s="19"/>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19"/>
    </row>
    <row r="3478" spans="1:45" x14ac:dyDescent="0.3">
      <c r="A3478" s="410" t="s">
        <v>5228</v>
      </c>
      <c r="B3478" s="17"/>
      <c r="C3478" s="19"/>
      <c r="D3478" s="18"/>
      <c r="E3478" s="18"/>
      <c r="F3478" s="19"/>
      <c r="G3478" s="31"/>
      <c r="H3478" s="31"/>
      <c r="I3478" s="19"/>
      <c r="J3478" s="19"/>
      <c r="K3478" s="21"/>
      <c r="L3478" s="22"/>
      <c r="M3478" s="19"/>
      <c r="N3478" s="20"/>
      <c r="O3478" s="19"/>
      <c r="P3478" s="19"/>
      <c r="Q3478" s="19"/>
      <c r="R3478" s="19"/>
      <c r="S3478" s="19"/>
      <c r="T3478" s="19"/>
      <c r="U3478" s="19"/>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row>
    <row r="3479" spans="1:45" x14ac:dyDescent="0.3">
      <c r="A3479" s="410" t="s">
        <v>5229</v>
      </c>
      <c r="B3479" s="17"/>
      <c r="C3479" s="19"/>
      <c r="D3479" s="18"/>
      <c r="E3479" s="18"/>
      <c r="F3479" s="19"/>
      <c r="G3479" s="31"/>
      <c r="H3479" s="31"/>
      <c r="I3479" s="19"/>
      <c r="J3479" s="19"/>
      <c r="K3479" s="21"/>
      <c r="L3479" s="22"/>
      <c r="M3479" s="19"/>
      <c r="N3479" s="20"/>
      <c r="O3479" s="19"/>
      <c r="P3479" s="19"/>
      <c r="Q3479" s="19"/>
      <c r="R3479" s="19"/>
      <c r="S3479" s="19"/>
      <c r="T3479" s="19"/>
      <c r="U3479" s="19"/>
      <c r="V3479" s="19"/>
      <c r="W3479" s="19"/>
      <c r="X3479" s="19"/>
      <c r="Y3479" s="19"/>
      <c r="Z3479" s="19"/>
      <c r="AA3479" s="19"/>
      <c r="AB3479" s="19"/>
      <c r="AC3479" s="19"/>
      <c r="AD3479" s="19"/>
      <c r="AE3479" s="19"/>
      <c r="AF3479" s="19"/>
      <c r="AG3479" s="19"/>
      <c r="AH3479" s="19"/>
      <c r="AI3479" s="19"/>
      <c r="AJ3479" s="19"/>
      <c r="AK3479" s="19"/>
      <c r="AL3479" s="19"/>
      <c r="AM3479" s="19"/>
      <c r="AN3479" s="19"/>
      <c r="AO3479" s="19"/>
      <c r="AP3479" s="19"/>
      <c r="AQ3479" s="19"/>
      <c r="AR3479" s="19"/>
      <c r="AS3479" s="19"/>
    </row>
    <row r="3480" spans="1:45" x14ac:dyDescent="0.3">
      <c r="A3480" s="410" t="s">
        <v>5230</v>
      </c>
      <c r="B3480" s="17"/>
      <c r="C3480" s="19"/>
      <c r="D3480" s="18"/>
      <c r="E3480" s="18"/>
      <c r="F3480" s="19"/>
      <c r="G3480" s="31"/>
      <c r="H3480" s="31"/>
      <c r="I3480" s="19"/>
      <c r="J3480" s="19"/>
      <c r="K3480" s="21"/>
      <c r="L3480" s="22"/>
      <c r="M3480" s="19"/>
      <c r="N3480" s="20"/>
      <c r="O3480" s="19"/>
      <c r="P3480" s="19"/>
      <c r="Q3480" s="19"/>
      <c r="R3480" s="19"/>
      <c r="S3480" s="19"/>
      <c r="T3480" s="19"/>
      <c r="U3480" s="19"/>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row>
    <row r="3481" spans="1:45" x14ac:dyDescent="0.3">
      <c r="A3481" s="410" t="s">
        <v>5231</v>
      </c>
      <c r="B3481" s="17"/>
      <c r="C3481" s="19"/>
      <c r="D3481" s="18"/>
      <c r="E3481" s="18"/>
      <c r="F3481" s="19"/>
      <c r="G3481" s="31"/>
      <c r="H3481" s="31"/>
      <c r="I3481" s="19"/>
      <c r="J3481" s="19"/>
      <c r="K3481" s="21"/>
      <c r="L3481" s="22"/>
      <c r="M3481" s="19"/>
      <c r="N3481" s="20"/>
      <c r="O3481" s="19"/>
      <c r="P3481" s="19"/>
      <c r="Q3481" s="19"/>
      <c r="R3481" s="19"/>
      <c r="S3481" s="19"/>
      <c r="T3481" s="19"/>
      <c r="U3481" s="19"/>
      <c r="V3481" s="19"/>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19"/>
      <c r="AR3481" s="19"/>
      <c r="AS3481" s="19"/>
    </row>
    <row r="3482" spans="1:45" x14ac:dyDescent="0.3">
      <c r="A3482" s="410" t="s">
        <v>5232</v>
      </c>
      <c r="B3482" s="17"/>
      <c r="C3482" s="19"/>
      <c r="D3482" s="18"/>
      <c r="E3482" s="18"/>
      <c r="F3482" s="19"/>
      <c r="G3482" s="31"/>
      <c r="H3482" s="31"/>
      <c r="I3482" s="19"/>
      <c r="J3482" s="19"/>
      <c r="K3482" s="21"/>
      <c r="L3482" s="22"/>
      <c r="M3482" s="19"/>
      <c r="N3482" s="20"/>
      <c r="O3482" s="19"/>
      <c r="P3482" s="19"/>
      <c r="Q3482" s="19"/>
      <c r="R3482" s="19"/>
      <c r="S3482" s="19"/>
      <c r="T3482" s="19"/>
      <c r="U3482" s="19"/>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19"/>
    </row>
    <row r="3483" spans="1:45" x14ac:dyDescent="0.3">
      <c r="A3483" s="410" t="s">
        <v>5233</v>
      </c>
      <c r="B3483" s="17"/>
      <c r="C3483" s="19"/>
      <c r="D3483" s="18"/>
      <c r="E3483" s="18"/>
      <c r="F3483" s="19"/>
      <c r="G3483" s="31"/>
      <c r="H3483" s="31"/>
      <c r="I3483" s="19"/>
      <c r="J3483" s="19"/>
      <c r="K3483" s="21"/>
      <c r="L3483" s="22"/>
      <c r="M3483" s="19"/>
      <c r="N3483" s="20"/>
      <c r="O3483" s="19"/>
      <c r="P3483" s="19"/>
      <c r="Q3483" s="19"/>
      <c r="R3483" s="19"/>
      <c r="S3483" s="19"/>
      <c r="T3483" s="19"/>
      <c r="U3483" s="19"/>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19"/>
    </row>
    <row r="3484" spans="1:45" x14ac:dyDescent="0.3">
      <c r="A3484" s="410" t="s">
        <v>5234</v>
      </c>
      <c r="B3484" s="17"/>
      <c r="C3484" s="19"/>
      <c r="D3484" s="18"/>
      <c r="E3484" s="18"/>
      <c r="F3484" s="19"/>
      <c r="G3484" s="31"/>
      <c r="H3484" s="31"/>
      <c r="I3484" s="19"/>
      <c r="J3484" s="19"/>
      <c r="K3484" s="21"/>
      <c r="L3484" s="22"/>
      <c r="M3484" s="19"/>
      <c r="N3484" s="20"/>
      <c r="O3484" s="19"/>
      <c r="P3484" s="19"/>
      <c r="Q3484" s="19"/>
      <c r="R3484" s="19"/>
      <c r="S3484" s="19"/>
      <c r="T3484" s="19"/>
      <c r="U3484" s="19"/>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19"/>
    </row>
    <row r="3485" spans="1:45" x14ac:dyDescent="0.3">
      <c r="A3485" s="410" t="s">
        <v>5235</v>
      </c>
      <c r="B3485" s="17"/>
      <c r="C3485" s="19"/>
      <c r="D3485" s="18"/>
      <c r="E3485" s="18"/>
      <c r="F3485" s="19"/>
      <c r="G3485" s="31"/>
      <c r="H3485" s="31"/>
      <c r="I3485" s="19"/>
      <c r="J3485" s="19"/>
      <c r="K3485" s="21"/>
      <c r="L3485" s="22"/>
      <c r="M3485" s="19"/>
      <c r="N3485" s="20"/>
      <c r="O3485" s="19"/>
      <c r="P3485" s="19"/>
      <c r="Q3485" s="19"/>
      <c r="R3485" s="19"/>
      <c r="S3485" s="19"/>
      <c r="T3485" s="19"/>
      <c r="U3485" s="19"/>
      <c r="V3485" s="19"/>
      <c r="W3485" s="19"/>
      <c r="X3485" s="19"/>
      <c r="Y3485" s="19"/>
      <c r="Z3485" s="19"/>
      <c r="AA3485" s="19"/>
      <c r="AB3485" s="19"/>
      <c r="AC3485" s="19"/>
      <c r="AD3485" s="19"/>
      <c r="AE3485" s="19"/>
      <c r="AF3485" s="19"/>
      <c r="AG3485" s="19"/>
      <c r="AH3485" s="19"/>
      <c r="AI3485" s="19"/>
      <c r="AJ3485" s="19"/>
      <c r="AK3485" s="19"/>
      <c r="AL3485" s="19"/>
      <c r="AM3485" s="19"/>
      <c r="AN3485" s="19"/>
      <c r="AO3485" s="19"/>
      <c r="AP3485" s="19"/>
      <c r="AQ3485" s="19"/>
      <c r="AR3485" s="19"/>
      <c r="AS3485" s="19"/>
    </row>
    <row r="3486" spans="1:45" x14ac:dyDescent="0.3">
      <c r="A3486" s="410" t="s">
        <v>5236</v>
      </c>
      <c r="B3486" s="17"/>
      <c r="C3486" s="19"/>
      <c r="D3486" s="18"/>
      <c r="E3486" s="18"/>
      <c r="F3486" s="19"/>
      <c r="G3486" s="31"/>
      <c r="H3486" s="31"/>
      <c r="I3486" s="19"/>
      <c r="J3486" s="19"/>
      <c r="K3486" s="21"/>
      <c r="L3486" s="22"/>
      <c r="M3486" s="19"/>
      <c r="N3486" s="20"/>
      <c r="O3486" s="19"/>
      <c r="P3486" s="19"/>
      <c r="Q3486" s="19"/>
      <c r="R3486" s="19"/>
      <c r="S3486" s="19"/>
      <c r="T3486" s="19"/>
      <c r="U3486" s="19"/>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row>
    <row r="3487" spans="1:45" x14ac:dyDescent="0.3">
      <c r="A3487" s="410" t="s">
        <v>5237</v>
      </c>
      <c r="B3487" s="17"/>
      <c r="C3487" s="19"/>
      <c r="D3487" s="18"/>
      <c r="E3487" s="18"/>
      <c r="F3487" s="19"/>
      <c r="G3487" s="31"/>
      <c r="H3487" s="31"/>
      <c r="I3487" s="19"/>
      <c r="J3487" s="19"/>
      <c r="K3487" s="21"/>
      <c r="L3487" s="22"/>
      <c r="M3487" s="19"/>
      <c r="N3487" s="20"/>
      <c r="O3487" s="19"/>
      <c r="P3487" s="19"/>
      <c r="Q3487" s="19"/>
      <c r="R3487" s="19"/>
      <c r="S3487" s="19"/>
      <c r="T3487" s="19"/>
      <c r="U3487" s="19"/>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row>
    <row r="3488" spans="1:45" x14ac:dyDescent="0.3">
      <c r="A3488" s="410" t="s">
        <v>5238</v>
      </c>
      <c r="B3488" s="17"/>
      <c r="C3488" s="19"/>
      <c r="D3488" s="18"/>
      <c r="E3488" s="18"/>
      <c r="F3488" s="19"/>
      <c r="G3488" s="31"/>
      <c r="H3488" s="31"/>
      <c r="I3488" s="19"/>
      <c r="J3488" s="19"/>
      <c r="K3488" s="21"/>
      <c r="L3488" s="22"/>
      <c r="M3488" s="19"/>
      <c r="N3488" s="20"/>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row>
    <row r="3489" spans="1:45" x14ac:dyDescent="0.3">
      <c r="A3489" s="410" t="s">
        <v>5239</v>
      </c>
      <c r="B3489" s="17"/>
      <c r="C3489" s="19"/>
      <c r="D3489" s="18"/>
      <c r="E3489" s="18"/>
      <c r="F3489" s="19"/>
      <c r="G3489" s="31"/>
      <c r="H3489" s="31"/>
      <c r="I3489" s="19"/>
      <c r="J3489" s="19"/>
      <c r="K3489" s="21"/>
      <c r="L3489" s="22"/>
      <c r="M3489" s="19"/>
      <c r="N3489" s="20"/>
      <c r="O3489" s="19"/>
      <c r="P3489" s="19"/>
      <c r="Q3489" s="19"/>
      <c r="R3489" s="19"/>
      <c r="S3489" s="19"/>
      <c r="T3489" s="19"/>
      <c r="U3489" s="19"/>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19"/>
    </row>
    <row r="3490" spans="1:45" x14ac:dyDescent="0.3">
      <c r="A3490" s="410" t="s">
        <v>5240</v>
      </c>
      <c r="B3490" s="17"/>
      <c r="C3490" s="19"/>
      <c r="D3490" s="18"/>
      <c r="E3490" s="18"/>
      <c r="F3490" s="19"/>
      <c r="G3490" s="31"/>
      <c r="H3490" s="31"/>
      <c r="I3490" s="19"/>
      <c r="J3490" s="19"/>
      <c r="K3490" s="21"/>
      <c r="L3490" s="22"/>
      <c r="M3490" s="19"/>
      <c r="N3490" s="20"/>
      <c r="O3490" s="19"/>
      <c r="P3490" s="19"/>
      <c r="Q3490" s="19"/>
      <c r="R3490" s="19"/>
      <c r="S3490" s="19"/>
      <c r="T3490" s="19"/>
      <c r="U3490" s="19"/>
      <c r="V3490" s="19"/>
      <c r="W3490" s="19"/>
      <c r="X3490" s="19"/>
      <c r="Y3490" s="19"/>
      <c r="Z3490" s="19"/>
      <c r="AA3490" s="19"/>
      <c r="AB3490" s="19"/>
      <c r="AC3490" s="19"/>
      <c r="AD3490" s="19"/>
      <c r="AE3490" s="19"/>
      <c r="AF3490" s="19"/>
      <c r="AG3490" s="19"/>
      <c r="AH3490" s="19"/>
      <c r="AI3490" s="19"/>
      <c r="AJ3490" s="19"/>
      <c r="AK3490" s="19"/>
      <c r="AL3490" s="19"/>
      <c r="AM3490" s="19"/>
      <c r="AN3490" s="19"/>
      <c r="AO3490" s="19"/>
      <c r="AP3490" s="19"/>
      <c r="AQ3490" s="19"/>
      <c r="AR3490" s="19"/>
      <c r="AS3490" s="19"/>
    </row>
    <row r="3491" spans="1:45" x14ac:dyDescent="0.3">
      <c r="A3491" s="410" t="s">
        <v>5241</v>
      </c>
      <c r="B3491" s="17"/>
      <c r="C3491" s="19"/>
      <c r="D3491" s="18"/>
      <c r="E3491" s="18"/>
      <c r="F3491" s="19"/>
      <c r="G3491" s="31"/>
      <c r="H3491" s="31"/>
      <c r="I3491" s="19"/>
      <c r="J3491" s="19"/>
      <c r="K3491" s="21"/>
      <c r="L3491" s="22"/>
      <c r="M3491" s="19"/>
      <c r="N3491" s="20"/>
      <c r="O3491" s="19"/>
      <c r="P3491" s="19"/>
      <c r="Q3491" s="19"/>
      <c r="R3491" s="19"/>
      <c r="S3491" s="19"/>
      <c r="T3491" s="19"/>
      <c r="U3491" s="19"/>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19"/>
    </row>
    <row r="3492" spans="1:45" x14ac:dyDescent="0.3">
      <c r="A3492" s="410" t="s">
        <v>5242</v>
      </c>
      <c r="B3492" s="17"/>
      <c r="C3492" s="19"/>
      <c r="D3492" s="18"/>
      <c r="E3492" s="18"/>
      <c r="F3492" s="19"/>
      <c r="G3492" s="31"/>
      <c r="H3492" s="31"/>
      <c r="I3492" s="19"/>
      <c r="J3492" s="19"/>
      <c r="K3492" s="21"/>
      <c r="L3492" s="22"/>
      <c r="M3492" s="19"/>
      <c r="N3492" s="20"/>
      <c r="O3492" s="19"/>
      <c r="P3492" s="19"/>
      <c r="Q3492" s="19"/>
      <c r="R3492" s="19"/>
      <c r="S3492" s="19"/>
      <c r="T3492" s="19"/>
      <c r="U3492" s="19"/>
      <c r="V3492" s="19"/>
      <c r="W3492" s="19"/>
      <c r="X3492" s="19"/>
      <c r="Y3492" s="19"/>
      <c r="Z3492" s="19"/>
      <c r="AA3492" s="19"/>
      <c r="AB3492" s="19"/>
      <c r="AC3492" s="19"/>
      <c r="AD3492" s="19"/>
      <c r="AE3492" s="19"/>
      <c r="AF3492" s="19"/>
      <c r="AG3492" s="19"/>
      <c r="AH3492" s="19"/>
      <c r="AI3492" s="19"/>
      <c r="AJ3492" s="19"/>
      <c r="AK3492" s="19"/>
      <c r="AL3492" s="19"/>
      <c r="AM3492" s="19"/>
      <c r="AN3492" s="19"/>
      <c r="AO3492" s="19"/>
      <c r="AP3492" s="19"/>
      <c r="AQ3492" s="19"/>
      <c r="AR3492" s="19"/>
      <c r="AS3492" s="19"/>
    </row>
    <row r="3493" spans="1:45" x14ac:dyDescent="0.3">
      <c r="A3493" s="410" t="s">
        <v>5243</v>
      </c>
      <c r="B3493" s="17"/>
      <c r="C3493" s="19"/>
      <c r="D3493" s="18"/>
      <c r="E3493" s="18"/>
      <c r="F3493" s="19"/>
      <c r="G3493" s="31"/>
      <c r="H3493" s="31"/>
      <c r="I3493" s="19"/>
      <c r="J3493" s="19"/>
      <c r="K3493" s="21"/>
      <c r="L3493" s="22"/>
      <c r="M3493" s="19"/>
      <c r="N3493" s="20"/>
      <c r="O3493" s="19"/>
      <c r="P3493" s="19"/>
      <c r="Q3493" s="19"/>
      <c r="R3493" s="19"/>
      <c r="S3493" s="19"/>
      <c r="T3493" s="19"/>
      <c r="U3493" s="19"/>
      <c r="V3493" s="19"/>
      <c r="W3493" s="19"/>
      <c r="X3493" s="19"/>
      <c r="Y3493" s="19"/>
      <c r="Z3493" s="19"/>
      <c r="AA3493" s="19"/>
      <c r="AB3493" s="19"/>
      <c r="AC3493" s="19"/>
      <c r="AD3493" s="19"/>
      <c r="AE3493" s="19"/>
      <c r="AF3493" s="19"/>
      <c r="AG3493" s="19"/>
      <c r="AH3493" s="19"/>
      <c r="AI3493" s="19"/>
      <c r="AJ3493" s="19"/>
      <c r="AK3493" s="19"/>
      <c r="AL3493" s="19"/>
      <c r="AM3493" s="19"/>
      <c r="AN3493" s="19"/>
      <c r="AO3493" s="19"/>
      <c r="AP3493" s="19"/>
      <c r="AQ3493" s="19"/>
      <c r="AR3493" s="19"/>
      <c r="AS3493" s="19"/>
    </row>
    <row r="3494" spans="1:45" x14ac:dyDescent="0.3">
      <c r="A3494" s="410"/>
      <c r="B3494" s="17"/>
      <c r="C3494" s="19"/>
      <c r="D3494" s="18"/>
      <c r="E3494" s="18"/>
      <c r="F3494" s="19"/>
      <c r="G3494" s="31"/>
      <c r="H3494" s="31"/>
      <c r="I3494" s="19"/>
      <c r="J3494" s="19"/>
      <c r="K3494" s="21"/>
      <c r="L3494" s="22"/>
      <c r="M3494" s="19"/>
      <c r="N3494" s="20"/>
      <c r="O3494" s="19"/>
      <c r="P3494" s="19"/>
      <c r="Q3494" s="19"/>
      <c r="R3494" s="19"/>
      <c r="S3494" s="19"/>
      <c r="T3494" s="19"/>
      <c r="U3494" s="19"/>
      <c r="V3494" s="19"/>
      <c r="W3494" s="19"/>
      <c r="X3494" s="19"/>
      <c r="Y3494" s="19"/>
      <c r="Z3494" s="19"/>
      <c r="AA3494" s="19"/>
      <c r="AB3494" s="19"/>
      <c r="AC3494" s="19"/>
      <c r="AD3494" s="19"/>
      <c r="AE3494" s="19"/>
      <c r="AF3494" s="19"/>
      <c r="AG3494" s="19"/>
      <c r="AH3494" s="19"/>
      <c r="AI3494" s="19"/>
      <c r="AJ3494" s="19"/>
      <c r="AK3494" s="19"/>
      <c r="AL3494" s="19"/>
      <c r="AM3494" s="19"/>
      <c r="AN3494" s="19"/>
      <c r="AO3494" s="19"/>
      <c r="AP3494" s="19"/>
      <c r="AQ3494" s="19"/>
      <c r="AR3494" s="19"/>
      <c r="AS3494" s="19"/>
    </row>
    <row r="3495" spans="1:45" x14ac:dyDescent="0.3">
      <c r="A3495" s="410" t="s">
        <v>5244</v>
      </c>
      <c r="B3495" s="17" t="s">
        <v>5245</v>
      </c>
      <c r="C3495" s="19" t="s">
        <v>1368</v>
      </c>
      <c r="D3495" s="19">
        <v>20278881</v>
      </c>
      <c r="E3495" s="18"/>
      <c r="F3495" s="19"/>
      <c r="G3495" s="31"/>
      <c r="H3495" s="31"/>
      <c r="I3495" s="19"/>
      <c r="J3495" s="19"/>
      <c r="K3495" s="18"/>
      <c r="L3495" s="19"/>
      <c r="M3495" s="19"/>
      <c r="N3495" s="20"/>
      <c r="O3495" s="19"/>
      <c r="P3495" s="19"/>
      <c r="Q3495" s="19"/>
      <c r="R3495" s="19"/>
      <c r="S3495" s="19"/>
      <c r="T3495" s="19"/>
      <c r="U3495" s="19"/>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19"/>
    </row>
    <row r="3496" spans="1:45" x14ac:dyDescent="0.3">
      <c r="A3496" s="410" t="s">
        <v>5246</v>
      </c>
      <c r="B3496" s="17" t="s">
        <v>5247</v>
      </c>
      <c r="C3496" s="19" t="s">
        <v>1368</v>
      </c>
      <c r="D3496" s="19">
        <v>22219273</v>
      </c>
      <c r="E3496" s="18"/>
      <c r="F3496" s="19"/>
      <c r="G3496" s="31"/>
      <c r="H3496" s="31"/>
      <c r="I3496" s="19"/>
      <c r="J3496" s="19"/>
      <c r="K3496" s="21"/>
      <c r="L3496" s="22"/>
      <c r="M3496" s="19"/>
      <c r="N3496" s="20"/>
      <c r="O3496" s="19"/>
      <c r="P3496" s="19"/>
      <c r="Q3496" s="19"/>
      <c r="R3496" s="19"/>
      <c r="S3496" s="19"/>
      <c r="T3496" s="19"/>
      <c r="U3496" s="19"/>
      <c r="V3496" s="19"/>
      <c r="W3496" s="19"/>
      <c r="X3496" s="19"/>
      <c r="Y3496" s="19"/>
      <c r="Z3496" s="19"/>
      <c r="AA3496" s="19"/>
      <c r="AB3496" s="19"/>
      <c r="AC3496" s="19"/>
      <c r="AD3496" s="19"/>
      <c r="AE3496" s="19"/>
      <c r="AF3496" s="19"/>
      <c r="AG3496" s="19"/>
      <c r="AH3496" s="19"/>
      <c r="AI3496" s="19"/>
      <c r="AJ3496" s="19"/>
      <c r="AK3496" s="19"/>
      <c r="AL3496" s="19"/>
      <c r="AM3496" s="19"/>
      <c r="AN3496" s="19"/>
      <c r="AO3496" s="19"/>
      <c r="AP3496" s="19"/>
      <c r="AQ3496" s="19"/>
      <c r="AR3496" s="19"/>
      <c r="AS3496" s="19"/>
    </row>
    <row r="3497" spans="1:45" x14ac:dyDescent="0.3">
      <c r="A3497" s="410" t="s">
        <v>5248</v>
      </c>
      <c r="B3497" s="17"/>
      <c r="C3497" s="19"/>
      <c r="D3497" s="19"/>
      <c r="E3497" s="18"/>
      <c r="F3497" s="19"/>
      <c r="G3497" s="31"/>
      <c r="H3497" s="31"/>
      <c r="I3497" s="19"/>
      <c r="J3497" s="19"/>
      <c r="K3497" s="21"/>
      <c r="L3497" s="22"/>
      <c r="M3497" s="19"/>
      <c r="N3497" s="20"/>
      <c r="O3497" s="19"/>
      <c r="P3497" s="19"/>
      <c r="Q3497" s="19"/>
      <c r="R3497" s="19"/>
      <c r="S3497" s="19"/>
      <c r="T3497" s="19"/>
      <c r="U3497" s="19"/>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row>
    <row r="3498" spans="1:45" x14ac:dyDescent="0.3">
      <c r="A3498" s="410" t="s">
        <v>5249</v>
      </c>
      <c r="B3498" s="17"/>
      <c r="C3498" s="19"/>
      <c r="D3498" s="19"/>
      <c r="E3498" s="18"/>
      <c r="F3498" s="19"/>
      <c r="G3498" s="31"/>
      <c r="H3498" s="31"/>
      <c r="I3498" s="19"/>
      <c r="J3498" s="19"/>
      <c r="K3498" s="21"/>
      <c r="L3498" s="22"/>
      <c r="M3498" s="19"/>
      <c r="N3498" s="20"/>
      <c r="O3498" s="19"/>
      <c r="P3498" s="19"/>
      <c r="Q3498" s="19"/>
      <c r="R3498" s="19"/>
      <c r="S3498" s="19"/>
      <c r="T3498" s="19"/>
      <c r="U3498" s="19"/>
      <c r="V3498" s="19"/>
      <c r="W3498" s="19"/>
      <c r="X3498" s="19"/>
      <c r="Y3498" s="19"/>
      <c r="Z3498" s="19"/>
      <c r="AA3498" s="19"/>
      <c r="AB3498" s="19"/>
      <c r="AC3498" s="19"/>
      <c r="AD3498" s="19"/>
      <c r="AE3498" s="19"/>
      <c r="AF3498" s="19"/>
      <c r="AG3498" s="19"/>
      <c r="AH3498" s="19"/>
      <c r="AI3498" s="19"/>
      <c r="AJ3498" s="19"/>
      <c r="AK3498" s="19"/>
      <c r="AL3498" s="19"/>
      <c r="AM3498" s="19"/>
      <c r="AN3498" s="19"/>
      <c r="AO3498" s="19"/>
      <c r="AP3498" s="19"/>
      <c r="AQ3498" s="19"/>
      <c r="AR3498" s="19"/>
      <c r="AS3498" s="19"/>
    </row>
    <row r="3499" spans="1:45" x14ac:dyDescent="0.3">
      <c r="A3499" s="410" t="s">
        <v>5250</v>
      </c>
      <c r="B3499" s="17"/>
      <c r="C3499" s="19"/>
      <c r="D3499" s="19"/>
      <c r="E3499" s="18"/>
      <c r="F3499" s="19"/>
      <c r="G3499" s="31"/>
      <c r="H3499" s="31"/>
      <c r="I3499" s="19"/>
      <c r="J3499" s="19"/>
      <c r="K3499" s="21"/>
      <c r="L3499" s="22"/>
      <c r="M3499" s="19"/>
      <c r="N3499" s="20"/>
      <c r="O3499" s="19"/>
      <c r="P3499" s="19"/>
      <c r="Q3499" s="19"/>
      <c r="R3499" s="19"/>
      <c r="S3499" s="19"/>
      <c r="T3499" s="19"/>
      <c r="U3499" s="19"/>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row>
    <row r="3500" spans="1:45" x14ac:dyDescent="0.3">
      <c r="A3500" s="410" t="s">
        <v>5251</v>
      </c>
      <c r="B3500" s="17"/>
      <c r="C3500" s="19"/>
      <c r="D3500" s="19"/>
      <c r="E3500" s="18"/>
      <c r="F3500" s="19"/>
      <c r="G3500" s="31"/>
      <c r="H3500" s="31"/>
      <c r="I3500" s="19"/>
      <c r="J3500" s="19"/>
      <c r="K3500" s="21"/>
      <c r="L3500" s="22"/>
      <c r="M3500" s="19"/>
      <c r="N3500" s="20"/>
      <c r="O3500" s="19"/>
      <c r="P3500" s="19"/>
      <c r="Q3500" s="19"/>
      <c r="R3500" s="19"/>
      <c r="S3500" s="19"/>
      <c r="T3500" s="19"/>
      <c r="U3500" s="19"/>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row>
    <row r="3501" spans="1:45" x14ac:dyDescent="0.3">
      <c r="A3501" s="410" t="s">
        <v>5252</v>
      </c>
      <c r="B3501" s="17"/>
      <c r="C3501" s="19"/>
      <c r="D3501" s="19"/>
      <c r="E3501" s="18"/>
      <c r="F3501" s="19"/>
      <c r="G3501" s="31"/>
      <c r="H3501" s="31"/>
      <c r="I3501" s="19"/>
      <c r="J3501" s="19"/>
      <c r="K3501" s="21"/>
      <c r="L3501" s="22"/>
      <c r="M3501" s="19"/>
      <c r="N3501" s="20"/>
      <c r="O3501" s="19"/>
      <c r="P3501" s="19"/>
      <c r="Q3501" s="19"/>
      <c r="R3501" s="19"/>
      <c r="S3501" s="19"/>
      <c r="T3501" s="19"/>
      <c r="U3501" s="19"/>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row>
    <row r="3502" spans="1:45" x14ac:dyDescent="0.3">
      <c r="A3502" s="410" t="s">
        <v>5253</v>
      </c>
      <c r="B3502" s="17"/>
      <c r="C3502" s="19"/>
      <c r="D3502" s="19"/>
      <c r="E3502" s="18"/>
      <c r="F3502" s="19"/>
      <c r="G3502" s="31"/>
      <c r="H3502" s="31"/>
      <c r="I3502" s="19"/>
      <c r="J3502" s="19"/>
      <c r="K3502" s="21"/>
      <c r="L3502" s="22"/>
      <c r="M3502" s="19"/>
      <c r="N3502" s="20"/>
      <c r="O3502" s="19"/>
      <c r="P3502" s="19"/>
      <c r="Q3502" s="19"/>
      <c r="R3502" s="19"/>
      <c r="S3502" s="19"/>
      <c r="T3502" s="19"/>
      <c r="U3502" s="19"/>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row>
    <row r="3503" spans="1:45" x14ac:dyDescent="0.3">
      <c r="A3503" s="410" t="s">
        <v>5254</v>
      </c>
      <c r="B3503" s="17"/>
      <c r="C3503" s="19"/>
      <c r="D3503" s="19"/>
      <c r="E3503" s="18"/>
      <c r="F3503" s="19"/>
      <c r="G3503" s="31"/>
      <c r="H3503" s="31"/>
      <c r="I3503" s="19"/>
      <c r="J3503" s="19"/>
      <c r="K3503" s="21"/>
      <c r="L3503" s="22"/>
      <c r="M3503" s="19"/>
      <c r="N3503" s="20"/>
      <c r="O3503" s="19"/>
      <c r="P3503" s="19"/>
      <c r="Q3503" s="19"/>
      <c r="R3503" s="19"/>
      <c r="S3503" s="19"/>
      <c r="T3503" s="19"/>
      <c r="U3503" s="19"/>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19"/>
    </row>
    <row r="3504" spans="1:45" x14ac:dyDescent="0.3">
      <c r="A3504" s="410" t="s">
        <v>5255</v>
      </c>
      <c r="B3504" s="17"/>
      <c r="C3504" s="19"/>
      <c r="D3504" s="19"/>
      <c r="E3504" s="18"/>
      <c r="F3504" s="19"/>
      <c r="G3504" s="31"/>
      <c r="H3504" s="31"/>
      <c r="I3504" s="19"/>
      <c r="J3504" s="19"/>
      <c r="K3504" s="21"/>
      <c r="L3504" s="22"/>
      <c r="M3504" s="19"/>
      <c r="N3504" s="20"/>
      <c r="O3504" s="19"/>
      <c r="P3504" s="19"/>
      <c r="Q3504" s="19"/>
      <c r="R3504" s="19"/>
      <c r="S3504" s="19"/>
      <c r="T3504" s="19"/>
      <c r="U3504" s="19"/>
      <c r="V3504" s="19"/>
      <c r="W3504" s="19"/>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19"/>
    </row>
    <row r="3505" spans="1:45" x14ac:dyDescent="0.3">
      <c r="A3505" s="410" t="s">
        <v>5256</v>
      </c>
      <c r="B3505" s="17"/>
      <c r="C3505" s="19"/>
      <c r="D3505" s="19"/>
      <c r="E3505" s="18"/>
      <c r="F3505" s="19"/>
      <c r="G3505" s="31"/>
      <c r="H3505" s="31"/>
      <c r="I3505" s="19"/>
      <c r="J3505" s="19"/>
      <c r="K3505" s="21"/>
      <c r="L3505" s="22"/>
      <c r="M3505" s="19"/>
      <c r="N3505" s="20"/>
      <c r="O3505" s="19"/>
      <c r="P3505" s="19"/>
      <c r="Q3505" s="19"/>
      <c r="R3505" s="19"/>
      <c r="S3505" s="19"/>
      <c r="T3505" s="19"/>
      <c r="U3505" s="19"/>
      <c r="V3505" s="19"/>
      <c r="W3505" s="19"/>
      <c r="X3505" s="19"/>
      <c r="Y3505" s="19"/>
      <c r="Z3505" s="19"/>
      <c r="AA3505" s="19"/>
      <c r="AB3505" s="19"/>
      <c r="AC3505" s="19"/>
      <c r="AD3505" s="19"/>
      <c r="AE3505" s="19"/>
      <c r="AF3505" s="19"/>
      <c r="AG3505" s="19"/>
      <c r="AH3505" s="19"/>
      <c r="AI3505" s="19"/>
      <c r="AJ3505" s="19"/>
      <c r="AK3505" s="19"/>
      <c r="AL3505" s="19"/>
      <c r="AM3505" s="19"/>
      <c r="AN3505" s="19"/>
      <c r="AO3505" s="19"/>
      <c r="AP3505" s="19"/>
      <c r="AQ3505" s="19"/>
      <c r="AR3505" s="19"/>
      <c r="AS3505" s="19"/>
    </row>
    <row r="3506" spans="1:45" x14ac:dyDescent="0.3">
      <c r="A3506" s="410" t="s">
        <v>5257</v>
      </c>
      <c r="B3506" s="17"/>
      <c r="C3506" s="19"/>
      <c r="D3506" s="19"/>
      <c r="E3506" s="18"/>
      <c r="F3506" s="19"/>
      <c r="G3506" s="31"/>
      <c r="H3506" s="31"/>
      <c r="I3506" s="19"/>
      <c r="J3506" s="19"/>
      <c r="K3506" s="21"/>
      <c r="L3506" s="22"/>
      <c r="M3506" s="19"/>
      <c r="N3506" s="20"/>
      <c r="O3506" s="19"/>
      <c r="P3506" s="19"/>
      <c r="Q3506" s="19"/>
      <c r="R3506" s="19"/>
      <c r="S3506" s="19"/>
      <c r="T3506" s="19"/>
      <c r="U3506" s="19"/>
      <c r="V3506" s="19"/>
      <c r="W3506" s="19"/>
      <c r="X3506" s="19"/>
      <c r="Y3506" s="19"/>
      <c r="Z3506" s="19"/>
      <c r="AA3506" s="19"/>
      <c r="AB3506" s="19"/>
      <c r="AC3506" s="19"/>
      <c r="AD3506" s="19"/>
      <c r="AE3506" s="19"/>
      <c r="AF3506" s="19"/>
      <c r="AG3506" s="19"/>
      <c r="AH3506" s="19"/>
      <c r="AI3506" s="19"/>
      <c r="AJ3506" s="19"/>
      <c r="AK3506" s="19"/>
      <c r="AL3506" s="19"/>
      <c r="AM3506" s="19"/>
      <c r="AN3506" s="19"/>
      <c r="AO3506" s="19"/>
      <c r="AP3506" s="19"/>
      <c r="AQ3506" s="19"/>
      <c r="AR3506" s="19"/>
      <c r="AS3506" s="19"/>
    </row>
    <row r="3507" spans="1:45" x14ac:dyDescent="0.3">
      <c r="A3507" s="410" t="s">
        <v>5258</v>
      </c>
      <c r="B3507" s="17"/>
      <c r="C3507" s="19"/>
      <c r="D3507" s="19"/>
      <c r="E3507" s="18"/>
      <c r="F3507" s="19"/>
      <c r="G3507" s="31"/>
      <c r="H3507" s="31"/>
      <c r="I3507" s="19"/>
      <c r="J3507" s="19"/>
      <c r="K3507" s="21"/>
      <c r="L3507" s="22"/>
      <c r="M3507" s="19"/>
      <c r="N3507" s="20"/>
      <c r="O3507" s="19"/>
      <c r="P3507" s="19"/>
      <c r="Q3507" s="19"/>
      <c r="R3507" s="19"/>
      <c r="S3507" s="19"/>
      <c r="T3507" s="19"/>
      <c r="U3507" s="19"/>
      <c r="V3507" s="19"/>
      <c r="W3507" s="19"/>
      <c r="X3507" s="19"/>
      <c r="Y3507" s="19"/>
      <c r="Z3507" s="19"/>
      <c r="AA3507" s="19"/>
      <c r="AB3507" s="19"/>
      <c r="AC3507" s="19"/>
      <c r="AD3507" s="19"/>
      <c r="AE3507" s="19"/>
      <c r="AF3507" s="19"/>
      <c r="AG3507" s="19"/>
      <c r="AH3507" s="19"/>
      <c r="AI3507" s="19"/>
      <c r="AJ3507" s="19"/>
      <c r="AK3507" s="19"/>
      <c r="AL3507" s="19"/>
      <c r="AM3507" s="19"/>
      <c r="AN3507" s="19"/>
      <c r="AO3507" s="19"/>
      <c r="AP3507" s="19"/>
      <c r="AQ3507" s="19"/>
      <c r="AR3507" s="19"/>
      <c r="AS3507" s="19"/>
    </row>
    <row r="3508" spans="1:45" x14ac:dyDescent="0.3">
      <c r="A3508" s="410" t="s">
        <v>5259</v>
      </c>
      <c r="B3508" s="17"/>
      <c r="C3508" s="19"/>
      <c r="D3508" s="19"/>
      <c r="E3508" s="18"/>
      <c r="F3508" s="19"/>
      <c r="G3508" s="31"/>
      <c r="H3508" s="31"/>
      <c r="I3508" s="19"/>
      <c r="J3508" s="19"/>
      <c r="K3508" s="21"/>
      <c r="L3508" s="22"/>
      <c r="M3508" s="19"/>
      <c r="N3508" s="20"/>
      <c r="O3508" s="19"/>
      <c r="P3508" s="19"/>
      <c r="Q3508" s="19"/>
      <c r="R3508" s="19"/>
      <c r="S3508" s="19"/>
      <c r="T3508" s="19"/>
      <c r="U3508" s="19"/>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row>
    <row r="3509" spans="1:45" x14ac:dyDescent="0.3">
      <c r="A3509" s="410" t="s">
        <v>5260</v>
      </c>
      <c r="B3509" s="17"/>
      <c r="C3509" s="19"/>
      <c r="D3509" s="19"/>
      <c r="E3509" s="18"/>
      <c r="F3509" s="19"/>
      <c r="G3509" s="31"/>
      <c r="H3509" s="31"/>
      <c r="I3509" s="19"/>
      <c r="J3509" s="19"/>
      <c r="K3509" s="21"/>
      <c r="L3509" s="22"/>
      <c r="M3509" s="19"/>
      <c r="N3509" s="20"/>
      <c r="O3509" s="19"/>
      <c r="P3509" s="19"/>
      <c r="Q3509" s="19"/>
      <c r="R3509" s="19"/>
      <c r="S3509" s="19"/>
      <c r="T3509" s="19"/>
      <c r="U3509" s="19"/>
      <c r="V3509" s="19"/>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19"/>
    </row>
    <row r="3510" spans="1:45" x14ac:dyDescent="0.3">
      <c r="A3510" s="410" t="s">
        <v>5261</v>
      </c>
      <c r="B3510" s="17"/>
      <c r="C3510" s="19"/>
      <c r="D3510" s="19"/>
      <c r="E3510" s="18"/>
      <c r="F3510" s="19"/>
      <c r="G3510" s="31"/>
      <c r="H3510" s="31"/>
      <c r="I3510" s="19"/>
      <c r="J3510" s="19"/>
      <c r="K3510" s="21"/>
      <c r="L3510" s="22"/>
      <c r="M3510" s="19"/>
      <c r="N3510" s="20"/>
      <c r="O3510" s="19"/>
      <c r="P3510" s="19"/>
      <c r="Q3510" s="19"/>
      <c r="R3510" s="19"/>
      <c r="S3510" s="19"/>
      <c r="T3510" s="19"/>
      <c r="U3510" s="19"/>
      <c r="V3510" s="19"/>
      <c r="W3510" s="19"/>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19"/>
    </row>
    <row r="3511" spans="1:45" x14ac:dyDescent="0.3">
      <c r="A3511" s="410" t="s">
        <v>5262</v>
      </c>
      <c r="B3511" s="17"/>
      <c r="C3511" s="19"/>
      <c r="D3511" s="19"/>
      <c r="E3511" s="18"/>
      <c r="F3511" s="19"/>
      <c r="G3511" s="31"/>
      <c r="H3511" s="31"/>
      <c r="I3511" s="19"/>
      <c r="J3511" s="19"/>
      <c r="K3511" s="21"/>
      <c r="L3511" s="22"/>
      <c r="M3511" s="19"/>
      <c r="N3511" s="20"/>
      <c r="O3511" s="19"/>
      <c r="P3511" s="19"/>
      <c r="Q3511" s="19"/>
      <c r="R3511" s="19"/>
      <c r="S3511" s="19"/>
      <c r="T3511" s="19"/>
      <c r="U3511" s="19"/>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row>
    <row r="3512" spans="1:45" x14ac:dyDescent="0.3">
      <c r="A3512" s="410" t="s">
        <v>5263</v>
      </c>
      <c r="B3512" s="17"/>
      <c r="C3512" s="19"/>
      <c r="D3512" s="19"/>
      <c r="E3512" s="18"/>
      <c r="F3512" s="19"/>
      <c r="G3512" s="31"/>
      <c r="H3512" s="31"/>
      <c r="I3512" s="19"/>
      <c r="J3512" s="19"/>
      <c r="K3512" s="21"/>
      <c r="L3512" s="22"/>
      <c r="M3512" s="19"/>
      <c r="N3512" s="20"/>
      <c r="O3512" s="19"/>
      <c r="P3512" s="19"/>
      <c r="Q3512" s="19"/>
      <c r="R3512" s="19"/>
      <c r="S3512" s="19"/>
      <c r="T3512" s="19"/>
      <c r="U3512" s="19"/>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row>
    <row r="3513" spans="1:45" x14ac:dyDescent="0.3">
      <c r="A3513" s="410" t="s">
        <v>5264</v>
      </c>
      <c r="B3513" s="17"/>
      <c r="C3513" s="19"/>
      <c r="D3513" s="19"/>
      <c r="E3513" s="18"/>
      <c r="F3513" s="19"/>
      <c r="G3513" s="31"/>
      <c r="H3513" s="31"/>
      <c r="I3513" s="19"/>
      <c r="J3513" s="19"/>
      <c r="K3513" s="21"/>
      <c r="L3513" s="22"/>
      <c r="M3513" s="19"/>
      <c r="N3513" s="20"/>
      <c r="O3513" s="19"/>
      <c r="P3513" s="19"/>
      <c r="Q3513" s="19"/>
      <c r="R3513" s="19"/>
      <c r="S3513" s="19"/>
      <c r="T3513" s="19"/>
      <c r="U3513" s="19"/>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row>
    <row r="3514" spans="1:45" x14ac:dyDescent="0.3">
      <c r="A3514" s="410" t="s">
        <v>5265</v>
      </c>
      <c r="B3514" s="17"/>
      <c r="C3514" s="19"/>
      <c r="D3514" s="19"/>
      <c r="E3514" s="18"/>
      <c r="F3514" s="19"/>
      <c r="G3514" s="31"/>
      <c r="H3514" s="31"/>
      <c r="I3514" s="19"/>
      <c r="J3514" s="19"/>
      <c r="K3514" s="21"/>
      <c r="L3514" s="22"/>
      <c r="M3514" s="19"/>
      <c r="N3514" s="20"/>
      <c r="O3514" s="19"/>
      <c r="P3514" s="19"/>
      <c r="Q3514" s="19"/>
      <c r="R3514" s="19"/>
      <c r="S3514" s="19"/>
      <c r="T3514" s="19"/>
      <c r="U3514" s="19"/>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19"/>
    </row>
    <row r="3515" spans="1:45" x14ac:dyDescent="0.3">
      <c r="A3515" s="410" t="s">
        <v>5266</v>
      </c>
      <c r="B3515" s="17"/>
      <c r="C3515" s="19"/>
      <c r="D3515" s="19"/>
      <c r="E3515" s="18"/>
      <c r="F3515" s="19"/>
      <c r="G3515" s="31"/>
      <c r="H3515" s="31"/>
      <c r="I3515" s="19"/>
      <c r="J3515" s="19"/>
      <c r="K3515" s="21"/>
      <c r="L3515" s="22"/>
      <c r="M3515" s="19"/>
      <c r="N3515" s="20"/>
      <c r="O3515" s="19"/>
      <c r="P3515" s="19"/>
      <c r="Q3515" s="19"/>
      <c r="R3515" s="19"/>
      <c r="S3515" s="19"/>
      <c r="T3515" s="19"/>
      <c r="U3515" s="19"/>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row>
    <row r="3516" spans="1:45" x14ac:dyDescent="0.3">
      <c r="A3516" s="410" t="s">
        <v>5267</v>
      </c>
      <c r="B3516" s="17"/>
      <c r="C3516" s="19"/>
      <c r="D3516" s="19"/>
      <c r="E3516" s="18"/>
      <c r="F3516" s="19"/>
      <c r="G3516" s="31"/>
      <c r="H3516" s="31"/>
      <c r="I3516" s="19"/>
      <c r="J3516" s="19"/>
      <c r="K3516" s="21"/>
      <c r="L3516" s="22"/>
      <c r="M3516" s="19"/>
      <c r="N3516" s="20"/>
      <c r="O3516" s="19"/>
      <c r="P3516" s="19"/>
      <c r="Q3516" s="19"/>
      <c r="R3516" s="19"/>
      <c r="S3516" s="19"/>
      <c r="T3516" s="19"/>
      <c r="U3516" s="19"/>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19"/>
    </row>
    <row r="3517" spans="1:45" x14ac:dyDescent="0.3">
      <c r="A3517" s="410" t="s">
        <v>5268</v>
      </c>
      <c r="B3517" s="17"/>
      <c r="C3517" s="19"/>
      <c r="D3517" s="19"/>
      <c r="E3517" s="18"/>
      <c r="F3517" s="19"/>
      <c r="G3517" s="31"/>
      <c r="H3517" s="31"/>
      <c r="I3517" s="19"/>
      <c r="J3517" s="19"/>
      <c r="K3517" s="21"/>
      <c r="L3517" s="22"/>
      <c r="M3517" s="19"/>
      <c r="N3517" s="20"/>
      <c r="O3517" s="19"/>
      <c r="P3517" s="19"/>
      <c r="Q3517" s="19"/>
      <c r="R3517" s="19"/>
      <c r="S3517" s="19"/>
      <c r="T3517" s="19"/>
      <c r="U3517" s="19"/>
      <c r="V3517" s="19"/>
      <c r="W3517" s="19"/>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19"/>
    </row>
    <row r="3518" spans="1:45" x14ac:dyDescent="0.3">
      <c r="A3518" s="410" t="s">
        <v>5269</v>
      </c>
      <c r="B3518" s="17"/>
      <c r="C3518" s="19"/>
      <c r="D3518" s="19"/>
      <c r="E3518" s="18"/>
      <c r="F3518" s="19"/>
      <c r="G3518" s="31"/>
      <c r="H3518" s="31"/>
      <c r="I3518" s="19"/>
      <c r="J3518" s="19"/>
      <c r="K3518" s="21"/>
      <c r="L3518" s="22"/>
      <c r="M3518" s="19"/>
      <c r="N3518" s="20"/>
      <c r="O3518" s="19"/>
      <c r="P3518" s="19"/>
      <c r="Q3518" s="19"/>
      <c r="R3518" s="19"/>
      <c r="S3518" s="19"/>
      <c r="T3518" s="19"/>
      <c r="U3518" s="19"/>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row>
    <row r="3519" spans="1:45" x14ac:dyDescent="0.3">
      <c r="A3519" s="410" t="s">
        <v>5270</v>
      </c>
      <c r="B3519" s="17"/>
      <c r="C3519" s="19"/>
      <c r="D3519" s="19"/>
      <c r="E3519" s="18"/>
      <c r="F3519" s="19"/>
      <c r="G3519" s="31"/>
      <c r="H3519" s="31"/>
      <c r="I3519" s="19"/>
      <c r="J3519" s="19"/>
      <c r="K3519" s="21"/>
      <c r="L3519" s="22"/>
      <c r="M3519" s="19"/>
      <c r="N3519" s="20"/>
      <c r="O3519" s="19"/>
      <c r="P3519" s="19"/>
      <c r="Q3519" s="19"/>
      <c r="R3519" s="19"/>
      <c r="S3519" s="19"/>
      <c r="T3519" s="19"/>
      <c r="U3519" s="19"/>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row>
    <row r="3520" spans="1:45" x14ac:dyDescent="0.3">
      <c r="A3520" s="410" t="s">
        <v>5271</v>
      </c>
      <c r="B3520" s="17"/>
      <c r="C3520" s="19"/>
      <c r="D3520" s="19"/>
      <c r="E3520" s="18"/>
      <c r="F3520" s="19"/>
      <c r="G3520" s="31"/>
      <c r="H3520" s="31"/>
      <c r="I3520" s="19"/>
      <c r="J3520" s="19"/>
      <c r="K3520" s="21"/>
      <c r="L3520" s="22"/>
      <c r="M3520" s="19"/>
      <c r="N3520" s="20"/>
      <c r="O3520" s="19"/>
      <c r="P3520" s="19"/>
      <c r="Q3520" s="19"/>
      <c r="R3520" s="19"/>
      <c r="S3520" s="19"/>
      <c r="T3520" s="19"/>
      <c r="U3520" s="19"/>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row>
    <row r="3521" spans="1:45" x14ac:dyDescent="0.3">
      <c r="A3521" s="410" t="s">
        <v>5272</v>
      </c>
      <c r="B3521" s="17"/>
      <c r="C3521" s="19"/>
      <c r="D3521" s="19"/>
      <c r="E3521" s="18"/>
      <c r="F3521" s="19"/>
      <c r="G3521" s="31"/>
      <c r="H3521" s="31"/>
      <c r="I3521" s="19"/>
      <c r="J3521" s="19"/>
      <c r="K3521" s="21"/>
      <c r="L3521" s="22"/>
      <c r="M3521" s="19"/>
      <c r="N3521" s="20"/>
      <c r="O3521" s="19"/>
      <c r="P3521" s="19"/>
      <c r="Q3521" s="19"/>
      <c r="R3521" s="19"/>
      <c r="S3521" s="19"/>
      <c r="T3521" s="19"/>
      <c r="U3521" s="19"/>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row>
    <row r="3522" spans="1:45" x14ac:dyDescent="0.3">
      <c r="A3522" s="410" t="s">
        <v>5273</v>
      </c>
      <c r="B3522" s="17"/>
      <c r="C3522" s="19"/>
      <c r="D3522" s="19"/>
      <c r="E3522" s="18"/>
      <c r="F3522" s="19"/>
      <c r="G3522" s="31"/>
      <c r="H3522" s="31"/>
      <c r="I3522" s="19"/>
      <c r="J3522" s="19"/>
      <c r="K3522" s="21"/>
      <c r="L3522" s="22"/>
      <c r="M3522" s="19"/>
      <c r="N3522" s="20"/>
      <c r="O3522" s="19"/>
      <c r="P3522" s="19"/>
      <c r="Q3522" s="19"/>
      <c r="R3522" s="19"/>
      <c r="S3522" s="19"/>
      <c r="T3522" s="19"/>
      <c r="U3522" s="19"/>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19"/>
    </row>
    <row r="3523" spans="1:45" x14ac:dyDescent="0.3">
      <c r="A3523" s="410" t="s">
        <v>5274</v>
      </c>
      <c r="B3523" s="17"/>
      <c r="C3523" s="19"/>
      <c r="D3523" s="19"/>
      <c r="E3523" s="18"/>
      <c r="F3523" s="19"/>
      <c r="G3523" s="31"/>
      <c r="H3523" s="31"/>
      <c r="I3523" s="19"/>
      <c r="J3523" s="19"/>
      <c r="K3523" s="21"/>
      <c r="L3523" s="22"/>
      <c r="M3523" s="19"/>
      <c r="N3523" s="20"/>
      <c r="O3523" s="19"/>
      <c r="P3523" s="19"/>
      <c r="Q3523" s="19"/>
      <c r="R3523" s="19"/>
      <c r="S3523" s="19"/>
      <c r="T3523" s="19"/>
      <c r="U3523" s="19"/>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row>
    <row r="3524" spans="1:45" x14ac:dyDescent="0.3">
      <c r="A3524" s="410" t="s">
        <v>5275</v>
      </c>
      <c r="B3524" s="17"/>
      <c r="C3524" s="19"/>
      <c r="D3524" s="19"/>
      <c r="E3524" s="18"/>
      <c r="F3524" s="19"/>
      <c r="G3524" s="31"/>
      <c r="H3524" s="31"/>
      <c r="I3524" s="19"/>
      <c r="J3524" s="19"/>
      <c r="K3524" s="21"/>
      <c r="L3524" s="22"/>
      <c r="M3524" s="19"/>
      <c r="N3524" s="20"/>
      <c r="O3524" s="19"/>
      <c r="P3524" s="19"/>
      <c r="Q3524" s="19"/>
      <c r="R3524" s="19"/>
      <c r="S3524" s="19"/>
      <c r="T3524" s="19"/>
      <c r="U3524" s="19"/>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row>
    <row r="3525" spans="1:45" x14ac:dyDescent="0.3">
      <c r="A3525" s="410" t="s">
        <v>5276</v>
      </c>
      <c r="B3525" s="17"/>
      <c r="C3525" s="19"/>
      <c r="D3525" s="19"/>
      <c r="E3525" s="18"/>
      <c r="F3525" s="19"/>
      <c r="G3525" s="31"/>
      <c r="H3525" s="31"/>
      <c r="I3525" s="19"/>
      <c r="J3525" s="19"/>
      <c r="K3525" s="21"/>
      <c r="L3525" s="22"/>
      <c r="M3525" s="19"/>
      <c r="N3525" s="20"/>
      <c r="O3525" s="19"/>
      <c r="P3525" s="19"/>
      <c r="Q3525" s="19"/>
      <c r="R3525" s="19"/>
      <c r="S3525" s="19"/>
      <c r="T3525" s="19"/>
      <c r="U3525" s="19"/>
      <c r="V3525" s="19"/>
      <c r="W3525" s="19"/>
      <c r="X3525" s="19"/>
      <c r="Y3525" s="19"/>
      <c r="Z3525" s="19"/>
      <c r="AA3525" s="19"/>
      <c r="AB3525" s="19"/>
      <c r="AC3525" s="19"/>
      <c r="AD3525" s="19"/>
      <c r="AE3525" s="19"/>
      <c r="AF3525" s="19"/>
      <c r="AG3525" s="19"/>
      <c r="AH3525" s="19"/>
      <c r="AI3525" s="19"/>
      <c r="AJ3525" s="19"/>
      <c r="AK3525" s="19"/>
      <c r="AL3525" s="19"/>
      <c r="AM3525" s="19"/>
      <c r="AN3525" s="19"/>
      <c r="AO3525" s="19"/>
      <c r="AP3525" s="19"/>
      <c r="AQ3525" s="19"/>
      <c r="AR3525" s="19"/>
      <c r="AS3525" s="19"/>
    </row>
    <row r="3526" spans="1:45" x14ac:dyDescent="0.3">
      <c r="A3526" s="410" t="s">
        <v>5277</v>
      </c>
      <c r="B3526" s="17"/>
      <c r="C3526" s="19"/>
      <c r="D3526" s="19"/>
      <c r="E3526" s="18"/>
      <c r="F3526" s="19"/>
      <c r="G3526" s="31"/>
      <c r="H3526" s="31"/>
      <c r="I3526" s="19"/>
      <c r="J3526" s="19"/>
      <c r="K3526" s="21"/>
      <c r="L3526" s="22"/>
      <c r="M3526" s="19"/>
      <c r="N3526" s="20"/>
      <c r="O3526" s="19"/>
      <c r="P3526" s="19"/>
      <c r="Q3526" s="19"/>
      <c r="R3526" s="19"/>
      <c r="S3526" s="19"/>
      <c r="T3526" s="19"/>
      <c r="U3526" s="19"/>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row>
    <row r="3527" spans="1:45" x14ac:dyDescent="0.3">
      <c r="A3527" s="410" t="s">
        <v>5278</v>
      </c>
      <c r="B3527" s="17"/>
      <c r="C3527" s="19"/>
      <c r="D3527" s="19"/>
      <c r="E3527" s="18"/>
      <c r="F3527" s="19"/>
      <c r="G3527" s="31"/>
      <c r="H3527" s="31"/>
      <c r="I3527" s="19"/>
      <c r="J3527" s="19"/>
      <c r="K3527" s="21"/>
      <c r="L3527" s="22"/>
      <c r="M3527" s="19"/>
      <c r="N3527" s="20"/>
      <c r="O3527" s="19"/>
      <c r="P3527" s="19"/>
      <c r="Q3527" s="19"/>
      <c r="R3527" s="19"/>
      <c r="S3527" s="19"/>
      <c r="T3527" s="19"/>
      <c r="U3527" s="19"/>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row>
    <row r="3528" spans="1:45" x14ac:dyDescent="0.3">
      <c r="A3528" s="410" t="s">
        <v>5279</v>
      </c>
      <c r="B3528" s="17"/>
      <c r="C3528" s="19"/>
      <c r="D3528" s="19"/>
      <c r="E3528" s="18"/>
      <c r="F3528" s="19"/>
      <c r="G3528" s="31"/>
      <c r="H3528" s="31"/>
      <c r="I3528" s="19"/>
      <c r="J3528" s="19"/>
      <c r="K3528" s="21"/>
      <c r="L3528" s="22"/>
      <c r="M3528" s="19"/>
      <c r="N3528" s="20"/>
      <c r="O3528" s="19"/>
      <c r="P3528" s="19"/>
      <c r="Q3528" s="19"/>
      <c r="R3528" s="19"/>
      <c r="S3528" s="19"/>
      <c r="T3528" s="19"/>
      <c r="U3528" s="19"/>
      <c r="V3528" s="19"/>
      <c r="W3528" s="19"/>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19"/>
    </row>
    <row r="3529" spans="1:45" x14ac:dyDescent="0.3">
      <c r="A3529" s="410" t="s">
        <v>5280</v>
      </c>
      <c r="B3529" s="17"/>
      <c r="C3529" s="19"/>
      <c r="D3529" s="19"/>
      <c r="E3529" s="18"/>
      <c r="F3529" s="19"/>
      <c r="G3529" s="31"/>
      <c r="H3529" s="31"/>
      <c r="I3529" s="19"/>
      <c r="J3529" s="19"/>
      <c r="K3529" s="21"/>
      <c r="L3529" s="22"/>
      <c r="M3529" s="19"/>
      <c r="N3529" s="20"/>
      <c r="O3529" s="19"/>
      <c r="P3529" s="19"/>
      <c r="Q3529" s="19"/>
      <c r="R3529" s="19"/>
      <c r="S3529" s="19"/>
      <c r="T3529" s="19"/>
      <c r="U3529" s="19"/>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row>
    <row r="3530" spans="1:45" x14ac:dyDescent="0.3">
      <c r="A3530" s="410" t="s">
        <v>5281</v>
      </c>
      <c r="B3530" s="17"/>
      <c r="C3530" s="19"/>
      <c r="D3530" s="19"/>
      <c r="E3530" s="18"/>
      <c r="F3530" s="19"/>
      <c r="G3530" s="31"/>
      <c r="H3530" s="31"/>
      <c r="I3530" s="19"/>
      <c r="J3530" s="19"/>
      <c r="K3530" s="21"/>
      <c r="L3530" s="22"/>
      <c r="M3530" s="19"/>
      <c r="N3530" s="20"/>
      <c r="O3530" s="19"/>
      <c r="P3530" s="19"/>
      <c r="Q3530" s="19"/>
      <c r="R3530" s="19"/>
      <c r="S3530" s="19"/>
      <c r="T3530" s="19"/>
      <c r="U3530" s="19"/>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19"/>
    </row>
    <row r="3531" spans="1:45" x14ac:dyDescent="0.3">
      <c r="A3531" s="410" t="s">
        <v>5282</v>
      </c>
      <c r="B3531" s="17"/>
      <c r="C3531" s="19"/>
      <c r="D3531" s="19"/>
      <c r="E3531" s="18"/>
      <c r="F3531" s="19"/>
      <c r="G3531" s="31"/>
      <c r="H3531" s="31"/>
      <c r="I3531" s="19"/>
      <c r="J3531" s="19"/>
      <c r="K3531" s="21"/>
      <c r="L3531" s="22"/>
      <c r="M3531" s="19"/>
      <c r="N3531" s="20"/>
      <c r="O3531" s="19"/>
      <c r="P3531" s="19"/>
      <c r="Q3531" s="19"/>
      <c r="R3531" s="19"/>
      <c r="S3531" s="19"/>
      <c r="T3531" s="19"/>
      <c r="U3531" s="19"/>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row>
    <row r="3532" spans="1:45" x14ac:dyDescent="0.3">
      <c r="A3532" s="410" t="s">
        <v>5283</v>
      </c>
      <c r="B3532" s="17"/>
      <c r="C3532" s="19"/>
      <c r="D3532" s="19"/>
      <c r="E3532" s="18"/>
      <c r="F3532" s="19"/>
      <c r="G3532" s="31"/>
      <c r="H3532" s="31"/>
      <c r="I3532" s="19"/>
      <c r="J3532" s="19"/>
      <c r="K3532" s="21"/>
      <c r="L3532" s="22"/>
      <c r="M3532" s="19"/>
      <c r="N3532" s="20"/>
      <c r="O3532" s="19"/>
      <c r="P3532" s="19"/>
      <c r="Q3532" s="19"/>
      <c r="R3532" s="19"/>
      <c r="S3532" s="19"/>
      <c r="T3532" s="19"/>
      <c r="U3532" s="19"/>
      <c r="V3532" s="19"/>
      <c r="W3532" s="19"/>
      <c r="X3532" s="19"/>
      <c r="Y3532" s="19"/>
      <c r="Z3532" s="19"/>
      <c r="AA3532" s="19"/>
      <c r="AB3532" s="19"/>
      <c r="AC3532" s="19"/>
      <c r="AD3532" s="19"/>
      <c r="AE3532" s="19"/>
      <c r="AF3532" s="19"/>
      <c r="AG3532" s="19"/>
      <c r="AH3532" s="19"/>
      <c r="AI3532" s="19"/>
      <c r="AJ3532" s="19"/>
      <c r="AK3532" s="19"/>
      <c r="AL3532" s="19"/>
      <c r="AM3532" s="19"/>
      <c r="AN3532" s="19"/>
      <c r="AO3532" s="19"/>
      <c r="AP3532" s="19"/>
      <c r="AQ3532" s="19"/>
      <c r="AR3532" s="19"/>
      <c r="AS3532" s="19"/>
    </row>
    <row r="3533" spans="1:45" x14ac:dyDescent="0.3">
      <c r="A3533" s="410" t="s">
        <v>5284</v>
      </c>
      <c r="B3533" s="17"/>
      <c r="C3533" s="19"/>
      <c r="D3533" s="19"/>
      <c r="E3533" s="18"/>
      <c r="F3533" s="19"/>
      <c r="G3533" s="31"/>
      <c r="H3533" s="31"/>
      <c r="I3533" s="19"/>
      <c r="J3533" s="19"/>
      <c r="K3533" s="21"/>
      <c r="L3533" s="22"/>
      <c r="M3533" s="19"/>
      <c r="N3533" s="20"/>
      <c r="O3533" s="19"/>
      <c r="P3533" s="19"/>
      <c r="Q3533" s="19"/>
      <c r="R3533" s="19"/>
      <c r="S3533" s="19"/>
      <c r="T3533" s="19"/>
      <c r="U3533" s="19"/>
      <c r="V3533" s="19"/>
      <c r="W3533" s="19"/>
      <c r="X3533" s="19"/>
      <c r="Y3533" s="19"/>
      <c r="Z3533" s="19"/>
      <c r="AA3533" s="19"/>
      <c r="AB3533" s="19"/>
      <c r="AC3533" s="19"/>
      <c r="AD3533" s="19"/>
      <c r="AE3533" s="19"/>
      <c r="AF3533" s="19"/>
      <c r="AG3533" s="19"/>
      <c r="AH3533" s="19"/>
      <c r="AI3533" s="19"/>
      <c r="AJ3533" s="19"/>
      <c r="AK3533" s="19"/>
      <c r="AL3533" s="19"/>
      <c r="AM3533" s="19"/>
      <c r="AN3533" s="19"/>
      <c r="AO3533" s="19"/>
      <c r="AP3533" s="19"/>
      <c r="AQ3533" s="19"/>
      <c r="AR3533" s="19"/>
      <c r="AS3533" s="19"/>
    </row>
    <row r="3534" spans="1:45" x14ac:dyDescent="0.3">
      <c r="A3534" s="410" t="s">
        <v>5285</v>
      </c>
      <c r="B3534" s="17"/>
      <c r="C3534" s="19"/>
      <c r="D3534" s="19"/>
      <c r="E3534" s="18"/>
      <c r="F3534" s="19"/>
      <c r="G3534" s="31"/>
      <c r="H3534" s="31"/>
      <c r="I3534" s="19"/>
      <c r="J3534" s="19"/>
      <c r="K3534" s="21"/>
      <c r="L3534" s="22"/>
      <c r="M3534" s="19"/>
      <c r="N3534" s="20"/>
      <c r="O3534" s="19"/>
      <c r="P3534" s="19"/>
      <c r="Q3534" s="19"/>
      <c r="R3534" s="19"/>
      <c r="S3534" s="19"/>
      <c r="T3534" s="19"/>
      <c r="U3534" s="19"/>
      <c r="V3534" s="19"/>
      <c r="W3534" s="19"/>
      <c r="X3534" s="19"/>
      <c r="Y3534" s="19"/>
      <c r="Z3534" s="19"/>
      <c r="AA3534" s="19"/>
      <c r="AB3534" s="19"/>
      <c r="AC3534" s="19"/>
      <c r="AD3534" s="19"/>
      <c r="AE3534" s="19"/>
      <c r="AF3534" s="19"/>
      <c r="AG3534" s="19"/>
      <c r="AH3534" s="19"/>
      <c r="AI3534" s="19"/>
      <c r="AJ3534" s="19"/>
      <c r="AK3534" s="19"/>
      <c r="AL3534" s="19"/>
      <c r="AM3534" s="19"/>
      <c r="AN3534" s="19"/>
      <c r="AO3534" s="19"/>
      <c r="AP3534" s="19"/>
      <c r="AQ3534" s="19"/>
      <c r="AR3534" s="19"/>
      <c r="AS3534" s="19"/>
    </row>
    <row r="3535" spans="1:45" x14ac:dyDescent="0.3">
      <c r="A3535" s="410" t="s">
        <v>5286</v>
      </c>
      <c r="B3535" s="17"/>
      <c r="C3535" s="19"/>
      <c r="D3535" s="19"/>
      <c r="E3535" s="18"/>
      <c r="F3535" s="19"/>
      <c r="G3535" s="31"/>
      <c r="H3535" s="31"/>
      <c r="I3535" s="19"/>
      <c r="J3535" s="19"/>
      <c r="K3535" s="21"/>
      <c r="L3535" s="22"/>
      <c r="M3535" s="19"/>
      <c r="N3535" s="20"/>
      <c r="O3535" s="19"/>
      <c r="P3535" s="19"/>
      <c r="Q3535" s="19"/>
      <c r="R3535" s="19"/>
      <c r="S3535" s="19"/>
      <c r="T3535" s="19"/>
      <c r="U3535" s="19"/>
      <c r="V3535" s="19"/>
      <c r="W3535" s="19"/>
      <c r="X3535" s="19"/>
      <c r="Y3535" s="19"/>
      <c r="Z3535" s="19"/>
      <c r="AA3535" s="19"/>
      <c r="AB3535" s="19"/>
      <c r="AC3535" s="19"/>
      <c r="AD3535" s="19"/>
      <c r="AE3535" s="19"/>
      <c r="AF3535" s="19"/>
      <c r="AG3535" s="19"/>
      <c r="AH3535" s="19"/>
      <c r="AI3535" s="19"/>
      <c r="AJ3535" s="19"/>
      <c r="AK3535" s="19"/>
      <c r="AL3535" s="19"/>
      <c r="AM3535" s="19"/>
      <c r="AN3535" s="19"/>
      <c r="AO3535" s="19"/>
      <c r="AP3535" s="19"/>
      <c r="AQ3535" s="19"/>
      <c r="AR3535" s="19"/>
      <c r="AS3535" s="19"/>
    </row>
    <row r="3536" spans="1:45" x14ac:dyDescent="0.3">
      <c r="A3536" s="410" t="s">
        <v>5287</v>
      </c>
      <c r="B3536" s="17"/>
      <c r="C3536" s="19"/>
      <c r="D3536" s="19"/>
      <c r="E3536" s="18"/>
      <c r="F3536" s="19"/>
      <c r="G3536" s="31"/>
      <c r="H3536" s="31"/>
      <c r="I3536" s="19"/>
      <c r="J3536" s="19"/>
      <c r="K3536" s="21"/>
      <c r="L3536" s="22"/>
      <c r="M3536" s="19"/>
      <c r="N3536" s="20"/>
      <c r="O3536" s="19"/>
      <c r="P3536" s="19"/>
      <c r="Q3536" s="19"/>
      <c r="R3536" s="19"/>
      <c r="S3536" s="19"/>
      <c r="T3536" s="19"/>
      <c r="U3536" s="19"/>
      <c r="V3536" s="19"/>
      <c r="W3536" s="19"/>
      <c r="X3536" s="19"/>
      <c r="Y3536" s="19"/>
      <c r="Z3536" s="19"/>
      <c r="AA3536" s="19"/>
      <c r="AB3536" s="19"/>
      <c r="AC3536" s="19"/>
      <c r="AD3536" s="19"/>
      <c r="AE3536" s="19"/>
      <c r="AF3536" s="19"/>
      <c r="AG3536" s="19"/>
      <c r="AH3536" s="19"/>
      <c r="AI3536" s="19"/>
      <c r="AJ3536" s="19"/>
      <c r="AK3536" s="19"/>
      <c r="AL3536" s="19"/>
      <c r="AM3536" s="19"/>
      <c r="AN3536" s="19"/>
      <c r="AO3536" s="19"/>
      <c r="AP3536" s="19"/>
      <c r="AQ3536" s="19"/>
      <c r="AR3536" s="19"/>
      <c r="AS3536" s="19"/>
    </row>
    <row r="3537" spans="1:45" x14ac:dyDescent="0.3">
      <c r="A3537" s="410" t="s">
        <v>5288</v>
      </c>
      <c r="B3537" s="17"/>
      <c r="C3537" s="19"/>
      <c r="D3537" s="19"/>
      <c r="E3537" s="18"/>
      <c r="F3537" s="19"/>
      <c r="G3537" s="31"/>
      <c r="H3537" s="31"/>
      <c r="I3537" s="19"/>
      <c r="J3537" s="19"/>
      <c r="K3537" s="21"/>
      <c r="L3537" s="22"/>
      <c r="M3537" s="19"/>
      <c r="N3537" s="20"/>
      <c r="O3537" s="19"/>
      <c r="P3537" s="19"/>
      <c r="Q3537" s="19"/>
      <c r="R3537" s="19"/>
      <c r="S3537" s="19"/>
      <c r="T3537" s="19"/>
      <c r="U3537" s="19"/>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row>
    <row r="3538" spans="1:45" x14ac:dyDescent="0.3">
      <c r="A3538" s="410" t="s">
        <v>5289</v>
      </c>
      <c r="B3538" s="17"/>
      <c r="C3538" s="19"/>
      <c r="D3538" s="19"/>
      <c r="E3538" s="18"/>
      <c r="F3538" s="19"/>
      <c r="G3538" s="31"/>
      <c r="H3538" s="31"/>
      <c r="I3538" s="19"/>
      <c r="J3538" s="19"/>
      <c r="K3538" s="21"/>
      <c r="L3538" s="22"/>
      <c r="M3538" s="19"/>
      <c r="N3538" s="20"/>
      <c r="O3538" s="19"/>
      <c r="P3538" s="19"/>
      <c r="Q3538" s="19"/>
      <c r="R3538" s="19"/>
      <c r="S3538" s="19"/>
      <c r="T3538" s="19"/>
      <c r="U3538" s="19"/>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row>
    <row r="3539" spans="1:45" x14ac:dyDescent="0.3">
      <c r="A3539" s="410" t="s">
        <v>5290</v>
      </c>
      <c r="B3539" s="17"/>
      <c r="C3539" s="19"/>
      <c r="D3539" s="19"/>
      <c r="E3539" s="18"/>
      <c r="F3539" s="19"/>
      <c r="G3539" s="31"/>
      <c r="H3539" s="31"/>
      <c r="I3539" s="19"/>
      <c r="J3539" s="19"/>
      <c r="K3539" s="21"/>
      <c r="L3539" s="22"/>
      <c r="M3539" s="19"/>
      <c r="N3539" s="20"/>
      <c r="O3539" s="19"/>
      <c r="P3539" s="19"/>
      <c r="Q3539" s="19"/>
      <c r="R3539" s="19"/>
      <c r="S3539" s="19"/>
      <c r="T3539" s="19"/>
      <c r="U3539" s="19"/>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19"/>
    </row>
    <row r="3540" spans="1:45" x14ac:dyDescent="0.3">
      <c r="A3540" s="410" t="s">
        <v>5291</v>
      </c>
      <c r="B3540" s="17"/>
      <c r="C3540" s="19"/>
      <c r="D3540" s="19"/>
      <c r="E3540" s="18"/>
      <c r="F3540" s="19"/>
      <c r="G3540" s="31"/>
      <c r="H3540" s="31"/>
      <c r="I3540" s="19"/>
      <c r="J3540" s="19"/>
      <c r="K3540" s="21"/>
      <c r="L3540" s="22"/>
      <c r="M3540" s="19"/>
      <c r="N3540" s="20"/>
      <c r="O3540" s="19"/>
      <c r="P3540" s="19"/>
      <c r="Q3540" s="19"/>
      <c r="R3540" s="19"/>
      <c r="S3540" s="19"/>
      <c r="T3540" s="19"/>
      <c r="U3540" s="19"/>
      <c r="V3540" s="19"/>
      <c r="W3540" s="19"/>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19"/>
    </row>
    <row r="3541" spans="1:45" x14ac:dyDescent="0.3">
      <c r="A3541" s="410" t="s">
        <v>5292</v>
      </c>
      <c r="B3541" s="17"/>
      <c r="C3541" s="19"/>
      <c r="D3541" s="19"/>
      <c r="E3541" s="18"/>
      <c r="F3541" s="19"/>
      <c r="G3541" s="31"/>
      <c r="H3541" s="31"/>
      <c r="I3541" s="19"/>
      <c r="J3541" s="19"/>
      <c r="K3541" s="21"/>
      <c r="L3541" s="22"/>
      <c r="M3541" s="19"/>
      <c r="N3541" s="20"/>
      <c r="O3541" s="19"/>
      <c r="P3541" s="19"/>
      <c r="Q3541" s="19"/>
      <c r="R3541" s="19"/>
      <c r="S3541" s="19"/>
      <c r="T3541" s="19"/>
      <c r="U3541" s="19"/>
      <c r="V3541" s="19"/>
      <c r="W3541" s="19"/>
      <c r="X3541" s="19"/>
      <c r="Y3541" s="19"/>
      <c r="Z3541" s="19"/>
      <c r="AA3541" s="19"/>
      <c r="AB3541" s="19"/>
      <c r="AC3541" s="19"/>
      <c r="AD3541" s="19"/>
      <c r="AE3541" s="19"/>
      <c r="AF3541" s="19"/>
      <c r="AG3541" s="19"/>
      <c r="AH3541" s="19"/>
      <c r="AI3541" s="19"/>
      <c r="AJ3541" s="19"/>
      <c r="AK3541" s="19"/>
      <c r="AL3541" s="19"/>
      <c r="AM3541" s="19"/>
      <c r="AN3541" s="19"/>
      <c r="AO3541" s="19"/>
      <c r="AP3541" s="19"/>
      <c r="AQ3541" s="19"/>
      <c r="AR3541" s="19"/>
      <c r="AS3541" s="19"/>
    </row>
    <row r="3542" spans="1:45" x14ac:dyDescent="0.3">
      <c r="A3542" s="410" t="s">
        <v>5293</v>
      </c>
      <c r="B3542" s="17"/>
      <c r="C3542" s="19"/>
      <c r="D3542" s="19"/>
      <c r="E3542" s="18"/>
      <c r="F3542" s="19"/>
      <c r="G3542" s="31"/>
      <c r="H3542" s="31"/>
      <c r="I3542" s="19"/>
      <c r="J3542" s="19"/>
      <c r="K3542" s="21"/>
      <c r="L3542" s="22"/>
      <c r="M3542" s="19"/>
      <c r="N3542" s="20"/>
      <c r="O3542" s="19"/>
      <c r="P3542" s="19"/>
      <c r="Q3542" s="19"/>
      <c r="R3542" s="19"/>
      <c r="S3542" s="19"/>
      <c r="T3542" s="19"/>
      <c r="U3542" s="19"/>
      <c r="V3542" s="19"/>
      <c r="W3542" s="19"/>
      <c r="X3542" s="19"/>
      <c r="Y3542" s="19"/>
      <c r="Z3542" s="19"/>
      <c r="AA3542" s="19"/>
      <c r="AB3542" s="19"/>
      <c r="AC3542" s="19"/>
      <c r="AD3542" s="19"/>
      <c r="AE3542" s="19"/>
      <c r="AF3542" s="19"/>
      <c r="AG3542" s="19"/>
      <c r="AH3542" s="19"/>
      <c r="AI3542" s="19"/>
      <c r="AJ3542" s="19"/>
      <c r="AK3542" s="19"/>
      <c r="AL3542" s="19"/>
      <c r="AM3542" s="19"/>
      <c r="AN3542" s="19"/>
      <c r="AO3542" s="19"/>
      <c r="AP3542" s="19"/>
      <c r="AQ3542" s="19"/>
      <c r="AR3542" s="19"/>
      <c r="AS3542" s="19"/>
    </row>
    <row r="3543" spans="1:45" x14ac:dyDescent="0.3">
      <c r="A3543" s="410" t="s">
        <v>5294</v>
      </c>
      <c r="B3543" s="17"/>
      <c r="C3543" s="19"/>
      <c r="D3543" s="19"/>
      <c r="E3543" s="18"/>
      <c r="F3543" s="19"/>
      <c r="G3543" s="31"/>
      <c r="H3543" s="31"/>
      <c r="I3543" s="19"/>
      <c r="J3543" s="19"/>
      <c r="K3543" s="21"/>
      <c r="L3543" s="22"/>
      <c r="M3543" s="19"/>
      <c r="N3543" s="20"/>
      <c r="O3543" s="19"/>
      <c r="P3543" s="19"/>
      <c r="Q3543" s="19"/>
      <c r="R3543" s="19"/>
      <c r="S3543" s="19"/>
      <c r="T3543" s="19"/>
      <c r="U3543" s="19"/>
      <c r="V3543" s="19"/>
      <c r="W3543" s="19"/>
      <c r="X3543" s="19"/>
      <c r="Y3543" s="19"/>
      <c r="Z3543" s="19"/>
      <c r="AA3543" s="19"/>
      <c r="AB3543" s="19"/>
      <c r="AC3543" s="19"/>
      <c r="AD3543" s="19"/>
      <c r="AE3543" s="19"/>
      <c r="AF3543" s="19"/>
      <c r="AG3543" s="19"/>
      <c r="AH3543" s="19"/>
      <c r="AI3543" s="19"/>
      <c r="AJ3543" s="19"/>
      <c r="AK3543" s="19"/>
      <c r="AL3543" s="19"/>
      <c r="AM3543" s="19"/>
      <c r="AN3543" s="19"/>
      <c r="AO3543" s="19"/>
      <c r="AP3543" s="19"/>
      <c r="AQ3543" s="19"/>
      <c r="AR3543" s="19"/>
      <c r="AS3543" s="19"/>
    </row>
    <row r="3544" spans="1:45" x14ac:dyDescent="0.3">
      <c r="A3544" s="410" t="s">
        <v>5295</v>
      </c>
      <c r="B3544" s="17"/>
      <c r="C3544" s="19"/>
      <c r="D3544" s="19"/>
      <c r="E3544" s="18"/>
      <c r="F3544" s="19"/>
      <c r="G3544" s="31"/>
      <c r="H3544" s="31"/>
      <c r="I3544" s="19"/>
      <c r="J3544" s="19"/>
      <c r="K3544" s="21"/>
      <c r="L3544" s="22"/>
      <c r="M3544" s="19"/>
      <c r="N3544" s="20"/>
      <c r="O3544" s="19"/>
      <c r="P3544" s="19"/>
      <c r="Q3544" s="19"/>
      <c r="R3544" s="19"/>
      <c r="S3544" s="19"/>
      <c r="T3544" s="19"/>
      <c r="U3544" s="19"/>
      <c r="V3544" s="19"/>
      <c r="W3544" s="19"/>
      <c r="X3544" s="19"/>
      <c r="Y3544" s="19"/>
      <c r="Z3544" s="19"/>
      <c r="AA3544" s="19"/>
      <c r="AB3544" s="19"/>
      <c r="AC3544" s="19"/>
      <c r="AD3544" s="19"/>
      <c r="AE3544" s="19"/>
      <c r="AF3544" s="19"/>
      <c r="AG3544" s="19"/>
      <c r="AH3544" s="19"/>
      <c r="AI3544" s="19"/>
      <c r="AJ3544" s="19"/>
      <c r="AK3544" s="19"/>
      <c r="AL3544" s="19"/>
      <c r="AM3544" s="19"/>
      <c r="AN3544" s="19"/>
      <c r="AO3544" s="19"/>
      <c r="AP3544" s="19"/>
      <c r="AQ3544" s="19"/>
      <c r="AR3544" s="19"/>
      <c r="AS3544" s="19"/>
    </row>
    <row r="3545" spans="1:45" x14ac:dyDescent="0.3">
      <c r="A3545" s="410" t="s">
        <v>5296</v>
      </c>
      <c r="B3545" s="17"/>
      <c r="C3545" s="19"/>
      <c r="D3545" s="19"/>
      <c r="E3545" s="18"/>
      <c r="F3545" s="19"/>
      <c r="G3545" s="31"/>
      <c r="H3545" s="31"/>
      <c r="I3545" s="19"/>
      <c r="J3545" s="19"/>
      <c r="K3545" s="21"/>
      <c r="L3545" s="22"/>
      <c r="M3545" s="19"/>
      <c r="N3545" s="20"/>
      <c r="O3545" s="19"/>
      <c r="P3545" s="19"/>
      <c r="Q3545" s="19"/>
      <c r="R3545" s="19"/>
      <c r="S3545" s="19"/>
      <c r="T3545" s="19"/>
      <c r="U3545" s="19"/>
      <c r="V3545" s="19"/>
      <c r="W3545" s="19"/>
      <c r="X3545" s="19"/>
      <c r="Y3545" s="19"/>
      <c r="Z3545" s="19"/>
      <c r="AA3545" s="19"/>
      <c r="AB3545" s="19"/>
      <c r="AC3545" s="19"/>
      <c r="AD3545" s="19"/>
      <c r="AE3545" s="19"/>
      <c r="AF3545" s="19"/>
      <c r="AG3545" s="19"/>
      <c r="AH3545" s="19"/>
      <c r="AI3545" s="19"/>
      <c r="AJ3545" s="19"/>
      <c r="AK3545" s="19"/>
      <c r="AL3545" s="19"/>
      <c r="AM3545" s="19"/>
      <c r="AN3545" s="19"/>
      <c r="AO3545" s="19"/>
      <c r="AP3545" s="19"/>
      <c r="AQ3545" s="19"/>
      <c r="AR3545" s="19"/>
      <c r="AS3545" s="19"/>
    </row>
    <row r="3546" spans="1:45" x14ac:dyDescent="0.3">
      <c r="A3546" s="410" t="s">
        <v>5297</v>
      </c>
      <c r="B3546" s="17"/>
      <c r="C3546" s="19"/>
      <c r="D3546" s="19"/>
      <c r="E3546" s="18"/>
      <c r="F3546" s="19"/>
      <c r="G3546" s="31"/>
      <c r="H3546" s="31"/>
      <c r="I3546" s="19"/>
      <c r="J3546" s="19"/>
      <c r="K3546" s="21"/>
      <c r="L3546" s="22"/>
      <c r="M3546" s="19"/>
      <c r="N3546" s="20"/>
      <c r="O3546" s="19"/>
      <c r="P3546" s="19"/>
      <c r="Q3546" s="19"/>
      <c r="R3546" s="19"/>
      <c r="S3546" s="19"/>
      <c r="T3546" s="19"/>
      <c r="U3546" s="19"/>
      <c r="V3546" s="19"/>
      <c r="W3546" s="19"/>
      <c r="X3546" s="19"/>
      <c r="Y3546" s="19"/>
      <c r="Z3546" s="19"/>
      <c r="AA3546" s="19"/>
      <c r="AB3546" s="19"/>
      <c r="AC3546" s="19"/>
      <c r="AD3546" s="19"/>
      <c r="AE3546" s="19"/>
      <c r="AF3546" s="19"/>
      <c r="AG3546" s="19"/>
      <c r="AH3546" s="19"/>
      <c r="AI3546" s="19"/>
      <c r="AJ3546" s="19"/>
      <c r="AK3546" s="19"/>
      <c r="AL3546" s="19"/>
      <c r="AM3546" s="19"/>
      <c r="AN3546" s="19"/>
      <c r="AO3546" s="19"/>
      <c r="AP3546" s="19"/>
      <c r="AQ3546" s="19"/>
      <c r="AR3546" s="19"/>
      <c r="AS3546" s="19"/>
    </row>
    <row r="3547" spans="1:45" x14ac:dyDescent="0.3">
      <c r="A3547" s="410" t="s">
        <v>5298</v>
      </c>
      <c r="B3547" s="17"/>
      <c r="C3547" s="19"/>
      <c r="D3547" s="19"/>
      <c r="E3547" s="18"/>
      <c r="F3547" s="19"/>
      <c r="G3547" s="31"/>
      <c r="H3547" s="31"/>
      <c r="I3547" s="19"/>
      <c r="J3547" s="19"/>
      <c r="K3547" s="21"/>
      <c r="L3547" s="22"/>
      <c r="M3547" s="19"/>
      <c r="N3547" s="20"/>
      <c r="O3547" s="19"/>
      <c r="P3547" s="19"/>
      <c r="Q3547" s="19"/>
      <c r="R3547" s="19"/>
      <c r="S3547" s="19"/>
      <c r="T3547" s="19"/>
      <c r="U3547" s="19"/>
      <c r="V3547" s="19"/>
      <c r="W3547" s="19"/>
      <c r="X3547" s="19"/>
      <c r="Y3547" s="19"/>
      <c r="Z3547" s="19"/>
      <c r="AA3547" s="19"/>
      <c r="AB3547" s="19"/>
      <c r="AC3547" s="19"/>
      <c r="AD3547" s="19"/>
      <c r="AE3547" s="19"/>
      <c r="AF3547" s="19"/>
      <c r="AG3547" s="19"/>
      <c r="AH3547" s="19"/>
      <c r="AI3547" s="19"/>
      <c r="AJ3547" s="19"/>
      <c r="AK3547" s="19"/>
      <c r="AL3547" s="19"/>
      <c r="AM3547" s="19"/>
      <c r="AN3547" s="19"/>
      <c r="AO3547" s="19"/>
      <c r="AP3547" s="19"/>
      <c r="AQ3547" s="19"/>
      <c r="AR3547" s="19"/>
      <c r="AS3547" s="19"/>
    </row>
    <row r="3548" spans="1:45" x14ac:dyDescent="0.3">
      <c r="A3548" s="410" t="s">
        <v>5299</v>
      </c>
      <c r="B3548" s="17"/>
      <c r="C3548" s="19"/>
      <c r="D3548" s="19"/>
      <c r="E3548" s="18"/>
      <c r="F3548" s="19"/>
      <c r="G3548" s="31"/>
      <c r="H3548" s="31"/>
      <c r="I3548" s="19"/>
      <c r="J3548" s="19"/>
      <c r="K3548" s="21"/>
      <c r="L3548" s="22"/>
      <c r="M3548" s="19"/>
      <c r="N3548" s="20"/>
      <c r="O3548" s="19"/>
      <c r="P3548" s="19"/>
      <c r="Q3548" s="19"/>
      <c r="R3548" s="19"/>
      <c r="S3548" s="19"/>
      <c r="T3548" s="19"/>
      <c r="U3548" s="19"/>
      <c r="V3548" s="19"/>
      <c r="W3548" s="19"/>
      <c r="X3548" s="19"/>
      <c r="Y3548" s="19"/>
      <c r="Z3548" s="19"/>
      <c r="AA3548" s="19"/>
      <c r="AB3548" s="19"/>
      <c r="AC3548" s="19"/>
      <c r="AD3548" s="19"/>
      <c r="AE3548" s="19"/>
      <c r="AF3548" s="19"/>
      <c r="AG3548" s="19"/>
      <c r="AH3548" s="19"/>
      <c r="AI3548" s="19"/>
      <c r="AJ3548" s="19"/>
      <c r="AK3548" s="19"/>
      <c r="AL3548" s="19"/>
      <c r="AM3548" s="19"/>
      <c r="AN3548" s="19"/>
      <c r="AO3548" s="19"/>
      <c r="AP3548" s="19"/>
      <c r="AQ3548" s="19"/>
      <c r="AR3548" s="19"/>
      <c r="AS3548" s="19"/>
    </row>
    <row r="3549" spans="1:45" x14ac:dyDescent="0.3">
      <c r="A3549" s="410" t="s">
        <v>5300</v>
      </c>
      <c r="B3549" s="17"/>
      <c r="C3549" s="19"/>
      <c r="D3549" s="19"/>
      <c r="E3549" s="18"/>
      <c r="F3549" s="19"/>
      <c r="G3549" s="31"/>
      <c r="H3549" s="31"/>
      <c r="I3549" s="19"/>
      <c r="J3549" s="19"/>
      <c r="K3549" s="21"/>
      <c r="L3549" s="22"/>
      <c r="M3549" s="19"/>
      <c r="N3549" s="20"/>
      <c r="O3549" s="19"/>
      <c r="P3549" s="19"/>
      <c r="Q3549" s="19"/>
      <c r="R3549" s="19"/>
      <c r="S3549" s="19"/>
      <c r="T3549" s="19"/>
      <c r="U3549" s="19"/>
      <c r="V3549" s="19"/>
      <c r="W3549" s="19"/>
      <c r="X3549" s="19"/>
      <c r="Y3549" s="19"/>
      <c r="Z3549" s="19"/>
      <c r="AA3549" s="19"/>
      <c r="AB3549" s="19"/>
      <c r="AC3549" s="19"/>
      <c r="AD3549" s="19"/>
      <c r="AE3549" s="19"/>
      <c r="AF3549" s="19"/>
      <c r="AG3549" s="19"/>
      <c r="AH3549" s="19"/>
      <c r="AI3549" s="19"/>
      <c r="AJ3549" s="19"/>
      <c r="AK3549" s="19"/>
      <c r="AL3549" s="19"/>
      <c r="AM3549" s="19"/>
      <c r="AN3549" s="19"/>
      <c r="AO3549" s="19"/>
      <c r="AP3549" s="19"/>
      <c r="AQ3549" s="19"/>
      <c r="AR3549" s="19"/>
      <c r="AS3549" s="19"/>
    </row>
    <row r="3550" spans="1:45" x14ac:dyDescent="0.3">
      <c r="A3550" s="410" t="s">
        <v>5301</v>
      </c>
      <c r="B3550" s="17"/>
      <c r="C3550" s="19"/>
      <c r="D3550" s="19"/>
      <c r="E3550" s="18"/>
      <c r="F3550" s="19"/>
      <c r="G3550" s="31"/>
      <c r="H3550" s="31"/>
      <c r="I3550" s="19"/>
      <c r="J3550" s="19"/>
      <c r="K3550" s="21"/>
      <c r="L3550" s="22"/>
      <c r="M3550" s="19"/>
      <c r="N3550" s="20"/>
      <c r="O3550" s="19"/>
      <c r="P3550" s="19"/>
      <c r="Q3550" s="19"/>
      <c r="R3550" s="19"/>
      <c r="S3550" s="19"/>
      <c r="T3550" s="19"/>
      <c r="U3550" s="19"/>
      <c r="V3550" s="19"/>
      <c r="W3550" s="19"/>
      <c r="X3550" s="19"/>
      <c r="Y3550" s="19"/>
      <c r="Z3550" s="19"/>
      <c r="AA3550" s="19"/>
      <c r="AB3550" s="19"/>
      <c r="AC3550" s="19"/>
      <c r="AD3550" s="19"/>
      <c r="AE3550" s="19"/>
      <c r="AF3550" s="19"/>
      <c r="AG3550" s="19"/>
      <c r="AH3550" s="19"/>
      <c r="AI3550" s="19"/>
      <c r="AJ3550" s="19"/>
      <c r="AK3550" s="19"/>
      <c r="AL3550" s="19"/>
      <c r="AM3550" s="19"/>
      <c r="AN3550" s="19"/>
      <c r="AO3550" s="19"/>
      <c r="AP3550" s="19"/>
      <c r="AQ3550" s="19"/>
      <c r="AR3550" s="19"/>
      <c r="AS3550" s="19"/>
    </row>
    <row r="3551" spans="1:45" x14ac:dyDescent="0.3">
      <c r="A3551" s="410" t="s">
        <v>5302</v>
      </c>
      <c r="B3551" s="17"/>
      <c r="C3551" s="19"/>
      <c r="D3551" s="19"/>
      <c r="E3551" s="18"/>
      <c r="F3551" s="19"/>
      <c r="G3551" s="31"/>
      <c r="H3551" s="31"/>
      <c r="I3551" s="19"/>
      <c r="J3551" s="19"/>
      <c r="K3551" s="21"/>
      <c r="L3551" s="22"/>
      <c r="M3551" s="19"/>
      <c r="N3551" s="20"/>
      <c r="O3551" s="19"/>
      <c r="P3551" s="19"/>
      <c r="Q3551" s="19"/>
      <c r="R3551" s="19"/>
      <c r="S3551" s="19"/>
      <c r="T3551" s="19"/>
      <c r="U3551" s="19"/>
      <c r="V3551" s="19"/>
      <c r="W3551" s="19"/>
      <c r="X3551" s="19"/>
      <c r="Y3551" s="19"/>
      <c r="Z3551" s="19"/>
      <c r="AA3551" s="19"/>
      <c r="AB3551" s="19"/>
      <c r="AC3551" s="19"/>
      <c r="AD3551" s="19"/>
      <c r="AE3551" s="19"/>
      <c r="AF3551" s="19"/>
      <c r="AG3551" s="19"/>
      <c r="AH3551" s="19"/>
      <c r="AI3551" s="19"/>
      <c r="AJ3551" s="19"/>
      <c r="AK3551" s="19"/>
      <c r="AL3551" s="19"/>
      <c r="AM3551" s="19"/>
      <c r="AN3551" s="19"/>
      <c r="AO3551" s="19"/>
      <c r="AP3551" s="19"/>
      <c r="AQ3551" s="19"/>
      <c r="AR3551" s="19"/>
      <c r="AS3551" s="19"/>
    </row>
    <row r="3552" spans="1:45" x14ac:dyDescent="0.3">
      <c r="A3552" s="410" t="s">
        <v>5303</v>
      </c>
      <c r="B3552" s="17"/>
      <c r="C3552" s="19"/>
      <c r="D3552" s="19"/>
      <c r="E3552" s="18"/>
      <c r="F3552" s="19"/>
      <c r="G3552" s="31"/>
      <c r="H3552" s="31"/>
      <c r="I3552" s="19"/>
      <c r="J3552" s="19"/>
      <c r="K3552" s="21"/>
      <c r="L3552" s="22"/>
      <c r="M3552" s="19"/>
      <c r="N3552" s="20"/>
      <c r="O3552" s="19"/>
      <c r="P3552" s="19"/>
      <c r="Q3552" s="19"/>
      <c r="R3552" s="19"/>
      <c r="S3552" s="19"/>
      <c r="T3552" s="19"/>
      <c r="U3552" s="19"/>
      <c r="V3552" s="19"/>
      <c r="W3552" s="19"/>
      <c r="X3552" s="19"/>
      <c r="Y3552" s="19"/>
      <c r="Z3552" s="19"/>
      <c r="AA3552" s="19"/>
      <c r="AB3552" s="19"/>
      <c r="AC3552" s="19"/>
      <c r="AD3552" s="19"/>
      <c r="AE3552" s="19"/>
      <c r="AF3552" s="19"/>
      <c r="AG3552" s="19"/>
      <c r="AH3552" s="19"/>
      <c r="AI3552" s="19"/>
      <c r="AJ3552" s="19"/>
      <c r="AK3552" s="19"/>
      <c r="AL3552" s="19"/>
      <c r="AM3552" s="19"/>
      <c r="AN3552" s="19"/>
      <c r="AO3552" s="19"/>
      <c r="AP3552" s="19"/>
      <c r="AQ3552" s="19"/>
      <c r="AR3552" s="19"/>
      <c r="AS3552" s="19"/>
    </row>
    <row r="3553" spans="1:45" x14ac:dyDescent="0.3">
      <c r="A3553" s="410" t="s">
        <v>5304</v>
      </c>
      <c r="B3553" s="17"/>
      <c r="C3553" s="19"/>
      <c r="D3553" s="19"/>
      <c r="E3553" s="18"/>
      <c r="F3553" s="19"/>
      <c r="G3553" s="31"/>
      <c r="H3553" s="31"/>
      <c r="I3553" s="19"/>
      <c r="J3553" s="19"/>
      <c r="K3553" s="21"/>
      <c r="L3553" s="22"/>
      <c r="M3553" s="19"/>
      <c r="N3553" s="20"/>
      <c r="O3553" s="19"/>
      <c r="P3553" s="19"/>
      <c r="Q3553" s="19"/>
      <c r="R3553" s="19"/>
      <c r="S3553" s="19"/>
      <c r="T3553" s="19"/>
      <c r="U3553" s="19"/>
      <c r="V3553" s="19"/>
      <c r="W3553" s="19"/>
      <c r="X3553" s="19"/>
      <c r="Y3553" s="19"/>
      <c r="Z3553" s="19"/>
      <c r="AA3553" s="19"/>
      <c r="AB3553" s="19"/>
      <c r="AC3553" s="19"/>
      <c r="AD3553" s="19"/>
      <c r="AE3553" s="19"/>
      <c r="AF3553" s="19"/>
      <c r="AG3553" s="19"/>
      <c r="AH3553" s="19"/>
      <c r="AI3553" s="19"/>
      <c r="AJ3553" s="19"/>
      <c r="AK3553" s="19"/>
      <c r="AL3553" s="19"/>
      <c r="AM3553" s="19"/>
      <c r="AN3553" s="19"/>
      <c r="AO3553" s="19"/>
      <c r="AP3553" s="19"/>
      <c r="AQ3553" s="19"/>
      <c r="AR3553" s="19"/>
      <c r="AS3553" s="19"/>
    </row>
    <row r="3554" spans="1:45" x14ac:dyDescent="0.3">
      <c r="A3554" s="410" t="s">
        <v>5305</v>
      </c>
      <c r="B3554" s="17"/>
      <c r="C3554" s="19"/>
      <c r="D3554" s="19"/>
      <c r="E3554" s="18"/>
      <c r="F3554" s="19"/>
      <c r="G3554" s="31"/>
      <c r="H3554" s="31"/>
      <c r="I3554" s="19"/>
      <c r="J3554" s="19"/>
      <c r="K3554" s="21"/>
      <c r="L3554" s="22"/>
      <c r="M3554" s="19"/>
      <c r="N3554" s="20"/>
      <c r="O3554" s="19"/>
      <c r="P3554" s="19"/>
      <c r="Q3554" s="19"/>
      <c r="R3554" s="19"/>
      <c r="S3554" s="19"/>
      <c r="T3554" s="19"/>
      <c r="U3554" s="19"/>
      <c r="V3554" s="19"/>
      <c r="W3554" s="19"/>
      <c r="X3554" s="19"/>
      <c r="Y3554" s="19"/>
      <c r="Z3554" s="19"/>
      <c r="AA3554" s="19"/>
      <c r="AB3554" s="19"/>
      <c r="AC3554" s="19"/>
      <c r="AD3554" s="19"/>
      <c r="AE3554" s="19"/>
      <c r="AF3554" s="19"/>
      <c r="AG3554" s="19"/>
      <c r="AH3554" s="19"/>
      <c r="AI3554" s="19"/>
      <c r="AJ3554" s="19"/>
      <c r="AK3554" s="19"/>
      <c r="AL3554" s="19"/>
      <c r="AM3554" s="19"/>
      <c r="AN3554" s="19"/>
      <c r="AO3554" s="19"/>
      <c r="AP3554" s="19"/>
      <c r="AQ3554" s="19"/>
      <c r="AR3554" s="19"/>
      <c r="AS3554" s="19"/>
    </row>
    <row r="3555" spans="1:45" x14ac:dyDescent="0.3">
      <c r="A3555" s="410" t="s">
        <v>5306</v>
      </c>
      <c r="B3555" s="17"/>
      <c r="C3555" s="19"/>
      <c r="D3555" s="19"/>
      <c r="E3555" s="18"/>
      <c r="F3555" s="19"/>
      <c r="G3555" s="31"/>
      <c r="H3555" s="31"/>
      <c r="I3555" s="19"/>
      <c r="J3555" s="19"/>
      <c r="K3555" s="21"/>
      <c r="L3555" s="22"/>
      <c r="M3555" s="19"/>
      <c r="N3555" s="20"/>
      <c r="O3555" s="19"/>
      <c r="P3555" s="19"/>
      <c r="Q3555" s="19"/>
      <c r="R3555" s="19"/>
      <c r="S3555" s="19"/>
      <c r="T3555" s="19"/>
      <c r="U3555" s="19"/>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19"/>
    </row>
    <row r="3556" spans="1:45" x14ac:dyDescent="0.3">
      <c r="A3556" s="410" t="s">
        <v>5307</v>
      </c>
      <c r="B3556" s="17"/>
      <c r="C3556" s="19"/>
      <c r="D3556" s="19"/>
      <c r="E3556" s="18"/>
      <c r="F3556" s="19"/>
      <c r="G3556" s="31"/>
      <c r="H3556" s="31"/>
      <c r="I3556" s="19"/>
      <c r="J3556" s="19"/>
      <c r="K3556" s="21"/>
      <c r="L3556" s="22"/>
      <c r="M3556" s="19"/>
      <c r="N3556" s="20"/>
      <c r="O3556" s="19"/>
      <c r="P3556" s="19"/>
      <c r="Q3556" s="19"/>
      <c r="R3556" s="19"/>
      <c r="S3556" s="19"/>
      <c r="T3556" s="19"/>
      <c r="U3556" s="19"/>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19"/>
    </row>
    <row r="3557" spans="1:45" x14ac:dyDescent="0.3">
      <c r="A3557" s="410" t="s">
        <v>5308</v>
      </c>
      <c r="B3557" s="17"/>
      <c r="C3557" s="19"/>
      <c r="D3557" s="19"/>
      <c r="E3557" s="18"/>
      <c r="F3557" s="19"/>
      <c r="G3557" s="31"/>
      <c r="H3557" s="31"/>
      <c r="I3557" s="19"/>
      <c r="J3557" s="19"/>
      <c r="K3557" s="21"/>
      <c r="L3557" s="22"/>
      <c r="M3557" s="19"/>
      <c r="N3557" s="20"/>
      <c r="O3557" s="19"/>
      <c r="P3557" s="19"/>
      <c r="Q3557" s="19"/>
      <c r="R3557" s="19"/>
      <c r="S3557" s="19"/>
      <c r="T3557" s="19"/>
      <c r="U3557" s="19"/>
      <c r="V3557" s="19"/>
      <c r="W3557" s="19"/>
      <c r="X3557" s="19"/>
      <c r="Y3557" s="19"/>
      <c r="Z3557" s="19"/>
      <c r="AA3557" s="19"/>
      <c r="AB3557" s="19"/>
      <c r="AC3557" s="19"/>
      <c r="AD3557" s="19"/>
      <c r="AE3557" s="19"/>
      <c r="AF3557" s="19"/>
      <c r="AG3557" s="19"/>
      <c r="AH3557" s="19"/>
      <c r="AI3557" s="19"/>
      <c r="AJ3557" s="19"/>
      <c r="AK3557" s="19"/>
      <c r="AL3557" s="19"/>
      <c r="AM3557" s="19"/>
      <c r="AN3557" s="19"/>
      <c r="AO3557" s="19"/>
      <c r="AP3557" s="19"/>
      <c r="AQ3557" s="19"/>
      <c r="AR3557" s="19"/>
      <c r="AS3557" s="19"/>
    </row>
    <row r="3558" spans="1:45" x14ac:dyDescent="0.3">
      <c r="A3558" s="410" t="s">
        <v>5309</v>
      </c>
      <c r="B3558" s="17"/>
      <c r="C3558" s="19"/>
      <c r="D3558" s="19"/>
      <c r="E3558" s="18"/>
      <c r="F3558" s="19"/>
      <c r="G3558" s="31"/>
      <c r="H3558" s="31"/>
      <c r="I3558" s="19"/>
      <c r="J3558" s="19"/>
      <c r="K3558" s="21"/>
      <c r="L3558" s="22"/>
      <c r="M3558" s="19"/>
      <c r="N3558" s="20"/>
      <c r="O3558" s="19"/>
      <c r="P3558" s="19"/>
      <c r="Q3558" s="19"/>
      <c r="R3558" s="19"/>
      <c r="S3558" s="19"/>
      <c r="T3558" s="19"/>
      <c r="U3558" s="19"/>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row>
    <row r="3559" spans="1:45" x14ac:dyDescent="0.3">
      <c r="A3559" s="410" t="s">
        <v>5310</v>
      </c>
      <c r="B3559" s="17"/>
      <c r="C3559" s="19"/>
      <c r="D3559" s="19"/>
      <c r="E3559" s="18"/>
      <c r="F3559" s="19"/>
      <c r="G3559" s="31"/>
      <c r="H3559" s="31"/>
      <c r="I3559" s="19"/>
      <c r="J3559" s="19"/>
      <c r="K3559" s="21"/>
      <c r="L3559" s="22"/>
      <c r="M3559" s="19"/>
      <c r="N3559" s="20"/>
      <c r="O3559" s="19"/>
      <c r="P3559" s="19"/>
      <c r="Q3559" s="19"/>
      <c r="R3559" s="19"/>
      <c r="S3559" s="19"/>
      <c r="T3559" s="19"/>
      <c r="U3559" s="19"/>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row>
    <row r="3560" spans="1:45" x14ac:dyDescent="0.3">
      <c r="A3560" s="410" t="s">
        <v>5311</v>
      </c>
      <c r="B3560" s="17"/>
      <c r="C3560" s="19"/>
      <c r="D3560" s="19"/>
      <c r="E3560" s="18"/>
      <c r="F3560" s="19"/>
      <c r="G3560" s="31"/>
      <c r="H3560" s="31"/>
      <c r="I3560" s="19"/>
      <c r="J3560" s="19"/>
      <c r="K3560" s="21"/>
      <c r="L3560" s="22"/>
      <c r="M3560" s="19"/>
      <c r="N3560" s="20"/>
      <c r="O3560" s="19"/>
      <c r="P3560" s="19"/>
      <c r="Q3560" s="19"/>
      <c r="R3560" s="19"/>
      <c r="S3560" s="19"/>
      <c r="T3560" s="19"/>
      <c r="U3560" s="19"/>
      <c r="V3560" s="19"/>
      <c r="W3560" s="19"/>
      <c r="X3560" s="19"/>
      <c r="Y3560" s="19"/>
      <c r="Z3560" s="19"/>
      <c r="AA3560" s="19"/>
      <c r="AB3560" s="19"/>
      <c r="AC3560" s="19"/>
      <c r="AD3560" s="19"/>
      <c r="AE3560" s="19"/>
      <c r="AF3560" s="19"/>
      <c r="AG3560" s="19"/>
      <c r="AH3560" s="19"/>
      <c r="AI3560" s="19"/>
      <c r="AJ3560" s="19"/>
      <c r="AK3560" s="19"/>
      <c r="AL3560" s="19"/>
      <c r="AM3560" s="19"/>
      <c r="AN3560" s="19"/>
      <c r="AO3560" s="19"/>
      <c r="AP3560" s="19"/>
      <c r="AQ3560" s="19"/>
      <c r="AR3560" s="19"/>
      <c r="AS3560" s="19"/>
    </row>
    <row r="3561" spans="1:45" x14ac:dyDescent="0.3">
      <c r="A3561" s="410" t="s">
        <v>5312</v>
      </c>
      <c r="B3561" s="17"/>
      <c r="C3561" s="19"/>
      <c r="D3561" s="19"/>
      <c r="E3561" s="18"/>
      <c r="F3561" s="19"/>
      <c r="G3561" s="31"/>
      <c r="H3561" s="31"/>
      <c r="I3561" s="19"/>
      <c r="J3561" s="19"/>
      <c r="K3561" s="21"/>
      <c r="L3561" s="22"/>
      <c r="M3561" s="19"/>
      <c r="N3561" s="20"/>
      <c r="O3561" s="19"/>
      <c r="P3561" s="19"/>
      <c r="Q3561" s="19"/>
      <c r="R3561" s="19"/>
      <c r="S3561" s="19"/>
      <c r="T3561" s="19"/>
      <c r="U3561" s="19"/>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19"/>
    </row>
    <row r="3562" spans="1:45" x14ac:dyDescent="0.3">
      <c r="A3562" s="410" t="s">
        <v>5313</v>
      </c>
      <c r="B3562" s="17"/>
      <c r="C3562" s="19"/>
      <c r="D3562" s="19"/>
      <c r="E3562" s="18"/>
      <c r="F3562" s="19"/>
      <c r="G3562" s="31"/>
      <c r="H3562" s="31"/>
      <c r="I3562" s="19"/>
      <c r="J3562" s="19"/>
      <c r="K3562" s="21"/>
      <c r="L3562" s="22"/>
      <c r="M3562" s="19"/>
      <c r="N3562" s="20"/>
      <c r="O3562" s="19"/>
      <c r="P3562" s="19"/>
      <c r="Q3562" s="19"/>
      <c r="R3562" s="19"/>
      <c r="S3562" s="19"/>
      <c r="T3562" s="19"/>
      <c r="U3562" s="19"/>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19"/>
    </row>
    <row r="3563" spans="1:45" x14ac:dyDescent="0.3">
      <c r="A3563" s="410" t="s">
        <v>5314</v>
      </c>
      <c r="B3563" s="17"/>
      <c r="C3563" s="19"/>
      <c r="D3563" s="19"/>
      <c r="E3563" s="18"/>
      <c r="F3563" s="19"/>
      <c r="G3563" s="31"/>
      <c r="H3563" s="31"/>
      <c r="I3563" s="19"/>
      <c r="J3563" s="19"/>
      <c r="K3563" s="21"/>
      <c r="L3563" s="22"/>
      <c r="M3563" s="19"/>
      <c r="N3563" s="20"/>
      <c r="O3563" s="19"/>
      <c r="P3563" s="19"/>
      <c r="Q3563" s="19"/>
      <c r="R3563" s="19"/>
      <c r="S3563" s="19"/>
      <c r="T3563" s="19"/>
      <c r="U3563" s="19"/>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row>
    <row r="3564" spans="1:45" x14ac:dyDescent="0.3">
      <c r="A3564" s="410" t="s">
        <v>5315</v>
      </c>
      <c r="B3564" s="17"/>
      <c r="C3564" s="19"/>
      <c r="D3564" s="19"/>
      <c r="E3564" s="18"/>
      <c r="F3564" s="19"/>
      <c r="G3564" s="31"/>
      <c r="H3564" s="31"/>
      <c r="I3564" s="19"/>
      <c r="J3564" s="19"/>
      <c r="K3564" s="21"/>
      <c r="L3564" s="22"/>
      <c r="M3564" s="19"/>
      <c r="N3564" s="20"/>
      <c r="O3564" s="19"/>
      <c r="P3564" s="19"/>
      <c r="Q3564" s="19"/>
      <c r="R3564" s="19"/>
      <c r="S3564" s="19"/>
      <c r="T3564" s="19"/>
      <c r="U3564" s="19"/>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row>
    <row r="3565" spans="1:45" x14ac:dyDescent="0.3">
      <c r="A3565" s="410" t="s">
        <v>5316</v>
      </c>
      <c r="B3565" s="17"/>
      <c r="C3565" s="19"/>
      <c r="D3565" s="19"/>
      <c r="E3565" s="18"/>
      <c r="F3565" s="19"/>
      <c r="G3565" s="31"/>
      <c r="H3565" s="31"/>
      <c r="I3565" s="19"/>
      <c r="J3565" s="19"/>
      <c r="K3565" s="21"/>
      <c r="L3565" s="22"/>
      <c r="M3565" s="19"/>
      <c r="N3565" s="20"/>
      <c r="O3565" s="19"/>
      <c r="P3565" s="19"/>
      <c r="Q3565" s="19"/>
      <c r="R3565" s="19"/>
      <c r="S3565" s="19"/>
      <c r="T3565" s="19"/>
      <c r="U3565" s="19"/>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row>
    <row r="3566" spans="1:45" x14ac:dyDescent="0.3">
      <c r="A3566" s="410" t="s">
        <v>5317</v>
      </c>
      <c r="B3566" s="17"/>
      <c r="C3566" s="19"/>
      <c r="D3566" s="19"/>
      <c r="E3566" s="18"/>
      <c r="F3566" s="19"/>
      <c r="G3566" s="31"/>
      <c r="H3566" s="31"/>
      <c r="I3566" s="19"/>
      <c r="J3566" s="19"/>
      <c r="K3566" s="21"/>
      <c r="L3566" s="22"/>
      <c r="M3566" s="19"/>
      <c r="N3566" s="20"/>
      <c r="O3566" s="19"/>
      <c r="P3566" s="19"/>
      <c r="Q3566" s="19"/>
      <c r="R3566" s="19"/>
      <c r="S3566" s="19"/>
      <c r="T3566" s="19"/>
      <c r="U3566" s="19"/>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row>
    <row r="3567" spans="1:45" x14ac:dyDescent="0.3">
      <c r="A3567" s="410" t="s">
        <v>5318</v>
      </c>
      <c r="B3567" s="17"/>
      <c r="C3567" s="19"/>
      <c r="D3567" s="19"/>
      <c r="E3567" s="18"/>
      <c r="F3567" s="19"/>
      <c r="G3567" s="31"/>
      <c r="H3567" s="31"/>
      <c r="I3567" s="19"/>
      <c r="J3567" s="19"/>
      <c r="K3567" s="21"/>
      <c r="L3567" s="22"/>
      <c r="M3567" s="19"/>
      <c r="N3567" s="20"/>
      <c r="O3567" s="19"/>
      <c r="P3567" s="19"/>
      <c r="Q3567" s="19"/>
      <c r="R3567" s="19"/>
      <c r="S3567" s="19"/>
      <c r="T3567" s="19"/>
      <c r="U3567" s="19"/>
      <c r="V3567" s="19"/>
      <c r="W3567" s="19"/>
      <c r="X3567" s="19"/>
      <c r="Y3567" s="19"/>
      <c r="Z3567" s="19"/>
      <c r="AA3567" s="19"/>
      <c r="AB3567" s="19"/>
      <c r="AC3567" s="19"/>
      <c r="AD3567" s="19"/>
      <c r="AE3567" s="19"/>
      <c r="AF3567" s="19"/>
      <c r="AG3567" s="19"/>
      <c r="AH3567" s="19"/>
      <c r="AI3567" s="19"/>
      <c r="AJ3567" s="19"/>
      <c r="AK3567" s="19"/>
      <c r="AL3567" s="19"/>
      <c r="AM3567" s="19"/>
      <c r="AN3567" s="19"/>
      <c r="AO3567" s="19"/>
      <c r="AP3567" s="19"/>
      <c r="AQ3567" s="19"/>
      <c r="AR3567" s="19"/>
      <c r="AS3567" s="19"/>
    </row>
    <row r="3568" spans="1:45" x14ac:dyDescent="0.3">
      <c r="A3568" s="410" t="s">
        <v>5319</v>
      </c>
      <c r="B3568" s="17"/>
      <c r="C3568" s="19"/>
      <c r="D3568" s="19"/>
      <c r="E3568" s="18"/>
      <c r="F3568" s="19"/>
      <c r="G3568" s="31"/>
      <c r="H3568" s="31"/>
      <c r="I3568" s="19"/>
      <c r="J3568" s="19"/>
      <c r="K3568" s="21"/>
      <c r="L3568" s="22"/>
      <c r="M3568" s="19"/>
      <c r="N3568" s="20"/>
      <c r="O3568" s="19"/>
      <c r="P3568" s="19"/>
      <c r="Q3568" s="19"/>
      <c r="R3568" s="19"/>
      <c r="S3568" s="19"/>
      <c r="T3568" s="19"/>
      <c r="U3568" s="19"/>
      <c r="V3568" s="19"/>
      <c r="W3568" s="19"/>
      <c r="X3568" s="19"/>
      <c r="Y3568" s="19"/>
      <c r="Z3568" s="19"/>
      <c r="AA3568" s="19"/>
      <c r="AB3568" s="19"/>
      <c r="AC3568" s="19"/>
      <c r="AD3568" s="19"/>
      <c r="AE3568" s="19"/>
      <c r="AF3568" s="19"/>
      <c r="AG3568" s="19"/>
      <c r="AH3568" s="19"/>
      <c r="AI3568" s="19"/>
      <c r="AJ3568" s="19"/>
      <c r="AK3568" s="19"/>
      <c r="AL3568" s="19"/>
      <c r="AM3568" s="19"/>
      <c r="AN3568" s="19"/>
      <c r="AO3568" s="19"/>
      <c r="AP3568" s="19"/>
      <c r="AQ3568" s="19"/>
      <c r="AR3568" s="19"/>
      <c r="AS3568" s="19"/>
    </row>
    <row r="3569" spans="1:45" x14ac:dyDescent="0.3">
      <c r="A3569" s="410" t="s">
        <v>5320</v>
      </c>
      <c r="B3569" s="17"/>
      <c r="C3569" s="19"/>
      <c r="D3569" s="19"/>
      <c r="E3569" s="18"/>
      <c r="F3569" s="19"/>
      <c r="G3569" s="31"/>
      <c r="H3569" s="31"/>
      <c r="I3569" s="19"/>
      <c r="J3569" s="19"/>
      <c r="K3569" s="21"/>
      <c r="L3569" s="22"/>
      <c r="M3569" s="19"/>
      <c r="N3569" s="20"/>
      <c r="O3569" s="19"/>
      <c r="P3569" s="19"/>
      <c r="Q3569" s="19"/>
      <c r="R3569" s="19"/>
      <c r="S3569" s="19"/>
      <c r="T3569" s="19"/>
      <c r="U3569" s="19"/>
      <c r="V3569" s="19"/>
      <c r="W3569" s="19"/>
      <c r="X3569" s="19"/>
      <c r="Y3569" s="19"/>
      <c r="Z3569" s="19"/>
      <c r="AA3569" s="19"/>
      <c r="AB3569" s="19"/>
      <c r="AC3569" s="19"/>
      <c r="AD3569" s="19"/>
      <c r="AE3569" s="19"/>
      <c r="AF3569" s="19"/>
      <c r="AG3569" s="19"/>
      <c r="AH3569" s="19"/>
      <c r="AI3569" s="19"/>
      <c r="AJ3569" s="19"/>
      <c r="AK3569" s="19"/>
      <c r="AL3569" s="19"/>
      <c r="AM3569" s="19"/>
      <c r="AN3569" s="19"/>
      <c r="AO3569" s="19"/>
      <c r="AP3569" s="19"/>
      <c r="AQ3569" s="19"/>
      <c r="AR3569" s="19"/>
      <c r="AS3569" s="19"/>
    </row>
    <row r="3570" spans="1:45" x14ac:dyDescent="0.3">
      <c r="A3570" s="410" t="s">
        <v>5321</v>
      </c>
      <c r="B3570" s="17"/>
      <c r="C3570" s="19"/>
      <c r="D3570" s="19"/>
      <c r="E3570" s="18"/>
      <c r="F3570" s="19"/>
      <c r="G3570" s="31"/>
      <c r="H3570" s="31"/>
      <c r="I3570" s="19"/>
      <c r="J3570" s="19"/>
      <c r="K3570" s="21"/>
      <c r="L3570" s="22"/>
      <c r="M3570" s="19"/>
      <c r="N3570" s="20"/>
      <c r="O3570" s="19"/>
      <c r="P3570" s="19"/>
      <c r="Q3570" s="19"/>
      <c r="R3570" s="19"/>
      <c r="S3570" s="19"/>
      <c r="T3570" s="19"/>
      <c r="U3570" s="19"/>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row>
    <row r="3571" spans="1:45" x14ac:dyDescent="0.3">
      <c r="A3571" s="410" t="s">
        <v>5322</v>
      </c>
      <c r="B3571" s="17"/>
      <c r="C3571" s="19"/>
      <c r="D3571" s="19"/>
      <c r="E3571" s="18"/>
      <c r="F3571" s="19"/>
      <c r="G3571" s="31"/>
      <c r="H3571" s="31"/>
      <c r="I3571" s="19"/>
      <c r="J3571" s="19"/>
      <c r="K3571" s="21"/>
      <c r="L3571" s="22"/>
      <c r="M3571" s="19"/>
      <c r="N3571" s="20"/>
      <c r="O3571" s="19"/>
      <c r="P3571" s="19"/>
      <c r="Q3571" s="19"/>
      <c r="R3571" s="19"/>
      <c r="S3571" s="19"/>
      <c r="T3571" s="19"/>
      <c r="U3571" s="19"/>
      <c r="V3571" s="19"/>
      <c r="W3571" s="19"/>
      <c r="X3571" s="19"/>
      <c r="Y3571" s="19"/>
      <c r="Z3571" s="19"/>
      <c r="AA3571" s="19"/>
      <c r="AB3571" s="19"/>
      <c r="AC3571" s="19"/>
      <c r="AD3571" s="19"/>
      <c r="AE3571" s="19"/>
      <c r="AF3571" s="19"/>
      <c r="AG3571" s="19"/>
      <c r="AH3571" s="19"/>
      <c r="AI3571" s="19"/>
      <c r="AJ3571" s="19"/>
      <c r="AK3571" s="19"/>
      <c r="AL3571" s="19"/>
      <c r="AM3571" s="19"/>
      <c r="AN3571" s="19"/>
      <c r="AO3571" s="19"/>
      <c r="AP3571" s="19"/>
      <c r="AQ3571" s="19"/>
      <c r="AR3571" s="19"/>
      <c r="AS3571" s="19"/>
    </row>
    <row r="3572" spans="1:45" x14ac:dyDescent="0.3">
      <c r="A3572" s="410" t="s">
        <v>5323</v>
      </c>
      <c r="B3572" s="17"/>
      <c r="C3572" s="19"/>
      <c r="D3572" s="19"/>
      <c r="E3572" s="18"/>
      <c r="F3572" s="19"/>
      <c r="G3572" s="31"/>
      <c r="H3572" s="31"/>
      <c r="I3572" s="19"/>
      <c r="J3572" s="19"/>
      <c r="K3572" s="21"/>
      <c r="L3572" s="22"/>
      <c r="M3572" s="19"/>
      <c r="N3572" s="20"/>
      <c r="O3572" s="19"/>
      <c r="P3572" s="19"/>
      <c r="Q3572" s="19"/>
      <c r="R3572" s="19"/>
      <c r="S3572" s="19"/>
      <c r="T3572" s="19"/>
      <c r="U3572" s="19"/>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row>
    <row r="3573" spans="1:45" x14ac:dyDescent="0.3">
      <c r="A3573" s="410" t="s">
        <v>5324</v>
      </c>
      <c r="B3573" s="17"/>
      <c r="C3573" s="19"/>
      <c r="D3573" s="19"/>
      <c r="E3573" s="18"/>
      <c r="F3573" s="19"/>
      <c r="G3573" s="31"/>
      <c r="H3573" s="31"/>
      <c r="I3573" s="19"/>
      <c r="J3573" s="19"/>
      <c r="K3573" s="21"/>
      <c r="L3573" s="22"/>
      <c r="M3573" s="19"/>
      <c r="N3573" s="20"/>
      <c r="O3573" s="19"/>
      <c r="P3573" s="19"/>
      <c r="Q3573" s="19"/>
      <c r="R3573" s="19"/>
      <c r="S3573" s="19"/>
      <c r="T3573" s="19"/>
      <c r="U3573" s="19"/>
      <c r="V3573" s="19"/>
      <c r="W3573" s="19"/>
      <c r="X3573" s="19"/>
      <c r="Y3573" s="19"/>
      <c r="Z3573" s="19"/>
      <c r="AA3573" s="19"/>
      <c r="AB3573" s="19"/>
      <c r="AC3573" s="19"/>
      <c r="AD3573" s="19"/>
      <c r="AE3573" s="19"/>
      <c r="AF3573" s="19"/>
      <c r="AG3573" s="19"/>
      <c r="AH3573" s="19"/>
      <c r="AI3573" s="19"/>
      <c r="AJ3573" s="19"/>
      <c r="AK3573" s="19"/>
      <c r="AL3573" s="19"/>
      <c r="AM3573" s="19"/>
      <c r="AN3573" s="19"/>
      <c r="AO3573" s="19"/>
      <c r="AP3573" s="19"/>
      <c r="AQ3573" s="19"/>
      <c r="AR3573" s="19"/>
      <c r="AS3573" s="19"/>
    </row>
    <row r="3574" spans="1:45" x14ac:dyDescent="0.3">
      <c r="A3574" s="410" t="s">
        <v>5325</v>
      </c>
      <c r="B3574" s="17"/>
      <c r="C3574" s="19"/>
      <c r="D3574" s="19"/>
      <c r="E3574" s="18"/>
      <c r="F3574" s="19"/>
      <c r="G3574" s="31"/>
      <c r="H3574" s="31"/>
      <c r="I3574" s="19"/>
      <c r="J3574" s="19"/>
      <c r="K3574" s="21"/>
      <c r="L3574" s="22"/>
      <c r="M3574" s="19"/>
      <c r="N3574" s="20"/>
      <c r="O3574" s="19"/>
      <c r="P3574" s="19"/>
      <c r="Q3574" s="19"/>
      <c r="R3574" s="19"/>
      <c r="S3574" s="19"/>
      <c r="T3574" s="19"/>
      <c r="U3574" s="19"/>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19"/>
    </row>
    <row r="3575" spans="1:45" x14ac:dyDescent="0.3">
      <c r="A3575" s="410"/>
      <c r="B3575" s="17"/>
      <c r="C3575" s="19"/>
      <c r="D3575" s="19"/>
      <c r="E3575" s="17"/>
      <c r="F3575" s="19"/>
      <c r="G3575" s="31"/>
      <c r="H3575" s="31"/>
      <c r="I3575" s="19"/>
      <c r="J3575" s="19"/>
      <c r="K3575" s="21"/>
      <c r="L3575" s="22"/>
      <c r="M3575" s="19"/>
      <c r="N3575" s="20"/>
      <c r="O3575" s="19"/>
      <c r="P3575" s="19"/>
      <c r="Q3575" s="19"/>
      <c r="R3575" s="19"/>
      <c r="S3575" s="19"/>
      <c r="T3575" s="19"/>
      <c r="U3575" s="19"/>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row>
    <row r="3576" spans="1:45" x14ac:dyDescent="0.3">
      <c r="A3576" s="410" t="s">
        <v>5326</v>
      </c>
      <c r="B3576" s="17" t="s">
        <v>5327</v>
      </c>
      <c r="C3576" s="19" t="s">
        <v>1368</v>
      </c>
      <c r="D3576" s="19">
        <v>23226099</v>
      </c>
      <c r="E3576" s="17"/>
      <c r="F3576" s="19"/>
      <c r="G3576" s="31"/>
      <c r="H3576" s="31"/>
      <c r="I3576" s="19"/>
      <c r="J3576" s="19"/>
      <c r="K3576" s="18"/>
      <c r="L3576" s="19"/>
      <c r="M3576" s="19"/>
      <c r="N3576" s="20"/>
      <c r="O3576" s="19"/>
      <c r="P3576" s="19"/>
      <c r="Q3576" s="19"/>
      <c r="R3576" s="19"/>
      <c r="S3576" s="19"/>
      <c r="T3576" s="19"/>
      <c r="U3576" s="19"/>
      <c r="V3576" s="19"/>
      <c r="W3576" s="19"/>
      <c r="X3576" s="19"/>
      <c r="Y3576" s="19"/>
      <c r="Z3576" s="19"/>
      <c r="AA3576" s="19"/>
      <c r="AB3576" s="19"/>
      <c r="AC3576" s="19"/>
      <c r="AD3576" s="19"/>
      <c r="AE3576" s="19"/>
      <c r="AF3576" s="19"/>
      <c r="AG3576" s="19"/>
      <c r="AH3576" s="19"/>
      <c r="AI3576" s="19"/>
      <c r="AJ3576" s="19"/>
      <c r="AK3576" s="19"/>
      <c r="AL3576" s="19"/>
      <c r="AM3576" s="19"/>
      <c r="AN3576" s="19"/>
      <c r="AO3576" s="19"/>
      <c r="AP3576" s="19"/>
      <c r="AQ3576" s="19"/>
      <c r="AR3576" s="19"/>
      <c r="AS3576" s="19"/>
    </row>
    <row r="3577" spans="1:45" x14ac:dyDescent="0.3">
      <c r="A3577" s="410" t="s">
        <v>5328</v>
      </c>
      <c r="B3577" s="17" t="s">
        <v>5329</v>
      </c>
      <c r="C3577" s="19" t="s">
        <v>1368</v>
      </c>
      <c r="D3577" s="19">
        <v>23198928</v>
      </c>
      <c r="E3577" s="17"/>
      <c r="F3577" s="19"/>
      <c r="G3577" s="31"/>
      <c r="H3577" s="31"/>
      <c r="I3577" s="19"/>
      <c r="J3577" s="19"/>
      <c r="K3577" s="18"/>
      <c r="L3577" s="19"/>
      <c r="M3577" s="19"/>
      <c r="N3577" s="20"/>
      <c r="O3577" s="19"/>
      <c r="P3577" s="19"/>
      <c r="Q3577" s="19"/>
      <c r="R3577" s="19"/>
      <c r="S3577" s="19"/>
      <c r="T3577" s="19"/>
      <c r="U3577" s="19"/>
      <c r="V3577" s="19"/>
      <c r="W3577" s="19"/>
      <c r="X3577" s="19"/>
      <c r="Y3577" s="19"/>
      <c r="Z3577" s="19"/>
      <c r="AA3577" s="19"/>
      <c r="AB3577" s="19"/>
      <c r="AC3577" s="19"/>
      <c r="AD3577" s="19"/>
      <c r="AE3577" s="19"/>
      <c r="AF3577" s="19"/>
      <c r="AG3577" s="19"/>
      <c r="AH3577" s="19"/>
      <c r="AI3577" s="19"/>
      <c r="AJ3577" s="19"/>
      <c r="AK3577" s="19"/>
      <c r="AL3577" s="19"/>
      <c r="AM3577" s="19"/>
      <c r="AN3577" s="19"/>
      <c r="AO3577" s="19"/>
      <c r="AP3577" s="19"/>
      <c r="AQ3577" s="19"/>
      <c r="AR3577" s="19"/>
      <c r="AS3577" s="19"/>
    </row>
    <row r="3578" spans="1:45" x14ac:dyDescent="0.3">
      <c r="A3578" s="410" t="s">
        <v>5330</v>
      </c>
      <c r="B3578" s="17" t="s">
        <v>5331</v>
      </c>
      <c r="C3578" s="19" t="s">
        <v>1368</v>
      </c>
      <c r="D3578" s="19">
        <v>23112911</v>
      </c>
      <c r="E3578" s="17"/>
      <c r="F3578" s="19"/>
      <c r="G3578" s="31"/>
      <c r="H3578" s="31"/>
      <c r="I3578" s="19"/>
      <c r="J3578" s="19"/>
      <c r="K3578" s="18"/>
      <c r="L3578" s="19"/>
      <c r="M3578" s="19"/>
      <c r="N3578" s="20"/>
      <c r="O3578" s="19"/>
      <c r="P3578" s="19"/>
      <c r="Q3578" s="19"/>
      <c r="R3578" s="19"/>
      <c r="S3578" s="19"/>
      <c r="T3578" s="19"/>
      <c r="U3578" s="19"/>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row>
    <row r="3579" spans="1:45" x14ac:dyDescent="0.3">
      <c r="A3579" s="410" t="s">
        <v>5332</v>
      </c>
      <c r="B3579" s="17" t="s">
        <v>5333</v>
      </c>
      <c r="C3579" s="19" t="s">
        <v>1368</v>
      </c>
      <c r="D3579" s="19">
        <v>23197427</v>
      </c>
      <c r="E3579" s="17"/>
      <c r="F3579" s="19"/>
      <c r="G3579" s="31"/>
      <c r="H3579" s="31"/>
      <c r="I3579" s="19"/>
      <c r="J3579" s="19"/>
      <c r="K3579" s="21"/>
      <c r="L3579" s="22"/>
      <c r="M3579" s="19"/>
      <c r="N3579" s="20"/>
      <c r="O3579" s="19"/>
      <c r="P3579" s="19"/>
      <c r="Q3579" s="19"/>
      <c r="R3579" s="19"/>
      <c r="S3579" s="19"/>
      <c r="T3579" s="19"/>
      <c r="U3579" s="19"/>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19"/>
    </row>
    <row r="3580" spans="1:45" x14ac:dyDescent="0.3">
      <c r="A3580" s="410" t="s">
        <v>5334</v>
      </c>
      <c r="B3580" s="17" t="s">
        <v>5335</v>
      </c>
      <c r="C3580" s="19" t="s">
        <v>1368</v>
      </c>
      <c r="D3580" s="19">
        <v>23111675</v>
      </c>
      <c r="E3580" s="17"/>
      <c r="F3580" s="19"/>
      <c r="G3580" s="31"/>
      <c r="H3580" s="31"/>
      <c r="I3580" s="19"/>
      <c r="J3580" s="19"/>
      <c r="K3580" s="18"/>
      <c r="L3580" s="19"/>
      <c r="M3580" s="19"/>
      <c r="N3580" s="20"/>
      <c r="O3580" s="19"/>
      <c r="P3580" s="19"/>
      <c r="Q3580" s="19"/>
      <c r="R3580" s="19"/>
      <c r="S3580" s="19"/>
      <c r="T3580" s="19"/>
      <c r="U3580" s="19"/>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row>
    <row r="3581" spans="1:45" x14ac:dyDescent="0.3">
      <c r="A3581" s="410" t="s">
        <v>5336</v>
      </c>
      <c r="B3581" s="17" t="s">
        <v>5337</v>
      </c>
      <c r="C3581" s="19" t="s">
        <v>1368</v>
      </c>
      <c r="D3581" s="19">
        <v>23197426</v>
      </c>
      <c r="E3581" s="17"/>
      <c r="F3581" s="19"/>
      <c r="G3581" s="31"/>
      <c r="H3581" s="31"/>
      <c r="I3581" s="19"/>
      <c r="J3581" s="19"/>
      <c r="K3581" s="18"/>
      <c r="L3581" s="19"/>
      <c r="M3581" s="19"/>
      <c r="N3581" s="20"/>
      <c r="O3581" s="19"/>
      <c r="P3581" s="19"/>
      <c r="Q3581" s="19"/>
      <c r="R3581" s="19"/>
      <c r="S3581" s="19"/>
      <c r="T3581" s="19"/>
      <c r="U3581" s="19"/>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row>
    <row r="3582" spans="1:45" x14ac:dyDescent="0.3">
      <c r="A3582" s="410" t="s">
        <v>5338</v>
      </c>
      <c r="B3582" s="17" t="s">
        <v>5339</v>
      </c>
      <c r="C3582" s="19" t="s">
        <v>1368</v>
      </c>
      <c r="D3582" s="19">
        <v>23220898</v>
      </c>
      <c r="E3582" s="17"/>
      <c r="F3582" s="19"/>
      <c r="G3582" s="31"/>
      <c r="H3582" s="31"/>
      <c r="I3582" s="19"/>
      <c r="J3582" s="19"/>
      <c r="K3582" s="21"/>
      <c r="L3582" s="22"/>
      <c r="M3582" s="19"/>
      <c r="N3582" s="20"/>
      <c r="O3582" s="19"/>
      <c r="P3582" s="19"/>
      <c r="Q3582" s="19"/>
      <c r="R3582" s="19"/>
      <c r="S3582" s="19"/>
      <c r="T3582" s="19"/>
      <c r="U3582" s="19"/>
      <c r="V3582" s="19"/>
      <c r="W3582" s="19"/>
      <c r="X3582" s="19"/>
      <c r="Y3582" s="19"/>
      <c r="Z3582" s="19"/>
      <c r="AA3582" s="19"/>
      <c r="AB3582" s="19"/>
      <c r="AC3582" s="19"/>
      <c r="AD3582" s="19"/>
      <c r="AE3582" s="19"/>
      <c r="AF3582" s="19"/>
      <c r="AG3582" s="19"/>
      <c r="AH3582" s="19"/>
      <c r="AI3582" s="19"/>
      <c r="AJ3582" s="19"/>
      <c r="AK3582" s="19"/>
      <c r="AL3582" s="19"/>
      <c r="AM3582" s="19"/>
      <c r="AN3582" s="19"/>
      <c r="AO3582" s="19"/>
      <c r="AP3582" s="19"/>
      <c r="AQ3582" s="19"/>
      <c r="AR3582" s="19"/>
      <c r="AS3582" s="19"/>
    </row>
    <row r="3583" spans="1:45" x14ac:dyDescent="0.3">
      <c r="A3583" s="410" t="s">
        <v>5340</v>
      </c>
      <c r="B3583" s="17" t="s">
        <v>5341</v>
      </c>
      <c r="C3583" s="19" t="s">
        <v>1368</v>
      </c>
      <c r="D3583" s="19">
        <v>23148855</v>
      </c>
      <c r="E3583" s="17"/>
      <c r="F3583" s="19"/>
      <c r="G3583" s="31"/>
      <c r="H3583" s="31"/>
      <c r="I3583" s="19"/>
      <c r="J3583" s="19"/>
      <c r="K3583" s="21"/>
      <c r="L3583" s="22"/>
      <c r="M3583" s="19"/>
      <c r="N3583" s="20"/>
      <c r="O3583" s="19"/>
      <c r="P3583" s="19"/>
      <c r="Q3583" s="19"/>
      <c r="R3583" s="19"/>
      <c r="S3583" s="19"/>
      <c r="T3583" s="19"/>
      <c r="U3583" s="19"/>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19"/>
    </row>
    <row r="3584" spans="1:45" x14ac:dyDescent="0.3">
      <c r="A3584" s="410" t="s">
        <v>5342</v>
      </c>
      <c r="B3584" s="17" t="s">
        <v>5343</v>
      </c>
      <c r="C3584" s="19" t="s">
        <v>1368</v>
      </c>
      <c r="D3584" s="19">
        <v>23208479</v>
      </c>
      <c r="E3584" s="17"/>
      <c r="F3584" s="19"/>
      <c r="G3584" s="31"/>
      <c r="H3584" s="31"/>
      <c r="I3584" s="19"/>
      <c r="J3584" s="19"/>
      <c r="K3584" s="21"/>
      <c r="L3584" s="22"/>
      <c r="M3584" s="19"/>
      <c r="N3584" s="20"/>
      <c r="O3584" s="19"/>
      <c r="P3584" s="19"/>
      <c r="Q3584" s="19"/>
      <c r="R3584" s="19"/>
      <c r="S3584" s="19"/>
      <c r="T3584" s="19"/>
      <c r="U3584" s="19"/>
      <c r="V3584" s="19"/>
      <c r="W3584" s="19"/>
      <c r="X3584" s="19"/>
      <c r="Y3584" s="19"/>
      <c r="Z3584" s="19"/>
      <c r="AA3584" s="19"/>
      <c r="AB3584" s="19"/>
      <c r="AC3584" s="19"/>
      <c r="AD3584" s="19"/>
      <c r="AE3584" s="19"/>
      <c r="AF3584" s="19"/>
      <c r="AG3584" s="19"/>
      <c r="AH3584" s="19"/>
      <c r="AI3584" s="19"/>
      <c r="AJ3584" s="19"/>
      <c r="AK3584" s="19"/>
      <c r="AL3584" s="19"/>
      <c r="AM3584" s="19"/>
      <c r="AN3584" s="19"/>
      <c r="AO3584" s="19"/>
      <c r="AP3584" s="19"/>
      <c r="AQ3584" s="19"/>
      <c r="AR3584" s="19"/>
      <c r="AS3584" s="19"/>
    </row>
    <row r="3585" spans="1:45" x14ac:dyDescent="0.3">
      <c r="A3585" s="410" t="s">
        <v>5344</v>
      </c>
      <c r="B3585" s="17" t="s">
        <v>5345</v>
      </c>
      <c r="C3585" s="19" t="s">
        <v>1368</v>
      </c>
      <c r="D3585" s="19">
        <v>23150762</v>
      </c>
      <c r="E3585" s="17"/>
      <c r="F3585" s="19"/>
      <c r="G3585" s="31"/>
      <c r="H3585" s="31"/>
      <c r="I3585" s="19"/>
      <c r="J3585" s="19"/>
      <c r="K3585" s="18"/>
      <c r="L3585" s="19"/>
      <c r="M3585" s="19"/>
      <c r="N3585" s="20"/>
      <c r="O3585" s="19"/>
      <c r="P3585" s="19"/>
      <c r="Q3585" s="19"/>
      <c r="R3585" s="19"/>
      <c r="S3585" s="19"/>
      <c r="T3585" s="19"/>
      <c r="U3585" s="19"/>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19"/>
    </row>
    <row r="3586" spans="1:45" x14ac:dyDescent="0.3">
      <c r="A3586" s="410" t="s">
        <v>5346</v>
      </c>
      <c r="B3586" s="17"/>
      <c r="C3586" s="19"/>
      <c r="D3586" s="18"/>
      <c r="E3586" s="17"/>
      <c r="F3586" s="19"/>
      <c r="G3586" s="31"/>
      <c r="H3586" s="31"/>
      <c r="I3586" s="19"/>
      <c r="J3586" s="19"/>
      <c r="K3586" s="18"/>
      <c r="L3586" s="19"/>
      <c r="M3586" s="19"/>
      <c r="N3586" s="20"/>
      <c r="O3586" s="19"/>
      <c r="P3586" s="19"/>
      <c r="Q3586" s="19"/>
      <c r="R3586" s="19"/>
      <c r="S3586" s="19"/>
      <c r="T3586" s="19"/>
      <c r="U3586" s="19"/>
      <c r="V3586" s="19"/>
      <c r="W3586" s="19"/>
      <c r="X3586" s="19"/>
      <c r="Y3586" s="19"/>
      <c r="Z3586" s="19"/>
      <c r="AA3586" s="19"/>
      <c r="AB3586" s="19"/>
      <c r="AC3586" s="19"/>
      <c r="AD3586" s="19"/>
      <c r="AE3586" s="19"/>
      <c r="AF3586" s="19"/>
      <c r="AG3586" s="19"/>
      <c r="AH3586" s="19"/>
      <c r="AI3586" s="19"/>
      <c r="AJ3586" s="19"/>
      <c r="AK3586" s="19"/>
      <c r="AL3586" s="19"/>
      <c r="AM3586" s="19"/>
      <c r="AN3586" s="19"/>
      <c r="AO3586" s="19"/>
      <c r="AP3586" s="19"/>
      <c r="AQ3586" s="19"/>
      <c r="AR3586" s="19"/>
      <c r="AS3586" s="19"/>
    </row>
    <row r="3587" spans="1:45" x14ac:dyDescent="0.3">
      <c r="A3587" s="410" t="s">
        <v>5347</v>
      </c>
      <c r="B3587" s="17"/>
      <c r="C3587" s="19"/>
      <c r="D3587" s="18"/>
      <c r="E3587" s="17"/>
      <c r="F3587" s="19"/>
      <c r="G3587" s="31"/>
      <c r="H3587" s="31"/>
      <c r="I3587" s="19"/>
      <c r="J3587" s="19"/>
      <c r="K3587" s="18"/>
      <c r="L3587" s="19"/>
      <c r="M3587" s="19"/>
      <c r="N3587" s="20"/>
      <c r="O3587" s="19"/>
      <c r="P3587" s="19"/>
      <c r="Q3587" s="19"/>
      <c r="R3587" s="19"/>
      <c r="S3587" s="19"/>
      <c r="T3587" s="19"/>
      <c r="U3587" s="19"/>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19"/>
    </row>
    <row r="3588" spans="1:45" x14ac:dyDescent="0.3">
      <c r="A3588" s="410" t="s">
        <v>5348</v>
      </c>
      <c r="B3588" s="17"/>
      <c r="C3588" s="19"/>
      <c r="D3588" s="18"/>
      <c r="E3588" s="17"/>
      <c r="F3588" s="19"/>
      <c r="G3588" s="31"/>
      <c r="H3588" s="31"/>
      <c r="I3588" s="19"/>
      <c r="J3588" s="19"/>
      <c r="K3588" s="18"/>
      <c r="L3588" s="19"/>
      <c r="M3588" s="19"/>
      <c r="N3588" s="20"/>
      <c r="O3588" s="19"/>
      <c r="P3588" s="19"/>
      <c r="Q3588" s="19"/>
      <c r="R3588" s="19"/>
      <c r="S3588" s="19"/>
      <c r="T3588" s="19"/>
      <c r="U3588" s="19"/>
      <c r="V3588" s="19"/>
      <c r="W3588" s="19"/>
      <c r="X3588" s="19"/>
      <c r="Y3588" s="19"/>
      <c r="Z3588" s="19"/>
      <c r="AA3588" s="19"/>
      <c r="AB3588" s="19"/>
      <c r="AC3588" s="19"/>
      <c r="AD3588" s="19"/>
      <c r="AE3588" s="19"/>
      <c r="AF3588" s="19"/>
      <c r="AG3588" s="19"/>
      <c r="AH3588" s="19"/>
      <c r="AI3588" s="19"/>
      <c r="AJ3588" s="19"/>
      <c r="AK3588" s="19"/>
      <c r="AL3588" s="19"/>
      <c r="AM3588" s="19"/>
      <c r="AN3588" s="19"/>
      <c r="AO3588" s="19"/>
      <c r="AP3588" s="19"/>
      <c r="AQ3588" s="19"/>
      <c r="AR3588" s="19"/>
      <c r="AS3588" s="19"/>
    </row>
    <row r="3589" spans="1:45" x14ac:dyDescent="0.3">
      <c r="A3589" s="410" t="s">
        <v>5349</v>
      </c>
      <c r="B3589" s="17"/>
      <c r="C3589" s="19"/>
      <c r="D3589" s="18"/>
      <c r="E3589" s="18"/>
      <c r="F3589" s="19"/>
      <c r="G3589" s="31"/>
      <c r="H3589" s="31"/>
      <c r="I3589" s="19"/>
      <c r="J3589" s="19"/>
      <c r="K3589" s="18"/>
      <c r="L3589" s="19"/>
      <c r="M3589" s="19"/>
      <c r="N3589" s="20"/>
      <c r="O3589" s="19"/>
      <c r="P3589" s="19"/>
      <c r="Q3589" s="19"/>
      <c r="R3589" s="19"/>
      <c r="S3589" s="19"/>
      <c r="T3589" s="19"/>
      <c r="U3589" s="19"/>
      <c r="V3589" s="19"/>
      <c r="W3589" s="19"/>
      <c r="X3589" s="19"/>
      <c r="Y3589" s="19"/>
      <c r="Z3589" s="19"/>
      <c r="AA3589" s="19"/>
      <c r="AB3589" s="19"/>
      <c r="AC3589" s="19"/>
      <c r="AD3589" s="19"/>
      <c r="AE3589" s="19"/>
      <c r="AF3589" s="19"/>
      <c r="AG3589" s="19"/>
      <c r="AH3589" s="19"/>
      <c r="AI3589" s="19"/>
      <c r="AJ3589" s="19"/>
      <c r="AK3589" s="19"/>
      <c r="AL3589" s="19"/>
      <c r="AM3589" s="19"/>
      <c r="AN3589" s="19"/>
      <c r="AO3589" s="19"/>
      <c r="AP3589" s="19"/>
      <c r="AQ3589" s="19"/>
      <c r="AR3589" s="19"/>
      <c r="AS3589" s="19"/>
    </row>
    <row r="3590" spans="1:45" x14ac:dyDescent="0.3">
      <c r="A3590" s="410" t="s">
        <v>5350</v>
      </c>
      <c r="B3590" s="17"/>
      <c r="C3590" s="19"/>
      <c r="D3590" s="18"/>
      <c r="E3590" s="18"/>
      <c r="F3590" s="19"/>
      <c r="G3590" s="31"/>
      <c r="H3590" s="31"/>
      <c r="I3590" s="19"/>
      <c r="J3590" s="19"/>
      <c r="K3590" s="18"/>
      <c r="L3590" s="19"/>
      <c r="M3590" s="19"/>
      <c r="N3590" s="20"/>
      <c r="O3590" s="19"/>
      <c r="P3590" s="19"/>
      <c r="Q3590" s="19"/>
      <c r="R3590" s="19"/>
      <c r="S3590" s="19"/>
      <c r="T3590" s="19"/>
      <c r="U3590" s="19"/>
      <c r="V3590" s="19"/>
      <c r="W3590" s="19"/>
      <c r="X3590" s="19"/>
      <c r="Y3590" s="19"/>
      <c r="Z3590" s="19"/>
      <c r="AA3590" s="19"/>
      <c r="AB3590" s="19"/>
      <c r="AC3590" s="19"/>
      <c r="AD3590" s="19"/>
      <c r="AE3590" s="19"/>
      <c r="AF3590" s="19"/>
      <c r="AG3590" s="19"/>
      <c r="AH3590" s="19"/>
      <c r="AI3590" s="19"/>
      <c r="AJ3590" s="19"/>
      <c r="AK3590" s="19"/>
      <c r="AL3590" s="19"/>
      <c r="AM3590" s="19"/>
      <c r="AN3590" s="19"/>
      <c r="AO3590" s="19"/>
      <c r="AP3590" s="19"/>
      <c r="AQ3590" s="19"/>
      <c r="AR3590" s="19"/>
      <c r="AS3590" s="19"/>
    </row>
    <row r="3591" spans="1:45" x14ac:dyDescent="0.3">
      <c r="A3591" s="410" t="s">
        <v>5351</v>
      </c>
      <c r="B3591" s="17"/>
      <c r="C3591" s="19"/>
      <c r="D3591" s="18"/>
      <c r="E3591" s="18"/>
      <c r="F3591" s="19"/>
      <c r="G3591" s="31"/>
      <c r="H3591" s="31"/>
      <c r="I3591" s="19"/>
      <c r="J3591" s="19"/>
      <c r="K3591" s="18"/>
      <c r="L3591" s="19"/>
      <c r="M3591" s="19"/>
      <c r="N3591" s="20"/>
      <c r="O3591" s="19"/>
      <c r="P3591" s="19"/>
      <c r="Q3591" s="19"/>
      <c r="R3591" s="19"/>
      <c r="S3591" s="19"/>
      <c r="T3591" s="19"/>
      <c r="U3591" s="19"/>
      <c r="V3591" s="19"/>
      <c r="W3591" s="19"/>
      <c r="X3591" s="19"/>
      <c r="Y3591" s="19"/>
      <c r="Z3591" s="19"/>
      <c r="AA3591" s="19"/>
      <c r="AB3591" s="19"/>
      <c r="AC3591" s="19"/>
      <c r="AD3591" s="19"/>
      <c r="AE3591" s="19"/>
      <c r="AF3591" s="19"/>
      <c r="AG3591" s="19"/>
      <c r="AH3591" s="19"/>
      <c r="AI3591" s="19"/>
      <c r="AJ3591" s="19"/>
      <c r="AK3591" s="19"/>
      <c r="AL3591" s="19"/>
      <c r="AM3591" s="19"/>
      <c r="AN3591" s="19"/>
      <c r="AO3591" s="19"/>
      <c r="AP3591" s="19"/>
      <c r="AQ3591" s="19"/>
      <c r="AR3591" s="19"/>
      <c r="AS3591" s="19"/>
    </row>
    <row r="3592" spans="1:45" x14ac:dyDescent="0.3">
      <c r="A3592" s="410" t="s">
        <v>5352</v>
      </c>
      <c r="B3592" s="17"/>
      <c r="C3592" s="19"/>
      <c r="D3592" s="18"/>
      <c r="E3592" s="18"/>
      <c r="F3592" s="19"/>
      <c r="G3592" s="31"/>
      <c r="H3592" s="31"/>
      <c r="I3592" s="19"/>
      <c r="J3592" s="19"/>
      <c r="K3592" s="18"/>
      <c r="L3592" s="19"/>
      <c r="M3592" s="19"/>
      <c r="N3592" s="20"/>
      <c r="O3592" s="19"/>
      <c r="P3592" s="19"/>
      <c r="Q3592" s="19"/>
      <c r="R3592" s="19"/>
      <c r="S3592" s="19"/>
      <c r="T3592" s="19"/>
      <c r="U3592" s="19"/>
      <c r="V3592" s="19"/>
      <c r="W3592" s="19"/>
      <c r="X3592" s="19"/>
      <c r="Y3592" s="19"/>
      <c r="Z3592" s="19"/>
      <c r="AA3592" s="19"/>
      <c r="AB3592" s="19"/>
      <c r="AC3592" s="19"/>
      <c r="AD3592" s="19"/>
      <c r="AE3592" s="19"/>
      <c r="AF3592" s="19"/>
      <c r="AG3592" s="19"/>
      <c r="AH3592" s="19"/>
      <c r="AI3592" s="19"/>
      <c r="AJ3592" s="19"/>
      <c r="AK3592" s="19"/>
      <c r="AL3592" s="19"/>
      <c r="AM3592" s="19"/>
      <c r="AN3592" s="19"/>
      <c r="AO3592" s="19"/>
      <c r="AP3592" s="19"/>
      <c r="AQ3592" s="19"/>
      <c r="AR3592" s="19"/>
      <c r="AS3592" s="19"/>
    </row>
    <row r="3593" spans="1:45" x14ac:dyDescent="0.3">
      <c r="A3593" s="410" t="s">
        <v>5353</v>
      </c>
      <c r="B3593" s="17"/>
      <c r="C3593" s="19"/>
      <c r="D3593" s="18"/>
      <c r="E3593" s="18"/>
      <c r="F3593" s="19"/>
      <c r="G3593" s="31"/>
      <c r="H3593" s="31"/>
      <c r="I3593" s="19"/>
      <c r="J3593" s="19"/>
      <c r="K3593" s="18"/>
      <c r="L3593" s="19"/>
      <c r="M3593" s="19"/>
      <c r="N3593" s="20"/>
      <c r="O3593" s="19"/>
      <c r="P3593" s="19"/>
      <c r="Q3593" s="19"/>
      <c r="R3593" s="19"/>
      <c r="S3593" s="19"/>
      <c r="T3593" s="19"/>
      <c r="U3593" s="19"/>
      <c r="V3593" s="19"/>
      <c r="W3593" s="19"/>
      <c r="X3593" s="19"/>
      <c r="Y3593" s="19"/>
      <c r="Z3593" s="19"/>
      <c r="AA3593" s="19"/>
      <c r="AB3593" s="19"/>
      <c r="AC3593" s="19"/>
      <c r="AD3593" s="19"/>
      <c r="AE3593" s="19"/>
      <c r="AF3593" s="19"/>
      <c r="AG3593" s="19"/>
      <c r="AH3593" s="19"/>
      <c r="AI3593" s="19"/>
      <c r="AJ3593" s="19"/>
      <c r="AK3593" s="19"/>
      <c r="AL3593" s="19"/>
      <c r="AM3593" s="19"/>
      <c r="AN3593" s="19"/>
      <c r="AO3593" s="19"/>
      <c r="AP3593" s="19"/>
      <c r="AQ3593" s="19"/>
      <c r="AR3593" s="19"/>
      <c r="AS3593" s="19"/>
    </row>
    <row r="3594" spans="1:45" x14ac:dyDescent="0.3">
      <c r="A3594" s="410" t="s">
        <v>5354</v>
      </c>
      <c r="B3594" s="17"/>
      <c r="C3594" s="19"/>
      <c r="D3594" s="18"/>
      <c r="E3594" s="18"/>
      <c r="F3594" s="19"/>
      <c r="G3594" s="31"/>
      <c r="H3594" s="31"/>
      <c r="I3594" s="19"/>
      <c r="J3594" s="19"/>
      <c r="K3594" s="18"/>
      <c r="L3594" s="19"/>
      <c r="M3594" s="19"/>
      <c r="N3594" s="20"/>
      <c r="O3594" s="19"/>
      <c r="P3594" s="19"/>
      <c r="Q3594" s="19"/>
      <c r="R3594" s="19"/>
      <c r="S3594" s="19"/>
      <c r="T3594" s="19"/>
      <c r="U3594" s="19"/>
      <c r="V3594" s="19"/>
      <c r="W3594" s="19"/>
      <c r="X3594" s="19"/>
      <c r="Y3594" s="19"/>
      <c r="Z3594" s="19"/>
      <c r="AA3594" s="19"/>
      <c r="AB3594" s="19"/>
      <c r="AC3594" s="19"/>
      <c r="AD3594" s="19"/>
      <c r="AE3594" s="19"/>
      <c r="AF3594" s="19"/>
      <c r="AG3594" s="19"/>
      <c r="AH3594" s="19"/>
      <c r="AI3594" s="19"/>
      <c r="AJ3594" s="19"/>
      <c r="AK3594" s="19"/>
      <c r="AL3594" s="19"/>
      <c r="AM3594" s="19"/>
      <c r="AN3594" s="19"/>
      <c r="AO3594" s="19"/>
      <c r="AP3594" s="19"/>
      <c r="AQ3594" s="19"/>
      <c r="AR3594" s="19"/>
      <c r="AS3594" s="19"/>
    </row>
    <row r="3595" spans="1:45" x14ac:dyDescent="0.3">
      <c r="A3595" s="410" t="s">
        <v>5355</v>
      </c>
      <c r="B3595" s="17"/>
      <c r="C3595" s="19"/>
      <c r="D3595" s="18"/>
      <c r="E3595" s="18"/>
      <c r="F3595" s="19"/>
      <c r="G3595" s="31"/>
      <c r="H3595" s="31"/>
      <c r="I3595" s="19"/>
      <c r="J3595" s="19"/>
      <c r="K3595" s="18"/>
      <c r="L3595" s="19"/>
      <c r="M3595" s="19"/>
      <c r="N3595" s="20"/>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row>
    <row r="3596" spans="1:45" x14ac:dyDescent="0.3">
      <c r="A3596" s="410" t="s">
        <v>5356</v>
      </c>
      <c r="B3596" s="17"/>
      <c r="C3596" s="19"/>
      <c r="D3596" s="18"/>
      <c r="E3596" s="18"/>
      <c r="F3596" s="19"/>
      <c r="G3596" s="31"/>
      <c r="H3596" s="31"/>
      <c r="I3596" s="19"/>
      <c r="J3596" s="19"/>
      <c r="K3596" s="18"/>
      <c r="L3596" s="19"/>
      <c r="M3596" s="19"/>
      <c r="N3596" s="20"/>
      <c r="O3596" s="19"/>
      <c r="P3596" s="19"/>
      <c r="Q3596" s="19"/>
      <c r="R3596" s="19"/>
      <c r="S3596" s="19"/>
      <c r="T3596" s="19"/>
      <c r="U3596" s="19"/>
      <c r="V3596" s="19"/>
      <c r="W3596" s="19"/>
      <c r="X3596" s="19"/>
      <c r="Y3596" s="19"/>
      <c r="Z3596" s="19"/>
      <c r="AA3596" s="19"/>
      <c r="AB3596" s="19"/>
      <c r="AC3596" s="19"/>
      <c r="AD3596" s="19"/>
      <c r="AE3596" s="19"/>
      <c r="AF3596" s="19"/>
      <c r="AG3596" s="19"/>
      <c r="AH3596" s="19"/>
      <c r="AI3596" s="19"/>
      <c r="AJ3596" s="19"/>
      <c r="AK3596" s="19"/>
      <c r="AL3596" s="19"/>
      <c r="AM3596" s="19"/>
      <c r="AN3596" s="19"/>
      <c r="AO3596" s="19"/>
      <c r="AP3596" s="19"/>
      <c r="AQ3596" s="19"/>
      <c r="AR3596" s="19"/>
      <c r="AS3596" s="19"/>
    </row>
    <row r="3597" spans="1:45" x14ac:dyDescent="0.3">
      <c r="A3597" s="410" t="s">
        <v>5357</v>
      </c>
      <c r="B3597" s="17"/>
      <c r="C3597" s="19"/>
      <c r="D3597" s="18"/>
      <c r="E3597" s="18"/>
      <c r="F3597" s="19"/>
      <c r="G3597" s="31"/>
      <c r="H3597" s="31"/>
      <c r="I3597" s="19"/>
      <c r="J3597" s="19"/>
      <c r="K3597" s="18"/>
      <c r="L3597" s="19"/>
      <c r="M3597" s="19"/>
      <c r="N3597" s="20"/>
      <c r="O3597" s="19"/>
      <c r="P3597" s="19"/>
      <c r="Q3597" s="19"/>
      <c r="R3597" s="19"/>
      <c r="S3597" s="19"/>
      <c r="T3597" s="19"/>
      <c r="U3597" s="19"/>
      <c r="V3597" s="19"/>
      <c r="W3597" s="19"/>
      <c r="X3597" s="19"/>
      <c r="Y3597" s="19"/>
      <c r="Z3597" s="19"/>
      <c r="AA3597" s="19"/>
      <c r="AB3597" s="19"/>
      <c r="AC3597" s="19"/>
      <c r="AD3597" s="19"/>
      <c r="AE3597" s="19"/>
      <c r="AF3597" s="19"/>
      <c r="AG3597" s="19"/>
      <c r="AH3597" s="19"/>
      <c r="AI3597" s="19"/>
      <c r="AJ3597" s="19"/>
      <c r="AK3597" s="19"/>
      <c r="AL3597" s="19"/>
      <c r="AM3597" s="19"/>
      <c r="AN3597" s="19"/>
      <c r="AO3597" s="19"/>
      <c r="AP3597" s="19"/>
      <c r="AQ3597" s="19"/>
      <c r="AR3597" s="19"/>
      <c r="AS3597" s="19"/>
    </row>
    <row r="3598" spans="1:45" x14ac:dyDescent="0.3">
      <c r="A3598" s="410" t="s">
        <v>5358</v>
      </c>
      <c r="B3598" s="17"/>
      <c r="C3598" s="19"/>
      <c r="D3598" s="18"/>
      <c r="E3598" s="18"/>
      <c r="F3598" s="19"/>
      <c r="G3598" s="31"/>
      <c r="H3598" s="31"/>
      <c r="I3598" s="19"/>
      <c r="J3598" s="19"/>
      <c r="K3598" s="18"/>
      <c r="L3598" s="19"/>
      <c r="M3598" s="19"/>
      <c r="N3598" s="20"/>
      <c r="O3598" s="19"/>
      <c r="P3598" s="19"/>
      <c r="Q3598" s="19"/>
      <c r="R3598" s="19"/>
      <c r="S3598" s="19"/>
      <c r="T3598" s="19"/>
      <c r="U3598" s="19"/>
      <c r="V3598" s="19"/>
      <c r="W3598" s="19"/>
      <c r="X3598" s="19"/>
      <c r="Y3598" s="19"/>
      <c r="Z3598" s="19"/>
      <c r="AA3598" s="19"/>
      <c r="AB3598" s="19"/>
      <c r="AC3598" s="19"/>
      <c r="AD3598" s="19"/>
      <c r="AE3598" s="19"/>
      <c r="AF3598" s="19"/>
      <c r="AG3598" s="19"/>
      <c r="AH3598" s="19"/>
      <c r="AI3598" s="19"/>
      <c r="AJ3598" s="19"/>
      <c r="AK3598" s="19"/>
      <c r="AL3598" s="19"/>
      <c r="AM3598" s="19"/>
      <c r="AN3598" s="19"/>
      <c r="AO3598" s="19"/>
      <c r="AP3598" s="19"/>
      <c r="AQ3598" s="19"/>
      <c r="AR3598" s="19"/>
      <c r="AS3598" s="19"/>
    </row>
    <row r="3599" spans="1:45" x14ac:dyDescent="0.3">
      <c r="A3599" s="410" t="s">
        <v>5359</v>
      </c>
      <c r="B3599" s="17"/>
      <c r="C3599" s="19"/>
      <c r="D3599" s="18"/>
      <c r="E3599" s="18"/>
      <c r="F3599" s="19"/>
      <c r="G3599" s="31"/>
      <c r="H3599" s="31"/>
      <c r="I3599" s="19"/>
      <c r="J3599" s="19"/>
      <c r="K3599" s="18"/>
      <c r="L3599" s="19"/>
      <c r="M3599" s="19"/>
      <c r="N3599" s="20"/>
      <c r="O3599" s="19"/>
      <c r="P3599" s="19"/>
      <c r="Q3599" s="19"/>
      <c r="R3599" s="19"/>
      <c r="S3599" s="19"/>
      <c r="T3599" s="19"/>
      <c r="U3599" s="19"/>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19"/>
    </row>
    <row r="3600" spans="1:45" x14ac:dyDescent="0.3">
      <c r="A3600" s="410" t="s">
        <v>5360</v>
      </c>
      <c r="B3600" s="17"/>
      <c r="C3600" s="19"/>
      <c r="D3600" s="18"/>
      <c r="E3600" s="18"/>
      <c r="F3600" s="19"/>
      <c r="G3600" s="31"/>
      <c r="H3600" s="31"/>
      <c r="I3600" s="19"/>
      <c r="J3600" s="19"/>
      <c r="K3600" s="18"/>
      <c r="L3600" s="19"/>
      <c r="M3600" s="19"/>
      <c r="N3600" s="20"/>
      <c r="O3600" s="19"/>
      <c r="P3600" s="19"/>
      <c r="Q3600" s="19"/>
      <c r="R3600" s="19"/>
      <c r="S3600" s="19"/>
      <c r="T3600" s="19"/>
      <c r="U3600" s="19"/>
      <c r="V3600" s="19"/>
      <c r="W3600" s="19"/>
      <c r="X3600" s="19"/>
      <c r="Y3600" s="19"/>
      <c r="Z3600" s="19"/>
      <c r="AA3600" s="19"/>
      <c r="AB3600" s="19"/>
      <c r="AC3600" s="19"/>
      <c r="AD3600" s="19"/>
      <c r="AE3600" s="19"/>
      <c r="AF3600" s="19"/>
      <c r="AG3600" s="19"/>
      <c r="AH3600" s="19"/>
      <c r="AI3600" s="19"/>
      <c r="AJ3600" s="19"/>
      <c r="AK3600" s="19"/>
      <c r="AL3600" s="19"/>
      <c r="AM3600" s="19"/>
      <c r="AN3600" s="19"/>
      <c r="AO3600" s="19"/>
      <c r="AP3600" s="19"/>
      <c r="AQ3600" s="19"/>
      <c r="AR3600" s="19"/>
      <c r="AS3600" s="19"/>
    </row>
    <row r="3601" spans="1:45" x14ac:dyDescent="0.3">
      <c r="A3601" s="410" t="s">
        <v>5361</v>
      </c>
      <c r="B3601" s="17"/>
      <c r="C3601" s="19"/>
      <c r="D3601" s="18"/>
      <c r="E3601" s="18"/>
      <c r="F3601" s="19"/>
      <c r="G3601" s="31"/>
      <c r="H3601" s="31"/>
      <c r="I3601" s="19"/>
      <c r="J3601" s="19"/>
      <c r="K3601" s="18"/>
      <c r="L3601" s="19"/>
      <c r="M3601" s="19"/>
      <c r="N3601" s="20"/>
      <c r="O3601" s="19"/>
      <c r="P3601" s="19"/>
      <c r="Q3601" s="19"/>
      <c r="R3601" s="19"/>
      <c r="S3601" s="19"/>
      <c r="T3601" s="19"/>
      <c r="U3601" s="19"/>
      <c r="V3601" s="19"/>
      <c r="W3601" s="19"/>
      <c r="X3601" s="19"/>
      <c r="Y3601" s="19"/>
      <c r="Z3601" s="19"/>
      <c r="AA3601" s="19"/>
      <c r="AB3601" s="19"/>
      <c r="AC3601" s="19"/>
      <c r="AD3601" s="19"/>
      <c r="AE3601" s="19"/>
      <c r="AF3601" s="19"/>
      <c r="AG3601" s="19"/>
      <c r="AH3601" s="19"/>
      <c r="AI3601" s="19"/>
      <c r="AJ3601" s="19"/>
      <c r="AK3601" s="19"/>
      <c r="AL3601" s="19"/>
      <c r="AM3601" s="19"/>
      <c r="AN3601" s="19"/>
      <c r="AO3601" s="19"/>
      <c r="AP3601" s="19"/>
      <c r="AQ3601" s="19"/>
      <c r="AR3601" s="19"/>
      <c r="AS3601" s="19"/>
    </row>
    <row r="3602" spans="1:45" x14ac:dyDescent="0.3">
      <c r="A3602" s="410" t="s">
        <v>5362</v>
      </c>
      <c r="B3602" s="17"/>
      <c r="C3602" s="19"/>
      <c r="D3602" s="18"/>
      <c r="E3602" s="18"/>
      <c r="F3602" s="19"/>
      <c r="G3602" s="31"/>
      <c r="H3602" s="31"/>
      <c r="I3602" s="19"/>
      <c r="J3602" s="19"/>
      <c r="K3602" s="18"/>
      <c r="L3602" s="19"/>
      <c r="M3602" s="19"/>
      <c r="N3602" s="20"/>
      <c r="O3602" s="19"/>
      <c r="P3602" s="19"/>
      <c r="Q3602" s="19"/>
      <c r="R3602" s="19"/>
      <c r="S3602" s="19"/>
      <c r="T3602" s="19"/>
      <c r="U3602" s="19"/>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19"/>
    </row>
    <row r="3603" spans="1:45" x14ac:dyDescent="0.3">
      <c r="A3603" s="410" t="s">
        <v>5363</v>
      </c>
      <c r="B3603" s="17"/>
      <c r="C3603" s="19"/>
      <c r="D3603" s="18"/>
      <c r="E3603" s="18"/>
      <c r="F3603" s="19"/>
      <c r="G3603" s="31"/>
      <c r="H3603" s="31"/>
      <c r="I3603" s="19"/>
      <c r="J3603" s="19"/>
      <c r="K3603" s="18"/>
      <c r="L3603" s="19"/>
      <c r="M3603" s="19"/>
      <c r="N3603" s="20"/>
      <c r="O3603" s="19"/>
      <c r="P3603" s="19"/>
      <c r="Q3603" s="19"/>
      <c r="R3603" s="19"/>
      <c r="S3603" s="19"/>
      <c r="T3603" s="19"/>
      <c r="U3603" s="19"/>
      <c r="V3603" s="19"/>
      <c r="W3603" s="19"/>
      <c r="X3603" s="19"/>
      <c r="Y3603" s="19"/>
      <c r="Z3603" s="19"/>
      <c r="AA3603" s="19"/>
      <c r="AB3603" s="19"/>
      <c r="AC3603" s="19"/>
      <c r="AD3603" s="19"/>
      <c r="AE3603" s="19"/>
      <c r="AF3603" s="19"/>
      <c r="AG3603" s="19"/>
      <c r="AH3603" s="19"/>
      <c r="AI3603" s="19"/>
      <c r="AJ3603" s="19"/>
      <c r="AK3603" s="19"/>
      <c r="AL3603" s="19"/>
      <c r="AM3603" s="19"/>
      <c r="AN3603" s="19"/>
      <c r="AO3603" s="19"/>
      <c r="AP3603" s="19"/>
      <c r="AQ3603" s="19"/>
      <c r="AR3603" s="19"/>
      <c r="AS3603" s="19"/>
    </row>
    <row r="3604" spans="1:45" x14ac:dyDescent="0.3">
      <c r="A3604" s="410" t="s">
        <v>5364</v>
      </c>
      <c r="B3604" s="17"/>
      <c r="C3604" s="19"/>
      <c r="D3604" s="18"/>
      <c r="E3604" s="18"/>
      <c r="F3604" s="19"/>
      <c r="G3604" s="31"/>
      <c r="H3604" s="31"/>
      <c r="I3604" s="19"/>
      <c r="J3604" s="19"/>
      <c r="K3604" s="18"/>
      <c r="L3604" s="19"/>
      <c r="M3604" s="19"/>
      <c r="N3604" s="20"/>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row>
    <row r="3605" spans="1:45" x14ac:dyDescent="0.3">
      <c r="A3605" s="410" t="s">
        <v>5365</v>
      </c>
      <c r="B3605" s="17"/>
      <c r="C3605" s="19"/>
      <c r="D3605" s="18"/>
      <c r="E3605" s="18"/>
      <c r="F3605" s="19"/>
      <c r="G3605" s="31"/>
      <c r="H3605" s="31"/>
      <c r="I3605" s="19"/>
      <c r="J3605" s="19"/>
      <c r="K3605" s="18"/>
      <c r="L3605" s="19"/>
      <c r="M3605" s="19"/>
      <c r="N3605" s="20"/>
      <c r="O3605" s="19"/>
      <c r="P3605" s="19"/>
      <c r="Q3605" s="19"/>
      <c r="R3605" s="19"/>
      <c r="S3605" s="19"/>
      <c r="T3605" s="19"/>
      <c r="U3605" s="19"/>
      <c r="V3605" s="19"/>
      <c r="W3605" s="19"/>
      <c r="X3605" s="19"/>
      <c r="Y3605" s="19"/>
      <c r="Z3605" s="19"/>
      <c r="AA3605" s="19"/>
      <c r="AB3605" s="19"/>
      <c r="AC3605" s="19"/>
      <c r="AD3605" s="19"/>
      <c r="AE3605" s="19"/>
      <c r="AF3605" s="19"/>
      <c r="AG3605" s="19"/>
      <c r="AH3605" s="19"/>
      <c r="AI3605" s="19"/>
      <c r="AJ3605" s="19"/>
      <c r="AK3605" s="19"/>
      <c r="AL3605" s="19"/>
      <c r="AM3605" s="19"/>
      <c r="AN3605" s="19"/>
      <c r="AO3605" s="19"/>
      <c r="AP3605" s="19"/>
      <c r="AQ3605" s="19"/>
      <c r="AR3605" s="19"/>
      <c r="AS3605" s="19"/>
    </row>
    <row r="3606" spans="1:45" x14ac:dyDescent="0.3">
      <c r="A3606" s="410" t="s">
        <v>5366</v>
      </c>
      <c r="B3606" s="17"/>
      <c r="C3606" s="19"/>
      <c r="D3606" s="18"/>
      <c r="E3606" s="18"/>
      <c r="F3606" s="19"/>
      <c r="G3606" s="31"/>
      <c r="H3606" s="31"/>
      <c r="I3606" s="19"/>
      <c r="J3606" s="19"/>
      <c r="K3606" s="18"/>
      <c r="L3606" s="19"/>
      <c r="M3606" s="19"/>
      <c r="N3606" s="20"/>
      <c r="O3606" s="19"/>
      <c r="P3606" s="19"/>
      <c r="Q3606" s="19"/>
      <c r="R3606" s="19"/>
      <c r="S3606" s="19"/>
      <c r="T3606" s="19"/>
      <c r="U3606" s="19"/>
      <c r="V3606" s="19"/>
      <c r="W3606" s="19"/>
      <c r="X3606" s="19"/>
      <c r="Y3606" s="19"/>
      <c r="Z3606" s="19"/>
      <c r="AA3606" s="19"/>
      <c r="AB3606" s="19"/>
      <c r="AC3606" s="19"/>
      <c r="AD3606" s="19"/>
      <c r="AE3606" s="19"/>
      <c r="AF3606" s="19"/>
      <c r="AG3606" s="19"/>
      <c r="AH3606" s="19"/>
      <c r="AI3606" s="19"/>
      <c r="AJ3606" s="19"/>
      <c r="AK3606" s="19"/>
      <c r="AL3606" s="19"/>
      <c r="AM3606" s="19"/>
      <c r="AN3606" s="19"/>
      <c r="AO3606" s="19"/>
      <c r="AP3606" s="19"/>
      <c r="AQ3606" s="19"/>
      <c r="AR3606" s="19"/>
      <c r="AS3606" s="19"/>
    </row>
    <row r="3607" spans="1:45" x14ac:dyDescent="0.3">
      <c r="A3607" s="410" t="s">
        <v>5367</v>
      </c>
      <c r="B3607" s="17"/>
      <c r="C3607" s="19"/>
      <c r="D3607" s="18"/>
      <c r="E3607" s="18"/>
      <c r="F3607" s="19"/>
      <c r="G3607" s="31"/>
      <c r="H3607" s="31"/>
      <c r="I3607" s="19"/>
      <c r="J3607" s="19"/>
      <c r="K3607" s="18"/>
      <c r="L3607" s="19"/>
      <c r="M3607" s="19"/>
      <c r="N3607" s="20"/>
      <c r="O3607" s="19"/>
      <c r="P3607" s="19"/>
      <c r="Q3607" s="19"/>
      <c r="R3607" s="19"/>
      <c r="S3607" s="19"/>
      <c r="T3607" s="19"/>
      <c r="U3607" s="19"/>
      <c r="V3607" s="19"/>
      <c r="W3607" s="19"/>
      <c r="X3607" s="19"/>
      <c r="Y3607" s="19"/>
      <c r="Z3607" s="19"/>
      <c r="AA3607" s="19"/>
      <c r="AB3607" s="19"/>
      <c r="AC3607" s="19"/>
      <c r="AD3607" s="19"/>
      <c r="AE3607" s="19"/>
      <c r="AF3607" s="19"/>
      <c r="AG3607" s="19"/>
      <c r="AH3607" s="19"/>
      <c r="AI3607" s="19"/>
      <c r="AJ3607" s="19"/>
      <c r="AK3607" s="19"/>
      <c r="AL3607" s="19"/>
      <c r="AM3607" s="19"/>
      <c r="AN3607" s="19"/>
      <c r="AO3607" s="19"/>
      <c r="AP3607" s="19"/>
      <c r="AQ3607" s="19"/>
      <c r="AR3607" s="19"/>
      <c r="AS3607" s="19"/>
    </row>
    <row r="3608" spans="1:45" x14ac:dyDescent="0.3">
      <c r="A3608" s="410" t="s">
        <v>5368</v>
      </c>
      <c r="B3608" s="17"/>
      <c r="C3608" s="19"/>
      <c r="D3608" s="18"/>
      <c r="E3608" s="18"/>
      <c r="F3608" s="19"/>
      <c r="G3608" s="31"/>
      <c r="H3608" s="31"/>
      <c r="I3608" s="19"/>
      <c r="J3608" s="19"/>
      <c r="K3608" s="18"/>
      <c r="L3608" s="19"/>
      <c r="M3608" s="19"/>
      <c r="N3608" s="20"/>
      <c r="O3608" s="19"/>
      <c r="P3608" s="19"/>
      <c r="Q3608" s="19"/>
      <c r="R3608" s="19"/>
      <c r="S3608" s="19"/>
      <c r="T3608" s="19"/>
      <c r="U3608" s="19"/>
      <c r="V3608" s="19"/>
      <c r="W3608" s="19"/>
      <c r="X3608" s="19"/>
      <c r="Y3608" s="19"/>
      <c r="Z3608" s="19"/>
      <c r="AA3608" s="19"/>
      <c r="AB3608" s="19"/>
      <c r="AC3608" s="19"/>
      <c r="AD3608" s="19"/>
      <c r="AE3608" s="19"/>
      <c r="AF3608" s="19"/>
      <c r="AG3608" s="19"/>
      <c r="AH3608" s="19"/>
      <c r="AI3608" s="19"/>
      <c r="AJ3608" s="19"/>
      <c r="AK3608" s="19"/>
      <c r="AL3608" s="19"/>
      <c r="AM3608" s="19"/>
      <c r="AN3608" s="19"/>
      <c r="AO3608" s="19"/>
      <c r="AP3608" s="19"/>
      <c r="AQ3608" s="19"/>
      <c r="AR3608" s="19"/>
      <c r="AS3608" s="19"/>
    </row>
    <row r="3609" spans="1:45" x14ac:dyDescent="0.3">
      <c r="A3609" s="410" t="s">
        <v>5369</v>
      </c>
      <c r="B3609" s="17"/>
      <c r="C3609" s="19"/>
      <c r="D3609" s="18"/>
      <c r="E3609" s="18"/>
      <c r="F3609" s="19"/>
      <c r="G3609" s="31"/>
      <c r="H3609" s="31"/>
      <c r="I3609" s="19"/>
      <c r="J3609" s="19"/>
      <c r="K3609" s="18"/>
      <c r="L3609" s="19"/>
      <c r="M3609" s="19"/>
      <c r="N3609" s="20"/>
      <c r="O3609" s="19"/>
      <c r="P3609" s="19"/>
      <c r="Q3609" s="19"/>
      <c r="R3609" s="19"/>
      <c r="S3609" s="19"/>
      <c r="T3609" s="19"/>
      <c r="U3609" s="19"/>
      <c r="V3609" s="19"/>
      <c r="W3609" s="19"/>
      <c r="X3609" s="19"/>
      <c r="Y3609" s="19"/>
      <c r="Z3609" s="19"/>
      <c r="AA3609" s="19"/>
      <c r="AB3609" s="19"/>
      <c r="AC3609" s="19"/>
      <c r="AD3609" s="19"/>
      <c r="AE3609" s="19"/>
      <c r="AF3609" s="19"/>
      <c r="AG3609" s="19"/>
      <c r="AH3609" s="19"/>
      <c r="AI3609" s="19"/>
      <c r="AJ3609" s="19"/>
      <c r="AK3609" s="19"/>
      <c r="AL3609" s="19"/>
      <c r="AM3609" s="19"/>
      <c r="AN3609" s="19"/>
      <c r="AO3609" s="19"/>
      <c r="AP3609" s="19"/>
      <c r="AQ3609" s="19"/>
      <c r="AR3609" s="19"/>
      <c r="AS3609" s="19"/>
    </row>
    <row r="3610" spans="1:45" x14ac:dyDescent="0.3">
      <c r="A3610" s="410" t="s">
        <v>5370</v>
      </c>
      <c r="B3610" s="17"/>
      <c r="C3610" s="19"/>
      <c r="D3610" s="18"/>
      <c r="E3610" s="18"/>
      <c r="F3610" s="19"/>
      <c r="G3610" s="31"/>
      <c r="H3610" s="31"/>
      <c r="I3610" s="19"/>
      <c r="J3610" s="19"/>
      <c r="K3610" s="18"/>
      <c r="L3610" s="19"/>
      <c r="M3610" s="19"/>
      <c r="N3610" s="20"/>
      <c r="O3610" s="19"/>
      <c r="P3610" s="19"/>
      <c r="Q3610" s="19"/>
      <c r="R3610" s="19"/>
      <c r="S3610" s="19"/>
      <c r="T3610" s="19"/>
      <c r="U3610" s="19"/>
      <c r="V3610" s="19"/>
      <c r="W3610" s="19"/>
      <c r="X3610" s="19"/>
      <c r="Y3610" s="19"/>
      <c r="Z3610" s="19"/>
      <c r="AA3610" s="19"/>
      <c r="AB3610" s="19"/>
      <c r="AC3610" s="19"/>
      <c r="AD3610" s="19"/>
      <c r="AE3610" s="19"/>
      <c r="AF3610" s="19"/>
      <c r="AG3610" s="19"/>
      <c r="AH3610" s="19"/>
      <c r="AI3610" s="19"/>
      <c r="AJ3610" s="19"/>
      <c r="AK3610" s="19"/>
      <c r="AL3610" s="19"/>
      <c r="AM3610" s="19"/>
      <c r="AN3610" s="19"/>
      <c r="AO3610" s="19"/>
      <c r="AP3610" s="19"/>
      <c r="AQ3610" s="19"/>
      <c r="AR3610" s="19"/>
      <c r="AS3610" s="19"/>
    </row>
    <row r="3611" spans="1:45" x14ac:dyDescent="0.3">
      <c r="A3611" s="410" t="s">
        <v>5371</v>
      </c>
      <c r="B3611" s="17"/>
      <c r="C3611" s="19"/>
      <c r="D3611" s="18"/>
      <c r="E3611" s="18"/>
      <c r="F3611" s="19"/>
      <c r="G3611" s="31"/>
      <c r="H3611" s="31"/>
      <c r="I3611" s="19"/>
      <c r="J3611" s="19"/>
      <c r="K3611" s="18"/>
      <c r="L3611" s="19"/>
      <c r="M3611" s="19"/>
      <c r="N3611" s="20"/>
      <c r="O3611" s="19"/>
      <c r="P3611" s="19"/>
      <c r="Q3611" s="19"/>
      <c r="R3611" s="19"/>
      <c r="S3611" s="19"/>
      <c r="T3611" s="19"/>
      <c r="U3611" s="19"/>
      <c r="V3611" s="19"/>
      <c r="W3611" s="19"/>
      <c r="X3611" s="19"/>
      <c r="Y3611" s="19"/>
      <c r="Z3611" s="19"/>
      <c r="AA3611" s="19"/>
      <c r="AB3611" s="19"/>
      <c r="AC3611" s="19"/>
      <c r="AD3611" s="19"/>
      <c r="AE3611" s="19"/>
      <c r="AF3611" s="19"/>
      <c r="AG3611" s="19"/>
      <c r="AH3611" s="19"/>
      <c r="AI3611" s="19"/>
      <c r="AJ3611" s="19"/>
      <c r="AK3611" s="19"/>
      <c r="AL3611" s="19"/>
      <c r="AM3611" s="19"/>
      <c r="AN3611" s="19"/>
      <c r="AO3611" s="19"/>
      <c r="AP3611" s="19"/>
      <c r="AQ3611" s="19"/>
      <c r="AR3611" s="19"/>
      <c r="AS3611" s="19"/>
    </row>
    <row r="3612" spans="1:45" x14ac:dyDescent="0.3">
      <c r="A3612" s="410" t="s">
        <v>5372</v>
      </c>
      <c r="B3612" s="17"/>
      <c r="C3612" s="19"/>
      <c r="D3612" s="18"/>
      <c r="E3612" s="18"/>
      <c r="F3612" s="19"/>
      <c r="G3612" s="31"/>
      <c r="H3612" s="31"/>
      <c r="I3612" s="19"/>
      <c r="J3612" s="19"/>
      <c r="K3612" s="18"/>
      <c r="L3612" s="19"/>
      <c r="M3612" s="19"/>
      <c r="N3612" s="20"/>
      <c r="O3612" s="19"/>
      <c r="P3612" s="19"/>
      <c r="Q3612" s="19"/>
      <c r="R3612" s="19"/>
      <c r="S3612" s="19"/>
      <c r="T3612" s="19"/>
      <c r="U3612" s="19"/>
      <c r="V3612" s="19"/>
      <c r="W3612" s="19"/>
      <c r="X3612" s="19"/>
      <c r="Y3612" s="19"/>
      <c r="Z3612" s="19"/>
      <c r="AA3612" s="19"/>
      <c r="AB3612" s="19"/>
      <c r="AC3612" s="19"/>
      <c r="AD3612" s="19"/>
      <c r="AE3612" s="19"/>
      <c r="AF3612" s="19"/>
      <c r="AG3612" s="19"/>
      <c r="AH3612" s="19"/>
      <c r="AI3612" s="19"/>
      <c r="AJ3612" s="19"/>
      <c r="AK3612" s="19"/>
      <c r="AL3612" s="19"/>
      <c r="AM3612" s="19"/>
      <c r="AN3612" s="19"/>
      <c r="AO3612" s="19"/>
      <c r="AP3612" s="19"/>
      <c r="AQ3612" s="19"/>
      <c r="AR3612" s="19"/>
      <c r="AS3612" s="19"/>
    </row>
    <row r="3613" spans="1:45" x14ac:dyDescent="0.3">
      <c r="A3613" s="410" t="s">
        <v>5373</v>
      </c>
      <c r="B3613" s="17"/>
      <c r="C3613" s="19"/>
      <c r="D3613" s="18"/>
      <c r="E3613" s="18"/>
      <c r="F3613" s="19"/>
      <c r="G3613" s="31"/>
      <c r="H3613" s="31"/>
      <c r="I3613" s="19"/>
      <c r="J3613" s="19"/>
      <c r="K3613" s="18"/>
      <c r="L3613" s="19"/>
      <c r="M3613" s="19"/>
      <c r="N3613" s="20"/>
      <c r="O3613" s="19"/>
      <c r="P3613" s="19"/>
      <c r="Q3613" s="19"/>
      <c r="R3613" s="19"/>
      <c r="S3613" s="19"/>
      <c r="T3613" s="19"/>
      <c r="U3613" s="19"/>
      <c r="V3613" s="19"/>
      <c r="W3613" s="19"/>
      <c r="X3613" s="19"/>
      <c r="Y3613" s="19"/>
      <c r="Z3613" s="19"/>
      <c r="AA3613" s="19"/>
      <c r="AB3613" s="19"/>
      <c r="AC3613" s="19"/>
      <c r="AD3613" s="19"/>
      <c r="AE3613" s="19"/>
      <c r="AF3613" s="19"/>
      <c r="AG3613" s="19"/>
      <c r="AH3613" s="19"/>
      <c r="AI3613" s="19"/>
      <c r="AJ3613" s="19"/>
      <c r="AK3613" s="19"/>
      <c r="AL3613" s="19"/>
      <c r="AM3613" s="19"/>
      <c r="AN3613" s="19"/>
      <c r="AO3613" s="19"/>
      <c r="AP3613" s="19"/>
      <c r="AQ3613" s="19"/>
      <c r="AR3613" s="19"/>
      <c r="AS3613" s="19"/>
    </row>
    <row r="3614" spans="1:45" x14ac:dyDescent="0.3">
      <c r="A3614" s="410" t="s">
        <v>5374</v>
      </c>
      <c r="B3614" s="17"/>
      <c r="C3614" s="19"/>
      <c r="D3614" s="18"/>
      <c r="E3614" s="18"/>
      <c r="F3614" s="19"/>
      <c r="G3614" s="31"/>
      <c r="H3614" s="31"/>
      <c r="I3614" s="19"/>
      <c r="J3614" s="19"/>
      <c r="K3614" s="18"/>
      <c r="L3614" s="19"/>
      <c r="M3614" s="19"/>
      <c r="N3614" s="20"/>
      <c r="O3614" s="19"/>
      <c r="P3614" s="19"/>
      <c r="Q3614" s="19"/>
      <c r="R3614" s="19"/>
      <c r="S3614" s="19"/>
      <c r="T3614" s="19"/>
      <c r="U3614" s="19"/>
      <c r="V3614" s="19"/>
      <c r="W3614" s="19"/>
      <c r="X3614" s="19"/>
      <c r="Y3614" s="19"/>
      <c r="Z3614" s="19"/>
      <c r="AA3614" s="19"/>
      <c r="AB3614" s="19"/>
      <c r="AC3614" s="19"/>
      <c r="AD3614" s="19"/>
      <c r="AE3614" s="19"/>
      <c r="AF3614" s="19"/>
      <c r="AG3614" s="19"/>
      <c r="AH3614" s="19"/>
      <c r="AI3614" s="19"/>
      <c r="AJ3614" s="19"/>
      <c r="AK3614" s="19"/>
      <c r="AL3614" s="19"/>
      <c r="AM3614" s="19"/>
      <c r="AN3614" s="19"/>
      <c r="AO3614" s="19"/>
      <c r="AP3614" s="19"/>
      <c r="AQ3614" s="19"/>
      <c r="AR3614" s="19"/>
      <c r="AS3614" s="19"/>
    </row>
    <row r="3615" spans="1:45" x14ac:dyDescent="0.3">
      <c r="A3615" s="410" t="s">
        <v>5375</v>
      </c>
      <c r="B3615" s="17"/>
      <c r="C3615" s="19"/>
      <c r="D3615" s="18"/>
      <c r="E3615" s="18"/>
      <c r="F3615" s="19"/>
      <c r="G3615" s="31"/>
      <c r="H3615" s="31"/>
      <c r="I3615" s="19"/>
      <c r="J3615" s="19"/>
      <c r="K3615" s="18"/>
      <c r="L3615" s="19"/>
      <c r="M3615" s="19"/>
      <c r="N3615" s="20"/>
      <c r="O3615" s="19"/>
      <c r="P3615" s="19"/>
      <c r="Q3615" s="19"/>
      <c r="R3615" s="19"/>
      <c r="S3615" s="19"/>
      <c r="T3615" s="19"/>
      <c r="U3615" s="19"/>
      <c r="V3615" s="19"/>
      <c r="W3615" s="19"/>
      <c r="X3615" s="19"/>
      <c r="Y3615" s="19"/>
      <c r="Z3615" s="19"/>
      <c r="AA3615" s="19"/>
      <c r="AB3615" s="19"/>
      <c r="AC3615" s="19"/>
      <c r="AD3615" s="19"/>
      <c r="AE3615" s="19"/>
      <c r="AF3615" s="19"/>
      <c r="AG3615" s="19"/>
      <c r="AH3615" s="19"/>
      <c r="AI3615" s="19"/>
      <c r="AJ3615" s="19"/>
      <c r="AK3615" s="19"/>
      <c r="AL3615" s="19"/>
      <c r="AM3615" s="19"/>
      <c r="AN3615" s="19"/>
      <c r="AO3615" s="19"/>
      <c r="AP3615" s="19"/>
      <c r="AQ3615" s="19"/>
      <c r="AR3615" s="19"/>
      <c r="AS3615" s="19"/>
    </row>
    <row r="3616" spans="1:45" x14ac:dyDescent="0.3">
      <c r="A3616" s="410" t="s">
        <v>5376</v>
      </c>
      <c r="B3616" s="17"/>
      <c r="C3616" s="19"/>
      <c r="D3616" s="18"/>
      <c r="E3616" s="18"/>
      <c r="F3616" s="19"/>
      <c r="G3616" s="31"/>
      <c r="H3616" s="31"/>
      <c r="I3616" s="19"/>
      <c r="J3616" s="19"/>
      <c r="K3616" s="18"/>
      <c r="L3616" s="19"/>
      <c r="M3616" s="19"/>
      <c r="N3616" s="20"/>
      <c r="O3616" s="19"/>
      <c r="P3616" s="19"/>
      <c r="Q3616" s="19"/>
      <c r="R3616" s="19"/>
      <c r="S3616" s="19"/>
      <c r="T3616" s="19"/>
      <c r="U3616" s="19"/>
      <c r="V3616" s="19"/>
      <c r="W3616" s="19"/>
      <c r="X3616" s="19"/>
      <c r="Y3616" s="19"/>
      <c r="Z3616" s="19"/>
      <c r="AA3616" s="19"/>
      <c r="AB3616" s="19"/>
      <c r="AC3616" s="19"/>
      <c r="AD3616" s="19"/>
      <c r="AE3616" s="19"/>
      <c r="AF3616" s="19"/>
      <c r="AG3616" s="19"/>
      <c r="AH3616" s="19"/>
      <c r="AI3616" s="19"/>
      <c r="AJ3616" s="19"/>
      <c r="AK3616" s="19"/>
      <c r="AL3616" s="19"/>
      <c r="AM3616" s="19"/>
      <c r="AN3616" s="19"/>
      <c r="AO3616" s="19"/>
      <c r="AP3616" s="19"/>
      <c r="AQ3616" s="19"/>
      <c r="AR3616" s="19"/>
      <c r="AS3616" s="19"/>
    </row>
    <row r="3617" spans="1:45" x14ac:dyDescent="0.3">
      <c r="A3617" s="410" t="s">
        <v>5377</v>
      </c>
      <c r="B3617" s="17"/>
      <c r="C3617" s="19"/>
      <c r="D3617" s="18"/>
      <c r="E3617" s="18"/>
      <c r="F3617" s="19"/>
      <c r="G3617" s="31"/>
      <c r="H3617" s="31"/>
      <c r="I3617" s="19"/>
      <c r="J3617" s="19"/>
      <c r="K3617" s="18"/>
      <c r="L3617" s="19"/>
      <c r="M3617" s="19"/>
      <c r="N3617" s="20"/>
      <c r="O3617" s="19"/>
      <c r="P3617" s="19"/>
      <c r="Q3617" s="19"/>
      <c r="R3617" s="19"/>
      <c r="S3617" s="19"/>
      <c r="T3617" s="19"/>
      <c r="U3617" s="19"/>
      <c r="V3617" s="19"/>
      <c r="W3617" s="19"/>
      <c r="X3617" s="19"/>
      <c r="Y3617" s="19"/>
      <c r="Z3617" s="19"/>
      <c r="AA3617" s="19"/>
      <c r="AB3617" s="19"/>
      <c r="AC3617" s="19"/>
      <c r="AD3617" s="19"/>
      <c r="AE3617" s="19"/>
      <c r="AF3617" s="19"/>
      <c r="AG3617" s="19"/>
      <c r="AH3617" s="19"/>
      <c r="AI3617" s="19"/>
      <c r="AJ3617" s="19"/>
      <c r="AK3617" s="19"/>
      <c r="AL3617" s="19"/>
      <c r="AM3617" s="19"/>
      <c r="AN3617" s="19"/>
      <c r="AO3617" s="19"/>
      <c r="AP3617" s="19"/>
      <c r="AQ3617" s="19"/>
      <c r="AR3617" s="19"/>
      <c r="AS3617" s="19"/>
    </row>
    <row r="3618" spans="1:45" x14ac:dyDescent="0.3">
      <c r="A3618" s="410" t="s">
        <v>5378</v>
      </c>
      <c r="B3618" s="17"/>
      <c r="C3618" s="19"/>
      <c r="D3618" s="18"/>
      <c r="E3618" s="18"/>
      <c r="F3618" s="19"/>
      <c r="G3618" s="31"/>
      <c r="H3618" s="31"/>
      <c r="I3618" s="19"/>
      <c r="J3618" s="19"/>
      <c r="K3618" s="18"/>
      <c r="L3618" s="19"/>
      <c r="M3618" s="19"/>
      <c r="N3618" s="20"/>
      <c r="O3618" s="19"/>
      <c r="P3618" s="19"/>
      <c r="Q3618" s="19"/>
      <c r="R3618" s="19"/>
      <c r="S3618" s="19"/>
      <c r="T3618" s="19"/>
      <c r="U3618" s="19"/>
      <c r="V3618" s="19"/>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19"/>
    </row>
    <row r="3619" spans="1:45" x14ac:dyDescent="0.3">
      <c r="A3619" s="410" t="s">
        <v>5379</v>
      </c>
      <c r="B3619" s="17"/>
      <c r="C3619" s="19"/>
      <c r="D3619" s="18"/>
      <c r="E3619" s="18"/>
      <c r="F3619" s="19"/>
      <c r="G3619" s="31"/>
      <c r="H3619" s="31"/>
      <c r="I3619" s="19"/>
      <c r="J3619" s="19"/>
      <c r="K3619" s="18"/>
      <c r="L3619" s="19"/>
      <c r="M3619" s="19"/>
      <c r="N3619" s="20"/>
      <c r="O3619" s="19"/>
      <c r="P3619" s="19"/>
      <c r="Q3619" s="19"/>
      <c r="R3619" s="19"/>
      <c r="S3619" s="19"/>
      <c r="T3619" s="19"/>
      <c r="U3619" s="19"/>
      <c r="V3619" s="19"/>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19"/>
    </row>
    <row r="3620" spans="1:45" x14ac:dyDescent="0.3">
      <c r="A3620" s="410" t="s">
        <v>5380</v>
      </c>
      <c r="B3620" s="17"/>
      <c r="C3620" s="19"/>
      <c r="D3620" s="18"/>
      <c r="E3620" s="18"/>
      <c r="F3620" s="19"/>
      <c r="G3620" s="31"/>
      <c r="H3620" s="31"/>
      <c r="I3620" s="19"/>
      <c r="J3620" s="19"/>
      <c r="K3620" s="18"/>
      <c r="L3620" s="19"/>
      <c r="M3620" s="19"/>
      <c r="N3620" s="20"/>
      <c r="O3620" s="19"/>
      <c r="P3620" s="19"/>
      <c r="Q3620" s="19"/>
      <c r="R3620" s="19"/>
      <c r="S3620" s="19"/>
      <c r="T3620" s="19"/>
      <c r="U3620" s="19"/>
      <c r="V3620" s="19"/>
      <c r="W3620" s="19"/>
      <c r="X3620" s="19"/>
      <c r="Y3620" s="19"/>
      <c r="Z3620" s="19"/>
      <c r="AA3620" s="19"/>
      <c r="AB3620" s="19"/>
      <c r="AC3620" s="19"/>
      <c r="AD3620" s="19"/>
      <c r="AE3620" s="19"/>
      <c r="AF3620" s="19"/>
      <c r="AG3620" s="19"/>
      <c r="AH3620" s="19"/>
      <c r="AI3620" s="19"/>
      <c r="AJ3620" s="19"/>
      <c r="AK3620" s="19"/>
      <c r="AL3620" s="19"/>
      <c r="AM3620" s="19"/>
      <c r="AN3620" s="19"/>
      <c r="AO3620" s="19"/>
      <c r="AP3620" s="19"/>
      <c r="AQ3620" s="19"/>
      <c r="AR3620" s="19"/>
      <c r="AS3620" s="19"/>
    </row>
    <row r="3621" spans="1:45" x14ac:dyDescent="0.3">
      <c r="A3621" s="410" t="s">
        <v>5381</v>
      </c>
      <c r="B3621" s="17"/>
      <c r="C3621" s="19"/>
      <c r="D3621" s="18"/>
      <c r="E3621" s="18"/>
      <c r="F3621" s="19"/>
      <c r="G3621" s="31"/>
      <c r="H3621" s="31"/>
      <c r="I3621" s="19"/>
      <c r="J3621" s="19"/>
      <c r="K3621" s="18"/>
      <c r="L3621" s="19"/>
      <c r="M3621" s="19"/>
      <c r="N3621" s="20"/>
      <c r="O3621" s="19"/>
      <c r="P3621" s="19"/>
      <c r="Q3621" s="19"/>
      <c r="R3621" s="19"/>
      <c r="S3621" s="19"/>
      <c r="T3621" s="19"/>
      <c r="U3621" s="19"/>
      <c r="V3621" s="19"/>
      <c r="W3621" s="19"/>
      <c r="X3621" s="19"/>
      <c r="Y3621" s="19"/>
      <c r="Z3621" s="19"/>
      <c r="AA3621" s="19"/>
      <c r="AB3621" s="19"/>
      <c r="AC3621" s="19"/>
      <c r="AD3621" s="19"/>
      <c r="AE3621" s="19"/>
      <c r="AF3621" s="19"/>
      <c r="AG3621" s="19"/>
      <c r="AH3621" s="19"/>
      <c r="AI3621" s="19"/>
      <c r="AJ3621" s="19"/>
      <c r="AK3621" s="19"/>
      <c r="AL3621" s="19"/>
      <c r="AM3621" s="19"/>
      <c r="AN3621" s="19"/>
      <c r="AO3621" s="19"/>
      <c r="AP3621" s="19"/>
      <c r="AQ3621" s="19"/>
      <c r="AR3621" s="19"/>
      <c r="AS3621" s="19"/>
    </row>
    <row r="3622" spans="1:45" x14ac:dyDescent="0.3">
      <c r="A3622" s="410" t="s">
        <v>5382</v>
      </c>
      <c r="B3622" s="17"/>
      <c r="C3622" s="19"/>
      <c r="D3622" s="18"/>
      <c r="E3622" s="18"/>
      <c r="F3622" s="19"/>
      <c r="G3622" s="31"/>
      <c r="H3622" s="31"/>
      <c r="I3622" s="19"/>
      <c r="J3622" s="19"/>
      <c r="K3622" s="18"/>
      <c r="L3622" s="19"/>
      <c r="M3622" s="19"/>
      <c r="N3622" s="20"/>
      <c r="O3622" s="19"/>
      <c r="P3622" s="19"/>
      <c r="Q3622" s="19"/>
      <c r="R3622" s="19"/>
      <c r="S3622" s="19"/>
      <c r="T3622" s="19"/>
      <c r="U3622" s="19"/>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row>
    <row r="3623" spans="1:45" x14ac:dyDescent="0.3">
      <c r="A3623" s="410" t="s">
        <v>5383</v>
      </c>
      <c r="B3623" s="17"/>
      <c r="C3623" s="19"/>
      <c r="D3623" s="18"/>
      <c r="E3623" s="18"/>
      <c r="F3623" s="19"/>
      <c r="G3623" s="31"/>
      <c r="H3623" s="31"/>
      <c r="I3623" s="19"/>
      <c r="J3623" s="19"/>
      <c r="K3623" s="18"/>
      <c r="L3623" s="19"/>
      <c r="M3623" s="19"/>
      <c r="N3623" s="20"/>
      <c r="O3623" s="19"/>
      <c r="P3623" s="19"/>
      <c r="Q3623" s="19"/>
      <c r="R3623" s="19"/>
      <c r="S3623" s="19"/>
      <c r="T3623" s="19"/>
      <c r="U3623" s="19"/>
      <c r="V3623" s="19"/>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19"/>
    </row>
    <row r="3624" spans="1:45" x14ac:dyDescent="0.3">
      <c r="A3624" s="410" t="s">
        <v>5384</v>
      </c>
      <c r="B3624" s="17"/>
      <c r="C3624" s="19"/>
      <c r="D3624" s="18"/>
      <c r="E3624" s="18"/>
      <c r="F3624" s="19"/>
      <c r="G3624" s="31"/>
      <c r="H3624" s="31"/>
      <c r="I3624" s="19"/>
      <c r="J3624" s="19"/>
      <c r="K3624" s="18"/>
      <c r="L3624" s="19"/>
      <c r="M3624" s="19"/>
      <c r="N3624" s="20"/>
      <c r="O3624" s="19"/>
      <c r="P3624" s="19"/>
      <c r="Q3624" s="19"/>
      <c r="R3624" s="19"/>
      <c r="S3624" s="19"/>
      <c r="T3624" s="19"/>
      <c r="U3624" s="19"/>
      <c r="V3624" s="19"/>
      <c r="W3624" s="19"/>
      <c r="X3624" s="19"/>
      <c r="Y3624" s="19"/>
      <c r="Z3624" s="19"/>
      <c r="AA3624" s="19"/>
      <c r="AB3624" s="19"/>
      <c r="AC3624" s="19"/>
      <c r="AD3624" s="19"/>
      <c r="AE3624" s="19"/>
      <c r="AF3624" s="19"/>
      <c r="AG3624" s="19"/>
      <c r="AH3624" s="19"/>
      <c r="AI3624" s="19"/>
      <c r="AJ3624" s="19"/>
      <c r="AK3624" s="19"/>
      <c r="AL3624" s="19"/>
      <c r="AM3624" s="19"/>
      <c r="AN3624" s="19"/>
      <c r="AO3624" s="19"/>
      <c r="AP3624" s="19"/>
      <c r="AQ3624" s="19"/>
      <c r="AR3624" s="19"/>
      <c r="AS3624" s="19"/>
    </row>
    <row r="3625" spans="1:45" x14ac:dyDescent="0.3">
      <c r="A3625" s="410" t="s">
        <v>5385</v>
      </c>
      <c r="B3625" s="17"/>
      <c r="C3625" s="19"/>
      <c r="D3625" s="18"/>
      <c r="E3625" s="18"/>
      <c r="F3625" s="19"/>
      <c r="G3625" s="31"/>
      <c r="H3625" s="31"/>
      <c r="I3625" s="19"/>
      <c r="J3625" s="19"/>
      <c r="K3625" s="18"/>
      <c r="L3625" s="19"/>
      <c r="M3625" s="19"/>
      <c r="N3625" s="20"/>
      <c r="O3625" s="19"/>
      <c r="P3625" s="19"/>
      <c r="Q3625" s="19"/>
      <c r="R3625" s="19"/>
      <c r="S3625" s="19"/>
      <c r="T3625" s="19"/>
      <c r="U3625" s="19"/>
      <c r="V3625" s="19"/>
      <c r="W3625" s="19"/>
      <c r="X3625" s="19"/>
      <c r="Y3625" s="19"/>
      <c r="Z3625" s="19"/>
      <c r="AA3625" s="19"/>
      <c r="AB3625" s="19"/>
      <c r="AC3625" s="19"/>
      <c r="AD3625" s="19"/>
      <c r="AE3625" s="19"/>
      <c r="AF3625" s="19"/>
      <c r="AG3625" s="19"/>
      <c r="AH3625" s="19"/>
      <c r="AI3625" s="19"/>
      <c r="AJ3625" s="19"/>
      <c r="AK3625" s="19"/>
      <c r="AL3625" s="19"/>
      <c r="AM3625" s="19"/>
      <c r="AN3625" s="19"/>
      <c r="AO3625" s="19"/>
      <c r="AP3625" s="19"/>
      <c r="AQ3625" s="19"/>
      <c r="AR3625" s="19"/>
      <c r="AS3625" s="19"/>
    </row>
    <row r="3626" spans="1:45" x14ac:dyDescent="0.3">
      <c r="A3626" s="410" t="s">
        <v>5386</v>
      </c>
      <c r="B3626" s="17"/>
      <c r="C3626" s="19"/>
      <c r="D3626" s="18"/>
      <c r="E3626" s="18"/>
      <c r="F3626" s="19"/>
      <c r="G3626" s="31"/>
      <c r="H3626" s="31"/>
      <c r="I3626" s="19"/>
      <c r="J3626" s="19"/>
      <c r="K3626" s="18"/>
      <c r="L3626" s="19"/>
      <c r="M3626" s="19"/>
      <c r="N3626" s="20"/>
      <c r="O3626" s="19"/>
      <c r="P3626" s="19"/>
      <c r="Q3626" s="19"/>
      <c r="R3626" s="19"/>
      <c r="S3626" s="19"/>
      <c r="T3626" s="19"/>
      <c r="U3626" s="19"/>
      <c r="V3626" s="19"/>
      <c r="W3626" s="19"/>
      <c r="X3626" s="19"/>
      <c r="Y3626" s="19"/>
      <c r="Z3626" s="19"/>
      <c r="AA3626" s="19"/>
      <c r="AB3626" s="19"/>
      <c r="AC3626" s="19"/>
      <c r="AD3626" s="19"/>
      <c r="AE3626" s="19"/>
      <c r="AF3626" s="19"/>
      <c r="AG3626" s="19"/>
      <c r="AH3626" s="19"/>
      <c r="AI3626" s="19"/>
      <c r="AJ3626" s="19"/>
      <c r="AK3626" s="19"/>
      <c r="AL3626" s="19"/>
      <c r="AM3626" s="19"/>
      <c r="AN3626" s="19"/>
      <c r="AO3626" s="19"/>
      <c r="AP3626" s="19"/>
      <c r="AQ3626" s="19"/>
      <c r="AR3626" s="19"/>
      <c r="AS3626" s="19"/>
    </row>
    <row r="3627" spans="1:45" x14ac:dyDescent="0.3">
      <c r="A3627" s="410" t="s">
        <v>5387</v>
      </c>
      <c r="B3627" s="17"/>
      <c r="C3627" s="19"/>
      <c r="D3627" s="18"/>
      <c r="E3627" s="18"/>
      <c r="F3627" s="19"/>
      <c r="G3627" s="31"/>
      <c r="H3627" s="31"/>
      <c r="I3627" s="19"/>
      <c r="J3627" s="19"/>
      <c r="K3627" s="18"/>
      <c r="L3627" s="19"/>
      <c r="M3627" s="19"/>
      <c r="N3627" s="20"/>
      <c r="O3627" s="19"/>
      <c r="P3627" s="19"/>
      <c r="Q3627" s="19"/>
      <c r="R3627" s="19"/>
      <c r="S3627" s="19"/>
      <c r="T3627" s="19"/>
      <c r="U3627" s="19"/>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19"/>
    </row>
    <row r="3628" spans="1:45" x14ac:dyDescent="0.3">
      <c r="A3628" s="410" t="s">
        <v>5388</v>
      </c>
      <c r="B3628" s="17"/>
      <c r="C3628" s="19"/>
      <c r="D3628" s="18"/>
      <c r="E3628" s="18"/>
      <c r="F3628" s="19"/>
      <c r="G3628" s="31"/>
      <c r="H3628" s="31"/>
      <c r="I3628" s="19"/>
      <c r="J3628" s="19"/>
      <c r="K3628" s="18"/>
      <c r="L3628" s="19"/>
      <c r="M3628" s="19"/>
      <c r="N3628" s="20"/>
      <c r="O3628" s="19"/>
      <c r="P3628" s="19"/>
      <c r="Q3628" s="19"/>
      <c r="R3628" s="19"/>
      <c r="S3628" s="19"/>
      <c r="T3628" s="19"/>
      <c r="U3628" s="19"/>
      <c r="V3628" s="19"/>
      <c r="W3628" s="19"/>
      <c r="X3628" s="19"/>
      <c r="Y3628" s="19"/>
      <c r="Z3628" s="19"/>
      <c r="AA3628" s="19"/>
      <c r="AB3628" s="19"/>
      <c r="AC3628" s="19"/>
      <c r="AD3628" s="19"/>
      <c r="AE3628" s="19"/>
      <c r="AF3628" s="19"/>
      <c r="AG3628" s="19"/>
      <c r="AH3628" s="19"/>
      <c r="AI3628" s="19"/>
      <c r="AJ3628" s="19"/>
      <c r="AK3628" s="19"/>
      <c r="AL3628" s="19"/>
      <c r="AM3628" s="19"/>
      <c r="AN3628" s="19"/>
      <c r="AO3628" s="19"/>
      <c r="AP3628" s="19"/>
      <c r="AQ3628" s="19"/>
      <c r="AR3628" s="19"/>
      <c r="AS3628" s="19"/>
    </row>
    <row r="3629" spans="1:45" x14ac:dyDescent="0.3">
      <c r="A3629" s="410" t="s">
        <v>5389</v>
      </c>
      <c r="B3629" s="17"/>
      <c r="C3629" s="19"/>
      <c r="D3629" s="18"/>
      <c r="E3629" s="18"/>
      <c r="F3629" s="19"/>
      <c r="G3629" s="31"/>
      <c r="H3629" s="31"/>
      <c r="I3629" s="19"/>
      <c r="J3629" s="19"/>
      <c r="K3629" s="18"/>
      <c r="L3629" s="19"/>
      <c r="M3629" s="19"/>
      <c r="N3629" s="20"/>
      <c r="O3629" s="19"/>
      <c r="P3629" s="19"/>
      <c r="Q3629" s="19"/>
      <c r="R3629" s="19"/>
      <c r="S3629" s="19"/>
      <c r="T3629" s="19"/>
      <c r="U3629" s="19"/>
      <c r="V3629" s="19"/>
      <c r="W3629" s="19"/>
      <c r="X3629" s="19"/>
      <c r="Y3629" s="19"/>
      <c r="Z3629" s="19"/>
      <c r="AA3629" s="19"/>
      <c r="AB3629" s="19"/>
      <c r="AC3629" s="19"/>
      <c r="AD3629" s="19"/>
      <c r="AE3629" s="19"/>
      <c r="AF3629" s="19"/>
      <c r="AG3629" s="19"/>
      <c r="AH3629" s="19"/>
      <c r="AI3629" s="19"/>
      <c r="AJ3629" s="19"/>
      <c r="AK3629" s="19"/>
      <c r="AL3629" s="19"/>
      <c r="AM3629" s="19"/>
      <c r="AN3629" s="19"/>
      <c r="AO3629" s="19"/>
      <c r="AP3629" s="19"/>
      <c r="AQ3629" s="19"/>
      <c r="AR3629" s="19"/>
      <c r="AS3629" s="19"/>
    </row>
    <row r="3630" spans="1:45" x14ac:dyDescent="0.3">
      <c r="A3630" s="410" t="s">
        <v>5390</v>
      </c>
      <c r="B3630" s="17"/>
      <c r="C3630" s="19"/>
      <c r="D3630" s="18"/>
      <c r="E3630" s="18"/>
      <c r="F3630" s="19"/>
      <c r="G3630" s="31"/>
      <c r="H3630" s="31"/>
      <c r="I3630" s="19"/>
      <c r="J3630" s="19"/>
      <c r="K3630" s="18"/>
      <c r="L3630" s="19"/>
      <c r="M3630" s="19"/>
      <c r="N3630" s="20"/>
      <c r="O3630" s="19"/>
      <c r="P3630" s="19"/>
      <c r="Q3630" s="19"/>
      <c r="R3630" s="19"/>
      <c r="S3630" s="19"/>
      <c r="T3630" s="19"/>
      <c r="U3630" s="19"/>
      <c r="V3630" s="19"/>
      <c r="W3630" s="19"/>
      <c r="X3630" s="19"/>
      <c r="Y3630" s="19"/>
      <c r="Z3630" s="19"/>
      <c r="AA3630" s="19"/>
      <c r="AB3630" s="19"/>
      <c r="AC3630" s="19"/>
      <c r="AD3630" s="19"/>
      <c r="AE3630" s="19"/>
      <c r="AF3630" s="19"/>
      <c r="AG3630" s="19"/>
      <c r="AH3630" s="19"/>
      <c r="AI3630" s="19"/>
      <c r="AJ3630" s="19"/>
      <c r="AK3630" s="19"/>
      <c r="AL3630" s="19"/>
      <c r="AM3630" s="19"/>
      <c r="AN3630" s="19"/>
      <c r="AO3630" s="19"/>
      <c r="AP3630" s="19"/>
      <c r="AQ3630" s="19"/>
      <c r="AR3630" s="19"/>
      <c r="AS3630" s="19"/>
    </row>
    <row r="3631" spans="1:45" x14ac:dyDescent="0.3">
      <c r="A3631" s="410" t="s">
        <v>5391</v>
      </c>
      <c r="B3631" s="17"/>
      <c r="C3631" s="19"/>
      <c r="D3631" s="18"/>
      <c r="E3631" s="18"/>
      <c r="F3631" s="19"/>
      <c r="G3631" s="31"/>
      <c r="H3631" s="31"/>
      <c r="I3631" s="19"/>
      <c r="J3631" s="19"/>
      <c r="K3631" s="18"/>
      <c r="L3631" s="19"/>
      <c r="M3631" s="19"/>
      <c r="N3631" s="20"/>
      <c r="O3631" s="19"/>
      <c r="P3631" s="19"/>
      <c r="Q3631" s="19"/>
      <c r="R3631" s="19"/>
      <c r="S3631" s="19"/>
      <c r="T3631" s="19"/>
      <c r="U3631" s="19"/>
      <c r="V3631" s="19"/>
      <c r="W3631" s="19"/>
      <c r="X3631" s="19"/>
      <c r="Y3631" s="19"/>
      <c r="Z3631" s="19"/>
      <c r="AA3631" s="19"/>
      <c r="AB3631" s="19"/>
      <c r="AC3631" s="19"/>
      <c r="AD3631" s="19"/>
      <c r="AE3631" s="19"/>
      <c r="AF3631" s="19"/>
      <c r="AG3631" s="19"/>
      <c r="AH3631" s="19"/>
      <c r="AI3631" s="19"/>
      <c r="AJ3631" s="19"/>
      <c r="AK3631" s="19"/>
      <c r="AL3631" s="19"/>
      <c r="AM3631" s="19"/>
      <c r="AN3631" s="19"/>
      <c r="AO3631" s="19"/>
      <c r="AP3631" s="19"/>
      <c r="AQ3631" s="19"/>
      <c r="AR3631" s="19"/>
      <c r="AS3631" s="19"/>
    </row>
    <row r="3632" spans="1:45" x14ac:dyDescent="0.3">
      <c r="A3632" s="410" t="s">
        <v>5392</v>
      </c>
      <c r="B3632" s="17"/>
      <c r="C3632" s="19"/>
      <c r="D3632" s="18"/>
      <c r="E3632" s="18"/>
      <c r="F3632" s="19"/>
      <c r="G3632" s="31"/>
      <c r="H3632" s="31"/>
      <c r="I3632" s="19"/>
      <c r="J3632" s="19"/>
      <c r="K3632" s="18"/>
      <c r="L3632" s="19"/>
      <c r="M3632" s="19"/>
      <c r="N3632" s="20"/>
      <c r="O3632" s="19"/>
      <c r="P3632" s="19"/>
      <c r="Q3632" s="19"/>
      <c r="R3632" s="19"/>
      <c r="S3632" s="19"/>
      <c r="T3632" s="19"/>
      <c r="U3632" s="19"/>
      <c r="V3632" s="19"/>
      <c r="W3632" s="19"/>
      <c r="X3632" s="19"/>
      <c r="Y3632" s="19"/>
      <c r="Z3632" s="19"/>
      <c r="AA3632" s="19"/>
      <c r="AB3632" s="19"/>
      <c r="AC3632" s="19"/>
      <c r="AD3632" s="19"/>
      <c r="AE3632" s="19"/>
      <c r="AF3632" s="19"/>
      <c r="AG3632" s="19"/>
      <c r="AH3632" s="19"/>
      <c r="AI3632" s="19"/>
      <c r="AJ3632" s="19"/>
      <c r="AK3632" s="19"/>
      <c r="AL3632" s="19"/>
      <c r="AM3632" s="19"/>
      <c r="AN3632" s="19"/>
      <c r="AO3632" s="19"/>
      <c r="AP3632" s="19"/>
      <c r="AQ3632" s="19"/>
      <c r="AR3632" s="19"/>
      <c r="AS3632" s="19"/>
    </row>
    <row r="3633" spans="1:45" x14ac:dyDescent="0.3">
      <c r="A3633" s="410" t="s">
        <v>5393</v>
      </c>
      <c r="B3633" s="17"/>
      <c r="C3633" s="19"/>
      <c r="D3633" s="18"/>
      <c r="E3633" s="18"/>
      <c r="F3633" s="19"/>
      <c r="G3633" s="31"/>
      <c r="H3633" s="31"/>
      <c r="I3633" s="19"/>
      <c r="J3633" s="19"/>
      <c r="K3633" s="18"/>
      <c r="L3633" s="19"/>
      <c r="M3633" s="19"/>
      <c r="N3633" s="20"/>
      <c r="O3633" s="19"/>
      <c r="P3633" s="19"/>
      <c r="Q3633" s="19"/>
      <c r="R3633" s="19"/>
      <c r="S3633" s="19"/>
      <c r="T3633" s="19"/>
      <c r="U3633" s="19"/>
      <c r="V3633" s="19"/>
      <c r="W3633" s="19"/>
      <c r="X3633" s="19"/>
      <c r="Y3633" s="19"/>
      <c r="Z3633" s="19"/>
      <c r="AA3633" s="19"/>
      <c r="AB3633" s="19"/>
      <c r="AC3633" s="19"/>
      <c r="AD3633" s="19"/>
      <c r="AE3633" s="19"/>
      <c r="AF3633" s="19"/>
      <c r="AG3633" s="19"/>
      <c r="AH3633" s="19"/>
      <c r="AI3633" s="19"/>
      <c r="AJ3633" s="19"/>
      <c r="AK3633" s="19"/>
      <c r="AL3633" s="19"/>
      <c r="AM3633" s="19"/>
      <c r="AN3633" s="19"/>
      <c r="AO3633" s="19"/>
      <c r="AP3633" s="19"/>
      <c r="AQ3633" s="19"/>
      <c r="AR3633" s="19"/>
      <c r="AS3633" s="19"/>
    </row>
    <row r="3634" spans="1:45" x14ac:dyDescent="0.3">
      <c r="A3634" s="410" t="s">
        <v>5394</v>
      </c>
      <c r="B3634" s="17"/>
      <c r="C3634" s="19"/>
      <c r="D3634" s="18"/>
      <c r="E3634" s="18"/>
      <c r="F3634" s="19"/>
      <c r="G3634" s="31"/>
      <c r="H3634" s="31"/>
      <c r="I3634" s="19"/>
      <c r="J3634" s="19"/>
      <c r="K3634" s="18"/>
      <c r="L3634" s="19"/>
      <c r="M3634" s="19"/>
      <c r="N3634" s="20"/>
      <c r="O3634" s="19"/>
      <c r="P3634" s="19"/>
      <c r="Q3634" s="19"/>
      <c r="R3634" s="19"/>
      <c r="S3634" s="19"/>
      <c r="T3634" s="19"/>
      <c r="U3634" s="19"/>
      <c r="V3634" s="19"/>
      <c r="W3634" s="19"/>
      <c r="X3634" s="19"/>
      <c r="Y3634" s="19"/>
      <c r="Z3634" s="19"/>
      <c r="AA3634" s="19"/>
      <c r="AB3634" s="19"/>
      <c r="AC3634" s="19"/>
      <c r="AD3634" s="19"/>
      <c r="AE3634" s="19"/>
      <c r="AF3634" s="19"/>
      <c r="AG3634" s="19"/>
      <c r="AH3634" s="19"/>
      <c r="AI3634" s="19"/>
      <c r="AJ3634" s="19"/>
      <c r="AK3634" s="19"/>
      <c r="AL3634" s="19"/>
      <c r="AM3634" s="19"/>
      <c r="AN3634" s="19"/>
      <c r="AO3634" s="19"/>
      <c r="AP3634" s="19"/>
      <c r="AQ3634" s="19"/>
      <c r="AR3634" s="19"/>
      <c r="AS3634" s="19"/>
    </row>
    <row r="3635" spans="1:45" x14ac:dyDescent="0.3">
      <c r="A3635" s="410" t="s">
        <v>5395</v>
      </c>
      <c r="B3635" s="17"/>
      <c r="C3635" s="19"/>
      <c r="D3635" s="18"/>
      <c r="E3635" s="18"/>
      <c r="F3635" s="19"/>
      <c r="G3635" s="31"/>
      <c r="H3635" s="31"/>
      <c r="I3635" s="19"/>
      <c r="J3635" s="19"/>
      <c r="K3635" s="18"/>
      <c r="L3635" s="19"/>
      <c r="M3635" s="19"/>
      <c r="N3635" s="20"/>
      <c r="O3635" s="19"/>
      <c r="P3635" s="19"/>
      <c r="Q3635" s="19"/>
      <c r="R3635" s="19"/>
      <c r="S3635" s="19"/>
      <c r="T3635" s="19"/>
      <c r="U3635" s="19"/>
      <c r="V3635" s="19"/>
      <c r="W3635" s="19"/>
      <c r="X3635" s="19"/>
      <c r="Y3635" s="19"/>
      <c r="Z3635" s="19"/>
      <c r="AA3635" s="19"/>
      <c r="AB3635" s="19"/>
      <c r="AC3635" s="19"/>
      <c r="AD3635" s="19"/>
      <c r="AE3635" s="19"/>
      <c r="AF3635" s="19"/>
      <c r="AG3635" s="19"/>
      <c r="AH3635" s="19"/>
      <c r="AI3635" s="19"/>
      <c r="AJ3635" s="19"/>
      <c r="AK3635" s="19"/>
      <c r="AL3635" s="19"/>
      <c r="AM3635" s="19"/>
      <c r="AN3635" s="19"/>
      <c r="AO3635" s="19"/>
      <c r="AP3635" s="19"/>
      <c r="AQ3635" s="19"/>
      <c r="AR3635" s="19"/>
      <c r="AS3635" s="19"/>
    </row>
    <row r="3636" spans="1:45" x14ac:dyDescent="0.3">
      <c r="A3636" s="410" t="s">
        <v>5396</v>
      </c>
      <c r="B3636" s="17"/>
      <c r="C3636" s="19"/>
      <c r="D3636" s="18"/>
      <c r="E3636" s="18"/>
      <c r="F3636" s="19"/>
      <c r="G3636" s="31"/>
      <c r="H3636" s="31"/>
      <c r="I3636" s="19"/>
      <c r="J3636" s="19"/>
      <c r="K3636" s="18"/>
      <c r="L3636" s="19"/>
      <c r="M3636" s="19"/>
      <c r="N3636" s="20"/>
      <c r="O3636" s="19"/>
      <c r="P3636" s="19"/>
      <c r="Q3636" s="19"/>
      <c r="R3636" s="19"/>
      <c r="S3636" s="19"/>
      <c r="T3636" s="19"/>
      <c r="U3636" s="19"/>
      <c r="V3636" s="19"/>
      <c r="W3636" s="19"/>
      <c r="X3636" s="19"/>
      <c r="Y3636" s="19"/>
      <c r="Z3636" s="19"/>
      <c r="AA3636" s="19"/>
      <c r="AB3636" s="19"/>
      <c r="AC3636" s="19"/>
      <c r="AD3636" s="19"/>
      <c r="AE3636" s="19"/>
      <c r="AF3636" s="19"/>
      <c r="AG3636" s="19"/>
      <c r="AH3636" s="19"/>
      <c r="AI3636" s="19"/>
      <c r="AJ3636" s="19"/>
      <c r="AK3636" s="19"/>
      <c r="AL3636" s="19"/>
      <c r="AM3636" s="19"/>
      <c r="AN3636" s="19"/>
      <c r="AO3636" s="19"/>
      <c r="AP3636" s="19"/>
      <c r="AQ3636" s="19"/>
      <c r="AR3636" s="19"/>
      <c r="AS3636" s="19"/>
    </row>
    <row r="3637" spans="1:45" x14ac:dyDescent="0.3">
      <c r="A3637" s="410" t="s">
        <v>5397</v>
      </c>
      <c r="B3637" s="17"/>
      <c r="C3637" s="19"/>
      <c r="D3637" s="18"/>
      <c r="E3637" s="18"/>
      <c r="F3637" s="19"/>
      <c r="G3637" s="31"/>
      <c r="H3637" s="31"/>
      <c r="I3637" s="19"/>
      <c r="J3637" s="19"/>
      <c r="K3637" s="18"/>
      <c r="L3637" s="19"/>
      <c r="M3637" s="19"/>
      <c r="N3637" s="20"/>
      <c r="O3637" s="19"/>
      <c r="P3637" s="19"/>
      <c r="Q3637" s="19"/>
      <c r="R3637" s="19"/>
      <c r="S3637" s="19"/>
      <c r="T3637" s="19"/>
      <c r="U3637" s="19"/>
      <c r="V3637" s="19"/>
      <c r="W3637" s="19"/>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19"/>
    </row>
    <row r="3638" spans="1:45" x14ac:dyDescent="0.3">
      <c r="A3638" s="410" t="s">
        <v>5398</v>
      </c>
      <c r="B3638" s="17"/>
      <c r="C3638" s="19"/>
      <c r="D3638" s="18"/>
      <c r="E3638" s="18"/>
      <c r="F3638" s="19"/>
      <c r="G3638" s="31"/>
      <c r="H3638" s="31"/>
      <c r="I3638" s="19"/>
      <c r="J3638" s="19"/>
      <c r="K3638" s="18"/>
      <c r="L3638" s="19"/>
      <c r="M3638" s="19"/>
      <c r="N3638" s="20"/>
      <c r="O3638" s="19"/>
      <c r="P3638" s="19"/>
      <c r="Q3638" s="19"/>
      <c r="R3638" s="19"/>
      <c r="S3638" s="19"/>
      <c r="T3638" s="19"/>
      <c r="U3638" s="19"/>
      <c r="V3638" s="19"/>
      <c r="W3638" s="19"/>
      <c r="X3638" s="19"/>
      <c r="Y3638" s="19"/>
      <c r="Z3638" s="19"/>
      <c r="AA3638" s="19"/>
      <c r="AB3638" s="19"/>
      <c r="AC3638" s="19"/>
      <c r="AD3638" s="19"/>
      <c r="AE3638" s="19"/>
      <c r="AF3638" s="19"/>
      <c r="AG3638" s="19"/>
      <c r="AH3638" s="19"/>
      <c r="AI3638" s="19"/>
      <c r="AJ3638" s="19"/>
      <c r="AK3638" s="19"/>
      <c r="AL3638" s="19"/>
      <c r="AM3638" s="19"/>
      <c r="AN3638" s="19"/>
      <c r="AO3638" s="19"/>
      <c r="AP3638" s="19"/>
      <c r="AQ3638" s="19"/>
      <c r="AR3638" s="19"/>
      <c r="AS3638" s="19"/>
    </row>
    <row r="3639" spans="1:45" x14ac:dyDescent="0.3">
      <c r="A3639" s="410" t="s">
        <v>5399</v>
      </c>
      <c r="B3639" s="17"/>
      <c r="C3639" s="19"/>
      <c r="D3639" s="18"/>
      <c r="E3639" s="18"/>
      <c r="F3639" s="19"/>
      <c r="G3639" s="31"/>
      <c r="H3639" s="31"/>
      <c r="I3639" s="19"/>
      <c r="J3639" s="19"/>
      <c r="K3639" s="18"/>
      <c r="L3639" s="19"/>
      <c r="M3639" s="19"/>
      <c r="N3639" s="20"/>
      <c r="O3639" s="19"/>
      <c r="P3639" s="19"/>
      <c r="Q3639" s="19"/>
      <c r="R3639" s="19"/>
      <c r="S3639" s="19"/>
      <c r="T3639" s="19"/>
      <c r="U3639" s="19"/>
      <c r="V3639" s="19"/>
      <c r="W3639" s="19"/>
      <c r="X3639" s="19"/>
      <c r="Y3639" s="19"/>
      <c r="Z3639" s="19"/>
      <c r="AA3639" s="19"/>
      <c r="AB3639" s="19"/>
      <c r="AC3639" s="19"/>
      <c r="AD3639" s="19"/>
      <c r="AE3639" s="19"/>
      <c r="AF3639" s="19"/>
      <c r="AG3639" s="19"/>
      <c r="AH3639" s="19"/>
      <c r="AI3639" s="19"/>
      <c r="AJ3639" s="19"/>
      <c r="AK3639" s="19"/>
      <c r="AL3639" s="19"/>
      <c r="AM3639" s="19"/>
      <c r="AN3639" s="19"/>
      <c r="AO3639" s="19"/>
      <c r="AP3639" s="19"/>
      <c r="AQ3639" s="19"/>
      <c r="AR3639" s="19"/>
      <c r="AS3639" s="19"/>
    </row>
    <row r="3640" spans="1:45" x14ac:dyDescent="0.3">
      <c r="A3640" s="410" t="s">
        <v>5400</v>
      </c>
      <c r="B3640" s="17"/>
      <c r="C3640" s="19"/>
      <c r="D3640" s="18"/>
      <c r="E3640" s="18"/>
      <c r="F3640" s="19"/>
      <c r="G3640" s="31"/>
      <c r="H3640" s="31"/>
      <c r="I3640" s="19"/>
      <c r="J3640" s="19"/>
      <c r="K3640" s="18"/>
      <c r="L3640" s="19"/>
      <c r="M3640" s="19"/>
      <c r="N3640" s="20"/>
      <c r="O3640" s="19"/>
      <c r="P3640" s="19"/>
      <c r="Q3640" s="19"/>
      <c r="R3640" s="19"/>
      <c r="S3640" s="19"/>
      <c r="T3640" s="19"/>
      <c r="U3640" s="19"/>
      <c r="V3640" s="19"/>
      <c r="W3640" s="19"/>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19"/>
    </row>
    <row r="3641" spans="1:45" x14ac:dyDescent="0.3">
      <c r="A3641" s="410" t="s">
        <v>5401</v>
      </c>
      <c r="B3641" s="17"/>
      <c r="C3641" s="19"/>
      <c r="D3641" s="18"/>
      <c r="E3641" s="18"/>
      <c r="F3641" s="19"/>
      <c r="G3641" s="31"/>
      <c r="H3641" s="31"/>
      <c r="I3641" s="19"/>
      <c r="J3641" s="19"/>
      <c r="K3641" s="18"/>
      <c r="L3641" s="19"/>
      <c r="M3641" s="19"/>
      <c r="N3641" s="20"/>
      <c r="O3641" s="19"/>
      <c r="P3641" s="19"/>
      <c r="Q3641" s="19"/>
      <c r="R3641" s="19"/>
      <c r="S3641" s="19"/>
      <c r="T3641" s="19"/>
      <c r="U3641" s="19"/>
      <c r="V3641" s="19"/>
      <c r="W3641" s="19"/>
      <c r="X3641" s="19"/>
      <c r="Y3641" s="19"/>
      <c r="Z3641" s="19"/>
      <c r="AA3641" s="19"/>
      <c r="AB3641" s="19"/>
      <c r="AC3641" s="19"/>
      <c r="AD3641" s="19"/>
      <c r="AE3641" s="19"/>
      <c r="AF3641" s="19"/>
      <c r="AG3641" s="19"/>
      <c r="AH3641" s="19"/>
      <c r="AI3641" s="19"/>
      <c r="AJ3641" s="19"/>
      <c r="AK3641" s="19"/>
      <c r="AL3641" s="19"/>
      <c r="AM3641" s="19"/>
      <c r="AN3641" s="19"/>
      <c r="AO3641" s="19"/>
      <c r="AP3641" s="19"/>
      <c r="AQ3641" s="19"/>
      <c r="AR3641" s="19"/>
      <c r="AS3641" s="19"/>
    </row>
    <row r="3642" spans="1:45" x14ac:dyDescent="0.3">
      <c r="A3642" s="410" t="s">
        <v>5402</v>
      </c>
      <c r="B3642" s="17"/>
      <c r="C3642" s="19"/>
      <c r="D3642" s="18"/>
      <c r="E3642" s="18"/>
      <c r="F3642" s="19"/>
      <c r="G3642" s="31"/>
      <c r="H3642" s="31"/>
      <c r="I3642" s="19"/>
      <c r="J3642" s="19"/>
      <c r="K3642" s="18"/>
      <c r="L3642" s="19"/>
      <c r="M3642" s="19"/>
      <c r="N3642" s="20"/>
      <c r="O3642" s="19"/>
      <c r="P3642" s="19"/>
      <c r="Q3642" s="19"/>
      <c r="R3642" s="19"/>
      <c r="S3642" s="19"/>
      <c r="T3642" s="19"/>
      <c r="U3642" s="19"/>
      <c r="V3642" s="19"/>
      <c r="W3642" s="19"/>
      <c r="X3642" s="19"/>
      <c r="Y3642" s="19"/>
      <c r="Z3642" s="19"/>
      <c r="AA3642" s="19"/>
      <c r="AB3642" s="19"/>
      <c r="AC3642" s="19"/>
      <c r="AD3642" s="19"/>
      <c r="AE3642" s="19"/>
      <c r="AF3642" s="19"/>
      <c r="AG3642" s="19"/>
      <c r="AH3642" s="19"/>
      <c r="AI3642" s="19"/>
      <c r="AJ3642" s="19"/>
      <c r="AK3642" s="19"/>
      <c r="AL3642" s="19"/>
      <c r="AM3642" s="19"/>
      <c r="AN3642" s="19"/>
      <c r="AO3642" s="19"/>
      <c r="AP3642" s="19"/>
      <c r="AQ3642" s="19"/>
      <c r="AR3642" s="19"/>
      <c r="AS3642" s="19"/>
    </row>
    <row r="3643" spans="1:45" x14ac:dyDescent="0.3">
      <c r="A3643" s="410" t="s">
        <v>5403</v>
      </c>
      <c r="B3643" s="17"/>
      <c r="C3643" s="19"/>
      <c r="D3643" s="18"/>
      <c r="E3643" s="18"/>
      <c r="F3643" s="19"/>
      <c r="G3643" s="31"/>
      <c r="H3643" s="31"/>
      <c r="I3643" s="19"/>
      <c r="J3643" s="19"/>
      <c r="K3643" s="18"/>
      <c r="L3643" s="19"/>
      <c r="M3643" s="19"/>
      <c r="N3643" s="20"/>
      <c r="O3643" s="19"/>
      <c r="P3643" s="19"/>
      <c r="Q3643" s="19"/>
      <c r="R3643" s="19"/>
      <c r="S3643" s="19"/>
      <c r="T3643" s="19"/>
      <c r="U3643" s="19"/>
      <c r="V3643" s="19"/>
      <c r="W3643" s="19"/>
      <c r="X3643" s="19"/>
      <c r="Y3643" s="19"/>
      <c r="Z3643" s="19"/>
      <c r="AA3643" s="19"/>
      <c r="AB3643" s="19"/>
      <c r="AC3643" s="19"/>
      <c r="AD3643" s="19"/>
      <c r="AE3643" s="19"/>
      <c r="AF3643" s="19"/>
      <c r="AG3643" s="19"/>
      <c r="AH3643" s="19"/>
      <c r="AI3643" s="19"/>
      <c r="AJ3643" s="19"/>
      <c r="AK3643" s="19"/>
      <c r="AL3643" s="19"/>
      <c r="AM3643" s="19"/>
      <c r="AN3643" s="19"/>
      <c r="AO3643" s="19"/>
      <c r="AP3643" s="19"/>
      <c r="AQ3643" s="19"/>
      <c r="AR3643" s="19"/>
      <c r="AS3643" s="19"/>
    </row>
    <row r="3644" spans="1:45" x14ac:dyDescent="0.3">
      <c r="A3644" s="410" t="s">
        <v>5404</v>
      </c>
      <c r="B3644" s="17"/>
      <c r="C3644" s="19"/>
      <c r="D3644" s="18"/>
      <c r="E3644" s="18"/>
      <c r="F3644" s="19"/>
      <c r="G3644" s="31"/>
      <c r="H3644" s="31"/>
      <c r="I3644" s="19"/>
      <c r="J3644" s="19"/>
      <c r="K3644" s="18"/>
      <c r="L3644" s="19"/>
      <c r="M3644" s="19"/>
      <c r="N3644" s="20"/>
      <c r="O3644" s="19"/>
      <c r="P3644" s="19"/>
      <c r="Q3644" s="19"/>
      <c r="R3644" s="19"/>
      <c r="S3644" s="19"/>
      <c r="T3644" s="19"/>
      <c r="U3644" s="19"/>
      <c r="V3644" s="19"/>
      <c r="W3644" s="19"/>
      <c r="X3644" s="19"/>
      <c r="Y3644" s="19"/>
      <c r="Z3644" s="19"/>
      <c r="AA3644" s="19"/>
      <c r="AB3644" s="19"/>
      <c r="AC3644" s="19"/>
      <c r="AD3644" s="19"/>
      <c r="AE3644" s="19"/>
      <c r="AF3644" s="19"/>
      <c r="AG3644" s="19"/>
      <c r="AH3644" s="19"/>
      <c r="AI3644" s="19"/>
      <c r="AJ3644" s="19"/>
      <c r="AK3644" s="19"/>
      <c r="AL3644" s="19"/>
      <c r="AM3644" s="19"/>
      <c r="AN3644" s="19"/>
      <c r="AO3644" s="19"/>
      <c r="AP3644" s="19"/>
      <c r="AQ3644" s="19"/>
      <c r="AR3644" s="19"/>
      <c r="AS3644" s="19"/>
    </row>
    <row r="3645" spans="1:45" x14ac:dyDescent="0.3">
      <c r="A3645" s="410" t="s">
        <v>5405</v>
      </c>
      <c r="B3645" s="17"/>
      <c r="C3645" s="19"/>
      <c r="D3645" s="18"/>
      <c r="E3645" s="18"/>
      <c r="F3645" s="19"/>
      <c r="G3645" s="31"/>
      <c r="H3645" s="31"/>
      <c r="I3645" s="19"/>
      <c r="J3645" s="19"/>
      <c r="K3645" s="18"/>
      <c r="L3645" s="19"/>
      <c r="M3645" s="19"/>
      <c r="N3645" s="20"/>
      <c r="O3645" s="19"/>
      <c r="P3645" s="19"/>
      <c r="Q3645" s="19"/>
      <c r="R3645" s="19"/>
      <c r="S3645" s="19"/>
      <c r="T3645" s="19"/>
      <c r="U3645" s="19"/>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19"/>
    </row>
    <row r="3646" spans="1:45" x14ac:dyDescent="0.3">
      <c r="A3646" s="410" t="s">
        <v>5406</v>
      </c>
      <c r="B3646" s="17"/>
      <c r="C3646" s="19"/>
      <c r="D3646" s="18"/>
      <c r="E3646" s="18"/>
      <c r="F3646" s="19"/>
      <c r="G3646" s="31"/>
      <c r="H3646" s="31"/>
      <c r="I3646" s="19"/>
      <c r="J3646" s="19"/>
      <c r="K3646" s="18"/>
      <c r="L3646" s="19"/>
      <c r="M3646" s="19"/>
      <c r="N3646" s="20"/>
      <c r="O3646" s="19"/>
      <c r="P3646" s="19"/>
      <c r="Q3646" s="19"/>
      <c r="R3646" s="19"/>
      <c r="S3646" s="19"/>
      <c r="T3646" s="19"/>
      <c r="U3646" s="19"/>
      <c r="V3646" s="19"/>
      <c r="W3646" s="19"/>
      <c r="X3646" s="19"/>
      <c r="Y3646" s="19"/>
      <c r="Z3646" s="19"/>
      <c r="AA3646" s="19"/>
      <c r="AB3646" s="19"/>
      <c r="AC3646" s="19"/>
      <c r="AD3646" s="19"/>
      <c r="AE3646" s="19"/>
      <c r="AF3646" s="19"/>
      <c r="AG3646" s="19"/>
      <c r="AH3646" s="19"/>
      <c r="AI3646" s="19"/>
      <c r="AJ3646" s="19"/>
      <c r="AK3646" s="19"/>
      <c r="AL3646" s="19"/>
      <c r="AM3646" s="19"/>
      <c r="AN3646" s="19"/>
      <c r="AO3646" s="19"/>
      <c r="AP3646" s="19"/>
      <c r="AQ3646" s="19"/>
      <c r="AR3646" s="19"/>
      <c r="AS3646" s="19"/>
    </row>
    <row r="3647" spans="1:45" x14ac:dyDescent="0.3">
      <c r="A3647" s="410" t="s">
        <v>5407</v>
      </c>
      <c r="B3647" s="17"/>
      <c r="C3647" s="19"/>
      <c r="D3647" s="18"/>
      <c r="E3647" s="18"/>
      <c r="F3647" s="19"/>
      <c r="G3647" s="31"/>
      <c r="H3647" s="31"/>
      <c r="I3647" s="19"/>
      <c r="J3647" s="19"/>
      <c r="K3647" s="18"/>
      <c r="L3647" s="19"/>
      <c r="M3647" s="19"/>
      <c r="N3647" s="20"/>
      <c r="O3647" s="19"/>
      <c r="P3647" s="19"/>
      <c r="Q3647" s="19"/>
      <c r="R3647" s="19"/>
      <c r="S3647" s="19"/>
      <c r="T3647" s="19"/>
      <c r="U3647" s="19"/>
      <c r="V3647" s="19"/>
      <c r="W3647" s="19"/>
      <c r="X3647" s="19"/>
      <c r="Y3647" s="19"/>
      <c r="Z3647" s="19"/>
      <c r="AA3647" s="19"/>
      <c r="AB3647" s="19"/>
      <c r="AC3647" s="19"/>
      <c r="AD3647" s="19"/>
      <c r="AE3647" s="19"/>
      <c r="AF3647" s="19"/>
      <c r="AG3647" s="19"/>
      <c r="AH3647" s="19"/>
      <c r="AI3647" s="19"/>
      <c r="AJ3647" s="19"/>
      <c r="AK3647" s="19"/>
      <c r="AL3647" s="19"/>
      <c r="AM3647" s="19"/>
      <c r="AN3647" s="19"/>
      <c r="AO3647" s="19"/>
      <c r="AP3647" s="19"/>
      <c r="AQ3647" s="19"/>
      <c r="AR3647" s="19"/>
      <c r="AS3647" s="19"/>
    </row>
    <row r="3648" spans="1:45" x14ac:dyDescent="0.3">
      <c r="A3648" s="410" t="s">
        <v>5408</v>
      </c>
      <c r="B3648" s="17"/>
      <c r="C3648" s="19"/>
      <c r="D3648" s="18"/>
      <c r="E3648" s="18"/>
      <c r="F3648" s="19"/>
      <c r="G3648" s="31"/>
      <c r="H3648" s="31"/>
      <c r="I3648" s="19"/>
      <c r="J3648" s="19"/>
      <c r="K3648" s="18"/>
      <c r="L3648" s="19"/>
      <c r="M3648" s="19"/>
      <c r="N3648" s="20"/>
      <c r="O3648" s="19"/>
      <c r="P3648" s="19"/>
      <c r="Q3648" s="19"/>
      <c r="R3648" s="19"/>
      <c r="S3648" s="19"/>
      <c r="T3648" s="19"/>
      <c r="U3648" s="19"/>
      <c r="V3648" s="19"/>
      <c r="W3648" s="19"/>
      <c r="X3648" s="19"/>
      <c r="Y3648" s="19"/>
      <c r="Z3648" s="19"/>
      <c r="AA3648" s="19"/>
      <c r="AB3648" s="19"/>
      <c r="AC3648" s="19"/>
      <c r="AD3648" s="19"/>
      <c r="AE3648" s="19"/>
      <c r="AF3648" s="19"/>
      <c r="AG3648" s="19"/>
      <c r="AH3648" s="19"/>
      <c r="AI3648" s="19"/>
      <c r="AJ3648" s="19"/>
      <c r="AK3648" s="19"/>
      <c r="AL3648" s="19"/>
      <c r="AM3648" s="19"/>
      <c r="AN3648" s="19"/>
      <c r="AO3648" s="19"/>
      <c r="AP3648" s="19"/>
      <c r="AQ3648" s="19"/>
      <c r="AR3648" s="19"/>
      <c r="AS3648" s="19"/>
    </row>
    <row r="3649" spans="1:45" x14ac:dyDescent="0.3">
      <c r="A3649" s="410" t="s">
        <v>5409</v>
      </c>
      <c r="B3649" s="17"/>
      <c r="C3649" s="19"/>
      <c r="D3649" s="18"/>
      <c r="E3649" s="18"/>
      <c r="F3649" s="19"/>
      <c r="G3649" s="31"/>
      <c r="H3649" s="31"/>
      <c r="I3649" s="19"/>
      <c r="J3649" s="19"/>
      <c r="K3649" s="18"/>
      <c r="L3649" s="19"/>
      <c r="M3649" s="19"/>
      <c r="N3649" s="20"/>
      <c r="O3649" s="19"/>
      <c r="P3649" s="19"/>
      <c r="Q3649" s="19"/>
      <c r="R3649" s="19"/>
      <c r="S3649" s="19"/>
      <c r="T3649" s="19"/>
      <c r="U3649" s="19"/>
      <c r="V3649" s="19"/>
      <c r="W3649" s="19"/>
      <c r="X3649" s="19"/>
      <c r="Y3649" s="19"/>
      <c r="Z3649" s="19"/>
      <c r="AA3649" s="19"/>
      <c r="AB3649" s="19"/>
      <c r="AC3649" s="19"/>
      <c r="AD3649" s="19"/>
      <c r="AE3649" s="19"/>
      <c r="AF3649" s="19"/>
      <c r="AG3649" s="19"/>
      <c r="AH3649" s="19"/>
      <c r="AI3649" s="19"/>
      <c r="AJ3649" s="19"/>
      <c r="AK3649" s="19"/>
      <c r="AL3649" s="19"/>
      <c r="AM3649" s="19"/>
      <c r="AN3649" s="19"/>
      <c r="AO3649" s="19"/>
      <c r="AP3649" s="19"/>
      <c r="AQ3649" s="19"/>
      <c r="AR3649" s="19"/>
      <c r="AS3649" s="19"/>
    </row>
    <row r="3650" spans="1:45" x14ac:dyDescent="0.3">
      <c r="A3650" s="410" t="s">
        <v>5410</v>
      </c>
      <c r="B3650" s="17"/>
      <c r="C3650" s="19"/>
      <c r="D3650" s="18"/>
      <c r="E3650" s="18"/>
      <c r="F3650" s="19"/>
      <c r="G3650" s="31"/>
      <c r="H3650" s="31"/>
      <c r="I3650" s="19"/>
      <c r="J3650" s="19"/>
      <c r="K3650" s="18"/>
      <c r="L3650" s="19"/>
      <c r="M3650" s="19"/>
      <c r="N3650" s="20"/>
      <c r="O3650" s="19"/>
      <c r="P3650" s="19"/>
      <c r="Q3650" s="19"/>
      <c r="R3650" s="19"/>
      <c r="S3650" s="19"/>
      <c r="T3650" s="19"/>
      <c r="U3650" s="19"/>
      <c r="V3650" s="19"/>
      <c r="W3650" s="19"/>
      <c r="X3650" s="19"/>
      <c r="Y3650" s="19"/>
      <c r="Z3650" s="19"/>
      <c r="AA3650" s="19"/>
      <c r="AB3650" s="19"/>
      <c r="AC3650" s="19"/>
      <c r="AD3650" s="19"/>
      <c r="AE3650" s="19"/>
      <c r="AF3650" s="19"/>
      <c r="AG3650" s="19"/>
      <c r="AH3650" s="19"/>
      <c r="AI3650" s="19"/>
      <c r="AJ3650" s="19"/>
      <c r="AK3650" s="19"/>
      <c r="AL3650" s="19"/>
      <c r="AM3650" s="19"/>
      <c r="AN3650" s="19"/>
      <c r="AO3650" s="19"/>
      <c r="AP3650" s="19"/>
      <c r="AQ3650" s="19"/>
      <c r="AR3650" s="19"/>
      <c r="AS3650" s="19"/>
    </row>
    <row r="3651" spans="1:45" x14ac:dyDescent="0.3">
      <c r="A3651" s="410" t="s">
        <v>5411</v>
      </c>
      <c r="B3651" s="17"/>
      <c r="C3651" s="19"/>
      <c r="D3651" s="18"/>
      <c r="E3651" s="18"/>
      <c r="F3651" s="19"/>
      <c r="G3651" s="31"/>
      <c r="H3651" s="31"/>
      <c r="I3651" s="19"/>
      <c r="J3651" s="19"/>
      <c r="K3651" s="18"/>
      <c r="L3651" s="19"/>
      <c r="M3651" s="19"/>
      <c r="N3651" s="20"/>
      <c r="O3651" s="19"/>
      <c r="P3651" s="19"/>
      <c r="Q3651" s="19"/>
      <c r="R3651" s="19"/>
      <c r="S3651" s="19"/>
      <c r="T3651" s="19"/>
      <c r="U3651" s="19"/>
      <c r="V3651" s="19"/>
      <c r="W3651" s="19"/>
      <c r="X3651" s="19"/>
      <c r="Y3651" s="19"/>
      <c r="Z3651" s="19"/>
      <c r="AA3651" s="19"/>
      <c r="AB3651" s="19"/>
      <c r="AC3651" s="19"/>
      <c r="AD3651" s="19"/>
      <c r="AE3651" s="19"/>
      <c r="AF3651" s="19"/>
      <c r="AG3651" s="19"/>
      <c r="AH3651" s="19"/>
      <c r="AI3651" s="19"/>
      <c r="AJ3651" s="19"/>
      <c r="AK3651" s="19"/>
      <c r="AL3651" s="19"/>
      <c r="AM3651" s="19"/>
      <c r="AN3651" s="19"/>
      <c r="AO3651" s="19"/>
      <c r="AP3651" s="19"/>
      <c r="AQ3651" s="19"/>
      <c r="AR3651" s="19"/>
      <c r="AS3651" s="19"/>
    </row>
    <row r="3652" spans="1:45" x14ac:dyDescent="0.3">
      <c r="A3652" s="410" t="s">
        <v>5412</v>
      </c>
      <c r="B3652" s="17"/>
      <c r="C3652" s="19"/>
      <c r="D3652" s="18"/>
      <c r="E3652" s="18"/>
      <c r="F3652" s="19"/>
      <c r="G3652" s="31"/>
      <c r="H3652" s="31"/>
      <c r="I3652" s="19"/>
      <c r="J3652" s="19"/>
      <c r="K3652" s="18"/>
      <c r="L3652" s="19"/>
      <c r="M3652" s="19"/>
      <c r="N3652" s="20"/>
      <c r="O3652" s="19"/>
      <c r="P3652" s="19"/>
      <c r="Q3652" s="19"/>
      <c r="R3652" s="19"/>
      <c r="S3652" s="19"/>
      <c r="T3652" s="19"/>
      <c r="U3652" s="19"/>
      <c r="V3652" s="19"/>
      <c r="W3652" s="19"/>
      <c r="X3652" s="19"/>
      <c r="Y3652" s="19"/>
      <c r="Z3652" s="19"/>
      <c r="AA3652" s="19"/>
      <c r="AB3652" s="19"/>
      <c r="AC3652" s="19"/>
      <c r="AD3652" s="19"/>
      <c r="AE3652" s="19"/>
      <c r="AF3652" s="19"/>
      <c r="AG3652" s="19"/>
      <c r="AH3652" s="19"/>
      <c r="AI3652" s="19"/>
      <c r="AJ3652" s="19"/>
      <c r="AK3652" s="19"/>
      <c r="AL3652" s="19"/>
      <c r="AM3652" s="19"/>
      <c r="AN3652" s="19"/>
      <c r="AO3652" s="19"/>
      <c r="AP3652" s="19"/>
      <c r="AQ3652" s="19"/>
      <c r="AR3652" s="19"/>
      <c r="AS3652" s="19"/>
    </row>
    <row r="3653" spans="1:45" x14ac:dyDescent="0.3">
      <c r="A3653" s="410" t="s">
        <v>5413</v>
      </c>
      <c r="B3653" s="17"/>
      <c r="C3653" s="19"/>
      <c r="D3653" s="18"/>
      <c r="E3653" s="18"/>
      <c r="F3653" s="19"/>
      <c r="G3653" s="31"/>
      <c r="H3653" s="31"/>
      <c r="I3653" s="19"/>
      <c r="J3653" s="19"/>
      <c r="K3653" s="18"/>
      <c r="L3653" s="19"/>
      <c r="M3653" s="19"/>
      <c r="N3653" s="20"/>
      <c r="O3653" s="19"/>
      <c r="P3653" s="19"/>
      <c r="Q3653" s="19"/>
      <c r="R3653" s="19"/>
      <c r="S3653" s="19"/>
      <c r="T3653" s="19"/>
      <c r="U3653" s="19"/>
      <c r="V3653" s="19"/>
      <c r="W3653" s="19"/>
      <c r="X3653" s="19"/>
      <c r="Y3653" s="19"/>
      <c r="Z3653" s="19"/>
      <c r="AA3653" s="19"/>
      <c r="AB3653" s="19"/>
      <c r="AC3653" s="19"/>
      <c r="AD3653" s="19"/>
      <c r="AE3653" s="19"/>
      <c r="AF3653" s="19"/>
      <c r="AG3653" s="19"/>
      <c r="AH3653" s="19"/>
      <c r="AI3653" s="19"/>
      <c r="AJ3653" s="19"/>
      <c r="AK3653" s="19"/>
      <c r="AL3653" s="19"/>
      <c r="AM3653" s="19"/>
      <c r="AN3653" s="19"/>
      <c r="AO3653" s="19"/>
      <c r="AP3653" s="19"/>
      <c r="AQ3653" s="19"/>
      <c r="AR3653" s="19"/>
      <c r="AS3653" s="19"/>
    </row>
    <row r="3654" spans="1:45" x14ac:dyDescent="0.3">
      <c r="A3654" s="410" t="s">
        <v>5414</v>
      </c>
      <c r="B3654" s="17"/>
      <c r="C3654" s="19"/>
      <c r="D3654" s="18"/>
      <c r="E3654" s="18"/>
      <c r="F3654" s="19"/>
      <c r="G3654" s="31"/>
      <c r="H3654" s="31"/>
      <c r="I3654" s="19"/>
      <c r="J3654" s="19"/>
      <c r="K3654" s="18"/>
      <c r="L3654" s="19"/>
      <c r="M3654" s="19"/>
      <c r="N3654" s="20"/>
      <c r="O3654" s="19"/>
      <c r="P3654" s="19"/>
      <c r="Q3654" s="19"/>
      <c r="R3654" s="19"/>
      <c r="S3654" s="19"/>
      <c r="T3654" s="19"/>
      <c r="U3654" s="19"/>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row>
    <row r="3655" spans="1:45" x14ac:dyDescent="0.3">
      <c r="A3655" s="410" t="s">
        <v>5415</v>
      </c>
      <c r="B3655" s="17"/>
      <c r="C3655" s="19"/>
      <c r="D3655" s="18"/>
      <c r="E3655" s="18"/>
      <c r="F3655" s="19"/>
      <c r="G3655" s="31"/>
      <c r="H3655" s="31"/>
      <c r="I3655" s="19"/>
      <c r="J3655" s="19"/>
      <c r="K3655" s="18"/>
      <c r="L3655" s="19"/>
      <c r="M3655" s="19"/>
      <c r="N3655" s="20"/>
      <c r="O3655" s="19"/>
      <c r="P3655" s="19"/>
      <c r="Q3655" s="19"/>
      <c r="R3655" s="19"/>
      <c r="S3655" s="19"/>
      <c r="T3655" s="19"/>
      <c r="U3655" s="19"/>
      <c r="V3655" s="19"/>
      <c r="W3655" s="19"/>
      <c r="X3655" s="19"/>
      <c r="Y3655" s="19"/>
      <c r="Z3655" s="19"/>
      <c r="AA3655" s="19"/>
      <c r="AB3655" s="19"/>
      <c r="AC3655" s="19"/>
      <c r="AD3655" s="19"/>
      <c r="AE3655" s="19"/>
      <c r="AF3655" s="19"/>
      <c r="AG3655" s="19"/>
      <c r="AH3655" s="19"/>
      <c r="AI3655" s="19"/>
      <c r="AJ3655" s="19"/>
      <c r="AK3655" s="19"/>
      <c r="AL3655" s="19"/>
      <c r="AM3655" s="19"/>
      <c r="AN3655" s="19"/>
      <c r="AO3655" s="19"/>
      <c r="AP3655" s="19"/>
      <c r="AQ3655" s="19"/>
      <c r="AR3655" s="19"/>
      <c r="AS3655" s="19"/>
    </row>
    <row r="3656" spans="1:45" x14ac:dyDescent="0.3">
      <c r="A3656" s="410"/>
      <c r="B3656" s="17"/>
      <c r="C3656" s="19"/>
      <c r="D3656" s="18"/>
      <c r="E3656" s="18"/>
      <c r="F3656" s="19"/>
      <c r="G3656" s="31"/>
      <c r="H3656" s="31"/>
      <c r="I3656" s="19"/>
      <c r="J3656" s="19"/>
      <c r="K3656" s="18"/>
      <c r="L3656" s="19"/>
      <c r="M3656" s="19"/>
      <c r="N3656" s="20"/>
      <c r="O3656" s="19"/>
      <c r="P3656" s="19"/>
      <c r="Q3656" s="19"/>
      <c r="R3656" s="19"/>
      <c r="S3656" s="19"/>
      <c r="T3656" s="19"/>
      <c r="U3656" s="19"/>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19"/>
    </row>
    <row r="3657" spans="1:45" x14ac:dyDescent="0.3">
      <c r="A3657" s="410" t="s">
        <v>5416</v>
      </c>
      <c r="B3657" s="17" t="s">
        <v>5417</v>
      </c>
      <c r="C3657" s="19" t="s">
        <v>5418</v>
      </c>
      <c r="D3657" s="19">
        <v>23156956</v>
      </c>
      <c r="E3657" s="18"/>
      <c r="F3657" s="19"/>
      <c r="G3657" s="31">
        <v>45377</v>
      </c>
      <c r="H3657" s="31">
        <v>45742</v>
      </c>
      <c r="I3657" s="19" t="s">
        <v>1372</v>
      </c>
      <c r="J3657" s="19" t="s">
        <v>1373</v>
      </c>
      <c r="K3657" s="18" t="s">
        <v>1372</v>
      </c>
      <c r="L3657" s="19" t="s">
        <v>1373</v>
      </c>
      <c r="M3657" s="19" t="s">
        <v>1461</v>
      </c>
      <c r="N3657" s="20" t="s">
        <v>1462</v>
      </c>
      <c r="O3657" s="19" t="s">
        <v>1372</v>
      </c>
      <c r="P3657" s="19"/>
      <c r="Q3657" s="19" t="s">
        <v>1372</v>
      </c>
      <c r="R3657" s="19" t="s">
        <v>1372</v>
      </c>
      <c r="S3657" s="19" t="s">
        <v>1372</v>
      </c>
      <c r="T3657" s="19" t="s">
        <v>1461</v>
      </c>
      <c r="U3657" s="19" t="s">
        <v>1461</v>
      </c>
      <c r="V3657" s="19" t="s">
        <v>1372</v>
      </c>
      <c r="W3657" s="19"/>
      <c r="X3657" s="19"/>
      <c r="Y3657" s="19"/>
      <c r="Z3657" s="19" t="s">
        <v>1372</v>
      </c>
      <c r="AA3657" s="19"/>
      <c r="AB3657" s="19"/>
      <c r="AC3657" s="19"/>
      <c r="AD3657" s="19"/>
      <c r="AE3657" s="19"/>
      <c r="AF3657" s="19" t="s">
        <v>1372</v>
      </c>
      <c r="AG3657" s="19"/>
      <c r="AH3657" s="19"/>
      <c r="AI3657" s="19"/>
      <c r="AJ3657" s="19"/>
      <c r="AK3657" s="19"/>
      <c r="AL3657" s="19" t="s">
        <v>1372</v>
      </c>
      <c r="AM3657" s="19" t="s">
        <v>1372</v>
      </c>
      <c r="AN3657" s="19"/>
      <c r="AO3657" s="19"/>
      <c r="AP3657" s="19"/>
      <c r="AQ3657" s="19"/>
      <c r="AR3657" s="19" t="s">
        <v>1768</v>
      </c>
      <c r="AS3657" s="19"/>
    </row>
    <row r="3658" spans="1:45" x14ac:dyDescent="0.3">
      <c r="A3658" s="410" t="s">
        <v>5419</v>
      </c>
      <c r="B3658" s="17" t="s">
        <v>5420</v>
      </c>
      <c r="C3658" s="19" t="s">
        <v>5418</v>
      </c>
      <c r="D3658" s="18">
        <v>23202670</v>
      </c>
      <c r="E3658" s="18"/>
      <c r="F3658" s="19"/>
      <c r="G3658" s="31">
        <v>45376</v>
      </c>
      <c r="H3658" s="31">
        <v>45741</v>
      </c>
      <c r="I3658" s="19" t="s">
        <v>1372</v>
      </c>
      <c r="J3658" s="19" t="s">
        <v>1373</v>
      </c>
      <c r="K3658" s="18" t="s">
        <v>1372</v>
      </c>
      <c r="L3658" s="19" t="s">
        <v>1373</v>
      </c>
      <c r="M3658" s="19" t="s">
        <v>1461</v>
      </c>
      <c r="N3658" s="20" t="s">
        <v>1462</v>
      </c>
      <c r="O3658" s="19"/>
      <c r="P3658" s="19" t="s">
        <v>1372</v>
      </c>
      <c r="Q3658" s="19" t="s">
        <v>1372</v>
      </c>
      <c r="R3658" s="19" t="s">
        <v>1372</v>
      </c>
      <c r="S3658" s="19" t="s">
        <v>1372</v>
      </c>
      <c r="T3658" s="19" t="s">
        <v>1461</v>
      </c>
      <c r="U3658" s="19" t="s">
        <v>1461</v>
      </c>
      <c r="V3658" s="19" t="s">
        <v>1372</v>
      </c>
      <c r="W3658" s="19"/>
      <c r="X3658" s="19"/>
      <c r="Y3658" s="19"/>
      <c r="Z3658" s="19" t="s">
        <v>1372</v>
      </c>
      <c r="AA3658" s="19"/>
      <c r="AB3658" s="19"/>
      <c r="AC3658" s="19"/>
      <c r="AD3658" s="19"/>
      <c r="AE3658" s="19"/>
      <c r="AF3658" s="19"/>
      <c r="AG3658" s="19"/>
      <c r="AH3658" s="19"/>
      <c r="AI3658" s="19"/>
      <c r="AJ3658" s="19"/>
      <c r="AK3658" s="19"/>
      <c r="AL3658" s="19" t="s">
        <v>1372</v>
      </c>
      <c r="AM3658" s="19" t="s">
        <v>1372</v>
      </c>
      <c r="AN3658" s="19"/>
      <c r="AO3658" s="19"/>
      <c r="AP3658" s="19"/>
      <c r="AQ3658" s="19"/>
      <c r="AR3658" s="19" t="s">
        <v>1768</v>
      </c>
      <c r="AS3658" s="19"/>
    </row>
    <row r="3659" spans="1:45" x14ac:dyDescent="0.3">
      <c r="A3659" s="410" t="s">
        <v>5421</v>
      </c>
      <c r="B3659" s="17" t="s">
        <v>5422</v>
      </c>
      <c r="C3659" s="19" t="s">
        <v>5418</v>
      </c>
      <c r="D3659" s="18">
        <v>23135361</v>
      </c>
      <c r="E3659" s="18"/>
      <c r="F3659" s="19"/>
      <c r="G3659" s="31">
        <v>45377</v>
      </c>
      <c r="H3659" s="31">
        <v>45742</v>
      </c>
      <c r="I3659" s="19" t="s">
        <v>1372</v>
      </c>
      <c r="J3659" s="19" t="s">
        <v>1373</v>
      </c>
      <c r="K3659" s="18" t="s">
        <v>1372</v>
      </c>
      <c r="L3659" s="19" t="s">
        <v>1373</v>
      </c>
      <c r="M3659" s="19" t="s">
        <v>1461</v>
      </c>
      <c r="N3659" s="20" t="s">
        <v>1462</v>
      </c>
      <c r="O3659" s="19" t="s">
        <v>1372</v>
      </c>
      <c r="P3659" s="19"/>
      <c r="Q3659" s="19" t="s">
        <v>1372</v>
      </c>
      <c r="R3659" s="19" t="s">
        <v>1372</v>
      </c>
      <c r="S3659" s="19" t="s">
        <v>1372</v>
      </c>
      <c r="T3659" s="19" t="s">
        <v>1461</v>
      </c>
      <c r="U3659" s="19" t="s">
        <v>1461</v>
      </c>
      <c r="V3659" s="19" t="s">
        <v>1372</v>
      </c>
      <c r="W3659" s="19"/>
      <c r="X3659" s="19"/>
      <c r="Y3659" s="19"/>
      <c r="Z3659" s="19" t="s">
        <v>1372</v>
      </c>
      <c r="AA3659" s="19"/>
      <c r="AB3659" s="19"/>
      <c r="AC3659" s="19"/>
      <c r="AD3659" s="19"/>
      <c r="AE3659" s="19"/>
      <c r="AF3659" s="19"/>
      <c r="AG3659" s="19" t="s">
        <v>1372</v>
      </c>
      <c r="AH3659" s="19"/>
      <c r="AI3659" s="19"/>
      <c r="AJ3659" s="19"/>
      <c r="AK3659" s="19"/>
      <c r="AL3659" s="19" t="s">
        <v>1372</v>
      </c>
      <c r="AM3659" s="19"/>
      <c r="AN3659" s="19"/>
      <c r="AO3659" s="19"/>
      <c r="AP3659" s="19"/>
      <c r="AQ3659" s="19"/>
      <c r="AR3659" s="19" t="s">
        <v>1768</v>
      </c>
      <c r="AS3659" s="19"/>
    </row>
    <row r="3660" spans="1:45" x14ac:dyDescent="0.3">
      <c r="A3660" s="410" t="s">
        <v>5423</v>
      </c>
      <c r="B3660" s="17" t="s">
        <v>5424</v>
      </c>
      <c r="C3660" s="19" t="s">
        <v>5425</v>
      </c>
      <c r="D3660" s="18">
        <v>23210526</v>
      </c>
      <c r="E3660" s="18"/>
      <c r="F3660" s="19"/>
      <c r="G3660" s="31">
        <v>45377</v>
      </c>
      <c r="H3660" s="31">
        <v>45742</v>
      </c>
      <c r="I3660" s="19" t="s">
        <v>1372</v>
      </c>
      <c r="J3660" s="19" t="s">
        <v>1373</v>
      </c>
      <c r="K3660" s="21" t="s">
        <v>1372</v>
      </c>
      <c r="L3660" s="22" t="s">
        <v>1373</v>
      </c>
      <c r="M3660" s="19" t="s">
        <v>1372</v>
      </c>
      <c r="N3660" s="20"/>
      <c r="O3660" s="19" t="s">
        <v>5426</v>
      </c>
      <c r="P3660" s="19"/>
      <c r="Q3660" s="19" t="s">
        <v>1372</v>
      </c>
      <c r="R3660" s="19"/>
      <c r="S3660" s="19" t="s">
        <v>1372</v>
      </c>
      <c r="T3660" s="19" t="s">
        <v>1372</v>
      </c>
      <c r="U3660" s="19" t="s">
        <v>1372</v>
      </c>
      <c r="V3660" s="19" t="s">
        <v>1372</v>
      </c>
      <c r="W3660" s="19"/>
      <c r="X3660" s="19"/>
      <c r="Y3660" s="19"/>
      <c r="Z3660" s="19" t="s">
        <v>1372</v>
      </c>
      <c r="AA3660" s="19"/>
      <c r="AB3660" s="19"/>
      <c r="AC3660" s="19"/>
      <c r="AD3660" s="19"/>
      <c r="AE3660" s="19"/>
      <c r="AF3660" s="19" t="s">
        <v>1372</v>
      </c>
      <c r="AG3660" s="19" t="s">
        <v>1372</v>
      </c>
      <c r="AH3660" s="19"/>
      <c r="AI3660" s="19"/>
      <c r="AJ3660" s="19"/>
      <c r="AK3660" s="19"/>
      <c r="AL3660" s="19"/>
      <c r="AM3660" s="19"/>
      <c r="AN3660" s="19"/>
      <c r="AO3660" s="19" t="s">
        <v>1372</v>
      </c>
      <c r="AP3660" s="19"/>
      <c r="AQ3660" s="19"/>
      <c r="AR3660" s="19"/>
      <c r="AS3660" s="19"/>
    </row>
    <row r="3661" spans="1:45" x14ac:dyDescent="0.3">
      <c r="A3661" s="410" t="s">
        <v>5427</v>
      </c>
      <c r="B3661" s="17" t="s">
        <v>5428</v>
      </c>
      <c r="C3661" s="19"/>
      <c r="D3661" s="19">
        <v>23197431</v>
      </c>
      <c r="E3661" s="18"/>
      <c r="F3661" s="19"/>
      <c r="G3661" s="31"/>
      <c r="H3661" s="31"/>
      <c r="I3661" s="19"/>
      <c r="J3661" s="19"/>
      <c r="K3661" s="18"/>
      <c r="L3661" s="19"/>
      <c r="M3661" s="19"/>
      <c r="N3661" s="20"/>
      <c r="O3661" s="19"/>
      <c r="P3661" s="19"/>
      <c r="Q3661" s="19"/>
      <c r="R3661" s="19"/>
      <c r="S3661" s="19"/>
      <c r="T3661" s="19"/>
      <c r="U3661" s="19"/>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row>
    <row r="3662" spans="1:45" x14ac:dyDescent="0.3">
      <c r="A3662" s="410" t="s">
        <v>5429</v>
      </c>
      <c r="B3662" s="17" t="s">
        <v>5430</v>
      </c>
      <c r="C3662" s="19" t="s">
        <v>5418</v>
      </c>
      <c r="D3662" s="18">
        <v>23156869</v>
      </c>
      <c r="E3662" s="18"/>
      <c r="F3662" s="19"/>
      <c r="G3662" s="31">
        <v>45352</v>
      </c>
      <c r="H3662" s="31">
        <v>45717</v>
      </c>
      <c r="I3662" s="19" t="s">
        <v>1372</v>
      </c>
      <c r="J3662" s="19" t="s">
        <v>1373</v>
      </c>
      <c r="K3662" s="18" t="s">
        <v>1372</v>
      </c>
      <c r="L3662" s="19" t="s">
        <v>1373</v>
      </c>
      <c r="M3662" s="19" t="s">
        <v>1461</v>
      </c>
      <c r="N3662" s="20" t="s">
        <v>1462</v>
      </c>
      <c r="O3662" s="19"/>
      <c r="P3662" s="19" t="s">
        <v>1372</v>
      </c>
      <c r="Q3662" s="19" t="s">
        <v>1372</v>
      </c>
      <c r="R3662" s="19" t="s">
        <v>1372</v>
      </c>
      <c r="S3662" s="19" t="s">
        <v>1372</v>
      </c>
      <c r="T3662" s="19" t="s">
        <v>1461</v>
      </c>
      <c r="U3662" s="19" t="s">
        <v>1461</v>
      </c>
      <c r="V3662" s="19" t="s">
        <v>1372</v>
      </c>
      <c r="W3662" s="19"/>
      <c r="X3662" s="19"/>
      <c r="Y3662" s="19"/>
      <c r="Z3662" s="19" t="s">
        <v>1372</v>
      </c>
      <c r="AA3662" s="19"/>
      <c r="AB3662" s="19"/>
      <c r="AC3662" s="19"/>
      <c r="AD3662" s="19"/>
      <c r="AE3662" s="19"/>
      <c r="AF3662" s="19"/>
      <c r="AG3662" s="19"/>
      <c r="AH3662" s="19"/>
      <c r="AI3662" s="19"/>
      <c r="AJ3662" s="19"/>
      <c r="AK3662" s="19"/>
      <c r="AL3662" s="19" t="s">
        <v>1372</v>
      </c>
      <c r="AM3662" s="19" t="s">
        <v>1372</v>
      </c>
      <c r="AN3662" s="19"/>
      <c r="AO3662" s="19"/>
      <c r="AP3662" s="19"/>
      <c r="AQ3662" s="19"/>
      <c r="AR3662" s="19"/>
      <c r="AS3662" s="19"/>
    </row>
    <row r="3663" spans="1:45" x14ac:dyDescent="0.3">
      <c r="A3663" s="410" t="s">
        <v>5431</v>
      </c>
      <c r="B3663" s="17" t="s">
        <v>5432</v>
      </c>
      <c r="C3663" s="19" t="s">
        <v>5418</v>
      </c>
      <c r="D3663" s="18" t="s">
        <v>210</v>
      </c>
      <c r="E3663" s="18"/>
      <c r="F3663" s="19"/>
      <c r="G3663" s="31">
        <v>45377</v>
      </c>
      <c r="H3663" s="31">
        <v>45742</v>
      </c>
      <c r="I3663" s="19" t="s">
        <v>1372</v>
      </c>
      <c r="J3663" s="19" t="s">
        <v>1373</v>
      </c>
      <c r="K3663" s="18" t="s">
        <v>1372</v>
      </c>
      <c r="L3663" s="19" t="s">
        <v>1373</v>
      </c>
      <c r="M3663" s="19" t="s">
        <v>1461</v>
      </c>
      <c r="N3663" s="20" t="s">
        <v>1462</v>
      </c>
      <c r="O3663" s="19"/>
      <c r="P3663" s="19" t="s">
        <v>1372</v>
      </c>
      <c r="Q3663" s="19" t="s">
        <v>1372</v>
      </c>
      <c r="R3663" s="19" t="s">
        <v>1372</v>
      </c>
      <c r="S3663" s="19" t="s">
        <v>1372</v>
      </c>
      <c r="T3663" s="19" t="s">
        <v>1461</v>
      </c>
      <c r="U3663" s="19" t="s">
        <v>1461</v>
      </c>
      <c r="V3663" s="19" t="s">
        <v>1372</v>
      </c>
      <c r="W3663" s="19"/>
      <c r="X3663" s="19"/>
      <c r="Y3663" s="19"/>
      <c r="Z3663" s="19" t="s">
        <v>1372</v>
      </c>
      <c r="AA3663" s="19"/>
      <c r="AB3663" s="19"/>
      <c r="AC3663" s="19"/>
      <c r="AD3663" s="19"/>
      <c r="AE3663" s="19"/>
      <c r="AF3663" s="19"/>
      <c r="AG3663" s="19"/>
      <c r="AH3663" s="19"/>
      <c r="AI3663" s="19"/>
      <c r="AJ3663" s="19"/>
      <c r="AK3663" s="19"/>
      <c r="AL3663" s="19"/>
      <c r="AM3663" s="19" t="s">
        <v>1372</v>
      </c>
      <c r="AN3663" s="19"/>
      <c r="AO3663" s="19"/>
      <c r="AP3663" s="19"/>
      <c r="AQ3663" s="19"/>
      <c r="AR3663" s="19"/>
      <c r="AS3663" s="19"/>
    </row>
    <row r="3664" spans="1:45" x14ac:dyDescent="0.3">
      <c r="A3664" s="410" t="s">
        <v>5433</v>
      </c>
      <c r="B3664" s="17" t="s">
        <v>5434</v>
      </c>
      <c r="C3664" s="19" t="s">
        <v>5418</v>
      </c>
      <c r="D3664" s="18">
        <v>23207594</v>
      </c>
      <c r="E3664" s="18"/>
      <c r="F3664" s="19"/>
      <c r="G3664" s="31">
        <v>45376</v>
      </c>
      <c r="H3664" s="31">
        <v>45741</v>
      </c>
      <c r="I3664" s="19" t="s">
        <v>1372</v>
      </c>
      <c r="J3664" s="19" t="s">
        <v>1373</v>
      </c>
      <c r="K3664" s="18" t="s">
        <v>1372</v>
      </c>
      <c r="L3664" s="19" t="s">
        <v>1373</v>
      </c>
      <c r="M3664" s="19" t="s">
        <v>1461</v>
      </c>
      <c r="N3664" s="20" t="s">
        <v>1462</v>
      </c>
      <c r="O3664" s="19" t="s">
        <v>1372</v>
      </c>
      <c r="P3664" s="19"/>
      <c r="Q3664" s="19" t="s">
        <v>1372</v>
      </c>
      <c r="R3664" s="19" t="s">
        <v>1372</v>
      </c>
      <c r="S3664" s="19" t="s">
        <v>1372</v>
      </c>
      <c r="T3664" s="19" t="s">
        <v>1461</v>
      </c>
      <c r="U3664" s="19" t="s">
        <v>1461</v>
      </c>
      <c r="V3664" s="19" t="s">
        <v>1372</v>
      </c>
      <c r="W3664" s="19"/>
      <c r="X3664" s="19"/>
      <c r="Y3664" s="19"/>
      <c r="Z3664" s="19" t="s">
        <v>1372</v>
      </c>
      <c r="AA3664" s="19"/>
      <c r="AB3664" s="19"/>
      <c r="AC3664" s="19"/>
      <c r="AD3664" s="19"/>
      <c r="AE3664" s="19"/>
      <c r="AF3664" s="19"/>
      <c r="AG3664" s="19" t="s">
        <v>1372</v>
      </c>
      <c r="AH3664" s="19"/>
      <c r="AI3664" s="19"/>
      <c r="AJ3664" s="19"/>
      <c r="AK3664" s="19"/>
      <c r="AL3664" s="19" t="s">
        <v>1372</v>
      </c>
      <c r="AM3664" s="19" t="s">
        <v>1372</v>
      </c>
      <c r="AN3664" s="19"/>
      <c r="AO3664" s="19"/>
      <c r="AP3664" s="19"/>
      <c r="AQ3664" s="19"/>
      <c r="AR3664" s="19" t="s">
        <v>1768</v>
      </c>
      <c r="AS3664" s="19"/>
    </row>
    <row r="3665" spans="1:45" x14ac:dyDescent="0.3">
      <c r="A3665" s="410" t="s">
        <v>5435</v>
      </c>
      <c r="B3665" s="17" t="s">
        <v>5436</v>
      </c>
      <c r="C3665" s="19" t="s">
        <v>1381</v>
      </c>
      <c r="D3665" s="18">
        <v>23191910</v>
      </c>
      <c r="E3665" s="18"/>
      <c r="F3665" s="19"/>
      <c r="G3665" s="31">
        <v>45377</v>
      </c>
      <c r="H3665" s="31">
        <v>45742</v>
      </c>
      <c r="I3665" s="19" t="s">
        <v>1372</v>
      </c>
      <c r="J3665" s="19" t="s">
        <v>1373</v>
      </c>
      <c r="K3665" s="18" t="s">
        <v>1372</v>
      </c>
      <c r="L3665" s="19" t="s">
        <v>1373</v>
      </c>
      <c r="M3665" s="19" t="s">
        <v>1462</v>
      </c>
      <c r="N3665" s="20"/>
      <c r="O3665" s="19" t="s">
        <v>1372</v>
      </c>
      <c r="P3665" s="19" t="s">
        <v>1372</v>
      </c>
      <c r="Q3665" s="19" t="s">
        <v>1372</v>
      </c>
      <c r="R3665" s="19" t="s">
        <v>1372</v>
      </c>
      <c r="S3665" s="19" t="s">
        <v>1372</v>
      </c>
      <c r="T3665" s="19" t="s">
        <v>1461</v>
      </c>
      <c r="U3665" s="19" t="s">
        <v>1461</v>
      </c>
      <c r="V3665" s="19" t="s">
        <v>1372</v>
      </c>
      <c r="W3665" s="19" t="s">
        <v>1382</v>
      </c>
      <c r="X3665" s="19"/>
      <c r="Y3665" s="19"/>
      <c r="Z3665" s="19"/>
      <c r="AA3665" s="19"/>
      <c r="AB3665" s="19"/>
      <c r="AC3665" s="19"/>
      <c r="AD3665" s="19"/>
      <c r="AE3665" s="19"/>
      <c r="AF3665" s="19" t="s">
        <v>1372</v>
      </c>
      <c r="AG3665" s="19" t="s">
        <v>1372</v>
      </c>
      <c r="AH3665" s="19"/>
      <c r="AI3665" s="19"/>
      <c r="AJ3665" s="19"/>
      <c r="AK3665" s="19"/>
      <c r="AL3665" s="19" t="s">
        <v>1372</v>
      </c>
      <c r="AM3665" s="19"/>
      <c r="AN3665" s="19"/>
      <c r="AO3665" s="19" t="s">
        <v>1372</v>
      </c>
      <c r="AP3665" s="19"/>
      <c r="AQ3665" s="19"/>
      <c r="AR3665" s="19" t="s">
        <v>5437</v>
      </c>
      <c r="AS3665" s="19" t="s">
        <v>1768</v>
      </c>
    </row>
    <row r="3666" spans="1:45" x14ac:dyDescent="0.3">
      <c r="A3666" s="410" t="s">
        <v>5438</v>
      </c>
      <c r="B3666" s="17" t="s">
        <v>5439</v>
      </c>
      <c r="C3666" s="19" t="s">
        <v>5418</v>
      </c>
      <c r="D3666" s="18">
        <v>23138352</v>
      </c>
      <c r="E3666" s="18"/>
      <c r="F3666" s="19"/>
      <c r="G3666" s="31">
        <v>45378</v>
      </c>
      <c r="H3666" s="31">
        <v>45743</v>
      </c>
      <c r="I3666" s="19" t="s">
        <v>1372</v>
      </c>
      <c r="J3666" s="19" t="s">
        <v>1373</v>
      </c>
      <c r="K3666" s="18" t="s">
        <v>1372</v>
      </c>
      <c r="L3666" s="19" t="s">
        <v>1373</v>
      </c>
      <c r="M3666" s="19" t="s">
        <v>1461</v>
      </c>
      <c r="N3666" s="20" t="s">
        <v>1462</v>
      </c>
      <c r="O3666" s="19" t="s">
        <v>1372</v>
      </c>
      <c r="P3666" s="19" t="s">
        <v>1372</v>
      </c>
      <c r="Q3666" s="19" t="s">
        <v>1372</v>
      </c>
      <c r="R3666" s="19" t="s">
        <v>1461</v>
      </c>
      <c r="S3666" s="19" t="s">
        <v>1372</v>
      </c>
      <c r="T3666" s="19" t="s">
        <v>1461</v>
      </c>
      <c r="U3666" s="19" t="s">
        <v>1461</v>
      </c>
      <c r="V3666" s="19" t="s">
        <v>1372</v>
      </c>
      <c r="W3666" s="19"/>
      <c r="X3666" s="19"/>
      <c r="Y3666" s="19"/>
      <c r="Z3666" s="19" t="s">
        <v>1372</v>
      </c>
      <c r="AA3666" s="19"/>
      <c r="AB3666" s="19"/>
      <c r="AC3666" s="19"/>
      <c r="AD3666" s="19"/>
      <c r="AE3666" s="19"/>
      <c r="AF3666" s="19"/>
      <c r="AG3666" s="19"/>
      <c r="AH3666" s="19"/>
      <c r="AI3666" s="19"/>
      <c r="AJ3666" s="19"/>
      <c r="AK3666" s="19"/>
      <c r="AL3666" s="19"/>
      <c r="AM3666" s="19" t="s">
        <v>1372</v>
      </c>
      <c r="AN3666" s="19"/>
      <c r="AO3666" s="19"/>
      <c r="AP3666" s="19"/>
      <c r="AQ3666" s="19"/>
      <c r="AR3666" s="19"/>
      <c r="AS3666" s="19"/>
    </row>
    <row r="3667" spans="1:45" x14ac:dyDescent="0.3">
      <c r="A3667" s="410" t="s">
        <v>5440</v>
      </c>
      <c r="B3667" s="17" t="s">
        <v>5441</v>
      </c>
      <c r="C3667" s="19" t="s">
        <v>5418</v>
      </c>
      <c r="D3667" s="18">
        <v>23198978</v>
      </c>
      <c r="E3667" s="18"/>
      <c r="F3667" s="19"/>
      <c r="G3667" s="31">
        <v>45383</v>
      </c>
      <c r="H3667" s="31">
        <v>45748</v>
      </c>
      <c r="I3667" s="19" t="s">
        <v>1372</v>
      </c>
      <c r="J3667" s="19" t="s">
        <v>1373</v>
      </c>
      <c r="K3667" s="18" t="s">
        <v>1372</v>
      </c>
      <c r="L3667" s="19" t="s">
        <v>1373</v>
      </c>
      <c r="M3667" s="19" t="s">
        <v>1461</v>
      </c>
      <c r="N3667" s="20" t="s">
        <v>1462</v>
      </c>
      <c r="O3667" s="19" t="s">
        <v>1372</v>
      </c>
      <c r="P3667" s="19"/>
      <c r="Q3667" s="19" t="s">
        <v>1372</v>
      </c>
      <c r="R3667" s="19" t="s">
        <v>1372</v>
      </c>
      <c r="S3667" s="19" t="s">
        <v>1372</v>
      </c>
      <c r="T3667" s="19" t="s">
        <v>1461</v>
      </c>
      <c r="U3667" s="19" t="s">
        <v>1461</v>
      </c>
      <c r="V3667" s="19" t="s">
        <v>1372</v>
      </c>
      <c r="W3667" s="19"/>
      <c r="X3667" s="19"/>
      <c r="Y3667" s="19"/>
      <c r="Z3667" s="19" t="s">
        <v>1372</v>
      </c>
      <c r="AA3667" s="19"/>
      <c r="AB3667" s="19"/>
      <c r="AC3667" s="19"/>
      <c r="AD3667" s="19"/>
      <c r="AE3667" s="19"/>
      <c r="AF3667" s="19"/>
      <c r="AG3667" s="19"/>
      <c r="AH3667" s="19"/>
      <c r="AI3667" s="19"/>
      <c r="AJ3667" s="19"/>
      <c r="AK3667" s="19"/>
      <c r="AL3667" s="19" t="s">
        <v>1372</v>
      </c>
      <c r="AM3667" s="19"/>
      <c r="AN3667" s="19"/>
      <c r="AO3667" s="19"/>
      <c r="AP3667" s="19"/>
      <c r="AQ3667" s="19"/>
      <c r="AR3667" s="19" t="s">
        <v>1768</v>
      </c>
      <c r="AS3667" s="19"/>
    </row>
    <row r="3668" spans="1:45" x14ac:dyDescent="0.3">
      <c r="A3668" s="410" t="s">
        <v>5442</v>
      </c>
      <c r="B3668" s="17" t="s">
        <v>5443</v>
      </c>
      <c r="C3668" s="19" t="s">
        <v>5418</v>
      </c>
      <c r="D3668" s="18">
        <v>23095972</v>
      </c>
      <c r="E3668" s="18"/>
      <c r="F3668" s="19"/>
      <c r="G3668" s="31">
        <v>45377</v>
      </c>
      <c r="H3668" s="31">
        <v>45742</v>
      </c>
      <c r="I3668" s="19" t="s">
        <v>1372</v>
      </c>
      <c r="J3668" s="19" t="s">
        <v>1373</v>
      </c>
      <c r="K3668" s="18" t="s">
        <v>1372</v>
      </c>
      <c r="L3668" s="19" t="s">
        <v>1373</v>
      </c>
      <c r="M3668" s="19" t="s">
        <v>1461</v>
      </c>
      <c r="N3668" s="20" t="s">
        <v>1462</v>
      </c>
      <c r="O3668" s="19"/>
      <c r="P3668" s="19" t="s">
        <v>1372</v>
      </c>
      <c r="Q3668" s="19" t="s">
        <v>1372</v>
      </c>
      <c r="R3668" s="19" t="s">
        <v>1372</v>
      </c>
      <c r="S3668" s="19" t="s">
        <v>1372</v>
      </c>
      <c r="T3668" s="19" t="s">
        <v>1461</v>
      </c>
      <c r="U3668" s="19" t="s">
        <v>1461</v>
      </c>
      <c r="V3668" s="19" t="s">
        <v>1372</v>
      </c>
      <c r="W3668" s="19"/>
      <c r="X3668" s="19"/>
      <c r="Y3668" s="19"/>
      <c r="Z3668" s="19" t="s">
        <v>1372</v>
      </c>
      <c r="AA3668" s="19"/>
      <c r="AB3668" s="19"/>
      <c r="AC3668" s="19"/>
      <c r="AD3668" s="19"/>
      <c r="AE3668" s="19"/>
      <c r="AF3668" s="19"/>
      <c r="AG3668" s="19"/>
      <c r="AH3668" s="19"/>
      <c r="AI3668" s="19"/>
      <c r="AJ3668" s="19"/>
      <c r="AK3668" s="19"/>
      <c r="AL3668" s="19"/>
      <c r="AM3668" s="19" t="s">
        <v>1372</v>
      </c>
      <c r="AN3668" s="19"/>
      <c r="AO3668" s="19"/>
      <c r="AP3668" s="19"/>
      <c r="AQ3668" s="19"/>
      <c r="AR3668" s="19"/>
      <c r="AS3668" s="19"/>
    </row>
    <row r="3669" spans="1:45" x14ac:dyDescent="0.3">
      <c r="A3669" s="410" t="s">
        <v>5444</v>
      </c>
      <c r="B3669" s="17" t="s">
        <v>5445</v>
      </c>
      <c r="C3669" s="19" t="s">
        <v>5418</v>
      </c>
      <c r="D3669" s="18">
        <v>23189252</v>
      </c>
      <c r="E3669" s="18"/>
      <c r="F3669" s="19"/>
      <c r="G3669" s="31">
        <v>45378</v>
      </c>
      <c r="H3669" s="31">
        <v>45743</v>
      </c>
      <c r="I3669" s="19" t="s">
        <v>1372</v>
      </c>
      <c r="J3669" s="19" t="s">
        <v>1373</v>
      </c>
      <c r="K3669" s="18" t="s">
        <v>1372</v>
      </c>
      <c r="L3669" s="19" t="s">
        <v>1373</v>
      </c>
      <c r="M3669" s="19" t="s">
        <v>1461</v>
      </c>
      <c r="N3669" s="20" t="s">
        <v>1462</v>
      </c>
      <c r="O3669" s="19" t="s">
        <v>5446</v>
      </c>
      <c r="P3669" s="19"/>
      <c r="Q3669" s="19" t="s">
        <v>1372</v>
      </c>
      <c r="R3669" s="19" t="s">
        <v>1372</v>
      </c>
      <c r="S3669" s="19" t="s">
        <v>1372</v>
      </c>
      <c r="T3669" s="19" t="s">
        <v>1461</v>
      </c>
      <c r="U3669" s="19" t="s">
        <v>1461</v>
      </c>
      <c r="V3669" s="19" t="s">
        <v>1372</v>
      </c>
      <c r="W3669" s="19"/>
      <c r="X3669" s="19"/>
      <c r="Y3669" s="19"/>
      <c r="Z3669" s="19" t="s">
        <v>1372</v>
      </c>
      <c r="AA3669" s="19"/>
      <c r="AB3669" s="19"/>
      <c r="AC3669" s="19"/>
      <c r="AD3669" s="19"/>
      <c r="AE3669" s="19"/>
      <c r="AF3669" s="19"/>
      <c r="AG3669" s="19"/>
      <c r="AH3669" s="19"/>
      <c r="AI3669" s="19"/>
      <c r="AJ3669" s="19"/>
      <c r="AK3669" s="19"/>
      <c r="AL3669" s="19"/>
      <c r="AM3669" s="19"/>
      <c r="AN3669" s="19"/>
      <c r="AO3669" s="19"/>
      <c r="AP3669" s="19"/>
      <c r="AQ3669" s="19"/>
      <c r="AR3669" s="19"/>
      <c r="AS3669" s="19"/>
    </row>
    <row r="3670" spans="1:45" x14ac:dyDescent="0.3">
      <c r="A3670" s="410" t="s">
        <v>5447</v>
      </c>
      <c r="B3670" s="17" t="s">
        <v>5448</v>
      </c>
      <c r="C3670" s="19" t="s">
        <v>5418</v>
      </c>
      <c r="D3670" s="18">
        <v>23168382</v>
      </c>
      <c r="E3670" s="18"/>
      <c r="F3670" s="19"/>
      <c r="G3670" s="31">
        <v>45377</v>
      </c>
      <c r="H3670" s="31">
        <v>45742</v>
      </c>
      <c r="I3670" s="19" t="s">
        <v>1372</v>
      </c>
      <c r="J3670" s="19" t="s">
        <v>1373</v>
      </c>
      <c r="K3670" s="18" t="s">
        <v>1372</v>
      </c>
      <c r="L3670" s="19" t="s">
        <v>1373</v>
      </c>
      <c r="M3670" s="19" t="s">
        <v>1461</v>
      </c>
      <c r="N3670" s="20" t="s">
        <v>1462</v>
      </c>
      <c r="O3670" s="19" t="s">
        <v>1372</v>
      </c>
      <c r="P3670" s="19" t="s">
        <v>1372</v>
      </c>
      <c r="Q3670" s="19" t="s">
        <v>1372</v>
      </c>
      <c r="R3670" s="19" t="s">
        <v>1372</v>
      </c>
      <c r="S3670" s="19" t="s">
        <v>1372</v>
      </c>
      <c r="T3670" s="19" t="s">
        <v>1461</v>
      </c>
      <c r="U3670" s="19" t="s">
        <v>1461</v>
      </c>
      <c r="V3670" s="19" t="s">
        <v>1372</v>
      </c>
      <c r="W3670" s="19"/>
      <c r="X3670" s="19"/>
      <c r="Y3670" s="19"/>
      <c r="Z3670" s="19" t="s">
        <v>1372</v>
      </c>
      <c r="AA3670" s="19"/>
      <c r="AB3670" s="19"/>
      <c r="AC3670" s="19"/>
      <c r="AD3670" s="19"/>
      <c r="AE3670" s="19"/>
      <c r="AF3670" s="19" t="s">
        <v>1372</v>
      </c>
      <c r="AG3670" s="19"/>
      <c r="AH3670" s="19"/>
      <c r="AI3670" s="19"/>
      <c r="AJ3670" s="19"/>
      <c r="AK3670" s="19"/>
      <c r="AL3670" s="19" t="s">
        <v>1372</v>
      </c>
      <c r="AM3670" s="19" t="s">
        <v>1372</v>
      </c>
      <c r="AN3670" s="19"/>
      <c r="AO3670" s="19" t="s">
        <v>1372</v>
      </c>
      <c r="AP3670" s="19"/>
      <c r="AQ3670" s="19"/>
      <c r="AR3670" s="19" t="s">
        <v>1768</v>
      </c>
      <c r="AS3670" s="19"/>
    </row>
    <row r="3671" spans="1:45" x14ac:dyDescent="0.3">
      <c r="A3671" s="410" t="s">
        <v>5449</v>
      </c>
      <c r="B3671" s="17" t="s">
        <v>5450</v>
      </c>
      <c r="C3671" s="19" t="s">
        <v>5418</v>
      </c>
      <c r="D3671" s="18">
        <v>23206188</v>
      </c>
      <c r="E3671" s="18"/>
      <c r="F3671" s="19"/>
      <c r="G3671" s="31">
        <v>45376</v>
      </c>
      <c r="H3671" s="31">
        <v>45741</v>
      </c>
      <c r="I3671" s="19" t="s">
        <v>1372</v>
      </c>
      <c r="J3671" s="19" t="s">
        <v>1373</v>
      </c>
      <c r="K3671" s="18" t="s">
        <v>1372</v>
      </c>
      <c r="L3671" s="19" t="s">
        <v>1373</v>
      </c>
      <c r="M3671" s="19" t="s">
        <v>1461</v>
      </c>
      <c r="N3671" s="20" t="s">
        <v>1462</v>
      </c>
      <c r="O3671" s="19" t="s">
        <v>1372</v>
      </c>
      <c r="P3671" s="19" t="s">
        <v>1372</v>
      </c>
      <c r="Q3671" s="19" t="s">
        <v>1372</v>
      </c>
      <c r="R3671" s="19" t="s">
        <v>1372</v>
      </c>
      <c r="S3671" s="19" t="s">
        <v>1372</v>
      </c>
      <c r="T3671" s="19" t="s">
        <v>1461</v>
      </c>
      <c r="U3671" s="19" t="s">
        <v>1461</v>
      </c>
      <c r="V3671" s="19" t="s">
        <v>1372</v>
      </c>
      <c r="W3671" s="19" t="s">
        <v>1382</v>
      </c>
      <c r="X3671" s="19"/>
      <c r="Y3671" s="19"/>
      <c r="Z3671" s="19" t="s">
        <v>1372</v>
      </c>
      <c r="AA3671" s="19"/>
      <c r="AB3671" s="19"/>
      <c r="AC3671" s="19"/>
      <c r="AD3671" s="19"/>
      <c r="AE3671" s="19"/>
      <c r="AF3671" s="19" t="s">
        <v>1372</v>
      </c>
      <c r="AG3671" s="19"/>
      <c r="AH3671" s="19"/>
      <c r="AI3671" s="19"/>
      <c r="AJ3671" s="19"/>
      <c r="AK3671" s="19"/>
      <c r="AL3671" s="19" t="s">
        <v>1372</v>
      </c>
      <c r="AM3671" s="19"/>
      <c r="AN3671" s="19"/>
      <c r="AO3671" s="19"/>
      <c r="AP3671" s="19"/>
      <c r="AQ3671" s="19"/>
      <c r="AR3671" s="19" t="s">
        <v>1768</v>
      </c>
      <c r="AS3671" s="19" t="s">
        <v>5451</v>
      </c>
    </row>
    <row r="3672" spans="1:45" x14ac:dyDescent="0.3">
      <c r="A3672" s="410" t="s">
        <v>5452</v>
      </c>
      <c r="B3672" s="17" t="s">
        <v>5453</v>
      </c>
      <c r="C3672" s="19" t="s">
        <v>5418</v>
      </c>
      <c r="D3672" s="18">
        <v>23147847</v>
      </c>
      <c r="E3672" s="18"/>
      <c r="F3672" s="19"/>
      <c r="G3672" s="31">
        <v>45376</v>
      </c>
      <c r="H3672" s="31">
        <v>45741</v>
      </c>
      <c r="I3672" s="19" t="s">
        <v>1372</v>
      </c>
      <c r="J3672" s="19" t="s">
        <v>1373</v>
      </c>
      <c r="K3672" s="18" t="s">
        <v>1372</v>
      </c>
      <c r="L3672" s="19" t="s">
        <v>1373</v>
      </c>
      <c r="M3672" s="19" t="s">
        <v>1461</v>
      </c>
      <c r="N3672" s="20" t="s">
        <v>1462</v>
      </c>
      <c r="O3672" s="19" t="s">
        <v>1782</v>
      </c>
      <c r="P3672" s="19"/>
      <c r="Q3672" s="19" t="s">
        <v>1372</v>
      </c>
      <c r="R3672" s="19" t="s">
        <v>1372</v>
      </c>
      <c r="S3672" s="19" t="s">
        <v>1372</v>
      </c>
      <c r="T3672" s="19" t="s">
        <v>1372</v>
      </c>
      <c r="U3672" s="19" t="s">
        <v>1372</v>
      </c>
      <c r="V3672" s="19" t="s">
        <v>1372</v>
      </c>
      <c r="W3672" s="19"/>
      <c r="X3672" s="19"/>
      <c r="Y3672" s="19"/>
      <c r="Z3672" s="19" t="s">
        <v>1372</v>
      </c>
      <c r="AA3672" s="19"/>
      <c r="AB3672" s="19"/>
      <c r="AC3672" s="19"/>
      <c r="AD3672" s="19"/>
      <c r="AE3672" s="19"/>
      <c r="AF3672" s="19"/>
      <c r="AG3672" s="19"/>
      <c r="AH3672" s="19"/>
      <c r="AI3672" s="19"/>
      <c r="AJ3672" s="19"/>
      <c r="AK3672" s="19"/>
      <c r="AL3672" s="19" t="s">
        <v>1372</v>
      </c>
      <c r="AM3672" s="19" t="s">
        <v>1372</v>
      </c>
      <c r="AN3672" s="19"/>
      <c r="AO3672" s="19" t="s">
        <v>1372</v>
      </c>
      <c r="AP3672" s="19"/>
      <c r="AQ3672" s="19"/>
      <c r="AR3672" s="19" t="s">
        <v>1768</v>
      </c>
      <c r="AS3672" s="19"/>
    </row>
    <row r="3673" spans="1:45" x14ac:dyDescent="0.3">
      <c r="A3673" s="410" t="s">
        <v>5454</v>
      </c>
      <c r="B3673" s="17" t="s">
        <v>5455</v>
      </c>
      <c r="C3673" s="19"/>
      <c r="D3673" s="19">
        <v>23198751</v>
      </c>
      <c r="E3673" s="18"/>
      <c r="F3673" s="19"/>
      <c r="G3673" s="31"/>
      <c r="H3673" s="31"/>
      <c r="I3673" s="19"/>
      <c r="J3673" s="19"/>
      <c r="K3673" s="21"/>
      <c r="L3673" s="22"/>
      <c r="M3673" s="19"/>
      <c r="N3673" s="20"/>
      <c r="O3673" s="19"/>
      <c r="P3673" s="19"/>
      <c r="Q3673" s="19"/>
      <c r="R3673" s="19"/>
      <c r="S3673" s="19"/>
      <c r="T3673" s="19"/>
      <c r="U3673" s="19"/>
      <c r="V3673" s="19"/>
      <c r="W3673" s="19"/>
      <c r="X3673" s="19"/>
      <c r="Y3673" s="19"/>
      <c r="Z3673" s="19"/>
      <c r="AA3673" s="19"/>
      <c r="AB3673" s="19"/>
      <c r="AC3673" s="19"/>
      <c r="AD3673" s="19"/>
      <c r="AE3673" s="19"/>
      <c r="AF3673" s="19"/>
      <c r="AG3673" s="19"/>
      <c r="AH3673" s="19"/>
      <c r="AI3673" s="19"/>
      <c r="AJ3673" s="19"/>
      <c r="AK3673" s="19"/>
      <c r="AL3673" s="19"/>
      <c r="AM3673" s="19"/>
      <c r="AN3673" s="19"/>
      <c r="AO3673" s="19"/>
      <c r="AP3673" s="19"/>
      <c r="AQ3673" s="19"/>
      <c r="AR3673" s="19"/>
      <c r="AS3673" s="19"/>
    </row>
    <row r="3674" spans="1:45" x14ac:dyDescent="0.3">
      <c r="A3674" s="410" t="s">
        <v>5456</v>
      </c>
      <c r="B3674" s="17" t="s">
        <v>5457</v>
      </c>
      <c r="C3674" s="19" t="s">
        <v>5418</v>
      </c>
      <c r="D3674" s="18">
        <v>23197332</v>
      </c>
      <c r="E3674" s="18"/>
      <c r="F3674" s="19"/>
      <c r="G3674" s="31">
        <v>45383</v>
      </c>
      <c r="H3674" s="31">
        <v>45748</v>
      </c>
      <c r="I3674" s="19" t="s">
        <v>1372</v>
      </c>
      <c r="J3674" s="19" t="s">
        <v>1373</v>
      </c>
      <c r="K3674" s="18" t="s">
        <v>1372</v>
      </c>
      <c r="L3674" s="19" t="s">
        <v>1373</v>
      </c>
      <c r="M3674" s="19" t="s">
        <v>1461</v>
      </c>
      <c r="N3674" s="20" t="s">
        <v>1462</v>
      </c>
      <c r="O3674" s="19" t="s">
        <v>1372</v>
      </c>
      <c r="P3674" s="19"/>
      <c r="Q3674" s="19" t="s">
        <v>1372</v>
      </c>
      <c r="R3674" s="19" t="s">
        <v>1372</v>
      </c>
      <c r="S3674" s="19" t="s">
        <v>1372</v>
      </c>
      <c r="T3674" s="19" t="s">
        <v>1461</v>
      </c>
      <c r="U3674" s="19" t="s">
        <v>1461</v>
      </c>
      <c r="V3674" s="19" t="s">
        <v>1372</v>
      </c>
      <c r="W3674" s="19"/>
      <c r="X3674" s="19"/>
      <c r="Y3674" s="19"/>
      <c r="Z3674" s="19" t="s">
        <v>1372</v>
      </c>
      <c r="AA3674" s="19"/>
      <c r="AB3674" s="19"/>
      <c r="AC3674" s="19"/>
      <c r="AD3674" s="19"/>
      <c r="AE3674" s="19"/>
      <c r="AF3674" s="19"/>
      <c r="AG3674" s="19" t="s">
        <v>1372</v>
      </c>
      <c r="AH3674" s="19"/>
      <c r="AI3674" s="19"/>
      <c r="AJ3674" s="19"/>
      <c r="AK3674" s="19"/>
      <c r="AL3674" s="19" t="s">
        <v>1372</v>
      </c>
      <c r="AM3674" s="19"/>
      <c r="AN3674" s="19"/>
      <c r="AO3674" s="19"/>
      <c r="AP3674" s="19"/>
      <c r="AQ3674" s="19"/>
      <c r="AR3674" s="19" t="s">
        <v>1768</v>
      </c>
      <c r="AS3674" s="19"/>
    </row>
    <row r="3675" spans="1:45" x14ac:dyDescent="0.3">
      <c r="A3675" s="410" t="s">
        <v>5458</v>
      </c>
      <c r="B3675" s="17" t="s">
        <v>5459</v>
      </c>
      <c r="C3675" s="19" t="s">
        <v>5418</v>
      </c>
      <c r="D3675" s="18">
        <v>23198838</v>
      </c>
      <c r="E3675" s="18"/>
      <c r="F3675" s="19"/>
      <c r="G3675" s="31">
        <v>45376</v>
      </c>
      <c r="H3675" s="31">
        <v>45741</v>
      </c>
      <c r="I3675" s="19" t="s">
        <v>1372</v>
      </c>
      <c r="J3675" s="19" t="s">
        <v>1373</v>
      </c>
      <c r="K3675" s="18" t="s">
        <v>1372</v>
      </c>
      <c r="L3675" s="19" t="s">
        <v>1373</v>
      </c>
      <c r="M3675" s="19" t="s">
        <v>1461</v>
      </c>
      <c r="N3675" s="20" t="s">
        <v>1462</v>
      </c>
      <c r="O3675" s="19" t="s">
        <v>5460</v>
      </c>
      <c r="P3675" s="19"/>
      <c r="Q3675" s="19"/>
      <c r="R3675" s="19" t="s">
        <v>1821</v>
      </c>
      <c r="S3675" s="19" t="s">
        <v>1372</v>
      </c>
      <c r="T3675" s="19" t="s">
        <v>1461</v>
      </c>
      <c r="U3675" s="19" t="s">
        <v>1461</v>
      </c>
      <c r="V3675" s="19"/>
      <c r="W3675" s="19"/>
      <c r="X3675" s="19"/>
      <c r="Y3675" s="19"/>
      <c r="Z3675" s="19" t="s">
        <v>1372</v>
      </c>
      <c r="AA3675" s="19"/>
      <c r="AB3675" s="19"/>
      <c r="AC3675" s="19"/>
      <c r="AD3675" s="19"/>
      <c r="AE3675" s="19"/>
      <c r="AF3675" s="19"/>
      <c r="AG3675" s="19"/>
      <c r="AH3675" s="19"/>
      <c r="AI3675" s="19"/>
      <c r="AJ3675" s="19"/>
      <c r="AK3675" s="19"/>
      <c r="AL3675" s="19" t="s">
        <v>1372</v>
      </c>
      <c r="AM3675" s="19"/>
      <c r="AN3675" s="19"/>
      <c r="AO3675" s="19"/>
      <c r="AP3675" s="19"/>
      <c r="AQ3675" s="19"/>
      <c r="AR3675" s="19" t="s">
        <v>1768</v>
      </c>
      <c r="AS3675" s="19"/>
    </row>
    <row r="3676" spans="1:45" x14ac:dyDescent="0.3">
      <c r="A3676" s="410" t="s">
        <v>5461</v>
      </c>
      <c r="B3676" s="17" t="s">
        <v>5462</v>
      </c>
      <c r="C3676" s="19" t="s">
        <v>5418</v>
      </c>
      <c r="D3676" s="18">
        <v>23149830</v>
      </c>
      <c r="E3676" s="18"/>
      <c r="F3676" s="19"/>
      <c r="G3676" s="31">
        <v>45376</v>
      </c>
      <c r="H3676" s="31">
        <v>45741</v>
      </c>
      <c r="I3676" s="19" t="s">
        <v>1372</v>
      </c>
      <c r="J3676" s="19" t="s">
        <v>1373</v>
      </c>
      <c r="K3676" s="18" t="s">
        <v>1372</v>
      </c>
      <c r="L3676" s="19" t="s">
        <v>1373</v>
      </c>
      <c r="M3676" s="19" t="s">
        <v>1461</v>
      </c>
      <c r="N3676" s="20" t="s">
        <v>1462</v>
      </c>
      <c r="O3676" s="19"/>
      <c r="P3676" s="19" t="s">
        <v>1372</v>
      </c>
      <c r="Q3676" s="19" t="s">
        <v>1372</v>
      </c>
      <c r="R3676" s="19" t="s">
        <v>1372</v>
      </c>
      <c r="S3676" s="19" t="s">
        <v>1372</v>
      </c>
      <c r="T3676" s="19" t="s">
        <v>1461</v>
      </c>
      <c r="U3676" s="19" t="s">
        <v>1461</v>
      </c>
      <c r="V3676" s="19" t="s">
        <v>1372</v>
      </c>
      <c r="W3676" s="19"/>
      <c r="X3676" s="19"/>
      <c r="Y3676" s="19"/>
      <c r="Z3676" s="19" t="s">
        <v>1372</v>
      </c>
      <c r="AA3676" s="19"/>
      <c r="AB3676" s="19"/>
      <c r="AC3676" s="19"/>
      <c r="AD3676" s="19"/>
      <c r="AE3676" s="19"/>
      <c r="AF3676" s="19" t="s">
        <v>1372</v>
      </c>
      <c r="AG3676" s="19" t="s">
        <v>1372</v>
      </c>
      <c r="AH3676" s="19"/>
      <c r="AI3676" s="19"/>
      <c r="AJ3676" s="19"/>
      <c r="AK3676" s="19"/>
      <c r="AL3676" s="19"/>
      <c r="AM3676" s="19"/>
      <c r="AN3676" s="19"/>
      <c r="AO3676" s="19" t="s">
        <v>1372</v>
      </c>
      <c r="AP3676" s="19"/>
      <c r="AQ3676" s="19"/>
      <c r="AR3676" s="19" t="s">
        <v>1768</v>
      </c>
      <c r="AS3676" s="19"/>
    </row>
    <row r="3677" spans="1:45" x14ac:dyDescent="0.3">
      <c r="A3677" s="410" t="s">
        <v>5463</v>
      </c>
      <c r="B3677" s="17" t="s">
        <v>5464</v>
      </c>
      <c r="C3677" s="19"/>
      <c r="D3677" s="19">
        <v>23190648</v>
      </c>
      <c r="E3677" s="18"/>
      <c r="F3677" s="19"/>
      <c r="G3677" s="31"/>
      <c r="H3677" s="31"/>
      <c r="I3677" s="19"/>
      <c r="J3677" s="19"/>
      <c r="K3677" s="21"/>
      <c r="L3677" s="22"/>
      <c r="M3677" s="19"/>
      <c r="N3677" s="20"/>
      <c r="O3677" s="19"/>
      <c r="P3677" s="19"/>
      <c r="Q3677" s="19"/>
      <c r="R3677" s="19"/>
      <c r="S3677" s="19"/>
      <c r="T3677" s="19"/>
      <c r="U3677" s="19"/>
      <c r="V3677" s="19"/>
      <c r="W3677" s="19"/>
      <c r="X3677" s="19"/>
      <c r="Y3677" s="19"/>
      <c r="Z3677" s="19"/>
      <c r="AA3677" s="19"/>
      <c r="AB3677" s="19"/>
      <c r="AC3677" s="19"/>
      <c r="AD3677" s="19"/>
      <c r="AE3677" s="19"/>
      <c r="AF3677" s="19"/>
      <c r="AG3677" s="19"/>
      <c r="AH3677" s="19"/>
      <c r="AI3677" s="19"/>
      <c r="AJ3677" s="19"/>
      <c r="AK3677" s="19"/>
      <c r="AL3677" s="19"/>
      <c r="AM3677" s="19"/>
      <c r="AN3677" s="19"/>
      <c r="AO3677" s="19"/>
      <c r="AP3677" s="19"/>
      <c r="AQ3677" s="19"/>
      <c r="AR3677" s="19"/>
      <c r="AS3677" s="19"/>
    </row>
    <row r="3678" spans="1:45" x14ac:dyDescent="0.3">
      <c r="A3678" s="410" t="s">
        <v>5465</v>
      </c>
      <c r="B3678" s="17" t="s">
        <v>5466</v>
      </c>
      <c r="C3678" s="19"/>
      <c r="D3678" s="19">
        <v>23202721</v>
      </c>
      <c r="E3678" s="18"/>
      <c r="F3678" s="19"/>
      <c r="G3678" s="31"/>
      <c r="H3678" s="31"/>
      <c r="I3678" s="19"/>
      <c r="J3678" s="19"/>
      <c r="K3678" s="18"/>
      <c r="L3678" s="19"/>
      <c r="M3678" s="19"/>
      <c r="N3678" s="20"/>
      <c r="O3678" s="19"/>
      <c r="P3678" s="19"/>
      <c r="Q3678" s="19"/>
      <c r="R3678" s="19"/>
      <c r="S3678" s="19"/>
      <c r="T3678" s="19"/>
      <c r="U3678" s="19"/>
      <c r="V3678" s="19"/>
      <c r="W3678" s="19"/>
      <c r="X3678" s="19"/>
      <c r="Y3678" s="19"/>
      <c r="Z3678" s="19"/>
      <c r="AA3678" s="19"/>
      <c r="AB3678" s="19"/>
      <c r="AC3678" s="19"/>
      <c r="AD3678" s="19"/>
      <c r="AE3678" s="19"/>
      <c r="AF3678" s="19"/>
      <c r="AG3678" s="19"/>
      <c r="AH3678" s="19"/>
      <c r="AI3678" s="19"/>
      <c r="AJ3678" s="19"/>
      <c r="AK3678" s="19"/>
      <c r="AL3678" s="19"/>
      <c r="AM3678" s="19"/>
      <c r="AN3678" s="19"/>
      <c r="AO3678" s="19"/>
      <c r="AP3678" s="19"/>
      <c r="AQ3678" s="19"/>
      <c r="AR3678" s="19"/>
      <c r="AS3678" s="19"/>
    </row>
    <row r="3679" spans="1:45" x14ac:dyDescent="0.3">
      <c r="A3679" s="410" t="s">
        <v>5467</v>
      </c>
      <c r="B3679" s="17" t="s">
        <v>5468</v>
      </c>
      <c r="C3679" s="19"/>
      <c r="D3679" s="19">
        <v>23202222</v>
      </c>
      <c r="E3679" s="18"/>
      <c r="F3679" s="19"/>
      <c r="G3679" s="31"/>
      <c r="H3679" s="31"/>
      <c r="I3679" s="19"/>
      <c r="J3679" s="19"/>
      <c r="K3679" s="18"/>
      <c r="L3679" s="19"/>
      <c r="M3679" s="19"/>
      <c r="N3679" s="20"/>
      <c r="O3679" s="19"/>
      <c r="P3679" s="19"/>
      <c r="Q3679" s="19"/>
      <c r="R3679" s="19"/>
      <c r="S3679" s="19"/>
      <c r="T3679" s="19"/>
      <c r="U3679" s="19"/>
      <c r="V3679" s="19"/>
      <c r="W3679" s="19"/>
      <c r="X3679" s="19"/>
      <c r="Y3679" s="19"/>
      <c r="Z3679" s="19"/>
      <c r="AA3679" s="19"/>
      <c r="AB3679" s="19"/>
      <c r="AC3679" s="19"/>
      <c r="AD3679" s="19"/>
      <c r="AE3679" s="19"/>
      <c r="AF3679" s="19"/>
      <c r="AG3679" s="19"/>
      <c r="AH3679" s="19"/>
      <c r="AI3679" s="19"/>
      <c r="AJ3679" s="19"/>
      <c r="AK3679" s="19"/>
      <c r="AL3679" s="19"/>
      <c r="AM3679" s="19"/>
      <c r="AN3679" s="19"/>
      <c r="AO3679" s="19"/>
      <c r="AP3679" s="19"/>
      <c r="AQ3679" s="19"/>
      <c r="AR3679" s="19"/>
      <c r="AS3679" s="19"/>
    </row>
    <row r="3680" spans="1:45" x14ac:dyDescent="0.3">
      <c r="A3680" s="410" t="s">
        <v>5469</v>
      </c>
      <c r="B3680" s="17" t="s">
        <v>5470</v>
      </c>
      <c r="C3680" s="19"/>
      <c r="D3680" s="19">
        <v>23163247</v>
      </c>
      <c r="E3680" s="18"/>
      <c r="F3680" s="19"/>
      <c r="G3680" s="31"/>
      <c r="H3680" s="31"/>
      <c r="I3680" s="19"/>
      <c r="J3680" s="19"/>
      <c r="K3680" s="18"/>
      <c r="L3680" s="19"/>
      <c r="M3680" s="19"/>
      <c r="N3680" s="20"/>
      <c r="O3680" s="19"/>
      <c r="P3680" s="19"/>
      <c r="Q3680" s="19"/>
      <c r="R3680" s="19"/>
      <c r="S3680" s="19"/>
      <c r="T3680" s="19"/>
      <c r="U3680" s="19"/>
      <c r="V3680" s="19"/>
      <c r="W3680" s="19"/>
      <c r="X3680" s="19"/>
      <c r="Y3680" s="19"/>
      <c r="Z3680" s="19"/>
      <c r="AA3680" s="19"/>
      <c r="AB3680" s="19"/>
      <c r="AC3680" s="19"/>
      <c r="AD3680" s="19"/>
      <c r="AE3680" s="19"/>
      <c r="AF3680" s="19"/>
      <c r="AG3680" s="19"/>
      <c r="AH3680" s="19"/>
      <c r="AI3680" s="19"/>
      <c r="AJ3680" s="19"/>
      <c r="AK3680" s="19"/>
      <c r="AL3680" s="19"/>
      <c r="AM3680" s="19"/>
      <c r="AN3680" s="19"/>
      <c r="AO3680" s="19"/>
      <c r="AP3680" s="19"/>
      <c r="AQ3680" s="19"/>
      <c r="AR3680" s="19"/>
      <c r="AS3680" s="19"/>
    </row>
    <row r="3681" spans="1:45" x14ac:dyDescent="0.3">
      <c r="A3681" s="410" t="s">
        <v>5471</v>
      </c>
      <c r="B3681" s="17" t="s">
        <v>5472</v>
      </c>
      <c r="C3681" s="19"/>
      <c r="D3681" s="19">
        <v>23198924</v>
      </c>
      <c r="E3681" s="18"/>
      <c r="F3681" s="19"/>
      <c r="G3681" s="31"/>
      <c r="H3681" s="31"/>
      <c r="I3681" s="19"/>
      <c r="J3681" s="19"/>
      <c r="K3681" s="18"/>
      <c r="L3681" s="19"/>
      <c r="M3681" s="19"/>
      <c r="N3681" s="20"/>
      <c r="O3681" s="19"/>
      <c r="P3681" s="19"/>
      <c r="Q3681" s="19"/>
      <c r="R3681" s="19"/>
      <c r="S3681" s="19"/>
      <c r="T3681" s="19"/>
      <c r="U3681" s="19"/>
      <c r="V3681" s="19"/>
      <c r="W3681" s="19"/>
      <c r="X3681" s="19"/>
      <c r="Y3681" s="19"/>
      <c r="Z3681" s="19"/>
      <c r="AA3681" s="19"/>
      <c r="AB3681" s="19"/>
      <c r="AC3681" s="19"/>
      <c r="AD3681" s="19"/>
      <c r="AE3681" s="19"/>
      <c r="AF3681" s="19"/>
      <c r="AG3681" s="19"/>
      <c r="AH3681" s="19"/>
      <c r="AI3681" s="19"/>
      <c r="AJ3681" s="19"/>
      <c r="AK3681" s="19"/>
      <c r="AL3681" s="19"/>
      <c r="AM3681" s="19"/>
      <c r="AN3681" s="19"/>
      <c r="AO3681" s="19"/>
      <c r="AP3681" s="19"/>
      <c r="AQ3681" s="19"/>
      <c r="AR3681" s="19"/>
      <c r="AS3681" s="19"/>
    </row>
    <row r="3682" spans="1:45" x14ac:dyDescent="0.3">
      <c r="A3682" s="410" t="s">
        <v>5473</v>
      </c>
      <c r="B3682" s="17" t="s">
        <v>5474</v>
      </c>
      <c r="C3682" s="19" t="s">
        <v>5418</v>
      </c>
      <c r="D3682" s="18">
        <v>23161875</v>
      </c>
      <c r="E3682" s="18"/>
      <c r="F3682" s="19"/>
      <c r="G3682" s="31">
        <v>45377</v>
      </c>
      <c r="H3682" s="31">
        <v>45742</v>
      </c>
      <c r="I3682" s="19" t="s">
        <v>1372</v>
      </c>
      <c r="J3682" s="19" t="s">
        <v>1373</v>
      </c>
      <c r="K3682" s="18" t="s">
        <v>1372</v>
      </c>
      <c r="L3682" s="19" t="s">
        <v>1373</v>
      </c>
      <c r="M3682" s="19" t="s">
        <v>1461</v>
      </c>
      <c r="N3682" s="20" t="s">
        <v>1462</v>
      </c>
      <c r="O3682" s="19" t="s">
        <v>1372</v>
      </c>
      <c r="P3682" s="19"/>
      <c r="Q3682" s="19" t="s">
        <v>1372</v>
      </c>
      <c r="R3682" s="19" t="s">
        <v>1372</v>
      </c>
      <c r="S3682" s="19" t="s">
        <v>1372</v>
      </c>
      <c r="T3682" s="19" t="s">
        <v>1461</v>
      </c>
      <c r="U3682" s="19" t="s">
        <v>1461</v>
      </c>
      <c r="V3682" s="19" t="s">
        <v>1372</v>
      </c>
      <c r="W3682" s="19"/>
      <c r="X3682" s="19"/>
      <c r="Y3682" s="19"/>
      <c r="Z3682" s="19" t="s">
        <v>1372</v>
      </c>
      <c r="AA3682" s="19"/>
      <c r="AB3682" s="19"/>
      <c r="AC3682" s="19"/>
      <c r="AD3682" s="19"/>
      <c r="AE3682" s="19"/>
      <c r="AF3682" s="19"/>
      <c r="AG3682" s="19"/>
      <c r="AH3682" s="19"/>
      <c r="AI3682" s="19"/>
      <c r="AJ3682" s="19"/>
      <c r="AK3682" s="19"/>
      <c r="AL3682" s="19"/>
      <c r="AM3682" s="19"/>
      <c r="AN3682" s="19"/>
      <c r="AO3682" s="19"/>
      <c r="AP3682" s="19"/>
      <c r="AQ3682" s="19"/>
      <c r="AR3682" s="19"/>
      <c r="AS3682" s="19"/>
    </row>
    <row r="3683" spans="1:45" x14ac:dyDescent="0.3">
      <c r="A3683" s="410" t="s">
        <v>5475</v>
      </c>
      <c r="B3683" s="17" t="s">
        <v>5476</v>
      </c>
      <c r="C3683" s="19" t="s">
        <v>5425</v>
      </c>
      <c r="D3683" s="18">
        <v>23172204</v>
      </c>
      <c r="E3683" s="18"/>
      <c r="F3683" s="19"/>
      <c r="G3683" s="31">
        <v>45374</v>
      </c>
      <c r="H3683" s="31">
        <v>45742</v>
      </c>
      <c r="I3683" s="19" t="s">
        <v>1372</v>
      </c>
      <c r="J3683" s="19" t="s">
        <v>1373</v>
      </c>
      <c r="K3683" s="21" t="s">
        <v>1372</v>
      </c>
      <c r="L3683" s="22" t="s">
        <v>1373</v>
      </c>
      <c r="M3683" s="19" t="s">
        <v>1372</v>
      </c>
      <c r="N3683" s="20" t="s">
        <v>1462</v>
      </c>
      <c r="O3683" s="19" t="s">
        <v>1372</v>
      </c>
      <c r="P3683" s="19"/>
      <c r="Q3683" s="19" t="s">
        <v>1372</v>
      </c>
      <c r="R3683" s="19" t="s">
        <v>1372</v>
      </c>
      <c r="S3683" s="19" t="s">
        <v>1372</v>
      </c>
      <c r="T3683" s="19" t="s">
        <v>1461</v>
      </c>
      <c r="U3683" s="19" t="s">
        <v>1461</v>
      </c>
      <c r="V3683" s="19" t="s">
        <v>1372</v>
      </c>
      <c r="W3683" s="19"/>
      <c r="X3683" s="19"/>
      <c r="Y3683" s="19"/>
      <c r="Z3683" s="19" t="s">
        <v>1372</v>
      </c>
      <c r="AA3683" s="19"/>
      <c r="AB3683" s="19" t="s">
        <v>1372</v>
      </c>
      <c r="AC3683" s="19"/>
      <c r="AD3683" s="19" t="s">
        <v>1372</v>
      </c>
      <c r="AE3683" s="19"/>
      <c r="AF3683" s="19" t="s">
        <v>1372</v>
      </c>
      <c r="AG3683" s="19" t="s">
        <v>1372</v>
      </c>
      <c r="AH3683" s="19"/>
      <c r="AI3683" s="19"/>
      <c r="AJ3683" s="19"/>
      <c r="AK3683" s="19"/>
      <c r="AL3683" s="19"/>
      <c r="AM3683" s="19"/>
      <c r="AN3683" s="19"/>
      <c r="AO3683" s="19"/>
      <c r="AP3683" s="19"/>
      <c r="AQ3683" s="19"/>
      <c r="AR3683" s="19"/>
      <c r="AS3683" s="19"/>
    </row>
    <row r="3684" spans="1:45" x14ac:dyDescent="0.3">
      <c r="A3684" s="410" t="s">
        <v>5477</v>
      </c>
      <c r="B3684" s="17" t="s">
        <v>5478</v>
      </c>
      <c r="C3684" s="19"/>
      <c r="D3684" s="19">
        <v>23093924</v>
      </c>
      <c r="E3684" s="18"/>
      <c r="F3684" s="19"/>
      <c r="G3684" s="31"/>
      <c r="H3684" s="31"/>
      <c r="I3684" s="19"/>
      <c r="J3684" s="19"/>
      <c r="K3684" s="18"/>
      <c r="L3684" s="19"/>
      <c r="M3684" s="19"/>
      <c r="N3684" s="20"/>
      <c r="O3684" s="19"/>
      <c r="P3684" s="19"/>
      <c r="Q3684" s="19"/>
      <c r="R3684" s="19"/>
      <c r="S3684" s="19"/>
      <c r="T3684" s="19"/>
      <c r="U3684" s="19"/>
      <c r="V3684" s="19"/>
      <c r="W3684" s="19"/>
      <c r="X3684" s="19"/>
      <c r="Y3684" s="19"/>
      <c r="Z3684" s="19"/>
      <c r="AA3684" s="19"/>
      <c r="AB3684" s="19"/>
      <c r="AC3684" s="19"/>
      <c r="AD3684" s="19"/>
      <c r="AE3684" s="19"/>
      <c r="AF3684" s="19"/>
      <c r="AG3684" s="19"/>
      <c r="AH3684" s="19"/>
      <c r="AI3684" s="19"/>
      <c r="AJ3684" s="19"/>
      <c r="AK3684" s="19"/>
      <c r="AL3684" s="19"/>
      <c r="AM3684" s="19"/>
      <c r="AN3684" s="19"/>
      <c r="AO3684" s="19"/>
      <c r="AP3684" s="19"/>
      <c r="AQ3684" s="19"/>
      <c r="AR3684" s="19"/>
      <c r="AS3684" s="19"/>
    </row>
    <row r="3685" spans="1:45" x14ac:dyDescent="0.3">
      <c r="A3685" s="410" t="s">
        <v>5479</v>
      </c>
      <c r="B3685" s="17" t="s">
        <v>5480</v>
      </c>
      <c r="C3685" s="19" t="s">
        <v>5418</v>
      </c>
      <c r="D3685" s="18">
        <v>23196939</v>
      </c>
      <c r="E3685" s="18"/>
      <c r="F3685" s="19"/>
      <c r="G3685" s="31">
        <v>45376</v>
      </c>
      <c r="H3685" s="31">
        <v>45741</v>
      </c>
      <c r="I3685" s="19" t="s">
        <v>1372</v>
      </c>
      <c r="J3685" s="19" t="s">
        <v>1373</v>
      </c>
      <c r="K3685" s="18" t="s">
        <v>1372</v>
      </c>
      <c r="L3685" s="19" t="s">
        <v>1373</v>
      </c>
      <c r="M3685" s="19" t="s">
        <v>1461</v>
      </c>
      <c r="N3685" s="20" t="s">
        <v>1462</v>
      </c>
      <c r="O3685" s="19" t="s">
        <v>2582</v>
      </c>
      <c r="P3685" s="19"/>
      <c r="Q3685" s="19" t="s">
        <v>1372</v>
      </c>
      <c r="R3685" s="19" t="s">
        <v>1372</v>
      </c>
      <c r="S3685" s="19" t="s">
        <v>1372</v>
      </c>
      <c r="T3685" s="19" t="s">
        <v>1461</v>
      </c>
      <c r="U3685" s="19" t="s">
        <v>1461</v>
      </c>
      <c r="V3685" s="19" t="s">
        <v>1372</v>
      </c>
      <c r="W3685" s="19"/>
      <c r="X3685" s="19"/>
      <c r="Y3685" s="19"/>
      <c r="Z3685" s="19" t="s">
        <v>1372</v>
      </c>
      <c r="AA3685" s="19"/>
      <c r="AB3685" s="19"/>
      <c r="AC3685" s="19"/>
      <c r="AD3685" s="19"/>
      <c r="AE3685" s="19"/>
      <c r="AF3685" s="19"/>
      <c r="AG3685" s="19"/>
      <c r="AH3685" s="19"/>
      <c r="AI3685" s="19"/>
      <c r="AJ3685" s="19"/>
      <c r="AK3685" s="19"/>
      <c r="AL3685" s="19" t="s">
        <v>1372</v>
      </c>
      <c r="AM3685" s="19" t="s">
        <v>1372</v>
      </c>
      <c r="AN3685" s="19"/>
      <c r="AO3685" s="19"/>
      <c r="AP3685" s="19"/>
      <c r="AQ3685" s="19"/>
      <c r="AR3685" s="19" t="s">
        <v>1768</v>
      </c>
      <c r="AS3685" s="19"/>
    </row>
    <row r="3686" spans="1:45" x14ac:dyDescent="0.3">
      <c r="A3686" s="410" t="s">
        <v>5481</v>
      </c>
      <c r="B3686" s="17" t="s">
        <v>5482</v>
      </c>
      <c r="C3686" s="19"/>
      <c r="D3686" s="19">
        <v>23094899</v>
      </c>
      <c r="E3686" s="18"/>
      <c r="F3686" s="19"/>
      <c r="G3686" s="31"/>
      <c r="H3686" s="31"/>
      <c r="I3686" s="19"/>
      <c r="J3686" s="19"/>
      <c r="K3686" s="18"/>
      <c r="L3686" s="19"/>
      <c r="M3686" s="19"/>
      <c r="N3686" s="20"/>
      <c r="O3686" s="19"/>
      <c r="P3686" s="19"/>
      <c r="Q3686" s="19"/>
      <c r="R3686" s="19"/>
      <c r="S3686" s="19"/>
      <c r="T3686" s="19"/>
      <c r="U3686" s="19"/>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19"/>
    </row>
    <row r="3687" spans="1:45" x14ac:dyDescent="0.3">
      <c r="A3687" s="410" t="s">
        <v>5483</v>
      </c>
      <c r="B3687" s="17" t="s">
        <v>5484</v>
      </c>
      <c r="C3687" s="19"/>
      <c r="D3687" s="19">
        <v>23207723</v>
      </c>
      <c r="E3687" s="18"/>
      <c r="F3687" s="19"/>
      <c r="G3687" s="31"/>
      <c r="H3687" s="31"/>
      <c r="I3687" s="19"/>
      <c r="J3687" s="19"/>
      <c r="K3687" s="18"/>
      <c r="L3687" s="19"/>
      <c r="M3687" s="19"/>
      <c r="N3687" s="20"/>
      <c r="O3687" s="19"/>
      <c r="P3687" s="19"/>
      <c r="Q3687" s="19"/>
      <c r="R3687" s="19"/>
      <c r="S3687" s="19"/>
      <c r="T3687" s="19"/>
      <c r="U3687" s="19"/>
      <c r="V3687" s="19"/>
      <c r="W3687" s="19"/>
      <c r="X3687" s="19"/>
      <c r="Y3687" s="19"/>
      <c r="Z3687" s="19"/>
      <c r="AA3687" s="19"/>
      <c r="AB3687" s="19"/>
      <c r="AC3687" s="19"/>
      <c r="AD3687" s="19"/>
      <c r="AE3687" s="19"/>
      <c r="AF3687" s="19"/>
      <c r="AG3687" s="19"/>
      <c r="AH3687" s="19"/>
      <c r="AI3687" s="19"/>
      <c r="AJ3687" s="19"/>
      <c r="AK3687" s="19"/>
      <c r="AL3687" s="19"/>
      <c r="AM3687" s="19"/>
      <c r="AN3687" s="19"/>
      <c r="AO3687" s="19"/>
      <c r="AP3687" s="19"/>
      <c r="AQ3687" s="19"/>
      <c r="AR3687" s="19"/>
      <c r="AS3687" s="19"/>
    </row>
    <row r="3688" spans="1:45" x14ac:dyDescent="0.3">
      <c r="A3688" s="410" t="s">
        <v>5485</v>
      </c>
      <c r="B3688" s="17" t="s">
        <v>5486</v>
      </c>
      <c r="C3688" s="19"/>
      <c r="D3688" s="19">
        <v>23137415</v>
      </c>
      <c r="E3688" s="18"/>
      <c r="F3688" s="19"/>
      <c r="G3688" s="31"/>
      <c r="H3688" s="31"/>
      <c r="I3688" s="19"/>
      <c r="J3688" s="19"/>
      <c r="K3688" s="18"/>
      <c r="L3688" s="19"/>
      <c r="M3688" s="19"/>
      <c r="N3688" s="20"/>
      <c r="O3688" s="19"/>
      <c r="P3688" s="19"/>
      <c r="Q3688" s="19"/>
      <c r="R3688" s="19"/>
      <c r="S3688" s="19"/>
      <c r="T3688" s="19"/>
      <c r="U3688" s="19"/>
      <c r="V3688" s="19"/>
      <c r="W3688" s="19"/>
      <c r="X3688" s="19"/>
      <c r="Y3688" s="19"/>
      <c r="Z3688" s="19"/>
      <c r="AA3688" s="19"/>
      <c r="AB3688" s="19"/>
      <c r="AC3688" s="19"/>
      <c r="AD3688" s="19"/>
      <c r="AE3688" s="19"/>
      <c r="AF3688" s="19"/>
      <c r="AG3688" s="19"/>
      <c r="AH3688" s="19"/>
      <c r="AI3688" s="19"/>
      <c r="AJ3688" s="19"/>
      <c r="AK3688" s="19"/>
      <c r="AL3688" s="19"/>
      <c r="AM3688" s="19"/>
      <c r="AN3688" s="19"/>
      <c r="AO3688" s="19"/>
      <c r="AP3688" s="19"/>
      <c r="AQ3688" s="19"/>
      <c r="AR3688" s="19"/>
      <c r="AS3688" s="19"/>
    </row>
    <row r="3689" spans="1:45" x14ac:dyDescent="0.3">
      <c r="A3689" s="410" t="s">
        <v>5487</v>
      </c>
      <c r="B3689" s="17" t="s">
        <v>5488</v>
      </c>
      <c r="C3689" s="19" t="s">
        <v>5418</v>
      </c>
      <c r="D3689" s="18">
        <v>23094889</v>
      </c>
      <c r="E3689" s="18"/>
      <c r="F3689" s="19"/>
      <c r="G3689" s="31">
        <v>45377</v>
      </c>
      <c r="H3689" s="31">
        <v>45742</v>
      </c>
      <c r="I3689" s="19" t="s">
        <v>1372</v>
      </c>
      <c r="J3689" s="19" t="s">
        <v>1373</v>
      </c>
      <c r="K3689" s="18" t="s">
        <v>1372</v>
      </c>
      <c r="L3689" s="19" t="s">
        <v>1373</v>
      </c>
      <c r="M3689" s="19" t="s">
        <v>1461</v>
      </c>
      <c r="N3689" s="20" t="s">
        <v>1462</v>
      </c>
      <c r="O3689" s="19" t="s">
        <v>1372</v>
      </c>
      <c r="P3689" s="19"/>
      <c r="Q3689" s="19" t="s">
        <v>1372</v>
      </c>
      <c r="R3689" s="19" t="s">
        <v>1372</v>
      </c>
      <c r="S3689" s="19" t="s">
        <v>1372</v>
      </c>
      <c r="T3689" s="19" t="s">
        <v>1461</v>
      </c>
      <c r="U3689" s="19" t="s">
        <v>1461</v>
      </c>
      <c r="V3689" s="19"/>
      <c r="W3689" s="19" t="s">
        <v>1382</v>
      </c>
      <c r="X3689" s="19"/>
      <c r="Y3689" s="19"/>
      <c r="Z3689" s="19" t="s">
        <v>1372</v>
      </c>
      <c r="AA3689" s="19"/>
      <c r="AB3689" s="19"/>
      <c r="AC3689" s="19"/>
      <c r="AD3689" s="19"/>
      <c r="AE3689" s="19"/>
      <c r="AF3689" s="19" t="s">
        <v>1372</v>
      </c>
      <c r="AG3689" s="19"/>
      <c r="AH3689" s="19"/>
      <c r="AI3689" s="19"/>
      <c r="AJ3689" s="19"/>
      <c r="AK3689" s="19"/>
      <c r="AL3689" s="19"/>
      <c r="AM3689" s="19"/>
      <c r="AN3689" s="19"/>
      <c r="AO3689" s="19"/>
      <c r="AP3689" s="19"/>
      <c r="AQ3689" s="19"/>
      <c r="AR3689" s="19"/>
      <c r="AS3689" s="19"/>
    </row>
    <row r="3690" spans="1:45" x14ac:dyDescent="0.3">
      <c r="A3690" s="410" t="s">
        <v>5489</v>
      </c>
      <c r="B3690" s="17" t="s">
        <v>5490</v>
      </c>
      <c r="C3690" s="19" t="s">
        <v>5418</v>
      </c>
      <c r="D3690" s="18">
        <v>23199706</v>
      </c>
      <c r="E3690" s="18"/>
      <c r="F3690" s="19"/>
      <c r="G3690" s="31">
        <v>45376</v>
      </c>
      <c r="H3690" s="31">
        <v>45741</v>
      </c>
      <c r="I3690" s="19" t="s">
        <v>1372</v>
      </c>
      <c r="J3690" s="19" t="s">
        <v>1373</v>
      </c>
      <c r="K3690" s="18" t="s">
        <v>1372</v>
      </c>
      <c r="L3690" s="19" t="s">
        <v>1373</v>
      </c>
      <c r="M3690" s="19" t="s">
        <v>1461</v>
      </c>
      <c r="N3690" s="20" t="s">
        <v>5491</v>
      </c>
      <c r="O3690" s="19" t="s">
        <v>1782</v>
      </c>
      <c r="P3690" s="19"/>
      <c r="Q3690" s="19" t="s">
        <v>1372</v>
      </c>
      <c r="R3690" s="19" t="s">
        <v>1372</v>
      </c>
      <c r="S3690" s="19" t="s">
        <v>1372</v>
      </c>
      <c r="T3690" s="19" t="s">
        <v>1461</v>
      </c>
      <c r="U3690" s="19" t="s">
        <v>1461</v>
      </c>
      <c r="V3690" s="19" t="s">
        <v>1372</v>
      </c>
      <c r="W3690" s="19"/>
      <c r="X3690" s="19"/>
      <c r="Y3690" s="19"/>
      <c r="Z3690" s="19" t="s">
        <v>1372</v>
      </c>
      <c r="AA3690" s="19"/>
      <c r="AB3690" s="19"/>
      <c r="AC3690" s="19"/>
      <c r="AD3690" s="19"/>
      <c r="AE3690" s="19"/>
      <c r="AF3690" s="19"/>
      <c r="AG3690" s="19"/>
      <c r="AH3690" s="19"/>
      <c r="AI3690" s="19"/>
      <c r="AJ3690" s="19"/>
      <c r="AK3690" s="19"/>
      <c r="AL3690" s="19"/>
      <c r="AM3690" s="19"/>
      <c r="AN3690" s="19"/>
      <c r="AO3690" s="19"/>
      <c r="AP3690" s="19"/>
      <c r="AQ3690" s="19"/>
      <c r="AR3690" s="19" t="s">
        <v>1768</v>
      </c>
      <c r="AS3690" s="19"/>
    </row>
    <row r="3691" spans="1:45" x14ac:dyDescent="0.3">
      <c r="A3691" s="410" t="s">
        <v>5492</v>
      </c>
      <c r="B3691" s="17" t="s">
        <v>5493</v>
      </c>
      <c r="C3691" s="19"/>
      <c r="D3691" s="19">
        <v>23094897</v>
      </c>
      <c r="E3691" s="18"/>
      <c r="F3691" s="19"/>
      <c r="G3691" s="31"/>
      <c r="H3691" s="31"/>
      <c r="I3691" s="19"/>
      <c r="J3691" s="19"/>
      <c r="K3691" s="18"/>
      <c r="L3691" s="19"/>
      <c r="M3691" s="19"/>
      <c r="N3691" s="20"/>
      <c r="O3691" s="19"/>
      <c r="P3691" s="19"/>
      <c r="Q3691" s="19"/>
      <c r="R3691" s="19"/>
      <c r="S3691" s="19"/>
      <c r="T3691" s="19"/>
      <c r="U3691" s="19"/>
      <c r="V3691" s="19"/>
      <c r="W3691" s="19"/>
      <c r="X3691" s="19"/>
      <c r="Y3691" s="19"/>
      <c r="Z3691" s="19"/>
      <c r="AA3691" s="19"/>
      <c r="AB3691" s="19"/>
      <c r="AC3691" s="19"/>
      <c r="AD3691" s="19"/>
      <c r="AE3691" s="19"/>
      <c r="AF3691" s="19"/>
      <c r="AG3691" s="19"/>
      <c r="AH3691" s="19"/>
      <c r="AI3691" s="19"/>
      <c r="AJ3691" s="19"/>
      <c r="AK3691" s="19"/>
      <c r="AL3691" s="19"/>
      <c r="AM3691" s="19"/>
      <c r="AN3691" s="19"/>
      <c r="AO3691" s="19"/>
      <c r="AP3691" s="19"/>
      <c r="AQ3691" s="19"/>
      <c r="AR3691" s="19"/>
      <c r="AS3691" s="19"/>
    </row>
    <row r="3692" spans="1:45" x14ac:dyDescent="0.3">
      <c r="A3692" s="410" t="s">
        <v>5494</v>
      </c>
      <c r="B3692" s="17" t="s">
        <v>5495</v>
      </c>
      <c r="C3692" s="19" t="s">
        <v>5418</v>
      </c>
      <c r="D3692" s="18">
        <v>23192524</v>
      </c>
      <c r="E3692" s="18"/>
      <c r="F3692" s="19"/>
      <c r="G3692" s="31">
        <v>45383</v>
      </c>
      <c r="H3692" s="31">
        <v>45748</v>
      </c>
      <c r="I3692" s="19" t="s">
        <v>1372</v>
      </c>
      <c r="J3692" s="19" t="s">
        <v>1373</v>
      </c>
      <c r="K3692" s="18" t="s">
        <v>1372</v>
      </c>
      <c r="L3692" s="19" t="s">
        <v>1373</v>
      </c>
      <c r="M3692" s="19" t="s">
        <v>1461</v>
      </c>
      <c r="N3692" s="20" t="s">
        <v>1462</v>
      </c>
      <c r="O3692" s="19" t="s">
        <v>1372</v>
      </c>
      <c r="P3692" s="19"/>
      <c r="Q3692" s="19" t="s">
        <v>1372</v>
      </c>
      <c r="R3692" s="19" t="s">
        <v>1372</v>
      </c>
      <c r="S3692" s="19" t="s">
        <v>1372</v>
      </c>
      <c r="T3692" s="19" t="s">
        <v>1461</v>
      </c>
      <c r="U3692" s="19" t="s">
        <v>1461</v>
      </c>
      <c r="V3692" s="19" t="s">
        <v>1372</v>
      </c>
      <c r="W3692" s="19" t="s">
        <v>1382</v>
      </c>
      <c r="X3692" s="19"/>
      <c r="Y3692" s="19"/>
      <c r="Z3692" s="19" t="s">
        <v>1372</v>
      </c>
      <c r="AA3692" s="19"/>
      <c r="AB3692" s="19"/>
      <c r="AC3692" s="19"/>
      <c r="AD3692" s="19"/>
      <c r="AE3692" s="19"/>
      <c r="AF3692" s="19"/>
      <c r="AG3692" s="19"/>
      <c r="AH3692" s="19"/>
      <c r="AI3692" s="19"/>
      <c r="AJ3692" s="19"/>
      <c r="AK3692" s="19"/>
      <c r="AL3692" s="19"/>
      <c r="AM3692" s="19"/>
      <c r="AN3692" s="19"/>
      <c r="AO3692" s="19"/>
      <c r="AP3692" s="19"/>
      <c r="AQ3692" s="19"/>
      <c r="AR3692" s="19"/>
      <c r="AS3692" s="19"/>
    </row>
    <row r="3693" spans="1:45" x14ac:dyDescent="0.3">
      <c r="A3693" s="410" t="s">
        <v>5496</v>
      </c>
      <c r="B3693" s="17" t="s">
        <v>5497</v>
      </c>
      <c r="C3693" s="19" t="s">
        <v>5425</v>
      </c>
      <c r="D3693" s="18">
        <v>23163156</v>
      </c>
      <c r="E3693" s="18"/>
      <c r="F3693" s="19"/>
      <c r="G3693" s="31">
        <v>45377</v>
      </c>
      <c r="H3693" s="31">
        <v>45742</v>
      </c>
      <c r="I3693" s="19" t="s">
        <v>1372</v>
      </c>
      <c r="J3693" s="19"/>
      <c r="K3693" s="21" t="s">
        <v>1372</v>
      </c>
      <c r="L3693" s="22"/>
      <c r="M3693" s="19" t="s">
        <v>1372</v>
      </c>
      <c r="N3693" s="20" t="s">
        <v>1462</v>
      </c>
      <c r="O3693" s="19" t="s">
        <v>5143</v>
      </c>
      <c r="P3693" s="19"/>
      <c r="Q3693" s="19" t="s">
        <v>1372</v>
      </c>
      <c r="R3693" s="19" t="s">
        <v>1372</v>
      </c>
      <c r="S3693" s="19" t="s">
        <v>1372</v>
      </c>
      <c r="T3693" s="19" t="s">
        <v>1461</v>
      </c>
      <c r="U3693" s="19" t="s">
        <v>1461</v>
      </c>
      <c r="V3693" s="19" t="s">
        <v>1372</v>
      </c>
      <c r="W3693" s="19"/>
      <c r="X3693" s="19"/>
      <c r="Y3693" s="19"/>
      <c r="Z3693" s="19" t="s">
        <v>1372</v>
      </c>
      <c r="AA3693" s="19"/>
      <c r="AB3693" s="19"/>
      <c r="AC3693" s="19"/>
      <c r="AD3693" s="19"/>
      <c r="AE3693" s="19"/>
      <c r="AF3693" s="19"/>
      <c r="AG3693" s="19"/>
      <c r="AH3693" s="19"/>
      <c r="AI3693" s="19"/>
      <c r="AJ3693" s="19"/>
      <c r="AK3693" s="19"/>
      <c r="AL3693" s="19"/>
      <c r="AM3693" s="19"/>
      <c r="AN3693" s="19"/>
      <c r="AO3693" s="19"/>
      <c r="AP3693" s="19"/>
      <c r="AQ3693" s="19"/>
      <c r="AR3693" s="19"/>
      <c r="AS3693" s="19"/>
    </row>
    <row r="3694" spans="1:45" x14ac:dyDescent="0.3">
      <c r="A3694" s="410" t="s">
        <v>5498</v>
      </c>
      <c r="B3694" s="17" t="s">
        <v>5499</v>
      </c>
      <c r="C3694" s="19" t="s">
        <v>5500</v>
      </c>
      <c r="D3694" s="18">
        <v>22200223</v>
      </c>
      <c r="E3694" s="18"/>
      <c r="F3694" s="19"/>
      <c r="G3694" s="31">
        <v>45383</v>
      </c>
      <c r="H3694" s="31">
        <v>45748</v>
      </c>
      <c r="I3694" s="19" t="s">
        <v>1372</v>
      </c>
      <c r="J3694" s="19" t="s">
        <v>1373</v>
      </c>
      <c r="K3694" s="18" t="s">
        <v>1372</v>
      </c>
      <c r="L3694" s="19" t="s">
        <v>1373</v>
      </c>
      <c r="M3694" s="19" t="s">
        <v>1461</v>
      </c>
      <c r="N3694" s="20" t="s">
        <v>1462</v>
      </c>
      <c r="O3694" s="19" t="s">
        <v>1372</v>
      </c>
      <c r="P3694" s="19"/>
      <c r="Q3694" s="19" t="s">
        <v>1372</v>
      </c>
      <c r="R3694" s="19" t="s">
        <v>1372</v>
      </c>
      <c r="S3694" s="19" t="s">
        <v>1372</v>
      </c>
      <c r="T3694" s="19" t="s">
        <v>1461</v>
      </c>
      <c r="U3694" s="19" t="s">
        <v>1461</v>
      </c>
      <c r="V3694" s="19" t="s">
        <v>1372</v>
      </c>
      <c r="W3694" s="19"/>
      <c r="X3694" s="19"/>
      <c r="Y3694" s="19"/>
      <c r="Z3694" s="19" t="s">
        <v>1372</v>
      </c>
      <c r="AA3694" s="19"/>
      <c r="AB3694" s="19"/>
      <c r="AC3694" s="19"/>
      <c r="AD3694" s="19"/>
      <c r="AE3694" s="19"/>
      <c r="AF3694" s="19"/>
      <c r="AG3694" s="19"/>
      <c r="AH3694" s="19"/>
      <c r="AI3694" s="19"/>
      <c r="AJ3694" s="19"/>
      <c r="AK3694" s="19"/>
      <c r="AL3694" s="19"/>
      <c r="AM3694" s="19" t="s">
        <v>1372</v>
      </c>
      <c r="AN3694" s="19"/>
      <c r="AO3694" s="19"/>
      <c r="AP3694" s="19"/>
      <c r="AQ3694" s="19"/>
      <c r="AR3694" s="19" t="s">
        <v>1768</v>
      </c>
      <c r="AS3694" s="19" t="s">
        <v>1783</v>
      </c>
    </row>
    <row r="3695" spans="1:45" x14ac:dyDescent="0.3">
      <c r="A3695" s="410" t="s">
        <v>5501</v>
      </c>
      <c r="B3695" s="17" t="s">
        <v>5502</v>
      </c>
      <c r="C3695" s="19"/>
      <c r="D3695" s="19">
        <v>23094820</v>
      </c>
      <c r="E3695" s="18"/>
      <c r="F3695" s="19"/>
      <c r="G3695" s="31"/>
      <c r="H3695" s="31"/>
      <c r="I3695" s="19"/>
      <c r="J3695" s="19"/>
      <c r="K3695" s="18"/>
      <c r="L3695" s="19"/>
      <c r="M3695" s="19"/>
      <c r="N3695" s="20"/>
      <c r="O3695" s="19"/>
      <c r="P3695" s="19"/>
      <c r="Q3695" s="19"/>
      <c r="R3695" s="19"/>
      <c r="S3695" s="19"/>
      <c r="T3695" s="19"/>
      <c r="U3695" s="19"/>
      <c r="V3695" s="19"/>
      <c r="W3695" s="19"/>
      <c r="X3695" s="19"/>
      <c r="Y3695" s="19"/>
      <c r="Z3695" s="19"/>
      <c r="AA3695" s="19"/>
      <c r="AB3695" s="19"/>
      <c r="AC3695" s="19"/>
      <c r="AD3695" s="19"/>
      <c r="AE3695" s="19"/>
      <c r="AF3695" s="19"/>
      <c r="AG3695" s="19"/>
      <c r="AH3695" s="19"/>
      <c r="AI3695" s="19"/>
      <c r="AJ3695" s="19"/>
      <c r="AK3695" s="19"/>
      <c r="AL3695" s="19"/>
      <c r="AM3695" s="19"/>
      <c r="AN3695" s="19"/>
      <c r="AO3695" s="19"/>
      <c r="AP3695" s="19"/>
      <c r="AQ3695" s="19"/>
      <c r="AR3695" s="19"/>
      <c r="AS3695" s="19"/>
    </row>
    <row r="3696" spans="1:45" x14ac:dyDescent="0.3">
      <c r="A3696" s="410" t="s">
        <v>5503</v>
      </c>
      <c r="B3696" s="17" t="s">
        <v>5504</v>
      </c>
      <c r="C3696" s="19"/>
      <c r="D3696" s="19">
        <v>23166805</v>
      </c>
      <c r="E3696" s="18"/>
      <c r="F3696" s="19"/>
      <c r="G3696" s="31"/>
      <c r="H3696" s="31"/>
      <c r="I3696" s="19"/>
      <c r="J3696" s="19"/>
      <c r="K3696" s="18"/>
      <c r="L3696" s="19"/>
      <c r="M3696" s="19"/>
      <c r="N3696" s="20"/>
      <c r="O3696" s="19"/>
      <c r="P3696" s="19"/>
      <c r="Q3696" s="19"/>
      <c r="R3696" s="19"/>
      <c r="S3696" s="19"/>
      <c r="T3696" s="19"/>
      <c r="U3696" s="19"/>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19"/>
    </row>
    <row r="3697" spans="1:45" x14ac:dyDescent="0.3">
      <c r="A3697" s="410" t="s">
        <v>5505</v>
      </c>
      <c r="B3697" s="17" t="s">
        <v>5506</v>
      </c>
      <c r="C3697" s="19"/>
      <c r="D3697" s="19">
        <v>23202337</v>
      </c>
      <c r="E3697" s="18"/>
      <c r="F3697" s="19"/>
      <c r="G3697" s="31"/>
      <c r="H3697" s="31"/>
      <c r="I3697" s="19"/>
      <c r="J3697" s="19"/>
      <c r="K3697" s="18"/>
      <c r="L3697" s="19"/>
      <c r="M3697" s="19"/>
      <c r="N3697" s="20"/>
      <c r="O3697" s="19"/>
      <c r="P3697" s="19"/>
      <c r="Q3697" s="19"/>
      <c r="R3697" s="19"/>
      <c r="S3697" s="19"/>
      <c r="T3697" s="19"/>
      <c r="U3697" s="19"/>
      <c r="V3697" s="19"/>
      <c r="W3697" s="19"/>
      <c r="X3697" s="19"/>
      <c r="Y3697" s="19"/>
      <c r="Z3697" s="19"/>
      <c r="AA3697" s="19"/>
      <c r="AB3697" s="19"/>
      <c r="AC3697" s="19"/>
      <c r="AD3697" s="19"/>
      <c r="AE3697" s="19"/>
      <c r="AF3697" s="19"/>
      <c r="AG3697" s="19"/>
      <c r="AH3697" s="19"/>
      <c r="AI3697" s="19"/>
      <c r="AJ3697" s="19"/>
      <c r="AK3697" s="19"/>
      <c r="AL3697" s="19"/>
      <c r="AM3697" s="19"/>
      <c r="AN3697" s="19"/>
      <c r="AO3697" s="19"/>
      <c r="AP3697" s="19"/>
      <c r="AQ3697" s="19"/>
      <c r="AR3697" s="19"/>
      <c r="AS3697" s="19"/>
    </row>
    <row r="3698" spans="1:45" x14ac:dyDescent="0.3">
      <c r="A3698" s="410" t="s">
        <v>5507</v>
      </c>
      <c r="B3698" s="17" t="s">
        <v>5508</v>
      </c>
      <c r="C3698" s="19"/>
      <c r="D3698" s="19">
        <v>23196938</v>
      </c>
      <c r="E3698" s="18"/>
      <c r="F3698" s="19"/>
      <c r="G3698" s="31"/>
      <c r="H3698" s="31"/>
      <c r="I3698" s="19"/>
      <c r="J3698" s="19"/>
      <c r="K3698" s="18"/>
      <c r="L3698" s="19"/>
      <c r="M3698" s="19"/>
      <c r="N3698" s="20"/>
      <c r="O3698" s="19"/>
      <c r="P3698" s="19"/>
      <c r="Q3698" s="19"/>
      <c r="R3698" s="19"/>
      <c r="S3698" s="19"/>
      <c r="T3698" s="19"/>
      <c r="U3698" s="19"/>
      <c r="V3698" s="19"/>
      <c r="W3698" s="19"/>
      <c r="X3698" s="19"/>
      <c r="Y3698" s="19"/>
      <c r="Z3698" s="19"/>
      <c r="AA3698" s="19"/>
      <c r="AB3698" s="19"/>
      <c r="AC3698" s="19"/>
      <c r="AD3698" s="19"/>
      <c r="AE3698" s="19"/>
      <c r="AF3698" s="19"/>
      <c r="AG3698" s="19"/>
      <c r="AH3698" s="19"/>
      <c r="AI3698" s="19"/>
      <c r="AJ3698" s="19"/>
      <c r="AK3698" s="19"/>
      <c r="AL3698" s="19"/>
      <c r="AM3698" s="19"/>
      <c r="AN3698" s="19"/>
      <c r="AO3698" s="19"/>
      <c r="AP3698" s="19"/>
      <c r="AQ3698" s="19"/>
      <c r="AR3698" s="19"/>
      <c r="AS3698" s="19"/>
    </row>
    <row r="3699" spans="1:45" x14ac:dyDescent="0.3">
      <c r="A3699" s="410" t="s">
        <v>5509</v>
      </c>
      <c r="B3699" s="17" t="s">
        <v>5510</v>
      </c>
      <c r="C3699" s="19" t="s">
        <v>5425</v>
      </c>
      <c r="D3699" s="18">
        <v>23158039</v>
      </c>
      <c r="E3699" s="18"/>
      <c r="F3699" s="19"/>
      <c r="G3699" s="31">
        <v>45378</v>
      </c>
      <c r="H3699" s="31">
        <v>45743</v>
      </c>
      <c r="I3699" s="19" t="s">
        <v>1372</v>
      </c>
      <c r="J3699" s="19" t="s">
        <v>1373</v>
      </c>
      <c r="K3699" s="21" t="s">
        <v>1372</v>
      </c>
      <c r="L3699" s="22" t="s">
        <v>1373</v>
      </c>
      <c r="M3699" s="19" t="s">
        <v>1372</v>
      </c>
      <c r="N3699" s="20" t="s">
        <v>1462</v>
      </c>
      <c r="O3699" s="19"/>
      <c r="P3699" s="19" t="s">
        <v>1372</v>
      </c>
      <c r="Q3699" s="19" t="s">
        <v>1372</v>
      </c>
      <c r="R3699" s="19" t="s">
        <v>1372</v>
      </c>
      <c r="S3699" s="19" t="s">
        <v>1372</v>
      </c>
      <c r="T3699" s="19" t="s">
        <v>1461</v>
      </c>
      <c r="U3699" s="19" t="s">
        <v>1461</v>
      </c>
      <c r="V3699" s="19" t="s">
        <v>1372</v>
      </c>
      <c r="W3699" s="19"/>
      <c r="X3699" s="19"/>
      <c r="Y3699" s="19"/>
      <c r="Z3699" s="19" t="s">
        <v>1372</v>
      </c>
      <c r="AA3699" s="19"/>
      <c r="AB3699" s="19"/>
      <c r="AC3699" s="19"/>
      <c r="AD3699" s="19"/>
      <c r="AE3699" s="19"/>
      <c r="AF3699" s="19" t="s">
        <v>1372</v>
      </c>
      <c r="AG3699" s="19" t="s">
        <v>1372</v>
      </c>
      <c r="AH3699" s="19"/>
      <c r="AI3699" s="19"/>
      <c r="AJ3699" s="19"/>
      <c r="AK3699" s="19"/>
      <c r="AL3699" s="19"/>
      <c r="AM3699" s="19"/>
      <c r="AN3699" s="19"/>
      <c r="AO3699" s="19" t="s">
        <v>1372</v>
      </c>
      <c r="AP3699" s="19"/>
      <c r="AQ3699" s="19"/>
      <c r="AR3699" s="19" t="s">
        <v>5511</v>
      </c>
      <c r="AS3699" s="19"/>
    </row>
    <row r="3700" spans="1:45" x14ac:dyDescent="0.3">
      <c r="A3700" s="410" t="s">
        <v>5512</v>
      </c>
      <c r="B3700" s="17" t="s">
        <v>5513</v>
      </c>
      <c r="C3700" s="19" t="s">
        <v>5418</v>
      </c>
      <c r="D3700" s="18">
        <v>23157545</v>
      </c>
      <c r="E3700" s="18"/>
      <c r="F3700" s="19"/>
      <c r="G3700" s="31">
        <v>45376</v>
      </c>
      <c r="H3700" s="31">
        <v>45741</v>
      </c>
      <c r="I3700" s="19" t="s">
        <v>1372</v>
      </c>
      <c r="J3700" s="19" t="s">
        <v>1373</v>
      </c>
      <c r="K3700" s="18" t="s">
        <v>1372</v>
      </c>
      <c r="L3700" s="19" t="s">
        <v>1373</v>
      </c>
      <c r="M3700" s="19" t="s">
        <v>1461</v>
      </c>
      <c r="N3700" s="20" t="s">
        <v>1462</v>
      </c>
      <c r="O3700" s="19" t="s">
        <v>1372</v>
      </c>
      <c r="P3700" s="19"/>
      <c r="Q3700" s="19" t="s">
        <v>1372</v>
      </c>
      <c r="R3700" s="19" t="s">
        <v>1372</v>
      </c>
      <c r="S3700" s="19" t="s">
        <v>1372</v>
      </c>
      <c r="T3700" s="19" t="s">
        <v>1461</v>
      </c>
      <c r="U3700" s="19" t="s">
        <v>1461</v>
      </c>
      <c r="V3700" s="19" t="s">
        <v>1372</v>
      </c>
      <c r="W3700" s="19"/>
      <c r="X3700" s="19"/>
      <c r="Y3700" s="19"/>
      <c r="Z3700" s="19" t="s">
        <v>1372</v>
      </c>
      <c r="AA3700" s="19"/>
      <c r="AB3700" s="19"/>
      <c r="AC3700" s="19"/>
      <c r="AD3700" s="19"/>
      <c r="AE3700" s="19"/>
      <c r="AF3700" s="19"/>
      <c r="AG3700" s="19"/>
      <c r="AH3700" s="19"/>
      <c r="AI3700" s="19"/>
      <c r="AJ3700" s="19"/>
      <c r="AK3700" s="19"/>
      <c r="AL3700" s="19" t="s">
        <v>1372</v>
      </c>
      <c r="AM3700" s="19" t="s">
        <v>1372</v>
      </c>
      <c r="AN3700" s="19"/>
      <c r="AO3700" s="19"/>
      <c r="AP3700" s="19"/>
      <c r="AQ3700" s="19"/>
      <c r="AR3700" s="19" t="s">
        <v>1768</v>
      </c>
      <c r="AS3700" s="19"/>
    </row>
    <row r="3701" spans="1:45" x14ac:dyDescent="0.3">
      <c r="A3701" s="410" t="s">
        <v>5514</v>
      </c>
      <c r="B3701" s="17" t="s">
        <v>5515</v>
      </c>
      <c r="C3701" s="19"/>
      <c r="D3701" s="19">
        <v>23163250</v>
      </c>
      <c r="E3701" s="18"/>
      <c r="F3701" s="19"/>
      <c r="G3701" s="31"/>
      <c r="H3701" s="31"/>
      <c r="I3701" s="19"/>
      <c r="J3701" s="19"/>
      <c r="K3701" s="18"/>
      <c r="L3701" s="19"/>
      <c r="M3701" s="19"/>
      <c r="N3701" s="20"/>
      <c r="O3701" s="19"/>
      <c r="P3701" s="19"/>
      <c r="Q3701" s="19"/>
      <c r="R3701" s="19"/>
      <c r="S3701" s="19"/>
      <c r="T3701" s="19"/>
      <c r="U3701" s="19"/>
      <c r="V3701" s="19"/>
      <c r="W3701" s="19"/>
      <c r="X3701" s="19"/>
      <c r="Y3701" s="19"/>
      <c r="Z3701" s="19"/>
      <c r="AA3701" s="19"/>
      <c r="AB3701" s="19"/>
      <c r="AC3701" s="19"/>
      <c r="AD3701" s="19"/>
      <c r="AE3701" s="19"/>
      <c r="AF3701" s="19"/>
      <c r="AG3701" s="19"/>
      <c r="AH3701" s="19"/>
      <c r="AI3701" s="19"/>
      <c r="AJ3701" s="19"/>
      <c r="AK3701" s="19"/>
      <c r="AL3701" s="19"/>
      <c r="AM3701" s="19"/>
      <c r="AN3701" s="19"/>
      <c r="AO3701" s="19"/>
      <c r="AP3701" s="19"/>
      <c r="AQ3701" s="19"/>
      <c r="AR3701" s="19"/>
      <c r="AS3701" s="19"/>
    </row>
    <row r="3702" spans="1:45" x14ac:dyDescent="0.3">
      <c r="A3702" s="410" t="s">
        <v>5516</v>
      </c>
      <c r="B3702" s="17" t="s">
        <v>5517</v>
      </c>
      <c r="C3702" s="19" t="s">
        <v>5418</v>
      </c>
      <c r="D3702" s="18">
        <v>23149521</v>
      </c>
      <c r="E3702" s="18"/>
      <c r="F3702" s="19"/>
      <c r="G3702" s="31">
        <v>45376</v>
      </c>
      <c r="H3702" s="31">
        <v>45741</v>
      </c>
      <c r="I3702" s="19" t="s">
        <v>1372</v>
      </c>
      <c r="J3702" s="19" t="s">
        <v>5518</v>
      </c>
      <c r="K3702" s="18" t="s">
        <v>1372</v>
      </c>
      <c r="L3702" s="19" t="s">
        <v>5518</v>
      </c>
      <c r="M3702" s="19" t="s">
        <v>1461</v>
      </c>
      <c r="N3702" s="20" t="s">
        <v>1462</v>
      </c>
      <c r="O3702" s="19" t="s">
        <v>1372</v>
      </c>
      <c r="P3702" s="19"/>
      <c r="Q3702" s="19" t="s">
        <v>1372</v>
      </c>
      <c r="R3702" s="19" t="s">
        <v>1372</v>
      </c>
      <c r="S3702" s="19" t="s">
        <v>1372</v>
      </c>
      <c r="T3702" s="19" t="s">
        <v>1461</v>
      </c>
      <c r="U3702" s="19" t="s">
        <v>1461</v>
      </c>
      <c r="V3702" s="19" t="s">
        <v>1372</v>
      </c>
      <c r="W3702" s="19"/>
      <c r="X3702" s="19"/>
      <c r="Y3702" s="19"/>
      <c r="Z3702" s="19" t="s">
        <v>1372</v>
      </c>
      <c r="AA3702" s="19"/>
      <c r="AB3702" s="19"/>
      <c r="AC3702" s="19"/>
      <c r="AD3702" s="19"/>
      <c r="AE3702" s="19"/>
      <c r="AF3702" s="19"/>
      <c r="AG3702" s="19"/>
      <c r="AH3702" s="19"/>
      <c r="AI3702" s="19"/>
      <c r="AJ3702" s="19"/>
      <c r="AK3702" s="19"/>
      <c r="AL3702" s="19"/>
      <c r="AM3702" s="19" t="s">
        <v>1372</v>
      </c>
      <c r="AN3702" s="19"/>
      <c r="AO3702" s="19"/>
      <c r="AP3702" s="19"/>
      <c r="AQ3702" s="19"/>
      <c r="AR3702" s="19"/>
      <c r="AS3702" s="19"/>
    </row>
    <row r="3703" spans="1:45" x14ac:dyDescent="0.3">
      <c r="A3703" s="410" t="s">
        <v>5519</v>
      </c>
      <c r="B3703" s="17" t="s">
        <v>5520</v>
      </c>
      <c r="C3703" s="19"/>
      <c r="D3703" s="19">
        <v>23157833</v>
      </c>
      <c r="E3703" s="18"/>
      <c r="F3703" s="19"/>
      <c r="G3703" s="31"/>
      <c r="H3703" s="31"/>
      <c r="I3703" s="19"/>
      <c r="J3703" s="19"/>
      <c r="K3703" s="18"/>
      <c r="L3703" s="19"/>
      <c r="M3703" s="19"/>
      <c r="N3703" s="20"/>
      <c r="O3703" s="19"/>
      <c r="P3703" s="19"/>
      <c r="Q3703" s="19"/>
      <c r="R3703" s="19"/>
      <c r="S3703" s="19"/>
      <c r="T3703" s="19"/>
      <c r="U3703" s="19"/>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19"/>
    </row>
    <row r="3704" spans="1:45" x14ac:dyDescent="0.3">
      <c r="A3704" s="410" t="s">
        <v>5521</v>
      </c>
      <c r="B3704" s="17" t="s">
        <v>5522</v>
      </c>
      <c r="C3704" s="19" t="s">
        <v>5418</v>
      </c>
      <c r="D3704" s="18">
        <v>23146503</v>
      </c>
      <c r="E3704" s="18"/>
      <c r="F3704" s="19"/>
      <c r="G3704" s="31">
        <v>45376</v>
      </c>
      <c r="H3704" s="31">
        <v>45741</v>
      </c>
      <c r="I3704" s="19" t="s">
        <v>1372</v>
      </c>
      <c r="J3704" s="19" t="s">
        <v>1373</v>
      </c>
      <c r="K3704" s="18" t="s">
        <v>1372</v>
      </c>
      <c r="L3704" s="19" t="s">
        <v>1373</v>
      </c>
      <c r="M3704" s="19" t="s">
        <v>1461</v>
      </c>
      <c r="N3704" s="20" t="s">
        <v>1462</v>
      </c>
      <c r="O3704" s="19" t="s">
        <v>1372</v>
      </c>
      <c r="P3704" s="19"/>
      <c r="Q3704" s="19" t="s">
        <v>1372</v>
      </c>
      <c r="R3704" s="19" t="s">
        <v>5523</v>
      </c>
      <c r="S3704" s="19" t="s">
        <v>1372</v>
      </c>
      <c r="T3704" s="19" t="s">
        <v>1461</v>
      </c>
      <c r="U3704" s="19" t="s">
        <v>1461</v>
      </c>
      <c r="V3704" s="19" t="s">
        <v>1372</v>
      </c>
      <c r="W3704" s="19"/>
      <c r="X3704" s="19"/>
      <c r="Y3704" s="19"/>
      <c r="Z3704" s="19" t="s">
        <v>1372</v>
      </c>
      <c r="AA3704" s="19"/>
      <c r="AB3704" s="19"/>
      <c r="AC3704" s="19"/>
      <c r="AD3704" s="19"/>
      <c r="AE3704" s="19"/>
      <c r="AF3704" s="19" t="s">
        <v>1372</v>
      </c>
      <c r="AG3704" s="19"/>
      <c r="AH3704" s="19"/>
      <c r="AI3704" s="19"/>
      <c r="AJ3704" s="19"/>
      <c r="AK3704" s="19"/>
      <c r="AL3704" s="19" t="s">
        <v>1372</v>
      </c>
      <c r="AM3704" s="19" t="s">
        <v>1372</v>
      </c>
      <c r="AN3704" s="19"/>
      <c r="AO3704" s="19" t="s">
        <v>1372</v>
      </c>
      <c r="AP3704" s="19"/>
      <c r="AQ3704" s="19"/>
      <c r="AR3704" s="19" t="s">
        <v>1783</v>
      </c>
      <c r="AS3704" s="19" t="s">
        <v>1768</v>
      </c>
    </row>
    <row r="3705" spans="1:45" x14ac:dyDescent="0.3">
      <c r="A3705" s="410" t="s">
        <v>5524</v>
      </c>
      <c r="B3705" s="17" t="s">
        <v>5525</v>
      </c>
      <c r="C3705" s="19" t="s">
        <v>5418</v>
      </c>
      <c r="D3705" s="18">
        <v>23160431</v>
      </c>
      <c r="E3705" s="18"/>
      <c r="F3705" s="19"/>
      <c r="G3705" s="31">
        <v>45375</v>
      </c>
      <c r="H3705" s="31">
        <v>45740</v>
      </c>
      <c r="I3705" s="19" t="s">
        <v>1372</v>
      </c>
      <c r="J3705" s="19" t="s">
        <v>1373</v>
      </c>
      <c r="K3705" s="18" t="s">
        <v>1372</v>
      </c>
      <c r="L3705" s="19" t="s">
        <v>1373</v>
      </c>
      <c r="M3705" s="19" t="s">
        <v>1461</v>
      </c>
      <c r="N3705" s="20" t="s">
        <v>1462</v>
      </c>
      <c r="O3705" s="19" t="s">
        <v>1786</v>
      </c>
      <c r="P3705" s="19"/>
      <c r="Q3705" s="19" t="s">
        <v>1372</v>
      </c>
      <c r="R3705" s="19" t="s">
        <v>1372</v>
      </c>
      <c r="S3705" s="19" t="s">
        <v>1372</v>
      </c>
      <c r="T3705" s="19" t="s">
        <v>1372</v>
      </c>
      <c r="U3705" s="19" t="s">
        <v>1461</v>
      </c>
      <c r="V3705" s="19" t="s">
        <v>1372</v>
      </c>
      <c r="W3705" s="19"/>
      <c r="X3705" s="19"/>
      <c r="Y3705" s="19"/>
      <c r="Z3705" s="19" t="s">
        <v>1372</v>
      </c>
      <c r="AA3705" s="19"/>
      <c r="AB3705" s="19"/>
      <c r="AC3705" s="19"/>
      <c r="AD3705" s="19"/>
      <c r="AE3705" s="19"/>
      <c r="AF3705" s="19"/>
      <c r="AG3705" s="19"/>
      <c r="AH3705" s="19"/>
      <c r="AI3705" s="19"/>
      <c r="AJ3705" s="19"/>
      <c r="AK3705" s="19"/>
      <c r="AL3705" s="19" t="s">
        <v>1372</v>
      </c>
      <c r="AM3705" s="19"/>
      <c r="AN3705" s="19"/>
      <c r="AO3705" s="19"/>
      <c r="AP3705" s="19"/>
      <c r="AQ3705" s="19"/>
      <c r="AR3705" s="19" t="s">
        <v>1768</v>
      </c>
      <c r="AS3705" s="19"/>
    </row>
    <row r="3706" spans="1:45" x14ac:dyDescent="0.3">
      <c r="A3706" s="410" t="s">
        <v>5526</v>
      </c>
      <c r="B3706" s="17" t="s">
        <v>5527</v>
      </c>
      <c r="C3706" s="19"/>
      <c r="D3706" s="19">
        <v>23094900</v>
      </c>
      <c r="E3706" s="18"/>
      <c r="F3706" s="19"/>
      <c r="G3706" s="31"/>
      <c r="H3706" s="31"/>
      <c r="I3706" s="19"/>
      <c r="J3706" s="19"/>
      <c r="K3706" s="18"/>
      <c r="L3706" s="19"/>
      <c r="M3706" s="19"/>
      <c r="N3706" s="20"/>
      <c r="O3706" s="19"/>
      <c r="P3706" s="19"/>
      <c r="Q3706" s="19"/>
      <c r="R3706" s="19"/>
      <c r="S3706" s="19"/>
      <c r="T3706" s="19"/>
      <c r="U3706" s="19"/>
      <c r="V3706" s="19"/>
      <c r="W3706" s="19"/>
      <c r="X3706" s="19"/>
      <c r="Y3706" s="19"/>
      <c r="Z3706" s="19"/>
      <c r="AA3706" s="19"/>
      <c r="AB3706" s="19"/>
      <c r="AC3706" s="19"/>
      <c r="AD3706" s="19"/>
      <c r="AE3706" s="19"/>
      <c r="AF3706" s="19"/>
      <c r="AG3706" s="19"/>
      <c r="AH3706" s="19"/>
      <c r="AI3706" s="19"/>
      <c r="AJ3706" s="19"/>
      <c r="AK3706" s="19"/>
      <c r="AL3706" s="19"/>
      <c r="AM3706" s="19"/>
      <c r="AN3706" s="19"/>
      <c r="AO3706" s="19"/>
      <c r="AP3706" s="19"/>
      <c r="AQ3706" s="19"/>
      <c r="AR3706" s="19"/>
      <c r="AS3706" s="19"/>
    </row>
    <row r="3707" spans="1:45" x14ac:dyDescent="0.3">
      <c r="A3707" s="410" t="s">
        <v>5528</v>
      </c>
      <c r="B3707" s="17" t="s">
        <v>5529</v>
      </c>
      <c r="C3707" s="19" t="s">
        <v>5418</v>
      </c>
      <c r="D3707" s="19">
        <v>23166013</v>
      </c>
      <c r="E3707" s="18"/>
      <c r="F3707" s="19"/>
      <c r="G3707" s="31">
        <v>45383</v>
      </c>
      <c r="H3707" s="31">
        <v>45748</v>
      </c>
      <c r="I3707" s="19" t="s">
        <v>1372</v>
      </c>
      <c r="J3707" s="19" t="s">
        <v>1373</v>
      </c>
      <c r="K3707" s="18" t="s">
        <v>1372</v>
      </c>
      <c r="L3707" s="19" t="s">
        <v>1373</v>
      </c>
      <c r="M3707" s="19" t="s">
        <v>1461</v>
      </c>
      <c r="N3707" s="20" t="s">
        <v>1462</v>
      </c>
      <c r="O3707" s="19" t="s">
        <v>5530</v>
      </c>
      <c r="P3707" s="19"/>
      <c r="Q3707" s="19" t="s">
        <v>1372</v>
      </c>
      <c r="R3707" s="19" t="s">
        <v>1372</v>
      </c>
      <c r="S3707" s="19" t="s">
        <v>1372</v>
      </c>
      <c r="T3707" s="19" t="s">
        <v>1461</v>
      </c>
      <c r="U3707" s="19" t="s">
        <v>1461</v>
      </c>
      <c r="V3707" s="19" t="s">
        <v>1372</v>
      </c>
      <c r="W3707" s="19"/>
      <c r="X3707" s="19"/>
      <c r="Y3707" s="19"/>
      <c r="Z3707" s="19" t="s">
        <v>1372</v>
      </c>
      <c r="AA3707" s="19"/>
      <c r="AB3707" s="19"/>
      <c r="AC3707" s="19"/>
      <c r="AD3707" s="19"/>
      <c r="AE3707" s="19"/>
      <c r="AF3707" s="19" t="s">
        <v>1372</v>
      </c>
      <c r="AG3707" s="19"/>
      <c r="AH3707" s="19"/>
      <c r="AI3707" s="19"/>
      <c r="AJ3707" s="19"/>
      <c r="AK3707" s="19"/>
      <c r="AL3707" s="19"/>
      <c r="AM3707" s="19"/>
      <c r="AN3707" s="19"/>
      <c r="AO3707" s="19" t="s">
        <v>1372</v>
      </c>
      <c r="AP3707" s="19"/>
      <c r="AQ3707" s="19"/>
      <c r="AR3707" s="19" t="s">
        <v>1768</v>
      </c>
      <c r="AS3707" s="19" t="s">
        <v>1783</v>
      </c>
    </row>
    <row r="3708" spans="1:45" x14ac:dyDescent="0.3">
      <c r="A3708" s="410" t="s">
        <v>5531</v>
      </c>
      <c r="B3708" s="17" t="s">
        <v>5532</v>
      </c>
      <c r="C3708" s="19" t="s">
        <v>5418</v>
      </c>
      <c r="D3708" s="18">
        <v>22199855</v>
      </c>
      <c r="E3708" s="18"/>
      <c r="F3708" s="19"/>
      <c r="G3708" s="31">
        <v>45377</v>
      </c>
      <c r="H3708" s="31">
        <v>45742</v>
      </c>
      <c r="I3708" s="19" t="s">
        <v>1372</v>
      </c>
      <c r="J3708" s="19" t="s">
        <v>1373</v>
      </c>
      <c r="K3708" s="18" t="s">
        <v>1372</v>
      </c>
      <c r="L3708" s="19" t="s">
        <v>1373</v>
      </c>
      <c r="M3708" s="19" t="s">
        <v>1461</v>
      </c>
      <c r="N3708" s="20" t="s">
        <v>1462</v>
      </c>
      <c r="O3708" s="19" t="s">
        <v>5533</v>
      </c>
      <c r="P3708" s="19"/>
      <c r="Q3708" s="19" t="s">
        <v>1372</v>
      </c>
      <c r="R3708" s="19" t="s">
        <v>1372</v>
      </c>
      <c r="S3708" s="19" t="s">
        <v>1372</v>
      </c>
      <c r="T3708" s="19" t="s">
        <v>1461</v>
      </c>
      <c r="U3708" s="19" t="s">
        <v>1461</v>
      </c>
      <c r="V3708" s="19" t="s">
        <v>1372</v>
      </c>
      <c r="W3708" s="19"/>
      <c r="X3708" s="19"/>
      <c r="Y3708" s="19"/>
      <c r="Z3708" s="19" t="s">
        <v>1372</v>
      </c>
      <c r="AA3708" s="19"/>
      <c r="AB3708" s="19"/>
      <c r="AC3708" s="19"/>
      <c r="AD3708" s="19"/>
      <c r="AE3708" s="19"/>
      <c r="AF3708" s="19"/>
      <c r="AG3708" s="19"/>
      <c r="AH3708" s="19"/>
      <c r="AI3708" s="19"/>
      <c r="AJ3708" s="19"/>
      <c r="AK3708" s="19"/>
      <c r="AL3708" s="19"/>
      <c r="AM3708" s="19"/>
      <c r="AN3708" s="19"/>
      <c r="AO3708" s="19"/>
      <c r="AP3708" s="19"/>
      <c r="AQ3708" s="19"/>
      <c r="AR3708" s="19"/>
      <c r="AS3708" s="19"/>
    </row>
    <row r="3709" spans="1:45" x14ac:dyDescent="0.3">
      <c r="A3709" s="410" t="s">
        <v>5534</v>
      </c>
      <c r="B3709" s="17" t="s">
        <v>5535</v>
      </c>
      <c r="C3709" s="19" t="s">
        <v>5418</v>
      </c>
      <c r="D3709" s="18">
        <v>23148135</v>
      </c>
      <c r="E3709" s="18"/>
      <c r="F3709" s="19"/>
      <c r="G3709" s="31">
        <v>45383</v>
      </c>
      <c r="H3709" s="31">
        <v>45748</v>
      </c>
      <c r="I3709" s="19" t="s">
        <v>1461</v>
      </c>
      <c r="J3709" s="19"/>
      <c r="K3709" s="18" t="s">
        <v>1461</v>
      </c>
      <c r="L3709" s="19"/>
      <c r="M3709" s="19" t="s">
        <v>1461</v>
      </c>
      <c r="N3709" s="20" t="s">
        <v>1462</v>
      </c>
      <c r="O3709" s="19" t="s">
        <v>5536</v>
      </c>
      <c r="P3709" s="19"/>
      <c r="Q3709" s="19" t="s">
        <v>1372</v>
      </c>
      <c r="R3709" s="19" t="s">
        <v>1372</v>
      </c>
      <c r="S3709" s="19" t="s">
        <v>1372</v>
      </c>
      <c r="T3709" s="19" t="s">
        <v>1461</v>
      </c>
      <c r="U3709" s="19" t="s">
        <v>1461</v>
      </c>
      <c r="V3709" s="19" t="s">
        <v>1372</v>
      </c>
      <c r="W3709" s="19"/>
      <c r="X3709" s="19"/>
      <c r="Y3709" s="19"/>
      <c r="Z3709" s="19" t="s">
        <v>1372</v>
      </c>
      <c r="AA3709" s="19"/>
      <c r="AB3709" s="19"/>
      <c r="AC3709" s="19"/>
      <c r="AD3709" s="19"/>
      <c r="AE3709" s="19"/>
      <c r="AF3709" s="19"/>
      <c r="AG3709" s="19"/>
      <c r="AH3709" s="19"/>
      <c r="AI3709" s="19"/>
      <c r="AJ3709" s="19"/>
      <c r="AK3709" s="19"/>
      <c r="AL3709" s="19" t="s">
        <v>1372</v>
      </c>
      <c r="AM3709" s="19" t="s">
        <v>1372</v>
      </c>
      <c r="AN3709" s="19"/>
      <c r="AO3709" s="19"/>
      <c r="AP3709" s="19"/>
      <c r="AQ3709" s="19"/>
      <c r="AR3709" s="19" t="s">
        <v>1768</v>
      </c>
      <c r="AS3709" s="19"/>
    </row>
    <row r="3710" spans="1:45" x14ac:dyDescent="0.3">
      <c r="A3710" s="410" t="s">
        <v>5537</v>
      </c>
      <c r="B3710" s="17" t="s">
        <v>5538</v>
      </c>
      <c r="C3710" s="19" t="s">
        <v>5418</v>
      </c>
      <c r="D3710" s="18">
        <v>23202768</v>
      </c>
      <c r="E3710" s="18"/>
      <c r="F3710" s="19"/>
      <c r="G3710" s="31">
        <v>45378</v>
      </c>
      <c r="H3710" s="31">
        <v>45743</v>
      </c>
      <c r="I3710" s="19" t="s">
        <v>1372</v>
      </c>
      <c r="J3710" s="19" t="s">
        <v>1373</v>
      </c>
      <c r="K3710" s="18" t="s">
        <v>1372</v>
      </c>
      <c r="L3710" s="19" t="s">
        <v>1373</v>
      </c>
      <c r="M3710" s="19" t="s">
        <v>1461</v>
      </c>
      <c r="N3710" s="20" t="s">
        <v>1462</v>
      </c>
      <c r="O3710" s="19" t="s">
        <v>1372</v>
      </c>
      <c r="P3710" s="19" t="s">
        <v>1372</v>
      </c>
      <c r="Q3710" s="19" t="s">
        <v>1372</v>
      </c>
      <c r="R3710" s="19" t="s">
        <v>1372</v>
      </c>
      <c r="S3710" s="19" t="s">
        <v>1372</v>
      </c>
      <c r="T3710" s="19" t="s">
        <v>1461</v>
      </c>
      <c r="U3710" s="19" t="s">
        <v>1461</v>
      </c>
      <c r="V3710" s="19" t="s">
        <v>1372</v>
      </c>
      <c r="W3710" s="19"/>
      <c r="X3710" s="19"/>
      <c r="Y3710" s="19"/>
      <c r="Z3710" s="19" t="s">
        <v>1372</v>
      </c>
      <c r="AA3710" s="19"/>
      <c r="AB3710" s="19"/>
      <c r="AC3710" s="19"/>
      <c r="AD3710" s="19"/>
      <c r="AE3710" s="19"/>
      <c r="AF3710" s="19"/>
      <c r="AG3710" s="19"/>
      <c r="AH3710" s="19"/>
      <c r="AI3710" s="19"/>
      <c r="AJ3710" s="19"/>
      <c r="AK3710" s="19"/>
      <c r="AL3710" s="19" t="s">
        <v>1372</v>
      </c>
      <c r="AM3710" s="19"/>
      <c r="AN3710" s="19"/>
      <c r="AO3710" s="19"/>
      <c r="AP3710" s="19"/>
      <c r="AQ3710" s="19"/>
      <c r="AR3710" s="19" t="s">
        <v>1768</v>
      </c>
      <c r="AS3710" s="19"/>
    </row>
    <row r="3711" spans="1:45" x14ac:dyDescent="0.3">
      <c r="A3711" s="410" t="s">
        <v>5539</v>
      </c>
      <c r="B3711" s="17" t="s">
        <v>5540</v>
      </c>
      <c r="C3711" s="19" t="s">
        <v>5418</v>
      </c>
      <c r="D3711" s="18">
        <v>23191658</v>
      </c>
      <c r="E3711" s="18"/>
      <c r="F3711" s="19"/>
      <c r="G3711" s="31">
        <v>45377</v>
      </c>
      <c r="H3711" s="31">
        <v>45742</v>
      </c>
      <c r="I3711" s="19" t="s">
        <v>1372</v>
      </c>
      <c r="J3711" s="19" t="s">
        <v>1373</v>
      </c>
      <c r="K3711" s="18" t="s">
        <v>1372</v>
      </c>
      <c r="L3711" s="19" t="s">
        <v>1373</v>
      </c>
      <c r="M3711" s="19" t="s">
        <v>1461</v>
      </c>
      <c r="N3711" s="20" t="s">
        <v>1462</v>
      </c>
      <c r="O3711" s="19" t="s">
        <v>1782</v>
      </c>
      <c r="P3711" s="19"/>
      <c r="Q3711" s="19" t="s">
        <v>1372</v>
      </c>
      <c r="R3711" s="19" t="s">
        <v>1372</v>
      </c>
      <c r="S3711" s="19" t="s">
        <v>1372</v>
      </c>
      <c r="T3711" s="19" t="s">
        <v>1461</v>
      </c>
      <c r="U3711" s="19" t="s">
        <v>1461</v>
      </c>
      <c r="V3711" s="19" t="s">
        <v>1372</v>
      </c>
      <c r="W3711" s="19"/>
      <c r="X3711" s="19"/>
      <c r="Y3711" s="19"/>
      <c r="Z3711" s="19"/>
      <c r="AA3711" s="19"/>
      <c r="AB3711" s="19"/>
      <c r="AC3711" s="19"/>
      <c r="AD3711" s="19"/>
      <c r="AE3711" s="19"/>
      <c r="AF3711" s="19" t="s">
        <v>1372</v>
      </c>
      <c r="AG3711" s="19"/>
      <c r="AH3711" s="19"/>
      <c r="AI3711" s="19"/>
      <c r="AJ3711" s="19"/>
      <c r="AK3711" s="19"/>
      <c r="AL3711" s="19" t="s">
        <v>1372</v>
      </c>
      <c r="AM3711" s="19"/>
      <c r="AN3711" s="19"/>
      <c r="AO3711" s="19" t="s">
        <v>1372</v>
      </c>
      <c r="AP3711" s="19"/>
      <c r="AQ3711" s="19"/>
      <c r="AR3711" s="19" t="s">
        <v>1768</v>
      </c>
      <c r="AS3711" s="19"/>
    </row>
    <row r="3712" spans="1:45" x14ac:dyDescent="0.3">
      <c r="A3712" s="410" t="s">
        <v>5541</v>
      </c>
      <c r="B3712" s="17" t="s">
        <v>5542</v>
      </c>
      <c r="C3712" s="19" t="s">
        <v>5425</v>
      </c>
      <c r="D3712" s="18">
        <v>23203297</v>
      </c>
      <c r="E3712" s="18"/>
      <c r="F3712" s="19"/>
      <c r="G3712" s="31">
        <v>45378</v>
      </c>
      <c r="H3712" s="31">
        <v>45743</v>
      </c>
      <c r="I3712" s="19" t="s">
        <v>1372</v>
      </c>
      <c r="J3712" s="19" t="s">
        <v>1373</v>
      </c>
      <c r="K3712" s="18" t="s">
        <v>1372</v>
      </c>
      <c r="L3712" s="19" t="s">
        <v>1373</v>
      </c>
      <c r="M3712" s="19" t="s">
        <v>1461</v>
      </c>
      <c r="N3712" s="20" t="s">
        <v>1462</v>
      </c>
      <c r="O3712" s="19" t="s">
        <v>1372</v>
      </c>
      <c r="P3712" s="19"/>
      <c r="Q3712" s="19" t="s">
        <v>1372</v>
      </c>
      <c r="R3712" s="19" t="s">
        <v>1372</v>
      </c>
      <c r="S3712" s="19" t="s">
        <v>1372</v>
      </c>
      <c r="T3712" s="19" t="s">
        <v>1461</v>
      </c>
      <c r="U3712" s="19" t="s">
        <v>1461</v>
      </c>
      <c r="V3712" s="19" t="s">
        <v>1372</v>
      </c>
      <c r="W3712" s="19"/>
      <c r="X3712" s="19"/>
      <c r="Y3712" s="19"/>
      <c r="Z3712" s="19" t="s">
        <v>1372</v>
      </c>
      <c r="AA3712" s="19"/>
      <c r="AB3712" s="19"/>
      <c r="AC3712" s="19"/>
      <c r="AD3712" s="19"/>
      <c r="AE3712" s="19"/>
      <c r="AF3712" s="19" t="s">
        <v>1372</v>
      </c>
      <c r="AG3712" s="19" t="s">
        <v>1372</v>
      </c>
      <c r="AH3712" s="19"/>
      <c r="AI3712" s="19"/>
      <c r="AJ3712" s="19"/>
      <c r="AK3712" s="19"/>
      <c r="AL3712" s="19"/>
      <c r="AM3712" s="19"/>
      <c r="AN3712" s="19"/>
      <c r="AO3712" s="19"/>
      <c r="AP3712" s="19"/>
      <c r="AQ3712" s="19"/>
      <c r="AR3712" s="19" t="s">
        <v>5511</v>
      </c>
      <c r="AS3712" s="19"/>
    </row>
    <row r="3713" spans="1:45" x14ac:dyDescent="0.3">
      <c r="A3713" s="410" t="s">
        <v>5543</v>
      </c>
      <c r="B3713" s="17" t="s">
        <v>5544</v>
      </c>
      <c r="C3713" s="19"/>
      <c r="D3713" s="18">
        <v>23191879</v>
      </c>
      <c r="E3713" s="18"/>
      <c r="F3713" s="19"/>
      <c r="G3713" s="31">
        <v>45376</v>
      </c>
      <c r="H3713" s="31">
        <v>45741</v>
      </c>
      <c r="I3713" s="19" t="s">
        <v>1372</v>
      </c>
      <c r="J3713" s="19" t="s">
        <v>1373</v>
      </c>
      <c r="K3713" s="18" t="s">
        <v>1372</v>
      </c>
      <c r="L3713" s="19" t="s">
        <v>1373</v>
      </c>
      <c r="M3713" s="19" t="s">
        <v>1461</v>
      </c>
      <c r="N3713" s="20" t="s">
        <v>1462</v>
      </c>
      <c r="O3713" s="19" t="s">
        <v>5545</v>
      </c>
      <c r="P3713" s="19"/>
      <c r="Q3713" s="19" t="s">
        <v>1372</v>
      </c>
      <c r="R3713" s="19" t="s">
        <v>1372</v>
      </c>
      <c r="S3713" s="19" t="s">
        <v>1372</v>
      </c>
      <c r="T3713" s="19" t="s">
        <v>1461</v>
      </c>
      <c r="U3713" s="19" t="s">
        <v>1461</v>
      </c>
      <c r="V3713" s="19" t="s">
        <v>1372</v>
      </c>
      <c r="W3713" s="19"/>
      <c r="X3713" s="19"/>
      <c r="Y3713" s="19"/>
      <c r="Z3713" s="19" t="s">
        <v>1372</v>
      </c>
      <c r="AA3713" s="19"/>
      <c r="AB3713" s="19"/>
      <c r="AC3713" s="19"/>
      <c r="AD3713" s="19"/>
      <c r="AE3713" s="19"/>
      <c r="AF3713" s="19"/>
      <c r="AG3713" s="19"/>
      <c r="AH3713" s="19"/>
      <c r="AI3713" s="19"/>
      <c r="AJ3713" s="19"/>
      <c r="AK3713" s="19"/>
      <c r="AL3713" s="19" t="s">
        <v>1372</v>
      </c>
      <c r="AM3713" s="19" t="s">
        <v>1372</v>
      </c>
      <c r="AN3713" s="19"/>
      <c r="AO3713" s="19"/>
      <c r="AP3713" s="19"/>
      <c r="AQ3713" s="19"/>
      <c r="AR3713" s="19"/>
      <c r="AS3713" s="19"/>
    </row>
    <row r="3714" spans="1:45" x14ac:dyDescent="0.3">
      <c r="A3714" s="410" t="s">
        <v>5546</v>
      </c>
      <c r="B3714" s="17" t="s">
        <v>5547</v>
      </c>
      <c r="C3714" s="19"/>
      <c r="D3714" s="19">
        <v>23190868</v>
      </c>
      <c r="E3714" s="18"/>
      <c r="F3714" s="19"/>
      <c r="G3714" s="31"/>
      <c r="H3714" s="31"/>
      <c r="I3714" s="19"/>
      <c r="J3714" s="19"/>
      <c r="K3714" s="18"/>
      <c r="L3714" s="19"/>
      <c r="M3714" s="19"/>
      <c r="N3714" s="20"/>
      <c r="O3714" s="19"/>
      <c r="P3714" s="19"/>
      <c r="Q3714" s="19"/>
      <c r="R3714" s="19"/>
      <c r="S3714" s="19"/>
      <c r="T3714" s="19"/>
      <c r="U3714" s="19"/>
      <c r="V3714" s="19"/>
      <c r="W3714" s="19"/>
      <c r="X3714" s="19"/>
      <c r="Y3714" s="19"/>
      <c r="Z3714" s="19"/>
      <c r="AA3714" s="19"/>
      <c r="AB3714" s="19"/>
      <c r="AC3714" s="19"/>
      <c r="AD3714" s="19"/>
      <c r="AE3714" s="19"/>
      <c r="AF3714" s="19"/>
      <c r="AG3714" s="19"/>
      <c r="AH3714" s="19"/>
      <c r="AI3714" s="19"/>
      <c r="AJ3714" s="19"/>
      <c r="AK3714" s="19"/>
      <c r="AL3714" s="19"/>
      <c r="AM3714" s="19"/>
      <c r="AN3714" s="19"/>
      <c r="AO3714" s="19"/>
      <c r="AP3714" s="19"/>
      <c r="AQ3714" s="19"/>
      <c r="AR3714" s="19"/>
      <c r="AS3714" s="19"/>
    </row>
    <row r="3715" spans="1:45" x14ac:dyDescent="0.3">
      <c r="A3715" s="410" t="s">
        <v>5548</v>
      </c>
      <c r="B3715" s="17" t="s">
        <v>5549</v>
      </c>
      <c r="C3715" s="19" t="s">
        <v>5418</v>
      </c>
      <c r="D3715" s="18">
        <v>23207667</v>
      </c>
      <c r="E3715" s="18"/>
      <c r="F3715" s="19"/>
      <c r="G3715" s="31"/>
      <c r="H3715" s="31">
        <v>365</v>
      </c>
      <c r="I3715" s="19"/>
      <c r="J3715" s="19"/>
      <c r="K3715" s="18"/>
      <c r="L3715" s="19"/>
      <c r="M3715" s="19"/>
      <c r="N3715" s="20"/>
      <c r="O3715" s="19" t="s">
        <v>1372</v>
      </c>
      <c r="P3715" s="19" t="s">
        <v>1372</v>
      </c>
      <c r="Q3715" s="19" t="s">
        <v>1372</v>
      </c>
      <c r="R3715" s="19" t="s">
        <v>1372</v>
      </c>
      <c r="S3715" s="19" t="s">
        <v>1372</v>
      </c>
      <c r="T3715" s="19" t="s">
        <v>1461</v>
      </c>
      <c r="U3715" s="19" t="s">
        <v>1461</v>
      </c>
      <c r="V3715" s="19" t="s">
        <v>1372</v>
      </c>
      <c r="W3715" s="19"/>
      <c r="X3715" s="19"/>
      <c r="Y3715" s="19"/>
      <c r="Z3715" s="19" t="s">
        <v>1372</v>
      </c>
      <c r="AA3715" s="19"/>
      <c r="AB3715" s="19"/>
      <c r="AC3715" s="19"/>
      <c r="AD3715" s="19"/>
      <c r="AE3715" s="19"/>
      <c r="AF3715" s="19" t="s">
        <v>1372</v>
      </c>
      <c r="AG3715" s="19"/>
      <c r="AH3715" s="19"/>
      <c r="AI3715" s="19"/>
      <c r="AJ3715" s="19"/>
      <c r="AK3715" s="19"/>
      <c r="AL3715" s="19"/>
      <c r="AM3715" s="19"/>
      <c r="AN3715" s="19"/>
      <c r="AO3715" s="19"/>
      <c r="AP3715" s="19"/>
      <c r="AQ3715" s="19"/>
      <c r="AR3715" s="19"/>
      <c r="AS3715" s="19"/>
    </row>
    <row r="3716" spans="1:45" x14ac:dyDescent="0.3">
      <c r="A3716" s="410" t="s">
        <v>5550</v>
      </c>
      <c r="B3716" s="17" t="s">
        <v>5551</v>
      </c>
      <c r="C3716" s="19"/>
      <c r="D3716" s="19">
        <v>23206391</v>
      </c>
      <c r="E3716" s="18"/>
      <c r="F3716" s="19"/>
      <c r="G3716" s="31"/>
      <c r="H3716" s="31"/>
      <c r="I3716" s="19"/>
      <c r="J3716" s="19"/>
      <c r="K3716" s="18"/>
      <c r="L3716" s="19"/>
      <c r="M3716" s="19"/>
      <c r="N3716" s="20"/>
      <c r="O3716" s="19"/>
      <c r="P3716" s="19"/>
      <c r="Q3716" s="19"/>
      <c r="R3716" s="19"/>
      <c r="S3716" s="19"/>
      <c r="T3716" s="19"/>
      <c r="U3716" s="19"/>
      <c r="V3716" s="19"/>
      <c r="W3716" s="19"/>
      <c r="X3716" s="19"/>
      <c r="Y3716" s="19"/>
      <c r="Z3716" s="19"/>
      <c r="AA3716" s="19"/>
      <c r="AB3716" s="19"/>
      <c r="AC3716" s="19"/>
      <c r="AD3716" s="19"/>
      <c r="AE3716" s="19"/>
      <c r="AF3716" s="19"/>
      <c r="AG3716" s="19"/>
      <c r="AH3716" s="19"/>
      <c r="AI3716" s="19"/>
      <c r="AJ3716" s="19"/>
      <c r="AK3716" s="19"/>
      <c r="AL3716" s="19"/>
      <c r="AM3716" s="19"/>
      <c r="AN3716" s="19"/>
      <c r="AO3716" s="19"/>
      <c r="AP3716" s="19"/>
      <c r="AQ3716" s="19"/>
      <c r="AR3716" s="19"/>
      <c r="AS3716" s="19"/>
    </row>
    <row r="3717" spans="1:45" x14ac:dyDescent="0.3">
      <c r="A3717" s="410" t="s">
        <v>5552</v>
      </c>
      <c r="B3717" s="17"/>
      <c r="C3717" s="19"/>
      <c r="D3717" s="18"/>
      <c r="E3717" s="18"/>
      <c r="F3717" s="19"/>
      <c r="G3717" s="31"/>
      <c r="H3717" s="31"/>
      <c r="I3717" s="19"/>
      <c r="J3717" s="19"/>
      <c r="K3717" s="18"/>
      <c r="L3717" s="19"/>
      <c r="M3717" s="19"/>
      <c r="N3717" s="20"/>
      <c r="O3717" s="19"/>
      <c r="P3717" s="19"/>
      <c r="Q3717" s="19"/>
      <c r="R3717" s="19"/>
      <c r="S3717" s="19"/>
      <c r="T3717" s="19"/>
      <c r="U3717" s="19"/>
      <c r="V3717" s="19"/>
      <c r="W3717" s="19"/>
      <c r="X3717" s="19"/>
      <c r="Y3717" s="19"/>
      <c r="Z3717" s="19"/>
      <c r="AA3717" s="19"/>
      <c r="AB3717" s="19"/>
      <c r="AC3717" s="19"/>
      <c r="AD3717" s="19"/>
      <c r="AE3717" s="19"/>
      <c r="AF3717" s="19"/>
      <c r="AG3717" s="19"/>
      <c r="AH3717" s="19"/>
      <c r="AI3717" s="19"/>
      <c r="AJ3717" s="19"/>
      <c r="AK3717" s="19"/>
      <c r="AL3717" s="19"/>
      <c r="AM3717" s="19"/>
      <c r="AN3717" s="19"/>
      <c r="AO3717" s="19"/>
      <c r="AP3717" s="19"/>
      <c r="AQ3717" s="19"/>
      <c r="AR3717" s="19"/>
      <c r="AS3717" s="19"/>
    </row>
    <row r="3718" spans="1:45" x14ac:dyDescent="0.3">
      <c r="A3718" s="410" t="s">
        <v>5553</v>
      </c>
      <c r="B3718" s="17"/>
      <c r="C3718" s="19"/>
      <c r="D3718" s="18"/>
      <c r="E3718" s="18"/>
      <c r="F3718" s="19"/>
      <c r="G3718" s="31"/>
      <c r="H3718" s="31"/>
      <c r="I3718" s="19"/>
      <c r="J3718" s="19"/>
      <c r="K3718" s="21"/>
      <c r="L3718" s="22"/>
      <c r="M3718" s="19"/>
      <c r="N3718" s="20"/>
      <c r="O3718" s="19"/>
      <c r="P3718" s="19"/>
      <c r="Q3718" s="19"/>
      <c r="R3718" s="19"/>
      <c r="S3718" s="19"/>
      <c r="T3718" s="19"/>
      <c r="U3718" s="19"/>
      <c r="V3718" s="19"/>
      <c r="W3718" s="19"/>
      <c r="X3718" s="19"/>
      <c r="Y3718" s="19"/>
      <c r="Z3718" s="19"/>
      <c r="AA3718" s="19"/>
      <c r="AB3718" s="19"/>
      <c r="AC3718" s="19"/>
      <c r="AD3718" s="19"/>
      <c r="AE3718" s="19"/>
      <c r="AF3718" s="19"/>
      <c r="AG3718" s="19"/>
      <c r="AH3718" s="19"/>
      <c r="AI3718" s="19"/>
      <c r="AJ3718" s="19"/>
      <c r="AK3718" s="19"/>
      <c r="AL3718" s="19"/>
      <c r="AM3718" s="19"/>
      <c r="AN3718" s="19"/>
      <c r="AO3718" s="19"/>
      <c r="AP3718" s="19"/>
      <c r="AQ3718" s="19"/>
      <c r="AR3718" s="19"/>
      <c r="AS3718" s="19"/>
    </row>
    <row r="3719" spans="1:45" x14ac:dyDescent="0.3">
      <c r="A3719" s="410" t="s">
        <v>5554</v>
      </c>
      <c r="B3719" s="17"/>
      <c r="C3719" s="19"/>
      <c r="D3719" s="18"/>
      <c r="E3719" s="18"/>
      <c r="F3719" s="19"/>
      <c r="G3719" s="31"/>
      <c r="H3719" s="31"/>
      <c r="I3719" s="19"/>
      <c r="J3719" s="19"/>
      <c r="K3719" s="21"/>
      <c r="L3719" s="22"/>
      <c r="M3719" s="19"/>
      <c r="N3719" s="20"/>
      <c r="O3719" s="19"/>
      <c r="P3719" s="19"/>
      <c r="Q3719" s="19"/>
      <c r="R3719" s="19"/>
      <c r="S3719" s="19"/>
      <c r="T3719" s="19"/>
      <c r="U3719" s="19"/>
      <c r="V3719" s="19"/>
      <c r="W3719" s="19"/>
      <c r="X3719" s="19"/>
      <c r="Y3719" s="19"/>
      <c r="Z3719" s="19"/>
      <c r="AA3719" s="19"/>
      <c r="AB3719" s="19"/>
      <c r="AC3719" s="19"/>
      <c r="AD3719" s="19"/>
      <c r="AE3719" s="19"/>
      <c r="AF3719" s="19"/>
      <c r="AG3719" s="19"/>
      <c r="AH3719" s="19"/>
      <c r="AI3719" s="19"/>
      <c r="AJ3719" s="19"/>
      <c r="AK3719" s="19"/>
      <c r="AL3719" s="19"/>
      <c r="AM3719" s="19"/>
      <c r="AN3719" s="19"/>
      <c r="AO3719" s="19"/>
      <c r="AP3719" s="19"/>
      <c r="AQ3719" s="19"/>
      <c r="AR3719" s="19"/>
      <c r="AS3719" s="19"/>
    </row>
    <row r="3720" spans="1:45" x14ac:dyDescent="0.3">
      <c r="A3720" s="410" t="s">
        <v>5555</v>
      </c>
      <c r="B3720" s="17"/>
      <c r="C3720" s="19"/>
      <c r="D3720" s="18"/>
      <c r="E3720" s="18"/>
      <c r="F3720" s="19"/>
      <c r="G3720" s="31"/>
      <c r="H3720" s="31"/>
      <c r="I3720" s="19"/>
      <c r="J3720" s="19"/>
      <c r="K3720" s="21"/>
      <c r="L3720" s="22"/>
      <c r="M3720" s="19"/>
      <c r="N3720" s="20"/>
      <c r="O3720" s="19"/>
      <c r="P3720" s="19"/>
      <c r="Q3720" s="19"/>
      <c r="R3720" s="19"/>
      <c r="S3720" s="19"/>
      <c r="T3720" s="19"/>
      <c r="U3720" s="19"/>
      <c r="V3720" s="19"/>
      <c r="W3720" s="19"/>
      <c r="X3720" s="19"/>
      <c r="Y3720" s="19"/>
      <c r="Z3720" s="19"/>
      <c r="AA3720" s="19"/>
      <c r="AB3720" s="19"/>
      <c r="AC3720" s="19"/>
      <c r="AD3720" s="19"/>
      <c r="AE3720" s="19"/>
      <c r="AF3720" s="19"/>
      <c r="AG3720" s="19"/>
      <c r="AH3720" s="19"/>
      <c r="AI3720" s="19"/>
      <c r="AJ3720" s="19"/>
      <c r="AK3720" s="19"/>
      <c r="AL3720" s="19"/>
      <c r="AM3720" s="19"/>
      <c r="AN3720" s="19"/>
      <c r="AO3720" s="19"/>
      <c r="AP3720" s="19"/>
      <c r="AQ3720" s="19"/>
      <c r="AR3720" s="19"/>
      <c r="AS3720" s="19"/>
    </row>
    <row r="3721" spans="1:45" x14ac:dyDescent="0.3">
      <c r="A3721" s="410" t="s">
        <v>5556</v>
      </c>
      <c r="B3721" s="17"/>
      <c r="C3721" s="19"/>
      <c r="D3721" s="18"/>
      <c r="E3721" s="18"/>
      <c r="F3721" s="19"/>
      <c r="G3721" s="31"/>
      <c r="H3721" s="31"/>
      <c r="I3721" s="19"/>
      <c r="J3721" s="19"/>
      <c r="K3721" s="18"/>
      <c r="L3721" s="19"/>
      <c r="M3721" s="19"/>
      <c r="N3721" s="20"/>
      <c r="O3721" s="19"/>
      <c r="P3721" s="19"/>
      <c r="Q3721" s="19"/>
      <c r="R3721" s="19"/>
      <c r="S3721" s="19"/>
      <c r="T3721" s="19"/>
      <c r="U3721" s="19"/>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19"/>
    </row>
    <row r="3722" spans="1:45" x14ac:dyDescent="0.3">
      <c r="A3722" s="410" t="s">
        <v>5557</v>
      </c>
      <c r="B3722" s="17"/>
      <c r="C3722" s="19"/>
      <c r="D3722" s="18"/>
      <c r="E3722" s="18"/>
      <c r="F3722" s="19"/>
      <c r="G3722" s="31"/>
      <c r="H3722" s="31"/>
      <c r="I3722" s="19"/>
      <c r="J3722" s="19"/>
      <c r="K3722" s="21"/>
      <c r="L3722" s="22"/>
      <c r="M3722" s="19"/>
      <c r="N3722" s="20"/>
      <c r="O3722" s="19"/>
      <c r="P3722" s="19"/>
      <c r="Q3722" s="19"/>
      <c r="R3722" s="19"/>
      <c r="S3722" s="19"/>
      <c r="T3722" s="19"/>
      <c r="U3722" s="19"/>
      <c r="V3722" s="19"/>
      <c r="W3722" s="19"/>
      <c r="X3722" s="19"/>
      <c r="Y3722" s="19"/>
      <c r="Z3722" s="19"/>
      <c r="AA3722" s="19"/>
      <c r="AB3722" s="19"/>
      <c r="AC3722" s="19"/>
      <c r="AD3722" s="19"/>
      <c r="AE3722" s="19"/>
      <c r="AF3722" s="19"/>
      <c r="AG3722" s="19"/>
      <c r="AH3722" s="19"/>
      <c r="AI3722" s="19"/>
      <c r="AJ3722" s="19"/>
      <c r="AK3722" s="19"/>
      <c r="AL3722" s="19"/>
      <c r="AM3722" s="19"/>
      <c r="AN3722" s="19"/>
      <c r="AO3722" s="19"/>
      <c r="AP3722" s="19"/>
      <c r="AQ3722" s="19"/>
      <c r="AR3722" s="19"/>
      <c r="AS3722" s="19"/>
    </row>
    <row r="3723" spans="1:45" x14ac:dyDescent="0.3">
      <c r="A3723" s="410" t="s">
        <v>5558</v>
      </c>
      <c r="B3723" s="17"/>
      <c r="C3723" s="19"/>
      <c r="D3723" s="18"/>
      <c r="E3723" s="18"/>
      <c r="F3723" s="19"/>
      <c r="G3723" s="31"/>
      <c r="H3723" s="31"/>
      <c r="I3723" s="19"/>
      <c r="J3723" s="19"/>
      <c r="K3723" s="21"/>
      <c r="L3723" s="22"/>
      <c r="M3723" s="19"/>
      <c r="N3723" s="20"/>
      <c r="O3723" s="19"/>
      <c r="P3723" s="19"/>
      <c r="Q3723" s="19"/>
      <c r="R3723" s="19"/>
      <c r="S3723" s="19"/>
      <c r="T3723" s="19"/>
      <c r="U3723" s="19"/>
      <c r="V3723" s="19"/>
      <c r="W3723" s="19"/>
      <c r="X3723" s="19"/>
      <c r="Y3723" s="19"/>
      <c r="Z3723" s="19"/>
      <c r="AA3723" s="19"/>
      <c r="AB3723" s="19"/>
      <c r="AC3723" s="19"/>
      <c r="AD3723" s="19"/>
      <c r="AE3723" s="19"/>
      <c r="AF3723" s="19"/>
      <c r="AG3723" s="19"/>
      <c r="AH3723" s="19"/>
      <c r="AI3723" s="19"/>
      <c r="AJ3723" s="19"/>
      <c r="AK3723" s="19"/>
      <c r="AL3723" s="19"/>
      <c r="AM3723" s="19"/>
      <c r="AN3723" s="19"/>
      <c r="AO3723" s="19"/>
      <c r="AP3723" s="19"/>
      <c r="AQ3723" s="19"/>
      <c r="AR3723" s="19"/>
      <c r="AS3723" s="19"/>
    </row>
    <row r="3724" spans="1:45" x14ac:dyDescent="0.3">
      <c r="A3724" s="410" t="s">
        <v>5559</v>
      </c>
      <c r="B3724" s="17"/>
      <c r="C3724" s="19"/>
      <c r="D3724" s="18"/>
      <c r="E3724" s="18"/>
      <c r="F3724" s="19"/>
      <c r="G3724" s="31"/>
      <c r="H3724" s="31"/>
      <c r="I3724" s="19"/>
      <c r="J3724" s="19"/>
      <c r="K3724" s="18"/>
      <c r="L3724" s="19"/>
      <c r="M3724" s="19"/>
      <c r="N3724" s="20"/>
      <c r="O3724" s="19"/>
      <c r="P3724" s="19"/>
      <c r="Q3724" s="19"/>
      <c r="R3724" s="19"/>
      <c r="S3724" s="19"/>
      <c r="T3724" s="19"/>
      <c r="U3724" s="19"/>
      <c r="V3724" s="19"/>
      <c r="W3724" s="19"/>
      <c r="X3724" s="19"/>
      <c r="Y3724" s="19"/>
      <c r="Z3724" s="19"/>
      <c r="AA3724" s="19"/>
      <c r="AB3724" s="19"/>
      <c r="AC3724" s="19"/>
      <c r="AD3724" s="19"/>
      <c r="AE3724" s="19"/>
      <c r="AF3724" s="19"/>
      <c r="AG3724" s="19"/>
      <c r="AH3724" s="19"/>
      <c r="AI3724" s="19"/>
      <c r="AJ3724" s="19"/>
      <c r="AK3724" s="19"/>
      <c r="AL3724" s="19"/>
      <c r="AM3724" s="19"/>
      <c r="AN3724" s="19"/>
      <c r="AO3724" s="19"/>
      <c r="AP3724" s="19"/>
      <c r="AQ3724" s="19"/>
      <c r="AR3724" s="19"/>
      <c r="AS3724" s="19"/>
    </row>
    <row r="3725" spans="1:45" x14ac:dyDescent="0.3">
      <c r="A3725" s="410" t="s">
        <v>5560</v>
      </c>
      <c r="B3725" s="17"/>
      <c r="C3725" s="19"/>
      <c r="D3725" s="18"/>
      <c r="E3725" s="18"/>
      <c r="F3725" s="19"/>
      <c r="G3725" s="31"/>
      <c r="H3725" s="31"/>
      <c r="I3725" s="19"/>
      <c r="J3725" s="19"/>
      <c r="K3725" s="21"/>
      <c r="L3725" s="22"/>
      <c r="M3725" s="19"/>
      <c r="N3725" s="20"/>
      <c r="O3725" s="19"/>
      <c r="P3725" s="19"/>
      <c r="Q3725" s="19"/>
      <c r="R3725" s="19"/>
      <c r="S3725" s="19"/>
      <c r="T3725" s="19"/>
      <c r="U3725" s="19"/>
      <c r="V3725" s="19"/>
      <c r="W3725" s="19"/>
      <c r="X3725" s="19"/>
      <c r="Y3725" s="19"/>
      <c r="Z3725" s="19"/>
      <c r="AA3725" s="19"/>
      <c r="AB3725" s="19"/>
      <c r="AC3725" s="19"/>
      <c r="AD3725" s="19"/>
      <c r="AE3725" s="19"/>
      <c r="AF3725" s="19"/>
      <c r="AG3725" s="19"/>
      <c r="AH3725" s="19"/>
      <c r="AI3725" s="19"/>
      <c r="AJ3725" s="19"/>
      <c r="AK3725" s="19"/>
      <c r="AL3725" s="19"/>
      <c r="AM3725" s="19"/>
      <c r="AN3725" s="19"/>
      <c r="AO3725" s="19"/>
      <c r="AP3725" s="19"/>
      <c r="AQ3725" s="19"/>
      <c r="AR3725" s="19"/>
      <c r="AS3725" s="19"/>
    </row>
    <row r="3726" spans="1:45" x14ac:dyDescent="0.3">
      <c r="A3726" s="410" t="s">
        <v>5561</v>
      </c>
      <c r="B3726" s="17"/>
      <c r="C3726" s="19"/>
      <c r="D3726" s="18"/>
      <c r="E3726" s="18"/>
      <c r="F3726" s="19"/>
      <c r="G3726" s="31"/>
      <c r="H3726" s="31"/>
      <c r="I3726" s="19"/>
      <c r="J3726" s="19"/>
      <c r="K3726" s="18"/>
      <c r="L3726" s="19"/>
      <c r="M3726" s="19"/>
      <c r="N3726" s="20"/>
      <c r="O3726" s="19"/>
      <c r="P3726" s="19"/>
      <c r="Q3726" s="19"/>
      <c r="R3726" s="19"/>
      <c r="S3726" s="19"/>
      <c r="T3726" s="19"/>
      <c r="U3726" s="19"/>
      <c r="V3726" s="19"/>
      <c r="W3726" s="19"/>
      <c r="X3726" s="19"/>
      <c r="Y3726" s="19"/>
      <c r="Z3726" s="19"/>
      <c r="AA3726" s="19"/>
      <c r="AB3726" s="19"/>
      <c r="AC3726" s="19"/>
      <c r="AD3726" s="19"/>
      <c r="AE3726" s="19"/>
      <c r="AF3726" s="19"/>
      <c r="AG3726" s="19"/>
      <c r="AH3726" s="19"/>
      <c r="AI3726" s="19"/>
      <c r="AJ3726" s="19"/>
      <c r="AK3726" s="19"/>
      <c r="AL3726" s="19"/>
      <c r="AM3726" s="19"/>
      <c r="AN3726" s="19"/>
      <c r="AO3726" s="19"/>
      <c r="AP3726" s="19"/>
      <c r="AQ3726" s="19"/>
      <c r="AR3726" s="19"/>
      <c r="AS3726" s="19"/>
    </row>
    <row r="3727" spans="1:45" x14ac:dyDescent="0.3">
      <c r="A3727" s="410" t="s">
        <v>5562</v>
      </c>
      <c r="B3727" s="17"/>
      <c r="C3727" s="19"/>
      <c r="D3727" s="18"/>
      <c r="E3727" s="18"/>
      <c r="F3727" s="19"/>
      <c r="G3727" s="31"/>
      <c r="H3727" s="31"/>
      <c r="I3727" s="19"/>
      <c r="J3727" s="19"/>
      <c r="K3727" s="18"/>
      <c r="L3727" s="19"/>
      <c r="M3727" s="19"/>
      <c r="N3727" s="20"/>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row>
    <row r="3728" spans="1:45" x14ac:dyDescent="0.3">
      <c r="A3728" s="410" t="s">
        <v>5563</v>
      </c>
      <c r="B3728" s="17"/>
      <c r="C3728" s="19"/>
      <c r="D3728" s="18"/>
      <c r="E3728" s="18"/>
      <c r="F3728" s="19"/>
      <c r="G3728" s="31"/>
      <c r="H3728" s="31"/>
      <c r="I3728" s="19"/>
      <c r="J3728" s="19"/>
      <c r="K3728" s="18"/>
      <c r="L3728" s="19"/>
      <c r="M3728" s="19"/>
      <c r="N3728" s="20"/>
      <c r="O3728" s="19"/>
      <c r="P3728" s="19"/>
      <c r="Q3728" s="19"/>
      <c r="R3728" s="19"/>
      <c r="S3728" s="19"/>
      <c r="T3728" s="19"/>
      <c r="U3728" s="19"/>
      <c r="V3728" s="19"/>
      <c r="W3728" s="19"/>
      <c r="X3728" s="19"/>
      <c r="Y3728" s="19"/>
      <c r="Z3728" s="19"/>
      <c r="AA3728" s="19"/>
      <c r="AB3728" s="19"/>
      <c r="AC3728" s="19"/>
      <c r="AD3728" s="19"/>
      <c r="AE3728" s="19"/>
      <c r="AF3728" s="19"/>
      <c r="AG3728" s="19"/>
      <c r="AH3728" s="19"/>
      <c r="AI3728" s="19"/>
      <c r="AJ3728" s="19"/>
      <c r="AK3728" s="19"/>
      <c r="AL3728" s="19"/>
      <c r="AM3728" s="19"/>
      <c r="AN3728" s="19"/>
      <c r="AO3728" s="19"/>
      <c r="AP3728" s="19"/>
      <c r="AQ3728" s="19"/>
      <c r="AR3728" s="19"/>
      <c r="AS3728" s="19"/>
    </row>
    <row r="3729" spans="1:45" x14ac:dyDescent="0.3">
      <c r="A3729" s="410" t="s">
        <v>5564</v>
      </c>
      <c r="B3729" s="17"/>
      <c r="C3729" s="19"/>
      <c r="D3729" s="18"/>
      <c r="E3729" s="18"/>
      <c r="F3729" s="19"/>
      <c r="G3729" s="31"/>
      <c r="H3729" s="31"/>
      <c r="I3729" s="19"/>
      <c r="J3729" s="19"/>
      <c r="K3729" s="21"/>
      <c r="L3729" s="22"/>
      <c r="M3729" s="19"/>
      <c r="N3729" s="20"/>
      <c r="O3729" s="19"/>
      <c r="P3729" s="19"/>
      <c r="Q3729" s="19"/>
      <c r="R3729" s="19"/>
      <c r="S3729" s="19"/>
      <c r="T3729" s="19"/>
      <c r="U3729" s="19"/>
      <c r="V3729" s="19"/>
      <c r="W3729" s="19"/>
      <c r="X3729" s="19"/>
      <c r="Y3729" s="19"/>
      <c r="Z3729" s="19"/>
      <c r="AA3729" s="19"/>
      <c r="AB3729" s="19"/>
      <c r="AC3729" s="19"/>
      <c r="AD3729" s="19"/>
      <c r="AE3729" s="19"/>
      <c r="AF3729" s="19"/>
      <c r="AG3729" s="19"/>
      <c r="AH3729" s="19"/>
      <c r="AI3729" s="19"/>
      <c r="AJ3729" s="19"/>
      <c r="AK3729" s="19"/>
      <c r="AL3729" s="19"/>
      <c r="AM3729" s="19"/>
      <c r="AN3729" s="19"/>
      <c r="AO3729" s="19"/>
      <c r="AP3729" s="19"/>
      <c r="AQ3729" s="19"/>
      <c r="AR3729" s="19"/>
      <c r="AS3729" s="19"/>
    </row>
    <row r="3730" spans="1:45" x14ac:dyDescent="0.3">
      <c r="A3730" s="410" t="s">
        <v>5565</v>
      </c>
      <c r="B3730" s="17"/>
      <c r="C3730" s="19"/>
      <c r="D3730" s="18"/>
      <c r="E3730" s="18"/>
      <c r="F3730" s="19"/>
      <c r="G3730" s="31"/>
      <c r="H3730" s="31"/>
      <c r="I3730" s="19"/>
      <c r="J3730" s="19"/>
      <c r="K3730" s="21"/>
      <c r="L3730" s="22"/>
      <c r="M3730" s="19"/>
      <c r="N3730" s="20"/>
      <c r="O3730" s="19"/>
      <c r="P3730" s="19"/>
      <c r="Q3730" s="19"/>
      <c r="R3730" s="19"/>
      <c r="S3730" s="19"/>
      <c r="T3730" s="19"/>
      <c r="U3730" s="19"/>
      <c r="V3730" s="19"/>
      <c r="W3730" s="19"/>
      <c r="X3730" s="19"/>
      <c r="Y3730" s="19"/>
      <c r="Z3730" s="19"/>
      <c r="AA3730" s="19"/>
      <c r="AB3730" s="19"/>
      <c r="AC3730" s="19"/>
      <c r="AD3730" s="19"/>
      <c r="AE3730" s="19"/>
      <c r="AF3730" s="19"/>
      <c r="AG3730" s="19"/>
      <c r="AH3730" s="19"/>
      <c r="AI3730" s="19"/>
      <c r="AJ3730" s="19"/>
      <c r="AK3730" s="19"/>
      <c r="AL3730" s="19"/>
      <c r="AM3730" s="19"/>
      <c r="AN3730" s="19"/>
      <c r="AO3730" s="19"/>
      <c r="AP3730" s="19"/>
      <c r="AQ3730" s="19"/>
      <c r="AR3730" s="19"/>
      <c r="AS3730" s="19"/>
    </row>
    <row r="3731" spans="1:45" x14ac:dyDescent="0.3">
      <c r="A3731" s="410" t="s">
        <v>5566</v>
      </c>
      <c r="B3731" s="17"/>
      <c r="C3731" s="19"/>
      <c r="D3731" s="18"/>
      <c r="E3731" s="18"/>
      <c r="F3731" s="19"/>
      <c r="G3731" s="31"/>
      <c r="H3731" s="31"/>
      <c r="I3731" s="19"/>
      <c r="J3731" s="19"/>
      <c r="K3731" s="18"/>
      <c r="L3731" s="19"/>
      <c r="M3731" s="19"/>
      <c r="N3731" s="20"/>
      <c r="O3731" s="19"/>
      <c r="P3731" s="19"/>
      <c r="Q3731" s="19"/>
      <c r="R3731" s="19"/>
      <c r="S3731" s="19"/>
      <c r="T3731" s="19"/>
      <c r="U3731" s="19"/>
      <c r="V3731" s="19"/>
      <c r="W3731" s="19"/>
      <c r="X3731" s="19"/>
      <c r="Y3731" s="19"/>
      <c r="Z3731" s="19"/>
      <c r="AA3731" s="19"/>
      <c r="AB3731" s="19"/>
      <c r="AC3731" s="19"/>
      <c r="AD3731" s="19"/>
      <c r="AE3731" s="19"/>
      <c r="AF3731" s="19"/>
      <c r="AG3731" s="19"/>
      <c r="AH3731" s="19"/>
      <c r="AI3731" s="19"/>
      <c r="AJ3731" s="19"/>
      <c r="AK3731" s="19"/>
      <c r="AL3731" s="19"/>
      <c r="AM3731" s="19"/>
      <c r="AN3731" s="19"/>
      <c r="AO3731" s="19"/>
      <c r="AP3731" s="19"/>
      <c r="AQ3731" s="19"/>
      <c r="AR3731" s="19"/>
      <c r="AS3731" s="19"/>
    </row>
    <row r="3732" spans="1:45" x14ac:dyDescent="0.3">
      <c r="A3732" s="410" t="s">
        <v>5567</v>
      </c>
      <c r="B3732" s="17"/>
      <c r="C3732" s="19"/>
      <c r="D3732" s="18"/>
      <c r="E3732" s="18"/>
      <c r="F3732" s="19"/>
      <c r="G3732" s="31"/>
      <c r="H3732" s="31"/>
      <c r="I3732" s="19"/>
      <c r="J3732" s="19"/>
      <c r="K3732" s="18"/>
      <c r="L3732" s="19"/>
      <c r="M3732" s="19"/>
      <c r="N3732" s="20"/>
      <c r="O3732" s="19"/>
      <c r="P3732" s="19"/>
      <c r="Q3732" s="19"/>
      <c r="R3732" s="19"/>
      <c r="S3732" s="19"/>
      <c r="T3732" s="19"/>
      <c r="U3732" s="19"/>
      <c r="V3732" s="19"/>
      <c r="W3732" s="19"/>
      <c r="X3732" s="19"/>
      <c r="Y3732" s="19"/>
      <c r="Z3732" s="19"/>
      <c r="AA3732" s="19"/>
      <c r="AB3732" s="19"/>
      <c r="AC3732" s="19"/>
      <c r="AD3732" s="19"/>
      <c r="AE3732" s="19"/>
      <c r="AF3732" s="19"/>
      <c r="AG3732" s="19"/>
      <c r="AH3732" s="19"/>
      <c r="AI3732" s="19"/>
      <c r="AJ3732" s="19"/>
      <c r="AK3732" s="19"/>
      <c r="AL3732" s="19"/>
      <c r="AM3732" s="19"/>
      <c r="AN3732" s="19"/>
      <c r="AO3732" s="19"/>
      <c r="AP3732" s="19"/>
      <c r="AQ3732" s="19"/>
      <c r="AR3732" s="19"/>
      <c r="AS3732" s="19"/>
    </row>
    <row r="3733" spans="1:45" x14ac:dyDescent="0.3">
      <c r="A3733" s="410" t="s">
        <v>5568</v>
      </c>
      <c r="B3733" s="17"/>
      <c r="C3733" s="19"/>
      <c r="D3733" s="18"/>
      <c r="E3733" s="18"/>
      <c r="F3733" s="19"/>
      <c r="G3733" s="31"/>
      <c r="H3733" s="31"/>
      <c r="I3733" s="19"/>
      <c r="J3733" s="19"/>
      <c r="K3733" s="18"/>
      <c r="L3733" s="19"/>
      <c r="M3733" s="19"/>
      <c r="N3733" s="20"/>
      <c r="O3733" s="19"/>
      <c r="P3733" s="19"/>
      <c r="Q3733" s="19"/>
      <c r="R3733" s="19"/>
      <c r="S3733" s="19"/>
      <c r="T3733" s="19"/>
      <c r="U3733" s="19"/>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19"/>
    </row>
    <row r="3734" spans="1:45" x14ac:dyDescent="0.3">
      <c r="A3734" s="410" t="s">
        <v>5569</v>
      </c>
      <c r="B3734" s="17"/>
      <c r="C3734" s="19"/>
      <c r="D3734" s="18"/>
      <c r="E3734" s="18"/>
      <c r="F3734" s="19"/>
      <c r="G3734" s="31"/>
      <c r="H3734" s="31"/>
      <c r="I3734" s="19"/>
      <c r="J3734" s="19"/>
      <c r="K3734" s="18"/>
      <c r="L3734" s="19"/>
      <c r="M3734" s="19"/>
      <c r="N3734" s="20"/>
      <c r="O3734" s="19"/>
      <c r="P3734" s="19"/>
      <c r="Q3734" s="19"/>
      <c r="R3734" s="19"/>
      <c r="S3734" s="19"/>
      <c r="T3734" s="19"/>
      <c r="U3734" s="19"/>
      <c r="V3734" s="19"/>
      <c r="W3734" s="19"/>
      <c r="X3734" s="19"/>
      <c r="Y3734" s="19"/>
      <c r="Z3734" s="19"/>
      <c r="AA3734" s="19"/>
      <c r="AB3734" s="19"/>
      <c r="AC3734" s="19"/>
      <c r="AD3734" s="19"/>
      <c r="AE3734" s="19"/>
      <c r="AF3734" s="19"/>
      <c r="AG3734" s="19"/>
      <c r="AH3734" s="19"/>
      <c r="AI3734" s="19"/>
      <c r="AJ3734" s="19"/>
      <c r="AK3734" s="19"/>
      <c r="AL3734" s="19"/>
      <c r="AM3734" s="19"/>
      <c r="AN3734" s="19"/>
      <c r="AO3734" s="19"/>
      <c r="AP3734" s="19"/>
      <c r="AQ3734" s="19"/>
      <c r="AR3734" s="19"/>
      <c r="AS3734" s="19"/>
    </row>
    <row r="3735" spans="1:45" x14ac:dyDescent="0.3">
      <c r="A3735" s="410" t="s">
        <v>5570</v>
      </c>
      <c r="B3735" s="17"/>
      <c r="C3735" s="19"/>
      <c r="D3735" s="18"/>
      <c r="E3735" s="18"/>
      <c r="F3735" s="19"/>
      <c r="G3735" s="31"/>
      <c r="H3735" s="31"/>
      <c r="I3735" s="19"/>
      <c r="J3735" s="19"/>
      <c r="K3735" s="18"/>
      <c r="L3735" s="19"/>
      <c r="M3735" s="19"/>
      <c r="N3735" s="20"/>
      <c r="O3735" s="19"/>
      <c r="P3735" s="19"/>
      <c r="Q3735" s="19"/>
      <c r="R3735" s="19"/>
      <c r="S3735" s="19"/>
      <c r="T3735" s="19"/>
      <c r="U3735" s="19"/>
      <c r="V3735" s="19"/>
      <c r="W3735" s="19"/>
      <c r="X3735" s="19"/>
      <c r="Y3735" s="19"/>
      <c r="Z3735" s="19"/>
      <c r="AA3735" s="19"/>
      <c r="AB3735" s="19"/>
      <c r="AC3735" s="19"/>
      <c r="AD3735" s="19"/>
      <c r="AE3735" s="19"/>
      <c r="AF3735" s="19"/>
      <c r="AG3735" s="19"/>
      <c r="AH3735" s="19"/>
      <c r="AI3735" s="19"/>
      <c r="AJ3735" s="19"/>
      <c r="AK3735" s="19"/>
      <c r="AL3735" s="19"/>
      <c r="AM3735" s="19"/>
      <c r="AN3735" s="19"/>
      <c r="AO3735" s="19"/>
      <c r="AP3735" s="19"/>
      <c r="AQ3735" s="19"/>
      <c r="AR3735" s="19"/>
      <c r="AS3735" s="19"/>
    </row>
    <row r="3736" spans="1:45" x14ac:dyDescent="0.3">
      <c r="A3736" s="410" t="s">
        <v>5571</v>
      </c>
      <c r="B3736" s="17"/>
      <c r="C3736" s="19"/>
      <c r="D3736" s="18"/>
      <c r="E3736" s="18"/>
      <c r="F3736" s="19"/>
      <c r="G3736" s="31"/>
      <c r="H3736" s="31"/>
      <c r="I3736" s="19"/>
      <c r="J3736" s="19"/>
      <c r="K3736" s="18"/>
      <c r="L3736" s="19"/>
      <c r="M3736" s="19"/>
      <c r="N3736" s="20"/>
      <c r="O3736" s="19"/>
      <c r="P3736" s="19"/>
      <c r="Q3736" s="19"/>
      <c r="R3736" s="19"/>
      <c r="S3736" s="19"/>
      <c r="T3736" s="19"/>
      <c r="U3736" s="19"/>
      <c r="V3736" s="19"/>
      <c r="W3736" s="19"/>
      <c r="X3736" s="19"/>
      <c r="Y3736" s="19"/>
      <c r="Z3736" s="19"/>
      <c r="AA3736" s="19"/>
      <c r="AB3736" s="19"/>
      <c r="AC3736" s="19"/>
      <c r="AD3736" s="19"/>
      <c r="AE3736" s="19"/>
      <c r="AF3736" s="19"/>
      <c r="AG3736" s="19"/>
      <c r="AH3736" s="19"/>
      <c r="AI3736" s="19"/>
      <c r="AJ3736" s="19"/>
      <c r="AK3736" s="19"/>
      <c r="AL3736" s="19"/>
      <c r="AM3736" s="19"/>
      <c r="AN3736" s="19"/>
      <c r="AO3736" s="19"/>
      <c r="AP3736" s="19"/>
      <c r="AQ3736" s="19"/>
      <c r="AR3736" s="19"/>
      <c r="AS3736" s="19"/>
    </row>
  </sheetData>
  <sheetProtection algorithmName="SHA-512" hashValue="Swby8VLgh1kuCfI9CoqUXU/4ue2TtRKhidyJ91bk+o+jZvy9wUSTCTsCc1g7S1RFGUey74xTXi6NMpreQGKI/Q==" saltValue="vEHH117ibqUkGd8lhGNQoA==" spinCount="100000" sheet="1" objects="1" scenarios="1"/>
  <autoFilter ref="A1:AS3736" xr:uid="{E1BFCC29-A8DF-4914-BAC5-A35B82350762}"/>
  <sortState xmlns:xlrd2="http://schemas.microsoft.com/office/spreadsheetml/2017/richdata2" ref="B3657:AS3716">
    <sortCondition ref="B3657:B3716"/>
  </sortState>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F958-4EA9-45D4-9369-2AC6DC0D7119}">
  <sheetPr codeName="Sheet10">
    <tabColor rgb="FF92D050"/>
  </sheetPr>
  <dimension ref="A1:ERY53"/>
  <sheetViews>
    <sheetView showGridLines="0" zoomScale="50" zoomScaleNormal="50" workbookViewId="0">
      <pane xSplit="1" ySplit="2" topLeftCell="EV3" activePane="bottomRight" state="frozen"/>
      <selection activeCell="A44" sqref="A44"/>
      <selection pane="topRight" activeCell="A44" sqref="A44"/>
      <selection pane="bottomLeft" activeCell="A44" sqref="A44"/>
      <selection pane="bottomRight" activeCell="A44" sqref="A44"/>
    </sheetView>
  </sheetViews>
  <sheetFormatPr defaultColWidth="9.33203125" defaultRowHeight="14.4" x14ac:dyDescent="0.3"/>
  <cols>
    <col min="1" max="1" width="21.44140625" bestFit="1" customWidth="1"/>
    <col min="2" max="2" width="10.88671875" customWidth="1"/>
    <col min="3" max="3" width="10.88671875" style="1" customWidth="1"/>
    <col min="4" max="4" width="10.88671875" style="2" customWidth="1"/>
    <col min="5" max="5" width="10.88671875" customWidth="1"/>
    <col min="6" max="8" width="10.88671875" style="2" customWidth="1"/>
    <col min="9" max="9" width="10.88671875" style="1" customWidth="1"/>
    <col min="10" max="11" width="10.88671875" style="2" customWidth="1"/>
    <col min="12" max="3281" width="10.88671875" customWidth="1"/>
  </cols>
  <sheetData>
    <row r="1" spans="1:3873" x14ac:dyDescent="0.3">
      <c r="A1" s="1">
        <v>1</v>
      </c>
      <c r="B1" s="42">
        <f>A1+1</f>
        <v>2</v>
      </c>
      <c r="C1" s="1">
        <f t="shared" ref="C1:BN1" si="0">B1+1</f>
        <v>3</v>
      </c>
      <c r="D1" s="1">
        <f t="shared" si="0"/>
        <v>4</v>
      </c>
      <c r="E1" s="1">
        <f t="shared" si="0"/>
        <v>5</v>
      </c>
      <c r="F1" s="1">
        <f t="shared" si="0"/>
        <v>6</v>
      </c>
      <c r="G1" s="1">
        <f t="shared" si="0"/>
        <v>7</v>
      </c>
      <c r="H1" s="1">
        <f t="shared" si="0"/>
        <v>8</v>
      </c>
      <c r="I1" s="1">
        <f t="shared" si="0"/>
        <v>9</v>
      </c>
      <c r="J1" s="1">
        <f t="shared" si="0"/>
        <v>10</v>
      </c>
      <c r="K1" s="1">
        <f t="shared" si="0"/>
        <v>11</v>
      </c>
      <c r="L1" s="1">
        <f t="shared" si="0"/>
        <v>12</v>
      </c>
      <c r="M1" s="1">
        <f t="shared" si="0"/>
        <v>13</v>
      </c>
      <c r="N1" s="1">
        <f t="shared" si="0"/>
        <v>14</v>
      </c>
      <c r="O1" s="1">
        <f t="shared" si="0"/>
        <v>15</v>
      </c>
      <c r="P1" s="1">
        <f t="shared" si="0"/>
        <v>16</v>
      </c>
      <c r="Q1" s="1">
        <f t="shared" si="0"/>
        <v>17</v>
      </c>
      <c r="R1" s="1">
        <f t="shared" si="0"/>
        <v>18</v>
      </c>
      <c r="S1" s="1">
        <f t="shared" si="0"/>
        <v>19</v>
      </c>
      <c r="T1" s="1">
        <f t="shared" si="0"/>
        <v>20</v>
      </c>
      <c r="U1" s="1">
        <f t="shared" si="0"/>
        <v>21</v>
      </c>
      <c r="V1" s="1">
        <f t="shared" si="0"/>
        <v>22</v>
      </c>
      <c r="W1" s="1">
        <f t="shared" si="0"/>
        <v>23</v>
      </c>
      <c r="X1" s="1">
        <f t="shared" si="0"/>
        <v>24</v>
      </c>
      <c r="Y1" s="1">
        <f t="shared" si="0"/>
        <v>25</v>
      </c>
      <c r="Z1" s="1">
        <f t="shared" si="0"/>
        <v>26</v>
      </c>
      <c r="AA1" s="1">
        <f t="shared" si="0"/>
        <v>27</v>
      </c>
      <c r="AB1" s="1">
        <f t="shared" si="0"/>
        <v>28</v>
      </c>
      <c r="AC1" s="1">
        <f t="shared" si="0"/>
        <v>29</v>
      </c>
      <c r="AD1" s="1">
        <f t="shared" si="0"/>
        <v>30</v>
      </c>
      <c r="AE1" s="1">
        <f t="shared" si="0"/>
        <v>31</v>
      </c>
      <c r="AF1" s="1">
        <f t="shared" si="0"/>
        <v>32</v>
      </c>
      <c r="AG1" s="1">
        <f t="shared" si="0"/>
        <v>33</v>
      </c>
      <c r="AH1" s="1">
        <f t="shared" si="0"/>
        <v>34</v>
      </c>
      <c r="AI1" s="1">
        <f t="shared" si="0"/>
        <v>35</v>
      </c>
      <c r="AJ1" s="1">
        <f t="shared" si="0"/>
        <v>36</v>
      </c>
      <c r="AK1" s="1">
        <f t="shared" si="0"/>
        <v>37</v>
      </c>
      <c r="AL1" s="1">
        <f t="shared" si="0"/>
        <v>38</v>
      </c>
      <c r="AM1" s="1">
        <f t="shared" si="0"/>
        <v>39</v>
      </c>
      <c r="AN1" s="1">
        <f t="shared" si="0"/>
        <v>40</v>
      </c>
      <c r="AO1" s="1">
        <f t="shared" si="0"/>
        <v>41</v>
      </c>
      <c r="AP1" s="1">
        <f t="shared" si="0"/>
        <v>42</v>
      </c>
      <c r="AQ1" s="1">
        <f t="shared" si="0"/>
        <v>43</v>
      </c>
      <c r="AR1" s="1">
        <f t="shared" si="0"/>
        <v>44</v>
      </c>
      <c r="AS1" s="1">
        <f t="shared" si="0"/>
        <v>45</v>
      </c>
      <c r="AT1" s="42">
        <f t="shared" si="0"/>
        <v>46</v>
      </c>
      <c r="AU1" s="1">
        <f t="shared" si="0"/>
        <v>47</v>
      </c>
      <c r="AV1" s="1">
        <f t="shared" si="0"/>
        <v>48</v>
      </c>
      <c r="AW1" s="1">
        <f t="shared" si="0"/>
        <v>49</v>
      </c>
      <c r="AX1" s="1">
        <f t="shared" si="0"/>
        <v>50</v>
      </c>
      <c r="AY1" s="1">
        <f t="shared" si="0"/>
        <v>51</v>
      </c>
      <c r="AZ1" s="1">
        <f t="shared" si="0"/>
        <v>52</v>
      </c>
      <c r="BA1" s="1">
        <f t="shared" si="0"/>
        <v>53</v>
      </c>
      <c r="BB1" s="1">
        <f t="shared" si="0"/>
        <v>54</v>
      </c>
      <c r="BC1" s="1">
        <f t="shared" si="0"/>
        <v>55</v>
      </c>
      <c r="BD1" s="1">
        <f t="shared" si="0"/>
        <v>56</v>
      </c>
      <c r="BE1" s="1">
        <f t="shared" si="0"/>
        <v>57</v>
      </c>
      <c r="BF1" s="1">
        <f t="shared" si="0"/>
        <v>58</v>
      </c>
      <c r="BG1" s="1">
        <f t="shared" si="0"/>
        <v>59</v>
      </c>
      <c r="BH1" s="1">
        <f t="shared" si="0"/>
        <v>60</v>
      </c>
      <c r="BI1" s="1">
        <f t="shared" si="0"/>
        <v>61</v>
      </c>
      <c r="BJ1" s="1">
        <f t="shared" si="0"/>
        <v>62</v>
      </c>
      <c r="BK1" s="1">
        <f t="shared" si="0"/>
        <v>63</v>
      </c>
      <c r="BL1" s="1">
        <f t="shared" si="0"/>
        <v>64</v>
      </c>
      <c r="BM1" s="1">
        <f t="shared" si="0"/>
        <v>65</v>
      </c>
      <c r="BN1" s="1">
        <f t="shared" si="0"/>
        <v>66</v>
      </c>
      <c r="BO1" s="1">
        <f t="shared" ref="BO1:DZ1" si="1">BN1+1</f>
        <v>67</v>
      </c>
      <c r="BP1" s="1">
        <f t="shared" si="1"/>
        <v>68</v>
      </c>
      <c r="BQ1" s="1">
        <f t="shared" si="1"/>
        <v>69</v>
      </c>
      <c r="BR1" s="1">
        <f t="shared" si="1"/>
        <v>70</v>
      </c>
      <c r="BS1" s="1">
        <f t="shared" si="1"/>
        <v>71</v>
      </c>
      <c r="BT1" s="1">
        <f t="shared" si="1"/>
        <v>72</v>
      </c>
      <c r="BU1" s="1">
        <f t="shared" si="1"/>
        <v>73</v>
      </c>
      <c r="BV1" s="1">
        <f t="shared" si="1"/>
        <v>74</v>
      </c>
      <c r="BW1" s="1">
        <f t="shared" si="1"/>
        <v>75</v>
      </c>
      <c r="BX1" s="1">
        <f t="shared" si="1"/>
        <v>76</v>
      </c>
      <c r="BY1" s="1">
        <f t="shared" si="1"/>
        <v>77</v>
      </c>
      <c r="BZ1" s="1">
        <f t="shared" si="1"/>
        <v>78</v>
      </c>
      <c r="CA1" s="1">
        <f t="shared" si="1"/>
        <v>79</v>
      </c>
      <c r="CB1" s="1">
        <f t="shared" si="1"/>
        <v>80</v>
      </c>
      <c r="CC1" s="1">
        <f t="shared" si="1"/>
        <v>81</v>
      </c>
      <c r="CD1" s="1">
        <f t="shared" si="1"/>
        <v>82</v>
      </c>
      <c r="CE1" s="1">
        <f t="shared" si="1"/>
        <v>83</v>
      </c>
      <c r="CF1" s="1">
        <f t="shared" si="1"/>
        <v>84</v>
      </c>
      <c r="CG1" s="1">
        <f t="shared" si="1"/>
        <v>85</v>
      </c>
      <c r="CH1" s="1">
        <f t="shared" si="1"/>
        <v>86</v>
      </c>
      <c r="CI1" s="1">
        <f t="shared" si="1"/>
        <v>87</v>
      </c>
      <c r="CJ1" s="1">
        <f t="shared" si="1"/>
        <v>88</v>
      </c>
      <c r="CK1" s="1">
        <f t="shared" si="1"/>
        <v>89</v>
      </c>
      <c r="CL1" s="42">
        <f t="shared" si="1"/>
        <v>90</v>
      </c>
      <c r="CM1" s="1">
        <f t="shared" si="1"/>
        <v>91</v>
      </c>
      <c r="CN1" s="1">
        <f t="shared" si="1"/>
        <v>92</v>
      </c>
      <c r="CO1" s="1">
        <f t="shared" si="1"/>
        <v>93</v>
      </c>
      <c r="CP1" s="1">
        <f t="shared" si="1"/>
        <v>94</v>
      </c>
      <c r="CQ1" s="1">
        <f t="shared" si="1"/>
        <v>95</v>
      </c>
      <c r="CR1" s="1">
        <f t="shared" si="1"/>
        <v>96</v>
      </c>
      <c r="CS1" s="1">
        <f t="shared" si="1"/>
        <v>97</v>
      </c>
      <c r="CT1" s="1">
        <f t="shared" si="1"/>
        <v>98</v>
      </c>
      <c r="CU1" s="1">
        <f t="shared" si="1"/>
        <v>99</v>
      </c>
      <c r="CV1" s="1">
        <f t="shared" si="1"/>
        <v>100</v>
      </c>
      <c r="CW1" s="1">
        <f t="shared" si="1"/>
        <v>101</v>
      </c>
      <c r="CX1" s="1">
        <f t="shared" si="1"/>
        <v>102</v>
      </c>
      <c r="CY1" s="1">
        <f t="shared" si="1"/>
        <v>103</v>
      </c>
      <c r="CZ1" s="1">
        <f t="shared" si="1"/>
        <v>104</v>
      </c>
      <c r="DA1" s="1">
        <f t="shared" si="1"/>
        <v>105</v>
      </c>
      <c r="DB1" s="1">
        <f t="shared" si="1"/>
        <v>106</v>
      </c>
      <c r="DC1" s="1">
        <f t="shared" si="1"/>
        <v>107</v>
      </c>
      <c r="DD1" s="1">
        <f t="shared" si="1"/>
        <v>108</v>
      </c>
      <c r="DE1" s="1">
        <f t="shared" si="1"/>
        <v>109</v>
      </c>
      <c r="DF1" s="1">
        <f t="shared" si="1"/>
        <v>110</v>
      </c>
      <c r="DG1" s="1">
        <f t="shared" si="1"/>
        <v>111</v>
      </c>
      <c r="DH1" s="1">
        <f t="shared" si="1"/>
        <v>112</v>
      </c>
      <c r="DI1" s="1">
        <f t="shared" si="1"/>
        <v>113</v>
      </c>
      <c r="DJ1" s="1">
        <f t="shared" si="1"/>
        <v>114</v>
      </c>
      <c r="DK1" s="1">
        <f t="shared" si="1"/>
        <v>115</v>
      </c>
      <c r="DL1" s="1">
        <f t="shared" si="1"/>
        <v>116</v>
      </c>
      <c r="DM1" s="1">
        <f t="shared" si="1"/>
        <v>117</v>
      </c>
      <c r="DN1" s="1">
        <f t="shared" si="1"/>
        <v>118</v>
      </c>
      <c r="DO1" s="1">
        <f t="shared" si="1"/>
        <v>119</v>
      </c>
      <c r="DP1" s="1">
        <f t="shared" si="1"/>
        <v>120</v>
      </c>
      <c r="DQ1" s="1">
        <f t="shared" si="1"/>
        <v>121</v>
      </c>
      <c r="DR1" s="1">
        <f t="shared" si="1"/>
        <v>122</v>
      </c>
      <c r="DS1" s="1">
        <f t="shared" si="1"/>
        <v>123</v>
      </c>
      <c r="DT1" s="1">
        <f t="shared" si="1"/>
        <v>124</v>
      </c>
      <c r="DU1" s="1">
        <f t="shared" si="1"/>
        <v>125</v>
      </c>
      <c r="DV1" s="1">
        <f t="shared" si="1"/>
        <v>126</v>
      </c>
      <c r="DW1" s="1">
        <f t="shared" si="1"/>
        <v>127</v>
      </c>
      <c r="DX1" s="1">
        <f t="shared" si="1"/>
        <v>128</v>
      </c>
      <c r="DY1" s="1">
        <f t="shared" si="1"/>
        <v>129</v>
      </c>
      <c r="DZ1" s="1">
        <f t="shared" si="1"/>
        <v>130</v>
      </c>
      <c r="EA1" s="1">
        <f t="shared" ref="EA1:GL1" si="2">DZ1+1</f>
        <v>131</v>
      </c>
      <c r="EB1" s="1">
        <f t="shared" si="2"/>
        <v>132</v>
      </c>
      <c r="EC1" s="1">
        <f t="shared" si="2"/>
        <v>133</v>
      </c>
      <c r="ED1" s="42">
        <f t="shared" si="2"/>
        <v>134</v>
      </c>
      <c r="EE1" s="1">
        <f t="shared" si="2"/>
        <v>135</v>
      </c>
      <c r="EF1" s="1">
        <f t="shared" si="2"/>
        <v>136</v>
      </c>
      <c r="EG1" s="1">
        <f t="shared" si="2"/>
        <v>137</v>
      </c>
      <c r="EH1" s="1">
        <f t="shared" si="2"/>
        <v>138</v>
      </c>
      <c r="EI1" s="1">
        <f t="shared" si="2"/>
        <v>139</v>
      </c>
      <c r="EJ1" s="1">
        <f t="shared" si="2"/>
        <v>140</v>
      </c>
      <c r="EK1" s="1">
        <f t="shared" si="2"/>
        <v>141</v>
      </c>
      <c r="EL1" s="1">
        <f t="shared" si="2"/>
        <v>142</v>
      </c>
      <c r="EM1" s="1">
        <f t="shared" si="2"/>
        <v>143</v>
      </c>
      <c r="EN1" s="1">
        <f t="shared" si="2"/>
        <v>144</v>
      </c>
      <c r="EO1" s="1">
        <f t="shared" si="2"/>
        <v>145</v>
      </c>
      <c r="EP1" s="1">
        <f t="shared" si="2"/>
        <v>146</v>
      </c>
      <c r="EQ1" s="1">
        <f t="shared" si="2"/>
        <v>147</v>
      </c>
      <c r="ER1" s="1">
        <f t="shared" si="2"/>
        <v>148</v>
      </c>
      <c r="ES1" s="1">
        <f t="shared" si="2"/>
        <v>149</v>
      </c>
      <c r="ET1" s="1">
        <f t="shared" si="2"/>
        <v>150</v>
      </c>
      <c r="EU1" s="1">
        <f t="shared" si="2"/>
        <v>151</v>
      </c>
      <c r="EV1" s="1">
        <f t="shared" si="2"/>
        <v>152</v>
      </c>
      <c r="EW1" s="1">
        <f t="shared" si="2"/>
        <v>153</v>
      </c>
      <c r="EX1" s="1">
        <f t="shared" si="2"/>
        <v>154</v>
      </c>
      <c r="EY1" s="1">
        <f t="shared" si="2"/>
        <v>155</v>
      </c>
      <c r="EZ1" s="1">
        <f t="shared" si="2"/>
        <v>156</v>
      </c>
      <c r="FA1" s="1">
        <f t="shared" si="2"/>
        <v>157</v>
      </c>
      <c r="FB1" s="1">
        <f t="shared" si="2"/>
        <v>158</v>
      </c>
      <c r="FC1" s="1">
        <f t="shared" si="2"/>
        <v>159</v>
      </c>
      <c r="FD1" s="1">
        <f t="shared" si="2"/>
        <v>160</v>
      </c>
      <c r="FE1" s="1">
        <f t="shared" si="2"/>
        <v>161</v>
      </c>
      <c r="FF1" s="1">
        <f t="shared" si="2"/>
        <v>162</v>
      </c>
      <c r="FG1" s="1">
        <f t="shared" si="2"/>
        <v>163</v>
      </c>
      <c r="FH1" s="1">
        <f t="shared" si="2"/>
        <v>164</v>
      </c>
      <c r="FI1" s="1">
        <f t="shared" si="2"/>
        <v>165</v>
      </c>
      <c r="FJ1" s="1">
        <f t="shared" si="2"/>
        <v>166</v>
      </c>
      <c r="FK1" s="1">
        <f t="shared" si="2"/>
        <v>167</v>
      </c>
      <c r="FL1" s="1">
        <f t="shared" si="2"/>
        <v>168</v>
      </c>
      <c r="FM1" s="1">
        <f t="shared" si="2"/>
        <v>169</v>
      </c>
      <c r="FN1" s="1">
        <f t="shared" si="2"/>
        <v>170</v>
      </c>
      <c r="FO1" s="1">
        <f t="shared" si="2"/>
        <v>171</v>
      </c>
      <c r="FP1" s="1">
        <f t="shared" si="2"/>
        <v>172</v>
      </c>
      <c r="FQ1" s="1">
        <f t="shared" si="2"/>
        <v>173</v>
      </c>
      <c r="FR1" s="1">
        <f t="shared" si="2"/>
        <v>174</v>
      </c>
      <c r="FS1" s="1">
        <f t="shared" si="2"/>
        <v>175</v>
      </c>
      <c r="FT1" s="1">
        <f t="shared" si="2"/>
        <v>176</v>
      </c>
      <c r="FU1" s="1">
        <f t="shared" si="2"/>
        <v>177</v>
      </c>
      <c r="FV1" s="42">
        <f t="shared" si="2"/>
        <v>178</v>
      </c>
      <c r="FW1" s="1">
        <f t="shared" si="2"/>
        <v>179</v>
      </c>
      <c r="FX1" s="1">
        <f t="shared" si="2"/>
        <v>180</v>
      </c>
      <c r="FY1" s="1">
        <f t="shared" si="2"/>
        <v>181</v>
      </c>
      <c r="FZ1" s="1">
        <f t="shared" si="2"/>
        <v>182</v>
      </c>
      <c r="GA1" s="1">
        <f t="shared" si="2"/>
        <v>183</v>
      </c>
      <c r="GB1" s="1">
        <f t="shared" si="2"/>
        <v>184</v>
      </c>
      <c r="GC1" s="1">
        <f t="shared" si="2"/>
        <v>185</v>
      </c>
      <c r="GD1" s="1">
        <f t="shared" si="2"/>
        <v>186</v>
      </c>
      <c r="GE1" s="1">
        <f t="shared" si="2"/>
        <v>187</v>
      </c>
      <c r="GF1" s="1">
        <f t="shared" si="2"/>
        <v>188</v>
      </c>
      <c r="GG1" s="1">
        <f t="shared" si="2"/>
        <v>189</v>
      </c>
      <c r="GH1" s="1">
        <f t="shared" si="2"/>
        <v>190</v>
      </c>
      <c r="GI1" s="1">
        <f t="shared" si="2"/>
        <v>191</v>
      </c>
      <c r="GJ1" s="1">
        <f t="shared" si="2"/>
        <v>192</v>
      </c>
      <c r="GK1" s="1">
        <f t="shared" si="2"/>
        <v>193</v>
      </c>
      <c r="GL1" s="1">
        <f t="shared" si="2"/>
        <v>194</v>
      </c>
      <c r="GM1" s="1">
        <f t="shared" ref="GM1:IX1" si="3">GL1+1</f>
        <v>195</v>
      </c>
      <c r="GN1" s="1">
        <f t="shared" si="3"/>
        <v>196</v>
      </c>
      <c r="GO1" s="1">
        <f t="shared" si="3"/>
        <v>197</v>
      </c>
      <c r="GP1" s="1">
        <f t="shared" si="3"/>
        <v>198</v>
      </c>
      <c r="GQ1" s="1">
        <f t="shared" si="3"/>
        <v>199</v>
      </c>
      <c r="GR1" s="1">
        <f t="shared" si="3"/>
        <v>200</v>
      </c>
      <c r="GS1" s="1">
        <f t="shared" si="3"/>
        <v>201</v>
      </c>
      <c r="GT1" s="1">
        <f t="shared" si="3"/>
        <v>202</v>
      </c>
      <c r="GU1" s="1">
        <f t="shared" si="3"/>
        <v>203</v>
      </c>
      <c r="GV1" s="1">
        <f t="shared" si="3"/>
        <v>204</v>
      </c>
      <c r="GW1" s="1">
        <f t="shared" si="3"/>
        <v>205</v>
      </c>
      <c r="GX1" s="1">
        <f t="shared" si="3"/>
        <v>206</v>
      </c>
      <c r="GY1" s="1">
        <f t="shared" si="3"/>
        <v>207</v>
      </c>
      <c r="GZ1" s="1">
        <f t="shared" si="3"/>
        <v>208</v>
      </c>
      <c r="HA1" s="1">
        <f t="shared" si="3"/>
        <v>209</v>
      </c>
      <c r="HB1" s="1">
        <f t="shared" si="3"/>
        <v>210</v>
      </c>
      <c r="HC1" s="1">
        <f t="shared" si="3"/>
        <v>211</v>
      </c>
      <c r="HD1" s="1">
        <f t="shared" si="3"/>
        <v>212</v>
      </c>
      <c r="HE1" s="1">
        <f t="shared" si="3"/>
        <v>213</v>
      </c>
      <c r="HF1" s="1">
        <f t="shared" si="3"/>
        <v>214</v>
      </c>
      <c r="HG1" s="1">
        <f t="shared" si="3"/>
        <v>215</v>
      </c>
      <c r="HH1" s="1">
        <f t="shared" si="3"/>
        <v>216</v>
      </c>
      <c r="HI1" s="1">
        <f t="shared" si="3"/>
        <v>217</v>
      </c>
      <c r="HJ1" s="1">
        <f t="shared" si="3"/>
        <v>218</v>
      </c>
      <c r="HK1" s="1">
        <f t="shared" si="3"/>
        <v>219</v>
      </c>
      <c r="HL1" s="1">
        <f t="shared" si="3"/>
        <v>220</v>
      </c>
      <c r="HM1" s="1">
        <f t="shared" si="3"/>
        <v>221</v>
      </c>
      <c r="HN1" s="42">
        <f t="shared" si="3"/>
        <v>222</v>
      </c>
      <c r="HO1" s="1">
        <f t="shared" si="3"/>
        <v>223</v>
      </c>
      <c r="HP1" s="1">
        <f t="shared" si="3"/>
        <v>224</v>
      </c>
      <c r="HQ1" s="1">
        <f t="shared" si="3"/>
        <v>225</v>
      </c>
      <c r="HR1" s="1">
        <f t="shared" si="3"/>
        <v>226</v>
      </c>
      <c r="HS1" s="1">
        <f t="shared" si="3"/>
        <v>227</v>
      </c>
      <c r="HT1" s="1">
        <f t="shared" si="3"/>
        <v>228</v>
      </c>
      <c r="HU1" s="1">
        <f t="shared" si="3"/>
        <v>229</v>
      </c>
      <c r="HV1" s="1">
        <f t="shared" si="3"/>
        <v>230</v>
      </c>
      <c r="HW1" s="1">
        <f t="shared" si="3"/>
        <v>231</v>
      </c>
      <c r="HX1" s="1">
        <f t="shared" si="3"/>
        <v>232</v>
      </c>
      <c r="HY1" s="1">
        <f t="shared" si="3"/>
        <v>233</v>
      </c>
      <c r="HZ1" s="1">
        <f t="shared" si="3"/>
        <v>234</v>
      </c>
      <c r="IA1" s="1">
        <f t="shared" si="3"/>
        <v>235</v>
      </c>
      <c r="IB1" s="1">
        <f t="shared" si="3"/>
        <v>236</v>
      </c>
      <c r="IC1" s="1">
        <f t="shared" si="3"/>
        <v>237</v>
      </c>
      <c r="ID1" s="1">
        <f t="shared" si="3"/>
        <v>238</v>
      </c>
      <c r="IE1" s="1">
        <f t="shared" si="3"/>
        <v>239</v>
      </c>
      <c r="IF1" s="1">
        <f t="shared" si="3"/>
        <v>240</v>
      </c>
      <c r="IG1" s="1">
        <f t="shared" si="3"/>
        <v>241</v>
      </c>
      <c r="IH1" s="1">
        <f t="shared" si="3"/>
        <v>242</v>
      </c>
      <c r="II1" s="1">
        <f t="shared" si="3"/>
        <v>243</v>
      </c>
      <c r="IJ1" s="1">
        <f t="shared" si="3"/>
        <v>244</v>
      </c>
      <c r="IK1" s="1">
        <f t="shared" si="3"/>
        <v>245</v>
      </c>
      <c r="IL1" s="1">
        <f t="shared" si="3"/>
        <v>246</v>
      </c>
      <c r="IM1" s="1">
        <f t="shared" si="3"/>
        <v>247</v>
      </c>
      <c r="IN1" s="1">
        <f t="shared" si="3"/>
        <v>248</v>
      </c>
      <c r="IO1" s="1">
        <f t="shared" si="3"/>
        <v>249</v>
      </c>
      <c r="IP1" s="1">
        <f t="shared" si="3"/>
        <v>250</v>
      </c>
      <c r="IQ1" s="1">
        <f t="shared" si="3"/>
        <v>251</v>
      </c>
      <c r="IR1" s="1">
        <f t="shared" si="3"/>
        <v>252</v>
      </c>
      <c r="IS1" s="1">
        <f t="shared" si="3"/>
        <v>253</v>
      </c>
      <c r="IT1" s="1">
        <f t="shared" si="3"/>
        <v>254</v>
      </c>
      <c r="IU1" s="1">
        <f t="shared" si="3"/>
        <v>255</v>
      </c>
      <c r="IV1" s="1">
        <f t="shared" si="3"/>
        <v>256</v>
      </c>
      <c r="IW1" s="1">
        <f t="shared" si="3"/>
        <v>257</v>
      </c>
      <c r="IX1" s="1">
        <f t="shared" si="3"/>
        <v>258</v>
      </c>
      <c r="IY1" s="1">
        <f t="shared" ref="IY1:LJ1" si="4">IX1+1</f>
        <v>259</v>
      </c>
      <c r="IZ1" s="1">
        <f t="shared" si="4"/>
        <v>260</v>
      </c>
      <c r="JA1" s="1">
        <f t="shared" si="4"/>
        <v>261</v>
      </c>
      <c r="JB1" s="1">
        <f t="shared" si="4"/>
        <v>262</v>
      </c>
      <c r="JC1" s="1">
        <f t="shared" si="4"/>
        <v>263</v>
      </c>
      <c r="JD1" s="1">
        <f t="shared" si="4"/>
        <v>264</v>
      </c>
      <c r="JE1" s="1">
        <f t="shared" si="4"/>
        <v>265</v>
      </c>
      <c r="JF1" s="42">
        <f t="shared" si="4"/>
        <v>266</v>
      </c>
      <c r="JG1" s="1">
        <f t="shared" si="4"/>
        <v>267</v>
      </c>
      <c r="JH1" s="1">
        <f t="shared" si="4"/>
        <v>268</v>
      </c>
      <c r="JI1" s="1">
        <f t="shared" si="4"/>
        <v>269</v>
      </c>
      <c r="JJ1" s="1">
        <f t="shared" si="4"/>
        <v>270</v>
      </c>
      <c r="JK1" s="1">
        <f t="shared" si="4"/>
        <v>271</v>
      </c>
      <c r="JL1" s="1">
        <f t="shared" si="4"/>
        <v>272</v>
      </c>
      <c r="JM1" s="1">
        <f t="shared" si="4"/>
        <v>273</v>
      </c>
      <c r="JN1" s="1">
        <f t="shared" si="4"/>
        <v>274</v>
      </c>
      <c r="JO1" s="1">
        <f t="shared" si="4"/>
        <v>275</v>
      </c>
      <c r="JP1" s="1">
        <f t="shared" si="4"/>
        <v>276</v>
      </c>
      <c r="JQ1" s="1">
        <f t="shared" si="4"/>
        <v>277</v>
      </c>
      <c r="JR1" s="1">
        <f t="shared" si="4"/>
        <v>278</v>
      </c>
      <c r="JS1" s="1">
        <f t="shared" si="4"/>
        <v>279</v>
      </c>
      <c r="JT1" s="1">
        <f t="shared" si="4"/>
        <v>280</v>
      </c>
      <c r="JU1" s="1">
        <f t="shared" si="4"/>
        <v>281</v>
      </c>
      <c r="JV1" s="1">
        <f t="shared" si="4"/>
        <v>282</v>
      </c>
      <c r="JW1" s="1">
        <f t="shared" si="4"/>
        <v>283</v>
      </c>
      <c r="JX1" s="1">
        <f t="shared" si="4"/>
        <v>284</v>
      </c>
      <c r="JY1" s="1">
        <f t="shared" si="4"/>
        <v>285</v>
      </c>
      <c r="JZ1" s="1">
        <f t="shared" si="4"/>
        <v>286</v>
      </c>
      <c r="KA1" s="1">
        <f t="shared" si="4"/>
        <v>287</v>
      </c>
      <c r="KB1" s="1">
        <f t="shared" si="4"/>
        <v>288</v>
      </c>
      <c r="KC1" s="1">
        <f t="shared" si="4"/>
        <v>289</v>
      </c>
      <c r="KD1" s="1">
        <f t="shared" si="4"/>
        <v>290</v>
      </c>
      <c r="KE1" s="1">
        <f t="shared" si="4"/>
        <v>291</v>
      </c>
      <c r="KF1" s="1">
        <f t="shared" si="4"/>
        <v>292</v>
      </c>
      <c r="KG1" s="1">
        <f t="shared" si="4"/>
        <v>293</v>
      </c>
      <c r="KH1" s="1">
        <f t="shared" si="4"/>
        <v>294</v>
      </c>
      <c r="KI1" s="1">
        <f t="shared" si="4"/>
        <v>295</v>
      </c>
      <c r="KJ1" s="1">
        <f t="shared" si="4"/>
        <v>296</v>
      </c>
      <c r="KK1" s="1">
        <f t="shared" si="4"/>
        <v>297</v>
      </c>
      <c r="KL1" s="1">
        <f t="shared" si="4"/>
        <v>298</v>
      </c>
      <c r="KM1" s="1">
        <f t="shared" si="4"/>
        <v>299</v>
      </c>
      <c r="KN1" s="1">
        <f t="shared" si="4"/>
        <v>300</v>
      </c>
      <c r="KO1" s="1">
        <f t="shared" si="4"/>
        <v>301</v>
      </c>
      <c r="KP1" s="1">
        <f t="shared" si="4"/>
        <v>302</v>
      </c>
      <c r="KQ1" s="1">
        <f t="shared" si="4"/>
        <v>303</v>
      </c>
      <c r="KR1" s="1">
        <f t="shared" si="4"/>
        <v>304</v>
      </c>
      <c r="KS1" s="1">
        <f t="shared" si="4"/>
        <v>305</v>
      </c>
      <c r="KT1" s="1">
        <f t="shared" si="4"/>
        <v>306</v>
      </c>
      <c r="KU1" s="1">
        <f t="shared" si="4"/>
        <v>307</v>
      </c>
      <c r="KV1" s="1">
        <f t="shared" si="4"/>
        <v>308</v>
      </c>
      <c r="KW1" s="1">
        <f t="shared" si="4"/>
        <v>309</v>
      </c>
      <c r="KX1" s="42">
        <f t="shared" si="4"/>
        <v>310</v>
      </c>
      <c r="KY1" s="1">
        <f t="shared" si="4"/>
        <v>311</v>
      </c>
      <c r="KZ1" s="1">
        <f t="shared" si="4"/>
        <v>312</v>
      </c>
      <c r="LA1" s="1">
        <f t="shared" si="4"/>
        <v>313</v>
      </c>
      <c r="LB1" s="1">
        <f t="shared" si="4"/>
        <v>314</v>
      </c>
      <c r="LC1" s="1">
        <f t="shared" si="4"/>
        <v>315</v>
      </c>
      <c r="LD1" s="1">
        <f t="shared" si="4"/>
        <v>316</v>
      </c>
      <c r="LE1" s="1">
        <f t="shared" si="4"/>
        <v>317</v>
      </c>
      <c r="LF1" s="1">
        <f t="shared" si="4"/>
        <v>318</v>
      </c>
      <c r="LG1" s="1">
        <f t="shared" si="4"/>
        <v>319</v>
      </c>
      <c r="LH1" s="1">
        <f t="shared" si="4"/>
        <v>320</v>
      </c>
      <c r="LI1" s="1">
        <f t="shared" si="4"/>
        <v>321</v>
      </c>
      <c r="LJ1" s="1">
        <f t="shared" si="4"/>
        <v>322</v>
      </c>
      <c r="LK1" s="1">
        <f t="shared" ref="LK1:NV1" si="5">LJ1+1</f>
        <v>323</v>
      </c>
      <c r="LL1" s="1">
        <f t="shared" si="5"/>
        <v>324</v>
      </c>
      <c r="LM1" s="1">
        <f t="shared" si="5"/>
        <v>325</v>
      </c>
      <c r="LN1" s="1">
        <f t="shared" si="5"/>
        <v>326</v>
      </c>
      <c r="LO1" s="1">
        <f t="shared" si="5"/>
        <v>327</v>
      </c>
      <c r="LP1" s="1">
        <f t="shared" si="5"/>
        <v>328</v>
      </c>
      <c r="LQ1" s="1">
        <f t="shared" si="5"/>
        <v>329</v>
      </c>
      <c r="LR1" s="1">
        <f t="shared" si="5"/>
        <v>330</v>
      </c>
      <c r="LS1" s="1">
        <f t="shared" si="5"/>
        <v>331</v>
      </c>
      <c r="LT1" s="1">
        <f t="shared" si="5"/>
        <v>332</v>
      </c>
      <c r="LU1" s="1">
        <f t="shared" si="5"/>
        <v>333</v>
      </c>
      <c r="LV1" s="1">
        <f t="shared" si="5"/>
        <v>334</v>
      </c>
      <c r="LW1" s="1">
        <f t="shared" si="5"/>
        <v>335</v>
      </c>
      <c r="LX1" s="1">
        <f t="shared" si="5"/>
        <v>336</v>
      </c>
      <c r="LY1" s="1">
        <f t="shared" si="5"/>
        <v>337</v>
      </c>
      <c r="LZ1" s="1">
        <f t="shared" si="5"/>
        <v>338</v>
      </c>
      <c r="MA1" s="1">
        <f t="shared" si="5"/>
        <v>339</v>
      </c>
      <c r="MB1" s="1">
        <f t="shared" si="5"/>
        <v>340</v>
      </c>
      <c r="MC1" s="1">
        <f t="shared" si="5"/>
        <v>341</v>
      </c>
      <c r="MD1" s="1">
        <f t="shared" si="5"/>
        <v>342</v>
      </c>
      <c r="ME1" s="1">
        <f t="shared" si="5"/>
        <v>343</v>
      </c>
      <c r="MF1" s="1">
        <f t="shared" si="5"/>
        <v>344</v>
      </c>
      <c r="MG1" s="1">
        <f t="shared" si="5"/>
        <v>345</v>
      </c>
      <c r="MH1" s="1">
        <f t="shared" si="5"/>
        <v>346</v>
      </c>
      <c r="MI1" s="1">
        <f t="shared" si="5"/>
        <v>347</v>
      </c>
      <c r="MJ1" s="1">
        <f t="shared" si="5"/>
        <v>348</v>
      </c>
      <c r="MK1" s="1">
        <f t="shared" si="5"/>
        <v>349</v>
      </c>
      <c r="ML1" s="1">
        <f t="shared" si="5"/>
        <v>350</v>
      </c>
      <c r="MM1" s="1">
        <f t="shared" si="5"/>
        <v>351</v>
      </c>
      <c r="MN1" s="1">
        <f t="shared" si="5"/>
        <v>352</v>
      </c>
      <c r="MO1" s="1">
        <f t="shared" si="5"/>
        <v>353</v>
      </c>
      <c r="MP1" s="42">
        <f t="shared" si="5"/>
        <v>354</v>
      </c>
      <c r="MQ1" s="1">
        <f t="shared" si="5"/>
        <v>355</v>
      </c>
      <c r="MR1" s="1">
        <f t="shared" si="5"/>
        <v>356</v>
      </c>
      <c r="MS1" s="1">
        <f t="shared" si="5"/>
        <v>357</v>
      </c>
      <c r="MT1" s="1">
        <f t="shared" si="5"/>
        <v>358</v>
      </c>
      <c r="MU1" s="1">
        <f t="shared" si="5"/>
        <v>359</v>
      </c>
      <c r="MV1" s="1">
        <f t="shared" si="5"/>
        <v>360</v>
      </c>
      <c r="MW1" s="1">
        <f t="shared" si="5"/>
        <v>361</v>
      </c>
      <c r="MX1" s="1">
        <f t="shared" si="5"/>
        <v>362</v>
      </c>
      <c r="MY1" s="1">
        <f t="shared" si="5"/>
        <v>363</v>
      </c>
      <c r="MZ1" s="1">
        <f t="shared" si="5"/>
        <v>364</v>
      </c>
      <c r="NA1" s="1">
        <f t="shared" si="5"/>
        <v>365</v>
      </c>
      <c r="NB1" s="1">
        <f t="shared" si="5"/>
        <v>366</v>
      </c>
      <c r="NC1" s="1">
        <f t="shared" si="5"/>
        <v>367</v>
      </c>
      <c r="ND1" s="1">
        <f t="shared" si="5"/>
        <v>368</v>
      </c>
      <c r="NE1" s="1">
        <f t="shared" si="5"/>
        <v>369</v>
      </c>
      <c r="NF1" s="1">
        <f t="shared" si="5"/>
        <v>370</v>
      </c>
      <c r="NG1" s="1">
        <f t="shared" si="5"/>
        <v>371</v>
      </c>
      <c r="NH1" s="1">
        <f t="shared" si="5"/>
        <v>372</v>
      </c>
      <c r="NI1" s="1">
        <f t="shared" si="5"/>
        <v>373</v>
      </c>
      <c r="NJ1" s="1">
        <f t="shared" si="5"/>
        <v>374</v>
      </c>
      <c r="NK1" s="1">
        <f t="shared" si="5"/>
        <v>375</v>
      </c>
      <c r="NL1" s="1">
        <f t="shared" si="5"/>
        <v>376</v>
      </c>
      <c r="NM1" s="1">
        <f t="shared" si="5"/>
        <v>377</v>
      </c>
      <c r="NN1" s="1">
        <f t="shared" si="5"/>
        <v>378</v>
      </c>
      <c r="NO1" s="1">
        <f t="shared" si="5"/>
        <v>379</v>
      </c>
      <c r="NP1" s="1">
        <f t="shared" si="5"/>
        <v>380</v>
      </c>
      <c r="NQ1" s="1">
        <f t="shared" si="5"/>
        <v>381</v>
      </c>
      <c r="NR1" s="1">
        <f t="shared" si="5"/>
        <v>382</v>
      </c>
      <c r="NS1" s="1">
        <f t="shared" si="5"/>
        <v>383</v>
      </c>
      <c r="NT1" s="1">
        <f t="shared" si="5"/>
        <v>384</v>
      </c>
      <c r="NU1" s="1">
        <f t="shared" si="5"/>
        <v>385</v>
      </c>
      <c r="NV1" s="1">
        <f t="shared" si="5"/>
        <v>386</v>
      </c>
      <c r="NW1" s="1">
        <f t="shared" ref="NW1:QH1" si="6">NV1+1</f>
        <v>387</v>
      </c>
      <c r="NX1" s="1">
        <f t="shared" si="6"/>
        <v>388</v>
      </c>
      <c r="NY1" s="1">
        <f t="shared" si="6"/>
        <v>389</v>
      </c>
      <c r="NZ1" s="1">
        <f t="shared" si="6"/>
        <v>390</v>
      </c>
      <c r="OA1" s="1">
        <f t="shared" si="6"/>
        <v>391</v>
      </c>
      <c r="OB1" s="1">
        <f t="shared" si="6"/>
        <v>392</v>
      </c>
      <c r="OC1" s="1">
        <f t="shared" si="6"/>
        <v>393</v>
      </c>
      <c r="OD1" s="1">
        <f t="shared" si="6"/>
        <v>394</v>
      </c>
      <c r="OE1" s="1">
        <f t="shared" si="6"/>
        <v>395</v>
      </c>
      <c r="OF1" s="1">
        <f t="shared" si="6"/>
        <v>396</v>
      </c>
      <c r="OG1" s="1">
        <f t="shared" si="6"/>
        <v>397</v>
      </c>
      <c r="OH1" s="42">
        <f t="shared" si="6"/>
        <v>398</v>
      </c>
      <c r="OI1" s="1">
        <f t="shared" si="6"/>
        <v>399</v>
      </c>
      <c r="OJ1" s="1">
        <f t="shared" si="6"/>
        <v>400</v>
      </c>
      <c r="OK1" s="1">
        <f t="shared" si="6"/>
        <v>401</v>
      </c>
      <c r="OL1" s="1">
        <f t="shared" si="6"/>
        <v>402</v>
      </c>
      <c r="OM1" s="1">
        <f t="shared" si="6"/>
        <v>403</v>
      </c>
      <c r="ON1" s="1">
        <f t="shared" si="6"/>
        <v>404</v>
      </c>
      <c r="OO1" s="1">
        <f t="shared" si="6"/>
        <v>405</v>
      </c>
      <c r="OP1" s="1">
        <f t="shared" si="6"/>
        <v>406</v>
      </c>
      <c r="OQ1" s="1">
        <f t="shared" si="6"/>
        <v>407</v>
      </c>
      <c r="OR1" s="1">
        <f t="shared" si="6"/>
        <v>408</v>
      </c>
      <c r="OS1" s="1">
        <f t="shared" si="6"/>
        <v>409</v>
      </c>
      <c r="OT1" s="1">
        <f t="shared" si="6"/>
        <v>410</v>
      </c>
      <c r="OU1" s="1">
        <f t="shared" si="6"/>
        <v>411</v>
      </c>
      <c r="OV1" s="1">
        <f t="shared" si="6"/>
        <v>412</v>
      </c>
      <c r="OW1" s="1">
        <f t="shared" si="6"/>
        <v>413</v>
      </c>
      <c r="OX1" s="1">
        <f t="shared" si="6"/>
        <v>414</v>
      </c>
      <c r="OY1" s="1">
        <f t="shared" si="6"/>
        <v>415</v>
      </c>
      <c r="OZ1" s="1">
        <f t="shared" si="6"/>
        <v>416</v>
      </c>
      <c r="PA1" s="1">
        <f t="shared" si="6"/>
        <v>417</v>
      </c>
      <c r="PB1" s="1">
        <f t="shared" si="6"/>
        <v>418</v>
      </c>
      <c r="PC1" s="1">
        <f t="shared" si="6"/>
        <v>419</v>
      </c>
      <c r="PD1" s="1">
        <f t="shared" si="6"/>
        <v>420</v>
      </c>
      <c r="PE1" s="1">
        <f t="shared" si="6"/>
        <v>421</v>
      </c>
      <c r="PF1" s="1">
        <f t="shared" si="6"/>
        <v>422</v>
      </c>
      <c r="PG1" s="1">
        <f t="shared" si="6"/>
        <v>423</v>
      </c>
      <c r="PH1" s="1">
        <f t="shared" si="6"/>
        <v>424</v>
      </c>
      <c r="PI1" s="1">
        <f t="shared" si="6"/>
        <v>425</v>
      </c>
      <c r="PJ1" s="1">
        <f t="shared" si="6"/>
        <v>426</v>
      </c>
      <c r="PK1" s="1">
        <f t="shared" si="6"/>
        <v>427</v>
      </c>
      <c r="PL1" s="1">
        <f t="shared" si="6"/>
        <v>428</v>
      </c>
      <c r="PM1" s="1">
        <f t="shared" si="6"/>
        <v>429</v>
      </c>
      <c r="PN1" s="1">
        <f t="shared" si="6"/>
        <v>430</v>
      </c>
      <c r="PO1" s="1">
        <f t="shared" si="6"/>
        <v>431</v>
      </c>
      <c r="PP1" s="1">
        <f t="shared" si="6"/>
        <v>432</v>
      </c>
      <c r="PQ1" s="1">
        <f t="shared" si="6"/>
        <v>433</v>
      </c>
      <c r="PR1" s="1">
        <f t="shared" si="6"/>
        <v>434</v>
      </c>
      <c r="PS1" s="1">
        <f t="shared" si="6"/>
        <v>435</v>
      </c>
      <c r="PT1" s="1">
        <f t="shared" si="6"/>
        <v>436</v>
      </c>
      <c r="PU1" s="1">
        <f t="shared" si="6"/>
        <v>437</v>
      </c>
      <c r="PV1" s="1">
        <f t="shared" si="6"/>
        <v>438</v>
      </c>
      <c r="PW1" s="1">
        <f t="shared" si="6"/>
        <v>439</v>
      </c>
      <c r="PX1" s="1">
        <f t="shared" si="6"/>
        <v>440</v>
      </c>
      <c r="PY1" s="1">
        <f t="shared" si="6"/>
        <v>441</v>
      </c>
      <c r="PZ1" s="42">
        <f t="shared" si="6"/>
        <v>442</v>
      </c>
      <c r="QA1" s="1">
        <f t="shared" si="6"/>
        <v>443</v>
      </c>
      <c r="QB1" s="1">
        <f t="shared" si="6"/>
        <v>444</v>
      </c>
      <c r="QC1" s="1">
        <f t="shared" si="6"/>
        <v>445</v>
      </c>
      <c r="QD1" s="1">
        <f t="shared" si="6"/>
        <v>446</v>
      </c>
      <c r="QE1" s="1">
        <f t="shared" si="6"/>
        <v>447</v>
      </c>
      <c r="QF1" s="1">
        <f t="shared" si="6"/>
        <v>448</v>
      </c>
      <c r="QG1" s="1">
        <f t="shared" si="6"/>
        <v>449</v>
      </c>
      <c r="QH1" s="1">
        <f t="shared" si="6"/>
        <v>450</v>
      </c>
      <c r="QI1" s="1">
        <f t="shared" ref="QI1:ST1" si="7">QH1+1</f>
        <v>451</v>
      </c>
      <c r="QJ1" s="1">
        <f t="shared" si="7"/>
        <v>452</v>
      </c>
      <c r="QK1" s="1">
        <f t="shared" si="7"/>
        <v>453</v>
      </c>
      <c r="QL1" s="1">
        <f t="shared" si="7"/>
        <v>454</v>
      </c>
      <c r="QM1" s="1">
        <f t="shared" si="7"/>
        <v>455</v>
      </c>
      <c r="QN1" s="1">
        <f t="shared" si="7"/>
        <v>456</v>
      </c>
      <c r="QO1" s="1">
        <f t="shared" si="7"/>
        <v>457</v>
      </c>
      <c r="QP1" s="1">
        <f t="shared" si="7"/>
        <v>458</v>
      </c>
      <c r="QQ1" s="1">
        <f t="shared" si="7"/>
        <v>459</v>
      </c>
      <c r="QR1" s="1">
        <f t="shared" si="7"/>
        <v>460</v>
      </c>
      <c r="QS1" s="1">
        <f t="shared" si="7"/>
        <v>461</v>
      </c>
      <c r="QT1" s="1">
        <f t="shared" si="7"/>
        <v>462</v>
      </c>
      <c r="QU1" s="1">
        <f t="shared" si="7"/>
        <v>463</v>
      </c>
      <c r="QV1" s="1">
        <f t="shared" si="7"/>
        <v>464</v>
      </c>
      <c r="QW1" s="1">
        <f t="shared" si="7"/>
        <v>465</v>
      </c>
      <c r="QX1" s="1">
        <f t="shared" si="7"/>
        <v>466</v>
      </c>
      <c r="QY1" s="1">
        <f t="shared" si="7"/>
        <v>467</v>
      </c>
      <c r="QZ1" s="1">
        <f t="shared" si="7"/>
        <v>468</v>
      </c>
      <c r="RA1" s="1">
        <f t="shared" si="7"/>
        <v>469</v>
      </c>
      <c r="RB1" s="1">
        <f t="shared" si="7"/>
        <v>470</v>
      </c>
      <c r="RC1" s="1">
        <f t="shared" si="7"/>
        <v>471</v>
      </c>
      <c r="RD1" s="1">
        <f t="shared" si="7"/>
        <v>472</v>
      </c>
      <c r="RE1" s="1">
        <f t="shared" si="7"/>
        <v>473</v>
      </c>
      <c r="RF1" s="1">
        <f t="shared" si="7"/>
        <v>474</v>
      </c>
      <c r="RG1" s="1">
        <f t="shared" si="7"/>
        <v>475</v>
      </c>
      <c r="RH1" s="1">
        <f t="shared" si="7"/>
        <v>476</v>
      </c>
      <c r="RI1" s="1">
        <f t="shared" si="7"/>
        <v>477</v>
      </c>
      <c r="RJ1" s="1">
        <f t="shared" si="7"/>
        <v>478</v>
      </c>
      <c r="RK1" s="1">
        <f t="shared" si="7"/>
        <v>479</v>
      </c>
      <c r="RL1" s="1">
        <f t="shared" si="7"/>
        <v>480</v>
      </c>
      <c r="RM1" s="1">
        <f t="shared" si="7"/>
        <v>481</v>
      </c>
      <c r="RN1" s="1">
        <f t="shared" si="7"/>
        <v>482</v>
      </c>
      <c r="RO1" s="1">
        <f t="shared" si="7"/>
        <v>483</v>
      </c>
      <c r="RP1" s="1">
        <f t="shared" si="7"/>
        <v>484</v>
      </c>
      <c r="RQ1" s="1">
        <f t="shared" si="7"/>
        <v>485</v>
      </c>
      <c r="RR1" s="42">
        <f t="shared" si="7"/>
        <v>486</v>
      </c>
      <c r="RS1" s="1">
        <f t="shared" si="7"/>
        <v>487</v>
      </c>
      <c r="RT1" s="1">
        <f t="shared" si="7"/>
        <v>488</v>
      </c>
      <c r="RU1" s="1">
        <f t="shared" si="7"/>
        <v>489</v>
      </c>
      <c r="RV1" s="1">
        <f t="shared" si="7"/>
        <v>490</v>
      </c>
      <c r="RW1" s="1">
        <f t="shared" si="7"/>
        <v>491</v>
      </c>
      <c r="RX1" s="1">
        <f t="shared" si="7"/>
        <v>492</v>
      </c>
      <c r="RY1" s="1">
        <f t="shared" si="7"/>
        <v>493</v>
      </c>
      <c r="RZ1" s="1">
        <f t="shared" si="7"/>
        <v>494</v>
      </c>
      <c r="SA1" s="1">
        <f t="shared" si="7"/>
        <v>495</v>
      </c>
      <c r="SB1" s="1">
        <f t="shared" si="7"/>
        <v>496</v>
      </c>
      <c r="SC1" s="1">
        <f t="shared" si="7"/>
        <v>497</v>
      </c>
      <c r="SD1" s="1">
        <f t="shared" si="7"/>
        <v>498</v>
      </c>
      <c r="SE1" s="1">
        <f t="shared" si="7"/>
        <v>499</v>
      </c>
      <c r="SF1" s="1">
        <f t="shared" si="7"/>
        <v>500</v>
      </c>
      <c r="SG1" s="1">
        <f t="shared" si="7"/>
        <v>501</v>
      </c>
      <c r="SH1" s="1">
        <f t="shared" si="7"/>
        <v>502</v>
      </c>
      <c r="SI1" s="1">
        <f t="shared" si="7"/>
        <v>503</v>
      </c>
      <c r="SJ1" s="1">
        <f t="shared" si="7"/>
        <v>504</v>
      </c>
      <c r="SK1" s="1">
        <f t="shared" si="7"/>
        <v>505</v>
      </c>
      <c r="SL1" s="1">
        <f t="shared" si="7"/>
        <v>506</v>
      </c>
      <c r="SM1" s="1">
        <f t="shared" si="7"/>
        <v>507</v>
      </c>
      <c r="SN1" s="1">
        <f t="shared" si="7"/>
        <v>508</v>
      </c>
      <c r="SO1" s="1">
        <f t="shared" si="7"/>
        <v>509</v>
      </c>
      <c r="SP1" s="1">
        <f t="shared" si="7"/>
        <v>510</v>
      </c>
      <c r="SQ1" s="1">
        <f t="shared" si="7"/>
        <v>511</v>
      </c>
      <c r="SR1" s="1">
        <f t="shared" si="7"/>
        <v>512</v>
      </c>
      <c r="SS1" s="1">
        <f t="shared" si="7"/>
        <v>513</v>
      </c>
      <c r="ST1" s="1">
        <f t="shared" si="7"/>
        <v>514</v>
      </c>
      <c r="SU1" s="1">
        <f t="shared" ref="SU1:VF1" si="8">ST1+1</f>
        <v>515</v>
      </c>
      <c r="SV1" s="1">
        <f t="shared" si="8"/>
        <v>516</v>
      </c>
      <c r="SW1" s="1">
        <f t="shared" si="8"/>
        <v>517</v>
      </c>
      <c r="SX1" s="1">
        <f t="shared" si="8"/>
        <v>518</v>
      </c>
      <c r="SY1" s="1">
        <f t="shared" si="8"/>
        <v>519</v>
      </c>
      <c r="SZ1" s="1">
        <f t="shared" si="8"/>
        <v>520</v>
      </c>
      <c r="TA1" s="1">
        <f t="shared" si="8"/>
        <v>521</v>
      </c>
      <c r="TB1" s="1">
        <f t="shared" si="8"/>
        <v>522</v>
      </c>
      <c r="TC1" s="1">
        <f t="shared" si="8"/>
        <v>523</v>
      </c>
      <c r="TD1" s="1">
        <f t="shared" si="8"/>
        <v>524</v>
      </c>
      <c r="TE1" s="1">
        <f t="shared" si="8"/>
        <v>525</v>
      </c>
      <c r="TF1" s="1">
        <f t="shared" si="8"/>
        <v>526</v>
      </c>
      <c r="TG1" s="1">
        <f t="shared" si="8"/>
        <v>527</v>
      </c>
      <c r="TH1" s="1">
        <f t="shared" si="8"/>
        <v>528</v>
      </c>
      <c r="TI1" s="1">
        <f t="shared" si="8"/>
        <v>529</v>
      </c>
      <c r="TJ1" s="42">
        <f t="shared" si="8"/>
        <v>530</v>
      </c>
      <c r="TK1" s="1">
        <f t="shared" si="8"/>
        <v>531</v>
      </c>
      <c r="TL1" s="1">
        <f t="shared" si="8"/>
        <v>532</v>
      </c>
      <c r="TM1" s="1">
        <f t="shared" si="8"/>
        <v>533</v>
      </c>
      <c r="TN1" s="1">
        <f t="shared" si="8"/>
        <v>534</v>
      </c>
      <c r="TO1" s="1">
        <f t="shared" si="8"/>
        <v>535</v>
      </c>
      <c r="TP1" s="1">
        <f t="shared" si="8"/>
        <v>536</v>
      </c>
      <c r="TQ1" s="1">
        <f t="shared" si="8"/>
        <v>537</v>
      </c>
      <c r="TR1" s="1">
        <f t="shared" si="8"/>
        <v>538</v>
      </c>
      <c r="TS1" s="1">
        <f t="shared" si="8"/>
        <v>539</v>
      </c>
      <c r="TT1" s="1">
        <f t="shared" si="8"/>
        <v>540</v>
      </c>
      <c r="TU1" s="1">
        <f t="shared" si="8"/>
        <v>541</v>
      </c>
      <c r="TV1" s="1">
        <f t="shared" si="8"/>
        <v>542</v>
      </c>
      <c r="TW1" s="1">
        <f t="shared" si="8"/>
        <v>543</v>
      </c>
      <c r="TX1" s="1">
        <f t="shared" si="8"/>
        <v>544</v>
      </c>
      <c r="TY1" s="1">
        <f t="shared" si="8"/>
        <v>545</v>
      </c>
      <c r="TZ1" s="1">
        <f t="shared" si="8"/>
        <v>546</v>
      </c>
      <c r="UA1" s="1">
        <f t="shared" si="8"/>
        <v>547</v>
      </c>
      <c r="UB1" s="1">
        <f t="shared" si="8"/>
        <v>548</v>
      </c>
      <c r="UC1" s="1">
        <f t="shared" si="8"/>
        <v>549</v>
      </c>
      <c r="UD1" s="1">
        <f t="shared" si="8"/>
        <v>550</v>
      </c>
      <c r="UE1" s="1">
        <f t="shared" si="8"/>
        <v>551</v>
      </c>
      <c r="UF1" s="1">
        <f t="shared" si="8"/>
        <v>552</v>
      </c>
      <c r="UG1" s="1">
        <f t="shared" si="8"/>
        <v>553</v>
      </c>
      <c r="UH1" s="1">
        <f t="shared" si="8"/>
        <v>554</v>
      </c>
      <c r="UI1" s="1">
        <f t="shared" si="8"/>
        <v>555</v>
      </c>
      <c r="UJ1" s="1">
        <f t="shared" si="8"/>
        <v>556</v>
      </c>
      <c r="UK1" s="1">
        <f t="shared" si="8"/>
        <v>557</v>
      </c>
      <c r="UL1" s="1">
        <f t="shared" si="8"/>
        <v>558</v>
      </c>
      <c r="UM1" s="1">
        <f t="shared" si="8"/>
        <v>559</v>
      </c>
      <c r="UN1" s="1">
        <f t="shared" si="8"/>
        <v>560</v>
      </c>
      <c r="UO1" s="1">
        <f t="shared" si="8"/>
        <v>561</v>
      </c>
      <c r="UP1" s="1">
        <f t="shared" si="8"/>
        <v>562</v>
      </c>
      <c r="UQ1" s="1">
        <f t="shared" si="8"/>
        <v>563</v>
      </c>
      <c r="UR1" s="1">
        <f t="shared" si="8"/>
        <v>564</v>
      </c>
      <c r="US1" s="1">
        <f t="shared" si="8"/>
        <v>565</v>
      </c>
      <c r="UT1" s="1">
        <f t="shared" si="8"/>
        <v>566</v>
      </c>
      <c r="UU1" s="1">
        <f t="shared" si="8"/>
        <v>567</v>
      </c>
      <c r="UV1" s="1">
        <f t="shared" si="8"/>
        <v>568</v>
      </c>
      <c r="UW1" s="1">
        <f t="shared" si="8"/>
        <v>569</v>
      </c>
      <c r="UX1" s="1">
        <f t="shared" si="8"/>
        <v>570</v>
      </c>
      <c r="UY1" s="1">
        <f t="shared" si="8"/>
        <v>571</v>
      </c>
      <c r="UZ1" s="1">
        <f t="shared" si="8"/>
        <v>572</v>
      </c>
      <c r="VA1" s="1">
        <f t="shared" si="8"/>
        <v>573</v>
      </c>
      <c r="VB1" s="42">
        <f t="shared" si="8"/>
        <v>574</v>
      </c>
      <c r="VC1" s="1">
        <f t="shared" si="8"/>
        <v>575</v>
      </c>
      <c r="VD1" s="1">
        <f t="shared" si="8"/>
        <v>576</v>
      </c>
      <c r="VE1" s="1">
        <f t="shared" si="8"/>
        <v>577</v>
      </c>
      <c r="VF1" s="1">
        <f t="shared" si="8"/>
        <v>578</v>
      </c>
      <c r="VG1" s="1">
        <f t="shared" ref="VG1:XR1" si="9">VF1+1</f>
        <v>579</v>
      </c>
      <c r="VH1" s="1">
        <f t="shared" si="9"/>
        <v>580</v>
      </c>
      <c r="VI1" s="1">
        <f t="shared" si="9"/>
        <v>581</v>
      </c>
      <c r="VJ1" s="1">
        <f t="shared" si="9"/>
        <v>582</v>
      </c>
      <c r="VK1" s="1">
        <f t="shared" si="9"/>
        <v>583</v>
      </c>
      <c r="VL1" s="1">
        <f t="shared" si="9"/>
        <v>584</v>
      </c>
      <c r="VM1" s="1">
        <f t="shared" si="9"/>
        <v>585</v>
      </c>
      <c r="VN1" s="1">
        <f t="shared" si="9"/>
        <v>586</v>
      </c>
      <c r="VO1" s="1">
        <f t="shared" si="9"/>
        <v>587</v>
      </c>
      <c r="VP1" s="1">
        <f t="shared" si="9"/>
        <v>588</v>
      </c>
      <c r="VQ1" s="1">
        <f t="shared" si="9"/>
        <v>589</v>
      </c>
      <c r="VR1" s="1">
        <f t="shared" si="9"/>
        <v>590</v>
      </c>
      <c r="VS1" s="1">
        <f t="shared" si="9"/>
        <v>591</v>
      </c>
      <c r="VT1" s="1">
        <f t="shared" si="9"/>
        <v>592</v>
      </c>
      <c r="VU1" s="1">
        <f t="shared" si="9"/>
        <v>593</v>
      </c>
      <c r="VV1" s="1">
        <f t="shared" si="9"/>
        <v>594</v>
      </c>
      <c r="VW1" s="1">
        <f t="shared" si="9"/>
        <v>595</v>
      </c>
      <c r="VX1" s="1">
        <f t="shared" si="9"/>
        <v>596</v>
      </c>
      <c r="VY1" s="1">
        <f t="shared" si="9"/>
        <v>597</v>
      </c>
      <c r="VZ1" s="1">
        <f t="shared" si="9"/>
        <v>598</v>
      </c>
      <c r="WA1" s="1">
        <f t="shared" si="9"/>
        <v>599</v>
      </c>
      <c r="WB1" s="1">
        <f t="shared" si="9"/>
        <v>600</v>
      </c>
      <c r="WC1" s="1">
        <f t="shared" si="9"/>
        <v>601</v>
      </c>
      <c r="WD1" s="1">
        <f t="shared" si="9"/>
        <v>602</v>
      </c>
      <c r="WE1" s="1">
        <f t="shared" si="9"/>
        <v>603</v>
      </c>
      <c r="WF1" s="1">
        <f t="shared" si="9"/>
        <v>604</v>
      </c>
      <c r="WG1" s="1">
        <f t="shared" si="9"/>
        <v>605</v>
      </c>
      <c r="WH1" s="1">
        <f t="shared" si="9"/>
        <v>606</v>
      </c>
      <c r="WI1" s="1">
        <f t="shared" si="9"/>
        <v>607</v>
      </c>
      <c r="WJ1" s="1">
        <f t="shared" si="9"/>
        <v>608</v>
      </c>
      <c r="WK1" s="1">
        <f t="shared" si="9"/>
        <v>609</v>
      </c>
      <c r="WL1" s="1">
        <f t="shared" si="9"/>
        <v>610</v>
      </c>
      <c r="WM1" s="1">
        <f t="shared" si="9"/>
        <v>611</v>
      </c>
      <c r="WN1" s="1">
        <f t="shared" si="9"/>
        <v>612</v>
      </c>
      <c r="WO1" s="1">
        <f t="shared" si="9"/>
        <v>613</v>
      </c>
      <c r="WP1" s="1">
        <f t="shared" si="9"/>
        <v>614</v>
      </c>
      <c r="WQ1" s="1">
        <f t="shared" si="9"/>
        <v>615</v>
      </c>
      <c r="WR1" s="1">
        <f t="shared" si="9"/>
        <v>616</v>
      </c>
      <c r="WS1" s="1">
        <f t="shared" si="9"/>
        <v>617</v>
      </c>
      <c r="WT1" s="42">
        <f t="shared" si="9"/>
        <v>618</v>
      </c>
      <c r="WU1" s="1">
        <f t="shared" si="9"/>
        <v>619</v>
      </c>
      <c r="WV1" s="1">
        <f t="shared" si="9"/>
        <v>620</v>
      </c>
      <c r="WW1" s="1">
        <f t="shared" si="9"/>
        <v>621</v>
      </c>
      <c r="WX1" s="1">
        <f t="shared" si="9"/>
        <v>622</v>
      </c>
      <c r="WY1" s="1">
        <f t="shared" si="9"/>
        <v>623</v>
      </c>
      <c r="WZ1" s="1">
        <f t="shared" si="9"/>
        <v>624</v>
      </c>
      <c r="XA1" s="1">
        <f t="shared" si="9"/>
        <v>625</v>
      </c>
      <c r="XB1" s="1">
        <f t="shared" si="9"/>
        <v>626</v>
      </c>
      <c r="XC1" s="1">
        <f t="shared" si="9"/>
        <v>627</v>
      </c>
      <c r="XD1" s="1">
        <f t="shared" si="9"/>
        <v>628</v>
      </c>
      <c r="XE1" s="1">
        <f t="shared" si="9"/>
        <v>629</v>
      </c>
      <c r="XF1" s="1">
        <f t="shared" si="9"/>
        <v>630</v>
      </c>
      <c r="XG1" s="1">
        <f t="shared" si="9"/>
        <v>631</v>
      </c>
      <c r="XH1" s="1">
        <f t="shared" si="9"/>
        <v>632</v>
      </c>
      <c r="XI1" s="1">
        <f t="shared" si="9"/>
        <v>633</v>
      </c>
      <c r="XJ1" s="1">
        <f t="shared" si="9"/>
        <v>634</v>
      </c>
      <c r="XK1" s="1">
        <f t="shared" si="9"/>
        <v>635</v>
      </c>
      <c r="XL1" s="1">
        <f t="shared" si="9"/>
        <v>636</v>
      </c>
      <c r="XM1" s="1">
        <f t="shared" si="9"/>
        <v>637</v>
      </c>
      <c r="XN1" s="1">
        <f t="shared" si="9"/>
        <v>638</v>
      </c>
      <c r="XO1" s="1">
        <f t="shared" si="9"/>
        <v>639</v>
      </c>
      <c r="XP1" s="1">
        <f t="shared" si="9"/>
        <v>640</v>
      </c>
      <c r="XQ1" s="1">
        <f t="shared" si="9"/>
        <v>641</v>
      </c>
      <c r="XR1" s="1">
        <f t="shared" si="9"/>
        <v>642</v>
      </c>
      <c r="XS1" s="1">
        <f t="shared" ref="XS1:AAD1" si="10">XR1+1</f>
        <v>643</v>
      </c>
      <c r="XT1" s="1">
        <f t="shared" si="10"/>
        <v>644</v>
      </c>
      <c r="XU1" s="1">
        <f t="shared" si="10"/>
        <v>645</v>
      </c>
      <c r="XV1" s="1">
        <f t="shared" si="10"/>
        <v>646</v>
      </c>
      <c r="XW1" s="1">
        <f t="shared" si="10"/>
        <v>647</v>
      </c>
      <c r="XX1" s="1">
        <f t="shared" si="10"/>
        <v>648</v>
      </c>
      <c r="XY1" s="1">
        <f t="shared" si="10"/>
        <v>649</v>
      </c>
      <c r="XZ1" s="1">
        <f t="shared" si="10"/>
        <v>650</v>
      </c>
      <c r="YA1" s="1">
        <f t="shared" si="10"/>
        <v>651</v>
      </c>
      <c r="YB1" s="1">
        <f t="shared" si="10"/>
        <v>652</v>
      </c>
      <c r="YC1" s="1">
        <f t="shared" si="10"/>
        <v>653</v>
      </c>
      <c r="YD1" s="1">
        <f t="shared" si="10"/>
        <v>654</v>
      </c>
      <c r="YE1" s="1">
        <f t="shared" si="10"/>
        <v>655</v>
      </c>
      <c r="YF1" s="1">
        <f t="shared" si="10"/>
        <v>656</v>
      </c>
      <c r="YG1" s="1">
        <f t="shared" si="10"/>
        <v>657</v>
      </c>
      <c r="YH1" s="1">
        <f t="shared" si="10"/>
        <v>658</v>
      </c>
      <c r="YI1" s="1">
        <f t="shared" si="10"/>
        <v>659</v>
      </c>
      <c r="YJ1" s="1">
        <f t="shared" si="10"/>
        <v>660</v>
      </c>
      <c r="YK1" s="1">
        <f t="shared" si="10"/>
        <v>661</v>
      </c>
      <c r="YL1" s="42">
        <f t="shared" si="10"/>
        <v>662</v>
      </c>
      <c r="YM1" s="1">
        <f t="shared" si="10"/>
        <v>663</v>
      </c>
      <c r="YN1" s="1">
        <f t="shared" si="10"/>
        <v>664</v>
      </c>
      <c r="YO1" s="1">
        <f t="shared" si="10"/>
        <v>665</v>
      </c>
      <c r="YP1" s="1">
        <f t="shared" si="10"/>
        <v>666</v>
      </c>
      <c r="YQ1" s="1">
        <f t="shared" si="10"/>
        <v>667</v>
      </c>
      <c r="YR1" s="1">
        <f t="shared" si="10"/>
        <v>668</v>
      </c>
      <c r="YS1" s="1">
        <f t="shared" si="10"/>
        <v>669</v>
      </c>
      <c r="YT1" s="1">
        <f t="shared" si="10"/>
        <v>670</v>
      </c>
      <c r="YU1" s="1">
        <f t="shared" si="10"/>
        <v>671</v>
      </c>
      <c r="YV1" s="1">
        <f t="shared" si="10"/>
        <v>672</v>
      </c>
      <c r="YW1" s="1">
        <f t="shared" si="10"/>
        <v>673</v>
      </c>
      <c r="YX1" s="1">
        <f t="shared" si="10"/>
        <v>674</v>
      </c>
      <c r="YY1" s="1">
        <f t="shared" si="10"/>
        <v>675</v>
      </c>
      <c r="YZ1" s="1">
        <f t="shared" si="10"/>
        <v>676</v>
      </c>
      <c r="ZA1" s="1">
        <f t="shared" si="10"/>
        <v>677</v>
      </c>
      <c r="ZB1" s="1">
        <f t="shared" si="10"/>
        <v>678</v>
      </c>
      <c r="ZC1" s="1">
        <f t="shared" si="10"/>
        <v>679</v>
      </c>
      <c r="ZD1" s="1">
        <f t="shared" si="10"/>
        <v>680</v>
      </c>
      <c r="ZE1" s="1">
        <f t="shared" si="10"/>
        <v>681</v>
      </c>
      <c r="ZF1" s="1">
        <f t="shared" si="10"/>
        <v>682</v>
      </c>
      <c r="ZG1" s="1">
        <f t="shared" si="10"/>
        <v>683</v>
      </c>
      <c r="ZH1" s="1">
        <f t="shared" si="10"/>
        <v>684</v>
      </c>
      <c r="ZI1" s="1">
        <f t="shared" si="10"/>
        <v>685</v>
      </c>
      <c r="ZJ1" s="1">
        <f t="shared" si="10"/>
        <v>686</v>
      </c>
      <c r="ZK1" s="1">
        <f t="shared" si="10"/>
        <v>687</v>
      </c>
      <c r="ZL1" s="1">
        <f t="shared" si="10"/>
        <v>688</v>
      </c>
      <c r="ZM1" s="1">
        <f t="shared" si="10"/>
        <v>689</v>
      </c>
      <c r="ZN1" s="1">
        <f t="shared" si="10"/>
        <v>690</v>
      </c>
      <c r="ZO1" s="1">
        <f t="shared" si="10"/>
        <v>691</v>
      </c>
      <c r="ZP1" s="1">
        <f t="shared" si="10"/>
        <v>692</v>
      </c>
      <c r="ZQ1" s="1">
        <f t="shared" si="10"/>
        <v>693</v>
      </c>
      <c r="ZR1" s="1">
        <f t="shared" si="10"/>
        <v>694</v>
      </c>
      <c r="ZS1" s="1">
        <f t="shared" si="10"/>
        <v>695</v>
      </c>
      <c r="ZT1" s="1">
        <f t="shared" si="10"/>
        <v>696</v>
      </c>
      <c r="ZU1" s="1">
        <f t="shared" si="10"/>
        <v>697</v>
      </c>
      <c r="ZV1" s="1">
        <f t="shared" si="10"/>
        <v>698</v>
      </c>
      <c r="ZW1" s="1">
        <f t="shared" si="10"/>
        <v>699</v>
      </c>
      <c r="ZX1" s="1">
        <f t="shared" si="10"/>
        <v>700</v>
      </c>
      <c r="ZY1" s="1">
        <f t="shared" si="10"/>
        <v>701</v>
      </c>
      <c r="ZZ1" s="1">
        <f t="shared" si="10"/>
        <v>702</v>
      </c>
      <c r="AAA1" s="1">
        <f t="shared" si="10"/>
        <v>703</v>
      </c>
      <c r="AAB1" s="1">
        <f t="shared" si="10"/>
        <v>704</v>
      </c>
      <c r="AAC1" s="1">
        <f t="shared" si="10"/>
        <v>705</v>
      </c>
      <c r="AAD1" s="42">
        <f t="shared" si="10"/>
        <v>706</v>
      </c>
      <c r="AAE1" s="1">
        <f t="shared" ref="AAE1:ACP1" si="11">AAD1+1</f>
        <v>707</v>
      </c>
      <c r="AAF1" s="1">
        <f t="shared" si="11"/>
        <v>708</v>
      </c>
      <c r="AAG1" s="1">
        <f t="shared" si="11"/>
        <v>709</v>
      </c>
      <c r="AAH1" s="1">
        <f t="shared" si="11"/>
        <v>710</v>
      </c>
      <c r="AAI1" s="1">
        <f t="shared" si="11"/>
        <v>711</v>
      </c>
      <c r="AAJ1" s="1">
        <f t="shared" si="11"/>
        <v>712</v>
      </c>
      <c r="AAK1" s="1">
        <f t="shared" si="11"/>
        <v>713</v>
      </c>
      <c r="AAL1" s="1">
        <f t="shared" si="11"/>
        <v>714</v>
      </c>
      <c r="AAM1" s="1">
        <f t="shared" si="11"/>
        <v>715</v>
      </c>
      <c r="AAN1" s="1">
        <f t="shared" si="11"/>
        <v>716</v>
      </c>
      <c r="AAO1" s="1">
        <f t="shared" si="11"/>
        <v>717</v>
      </c>
      <c r="AAP1" s="1">
        <f t="shared" si="11"/>
        <v>718</v>
      </c>
      <c r="AAQ1" s="1">
        <f t="shared" si="11"/>
        <v>719</v>
      </c>
      <c r="AAR1" s="1">
        <f t="shared" si="11"/>
        <v>720</v>
      </c>
      <c r="AAS1" s="1">
        <f t="shared" si="11"/>
        <v>721</v>
      </c>
      <c r="AAT1" s="1">
        <f t="shared" si="11"/>
        <v>722</v>
      </c>
      <c r="AAU1" s="1">
        <f t="shared" si="11"/>
        <v>723</v>
      </c>
      <c r="AAV1" s="1">
        <f t="shared" si="11"/>
        <v>724</v>
      </c>
      <c r="AAW1" s="1">
        <f t="shared" si="11"/>
        <v>725</v>
      </c>
      <c r="AAX1" s="1">
        <f t="shared" si="11"/>
        <v>726</v>
      </c>
      <c r="AAY1" s="1">
        <f t="shared" si="11"/>
        <v>727</v>
      </c>
      <c r="AAZ1" s="1">
        <f t="shared" si="11"/>
        <v>728</v>
      </c>
      <c r="ABA1" s="1">
        <f t="shared" si="11"/>
        <v>729</v>
      </c>
      <c r="ABB1" s="1">
        <f t="shared" si="11"/>
        <v>730</v>
      </c>
      <c r="ABC1" s="1">
        <f t="shared" si="11"/>
        <v>731</v>
      </c>
      <c r="ABD1" s="1">
        <f t="shared" si="11"/>
        <v>732</v>
      </c>
      <c r="ABE1" s="1">
        <f t="shared" si="11"/>
        <v>733</v>
      </c>
      <c r="ABF1" s="1">
        <f t="shared" si="11"/>
        <v>734</v>
      </c>
      <c r="ABG1" s="1">
        <f t="shared" si="11"/>
        <v>735</v>
      </c>
      <c r="ABH1" s="1">
        <f t="shared" si="11"/>
        <v>736</v>
      </c>
      <c r="ABI1" s="1">
        <f t="shared" si="11"/>
        <v>737</v>
      </c>
      <c r="ABJ1" s="1">
        <f t="shared" si="11"/>
        <v>738</v>
      </c>
      <c r="ABK1" s="1">
        <f t="shared" si="11"/>
        <v>739</v>
      </c>
      <c r="ABL1" s="1">
        <f t="shared" si="11"/>
        <v>740</v>
      </c>
      <c r="ABM1" s="1">
        <f t="shared" si="11"/>
        <v>741</v>
      </c>
      <c r="ABN1" s="1">
        <f t="shared" si="11"/>
        <v>742</v>
      </c>
      <c r="ABO1" s="1">
        <f t="shared" si="11"/>
        <v>743</v>
      </c>
      <c r="ABP1" s="1">
        <f t="shared" si="11"/>
        <v>744</v>
      </c>
      <c r="ABQ1" s="1">
        <f t="shared" si="11"/>
        <v>745</v>
      </c>
      <c r="ABR1" s="1">
        <f t="shared" si="11"/>
        <v>746</v>
      </c>
      <c r="ABS1" s="1">
        <f t="shared" si="11"/>
        <v>747</v>
      </c>
      <c r="ABT1" s="1">
        <f t="shared" si="11"/>
        <v>748</v>
      </c>
      <c r="ABU1" s="1">
        <f t="shared" si="11"/>
        <v>749</v>
      </c>
      <c r="ABV1" s="42">
        <f t="shared" si="11"/>
        <v>750</v>
      </c>
      <c r="ABW1" s="1">
        <f t="shared" si="11"/>
        <v>751</v>
      </c>
      <c r="ABX1" s="1">
        <f t="shared" si="11"/>
        <v>752</v>
      </c>
      <c r="ABY1" s="1">
        <f t="shared" si="11"/>
        <v>753</v>
      </c>
      <c r="ABZ1" s="1">
        <f t="shared" si="11"/>
        <v>754</v>
      </c>
      <c r="ACA1" s="1">
        <f t="shared" si="11"/>
        <v>755</v>
      </c>
      <c r="ACB1" s="1">
        <f t="shared" si="11"/>
        <v>756</v>
      </c>
      <c r="ACC1" s="1">
        <f t="shared" si="11"/>
        <v>757</v>
      </c>
      <c r="ACD1" s="1">
        <f t="shared" si="11"/>
        <v>758</v>
      </c>
      <c r="ACE1" s="1">
        <f t="shared" si="11"/>
        <v>759</v>
      </c>
      <c r="ACF1" s="1">
        <f t="shared" si="11"/>
        <v>760</v>
      </c>
      <c r="ACG1" s="1">
        <f t="shared" si="11"/>
        <v>761</v>
      </c>
      <c r="ACH1" s="1">
        <f t="shared" si="11"/>
        <v>762</v>
      </c>
      <c r="ACI1" s="1">
        <f t="shared" si="11"/>
        <v>763</v>
      </c>
      <c r="ACJ1" s="1">
        <f t="shared" si="11"/>
        <v>764</v>
      </c>
      <c r="ACK1" s="1">
        <f t="shared" si="11"/>
        <v>765</v>
      </c>
      <c r="ACL1" s="1">
        <f t="shared" si="11"/>
        <v>766</v>
      </c>
      <c r="ACM1" s="1">
        <f t="shared" si="11"/>
        <v>767</v>
      </c>
      <c r="ACN1" s="1">
        <f t="shared" si="11"/>
        <v>768</v>
      </c>
      <c r="ACO1" s="1">
        <f t="shared" si="11"/>
        <v>769</v>
      </c>
      <c r="ACP1" s="1">
        <f t="shared" si="11"/>
        <v>770</v>
      </c>
      <c r="ACQ1" s="1">
        <f t="shared" ref="ACQ1:AFB1" si="12">ACP1+1</f>
        <v>771</v>
      </c>
      <c r="ACR1" s="1">
        <f t="shared" si="12"/>
        <v>772</v>
      </c>
      <c r="ACS1" s="1">
        <f t="shared" si="12"/>
        <v>773</v>
      </c>
      <c r="ACT1" s="1">
        <f t="shared" si="12"/>
        <v>774</v>
      </c>
      <c r="ACU1" s="1">
        <f t="shared" si="12"/>
        <v>775</v>
      </c>
      <c r="ACV1" s="1">
        <f t="shared" si="12"/>
        <v>776</v>
      </c>
      <c r="ACW1" s="1">
        <f t="shared" si="12"/>
        <v>777</v>
      </c>
      <c r="ACX1" s="1">
        <f t="shared" si="12"/>
        <v>778</v>
      </c>
      <c r="ACY1" s="1">
        <f t="shared" si="12"/>
        <v>779</v>
      </c>
      <c r="ACZ1" s="1">
        <f t="shared" si="12"/>
        <v>780</v>
      </c>
      <c r="ADA1" s="1">
        <f t="shared" si="12"/>
        <v>781</v>
      </c>
      <c r="ADB1" s="1">
        <f t="shared" si="12"/>
        <v>782</v>
      </c>
      <c r="ADC1" s="1">
        <f t="shared" si="12"/>
        <v>783</v>
      </c>
      <c r="ADD1" s="1">
        <f t="shared" si="12"/>
        <v>784</v>
      </c>
      <c r="ADE1" s="1">
        <f t="shared" si="12"/>
        <v>785</v>
      </c>
      <c r="ADF1" s="1">
        <f t="shared" si="12"/>
        <v>786</v>
      </c>
      <c r="ADG1" s="1">
        <f t="shared" si="12"/>
        <v>787</v>
      </c>
      <c r="ADH1" s="1">
        <f t="shared" si="12"/>
        <v>788</v>
      </c>
      <c r="ADI1" s="1">
        <f t="shared" si="12"/>
        <v>789</v>
      </c>
      <c r="ADJ1" s="1">
        <f t="shared" si="12"/>
        <v>790</v>
      </c>
      <c r="ADK1" s="1">
        <f t="shared" si="12"/>
        <v>791</v>
      </c>
      <c r="ADL1" s="1">
        <f t="shared" si="12"/>
        <v>792</v>
      </c>
      <c r="ADM1" s="1">
        <f t="shared" si="12"/>
        <v>793</v>
      </c>
      <c r="ADN1" s="42">
        <f t="shared" si="12"/>
        <v>794</v>
      </c>
      <c r="ADO1" s="1">
        <f t="shared" si="12"/>
        <v>795</v>
      </c>
      <c r="ADP1" s="1">
        <f t="shared" si="12"/>
        <v>796</v>
      </c>
      <c r="ADQ1" s="1">
        <f t="shared" si="12"/>
        <v>797</v>
      </c>
      <c r="ADR1" s="1">
        <f t="shared" si="12"/>
        <v>798</v>
      </c>
      <c r="ADS1" s="1">
        <f t="shared" si="12"/>
        <v>799</v>
      </c>
      <c r="ADT1" s="1">
        <f t="shared" si="12"/>
        <v>800</v>
      </c>
      <c r="ADU1" s="1">
        <f t="shared" si="12"/>
        <v>801</v>
      </c>
      <c r="ADV1" s="1">
        <f t="shared" si="12"/>
        <v>802</v>
      </c>
      <c r="ADW1" s="1">
        <f t="shared" si="12"/>
        <v>803</v>
      </c>
      <c r="ADX1" s="1">
        <f t="shared" si="12"/>
        <v>804</v>
      </c>
      <c r="ADY1" s="1">
        <f t="shared" si="12"/>
        <v>805</v>
      </c>
      <c r="ADZ1" s="1">
        <f t="shared" si="12"/>
        <v>806</v>
      </c>
      <c r="AEA1" s="1">
        <f t="shared" si="12"/>
        <v>807</v>
      </c>
      <c r="AEB1" s="1">
        <f t="shared" si="12"/>
        <v>808</v>
      </c>
      <c r="AEC1" s="1">
        <f t="shared" si="12"/>
        <v>809</v>
      </c>
      <c r="AED1" s="1">
        <f t="shared" si="12"/>
        <v>810</v>
      </c>
      <c r="AEE1" s="1">
        <f t="shared" si="12"/>
        <v>811</v>
      </c>
      <c r="AEF1" s="1">
        <f t="shared" si="12"/>
        <v>812</v>
      </c>
      <c r="AEG1" s="1">
        <f t="shared" si="12"/>
        <v>813</v>
      </c>
      <c r="AEH1" s="1">
        <f t="shared" si="12"/>
        <v>814</v>
      </c>
      <c r="AEI1" s="1">
        <f t="shared" si="12"/>
        <v>815</v>
      </c>
      <c r="AEJ1" s="1">
        <f t="shared" si="12"/>
        <v>816</v>
      </c>
      <c r="AEK1" s="1">
        <f t="shared" si="12"/>
        <v>817</v>
      </c>
      <c r="AEL1" s="1">
        <f t="shared" si="12"/>
        <v>818</v>
      </c>
      <c r="AEM1" s="1">
        <f t="shared" si="12"/>
        <v>819</v>
      </c>
      <c r="AEN1" s="1">
        <f t="shared" si="12"/>
        <v>820</v>
      </c>
      <c r="AEO1" s="1">
        <f t="shared" si="12"/>
        <v>821</v>
      </c>
      <c r="AEP1" s="1">
        <f t="shared" si="12"/>
        <v>822</v>
      </c>
      <c r="AEQ1" s="1">
        <f t="shared" si="12"/>
        <v>823</v>
      </c>
      <c r="AER1" s="1">
        <f t="shared" si="12"/>
        <v>824</v>
      </c>
      <c r="AES1" s="1">
        <f t="shared" si="12"/>
        <v>825</v>
      </c>
      <c r="AET1" s="1">
        <f t="shared" si="12"/>
        <v>826</v>
      </c>
      <c r="AEU1" s="1">
        <f t="shared" si="12"/>
        <v>827</v>
      </c>
      <c r="AEV1" s="1">
        <f t="shared" si="12"/>
        <v>828</v>
      </c>
      <c r="AEW1" s="1">
        <f t="shared" si="12"/>
        <v>829</v>
      </c>
      <c r="AEX1" s="1">
        <f t="shared" si="12"/>
        <v>830</v>
      </c>
      <c r="AEY1" s="1">
        <f t="shared" si="12"/>
        <v>831</v>
      </c>
      <c r="AEZ1" s="1">
        <f t="shared" si="12"/>
        <v>832</v>
      </c>
      <c r="AFA1" s="1">
        <f t="shared" si="12"/>
        <v>833</v>
      </c>
      <c r="AFB1" s="1">
        <f t="shared" si="12"/>
        <v>834</v>
      </c>
      <c r="AFC1" s="1">
        <f t="shared" ref="AFC1:AHN1" si="13">AFB1+1</f>
        <v>835</v>
      </c>
      <c r="AFD1" s="1">
        <f t="shared" si="13"/>
        <v>836</v>
      </c>
      <c r="AFE1" s="1">
        <f t="shared" si="13"/>
        <v>837</v>
      </c>
      <c r="AFF1" s="42">
        <f t="shared" si="13"/>
        <v>838</v>
      </c>
      <c r="AFG1" s="1">
        <f t="shared" si="13"/>
        <v>839</v>
      </c>
      <c r="AFH1" s="1">
        <f t="shared" si="13"/>
        <v>840</v>
      </c>
      <c r="AFI1" s="1">
        <f t="shared" si="13"/>
        <v>841</v>
      </c>
      <c r="AFJ1" s="1">
        <f t="shared" si="13"/>
        <v>842</v>
      </c>
      <c r="AFK1" s="1">
        <f t="shared" si="13"/>
        <v>843</v>
      </c>
      <c r="AFL1" s="1">
        <f t="shared" si="13"/>
        <v>844</v>
      </c>
      <c r="AFM1" s="1">
        <f t="shared" si="13"/>
        <v>845</v>
      </c>
      <c r="AFN1" s="1">
        <f t="shared" si="13"/>
        <v>846</v>
      </c>
      <c r="AFO1" s="1">
        <f t="shared" si="13"/>
        <v>847</v>
      </c>
      <c r="AFP1" s="1">
        <f t="shared" si="13"/>
        <v>848</v>
      </c>
      <c r="AFQ1" s="1">
        <f t="shared" si="13"/>
        <v>849</v>
      </c>
      <c r="AFR1" s="1">
        <f t="shared" si="13"/>
        <v>850</v>
      </c>
      <c r="AFS1" s="1">
        <f t="shared" si="13"/>
        <v>851</v>
      </c>
      <c r="AFT1" s="1">
        <f t="shared" si="13"/>
        <v>852</v>
      </c>
      <c r="AFU1" s="1">
        <f t="shared" si="13"/>
        <v>853</v>
      </c>
      <c r="AFV1" s="1">
        <f t="shared" si="13"/>
        <v>854</v>
      </c>
      <c r="AFW1" s="1">
        <f t="shared" si="13"/>
        <v>855</v>
      </c>
      <c r="AFX1" s="1">
        <f t="shared" si="13"/>
        <v>856</v>
      </c>
      <c r="AFY1" s="1">
        <f t="shared" si="13"/>
        <v>857</v>
      </c>
      <c r="AFZ1" s="1">
        <f t="shared" si="13"/>
        <v>858</v>
      </c>
      <c r="AGA1" s="1">
        <f t="shared" si="13"/>
        <v>859</v>
      </c>
      <c r="AGB1" s="1">
        <f t="shared" si="13"/>
        <v>860</v>
      </c>
      <c r="AGC1" s="1">
        <f t="shared" si="13"/>
        <v>861</v>
      </c>
      <c r="AGD1" s="1">
        <f t="shared" si="13"/>
        <v>862</v>
      </c>
      <c r="AGE1" s="1">
        <f t="shared" si="13"/>
        <v>863</v>
      </c>
      <c r="AGF1" s="1">
        <f t="shared" si="13"/>
        <v>864</v>
      </c>
      <c r="AGG1" s="1">
        <f t="shared" si="13"/>
        <v>865</v>
      </c>
      <c r="AGH1" s="1">
        <f t="shared" si="13"/>
        <v>866</v>
      </c>
      <c r="AGI1" s="1">
        <f t="shared" si="13"/>
        <v>867</v>
      </c>
      <c r="AGJ1" s="1">
        <f t="shared" si="13"/>
        <v>868</v>
      </c>
      <c r="AGK1" s="1">
        <f t="shared" si="13"/>
        <v>869</v>
      </c>
      <c r="AGL1" s="1">
        <f t="shared" si="13"/>
        <v>870</v>
      </c>
      <c r="AGM1" s="1">
        <f t="shared" si="13"/>
        <v>871</v>
      </c>
      <c r="AGN1" s="1">
        <f t="shared" si="13"/>
        <v>872</v>
      </c>
      <c r="AGO1" s="1">
        <f t="shared" si="13"/>
        <v>873</v>
      </c>
      <c r="AGP1" s="1">
        <f t="shared" si="13"/>
        <v>874</v>
      </c>
      <c r="AGQ1" s="1">
        <f t="shared" si="13"/>
        <v>875</v>
      </c>
      <c r="AGR1" s="1">
        <f t="shared" si="13"/>
        <v>876</v>
      </c>
      <c r="AGS1" s="1">
        <f t="shared" si="13"/>
        <v>877</v>
      </c>
      <c r="AGT1" s="1">
        <f t="shared" si="13"/>
        <v>878</v>
      </c>
      <c r="AGU1" s="1">
        <f t="shared" si="13"/>
        <v>879</v>
      </c>
      <c r="AGV1" s="1">
        <f t="shared" si="13"/>
        <v>880</v>
      </c>
      <c r="AGW1" s="1">
        <f t="shared" si="13"/>
        <v>881</v>
      </c>
      <c r="AGX1" s="42">
        <f t="shared" si="13"/>
        <v>882</v>
      </c>
      <c r="AGY1" s="1">
        <f t="shared" si="13"/>
        <v>883</v>
      </c>
      <c r="AGZ1" s="1">
        <f t="shared" si="13"/>
        <v>884</v>
      </c>
      <c r="AHA1" s="1">
        <f t="shared" si="13"/>
        <v>885</v>
      </c>
      <c r="AHB1" s="1">
        <f t="shared" si="13"/>
        <v>886</v>
      </c>
      <c r="AHC1" s="1">
        <f t="shared" si="13"/>
        <v>887</v>
      </c>
      <c r="AHD1" s="1">
        <f t="shared" si="13"/>
        <v>888</v>
      </c>
      <c r="AHE1" s="1">
        <f t="shared" si="13"/>
        <v>889</v>
      </c>
      <c r="AHF1" s="1">
        <f t="shared" si="13"/>
        <v>890</v>
      </c>
      <c r="AHG1" s="1">
        <f t="shared" si="13"/>
        <v>891</v>
      </c>
      <c r="AHH1" s="1">
        <f t="shared" si="13"/>
        <v>892</v>
      </c>
      <c r="AHI1" s="1">
        <f t="shared" si="13"/>
        <v>893</v>
      </c>
      <c r="AHJ1" s="1">
        <f t="shared" si="13"/>
        <v>894</v>
      </c>
      <c r="AHK1" s="1">
        <f t="shared" si="13"/>
        <v>895</v>
      </c>
      <c r="AHL1" s="1">
        <f t="shared" si="13"/>
        <v>896</v>
      </c>
      <c r="AHM1" s="1">
        <f t="shared" si="13"/>
        <v>897</v>
      </c>
      <c r="AHN1" s="1">
        <f t="shared" si="13"/>
        <v>898</v>
      </c>
      <c r="AHO1" s="1">
        <f t="shared" ref="AHO1:AJZ1" si="14">AHN1+1</f>
        <v>899</v>
      </c>
      <c r="AHP1" s="1">
        <f t="shared" si="14"/>
        <v>900</v>
      </c>
      <c r="AHQ1" s="1">
        <f t="shared" si="14"/>
        <v>901</v>
      </c>
      <c r="AHR1" s="1">
        <f t="shared" si="14"/>
        <v>902</v>
      </c>
      <c r="AHS1" s="1">
        <f t="shared" si="14"/>
        <v>903</v>
      </c>
      <c r="AHT1" s="1">
        <f t="shared" si="14"/>
        <v>904</v>
      </c>
      <c r="AHU1" s="1">
        <f t="shared" si="14"/>
        <v>905</v>
      </c>
      <c r="AHV1" s="1">
        <f t="shared" si="14"/>
        <v>906</v>
      </c>
      <c r="AHW1" s="1">
        <f t="shared" si="14"/>
        <v>907</v>
      </c>
      <c r="AHX1" s="1">
        <f t="shared" si="14"/>
        <v>908</v>
      </c>
      <c r="AHY1" s="1">
        <f t="shared" si="14"/>
        <v>909</v>
      </c>
      <c r="AHZ1" s="1">
        <f t="shared" si="14"/>
        <v>910</v>
      </c>
      <c r="AIA1" s="1">
        <f t="shared" si="14"/>
        <v>911</v>
      </c>
      <c r="AIB1" s="1">
        <f t="shared" si="14"/>
        <v>912</v>
      </c>
      <c r="AIC1" s="1">
        <f t="shared" si="14"/>
        <v>913</v>
      </c>
      <c r="AID1" s="1">
        <f t="shared" si="14"/>
        <v>914</v>
      </c>
      <c r="AIE1" s="1">
        <f t="shared" si="14"/>
        <v>915</v>
      </c>
      <c r="AIF1" s="1">
        <f t="shared" si="14"/>
        <v>916</v>
      </c>
      <c r="AIG1" s="1">
        <f t="shared" si="14"/>
        <v>917</v>
      </c>
      <c r="AIH1" s="1">
        <f t="shared" si="14"/>
        <v>918</v>
      </c>
      <c r="AII1" s="1">
        <f t="shared" si="14"/>
        <v>919</v>
      </c>
      <c r="AIJ1" s="1">
        <f t="shared" si="14"/>
        <v>920</v>
      </c>
      <c r="AIK1" s="1">
        <f t="shared" si="14"/>
        <v>921</v>
      </c>
      <c r="AIL1" s="1">
        <f t="shared" si="14"/>
        <v>922</v>
      </c>
      <c r="AIM1" s="1">
        <f t="shared" si="14"/>
        <v>923</v>
      </c>
      <c r="AIN1" s="1">
        <f t="shared" si="14"/>
        <v>924</v>
      </c>
      <c r="AIO1" s="1">
        <f t="shared" si="14"/>
        <v>925</v>
      </c>
      <c r="AIP1" s="42">
        <f t="shared" si="14"/>
        <v>926</v>
      </c>
      <c r="AIQ1" s="1">
        <f t="shared" si="14"/>
        <v>927</v>
      </c>
      <c r="AIR1" s="1">
        <f t="shared" si="14"/>
        <v>928</v>
      </c>
      <c r="AIS1" s="1">
        <f t="shared" si="14"/>
        <v>929</v>
      </c>
      <c r="AIT1" s="1">
        <f t="shared" si="14"/>
        <v>930</v>
      </c>
      <c r="AIU1" s="1">
        <f t="shared" si="14"/>
        <v>931</v>
      </c>
      <c r="AIV1" s="1">
        <f t="shared" si="14"/>
        <v>932</v>
      </c>
      <c r="AIW1" s="1">
        <f t="shared" si="14"/>
        <v>933</v>
      </c>
      <c r="AIX1" s="1">
        <f t="shared" si="14"/>
        <v>934</v>
      </c>
      <c r="AIY1" s="1">
        <f t="shared" si="14"/>
        <v>935</v>
      </c>
      <c r="AIZ1" s="1">
        <f t="shared" si="14"/>
        <v>936</v>
      </c>
      <c r="AJA1" s="1">
        <f t="shared" si="14"/>
        <v>937</v>
      </c>
      <c r="AJB1" s="1">
        <f t="shared" si="14"/>
        <v>938</v>
      </c>
      <c r="AJC1" s="1">
        <f t="shared" si="14"/>
        <v>939</v>
      </c>
      <c r="AJD1" s="1">
        <f t="shared" si="14"/>
        <v>940</v>
      </c>
      <c r="AJE1" s="1">
        <f t="shared" si="14"/>
        <v>941</v>
      </c>
      <c r="AJF1" s="1">
        <f t="shared" si="14"/>
        <v>942</v>
      </c>
      <c r="AJG1" s="1">
        <f t="shared" si="14"/>
        <v>943</v>
      </c>
      <c r="AJH1" s="1">
        <f t="shared" si="14"/>
        <v>944</v>
      </c>
      <c r="AJI1" s="1">
        <f t="shared" si="14"/>
        <v>945</v>
      </c>
      <c r="AJJ1" s="1">
        <f t="shared" si="14"/>
        <v>946</v>
      </c>
      <c r="AJK1" s="1">
        <f t="shared" si="14"/>
        <v>947</v>
      </c>
      <c r="AJL1" s="1">
        <f t="shared" si="14"/>
        <v>948</v>
      </c>
      <c r="AJM1" s="1">
        <f t="shared" si="14"/>
        <v>949</v>
      </c>
      <c r="AJN1" s="1">
        <f t="shared" si="14"/>
        <v>950</v>
      </c>
      <c r="AJO1" s="1">
        <f t="shared" si="14"/>
        <v>951</v>
      </c>
      <c r="AJP1" s="1">
        <f t="shared" si="14"/>
        <v>952</v>
      </c>
      <c r="AJQ1" s="1">
        <f t="shared" si="14"/>
        <v>953</v>
      </c>
      <c r="AJR1" s="1">
        <f t="shared" si="14"/>
        <v>954</v>
      </c>
      <c r="AJS1" s="1">
        <f t="shared" si="14"/>
        <v>955</v>
      </c>
      <c r="AJT1" s="1">
        <f t="shared" si="14"/>
        <v>956</v>
      </c>
      <c r="AJU1" s="1">
        <f t="shared" si="14"/>
        <v>957</v>
      </c>
      <c r="AJV1" s="1">
        <f t="shared" si="14"/>
        <v>958</v>
      </c>
      <c r="AJW1" s="1">
        <f t="shared" si="14"/>
        <v>959</v>
      </c>
      <c r="AJX1" s="1">
        <f t="shared" si="14"/>
        <v>960</v>
      </c>
      <c r="AJY1" s="1">
        <f t="shared" si="14"/>
        <v>961</v>
      </c>
      <c r="AJZ1" s="1">
        <f t="shared" si="14"/>
        <v>962</v>
      </c>
      <c r="AKA1" s="1">
        <f t="shared" ref="AKA1:AML1" si="15">AJZ1+1</f>
        <v>963</v>
      </c>
      <c r="AKB1" s="1">
        <f t="shared" si="15"/>
        <v>964</v>
      </c>
      <c r="AKC1" s="1">
        <f t="shared" si="15"/>
        <v>965</v>
      </c>
      <c r="AKD1" s="1">
        <f t="shared" si="15"/>
        <v>966</v>
      </c>
      <c r="AKE1" s="1">
        <f t="shared" si="15"/>
        <v>967</v>
      </c>
      <c r="AKF1" s="1">
        <f t="shared" si="15"/>
        <v>968</v>
      </c>
      <c r="AKG1" s="1">
        <f t="shared" si="15"/>
        <v>969</v>
      </c>
      <c r="AKH1" s="42">
        <f t="shared" si="15"/>
        <v>970</v>
      </c>
      <c r="AKI1" s="1">
        <f t="shared" si="15"/>
        <v>971</v>
      </c>
      <c r="AKJ1" s="1">
        <f t="shared" si="15"/>
        <v>972</v>
      </c>
      <c r="AKK1" s="1">
        <f t="shared" si="15"/>
        <v>973</v>
      </c>
      <c r="AKL1" s="1">
        <f t="shared" si="15"/>
        <v>974</v>
      </c>
      <c r="AKM1" s="1">
        <f t="shared" si="15"/>
        <v>975</v>
      </c>
      <c r="AKN1" s="1">
        <f t="shared" si="15"/>
        <v>976</v>
      </c>
      <c r="AKO1" s="1">
        <f t="shared" si="15"/>
        <v>977</v>
      </c>
      <c r="AKP1" s="1">
        <f t="shared" si="15"/>
        <v>978</v>
      </c>
      <c r="AKQ1" s="1">
        <f t="shared" si="15"/>
        <v>979</v>
      </c>
      <c r="AKR1" s="1">
        <f t="shared" si="15"/>
        <v>980</v>
      </c>
      <c r="AKS1" s="1">
        <f t="shared" si="15"/>
        <v>981</v>
      </c>
      <c r="AKT1" s="1">
        <f t="shared" si="15"/>
        <v>982</v>
      </c>
      <c r="AKU1" s="1">
        <f t="shared" si="15"/>
        <v>983</v>
      </c>
      <c r="AKV1" s="1">
        <f t="shared" si="15"/>
        <v>984</v>
      </c>
      <c r="AKW1" s="1">
        <f t="shared" si="15"/>
        <v>985</v>
      </c>
      <c r="AKX1" s="1">
        <f t="shared" si="15"/>
        <v>986</v>
      </c>
      <c r="AKY1" s="1">
        <f t="shared" si="15"/>
        <v>987</v>
      </c>
      <c r="AKZ1" s="1">
        <f t="shared" si="15"/>
        <v>988</v>
      </c>
      <c r="ALA1" s="1">
        <f t="shared" si="15"/>
        <v>989</v>
      </c>
      <c r="ALB1" s="1">
        <f t="shared" si="15"/>
        <v>990</v>
      </c>
      <c r="ALC1" s="1">
        <f t="shared" si="15"/>
        <v>991</v>
      </c>
      <c r="ALD1" s="1">
        <f t="shared" si="15"/>
        <v>992</v>
      </c>
      <c r="ALE1" s="1">
        <f t="shared" si="15"/>
        <v>993</v>
      </c>
      <c r="ALF1" s="1">
        <f t="shared" si="15"/>
        <v>994</v>
      </c>
      <c r="ALG1" s="1">
        <f t="shared" si="15"/>
        <v>995</v>
      </c>
      <c r="ALH1" s="1">
        <f t="shared" si="15"/>
        <v>996</v>
      </c>
      <c r="ALI1" s="1">
        <f t="shared" si="15"/>
        <v>997</v>
      </c>
      <c r="ALJ1" s="1">
        <f t="shared" si="15"/>
        <v>998</v>
      </c>
      <c r="ALK1" s="1">
        <f t="shared" si="15"/>
        <v>999</v>
      </c>
      <c r="ALL1" s="1">
        <f t="shared" si="15"/>
        <v>1000</v>
      </c>
      <c r="ALM1" s="1">
        <f t="shared" si="15"/>
        <v>1001</v>
      </c>
      <c r="ALN1" s="1">
        <f t="shared" si="15"/>
        <v>1002</v>
      </c>
      <c r="ALO1" s="1">
        <f t="shared" si="15"/>
        <v>1003</v>
      </c>
      <c r="ALP1" s="1">
        <f t="shared" si="15"/>
        <v>1004</v>
      </c>
      <c r="ALQ1" s="1">
        <f t="shared" si="15"/>
        <v>1005</v>
      </c>
      <c r="ALR1" s="1">
        <f t="shared" si="15"/>
        <v>1006</v>
      </c>
      <c r="ALS1" s="1">
        <f t="shared" si="15"/>
        <v>1007</v>
      </c>
      <c r="ALT1" s="1">
        <f t="shared" si="15"/>
        <v>1008</v>
      </c>
      <c r="ALU1" s="1">
        <f t="shared" si="15"/>
        <v>1009</v>
      </c>
      <c r="ALV1" s="1">
        <f t="shared" si="15"/>
        <v>1010</v>
      </c>
      <c r="ALW1" s="1">
        <f t="shared" si="15"/>
        <v>1011</v>
      </c>
      <c r="ALX1" s="1">
        <f t="shared" si="15"/>
        <v>1012</v>
      </c>
      <c r="ALY1" s="1">
        <f t="shared" si="15"/>
        <v>1013</v>
      </c>
      <c r="ALZ1" s="42">
        <f t="shared" si="15"/>
        <v>1014</v>
      </c>
      <c r="AMA1" s="1">
        <f t="shared" si="15"/>
        <v>1015</v>
      </c>
      <c r="AMB1" s="1">
        <f t="shared" si="15"/>
        <v>1016</v>
      </c>
      <c r="AMC1" s="1">
        <f t="shared" si="15"/>
        <v>1017</v>
      </c>
      <c r="AMD1" s="1">
        <f t="shared" si="15"/>
        <v>1018</v>
      </c>
      <c r="AME1" s="1">
        <f t="shared" si="15"/>
        <v>1019</v>
      </c>
      <c r="AMF1" s="1">
        <f t="shared" si="15"/>
        <v>1020</v>
      </c>
      <c r="AMG1" s="1">
        <f t="shared" si="15"/>
        <v>1021</v>
      </c>
      <c r="AMH1" s="1">
        <f t="shared" si="15"/>
        <v>1022</v>
      </c>
      <c r="AMI1" s="1">
        <f t="shared" si="15"/>
        <v>1023</v>
      </c>
      <c r="AMJ1" s="1">
        <f t="shared" si="15"/>
        <v>1024</v>
      </c>
      <c r="AMK1" s="1">
        <f t="shared" si="15"/>
        <v>1025</v>
      </c>
      <c r="AML1" s="1">
        <f t="shared" si="15"/>
        <v>1026</v>
      </c>
      <c r="AMM1" s="1">
        <f t="shared" ref="AMM1:AOX1" si="16">AML1+1</f>
        <v>1027</v>
      </c>
      <c r="AMN1" s="1">
        <f t="shared" si="16"/>
        <v>1028</v>
      </c>
      <c r="AMO1" s="1">
        <f t="shared" si="16"/>
        <v>1029</v>
      </c>
      <c r="AMP1" s="1">
        <f t="shared" si="16"/>
        <v>1030</v>
      </c>
      <c r="AMQ1" s="1">
        <f t="shared" si="16"/>
        <v>1031</v>
      </c>
      <c r="AMR1" s="1">
        <f t="shared" si="16"/>
        <v>1032</v>
      </c>
      <c r="AMS1" s="1">
        <f t="shared" si="16"/>
        <v>1033</v>
      </c>
      <c r="AMT1" s="1">
        <f t="shared" si="16"/>
        <v>1034</v>
      </c>
      <c r="AMU1" s="1">
        <f t="shared" si="16"/>
        <v>1035</v>
      </c>
      <c r="AMV1" s="1">
        <f t="shared" si="16"/>
        <v>1036</v>
      </c>
      <c r="AMW1" s="1">
        <f t="shared" si="16"/>
        <v>1037</v>
      </c>
      <c r="AMX1" s="1">
        <f t="shared" si="16"/>
        <v>1038</v>
      </c>
      <c r="AMY1" s="1">
        <f t="shared" si="16"/>
        <v>1039</v>
      </c>
      <c r="AMZ1" s="1">
        <f t="shared" si="16"/>
        <v>1040</v>
      </c>
      <c r="ANA1" s="1">
        <f t="shared" si="16"/>
        <v>1041</v>
      </c>
      <c r="ANB1" s="1">
        <f t="shared" si="16"/>
        <v>1042</v>
      </c>
      <c r="ANC1" s="1">
        <f t="shared" si="16"/>
        <v>1043</v>
      </c>
      <c r="AND1" s="1">
        <f t="shared" si="16"/>
        <v>1044</v>
      </c>
      <c r="ANE1" s="1">
        <f t="shared" si="16"/>
        <v>1045</v>
      </c>
      <c r="ANF1" s="1">
        <f t="shared" si="16"/>
        <v>1046</v>
      </c>
      <c r="ANG1" s="1">
        <f t="shared" si="16"/>
        <v>1047</v>
      </c>
      <c r="ANH1" s="1">
        <f t="shared" si="16"/>
        <v>1048</v>
      </c>
      <c r="ANI1" s="1">
        <f t="shared" si="16"/>
        <v>1049</v>
      </c>
      <c r="ANJ1" s="1">
        <f t="shared" si="16"/>
        <v>1050</v>
      </c>
      <c r="ANK1" s="1">
        <f t="shared" si="16"/>
        <v>1051</v>
      </c>
      <c r="ANL1" s="1">
        <f t="shared" si="16"/>
        <v>1052</v>
      </c>
      <c r="ANM1" s="1">
        <f t="shared" si="16"/>
        <v>1053</v>
      </c>
      <c r="ANN1" s="1">
        <f t="shared" si="16"/>
        <v>1054</v>
      </c>
      <c r="ANO1" s="1">
        <f t="shared" si="16"/>
        <v>1055</v>
      </c>
      <c r="ANP1" s="1">
        <f t="shared" si="16"/>
        <v>1056</v>
      </c>
      <c r="ANQ1" s="1">
        <f t="shared" si="16"/>
        <v>1057</v>
      </c>
      <c r="ANR1" s="42">
        <f t="shared" si="16"/>
        <v>1058</v>
      </c>
      <c r="ANS1" s="1">
        <f t="shared" si="16"/>
        <v>1059</v>
      </c>
      <c r="ANT1" s="1">
        <f t="shared" si="16"/>
        <v>1060</v>
      </c>
      <c r="ANU1" s="1">
        <f t="shared" si="16"/>
        <v>1061</v>
      </c>
      <c r="ANV1" s="1">
        <f t="shared" si="16"/>
        <v>1062</v>
      </c>
      <c r="ANW1" s="1">
        <f t="shared" si="16"/>
        <v>1063</v>
      </c>
      <c r="ANX1" s="1">
        <f t="shared" si="16"/>
        <v>1064</v>
      </c>
      <c r="ANY1" s="1">
        <f t="shared" si="16"/>
        <v>1065</v>
      </c>
      <c r="ANZ1" s="1">
        <f t="shared" si="16"/>
        <v>1066</v>
      </c>
      <c r="AOA1" s="1">
        <f t="shared" si="16"/>
        <v>1067</v>
      </c>
      <c r="AOB1" s="1">
        <f t="shared" si="16"/>
        <v>1068</v>
      </c>
      <c r="AOC1" s="1">
        <f t="shared" si="16"/>
        <v>1069</v>
      </c>
      <c r="AOD1" s="1">
        <f t="shared" si="16"/>
        <v>1070</v>
      </c>
      <c r="AOE1" s="1">
        <f t="shared" si="16"/>
        <v>1071</v>
      </c>
      <c r="AOF1" s="1">
        <f t="shared" si="16"/>
        <v>1072</v>
      </c>
      <c r="AOG1" s="1">
        <f t="shared" si="16"/>
        <v>1073</v>
      </c>
      <c r="AOH1" s="1">
        <f t="shared" si="16"/>
        <v>1074</v>
      </c>
      <c r="AOI1" s="1">
        <f t="shared" si="16"/>
        <v>1075</v>
      </c>
      <c r="AOJ1" s="1">
        <f t="shared" si="16"/>
        <v>1076</v>
      </c>
      <c r="AOK1" s="1">
        <f t="shared" si="16"/>
        <v>1077</v>
      </c>
      <c r="AOL1" s="1">
        <f t="shared" si="16"/>
        <v>1078</v>
      </c>
      <c r="AOM1" s="1">
        <f t="shared" si="16"/>
        <v>1079</v>
      </c>
      <c r="AON1" s="1">
        <f t="shared" si="16"/>
        <v>1080</v>
      </c>
      <c r="AOO1" s="1">
        <f t="shared" si="16"/>
        <v>1081</v>
      </c>
      <c r="AOP1" s="1">
        <f t="shared" si="16"/>
        <v>1082</v>
      </c>
      <c r="AOQ1" s="1">
        <f t="shared" si="16"/>
        <v>1083</v>
      </c>
      <c r="AOR1" s="1">
        <f t="shared" si="16"/>
        <v>1084</v>
      </c>
      <c r="AOS1" s="1">
        <f t="shared" si="16"/>
        <v>1085</v>
      </c>
      <c r="AOT1" s="1">
        <f t="shared" si="16"/>
        <v>1086</v>
      </c>
      <c r="AOU1" s="1">
        <f t="shared" si="16"/>
        <v>1087</v>
      </c>
      <c r="AOV1" s="1">
        <f t="shared" si="16"/>
        <v>1088</v>
      </c>
      <c r="AOW1" s="1">
        <f t="shared" si="16"/>
        <v>1089</v>
      </c>
      <c r="AOX1" s="1">
        <f t="shared" si="16"/>
        <v>1090</v>
      </c>
      <c r="AOY1" s="1">
        <f t="shared" ref="AOY1:ARJ1" si="17">AOX1+1</f>
        <v>1091</v>
      </c>
      <c r="AOZ1" s="1">
        <f t="shared" si="17"/>
        <v>1092</v>
      </c>
      <c r="APA1" s="1">
        <f t="shared" si="17"/>
        <v>1093</v>
      </c>
      <c r="APB1" s="1">
        <f t="shared" si="17"/>
        <v>1094</v>
      </c>
      <c r="APC1" s="1">
        <f t="shared" si="17"/>
        <v>1095</v>
      </c>
      <c r="APD1" s="1">
        <f t="shared" si="17"/>
        <v>1096</v>
      </c>
      <c r="APE1" s="1">
        <f t="shared" si="17"/>
        <v>1097</v>
      </c>
      <c r="APF1" s="1">
        <f t="shared" si="17"/>
        <v>1098</v>
      </c>
      <c r="APG1" s="1">
        <f t="shared" si="17"/>
        <v>1099</v>
      </c>
      <c r="APH1" s="1">
        <f t="shared" si="17"/>
        <v>1100</v>
      </c>
      <c r="API1" s="1">
        <f t="shared" si="17"/>
        <v>1101</v>
      </c>
      <c r="APJ1" s="42">
        <f t="shared" si="17"/>
        <v>1102</v>
      </c>
      <c r="APK1" s="1">
        <f t="shared" si="17"/>
        <v>1103</v>
      </c>
      <c r="APL1" s="1">
        <f t="shared" si="17"/>
        <v>1104</v>
      </c>
      <c r="APM1" s="1">
        <f t="shared" si="17"/>
        <v>1105</v>
      </c>
      <c r="APN1" s="1">
        <f t="shared" si="17"/>
        <v>1106</v>
      </c>
      <c r="APO1" s="1">
        <f t="shared" si="17"/>
        <v>1107</v>
      </c>
      <c r="APP1" s="1">
        <f t="shared" si="17"/>
        <v>1108</v>
      </c>
      <c r="APQ1" s="1">
        <f t="shared" si="17"/>
        <v>1109</v>
      </c>
      <c r="APR1" s="1">
        <f t="shared" si="17"/>
        <v>1110</v>
      </c>
      <c r="APS1" s="1">
        <f t="shared" si="17"/>
        <v>1111</v>
      </c>
      <c r="APT1" s="1">
        <f t="shared" si="17"/>
        <v>1112</v>
      </c>
      <c r="APU1" s="1">
        <f t="shared" si="17"/>
        <v>1113</v>
      </c>
      <c r="APV1" s="1">
        <f t="shared" si="17"/>
        <v>1114</v>
      </c>
      <c r="APW1" s="1">
        <f t="shared" si="17"/>
        <v>1115</v>
      </c>
      <c r="APX1" s="1">
        <f t="shared" si="17"/>
        <v>1116</v>
      </c>
      <c r="APY1" s="1">
        <f t="shared" si="17"/>
        <v>1117</v>
      </c>
      <c r="APZ1" s="1">
        <f t="shared" si="17"/>
        <v>1118</v>
      </c>
      <c r="AQA1" s="1">
        <f t="shared" si="17"/>
        <v>1119</v>
      </c>
      <c r="AQB1" s="1">
        <f t="shared" si="17"/>
        <v>1120</v>
      </c>
      <c r="AQC1" s="1">
        <f t="shared" si="17"/>
        <v>1121</v>
      </c>
      <c r="AQD1" s="1">
        <f t="shared" si="17"/>
        <v>1122</v>
      </c>
      <c r="AQE1" s="1">
        <f t="shared" si="17"/>
        <v>1123</v>
      </c>
      <c r="AQF1" s="1">
        <f t="shared" si="17"/>
        <v>1124</v>
      </c>
      <c r="AQG1" s="1">
        <f t="shared" si="17"/>
        <v>1125</v>
      </c>
      <c r="AQH1" s="1">
        <f t="shared" si="17"/>
        <v>1126</v>
      </c>
      <c r="AQI1" s="1">
        <f t="shared" si="17"/>
        <v>1127</v>
      </c>
      <c r="AQJ1" s="1">
        <f t="shared" si="17"/>
        <v>1128</v>
      </c>
      <c r="AQK1" s="1">
        <f t="shared" si="17"/>
        <v>1129</v>
      </c>
      <c r="AQL1" s="1">
        <f t="shared" si="17"/>
        <v>1130</v>
      </c>
      <c r="AQM1" s="1">
        <f t="shared" si="17"/>
        <v>1131</v>
      </c>
      <c r="AQN1" s="1">
        <f t="shared" si="17"/>
        <v>1132</v>
      </c>
      <c r="AQO1" s="1">
        <f t="shared" si="17"/>
        <v>1133</v>
      </c>
      <c r="AQP1" s="1">
        <f t="shared" si="17"/>
        <v>1134</v>
      </c>
      <c r="AQQ1" s="1">
        <f t="shared" si="17"/>
        <v>1135</v>
      </c>
      <c r="AQR1" s="1">
        <f t="shared" si="17"/>
        <v>1136</v>
      </c>
      <c r="AQS1" s="1">
        <f t="shared" si="17"/>
        <v>1137</v>
      </c>
      <c r="AQT1" s="1">
        <f t="shared" si="17"/>
        <v>1138</v>
      </c>
      <c r="AQU1" s="1">
        <f t="shared" si="17"/>
        <v>1139</v>
      </c>
      <c r="AQV1" s="1">
        <f t="shared" si="17"/>
        <v>1140</v>
      </c>
      <c r="AQW1" s="1">
        <f t="shared" si="17"/>
        <v>1141</v>
      </c>
      <c r="AQX1" s="1">
        <f t="shared" si="17"/>
        <v>1142</v>
      </c>
      <c r="AQY1" s="1">
        <f t="shared" si="17"/>
        <v>1143</v>
      </c>
      <c r="AQZ1" s="1">
        <f t="shared" si="17"/>
        <v>1144</v>
      </c>
      <c r="ARA1" s="1">
        <f t="shared" si="17"/>
        <v>1145</v>
      </c>
      <c r="ARB1" s="42">
        <f t="shared" si="17"/>
        <v>1146</v>
      </c>
      <c r="ARC1" s="1">
        <f t="shared" si="17"/>
        <v>1147</v>
      </c>
      <c r="ARD1" s="1">
        <f t="shared" si="17"/>
        <v>1148</v>
      </c>
      <c r="ARE1" s="1">
        <f t="shared" si="17"/>
        <v>1149</v>
      </c>
      <c r="ARF1" s="1">
        <f t="shared" si="17"/>
        <v>1150</v>
      </c>
      <c r="ARG1" s="1">
        <f t="shared" si="17"/>
        <v>1151</v>
      </c>
      <c r="ARH1" s="1">
        <f t="shared" si="17"/>
        <v>1152</v>
      </c>
      <c r="ARI1" s="1">
        <f t="shared" si="17"/>
        <v>1153</v>
      </c>
      <c r="ARJ1" s="1">
        <f t="shared" si="17"/>
        <v>1154</v>
      </c>
      <c r="ARK1" s="1">
        <f t="shared" ref="ARK1:ATV1" si="18">ARJ1+1</f>
        <v>1155</v>
      </c>
      <c r="ARL1" s="1">
        <f t="shared" si="18"/>
        <v>1156</v>
      </c>
      <c r="ARM1" s="1">
        <f t="shared" si="18"/>
        <v>1157</v>
      </c>
      <c r="ARN1" s="1">
        <f t="shared" si="18"/>
        <v>1158</v>
      </c>
      <c r="ARO1" s="1">
        <f t="shared" si="18"/>
        <v>1159</v>
      </c>
      <c r="ARP1" s="1">
        <f t="shared" si="18"/>
        <v>1160</v>
      </c>
      <c r="ARQ1" s="1">
        <f t="shared" si="18"/>
        <v>1161</v>
      </c>
      <c r="ARR1" s="1">
        <f t="shared" si="18"/>
        <v>1162</v>
      </c>
      <c r="ARS1" s="1">
        <f t="shared" si="18"/>
        <v>1163</v>
      </c>
      <c r="ART1" s="1">
        <f t="shared" si="18"/>
        <v>1164</v>
      </c>
      <c r="ARU1" s="1">
        <f t="shared" si="18"/>
        <v>1165</v>
      </c>
      <c r="ARV1" s="1">
        <f t="shared" si="18"/>
        <v>1166</v>
      </c>
      <c r="ARW1" s="1">
        <f t="shared" si="18"/>
        <v>1167</v>
      </c>
      <c r="ARX1" s="1">
        <f t="shared" si="18"/>
        <v>1168</v>
      </c>
      <c r="ARY1" s="1">
        <f t="shared" si="18"/>
        <v>1169</v>
      </c>
      <c r="ARZ1" s="1">
        <f t="shared" si="18"/>
        <v>1170</v>
      </c>
      <c r="ASA1" s="1">
        <f t="shared" si="18"/>
        <v>1171</v>
      </c>
      <c r="ASB1" s="1">
        <f t="shared" si="18"/>
        <v>1172</v>
      </c>
      <c r="ASC1" s="1">
        <f t="shared" si="18"/>
        <v>1173</v>
      </c>
      <c r="ASD1" s="1">
        <f t="shared" si="18"/>
        <v>1174</v>
      </c>
      <c r="ASE1" s="1">
        <f t="shared" si="18"/>
        <v>1175</v>
      </c>
      <c r="ASF1" s="1">
        <f t="shared" si="18"/>
        <v>1176</v>
      </c>
      <c r="ASG1" s="1">
        <f t="shared" si="18"/>
        <v>1177</v>
      </c>
      <c r="ASH1" s="1">
        <f t="shared" si="18"/>
        <v>1178</v>
      </c>
      <c r="ASI1" s="1">
        <f t="shared" si="18"/>
        <v>1179</v>
      </c>
      <c r="ASJ1" s="1">
        <f t="shared" si="18"/>
        <v>1180</v>
      </c>
      <c r="ASK1" s="1">
        <f t="shared" si="18"/>
        <v>1181</v>
      </c>
      <c r="ASL1" s="1">
        <f t="shared" si="18"/>
        <v>1182</v>
      </c>
      <c r="ASM1" s="1">
        <f t="shared" si="18"/>
        <v>1183</v>
      </c>
      <c r="ASN1" s="1">
        <f t="shared" si="18"/>
        <v>1184</v>
      </c>
      <c r="ASO1" s="1">
        <f t="shared" si="18"/>
        <v>1185</v>
      </c>
      <c r="ASP1" s="1">
        <f t="shared" si="18"/>
        <v>1186</v>
      </c>
      <c r="ASQ1" s="1">
        <f t="shared" si="18"/>
        <v>1187</v>
      </c>
      <c r="ASR1" s="1">
        <f t="shared" si="18"/>
        <v>1188</v>
      </c>
      <c r="ASS1" s="1">
        <f t="shared" si="18"/>
        <v>1189</v>
      </c>
      <c r="AST1" s="42">
        <f t="shared" si="18"/>
        <v>1190</v>
      </c>
      <c r="ASU1" s="1">
        <f t="shared" si="18"/>
        <v>1191</v>
      </c>
      <c r="ASV1" s="1">
        <f t="shared" si="18"/>
        <v>1192</v>
      </c>
      <c r="ASW1" s="1">
        <f t="shared" si="18"/>
        <v>1193</v>
      </c>
      <c r="ASX1" s="1">
        <f t="shared" si="18"/>
        <v>1194</v>
      </c>
      <c r="ASY1" s="1">
        <f t="shared" si="18"/>
        <v>1195</v>
      </c>
      <c r="ASZ1" s="1">
        <f t="shared" si="18"/>
        <v>1196</v>
      </c>
      <c r="ATA1" s="1">
        <f t="shared" si="18"/>
        <v>1197</v>
      </c>
      <c r="ATB1" s="1">
        <f t="shared" si="18"/>
        <v>1198</v>
      </c>
      <c r="ATC1" s="1">
        <f t="shared" si="18"/>
        <v>1199</v>
      </c>
      <c r="ATD1" s="1">
        <f t="shared" si="18"/>
        <v>1200</v>
      </c>
      <c r="ATE1" s="1">
        <f t="shared" si="18"/>
        <v>1201</v>
      </c>
      <c r="ATF1" s="1">
        <f t="shared" si="18"/>
        <v>1202</v>
      </c>
      <c r="ATG1" s="1">
        <f t="shared" si="18"/>
        <v>1203</v>
      </c>
      <c r="ATH1" s="1">
        <f t="shared" si="18"/>
        <v>1204</v>
      </c>
      <c r="ATI1" s="1">
        <f t="shared" si="18"/>
        <v>1205</v>
      </c>
      <c r="ATJ1" s="1">
        <f t="shared" si="18"/>
        <v>1206</v>
      </c>
      <c r="ATK1" s="1">
        <f t="shared" si="18"/>
        <v>1207</v>
      </c>
      <c r="ATL1" s="1">
        <f t="shared" si="18"/>
        <v>1208</v>
      </c>
      <c r="ATM1" s="1">
        <f t="shared" si="18"/>
        <v>1209</v>
      </c>
      <c r="ATN1" s="1">
        <f t="shared" si="18"/>
        <v>1210</v>
      </c>
      <c r="ATO1" s="1">
        <f t="shared" si="18"/>
        <v>1211</v>
      </c>
      <c r="ATP1" s="1">
        <f t="shared" si="18"/>
        <v>1212</v>
      </c>
      <c r="ATQ1" s="1">
        <f t="shared" si="18"/>
        <v>1213</v>
      </c>
      <c r="ATR1" s="1">
        <f t="shared" si="18"/>
        <v>1214</v>
      </c>
      <c r="ATS1" s="1">
        <f t="shared" si="18"/>
        <v>1215</v>
      </c>
      <c r="ATT1" s="1">
        <f t="shared" si="18"/>
        <v>1216</v>
      </c>
      <c r="ATU1" s="1">
        <f t="shared" si="18"/>
        <v>1217</v>
      </c>
      <c r="ATV1" s="1">
        <f t="shared" si="18"/>
        <v>1218</v>
      </c>
      <c r="ATW1" s="1">
        <f t="shared" ref="ATW1:AWH1" si="19">ATV1+1</f>
        <v>1219</v>
      </c>
      <c r="ATX1" s="1">
        <f t="shared" si="19"/>
        <v>1220</v>
      </c>
      <c r="ATY1" s="1">
        <f t="shared" si="19"/>
        <v>1221</v>
      </c>
      <c r="ATZ1" s="1">
        <f t="shared" si="19"/>
        <v>1222</v>
      </c>
      <c r="AUA1" s="1">
        <f t="shared" si="19"/>
        <v>1223</v>
      </c>
      <c r="AUB1" s="1">
        <f t="shared" si="19"/>
        <v>1224</v>
      </c>
      <c r="AUC1" s="1">
        <f t="shared" si="19"/>
        <v>1225</v>
      </c>
      <c r="AUD1" s="1">
        <f t="shared" si="19"/>
        <v>1226</v>
      </c>
      <c r="AUE1" s="1">
        <f t="shared" si="19"/>
        <v>1227</v>
      </c>
      <c r="AUF1" s="1">
        <f t="shared" si="19"/>
        <v>1228</v>
      </c>
      <c r="AUG1" s="1">
        <f t="shared" si="19"/>
        <v>1229</v>
      </c>
      <c r="AUH1" s="1">
        <f t="shared" si="19"/>
        <v>1230</v>
      </c>
      <c r="AUI1" s="1">
        <f t="shared" si="19"/>
        <v>1231</v>
      </c>
      <c r="AUJ1" s="1">
        <f t="shared" si="19"/>
        <v>1232</v>
      </c>
      <c r="AUK1" s="1">
        <f t="shared" si="19"/>
        <v>1233</v>
      </c>
      <c r="AUL1" s="42">
        <f t="shared" si="19"/>
        <v>1234</v>
      </c>
      <c r="AUM1" s="1">
        <f t="shared" si="19"/>
        <v>1235</v>
      </c>
      <c r="AUN1" s="1">
        <f t="shared" si="19"/>
        <v>1236</v>
      </c>
      <c r="AUO1" s="1">
        <f t="shared" si="19"/>
        <v>1237</v>
      </c>
      <c r="AUP1" s="1">
        <f t="shared" si="19"/>
        <v>1238</v>
      </c>
      <c r="AUQ1" s="1">
        <f t="shared" si="19"/>
        <v>1239</v>
      </c>
      <c r="AUR1" s="1">
        <f t="shared" si="19"/>
        <v>1240</v>
      </c>
      <c r="AUS1" s="1">
        <f t="shared" si="19"/>
        <v>1241</v>
      </c>
      <c r="AUT1" s="1">
        <f t="shared" si="19"/>
        <v>1242</v>
      </c>
      <c r="AUU1" s="1">
        <f t="shared" si="19"/>
        <v>1243</v>
      </c>
      <c r="AUV1" s="1">
        <f t="shared" si="19"/>
        <v>1244</v>
      </c>
      <c r="AUW1" s="1">
        <f t="shared" si="19"/>
        <v>1245</v>
      </c>
      <c r="AUX1" s="1">
        <f t="shared" si="19"/>
        <v>1246</v>
      </c>
      <c r="AUY1" s="1">
        <f t="shared" si="19"/>
        <v>1247</v>
      </c>
      <c r="AUZ1" s="1">
        <f t="shared" si="19"/>
        <v>1248</v>
      </c>
      <c r="AVA1" s="1">
        <f t="shared" si="19"/>
        <v>1249</v>
      </c>
      <c r="AVB1" s="1">
        <f t="shared" si="19"/>
        <v>1250</v>
      </c>
      <c r="AVC1" s="1">
        <f t="shared" si="19"/>
        <v>1251</v>
      </c>
      <c r="AVD1" s="1">
        <f t="shared" si="19"/>
        <v>1252</v>
      </c>
      <c r="AVE1" s="1">
        <f t="shared" si="19"/>
        <v>1253</v>
      </c>
      <c r="AVF1" s="1">
        <f t="shared" si="19"/>
        <v>1254</v>
      </c>
      <c r="AVG1" s="1">
        <f t="shared" si="19"/>
        <v>1255</v>
      </c>
      <c r="AVH1" s="1">
        <f t="shared" si="19"/>
        <v>1256</v>
      </c>
      <c r="AVI1" s="1">
        <f t="shared" si="19"/>
        <v>1257</v>
      </c>
      <c r="AVJ1" s="1">
        <f t="shared" si="19"/>
        <v>1258</v>
      </c>
      <c r="AVK1" s="1">
        <f t="shared" si="19"/>
        <v>1259</v>
      </c>
      <c r="AVL1" s="1">
        <f t="shared" si="19"/>
        <v>1260</v>
      </c>
      <c r="AVM1" s="1">
        <f t="shared" si="19"/>
        <v>1261</v>
      </c>
      <c r="AVN1" s="1">
        <f t="shared" si="19"/>
        <v>1262</v>
      </c>
      <c r="AVO1" s="1">
        <f t="shared" si="19"/>
        <v>1263</v>
      </c>
      <c r="AVP1" s="1">
        <f t="shared" si="19"/>
        <v>1264</v>
      </c>
      <c r="AVQ1" s="1">
        <f t="shared" si="19"/>
        <v>1265</v>
      </c>
      <c r="AVR1" s="1">
        <f t="shared" si="19"/>
        <v>1266</v>
      </c>
      <c r="AVS1" s="1">
        <f t="shared" si="19"/>
        <v>1267</v>
      </c>
      <c r="AVT1" s="1">
        <f t="shared" si="19"/>
        <v>1268</v>
      </c>
      <c r="AVU1" s="1">
        <f t="shared" si="19"/>
        <v>1269</v>
      </c>
      <c r="AVV1" s="1">
        <f t="shared" si="19"/>
        <v>1270</v>
      </c>
      <c r="AVW1" s="1">
        <f t="shared" si="19"/>
        <v>1271</v>
      </c>
      <c r="AVX1" s="1">
        <f t="shared" si="19"/>
        <v>1272</v>
      </c>
      <c r="AVY1" s="1">
        <f t="shared" si="19"/>
        <v>1273</v>
      </c>
      <c r="AVZ1" s="1">
        <f t="shared" si="19"/>
        <v>1274</v>
      </c>
      <c r="AWA1" s="1">
        <f t="shared" si="19"/>
        <v>1275</v>
      </c>
      <c r="AWB1" s="1">
        <f t="shared" si="19"/>
        <v>1276</v>
      </c>
      <c r="AWC1" s="1">
        <f t="shared" si="19"/>
        <v>1277</v>
      </c>
      <c r="AWD1" s="42">
        <f t="shared" si="19"/>
        <v>1278</v>
      </c>
      <c r="AWE1" s="1">
        <f t="shared" si="19"/>
        <v>1279</v>
      </c>
      <c r="AWF1" s="1">
        <f t="shared" si="19"/>
        <v>1280</v>
      </c>
      <c r="AWG1" s="1">
        <f t="shared" si="19"/>
        <v>1281</v>
      </c>
      <c r="AWH1" s="1">
        <f t="shared" si="19"/>
        <v>1282</v>
      </c>
      <c r="AWI1" s="1">
        <f t="shared" ref="AWI1:AYT1" si="20">AWH1+1</f>
        <v>1283</v>
      </c>
      <c r="AWJ1" s="1">
        <f t="shared" si="20"/>
        <v>1284</v>
      </c>
      <c r="AWK1" s="1">
        <f t="shared" si="20"/>
        <v>1285</v>
      </c>
      <c r="AWL1" s="1">
        <f t="shared" si="20"/>
        <v>1286</v>
      </c>
      <c r="AWM1" s="1">
        <f t="shared" si="20"/>
        <v>1287</v>
      </c>
      <c r="AWN1" s="1">
        <f t="shared" si="20"/>
        <v>1288</v>
      </c>
      <c r="AWO1" s="1">
        <f t="shared" si="20"/>
        <v>1289</v>
      </c>
      <c r="AWP1" s="1">
        <f t="shared" si="20"/>
        <v>1290</v>
      </c>
      <c r="AWQ1" s="1">
        <f t="shared" si="20"/>
        <v>1291</v>
      </c>
      <c r="AWR1" s="1">
        <f t="shared" si="20"/>
        <v>1292</v>
      </c>
      <c r="AWS1" s="1">
        <f t="shared" si="20"/>
        <v>1293</v>
      </c>
      <c r="AWT1" s="1">
        <f t="shared" si="20"/>
        <v>1294</v>
      </c>
      <c r="AWU1" s="1">
        <f t="shared" si="20"/>
        <v>1295</v>
      </c>
      <c r="AWV1" s="1">
        <f t="shared" si="20"/>
        <v>1296</v>
      </c>
      <c r="AWW1" s="1">
        <f t="shared" si="20"/>
        <v>1297</v>
      </c>
      <c r="AWX1" s="1">
        <f t="shared" si="20"/>
        <v>1298</v>
      </c>
      <c r="AWY1" s="1">
        <f t="shared" si="20"/>
        <v>1299</v>
      </c>
      <c r="AWZ1" s="1">
        <f t="shared" si="20"/>
        <v>1300</v>
      </c>
      <c r="AXA1" s="1">
        <f t="shared" si="20"/>
        <v>1301</v>
      </c>
      <c r="AXB1" s="1">
        <f t="shared" si="20"/>
        <v>1302</v>
      </c>
      <c r="AXC1" s="1">
        <f t="shared" si="20"/>
        <v>1303</v>
      </c>
      <c r="AXD1" s="1">
        <f t="shared" si="20"/>
        <v>1304</v>
      </c>
      <c r="AXE1" s="1">
        <f t="shared" si="20"/>
        <v>1305</v>
      </c>
      <c r="AXF1" s="1">
        <f t="shared" si="20"/>
        <v>1306</v>
      </c>
      <c r="AXG1" s="1">
        <f t="shared" si="20"/>
        <v>1307</v>
      </c>
      <c r="AXH1" s="1">
        <f t="shared" si="20"/>
        <v>1308</v>
      </c>
      <c r="AXI1" s="1">
        <f t="shared" si="20"/>
        <v>1309</v>
      </c>
      <c r="AXJ1" s="1">
        <f t="shared" si="20"/>
        <v>1310</v>
      </c>
      <c r="AXK1" s="1">
        <f t="shared" si="20"/>
        <v>1311</v>
      </c>
      <c r="AXL1" s="1">
        <f t="shared" si="20"/>
        <v>1312</v>
      </c>
      <c r="AXM1" s="1">
        <f t="shared" si="20"/>
        <v>1313</v>
      </c>
      <c r="AXN1" s="1">
        <f t="shared" si="20"/>
        <v>1314</v>
      </c>
      <c r="AXO1" s="1">
        <f t="shared" si="20"/>
        <v>1315</v>
      </c>
      <c r="AXP1" s="1">
        <f t="shared" si="20"/>
        <v>1316</v>
      </c>
      <c r="AXQ1" s="1">
        <f t="shared" si="20"/>
        <v>1317</v>
      </c>
      <c r="AXR1" s="1">
        <f t="shared" si="20"/>
        <v>1318</v>
      </c>
      <c r="AXS1" s="1">
        <f t="shared" si="20"/>
        <v>1319</v>
      </c>
      <c r="AXT1" s="1">
        <f t="shared" si="20"/>
        <v>1320</v>
      </c>
      <c r="AXU1" s="1">
        <f t="shared" si="20"/>
        <v>1321</v>
      </c>
      <c r="AXV1" s="42">
        <f t="shared" si="20"/>
        <v>1322</v>
      </c>
      <c r="AXW1" s="1">
        <f t="shared" si="20"/>
        <v>1323</v>
      </c>
      <c r="AXX1" s="1">
        <f t="shared" si="20"/>
        <v>1324</v>
      </c>
      <c r="AXY1" s="1">
        <f t="shared" si="20"/>
        <v>1325</v>
      </c>
      <c r="AXZ1" s="1">
        <f t="shared" si="20"/>
        <v>1326</v>
      </c>
      <c r="AYA1" s="1">
        <f t="shared" si="20"/>
        <v>1327</v>
      </c>
      <c r="AYB1" s="1">
        <f t="shared" si="20"/>
        <v>1328</v>
      </c>
      <c r="AYC1" s="1">
        <f t="shared" si="20"/>
        <v>1329</v>
      </c>
      <c r="AYD1" s="1">
        <f t="shared" si="20"/>
        <v>1330</v>
      </c>
      <c r="AYE1" s="1">
        <f t="shared" si="20"/>
        <v>1331</v>
      </c>
      <c r="AYF1" s="1">
        <f t="shared" si="20"/>
        <v>1332</v>
      </c>
      <c r="AYG1" s="1">
        <f t="shared" si="20"/>
        <v>1333</v>
      </c>
      <c r="AYH1" s="1">
        <f t="shared" si="20"/>
        <v>1334</v>
      </c>
      <c r="AYI1" s="1">
        <f t="shared" si="20"/>
        <v>1335</v>
      </c>
      <c r="AYJ1" s="1">
        <f t="shared" si="20"/>
        <v>1336</v>
      </c>
      <c r="AYK1" s="1">
        <f t="shared" si="20"/>
        <v>1337</v>
      </c>
      <c r="AYL1" s="1">
        <f t="shared" si="20"/>
        <v>1338</v>
      </c>
      <c r="AYM1" s="1">
        <f t="shared" si="20"/>
        <v>1339</v>
      </c>
      <c r="AYN1" s="1">
        <f t="shared" si="20"/>
        <v>1340</v>
      </c>
      <c r="AYO1" s="1">
        <f t="shared" si="20"/>
        <v>1341</v>
      </c>
      <c r="AYP1" s="1">
        <f t="shared" si="20"/>
        <v>1342</v>
      </c>
      <c r="AYQ1" s="1">
        <f t="shared" si="20"/>
        <v>1343</v>
      </c>
      <c r="AYR1" s="1">
        <f t="shared" si="20"/>
        <v>1344</v>
      </c>
      <c r="AYS1" s="1">
        <f t="shared" si="20"/>
        <v>1345</v>
      </c>
      <c r="AYT1" s="1">
        <f t="shared" si="20"/>
        <v>1346</v>
      </c>
      <c r="AYU1" s="1">
        <f t="shared" ref="AYU1:BBF1" si="21">AYT1+1</f>
        <v>1347</v>
      </c>
      <c r="AYV1" s="1">
        <f t="shared" si="21"/>
        <v>1348</v>
      </c>
      <c r="AYW1" s="1">
        <f t="shared" si="21"/>
        <v>1349</v>
      </c>
      <c r="AYX1" s="1">
        <f t="shared" si="21"/>
        <v>1350</v>
      </c>
      <c r="AYY1" s="1">
        <f t="shared" si="21"/>
        <v>1351</v>
      </c>
      <c r="AYZ1" s="1">
        <f t="shared" si="21"/>
        <v>1352</v>
      </c>
      <c r="AZA1" s="1">
        <f t="shared" si="21"/>
        <v>1353</v>
      </c>
      <c r="AZB1" s="1">
        <f t="shared" si="21"/>
        <v>1354</v>
      </c>
      <c r="AZC1" s="1">
        <f t="shared" si="21"/>
        <v>1355</v>
      </c>
      <c r="AZD1" s="1">
        <f t="shared" si="21"/>
        <v>1356</v>
      </c>
      <c r="AZE1" s="1">
        <f t="shared" si="21"/>
        <v>1357</v>
      </c>
      <c r="AZF1" s="1">
        <f t="shared" si="21"/>
        <v>1358</v>
      </c>
      <c r="AZG1" s="1">
        <f t="shared" si="21"/>
        <v>1359</v>
      </c>
      <c r="AZH1" s="1">
        <f t="shared" si="21"/>
        <v>1360</v>
      </c>
      <c r="AZI1" s="1">
        <f t="shared" si="21"/>
        <v>1361</v>
      </c>
      <c r="AZJ1" s="1">
        <f t="shared" si="21"/>
        <v>1362</v>
      </c>
      <c r="AZK1" s="1">
        <f t="shared" si="21"/>
        <v>1363</v>
      </c>
      <c r="AZL1" s="1">
        <f t="shared" si="21"/>
        <v>1364</v>
      </c>
      <c r="AZM1" s="1">
        <f t="shared" si="21"/>
        <v>1365</v>
      </c>
      <c r="AZN1" s="42">
        <f t="shared" si="21"/>
        <v>1366</v>
      </c>
      <c r="AZO1" s="1">
        <f t="shared" si="21"/>
        <v>1367</v>
      </c>
      <c r="AZP1" s="1">
        <f t="shared" si="21"/>
        <v>1368</v>
      </c>
      <c r="AZQ1" s="1">
        <f t="shared" si="21"/>
        <v>1369</v>
      </c>
      <c r="AZR1" s="1">
        <f t="shared" si="21"/>
        <v>1370</v>
      </c>
      <c r="AZS1" s="1">
        <f t="shared" si="21"/>
        <v>1371</v>
      </c>
      <c r="AZT1" s="1">
        <f t="shared" si="21"/>
        <v>1372</v>
      </c>
      <c r="AZU1" s="1">
        <f t="shared" si="21"/>
        <v>1373</v>
      </c>
      <c r="AZV1" s="1">
        <f t="shared" si="21"/>
        <v>1374</v>
      </c>
      <c r="AZW1" s="1">
        <f t="shared" si="21"/>
        <v>1375</v>
      </c>
      <c r="AZX1" s="1">
        <f t="shared" si="21"/>
        <v>1376</v>
      </c>
      <c r="AZY1" s="1">
        <f t="shared" si="21"/>
        <v>1377</v>
      </c>
      <c r="AZZ1" s="1">
        <f t="shared" si="21"/>
        <v>1378</v>
      </c>
      <c r="BAA1" s="1">
        <f t="shared" si="21"/>
        <v>1379</v>
      </c>
      <c r="BAB1" s="1">
        <f t="shared" si="21"/>
        <v>1380</v>
      </c>
      <c r="BAC1" s="1">
        <f t="shared" si="21"/>
        <v>1381</v>
      </c>
      <c r="BAD1" s="1">
        <f t="shared" si="21"/>
        <v>1382</v>
      </c>
      <c r="BAE1" s="1">
        <f t="shared" si="21"/>
        <v>1383</v>
      </c>
      <c r="BAF1" s="1">
        <f t="shared" si="21"/>
        <v>1384</v>
      </c>
      <c r="BAG1" s="1">
        <f t="shared" si="21"/>
        <v>1385</v>
      </c>
      <c r="BAH1" s="1">
        <f t="shared" si="21"/>
        <v>1386</v>
      </c>
      <c r="BAI1" s="1">
        <f t="shared" si="21"/>
        <v>1387</v>
      </c>
      <c r="BAJ1" s="1">
        <f t="shared" si="21"/>
        <v>1388</v>
      </c>
      <c r="BAK1" s="1">
        <f t="shared" si="21"/>
        <v>1389</v>
      </c>
      <c r="BAL1" s="1">
        <f t="shared" si="21"/>
        <v>1390</v>
      </c>
      <c r="BAM1" s="1">
        <f t="shared" si="21"/>
        <v>1391</v>
      </c>
      <c r="BAN1" s="1">
        <f t="shared" si="21"/>
        <v>1392</v>
      </c>
      <c r="BAO1" s="1">
        <f t="shared" si="21"/>
        <v>1393</v>
      </c>
      <c r="BAP1" s="1">
        <f t="shared" si="21"/>
        <v>1394</v>
      </c>
      <c r="BAQ1" s="1">
        <f t="shared" si="21"/>
        <v>1395</v>
      </c>
      <c r="BAR1" s="1">
        <f t="shared" si="21"/>
        <v>1396</v>
      </c>
      <c r="BAS1" s="1">
        <f t="shared" si="21"/>
        <v>1397</v>
      </c>
      <c r="BAT1" s="1">
        <f t="shared" si="21"/>
        <v>1398</v>
      </c>
      <c r="BAU1" s="1">
        <f t="shared" si="21"/>
        <v>1399</v>
      </c>
      <c r="BAV1" s="1">
        <f t="shared" si="21"/>
        <v>1400</v>
      </c>
      <c r="BAW1" s="1">
        <f t="shared" si="21"/>
        <v>1401</v>
      </c>
      <c r="BAX1" s="1">
        <f t="shared" si="21"/>
        <v>1402</v>
      </c>
      <c r="BAY1" s="1">
        <f t="shared" si="21"/>
        <v>1403</v>
      </c>
      <c r="BAZ1" s="1">
        <f t="shared" si="21"/>
        <v>1404</v>
      </c>
      <c r="BBA1" s="1">
        <f t="shared" si="21"/>
        <v>1405</v>
      </c>
      <c r="BBB1" s="1">
        <f t="shared" si="21"/>
        <v>1406</v>
      </c>
      <c r="BBC1" s="1">
        <f t="shared" si="21"/>
        <v>1407</v>
      </c>
      <c r="BBD1" s="1">
        <f t="shared" si="21"/>
        <v>1408</v>
      </c>
      <c r="BBE1" s="1">
        <f t="shared" si="21"/>
        <v>1409</v>
      </c>
      <c r="BBF1" s="42">
        <f t="shared" si="21"/>
        <v>1410</v>
      </c>
      <c r="BBG1" s="1">
        <f t="shared" ref="BBG1:BDR1" si="22">BBF1+1</f>
        <v>1411</v>
      </c>
      <c r="BBH1" s="1">
        <f t="shared" si="22"/>
        <v>1412</v>
      </c>
      <c r="BBI1" s="1">
        <f t="shared" si="22"/>
        <v>1413</v>
      </c>
      <c r="BBJ1" s="1">
        <f t="shared" si="22"/>
        <v>1414</v>
      </c>
      <c r="BBK1" s="1">
        <f t="shared" si="22"/>
        <v>1415</v>
      </c>
      <c r="BBL1" s="1">
        <f t="shared" si="22"/>
        <v>1416</v>
      </c>
      <c r="BBM1" s="1">
        <f t="shared" si="22"/>
        <v>1417</v>
      </c>
      <c r="BBN1" s="1">
        <f t="shared" si="22"/>
        <v>1418</v>
      </c>
      <c r="BBO1" s="1">
        <f t="shared" si="22"/>
        <v>1419</v>
      </c>
      <c r="BBP1" s="1">
        <f t="shared" si="22"/>
        <v>1420</v>
      </c>
      <c r="BBQ1" s="1">
        <f t="shared" si="22"/>
        <v>1421</v>
      </c>
      <c r="BBR1" s="1">
        <f t="shared" si="22"/>
        <v>1422</v>
      </c>
      <c r="BBS1" s="1">
        <f t="shared" si="22"/>
        <v>1423</v>
      </c>
      <c r="BBT1" s="1">
        <f t="shared" si="22"/>
        <v>1424</v>
      </c>
      <c r="BBU1" s="1">
        <f t="shared" si="22"/>
        <v>1425</v>
      </c>
      <c r="BBV1" s="1">
        <f t="shared" si="22"/>
        <v>1426</v>
      </c>
      <c r="BBW1" s="1">
        <f t="shared" si="22"/>
        <v>1427</v>
      </c>
      <c r="BBX1" s="1">
        <f t="shared" si="22"/>
        <v>1428</v>
      </c>
      <c r="BBY1" s="1">
        <f t="shared" si="22"/>
        <v>1429</v>
      </c>
      <c r="BBZ1" s="1">
        <f t="shared" si="22"/>
        <v>1430</v>
      </c>
      <c r="BCA1" s="1">
        <f t="shared" si="22"/>
        <v>1431</v>
      </c>
      <c r="BCB1" s="1">
        <f t="shared" si="22"/>
        <v>1432</v>
      </c>
      <c r="BCC1" s="1">
        <f t="shared" si="22"/>
        <v>1433</v>
      </c>
      <c r="BCD1" s="1">
        <f t="shared" si="22"/>
        <v>1434</v>
      </c>
      <c r="BCE1" s="1">
        <f t="shared" si="22"/>
        <v>1435</v>
      </c>
      <c r="BCF1" s="1">
        <f t="shared" si="22"/>
        <v>1436</v>
      </c>
      <c r="BCG1" s="1">
        <f t="shared" si="22"/>
        <v>1437</v>
      </c>
      <c r="BCH1" s="1">
        <f t="shared" si="22"/>
        <v>1438</v>
      </c>
      <c r="BCI1" s="1">
        <f t="shared" si="22"/>
        <v>1439</v>
      </c>
      <c r="BCJ1" s="1">
        <f t="shared" si="22"/>
        <v>1440</v>
      </c>
      <c r="BCK1" s="1">
        <f t="shared" si="22"/>
        <v>1441</v>
      </c>
      <c r="BCL1" s="1">
        <f t="shared" si="22"/>
        <v>1442</v>
      </c>
      <c r="BCM1" s="1">
        <f t="shared" si="22"/>
        <v>1443</v>
      </c>
      <c r="BCN1" s="1">
        <f t="shared" si="22"/>
        <v>1444</v>
      </c>
      <c r="BCO1" s="1">
        <f t="shared" si="22"/>
        <v>1445</v>
      </c>
      <c r="BCP1" s="1">
        <f t="shared" si="22"/>
        <v>1446</v>
      </c>
      <c r="BCQ1" s="1">
        <f t="shared" si="22"/>
        <v>1447</v>
      </c>
      <c r="BCR1" s="1">
        <f t="shared" si="22"/>
        <v>1448</v>
      </c>
      <c r="BCS1" s="1">
        <f t="shared" si="22"/>
        <v>1449</v>
      </c>
      <c r="BCT1" s="1">
        <f t="shared" si="22"/>
        <v>1450</v>
      </c>
      <c r="BCU1" s="1">
        <f t="shared" si="22"/>
        <v>1451</v>
      </c>
      <c r="BCV1" s="1">
        <f t="shared" si="22"/>
        <v>1452</v>
      </c>
      <c r="BCW1" s="1">
        <f t="shared" si="22"/>
        <v>1453</v>
      </c>
      <c r="BCX1" s="42">
        <f t="shared" si="22"/>
        <v>1454</v>
      </c>
      <c r="BCY1" s="1">
        <f t="shared" si="22"/>
        <v>1455</v>
      </c>
      <c r="BCZ1" s="1">
        <f t="shared" si="22"/>
        <v>1456</v>
      </c>
      <c r="BDA1" s="1">
        <f t="shared" si="22"/>
        <v>1457</v>
      </c>
      <c r="BDB1" s="1">
        <f t="shared" si="22"/>
        <v>1458</v>
      </c>
      <c r="BDC1" s="1">
        <f t="shared" si="22"/>
        <v>1459</v>
      </c>
      <c r="BDD1" s="1">
        <f t="shared" si="22"/>
        <v>1460</v>
      </c>
      <c r="BDE1" s="1">
        <f t="shared" si="22"/>
        <v>1461</v>
      </c>
      <c r="BDF1" s="1">
        <f t="shared" si="22"/>
        <v>1462</v>
      </c>
      <c r="BDG1" s="1">
        <f t="shared" si="22"/>
        <v>1463</v>
      </c>
      <c r="BDH1" s="1">
        <f t="shared" si="22"/>
        <v>1464</v>
      </c>
      <c r="BDI1" s="1">
        <f t="shared" si="22"/>
        <v>1465</v>
      </c>
      <c r="BDJ1" s="1">
        <f t="shared" si="22"/>
        <v>1466</v>
      </c>
      <c r="BDK1" s="1">
        <f t="shared" si="22"/>
        <v>1467</v>
      </c>
      <c r="BDL1" s="1">
        <f t="shared" si="22"/>
        <v>1468</v>
      </c>
      <c r="BDM1" s="1">
        <f t="shared" si="22"/>
        <v>1469</v>
      </c>
      <c r="BDN1" s="1">
        <f t="shared" si="22"/>
        <v>1470</v>
      </c>
      <c r="BDO1" s="1">
        <f t="shared" si="22"/>
        <v>1471</v>
      </c>
      <c r="BDP1" s="1">
        <f t="shared" si="22"/>
        <v>1472</v>
      </c>
      <c r="BDQ1" s="1">
        <f t="shared" si="22"/>
        <v>1473</v>
      </c>
      <c r="BDR1" s="1">
        <f t="shared" si="22"/>
        <v>1474</v>
      </c>
      <c r="BDS1" s="1">
        <f t="shared" ref="BDS1:BGD1" si="23">BDR1+1</f>
        <v>1475</v>
      </c>
      <c r="BDT1" s="1">
        <f t="shared" si="23"/>
        <v>1476</v>
      </c>
      <c r="BDU1" s="1">
        <f t="shared" si="23"/>
        <v>1477</v>
      </c>
      <c r="BDV1" s="1">
        <f t="shared" si="23"/>
        <v>1478</v>
      </c>
      <c r="BDW1" s="1">
        <f t="shared" si="23"/>
        <v>1479</v>
      </c>
      <c r="BDX1" s="1">
        <f t="shared" si="23"/>
        <v>1480</v>
      </c>
      <c r="BDY1" s="1">
        <f t="shared" si="23"/>
        <v>1481</v>
      </c>
      <c r="BDZ1" s="1">
        <f t="shared" si="23"/>
        <v>1482</v>
      </c>
      <c r="BEA1" s="1">
        <f t="shared" si="23"/>
        <v>1483</v>
      </c>
      <c r="BEB1" s="1">
        <f t="shared" si="23"/>
        <v>1484</v>
      </c>
      <c r="BEC1" s="1">
        <f t="shared" si="23"/>
        <v>1485</v>
      </c>
      <c r="BED1" s="1">
        <f t="shared" si="23"/>
        <v>1486</v>
      </c>
      <c r="BEE1" s="1">
        <f t="shared" si="23"/>
        <v>1487</v>
      </c>
      <c r="BEF1" s="1">
        <f t="shared" si="23"/>
        <v>1488</v>
      </c>
      <c r="BEG1" s="1">
        <f t="shared" si="23"/>
        <v>1489</v>
      </c>
      <c r="BEH1" s="1">
        <f t="shared" si="23"/>
        <v>1490</v>
      </c>
      <c r="BEI1" s="1">
        <f t="shared" si="23"/>
        <v>1491</v>
      </c>
      <c r="BEJ1" s="1">
        <f t="shared" si="23"/>
        <v>1492</v>
      </c>
      <c r="BEK1" s="1">
        <f t="shared" si="23"/>
        <v>1493</v>
      </c>
      <c r="BEL1" s="1">
        <f t="shared" si="23"/>
        <v>1494</v>
      </c>
      <c r="BEM1" s="1">
        <f t="shared" si="23"/>
        <v>1495</v>
      </c>
      <c r="BEN1" s="1">
        <f t="shared" si="23"/>
        <v>1496</v>
      </c>
      <c r="BEO1" s="1">
        <f t="shared" si="23"/>
        <v>1497</v>
      </c>
      <c r="BEP1" s="42">
        <f t="shared" si="23"/>
        <v>1498</v>
      </c>
      <c r="BEQ1" s="1">
        <f t="shared" si="23"/>
        <v>1499</v>
      </c>
      <c r="BER1" s="1">
        <f t="shared" si="23"/>
        <v>1500</v>
      </c>
      <c r="BES1" s="1">
        <f t="shared" si="23"/>
        <v>1501</v>
      </c>
      <c r="BET1" s="1">
        <f t="shared" si="23"/>
        <v>1502</v>
      </c>
      <c r="BEU1" s="1">
        <f t="shared" si="23"/>
        <v>1503</v>
      </c>
      <c r="BEV1" s="1">
        <f t="shared" si="23"/>
        <v>1504</v>
      </c>
      <c r="BEW1" s="1">
        <f t="shared" si="23"/>
        <v>1505</v>
      </c>
      <c r="BEX1" s="1">
        <f t="shared" si="23"/>
        <v>1506</v>
      </c>
      <c r="BEY1" s="1">
        <f t="shared" si="23"/>
        <v>1507</v>
      </c>
      <c r="BEZ1" s="1">
        <f t="shared" si="23"/>
        <v>1508</v>
      </c>
      <c r="BFA1" s="1">
        <f t="shared" si="23"/>
        <v>1509</v>
      </c>
      <c r="BFB1" s="1">
        <f t="shared" si="23"/>
        <v>1510</v>
      </c>
      <c r="BFC1" s="1">
        <f t="shared" si="23"/>
        <v>1511</v>
      </c>
      <c r="BFD1" s="1">
        <f t="shared" si="23"/>
        <v>1512</v>
      </c>
      <c r="BFE1" s="1">
        <f t="shared" si="23"/>
        <v>1513</v>
      </c>
      <c r="BFF1" s="1">
        <f t="shared" si="23"/>
        <v>1514</v>
      </c>
      <c r="BFG1" s="1">
        <f t="shared" si="23"/>
        <v>1515</v>
      </c>
      <c r="BFH1" s="1">
        <f t="shared" si="23"/>
        <v>1516</v>
      </c>
      <c r="BFI1" s="1">
        <f t="shared" si="23"/>
        <v>1517</v>
      </c>
      <c r="BFJ1" s="1">
        <f t="shared" si="23"/>
        <v>1518</v>
      </c>
      <c r="BFK1" s="1">
        <f t="shared" si="23"/>
        <v>1519</v>
      </c>
      <c r="BFL1" s="1">
        <f t="shared" si="23"/>
        <v>1520</v>
      </c>
      <c r="BFM1" s="1">
        <f t="shared" si="23"/>
        <v>1521</v>
      </c>
      <c r="BFN1" s="1">
        <f t="shared" si="23"/>
        <v>1522</v>
      </c>
      <c r="BFO1" s="1">
        <f t="shared" si="23"/>
        <v>1523</v>
      </c>
      <c r="BFP1" s="1">
        <f t="shared" si="23"/>
        <v>1524</v>
      </c>
      <c r="BFQ1" s="1">
        <f t="shared" si="23"/>
        <v>1525</v>
      </c>
      <c r="BFR1" s="1">
        <f t="shared" si="23"/>
        <v>1526</v>
      </c>
      <c r="BFS1" s="1">
        <f t="shared" si="23"/>
        <v>1527</v>
      </c>
      <c r="BFT1" s="1">
        <f t="shared" si="23"/>
        <v>1528</v>
      </c>
      <c r="BFU1" s="1">
        <f t="shared" si="23"/>
        <v>1529</v>
      </c>
      <c r="BFV1" s="1">
        <f t="shared" si="23"/>
        <v>1530</v>
      </c>
      <c r="BFW1" s="1">
        <f t="shared" si="23"/>
        <v>1531</v>
      </c>
      <c r="BFX1" s="1">
        <f t="shared" si="23"/>
        <v>1532</v>
      </c>
      <c r="BFY1" s="1">
        <f t="shared" si="23"/>
        <v>1533</v>
      </c>
      <c r="BFZ1" s="1">
        <f t="shared" si="23"/>
        <v>1534</v>
      </c>
      <c r="BGA1" s="1">
        <f t="shared" si="23"/>
        <v>1535</v>
      </c>
      <c r="BGB1" s="1">
        <f t="shared" si="23"/>
        <v>1536</v>
      </c>
      <c r="BGC1" s="1">
        <f t="shared" si="23"/>
        <v>1537</v>
      </c>
      <c r="BGD1" s="1">
        <f t="shared" si="23"/>
        <v>1538</v>
      </c>
      <c r="BGE1" s="1">
        <f t="shared" ref="BGE1:BIP1" si="24">BGD1+1</f>
        <v>1539</v>
      </c>
      <c r="BGF1" s="1">
        <f t="shared" si="24"/>
        <v>1540</v>
      </c>
      <c r="BGG1" s="1">
        <f t="shared" si="24"/>
        <v>1541</v>
      </c>
      <c r="BGH1" s="42">
        <f t="shared" si="24"/>
        <v>1542</v>
      </c>
      <c r="BGI1" s="1">
        <f t="shared" si="24"/>
        <v>1543</v>
      </c>
      <c r="BGJ1" s="1">
        <f t="shared" si="24"/>
        <v>1544</v>
      </c>
      <c r="BGK1" s="1">
        <f t="shared" si="24"/>
        <v>1545</v>
      </c>
      <c r="BGL1" s="1">
        <f t="shared" si="24"/>
        <v>1546</v>
      </c>
      <c r="BGM1" s="1">
        <f t="shared" si="24"/>
        <v>1547</v>
      </c>
      <c r="BGN1" s="1">
        <f t="shared" si="24"/>
        <v>1548</v>
      </c>
      <c r="BGO1" s="1">
        <f t="shared" si="24"/>
        <v>1549</v>
      </c>
      <c r="BGP1" s="1">
        <f t="shared" si="24"/>
        <v>1550</v>
      </c>
      <c r="BGQ1" s="1">
        <f t="shared" si="24"/>
        <v>1551</v>
      </c>
      <c r="BGR1" s="1">
        <f t="shared" si="24"/>
        <v>1552</v>
      </c>
      <c r="BGS1" s="1">
        <f t="shared" si="24"/>
        <v>1553</v>
      </c>
      <c r="BGT1" s="1">
        <f t="shared" si="24"/>
        <v>1554</v>
      </c>
      <c r="BGU1" s="1">
        <f t="shared" si="24"/>
        <v>1555</v>
      </c>
      <c r="BGV1" s="1">
        <f t="shared" si="24"/>
        <v>1556</v>
      </c>
      <c r="BGW1" s="1">
        <f t="shared" si="24"/>
        <v>1557</v>
      </c>
      <c r="BGX1" s="1">
        <f t="shared" si="24"/>
        <v>1558</v>
      </c>
      <c r="BGY1" s="1">
        <f t="shared" si="24"/>
        <v>1559</v>
      </c>
      <c r="BGZ1" s="1">
        <f t="shared" si="24"/>
        <v>1560</v>
      </c>
      <c r="BHA1" s="1">
        <f t="shared" si="24"/>
        <v>1561</v>
      </c>
      <c r="BHB1" s="1">
        <f t="shared" si="24"/>
        <v>1562</v>
      </c>
      <c r="BHC1" s="1">
        <f t="shared" si="24"/>
        <v>1563</v>
      </c>
      <c r="BHD1" s="1">
        <f t="shared" si="24"/>
        <v>1564</v>
      </c>
      <c r="BHE1" s="1">
        <f t="shared" si="24"/>
        <v>1565</v>
      </c>
      <c r="BHF1" s="1">
        <f t="shared" si="24"/>
        <v>1566</v>
      </c>
      <c r="BHG1" s="1">
        <f t="shared" si="24"/>
        <v>1567</v>
      </c>
      <c r="BHH1" s="1">
        <f t="shared" si="24"/>
        <v>1568</v>
      </c>
      <c r="BHI1" s="1">
        <f t="shared" si="24"/>
        <v>1569</v>
      </c>
      <c r="BHJ1" s="1">
        <f t="shared" si="24"/>
        <v>1570</v>
      </c>
      <c r="BHK1" s="1">
        <f t="shared" si="24"/>
        <v>1571</v>
      </c>
      <c r="BHL1" s="1">
        <f t="shared" si="24"/>
        <v>1572</v>
      </c>
      <c r="BHM1" s="1">
        <f t="shared" si="24"/>
        <v>1573</v>
      </c>
      <c r="BHN1" s="1">
        <f t="shared" si="24"/>
        <v>1574</v>
      </c>
      <c r="BHO1" s="1">
        <f t="shared" si="24"/>
        <v>1575</v>
      </c>
      <c r="BHP1" s="1">
        <f t="shared" si="24"/>
        <v>1576</v>
      </c>
      <c r="BHQ1" s="1">
        <f t="shared" si="24"/>
        <v>1577</v>
      </c>
      <c r="BHR1" s="1">
        <f t="shared" si="24"/>
        <v>1578</v>
      </c>
      <c r="BHS1" s="1">
        <f t="shared" si="24"/>
        <v>1579</v>
      </c>
      <c r="BHT1" s="1">
        <f t="shared" si="24"/>
        <v>1580</v>
      </c>
      <c r="BHU1" s="1">
        <f t="shared" si="24"/>
        <v>1581</v>
      </c>
      <c r="BHV1" s="1">
        <f t="shared" si="24"/>
        <v>1582</v>
      </c>
      <c r="BHW1" s="1">
        <f t="shared" si="24"/>
        <v>1583</v>
      </c>
      <c r="BHX1" s="1">
        <f t="shared" si="24"/>
        <v>1584</v>
      </c>
      <c r="BHY1" s="1">
        <f t="shared" si="24"/>
        <v>1585</v>
      </c>
      <c r="BHZ1" s="42">
        <f t="shared" si="24"/>
        <v>1586</v>
      </c>
      <c r="BIA1" s="1">
        <f t="shared" si="24"/>
        <v>1587</v>
      </c>
      <c r="BIB1" s="1">
        <f t="shared" si="24"/>
        <v>1588</v>
      </c>
      <c r="BIC1" s="1">
        <f t="shared" si="24"/>
        <v>1589</v>
      </c>
      <c r="BID1" s="1">
        <f t="shared" si="24"/>
        <v>1590</v>
      </c>
      <c r="BIE1" s="1">
        <f t="shared" si="24"/>
        <v>1591</v>
      </c>
      <c r="BIF1" s="1">
        <f t="shared" si="24"/>
        <v>1592</v>
      </c>
      <c r="BIG1" s="1">
        <f t="shared" si="24"/>
        <v>1593</v>
      </c>
      <c r="BIH1" s="1">
        <f t="shared" si="24"/>
        <v>1594</v>
      </c>
      <c r="BII1" s="1">
        <f t="shared" si="24"/>
        <v>1595</v>
      </c>
      <c r="BIJ1" s="1">
        <f t="shared" si="24"/>
        <v>1596</v>
      </c>
      <c r="BIK1" s="1">
        <f t="shared" si="24"/>
        <v>1597</v>
      </c>
      <c r="BIL1" s="1">
        <f t="shared" si="24"/>
        <v>1598</v>
      </c>
      <c r="BIM1" s="1">
        <f t="shared" si="24"/>
        <v>1599</v>
      </c>
      <c r="BIN1" s="1">
        <f t="shared" si="24"/>
        <v>1600</v>
      </c>
      <c r="BIO1" s="1">
        <f t="shared" si="24"/>
        <v>1601</v>
      </c>
      <c r="BIP1" s="1">
        <f t="shared" si="24"/>
        <v>1602</v>
      </c>
      <c r="BIQ1" s="1">
        <f t="shared" ref="BIQ1:BLB1" si="25">BIP1+1</f>
        <v>1603</v>
      </c>
      <c r="BIR1" s="1">
        <f t="shared" si="25"/>
        <v>1604</v>
      </c>
      <c r="BIS1" s="1">
        <f t="shared" si="25"/>
        <v>1605</v>
      </c>
      <c r="BIT1" s="1">
        <f t="shared" si="25"/>
        <v>1606</v>
      </c>
      <c r="BIU1" s="1">
        <f t="shared" si="25"/>
        <v>1607</v>
      </c>
      <c r="BIV1" s="1">
        <f t="shared" si="25"/>
        <v>1608</v>
      </c>
      <c r="BIW1" s="1">
        <f t="shared" si="25"/>
        <v>1609</v>
      </c>
      <c r="BIX1" s="1">
        <f t="shared" si="25"/>
        <v>1610</v>
      </c>
      <c r="BIY1" s="1">
        <f t="shared" si="25"/>
        <v>1611</v>
      </c>
      <c r="BIZ1" s="1">
        <f t="shared" si="25"/>
        <v>1612</v>
      </c>
      <c r="BJA1" s="1">
        <f t="shared" si="25"/>
        <v>1613</v>
      </c>
      <c r="BJB1" s="1">
        <f t="shared" si="25"/>
        <v>1614</v>
      </c>
      <c r="BJC1" s="1">
        <f t="shared" si="25"/>
        <v>1615</v>
      </c>
      <c r="BJD1" s="1">
        <f t="shared" si="25"/>
        <v>1616</v>
      </c>
      <c r="BJE1" s="1">
        <f t="shared" si="25"/>
        <v>1617</v>
      </c>
      <c r="BJF1" s="1">
        <f t="shared" si="25"/>
        <v>1618</v>
      </c>
      <c r="BJG1" s="1">
        <f t="shared" si="25"/>
        <v>1619</v>
      </c>
      <c r="BJH1" s="1">
        <f t="shared" si="25"/>
        <v>1620</v>
      </c>
      <c r="BJI1" s="1">
        <f t="shared" si="25"/>
        <v>1621</v>
      </c>
      <c r="BJJ1" s="1">
        <f t="shared" si="25"/>
        <v>1622</v>
      </c>
      <c r="BJK1" s="1">
        <f t="shared" si="25"/>
        <v>1623</v>
      </c>
      <c r="BJL1" s="1">
        <f t="shared" si="25"/>
        <v>1624</v>
      </c>
      <c r="BJM1" s="1">
        <f t="shared" si="25"/>
        <v>1625</v>
      </c>
      <c r="BJN1" s="1">
        <f t="shared" si="25"/>
        <v>1626</v>
      </c>
      <c r="BJO1" s="1">
        <f t="shared" si="25"/>
        <v>1627</v>
      </c>
      <c r="BJP1" s="1">
        <f t="shared" si="25"/>
        <v>1628</v>
      </c>
      <c r="BJQ1" s="1">
        <f t="shared" si="25"/>
        <v>1629</v>
      </c>
      <c r="BJR1" s="42">
        <f t="shared" si="25"/>
        <v>1630</v>
      </c>
      <c r="BJS1" s="1">
        <f t="shared" si="25"/>
        <v>1631</v>
      </c>
      <c r="BJT1" s="1">
        <f t="shared" si="25"/>
        <v>1632</v>
      </c>
      <c r="BJU1" s="1">
        <f t="shared" si="25"/>
        <v>1633</v>
      </c>
      <c r="BJV1" s="1">
        <f t="shared" si="25"/>
        <v>1634</v>
      </c>
      <c r="BJW1" s="1">
        <f t="shared" si="25"/>
        <v>1635</v>
      </c>
      <c r="BJX1" s="1">
        <f t="shared" si="25"/>
        <v>1636</v>
      </c>
      <c r="BJY1" s="1">
        <f t="shared" si="25"/>
        <v>1637</v>
      </c>
      <c r="BJZ1" s="1">
        <f t="shared" si="25"/>
        <v>1638</v>
      </c>
      <c r="BKA1" s="1">
        <f t="shared" si="25"/>
        <v>1639</v>
      </c>
      <c r="BKB1" s="1">
        <f t="shared" si="25"/>
        <v>1640</v>
      </c>
      <c r="BKC1" s="1">
        <f t="shared" si="25"/>
        <v>1641</v>
      </c>
      <c r="BKD1" s="1">
        <f t="shared" si="25"/>
        <v>1642</v>
      </c>
      <c r="BKE1" s="1">
        <f t="shared" si="25"/>
        <v>1643</v>
      </c>
      <c r="BKF1" s="1">
        <f t="shared" si="25"/>
        <v>1644</v>
      </c>
      <c r="BKG1" s="1">
        <f t="shared" si="25"/>
        <v>1645</v>
      </c>
      <c r="BKH1" s="1">
        <f t="shared" si="25"/>
        <v>1646</v>
      </c>
      <c r="BKI1" s="1">
        <f t="shared" si="25"/>
        <v>1647</v>
      </c>
      <c r="BKJ1" s="1">
        <f t="shared" si="25"/>
        <v>1648</v>
      </c>
      <c r="BKK1" s="1">
        <f t="shared" si="25"/>
        <v>1649</v>
      </c>
      <c r="BKL1" s="1">
        <f t="shared" si="25"/>
        <v>1650</v>
      </c>
      <c r="BKM1" s="1">
        <f t="shared" si="25"/>
        <v>1651</v>
      </c>
      <c r="BKN1" s="1">
        <f t="shared" si="25"/>
        <v>1652</v>
      </c>
      <c r="BKO1" s="1">
        <f t="shared" si="25"/>
        <v>1653</v>
      </c>
      <c r="BKP1" s="1">
        <f t="shared" si="25"/>
        <v>1654</v>
      </c>
      <c r="BKQ1" s="1">
        <f t="shared" si="25"/>
        <v>1655</v>
      </c>
      <c r="BKR1" s="1">
        <f t="shared" si="25"/>
        <v>1656</v>
      </c>
      <c r="BKS1" s="1">
        <f t="shared" si="25"/>
        <v>1657</v>
      </c>
      <c r="BKT1" s="1">
        <f t="shared" si="25"/>
        <v>1658</v>
      </c>
      <c r="BKU1" s="1">
        <f t="shared" si="25"/>
        <v>1659</v>
      </c>
      <c r="BKV1" s="1">
        <f t="shared" si="25"/>
        <v>1660</v>
      </c>
      <c r="BKW1" s="1">
        <f t="shared" si="25"/>
        <v>1661</v>
      </c>
      <c r="BKX1" s="1">
        <f t="shared" si="25"/>
        <v>1662</v>
      </c>
      <c r="BKY1" s="1">
        <f t="shared" si="25"/>
        <v>1663</v>
      </c>
      <c r="BKZ1" s="1">
        <f t="shared" si="25"/>
        <v>1664</v>
      </c>
      <c r="BLA1" s="1">
        <f t="shared" si="25"/>
        <v>1665</v>
      </c>
      <c r="BLB1" s="1">
        <f t="shared" si="25"/>
        <v>1666</v>
      </c>
      <c r="BLC1" s="1">
        <f t="shared" ref="BLC1:BNN1" si="26">BLB1+1</f>
        <v>1667</v>
      </c>
      <c r="BLD1" s="1">
        <f t="shared" si="26"/>
        <v>1668</v>
      </c>
      <c r="BLE1" s="1">
        <f t="shared" si="26"/>
        <v>1669</v>
      </c>
      <c r="BLF1" s="1">
        <f t="shared" si="26"/>
        <v>1670</v>
      </c>
      <c r="BLG1" s="1">
        <f t="shared" si="26"/>
        <v>1671</v>
      </c>
      <c r="BLH1" s="1">
        <f t="shared" si="26"/>
        <v>1672</v>
      </c>
      <c r="BLI1" s="1">
        <f t="shared" si="26"/>
        <v>1673</v>
      </c>
      <c r="BLJ1" s="42">
        <f t="shared" si="26"/>
        <v>1674</v>
      </c>
      <c r="BLK1" s="1">
        <f t="shared" si="26"/>
        <v>1675</v>
      </c>
      <c r="BLL1" s="1">
        <f t="shared" si="26"/>
        <v>1676</v>
      </c>
      <c r="BLM1" s="1">
        <f t="shared" si="26"/>
        <v>1677</v>
      </c>
      <c r="BLN1" s="1">
        <f t="shared" si="26"/>
        <v>1678</v>
      </c>
      <c r="BLO1" s="1">
        <f t="shared" si="26"/>
        <v>1679</v>
      </c>
      <c r="BLP1" s="1">
        <f t="shared" si="26"/>
        <v>1680</v>
      </c>
      <c r="BLQ1" s="1">
        <f t="shared" si="26"/>
        <v>1681</v>
      </c>
      <c r="BLR1" s="1">
        <f t="shared" si="26"/>
        <v>1682</v>
      </c>
      <c r="BLS1" s="1">
        <f t="shared" si="26"/>
        <v>1683</v>
      </c>
      <c r="BLT1" s="1">
        <f t="shared" si="26"/>
        <v>1684</v>
      </c>
      <c r="BLU1" s="1">
        <f t="shared" si="26"/>
        <v>1685</v>
      </c>
      <c r="BLV1" s="1">
        <f t="shared" si="26"/>
        <v>1686</v>
      </c>
      <c r="BLW1" s="1">
        <f t="shared" si="26"/>
        <v>1687</v>
      </c>
      <c r="BLX1" s="1">
        <f t="shared" si="26"/>
        <v>1688</v>
      </c>
      <c r="BLY1" s="1">
        <f t="shared" si="26"/>
        <v>1689</v>
      </c>
      <c r="BLZ1" s="1">
        <f t="shared" si="26"/>
        <v>1690</v>
      </c>
      <c r="BMA1" s="1">
        <f t="shared" si="26"/>
        <v>1691</v>
      </c>
      <c r="BMB1" s="1">
        <f t="shared" si="26"/>
        <v>1692</v>
      </c>
      <c r="BMC1" s="1">
        <f t="shared" si="26"/>
        <v>1693</v>
      </c>
      <c r="BMD1" s="1">
        <f t="shared" si="26"/>
        <v>1694</v>
      </c>
      <c r="BME1" s="1">
        <f t="shared" si="26"/>
        <v>1695</v>
      </c>
      <c r="BMF1" s="1">
        <f t="shared" si="26"/>
        <v>1696</v>
      </c>
      <c r="BMG1" s="1">
        <f t="shared" si="26"/>
        <v>1697</v>
      </c>
      <c r="BMH1" s="1">
        <f t="shared" si="26"/>
        <v>1698</v>
      </c>
      <c r="BMI1" s="1">
        <f t="shared" si="26"/>
        <v>1699</v>
      </c>
      <c r="BMJ1" s="1">
        <f t="shared" si="26"/>
        <v>1700</v>
      </c>
      <c r="BMK1" s="1">
        <f t="shared" si="26"/>
        <v>1701</v>
      </c>
      <c r="BML1" s="1">
        <f t="shared" si="26"/>
        <v>1702</v>
      </c>
      <c r="BMM1" s="1">
        <f t="shared" si="26"/>
        <v>1703</v>
      </c>
      <c r="BMN1" s="1">
        <f t="shared" si="26"/>
        <v>1704</v>
      </c>
      <c r="BMO1" s="1">
        <f t="shared" si="26"/>
        <v>1705</v>
      </c>
      <c r="BMP1" s="1">
        <f t="shared" si="26"/>
        <v>1706</v>
      </c>
      <c r="BMQ1" s="1">
        <f t="shared" si="26"/>
        <v>1707</v>
      </c>
      <c r="BMR1" s="1">
        <f t="shared" si="26"/>
        <v>1708</v>
      </c>
      <c r="BMS1" s="1">
        <f t="shared" si="26"/>
        <v>1709</v>
      </c>
      <c r="BMT1" s="1">
        <f t="shared" si="26"/>
        <v>1710</v>
      </c>
      <c r="BMU1" s="1">
        <f t="shared" si="26"/>
        <v>1711</v>
      </c>
      <c r="BMV1" s="1">
        <f t="shared" si="26"/>
        <v>1712</v>
      </c>
      <c r="BMW1" s="1">
        <f t="shared" si="26"/>
        <v>1713</v>
      </c>
      <c r="BMX1" s="1">
        <f t="shared" si="26"/>
        <v>1714</v>
      </c>
      <c r="BMY1" s="1">
        <f t="shared" si="26"/>
        <v>1715</v>
      </c>
      <c r="BMZ1" s="1">
        <f t="shared" si="26"/>
        <v>1716</v>
      </c>
      <c r="BNA1" s="1">
        <f t="shared" si="26"/>
        <v>1717</v>
      </c>
      <c r="BNB1" s="42">
        <f t="shared" si="26"/>
        <v>1718</v>
      </c>
      <c r="BNC1" s="1">
        <f t="shared" si="26"/>
        <v>1719</v>
      </c>
      <c r="BND1" s="1">
        <f t="shared" si="26"/>
        <v>1720</v>
      </c>
      <c r="BNE1" s="1">
        <f t="shared" si="26"/>
        <v>1721</v>
      </c>
      <c r="BNF1" s="1">
        <f t="shared" si="26"/>
        <v>1722</v>
      </c>
      <c r="BNG1" s="1">
        <f t="shared" si="26"/>
        <v>1723</v>
      </c>
      <c r="BNH1" s="1">
        <f t="shared" si="26"/>
        <v>1724</v>
      </c>
      <c r="BNI1" s="1">
        <f t="shared" si="26"/>
        <v>1725</v>
      </c>
      <c r="BNJ1" s="1">
        <f t="shared" si="26"/>
        <v>1726</v>
      </c>
      <c r="BNK1" s="1">
        <f t="shared" si="26"/>
        <v>1727</v>
      </c>
      <c r="BNL1" s="1">
        <f t="shared" si="26"/>
        <v>1728</v>
      </c>
      <c r="BNM1" s="1">
        <f t="shared" si="26"/>
        <v>1729</v>
      </c>
      <c r="BNN1" s="1">
        <f t="shared" si="26"/>
        <v>1730</v>
      </c>
      <c r="BNO1" s="1">
        <f t="shared" ref="BNO1:BPZ1" si="27">BNN1+1</f>
        <v>1731</v>
      </c>
      <c r="BNP1" s="1">
        <f t="shared" si="27"/>
        <v>1732</v>
      </c>
      <c r="BNQ1" s="1">
        <f t="shared" si="27"/>
        <v>1733</v>
      </c>
      <c r="BNR1" s="1">
        <f t="shared" si="27"/>
        <v>1734</v>
      </c>
      <c r="BNS1" s="1">
        <f t="shared" si="27"/>
        <v>1735</v>
      </c>
      <c r="BNT1" s="1">
        <f t="shared" si="27"/>
        <v>1736</v>
      </c>
      <c r="BNU1" s="1">
        <f t="shared" si="27"/>
        <v>1737</v>
      </c>
      <c r="BNV1" s="1">
        <f t="shared" si="27"/>
        <v>1738</v>
      </c>
      <c r="BNW1" s="1">
        <f t="shared" si="27"/>
        <v>1739</v>
      </c>
      <c r="BNX1" s="1">
        <f t="shared" si="27"/>
        <v>1740</v>
      </c>
      <c r="BNY1" s="1">
        <f t="shared" si="27"/>
        <v>1741</v>
      </c>
      <c r="BNZ1" s="1">
        <f t="shared" si="27"/>
        <v>1742</v>
      </c>
      <c r="BOA1" s="1">
        <f t="shared" si="27"/>
        <v>1743</v>
      </c>
      <c r="BOB1" s="1">
        <f t="shared" si="27"/>
        <v>1744</v>
      </c>
      <c r="BOC1" s="1">
        <f t="shared" si="27"/>
        <v>1745</v>
      </c>
      <c r="BOD1" s="1">
        <f t="shared" si="27"/>
        <v>1746</v>
      </c>
      <c r="BOE1" s="1">
        <f t="shared" si="27"/>
        <v>1747</v>
      </c>
      <c r="BOF1" s="1">
        <f t="shared" si="27"/>
        <v>1748</v>
      </c>
      <c r="BOG1" s="1">
        <f t="shared" si="27"/>
        <v>1749</v>
      </c>
      <c r="BOH1" s="1">
        <f t="shared" si="27"/>
        <v>1750</v>
      </c>
      <c r="BOI1" s="1">
        <f t="shared" si="27"/>
        <v>1751</v>
      </c>
      <c r="BOJ1" s="1">
        <f t="shared" si="27"/>
        <v>1752</v>
      </c>
      <c r="BOK1" s="1">
        <f t="shared" si="27"/>
        <v>1753</v>
      </c>
      <c r="BOL1" s="1">
        <f t="shared" si="27"/>
        <v>1754</v>
      </c>
      <c r="BOM1" s="1">
        <f t="shared" si="27"/>
        <v>1755</v>
      </c>
      <c r="BON1" s="1">
        <f t="shared" si="27"/>
        <v>1756</v>
      </c>
      <c r="BOO1" s="1">
        <f t="shared" si="27"/>
        <v>1757</v>
      </c>
      <c r="BOP1" s="1">
        <f t="shared" si="27"/>
        <v>1758</v>
      </c>
      <c r="BOQ1" s="1">
        <f t="shared" si="27"/>
        <v>1759</v>
      </c>
      <c r="BOR1" s="1">
        <f t="shared" si="27"/>
        <v>1760</v>
      </c>
      <c r="BOS1" s="1">
        <f t="shared" si="27"/>
        <v>1761</v>
      </c>
      <c r="BOT1" s="42">
        <f t="shared" si="27"/>
        <v>1762</v>
      </c>
      <c r="BOU1" s="1">
        <f t="shared" si="27"/>
        <v>1763</v>
      </c>
      <c r="BOV1" s="1">
        <f t="shared" si="27"/>
        <v>1764</v>
      </c>
      <c r="BOW1" s="1">
        <f t="shared" si="27"/>
        <v>1765</v>
      </c>
      <c r="BOX1" s="1">
        <f t="shared" si="27"/>
        <v>1766</v>
      </c>
      <c r="BOY1" s="1">
        <f t="shared" si="27"/>
        <v>1767</v>
      </c>
      <c r="BOZ1" s="1">
        <f t="shared" si="27"/>
        <v>1768</v>
      </c>
      <c r="BPA1" s="1">
        <f t="shared" si="27"/>
        <v>1769</v>
      </c>
      <c r="BPB1" s="1">
        <f t="shared" si="27"/>
        <v>1770</v>
      </c>
      <c r="BPC1" s="1">
        <f t="shared" si="27"/>
        <v>1771</v>
      </c>
      <c r="BPD1" s="1">
        <f t="shared" si="27"/>
        <v>1772</v>
      </c>
      <c r="BPE1" s="1">
        <f t="shared" si="27"/>
        <v>1773</v>
      </c>
      <c r="BPF1" s="1">
        <f t="shared" si="27"/>
        <v>1774</v>
      </c>
      <c r="BPG1" s="1">
        <f t="shared" si="27"/>
        <v>1775</v>
      </c>
      <c r="BPH1" s="1">
        <f t="shared" si="27"/>
        <v>1776</v>
      </c>
      <c r="BPI1" s="1">
        <f t="shared" si="27"/>
        <v>1777</v>
      </c>
      <c r="BPJ1" s="1">
        <f t="shared" si="27"/>
        <v>1778</v>
      </c>
      <c r="BPK1" s="1">
        <f t="shared" si="27"/>
        <v>1779</v>
      </c>
      <c r="BPL1" s="1">
        <f t="shared" si="27"/>
        <v>1780</v>
      </c>
      <c r="BPM1" s="1">
        <f t="shared" si="27"/>
        <v>1781</v>
      </c>
      <c r="BPN1" s="1">
        <f t="shared" si="27"/>
        <v>1782</v>
      </c>
      <c r="BPO1" s="1">
        <f t="shared" si="27"/>
        <v>1783</v>
      </c>
      <c r="BPP1" s="1">
        <f t="shared" si="27"/>
        <v>1784</v>
      </c>
      <c r="BPQ1" s="1">
        <f t="shared" si="27"/>
        <v>1785</v>
      </c>
      <c r="BPR1" s="1">
        <f t="shared" si="27"/>
        <v>1786</v>
      </c>
      <c r="BPS1" s="1">
        <f t="shared" si="27"/>
        <v>1787</v>
      </c>
      <c r="BPT1" s="1">
        <f t="shared" si="27"/>
        <v>1788</v>
      </c>
      <c r="BPU1" s="1">
        <f t="shared" si="27"/>
        <v>1789</v>
      </c>
      <c r="BPV1" s="1">
        <f t="shared" si="27"/>
        <v>1790</v>
      </c>
      <c r="BPW1" s="1">
        <f t="shared" si="27"/>
        <v>1791</v>
      </c>
      <c r="BPX1" s="1">
        <f t="shared" si="27"/>
        <v>1792</v>
      </c>
      <c r="BPY1" s="1">
        <f t="shared" si="27"/>
        <v>1793</v>
      </c>
      <c r="BPZ1" s="1">
        <f t="shared" si="27"/>
        <v>1794</v>
      </c>
      <c r="BQA1" s="1">
        <f t="shared" ref="BQA1:BSL1" si="28">BPZ1+1</f>
        <v>1795</v>
      </c>
      <c r="BQB1" s="1">
        <f t="shared" si="28"/>
        <v>1796</v>
      </c>
      <c r="BQC1" s="1">
        <f t="shared" si="28"/>
        <v>1797</v>
      </c>
      <c r="BQD1" s="1">
        <f t="shared" si="28"/>
        <v>1798</v>
      </c>
      <c r="BQE1" s="1">
        <f t="shared" si="28"/>
        <v>1799</v>
      </c>
      <c r="BQF1" s="1">
        <f t="shared" si="28"/>
        <v>1800</v>
      </c>
      <c r="BQG1" s="1">
        <f t="shared" si="28"/>
        <v>1801</v>
      </c>
      <c r="BQH1" s="1">
        <f t="shared" si="28"/>
        <v>1802</v>
      </c>
      <c r="BQI1" s="1">
        <f t="shared" si="28"/>
        <v>1803</v>
      </c>
      <c r="BQJ1" s="1">
        <f t="shared" si="28"/>
        <v>1804</v>
      </c>
      <c r="BQK1" s="1">
        <f t="shared" si="28"/>
        <v>1805</v>
      </c>
      <c r="BQL1" s="42">
        <f t="shared" si="28"/>
        <v>1806</v>
      </c>
      <c r="BQM1" s="1">
        <f t="shared" si="28"/>
        <v>1807</v>
      </c>
      <c r="BQN1" s="1">
        <f t="shared" si="28"/>
        <v>1808</v>
      </c>
      <c r="BQO1" s="1">
        <f t="shared" si="28"/>
        <v>1809</v>
      </c>
      <c r="BQP1" s="1">
        <f t="shared" si="28"/>
        <v>1810</v>
      </c>
      <c r="BQQ1" s="1">
        <f t="shared" si="28"/>
        <v>1811</v>
      </c>
      <c r="BQR1" s="1">
        <f t="shared" si="28"/>
        <v>1812</v>
      </c>
      <c r="BQS1" s="1">
        <f t="shared" si="28"/>
        <v>1813</v>
      </c>
      <c r="BQT1" s="1">
        <f t="shared" si="28"/>
        <v>1814</v>
      </c>
      <c r="BQU1" s="1">
        <f t="shared" si="28"/>
        <v>1815</v>
      </c>
      <c r="BQV1" s="1">
        <f t="shared" si="28"/>
        <v>1816</v>
      </c>
      <c r="BQW1" s="1">
        <f t="shared" si="28"/>
        <v>1817</v>
      </c>
      <c r="BQX1" s="1">
        <f t="shared" si="28"/>
        <v>1818</v>
      </c>
      <c r="BQY1" s="1">
        <f t="shared" si="28"/>
        <v>1819</v>
      </c>
      <c r="BQZ1" s="1">
        <f t="shared" si="28"/>
        <v>1820</v>
      </c>
      <c r="BRA1" s="1">
        <f t="shared" si="28"/>
        <v>1821</v>
      </c>
      <c r="BRB1" s="1">
        <f t="shared" si="28"/>
        <v>1822</v>
      </c>
      <c r="BRC1" s="1">
        <f t="shared" si="28"/>
        <v>1823</v>
      </c>
      <c r="BRD1" s="1">
        <f t="shared" si="28"/>
        <v>1824</v>
      </c>
      <c r="BRE1" s="1">
        <f t="shared" si="28"/>
        <v>1825</v>
      </c>
      <c r="BRF1" s="1">
        <f t="shared" si="28"/>
        <v>1826</v>
      </c>
      <c r="BRG1" s="1">
        <f t="shared" si="28"/>
        <v>1827</v>
      </c>
      <c r="BRH1" s="1">
        <f t="shared" si="28"/>
        <v>1828</v>
      </c>
      <c r="BRI1" s="1">
        <f t="shared" si="28"/>
        <v>1829</v>
      </c>
      <c r="BRJ1" s="1">
        <f t="shared" si="28"/>
        <v>1830</v>
      </c>
      <c r="BRK1" s="1">
        <f t="shared" si="28"/>
        <v>1831</v>
      </c>
      <c r="BRL1" s="1">
        <f t="shared" si="28"/>
        <v>1832</v>
      </c>
      <c r="BRM1" s="1">
        <f t="shared" si="28"/>
        <v>1833</v>
      </c>
      <c r="BRN1" s="1">
        <f t="shared" si="28"/>
        <v>1834</v>
      </c>
      <c r="BRO1" s="1">
        <f t="shared" si="28"/>
        <v>1835</v>
      </c>
      <c r="BRP1" s="1">
        <f t="shared" si="28"/>
        <v>1836</v>
      </c>
      <c r="BRQ1" s="1">
        <f t="shared" si="28"/>
        <v>1837</v>
      </c>
      <c r="BRR1" s="1">
        <f t="shared" si="28"/>
        <v>1838</v>
      </c>
      <c r="BRS1" s="1">
        <f t="shared" si="28"/>
        <v>1839</v>
      </c>
      <c r="BRT1" s="1">
        <f t="shared" si="28"/>
        <v>1840</v>
      </c>
      <c r="BRU1" s="1">
        <f t="shared" si="28"/>
        <v>1841</v>
      </c>
      <c r="BRV1" s="1">
        <f t="shared" si="28"/>
        <v>1842</v>
      </c>
      <c r="BRW1" s="1">
        <f t="shared" si="28"/>
        <v>1843</v>
      </c>
      <c r="BRX1" s="1">
        <f t="shared" si="28"/>
        <v>1844</v>
      </c>
      <c r="BRY1" s="1">
        <f t="shared" si="28"/>
        <v>1845</v>
      </c>
      <c r="BRZ1" s="1">
        <f t="shared" si="28"/>
        <v>1846</v>
      </c>
      <c r="BSA1" s="1">
        <f t="shared" si="28"/>
        <v>1847</v>
      </c>
      <c r="BSB1" s="1">
        <f t="shared" si="28"/>
        <v>1848</v>
      </c>
      <c r="BSC1" s="1">
        <f t="shared" si="28"/>
        <v>1849</v>
      </c>
      <c r="BSD1" s="42">
        <f t="shared" si="28"/>
        <v>1850</v>
      </c>
      <c r="BSE1" s="1">
        <f t="shared" si="28"/>
        <v>1851</v>
      </c>
      <c r="BSF1" s="1">
        <f t="shared" si="28"/>
        <v>1852</v>
      </c>
      <c r="BSG1" s="1">
        <f t="shared" si="28"/>
        <v>1853</v>
      </c>
      <c r="BSH1" s="1">
        <f t="shared" si="28"/>
        <v>1854</v>
      </c>
      <c r="BSI1" s="1">
        <f t="shared" si="28"/>
        <v>1855</v>
      </c>
      <c r="BSJ1" s="1">
        <f t="shared" si="28"/>
        <v>1856</v>
      </c>
      <c r="BSK1" s="1">
        <f t="shared" si="28"/>
        <v>1857</v>
      </c>
      <c r="BSL1" s="1">
        <f t="shared" si="28"/>
        <v>1858</v>
      </c>
      <c r="BSM1" s="1">
        <f t="shared" ref="BSM1:BUX1" si="29">BSL1+1</f>
        <v>1859</v>
      </c>
      <c r="BSN1" s="1">
        <f t="shared" si="29"/>
        <v>1860</v>
      </c>
      <c r="BSO1" s="1">
        <f t="shared" si="29"/>
        <v>1861</v>
      </c>
      <c r="BSP1" s="1">
        <f t="shared" si="29"/>
        <v>1862</v>
      </c>
      <c r="BSQ1" s="1">
        <f t="shared" si="29"/>
        <v>1863</v>
      </c>
      <c r="BSR1" s="1">
        <f t="shared" si="29"/>
        <v>1864</v>
      </c>
      <c r="BSS1" s="1">
        <f t="shared" si="29"/>
        <v>1865</v>
      </c>
      <c r="BST1" s="1">
        <f t="shared" si="29"/>
        <v>1866</v>
      </c>
      <c r="BSU1" s="1">
        <f t="shared" si="29"/>
        <v>1867</v>
      </c>
      <c r="BSV1" s="1">
        <f t="shared" si="29"/>
        <v>1868</v>
      </c>
      <c r="BSW1" s="1">
        <f t="shared" si="29"/>
        <v>1869</v>
      </c>
      <c r="BSX1" s="1">
        <f t="shared" si="29"/>
        <v>1870</v>
      </c>
      <c r="BSY1" s="1">
        <f t="shared" si="29"/>
        <v>1871</v>
      </c>
      <c r="BSZ1" s="1">
        <f t="shared" si="29"/>
        <v>1872</v>
      </c>
      <c r="BTA1" s="1">
        <f t="shared" si="29"/>
        <v>1873</v>
      </c>
      <c r="BTB1" s="1">
        <f t="shared" si="29"/>
        <v>1874</v>
      </c>
      <c r="BTC1" s="1">
        <f t="shared" si="29"/>
        <v>1875</v>
      </c>
      <c r="BTD1" s="1">
        <f t="shared" si="29"/>
        <v>1876</v>
      </c>
      <c r="BTE1" s="1">
        <f t="shared" si="29"/>
        <v>1877</v>
      </c>
      <c r="BTF1" s="1">
        <f t="shared" si="29"/>
        <v>1878</v>
      </c>
      <c r="BTG1" s="1">
        <f t="shared" si="29"/>
        <v>1879</v>
      </c>
      <c r="BTH1" s="1">
        <f t="shared" si="29"/>
        <v>1880</v>
      </c>
      <c r="BTI1" s="1">
        <f t="shared" si="29"/>
        <v>1881</v>
      </c>
      <c r="BTJ1" s="1">
        <f t="shared" si="29"/>
        <v>1882</v>
      </c>
      <c r="BTK1" s="1">
        <f t="shared" si="29"/>
        <v>1883</v>
      </c>
      <c r="BTL1" s="1">
        <f t="shared" si="29"/>
        <v>1884</v>
      </c>
      <c r="BTM1" s="1">
        <f t="shared" si="29"/>
        <v>1885</v>
      </c>
      <c r="BTN1" s="1">
        <f t="shared" si="29"/>
        <v>1886</v>
      </c>
      <c r="BTO1" s="1">
        <f t="shared" si="29"/>
        <v>1887</v>
      </c>
      <c r="BTP1" s="1">
        <f t="shared" si="29"/>
        <v>1888</v>
      </c>
      <c r="BTQ1" s="1">
        <f t="shared" si="29"/>
        <v>1889</v>
      </c>
      <c r="BTR1" s="1">
        <f t="shared" si="29"/>
        <v>1890</v>
      </c>
      <c r="BTS1" s="1">
        <f t="shared" si="29"/>
        <v>1891</v>
      </c>
      <c r="BTT1" s="1">
        <f t="shared" si="29"/>
        <v>1892</v>
      </c>
      <c r="BTU1" s="1">
        <f t="shared" si="29"/>
        <v>1893</v>
      </c>
      <c r="BTV1" s="42">
        <f t="shared" si="29"/>
        <v>1894</v>
      </c>
      <c r="BTW1" s="1">
        <f t="shared" si="29"/>
        <v>1895</v>
      </c>
      <c r="BTX1" s="1">
        <f t="shared" si="29"/>
        <v>1896</v>
      </c>
      <c r="BTY1" s="1">
        <f t="shared" si="29"/>
        <v>1897</v>
      </c>
      <c r="BTZ1" s="1">
        <f t="shared" si="29"/>
        <v>1898</v>
      </c>
      <c r="BUA1" s="1">
        <f t="shared" si="29"/>
        <v>1899</v>
      </c>
      <c r="BUB1" s="1">
        <f t="shared" si="29"/>
        <v>1900</v>
      </c>
      <c r="BUC1" s="1">
        <f t="shared" si="29"/>
        <v>1901</v>
      </c>
      <c r="BUD1" s="1">
        <f t="shared" si="29"/>
        <v>1902</v>
      </c>
      <c r="BUE1" s="1">
        <f t="shared" si="29"/>
        <v>1903</v>
      </c>
      <c r="BUF1" s="1">
        <f t="shared" si="29"/>
        <v>1904</v>
      </c>
      <c r="BUG1" s="1">
        <f t="shared" si="29"/>
        <v>1905</v>
      </c>
      <c r="BUH1" s="1">
        <f t="shared" si="29"/>
        <v>1906</v>
      </c>
      <c r="BUI1" s="1">
        <f t="shared" si="29"/>
        <v>1907</v>
      </c>
      <c r="BUJ1" s="1">
        <f t="shared" si="29"/>
        <v>1908</v>
      </c>
      <c r="BUK1" s="1">
        <f t="shared" si="29"/>
        <v>1909</v>
      </c>
      <c r="BUL1" s="1">
        <f t="shared" si="29"/>
        <v>1910</v>
      </c>
      <c r="BUM1" s="1">
        <f t="shared" si="29"/>
        <v>1911</v>
      </c>
      <c r="BUN1" s="1">
        <f t="shared" si="29"/>
        <v>1912</v>
      </c>
      <c r="BUO1" s="1">
        <f t="shared" si="29"/>
        <v>1913</v>
      </c>
      <c r="BUP1" s="1">
        <f t="shared" si="29"/>
        <v>1914</v>
      </c>
      <c r="BUQ1" s="1">
        <f t="shared" si="29"/>
        <v>1915</v>
      </c>
      <c r="BUR1" s="1">
        <f t="shared" si="29"/>
        <v>1916</v>
      </c>
      <c r="BUS1" s="1">
        <f t="shared" si="29"/>
        <v>1917</v>
      </c>
      <c r="BUT1" s="1">
        <f t="shared" si="29"/>
        <v>1918</v>
      </c>
      <c r="BUU1" s="1">
        <f t="shared" si="29"/>
        <v>1919</v>
      </c>
      <c r="BUV1" s="1">
        <f t="shared" si="29"/>
        <v>1920</v>
      </c>
      <c r="BUW1" s="1">
        <f t="shared" si="29"/>
        <v>1921</v>
      </c>
      <c r="BUX1" s="1">
        <f t="shared" si="29"/>
        <v>1922</v>
      </c>
      <c r="BUY1" s="1">
        <f t="shared" ref="BUY1:BXJ1" si="30">BUX1+1</f>
        <v>1923</v>
      </c>
      <c r="BUZ1" s="1">
        <f t="shared" si="30"/>
        <v>1924</v>
      </c>
      <c r="BVA1" s="1">
        <f t="shared" si="30"/>
        <v>1925</v>
      </c>
      <c r="BVB1" s="1">
        <f t="shared" si="30"/>
        <v>1926</v>
      </c>
      <c r="BVC1" s="1">
        <f t="shared" si="30"/>
        <v>1927</v>
      </c>
      <c r="BVD1" s="1">
        <f t="shared" si="30"/>
        <v>1928</v>
      </c>
      <c r="BVE1" s="1">
        <f t="shared" si="30"/>
        <v>1929</v>
      </c>
      <c r="BVF1" s="1">
        <f t="shared" si="30"/>
        <v>1930</v>
      </c>
      <c r="BVG1" s="1">
        <f t="shared" si="30"/>
        <v>1931</v>
      </c>
      <c r="BVH1" s="1">
        <f t="shared" si="30"/>
        <v>1932</v>
      </c>
      <c r="BVI1" s="1">
        <f t="shared" si="30"/>
        <v>1933</v>
      </c>
      <c r="BVJ1" s="1">
        <f t="shared" si="30"/>
        <v>1934</v>
      </c>
      <c r="BVK1" s="1">
        <f t="shared" si="30"/>
        <v>1935</v>
      </c>
      <c r="BVL1" s="1">
        <f t="shared" si="30"/>
        <v>1936</v>
      </c>
      <c r="BVM1" s="1">
        <f t="shared" si="30"/>
        <v>1937</v>
      </c>
      <c r="BVN1" s="42">
        <f t="shared" si="30"/>
        <v>1938</v>
      </c>
      <c r="BVO1" s="1">
        <f t="shared" si="30"/>
        <v>1939</v>
      </c>
      <c r="BVP1" s="1">
        <f t="shared" si="30"/>
        <v>1940</v>
      </c>
      <c r="BVQ1" s="1">
        <f t="shared" si="30"/>
        <v>1941</v>
      </c>
      <c r="BVR1" s="1">
        <f t="shared" si="30"/>
        <v>1942</v>
      </c>
      <c r="BVS1" s="1">
        <f t="shared" si="30"/>
        <v>1943</v>
      </c>
      <c r="BVT1" s="1">
        <f t="shared" si="30"/>
        <v>1944</v>
      </c>
      <c r="BVU1" s="1">
        <f t="shared" si="30"/>
        <v>1945</v>
      </c>
      <c r="BVV1" s="1">
        <f t="shared" si="30"/>
        <v>1946</v>
      </c>
      <c r="BVW1" s="1">
        <f t="shared" si="30"/>
        <v>1947</v>
      </c>
      <c r="BVX1" s="1">
        <f t="shared" si="30"/>
        <v>1948</v>
      </c>
      <c r="BVY1" s="1">
        <f t="shared" si="30"/>
        <v>1949</v>
      </c>
      <c r="BVZ1" s="1">
        <f t="shared" si="30"/>
        <v>1950</v>
      </c>
      <c r="BWA1" s="1">
        <f t="shared" si="30"/>
        <v>1951</v>
      </c>
      <c r="BWB1" s="1">
        <f t="shared" si="30"/>
        <v>1952</v>
      </c>
      <c r="BWC1" s="1">
        <f t="shared" si="30"/>
        <v>1953</v>
      </c>
      <c r="BWD1" s="1">
        <f t="shared" si="30"/>
        <v>1954</v>
      </c>
      <c r="BWE1" s="1">
        <f t="shared" si="30"/>
        <v>1955</v>
      </c>
      <c r="BWF1" s="1">
        <f t="shared" si="30"/>
        <v>1956</v>
      </c>
      <c r="BWG1" s="1">
        <f t="shared" si="30"/>
        <v>1957</v>
      </c>
      <c r="BWH1" s="1">
        <f t="shared" si="30"/>
        <v>1958</v>
      </c>
      <c r="BWI1" s="1">
        <f t="shared" si="30"/>
        <v>1959</v>
      </c>
      <c r="BWJ1" s="1">
        <f t="shared" si="30"/>
        <v>1960</v>
      </c>
      <c r="BWK1" s="1">
        <f t="shared" si="30"/>
        <v>1961</v>
      </c>
      <c r="BWL1" s="1">
        <f t="shared" si="30"/>
        <v>1962</v>
      </c>
      <c r="BWM1" s="1">
        <f t="shared" si="30"/>
        <v>1963</v>
      </c>
      <c r="BWN1" s="1">
        <f t="shared" si="30"/>
        <v>1964</v>
      </c>
      <c r="BWO1" s="1">
        <f t="shared" si="30"/>
        <v>1965</v>
      </c>
      <c r="BWP1" s="1">
        <f t="shared" si="30"/>
        <v>1966</v>
      </c>
      <c r="BWQ1" s="1">
        <f t="shared" si="30"/>
        <v>1967</v>
      </c>
      <c r="BWR1" s="1">
        <f t="shared" si="30"/>
        <v>1968</v>
      </c>
      <c r="BWS1" s="1">
        <f t="shared" si="30"/>
        <v>1969</v>
      </c>
      <c r="BWT1" s="1">
        <f t="shared" si="30"/>
        <v>1970</v>
      </c>
      <c r="BWU1" s="1">
        <f t="shared" si="30"/>
        <v>1971</v>
      </c>
      <c r="BWV1" s="1">
        <f t="shared" si="30"/>
        <v>1972</v>
      </c>
      <c r="BWW1" s="1">
        <f t="shared" si="30"/>
        <v>1973</v>
      </c>
      <c r="BWX1" s="1">
        <f t="shared" si="30"/>
        <v>1974</v>
      </c>
      <c r="BWY1" s="1">
        <f t="shared" si="30"/>
        <v>1975</v>
      </c>
      <c r="BWZ1" s="1">
        <f t="shared" si="30"/>
        <v>1976</v>
      </c>
      <c r="BXA1" s="1">
        <f t="shared" si="30"/>
        <v>1977</v>
      </c>
      <c r="BXB1" s="1">
        <f t="shared" si="30"/>
        <v>1978</v>
      </c>
      <c r="BXC1" s="1">
        <f t="shared" si="30"/>
        <v>1979</v>
      </c>
      <c r="BXD1" s="1">
        <f t="shared" si="30"/>
        <v>1980</v>
      </c>
      <c r="BXE1" s="1">
        <f t="shared" si="30"/>
        <v>1981</v>
      </c>
      <c r="BXF1" s="42">
        <f t="shared" si="30"/>
        <v>1982</v>
      </c>
      <c r="BXG1" s="1">
        <f t="shared" si="30"/>
        <v>1983</v>
      </c>
      <c r="BXH1" s="1">
        <f t="shared" si="30"/>
        <v>1984</v>
      </c>
      <c r="BXI1" s="1">
        <f t="shared" si="30"/>
        <v>1985</v>
      </c>
      <c r="BXJ1" s="1">
        <f t="shared" si="30"/>
        <v>1986</v>
      </c>
      <c r="BXK1" s="1">
        <f t="shared" ref="BXK1:BZV1" si="31">BXJ1+1</f>
        <v>1987</v>
      </c>
      <c r="BXL1" s="1">
        <f t="shared" si="31"/>
        <v>1988</v>
      </c>
      <c r="BXM1" s="1">
        <f t="shared" si="31"/>
        <v>1989</v>
      </c>
      <c r="BXN1" s="1">
        <f t="shared" si="31"/>
        <v>1990</v>
      </c>
      <c r="BXO1" s="1">
        <f t="shared" si="31"/>
        <v>1991</v>
      </c>
      <c r="BXP1" s="1">
        <f t="shared" si="31"/>
        <v>1992</v>
      </c>
      <c r="BXQ1" s="1">
        <f t="shared" si="31"/>
        <v>1993</v>
      </c>
      <c r="BXR1" s="1">
        <f t="shared" si="31"/>
        <v>1994</v>
      </c>
      <c r="BXS1" s="1">
        <f t="shared" si="31"/>
        <v>1995</v>
      </c>
      <c r="BXT1" s="1">
        <f t="shared" si="31"/>
        <v>1996</v>
      </c>
      <c r="BXU1" s="1">
        <f t="shared" si="31"/>
        <v>1997</v>
      </c>
      <c r="BXV1" s="1">
        <f t="shared" si="31"/>
        <v>1998</v>
      </c>
      <c r="BXW1" s="1">
        <f t="shared" si="31"/>
        <v>1999</v>
      </c>
      <c r="BXX1" s="1">
        <f t="shared" si="31"/>
        <v>2000</v>
      </c>
      <c r="BXY1" s="1">
        <f t="shared" si="31"/>
        <v>2001</v>
      </c>
      <c r="BXZ1" s="1">
        <f t="shared" si="31"/>
        <v>2002</v>
      </c>
      <c r="BYA1" s="1">
        <f t="shared" si="31"/>
        <v>2003</v>
      </c>
      <c r="BYB1" s="1">
        <f t="shared" si="31"/>
        <v>2004</v>
      </c>
      <c r="BYC1" s="1">
        <f t="shared" si="31"/>
        <v>2005</v>
      </c>
      <c r="BYD1" s="1">
        <f t="shared" si="31"/>
        <v>2006</v>
      </c>
      <c r="BYE1" s="1">
        <f t="shared" si="31"/>
        <v>2007</v>
      </c>
      <c r="BYF1" s="1">
        <f t="shared" si="31"/>
        <v>2008</v>
      </c>
      <c r="BYG1" s="1">
        <f t="shared" si="31"/>
        <v>2009</v>
      </c>
      <c r="BYH1" s="1">
        <f t="shared" si="31"/>
        <v>2010</v>
      </c>
      <c r="BYI1" s="1">
        <f t="shared" si="31"/>
        <v>2011</v>
      </c>
      <c r="BYJ1" s="1">
        <f t="shared" si="31"/>
        <v>2012</v>
      </c>
      <c r="BYK1" s="1">
        <f t="shared" si="31"/>
        <v>2013</v>
      </c>
      <c r="BYL1" s="1">
        <f t="shared" si="31"/>
        <v>2014</v>
      </c>
      <c r="BYM1" s="1">
        <f t="shared" si="31"/>
        <v>2015</v>
      </c>
      <c r="BYN1" s="1">
        <f t="shared" si="31"/>
        <v>2016</v>
      </c>
      <c r="BYO1" s="1">
        <f t="shared" si="31"/>
        <v>2017</v>
      </c>
      <c r="BYP1" s="1">
        <f t="shared" si="31"/>
        <v>2018</v>
      </c>
      <c r="BYQ1" s="1">
        <f t="shared" si="31"/>
        <v>2019</v>
      </c>
      <c r="BYR1" s="1">
        <f t="shared" si="31"/>
        <v>2020</v>
      </c>
      <c r="BYS1" s="1">
        <f t="shared" si="31"/>
        <v>2021</v>
      </c>
      <c r="BYT1" s="1">
        <f t="shared" si="31"/>
        <v>2022</v>
      </c>
      <c r="BYU1" s="1">
        <f t="shared" si="31"/>
        <v>2023</v>
      </c>
      <c r="BYV1" s="1">
        <f t="shared" si="31"/>
        <v>2024</v>
      </c>
      <c r="BYW1" s="1">
        <f t="shared" si="31"/>
        <v>2025</v>
      </c>
      <c r="BYX1" s="42">
        <f t="shared" si="31"/>
        <v>2026</v>
      </c>
      <c r="BYY1" s="1">
        <f t="shared" si="31"/>
        <v>2027</v>
      </c>
      <c r="BYZ1" s="1">
        <f t="shared" si="31"/>
        <v>2028</v>
      </c>
      <c r="BZA1" s="1">
        <f t="shared" si="31"/>
        <v>2029</v>
      </c>
      <c r="BZB1" s="1">
        <f t="shared" si="31"/>
        <v>2030</v>
      </c>
      <c r="BZC1" s="1">
        <f t="shared" si="31"/>
        <v>2031</v>
      </c>
      <c r="BZD1" s="1">
        <f t="shared" si="31"/>
        <v>2032</v>
      </c>
      <c r="BZE1" s="1">
        <f t="shared" si="31"/>
        <v>2033</v>
      </c>
      <c r="BZF1" s="1">
        <f t="shared" si="31"/>
        <v>2034</v>
      </c>
      <c r="BZG1" s="1">
        <f t="shared" si="31"/>
        <v>2035</v>
      </c>
      <c r="BZH1" s="1">
        <f t="shared" si="31"/>
        <v>2036</v>
      </c>
      <c r="BZI1" s="1">
        <f t="shared" si="31"/>
        <v>2037</v>
      </c>
      <c r="BZJ1" s="1">
        <f t="shared" si="31"/>
        <v>2038</v>
      </c>
      <c r="BZK1" s="1">
        <f t="shared" si="31"/>
        <v>2039</v>
      </c>
      <c r="BZL1" s="1">
        <f t="shared" si="31"/>
        <v>2040</v>
      </c>
      <c r="BZM1" s="1">
        <f t="shared" si="31"/>
        <v>2041</v>
      </c>
      <c r="BZN1" s="1">
        <f t="shared" si="31"/>
        <v>2042</v>
      </c>
      <c r="BZO1" s="1">
        <f t="shared" si="31"/>
        <v>2043</v>
      </c>
      <c r="BZP1" s="1">
        <f t="shared" si="31"/>
        <v>2044</v>
      </c>
      <c r="BZQ1" s="1">
        <f t="shared" si="31"/>
        <v>2045</v>
      </c>
      <c r="BZR1" s="1">
        <f t="shared" si="31"/>
        <v>2046</v>
      </c>
      <c r="BZS1" s="1">
        <f t="shared" si="31"/>
        <v>2047</v>
      </c>
      <c r="BZT1" s="1">
        <f t="shared" si="31"/>
        <v>2048</v>
      </c>
      <c r="BZU1" s="1">
        <f t="shared" si="31"/>
        <v>2049</v>
      </c>
      <c r="BZV1" s="1">
        <f t="shared" si="31"/>
        <v>2050</v>
      </c>
      <c r="BZW1" s="1">
        <f t="shared" ref="BZW1:CCH1" si="32">BZV1+1</f>
        <v>2051</v>
      </c>
      <c r="BZX1" s="1">
        <f t="shared" si="32"/>
        <v>2052</v>
      </c>
      <c r="BZY1" s="1">
        <f t="shared" si="32"/>
        <v>2053</v>
      </c>
      <c r="BZZ1" s="1">
        <f t="shared" si="32"/>
        <v>2054</v>
      </c>
      <c r="CAA1" s="1">
        <f t="shared" si="32"/>
        <v>2055</v>
      </c>
      <c r="CAB1" s="1">
        <f t="shared" si="32"/>
        <v>2056</v>
      </c>
      <c r="CAC1" s="1">
        <f t="shared" si="32"/>
        <v>2057</v>
      </c>
      <c r="CAD1" s="1">
        <f t="shared" si="32"/>
        <v>2058</v>
      </c>
      <c r="CAE1" s="1">
        <f t="shared" si="32"/>
        <v>2059</v>
      </c>
      <c r="CAF1" s="1">
        <f t="shared" si="32"/>
        <v>2060</v>
      </c>
      <c r="CAG1" s="1">
        <f t="shared" si="32"/>
        <v>2061</v>
      </c>
      <c r="CAH1" s="1">
        <f t="shared" si="32"/>
        <v>2062</v>
      </c>
      <c r="CAI1" s="1">
        <f t="shared" si="32"/>
        <v>2063</v>
      </c>
      <c r="CAJ1" s="1">
        <f t="shared" si="32"/>
        <v>2064</v>
      </c>
      <c r="CAK1" s="1">
        <f t="shared" si="32"/>
        <v>2065</v>
      </c>
      <c r="CAL1" s="1">
        <f t="shared" si="32"/>
        <v>2066</v>
      </c>
      <c r="CAM1" s="1">
        <f t="shared" si="32"/>
        <v>2067</v>
      </c>
      <c r="CAN1" s="1">
        <f t="shared" si="32"/>
        <v>2068</v>
      </c>
      <c r="CAO1" s="1">
        <f t="shared" si="32"/>
        <v>2069</v>
      </c>
      <c r="CAP1" s="42">
        <f t="shared" si="32"/>
        <v>2070</v>
      </c>
      <c r="CAQ1" s="1">
        <f t="shared" si="32"/>
        <v>2071</v>
      </c>
      <c r="CAR1" s="1">
        <f t="shared" si="32"/>
        <v>2072</v>
      </c>
      <c r="CAS1" s="1">
        <f t="shared" si="32"/>
        <v>2073</v>
      </c>
      <c r="CAT1" s="1">
        <f t="shared" si="32"/>
        <v>2074</v>
      </c>
      <c r="CAU1" s="1">
        <f t="shared" si="32"/>
        <v>2075</v>
      </c>
      <c r="CAV1" s="1">
        <f t="shared" si="32"/>
        <v>2076</v>
      </c>
      <c r="CAW1" s="1">
        <f t="shared" si="32"/>
        <v>2077</v>
      </c>
      <c r="CAX1" s="1">
        <f t="shared" si="32"/>
        <v>2078</v>
      </c>
      <c r="CAY1" s="1">
        <f t="shared" si="32"/>
        <v>2079</v>
      </c>
      <c r="CAZ1" s="1">
        <f t="shared" si="32"/>
        <v>2080</v>
      </c>
      <c r="CBA1" s="1">
        <f t="shared" si="32"/>
        <v>2081</v>
      </c>
      <c r="CBB1" s="1">
        <f t="shared" si="32"/>
        <v>2082</v>
      </c>
      <c r="CBC1" s="1">
        <f t="shared" si="32"/>
        <v>2083</v>
      </c>
      <c r="CBD1" s="1">
        <f t="shared" si="32"/>
        <v>2084</v>
      </c>
      <c r="CBE1" s="1">
        <f t="shared" si="32"/>
        <v>2085</v>
      </c>
      <c r="CBF1" s="1">
        <f t="shared" si="32"/>
        <v>2086</v>
      </c>
      <c r="CBG1" s="1">
        <f t="shared" si="32"/>
        <v>2087</v>
      </c>
      <c r="CBH1" s="1">
        <f t="shared" si="32"/>
        <v>2088</v>
      </c>
      <c r="CBI1" s="1">
        <f t="shared" si="32"/>
        <v>2089</v>
      </c>
      <c r="CBJ1" s="1">
        <f t="shared" si="32"/>
        <v>2090</v>
      </c>
      <c r="CBK1" s="1">
        <f t="shared" si="32"/>
        <v>2091</v>
      </c>
      <c r="CBL1" s="1">
        <f t="shared" si="32"/>
        <v>2092</v>
      </c>
      <c r="CBM1" s="1">
        <f t="shared" si="32"/>
        <v>2093</v>
      </c>
      <c r="CBN1" s="1">
        <f t="shared" si="32"/>
        <v>2094</v>
      </c>
      <c r="CBO1" s="1">
        <f t="shared" si="32"/>
        <v>2095</v>
      </c>
      <c r="CBP1" s="1">
        <f t="shared" si="32"/>
        <v>2096</v>
      </c>
      <c r="CBQ1" s="1">
        <f t="shared" si="32"/>
        <v>2097</v>
      </c>
      <c r="CBR1" s="1">
        <f t="shared" si="32"/>
        <v>2098</v>
      </c>
      <c r="CBS1" s="1">
        <f t="shared" si="32"/>
        <v>2099</v>
      </c>
      <c r="CBT1" s="1">
        <f t="shared" si="32"/>
        <v>2100</v>
      </c>
      <c r="CBU1" s="1">
        <f t="shared" si="32"/>
        <v>2101</v>
      </c>
      <c r="CBV1" s="1">
        <f t="shared" si="32"/>
        <v>2102</v>
      </c>
      <c r="CBW1" s="1">
        <f t="shared" si="32"/>
        <v>2103</v>
      </c>
      <c r="CBX1" s="1">
        <f t="shared" si="32"/>
        <v>2104</v>
      </c>
      <c r="CBY1" s="1">
        <f t="shared" si="32"/>
        <v>2105</v>
      </c>
      <c r="CBZ1" s="1">
        <f t="shared" si="32"/>
        <v>2106</v>
      </c>
      <c r="CCA1" s="1">
        <f t="shared" si="32"/>
        <v>2107</v>
      </c>
      <c r="CCB1" s="1">
        <f t="shared" si="32"/>
        <v>2108</v>
      </c>
      <c r="CCC1" s="1">
        <f t="shared" si="32"/>
        <v>2109</v>
      </c>
      <c r="CCD1" s="1">
        <f t="shared" si="32"/>
        <v>2110</v>
      </c>
      <c r="CCE1" s="1">
        <f t="shared" si="32"/>
        <v>2111</v>
      </c>
      <c r="CCF1" s="1">
        <f t="shared" si="32"/>
        <v>2112</v>
      </c>
      <c r="CCG1" s="1">
        <f t="shared" si="32"/>
        <v>2113</v>
      </c>
      <c r="CCH1" s="42">
        <f t="shared" si="32"/>
        <v>2114</v>
      </c>
      <c r="CCI1" s="1">
        <f t="shared" ref="CCI1:CET1" si="33">CCH1+1</f>
        <v>2115</v>
      </c>
      <c r="CCJ1" s="1">
        <f t="shared" si="33"/>
        <v>2116</v>
      </c>
      <c r="CCK1" s="1">
        <f t="shared" si="33"/>
        <v>2117</v>
      </c>
      <c r="CCL1" s="1">
        <f t="shared" si="33"/>
        <v>2118</v>
      </c>
      <c r="CCM1" s="1">
        <f t="shared" si="33"/>
        <v>2119</v>
      </c>
      <c r="CCN1" s="1">
        <f t="shared" si="33"/>
        <v>2120</v>
      </c>
      <c r="CCO1" s="1">
        <f t="shared" si="33"/>
        <v>2121</v>
      </c>
      <c r="CCP1" s="1">
        <f t="shared" si="33"/>
        <v>2122</v>
      </c>
      <c r="CCQ1" s="1">
        <f t="shared" si="33"/>
        <v>2123</v>
      </c>
      <c r="CCR1" s="1">
        <f t="shared" si="33"/>
        <v>2124</v>
      </c>
      <c r="CCS1" s="1">
        <f t="shared" si="33"/>
        <v>2125</v>
      </c>
      <c r="CCT1" s="1">
        <f t="shared" si="33"/>
        <v>2126</v>
      </c>
      <c r="CCU1" s="1">
        <f t="shared" si="33"/>
        <v>2127</v>
      </c>
      <c r="CCV1" s="1">
        <f t="shared" si="33"/>
        <v>2128</v>
      </c>
      <c r="CCW1" s="1">
        <f t="shared" si="33"/>
        <v>2129</v>
      </c>
      <c r="CCX1" s="1">
        <f t="shared" si="33"/>
        <v>2130</v>
      </c>
      <c r="CCY1" s="1">
        <f t="shared" si="33"/>
        <v>2131</v>
      </c>
      <c r="CCZ1" s="1">
        <f t="shared" si="33"/>
        <v>2132</v>
      </c>
      <c r="CDA1" s="1">
        <f t="shared" si="33"/>
        <v>2133</v>
      </c>
      <c r="CDB1" s="1">
        <f t="shared" si="33"/>
        <v>2134</v>
      </c>
      <c r="CDC1" s="1">
        <f t="shared" si="33"/>
        <v>2135</v>
      </c>
      <c r="CDD1" s="1">
        <f t="shared" si="33"/>
        <v>2136</v>
      </c>
      <c r="CDE1" s="1">
        <f t="shared" si="33"/>
        <v>2137</v>
      </c>
      <c r="CDF1" s="1">
        <f t="shared" si="33"/>
        <v>2138</v>
      </c>
      <c r="CDG1" s="1">
        <f t="shared" si="33"/>
        <v>2139</v>
      </c>
      <c r="CDH1" s="1">
        <f t="shared" si="33"/>
        <v>2140</v>
      </c>
      <c r="CDI1" s="1">
        <f t="shared" si="33"/>
        <v>2141</v>
      </c>
      <c r="CDJ1" s="1">
        <f t="shared" si="33"/>
        <v>2142</v>
      </c>
      <c r="CDK1" s="1">
        <f t="shared" si="33"/>
        <v>2143</v>
      </c>
      <c r="CDL1" s="1">
        <f t="shared" si="33"/>
        <v>2144</v>
      </c>
      <c r="CDM1" s="1">
        <f t="shared" si="33"/>
        <v>2145</v>
      </c>
      <c r="CDN1" s="1">
        <f t="shared" si="33"/>
        <v>2146</v>
      </c>
      <c r="CDO1" s="1">
        <f t="shared" si="33"/>
        <v>2147</v>
      </c>
      <c r="CDP1" s="1">
        <f t="shared" si="33"/>
        <v>2148</v>
      </c>
      <c r="CDQ1" s="1">
        <f t="shared" si="33"/>
        <v>2149</v>
      </c>
      <c r="CDR1" s="1">
        <f t="shared" si="33"/>
        <v>2150</v>
      </c>
      <c r="CDS1" s="1">
        <f t="shared" si="33"/>
        <v>2151</v>
      </c>
      <c r="CDT1" s="1">
        <f t="shared" si="33"/>
        <v>2152</v>
      </c>
      <c r="CDU1" s="1">
        <f t="shared" si="33"/>
        <v>2153</v>
      </c>
      <c r="CDV1" s="1">
        <f t="shared" si="33"/>
        <v>2154</v>
      </c>
      <c r="CDW1" s="1">
        <f t="shared" si="33"/>
        <v>2155</v>
      </c>
      <c r="CDX1" s="1">
        <f t="shared" si="33"/>
        <v>2156</v>
      </c>
      <c r="CDY1" s="1">
        <f t="shared" si="33"/>
        <v>2157</v>
      </c>
      <c r="CDZ1" s="42">
        <f t="shared" si="33"/>
        <v>2158</v>
      </c>
      <c r="CEA1" s="1">
        <f t="shared" si="33"/>
        <v>2159</v>
      </c>
      <c r="CEB1" s="1">
        <f t="shared" si="33"/>
        <v>2160</v>
      </c>
      <c r="CEC1" s="1">
        <f t="shared" si="33"/>
        <v>2161</v>
      </c>
      <c r="CED1" s="1">
        <f t="shared" si="33"/>
        <v>2162</v>
      </c>
      <c r="CEE1" s="1">
        <f t="shared" si="33"/>
        <v>2163</v>
      </c>
      <c r="CEF1" s="1">
        <f t="shared" si="33"/>
        <v>2164</v>
      </c>
      <c r="CEG1" s="1">
        <f t="shared" si="33"/>
        <v>2165</v>
      </c>
      <c r="CEH1" s="1">
        <f t="shared" si="33"/>
        <v>2166</v>
      </c>
      <c r="CEI1" s="1">
        <f t="shared" si="33"/>
        <v>2167</v>
      </c>
      <c r="CEJ1" s="1">
        <f t="shared" si="33"/>
        <v>2168</v>
      </c>
      <c r="CEK1" s="1">
        <f t="shared" si="33"/>
        <v>2169</v>
      </c>
      <c r="CEL1" s="1">
        <f t="shared" si="33"/>
        <v>2170</v>
      </c>
      <c r="CEM1" s="1">
        <f t="shared" si="33"/>
        <v>2171</v>
      </c>
      <c r="CEN1" s="1">
        <f t="shared" si="33"/>
        <v>2172</v>
      </c>
      <c r="CEO1" s="1">
        <f t="shared" si="33"/>
        <v>2173</v>
      </c>
      <c r="CEP1" s="1">
        <f t="shared" si="33"/>
        <v>2174</v>
      </c>
      <c r="CEQ1" s="1">
        <f t="shared" si="33"/>
        <v>2175</v>
      </c>
      <c r="CER1" s="1">
        <f t="shared" si="33"/>
        <v>2176</v>
      </c>
      <c r="CES1" s="1">
        <f t="shared" si="33"/>
        <v>2177</v>
      </c>
      <c r="CET1" s="1">
        <f t="shared" si="33"/>
        <v>2178</v>
      </c>
      <c r="CEU1" s="1">
        <f t="shared" ref="CEU1:CHF1" si="34">CET1+1</f>
        <v>2179</v>
      </c>
      <c r="CEV1" s="1">
        <f t="shared" si="34"/>
        <v>2180</v>
      </c>
      <c r="CEW1" s="1">
        <f t="shared" si="34"/>
        <v>2181</v>
      </c>
      <c r="CEX1" s="1">
        <f t="shared" si="34"/>
        <v>2182</v>
      </c>
      <c r="CEY1" s="1">
        <f t="shared" si="34"/>
        <v>2183</v>
      </c>
      <c r="CEZ1" s="1">
        <f t="shared" si="34"/>
        <v>2184</v>
      </c>
      <c r="CFA1" s="1">
        <f t="shared" si="34"/>
        <v>2185</v>
      </c>
      <c r="CFB1" s="1">
        <f t="shared" si="34"/>
        <v>2186</v>
      </c>
      <c r="CFC1" s="1">
        <f t="shared" si="34"/>
        <v>2187</v>
      </c>
      <c r="CFD1" s="1">
        <f t="shared" si="34"/>
        <v>2188</v>
      </c>
      <c r="CFE1" s="1">
        <f t="shared" si="34"/>
        <v>2189</v>
      </c>
      <c r="CFF1" s="1">
        <f t="shared" si="34"/>
        <v>2190</v>
      </c>
      <c r="CFG1" s="1">
        <f t="shared" si="34"/>
        <v>2191</v>
      </c>
      <c r="CFH1" s="1">
        <f t="shared" si="34"/>
        <v>2192</v>
      </c>
      <c r="CFI1" s="1">
        <f t="shared" si="34"/>
        <v>2193</v>
      </c>
      <c r="CFJ1" s="1">
        <f t="shared" si="34"/>
        <v>2194</v>
      </c>
      <c r="CFK1" s="1">
        <f t="shared" si="34"/>
        <v>2195</v>
      </c>
      <c r="CFL1" s="1">
        <f t="shared" si="34"/>
        <v>2196</v>
      </c>
      <c r="CFM1" s="1">
        <f t="shared" si="34"/>
        <v>2197</v>
      </c>
      <c r="CFN1" s="1">
        <f t="shared" si="34"/>
        <v>2198</v>
      </c>
      <c r="CFO1" s="1">
        <f t="shared" si="34"/>
        <v>2199</v>
      </c>
      <c r="CFP1" s="1">
        <f t="shared" si="34"/>
        <v>2200</v>
      </c>
      <c r="CFQ1" s="1">
        <f t="shared" si="34"/>
        <v>2201</v>
      </c>
      <c r="CFR1" s="42">
        <f t="shared" si="34"/>
        <v>2202</v>
      </c>
      <c r="CFS1" s="1">
        <f t="shared" si="34"/>
        <v>2203</v>
      </c>
      <c r="CFT1" s="1">
        <f t="shared" si="34"/>
        <v>2204</v>
      </c>
      <c r="CFU1" s="1">
        <f t="shared" si="34"/>
        <v>2205</v>
      </c>
      <c r="CFV1" s="1">
        <f t="shared" si="34"/>
        <v>2206</v>
      </c>
      <c r="CFW1" s="1">
        <f t="shared" si="34"/>
        <v>2207</v>
      </c>
      <c r="CFX1" s="1">
        <f t="shared" si="34"/>
        <v>2208</v>
      </c>
      <c r="CFY1" s="1">
        <f t="shared" si="34"/>
        <v>2209</v>
      </c>
      <c r="CFZ1" s="1">
        <f t="shared" si="34"/>
        <v>2210</v>
      </c>
      <c r="CGA1" s="1">
        <f t="shared" si="34"/>
        <v>2211</v>
      </c>
      <c r="CGB1" s="1">
        <f t="shared" si="34"/>
        <v>2212</v>
      </c>
      <c r="CGC1" s="1">
        <f t="shared" si="34"/>
        <v>2213</v>
      </c>
      <c r="CGD1" s="1">
        <f t="shared" si="34"/>
        <v>2214</v>
      </c>
      <c r="CGE1" s="1">
        <f t="shared" si="34"/>
        <v>2215</v>
      </c>
      <c r="CGF1" s="1">
        <f t="shared" si="34"/>
        <v>2216</v>
      </c>
      <c r="CGG1" s="1">
        <f t="shared" si="34"/>
        <v>2217</v>
      </c>
      <c r="CGH1" s="1">
        <f t="shared" si="34"/>
        <v>2218</v>
      </c>
      <c r="CGI1" s="1">
        <f t="shared" si="34"/>
        <v>2219</v>
      </c>
      <c r="CGJ1" s="1">
        <f t="shared" si="34"/>
        <v>2220</v>
      </c>
      <c r="CGK1" s="1">
        <f t="shared" si="34"/>
        <v>2221</v>
      </c>
      <c r="CGL1" s="1">
        <f t="shared" si="34"/>
        <v>2222</v>
      </c>
      <c r="CGM1" s="1">
        <f t="shared" si="34"/>
        <v>2223</v>
      </c>
      <c r="CGN1" s="1">
        <f t="shared" si="34"/>
        <v>2224</v>
      </c>
      <c r="CGO1" s="1">
        <f t="shared" si="34"/>
        <v>2225</v>
      </c>
      <c r="CGP1" s="1">
        <f t="shared" si="34"/>
        <v>2226</v>
      </c>
      <c r="CGQ1" s="1">
        <f t="shared" si="34"/>
        <v>2227</v>
      </c>
      <c r="CGR1" s="1">
        <f t="shared" si="34"/>
        <v>2228</v>
      </c>
      <c r="CGS1" s="1">
        <f t="shared" si="34"/>
        <v>2229</v>
      </c>
      <c r="CGT1" s="1">
        <f t="shared" si="34"/>
        <v>2230</v>
      </c>
      <c r="CGU1" s="1">
        <f t="shared" si="34"/>
        <v>2231</v>
      </c>
      <c r="CGV1" s="1">
        <f t="shared" si="34"/>
        <v>2232</v>
      </c>
      <c r="CGW1" s="1">
        <f t="shared" si="34"/>
        <v>2233</v>
      </c>
      <c r="CGX1" s="1">
        <f t="shared" si="34"/>
        <v>2234</v>
      </c>
      <c r="CGY1" s="1">
        <f t="shared" si="34"/>
        <v>2235</v>
      </c>
      <c r="CGZ1" s="1">
        <f t="shared" si="34"/>
        <v>2236</v>
      </c>
      <c r="CHA1" s="1">
        <f t="shared" si="34"/>
        <v>2237</v>
      </c>
      <c r="CHB1" s="1">
        <f t="shared" si="34"/>
        <v>2238</v>
      </c>
      <c r="CHC1" s="1">
        <f t="shared" si="34"/>
        <v>2239</v>
      </c>
      <c r="CHD1" s="1">
        <f t="shared" si="34"/>
        <v>2240</v>
      </c>
      <c r="CHE1" s="1">
        <f t="shared" si="34"/>
        <v>2241</v>
      </c>
      <c r="CHF1" s="1">
        <f t="shared" si="34"/>
        <v>2242</v>
      </c>
      <c r="CHG1" s="1">
        <f t="shared" ref="CHG1:CJR1" si="35">CHF1+1</f>
        <v>2243</v>
      </c>
      <c r="CHH1" s="1">
        <f t="shared" si="35"/>
        <v>2244</v>
      </c>
      <c r="CHI1" s="1">
        <f t="shared" si="35"/>
        <v>2245</v>
      </c>
      <c r="CHJ1" s="42">
        <f t="shared" si="35"/>
        <v>2246</v>
      </c>
      <c r="CHK1" s="1">
        <f t="shared" si="35"/>
        <v>2247</v>
      </c>
      <c r="CHL1" s="1">
        <f t="shared" si="35"/>
        <v>2248</v>
      </c>
      <c r="CHM1" s="1">
        <f t="shared" si="35"/>
        <v>2249</v>
      </c>
      <c r="CHN1" s="1">
        <f t="shared" si="35"/>
        <v>2250</v>
      </c>
      <c r="CHO1" s="1">
        <f t="shared" si="35"/>
        <v>2251</v>
      </c>
      <c r="CHP1" s="1">
        <f t="shared" si="35"/>
        <v>2252</v>
      </c>
      <c r="CHQ1" s="1">
        <f t="shared" si="35"/>
        <v>2253</v>
      </c>
      <c r="CHR1" s="1">
        <f t="shared" si="35"/>
        <v>2254</v>
      </c>
      <c r="CHS1" s="1">
        <f t="shared" si="35"/>
        <v>2255</v>
      </c>
      <c r="CHT1" s="1">
        <f t="shared" si="35"/>
        <v>2256</v>
      </c>
      <c r="CHU1" s="1">
        <f t="shared" si="35"/>
        <v>2257</v>
      </c>
      <c r="CHV1" s="1">
        <f t="shared" si="35"/>
        <v>2258</v>
      </c>
      <c r="CHW1" s="1">
        <f t="shared" si="35"/>
        <v>2259</v>
      </c>
      <c r="CHX1" s="1">
        <f t="shared" si="35"/>
        <v>2260</v>
      </c>
      <c r="CHY1" s="1">
        <f t="shared" si="35"/>
        <v>2261</v>
      </c>
      <c r="CHZ1" s="1">
        <f t="shared" si="35"/>
        <v>2262</v>
      </c>
      <c r="CIA1" s="1">
        <f t="shared" si="35"/>
        <v>2263</v>
      </c>
      <c r="CIB1" s="1">
        <f t="shared" si="35"/>
        <v>2264</v>
      </c>
      <c r="CIC1" s="1">
        <f t="shared" si="35"/>
        <v>2265</v>
      </c>
      <c r="CID1" s="1">
        <f t="shared" si="35"/>
        <v>2266</v>
      </c>
      <c r="CIE1" s="1">
        <f t="shared" si="35"/>
        <v>2267</v>
      </c>
      <c r="CIF1" s="1">
        <f t="shared" si="35"/>
        <v>2268</v>
      </c>
      <c r="CIG1" s="1">
        <f t="shared" si="35"/>
        <v>2269</v>
      </c>
      <c r="CIH1" s="1">
        <f t="shared" si="35"/>
        <v>2270</v>
      </c>
      <c r="CII1" s="1">
        <f t="shared" si="35"/>
        <v>2271</v>
      </c>
      <c r="CIJ1" s="1">
        <f t="shared" si="35"/>
        <v>2272</v>
      </c>
      <c r="CIK1" s="1">
        <f t="shared" si="35"/>
        <v>2273</v>
      </c>
      <c r="CIL1" s="1">
        <f t="shared" si="35"/>
        <v>2274</v>
      </c>
      <c r="CIM1" s="1">
        <f t="shared" si="35"/>
        <v>2275</v>
      </c>
      <c r="CIN1" s="1">
        <f t="shared" si="35"/>
        <v>2276</v>
      </c>
      <c r="CIO1" s="1">
        <f t="shared" si="35"/>
        <v>2277</v>
      </c>
      <c r="CIP1" s="1">
        <f t="shared" si="35"/>
        <v>2278</v>
      </c>
      <c r="CIQ1" s="1">
        <f t="shared" si="35"/>
        <v>2279</v>
      </c>
      <c r="CIR1" s="1">
        <f t="shared" si="35"/>
        <v>2280</v>
      </c>
      <c r="CIS1" s="1">
        <f t="shared" si="35"/>
        <v>2281</v>
      </c>
      <c r="CIT1" s="1">
        <f t="shared" si="35"/>
        <v>2282</v>
      </c>
      <c r="CIU1" s="1">
        <f t="shared" si="35"/>
        <v>2283</v>
      </c>
      <c r="CIV1" s="1">
        <f t="shared" si="35"/>
        <v>2284</v>
      </c>
      <c r="CIW1" s="1">
        <f t="shared" si="35"/>
        <v>2285</v>
      </c>
      <c r="CIX1" s="1">
        <f t="shared" si="35"/>
        <v>2286</v>
      </c>
      <c r="CIY1" s="1">
        <f t="shared" si="35"/>
        <v>2287</v>
      </c>
      <c r="CIZ1" s="1">
        <f t="shared" si="35"/>
        <v>2288</v>
      </c>
      <c r="CJA1" s="1">
        <f t="shared" si="35"/>
        <v>2289</v>
      </c>
      <c r="CJB1" s="42">
        <f t="shared" si="35"/>
        <v>2290</v>
      </c>
      <c r="CJC1" s="1">
        <f t="shared" si="35"/>
        <v>2291</v>
      </c>
      <c r="CJD1" s="1">
        <f t="shared" si="35"/>
        <v>2292</v>
      </c>
      <c r="CJE1" s="1">
        <f t="shared" si="35"/>
        <v>2293</v>
      </c>
      <c r="CJF1" s="1">
        <f t="shared" si="35"/>
        <v>2294</v>
      </c>
      <c r="CJG1" s="1">
        <f t="shared" si="35"/>
        <v>2295</v>
      </c>
      <c r="CJH1" s="1">
        <f t="shared" si="35"/>
        <v>2296</v>
      </c>
      <c r="CJI1" s="1">
        <f t="shared" si="35"/>
        <v>2297</v>
      </c>
      <c r="CJJ1" s="1">
        <f t="shared" si="35"/>
        <v>2298</v>
      </c>
      <c r="CJK1" s="1">
        <f t="shared" si="35"/>
        <v>2299</v>
      </c>
      <c r="CJL1" s="1">
        <f t="shared" si="35"/>
        <v>2300</v>
      </c>
      <c r="CJM1" s="1">
        <f t="shared" si="35"/>
        <v>2301</v>
      </c>
      <c r="CJN1" s="1">
        <f t="shared" si="35"/>
        <v>2302</v>
      </c>
      <c r="CJO1" s="1">
        <f t="shared" si="35"/>
        <v>2303</v>
      </c>
      <c r="CJP1" s="1">
        <f t="shared" si="35"/>
        <v>2304</v>
      </c>
      <c r="CJQ1" s="1">
        <f t="shared" si="35"/>
        <v>2305</v>
      </c>
      <c r="CJR1" s="1">
        <f t="shared" si="35"/>
        <v>2306</v>
      </c>
      <c r="CJS1" s="1">
        <f t="shared" ref="CJS1:CMD1" si="36">CJR1+1</f>
        <v>2307</v>
      </c>
      <c r="CJT1" s="1">
        <f t="shared" si="36"/>
        <v>2308</v>
      </c>
      <c r="CJU1" s="1">
        <f t="shared" si="36"/>
        <v>2309</v>
      </c>
      <c r="CJV1" s="1">
        <f t="shared" si="36"/>
        <v>2310</v>
      </c>
      <c r="CJW1" s="1">
        <f t="shared" si="36"/>
        <v>2311</v>
      </c>
      <c r="CJX1" s="1">
        <f t="shared" si="36"/>
        <v>2312</v>
      </c>
      <c r="CJY1" s="1">
        <f t="shared" si="36"/>
        <v>2313</v>
      </c>
      <c r="CJZ1" s="1">
        <f t="shared" si="36"/>
        <v>2314</v>
      </c>
      <c r="CKA1" s="1">
        <f t="shared" si="36"/>
        <v>2315</v>
      </c>
      <c r="CKB1" s="1">
        <f t="shared" si="36"/>
        <v>2316</v>
      </c>
      <c r="CKC1" s="1">
        <f t="shared" si="36"/>
        <v>2317</v>
      </c>
      <c r="CKD1" s="1">
        <f t="shared" si="36"/>
        <v>2318</v>
      </c>
      <c r="CKE1" s="1">
        <f t="shared" si="36"/>
        <v>2319</v>
      </c>
      <c r="CKF1" s="1">
        <f t="shared" si="36"/>
        <v>2320</v>
      </c>
      <c r="CKG1" s="1">
        <f t="shared" si="36"/>
        <v>2321</v>
      </c>
      <c r="CKH1" s="1">
        <f t="shared" si="36"/>
        <v>2322</v>
      </c>
      <c r="CKI1" s="1">
        <f t="shared" si="36"/>
        <v>2323</v>
      </c>
      <c r="CKJ1" s="1">
        <f t="shared" si="36"/>
        <v>2324</v>
      </c>
      <c r="CKK1" s="1">
        <f t="shared" si="36"/>
        <v>2325</v>
      </c>
      <c r="CKL1" s="1">
        <f t="shared" si="36"/>
        <v>2326</v>
      </c>
      <c r="CKM1" s="1">
        <f t="shared" si="36"/>
        <v>2327</v>
      </c>
      <c r="CKN1" s="1">
        <f t="shared" si="36"/>
        <v>2328</v>
      </c>
      <c r="CKO1" s="1">
        <f t="shared" si="36"/>
        <v>2329</v>
      </c>
      <c r="CKP1" s="1">
        <f t="shared" si="36"/>
        <v>2330</v>
      </c>
      <c r="CKQ1" s="1">
        <f t="shared" si="36"/>
        <v>2331</v>
      </c>
      <c r="CKR1" s="1">
        <f t="shared" si="36"/>
        <v>2332</v>
      </c>
      <c r="CKS1" s="1">
        <f t="shared" si="36"/>
        <v>2333</v>
      </c>
      <c r="CKT1" s="42">
        <f t="shared" si="36"/>
        <v>2334</v>
      </c>
      <c r="CKU1" s="1">
        <f t="shared" si="36"/>
        <v>2335</v>
      </c>
      <c r="CKV1" s="1">
        <f t="shared" si="36"/>
        <v>2336</v>
      </c>
      <c r="CKW1" s="1">
        <f t="shared" si="36"/>
        <v>2337</v>
      </c>
      <c r="CKX1" s="1">
        <f t="shared" si="36"/>
        <v>2338</v>
      </c>
      <c r="CKY1" s="1">
        <f t="shared" si="36"/>
        <v>2339</v>
      </c>
      <c r="CKZ1" s="1">
        <f t="shared" si="36"/>
        <v>2340</v>
      </c>
      <c r="CLA1" s="1">
        <f t="shared" si="36"/>
        <v>2341</v>
      </c>
      <c r="CLB1" s="1">
        <f t="shared" si="36"/>
        <v>2342</v>
      </c>
      <c r="CLC1" s="1">
        <f t="shared" si="36"/>
        <v>2343</v>
      </c>
      <c r="CLD1" s="1">
        <f t="shared" si="36"/>
        <v>2344</v>
      </c>
      <c r="CLE1" s="1">
        <f t="shared" si="36"/>
        <v>2345</v>
      </c>
      <c r="CLF1" s="1">
        <f t="shared" si="36"/>
        <v>2346</v>
      </c>
      <c r="CLG1" s="1">
        <f t="shared" si="36"/>
        <v>2347</v>
      </c>
      <c r="CLH1" s="1">
        <f t="shared" si="36"/>
        <v>2348</v>
      </c>
      <c r="CLI1" s="1">
        <f t="shared" si="36"/>
        <v>2349</v>
      </c>
      <c r="CLJ1" s="1">
        <f t="shared" si="36"/>
        <v>2350</v>
      </c>
      <c r="CLK1" s="1">
        <f t="shared" si="36"/>
        <v>2351</v>
      </c>
      <c r="CLL1" s="1">
        <f t="shared" si="36"/>
        <v>2352</v>
      </c>
      <c r="CLM1" s="1">
        <f t="shared" si="36"/>
        <v>2353</v>
      </c>
      <c r="CLN1" s="1">
        <f t="shared" si="36"/>
        <v>2354</v>
      </c>
      <c r="CLO1" s="1">
        <f t="shared" si="36"/>
        <v>2355</v>
      </c>
      <c r="CLP1" s="1">
        <f t="shared" si="36"/>
        <v>2356</v>
      </c>
      <c r="CLQ1" s="1">
        <f t="shared" si="36"/>
        <v>2357</v>
      </c>
      <c r="CLR1" s="1">
        <f t="shared" si="36"/>
        <v>2358</v>
      </c>
      <c r="CLS1" s="1">
        <f t="shared" si="36"/>
        <v>2359</v>
      </c>
      <c r="CLT1" s="1">
        <f t="shared" si="36"/>
        <v>2360</v>
      </c>
      <c r="CLU1" s="1">
        <f t="shared" si="36"/>
        <v>2361</v>
      </c>
      <c r="CLV1" s="1">
        <f t="shared" si="36"/>
        <v>2362</v>
      </c>
      <c r="CLW1" s="1">
        <f t="shared" si="36"/>
        <v>2363</v>
      </c>
      <c r="CLX1" s="1">
        <f t="shared" si="36"/>
        <v>2364</v>
      </c>
      <c r="CLY1" s="1">
        <f t="shared" si="36"/>
        <v>2365</v>
      </c>
      <c r="CLZ1" s="1">
        <f t="shared" si="36"/>
        <v>2366</v>
      </c>
      <c r="CMA1" s="1">
        <f t="shared" si="36"/>
        <v>2367</v>
      </c>
      <c r="CMB1" s="1">
        <f t="shared" si="36"/>
        <v>2368</v>
      </c>
      <c r="CMC1" s="1">
        <f t="shared" si="36"/>
        <v>2369</v>
      </c>
      <c r="CMD1" s="1">
        <f t="shared" si="36"/>
        <v>2370</v>
      </c>
      <c r="CME1" s="1">
        <f t="shared" ref="CME1:COP1" si="37">CMD1+1</f>
        <v>2371</v>
      </c>
      <c r="CMF1" s="1">
        <f t="shared" si="37"/>
        <v>2372</v>
      </c>
      <c r="CMG1" s="1">
        <f t="shared" si="37"/>
        <v>2373</v>
      </c>
      <c r="CMH1" s="1">
        <f t="shared" si="37"/>
        <v>2374</v>
      </c>
      <c r="CMI1" s="1">
        <f t="shared" si="37"/>
        <v>2375</v>
      </c>
      <c r="CMJ1" s="1">
        <f t="shared" si="37"/>
        <v>2376</v>
      </c>
      <c r="CMK1" s="1">
        <f t="shared" si="37"/>
        <v>2377</v>
      </c>
      <c r="CML1" s="42">
        <f t="shared" si="37"/>
        <v>2378</v>
      </c>
      <c r="CMM1" s="1">
        <f t="shared" si="37"/>
        <v>2379</v>
      </c>
      <c r="CMN1" s="1">
        <f t="shared" si="37"/>
        <v>2380</v>
      </c>
      <c r="CMO1" s="1">
        <f t="shared" si="37"/>
        <v>2381</v>
      </c>
      <c r="CMP1" s="1">
        <f t="shared" si="37"/>
        <v>2382</v>
      </c>
      <c r="CMQ1" s="1">
        <f t="shared" si="37"/>
        <v>2383</v>
      </c>
      <c r="CMR1" s="1">
        <f t="shared" si="37"/>
        <v>2384</v>
      </c>
      <c r="CMS1" s="1">
        <f t="shared" si="37"/>
        <v>2385</v>
      </c>
      <c r="CMT1" s="1">
        <f t="shared" si="37"/>
        <v>2386</v>
      </c>
      <c r="CMU1" s="1">
        <f t="shared" si="37"/>
        <v>2387</v>
      </c>
      <c r="CMV1" s="1">
        <f t="shared" si="37"/>
        <v>2388</v>
      </c>
      <c r="CMW1" s="1">
        <f t="shared" si="37"/>
        <v>2389</v>
      </c>
      <c r="CMX1" s="1">
        <f t="shared" si="37"/>
        <v>2390</v>
      </c>
      <c r="CMY1" s="1">
        <f t="shared" si="37"/>
        <v>2391</v>
      </c>
      <c r="CMZ1" s="1">
        <f t="shared" si="37"/>
        <v>2392</v>
      </c>
      <c r="CNA1" s="1">
        <f t="shared" si="37"/>
        <v>2393</v>
      </c>
      <c r="CNB1" s="1">
        <f t="shared" si="37"/>
        <v>2394</v>
      </c>
      <c r="CNC1" s="1">
        <f t="shared" si="37"/>
        <v>2395</v>
      </c>
      <c r="CND1" s="1">
        <f t="shared" si="37"/>
        <v>2396</v>
      </c>
      <c r="CNE1" s="1">
        <f t="shared" si="37"/>
        <v>2397</v>
      </c>
      <c r="CNF1" s="1">
        <f t="shared" si="37"/>
        <v>2398</v>
      </c>
      <c r="CNG1" s="1">
        <f t="shared" si="37"/>
        <v>2399</v>
      </c>
      <c r="CNH1" s="1">
        <f t="shared" si="37"/>
        <v>2400</v>
      </c>
      <c r="CNI1" s="1">
        <f t="shared" si="37"/>
        <v>2401</v>
      </c>
      <c r="CNJ1" s="1">
        <f t="shared" si="37"/>
        <v>2402</v>
      </c>
      <c r="CNK1" s="1">
        <f t="shared" si="37"/>
        <v>2403</v>
      </c>
      <c r="CNL1" s="1">
        <f t="shared" si="37"/>
        <v>2404</v>
      </c>
      <c r="CNM1" s="1">
        <f t="shared" si="37"/>
        <v>2405</v>
      </c>
      <c r="CNN1" s="1">
        <f t="shared" si="37"/>
        <v>2406</v>
      </c>
      <c r="CNO1" s="1">
        <f t="shared" si="37"/>
        <v>2407</v>
      </c>
      <c r="CNP1" s="1">
        <f t="shared" si="37"/>
        <v>2408</v>
      </c>
      <c r="CNQ1" s="1">
        <f t="shared" si="37"/>
        <v>2409</v>
      </c>
      <c r="CNR1" s="1">
        <f t="shared" si="37"/>
        <v>2410</v>
      </c>
      <c r="CNS1" s="1">
        <f t="shared" si="37"/>
        <v>2411</v>
      </c>
      <c r="CNT1" s="1">
        <f t="shared" si="37"/>
        <v>2412</v>
      </c>
      <c r="CNU1" s="1">
        <f t="shared" si="37"/>
        <v>2413</v>
      </c>
      <c r="CNV1" s="1">
        <f t="shared" si="37"/>
        <v>2414</v>
      </c>
      <c r="CNW1" s="1">
        <f t="shared" si="37"/>
        <v>2415</v>
      </c>
      <c r="CNX1" s="1">
        <f t="shared" si="37"/>
        <v>2416</v>
      </c>
      <c r="CNY1" s="1">
        <f t="shared" si="37"/>
        <v>2417</v>
      </c>
      <c r="CNZ1" s="1">
        <f t="shared" si="37"/>
        <v>2418</v>
      </c>
      <c r="COA1" s="1">
        <f t="shared" si="37"/>
        <v>2419</v>
      </c>
      <c r="COB1" s="1">
        <f t="shared" si="37"/>
        <v>2420</v>
      </c>
      <c r="COC1" s="1">
        <f t="shared" si="37"/>
        <v>2421</v>
      </c>
      <c r="COD1" s="42">
        <f t="shared" si="37"/>
        <v>2422</v>
      </c>
      <c r="COE1" s="1">
        <f t="shared" si="37"/>
        <v>2423</v>
      </c>
      <c r="COF1" s="1">
        <f t="shared" si="37"/>
        <v>2424</v>
      </c>
      <c r="COG1" s="1">
        <f t="shared" si="37"/>
        <v>2425</v>
      </c>
      <c r="COH1" s="1">
        <f t="shared" si="37"/>
        <v>2426</v>
      </c>
      <c r="COI1" s="1">
        <f t="shared" si="37"/>
        <v>2427</v>
      </c>
      <c r="COJ1" s="1">
        <f t="shared" si="37"/>
        <v>2428</v>
      </c>
      <c r="COK1" s="1">
        <f t="shared" si="37"/>
        <v>2429</v>
      </c>
      <c r="COL1" s="1">
        <f t="shared" si="37"/>
        <v>2430</v>
      </c>
      <c r="COM1" s="1">
        <f t="shared" si="37"/>
        <v>2431</v>
      </c>
      <c r="CON1" s="1">
        <f t="shared" si="37"/>
        <v>2432</v>
      </c>
      <c r="COO1" s="1">
        <f t="shared" si="37"/>
        <v>2433</v>
      </c>
      <c r="COP1" s="1">
        <f t="shared" si="37"/>
        <v>2434</v>
      </c>
      <c r="COQ1" s="1">
        <f t="shared" ref="COQ1:CRB1" si="38">COP1+1</f>
        <v>2435</v>
      </c>
      <c r="COR1" s="1">
        <f t="shared" si="38"/>
        <v>2436</v>
      </c>
      <c r="COS1" s="1">
        <f t="shared" si="38"/>
        <v>2437</v>
      </c>
      <c r="COT1" s="1">
        <f t="shared" si="38"/>
        <v>2438</v>
      </c>
      <c r="COU1" s="1">
        <f t="shared" si="38"/>
        <v>2439</v>
      </c>
      <c r="COV1" s="1">
        <f t="shared" si="38"/>
        <v>2440</v>
      </c>
      <c r="COW1" s="1">
        <f t="shared" si="38"/>
        <v>2441</v>
      </c>
      <c r="COX1" s="1">
        <f t="shared" si="38"/>
        <v>2442</v>
      </c>
      <c r="COY1" s="1">
        <f t="shared" si="38"/>
        <v>2443</v>
      </c>
      <c r="COZ1" s="1">
        <f t="shared" si="38"/>
        <v>2444</v>
      </c>
      <c r="CPA1" s="1">
        <f t="shared" si="38"/>
        <v>2445</v>
      </c>
      <c r="CPB1" s="1">
        <f t="shared" si="38"/>
        <v>2446</v>
      </c>
      <c r="CPC1" s="1">
        <f t="shared" si="38"/>
        <v>2447</v>
      </c>
      <c r="CPD1" s="1">
        <f t="shared" si="38"/>
        <v>2448</v>
      </c>
      <c r="CPE1" s="1">
        <f t="shared" si="38"/>
        <v>2449</v>
      </c>
      <c r="CPF1" s="1">
        <f t="shared" si="38"/>
        <v>2450</v>
      </c>
      <c r="CPG1" s="1">
        <f t="shared" si="38"/>
        <v>2451</v>
      </c>
      <c r="CPH1" s="1">
        <f t="shared" si="38"/>
        <v>2452</v>
      </c>
      <c r="CPI1" s="1">
        <f t="shared" si="38"/>
        <v>2453</v>
      </c>
      <c r="CPJ1" s="1">
        <f t="shared" si="38"/>
        <v>2454</v>
      </c>
      <c r="CPK1" s="1">
        <f t="shared" si="38"/>
        <v>2455</v>
      </c>
      <c r="CPL1" s="1">
        <f t="shared" si="38"/>
        <v>2456</v>
      </c>
      <c r="CPM1" s="1">
        <f t="shared" si="38"/>
        <v>2457</v>
      </c>
      <c r="CPN1" s="1">
        <f t="shared" si="38"/>
        <v>2458</v>
      </c>
      <c r="CPO1" s="1">
        <f t="shared" si="38"/>
        <v>2459</v>
      </c>
      <c r="CPP1" s="1">
        <f t="shared" si="38"/>
        <v>2460</v>
      </c>
      <c r="CPQ1" s="1">
        <f t="shared" si="38"/>
        <v>2461</v>
      </c>
      <c r="CPR1" s="1">
        <f t="shared" si="38"/>
        <v>2462</v>
      </c>
      <c r="CPS1" s="1">
        <f t="shared" si="38"/>
        <v>2463</v>
      </c>
      <c r="CPT1" s="1">
        <f t="shared" si="38"/>
        <v>2464</v>
      </c>
      <c r="CPU1" s="1">
        <f t="shared" si="38"/>
        <v>2465</v>
      </c>
      <c r="CPV1" s="42">
        <f t="shared" si="38"/>
        <v>2466</v>
      </c>
      <c r="CPW1" s="1">
        <f t="shared" si="38"/>
        <v>2467</v>
      </c>
      <c r="CPX1" s="1">
        <f t="shared" si="38"/>
        <v>2468</v>
      </c>
      <c r="CPY1" s="1">
        <f t="shared" si="38"/>
        <v>2469</v>
      </c>
      <c r="CPZ1" s="1">
        <f t="shared" si="38"/>
        <v>2470</v>
      </c>
      <c r="CQA1" s="1">
        <f t="shared" si="38"/>
        <v>2471</v>
      </c>
      <c r="CQB1" s="1">
        <f t="shared" si="38"/>
        <v>2472</v>
      </c>
      <c r="CQC1" s="1">
        <f t="shared" si="38"/>
        <v>2473</v>
      </c>
      <c r="CQD1" s="1">
        <f t="shared" si="38"/>
        <v>2474</v>
      </c>
      <c r="CQE1" s="1">
        <f t="shared" si="38"/>
        <v>2475</v>
      </c>
      <c r="CQF1" s="1">
        <f t="shared" si="38"/>
        <v>2476</v>
      </c>
      <c r="CQG1" s="1">
        <f t="shared" si="38"/>
        <v>2477</v>
      </c>
      <c r="CQH1" s="1">
        <f t="shared" si="38"/>
        <v>2478</v>
      </c>
      <c r="CQI1" s="1">
        <f t="shared" si="38"/>
        <v>2479</v>
      </c>
      <c r="CQJ1" s="1">
        <f t="shared" si="38"/>
        <v>2480</v>
      </c>
      <c r="CQK1" s="1">
        <f t="shared" si="38"/>
        <v>2481</v>
      </c>
      <c r="CQL1" s="1">
        <f t="shared" si="38"/>
        <v>2482</v>
      </c>
      <c r="CQM1" s="1">
        <f t="shared" si="38"/>
        <v>2483</v>
      </c>
      <c r="CQN1" s="1">
        <f t="shared" si="38"/>
        <v>2484</v>
      </c>
      <c r="CQO1" s="1">
        <f t="shared" si="38"/>
        <v>2485</v>
      </c>
      <c r="CQP1" s="1">
        <f t="shared" si="38"/>
        <v>2486</v>
      </c>
      <c r="CQQ1" s="1">
        <f t="shared" si="38"/>
        <v>2487</v>
      </c>
      <c r="CQR1" s="1">
        <f t="shared" si="38"/>
        <v>2488</v>
      </c>
      <c r="CQS1" s="1">
        <f t="shared" si="38"/>
        <v>2489</v>
      </c>
      <c r="CQT1" s="1">
        <f t="shared" si="38"/>
        <v>2490</v>
      </c>
      <c r="CQU1" s="1">
        <f t="shared" si="38"/>
        <v>2491</v>
      </c>
      <c r="CQV1" s="1">
        <f t="shared" si="38"/>
        <v>2492</v>
      </c>
      <c r="CQW1" s="1">
        <f t="shared" si="38"/>
        <v>2493</v>
      </c>
      <c r="CQX1" s="1">
        <f t="shared" si="38"/>
        <v>2494</v>
      </c>
      <c r="CQY1" s="1">
        <f t="shared" si="38"/>
        <v>2495</v>
      </c>
      <c r="CQZ1" s="1">
        <f t="shared" si="38"/>
        <v>2496</v>
      </c>
      <c r="CRA1" s="1">
        <f t="shared" si="38"/>
        <v>2497</v>
      </c>
      <c r="CRB1" s="1">
        <f t="shared" si="38"/>
        <v>2498</v>
      </c>
      <c r="CRC1" s="1">
        <f t="shared" ref="CRC1:CTN1" si="39">CRB1+1</f>
        <v>2499</v>
      </c>
      <c r="CRD1" s="1">
        <f t="shared" si="39"/>
        <v>2500</v>
      </c>
      <c r="CRE1" s="1">
        <f t="shared" si="39"/>
        <v>2501</v>
      </c>
      <c r="CRF1" s="1">
        <f t="shared" si="39"/>
        <v>2502</v>
      </c>
      <c r="CRG1" s="1">
        <f t="shared" si="39"/>
        <v>2503</v>
      </c>
      <c r="CRH1" s="1">
        <f t="shared" si="39"/>
        <v>2504</v>
      </c>
      <c r="CRI1" s="1">
        <f t="shared" si="39"/>
        <v>2505</v>
      </c>
      <c r="CRJ1" s="1">
        <f t="shared" si="39"/>
        <v>2506</v>
      </c>
      <c r="CRK1" s="1">
        <f t="shared" si="39"/>
        <v>2507</v>
      </c>
      <c r="CRL1" s="1">
        <f t="shared" si="39"/>
        <v>2508</v>
      </c>
      <c r="CRM1" s="1">
        <f t="shared" si="39"/>
        <v>2509</v>
      </c>
      <c r="CRN1" s="42">
        <f t="shared" si="39"/>
        <v>2510</v>
      </c>
      <c r="CRO1" s="1">
        <f t="shared" si="39"/>
        <v>2511</v>
      </c>
      <c r="CRP1" s="1">
        <f t="shared" si="39"/>
        <v>2512</v>
      </c>
      <c r="CRQ1" s="1">
        <f t="shared" si="39"/>
        <v>2513</v>
      </c>
      <c r="CRR1" s="1">
        <f t="shared" si="39"/>
        <v>2514</v>
      </c>
      <c r="CRS1" s="1">
        <f t="shared" si="39"/>
        <v>2515</v>
      </c>
      <c r="CRT1" s="1">
        <f t="shared" si="39"/>
        <v>2516</v>
      </c>
      <c r="CRU1" s="1">
        <f t="shared" si="39"/>
        <v>2517</v>
      </c>
      <c r="CRV1" s="1">
        <f t="shared" si="39"/>
        <v>2518</v>
      </c>
      <c r="CRW1" s="1">
        <f t="shared" si="39"/>
        <v>2519</v>
      </c>
      <c r="CRX1" s="1">
        <f t="shared" si="39"/>
        <v>2520</v>
      </c>
      <c r="CRY1" s="1">
        <f t="shared" si="39"/>
        <v>2521</v>
      </c>
      <c r="CRZ1" s="1">
        <f t="shared" si="39"/>
        <v>2522</v>
      </c>
      <c r="CSA1" s="1">
        <f t="shared" si="39"/>
        <v>2523</v>
      </c>
      <c r="CSB1" s="1">
        <f t="shared" si="39"/>
        <v>2524</v>
      </c>
      <c r="CSC1" s="1">
        <f t="shared" si="39"/>
        <v>2525</v>
      </c>
      <c r="CSD1" s="1">
        <f t="shared" si="39"/>
        <v>2526</v>
      </c>
      <c r="CSE1" s="1">
        <f t="shared" si="39"/>
        <v>2527</v>
      </c>
      <c r="CSF1" s="1">
        <f t="shared" si="39"/>
        <v>2528</v>
      </c>
      <c r="CSG1" s="1">
        <f t="shared" si="39"/>
        <v>2529</v>
      </c>
      <c r="CSH1" s="1">
        <f t="shared" si="39"/>
        <v>2530</v>
      </c>
      <c r="CSI1" s="1">
        <f t="shared" si="39"/>
        <v>2531</v>
      </c>
      <c r="CSJ1" s="1">
        <f t="shared" si="39"/>
        <v>2532</v>
      </c>
      <c r="CSK1" s="1">
        <f t="shared" si="39"/>
        <v>2533</v>
      </c>
      <c r="CSL1" s="1">
        <f t="shared" si="39"/>
        <v>2534</v>
      </c>
      <c r="CSM1" s="1">
        <f t="shared" si="39"/>
        <v>2535</v>
      </c>
      <c r="CSN1" s="1">
        <f t="shared" si="39"/>
        <v>2536</v>
      </c>
      <c r="CSO1" s="1">
        <f t="shared" si="39"/>
        <v>2537</v>
      </c>
      <c r="CSP1" s="1">
        <f t="shared" si="39"/>
        <v>2538</v>
      </c>
      <c r="CSQ1" s="1">
        <f t="shared" si="39"/>
        <v>2539</v>
      </c>
      <c r="CSR1" s="1">
        <f t="shared" si="39"/>
        <v>2540</v>
      </c>
      <c r="CSS1" s="1">
        <f t="shared" si="39"/>
        <v>2541</v>
      </c>
      <c r="CST1" s="1">
        <f t="shared" si="39"/>
        <v>2542</v>
      </c>
      <c r="CSU1" s="1">
        <f t="shared" si="39"/>
        <v>2543</v>
      </c>
      <c r="CSV1" s="1">
        <f t="shared" si="39"/>
        <v>2544</v>
      </c>
      <c r="CSW1" s="1">
        <f t="shared" si="39"/>
        <v>2545</v>
      </c>
      <c r="CSX1" s="1">
        <f t="shared" si="39"/>
        <v>2546</v>
      </c>
      <c r="CSY1" s="1">
        <f t="shared" si="39"/>
        <v>2547</v>
      </c>
      <c r="CSZ1" s="1">
        <f t="shared" si="39"/>
        <v>2548</v>
      </c>
      <c r="CTA1" s="1">
        <f t="shared" si="39"/>
        <v>2549</v>
      </c>
      <c r="CTB1" s="1">
        <f t="shared" si="39"/>
        <v>2550</v>
      </c>
      <c r="CTC1" s="1">
        <f t="shared" si="39"/>
        <v>2551</v>
      </c>
      <c r="CTD1" s="1">
        <f t="shared" si="39"/>
        <v>2552</v>
      </c>
      <c r="CTE1" s="1">
        <f t="shared" si="39"/>
        <v>2553</v>
      </c>
      <c r="CTF1" s="42">
        <f t="shared" si="39"/>
        <v>2554</v>
      </c>
      <c r="CTG1" s="1">
        <f t="shared" si="39"/>
        <v>2555</v>
      </c>
      <c r="CTH1" s="1">
        <f t="shared" si="39"/>
        <v>2556</v>
      </c>
      <c r="CTI1" s="1">
        <f t="shared" si="39"/>
        <v>2557</v>
      </c>
      <c r="CTJ1" s="1">
        <f t="shared" si="39"/>
        <v>2558</v>
      </c>
      <c r="CTK1" s="1">
        <f t="shared" si="39"/>
        <v>2559</v>
      </c>
      <c r="CTL1" s="1">
        <f t="shared" si="39"/>
        <v>2560</v>
      </c>
      <c r="CTM1" s="1">
        <f t="shared" si="39"/>
        <v>2561</v>
      </c>
      <c r="CTN1" s="1">
        <f t="shared" si="39"/>
        <v>2562</v>
      </c>
      <c r="CTO1" s="1">
        <f t="shared" ref="CTO1:CVZ1" si="40">CTN1+1</f>
        <v>2563</v>
      </c>
      <c r="CTP1" s="1">
        <f t="shared" si="40"/>
        <v>2564</v>
      </c>
      <c r="CTQ1" s="1">
        <f t="shared" si="40"/>
        <v>2565</v>
      </c>
      <c r="CTR1" s="1">
        <f t="shared" si="40"/>
        <v>2566</v>
      </c>
      <c r="CTS1" s="1">
        <f t="shared" si="40"/>
        <v>2567</v>
      </c>
      <c r="CTT1" s="1">
        <f t="shared" si="40"/>
        <v>2568</v>
      </c>
      <c r="CTU1" s="1">
        <f t="shared" si="40"/>
        <v>2569</v>
      </c>
      <c r="CTV1" s="1">
        <f t="shared" si="40"/>
        <v>2570</v>
      </c>
      <c r="CTW1" s="1">
        <f t="shared" si="40"/>
        <v>2571</v>
      </c>
      <c r="CTX1" s="1">
        <f t="shared" si="40"/>
        <v>2572</v>
      </c>
      <c r="CTY1" s="1">
        <f t="shared" si="40"/>
        <v>2573</v>
      </c>
      <c r="CTZ1" s="1">
        <f t="shared" si="40"/>
        <v>2574</v>
      </c>
      <c r="CUA1" s="1">
        <f t="shared" si="40"/>
        <v>2575</v>
      </c>
      <c r="CUB1" s="1">
        <f t="shared" si="40"/>
        <v>2576</v>
      </c>
      <c r="CUC1" s="1">
        <f t="shared" si="40"/>
        <v>2577</v>
      </c>
      <c r="CUD1" s="1">
        <f t="shared" si="40"/>
        <v>2578</v>
      </c>
      <c r="CUE1" s="1">
        <f t="shared" si="40"/>
        <v>2579</v>
      </c>
      <c r="CUF1" s="1">
        <f t="shared" si="40"/>
        <v>2580</v>
      </c>
      <c r="CUG1" s="1">
        <f t="shared" si="40"/>
        <v>2581</v>
      </c>
      <c r="CUH1" s="1">
        <f t="shared" si="40"/>
        <v>2582</v>
      </c>
      <c r="CUI1" s="1">
        <f t="shared" si="40"/>
        <v>2583</v>
      </c>
      <c r="CUJ1" s="1">
        <f t="shared" si="40"/>
        <v>2584</v>
      </c>
      <c r="CUK1" s="1">
        <f t="shared" si="40"/>
        <v>2585</v>
      </c>
      <c r="CUL1" s="1">
        <f t="shared" si="40"/>
        <v>2586</v>
      </c>
      <c r="CUM1" s="1">
        <f t="shared" si="40"/>
        <v>2587</v>
      </c>
      <c r="CUN1" s="1">
        <f t="shared" si="40"/>
        <v>2588</v>
      </c>
      <c r="CUO1" s="1">
        <f t="shared" si="40"/>
        <v>2589</v>
      </c>
      <c r="CUP1" s="1">
        <f t="shared" si="40"/>
        <v>2590</v>
      </c>
      <c r="CUQ1" s="1">
        <f t="shared" si="40"/>
        <v>2591</v>
      </c>
      <c r="CUR1" s="1">
        <f t="shared" si="40"/>
        <v>2592</v>
      </c>
      <c r="CUS1" s="1">
        <f t="shared" si="40"/>
        <v>2593</v>
      </c>
      <c r="CUT1" s="1">
        <f t="shared" si="40"/>
        <v>2594</v>
      </c>
      <c r="CUU1" s="1">
        <f t="shared" si="40"/>
        <v>2595</v>
      </c>
      <c r="CUV1" s="1">
        <f t="shared" si="40"/>
        <v>2596</v>
      </c>
      <c r="CUW1" s="1">
        <f t="shared" si="40"/>
        <v>2597</v>
      </c>
      <c r="CUX1" s="42">
        <f t="shared" si="40"/>
        <v>2598</v>
      </c>
      <c r="CUY1" s="1">
        <f t="shared" si="40"/>
        <v>2599</v>
      </c>
      <c r="CUZ1" s="1">
        <f t="shared" si="40"/>
        <v>2600</v>
      </c>
      <c r="CVA1" s="1">
        <f t="shared" si="40"/>
        <v>2601</v>
      </c>
      <c r="CVB1" s="1">
        <f t="shared" si="40"/>
        <v>2602</v>
      </c>
      <c r="CVC1" s="1">
        <f t="shared" si="40"/>
        <v>2603</v>
      </c>
      <c r="CVD1" s="1">
        <f t="shared" si="40"/>
        <v>2604</v>
      </c>
      <c r="CVE1" s="1">
        <f t="shared" si="40"/>
        <v>2605</v>
      </c>
      <c r="CVF1" s="1">
        <f t="shared" si="40"/>
        <v>2606</v>
      </c>
      <c r="CVG1" s="1">
        <f t="shared" si="40"/>
        <v>2607</v>
      </c>
      <c r="CVH1" s="1">
        <f t="shared" si="40"/>
        <v>2608</v>
      </c>
      <c r="CVI1" s="1">
        <f t="shared" si="40"/>
        <v>2609</v>
      </c>
      <c r="CVJ1" s="1">
        <f t="shared" si="40"/>
        <v>2610</v>
      </c>
      <c r="CVK1" s="1">
        <f t="shared" si="40"/>
        <v>2611</v>
      </c>
      <c r="CVL1" s="1">
        <f t="shared" si="40"/>
        <v>2612</v>
      </c>
      <c r="CVM1" s="1">
        <f t="shared" si="40"/>
        <v>2613</v>
      </c>
      <c r="CVN1" s="1">
        <f t="shared" si="40"/>
        <v>2614</v>
      </c>
      <c r="CVO1" s="1">
        <f t="shared" si="40"/>
        <v>2615</v>
      </c>
      <c r="CVP1" s="1">
        <f t="shared" si="40"/>
        <v>2616</v>
      </c>
      <c r="CVQ1" s="1">
        <f t="shared" si="40"/>
        <v>2617</v>
      </c>
      <c r="CVR1" s="1">
        <f t="shared" si="40"/>
        <v>2618</v>
      </c>
      <c r="CVS1" s="1">
        <f t="shared" si="40"/>
        <v>2619</v>
      </c>
      <c r="CVT1" s="1">
        <f t="shared" si="40"/>
        <v>2620</v>
      </c>
      <c r="CVU1" s="1">
        <f t="shared" si="40"/>
        <v>2621</v>
      </c>
      <c r="CVV1" s="1">
        <f t="shared" si="40"/>
        <v>2622</v>
      </c>
      <c r="CVW1" s="1">
        <f t="shared" si="40"/>
        <v>2623</v>
      </c>
      <c r="CVX1" s="1">
        <f t="shared" si="40"/>
        <v>2624</v>
      </c>
      <c r="CVY1" s="1">
        <f t="shared" si="40"/>
        <v>2625</v>
      </c>
      <c r="CVZ1" s="1">
        <f t="shared" si="40"/>
        <v>2626</v>
      </c>
      <c r="CWA1" s="1">
        <f t="shared" ref="CWA1:CYL1" si="41">CVZ1+1</f>
        <v>2627</v>
      </c>
      <c r="CWB1" s="1">
        <f t="shared" si="41"/>
        <v>2628</v>
      </c>
      <c r="CWC1" s="1">
        <f t="shared" si="41"/>
        <v>2629</v>
      </c>
      <c r="CWD1" s="1">
        <f t="shared" si="41"/>
        <v>2630</v>
      </c>
      <c r="CWE1" s="1">
        <f t="shared" si="41"/>
        <v>2631</v>
      </c>
      <c r="CWF1" s="1">
        <f t="shared" si="41"/>
        <v>2632</v>
      </c>
      <c r="CWG1" s="1">
        <f t="shared" si="41"/>
        <v>2633</v>
      </c>
      <c r="CWH1" s="1">
        <f t="shared" si="41"/>
        <v>2634</v>
      </c>
      <c r="CWI1" s="1">
        <f t="shared" si="41"/>
        <v>2635</v>
      </c>
      <c r="CWJ1" s="1">
        <f t="shared" si="41"/>
        <v>2636</v>
      </c>
      <c r="CWK1" s="1">
        <f t="shared" si="41"/>
        <v>2637</v>
      </c>
      <c r="CWL1" s="1">
        <f t="shared" si="41"/>
        <v>2638</v>
      </c>
      <c r="CWM1" s="1">
        <f t="shared" si="41"/>
        <v>2639</v>
      </c>
      <c r="CWN1" s="1">
        <f t="shared" si="41"/>
        <v>2640</v>
      </c>
      <c r="CWO1" s="1">
        <f t="shared" si="41"/>
        <v>2641</v>
      </c>
      <c r="CWP1" s="42">
        <f t="shared" si="41"/>
        <v>2642</v>
      </c>
      <c r="CWQ1" s="1">
        <f t="shared" si="41"/>
        <v>2643</v>
      </c>
      <c r="CWR1" s="1">
        <f t="shared" si="41"/>
        <v>2644</v>
      </c>
      <c r="CWS1" s="1">
        <f t="shared" si="41"/>
        <v>2645</v>
      </c>
      <c r="CWT1" s="1">
        <f t="shared" si="41"/>
        <v>2646</v>
      </c>
      <c r="CWU1" s="1">
        <f t="shared" si="41"/>
        <v>2647</v>
      </c>
      <c r="CWV1" s="1">
        <f t="shared" si="41"/>
        <v>2648</v>
      </c>
      <c r="CWW1" s="1">
        <f t="shared" si="41"/>
        <v>2649</v>
      </c>
      <c r="CWX1" s="1">
        <f t="shared" si="41"/>
        <v>2650</v>
      </c>
      <c r="CWY1" s="1">
        <f t="shared" si="41"/>
        <v>2651</v>
      </c>
      <c r="CWZ1" s="1">
        <f t="shared" si="41"/>
        <v>2652</v>
      </c>
      <c r="CXA1" s="1">
        <f t="shared" si="41"/>
        <v>2653</v>
      </c>
      <c r="CXB1" s="1">
        <f t="shared" si="41"/>
        <v>2654</v>
      </c>
      <c r="CXC1" s="1">
        <f t="shared" si="41"/>
        <v>2655</v>
      </c>
      <c r="CXD1" s="1">
        <f t="shared" si="41"/>
        <v>2656</v>
      </c>
      <c r="CXE1" s="1">
        <f t="shared" si="41"/>
        <v>2657</v>
      </c>
      <c r="CXF1" s="1">
        <f t="shared" si="41"/>
        <v>2658</v>
      </c>
      <c r="CXG1" s="1">
        <f t="shared" si="41"/>
        <v>2659</v>
      </c>
      <c r="CXH1" s="1">
        <f t="shared" si="41"/>
        <v>2660</v>
      </c>
      <c r="CXI1" s="1">
        <f t="shared" si="41"/>
        <v>2661</v>
      </c>
      <c r="CXJ1" s="1">
        <f t="shared" si="41"/>
        <v>2662</v>
      </c>
      <c r="CXK1" s="1">
        <f t="shared" si="41"/>
        <v>2663</v>
      </c>
      <c r="CXL1" s="1">
        <f t="shared" si="41"/>
        <v>2664</v>
      </c>
      <c r="CXM1" s="1">
        <f t="shared" si="41"/>
        <v>2665</v>
      </c>
      <c r="CXN1" s="1">
        <f t="shared" si="41"/>
        <v>2666</v>
      </c>
      <c r="CXO1" s="1">
        <f t="shared" si="41"/>
        <v>2667</v>
      </c>
      <c r="CXP1" s="1">
        <f t="shared" si="41"/>
        <v>2668</v>
      </c>
      <c r="CXQ1" s="1">
        <f t="shared" si="41"/>
        <v>2669</v>
      </c>
      <c r="CXR1" s="1">
        <f t="shared" si="41"/>
        <v>2670</v>
      </c>
      <c r="CXS1" s="1">
        <f t="shared" si="41"/>
        <v>2671</v>
      </c>
      <c r="CXT1" s="1">
        <f t="shared" si="41"/>
        <v>2672</v>
      </c>
      <c r="CXU1" s="1">
        <f t="shared" si="41"/>
        <v>2673</v>
      </c>
      <c r="CXV1" s="1">
        <f t="shared" si="41"/>
        <v>2674</v>
      </c>
      <c r="CXW1" s="1">
        <f t="shared" si="41"/>
        <v>2675</v>
      </c>
      <c r="CXX1" s="1">
        <f t="shared" si="41"/>
        <v>2676</v>
      </c>
      <c r="CXY1" s="1">
        <f t="shared" si="41"/>
        <v>2677</v>
      </c>
      <c r="CXZ1" s="1">
        <f t="shared" si="41"/>
        <v>2678</v>
      </c>
      <c r="CYA1" s="1">
        <f t="shared" si="41"/>
        <v>2679</v>
      </c>
      <c r="CYB1" s="1">
        <f t="shared" si="41"/>
        <v>2680</v>
      </c>
      <c r="CYC1" s="1">
        <f t="shared" si="41"/>
        <v>2681</v>
      </c>
      <c r="CYD1" s="1">
        <f t="shared" si="41"/>
        <v>2682</v>
      </c>
      <c r="CYE1" s="1">
        <f t="shared" si="41"/>
        <v>2683</v>
      </c>
      <c r="CYF1" s="1">
        <f t="shared" si="41"/>
        <v>2684</v>
      </c>
      <c r="CYG1" s="1">
        <f t="shared" si="41"/>
        <v>2685</v>
      </c>
      <c r="CYH1" s="42">
        <f t="shared" si="41"/>
        <v>2686</v>
      </c>
      <c r="CYI1" s="1">
        <f t="shared" si="41"/>
        <v>2687</v>
      </c>
      <c r="CYJ1" s="1">
        <f t="shared" si="41"/>
        <v>2688</v>
      </c>
      <c r="CYK1" s="1">
        <f t="shared" si="41"/>
        <v>2689</v>
      </c>
      <c r="CYL1" s="1">
        <f t="shared" si="41"/>
        <v>2690</v>
      </c>
      <c r="CYM1" s="1">
        <f t="shared" ref="CYM1:DAX1" si="42">CYL1+1</f>
        <v>2691</v>
      </c>
      <c r="CYN1" s="1">
        <f t="shared" si="42"/>
        <v>2692</v>
      </c>
      <c r="CYO1" s="1">
        <f t="shared" si="42"/>
        <v>2693</v>
      </c>
      <c r="CYP1" s="1">
        <f t="shared" si="42"/>
        <v>2694</v>
      </c>
      <c r="CYQ1" s="1">
        <f t="shared" si="42"/>
        <v>2695</v>
      </c>
      <c r="CYR1" s="1">
        <f t="shared" si="42"/>
        <v>2696</v>
      </c>
      <c r="CYS1" s="1">
        <f t="shared" si="42"/>
        <v>2697</v>
      </c>
      <c r="CYT1" s="1">
        <f t="shared" si="42"/>
        <v>2698</v>
      </c>
      <c r="CYU1" s="1">
        <f t="shared" si="42"/>
        <v>2699</v>
      </c>
      <c r="CYV1" s="1">
        <f t="shared" si="42"/>
        <v>2700</v>
      </c>
      <c r="CYW1" s="1">
        <f t="shared" si="42"/>
        <v>2701</v>
      </c>
      <c r="CYX1" s="1">
        <f t="shared" si="42"/>
        <v>2702</v>
      </c>
      <c r="CYY1" s="1">
        <f t="shared" si="42"/>
        <v>2703</v>
      </c>
      <c r="CYZ1" s="1">
        <f t="shared" si="42"/>
        <v>2704</v>
      </c>
      <c r="CZA1" s="1">
        <f t="shared" si="42"/>
        <v>2705</v>
      </c>
      <c r="CZB1" s="1">
        <f t="shared" si="42"/>
        <v>2706</v>
      </c>
      <c r="CZC1" s="1">
        <f t="shared" si="42"/>
        <v>2707</v>
      </c>
      <c r="CZD1" s="1">
        <f t="shared" si="42"/>
        <v>2708</v>
      </c>
      <c r="CZE1" s="1">
        <f t="shared" si="42"/>
        <v>2709</v>
      </c>
      <c r="CZF1" s="1">
        <f t="shared" si="42"/>
        <v>2710</v>
      </c>
      <c r="CZG1" s="1">
        <f t="shared" si="42"/>
        <v>2711</v>
      </c>
      <c r="CZH1" s="1">
        <f t="shared" si="42"/>
        <v>2712</v>
      </c>
      <c r="CZI1" s="1">
        <f t="shared" si="42"/>
        <v>2713</v>
      </c>
      <c r="CZJ1" s="1">
        <f t="shared" si="42"/>
        <v>2714</v>
      </c>
      <c r="CZK1" s="1">
        <f t="shared" si="42"/>
        <v>2715</v>
      </c>
      <c r="CZL1" s="1">
        <f t="shared" si="42"/>
        <v>2716</v>
      </c>
      <c r="CZM1" s="1">
        <f t="shared" si="42"/>
        <v>2717</v>
      </c>
      <c r="CZN1" s="1">
        <f t="shared" si="42"/>
        <v>2718</v>
      </c>
      <c r="CZO1" s="1">
        <f t="shared" si="42"/>
        <v>2719</v>
      </c>
      <c r="CZP1" s="1">
        <f t="shared" si="42"/>
        <v>2720</v>
      </c>
      <c r="CZQ1" s="1">
        <f t="shared" si="42"/>
        <v>2721</v>
      </c>
      <c r="CZR1" s="1">
        <f t="shared" si="42"/>
        <v>2722</v>
      </c>
      <c r="CZS1" s="1">
        <f t="shared" si="42"/>
        <v>2723</v>
      </c>
      <c r="CZT1" s="1">
        <f t="shared" si="42"/>
        <v>2724</v>
      </c>
      <c r="CZU1" s="1">
        <f t="shared" si="42"/>
        <v>2725</v>
      </c>
      <c r="CZV1" s="1">
        <f t="shared" si="42"/>
        <v>2726</v>
      </c>
      <c r="CZW1" s="1">
        <f t="shared" si="42"/>
        <v>2727</v>
      </c>
      <c r="CZX1" s="1">
        <f t="shared" si="42"/>
        <v>2728</v>
      </c>
      <c r="CZY1" s="1">
        <f t="shared" si="42"/>
        <v>2729</v>
      </c>
      <c r="CZZ1" s="42">
        <f t="shared" si="42"/>
        <v>2730</v>
      </c>
      <c r="DAA1" s="1">
        <f t="shared" si="42"/>
        <v>2731</v>
      </c>
      <c r="DAB1" s="1">
        <f t="shared" si="42"/>
        <v>2732</v>
      </c>
      <c r="DAC1" s="1">
        <f t="shared" si="42"/>
        <v>2733</v>
      </c>
      <c r="DAD1" s="1">
        <f t="shared" si="42"/>
        <v>2734</v>
      </c>
      <c r="DAE1" s="1">
        <f t="shared" si="42"/>
        <v>2735</v>
      </c>
      <c r="DAF1" s="1">
        <f t="shared" si="42"/>
        <v>2736</v>
      </c>
      <c r="DAG1" s="1">
        <f t="shared" si="42"/>
        <v>2737</v>
      </c>
      <c r="DAH1" s="1">
        <f t="shared" si="42"/>
        <v>2738</v>
      </c>
      <c r="DAI1" s="1">
        <f t="shared" si="42"/>
        <v>2739</v>
      </c>
      <c r="DAJ1" s="1">
        <f t="shared" si="42"/>
        <v>2740</v>
      </c>
      <c r="DAK1" s="1">
        <f t="shared" si="42"/>
        <v>2741</v>
      </c>
      <c r="DAL1" s="1">
        <f t="shared" si="42"/>
        <v>2742</v>
      </c>
      <c r="DAM1" s="1">
        <f t="shared" si="42"/>
        <v>2743</v>
      </c>
      <c r="DAN1" s="1">
        <f t="shared" si="42"/>
        <v>2744</v>
      </c>
      <c r="DAO1" s="1">
        <f t="shared" si="42"/>
        <v>2745</v>
      </c>
      <c r="DAP1" s="1">
        <f t="shared" si="42"/>
        <v>2746</v>
      </c>
      <c r="DAQ1" s="1">
        <f t="shared" si="42"/>
        <v>2747</v>
      </c>
      <c r="DAR1" s="1">
        <f t="shared" si="42"/>
        <v>2748</v>
      </c>
      <c r="DAS1" s="1">
        <f t="shared" si="42"/>
        <v>2749</v>
      </c>
      <c r="DAT1" s="1">
        <f t="shared" si="42"/>
        <v>2750</v>
      </c>
      <c r="DAU1" s="1">
        <f t="shared" si="42"/>
        <v>2751</v>
      </c>
      <c r="DAV1" s="1">
        <f t="shared" si="42"/>
        <v>2752</v>
      </c>
      <c r="DAW1" s="1">
        <f t="shared" si="42"/>
        <v>2753</v>
      </c>
      <c r="DAX1" s="1">
        <f t="shared" si="42"/>
        <v>2754</v>
      </c>
      <c r="DAY1" s="1">
        <f t="shared" ref="DAY1:DDJ1" si="43">DAX1+1</f>
        <v>2755</v>
      </c>
      <c r="DAZ1" s="1">
        <f t="shared" si="43"/>
        <v>2756</v>
      </c>
      <c r="DBA1" s="1">
        <f t="shared" si="43"/>
        <v>2757</v>
      </c>
      <c r="DBB1" s="1">
        <f t="shared" si="43"/>
        <v>2758</v>
      </c>
      <c r="DBC1" s="1">
        <f t="shared" si="43"/>
        <v>2759</v>
      </c>
      <c r="DBD1" s="1">
        <f t="shared" si="43"/>
        <v>2760</v>
      </c>
      <c r="DBE1" s="1">
        <f t="shared" si="43"/>
        <v>2761</v>
      </c>
      <c r="DBF1" s="1">
        <f t="shared" si="43"/>
        <v>2762</v>
      </c>
      <c r="DBG1" s="1">
        <f t="shared" si="43"/>
        <v>2763</v>
      </c>
      <c r="DBH1" s="1">
        <f t="shared" si="43"/>
        <v>2764</v>
      </c>
      <c r="DBI1" s="1">
        <f t="shared" si="43"/>
        <v>2765</v>
      </c>
      <c r="DBJ1" s="1">
        <f t="shared" si="43"/>
        <v>2766</v>
      </c>
      <c r="DBK1" s="1">
        <f t="shared" si="43"/>
        <v>2767</v>
      </c>
      <c r="DBL1" s="1">
        <f t="shared" si="43"/>
        <v>2768</v>
      </c>
      <c r="DBM1" s="1">
        <f t="shared" si="43"/>
        <v>2769</v>
      </c>
      <c r="DBN1" s="1">
        <f t="shared" si="43"/>
        <v>2770</v>
      </c>
      <c r="DBO1" s="1">
        <f t="shared" si="43"/>
        <v>2771</v>
      </c>
      <c r="DBP1" s="1">
        <f t="shared" si="43"/>
        <v>2772</v>
      </c>
      <c r="DBQ1" s="1">
        <f t="shared" si="43"/>
        <v>2773</v>
      </c>
      <c r="DBR1" s="42">
        <f t="shared" si="43"/>
        <v>2774</v>
      </c>
      <c r="DBS1" s="1">
        <f t="shared" si="43"/>
        <v>2775</v>
      </c>
      <c r="DBT1" s="1">
        <f t="shared" si="43"/>
        <v>2776</v>
      </c>
      <c r="DBU1" s="1">
        <f t="shared" si="43"/>
        <v>2777</v>
      </c>
      <c r="DBV1" s="1">
        <f t="shared" si="43"/>
        <v>2778</v>
      </c>
      <c r="DBW1" s="1">
        <f t="shared" si="43"/>
        <v>2779</v>
      </c>
      <c r="DBX1" s="1">
        <f t="shared" si="43"/>
        <v>2780</v>
      </c>
      <c r="DBY1" s="1">
        <f t="shared" si="43"/>
        <v>2781</v>
      </c>
      <c r="DBZ1" s="1">
        <f t="shared" si="43"/>
        <v>2782</v>
      </c>
      <c r="DCA1" s="1">
        <f t="shared" si="43"/>
        <v>2783</v>
      </c>
      <c r="DCB1" s="1">
        <f t="shared" si="43"/>
        <v>2784</v>
      </c>
      <c r="DCC1" s="1">
        <f t="shared" si="43"/>
        <v>2785</v>
      </c>
      <c r="DCD1" s="1">
        <f t="shared" si="43"/>
        <v>2786</v>
      </c>
      <c r="DCE1" s="1">
        <f t="shared" si="43"/>
        <v>2787</v>
      </c>
      <c r="DCF1" s="1">
        <f t="shared" si="43"/>
        <v>2788</v>
      </c>
      <c r="DCG1" s="1">
        <f t="shared" si="43"/>
        <v>2789</v>
      </c>
      <c r="DCH1" s="1">
        <f t="shared" si="43"/>
        <v>2790</v>
      </c>
      <c r="DCI1" s="1">
        <f t="shared" si="43"/>
        <v>2791</v>
      </c>
      <c r="DCJ1" s="1">
        <f t="shared" si="43"/>
        <v>2792</v>
      </c>
      <c r="DCK1" s="1">
        <f t="shared" si="43"/>
        <v>2793</v>
      </c>
      <c r="DCL1" s="1">
        <f t="shared" si="43"/>
        <v>2794</v>
      </c>
      <c r="DCM1" s="1">
        <f t="shared" si="43"/>
        <v>2795</v>
      </c>
      <c r="DCN1" s="1">
        <f t="shared" si="43"/>
        <v>2796</v>
      </c>
      <c r="DCO1" s="1">
        <f t="shared" si="43"/>
        <v>2797</v>
      </c>
      <c r="DCP1" s="1">
        <f t="shared" si="43"/>
        <v>2798</v>
      </c>
      <c r="DCQ1" s="1">
        <f t="shared" si="43"/>
        <v>2799</v>
      </c>
      <c r="DCR1" s="1">
        <f t="shared" si="43"/>
        <v>2800</v>
      </c>
      <c r="DCS1" s="1">
        <f t="shared" si="43"/>
        <v>2801</v>
      </c>
      <c r="DCT1" s="1">
        <f t="shared" si="43"/>
        <v>2802</v>
      </c>
      <c r="DCU1" s="1">
        <f t="shared" si="43"/>
        <v>2803</v>
      </c>
      <c r="DCV1" s="1">
        <f t="shared" si="43"/>
        <v>2804</v>
      </c>
      <c r="DCW1" s="1">
        <f t="shared" si="43"/>
        <v>2805</v>
      </c>
      <c r="DCX1" s="1">
        <f t="shared" si="43"/>
        <v>2806</v>
      </c>
      <c r="DCY1" s="1">
        <f t="shared" si="43"/>
        <v>2807</v>
      </c>
      <c r="DCZ1" s="1">
        <f t="shared" si="43"/>
        <v>2808</v>
      </c>
      <c r="DDA1" s="1">
        <f t="shared" si="43"/>
        <v>2809</v>
      </c>
      <c r="DDB1" s="1">
        <f t="shared" si="43"/>
        <v>2810</v>
      </c>
      <c r="DDC1" s="1">
        <f t="shared" si="43"/>
        <v>2811</v>
      </c>
      <c r="DDD1" s="1">
        <f t="shared" si="43"/>
        <v>2812</v>
      </c>
      <c r="DDE1" s="1">
        <f t="shared" si="43"/>
        <v>2813</v>
      </c>
      <c r="DDF1" s="1">
        <f t="shared" si="43"/>
        <v>2814</v>
      </c>
      <c r="DDG1" s="1">
        <f t="shared" si="43"/>
        <v>2815</v>
      </c>
      <c r="DDH1" s="1">
        <f t="shared" si="43"/>
        <v>2816</v>
      </c>
      <c r="DDI1" s="1">
        <f t="shared" si="43"/>
        <v>2817</v>
      </c>
      <c r="DDJ1" s="42">
        <f t="shared" si="43"/>
        <v>2818</v>
      </c>
      <c r="DDK1" s="1">
        <f t="shared" ref="DDK1:DFV1" si="44">DDJ1+1</f>
        <v>2819</v>
      </c>
      <c r="DDL1" s="1">
        <f t="shared" si="44"/>
        <v>2820</v>
      </c>
      <c r="DDM1" s="1">
        <f t="shared" si="44"/>
        <v>2821</v>
      </c>
      <c r="DDN1" s="1">
        <f t="shared" si="44"/>
        <v>2822</v>
      </c>
      <c r="DDO1" s="1">
        <f t="shared" si="44"/>
        <v>2823</v>
      </c>
      <c r="DDP1" s="1">
        <f t="shared" si="44"/>
        <v>2824</v>
      </c>
      <c r="DDQ1" s="1">
        <f t="shared" si="44"/>
        <v>2825</v>
      </c>
      <c r="DDR1" s="1">
        <f t="shared" si="44"/>
        <v>2826</v>
      </c>
      <c r="DDS1" s="1">
        <f t="shared" si="44"/>
        <v>2827</v>
      </c>
      <c r="DDT1" s="1">
        <f t="shared" si="44"/>
        <v>2828</v>
      </c>
      <c r="DDU1" s="1">
        <f t="shared" si="44"/>
        <v>2829</v>
      </c>
      <c r="DDV1" s="1">
        <f t="shared" si="44"/>
        <v>2830</v>
      </c>
      <c r="DDW1" s="1">
        <f t="shared" si="44"/>
        <v>2831</v>
      </c>
      <c r="DDX1" s="1">
        <f t="shared" si="44"/>
        <v>2832</v>
      </c>
      <c r="DDY1" s="1">
        <f t="shared" si="44"/>
        <v>2833</v>
      </c>
      <c r="DDZ1" s="1">
        <f t="shared" si="44"/>
        <v>2834</v>
      </c>
      <c r="DEA1" s="1">
        <f t="shared" si="44"/>
        <v>2835</v>
      </c>
      <c r="DEB1" s="1">
        <f t="shared" si="44"/>
        <v>2836</v>
      </c>
      <c r="DEC1" s="1">
        <f t="shared" si="44"/>
        <v>2837</v>
      </c>
      <c r="DED1" s="1">
        <f t="shared" si="44"/>
        <v>2838</v>
      </c>
      <c r="DEE1" s="1">
        <f t="shared" si="44"/>
        <v>2839</v>
      </c>
      <c r="DEF1" s="1">
        <f t="shared" si="44"/>
        <v>2840</v>
      </c>
      <c r="DEG1" s="1">
        <f t="shared" si="44"/>
        <v>2841</v>
      </c>
      <c r="DEH1" s="1">
        <f t="shared" si="44"/>
        <v>2842</v>
      </c>
      <c r="DEI1" s="1">
        <f t="shared" si="44"/>
        <v>2843</v>
      </c>
      <c r="DEJ1" s="1">
        <f t="shared" si="44"/>
        <v>2844</v>
      </c>
      <c r="DEK1" s="1">
        <f t="shared" si="44"/>
        <v>2845</v>
      </c>
      <c r="DEL1" s="1">
        <f t="shared" si="44"/>
        <v>2846</v>
      </c>
      <c r="DEM1" s="1">
        <f t="shared" si="44"/>
        <v>2847</v>
      </c>
      <c r="DEN1" s="1">
        <f t="shared" si="44"/>
        <v>2848</v>
      </c>
      <c r="DEO1" s="1">
        <f t="shared" si="44"/>
        <v>2849</v>
      </c>
      <c r="DEP1" s="1">
        <f t="shared" si="44"/>
        <v>2850</v>
      </c>
      <c r="DEQ1" s="1">
        <f t="shared" si="44"/>
        <v>2851</v>
      </c>
      <c r="DER1" s="1">
        <f t="shared" si="44"/>
        <v>2852</v>
      </c>
      <c r="DES1" s="1">
        <f t="shared" si="44"/>
        <v>2853</v>
      </c>
      <c r="DET1" s="1">
        <f t="shared" si="44"/>
        <v>2854</v>
      </c>
      <c r="DEU1" s="1">
        <f t="shared" si="44"/>
        <v>2855</v>
      </c>
      <c r="DEV1" s="1">
        <f t="shared" si="44"/>
        <v>2856</v>
      </c>
      <c r="DEW1" s="1">
        <f t="shared" si="44"/>
        <v>2857</v>
      </c>
      <c r="DEX1" s="1">
        <f t="shared" si="44"/>
        <v>2858</v>
      </c>
      <c r="DEY1" s="1">
        <f t="shared" si="44"/>
        <v>2859</v>
      </c>
      <c r="DEZ1" s="1">
        <f t="shared" si="44"/>
        <v>2860</v>
      </c>
      <c r="DFA1" s="1">
        <f t="shared" si="44"/>
        <v>2861</v>
      </c>
      <c r="DFB1" s="42">
        <f t="shared" si="44"/>
        <v>2862</v>
      </c>
      <c r="DFC1" s="1">
        <f t="shared" si="44"/>
        <v>2863</v>
      </c>
      <c r="DFD1" s="1">
        <f t="shared" si="44"/>
        <v>2864</v>
      </c>
      <c r="DFE1" s="1">
        <f t="shared" si="44"/>
        <v>2865</v>
      </c>
      <c r="DFF1" s="1">
        <f t="shared" si="44"/>
        <v>2866</v>
      </c>
      <c r="DFG1" s="1">
        <f t="shared" si="44"/>
        <v>2867</v>
      </c>
      <c r="DFH1" s="1">
        <f t="shared" si="44"/>
        <v>2868</v>
      </c>
      <c r="DFI1" s="1">
        <f t="shared" si="44"/>
        <v>2869</v>
      </c>
      <c r="DFJ1" s="1">
        <f t="shared" si="44"/>
        <v>2870</v>
      </c>
      <c r="DFK1" s="1">
        <f t="shared" si="44"/>
        <v>2871</v>
      </c>
      <c r="DFL1" s="1">
        <f t="shared" si="44"/>
        <v>2872</v>
      </c>
      <c r="DFM1" s="1">
        <f t="shared" si="44"/>
        <v>2873</v>
      </c>
      <c r="DFN1" s="1">
        <f t="shared" si="44"/>
        <v>2874</v>
      </c>
      <c r="DFO1" s="1">
        <f t="shared" si="44"/>
        <v>2875</v>
      </c>
      <c r="DFP1" s="1">
        <f t="shared" si="44"/>
        <v>2876</v>
      </c>
      <c r="DFQ1" s="1">
        <f t="shared" si="44"/>
        <v>2877</v>
      </c>
      <c r="DFR1" s="1">
        <f t="shared" si="44"/>
        <v>2878</v>
      </c>
      <c r="DFS1" s="1">
        <f t="shared" si="44"/>
        <v>2879</v>
      </c>
      <c r="DFT1" s="1">
        <f t="shared" si="44"/>
        <v>2880</v>
      </c>
      <c r="DFU1" s="1">
        <f t="shared" si="44"/>
        <v>2881</v>
      </c>
      <c r="DFV1" s="1">
        <f t="shared" si="44"/>
        <v>2882</v>
      </c>
      <c r="DFW1" s="1">
        <f t="shared" ref="DFW1:DIH1" si="45">DFV1+1</f>
        <v>2883</v>
      </c>
      <c r="DFX1" s="1">
        <f t="shared" si="45"/>
        <v>2884</v>
      </c>
      <c r="DFY1" s="1">
        <f t="shared" si="45"/>
        <v>2885</v>
      </c>
      <c r="DFZ1" s="1">
        <f t="shared" si="45"/>
        <v>2886</v>
      </c>
      <c r="DGA1" s="1">
        <f t="shared" si="45"/>
        <v>2887</v>
      </c>
      <c r="DGB1" s="1">
        <f t="shared" si="45"/>
        <v>2888</v>
      </c>
      <c r="DGC1" s="1">
        <f t="shared" si="45"/>
        <v>2889</v>
      </c>
      <c r="DGD1" s="1">
        <f t="shared" si="45"/>
        <v>2890</v>
      </c>
      <c r="DGE1" s="1">
        <f t="shared" si="45"/>
        <v>2891</v>
      </c>
      <c r="DGF1" s="1">
        <f t="shared" si="45"/>
        <v>2892</v>
      </c>
      <c r="DGG1" s="1">
        <f t="shared" si="45"/>
        <v>2893</v>
      </c>
      <c r="DGH1" s="1">
        <f t="shared" si="45"/>
        <v>2894</v>
      </c>
      <c r="DGI1" s="1">
        <f t="shared" si="45"/>
        <v>2895</v>
      </c>
      <c r="DGJ1" s="1">
        <f t="shared" si="45"/>
        <v>2896</v>
      </c>
      <c r="DGK1" s="1">
        <f t="shared" si="45"/>
        <v>2897</v>
      </c>
      <c r="DGL1" s="1">
        <f t="shared" si="45"/>
        <v>2898</v>
      </c>
      <c r="DGM1" s="1">
        <f t="shared" si="45"/>
        <v>2899</v>
      </c>
      <c r="DGN1" s="1">
        <f t="shared" si="45"/>
        <v>2900</v>
      </c>
      <c r="DGO1" s="1">
        <f t="shared" si="45"/>
        <v>2901</v>
      </c>
      <c r="DGP1" s="1">
        <f t="shared" si="45"/>
        <v>2902</v>
      </c>
      <c r="DGQ1" s="1">
        <f t="shared" si="45"/>
        <v>2903</v>
      </c>
      <c r="DGR1" s="1">
        <f t="shared" si="45"/>
        <v>2904</v>
      </c>
      <c r="DGS1" s="1">
        <f t="shared" si="45"/>
        <v>2905</v>
      </c>
      <c r="DGT1" s="42">
        <f t="shared" si="45"/>
        <v>2906</v>
      </c>
      <c r="DGU1" s="1">
        <f t="shared" si="45"/>
        <v>2907</v>
      </c>
      <c r="DGV1" s="1">
        <f t="shared" si="45"/>
        <v>2908</v>
      </c>
      <c r="DGW1" s="1">
        <f t="shared" si="45"/>
        <v>2909</v>
      </c>
      <c r="DGX1" s="1">
        <f t="shared" si="45"/>
        <v>2910</v>
      </c>
      <c r="DGY1" s="1">
        <f t="shared" si="45"/>
        <v>2911</v>
      </c>
      <c r="DGZ1" s="1">
        <f t="shared" si="45"/>
        <v>2912</v>
      </c>
      <c r="DHA1" s="1">
        <f t="shared" si="45"/>
        <v>2913</v>
      </c>
      <c r="DHB1" s="1">
        <f t="shared" si="45"/>
        <v>2914</v>
      </c>
      <c r="DHC1" s="1">
        <f t="shared" si="45"/>
        <v>2915</v>
      </c>
      <c r="DHD1" s="1">
        <f t="shared" si="45"/>
        <v>2916</v>
      </c>
      <c r="DHE1" s="1">
        <f t="shared" si="45"/>
        <v>2917</v>
      </c>
      <c r="DHF1" s="1">
        <f t="shared" si="45"/>
        <v>2918</v>
      </c>
      <c r="DHG1" s="1">
        <f t="shared" si="45"/>
        <v>2919</v>
      </c>
      <c r="DHH1" s="1">
        <f t="shared" si="45"/>
        <v>2920</v>
      </c>
      <c r="DHI1" s="1">
        <f t="shared" si="45"/>
        <v>2921</v>
      </c>
      <c r="DHJ1" s="1">
        <f t="shared" si="45"/>
        <v>2922</v>
      </c>
      <c r="DHK1" s="1">
        <f t="shared" si="45"/>
        <v>2923</v>
      </c>
      <c r="DHL1" s="1">
        <f t="shared" si="45"/>
        <v>2924</v>
      </c>
      <c r="DHM1" s="1">
        <f t="shared" si="45"/>
        <v>2925</v>
      </c>
      <c r="DHN1" s="1">
        <f t="shared" si="45"/>
        <v>2926</v>
      </c>
      <c r="DHO1" s="1">
        <f t="shared" si="45"/>
        <v>2927</v>
      </c>
      <c r="DHP1" s="1">
        <f t="shared" si="45"/>
        <v>2928</v>
      </c>
      <c r="DHQ1" s="1">
        <f t="shared" si="45"/>
        <v>2929</v>
      </c>
      <c r="DHR1" s="1">
        <f t="shared" si="45"/>
        <v>2930</v>
      </c>
      <c r="DHS1" s="1">
        <f t="shared" si="45"/>
        <v>2931</v>
      </c>
      <c r="DHT1" s="1">
        <f t="shared" si="45"/>
        <v>2932</v>
      </c>
      <c r="DHU1" s="1">
        <f t="shared" si="45"/>
        <v>2933</v>
      </c>
      <c r="DHV1" s="1">
        <f t="shared" si="45"/>
        <v>2934</v>
      </c>
      <c r="DHW1" s="1">
        <f t="shared" si="45"/>
        <v>2935</v>
      </c>
      <c r="DHX1" s="1">
        <f t="shared" si="45"/>
        <v>2936</v>
      </c>
      <c r="DHY1" s="1">
        <f t="shared" si="45"/>
        <v>2937</v>
      </c>
      <c r="DHZ1" s="1">
        <f t="shared" si="45"/>
        <v>2938</v>
      </c>
      <c r="DIA1" s="1">
        <f t="shared" si="45"/>
        <v>2939</v>
      </c>
      <c r="DIB1" s="1">
        <f t="shared" si="45"/>
        <v>2940</v>
      </c>
      <c r="DIC1" s="1">
        <f t="shared" si="45"/>
        <v>2941</v>
      </c>
      <c r="DID1" s="1">
        <f t="shared" si="45"/>
        <v>2942</v>
      </c>
      <c r="DIE1" s="1">
        <f t="shared" si="45"/>
        <v>2943</v>
      </c>
      <c r="DIF1" s="1">
        <f t="shared" si="45"/>
        <v>2944</v>
      </c>
      <c r="DIG1" s="1">
        <f t="shared" si="45"/>
        <v>2945</v>
      </c>
      <c r="DIH1" s="1">
        <f t="shared" si="45"/>
        <v>2946</v>
      </c>
      <c r="DII1" s="1">
        <f t="shared" ref="DII1:DKT1" si="46">DIH1+1</f>
        <v>2947</v>
      </c>
      <c r="DIJ1" s="1">
        <f t="shared" si="46"/>
        <v>2948</v>
      </c>
      <c r="DIK1" s="1">
        <f t="shared" si="46"/>
        <v>2949</v>
      </c>
      <c r="DIL1" s="42">
        <f t="shared" si="46"/>
        <v>2950</v>
      </c>
      <c r="DIM1" s="1">
        <f t="shared" si="46"/>
        <v>2951</v>
      </c>
      <c r="DIN1" s="1">
        <f t="shared" si="46"/>
        <v>2952</v>
      </c>
      <c r="DIO1" s="1">
        <f t="shared" si="46"/>
        <v>2953</v>
      </c>
      <c r="DIP1" s="1">
        <f t="shared" si="46"/>
        <v>2954</v>
      </c>
      <c r="DIQ1" s="1">
        <f t="shared" si="46"/>
        <v>2955</v>
      </c>
      <c r="DIR1" s="1">
        <f t="shared" si="46"/>
        <v>2956</v>
      </c>
      <c r="DIS1" s="1">
        <f t="shared" si="46"/>
        <v>2957</v>
      </c>
      <c r="DIT1" s="1">
        <f t="shared" si="46"/>
        <v>2958</v>
      </c>
      <c r="DIU1" s="1">
        <f t="shared" si="46"/>
        <v>2959</v>
      </c>
      <c r="DIV1" s="1">
        <f t="shared" si="46"/>
        <v>2960</v>
      </c>
      <c r="DIW1" s="1">
        <f t="shared" si="46"/>
        <v>2961</v>
      </c>
      <c r="DIX1" s="1">
        <f t="shared" si="46"/>
        <v>2962</v>
      </c>
      <c r="DIY1" s="1">
        <f t="shared" si="46"/>
        <v>2963</v>
      </c>
      <c r="DIZ1" s="1">
        <f t="shared" si="46"/>
        <v>2964</v>
      </c>
      <c r="DJA1" s="1">
        <f t="shared" si="46"/>
        <v>2965</v>
      </c>
      <c r="DJB1" s="1">
        <f t="shared" si="46"/>
        <v>2966</v>
      </c>
      <c r="DJC1" s="1">
        <f t="shared" si="46"/>
        <v>2967</v>
      </c>
      <c r="DJD1" s="1">
        <f t="shared" si="46"/>
        <v>2968</v>
      </c>
      <c r="DJE1" s="1">
        <f t="shared" si="46"/>
        <v>2969</v>
      </c>
      <c r="DJF1" s="1">
        <f t="shared" si="46"/>
        <v>2970</v>
      </c>
      <c r="DJG1" s="1">
        <f t="shared" si="46"/>
        <v>2971</v>
      </c>
      <c r="DJH1" s="1">
        <f t="shared" si="46"/>
        <v>2972</v>
      </c>
      <c r="DJI1" s="1">
        <f t="shared" si="46"/>
        <v>2973</v>
      </c>
      <c r="DJJ1" s="1">
        <f t="shared" si="46"/>
        <v>2974</v>
      </c>
      <c r="DJK1" s="1">
        <f t="shared" si="46"/>
        <v>2975</v>
      </c>
      <c r="DJL1" s="1">
        <f t="shared" si="46"/>
        <v>2976</v>
      </c>
      <c r="DJM1" s="1">
        <f t="shared" si="46"/>
        <v>2977</v>
      </c>
      <c r="DJN1" s="1">
        <f t="shared" si="46"/>
        <v>2978</v>
      </c>
      <c r="DJO1" s="1">
        <f t="shared" si="46"/>
        <v>2979</v>
      </c>
      <c r="DJP1" s="1">
        <f t="shared" si="46"/>
        <v>2980</v>
      </c>
      <c r="DJQ1" s="1">
        <f t="shared" si="46"/>
        <v>2981</v>
      </c>
      <c r="DJR1" s="1">
        <f t="shared" si="46"/>
        <v>2982</v>
      </c>
      <c r="DJS1" s="1">
        <f t="shared" si="46"/>
        <v>2983</v>
      </c>
      <c r="DJT1" s="1">
        <f t="shared" si="46"/>
        <v>2984</v>
      </c>
      <c r="DJU1" s="1">
        <f t="shared" si="46"/>
        <v>2985</v>
      </c>
      <c r="DJV1" s="1">
        <f t="shared" si="46"/>
        <v>2986</v>
      </c>
      <c r="DJW1" s="1">
        <f t="shared" si="46"/>
        <v>2987</v>
      </c>
      <c r="DJX1" s="1">
        <f t="shared" si="46"/>
        <v>2988</v>
      </c>
      <c r="DJY1" s="1">
        <f t="shared" si="46"/>
        <v>2989</v>
      </c>
      <c r="DJZ1" s="1">
        <f t="shared" si="46"/>
        <v>2990</v>
      </c>
      <c r="DKA1" s="1">
        <f t="shared" si="46"/>
        <v>2991</v>
      </c>
      <c r="DKB1" s="1">
        <f t="shared" si="46"/>
        <v>2992</v>
      </c>
      <c r="DKC1" s="1">
        <f t="shared" si="46"/>
        <v>2993</v>
      </c>
      <c r="DKD1" s="42">
        <f t="shared" si="46"/>
        <v>2994</v>
      </c>
      <c r="DKE1" s="1">
        <f t="shared" si="46"/>
        <v>2995</v>
      </c>
      <c r="DKF1" s="1">
        <f t="shared" si="46"/>
        <v>2996</v>
      </c>
      <c r="DKG1" s="1">
        <f t="shared" si="46"/>
        <v>2997</v>
      </c>
      <c r="DKH1" s="1">
        <f t="shared" si="46"/>
        <v>2998</v>
      </c>
      <c r="DKI1" s="1">
        <f t="shared" si="46"/>
        <v>2999</v>
      </c>
      <c r="DKJ1" s="1">
        <f t="shared" si="46"/>
        <v>3000</v>
      </c>
      <c r="DKK1" s="1">
        <f t="shared" si="46"/>
        <v>3001</v>
      </c>
      <c r="DKL1" s="1">
        <f t="shared" si="46"/>
        <v>3002</v>
      </c>
      <c r="DKM1" s="1">
        <f t="shared" si="46"/>
        <v>3003</v>
      </c>
      <c r="DKN1" s="1">
        <f t="shared" si="46"/>
        <v>3004</v>
      </c>
      <c r="DKO1" s="1">
        <f t="shared" si="46"/>
        <v>3005</v>
      </c>
      <c r="DKP1" s="1">
        <f t="shared" si="46"/>
        <v>3006</v>
      </c>
      <c r="DKQ1" s="1">
        <f t="shared" si="46"/>
        <v>3007</v>
      </c>
      <c r="DKR1" s="1">
        <f t="shared" si="46"/>
        <v>3008</v>
      </c>
      <c r="DKS1" s="1">
        <f t="shared" si="46"/>
        <v>3009</v>
      </c>
      <c r="DKT1" s="1">
        <f t="shared" si="46"/>
        <v>3010</v>
      </c>
      <c r="DKU1" s="1">
        <f t="shared" ref="DKU1:DNF1" si="47">DKT1+1</f>
        <v>3011</v>
      </c>
      <c r="DKV1" s="1">
        <f t="shared" si="47"/>
        <v>3012</v>
      </c>
      <c r="DKW1" s="1">
        <f t="shared" si="47"/>
        <v>3013</v>
      </c>
      <c r="DKX1" s="1">
        <f t="shared" si="47"/>
        <v>3014</v>
      </c>
      <c r="DKY1" s="1">
        <f t="shared" si="47"/>
        <v>3015</v>
      </c>
      <c r="DKZ1" s="1">
        <f t="shared" si="47"/>
        <v>3016</v>
      </c>
      <c r="DLA1" s="1">
        <f t="shared" si="47"/>
        <v>3017</v>
      </c>
      <c r="DLB1" s="1">
        <f t="shared" si="47"/>
        <v>3018</v>
      </c>
      <c r="DLC1" s="1">
        <f t="shared" si="47"/>
        <v>3019</v>
      </c>
      <c r="DLD1" s="1">
        <f t="shared" si="47"/>
        <v>3020</v>
      </c>
      <c r="DLE1" s="1">
        <f t="shared" si="47"/>
        <v>3021</v>
      </c>
      <c r="DLF1" s="1">
        <f t="shared" si="47"/>
        <v>3022</v>
      </c>
      <c r="DLG1" s="1">
        <f t="shared" si="47"/>
        <v>3023</v>
      </c>
      <c r="DLH1" s="1">
        <f t="shared" si="47"/>
        <v>3024</v>
      </c>
      <c r="DLI1" s="1">
        <f t="shared" si="47"/>
        <v>3025</v>
      </c>
      <c r="DLJ1" s="1">
        <f t="shared" si="47"/>
        <v>3026</v>
      </c>
      <c r="DLK1" s="1">
        <f t="shared" si="47"/>
        <v>3027</v>
      </c>
      <c r="DLL1" s="1">
        <f t="shared" si="47"/>
        <v>3028</v>
      </c>
      <c r="DLM1" s="1">
        <f t="shared" si="47"/>
        <v>3029</v>
      </c>
      <c r="DLN1" s="1">
        <f t="shared" si="47"/>
        <v>3030</v>
      </c>
      <c r="DLO1" s="1">
        <f t="shared" si="47"/>
        <v>3031</v>
      </c>
      <c r="DLP1" s="1">
        <f t="shared" si="47"/>
        <v>3032</v>
      </c>
      <c r="DLQ1" s="1">
        <f t="shared" si="47"/>
        <v>3033</v>
      </c>
      <c r="DLR1" s="1">
        <f t="shared" si="47"/>
        <v>3034</v>
      </c>
      <c r="DLS1" s="1">
        <f t="shared" si="47"/>
        <v>3035</v>
      </c>
      <c r="DLT1" s="1">
        <f t="shared" si="47"/>
        <v>3036</v>
      </c>
      <c r="DLU1" s="1">
        <f t="shared" si="47"/>
        <v>3037</v>
      </c>
      <c r="DLV1" s="42">
        <f t="shared" si="47"/>
        <v>3038</v>
      </c>
      <c r="DLW1" s="1">
        <f t="shared" si="47"/>
        <v>3039</v>
      </c>
      <c r="DLX1" s="1">
        <f t="shared" si="47"/>
        <v>3040</v>
      </c>
      <c r="DLY1" s="1">
        <f t="shared" si="47"/>
        <v>3041</v>
      </c>
      <c r="DLZ1" s="1">
        <f t="shared" si="47"/>
        <v>3042</v>
      </c>
      <c r="DMA1" s="1">
        <f t="shared" si="47"/>
        <v>3043</v>
      </c>
      <c r="DMB1" s="1">
        <f t="shared" si="47"/>
        <v>3044</v>
      </c>
      <c r="DMC1" s="1">
        <f t="shared" si="47"/>
        <v>3045</v>
      </c>
      <c r="DMD1" s="1">
        <f t="shared" si="47"/>
        <v>3046</v>
      </c>
      <c r="DME1" s="1">
        <f t="shared" si="47"/>
        <v>3047</v>
      </c>
      <c r="DMF1" s="1">
        <f t="shared" si="47"/>
        <v>3048</v>
      </c>
      <c r="DMG1" s="1">
        <f t="shared" si="47"/>
        <v>3049</v>
      </c>
      <c r="DMH1" s="1">
        <f t="shared" si="47"/>
        <v>3050</v>
      </c>
      <c r="DMI1" s="1">
        <f t="shared" si="47"/>
        <v>3051</v>
      </c>
      <c r="DMJ1" s="1">
        <f t="shared" si="47"/>
        <v>3052</v>
      </c>
      <c r="DMK1" s="1">
        <f t="shared" si="47"/>
        <v>3053</v>
      </c>
      <c r="DML1" s="1">
        <f t="shared" si="47"/>
        <v>3054</v>
      </c>
      <c r="DMM1" s="1">
        <f t="shared" si="47"/>
        <v>3055</v>
      </c>
      <c r="DMN1" s="1">
        <f t="shared" si="47"/>
        <v>3056</v>
      </c>
      <c r="DMO1" s="1">
        <f t="shared" si="47"/>
        <v>3057</v>
      </c>
      <c r="DMP1" s="1">
        <f t="shared" si="47"/>
        <v>3058</v>
      </c>
      <c r="DMQ1" s="1">
        <f t="shared" si="47"/>
        <v>3059</v>
      </c>
      <c r="DMR1" s="1">
        <f t="shared" si="47"/>
        <v>3060</v>
      </c>
      <c r="DMS1" s="1">
        <f t="shared" si="47"/>
        <v>3061</v>
      </c>
      <c r="DMT1" s="1">
        <f t="shared" si="47"/>
        <v>3062</v>
      </c>
      <c r="DMU1" s="1">
        <f t="shared" si="47"/>
        <v>3063</v>
      </c>
      <c r="DMV1" s="1">
        <f t="shared" si="47"/>
        <v>3064</v>
      </c>
      <c r="DMW1" s="1">
        <f t="shared" si="47"/>
        <v>3065</v>
      </c>
      <c r="DMX1" s="1">
        <f t="shared" si="47"/>
        <v>3066</v>
      </c>
      <c r="DMY1" s="1">
        <f t="shared" si="47"/>
        <v>3067</v>
      </c>
      <c r="DMZ1" s="1">
        <f t="shared" si="47"/>
        <v>3068</v>
      </c>
      <c r="DNA1" s="1">
        <f t="shared" si="47"/>
        <v>3069</v>
      </c>
      <c r="DNB1" s="1">
        <f t="shared" si="47"/>
        <v>3070</v>
      </c>
      <c r="DNC1" s="1">
        <f t="shared" si="47"/>
        <v>3071</v>
      </c>
      <c r="DND1" s="1">
        <f t="shared" si="47"/>
        <v>3072</v>
      </c>
      <c r="DNE1" s="1">
        <f t="shared" si="47"/>
        <v>3073</v>
      </c>
      <c r="DNF1" s="1">
        <f t="shared" si="47"/>
        <v>3074</v>
      </c>
      <c r="DNG1" s="1">
        <f t="shared" ref="DNG1:DPR1" si="48">DNF1+1</f>
        <v>3075</v>
      </c>
      <c r="DNH1" s="1">
        <f t="shared" si="48"/>
        <v>3076</v>
      </c>
      <c r="DNI1" s="1">
        <f t="shared" si="48"/>
        <v>3077</v>
      </c>
      <c r="DNJ1" s="1">
        <f t="shared" si="48"/>
        <v>3078</v>
      </c>
      <c r="DNK1" s="1">
        <f t="shared" si="48"/>
        <v>3079</v>
      </c>
      <c r="DNL1" s="1">
        <f t="shared" si="48"/>
        <v>3080</v>
      </c>
      <c r="DNM1" s="1">
        <f t="shared" si="48"/>
        <v>3081</v>
      </c>
      <c r="DNN1" s="42">
        <f t="shared" si="48"/>
        <v>3082</v>
      </c>
      <c r="DNO1" s="1">
        <f t="shared" si="48"/>
        <v>3083</v>
      </c>
      <c r="DNP1" s="1">
        <f t="shared" si="48"/>
        <v>3084</v>
      </c>
      <c r="DNQ1" s="1">
        <f t="shared" si="48"/>
        <v>3085</v>
      </c>
      <c r="DNR1" s="1">
        <f t="shared" si="48"/>
        <v>3086</v>
      </c>
      <c r="DNS1" s="1">
        <f t="shared" si="48"/>
        <v>3087</v>
      </c>
      <c r="DNT1" s="1">
        <f t="shared" si="48"/>
        <v>3088</v>
      </c>
      <c r="DNU1" s="1">
        <f t="shared" si="48"/>
        <v>3089</v>
      </c>
      <c r="DNV1" s="1">
        <f t="shared" si="48"/>
        <v>3090</v>
      </c>
      <c r="DNW1" s="1">
        <f t="shared" si="48"/>
        <v>3091</v>
      </c>
      <c r="DNX1" s="1">
        <f t="shared" si="48"/>
        <v>3092</v>
      </c>
      <c r="DNY1" s="1">
        <f t="shared" si="48"/>
        <v>3093</v>
      </c>
      <c r="DNZ1" s="1">
        <f t="shared" si="48"/>
        <v>3094</v>
      </c>
      <c r="DOA1" s="1">
        <f t="shared" si="48"/>
        <v>3095</v>
      </c>
      <c r="DOB1" s="1">
        <f t="shared" si="48"/>
        <v>3096</v>
      </c>
      <c r="DOC1" s="1">
        <f t="shared" si="48"/>
        <v>3097</v>
      </c>
      <c r="DOD1" s="1">
        <f t="shared" si="48"/>
        <v>3098</v>
      </c>
      <c r="DOE1" s="1">
        <f t="shared" si="48"/>
        <v>3099</v>
      </c>
      <c r="DOF1" s="1">
        <f t="shared" si="48"/>
        <v>3100</v>
      </c>
      <c r="DOG1" s="1">
        <f t="shared" si="48"/>
        <v>3101</v>
      </c>
      <c r="DOH1" s="1">
        <f t="shared" si="48"/>
        <v>3102</v>
      </c>
      <c r="DOI1" s="1">
        <f t="shared" si="48"/>
        <v>3103</v>
      </c>
      <c r="DOJ1" s="1">
        <f t="shared" si="48"/>
        <v>3104</v>
      </c>
      <c r="DOK1" s="1">
        <f t="shared" si="48"/>
        <v>3105</v>
      </c>
      <c r="DOL1" s="1">
        <f t="shared" si="48"/>
        <v>3106</v>
      </c>
      <c r="DOM1" s="1">
        <f t="shared" si="48"/>
        <v>3107</v>
      </c>
      <c r="DON1" s="1">
        <f t="shared" si="48"/>
        <v>3108</v>
      </c>
      <c r="DOO1" s="1">
        <f t="shared" si="48"/>
        <v>3109</v>
      </c>
      <c r="DOP1" s="1">
        <f t="shared" si="48"/>
        <v>3110</v>
      </c>
      <c r="DOQ1" s="1">
        <f t="shared" si="48"/>
        <v>3111</v>
      </c>
      <c r="DOR1" s="1">
        <f t="shared" si="48"/>
        <v>3112</v>
      </c>
      <c r="DOS1" s="1">
        <f t="shared" si="48"/>
        <v>3113</v>
      </c>
      <c r="DOT1" s="1">
        <f t="shared" si="48"/>
        <v>3114</v>
      </c>
      <c r="DOU1" s="1">
        <f t="shared" si="48"/>
        <v>3115</v>
      </c>
      <c r="DOV1" s="1">
        <f t="shared" si="48"/>
        <v>3116</v>
      </c>
      <c r="DOW1" s="1">
        <f t="shared" si="48"/>
        <v>3117</v>
      </c>
      <c r="DOX1" s="1">
        <f t="shared" si="48"/>
        <v>3118</v>
      </c>
      <c r="DOY1" s="1">
        <f t="shared" si="48"/>
        <v>3119</v>
      </c>
      <c r="DOZ1" s="1">
        <f t="shared" si="48"/>
        <v>3120</v>
      </c>
      <c r="DPA1" s="1">
        <f t="shared" si="48"/>
        <v>3121</v>
      </c>
      <c r="DPB1" s="1">
        <f t="shared" si="48"/>
        <v>3122</v>
      </c>
      <c r="DPC1" s="1">
        <f t="shared" si="48"/>
        <v>3123</v>
      </c>
      <c r="DPD1" s="1">
        <f t="shared" si="48"/>
        <v>3124</v>
      </c>
      <c r="DPE1" s="1">
        <f t="shared" si="48"/>
        <v>3125</v>
      </c>
      <c r="DPF1" s="42">
        <f t="shared" si="48"/>
        <v>3126</v>
      </c>
      <c r="DPG1" s="1">
        <f t="shared" si="48"/>
        <v>3127</v>
      </c>
      <c r="DPH1" s="1">
        <f t="shared" si="48"/>
        <v>3128</v>
      </c>
      <c r="DPI1" s="1">
        <f t="shared" si="48"/>
        <v>3129</v>
      </c>
      <c r="DPJ1" s="1">
        <f t="shared" si="48"/>
        <v>3130</v>
      </c>
      <c r="DPK1" s="1">
        <f t="shared" si="48"/>
        <v>3131</v>
      </c>
      <c r="DPL1" s="1">
        <f t="shared" si="48"/>
        <v>3132</v>
      </c>
      <c r="DPM1" s="1">
        <f t="shared" si="48"/>
        <v>3133</v>
      </c>
      <c r="DPN1" s="1">
        <f t="shared" si="48"/>
        <v>3134</v>
      </c>
      <c r="DPO1" s="1">
        <f t="shared" si="48"/>
        <v>3135</v>
      </c>
      <c r="DPP1" s="1">
        <f t="shared" si="48"/>
        <v>3136</v>
      </c>
      <c r="DPQ1" s="1">
        <f t="shared" si="48"/>
        <v>3137</v>
      </c>
      <c r="DPR1" s="1">
        <f t="shared" si="48"/>
        <v>3138</v>
      </c>
      <c r="DPS1" s="1">
        <f t="shared" ref="DPS1:DSD1" si="49">DPR1+1</f>
        <v>3139</v>
      </c>
      <c r="DPT1" s="1">
        <f t="shared" si="49"/>
        <v>3140</v>
      </c>
      <c r="DPU1" s="1">
        <f t="shared" si="49"/>
        <v>3141</v>
      </c>
      <c r="DPV1" s="1">
        <f t="shared" si="49"/>
        <v>3142</v>
      </c>
      <c r="DPW1" s="1">
        <f t="shared" si="49"/>
        <v>3143</v>
      </c>
      <c r="DPX1" s="1">
        <f t="shared" si="49"/>
        <v>3144</v>
      </c>
      <c r="DPY1" s="1">
        <f t="shared" si="49"/>
        <v>3145</v>
      </c>
      <c r="DPZ1" s="1">
        <f t="shared" si="49"/>
        <v>3146</v>
      </c>
      <c r="DQA1" s="1">
        <f t="shared" si="49"/>
        <v>3147</v>
      </c>
      <c r="DQB1" s="1">
        <f t="shared" si="49"/>
        <v>3148</v>
      </c>
      <c r="DQC1" s="1">
        <f t="shared" si="49"/>
        <v>3149</v>
      </c>
      <c r="DQD1" s="1">
        <f t="shared" si="49"/>
        <v>3150</v>
      </c>
      <c r="DQE1" s="1">
        <f t="shared" si="49"/>
        <v>3151</v>
      </c>
      <c r="DQF1" s="1">
        <f t="shared" si="49"/>
        <v>3152</v>
      </c>
      <c r="DQG1" s="1">
        <f t="shared" si="49"/>
        <v>3153</v>
      </c>
      <c r="DQH1" s="1">
        <f t="shared" si="49"/>
        <v>3154</v>
      </c>
      <c r="DQI1" s="1">
        <f t="shared" si="49"/>
        <v>3155</v>
      </c>
      <c r="DQJ1" s="1">
        <f t="shared" si="49"/>
        <v>3156</v>
      </c>
      <c r="DQK1" s="1">
        <f t="shared" si="49"/>
        <v>3157</v>
      </c>
      <c r="DQL1" s="1">
        <f t="shared" si="49"/>
        <v>3158</v>
      </c>
      <c r="DQM1" s="1">
        <f t="shared" si="49"/>
        <v>3159</v>
      </c>
      <c r="DQN1" s="1">
        <f t="shared" si="49"/>
        <v>3160</v>
      </c>
      <c r="DQO1" s="1">
        <f t="shared" si="49"/>
        <v>3161</v>
      </c>
      <c r="DQP1" s="1">
        <f t="shared" si="49"/>
        <v>3162</v>
      </c>
      <c r="DQQ1" s="1">
        <f t="shared" si="49"/>
        <v>3163</v>
      </c>
      <c r="DQR1" s="1">
        <f t="shared" si="49"/>
        <v>3164</v>
      </c>
      <c r="DQS1" s="1">
        <f t="shared" si="49"/>
        <v>3165</v>
      </c>
      <c r="DQT1" s="1">
        <f t="shared" si="49"/>
        <v>3166</v>
      </c>
      <c r="DQU1" s="1">
        <f t="shared" si="49"/>
        <v>3167</v>
      </c>
      <c r="DQV1" s="1">
        <f t="shared" si="49"/>
        <v>3168</v>
      </c>
      <c r="DQW1" s="1">
        <f t="shared" si="49"/>
        <v>3169</v>
      </c>
      <c r="DQX1" s="42">
        <f t="shared" si="49"/>
        <v>3170</v>
      </c>
      <c r="DQY1" s="1">
        <f t="shared" si="49"/>
        <v>3171</v>
      </c>
      <c r="DQZ1" s="1">
        <f t="shared" si="49"/>
        <v>3172</v>
      </c>
      <c r="DRA1" s="1">
        <f t="shared" si="49"/>
        <v>3173</v>
      </c>
      <c r="DRB1" s="1">
        <f t="shared" si="49"/>
        <v>3174</v>
      </c>
      <c r="DRC1" s="1">
        <f t="shared" si="49"/>
        <v>3175</v>
      </c>
      <c r="DRD1" s="1">
        <f t="shared" si="49"/>
        <v>3176</v>
      </c>
      <c r="DRE1" s="1">
        <f t="shared" si="49"/>
        <v>3177</v>
      </c>
      <c r="DRF1" s="1">
        <f t="shared" si="49"/>
        <v>3178</v>
      </c>
      <c r="DRG1" s="1">
        <f t="shared" si="49"/>
        <v>3179</v>
      </c>
      <c r="DRH1" s="1">
        <f t="shared" si="49"/>
        <v>3180</v>
      </c>
      <c r="DRI1" s="1">
        <f t="shared" si="49"/>
        <v>3181</v>
      </c>
      <c r="DRJ1" s="1">
        <f t="shared" si="49"/>
        <v>3182</v>
      </c>
      <c r="DRK1" s="1">
        <f t="shared" si="49"/>
        <v>3183</v>
      </c>
      <c r="DRL1" s="1">
        <f t="shared" si="49"/>
        <v>3184</v>
      </c>
      <c r="DRM1" s="1">
        <f t="shared" si="49"/>
        <v>3185</v>
      </c>
      <c r="DRN1" s="1">
        <f t="shared" si="49"/>
        <v>3186</v>
      </c>
      <c r="DRO1" s="1">
        <f t="shared" si="49"/>
        <v>3187</v>
      </c>
      <c r="DRP1" s="1">
        <f t="shared" si="49"/>
        <v>3188</v>
      </c>
      <c r="DRQ1" s="1">
        <f t="shared" si="49"/>
        <v>3189</v>
      </c>
      <c r="DRR1" s="1">
        <f t="shared" si="49"/>
        <v>3190</v>
      </c>
      <c r="DRS1" s="1">
        <f t="shared" si="49"/>
        <v>3191</v>
      </c>
      <c r="DRT1" s="1">
        <f t="shared" si="49"/>
        <v>3192</v>
      </c>
      <c r="DRU1" s="1">
        <f t="shared" si="49"/>
        <v>3193</v>
      </c>
      <c r="DRV1" s="1">
        <f t="shared" si="49"/>
        <v>3194</v>
      </c>
      <c r="DRW1" s="1">
        <f t="shared" si="49"/>
        <v>3195</v>
      </c>
      <c r="DRX1" s="1">
        <f t="shared" si="49"/>
        <v>3196</v>
      </c>
      <c r="DRY1" s="1">
        <f t="shared" si="49"/>
        <v>3197</v>
      </c>
      <c r="DRZ1" s="1">
        <f t="shared" si="49"/>
        <v>3198</v>
      </c>
      <c r="DSA1" s="1">
        <f t="shared" si="49"/>
        <v>3199</v>
      </c>
      <c r="DSB1" s="1">
        <f t="shared" si="49"/>
        <v>3200</v>
      </c>
      <c r="DSC1" s="1">
        <f t="shared" si="49"/>
        <v>3201</v>
      </c>
      <c r="DSD1" s="1">
        <f t="shared" si="49"/>
        <v>3202</v>
      </c>
      <c r="DSE1" s="1">
        <f t="shared" ref="DSE1:DUP1" si="50">DSD1+1</f>
        <v>3203</v>
      </c>
      <c r="DSF1" s="1">
        <f t="shared" si="50"/>
        <v>3204</v>
      </c>
      <c r="DSG1" s="1">
        <f t="shared" si="50"/>
        <v>3205</v>
      </c>
      <c r="DSH1" s="1">
        <f t="shared" si="50"/>
        <v>3206</v>
      </c>
      <c r="DSI1" s="1">
        <f t="shared" si="50"/>
        <v>3207</v>
      </c>
      <c r="DSJ1" s="1">
        <f t="shared" si="50"/>
        <v>3208</v>
      </c>
      <c r="DSK1" s="1">
        <f t="shared" si="50"/>
        <v>3209</v>
      </c>
      <c r="DSL1" s="1">
        <f t="shared" si="50"/>
        <v>3210</v>
      </c>
      <c r="DSM1" s="1">
        <f t="shared" si="50"/>
        <v>3211</v>
      </c>
      <c r="DSN1" s="1">
        <f t="shared" si="50"/>
        <v>3212</v>
      </c>
      <c r="DSO1" s="1">
        <f t="shared" si="50"/>
        <v>3213</v>
      </c>
      <c r="DSP1" s="42">
        <f t="shared" si="50"/>
        <v>3214</v>
      </c>
      <c r="DSQ1" s="1">
        <f t="shared" si="50"/>
        <v>3215</v>
      </c>
      <c r="DSR1" s="1">
        <f t="shared" si="50"/>
        <v>3216</v>
      </c>
      <c r="DSS1" s="1">
        <f t="shared" si="50"/>
        <v>3217</v>
      </c>
      <c r="DST1" s="1">
        <f t="shared" si="50"/>
        <v>3218</v>
      </c>
      <c r="DSU1" s="1">
        <f t="shared" si="50"/>
        <v>3219</v>
      </c>
      <c r="DSV1" s="1">
        <f t="shared" si="50"/>
        <v>3220</v>
      </c>
      <c r="DSW1" s="1">
        <f t="shared" si="50"/>
        <v>3221</v>
      </c>
      <c r="DSX1" s="1">
        <f t="shared" si="50"/>
        <v>3222</v>
      </c>
      <c r="DSY1" s="1">
        <f t="shared" si="50"/>
        <v>3223</v>
      </c>
      <c r="DSZ1" s="1">
        <f t="shared" si="50"/>
        <v>3224</v>
      </c>
      <c r="DTA1" s="1">
        <f t="shared" si="50"/>
        <v>3225</v>
      </c>
      <c r="DTB1" s="1">
        <f t="shared" si="50"/>
        <v>3226</v>
      </c>
      <c r="DTC1" s="1">
        <f t="shared" si="50"/>
        <v>3227</v>
      </c>
      <c r="DTD1" s="1">
        <f t="shared" si="50"/>
        <v>3228</v>
      </c>
      <c r="DTE1" s="1">
        <f t="shared" si="50"/>
        <v>3229</v>
      </c>
      <c r="DTF1" s="1">
        <f t="shared" si="50"/>
        <v>3230</v>
      </c>
      <c r="DTG1" s="1">
        <f t="shared" si="50"/>
        <v>3231</v>
      </c>
      <c r="DTH1" s="1">
        <f t="shared" si="50"/>
        <v>3232</v>
      </c>
      <c r="DTI1" s="1">
        <f t="shared" si="50"/>
        <v>3233</v>
      </c>
      <c r="DTJ1" s="1">
        <f t="shared" si="50"/>
        <v>3234</v>
      </c>
      <c r="DTK1" s="1">
        <f t="shared" si="50"/>
        <v>3235</v>
      </c>
      <c r="DTL1" s="1">
        <f t="shared" si="50"/>
        <v>3236</v>
      </c>
      <c r="DTM1" s="1">
        <f t="shared" si="50"/>
        <v>3237</v>
      </c>
      <c r="DTN1" s="1">
        <f t="shared" si="50"/>
        <v>3238</v>
      </c>
      <c r="DTO1" s="1">
        <f t="shared" si="50"/>
        <v>3239</v>
      </c>
      <c r="DTP1" s="1">
        <f t="shared" si="50"/>
        <v>3240</v>
      </c>
      <c r="DTQ1" s="1">
        <f t="shared" si="50"/>
        <v>3241</v>
      </c>
      <c r="DTR1" s="1">
        <f t="shared" si="50"/>
        <v>3242</v>
      </c>
      <c r="DTS1" s="1">
        <f t="shared" si="50"/>
        <v>3243</v>
      </c>
      <c r="DTT1" s="1">
        <f t="shared" si="50"/>
        <v>3244</v>
      </c>
      <c r="DTU1" s="1">
        <f t="shared" si="50"/>
        <v>3245</v>
      </c>
      <c r="DTV1" s="1">
        <f t="shared" si="50"/>
        <v>3246</v>
      </c>
      <c r="DTW1" s="1">
        <f t="shared" si="50"/>
        <v>3247</v>
      </c>
      <c r="DTX1" s="1">
        <f t="shared" si="50"/>
        <v>3248</v>
      </c>
      <c r="DTY1" s="1">
        <f t="shared" si="50"/>
        <v>3249</v>
      </c>
      <c r="DTZ1" s="1">
        <f t="shared" si="50"/>
        <v>3250</v>
      </c>
      <c r="DUA1" s="1">
        <f t="shared" si="50"/>
        <v>3251</v>
      </c>
      <c r="DUB1" s="1">
        <f t="shared" si="50"/>
        <v>3252</v>
      </c>
      <c r="DUC1" s="1">
        <f t="shared" si="50"/>
        <v>3253</v>
      </c>
      <c r="DUD1" s="1">
        <f t="shared" si="50"/>
        <v>3254</v>
      </c>
      <c r="DUE1" s="1">
        <f t="shared" si="50"/>
        <v>3255</v>
      </c>
      <c r="DUF1" s="1">
        <f t="shared" si="50"/>
        <v>3256</v>
      </c>
      <c r="DUG1" s="1">
        <f t="shared" si="50"/>
        <v>3257</v>
      </c>
      <c r="DUH1" s="42">
        <f t="shared" si="50"/>
        <v>3258</v>
      </c>
      <c r="DUI1" s="1">
        <f t="shared" si="50"/>
        <v>3259</v>
      </c>
      <c r="DUJ1" s="1">
        <f t="shared" si="50"/>
        <v>3260</v>
      </c>
      <c r="DUK1" s="1">
        <f t="shared" si="50"/>
        <v>3261</v>
      </c>
      <c r="DUL1" s="1">
        <f t="shared" si="50"/>
        <v>3262</v>
      </c>
      <c r="DUM1" s="1">
        <f t="shared" si="50"/>
        <v>3263</v>
      </c>
      <c r="DUN1" s="1">
        <f t="shared" si="50"/>
        <v>3264</v>
      </c>
      <c r="DUO1" s="1">
        <f t="shared" si="50"/>
        <v>3265</v>
      </c>
      <c r="DUP1" s="1">
        <f t="shared" si="50"/>
        <v>3266</v>
      </c>
      <c r="DUQ1" s="1">
        <f t="shared" ref="DUQ1:DXB1" si="51">DUP1+1</f>
        <v>3267</v>
      </c>
      <c r="DUR1" s="1">
        <f t="shared" si="51"/>
        <v>3268</v>
      </c>
      <c r="DUS1" s="1">
        <f t="shared" si="51"/>
        <v>3269</v>
      </c>
      <c r="DUT1" s="1">
        <f t="shared" si="51"/>
        <v>3270</v>
      </c>
      <c r="DUU1" s="1">
        <f t="shared" si="51"/>
        <v>3271</v>
      </c>
      <c r="DUV1" s="1">
        <f t="shared" si="51"/>
        <v>3272</v>
      </c>
      <c r="DUW1" s="1">
        <f t="shared" si="51"/>
        <v>3273</v>
      </c>
      <c r="DUX1" s="1">
        <f t="shared" si="51"/>
        <v>3274</v>
      </c>
      <c r="DUY1" s="1">
        <f t="shared" si="51"/>
        <v>3275</v>
      </c>
      <c r="DUZ1" s="1">
        <f t="shared" si="51"/>
        <v>3276</v>
      </c>
      <c r="DVA1" s="1">
        <f t="shared" si="51"/>
        <v>3277</v>
      </c>
      <c r="DVB1" s="1">
        <f t="shared" si="51"/>
        <v>3278</v>
      </c>
      <c r="DVC1" s="1">
        <f t="shared" si="51"/>
        <v>3279</v>
      </c>
      <c r="DVD1" s="1">
        <f t="shared" si="51"/>
        <v>3280</v>
      </c>
      <c r="DVE1" s="1">
        <f t="shared" si="51"/>
        <v>3281</v>
      </c>
      <c r="DVF1" s="1">
        <f t="shared" si="51"/>
        <v>3282</v>
      </c>
      <c r="DVG1" s="1">
        <f t="shared" si="51"/>
        <v>3283</v>
      </c>
      <c r="DVH1" s="1">
        <f t="shared" si="51"/>
        <v>3284</v>
      </c>
      <c r="DVI1" s="1">
        <f t="shared" si="51"/>
        <v>3285</v>
      </c>
      <c r="DVJ1" s="1">
        <f t="shared" si="51"/>
        <v>3286</v>
      </c>
      <c r="DVK1" s="1">
        <f t="shared" si="51"/>
        <v>3287</v>
      </c>
      <c r="DVL1" s="1">
        <f t="shared" si="51"/>
        <v>3288</v>
      </c>
      <c r="DVM1" s="1">
        <f t="shared" si="51"/>
        <v>3289</v>
      </c>
      <c r="DVN1" s="1">
        <f t="shared" si="51"/>
        <v>3290</v>
      </c>
      <c r="DVO1" s="1">
        <f t="shared" si="51"/>
        <v>3291</v>
      </c>
      <c r="DVP1" s="1">
        <f t="shared" si="51"/>
        <v>3292</v>
      </c>
      <c r="DVQ1" s="1">
        <f t="shared" si="51"/>
        <v>3293</v>
      </c>
      <c r="DVR1" s="1">
        <f t="shared" si="51"/>
        <v>3294</v>
      </c>
      <c r="DVS1" s="1">
        <f t="shared" si="51"/>
        <v>3295</v>
      </c>
      <c r="DVT1" s="1">
        <f t="shared" si="51"/>
        <v>3296</v>
      </c>
      <c r="DVU1" s="1">
        <f t="shared" si="51"/>
        <v>3297</v>
      </c>
      <c r="DVV1" s="1">
        <f t="shared" si="51"/>
        <v>3298</v>
      </c>
      <c r="DVW1" s="1">
        <f t="shared" si="51"/>
        <v>3299</v>
      </c>
      <c r="DVX1" s="1">
        <f t="shared" si="51"/>
        <v>3300</v>
      </c>
      <c r="DVY1" s="1">
        <f t="shared" si="51"/>
        <v>3301</v>
      </c>
      <c r="DVZ1" s="42">
        <f t="shared" si="51"/>
        <v>3302</v>
      </c>
      <c r="DWA1" s="1">
        <f t="shared" si="51"/>
        <v>3303</v>
      </c>
      <c r="DWB1" s="1">
        <f t="shared" si="51"/>
        <v>3304</v>
      </c>
      <c r="DWC1" s="1">
        <f t="shared" si="51"/>
        <v>3305</v>
      </c>
      <c r="DWD1" s="1">
        <f t="shared" si="51"/>
        <v>3306</v>
      </c>
      <c r="DWE1" s="1">
        <f t="shared" si="51"/>
        <v>3307</v>
      </c>
      <c r="DWF1" s="1">
        <f t="shared" si="51"/>
        <v>3308</v>
      </c>
      <c r="DWG1" s="1">
        <f t="shared" si="51"/>
        <v>3309</v>
      </c>
      <c r="DWH1" s="1">
        <f t="shared" si="51"/>
        <v>3310</v>
      </c>
      <c r="DWI1" s="1">
        <f t="shared" si="51"/>
        <v>3311</v>
      </c>
      <c r="DWJ1" s="1">
        <f t="shared" si="51"/>
        <v>3312</v>
      </c>
      <c r="DWK1" s="1">
        <f t="shared" si="51"/>
        <v>3313</v>
      </c>
      <c r="DWL1" s="1">
        <f t="shared" si="51"/>
        <v>3314</v>
      </c>
      <c r="DWM1" s="1">
        <f t="shared" si="51"/>
        <v>3315</v>
      </c>
      <c r="DWN1" s="1">
        <f t="shared" si="51"/>
        <v>3316</v>
      </c>
      <c r="DWO1" s="1">
        <f t="shared" si="51"/>
        <v>3317</v>
      </c>
      <c r="DWP1" s="1">
        <f t="shared" si="51"/>
        <v>3318</v>
      </c>
      <c r="DWQ1" s="1">
        <f t="shared" si="51"/>
        <v>3319</v>
      </c>
      <c r="DWR1" s="1">
        <f t="shared" si="51"/>
        <v>3320</v>
      </c>
      <c r="DWS1" s="1">
        <f t="shared" si="51"/>
        <v>3321</v>
      </c>
      <c r="DWT1" s="1">
        <f t="shared" si="51"/>
        <v>3322</v>
      </c>
      <c r="DWU1" s="1">
        <f t="shared" si="51"/>
        <v>3323</v>
      </c>
      <c r="DWV1" s="1">
        <f t="shared" si="51"/>
        <v>3324</v>
      </c>
      <c r="DWW1" s="1">
        <f t="shared" si="51"/>
        <v>3325</v>
      </c>
      <c r="DWX1" s="1">
        <f t="shared" si="51"/>
        <v>3326</v>
      </c>
      <c r="DWY1" s="1">
        <f t="shared" si="51"/>
        <v>3327</v>
      </c>
      <c r="DWZ1" s="1">
        <f t="shared" si="51"/>
        <v>3328</v>
      </c>
      <c r="DXA1" s="1">
        <f t="shared" si="51"/>
        <v>3329</v>
      </c>
      <c r="DXB1" s="1">
        <f t="shared" si="51"/>
        <v>3330</v>
      </c>
      <c r="DXC1" s="1">
        <f t="shared" ref="DXC1:DZN1" si="52">DXB1+1</f>
        <v>3331</v>
      </c>
      <c r="DXD1" s="1">
        <f t="shared" si="52"/>
        <v>3332</v>
      </c>
      <c r="DXE1" s="1">
        <f t="shared" si="52"/>
        <v>3333</v>
      </c>
      <c r="DXF1" s="1">
        <f t="shared" si="52"/>
        <v>3334</v>
      </c>
      <c r="DXG1" s="1">
        <f t="shared" si="52"/>
        <v>3335</v>
      </c>
      <c r="DXH1" s="1">
        <f t="shared" si="52"/>
        <v>3336</v>
      </c>
      <c r="DXI1" s="1">
        <f t="shared" si="52"/>
        <v>3337</v>
      </c>
      <c r="DXJ1" s="1">
        <f t="shared" si="52"/>
        <v>3338</v>
      </c>
      <c r="DXK1" s="1">
        <f t="shared" si="52"/>
        <v>3339</v>
      </c>
      <c r="DXL1" s="1">
        <f t="shared" si="52"/>
        <v>3340</v>
      </c>
      <c r="DXM1" s="1">
        <f t="shared" si="52"/>
        <v>3341</v>
      </c>
      <c r="DXN1" s="1">
        <f t="shared" si="52"/>
        <v>3342</v>
      </c>
      <c r="DXO1" s="1">
        <f t="shared" si="52"/>
        <v>3343</v>
      </c>
      <c r="DXP1" s="1">
        <f t="shared" si="52"/>
        <v>3344</v>
      </c>
      <c r="DXQ1" s="1">
        <f t="shared" si="52"/>
        <v>3345</v>
      </c>
      <c r="DXR1" s="42">
        <f t="shared" si="52"/>
        <v>3346</v>
      </c>
      <c r="DXS1" s="1">
        <f t="shared" si="52"/>
        <v>3347</v>
      </c>
      <c r="DXT1" s="1">
        <f t="shared" si="52"/>
        <v>3348</v>
      </c>
      <c r="DXU1" s="1">
        <f t="shared" si="52"/>
        <v>3349</v>
      </c>
      <c r="DXV1" s="1">
        <f t="shared" si="52"/>
        <v>3350</v>
      </c>
      <c r="DXW1" s="1">
        <f t="shared" si="52"/>
        <v>3351</v>
      </c>
      <c r="DXX1" s="1">
        <f t="shared" si="52"/>
        <v>3352</v>
      </c>
      <c r="DXY1" s="1">
        <f t="shared" si="52"/>
        <v>3353</v>
      </c>
      <c r="DXZ1" s="1">
        <f t="shared" si="52"/>
        <v>3354</v>
      </c>
      <c r="DYA1" s="1">
        <f t="shared" si="52"/>
        <v>3355</v>
      </c>
      <c r="DYB1" s="1">
        <f t="shared" si="52"/>
        <v>3356</v>
      </c>
      <c r="DYC1" s="1">
        <f t="shared" si="52"/>
        <v>3357</v>
      </c>
      <c r="DYD1" s="1">
        <f t="shared" si="52"/>
        <v>3358</v>
      </c>
      <c r="DYE1" s="1">
        <f t="shared" si="52"/>
        <v>3359</v>
      </c>
      <c r="DYF1" s="1">
        <f t="shared" si="52"/>
        <v>3360</v>
      </c>
      <c r="DYG1" s="1">
        <f t="shared" si="52"/>
        <v>3361</v>
      </c>
      <c r="DYH1" s="1">
        <f t="shared" si="52"/>
        <v>3362</v>
      </c>
      <c r="DYI1" s="1">
        <f t="shared" si="52"/>
        <v>3363</v>
      </c>
      <c r="DYJ1" s="1">
        <f t="shared" si="52"/>
        <v>3364</v>
      </c>
      <c r="DYK1" s="1">
        <f t="shared" si="52"/>
        <v>3365</v>
      </c>
      <c r="DYL1" s="1">
        <f t="shared" si="52"/>
        <v>3366</v>
      </c>
      <c r="DYM1" s="1">
        <f t="shared" si="52"/>
        <v>3367</v>
      </c>
      <c r="DYN1" s="1">
        <f t="shared" si="52"/>
        <v>3368</v>
      </c>
      <c r="DYO1" s="1">
        <f t="shared" si="52"/>
        <v>3369</v>
      </c>
      <c r="DYP1" s="1">
        <f t="shared" si="52"/>
        <v>3370</v>
      </c>
      <c r="DYQ1" s="1">
        <f t="shared" si="52"/>
        <v>3371</v>
      </c>
      <c r="DYR1" s="1">
        <f t="shared" si="52"/>
        <v>3372</v>
      </c>
      <c r="DYS1" s="1">
        <f t="shared" si="52"/>
        <v>3373</v>
      </c>
      <c r="DYT1" s="1">
        <f t="shared" si="52"/>
        <v>3374</v>
      </c>
      <c r="DYU1" s="1">
        <f t="shared" si="52"/>
        <v>3375</v>
      </c>
      <c r="DYV1" s="1">
        <f t="shared" si="52"/>
        <v>3376</v>
      </c>
      <c r="DYW1" s="1">
        <f t="shared" si="52"/>
        <v>3377</v>
      </c>
      <c r="DYX1" s="1">
        <f t="shared" si="52"/>
        <v>3378</v>
      </c>
      <c r="DYY1" s="1">
        <f t="shared" si="52"/>
        <v>3379</v>
      </c>
      <c r="DYZ1" s="1">
        <f t="shared" si="52"/>
        <v>3380</v>
      </c>
      <c r="DZA1" s="1">
        <f t="shared" si="52"/>
        <v>3381</v>
      </c>
      <c r="DZB1" s="1">
        <f t="shared" si="52"/>
        <v>3382</v>
      </c>
      <c r="DZC1" s="1">
        <f t="shared" si="52"/>
        <v>3383</v>
      </c>
      <c r="DZD1" s="1">
        <f t="shared" si="52"/>
        <v>3384</v>
      </c>
      <c r="DZE1" s="1">
        <f t="shared" si="52"/>
        <v>3385</v>
      </c>
      <c r="DZF1" s="1">
        <f t="shared" si="52"/>
        <v>3386</v>
      </c>
      <c r="DZG1" s="1">
        <f t="shared" si="52"/>
        <v>3387</v>
      </c>
      <c r="DZH1" s="1">
        <f t="shared" si="52"/>
        <v>3388</v>
      </c>
      <c r="DZI1" s="1">
        <f t="shared" si="52"/>
        <v>3389</v>
      </c>
      <c r="DZJ1" s="42">
        <f t="shared" si="52"/>
        <v>3390</v>
      </c>
      <c r="DZK1" s="1">
        <f t="shared" si="52"/>
        <v>3391</v>
      </c>
      <c r="DZL1" s="1">
        <f t="shared" si="52"/>
        <v>3392</v>
      </c>
      <c r="DZM1" s="1">
        <f t="shared" si="52"/>
        <v>3393</v>
      </c>
      <c r="DZN1" s="1">
        <f t="shared" si="52"/>
        <v>3394</v>
      </c>
      <c r="DZO1" s="1">
        <f t="shared" ref="DZO1:EBZ1" si="53">DZN1+1</f>
        <v>3395</v>
      </c>
      <c r="DZP1" s="1">
        <f t="shared" si="53"/>
        <v>3396</v>
      </c>
      <c r="DZQ1" s="1">
        <f t="shared" si="53"/>
        <v>3397</v>
      </c>
      <c r="DZR1" s="1">
        <f t="shared" si="53"/>
        <v>3398</v>
      </c>
      <c r="DZS1" s="1">
        <f t="shared" si="53"/>
        <v>3399</v>
      </c>
      <c r="DZT1" s="1">
        <f t="shared" si="53"/>
        <v>3400</v>
      </c>
      <c r="DZU1" s="1">
        <f t="shared" si="53"/>
        <v>3401</v>
      </c>
      <c r="DZV1" s="1">
        <f t="shared" si="53"/>
        <v>3402</v>
      </c>
      <c r="DZW1" s="1">
        <f t="shared" si="53"/>
        <v>3403</v>
      </c>
      <c r="DZX1" s="1">
        <f t="shared" si="53"/>
        <v>3404</v>
      </c>
      <c r="DZY1" s="1">
        <f t="shared" si="53"/>
        <v>3405</v>
      </c>
      <c r="DZZ1" s="1">
        <f t="shared" si="53"/>
        <v>3406</v>
      </c>
      <c r="EAA1" s="1">
        <f t="shared" si="53"/>
        <v>3407</v>
      </c>
      <c r="EAB1" s="1">
        <f t="shared" si="53"/>
        <v>3408</v>
      </c>
      <c r="EAC1" s="1">
        <f t="shared" si="53"/>
        <v>3409</v>
      </c>
      <c r="EAD1" s="1">
        <f t="shared" si="53"/>
        <v>3410</v>
      </c>
      <c r="EAE1" s="1">
        <f t="shared" si="53"/>
        <v>3411</v>
      </c>
      <c r="EAF1" s="1">
        <f t="shared" si="53"/>
        <v>3412</v>
      </c>
      <c r="EAG1" s="1">
        <f t="shared" si="53"/>
        <v>3413</v>
      </c>
      <c r="EAH1" s="1">
        <f t="shared" si="53"/>
        <v>3414</v>
      </c>
      <c r="EAI1" s="1">
        <f t="shared" si="53"/>
        <v>3415</v>
      </c>
      <c r="EAJ1" s="1">
        <f t="shared" si="53"/>
        <v>3416</v>
      </c>
      <c r="EAK1" s="1">
        <f t="shared" si="53"/>
        <v>3417</v>
      </c>
      <c r="EAL1" s="1">
        <f t="shared" si="53"/>
        <v>3418</v>
      </c>
      <c r="EAM1" s="1">
        <f t="shared" si="53"/>
        <v>3419</v>
      </c>
      <c r="EAN1" s="1">
        <f t="shared" si="53"/>
        <v>3420</v>
      </c>
      <c r="EAO1" s="1">
        <f t="shared" si="53"/>
        <v>3421</v>
      </c>
      <c r="EAP1" s="1">
        <f t="shared" si="53"/>
        <v>3422</v>
      </c>
      <c r="EAQ1" s="1">
        <f t="shared" si="53"/>
        <v>3423</v>
      </c>
      <c r="EAR1" s="1">
        <f t="shared" si="53"/>
        <v>3424</v>
      </c>
      <c r="EAS1" s="1">
        <f t="shared" si="53"/>
        <v>3425</v>
      </c>
      <c r="EAT1" s="1">
        <f t="shared" si="53"/>
        <v>3426</v>
      </c>
      <c r="EAU1" s="1">
        <f t="shared" si="53"/>
        <v>3427</v>
      </c>
      <c r="EAV1" s="1">
        <f t="shared" si="53"/>
        <v>3428</v>
      </c>
      <c r="EAW1" s="1">
        <f t="shared" si="53"/>
        <v>3429</v>
      </c>
      <c r="EAX1" s="1">
        <f t="shared" si="53"/>
        <v>3430</v>
      </c>
      <c r="EAY1" s="1">
        <f t="shared" si="53"/>
        <v>3431</v>
      </c>
      <c r="EAZ1" s="1">
        <f t="shared" si="53"/>
        <v>3432</v>
      </c>
      <c r="EBA1" s="1">
        <f t="shared" si="53"/>
        <v>3433</v>
      </c>
      <c r="EBB1" s="42">
        <f t="shared" si="53"/>
        <v>3434</v>
      </c>
      <c r="EBC1" s="1">
        <f t="shared" si="53"/>
        <v>3435</v>
      </c>
      <c r="EBD1" s="1">
        <f t="shared" si="53"/>
        <v>3436</v>
      </c>
      <c r="EBE1" s="1">
        <f t="shared" si="53"/>
        <v>3437</v>
      </c>
      <c r="EBF1" s="1">
        <f t="shared" si="53"/>
        <v>3438</v>
      </c>
      <c r="EBG1" s="1">
        <f t="shared" si="53"/>
        <v>3439</v>
      </c>
      <c r="EBH1" s="1">
        <f t="shared" si="53"/>
        <v>3440</v>
      </c>
      <c r="EBI1" s="1">
        <f t="shared" si="53"/>
        <v>3441</v>
      </c>
      <c r="EBJ1" s="1">
        <f t="shared" si="53"/>
        <v>3442</v>
      </c>
      <c r="EBK1" s="1">
        <f t="shared" si="53"/>
        <v>3443</v>
      </c>
      <c r="EBL1" s="1">
        <f t="shared" si="53"/>
        <v>3444</v>
      </c>
      <c r="EBM1" s="1">
        <f t="shared" si="53"/>
        <v>3445</v>
      </c>
      <c r="EBN1" s="1">
        <f t="shared" si="53"/>
        <v>3446</v>
      </c>
      <c r="EBO1" s="1">
        <f t="shared" si="53"/>
        <v>3447</v>
      </c>
      <c r="EBP1" s="1">
        <f t="shared" si="53"/>
        <v>3448</v>
      </c>
      <c r="EBQ1" s="1">
        <f t="shared" si="53"/>
        <v>3449</v>
      </c>
      <c r="EBR1" s="1">
        <f t="shared" si="53"/>
        <v>3450</v>
      </c>
      <c r="EBS1" s="1">
        <f t="shared" si="53"/>
        <v>3451</v>
      </c>
      <c r="EBT1" s="1">
        <f t="shared" si="53"/>
        <v>3452</v>
      </c>
      <c r="EBU1" s="1">
        <f t="shared" si="53"/>
        <v>3453</v>
      </c>
      <c r="EBV1" s="1">
        <f t="shared" si="53"/>
        <v>3454</v>
      </c>
      <c r="EBW1" s="1">
        <f t="shared" si="53"/>
        <v>3455</v>
      </c>
      <c r="EBX1" s="1">
        <f t="shared" si="53"/>
        <v>3456</v>
      </c>
      <c r="EBY1" s="1">
        <f t="shared" si="53"/>
        <v>3457</v>
      </c>
      <c r="EBZ1" s="1">
        <f t="shared" si="53"/>
        <v>3458</v>
      </c>
      <c r="ECA1" s="1">
        <f t="shared" ref="ECA1:EEL1" si="54">EBZ1+1</f>
        <v>3459</v>
      </c>
      <c r="ECB1" s="1">
        <f t="shared" si="54"/>
        <v>3460</v>
      </c>
      <c r="ECC1" s="1">
        <f t="shared" si="54"/>
        <v>3461</v>
      </c>
      <c r="ECD1" s="1">
        <f t="shared" si="54"/>
        <v>3462</v>
      </c>
      <c r="ECE1" s="1">
        <f t="shared" si="54"/>
        <v>3463</v>
      </c>
      <c r="ECF1" s="1">
        <f t="shared" si="54"/>
        <v>3464</v>
      </c>
      <c r="ECG1" s="1">
        <f t="shared" si="54"/>
        <v>3465</v>
      </c>
      <c r="ECH1" s="1">
        <f t="shared" si="54"/>
        <v>3466</v>
      </c>
      <c r="ECI1" s="1">
        <f t="shared" si="54"/>
        <v>3467</v>
      </c>
      <c r="ECJ1" s="1">
        <f t="shared" si="54"/>
        <v>3468</v>
      </c>
      <c r="ECK1" s="1">
        <f t="shared" si="54"/>
        <v>3469</v>
      </c>
      <c r="ECL1" s="1">
        <f t="shared" si="54"/>
        <v>3470</v>
      </c>
      <c r="ECM1" s="1">
        <f t="shared" si="54"/>
        <v>3471</v>
      </c>
      <c r="ECN1" s="1">
        <f t="shared" si="54"/>
        <v>3472</v>
      </c>
      <c r="ECO1" s="1">
        <f t="shared" si="54"/>
        <v>3473</v>
      </c>
      <c r="ECP1" s="1">
        <f t="shared" si="54"/>
        <v>3474</v>
      </c>
      <c r="ECQ1" s="1">
        <f t="shared" si="54"/>
        <v>3475</v>
      </c>
      <c r="ECR1" s="1">
        <f t="shared" si="54"/>
        <v>3476</v>
      </c>
      <c r="ECS1" s="1">
        <f t="shared" si="54"/>
        <v>3477</v>
      </c>
      <c r="ECT1" s="42">
        <f t="shared" si="54"/>
        <v>3478</v>
      </c>
      <c r="ECU1" s="1">
        <f t="shared" si="54"/>
        <v>3479</v>
      </c>
      <c r="ECV1" s="1">
        <f t="shared" si="54"/>
        <v>3480</v>
      </c>
      <c r="ECW1" s="1">
        <f t="shared" si="54"/>
        <v>3481</v>
      </c>
      <c r="ECX1" s="1">
        <f t="shared" si="54"/>
        <v>3482</v>
      </c>
      <c r="ECY1" s="1">
        <f t="shared" si="54"/>
        <v>3483</v>
      </c>
      <c r="ECZ1" s="1">
        <f t="shared" si="54"/>
        <v>3484</v>
      </c>
      <c r="EDA1" s="1">
        <f t="shared" si="54"/>
        <v>3485</v>
      </c>
      <c r="EDB1" s="1">
        <f t="shared" si="54"/>
        <v>3486</v>
      </c>
      <c r="EDC1" s="1">
        <f t="shared" si="54"/>
        <v>3487</v>
      </c>
      <c r="EDD1" s="1">
        <f t="shared" si="54"/>
        <v>3488</v>
      </c>
      <c r="EDE1" s="1">
        <f t="shared" si="54"/>
        <v>3489</v>
      </c>
      <c r="EDF1" s="1">
        <f t="shared" si="54"/>
        <v>3490</v>
      </c>
      <c r="EDG1" s="1">
        <f t="shared" si="54"/>
        <v>3491</v>
      </c>
      <c r="EDH1" s="1">
        <f t="shared" si="54"/>
        <v>3492</v>
      </c>
      <c r="EDI1" s="1">
        <f t="shared" si="54"/>
        <v>3493</v>
      </c>
      <c r="EDJ1" s="1">
        <f t="shared" si="54"/>
        <v>3494</v>
      </c>
      <c r="EDK1" s="1">
        <f t="shared" si="54"/>
        <v>3495</v>
      </c>
      <c r="EDL1" s="1">
        <f t="shared" si="54"/>
        <v>3496</v>
      </c>
      <c r="EDM1" s="1">
        <f t="shared" si="54"/>
        <v>3497</v>
      </c>
      <c r="EDN1" s="1">
        <f t="shared" si="54"/>
        <v>3498</v>
      </c>
      <c r="EDO1" s="1">
        <f t="shared" si="54"/>
        <v>3499</v>
      </c>
      <c r="EDP1" s="1">
        <f t="shared" si="54"/>
        <v>3500</v>
      </c>
      <c r="EDQ1" s="1">
        <f t="shared" si="54"/>
        <v>3501</v>
      </c>
      <c r="EDR1" s="1">
        <f t="shared" si="54"/>
        <v>3502</v>
      </c>
      <c r="EDS1" s="1">
        <f t="shared" si="54"/>
        <v>3503</v>
      </c>
      <c r="EDT1" s="1">
        <f t="shared" si="54"/>
        <v>3504</v>
      </c>
      <c r="EDU1" s="1">
        <f t="shared" si="54"/>
        <v>3505</v>
      </c>
      <c r="EDV1" s="1">
        <f t="shared" si="54"/>
        <v>3506</v>
      </c>
      <c r="EDW1" s="1">
        <f t="shared" si="54"/>
        <v>3507</v>
      </c>
      <c r="EDX1" s="1">
        <f t="shared" si="54"/>
        <v>3508</v>
      </c>
      <c r="EDY1" s="1">
        <f t="shared" si="54"/>
        <v>3509</v>
      </c>
      <c r="EDZ1" s="1">
        <f t="shared" si="54"/>
        <v>3510</v>
      </c>
      <c r="EEA1" s="1">
        <f t="shared" si="54"/>
        <v>3511</v>
      </c>
      <c r="EEB1" s="1">
        <f t="shared" si="54"/>
        <v>3512</v>
      </c>
      <c r="EEC1" s="1">
        <f t="shared" si="54"/>
        <v>3513</v>
      </c>
      <c r="EED1" s="1">
        <f t="shared" si="54"/>
        <v>3514</v>
      </c>
      <c r="EEE1" s="1">
        <f t="shared" si="54"/>
        <v>3515</v>
      </c>
      <c r="EEF1" s="1">
        <f t="shared" si="54"/>
        <v>3516</v>
      </c>
      <c r="EEG1" s="1">
        <f t="shared" si="54"/>
        <v>3517</v>
      </c>
      <c r="EEH1" s="1">
        <f t="shared" si="54"/>
        <v>3518</v>
      </c>
      <c r="EEI1" s="1">
        <f t="shared" si="54"/>
        <v>3519</v>
      </c>
      <c r="EEJ1" s="1">
        <f t="shared" si="54"/>
        <v>3520</v>
      </c>
      <c r="EEK1" s="1">
        <f t="shared" si="54"/>
        <v>3521</v>
      </c>
      <c r="EEL1" s="42">
        <f t="shared" si="54"/>
        <v>3522</v>
      </c>
      <c r="EEM1" s="1">
        <f t="shared" ref="EEM1:EGX1" si="55">EEL1+1</f>
        <v>3523</v>
      </c>
      <c r="EEN1" s="1">
        <f t="shared" si="55"/>
        <v>3524</v>
      </c>
      <c r="EEO1" s="1">
        <f t="shared" si="55"/>
        <v>3525</v>
      </c>
      <c r="EEP1" s="1">
        <f t="shared" si="55"/>
        <v>3526</v>
      </c>
      <c r="EEQ1" s="1">
        <f t="shared" si="55"/>
        <v>3527</v>
      </c>
      <c r="EER1" s="1">
        <f t="shared" si="55"/>
        <v>3528</v>
      </c>
      <c r="EES1" s="1">
        <f t="shared" si="55"/>
        <v>3529</v>
      </c>
      <c r="EET1" s="1">
        <f t="shared" si="55"/>
        <v>3530</v>
      </c>
      <c r="EEU1" s="1">
        <f t="shared" si="55"/>
        <v>3531</v>
      </c>
      <c r="EEV1" s="1">
        <f t="shared" si="55"/>
        <v>3532</v>
      </c>
      <c r="EEW1" s="1">
        <f t="shared" si="55"/>
        <v>3533</v>
      </c>
      <c r="EEX1" s="1">
        <f t="shared" si="55"/>
        <v>3534</v>
      </c>
      <c r="EEY1" s="1">
        <f t="shared" si="55"/>
        <v>3535</v>
      </c>
      <c r="EEZ1" s="1">
        <f t="shared" si="55"/>
        <v>3536</v>
      </c>
      <c r="EFA1" s="1">
        <f t="shared" si="55"/>
        <v>3537</v>
      </c>
      <c r="EFB1" s="1">
        <f t="shared" si="55"/>
        <v>3538</v>
      </c>
      <c r="EFC1" s="1">
        <f t="shared" si="55"/>
        <v>3539</v>
      </c>
      <c r="EFD1" s="1">
        <f t="shared" si="55"/>
        <v>3540</v>
      </c>
      <c r="EFE1" s="1">
        <f t="shared" si="55"/>
        <v>3541</v>
      </c>
      <c r="EFF1" s="1">
        <f t="shared" si="55"/>
        <v>3542</v>
      </c>
      <c r="EFG1" s="1">
        <f t="shared" si="55"/>
        <v>3543</v>
      </c>
      <c r="EFH1" s="1">
        <f t="shared" si="55"/>
        <v>3544</v>
      </c>
      <c r="EFI1" s="1">
        <f t="shared" si="55"/>
        <v>3545</v>
      </c>
      <c r="EFJ1" s="1">
        <f t="shared" si="55"/>
        <v>3546</v>
      </c>
      <c r="EFK1" s="1">
        <f t="shared" si="55"/>
        <v>3547</v>
      </c>
      <c r="EFL1" s="1">
        <f t="shared" si="55"/>
        <v>3548</v>
      </c>
      <c r="EFM1" s="1">
        <f t="shared" si="55"/>
        <v>3549</v>
      </c>
      <c r="EFN1" s="1">
        <f t="shared" si="55"/>
        <v>3550</v>
      </c>
      <c r="EFO1" s="1">
        <f t="shared" si="55"/>
        <v>3551</v>
      </c>
      <c r="EFP1" s="1">
        <f t="shared" si="55"/>
        <v>3552</v>
      </c>
      <c r="EFQ1" s="1">
        <f t="shared" si="55"/>
        <v>3553</v>
      </c>
      <c r="EFR1" s="1">
        <f t="shared" si="55"/>
        <v>3554</v>
      </c>
      <c r="EFS1" s="1">
        <f t="shared" si="55"/>
        <v>3555</v>
      </c>
      <c r="EFT1" s="1">
        <f t="shared" si="55"/>
        <v>3556</v>
      </c>
      <c r="EFU1" s="1">
        <f t="shared" si="55"/>
        <v>3557</v>
      </c>
      <c r="EFV1" s="1">
        <f t="shared" si="55"/>
        <v>3558</v>
      </c>
      <c r="EFW1" s="1">
        <f t="shared" si="55"/>
        <v>3559</v>
      </c>
      <c r="EFX1" s="1">
        <f t="shared" si="55"/>
        <v>3560</v>
      </c>
      <c r="EFY1" s="1">
        <f t="shared" si="55"/>
        <v>3561</v>
      </c>
      <c r="EFZ1" s="1">
        <f t="shared" si="55"/>
        <v>3562</v>
      </c>
      <c r="EGA1" s="1">
        <f t="shared" si="55"/>
        <v>3563</v>
      </c>
      <c r="EGB1" s="1">
        <f t="shared" si="55"/>
        <v>3564</v>
      </c>
      <c r="EGC1" s="1">
        <f t="shared" si="55"/>
        <v>3565</v>
      </c>
      <c r="EGD1" s="42">
        <f t="shared" si="55"/>
        <v>3566</v>
      </c>
      <c r="EGE1" s="1">
        <f t="shared" si="55"/>
        <v>3567</v>
      </c>
      <c r="EGF1" s="1">
        <f t="shared" si="55"/>
        <v>3568</v>
      </c>
      <c r="EGG1" s="1">
        <f t="shared" si="55"/>
        <v>3569</v>
      </c>
      <c r="EGH1" s="1">
        <f t="shared" si="55"/>
        <v>3570</v>
      </c>
      <c r="EGI1" s="1">
        <f t="shared" si="55"/>
        <v>3571</v>
      </c>
      <c r="EGJ1" s="1">
        <f t="shared" si="55"/>
        <v>3572</v>
      </c>
      <c r="EGK1" s="1">
        <f t="shared" si="55"/>
        <v>3573</v>
      </c>
      <c r="EGL1" s="1">
        <f t="shared" si="55"/>
        <v>3574</v>
      </c>
      <c r="EGM1" s="1">
        <f t="shared" si="55"/>
        <v>3575</v>
      </c>
      <c r="EGN1" s="1">
        <f t="shared" si="55"/>
        <v>3576</v>
      </c>
      <c r="EGO1" s="1">
        <f t="shared" si="55"/>
        <v>3577</v>
      </c>
      <c r="EGP1" s="1">
        <f t="shared" si="55"/>
        <v>3578</v>
      </c>
      <c r="EGQ1" s="1">
        <f t="shared" si="55"/>
        <v>3579</v>
      </c>
      <c r="EGR1" s="1">
        <f t="shared" si="55"/>
        <v>3580</v>
      </c>
      <c r="EGS1" s="1">
        <f t="shared" si="55"/>
        <v>3581</v>
      </c>
      <c r="EGT1" s="1">
        <f t="shared" si="55"/>
        <v>3582</v>
      </c>
      <c r="EGU1" s="1">
        <f t="shared" si="55"/>
        <v>3583</v>
      </c>
      <c r="EGV1" s="1">
        <f t="shared" si="55"/>
        <v>3584</v>
      </c>
      <c r="EGW1" s="1">
        <f t="shared" si="55"/>
        <v>3585</v>
      </c>
      <c r="EGX1" s="1">
        <f t="shared" si="55"/>
        <v>3586</v>
      </c>
      <c r="EGY1" s="1">
        <f t="shared" ref="EGY1:EJJ1" si="56">EGX1+1</f>
        <v>3587</v>
      </c>
      <c r="EGZ1" s="1">
        <f t="shared" si="56"/>
        <v>3588</v>
      </c>
      <c r="EHA1" s="1">
        <f t="shared" si="56"/>
        <v>3589</v>
      </c>
      <c r="EHB1" s="1">
        <f t="shared" si="56"/>
        <v>3590</v>
      </c>
      <c r="EHC1" s="1">
        <f t="shared" si="56"/>
        <v>3591</v>
      </c>
      <c r="EHD1" s="1">
        <f t="shared" si="56"/>
        <v>3592</v>
      </c>
      <c r="EHE1" s="1">
        <f t="shared" si="56"/>
        <v>3593</v>
      </c>
      <c r="EHF1" s="1">
        <f t="shared" si="56"/>
        <v>3594</v>
      </c>
      <c r="EHG1" s="1">
        <f t="shared" si="56"/>
        <v>3595</v>
      </c>
      <c r="EHH1" s="1">
        <f t="shared" si="56"/>
        <v>3596</v>
      </c>
      <c r="EHI1" s="1">
        <f t="shared" si="56"/>
        <v>3597</v>
      </c>
      <c r="EHJ1" s="1">
        <f t="shared" si="56"/>
        <v>3598</v>
      </c>
      <c r="EHK1" s="1">
        <f t="shared" si="56"/>
        <v>3599</v>
      </c>
      <c r="EHL1" s="1">
        <f t="shared" si="56"/>
        <v>3600</v>
      </c>
      <c r="EHM1" s="1">
        <f t="shared" si="56"/>
        <v>3601</v>
      </c>
      <c r="EHN1" s="1">
        <f t="shared" si="56"/>
        <v>3602</v>
      </c>
      <c r="EHO1" s="1">
        <f t="shared" si="56"/>
        <v>3603</v>
      </c>
      <c r="EHP1" s="1">
        <f t="shared" si="56"/>
        <v>3604</v>
      </c>
      <c r="EHQ1" s="1">
        <f t="shared" si="56"/>
        <v>3605</v>
      </c>
      <c r="EHR1" s="1">
        <f t="shared" si="56"/>
        <v>3606</v>
      </c>
      <c r="EHS1" s="1">
        <f t="shared" si="56"/>
        <v>3607</v>
      </c>
      <c r="EHT1" s="1">
        <f t="shared" si="56"/>
        <v>3608</v>
      </c>
      <c r="EHU1" s="1">
        <f t="shared" si="56"/>
        <v>3609</v>
      </c>
      <c r="EHV1" s="42">
        <f t="shared" si="56"/>
        <v>3610</v>
      </c>
      <c r="EHW1" s="1">
        <f t="shared" si="56"/>
        <v>3611</v>
      </c>
      <c r="EHX1" s="1">
        <f t="shared" si="56"/>
        <v>3612</v>
      </c>
      <c r="EHY1" s="1">
        <f t="shared" si="56"/>
        <v>3613</v>
      </c>
      <c r="EHZ1" s="1">
        <f t="shared" si="56"/>
        <v>3614</v>
      </c>
      <c r="EIA1" s="1">
        <f t="shared" si="56"/>
        <v>3615</v>
      </c>
      <c r="EIB1" s="1">
        <f t="shared" si="56"/>
        <v>3616</v>
      </c>
      <c r="EIC1" s="1">
        <f t="shared" si="56"/>
        <v>3617</v>
      </c>
      <c r="EID1" s="1">
        <f t="shared" si="56"/>
        <v>3618</v>
      </c>
      <c r="EIE1" s="1">
        <f t="shared" si="56"/>
        <v>3619</v>
      </c>
      <c r="EIF1" s="1">
        <f t="shared" si="56"/>
        <v>3620</v>
      </c>
      <c r="EIG1" s="1">
        <f t="shared" si="56"/>
        <v>3621</v>
      </c>
      <c r="EIH1" s="1">
        <f t="shared" si="56"/>
        <v>3622</v>
      </c>
      <c r="EII1" s="1">
        <f t="shared" si="56"/>
        <v>3623</v>
      </c>
      <c r="EIJ1" s="1">
        <f t="shared" si="56"/>
        <v>3624</v>
      </c>
      <c r="EIK1" s="1">
        <f t="shared" si="56"/>
        <v>3625</v>
      </c>
      <c r="EIL1" s="1">
        <f t="shared" si="56"/>
        <v>3626</v>
      </c>
      <c r="EIM1" s="1">
        <f t="shared" si="56"/>
        <v>3627</v>
      </c>
      <c r="EIN1" s="1">
        <f t="shared" si="56"/>
        <v>3628</v>
      </c>
      <c r="EIO1" s="1">
        <f t="shared" si="56"/>
        <v>3629</v>
      </c>
      <c r="EIP1" s="1">
        <f t="shared" si="56"/>
        <v>3630</v>
      </c>
      <c r="EIQ1" s="1">
        <f t="shared" si="56"/>
        <v>3631</v>
      </c>
      <c r="EIR1" s="1">
        <f t="shared" si="56"/>
        <v>3632</v>
      </c>
      <c r="EIS1" s="1">
        <f t="shared" si="56"/>
        <v>3633</v>
      </c>
      <c r="EIT1" s="1">
        <f t="shared" si="56"/>
        <v>3634</v>
      </c>
      <c r="EIU1" s="1">
        <f t="shared" si="56"/>
        <v>3635</v>
      </c>
      <c r="EIV1" s="1">
        <f t="shared" si="56"/>
        <v>3636</v>
      </c>
      <c r="EIW1" s="1">
        <f t="shared" si="56"/>
        <v>3637</v>
      </c>
      <c r="EIX1" s="1">
        <f t="shared" si="56"/>
        <v>3638</v>
      </c>
      <c r="EIY1" s="1">
        <f t="shared" si="56"/>
        <v>3639</v>
      </c>
      <c r="EIZ1" s="1">
        <f t="shared" si="56"/>
        <v>3640</v>
      </c>
      <c r="EJA1" s="1">
        <f t="shared" si="56"/>
        <v>3641</v>
      </c>
      <c r="EJB1" s="1">
        <f t="shared" si="56"/>
        <v>3642</v>
      </c>
      <c r="EJC1" s="1">
        <f t="shared" si="56"/>
        <v>3643</v>
      </c>
      <c r="EJD1" s="1">
        <f t="shared" si="56"/>
        <v>3644</v>
      </c>
      <c r="EJE1" s="1">
        <f t="shared" si="56"/>
        <v>3645</v>
      </c>
      <c r="EJF1" s="1">
        <f t="shared" si="56"/>
        <v>3646</v>
      </c>
      <c r="EJG1" s="1">
        <f t="shared" si="56"/>
        <v>3647</v>
      </c>
      <c r="EJH1" s="1">
        <f t="shared" si="56"/>
        <v>3648</v>
      </c>
      <c r="EJI1" s="1">
        <f t="shared" si="56"/>
        <v>3649</v>
      </c>
      <c r="EJJ1" s="1">
        <f t="shared" si="56"/>
        <v>3650</v>
      </c>
      <c r="EJK1" s="1">
        <f t="shared" ref="EJK1:ELV1" si="57">EJJ1+1</f>
        <v>3651</v>
      </c>
      <c r="EJL1" s="1">
        <f t="shared" si="57"/>
        <v>3652</v>
      </c>
      <c r="EJM1" s="1">
        <f t="shared" si="57"/>
        <v>3653</v>
      </c>
      <c r="EJN1" s="42">
        <f t="shared" si="57"/>
        <v>3654</v>
      </c>
      <c r="EJO1" s="1">
        <f t="shared" si="57"/>
        <v>3655</v>
      </c>
      <c r="EJP1" s="1">
        <f t="shared" si="57"/>
        <v>3656</v>
      </c>
      <c r="EJQ1" s="1">
        <f t="shared" si="57"/>
        <v>3657</v>
      </c>
      <c r="EJR1" s="1">
        <f t="shared" si="57"/>
        <v>3658</v>
      </c>
      <c r="EJS1" s="1">
        <f t="shared" si="57"/>
        <v>3659</v>
      </c>
      <c r="EJT1" s="1">
        <f t="shared" si="57"/>
        <v>3660</v>
      </c>
      <c r="EJU1" s="1">
        <f t="shared" si="57"/>
        <v>3661</v>
      </c>
      <c r="EJV1" s="1">
        <f t="shared" si="57"/>
        <v>3662</v>
      </c>
      <c r="EJW1" s="1">
        <f t="shared" si="57"/>
        <v>3663</v>
      </c>
      <c r="EJX1" s="1">
        <f t="shared" si="57"/>
        <v>3664</v>
      </c>
      <c r="EJY1" s="1">
        <f t="shared" si="57"/>
        <v>3665</v>
      </c>
      <c r="EJZ1" s="1">
        <f t="shared" si="57"/>
        <v>3666</v>
      </c>
      <c r="EKA1" s="1">
        <f t="shared" si="57"/>
        <v>3667</v>
      </c>
      <c r="EKB1" s="1">
        <f t="shared" si="57"/>
        <v>3668</v>
      </c>
      <c r="EKC1" s="1">
        <f t="shared" si="57"/>
        <v>3669</v>
      </c>
      <c r="EKD1" s="1">
        <f t="shared" si="57"/>
        <v>3670</v>
      </c>
      <c r="EKE1" s="1">
        <f t="shared" si="57"/>
        <v>3671</v>
      </c>
      <c r="EKF1" s="1">
        <f t="shared" si="57"/>
        <v>3672</v>
      </c>
      <c r="EKG1" s="1">
        <f t="shared" si="57"/>
        <v>3673</v>
      </c>
      <c r="EKH1" s="1">
        <f t="shared" si="57"/>
        <v>3674</v>
      </c>
      <c r="EKI1" s="1">
        <f t="shared" si="57"/>
        <v>3675</v>
      </c>
      <c r="EKJ1" s="1">
        <f t="shared" si="57"/>
        <v>3676</v>
      </c>
      <c r="EKK1" s="1">
        <f t="shared" si="57"/>
        <v>3677</v>
      </c>
      <c r="EKL1" s="1">
        <f t="shared" si="57"/>
        <v>3678</v>
      </c>
      <c r="EKM1" s="1">
        <f t="shared" si="57"/>
        <v>3679</v>
      </c>
      <c r="EKN1" s="1">
        <f t="shared" si="57"/>
        <v>3680</v>
      </c>
      <c r="EKO1" s="1">
        <f t="shared" si="57"/>
        <v>3681</v>
      </c>
      <c r="EKP1" s="1">
        <f t="shared" si="57"/>
        <v>3682</v>
      </c>
      <c r="EKQ1" s="1">
        <f t="shared" si="57"/>
        <v>3683</v>
      </c>
      <c r="EKR1" s="1">
        <f t="shared" si="57"/>
        <v>3684</v>
      </c>
      <c r="EKS1" s="1">
        <f t="shared" si="57"/>
        <v>3685</v>
      </c>
      <c r="EKT1" s="1">
        <f t="shared" si="57"/>
        <v>3686</v>
      </c>
      <c r="EKU1" s="1">
        <f t="shared" si="57"/>
        <v>3687</v>
      </c>
      <c r="EKV1" s="1">
        <f t="shared" si="57"/>
        <v>3688</v>
      </c>
      <c r="EKW1" s="1">
        <f t="shared" si="57"/>
        <v>3689</v>
      </c>
      <c r="EKX1" s="1">
        <f t="shared" si="57"/>
        <v>3690</v>
      </c>
      <c r="EKY1" s="1">
        <f t="shared" si="57"/>
        <v>3691</v>
      </c>
      <c r="EKZ1" s="1">
        <f t="shared" si="57"/>
        <v>3692</v>
      </c>
      <c r="ELA1" s="1">
        <f t="shared" si="57"/>
        <v>3693</v>
      </c>
      <c r="ELB1" s="1">
        <f t="shared" si="57"/>
        <v>3694</v>
      </c>
      <c r="ELC1" s="1">
        <f t="shared" si="57"/>
        <v>3695</v>
      </c>
      <c r="ELD1" s="1">
        <f t="shared" si="57"/>
        <v>3696</v>
      </c>
      <c r="ELE1" s="1">
        <f t="shared" si="57"/>
        <v>3697</v>
      </c>
      <c r="ELF1" s="42">
        <f t="shared" si="57"/>
        <v>3698</v>
      </c>
      <c r="ELG1" s="1">
        <f t="shared" si="57"/>
        <v>3699</v>
      </c>
      <c r="ELH1" s="1">
        <f t="shared" si="57"/>
        <v>3700</v>
      </c>
      <c r="ELI1" s="1">
        <f t="shared" si="57"/>
        <v>3701</v>
      </c>
      <c r="ELJ1" s="1">
        <f t="shared" si="57"/>
        <v>3702</v>
      </c>
      <c r="ELK1" s="1">
        <f t="shared" si="57"/>
        <v>3703</v>
      </c>
      <c r="ELL1" s="1">
        <f t="shared" si="57"/>
        <v>3704</v>
      </c>
      <c r="ELM1" s="1">
        <f t="shared" si="57"/>
        <v>3705</v>
      </c>
      <c r="ELN1" s="1">
        <f t="shared" si="57"/>
        <v>3706</v>
      </c>
      <c r="ELO1" s="1">
        <f t="shared" si="57"/>
        <v>3707</v>
      </c>
      <c r="ELP1" s="1">
        <f t="shared" si="57"/>
        <v>3708</v>
      </c>
      <c r="ELQ1" s="1">
        <f t="shared" si="57"/>
        <v>3709</v>
      </c>
      <c r="ELR1" s="1">
        <f t="shared" si="57"/>
        <v>3710</v>
      </c>
      <c r="ELS1" s="1">
        <f t="shared" si="57"/>
        <v>3711</v>
      </c>
      <c r="ELT1" s="1">
        <f t="shared" si="57"/>
        <v>3712</v>
      </c>
      <c r="ELU1" s="1">
        <f t="shared" si="57"/>
        <v>3713</v>
      </c>
      <c r="ELV1" s="1">
        <f t="shared" si="57"/>
        <v>3714</v>
      </c>
      <c r="ELW1" s="1">
        <f t="shared" ref="ELW1:EOH1" si="58">ELV1+1</f>
        <v>3715</v>
      </c>
      <c r="ELX1" s="1">
        <f t="shared" si="58"/>
        <v>3716</v>
      </c>
      <c r="ELY1" s="1">
        <f t="shared" si="58"/>
        <v>3717</v>
      </c>
      <c r="ELZ1" s="1">
        <f t="shared" si="58"/>
        <v>3718</v>
      </c>
      <c r="EMA1" s="1">
        <f t="shared" si="58"/>
        <v>3719</v>
      </c>
      <c r="EMB1" s="1">
        <f t="shared" si="58"/>
        <v>3720</v>
      </c>
      <c r="EMC1" s="1">
        <f t="shared" si="58"/>
        <v>3721</v>
      </c>
      <c r="EMD1" s="1">
        <f t="shared" si="58"/>
        <v>3722</v>
      </c>
      <c r="EME1" s="1">
        <f t="shared" si="58"/>
        <v>3723</v>
      </c>
      <c r="EMF1" s="1">
        <f t="shared" si="58"/>
        <v>3724</v>
      </c>
      <c r="EMG1" s="1">
        <f t="shared" si="58"/>
        <v>3725</v>
      </c>
      <c r="EMH1" s="1">
        <f t="shared" si="58"/>
        <v>3726</v>
      </c>
      <c r="EMI1" s="1">
        <f t="shared" si="58"/>
        <v>3727</v>
      </c>
      <c r="EMJ1" s="1">
        <f t="shared" si="58"/>
        <v>3728</v>
      </c>
      <c r="EMK1" s="1">
        <f t="shared" si="58"/>
        <v>3729</v>
      </c>
      <c r="EML1" s="1">
        <f t="shared" si="58"/>
        <v>3730</v>
      </c>
      <c r="EMM1" s="1">
        <f t="shared" si="58"/>
        <v>3731</v>
      </c>
      <c r="EMN1" s="1">
        <f t="shared" si="58"/>
        <v>3732</v>
      </c>
      <c r="EMO1" s="1">
        <f t="shared" si="58"/>
        <v>3733</v>
      </c>
      <c r="EMP1" s="1">
        <f t="shared" si="58"/>
        <v>3734</v>
      </c>
      <c r="EMQ1" s="1">
        <f t="shared" si="58"/>
        <v>3735</v>
      </c>
      <c r="EMR1" s="1">
        <f t="shared" si="58"/>
        <v>3736</v>
      </c>
      <c r="EMS1" s="1">
        <f t="shared" si="58"/>
        <v>3737</v>
      </c>
      <c r="EMT1" s="1">
        <f t="shared" si="58"/>
        <v>3738</v>
      </c>
      <c r="EMU1" s="1">
        <f t="shared" si="58"/>
        <v>3739</v>
      </c>
      <c r="EMV1" s="1">
        <f t="shared" si="58"/>
        <v>3740</v>
      </c>
      <c r="EMW1" s="1">
        <f t="shared" si="58"/>
        <v>3741</v>
      </c>
      <c r="EMX1" s="42">
        <f t="shared" si="58"/>
        <v>3742</v>
      </c>
      <c r="EMY1" s="1">
        <f t="shared" si="58"/>
        <v>3743</v>
      </c>
      <c r="EMZ1" s="1">
        <f t="shared" si="58"/>
        <v>3744</v>
      </c>
      <c r="ENA1" s="1">
        <f t="shared" si="58"/>
        <v>3745</v>
      </c>
      <c r="ENB1" s="1">
        <f t="shared" si="58"/>
        <v>3746</v>
      </c>
      <c r="ENC1" s="1">
        <f t="shared" si="58"/>
        <v>3747</v>
      </c>
      <c r="END1" s="1">
        <f t="shared" si="58"/>
        <v>3748</v>
      </c>
      <c r="ENE1" s="1">
        <f t="shared" si="58"/>
        <v>3749</v>
      </c>
      <c r="ENF1" s="1">
        <f t="shared" si="58"/>
        <v>3750</v>
      </c>
      <c r="ENG1" s="1">
        <f t="shared" si="58"/>
        <v>3751</v>
      </c>
      <c r="ENH1" s="1">
        <f t="shared" si="58"/>
        <v>3752</v>
      </c>
      <c r="ENI1" s="1">
        <f t="shared" si="58"/>
        <v>3753</v>
      </c>
      <c r="ENJ1" s="1">
        <f t="shared" si="58"/>
        <v>3754</v>
      </c>
      <c r="ENK1" s="1">
        <f t="shared" si="58"/>
        <v>3755</v>
      </c>
      <c r="ENL1" s="1">
        <f t="shared" si="58"/>
        <v>3756</v>
      </c>
      <c r="ENM1" s="1">
        <f t="shared" si="58"/>
        <v>3757</v>
      </c>
      <c r="ENN1" s="1">
        <f t="shared" si="58"/>
        <v>3758</v>
      </c>
      <c r="ENO1" s="1">
        <f t="shared" si="58"/>
        <v>3759</v>
      </c>
      <c r="ENP1" s="1">
        <f t="shared" si="58"/>
        <v>3760</v>
      </c>
      <c r="ENQ1" s="1">
        <f t="shared" si="58"/>
        <v>3761</v>
      </c>
      <c r="ENR1" s="1">
        <f t="shared" si="58"/>
        <v>3762</v>
      </c>
      <c r="ENS1" s="1">
        <f t="shared" si="58"/>
        <v>3763</v>
      </c>
      <c r="ENT1" s="1">
        <f t="shared" si="58"/>
        <v>3764</v>
      </c>
      <c r="ENU1" s="1">
        <f t="shared" si="58"/>
        <v>3765</v>
      </c>
      <c r="ENV1" s="1">
        <f t="shared" si="58"/>
        <v>3766</v>
      </c>
      <c r="ENW1" s="1">
        <f t="shared" si="58"/>
        <v>3767</v>
      </c>
      <c r="ENX1" s="1">
        <f t="shared" si="58"/>
        <v>3768</v>
      </c>
      <c r="ENY1" s="1">
        <f t="shared" si="58"/>
        <v>3769</v>
      </c>
      <c r="ENZ1" s="1">
        <f t="shared" si="58"/>
        <v>3770</v>
      </c>
      <c r="EOA1" s="1">
        <f t="shared" si="58"/>
        <v>3771</v>
      </c>
      <c r="EOB1" s="1">
        <f t="shared" si="58"/>
        <v>3772</v>
      </c>
      <c r="EOC1" s="1">
        <f t="shared" si="58"/>
        <v>3773</v>
      </c>
      <c r="EOD1" s="1">
        <f t="shared" si="58"/>
        <v>3774</v>
      </c>
      <c r="EOE1" s="1">
        <f t="shared" si="58"/>
        <v>3775</v>
      </c>
      <c r="EOF1" s="1">
        <f t="shared" si="58"/>
        <v>3776</v>
      </c>
      <c r="EOG1" s="1">
        <f t="shared" si="58"/>
        <v>3777</v>
      </c>
      <c r="EOH1" s="1">
        <f t="shared" si="58"/>
        <v>3778</v>
      </c>
      <c r="EOI1" s="1">
        <f t="shared" ref="EOI1:EQT1" si="59">EOH1+1</f>
        <v>3779</v>
      </c>
      <c r="EOJ1" s="1">
        <f t="shared" si="59"/>
        <v>3780</v>
      </c>
      <c r="EOK1" s="1">
        <f t="shared" si="59"/>
        <v>3781</v>
      </c>
      <c r="EOL1" s="1">
        <f t="shared" si="59"/>
        <v>3782</v>
      </c>
      <c r="EOM1" s="1">
        <f t="shared" si="59"/>
        <v>3783</v>
      </c>
      <c r="EON1" s="1">
        <f t="shared" si="59"/>
        <v>3784</v>
      </c>
      <c r="EOO1" s="1">
        <f t="shared" si="59"/>
        <v>3785</v>
      </c>
      <c r="EOP1" s="42">
        <f t="shared" si="59"/>
        <v>3786</v>
      </c>
      <c r="EOQ1" s="1">
        <f t="shared" si="59"/>
        <v>3787</v>
      </c>
      <c r="EOR1" s="1">
        <f t="shared" si="59"/>
        <v>3788</v>
      </c>
      <c r="EOS1" s="1">
        <f t="shared" si="59"/>
        <v>3789</v>
      </c>
      <c r="EOT1" s="1">
        <f t="shared" si="59"/>
        <v>3790</v>
      </c>
      <c r="EOU1" s="1">
        <f t="shared" si="59"/>
        <v>3791</v>
      </c>
      <c r="EOV1" s="1">
        <f t="shared" si="59"/>
        <v>3792</v>
      </c>
      <c r="EOW1" s="1">
        <f t="shared" si="59"/>
        <v>3793</v>
      </c>
      <c r="EOX1" s="1">
        <f t="shared" si="59"/>
        <v>3794</v>
      </c>
      <c r="EOY1" s="1">
        <f t="shared" si="59"/>
        <v>3795</v>
      </c>
      <c r="EOZ1" s="1">
        <f t="shared" si="59"/>
        <v>3796</v>
      </c>
      <c r="EPA1" s="1">
        <f t="shared" si="59"/>
        <v>3797</v>
      </c>
      <c r="EPB1" s="1">
        <f t="shared" si="59"/>
        <v>3798</v>
      </c>
      <c r="EPC1" s="1">
        <f t="shared" si="59"/>
        <v>3799</v>
      </c>
      <c r="EPD1" s="1">
        <f t="shared" si="59"/>
        <v>3800</v>
      </c>
      <c r="EPE1" s="1">
        <f t="shared" si="59"/>
        <v>3801</v>
      </c>
      <c r="EPF1" s="1">
        <f t="shared" si="59"/>
        <v>3802</v>
      </c>
      <c r="EPG1" s="1">
        <f t="shared" si="59"/>
        <v>3803</v>
      </c>
      <c r="EPH1" s="1">
        <f t="shared" si="59"/>
        <v>3804</v>
      </c>
      <c r="EPI1" s="1">
        <f t="shared" si="59"/>
        <v>3805</v>
      </c>
      <c r="EPJ1" s="1">
        <f t="shared" si="59"/>
        <v>3806</v>
      </c>
      <c r="EPK1" s="1">
        <f t="shared" si="59"/>
        <v>3807</v>
      </c>
      <c r="EPL1" s="1">
        <f t="shared" si="59"/>
        <v>3808</v>
      </c>
      <c r="EPM1" s="1">
        <f t="shared" si="59"/>
        <v>3809</v>
      </c>
      <c r="EPN1" s="1">
        <f t="shared" si="59"/>
        <v>3810</v>
      </c>
      <c r="EPO1" s="1">
        <f t="shared" si="59"/>
        <v>3811</v>
      </c>
      <c r="EPP1" s="1">
        <f t="shared" si="59"/>
        <v>3812</v>
      </c>
      <c r="EPQ1" s="1">
        <f t="shared" si="59"/>
        <v>3813</v>
      </c>
      <c r="EPR1" s="1">
        <f t="shared" si="59"/>
        <v>3814</v>
      </c>
      <c r="EPS1" s="1">
        <f t="shared" si="59"/>
        <v>3815</v>
      </c>
      <c r="EPT1" s="1">
        <f t="shared" si="59"/>
        <v>3816</v>
      </c>
      <c r="EPU1" s="1">
        <f t="shared" si="59"/>
        <v>3817</v>
      </c>
      <c r="EPV1" s="1">
        <f t="shared" si="59"/>
        <v>3818</v>
      </c>
      <c r="EPW1" s="1">
        <f t="shared" si="59"/>
        <v>3819</v>
      </c>
      <c r="EPX1" s="1">
        <f t="shared" si="59"/>
        <v>3820</v>
      </c>
      <c r="EPY1" s="1">
        <f t="shared" si="59"/>
        <v>3821</v>
      </c>
      <c r="EPZ1" s="1">
        <f t="shared" si="59"/>
        <v>3822</v>
      </c>
      <c r="EQA1" s="1">
        <f t="shared" si="59"/>
        <v>3823</v>
      </c>
      <c r="EQB1" s="1">
        <f t="shared" si="59"/>
        <v>3824</v>
      </c>
      <c r="EQC1" s="1">
        <f t="shared" si="59"/>
        <v>3825</v>
      </c>
      <c r="EQD1" s="1">
        <f t="shared" si="59"/>
        <v>3826</v>
      </c>
      <c r="EQE1" s="1">
        <f t="shared" si="59"/>
        <v>3827</v>
      </c>
      <c r="EQF1" s="1">
        <f t="shared" si="59"/>
        <v>3828</v>
      </c>
      <c r="EQG1" s="1">
        <f t="shared" si="59"/>
        <v>3829</v>
      </c>
      <c r="EQH1" s="42">
        <f t="shared" si="59"/>
        <v>3830</v>
      </c>
      <c r="EQI1" s="1">
        <f t="shared" si="59"/>
        <v>3831</v>
      </c>
      <c r="EQJ1" s="1">
        <f t="shared" si="59"/>
        <v>3832</v>
      </c>
      <c r="EQK1" s="1">
        <f t="shared" si="59"/>
        <v>3833</v>
      </c>
      <c r="EQL1" s="1">
        <f t="shared" si="59"/>
        <v>3834</v>
      </c>
      <c r="EQM1" s="1">
        <f t="shared" si="59"/>
        <v>3835</v>
      </c>
      <c r="EQN1" s="1">
        <f t="shared" si="59"/>
        <v>3836</v>
      </c>
      <c r="EQO1" s="1">
        <f t="shared" si="59"/>
        <v>3837</v>
      </c>
      <c r="EQP1" s="1">
        <f t="shared" si="59"/>
        <v>3838</v>
      </c>
      <c r="EQQ1" s="1">
        <f t="shared" si="59"/>
        <v>3839</v>
      </c>
      <c r="EQR1" s="1">
        <f t="shared" si="59"/>
        <v>3840</v>
      </c>
      <c r="EQS1" s="1">
        <f t="shared" si="59"/>
        <v>3841</v>
      </c>
      <c r="EQT1" s="1">
        <f t="shared" si="59"/>
        <v>3842</v>
      </c>
      <c r="EQU1" s="1">
        <f t="shared" ref="EQU1:ERY1" si="60">EQT1+1</f>
        <v>3843</v>
      </c>
      <c r="EQV1" s="1">
        <f t="shared" si="60"/>
        <v>3844</v>
      </c>
      <c r="EQW1" s="1">
        <f t="shared" si="60"/>
        <v>3845</v>
      </c>
      <c r="EQX1" s="1">
        <f t="shared" si="60"/>
        <v>3846</v>
      </c>
      <c r="EQY1" s="1">
        <f t="shared" si="60"/>
        <v>3847</v>
      </c>
      <c r="EQZ1" s="1">
        <f t="shared" si="60"/>
        <v>3848</v>
      </c>
      <c r="ERA1" s="1">
        <f t="shared" si="60"/>
        <v>3849</v>
      </c>
      <c r="ERB1" s="1">
        <f t="shared" si="60"/>
        <v>3850</v>
      </c>
      <c r="ERC1" s="1">
        <f t="shared" si="60"/>
        <v>3851</v>
      </c>
      <c r="ERD1" s="1">
        <f t="shared" si="60"/>
        <v>3852</v>
      </c>
      <c r="ERE1" s="1">
        <f t="shared" si="60"/>
        <v>3853</v>
      </c>
      <c r="ERF1" s="1">
        <f t="shared" si="60"/>
        <v>3854</v>
      </c>
      <c r="ERG1" s="1">
        <f t="shared" si="60"/>
        <v>3855</v>
      </c>
      <c r="ERH1" s="1">
        <f t="shared" si="60"/>
        <v>3856</v>
      </c>
      <c r="ERI1" s="1">
        <f t="shared" si="60"/>
        <v>3857</v>
      </c>
      <c r="ERJ1" s="1">
        <f t="shared" si="60"/>
        <v>3858</v>
      </c>
      <c r="ERK1" s="1">
        <f t="shared" si="60"/>
        <v>3859</v>
      </c>
      <c r="ERL1" s="1">
        <f t="shared" si="60"/>
        <v>3860</v>
      </c>
      <c r="ERM1" s="1">
        <f t="shared" si="60"/>
        <v>3861</v>
      </c>
      <c r="ERN1" s="1">
        <f t="shared" si="60"/>
        <v>3862</v>
      </c>
      <c r="ERO1" s="1">
        <f t="shared" si="60"/>
        <v>3863</v>
      </c>
      <c r="ERP1" s="1">
        <f t="shared" si="60"/>
        <v>3864</v>
      </c>
      <c r="ERQ1" s="1">
        <f t="shared" si="60"/>
        <v>3865</v>
      </c>
      <c r="ERR1" s="1">
        <f t="shared" si="60"/>
        <v>3866</v>
      </c>
      <c r="ERS1" s="1">
        <f t="shared" si="60"/>
        <v>3867</v>
      </c>
      <c r="ERT1" s="1">
        <f t="shared" si="60"/>
        <v>3868</v>
      </c>
      <c r="ERU1" s="1">
        <f t="shared" si="60"/>
        <v>3869</v>
      </c>
      <c r="ERV1" s="1">
        <f t="shared" si="60"/>
        <v>3870</v>
      </c>
      <c r="ERW1" s="1">
        <f t="shared" si="60"/>
        <v>3871</v>
      </c>
      <c r="ERX1" s="1">
        <f t="shared" si="60"/>
        <v>3872</v>
      </c>
      <c r="ERY1" s="1">
        <f t="shared" si="60"/>
        <v>3873</v>
      </c>
    </row>
    <row r="2" spans="1:3873" s="376" customFormat="1" ht="100.8" x14ac:dyDescent="0.3">
      <c r="A2" s="375" t="s">
        <v>84</v>
      </c>
      <c r="B2" s="377" t="s">
        <v>1361</v>
      </c>
      <c r="C2" s="377" t="s">
        <v>42</v>
      </c>
      <c r="D2" s="377" t="s">
        <v>1362</v>
      </c>
      <c r="E2" s="377" t="s">
        <v>1363</v>
      </c>
      <c r="F2" s="377" t="s">
        <v>45</v>
      </c>
      <c r="G2" s="377" t="s">
        <v>46</v>
      </c>
      <c r="H2" s="377" t="s">
        <v>47</v>
      </c>
      <c r="I2" s="377" t="s">
        <v>48</v>
      </c>
      <c r="J2" s="377" t="s">
        <v>49</v>
      </c>
      <c r="K2" s="377" t="s">
        <v>50</v>
      </c>
      <c r="L2" s="377" t="s">
        <v>51</v>
      </c>
      <c r="M2" s="377" t="s">
        <v>52</v>
      </c>
      <c r="N2" s="377" t="s">
        <v>53</v>
      </c>
      <c r="O2" s="377" t="s">
        <v>54</v>
      </c>
      <c r="P2" s="377" t="s">
        <v>55</v>
      </c>
      <c r="Q2" s="377" t="s">
        <v>56</v>
      </c>
      <c r="R2" s="377" t="s">
        <v>57</v>
      </c>
      <c r="S2" s="377" t="s">
        <v>58</v>
      </c>
      <c r="T2" s="377" t="s">
        <v>59</v>
      </c>
      <c r="U2" s="377" t="s">
        <v>60</v>
      </c>
      <c r="V2" s="377" t="s">
        <v>61</v>
      </c>
      <c r="W2" s="377" t="s">
        <v>62</v>
      </c>
      <c r="X2" s="377" t="s">
        <v>63</v>
      </c>
      <c r="Y2" s="377" t="s">
        <v>64</v>
      </c>
      <c r="Z2" s="377" t="s">
        <v>65</v>
      </c>
      <c r="AA2" s="377" t="s">
        <v>66</v>
      </c>
      <c r="AB2" s="377" t="s">
        <v>67</v>
      </c>
      <c r="AC2" s="377" t="s">
        <v>68</v>
      </c>
      <c r="AD2" s="377" t="s">
        <v>69</v>
      </c>
      <c r="AE2" s="377" t="s">
        <v>70</v>
      </c>
      <c r="AF2" s="377" t="s">
        <v>71</v>
      </c>
      <c r="AG2" s="377" t="s">
        <v>72</v>
      </c>
      <c r="AH2" s="377" t="s">
        <v>73</v>
      </c>
      <c r="AI2" s="377" t="s">
        <v>74</v>
      </c>
      <c r="AJ2" s="377" t="s">
        <v>75</v>
      </c>
      <c r="AK2" s="377" t="s">
        <v>76</v>
      </c>
      <c r="AL2" s="377" t="s">
        <v>77</v>
      </c>
      <c r="AM2" s="377" t="s">
        <v>78</v>
      </c>
      <c r="AN2" s="377" t="s">
        <v>79</v>
      </c>
      <c r="AO2" s="377" t="s">
        <v>80</v>
      </c>
      <c r="AP2" s="377" t="s">
        <v>81</v>
      </c>
      <c r="AQ2" s="377" t="s">
        <v>82</v>
      </c>
      <c r="AR2" s="377" t="s">
        <v>83</v>
      </c>
      <c r="AS2" s="377" t="s">
        <v>83</v>
      </c>
      <c r="AT2" s="375" t="s">
        <v>41</v>
      </c>
      <c r="AU2" s="375" t="s">
        <v>42</v>
      </c>
      <c r="AV2" s="375" t="s">
        <v>43</v>
      </c>
      <c r="AW2" s="375" t="s">
        <v>44</v>
      </c>
      <c r="AX2" s="375" t="s">
        <v>45</v>
      </c>
      <c r="AY2" s="375" t="s">
        <v>46</v>
      </c>
      <c r="AZ2" s="375" t="s">
        <v>47</v>
      </c>
      <c r="BA2" s="375" t="s">
        <v>48</v>
      </c>
      <c r="BB2" s="375" t="s">
        <v>49</v>
      </c>
      <c r="BC2" s="375" t="s">
        <v>50</v>
      </c>
      <c r="BD2" s="375" t="s">
        <v>51</v>
      </c>
      <c r="BE2" s="375" t="s">
        <v>52</v>
      </c>
      <c r="BF2" s="375" t="s">
        <v>53</v>
      </c>
      <c r="BG2" s="375" t="s">
        <v>54</v>
      </c>
      <c r="BH2" s="375" t="s">
        <v>55</v>
      </c>
      <c r="BI2" s="375" t="s">
        <v>56</v>
      </c>
      <c r="BJ2" s="375" t="s">
        <v>57</v>
      </c>
      <c r="BK2" s="375" t="s">
        <v>58</v>
      </c>
      <c r="BL2" s="375" t="s">
        <v>59</v>
      </c>
      <c r="BM2" s="375" t="s">
        <v>60</v>
      </c>
      <c r="BN2" s="375" t="s">
        <v>61</v>
      </c>
      <c r="BO2" s="375" t="s">
        <v>62</v>
      </c>
      <c r="BP2" s="375" t="s">
        <v>63</v>
      </c>
      <c r="BQ2" s="375" t="s">
        <v>64</v>
      </c>
      <c r="BR2" s="375" t="s">
        <v>65</v>
      </c>
      <c r="BS2" s="375" t="s">
        <v>66</v>
      </c>
      <c r="BT2" s="375" t="s">
        <v>67</v>
      </c>
      <c r="BU2" s="375" t="s">
        <v>68</v>
      </c>
      <c r="BV2" s="375" t="s">
        <v>69</v>
      </c>
      <c r="BW2" s="375" t="s">
        <v>70</v>
      </c>
      <c r="BX2" s="375" t="s">
        <v>71</v>
      </c>
      <c r="BY2" s="375" t="s">
        <v>72</v>
      </c>
      <c r="BZ2" s="375" t="s">
        <v>73</v>
      </c>
      <c r="CA2" s="375" t="s">
        <v>74</v>
      </c>
      <c r="CB2" s="375" t="s">
        <v>75</v>
      </c>
      <c r="CC2" s="375" t="s">
        <v>76</v>
      </c>
      <c r="CD2" s="375" t="s">
        <v>77</v>
      </c>
      <c r="CE2" s="375" t="s">
        <v>78</v>
      </c>
      <c r="CF2" s="375" t="s">
        <v>79</v>
      </c>
      <c r="CG2" s="375" t="s">
        <v>80</v>
      </c>
      <c r="CH2" s="375" t="s">
        <v>81</v>
      </c>
      <c r="CI2" s="375" t="s">
        <v>82</v>
      </c>
      <c r="CJ2" s="375" t="s">
        <v>83</v>
      </c>
      <c r="CK2" s="375" t="s">
        <v>83</v>
      </c>
      <c r="CL2" s="377" t="s">
        <v>1361</v>
      </c>
      <c r="CM2" s="377" t="s">
        <v>42</v>
      </c>
      <c r="CN2" s="377" t="s">
        <v>1362</v>
      </c>
      <c r="CO2" s="377" t="s">
        <v>1363</v>
      </c>
      <c r="CP2" s="377" t="s">
        <v>45</v>
      </c>
      <c r="CQ2" s="377" t="s">
        <v>46</v>
      </c>
      <c r="CR2" s="377" t="s">
        <v>47</v>
      </c>
      <c r="CS2" s="377" t="s">
        <v>48</v>
      </c>
      <c r="CT2" s="377" t="s">
        <v>49</v>
      </c>
      <c r="CU2" s="377" t="s">
        <v>50</v>
      </c>
      <c r="CV2" s="377" t="s">
        <v>51</v>
      </c>
      <c r="CW2" s="377" t="s">
        <v>52</v>
      </c>
      <c r="CX2" s="377" t="s">
        <v>53</v>
      </c>
      <c r="CY2" s="377" t="s">
        <v>54</v>
      </c>
      <c r="CZ2" s="377" t="s">
        <v>55</v>
      </c>
      <c r="DA2" s="377" t="s">
        <v>56</v>
      </c>
      <c r="DB2" s="377" t="s">
        <v>57</v>
      </c>
      <c r="DC2" s="377" t="s">
        <v>58</v>
      </c>
      <c r="DD2" s="377" t="s">
        <v>59</v>
      </c>
      <c r="DE2" s="377" t="s">
        <v>60</v>
      </c>
      <c r="DF2" s="377" t="s">
        <v>61</v>
      </c>
      <c r="DG2" s="377" t="s">
        <v>62</v>
      </c>
      <c r="DH2" s="377" t="s">
        <v>63</v>
      </c>
      <c r="DI2" s="377" t="s">
        <v>64</v>
      </c>
      <c r="DJ2" s="377" t="s">
        <v>65</v>
      </c>
      <c r="DK2" s="377" t="s">
        <v>66</v>
      </c>
      <c r="DL2" s="377" t="s">
        <v>67</v>
      </c>
      <c r="DM2" s="377" t="s">
        <v>68</v>
      </c>
      <c r="DN2" s="377" t="s">
        <v>69</v>
      </c>
      <c r="DO2" s="377" t="s">
        <v>70</v>
      </c>
      <c r="DP2" s="377" t="s">
        <v>71</v>
      </c>
      <c r="DQ2" s="377" t="s">
        <v>72</v>
      </c>
      <c r="DR2" s="377" t="s">
        <v>73</v>
      </c>
      <c r="DS2" s="377" t="s">
        <v>74</v>
      </c>
      <c r="DT2" s="377" t="s">
        <v>75</v>
      </c>
      <c r="DU2" s="377" t="s">
        <v>76</v>
      </c>
      <c r="DV2" s="377" t="s">
        <v>77</v>
      </c>
      <c r="DW2" s="377" t="s">
        <v>78</v>
      </c>
      <c r="DX2" s="377" t="s">
        <v>79</v>
      </c>
      <c r="DY2" s="377" t="s">
        <v>80</v>
      </c>
      <c r="DZ2" s="377" t="s">
        <v>81</v>
      </c>
      <c r="EA2" s="377" t="s">
        <v>82</v>
      </c>
      <c r="EB2" s="377" t="s">
        <v>83</v>
      </c>
      <c r="EC2" s="377" t="s">
        <v>83</v>
      </c>
      <c r="ED2" s="375" t="s">
        <v>41</v>
      </c>
      <c r="EE2" s="375" t="s">
        <v>42</v>
      </c>
      <c r="EF2" s="375" t="s">
        <v>43</v>
      </c>
      <c r="EG2" s="375" t="s">
        <v>44</v>
      </c>
      <c r="EH2" s="375" t="s">
        <v>45</v>
      </c>
      <c r="EI2" s="375" t="s">
        <v>46</v>
      </c>
      <c r="EJ2" s="375" t="s">
        <v>47</v>
      </c>
      <c r="EK2" s="375" t="s">
        <v>48</v>
      </c>
      <c r="EL2" s="375" t="s">
        <v>49</v>
      </c>
      <c r="EM2" s="375" t="s">
        <v>50</v>
      </c>
      <c r="EN2" s="375" t="s">
        <v>51</v>
      </c>
      <c r="EO2" s="375" t="s">
        <v>52</v>
      </c>
      <c r="EP2" s="375" t="s">
        <v>53</v>
      </c>
      <c r="EQ2" s="375" t="s">
        <v>54</v>
      </c>
      <c r="ER2" s="375" t="s">
        <v>55</v>
      </c>
      <c r="ES2" s="375" t="s">
        <v>56</v>
      </c>
      <c r="ET2" s="375" t="s">
        <v>57</v>
      </c>
      <c r="EU2" s="375" t="s">
        <v>58</v>
      </c>
      <c r="EV2" s="375" t="s">
        <v>59</v>
      </c>
      <c r="EW2" s="375" t="s">
        <v>60</v>
      </c>
      <c r="EX2" s="375" t="s">
        <v>61</v>
      </c>
      <c r="EY2" s="375" t="s">
        <v>62</v>
      </c>
      <c r="EZ2" s="375" t="s">
        <v>63</v>
      </c>
      <c r="FA2" s="375" t="s">
        <v>64</v>
      </c>
      <c r="FB2" s="375" t="s">
        <v>65</v>
      </c>
      <c r="FC2" s="375" t="s">
        <v>66</v>
      </c>
      <c r="FD2" s="375" t="s">
        <v>67</v>
      </c>
      <c r="FE2" s="375" t="s">
        <v>68</v>
      </c>
      <c r="FF2" s="375" t="s">
        <v>69</v>
      </c>
      <c r="FG2" s="375" t="s">
        <v>70</v>
      </c>
      <c r="FH2" s="375" t="s">
        <v>71</v>
      </c>
      <c r="FI2" s="375" t="s">
        <v>72</v>
      </c>
      <c r="FJ2" s="375" t="s">
        <v>73</v>
      </c>
      <c r="FK2" s="375" t="s">
        <v>74</v>
      </c>
      <c r="FL2" s="375" t="s">
        <v>75</v>
      </c>
      <c r="FM2" s="375" t="s">
        <v>76</v>
      </c>
      <c r="FN2" s="375" t="s">
        <v>77</v>
      </c>
      <c r="FO2" s="375" t="s">
        <v>78</v>
      </c>
      <c r="FP2" s="375" t="s">
        <v>79</v>
      </c>
      <c r="FQ2" s="375" t="s">
        <v>80</v>
      </c>
      <c r="FR2" s="375" t="s">
        <v>81</v>
      </c>
      <c r="FS2" s="375" t="s">
        <v>82</v>
      </c>
      <c r="FT2" s="375" t="s">
        <v>83</v>
      </c>
      <c r="FU2" s="375" t="s">
        <v>83</v>
      </c>
      <c r="FV2" s="377" t="s">
        <v>1361</v>
      </c>
      <c r="FW2" s="377" t="s">
        <v>42</v>
      </c>
      <c r="FX2" s="377" t="s">
        <v>1362</v>
      </c>
      <c r="FY2" s="377" t="s">
        <v>1363</v>
      </c>
      <c r="FZ2" s="377" t="s">
        <v>45</v>
      </c>
      <c r="GA2" s="377" t="s">
        <v>46</v>
      </c>
      <c r="GB2" s="377" t="s">
        <v>47</v>
      </c>
      <c r="GC2" s="377" t="s">
        <v>48</v>
      </c>
      <c r="GD2" s="377" t="s">
        <v>49</v>
      </c>
      <c r="GE2" s="377" t="s">
        <v>50</v>
      </c>
      <c r="GF2" s="377" t="s">
        <v>51</v>
      </c>
      <c r="GG2" s="377" t="s">
        <v>52</v>
      </c>
      <c r="GH2" s="377" t="s">
        <v>53</v>
      </c>
      <c r="GI2" s="377" t="s">
        <v>54</v>
      </c>
      <c r="GJ2" s="377" t="s">
        <v>55</v>
      </c>
      <c r="GK2" s="377" t="s">
        <v>56</v>
      </c>
      <c r="GL2" s="377" t="s">
        <v>57</v>
      </c>
      <c r="GM2" s="377" t="s">
        <v>58</v>
      </c>
      <c r="GN2" s="377" t="s">
        <v>59</v>
      </c>
      <c r="GO2" s="377" t="s">
        <v>60</v>
      </c>
      <c r="GP2" s="377" t="s">
        <v>61</v>
      </c>
      <c r="GQ2" s="377" t="s">
        <v>62</v>
      </c>
      <c r="GR2" s="377" t="s">
        <v>63</v>
      </c>
      <c r="GS2" s="377" t="s">
        <v>64</v>
      </c>
      <c r="GT2" s="377" t="s">
        <v>65</v>
      </c>
      <c r="GU2" s="377" t="s">
        <v>66</v>
      </c>
      <c r="GV2" s="377" t="s">
        <v>67</v>
      </c>
      <c r="GW2" s="377" t="s">
        <v>68</v>
      </c>
      <c r="GX2" s="377" t="s">
        <v>69</v>
      </c>
      <c r="GY2" s="377" t="s">
        <v>70</v>
      </c>
      <c r="GZ2" s="377" t="s">
        <v>71</v>
      </c>
      <c r="HA2" s="377" t="s">
        <v>72</v>
      </c>
      <c r="HB2" s="377" t="s">
        <v>73</v>
      </c>
      <c r="HC2" s="377" t="s">
        <v>74</v>
      </c>
      <c r="HD2" s="377" t="s">
        <v>75</v>
      </c>
      <c r="HE2" s="377" t="s">
        <v>76</v>
      </c>
      <c r="HF2" s="377" t="s">
        <v>77</v>
      </c>
      <c r="HG2" s="377" t="s">
        <v>78</v>
      </c>
      <c r="HH2" s="377" t="s">
        <v>79</v>
      </c>
      <c r="HI2" s="377" t="s">
        <v>80</v>
      </c>
      <c r="HJ2" s="377" t="s">
        <v>81</v>
      </c>
      <c r="HK2" s="377" t="s">
        <v>82</v>
      </c>
      <c r="HL2" s="377" t="s">
        <v>83</v>
      </c>
      <c r="HM2" s="377" t="s">
        <v>83</v>
      </c>
      <c r="HN2" s="375" t="s">
        <v>41</v>
      </c>
      <c r="HO2" s="375" t="s">
        <v>42</v>
      </c>
      <c r="HP2" s="375" t="s">
        <v>43</v>
      </c>
      <c r="HQ2" s="375" t="s">
        <v>44</v>
      </c>
      <c r="HR2" s="375" t="s">
        <v>45</v>
      </c>
      <c r="HS2" s="375" t="s">
        <v>46</v>
      </c>
      <c r="HT2" s="375" t="s">
        <v>47</v>
      </c>
      <c r="HU2" s="375" t="s">
        <v>48</v>
      </c>
      <c r="HV2" s="375" t="s">
        <v>49</v>
      </c>
      <c r="HW2" s="375" t="s">
        <v>50</v>
      </c>
      <c r="HX2" s="375" t="s">
        <v>51</v>
      </c>
      <c r="HY2" s="375" t="s">
        <v>52</v>
      </c>
      <c r="HZ2" s="375" t="s">
        <v>53</v>
      </c>
      <c r="IA2" s="375" t="s">
        <v>54</v>
      </c>
      <c r="IB2" s="375" t="s">
        <v>55</v>
      </c>
      <c r="IC2" s="375" t="s">
        <v>56</v>
      </c>
      <c r="ID2" s="375" t="s">
        <v>57</v>
      </c>
      <c r="IE2" s="375" t="s">
        <v>58</v>
      </c>
      <c r="IF2" s="375" t="s">
        <v>59</v>
      </c>
      <c r="IG2" s="375" t="s">
        <v>60</v>
      </c>
      <c r="IH2" s="375" t="s">
        <v>61</v>
      </c>
      <c r="II2" s="375" t="s">
        <v>62</v>
      </c>
      <c r="IJ2" s="375" t="s">
        <v>63</v>
      </c>
      <c r="IK2" s="375" t="s">
        <v>64</v>
      </c>
      <c r="IL2" s="375" t="s">
        <v>65</v>
      </c>
      <c r="IM2" s="375" t="s">
        <v>66</v>
      </c>
      <c r="IN2" s="375" t="s">
        <v>67</v>
      </c>
      <c r="IO2" s="375" t="s">
        <v>68</v>
      </c>
      <c r="IP2" s="375" t="s">
        <v>69</v>
      </c>
      <c r="IQ2" s="375" t="s">
        <v>70</v>
      </c>
      <c r="IR2" s="375" t="s">
        <v>71</v>
      </c>
      <c r="IS2" s="375" t="s">
        <v>72</v>
      </c>
      <c r="IT2" s="375" t="s">
        <v>73</v>
      </c>
      <c r="IU2" s="375" t="s">
        <v>74</v>
      </c>
      <c r="IV2" s="375" t="s">
        <v>75</v>
      </c>
      <c r="IW2" s="375" t="s">
        <v>76</v>
      </c>
      <c r="IX2" s="375" t="s">
        <v>77</v>
      </c>
      <c r="IY2" s="375" t="s">
        <v>78</v>
      </c>
      <c r="IZ2" s="375" t="s">
        <v>79</v>
      </c>
      <c r="JA2" s="375" t="s">
        <v>80</v>
      </c>
      <c r="JB2" s="375" t="s">
        <v>81</v>
      </c>
      <c r="JC2" s="375" t="s">
        <v>82</v>
      </c>
      <c r="JD2" s="375" t="s">
        <v>83</v>
      </c>
      <c r="JE2" s="375" t="s">
        <v>83</v>
      </c>
      <c r="JF2" s="377" t="s">
        <v>1361</v>
      </c>
      <c r="JG2" s="377" t="s">
        <v>42</v>
      </c>
      <c r="JH2" s="377" t="s">
        <v>1362</v>
      </c>
      <c r="JI2" s="377" t="s">
        <v>1363</v>
      </c>
      <c r="JJ2" s="377" t="s">
        <v>45</v>
      </c>
      <c r="JK2" s="377" t="s">
        <v>46</v>
      </c>
      <c r="JL2" s="377" t="s">
        <v>47</v>
      </c>
      <c r="JM2" s="377" t="s">
        <v>48</v>
      </c>
      <c r="JN2" s="377" t="s">
        <v>49</v>
      </c>
      <c r="JO2" s="377" t="s">
        <v>50</v>
      </c>
      <c r="JP2" s="377" t="s">
        <v>51</v>
      </c>
      <c r="JQ2" s="377" t="s">
        <v>52</v>
      </c>
      <c r="JR2" s="377" t="s">
        <v>53</v>
      </c>
      <c r="JS2" s="377" t="s">
        <v>54</v>
      </c>
      <c r="JT2" s="377" t="s">
        <v>55</v>
      </c>
      <c r="JU2" s="377" t="s">
        <v>56</v>
      </c>
      <c r="JV2" s="377" t="s">
        <v>57</v>
      </c>
      <c r="JW2" s="377" t="s">
        <v>58</v>
      </c>
      <c r="JX2" s="377" t="s">
        <v>59</v>
      </c>
      <c r="JY2" s="377" t="s">
        <v>60</v>
      </c>
      <c r="JZ2" s="377" t="s">
        <v>61</v>
      </c>
      <c r="KA2" s="377" t="s">
        <v>62</v>
      </c>
      <c r="KB2" s="377" t="s">
        <v>63</v>
      </c>
      <c r="KC2" s="377" t="s">
        <v>64</v>
      </c>
      <c r="KD2" s="377" t="s">
        <v>65</v>
      </c>
      <c r="KE2" s="377" t="s">
        <v>66</v>
      </c>
      <c r="KF2" s="377" t="s">
        <v>67</v>
      </c>
      <c r="KG2" s="377" t="s">
        <v>68</v>
      </c>
      <c r="KH2" s="377" t="s">
        <v>69</v>
      </c>
      <c r="KI2" s="377" t="s">
        <v>70</v>
      </c>
      <c r="KJ2" s="377" t="s">
        <v>71</v>
      </c>
      <c r="KK2" s="377" t="s">
        <v>72</v>
      </c>
      <c r="KL2" s="377" t="s">
        <v>73</v>
      </c>
      <c r="KM2" s="377" t="s">
        <v>74</v>
      </c>
      <c r="KN2" s="377" t="s">
        <v>75</v>
      </c>
      <c r="KO2" s="377" t="s">
        <v>76</v>
      </c>
      <c r="KP2" s="377" t="s">
        <v>77</v>
      </c>
      <c r="KQ2" s="377" t="s">
        <v>78</v>
      </c>
      <c r="KR2" s="377" t="s">
        <v>79</v>
      </c>
      <c r="KS2" s="377" t="s">
        <v>80</v>
      </c>
      <c r="KT2" s="377" t="s">
        <v>81</v>
      </c>
      <c r="KU2" s="377" t="s">
        <v>82</v>
      </c>
      <c r="KV2" s="377" t="s">
        <v>83</v>
      </c>
      <c r="KW2" s="377" t="s">
        <v>83</v>
      </c>
      <c r="KX2" s="375" t="s">
        <v>41</v>
      </c>
      <c r="KY2" s="375" t="s">
        <v>42</v>
      </c>
      <c r="KZ2" s="375" t="s">
        <v>43</v>
      </c>
      <c r="LA2" s="375" t="s">
        <v>44</v>
      </c>
      <c r="LB2" s="375" t="s">
        <v>45</v>
      </c>
      <c r="LC2" s="375" t="s">
        <v>46</v>
      </c>
      <c r="LD2" s="375" t="s">
        <v>47</v>
      </c>
      <c r="LE2" s="375" t="s">
        <v>48</v>
      </c>
      <c r="LF2" s="375" t="s">
        <v>49</v>
      </c>
      <c r="LG2" s="375" t="s">
        <v>50</v>
      </c>
      <c r="LH2" s="375" t="s">
        <v>51</v>
      </c>
      <c r="LI2" s="375" t="s">
        <v>52</v>
      </c>
      <c r="LJ2" s="375" t="s">
        <v>53</v>
      </c>
      <c r="LK2" s="375" t="s">
        <v>54</v>
      </c>
      <c r="LL2" s="375" t="s">
        <v>55</v>
      </c>
      <c r="LM2" s="375" t="s">
        <v>56</v>
      </c>
      <c r="LN2" s="375" t="s">
        <v>57</v>
      </c>
      <c r="LO2" s="375" t="s">
        <v>58</v>
      </c>
      <c r="LP2" s="375" t="s">
        <v>59</v>
      </c>
      <c r="LQ2" s="375" t="s">
        <v>60</v>
      </c>
      <c r="LR2" s="375" t="s">
        <v>61</v>
      </c>
      <c r="LS2" s="375" t="s">
        <v>62</v>
      </c>
      <c r="LT2" s="375" t="s">
        <v>63</v>
      </c>
      <c r="LU2" s="375" t="s">
        <v>64</v>
      </c>
      <c r="LV2" s="375" t="s">
        <v>65</v>
      </c>
      <c r="LW2" s="375" t="s">
        <v>66</v>
      </c>
      <c r="LX2" s="375" t="s">
        <v>67</v>
      </c>
      <c r="LY2" s="375" t="s">
        <v>68</v>
      </c>
      <c r="LZ2" s="375" t="s">
        <v>69</v>
      </c>
      <c r="MA2" s="375" t="s">
        <v>70</v>
      </c>
      <c r="MB2" s="375" t="s">
        <v>71</v>
      </c>
      <c r="MC2" s="375" t="s">
        <v>72</v>
      </c>
      <c r="MD2" s="375" t="s">
        <v>73</v>
      </c>
      <c r="ME2" s="375" t="s">
        <v>74</v>
      </c>
      <c r="MF2" s="375" t="s">
        <v>75</v>
      </c>
      <c r="MG2" s="375" t="s">
        <v>76</v>
      </c>
      <c r="MH2" s="375" t="s">
        <v>77</v>
      </c>
      <c r="MI2" s="375" t="s">
        <v>78</v>
      </c>
      <c r="MJ2" s="375" t="s">
        <v>79</v>
      </c>
      <c r="MK2" s="375" t="s">
        <v>80</v>
      </c>
      <c r="ML2" s="375" t="s">
        <v>81</v>
      </c>
      <c r="MM2" s="375" t="s">
        <v>82</v>
      </c>
      <c r="MN2" s="375" t="s">
        <v>83</v>
      </c>
      <c r="MO2" s="375" t="s">
        <v>83</v>
      </c>
      <c r="MP2" s="377" t="s">
        <v>1361</v>
      </c>
      <c r="MQ2" s="377" t="s">
        <v>42</v>
      </c>
      <c r="MR2" s="377" t="s">
        <v>1362</v>
      </c>
      <c r="MS2" s="377" t="s">
        <v>1363</v>
      </c>
      <c r="MT2" s="377" t="s">
        <v>45</v>
      </c>
      <c r="MU2" s="377" t="s">
        <v>46</v>
      </c>
      <c r="MV2" s="377" t="s">
        <v>47</v>
      </c>
      <c r="MW2" s="377" t="s">
        <v>48</v>
      </c>
      <c r="MX2" s="377" t="s">
        <v>49</v>
      </c>
      <c r="MY2" s="377" t="s">
        <v>50</v>
      </c>
      <c r="MZ2" s="377" t="s">
        <v>51</v>
      </c>
      <c r="NA2" s="377" t="s">
        <v>52</v>
      </c>
      <c r="NB2" s="377" t="s">
        <v>53</v>
      </c>
      <c r="NC2" s="377" t="s">
        <v>54</v>
      </c>
      <c r="ND2" s="377" t="s">
        <v>55</v>
      </c>
      <c r="NE2" s="377" t="s">
        <v>56</v>
      </c>
      <c r="NF2" s="377" t="s">
        <v>57</v>
      </c>
      <c r="NG2" s="377" t="s">
        <v>58</v>
      </c>
      <c r="NH2" s="377" t="s">
        <v>59</v>
      </c>
      <c r="NI2" s="377" t="s">
        <v>60</v>
      </c>
      <c r="NJ2" s="377" t="s">
        <v>61</v>
      </c>
      <c r="NK2" s="377" t="s">
        <v>62</v>
      </c>
      <c r="NL2" s="377" t="s">
        <v>63</v>
      </c>
      <c r="NM2" s="377" t="s">
        <v>64</v>
      </c>
      <c r="NN2" s="377" t="s">
        <v>65</v>
      </c>
      <c r="NO2" s="377" t="s">
        <v>66</v>
      </c>
      <c r="NP2" s="377" t="s">
        <v>67</v>
      </c>
      <c r="NQ2" s="377" t="s">
        <v>68</v>
      </c>
      <c r="NR2" s="377" t="s">
        <v>69</v>
      </c>
      <c r="NS2" s="377" t="s">
        <v>70</v>
      </c>
      <c r="NT2" s="377" t="s">
        <v>71</v>
      </c>
      <c r="NU2" s="377" t="s">
        <v>72</v>
      </c>
      <c r="NV2" s="377" t="s">
        <v>73</v>
      </c>
      <c r="NW2" s="377" t="s">
        <v>74</v>
      </c>
      <c r="NX2" s="377" t="s">
        <v>75</v>
      </c>
      <c r="NY2" s="377" t="s">
        <v>76</v>
      </c>
      <c r="NZ2" s="377" t="s">
        <v>77</v>
      </c>
      <c r="OA2" s="377" t="s">
        <v>78</v>
      </c>
      <c r="OB2" s="377" t="s">
        <v>79</v>
      </c>
      <c r="OC2" s="377" t="s">
        <v>80</v>
      </c>
      <c r="OD2" s="377" t="s">
        <v>81</v>
      </c>
      <c r="OE2" s="377" t="s">
        <v>82</v>
      </c>
      <c r="OF2" s="377" t="s">
        <v>83</v>
      </c>
      <c r="OG2" s="377" t="s">
        <v>83</v>
      </c>
      <c r="OH2" s="375" t="s">
        <v>41</v>
      </c>
      <c r="OI2" s="375" t="s">
        <v>42</v>
      </c>
      <c r="OJ2" s="375" t="s">
        <v>43</v>
      </c>
      <c r="OK2" s="375" t="s">
        <v>44</v>
      </c>
      <c r="OL2" s="375" t="s">
        <v>45</v>
      </c>
      <c r="OM2" s="375" t="s">
        <v>46</v>
      </c>
      <c r="ON2" s="375" t="s">
        <v>47</v>
      </c>
      <c r="OO2" s="375" t="s">
        <v>48</v>
      </c>
      <c r="OP2" s="375" t="s">
        <v>49</v>
      </c>
      <c r="OQ2" s="375" t="s">
        <v>50</v>
      </c>
      <c r="OR2" s="375" t="s">
        <v>51</v>
      </c>
      <c r="OS2" s="375" t="s">
        <v>52</v>
      </c>
      <c r="OT2" s="375" t="s">
        <v>53</v>
      </c>
      <c r="OU2" s="375" t="s">
        <v>54</v>
      </c>
      <c r="OV2" s="375" t="s">
        <v>55</v>
      </c>
      <c r="OW2" s="375" t="s">
        <v>56</v>
      </c>
      <c r="OX2" s="375" t="s">
        <v>57</v>
      </c>
      <c r="OY2" s="375" t="s">
        <v>58</v>
      </c>
      <c r="OZ2" s="375" t="s">
        <v>59</v>
      </c>
      <c r="PA2" s="375" t="s">
        <v>60</v>
      </c>
      <c r="PB2" s="375" t="s">
        <v>61</v>
      </c>
      <c r="PC2" s="375" t="s">
        <v>62</v>
      </c>
      <c r="PD2" s="375" t="s">
        <v>63</v>
      </c>
      <c r="PE2" s="375" t="s">
        <v>64</v>
      </c>
      <c r="PF2" s="375" t="s">
        <v>65</v>
      </c>
      <c r="PG2" s="375" t="s">
        <v>66</v>
      </c>
      <c r="PH2" s="375" t="s">
        <v>67</v>
      </c>
      <c r="PI2" s="375" t="s">
        <v>68</v>
      </c>
      <c r="PJ2" s="375" t="s">
        <v>69</v>
      </c>
      <c r="PK2" s="375" t="s">
        <v>70</v>
      </c>
      <c r="PL2" s="375" t="s">
        <v>71</v>
      </c>
      <c r="PM2" s="375" t="s">
        <v>72</v>
      </c>
      <c r="PN2" s="375" t="s">
        <v>73</v>
      </c>
      <c r="PO2" s="375" t="s">
        <v>74</v>
      </c>
      <c r="PP2" s="375" t="s">
        <v>75</v>
      </c>
      <c r="PQ2" s="375" t="s">
        <v>76</v>
      </c>
      <c r="PR2" s="375" t="s">
        <v>77</v>
      </c>
      <c r="PS2" s="375" t="s">
        <v>78</v>
      </c>
      <c r="PT2" s="375" t="s">
        <v>79</v>
      </c>
      <c r="PU2" s="375" t="s">
        <v>80</v>
      </c>
      <c r="PV2" s="375" t="s">
        <v>81</v>
      </c>
      <c r="PW2" s="375" t="s">
        <v>82</v>
      </c>
      <c r="PX2" s="375" t="s">
        <v>83</v>
      </c>
      <c r="PY2" s="375" t="s">
        <v>83</v>
      </c>
      <c r="PZ2" s="377" t="s">
        <v>1361</v>
      </c>
      <c r="QA2" s="377" t="s">
        <v>42</v>
      </c>
      <c r="QB2" s="377" t="s">
        <v>1362</v>
      </c>
      <c r="QC2" s="377" t="s">
        <v>1363</v>
      </c>
      <c r="QD2" s="377" t="s">
        <v>45</v>
      </c>
      <c r="QE2" s="377" t="s">
        <v>46</v>
      </c>
      <c r="QF2" s="377" t="s">
        <v>47</v>
      </c>
      <c r="QG2" s="377" t="s">
        <v>48</v>
      </c>
      <c r="QH2" s="377" t="s">
        <v>49</v>
      </c>
      <c r="QI2" s="377" t="s">
        <v>50</v>
      </c>
      <c r="QJ2" s="377" t="s">
        <v>51</v>
      </c>
      <c r="QK2" s="377" t="s">
        <v>52</v>
      </c>
      <c r="QL2" s="377" t="s">
        <v>53</v>
      </c>
      <c r="QM2" s="377" t="s">
        <v>54</v>
      </c>
      <c r="QN2" s="377" t="s">
        <v>55</v>
      </c>
      <c r="QO2" s="377" t="s">
        <v>56</v>
      </c>
      <c r="QP2" s="377" t="s">
        <v>57</v>
      </c>
      <c r="QQ2" s="377" t="s">
        <v>58</v>
      </c>
      <c r="QR2" s="377" t="s">
        <v>59</v>
      </c>
      <c r="QS2" s="377" t="s">
        <v>60</v>
      </c>
      <c r="QT2" s="377" t="s">
        <v>61</v>
      </c>
      <c r="QU2" s="377" t="s">
        <v>62</v>
      </c>
      <c r="QV2" s="377" t="s">
        <v>63</v>
      </c>
      <c r="QW2" s="377" t="s">
        <v>64</v>
      </c>
      <c r="QX2" s="377" t="s">
        <v>65</v>
      </c>
      <c r="QY2" s="377" t="s">
        <v>66</v>
      </c>
      <c r="QZ2" s="377" t="s">
        <v>67</v>
      </c>
      <c r="RA2" s="377" t="s">
        <v>68</v>
      </c>
      <c r="RB2" s="377" t="s">
        <v>69</v>
      </c>
      <c r="RC2" s="377" t="s">
        <v>70</v>
      </c>
      <c r="RD2" s="377" t="s">
        <v>71</v>
      </c>
      <c r="RE2" s="377" t="s">
        <v>72</v>
      </c>
      <c r="RF2" s="377" t="s">
        <v>73</v>
      </c>
      <c r="RG2" s="377" t="s">
        <v>74</v>
      </c>
      <c r="RH2" s="377" t="s">
        <v>75</v>
      </c>
      <c r="RI2" s="377" t="s">
        <v>76</v>
      </c>
      <c r="RJ2" s="377" t="s">
        <v>77</v>
      </c>
      <c r="RK2" s="377" t="s">
        <v>78</v>
      </c>
      <c r="RL2" s="377" t="s">
        <v>79</v>
      </c>
      <c r="RM2" s="377" t="s">
        <v>80</v>
      </c>
      <c r="RN2" s="377" t="s">
        <v>81</v>
      </c>
      <c r="RO2" s="377" t="s">
        <v>82</v>
      </c>
      <c r="RP2" s="377" t="s">
        <v>83</v>
      </c>
      <c r="RQ2" s="377" t="s">
        <v>83</v>
      </c>
      <c r="RR2" s="375" t="s">
        <v>41</v>
      </c>
      <c r="RS2" s="375" t="s">
        <v>42</v>
      </c>
      <c r="RT2" s="375" t="s">
        <v>43</v>
      </c>
      <c r="RU2" s="375" t="s">
        <v>44</v>
      </c>
      <c r="RV2" s="375" t="s">
        <v>45</v>
      </c>
      <c r="RW2" s="375" t="s">
        <v>46</v>
      </c>
      <c r="RX2" s="375" t="s">
        <v>47</v>
      </c>
      <c r="RY2" s="375" t="s">
        <v>48</v>
      </c>
      <c r="RZ2" s="375" t="s">
        <v>49</v>
      </c>
      <c r="SA2" s="375" t="s">
        <v>50</v>
      </c>
      <c r="SB2" s="375" t="s">
        <v>51</v>
      </c>
      <c r="SC2" s="375" t="s">
        <v>52</v>
      </c>
      <c r="SD2" s="375" t="s">
        <v>53</v>
      </c>
      <c r="SE2" s="375" t="s">
        <v>54</v>
      </c>
      <c r="SF2" s="375" t="s">
        <v>55</v>
      </c>
      <c r="SG2" s="375" t="s">
        <v>56</v>
      </c>
      <c r="SH2" s="375" t="s">
        <v>57</v>
      </c>
      <c r="SI2" s="375" t="s">
        <v>58</v>
      </c>
      <c r="SJ2" s="375" t="s">
        <v>59</v>
      </c>
      <c r="SK2" s="375" t="s">
        <v>60</v>
      </c>
      <c r="SL2" s="375" t="s">
        <v>61</v>
      </c>
      <c r="SM2" s="375" t="s">
        <v>62</v>
      </c>
      <c r="SN2" s="375" t="s">
        <v>63</v>
      </c>
      <c r="SO2" s="375" t="s">
        <v>64</v>
      </c>
      <c r="SP2" s="375" t="s">
        <v>65</v>
      </c>
      <c r="SQ2" s="375" t="s">
        <v>66</v>
      </c>
      <c r="SR2" s="375" t="s">
        <v>67</v>
      </c>
      <c r="SS2" s="375" t="s">
        <v>68</v>
      </c>
      <c r="ST2" s="375" t="s">
        <v>69</v>
      </c>
      <c r="SU2" s="375" t="s">
        <v>70</v>
      </c>
      <c r="SV2" s="375" t="s">
        <v>71</v>
      </c>
      <c r="SW2" s="375" t="s">
        <v>72</v>
      </c>
      <c r="SX2" s="375" t="s">
        <v>73</v>
      </c>
      <c r="SY2" s="375" t="s">
        <v>74</v>
      </c>
      <c r="SZ2" s="375" t="s">
        <v>75</v>
      </c>
      <c r="TA2" s="375" t="s">
        <v>76</v>
      </c>
      <c r="TB2" s="375" t="s">
        <v>77</v>
      </c>
      <c r="TC2" s="375" t="s">
        <v>78</v>
      </c>
      <c r="TD2" s="375" t="s">
        <v>79</v>
      </c>
      <c r="TE2" s="375" t="s">
        <v>80</v>
      </c>
      <c r="TF2" s="375" t="s">
        <v>81</v>
      </c>
      <c r="TG2" s="375" t="s">
        <v>82</v>
      </c>
      <c r="TH2" s="375" t="s">
        <v>83</v>
      </c>
      <c r="TI2" s="375" t="s">
        <v>83</v>
      </c>
      <c r="TJ2" s="377" t="s">
        <v>1361</v>
      </c>
      <c r="TK2" s="377" t="s">
        <v>42</v>
      </c>
      <c r="TL2" s="377" t="s">
        <v>1362</v>
      </c>
      <c r="TM2" s="377" t="s">
        <v>1363</v>
      </c>
      <c r="TN2" s="377" t="s">
        <v>45</v>
      </c>
      <c r="TO2" s="377" t="s">
        <v>46</v>
      </c>
      <c r="TP2" s="377" t="s">
        <v>47</v>
      </c>
      <c r="TQ2" s="377" t="s">
        <v>48</v>
      </c>
      <c r="TR2" s="377" t="s">
        <v>49</v>
      </c>
      <c r="TS2" s="377" t="s">
        <v>50</v>
      </c>
      <c r="TT2" s="377" t="s">
        <v>51</v>
      </c>
      <c r="TU2" s="377" t="s">
        <v>52</v>
      </c>
      <c r="TV2" s="377" t="s">
        <v>53</v>
      </c>
      <c r="TW2" s="377" t="s">
        <v>54</v>
      </c>
      <c r="TX2" s="377" t="s">
        <v>55</v>
      </c>
      <c r="TY2" s="377" t="s">
        <v>56</v>
      </c>
      <c r="TZ2" s="377" t="s">
        <v>57</v>
      </c>
      <c r="UA2" s="377" t="s">
        <v>58</v>
      </c>
      <c r="UB2" s="377" t="s">
        <v>59</v>
      </c>
      <c r="UC2" s="377" t="s">
        <v>60</v>
      </c>
      <c r="UD2" s="377" t="s">
        <v>61</v>
      </c>
      <c r="UE2" s="377" t="s">
        <v>62</v>
      </c>
      <c r="UF2" s="377" t="s">
        <v>63</v>
      </c>
      <c r="UG2" s="377" t="s">
        <v>64</v>
      </c>
      <c r="UH2" s="377" t="s">
        <v>65</v>
      </c>
      <c r="UI2" s="377" t="s">
        <v>66</v>
      </c>
      <c r="UJ2" s="377" t="s">
        <v>67</v>
      </c>
      <c r="UK2" s="377" t="s">
        <v>68</v>
      </c>
      <c r="UL2" s="377" t="s">
        <v>69</v>
      </c>
      <c r="UM2" s="377" t="s">
        <v>70</v>
      </c>
      <c r="UN2" s="377" t="s">
        <v>71</v>
      </c>
      <c r="UO2" s="377" t="s">
        <v>72</v>
      </c>
      <c r="UP2" s="377" t="s">
        <v>73</v>
      </c>
      <c r="UQ2" s="377" t="s">
        <v>74</v>
      </c>
      <c r="UR2" s="377" t="s">
        <v>75</v>
      </c>
      <c r="US2" s="377" t="s">
        <v>76</v>
      </c>
      <c r="UT2" s="377" t="s">
        <v>77</v>
      </c>
      <c r="UU2" s="377" t="s">
        <v>78</v>
      </c>
      <c r="UV2" s="377" t="s">
        <v>79</v>
      </c>
      <c r="UW2" s="377" t="s">
        <v>80</v>
      </c>
      <c r="UX2" s="377" t="s">
        <v>81</v>
      </c>
      <c r="UY2" s="377" t="s">
        <v>82</v>
      </c>
      <c r="UZ2" s="377" t="s">
        <v>83</v>
      </c>
      <c r="VA2" s="377" t="s">
        <v>83</v>
      </c>
      <c r="VB2" s="375" t="s">
        <v>41</v>
      </c>
      <c r="VC2" s="375" t="s">
        <v>42</v>
      </c>
      <c r="VD2" s="375" t="s">
        <v>43</v>
      </c>
      <c r="VE2" s="375" t="s">
        <v>44</v>
      </c>
      <c r="VF2" s="375" t="s">
        <v>45</v>
      </c>
      <c r="VG2" s="375" t="s">
        <v>46</v>
      </c>
      <c r="VH2" s="375" t="s">
        <v>47</v>
      </c>
      <c r="VI2" s="375" t="s">
        <v>48</v>
      </c>
      <c r="VJ2" s="375" t="s">
        <v>49</v>
      </c>
      <c r="VK2" s="375" t="s">
        <v>50</v>
      </c>
      <c r="VL2" s="375" t="s">
        <v>51</v>
      </c>
      <c r="VM2" s="375" t="s">
        <v>52</v>
      </c>
      <c r="VN2" s="375" t="s">
        <v>53</v>
      </c>
      <c r="VO2" s="375" t="s">
        <v>54</v>
      </c>
      <c r="VP2" s="375" t="s">
        <v>55</v>
      </c>
      <c r="VQ2" s="375" t="s">
        <v>56</v>
      </c>
      <c r="VR2" s="375" t="s">
        <v>57</v>
      </c>
      <c r="VS2" s="375" t="s">
        <v>58</v>
      </c>
      <c r="VT2" s="375" t="s">
        <v>59</v>
      </c>
      <c r="VU2" s="375" t="s">
        <v>60</v>
      </c>
      <c r="VV2" s="375" t="s">
        <v>61</v>
      </c>
      <c r="VW2" s="375" t="s">
        <v>62</v>
      </c>
      <c r="VX2" s="375" t="s">
        <v>63</v>
      </c>
      <c r="VY2" s="375" t="s">
        <v>64</v>
      </c>
      <c r="VZ2" s="375" t="s">
        <v>65</v>
      </c>
      <c r="WA2" s="375" t="s">
        <v>66</v>
      </c>
      <c r="WB2" s="375" t="s">
        <v>67</v>
      </c>
      <c r="WC2" s="375" t="s">
        <v>68</v>
      </c>
      <c r="WD2" s="375" t="s">
        <v>69</v>
      </c>
      <c r="WE2" s="375" t="s">
        <v>70</v>
      </c>
      <c r="WF2" s="375" t="s">
        <v>71</v>
      </c>
      <c r="WG2" s="375" t="s">
        <v>72</v>
      </c>
      <c r="WH2" s="375" t="s">
        <v>73</v>
      </c>
      <c r="WI2" s="375" t="s">
        <v>74</v>
      </c>
      <c r="WJ2" s="375" t="s">
        <v>75</v>
      </c>
      <c r="WK2" s="375" t="s">
        <v>76</v>
      </c>
      <c r="WL2" s="375" t="s">
        <v>77</v>
      </c>
      <c r="WM2" s="375" t="s">
        <v>78</v>
      </c>
      <c r="WN2" s="375" t="s">
        <v>79</v>
      </c>
      <c r="WO2" s="375" t="s">
        <v>80</v>
      </c>
      <c r="WP2" s="375" t="s">
        <v>81</v>
      </c>
      <c r="WQ2" s="375" t="s">
        <v>82</v>
      </c>
      <c r="WR2" s="375" t="s">
        <v>83</v>
      </c>
      <c r="WS2" s="375" t="s">
        <v>83</v>
      </c>
      <c r="WT2" s="377" t="s">
        <v>1361</v>
      </c>
      <c r="WU2" s="377" t="s">
        <v>42</v>
      </c>
      <c r="WV2" s="377" t="s">
        <v>1362</v>
      </c>
      <c r="WW2" s="377" t="s">
        <v>1363</v>
      </c>
      <c r="WX2" s="377" t="s">
        <v>45</v>
      </c>
      <c r="WY2" s="377" t="s">
        <v>46</v>
      </c>
      <c r="WZ2" s="377" t="s">
        <v>47</v>
      </c>
      <c r="XA2" s="377" t="s">
        <v>48</v>
      </c>
      <c r="XB2" s="377" t="s">
        <v>49</v>
      </c>
      <c r="XC2" s="377" t="s">
        <v>50</v>
      </c>
      <c r="XD2" s="377" t="s">
        <v>51</v>
      </c>
      <c r="XE2" s="377" t="s">
        <v>52</v>
      </c>
      <c r="XF2" s="377" t="s">
        <v>53</v>
      </c>
      <c r="XG2" s="377" t="s">
        <v>54</v>
      </c>
      <c r="XH2" s="377" t="s">
        <v>55</v>
      </c>
      <c r="XI2" s="377" t="s">
        <v>56</v>
      </c>
      <c r="XJ2" s="377" t="s">
        <v>57</v>
      </c>
      <c r="XK2" s="377" t="s">
        <v>58</v>
      </c>
      <c r="XL2" s="377" t="s">
        <v>59</v>
      </c>
      <c r="XM2" s="377" t="s">
        <v>60</v>
      </c>
      <c r="XN2" s="377" t="s">
        <v>61</v>
      </c>
      <c r="XO2" s="377" t="s">
        <v>62</v>
      </c>
      <c r="XP2" s="377" t="s">
        <v>63</v>
      </c>
      <c r="XQ2" s="377" t="s">
        <v>64</v>
      </c>
      <c r="XR2" s="377" t="s">
        <v>65</v>
      </c>
      <c r="XS2" s="377" t="s">
        <v>66</v>
      </c>
      <c r="XT2" s="377" t="s">
        <v>67</v>
      </c>
      <c r="XU2" s="377" t="s">
        <v>68</v>
      </c>
      <c r="XV2" s="377" t="s">
        <v>69</v>
      </c>
      <c r="XW2" s="377" t="s">
        <v>70</v>
      </c>
      <c r="XX2" s="377" t="s">
        <v>71</v>
      </c>
      <c r="XY2" s="377" t="s">
        <v>72</v>
      </c>
      <c r="XZ2" s="377" t="s">
        <v>73</v>
      </c>
      <c r="YA2" s="377" t="s">
        <v>74</v>
      </c>
      <c r="YB2" s="377" t="s">
        <v>75</v>
      </c>
      <c r="YC2" s="377" t="s">
        <v>76</v>
      </c>
      <c r="YD2" s="377" t="s">
        <v>77</v>
      </c>
      <c r="YE2" s="377" t="s">
        <v>78</v>
      </c>
      <c r="YF2" s="377" t="s">
        <v>79</v>
      </c>
      <c r="YG2" s="377" t="s">
        <v>80</v>
      </c>
      <c r="YH2" s="377" t="s">
        <v>81</v>
      </c>
      <c r="YI2" s="377" t="s">
        <v>82</v>
      </c>
      <c r="YJ2" s="377" t="s">
        <v>83</v>
      </c>
      <c r="YK2" s="377" t="s">
        <v>83</v>
      </c>
      <c r="YL2" s="375" t="s">
        <v>41</v>
      </c>
      <c r="YM2" s="375" t="s">
        <v>42</v>
      </c>
      <c r="YN2" s="375" t="s">
        <v>43</v>
      </c>
      <c r="YO2" s="375" t="s">
        <v>44</v>
      </c>
      <c r="YP2" s="375" t="s">
        <v>45</v>
      </c>
      <c r="YQ2" s="375" t="s">
        <v>46</v>
      </c>
      <c r="YR2" s="375" t="s">
        <v>47</v>
      </c>
      <c r="YS2" s="375" t="s">
        <v>48</v>
      </c>
      <c r="YT2" s="375" t="s">
        <v>49</v>
      </c>
      <c r="YU2" s="375" t="s">
        <v>50</v>
      </c>
      <c r="YV2" s="375" t="s">
        <v>51</v>
      </c>
      <c r="YW2" s="375" t="s">
        <v>52</v>
      </c>
      <c r="YX2" s="375" t="s">
        <v>53</v>
      </c>
      <c r="YY2" s="375" t="s">
        <v>54</v>
      </c>
      <c r="YZ2" s="375" t="s">
        <v>55</v>
      </c>
      <c r="ZA2" s="375" t="s">
        <v>56</v>
      </c>
      <c r="ZB2" s="375" t="s">
        <v>57</v>
      </c>
      <c r="ZC2" s="375" t="s">
        <v>58</v>
      </c>
      <c r="ZD2" s="375" t="s">
        <v>59</v>
      </c>
      <c r="ZE2" s="375" t="s">
        <v>60</v>
      </c>
      <c r="ZF2" s="375" t="s">
        <v>61</v>
      </c>
      <c r="ZG2" s="375" t="s">
        <v>62</v>
      </c>
      <c r="ZH2" s="375" t="s">
        <v>63</v>
      </c>
      <c r="ZI2" s="375" t="s">
        <v>64</v>
      </c>
      <c r="ZJ2" s="375" t="s">
        <v>65</v>
      </c>
      <c r="ZK2" s="375" t="s">
        <v>66</v>
      </c>
      <c r="ZL2" s="375" t="s">
        <v>67</v>
      </c>
      <c r="ZM2" s="375" t="s">
        <v>68</v>
      </c>
      <c r="ZN2" s="375" t="s">
        <v>69</v>
      </c>
      <c r="ZO2" s="375" t="s">
        <v>70</v>
      </c>
      <c r="ZP2" s="375" t="s">
        <v>71</v>
      </c>
      <c r="ZQ2" s="375" t="s">
        <v>72</v>
      </c>
      <c r="ZR2" s="375" t="s">
        <v>73</v>
      </c>
      <c r="ZS2" s="375" t="s">
        <v>74</v>
      </c>
      <c r="ZT2" s="375" t="s">
        <v>75</v>
      </c>
      <c r="ZU2" s="375" t="s">
        <v>76</v>
      </c>
      <c r="ZV2" s="375" t="s">
        <v>77</v>
      </c>
      <c r="ZW2" s="375" t="s">
        <v>78</v>
      </c>
      <c r="ZX2" s="375" t="s">
        <v>79</v>
      </c>
      <c r="ZY2" s="375" t="s">
        <v>80</v>
      </c>
      <c r="ZZ2" s="375" t="s">
        <v>81</v>
      </c>
      <c r="AAA2" s="375" t="s">
        <v>82</v>
      </c>
      <c r="AAB2" s="375" t="s">
        <v>83</v>
      </c>
      <c r="AAC2" s="375" t="s">
        <v>83</v>
      </c>
      <c r="AAD2" s="377" t="s">
        <v>1361</v>
      </c>
      <c r="AAE2" s="377" t="s">
        <v>42</v>
      </c>
      <c r="AAF2" s="377" t="s">
        <v>1362</v>
      </c>
      <c r="AAG2" s="377" t="s">
        <v>1363</v>
      </c>
      <c r="AAH2" s="377" t="s">
        <v>45</v>
      </c>
      <c r="AAI2" s="377" t="s">
        <v>46</v>
      </c>
      <c r="AAJ2" s="377" t="s">
        <v>47</v>
      </c>
      <c r="AAK2" s="377" t="s">
        <v>48</v>
      </c>
      <c r="AAL2" s="377" t="s">
        <v>49</v>
      </c>
      <c r="AAM2" s="377" t="s">
        <v>50</v>
      </c>
      <c r="AAN2" s="377" t="s">
        <v>51</v>
      </c>
      <c r="AAO2" s="377" t="s">
        <v>52</v>
      </c>
      <c r="AAP2" s="377" t="s">
        <v>53</v>
      </c>
      <c r="AAQ2" s="377" t="s">
        <v>54</v>
      </c>
      <c r="AAR2" s="377" t="s">
        <v>55</v>
      </c>
      <c r="AAS2" s="377" t="s">
        <v>56</v>
      </c>
      <c r="AAT2" s="377" t="s">
        <v>57</v>
      </c>
      <c r="AAU2" s="377" t="s">
        <v>58</v>
      </c>
      <c r="AAV2" s="377" t="s">
        <v>59</v>
      </c>
      <c r="AAW2" s="377" t="s">
        <v>60</v>
      </c>
      <c r="AAX2" s="377" t="s">
        <v>61</v>
      </c>
      <c r="AAY2" s="377" t="s">
        <v>62</v>
      </c>
      <c r="AAZ2" s="377" t="s">
        <v>63</v>
      </c>
      <c r="ABA2" s="377" t="s">
        <v>64</v>
      </c>
      <c r="ABB2" s="377" t="s">
        <v>65</v>
      </c>
      <c r="ABC2" s="377" t="s">
        <v>66</v>
      </c>
      <c r="ABD2" s="377" t="s">
        <v>67</v>
      </c>
      <c r="ABE2" s="377" t="s">
        <v>68</v>
      </c>
      <c r="ABF2" s="377" t="s">
        <v>69</v>
      </c>
      <c r="ABG2" s="377" t="s">
        <v>70</v>
      </c>
      <c r="ABH2" s="377" t="s">
        <v>71</v>
      </c>
      <c r="ABI2" s="377" t="s">
        <v>72</v>
      </c>
      <c r="ABJ2" s="377" t="s">
        <v>73</v>
      </c>
      <c r="ABK2" s="377" t="s">
        <v>74</v>
      </c>
      <c r="ABL2" s="377" t="s">
        <v>75</v>
      </c>
      <c r="ABM2" s="377" t="s">
        <v>76</v>
      </c>
      <c r="ABN2" s="377" t="s">
        <v>77</v>
      </c>
      <c r="ABO2" s="377" t="s">
        <v>78</v>
      </c>
      <c r="ABP2" s="377" t="s">
        <v>79</v>
      </c>
      <c r="ABQ2" s="377" t="s">
        <v>80</v>
      </c>
      <c r="ABR2" s="377" t="s">
        <v>81</v>
      </c>
      <c r="ABS2" s="377" t="s">
        <v>82</v>
      </c>
      <c r="ABT2" s="377" t="s">
        <v>83</v>
      </c>
      <c r="ABU2" s="377" t="s">
        <v>83</v>
      </c>
      <c r="ABV2" s="375" t="s">
        <v>41</v>
      </c>
      <c r="ABW2" s="375" t="s">
        <v>42</v>
      </c>
      <c r="ABX2" s="375" t="s">
        <v>43</v>
      </c>
      <c r="ABY2" s="375" t="s">
        <v>44</v>
      </c>
      <c r="ABZ2" s="375" t="s">
        <v>45</v>
      </c>
      <c r="ACA2" s="375" t="s">
        <v>46</v>
      </c>
      <c r="ACB2" s="375" t="s">
        <v>47</v>
      </c>
      <c r="ACC2" s="375" t="s">
        <v>48</v>
      </c>
      <c r="ACD2" s="375" t="s">
        <v>49</v>
      </c>
      <c r="ACE2" s="375" t="s">
        <v>50</v>
      </c>
      <c r="ACF2" s="375" t="s">
        <v>51</v>
      </c>
      <c r="ACG2" s="375" t="s">
        <v>52</v>
      </c>
      <c r="ACH2" s="375" t="s">
        <v>53</v>
      </c>
      <c r="ACI2" s="375" t="s">
        <v>54</v>
      </c>
      <c r="ACJ2" s="375" t="s">
        <v>55</v>
      </c>
      <c r="ACK2" s="375" t="s">
        <v>56</v>
      </c>
      <c r="ACL2" s="375" t="s">
        <v>57</v>
      </c>
      <c r="ACM2" s="375" t="s">
        <v>58</v>
      </c>
      <c r="ACN2" s="375" t="s">
        <v>59</v>
      </c>
      <c r="ACO2" s="375" t="s">
        <v>60</v>
      </c>
      <c r="ACP2" s="375" t="s">
        <v>61</v>
      </c>
      <c r="ACQ2" s="375" t="s">
        <v>62</v>
      </c>
      <c r="ACR2" s="375" t="s">
        <v>63</v>
      </c>
      <c r="ACS2" s="375" t="s">
        <v>64</v>
      </c>
      <c r="ACT2" s="375" t="s">
        <v>65</v>
      </c>
      <c r="ACU2" s="375" t="s">
        <v>66</v>
      </c>
      <c r="ACV2" s="375" t="s">
        <v>67</v>
      </c>
      <c r="ACW2" s="375" t="s">
        <v>68</v>
      </c>
      <c r="ACX2" s="375" t="s">
        <v>69</v>
      </c>
      <c r="ACY2" s="375" t="s">
        <v>70</v>
      </c>
      <c r="ACZ2" s="375" t="s">
        <v>71</v>
      </c>
      <c r="ADA2" s="375" t="s">
        <v>72</v>
      </c>
      <c r="ADB2" s="375" t="s">
        <v>73</v>
      </c>
      <c r="ADC2" s="375" t="s">
        <v>74</v>
      </c>
      <c r="ADD2" s="375" t="s">
        <v>75</v>
      </c>
      <c r="ADE2" s="375" t="s">
        <v>76</v>
      </c>
      <c r="ADF2" s="375" t="s">
        <v>77</v>
      </c>
      <c r="ADG2" s="375" t="s">
        <v>78</v>
      </c>
      <c r="ADH2" s="375" t="s">
        <v>79</v>
      </c>
      <c r="ADI2" s="375" t="s">
        <v>80</v>
      </c>
      <c r="ADJ2" s="375" t="s">
        <v>81</v>
      </c>
      <c r="ADK2" s="375" t="s">
        <v>82</v>
      </c>
      <c r="ADL2" s="375" t="s">
        <v>83</v>
      </c>
      <c r="ADM2" s="375" t="s">
        <v>83</v>
      </c>
      <c r="ADN2" s="377" t="s">
        <v>1361</v>
      </c>
      <c r="ADO2" s="377" t="s">
        <v>42</v>
      </c>
      <c r="ADP2" s="377" t="s">
        <v>1362</v>
      </c>
      <c r="ADQ2" s="377" t="s">
        <v>1363</v>
      </c>
      <c r="ADR2" s="377" t="s">
        <v>45</v>
      </c>
      <c r="ADS2" s="377" t="s">
        <v>46</v>
      </c>
      <c r="ADT2" s="377" t="s">
        <v>47</v>
      </c>
      <c r="ADU2" s="377" t="s">
        <v>48</v>
      </c>
      <c r="ADV2" s="377" t="s">
        <v>49</v>
      </c>
      <c r="ADW2" s="377" t="s">
        <v>50</v>
      </c>
      <c r="ADX2" s="377" t="s">
        <v>51</v>
      </c>
      <c r="ADY2" s="377" t="s">
        <v>52</v>
      </c>
      <c r="ADZ2" s="377" t="s">
        <v>53</v>
      </c>
      <c r="AEA2" s="377" t="s">
        <v>54</v>
      </c>
      <c r="AEB2" s="377" t="s">
        <v>55</v>
      </c>
      <c r="AEC2" s="377" t="s">
        <v>56</v>
      </c>
      <c r="AED2" s="377" t="s">
        <v>57</v>
      </c>
      <c r="AEE2" s="377" t="s">
        <v>58</v>
      </c>
      <c r="AEF2" s="377" t="s">
        <v>59</v>
      </c>
      <c r="AEG2" s="377" t="s">
        <v>60</v>
      </c>
      <c r="AEH2" s="377" t="s">
        <v>61</v>
      </c>
      <c r="AEI2" s="377" t="s">
        <v>62</v>
      </c>
      <c r="AEJ2" s="377" t="s">
        <v>63</v>
      </c>
      <c r="AEK2" s="377" t="s">
        <v>64</v>
      </c>
      <c r="AEL2" s="377" t="s">
        <v>65</v>
      </c>
      <c r="AEM2" s="377" t="s">
        <v>66</v>
      </c>
      <c r="AEN2" s="377" t="s">
        <v>67</v>
      </c>
      <c r="AEO2" s="377" t="s">
        <v>68</v>
      </c>
      <c r="AEP2" s="377" t="s">
        <v>69</v>
      </c>
      <c r="AEQ2" s="377" t="s">
        <v>70</v>
      </c>
      <c r="AER2" s="377" t="s">
        <v>71</v>
      </c>
      <c r="AES2" s="377" t="s">
        <v>72</v>
      </c>
      <c r="AET2" s="377" t="s">
        <v>73</v>
      </c>
      <c r="AEU2" s="377" t="s">
        <v>74</v>
      </c>
      <c r="AEV2" s="377" t="s">
        <v>75</v>
      </c>
      <c r="AEW2" s="377" t="s">
        <v>76</v>
      </c>
      <c r="AEX2" s="377" t="s">
        <v>77</v>
      </c>
      <c r="AEY2" s="377" t="s">
        <v>78</v>
      </c>
      <c r="AEZ2" s="377" t="s">
        <v>79</v>
      </c>
      <c r="AFA2" s="377" t="s">
        <v>80</v>
      </c>
      <c r="AFB2" s="377" t="s">
        <v>81</v>
      </c>
      <c r="AFC2" s="377" t="s">
        <v>82</v>
      </c>
      <c r="AFD2" s="377" t="s">
        <v>83</v>
      </c>
      <c r="AFE2" s="377" t="s">
        <v>83</v>
      </c>
      <c r="AFF2" s="375" t="s">
        <v>41</v>
      </c>
      <c r="AFG2" s="375" t="s">
        <v>42</v>
      </c>
      <c r="AFH2" s="375" t="s">
        <v>43</v>
      </c>
      <c r="AFI2" s="375" t="s">
        <v>44</v>
      </c>
      <c r="AFJ2" s="375" t="s">
        <v>45</v>
      </c>
      <c r="AFK2" s="375" t="s">
        <v>46</v>
      </c>
      <c r="AFL2" s="375" t="s">
        <v>47</v>
      </c>
      <c r="AFM2" s="375" t="s">
        <v>48</v>
      </c>
      <c r="AFN2" s="375" t="s">
        <v>49</v>
      </c>
      <c r="AFO2" s="375" t="s">
        <v>50</v>
      </c>
      <c r="AFP2" s="375" t="s">
        <v>51</v>
      </c>
      <c r="AFQ2" s="375" t="s">
        <v>52</v>
      </c>
      <c r="AFR2" s="375" t="s">
        <v>53</v>
      </c>
      <c r="AFS2" s="375" t="s">
        <v>54</v>
      </c>
      <c r="AFT2" s="375" t="s">
        <v>55</v>
      </c>
      <c r="AFU2" s="375" t="s">
        <v>56</v>
      </c>
      <c r="AFV2" s="375" t="s">
        <v>57</v>
      </c>
      <c r="AFW2" s="375" t="s">
        <v>58</v>
      </c>
      <c r="AFX2" s="375" t="s">
        <v>59</v>
      </c>
      <c r="AFY2" s="375" t="s">
        <v>60</v>
      </c>
      <c r="AFZ2" s="375" t="s">
        <v>61</v>
      </c>
      <c r="AGA2" s="375" t="s">
        <v>62</v>
      </c>
      <c r="AGB2" s="375" t="s">
        <v>63</v>
      </c>
      <c r="AGC2" s="375" t="s">
        <v>64</v>
      </c>
      <c r="AGD2" s="375" t="s">
        <v>65</v>
      </c>
      <c r="AGE2" s="375" t="s">
        <v>66</v>
      </c>
      <c r="AGF2" s="375" t="s">
        <v>67</v>
      </c>
      <c r="AGG2" s="375" t="s">
        <v>68</v>
      </c>
      <c r="AGH2" s="375" t="s">
        <v>69</v>
      </c>
      <c r="AGI2" s="375" t="s">
        <v>70</v>
      </c>
      <c r="AGJ2" s="375" t="s">
        <v>71</v>
      </c>
      <c r="AGK2" s="375" t="s">
        <v>72</v>
      </c>
      <c r="AGL2" s="375" t="s">
        <v>73</v>
      </c>
      <c r="AGM2" s="375" t="s">
        <v>74</v>
      </c>
      <c r="AGN2" s="375" t="s">
        <v>75</v>
      </c>
      <c r="AGO2" s="375" t="s">
        <v>76</v>
      </c>
      <c r="AGP2" s="375" t="s">
        <v>77</v>
      </c>
      <c r="AGQ2" s="375" t="s">
        <v>78</v>
      </c>
      <c r="AGR2" s="375" t="s">
        <v>79</v>
      </c>
      <c r="AGS2" s="375" t="s">
        <v>80</v>
      </c>
      <c r="AGT2" s="375" t="s">
        <v>81</v>
      </c>
      <c r="AGU2" s="375" t="s">
        <v>82</v>
      </c>
      <c r="AGV2" s="375" t="s">
        <v>83</v>
      </c>
      <c r="AGW2" s="375" t="s">
        <v>83</v>
      </c>
      <c r="AGX2" s="377" t="s">
        <v>1361</v>
      </c>
      <c r="AGY2" s="377" t="s">
        <v>42</v>
      </c>
      <c r="AGZ2" s="377" t="s">
        <v>1362</v>
      </c>
      <c r="AHA2" s="377" t="s">
        <v>1363</v>
      </c>
      <c r="AHB2" s="377" t="s">
        <v>45</v>
      </c>
      <c r="AHC2" s="377" t="s">
        <v>46</v>
      </c>
      <c r="AHD2" s="377" t="s">
        <v>47</v>
      </c>
      <c r="AHE2" s="377" t="s">
        <v>48</v>
      </c>
      <c r="AHF2" s="377" t="s">
        <v>49</v>
      </c>
      <c r="AHG2" s="377" t="s">
        <v>50</v>
      </c>
      <c r="AHH2" s="377" t="s">
        <v>51</v>
      </c>
      <c r="AHI2" s="377" t="s">
        <v>52</v>
      </c>
      <c r="AHJ2" s="377" t="s">
        <v>53</v>
      </c>
      <c r="AHK2" s="377" t="s">
        <v>54</v>
      </c>
      <c r="AHL2" s="377" t="s">
        <v>55</v>
      </c>
      <c r="AHM2" s="377" t="s">
        <v>56</v>
      </c>
      <c r="AHN2" s="377" t="s">
        <v>57</v>
      </c>
      <c r="AHO2" s="377" t="s">
        <v>58</v>
      </c>
      <c r="AHP2" s="377" t="s">
        <v>59</v>
      </c>
      <c r="AHQ2" s="377" t="s">
        <v>60</v>
      </c>
      <c r="AHR2" s="377" t="s">
        <v>61</v>
      </c>
      <c r="AHS2" s="377" t="s">
        <v>62</v>
      </c>
      <c r="AHT2" s="377" t="s">
        <v>63</v>
      </c>
      <c r="AHU2" s="377" t="s">
        <v>64</v>
      </c>
      <c r="AHV2" s="377" t="s">
        <v>65</v>
      </c>
      <c r="AHW2" s="377" t="s">
        <v>66</v>
      </c>
      <c r="AHX2" s="377" t="s">
        <v>67</v>
      </c>
      <c r="AHY2" s="377" t="s">
        <v>68</v>
      </c>
      <c r="AHZ2" s="377" t="s">
        <v>69</v>
      </c>
      <c r="AIA2" s="377" t="s">
        <v>70</v>
      </c>
      <c r="AIB2" s="377" t="s">
        <v>71</v>
      </c>
      <c r="AIC2" s="377" t="s">
        <v>72</v>
      </c>
      <c r="AID2" s="377" t="s">
        <v>73</v>
      </c>
      <c r="AIE2" s="377" t="s">
        <v>74</v>
      </c>
      <c r="AIF2" s="377" t="s">
        <v>75</v>
      </c>
      <c r="AIG2" s="377" t="s">
        <v>76</v>
      </c>
      <c r="AIH2" s="377" t="s">
        <v>77</v>
      </c>
      <c r="AII2" s="377" t="s">
        <v>78</v>
      </c>
      <c r="AIJ2" s="377" t="s">
        <v>79</v>
      </c>
      <c r="AIK2" s="377" t="s">
        <v>80</v>
      </c>
      <c r="AIL2" s="377" t="s">
        <v>81</v>
      </c>
      <c r="AIM2" s="377" t="s">
        <v>82</v>
      </c>
      <c r="AIN2" s="377" t="s">
        <v>83</v>
      </c>
      <c r="AIO2" s="377" t="s">
        <v>83</v>
      </c>
      <c r="AIP2" s="375" t="s">
        <v>41</v>
      </c>
      <c r="AIQ2" s="375" t="s">
        <v>42</v>
      </c>
      <c r="AIR2" s="375" t="s">
        <v>43</v>
      </c>
      <c r="AIS2" s="375" t="s">
        <v>44</v>
      </c>
      <c r="AIT2" s="375" t="s">
        <v>45</v>
      </c>
      <c r="AIU2" s="375" t="s">
        <v>46</v>
      </c>
      <c r="AIV2" s="375" t="s">
        <v>47</v>
      </c>
      <c r="AIW2" s="375" t="s">
        <v>48</v>
      </c>
      <c r="AIX2" s="375" t="s">
        <v>49</v>
      </c>
      <c r="AIY2" s="375" t="s">
        <v>50</v>
      </c>
      <c r="AIZ2" s="375" t="s">
        <v>51</v>
      </c>
      <c r="AJA2" s="375" t="s">
        <v>52</v>
      </c>
      <c r="AJB2" s="375" t="s">
        <v>53</v>
      </c>
      <c r="AJC2" s="375" t="s">
        <v>54</v>
      </c>
      <c r="AJD2" s="375" t="s">
        <v>55</v>
      </c>
      <c r="AJE2" s="375" t="s">
        <v>56</v>
      </c>
      <c r="AJF2" s="375" t="s">
        <v>57</v>
      </c>
      <c r="AJG2" s="375" t="s">
        <v>58</v>
      </c>
      <c r="AJH2" s="375" t="s">
        <v>59</v>
      </c>
      <c r="AJI2" s="375" t="s">
        <v>60</v>
      </c>
      <c r="AJJ2" s="375" t="s">
        <v>61</v>
      </c>
      <c r="AJK2" s="375" t="s">
        <v>62</v>
      </c>
      <c r="AJL2" s="375" t="s">
        <v>63</v>
      </c>
      <c r="AJM2" s="375" t="s">
        <v>64</v>
      </c>
      <c r="AJN2" s="375" t="s">
        <v>65</v>
      </c>
      <c r="AJO2" s="375" t="s">
        <v>66</v>
      </c>
      <c r="AJP2" s="375" t="s">
        <v>67</v>
      </c>
      <c r="AJQ2" s="375" t="s">
        <v>68</v>
      </c>
      <c r="AJR2" s="375" t="s">
        <v>69</v>
      </c>
      <c r="AJS2" s="375" t="s">
        <v>70</v>
      </c>
      <c r="AJT2" s="375" t="s">
        <v>71</v>
      </c>
      <c r="AJU2" s="375" t="s">
        <v>72</v>
      </c>
      <c r="AJV2" s="375" t="s">
        <v>73</v>
      </c>
      <c r="AJW2" s="375" t="s">
        <v>74</v>
      </c>
      <c r="AJX2" s="375" t="s">
        <v>75</v>
      </c>
      <c r="AJY2" s="375" t="s">
        <v>76</v>
      </c>
      <c r="AJZ2" s="375" t="s">
        <v>77</v>
      </c>
      <c r="AKA2" s="375" t="s">
        <v>78</v>
      </c>
      <c r="AKB2" s="375" t="s">
        <v>79</v>
      </c>
      <c r="AKC2" s="375" t="s">
        <v>80</v>
      </c>
      <c r="AKD2" s="375" t="s">
        <v>81</v>
      </c>
      <c r="AKE2" s="375" t="s">
        <v>82</v>
      </c>
      <c r="AKF2" s="375" t="s">
        <v>83</v>
      </c>
      <c r="AKG2" s="375" t="s">
        <v>83</v>
      </c>
      <c r="AKH2" s="377" t="s">
        <v>1361</v>
      </c>
      <c r="AKI2" s="377" t="s">
        <v>42</v>
      </c>
      <c r="AKJ2" s="377" t="s">
        <v>1362</v>
      </c>
      <c r="AKK2" s="377" t="s">
        <v>1363</v>
      </c>
      <c r="AKL2" s="377" t="s">
        <v>45</v>
      </c>
      <c r="AKM2" s="377" t="s">
        <v>46</v>
      </c>
      <c r="AKN2" s="377" t="s">
        <v>47</v>
      </c>
      <c r="AKO2" s="377" t="s">
        <v>48</v>
      </c>
      <c r="AKP2" s="377" t="s">
        <v>49</v>
      </c>
      <c r="AKQ2" s="377" t="s">
        <v>50</v>
      </c>
      <c r="AKR2" s="377" t="s">
        <v>51</v>
      </c>
      <c r="AKS2" s="377" t="s">
        <v>52</v>
      </c>
      <c r="AKT2" s="377" t="s">
        <v>53</v>
      </c>
      <c r="AKU2" s="377" t="s">
        <v>54</v>
      </c>
      <c r="AKV2" s="377" t="s">
        <v>55</v>
      </c>
      <c r="AKW2" s="377" t="s">
        <v>56</v>
      </c>
      <c r="AKX2" s="377" t="s">
        <v>57</v>
      </c>
      <c r="AKY2" s="377" t="s">
        <v>58</v>
      </c>
      <c r="AKZ2" s="377" t="s">
        <v>59</v>
      </c>
      <c r="ALA2" s="377" t="s">
        <v>60</v>
      </c>
      <c r="ALB2" s="377" t="s">
        <v>61</v>
      </c>
      <c r="ALC2" s="377" t="s">
        <v>62</v>
      </c>
      <c r="ALD2" s="377" t="s">
        <v>63</v>
      </c>
      <c r="ALE2" s="377" t="s">
        <v>64</v>
      </c>
      <c r="ALF2" s="377" t="s">
        <v>65</v>
      </c>
      <c r="ALG2" s="377" t="s">
        <v>66</v>
      </c>
      <c r="ALH2" s="377" t="s">
        <v>67</v>
      </c>
      <c r="ALI2" s="377" t="s">
        <v>68</v>
      </c>
      <c r="ALJ2" s="377" t="s">
        <v>69</v>
      </c>
      <c r="ALK2" s="377" t="s">
        <v>70</v>
      </c>
      <c r="ALL2" s="377" t="s">
        <v>71</v>
      </c>
      <c r="ALM2" s="377" t="s">
        <v>72</v>
      </c>
      <c r="ALN2" s="377" t="s">
        <v>73</v>
      </c>
      <c r="ALO2" s="377" t="s">
        <v>74</v>
      </c>
      <c r="ALP2" s="377" t="s">
        <v>75</v>
      </c>
      <c r="ALQ2" s="377" t="s">
        <v>76</v>
      </c>
      <c r="ALR2" s="377" t="s">
        <v>77</v>
      </c>
      <c r="ALS2" s="377" t="s">
        <v>78</v>
      </c>
      <c r="ALT2" s="377" t="s">
        <v>79</v>
      </c>
      <c r="ALU2" s="377" t="s">
        <v>80</v>
      </c>
      <c r="ALV2" s="377" t="s">
        <v>81</v>
      </c>
      <c r="ALW2" s="377" t="s">
        <v>82</v>
      </c>
      <c r="ALX2" s="377" t="s">
        <v>83</v>
      </c>
      <c r="ALY2" s="377" t="s">
        <v>83</v>
      </c>
      <c r="ALZ2" s="375" t="s">
        <v>41</v>
      </c>
      <c r="AMA2" s="375" t="s">
        <v>42</v>
      </c>
      <c r="AMB2" s="375" t="s">
        <v>43</v>
      </c>
      <c r="AMC2" s="375" t="s">
        <v>44</v>
      </c>
      <c r="AMD2" s="375" t="s">
        <v>45</v>
      </c>
      <c r="AME2" s="375" t="s">
        <v>46</v>
      </c>
      <c r="AMF2" s="375" t="s">
        <v>47</v>
      </c>
      <c r="AMG2" s="375" t="s">
        <v>48</v>
      </c>
      <c r="AMH2" s="375" t="s">
        <v>49</v>
      </c>
      <c r="AMI2" s="375" t="s">
        <v>50</v>
      </c>
      <c r="AMJ2" s="375" t="s">
        <v>51</v>
      </c>
      <c r="AMK2" s="375" t="s">
        <v>52</v>
      </c>
      <c r="AML2" s="375" t="s">
        <v>53</v>
      </c>
      <c r="AMM2" s="375" t="s">
        <v>54</v>
      </c>
      <c r="AMN2" s="375" t="s">
        <v>55</v>
      </c>
      <c r="AMO2" s="375" t="s">
        <v>56</v>
      </c>
      <c r="AMP2" s="375" t="s">
        <v>57</v>
      </c>
      <c r="AMQ2" s="375" t="s">
        <v>58</v>
      </c>
      <c r="AMR2" s="375" t="s">
        <v>59</v>
      </c>
      <c r="AMS2" s="375" t="s">
        <v>60</v>
      </c>
      <c r="AMT2" s="375" t="s">
        <v>61</v>
      </c>
      <c r="AMU2" s="375" t="s">
        <v>62</v>
      </c>
      <c r="AMV2" s="375" t="s">
        <v>63</v>
      </c>
      <c r="AMW2" s="375" t="s">
        <v>64</v>
      </c>
      <c r="AMX2" s="375" t="s">
        <v>65</v>
      </c>
      <c r="AMY2" s="375" t="s">
        <v>66</v>
      </c>
      <c r="AMZ2" s="375" t="s">
        <v>67</v>
      </c>
      <c r="ANA2" s="375" t="s">
        <v>68</v>
      </c>
      <c r="ANB2" s="375" t="s">
        <v>69</v>
      </c>
      <c r="ANC2" s="375" t="s">
        <v>70</v>
      </c>
      <c r="AND2" s="375" t="s">
        <v>71</v>
      </c>
      <c r="ANE2" s="375" t="s">
        <v>72</v>
      </c>
      <c r="ANF2" s="375" t="s">
        <v>73</v>
      </c>
      <c r="ANG2" s="375" t="s">
        <v>74</v>
      </c>
      <c r="ANH2" s="375" t="s">
        <v>75</v>
      </c>
      <c r="ANI2" s="375" t="s">
        <v>76</v>
      </c>
      <c r="ANJ2" s="375" t="s">
        <v>77</v>
      </c>
      <c r="ANK2" s="375" t="s">
        <v>78</v>
      </c>
      <c r="ANL2" s="375" t="s">
        <v>79</v>
      </c>
      <c r="ANM2" s="375" t="s">
        <v>80</v>
      </c>
      <c r="ANN2" s="375" t="s">
        <v>81</v>
      </c>
      <c r="ANO2" s="375" t="s">
        <v>82</v>
      </c>
      <c r="ANP2" s="375" t="s">
        <v>83</v>
      </c>
      <c r="ANQ2" s="375" t="s">
        <v>83</v>
      </c>
      <c r="ANR2" s="377" t="s">
        <v>1361</v>
      </c>
      <c r="ANS2" s="377" t="s">
        <v>42</v>
      </c>
      <c r="ANT2" s="377" t="s">
        <v>1362</v>
      </c>
      <c r="ANU2" s="377" t="s">
        <v>1363</v>
      </c>
      <c r="ANV2" s="377" t="s">
        <v>45</v>
      </c>
      <c r="ANW2" s="377" t="s">
        <v>46</v>
      </c>
      <c r="ANX2" s="377" t="s">
        <v>47</v>
      </c>
      <c r="ANY2" s="377" t="s">
        <v>48</v>
      </c>
      <c r="ANZ2" s="377" t="s">
        <v>49</v>
      </c>
      <c r="AOA2" s="377" t="s">
        <v>50</v>
      </c>
      <c r="AOB2" s="377" t="s">
        <v>51</v>
      </c>
      <c r="AOC2" s="377" t="s">
        <v>52</v>
      </c>
      <c r="AOD2" s="377" t="s">
        <v>53</v>
      </c>
      <c r="AOE2" s="377" t="s">
        <v>54</v>
      </c>
      <c r="AOF2" s="377" t="s">
        <v>55</v>
      </c>
      <c r="AOG2" s="377" t="s">
        <v>56</v>
      </c>
      <c r="AOH2" s="377" t="s">
        <v>57</v>
      </c>
      <c r="AOI2" s="377" t="s">
        <v>58</v>
      </c>
      <c r="AOJ2" s="377" t="s">
        <v>59</v>
      </c>
      <c r="AOK2" s="377" t="s">
        <v>60</v>
      </c>
      <c r="AOL2" s="377" t="s">
        <v>61</v>
      </c>
      <c r="AOM2" s="377" t="s">
        <v>62</v>
      </c>
      <c r="AON2" s="377" t="s">
        <v>63</v>
      </c>
      <c r="AOO2" s="377" t="s">
        <v>64</v>
      </c>
      <c r="AOP2" s="377" t="s">
        <v>65</v>
      </c>
      <c r="AOQ2" s="377" t="s">
        <v>66</v>
      </c>
      <c r="AOR2" s="377" t="s">
        <v>67</v>
      </c>
      <c r="AOS2" s="377" t="s">
        <v>68</v>
      </c>
      <c r="AOT2" s="377" t="s">
        <v>69</v>
      </c>
      <c r="AOU2" s="377" t="s">
        <v>70</v>
      </c>
      <c r="AOV2" s="377" t="s">
        <v>71</v>
      </c>
      <c r="AOW2" s="377" t="s">
        <v>72</v>
      </c>
      <c r="AOX2" s="377" t="s">
        <v>73</v>
      </c>
      <c r="AOY2" s="377" t="s">
        <v>74</v>
      </c>
      <c r="AOZ2" s="377" t="s">
        <v>75</v>
      </c>
      <c r="APA2" s="377" t="s">
        <v>76</v>
      </c>
      <c r="APB2" s="377" t="s">
        <v>77</v>
      </c>
      <c r="APC2" s="377" t="s">
        <v>78</v>
      </c>
      <c r="APD2" s="377" t="s">
        <v>79</v>
      </c>
      <c r="APE2" s="377" t="s">
        <v>80</v>
      </c>
      <c r="APF2" s="377" t="s">
        <v>81</v>
      </c>
      <c r="APG2" s="377" t="s">
        <v>82</v>
      </c>
      <c r="APH2" s="377" t="s">
        <v>83</v>
      </c>
      <c r="API2" s="377" t="s">
        <v>83</v>
      </c>
      <c r="APJ2" s="375" t="s">
        <v>41</v>
      </c>
      <c r="APK2" s="375" t="s">
        <v>42</v>
      </c>
      <c r="APL2" s="375" t="s">
        <v>43</v>
      </c>
      <c r="APM2" s="375" t="s">
        <v>44</v>
      </c>
      <c r="APN2" s="375" t="s">
        <v>45</v>
      </c>
      <c r="APO2" s="375" t="s">
        <v>46</v>
      </c>
      <c r="APP2" s="375" t="s">
        <v>47</v>
      </c>
      <c r="APQ2" s="375" t="s">
        <v>48</v>
      </c>
      <c r="APR2" s="375" t="s">
        <v>49</v>
      </c>
      <c r="APS2" s="375" t="s">
        <v>50</v>
      </c>
      <c r="APT2" s="375" t="s">
        <v>51</v>
      </c>
      <c r="APU2" s="375" t="s">
        <v>52</v>
      </c>
      <c r="APV2" s="375" t="s">
        <v>53</v>
      </c>
      <c r="APW2" s="375" t="s">
        <v>54</v>
      </c>
      <c r="APX2" s="375" t="s">
        <v>55</v>
      </c>
      <c r="APY2" s="375" t="s">
        <v>56</v>
      </c>
      <c r="APZ2" s="375" t="s">
        <v>57</v>
      </c>
      <c r="AQA2" s="375" t="s">
        <v>58</v>
      </c>
      <c r="AQB2" s="375" t="s">
        <v>59</v>
      </c>
      <c r="AQC2" s="375" t="s">
        <v>60</v>
      </c>
      <c r="AQD2" s="375" t="s">
        <v>61</v>
      </c>
      <c r="AQE2" s="375" t="s">
        <v>62</v>
      </c>
      <c r="AQF2" s="375" t="s">
        <v>63</v>
      </c>
      <c r="AQG2" s="375" t="s">
        <v>64</v>
      </c>
      <c r="AQH2" s="375" t="s">
        <v>65</v>
      </c>
      <c r="AQI2" s="375" t="s">
        <v>66</v>
      </c>
      <c r="AQJ2" s="375" t="s">
        <v>67</v>
      </c>
      <c r="AQK2" s="375" t="s">
        <v>68</v>
      </c>
      <c r="AQL2" s="375" t="s">
        <v>69</v>
      </c>
      <c r="AQM2" s="375" t="s">
        <v>70</v>
      </c>
      <c r="AQN2" s="375" t="s">
        <v>71</v>
      </c>
      <c r="AQO2" s="375" t="s">
        <v>72</v>
      </c>
      <c r="AQP2" s="375" t="s">
        <v>73</v>
      </c>
      <c r="AQQ2" s="375" t="s">
        <v>74</v>
      </c>
      <c r="AQR2" s="375" t="s">
        <v>75</v>
      </c>
      <c r="AQS2" s="375" t="s">
        <v>76</v>
      </c>
      <c r="AQT2" s="375" t="s">
        <v>77</v>
      </c>
      <c r="AQU2" s="375" t="s">
        <v>78</v>
      </c>
      <c r="AQV2" s="375" t="s">
        <v>79</v>
      </c>
      <c r="AQW2" s="375" t="s">
        <v>80</v>
      </c>
      <c r="AQX2" s="375" t="s">
        <v>81</v>
      </c>
      <c r="AQY2" s="375" t="s">
        <v>82</v>
      </c>
      <c r="AQZ2" s="375" t="s">
        <v>83</v>
      </c>
      <c r="ARA2" s="375" t="s">
        <v>83</v>
      </c>
      <c r="ARB2" s="377" t="s">
        <v>1361</v>
      </c>
      <c r="ARC2" s="377" t="s">
        <v>42</v>
      </c>
      <c r="ARD2" s="377" t="s">
        <v>1362</v>
      </c>
      <c r="ARE2" s="377" t="s">
        <v>1363</v>
      </c>
      <c r="ARF2" s="377" t="s">
        <v>45</v>
      </c>
      <c r="ARG2" s="377" t="s">
        <v>46</v>
      </c>
      <c r="ARH2" s="377" t="s">
        <v>47</v>
      </c>
      <c r="ARI2" s="377" t="s">
        <v>48</v>
      </c>
      <c r="ARJ2" s="377" t="s">
        <v>49</v>
      </c>
      <c r="ARK2" s="377" t="s">
        <v>50</v>
      </c>
      <c r="ARL2" s="377" t="s">
        <v>51</v>
      </c>
      <c r="ARM2" s="377" t="s">
        <v>52</v>
      </c>
      <c r="ARN2" s="377" t="s">
        <v>53</v>
      </c>
      <c r="ARO2" s="377" t="s">
        <v>54</v>
      </c>
      <c r="ARP2" s="377" t="s">
        <v>55</v>
      </c>
      <c r="ARQ2" s="377" t="s">
        <v>56</v>
      </c>
      <c r="ARR2" s="377" t="s">
        <v>57</v>
      </c>
      <c r="ARS2" s="377" t="s">
        <v>58</v>
      </c>
      <c r="ART2" s="377" t="s">
        <v>59</v>
      </c>
      <c r="ARU2" s="377" t="s">
        <v>60</v>
      </c>
      <c r="ARV2" s="377" t="s">
        <v>61</v>
      </c>
      <c r="ARW2" s="377" t="s">
        <v>62</v>
      </c>
      <c r="ARX2" s="377" t="s">
        <v>63</v>
      </c>
      <c r="ARY2" s="377" t="s">
        <v>64</v>
      </c>
      <c r="ARZ2" s="377" t="s">
        <v>65</v>
      </c>
      <c r="ASA2" s="377" t="s">
        <v>66</v>
      </c>
      <c r="ASB2" s="377" t="s">
        <v>67</v>
      </c>
      <c r="ASC2" s="377" t="s">
        <v>68</v>
      </c>
      <c r="ASD2" s="377" t="s">
        <v>69</v>
      </c>
      <c r="ASE2" s="377" t="s">
        <v>70</v>
      </c>
      <c r="ASF2" s="377" t="s">
        <v>71</v>
      </c>
      <c r="ASG2" s="377" t="s">
        <v>72</v>
      </c>
      <c r="ASH2" s="377" t="s">
        <v>73</v>
      </c>
      <c r="ASI2" s="377" t="s">
        <v>74</v>
      </c>
      <c r="ASJ2" s="377" t="s">
        <v>75</v>
      </c>
      <c r="ASK2" s="377" t="s">
        <v>76</v>
      </c>
      <c r="ASL2" s="377" t="s">
        <v>77</v>
      </c>
      <c r="ASM2" s="377" t="s">
        <v>78</v>
      </c>
      <c r="ASN2" s="377" t="s">
        <v>79</v>
      </c>
      <c r="ASO2" s="377" t="s">
        <v>80</v>
      </c>
      <c r="ASP2" s="377" t="s">
        <v>81</v>
      </c>
      <c r="ASQ2" s="377" t="s">
        <v>82</v>
      </c>
      <c r="ASR2" s="377" t="s">
        <v>83</v>
      </c>
      <c r="ASS2" s="377" t="s">
        <v>83</v>
      </c>
      <c r="AST2" s="375" t="s">
        <v>41</v>
      </c>
      <c r="ASU2" s="375" t="s">
        <v>42</v>
      </c>
      <c r="ASV2" s="375" t="s">
        <v>43</v>
      </c>
      <c r="ASW2" s="375" t="s">
        <v>44</v>
      </c>
      <c r="ASX2" s="375" t="s">
        <v>45</v>
      </c>
      <c r="ASY2" s="375" t="s">
        <v>46</v>
      </c>
      <c r="ASZ2" s="375" t="s">
        <v>47</v>
      </c>
      <c r="ATA2" s="375" t="s">
        <v>48</v>
      </c>
      <c r="ATB2" s="375" t="s">
        <v>49</v>
      </c>
      <c r="ATC2" s="375" t="s">
        <v>50</v>
      </c>
      <c r="ATD2" s="375" t="s">
        <v>51</v>
      </c>
      <c r="ATE2" s="375" t="s">
        <v>52</v>
      </c>
      <c r="ATF2" s="375" t="s">
        <v>53</v>
      </c>
      <c r="ATG2" s="375" t="s">
        <v>54</v>
      </c>
      <c r="ATH2" s="375" t="s">
        <v>55</v>
      </c>
      <c r="ATI2" s="375" t="s">
        <v>56</v>
      </c>
      <c r="ATJ2" s="375" t="s">
        <v>57</v>
      </c>
      <c r="ATK2" s="375" t="s">
        <v>58</v>
      </c>
      <c r="ATL2" s="375" t="s">
        <v>59</v>
      </c>
      <c r="ATM2" s="375" t="s">
        <v>60</v>
      </c>
      <c r="ATN2" s="375" t="s">
        <v>61</v>
      </c>
      <c r="ATO2" s="375" t="s">
        <v>62</v>
      </c>
      <c r="ATP2" s="375" t="s">
        <v>63</v>
      </c>
      <c r="ATQ2" s="375" t="s">
        <v>64</v>
      </c>
      <c r="ATR2" s="375" t="s">
        <v>65</v>
      </c>
      <c r="ATS2" s="375" t="s">
        <v>66</v>
      </c>
      <c r="ATT2" s="375" t="s">
        <v>67</v>
      </c>
      <c r="ATU2" s="375" t="s">
        <v>68</v>
      </c>
      <c r="ATV2" s="375" t="s">
        <v>69</v>
      </c>
      <c r="ATW2" s="375" t="s">
        <v>70</v>
      </c>
      <c r="ATX2" s="375" t="s">
        <v>71</v>
      </c>
      <c r="ATY2" s="375" t="s">
        <v>72</v>
      </c>
      <c r="ATZ2" s="375" t="s">
        <v>73</v>
      </c>
      <c r="AUA2" s="375" t="s">
        <v>74</v>
      </c>
      <c r="AUB2" s="375" t="s">
        <v>75</v>
      </c>
      <c r="AUC2" s="375" t="s">
        <v>76</v>
      </c>
      <c r="AUD2" s="375" t="s">
        <v>77</v>
      </c>
      <c r="AUE2" s="375" t="s">
        <v>78</v>
      </c>
      <c r="AUF2" s="375" t="s">
        <v>79</v>
      </c>
      <c r="AUG2" s="375" t="s">
        <v>80</v>
      </c>
      <c r="AUH2" s="375" t="s">
        <v>81</v>
      </c>
      <c r="AUI2" s="375" t="s">
        <v>82</v>
      </c>
      <c r="AUJ2" s="375" t="s">
        <v>83</v>
      </c>
      <c r="AUK2" s="375" t="s">
        <v>83</v>
      </c>
      <c r="AUL2" s="377" t="s">
        <v>1361</v>
      </c>
      <c r="AUM2" s="377" t="s">
        <v>42</v>
      </c>
      <c r="AUN2" s="377" t="s">
        <v>1362</v>
      </c>
      <c r="AUO2" s="377" t="s">
        <v>1363</v>
      </c>
      <c r="AUP2" s="377" t="s">
        <v>45</v>
      </c>
      <c r="AUQ2" s="377" t="s">
        <v>46</v>
      </c>
      <c r="AUR2" s="377" t="s">
        <v>47</v>
      </c>
      <c r="AUS2" s="377" t="s">
        <v>48</v>
      </c>
      <c r="AUT2" s="377" t="s">
        <v>49</v>
      </c>
      <c r="AUU2" s="377" t="s">
        <v>50</v>
      </c>
      <c r="AUV2" s="377" t="s">
        <v>51</v>
      </c>
      <c r="AUW2" s="377" t="s">
        <v>52</v>
      </c>
      <c r="AUX2" s="377" t="s">
        <v>53</v>
      </c>
      <c r="AUY2" s="377" t="s">
        <v>54</v>
      </c>
      <c r="AUZ2" s="377" t="s">
        <v>55</v>
      </c>
      <c r="AVA2" s="377" t="s">
        <v>56</v>
      </c>
      <c r="AVB2" s="377" t="s">
        <v>57</v>
      </c>
      <c r="AVC2" s="377" t="s">
        <v>58</v>
      </c>
      <c r="AVD2" s="377" t="s">
        <v>59</v>
      </c>
      <c r="AVE2" s="377" t="s">
        <v>60</v>
      </c>
      <c r="AVF2" s="377" t="s">
        <v>61</v>
      </c>
      <c r="AVG2" s="377" t="s">
        <v>62</v>
      </c>
      <c r="AVH2" s="377" t="s">
        <v>63</v>
      </c>
      <c r="AVI2" s="377" t="s">
        <v>64</v>
      </c>
      <c r="AVJ2" s="377" t="s">
        <v>65</v>
      </c>
      <c r="AVK2" s="377" t="s">
        <v>66</v>
      </c>
      <c r="AVL2" s="377" t="s">
        <v>67</v>
      </c>
      <c r="AVM2" s="377" t="s">
        <v>68</v>
      </c>
      <c r="AVN2" s="377" t="s">
        <v>69</v>
      </c>
      <c r="AVO2" s="377" t="s">
        <v>70</v>
      </c>
      <c r="AVP2" s="377" t="s">
        <v>71</v>
      </c>
      <c r="AVQ2" s="377" t="s">
        <v>72</v>
      </c>
      <c r="AVR2" s="377" t="s">
        <v>73</v>
      </c>
      <c r="AVS2" s="377" t="s">
        <v>74</v>
      </c>
      <c r="AVT2" s="377" t="s">
        <v>75</v>
      </c>
      <c r="AVU2" s="377" t="s">
        <v>76</v>
      </c>
      <c r="AVV2" s="377" t="s">
        <v>77</v>
      </c>
      <c r="AVW2" s="377" t="s">
        <v>78</v>
      </c>
      <c r="AVX2" s="377" t="s">
        <v>79</v>
      </c>
      <c r="AVY2" s="377" t="s">
        <v>80</v>
      </c>
      <c r="AVZ2" s="377" t="s">
        <v>81</v>
      </c>
      <c r="AWA2" s="377" t="s">
        <v>82</v>
      </c>
      <c r="AWB2" s="377" t="s">
        <v>83</v>
      </c>
      <c r="AWC2" s="377" t="s">
        <v>83</v>
      </c>
      <c r="AWD2" s="375" t="s">
        <v>41</v>
      </c>
      <c r="AWE2" s="375" t="s">
        <v>42</v>
      </c>
      <c r="AWF2" s="375" t="s">
        <v>43</v>
      </c>
      <c r="AWG2" s="375" t="s">
        <v>44</v>
      </c>
      <c r="AWH2" s="375" t="s">
        <v>45</v>
      </c>
      <c r="AWI2" s="375" t="s">
        <v>46</v>
      </c>
      <c r="AWJ2" s="375" t="s">
        <v>47</v>
      </c>
      <c r="AWK2" s="375" t="s">
        <v>48</v>
      </c>
      <c r="AWL2" s="375" t="s">
        <v>49</v>
      </c>
      <c r="AWM2" s="375" t="s">
        <v>50</v>
      </c>
      <c r="AWN2" s="375" t="s">
        <v>51</v>
      </c>
      <c r="AWO2" s="375" t="s">
        <v>52</v>
      </c>
      <c r="AWP2" s="375" t="s">
        <v>53</v>
      </c>
      <c r="AWQ2" s="375" t="s">
        <v>54</v>
      </c>
      <c r="AWR2" s="375" t="s">
        <v>55</v>
      </c>
      <c r="AWS2" s="375" t="s">
        <v>56</v>
      </c>
      <c r="AWT2" s="375" t="s">
        <v>57</v>
      </c>
      <c r="AWU2" s="375" t="s">
        <v>58</v>
      </c>
      <c r="AWV2" s="375" t="s">
        <v>59</v>
      </c>
      <c r="AWW2" s="375" t="s">
        <v>60</v>
      </c>
      <c r="AWX2" s="375" t="s">
        <v>61</v>
      </c>
      <c r="AWY2" s="375" t="s">
        <v>62</v>
      </c>
      <c r="AWZ2" s="375" t="s">
        <v>63</v>
      </c>
      <c r="AXA2" s="375" t="s">
        <v>64</v>
      </c>
      <c r="AXB2" s="375" t="s">
        <v>65</v>
      </c>
      <c r="AXC2" s="375" t="s">
        <v>66</v>
      </c>
      <c r="AXD2" s="375" t="s">
        <v>67</v>
      </c>
      <c r="AXE2" s="375" t="s">
        <v>68</v>
      </c>
      <c r="AXF2" s="375" t="s">
        <v>69</v>
      </c>
      <c r="AXG2" s="375" t="s">
        <v>70</v>
      </c>
      <c r="AXH2" s="375" t="s">
        <v>71</v>
      </c>
      <c r="AXI2" s="375" t="s">
        <v>72</v>
      </c>
      <c r="AXJ2" s="375" t="s">
        <v>73</v>
      </c>
      <c r="AXK2" s="375" t="s">
        <v>74</v>
      </c>
      <c r="AXL2" s="375" t="s">
        <v>75</v>
      </c>
      <c r="AXM2" s="375" t="s">
        <v>76</v>
      </c>
      <c r="AXN2" s="375" t="s">
        <v>77</v>
      </c>
      <c r="AXO2" s="375" t="s">
        <v>78</v>
      </c>
      <c r="AXP2" s="375" t="s">
        <v>79</v>
      </c>
      <c r="AXQ2" s="375" t="s">
        <v>80</v>
      </c>
      <c r="AXR2" s="375" t="s">
        <v>81</v>
      </c>
      <c r="AXS2" s="375" t="s">
        <v>82</v>
      </c>
      <c r="AXT2" s="375" t="s">
        <v>83</v>
      </c>
      <c r="AXU2" s="375" t="s">
        <v>83</v>
      </c>
      <c r="AXV2" s="377" t="s">
        <v>1361</v>
      </c>
      <c r="AXW2" s="377" t="s">
        <v>42</v>
      </c>
      <c r="AXX2" s="377" t="s">
        <v>1362</v>
      </c>
      <c r="AXY2" s="377" t="s">
        <v>1363</v>
      </c>
      <c r="AXZ2" s="377" t="s">
        <v>45</v>
      </c>
      <c r="AYA2" s="377" t="s">
        <v>46</v>
      </c>
      <c r="AYB2" s="377" t="s">
        <v>47</v>
      </c>
      <c r="AYC2" s="377" t="s">
        <v>48</v>
      </c>
      <c r="AYD2" s="377" t="s">
        <v>49</v>
      </c>
      <c r="AYE2" s="377" t="s">
        <v>50</v>
      </c>
      <c r="AYF2" s="377" t="s">
        <v>51</v>
      </c>
      <c r="AYG2" s="377" t="s">
        <v>52</v>
      </c>
      <c r="AYH2" s="377" t="s">
        <v>53</v>
      </c>
      <c r="AYI2" s="377" t="s">
        <v>54</v>
      </c>
      <c r="AYJ2" s="377" t="s">
        <v>55</v>
      </c>
      <c r="AYK2" s="377" t="s">
        <v>56</v>
      </c>
      <c r="AYL2" s="377" t="s">
        <v>57</v>
      </c>
      <c r="AYM2" s="377" t="s">
        <v>58</v>
      </c>
      <c r="AYN2" s="377" t="s">
        <v>59</v>
      </c>
      <c r="AYO2" s="377" t="s">
        <v>60</v>
      </c>
      <c r="AYP2" s="377" t="s">
        <v>61</v>
      </c>
      <c r="AYQ2" s="377" t="s">
        <v>62</v>
      </c>
      <c r="AYR2" s="377" t="s">
        <v>63</v>
      </c>
      <c r="AYS2" s="377" t="s">
        <v>64</v>
      </c>
      <c r="AYT2" s="377" t="s">
        <v>65</v>
      </c>
      <c r="AYU2" s="377" t="s">
        <v>66</v>
      </c>
      <c r="AYV2" s="377" t="s">
        <v>67</v>
      </c>
      <c r="AYW2" s="377" t="s">
        <v>68</v>
      </c>
      <c r="AYX2" s="377" t="s">
        <v>69</v>
      </c>
      <c r="AYY2" s="377" t="s">
        <v>70</v>
      </c>
      <c r="AYZ2" s="377" t="s">
        <v>71</v>
      </c>
      <c r="AZA2" s="377" t="s">
        <v>72</v>
      </c>
      <c r="AZB2" s="377" t="s">
        <v>73</v>
      </c>
      <c r="AZC2" s="377" t="s">
        <v>74</v>
      </c>
      <c r="AZD2" s="377" t="s">
        <v>75</v>
      </c>
      <c r="AZE2" s="377" t="s">
        <v>76</v>
      </c>
      <c r="AZF2" s="377" t="s">
        <v>77</v>
      </c>
      <c r="AZG2" s="377" t="s">
        <v>78</v>
      </c>
      <c r="AZH2" s="377" t="s">
        <v>79</v>
      </c>
      <c r="AZI2" s="377" t="s">
        <v>80</v>
      </c>
      <c r="AZJ2" s="377" t="s">
        <v>81</v>
      </c>
      <c r="AZK2" s="377" t="s">
        <v>82</v>
      </c>
      <c r="AZL2" s="377" t="s">
        <v>83</v>
      </c>
      <c r="AZM2" s="377" t="s">
        <v>83</v>
      </c>
      <c r="AZN2" s="375" t="s">
        <v>41</v>
      </c>
      <c r="AZO2" s="375" t="s">
        <v>42</v>
      </c>
      <c r="AZP2" s="375" t="s">
        <v>43</v>
      </c>
      <c r="AZQ2" s="375" t="s">
        <v>44</v>
      </c>
      <c r="AZR2" s="375" t="s">
        <v>45</v>
      </c>
      <c r="AZS2" s="375" t="s">
        <v>46</v>
      </c>
      <c r="AZT2" s="375" t="s">
        <v>47</v>
      </c>
      <c r="AZU2" s="375" t="s">
        <v>48</v>
      </c>
      <c r="AZV2" s="375" t="s">
        <v>49</v>
      </c>
      <c r="AZW2" s="375" t="s">
        <v>50</v>
      </c>
      <c r="AZX2" s="375" t="s">
        <v>51</v>
      </c>
      <c r="AZY2" s="375" t="s">
        <v>52</v>
      </c>
      <c r="AZZ2" s="375" t="s">
        <v>53</v>
      </c>
      <c r="BAA2" s="375" t="s">
        <v>54</v>
      </c>
      <c r="BAB2" s="375" t="s">
        <v>55</v>
      </c>
      <c r="BAC2" s="375" t="s">
        <v>56</v>
      </c>
      <c r="BAD2" s="375" t="s">
        <v>57</v>
      </c>
      <c r="BAE2" s="375" t="s">
        <v>58</v>
      </c>
      <c r="BAF2" s="375" t="s">
        <v>59</v>
      </c>
      <c r="BAG2" s="375" t="s">
        <v>60</v>
      </c>
      <c r="BAH2" s="375" t="s">
        <v>61</v>
      </c>
      <c r="BAI2" s="375" t="s">
        <v>62</v>
      </c>
      <c r="BAJ2" s="375" t="s">
        <v>63</v>
      </c>
      <c r="BAK2" s="375" t="s">
        <v>64</v>
      </c>
      <c r="BAL2" s="375" t="s">
        <v>65</v>
      </c>
      <c r="BAM2" s="375" t="s">
        <v>66</v>
      </c>
      <c r="BAN2" s="375" t="s">
        <v>67</v>
      </c>
      <c r="BAO2" s="375" t="s">
        <v>68</v>
      </c>
      <c r="BAP2" s="375" t="s">
        <v>69</v>
      </c>
      <c r="BAQ2" s="375" t="s">
        <v>70</v>
      </c>
      <c r="BAR2" s="375" t="s">
        <v>71</v>
      </c>
      <c r="BAS2" s="375" t="s">
        <v>72</v>
      </c>
      <c r="BAT2" s="375" t="s">
        <v>73</v>
      </c>
      <c r="BAU2" s="375" t="s">
        <v>74</v>
      </c>
      <c r="BAV2" s="375" t="s">
        <v>75</v>
      </c>
      <c r="BAW2" s="375" t="s">
        <v>76</v>
      </c>
      <c r="BAX2" s="375" t="s">
        <v>77</v>
      </c>
      <c r="BAY2" s="375" t="s">
        <v>78</v>
      </c>
      <c r="BAZ2" s="375" t="s">
        <v>79</v>
      </c>
      <c r="BBA2" s="375" t="s">
        <v>80</v>
      </c>
      <c r="BBB2" s="375" t="s">
        <v>81</v>
      </c>
      <c r="BBC2" s="375" t="s">
        <v>82</v>
      </c>
      <c r="BBD2" s="375" t="s">
        <v>83</v>
      </c>
      <c r="BBE2" s="375" t="s">
        <v>83</v>
      </c>
      <c r="BBF2" s="377" t="s">
        <v>1361</v>
      </c>
      <c r="BBG2" s="377" t="s">
        <v>42</v>
      </c>
      <c r="BBH2" s="377" t="s">
        <v>1362</v>
      </c>
      <c r="BBI2" s="377" t="s">
        <v>1363</v>
      </c>
      <c r="BBJ2" s="377" t="s">
        <v>45</v>
      </c>
      <c r="BBK2" s="377" t="s">
        <v>46</v>
      </c>
      <c r="BBL2" s="377" t="s">
        <v>47</v>
      </c>
      <c r="BBM2" s="377" t="s">
        <v>48</v>
      </c>
      <c r="BBN2" s="377" t="s">
        <v>49</v>
      </c>
      <c r="BBO2" s="377" t="s">
        <v>50</v>
      </c>
      <c r="BBP2" s="377" t="s">
        <v>51</v>
      </c>
      <c r="BBQ2" s="377" t="s">
        <v>52</v>
      </c>
      <c r="BBR2" s="377" t="s">
        <v>53</v>
      </c>
      <c r="BBS2" s="377" t="s">
        <v>54</v>
      </c>
      <c r="BBT2" s="377" t="s">
        <v>55</v>
      </c>
      <c r="BBU2" s="377" t="s">
        <v>56</v>
      </c>
      <c r="BBV2" s="377" t="s">
        <v>57</v>
      </c>
      <c r="BBW2" s="377" t="s">
        <v>58</v>
      </c>
      <c r="BBX2" s="377" t="s">
        <v>59</v>
      </c>
      <c r="BBY2" s="377" t="s">
        <v>60</v>
      </c>
      <c r="BBZ2" s="377" t="s">
        <v>61</v>
      </c>
      <c r="BCA2" s="377" t="s">
        <v>62</v>
      </c>
      <c r="BCB2" s="377" t="s">
        <v>63</v>
      </c>
      <c r="BCC2" s="377" t="s">
        <v>64</v>
      </c>
      <c r="BCD2" s="377" t="s">
        <v>65</v>
      </c>
      <c r="BCE2" s="377" t="s">
        <v>66</v>
      </c>
      <c r="BCF2" s="377" t="s">
        <v>67</v>
      </c>
      <c r="BCG2" s="377" t="s">
        <v>68</v>
      </c>
      <c r="BCH2" s="377" t="s">
        <v>69</v>
      </c>
      <c r="BCI2" s="377" t="s">
        <v>70</v>
      </c>
      <c r="BCJ2" s="377" t="s">
        <v>71</v>
      </c>
      <c r="BCK2" s="377" t="s">
        <v>72</v>
      </c>
      <c r="BCL2" s="377" t="s">
        <v>73</v>
      </c>
      <c r="BCM2" s="377" t="s">
        <v>74</v>
      </c>
      <c r="BCN2" s="377" t="s">
        <v>75</v>
      </c>
      <c r="BCO2" s="377" t="s">
        <v>76</v>
      </c>
      <c r="BCP2" s="377" t="s">
        <v>77</v>
      </c>
      <c r="BCQ2" s="377" t="s">
        <v>78</v>
      </c>
      <c r="BCR2" s="377" t="s">
        <v>79</v>
      </c>
      <c r="BCS2" s="377" t="s">
        <v>80</v>
      </c>
      <c r="BCT2" s="377" t="s">
        <v>81</v>
      </c>
      <c r="BCU2" s="377" t="s">
        <v>82</v>
      </c>
      <c r="BCV2" s="377" t="s">
        <v>83</v>
      </c>
      <c r="BCW2" s="377" t="s">
        <v>83</v>
      </c>
      <c r="BCX2" s="375" t="s">
        <v>41</v>
      </c>
      <c r="BCY2" s="375" t="s">
        <v>42</v>
      </c>
      <c r="BCZ2" s="375" t="s">
        <v>43</v>
      </c>
      <c r="BDA2" s="375" t="s">
        <v>44</v>
      </c>
      <c r="BDB2" s="375" t="s">
        <v>45</v>
      </c>
      <c r="BDC2" s="375" t="s">
        <v>46</v>
      </c>
      <c r="BDD2" s="375" t="s">
        <v>47</v>
      </c>
      <c r="BDE2" s="375" t="s">
        <v>48</v>
      </c>
      <c r="BDF2" s="375" t="s">
        <v>49</v>
      </c>
      <c r="BDG2" s="375" t="s">
        <v>50</v>
      </c>
      <c r="BDH2" s="375" t="s">
        <v>51</v>
      </c>
      <c r="BDI2" s="375" t="s">
        <v>52</v>
      </c>
      <c r="BDJ2" s="375" t="s">
        <v>53</v>
      </c>
      <c r="BDK2" s="375" t="s">
        <v>54</v>
      </c>
      <c r="BDL2" s="375" t="s">
        <v>55</v>
      </c>
      <c r="BDM2" s="375" t="s">
        <v>56</v>
      </c>
      <c r="BDN2" s="375" t="s">
        <v>57</v>
      </c>
      <c r="BDO2" s="375" t="s">
        <v>58</v>
      </c>
      <c r="BDP2" s="375" t="s">
        <v>59</v>
      </c>
      <c r="BDQ2" s="375" t="s">
        <v>60</v>
      </c>
      <c r="BDR2" s="375" t="s">
        <v>61</v>
      </c>
      <c r="BDS2" s="375" t="s">
        <v>62</v>
      </c>
      <c r="BDT2" s="375" t="s">
        <v>63</v>
      </c>
      <c r="BDU2" s="375" t="s">
        <v>64</v>
      </c>
      <c r="BDV2" s="375" t="s">
        <v>65</v>
      </c>
      <c r="BDW2" s="375" t="s">
        <v>66</v>
      </c>
      <c r="BDX2" s="375" t="s">
        <v>67</v>
      </c>
      <c r="BDY2" s="375" t="s">
        <v>68</v>
      </c>
      <c r="BDZ2" s="375" t="s">
        <v>69</v>
      </c>
      <c r="BEA2" s="375" t="s">
        <v>70</v>
      </c>
      <c r="BEB2" s="375" t="s">
        <v>71</v>
      </c>
      <c r="BEC2" s="375" t="s">
        <v>72</v>
      </c>
      <c r="BED2" s="375" t="s">
        <v>73</v>
      </c>
      <c r="BEE2" s="375" t="s">
        <v>74</v>
      </c>
      <c r="BEF2" s="375" t="s">
        <v>75</v>
      </c>
      <c r="BEG2" s="375" t="s">
        <v>76</v>
      </c>
      <c r="BEH2" s="375" t="s">
        <v>77</v>
      </c>
      <c r="BEI2" s="375" t="s">
        <v>78</v>
      </c>
      <c r="BEJ2" s="375" t="s">
        <v>79</v>
      </c>
      <c r="BEK2" s="375" t="s">
        <v>80</v>
      </c>
      <c r="BEL2" s="375" t="s">
        <v>81</v>
      </c>
      <c r="BEM2" s="375" t="s">
        <v>82</v>
      </c>
      <c r="BEN2" s="375" t="s">
        <v>83</v>
      </c>
      <c r="BEO2" s="375" t="s">
        <v>83</v>
      </c>
      <c r="BEP2" s="377" t="s">
        <v>1361</v>
      </c>
      <c r="BEQ2" s="377" t="s">
        <v>42</v>
      </c>
      <c r="BER2" s="377" t="s">
        <v>1362</v>
      </c>
      <c r="BES2" s="377" t="s">
        <v>1363</v>
      </c>
      <c r="BET2" s="377" t="s">
        <v>45</v>
      </c>
      <c r="BEU2" s="377" t="s">
        <v>46</v>
      </c>
      <c r="BEV2" s="377" t="s">
        <v>47</v>
      </c>
      <c r="BEW2" s="377" t="s">
        <v>48</v>
      </c>
      <c r="BEX2" s="377" t="s">
        <v>49</v>
      </c>
      <c r="BEY2" s="377" t="s">
        <v>50</v>
      </c>
      <c r="BEZ2" s="377" t="s">
        <v>51</v>
      </c>
      <c r="BFA2" s="377" t="s">
        <v>52</v>
      </c>
      <c r="BFB2" s="377" t="s">
        <v>53</v>
      </c>
      <c r="BFC2" s="377" t="s">
        <v>54</v>
      </c>
      <c r="BFD2" s="377" t="s">
        <v>55</v>
      </c>
      <c r="BFE2" s="377" t="s">
        <v>56</v>
      </c>
      <c r="BFF2" s="377" t="s">
        <v>57</v>
      </c>
      <c r="BFG2" s="377" t="s">
        <v>58</v>
      </c>
      <c r="BFH2" s="377" t="s">
        <v>59</v>
      </c>
      <c r="BFI2" s="377" t="s">
        <v>60</v>
      </c>
      <c r="BFJ2" s="377" t="s">
        <v>61</v>
      </c>
      <c r="BFK2" s="377" t="s">
        <v>62</v>
      </c>
      <c r="BFL2" s="377" t="s">
        <v>63</v>
      </c>
      <c r="BFM2" s="377" t="s">
        <v>64</v>
      </c>
      <c r="BFN2" s="377" t="s">
        <v>65</v>
      </c>
      <c r="BFO2" s="377" t="s">
        <v>66</v>
      </c>
      <c r="BFP2" s="377" t="s">
        <v>67</v>
      </c>
      <c r="BFQ2" s="377" t="s">
        <v>68</v>
      </c>
      <c r="BFR2" s="377" t="s">
        <v>69</v>
      </c>
      <c r="BFS2" s="377" t="s">
        <v>70</v>
      </c>
      <c r="BFT2" s="377" t="s">
        <v>71</v>
      </c>
      <c r="BFU2" s="377" t="s">
        <v>72</v>
      </c>
      <c r="BFV2" s="377" t="s">
        <v>73</v>
      </c>
      <c r="BFW2" s="377" t="s">
        <v>74</v>
      </c>
      <c r="BFX2" s="377" t="s">
        <v>75</v>
      </c>
      <c r="BFY2" s="377" t="s">
        <v>76</v>
      </c>
      <c r="BFZ2" s="377" t="s">
        <v>77</v>
      </c>
      <c r="BGA2" s="377" t="s">
        <v>78</v>
      </c>
      <c r="BGB2" s="377" t="s">
        <v>79</v>
      </c>
      <c r="BGC2" s="377" t="s">
        <v>80</v>
      </c>
      <c r="BGD2" s="377" t="s">
        <v>81</v>
      </c>
      <c r="BGE2" s="377" t="s">
        <v>82</v>
      </c>
      <c r="BGF2" s="377" t="s">
        <v>83</v>
      </c>
      <c r="BGG2" s="377" t="s">
        <v>83</v>
      </c>
      <c r="BGH2" s="375" t="s">
        <v>41</v>
      </c>
      <c r="BGI2" s="375" t="s">
        <v>42</v>
      </c>
      <c r="BGJ2" s="375" t="s">
        <v>43</v>
      </c>
      <c r="BGK2" s="375" t="s">
        <v>44</v>
      </c>
      <c r="BGL2" s="375" t="s">
        <v>45</v>
      </c>
      <c r="BGM2" s="375" t="s">
        <v>46</v>
      </c>
      <c r="BGN2" s="375" t="s">
        <v>47</v>
      </c>
      <c r="BGO2" s="375" t="s">
        <v>48</v>
      </c>
      <c r="BGP2" s="375" t="s">
        <v>49</v>
      </c>
      <c r="BGQ2" s="375" t="s">
        <v>50</v>
      </c>
      <c r="BGR2" s="375" t="s">
        <v>51</v>
      </c>
      <c r="BGS2" s="375" t="s">
        <v>52</v>
      </c>
      <c r="BGT2" s="375" t="s">
        <v>53</v>
      </c>
      <c r="BGU2" s="375" t="s">
        <v>54</v>
      </c>
      <c r="BGV2" s="375" t="s">
        <v>55</v>
      </c>
      <c r="BGW2" s="375" t="s">
        <v>56</v>
      </c>
      <c r="BGX2" s="375" t="s">
        <v>57</v>
      </c>
      <c r="BGY2" s="375" t="s">
        <v>58</v>
      </c>
      <c r="BGZ2" s="375" t="s">
        <v>59</v>
      </c>
      <c r="BHA2" s="375" t="s">
        <v>60</v>
      </c>
      <c r="BHB2" s="375" t="s">
        <v>61</v>
      </c>
      <c r="BHC2" s="375" t="s">
        <v>62</v>
      </c>
      <c r="BHD2" s="375" t="s">
        <v>63</v>
      </c>
      <c r="BHE2" s="375" t="s">
        <v>64</v>
      </c>
      <c r="BHF2" s="375" t="s">
        <v>65</v>
      </c>
      <c r="BHG2" s="375" t="s">
        <v>66</v>
      </c>
      <c r="BHH2" s="375" t="s">
        <v>67</v>
      </c>
      <c r="BHI2" s="375" t="s">
        <v>68</v>
      </c>
      <c r="BHJ2" s="375" t="s">
        <v>69</v>
      </c>
      <c r="BHK2" s="375" t="s">
        <v>70</v>
      </c>
      <c r="BHL2" s="375" t="s">
        <v>71</v>
      </c>
      <c r="BHM2" s="375" t="s">
        <v>72</v>
      </c>
      <c r="BHN2" s="375" t="s">
        <v>73</v>
      </c>
      <c r="BHO2" s="375" t="s">
        <v>74</v>
      </c>
      <c r="BHP2" s="375" t="s">
        <v>75</v>
      </c>
      <c r="BHQ2" s="375" t="s">
        <v>76</v>
      </c>
      <c r="BHR2" s="375" t="s">
        <v>77</v>
      </c>
      <c r="BHS2" s="375" t="s">
        <v>78</v>
      </c>
      <c r="BHT2" s="375" t="s">
        <v>79</v>
      </c>
      <c r="BHU2" s="375" t="s">
        <v>80</v>
      </c>
      <c r="BHV2" s="375" t="s">
        <v>81</v>
      </c>
      <c r="BHW2" s="375" t="s">
        <v>82</v>
      </c>
      <c r="BHX2" s="375" t="s">
        <v>83</v>
      </c>
      <c r="BHY2" s="375" t="s">
        <v>83</v>
      </c>
      <c r="BHZ2" s="377" t="s">
        <v>1361</v>
      </c>
      <c r="BIA2" s="377" t="s">
        <v>42</v>
      </c>
      <c r="BIB2" s="377" t="s">
        <v>1362</v>
      </c>
      <c r="BIC2" s="377" t="s">
        <v>1363</v>
      </c>
      <c r="BID2" s="377" t="s">
        <v>45</v>
      </c>
      <c r="BIE2" s="377" t="s">
        <v>46</v>
      </c>
      <c r="BIF2" s="377" t="s">
        <v>47</v>
      </c>
      <c r="BIG2" s="377" t="s">
        <v>48</v>
      </c>
      <c r="BIH2" s="377" t="s">
        <v>49</v>
      </c>
      <c r="BII2" s="377" t="s">
        <v>50</v>
      </c>
      <c r="BIJ2" s="377" t="s">
        <v>51</v>
      </c>
      <c r="BIK2" s="377" t="s">
        <v>52</v>
      </c>
      <c r="BIL2" s="377" t="s">
        <v>53</v>
      </c>
      <c r="BIM2" s="377" t="s">
        <v>54</v>
      </c>
      <c r="BIN2" s="377" t="s">
        <v>55</v>
      </c>
      <c r="BIO2" s="377" t="s">
        <v>56</v>
      </c>
      <c r="BIP2" s="377" t="s">
        <v>57</v>
      </c>
      <c r="BIQ2" s="377" t="s">
        <v>58</v>
      </c>
      <c r="BIR2" s="377" t="s">
        <v>59</v>
      </c>
      <c r="BIS2" s="377" t="s">
        <v>60</v>
      </c>
      <c r="BIT2" s="377" t="s">
        <v>61</v>
      </c>
      <c r="BIU2" s="377" t="s">
        <v>62</v>
      </c>
      <c r="BIV2" s="377" t="s">
        <v>63</v>
      </c>
      <c r="BIW2" s="377" t="s">
        <v>64</v>
      </c>
      <c r="BIX2" s="377" t="s">
        <v>65</v>
      </c>
      <c r="BIY2" s="377" t="s">
        <v>66</v>
      </c>
      <c r="BIZ2" s="377" t="s">
        <v>67</v>
      </c>
      <c r="BJA2" s="377" t="s">
        <v>68</v>
      </c>
      <c r="BJB2" s="377" t="s">
        <v>69</v>
      </c>
      <c r="BJC2" s="377" t="s">
        <v>70</v>
      </c>
      <c r="BJD2" s="377" t="s">
        <v>71</v>
      </c>
      <c r="BJE2" s="377" t="s">
        <v>72</v>
      </c>
      <c r="BJF2" s="377" t="s">
        <v>73</v>
      </c>
      <c r="BJG2" s="377" t="s">
        <v>74</v>
      </c>
      <c r="BJH2" s="377" t="s">
        <v>75</v>
      </c>
      <c r="BJI2" s="377" t="s">
        <v>76</v>
      </c>
      <c r="BJJ2" s="377" t="s">
        <v>77</v>
      </c>
      <c r="BJK2" s="377" t="s">
        <v>78</v>
      </c>
      <c r="BJL2" s="377" t="s">
        <v>79</v>
      </c>
      <c r="BJM2" s="377" t="s">
        <v>80</v>
      </c>
      <c r="BJN2" s="377" t="s">
        <v>81</v>
      </c>
      <c r="BJO2" s="377" t="s">
        <v>82</v>
      </c>
      <c r="BJP2" s="377" t="s">
        <v>83</v>
      </c>
      <c r="BJQ2" s="377" t="s">
        <v>83</v>
      </c>
      <c r="BJR2" s="375" t="s">
        <v>41</v>
      </c>
      <c r="BJS2" s="375" t="s">
        <v>42</v>
      </c>
      <c r="BJT2" s="375" t="s">
        <v>43</v>
      </c>
      <c r="BJU2" s="375" t="s">
        <v>44</v>
      </c>
      <c r="BJV2" s="375" t="s">
        <v>45</v>
      </c>
      <c r="BJW2" s="375" t="s">
        <v>46</v>
      </c>
      <c r="BJX2" s="375" t="s">
        <v>47</v>
      </c>
      <c r="BJY2" s="375" t="s">
        <v>48</v>
      </c>
      <c r="BJZ2" s="375" t="s">
        <v>49</v>
      </c>
      <c r="BKA2" s="375" t="s">
        <v>50</v>
      </c>
      <c r="BKB2" s="375" t="s">
        <v>51</v>
      </c>
      <c r="BKC2" s="375" t="s">
        <v>52</v>
      </c>
      <c r="BKD2" s="375" t="s">
        <v>53</v>
      </c>
      <c r="BKE2" s="375" t="s">
        <v>54</v>
      </c>
      <c r="BKF2" s="375" t="s">
        <v>55</v>
      </c>
      <c r="BKG2" s="375" t="s">
        <v>56</v>
      </c>
      <c r="BKH2" s="375" t="s">
        <v>57</v>
      </c>
      <c r="BKI2" s="375" t="s">
        <v>58</v>
      </c>
      <c r="BKJ2" s="375" t="s">
        <v>59</v>
      </c>
      <c r="BKK2" s="375" t="s">
        <v>60</v>
      </c>
      <c r="BKL2" s="375" t="s">
        <v>61</v>
      </c>
      <c r="BKM2" s="375" t="s">
        <v>62</v>
      </c>
      <c r="BKN2" s="375" t="s">
        <v>63</v>
      </c>
      <c r="BKO2" s="375" t="s">
        <v>64</v>
      </c>
      <c r="BKP2" s="375" t="s">
        <v>65</v>
      </c>
      <c r="BKQ2" s="375" t="s">
        <v>66</v>
      </c>
      <c r="BKR2" s="375" t="s">
        <v>67</v>
      </c>
      <c r="BKS2" s="375" t="s">
        <v>68</v>
      </c>
      <c r="BKT2" s="375" t="s">
        <v>69</v>
      </c>
      <c r="BKU2" s="375" t="s">
        <v>70</v>
      </c>
      <c r="BKV2" s="375" t="s">
        <v>71</v>
      </c>
      <c r="BKW2" s="375" t="s">
        <v>72</v>
      </c>
      <c r="BKX2" s="375" t="s">
        <v>73</v>
      </c>
      <c r="BKY2" s="375" t="s">
        <v>74</v>
      </c>
      <c r="BKZ2" s="375" t="s">
        <v>75</v>
      </c>
      <c r="BLA2" s="375" t="s">
        <v>76</v>
      </c>
      <c r="BLB2" s="375" t="s">
        <v>77</v>
      </c>
      <c r="BLC2" s="375" t="s">
        <v>78</v>
      </c>
      <c r="BLD2" s="375" t="s">
        <v>79</v>
      </c>
      <c r="BLE2" s="375" t="s">
        <v>80</v>
      </c>
      <c r="BLF2" s="375" t="s">
        <v>81</v>
      </c>
      <c r="BLG2" s="375" t="s">
        <v>82</v>
      </c>
      <c r="BLH2" s="375" t="s">
        <v>83</v>
      </c>
      <c r="BLI2" s="375" t="s">
        <v>83</v>
      </c>
      <c r="BLJ2" s="377" t="s">
        <v>1361</v>
      </c>
      <c r="BLK2" s="377" t="s">
        <v>42</v>
      </c>
      <c r="BLL2" s="377" t="s">
        <v>1362</v>
      </c>
      <c r="BLM2" s="377" t="s">
        <v>1363</v>
      </c>
      <c r="BLN2" s="377" t="s">
        <v>45</v>
      </c>
      <c r="BLO2" s="377" t="s">
        <v>46</v>
      </c>
      <c r="BLP2" s="377" t="s">
        <v>47</v>
      </c>
      <c r="BLQ2" s="377" t="s">
        <v>48</v>
      </c>
      <c r="BLR2" s="377" t="s">
        <v>49</v>
      </c>
      <c r="BLS2" s="377" t="s">
        <v>50</v>
      </c>
      <c r="BLT2" s="377" t="s">
        <v>51</v>
      </c>
      <c r="BLU2" s="377" t="s">
        <v>52</v>
      </c>
      <c r="BLV2" s="377" t="s">
        <v>53</v>
      </c>
      <c r="BLW2" s="377" t="s">
        <v>54</v>
      </c>
      <c r="BLX2" s="377" t="s">
        <v>55</v>
      </c>
      <c r="BLY2" s="377" t="s">
        <v>56</v>
      </c>
      <c r="BLZ2" s="377" t="s">
        <v>57</v>
      </c>
      <c r="BMA2" s="377" t="s">
        <v>58</v>
      </c>
      <c r="BMB2" s="377" t="s">
        <v>59</v>
      </c>
      <c r="BMC2" s="377" t="s">
        <v>60</v>
      </c>
      <c r="BMD2" s="377" t="s">
        <v>61</v>
      </c>
      <c r="BME2" s="377" t="s">
        <v>62</v>
      </c>
      <c r="BMF2" s="377" t="s">
        <v>63</v>
      </c>
      <c r="BMG2" s="377" t="s">
        <v>64</v>
      </c>
      <c r="BMH2" s="377" t="s">
        <v>65</v>
      </c>
      <c r="BMI2" s="377" t="s">
        <v>66</v>
      </c>
      <c r="BMJ2" s="377" t="s">
        <v>67</v>
      </c>
      <c r="BMK2" s="377" t="s">
        <v>68</v>
      </c>
      <c r="BML2" s="377" t="s">
        <v>69</v>
      </c>
      <c r="BMM2" s="377" t="s">
        <v>70</v>
      </c>
      <c r="BMN2" s="377" t="s">
        <v>71</v>
      </c>
      <c r="BMO2" s="377" t="s">
        <v>72</v>
      </c>
      <c r="BMP2" s="377" t="s">
        <v>73</v>
      </c>
      <c r="BMQ2" s="377" t="s">
        <v>74</v>
      </c>
      <c r="BMR2" s="377" t="s">
        <v>75</v>
      </c>
      <c r="BMS2" s="377" t="s">
        <v>76</v>
      </c>
      <c r="BMT2" s="377" t="s">
        <v>77</v>
      </c>
      <c r="BMU2" s="377" t="s">
        <v>78</v>
      </c>
      <c r="BMV2" s="377" t="s">
        <v>79</v>
      </c>
      <c r="BMW2" s="377" t="s">
        <v>80</v>
      </c>
      <c r="BMX2" s="377" t="s">
        <v>81</v>
      </c>
      <c r="BMY2" s="377" t="s">
        <v>82</v>
      </c>
      <c r="BMZ2" s="377" t="s">
        <v>83</v>
      </c>
      <c r="BNA2" s="377" t="s">
        <v>83</v>
      </c>
      <c r="BNB2" s="375" t="s">
        <v>41</v>
      </c>
      <c r="BNC2" s="375" t="s">
        <v>42</v>
      </c>
      <c r="BND2" s="375" t="s">
        <v>43</v>
      </c>
      <c r="BNE2" s="375" t="s">
        <v>44</v>
      </c>
      <c r="BNF2" s="375" t="s">
        <v>45</v>
      </c>
      <c r="BNG2" s="375" t="s">
        <v>46</v>
      </c>
      <c r="BNH2" s="375" t="s">
        <v>47</v>
      </c>
      <c r="BNI2" s="375" t="s">
        <v>48</v>
      </c>
      <c r="BNJ2" s="375" t="s">
        <v>49</v>
      </c>
      <c r="BNK2" s="375" t="s">
        <v>50</v>
      </c>
      <c r="BNL2" s="375" t="s">
        <v>51</v>
      </c>
      <c r="BNM2" s="375" t="s">
        <v>52</v>
      </c>
      <c r="BNN2" s="375" t="s">
        <v>53</v>
      </c>
      <c r="BNO2" s="375" t="s">
        <v>54</v>
      </c>
      <c r="BNP2" s="375" t="s">
        <v>55</v>
      </c>
      <c r="BNQ2" s="375" t="s">
        <v>56</v>
      </c>
      <c r="BNR2" s="375" t="s">
        <v>57</v>
      </c>
      <c r="BNS2" s="375" t="s">
        <v>58</v>
      </c>
      <c r="BNT2" s="375" t="s">
        <v>59</v>
      </c>
      <c r="BNU2" s="375" t="s">
        <v>60</v>
      </c>
      <c r="BNV2" s="375" t="s">
        <v>61</v>
      </c>
      <c r="BNW2" s="375" t="s">
        <v>62</v>
      </c>
      <c r="BNX2" s="375" t="s">
        <v>63</v>
      </c>
      <c r="BNY2" s="375" t="s">
        <v>64</v>
      </c>
      <c r="BNZ2" s="375" t="s">
        <v>65</v>
      </c>
      <c r="BOA2" s="375" t="s">
        <v>66</v>
      </c>
      <c r="BOB2" s="375" t="s">
        <v>67</v>
      </c>
      <c r="BOC2" s="375" t="s">
        <v>68</v>
      </c>
      <c r="BOD2" s="375" t="s">
        <v>69</v>
      </c>
      <c r="BOE2" s="375" t="s">
        <v>70</v>
      </c>
      <c r="BOF2" s="375" t="s">
        <v>71</v>
      </c>
      <c r="BOG2" s="375" t="s">
        <v>72</v>
      </c>
      <c r="BOH2" s="375" t="s">
        <v>73</v>
      </c>
      <c r="BOI2" s="375" t="s">
        <v>74</v>
      </c>
      <c r="BOJ2" s="375" t="s">
        <v>75</v>
      </c>
      <c r="BOK2" s="375" t="s">
        <v>76</v>
      </c>
      <c r="BOL2" s="375" t="s">
        <v>77</v>
      </c>
      <c r="BOM2" s="375" t="s">
        <v>78</v>
      </c>
      <c r="BON2" s="375" t="s">
        <v>79</v>
      </c>
      <c r="BOO2" s="375" t="s">
        <v>80</v>
      </c>
      <c r="BOP2" s="375" t="s">
        <v>81</v>
      </c>
      <c r="BOQ2" s="375" t="s">
        <v>82</v>
      </c>
      <c r="BOR2" s="375" t="s">
        <v>83</v>
      </c>
      <c r="BOS2" s="375" t="s">
        <v>83</v>
      </c>
      <c r="BOT2" s="377" t="s">
        <v>1361</v>
      </c>
      <c r="BOU2" s="377" t="s">
        <v>42</v>
      </c>
      <c r="BOV2" s="377" t="s">
        <v>1362</v>
      </c>
      <c r="BOW2" s="377" t="s">
        <v>1363</v>
      </c>
      <c r="BOX2" s="377" t="s">
        <v>45</v>
      </c>
      <c r="BOY2" s="377" t="s">
        <v>46</v>
      </c>
      <c r="BOZ2" s="377" t="s">
        <v>47</v>
      </c>
      <c r="BPA2" s="377" t="s">
        <v>48</v>
      </c>
      <c r="BPB2" s="377" t="s">
        <v>49</v>
      </c>
      <c r="BPC2" s="377" t="s">
        <v>50</v>
      </c>
      <c r="BPD2" s="377" t="s">
        <v>51</v>
      </c>
      <c r="BPE2" s="377" t="s">
        <v>52</v>
      </c>
      <c r="BPF2" s="377" t="s">
        <v>53</v>
      </c>
      <c r="BPG2" s="377" t="s">
        <v>54</v>
      </c>
      <c r="BPH2" s="377" t="s">
        <v>55</v>
      </c>
      <c r="BPI2" s="377" t="s">
        <v>56</v>
      </c>
      <c r="BPJ2" s="377" t="s">
        <v>57</v>
      </c>
      <c r="BPK2" s="377" t="s">
        <v>58</v>
      </c>
      <c r="BPL2" s="377" t="s">
        <v>59</v>
      </c>
      <c r="BPM2" s="377" t="s">
        <v>60</v>
      </c>
      <c r="BPN2" s="377" t="s">
        <v>61</v>
      </c>
      <c r="BPO2" s="377" t="s">
        <v>62</v>
      </c>
      <c r="BPP2" s="377" t="s">
        <v>63</v>
      </c>
      <c r="BPQ2" s="377" t="s">
        <v>64</v>
      </c>
      <c r="BPR2" s="377" t="s">
        <v>65</v>
      </c>
      <c r="BPS2" s="377" t="s">
        <v>66</v>
      </c>
      <c r="BPT2" s="377" t="s">
        <v>67</v>
      </c>
      <c r="BPU2" s="377" t="s">
        <v>68</v>
      </c>
      <c r="BPV2" s="377" t="s">
        <v>69</v>
      </c>
      <c r="BPW2" s="377" t="s">
        <v>70</v>
      </c>
      <c r="BPX2" s="377" t="s">
        <v>71</v>
      </c>
      <c r="BPY2" s="377" t="s">
        <v>72</v>
      </c>
      <c r="BPZ2" s="377" t="s">
        <v>73</v>
      </c>
      <c r="BQA2" s="377" t="s">
        <v>74</v>
      </c>
      <c r="BQB2" s="377" t="s">
        <v>75</v>
      </c>
      <c r="BQC2" s="377" t="s">
        <v>76</v>
      </c>
      <c r="BQD2" s="377" t="s">
        <v>77</v>
      </c>
      <c r="BQE2" s="377" t="s">
        <v>78</v>
      </c>
      <c r="BQF2" s="377" t="s">
        <v>79</v>
      </c>
      <c r="BQG2" s="377" t="s">
        <v>80</v>
      </c>
      <c r="BQH2" s="377" t="s">
        <v>81</v>
      </c>
      <c r="BQI2" s="377" t="s">
        <v>82</v>
      </c>
      <c r="BQJ2" s="377" t="s">
        <v>83</v>
      </c>
      <c r="BQK2" s="377" t="s">
        <v>83</v>
      </c>
      <c r="BQL2" s="375" t="s">
        <v>41</v>
      </c>
      <c r="BQM2" s="375" t="s">
        <v>42</v>
      </c>
      <c r="BQN2" s="375" t="s">
        <v>43</v>
      </c>
      <c r="BQO2" s="375" t="s">
        <v>44</v>
      </c>
      <c r="BQP2" s="375" t="s">
        <v>45</v>
      </c>
      <c r="BQQ2" s="375" t="s">
        <v>46</v>
      </c>
      <c r="BQR2" s="375" t="s">
        <v>47</v>
      </c>
      <c r="BQS2" s="375" t="s">
        <v>48</v>
      </c>
      <c r="BQT2" s="375" t="s">
        <v>49</v>
      </c>
      <c r="BQU2" s="375" t="s">
        <v>50</v>
      </c>
      <c r="BQV2" s="375" t="s">
        <v>51</v>
      </c>
      <c r="BQW2" s="375" t="s">
        <v>52</v>
      </c>
      <c r="BQX2" s="375" t="s">
        <v>53</v>
      </c>
      <c r="BQY2" s="375" t="s">
        <v>54</v>
      </c>
      <c r="BQZ2" s="375" t="s">
        <v>55</v>
      </c>
      <c r="BRA2" s="375" t="s">
        <v>56</v>
      </c>
      <c r="BRB2" s="375" t="s">
        <v>57</v>
      </c>
      <c r="BRC2" s="375" t="s">
        <v>58</v>
      </c>
      <c r="BRD2" s="375" t="s">
        <v>59</v>
      </c>
      <c r="BRE2" s="375" t="s">
        <v>60</v>
      </c>
      <c r="BRF2" s="375" t="s">
        <v>61</v>
      </c>
      <c r="BRG2" s="375" t="s">
        <v>62</v>
      </c>
      <c r="BRH2" s="375" t="s">
        <v>63</v>
      </c>
      <c r="BRI2" s="375" t="s">
        <v>64</v>
      </c>
      <c r="BRJ2" s="375" t="s">
        <v>65</v>
      </c>
      <c r="BRK2" s="375" t="s">
        <v>66</v>
      </c>
      <c r="BRL2" s="375" t="s">
        <v>67</v>
      </c>
      <c r="BRM2" s="375" t="s">
        <v>68</v>
      </c>
      <c r="BRN2" s="375" t="s">
        <v>69</v>
      </c>
      <c r="BRO2" s="375" t="s">
        <v>70</v>
      </c>
      <c r="BRP2" s="375" t="s">
        <v>71</v>
      </c>
      <c r="BRQ2" s="375" t="s">
        <v>72</v>
      </c>
      <c r="BRR2" s="375" t="s">
        <v>73</v>
      </c>
      <c r="BRS2" s="375" t="s">
        <v>74</v>
      </c>
      <c r="BRT2" s="375" t="s">
        <v>75</v>
      </c>
      <c r="BRU2" s="375" t="s">
        <v>76</v>
      </c>
      <c r="BRV2" s="375" t="s">
        <v>77</v>
      </c>
      <c r="BRW2" s="375" t="s">
        <v>78</v>
      </c>
      <c r="BRX2" s="375" t="s">
        <v>79</v>
      </c>
      <c r="BRY2" s="375" t="s">
        <v>80</v>
      </c>
      <c r="BRZ2" s="375" t="s">
        <v>81</v>
      </c>
      <c r="BSA2" s="375" t="s">
        <v>82</v>
      </c>
      <c r="BSB2" s="375" t="s">
        <v>83</v>
      </c>
      <c r="BSC2" s="375" t="s">
        <v>83</v>
      </c>
      <c r="BSD2" s="377" t="s">
        <v>1361</v>
      </c>
      <c r="BSE2" s="377" t="s">
        <v>42</v>
      </c>
      <c r="BSF2" s="377" t="s">
        <v>1362</v>
      </c>
      <c r="BSG2" s="377" t="s">
        <v>1363</v>
      </c>
      <c r="BSH2" s="377" t="s">
        <v>45</v>
      </c>
      <c r="BSI2" s="377" t="s">
        <v>46</v>
      </c>
      <c r="BSJ2" s="377" t="s">
        <v>47</v>
      </c>
      <c r="BSK2" s="377" t="s">
        <v>48</v>
      </c>
      <c r="BSL2" s="377" t="s">
        <v>49</v>
      </c>
      <c r="BSM2" s="377" t="s">
        <v>50</v>
      </c>
      <c r="BSN2" s="377" t="s">
        <v>51</v>
      </c>
      <c r="BSO2" s="377" t="s">
        <v>52</v>
      </c>
      <c r="BSP2" s="377" t="s">
        <v>53</v>
      </c>
      <c r="BSQ2" s="377" t="s">
        <v>54</v>
      </c>
      <c r="BSR2" s="377" t="s">
        <v>55</v>
      </c>
      <c r="BSS2" s="377" t="s">
        <v>56</v>
      </c>
      <c r="BST2" s="377" t="s">
        <v>57</v>
      </c>
      <c r="BSU2" s="377" t="s">
        <v>58</v>
      </c>
      <c r="BSV2" s="377" t="s">
        <v>59</v>
      </c>
      <c r="BSW2" s="377" t="s">
        <v>60</v>
      </c>
      <c r="BSX2" s="377" t="s">
        <v>61</v>
      </c>
      <c r="BSY2" s="377" t="s">
        <v>62</v>
      </c>
      <c r="BSZ2" s="377" t="s">
        <v>63</v>
      </c>
      <c r="BTA2" s="377" t="s">
        <v>64</v>
      </c>
      <c r="BTB2" s="377" t="s">
        <v>65</v>
      </c>
      <c r="BTC2" s="377" t="s">
        <v>66</v>
      </c>
      <c r="BTD2" s="377" t="s">
        <v>67</v>
      </c>
      <c r="BTE2" s="377" t="s">
        <v>68</v>
      </c>
      <c r="BTF2" s="377" t="s">
        <v>69</v>
      </c>
      <c r="BTG2" s="377" t="s">
        <v>70</v>
      </c>
      <c r="BTH2" s="377" t="s">
        <v>71</v>
      </c>
      <c r="BTI2" s="377" t="s">
        <v>72</v>
      </c>
      <c r="BTJ2" s="377" t="s">
        <v>73</v>
      </c>
      <c r="BTK2" s="377" t="s">
        <v>74</v>
      </c>
      <c r="BTL2" s="377" t="s">
        <v>75</v>
      </c>
      <c r="BTM2" s="377" t="s">
        <v>76</v>
      </c>
      <c r="BTN2" s="377" t="s">
        <v>77</v>
      </c>
      <c r="BTO2" s="377" t="s">
        <v>78</v>
      </c>
      <c r="BTP2" s="377" t="s">
        <v>79</v>
      </c>
      <c r="BTQ2" s="377" t="s">
        <v>80</v>
      </c>
      <c r="BTR2" s="377" t="s">
        <v>81</v>
      </c>
      <c r="BTS2" s="377" t="s">
        <v>82</v>
      </c>
      <c r="BTT2" s="377" t="s">
        <v>83</v>
      </c>
      <c r="BTU2" s="377" t="s">
        <v>83</v>
      </c>
      <c r="BTV2" s="375" t="s">
        <v>41</v>
      </c>
      <c r="BTW2" s="375" t="s">
        <v>42</v>
      </c>
      <c r="BTX2" s="375" t="s">
        <v>43</v>
      </c>
      <c r="BTY2" s="375" t="s">
        <v>44</v>
      </c>
      <c r="BTZ2" s="375" t="s">
        <v>45</v>
      </c>
      <c r="BUA2" s="375" t="s">
        <v>46</v>
      </c>
      <c r="BUB2" s="375" t="s">
        <v>47</v>
      </c>
      <c r="BUC2" s="375" t="s">
        <v>48</v>
      </c>
      <c r="BUD2" s="375" t="s">
        <v>49</v>
      </c>
      <c r="BUE2" s="375" t="s">
        <v>50</v>
      </c>
      <c r="BUF2" s="375" t="s">
        <v>51</v>
      </c>
      <c r="BUG2" s="375" t="s">
        <v>52</v>
      </c>
      <c r="BUH2" s="375" t="s">
        <v>53</v>
      </c>
      <c r="BUI2" s="375" t="s">
        <v>54</v>
      </c>
      <c r="BUJ2" s="375" t="s">
        <v>55</v>
      </c>
      <c r="BUK2" s="375" t="s">
        <v>56</v>
      </c>
      <c r="BUL2" s="375" t="s">
        <v>57</v>
      </c>
      <c r="BUM2" s="375" t="s">
        <v>58</v>
      </c>
      <c r="BUN2" s="375" t="s">
        <v>59</v>
      </c>
      <c r="BUO2" s="375" t="s">
        <v>60</v>
      </c>
      <c r="BUP2" s="375" t="s">
        <v>61</v>
      </c>
      <c r="BUQ2" s="375" t="s">
        <v>62</v>
      </c>
      <c r="BUR2" s="375" t="s">
        <v>63</v>
      </c>
      <c r="BUS2" s="375" t="s">
        <v>64</v>
      </c>
      <c r="BUT2" s="375" t="s">
        <v>65</v>
      </c>
      <c r="BUU2" s="375" t="s">
        <v>66</v>
      </c>
      <c r="BUV2" s="375" t="s">
        <v>67</v>
      </c>
      <c r="BUW2" s="375" t="s">
        <v>68</v>
      </c>
      <c r="BUX2" s="375" t="s">
        <v>69</v>
      </c>
      <c r="BUY2" s="375" t="s">
        <v>70</v>
      </c>
      <c r="BUZ2" s="375" t="s">
        <v>71</v>
      </c>
      <c r="BVA2" s="375" t="s">
        <v>72</v>
      </c>
      <c r="BVB2" s="375" t="s">
        <v>73</v>
      </c>
      <c r="BVC2" s="375" t="s">
        <v>74</v>
      </c>
      <c r="BVD2" s="375" t="s">
        <v>75</v>
      </c>
      <c r="BVE2" s="375" t="s">
        <v>76</v>
      </c>
      <c r="BVF2" s="375" t="s">
        <v>77</v>
      </c>
      <c r="BVG2" s="375" t="s">
        <v>78</v>
      </c>
      <c r="BVH2" s="375" t="s">
        <v>79</v>
      </c>
      <c r="BVI2" s="375" t="s">
        <v>80</v>
      </c>
      <c r="BVJ2" s="375" t="s">
        <v>81</v>
      </c>
      <c r="BVK2" s="375" t="s">
        <v>82</v>
      </c>
      <c r="BVL2" s="375" t="s">
        <v>83</v>
      </c>
      <c r="BVM2" s="375" t="s">
        <v>83</v>
      </c>
      <c r="BVN2" s="377" t="s">
        <v>1361</v>
      </c>
      <c r="BVO2" s="377" t="s">
        <v>42</v>
      </c>
      <c r="BVP2" s="377" t="s">
        <v>1362</v>
      </c>
      <c r="BVQ2" s="377" t="s">
        <v>1363</v>
      </c>
      <c r="BVR2" s="377" t="s">
        <v>45</v>
      </c>
      <c r="BVS2" s="377" t="s">
        <v>46</v>
      </c>
      <c r="BVT2" s="377" t="s">
        <v>47</v>
      </c>
      <c r="BVU2" s="377" t="s">
        <v>48</v>
      </c>
      <c r="BVV2" s="377" t="s">
        <v>49</v>
      </c>
      <c r="BVW2" s="377" t="s">
        <v>50</v>
      </c>
      <c r="BVX2" s="377" t="s">
        <v>51</v>
      </c>
      <c r="BVY2" s="377" t="s">
        <v>52</v>
      </c>
      <c r="BVZ2" s="377" t="s">
        <v>53</v>
      </c>
      <c r="BWA2" s="377" t="s">
        <v>54</v>
      </c>
      <c r="BWB2" s="377" t="s">
        <v>55</v>
      </c>
      <c r="BWC2" s="377" t="s">
        <v>56</v>
      </c>
      <c r="BWD2" s="377" t="s">
        <v>57</v>
      </c>
      <c r="BWE2" s="377" t="s">
        <v>58</v>
      </c>
      <c r="BWF2" s="377" t="s">
        <v>59</v>
      </c>
      <c r="BWG2" s="377" t="s">
        <v>60</v>
      </c>
      <c r="BWH2" s="377" t="s">
        <v>61</v>
      </c>
      <c r="BWI2" s="377" t="s">
        <v>62</v>
      </c>
      <c r="BWJ2" s="377" t="s">
        <v>63</v>
      </c>
      <c r="BWK2" s="377" t="s">
        <v>64</v>
      </c>
      <c r="BWL2" s="377" t="s">
        <v>65</v>
      </c>
      <c r="BWM2" s="377" t="s">
        <v>66</v>
      </c>
      <c r="BWN2" s="377" t="s">
        <v>67</v>
      </c>
      <c r="BWO2" s="377" t="s">
        <v>68</v>
      </c>
      <c r="BWP2" s="377" t="s">
        <v>69</v>
      </c>
      <c r="BWQ2" s="377" t="s">
        <v>70</v>
      </c>
      <c r="BWR2" s="377" t="s">
        <v>71</v>
      </c>
      <c r="BWS2" s="377" t="s">
        <v>72</v>
      </c>
      <c r="BWT2" s="377" t="s">
        <v>73</v>
      </c>
      <c r="BWU2" s="377" t="s">
        <v>74</v>
      </c>
      <c r="BWV2" s="377" t="s">
        <v>75</v>
      </c>
      <c r="BWW2" s="377" t="s">
        <v>76</v>
      </c>
      <c r="BWX2" s="377" t="s">
        <v>77</v>
      </c>
      <c r="BWY2" s="377" t="s">
        <v>78</v>
      </c>
      <c r="BWZ2" s="377" t="s">
        <v>79</v>
      </c>
      <c r="BXA2" s="377" t="s">
        <v>80</v>
      </c>
      <c r="BXB2" s="377" t="s">
        <v>81</v>
      </c>
      <c r="BXC2" s="377" t="s">
        <v>82</v>
      </c>
      <c r="BXD2" s="377" t="s">
        <v>83</v>
      </c>
      <c r="BXE2" s="377" t="s">
        <v>83</v>
      </c>
      <c r="BXF2" s="375" t="s">
        <v>41</v>
      </c>
      <c r="BXG2" s="375" t="s">
        <v>42</v>
      </c>
      <c r="BXH2" s="375" t="s">
        <v>43</v>
      </c>
      <c r="BXI2" s="375" t="s">
        <v>44</v>
      </c>
      <c r="BXJ2" s="375" t="s">
        <v>45</v>
      </c>
      <c r="BXK2" s="375" t="s">
        <v>46</v>
      </c>
      <c r="BXL2" s="375" t="s">
        <v>47</v>
      </c>
      <c r="BXM2" s="375" t="s">
        <v>48</v>
      </c>
      <c r="BXN2" s="375" t="s">
        <v>49</v>
      </c>
      <c r="BXO2" s="375" t="s">
        <v>50</v>
      </c>
      <c r="BXP2" s="375" t="s">
        <v>51</v>
      </c>
      <c r="BXQ2" s="375" t="s">
        <v>52</v>
      </c>
      <c r="BXR2" s="375" t="s">
        <v>53</v>
      </c>
      <c r="BXS2" s="375" t="s">
        <v>54</v>
      </c>
      <c r="BXT2" s="375" t="s">
        <v>55</v>
      </c>
      <c r="BXU2" s="375" t="s">
        <v>56</v>
      </c>
      <c r="BXV2" s="375" t="s">
        <v>57</v>
      </c>
      <c r="BXW2" s="375" t="s">
        <v>58</v>
      </c>
      <c r="BXX2" s="375" t="s">
        <v>59</v>
      </c>
      <c r="BXY2" s="375" t="s">
        <v>60</v>
      </c>
      <c r="BXZ2" s="375" t="s">
        <v>61</v>
      </c>
      <c r="BYA2" s="375" t="s">
        <v>62</v>
      </c>
      <c r="BYB2" s="375" t="s">
        <v>63</v>
      </c>
      <c r="BYC2" s="375" t="s">
        <v>64</v>
      </c>
      <c r="BYD2" s="375" t="s">
        <v>65</v>
      </c>
      <c r="BYE2" s="375" t="s">
        <v>66</v>
      </c>
      <c r="BYF2" s="375" t="s">
        <v>67</v>
      </c>
      <c r="BYG2" s="375" t="s">
        <v>68</v>
      </c>
      <c r="BYH2" s="375" t="s">
        <v>69</v>
      </c>
      <c r="BYI2" s="375" t="s">
        <v>70</v>
      </c>
      <c r="BYJ2" s="375" t="s">
        <v>71</v>
      </c>
      <c r="BYK2" s="375" t="s">
        <v>72</v>
      </c>
      <c r="BYL2" s="375" t="s">
        <v>73</v>
      </c>
      <c r="BYM2" s="375" t="s">
        <v>74</v>
      </c>
      <c r="BYN2" s="375" t="s">
        <v>75</v>
      </c>
      <c r="BYO2" s="375" t="s">
        <v>76</v>
      </c>
      <c r="BYP2" s="375" t="s">
        <v>77</v>
      </c>
      <c r="BYQ2" s="375" t="s">
        <v>78</v>
      </c>
      <c r="BYR2" s="375" t="s">
        <v>79</v>
      </c>
      <c r="BYS2" s="375" t="s">
        <v>80</v>
      </c>
      <c r="BYT2" s="375" t="s">
        <v>81</v>
      </c>
      <c r="BYU2" s="375" t="s">
        <v>82</v>
      </c>
      <c r="BYV2" s="375" t="s">
        <v>83</v>
      </c>
      <c r="BYW2" s="375" t="s">
        <v>83</v>
      </c>
      <c r="BYX2" s="377" t="s">
        <v>1361</v>
      </c>
      <c r="BYY2" s="377" t="s">
        <v>42</v>
      </c>
      <c r="BYZ2" s="377" t="s">
        <v>1362</v>
      </c>
      <c r="BZA2" s="377" t="s">
        <v>1363</v>
      </c>
      <c r="BZB2" s="377" t="s">
        <v>45</v>
      </c>
      <c r="BZC2" s="377" t="s">
        <v>46</v>
      </c>
      <c r="BZD2" s="377" t="s">
        <v>47</v>
      </c>
      <c r="BZE2" s="377" t="s">
        <v>48</v>
      </c>
      <c r="BZF2" s="377" t="s">
        <v>49</v>
      </c>
      <c r="BZG2" s="377" t="s">
        <v>50</v>
      </c>
      <c r="BZH2" s="377" t="s">
        <v>51</v>
      </c>
      <c r="BZI2" s="377" t="s">
        <v>52</v>
      </c>
      <c r="BZJ2" s="377" t="s">
        <v>53</v>
      </c>
      <c r="BZK2" s="377" t="s">
        <v>54</v>
      </c>
      <c r="BZL2" s="377" t="s">
        <v>55</v>
      </c>
      <c r="BZM2" s="377" t="s">
        <v>56</v>
      </c>
      <c r="BZN2" s="377" t="s">
        <v>57</v>
      </c>
      <c r="BZO2" s="377" t="s">
        <v>58</v>
      </c>
      <c r="BZP2" s="377" t="s">
        <v>59</v>
      </c>
      <c r="BZQ2" s="377" t="s">
        <v>60</v>
      </c>
      <c r="BZR2" s="377" t="s">
        <v>61</v>
      </c>
      <c r="BZS2" s="377" t="s">
        <v>62</v>
      </c>
      <c r="BZT2" s="377" t="s">
        <v>63</v>
      </c>
      <c r="BZU2" s="377" t="s">
        <v>64</v>
      </c>
      <c r="BZV2" s="377" t="s">
        <v>65</v>
      </c>
      <c r="BZW2" s="377" t="s">
        <v>66</v>
      </c>
      <c r="BZX2" s="377" t="s">
        <v>67</v>
      </c>
      <c r="BZY2" s="377" t="s">
        <v>68</v>
      </c>
      <c r="BZZ2" s="377" t="s">
        <v>69</v>
      </c>
      <c r="CAA2" s="377" t="s">
        <v>70</v>
      </c>
      <c r="CAB2" s="377" t="s">
        <v>71</v>
      </c>
      <c r="CAC2" s="377" t="s">
        <v>72</v>
      </c>
      <c r="CAD2" s="377" t="s">
        <v>73</v>
      </c>
      <c r="CAE2" s="377" t="s">
        <v>74</v>
      </c>
      <c r="CAF2" s="377" t="s">
        <v>75</v>
      </c>
      <c r="CAG2" s="377" t="s">
        <v>76</v>
      </c>
      <c r="CAH2" s="377" t="s">
        <v>77</v>
      </c>
      <c r="CAI2" s="377" t="s">
        <v>78</v>
      </c>
      <c r="CAJ2" s="377" t="s">
        <v>79</v>
      </c>
      <c r="CAK2" s="377" t="s">
        <v>80</v>
      </c>
      <c r="CAL2" s="377" t="s">
        <v>81</v>
      </c>
      <c r="CAM2" s="377" t="s">
        <v>82</v>
      </c>
      <c r="CAN2" s="377" t="s">
        <v>83</v>
      </c>
      <c r="CAO2" s="377" t="s">
        <v>83</v>
      </c>
      <c r="CAP2" s="375" t="s">
        <v>41</v>
      </c>
      <c r="CAQ2" s="375" t="s">
        <v>42</v>
      </c>
      <c r="CAR2" s="375" t="s">
        <v>43</v>
      </c>
      <c r="CAS2" s="375" t="s">
        <v>44</v>
      </c>
      <c r="CAT2" s="375" t="s">
        <v>45</v>
      </c>
      <c r="CAU2" s="375" t="s">
        <v>46</v>
      </c>
      <c r="CAV2" s="375" t="s">
        <v>47</v>
      </c>
      <c r="CAW2" s="375" t="s">
        <v>48</v>
      </c>
      <c r="CAX2" s="375" t="s">
        <v>49</v>
      </c>
      <c r="CAY2" s="375" t="s">
        <v>50</v>
      </c>
      <c r="CAZ2" s="375" t="s">
        <v>51</v>
      </c>
      <c r="CBA2" s="375" t="s">
        <v>52</v>
      </c>
      <c r="CBB2" s="375" t="s">
        <v>53</v>
      </c>
      <c r="CBC2" s="375" t="s">
        <v>54</v>
      </c>
      <c r="CBD2" s="375" t="s">
        <v>55</v>
      </c>
      <c r="CBE2" s="375" t="s">
        <v>56</v>
      </c>
      <c r="CBF2" s="375" t="s">
        <v>57</v>
      </c>
      <c r="CBG2" s="375" t="s">
        <v>58</v>
      </c>
      <c r="CBH2" s="375" t="s">
        <v>59</v>
      </c>
      <c r="CBI2" s="375" t="s">
        <v>60</v>
      </c>
      <c r="CBJ2" s="375" t="s">
        <v>61</v>
      </c>
      <c r="CBK2" s="375" t="s">
        <v>62</v>
      </c>
      <c r="CBL2" s="375" t="s">
        <v>63</v>
      </c>
      <c r="CBM2" s="375" t="s">
        <v>64</v>
      </c>
      <c r="CBN2" s="375" t="s">
        <v>65</v>
      </c>
      <c r="CBO2" s="375" t="s">
        <v>66</v>
      </c>
      <c r="CBP2" s="375" t="s">
        <v>67</v>
      </c>
      <c r="CBQ2" s="375" t="s">
        <v>68</v>
      </c>
      <c r="CBR2" s="375" t="s">
        <v>69</v>
      </c>
      <c r="CBS2" s="375" t="s">
        <v>70</v>
      </c>
      <c r="CBT2" s="375" t="s">
        <v>71</v>
      </c>
      <c r="CBU2" s="375" t="s">
        <v>72</v>
      </c>
      <c r="CBV2" s="375" t="s">
        <v>73</v>
      </c>
      <c r="CBW2" s="375" t="s">
        <v>74</v>
      </c>
      <c r="CBX2" s="375" t="s">
        <v>75</v>
      </c>
      <c r="CBY2" s="375" t="s">
        <v>76</v>
      </c>
      <c r="CBZ2" s="375" t="s">
        <v>77</v>
      </c>
      <c r="CCA2" s="375" t="s">
        <v>78</v>
      </c>
      <c r="CCB2" s="375" t="s">
        <v>79</v>
      </c>
      <c r="CCC2" s="375" t="s">
        <v>80</v>
      </c>
      <c r="CCD2" s="375" t="s">
        <v>81</v>
      </c>
      <c r="CCE2" s="375" t="s">
        <v>82</v>
      </c>
      <c r="CCF2" s="375" t="s">
        <v>83</v>
      </c>
      <c r="CCG2" s="375" t="s">
        <v>83</v>
      </c>
      <c r="CCH2" s="377" t="s">
        <v>1361</v>
      </c>
      <c r="CCI2" s="377" t="s">
        <v>42</v>
      </c>
      <c r="CCJ2" s="377" t="s">
        <v>1362</v>
      </c>
      <c r="CCK2" s="377" t="s">
        <v>1363</v>
      </c>
      <c r="CCL2" s="377" t="s">
        <v>45</v>
      </c>
      <c r="CCM2" s="377" t="s">
        <v>46</v>
      </c>
      <c r="CCN2" s="377" t="s">
        <v>47</v>
      </c>
      <c r="CCO2" s="377" t="s">
        <v>48</v>
      </c>
      <c r="CCP2" s="377" t="s">
        <v>49</v>
      </c>
      <c r="CCQ2" s="377" t="s">
        <v>50</v>
      </c>
      <c r="CCR2" s="377" t="s">
        <v>51</v>
      </c>
      <c r="CCS2" s="377" t="s">
        <v>52</v>
      </c>
      <c r="CCT2" s="377" t="s">
        <v>53</v>
      </c>
      <c r="CCU2" s="377" t="s">
        <v>54</v>
      </c>
      <c r="CCV2" s="377" t="s">
        <v>55</v>
      </c>
      <c r="CCW2" s="377" t="s">
        <v>56</v>
      </c>
      <c r="CCX2" s="377" t="s">
        <v>57</v>
      </c>
      <c r="CCY2" s="377" t="s">
        <v>58</v>
      </c>
      <c r="CCZ2" s="377" t="s">
        <v>59</v>
      </c>
      <c r="CDA2" s="377" t="s">
        <v>60</v>
      </c>
      <c r="CDB2" s="377" t="s">
        <v>61</v>
      </c>
      <c r="CDC2" s="377" t="s">
        <v>62</v>
      </c>
      <c r="CDD2" s="377" t="s">
        <v>63</v>
      </c>
      <c r="CDE2" s="377" t="s">
        <v>64</v>
      </c>
      <c r="CDF2" s="377" t="s">
        <v>65</v>
      </c>
      <c r="CDG2" s="377" t="s">
        <v>66</v>
      </c>
      <c r="CDH2" s="377" t="s">
        <v>67</v>
      </c>
      <c r="CDI2" s="377" t="s">
        <v>68</v>
      </c>
      <c r="CDJ2" s="377" t="s">
        <v>69</v>
      </c>
      <c r="CDK2" s="377" t="s">
        <v>70</v>
      </c>
      <c r="CDL2" s="377" t="s">
        <v>71</v>
      </c>
      <c r="CDM2" s="377" t="s">
        <v>72</v>
      </c>
      <c r="CDN2" s="377" t="s">
        <v>73</v>
      </c>
      <c r="CDO2" s="377" t="s">
        <v>74</v>
      </c>
      <c r="CDP2" s="377" t="s">
        <v>75</v>
      </c>
      <c r="CDQ2" s="377" t="s">
        <v>76</v>
      </c>
      <c r="CDR2" s="377" t="s">
        <v>77</v>
      </c>
      <c r="CDS2" s="377" t="s">
        <v>78</v>
      </c>
      <c r="CDT2" s="377" t="s">
        <v>79</v>
      </c>
      <c r="CDU2" s="377" t="s">
        <v>80</v>
      </c>
      <c r="CDV2" s="377" t="s">
        <v>81</v>
      </c>
      <c r="CDW2" s="377" t="s">
        <v>82</v>
      </c>
      <c r="CDX2" s="377" t="s">
        <v>83</v>
      </c>
      <c r="CDY2" s="377" t="s">
        <v>83</v>
      </c>
      <c r="CDZ2" s="375" t="s">
        <v>41</v>
      </c>
      <c r="CEA2" s="375" t="s">
        <v>42</v>
      </c>
      <c r="CEB2" s="375" t="s">
        <v>43</v>
      </c>
      <c r="CEC2" s="375" t="s">
        <v>44</v>
      </c>
      <c r="CED2" s="375" t="s">
        <v>45</v>
      </c>
      <c r="CEE2" s="375" t="s">
        <v>46</v>
      </c>
      <c r="CEF2" s="375" t="s">
        <v>47</v>
      </c>
      <c r="CEG2" s="375" t="s">
        <v>48</v>
      </c>
      <c r="CEH2" s="375" t="s">
        <v>49</v>
      </c>
      <c r="CEI2" s="375" t="s">
        <v>50</v>
      </c>
      <c r="CEJ2" s="375" t="s">
        <v>51</v>
      </c>
      <c r="CEK2" s="375" t="s">
        <v>52</v>
      </c>
      <c r="CEL2" s="375" t="s">
        <v>53</v>
      </c>
      <c r="CEM2" s="375" t="s">
        <v>54</v>
      </c>
      <c r="CEN2" s="375" t="s">
        <v>55</v>
      </c>
      <c r="CEO2" s="375" t="s">
        <v>56</v>
      </c>
      <c r="CEP2" s="375" t="s">
        <v>57</v>
      </c>
      <c r="CEQ2" s="375" t="s">
        <v>58</v>
      </c>
      <c r="CER2" s="375" t="s">
        <v>59</v>
      </c>
      <c r="CES2" s="375" t="s">
        <v>60</v>
      </c>
      <c r="CET2" s="375" t="s">
        <v>61</v>
      </c>
      <c r="CEU2" s="375" t="s">
        <v>62</v>
      </c>
      <c r="CEV2" s="375" t="s">
        <v>63</v>
      </c>
      <c r="CEW2" s="375" t="s">
        <v>64</v>
      </c>
      <c r="CEX2" s="375" t="s">
        <v>65</v>
      </c>
      <c r="CEY2" s="375" t="s">
        <v>66</v>
      </c>
      <c r="CEZ2" s="375" t="s">
        <v>67</v>
      </c>
      <c r="CFA2" s="375" t="s">
        <v>68</v>
      </c>
      <c r="CFB2" s="375" t="s">
        <v>69</v>
      </c>
      <c r="CFC2" s="375" t="s">
        <v>70</v>
      </c>
      <c r="CFD2" s="375" t="s">
        <v>71</v>
      </c>
      <c r="CFE2" s="375" t="s">
        <v>72</v>
      </c>
      <c r="CFF2" s="375" t="s">
        <v>73</v>
      </c>
      <c r="CFG2" s="375" t="s">
        <v>74</v>
      </c>
      <c r="CFH2" s="375" t="s">
        <v>75</v>
      </c>
      <c r="CFI2" s="375" t="s">
        <v>76</v>
      </c>
      <c r="CFJ2" s="375" t="s">
        <v>77</v>
      </c>
      <c r="CFK2" s="375" t="s">
        <v>78</v>
      </c>
      <c r="CFL2" s="375" t="s">
        <v>79</v>
      </c>
      <c r="CFM2" s="375" t="s">
        <v>80</v>
      </c>
      <c r="CFN2" s="375" t="s">
        <v>81</v>
      </c>
      <c r="CFO2" s="375" t="s">
        <v>82</v>
      </c>
      <c r="CFP2" s="375" t="s">
        <v>83</v>
      </c>
      <c r="CFQ2" s="375" t="s">
        <v>83</v>
      </c>
      <c r="CFR2" s="377" t="s">
        <v>1361</v>
      </c>
      <c r="CFS2" s="377" t="s">
        <v>42</v>
      </c>
      <c r="CFT2" s="377" t="s">
        <v>1362</v>
      </c>
      <c r="CFU2" s="377" t="s">
        <v>1363</v>
      </c>
      <c r="CFV2" s="377" t="s">
        <v>45</v>
      </c>
      <c r="CFW2" s="377" t="s">
        <v>46</v>
      </c>
      <c r="CFX2" s="377" t="s">
        <v>47</v>
      </c>
      <c r="CFY2" s="377" t="s">
        <v>48</v>
      </c>
      <c r="CFZ2" s="377" t="s">
        <v>49</v>
      </c>
      <c r="CGA2" s="377" t="s">
        <v>50</v>
      </c>
      <c r="CGB2" s="377" t="s">
        <v>51</v>
      </c>
      <c r="CGC2" s="377" t="s">
        <v>52</v>
      </c>
      <c r="CGD2" s="377" t="s">
        <v>53</v>
      </c>
      <c r="CGE2" s="377" t="s">
        <v>54</v>
      </c>
      <c r="CGF2" s="377" t="s">
        <v>55</v>
      </c>
      <c r="CGG2" s="377" t="s">
        <v>56</v>
      </c>
      <c r="CGH2" s="377" t="s">
        <v>57</v>
      </c>
      <c r="CGI2" s="377" t="s">
        <v>58</v>
      </c>
      <c r="CGJ2" s="377" t="s">
        <v>59</v>
      </c>
      <c r="CGK2" s="377" t="s">
        <v>60</v>
      </c>
      <c r="CGL2" s="377" t="s">
        <v>61</v>
      </c>
      <c r="CGM2" s="377" t="s">
        <v>62</v>
      </c>
      <c r="CGN2" s="377" t="s">
        <v>63</v>
      </c>
      <c r="CGO2" s="377" t="s">
        <v>64</v>
      </c>
      <c r="CGP2" s="377" t="s">
        <v>65</v>
      </c>
      <c r="CGQ2" s="377" t="s">
        <v>66</v>
      </c>
      <c r="CGR2" s="377" t="s">
        <v>67</v>
      </c>
      <c r="CGS2" s="377" t="s">
        <v>68</v>
      </c>
      <c r="CGT2" s="377" t="s">
        <v>69</v>
      </c>
      <c r="CGU2" s="377" t="s">
        <v>70</v>
      </c>
      <c r="CGV2" s="377" t="s">
        <v>71</v>
      </c>
      <c r="CGW2" s="377" t="s">
        <v>72</v>
      </c>
      <c r="CGX2" s="377" t="s">
        <v>73</v>
      </c>
      <c r="CGY2" s="377" t="s">
        <v>74</v>
      </c>
      <c r="CGZ2" s="377" t="s">
        <v>75</v>
      </c>
      <c r="CHA2" s="377" t="s">
        <v>76</v>
      </c>
      <c r="CHB2" s="377" t="s">
        <v>77</v>
      </c>
      <c r="CHC2" s="377" t="s">
        <v>78</v>
      </c>
      <c r="CHD2" s="377" t="s">
        <v>79</v>
      </c>
      <c r="CHE2" s="377" t="s">
        <v>80</v>
      </c>
      <c r="CHF2" s="377" t="s">
        <v>81</v>
      </c>
      <c r="CHG2" s="377" t="s">
        <v>82</v>
      </c>
      <c r="CHH2" s="377" t="s">
        <v>83</v>
      </c>
      <c r="CHI2" s="377" t="s">
        <v>83</v>
      </c>
      <c r="CHJ2" s="375" t="s">
        <v>41</v>
      </c>
      <c r="CHK2" s="375" t="s">
        <v>42</v>
      </c>
      <c r="CHL2" s="375" t="s">
        <v>43</v>
      </c>
      <c r="CHM2" s="375" t="s">
        <v>44</v>
      </c>
      <c r="CHN2" s="375" t="s">
        <v>45</v>
      </c>
      <c r="CHO2" s="375" t="s">
        <v>46</v>
      </c>
      <c r="CHP2" s="375" t="s">
        <v>47</v>
      </c>
      <c r="CHQ2" s="375" t="s">
        <v>48</v>
      </c>
      <c r="CHR2" s="375" t="s">
        <v>49</v>
      </c>
      <c r="CHS2" s="375" t="s">
        <v>50</v>
      </c>
      <c r="CHT2" s="375" t="s">
        <v>51</v>
      </c>
      <c r="CHU2" s="375" t="s">
        <v>52</v>
      </c>
      <c r="CHV2" s="375" t="s">
        <v>53</v>
      </c>
      <c r="CHW2" s="375" t="s">
        <v>54</v>
      </c>
      <c r="CHX2" s="375" t="s">
        <v>55</v>
      </c>
      <c r="CHY2" s="375" t="s">
        <v>56</v>
      </c>
      <c r="CHZ2" s="375" t="s">
        <v>57</v>
      </c>
      <c r="CIA2" s="375" t="s">
        <v>58</v>
      </c>
      <c r="CIB2" s="375" t="s">
        <v>59</v>
      </c>
      <c r="CIC2" s="375" t="s">
        <v>60</v>
      </c>
      <c r="CID2" s="375" t="s">
        <v>61</v>
      </c>
      <c r="CIE2" s="375" t="s">
        <v>62</v>
      </c>
      <c r="CIF2" s="375" t="s">
        <v>63</v>
      </c>
      <c r="CIG2" s="375" t="s">
        <v>64</v>
      </c>
      <c r="CIH2" s="375" t="s">
        <v>65</v>
      </c>
      <c r="CII2" s="375" t="s">
        <v>66</v>
      </c>
      <c r="CIJ2" s="375" t="s">
        <v>67</v>
      </c>
      <c r="CIK2" s="375" t="s">
        <v>68</v>
      </c>
      <c r="CIL2" s="375" t="s">
        <v>69</v>
      </c>
      <c r="CIM2" s="375" t="s">
        <v>70</v>
      </c>
      <c r="CIN2" s="375" t="s">
        <v>71</v>
      </c>
      <c r="CIO2" s="375" t="s">
        <v>72</v>
      </c>
      <c r="CIP2" s="375" t="s">
        <v>73</v>
      </c>
      <c r="CIQ2" s="375" t="s">
        <v>74</v>
      </c>
      <c r="CIR2" s="375" t="s">
        <v>75</v>
      </c>
      <c r="CIS2" s="375" t="s">
        <v>76</v>
      </c>
      <c r="CIT2" s="375" t="s">
        <v>77</v>
      </c>
      <c r="CIU2" s="375" t="s">
        <v>78</v>
      </c>
      <c r="CIV2" s="375" t="s">
        <v>79</v>
      </c>
      <c r="CIW2" s="375" t="s">
        <v>80</v>
      </c>
      <c r="CIX2" s="375" t="s">
        <v>81</v>
      </c>
      <c r="CIY2" s="375" t="s">
        <v>82</v>
      </c>
      <c r="CIZ2" s="375" t="s">
        <v>83</v>
      </c>
      <c r="CJA2" s="375" t="s">
        <v>83</v>
      </c>
      <c r="CJB2" s="377" t="s">
        <v>1361</v>
      </c>
      <c r="CJC2" s="377" t="s">
        <v>42</v>
      </c>
      <c r="CJD2" s="377" t="s">
        <v>1362</v>
      </c>
      <c r="CJE2" s="377" t="s">
        <v>1363</v>
      </c>
      <c r="CJF2" s="377" t="s">
        <v>45</v>
      </c>
      <c r="CJG2" s="377" t="s">
        <v>46</v>
      </c>
      <c r="CJH2" s="377" t="s">
        <v>47</v>
      </c>
      <c r="CJI2" s="377" t="s">
        <v>48</v>
      </c>
      <c r="CJJ2" s="377" t="s">
        <v>49</v>
      </c>
      <c r="CJK2" s="377" t="s">
        <v>50</v>
      </c>
      <c r="CJL2" s="377" t="s">
        <v>51</v>
      </c>
      <c r="CJM2" s="377" t="s">
        <v>52</v>
      </c>
      <c r="CJN2" s="377" t="s">
        <v>53</v>
      </c>
      <c r="CJO2" s="377" t="s">
        <v>54</v>
      </c>
      <c r="CJP2" s="377" t="s">
        <v>55</v>
      </c>
      <c r="CJQ2" s="377" t="s">
        <v>56</v>
      </c>
      <c r="CJR2" s="377" t="s">
        <v>57</v>
      </c>
      <c r="CJS2" s="377" t="s">
        <v>58</v>
      </c>
      <c r="CJT2" s="377" t="s">
        <v>59</v>
      </c>
      <c r="CJU2" s="377" t="s">
        <v>60</v>
      </c>
      <c r="CJV2" s="377" t="s">
        <v>61</v>
      </c>
      <c r="CJW2" s="377" t="s">
        <v>62</v>
      </c>
      <c r="CJX2" s="377" t="s">
        <v>63</v>
      </c>
      <c r="CJY2" s="377" t="s">
        <v>64</v>
      </c>
      <c r="CJZ2" s="377" t="s">
        <v>65</v>
      </c>
      <c r="CKA2" s="377" t="s">
        <v>66</v>
      </c>
      <c r="CKB2" s="377" t="s">
        <v>67</v>
      </c>
      <c r="CKC2" s="377" t="s">
        <v>68</v>
      </c>
      <c r="CKD2" s="377" t="s">
        <v>69</v>
      </c>
      <c r="CKE2" s="377" t="s">
        <v>70</v>
      </c>
      <c r="CKF2" s="377" t="s">
        <v>71</v>
      </c>
      <c r="CKG2" s="377" t="s">
        <v>72</v>
      </c>
      <c r="CKH2" s="377" t="s">
        <v>73</v>
      </c>
      <c r="CKI2" s="377" t="s">
        <v>74</v>
      </c>
      <c r="CKJ2" s="377" t="s">
        <v>75</v>
      </c>
      <c r="CKK2" s="377" t="s">
        <v>76</v>
      </c>
      <c r="CKL2" s="377" t="s">
        <v>77</v>
      </c>
      <c r="CKM2" s="377" t="s">
        <v>78</v>
      </c>
      <c r="CKN2" s="377" t="s">
        <v>79</v>
      </c>
      <c r="CKO2" s="377" t="s">
        <v>80</v>
      </c>
      <c r="CKP2" s="377" t="s">
        <v>81</v>
      </c>
      <c r="CKQ2" s="377" t="s">
        <v>82</v>
      </c>
      <c r="CKR2" s="377" t="s">
        <v>83</v>
      </c>
      <c r="CKS2" s="377" t="s">
        <v>83</v>
      </c>
      <c r="CKT2" s="375" t="s">
        <v>41</v>
      </c>
      <c r="CKU2" s="375" t="s">
        <v>42</v>
      </c>
      <c r="CKV2" s="375" t="s">
        <v>43</v>
      </c>
      <c r="CKW2" s="375" t="s">
        <v>44</v>
      </c>
      <c r="CKX2" s="375" t="s">
        <v>45</v>
      </c>
      <c r="CKY2" s="375" t="s">
        <v>46</v>
      </c>
      <c r="CKZ2" s="375" t="s">
        <v>47</v>
      </c>
      <c r="CLA2" s="375" t="s">
        <v>48</v>
      </c>
      <c r="CLB2" s="375" t="s">
        <v>49</v>
      </c>
      <c r="CLC2" s="375" t="s">
        <v>50</v>
      </c>
      <c r="CLD2" s="375" t="s">
        <v>51</v>
      </c>
      <c r="CLE2" s="375" t="s">
        <v>52</v>
      </c>
      <c r="CLF2" s="375" t="s">
        <v>53</v>
      </c>
      <c r="CLG2" s="375" t="s">
        <v>54</v>
      </c>
      <c r="CLH2" s="375" t="s">
        <v>55</v>
      </c>
      <c r="CLI2" s="375" t="s">
        <v>56</v>
      </c>
      <c r="CLJ2" s="375" t="s">
        <v>57</v>
      </c>
      <c r="CLK2" s="375" t="s">
        <v>58</v>
      </c>
      <c r="CLL2" s="375" t="s">
        <v>59</v>
      </c>
      <c r="CLM2" s="375" t="s">
        <v>60</v>
      </c>
      <c r="CLN2" s="375" t="s">
        <v>61</v>
      </c>
      <c r="CLO2" s="375" t="s">
        <v>62</v>
      </c>
      <c r="CLP2" s="375" t="s">
        <v>63</v>
      </c>
      <c r="CLQ2" s="375" t="s">
        <v>64</v>
      </c>
      <c r="CLR2" s="375" t="s">
        <v>65</v>
      </c>
      <c r="CLS2" s="375" t="s">
        <v>66</v>
      </c>
      <c r="CLT2" s="375" t="s">
        <v>67</v>
      </c>
      <c r="CLU2" s="375" t="s">
        <v>68</v>
      </c>
      <c r="CLV2" s="375" t="s">
        <v>69</v>
      </c>
      <c r="CLW2" s="375" t="s">
        <v>70</v>
      </c>
      <c r="CLX2" s="375" t="s">
        <v>71</v>
      </c>
      <c r="CLY2" s="375" t="s">
        <v>72</v>
      </c>
      <c r="CLZ2" s="375" t="s">
        <v>73</v>
      </c>
      <c r="CMA2" s="375" t="s">
        <v>74</v>
      </c>
      <c r="CMB2" s="375" t="s">
        <v>75</v>
      </c>
      <c r="CMC2" s="375" t="s">
        <v>76</v>
      </c>
      <c r="CMD2" s="375" t="s">
        <v>77</v>
      </c>
      <c r="CME2" s="375" t="s">
        <v>78</v>
      </c>
      <c r="CMF2" s="375" t="s">
        <v>79</v>
      </c>
      <c r="CMG2" s="375" t="s">
        <v>80</v>
      </c>
      <c r="CMH2" s="375" t="s">
        <v>81</v>
      </c>
      <c r="CMI2" s="375" t="s">
        <v>82</v>
      </c>
      <c r="CMJ2" s="375" t="s">
        <v>83</v>
      </c>
      <c r="CMK2" s="375" t="s">
        <v>83</v>
      </c>
      <c r="CML2" s="377" t="s">
        <v>1361</v>
      </c>
      <c r="CMM2" s="377" t="s">
        <v>42</v>
      </c>
      <c r="CMN2" s="377" t="s">
        <v>1362</v>
      </c>
      <c r="CMO2" s="377" t="s">
        <v>1363</v>
      </c>
      <c r="CMP2" s="377" t="s">
        <v>45</v>
      </c>
      <c r="CMQ2" s="377" t="s">
        <v>46</v>
      </c>
      <c r="CMR2" s="377" t="s">
        <v>47</v>
      </c>
      <c r="CMS2" s="377" t="s">
        <v>48</v>
      </c>
      <c r="CMT2" s="377" t="s">
        <v>49</v>
      </c>
      <c r="CMU2" s="377" t="s">
        <v>50</v>
      </c>
      <c r="CMV2" s="377" t="s">
        <v>51</v>
      </c>
      <c r="CMW2" s="377" t="s">
        <v>52</v>
      </c>
      <c r="CMX2" s="377" t="s">
        <v>53</v>
      </c>
      <c r="CMY2" s="377" t="s">
        <v>54</v>
      </c>
      <c r="CMZ2" s="377" t="s">
        <v>55</v>
      </c>
      <c r="CNA2" s="377" t="s">
        <v>56</v>
      </c>
      <c r="CNB2" s="377" t="s">
        <v>57</v>
      </c>
      <c r="CNC2" s="377" t="s">
        <v>58</v>
      </c>
      <c r="CND2" s="377" t="s">
        <v>59</v>
      </c>
      <c r="CNE2" s="377" t="s">
        <v>60</v>
      </c>
      <c r="CNF2" s="377" t="s">
        <v>61</v>
      </c>
      <c r="CNG2" s="377" t="s">
        <v>62</v>
      </c>
      <c r="CNH2" s="377" t="s">
        <v>63</v>
      </c>
      <c r="CNI2" s="377" t="s">
        <v>64</v>
      </c>
      <c r="CNJ2" s="377" t="s">
        <v>65</v>
      </c>
      <c r="CNK2" s="377" t="s">
        <v>66</v>
      </c>
      <c r="CNL2" s="377" t="s">
        <v>67</v>
      </c>
      <c r="CNM2" s="377" t="s">
        <v>68</v>
      </c>
      <c r="CNN2" s="377" t="s">
        <v>69</v>
      </c>
      <c r="CNO2" s="377" t="s">
        <v>70</v>
      </c>
      <c r="CNP2" s="377" t="s">
        <v>71</v>
      </c>
      <c r="CNQ2" s="377" t="s">
        <v>72</v>
      </c>
      <c r="CNR2" s="377" t="s">
        <v>73</v>
      </c>
      <c r="CNS2" s="377" t="s">
        <v>74</v>
      </c>
      <c r="CNT2" s="377" t="s">
        <v>75</v>
      </c>
      <c r="CNU2" s="377" t="s">
        <v>76</v>
      </c>
      <c r="CNV2" s="377" t="s">
        <v>77</v>
      </c>
      <c r="CNW2" s="377" t="s">
        <v>78</v>
      </c>
      <c r="CNX2" s="377" t="s">
        <v>79</v>
      </c>
      <c r="CNY2" s="377" t="s">
        <v>80</v>
      </c>
      <c r="CNZ2" s="377" t="s">
        <v>81</v>
      </c>
      <c r="COA2" s="377" t="s">
        <v>82</v>
      </c>
      <c r="COB2" s="377" t="s">
        <v>83</v>
      </c>
      <c r="COC2" s="377" t="s">
        <v>83</v>
      </c>
      <c r="COD2" s="375" t="s">
        <v>41</v>
      </c>
      <c r="COE2" s="375" t="s">
        <v>42</v>
      </c>
      <c r="COF2" s="375" t="s">
        <v>43</v>
      </c>
      <c r="COG2" s="375" t="s">
        <v>44</v>
      </c>
      <c r="COH2" s="375" t="s">
        <v>45</v>
      </c>
      <c r="COI2" s="375" t="s">
        <v>46</v>
      </c>
      <c r="COJ2" s="375" t="s">
        <v>47</v>
      </c>
      <c r="COK2" s="375" t="s">
        <v>48</v>
      </c>
      <c r="COL2" s="375" t="s">
        <v>49</v>
      </c>
      <c r="COM2" s="375" t="s">
        <v>50</v>
      </c>
      <c r="CON2" s="375" t="s">
        <v>51</v>
      </c>
      <c r="COO2" s="375" t="s">
        <v>52</v>
      </c>
      <c r="COP2" s="375" t="s">
        <v>53</v>
      </c>
      <c r="COQ2" s="375" t="s">
        <v>54</v>
      </c>
      <c r="COR2" s="375" t="s">
        <v>55</v>
      </c>
      <c r="COS2" s="375" t="s">
        <v>56</v>
      </c>
      <c r="COT2" s="375" t="s">
        <v>57</v>
      </c>
      <c r="COU2" s="375" t="s">
        <v>58</v>
      </c>
      <c r="COV2" s="375" t="s">
        <v>59</v>
      </c>
      <c r="COW2" s="375" t="s">
        <v>60</v>
      </c>
      <c r="COX2" s="375" t="s">
        <v>61</v>
      </c>
      <c r="COY2" s="375" t="s">
        <v>62</v>
      </c>
      <c r="COZ2" s="375" t="s">
        <v>63</v>
      </c>
      <c r="CPA2" s="375" t="s">
        <v>64</v>
      </c>
      <c r="CPB2" s="375" t="s">
        <v>65</v>
      </c>
      <c r="CPC2" s="375" t="s">
        <v>66</v>
      </c>
      <c r="CPD2" s="375" t="s">
        <v>67</v>
      </c>
      <c r="CPE2" s="375" t="s">
        <v>68</v>
      </c>
      <c r="CPF2" s="375" t="s">
        <v>69</v>
      </c>
      <c r="CPG2" s="375" t="s">
        <v>70</v>
      </c>
      <c r="CPH2" s="375" t="s">
        <v>71</v>
      </c>
      <c r="CPI2" s="375" t="s">
        <v>72</v>
      </c>
      <c r="CPJ2" s="375" t="s">
        <v>73</v>
      </c>
      <c r="CPK2" s="375" t="s">
        <v>74</v>
      </c>
      <c r="CPL2" s="375" t="s">
        <v>75</v>
      </c>
      <c r="CPM2" s="375" t="s">
        <v>76</v>
      </c>
      <c r="CPN2" s="375" t="s">
        <v>77</v>
      </c>
      <c r="CPO2" s="375" t="s">
        <v>78</v>
      </c>
      <c r="CPP2" s="375" t="s">
        <v>79</v>
      </c>
      <c r="CPQ2" s="375" t="s">
        <v>80</v>
      </c>
      <c r="CPR2" s="375" t="s">
        <v>81</v>
      </c>
      <c r="CPS2" s="375" t="s">
        <v>82</v>
      </c>
      <c r="CPT2" s="375" t="s">
        <v>83</v>
      </c>
      <c r="CPU2" s="375" t="s">
        <v>83</v>
      </c>
      <c r="CPV2" s="377" t="s">
        <v>1361</v>
      </c>
      <c r="CPW2" s="377" t="s">
        <v>42</v>
      </c>
      <c r="CPX2" s="377" t="s">
        <v>1362</v>
      </c>
      <c r="CPY2" s="377" t="s">
        <v>1363</v>
      </c>
      <c r="CPZ2" s="377" t="s">
        <v>45</v>
      </c>
      <c r="CQA2" s="377" t="s">
        <v>46</v>
      </c>
      <c r="CQB2" s="377" t="s">
        <v>47</v>
      </c>
      <c r="CQC2" s="377" t="s">
        <v>48</v>
      </c>
      <c r="CQD2" s="377" t="s">
        <v>49</v>
      </c>
      <c r="CQE2" s="377" t="s">
        <v>50</v>
      </c>
      <c r="CQF2" s="377" t="s">
        <v>51</v>
      </c>
      <c r="CQG2" s="377" t="s">
        <v>52</v>
      </c>
      <c r="CQH2" s="377" t="s">
        <v>53</v>
      </c>
      <c r="CQI2" s="377" t="s">
        <v>54</v>
      </c>
      <c r="CQJ2" s="377" t="s">
        <v>55</v>
      </c>
      <c r="CQK2" s="377" t="s">
        <v>56</v>
      </c>
      <c r="CQL2" s="377" t="s">
        <v>57</v>
      </c>
      <c r="CQM2" s="377" t="s">
        <v>58</v>
      </c>
      <c r="CQN2" s="377" t="s">
        <v>59</v>
      </c>
      <c r="CQO2" s="377" t="s">
        <v>60</v>
      </c>
      <c r="CQP2" s="377" t="s">
        <v>61</v>
      </c>
      <c r="CQQ2" s="377" t="s">
        <v>62</v>
      </c>
      <c r="CQR2" s="377" t="s">
        <v>63</v>
      </c>
      <c r="CQS2" s="377" t="s">
        <v>64</v>
      </c>
      <c r="CQT2" s="377" t="s">
        <v>65</v>
      </c>
      <c r="CQU2" s="377" t="s">
        <v>66</v>
      </c>
      <c r="CQV2" s="377" t="s">
        <v>67</v>
      </c>
      <c r="CQW2" s="377" t="s">
        <v>68</v>
      </c>
      <c r="CQX2" s="377" t="s">
        <v>69</v>
      </c>
      <c r="CQY2" s="377" t="s">
        <v>70</v>
      </c>
      <c r="CQZ2" s="377" t="s">
        <v>71</v>
      </c>
      <c r="CRA2" s="377" t="s">
        <v>72</v>
      </c>
      <c r="CRB2" s="377" t="s">
        <v>73</v>
      </c>
      <c r="CRC2" s="377" t="s">
        <v>74</v>
      </c>
      <c r="CRD2" s="377" t="s">
        <v>75</v>
      </c>
      <c r="CRE2" s="377" t="s">
        <v>76</v>
      </c>
      <c r="CRF2" s="377" t="s">
        <v>77</v>
      </c>
      <c r="CRG2" s="377" t="s">
        <v>78</v>
      </c>
      <c r="CRH2" s="377" t="s">
        <v>79</v>
      </c>
      <c r="CRI2" s="377" t="s">
        <v>80</v>
      </c>
      <c r="CRJ2" s="377" t="s">
        <v>81</v>
      </c>
      <c r="CRK2" s="377" t="s">
        <v>82</v>
      </c>
      <c r="CRL2" s="377" t="s">
        <v>83</v>
      </c>
      <c r="CRM2" s="377" t="s">
        <v>83</v>
      </c>
      <c r="CRN2" s="375" t="s">
        <v>41</v>
      </c>
      <c r="CRO2" s="375" t="s">
        <v>42</v>
      </c>
      <c r="CRP2" s="375" t="s">
        <v>43</v>
      </c>
      <c r="CRQ2" s="375" t="s">
        <v>44</v>
      </c>
      <c r="CRR2" s="375" t="s">
        <v>45</v>
      </c>
      <c r="CRS2" s="375" t="s">
        <v>46</v>
      </c>
      <c r="CRT2" s="375" t="s">
        <v>47</v>
      </c>
      <c r="CRU2" s="375" t="s">
        <v>48</v>
      </c>
      <c r="CRV2" s="375" t="s">
        <v>49</v>
      </c>
      <c r="CRW2" s="375" t="s">
        <v>50</v>
      </c>
      <c r="CRX2" s="375" t="s">
        <v>51</v>
      </c>
      <c r="CRY2" s="375" t="s">
        <v>52</v>
      </c>
      <c r="CRZ2" s="375" t="s">
        <v>53</v>
      </c>
      <c r="CSA2" s="375" t="s">
        <v>54</v>
      </c>
      <c r="CSB2" s="375" t="s">
        <v>55</v>
      </c>
      <c r="CSC2" s="375" t="s">
        <v>56</v>
      </c>
      <c r="CSD2" s="375" t="s">
        <v>57</v>
      </c>
      <c r="CSE2" s="375" t="s">
        <v>58</v>
      </c>
      <c r="CSF2" s="375" t="s">
        <v>59</v>
      </c>
      <c r="CSG2" s="375" t="s">
        <v>60</v>
      </c>
      <c r="CSH2" s="375" t="s">
        <v>61</v>
      </c>
      <c r="CSI2" s="375" t="s">
        <v>62</v>
      </c>
      <c r="CSJ2" s="375" t="s">
        <v>63</v>
      </c>
      <c r="CSK2" s="375" t="s">
        <v>64</v>
      </c>
      <c r="CSL2" s="375" t="s">
        <v>65</v>
      </c>
      <c r="CSM2" s="375" t="s">
        <v>66</v>
      </c>
      <c r="CSN2" s="375" t="s">
        <v>67</v>
      </c>
      <c r="CSO2" s="375" t="s">
        <v>68</v>
      </c>
      <c r="CSP2" s="375" t="s">
        <v>69</v>
      </c>
      <c r="CSQ2" s="375" t="s">
        <v>70</v>
      </c>
      <c r="CSR2" s="375" t="s">
        <v>71</v>
      </c>
      <c r="CSS2" s="375" t="s">
        <v>72</v>
      </c>
      <c r="CST2" s="375" t="s">
        <v>73</v>
      </c>
      <c r="CSU2" s="375" t="s">
        <v>74</v>
      </c>
      <c r="CSV2" s="375" t="s">
        <v>75</v>
      </c>
      <c r="CSW2" s="375" t="s">
        <v>76</v>
      </c>
      <c r="CSX2" s="375" t="s">
        <v>77</v>
      </c>
      <c r="CSY2" s="375" t="s">
        <v>78</v>
      </c>
      <c r="CSZ2" s="375" t="s">
        <v>79</v>
      </c>
      <c r="CTA2" s="375" t="s">
        <v>80</v>
      </c>
      <c r="CTB2" s="375" t="s">
        <v>81</v>
      </c>
      <c r="CTC2" s="375" t="s">
        <v>82</v>
      </c>
      <c r="CTD2" s="375" t="s">
        <v>83</v>
      </c>
      <c r="CTE2" s="375" t="s">
        <v>83</v>
      </c>
      <c r="CTF2" s="377" t="s">
        <v>1361</v>
      </c>
      <c r="CTG2" s="377" t="s">
        <v>42</v>
      </c>
      <c r="CTH2" s="377" t="s">
        <v>1362</v>
      </c>
      <c r="CTI2" s="377" t="s">
        <v>1363</v>
      </c>
      <c r="CTJ2" s="377" t="s">
        <v>45</v>
      </c>
      <c r="CTK2" s="377" t="s">
        <v>46</v>
      </c>
      <c r="CTL2" s="377" t="s">
        <v>47</v>
      </c>
      <c r="CTM2" s="377" t="s">
        <v>48</v>
      </c>
      <c r="CTN2" s="377" t="s">
        <v>49</v>
      </c>
      <c r="CTO2" s="377" t="s">
        <v>50</v>
      </c>
      <c r="CTP2" s="377" t="s">
        <v>51</v>
      </c>
      <c r="CTQ2" s="377" t="s">
        <v>52</v>
      </c>
      <c r="CTR2" s="377" t="s">
        <v>53</v>
      </c>
      <c r="CTS2" s="377" t="s">
        <v>54</v>
      </c>
      <c r="CTT2" s="377" t="s">
        <v>55</v>
      </c>
      <c r="CTU2" s="377" t="s">
        <v>56</v>
      </c>
      <c r="CTV2" s="377" t="s">
        <v>57</v>
      </c>
      <c r="CTW2" s="377" t="s">
        <v>58</v>
      </c>
      <c r="CTX2" s="377" t="s">
        <v>59</v>
      </c>
      <c r="CTY2" s="377" t="s">
        <v>60</v>
      </c>
      <c r="CTZ2" s="377" t="s">
        <v>61</v>
      </c>
      <c r="CUA2" s="377" t="s">
        <v>62</v>
      </c>
      <c r="CUB2" s="377" t="s">
        <v>63</v>
      </c>
      <c r="CUC2" s="377" t="s">
        <v>64</v>
      </c>
      <c r="CUD2" s="377" t="s">
        <v>65</v>
      </c>
      <c r="CUE2" s="377" t="s">
        <v>66</v>
      </c>
      <c r="CUF2" s="377" t="s">
        <v>67</v>
      </c>
      <c r="CUG2" s="377" t="s">
        <v>68</v>
      </c>
      <c r="CUH2" s="377" t="s">
        <v>69</v>
      </c>
      <c r="CUI2" s="377" t="s">
        <v>70</v>
      </c>
      <c r="CUJ2" s="377" t="s">
        <v>71</v>
      </c>
      <c r="CUK2" s="377" t="s">
        <v>72</v>
      </c>
      <c r="CUL2" s="377" t="s">
        <v>73</v>
      </c>
      <c r="CUM2" s="377" t="s">
        <v>74</v>
      </c>
      <c r="CUN2" s="377" t="s">
        <v>75</v>
      </c>
      <c r="CUO2" s="377" t="s">
        <v>76</v>
      </c>
      <c r="CUP2" s="377" t="s">
        <v>77</v>
      </c>
      <c r="CUQ2" s="377" t="s">
        <v>78</v>
      </c>
      <c r="CUR2" s="377" t="s">
        <v>79</v>
      </c>
      <c r="CUS2" s="377" t="s">
        <v>80</v>
      </c>
      <c r="CUT2" s="377" t="s">
        <v>81</v>
      </c>
      <c r="CUU2" s="377" t="s">
        <v>82</v>
      </c>
      <c r="CUV2" s="377" t="s">
        <v>83</v>
      </c>
      <c r="CUW2" s="377" t="s">
        <v>83</v>
      </c>
      <c r="CUX2" s="375" t="s">
        <v>41</v>
      </c>
      <c r="CUY2" s="375" t="s">
        <v>42</v>
      </c>
      <c r="CUZ2" s="375" t="s">
        <v>43</v>
      </c>
      <c r="CVA2" s="375" t="s">
        <v>44</v>
      </c>
      <c r="CVB2" s="375" t="s">
        <v>45</v>
      </c>
      <c r="CVC2" s="375" t="s">
        <v>46</v>
      </c>
      <c r="CVD2" s="375" t="s">
        <v>47</v>
      </c>
      <c r="CVE2" s="375" t="s">
        <v>48</v>
      </c>
      <c r="CVF2" s="375" t="s">
        <v>49</v>
      </c>
      <c r="CVG2" s="375" t="s">
        <v>50</v>
      </c>
      <c r="CVH2" s="375" t="s">
        <v>51</v>
      </c>
      <c r="CVI2" s="375" t="s">
        <v>52</v>
      </c>
      <c r="CVJ2" s="375" t="s">
        <v>53</v>
      </c>
      <c r="CVK2" s="375" t="s">
        <v>54</v>
      </c>
      <c r="CVL2" s="375" t="s">
        <v>55</v>
      </c>
      <c r="CVM2" s="375" t="s">
        <v>56</v>
      </c>
      <c r="CVN2" s="375" t="s">
        <v>57</v>
      </c>
      <c r="CVO2" s="375" t="s">
        <v>58</v>
      </c>
      <c r="CVP2" s="375" t="s">
        <v>59</v>
      </c>
      <c r="CVQ2" s="375" t="s">
        <v>60</v>
      </c>
      <c r="CVR2" s="375" t="s">
        <v>61</v>
      </c>
      <c r="CVS2" s="375" t="s">
        <v>62</v>
      </c>
      <c r="CVT2" s="375" t="s">
        <v>63</v>
      </c>
      <c r="CVU2" s="375" t="s">
        <v>64</v>
      </c>
      <c r="CVV2" s="375" t="s">
        <v>65</v>
      </c>
      <c r="CVW2" s="375" t="s">
        <v>66</v>
      </c>
      <c r="CVX2" s="375" t="s">
        <v>67</v>
      </c>
      <c r="CVY2" s="375" t="s">
        <v>68</v>
      </c>
      <c r="CVZ2" s="375" t="s">
        <v>69</v>
      </c>
      <c r="CWA2" s="375" t="s">
        <v>70</v>
      </c>
      <c r="CWB2" s="375" t="s">
        <v>71</v>
      </c>
      <c r="CWC2" s="375" t="s">
        <v>72</v>
      </c>
      <c r="CWD2" s="375" t="s">
        <v>73</v>
      </c>
      <c r="CWE2" s="375" t="s">
        <v>74</v>
      </c>
      <c r="CWF2" s="375" t="s">
        <v>75</v>
      </c>
      <c r="CWG2" s="375" t="s">
        <v>76</v>
      </c>
      <c r="CWH2" s="375" t="s">
        <v>77</v>
      </c>
      <c r="CWI2" s="375" t="s">
        <v>78</v>
      </c>
      <c r="CWJ2" s="375" t="s">
        <v>79</v>
      </c>
      <c r="CWK2" s="375" t="s">
        <v>80</v>
      </c>
      <c r="CWL2" s="375" t="s">
        <v>81</v>
      </c>
      <c r="CWM2" s="375" t="s">
        <v>82</v>
      </c>
      <c r="CWN2" s="375" t="s">
        <v>83</v>
      </c>
      <c r="CWO2" s="375" t="s">
        <v>83</v>
      </c>
      <c r="CWP2" s="377" t="s">
        <v>1361</v>
      </c>
      <c r="CWQ2" s="377" t="s">
        <v>42</v>
      </c>
      <c r="CWR2" s="377" t="s">
        <v>1362</v>
      </c>
      <c r="CWS2" s="377" t="s">
        <v>1363</v>
      </c>
      <c r="CWT2" s="377" t="s">
        <v>45</v>
      </c>
      <c r="CWU2" s="377" t="s">
        <v>46</v>
      </c>
      <c r="CWV2" s="377" t="s">
        <v>47</v>
      </c>
      <c r="CWW2" s="377" t="s">
        <v>48</v>
      </c>
      <c r="CWX2" s="377" t="s">
        <v>49</v>
      </c>
      <c r="CWY2" s="377" t="s">
        <v>50</v>
      </c>
      <c r="CWZ2" s="377" t="s">
        <v>51</v>
      </c>
      <c r="CXA2" s="377" t="s">
        <v>52</v>
      </c>
      <c r="CXB2" s="377" t="s">
        <v>53</v>
      </c>
      <c r="CXC2" s="377" t="s">
        <v>54</v>
      </c>
      <c r="CXD2" s="377" t="s">
        <v>55</v>
      </c>
      <c r="CXE2" s="377" t="s">
        <v>56</v>
      </c>
      <c r="CXF2" s="377" t="s">
        <v>57</v>
      </c>
      <c r="CXG2" s="377" t="s">
        <v>58</v>
      </c>
      <c r="CXH2" s="377" t="s">
        <v>59</v>
      </c>
      <c r="CXI2" s="377" t="s">
        <v>60</v>
      </c>
      <c r="CXJ2" s="377" t="s">
        <v>61</v>
      </c>
      <c r="CXK2" s="377" t="s">
        <v>62</v>
      </c>
      <c r="CXL2" s="377" t="s">
        <v>63</v>
      </c>
      <c r="CXM2" s="377" t="s">
        <v>64</v>
      </c>
      <c r="CXN2" s="377" t="s">
        <v>65</v>
      </c>
      <c r="CXO2" s="377" t="s">
        <v>66</v>
      </c>
      <c r="CXP2" s="377" t="s">
        <v>67</v>
      </c>
      <c r="CXQ2" s="377" t="s">
        <v>68</v>
      </c>
      <c r="CXR2" s="377" t="s">
        <v>69</v>
      </c>
      <c r="CXS2" s="377" t="s">
        <v>70</v>
      </c>
      <c r="CXT2" s="377" t="s">
        <v>71</v>
      </c>
      <c r="CXU2" s="377" t="s">
        <v>72</v>
      </c>
      <c r="CXV2" s="377" t="s">
        <v>73</v>
      </c>
      <c r="CXW2" s="377" t="s">
        <v>74</v>
      </c>
      <c r="CXX2" s="377" t="s">
        <v>75</v>
      </c>
      <c r="CXY2" s="377" t="s">
        <v>76</v>
      </c>
      <c r="CXZ2" s="377" t="s">
        <v>77</v>
      </c>
      <c r="CYA2" s="377" t="s">
        <v>78</v>
      </c>
      <c r="CYB2" s="377" t="s">
        <v>79</v>
      </c>
      <c r="CYC2" s="377" t="s">
        <v>80</v>
      </c>
      <c r="CYD2" s="377" t="s">
        <v>81</v>
      </c>
      <c r="CYE2" s="377" t="s">
        <v>82</v>
      </c>
      <c r="CYF2" s="377" t="s">
        <v>83</v>
      </c>
      <c r="CYG2" s="377" t="s">
        <v>83</v>
      </c>
      <c r="CYH2" s="375" t="s">
        <v>41</v>
      </c>
      <c r="CYI2" s="375" t="s">
        <v>42</v>
      </c>
      <c r="CYJ2" s="375" t="s">
        <v>43</v>
      </c>
      <c r="CYK2" s="375" t="s">
        <v>44</v>
      </c>
      <c r="CYL2" s="375" t="s">
        <v>45</v>
      </c>
      <c r="CYM2" s="375" t="s">
        <v>46</v>
      </c>
      <c r="CYN2" s="375" t="s">
        <v>47</v>
      </c>
      <c r="CYO2" s="375" t="s">
        <v>48</v>
      </c>
      <c r="CYP2" s="375" t="s">
        <v>49</v>
      </c>
      <c r="CYQ2" s="375" t="s">
        <v>50</v>
      </c>
      <c r="CYR2" s="375" t="s">
        <v>51</v>
      </c>
      <c r="CYS2" s="375" t="s">
        <v>52</v>
      </c>
      <c r="CYT2" s="375" t="s">
        <v>53</v>
      </c>
      <c r="CYU2" s="375" t="s">
        <v>54</v>
      </c>
      <c r="CYV2" s="375" t="s">
        <v>55</v>
      </c>
      <c r="CYW2" s="375" t="s">
        <v>56</v>
      </c>
      <c r="CYX2" s="375" t="s">
        <v>57</v>
      </c>
      <c r="CYY2" s="375" t="s">
        <v>58</v>
      </c>
      <c r="CYZ2" s="375" t="s">
        <v>59</v>
      </c>
      <c r="CZA2" s="375" t="s">
        <v>60</v>
      </c>
      <c r="CZB2" s="375" t="s">
        <v>61</v>
      </c>
      <c r="CZC2" s="375" t="s">
        <v>62</v>
      </c>
      <c r="CZD2" s="375" t="s">
        <v>63</v>
      </c>
      <c r="CZE2" s="375" t="s">
        <v>64</v>
      </c>
      <c r="CZF2" s="375" t="s">
        <v>65</v>
      </c>
      <c r="CZG2" s="375" t="s">
        <v>66</v>
      </c>
      <c r="CZH2" s="375" t="s">
        <v>67</v>
      </c>
      <c r="CZI2" s="375" t="s">
        <v>68</v>
      </c>
      <c r="CZJ2" s="375" t="s">
        <v>69</v>
      </c>
      <c r="CZK2" s="375" t="s">
        <v>70</v>
      </c>
      <c r="CZL2" s="375" t="s">
        <v>71</v>
      </c>
      <c r="CZM2" s="375" t="s">
        <v>72</v>
      </c>
      <c r="CZN2" s="375" t="s">
        <v>73</v>
      </c>
      <c r="CZO2" s="375" t="s">
        <v>74</v>
      </c>
      <c r="CZP2" s="375" t="s">
        <v>75</v>
      </c>
      <c r="CZQ2" s="375" t="s">
        <v>76</v>
      </c>
      <c r="CZR2" s="375" t="s">
        <v>77</v>
      </c>
      <c r="CZS2" s="375" t="s">
        <v>78</v>
      </c>
      <c r="CZT2" s="375" t="s">
        <v>79</v>
      </c>
      <c r="CZU2" s="375" t="s">
        <v>80</v>
      </c>
      <c r="CZV2" s="375" t="s">
        <v>81</v>
      </c>
      <c r="CZW2" s="375" t="s">
        <v>82</v>
      </c>
      <c r="CZX2" s="375" t="s">
        <v>83</v>
      </c>
      <c r="CZY2" s="375" t="s">
        <v>83</v>
      </c>
      <c r="CZZ2" s="377" t="s">
        <v>1361</v>
      </c>
      <c r="DAA2" s="377" t="s">
        <v>42</v>
      </c>
      <c r="DAB2" s="377" t="s">
        <v>1362</v>
      </c>
      <c r="DAC2" s="377" t="s">
        <v>1363</v>
      </c>
      <c r="DAD2" s="377" t="s">
        <v>45</v>
      </c>
      <c r="DAE2" s="377" t="s">
        <v>46</v>
      </c>
      <c r="DAF2" s="377" t="s">
        <v>47</v>
      </c>
      <c r="DAG2" s="377" t="s">
        <v>48</v>
      </c>
      <c r="DAH2" s="377" t="s">
        <v>49</v>
      </c>
      <c r="DAI2" s="377" t="s">
        <v>50</v>
      </c>
      <c r="DAJ2" s="377" t="s">
        <v>51</v>
      </c>
      <c r="DAK2" s="377" t="s">
        <v>52</v>
      </c>
      <c r="DAL2" s="377" t="s">
        <v>53</v>
      </c>
      <c r="DAM2" s="377" t="s">
        <v>54</v>
      </c>
      <c r="DAN2" s="377" t="s">
        <v>55</v>
      </c>
      <c r="DAO2" s="377" t="s">
        <v>56</v>
      </c>
      <c r="DAP2" s="377" t="s">
        <v>57</v>
      </c>
      <c r="DAQ2" s="377" t="s">
        <v>58</v>
      </c>
      <c r="DAR2" s="377" t="s">
        <v>59</v>
      </c>
      <c r="DAS2" s="377" t="s">
        <v>60</v>
      </c>
      <c r="DAT2" s="377" t="s">
        <v>61</v>
      </c>
      <c r="DAU2" s="377" t="s">
        <v>62</v>
      </c>
      <c r="DAV2" s="377" t="s">
        <v>63</v>
      </c>
      <c r="DAW2" s="377" t="s">
        <v>64</v>
      </c>
      <c r="DAX2" s="377" t="s">
        <v>65</v>
      </c>
      <c r="DAY2" s="377" t="s">
        <v>66</v>
      </c>
      <c r="DAZ2" s="377" t="s">
        <v>67</v>
      </c>
      <c r="DBA2" s="377" t="s">
        <v>68</v>
      </c>
      <c r="DBB2" s="377" t="s">
        <v>69</v>
      </c>
      <c r="DBC2" s="377" t="s">
        <v>70</v>
      </c>
      <c r="DBD2" s="377" t="s">
        <v>71</v>
      </c>
      <c r="DBE2" s="377" t="s">
        <v>72</v>
      </c>
      <c r="DBF2" s="377" t="s">
        <v>73</v>
      </c>
      <c r="DBG2" s="377" t="s">
        <v>74</v>
      </c>
      <c r="DBH2" s="377" t="s">
        <v>75</v>
      </c>
      <c r="DBI2" s="377" t="s">
        <v>76</v>
      </c>
      <c r="DBJ2" s="377" t="s">
        <v>77</v>
      </c>
      <c r="DBK2" s="377" t="s">
        <v>78</v>
      </c>
      <c r="DBL2" s="377" t="s">
        <v>79</v>
      </c>
      <c r="DBM2" s="377" t="s">
        <v>80</v>
      </c>
      <c r="DBN2" s="377" t="s">
        <v>81</v>
      </c>
      <c r="DBO2" s="377" t="s">
        <v>82</v>
      </c>
      <c r="DBP2" s="377" t="s">
        <v>83</v>
      </c>
      <c r="DBQ2" s="377" t="s">
        <v>83</v>
      </c>
      <c r="DBR2" s="375" t="s">
        <v>41</v>
      </c>
      <c r="DBS2" s="375" t="s">
        <v>42</v>
      </c>
      <c r="DBT2" s="375" t="s">
        <v>43</v>
      </c>
      <c r="DBU2" s="375" t="s">
        <v>44</v>
      </c>
      <c r="DBV2" s="375" t="s">
        <v>45</v>
      </c>
      <c r="DBW2" s="375" t="s">
        <v>46</v>
      </c>
      <c r="DBX2" s="375" t="s">
        <v>47</v>
      </c>
      <c r="DBY2" s="375" t="s">
        <v>48</v>
      </c>
      <c r="DBZ2" s="375" t="s">
        <v>49</v>
      </c>
      <c r="DCA2" s="375" t="s">
        <v>50</v>
      </c>
      <c r="DCB2" s="375" t="s">
        <v>51</v>
      </c>
      <c r="DCC2" s="375" t="s">
        <v>52</v>
      </c>
      <c r="DCD2" s="375" t="s">
        <v>53</v>
      </c>
      <c r="DCE2" s="375" t="s">
        <v>54</v>
      </c>
      <c r="DCF2" s="375" t="s">
        <v>55</v>
      </c>
      <c r="DCG2" s="375" t="s">
        <v>56</v>
      </c>
      <c r="DCH2" s="375" t="s">
        <v>57</v>
      </c>
      <c r="DCI2" s="375" t="s">
        <v>58</v>
      </c>
      <c r="DCJ2" s="375" t="s">
        <v>59</v>
      </c>
      <c r="DCK2" s="375" t="s">
        <v>60</v>
      </c>
      <c r="DCL2" s="375" t="s">
        <v>61</v>
      </c>
      <c r="DCM2" s="375" t="s">
        <v>62</v>
      </c>
      <c r="DCN2" s="375" t="s">
        <v>63</v>
      </c>
      <c r="DCO2" s="375" t="s">
        <v>64</v>
      </c>
      <c r="DCP2" s="375" t="s">
        <v>65</v>
      </c>
      <c r="DCQ2" s="375" t="s">
        <v>66</v>
      </c>
      <c r="DCR2" s="375" t="s">
        <v>67</v>
      </c>
      <c r="DCS2" s="375" t="s">
        <v>68</v>
      </c>
      <c r="DCT2" s="375" t="s">
        <v>69</v>
      </c>
      <c r="DCU2" s="375" t="s">
        <v>70</v>
      </c>
      <c r="DCV2" s="375" t="s">
        <v>71</v>
      </c>
      <c r="DCW2" s="375" t="s">
        <v>72</v>
      </c>
      <c r="DCX2" s="375" t="s">
        <v>73</v>
      </c>
      <c r="DCY2" s="375" t="s">
        <v>74</v>
      </c>
      <c r="DCZ2" s="375" t="s">
        <v>75</v>
      </c>
      <c r="DDA2" s="375" t="s">
        <v>76</v>
      </c>
      <c r="DDB2" s="375" t="s">
        <v>77</v>
      </c>
      <c r="DDC2" s="375" t="s">
        <v>78</v>
      </c>
      <c r="DDD2" s="375" t="s">
        <v>79</v>
      </c>
      <c r="DDE2" s="375" t="s">
        <v>80</v>
      </c>
      <c r="DDF2" s="375" t="s">
        <v>81</v>
      </c>
      <c r="DDG2" s="375" t="s">
        <v>82</v>
      </c>
      <c r="DDH2" s="375" t="s">
        <v>83</v>
      </c>
      <c r="DDI2" s="375" t="s">
        <v>83</v>
      </c>
      <c r="DDJ2" s="377" t="s">
        <v>1361</v>
      </c>
      <c r="DDK2" s="377" t="s">
        <v>42</v>
      </c>
      <c r="DDL2" s="377" t="s">
        <v>1362</v>
      </c>
      <c r="DDM2" s="377" t="s">
        <v>1363</v>
      </c>
      <c r="DDN2" s="377" t="s">
        <v>45</v>
      </c>
      <c r="DDO2" s="377" t="s">
        <v>46</v>
      </c>
      <c r="DDP2" s="377" t="s">
        <v>47</v>
      </c>
      <c r="DDQ2" s="377" t="s">
        <v>48</v>
      </c>
      <c r="DDR2" s="377" t="s">
        <v>49</v>
      </c>
      <c r="DDS2" s="377" t="s">
        <v>50</v>
      </c>
      <c r="DDT2" s="377" t="s">
        <v>51</v>
      </c>
      <c r="DDU2" s="377" t="s">
        <v>52</v>
      </c>
      <c r="DDV2" s="377" t="s">
        <v>53</v>
      </c>
      <c r="DDW2" s="377" t="s">
        <v>54</v>
      </c>
      <c r="DDX2" s="377" t="s">
        <v>55</v>
      </c>
      <c r="DDY2" s="377" t="s">
        <v>56</v>
      </c>
      <c r="DDZ2" s="377" t="s">
        <v>57</v>
      </c>
      <c r="DEA2" s="377" t="s">
        <v>58</v>
      </c>
      <c r="DEB2" s="377" t="s">
        <v>59</v>
      </c>
      <c r="DEC2" s="377" t="s">
        <v>60</v>
      </c>
      <c r="DED2" s="377" t="s">
        <v>61</v>
      </c>
      <c r="DEE2" s="377" t="s">
        <v>62</v>
      </c>
      <c r="DEF2" s="377" t="s">
        <v>63</v>
      </c>
      <c r="DEG2" s="377" t="s">
        <v>64</v>
      </c>
      <c r="DEH2" s="377" t="s">
        <v>65</v>
      </c>
      <c r="DEI2" s="377" t="s">
        <v>66</v>
      </c>
      <c r="DEJ2" s="377" t="s">
        <v>67</v>
      </c>
      <c r="DEK2" s="377" t="s">
        <v>68</v>
      </c>
      <c r="DEL2" s="377" t="s">
        <v>69</v>
      </c>
      <c r="DEM2" s="377" t="s">
        <v>70</v>
      </c>
      <c r="DEN2" s="377" t="s">
        <v>71</v>
      </c>
      <c r="DEO2" s="377" t="s">
        <v>72</v>
      </c>
      <c r="DEP2" s="377" t="s">
        <v>73</v>
      </c>
      <c r="DEQ2" s="377" t="s">
        <v>74</v>
      </c>
      <c r="DER2" s="377" t="s">
        <v>75</v>
      </c>
      <c r="DES2" s="377" t="s">
        <v>76</v>
      </c>
      <c r="DET2" s="377" t="s">
        <v>77</v>
      </c>
      <c r="DEU2" s="377" t="s">
        <v>78</v>
      </c>
      <c r="DEV2" s="377" t="s">
        <v>79</v>
      </c>
      <c r="DEW2" s="377" t="s">
        <v>80</v>
      </c>
      <c r="DEX2" s="377" t="s">
        <v>81</v>
      </c>
      <c r="DEY2" s="377" t="s">
        <v>82</v>
      </c>
      <c r="DEZ2" s="377" t="s">
        <v>83</v>
      </c>
      <c r="DFA2" s="377" t="s">
        <v>83</v>
      </c>
      <c r="DFB2" s="375" t="s">
        <v>41</v>
      </c>
      <c r="DFC2" s="375" t="s">
        <v>42</v>
      </c>
      <c r="DFD2" s="375" t="s">
        <v>43</v>
      </c>
      <c r="DFE2" s="375" t="s">
        <v>44</v>
      </c>
      <c r="DFF2" s="375" t="s">
        <v>45</v>
      </c>
      <c r="DFG2" s="375" t="s">
        <v>46</v>
      </c>
      <c r="DFH2" s="375" t="s">
        <v>47</v>
      </c>
      <c r="DFI2" s="375" t="s">
        <v>48</v>
      </c>
      <c r="DFJ2" s="375" t="s">
        <v>49</v>
      </c>
      <c r="DFK2" s="375" t="s">
        <v>50</v>
      </c>
      <c r="DFL2" s="375" t="s">
        <v>51</v>
      </c>
      <c r="DFM2" s="375" t="s">
        <v>52</v>
      </c>
      <c r="DFN2" s="375" t="s">
        <v>53</v>
      </c>
      <c r="DFO2" s="375" t="s">
        <v>54</v>
      </c>
      <c r="DFP2" s="375" t="s">
        <v>55</v>
      </c>
      <c r="DFQ2" s="375" t="s">
        <v>56</v>
      </c>
      <c r="DFR2" s="375" t="s">
        <v>57</v>
      </c>
      <c r="DFS2" s="375" t="s">
        <v>58</v>
      </c>
      <c r="DFT2" s="375" t="s">
        <v>59</v>
      </c>
      <c r="DFU2" s="375" t="s">
        <v>60</v>
      </c>
      <c r="DFV2" s="375" t="s">
        <v>61</v>
      </c>
      <c r="DFW2" s="375" t="s">
        <v>62</v>
      </c>
      <c r="DFX2" s="375" t="s">
        <v>63</v>
      </c>
      <c r="DFY2" s="375" t="s">
        <v>64</v>
      </c>
      <c r="DFZ2" s="375" t="s">
        <v>65</v>
      </c>
      <c r="DGA2" s="375" t="s">
        <v>66</v>
      </c>
      <c r="DGB2" s="375" t="s">
        <v>67</v>
      </c>
      <c r="DGC2" s="375" t="s">
        <v>68</v>
      </c>
      <c r="DGD2" s="375" t="s">
        <v>69</v>
      </c>
      <c r="DGE2" s="375" t="s">
        <v>70</v>
      </c>
      <c r="DGF2" s="375" t="s">
        <v>71</v>
      </c>
      <c r="DGG2" s="375" t="s">
        <v>72</v>
      </c>
      <c r="DGH2" s="375" t="s">
        <v>73</v>
      </c>
      <c r="DGI2" s="375" t="s">
        <v>74</v>
      </c>
      <c r="DGJ2" s="375" t="s">
        <v>75</v>
      </c>
      <c r="DGK2" s="375" t="s">
        <v>76</v>
      </c>
      <c r="DGL2" s="375" t="s">
        <v>77</v>
      </c>
      <c r="DGM2" s="375" t="s">
        <v>78</v>
      </c>
      <c r="DGN2" s="375" t="s">
        <v>79</v>
      </c>
      <c r="DGO2" s="375" t="s">
        <v>80</v>
      </c>
      <c r="DGP2" s="375" t="s">
        <v>81</v>
      </c>
      <c r="DGQ2" s="375" t="s">
        <v>82</v>
      </c>
      <c r="DGR2" s="375" t="s">
        <v>83</v>
      </c>
      <c r="DGS2" s="375" t="s">
        <v>83</v>
      </c>
      <c r="DGT2" s="377" t="s">
        <v>1361</v>
      </c>
      <c r="DGU2" s="377" t="s">
        <v>42</v>
      </c>
      <c r="DGV2" s="377" t="s">
        <v>1362</v>
      </c>
      <c r="DGW2" s="377" t="s">
        <v>1363</v>
      </c>
      <c r="DGX2" s="377" t="s">
        <v>45</v>
      </c>
      <c r="DGY2" s="377" t="s">
        <v>46</v>
      </c>
      <c r="DGZ2" s="377" t="s">
        <v>47</v>
      </c>
      <c r="DHA2" s="377" t="s">
        <v>48</v>
      </c>
      <c r="DHB2" s="377" t="s">
        <v>49</v>
      </c>
      <c r="DHC2" s="377" t="s">
        <v>50</v>
      </c>
      <c r="DHD2" s="377" t="s">
        <v>51</v>
      </c>
      <c r="DHE2" s="377" t="s">
        <v>52</v>
      </c>
      <c r="DHF2" s="377" t="s">
        <v>53</v>
      </c>
      <c r="DHG2" s="377" t="s">
        <v>54</v>
      </c>
      <c r="DHH2" s="377" t="s">
        <v>55</v>
      </c>
      <c r="DHI2" s="377" t="s">
        <v>56</v>
      </c>
      <c r="DHJ2" s="377" t="s">
        <v>57</v>
      </c>
      <c r="DHK2" s="377" t="s">
        <v>58</v>
      </c>
      <c r="DHL2" s="377" t="s">
        <v>59</v>
      </c>
      <c r="DHM2" s="377" t="s">
        <v>60</v>
      </c>
      <c r="DHN2" s="377" t="s">
        <v>61</v>
      </c>
      <c r="DHO2" s="377" t="s">
        <v>62</v>
      </c>
      <c r="DHP2" s="377" t="s">
        <v>63</v>
      </c>
      <c r="DHQ2" s="377" t="s">
        <v>64</v>
      </c>
      <c r="DHR2" s="377" t="s">
        <v>65</v>
      </c>
      <c r="DHS2" s="377" t="s">
        <v>66</v>
      </c>
      <c r="DHT2" s="377" t="s">
        <v>67</v>
      </c>
      <c r="DHU2" s="377" t="s">
        <v>68</v>
      </c>
      <c r="DHV2" s="377" t="s">
        <v>69</v>
      </c>
      <c r="DHW2" s="377" t="s">
        <v>70</v>
      </c>
      <c r="DHX2" s="377" t="s">
        <v>71</v>
      </c>
      <c r="DHY2" s="377" t="s">
        <v>72</v>
      </c>
      <c r="DHZ2" s="377" t="s">
        <v>73</v>
      </c>
      <c r="DIA2" s="377" t="s">
        <v>74</v>
      </c>
      <c r="DIB2" s="377" t="s">
        <v>75</v>
      </c>
      <c r="DIC2" s="377" t="s">
        <v>76</v>
      </c>
      <c r="DID2" s="377" t="s">
        <v>77</v>
      </c>
      <c r="DIE2" s="377" t="s">
        <v>78</v>
      </c>
      <c r="DIF2" s="377" t="s">
        <v>79</v>
      </c>
      <c r="DIG2" s="377" t="s">
        <v>80</v>
      </c>
      <c r="DIH2" s="377" t="s">
        <v>81</v>
      </c>
      <c r="DII2" s="377" t="s">
        <v>82</v>
      </c>
      <c r="DIJ2" s="377" t="s">
        <v>83</v>
      </c>
      <c r="DIK2" s="377" t="s">
        <v>83</v>
      </c>
      <c r="DIL2" s="375" t="s">
        <v>41</v>
      </c>
      <c r="DIM2" s="375" t="s">
        <v>42</v>
      </c>
      <c r="DIN2" s="375" t="s">
        <v>43</v>
      </c>
      <c r="DIO2" s="375" t="s">
        <v>44</v>
      </c>
      <c r="DIP2" s="375" t="s">
        <v>45</v>
      </c>
      <c r="DIQ2" s="375" t="s">
        <v>46</v>
      </c>
      <c r="DIR2" s="375" t="s">
        <v>47</v>
      </c>
      <c r="DIS2" s="375" t="s">
        <v>48</v>
      </c>
      <c r="DIT2" s="375" t="s">
        <v>49</v>
      </c>
      <c r="DIU2" s="375" t="s">
        <v>50</v>
      </c>
      <c r="DIV2" s="375" t="s">
        <v>51</v>
      </c>
      <c r="DIW2" s="375" t="s">
        <v>52</v>
      </c>
      <c r="DIX2" s="375" t="s">
        <v>53</v>
      </c>
      <c r="DIY2" s="375" t="s">
        <v>54</v>
      </c>
      <c r="DIZ2" s="375" t="s">
        <v>55</v>
      </c>
      <c r="DJA2" s="375" t="s">
        <v>56</v>
      </c>
      <c r="DJB2" s="375" t="s">
        <v>57</v>
      </c>
      <c r="DJC2" s="375" t="s">
        <v>58</v>
      </c>
      <c r="DJD2" s="375" t="s">
        <v>59</v>
      </c>
      <c r="DJE2" s="375" t="s">
        <v>60</v>
      </c>
      <c r="DJF2" s="375" t="s">
        <v>61</v>
      </c>
      <c r="DJG2" s="375" t="s">
        <v>62</v>
      </c>
      <c r="DJH2" s="375" t="s">
        <v>63</v>
      </c>
      <c r="DJI2" s="375" t="s">
        <v>64</v>
      </c>
      <c r="DJJ2" s="375" t="s">
        <v>65</v>
      </c>
      <c r="DJK2" s="375" t="s">
        <v>66</v>
      </c>
      <c r="DJL2" s="375" t="s">
        <v>67</v>
      </c>
      <c r="DJM2" s="375" t="s">
        <v>68</v>
      </c>
      <c r="DJN2" s="375" t="s">
        <v>69</v>
      </c>
      <c r="DJO2" s="375" t="s">
        <v>70</v>
      </c>
      <c r="DJP2" s="375" t="s">
        <v>71</v>
      </c>
      <c r="DJQ2" s="375" t="s">
        <v>72</v>
      </c>
      <c r="DJR2" s="375" t="s">
        <v>73</v>
      </c>
      <c r="DJS2" s="375" t="s">
        <v>74</v>
      </c>
      <c r="DJT2" s="375" t="s">
        <v>75</v>
      </c>
      <c r="DJU2" s="375" t="s">
        <v>76</v>
      </c>
      <c r="DJV2" s="375" t="s">
        <v>77</v>
      </c>
      <c r="DJW2" s="375" t="s">
        <v>78</v>
      </c>
      <c r="DJX2" s="375" t="s">
        <v>79</v>
      </c>
      <c r="DJY2" s="375" t="s">
        <v>80</v>
      </c>
      <c r="DJZ2" s="375" t="s">
        <v>81</v>
      </c>
      <c r="DKA2" s="375" t="s">
        <v>82</v>
      </c>
      <c r="DKB2" s="375" t="s">
        <v>83</v>
      </c>
      <c r="DKC2" s="375" t="s">
        <v>83</v>
      </c>
      <c r="DKD2" s="377" t="s">
        <v>1361</v>
      </c>
      <c r="DKE2" s="377" t="s">
        <v>42</v>
      </c>
      <c r="DKF2" s="377" t="s">
        <v>1362</v>
      </c>
      <c r="DKG2" s="377" t="s">
        <v>1363</v>
      </c>
      <c r="DKH2" s="377" t="s">
        <v>45</v>
      </c>
      <c r="DKI2" s="377" t="s">
        <v>46</v>
      </c>
      <c r="DKJ2" s="377" t="s">
        <v>47</v>
      </c>
      <c r="DKK2" s="377" t="s">
        <v>48</v>
      </c>
      <c r="DKL2" s="377" t="s">
        <v>49</v>
      </c>
      <c r="DKM2" s="377" t="s">
        <v>50</v>
      </c>
      <c r="DKN2" s="377" t="s">
        <v>51</v>
      </c>
      <c r="DKO2" s="377" t="s">
        <v>52</v>
      </c>
      <c r="DKP2" s="377" t="s">
        <v>53</v>
      </c>
      <c r="DKQ2" s="377" t="s">
        <v>54</v>
      </c>
      <c r="DKR2" s="377" t="s">
        <v>55</v>
      </c>
      <c r="DKS2" s="377" t="s">
        <v>56</v>
      </c>
      <c r="DKT2" s="377" t="s">
        <v>57</v>
      </c>
      <c r="DKU2" s="377" t="s">
        <v>58</v>
      </c>
      <c r="DKV2" s="377" t="s">
        <v>59</v>
      </c>
      <c r="DKW2" s="377" t="s">
        <v>60</v>
      </c>
      <c r="DKX2" s="377" t="s">
        <v>61</v>
      </c>
      <c r="DKY2" s="377" t="s">
        <v>62</v>
      </c>
      <c r="DKZ2" s="377" t="s">
        <v>63</v>
      </c>
      <c r="DLA2" s="377" t="s">
        <v>64</v>
      </c>
      <c r="DLB2" s="377" t="s">
        <v>65</v>
      </c>
      <c r="DLC2" s="377" t="s">
        <v>66</v>
      </c>
      <c r="DLD2" s="377" t="s">
        <v>67</v>
      </c>
      <c r="DLE2" s="377" t="s">
        <v>68</v>
      </c>
      <c r="DLF2" s="377" t="s">
        <v>69</v>
      </c>
      <c r="DLG2" s="377" t="s">
        <v>70</v>
      </c>
      <c r="DLH2" s="377" t="s">
        <v>71</v>
      </c>
      <c r="DLI2" s="377" t="s">
        <v>72</v>
      </c>
      <c r="DLJ2" s="377" t="s">
        <v>73</v>
      </c>
      <c r="DLK2" s="377" t="s">
        <v>74</v>
      </c>
      <c r="DLL2" s="377" t="s">
        <v>75</v>
      </c>
      <c r="DLM2" s="377" t="s">
        <v>76</v>
      </c>
      <c r="DLN2" s="377" t="s">
        <v>77</v>
      </c>
      <c r="DLO2" s="377" t="s">
        <v>78</v>
      </c>
      <c r="DLP2" s="377" t="s">
        <v>79</v>
      </c>
      <c r="DLQ2" s="377" t="s">
        <v>80</v>
      </c>
      <c r="DLR2" s="377" t="s">
        <v>81</v>
      </c>
      <c r="DLS2" s="377" t="s">
        <v>82</v>
      </c>
      <c r="DLT2" s="377" t="s">
        <v>83</v>
      </c>
      <c r="DLU2" s="377" t="s">
        <v>83</v>
      </c>
      <c r="DLV2" s="375" t="s">
        <v>41</v>
      </c>
      <c r="DLW2" s="375" t="s">
        <v>42</v>
      </c>
      <c r="DLX2" s="375" t="s">
        <v>43</v>
      </c>
      <c r="DLY2" s="375" t="s">
        <v>44</v>
      </c>
      <c r="DLZ2" s="375" t="s">
        <v>45</v>
      </c>
      <c r="DMA2" s="375" t="s">
        <v>46</v>
      </c>
      <c r="DMB2" s="375" t="s">
        <v>47</v>
      </c>
      <c r="DMC2" s="375" t="s">
        <v>48</v>
      </c>
      <c r="DMD2" s="375" t="s">
        <v>49</v>
      </c>
      <c r="DME2" s="375" t="s">
        <v>50</v>
      </c>
      <c r="DMF2" s="375" t="s">
        <v>51</v>
      </c>
      <c r="DMG2" s="375" t="s">
        <v>52</v>
      </c>
      <c r="DMH2" s="375" t="s">
        <v>53</v>
      </c>
      <c r="DMI2" s="375" t="s">
        <v>54</v>
      </c>
      <c r="DMJ2" s="375" t="s">
        <v>55</v>
      </c>
      <c r="DMK2" s="375" t="s">
        <v>56</v>
      </c>
      <c r="DML2" s="375" t="s">
        <v>57</v>
      </c>
      <c r="DMM2" s="375" t="s">
        <v>58</v>
      </c>
      <c r="DMN2" s="375" t="s">
        <v>59</v>
      </c>
      <c r="DMO2" s="375" t="s">
        <v>60</v>
      </c>
      <c r="DMP2" s="375" t="s">
        <v>61</v>
      </c>
      <c r="DMQ2" s="375" t="s">
        <v>62</v>
      </c>
      <c r="DMR2" s="375" t="s">
        <v>63</v>
      </c>
      <c r="DMS2" s="375" t="s">
        <v>64</v>
      </c>
      <c r="DMT2" s="375" t="s">
        <v>65</v>
      </c>
      <c r="DMU2" s="375" t="s">
        <v>66</v>
      </c>
      <c r="DMV2" s="375" t="s">
        <v>67</v>
      </c>
      <c r="DMW2" s="375" t="s">
        <v>68</v>
      </c>
      <c r="DMX2" s="375" t="s">
        <v>69</v>
      </c>
      <c r="DMY2" s="375" t="s">
        <v>70</v>
      </c>
      <c r="DMZ2" s="375" t="s">
        <v>71</v>
      </c>
      <c r="DNA2" s="375" t="s">
        <v>72</v>
      </c>
      <c r="DNB2" s="375" t="s">
        <v>73</v>
      </c>
      <c r="DNC2" s="375" t="s">
        <v>74</v>
      </c>
      <c r="DND2" s="375" t="s">
        <v>75</v>
      </c>
      <c r="DNE2" s="375" t="s">
        <v>76</v>
      </c>
      <c r="DNF2" s="375" t="s">
        <v>77</v>
      </c>
      <c r="DNG2" s="375" t="s">
        <v>78</v>
      </c>
      <c r="DNH2" s="375" t="s">
        <v>79</v>
      </c>
      <c r="DNI2" s="375" t="s">
        <v>80</v>
      </c>
      <c r="DNJ2" s="375" t="s">
        <v>81</v>
      </c>
      <c r="DNK2" s="375" t="s">
        <v>82</v>
      </c>
      <c r="DNL2" s="375" t="s">
        <v>83</v>
      </c>
      <c r="DNM2" s="375" t="s">
        <v>83</v>
      </c>
      <c r="DNN2" s="377" t="s">
        <v>1361</v>
      </c>
      <c r="DNO2" s="377" t="s">
        <v>42</v>
      </c>
      <c r="DNP2" s="377" t="s">
        <v>1362</v>
      </c>
      <c r="DNQ2" s="377" t="s">
        <v>1363</v>
      </c>
      <c r="DNR2" s="377" t="s">
        <v>45</v>
      </c>
      <c r="DNS2" s="377" t="s">
        <v>46</v>
      </c>
      <c r="DNT2" s="377" t="s">
        <v>47</v>
      </c>
      <c r="DNU2" s="377" t="s">
        <v>48</v>
      </c>
      <c r="DNV2" s="377" t="s">
        <v>49</v>
      </c>
      <c r="DNW2" s="377" t="s">
        <v>50</v>
      </c>
      <c r="DNX2" s="377" t="s">
        <v>51</v>
      </c>
      <c r="DNY2" s="377" t="s">
        <v>52</v>
      </c>
      <c r="DNZ2" s="377" t="s">
        <v>53</v>
      </c>
      <c r="DOA2" s="377" t="s">
        <v>54</v>
      </c>
      <c r="DOB2" s="377" t="s">
        <v>55</v>
      </c>
      <c r="DOC2" s="377" t="s">
        <v>56</v>
      </c>
      <c r="DOD2" s="377" t="s">
        <v>57</v>
      </c>
      <c r="DOE2" s="377" t="s">
        <v>58</v>
      </c>
      <c r="DOF2" s="377" t="s">
        <v>59</v>
      </c>
      <c r="DOG2" s="377" t="s">
        <v>60</v>
      </c>
      <c r="DOH2" s="377" t="s">
        <v>61</v>
      </c>
      <c r="DOI2" s="377" t="s">
        <v>62</v>
      </c>
      <c r="DOJ2" s="377" t="s">
        <v>63</v>
      </c>
      <c r="DOK2" s="377" t="s">
        <v>64</v>
      </c>
      <c r="DOL2" s="377" t="s">
        <v>65</v>
      </c>
      <c r="DOM2" s="377" t="s">
        <v>66</v>
      </c>
      <c r="DON2" s="377" t="s">
        <v>67</v>
      </c>
      <c r="DOO2" s="377" t="s">
        <v>68</v>
      </c>
      <c r="DOP2" s="377" t="s">
        <v>69</v>
      </c>
      <c r="DOQ2" s="377" t="s">
        <v>70</v>
      </c>
      <c r="DOR2" s="377" t="s">
        <v>71</v>
      </c>
      <c r="DOS2" s="377" t="s">
        <v>72</v>
      </c>
      <c r="DOT2" s="377" t="s">
        <v>73</v>
      </c>
      <c r="DOU2" s="377" t="s">
        <v>74</v>
      </c>
      <c r="DOV2" s="377" t="s">
        <v>75</v>
      </c>
      <c r="DOW2" s="377" t="s">
        <v>76</v>
      </c>
      <c r="DOX2" s="377" t="s">
        <v>77</v>
      </c>
      <c r="DOY2" s="377" t="s">
        <v>78</v>
      </c>
      <c r="DOZ2" s="377" t="s">
        <v>79</v>
      </c>
      <c r="DPA2" s="377" t="s">
        <v>80</v>
      </c>
      <c r="DPB2" s="377" t="s">
        <v>81</v>
      </c>
      <c r="DPC2" s="377" t="s">
        <v>82</v>
      </c>
      <c r="DPD2" s="377" t="s">
        <v>83</v>
      </c>
      <c r="DPE2" s="377" t="s">
        <v>83</v>
      </c>
      <c r="DPF2" s="375" t="s">
        <v>41</v>
      </c>
      <c r="DPG2" s="375" t="s">
        <v>42</v>
      </c>
      <c r="DPH2" s="375" t="s">
        <v>43</v>
      </c>
      <c r="DPI2" s="375" t="s">
        <v>44</v>
      </c>
      <c r="DPJ2" s="375" t="s">
        <v>45</v>
      </c>
      <c r="DPK2" s="375" t="s">
        <v>46</v>
      </c>
      <c r="DPL2" s="375" t="s">
        <v>47</v>
      </c>
      <c r="DPM2" s="375" t="s">
        <v>48</v>
      </c>
      <c r="DPN2" s="375" t="s">
        <v>49</v>
      </c>
      <c r="DPO2" s="375" t="s">
        <v>50</v>
      </c>
      <c r="DPP2" s="375" t="s">
        <v>51</v>
      </c>
      <c r="DPQ2" s="375" t="s">
        <v>52</v>
      </c>
      <c r="DPR2" s="375" t="s">
        <v>53</v>
      </c>
      <c r="DPS2" s="375" t="s">
        <v>54</v>
      </c>
      <c r="DPT2" s="375" t="s">
        <v>55</v>
      </c>
      <c r="DPU2" s="375" t="s">
        <v>56</v>
      </c>
      <c r="DPV2" s="375" t="s">
        <v>57</v>
      </c>
      <c r="DPW2" s="375" t="s">
        <v>58</v>
      </c>
      <c r="DPX2" s="375" t="s">
        <v>59</v>
      </c>
      <c r="DPY2" s="375" t="s">
        <v>60</v>
      </c>
      <c r="DPZ2" s="375" t="s">
        <v>61</v>
      </c>
      <c r="DQA2" s="375" t="s">
        <v>62</v>
      </c>
      <c r="DQB2" s="375" t="s">
        <v>63</v>
      </c>
      <c r="DQC2" s="375" t="s">
        <v>64</v>
      </c>
      <c r="DQD2" s="375" t="s">
        <v>65</v>
      </c>
      <c r="DQE2" s="375" t="s">
        <v>66</v>
      </c>
      <c r="DQF2" s="375" t="s">
        <v>67</v>
      </c>
      <c r="DQG2" s="375" t="s">
        <v>68</v>
      </c>
      <c r="DQH2" s="375" t="s">
        <v>69</v>
      </c>
      <c r="DQI2" s="375" t="s">
        <v>70</v>
      </c>
      <c r="DQJ2" s="375" t="s">
        <v>71</v>
      </c>
      <c r="DQK2" s="375" t="s">
        <v>72</v>
      </c>
      <c r="DQL2" s="375" t="s">
        <v>73</v>
      </c>
      <c r="DQM2" s="375" t="s">
        <v>74</v>
      </c>
      <c r="DQN2" s="375" t="s">
        <v>75</v>
      </c>
      <c r="DQO2" s="375" t="s">
        <v>76</v>
      </c>
      <c r="DQP2" s="375" t="s">
        <v>77</v>
      </c>
      <c r="DQQ2" s="375" t="s">
        <v>78</v>
      </c>
      <c r="DQR2" s="375" t="s">
        <v>79</v>
      </c>
      <c r="DQS2" s="375" t="s">
        <v>80</v>
      </c>
      <c r="DQT2" s="375" t="s">
        <v>81</v>
      </c>
      <c r="DQU2" s="375" t="s">
        <v>82</v>
      </c>
      <c r="DQV2" s="375" t="s">
        <v>83</v>
      </c>
      <c r="DQW2" s="375" t="s">
        <v>83</v>
      </c>
      <c r="DQX2" s="377" t="s">
        <v>1361</v>
      </c>
      <c r="DQY2" s="377" t="s">
        <v>42</v>
      </c>
      <c r="DQZ2" s="377" t="s">
        <v>1362</v>
      </c>
      <c r="DRA2" s="377" t="s">
        <v>1363</v>
      </c>
      <c r="DRB2" s="377" t="s">
        <v>45</v>
      </c>
      <c r="DRC2" s="377" t="s">
        <v>46</v>
      </c>
      <c r="DRD2" s="377" t="s">
        <v>47</v>
      </c>
      <c r="DRE2" s="377" t="s">
        <v>48</v>
      </c>
      <c r="DRF2" s="377" t="s">
        <v>49</v>
      </c>
      <c r="DRG2" s="377" t="s">
        <v>50</v>
      </c>
      <c r="DRH2" s="377" t="s">
        <v>51</v>
      </c>
      <c r="DRI2" s="377" t="s">
        <v>52</v>
      </c>
      <c r="DRJ2" s="377" t="s">
        <v>53</v>
      </c>
      <c r="DRK2" s="377" t="s">
        <v>54</v>
      </c>
      <c r="DRL2" s="377" t="s">
        <v>55</v>
      </c>
      <c r="DRM2" s="377" t="s">
        <v>56</v>
      </c>
      <c r="DRN2" s="377" t="s">
        <v>57</v>
      </c>
      <c r="DRO2" s="377" t="s">
        <v>58</v>
      </c>
      <c r="DRP2" s="377" t="s">
        <v>59</v>
      </c>
      <c r="DRQ2" s="377" t="s">
        <v>60</v>
      </c>
      <c r="DRR2" s="377" t="s">
        <v>61</v>
      </c>
      <c r="DRS2" s="377" t="s">
        <v>62</v>
      </c>
      <c r="DRT2" s="377" t="s">
        <v>63</v>
      </c>
      <c r="DRU2" s="377" t="s">
        <v>64</v>
      </c>
      <c r="DRV2" s="377" t="s">
        <v>65</v>
      </c>
      <c r="DRW2" s="377" t="s">
        <v>66</v>
      </c>
      <c r="DRX2" s="377" t="s">
        <v>67</v>
      </c>
      <c r="DRY2" s="377" t="s">
        <v>68</v>
      </c>
      <c r="DRZ2" s="377" t="s">
        <v>69</v>
      </c>
      <c r="DSA2" s="377" t="s">
        <v>70</v>
      </c>
      <c r="DSB2" s="377" t="s">
        <v>71</v>
      </c>
      <c r="DSC2" s="377" t="s">
        <v>72</v>
      </c>
      <c r="DSD2" s="377" t="s">
        <v>73</v>
      </c>
      <c r="DSE2" s="377" t="s">
        <v>74</v>
      </c>
      <c r="DSF2" s="377" t="s">
        <v>75</v>
      </c>
      <c r="DSG2" s="377" t="s">
        <v>76</v>
      </c>
      <c r="DSH2" s="377" t="s">
        <v>77</v>
      </c>
      <c r="DSI2" s="377" t="s">
        <v>78</v>
      </c>
      <c r="DSJ2" s="377" t="s">
        <v>79</v>
      </c>
      <c r="DSK2" s="377" t="s">
        <v>80</v>
      </c>
      <c r="DSL2" s="377" t="s">
        <v>81</v>
      </c>
      <c r="DSM2" s="377" t="s">
        <v>82</v>
      </c>
      <c r="DSN2" s="377" t="s">
        <v>83</v>
      </c>
      <c r="DSO2" s="377" t="s">
        <v>83</v>
      </c>
      <c r="DSP2" s="375" t="s">
        <v>41</v>
      </c>
      <c r="DSQ2" s="375" t="s">
        <v>42</v>
      </c>
      <c r="DSR2" s="375" t="s">
        <v>43</v>
      </c>
      <c r="DSS2" s="375" t="s">
        <v>44</v>
      </c>
      <c r="DST2" s="375" t="s">
        <v>45</v>
      </c>
      <c r="DSU2" s="375" t="s">
        <v>46</v>
      </c>
      <c r="DSV2" s="375" t="s">
        <v>47</v>
      </c>
      <c r="DSW2" s="375" t="s">
        <v>48</v>
      </c>
      <c r="DSX2" s="375" t="s">
        <v>49</v>
      </c>
      <c r="DSY2" s="375" t="s">
        <v>50</v>
      </c>
      <c r="DSZ2" s="375" t="s">
        <v>51</v>
      </c>
      <c r="DTA2" s="375" t="s">
        <v>52</v>
      </c>
      <c r="DTB2" s="375" t="s">
        <v>53</v>
      </c>
      <c r="DTC2" s="375" t="s">
        <v>54</v>
      </c>
      <c r="DTD2" s="375" t="s">
        <v>55</v>
      </c>
      <c r="DTE2" s="375" t="s">
        <v>56</v>
      </c>
      <c r="DTF2" s="375" t="s">
        <v>57</v>
      </c>
      <c r="DTG2" s="375" t="s">
        <v>58</v>
      </c>
      <c r="DTH2" s="375" t="s">
        <v>59</v>
      </c>
      <c r="DTI2" s="375" t="s">
        <v>60</v>
      </c>
      <c r="DTJ2" s="375" t="s">
        <v>61</v>
      </c>
      <c r="DTK2" s="375" t="s">
        <v>62</v>
      </c>
      <c r="DTL2" s="375" t="s">
        <v>63</v>
      </c>
      <c r="DTM2" s="375" t="s">
        <v>64</v>
      </c>
      <c r="DTN2" s="375" t="s">
        <v>65</v>
      </c>
      <c r="DTO2" s="375" t="s">
        <v>66</v>
      </c>
      <c r="DTP2" s="375" t="s">
        <v>67</v>
      </c>
      <c r="DTQ2" s="375" t="s">
        <v>68</v>
      </c>
      <c r="DTR2" s="375" t="s">
        <v>69</v>
      </c>
      <c r="DTS2" s="375" t="s">
        <v>70</v>
      </c>
      <c r="DTT2" s="375" t="s">
        <v>71</v>
      </c>
      <c r="DTU2" s="375" t="s">
        <v>72</v>
      </c>
      <c r="DTV2" s="375" t="s">
        <v>73</v>
      </c>
      <c r="DTW2" s="375" t="s">
        <v>74</v>
      </c>
      <c r="DTX2" s="375" t="s">
        <v>75</v>
      </c>
      <c r="DTY2" s="375" t="s">
        <v>76</v>
      </c>
      <c r="DTZ2" s="375" t="s">
        <v>77</v>
      </c>
      <c r="DUA2" s="375" t="s">
        <v>78</v>
      </c>
      <c r="DUB2" s="375" t="s">
        <v>79</v>
      </c>
      <c r="DUC2" s="375" t="s">
        <v>80</v>
      </c>
      <c r="DUD2" s="375" t="s">
        <v>81</v>
      </c>
      <c r="DUE2" s="375" t="s">
        <v>82</v>
      </c>
      <c r="DUF2" s="375" t="s">
        <v>83</v>
      </c>
      <c r="DUG2" s="375" t="s">
        <v>83</v>
      </c>
      <c r="DUH2" s="377" t="s">
        <v>1361</v>
      </c>
      <c r="DUI2" s="377" t="s">
        <v>42</v>
      </c>
      <c r="DUJ2" s="377" t="s">
        <v>1362</v>
      </c>
      <c r="DUK2" s="377" t="s">
        <v>1363</v>
      </c>
      <c r="DUL2" s="377" t="s">
        <v>45</v>
      </c>
      <c r="DUM2" s="377" t="s">
        <v>46</v>
      </c>
      <c r="DUN2" s="377" t="s">
        <v>47</v>
      </c>
      <c r="DUO2" s="377" t="s">
        <v>48</v>
      </c>
      <c r="DUP2" s="377" t="s">
        <v>49</v>
      </c>
      <c r="DUQ2" s="377" t="s">
        <v>50</v>
      </c>
      <c r="DUR2" s="377" t="s">
        <v>51</v>
      </c>
      <c r="DUS2" s="377" t="s">
        <v>52</v>
      </c>
      <c r="DUT2" s="377" t="s">
        <v>53</v>
      </c>
      <c r="DUU2" s="377" t="s">
        <v>54</v>
      </c>
      <c r="DUV2" s="377" t="s">
        <v>55</v>
      </c>
      <c r="DUW2" s="377" t="s">
        <v>56</v>
      </c>
      <c r="DUX2" s="377" t="s">
        <v>57</v>
      </c>
      <c r="DUY2" s="377" t="s">
        <v>58</v>
      </c>
      <c r="DUZ2" s="377" t="s">
        <v>59</v>
      </c>
      <c r="DVA2" s="377" t="s">
        <v>60</v>
      </c>
      <c r="DVB2" s="377" t="s">
        <v>61</v>
      </c>
      <c r="DVC2" s="377" t="s">
        <v>62</v>
      </c>
      <c r="DVD2" s="377" t="s">
        <v>63</v>
      </c>
      <c r="DVE2" s="377" t="s">
        <v>64</v>
      </c>
      <c r="DVF2" s="377" t="s">
        <v>65</v>
      </c>
      <c r="DVG2" s="377" t="s">
        <v>66</v>
      </c>
      <c r="DVH2" s="377" t="s">
        <v>67</v>
      </c>
      <c r="DVI2" s="377" t="s">
        <v>68</v>
      </c>
      <c r="DVJ2" s="377" t="s">
        <v>69</v>
      </c>
      <c r="DVK2" s="377" t="s">
        <v>70</v>
      </c>
      <c r="DVL2" s="377" t="s">
        <v>71</v>
      </c>
      <c r="DVM2" s="377" t="s">
        <v>72</v>
      </c>
      <c r="DVN2" s="377" t="s">
        <v>73</v>
      </c>
      <c r="DVO2" s="377" t="s">
        <v>74</v>
      </c>
      <c r="DVP2" s="377" t="s">
        <v>75</v>
      </c>
      <c r="DVQ2" s="377" t="s">
        <v>76</v>
      </c>
      <c r="DVR2" s="377" t="s">
        <v>77</v>
      </c>
      <c r="DVS2" s="377" t="s">
        <v>78</v>
      </c>
      <c r="DVT2" s="377" t="s">
        <v>79</v>
      </c>
      <c r="DVU2" s="377" t="s">
        <v>80</v>
      </c>
      <c r="DVV2" s="377" t="s">
        <v>81</v>
      </c>
      <c r="DVW2" s="377" t="s">
        <v>82</v>
      </c>
      <c r="DVX2" s="377" t="s">
        <v>83</v>
      </c>
      <c r="DVY2" s="377" t="s">
        <v>83</v>
      </c>
      <c r="DVZ2" s="375" t="s">
        <v>41</v>
      </c>
      <c r="DWA2" s="375" t="s">
        <v>42</v>
      </c>
      <c r="DWB2" s="375" t="s">
        <v>43</v>
      </c>
      <c r="DWC2" s="375" t="s">
        <v>44</v>
      </c>
      <c r="DWD2" s="375" t="s">
        <v>45</v>
      </c>
      <c r="DWE2" s="375" t="s">
        <v>46</v>
      </c>
      <c r="DWF2" s="375" t="s">
        <v>47</v>
      </c>
      <c r="DWG2" s="375" t="s">
        <v>48</v>
      </c>
      <c r="DWH2" s="375" t="s">
        <v>49</v>
      </c>
      <c r="DWI2" s="375" t="s">
        <v>50</v>
      </c>
      <c r="DWJ2" s="375" t="s">
        <v>51</v>
      </c>
      <c r="DWK2" s="375" t="s">
        <v>52</v>
      </c>
      <c r="DWL2" s="375" t="s">
        <v>53</v>
      </c>
      <c r="DWM2" s="375" t="s">
        <v>54</v>
      </c>
      <c r="DWN2" s="375" t="s">
        <v>55</v>
      </c>
      <c r="DWO2" s="375" t="s">
        <v>56</v>
      </c>
      <c r="DWP2" s="375" t="s">
        <v>57</v>
      </c>
      <c r="DWQ2" s="375" t="s">
        <v>58</v>
      </c>
      <c r="DWR2" s="375" t="s">
        <v>59</v>
      </c>
      <c r="DWS2" s="375" t="s">
        <v>60</v>
      </c>
      <c r="DWT2" s="375" t="s">
        <v>61</v>
      </c>
      <c r="DWU2" s="375" t="s">
        <v>62</v>
      </c>
      <c r="DWV2" s="375" t="s">
        <v>63</v>
      </c>
      <c r="DWW2" s="375" t="s">
        <v>64</v>
      </c>
      <c r="DWX2" s="375" t="s">
        <v>65</v>
      </c>
      <c r="DWY2" s="375" t="s">
        <v>66</v>
      </c>
      <c r="DWZ2" s="375" t="s">
        <v>67</v>
      </c>
      <c r="DXA2" s="375" t="s">
        <v>68</v>
      </c>
      <c r="DXB2" s="375" t="s">
        <v>69</v>
      </c>
      <c r="DXC2" s="375" t="s">
        <v>70</v>
      </c>
      <c r="DXD2" s="375" t="s">
        <v>71</v>
      </c>
      <c r="DXE2" s="375" t="s">
        <v>72</v>
      </c>
      <c r="DXF2" s="375" t="s">
        <v>73</v>
      </c>
      <c r="DXG2" s="375" t="s">
        <v>74</v>
      </c>
      <c r="DXH2" s="375" t="s">
        <v>75</v>
      </c>
      <c r="DXI2" s="375" t="s">
        <v>76</v>
      </c>
      <c r="DXJ2" s="375" t="s">
        <v>77</v>
      </c>
      <c r="DXK2" s="375" t="s">
        <v>78</v>
      </c>
      <c r="DXL2" s="375" t="s">
        <v>79</v>
      </c>
      <c r="DXM2" s="375" t="s">
        <v>80</v>
      </c>
      <c r="DXN2" s="375" t="s">
        <v>81</v>
      </c>
      <c r="DXO2" s="375" t="s">
        <v>82</v>
      </c>
      <c r="DXP2" s="375" t="s">
        <v>83</v>
      </c>
      <c r="DXQ2" s="375" t="s">
        <v>83</v>
      </c>
      <c r="DXR2" s="377" t="s">
        <v>1361</v>
      </c>
      <c r="DXS2" s="377" t="s">
        <v>42</v>
      </c>
      <c r="DXT2" s="377" t="s">
        <v>1362</v>
      </c>
      <c r="DXU2" s="377" t="s">
        <v>1363</v>
      </c>
      <c r="DXV2" s="377" t="s">
        <v>45</v>
      </c>
      <c r="DXW2" s="377" t="s">
        <v>46</v>
      </c>
      <c r="DXX2" s="377" t="s">
        <v>47</v>
      </c>
      <c r="DXY2" s="377" t="s">
        <v>48</v>
      </c>
      <c r="DXZ2" s="377" t="s">
        <v>49</v>
      </c>
      <c r="DYA2" s="377" t="s">
        <v>50</v>
      </c>
      <c r="DYB2" s="377" t="s">
        <v>51</v>
      </c>
      <c r="DYC2" s="377" t="s">
        <v>52</v>
      </c>
      <c r="DYD2" s="377" t="s">
        <v>53</v>
      </c>
      <c r="DYE2" s="377" t="s">
        <v>54</v>
      </c>
      <c r="DYF2" s="377" t="s">
        <v>55</v>
      </c>
      <c r="DYG2" s="377" t="s">
        <v>56</v>
      </c>
      <c r="DYH2" s="377" t="s">
        <v>57</v>
      </c>
      <c r="DYI2" s="377" t="s">
        <v>58</v>
      </c>
      <c r="DYJ2" s="377" t="s">
        <v>59</v>
      </c>
      <c r="DYK2" s="377" t="s">
        <v>60</v>
      </c>
      <c r="DYL2" s="377" t="s">
        <v>61</v>
      </c>
      <c r="DYM2" s="377" t="s">
        <v>62</v>
      </c>
      <c r="DYN2" s="377" t="s">
        <v>63</v>
      </c>
      <c r="DYO2" s="377" t="s">
        <v>64</v>
      </c>
      <c r="DYP2" s="377" t="s">
        <v>65</v>
      </c>
      <c r="DYQ2" s="377" t="s">
        <v>66</v>
      </c>
      <c r="DYR2" s="377" t="s">
        <v>67</v>
      </c>
      <c r="DYS2" s="377" t="s">
        <v>68</v>
      </c>
      <c r="DYT2" s="377" t="s">
        <v>69</v>
      </c>
      <c r="DYU2" s="377" t="s">
        <v>70</v>
      </c>
      <c r="DYV2" s="377" t="s">
        <v>71</v>
      </c>
      <c r="DYW2" s="377" t="s">
        <v>72</v>
      </c>
      <c r="DYX2" s="377" t="s">
        <v>73</v>
      </c>
      <c r="DYY2" s="377" t="s">
        <v>74</v>
      </c>
      <c r="DYZ2" s="377" t="s">
        <v>75</v>
      </c>
      <c r="DZA2" s="377" t="s">
        <v>76</v>
      </c>
      <c r="DZB2" s="377" t="s">
        <v>77</v>
      </c>
      <c r="DZC2" s="377" t="s">
        <v>78</v>
      </c>
      <c r="DZD2" s="377" t="s">
        <v>79</v>
      </c>
      <c r="DZE2" s="377" t="s">
        <v>80</v>
      </c>
      <c r="DZF2" s="377" t="s">
        <v>81</v>
      </c>
      <c r="DZG2" s="377" t="s">
        <v>82</v>
      </c>
      <c r="DZH2" s="377" t="s">
        <v>83</v>
      </c>
      <c r="DZI2" s="377" t="s">
        <v>83</v>
      </c>
      <c r="DZJ2" s="375" t="s">
        <v>41</v>
      </c>
      <c r="DZK2" s="375" t="s">
        <v>42</v>
      </c>
      <c r="DZL2" s="375" t="s">
        <v>43</v>
      </c>
      <c r="DZM2" s="375" t="s">
        <v>44</v>
      </c>
      <c r="DZN2" s="375" t="s">
        <v>45</v>
      </c>
      <c r="DZO2" s="375" t="s">
        <v>46</v>
      </c>
      <c r="DZP2" s="375" t="s">
        <v>47</v>
      </c>
      <c r="DZQ2" s="375" t="s">
        <v>48</v>
      </c>
      <c r="DZR2" s="375" t="s">
        <v>49</v>
      </c>
      <c r="DZS2" s="375" t="s">
        <v>50</v>
      </c>
      <c r="DZT2" s="375" t="s">
        <v>51</v>
      </c>
      <c r="DZU2" s="375" t="s">
        <v>52</v>
      </c>
      <c r="DZV2" s="375" t="s">
        <v>53</v>
      </c>
      <c r="DZW2" s="375" t="s">
        <v>54</v>
      </c>
      <c r="DZX2" s="375" t="s">
        <v>55</v>
      </c>
      <c r="DZY2" s="375" t="s">
        <v>56</v>
      </c>
      <c r="DZZ2" s="375" t="s">
        <v>57</v>
      </c>
      <c r="EAA2" s="375" t="s">
        <v>58</v>
      </c>
      <c r="EAB2" s="375" t="s">
        <v>59</v>
      </c>
      <c r="EAC2" s="375" t="s">
        <v>60</v>
      </c>
      <c r="EAD2" s="375" t="s">
        <v>61</v>
      </c>
      <c r="EAE2" s="375" t="s">
        <v>62</v>
      </c>
      <c r="EAF2" s="375" t="s">
        <v>63</v>
      </c>
      <c r="EAG2" s="375" t="s">
        <v>64</v>
      </c>
      <c r="EAH2" s="375" t="s">
        <v>65</v>
      </c>
      <c r="EAI2" s="375" t="s">
        <v>66</v>
      </c>
      <c r="EAJ2" s="375" t="s">
        <v>67</v>
      </c>
      <c r="EAK2" s="375" t="s">
        <v>68</v>
      </c>
      <c r="EAL2" s="375" t="s">
        <v>69</v>
      </c>
      <c r="EAM2" s="375" t="s">
        <v>70</v>
      </c>
      <c r="EAN2" s="375" t="s">
        <v>71</v>
      </c>
      <c r="EAO2" s="375" t="s">
        <v>72</v>
      </c>
      <c r="EAP2" s="375" t="s">
        <v>73</v>
      </c>
      <c r="EAQ2" s="375" t="s">
        <v>74</v>
      </c>
      <c r="EAR2" s="375" t="s">
        <v>75</v>
      </c>
      <c r="EAS2" s="375" t="s">
        <v>76</v>
      </c>
      <c r="EAT2" s="375" t="s">
        <v>77</v>
      </c>
      <c r="EAU2" s="375" t="s">
        <v>78</v>
      </c>
      <c r="EAV2" s="375" t="s">
        <v>79</v>
      </c>
      <c r="EAW2" s="375" t="s">
        <v>80</v>
      </c>
      <c r="EAX2" s="375" t="s">
        <v>81</v>
      </c>
      <c r="EAY2" s="375" t="s">
        <v>82</v>
      </c>
      <c r="EAZ2" s="375" t="s">
        <v>83</v>
      </c>
      <c r="EBA2" s="375" t="s">
        <v>83</v>
      </c>
      <c r="EBB2" s="377" t="s">
        <v>1361</v>
      </c>
      <c r="EBC2" s="377" t="s">
        <v>42</v>
      </c>
      <c r="EBD2" s="377" t="s">
        <v>1362</v>
      </c>
      <c r="EBE2" s="377" t="s">
        <v>1363</v>
      </c>
      <c r="EBF2" s="377" t="s">
        <v>45</v>
      </c>
      <c r="EBG2" s="377" t="s">
        <v>46</v>
      </c>
      <c r="EBH2" s="377" t="s">
        <v>47</v>
      </c>
      <c r="EBI2" s="377" t="s">
        <v>48</v>
      </c>
      <c r="EBJ2" s="377" t="s">
        <v>49</v>
      </c>
      <c r="EBK2" s="377" t="s">
        <v>50</v>
      </c>
      <c r="EBL2" s="377" t="s">
        <v>51</v>
      </c>
      <c r="EBM2" s="377" t="s">
        <v>52</v>
      </c>
      <c r="EBN2" s="377" t="s">
        <v>53</v>
      </c>
      <c r="EBO2" s="377" t="s">
        <v>54</v>
      </c>
      <c r="EBP2" s="377" t="s">
        <v>55</v>
      </c>
      <c r="EBQ2" s="377" t="s">
        <v>56</v>
      </c>
      <c r="EBR2" s="377" t="s">
        <v>57</v>
      </c>
      <c r="EBS2" s="377" t="s">
        <v>58</v>
      </c>
      <c r="EBT2" s="377" t="s">
        <v>59</v>
      </c>
      <c r="EBU2" s="377" t="s">
        <v>60</v>
      </c>
      <c r="EBV2" s="377" t="s">
        <v>61</v>
      </c>
      <c r="EBW2" s="377" t="s">
        <v>62</v>
      </c>
      <c r="EBX2" s="377" t="s">
        <v>63</v>
      </c>
      <c r="EBY2" s="377" t="s">
        <v>64</v>
      </c>
      <c r="EBZ2" s="377" t="s">
        <v>65</v>
      </c>
      <c r="ECA2" s="377" t="s">
        <v>66</v>
      </c>
      <c r="ECB2" s="377" t="s">
        <v>67</v>
      </c>
      <c r="ECC2" s="377" t="s">
        <v>68</v>
      </c>
      <c r="ECD2" s="377" t="s">
        <v>69</v>
      </c>
      <c r="ECE2" s="377" t="s">
        <v>70</v>
      </c>
      <c r="ECF2" s="377" t="s">
        <v>71</v>
      </c>
      <c r="ECG2" s="377" t="s">
        <v>72</v>
      </c>
      <c r="ECH2" s="377" t="s">
        <v>73</v>
      </c>
      <c r="ECI2" s="377" t="s">
        <v>74</v>
      </c>
      <c r="ECJ2" s="377" t="s">
        <v>75</v>
      </c>
      <c r="ECK2" s="377" t="s">
        <v>76</v>
      </c>
      <c r="ECL2" s="377" t="s">
        <v>77</v>
      </c>
      <c r="ECM2" s="377" t="s">
        <v>78</v>
      </c>
      <c r="ECN2" s="377" t="s">
        <v>79</v>
      </c>
      <c r="ECO2" s="377" t="s">
        <v>80</v>
      </c>
      <c r="ECP2" s="377" t="s">
        <v>81</v>
      </c>
      <c r="ECQ2" s="377" t="s">
        <v>82</v>
      </c>
      <c r="ECR2" s="377" t="s">
        <v>83</v>
      </c>
      <c r="ECS2" s="377" t="s">
        <v>83</v>
      </c>
      <c r="ECT2" s="375" t="s">
        <v>41</v>
      </c>
      <c r="ECU2" s="375" t="s">
        <v>42</v>
      </c>
      <c r="ECV2" s="375" t="s">
        <v>43</v>
      </c>
      <c r="ECW2" s="375" t="s">
        <v>44</v>
      </c>
      <c r="ECX2" s="375" t="s">
        <v>45</v>
      </c>
      <c r="ECY2" s="375" t="s">
        <v>46</v>
      </c>
      <c r="ECZ2" s="375" t="s">
        <v>47</v>
      </c>
      <c r="EDA2" s="375" t="s">
        <v>48</v>
      </c>
      <c r="EDB2" s="375" t="s">
        <v>49</v>
      </c>
      <c r="EDC2" s="375" t="s">
        <v>50</v>
      </c>
      <c r="EDD2" s="375" t="s">
        <v>51</v>
      </c>
      <c r="EDE2" s="375" t="s">
        <v>52</v>
      </c>
      <c r="EDF2" s="375" t="s">
        <v>53</v>
      </c>
      <c r="EDG2" s="375" t="s">
        <v>54</v>
      </c>
      <c r="EDH2" s="375" t="s">
        <v>55</v>
      </c>
      <c r="EDI2" s="375" t="s">
        <v>56</v>
      </c>
      <c r="EDJ2" s="375" t="s">
        <v>57</v>
      </c>
      <c r="EDK2" s="375" t="s">
        <v>58</v>
      </c>
      <c r="EDL2" s="375" t="s">
        <v>59</v>
      </c>
      <c r="EDM2" s="375" t="s">
        <v>60</v>
      </c>
      <c r="EDN2" s="375" t="s">
        <v>61</v>
      </c>
      <c r="EDO2" s="375" t="s">
        <v>62</v>
      </c>
      <c r="EDP2" s="375" t="s">
        <v>63</v>
      </c>
      <c r="EDQ2" s="375" t="s">
        <v>64</v>
      </c>
      <c r="EDR2" s="375" t="s">
        <v>65</v>
      </c>
      <c r="EDS2" s="375" t="s">
        <v>66</v>
      </c>
      <c r="EDT2" s="375" t="s">
        <v>67</v>
      </c>
      <c r="EDU2" s="375" t="s">
        <v>68</v>
      </c>
      <c r="EDV2" s="375" t="s">
        <v>69</v>
      </c>
      <c r="EDW2" s="375" t="s">
        <v>70</v>
      </c>
      <c r="EDX2" s="375" t="s">
        <v>71</v>
      </c>
      <c r="EDY2" s="375" t="s">
        <v>72</v>
      </c>
      <c r="EDZ2" s="375" t="s">
        <v>73</v>
      </c>
      <c r="EEA2" s="375" t="s">
        <v>74</v>
      </c>
      <c r="EEB2" s="375" t="s">
        <v>75</v>
      </c>
      <c r="EEC2" s="375" t="s">
        <v>76</v>
      </c>
      <c r="EED2" s="375" t="s">
        <v>77</v>
      </c>
      <c r="EEE2" s="375" t="s">
        <v>78</v>
      </c>
      <c r="EEF2" s="375" t="s">
        <v>79</v>
      </c>
      <c r="EEG2" s="375" t="s">
        <v>80</v>
      </c>
      <c r="EEH2" s="375" t="s">
        <v>81</v>
      </c>
      <c r="EEI2" s="375" t="s">
        <v>82</v>
      </c>
      <c r="EEJ2" s="375" t="s">
        <v>83</v>
      </c>
      <c r="EEK2" s="375" t="s">
        <v>83</v>
      </c>
      <c r="EEL2" s="377" t="s">
        <v>1361</v>
      </c>
      <c r="EEM2" s="377" t="s">
        <v>42</v>
      </c>
      <c r="EEN2" s="377" t="s">
        <v>1362</v>
      </c>
      <c r="EEO2" s="377" t="s">
        <v>1363</v>
      </c>
      <c r="EEP2" s="377" t="s">
        <v>45</v>
      </c>
      <c r="EEQ2" s="377" t="s">
        <v>46</v>
      </c>
      <c r="EER2" s="377" t="s">
        <v>47</v>
      </c>
      <c r="EES2" s="377" t="s">
        <v>48</v>
      </c>
      <c r="EET2" s="377" t="s">
        <v>49</v>
      </c>
      <c r="EEU2" s="377" t="s">
        <v>50</v>
      </c>
      <c r="EEV2" s="377" t="s">
        <v>51</v>
      </c>
      <c r="EEW2" s="377" t="s">
        <v>52</v>
      </c>
      <c r="EEX2" s="377" t="s">
        <v>53</v>
      </c>
      <c r="EEY2" s="377" t="s">
        <v>54</v>
      </c>
      <c r="EEZ2" s="377" t="s">
        <v>55</v>
      </c>
      <c r="EFA2" s="377" t="s">
        <v>56</v>
      </c>
      <c r="EFB2" s="377" t="s">
        <v>57</v>
      </c>
      <c r="EFC2" s="377" t="s">
        <v>58</v>
      </c>
      <c r="EFD2" s="377" t="s">
        <v>59</v>
      </c>
      <c r="EFE2" s="377" t="s">
        <v>60</v>
      </c>
      <c r="EFF2" s="377" t="s">
        <v>61</v>
      </c>
      <c r="EFG2" s="377" t="s">
        <v>62</v>
      </c>
      <c r="EFH2" s="377" t="s">
        <v>63</v>
      </c>
      <c r="EFI2" s="377" t="s">
        <v>64</v>
      </c>
      <c r="EFJ2" s="377" t="s">
        <v>65</v>
      </c>
      <c r="EFK2" s="377" t="s">
        <v>66</v>
      </c>
      <c r="EFL2" s="377" t="s">
        <v>67</v>
      </c>
      <c r="EFM2" s="377" t="s">
        <v>68</v>
      </c>
      <c r="EFN2" s="377" t="s">
        <v>69</v>
      </c>
      <c r="EFO2" s="377" t="s">
        <v>70</v>
      </c>
      <c r="EFP2" s="377" t="s">
        <v>71</v>
      </c>
      <c r="EFQ2" s="377" t="s">
        <v>72</v>
      </c>
      <c r="EFR2" s="377" t="s">
        <v>73</v>
      </c>
      <c r="EFS2" s="377" t="s">
        <v>74</v>
      </c>
      <c r="EFT2" s="377" t="s">
        <v>75</v>
      </c>
      <c r="EFU2" s="377" t="s">
        <v>76</v>
      </c>
      <c r="EFV2" s="377" t="s">
        <v>77</v>
      </c>
      <c r="EFW2" s="377" t="s">
        <v>78</v>
      </c>
      <c r="EFX2" s="377" t="s">
        <v>79</v>
      </c>
      <c r="EFY2" s="377" t="s">
        <v>80</v>
      </c>
      <c r="EFZ2" s="377" t="s">
        <v>81</v>
      </c>
      <c r="EGA2" s="377" t="s">
        <v>82</v>
      </c>
      <c r="EGB2" s="377" t="s">
        <v>83</v>
      </c>
      <c r="EGC2" s="377" t="s">
        <v>83</v>
      </c>
      <c r="EGD2" s="375" t="s">
        <v>41</v>
      </c>
      <c r="EGE2" s="375" t="s">
        <v>42</v>
      </c>
      <c r="EGF2" s="375" t="s">
        <v>43</v>
      </c>
      <c r="EGG2" s="375" t="s">
        <v>44</v>
      </c>
      <c r="EGH2" s="375" t="s">
        <v>45</v>
      </c>
      <c r="EGI2" s="375" t="s">
        <v>46</v>
      </c>
      <c r="EGJ2" s="375" t="s">
        <v>47</v>
      </c>
      <c r="EGK2" s="375" t="s">
        <v>48</v>
      </c>
      <c r="EGL2" s="375" t="s">
        <v>49</v>
      </c>
      <c r="EGM2" s="375" t="s">
        <v>50</v>
      </c>
      <c r="EGN2" s="375" t="s">
        <v>51</v>
      </c>
      <c r="EGO2" s="375" t="s">
        <v>52</v>
      </c>
      <c r="EGP2" s="375" t="s">
        <v>53</v>
      </c>
      <c r="EGQ2" s="375" t="s">
        <v>54</v>
      </c>
      <c r="EGR2" s="375" t="s">
        <v>55</v>
      </c>
      <c r="EGS2" s="375" t="s">
        <v>56</v>
      </c>
      <c r="EGT2" s="375" t="s">
        <v>57</v>
      </c>
      <c r="EGU2" s="375" t="s">
        <v>58</v>
      </c>
      <c r="EGV2" s="375" t="s">
        <v>59</v>
      </c>
      <c r="EGW2" s="375" t="s">
        <v>60</v>
      </c>
      <c r="EGX2" s="375" t="s">
        <v>61</v>
      </c>
      <c r="EGY2" s="375" t="s">
        <v>62</v>
      </c>
      <c r="EGZ2" s="375" t="s">
        <v>63</v>
      </c>
      <c r="EHA2" s="375" t="s">
        <v>64</v>
      </c>
      <c r="EHB2" s="375" t="s">
        <v>65</v>
      </c>
      <c r="EHC2" s="375" t="s">
        <v>66</v>
      </c>
      <c r="EHD2" s="375" t="s">
        <v>67</v>
      </c>
      <c r="EHE2" s="375" t="s">
        <v>68</v>
      </c>
      <c r="EHF2" s="375" t="s">
        <v>69</v>
      </c>
      <c r="EHG2" s="375" t="s">
        <v>70</v>
      </c>
      <c r="EHH2" s="375" t="s">
        <v>71</v>
      </c>
      <c r="EHI2" s="375" t="s">
        <v>72</v>
      </c>
      <c r="EHJ2" s="375" t="s">
        <v>73</v>
      </c>
      <c r="EHK2" s="375" t="s">
        <v>74</v>
      </c>
      <c r="EHL2" s="375" t="s">
        <v>75</v>
      </c>
      <c r="EHM2" s="375" t="s">
        <v>76</v>
      </c>
      <c r="EHN2" s="375" t="s">
        <v>77</v>
      </c>
      <c r="EHO2" s="375" t="s">
        <v>78</v>
      </c>
      <c r="EHP2" s="375" t="s">
        <v>79</v>
      </c>
      <c r="EHQ2" s="375" t="s">
        <v>80</v>
      </c>
      <c r="EHR2" s="375" t="s">
        <v>81</v>
      </c>
      <c r="EHS2" s="375" t="s">
        <v>82</v>
      </c>
      <c r="EHT2" s="375" t="s">
        <v>83</v>
      </c>
      <c r="EHU2" s="375" t="s">
        <v>83</v>
      </c>
      <c r="EHV2" s="377" t="s">
        <v>1361</v>
      </c>
      <c r="EHW2" s="377" t="s">
        <v>42</v>
      </c>
      <c r="EHX2" s="377" t="s">
        <v>1362</v>
      </c>
      <c r="EHY2" s="377" t="s">
        <v>1363</v>
      </c>
      <c r="EHZ2" s="377" t="s">
        <v>45</v>
      </c>
      <c r="EIA2" s="377" t="s">
        <v>46</v>
      </c>
      <c r="EIB2" s="377" t="s">
        <v>47</v>
      </c>
      <c r="EIC2" s="377" t="s">
        <v>48</v>
      </c>
      <c r="EID2" s="377" t="s">
        <v>49</v>
      </c>
      <c r="EIE2" s="377" t="s">
        <v>50</v>
      </c>
      <c r="EIF2" s="377" t="s">
        <v>51</v>
      </c>
      <c r="EIG2" s="377" t="s">
        <v>52</v>
      </c>
      <c r="EIH2" s="377" t="s">
        <v>53</v>
      </c>
      <c r="EII2" s="377" t="s">
        <v>54</v>
      </c>
      <c r="EIJ2" s="377" t="s">
        <v>55</v>
      </c>
      <c r="EIK2" s="377" t="s">
        <v>56</v>
      </c>
      <c r="EIL2" s="377" t="s">
        <v>57</v>
      </c>
      <c r="EIM2" s="377" t="s">
        <v>58</v>
      </c>
      <c r="EIN2" s="377" t="s">
        <v>59</v>
      </c>
      <c r="EIO2" s="377" t="s">
        <v>60</v>
      </c>
      <c r="EIP2" s="377" t="s">
        <v>61</v>
      </c>
      <c r="EIQ2" s="377" t="s">
        <v>62</v>
      </c>
      <c r="EIR2" s="377" t="s">
        <v>63</v>
      </c>
      <c r="EIS2" s="377" t="s">
        <v>64</v>
      </c>
      <c r="EIT2" s="377" t="s">
        <v>65</v>
      </c>
      <c r="EIU2" s="377" t="s">
        <v>66</v>
      </c>
      <c r="EIV2" s="377" t="s">
        <v>67</v>
      </c>
      <c r="EIW2" s="377" t="s">
        <v>68</v>
      </c>
      <c r="EIX2" s="377" t="s">
        <v>69</v>
      </c>
      <c r="EIY2" s="377" t="s">
        <v>70</v>
      </c>
      <c r="EIZ2" s="377" t="s">
        <v>71</v>
      </c>
      <c r="EJA2" s="377" t="s">
        <v>72</v>
      </c>
      <c r="EJB2" s="377" t="s">
        <v>73</v>
      </c>
      <c r="EJC2" s="377" t="s">
        <v>74</v>
      </c>
      <c r="EJD2" s="377" t="s">
        <v>75</v>
      </c>
      <c r="EJE2" s="377" t="s">
        <v>76</v>
      </c>
      <c r="EJF2" s="377" t="s">
        <v>77</v>
      </c>
      <c r="EJG2" s="377" t="s">
        <v>78</v>
      </c>
      <c r="EJH2" s="377" t="s">
        <v>79</v>
      </c>
      <c r="EJI2" s="377" t="s">
        <v>80</v>
      </c>
      <c r="EJJ2" s="377" t="s">
        <v>81</v>
      </c>
      <c r="EJK2" s="377" t="s">
        <v>82</v>
      </c>
      <c r="EJL2" s="377" t="s">
        <v>83</v>
      </c>
      <c r="EJM2" s="377" t="s">
        <v>83</v>
      </c>
      <c r="EJN2" s="375" t="s">
        <v>41</v>
      </c>
      <c r="EJO2" s="375" t="s">
        <v>42</v>
      </c>
      <c r="EJP2" s="375" t="s">
        <v>43</v>
      </c>
      <c r="EJQ2" s="375" t="s">
        <v>44</v>
      </c>
      <c r="EJR2" s="375" t="s">
        <v>45</v>
      </c>
      <c r="EJS2" s="375" t="s">
        <v>46</v>
      </c>
      <c r="EJT2" s="375" t="s">
        <v>47</v>
      </c>
      <c r="EJU2" s="375" t="s">
        <v>48</v>
      </c>
      <c r="EJV2" s="375" t="s">
        <v>49</v>
      </c>
      <c r="EJW2" s="375" t="s">
        <v>50</v>
      </c>
      <c r="EJX2" s="375" t="s">
        <v>51</v>
      </c>
      <c r="EJY2" s="375" t="s">
        <v>52</v>
      </c>
      <c r="EJZ2" s="375" t="s">
        <v>53</v>
      </c>
      <c r="EKA2" s="375" t="s">
        <v>54</v>
      </c>
      <c r="EKB2" s="375" t="s">
        <v>55</v>
      </c>
      <c r="EKC2" s="375" t="s">
        <v>56</v>
      </c>
      <c r="EKD2" s="375" t="s">
        <v>57</v>
      </c>
      <c r="EKE2" s="375" t="s">
        <v>58</v>
      </c>
      <c r="EKF2" s="375" t="s">
        <v>59</v>
      </c>
      <c r="EKG2" s="375" t="s">
        <v>60</v>
      </c>
      <c r="EKH2" s="375" t="s">
        <v>61</v>
      </c>
      <c r="EKI2" s="375" t="s">
        <v>62</v>
      </c>
      <c r="EKJ2" s="375" t="s">
        <v>63</v>
      </c>
      <c r="EKK2" s="375" t="s">
        <v>64</v>
      </c>
      <c r="EKL2" s="375" t="s">
        <v>65</v>
      </c>
      <c r="EKM2" s="375" t="s">
        <v>66</v>
      </c>
      <c r="EKN2" s="375" t="s">
        <v>67</v>
      </c>
      <c r="EKO2" s="375" t="s">
        <v>68</v>
      </c>
      <c r="EKP2" s="375" t="s">
        <v>69</v>
      </c>
      <c r="EKQ2" s="375" t="s">
        <v>70</v>
      </c>
      <c r="EKR2" s="375" t="s">
        <v>71</v>
      </c>
      <c r="EKS2" s="375" t="s">
        <v>72</v>
      </c>
      <c r="EKT2" s="375" t="s">
        <v>73</v>
      </c>
      <c r="EKU2" s="375" t="s">
        <v>74</v>
      </c>
      <c r="EKV2" s="375" t="s">
        <v>75</v>
      </c>
      <c r="EKW2" s="375" t="s">
        <v>76</v>
      </c>
      <c r="EKX2" s="375" t="s">
        <v>77</v>
      </c>
      <c r="EKY2" s="375" t="s">
        <v>78</v>
      </c>
      <c r="EKZ2" s="375" t="s">
        <v>79</v>
      </c>
      <c r="ELA2" s="375" t="s">
        <v>80</v>
      </c>
      <c r="ELB2" s="375" t="s">
        <v>81</v>
      </c>
      <c r="ELC2" s="375" t="s">
        <v>82</v>
      </c>
      <c r="ELD2" s="375" t="s">
        <v>83</v>
      </c>
      <c r="ELE2" s="375" t="s">
        <v>83</v>
      </c>
      <c r="ELF2" s="377" t="s">
        <v>1361</v>
      </c>
      <c r="ELG2" s="377" t="s">
        <v>42</v>
      </c>
      <c r="ELH2" s="377" t="s">
        <v>1362</v>
      </c>
      <c r="ELI2" s="377" t="s">
        <v>1363</v>
      </c>
      <c r="ELJ2" s="377" t="s">
        <v>45</v>
      </c>
      <c r="ELK2" s="377" t="s">
        <v>46</v>
      </c>
      <c r="ELL2" s="377" t="s">
        <v>47</v>
      </c>
      <c r="ELM2" s="377" t="s">
        <v>48</v>
      </c>
      <c r="ELN2" s="377" t="s">
        <v>49</v>
      </c>
      <c r="ELO2" s="377" t="s">
        <v>50</v>
      </c>
      <c r="ELP2" s="377" t="s">
        <v>51</v>
      </c>
      <c r="ELQ2" s="377" t="s">
        <v>52</v>
      </c>
      <c r="ELR2" s="377" t="s">
        <v>53</v>
      </c>
      <c r="ELS2" s="377" t="s">
        <v>54</v>
      </c>
      <c r="ELT2" s="377" t="s">
        <v>55</v>
      </c>
      <c r="ELU2" s="377" t="s">
        <v>56</v>
      </c>
      <c r="ELV2" s="377" t="s">
        <v>57</v>
      </c>
      <c r="ELW2" s="377" t="s">
        <v>58</v>
      </c>
      <c r="ELX2" s="377" t="s">
        <v>59</v>
      </c>
      <c r="ELY2" s="377" t="s">
        <v>60</v>
      </c>
      <c r="ELZ2" s="377" t="s">
        <v>61</v>
      </c>
      <c r="EMA2" s="377" t="s">
        <v>62</v>
      </c>
      <c r="EMB2" s="377" t="s">
        <v>63</v>
      </c>
      <c r="EMC2" s="377" t="s">
        <v>64</v>
      </c>
      <c r="EMD2" s="377" t="s">
        <v>65</v>
      </c>
      <c r="EME2" s="377" t="s">
        <v>66</v>
      </c>
      <c r="EMF2" s="377" t="s">
        <v>67</v>
      </c>
      <c r="EMG2" s="377" t="s">
        <v>68</v>
      </c>
      <c r="EMH2" s="377" t="s">
        <v>69</v>
      </c>
      <c r="EMI2" s="377" t="s">
        <v>70</v>
      </c>
      <c r="EMJ2" s="377" t="s">
        <v>71</v>
      </c>
      <c r="EMK2" s="377" t="s">
        <v>72</v>
      </c>
      <c r="EML2" s="377" t="s">
        <v>73</v>
      </c>
      <c r="EMM2" s="377" t="s">
        <v>74</v>
      </c>
      <c r="EMN2" s="377" t="s">
        <v>75</v>
      </c>
      <c r="EMO2" s="377" t="s">
        <v>76</v>
      </c>
      <c r="EMP2" s="377" t="s">
        <v>77</v>
      </c>
      <c r="EMQ2" s="377" t="s">
        <v>78</v>
      </c>
      <c r="EMR2" s="377" t="s">
        <v>79</v>
      </c>
      <c r="EMS2" s="377" t="s">
        <v>80</v>
      </c>
      <c r="EMT2" s="377" t="s">
        <v>81</v>
      </c>
      <c r="EMU2" s="377" t="s">
        <v>82</v>
      </c>
      <c r="EMV2" s="377" t="s">
        <v>83</v>
      </c>
      <c r="EMW2" s="377" t="s">
        <v>83</v>
      </c>
      <c r="EMX2" s="375" t="s">
        <v>41</v>
      </c>
      <c r="EMY2" s="375" t="s">
        <v>42</v>
      </c>
      <c r="EMZ2" s="375" t="s">
        <v>43</v>
      </c>
      <c r="ENA2" s="375" t="s">
        <v>44</v>
      </c>
      <c r="ENB2" s="375" t="s">
        <v>45</v>
      </c>
      <c r="ENC2" s="375" t="s">
        <v>46</v>
      </c>
      <c r="END2" s="375" t="s">
        <v>47</v>
      </c>
      <c r="ENE2" s="375" t="s">
        <v>48</v>
      </c>
      <c r="ENF2" s="375" t="s">
        <v>49</v>
      </c>
      <c r="ENG2" s="375" t="s">
        <v>50</v>
      </c>
      <c r="ENH2" s="375" t="s">
        <v>51</v>
      </c>
      <c r="ENI2" s="375" t="s">
        <v>52</v>
      </c>
      <c r="ENJ2" s="375" t="s">
        <v>53</v>
      </c>
      <c r="ENK2" s="375" t="s">
        <v>54</v>
      </c>
      <c r="ENL2" s="375" t="s">
        <v>55</v>
      </c>
      <c r="ENM2" s="375" t="s">
        <v>56</v>
      </c>
      <c r="ENN2" s="375" t="s">
        <v>57</v>
      </c>
      <c r="ENO2" s="375" t="s">
        <v>58</v>
      </c>
      <c r="ENP2" s="375" t="s">
        <v>59</v>
      </c>
      <c r="ENQ2" s="375" t="s">
        <v>60</v>
      </c>
      <c r="ENR2" s="375" t="s">
        <v>61</v>
      </c>
      <c r="ENS2" s="375" t="s">
        <v>62</v>
      </c>
      <c r="ENT2" s="375" t="s">
        <v>63</v>
      </c>
      <c r="ENU2" s="375" t="s">
        <v>64</v>
      </c>
      <c r="ENV2" s="375" t="s">
        <v>65</v>
      </c>
      <c r="ENW2" s="375" t="s">
        <v>66</v>
      </c>
      <c r="ENX2" s="375" t="s">
        <v>67</v>
      </c>
      <c r="ENY2" s="375" t="s">
        <v>68</v>
      </c>
      <c r="ENZ2" s="375" t="s">
        <v>69</v>
      </c>
      <c r="EOA2" s="375" t="s">
        <v>70</v>
      </c>
      <c r="EOB2" s="375" t="s">
        <v>71</v>
      </c>
      <c r="EOC2" s="375" t="s">
        <v>72</v>
      </c>
      <c r="EOD2" s="375" t="s">
        <v>73</v>
      </c>
      <c r="EOE2" s="375" t="s">
        <v>74</v>
      </c>
      <c r="EOF2" s="375" t="s">
        <v>75</v>
      </c>
      <c r="EOG2" s="375" t="s">
        <v>76</v>
      </c>
      <c r="EOH2" s="375" t="s">
        <v>77</v>
      </c>
      <c r="EOI2" s="375" t="s">
        <v>78</v>
      </c>
      <c r="EOJ2" s="375" t="s">
        <v>79</v>
      </c>
      <c r="EOK2" s="375" t="s">
        <v>80</v>
      </c>
      <c r="EOL2" s="375" t="s">
        <v>81</v>
      </c>
      <c r="EOM2" s="375" t="s">
        <v>82</v>
      </c>
      <c r="EON2" s="375" t="s">
        <v>83</v>
      </c>
      <c r="EOO2" s="375" t="s">
        <v>83</v>
      </c>
    </row>
    <row r="3" spans="1:3873" x14ac:dyDescent="0.3">
      <c r="A3" s="393" t="s">
        <v>95</v>
      </c>
      <c r="B3" s="30" t="s">
        <v>1468</v>
      </c>
      <c r="C3" s="29"/>
      <c r="D3" s="28" t="str">
        <f t="shared" ref="D3:D48" si="61">IFERROR(VLOOKUP(B3,BASEPOE1,2,FALSE)," ")</f>
        <v xml:space="preserve"> </v>
      </c>
      <c r="E3" s="29"/>
      <c r="F3" s="28"/>
      <c r="G3" s="31">
        <v>45345</v>
      </c>
      <c r="H3" s="31">
        <f>+G3+365</f>
        <v>45710</v>
      </c>
      <c r="I3" s="29" t="s">
        <v>1372</v>
      </c>
      <c r="J3" s="29" t="s">
        <v>1373</v>
      </c>
      <c r="K3" s="29" t="s">
        <v>1372</v>
      </c>
      <c r="L3" s="29" t="s">
        <v>1373</v>
      </c>
      <c r="M3" s="29" t="s">
        <v>1461</v>
      </c>
      <c r="N3" s="29" t="s">
        <v>1462</v>
      </c>
      <c r="O3" s="29" t="s">
        <v>1372</v>
      </c>
      <c r="P3" s="29"/>
      <c r="Q3" s="29" t="s">
        <v>1372</v>
      </c>
      <c r="R3" s="29" t="s">
        <v>1372</v>
      </c>
      <c r="S3" s="29" t="s">
        <v>1372</v>
      </c>
      <c r="T3" s="29" t="s">
        <v>1372</v>
      </c>
      <c r="U3" s="29" t="s">
        <v>1461</v>
      </c>
      <c r="V3" s="29"/>
      <c r="W3" s="29"/>
      <c r="X3" s="29"/>
      <c r="Y3" s="29"/>
      <c r="Z3" s="29" t="s">
        <v>1372</v>
      </c>
      <c r="AA3" s="29"/>
      <c r="AB3" s="29"/>
      <c r="AC3" s="29"/>
      <c r="AD3" s="29"/>
      <c r="AE3" s="29"/>
      <c r="AF3" s="29" t="s">
        <v>1372</v>
      </c>
      <c r="AG3" s="29"/>
      <c r="AH3" s="29"/>
      <c r="AI3" s="29"/>
      <c r="AJ3" s="29"/>
      <c r="AK3" s="29"/>
      <c r="AL3" s="29"/>
      <c r="AM3" s="29"/>
      <c r="AN3" s="29"/>
      <c r="AO3" s="29"/>
      <c r="AP3" s="29"/>
      <c r="AQ3" s="29"/>
      <c r="AR3" s="29"/>
      <c r="AS3" s="29"/>
      <c r="AT3" s="30" t="s">
        <v>1460</v>
      </c>
      <c r="AU3" s="29"/>
      <c r="AV3" s="28" t="str">
        <f t="shared" ref="AV3:AV5" si="62">IFERROR(VLOOKUP(AT3,BASEPOE1,2,FALSE)," ")</f>
        <v xml:space="preserve"> </v>
      </c>
      <c r="AW3" s="29"/>
      <c r="AX3" s="28"/>
      <c r="AY3" s="31"/>
      <c r="AZ3" s="31">
        <f>+AY3+365</f>
        <v>365</v>
      </c>
      <c r="BA3" s="29" t="s">
        <v>1372</v>
      </c>
      <c r="BB3" s="29" t="s">
        <v>1373</v>
      </c>
      <c r="BC3" s="29" t="s">
        <v>1372</v>
      </c>
      <c r="BD3" s="29" t="s">
        <v>1373</v>
      </c>
      <c r="BE3" s="29" t="s">
        <v>1461</v>
      </c>
      <c r="BF3" s="29" t="s">
        <v>1462</v>
      </c>
      <c r="BG3" s="29" t="s">
        <v>1372</v>
      </c>
      <c r="BH3" s="29" t="s">
        <v>1372</v>
      </c>
      <c r="BI3" s="29" t="s">
        <v>1372</v>
      </c>
      <c r="BJ3" s="29" t="s">
        <v>1372</v>
      </c>
      <c r="BK3" s="29" t="s">
        <v>1372</v>
      </c>
      <c r="BL3" s="29" t="s">
        <v>1372</v>
      </c>
      <c r="BM3" s="29" t="s">
        <v>1372</v>
      </c>
      <c r="BN3" s="29" t="s">
        <v>1372</v>
      </c>
      <c r="BO3" s="29"/>
      <c r="BP3" s="29"/>
      <c r="BQ3" s="29"/>
      <c r="BR3" s="29"/>
      <c r="BS3" s="29"/>
      <c r="BT3" s="29"/>
      <c r="BU3" s="29"/>
      <c r="BV3" s="29"/>
      <c r="BW3" s="29"/>
      <c r="BX3" s="29" t="s">
        <v>1372</v>
      </c>
      <c r="BY3" s="29"/>
      <c r="BZ3" s="29"/>
      <c r="CA3" s="29"/>
      <c r="CB3" s="29"/>
      <c r="CC3" s="29"/>
      <c r="CD3" s="29"/>
      <c r="CE3" s="29"/>
      <c r="CF3" s="29"/>
      <c r="CG3" s="29"/>
      <c r="CH3" s="29"/>
      <c r="CI3" s="29"/>
      <c r="CJ3" s="29"/>
      <c r="CK3" s="29"/>
      <c r="CL3" s="30" t="s">
        <v>1466</v>
      </c>
      <c r="CM3" s="29" t="s">
        <v>1371</v>
      </c>
      <c r="CN3" s="28" t="str">
        <f t="shared" ref="CN3:CN5" si="63">IFERROR(VLOOKUP(CL3,BASEPOE1,2,FALSE)," ")</f>
        <v xml:space="preserve"> </v>
      </c>
      <c r="CO3" s="29"/>
      <c r="CP3" s="28"/>
      <c r="CQ3" s="31">
        <v>45344</v>
      </c>
      <c r="CR3" s="31">
        <f>+CQ3+365</f>
        <v>45709</v>
      </c>
      <c r="CS3" s="29" t="s">
        <v>1372</v>
      </c>
      <c r="CT3" s="29" t="s">
        <v>1373</v>
      </c>
      <c r="CU3" s="29" t="s">
        <v>1372</v>
      </c>
      <c r="CV3" s="29" t="s">
        <v>1373</v>
      </c>
      <c r="CW3" s="29" t="s">
        <v>1461</v>
      </c>
      <c r="CX3" s="29"/>
      <c r="CY3" s="29" t="s">
        <v>1372</v>
      </c>
      <c r="CZ3" s="29"/>
      <c r="DA3" s="29" t="s">
        <v>1372</v>
      </c>
      <c r="DB3" s="29" t="s">
        <v>1372</v>
      </c>
      <c r="DC3" s="29" t="s">
        <v>1372</v>
      </c>
      <c r="DD3" s="29" t="s">
        <v>1372</v>
      </c>
      <c r="DE3" s="29" t="s">
        <v>1372</v>
      </c>
      <c r="DF3" s="29" t="s">
        <v>1372</v>
      </c>
      <c r="DG3" s="29"/>
      <c r="DH3" s="29"/>
      <c r="DI3" s="29"/>
      <c r="DJ3" s="29" t="s">
        <v>1372</v>
      </c>
      <c r="DK3" s="29"/>
      <c r="DL3" s="29"/>
      <c r="DM3" s="29"/>
      <c r="DN3" s="29"/>
      <c r="DO3" s="29"/>
      <c r="DP3" s="29"/>
      <c r="DQ3" s="29"/>
      <c r="DR3" s="29"/>
      <c r="DS3" s="29"/>
      <c r="DT3" s="29"/>
      <c r="DU3" s="29"/>
      <c r="DV3" s="29"/>
      <c r="DW3" s="29"/>
      <c r="DX3" s="29"/>
      <c r="DY3" s="29"/>
      <c r="DZ3" s="29"/>
      <c r="EA3" s="29"/>
      <c r="EB3" s="29"/>
      <c r="EC3" s="29"/>
      <c r="ED3" s="30"/>
      <c r="EE3" s="29"/>
      <c r="EF3" s="28" t="str">
        <f t="shared" ref="EF3:EF5" si="64">IFERROR(VLOOKUP(ED3,BASEPOE1,2,FALSE)," ")</f>
        <v xml:space="preserve"> </v>
      </c>
      <c r="EG3" s="29"/>
      <c r="EH3" s="28"/>
      <c r="EI3" s="31"/>
      <c r="EJ3" s="31">
        <f>+EI3+365</f>
        <v>365</v>
      </c>
      <c r="EK3" s="29"/>
      <c r="EL3" s="385"/>
      <c r="EM3" s="29"/>
      <c r="EN3" s="385"/>
      <c r="EO3" s="29"/>
      <c r="EP3" s="385"/>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30"/>
      <c r="FW3" s="29"/>
      <c r="FX3" s="28" t="str">
        <f t="shared" ref="FX3:FX5" si="65">IFERROR(VLOOKUP(FV3,BASEPOE1,2,FALSE)," ")</f>
        <v xml:space="preserve"> </v>
      </c>
      <c r="FY3" s="29"/>
      <c r="FZ3" s="28"/>
      <c r="GA3" s="31"/>
      <c r="GB3" s="31">
        <f>+GA3+365</f>
        <v>365</v>
      </c>
      <c r="GC3" s="29"/>
      <c r="GD3" s="385"/>
      <c r="GE3" s="29"/>
      <c r="GF3" s="385"/>
      <c r="GG3" s="29"/>
      <c r="GH3" s="385"/>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30"/>
      <c r="HO3" s="29"/>
      <c r="HP3" s="28" t="str">
        <f t="shared" ref="HP3:HP5" si="66">IFERROR(VLOOKUP(HN3,BASEPOE1,2,FALSE)," ")</f>
        <v xml:space="preserve"> </v>
      </c>
      <c r="HQ3" s="29"/>
      <c r="HR3" s="28"/>
      <c r="HS3" s="31"/>
      <c r="HT3" s="31">
        <f>+HS3+365</f>
        <v>365</v>
      </c>
      <c r="HU3" s="29"/>
      <c r="HV3" s="385"/>
      <c r="HW3" s="29"/>
      <c r="HX3" s="385"/>
      <c r="HY3" s="29"/>
      <c r="HZ3" s="385"/>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30"/>
      <c r="JG3" s="29"/>
      <c r="JH3" s="28" t="str">
        <f t="shared" ref="JH3:JH4" si="67">IFERROR(VLOOKUP(JF3,BASEPOE1,2,FALSE)," ")</f>
        <v xml:space="preserve"> </v>
      </c>
      <c r="JI3" s="29"/>
      <c r="JJ3" s="28"/>
      <c r="JK3" s="31"/>
      <c r="JL3" s="31">
        <f>+JK3+365</f>
        <v>365</v>
      </c>
      <c r="JM3" s="29"/>
      <c r="JN3" s="385"/>
      <c r="JO3" s="29"/>
      <c r="JP3" s="385"/>
      <c r="JQ3" s="29"/>
      <c r="JR3" s="385"/>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30"/>
      <c r="KY3" s="29"/>
      <c r="KZ3" s="28" t="str">
        <f t="shared" ref="KZ3:KZ4" si="68">IFERROR(VLOOKUP(KX3,BASEPOE1,2,FALSE)," ")</f>
        <v xml:space="preserve"> </v>
      </c>
      <c r="LA3" s="29"/>
      <c r="LB3" s="28"/>
      <c r="LC3" s="31"/>
      <c r="LD3" s="31">
        <f>+LC3+365</f>
        <v>365</v>
      </c>
      <c r="LE3" s="29"/>
      <c r="LF3" s="385"/>
      <c r="LG3" s="29"/>
      <c r="LH3" s="385"/>
      <c r="LI3" s="29"/>
      <c r="LJ3" s="385"/>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30"/>
      <c r="MQ3" s="29"/>
      <c r="MR3" s="28" t="str">
        <f t="shared" ref="MR3:MR4" si="69">IFERROR(VLOOKUP(MP3,BASEPOE1,2,FALSE)," ")</f>
        <v xml:space="preserve"> </v>
      </c>
      <c r="MS3" s="29"/>
      <c r="MT3" s="28"/>
      <c r="MU3" s="31"/>
      <c r="MV3" s="31">
        <f>+MU3+365</f>
        <v>365</v>
      </c>
      <c r="MW3" s="29"/>
      <c r="MX3" s="385"/>
      <c r="MY3" s="29"/>
      <c r="MZ3" s="385"/>
      <c r="NA3" s="29"/>
      <c r="NB3" s="385"/>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30"/>
      <c r="OI3" s="29"/>
      <c r="OJ3" s="28" t="str">
        <f t="shared" ref="OJ3:OJ4" si="70">IFERROR(VLOOKUP(OH3,BASEPOE1,2,FALSE)," ")</f>
        <v xml:space="preserve"> </v>
      </c>
      <c r="OK3" s="29"/>
      <c r="OL3" s="28"/>
      <c r="OM3" s="31"/>
      <c r="ON3" s="31">
        <f>+OM3+365</f>
        <v>365</v>
      </c>
      <c r="OO3" s="29"/>
      <c r="OP3" s="385"/>
      <c r="OQ3" s="29"/>
      <c r="OR3" s="385"/>
      <c r="OS3" s="29"/>
      <c r="OT3" s="385"/>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30"/>
      <c r="QA3" s="29"/>
      <c r="QB3" s="28" t="str">
        <f t="shared" ref="QB3:QB4" si="71">IFERROR(VLOOKUP(PZ3,BASEPOE1,2,FALSE)," ")</f>
        <v xml:space="preserve"> </v>
      </c>
      <c r="QC3" s="29"/>
      <c r="QD3" s="28"/>
      <c r="QE3" s="31"/>
      <c r="QF3" s="31">
        <f>+QE3+365</f>
        <v>365</v>
      </c>
      <c r="QG3" s="29"/>
      <c r="QH3" s="385"/>
      <c r="QI3" s="29"/>
      <c r="QJ3" s="385"/>
      <c r="QK3" s="29"/>
      <c r="QL3" s="385"/>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30"/>
      <c r="RS3" s="29"/>
      <c r="RT3" s="28" t="str">
        <f t="shared" ref="RT3:RT4" si="72">IFERROR(VLOOKUP(RR3,BASEPOE1,2,FALSE)," ")</f>
        <v xml:space="preserve"> </v>
      </c>
      <c r="RU3" s="29"/>
      <c r="RV3" s="28"/>
      <c r="RW3" s="31"/>
      <c r="RX3" s="31">
        <f>+RW3+365</f>
        <v>365</v>
      </c>
      <c r="RY3" s="29"/>
      <c r="RZ3" s="385"/>
      <c r="SA3" s="29"/>
      <c r="SB3" s="385"/>
      <c r="SC3" s="29"/>
      <c r="SD3" s="385"/>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30"/>
      <c r="TK3" s="29"/>
      <c r="TL3" s="28" t="str">
        <f t="shared" ref="TL3:TL4" si="73">IFERROR(VLOOKUP(TJ3,BASEPOE1,2,FALSE)," ")</f>
        <v xml:space="preserve"> </v>
      </c>
      <c r="TM3" s="29"/>
      <c r="TN3" s="28"/>
      <c r="TO3" s="31"/>
      <c r="TP3" s="31">
        <f>+TO3+365</f>
        <v>365</v>
      </c>
      <c r="TQ3" s="29"/>
      <c r="TR3" s="385"/>
      <c r="TS3" s="29"/>
      <c r="TT3" s="385"/>
      <c r="TU3" s="29"/>
      <c r="TV3" s="385"/>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30"/>
      <c r="VC3" s="29"/>
      <c r="VD3" s="28" t="str">
        <f t="shared" ref="VD3" si="74">IFERROR(VLOOKUP(VB3,BASEPOE1,2,FALSE)," ")</f>
        <v xml:space="preserve"> </v>
      </c>
      <c r="VE3" s="29"/>
      <c r="VF3" s="28"/>
      <c r="VG3" s="31"/>
      <c r="VH3" s="31">
        <f>+VG3+365</f>
        <v>365</v>
      </c>
      <c r="VI3" s="29"/>
      <c r="VJ3" s="385"/>
      <c r="VK3" s="29"/>
      <c r="VL3" s="385"/>
      <c r="VM3" s="29"/>
      <c r="VN3" s="385"/>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30"/>
      <c r="WU3" s="28"/>
      <c r="WV3" s="29"/>
      <c r="WW3" s="29"/>
      <c r="WX3" s="29"/>
      <c r="WY3" s="28"/>
      <c r="WZ3" s="29"/>
      <c r="XA3" s="29"/>
      <c r="XB3" s="28"/>
      <c r="XC3" s="29"/>
      <c r="XD3" s="30"/>
      <c r="XE3" s="28"/>
      <c r="XF3" s="29"/>
      <c r="XG3" s="29"/>
      <c r="XH3" s="29"/>
      <c r="XI3" s="28"/>
      <c r="XJ3" s="29"/>
      <c r="XK3" s="29"/>
      <c r="XL3" s="28"/>
      <c r="XM3" s="29"/>
      <c r="XN3" s="30"/>
      <c r="XO3" s="28"/>
      <c r="XP3" s="29"/>
      <c r="XQ3" s="29"/>
      <c r="XR3" s="29"/>
      <c r="XS3" s="28"/>
      <c r="XT3" s="29"/>
      <c r="XU3" s="29"/>
      <c r="XV3" s="28"/>
      <c r="XW3" s="29"/>
      <c r="XX3" s="30"/>
      <c r="XY3" s="28"/>
      <c r="XZ3" s="29"/>
      <c r="YA3" s="29"/>
      <c r="YB3" s="29"/>
      <c r="YC3" s="28"/>
      <c r="YD3" s="29"/>
      <c r="YE3" s="29"/>
      <c r="YF3" s="28"/>
      <c r="YG3" s="29"/>
      <c r="YH3" s="30"/>
      <c r="YI3" s="28"/>
      <c r="YJ3" s="29"/>
      <c r="YK3" s="29"/>
      <c r="YL3" s="29"/>
      <c r="YM3" s="28"/>
      <c r="YN3" s="29"/>
      <c r="YO3" s="29"/>
      <c r="YP3" s="28"/>
      <c r="YQ3" s="29"/>
      <c r="YR3" s="30"/>
      <c r="YS3" s="28"/>
      <c r="YT3" s="29"/>
      <c r="YU3" s="29"/>
      <c r="YV3" s="29"/>
      <c r="YW3" s="28"/>
      <c r="YX3" s="29"/>
      <c r="YY3" s="29"/>
      <c r="YZ3" s="28"/>
      <c r="ZA3" s="29"/>
      <c r="ZB3" s="30"/>
      <c r="ZC3" s="28"/>
      <c r="ZD3" s="29"/>
      <c r="ZE3" s="29"/>
      <c r="ZF3" s="29"/>
      <c r="ZG3" s="28"/>
      <c r="ZH3" s="29"/>
      <c r="ZI3" s="29"/>
      <c r="ZJ3" s="28"/>
      <c r="ZK3" s="29"/>
      <c r="ZL3" s="30"/>
      <c r="ZM3" s="28"/>
      <c r="ZN3" s="29"/>
      <c r="ZO3" s="29"/>
      <c r="ZP3" s="29"/>
      <c r="ZQ3" s="28"/>
      <c r="ZR3" s="29"/>
      <c r="ZS3" s="29"/>
      <c r="ZT3" s="28"/>
      <c r="ZU3" s="29"/>
      <c r="ZV3" s="30"/>
      <c r="ZW3" s="28"/>
      <c r="ZX3" s="29"/>
      <c r="ZY3" s="29"/>
      <c r="ZZ3" s="29"/>
      <c r="AAA3" s="28"/>
      <c r="AAB3" s="29"/>
      <c r="AAC3" s="29"/>
      <c r="AAD3" s="28"/>
      <c r="AAE3" s="29"/>
      <c r="AAF3" s="30"/>
      <c r="AAG3" s="28"/>
      <c r="AAH3" s="29"/>
      <c r="AAI3" s="29"/>
      <c r="AAJ3" s="29"/>
      <c r="AAK3" s="28"/>
      <c r="AAL3" s="29"/>
      <c r="AAM3" s="29"/>
      <c r="AAN3" s="28"/>
      <c r="AAO3" s="29"/>
      <c r="AAP3" s="30"/>
      <c r="AAQ3" s="28"/>
      <c r="AAR3" s="29"/>
      <c r="AAS3" s="29"/>
      <c r="AAT3" s="29"/>
      <c r="AAU3" s="28"/>
      <c r="AAV3" s="29"/>
      <c r="AAW3" s="29"/>
      <c r="AAX3" s="28"/>
      <c r="AAY3" s="29"/>
      <c r="AAZ3" s="30"/>
      <c r="ABA3" s="28"/>
      <c r="ABB3" s="29"/>
      <c r="ABC3" s="29"/>
      <c r="ABD3" s="29"/>
      <c r="ABE3" s="28"/>
      <c r="ABF3" s="29"/>
      <c r="ABG3" s="29"/>
      <c r="ABH3" s="28"/>
      <c r="ABI3" s="29"/>
      <c r="ABJ3" s="30"/>
      <c r="ABK3" s="28"/>
      <c r="ABL3" s="29"/>
      <c r="ABM3" s="29"/>
      <c r="ABN3" s="29"/>
      <c r="ABO3" s="28"/>
      <c r="ABP3" s="29"/>
      <c r="ABQ3" s="29"/>
      <c r="ABR3" s="28"/>
      <c r="ABS3" s="29"/>
      <c r="ABT3" s="30"/>
      <c r="ABU3" s="28"/>
      <c r="ABV3" s="29"/>
      <c r="ABW3" s="29"/>
      <c r="ABX3" s="29"/>
      <c r="ABY3" s="28"/>
      <c r="ABZ3" s="29"/>
      <c r="ACA3" s="29"/>
      <c r="ACB3" s="28"/>
      <c r="ACC3" s="29"/>
      <c r="ACD3" s="30"/>
      <c r="ACE3" s="28"/>
      <c r="ACF3" s="29"/>
      <c r="ACG3" s="29"/>
      <c r="ACH3" s="29"/>
      <c r="ACI3" s="28"/>
      <c r="ACJ3" s="29"/>
      <c r="ACK3" s="29"/>
      <c r="ACL3" s="28"/>
      <c r="ACM3" s="29"/>
      <c r="ACN3" s="30"/>
      <c r="ACO3" s="28"/>
      <c r="ACP3" s="29"/>
      <c r="ACQ3" s="29"/>
      <c r="ACR3" s="29"/>
      <c r="ACS3" s="28"/>
      <c r="ACT3" s="29"/>
      <c r="ACU3" s="29"/>
      <c r="ACV3" s="28"/>
      <c r="ACW3" s="29"/>
      <c r="ACX3" s="30"/>
      <c r="ACY3" s="28"/>
      <c r="ACZ3" s="29"/>
      <c r="ADA3" s="29"/>
      <c r="ADB3" s="29"/>
      <c r="ADC3" s="28"/>
      <c r="ADD3" s="29"/>
      <c r="ADE3" s="29"/>
      <c r="ADF3" s="28"/>
      <c r="ADG3" s="29"/>
      <c r="ADH3" s="30"/>
      <c r="ADI3" s="28"/>
      <c r="ADJ3" s="29"/>
      <c r="ADK3" s="29"/>
      <c r="ADL3" s="29"/>
      <c r="ADM3" s="28"/>
      <c r="ADN3" s="29"/>
      <c r="ADO3" s="29"/>
      <c r="ADP3" s="28"/>
      <c r="ADQ3" s="29"/>
      <c r="ADR3" s="30"/>
      <c r="ADS3" s="28"/>
      <c r="ADT3" s="29"/>
      <c r="ADU3" s="29"/>
      <c r="ADV3" s="29"/>
      <c r="ADW3" s="28"/>
      <c r="ADX3" s="29"/>
      <c r="ADY3" s="29"/>
      <c r="ADZ3" s="28"/>
      <c r="AEA3" s="29"/>
      <c r="AEB3" s="30"/>
      <c r="AEC3" s="28"/>
      <c r="AED3" s="29"/>
      <c r="AEE3" s="29"/>
      <c r="AEF3" s="29"/>
      <c r="AEG3" s="28"/>
      <c r="AEH3" s="29"/>
      <c r="AEI3" s="29"/>
      <c r="AEJ3" s="28"/>
      <c r="AEK3" s="29"/>
      <c r="AEL3" s="30"/>
      <c r="AEM3" s="28"/>
      <c r="AEN3" s="29"/>
      <c r="AEO3" s="29"/>
      <c r="AEP3" s="29"/>
      <c r="AEQ3" s="28"/>
      <c r="AER3" s="29"/>
      <c r="AES3" s="29"/>
      <c r="AET3" s="28"/>
      <c r="AEU3" s="29"/>
      <c r="AEV3" s="30"/>
      <c r="AEW3" s="28"/>
      <c r="AEX3" s="29"/>
      <c r="AEY3" s="29"/>
      <c r="AEZ3" s="29"/>
      <c r="AFA3" s="28"/>
      <c r="AFB3" s="29"/>
      <c r="AFC3" s="29"/>
      <c r="AFD3" s="28"/>
      <c r="AFE3" s="29"/>
      <c r="AFF3" s="30"/>
      <c r="AFG3" s="28"/>
      <c r="AFH3" s="29"/>
      <c r="AFI3" s="29"/>
      <c r="AFJ3" s="29"/>
      <c r="AFK3" s="28"/>
      <c r="AFL3" s="29"/>
      <c r="AFM3" s="29"/>
      <c r="AFN3" s="28"/>
      <c r="AFO3" s="29"/>
      <c r="AFP3" s="30"/>
      <c r="AFQ3" s="28"/>
      <c r="AFR3" s="29"/>
      <c r="AFS3" s="29"/>
      <c r="AFT3" s="29"/>
      <c r="AFU3" s="28"/>
      <c r="AFV3" s="29"/>
      <c r="AFW3" s="29"/>
      <c r="AFX3" s="28"/>
      <c r="AFY3" s="29"/>
      <c r="AFZ3" s="30"/>
      <c r="AGA3" s="28"/>
      <c r="AGB3" s="29"/>
      <c r="AGC3" s="29"/>
      <c r="AGD3" s="29"/>
      <c r="AGE3" s="28"/>
      <c r="AGF3" s="29"/>
      <c r="AGG3" s="29"/>
      <c r="AGH3" s="28"/>
      <c r="AGI3" s="29"/>
      <c r="AGJ3" s="30"/>
      <c r="AGK3" s="28"/>
      <c r="AGL3" s="29"/>
      <c r="AGM3" s="29"/>
      <c r="AGN3" s="29"/>
      <c r="AGO3" s="28"/>
      <c r="AGP3" s="29"/>
      <c r="AGQ3" s="29"/>
      <c r="AGR3" s="28"/>
      <c r="AGS3" s="29"/>
      <c r="AGT3" s="30"/>
      <c r="AGU3" s="28"/>
      <c r="AGV3" s="29"/>
      <c r="AGW3" s="29"/>
      <c r="AGX3" s="29"/>
      <c r="AGY3" s="28"/>
      <c r="AGZ3" s="29"/>
      <c r="AHA3" s="29"/>
      <c r="AHB3" s="28"/>
      <c r="AHC3" s="29"/>
      <c r="AHD3" s="30"/>
      <c r="AHE3" s="28"/>
      <c r="AHF3" s="29"/>
      <c r="AHG3" s="29"/>
      <c r="AHH3" s="29"/>
      <c r="AHI3" s="28"/>
      <c r="AHJ3" s="29"/>
      <c r="AHK3" s="29"/>
      <c r="AHL3" s="28"/>
      <c r="AHM3" s="29"/>
      <c r="AHN3" s="30"/>
      <c r="AHO3" s="28"/>
      <c r="AHP3" s="29"/>
      <c r="AHQ3" s="29"/>
      <c r="AHR3" s="29"/>
      <c r="AHS3" s="28"/>
      <c r="AHT3" s="29"/>
      <c r="AHU3" s="29"/>
      <c r="AHV3" s="28"/>
      <c r="AHW3" s="29"/>
      <c r="AHX3" s="30"/>
      <c r="AHY3" s="28"/>
      <c r="AHZ3" s="29"/>
      <c r="AIA3" s="29"/>
      <c r="AIB3" s="29"/>
      <c r="AIC3" s="28"/>
      <c r="AID3" s="29"/>
      <c r="AIE3" s="29"/>
      <c r="AIF3" s="28"/>
      <c r="AIG3" s="29"/>
      <c r="AIH3" s="30"/>
      <c r="AII3" s="28"/>
      <c r="AIJ3" s="29"/>
      <c r="AIK3" s="29"/>
      <c r="AIL3" s="29"/>
      <c r="AIM3" s="28"/>
      <c r="AIN3" s="29"/>
      <c r="AIO3" s="29"/>
      <c r="AIP3" s="28"/>
      <c r="AIQ3" s="29"/>
      <c r="AIR3" s="30"/>
      <c r="AIS3" s="28"/>
      <c r="AIT3" s="29"/>
      <c r="AIU3" s="29"/>
      <c r="AIV3" s="29"/>
      <c r="AIW3" s="28"/>
      <c r="AIX3" s="29"/>
      <c r="AIY3" s="29"/>
      <c r="AIZ3" s="28"/>
      <c r="AJA3" s="29"/>
      <c r="AJB3" s="30"/>
      <c r="AJC3" s="28"/>
      <c r="AJD3" s="29"/>
      <c r="AJE3" s="29"/>
      <c r="AJF3" s="29"/>
      <c r="AJG3" s="28"/>
      <c r="AJH3" s="29"/>
      <c r="AJI3" s="29"/>
      <c r="AJJ3" s="28"/>
      <c r="AJK3" s="29"/>
      <c r="AJL3" s="30"/>
      <c r="AJM3" s="28"/>
      <c r="AJN3" s="29"/>
      <c r="AJO3" s="29"/>
      <c r="AJP3" s="29"/>
      <c r="AJQ3" s="28"/>
      <c r="AJR3" s="29"/>
      <c r="AJS3" s="29"/>
      <c r="AJT3" s="28"/>
      <c r="AJU3" s="29"/>
      <c r="AJV3" s="30"/>
      <c r="AJW3" s="28"/>
      <c r="AJX3" s="29"/>
      <c r="AJY3" s="29"/>
      <c r="AJZ3" s="29"/>
      <c r="AKA3" s="28"/>
      <c r="AKB3" s="29"/>
      <c r="AKC3" s="29"/>
      <c r="AKD3" s="28"/>
      <c r="AKE3" s="29"/>
      <c r="AKF3" s="30"/>
      <c r="AKG3" s="28"/>
      <c r="AKH3" s="29"/>
      <c r="AKI3" s="29"/>
      <c r="AKJ3" s="29"/>
      <c r="AKK3" s="28"/>
      <c r="AKL3" s="29"/>
      <c r="AKM3" s="29"/>
      <c r="AKN3" s="28"/>
      <c r="AKO3" s="29"/>
      <c r="AKP3" s="30"/>
      <c r="AKQ3" s="28"/>
      <c r="AKR3" s="29"/>
      <c r="AKS3" s="29"/>
      <c r="AKT3" s="29"/>
      <c r="AKU3" s="28"/>
      <c r="AKV3" s="29"/>
      <c r="AKW3" s="29"/>
      <c r="AKX3" s="28"/>
      <c r="AKY3" s="29"/>
      <c r="AKZ3" s="30"/>
      <c r="ALA3" s="28"/>
      <c r="ALB3" s="29"/>
      <c r="ALC3" s="29"/>
      <c r="ALD3" s="29"/>
      <c r="ALE3" s="28"/>
      <c r="ALF3" s="29"/>
      <c r="ALG3" s="29"/>
      <c r="ALH3" s="29"/>
      <c r="ALI3" s="29"/>
      <c r="ALJ3" s="29"/>
      <c r="ALK3" s="28"/>
      <c r="ALL3" s="29"/>
      <c r="ALM3" s="29"/>
      <c r="ALN3" s="28"/>
      <c r="ALO3" s="29"/>
      <c r="ALP3" s="30"/>
      <c r="ALQ3" s="28"/>
      <c r="ALR3" s="29"/>
      <c r="ALS3" s="29"/>
      <c r="ALT3" s="29"/>
      <c r="ALU3" s="28"/>
      <c r="ALV3" s="29"/>
      <c r="ALW3" s="29"/>
      <c r="ALX3" s="28"/>
      <c r="ALY3" s="29"/>
      <c r="ALZ3" s="30"/>
      <c r="AMA3" s="28"/>
      <c r="AMB3" s="29"/>
      <c r="AMC3" s="29"/>
      <c r="AMD3" s="29"/>
      <c r="AME3" s="28"/>
      <c r="AMF3" s="29"/>
      <c r="AMG3" s="29"/>
      <c r="AMH3" s="29"/>
      <c r="AMI3" s="29"/>
      <c r="AMJ3" s="29"/>
      <c r="AMK3" s="28"/>
      <c r="AML3" s="29"/>
      <c r="AMM3" s="29"/>
      <c r="AMN3" s="28"/>
      <c r="AMO3" s="29"/>
      <c r="AMP3" s="30"/>
      <c r="AMQ3" s="28"/>
      <c r="AMR3" s="29"/>
      <c r="AMS3" s="29"/>
      <c r="AMT3" s="29"/>
      <c r="AMU3" s="28"/>
      <c r="AMV3" s="29"/>
      <c r="AMW3" s="29"/>
      <c r="AMX3" s="28"/>
      <c r="AMY3" s="29"/>
      <c r="AMZ3" s="30"/>
      <c r="ANA3" s="28"/>
      <c r="ANB3" s="29"/>
      <c r="ANC3" s="29"/>
      <c r="AND3" s="29"/>
      <c r="ANE3" s="28"/>
      <c r="ANF3" s="29"/>
      <c r="ANG3" s="29"/>
      <c r="ANH3" s="29"/>
      <c r="ANI3" s="29"/>
      <c r="ANJ3" s="29"/>
      <c r="ANK3" s="28"/>
      <c r="ANL3" s="29"/>
      <c r="ANM3" s="29"/>
      <c r="ANN3" s="28"/>
      <c r="ANO3" s="29"/>
      <c r="ANP3" s="30"/>
      <c r="ANQ3" s="28"/>
      <c r="ANR3" s="29"/>
      <c r="ANS3" s="29"/>
      <c r="ANT3" s="29"/>
      <c r="ANU3" s="28"/>
      <c r="ANV3" s="29"/>
      <c r="ANW3" s="29"/>
      <c r="ANX3" s="28"/>
      <c r="ANY3" s="29"/>
      <c r="ANZ3" s="30"/>
      <c r="AOA3" s="28"/>
      <c r="AOB3" s="29"/>
      <c r="AOC3" s="29"/>
      <c r="AOD3" s="29"/>
      <c r="AOE3" s="28"/>
      <c r="AOF3" s="29"/>
      <c r="AOG3" s="29"/>
      <c r="AOH3" s="29"/>
      <c r="AOI3" s="29"/>
      <c r="AOJ3" s="29"/>
      <c r="AOK3" s="28"/>
      <c r="AOL3" s="29"/>
      <c r="AOM3" s="29"/>
      <c r="AON3" s="28"/>
      <c r="AOO3" s="29"/>
      <c r="AOP3" s="30"/>
      <c r="AOQ3" s="28"/>
      <c r="AOR3" s="29"/>
      <c r="AOS3" s="29"/>
      <c r="AOT3" s="29"/>
      <c r="AOU3" s="28"/>
      <c r="AOV3" s="29"/>
      <c r="AOW3" s="29"/>
      <c r="AOX3" s="28"/>
      <c r="AOY3" s="29"/>
      <c r="AOZ3" s="30"/>
      <c r="APA3" s="28"/>
      <c r="APB3" s="29"/>
      <c r="APC3" s="29"/>
      <c r="APD3" s="29"/>
      <c r="APE3" s="28"/>
      <c r="APF3" s="29"/>
      <c r="APG3" s="29"/>
      <c r="APH3" s="29"/>
      <c r="API3" s="29"/>
      <c r="APJ3" s="29"/>
      <c r="APK3" s="28"/>
      <c r="APL3" s="29"/>
      <c r="APM3" s="29"/>
      <c r="APN3" s="28"/>
      <c r="APO3" s="29"/>
      <c r="APP3" s="30"/>
      <c r="APQ3" s="28"/>
      <c r="APR3" s="29"/>
      <c r="APS3" s="29"/>
      <c r="APT3" s="29"/>
      <c r="APU3" s="28"/>
      <c r="APV3" s="29"/>
      <c r="APW3" s="29"/>
      <c r="APX3" s="28"/>
      <c r="APY3" s="29"/>
      <c r="APZ3" s="30"/>
      <c r="AQA3" s="28"/>
      <c r="AQB3" s="29"/>
      <c r="AQC3" s="29"/>
      <c r="AQD3" s="29"/>
      <c r="AQE3" s="28"/>
      <c r="AQF3" s="29"/>
      <c r="AQG3" s="29"/>
      <c r="AQH3" s="29"/>
      <c r="AQI3" s="29"/>
      <c r="AQJ3" s="29"/>
      <c r="AQK3" s="28"/>
      <c r="AQL3" s="29"/>
      <c r="AQM3" s="29"/>
      <c r="AQN3" s="28"/>
      <c r="AQO3" s="29"/>
      <c r="AQP3" s="30"/>
      <c r="AQQ3" s="28"/>
      <c r="AQR3" s="29"/>
      <c r="AQS3" s="29"/>
      <c r="AQT3" s="29"/>
      <c r="AQU3" s="28"/>
      <c r="AQV3" s="29"/>
      <c r="AQW3" s="29"/>
      <c r="AQX3" s="28"/>
      <c r="AQY3" s="29"/>
      <c r="AQZ3" s="30"/>
      <c r="ARA3" s="28"/>
      <c r="ARB3" s="29"/>
      <c r="ARC3" s="29"/>
      <c r="ARD3" s="29"/>
      <c r="ARE3" s="28"/>
      <c r="ARF3" s="29"/>
      <c r="ARG3" s="29"/>
      <c r="ARH3" s="29"/>
      <c r="ARI3" s="29"/>
      <c r="ARJ3" s="29"/>
      <c r="ARK3" s="28"/>
      <c r="ARL3" s="29"/>
      <c r="ARM3" s="29"/>
      <c r="ARN3" s="28"/>
      <c r="ARO3" s="29"/>
      <c r="ARP3" s="30"/>
      <c r="ARQ3" s="28"/>
      <c r="ARR3" s="29"/>
      <c r="ARS3" s="29"/>
      <c r="ART3" s="29"/>
      <c r="ARU3" s="28"/>
      <c r="ARV3" s="29"/>
      <c r="ARW3" s="29"/>
      <c r="ARX3" s="28"/>
      <c r="ARY3" s="29"/>
      <c r="ARZ3" s="30"/>
      <c r="ASA3" s="28"/>
      <c r="ASB3" s="29"/>
      <c r="ASC3" s="29"/>
      <c r="ASD3" s="29"/>
      <c r="ASE3" s="28"/>
      <c r="ASF3" s="29"/>
      <c r="ASG3" s="29"/>
      <c r="ASH3" s="29"/>
      <c r="ASI3" s="29"/>
      <c r="ASJ3" s="29"/>
      <c r="ASK3" s="28"/>
      <c r="ASL3" s="29"/>
      <c r="ASM3" s="29"/>
      <c r="ASN3" s="28"/>
      <c r="ASO3" s="29"/>
      <c r="ASP3" s="30"/>
      <c r="ASQ3" s="28"/>
      <c r="ASR3" s="29"/>
      <c r="ASS3" s="29"/>
      <c r="AST3" s="29"/>
      <c r="ASU3" s="28"/>
      <c r="ASV3" s="29"/>
      <c r="ASW3" s="29"/>
      <c r="ASX3" s="28"/>
      <c r="ASY3" s="29"/>
      <c r="ASZ3" s="30"/>
      <c r="ATA3" s="28"/>
      <c r="ATB3" s="29"/>
      <c r="ATC3" s="29"/>
      <c r="ATD3" s="29"/>
      <c r="ATE3" s="28"/>
      <c r="ATF3" s="29"/>
      <c r="ATG3" s="29"/>
      <c r="ATH3" s="29"/>
      <c r="ATI3" s="29"/>
      <c r="ATJ3" s="29"/>
      <c r="ATK3" s="28"/>
      <c r="ATL3" s="29"/>
      <c r="ATM3" s="29"/>
      <c r="ATN3" s="28"/>
      <c r="ATO3" s="29"/>
      <c r="ATP3" s="30"/>
      <c r="ATQ3" s="28"/>
      <c r="ATR3" s="29"/>
      <c r="ATS3" s="29"/>
      <c r="ATT3" s="29"/>
      <c r="ATU3" s="28"/>
      <c r="ATV3" s="29"/>
      <c r="ATW3" s="29"/>
      <c r="ATX3" s="28"/>
      <c r="ATY3" s="29"/>
      <c r="ATZ3" s="30"/>
      <c r="AUA3" s="28"/>
      <c r="AUB3" s="29"/>
      <c r="AUC3" s="29"/>
      <c r="AUD3" s="29"/>
      <c r="AUE3" s="28"/>
      <c r="AUF3" s="29"/>
      <c r="AUG3" s="29"/>
      <c r="AUH3" s="29"/>
      <c r="AUI3" s="29"/>
      <c r="AUJ3" s="29"/>
      <c r="AUK3" s="28"/>
      <c r="AUL3" s="29"/>
      <c r="AUM3" s="29"/>
      <c r="AUN3" s="28"/>
      <c r="AUO3" s="29"/>
      <c r="AUP3" s="30"/>
      <c r="AUQ3" s="28"/>
      <c r="AUR3" s="29"/>
      <c r="AUS3" s="29"/>
      <c r="AUT3" s="29"/>
      <c r="AUU3" s="28"/>
      <c r="AUV3" s="29"/>
      <c r="AUW3" s="29"/>
      <c r="AUX3" s="28"/>
      <c r="AUY3" s="29"/>
      <c r="AUZ3" s="30"/>
      <c r="AVA3" s="28"/>
      <c r="AVB3" s="29"/>
      <c r="AVC3" s="29"/>
      <c r="AVD3" s="29"/>
      <c r="AVE3" s="28"/>
      <c r="AVF3" s="29"/>
      <c r="AVG3" s="29"/>
      <c r="AVH3" s="29"/>
      <c r="AVI3" s="29"/>
      <c r="AVJ3" s="29"/>
      <c r="AVK3" s="28"/>
      <c r="AVL3" s="29"/>
      <c r="AVM3" s="29"/>
      <c r="AVN3" s="28"/>
      <c r="AVO3" s="29"/>
      <c r="AVP3" s="30"/>
      <c r="AVQ3" s="28"/>
      <c r="AVR3" s="29"/>
      <c r="AVS3" s="29"/>
      <c r="AVT3" s="29"/>
      <c r="AVU3" s="28"/>
      <c r="AVV3" s="29"/>
      <c r="AVW3" s="29"/>
      <c r="AVX3" s="28"/>
      <c r="AVY3" s="29"/>
      <c r="AVZ3" s="30"/>
      <c r="AWA3" s="28"/>
      <c r="AWB3" s="29"/>
      <c r="AWC3" s="29"/>
      <c r="AWD3" s="29"/>
      <c r="AWE3" s="28"/>
      <c r="AWF3" s="29"/>
      <c r="AWG3" s="29"/>
      <c r="AWH3" s="29"/>
      <c r="AWI3" s="29"/>
      <c r="AWJ3" s="29"/>
      <c r="AWK3" s="28"/>
      <c r="AWL3" s="29"/>
      <c r="AWM3" s="29"/>
      <c r="AWN3" s="28"/>
      <c r="AWO3" s="29"/>
      <c r="AWP3" s="30"/>
      <c r="AWQ3" s="28"/>
      <c r="AWR3" s="29"/>
      <c r="AWS3" s="29"/>
      <c r="AWT3" s="29"/>
      <c r="AWU3" s="28"/>
      <c r="AWV3" s="29"/>
      <c r="AWW3" s="29"/>
      <c r="AWX3" s="28"/>
      <c r="AWY3" s="29"/>
      <c r="AWZ3" s="30"/>
      <c r="AXA3" s="28"/>
      <c r="AXB3" s="29"/>
      <c r="AXC3" s="29"/>
      <c r="AXD3" s="29"/>
      <c r="AXE3" s="28"/>
      <c r="AXF3" s="29"/>
      <c r="AXG3" s="29"/>
      <c r="AXH3" s="29"/>
      <c r="AXI3" s="29"/>
      <c r="AXJ3" s="29"/>
      <c r="AXK3" s="28"/>
      <c r="AXL3" s="29"/>
      <c r="AXM3" s="29"/>
      <c r="AXN3" s="28"/>
      <c r="AXO3" s="29"/>
      <c r="AXP3" s="30"/>
      <c r="AXQ3" s="28"/>
      <c r="AXR3" s="29"/>
      <c r="AXS3" s="29"/>
      <c r="AXT3" s="29"/>
      <c r="AXU3" s="28"/>
      <c r="AXV3" s="29"/>
      <c r="AXW3" s="29"/>
      <c r="AXX3" s="28"/>
      <c r="AXY3" s="29"/>
      <c r="AXZ3" s="30"/>
      <c r="AYA3" s="28"/>
      <c r="AYB3" s="29"/>
      <c r="AYC3" s="29"/>
      <c r="AYD3" s="29"/>
      <c r="AYE3" s="28"/>
      <c r="AYF3" s="29"/>
      <c r="AYG3" s="29"/>
      <c r="AYH3" s="29"/>
      <c r="AYI3" s="29"/>
      <c r="AYJ3" s="29"/>
      <c r="AYK3" s="28"/>
      <c r="AYL3" s="29"/>
      <c r="AYM3" s="29"/>
      <c r="AYN3" s="28"/>
      <c r="AYO3" s="29"/>
      <c r="AYP3" s="30"/>
      <c r="AYQ3" s="28"/>
      <c r="AYR3" s="29"/>
      <c r="AYS3" s="29"/>
      <c r="AYT3" s="29"/>
      <c r="AYU3" s="28"/>
      <c r="AYV3" s="29"/>
      <c r="AYW3" s="29"/>
      <c r="AYX3" s="28"/>
      <c r="AYY3" s="29"/>
      <c r="AYZ3" s="30"/>
      <c r="AZA3" s="28"/>
      <c r="AZB3" s="29"/>
      <c r="AZC3" s="29"/>
      <c r="AZD3" s="29"/>
      <c r="AZE3" s="28"/>
      <c r="AZF3" s="29"/>
      <c r="AZG3" s="29"/>
      <c r="AZH3" s="29"/>
      <c r="AZI3" s="29"/>
      <c r="AZJ3" s="29"/>
      <c r="AZK3" s="28"/>
      <c r="AZL3" s="29"/>
      <c r="AZM3" s="29"/>
      <c r="AZN3" s="28"/>
      <c r="AZO3" s="29"/>
      <c r="AZP3" s="30"/>
      <c r="AZQ3" s="28"/>
      <c r="AZR3" s="29"/>
      <c r="AZS3" s="29"/>
      <c r="AZT3" s="29"/>
      <c r="AZU3" s="28"/>
      <c r="AZV3" s="29"/>
      <c r="AZW3" s="29"/>
      <c r="AZX3" s="28"/>
      <c r="AZY3" s="29"/>
      <c r="AZZ3" s="30"/>
      <c r="BAA3" s="28"/>
      <c r="BAB3" s="29"/>
      <c r="BAC3" s="29"/>
      <c r="BAD3" s="29"/>
      <c r="BAE3" s="28"/>
      <c r="BAF3" s="29"/>
      <c r="BAG3" s="29"/>
      <c r="BAH3" s="29"/>
      <c r="BAI3" s="29"/>
      <c r="BAJ3" s="29"/>
      <c r="BAK3" s="28"/>
      <c r="BAL3" s="29"/>
      <c r="BAM3" s="29"/>
      <c r="BAN3" s="28"/>
      <c r="BAO3" s="29"/>
      <c r="BAP3" s="30"/>
      <c r="BAQ3" s="28"/>
      <c r="BAR3" s="29"/>
      <c r="BAS3" s="29"/>
      <c r="BAT3" s="29"/>
      <c r="BAU3" s="28"/>
      <c r="BAV3" s="29"/>
      <c r="BAW3" s="29"/>
      <c r="BAX3" s="28"/>
      <c r="BAY3" s="29"/>
      <c r="BAZ3" s="30"/>
      <c r="BBA3" s="28"/>
      <c r="BBB3" s="29"/>
      <c r="BBC3" s="29"/>
      <c r="BBD3" s="29"/>
      <c r="BBE3" s="28"/>
      <c r="BBF3" s="29"/>
      <c r="BBG3" s="29"/>
      <c r="BBH3" s="29"/>
      <c r="BBI3" s="29"/>
      <c r="BBJ3" s="29"/>
      <c r="BBK3" s="28"/>
      <c r="BBL3" s="29"/>
      <c r="BBM3" s="29"/>
      <c r="BBN3" s="28"/>
      <c r="BBO3" s="29"/>
      <c r="BBP3" s="30"/>
      <c r="BBQ3" s="28"/>
      <c r="BBR3" s="29"/>
      <c r="BBS3" s="29"/>
      <c r="BBT3" s="29"/>
      <c r="BBU3" s="28"/>
      <c r="BBV3" s="29"/>
      <c r="BBW3" s="29"/>
      <c r="BBX3" s="28"/>
      <c r="BBY3" s="29"/>
      <c r="BBZ3" s="30"/>
      <c r="BCA3" s="28"/>
      <c r="BCB3" s="29"/>
      <c r="BCC3" s="29"/>
      <c r="BCD3" s="29"/>
      <c r="BCE3" s="28"/>
      <c r="BCF3" s="29"/>
      <c r="BCG3" s="29"/>
      <c r="BCH3" s="29"/>
      <c r="BCI3" s="29"/>
      <c r="BCJ3" s="29"/>
      <c r="BCK3" s="28"/>
      <c r="BCL3" s="29"/>
      <c r="BCM3" s="29"/>
      <c r="BCN3" s="28"/>
      <c r="BCO3" s="29"/>
      <c r="BCP3" s="30"/>
      <c r="BCQ3" s="28"/>
      <c r="BCR3" s="29"/>
      <c r="BCS3" s="29"/>
      <c r="BCT3" s="29"/>
      <c r="BCU3" s="28"/>
      <c r="BCV3" s="29"/>
      <c r="BCW3" s="29"/>
      <c r="BCX3" s="28"/>
      <c r="BCY3" s="29"/>
      <c r="BCZ3" s="30"/>
      <c r="BDA3" s="28"/>
      <c r="BDB3" s="29"/>
      <c r="BDC3" s="29"/>
      <c r="BDD3" s="29"/>
      <c r="BDE3" s="28"/>
      <c r="BDF3" s="29"/>
      <c r="BDG3" s="29"/>
      <c r="BDH3" s="29"/>
      <c r="BDI3" s="29"/>
      <c r="BDJ3" s="29"/>
      <c r="BDK3" s="28"/>
      <c r="BDL3" s="29"/>
      <c r="BDM3" s="29"/>
      <c r="BDN3" s="28"/>
      <c r="BDO3" s="29"/>
      <c r="BDP3" s="30"/>
      <c r="BDQ3" s="28"/>
      <c r="BDR3" s="29"/>
      <c r="BDS3" s="29"/>
      <c r="BDT3" s="29"/>
      <c r="BDU3" s="28"/>
      <c r="BDV3" s="29"/>
      <c r="BDW3" s="29"/>
      <c r="BDX3" s="28"/>
      <c r="BDY3" s="29"/>
      <c r="BDZ3" s="30"/>
      <c r="BEA3" s="28"/>
      <c r="BEB3" s="29"/>
      <c r="BEC3" s="29"/>
      <c r="BED3" s="29"/>
      <c r="BEE3" s="28"/>
      <c r="BEF3" s="29"/>
      <c r="BEG3" s="29"/>
      <c r="BEH3" s="29"/>
      <c r="BEI3" s="29"/>
      <c r="BEJ3" s="29"/>
      <c r="BEK3" s="28"/>
      <c r="BEL3" s="29"/>
      <c r="BEM3" s="29"/>
      <c r="BEN3" s="28"/>
      <c r="BEO3" s="29"/>
      <c r="BEP3" s="30"/>
      <c r="BEQ3" s="28"/>
      <c r="BER3" s="29"/>
      <c r="BES3" s="29"/>
      <c r="BET3" s="29"/>
      <c r="BEU3" s="28"/>
      <c r="BEV3" s="29"/>
      <c r="BEW3" s="29"/>
      <c r="BEX3" s="28"/>
      <c r="BEY3" s="29"/>
      <c r="BEZ3" s="30"/>
      <c r="BFA3" s="28"/>
      <c r="BFB3" s="29"/>
      <c r="BFC3" s="29"/>
      <c r="BFD3" s="29"/>
      <c r="BFE3" s="28"/>
      <c r="BFF3" s="29"/>
      <c r="BFG3" s="29"/>
      <c r="BFH3" s="29"/>
      <c r="BFI3" s="29"/>
      <c r="BFJ3" s="29"/>
      <c r="BFK3" s="28"/>
      <c r="BFL3" s="29"/>
      <c r="BFM3" s="29"/>
      <c r="BFN3" s="28"/>
      <c r="BFO3" s="29"/>
      <c r="BFP3" s="30"/>
      <c r="BFQ3" s="28"/>
      <c r="BFR3" s="29"/>
      <c r="BFS3" s="29"/>
      <c r="BFT3" s="29"/>
      <c r="BFU3" s="28"/>
      <c r="BFV3" s="29"/>
      <c r="BFW3" s="29"/>
      <c r="BFX3" s="28"/>
      <c r="BFY3" s="29"/>
      <c r="BFZ3" s="30"/>
      <c r="BGA3" s="28"/>
      <c r="BGB3" s="29"/>
      <c r="BGC3" s="29"/>
      <c r="BGD3" s="29"/>
      <c r="BGE3" s="28"/>
      <c r="BGF3" s="29"/>
      <c r="BGG3" s="29"/>
      <c r="BGH3" s="29"/>
      <c r="BGI3" s="29"/>
      <c r="BGJ3" s="29"/>
      <c r="BGK3" s="28"/>
      <c r="BGL3" s="29"/>
      <c r="BGM3" s="29"/>
      <c r="BGN3" s="28"/>
      <c r="BGO3" s="29"/>
      <c r="BGP3" s="30"/>
      <c r="BGQ3" s="28"/>
      <c r="BGR3" s="29"/>
      <c r="BGS3" s="29"/>
      <c r="BGT3" s="29"/>
      <c r="BGU3" s="28"/>
      <c r="BGV3" s="29"/>
      <c r="BGW3" s="29"/>
      <c r="BGX3" s="28"/>
      <c r="BGY3" s="29"/>
      <c r="BGZ3" s="30"/>
      <c r="BHA3" s="28"/>
      <c r="BHB3" s="29"/>
      <c r="BHC3" s="29"/>
      <c r="BHD3" s="29"/>
      <c r="BHE3" s="28"/>
      <c r="BHF3" s="29"/>
      <c r="BHG3" s="29"/>
      <c r="BHH3" s="29"/>
      <c r="BHI3" s="29"/>
      <c r="BHJ3" s="29"/>
      <c r="BHK3" s="28"/>
      <c r="BHL3" s="29"/>
      <c r="BHM3" s="29"/>
      <c r="BHN3" s="28"/>
      <c r="BHO3" s="29"/>
      <c r="BHP3" s="30"/>
      <c r="BHQ3" s="28"/>
      <c r="BHR3" s="29"/>
      <c r="BHS3" s="29"/>
      <c r="BHT3" s="29"/>
      <c r="BHU3" s="28"/>
      <c r="BHV3" s="29"/>
      <c r="BHW3" s="29"/>
      <c r="BHX3" s="28"/>
      <c r="BHY3" s="29"/>
      <c r="BHZ3" s="30"/>
      <c r="BIA3" s="28"/>
      <c r="BIB3" s="29"/>
      <c r="BIC3" s="29"/>
      <c r="BID3" s="29"/>
      <c r="BIE3" s="28"/>
      <c r="BIF3" s="29"/>
      <c r="BIG3" s="29"/>
      <c r="BIH3" s="29"/>
      <c r="BII3" s="29"/>
      <c r="BIJ3" s="29"/>
      <c r="BIK3" s="28"/>
      <c r="BIL3" s="29"/>
      <c r="BIM3" s="29"/>
      <c r="BIN3" s="28"/>
      <c r="BIO3" s="29"/>
      <c r="BIP3" s="30"/>
      <c r="BIQ3" s="28"/>
      <c r="BIR3" s="29"/>
      <c r="BIS3" s="29"/>
      <c r="BIT3" s="29"/>
      <c r="BIU3" s="28"/>
      <c r="BIV3" s="29"/>
      <c r="BIW3" s="29"/>
      <c r="BIX3" s="28"/>
      <c r="BIY3" s="29"/>
      <c r="BIZ3" s="30"/>
      <c r="BJA3" s="28"/>
      <c r="BJB3" s="29"/>
      <c r="BJC3" s="29"/>
      <c r="BJD3" s="29"/>
      <c r="BJE3" s="28"/>
      <c r="BJF3" s="29"/>
      <c r="BJG3" s="29"/>
      <c r="BJH3" s="29"/>
      <c r="BJI3" s="29"/>
      <c r="BJJ3" s="29"/>
      <c r="BJK3" s="28"/>
      <c r="BJL3" s="29"/>
      <c r="BJM3" s="29"/>
      <c r="BJN3" s="28"/>
      <c r="BJO3" s="29"/>
      <c r="BJP3" s="30"/>
      <c r="BJQ3" s="28"/>
      <c r="BJR3" s="29"/>
      <c r="BJS3" s="29"/>
      <c r="BJT3" s="29"/>
      <c r="BJU3" s="28"/>
      <c r="BJV3" s="29"/>
      <c r="BJW3" s="29"/>
      <c r="BJX3" s="28"/>
      <c r="BJY3" s="29"/>
      <c r="BJZ3" s="30"/>
      <c r="BKA3" s="28"/>
      <c r="BKB3" s="29"/>
      <c r="BKC3" s="29"/>
      <c r="BKD3" s="29"/>
      <c r="BKE3" s="28"/>
      <c r="BKF3" s="29"/>
      <c r="BKG3" s="29"/>
      <c r="BKH3" s="29"/>
      <c r="BKI3" s="29"/>
      <c r="BKJ3" s="29"/>
      <c r="BKK3" s="28"/>
      <c r="BKL3" s="29"/>
      <c r="BKM3" s="29"/>
      <c r="BKN3" s="28"/>
      <c r="BKO3" s="29"/>
      <c r="BKP3" s="30"/>
      <c r="BKQ3" s="28"/>
      <c r="BKR3" s="29"/>
      <c r="BKS3" s="29"/>
      <c r="BKT3" s="29"/>
      <c r="BKU3" s="28"/>
      <c r="BKV3" s="29"/>
      <c r="BKW3" s="29"/>
      <c r="BKX3" s="28"/>
      <c r="BKY3" s="29"/>
      <c r="BKZ3" s="30"/>
      <c r="BLA3" s="28"/>
      <c r="BLB3" s="29"/>
      <c r="BLC3" s="29"/>
      <c r="BLD3" s="29"/>
      <c r="BLE3" s="28"/>
      <c r="BLF3" s="29"/>
      <c r="BLG3" s="29"/>
      <c r="BLH3" s="29"/>
      <c r="BLI3" s="29"/>
      <c r="BLJ3" s="29"/>
      <c r="BLK3" s="28"/>
      <c r="BLL3" s="29"/>
      <c r="BLM3" s="29"/>
      <c r="BLN3" s="28"/>
      <c r="BLO3" s="29"/>
      <c r="BLP3" s="30"/>
      <c r="BLQ3" s="28"/>
      <c r="BLR3" s="29"/>
      <c r="BLS3" s="29"/>
      <c r="BLT3" s="29"/>
      <c r="BLU3" s="28"/>
      <c r="BLV3" s="29"/>
      <c r="BLW3" s="29"/>
      <c r="BLX3" s="28"/>
      <c r="BLY3" s="29"/>
      <c r="BLZ3" s="30"/>
      <c r="BMA3" s="28"/>
      <c r="BMB3" s="29"/>
      <c r="BMC3" s="29"/>
      <c r="BMD3" s="29"/>
      <c r="BME3" s="28"/>
      <c r="BMF3" s="29"/>
      <c r="BMG3" s="29"/>
      <c r="BMH3" s="29"/>
      <c r="BMI3" s="29"/>
      <c r="BMJ3" s="29"/>
      <c r="BMK3" s="28"/>
      <c r="BML3" s="29"/>
      <c r="BMM3" s="29"/>
      <c r="BMN3" s="28"/>
      <c r="BMO3" s="29"/>
      <c r="BMP3" s="30"/>
      <c r="BMQ3" s="28"/>
      <c r="BMR3" s="29"/>
      <c r="BMS3" s="29"/>
      <c r="BMT3" s="29"/>
      <c r="BMU3" s="28"/>
      <c r="BMV3" s="29"/>
      <c r="BMW3" s="29"/>
      <c r="BMX3" s="28"/>
      <c r="BMY3" s="29"/>
      <c r="BMZ3" s="30"/>
      <c r="BNA3" s="28"/>
      <c r="BNB3" s="29"/>
      <c r="BNC3" s="29"/>
      <c r="BND3" s="29"/>
      <c r="BNE3" s="28"/>
      <c r="BNF3" s="29"/>
      <c r="BNG3" s="29"/>
      <c r="BNH3" s="29"/>
      <c r="BNI3" s="29"/>
      <c r="BNJ3" s="29"/>
      <c r="BNK3" s="28"/>
      <c r="BNL3" s="29"/>
      <c r="BNM3" s="29"/>
      <c r="BNN3" s="28"/>
      <c r="BNO3" s="29"/>
      <c r="BNP3" s="30"/>
      <c r="BNQ3" s="28"/>
      <c r="BNR3" s="29"/>
      <c r="BNS3" s="29"/>
      <c r="BNT3" s="29"/>
      <c r="BNU3" s="28"/>
      <c r="BNV3" s="29"/>
      <c r="BNW3" s="29"/>
      <c r="BNX3" s="28"/>
      <c r="BNY3" s="29"/>
      <c r="BNZ3" s="30"/>
      <c r="BOA3" s="28"/>
      <c r="BOB3" s="29"/>
      <c r="BOC3" s="29"/>
      <c r="BOD3" s="29"/>
      <c r="BOE3" s="28"/>
      <c r="BOF3" s="29"/>
      <c r="BOG3" s="29"/>
      <c r="BOH3" s="29"/>
      <c r="BOI3" s="29"/>
      <c r="BOJ3" s="29"/>
      <c r="BOK3" s="28"/>
      <c r="BOL3" s="29"/>
      <c r="BOM3" s="29"/>
      <c r="BON3" s="28"/>
      <c r="BOO3" s="29"/>
      <c r="BOP3" s="30"/>
      <c r="BOQ3" s="28"/>
      <c r="BOR3" s="29"/>
      <c r="BOS3" s="29"/>
      <c r="BOT3" s="29"/>
      <c r="BOU3" s="28"/>
      <c r="BOV3" s="29"/>
      <c r="BOW3" s="29"/>
      <c r="BOX3" s="28"/>
      <c r="BOY3" s="29"/>
      <c r="BOZ3" s="30"/>
      <c r="BPA3" s="28"/>
      <c r="BPB3" s="29"/>
      <c r="BPC3" s="29"/>
      <c r="BPD3" s="29"/>
      <c r="BPE3" s="28"/>
      <c r="BPF3" s="29"/>
      <c r="BPG3" s="29"/>
      <c r="BPH3" s="29"/>
      <c r="BPI3" s="29"/>
      <c r="BPJ3" s="29"/>
      <c r="BPK3" s="28"/>
      <c r="BPL3" s="29"/>
      <c r="BPM3" s="29"/>
      <c r="BPN3" s="28"/>
      <c r="BPO3" s="29"/>
      <c r="BPP3" s="30"/>
      <c r="BPQ3" s="28"/>
      <c r="BPR3" s="29"/>
      <c r="BPS3" s="29"/>
      <c r="BPT3" s="29"/>
      <c r="BPU3" s="28"/>
      <c r="BPV3" s="29"/>
      <c r="BPW3" s="29"/>
      <c r="BPX3" s="28"/>
      <c r="BPY3" s="29"/>
      <c r="BPZ3" s="30"/>
      <c r="BQA3" s="28"/>
      <c r="BQB3" s="29"/>
      <c r="BQC3" s="29"/>
      <c r="BQD3" s="29"/>
      <c r="BQE3" s="28"/>
      <c r="BQF3" s="29"/>
      <c r="BQG3" s="29"/>
      <c r="BQH3" s="29"/>
      <c r="BQI3" s="29"/>
      <c r="BQJ3" s="29"/>
      <c r="BQK3" s="28"/>
      <c r="BQL3" s="29"/>
      <c r="BQM3" s="29"/>
      <c r="BQN3" s="28"/>
      <c r="BQO3" s="29"/>
      <c r="BQP3" s="30"/>
      <c r="BQQ3" s="28"/>
      <c r="BQR3" s="29"/>
      <c r="BQS3" s="29"/>
      <c r="BQT3" s="29"/>
      <c r="BQU3" s="28"/>
      <c r="BQV3" s="29"/>
      <c r="BQW3" s="29"/>
      <c r="BQX3" s="28"/>
      <c r="BQY3" s="29"/>
      <c r="BQZ3" s="30"/>
      <c r="BRA3" s="28"/>
      <c r="BRB3" s="29"/>
      <c r="BRC3" s="29"/>
      <c r="BRD3" s="29"/>
      <c r="BRE3" s="28"/>
      <c r="BRF3" s="29"/>
      <c r="BRG3" s="29"/>
      <c r="BRH3" s="29"/>
      <c r="BRI3" s="29"/>
      <c r="BRJ3" s="29"/>
      <c r="BRK3" s="28"/>
      <c r="BRL3" s="29"/>
      <c r="BRM3" s="29"/>
      <c r="BRN3" s="28"/>
      <c r="BRO3" s="29"/>
      <c r="BRP3" s="30"/>
      <c r="BRQ3" s="28"/>
      <c r="BRR3" s="29"/>
      <c r="BRS3" s="29"/>
      <c r="BRT3" s="29"/>
      <c r="BRU3" s="28"/>
      <c r="BRV3" s="29"/>
      <c r="BRW3" s="29"/>
      <c r="BRX3" s="28"/>
      <c r="BRY3" s="29"/>
      <c r="BRZ3" s="30"/>
      <c r="BSA3" s="28"/>
      <c r="BSB3" s="29"/>
      <c r="BSC3" s="29"/>
      <c r="BSD3" s="29"/>
      <c r="BSE3" s="28"/>
      <c r="BSF3" s="29"/>
      <c r="BSG3" s="29"/>
      <c r="BSH3" s="29"/>
      <c r="BSI3" s="29"/>
      <c r="BSJ3" s="29"/>
      <c r="BSK3" s="28"/>
      <c r="BSL3" s="29"/>
      <c r="BSM3" s="29"/>
      <c r="BSN3" s="28"/>
      <c r="BSO3" s="29"/>
      <c r="BSP3" s="30"/>
      <c r="BSQ3" s="28"/>
      <c r="BSR3" s="29"/>
      <c r="BSS3" s="29"/>
      <c r="BST3" s="29"/>
      <c r="BSU3" s="28"/>
      <c r="BSV3" s="29"/>
      <c r="BSW3" s="29"/>
      <c r="BSX3" s="28"/>
      <c r="BSY3" s="29"/>
      <c r="BSZ3" s="30"/>
      <c r="BTA3" s="28"/>
      <c r="BTB3" s="29"/>
      <c r="BTC3" s="29"/>
      <c r="BTD3" s="29"/>
      <c r="BTE3" s="28"/>
      <c r="BTF3" s="29"/>
      <c r="BTG3" s="29"/>
      <c r="BTH3" s="29"/>
      <c r="BTI3" s="29"/>
      <c r="BTJ3" s="29"/>
      <c r="BTK3" s="28"/>
      <c r="BTL3" s="29"/>
      <c r="BTM3" s="29"/>
      <c r="BTN3" s="28"/>
      <c r="BTO3" s="29"/>
      <c r="BTP3" s="30"/>
      <c r="BTQ3" s="28"/>
      <c r="BTR3" s="29"/>
      <c r="BTS3" s="29"/>
      <c r="BTT3" s="29"/>
      <c r="BTU3" s="28"/>
      <c r="BTV3" s="29"/>
      <c r="BTW3" s="29"/>
      <c r="BTX3" s="28"/>
      <c r="BTY3" s="29"/>
      <c r="BTZ3" s="30"/>
      <c r="BUA3" s="28"/>
      <c r="BUB3" s="29"/>
      <c r="BUC3" s="29"/>
      <c r="BUD3" s="29"/>
      <c r="BUE3" s="28"/>
      <c r="BUF3" s="29"/>
      <c r="BUG3" s="29"/>
      <c r="BUH3" s="29"/>
      <c r="BUI3" s="29"/>
      <c r="BUJ3" s="29"/>
      <c r="BUK3" s="28"/>
      <c r="BUL3" s="29"/>
      <c r="BUM3" s="29"/>
      <c r="BUN3" s="28"/>
      <c r="BUO3" s="29"/>
      <c r="BUP3" s="30"/>
      <c r="BUQ3" s="28"/>
      <c r="BUR3" s="29"/>
      <c r="BUS3" s="29"/>
      <c r="BUT3" s="29"/>
      <c r="BUU3" s="28"/>
      <c r="BUV3" s="29"/>
      <c r="BUW3" s="29"/>
      <c r="BUX3" s="28"/>
      <c r="BUY3" s="29"/>
      <c r="BUZ3" s="30"/>
      <c r="BVA3" s="28"/>
      <c r="BVB3" s="29"/>
      <c r="BVC3" s="29"/>
      <c r="BVD3" s="29"/>
      <c r="BVE3" s="28"/>
      <c r="BVF3" s="29"/>
      <c r="BVG3" s="29"/>
      <c r="BVH3" s="29"/>
      <c r="BVI3" s="29"/>
      <c r="BVJ3" s="29"/>
      <c r="BVK3" s="28"/>
      <c r="BVL3" s="29"/>
      <c r="BVM3" s="29"/>
      <c r="BVN3" s="28"/>
      <c r="BVO3" s="29"/>
      <c r="BVP3" s="30"/>
      <c r="BVQ3" s="28"/>
      <c r="BVR3" s="29"/>
      <c r="BVS3" s="29"/>
      <c r="BVT3" s="29"/>
      <c r="BVU3" s="28"/>
      <c r="BVV3" s="29"/>
      <c r="BVW3" s="29"/>
      <c r="BVX3" s="28"/>
      <c r="BVY3" s="29"/>
      <c r="BVZ3" s="30"/>
      <c r="BWA3" s="28"/>
      <c r="BWB3" s="29"/>
      <c r="BWC3" s="29"/>
      <c r="BWD3" s="29"/>
      <c r="BWE3" s="28"/>
      <c r="BWF3" s="29"/>
      <c r="BWG3" s="29"/>
      <c r="BWH3" s="29"/>
      <c r="BWI3" s="29"/>
      <c r="BWJ3" s="29"/>
      <c r="BWK3" s="28"/>
      <c r="BWL3" s="29"/>
      <c r="BWM3" s="29"/>
      <c r="BWN3" s="28"/>
      <c r="BWO3" s="29"/>
      <c r="BWP3" s="30"/>
      <c r="BWQ3" s="28"/>
      <c r="BWR3" s="29"/>
      <c r="BWS3" s="29"/>
      <c r="BWT3" s="29"/>
      <c r="BWU3" s="28"/>
      <c r="BWV3" s="29"/>
      <c r="BWW3" s="29"/>
      <c r="BWX3" s="28"/>
      <c r="BWY3" s="29"/>
      <c r="BWZ3" s="30"/>
      <c r="BXA3" s="28"/>
      <c r="BXB3" s="29"/>
      <c r="BXC3" s="29"/>
      <c r="BXD3" s="29"/>
      <c r="BXE3" s="28"/>
      <c r="BXF3" s="29"/>
      <c r="BXG3" s="29"/>
      <c r="BXH3" s="29"/>
      <c r="BXI3" s="29"/>
      <c r="BXJ3" s="29"/>
      <c r="BXK3" s="28"/>
      <c r="BXL3" s="29"/>
      <c r="BXM3" s="29"/>
      <c r="BXN3" s="28"/>
      <c r="BXO3" s="29"/>
      <c r="BXP3" s="30"/>
      <c r="BXQ3" s="28"/>
      <c r="BXR3" s="29"/>
      <c r="BXS3" s="29"/>
      <c r="BXT3" s="29"/>
      <c r="BXU3" s="28"/>
      <c r="BXV3" s="29"/>
      <c r="BXW3" s="29"/>
      <c r="BXX3" s="28"/>
      <c r="BXY3" s="29"/>
      <c r="BXZ3" s="30"/>
      <c r="BYA3" s="28"/>
      <c r="BYB3" s="29"/>
      <c r="BYC3" s="29"/>
      <c r="BYD3" s="29"/>
      <c r="BYE3" s="28"/>
      <c r="BYF3" s="29"/>
      <c r="BYG3" s="29"/>
      <c r="BYH3" s="29"/>
      <c r="BYI3" s="29"/>
      <c r="BYJ3" s="29"/>
      <c r="BYK3" s="28"/>
      <c r="BYL3" s="29"/>
      <c r="BYM3" s="29"/>
      <c r="BYN3" s="28"/>
      <c r="BYO3" s="29"/>
      <c r="BYP3" s="30"/>
      <c r="BYQ3" s="28"/>
      <c r="BYR3" s="29"/>
      <c r="BYS3" s="29"/>
      <c r="BYT3" s="29"/>
      <c r="BYU3" s="28"/>
      <c r="BYV3" s="29"/>
      <c r="BYW3" s="29"/>
      <c r="BYX3" s="30"/>
      <c r="BYY3" s="29"/>
      <c r="BYZ3" s="28"/>
      <c r="BZA3" s="29"/>
      <c r="BZB3" s="28"/>
      <c r="BZC3" s="31"/>
      <c r="BZD3" s="31"/>
      <c r="BZE3" s="29"/>
      <c r="BZF3" s="385"/>
      <c r="BZG3" s="29"/>
      <c r="BZH3" s="385"/>
      <c r="BZI3" s="29"/>
      <c r="BZJ3" s="385"/>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30"/>
      <c r="CAQ3" s="28"/>
      <c r="CAR3" s="29"/>
      <c r="CAS3" s="29"/>
      <c r="CAT3" s="29"/>
      <c r="CAU3" s="29"/>
      <c r="CAV3" s="29"/>
      <c r="CAW3" s="28"/>
      <c r="CAX3" s="29"/>
      <c r="CAY3" s="29"/>
      <c r="CAZ3" s="28"/>
      <c r="CBA3" s="29"/>
      <c r="CBB3" s="30"/>
      <c r="CBC3" s="28"/>
      <c r="CBD3" s="29"/>
      <c r="CBE3" s="29"/>
      <c r="CBF3" s="29"/>
      <c r="CBG3" s="28"/>
      <c r="CBH3" s="29"/>
      <c r="CBI3" s="29"/>
      <c r="CBJ3" s="28"/>
      <c r="CBK3" s="29"/>
      <c r="CBL3" s="30"/>
      <c r="CBM3" s="28"/>
      <c r="CBN3" s="29"/>
      <c r="CBO3" s="29"/>
      <c r="CBP3" s="29"/>
      <c r="CBQ3" s="28"/>
      <c r="CBR3" s="29"/>
      <c r="CBS3" s="29"/>
      <c r="CBT3" s="28"/>
      <c r="CBU3" s="29"/>
      <c r="CBV3" s="30"/>
      <c r="CBW3" s="28"/>
      <c r="CBX3" s="29"/>
      <c r="CBY3" s="29"/>
      <c r="CBZ3" s="29"/>
      <c r="CCA3" s="28"/>
      <c r="CCB3" s="29"/>
      <c r="CCC3" s="29"/>
      <c r="CCD3" s="28"/>
      <c r="CCE3" s="29"/>
      <c r="CCF3" s="30"/>
      <c r="CCG3" s="28"/>
      <c r="CCH3" s="30"/>
      <c r="CCI3" s="29"/>
      <c r="CCJ3" s="28"/>
      <c r="CCK3" s="29"/>
      <c r="CCL3" s="28"/>
      <c r="CCM3" s="31"/>
      <c r="CCN3" s="31"/>
      <c r="CCO3" s="29"/>
      <c r="CCP3" s="385"/>
      <c r="CCQ3" s="29"/>
      <c r="CCR3" s="385"/>
      <c r="CCS3" s="29"/>
      <c r="CCT3" s="385"/>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30"/>
      <c r="CEA3" s="28"/>
      <c r="CEB3" s="29"/>
      <c r="CEC3" s="29"/>
      <c r="CED3" s="29"/>
      <c r="CEE3" s="29"/>
      <c r="CEF3" s="29"/>
      <c r="CEG3" s="28"/>
      <c r="CEH3" s="29"/>
      <c r="CEI3" s="29"/>
      <c r="CEJ3" s="28"/>
      <c r="CEK3" s="29"/>
      <c r="CEL3" s="30"/>
      <c r="CEM3" s="28"/>
      <c r="CEN3" s="29"/>
      <c r="CEO3" s="29"/>
      <c r="CEP3" s="29"/>
      <c r="CEQ3" s="28"/>
      <c r="CER3" s="29"/>
      <c r="CES3" s="29"/>
      <c r="CET3" s="28"/>
      <c r="CEU3" s="29"/>
      <c r="CEV3" s="30"/>
      <c r="CEW3" s="28"/>
      <c r="CEX3" s="29"/>
      <c r="CEY3" s="29"/>
      <c r="CEZ3" s="29"/>
      <c r="CFA3" s="28"/>
      <c r="CFB3" s="29"/>
      <c r="CFC3" s="29"/>
      <c r="CFD3" s="28"/>
      <c r="CFE3" s="29"/>
      <c r="CFF3" s="30"/>
      <c r="CFG3" s="28"/>
      <c r="CFH3" s="29"/>
      <c r="CFI3" s="29"/>
      <c r="CFJ3" s="29"/>
      <c r="CFK3" s="28"/>
      <c r="CFL3" s="29"/>
      <c r="CFM3" s="29"/>
      <c r="CFN3" s="28"/>
      <c r="CFO3" s="29"/>
      <c r="CFP3" s="30"/>
      <c r="CFQ3" s="28"/>
      <c r="CFR3" s="30"/>
      <c r="CFS3" s="29"/>
      <c r="CFT3" s="28"/>
      <c r="CFU3" s="29"/>
      <c r="CFV3" s="28"/>
      <c r="CFW3" s="31"/>
      <c r="CFX3" s="31"/>
      <c r="CFY3" s="29"/>
      <c r="CFZ3" s="385"/>
      <c r="CGA3" s="29"/>
      <c r="CGB3" s="385"/>
      <c r="CGC3" s="29"/>
      <c r="CGD3" s="385"/>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30"/>
      <c r="CHK3" s="28"/>
      <c r="CHL3" s="29"/>
      <c r="CHM3" s="29"/>
      <c r="CHN3" s="29"/>
      <c r="CHO3" s="29"/>
      <c r="CHP3" s="29"/>
      <c r="CHQ3" s="28"/>
      <c r="CHR3" s="29"/>
      <c r="CHS3" s="29"/>
      <c r="CHT3" s="28"/>
      <c r="CHU3" s="29"/>
      <c r="CHV3" s="30"/>
      <c r="CHW3" s="28"/>
      <c r="CHX3" s="29"/>
      <c r="CHY3" s="29"/>
      <c r="CHZ3" s="29"/>
      <c r="CIA3" s="28"/>
      <c r="CIB3" s="29"/>
      <c r="CIC3" s="29"/>
      <c r="CID3" s="28"/>
      <c r="CIE3" s="29"/>
      <c r="CIF3" s="30"/>
      <c r="CIG3" s="28"/>
      <c r="CIH3" s="29"/>
      <c r="CII3" s="29"/>
      <c r="CIJ3" s="29"/>
      <c r="CIK3" s="28"/>
      <c r="CIL3" s="29"/>
      <c r="CIM3" s="29"/>
      <c r="CIN3" s="28"/>
      <c r="CIO3" s="29"/>
      <c r="CIP3" s="30"/>
      <c r="CIQ3" s="28"/>
      <c r="CIR3" s="29"/>
      <c r="CIS3" s="29"/>
      <c r="CIT3" s="29"/>
      <c r="CIU3" s="28"/>
      <c r="CIV3" s="29"/>
      <c r="CIW3" s="29"/>
      <c r="CIX3" s="28"/>
      <c r="CIY3" s="29"/>
      <c r="CIZ3" s="30"/>
      <c r="CJA3" s="28"/>
      <c r="CJB3" s="30"/>
      <c r="CJC3" s="29"/>
      <c r="CJD3" s="28"/>
      <c r="CJE3" s="29"/>
      <c r="CJF3" s="28"/>
      <c r="CJG3" s="31"/>
      <c r="CJH3" s="31"/>
      <c r="CJI3" s="29"/>
      <c r="CJJ3" s="385"/>
      <c r="CJK3" s="29"/>
      <c r="CJL3" s="385"/>
      <c r="CJM3" s="29"/>
      <c r="CJN3" s="385"/>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30"/>
      <c r="CKU3" s="28"/>
      <c r="CKV3" s="29"/>
      <c r="CKW3" s="29"/>
      <c r="CKX3" s="29"/>
      <c r="CKY3" s="29"/>
      <c r="CKZ3" s="29"/>
      <c r="CLA3" s="28"/>
      <c r="CLB3" s="29"/>
      <c r="CLC3" s="29"/>
      <c r="CLD3" s="28"/>
      <c r="CLE3" s="29"/>
      <c r="CLF3" s="30"/>
      <c r="CLG3" s="28"/>
      <c r="CLH3" s="29"/>
      <c r="CLI3" s="29"/>
      <c r="CLJ3" s="29"/>
      <c r="CLK3" s="28"/>
      <c r="CLL3" s="29"/>
      <c r="CLM3" s="29"/>
      <c r="CLN3" s="28"/>
      <c r="CLO3" s="29"/>
      <c r="CLP3" s="30"/>
      <c r="CLQ3" s="28"/>
      <c r="CLR3" s="29"/>
      <c r="CLS3" s="29"/>
      <c r="CLT3" s="29"/>
      <c r="CLU3" s="28"/>
      <c r="CLV3" s="29"/>
      <c r="CLW3" s="29"/>
      <c r="CLX3" s="28"/>
      <c r="CLY3" s="29"/>
      <c r="CLZ3" s="30"/>
      <c r="CMA3" s="28"/>
      <c r="CMB3" s="29"/>
      <c r="CMC3" s="29"/>
      <c r="CMD3" s="29"/>
      <c r="CME3" s="28"/>
      <c r="CMF3" s="29"/>
      <c r="CMG3" s="29"/>
      <c r="CMH3" s="28"/>
      <c r="CMI3" s="29"/>
      <c r="CMJ3" s="30"/>
      <c r="CMK3" s="28"/>
      <c r="CML3" s="30"/>
      <c r="CMM3" s="29"/>
      <c r="CMN3" s="28"/>
      <c r="CMO3" s="29"/>
      <c r="CMP3" s="28"/>
      <c r="CMQ3" s="31"/>
      <c r="CMR3" s="31"/>
      <c r="CMS3" s="29"/>
      <c r="CMT3" s="385"/>
      <c r="CMU3" s="29"/>
      <c r="CMV3" s="385"/>
      <c r="CMW3" s="29"/>
      <c r="CMX3" s="385"/>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30"/>
      <c r="COE3" s="28"/>
      <c r="COF3" s="29"/>
      <c r="COG3" s="29"/>
      <c r="COH3" s="29"/>
      <c r="COI3" s="29"/>
      <c r="COJ3" s="29"/>
      <c r="COK3" s="28"/>
      <c r="COL3" s="29"/>
      <c r="COM3" s="29"/>
      <c r="CON3" s="28"/>
      <c r="COO3" s="29"/>
      <c r="COP3" s="30"/>
      <c r="COQ3" s="28"/>
      <c r="COR3" s="29"/>
      <c r="COS3" s="29"/>
      <c r="COT3" s="29"/>
      <c r="COU3" s="28"/>
      <c r="COV3" s="29"/>
      <c r="COW3" s="29"/>
      <c r="COX3" s="28"/>
      <c r="COY3" s="29"/>
      <c r="COZ3" s="30"/>
      <c r="CPA3" s="28"/>
      <c r="CPB3" s="29"/>
      <c r="CPC3" s="29"/>
      <c r="CPD3" s="29"/>
      <c r="CPE3" s="28"/>
      <c r="CPF3" s="29"/>
      <c r="CPG3" s="29"/>
      <c r="CPH3" s="28"/>
      <c r="CPI3" s="29"/>
      <c r="CPJ3" s="30"/>
      <c r="CPK3" s="28"/>
      <c r="CPL3" s="29"/>
      <c r="CPM3" s="29"/>
      <c r="CPN3" s="29"/>
      <c r="CPO3" s="28"/>
      <c r="CPP3" s="29"/>
      <c r="CPQ3" s="29"/>
      <c r="CPR3" s="28"/>
      <c r="CPS3" s="29"/>
      <c r="CPT3" s="30"/>
      <c r="CPU3" s="28"/>
      <c r="CPV3" s="30"/>
      <c r="CPW3" s="29"/>
      <c r="CPX3" s="28"/>
      <c r="CPY3" s="29"/>
      <c r="CPZ3" s="28"/>
      <c r="CQA3" s="31"/>
      <c r="CQB3" s="31"/>
      <c r="CQC3" s="29"/>
      <c r="CQD3" s="385"/>
      <c r="CQE3" s="29"/>
      <c r="CQF3" s="385"/>
      <c r="CQG3" s="29"/>
      <c r="CQH3" s="385"/>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30"/>
      <c r="CRO3" s="28"/>
      <c r="CRP3" s="29"/>
      <c r="CRQ3" s="29"/>
      <c r="CRR3" s="29"/>
      <c r="CRS3" s="29"/>
      <c r="CRT3" s="29"/>
      <c r="CRU3" s="28"/>
      <c r="CRV3" s="29"/>
      <c r="CRW3" s="29"/>
      <c r="CRX3" s="28"/>
      <c r="CRY3" s="29"/>
      <c r="CRZ3" s="30"/>
      <c r="CSA3" s="28"/>
      <c r="CSB3" s="29"/>
      <c r="CSC3" s="29"/>
      <c r="CSD3" s="29"/>
      <c r="CSE3" s="28"/>
      <c r="CSF3" s="29"/>
      <c r="CSG3" s="29"/>
      <c r="CSH3" s="28"/>
      <c r="CSI3" s="29"/>
      <c r="CSJ3" s="30"/>
      <c r="CSK3" s="28"/>
      <c r="CSL3" s="29"/>
      <c r="CSM3" s="29"/>
      <c r="CSN3" s="29"/>
      <c r="CSO3" s="28"/>
      <c r="CSP3" s="29"/>
      <c r="CSQ3" s="29"/>
      <c r="CSR3" s="28"/>
      <c r="CSS3" s="29"/>
      <c r="CST3" s="30"/>
      <c r="CSU3" s="28"/>
      <c r="CSV3" s="29"/>
      <c r="CSW3" s="29"/>
      <c r="CSX3" s="29"/>
      <c r="CSY3" s="28"/>
      <c r="CSZ3" s="29"/>
      <c r="CTA3" s="29"/>
      <c r="CTB3" s="28"/>
      <c r="CTC3" s="29"/>
      <c r="CTD3" s="30"/>
      <c r="CTE3" s="28"/>
      <c r="CTF3" s="30"/>
      <c r="CTG3" s="29"/>
      <c r="CTH3" s="28"/>
      <c r="CTI3" s="29"/>
      <c r="CTJ3" s="28"/>
      <c r="CTK3" s="31"/>
      <c r="CTL3" s="31"/>
      <c r="CTM3" s="29"/>
      <c r="CTN3" s="385"/>
      <c r="CTO3" s="29"/>
      <c r="CTP3" s="385"/>
      <c r="CTQ3" s="29"/>
      <c r="CTR3" s="385"/>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30"/>
      <c r="CUY3" s="28"/>
      <c r="CUZ3" s="29"/>
      <c r="CVA3" s="29"/>
      <c r="CVB3" s="29"/>
      <c r="CVC3" s="29"/>
      <c r="CVD3" s="29"/>
      <c r="CVE3" s="28"/>
      <c r="CVF3" s="29"/>
      <c r="CVG3" s="29"/>
      <c r="CVH3" s="28"/>
      <c r="CVI3" s="29"/>
      <c r="CVJ3" s="30"/>
      <c r="CVK3" s="28"/>
      <c r="CVL3" s="29"/>
      <c r="CVM3" s="29"/>
      <c r="CVN3" s="29"/>
      <c r="CVO3" s="28"/>
      <c r="CVP3" s="29"/>
      <c r="CVQ3" s="29"/>
      <c r="CVR3" s="28"/>
      <c r="CVS3" s="29"/>
      <c r="CVT3" s="30"/>
      <c r="CVU3" s="28"/>
      <c r="CVV3" s="29"/>
      <c r="CVW3" s="29"/>
      <c r="CVX3" s="29"/>
      <c r="CVY3" s="28"/>
      <c r="CVZ3" s="29"/>
      <c r="CWA3" s="29"/>
      <c r="CWB3" s="28"/>
      <c r="CWC3" s="29"/>
      <c r="CWD3" s="30"/>
      <c r="CWE3" s="28"/>
      <c r="CWF3" s="29"/>
      <c r="CWG3" s="29"/>
      <c r="CWH3" s="29"/>
      <c r="CWI3" s="28"/>
      <c r="CWJ3" s="29"/>
      <c r="CWK3" s="29"/>
      <c r="CWL3" s="28"/>
      <c r="CWM3" s="29"/>
      <c r="CWN3" s="30"/>
      <c r="CWO3" s="28"/>
      <c r="CWP3" s="30"/>
      <c r="CWQ3" s="29"/>
      <c r="CWR3" s="28"/>
      <c r="CWS3" s="29"/>
      <c r="CWT3" s="28"/>
      <c r="CWU3" s="31"/>
      <c r="CWV3" s="31"/>
      <c r="CWW3" s="29"/>
      <c r="CWX3" s="385"/>
      <c r="CWY3" s="29"/>
      <c r="CWZ3" s="385"/>
      <c r="CXA3" s="29"/>
      <c r="CXB3" s="385"/>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30"/>
      <c r="CYI3" s="28"/>
      <c r="CYJ3" s="29"/>
      <c r="CYK3" s="29"/>
      <c r="CYL3" s="29"/>
      <c r="CYM3" s="29"/>
      <c r="CYN3" s="29"/>
      <c r="CYO3" s="28"/>
      <c r="CYP3" s="29"/>
      <c r="CYQ3" s="29"/>
      <c r="CYR3" s="28"/>
      <c r="CYS3" s="29"/>
      <c r="CYT3" s="30"/>
      <c r="CYU3" s="28"/>
      <c r="CYV3" s="29"/>
      <c r="CYW3" s="29"/>
      <c r="CYX3" s="29"/>
      <c r="CYY3" s="28"/>
      <c r="CYZ3" s="29"/>
      <c r="CZA3" s="29"/>
      <c r="CZB3" s="28"/>
      <c r="CZC3" s="29"/>
      <c r="CZD3" s="30"/>
      <c r="CZE3" s="28"/>
      <c r="CZF3" s="29"/>
      <c r="CZG3" s="29"/>
      <c r="CZH3" s="29"/>
      <c r="CZI3" s="28"/>
      <c r="CZJ3" s="29"/>
      <c r="CZK3" s="29"/>
      <c r="CZL3" s="28"/>
      <c r="CZM3" s="29"/>
      <c r="CZN3" s="30"/>
      <c r="CZO3" s="28"/>
      <c r="CZP3" s="29"/>
      <c r="CZQ3" s="29"/>
      <c r="CZR3" s="29"/>
      <c r="CZS3" s="28"/>
      <c r="CZT3" s="29"/>
      <c r="CZU3" s="29"/>
      <c r="CZV3" s="28"/>
      <c r="CZW3" s="29"/>
      <c r="CZX3" s="30"/>
      <c r="CZY3" s="28"/>
      <c r="CZZ3" s="30"/>
      <c r="DAA3" s="29"/>
      <c r="DAB3" s="28"/>
      <c r="DAC3" s="29"/>
      <c r="DAD3" s="28"/>
      <c r="DAE3" s="31"/>
      <c r="DAF3" s="31"/>
      <c r="DAG3" s="29"/>
      <c r="DAH3" s="385"/>
      <c r="DAI3" s="29"/>
      <c r="DAJ3" s="385"/>
      <c r="DAK3" s="29"/>
      <c r="DAL3" s="385"/>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30"/>
      <c r="DBS3" s="28"/>
      <c r="DBT3" s="29"/>
      <c r="DBU3" s="29"/>
      <c r="DBV3" s="29"/>
      <c r="DBW3" s="29"/>
      <c r="DBX3" s="29"/>
      <c r="DBY3" s="28"/>
      <c r="DBZ3" s="29"/>
      <c r="DCA3" s="29"/>
      <c r="DCB3" s="28"/>
      <c r="DCC3" s="29"/>
      <c r="DCD3" s="30"/>
      <c r="DCE3" s="28"/>
      <c r="DCF3" s="29"/>
      <c r="DCG3" s="29"/>
      <c r="DCH3" s="29"/>
      <c r="DCI3" s="28"/>
      <c r="DCJ3" s="29"/>
      <c r="DCK3" s="29"/>
      <c r="DCL3" s="28"/>
      <c r="DCM3" s="29"/>
      <c r="DCN3" s="30"/>
      <c r="DCO3" s="28"/>
      <c r="DCP3" s="29"/>
      <c r="DCQ3" s="29"/>
      <c r="DCR3" s="29"/>
      <c r="DCS3" s="28"/>
      <c r="DCT3" s="29"/>
      <c r="DCU3" s="29"/>
      <c r="DCV3" s="28"/>
      <c r="DCW3" s="29"/>
      <c r="DCX3" s="30"/>
      <c r="DCY3" s="28"/>
      <c r="DCZ3" s="29"/>
      <c r="DDA3" s="29"/>
      <c r="DDB3" s="29"/>
      <c r="DDC3" s="28"/>
      <c r="DDD3" s="29"/>
      <c r="DDE3" s="29"/>
      <c r="DDF3" s="28"/>
      <c r="DDG3" s="29"/>
      <c r="DDH3" s="30"/>
      <c r="DDI3" s="28"/>
      <c r="DDJ3" s="30"/>
      <c r="DDK3" s="29"/>
      <c r="DDL3" s="28"/>
      <c r="DDM3" s="29"/>
      <c r="DDN3" s="28"/>
      <c r="DDO3" s="31"/>
      <c r="DDP3" s="31"/>
      <c r="DDQ3" s="29"/>
      <c r="DDR3" s="385"/>
      <c r="DDS3" s="29"/>
      <c r="DDT3" s="385"/>
      <c r="DDU3" s="29"/>
      <c r="DDV3" s="385"/>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30"/>
      <c r="DFC3" s="28"/>
      <c r="DFD3" s="29"/>
      <c r="DFE3" s="29"/>
      <c r="DFF3" s="29"/>
      <c r="DFG3" s="29"/>
      <c r="DFH3" s="29"/>
      <c r="DFI3" s="28"/>
      <c r="DFJ3" s="29"/>
      <c r="DFK3" s="29"/>
      <c r="DFL3" s="28"/>
      <c r="DFM3" s="29"/>
      <c r="DFN3" s="30"/>
      <c r="DFO3" s="28"/>
      <c r="DFP3" s="29"/>
      <c r="DFQ3" s="29"/>
      <c r="DFR3" s="29"/>
      <c r="DFS3" s="28"/>
      <c r="DFT3" s="29"/>
      <c r="DFU3" s="29"/>
      <c r="DFV3" s="28"/>
      <c r="DFW3" s="29"/>
      <c r="DFX3" s="30"/>
      <c r="DFY3" s="28"/>
      <c r="DFZ3" s="29"/>
      <c r="DGA3" s="29"/>
      <c r="DGB3" s="29"/>
      <c r="DGC3" s="28"/>
      <c r="DGD3" s="29"/>
      <c r="DGE3" s="29"/>
      <c r="DGF3" s="28"/>
      <c r="DGG3" s="29"/>
      <c r="DGH3" s="30"/>
      <c r="DGI3" s="28"/>
      <c r="DGJ3" s="29"/>
      <c r="DGK3" s="29"/>
      <c r="DGL3" s="29"/>
      <c r="DGM3" s="28"/>
      <c r="DGN3" s="29"/>
      <c r="DGO3" s="29"/>
      <c r="DGP3" s="28"/>
      <c r="DGQ3" s="29"/>
      <c r="DGR3" s="30"/>
      <c r="DGS3" s="28"/>
      <c r="DGT3" s="30"/>
      <c r="DGU3" s="29"/>
      <c r="DGV3" s="28"/>
      <c r="DGW3" s="29"/>
      <c r="DGX3" s="28"/>
      <c r="DGY3" s="31"/>
      <c r="DGZ3" s="31"/>
      <c r="DHA3" s="29"/>
      <c r="DHB3" s="385"/>
      <c r="DHC3" s="29"/>
      <c r="DHD3" s="385"/>
      <c r="DHE3" s="29"/>
      <c r="DHF3" s="385"/>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30"/>
      <c r="DIM3" s="28"/>
      <c r="DIN3" s="29"/>
      <c r="DIO3" s="29"/>
      <c r="DIP3" s="29"/>
      <c r="DIQ3" s="29"/>
      <c r="DIR3" s="29"/>
      <c r="DIS3" s="28"/>
      <c r="DIT3" s="29"/>
      <c r="DIU3" s="29"/>
      <c r="DIV3" s="28"/>
      <c r="DIW3" s="29"/>
      <c r="DIX3" s="30"/>
      <c r="DIY3" s="28"/>
      <c r="DIZ3" s="29"/>
      <c r="DJA3" s="29"/>
      <c r="DJB3" s="29"/>
      <c r="DJC3" s="28"/>
      <c r="DJD3" s="29"/>
      <c r="DJE3" s="29"/>
      <c r="DJF3" s="28"/>
      <c r="DJG3" s="29"/>
      <c r="DJH3" s="30"/>
      <c r="DJI3" s="28"/>
      <c r="DJJ3" s="29"/>
      <c r="DJK3" s="29"/>
      <c r="DJL3" s="29"/>
      <c r="DJM3" s="28"/>
      <c r="DJN3" s="29"/>
      <c r="DJO3" s="29"/>
      <c r="DJP3" s="28"/>
      <c r="DJQ3" s="29"/>
      <c r="DJR3" s="30"/>
      <c r="DJS3" s="28"/>
      <c r="DJT3" s="29"/>
      <c r="DJU3" s="29"/>
      <c r="DJV3" s="29"/>
      <c r="DJW3" s="28"/>
      <c r="DJX3" s="29"/>
      <c r="DJY3" s="29"/>
      <c r="DJZ3" s="28"/>
      <c r="DKA3" s="29"/>
      <c r="DKB3" s="30"/>
      <c r="DKC3" s="28"/>
      <c r="DKD3" s="30"/>
      <c r="DKE3" s="29"/>
      <c r="DKF3" s="28"/>
      <c r="DKG3" s="29"/>
      <c r="DKH3" s="28"/>
      <c r="DKI3" s="31"/>
      <c r="DKJ3" s="31"/>
      <c r="DKK3" s="29"/>
      <c r="DKL3" s="385"/>
      <c r="DKM3" s="29"/>
      <c r="DKN3" s="385"/>
      <c r="DKO3" s="29"/>
      <c r="DKP3" s="385"/>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30"/>
      <c r="DLW3" s="28"/>
      <c r="DLX3" s="29"/>
      <c r="DLY3" s="29"/>
      <c r="DLZ3" s="29"/>
      <c r="DMA3" s="29"/>
      <c r="DMB3" s="29"/>
      <c r="DMC3" s="28"/>
      <c r="DMD3" s="29"/>
      <c r="DME3" s="29"/>
      <c r="DMF3" s="28"/>
      <c r="DMG3" s="29"/>
      <c r="DMH3" s="30"/>
      <c r="DMI3" s="28"/>
      <c r="DMJ3" s="29"/>
      <c r="DMK3" s="29"/>
      <c r="DML3" s="29"/>
      <c r="DMM3" s="28"/>
      <c r="DMN3" s="29"/>
      <c r="DMO3" s="29"/>
      <c r="DMP3" s="28"/>
      <c r="DMQ3" s="29"/>
      <c r="DMR3" s="30"/>
      <c r="DMS3" s="28"/>
      <c r="DMT3" s="29"/>
      <c r="DMU3" s="29"/>
      <c r="DMV3" s="29"/>
      <c r="DMW3" s="28"/>
      <c r="DMX3" s="29"/>
      <c r="DMY3" s="29"/>
      <c r="DMZ3" s="28"/>
      <c r="DNA3" s="29"/>
      <c r="DNB3" s="30"/>
      <c r="DNC3" s="28"/>
      <c r="DND3" s="29"/>
      <c r="DNE3" s="29"/>
      <c r="DNF3" s="29"/>
      <c r="DNG3" s="28"/>
      <c r="DNH3" s="29"/>
      <c r="DNI3" s="29"/>
      <c r="DNJ3" s="28"/>
      <c r="DNK3" s="29"/>
      <c r="DNL3" s="30"/>
      <c r="DNM3" s="28"/>
      <c r="DNN3" s="30"/>
      <c r="DNO3" s="29"/>
      <c r="DNP3" s="28"/>
      <c r="DNQ3" s="29"/>
      <c r="DNR3" s="28"/>
      <c r="DNS3" s="31"/>
      <c r="DNT3" s="31"/>
      <c r="DNU3" s="29"/>
      <c r="DNV3" s="385"/>
      <c r="DNW3" s="29"/>
      <c r="DNX3" s="385"/>
      <c r="DNY3" s="29"/>
      <c r="DNZ3" s="385"/>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30"/>
      <c r="DPG3" s="28"/>
      <c r="DPH3" s="29"/>
      <c r="DPI3" s="29"/>
      <c r="DPJ3" s="29"/>
      <c r="DPK3" s="29"/>
      <c r="DPL3" s="29"/>
      <c r="DPM3" s="28"/>
      <c r="DPN3" s="29"/>
      <c r="DPO3" s="29"/>
      <c r="DPP3" s="28"/>
      <c r="DPQ3" s="29"/>
      <c r="DPR3" s="30"/>
      <c r="DPS3" s="28"/>
      <c r="DPT3" s="29"/>
      <c r="DPU3" s="29"/>
      <c r="DPV3" s="29"/>
      <c r="DPW3" s="28"/>
      <c r="DPX3" s="29"/>
      <c r="DPY3" s="29"/>
      <c r="DPZ3" s="28"/>
      <c r="DQA3" s="29"/>
      <c r="DQB3" s="30"/>
      <c r="DQC3" s="28"/>
      <c r="DQD3" s="29"/>
      <c r="DQE3" s="29"/>
      <c r="DQF3" s="29"/>
      <c r="DQG3" s="28"/>
      <c r="DQH3" s="29"/>
      <c r="DQI3" s="29"/>
      <c r="DQJ3" s="28"/>
      <c r="DQK3" s="29"/>
      <c r="DQL3" s="30"/>
      <c r="DQM3" s="28"/>
      <c r="DQN3" s="29"/>
      <c r="DQO3" s="29"/>
      <c r="DQP3" s="29"/>
      <c r="DQQ3" s="28"/>
      <c r="DQR3" s="29"/>
      <c r="DQS3" s="29"/>
      <c r="DQT3" s="28"/>
      <c r="DQU3" s="29"/>
      <c r="DQV3" s="30"/>
      <c r="DQW3" s="28"/>
      <c r="DQX3" s="30"/>
      <c r="DQY3" s="29"/>
      <c r="DQZ3" s="28"/>
      <c r="DRA3" s="29"/>
      <c r="DRB3" s="28"/>
      <c r="DRC3" s="31"/>
      <c r="DRD3" s="31"/>
      <c r="DRE3" s="29"/>
      <c r="DRF3" s="385"/>
      <c r="DRG3" s="29"/>
      <c r="DRH3" s="385"/>
      <c r="DRI3" s="29"/>
      <c r="DRJ3" s="385"/>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30"/>
      <c r="DSQ3" s="28"/>
      <c r="DSR3" s="29"/>
      <c r="DSS3" s="29"/>
      <c r="DST3" s="29"/>
      <c r="DSU3" s="29"/>
      <c r="DSV3" s="29"/>
      <c r="DSW3" s="28"/>
      <c r="DSX3" s="29"/>
      <c r="DSY3" s="29"/>
      <c r="DSZ3" s="28"/>
      <c r="DTA3" s="29"/>
      <c r="DTB3" s="30"/>
      <c r="DTC3" s="28"/>
      <c r="DTD3" s="29"/>
      <c r="DTE3" s="29"/>
      <c r="DTF3" s="29"/>
      <c r="DTG3" s="28"/>
      <c r="DTH3" s="29"/>
      <c r="DTI3" s="29"/>
      <c r="DTJ3" s="28"/>
      <c r="DTK3" s="29"/>
      <c r="DTL3" s="30"/>
      <c r="DTM3" s="28"/>
      <c r="DTN3" s="29"/>
      <c r="DTO3" s="29"/>
      <c r="DTP3" s="29"/>
      <c r="DTQ3" s="28"/>
      <c r="DTR3" s="29"/>
      <c r="DTS3" s="29"/>
      <c r="DTT3" s="28"/>
      <c r="DTU3" s="29"/>
      <c r="DTV3" s="30"/>
      <c r="DTW3" s="28"/>
      <c r="DTX3" s="29"/>
      <c r="DTY3" s="29"/>
      <c r="DTZ3" s="29"/>
      <c r="DUA3" s="28"/>
      <c r="DUB3" s="29"/>
      <c r="DUC3" s="29"/>
      <c r="DUD3" s="28"/>
      <c r="DUE3" s="29"/>
      <c r="DUF3" s="30"/>
      <c r="DUG3" s="28"/>
      <c r="DUH3" s="30"/>
      <c r="DUI3" s="29"/>
      <c r="DUJ3" s="28"/>
      <c r="DUK3" s="29"/>
      <c r="DUL3" s="28"/>
      <c r="DUM3" s="31"/>
      <c r="DUN3" s="31"/>
      <c r="DUO3" s="29"/>
      <c r="DUP3" s="385"/>
      <c r="DUQ3" s="29"/>
      <c r="DUR3" s="385"/>
      <c r="DUS3" s="29"/>
      <c r="DUT3" s="385"/>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30"/>
      <c r="DWA3" s="28"/>
      <c r="DWB3" s="29"/>
      <c r="DWC3" s="29"/>
      <c r="DWD3" s="29"/>
      <c r="DWE3" s="29"/>
      <c r="DWF3" s="29"/>
      <c r="DWG3" s="28"/>
      <c r="DWH3" s="29"/>
      <c r="DWI3" s="29"/>
      <c r="DWJ3" s="28"/>
      <c r="DWK3" s="29"/>
      <c r="DWL3" s="30"/>
      <c r="DWM3" s="28"/>
      <c r="DWN3" s="29"/>
      <c r="DWO3" s="29"/>
      <c r="DWP3" s="29"/>
      <c r="DWQ3" s="28"/>
      <c r="DWR3" s="29"/>
      <c r="DWS3" s="29"/>
      <c r="DWT3" s="28"/>
      <c r="DWU3" s="29"/>
      <c r="DWV3" s="30"/>
      <c r="DWW3" s="28"/>
      <c r="DWX3" s="29"/>
      <c r="DWY3" s="29"/>
      <c r="DWZ3" s="29"/>
      <c r="DXA3" s="28"/>
      <c r="DXB3" s="29"/>
      <c r="DXC3" s="29"/>
      <c r="DXD3" s="28"/>
      <c r="DXE3" s="29"/>
      <c r="DXF3" s="30"/>
      <c r="DXG3" s="28"/>
      <c r="DXH3" s="29"/>
      <c r="DXI3" s="29"/>
      <c r="DXJ3" s="29"/>
      <c r="DXK3" s="28"/>
      <c r="DXL3" s="29"/>
      <c r="DXM3" s="29"/>
      <c r="DXN3" s="28"/>
      <c r="DXO3" s="29"/>
      <c r="DXP3" s="30"/>
      <c r="DXQ3" s="28"/>
      <c r="DXR3" s="30"/>
      <c r="DXS3" s="29"/>
      <c r="DXT3" s="28"/>
      <c r="DXU3" s="29"/>
      <c r="DXV3" s="28"/>
      <c r="DXW3" s="31"/>
      <c r="DXX3" s="31"/>
      <c r="DXY3" s="29"/>
      <c r="DXZ3" s="385"/>
      <c r="DYA3" s="29"/>
      <c r="DYB3" s="385"/>
      <c r="DYC3" s="29"/>
      <c r="DYD3" s="385"/>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30"/>
      <c r="DZK3" s="28"/>
      <c r="DZL3" s="29"/>
      <c r="DZM3" s="29"/>
      <c r="DZN3" s="29"/>
      <c r="DZO3" s="29"/>
      <c r="DZP3" s="29"/>
      <c r="DZQ3" s="28"/>
      <c r="DZR3" s="29"/>
      <c r="DZS3" s="29"/>
      <c r="DZT3" s="28"/>
      <c r="DZU3" s="29"/>
      <c r="DZV3" s="30"/>
      <c r="DZW3" s="28"/>
      <c r="DZX3" s="29"/>
      <c r="DZY3" s="29"/>
      <c r="DZZ3" s="29"/>
      <c r="EAA3" s="28"/>
      <c r="EAB3" s="29"/>
      <c r="EAC3" s="29"/>
      <c r="EAD3" s="28"/>
      <c r="EAE3" s="29"/>
      <c r="EAF3" s="30"/>
      <c r="EAG3" s="28"/>
      <c r="EAH3" s="29"/>
      <c r="EAI3" s="29"/>
      <c r="EAJ3" s="29"/>
      <c r="EAK3" s="28"/>
      <c r="EAL3" s="29"/>
      <c r="EAM3" s="29"/>
      <c r="EAN3" s="28"/>
      <c r="EAO3" s="29"/>
      <c r="EAP3" s="30"/>
      <c r="EAQ3" s="28"/>
      <c r="EAR3" s="29"/>
      <c r="EAS3" s="29"/>
      <c r="EAT3" s="29"/>
      <c r="EAU3" s="28"/>
      <c r="EAV3" s="29"/>
      <c r="EAW3" s="29"/>
      <c r="EAX3" s="28"/>
      <c r="EAY3" s="29"/>
      <c r="EAZ3" s="30"/>
      <c r="EBA3" s="28"/>
      <c r="EBB3" s="30"/>
      <c r="EBC3" s="29"/>
      <c r="EBD3" s="28"/>
      <c r="EBE3" s="29"/>
      <c r="EBF3" s="28"/>
      <c r="EBG3" s="31"/>
      <c r="EBH3" s="31"/>
      <c r="EBI3" s="29"/>
      <c r="EBJ3" s="385"/>
      <c r="EBK3" s="29"/>
      <c r="EBL3" s="385"/>
      <c r="EBM3" s="29"/>
      <c r="EBN3" s="385"/>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30"/>
      <c r="ECU3" s="28"/>
      <c r="ECV3" s="29"/>
      <c r="ECW3" s="29"/>
      <c r="ECX3" s="29"/>
      <c r="ECY3" s="29"/>
      <c r="ECZ3" s="29"/>
      <c r="EDA3" s="28"/>
      <c r="EDB3" s="29"/>
      <c r="EDC3" s="29"/>
      <c r="EDD3" s="28"/>
      <c r="EDE3" s="29"/>
      <c r="EDF3" s="30"/>
      <c r="EDG3" s="28"/>
      <c r="EDH3" s="29"/>
      <c r="EDI3" s="29"/>
      <c r="EDJ3" s="29"/>
      <c r="EDK3" s="28"/>
      <c r="EDL3" s="29"/>
      <c r="EDM3" s="29"/>
      <c r="EDN3" s="28"/>
      <c r="EDO3" s="29"/>
      <c r="EDP3" s="30"/>
      <c r="EDQ3" s="28"/>
      <c r="EDR3" s="29"/>
      <c r="EDS3" s="29"/>
      <c r="EDT3" s="29"/>
      <c r="EDU3" s="28"/>
      <c r="EDV3" s="29"/>
      <c r="EDW3" s="29"/>
      <c r="EDX3" s="28"/>
      <c r="EDY3" s="29"/>
      <c r="EDZ3" s="30"/>
      <c r="EEA3" s="28"/>
      <c r="EEB3" s="29"/>
      <c r="EEC3" s="29"/>
      <c r="EED3" s="29"/>
      <c r="EEE3" s="28"/>
      <c r="EEF3" s="29"/>
      <c r="EEG3" s="29"/>
      <c r="EEH3" s="28"/>
      <c r="EEI3" s="29"/>
      <c r="EEJ3" s="30"/>
      <c r="EEK3" s="28"/>
      <c r="EEL3" s="30"/>
      <c r="EEM3" s="29"/>
      <c r="EEN3" s="28"/>
      <c r="EEO3" s="29"/>
      <c r="EEP3" s="28"/>
      <c r="EEQ3" s="31"/>
      <c r="EER3" s="31"/>
      <c r="EES3" s="29"/>
      <c r="EET3" s="385"/>
      <c r="EEU3" s="29"/>
      <c r="EEV3" s="385"/>
      <c r="EEW3" s="29"/>
      <c r="EEX3" s="385"/>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30"/>
      <c r="EGE3" s="28"/>
      <c r="EGF3" s="29"/>
      <c r="EGG3" s="29"/>
      <c r="EGH3" s="29"/>
      <c r="EGI3" s="29"/>
      <c r="EGJ3" s="29"/>
      <c r="EGK3" s="28"/>
      <c r="EGL3" s="29"/>
      <c r="EGM3" s="29"/>
      <c r="EGN3" s="28"/>
      <c r="EGO3" s="29"/>
      <c r="EGP3" s="30"/>
      <c r="EGQ3" s="28"/>
      <c r="EGR3" s="29"/>
      <c r="EGS3" s="29"/>
      <c r="EGT3" s="29"/>
      <c r="EGU3" s="28"/>
      <c r="EGV3" s="29"/>
      <c r="EGW3" s="29"/>
      <c r="EGX3" s="28"/>
      <c r="EGY3" s="29"/>
      <c r="EGZ3" s="30"/>
      <c r="EHA3" s="28"/>
      <c r="EHB3" s="29"/>
      <c r="EHC3" s="29"/>
      <c r="EHD3" s="29"/>
      <c r="EHE3" s="28"/>
      <c r="EHF3" s="29"/>
      <c r="EHG3" s="29"/>
      <c r="EHH3" s="28"/>
      <c r="EHI3" s="29"/>
      <c r="EHJ3" s="30"/>
      <c r="EHK3" s="28"/>
      <c r="EHL3" s="29"/>
      <c r="EHM3" s="29"/>
      <c r="EHN3" s="29"/>
      <c r="EHO3" s="28"/>
      <c r="EHP3" s="29"/>
      <c r="EHQ3" s="29"/>
      <c r="EHR3" s="28"/>
      <c r="EHS3" s="29"/>
      <c r="EHT3" s="30"/>
      <c r="EHU3" s="28"/>
      <c r="EHV3" s="30"/>
      <c r="EHW3" s="29"/>
      <c r="EHX3" s="28"/>
      <c r="EHY3" s="29"/>
      <c r="EHZ3" s="28"/>
      <c r="EIA3" s="31"/>
      <c r="EIB3" s="31"/>
      <c r="EIC3" s="29"/>
      <c r="EID3" s="385"/>
      <c r="EIE3" s="29"/>
      <c r="EIF3" s="385"/>
      <c r="EIG3" s="29"/>
      <c r="EIH3" s="385"/>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30"/>
      <c r="EJO3" s="28"/>
      <c r="EJP3" s="29"/>
      <c r="EJQ3" s="29"/>
      <c r="EJR3" s="29"/>
      <c r="EJS3" s="29"/>
      <c r="EJT3" s="29"/>
      <c r="EJU3" s="28"/>
      <c r="EJV3" s="29"/>
      <c r="EJW3" s="29"/>
      <c r="EJX3" s="28"/>
      <c r="EJY3" s="29"/>
      <c r="EJZ3" s="30"/>
      <c r="EKA3" s="28"/>
      <c r="EKB3" s="29"/>
      <c r="EKC3" s="29"/>
      <c r="EKD3" s="29"/>
      <c r="EKE3" s="28"/>
      <c r="EKF3" s="29"/>
      <c r="EKG3" s="29"/>
      <c r="EKH3" s="28"/>
      <c r="EKI3" s="29"/>
      <c r="EKJ3" s="30"/>
      <c r="EKK3" s="28"/>
      <c r="EKL3" s="29"/>
      <c r="EKM3" s="29"/>
      <c r="EKN3" s="29"/>
      <c r="EKO3" s="28"/>
      <c r="EKP3" s="29"/>
      <c r="EKQ3" s="29"/>
      <c r="EKR3" s="28"/>
      <c r="EKS3" s="29"/>
      <c r="EKT3" s="30"/>
      <c r="EKU3" s="28"/>
      <c r="EKV3" s="29"/>
      <c r="EKW3" s="29"/>
      <c r="EKX3" s="29"/>
      <c r="EKY3" s="28"/>
      <c r="EKZ3" s="29"/>
      <c r="ELA3" s="29"/>
      <c r="ELB3" s="28"/>
      <c r="ELC3" s="29"/>
      <c r="ELD3" s="30"/>
      <c r="ELE3" s="28"/>
      <c r="ELF3" s="30"/>
      <c r="ELG3" s="29"/>
      <c r="ELH3" s="28"/>
      <c r="ELI3" s="29"/>
      <c r="ELJ3" s="28"/>
      <c r="ELK3" s="31"/>
      <c r="ELL3" s="31"/>
      <c r="ELM3" s="29"/>
      <c r="ELN3" s="385"/>
      <c r="ELO3" s="29"/>
      <c r="ELP3" s="385"/>
      <c r="ELQ3" s="29"/>
      <c r="ELR3" s="385"/>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30"/>
      <c r="EMY3" s="28"/>
      <c r="EMZ3" s="29"/>
      <c r="ENA3" s="29"/>
      <c r="ENB3" s="29"/>
      <c r="ENC3" s="29"/>
      <c r="END3" s="29"/>
      <c r="ENE3" s="28"/>
      <c r="ENF3" s="29"/>
      <c r="ENG3" s="29"/>
      <c r="ENH3" s="28"/>
      <c r="ENI3" s="29"/>
      <c r="ENJ3" s="30"/>
      <c r="ENK3" s="28"/>
      <c r="ENL3" s="29"/>
      <c r="ENM3" s="29"/>
      <c r="ENN3" s="29"/>
      <c r="ENO3" s="28"/>
      <c r="ENP3" s="29"/>
      <c r="ENQ3" s="29"/>
      <c r="ENR3" s="28"/>
      <c r="ENS3" s="29"/>
      <c r="ENT3" s="30"/>
      <c r="ENU3" s="28"/>
      <c r="ENV3" s="29"/>
      <c r="ENW3" s="29"/>
      <c r="ENX3" s="29"/>
      <c r="ENY3" s="28"/>
      <c r="ENZ3" s="29"/>
      <c r="EOA3" s="29"/>
      <c r="EOB3" s="28"/>
      <c r="EOC3" s="29"/>
      <c r="EOD3" s="30"/>
      <c r="EOE3" s="28"/>
      <c r="EOF3" s="29"/>
      <c r="EOG3" s="29"/>
      <c r="EOH3" s="29"/>
      <c r="EOI3" s="28"/>
      <c r="EOJ3" s="29"/>
      <c r="EOK3" s="29"/>
      <c r="EOL3" s="28"/>
      <c r="EOM3" s="29"/>
      <c r="EON3" s="30"/>
      <c r="EOO3" s="28" t="str">
        <f t="shared" ref="EOO3:EOO47" si="75">IFERROR(VLOOKUP(EON3,BASEPOE1,2,FALSE)," ")</f>
        <v xml:space="preserve"> </v>
      </c>
    </row>
    <row r="4" spans="1:3873" x14ac:dyDescent="0.3">
      <c r="A4" s="392" t="s">
        <v>118</v>
      </c>
      <c r="B4" s="58" t="s">
        <v>1380</v>
      </c>
      <c r="C4" s="57" t="s">
        <v>1381</v>
      </c>
      <c r="D4" s="56" t="str">
        <f t="shared" si="61"/>
        <v xml:space="preserve"> </v>
      </c>
      <c r="E4" s="57"/>
      <c r="F4" s="56"/>
      <c r="G4" s="59">
        <v>45345</v>
      </c>
      <c r="H4" s="59">
        <f>+G4+365</f>
        <v>45710</v>
      </c>
      <c r="I4" s="57" t="s">
        <v>1372</v>
      </c>
      <c r="J4" s="57" t="s">
        <v>1373</v>
      </c>
      <c r="K4" s="57" t="s">
        <v>1372</v>
      </c>
      <c r="L4" s="57" t="s">
        <v>1373</v>
      </c>
      <c r="M4" s="57" t="s">
        <v>1372</v>
      </c>
      <c r="N4" s="387" t="s">
        <v>1374</v>
      </c>
      <c r="O4" s="57"/>
      <c r="P4" s="57" t="s">
        <v>1372</v>
      </c>
      <c r="Q4" s="57" t="s">
        <v>1372</v>
      </c>
      <c r="R4" s="57" t="s">
        <v>1372</v>
      </c>
      <c r="S4" s="57" t="s">
        <v>1372</v>
      </c>
      <c r="T4" s="57" t="s">
        <v>1372</v>
      </c>
      <c r="U4" s="57" t="s">
        <v>1372</v>
      </c>
      <c r="V4" s="57"/>
      <c r="W4" s="57" t="s">
        <v>1382</v>
      </c>
      <c r="X4" s="57"/>
      <c r="Y4" s="57"/>
      <c r="Z4" s="57" t="s">
        <v>1372</v>
      </c>
      <c r="AA4" s="57"/>
      <c r="AB4" s="57"/>
      <c r="AC4" s="57"/>
      <c r="AD4" s="57"/>
      <c r="AE4" s="57"/>
      <c r="AF4" s="57"/>
      <c r="AG4" s="57"/>
      <c r="AH4" s="57"/>
      <c r="AI4" s="57"/>
      <c r="AJ4" s="57"/>
      <c r="AK4" s="57"/>
      <c r="AL4" s="57"/>
      <c r="AM4" s="57"/>
      <c r="AN4" s="57"/>
      <c r="AO4" s="57"/>
      <c r="AP4" s="57"/>
      <c r="AQ4" s="57"/>
      <c r="AR4" s="57"/>
      <c r="AS4" s="57"/>
      <c r="AT4" s="58" t="s">
        <v>1370</v>
      </c>
      <c r="AU4" s="57" t="s">
        <v>1371</v>
      </c>
      <c r="AV4" s="56" t="str">
        <f t="shared" si="62"/>
        <v xml:space="preserve"> </v>
      </c>
      <c r="AW4" s="57"/>
      <c r="AX4" s="56"/>
      <c r="AY4" s="59">
        <v>45343</v>
      </c>
      <c r="AZ4" s="59">
        <f>+AY4+365</f>
        <v>45708</v>
      </c>
      <c r="BA4" s="57" t="s">
        <v>1372</v>
      </c>
      <c r="BB4" s="57" t="s">
        <v>1373</v>
      </c>
      <c r="BC4" s="57" t="s">
        <v>1372</v>
      </c>
      <c r="BD4" s="57" t="s">
        <v>1373</v>
      </c>
      <c r="BE4" s="57" t="s">
        <v>1372</v>
      </c>
      <c r="BF4" s="387" t="s">
        <v>1374</v>
      </c>
      <c r="BG4" s="57" t="s">
        <v>1372</v>
      </c>
      <c r="BH4" s="57"/>
      <c r="BI4" s="57" t="s">
        <v>1372</v>
      </c>
      <c r="BJ4" s="57" t="s">
        <v>1372</v>
      </c>
      <c r="BK4" s="57" t="s">
        <v>1372</v>
      </c>
      <c r="BL4" s="57" t="s">
        <v>1372</v>
      </c>
      <c r="BM4" s="57" t="s">
        <v>1372</v>
      </c>
      <c r="BN4" s="57" t="s">
        <v>1372</v>
      </c>
      <c r="BO4" s="57"/>
      <c r="BP4" s="57"/>
      <c r="BQ4" s="57"/>
      <c r="BR4" s="57" t="s">
        <v>1372</v>
      </c>
      <c r="BS4" s="57"/>
      <c r="BT4" s="57"/>
      <c r="BU4" s="57"/>
      <c r="BV4" s="57"/>
      <c r="BW4" s="57"/>
      <c r="BX4" s="57"/>
      <c r="BY4" s="57"/>
      <c r="BZ4" s="57"/>
      <c r="CA4" s="57"/>
      <c r="CB4" s="57"/>
      <c r="CC4" s="57"/>
      <c r="CD4" s="57"/>
      <c r="CE4" s="57"/>
      <c r="CF4" s="57"/>
      <c r="CG4" s="57"/>
      <c r="CH4" s="57" t="s">
        <v>1372</v>
      </c>
      <c r="CI4" s="57"/>
      <c r="CJ4" s="57" t="s">
        <v>1375</v>
      </c>
      <c r="CK4" s="57"/>
      <c r="CL4" s="58" t="s">
        <v>1377</v>
      </c>
      <c r="CM4" s="57" t="s">
        <v>1371</v>
      </c>
      <c r="CN4" s="56" t="str">
        <f t="shared" si="63"/>
        <v xml:space="preserve"> </v>
      </c>
      <c r="CO4" s="57"/>
      <c r="CP4" s="56"/>
      <c r="CQ4" s="59">
        <v>45344</v>
      </c>
      <c r="CR4" s="59">
        <f>+CQ4+365</f>
        <v>45709</v>
      </c>
      <c r="CS4" s="57" t="s">
        <v>1372</v>
      </c>
      <c r="CT4" s="57" t="s">
        <v>1373</v>
      </c>
      <c r="CU4" s="57" t="s">
        <v>1372</v>
      </c>
      <c r="CV4" s="57" t="s">
        <v>1373</v>
      </c>
      <c r="CW4" s="57" t="s">
        <v>1372</v>
      </c>
      <c r="CX4" s="387" t="s">
        <v>1374</v>
      </c>
      <c r="CY4" s="57" t="s">
        <v>1378</v>
      </c>
      <c r="CZ4" s="57"/>
      <c r="DA4" s="57" t="s">
        <v>1372</v>
      </c>
      <c r="DB4" s="57" t="s">
        <v>1372</v>
      </c>
      <c r="DC4" s="57" t="s">
        <v>1372</v>
      </c>
      <c r="DD4" s="57" t="s">
        <v>1372</v>
      </c>
      <c r="DE4" s="57" t="s">
        <v>1372</v>
      </c>
      <c r="DF4" s="57" t="s">
        <v>1372</v>
      </c>
      <c r="DG4" s="57"/>
      <c r="DH4" s="57"/>
      <c r="DI4" s="57"/>
      <c r="DJ4" s="57" t="s">
        <v>1372</v>
      </c>
      <c r="DK4" s="57"/>
      <c r="DL4" s="57"/>
      <c r="DM4" s="57"/>
      <c r="DN4" s="57"/>
      <c r="DO4" s="57"/>
      <c r="DP4" s="57"/>
      <c r="DQ4" s="57"/>
      <c r="DR4" s="57"/>
      <c r="DS4" s="57"/>
      <c r="DT4" s="57"/>
      <c r="DU4" s="57"/>
      <c r="DV4" s="57"/>
      <c r="DW4" s="57"/>
      <c r="DX4" s="57"/>
      <c r="DY4" s="57"/>
      <c r="DZ4" s="57" t="s">
        <v>1372</v>
      </c>
      <c r="EA4" s="57"/>
      <c r="EB4" s="57"/>
      <c r="EC4" s="57"/>
      <c r="ED4" s="58"/>
      <c r="EE4" s="57"/>
      <c r="EF4" s="56" t="str">
        <f t="shared" si="64"/>
        <v xml:space="preserve"> </v>
      </c>
      <c r="EG4" s="57"/>
      <c r="EH4" s="56"/>
      <c r="EI4" s="59"/>
      <c r="EJ4" s="59">
        <f>+EI4+365</f>
        <v>365</v>
      </c>
      <c r="EK4" s="57"/>
      <c r="EL4" s="57"/>
      <c r="EM4" s="57"/>
      <c r="EN4" s="57"/>
      <c r="EO4" s="57"/>
      <c r="EP4" s="38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8"/>
      <c r="FW4" s="57"/>
      <c r="FX4" s="56" t="str">
        <f t="shared" si="65"/>
        <v xml:space="preserve"> </v>
      </c>
      <c r="FY4" s="57"/>
      <c r="FZ4" s="56"/>
      <c r="GA4" s="59"/>
      <c r="GB4" s="59">
        <f>+GA4+365</f>
        <v>365</v>
      </c>
      <c r="GC4" s="57"/>
      <c r="GD4" s="57"/>
      <c r="GE4" s="57"/>
      <c r="GF4" s="57"/>
      <c r="GG4" s="57"/>
      <c r="GH4" s="38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8"/>
      <c r="HO4" s="57"/>
      <c r="HP4" s="56" t="str">
        <f t="shared" si="66"/>
        <v xml:space="preserve"> </v>
      </c>
      <c r="HQ4" s="57"/>
      <c r="HR4" s="56"/>
      <c r="HS4" s="59"/>
      <c r="HT4" s="59">
        <f>+HS4+365</f>
        <v>365</v>
      </c>
      <c r="HU4" s="57"/>
      <c r="HV4" s="57"/>
      <c r="HW4" s="57"/>
      <c r="HX4" s="57"/>
      <c r="HY4" s="57"/>
      <c r="HZ4" s="38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8"/>
      <c r="JG4" s="57"/>
      <c r="JH4" s="56" t="str">
        <f t="shared" si="67"/>
        <v xml:space="preserve"> </v>
      </c>
      <c r="JI4" s="57"/>
      <c r="JJ4" s="56"/>
      <c r="JK4" s="59"/>
      <c r="JL4" s="59">
        <f>+JK4+365</f>
        <v>365</v>
      </c>
      <c r="JM4" s="57"/>
      <c r="JN4" s="57"/>
      <c r="JO4" s="57"/>
      <c r="JP4" s="57"/>
      <c r="JQ4" s="57"/>
      <c r="JR4" s="387"/>
      <c r="JS4" s="57"/>
      <c r="JT4" s="57"/>
      <c r="JU4" s="57"/>
      <c r="JV4" s="57"/>
      <c r="JW4" s="57"/>
      <c r="JX4" s="57"/>
      <c r="JY4" s="57"/>
      <c r="JZ4" s="57"/>
      <c r="KA4" s="57"/>
      <c r="KB4" s="57"/>
      <c r="KC4" s="57"/>
      <c r="KD4" s="57"/>
      <c r="KE4" s="57"/>
      <c r="KF4" s="57"/>
      <c r="KG4" s="57"/>
      <c r="KH4" s="57"/>
      <c r="KI4" s="57"/>
      <c r="KJ4" s="57"/>
      <c r="KK4" s="57"/>
      <c r="KL4" s="57"/>
      <c r="KM4" s="57"/>
      <c r="KN4" s="57"/>
      <c r="KO4" s="57"/>
      <c r="KP4" s="57"/>
      <c r="KQ4" s="57"/>
      <c r="KR4" s="57"/>
      <c r="KS4" s="57"/>
      <c r="KT4" s="57"/>
      <c r="KU4" s="57"/>
      <c r="KV4" s="57"/>
      <c r="KW4" s="57"/>
      <c r="KX4" s="58"/>
      <c r="KY4" s="57"/>
      <c r="KZ4" s="56" t="str">
        <f t="shared" si="68"/>
        <v xml:space="preserve"> </v>
      </c>
      <c r="LA4" s="57"/>
      <c r="LB4" s="56"/>
      <c r="LC4" s="59"/>
      <c r="LD4" s="59">
        <f>+LC4+365</f>
        <v>365</v>
      </c>
      <c r="LE4" s="57"/>
      <c r="LF4" s="57"/>
      <c r="LG4" s="57"/>
      <c r="LH4" s="57"/>
      <c r="LI4" s="57"/>
      <c r="LJ4" s="387"/>
      <c r="LK4" s="57"/>
      <c r="LL4" s="57"/>
      <c r="LM4" s="57"/>
      <c r="LN4" s="57"/>
      <c r="LO4" s="57"/>
      <c r="LP4" s="57"/>
      <c r="LQ4" s="57"/>
      <c r="LR4" s="57"/>
      <c r="LS4" s="57"/>
      <c r="LT4" s="57"/>
      <c r="LU4" s="57"/>
      <c r="LV4" s="57"/>
      <c r="LW4" s="57"/>
      <c r="LX4" s="57"/>
      <c r="LY4" s="57"/>
      <c r="LZ4" s="57"/>
      <c r="MA4" s="57"/>
      <c r="MB4" s="57"/>
      <c r="MC4" s="57"/>
      <c r="MD4" s="57"/>
      <c r="ME4" s="57"/>
      <c r="MF4" s="57"/>
      <c r="MG4" s="57"/>
      <c r="MH4" s="57"/>
      <c r="MI4" s="57"/>
      <c r="MJ4" s="57"/>
      <c r="MK4" s="57"/>
      <c r="ML4" s="57"/>
      <c r="MM4" s="57"/>
      <c r="MN4" s="57"/>
      <c r="MO4" s="57"/>
      <c r="MP4" s="58"/>
      <c r="MQ4" s="57"/>
      <c r="MR4" s="56" t="str">
        <f t="shared" si="69"/>
        <v xml:space="preserve"> </v>
      </c>
      <c r="MS4" s="57"/>
      <c r="MT4" s="56"/>
      <c r="MU4" s="59"/>
      <c r="MV4" s="59">
        <f>+MU4+365</f>
        <v>365</v>
      </c>
      <c r="MW4" s="57"/>
      <c r="MX4" s="57"/>
      <c r="MY4" s="57"/>
      <c r="MZ4" s="57"/>
      <c r="NA4" s="57"/>
      <c r="NB4" s="38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8"/>
      <c r="OI4" s="57"/>
      <c r="OJ4" s="56" t="str">
        <f t="shared" si="70"/>
        <v xml:space="preserve"> </v>
      </c>
      <c r="OK4" s="57"/>
      <c r="OL4" s="56"/>
      <c r="OM4" s="59"/>
      <c r="ON4" s="59">
        <f>+OM4+365</f>
        <v>365</v>
      </c>
      <c r="OO4" s="57"/>
      <c r="OP4" s="57"/>
      <c r="OQ4" s="57"/>
      <c r="OR4" s="57"/>
      <c r="OS4" s="57"/>
      <c r="OT4" s="38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8"/>
      <c r="QA4" s="57"/>
      <c r="QB4" s="56" t="str">
        <f t="shared" si="71"/>
        <v xml:space="preserve"> </v>
      </c>
      <c r="QC4" s="57"/>
      <c r="QD4" s="56"/>
      <c r="QE4" s="59"/>
      <c r="QF4" s="59">
        <f>+QE4+365</f>
        <v>365</v>
      </c>
      <c r="QG4" s="57"/>
      <c r="QH4" s="57"/>
      <c r="QI4" s="57"/>
      <c r="QJ4" s="57"/>
      <c r="QK4" s="57"/>
      <c r="QL4" s="38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8"/>
      <c r="RS4" s="57"/>
      <c r="RT4" s="56" t="str">
        <f t="shared" si="72"/>
        <v xml:space="preserve"> </v>
      </c>
      <c r="RU4" s="57"/>
      <c r="RV4" s="56"/>
      <c r="RW4" s="59"/>
      <c r="RX4" s="59">
        <f>+RW4+365</f>
        <v>365</v>
      </c>
      <c r="RY4" s="57"/>
      <c r="RZ4" s="57"/>
      <c r="SA4" s="57"/>
      <c r="SB4" s="57"/>
      <c r="SC4" s="57"/>
      <c r="SD4" s="387"/>
      <c r="SE4" s="57"/>
      <c r="SF4" s="57"/>
      <c r="SG4" s="57"/>
      <c r="SH4" s="57"/>
      <c r="SI4" s="57"/>
      <c r="SJ4" s="57"/>
      <c r="SK4" s="57"/>
      <c r="SL4" s="57"/>
      <c r="SM4" s="57"/>
      <c r="SN4" s="57"/>
      <c r="SO4" s="57"/>
      <c r="SP4" s="57"/>
      <c r="SQ4" s="57"/>
      <c r="SR4" s="57"/>
      <c r="SS4" s="57"/>
      <c r="ST4" s="57"/>
      <c r="SU4" s="57"/>
      <c r="SV4" s="57"/>
      <c r="SW4" s="57"/>
      <c r="SX4" s="57"/>
      <c r="SY4" s="57"/>
      <c r="SZ4" s="57"/>
      <c r="TA4" s="57"/>
      <c r="TB4" s="57"/>
      <c r="TC4" s="57"/>
      <c r="TD4" s="57"/>
      <c r="TE4" s="57"/>
      <c r="TF4" s="57"/>
      <c r="TG4" s="57"/>
      <c r="TH4" s="57"/>
      <c r="TI4" s="57"/>
      <c r="TJ4" s="58"/>
      <c r="TK4" s="57"/>
      <c r="TL4" s="56" t="str">
        <f t="shared" si="73"/>
        <v xml:space="preserve"> </v>
      </c>
      <c r="TM4" s="57"/>
      <c r="TN4" s="56"/>
      <c r="TO4" s="59"/>
      <c r="TP4" s="59">
        <f>+TO4+365</f>
        <v>365</v>
      </c>
      <c r="TQ4" s="57"/>
      <c r="TR4" s="57"/>
      <c r="TS4" s="57"/>
      <c r="TT4" s="57"/>
      <c r="TU4" s="57"/>
      <c r="TV4" s="387"/>
      <c r="TW4" s="57"/>
      <c r="TX4" s="57"/>
      <c r="TY4" s="57"/>
      <c r="TZ4" s="57"/>
      <c r="UA4" s="57"/>
      <c r="UB4" s="57"/>
      <c r="UC4" s="57"/>
      <c r="UD4" s="57"/>
      <c r="UE4" s="57"/>
      <c r="UF4" s="57"/>
      <c r="UG4" s="57"/>
      <c r="UH4" s="57"/>
      <c r="UI4" s="57"/>
      <c r="UJ4" s="57"/>
      <c r="UK4" s="57"/>
      <c r="UL4" s="57"/>
      <c r="UM4" s="57"/>
      <c r="UN4" s="57"/>
      <c r="UO4" s="57"/>
      <c r="UP4" s="57"/>
      <c r="UQ4" s="57"/>
      <c r="UR4" s="57"/>
      <c r="US4" s="57"/>
      <c r="UT4" s="57"/>
      <c r="UU4" s="57"/>
      <c r="UV4" s="57"/>
      <c r="UW4" s="57"/>
      <c r="UX4" s="57"/>
      <c r="UY4" s="57"/>
      <c r="UZ4" s="57"/>
      <c r="VA4" s="57"/>
      <c r="VB4" s="57"/>
      <c r="VC4" s="57"/>
      <c r="VD4" s="56"/>
      <c r="VE4" s="57"/>
      <c r="VF4" s="58"/>
      <c r="VG4" s="56"/>
      <c r="VH4" s="57"/>
      <c r="VI4" s="57"/>
      <c r="VJ4" s="57"/>
      <c r="VK4" s="56"/>
      <c r="VL4" s="57"/>
      <c r="VM4" s="57"/>
      <c r="VN4" s="56"/>
      <c r="VO4" s="57"/>
      <c r="VP4" s="58"/>
      <c r="VQ4" s="56"/>
      <c r="VR4" s="57"/>
      <c r="VS4" s="57"/>
      <c r="VT4" s="57"/>
      <c r="VU4" s="56"/>
      <c r="VV4" s="57"/>
      <c r="VW4" s="57"/>
      <c r="VX4" s="56"/>
      <c r="VY4" s="57"/>
      <c r="VZ4" s="58"/>
      <c r="WA4" s="56"/>
      <c r="WB4" s="57"/>
      <c r="WC4" s="57"/>
      <c r="WD4" s="57"/>
      <c r="WE4" s="56"/>
      <c r="WF4" s="57"/>
      <c r="WG4" s="57"/>
      <c r="WH4" s="56"/>
      <c r="WI4" s="57"/>
      <c r="WJ4" s="58"/>
      <c r="WK4" s="56"/>
      <c r="WL4" s="57"/>
      <c r="WM4" s="57"/>
      <c r="WN4" s="57"/>
      <c r="WO4" s="56"/>
      <c r="WP4" s="57"/>
      <c r="WQ4" s="57"/>
      <c r="WR4" s="56"/>
      <c r="WS4" s="57"/>
      <c r="WT4" s="58"/>
      <c r="WU4" s="56"/>
      <c r="WV4" s="57"/>
      <c r="WW4" s="57"/>
      <c r="WX4" s="57"/>
      <c r="WY4" s="56"/>
      <c r="WZ4" s="57"/>
      <c r="XA4" s="57"/>
      <c r="XB4" s="56"/>
      <c r="XC4" s="57"/>
      <c r="XD4" s="58"/>
      <c r="XE4" s="56"/>
      <c r="XF4" s="57"/>
      <c r="XG4" s="57"/>
      <c r="XH4" s="57"/>
      <c r="XI4" s="56"/>
      <c r="XJ4" s="57"/>
      <c r="XK4" s="57"/>
      <c r="XL4" s="56"/>
      <c r="XM4" s="57"/>
      <c r="XN4" s="58"/>
      <c r="XO4" s="56"/>
      <c r="XP4" s="57"/>
      <c r="XQ4" s="57"/>
      <c r="XR4" s="57"/>
      <c r="XS4" s="56"/>
      <c r="XT4" s="57"/>
      <c r="XU4" s="57"/>
      <c r="XV4" s="56"/>
      <c r="XW4" s="57"/>
      <c r="XX4" s="58"/>
      <c r="XY4" s="56"/>
      <c r="XZ4" s="57"/>
      <c r="YA4" s="57"/>
      <c r="YB4" s="57"/>
      <c r="YC4" s="56"/>
      <c r="YD4" s="57"/>
      <c r="YE4" s="57"/>
      <c r="YF4" s="56"/>
      <c r="YG4" s="57"/>
      <c r="YH4" s="58"/>
      <c r="YI4" s="56"/>
      <c r="YJ4" s="57"/>
      <c r="YK4" s="57"/>
      <c r="YL4" s="57"/>
      <c r="YM4" s="56"/>
      <c r="YN4" s="57"/>
      <c r="YO4" s="57"/>
      <c r="YP4" s="56"/>
      <c r="YQ4" s="57"/>
      <c r="YR4" s="58"/>
      <c r="YS4" s="56"/>
      <c r="YT4" s="57"/>
      <c r="YU4" s="57"/>
      <c r="YV4" s="57"/>
      <c r="YW4" s="56"/>
      <c r="YX4" s="57"/>
      <c r="YY4" s="57"/>
      <c r="YZ4" s="56"/>
      <c r="ZA4" s="57"/>
      <c r="ZB4" s="58"/>
      <c r="ZC4" s="56"/>
      <c r="ZD4" s="57"/>
      <c r="ZE4" s="57"/>
      <c r="ZF4" s="57"/>
      <c r="ZG4" s="56"/>
      <c r="ZH4" s="57"/>
      <c r="ZI4" s="57"/>
      <c r="ZJ4" s="56"/>
      <c r="ZK4" s="57"/>
      <c r="ZL4" s="58"/>
      <c r="ZM4" s="56"/>
      <c r="ZN4" s="57"/>
      <c r="ZO4" s="57"/>
      <c r="ZP4" s="57"/>
      <c r="ZQ4" s="56"/>
      <c r="ZR4" s="57"/>
      <c r="ZS4" s="57"/>
      <c r="ZT4" s="56"/>
      <c r="ZU4" s="57"/>
      <c r="ZV4" s="58"/>
      <c r="ZW4" s="56"/>
      <c r="ZX4" s="57"/>
      <c r="ZY4" s="57"/>
      <c r="ZZ4" s="57"/>
      <c r="AAA4" s="56"/>
      <c r="AAB4" s="57"/>
      <c r="AAC4" s="57"/>
      <c r="AAD4" s="56"/>
      <c r="AAE4" s="57"/>
      <c r="AAF4" s="58"/>
      <c r="AAG4" s="56"/>
      <c r="AAH4" s="57"/>
      <c r="AAI4" s="57"/>
      <c r="AAJ4" s="57"/>
      <c r="AAK4" s="56"/>
      <c r="AAL4" s="57"/>
      <c r="AAM4" s="57"/>
      <c r="AAN4" s="56"/>
      <c r="AAO4" s="57"/>
      <c r="AAP4" s="58"/>
      <c r="AAQ4" s="56"/>
      <c r="AAR4" s="57"/>
      <c r="AAS4" s="57"/>
      <c r="AAT4" s="57"/>
      <c r="AAU4" s="56"/>
      <c r="AAV4" s="57"/>
      <c r="AAW4" s="57"/>
      <c r="AAX4" s="58"/>
      <c r="AAY4" s="58"/>
      <c r="AAZ4" s="58"/>
      <c r="ABA4" s="56"/>
      <c r="ABB4" s="58"/>
      <c r="ABC4" s="58"/>
      <c r="ABD4" s="58"/>
      <c r="ABE4" s="58"/>
      <c r="ABF4" s="58"/>
      <c r="ABG4" s="57"/>
      <c r="ABH4" s="56"/>
      <c r="ABI4" s="57"/>
      <c r="ABJ4" s="58"/>
      <c r="ABK4" s="56"/>
      <c r="ABL4" s="57"/>
      <c r="ABM4" s="57"/>
      <c r="ABN4" s="57"/>
      <c r="ABO4" s="56"/>
      <c r="ABP4" s="57"/>
      <c r="ABQ4" s="57"/>
      <c r="ABR4" s="56"/>
      <c r="ABS4" s="57"/>
      <c r="ABT4" s="58"/>
      <c r="ABU4" s="56"/>
      <c r="ABV4" s="57"/>
      <c r="ABW4" s="57"/>
      <c r="ABX4" s="57"/>
      <c r="ABY4" s="56"/>
      <c r="ABZ4" s="57"/>
      <c r="ACA4" s="57"/>
      <c r="ACB4" s="56"/>
      <c r="ACC4" s="57"/>
      <c r="ACD4" s="58"/>
      <c r="ACE4" s="56"/>
      <c r="ACF4" s="57"/>
      <c r="ACG4" s="57"/>
      <c r="ACH4" s="57"/>
      <c r="ACI4" s="56"/>
      <c r="ACJ4" s="57"/>
      <c r="ACK4" s="57"/>
      <c r="ACL4" s="56"/>
      <c r="ACM4" s="57"/>
      <c r="ACN4" s="58"/>
      <c r="ACO4" s="56"/>
      <c r="ACP4" s="57"/>
      <c r="ACQ4" s="57"/>
      <c r="ACR4" s="57"/>
      <c r="ACS4" s="56"/>
      <c r="ACT4" s="57"/>
      <c r="ACU4" s="57"/>
      <c r="ACV4" s="56"/>
      <c r="ACW4" s="57"/>
      <c r="ACX4" s="58"/>
      <c r="ACY4" s="56"/>
      <c r="ACZ4" s="57"/>
      <c r="ADA4" s="57"/>
      <c r="ADB4" s="57"/>
      <c r="ADC4" s="56"/>
      <c r="ADD4" s="57"/>
      <c r="ADE4" s="57"/>
      <c r="ADF4" s="56"/>
      <c r="ADG4" s="57"/>
      <c r="ADH4" s="58"/>
      <c r="ADI4" s="56"/>
      <c r="ADJ4" s="57"/>
      <c r="ADK4" s="57"/>
      <c r="ADL4" s="57"/>
      <c r="ADM4" s="56"/>
      <c r="ADN4" s="57"/>
      <c r="ADO4" s="57"/>
      <c r="ADP4" s="56"/>
      <c r="ADQ4" s="57"/>
      <c r="ADR4" s="58"/>
      <c r="ADS4" s="56"/>
      <c r="ADT4" s="57"/>
      <c r="ADU4" s="57"/>
      <c r="ADV4" s="57"/>
      <c r="ADW4" s="56"/>
      <c r="ADX4" s="57"/>
      <c r="ADY4" s="57"/>
      <c r="ADZ4" s="56"/>
      <c r="AEA4" s="57"/>
      <c r="AEB4" s="58"/>
      <c r="AEC4" s="56"/>
      <c r="AED4" s="57"/>
      <c r="AEE4" s="57"/>
      <c r="AEF4" s="57"/>
      <c r="AEG4" s="56"/>
      <c r="AEH4" s="57"/>
      <c r="AEI4" s="57"/>
      <c r="AEJ4" s="56"/>
      <c r="AEK4" s="57"/>
      <c r="AEL4" s="58"/>
      <c r="AEM4" s="56"/>
      <c r="AEN4" s="57"/>
      <c r="AEO4" s="57"/>
      <c r="AEP4" s="57"/>
      <c r="AEQ4" s="56"/>
      <c r="AER4" s="57"/>
      <c r="AES4" s="57"/>
      <c r="AET4" s="56"/>
      <c r="AEU4" s="57"/>
      <c r="AEV4" s="58"/>
      <c r="AEW4" s="56"/>
      <c r="AEX4" s="57"/>
      <c r="AEY4" s="57"/>
      <c r="AEZ4" s="57"/>
      <c r="AFA4" s="56"/>
      <c r="AFB4" s="57"/>
      <c r="AFC4" s="57"/>
      <c r="AFD4" s="56"/>
      <c r="AFE4" s="57"/>
      <c r="AFF4" s="58"/>
      <c r="AFG4" s="56"/>
      <c r="AFH4" s="57"/>
      <c r="AFI4" s="57"/>
      <c r="AFJ4" s="57"/>
      <c r="AFK4" s="56"/>
      <c r="AFL4" s="57"/>
      <c r="AFM4" s="57"/>
      <c r="AFN4" s="56"/>
      <c r="AFO4" s="57"/>
      <c r="AFP4" s="58"/>
      <c r="AFQ4" s="56"/>
      <c r="AFR4" s="57"/>
      <c r="AFS4" s="57"/>
      <c r="AFT4" s="57"/>
      <c r="AFU4" s="56"/>
      <c r="AFV4" s="57"/>
      <c r="AFW4" s="57"/>
      <c r="AFX4" s="56"/>
      <c r="AFY4" s="57"/>
      <c r="AFZ4" s="58"/>
      <c r="AGA4" s="56"/>
      <c r="AGB4" s="57"/>
      <c r="AGC4" s="57"/>
      <c r="AGD4" s="57"/>
      <c r="AGE4" s="56"/>
      <c r="AGF4" s="57"/>
      <c r="AGG4" s="57"/>
      <c r="AGH4" s="56"/>
      <c r="AGI4" s="57"/>
      <c r="AGJ4" s="58"/>
      <c r="AGK4" s="56"/>
      <c r="AGL4" s="57"/>
      <c r="AGM4" s="57"/>
      <c r="AGN4" s="57"/>
      <c r="AGO4" s="56"/>
      <c r="AGP4" s="57"/>
      <c r="AGQ4" s="57"/>
      <c r="AGR4" s="56"/>
      <c r="AGS4" s="57"/>
      <c r="AGT4" s="58"/>
      <c r="AGU4" s="56"/>
      <c r="AGV4" s="57"/>
      <c r="AGW4" s="57"/>
      <c r="AGX4" s="57"/>
      <c r="AGY4" s="56"/>
      <c r="AGZ4" s="57"/>
      <c r="AHA4" s="57"/>
      <c r="AHB4" s="56"/>
      <c r="AHC4" s="57"/>
      <c r="AHD4" s="58"/>
      <c r="AHE4" s="56"/>
      <c r="AHF4" s="57"/>
      <c r="AHG4" s="57"/>
      <c r="AHH4" s="57"/>
      <c r="AHI4" s="56"/>
      <c r="AHJ4" s="57"/>
      <c r="AHK4" s="57"/>
      <c r="AHL4" s="56"/>
      <c r="AHM4" s="57"/>
      <c r="AHN4" s="58"/>
      <c r="AHO4" s="56"/>
      <c r="AHP4" s="57"/>
      <c r="AHQ4" s="57"/>
      <c r="AHR4" s="57"/>
      <c r="AHS4" s="56"/>
      <c r="AHT4" s="57"/>
      <c r="AHU4" s="57"/>
      <c r="AHV4" s="56"/>
      <c r="AHW4" s="57"/>
      <c r="AHX4" s="58"/>
      <c r="AHY4" s="56"/>
      <c r="AHZ4" s="57"/>
      <c r="AIA4" s="57"/>
      <c r="AIB4" s="57"/>
      <c r="AIC4" s="56"/>
      <c r="AID4" s="57"/>
      <c r="AIE4" s="57"/>
      <c r="AIF4" s="56"/>
      <c r="AIG4" s="57"/>
      <c r="AIH4" s="58"/>
      <c r="AII4" s="56"/>
      <c r="AIJ4" s="57"/>
      <c r="AIK4" s="57"/>
      <c r="AIL4" s="57"/>
      <c r="AIM4" s="56"/>
      <c r="AIN4" s="57"/>
      <c r="AIO4" s="57"/>
      <c r="AIP4" s="56"/>
      <c r="AIQ4" s="57"/>
      <c r="AIR4" s="58"/>
      <c r="AIS4" s="56"/>
      <c r="AIT4" s="57"/>
      <c r="AIU4" s="57"/>
      <c r="AIV4" s="57"/>
      <c r="AIW4" s="56"/>
      <c r="AIX4" s="57"/>
      <c r="AIY4" s="57"/>
      <c r="AIZ4" s="56"/>
      <c r="AJA4" s="57"/>
      <c r="AJB4" s="58"/>
      <c r="AJC4" s="56"/>
      <c r="AJD4" s="57"/>
      <c r="AJE4" s="57"/>
      <c r="AJF4" s="57"/>
      <c r="AJG4" s="56"/>
      <c r="AJH4" s="57"/>
      <c r="AJI4" s="57"/>
      <c r="AJJ4" s="56"/>
      <c r="AJK4" s="57"/>
      <c r="AJL4" s="58"/>
      <c r="AJM4" s="56"/>
      <c r="AJN4" s="57"/>
      <c r="AJO4" s="57"/>
      <c r="AJP4" s="57"/>
      <c r="AJQ4" s="56"/>
      <c r="AJR4" s="57"/>
      <c r="AJS4" s="57"/>
      <c r="AJT4" s="56"/>
      <c r="AJU4" s="57"/>
      <c r="AJV4" s="58"/>
      <c r="AJW4" s="56"/>
      <c r="AJX4" s="57"/>
      <c r="AJY4" s="57"/>
      <c r="AJZ4" s="57"/>
      <c r="AKA4" s="56"/>
      <c r="AKB4" s="57"/>
      <c r="AKC4" s="57"/>
      <c r="AKD4" s="56"/>
      <c r="AKE4" s="57"/>
      <c r="AKF4" s="58"/>
      <c r="AKG4" s="56"/>
      <c r="AKH4" s="57"/>
      <c r="AKI4" s="57"/>
      <c r="AKJ4" s="57"/>
      <c r="AKK4" s="56"/>
      <c r="AKL4" s="57"/>
      <c r="AKM4" s="57"/>
      <c r="AKN4" s="56"/>
      <c r="AKO4" s="57"/>
      <c r="AKP4" s="58"/>
      <c r="AKQ4" s="56"/>
      <c r="AKR4" s="57"/>
      <c r="AKS4" s="57"/>
      <c r="AKT4" s="57"/>
      <c r="AKU4" s="56"/>
      <c r="AKV4" s="57"/>
      <c r="AKW4" s="57"/>
      <c r="AKX4" s="56"/>
      <c r="AKY4" s="57"/>
      <c r="AKZ4" s="58"/>
      <c r="ALA4" s="56"/>
      <c r="ALB4" s="57"/>
      <c r="ALC4" s="57"/>
      <c r="ALD4" s="57"/>
      <c r="ALE4" s="56"/>
      <c r="ALF4" s="57"/>
      <c r="ALG4" s="57"/>
      <c r="ALH4" s="57"/>
      <c r="ALI4" s="57"/>
      <c r="ALJ4" s="57"/>
      <c r="ALK4" s="56"/>
      <c r="ALL4" s="57"/>
      <c r="ALM4" s="57"/>
      <c r="ALN4" s="56"/>
      <c r="ALO4" s="57"/>
      <c r="ALP4" s="58"/>
      <c r="ALQ4" s="56"/>
      <c r="ALR4" s="57"/>
      <c r="ALS4" s="57"/>
      <c r="ALT4" s="57"/>
      <c r="ALU4" s="56"/>
      <c r="ALV4" s="57"/>
      <c r="ALW4" s="57"/>
      <c r="ALX4" s="56"/>
      <c r="ALY4" s="57"/>
      <c r="ALZ4" s="58"/>
      <c r="AMA4" s="56"/>
      <c r="AMB4" s="57"/>
      <c r="AMC4" s="57"/>
      <c r="AMD4" s="57"/>
      <c r="AME4" s="56"/>
      <c r="AMF4" s="57"/>
      <c r="AMG4" s="57"/>
      <c r="AMH4" s="57"/>
      <c r="AMI4" s="57"/>
      <c r="AMJ4" s="57"/>
      <c r="AMK4" s="56"/>
      <c r="AML4" s="57"/>
      <c r="AMM4" s="57"/>
      <c r="AMN4" s="56"/>
      <c r="AMO4" s="57"/>
      <c r="AMP4" s="58"/>
      <c r="AMQ4" s="56"/>
      <c r="AMR4" s="57"/>
      <c r="AMS4" s="57"/>
      <c r="AMT4" s="57"/>
      <c r="AMU4" s="56"/>
      <c r="AMV4" s="57"/>
      <c r="AMW4" s="57"/>
      <c r="AMX4" s="56"/>
      <c r="AMY4" s="57"/>
      <c r="AMZ4" s="58"/>
      <c r="ANA4" s="56"/>
      <c r="ANB4" s="57"/>
      <c r="ANC4" s="57"/>
      <c r="AND4" s="57"/>
      <c r="ANE4" s="56"/>
      <c r="ANF4" s="57"/>
      <c r="ANG4" s="57"/>
      <c r="ANH4" s="57"/>
      <c r="ANI4" s="57"/>
      <c r="ANJ4" s="57"/>
      <c r="ANK4" s="56"/>
      <c r="ANL4" s="57"/>
      <c r="ANM4" s="57"/>
      <c r="ANN4" s="56"/>
      <c r="ANO4" s="57"/>
      <c r="ANP4" s="58"/>
      <c r="ANQ4" s="56"/>
      <c r="ANR4" s="57"/>
      <c r="ANS4" s="57"/>
      <c r="ANT4" s="57"/>
      <c r="ANU4" s="56"/>
      <c r="ANV4" s="57"/>
      <c r="ANW4" s="57"/>
      <c r="ANX4" s="56"/>
      <c r="ANY4" s="57"/>
      <c r="ANZ4" s="58"/>
      <c r="AOA4" s="56"/>
      <c r="AOB4" s="57"/>
      <c r="AOC4" s="57"/>
      <c r="AOD4" s="57"/>
      <c r="AOE4" s="56"/>
      <c r="AOF4" s="57"/>
      <c r="AOG4" s="57"/>
      <c r="AOH4" s="57"/>
      <c r="AOI4" s="57"/>
      <c r="AOJ4" s="57"/>
      <c r="AOK4" s="56"/>
      <c r="AOL4" s="57"/>
      <c r="AOM4" s="57"/>
      <c r="AON4" s="56"/>
      <c r="AOO4" s="57"/>
      <c r="AOP4" s="58"/>
      <c r="AOQ4" s="56"/>
      <c r="AOR4" s="57"/>
      <c r="AOS4" s="57"/>
      <c r="AOT4" s="57"/>
      <c r="AOU4" s="56"/>
      <c r="AOV4" s="57"/>
      <c r="AOW4" s="57"/>
      <c r="AOX4" s="56"/>
      <c r="AOY4" s="57"/>
      <c r="AOZ4" s="58"/>
      <c r="APA4" s="56"/>
      <c r="APB4" s="57"/>
      <c r="APC4" s="57"/>
      <c r="APD4" s="57"/>
      <c r="APE4" s="56"/>
      <c r="APF4" s="57"/>
      <c r="APG4" s="57"/>
      <c r="APH4" s="57"/>
      <c r="API4" s="57"/>
      <c r="APJ4" s="57"/>
      <c r="APK4" s="56"/>
      <c r="APL4" s="57"/>
      <c r="APM4" s="57"/>
      <c r="APN4" s="56"/>
      <c r="APO4" s="57"/>
      <c r="APP4" s="58"/>
      <c r="APQ4" s="56"/>
      <c r="APR4" s="57"/>
      <c r="APS4" s="57"/>
      <c r="APT4" s="57"/>
      <c r="APU4" s="56"/>
      <c r="APV4" s="57"/>
      <c r="APW4" s="57"/>
      <c r="APX4" s="56"/>
      <c r="APY4" s="57"/>
      <c r="APZ4" s="58"/>
      <c r="AQA4" s="56"/>
      <c r="AQB4" s="57"/>
      <c r="AQC4" s="57"/>
      <c r="AQD4" s="57"/>
      <c r="AQE4" s="56"/>
      <c r="AQF4" s="57"/>
      <c r="AQG4" s="57"/>
      <c r="AQH4" s="57"/>
      <c r="AQI4" s="57"/>
      <c r="AQJ4" s="57"/>
      <c r="AQK4" s="56"/>
      <c r="AQL4" s="57"/>
      <c r="AQM4" s="57"/>
      <c r="AQN4" s="56"/>
      <c r="AQO4" s="57"/>
      <c r="AQP4" s="58"/>
      <c r="AQQ4" s="56"/>
      <c r="AQR4" s="57"/>
      <c r="AQS4" s="57"/>
      <c r="AQT4" s="57"/>
      <c r="AQU4" s="56"/>
      <c r="AQV4" s="57"/>
      <c r="AQW4" s="57"/>
      <c r="AQX4" s="56"/>
      <c r="AQY4" s="57"/>
      <c r="AQZ4" s="58"/>
      <c r="ARA4" s="56"/>
      <c r="ARB4" s="57"/>
      <c r="ARC4" s="57"/>
      <c r="ARD4" s="57"/>
      <c r="ARE4" s="56"/>
      <c r="ARF4" s="57"/>
      <c r="ARG4" s="57"/>
      <c r="ARH4" s="57"/>
      <c r="ARI4" s="57"/>
      <c r="ARJ4" s="57"/>
      <c r="ARK4" s="56"/>
      <c r="ARL4" s="57"/>
      <c r="ARM4" s="57"/>
      <c r="ARN4" s="56"/>
      <c r="ARO4" s="57"/>
      <c r="ARP4" s="58"/>
      <c r="ARQ4" s="56"/>
      <c r="ARR4" s="57"/>
      <c r="ARS4" s="57"/>
      <c r="ART4" s="57"/>
      <c r="ARU4" s="56"/>
      <c r="ARV4" s="57"/>
      <c r="ARW4" s="57"/>
      <c r="ARX4" s="56"/>
      <c r="ARY4" s="57"/>
      <c r="ARZ4" s="58"/>
      <c r="ASA4" s="56"/>
      <c r="ASB4" s="57"/>
      <c r="ASC4" s="57"/>
      <c r="ASD4" s="57"/>
      <c r="ASE4" s="56"/>
      <c r="ASF4" s="57"/>
      <c r="ASG4" s="57"/>
      <c r="ASH4" s="57"/>
      <c r="ASI4" s="57"/>
      <c r="ASJ4" s="57"/>
      <c r="ASK4" s="56"/>
      <c r="ASL4" s="57"/>
      <c r="ASM4" s="57"/>
      <c r="ASN4" s="56"/>
      <c r="ASO4" s="57"/>
      <c r="ASP4" s="58"/>
      <c r="ASQ4" s="56"/>
      <c r="ASR4" s="57"/>
      <c r="ASS4" s="57"/>
      <c r="AST4" s="57"/>
      <c r="ASU4" s="56"/>
      <c r="ASV4" s="57"/>
      <c r="ASW4" s="57"/>
      <c r="ASX4" s="56"/>
      <c r="ASY4" s="57"/>
      <c r="ASZ4" s="58"/>
      <c r="ATA4" s="56"/>
      <c r="ATB4" s="57"/>
      <c r="ATC4" s="57"/>
      <c r="ATD4" s="57"/>
      <c r="ATE4" s="56"/>
      <c r="ATF4" s="57"/>
      <c r="ATG4" s="57"/>
      <c r="ATH4" s="57"/>
      <c r="ATI4" s="57"/>
      <c r="ATJ4" s="57"/>
      <c r="ATK4" s="56"/>
      <c r="ATL4" s="57"/>
      <c r="ATM4" s="57"/>
      <c r="ATN4" s="56"/>
      <c r="ATO4" s="57"/>
      <c r="ATP4" s="58"/>
      <c r="ATQ4" s="56"/>
      <c r="ATR4" s="57"/>
      <c r="ATS4" s="57"/>
      <c r="ATT4" s="57"/>
      <c r="ATU4" s="56"/>
      <c r="ATV4" s="57"/>
      <c r="ATW4" s="57"/>
      <c r="ATX4" s="56"/>
      <c r="ATY4" s="57"/>
      <c r="ATZ4" s="58"/>
      <c r="AUA4" s="56"/>
      <c r="AUB4" s="57"/>
      <c r="AUC4" s="57"/>
      <c r="AUD4" s="57"/>
      <c r="AUE4" s="56"/>
      <c r="AUF4" s="57"/>
      <c r="AUG4" s="57"/>
      <c r="AUH4" s="57"/>
      <c r="AUI4" s="57"/>
      <c r="AUJ4" s="57"/>
      <c r="AUK4" s="56"/>
      <c r="AUL4" s="57"/>
      <c r="AUM4" s="57"/>
      <c r="AUN4" s="56"/>
      <c r="AUO4" s="57"/>
      <c r="AUP4" s="58"/>
      <c r="AUQ4" s="56"/>
      <c r="AUR4" s="57"/>
      <c r="AUS4" s="57"/>
      <c r="AUT4" s="57"/>
      <c r="AUU4" s="56"/>
      <c r="AUV4" s="57"/>
      <c r="AUW4" s="57"/>
      <c r="AUX4" s="56"/>
      <c r="AUY4" s="57"/>
      <c r="AUZ4" s="58"/>
      <c r="AVA4" s="56"/>
      <c r="AVB4" s="57"/>
      <c r="AVC4" s="57"/>
      <c r="AVD4" s="57"/>
      <c r="AVE4" s="56"/>
      <c r="AVF4" s="57"/>
      <c r="AVG4" s="57"/>
      <c r="AVH4" s="57"/>
      <c r="AVI4" s="57"/>
      <c r="AVJ4" s="57"/>
      <c r="AVK4" s="56"/>
      <c r="AVL4" s="57"/>
      <c r="AVM4" s="57"/>
      <c r="AVN4" s="56"/>
      <c r="AVO4" s="57"/>
      <c r="AVP4" s="58"/>
      <c r="AVQ4" s="56"/>
      <c r="AVR4" s="57"/>
      <c r="AVS4" s="57"/>
      <c r="AVT4" s="57"/>
      <c r="AVU4" s="56"/>
      <c r="AVV4" s="57"/>
      <c r="AVW4" s="57"/>
      <c r="AVX4" s="56"/>
      <c r="AVY4" s="57"/>
      <c r="AVZ4" s="58"/>
      <c r="AWA4" s="56"/>
      <c r="AWB4" s="57"/>
      <c r="AWC4" s="57"/>
      <c r="AWD4" s="57"/>
      <c r="AWE4" s="56"/>
      <c r="AWF4" s="57"/>
      <c r="AWG4" s="57"/>
      <c r="AWH4" s="57"/>
      <c r="AWI4" s="57"/>
      <c r="AWJ4" s="57"/>
      <c r="AWK4" s="56"/>
      <c r="AWL4" s="57"/>
      <c r="AWM4" s="57"/>
      <c r="AWN4" s="56"/>
      <c r="AWO4" s="57"/>
      <c r="AWP4" s="58"/>
      <c r="AWQ4" s="56"/>
      <c r="AWR4" s="57"/>
      <c r="AWS4" s="57"/>
      <c r="AWT4" s="57"/>
      <c r="AWU4" s="56"/>
      <c r="AWV4" s="57"/>
      <c r="AWW4" s="57"/>
      <c r="AWX4" s="56"/>
      <c r="AWY4" s="57"/>
      <c r="AWZ4" s="58"/>
      <c r="AXA4" s="56"/>
      <c r="AXB4" s="57"/>
      <c r="AXC4" s="57"/>
      <c r="AXD4" s="57"/>
      <c r="AXE4" s="56"/>
      <c r="AXF4" s="57"/>
      <c r="AXG4" s="57"/>
      <c r="AXH4" s="57"/>
      <c r="AXI4" s="57"/>
      <c r="AXJ4" s="57"/>
      <c r="AXK4" s="56"/>
      <c r="AXL4" s="57"/>
      <c r="AXM4" s="57"/>
      <c r="AXN4" s="56"/>
      <c r="AXO4" s="57"/>
      <c r="AXP4" s="58"/>
      <c r="AXQ4" s="56"/>
      <c r="AXR4" s="57"/>
      <c r="AXS4" s="57"/>
      <c r="AXT4" s="57"/>
      <c r="AXU4" s="56"/>
      <c r="AXV4" s="57"/>
      <c r="AXW4" s="57"/>
      <c r="AXX4" s="56"/>
      <c r="AXY4" s="57"/>
      <c r="AXZ4" s="58"/>
      <c r="AYA4" s="56"/>
      <c r="AYB4" s="57"/>
      <c r="AYC4" s="57"/>
      <c r="AYD4" s="57"/>
      <c r="AYE4" s="56"/>
      <c r="AYF4" s="57"/>
      <c r="AYG4" s="57"/>
      <c r="AYH4" s="57"/>
      <c r="AYI4" s="57"/>
      <c r="AYJ4" s="57"/>
      <c r="AYK4" s="56"/>
      <c r="AYL4" s="57"/>
      <c r="AYM4" s="57"/>
      <c r="AYN4" s="56"/>
      <c r="AYO4" s="57"/>
      <c r="AYP4" s="58"/>
      <c r="AYQ4" s="56"/>
      <c r="AYR4" s="57"/>
      <c r="AYS4" s="57"/>
      <c r="AYT4" s="57"/>
      <c r="AYU4" s="56"/>
      <c r="AYV4" s="57"/>
      <c r="AYW4" s="57"/>
      <c r="AYX4" s="56"/>
      <c r="AYY4" s="57"/>
      <c r="AYZ4" s="58"/>
      <c r="AZA4" s="56"/>
      <c r="AZB4" s="57"/>
      <c r="AZC4" s="57"/>
      <c r="AZD4" s="57"/>
      <c r="AZE4" s="56"/>
      <c r="AZF4" s="57"/>
      <c r="AZG4" s="57"/>
      <c r="AZH4" s="57"/>
      <c r="AZI4" s="57"/>
      <c r="AZJ4" s="57"/>
      <c r="AZK4" s="56"/>
      <c r="AZL4" s="57"/>
      <c r="AZM4" s="57"/>
      <c r="AZN4" s="56"/>
      <c r="AZO4" s="57"/>
      <c r="AZP4" s="58"/>
      <c r="AZQ4" s="56"/>
      <c r="AZR4" s="57"/>
      <c r="AZS4" s="57"/>
      <c r="AZT4" s="57"/>
      <c r="AZU4" s="56"/>
      <c r="AZV4" s="57"/>
      <c r="AZW4" s="57"/>
      <c r="AZX4" s="56"/>
      <c r="AZY4" s="57"/>
      <c r="AZZ4" s="58"/>
      <c r="BAA4" s="56"/>
      <c r="BAB4" s="57"/>
      <c r="BAC4" s="57"/>
      <c r="BAD4" s="57"/>
      <c r="BAE4" s="56"/>
      <c r="BAF4" s="57"/>
      <c r="BAG4" s="57"/>
      <c r="BAH4" s="57"/>
      <c r="BAI4" s="57"/>
      <c r="BAJ4" s="57"/>
      <c r="BAK4" s="56"/>
      <c r="BAL4" s="57"/>
      <c r="BAM4" s="57"/>
      <c r="BAN4" s="56"/>
      <c r="BAO4" s="57"/>
      <c r="BAP4" s="58"/>
      <c r="BAQ4" s="56"/>
      <c r="BAR4" s="57"/>
      <c r="BAS4" s="57"/>
      <c r="BAT4" s="57"/>
      <c r="BAU4" s="56"/>
      <c r="BAV4" s="57"/>
      <c r="BAW4" s="57"/>
      <c r="BAX4" s="56"/>
      <c r="BAY4" s="57"/>
      <c r="BAZ4" s="58"/>
      <c r="BBA4" s="56"/>
      <c r="BBB4" s="57"/>
      <c r="BBC4" s="57"/>
      <c r="BBD4" s="57"/>
      <c r="BBE4" s="56"/>
      <c r="BBF4" s="57"/>
      <c r="BBG4" s="57"/>
      <c r="BBH4" s="57"/>
      <c r="BBI4" s="57"/>
      <c r="BBJ4" s="57"/>
      <c r="BBK4" s="56"/>
      <c r="BBL4" s="57"/>
      <c r="BBM4" s="57"/>
      <c r="BBN4" s="56"/>
      <c r="BBO4" s="57"/>
      <c r="BBP4" s="58"/>
      <c r="BBQ4" s="56"/>
      <c r="BBR4" s="57"/>
      <c r="BBS4" s="57"/>
      <c r="BBT4" s="57"/>
      <c r="BBU4" s="56"/>
      <c r="BBV4" s="57"/>
      <c r="BBW4" s="57"/>
      <c r="BBX4" s="56"/>
      <c r="BBY4" s="57"/>
      <c r="BBZ4" s="58"/>
      <c r="BCA4" s="56"/>
      <c r="BCB4" s="57"/>
      <c r="BCC4" s="57"/>
      <c r="BCD4" s="57"/>
      <c r="BCE4" s="56"/>
      <c r="BCF4" s="57"/>
      <c r="BCG4" s="57"/>
      <c r="BCH4" s="57"/>
      <c r="BCI4" s="57"/>
      <c r="BCJ4" s="57"/>
      <c r="BCK4" s="56"/>
      <c r="BCL4" s="57"/>
      <c r="BCM4" s="57"/>
      <c r="BCN4" s="56"/>
      <c r="BCO4" s="57"/>
      <c r="BCP4" s="58"/>
      <c r="BCQ4" s="56"/>
      <c r="BCR4" s="57"/>
      <c r="BCS4" s="57"/>
      <c r="BCT4" s="57"/>
      <c r="BCU4" s="56"/>
      <c r="BCV4" s="57"/>
      <c r="BCW4" s="57"/>
      <c r="BCX4" s="56"/>
      <c r="BCY4" s="57"/>
      <c r="BCZ4" s="58"/>
      <c r="BDA4" s="56"/>
      <c r="BDB4" s="57"/>
      <c r="BDC4" s="57"/>
      <c r="BDD4" s="57"/>
      <c r="BDE4" s="56"/>
      <c r="BDF4" s="57"/>
      <c r="BDG4" s="57"/>
      <c r="BDH4" s="57"/>
      <c r="BDI4" s="57"/>
      <c r="BDJ4" s="57"/>
      <c r="BDK4" s="56"/>
      <c r="BDL4" s="57"/>
      <c r="BDM4" s="57"/>
      <c r="BDN4" s="56"/>
      <c r="BDO4" s="57"/>
      <c r="BDP4" s="58"/>
      <c r="BDQ4" s="56"/>
      <c r="BDR4" s="57"/>
      <c r="BDS4" s="57"/>
      <c r="BDT4" s="57"/>
      <c r="BDU4" s="56"/>
      <c r="BDV4" s="57"/>
      <c r="BDW4" s="57"/>
      <c r="BDX4" s="56"/>
      <c r="BDY4" s="57"/>
      <c r="BDZ4" s="58"/>
      <c r="BEA4" s="56"/>
      <c r="BEB4" s="57"/>
      <c r="BEC4" s="57"/>
      <c r="BED4" s="57"/>
      <c r="BEE4" s="56"/>
      <c r="BEF4" s="57"/>
      <c r="BEG4" s="57"/>
      <c r="BEH4" s="57"/>
      <c r="BEI4" s="57"/>
      <c r="BEJ4" s="57"/>
      <c r="BEK4" s="56"/>
      <c r="BEL4" s="57"/>
      <c r="BEM4" s="57"/>
      <c r="BEN4" s="56"/>
      <c r="BEO4" s="57"/>
      <c r="BEP4" s="58"/>
      <c r="BEQ4" s="56"/>
      <c r="BER4" s="57"/>
      <c r="BES4" s="57"/>
      <c r="BET4" s="57"/>
      <c r="BEU4" s="56"/>
      <c r="BEV4" s="57"/>
      <c r="BEW4" s="57"/>
      <c r="BEX4" s="56"/>
      <c r="BEY4" s="57"/>
      <c r="BEZ4" s="58"/>
      <c r="BFA4" s="56"/>
      <c r="BFB4" s="57"/>
      <c r="BFC4" s="57"/>
      <c r="BFD4" s="57"/>
      <c r="BFE4" s="56"/>
      <c r="BFF4" s="57"/>
      <c r="BFG4" s="57"/>
      <c r="BFH4" s="57"/>
      <c r="BFI4" s="57"/>
      <c r="BFJ4" s="57"/>
      <c r="BFK4" s="56"/>
      <c r="BFL4" s="57"/>
      <c r="BFM4" s="57"/>
      <c r="BFN4" s="56"/>
      <c r="BFO4" s="57"/>
      <c r="BFP4" s="58"/>
      <c r="BFQ4" s="56"/>
      <c r="BFR4" s="57"/>
      <c r="BFS4" s="57"/>
      <c r="BFT4" s="57"/>
      <c r="BFU4" s="56"/>
      <c r="BFV4" s="57"/>
      <c r="BFW4" s="57"/>
      <c r="BFX4" s="56"/>
      <c r="BFY4" s="57"/>
      <c r="BFZ4" s="58"/>
      <c r="BGA4" s="56"/>
      <c r="BGB4" s="57"/>
      <c r="BGC4" s="57"/>
      <c r="BGD4" s="57"/>
      <c r="BGE4" s="56"/>
      <c r="BGF4" s="57"/>
      <c r="BGG4" s="57"/>
      <c r="BGH4" s="57"/>
      <c r="BGI4" s="57"/>
      <c r="BGJ4" s="57"/>
      <c r="BGK4" s="56"/>
      <c r="BGL4" s="57"/>
      <c r="BGM4" s="57"/>
      <c r="BGN4" s="56"/>
      <c r="BGO4" s="57"/>
      <c r="BGP4" s="58"/>
      <c r="BGQ4" s="56"/>
      <c r="BGR4" s="57"/>
      <c r="BGS4" s="57"/>
      <c r="BGT4" s="57"/>
      <c r="BGU4" s="56"/>
      <c r="BGV4" s="57"/>
      <c r="BGW4" s="57"/>
      <c r="BGX4" s="56"/>
      <c r="BGY4" s="57"/>
      <c r="BGZ4" s="58"/>
      <c r="BHA4" s="56"/>
      <c r="BHB4" s="57"/>
      <c r="BHC4" s="57"/>
      <c r="BHD4" s="57"/>
      <c r="BHE4" s="56"/>
      <c r="BHF4" s="57"/>
      <c r="BHG4" s="57"/>
      <c r="BHH4" s="57"/>
      <c r="BHI4" s="57"/>
      <c r="BHJ4" s="57"/>
      <c r="BHK4" s="56"/>
      <c r="BHL4" s="57"/>
      <c r="BHM4" s="57"/>
      <c r="BHN4" s="56"/>
      <c r="BHO4" s="57"/>
      <c r="BHP4" s="58"/>
      <c r="BHQ4" s="56"/>
      <c r="BHR4" s="57"/>
      <c r="BHS4" s="57"/>
      <c r="BHT4" s="57"/>
      <c r="BHU4" s="56"/>
      <c r="BHV4" s="57"/>
      <c r="BHW4" s="57"/>
      <c r="BHX4" s="56"/>
      <c r="BHY4" s="57"/>
      <c r="BHZ4" s="58"/>
      <c r="BIA4" s="56"/>
      <c r="BIB4" s="57"/>
      <c r="BIC4" s="57"/>
      <c r="BID4" s="57"/>
      <c r="BIE4" s="56"/>
      <c r="BIF4" s="57"/>
      <c r="BIG4" s="57"/>
      <c r="BIH4" s="57"/>
      <c r="BII4" s="57"/>
      <c r="BIJ4" s="57"/>
      <c r="BIK4" s="56"/>
      <c r="BIL4" s="57"/>
      <c r="BIM4" s="57"/>
      <c r="BIN4" s="56"/>
      <c r="BIO4" s="57"/>
      <c r="BIP4" s="58"/>
      <c r="BIQ4" s="56"/>
      <c r="BIR4" s="57"/>
      <c r="BIS4" s="57"/>
      <c r="BIT4" s="57"/>
      <c r="BIU4" s="56"/>
      <c r="BIV4" s="57"/>
      <c r="BIW4" s="57"/>
      <c r="BIX4" s="56"/>
      <c r="BIY4" s="57"/>
      <c r="BIZ4" s="58"/>
      <c r="BJA4" s="56"/>
      <c r="BJB4" s="57"/>
      <c r="BJC4" s="57"/>
      <c r="BJD4" s="57"/>
      <c r="BJE4" s="56"/>
      <c r="BJF4" s="57"/>
      <c r="BJG4" s="57"/>
      <c r="BJH4" s="57"/>
      <c r="BJI4" s="57"/>
      <c r="BJJ4" s="57"/>
      <c r="BJK4" s="56"/>
      <c r="BJL4" s="57"/>
      <c r="BJM4" s="57"/>
      <c r="BJN4" s="56"/>
      <c r="BJO4" s="57"/>
      <c r="BJP4" s="58"/>
      <c r="BJQ4" s="56"/>
      <c r="BJR4" s="57"/>
      <c r="BJS4" s="57"/>
      <c r="BJT4" s="57"/>
      <c r="BJU4" s="56"/>
      <c r="BJV4" s="57"/>
      <c r="BJW4" s="57"/>
      <c r="BJX4" s="56"/>
      <c r="BJY4" s="57"/>
      <c r="BJZ4" s="58"/>
      <c r="BKA4" s="56"/>
      <c r="BKB4" s="57"/>
      <c r="BKC4" s="57"/>
      <c r="BKD4" s="57"/>
      <c r="BKE4" s="56"/>
      <c r="BKF4" s="57"/>
      <c r="BKG4" s="57"/>
      <c r="BKH4" s="57"/>
      <c r="BKI4" s="57"/>
      <c r="BKJ4" s="57"/>
      <c r="BKK4" s="56"/>
      <c r="BKL4" s="57"/>
      <c r="BKM4" s="57"/>
      <c r="BKN4" s="56"/>
      <c r="BKO4" s="57"/>
      <c r="BKP4" s="58"/>
      <c r="BKQ4" s="56"/>
      <c r="BKR4" s="57"/>
      <c r="BKS4" s="57"/>
      <c r="BKT4" s="57"/>
      <c r="BKU4" s="56"/>
      <c r="BKV4" s="57"/>
      <c r="BKW4" s="57"/>
      <c r="BKX4" s="56"/>
      <c r="BKY4" s="57"/>
      <c r="BKZ4" s="58"/>
      <c r="BLA4" s="56"/>
      <c r="BLB4" s="57"/>
      <c r="BLC4" s="57"/>
      <c r="BLD4" s="57"/>
      <c r="BLE4" s="56"/>
      <c r="BLF4" s="57"/>
      <c r="BLG4" s="57"/>
      <c r="BLH4" s="57"/>
      <c r="BLI4" s="57"/>
      <c r="BLJ4" s="57"/>
      <c r="BLK4" s="56"/>
      <c r="BLL4" s="57"/>
      <c r="BLM4" s="57"/>
      <c r="BLN4" s="56"/>
      <c r="BLO4" s="57"/>
      <c r="BLP4" s="58"/>
      <c r="BLQ4" s="56"/>
      <c r="BLR4" s="57"/>
      <c r="BLS4" s="57"/>
      <c r="BLT4" s="57"/>
      <c r="BLU4" s="56"/>
      <c r="BLV4" s="57"/>
      <c r="BLW4" s="57"/>
      <c r="BLX4" s="56"/>
      <c r="BLY4" s="57"/>
      <c r="BLZ4" s="58"/>
      <c r="BMA4" s="56"/>
      <c r="BMB4" s="57"/>
      <c r="BMC4" s="57"/>
      <c r="BMD4" s="57"/>
      <c r="BME4" s="56"/>
      <c r="BMF4" s="57"/>
      <c r="BMG4" s="57"/>
      <c r="BMH4" s="57"/>
      <c r="BMI4" s="57"/>
      <c r="BMJ4" s="57"/>
      <c r="BMK4" s="56"/>
      <c r="BML4" s="57"/>
      <c r="BMM4" s="57"/>
      <c r="BMN4" s="56"/>
      <c r="BMO4" s="57"/>
      <c r="BMP4" s="58"/>
      <c r="BMQ4" s="56"/>
      <c r="BMR4" s="57"/>
      <c r="BMS4" s="57"/>
      <c r="BMT4" s="57"/>
      <c r="BMU4" s="56"/>
      <c r="BMV4" s="57"/>
      <c r="BMW4" s="57"/>
      <c r="BMX4" s="56"/>
      <c r="BMY4" s="57"/>
      <c r="BMZ4" s="58"/>
      <c r="BNA4" s="56"/>
      <c r="BNB4" s="57"/>
      <c r="BNC4" s="57"/>
      <c r="BND4" s="57"/>
      <c r="BNE4" s="56"/>
      <c r="BNF4" s="57"/>
      <c r="BNG4" s="57"/>
      <c r="BNH4" s="57"/>
      <c r="BNI4" s="57"/>
      <c r="BNJ4" s="57"/>
      <c r="BNK4" s="56"/>
      <c r="BNL4" s="57"/>
      <c r="BNM4" s="57"/>
      <c r="BNN4" s="56"/>
      <c r="BNO4" s="57"/>
      <c r="BNP4" s="58"/>
      <c r="BNQ4" s="56"/>
      <c r="BNR4" s="57"/>
      <c r="BNS4" s="57"/>
      <c r="BNT4" s="57"/>
      <c r="BNU4" s="56"/>
      <c r="BNV4" s="57"/>
      <c r="BNW4" s="57"/>
      <c r="BNX4" s="56"/>
      <c r="BNY4" s="57"/>
      <c r="BNZ4" s="58"/>
      <c r="BOA4" s="56"/>
      <c r="BOB4" s="57"/>
      <c r="BOC4" s="57"/>
      <c r="BOD4" s="57"/>
      <c r="BOE4" s="56"/>
      <c r="BOF4" s="57"/>
      <c r="BOG4" s="57"/>
      <c r="BOH4" s="57"/>
      <c r="BOI4" s="57"/>
      <c r="BOJ4" s="57"/>
      <c r="BOK4" s="56"/>
      <c r="BOL4" s="57"/>
      <c r="BOM4" s="57"/>
      <c r="BON4" s="56"/>
      <c r="BOO4" s="57"/>
      <c r="BOP4" s="58"/>
      <c r="BOQ4" s="56"/>
      <c r="BOR4" s="57"/>
      <c r="BOS4" s="57"/>
      <c r="BOT4" s="57"/>
      <c r="BOU4" s="56"/>
      <c r="BOV4" s="57"/>
      <c r="BOW4" s="57"/>
      <c r="BOX4" s="56"/>
      <c r="BOY4" s="57"/>
      <c r="BOZ4" s="58"/>
      <c r="BPA4" s="56"/>
      <c r="BPB4" s="57"/>
      <c r="BPC4" s="57"/>
      <c r="BPD4" s="57"/>
      <c r="BPE4" s="56"/>
      <c r="BPF4" s="57"/>
      <c r="BPG4" s="57"/>
      <c r="BPH4" s="57"/>
      <c r="BPI4" s="57"/>
      <c r="BPJ4" s="57"/>
      <c r="BPK4" s="56"/>
      <c r="BPL4" s="57"/>
      <c r="BPM4" s="57"/>
      <c r="BPN4" s="56"/>
      <c r="BPO4" s="57"/>
      <c r="BPP4" s="58"/>
      <c r="BPQ4" s="56"/>
      <c r="BPR4" s="57"/>
      <c r="BPS4" s="57"/>
      <c r="BPT4" s="57"/>
      <c r="BPU4" s="56"/>
      <c r="BPV4" s="57"/>
      <c r="BPW4" s="57"/>
      <c r="BPX4" s="56"/>
      <c r="BPY4" s="57"/>
      <c r="BPZ4" s="58"/>
      <c r="BQA4" s="56"/>
      <c r="BQB4" s="57"/>
      <c r="BQC4" s="57"/>
      <c r="BQD4" s="57"/>
      <c r="BQE4" s="56"/>
      <c r="BQF4" s="57"/>
      <c r="BQG4" s="57"/>
      <c r="BQH4" s="57"/>
      <c r="BQI4" s="57"/>
      <c r="BQJ4" s="57"/>
      <c r="BQK4" s="56"/>
      <c r="BQL4" s="57"/>
      <c r="BQM4" s="57"/>
      <c r="BQN4" s="56"/>
      <c r="BQO4" s="57"/>
      <c r="BQP4" s="58"/>
      <c r="BQQ4" s="56"/>
      <c r="BQR4" s="57"/>
      <c r="BQS4" s="57"/>
      <c r="BQT4" s="57"/>
      <c r="BQU4" s="56"/>
      <c r="BQV4" s="57"/>
      <c r="BQW4" s="57"/>
      <c r="BQX4" s="56"/>
      <c r="BQY4" s="57"/>
      <c r="BQZ4" s="58"/>
      <c r="BRA4" s="56"/>
      <c r="BRB4" s="57"/>
      <c r="BRC4" s="57"/>
      <c r="BRD4" s="57"/>
      <c r="BRE4" s="56"/>
      <c r="BRF4" s="57"/>
      <c r="BRG4" s="57"/>
      <c r="BRH4" s="57"/>
      <c r="BRI4" s="57"/>
      <c r="BRJ4" s="57"/>
      <c r="BRK4" s="56"/>
      <c r="BRL4" s="57"/>
      <c r="BRM4" s="57"/>
      <c r="BRN4" s="56"/>
      <c r="BRO4" s="57"/>
      <c r="BRP4" s="58"/>
      <c r="BRQ4" s="56"/>
      <c r="BRR4" s="57"/>
      <c r="BRS4" s="57"/>
      <c r="BRT4" s="57"/>
      <c r="BRU4" s="56"/>
      <c r="BRV4" s="57"/>
      <c r="BRW4" s="57"/>
      <c r="BRX4" s="56"/>
      <c r="BRY4" s="57"/>
      <c r="BRZ4" s="58"/>
      <c r="BSA4" s="56"/>
      <c r="BSB4" s="57"/>
      <c r="BSC4" s="57"/>
      <c r="BSD4" s="57"/>
      <c r="BSE4" s="56"/>
      <c r="BSF4" s="57"/>
      <c r="BSG4" s="57"/>
      <c r="BSH4" s="57"/>
      <c r="BSI4" s="57"/>
      <c r="BSJ4" s="57"/>
      <c r="BSK4" s="56"/>
      <c r="BSL4" s="57"/>
      <c r="BSM4" s="57"/>
      <c r="BSN4" s="56"/>
      <c r="BSO4" s="57"/>
      <c r="BSP4" s="58"/>
      <c r="BSQ4" s="56"/>
      <c r="BSR4" s="57"/>
      <c r="BSS4" s="57"/>
      <c r="BST4" s="57"/>
      <c r="BSU4" s="56"/>
      <c r="BSV4" s="57"/>
      <c r="BSW4" s="57"/>
      <c r="BSX4" s="56"/>
      <c r="BSY4" s="57"/>
      <c r="BSZ4" s="58"/>
      <c r="BTA4" s="56"/>
      <c r="BTB4" s="57"/>
      <c r="BTC4" s="57"/>
      <c r="BTD4" s="57"/>
      <c r="BTE4" s="56"/>
      <c r="BTF4" s="57"/>
      <c r="BTG4" s="57"/>
      <c r="BTH4" s="57"/>
      <c r="BTI4" s="57"/>
      <c r="BTJ4" s="57"/>
      <c r="BTK4" s="56"/>
      <c r="BTL4" s="57"/>
      <c r="BTM4" s="57"/>
      <c r="BTN4" s="56"/>
      <c r="BTO4" s="57"/>
      <c r="BTP4" s="58"/>
      <c r="BTQ4" s="56"/>
      <c r="BTR4" s="57"/>
      <c r="BTS4" s="57"/>
      <c r="BTT4" s="57"/>
      <c r="BTU4" s="56"/>
      <c r="BTV4" s="57"/>
      <c r="BTW4" s="57"/>
      <c r="BTX4" s="56"/>
      <c r="BTY4" s="57"/>
      <c r="BTZ4" s="58"/>
      <c r="BUA4" s="56"/>
      <c r="BUB4" s="57"/>
      <c r="BUC4" s="57"/>
      <c r="BUD4" s="57"/>
      <c r="BUE4" s="56"/>
      <c r="BUF4" s="57"/>
      <c r="BUG4" s="57"/>
      <c r="BUH4" s="57"/>
      <c r="BUI4" s="57"/>
      <c r="BUJ4" s="57"/>
      <c r="BUK4" s="56"/>
      <c r="BUL4" s="57"/>
      <c r="BUM4" s="57"/>
      <c r="BUN4" s="56"/>
      <c r="BUO4" s="57"/>
      <c r="BUP4" s="58"/>
      <c r="BUQ4" s="56"/>
      <c r="BUR4" s="57"/>
      <c r="BUS4" s="57"/>
      <c r="BUT4" s="57"/>
      <c r="BUU4" s="56"/>
      <c r="BUV4" s="57"/>
      <c r="BUW4" s="57"/>
      <c r="BUX4" s="56"/>
      <c r="BUY4" s="57"/>
      <c r="BUZ4" s="58"/>
      <c r="BVA4" s="56"/>
      <c r="BVB4" s="57"/>
      <c r="BVC4" s="57"/>
      <c r="BVD4" s="57"/>
      <c r="BVE4" s="56"/>
      <c r="BVF4" s="57"/>
      <c r="BVG4" s="57"/>
      <c r="BVH4" s="57"/>
      <c r="BVI4" s="57"/>
      <c r="BVJ4" s="57"/>
      <c r="BVK4" s="56"/>
      <c r="BVL4" s="57"/>
      <c r="BVM4" s="57"/>
      <c r="BVN4" s="56"/>
      <c r="BVO4" s="57"/>
      <c r="BVP4" s="58"/>
      <c r="BVQ4" s="56"/>
      <c r="BVR4" s="57"/>
      <c r="BVS4" s="57"/>
      <c r="BVT4" s="57"/>
      <c r="BVU4" s="56"/>
      <c r="BVV4" s="57"/>
      <c r="BVW4" s="57"/>
      <c r="BVX4" s="56"/>
      <c r="BVY4" s="57"/>
      <c r="BVZ4" s="58"/>
      <c r="BWA4" s="56"/>
      <c r="BWB4" s="57"/>
      <c r="BWC4" s="57"/>
      <c r="BWD4" s="57"/>
      <c r="BWE4" s="56"/>
      <c r="BWF4" s="57"/>
      <c r="BWG4" s="57"/>
      <c r="BWH4" s="57"/>
      <c r="BWI4" s="57"/>
      <c r="BWJ4" s="57"/>
      <c r="BWK4" s="56"/>
      <c r="BWL4" s="57"/>
      <c r="BWM4" s="57"/>
      <c r="BWN4" s="56"/>
      <c r="BWO4" s="57"/>
      <c r="BWP4" s="58"/>
      <c r="BWQ4" s="56"/>
      <c r="BWR4" s="57"/>
      <c r="BWS4" s="57"/>
      <c r="BWT4" s="57"/>
      <c r="BWU4" s="56"/>
      <c r="BWV4" s="57"/>
      <c r="BWW4" s="57"/>
      <c r="BWX4" s="56"/>
      <c r="BWY4" s="57"/>
      <c r="BWZ4" s="58"/>
      <c r="BXA4" s="56"/>
      <c r="BXB4" s="57"/>
      <c r="BXC4" s="57"/>
      <c r="BXD4" s="57"/>
      <c r="BXE4" s="56"/>
      <c r="BXF4" s="57"/>
      <c r="BXG4" s="57"/>
      <c r="BXH4" s="57"/>
      <c r="BXI4" s="57"/>
      <c r="BXJ4" s="57"/>
      <c r="BXK4" s="56"/>
      <c r="BXL4" s="57"/>
      <c r="BXM4" s="57"/>
      <c r="BXN4" s="56"/>
      <c r="BXO4" s="57"/>
      <c r="BXP4" s="58"/>
      <c r="BXQ4" s="56"/>
      <c r="BXR4" s="57"/>
      <c r="BXS4" s="57"/>
      <c r="BXT4" s="57"/>
      <c r="BXU4" s="56"/>
      <c r="BXV4" s="57"/>
      <c r="BXW4" s="57"/>
      <c r="BXX4" s="56"/>
      <c r="BXY4" s="57"/>
      <c r="BXZ4" s="58"/>
      <c r="BYA4" s="56"/>
      <c r="BYB4" s="57"/>
      <c r="BYC4" s="57"/>
      <c r="BYD4" s="57"/>
      <c r="BYE4" s="56"/>
      <c r="BYF4" s="57"/>
      <c r="BYG4" s="57"/>
      <c r="BYH4" s="57"/>
      <c r="BYI4" s="57"/>
      <c r="BYJ4" s="57"/>
      <c r="BYK4" s="56"/>
      <c r="BYL4" s="57"/>
      <c r="BYM4" s="57"/>
      <c r="BYN4" s="56"/>
      <c r="BYO4" s="57"/>
      <c r="BYP4" s="58"/>
      <c r="BYQ4" s="56"/>
      <c r="BYR4" s="57"/>
      <c r="BYS4" s="57"/>
      <c r="BYT4" s="57"/>
      <c r="BYU4" s="56"/>
      <c r="BYV4" s="57"/>
      <c r="BYW4" s="57"/>
      <c r="BYX4" s="58"/>
      <c r="BYY4" s="57"/>
      <c r="BYZ4" s="56"/>
      <c r="BZA4" s="57"/>
      <c r="BZB4" s="56"/>
      <c r="BZC4" s="56"/>
      <c r="BZD4" s="56"/>
      <c r="BZE4" s="57"/>
      <c r="BZF4" s="387"/>
      <c r="BZG4" s="57"/>
      <c r="BZH4" s="387"/>
      <c r="BZI4" s="57"/>
      <c r="BZJ4" s="387"/>
      <c r="BZK4" s="57"/>
      <c r="BZL4" s="57"/>
      <c r="BZM4" s="57"/>
      <c r="BZN4" s="57"/>
      <c r="BZO4" s="57"/>
      <c r="BZP4" s="57"/>
      <c r="BZQ4" s="57"/>
      <c r="BZR4" s="57"/>
      <c r="BZS4" s="57"/>
      <c r="BZT4" s="57"/>
      <c r="BZU4" s="57"/>
      <c r="BZV4" s="57"/>
      <c r="BZW4" s="57"/>
      <c r="BZX4" s="57"/>
      <c r="BZY4" s="57"/>
      <c r="BZZ4" s="57"/>
      <c r="CAA4" s="57"/>
      <c r="CAB4" s="57"/>
      <c r="CAC4" s="57"/>
      <c r="CAD4" s="57"/>
      <c r="CAE4" s="57"/>
      <c r="CAF4" s="57"/>
      <c r="CAG4" s="57"/>
      <c r="CAH4" s="57"/>
      <c r="CAI4" s="57"/>
      <c r="CAJ4" s="57"/>
      <c r="CAK4" s="57"/>
      <c r="CAL4" s="57"/>
      <c r="CAM4" s="57"/>
      <c r="CAN4" s="57"/>
      <c r="CAO4" s="57"/>
      <c r="CAP4" s="58"/>
      <c r="CAQ4" s="56"/>
      <c r="CAR4" s="57"/>
      <c r="CAS4" s="57"/>
      <c r="CAT4" s="57"/>
      <c r="CAU4" s="57"/>
      <c r="CAV4" s="57"/>
      <c r="CAW4" s="56"/>
      <c r="CAX4" s="57"/>
      <c r="CAY4" s="57"/>
      <c r="CAZ4" s="56"/>
      <c r="CBA4" s="57"/>
      <c r="CBB4" s="58"/>
      <c r="CBC4" s="56"/>
      <c r="CBD4" s="57"/>
      <c r="CBE4" s="57"/>
      <c r="CBF4" s="57"/>
      <c r="CBG4" s="56"/>
      <c r="CBH4" s="57"/>
      <c r="CBI4" s="57"/>
      <c r="CBJ4" s="56"/>
      <c r="CBK4" s="57"/>
      <c r="CBL4" s="58"/>
      <c r="CBM4" s="56"/>
      <c r="CBN4" s="57"/>
      <c r="CBO4" s="57"/>
      <c r="CBP4" s="57"/>
      <c r="CBQ4" s="56"/>
      <c r="CBR4" s="57"/>
      <c r="CBS4" s="57"/>
      <c r="CBT4" s="56"/>
      <c r="CBU4" s="57"/>
      <c r="CBV4" s="58"/>
      <c r="CBW4" s="56"/>
      <c r="CBX4" s="57"/>
      <c r="CBY4" s="57"/>
      <c r="CBZ4" s="57"/>
      <c r="CCA4" s="56"/>
      <c r="CCB4" s="57"/>
      <c r="CCC4" s="57"/>
      <c r="CCD4" s="56"/>
      <c r="CCE4" s="57"/>
      <c r="CCF4" s="58"/>
      <c r="CCG4" s="56"/>
      <c r="CCH4" s="58"/>
      <c r="CCI4" s="57"/>
      <c r="CCJ4" s="56"/>
      <c r="CCK4" s="57"/>
      <c r="CCL4" s="56"/>
      <c r="CCM4" s="56"/>
      <c r="CCN4" s="56"/>
      <c r="CCO4" s="57"/>
      <c r="CCP4" s="387"/>
      <c r="CCQ4" s="57"/>
      <c r="CCR4" s="387"/>
      <c r="CCS4" s="57"/>
      <c r="CCT4" s="387"/>
      <c r="CCU4" s="57"/>
      <c r="CCV4" s="57"/>
      <c r="CCW4" s="57"/>
      <c r="CCX4" s="57"/>
      <c r="CCY4" s="57"/>
      <c r="CCZ4" s="57"/>
      <c r="CDA4" s="57"/>
      <c r="CDB4" s="57"/>
      <c r="CDC4" s="57"/>
      <c r="CDD4" s="57"/>
      <c r="CDE4" s="57"/>
      <c r="CDF4" s="57"/>
      <c r="CDG4" s="57"/>
      <c r="CDH4" s="57"/>
      <c r="CDI4" s="57"/>
      <c r="CDJ4" s="57"/>
      <c r="CDK4" s="57"/>
      <c r="CDL4" s="57"/>
      <c r="CDM4" s="57"/>
      <c r="CDN4" s="57"/>
      <c r="CDO4" s="57"/>
      <c r="CDP4" s="57"/>
      <c r="CDQ4" s="57"/>
      <c r="CDR4" s="57"/>
      <c r="CDS4" s="57"/>
      <c r="CDT4" s="57"/>
      <c r="CDU4" s="57"/>
      <c r="CDV4" s="57"/>
      <c r="CDW4" s="57"/>
      <c r="CDX4" s="57"/>
      <c r="CDY4" s="57"/>
      <c r="CDZ4" s="58"/>
      <c r="CEA4" s="56"/>
      <c r="CEB4" s="57"/>
      <c r="CEC4" s="57"/>
      <c r="CED4" s="57"/>
      <c r="CEE4" s="57"/>
      <c r="CEF4" s="57"/>
      <c r="CEG4" s="56"/>
      <c r="CEH4" s="57"/>
      <c r="CEI4" s="57"/>
      <c r="CEJ4" s="56"/>
      <c r="CEK4" s="57"/>
      <c r="CEL4" s="58"/>
      <c r="CEM4" s="56"/>
      <c r="CEN4" s="57"/>
      <c r="CEO4" s="57"/>
      <c r="CEP4" s="57"/>
      <c r="CEQ4" s="56"/>
      <c r="CER4" s="57"/>
      <c r="CES4" s="57"/>
      <c r="CET4" s="56"/>
      <c r="CEU4" s="57"/>
      <c r="CEV4" s="58"/>
      <c r="CEW4" s="56"/>
      <c r="CEX4" s="57"/>
      <c r="CEY4" s="57"/>
      <c r="CEZ4" s="57"/>
      <c r="CFA4" s="56"/>
      <c r="CFB4" s="57"/>
      <c r="CFC4" s="57"/>
      <c r="CFD4" s="56"/>
      <c r="CFE4" s="57"/>
      <c r="CFF4" s="58"/>
      <c r="CFG4" s="56"/>
      <c r="CFH4" s="57"/>
      <c r="CFI4" s="57"/>
      <c r="CFJ4" s="57"/>
      <c r="CFK4" s="56"/>
      <c r="CFL4" s="57"/>
      <c r="CFM4" s="57"/>
      <c r="CFN4" s="56"/>
      <c r="CFO4" s="57"/>
      <c r="CFP4" s="58"/>
      <c r="CFQ4" s="56"/>
      <c r="CFR4" s="58"/>
      <c r="CFS4" s="57"/>
      <c r="CFT4" s="56"/>
      <c r="CFU4" s="57"/>
      <c r="CFV4" s="56"/>
      <c r="CFW4" s="56"/>
      <c r="CFX4" s="56"/>
      <c r="CFY4" s="57"/>
      <c r="CFZ4" s="387"/>
      <c r="CGA4" s="57"/>
      <c r="CGB4" s="387"/>
      <c r="CGC4" s="57"/>
      <c r="CGD4" s="387"/>
      <c r="CGE4" s="57"/>
      <c r="CGF4" s="57"/>
      <c r="CGG4" s="57"/>
      <c r="CGH4" s="57"/>
      <c r="CGI4" s="57"/>
      <c r="CGJ4" s="57"/>
      <c r="CGK4" s="57"/>
      <c r="CGL4" s="57"/>
      <c r="CGM4" s="57"/>
      <c r="CGN4" s="57"/>
      <c r="CGO4" s="57"/>
      <c r="CGP4" s="57"/>
      <c r="CGQ4" s="57"/>
      <c r="CGR4" s="57"/>
      <c r="CGS4" s="57"/>
      <c r="CGT4" s="57"/>
      <c r="CGU4" s="57"/>
      <c r="CGV4" s="57"/>
      <c r="CGW4" s="57"/>
      <c r="CGX4" s="57"/>
      <c r="CGY4" s="57"/>
      <c r="CGZ4" s="57"/>
      <c r="CHA4" s="57"/>
      <c r="CHB4" s="57"/>
      <c r="CHC4" s="57"/>
      <c r="CHD4" s="57"/>
      <c r="CHE4" s="57"/>
      <c r="CHF4" s="57"/>
      <c r="CHG4" s="57"/>
      <c r="CHH4" s="57"/>
      <c r="CHI4" s="57"/>
      <c r="CHJ4" s="58"/>
      <c r="CHK4" s="56"/>
      <c r="CHL4" s="57"/>
      <c r="CHM4" s="57"/>
      <c r="CHN4" s="57"/>
      <c r="CHO4" s="57"/>
      <c r="CHP4" s="57"/>
      <c r="CHQ4" s="56"/>
      <c r="CHR4" s="57"/>
      <c r="CHS4" s="57"/>
      <c r="CHT4" s="56"/>
      <c r="CHU4" s="57"/>
      <c r="CHV4" s="58"/>
      <c r="CHW4" s="56"/>
      <c r="CHX4" s="57"/>
      <c r="CHY4" s="57"/>
      <c r="CHZ4" s="57"/>
      <c r="CIA4" s="56"/>
      <c r="CIB4" s="57"/>
      <c r="CIC4" s="57"/>
      <c r="CID4" s="56"/>
      <c r="CIE4" s="57"/>
      <c r="CIF4" s="58"/>
      <c r="CIG4" s="56"/>
      <c r="CIH4" s="57"/>
      <c r="CII4" s="57"/>
      <c r="CIJ4" s="57"/>
      <c r="CIK4" s="56"/>
      <c r="CIL4" s="57"/>
      <c r="CIM4" s="57"/>
      <c r="CIN4" s="56"/>
      <c r="CIO4" s="57"/>
      <c r="CIP4" s="58"/>
      <c r="CIQ4" s="56"/>
      <c r="CIR4" s="57"/>
      <c r="CIS4" s="57"/>
      <c r="CIT4" s="57"/>
      <c r="CIU4" s="56"/>
      <c r="CIV4" s="57"/>
      <c r="CIW4" s="57"/>
      <c r="CIX4" s="56"/>
      <c r="CIY4" s="57"/>
      <c r="CIZ4" s="58"/>
      <c r="CJA4" s="56"/>
      <c r="CJB4" s="58"/>
      <c r="CJC4" s="57"/>
      <c r="CJD4" s="56"/>
      <c r="CJE4" s="57"/>
      <c r="CJF4" s="56"/>
      <c r="CJG4" s="56"/>
      <c r="CJH4" s="56"/>
      <c r="CJI4" s="57"/>
      <c r="CJJ4" s="387"/>
      <c r="CJK4" s="57"/>
      <c r="CJL4" s="387"/>
      <c r="CJM4" s="57"/>
      <c r="CJN4" s="387"/>
      <c r="CJO4" s="57"/>
      <c r="CJP4" s="57"/>
      <c r="CJQ4" s="57"/>
      <c r="CJR4" s="57"/>
      <c r="CJS4" s="57"/>
      <c r="CJT4" s="57"/>
      <c r="CJU4" s="57"/>
      <c r="CJV4" s="57"/>
      <c r="CJW4" s="57"/>
      <c r="CJX4" s="57"/>
      <c r="CJY4" s="57"/>
      <c r="CJZ4" s="57"/>
      <c r="CKA4" s="57"/>
      <c r="CKB4" s="57"/>
      <c r="CKC4" s="57"/>
      <c r="CKD4" s="57"/>
      <c r="CKE4" s="57"/>
      <c r="CKF4" s="57"/>
      <c r="CKG4" s="57"/>
      <c r="CKH4" s="57"/>
      <c r="CKI4" s="57"/>
      <c r="CKJ4" s="57"/>
      <c r="CKK4" s="57"/>
      <c r="CKL4" s="57"/>
      <c r="CKM4" s="57"/>
      <c r="CKN4" s="57"/>
      <c r="CKO4" s="57"/>
      <c r="CKP4" s="57"/>
      <c r="CKQ4" s="57"/>
      <c r="CKR4" s="57"/>
      <c r="CKS4" s="57"/>
      <c r="CKT4" s="58"/>
      <c r="CKU4" s="56"/>
      <c r="CKV4" s="57"/>
      <c r="CKW4" s="57"/>
      <c r="CKX4" s="57"/>
      <c r="CKY4" s="57"/>
      <c r="CKZ4" s="57"/>
      <c r="CLA4" s="56"/>
      <c r="CLB4" s="57"/>
      <c r="CLC4" s="57"/>
      <c r="CLD4" s="56"/>
      <c r="CLE4" s="57"/>
      <c r="CLF4" s="58"/>
      <c r="CLG4" s="56"/>
      <c r="CLH4" s="57"/>
      <c r="CLI4" s="57"/>
      <c r="CLJ4" s="57"/>
      <c r="CLK4" s="56"/>
      <c r="CLL4" s="57"/>
      <c r="CLM4" s="57"/>
      <c r="CLN4" s="56"/>
      <c r="CLO4" s="57"/>
      <c r="CLP4" s="58"/>
      <c r="CLQ4" s="56"/>
      <c r="CLR4" s="57"/>
      <c r="CLS4" s="57"/>
      <c r="CLT4" s="57"/>
      <c r="CLU4" s="56"/>
      <c r="CLV4" s="57"/>
      <c r="CLW4" s="57"/>
      <c r="CLX4" s="56"/>
      <c r="CLY4" s="57"/>
      <c r="CLZ4" s="58"/>
      <c r="CMA4" s="56"/>
      <c r="CMB4" s="57"/>
      <c r="CMC4" s="57"/>
      <c r="CMD4" s="57"/>
      <c r="CME4" s="56"/>
      <c r="CMF4" s="57"/>
      <c r="CMG4" s="57"/>
      <c r="CMH4" s="56"/>
      <c r="CMI4" s="57"/>
      <c r="CMJ4" s="58"/>
      <c r="CMK4" s="56"/>
      <c r="CML4" s="58"/>
      <c r="CMM4" s="57"/>
      <c r="CMN4" s="56"/>
      <c r="CMO4" s="57"/>
      <c r="CMP4" s="56"/>
      <c r="CMQ4" s="56"/>
      <c r="CMR4" s="56"/>
      <c r="CMS4" s="57"/>
      <c r="CMT4" s="387"/>
      <c r="CMU4" s="57"/>
      <c r="CMV4" s="387"/>
      <c r="CMW4" s="57"/>
      <c r="CMX4" s="387"/>
      <c r="CMY4" s="57"/>
      <c r="CMZ4" s="57"/>
      <c r="CNA4" s="57"/>
      <c r="CNB4" s="57"/>
      <c r="CNC4" s="57"/>
      <c r="CND4" s="57"/>
      <c r="CNE4" s="57"/>
      <c r="CNF4" s="57"/>
      <c r="CNG4" s="57"/>
      <c r="CNH4" s="57"/>
      <c r="CNI4" s="57"/>
      <c r="CNJ4" s="57"/>
      <c r="CNK4" s="57"/>
      <c r="CNL4" s="57"/>
      <c r="CNM4" s="57"/>
      <c r="CNN4" s="57"/>
      <c r="CNO4" s="57"/>
      <c r="CNP4" s="57"/>
      <c r="CNQ4" s="57"/>
      <c r="CNR4" s="57"/>
      <c r="CNS4" s="57"/>
      <c r="CNT4" s="57"/>
      <c r="CNU4" s="57"/>
      <c r="CNV4" s="57"/>
      <c r="CNW4" s="57"/>
      <c r="CNX4" s="57"/>
      <c r="CNY4" s="57"/>
      <c r="CNZ4" s="57"/>
      <c r="COA4" s="57"/>
      <c r="COB4" s="57"/>
      <c r="COC4" s="57"/>
      <c r="COD4" s="58"/>
      <c r="COE4" s="56"/>
      <c r="COF4" s="57"/>
      <c r="COG4" s="57"/>
      <c r="COH4" s="57"/>
      <c r="COI4" s="57"/>
      <c r="COJ4" s="57"/>
      <c r="COK4" s="56"/>
      <c r="COL4" s="57"/>
      <c r="COM4" s="57"/>
      <c r="CON4" s="56"/>
      <c r="COO4" s="57"/>
      <c r="COP4" s="58"/>
      <c r="COQ4" s="56"/>
      <c r="COR4" s="57"/>
      <c r="COS4" s="57"/>
      <c r="COT4" s="57"/>
      <c r="COU4" s="56"/>
      <c r="COV4" s="57"/>
      <c r="COW4" s="57"/>
      <c r="COX4" s="56"/>
      <c r="COY4" s="57"/>
      <c r="COZ4" s="58"/>
      <c r="CPA4" s="56"/>
      <c r="CPB4" s="57"/>
      <c r="CPC4" s="57"/>
      <c r="CPD4" s="57"/>
      <c r="CPE4" s="56"/>
      <c r="CPF4" s="57"/>
      <c r="CPG4" s="57"/>
      <c r="CPH4" s="56"/>
      <c r="CPI4" s="57"/>
      <c r="CPJ4" s="58"/>
      <c r="CPK4" s="56"/>
      <c r="CPL4" s="57"/>
      <c r="CPM4" s="57"/>
      <c r="CPN4" s="57"/>
      <c r="CPO4" s="56"/>
      <c r="CPP4" s="57"/>
      <c r="CPQ4" s="57"/>
      <c r="CPR4" s="56"/>
      <c r="CPS4" s="57"/>
      <c r="CPT4" s="58"/>
      <c r="CPU4" s="56"/>
      <c r="CPV4" s="58"/>
      <c r="CPW4" s="57"/>
      <c r="CPX4" s="56"/>
      <c r="CPY4" s="57"/>
      <c r="CPZ4" s="56"/>
      <c r="CQA4" s="56"/>
      <c r="CQB4" s="56"/>
      <c r="CQC4" s="57"/>
      <c r="CQD4" s="387"/>
      <c r="CQE4" s="57"/>
      <c r="CQF4" s="387"/>
      <c r="CQG4" s="57"/>
      <c r="CQH4" s="387"/>
      <c r="CQI4" s="57"/>
      <c r="CQJ4" s="57"/>
      <c r="CQK4" s="57"/>
      <c r="CQL4" s="57"/>
      <c r="CQM4" s="57"/>
      <c r="CQN4" s="57"/>
      <c r="CQO4" s="57"/>
      <c r="CQP4" s="57"/>
      <c r="CQQ4" s="57"/>
      <c r="CQR4" s="57"/>
      <c r="CQS4" s="57"/>
      <c r="CQT4" s="57"/>
      <c r="CQU4" s="57"/>
      <c r="CQV4" s="57"/>
      <c r="CQW4" s="57"/>
      <c r="CQX4" s="57"/>
      <c r="CQY4" s="57"/>
      <c r="CQZ4" s="57"/>
      <c r="CRA4" s="57"/>
      <c r="CRB4" s="57"/>
      <c r="CRC4" s="57"/>
      <c r="CRD4" s="57"/>
      <c r="CRE4" s="57"/>
      <c r="CRF4" s="57"/>
      <c r="CRG4" s="57"/>
      <c r="CRH4" s="57"/>
      <c r="CRI4" s="57"/>
      <c r="CRJ4" s="57"/>
      <c r="CRK4" s="57"/>
      <c r="CRL4" s="57"/>
      <c r="CRM4" s="57"/>
      <c r="CRN4" s="58"/>
      <c r="CRO4" s="56"/>
      <c r="CRP4" s="57"/>
      <c r="CRQ4" s="57"/>
      <c r="CRR4" s="57"/>
      <c r="CRS4" s="57"/>
      <c r="CRT4" s="57"/>
      <c r="CRU4" s="56"/>
      <c r="CRV4" s="57"/>
      <c r="CRW4" s="57"/>
      <c r="CRX4" s="56"/>
      <c r="CRY4" s="57"/>
      <c r="CRZ4" s="58"/>
      <c r="CSA4" s="56"/>
      <c r="CSB4" s="57"/>
      <c r="CSC4" s="57"/>
      <c r="CSD4" s="57"/>
      <c r="CSE4" s="56"/>
      <c r="CSF4" s="57"/>
      <c r="CSG4" s="57"/>
      <c r="CSH4" s="56"/>
      <c r="CSI4" s="57"/>
      <c r="CSJ4" s="58"/>
      <c r="CSK4" s="56"/>
      <c r="CSL4" s="57"/>
      <c r="CSM4" s="57"/>
      <c r="CSN4" s="57"/>
      <c r="CSO4" s="56"/>
      <c r="CSP4" s="57"/>
      <c r="CSQ4" s="57"/>
      <c r="CSR4" s="56"/>
      <c r="CSS4" s="57"/>
      <c r="CST4" s="58"/>
      <c r="CSU4" s="56"/>
      <c r="CSV4" s="57"/>
      <c r="CSW4" s="57"/>
      <c r="CSX4" s="57"/>
      <c r="CSY4" s="56"/>
      <c r="CSZ4" s="57"/>
      <c r="CTA4" s="57"/>
      <c r="CTB4" s="56"/>
      <c r="CTC4" s="57"/>
      <c r="CTD4" s="58"/>
      <c r="CTE4" s="56"/>
      <c r="CTF4" s="58"/>
      <c r="CTG4" s="57"/>
      <c r="CTH4" s="56"/>
      <c r="CTI4" s="57"/>
      <c r="CTJ4" s="56"/>
      <c r="CTK4" s="56"/>
      <c r="CTL4" s="56"/>
      <c r="CTM4" s="57"/>
      <c r="CTN4" s="387"/>
      <c r="CTO4" s="57"/>
      <c r="CTP4" s="387"/>
      <c r="CTQ4" s="57"/>
      <c r="CTR4" s="387"/>
      <c r="CTS4" s="57"/>
      <c r="CTT4" s="57"/>
      <c r="CTU4" s="57"/>
      <c r="CTV4" s="57"/>
      <c r="CTW4" s="57"/>
      <c r="CTX4" s="57"/>
      <c r="CTY4" s="57"/>
      <c r="CTZ4" s="57"/>
      <c r="CUA4" s="57"/>
      <c r="CUB4" s="57"/>
      <c r="CUC4" s="57"/>
      <c r="CUD4" s="57"/>
      <c r="CUE4" s="57"/>
      <c r="CUF4" s="57"/>
      <c r="CUG4" s="57"/>
      <c r="CUH4" s="57"/>
      <c r="CUI4" s="57"/>
      <c r="CUJ4" s="57"/>
      <c r="CUK4" s="57"/>
      <c r="CUL4" s="57"/>
      <c r="CUM4" s="57"/>
      <c r="CUN4" s="57"/>
      <c r="CUO4" s="57"/>
      <c r="CUP4" s="57"/>
      <c r="CUQ4" s="57"/>
      <c r="CUR4" s="57"/>
      <c r="CUS4" s="57"/>
      <c r="CUT4" s="57"/>
      <c r="CUU4" s="57"/>
      <c r="CUV4" s="57"/>
      <c r="CUW4" s="57"/>
      <c r="CUX4" s="58"/>
      <c r="CUY4" s="56"/>
      <c r="CUZ4" s="57"/>
      <c r="CVA4" s="57"/>
      <c r="CVB4" s="57"/>
      <c r="CVC4" s="57"/>
      <c r="CVD4" s="57"/>
      <c r="CVE4" s="56"/>
      <c r="CVF4" s="57"/>
      <c r="CVG4" s="57"/>
      <c r="CVH4" s="56"/>
      <c r="CVI4" s="57"/>
      <c r="CVJ4" s="58"/>
      <c r="CVK4" s="56"/>
      <c r="CVL4" s="57"/>
      <c r="CVM4" s="57"/>
      <c r="CVN4" s="57"/>
      <c r="CVO4" s="56"/>
      <c r="CVP4" s="57"/>
      <c r="CVQ4" s="57"/>
      <c r="CVR4" s="56"/>
      <c r="CVS4" s="57"/>
      <c r="CVT4" s="58"/>
      <c r="CVU4" s="56"/>
      <c r="CVV4" s="57"/>
      <c r="CVW4" s="57"/>
      <c r="CVX4" s="57"/>
      <c r="CVY4" s="56"/>
      <c r="CVZ4" s="57"/>
      <c r="CWA4" s="57"/>
      <c r="CWB4" s="56"/>
      <c r="CWC4" s="57"/>
      <c r="CWD4" s="58"/>
      <c r="CWE4" s="56"/>
      <c r="CWF4" s="57"/>
      <c r="CWG4" s="57"/>
      <c r="CWH4" s="57"/>
      <c r="CWI4" s="56"/>
      <c r="CWJ4" s="57"/>
      <c r="CWK4" s="57"/>
      <c r="CWL4" s="56"/>
      <c r="CWM4" s="57"/>
      <c r="CWN4" s="58"/>
      <c r="CWO4" s="56"/>
      <c r="CWP4" s="58"/>
      <c r="CWQ4" s="57"/>
      <c r="CWR4" s="56"/>
      <c r="CWS4" s="57"/>
      <c r="CWT4" s="56"/>
      <c r="CWU4" s="56"/>
      <c r="CWV4" s="56"/>
      <c r="CWW4" s="57"/>
      <c r="CWX4" s="387"/>
      <c r="CWY4" s="57"/>
      <c r="CWZ4" s="387"/>
      <c r="CXA4" s="57"/>
      <c r="CXB4" s="387"/>
      <c r="CXC4" s="57"/>
      <c r="CXD4" s="57"/>
      <c r="CXE4" s="57"/>
      <c r="CXF4" s="57"/>
      <c r="CXG4" s="57"/>
      <c r="CXH4" s="57"/>
      <c r="CXI4" s="57"/>
      <c r="CXJ4" s="57"/>
      <c r="CXK4" s="57"/>
      <c r="CXL4" s="57"/>
      <c r="CXM4" s="57"/>
      <c r="CXN4" s="57"/>
      <c r="CXO4" s="57"/>
      <c r="CXP4" s="57"/>
      <c r="CXQ4" s="57"/>
      <c r="CXR4" s="57"/>
      <c r="CXS4" s="57"/>
      <c r="CXT4" s="57"/>
      <c r="CXU4" s="57"/>
      <c r="CXV4" s="57"/>
      <c r="CXW4" s="57"/>
      <c r="CXX4" s="57"/>
      <c r="CXY4" s="57"/>
      <c r="CXZ4" s="57"/>
      <c r="CYA4" s="57"/>
      <c r="CYB4" s="57"/>
      <c r="CYC4" s="57"/>
      <c r="CYD4" s="57"/>
      <c r="CYE4" s="57"/>
      <c r="CYF4" s="57"/>
      <c r="CYG4" s="57"/>
      <c r="CYH4" s="58"/>
      <c r="CYI4" s="56"/>
      <c r="CYJ4" s="57"/>
      <c r="CYK4" s="57"/>
      <c r="CYL4" s="57"/>
      <c r="CYM4" s="57"/>
      <c r="CYN4" s="57"/>
      <c r="CYO4" s="56"/>
      <c r="CYP4" s="57"/>
      <c r="CYQ4" s="57"/>
      <c r="CYR4" s="56"/>
      <c r="CYS4" s="57"/>
      <c r="CYT4" s="58"/>
      <c r="CYU4" s="56"/>
      <c r="CYV4" s="57"/>
      <c r="CYW4" s="57"/>
      <c r="CYX4" s="57"/>
      <c r="CYY4" s="56"/>
      <c r="CYZ4" s="57"/>
      <c r="CZA4" s="57"/>
      <c r="CZB4" s="56"/>
      <c r="CZC4" s="57"/>
      <c r="CZD4" s="58"/>
      <c r="CZE4" s="56"/>
      <c r="CZF4" s="57"/>
      <c r="CZG4" s="57"/>
      <c r="CZH4" s="57"/>
      <c r="CZI4" s="56"/>
      <c r="CZJ4" s="57"/>
      <c r="CZK4" s="57"/>
      <c r="CZL4" s="56"/>
      <c r="CZM4" s="57"/>
      <c r="CZN4" s="58"/>
      <c r="CZO4" s="56"/>
      <c r="CZP4" s="57"/>
      <c r="CZQ4" s="57"/>
      <c r="CZR4" s="57"/>
      <c r="CZS4" s="56"/>
      <c r="CZT4" s="57"/>
      <c r="CZU4" s="57"/>
      <c r="CZV4" s="56"/>
      <c r="CZW4" s="57"/>
      <c r="CZX4" s="58"/>
      <c r="CZY4" s="56"/>
      <c r="CZZ4" s="58"/>
      <c r="DAA4" s="57"/>
      <c r="DAB4" s="56"/>
      <c r="DAC4" s="57"/>
      <c r="DAD4" s="56"/>
      <c r="DAE4" s="56"/>
      <c r="DAF4" s="56"/>
      <c r="DAG4" s="57"/>
      <c r="DAH4" s="387"/>
      <c r="DAI4" s="57"/>
      <c r="DAJ4" s="387"/>
      <c r="DAK4" s="57"/>
      <c r="DAL4" s="387"/>
      <c r="DAM4" s="57"/>
      <c r="DAN4" s="57"/>
      <c r="DAO4" s="57"/>
      <c r="DAP4" s="57"/>
      <c r="DAQ4" s="57"/>
      <c r="DAR4" s="57"/>
      <c r="DAS4" s="57"/>
      <c r="DAT4" s="57"/>
      <c r="DAU4" s="57"/>
      <c r="DAV4" s="57"/>
      <c r="DAW4" s="57"/>
      <c r="DAX4" s="57"/>
      <c r="DAY4" s="57"/>
      <c r="DAZ4" s="57"/>
      <c r="DBA4" s="57"/>
      <c r="DBB4" s="57"/>
      <c r="DBC4" s="57"/>
      <c r="DBD4" s="57"/>
      <c r="DBE4" s="57"/>
      <c r="DBF4" s="57"/>
      <c r="DBG4" s="57"/>
      <c r="DBH4" s="57"/>
      <c r="DBI4" s="57"/>
      <c r="DBJ4" s="57"/>
      <c r="DBK4" s="57"/>
      <c r="DBL4" s="57"/>
      <c r="DBM4" s="57"/>
      <c r="DBN4" s="57"/>
      <c r="DBO4" s="57"/>
      <c r="DBP4" s="57"/>
      <c r="DBQ4" s="57"/>
      <c r="DBR4" s="58"/>
      <c r="DBS4" s="56"/>
      <c r="DBT4" s="57"/>
      <c r="DBU4" s="57"/>
      <c r="DBV4" s="57"/>
      <c r="DBW4" s="57"/>
      <c r="DBX4" s="57"/>
      <c r="DBY4" s="56"/>
      <c r="DBZ4" s="57"/>
      <c r="DCA4" s="57"/>
      <c r="DCB4" s="56"/>
      <c r="DCC4" s="57"/>
      <c r="DCD4" s="58"/>
      <c r="DCE4" s="56"/>
      <c r="DCF4" s="57"/>
      <c r="DCG4" s="57"/>
      <c r="DCH4" s="57"/>
      <c r="DCI4" s="56"/>
      <c r="DCJ4" s="57"/>
      <c r="DCK4" s="57"/>
      <c r="DCL4" s="56"/>
      <c r="DCM4" s="57"/>
      <c r="DCN4" s="58"/>
      <c r="DCO4" s="56"/>
      <c r="DCP4" s="57"/>
      <c r="DCQ4" s="57"/>
      <c r="DCR4" s="57"/>
      <c r="DCS4" s="56"/>
      <c r="DCT4" s="57"/>
      <c r="DCU4" s="57"/>
      <c r="DCV4" s="56"/>
      <c r="DCW4" s="57"/>
      <c r="DCX4" s="58"/>
      <c r="DCY4" s="56"/>
      <c r="DCZ4" s="57"/>
      <c r="DDA4" s="57"/>
      <c r="DDB4" s="57"/>
      <c r="DDC4" s="56"/>
      <c r="DDD4" s="57"/>
      <c r="DDE4" s="57"/>
      <c r="DDF4" s="56"/>
      <c r="DDG4" s="57"/>
      <c r="DDH4" s="58"/>
      <c r="DDI4" s="56"/>
      <c r="DDJ4" s="58"/>
      <c r="DDK4" s="57"/>
      <c r="DDL4" s="56"/>
      <c r="DDM4" s="57"/>
      <c r="DDN4" s="56"/>
      <c r="DDO4" s="56"/>
      <c r="DDP4" s="56"/>
      <c r="DDQ4" s="57"/>
      <c r="DDR4" s="387"/>
      <c r="DDS4" s="57"/>
      <c r="DDT4" s="387"/>
      <c r="DDU4" s="57"/>
      <c r="DDV4" s="387"/>
      <c r="DDW4" s="57"/>
      <c r="DDX4" s="57"/>
      <c r="DDY4" s="57"/>
      <c r="DDZ4" s="57"/>
      <c r="DEA4" s="57"/>
      <c r="DEB4" s="57"/>
      <c r="DEC4" s="57"/>
      <c r="DED4" s="57"/>
      <c r="DEE4" s="57"/>
      <c r="DEF4" s="57"/>
      <c r="DEG4" s="57"/>
      <c r="DEH4" s="57"/>
      <c r="DEI4" s="57"/>
      <c r="DEJ4" s="57"/>
      <c r="DEK4" s="57"/>
      <c r="DEL4" s="57"/>
      <c r="DEM4" s="57"/>
      <c r="DEN4" s="57"/>
      <c r="DEO4" s="57"/>
      <c r="DEP4" s="57"/>
      <c r="DEQ4" s="57"/>
      <c r="DER4" s="57"/>
      <c r="DES4" s="57"/>
      <c r="DET4" s="57"/>
      <c r="DEU4" s="57"/>
      <c r="DEV4" s="57"/>
      <c r="DEW4" s="57"/>
      <c r="DEX4" s="57"/>
      <c r="DEY4" s="57"/>
      <c r="DEZ4" s="57"/>
      <c r="DFA4" s="57"/>
      <c r="DFB4" s="58"/>
      <c r="DFC4" s="56"/>
      <c r="DFD4" s="57"/>
      <c r="DFE4" s="57"/>
      <c r="DFF4" s="57"/>
      <c r="DFG4" s="57"/>
      <c r="DFH4" s="57"/>
      <c r="DFI4" s="56"/>
      <c r="DFJ4" s="57"/>
      <c r="DFK4" s="57"/>
      <c r="DFL4" s="56"/>
      <c r="DFM4" s="57"/>
      <c r="DFN4" s="58"/>
      <c r="DFO4" s="56"/>
      <c r="DFP4" s="57"/>
      <c r="DFQ4" s="57"/>
      <c r="DFR4" s="57"/>
      <c r="DFS4" s="56"/>
      <c r="DFT4" s="57"/>
      <c r="DFU4" s="57"/>
      <c r="DFV4" s="56"/>
      <c r="DFW4" s="57"/>
      <c r="DFX4" s="58"/>
      <c r="DFY4" s="56"/>
      <c r="DFZ4" s="57"/>
      <c r="DGA4" s="57"/>
      <c r="DGB4" s="57"/>
      <c r="DGC4" s="56"/>
      <c r="DGD4" s="57"/>
      <c r="DGE4" s="57"/>
      <c r="DGF4" s="56"/>
      <c r="DGG4" s="57"/>
      <c r="DGH4" s="58"/>
      <c r="DGI4" s="56"/>
      <c r="DGJ4" s="57"/>
      <c r="DGK4" s="57"/>
      <c r="DGL4" s="57"/>
      <c r="DGM4" s="56"/>
      <c r="DGN4" s="57"/>
      <c r="DGO4" s="57"/>
      <c r="DGP4" s="56"/>
      <c r="DGQ4" s="57"/>
      <c r="DGR4" s="58"/>
      <c r="DGS4" s="56"/>
      <c r="DGT4" s="58"/>
      <c r="DGU4" s="57"/>
      <c r="DGV4" s="56"/>
      <c r="DGW4" s="57"/>
      <c r="DGX4" s="56"/>
      <c r="DGY4" s="56"/>
      <c r="DGZ4" s="56"/>
      <c r="DHA4" s="57"/>
      <c r="DHB4" s="387"/>
      <c r="DHC4" s="57"/>
      <c r="DHD4" s="387"/>
      <c r="DHE4" s="57"/>
      <c r="DHF4" s="387"/>
      <c r="DHG4" s="57"/>
      <c r="DHH4" s="57"/>
      <c r="DHI4" s="57"/>
      <c r="DHJ4" s="57"/>
      <c r="DHK4" s="57"/>
      <c r="DHL4" s="57"/>
      <c r="DHM4" s="57"/>
      <c r="DHN4" s="57"/>
      <c r="DHO4" s="57"/>
      <c r="DHP4" s="57"/>
      <c r="DHQ4" s="57"/>
      <c r="DHR4" s="57"/>
      <c r="DHS4" s="57"/>
      <c r="DHT4" s="57"/>
      <c r="DHU4" s="57"/>
      <c r="DHV4" s="57"/>
      <c r="DHW4" s="57"/>
      <c r="DHX4" s="57"/>
      <c r="DHY4" s="57"/>
      <c r="DHZ4" s="57"/>
      <c r="DIA4" s="57"/>
      <c r="DIB4" s="57"/>
      <c r="DIC4" s="57"/>
      <c r="DID4" s="57"/>
      <c r="DIE4" s="57"/>
      <c r="DIF4" s="57"/>
      <c r="DIG4" s="57"/>
      <c r="DIH4" s="57"/>
      <c r="DII4" s="57"/>
      <c r="DIJ4" s="57"/>
      <c r="DIK4" s="57"/>
      <c r="DIL4" s="58"/>
      <c r="DIM4" s="56"/>
      <c r="DIN4" s="57"/>
      <c r="DIO4" s="57"/>
      <c r="DIP4" s="57"/>
      <c r="DIQ4" s="57"/>
      <c r="DIR4" s="57"/>
      <c r="DIS4" s="56"/>
      <c r="DIT4" s="57"/>
      <c r="DIU4" s="57"/>
      <c r="DIV4" s="56"/>
      <c r="DIW4" s="57"/>
      <c r="DIX4" s="58"/>
      <c r="DIY4" s="56"/>
      <c r="DIZ4" s="57"/>
      <c r="DJA4" s="57"/>
      <c r="DJB4" s="57"/>
      <c r="DJC4" s="56"/>
      <c r="DJD4" s="57"/>
      <c r="DJE4" s="57"/>
      <c r="DJF4" s="56"/>
      <c r="DJG4" s="57"/>
      <c r="DJH4" s="58"/>
      <c r="DJI4" s="56"/>
      <c r="DJJ4" s="57"/>
      <c r="DJK4" s="57"/>
      <c r="DJL4" s="57"/>
      <c r="DJM4" s="56"/>
      <c r="DJN4" s="57"/>
      <c r="DJO4" s="57"/>
      <c r="DJP4" s="56"/>
      <c r="DJQ4" s="57"/>
      <c r="DJR4" s="58"/>
      <c r="DJS4" s="56"/>
      <c r="DJT4" s="57"/>
      <c r="DJU4" s="57"/>
      <c r="DJV4" s="57"/>
      <c r="DJW4" s="56"/>
      <c r="DJX4" s="57"/>
      <c r="DJY4" s="57"/>
      <c r="DJZ4" s="56"/>
      <c r="DKA4" s="57"/>
      <c r="DKB4" s="58"/>
      <c r="DKC4" s="56"/>
      <c r="DKD4" s="58"/>
      <c r="DKE4" s="57"/>
      <c r="DKF4" s="56"/>
      <c r="DKG4" s="57"/>
      <c r="DKH4" s="56"/>
      <c r="DKI4" s="56"/>
      <c r="DKJ4" s="56"/>
      <c r="DKK4" s="57"/>
      <c r="DKL4" s="387"/>
      <c r="DKM4" s="57"/>
      <c r="DKN4" s="387"/>
      <c r="DKO4" s="57"/>
      <c r="DKP4" s="387"/>
      <c r="DKQ4" s="57"/>
      <c r="DKR4" s="57"/>
      <c r="DKS4" s="57"/>
      <c r="DKT4" s="57"/>
      <c r="DKU4" s="57"/>
      <c r="DKV4" s="57"/>
      <c r="DKW4" s="57"/>
      <c r="DKX4" s="57"/>
      <c r="DKY4" s="57"/>
      <c r="DKZ4" s="57"/>
      <c r="DLA4" s="57"/>
      <c r="DLB4" s="57"/>
      <c r="DLC4" s="57"/>
      <c r="DLD4" s="57"/>
      <c r="DLE4" s="57"/>
      <c r="DLF4" s="57"/>
      <c r="DLG4" s="57"/>
      <c r="DLH4" s="57"/>
      <c r="DLI4" s="57"/>
      <c r="DLJ4" s="57"/>
      <c r="DLK4" s="57"/>
      <c r="DLL4" s="57"/>
      <c r="DLM4" s="57"/>
      <c r="DLN4" s="57"/>
      <c r="DLO4" s="57"/>
      <c r="DLP4" s="57"/>
      <c r="DLQ4" s="57"/>
      <c r="DLR4" s="57"/>
      <c r="DLS4" s="57"/>
      <c r="DLT4" s="57"/>
      <c r="DLU4" s="57"/>
      <c r="DLV4" s="58"/>
      <c r="DLW4" s="56"/>
      <c r="DLX4" s="57"/>
      <c r="DLY4" s="57"/>
      <c r="DLZ4" s="57"/>
      <c r="DMA4" s="57"/>
      <c r="DMB4" s="57"/>
      <c r="DMC4" s="56"/>
      <c r="DMD4" s="57"/>
      <c r="DME4" s="57"/>
      <c r="DMF4" s="56"/>
      <c r="DMG4" s="57"/>
      <c r="DMH4" s="58"/>
      <c r="DMI4" s="56"/>
      <c r="DMJ4" s="57"/>
      <c r="DMK4" s="57"/>
      <c r="DML4" s="57"/>
      <c r="DMM4" s="56"/>
      <c r="DMN4" s="57"/>
      <c r="DMO4" s="57"/>
      <c r="DMP4" s="56"/>
      <c r="DMQ4" s="57"/>
      <c r="DMR4" s="58"/>
      <c r="DMS4" s="56"/>
      <c r="DMT4" s="57"/>
      <c r="DMU4" s="57"/>
      <c r="DMV4" s="57"/>
      <c r="DMW4" s="56"/>
      <c r="DMX4" s="57"/>
      <c r="DMY4" s="57"/>
      <c r="DMZ4" s="56"/>
      <c r="DNA4" s="57"/>
      <c r="DNB4" s="58"/>
      <c r="DNC4" s="56"/>
      <c r="DND4" s="57"/>
      <c r="DNE4" s="57"/>
      <c r="DNF4" s="57"/>
      <c r="DNG4" s="56"/>
      <c r="DNH4" s="57"/>
      <c r="DNI4" s="57"/>
      <c r="DNJ4" s="56"/>
      <c r="DNK4" s="57"/>
      <c r="DNL4" s="58"/>
      <c r="DNM4" s="56"/>
      <c r="DNN4" s="58"/>
      <c r="DNO4" s="57"/>
      <c r="DNP4" s="56"/>
      <c r="DNQ4" s="57"/>
      <c r="DNR4" s="56"/>
      <c r="DNS4" s="56"/>
      <c r="DNT4" s="56"/>
      <c r="DNU4" s="57"/>
      <c r="DNV4" s="387"/>
      <c r="DNW4" s="57"/>
      <c r="DNX4" s="387"/>
      <c r="DNY4" s="57"/>
      <c r="DNZ4" s="387"/>
      <c r="DOA4" s="57"/>
      <c r="DOB4" s="57"/>
      <c r="DOC4" s="57"/>
      <c r="DOD4" s="57"/>
      <c r="DOE4" s="57"/>
      <c r="DOF4" s="57"/>
      <c r="DOG4" s="57"/>
      <c r="DOH4" s="57"/>
      <c r="DOI4" s="57"/>
      <c r="DOJ4" s="57"/>
      <c r="DOK4" s="57"/>
      <c r="DOL4" s="57"/>
      <c r="DOM4" s="57"/>
      <c r="DON4" s="57"/>
      <c r="DOO4" s="57"/>
      <c r="DOP4" s="57"/>
      <c r="DOQ4" s="57"/>
      <c r="DOR4" s="57"/>
      <c r="DOS4" s="57"/>
      <c r="DOT4" s="57"/>
      <c r="DOU4" s="57"/>
      <c r="DOV4" s="57"/>
      <c r="DOW4" s="57"/>
      <c r="DOX4" s="57"/>
      <c r="DOY4" s="57"/>
      <c r="DOZ4" s="57"/>
      <c r="DPA4" s="57"/>
      <c r="DPB4" s="57"/>
      <c r="DPC4" s="57"/>
      <c r="DPD4" s="57"/>
      <c r="DPE4" s="57"/>
      <c r="DPF4" s="58"/>
      <c r="DPG4" s="56"/>
      <c r="DPH4" s="57"/>
      <c r="DPI4" s="57"/>
      <c r="DPJ4" s="57"/>
      <c r="DPK4" s="57"/>
      <c r="DPL4" s="57"/>
      <c r="DPM4" s="56"/>
      <c r="DPN4" s="57"/>
      <c r="DPO4" s="57"/>
      <c r="DPP4" s="56"/>
      <c r="DPQ4" s="57"/>
      <c r="DPR4" s="58"/>
      <c r="DPS4" s="56"/>
      <c r="DPT4" s="57"/>
      <c r="DPU4" s="57"/>
      <c r="DPV4" s="57"/>
      <c r="DPW4" s="56"/>
      <c r="DPX4" s="57"/>
      <c r="DPY4" s="57"/>
      <c r="DPZ4" s="56"/>
      <c r="DQA4" s="57"/>
      <c r="DQB4" s="58"/>
      <c r="DQC4" s="56"/>
      <c r="DQD4" s="57"/>
      <c r="DQE4" s="57"/>
      <c r="DQF4" s="57"/>
      <c r="DQG4" s="56"/>
      <c r="DQH4" s="57"/>
      <c r="DQI4" s="57"/>
      <c r="DQJ4" s="56"/>
      <c r="DQK4" s="57"/>
      <c r="DQL4" s="58"/>
      <c r="DQM4" s="56"/>
      <c r="DQN4" s="57"/>
      <c r="DQO4" s="57"/>
      <c r="DQP4" s="57"/>
      <c r="DQQ4" s="56"/>
      <c r="DQR4" s="57"/>
      <c r="DQS4" s="57"/>
      <c r="DQT4" s="56"/>
      <c r="DQU4" s="57"/>
      <c r="DQV4" s="58"/>
      <c r="DQW4" s="56"/>
      <c r="DQX4" s="58"/>
      <c r="DQY4" s="57"/>
      <c r="DQZ4" s="56"/>
      <c r="DRA4" s="57"/>
      <c r="DRB4" s="56"/>
      <c r="DRC4" s="56"/>
      <c r="DRD4" s="56"/>
      <c r="DRE4" s="57"/>
      <c r="DRF4" s="387"/>
      <c r="DRG4" s="57"/>
      <c r="DRH4" s="387"/>
      <c r="DRI4" s="57"/>
      <c r="DRJ4" s="387"/>
      <c r="DRK4" s="57"/>
      <c r="DRL4" s="57"/>
      <c r="DRM4" s="57"/>
      <c r="DRN4" s="57"/>
      <c r="DRO4" s="57"/>
      <c r="DRP4" s="57"/>
      <c r="DRQ4" s="57"/>
      <c r="DRR4" s="57"/>
      <c r="DRS4" s="57"/>
      <c r="DRT4" s="57"/>
      <c r="DRU4" s="57"/>
      <c r="DRV4" s="57"/>
      <c r="DRW4" s="57"/>
      <c r="DRX4" s="57"/>
      <c r="DRY4" s="57"/>
      <c r="DRZ4" s="57"/>
      <c r="DSA4" s="57"/>
      <c r="DSB4" s="57"/>
      <c r="DSC4" s="57"/>
      <c r="DSD4" s="57"/>
      <c r="DSE4" s="57"/>
      <c r="DSF4" s="57"/>
      <c r="DSG4" s="57"/>
      <c r="DSH4" s="57"/>
      <c r="DSI4" s="57"/>
      <c r="DSJ4" s="57"/>
      <c r="DSK4" s="57"/>
      <c r="DSL4" s="57"/>
      <c r="DSM4" s="57"/>
      <c r="DSN4" s="57"/>
      <c r="DSO4" s="57"/>
      <c r="DSP4" s="58"/>
      <c r="DSQ4" s="56"/>
      <c r="DSR4" s="57"/>
      <c r="DSS4" s="57"/>
      <c r="DST4" s="57"/>
      <c r="DSU4" s="57"/>
      <c r="DSV4" s="57"/>
      <c r="DSW4" s="56"/>
      <c r="DSX4" s="57"/>
      <c r="DSY4" s="57"/>
      <c r="DSZ4" s="56"/>
      <c r="DTA4" s="57"/>
      <c r="DTB4" s="58"/>
      <c r="DTC4" s="56"/>
      <c r="DTD4" s="57"/>
      <c r="DTE4" s="57"/>
      <c r="DTF4" s="57"/>
      <c r="DTG4" s="56"/>
      <c r="DTH4" s="57"/>
      <c r="DTI4" s="57"/>
      <c r="DTJ4" s="56"/>
      <c r="DTK4" s="57"/>
      <c r="DTL4" s="58"/>
      <c r="DTM4" s="56"/>
      <c r="DTN4" s="57"/>
      <c r="DTO4" s="57"/>
      <c r="DTP4" s="57"/>
      <c r="DTQ4" s="56"/>
      <c r="DTR4" s="57"/>
      <c r="DTS4" s="57"/>
      <c r="DTT4" s="56"/>
      <c r="DTU4" s="57"/>
      <c r="DTV4" s="58"/>
      <c r="DTW4" s="56"/>
      <c r="DTX4" s="57"/>
      <c r="DTY4" s="57"/>
      <c r="DTZ4" s="57"/>
      <c r="DUA4" s="56"/>
      <c r="DUB4" s="57"/>
      <c r="DUC4" s="57"/>
      <c r="DUD4" s="56"/>
      <c r="DUE4" s="57"/>
      <c r="DUF4" s="58"/>
      <c r="DUG4" s="56"/>
      <c r="DUH4" s="58"/>
      <c r="DUI4" s="57"/>
      <c r="DUJ4" s="56"/>
      <c r="DUK4" s="57"/>
      <c r="DUL4" s="56"/>
      <c r="DUM4" s="56"/>
      <c r="DUN4" s="56"/>
      <c r="DUO4" s="57"/>
      <c r="DUP4" s="387"/>
      <c r="DUQ4" s="57"/>
      <c r="DUR4" s="387"/>
      <c r="DUS4" s="57"/>
      <c r="DUT4" s="387"/>
      <c r="DUU4" s="57"/>
      <c r="DUV4" s="57"/>
      <c r="DUW4" s="57"/>
      <c r="DUX4" s="57"/>
      <c r="DUY4" s="57"/>
      <c r="DUZ4" s="57"/>
      <c r="DVA4" s="57"/>
      <c r="DVB4" s="57"/>
      <c r="DVC4" s="57"/>
      <c r="DVD4" s="57"/>
      <c r="DVE4" s="57"/>
      <c r="DVF4" s="57"/>
      <c r="DVG4" s="57"/>
      <c r="DVH4" s="57"/>
      <c r="DVI4" s="57"/>
      <c r="DVJ4" s="57"/>
      <c r="DVK4" s="57"/>
      <c r="DVL4" s="57"/>
      <c r="DVM4" s="57"/>
      <c r="DVN4" s="57"/>
      <c r="DVO4" s="57"/>
      <c r="DVP4" s="57"/>
      <c r="DVQ4" s="57"/>
      <c r="DVR4" s="57"/>
      <c r="DVS4" s="57"/>
      <c r="DVT4" s="57"/>
      <c r="DVU4" s="57"/>
      <c r="DVV4" s="57"/>
      <c r="DVW4" s="57"/>
      <c r="DVX4" s="57"/>
      <c r="DVY4" s="57"/>
      <c r="DVZ4" s="58"/>
      <c r="DWA4" s="56"/>
      <c r="DWB4" s="57"/>
      <c r="DWC4" s="57"/>
      <c r="DWD4" s="57"/>
      <c r="DWE4" s="57"/>
      <c r="DWF4" s="57"/>
      <c r="DWG4" s="56"/>
      <c r="DWH4" s="57"/>
      <c r="DWI4" s="57"/>
      <c r="DWJ4" s="56"/>
      <c r="DWK4" s="57"/>
      <c r="DWL4" s="58"/>
      <c r="DWM4" s="56"/>
      <c r="DWN4" s="57"/>
      <c r="DWO4" s="57"/>
      <c r="DWP4" s="57"/>
      <c r="DWQ4" s="56"/>
      <c r="DWR4" s="57"/>
      <c r="DWS4" s="57"/>
      <c r="DWT4" s="56"/>
      <c r="DWU4" s="57"/>
      <c r="DWV4" s="58"/>
      <c r="DWW4" s="56"/>
      <c r="DWX4" s="57"/>
      <c r="DWY4" s="57"/>
      <c r="DWZ4" s="57"/>
      <c r="DXA4" s="56"/>
      <c r="DXB4" s="57"/>
      <c r="DXC4" s="57"/>
      <c r="DXD4" s="56"/>
      <c r="DXE4" s="57"/>
      <c r="DXF4" s="58"/>
      <c r="DXG4" s="56"/>
      <c r="DXH4" s="57"/>
      <c r="DXI4" s="57"/>
      <c r="DXJ4" s="57"/>
      <c r="DXK4" s="56"/>
      <c r="DXL4" s="57"/>
      <c r="DXM4" s="57"/>
      <c r="DXN4" s="56"/>
      <c r="DXO4" s="57"/>
      <c r="DXP4" s="58"/>
      <c r="DXQ4" s="56"/>
      <c r="DXR4" s="58"/>
      <c r="DXS4" s="57"/>
      <c r="DXT4" s="56"/>
      <c r="DXU4" s="57"/>
      <c r="DXV4" s="56"/>
      <c r="DXW4" s="56"/>
      <c r="DXX4" s="56"/>
      <c r="DXY4" s="57"/>
      <c r="DXZ4" s="387"/>
      <c r="DYA4" s="57"/>
      <c r="DYB4" s="387"/>
      <c r="DYC4" s="57"/>
      <c r="DYD4" s="387"/>
      <c r="DYE4" s="57"/>
      <c r="DYF4" s="57"/>
      <c r="DYG4" s="57"/>
      <c r="DYH4" s="57"/>
      <c r="DYI4" s="57"/>
      <c r="DYJ4" s="57"/>
      <c r="DYK4" s="57"/>
      <c r="DYL4" s="57"/>
      <c r="DYM4" s="57"/>
      <c r="DYN4" s="57"/>
      <c r="DYO4" s="57"/>
      <c r="DYP4" s="57"/>
      <c r="DYQ4" s="57"/>
      <c r="DYR4" s="57"/>
      <c r="DYS4" s="57"/>
      <c r="DYT4" s="57"/>
      <c r="DYU4" s="57"/>
      <c r="DYV4" s="57"/>
      <c r="DYW4" s="57"/>
      <c r="DYX4" s="57"/>
      <c r="DYY4" s="57"/>
      <c r="DYZ4" s="57"/>
      <c r="DZA4" s="57"/>
      <c r="DZB4" s="57"/>
      <c r="DZC4" s="57"/>
      <c r="DZD4" s="57"/>
      <c r="DZE4" s="57"/>
      <c r="DZF4" s="57"/>
      <c r="DZG4" s="57"/>
      <c r="DZH4" s="57"/>
      <c r="DZI4" s="57"/>
      <c r="DZJ4" s="58"/>
      <c r="DZK4" s="56"/>
      <c r="DZL4" s="57"/>
      <c r="DZM4" s="57"/>
      <c r="DZN4" s="57"/>
      <c r="DZO4" s="57"/>
      <c r="DZP4" s="57"/>
      <c r="DZQ4" s="56"/>
      <c r="DZR4" s="57"/>
      <c r="DZS4" s="57"/>
      <c r="DZT4" s="56"/>
      <c r="DZU4" s="57"/>
      <c r="DZV4" s="58"/>
      <c r="DZW4" s="56"/>
      <c r="DZX4" s="57"/>
      <c r="DZY4" s="57"/>
      <c r="DZZ4" s="57"/>
      <c r="EAA4" s="56"/>
      <c r="EAB4" s="57"/>
      <c r="EAC4" s="57"/>
      <c r="EAD4" s="56"/>
      <c r="EAE4" s="57"/>
      <c r="EAF4" s="58"/>
      <c r="EAG4" s="56"/>
      <c r="EAH4" s="57"/>
      <c r="EAI4" s="57"/>
      <c r="EAJ4" s="57"/>
      <c r="EAK4" s="56"/>
      <c r="EAL4" s="57"/>
      <c r="EAM4" s="57"/>
      <c r="EAN4" s="56"/>
      <c r="EAO4" s="57"/>
      <c r="EAP4" s="58"/>
      <c r="EAQ4" s="56"/>
      <c r="EAR4" s="57"/>
      <c r="EAS4" s="57"/>
      <c r="EAT4" s="57"/>
      <c r="EAU4" s="56"/>
      <c r="EAV4" s="57"/>
      <c r="EAW4" s="57"/>
      <c r="EAX4" s="56"/>
      <c r="EAY4" s="57"/>
      <c r="EAZ4" s="58"/>
      <c r="EBA4" s="56"/>
      <c r="EBB4" s="58"/>
      <c r="EBC4" s="57"/>
      <c r="EBD4" s="56"/>
      <c r="EBE4" s="57"/>
      <c r="EBF4" s="56"/>
      <c r="EBG4" s="56"/>
      <c r="EBH4" s="56"/>
      <c r="EBI4" s="57"/>
      <c r="EBJ4" s="387"/>
      <c r="EBK4" s="57"/>
      <c r="EBL4" s="387"/>
      <c r="EBM4" s="57"/>
      <c r="EBN4" s="387"/>
      <c r="EBO4" s="57"/>
      <c r="EBP4" s="57"/>
      <c r="EBQ4" s="57"/>
      <c r="EBR4" s="57"/>
      <c r="EBS4" s="57"/>
      <c r="EBT4" s="57"/>
      <c r="EBU4" s="57"/>
      <c r="EBV4" s="57"/>
      <c r="EBW4" s="57"/>
      <c r="EBX4" s="57"/>
      <c r="EBY4" s="57"/>
      <c r="EBZ4" s="57"/>
      <c r="ECA4" s="57"/>
      <c r="ECB4" s="57"/>
      <c r="ECC4" s="57"/>
      <c r="ECD4" s="57"/>
      <c r="ECE4" s="57"/>
      <c r="ECF4" s="57"/>
      <c r="ECG4" s="57"/>
      <c r="ECH4" s="57"/>
      <c r="ECI4" s="57"/>
      <c r="ECJ4" s="57"/>
      <c r="ECK4" s="57"/>
      <c r="ECL4" s="57"/>
      <c r="ECM4" s="57"/>
      <c r="ECN4" s="57"/>
      <c r="ECO4" s="57"/>
      <c r="ECP4" s="57"/>
      <c r="ECQ4" s="57"/>
      <c r="ECR4" s="57"/>
      <c r="ECS4" s="57"/>
      <c r="ECT4" s="58"/>
      <c r="ECU4" s="56"/>
      <c r="ECV4" s="57"/>
      <c r="ECW4" s="57"/>
      <c r="ECX4" s="57"/>
      <c r="ECY4" s="57"/>
      <c r="ECZ4" s="57"/>
      <c r="EDA4" s="56"/>
      <c r="EDB4" s="57"/>
      <c r="EDC4" s="57"/>
      <c r="EDD4" s="56"/>
      <c r="EDE4" s="57"/>
      <c r="EDF4" s="58"/>
      <c r="EDG4" s="56"/>
      <c r="EDH4" s="57"/>
      <c r="EDI4" s="57"/>
      <c r="EDJ4" s="57"/>
      <c r="EDK4" s="56"/>
      <c r="EDL4" s="57"/>
      <c r="EDM4" s="57"/>
      <c r="EDN4" s="56"/>
      <c r="EDO4" s="57"/>
      <c r="EDP4" s="58"/>
      <c r="EDQ4" s="56"/>
      <c r="EDR4" s="57"/>
      <c r="EDS4" s="57"/>
      <c r="EDT4" s="57"/>
      <c r="EDU4" s="56"/>
      <c r="EDV4" s="57"/>
      <c r="EDW4" s="57"/>
      <c r="EDX4" s="56"/>
      <c r="EDY4" s="57"/>
      <c r="EDZ4" s="58"/>
      <c r="EEA4" s="56"/>
      <c r="EEB4" s="57"/>
      <c r="EEC4" s="57"/>
      <c r="EED4" s="57"/>
      <c r="EEE4" s="56"/>
      <c r="EEF4" s="57"/>
      <c r="EEG4" s="57"/>
      <c r="EEH4" s="56"/>
      <c r="EEI4" s="57"/>
      <c r="EEJ4" s="58"/>
      <c r="EEK4" s="56"/>
      <c r="EEL4" s="58"/>
      <c r="EEM4" s="57"/>
      <c r="EEN4" s="56"/>
      <c r="EEO4" s="57"/>
      <c r="EEP4" s="56"/>
      <c r="EEQ4" s="56"/>
      <c r="EER4" s="56"/>
      <c r="EES4" s="57"/>
      <c r="EET4" s="387"/>
      <c r="EEU4" s="57"/>
      <c r="EEV4" s="387"/>
      <c r="EEW4" s="57"/>
      <c r="EEX4" s="387"/>
      <c r="EEY4" s="57"/>
      <c r="EEZ4" s="57"/>
      <c r="EFA4" s="57"/>
      <c r="EFB4" s="57"/>
      <c r="EFC4" s="57"/>
      <c r="EFD4" s="57"/>
      <c r="EFE4" s="57"/>
      <c r="EFF4" s="57"/>
      <c r="EFG4" s="57"/>
      <c r="EFH4" s="57"/>
      <c r="EFI4" s="57"/>
      <c r="EFJ4" s="57"/>
      <c r="EFK4" s="57"/>
      <c r="EFL4" s="57"/>
      <c r="EFM4" s="57"/>
      <c r="EFN4" s="57"/>
      <c r="EFO4" s="57"/>
      <c r="EFP4" s="57"/>
      <c r="EFQ4" s="57"/>
      <c r="EFR4" s="57"/>
      <c r="EFS4" s="57"/>
      <c r="EFT4" s="57"/>
      <c r="EFU4" s="57"/>
      <c r="EFV4" s="57"/>
      <c r="EFW4" s="57"/>
      <c r="EFX4" s="57"/>
      <c r="EFY4" s="57"/>
      <c r="EFZ4" s="57"/>
      <c r="EGA4" s="57"/>
      <c r="EGB4" s="57"/>
      <c r="EGC4" s="57"/>
      <c r="EGD4" s="58"/>
      <c r="EGE4" s="56"/>
      <c r="EGF4" s="57"/>
      <c r="EGG4" s="57"/>
      <c r="EGH4" s="57"/>
      <c r="EGI4" s="57"/>
      <c r="EGJ4" s="57"/>
      <c r="EGK4" s="56"/>
      <c r="EGL4" s="57"/>
      <c r="EGM4" s="57"/>
      <c r="EGN4" s="56"/>
      <c r="EGO4" s="57"/>
      <c r="EGP4" s="58"/>
      <c r="EGQ4" s="56"/>
      <c r="EGR4" s="57"/>
      <c r="EGS4" s="57"/>
      <c r="EGT4" s="57"/>
      <c r="EGU4" s="56"/>
      <c r="EGV4" s="57"/>
      <c r="EGW4" s="57"/>
      <c r="EGX4" s="56"/>
      <c r="EGY4" s="57"/>
      <c r="EGZ4" s="58"/>
      <c r="EHA4" s="56"/>
      <c r="EHB4" s="57"/>
      <c r="EHC4" s="57"/>
      <c r="EHD4" s="57"/>
      <c r="EHE4" s="56"/>
      <c r="EHF4" s="57"/>
      <c r="EHG4" s="57"/>
      <c r="EHH4" s="56"/>
      <c r="EHI4" s="57"/>
      <c r="EHJ4" s="58"/>
      <c r="EHK4" s="56"/>
      <c r="EHL4" s="57"/>
      <c r="EHM4" s="57"/>
      <c r="EHN4" s="57"/>
      <c r="EHO4" s="56"/>
      <c r="EHP4" s="57"/>
      <c r="EHQ4" s="57"/>
      <c r="EHR4" s="56"/>
      <c r="EHS4" s="57"/>
      <c r="EHT4" s="58"/>
      <c r="EHU4" s="56"/>
      <c r="EHV4" s="58"/>
      <c r="EHW4" s="57"/>
      <c r="EHX4" s="56"/>
      <c r="EHY4" s="57"/>
      <c r="EHZ4" s="56"/>
      <c r="EIA4" s="56"/>
      <c r="EIB4" s="56"/>
      <c r="EIC4" s="57"/>
      <c r="EID4" s="387"/>
      <c r="EIE4" s="57"/>
      <c r="EIF4" s="387"/>
      <c r="EIG4" s="57"/>
      <c r="EIH4" s="387"/>
      <c r="EII4" s="57"/>
      <c r="EIJ4" s="57"/>
      <c r="EIK4" s="57"/>
      <c r="EIL4" s="57"/>
      <c r="EIM4" s="57"/>
      <c r="EIN4" s="57"/>
      <c r="EIO4" s="57"/>
      <c r="EIP4" s="57"/>
      <c r="EIQ4" s="57"/>
      <c r="EIR4" s="57"/>
      <c r="EIS4" s="57"/>
      <c r="EIT4" s="57"/>
      <c r="EIU4" s="57"/>
      <c r="EIV4" s="57"/>
      <c r="EIW4" s="57"/>
      <c r="EIX4" s="57"/>
      <c r="EIY4" s="57"/>
      <c r="EIZ4" s="57"/>
      <c r="EJA4" s="57"/>
      <c r="EJB4" s="57"/>
      <c r="EJC4" s="57"/>
      <c r="EJD4" s="57"/>
      <c r="EJE4" s="57"/>
      <c r="EJF4" s="57"/>
      <c r="EJG4" s="57"/>
      <c r="EJH4" s="57"/>
      <c r="EJI4" s="57"/>
      <c r="EJJ4" s="57"/>
      <c r="EJK4" s="57"/>
      <c r="EJL4" s="57"/>
      <c r="EJM4" s="57"/>
      <c r="EJN4" s="58"/>
      <c r="EJO4" s="56"/>
      <c r="EJP4" s="57"/>
      <c r="EJQ4" s="57"/>
      <c r="EJR4" s="57"/>
      <c r="EJS4" s="57"/>
      <c r="EJT4" s="57"/>
      <c r="EJU4" s="56"/>
      <c r="EJV4" s="57"/>
      <c r="EJW4" s="57"/>
      <c r="EJX4" s="56"/>
      <c r="EJY4" s="57"/>
      <c r="EJZ4" s="58"/>
      <c r="EKA4" s="56"/>
      <c r="EKB4" s="57"/>
      <c r="EKC4" s="57"/>
      <c r="EKD4" s="57"/>
      <c r="EKE4" s="56"/>
      <c r="EKF4" s="57"/>
      <c r="EKG4" s="57"/>
      <c r="EKH4" s="56"/>
      <c r="EKI4" s="57"/>
      <c r="EKJ4" s="58"/>
      <c r="EKK4" s="56"/>
      <c r="EKL4" s="57"/>
      <c r="EKM4" s="57"/>
      <c r="EKN4" s="57"/>
      <c r="EKO4" s="56"/>
      <c r="EKP4" s="57"/>
      <c r="EKQ4" s="57"/>
      <c r="EKR4" s="56"/>
      <c r="EKS4" s="57"/>
      <c r="EKT4" s="58"/>
      <c r="EKU4" s="56"/>
      <c r="EKV4" s="57"/>
      <c r="EKW4" s="57"/>
      <c r="EKX4" s="57"/>
      <c r="EKY4" s="56"/>
      <c r="EKZ4" s="57"/>
      <c r="ELA4" s="57"/>
      <c r="ELB4" s="56"/>
      <c r="ELC4" s="57"/>
      <c r="ELD4" s="58"/>
      <c r="ELE4" s="56"/>
      <c r="ELF4" s="58"/>
      <c r="ELG4" s="57"/>
      <c r="ELH4" s="56"/>
      <c r="ELI4" s="57"/>
      <c r="ELJ4" s="56"/>
      <c r="ELK4" s="56"/>
      <c r="ELL4" s="56"/>
      <c r="ELM4" s="57"/>
      <c r="ELN4" s="387"/>
      <c r="ELO4" s="57"/>
      <c r="ELP4" s="387"/>
      <c r="ELQ4" s="57"/>
      <c r="ELR4" s="387"/>
      <c r="ELS4" s="57"/>
      <c r="ELT4" s="57"/>
      <c r="ELU4" s="57"/>
      <c r="ELV4" s="57"/>
      <c r="ELW4" s="57"/>
      <c r="ELX4" s="57"/>
      <c r="ELY4" s="57"/>
      <c r="ELZ4" s="57"/>
      <c r="EMA4" s="57"/>
      <c r="EMB4" s="57"/>
      <c r="EMC4" s="57"/>
      <c r="EMD4" s="57"/>
      <c r="EME4" s="57"/>
      <c r="EMF4" s="57"/>
      <c r="EMG4" s="57"/>
      <c r="EMH4" s="57"/>
      <c r="EMI4" s="57"/>
      <c r="EMJ4" s="57"/>
      <c r="EMK4" s="57"/>
      <c r="EML4" s="57"/>
      <c r="EMM4" s="57"/>
      <c r="EMN4" s="57"/>
      <c r="EMO4" s="57"/>
      <c r="EMP4" s="57"/>
      <c r="EMQ4" s="57"/>
      <c r="EMR4" s="57"/>
      <c r="EMS4" s="57"/>
      <c r="EMT4" s="57"/>
      <c r="EMU4" s="57"/>
      <c r="EMV4" s="57"/>
      <c r="EMW4" s="57"/>
      <c r="EMX4" s="58"/>
      <c r="EMY4" s="56"/>
      <c r="EMZ4" s="57"/>
      <c r="ENA4" s="57"/>
      <c r="ENB4" s="57"/>
      <c r="ENC4" s="57"/>
      <c r="END4" s="57"/>
      <c r="ENE4" s="56"/>
      <c r="ENF4" s="57"/>
      <c r="ENG4" s="57"/>
      <c r="ENH4" s="56"/>
      <c r="ENI4" s="57"/>
      <c r="ENJ4" s="58"/>
      <c r="ENK4" s="56"/>
      <c r="ENL4" s="57"/>
      <c r="ENM4" s="57"/>
      <c r="ENN4" s="57"/>
      <c r="ENO4" s="56"/>
      <c r="ENP4" s="57"/>
      <c r="ENQ4" s="57"/>
      <c r="ENR4" s="56"/>
      <c r="ENS4" s="57"/>
      <c r="ENT4" s="58"/>
      <c r="ENU4" s="56"/>
      <c r="ENV4" s="57"/>
      <c r="ENW4" s="57"/>
      <c r="ENX4" s="57"/>
      <c r="ENY4" s="56"/>
      <c r="ENZ4" s="57"/>
      <c r="EOA4" s="57"/>
      <c r="EOB4" s="56"/>
      <c r="EOC4" s="57"/>
      <c r="EOD4" s="58"/>
      <c r="EOE4" s="56"/>
      <c r="EOF4" s="57"/>
      <c r="EOG4" s="57"/>
      <c r="EOH4" s="57"/>
      <c r="EOI4" s="56"/>
      <c r="EOJ4" s="57"/>
      <c r="EOK4" s="57"/>
      <c r="EOL4" s="56"/>
      <c r="EOM4" s="57"/>
      <c r="EON4" s="58"/>
      <c r="EOO4" s="56" t="str">
        <f t="shared" si="75"/>
        <v xml:space="preserve"> </v>
      </c>
    </row>
    <row r="5" spans="1:3873" x14ac:dyDescent="0.3">
      <c r="A5" s="393" t="s">
        <v>101</v>
      </c>
      <c r="B5" s="30" t="s">
        <v>1570</v>
      </c>
      <c r="C5" s="29"/>
      <c r="D5" s="28" t="str">
        <f t="shared" si="61"/>
        <v xml:space="preserve"> </v>
      </c>
      <c r="E5" s="29"/>
      <c r="F5" s="28"/>
      <c r="G5" s="28"/>
      <c r="H5" s="28">
        <v>45742</v>
      </c>
      <c r="I5" s="29"/>
      <c r="J5" s="388"/>
      <c r="K5" s="29"/>
      <c r="L5" s="388"/>
      <c r="M5" s="29"/>
      <c r="N5" s="388"/>
      <c r="O5" s="29"/>
      <c r="P5" s="29"/>
      <c r="Q5" s="29"/>
      <c r="R5" s="29" t="s">
        <v>1372</v>
      </c>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30"/>
      <c r="AU5" s="29"/>
      <c r="AV5" s="28" t="str">
        <f t="shared" si="62"/>
        <v xml:space="preserve"> </v>
      </c>
      <c r="AW5" s="29"/>
      <c r="AX5" s="28"/>
      <c r="AY5" s="28"/>
      <c r="AZ5" s="28">
        <v>45742</v>
      </c>
      <c r="BA5" s="29"/>
      <c r="BB5" s="388"/>
      <c r="BC5" s="29"/>
      <c r="BD5" s="388"/>
      <c r="BE5" s="29"/>
      <c r="BF5" s="388"/>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30"/>
      <c r="CM5" s="29"/>
      <c r="CN5" s="28" t="str">
        <f t="shared" si="63"/>
        <v xml:space="preserve"> </v>
      </c>
      <c r="CO5" s="29"/>
      <c r="CP5" s="28"/>
      <c r="CQ5" s="28"/>
      <c r="CR5" s="28">
        <v>45742</v>
      </c>
      <c r="CS5" s="29"/>
      <c r="CT5" s="388"/>
      <c r="CU5" s="29"/>
      <c r="CV5" s="388"/>
      <c r="CW5" s="29"/>
      <c r="CX5" s="388"/>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30"/>
      <c r="EE5" s="29"/>
      <c r="EF5" s="28" t="str">
        <f t="shared" si="64"/>
        <v xml:space="preserve"> </v>
      </c>
      <c r="EG5" s="29"/>
      <c r="EH5" s="28"/>
      <c r="EI5" s="28"/>
      <c r="EJ5" s="28">
        <v>45742</v>
      </c>
      <c r="EK5" s="29"/>
      <c r="EL5" s="388"/>
      <c r="EM5" s="29"/>
      <c r="EN5" s="388"/>
      <c r="EO5" s="29"/>
      <c r="EP5" s="388"/>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30"/>
      <c r="FW5" s="29"/>
      <c r="FX5" s="28" t="str">
        <f t="shared" si="65"/>
        <v xml:space="preserve"> </v>
      </c>
      <c r="FY5" s="29"/>
      <c r="FZ5" s="28"/>
      <c r="GA5" s="28"/>
      <c r="GB5" s="28">
        <v>45742</v>
      </c>
      <c r="GC5" s="29"/>
      <c r="GD5" s="388"/>
      <c r="GE5" s="29"/>
      <c r="GF5" s="388"/>
      <c r="GG5" s="29"/>
      <c r="GH5" s="388"/>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30"/>
      <c r="HO5" s="29"/>
      <c r="HP5" s="28" t="str">
        <f t="shared" si="66"/>
        <v xml:space="preserve"> </v>
      </c>
      <c r="HQ5" s="29"/>
      <c r="HR5" s="28"/>
      <c r="HS5" s="28"/>
      <c r="HT5" s="28">
        <v>45742</v>
      </c>
      <c r="HU5" s="29"/>
      <c r="HV5" s="388"/>
      <c r="HW5" s="29"/>
      <c r="HX5" s="388"/>
      <c r="HY5" s="29"/>
      <c r="HZ5" s="388"/>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8"/>
      <c r="JG5" s="29"/>
      <c r="JH5" s="30"/>
      <c r="JI5" s="28"/>
      <c r="JJ5" s="29"/>
      <c r="JK5" s="29"/>
      <c r="JL5" s="29"/>
      <c r="JM5" s="28"/>
      <c r="JN5" s="29"/>
      <c r="JO5" s="29"/>
      <c r="JP5" s="28"/>
      <c r="JQ5" s="29"/>
      <c r="JR5" s="30"/>
      <c r="JS5" s="28"/>
      <c r="JT5" s="29"/>
      <c r="JU5" s="29"/>
      <c r="JV5" s="29"/>
      <c r="JW5" s="28"/>
      <c r="JX5" s="29"/>
      <c r="JY5" s="29"/>
      <c r="JZ5" s="28"/>
      <c r="KA5" s="29"/>
      <c r="KB5" s="30"/>
      <c r="KC5" s="28"/>
      <c r="KD5" s="29"/>
      <c r="KE5" s="29"/>
      <c r="KF5" s="29"/>
      <c r="KG5" s="28"/>
      <c r="KH5" s="29"/>
      <c r="KI5" s="29"/>
      <c r="KJ5" s="28"/>
      <c r="KK5" s="29"/>
      <c r="KL5" s="30"/>
      <c r="KM5" s="28"/>
      <c r="KN5" s="29"/>
      <c r="KO5" s="29"/>
      <c r="KP5" s="29"/>
      <c r="KQ5" s="28"/>
      <c r="KR5" s="29"/>
      <c r="KS5" s="29"/>
      <c r="KT5" s="28"/>
      <c r="KU5" s="29"/>
      <c r="KV5" s="30"/>
      <c r="KW5" s="28"/>
      <c r="KX5" s="29"/>
      <c r="KY5" s="29"/>
      <c r="KZ5" s="29"/>
      <c r="LA5" s="28"/>
      <c r="LB5" s="29"/>
      <c r="LC5" s="29"/>
      <c r="LD5" s="28"/>
      <c r="LE5" s="29"/>
      <c r="LF5" s="30"/>
      <c r="LG5" s="28"/>
      <c r="LH5" s="29"/>
      <c r="LI5" s="29"/>
      <c r="LJ5" s="29"/>
      <c r="LK5" s="28"/>
      <c r="LL5" s="29"/>
      <c r="LM5" s="29"/>
      <c r="LN5" s="28"/>
      <c r="LO5" s="29"/>
      <c r="LP5" s="30"/>
      <c r="LQ5" s="28"/>
      <c r="LR5" s="29"/>
      <c r="LS5" s="29"/>
      <c r="LT5" s="29"/>
      <c r="LU5" s="28"/>
      <c r="LV5" s="29"/>
      <c r="LW5" s="29"/>
      <c r="LX5" s="28"/>
      <c r="LY5" s="29"/>
      <c r="LZ5" s="30"/>
      <c r="MA5" s="28"/>
      <c r="MB5" s="29"/>
      <c r="MC5" s="29"/>
      <c r="MD5" s="29"/>
      <c r="ME5" s="28"/>
      <c r="MF5" s="29"/>
      <c r="MG5" s="29"/>
      <c r="MH5" s="28"/>
      <c r="MI5" s="29"/>
      <c r="MJ5" s="30"/>
      <c r="MK5" s="28"/>
      <c r="ML5" s="29"/>
      <c r="MM5" s="29"/>
      <c r="MN5" s="29"/>
      <c r="MO5" s="28"/>
      <c r="MP5" s="29"/>
      <c r="MQ5" s="29"/>
      <c r="MR5" s="28"/>
      <c r="MS5" s="29"/>
      <c r="MT5" s="30"/>
      <c r="MU5" s="28"/>
      <c r="MV5" s="29"/>
      <c r="MW5" s="29"/>
      <c r="MX5" s="29"/>
      <c r="MY5" s="28"/>
      <c r="MZ5" s="29"/>
      <c r="NA5" s="29"/>
      <c r="NB5" s="28"/>
      <c r="NC5" s="29"/>
      <c r="ND5" s="30"/>
      <c r="NE5" s="28"/>
      <c r="NF5" s="29"/>
      <c r="NG5" s="29"/>
      <c r="NH5" s="29"/>
      <c r="NI5" s="28"/>
      <c r="NJ5" s="29"/>
      <c r="NK5" s="29"/>
      <c r="NL5" s="28"/>
      <c r="NM5" s="29"/>
      <c r="NN5" s="30"/>
      <c r="NO5" s="28"/>
      <c r="NP5" s="29"/>
      <c r="NQ5" s="29"/>
      <c r="NR5" s="29"/>
      <c r="NS5" s="28"/>
      <c r="NT5" s="29"/>
      <c r="NU5" s="29"/>
      <c r="NV5" s="28"/>
      <c r="NW5" s="29"/>
      <c r="NX5" s="30"/>
      <c r="NY5" s="28"/>
      <c r="NZ5" s="29"/>
      <c r="OA5" s="29"/>
      <c r="OB5" s="29"/>
      <c r="OC5" s="28"/>
      <c r="OD5" s="29"/>
      <c r="OE5" s="29"/>
      <c r="OF5" s="30"/>
      <c r="OG5" s="30"/>
      <c r="OH5" s="30"/>
      <c r="OI5" s="28"/>
      <c r="OJ5" s="30"/>
      <c r="OK5" s="30"/>
      <c r="OL5" s="30"/>
      <c r="OM5" s="30"/>
      <c r="ON5" s="30"/>
      <c r="OO5" s="30"/>
      <c r="OP5" s="28"/>
      <c r="OQ5" s="29"/>
      <c r="OR5" s="30"/>
      <c r="OS5" s="28"/>
      <c r="OT5" s="29"/>
      <c r="OU5" s="29"/>
      <c r="OV5" s="29"/>
      <c r="OW5" s="28"/>
      <c r="OX5" s="29"/>
      <c r="OY5" s="29"/>
      <c r="OZ5" s="28"/>
      <c r="PA5" s="29"/>
      <c r="PB5" s="30"/>
      <c r="PC5" s="28"/>
      <c r="PD5" s="29"/>
      <c r="PE5" s="29"/>
      <c r="PF5" s="29"/>
      <c r="PG5" s="28"/>
      <c r="PH5" s="29"/>
      <c r="PI5" s="29"/>
      <c r="PJ5" s="28"/>
      <c r="PK5" s="29"/>
      <c r="PL5" s="30"/>
      <c r="PM5" s="28"/>
      <c r="PN5" s="29"/>
      <c r="PO5" s="29"/>
      <c r="PP5" s="29"/>
      <c r="PQ5" s="28"/>
      <c r="PR5" s="29"/>
      <c r="PS5" s="29"/>
      <c r="PT5" s="28"/>
      <c r="PU5" s="29"/>
      <c r="PV5" s="30"/>
      <c r="PW5" s="28"/>
      <c r="PX5" s="29"/>
      <c r="PY5" s="29"/>
      <c r="PZ5" s="29"/>
      <c r="QA5" s="28"/>
      <c r="QB5" s="29"/>
      <c r="QC5" s="29"/>
      <c r="QD5" s="28"/>
      <c r="QE5" s="29"/>
      <c r="QF5" s="30"/>
      <c r="QG5" s="28"/>
      <c r="QH5" s="29"/>
      <c r="QI5" s="29"/>
      <c r="QJ5" s="29"/>
      <c r="QK5" s="28"/>
      <c r="QL5" s="29"/>
      <c r="QM5" s="29"/>
      <c r="QN5" s="28"/>
      <c r="QO5" s="29"/>
      <c r="QP5" s="30"/>
      <c r="QQ5" s="28"/>
      <c r="QR5" s="29"/>
      <c r="QS5" s="29"/>
      <c r="QT5" s="29"/>
      <c r="QU5" s="28"/>
      <c r="QV5" s="29"/>
      <c r="QW5" s="29"/>
      <c r="QX5" s="28"/>
      <c r="QY5" s="29"/>
      <c r="QZ5" s="30"/>
      <c r="RA5" s="28"/>
      <c r="RB5" s="29"/>
      <c r="RC5" s="29"/>
      <c r="RD5" s="29"/>
      <c r="RE5" s="28"/>
      <c r="RF5" s="29"/>
      <c r="RG5" s="29"/>
      <c r="RH5" s="28"/>
      <c r="RI5" s="29"/>
      <c r="RJ5" s="30"/>
      <c r="RK5" s="28"/>
      <c r="RL5" s="29"/>
      <c r="RM5" s="29"/>
      <c r="RN5" s="29"/>
      <c r="RO5" s="28"/>
      <c r="RP5" s="29"/>
      <c r="RQ5" s="29"/>
      <c r="RR5" s="28"/>
      <c r="RS5" s="29"/>
      <c r="RT5" s="30"/>
      <c r="RU5" s="28"/>
      <c r="RV5" s="29"/>
      <c r="RW5" s="29"/>
      <c r="RX5" s="29"/>
      <c r="RY5" s="28"/>
      <c r="RZ5" s="29"/>
      <c r="SA5" s="29"/>
      <c r="SB5" s="28"/>
      <c r="SC5" s="29"/>
      <c r="SD5" s="30"/>
      <c r="SE5" s="28"/>
      <c r="SF5" s="29"/>
      <c r="SG5" s="29"/>
      <c r="SH5" s="29"/>
      <c r="SI5" s="28"/>
      <c r="SJ5" s="29"/>
      <c r="SK5" s="29"/>
      <c r="SL5" s="28"/>
      <c r="SM5" s="29"/>
      <c r="SN5" s="30"/>
      <c r="SO5" s="28"/>
      <c r="SP5" s="29"/>
      <c r="SQ5" s="29"/>
      <c r="SR5" s="29"/>
      <c r="SS5" s="28"/>
      <c r="ST5" s="29"/>
      <c r="SU5" s="29"/>
      <c r="SV5" s="28"/>
      <c r="SW5" s="29"/>
      <c r="SX5" s="30"/>
      <c r="SY5" s="28"/>
      <c r="SZ5" s="29"/>
      <c r="TA5" s="29"/>
      <c r="TB5" s="29"/>
      <c r="TC5" s="28"/>
      <c r="TD5" s="29"/>
      <c r="TE5" s="29"/>
      <c r="TF5" s="28"/>
      <c r="TG5" s="29"/>
      <c r="TH5" s="30"/>
      <c r="TI5" s="28"/>
      <c r="TJ5" s="29"/>
      <c r="TK5" s="29"/>
      <c r="TL5" s="29"/>
      <c r="TM5" s="28"/>
      <c r="TN5" s="29"/>
      <c r="TO5" s="29"/>
      <c r="TP5" s="28"/>
      <c r="TQ5" s="29"/>
      <c r="TR5" s="30"/>
      <c r="TS5" s="28"/>
      <c r="TT5" s="29"/>
      <c r="TU5" s="29"/>
      <c r="TV5" s="29"/>
      <c r="TW5" s="28"/>
      <c r="TX5" s="29"/>
      <c r="TY5" s="29"/>
      <c r="TZ5" s="28"/>
      <c r="UA5" s="29"/>
      <c r="UB5" s="30"/>
      <c r="UC5" s="28"/>
      <c r="UD5" s="29"/>
      <c r="UE5" s="29"/>
      <c r="UF5" s="29"/>
      <c r="UG5" s="28"/>
      <c r="UH5" s="29"/>
      <c r="UI5" s="29"/>
      <c r="UJ5" s="28"/>
      <c r="UK5" s="29"/>
      <c r="UL5" s="30"/>
      <c r="UM5" s="28"/>
      <c r="UN5" s="29"/>
      <c r="UO5" s="29"/>
      <c r="UP5" s="29"/>
      <c r="UQ5" s="28"/>
      <c r="UR5" s="29"/>
      <c r="US5" s="29"/>
      <c r="UT5" s="28"/>
      <c r="UU5" s="29"/>
      <c r="UV5" s="30"/>
      <c r="UW5" s="28"/>
      <c r="UX5" s="29"/>
      <c r="UY5" s="29"/>
      <c r="UZ5" s="29"/>
      <c r="VA5" s="28"/>
      <c r="VB5" s="29"/>
      <c r="VC5" s="29"/>
      <c r="VD5" s="28"/>
      <c r="VE5" s="29"/>
      <c r="VF5" s="30"/>
      <c r="VG5" s="28"/>
      <c r="VH5" s="29"/>
      <c r="VI5" s="29"/>
      <c r="VJ5" s="29"/>
      <c r="VK5" s="28"/>
      <c r="VL5" s="29"/>
      <c r="VM5" s="29"/>
      <c r="VN5" s="28"/>
      <c r="VO5" s="29"/>
      <c r="VP5" s="30"/>
      <c r="VQ5" s="28"/>
      <c r="VR5" s="29"/>
      <c r="VS5" s="29"/>
      <c r="VT5" s="29"/>
      <c r="VU5" s="28"/>
      <c r="VV5" s="29"/>
      <c r="VW5" s="29"/>
      <c r="VX5" s="28"/>
      <c r="VY5" s="29"/>
      <c r="VZ5" s="30"/>
      <c r="WA5" s="28"/>
      <c r="WB5" s="29"/>
      <c r="WC5" s="29"/>
      <c r="WD5" s="29"/>
      <c r="WE5" s="28"/>
      <c r="WF5" s="29"/>
      <c r="WG5" s="29"/>
      <c r="WH5" s="28"/>
      <c r="WI5" s="29"/>
      <c r="WJ5" s="30"/>
      <c r="WK5" s="28"/>
      <c r="WL5" s="29"/>
      <c r="WM5" s="29"/>
      <c r="WN5" s="29"/>
      <c r="WO5" s="28"/>
      <c r="WP5" s="29"/>
      <c r="WQ5" s="29"/>
      <c r="WR5" s="28"/>
      <c r="WS5" s="29"/>
      <c r="WT5" s="30"/>
      <c r="WU5" s="28"/>
      <c r="WV5" s="29"/>
      <c r="WW5" s="29"/>
      <c r="WX5" s="29"/>
      <c r="WY5" s="28"/>
      <c r="WZ5" s="29"/>
      <c r="XA5" s="29"/>
      <c r="XB5" s="28"/>
      <c r="XC5" s="29"/>
      <c r="XD5" s="30"/>
      <c r="XE5" s="28"/>
      <c r="XF5" s="29"/>
      <c r="XG5" s="29"/>
      <c r="XH5" s="29"/>
      <c r="XI5" s="28"/>
      <c r="XJ5" s="29"/>
      <c r="XK5" s="29"/>
      <c r="XL5" s="28"/>
      <c r="XM5" s="29"/>
      <c r="XN5" s="30"/>
      <c r="XO5" s="28"/>
      <c r="XP5" s="29"/>
      <c r="XQ5" s="29"/>
      <c r="XR5" s="29"/>
      <c r="XS5" s="28"/>
      <c r="XT5" s="29"/>
      <c r="XU5" s="29"/>
      <c r="XV5" s="28"/>
      <c r="XW5" s="29"/>
      <c r="XX5" s="30"/>
      <c r="XY5" s="28"/>
      <c r="XZ5" s="29"/>
      <c r="YA5" s="29"/>
      <c r="YB5" s="29"/>
      <c r="YC5" s="28"/>
      <c r="YD5" s="29"/>
      <c r="YE5" s="29"/>
      <c r="YF5" s="28"/>
      <c r="YG5" s="29"/>
      <c r="YH5" s="30"/>
      <c r="YI5" s="28"/>
      <c r="YJ5" s="29"/>
      <c r="YK5" s="29"/>
      <c r="YL5" s="29"/>
      <c r="YM5" s="28"/>
      <c r="YN5" s="29"/>
      <c r="YO5" s="29"/>
      <c r="YP5" s="28"/>
      <c r="YQ5" s="29"/>
      <c r="YR5" s="30"/>
      <c r="YS5" s="28"/>
      <c r="YT5" s="29"/>
      <c r="YU5" s="29"/>
      <c r="YV5" s="29"/>
      <c r="YW5" s="28"/>
      <c r="YX5" s="29"/>
      <c r="YY5" s="29"/>
      <c r="YZ5" s="28"/>
      <c r="ZA5" s="29"/>
      <c r="ZB5" s="30"/>
      <c r="ZC5" s="28"/>
      <c r="ZD5" s="29"/>
      <c r="ZE5" s="29"/>
      <c r="ZF5" s="29"/>
      <c r="ZG5" s="28"/>
      <c r="ZH5" s="29"/>
      <c r="ZI5" s="29"/>
      <c r="ZJ5" s="28"/>
      <c r="ZK5" s="29"/>
      <c r="ZL5" s="30"/>
      <c r="ZM5" s="28"/>
      <c r="ZN5" s="29"/>
      <c r="ZO5" s="29"/>
      <c r="ZP5" s="29"/>
      <c r="ZQ5" s="28"/>
      <c r="ZR5" s="29"/>
      <c r="ZS5" s="29"/>
      <c r="ZT5" s="28"/>
      <c r="ZU5" s="29"/>
      <c r="ZV5" s="30"/>
      <c r="ZW5" s="28"/>
      <c r="ZX5" s="29"/>
      <c r="ZY5" s="29"/>
      <c r="ZZ5" s="29"/>
      <c r="AAA5" s="28"/>
      <c r="AAB5" s="29"/>
      <c r="AAC5" s="29"/>
      <c r="AAD5" s="28"/>
      <c r="AAE5" s="29"/>
      <c r="AAF5" s="30"/>
      <c r="AAG5" s="28"/>
      <c r="AAH5" s="29"/>
      <c r="AAI5" s="29"/>
      <c r="AAJ5" s="29"/>
      <c r="AAK5" s="28"/>
      <c r="AAL5" s="29"/>
      <c r="AAM5" s="29"/>
      <c r="AAN5" s="28"/>
      <c r="AAO5" s="29"/>
      <c r="AAP5" s="30"/>
      <c r="AAQ5" s="28"/>
      <c r="AAR5" s="29"/>
      <c r="AAS5" s="29"/>
      <c r="AAT5" s="29"/>
      <c r="AAU5" s="28"/>
      <c r="AAV5" s="29"/>
      <c r="AAW5" s="29"/>
      <c r="AAX5" s="30"/>
      <c r="AAY5" s="30"/>
      <c r="AAZ5" s="30"/>
      <c r="ABA5" s="28"/>
      <c r="ABB5" s="30"/>
      <c r="ABC5" s="30"/>
      <c r="ABD5" s="30"/>
      <c r="ABE5" s="30"/>
      <c r="ABF5" s="30"/>
      <c r="ABG5" s="29"/>
      <c r="ABH5" s="28"/>
      <c r="ABI5" s="29"/>
      <c r="ABJ5" s="30"/>
      <c r="ABK5" s="28"/>
      <c r="ABL5" s="29"/>
      <c r="ABM5" s="29"/>
      <c r="ABN5" s="29"/>
      <c r="ABO5" s="28"/>
      <c r="ABP5" s="29"/>
      <c r="ABQ5" s="29"/>
      <c r="ABR5" s="28"/>
      <c r="ABS5" s="29"/>
      <c r="ABT5" s="30"/>
      <c r="ABU5" s="28"/>
      <c r="ABV5" s="29"/>
      <c r="ABW5" s="29"/>
      <c r="ABX5" s="29"/>
      <c r="ABY5" s="28"/>
      <c r="ABZ5" s="29"/>
      <c r="ACA5" s="29"/>
      <c r="ACB5" s="28"/>
      <c r="ACC5" s="29"/>
      <c r="ACD5" s="30"/>
      <c r="ACE5" s="28"/>
      <c r="ACF5" s="29"/>
      <c r="ACG5" s="29"/>
      <c r="ACH5" s="29"/>
      <c r="ACI5" s="28"/>
      <c r="ACJ5" s="29"/>
      <c r="ACK5" s="29"/>
      <c r="ACL5" s="28"/>
      <c r="ACM5" s="29"/>
      <c r="ACN5" s="30"/>
      <c r="ACO5" s="28"/>
      <c r="ACP5" s="29"/>
      <c r="ACQ5" s="29"/>
      <c r="ACR5" s="29"/>
      <c r="ACS5" s="28"/>
      <c r="ACT5" s="29"/>
      <c r="ACU5" s="29"/>
      <c r="ACV5" s="28"/>
      <c r="ACW5" s="29"/>
      <c r="ACX5" s="30"/>
      <c r="ACY5" s="28"/>
      <c r="ACZ5" s="29"/>
      <c r="ADA5" s="29"/>
      <c r="ADB5" s="29"/>
      <c r="ADC5" s="28"/>
      <c r="ADD5" s="29"/>
      <c r="ADE5" s="29"/>
      <c r="ADF5" s="28"/>
      <c r="ADG5" s="29"/>
      <c r="ADH5" s="30"/>
      <c r="ADI5" s="28"/>
      <c r="ADJ5" s="29"/>
      <c r="ADK5" s="29"/>
      <c r="ADL5" s="29"/>
      <c r="ADM5" s="28"/>
      <c r="ADN5" s="29"/>
      <c r="ADO5" s="29"/>
      <c r="ADP5" s="28"/>
      <c r="ADQ5" s="29"/>
      <c r="ADR5" s="30"/>
      <c r="ADS5" s="28"/>
      <c r="ADT5" s="29"/>
      <c r="ADU5" s="29"/>
      <c r="ADV5" s="29"/>
      <c r="ADW5" s="28"/>
      <c r="ADX5" s="29"/>
      <c r="ADY5" s="29"/>
      <c r="ADZ5" s="28"/>
      <c r="AEA5" s="29"/>
      <c r="AEB5" s="30"/>
      <c r="AEC5" s="28"/>
      <c r="AED5" s="29"/>
      <c r="AEE5" s="29"/>
      <c r="AEF5" s="29"/>
      <c r="AEG5" s="28"/>
      <c r="AEH5" s="29"/>
      <c r="AEI5" s="29"/>
      <c r="AEJ5" s="28"/>
      <c r="AEK5" s="29"/>
      <c r="AEL5" s="30"/>
      <c r="AEM5" s="28"/>
      <c r="AEN5" s="29"/>
      <c r="AEO5" s="29"/>
      <c r="AEP5" s="29"/>
      <c r="AEQ5" s="28"/>
      <c r="AER5" s="29"/>
      <c r="AES5" s="29"/>
      <c r="AET5" s="28"/>
      <c r="AEU5" s="29"/>
      <c r="AEV5" s="30"/>
      <c r="AEW5" s="28"/>
      <c r="AEX5" s="29"/>
      <c r="AEY5" s="29"/>
      <c r="AEZ5" s="29"/>
      <c r="AFA5" s="28"/>
      <c r="AFB5" s="29"/>
      <c r="AFC5" s="29"/>
      <c r="AFD5" s="28"/>
      <c r="AFE5" s="29"/>
      <c r="AFF5" s="30"/>
      <c r="AFG5" s="28"/>
      <c r="AFH5" s="29"/>
      <c r="AFI5" s="29"/>
      <c r="AFJ5" s="29"/>
      <c r="AFK5" s="28"/>
      <c r="AFL5" s="29"/>
      <c r="AFM5" s="29"/>
      <c r="AFN5" s="28"/>
      <c r="AFO5" s="29"/>
      <c r="AFP5" s="30"/>
      <c r="AFQ5" s="28"/>
      <c r="AFR5" s="29"/>
      <c r="AFS5" s="29"/>
      <c r="AFT5" s="29"/>
      <c r="AFU5" s="28"/>
      <c r="AFV5" s="29"/>
      <c r="AFW5" s="29"/>
      <c r="AFX5" s="28"/>
      <c r="AFY5" s="29"/>
      <c r="AFZ5" s="30"/>
      <c r="AGA5" s="28"/>
      <c r="AGB5" s="29"/>
      <c r="AGC5" s="29"/>
      <c r="AGD5" s="29"/>
      <c r="AGE5" s="28"/>
      <c r="AGF5" s="29"/>
      <c r="AGG5" s="29"/>
      <c r="AGH5" s="28"/>
      <c r="AGI5" s="29"/>
      <c r="AGJ5" s="30"/>
      <c r="AGK5" s="28"/>
      <c r="AGL5" s="29"/>
      <c r="AGM5" s="29"/>
      <c r="AGN5" s="29"/>
      <c r="AGO5" s="28"/>
      <c r="AGP5" s="29"/>
      <c r="AGQ5" s="29"/>
      <c r="AGR5" s="28"/>
      <c r="AGS5" s="29"/>
      <c r="AGT5" s="30"/>
      <c r="AGU5" s="28"/>
      <c r="AGV5" s="29"/>
      <c r="AGW5" s="29"/>
      <c r="AGX5" s="29"/>
      <c r="AGY5" s="28"/>
      <c r="AGZ5" s="29"/>
      <c r="AHA5" s="29"/>
      <c r="AHB5" s="28"/>
      <c r="AHC5" s="29"/>
      <c r="AHD5" s="30"/>
      <c r="AHE5" s="28"/>
      <c r="AHF5" s="29"/>
      <c r="AHG5" s="29"/>
      <c r="AHH5" s="29"/>
      <c r="AHI5" s="28"/>
      <c r="AHJ5" s="29"/>
      <c r="AHK5" s="29"/>
      <c r="AHL5" s="28"/>
      <c r="AHM5" s="29"/>
      <c r="AHN5" s="30"/>
      <c r="AHO5" s="28"/>
      <c r="AHP5" s="29"/>
      <c r="AHQ5" s="29"/>
      <c r="AHR5" s="29"/>
      <c r="AHS5" s="28"/>
      <c r="AHT5" s="29"/>
      <c r="AHU5" s="29"/>
      <c r="AHV5" s="28"/>
      <c r="AHW5" s="29"/>
      <c r="AHX5" s="30"/>
      <c r="AHY5" s="28"/>
      <c r="AHZ5" s="29"/>
      <c r="AIA5" s="29"/>
      <c r="AIB5" s="29"/>
      <c r="AIC5" s="28"/>
      <c r="AID5" s="29"/>
      <c r="AIE5" s="29"/>
      <c r="AIF5" s="28"/>
      <c r="AIG5" s="29"/>
      <c r="AIH5" s="30"/>
      <c r="AII5" s="28"/>
      <c r="AIJ5" s="29"/>
      <c r="AIK5" s="29"/>
      <c r="AIL5" s="29"/>
      <c r="AIM5" s="28"/>
      <c r="AIN5" s="29"/>
      <c r="AIO5" s="29"/>
      <c r="AIP5" s="28"/>
      <c r="AIQ5" s="29"/>
      <c r="AIR5" s="30"/>
      <c r="AIS5" s="28"/>
      <c r="AIT5" s="29"/>
      <c r="AIU5" s="29"/>
      <c r="AIV5" s="29"/>
      <c r="AIW5" s="28"/>
      <c r="AIX5" s="29"/>
      <c r="AIY5" s="29"/>
      <c r="AIZ5" s="28"/>
      <c r="AJA5" s="29"/>
      <c r="AJB5" s="30"/>
      <c r="AJC5" s="28"/>
      <c r="AJD5" s="29"/>
      <c r="AJE5" s="29"/>
      <c r="AJF5" s="29"/>
      <c r="AJG5" s="28"/>
      <c r="AJH5" s="29"/>
      <c r="AJI5" s="29"/>
      <c r="AJJ5" s="28"/>
      <c r="AJK5" s="29"/>
      <c r="AJL5" s="30"/>
      <c r="AJM5" s="28"/>
      <c r="AJN5" s="29"/>
      <c r="AJO5" s="29"/>
      <c r="AJP5" s="29"/>
      <c r="AJQ5" s="28"/>
      <c r="AJR5" s="29"/>
      <c r="AJS5" s="29"/>
      <c r="AJT5" s="28"/>
      <c r="AJU5" s="29"/>
      <c r="AJV5" s="30"/>
      <c r="AJW5" s="28"/>
      <c r="AJX5" s="29"/>
      <c r="AJY5" s="29"/>
      <c r="AJZ5" s="29"/>
      <c r="AKA5" s="28"/>
      <c r="AKB5" s="29"/>
      <c r="AKC5" s="29"/>
      <c r="AKD5" s="28"/>
      <c r="AKE5" s="29"/>
      <c r="AKF5" s="30"/>
      <c r="AKG5" s="28"/>
      <c r="AKH5" s="29"/>
      <c r="AKI5" s="29"/>
      <c r="AKJ5" s="29"/>
      <c r="AKK5" s="28"/>
      <c r="AKL5" s="29"/>
      <c r="AKM5" s="29"/>
      <c r="AKN5" s="28"/>
      <c r="AKO5" s="29"/>
      <c r="AKP5" s="30"/>
      <c r="AKQ5" s="28"/>
      <c r="AKR5" s="29"/>
      <c r="AKS5" s="29"/>
      <c r="AKT5" s="29"/>
      <c r="AKU5" s="28"/>
      <c r="AKV5" s="29"/>
      <c r="AKW5" s="29"/>
      <c r="AKX5" s="28"/>
      <c r="AKY5" s="29"/>
      <c r="AKZ5" s="30"/>
      <c r="ALA5" s="28"/>
      <c r="ALB5" s="29"/>
      <c r="ALC5" s="29"/>
      <c r="ALD5" s="29"/>
      <c r="ALE5" s="28"/>
      <c r="ALF5" s="29"/>
      <c r="ALG5" s="29"/>
      <c r="ALH5" s="29"/>
      <c r="ALI5" s="29"/>
      <c r="ALJ5" s="29"/>
      <c r="ALK5" s="28"/>
      <c r="ALL5" s="29"/>
      <c r="ALM5" s="29"/>
      <c r="ALN5" s="28"/>
      <c r="ALO5" s="29"/>
      <c r="ALP5" s="30"/>
      <c r="ALQ5" s="28"/>
      <c r="ALR5" s="29"/>
      <c r="ALS5" s="29"/>
      <c r="ALT5" s="29"/>
      <c r="ALU5" s="28"/>
      <c r="ALV5" s="29"/>
      <c r="ALW5" s="29"/>
      <c r="ALX5" s="28"/>
      <c r="ALY5" s="29"/>
      <c r="ALZ5" s="30"/>
      <c r="AMA5" s="28"/>
      <c r="AMB5" s="29"/>
      <c r="AMC5" s="29"/>
      <c r="AMD5" s="29"/>
      <c r="AME5" s="28"/>
      <c r="AMF5" s="29"/>
      <c r="AMG5" s="29"/>
      <c r="AMH5" s="29"/>
      <c r="AMI5" s="29"/>
      <c r="AMJ5" s="29"/>
      <c r="AMK5" s="28"/>
      <c r="AML5" s="29"/>
      <c r="AMM5" s="29"/>
      <c r="AMN5" s="28"/>
      <c r="AMO5" s="29"/>
      <c r="AMP5" s="30"/>
      <c r="AMQ5" s="28"/>
      <c r="AMR5" s="29"/>
      <c r="AMS5" s="29"/>
      <c r="AMT5" s="29"/>
      <c r="AMU5" s="28"/>
      <c r="AMV5" s="29"/>
      <c r="AMW5" s="29"/>
      <c r="AMX5" s="28"/>
      <c r="AMY5" s="29"/>
      <c r="AMZ5" s="30"/>
      <c r="ANA5" s="28"/>
      <c r="ANB5" s="29"/>
      <c r="ANC5" s="29"/>
      <c r="AND5" s="29"/>
      <c r="ANE5" s="28"/>
      <c r="ANF5" s="29"/>
      <c r="ANG5" s="29"/>
      <c r="ANH5" s="29"/>
      <c r="ANI5" s="29"/>
      <c r="ANJ5" s="29"/>
      <c r="ANK5" s="28"/>
      <c r="ANL5" s="29"/>
      <c r="ANM5" s="29"/>
      <c r="ANN5" s="28"/>
      <c r="ANO5" s="29"/>
      <c r="ANP5" s="30"/>
      <c r="ANQ5" s="28"/>
      <c r="ANR5" s="29"/>
      <c r="ANS5" s="29"/>
      <c r="ANT5" s="29"/>
      <c r="ANU5" s="28"/>
      <c r="ANV5" s="29"/>
      <c r="ANW5" s="29"/>
      <c r="ANX5" s="28"/>
      <c r="ANY5" s="29"/>
      <c r="ANZ5" s="30"/>
      <c r="AOA5" s="28"/>
      <c r="AOB5" s="29"/>
      <c r="AOC5" s="29"/>
      <c r="AOD5" s="29"/>
      <c r="AOE5" s="28"/>
      <c r="AOF5" s="29"/>
      <c r="AOG5" s="29"/>
      <c r="AOH5" s="29"/>
      <c r="AOI5" s="29"/>
      <c r="AOJ5" s="29"/>
      <c r="AOK5" s="28"/>
      <c r="AOL5" s="29"/>
      <c r="AOM5" s="29"/>
      <c r="AON5" s="28"/>
      <c r="AOO5" s="29"/>
      <c r="AOP5" s="30"/>
      <c r="AOQ5" s="28"/>
      <c r="AOR5" s="29"/>
      <c r="AOS5" s="29"/>
      <c r="AOT5" s="29"/>
      <c r="AOU5" s="28"/>
      <c r="AOV5" s="29"/>
      <c r="AOW5" s="29"/>
      <c r="AOX5" s="28"/>
      <c r="AOY5" s="29"/>
      <c r="AOZ5" s="30"/>
      <c r="APA5" s="28"/>
      <c r="APB5" s="29"/>
      <c r="APC5" s="29"/>
      <c r="APD5" s="29"/>
      <c r="APE5" s="28"/>
      <c r="APF5" s="29"/>
      <c r="APG5" s="29"/>
      <c r="APH5" s="29"/>
      <c r="API5" s="29"/>
      <c r="APJ5" s="29"/>
      <c r="APK5" s="28"/>
      <c r="APL5" s="29"/>
      <c r="APM5" s="29"/>
      <c r="APN5" s="28"/>
      <c r="APO5" s="29"/>
      <c r="APP5" s="30"/>
      <c r="APQ5" s="28"/>
      <c r="APR5" s="29"/>
      <c r="APS5" s="29"/>
      <c r="APT5" s="29"/>
      <c r="APU5" s="28"/>
      <c r="APV5" s="29"/>
      <c r="APW5" s="29"/>
      <c r="APX5" s="28"/>
      <c r="APY5" s="29"/>
      <c r="APZ5" s="30"/>
      <c r="AQA5" s="28"/>
      <c r="AQB5" s="29"/>
      <c r="AQC5" s="29"/>
      <c r="AQD5" s="29"/>
      <c r="AQE5" s="28"/>
      <c r="AQF5" s="29"/>
      <c r="AQG5" s="29"/>
      <c r="AQH5" s="29"/>
      <c r="AQI5" s="29"/>
      <c r="AQJ5" s="29"/>
      <c r="AQK5" s="28"/>
      <c r="AQL5" s="29"/>
      <c r="AQM5" s="29"/>
      <c r="AQN5" s="28"/>
      <c r="AQO5" s="29"/>
      <c r="AQP5" s="30"/>
      <c r="AQQ5" s="28"/>
      <c r="AQR5" s="29"/>
      <c r="AQS5" s="29"/>
      <c r="AQT5" s="29"/>
      <c r="AQU5" s="28"/>
      <c r="AQV5" s="29"/>
      <c r="AQW5" s="29"/>
      <c r="AQX5" s="28"/>
      <c r="AQY5" s="29"/>
      <c r="AQZ5" s="30"/>
      <c r="ARA5" s="28"/>
      <c r="ARB5" s="29"/>
      <c r="ARC5" s="29"/>
      <c r="ARD5" s="29"/>
      <c r="ARE5" s="28"/>
      <c r="ARF5" s="29"/>
      <c r="ARG5" s="29"/>
      <c r="ARH5" s="29"/>
      <c r="ARI5" s="29"/>
      <c r="ARJ5" s="29"/>
      <c r="ARK5" s="28"/>
      <c r="ARL5" s="29"/>
      <c r="ARM5" s="29"/>
      <c r="ARN5" s="28"/>
      <c r="ARO5" s="29"/>
      <c r="ARP5" s="30"/>
      <c r="ARQ5" s="28"/>
      <c r="ARR5" s="29"/>
      <c r="ARS5" s="29"/>
      <c r="ART5" s="29"/>
      <c r="ARU5" s="28"/>
      <c r="ARV5" s="29"/>
      <c r="ARW5" s="29"/>
      <c r="ARX5" s="28"/>
      <c r="ARY5" s="29"/>
      <c r="ARZ5" s="30"/>
      <c r="ASA5" s="28"/>
      <c r="ASB5" s="29"/>
      <c r="ASC5" s="29"/>
      <c r="ASD5" s="29"/>
      <c r="ASE5" s="28"/>
      <c r="ASF5" s="29"/>
      <c r="ASG5" s="29"/>
      <c r="ASH5" s="29"/>
      <c r="ASI5" s="29"/>
      <c r="ASJ5" s="29"/>
      <c r="ASK5" s="28"/>
      <c r="ASL5" s="29"/>
      <c r="ASM5" s="29"/>
      <c r="ASN5" s="28"/>
      <c r="ASO5" s="29"/>
      <c r="ASP5" s="30"/>
      <c r="ASQ5" s="28"/>
      <c r="ASR5" s="29"/>
      <c r="ASS5" s="29"/>
      <c r="AST5" s="29"/>
      <c r="ASU5" s="28"/>
      <c r="ASV5" s="29"/>
      <c r="ASW5" s="29"/>
      <c r="ASX5" s="28"/>
      <c r="ASY5" s="29"/>
      <c r="ASZ5" s="30"/>
      <c r="ATA5" s="28"/>
      <c r="ATB5" s="29"/>
      <c r="ATC5" s="29"/>
      <c r="ATD5" s="29"/>
      <c r="ATE5" s="28"/>
      <c r="ATF5" s="29"/>
      <c r="ATG5" s="29"/>
      <c r="ATH5" s="29"/>
      <c r="ATI5" s="29"/>
      <c r="ATJ5" s="29"/>
      <c r="ATK5" s="28"/>
      <c r="ATL5" s="29"/>
      <c r="ATM5" s="29"/>
      <c r="ATN5" s="28"/>
      <c r="ATO5" s="29"/>
      <c r="ATP5" s="30"/>
      <c r="ATQ5" s="28"/>
      <c r="ATR5" s="29"/>
      <c r="ATS5" s="29"/>
      <c r="ATT5" s="29"/>
      <c r="ATU5" s="28"/>
      <c r="ATV5" s="29"/>
      <c r="ATW5" s="29"/>
      <c r="ATX5" s="28"/>
      <c r="ATY5" s="29"/>
      <c r="ATZ5" s="30"/>
      <c r="AUA5" s="28"/>
      <c r="AUB5" s="29"/>
      <c r="AUC5" s="29"/>
      <c r="AUD5" s="29"/>
      <c r="AUE5" s="28"/>
      <c r="AUF5" s="29"/>
      <c r="AUG5" s="29"/>
      <c r="AUH5" s="29"/>
      <c r="AUI5" s="29"/>
      <c r="AUJ5" s="29"/>
      <c r="AUK5" s="28"/>
      <c r="AUL5" s="29"/>
      <c r="AUM5" s="29"/>
      <c r="AUN5" s="28"/>
      <c r="AUO5" s="29"/>
      <c r="AUP5" s="30"/>
      <c r="AUQ5" s="28"/>
      <c r="AUR5" s="29"/>
      <c r="AUS5" s="29"/>
      <c r="AUT5" s="29"/>
      <c r="AUU5" s="28"/>
      <c r="AUV5" s="29"/>
      <c r="AUW5" s="29"/>
      <c r="AUX5" s="28"/>
      <c r="AUY5" s="29"/>
      <c r="AUZ5" s="30"/>
      <c r="AVA5" s="28"/>
      <c r="AVB5" s="29"/>
      <c r="AVC5" s="29"/>
      <c r="AVD5" s="29"/>
      <c r="AVE5" s="28"/>
      <c r="AVF5" s="29"/>
      <c r="AVG5" s="29"/>
      <c r="AVH5" s="29"/>
      <c r="AVI5" s="29"/>
      <c r="AVJ5" s="29"/>
      <c r="AVK5" s="28"/>
      <c r="AVL5" s="29"/>
      <c r="AVM5" s="29"/>
      <c r="AVN5" s="28"/>
      <c r="AVO5" s="29"/>
      <c r="AVP5" s="30"/>
      <c r="AVQ5" s="28"/>
      <c r="AVR5" s="29"/>
      <c r="AVS5" s="29"/>
      <c r="AVT5" s="29"/>
      <c r="AVU5" s="28"/>
      <c r="AVV5" s="29"/>
      <c r="AVW5" s="29"/>
      <c r="AVX5" s="28"/>
      <c r="AVY5" s="29"/>
      <c r="AVZ5" s="30"/>
      <c r="AWA5" s="28"/>
      <c r="AWB5" s="29"/>
      <c r="AWC5" s="29"/>
      <c r="AWD5" s="29"/>
      <c r="AWE5" s="28"/>
      <c r="AWF5" s="29"/>
      <c r="AWG5" s="29"/>
      <c r="AWH5" s="29"/>
      <c r="AWI5" s="29"/>
      <c r="AWJ5" s="29"/>
      <c r="AWK5" s="28"/>
      <c r="AWL5" s="29"/>
      <c r="AWM5" s="29"/>
      <c r="AWN5" s="28"/>
      <c r="AWO5" s="29"/>
      <c r="AWP5" s="30"/>
      <c r="AWQ5" s="28"/>
      <c r="AWR5" s="29"/>
      <c r="AWS5" s="29"/>
      <c r="AWT5" s="29"/>
      <c r="AWU5" s="28"/>
      <c r="AWV5" s="29"/>
      <c r="AWW5" s="29"/>
      <c r="AWX5" s="28"/>
      <c r="AWY5" s="29"/>
      <c r="AWZ5" s="30"/>
      <c r="AXA5" s="28"/>
      <c r="AXB5" s="29"/>
      <c r="AXC5" s="29"/>
      <c r="AXD5" s="29"/>
      <c r="AXE5" s="28"/>
      <c r="AXF5" s="29"/>
      <c r="AXG5" s="29"/>
      <c r="AXH5" s="29"/>
      <c r="AXI5" s="29"/>
      <c r="AXJ5" s="29"/>
      <c r="AXK5" s="28"/>
      <c r="AXL5" s="29"/>
      <c r="AXM5" s="29"/>
      <c r="AXN5" s="28"/>
      <c r="AXO5" s="29"/>
      <c r="AXP5" s="30"/>
      <c r="AXQ5" s="28"/>
      <c r="AXR5" s="29"/>
      <c r="AXS5" s="29"/>
      <c r="AXT5" s="29"/>
      <c r="AXU5" s="28"/>
      <c r="AXV5" s="29"/>
      <c r="AXW5" s="29"/>
      <c r="AXX5" s="28"/>
      <c r="AXY5" s="29"/>
      <c r="AXZ5" s="30"/>
      <c r="AYA5" s="28"/>
      <c r="AYB5" s="29"/>
      <c r="AYC5" s="29"/>
      <c r="AYD5" s="29"/>
      <c r="AYE5" s="28"/>
      <c r="AYF5" s="29"/>
      <c r="AYG5" s="29"/>
      <c r="AYH5" s="29"/>
      <c r="AYI5" s="29"/>
      <c r="AYJ5" s="29"/>
      <c r="AYK5" s="28"/>
      <c r="AYL5" s="29"/>
      <c r="AYM5" s="29"/>
      <c r="AYN5" s="28"/>
      <c r="AYO5" s="29"/>
      <c r="AYP5" s="30"/>
      <c r="AYQ5" s="28"/>
      <c r="AYR5" s="29"/>
      <c r="AYS5" s="29"/>
      <c r="AYT5" s="29"/>
      <c r="AYU5" s="28"/>
      <c r="AYV5" s="29"/>
      <c r="AYW5" s="29"/>
      <c r="AYX5" s="28"/>
      <c r="AYY5" s="29"/>
      <c r="AYZ5" s="30"/>
      <c r="AZA5" s="28"/>
      <c r="AZB5" s="29"/>
      <c r="AZC5" s="29"/>
      <c r="AZD5" s="29"/>
      <c r="AZE5" s="28"/>
      <c r="AZF5" s="29"/>
      <c r="AZG5" s="29"/>
      <c r="AZH5" s="29"/>
      <c r="AZI5" s="29"/>
      <c r="AZJ5" s="29"/>
      <c r="AZK5" s="28"/>
      <c r="AZL5" s="29"/>
      <c r="AZM5" s="29"/>
      <c r="AZN5" s="28"/>
      <c r="AZO5" s="29"/>
      <c r="AZP5" s="30"/>
      <c r="AZQ5" s="28"/>
      <c r="AZR5" s="29"/>
      <c r="AZS5" s="29"/>
      <c r="AZT5" s="29"/>
      <c r="AZU5" s="28"/>
      <c r="AZV5" s="29"/>
      <c r="AZW5" s="29"/>
      <c r="AZX5" s="28"/>
      <c r="AZY5" s="29"/>
      <c r="AZZ5" s="30"/>
      <c r="BAA5" s="28"/>
      <c r="BAB5" s="29"/>
      <c r="BAC5" s="29"/>
      <c r="BAD5" s="29"/>
      <c r="BAE5" s="28"/>
      <c r="BAF5" s="29"/>
      <c r="BAG5" s="29"/>
      <c r="BAH5" s="29"/>
      <c r="BAI5" s="29"/>
      <c r="BAJ5" s="29"/>
      <c r="BAK5" s="28"/>
      <c r="BAL5" s="29"/>
      <c r="BAM5" s="29"/>
      <c r="BAN5" s="28"/>
      <c r="BAO5" s="29"/>
      <c r="BAP5" s="30"/>
      <c r="BAQ5" s="28"/>
      <c r="BAR5" s="29"/>
      <c r="BAS5" s="29"/>
      <c r="BAT5" s="29"/>
      <c r="BAU5" s="28"/>
      <c r="BAV5" s="29"/>
      <c r="BAW5" s="29"/>
      <c r="BAX5" s="28"/>
      <c r="BAY5" s="29"/>
      <c r="BAZ5" s="30"/>
      <c r="BBA5" s="28"/>
      <c r="BBB5" s="29"/>
      <c r="BBC5" s="29"/>
      <c r="BBD5" s="29"/>
      <c r="BBE5" s="28"/>
      <c r="BBF5" s="29"/>
      <c r="BBG5" s="29"/>
      <c r="BBH5" s="29"/>
      <c r="BBI5" s="29"/>
      <c r="BBJ5" s="29"/>
      <c r="BBK5" s="28"/>
      <c r="BBL5" s="29"/>
      <c r="BBM5" s="29"/>
      <c r="BBN5" s="28"/>
      <c r="BBO5" s="29"/>
      <c r="BBP5" s="30"/>
      <c r="BBQ5" s="28"/>
      <c r="BBR5" s="29"/>
      <c r="BBS5" s="29"/>
      <c r="BBT5" s="29"/>
      <c r="BBU5" s="28"/>
      <c r="BBV5" s="29"/>
      <c r="BBW5" s="29"/>
      <c r="BBX5" s="28"/>
      <c r="BBY5" s="29"/>
      <c r="BBZ5" s="30"/>
      <c r="BCA5" s="28"/>
      <c r="BCB5" s="29"/>
      <c r="BCC5" s="29"/>
      <c r="BCD5" s="29"/>
      <c r="BCE5" s="28"/>
      <c r="BCF5" s="29"/>
      <c r="BCG5" s="29"/>
      <c r="BCH5" s="29"/>
      <c r="BCI5" s="29"/>
      <c r="BCJ5" s="29"/>
      <c r="BCK5" s="28"/>
      <c r="BCL5" s="29"/>
      <c r="BCM5" s="29"/>
      <c r="BCN5" s="28"/>
      <c r="BCO5" s="29"/>
      <c r="BCP5" s="30"/>
      <c r="BCQ5" s="28"/>
      <c r="BCR5" s="29"/>
      <c r="BCS5" s="29"/>
      <c r="BCT5" s="29"/>
      <c r="BCU5" s="28"/>
      <c r="BCV5" s="29"/>
      <c r="BCW5" s="29"/>
      <c r="BCX5" s="28"/>
      <c r="BCY5" s="29"/>
      <c r="BCZ5" s="30"/>
      <c r="BDA5" s="28"/>
      <c r="BDB5" s="29"/>
      <c r="BDC5" s="29"/>
      <c r="BDD5" s="29"/>
      <c r="BDE5" s="28"/>
      <c r="BDF5" s="29"/>
      <c r="BDG5" s="29"/>
      <c r="BDH5" s="29"/>
      <c r="BDI5" s="29"/>
      <c r="BDJ5" s="29"/>
      <c r="BDK5" s="28"/>
      <c r="BDL5" s="29"/>
      <c r="BDM5" s="29"/>
      <c r="BDN5" s="28"/>
      <c r="BDO5" s="29"/>
      <c r="BDP5" s="30"/>
      <c r="BDQ5" s="28"/>
      <c r="BDR5" s="29"/>
      <c r="BDS5" s="29"/>
      <c r="BDT5" s="29"/>
      <c r="BDU5" s="28"/>
      <c r="BDV5" s="29"/>
      <c r="BDW5" s="29"/>
      <c r="BDX5" s="28"/>
      <c r="BDY5" s="29"/>
      <c r="BDZ5" s="30"/>
      <c r="BEA5" s="28"/>
      <c r="BEB5" s="29"/>
      <c r="BEC5" s="29"/>
      <c r="BED5" s="29"/>
      <c r="BEE5" s="28"/>
      <c r="BEF5" s="29"/>
      <c r="BEG5" s="29"/>
      <c r="BEH5" s="29"/>
      <c r="BEI5" s="29"/>
      <c r="BEJ5" s="29"/>
      <c r="BEK5" s="28"/>
      <c r="BEL5" s="29"/>
      <c r="BEM5" s="29"/>
      <c r="BEN5" s="28"/>
      <c r="BEO5" s="29"/>
      <c r="BEP5" s="30"/>
      <c r="BEQ5" s="28"/>
      <c r="BER5" s="29"/>
      <c r="BES5" s="29"/>
      <c r="BET5" s="29"/>
      <c r="BEU5" s="28"/>
      <c r="BEV5" s="29"/>
      <c r="BEW5" s="29"/>
      <c r="BEX5" s="28"/>
      <c r="BEY5" s="29"/>
      <c r="BEZ5" s="30"/>
      <c r="BFA5" s="28"/>
      <c r="BFB5" s="29"/>
      <c r="BFC5" s="29"/>
      <c r="BFD5" s="29"/>
      <c r="BFE5" s="28"/>
      <c r="BFF5" s="29"/>
      <c r="BFG5" s="29"/>
      <c r="BFH5" s="29"/>
      <c r="BFI5" s="29"/>
      <c r="BFJ5" s="29"/>
      <c r="BFK5" s="28"/>
      <c r="BFL5" s="29"/>
      <c r="BFM5" s="29"/>
      <c r="BFN5" s="28"/>
      <c r="BFO5" s="29"/>
      <c r="BFP5" s="30"/>
      <c r="BFQ5" s="28"/>
      <c r="BFR5" s="29"/>
      <c r="BFS5" s="29"/>
      <c r="BFT5" s="29"/>
      <c r="BFU5" s="28"/>
      <c r="BFV5" s="29"/>
      <c r="BFW5" s="29"/>
      <c r="BFX5" s="28"/>
      <c r="BFY5" s="29"/>
      <c r="BFZ5" s="30"/>
      <c r="BGA5" s="28"/>
      <c r="BGB5" s="29"/>
      <c r="BGC5" s="29"/>
      <c r="BGD5" s="29"/>
      <c r="BGE5" s="28"/>
      <c r="BGF5" s="29"/>
      <c r="BGG5" s="29"/>
      <c r="BGH5" s="29"/>
      <c r="BGI5" s="29"/>
      <c r="BGJ5" s="29"/>
      <c r="BGK5" s="28"/>
      <c r="BGL5" s="29"/>
      <c r="BGM5" s="29"/>
      <c r="BGN5" s="28"/>
      <c r="BGO5" s="29"/>
      <c r="BGP5" s="30"/>
      <c r="BGQ5" s="28"/>
      <c r="BGR5" s="29"/>
      <c r="BGS5" s="29"/>
      <c r="BGT5" s="29"/>
      <c r="BGU5" s="28"/>
      <c r="BGV5" s="29"/>
      <c r="BGW5" s="29"/>
      <c r="BGX5" s="28"/>
      <c r="BGY5" s="29"/>
      <c r="BGZ5" s="30"/>
      <c r="BHA5" s="28"/>
      <c r="BHB5" s="29"/>
      <c r="BHC5" s="29"/>
      <c r="BHD5" s="29"/>
      <c r="BHE5" s="28"/>
      <c r="BHF5" s="29"/>
      <c r="BHG5" s="29"/>
      <c r="BHH5" s="29"/>
      <c r="BHI5" s="29"/>
      <c r="BHJ5" s="29"/>
      <c r="BHK5" s="28"/>
      <c r="BHL5" s="29"/>
      <c r="BHM5" s="29"/>
      <c r="BHN5" s="28"/>
      <c r="BHO5" s="29"/>
      <c r="BHP5" s="30"/>
      <c r="BHQ5" s="28"/>
      <c r="BHR5" s="29"/>
      <c r="BHS5" s="29"/>
      <c r="BHT5" s="29"/>
      <c r="BHU5" s="28"/>
      <c r="BHV5" s="29"/>
      <c r="BHW5" s="29"/>
      <c r="BHX5" s="28"/>
      <c r="BHY5" s="29"/>
      <c r="BHZ5" s="30"/>
      <c r="BIA5" s="28"/>
      <c r="BIB5" s="29"/>
      <c r="BIC5" s="29"/>
      <c r="BID5" s="29"/>
      <c r="BIE5" s="28"/>
      <c r="BIF5" s="29"/>
      <c r="BIG5" s="29"/>
      <c r="BIH5" s="29"/>
      <c r="BII5" s="29"/>
      <c r="BIJ5" s="29"/>
      <c r="BIK5" s="28"/>
      <c r="BIL5" s="29"/>
      <c r="BIM5" s="29"/>
      <c r="BIN5" s="28"/>
      <c r="BIO5" s="29"/>
      <c r="BIP5" s="30"/>
      <c r="BIQ5" s="28"/>
      <c r="BIR5" s="29"/>
      <c r="BIS5" s="29"/>
      <c r="BIT5" s="29"/>
      <c r="BIU5" s="28"/>
      <c r="BIV5" s="29"/>
      <c r="BIW5" s="29"/>
      <c r="BIX5" s="28"/>
      <c r="BIY5" s="29"/>
      <c r="BIZ5" s="30"/>
      <c r="BJA5" s="28"/>
      <c r="BJB5" s="29"/>
      <c r="BJC5" s="29"/>
      <c r="BJD5" s="29"/>
      <c r="BJE5" s="28"/>
      <c r="BJF5" s="29"/>
      <c r="BJG5" s="29"/>
      <c r="BJH5" s="29"/>
      <c r="BJI5" s="29"/>
      <c r="BJJ5" s="29"/>
      <c r="BJK5" s="28"/>
      <c r="BJL5" s="29"/>
      <c r="BJM5" s="29"/>
      <c r="BJN5" s="28"/>
      <c r="BJO5" s="29"/>
      <c r="BJP5" s="30"/>
      <c r="BJQ5" s="28"/>
      <c r="BJR5" s="29"/>
      <c r="BJS5" s="29"/>
      <c r="BJT5" s="29"/>
      <c r="BJU5" s="28"/>
      <c r="BJV5" s="29"/>
      <c r="BJW5" s="29"/>
      <c r="BJX5" s="28"/>
      <c r="BJY5" s="29"/>
      <c r="BJZ5" s="30"/>
      <c r="BKA5" s="28"/>
      <c r="BKB5" s="29"/>
      <c r="BKC5" s="29"/>
      <c r="BKD5" s="29"/>
      <c r="BKE5" s="28"/>
      <c r="BKF5" s="29"/>
      <c r="BKG5" s="29"/>
      <c r="BKH5" s="29"/>
      <c r="BKI5" s="29"/>
      <c r="BKJ5" s="29"/>
      <c r="BKK5" s="28"/>
      <c r="BKL5" s="29"/>
      <c r="BKM5" s="29"/>
      <c r="BKN5" s="28"/>
      <c r="BKO5" s="29"/>
      <c r="BKP5" s="30"/>
      <c r="BKQ5" s="28"/>
      <c r="BKR5" s="29"/>
      <c r="BKS5" s="29"/>
      <c r="BKT5" s="29"/>
      <c r="BKU5" s="28"/>
      <c r="BKV5" s="29"/>
      <c r="BKW5" s="29"/>
      <c r="BKX5" s="28"/>
      <c r="BKY5" s="29"/>
      <c r="BKZ5" s="30"/>
      <c r="BLA5" s="28"/>
      <c r="BLB5" s="29"/>
      <c r="BLC5" s="29"/>
      <c r="BLD5" s="29"/>
      <c r="BLE5" s="28"/>
      <c r="BLF5" s="29"/>
      <c r="BLG5" s="29"/>
      <c r="BLH5" s="29"/>
      <c r="BLI5" s="29"/>
      <c r="BLJ5" s="29"/>
      <c r="BLK5" s="28"/>
      <c r="BLL5" s="29"/>
      <c r="BLM5" s="29"/>
      <c r="BLN5" s="28"/>
      <c r="BLO5" s="29"/>
      <c r="BLP5" s="30"/>
      <c r="BLQ5" s="28"/>
      <c r="BLR5" s="29"/>
      <c r="BLS5" s="29"/>
      <c r="BLT5" s="29"/>
      <c r="BLU5" s="28"/>
      <c r="BLV5" s="29"/>
      <c r="BLW5" s="29"/>
      <c r="BLX5" s="28"/>
      <c r="BLY5" s="29"/>
      <c r="BLZ5" s="30"/>
      <c r="BMA5" s="28"/>
      <c r="BMB5" s="29"/>
      <c r="BMC5" s="29"/>
      <c r="BMD5" s="29"/>
      <c r="BME5" s="28"/>
      <c r="BMF5" s="29"/>
      <c r="BMG5" s="29"/>
      <c r="BMH5" s="29"/>
      <c r="BMI5" s="29"/>
      <c r="BMJ5" s="29"/>
      <c r="BMK5" s="28"/>
      <c r="BML5" s="29"/>
      <c r="BMM5" s="29"/>
      <c r="BMN5" s="28"/>
      <c r="BMO5" s="29"/>
      <c r="BMP5" s="30"/>
      <c r="BMQ5" s="28"/>
      <c r="BMR5" s="29"/>
      <c r="BMS5" s="29"/>
      <c r="BMT5" s="29"/>
      <c r="BMU5" s="28"/>
      <c r="BMV5" s="29"/>
      <c r="BMW5" s="29"/>
      <c r="BMX5" s="28"/>
      <c r="BMY5" s="29"/>
      <c r="BMZ5" s="30"/>
      <c r="BNA5" s="28"/>
      <c r="BNB5" s="29"/>
      <c r="BNC5" s="29"/>
      <c r="BND5" s="29"/>
      <c r="BNE5" s="28"/>
      <c r="BNF5" s="29"/>
      <c r="BNG5" s="29"/>
      <c r="BNH5" s="29"/>
      <c r="BNI5" s="29"/>
      <c r="BNJ5" s="29"/>
      <c r="BNK5" s="28"/>
      <c r="BNL5" s="29"/>
      <c r="BNM5" s="29"/>
      <c r="BNN5" s="28"/>
      <c r="BNO5" s="29"/>
      <c r="BNP5" s="30"/>
      <c r="BNQ5" s="28"/>
      <c r="BNR5" s="29"/>
      <c r="BNS5" s="29"/>
      <c r="BNT5" s="29"/>
      <c r="BNU5" s="28"/>
      <c r="BNV5" s="29"/>
      <c r="BNW5" s="29"/>
      <c r="BNX5" s="28"/>
      <c r="BNY5" s="29"/>
      <c r="BNZ5" s="30"/>
      <c r="BOA5" s="28"/>
      <c r="BOB5" s="29"/>
      <c r="BOC5" s="29"/>
      <c r="BOD5" s="29"/>
      <c r="BOE5" s="28"/>
      <c r="BOF5" s="29"/>
      <c r="BOG5" s="29"/>
      <c r="BOH5" s="29"/>
      <c r="BOI5" s="29"/>
      <c r="BOJ5" s="29"/>
      <c r="BOK5" s="28"/>
      <c r="BOL5" s="29"/>
      <c r="BOM5" s="29"/>
      <c r="BON5" s="28"/>
      <c r="BOO5" s="29"/>
      <c r="BOP5" s="30"/>
      <c r="BOQ5" s="28"/>
      <c r="BOR5" s="29"/>
      <c r="BOS5" s="29"/>
      <c r="BOT5" s="29"/>
      <c r="BOU5" s="28"/>
      <c r="BOV5" s="29"/>
      <c r="BOW5" s="29"/>
      <c r="BOX5" s="28"/>
      <c r="BOY5" s="29"/>
      <c r="BOZ5" s="30"/>
      <c r="BPA5" s="28"/>
      <c r="BPB5" s="29"/>
      <c r="BPC5" s="29"/>
      <c r="BPD5" s="29"/>
      <c r="BPE5" s="28"/>
      <c r="BPF5" s="29"/>
      <c r="BPG5" s="29"/>
      <c r="BPH5" s="29"/>
      <c r="BPI5" s="29"/>
      <c r="BPJ5" s="29"/>
      <c r="BPK5" s="28"/>
      <c r="BPL5" s="29"/>
      <c r="BPM5" s="29"/>
      <c r="BPN5" s="28"/>
      <c r="BPO5" s="29"/>
      <c r="BPP5" s="30"/>
      <c r="BPQ5" s="28"/>
      <c r="BPR5" s="29"/>
      <c r="BPS5" s="29"/>
      <c r="BPT5" s="29"/>
      <c r="BPU5" s="28"/>
      <c r="BPV5" s="29"/>
      <c r="BPW5" s="29"/>
      <c r="BPX5" s="28"/>
      <c r="BPY5" s="29"/>
      <c r="BPZ5" s="30"/>
      <c r="BQA5" s="28"/>
      <c r="BQB5" s="29"/>
      <c r="BQC5" s="29"/>
      <c r="BQD5" s="29"/>
      <c r="BQE5" s="28"/>
      <c r="BQF5" s="29"/>
      <c r="BQG5" s="29"/>
      <c r="BQH5" s="29"/>
      <c r="BQI5" s="29"/>
      <c r="BQJ5" s="29"/>
      <c r="BQK5" s="28"/>
      <c r="BQL5" s="29"/>
      <c r="BQM5" s="29"/>
      <c r="BQN5" s="28"/>
      <c r="BQO5" s="29"/>
      <c r="BQP5" s="30"/>
      <c r="BQQ5" s="28"/>
      <c r="BQR5" s="29"/>
      <c r="BQS5" s="29"/>
      <c r="BQT5" s="29"/>
      <c r="BQU5" s="28"/>
      <c r="BQV5" s="29"/>
      <c r="BQW5" s="29"/>
      <c r="BQX5" s="28"/>
      <c r="BQY5" s="29"/>
      <c r="BQZ5" s="30"/>
      <c r="BRA5" s="28"/>
      <c r="BRB5" s="29"/>
      <c r="BRC5" s="29"/>
      <c r="BRD5" s="29"/>
      <c r="BRE5" s="28"/>
      <c r="BRF5" s="29"/>
      <c r="BRG5" s="29"/>
      <c r="BRH5" s="29"/>
      <c r="BRI5" s="29"/>
      <c r="BRJ5" s="29"/>
      <c r="BRK5" s="28"/>
      <c r="BRL5" s="29"/>
      <c r="BRM5" s="29"/>
      <c r="BRN5" s="28"/>
      <c r="BRO5" s="29"/>
      <c r="BRP5" s="30"/>
      <c r="BRQ5" s="28"/>
      <c r="BRR5" s="29"/>
      <c r="BRS5" s="29"/>
      <c r="BRT5" s="29"/>
      <c r="BRU5" s="28"/>
      <c r="BRV5" s="29"/>
      <c r="BRW5" s="29"/>
      <c r="BRX5" s="28"/>
      <c r="BRY5" s="29"/>
      <c r="BRZ5" s="30"/>
      <c r="BSA5" s="28"/>
      <c r="BSB5" s="29"/>
      <c r="BSC5" s="29"/>
      <c r="BSD5" s="29"/>
      <c r="BSE5" s="28"/>
      <c r="BSF5" s="29"/>
      <c r="BSG5" s="29"/>
      <c r="BSH5" s="29"/>
      <c r="BSI5" s="29"/>
      <c r="BSJ5" s="29"/>
      <c r="BSK5" s="28"/>
      <c r="BSL5" s="29"/>
      <c r="BSM5" s="29"/>
      <c r="BSN5" s="28"/>
      <c r="BSO5" s="29"/>
      <c r="BSP5" s="30"/>
      <c r="BSQ5" s="28"/>
      <c r="BSR5" s="29"/>
      <c r="BSS5" s="29"/>
      <c r="BST5" s="29"/>
      <c r="BSU5" s="28"/>
      <c r="BSV5" s="29"/>
      <c r="BSW5" s="29"/>
      <c r="BSX5" s="28"/>
      <c r="BSY5" s="29"/>
      <c r="BSZ5" s="30"/>
      <c r="BTA5" s="28"/>
      <c r="BTB5" s="29"/>
      <c r="BTC5" s="29"/>
      <c r="BTD5" s="29"/>
      <c r="BTE5" s="28"/>
      <c r="BTF5" s="29"/>
      <c r="BTG5" s="29"/>
      <c r="BTH5" s="29"/>
      <c r="BTI5" s="29"/>
      <c r="BTJ5" s="29"/>
      <c r="BTK5" s="28"/>
      <c r="BTL5" s="29"/>
      <c r="BTM5" s="29"/>
      <c r="BTN5" s="28"/>
      <c r="BTO5" s="29"/>
      <c r="BTP5" s="30"/>
      <c r="BTQ5" s="28"/>
      <c r="BTR5" s="29"/>
      <c r="BTS5" s="29"/>
      <c r="BTT5" s="29"/>
      <c r="BTU5" s="28"/>
      <c r="BTV5" s="29"/>
      <c r="BTW5" s="29"/>
      <c r="BTX5" s="28"/>
      <c r="BTY5" s="29"/>
      <c r="BTZ5" s="30"/>
      <c r="BUA5" s="28"/>
      <c r="BUB5" s="29"/>
      <c r="BUC5" s="29"/>
      <c r="BUD5" s="29"/>
      <c r="BUE5" s="28"/>
      <c r="BUF5" s="29"/>
      <c r="BUG5" s="29"/>
      <c r="BUH5" s="29"/>
      <c r="BUI5" s="29"/>
      <c r="BUJ5" s="29"/>
      <c r="BUK5" s="28"/>
      <c r="BUL5" s="29"/>
      <c r="BUM5" s="29"/>
      <c r="BUN5" s="28"/>
      <c r="BUO5" s="29"/>
      <c r="BUP5" s="30"/>
      <c r="BUQ5" s="28"/>
      <c r="BUR5" s="29"/>
      <c r="BUS5" s="29"/>
      <c r="BUT5" s="29"/>
      <c r="BUU5" s="28"/>
      <c r="BUV5" s="29"/>
      <c r="BUW5" s="29"/>
      <c r="BUX5" s="28"/>
      <c r="BUY5" s="29"/>
      <c r="BUZ5" s="30"/>
      <c r="BVA5" s="28"/>
      <c r="BVB5" s="29"/>
      <c r="BVC5" s="29"/>
      <c r="BVD5" s="29"/>
      <c r="BVE5" s="28"/>
      <c r="BVF5" s="29"/>
      <c r="BVG5" s="29"/>
      <c r="BVH5" s="29"/>
      <c r="BVI5" s="29"/>
      <c r="BVJ5" s="29"/>
      <c r="BVK5" s="28"/>
      <c r="BVL5" s="29"/>
      <c r="BVM5" s="29"/>
      <c r="BVN5" s="28"/>
      <c r="BVO5" s="29"/>
      <c r="BVP5" s="30"/>
      <c r="BVQ5" s="28"/>
      <c r="BVR5" s="29"/>
      <c r="BVS5" s="29"/>
      <c r="BVT5" s="29"/>
      <c r="BVU5" s="28"/>
      <c r="BVV5" s="29"/>
      <c r="BVW5" s="29"/>
      <c r="BVX5" s="28"/>
      <c r="BVY5" s="29"/>
      <c r="BVZ5" s="30"/>
      <c r="BWA5" s="28"/>
      <c r="BWB5" s="29"/>
      <c r="BWC5" s="29"/>
      <c r="BWD5" s="29"/>
      <c r="BWE5" s="28"/>
      <c r="BWF5" s="29"/>
      <c r="BWG5" s="29"/>
      <c r="BWH5" s="29"/>
      <c r="BWI5" s="29"/>
      <c r="BWJ5" s="29"/>
      <c r="BWK5" s="28"/>
      <c r="BWL5" s="29"/>
      <c r="BWM5" s="29"/>
      <c r="BWN5" s="28"/>
      <c r="BWO5" s="29"/>
      <c r="BWP5" s="30"/>
      <c r="BWQ5" s="28"/>
      <c r="BWR5" s="29"/>
      <c r="BWS5" s="29"/>
      <c r="BWT5" s="29"/>
      <c r="BWU5" s="28"/>
      <c r="BWV5" s="29"/>
      <c r="BWW5" s="29"/>
      <c r="BWX5" s="28"/>
      <c r="BWY5" s="29"/>
      <c r="BWZ5" s="30"/>
      <c r="BXA5" s="28"/>
      <c r="BXB5" s="29"/>
      <c r="BXC5" s="29"/>
      <c r="BXD5" s="29"/>
      <c r="BXE5" s="28"/>
      <c r="BXF5" s="29"/>
      <c r="BXG5" s="29"/>
      <c r="BXH5" s="29"/>
      <c r="BXI5" s="29"/>
      <c r="BXJ5" s="29"/>
      <c r="BXK5" s="28"/>
      <c r="BXL5" s="29"/>
      <c r="BXM5" s="29"/>
      <c r="BXN5" s="28"/>
      <c r="BXO5" s="29"/>
      <c r="BXP5" s="30"/>
      <c r="BXQ5" s="28"/>
      <c r="BXR5" s="29"/>
      <c r="BXS5" s="29"/>
      <c r="BXT5" s="29"/>
      <c r="BXU5" s="28"/>
      <c r="BXV5" s="29"/>
      <c r="BXW5" s="29"/>
      <c r="BXX5" s="28"/>
      <c r="BXY5" s="29"/>
      <c r="BXZ5" s="30"/>
      <c r="BYA5" s="28"/>
      <c r="BYB5" s="29"/>
      <c r="BYC5" s="29"/>
      <c r="BYD5" s="29"/>
      <c r="BYE5" s="28"/>
      <c r="BYF5" s="29"/>
      <c r="BYG5" s="29"/>
      <c r="BYH5" s="29"/>
      <c r="BYI5" s="29"/>
      <c r="BYJ5" s="29"/>
      <c r="BYK5" s="28"/>
      <c r="BYL5" s="29"/>
      <c r="BYM5" s="29"/>
      <c r="BYN5" s="28"/>
      <c r="BYO5" s="29"/>
      <c r="BYP5" s="30"/>
      <c r="BYQ5" s="28"/>
      <c r="BYR5" s="29"/>
      <c r="BYS5" s="29"/>
      <c r="BYT5" s="29"/>
      <c r="BYU5" s="28"/>
      <c r="BYV5" s="29"/>
      <c r="BYW5" s="29"/>
      <c r="BYX5" s="30"/>
      <c r="BYY5" s="29"/>
      <c r="BYZ5" s="28"/>
      <c r="BZA5" s="29"/>
      <c r="BZB5" s="28"/>
      <c r="BZC5" s="28"/>
      <c r="BZD5" s="28"/>
      <c r="BZE5" s="29"/>
      <c r="BZF5" s="388"/>
      <c r="BZG5" s="29"/>
      <c r="BZH5" s="388"/>
      <c r="BZI5" s="29"/>
      <c r="BZJ5" s="388"/>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30"/>
      <c r="CAQ5" s="28"/>
      <c r="CAR5" s="29"/>
      <c r="CAS5" s="29"/>
      <c r="CAT5" s="32"/>
      <c r="CAU5" s="32"/>
      <c r="CAV5" s="32"/>
      <c r="CAW5" s="28"/>
      <c r="CAX5" s="29"/>
      <c r="CAY5" s="29"/>
      <c r="CAZ5" s="28"/>
      <c r="CBA5" s="29"/>
      <c r="CBB5" s="30"/>
      <c r="CBC5" s="28"/>
      <c r="CBD5" s="29"/>
      <c r="CBE5" s="29"/>
      <c r="CBF5" s="32"/>
      <c r="CBG5" s="28"/>
      <c r="CBH5" s="29"/>
      <c r="CBI5" s="29"/>
      <c r="CBJ5" s="28"/>
      <c r="CBK5" s="29"/>
      <c r="CBL5" s="30"/>
      <c r="CBM5" s="28"/>
      <c r="CBN5" s="29"/>
      <c r="CBO5" s="29"/>
      <c r="CBP5" s="32"/>
      <c r="CBQ5" s="28"/>
      <c r="CBR5" s="29"/>
      <c r="CBS5" s="29"/>
      <c r="CBT5" s="28"/>
      <c r="CBU5" s="29"/>
      <c r="CBV5" s="30"/>
      <c r="CBW5" s="28"/>
      <c r="CBX5" s="29"/>
      <c r="CBY5" s="29"/>
      <c r="CBZ5" s="32"/>
      <c r="CCA5" s="28"/>
      <c r="CCB5" s="29"/>
      <c r="CCC5" s="29"/>
      <c r="CCD5" s="28"/>
      <c r="CCE5" s="29"/>
      <c r="CCF5" s="30"/>
      <c r="CCG5" s="28"/>
      <c r="CCH5" s="30"/>
      <c r="CCI5" s="29"/>
      <c r="CCJ5" s="28"/>
      <c r="CCK5" s="29"/>
      <c r="CCL5" s="28"/>
      <c r="CCM5" s="28"/>
      <c r="CCN5" s="28"/>
      <c r="CCO5" s="29"/>
      <c r="CCP5" s="388"/>
      <c r="CCQ5" s="29"/>
      <c r="CCR5" s="388"/>
      <c r="CCS5" s="29"/>
      <c r="CCT5" s="388"/>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30"/>
      <c r="CEA5" s="28"/>
      <c r="CEB5" s="29"/>
      <c r="CEC5" s="29"/>
      <c r="CED5" s="32"/>
      <c r="CEE5" s="32"/>
      <c r="CEF5" s="32"/>
      <c r="CEG5" s="28"/>
      <c r="CEH5" s="29"/>
      <c r="CEI5" s="29"/>
      <c r="CEJ5" s="28"/>
      <c r="CEK5" s="29"/>
      <c r="CEL5" s="30"/>
      <c r="CEM5" s="28"/>
      <c r="CEN5" s="29"/>
      <c r="CEO5" s="29"/>
      <c r="CEP5" s="32"/>
      <c r="CEQ5" s="28"/>
      <c r="CER5" s="29"/>
      <c r="CES5" s="29"/>
      <c r="CET5" s="28"/>
      <c r="CEU5" s="29"/>
      <c r="CEV5" s="30"/>
      <c r="CEW5" s="28"/>
      <c r="CEX5" s="29"/>
      <c r="CEY5" s="29"/>
      <c r="CEZ5" s="32"/>
      <c r="CFA5" s="28"/>
      <c r="CFB5" s="29"/>
      <c r="CFC5" s="29"/>
      <c r="CFD5" s="28"/>
      <c r="CFE5" s="29"/>
      <c r="CFF5" s="30"/>
      <c r="CFG5" s="28"/>
      <c r="CFH5" s="29"/>
      <c r="CFI5" s="29"/>
      <c r="CFJ5" s="32"/>
      <c r="CFK5" s="28"/>
      <c r="CFL5" s="29"/>
      <c r="CFM5" s="29"/>
      <c r="CFN5" s="28"/>
      <c r="CFO5" s="29"/>
      <c r="CFP5" s="30"/>
      <c r="CFQ5" s="28"/>
      <c r="CFR5" s="30"/>
      <c r="CFS5" s="29"/>
      <c r="CFT5" s="28"/>
      <c r="CFU5" s="29"/>
      <c r="CFV5" s="28"/>
      <c r="CFW5" s="28"/>
      <c r="CFX5" s="28"/>
      <c r="CFY5" s="29"/>
      <c r="CFZ5" s="388"/>
      <c r="CGA5" s="29"/>
      <c r="CGB5" s="388"/>
      <c r="CGC5" s="29"/>
      <c r="CGD5" s="388"/>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30"/>
      <c r="CHK5" s="28"/>
      <c r="CHL5" s="29"/>
      <c r="CHM5" s="29"/>
      <c r="CHN5" s="32"/>
      <c r="CHO5" s="32"/>
      <c r="CHP5" s="32"/>
      <c r="CHQ5" s="28"/>
      <c r="CHR5" s="29"/>
      <c r="CHS5" s="29"/>
      <c r="CHT5" s="28"/>
      <c r="CHU5" s="29"/>
      <c r="CHV5" s="30"/>
      <c r="CHW5" s="28"/>
      <c r="CHX5" s="29"/>
      <c r="CHY5" s="29"/>
      <c r="CHZ5" s="32"/>
      <c r="CIA5" s="28"/>
      <c r="CIB5" s="29"/>
      <c r="CIC5" s="29"/>
      <c r="CID5" s="28"/>
      <c r="CIE5" s="29"/>
      <c r="CIF5" s="30"/>
      <c r="CIG5" s="28"/>
      <c r="CIH5" s="29"/>
      <c r="CII5" s="29"/>
      <c r="CIJ5" s="32"/>
      <c r="CIK5" s="28"/>
      <c r="CIL5" s="29"/>
      <c r="CIM5" s="29"/>
      <c r="CIN5" s="28"/>
      <c r="CIO5" s="29"/>
      <c r="CIP5" s="30"/>
      <c r="CIQ5" s="28"/>
      <c r="CIR5" s="29"/>
      <c r="CIS5" s="29"/>
      <c r="CIT5" s="32"/>
      <c r="CIU5" s="28"/>
      <c r="CIV5" s="29"/>
      <c r="CIW5" s="29"/>
      <c r="CIX5" s="28"/>
      <c r="CIY5" s="29"/>
      <c r="CIZ5" s="30"/>
      <c r="CJA5" s="28"/>
      <c r="CJB5" s="30"/>
      <c r="CJC5" s="29"/>
      <c r="CJD5" s="28"/>
      <c r="CJE5" s="29"/>
      <c r="CJF5" s="28"/>
      <c r="CJG5" s="28"/>
      <c r="CJH5" s="28"/>
      <c r="CJI5" s="29"/>
      <c r="CJJ5" s="388"/>
      <c r="CJK5" s="29"/>
      <c r="CJL5" s="388"/>
      <c r="CJM5" s="29"/>
      <c r="CJN5" s="388"/>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30"/>
      <c r="CKU5" s="28"/>
      <c r="CKV5" s="29"/>
      <c r="CKW5" s="29"/>
      <c r="CKX5" s="32"/>
      <c r="CKY5" s="32"/>
      <c r="CKZ5" s="32"/>
      <c r="CLA5" s="28"/>
      <c r="CLB5" s="29"/>
      <c r="CLC5" s="29"/>
      <c r="CLD5" s="28"/>
      <c r="CLE5" s="29"/>
      <c r="CLF5" s="30"/>
      <c r="CLG5" s="28"/>
      <c r="CLH5" s="29"/>
      <c r="CLI5" s="29"/>
      <c r="CLJ5" s="32"/>
      <c r="CLK5" s="28"/>
      <c r="CLL5" s="29"/>
      <c r="CLM5" s="29"/>
      <c r="CLN5" s="28"/>
      <c r="CLO5" s="29"/>
      <c r="CLP5" s="30"/>
      <c r="CLQ5" s="28"/>
      <c r="CLR5" s="29"/>
      <c r="CLS5" s="29"/>
      <c r="CLT5" s="32"/>
      <c r="CLU5" s="28"/>
      <c r="CLV5" s="29"/>
      <c r="CLW5" s="29"/>
      <c r="CLX5" s="28"/>
      <c r="CLY5" s="29"/>
      <c r="CLZ5" s="30"/>
      <c r="CMA5" s="28"/>
      <c r="CMB5" s="29"/>
      <c r="CMC5" s="29"/>
      <c r="CMD5" s="32"/>
      <c r="CME5" s="28"/>
      <c r="CMF5" s="29"/>
      <c r="CMG5" s="29"/>
      <c r="CMH5" s="28"/>
      <c r="CMI5" s="29"/>
      <c r="CMJ5" s="30"/>
      <c r="CMK5" s="28"/>
      <c r="CML5" s="30"/>
      <c r="CMM5" s="29"/>
      <c r="CMN5" s="28"/>
      <c r="CMO5" s="29"/>
      <c r="CMP5" s="28"/>
      <c r="CMQ5" s="28"/>
      <c r="CMR5" s="28"/>
      <c r="CMS5" s="29"/>
      <c r="CMT5" s="388"/>
      <c r="CMU5" s="29"/>
      <c r="CMV5" s="388"/>
      <c r="CMW5" s="29"/>
      <c r="CMX5" s="388"/>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30"/>
      <c r="COE5" s="28"/>
      <c r="COF5" s="29"/>
      <c r="COG5" s="29"/>
      <c r="COH5" s="32"/>
      <c r="COI5" s="32"/>
      <c r="COJ5" s="32"/>
      <c r="COK5" s="28"/>
      <c r="COL5" s="29"/>
      <c r="COM5" s="29"/>
      <c r="CON5" s="28"/>
      <c r="COO5" s="29"/>
      <c r="COP5" s="30"/>
      <c r="COQ5" s="28"/>
      <c r="COR5" s="29"/>
      <c r="COS5" s="29"/>
      <c r="COT5" s="32"/>
      <c r="COU5" s="28"/>
      <c r="COV5" s="29"/>
      <c r="COW5" s="29"/>
      <c r="COX5" s="28"/>
      <c r="COY5" s="29"/>
      <c r="COZ5" s="30"/>
      <c r="CPA5" s="28"/>
      <c r="CPB5" s="29"/>
      <c r="CPC5" s="29"/>
      <c r="CPD5" s="32"/>
      <c r="CPE5" s="28"/>
      <c r="CPF5" s="29"/>
      <c r="CPG5" s="29"/>
      <c r="CPH5" s="28"/>
      <c r="CPI5" s="29"/>
      <c r="CPJ5" s="30"/>
      <c r="CPK5" s="28"/>
      <c r="CPL5" s="29"/>
      <c r="CPM5" s="29"/>
      <c r="CPN5" s="32"/>
      <c r="CPO5" s="28"/>
      <c r="CPP5" s="29"/>
      <c r="CPQ5" s="29"/>
      <c r="CPR5" s="28"/>
      <c r="CPS5" s="29"/>
      <c r="CPT5" s="30"/>
      <c r="CPU5" s="28"/>
      <c r="CPV5" s="30"/>
      <c r="CPW5" s="29"/>
      <c r="CPX5" s="28"/>
      <c r="CPY5" s="29"/>
      <c r="CPZ5" s="28"/>
      <c r="CQA5" s="28"/>
      <c r="CQB5" s="28"/>
      <c r="CQC5" s="29"/>
      <c r="CQD5" s="388"/>
      <c r="CQE5" s="29"/>
      <c r="CQF5" s="388"/>
      <c r="CQG5" s="29"/>
      <c r="CQH5" s="388"/>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30"/>
      <c r="CRO5" s="28"/>
      <c r="CRP5" s="29"/>
      <c r="CRQ5" s="29"/>
      <c r="CRR5" s="32"/>
      <c r="CRS5" s="32"/>
      <c r="CRT5" s="32"/>
      <c r="CRU5" s="28"/>
      <c r="CRV5" s="29"/>
      <c r="CRW5" s="29"/>
      <c r="CRX5" s="28"/>
      <c r="CRY5" s="29"/>
      <c r="CRZ5" s="30"/>
      <c r="CSA5" s="28"/>
      <c r="CSB5" s="29"/>
      <c r="CSC5" s="29"/>
      <c r="CSD5" s="32"/>
      <c r="CSE5" s="28"/>
      <c r="CSF5" s="29"/>
      <c r="CSG5" s="29"/>
      <c r="CSH5" s="28"/>
      <c r="CSI5" s="29"/>
      <c r="CSJ5" s="30"/>
      <c r="CSK5" s="28"/>
      <c r="CSL5" s="29"/>
      <c r="CSM5" s="29"/>
      <c r="CSN5" s="32"/>
      <c r="CSO5" s="28"/>
      <c r="CSP5" s="29"/>
      <c r="CSQ5" s="29"/>
      <c r="CSR5" s="28"/>
      <c r="CSS5" s="29"/>
      <c r="CST5" s="30"/>
      <c r="CSU5" s="28"/>
      <c r="CSV5" s="29"/>
      <c r="CSW5" s="29"/>
      <c r="CSX5" s="32"/>
      <c r="CSY5" s="28"/>
      <c r="CSZ5" s="29"/>
      <c r="CTA5" s="29"/>
      <c r="CTB5" s="28"/>
      <c r="CTC5" s="29"/>
      <c r="CTD5" s="30"/>
      <c r="CTE5" s="28"/>
      <c r="CTF5" s="30"/>
      <c r="CTG5" s="29"/>
      <c r="CTH5" s="28"/>
      <c r="CTI5" s="29"/>
      <c r="CTJ5" s="28"/>
      <c r="CTK5" s="28"/>
      <c r="CTL5" s="28"/>
      <c r="CTM5" s="29"/>
      <c r="CTN5" s="388"/>
      <c r="CTO5" s="29"/>
      <c r="CTP5" s="388"/>
      <c r="CTQ5" s="29"/>
      <c r="CTR5" s="388"/>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30"/>
      <c r="CUY5" s="28"/>
      <c r="CUZ5" s="29"/>
      <c r="CVA5" s="29"/>
      <c r="CVB5" s="32"/>
      <c r="CVC5" s="32"/>
      <c r="CVD5" s="32"/>
      <c r="CVE5" s="28"/>
      <c r="CVF5" s="29"/>
      <c r="CVG5" s="29"/>
      <c r="CVH5" s="28"/>
      <c r="CVI5" s="29"/>
      <c r="CVJ5" s="30"/>
      <c r="CVK5" s="28"/>
      <c r="CVL5" s="29"/>
      <c r="CVM5" s="29"/>
      <c r="CVN5" s="32"/>
      <c r="CVO5" s="28"/>
      <c r="CVP5" s="29"/>
      <c r="CVQ5" s="29"/>
      <c r="CVR5" s="28"/>
      <c r="CVS5" s="29"/>
      <c r="CVT5" s="30"/>
      <c r="CVU5" s="28"/>
      <c r="CVV5" s="29"/>
      <c r="CVW5" s="29"/>
      <c r="CVX5" s="32"/>
      <c r="CVY5" s="28"/>
      <c r="CVZ5" s="29"/>
      <c r="CWA5" s="29"/>
      <c r="CWB5" s="28"/>
      <c r="CWC5" s="29"/>
      <c r="CWD5" s="30"/>
      <c r="CWE5" s="28"/>
      <c r="CWF5" s="29"/>
      <c r="CWG5" s="29"/>
      <c r="CWH5" s="32"/>
      <c r="CWI5" s="28"/>
      <c r="CWJ5" s="29"/>
      <c r="CWK5" s="29"/>
      <c r="CWL5" s="28"/>
      <c r="CWM5" s="29"/>
      <c r="CWN5" s="30"/>
      <c r="CWO5" s="28"/>
      <c r="CWP5" s="30"/>
      <c r="CWQ5" s="29"/>
      <c r="CWR5" s="28"/>
      <c r="CWS5" s="29"/>
      <c r="CWT5" s="28"/>
      <c r="CWU5" s="28"/>
      <c r="CWV5" s="28"/>
      <c r="CWW5" s="29"/>
      <c r="CWX5" s="388"/>
      <c r="CWY5" s="29"/>
      <c r="CWZ5" s="388"/>
      <c r="CXA5" s="29"/>
      <c r="CXB5" s="388"/>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30"/>
      <c r="CYI5" s="28"/>
      <c r="CYJ5" s="29"/>
      <c r="CYK5" s="29"/>
      <c r="CYL5" s="32"/>
      <c r="CYM5" s="32"/>
      <c r="CYN5" s="32"/>
      <c r="CYO5" s="28"/>
      <c r="CYP5" s="29"/>
      <c r="CYQ5" s="29"/>
      <c r="CYR5" s="28"/>
      <c r="CYS5" s="29"/>
      <c r="CYT5" s="30"/>
      <c r="CYU5" s="28"/>
      <c r="CYV5" s="29"/>
      <c r="CYW5" s="29"/>
      <c r="CYX5" s="32"/>
      <c r="CYY5" s="28"/>
      <c r="CYZ5" s="29"/>
      <c r="CZA5" s="29"/>
      <c r="CZB5" s="28"/>
      <c r="CZC5" s="29"/>
      <c r="CZD5" s="30"/>
      <c r="CZE5" s="28"/>
      <c r="CZF5" s="29"/>
      <c r="CZG5" s="29"/>
      <c r="CZH5" s="32"/>
      <c r="CZI5" s="28"/>
      <c r="CZJ5" s="29"/>
      <c r="CZK5" s="29"/>
      <c r="CZL5" s="28"/>
      <c r="CZM5" s="29"/>
      <c r="CZN5" s="30"/>
      <c r="CZO5" s="28"/>
      <c r="CZP5" s="29"/>
      <c r="CZQ5" s="29"/>
      <c r="CZR5" s="32"/>
      <c r="CZS5" s="28"/>
      <c r="CZT5" s="29"/>
      <c r="CZU5" s="29"/>
      <c r="CZV5" s="28"/>
      <c r="CZW5" s="29"/>
      <c r="CZX5" s="30"/>
      <c r="CZY5" s="28"/>
      <c r="CZZ5" s="30"/>
      <c r="DAA5" s="29"/>
      <c r="DAB5" s="28"/>
      <c r="DAC5" s="29"/>
      <c r="DAD5" s="28"/>
      <c r="DAE5" s="28"/>
      <c r="DAF5" s="28"/>
      <c r="DAG5" s="29"/>
      <c r="DAH5" s="388"/>
      <c r="DAI5" s="29"/>
      <c r="DAJ5" s="388"/>
      <c r="DAK5" s="29"/>
      <c r="DAL5" s="388"/>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30"/>
      <c r="DBS5" s="28"/>
      <c r="DBT5" s="29"/>
      <c r="DBU5" s="29"/>
      <c r="DBV5" s="32"/>
      <c r="DBW5" s="32"/>
      <c r="DBX5" s="32"/>
      <c r="DBY5" s="28"/>
      <c r="DBZ5" s="29"/>
      <c r="DCA5" s="29"/>
      <c r="DCB5" s="28"/>
      <c r="DCC5" s="29"/>
      <c r="DCD5" s="30"/>
      <c r="DCE5" s="28"/>
      <c r="DCF5" s="29"/>
      <c r="DCG5" s="29"/>
      <c r="DCH5" s="32"/>
      <c r="DCI5" s="28"/>
      <c r="DCJ5" s="29"/>
      <c r="DCK5" s="29"/>
      <c r="DCL5" s="28"/>
      <c r="DCM5" s="29"/>
      <c r="DCN5" s="30"/>
      <c r="DCO5" s="28"/>
      <c r="DCP5" s="29"/>
      <c r="DCQ5" s="29"/>
      <c r="DCR5" s="32"/>
      <c r="DCS5" s="28"/>
      <c r="DCT5" s="29"/>
      <c r="DCU5" s="29"/>
      <c r="DCV5" s="28"/>
      <c r="DCW5" s="29"/>
      <c r="DCX5" s="30"/>
      <c r="DCY5" s="28"/>
      <c r="DCZ5" s="29"/>
      <c r="DDA5" s="29"/>
      <c r="DDB5" s="32"/>
      <c r="DDC5" s="28"/>
      <c r="DDD5" s="29"/>
      <c r="DDE5" s="29"/>
      <c r="DDF5" s="28"/>
      <c r="DDG5" s="29"/>
      <c r="DDH5" s="30"/>
      <c r="DDI5" s="28"/>
      <c r="DDJ5" s="30"/>
      <c r="DDK5" s="29"/>
      <c r="DDL5" s="28"/>
      <c r="DDM5" s="29"/>
      <c r="DDN5" s="28"/>
      <c r="DDO5" s="28"/>
      <c r="DDP5" s="28"/>
      <c r="DDQ5" s="29"/>
      <c r="DDR5" s="388"/>
      <c r="DDS5" s="29"/>
      <c r="DDT5" s="388"/>
      <c r="DDU5" s="29"/>
      <c r="DDV5" s="388"/>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30"/>
      <c r="DFC5" s="28"/>
      <c r="DFD5" s="29"/>
      <c r="DFE5" s="29"/>
      <c r="DFF5" s="32"/>
      <c r="DFG5" s="32"/>
      <c r="DFH5" s="32"/>
      <c r="DFI5" s="28"/>
      <c r="DFJ5" s="29"/>
      <c r="DFK5" s="29"/>
      <c r="DFL5" s="28"/>
      <c r="DFM5" s="29"/>
      <c r="DFN5" s="30"/>
      <c r="DFO5" s="28"/>
      <c r="DFP5" s="29"/>
      <c r="DFQ5" s="29"/>
      <c r="DFR5" s="32"/>
      <c r="DFS5" s="28"/>
      <c r="DFT5" s="29"/>
      <c r="DFU5" s="29"/>
      <c r="DFV5" s="28"/>
      <c r="DFW5" s="29"/>
      <c r="DFX5" s="30"/>
      <c r="DFY5" s="28"/>
      <c r="DFZ5" s="29"/>
      <c r="DGA5" s="29"/>
      <c r="DGB5" s="32"/>
      <c r="DGC5" s="28"/>
      <c r="DGD5" s="29"/>
      <c r="DGE5" s="29"/>
      <c r="DGF5" s="28"/>
      <c r="DGG5" s="29"/>
      <c r="DGH5" s="30"/>
      <c r="DGI5" s="28"/>
      <c r="DGJ5" s="29"/>
      <c r="DGK5" s="29"/>
      <c r="DGL5" s="32"/>
      <c r="DGM5" s="28"/>
      <c r="DGN5" s="29"/>
      <c r="DGO5" s="29"/>
      <c r="DGP5" s="28"/>
      <c r="DGQ5" s="29"/>
      <c r="DGR5" s="30"/>
      <c r="DGS5" s="28"/>
      <c r="DGT5" s="30"/>
      <c r="DGU5" s="29"/>
      <c r="DGV5" s="28"/>
      <c r="DGW5" s="29"/>
      <c r="DGX5" s="28"/>
      <c r="DGY5" s="28"/>
      <c r="DGZ5" s="28"/>
      <c r="DHA5" s="29"/>
      <c r="DHB5" s="388"/>
      <c r="DHC5" s="29"/>
      <c r="DHD5" s="388"/>
      <c r="DHE5" s="29"/>
      <c r="DHF5" s="388"/>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30"/>
      <c r="DIM5" s="28"/>
      <c r="DIN5" s="29"/>
      <c r="DIO5" s="29"/>
      <c r="DIP5" s="32"/>
      <c r="DIQ5" s="32"/>
      <c r="DIR5" s="32"/>
      <c r="DIS5" s="28"/>
      <c r="DIT5" s="29"/>
      <c r="DIU5" s="29"/>
      <c r="DIV5" s="28"/>
      <c r="DIW5" s="29"/>
      <c r="DIX5" s="30"/>
      <c r="DIY5" s="28"/>
      <c r="DIZ5" s="29"/>
      <c r="DJA5" s="29"/>
      <c r="DJB5" s="32"/>
      <c r="DJC5" s="28"/>
      <c r="DJD5" s="29"/>
      <c r="DJE5" s="29"/>
      <c r="DJF5" s="28"/>
      <c r="DJG5" s="29"/>
      <c r="DJH5" s="30"/>
      <c r="DJI5" s="28"/>
      <c r="DJJ5" s="29"/>
      <c r="DJK5" s="29"/>
      <c r="DJL5" s="32"/>
      <c r="DJM5" s="28"/>
      <c r="DJN5" s="29"/>
      <c r="DJO5" s="29"/>
      <c r="DJP5" s="28"/>
      <c r="DJQ5" s="29"/>
      <c r="DJR5" s="30"/>
      <c r="DJS5" s="28"/>
      <c r="DJT5" s="29"/>
      <c r="DJU5" s="29"/>
      <c r="DJV5" s="32"/>
      <c r="DJW5" s="28"/>
      <c r="DJX5" s="29"/>
      <c r="DJY5" s="29"/>
      <c r="DJZ5" s="28"/>
      <c r="DKA5" s="29"/>
      <c r="DKB5" s="30"/>
      <c r="DKC5" s="28"/>
      <c r="DKD5" s="30"/>
      <c r="DKE5" s="29"/>
      <c r="DKF5" s="28"/>
      <c r="DKG5" s="29"/>
      <c r="DKH5" s="28"/>
      <c r="DKI5" s="28"/>
      <c r="DKJ5" s="28"/>
      <c r="DKK5" s="29"/>
      <c r="DKL5" s="388"/>
      <c r="DKM5" s="29"/>
      <c r="DKN5" s="388"/>
      <c r="DKO5" s="29"/>
      <c r="DKP5" s="388"/>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30"/>
      <c r="DLW5" s="28"/>
      <c r="DLX5" s="29"/>
      <c r="DLY5" s="29"/>
      <c r="DLZ5" s="32"/>
      <c r="DMA5" s="32"/>
      <c r="DMB5" s="32"/>
      <c r="DMC5" s="28"/>
      <c r="DMD5" s="29"/>
      <c r="DME5" s="29"/>
      <c r="DMF5" s="28"/>
      <c r="DMG5" s="29"/>
      <c r="DMH5" s="30"/>
      <c r="DMI5" s="28"/>
      <c r="DMJ5" s="29"/>
      <c r="DMK5" s="29"/>
      <c r="DML5" s="32"/>
      <c r="DMM5" s="28"/>
      <c r="DMN5" s="29"/>
      <c r="DMO5" s="29"/>
      <c r="DMP5" s="28"/>
      <c r="DMQ5" s="29"/>
      <c r="DMR5" s="30"/>
      <c r="DMS5" s="28"/>
      <c r="DMT5" s="29"/>
      <c r="DMU5" s="29"/>
      <c r="DMV5" s="32"/>
      <c r="DMW5" s="28"/>
      <c r="DMX5" s="29"/>
      <c r="DMY5" s="29"/>
      <c r="DMZ5" s="28"/>
      <c r="DNA5" s="29"/>
      <c r="DNB5" s="30"/>
      <c r="DNC5" s="28"/>
      <c r="DND5" s="29"/>
      <c r="DNE5" s="29"/>
      <c r="DNF5" s="32"/>
      <c r="DNG5" s="28"/>
      <c r="DNH5" s="29"/>
      <c r="DNI5" s="29"/>
      <c r="DNJ5" s="28"/>
      <c r="DNK5" s="29"/>
      <c r="DNL5" s="30"/>
      <c r="DNM5" s="28"/>
      <c r="DNN5" s="30"/>
      <c r="DNO5" s="29"/>
      <c r="DNP5" s="28"/>
      <c r="DNQ5" s="29"/>
      <c r="DNR5" s="28"/>
      <c r="DNS5" s="28"/>
      <c r="DNT5" s="28"/>
      <c r="DNU5" s="29"/>
      <c r="DNV5" s="388"/>
      <c r="DNW5" s="29"/>
      <c r="DNX5" s="388"/>
      <c r="DNY5" s="29"/>
      <c r="DNZ5" s="388"/>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30"/>
      <c r="DPG5" s="28"/>
      <c r="DPH5" s="29"/>
      <c r="DPI5" s="29"/>
      <c r="DPJ5" s="32"/>
      <c r="DPK5" s="32"/>
      <c r="DPL5" s="32"/>
      <c r="DPM5" s="28"/>
      <c r="DPN5" s="29"/>
      <c r="DPO5" s="29"/>
      <c r="DPP5" s="28"/>
      <c r="DPQ5" s="29"/>
      <c r="DPR5" s="30"/>
      <c r="DPS5" s="28"/>
      <c r="DPT5" s="29"/>
      <c r="DPU5" s="29"/>
      <c r="DPV5" s="32"/>
      <c r="DPW5" s="28"/>
      <c r="DPX5" s="29"/>
      <c r="DPY5" s="29"/>
      <c r="DPZ5" s="28"/>
      <c r="DQA5" s="29"/>
      <c r="DQB5" s="30"/>
      <c r="DQC5" s="28"/>
      <c r="DQD5" s="29"/>
      <c r="DQE5" s="29"/>
      <c r="DQF5" s="32"/>
      <c r="DQG5" s="28"/>
      <c r="DQH5" s="29"/>
      <c r="DQI5" s="29"/>
      <c r="DQJ5" s="28"/>
      <c r="DQK5" s="29"/>
      <c r="DQL5" s="30"/>
      <c r="DQM5" s="28"/>
      <c r="DQN5" s="29"/>
      <c r="DQO5" s="29"/>
      <c r="DQP5" s="32"/>
      <c r="DQQ5" s="28"/>
      <c r="DQR5" s="29"/>
      <c r="DQS5" s="29"/>
      <c r="DQT5" s="28"/>
      <c r="DQU5" s="29"/>
      <c r="DQV5" s="30"/>
      <c r="DQW5" s="28"/>
      <c r="DQX5" s="30"/>
      <c r="DQY5" s="29"/>
      <c r="DQZ5" s="28"/>
      <c r="DRA5" s="29"/>
      <c r="DRB5" s="28"/>
      <c r="DRC5" s="28"/>
      <c r="DRD5" s="28"/>
      <c r="DRE5" s="29"/>
      <c r="DRF5" s="388"/>
      <c r="DRG5" s="29"/>
      <c r="DRH5" s="388"/>
      <c r="DRI5" s="29"/>
      <c r="DRJ5" s="388"/>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30"/>
      <c r="DSQ5" s="28"/>
      <c r="DSR5" s="29"/>
      <c r="DSS5" s="29"/>
      <c r="DST5" s="32"/>
      <c r="DSU5" s="32"/>
      <c r="DSV5" s="32"/>
      <c r="DSW5" s="28"/>
      <c r="DSX5" s="29"/>
      <c r="DSY5" s="29"/>
      <c r="DSZ5" s="28"/>
      <c r="DTA5" s="29"/>
      <c r="DTB5" s="30"/>
      <c r="DTC5" s="28"/>
      <c r="DTD5" s="29"/>
      <c r="DTE5" s="29"/>
      <c r="DTF5" s="32"/>
      <c r="DTG5" s="28"/>
      <c r="DTH5" s="29"/>
      <c r="DTI5" s="29"/>
      <c r="DTJ5" s="28"/>
      <c r="DTK5" s="29"/>
      <c r="DTL5" s="30"/>
      <c r="DTM5" s="28"/>
      <c r="DTN5" s="29"/>
      <c r="DTO5" s="29"/>
      <c r="DTP5" s="32"/>
      <c r="DTQ5" s="28"/>
      <c r="DTR5" s="29"/>
      <c r="DTS5" s="29"/>
      <c r="DTT5" s="28"/>
      <c r="DTU5" s="29"/>
      <c r="DTV5" s="30"/>
      <c r="DTW5" s="28"/>
      <c r="DTX5" s="29"/>
      <c r="DTY5" s="29"/>
      <c r="DTZ5" s="32"/>
      <c r="DUA5" s="28"/>
      <c r="DUB5" s="29"/>
      <c r="DUC5" s="29"/>
      <c r="DUD5" s="28"/>
      <c r="DUE5" s="29"/>
      <c r="DUF5" s="30"/>
      <c r="DUG5" s="28"/>
      <c r="DUH5" s="30"/>
      <c r="DUI5" s="29"/>
      <c r="DUJ5" s="28"/>
      <c r="DUK5" s="29"/>
      <c r="DUL5" s="28"/>
      <c r="DUM5" s="28"/>
      <c r="DUN5" s="28"/>
      <c r="DUO5" s="29"/>
      <c r="DUP5" s="388"/>
      <c r="DUQ5" s="29"/>
      <c r="DUR5" s="388"/>
      <c r="DUS5" s="29"/>
      <c r="DUT5" s="388"/>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30"/>
      <c r="DWA5" s="28"/>
      <c r="DWB5" s="29"/>
      <c r="DWC5" s="29"/>
      <c r="DWD5" s="32"/>
      <c r="DWE5" s="32"/>
      <c r="DWF5" s="32"/>
      <c r="DWG5" s="28"/>
      <c r="DWH5" s="29"/>
      <c r="DWI5" s="29"/>
      <c r="DWJ5" s="28"/>
      <c r="DWK5" s="29"/>
      <c r="DWL5" s="30"/>
      <c r="DWM5" s="28"/>
      <c r="DWN5" s="29"/>
      <c r="DWO5" s="29"/>
      <c r="DWP5" s="32"/>
      <c r="DWQ5" s="28"/>
      <c r="DWR5" s="29"/>
      <c r="DWS5" s="29"/>
      <c r="DWT5" s="28"/>
      <c r="DWU5" s="29"/>
      <c r="DWV5" s="30"/>
      <c r="DWW5" s="28"/>
      <c r="DWX5" s="29"/>
      <c r="DWY5" s="29"/>
      <c r="DWZ5" s="32"/>
      <c r="DXA5" s="28"/>
      <c r="DXB5" s="29"/>
      <c r="DXC5" s="29"/>
      <c r="DXD5" s="28"/>
      <c r="DXE5" s="29"/>
      <c r="DXF5" s="30"/>
      <c r="DXG5" s="28"/>
      <c r="DXH5" s="29"/>
      <c r="DXI5" s="29"/>
      <c r="DXJ5" s="32"/>
      <c r="DXK5" s="28"/>
      <c r="DXL5" s="29"/>
      <c r="DXM5" s="29"/>
      <c r="DXN5" s="28"/>
      <c r="DXO5" s="29"/>
      <c r="DXP5" s="30"/>
      <c r="DXQ5" s="28"/>
      <c r="DXR5" s="30"/>
      <c r="DXS5" s="29"/>
      <c r="DXT5" s="28"/>
      <c r="DXU5" s="29"/>
      <c r="DXV5" s="28"/>
      <c r="DXW5" s="28"/>
      <c r="DXX5" s="28"/>
      <c r="DXY5" s="29"/>
      <c r="DXZ5" s="388"/>
      <c r="DYA5" s="29"/>
      <c r="DYB5" s="388"/>
      <c r="DYC5" s="29"/>
      <c r="DYD5" s="388"/>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30"/>
      <c r="DZK5" s="28"/>
      <c r="DZL5" s="29"/>
      <c r="DZM5" s="29"/>
      <c r="DZN5" s="32"/>
      <c r="DZO5" s="32"/>
      <c r="DZP5" s="32"/>
      <c r="DZQ5" s="28"/>
      <c r="DZR5" s="29"/>
      <c r="DZS5" s="29"/>
      <c r="DZT5" s="28"/>
      <c r="DZU5" s="29"/>
      <c r="DZV5" s="30"/>
      <c r="DZW5" s="28"/>
      <c r="DZX5" s="29"/>
      <c r="DZY5" s="29"/>
      <c r="DZZ5" s="32"/>
      <c r="EAA5" s="28"/>
      <c r="EAB5" s="29"/>
      <c r="EAC5" s="29"/>
      <c r="EAD5" s="28"/>
      <c r="EAE5" s="29"/>
      <c r="EAF5" s="30"/>
      <c r="EAG5" s="28"/>
      <c r="EAH5" s="29"/>
      <c r="EAI5" s="29"/>
      <c r="EAJ5" s="32"/>
      <c r="EAK5" s="28"/>
      <c r="EAL5" s="29"/>
      <c r="EAM5" s="29"/>
      <c r="EAN5" s="28"/>
      <c r="EAO5" s="29"/>
      <c r="EAP5" s="30"/>
      <c r="EAQ5" s="28"/>
      <c r="EAR5" s="29"/>
      <c r="EAS5" s="29"/>
      <c r="EAT5" s="32"/>
      <c r="EAU5" s="28"/>
      <c r="EAV5" s="29"/>
      <c r="EAW5" s="29"/>
      <c r="EAX5" s="28"/>
      <c r="EAY5" s="29"/>
      <c r="EAZ5" s="30"/>
      <c r="EBA5" s="28"/>
      <c r="EBB5" s="30"/>
      <c r="EBC5" s="29"/>
      <c r="EBD5" s="28"/>
      <c r="EBE5" s="29"/>
      <c r="EBF5" s="28"/>
      <c r="EBG5" s="28"/>
      <c r="EBH5" s="28"/>
      <c r="EBI5" s="29"/>
      <c r="EBJ5" s="388"/>
      <c r="EBK5" s="29"/>
      <c r="EBL5" s="388"/>
      <c r="EBM5" s="29"/>
      <c r="EBN5" s="388"/>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30"/>
      <c r="ECU5" s="28"/>
      <c r="ECV5" s="29"/>
      <c r="ECW5" s="29"/>
      <c r="ECX5" s="32"/>
      <c r="ECY5" s="32"/>
      <c r="ECZ5" s="32"/>
      <c r="EDA5" s="28"/>
      <c r="EDB5" s="29"/>
      <c r="EDC5" s="29"/>
      <c r="EDD5" s="28"/>
      <c r="EDE5" s="29"/>
      <c r="EDF5" s="30"/>
      <c r="EDG5" s="28"/>
      <c r="EDH5" s="29"/>
      <c r="EDI5" s="29"/>
      <c r="EDJ5" s="32"/>
      <c r="EDK5" s="28"/>
      <c r="EDL5" s="29"/>
      <c r="EDM5" s="29"/>
      <c r="EDN5" s="28"/>
      <c r="EDO5" s="29"/>
      <c r="EDP5" s="30"/>
      <c r="EDQ5" s="28"/>
      <c r="EDR5" s="29"/>
      <c r="EDS5" s="29"/>
      <c r="EDT5" s="32"/>
      <c r="EDU5" s="28"/>
      <c r="EDV5" s="29"/>
      <c r="EDW5" s="29"/>
      <c r="EDX5" s="28"/>
      <c r="EDY5" s="29"/>
      <c r="EDZ5" s="30"/>
      <c r="EEA5" s="28"/>
      <c r="EEB5" s="29"/>
      <c r="EEC5" s="29"/>
      <c r="EED5" s="32"/>
      <c r="EEE5" s="28"/>
      <c r="EEF5" s="29"/>
      <c r="EEG5" s="29"/>
      <c r="EEH5" s="28"/>
      <c r="EEI5" s="29"/>
      <c r="EEJ5" s="30"/>
      <c r="EEK5" s="28"/>
      <c r="EEL5" s="30"/>
      <c r="EEM5" s="29"/>
      <c r="EEN5" s="28"/>
      <c r="EEO5" s="29"/>
      <c r="EEP5" s="28"/>
      <c r="EEQ5" s="28"/>
      <c r="EER5" s="28"/>
      <c r="EES5" s="29"/>
      <c r="EET5" s="388"/>
      <c r="EEU5" s="29"/>
      <c r="EEV5" s="388"/>
      <c r="EEW5" s="29"/>
      <c r="EEX5" s="388"/>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30"/>
      <c r="EGE5" s="28"/>
      <c r="EGF5" s="29"/>
      <c r="EGG5" s="29"/>
      <c r="EGH5" s="32"/>
      <c r="EGI5" s="32"/>
      <c r="EGJ5" s="32"/>
      <c r="EGK5" s="28"/>
      <c r="EGL5" s="29"/>
      <c r="EGM5" s="29"/>
      <c r="EGN5" s="28"/>
      <c r="EGO5" s="29"/>
      <c r="EGP5" s="30"/>
      <c r="EGQ5" s="28"/>
      <c r="EGR5" s="29"/>
      <c r="EGS5" s="29"/>
      <c r="EGT5" s="32"/>
      <c r="EGU5" s="28"/>
      <c r="EGV5" s="29"/>
      <c r="EGW5" s="29"/>
      <c r="EGX5" s="28"/>
      <c r="EGY5" s="29"/>
      <c r="EGZ5" s="30"/>
      <c r="EHA5" s="28"/>
      <c r="EHB5" s="29"/>
      <c r="EHC5" s="29"/>
      <c r="EHD5" s="32"/>
      <c r="EHE5" s="28"/>
      <c r="EHF5" s="29"/>
      <c r="EHG5" s="29"/>
      <c r="EHH5" s="28"/>
      <c r="EHI5" s="29"/>
      <c r="EHJ5" s="30"/>
      <c r="EHK5" s="28"/>
      <c r="EHL5" s="29"/>
      <c r="EHM5" s="29"/>
      <c r="EHN5" s="32"/>
      <c r="EHO5" s="28"/>
      <c r="EHP5" s="29"/>
      <c r="EHQ5" s="29"/>
      <c r="EHR5" s="28"/>
      <c r="EHS5" s="29"/>
      <c r="EHT5" s="30"/>
      <c r="EHU5" s="28"/>
      <c r="EHV5" s="30"/>
      <c r="EHW5" s="29"/>
      <c r="EHX5" s="28"/>
      <c r="EHY5" s="29"/>
      <c r="EHZ5" s="28"/>
      <c r="EIA5" s="28"/>
      <c r="EIB5" s="28"/>
      <c r="EIC5" s="29"/>
      <c r="EID5" s="388"/>
      <c r="EIE5" s="29"/>
      <c r="EIF5" s="388"/>
      <c r="EIG5" s="29"/>
      <c r="EIH5" s="388"/>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30"/>
      <c r="EJO5" s="28"/>
      <c r="EJP5" s="29"/>
      <c r="EJQ5" s="29"/>
      <c r="EJR5" s="32"/>
      <c r="EJS5" s="32"/>
      <c r="EJT5" s="32"/>
      <c r="EJU5" s="28"/>
      <c r="EJV5" s="29"/>
      <c r="EJW5" s="29"/>
      <c r="EJX5" s="28"/>
      <c r="EJY5" s="29"/>
      <c r="EJZ5" s="30"/>
      <c r="EKA5" s="28"/>
      <c r="EKB5" s="29"/>
      <c r="EKC5" s="29"/>
      <c r="EKD5" s="32"/>
      <c r="EKE5" s="28"/>
      <c r="EKF5" s="29"/>
      <c r="EKG5" s="29"/>
      <c r="EKH5" s="28"/>
      <c r="EKI5" s="29"/>
      <c r="EKJ5" s="30"/>
      <c r="EKK5" s="28"/>
      <c r="EKL5" s="29"/>
      <c r="EKM5" s="29"/>
      <c r="EKN5" s="32"/>
      <c r="EKO5" s="28"/>
      <c r="EKP5" s="29"/>
      <c r="EKQ5" s="29"/>
      <c r="EKR5" s="28"/>
      <c r="EKS5" s="29"/>
      <c r="EKT5" s="30"/>
      <c r="EKU5" s="28"/>
      <c r="EKV5" s="29"/>
      <c r="EKW5" s="29"/>
      <c r="EKX5" s="32"/>
      <c r="EKY5" s="28"/>
      <c r="EKZ5" s="29"/>
      <c r="ELA5" s="29"/>
      <c r="ELB5" s="28"/>
      <c r="ELC5" s="29"/>
      <c r="ELD5" s="30"/>
      <c r="ELE5" s="28"/>
      <c r="ELF5" s="30"/>
      <c r="ELG5" s="29"/>
      <c r="ELH5" s="28"/>
      <c r="ELI5" s="29"/>
      <c r="ELJ5" s="28"/>
      <c r="ELK5" s="28"/>
      <c r="ELL5" s="28"/>
      <c r="ELM5" s="29"/>
      <c r="ELN5" s="388"/>
      <c r="ELO5" s="29"/>
      <c r="ELP5" s="388"/>
      <c r="ELQ5" s="29"/>
      <c r="ELR5" s="388"/>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30"/>
      <c r="EMY5" s="28"/>
      <c r="EMZ5" s="29"/>
      <c r="ENA5" s="29"/>
      <c r="ENB5" s="32"/>
      <c r="ENC5" s="32"/>
      <c r="END5" s="32"/>
      <c r="ENE5" s="28"/>
      <c r="ENF5" s="29"/>
      <c r="ENG5" s="29"/>
      <c r="ENH5" s="28"/>
      <c r="ENI5" s="29"/>
      <c r="ENJ5" s="30"/>
      <c r="ENK5" s="28"/>
      <c r="ENL5" s="29"/>
      <c r="ENM5" s="29"/>
      <c r="ENN5" s="32"/>
      <c r="ENO5" s="28"/>
      <c r="ENP5" s="29"/>
      <c r="ENQ5" s="29"/>
      <c r="ENR5" s="28"/>
      <c r="ENS5" s="29"/>
      <c r="ENT5" s="30"/>
      <c r="ENU5" s="28"/>
      <c r="ENV5" s="29"/>
      <c r="ENW5" s="29"/>
      <c r="ENX5" s="32"/>
      <c r="ENY5" s="28"/>
      <c r="ENZ5" s="29"/>
      <c r="EOA5" s="29"/>
      <c r="EOB5" s="28"/>
      <c r="EOC5" s="29"/>
      <c r="EOD5" s="30"/>
      <c r="EOE5" s="28"/>
      <c r="EOF5" s="29"/>
      <c r="EOG5" s="29"/>
      <c r="EOH5" s="32"/>
      <c r="EOI5" s="28"/>
      <c r="EOJ5" s="29"/>
      <c r="EOK5" s="29"/>
      <c r="EOL5" s="28"/>
      <c r="EOM5" s="29"/>
      <c r="EON5" s="30" t="s">
        <v>5572</v>
      </c>
      <c r="EOO5" s="28" t="str">
        <f t="shared" si="75"/>
        <v xml:space="preserve"> </v>
      </c>
    </row>
    <row r="6" spans="1:3873" x14ac:dyDescent="0.3">
      <c r="A6" s="55" t="s">
        <v>106</v>
      </c>
      <c r="B6" s="58"/>
      <c r="C6" s="57"/>
      <c r="D6" s="56" t="str">
        <f t="shared" si="61"/>
        <v xml:space="preserve"> </v>
      </c>
      <c r="E6" s="57"/>
      <c r="F6" s="56"/>
      <c r="G6" s="56"/>
      <c r="H6" s="56"/>
      <c r="I6" s="57"/>
      <c r="J6" s="386"/>
      <c r="K6" s="57"/>
      <c r="L6" s="386"/>
      <c r="M6" s="57"/>
      <c r="N6" s="386"/>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8"/>
      <c r="AU6" s="56"/>
      <c r="AV6" s="57"/>
      <c r="AW6" s="57"/>
      <c r="AX6" s="57"/>
      <c r="AY6" s="57"/>
      <c r="AZ6" s="57"/>
      <c r="BA6" s="56"/>
      <c r="BB6" s="57"/>
      <c r="BC6" s="57"/>
      <c r="BD6" s="56"/>
      <c r="BE6" s="57"/>
      <c r="BF6" s="58"/>
      <c r="BG6" s="56"/>
      <c r="BH6" s="57"/>
      <c r="BI6" s="57"/>
      <c r="BJ6" s="57"/>
      <c r="BK6" s="56"/>
      <c r="BL6" s="57"/>
      <c r="BM6" s="57"/>
      <c r="BN6" s="56"/>
      <c r="BO6" s="57"/>
      <c r="BP6" s="58"/>
      <c r="BQ6" s="56"/>
      <c r="BR6" s="57"/>
      <c r="BS6" s="57"/>
      <c r="BT6" s="57"/>
      <c r="BU6" s="56"/>
      <c r="BV6" s="57"/>
      <c r="BW6" s="57"/>
      <c r="BX6" s="56"/>
      <c r="BY6" s="57"/>
      <c r="BZ6" s="58"/>
      <c r="CA6" s="56"/>
      <c r="CB6" s="57"/>
      <c r="CC6" s="57"/>
      <c r="CD6" s="57"/>
      <c r="CE6" s="56"/>
      <c r="CF6" s="57"/>
      <c r="CG6" s="57"/>
      <c r="CH6" s="56"/>
      <c r="CI6" s="57"/>
      <c r="CJ6" s="58"/>
      <c r="CK6" s="56"/>
      <c r="CL6" s="57"/>
      <c r="CM6" s="57"/>
      <c r="CN6" s="57"/>
      <c r="CO6" s="56"/>
      <c r="CP6" s="57"/>
      <c r="CQ6" s="57"/>
      <c r="CR6" s="56"/>
      <c r="CS6" s="57"/>
      <c r="CT6" s="58"/>
      <c r="CU6" s="56"/>
      <c r="CV6" s="57"/>
      <c r="CW6" s="57"/>
      <c r="CX6" s="57"/>
      <c r="CY6" s="56"/>
      <c r="CZ6" s="57"/>
      <c r="DA6" s="57"/>
      <c r="DB6" s="56"/>
      <c r="DC6" s="57"/>
      <c r="DD6" s="58"/>
      <c r="DE6" s="56"/>
      <c r="DF6" s="57"/>
      <c r="DG6" s="57"/>
      <c r="DH6" s="57"/>
      <c r="DI6" s="56"/>
      <c r="DJ6" s="57"/>
      <c r="DK6" s="57"/>
      <c r="DL6" s="56"/>
      <c r="DM6" s="57"/>
      <c r="DN6" s="58"/>
      <c r="DO6" s="56"/>
      <c r="DP6" s="57"/>
      <c r="DQ6" s="57"/>
      <c r="DR6" s="57"/>
      <c r="DS6" s="56"/>
      <c r="DT6" s="57"/>
      <c r="DU6" s="57"/>
      <c r="DV6" s="56"/>
      <c r="DW6" s="57"/>
      <c r="DX6" s="58"/>
      <c r="DY6" s="56"/>
      <c r="DZ6" s="57"/>
      <c r="EA6" s="57"/>
      <c r="EB6" s="57"/>
      <c r="EC6" s="56"/>
      <c r="ED6" s="57"/>
      <c r="EE6" s="56"/>
      <c r="EF6" s="56"/>
      <c r="EG6" s="57"/>
      <c r="EH6" s="58"/>
      <c r="EI6" s="56"/>
      <c r="EJ6" s="57"/>
      <c r="EK6" s="57"/>
      <c r="EL6" s="57"/>
      <c r="EM6" s="56"/>
      <c r="EN6" s="57"/>
      <c r="EO6" s="57"/>
      <c r="EP6" s="56"/>
      <c r="EQ6" s="57"/>
      <c r="ER6" s="58"/>
      <c r="ES6" s="56"/>
      <c r="ET6" s="57"/>
      <c r="EU6" s="57"/>
      <c r="EV6" s="57"/>
      <c r="EW6" s="56"/>
      <c r="EX6" s="57"/>
      <c r="EY6" s="57"/>
      <c r="EZ6" s="56"/>
      <c r="FA6" s="57"/>
      <c r="FB6" s="58"/>
      <c r="FC6" s="56"/>
      <c r="FD6" s="57"/>
      <c r="FE6" s="57"/>
      <c r="FF6" s="57"/>
      <c r="FG6" s="56"/>
      <c r="FH6" s="57"/>
      <c r="FI6" s="57"/>
      <c r="FJ6" s="56"/>
      <c r="FK6" s="57"/>
      <c r="FL6" s="58"/>
      <c r="FM6" s="56"/>
      <c r="FN6" s="57"/>
      <c r="FO6" s="57"/>
      <c r="FP6" s="57"/>
      <c r="FQ6" s="56"/>
      <c r="FR6" s="57"/>
      <c r="FS6" s="57"/>
      <c r="FT6" s="56"/>
      <c r="FU6" s="57"/>
      <c r="FV6" s="58"/>
      <c r="FW6" s="56"/>
      <c r="FX6" s="57"/>
      <c r="FY6" s="57"/>
      <c r="FZ6" s="57"/>
      <c r="GA6" s="56"/>
      <c r="GB6" s="57"/>
      <c r="GC6" s="57"/>
      <c r="GD6" s="56"/>
      <c r="GE6" s="57"/>
      <c r="GF6" s="58"/>
      <c r="GG6" s="56"/>
      <c r="GH6" s="57"/>
      <c r="GI6" s="57"/>
      <c r="GJ6" s="57"/>
      <c r="GK6" s="56"/>
      <c r="GL6" s="57"/>
      <c r="GM6" s="57"/>
      <c r="GN6" s="56"/>
      <c r="GO6" s="57"/>
      <c r="GP6" s="58"/>
      <c r="GQ6" s="56"/>
      <c r="GR6" s="57"/>
      <c r="GS6" s="57"/>
      <c r="GT6" s="57"/>
      <c r="GU6" s="56"/>
      <c r="GV6" s="57"/>
      <c r="GW6" s="57"/>
      <c r="GX6" s="56"/>
      <c r="GY6" s="57"/>
      <c r="GZ6" s="58"/>
      <c r="HA6" s="56"/>
      <c r="HB6" s="57"/>
      <c r="HC6" s="57"/>
      <c r="HD6" s="57"/>
      <c r="HE6" s="56"/>
      <c r="HF6" s="57"/>
      <c r="HG6" s="57"/>
      <c r="HH6" s="56"/>
      <c r="HI6" s="57"/>
      <c r="HJ6" s="58"/>
      <c r="HK6" s="56"/>
      <c r="HL6" s="57"/>
      <c r="HM6" s="57"/>
      <c r="HN6" s="57"/>
      <c r="HO6" s="56"/>
      <c r="HP6" s="57"/>
      <c r="HQ6" s="57"/>
      <c r="HR6" s="56"/>
      <c r="HS6" s="57"/>
      <c r="HT6" s="58"/>
      <c r="HU6" s="56"/>
      <c r="HV6" s="57"/>
      <c r="HW6" s="57"/>
      <c r="HX6" s="57"/>
      <c r="HY6" s="56"/>
      <c r="HZ6" s="57"/>
      <c r="IA6" s="57"/>
      <c r="IB6" s="56"/>
      <c r="IC6" s="57"/>
      <c r="ID6" s="58"/>
      <c r="IE6" s="56"/>
      <c r="IF6" s="57"/>
      <c r="IG6" s="57"/>
      <c r="IH6" s="57"/>
      <c r="II6" s="56"/>
      <c r="IJ6" s="57"/>
      <c r="IK6" s="57"/>
      <c r="IL6" s="56"/>
      <c r="IM6" s="57"/>
      <c r="IN6" s="58"/>
      <c r="IO6" s="56"/>
      <c r="IP6" s="57"/>
      <c r="IQ6" s="57"/>
      <c r="IR6" s="57"/>
      <c r="IS6" s="56"/>
      <c r="IT6" s="57"/>
      <c r="IU6" s="57"/>
      <c r="IV6" s="56"/>
      <c r="IW6" s="57"/>
      <c r="IX6" s="58"/>
      <c r="IY6" s="56"/>
      <c r="IZ6" s="57"/>
      <c r="JA6" s="57"/>
      <c r="JB6" s="57"/>
      <c r="JC6" s="56"/>
      <c r="JD6" s="57"/>
      <c r="JE6" s="57"/>
      <c r="JF6" s="56"/>
      <c r="JG6" s="57"/>
      <c r="JH6" s="58"/>
      <c r="JI6" s="56"/>
      <c r="JJ6" s="57"/>
      <c r="JK6" s="57"/>
      <c r="JL6" s="57"/>
      <c r="JM6" s="56"/>
      <c r="JN6" s="57"/>
      <c r="JO6" s="57"/>
      <c r="JP6" s="56"/>
      <c r="JQ6" s="57"/>
      <c r="JR6" s="58"/>
      <c r="JS6" s="56"/>
      <c r="JT6" s="57"/>
      <c r="JU6" s="57"/>
      <c r="JV6" s="57"/>
      <c r="JW6" s="56"/>
      <c r="JX6" s="57"/>
      <c r="JY6" s="57"/>
      <c r="JZ6" s="56"/>
      <c r="KA6" s="57"/>
      <c r="KB6" s="58"/>
      <c r="KC6" s="56"/>
      <c r="KD6" s="57"/>
      <c r="KE6" s="57"/>
      <c r="KF6" s="57"/>
      <c r="KG6" s="56"/>
      <c r="KH6" s="57"/>
      <c r="KI6" s="57"/>
      <c r="KJ6" s="56"/>
      <c r="KK6" s="57"/>
      <c r="KL6" s="58"/>
      <c r="KM6" s="56"/>
      <c r="KN6" s="57"/>
      <c r="KO6" s="57"/>
      <c r="KP6" s="57"/>
      <c r="KQ6" s="56"/>
      <c r="KR6" s="57"/>
      <c r="KS6" s="57"/>
      <c r="KT6" s="56"/>
      <c r="KU6" s="57"/>
      <c r="KV6" s="58"/>
      <c r="KW6" s="56"/>
      <c r="KX6" s="57"/>
      <c r="KY6" s="57"/>
      <c r="KZ6" s="57"/>
      <c r="LA6" s="56"/>
      <c r="LB6" s="57"/>
      <c r="LC6" s="57"/>
      <c r="LD6" s="56"/>
      <c r="LE6" s="57"/>
      <c r="LF6" s="58"/>
      <c r="LG6" s="56"/>
      <c r="LH6" s="57"/>
      <c r="LI6" s="57"/>
      <c r="LJ6" s="57"/>
      <c r="LK6" s="56"/>
      <c r="LL6" s="57"/>
      <c r="LM6" s="57"/>
      <c r="LN6" s="56"/>
      <c r="LO6" s="57"/>
      <c r="LP6" s="58"/>
      <c r="LQ6" s="56"/>
      <c r="LR6" s="57"/>
      <c r="LS6" s="57"/>
      <c r="LT6" s="57"/>
      <c r="LU6" s="56"/>
      <c r="LV6" s="57"/>
      <c r="LW6" s="57"/>
      <c r="LX6" s="56"/>
      <c r="LY6" s="57"/>
      <c r="LZ6" s="58"/>
      <c r="MA6" s="56"/>
      <c r="MB6" s="57"/>
      <c r="MC6" s="57"/>
      <c r="MD6" s="57"/>
      <c r="ME6" s="56"/>
      <c r="MF6" s="57"/>
      <c r="MG6" s="57"/>
      <c r="MH6" s="56"/>
      <c r="MI6" s="57"/>
      <c r="MJ6" s="58"/>
      <c r="MK6" s="56"/>
      <c r="ML6" s="57"/>
      <c r="MM6" s="57"/>
      <c r="MN6" s="57"/>
      <c r="MO6" s="56"/>
      <c r="MP6" s="57"/>
      <c r="MQ6" s="57"/>
      <c r="MR6" s="56"/>
      <c r="MS6" s="57"/>
      <c r="MT6" s="58"/>
      <c r="MU6" s="56"/>
      <c r="MV6" s="57"/>
      <c r="MW6" s="57"/>
      <c r="MX6" s="57"/>
      <c r="MY6" s="56"/>
      <c r="MZ6" s="57"/>
      <c r="NA6" s="57"/>
      <c r="NB6" s="56"/>
      <c r="NC6" s="57"/>
      <c r="ND6" s="58"/>
      <c r="NE6" s="56"/>
      <c r="NF6" s="57"/>
      <c r="NG6" s="57"/>
      <c r="NH6" s="57"/>
      <c r="NI6" s="56"/>
      <c r="NJ6" s="57"/>
      <c r="NK6" s="57"/>
      <c r="NL6" s="56"/>
      <c r="NM6" s="57"/>
      <c r="NN6" s="58"/>
      <c r="NO6" s="56"/>
      <c r="NP6" s="57"/>
      <c r="NQ6" s="57"/>
      <c r="NR6" s="57"/>
      <c r="NS6" s="56"/>
      <c r="NT6" s="57"/>
      <c r="NU6" s="57"/>
      <c r="NV6" s="56"/>
      <c r="NW6" s="57"/>
      <c r="NX6" s="58"/>
      <c r="NY6" s="56"/>
      <c r="NZ6" s="57"/>
      <c r="OA6" s="57"/>
      <c r="OB6" s="57"/>
      <c r="OC6" s="56"/>
      <c r="OD6" s="57"/>
      <c r="OE6" s="57"/>
      <c r="OF6" s="58"/>
      <c r="OG6" s="58"/>
      <c r="OH6" s="58"/>
      <c r="OI6" s="56"/>
      <c r="OJ6" s="58"/>
      <c r="OK6" s="58"/>
      <c r="OL6" s="58"/>
      <c r="OM6" s="58"/>
      <c r="ON6" s="58"/>
      <c r="OO6" s="58"/>
      <c r="OP6" s="56"/>
      <c r="OQ6" s="57"/>
      <c r="OR6" s="58"/>
      <c r="OS6" s="56"/>
      <c r="OT6" s="57"/>
      <c r="OU6" s="57"/>
      <c r="OV6" s="57"/>
      <c r="OW6" s="56"/>
      <c r="OX6" s="57"/>
      <c r="OY6" s="57"/>
      <c r="OZ6" s="56"/>
      <c r="PA6" s="57"/>
      <c r="PB6" s="58"/>
      <c r="PC6" s="56"/>
      <c r="PD6" s="57"/>
      <c r="PE6" s="57"/>
      <c r="PF6" s="57"/>
      <c r="PG6" s="56"/>
      <c r="PH6" s="57"/>
      <c r="PI6" s="57"/>
      <c r="PJ6" s="56"/>
      <c r="PK6" s="57"/>
      <c r="PL6" s="58"/>
      <c r="PM6" s="56"/>
      <c r="PN6" s="57"/>
      <c r="PO6" s="57"/>
      <c r="PP6" s="57"/>
      <c r="PQ6" s="56"/>
      <c r="PR6" s="57"/>
      <c r="PS6" s="57"/>
      <c r="PT6" s="56"/>
      <c r="PU6" s="57"/>
      <c r="PV6" s="58"/>
      <c r="PW6" s="56"/>
      <c r="PX6" s="57"/>
      <c r="PY6" s="57"/>
      <c r="PZ6" s="57"/>
      <c r="QA6" s="56"/>
      <c r="QB6" s="57"/>
      <c r="QC6" s="57"/>
      <c r="QD6" s="56"/>
      <c r="QE6" s="57"/>
      <c r="QF6" s="58"/>
      <c r="QG6" s="56"/>
      <c r="QH6" s="57"/>
      <c r="QI6" s="57"/>
      <c r="QJ6" s="57"/>
      <c r="QK6" s="56"/>
      <c r="QL6" s="57"/>
      <c r="QM6" s="57"/>
      <c r="QN6" s="56"/>
      <c r="QO6" s="57"/>
      <c r="QP6" s="58"/>
      <c r="QQ6" s="56"/>
      <c r="QR6" s="57"/>
      <c r="QS6" s="57"/>
      <c r="QT6" s="57"/>
      <c r="QU6" s="56"/>
      <c r="QV6" s="57"/>
      <c r="QW6" s="57"/>
      <c r="QX6" s="56"/>
      <c r="QY6" s="57"/>
      <c r="QZ6" s="58"/>
      <c r="RA6" s="56"/>
      <c r="RB6" s="57"/>
      <c r="RC6" s="57"/>
      <c r="RD6" s="57"/>
      <c r="RE6" s="56"/>
      <c r="RF6" s="57"/>
      <c r="RG6" s="57"/>
      <c r="RH6" s="56"/>
      <c r="RI6" s="57"/>
      <c r="RJ6" s="58"/>
      <c r="RK6" s="56"/>
      <c r="RL6" s="57"/>
      <c r="RM6" s="57"/>
      <c r="RN6" s="57"/>
      <c r="RO6" s="56"/>
      <c r="RP6" s="57"/>
      <c r="RQ6" s="57"/>
      <c r="RR6" s="56"/>
      <c r="RS6" s="57"/>
      <c r="RT6" s="58"/>
      <c r="RU6" s="56"/>
      <c r="RV6" s="57"/>
      <c r="RW6" s="57"/>
      <c r="RX6" s="57"/>
      <c r="RY6" s="56"/>
      <c r="RZ6" s="57"/>
      <c r="SA6" s="57"/>
      <c r="SB6" s="56"/>
      <c r="SC6" s="57"/>
      <c r="SD6" s="58"/>
      <c r="SE6" s="56"/>
      <c r="SF6" s="57"/>
      <c r="SG6" s="57"/>
      <c r="SH6" s="57"/>
      <c r="SI6" s="56"/>
      <c r="SJ6" s="57"/>
      <c r="SK6" s="57"/>
      <c r="SL6" s="56"/>
      <c r="SM6" s="57"/>
      <c r="SN6" s="58"/>
      <c r="SO6" s="56"/>
      <c r="SP6" s="57"/>
      <c r="SQ6" s="57"/>
      <c r="SR6" s="57"/>
      <c r="SS6" s="56"/>
      <c r="ST6" s="57"/>
      <c r="SU6" s="57"/>
      <c r="SV6" s="56"/>
      <c r="SW6" s="57"/>
      <c r="SX6" s="58"/>
      <c r="SY6" s="56"/>
      <c r="SZ6" s="57"/>
      <c r="TA6" s="57"/>
      <c r="TB6" s="57"/>
      <c r="TC6" s="56"/>
      <c r="TD6" s="57"/>
      <c r="TE6" s="57"/>
      <c r="TF6" s="56"/>
      <c r="TG6" s="57"/>
      <c r="TH6" s="58"/>
      <c r="TI6" s="56"/>
      <c r="TJ6" s="57"/>
      <c r="TK6" s="57"/>
      <c r="TL6" s="57"/>
      <c r="TM6" s="56"/>
      <c r="TN6" s="57"/>
      <c r="TO6" s="57"/>
      <c r="TP6" s="56"/>
      <c r="TQ6" s="57"/>
      <c r="TR6" s="58"/>
      <c r="TS6" s="56"/>
      <c r="TT6" s="57"/>
      <c r="TU6" s="57"/>
      <c r="TV6" s="57"/>
      <c r="TW6" s="56"/>
      <c r="TX6" s="57"/>
      <c r="TY6" s="57"/>
      <c r="TZ6" s="56"/>
      <c r="UA6" s="57"/>
      <c r="UB6" s="58"/>
      <c r="UC6" s="56"/>
      <c r="UD6" s="57"/>
      <c r="UE6" s="57"/>
      <c r="UF6" s="57"/>
      <c r="UG6" s="56"/>
      <c r="UH6" s="57"/>
      <c r="UI6" s="57"/>
      <c r="UJ6" s="56"/>
      <c r="UK6" s="57"/>
      <c r="UL6" s="58"/>
      <c r="UM6" s="56"/>
      <c r="UN6" s="57"/>
      <c r="UO6" s="57"/>
      <c r="UP6" s="57"/>
      <c r="UQ6" s="56"/>
      <c r="UR6" s="57"/>
      <c r="US6" s="57"/>
      <c r="UT6" s="56"/>
      <c r="UU6" s="57"/>
      <c r="UV6" s="58"/>
      <c r="UW6" s="56"/>
      <c r="UX6" s="57"/>
      <c r="UY6" s="57"/>
      <c r="UZ6" s="57"/>
      <c r="VA6" s="56"/>
      <c r="VB6" s="57"/>
      <c r="VC6" s="57"/>
      <c r="VD6" s="56"/>
      <c r="VE6" s="57"/>
      <c r="VF6" s="58"/>
      <c r="VG6" s="56"/>
      <c r="VH6" s="57"/>
      <c r="VI6" s="57"/>
      <c r="VJ6" s="57"/>
      <c r="VK6" s="56"/>
      <c r="VL6" s="57"/>
      <c r="VM6" s="57"/>
      <c r="VN6" s="56"/>
      <c r="VO6" s="57"/>
      <c r="VP6" s="58"/>
      <c r="VQ6" s="56"/>
      <c r="VR6" s="57"/>
      <c r="VS6" s="57"/>
      <c r="VT6" s="57"/>
      <c r="VU6" s="56"/>
      <c r="VV6" s="57"/>
      <c r="VW6" s="57"/>
      <c r="VX6" s="56"/>
      <c r="VY6" s="57"/>
      <c r="VZ6" s="58"/>
      <c r="WA6" s="56"/>
      <c r="WB6" s="57"/>
      <c r="WC6" s="57"/>
      <c r="WD6" s="57"/>
      <c r="WE6" s="56"/>
      <c r="WF6" s="57"/>
      <c r="WG6" s="57"/>
      <c r="WH6" s="56"/>
      <c r="WI6" s="57"/>
      <c r="WJ6" s="58"/>
      <c r="WK6" s="56"/>
      <c r="WL6" s="57"/>
      <c r="WM6" s="57"/>
      <c r="WN6" s="57"/>
      <c r="WO6" s="56"/>
      <c r="WP6" s="57"/>
      <c r="WQ6" s="57"/>
      <c r="WR6" s="56"/>
      <c r="WS6" s="57"/>
      <c r="WT6" s="58"/>
      <c r="WU6" s="56"/>
      <c r="WV6" s="57"/>
      <c r="WW6" s="57"/>
      <c r="WX6" s="57"/>
      <c r="WY6" s="56"/>
      <c r="WZ6" s="57"/>
      <c r="XA6" s="57"/>
      <c r="XB6" s="56"/>
      <c r="XC6" s="57"/>
      <c r="XD6" s="58"/>
      <c r="XE6" s="56"/>
      <c r="XF6" s="57"/>
      <c r="XG6" s="57"/>
      <c r="XH6" s="57"/>
      <c r="XI6" s="56"/>
      <c r="XJ6" s="57"/>
      <c r="XK6" s="57"/>
      <c r="XL6" s="56"/>
      <c r="XM6" s="57"/>
      <c r="XN6" s="58"/>
      <c r="XO6" s="56"/>
      <c r="XP6" s="57"/>
      <c r="XQ6" s="57"/>
      <c r="XR6" s="57"/>
      <c r="XS6" s="56"/>
      <c r="XT6" s="57"/>
      <c r="XU6" s="57"/>
      <c r="XV6" s="56"/>
      <c r="XW6" s="57"/>
      <c r="XX6" s="58"/>
      <c r="XY6" s="56"/>
      <c r="XZ6" s="57"/>
      <c r="YA6" s="57"/>
      <c r="YB6" s="57"/>
      <c r="YC6" s="56"/>
      <c r="YD6" s="57"/>
      <c r="YE6" s="57"/>
      <c r="YF6" s="56"/>
      <c r="YG6" s="57"/>
      <c r="YH6" s="58"/>
      <c r="YI6" s="56"/>
      <c r="YJ6" s="57"/>
      <c r="YK6" s="57"/>
      <c r="YL6" s="57"/>
      <c r="YM6" s="56"/>
      <c r="YN6" s="57"/>
      <c r="YO6" s="57"/>
      <c r="YP6" s="56"/>
      <c r="YQ6" s="57"/>
      <c r="YR6" s="58"/>
      <c r="YS6" s="56"/>
      <c r="YT6" s="57"/>
      <c r="YU6" s="57"/>
      <c r="YV6" s="57"/>
      <c r="YW6" s="56"/>
      <c r="YX6" s="57"/>
      <c r="YY6" s="57"/>
      <c r="YZ6" s="56"/>
      <c r="ZA6" s="57"/>
      <c r="ZB6" s="58"/>
      <c r="ZC6" s="56"/>
      <c r="ZD6" s="57"/>
      <c r="ZE6" s="57"/>
      <c r="ZF6" s="57"/>
      <c r="ZG6" s="56"/>
      <c r="ZH6" s="57"/>
      <c r="ZI6" s="57"/>
      <c r="ZJ6" s="56"/>
      <c r="ZK6" s="57"/>
      <c r="ZL6" s="58"/>
      <c r="ZM6" s="56"/>
      <c r="ZN6" s="57"/>
      <c r="ZO6" s="57"/>
      <c r="ZP6" s="57"/>
      <c r="ZQ6" s="56"/>
      <c r="ZR6" s="57"/>
      <c r="ZS6" s="57"/>
      <c r="ZT6" s="56"/>
      <c r="ZU6" s="57"/>
      <c r="ZV6" s="58"/>
      <c r="ZW6" s="56"/>
      <c r="ZX6" s="57"/>
      <c r="ZY6" s="57"/>
      <c r="ZZ6" s="57"/>
      <c r="AAA6" s="56"/>
      <c r="AAB6" s="57"/>
      <c r="AAC6" s="57"/>
      <c r="AAD6" s="56"/>
      <c r="AAE6" s="57"/>
      <c r="AAF6" s="58"/>
      <c r="AAG6" s="56"/>
      <c r="AAH6" s="57"/>
      <c r="AAI6" s="57"/>
      <c r="AAJ6" s="57"/>
      <c r="AAK6" s="56"/>
      <c r="AAL6" s="57"/>
      <c r="AAM6" s="57"/>
      <c r="AAN6" s="56"/>
      <c r="AAO6" s="57"/>
      <c r="AAP6" s="58"/>
      <c r="AAQ6" s="56"/>
      <c r="AAR6" s="57"/>
      <c r="AAS6" s="57"/>
      <c r="AAT6" s="57"/>
      <c r="AAU6" s="56"/>
      <c r="AAV6" s="57"/>
      <c r="AAW6" s="57"/>
      <c r="AAX6" s="58"/>
      <c r="AAY6" s="58"/>
      <c r="AAZ6" s="58"/>
      <c r="ABA6" s="56"/>
      <c r="ABB6" s="58"/>
      <c r="ABC6" s="58"/>
      <c r="ABD6" s="58"/>
      <c r="ABE6" s="58"/>
      <c r="ABF6" s="58"/>
      <c r="ABG6" s="57"/>
      <c r="ABH6" s="56"/>
      <c r="ABI6" s="57"/>
      <c r="ABJ6" s="58"/>
      <c r="ABK6" s="56"/>
      <c r="ABL6" s="57"/>
      <c r="ABM6" s="57"/>
      <c r="ABN6" s="57"/>
      <c r="ABO6" s="56"/>
      <c r="ABP6" s="57"/>
      <c r="ABQ6" s="57"/>
      <c r="ABR6" s="56"/>
      <c r="ABS6" s="57"/>
      <c r="ABT6" s="58"/>
      <c r="ABU6" s="56"/>
      <c r="ABV6" s="57"/>
      <c r="ABW6" s="57"/>
      <c r="ABX6" s="57"/>
      <c r="ABY6" s="56"/>
      <c r="ABZ6" s="57"/>
      <c r="ACA6" s="57"/>
      <c r="ACB6" s="56"/>
      <c r="ACC6" s="57"/>
      <c r="ACD6" s="58"/>
      <c r="ACE6" s="56"/>
      <c r="ACF6" s="57"/>
      <c r="ACG6" s="57"/>
      <c r="ACH6" s="57"/>
      <c r="ACI6" s="56"/>
      <c r="ACJ6" s="57"/>
      <c r="ACK6" s="57"/>
      <c r="ACL6" s="56"/>
      <c r="ACM6" s="57"/>
      <c r="ACN6" s="58"/>
      <c r="ACO6" s="56"/>
      <c r="ACP6" s="57"/>
      <c r="ACQ6" s="57"/>
      <c r="ACR6" s="57"/>
      <c r="ACS6" s="56"/>
      <c r="ACT6" s="57"/>
      <c r="ACU6" s="57"/>
      <c r="ACV6" s="56"/>
      <c r="ACW6" s="57"/>
      <c r="ACX6" s="58"/>
      <c r="ACY6" s="56"/>
      <c r="ACZ6" s="57"/>
      <c r="ADA6" s="57"/>
      <c r="ADB6" s="57"/>
      <c r="ADC6" s="56"/>
      <c r="ADD6" s="57"/>
      <c r="ADE6" s="57"/>
      <c r="ADF6" s="56"/>
      <c r="ADG6" s="57"/>
      <c r="ADH6" s="58"/>
      <c r="ADI6" s="56"/>
      <c r="ADJ6" s="57"/>
      <c r="ADK6" s="57"/>
      <c r="ADL6" s="57"/>
      <c r="ADM6" s="56"/>
      <c r="ADN6" s="57"/>
      <c r="ADO6" s="57"/>
      <c r="ADP6" s="56"/>
      <c r="ADQ6" s="57"/>
      <c r="ADR6" s="58"/>
      <c r="ADS6" s="56"/>
      <c r="ADT6" s="57"/>
      <c r="ADU6" s="57"/>
      <c r="ADV6" s="57"/>
      <c r="ADW6" s="56"/>
      <c r="ADX6" s="57"/>
      <c r="ADY6" s="57"/>
      <c r="ADZ6" s="56"/>
      <c r="AEA6" s="57"/>
      <c r="AEB6" s="58"/>
      <c r="AEC6" s="56"/>
      <c r="AED6" s="57"/>
      <c r="AEE6" s="57"/>
      <c r="AEF6" s="57"/>
      <c r="AEG6" s="56"/>
      <c r="AEH6" s="57"/>
      <c r="AEI6" s="57"/>
      <c r="AEJ6" s="56"/>
      <c r="AEK6" s="57"/>
      <c r="AEL6" s="58"/>
      <c r="AEM6" s="56"/>
      <c r="AEN6" s="57"/>
      <c r="AEO6" s="57"/>
      <c r="AEP6" s="57"/>
      <c r="AEQ6" s="56"/>
      <c r="AER6" s="57"/>
      <c r="AES6" s="57"/>
      <c r="AET6" s="56"/>
      <c r="AEU6" s="57"/>
      <c r="AEV6" s="58"/>
      <c r="AEW6" s="56"/>
      <c r="AEX6" s="57"/>
      <c r="AEY6" s="57"/>
      <c r="AEZ6" s="57"/>
      <c r="AFA6" s="56"/>
      <c r="AFB6" s="57"/>
      <c r="AFC6" s="57"/>
      <c r="AFD6" s="56"/>
      <c r="AFE6" s="57"/>
      <c r="AFF6" s="58"/>
      <c r="AFG6" s="56"/>
      <c r="AFH6" s="57"/>
      <c r="AFI6" s="57"/>
      <c r="AFJ6" s="57"/>
      <c r="AFK6" s="56"/>
      <c r="AFL6" s="57"/>
      <c r="AFM6" s="57"/>
      <c r="AFN6" s="56"/>
      <c r="AFO6" s="57"/>
      <c r="AFP6" s="58"/>
      <c r="AFQ6" s="56"/>
      <c r="AFR6" s="57"/>
      <c r="AFS6" s="57"/>
      <c r="AFT6" s="57"/>
      <c r="AFU6" s="56"/>
      <c r="AFV6" s="57"/>
      <c r="AFW6" s="57"/>
      <c r="AFX6" s="56"/>
      <c r="AFY6" s="57"/>
      <c r="AFZ6" s="58"/>
      <c r="AGA6" s="56"/>
      <c r="AGB6" s="57"/>
      <c r="AGC6" s="57"/>
      <c r="AGD6" s="57"/>
      <c r="AGE6" s="56"/>
      <c r="AGF6" s="57"/>
      <c r="AGG6" s="57"/>
      <c r="AGH6" s="56"/>
      <c r="AGI6" s="57"/>
      <c r="AGJ6" s="58"/>
      <c r="AGK6" s="56"/>
      <c r="AGL6" s="57"/>
      <c r="AGM6" s="57"/>
      <c r="AGN6" s="57"/>
      <c r="AGO6" s="56"/>
      <c r="AGP6" s="57"/>
      <c r="AGQ6" s="57"/>
      <c r="AGR6" s="56"/>
      <c r="AGS6" s="57"/>
      <c r="AGT6" s="58"/>
      <c r="AGU6" s="56"/>
      <c r="AGV6" s="57"/>
      <c r="AGW6" s="57"/>
      <c r="AGX6" s="57"/>
      <c r="AGY6" s="56"/>
      <c r="AGZ6" s="57"/>
      <c r="AHA6" s="57"/>
      <c r="AHB6" s="56"/>
      <c r="AHC6" s="57"/>
      <c r="AHD6" s="58"/>
      <c r="AHE6" s="56"/>
      <c r="AHF6" s="57"/>
      <c r="AHG6" s="57"/>
      <c r="AHH6" s="57"/>
      <c r="AHI6" s="56"/>
      <c r="AHJ6" s="57"/>
      <c r="AHK6" s="57"/>
      <c r="AHL6" s="56"/>
      <c r="AHM6" s="57"/>
      <c r="AHN6" s="58"/>
      <c r="AHO6" s="56"/>
      <c r="AHP6" s="57"/>
      <c r="AHQ6" s="57"/>
      <c r="AHR6" s="57"/>
      <c r="AHS6" s="56"/>
      <c r="AHT6" s="57"/>
      <c r="AHU6" s="57"/>
      <c r="AHV6" s="56"/>
      <c r="AHW6" s="57"/>
      <c r="AHX6" s="58"/>
      <c r="AHY6" s="56"/>
      <c r="AHZ6" s="57"/>
      <c r="AIA6" s="57"/>
      <c r="AIB6" s="57"/>
      <c r="AIC6" s="56"/>
      <c r="AID6" s="57"/>
      <c r="AIE6" s="57"/>
      <c r="AIF6" s="56"/>
      <c r="AIG6" s="57"/>
      <c r="AIH6" s="58"/>
      <c r="AII6" s="56"/>
      <c r="AIJ6" s="57"/>
      <c r="AIK6" s="57"/>
      <c r="AIL6" s="57"/>
      <c r="AIM6" s="56"/>
      <c r="AIN6" s="57"/>
      <c r="AIO6" s="57"/>
      <c r="AIP6" s="56"/>
      <c r="AIQ6" s="57"/>
      <c r="AIR6" s="58"/>
      <c r="AIS6" s="56"/>
      <c r="AIT6" s="57"/>
      <c r="AIU6" s="57"/>
      <c r="AIV6" s="57"/>
      <c r="AIW6" s="56"/>
      <c r="AIX6" s="57"/>
      <c r="AIY6" s="57"/>
      <c r="AIZ6" s="56"/>
      <c r="AJA6" s="57"/>
      <c r="AJB6" s="58"/>
      <c r="AJC6" s="56"/>
      <c r="AJD6" s="57"/>
      <c r="AJE6" s="57"/>
      <c r="AJF6" s="57"/>
      <c r="AJG6" s="56"/>
      <c r="AJH6" s="57"/>
      <c r="AJI6" s="57"/>
      <c r="AJJ6" s="56"/>
      <c r="AJK6" s="57"/>
      <c r="AJL6" s="58"/>
      <c r="AJM6" s="56"/>
      <c r="AJN6" s="57"/>
      <c r="AJO6" s="57"/>
      <c r="AJP6" s="57"/>
      <c r="AJQ6" s="56"/>
      <c r="AJR6" s="57"/>
      <c r="AJS6" s="57"/>
      <c r="AJT6" s="56"/>
      <c r="AJU6" s="57"/>
      <c r="AJV6" s="58"/>
      <c r="AJW6" s="56"/>
      <c r="AJX6" s="57"/>
      <c r="AJY6" s="57"/>
      <c r="AJZ6" s="57"/>
      <c r="AKA6" s="56"/>
      <c r="AKB6" s="57"/>
      <c r="AKC6" s="57"/>
      <c r="AKD6" s="56"/>
      <c r="AKE6" s="57"/>
      <c r="AKF6" s="58"/>
      <c r="AKG6" s="56"/>
      <c r="AKH6" s="57"/>
      <c r="AKI6" s="57"/>
      <c r="AKJ6" s="57"/>
      <c r="AKK6" s="56"/>
      <c r="AKL6" s="57"/>
      <c r="AKM6" s="57"/>
      <c r="AKN6" s="56"/>
      <c r="AKO6" s="57"/>
      <c r="AKP6" s="58"/>
      <c r="AKQ6" s="56"/>
      <c r="AKR6" s="57"/>
      <c r="AKS6" s="57"/>
      <c r="AKT6" s="57"/>
      <c r="AKU6" s="56"/>
      <c r="AKV6" s="57"/>
      <c r="AKW6" s="57"/>
      <c r="AKX6" s="56"/>
      <c r="AKY6" s="57"/>
      <c r="AKZ6" s="58"/>
      <c r="ALA6" s="56"/>
      <c r="ALB6" s="57"/>
      <c r="ALC6" s="57"/>
      <c r="ALD6" s="57"/>
      <c r="ALE6" s="56"/>
      <c r="ALF6" s="57"/>
      <c r="ALG6" s="57"/>
      <c r="ALH6" s="57"/>
      <c r="ALI6" s="57"/>
      <c r="ALJ6" s="57"/>
      <c r="ALK6" s="56"/>
      <c r="ALL6" s="57"/>
      <c r="ALM6" s="57"/>
      <c r="ALN6" s="56"/>
      <c r="ALO6" s="57"/>
      <c r="ALP6" s="58"/>
      <c r="ALQ6" s="56"/>
      <c r="ALR6" s="57"/>
      <c r="ALS6" s="57"/>
      <c r="ALT6" s="57"/>
      <c r="ALU6" s="56"/>
      <c r="ALV6" s="57"/>
      <c r="ALW6" s="57"/>
      <c r="ALX6" s="56"/>
      <c r="ALY6" s="57"/>
      <c r="ALZ6" s="58"/>
      <c r="AMA6" s="56"/>
      <c r="AMB6" s="57"/>
      <c r="AMC6" s="57"/>
      <c r="AMD6" s="57"/>
      <c r="AME6" s="56"/>
      <c r="AMF6" s="57"/>
      <c r="AMG6" s="57"/>
      <c r="AMH6" s="57"/>
      <c r="AMI6" s="57"/>
      <c r="AMJ6" s="57"/>
      <c r="AMK6" s="56"/>
      <c r="AML6" s="57"/>
      <c r="AMM6" s="57"/>
      <c r="AMN6" s="56"/>
      <c r="AMO6" s="57"/>
      <c r="AMP6" s="58"/>
      <c r="AMQ6" s="56"/>
      <c r="AMR6" s="57"/>
      <c r="AMS6" s="57"/>
      <c r="AMT6" s="57"/>
      <c r="AMU6" s="56"/>
      <c r="AMV6" s="57"/>
      <c r="AMW6" s="57"/>
      <c r="AMX6" s="56"/>
      <c r="AMY6" s="57"/>
      <c r="AMZ6" s="58"/>
      <c r="ANA6" s="56"/>
      <c r="ANB6" s="57"/>
      <c r="ANC6" s="57"/>
      <c r="AND6" s="57"/>
      <c r="ANE6" s="56"/>
      <c r="ANF6" s="57"/>
      <c r="ANG6" s="57"/>
      <c r="ANH6" s="57"/>
      <c r="ANI6" s="57"/>
      <c r="ANJ6" s="57"/>
      <c r="ANK6" s="56"/>
      <c r="ANL6" s="57"/>
      <c r="ANM6" s="57"/>
      <c r="ANN6" s="56"/>
      <c r="ANO6" s="57"/>
      <c r="ANP6" s="58"/>
      <c r="ANQ6" s="56"/>
      <c r="ANR6" s="57"/>
      <c r="ANS6" s="57"/>
      <c r="ANT6" s="57"/>
      <c r="ANU6" s="56"/>
      <c r="ANV6" s="57"/>
      <c r="ANW6" s="57"/>
      <c r="ANX6" s="56"/>
      <c r="ANY6" s="57"/>
      <c r="ANZ6" s="58"/>
      <c r="AOA6" s="56"/>
      <c r="AOB6" s="57"/>
      <c r="AOC6" s="57"/>
      <c r="AOD6" s="57"/>
      <c r="AOE6" s="56"/>
      <c r="AOF6" s="57"/>
      <c r="AOG6" s="57"/>
      <c r="AOH6" s="57"/>
      <c r="AOI6" s="57"/>
      <c r="AOJ6" s="57"/>
      <c r="AOK6" s="56"/>
      <c r="AOL6" s="57"/>
      <c r="AOM6" s="57"/>
      <c r="AON6" s="56"/>
      <c r="AOO6" s="57"/>
      <c r="AOP6" s="58"/>
      <c r="AOQ6" s="56"/>
      <c r="AOR6" s="57"/>
      <c r="AOS6" s="57"/>
      <c r="AOT6" s="57"/>
      <c r="AOU6" s="56"/>
      <c r="AOV6" s="57"/>
      <c r="AOW6" s="57"/>
      <c r="AOX6" s="56"/>
      <c r="AOY6" s="57"/>
      <c r="AOZ6" s="58"/>
      <c r="APA6" s="56"/>
      <c r="APB6" s="57"/>
      <c r="APC6" s="57"/>
      <c r="APD6" s="57"/>
      <c r="APE6" s="56"/>
      <c r="APF6" s="57"/>
      <c r="APG6" s="57"/>
      <c r="APH6" s="57"/>
      <c r="API6" s="57"/>
      <c r="APJ6" s="57"/>
      <c r="APK6" s="56"/>
      <c r="APL6" s="57"/>
      <c r="APM6" s="57"/>
      <c r="APN6" s="56"/>
      <c r="APO6" s="57"/>
      <c r="APP6" s="58"/>
      <c r="APQ6" s="56"/>
      <c r="APR6" s="57"/>
      <c r="APS6" s="57"/>
      <c r="APT6" s="57"/>
      <c r="APU6" s="56"/>
      <c r="APV6" s="57"/>
      <c r="APW6" s="57"/>
      <c r="APX6" s="56"/>
      <c r="APY6" s="57"/>
      <c r="APZ6" s="58"/>
      <c r="AQA6" s="56"/>
      <c r="AQB6" s="57"/>
      <c r="AQC6" s="57"/>
      <c r="AQD6" s="57"/>
      <c r="AQE6" s="56"/>
      <c r="AQF6" s="57"/>
      <c r="AQG6" s="57"/>
      <c r="AQH6" s="57"/>
      <c r="AQI6" s="57"/>
      <c r="AQJ6" s="57"/>
      <c r="AQK6" s="56"/>
      <c r="AQL6" s="57"/>
      <c r="AQM6" s="57"/>
      <c r="AQN6" s="56"/>
      <c r="AQO6" s="57"/>
      <c r="AQP6" s="58"/>
      <c r="AQQ6" s="56"/>
      <c r="AQR6" s="57"/>
      <c r="AQS6" s="57"/>
      <c r="AQT6" s="57"/>
      <c r="AQU6" s="56"/>
      <c r="AQV6" s="57"/>
      <c r="AQW6" s="57"/>
      <c r="AQX6" s="56"/>
      <c r="AQY6" s="57"/>
      <c r="AQZ6" s="58"/>
      <c r="ARA6" s="56"/>
      <c r="ARB6" s="57"/>
      <c r="ARC6" s="57"/>
      <c r="ARD6" s="57"/>
      <c r="ARE6" s="56"/>
      <c r="ARF6" s="57"/>
      <c r="ARG6" s="57"/>
      <c r="ARH6" s="57"/>
      <c r="ARI6" s="57"/>
      <c r="ARJ6" s="57"/>
      <c r="ARK6" s="56"/>
      <c r="ARL6" s="57"/>
      <c r="ARM6" s="57"/>
      <c r="ARN6" s="56"/>
      <c r="ARO6" s="57"/>
      <c r="ARP6" s="58"/>
      <c r="ARQ6" s="56"/>
      <c r="ARR6" s="57"/>
      <c r="ARS6" s="57"/>
      <c r="ART6" s="57"/>
      <c r="ARU6" s="56"/>
      <c r="ARV6" s="57"/>
      <c r="ARW6" s="57"/>
      <c r="ARX6" s="56"/>
      <c r="ARY6" s="57"/>
      <c r="ARZ6" s="58"/>
      <c r="ASA6" s="56"/>
      <c r="ASB6" s="57"/>
      <c r="ASC6" s="57"/>
      <c r="ASD6" s="57"/>
      <c r="ASE6" s="56"/>
      <c r="ASF6" s="57"/>
      <c r="ASG6" s="57"/>
      <c r="ASH6" s="57"/>
      <c r="ASI6" s="57"/>
      <c r="ASJ6" s="57"/>
      <c r="ASK6" s="56"/>
      <c r="ASL6" s="57"/>
      <c r="ASM6" s="57"/>
      <c r="ASN6" s="56"/>
      <c r="ASO6" s="57"/>
      <c r="ASP6" s="58"/>
      <c r="ASQ6" s="56"/>
      <c r="ASR6" s="57"/>
      <c r="ASS6" s="57"/>
      <c r="AST6" s="57"/>
      <c r="ASU6" s="56"/>
      <c r="ASV6" s="57"/>
      <c r="ASW6" s="57"/>
      <c r="ASX6" s="56"/>
      <c r="ASY6" s="57"/>
      <c r="ASZ6" s="58"/>
      <c r="ATA6" s="56"/>
      <c r="ATB6" s="57"/>
      <c r="ATC6" s="57"/>
      <c r="ATD6" s="57"/>
      <c r="ATE6" s="56"/>
      <c r="ATF6" s="57"/>
      <c r="ATG6" s="57"/>
      <c r="ATH6" s="57"/>
      <c r="ATI6" s="57"/>
      <c r="ATJ6" s="57"/>
      <c r="ATK6" s="56"/>
      <c r="ATL6" s="57"/>
      <c r="ATM6" s="57"/>
      <c r="ATN6" s="56"/>
      <c r="ATO6" s="57"/>
      <c r="ATP6" s="58"/>
      <c r="ATQ6" s="56"/>
      <c r="ATR6" s="57"/>
      <c r="ATS6" s="57"/>
      <c r="ATT6" s="57"/>
      <c r="ATU6" s="56"/>
      <c r="ATV6" s="57"/>
      <c r="ATW6" s="57"/>
      <c r="ATX6" s="56"/>
      <c r="ATY6" s="57"/>
      <c r="ATZ6" s="58"/>
      <c r="AUA6" s="56"/>
      <c r="AUB6" s="57"/>
      <c r="AUC6" s="57"/>
      <c r="AUD6" s="57"/>
      <c r="AUE6" s="56"/>
      <c r="AUF6" s="57"/>
      <c r="AUG6" s="57"/>
      <c r="AUH6" s="57"/>
      <c r="AUI6" s="57"/>
      <c r="AUJ6" s="57"/>
      <c r="AUK6" s="56"/>
      <c r="AUL6" s="57"/>
      <c r="AUM6" s="57"/>
      <c r="AUN6" s="56"/>
      <c r="AUO6" s="57"/>
      <c r="AUP6" s="58"/>
      <c r="AUQ6" s="56"/>
      <c r="AUR6" s="57"/>
      <c r="AUS6" s="57"/>
      <c r="AUT6" s="57"/>
      <c r="AUU6" s="56"/>
      <c r="AUV6" s="57"/>
      <c r="AUW6" s="57"/>
      <c r="AUX6" s="56"/>
      <c r="AUY6" s="57"/>
      <c r="AUZ6" s="58"/>
      <c r="AVA6" s="56"/>
      <c r="AVB6" s="57"/>
      <c r="AVC6" s="57"/>
      <c r="AVD6" s="57"/>
      <c r="AVE6" s="56"/>
      <c r="AVF6" s="57"/>
      <c r="AVG6" s="57"/>
      <c r="AVH6" s="57"/>
      <c r="AVI6" s="57"/>
      <c r="AVJ6" s="57"/>
      <c r="AVK6" s="56"/>
      <c r="AVL6" s="57"/>
      <c r="AVM6" s="57"/>
      <c r="AVN6" s="56"/>
      <c r="AVO6" s="57"/>
      <c r="AVP6" s="58"/>
      <c r="AVQ6" s="56"/>
      <c r="AVR6" s="57"/>
      <c r="AVS6" s="57"/>
      <c r="AVT6" s="57"/>
      <c r="AVU6" s="56"/>
      <c r="AVV6" s="57"/>
      <c r="AVW6" s="57"/>
      <c r="AVX6" s="56"/>
      <c r="AVY6" s="57"/>
      <c r="AVZ6" s="58"/>
      <c r="AWA6" s="56"/>
      <c r="AWB6" s="57"/>
      <c r="AWC6" s="57"/>
      <c r="AWD6" s="57"/>
      <c r="AWE6" s="56"/>
      <c r="AWF6" s="57"/>
      <c r="AWG6" s="57"/>
      <c r="AWH6" s="57"/>
      <c r="AWI6" s="57"/>
      <c r="AWJ6" s="57"/>
      <c r="AWK6" s="56"/>
      <c r="AWL6" s="57"/>
      <c r="AWM6" s="57"/>
      <c r="AWN6" s="56"/>
      <c r="AWO6" s="57"/>
      <c r="AWP6" s="58"/>
      <c r="AWQ6" s="56"/>
      <c r="AWR6" s="57"/>
      <c r="AWS6" s="57"/>
      <c r="AWT6" s="57"/>
      <c r="AWU6" s="56"/>
      <c r="AWV6" s="57"/>
      <c r="AWW6" s="57"/>
      <c r="AWX6" s="56"/>
      <c r="AWY6" s="57"/>
      <c r="AWZ6" s="58"/>
      <c r="AXA6" s="56"/>
      <c r="AXB6" s="57"/>
      <c r="AXC6" s="57"/>
      <c r="AXD6" s="57"/>
      <c r="AXE6" s="56"/>
      <c r="AXF6" s="57"/>
      <c r="AXG6" s="57"/>
      <c r="AXH6" s="57"/>
      <c r="AXI6" s="57"/>
      <c r="AXJ6" s="57"/>
      <c r="AXK6" s="56"/>
      <c r="AXL6" s="57"/>
      <c r="AXM6" s="57"/>
      <c r="AXN6" s="56"/>
      <c r="AXO6" s="57"/>
      <c r="AXP6" s="58"/>
      <c r="AXQ6" s="56"/>
      <c r="AXR6" s="57"/>
      <c r="AXS6" s="57"/>
      <c r="AXT6" s="57"/>
      <c r="AXU6" s="56"/>
      <c r="AXV6" s="57"/>
      <c r="AXW6" s="57"/>
      <c r="AXX6" s="56"/>
      <c r="AXY6" s="57"/>
      <c r="AXZ6" s="58"/>
      <c r="AYA6" s="56"/>
      <c r="AYB6" s="57"/>
      <c r="AYC6" s="57"/>
      <c r="AYD6" s="57"/>
      <c r="AYE6" s="56"/>
      <c r="AYF6" s="57"/>
      <c r="AYG6" s="57"/>
      <c r="AYH6" s="57"/>
      <c r="AYI6" s="57"/>
      <c r="AYJ6" s="57"/>
      <c r="AYK6" s="56"/>
      <c r="AYL6" s="57"/>
      <c r="AYM6" s="57"/>
      <c r="AYN6" s="56"/>
      <c r="AYO6" s="57"/>
      <c r="AYP6" s="58"/>
      <c r="AYQ6" s="56"/>
      <c r="AYR6" s="57"/>
      <c r="AYS6" s="57"/>
      <c r="AYT6" s="57"/>
      <c r="AYU6" s="56"/>
      <c r="AYV6" s="57"/>
      <c r="AYW6" s="57"/>
      <c r="AYX6" s="56"/>
      <c r="AYY6" s="57"/>
      <c r="AYZ6" s="58"/>
      <c r="AZA6" s="56"/>
      <c r="AZB6" s="57"/>
      <c r="AZC6" s="57"/>
      <c r="AZD6" s="57"/>
      <c r="AZE6" s="56"/>
      <c r="AZF6" s="57"/>
      <c r="AZG6" s="57"/>
      <c r="AZH6" s="57"/>
      <c r="AZI6" s="57"/>
      <c r="AZJ6" s="57"/>
      <c r="AZK6" s="56"/>
      <c r="AZL6" s="57"/>
      <c r="AZM6" s="57"/>
      <c r="AZN6" s="56"/>
      <c r="AZO6" s="57"/>
      <c r="AZP6" s="58"/>
      <c r="AZQ6" s="56"/>
      <c r="AZR6" s="57"/>
      <c r="AZS6" s="57"/>
      <c r="AZT6" s="57"/>
      <c r="AZU6" s="56"/>
      <c r="AZV6" s="57"/>
      <c r="AZW6" s="57"/>
      <c r="AZX6" s="56"/>
      <c r="AZY6" s="57"/>
      <c r="AZZ6" s="58"/>
      <c r="BAA6" s="56"/>
      <c r="BAB6" s="57"/>
      <c r="BAC6" s="57"/>
      <c r="BAD6" s="57"/>
      <c r="BAE6" s="56"/>
      <c r="BAF6" s="57"/>
      <c r="BAG6" s="57"/>
      <c r="BAH6" s="57"/>
      <c r="BAI6" s="57"/>
      <c r="BAJ6" s="57"/>
      <c r="BAK6" s="56"/>
      <c r="BAL6" s="57"/>
      <c r="BAM6" s="57"/>
      <c r="BAN6" s="56"/>
      <c r="BAO6" s="57"/>
      <c r="BAP6" s="58"/>
      <c r="BAQ6" s="56"/>
      <c r="BAR6" s="57"/>
      <c r="BAS6" s="57"/>
      <c r="BAT6" s="57"/>
      <c r="BAU6" s="56"/>
      <c r="BAV6" s="57"/>
      <c r="BAW6" s="57"/>
      <c r="BAX6" s="56"/>
      <c r="BAY6" s="57"/>
      <c r="BAZ6" s="58"/>
      <c r="BBA6" s="56"/>
      <c r="BBB6" s="57"/>
      <c r="BBC6" s="57"/>
      <c r="BBD6" s="57"/>
      <c r="BBE6" s="56"/>
      <c r="BBF6" s="57"/>
      <c r="BBG6" s="57"/>
      <c r="BBH6" s="57"/>
      <c r="BBI6" s="57"/>
      <c r="BBJ6" s="57"/>
      <c r="BBK6" s="56"/>
      <c r="BBL6" s="57"/>
      <c r="BBM6" s="57"/>
      <c r="BBN6" s="56"/>
      <c r="BBO6" s="57"/>
      <c r="BBP6" s="58"/>
      <c r="BBQ6" s="56"/>
      <c r="BBR6" s="57"/>
      <c r="BBS6" s="57"/>
      <c r="BBT6" s="57"/>
      <c r="BBU6" s="56"/>
      <c r="BBV6" s="57"/>
      <c r="BBW6" s="57"/>
      <c r="BBX6" s="56"/>
      <c r="BBY6" s="57"/>
      <c r="BBZ6" s="58"/>
      <c r="BCA6" s="56"/>
      <c r="BCB6" s="57"/>
      <c r="BCC6" s="57"/>
      <c r="BCD6" s="57"/>
      <c r="BCE6" s="56"/>
      <c r="BCF6" s="57"/>
      <c r="BCG6" s="57"/>
      <c r="BCH6" s="57"/>
      <c r="BCI6" s="57"/>
      <c r="BCJ6" s="57"/>
      <c r="BCK6" s="56"/>
      <c r="BCL6" s="57"/>
      <c r="BCM6" s="57"/>
      <c r="BCN6" s="56"/>
      <c r="BCO6" s="57"/>
      <c r="BCP6" s="58"/>
      <c r="BCQ6" s="56"/>
      <c r="BCR6" s="57"/>
      <c r="BCS6" s="57"/>
      <c r="BCT6" s="57"/>
      <c r="BCU6" s="56"/>
      <c r="BCV6" s="57"/>
      <c r="BCW6" s="57"/>
      <c r="BCX6" s="56"/>
      <c r="BCY6" s="57"/>
      <c r="BCZ6" s="58"/>
      <c r="BDA6" s="56"/>
      <c r="BDB6" s="57"/>
      <c r="BDC6" s="57"/>
      <c r="BDD6" s="57"/>
      <c r="BDE6" s="56"/>
      <c r="BDF6" s="57"/>
      <c r="BDG6" s="57"/>
      <c r="BDH6" s="57"/>
      <c r="BDI6" s="57"/>
      <c r="BDJ6" s="57"/>
      <c r="BDK6" s="56"/>
      <c r="BDL6" s="57"/>
      <c r="BDM6" s="57"/>
      <c r="BDN6" s="56"/>
      <c r="BDO6" s="57"/>
      <c r="BDP6" s="58"/>
      <c r="BDQ6" s="56"/>
      <c r="BDR6" s="57"/>
      <c r="BDS6" s="57"/>
      <c r="BDT6" s="57"/>
      <c r="BDU6" s="56"/>
      <c r="BDV6" s="57"/>
      <c r="BDW6" s="57"/>
      <c r="BDX6" s="56"/>
      <c r="BDY6" s="57"/>
      <c r="BDZ6" s="58"/>
      <c r="BEA6" s="56"/>
      <c r="BEB6" s="57"/>
      <c r="BEC6" s="57"/>
      <c r="BED6" s="57"/>
      <c r="BEE6" s="56"/>
      <c r="BEF6" s="57"/>
      <c r="BEG6" s="57"/>
      <c r="BEH6" s="57"/>
      <c r="BEI6" s="57"/>
      <c r="BEJ6" s="57"/>
      <c r="BEK6" s="56"/>
      <c r="BEL6" s="57"/>
      <c r="BEM6" s="57"/>
      <c r="BEN6" s="56"/>
      <c r="BEO6" s="57"/>
      <c r="BEP6" s="58"/>
      <c r="BEQ6" s="56"/>
      <c r="BER6" s="57"/>
      <c r="BES6" s="57"/>
      <c r="BET6" s="57"/>
      <c r="BEU6" s="56"/>
      <c r="BEV6" s="57"/>
      <c r="BEW6" s="57"/>
      <c r="BEX6" s="56"/>
      <c r="BEY6" s="57"/>
      <c r="BEZ6" s="58"/>
      <c r="BFA6" s="56"/>
      <c r="BFB6" s="57"/>
      <c r="BFC6" s="57"/>
      <c r="BFD6" s="57"/>
      <c r="BFE6" s="56"/>
      <c r="BFF6" s="57"/>
      <c r="BFG6" s="57"/>
      <c r="BFH6" s="57"/>
      <c r="BFI6" s="57"/>
      <c r="BFJ6" s="57"/>
      <c r="BFK6" s="56"/>
      <c r="BFL6" s="57"/>
      <c r="BFM6" s="57"/>
      <c r="BFN6" s="56"/>
      <c r="BFO6" s="57"/>
      <c r="BFP6" s="58"/>
      <c r="BFQ6" s="56"/>
      <c r="BFR6" s="57"/>
      <c r="BFS6" s="57"/>
      <c r="BFT6" s="57"/>
      <c r="BFU6" s="56"/>
      <c r="BFV6" s="57"/>
      <c r="BFW6" s="57"/>
      <c r="BFX6" s="56"/>
      <c r="BFY6" s="57"/>
      <c r="BFZ6" s="58"/>
      <c r="BGA6" s="56"/>
      <c r="BGB6" s="57"/>
      <c r="BGC6" s="57"/>
      <c r="BGD6" s="57"/>
      <c r="BGE6" s="56"/>
      <c r="BGF6" s="57"/>
      <c r="BGG6" s="57"/>
      <c r="BGH6" s="57"/>
      <c r="BGI6" s="57"/>
      <c r="BGJ6" s="57"/>
      <c r="BGK6" s="56"/>
      <c r="BGL6" s="57"/>
      <c r="BGM6" s="57"/>
      <c r="BGN6" s="56"/>
      <c r="BGO6" s="57"/>
      <c r="BGP6" s="58"/>
      <c r="BGQ6" s="56"/>
      <c r="BGR6" s="57"/>
      <c r="BGS6" s="57"/>
      <c r="BGT6" s="57"/>
      <c r="BGU6" s="56"/>
      <c r="BGV6" s="57"/>
      <c r="BGW6" s="57"/>
      <c r="BGX6" s="56"/>
      <c r="BGY6" s="57"/>
      <c r="BGZ6" s="58"/>
      <c r="BHA6" s="56"/>
      <c r="BHB6" s="57"/>
      <c r="BHC6" s="57"/>
      <c r="BHD6" s="57"/>
      <c r="BHE6" s="56"/>
      <c r="BHF6" s="57"/>
      <c r="BHG6" s="57"/>
      <c r="BHH6" s="57"/>
      <c r="BHI6" s="57"/>
      <c r="BHJ6" s="57"/>
      <c r="BHK6" s="56"/>
      <c r="BHL6" s="57"/>
      <c r="BHM6" s="57"/>
      <c r="BHN6" s="56"/>
      <c r="BHO6" s="57"/>
      <c r="BHP6" s="58"/>
      <c r="BHQ6" s="56"/>
      <c r="BHR6" s="57"/>
      <c r="BHS6" s="57"/>
      <c r="BHT6" s="57"/>
      <c r="BHU6" s="56"/>
      <c r="BHV6" s="57"/>
      <c r="BHW6" s="57"/>
      <c r="BHX6" s="56"/>
      <c r="BHY6" s="57"/>
      <c r="BHZ6" s="58"/>
      <c r="BIA6" s="56"/>
      <c r="BIB6" s="57"/>
      <c r="BIC6" s="57"/>
      <c r="BID6" s="57"/>
      <c r="BIE6" s="56"/>
      <c r="BIF6" s="57"/>
      <c r="BIG6" s="57"/>
      <c r="BIH6" s="57"/>
      <c r="BII6" s="57"/>
      <c r="BIJ6" s="57"/>
      <c r="BIK6" s="56"/>
      <c r="BIL6" s="57"/>
      <c r="BIM6" s="57"/>
      <c r="BIN6" s="56"/>
      <c r="BIO6" s="57"/>
      <c r="BIP6" s="58"/>
      <c r="BIQ6" s="56"/>
      <c r="BIR6" s="57"/>
      <c r="BIS6" s="57"/>
      <c r="BIT6" s="57"/>
      <c r="BIU6" s="56"/>
      <c r="BIV6" s="57"/>
      <c r="BIW6" s="57"/>
      <c r="BIX6" s="56"/>
      <c r="BIY6" s="57"/>
      <c r="BIZ6" s="58"/>
      <c r="BJA6" s="56"/>
      <c r="BJB6" s="57"/>
      <c r="BJC6" s="57"/>
      <c r="BJD6" s="57"/>
      <c r="BJE6" s="56"/>
      <c r="BJF6" s="57"/>
      <c r="BJG6" s="57"/>
      <c r="BJH6" s="57"/>
      <c r="BJI6" s="57"/>
      <c r="BJJ6" s="57"/>
      <c r="BJK6" s="56"/>
      <c r="BJL6" s="57"/>
      <c r="BJM6" s="57"/>
      <c r="BJN6" s="56"/>
      <c r="BJO6" s="57"/>
      <c r="BJP6" s="58"/>
      <c r="BJQ6" s="56"/>
      <c r="BJR6" s="57"/>
      <c r="BJS6" s="57"/>
      <c r="BJT6" s="57"/>
      <c r="BJU6" s="56"/>
      <c r="BJV6" s="57"/>
      <c r="BJW6" s="57"/>
      <c r="BJX6" s="56"/>
      <c r="BJY6" s="57"/>
      <c r="BJZ6" s="58"/>
      <c r="BKA6" s="56"/>
      <c r="BKB6" s="57"/>
      <c r="BKC6" s="57"/>
      <c r="BKD6" s="57"/>
      <c r="BKE6" s="56"/>
      <c r="BKF6" s="57"/>
      <c r="BKG6" s="57"/>
      <c r="BKH6" s="57"/>
      <c r="BKI6" s="57"/>
      <c r="BKJ6" s="57"/>
      <c r="BKK6" s="56"/>
      <c r="BKL6" s="57"/>
      <c r="BKM6" s="57"/>
      <c r="BKN6" s="56"/>
      <c r="BKO6" s="57"/>
      <c r="BKP6" s="58"/>
      <c r="BKQ6" s="56"/>
      <c r="BKR6" s="57"/>
      <c r="BKS6" s="57"/>
      <c r="BKT6" s="57"/>
      <c r="BKU6" s="56"/>
      <c r="BKV6" s="57"/>
      <c r="BKW6" s="57"/>
      <c r="BKX6" s="56"/>
      <c r="BKY6" s="57"/>
      <c r="BKZ6" s="58"/>
      <c r="BLA6" s="56"/>
      <c r="BLB6" s="57"/>
      <c r="BLC6" s="57"/>
      <c r="BLD6" s="57"/>
      <c r="BLE6" s="56"/>
      <c r="BLF6" s="57"/>
      <c r="BLG6" s="57"/>
      <c r="BLH6" s="57"/>
      <c r="BLI6" s="57"/>
      <c r="BLJ6" s="57"/>
      <c r="BLK6" s="56"/>
      <c r="BLL6" s="57"/>
      <c r="BLM6" s="57"/>
      <c r="BLN6" s="56"/>
      <c r="BLO6" s="57"/>
      <c r="BLP6" s="58"/>
      <c r="BLQ6" s="56"/>
      <c r="BLR6" s="57"/>
      <c r="BLS6" s="57"/>
      <c r="BLT6" s="57"/>
      <c r="BLU6" s="56"/>
      <c r="BLV6" s="57"/>
      <c r="BLW6" s="57"/>
      <c r="BLX6" s="56"/>
      <c r="BLY6" s="57"/>
      <c r="BLZ6" s="58"/>
      <c r="BMA6" s="56"/>
      <c r="BMB6" s="57"/>
      <c r="BMC6" s="57"/>
      <c r="BMD6" s="57"/>
      <c r="BME6" s="56"/>
      <c r="BMF6" s="57"/>
      <c r="BMG6" s="57"/>
      <c r="BMH6" s="57"/>
      <c r="BMI6" s="57"/>
      <c r="BMJ6" s="57"/>
      <c r="BMK6" s="56"/>
      <c r="BML6" s="57"/>
      <c r="BMM6" s="57"/>
      <c r="BMN6" s="56"/>
      <c r="BMO6" s="57"/>
      <c r="BMP6" s="58"/>
      <c r="BMQ6" s="56"/>
      <c r="BMR6" s="57"/>
      <c r="BMS6" s="57"/>
      <c r="BMT6" s="57"/>
      <c r="BMU6" s="56"/>
      <c r="BMV6" s="57"/>
      <c r="BMW6" s="57"/>
      <c r="BMX6" s="56"/>
      <c r="BMY6" s="57"/>
      <c r="BMZ6" s="58"/>
      <c r="BNA6" s="56"/>
      <c r="BNB6" s="57"/>
      <c r="BNC6" s="57"/>
      <c r="BND6" s="57"/>
      <c r="BNE6" s="56"/>
      <c r="BNF6" s="57"/>
      <c r="BNG6" s="57"/>
      <c r="BNH6" s="57"/>
      <c r="BNI6" s="57"/>
      <c r="BNJ6" s="57"/>
      <c r="BNK6" s="56"/>
      <c r="BNL6" s="57"/>
      <c r="BNM6" s="57"/>
      <c r="BNN6" s="56"/>
      <c r="BNO6" s="57"/>
      <c r="BNP6" s="58"/>
      <c r="BNQ6" s="56"/>
      <c r="BNR6" s="57"/>
      <c r="BNS6" s="57"/>
      <c r="BNT6" s="57"/>
      <c r="BNU6" s="56"/>
      <c r="BNV6" s="57"/>
      <c r="BNW6" s="57"/>
      <c r="BNX6" s="56"/>
      <c r="BNY6" s="57"/>
      <c r="BNZ6" s="58"/>
      <c r="BOA6" s="56"/>
      <c r="BOB6" s="57"/>
      <c r="BOC6" s="57"/>
      <c r="BOD6" s="57"/>
      <c r="BOE6" s="56"/>
      <c r="BOF6" s="57"/>
      <c r="BOG6" s="57"/>
      <c r="BOH6" s="57"/>
      <c r="BOI6" s="57"/>
      <c r="BOJ6" s="57"/>
      <c r="BOK6" s="56"/>
      <c r="BOL6" s="57"/>
      <c r="BOM6" s="57"/>
      <c r="BON6" s="56"/>
      <c r="BOO6" s="57"/>
      <c r="BOP6" s="58"/>
      <c r="BOQ6" s="56"/>
      <c r="BOR6" s="57"/>
      <c r="BOS6" s="57"/>
      <c r="BOT6" s="57"/>
      <c r="BOU6" s="56"/>
      <c r="BOV6" s="57"/>
      <c r="BOW6" s="57"/>
      <c r="BOX6" s="56"/>
      <c r="BOY6" s="57"/>
      <c r="BOZ6" s="58"/>
      <c r="BPA6" s="56"/>
      <c r="BPB6" s="57"/>
      <c r="BPC6" s="57"/>
      <c r="BPD6" s="57"/>
      <c r="BPE6" s="56"/>
      <c r="BPF6" s="57"/>
      <c r="BPG6" s="57"/>
      <c r="BPH6" s="57"/>
      <c r="BPI6" s="57"/>
      <c r="BPJ6" s="57"/>
      <c r="BPK6" s="56"/>
      <c r="BPL6" s="57"/>
      <c r="BPM6" s="57"/>
      <c r="BPN6" s="56"/>
      <c r="BPO6" s="57"/>
      <c r="BPP6" s="58"/>
      <c r="BPQ6" s="56"/>
      <c r="BPR6" s="57"/>
      <c r="BPS6" s="57"/>
      <c r="BPT6" s="57"/>
      <c r="BPU6" s="56"/>
      <c r="BPV6" s="57"/>
      <c r="BPW6" s="57"/>
      <c r="BPX6" s="56"/>
      <c r="BPY6" s="57"/>
      <c r="BPZ6" s="58"/>
      <c r="BQA6" s="56"/>
      <c r="BQB6" s="57"/>
      <c r="BQC6" s="57"/>
      <c r="BQD6" s="57"/>
      <c r="BQE6" s="56"/>
      <c r="BQF6" s="57"/>
      <c r="BQG6" s="57"/>
      <c r="BQH6" s="57"/>
      <c r="BQI6" s="57"/>
      <c r="BQJ6" s="57"/>
      <c r="BQK6" s="56"/>
      <c r="BQL6" s="57"/>
      <c r="BQM6" s="57"/>
      <c r="BQN6" s="56"/>
      <c r="BQO6" s="57"/>
      <c r="BQP6" s="58"/>
      <c r="BQQ6" s="56"/>
      <c r="BQR6" s="57"/>
      <c r="BQS6" s="57"/>
      <c r="BQT6" s="57"/>
      <c r="BQU6" s="56"/>
      <c r="BQV6" s="57"/>
      <c r="BQW6" s="57"/>
      <c r="BQX6" s="56"/>
      <c r="BQY6" s="57"/>
      <c r="BQZ6" s="58"/>
      <c r="BRA6" s="56"/>
      <c r="BRB6" s="57"/>
      <c r="BRC6" s="57"/>
      <c r="BRD6" s="57"/>
      <c r="BRE6" s="56"/>
      <c r="BRF6" s="57"/>
      <c r="BRG6" s="57"/>
      <c r="BRH6" s="57"/>
      <c r="BRI6" s="57"/>
      <c r="BRJ6" s="57"/>
      <c r="BRK6" s="56"/>
      <c r="BRL6" s="57"/>
      <c r="BRM6" s="57"/>
      <c r="BRN6" s="56"/>
      <c r="BRO6" s="57"/>
      <c r="BRP6" s="58"/>
      <c r="BRQ6" s="56"/>
      <c r="BRR6" s="57"/>
      <c r="BRS6" s="57"/>
      <c r="BRT6" s="57"/>
      <c r="BRU6" s="56"/>
      <c r="BRV6" s="57"/>
      <c r="BRW6" s="57"/>
      <c r="BRX6" s="56"/>
      <c r="BRY6" s="57"/>
      <c r="BRZ6" s="58"/>
      <c r="BSA6" s="56"/>
      <c r="BSB6" s="57"/>
      <c r="BSC6" s="57"/>
      <c r="BSD6" s="57"/>
      <c r="BSE6" s="56"/>
      <c r="BSF6" s="57"/>
      <c r="BSG6" s="57"/>
      <c r="BSH6" s="57"/>
      <c r="BSI6" s="57"/>
      <c r="BSJ6" s="57"/>
      <c r="BSK6" s="56"/>
      <c r="BSL6" s="57"/>
      <c r="BSM6" s="57"/>
      <c r="BSN6" s="56"/>
      <c r="BSO6" s="57"/>
      <c r="BSP6" s="58"/>
      <c r="BSQ6" s="56"/>
      <c r="BSR6" s="57"/>
      <c r="BSS6" s="57"/>
      <c r="BST6" s="57"/>
      <c r="BSU6" s="56"/>
      <c r="BSV6" s="57"/>
      <c r="BSW6" s="57"/>
      <c r="BSX6" s="56"/>
      <c r="BSY6" s="57"/>
      <c r="BSZ6" s="58"/>
      <c r="BTA6" s="56"/>
      <c r="BTB6" s="57"/>
      <c r="BTC6" s="57"/>
      <c r="BTD6" s="57"/>
      <c r="BTE6" s="56"/>
      <c r="BTF6" s="57"/>
      <c r="BTG6" s="57"/>
      <c r="BTH6" s="57"/>
      <c r="BTI6" s="57"/>
      <c r="BTJ6" s="57"/>
      <c r="BTK6" s="56"/>
      <c r="BTL6" s="57"/>
      <c r="BTM6" s="57"/>
      <c r="BTN6" s="56"/>
      <c r="BTO6" s="57"/>
      <c r="BTP6" s="58"/>
      <c r="BTQ6" s="56"/>
      <c r="BTR6" s="57"/>
      <c r="BTS6" s="57"/>
      <c r="BTT6" s="57"/>
      <c r="BTU6" s="56"/>
      <c r="BTV6" s="57"/>
      <c r="BTW6" s="57"/>
      <c r="BTX6" s="56"/>
      <c r="BTY6" s="57"/>
      <c r="BTZ6" s="58"/>
      <c r="BUA6" s="56"/>
      <c r="BUB6" s="57"/>
      <c r="BUC6" s="57"/>
      <c r="BUD6" s="57"/>
      <c r="BUE6" s="56"/>
      <c r="BUF6" s="57"/>
      <c r="BUG6" s="57"/>
      <c r="BUH6" s="57"/>
      <c r="BUI6" s="57"/>
      <c r="BUJ6" s="57"/>
      <c r="BUK6" s="56"/>
      <c r="BUL6" s="57"/>
      <c r="BUM6" s="57"/>
      <c r="BUN6" s="56"/>
      <c r="BUO6" s="57"/>
      <c r="BUP6" s="58"/>
      <c r="BUQ6" s="56"/>
      <c r="BUR6" s="57"/>
      <c r="BUS6" s="57"/>
      <c r="BUT6" s="57"/>
      <c r="BUU6" s="56"/>
      <c r="BUV6" s="57"/>
      <c r="BUW6" s="57"/>
      <c r="BUX6" s="56"/>
      <c r="BUY6" s="57"/>
      <c r="BUZ6" s="58"/>
      <c r="BVA6" s="56"/>
      <c r="BVB6" s="57"/>
      <c r="BVC6" s="57"/>
      <c r="BVD6" s="57"/>
      <c r="BVE6" s="56"/>
      <c r="BVF6" s="57"/>
      <c r="BVG6" s="57"/>
      <c r="BVH6" s="57"/>
      <c r="BVI6" s="57"/>
      <c r="BVJ6" s="57"/>
      <c r="BVK6" s="56"/>
      <c r="BVL6" s="57"/>
      <c r="BVM6" s="57"/>
      <c r="BVN6" s="56"/>
      <c r="BVO6" s="57"/>
      <c r="BVP6" s="58"/>
      <c r="BVQ6" s="56"/>
      <c r="BVR6" s="57"/>
      <c r="BVS6" s="57"/>
      <c r="BVT6" s="57"/>
      <c r="BVU6" s="56"/>
      <c r="BVV6" s="57"/>
      <c r="BVW6" s="57"/>
      <c r="BVX6" s="56"/>
      <c r="BVY6" s="57"/>
      <c r="BVZ6" s="58"/>
      <c r="BWA6" s="56"/>
      <c r="BWB6" s="57"/>
      <c r="BWC6" s="57"/>
      <c r="BWD6" s="57"/>
      <c r="BWE6" s="56"/>
      <c r="BWF6" s="57"/>
      <c r="BWG6" s="57"/>
      <c r="BWH6" s="57"/>
      <c r="BWI6" s="57"/>
      <c r="BWJ6" s="57"/>
      <c r="BWK6" s="56"/>
      <c r="BWL6" s="57"/>
      <c r="BWM6" s="57"/>
      <c r="BWN6" s="56"/>
      <c r="BWO6" s="57"/>
      <c r="BWP6" s="58"/>
      <c r="BWQ6" s="56"/>
      <c r="BWR6" s="57"/>
      <c r="BWS6" s="57"/>
      <c r="BWT6" s="57"/>
      <c r="BWU6" s="56"/>
      <c r="BWV6" s="57"/>
      <c r="BWW6" s="57"/>
      <c r="BWX6" s="56"/>
      <c r="BWY6" s="57"/>
      <c r="BWZ6" s="58"/>
      <c r="BXA6" s="56"/>
      <c r="BXB6" s="57"/>
      <c r="BXC6" s="57"/>
      <c r="BXD6" s="57"/>
      <c r="BXE6" s="56"/>
      <c r="BXF6" s="57"/>
      <c r="BXG6" s="57"/>
      <c r="BXH6" s="57"/>
      <c r="BXI6" s="57"/>
      <c r="BXJ6" s="57"/>
      <c r="BXK6" s="56"/>
      <c r="BXL6" s="57"/>
      <c r="BXM6" s="57"/>
      <c r="BXN6" s="56"/>
      <c r="BXO6" s="57"/>
      <c r="BXP6" s="58"/>
      <c r="BXQ6" s="56"/>
      <c r="BXR6" s="57"/>
      <c r="BXS6" s="57"/>
      <c r="BXT6" s="57"/>
      <c r="BXU6" s="56"/>
      <c r="BXV6" s="57"/>
      <c r="BXW6" s="57"/>
      <c r="BXX6" s="56"/>
      <c r="BXY6" s="57"/>
      <c r="BXZ6" s="58"/>
      <c r="BYA6" s="56"/>
      <c r="BYB6" s="57"/>
      <c r="BYC6" s="57"/>
      <c r="BYD6" s="57"/>
      <c r="BYE6" s="56"/>
      <c r="BYF6" s="57"/>
      <c r="BYG6" s="57"/>
      <c r="BYH6" s="57"/>
      <c r="BYI6" s="57"/>
      <c r="BYJ6" s="57"/>
      <c r="BYK6" s="56"/>
      <c r="BYL6" s="57"/>
      <c r="BYM6" s="57"/>
      <c r="BYN6" s="56"/>
      <c r="BYO6" s="57"/>
      <c r="BYP6" s="58"/>
      <c r="BYQ6" s="56"/>
      <c r="BYR6" s="57"/>
      <c r="BYS6" s="57"/>
      <c r="BYT6" s="57"/>
      <c r="BYU6" s="56"/>
      <c r="BYV6" s="57"/>
      <c r="BYW6" s="57"/>
      <c r="BYX6" s="58"/>
      <c r="BYY6" s="57"/>
      <c r="BYZ6" s="56"/>
      <c r="BZA6" s="57"/>
      <c r="BZB6" s="56"/>
      <c r="BZC6" s="56"/>
      <c r="BZD6" s="56"/>
      <c r="BZE6" s="57"/>
      <c r="BZF6" s="386"/>
      <c r="BZG6" s="57"/>
      <c r="BZH6" s="386"/>
      <c r="BZI6" s="57"/>
      <c r="BZJ6" s="386"/>
      <c r="BZK6" s="57"/>
      <c r="BZL6" s="57"/>
      <c r="BZM6" s="57"/>
      <c r="BZN6" s="57"/>
      <c r="BZO6" s="57"/>
      <c r="BZP6" s="57"/>
      <c r="BZQ6" s="57"/>
      <c r="BZR6" s="57"/>
      <c r="BZS6" s="57"/>
      <c r="BZT6" s="57"/>
      <c r="BZU6" s="57"/>
      <c r="BZV6" s="57"/>
      <c r="BZW6" s="57"/>
      <c r="BZX6" s="57"/>
      <c r="BZY6" s="57"/>
      <c r="BZZ6" s="57"/>
      <c r="CAA6" s="57"/>
      <c r="CAB6" s="57"/>
      <c r="CAC6" s="57"/>
      <c r="CAD6" s="57"/>
      <c r="CAE6" s="57"/>
      <c r="CAF6" s="57"/>
      <c r="CAG6" s="57"/>
      <c r="CAH6" s="57"/>
      <c r="CAI6" s="57"/>
      <c r="CAJ6" s="57"/>
      <c r="CAK6" s="57"/>
      <c r="CAL6" s="57"/>
      <c r="CAM6" s="57"/>
      <c r="CAN6" s="57"/>
      <c r="CAO6" s="57"/>
      <c r="CAP6" s="58"/>
      <c r="CAQ6" s="56"/>
      <c r="CAR6" s="57"/>
      <c r="CAS6" s="57"/>
      <c r="CAT6" s="57"/>
      <c r="CAU6" s="57"/>
      <c r="CAV6" s="57"/>
      <c r="CAW6" s="56"/>
      <c r="CAX6" s="57"/>
      <c r="CAY6" s="57"/>
      <c r="CAZ6" s="56"/>
      <c r="CBA6" s="57"/>
      <c r="CBB6" s="58"/>
      <c r="CBC6" s="56"/>
      <c r="CBD6" s="57"/>
      <c r="CBE6" s="57"/>
      <c r="CBF6" s="57"/>
      <c r="CBG6" s="56"/>
      <c r="CBH6" s="57"/>
      <c r="CBI6" s="57"/>
      <c r="CBJ6" s="56"/>
      <c r="CBK6" s="57"/>
      <c r="CBL6" s="58"/>
      <c r="CBM6" s="56"/>
      <c r="CBN6" s="57"/>
      <c r="CBO6" s="57"/>
      <c r="CBP6" s="57"/>
      <c r="CBQ6" s="56"/>
      <c r="CBR6" s="57"/>
      <c r="CBS6" s="57"/>
      <c r="CBT6" s="56"/>
      <c r="CBU6" s="57"/>
      <c r="CBV6" s="58"/>
      <c r="CBW6" s="56"/>
      <c r="CBX6" s="57"/>
      <c r="CBY6" s="57"/>
      <c r="CBZ6" s="57"/>
      <c r="CCA6" s="56"/>
      <c r="CCB6" s="57"/>
      <c r="CCC6" s="57"/>
      <c r="CCD6" s="56"/>
      <c r="CCE6" s="57"/>
      <c r="CCF6" s="58"/>
      <c r="CCG6" s="56"/>
      <c r="CCH6" s="58"/>
      <c r="CCI6" s="57"/>
      <c r="CCJ6" s="56"/>
      <c r="CCK6" s="57"/>
      <c r="CCL6" s="56"/>
      <c r="CCM6" s="56"/>
      <c r="CCN6" s="56"/>
      <c r="CCO6" s="57"/>
      <c r="CCP6" s="386"/>
      <c r="CCQ6" s="57"/>
      <c r="CCR6" s="386"/>
      <c r="CCS6" s="57"/>
      <c r="CCT6" s="386"/>
      <c r="CCU6" s="57"/>
      <c r="CCV6" s="57"/>
      <c r="CCW6" s="57"/>
      <c r="CCX6" s="57"/>
      <c r="CCY6" s="57"/>
      <c r="CCZ6" s="57"/>
      <c r="CDA6" s="57"/>
      <c r="CDB6" s="57"/>
      <c r="CDC6" s="57"/>
      <c r="CDD6" s="57"/>
      <c r="CDE6" s="57"/>
      <c r="CDF6" s="57"/>
      <c r="CDG6" s="57"/>
      <c r="CDH6" s="57"/>
      <c r="CDI6" s="57"/>
      <c r="CDJ6" s="57"/>
      <c r="CDK6" s="57"/>
      <c r="CDL6" s="57"/>
      <c r="CDM6" s="57"/>
      <c r="CDN6" s="57"/>
      <c r="CDO6" s="57"/>
      <c r="CDP6" s="57"/>
      <c r="CDQ6" s="57"/>
      <c r="CDR6" s="57"/>
      <c r="CDS6" s="57"/>
      <c r="CDT6" s="57"/>
      <c r="CDU6" s="57"/>
      <c r="CDV6" s="57"/>
      <c r="CDW6" s="57"/>
      <c r="CDX6" s="57"/>
      <c r="CDY6" s="57"/>
      <c r="CDZ6" s="58"/>
      <c r="CEA6" s="56"/>
      <c r="CEB6" s="57"/>
      <c r="CEC6" s="57"/>
      <c r="CED6" s="57"/>
      <c r="CEE6" s="57"/>
      <c r="CEF6" s="57"/>
      <c r="CEG6" s="56"/>
      <c r="CEH6" s="57"/>
      <c r="CEI6" s="57"/>
      <c r="CEJ6" s="56"/>
      <c r="CEK6" s="57"/>
      <c r="CEL6" s="58"/>
      <c r="CEM6" s="56"/>
      <c r="CEN6" s="57"/>
      <c r="CEO6" s="57"/>
      <c r="CEP6" s="57"/>
      <c r="CEQ6" s="56"/>
      <c r="CER6" s="57"/>
      <c r="CES6" s="57"/>
      <c r="CET6" s="56"/>
      <c r="CEU6" s="57"/>
      <c r="CEV6" s="58"/>
      <c r="CEW6" s="56"/>
      <c r="CEX6" s="57"/>
      <c r="CEY6" s="57"/>
      <c r="CEZ6" s="57"/>
      <c r="CFA6" s="56"/>
      <c r="CFB6" s="57"/>
      <c r="CFC6" s="57"/>
      <c r="CFD6" s="56"/>
      <c r="CFE6" s="57"/>
      <c r="CFF6" s="58"/>
      <c r="CFG6" s="56"/>
      <c r="CFH6" s="57"/>
      <c r="CFI6" s="57"/>
      <c r="CFJ6" s="57"/>
      <c r="CFK6" s="56"/>
      <c r="CFL6" s="57"/>
      <c r="CFM6" s="57"/>
      <c r="CFN6" s="56"/>
      <c r="CFO6" s="57"/>
      <c r="CFP6" s="58"/>
      <c r="CFQ6" s="56"/>
      <c r="CFR6" s="58"/>
      <c r="CFS6" s="57"/>
      <c r="CFT6" s="56"/>
      <c r="CFU6" s="57"/>
      <c r="CFV6" s="56"/>
      <c r="CFW6" s="56"/>
      <c r="CFX6" s="56"/>
      <c r="CFY6" s="57"/>
      <c r="CFZ6" s="386"/>
      <c r="CGA6" s="57"/>
      <c r="CGB6" s="386"/>
      <c r="CGC6" s="57"/>
      <c r="CGD6" s="386"/>
      <c r="CGE6" s="57"/>
      <c r="CGF6" s="57"/>
      <c r="CGG6" s="57"/>
      <c r="CGH6" s="57"/>
      <c r="CGI6" s="57"/>
      <c r="CGJ6" s="57"/>
      <c r="CGK6" s="57"/>
      <c r="CGL6" s="57"/>
      <c r="CGM6" s="57"/>
      <c r="CGN6" s="57"/>
      <c r="CGO6" s="57"/>
      <c r="CGP6" s="57"/>
      <c r="CGQ6" s="57"/>
      <c r="CGR6" s="57"/>
      <c r="CGS6" s="57"/>
      <c r="CGT6" s="57"/>
      <c r="CGU6" s="57"/>
      <c r="CGV6" s="57"/>
      <c r="CGW6" s="57"/>
      <c r="CGX6" s="57"/>
      <c r="CGY6" s="57"/>
      <c r="CGZ6" s="57"/>
      <c r="CHA6" s="57"/>
      <c r="CHB6" s="57"/>
      <c r="CHC6" s="57"/>
      <c r="CHD6" s="57"/>
      <c r="CHE6" s="57"/>
      <c r="CHF6" s="57"/>
      <c r="CHG6" s="57"/>
      <c r="CHH6" s="57"/>
      <c r="CHI6" s="57"/>
      <c r="CHJ6" s="58"/>
      <c r="CHK6" s="56"/>
      <c r="CHL6" s="57"/>
      <c r="CHM6" s="57"/>
      <c r="CHN6" s="57"/>
      <c r="CHO6" s="57"/>
      <c r="CHP6" s="57"/>
      <c r="CHQ6" s="56"/>
      <c r="CHR6" s="57"/>
      <c r="CHS6" s="57"/>
      <c r="CHT6" s="56"/>
      <c r="CHU6" s="57"/>
      <c r="CHV6" s="58"/>
      <c r="CHW6" s="56"/>
      <c r="CHX6" s="57"/>
      <c r="CHY6" s="57"/>
      <c r="CHZ6" s="57"/>
      <c r="CIA6" s="56"/>
      <c r="CIB6" s="57"/>
      <c r="CIC6" s="57"/>
      <c r="CID6" s="56"/>
      <c r="CIE6" s="57"/>
      <c r="CIF6" s="58"/>
      <c r="CIG6" s="56"/>
      <c r="CIH6" s="57"/>
      <c r="CII6" s="57"/>
      <c r="CIJ6" s="57"/>
      <c r="CIK6" s="56"/>
      <c r="CIL6" s="57"/>
      <c r="CIM6" s="57"/>
      <c r="CIN6" s="56"/>
      <c r="CIO6" s="57"/>
      <c r="CIP6" s="58"/>
      <c r="CIQ6" s="56"/>
      <c r="CIR6" s="57"/>
      <c r="CIS6" s="57"/>
      <c r="CIT6" s="57"/>
      <c r="CIU6" s="56"/>
      <c r="CIV6" s="57"/>
      <c r="CIW6" s="57"/>
      <c r="CIX6" s="56"/>
      <c r="CIY6" s="57"/>
      <c r="CIZ6" s="58"/>
      <c r="CJA6" s="56"/>
      <c r="CJB6" s="58"/>
      <c r="CJC6" s="57"/>
      <c r="CJD6" s="56"/>
      <c r="CJE6" s="57"/>
      <c r="CJF6" s="56"/>
      <c r="CJG6" s="56"/>
      <c r="CJH6" s="56"/>
      <c r="CJI6" s="57"/>
      <c r="CJJ6" s="386"/>
      <c r="CJK6" s="57"/>
      <c r="CJL6" s="386"/>
      <c r="CJM6" s="57"/>
      <c r="CJN6" s="386"/>
      <c r="CJO6" s="57"/>
      <c r="CJP6" s="57"/>
      <c r="CJQ6" s="57"/>
      <c r="CJR6" s="57"/>
      <c r="CJS6" s="57"/>
      <c r="CJT6" s="57"/>
      <c r="CJU6" s="57"/>
      <c r="CJV6" s="57"/>
      <c r="CJW6" s="57"/>
      <c r="CJX6" s="57"/>
      <c r="CJY6" s="57"/>
      <c r="CJZ6" s="57"/>
      <c r="CKA6" s="57"/>
      <c r="CKB6" s="57"/>
      <c r="CKC6" s="57"/>
      <c r="CKD6" s="57"/>
      <c r="CKE6" s="57"/>
      <c r="CKF6" s="57"/>
      <c r="CKG6" s="57"/>
      <c r="CKH6" s="57"/>
      <c r="CKI6" s="57"/>
      <c r="CKJ6" s="57"/>
      <c r="CKK6" s="57"/>
      <c r="CKL6" s="57"/>
      <c r="CKM6" s="57"/>
      <c r="CKN6" s="57"/>
      <c r="CKO6" s="57"/>
      <c r="CKP6" s="57"/>
      <c r="CKQ6" s="57"/>
      <c r="CKR6" s="57"/>
      <c r="CKS6" s="57"/>
      <c r="CKT6" s="58"/>
      <c r="CKU6" s="56"/>
      <c r="CKV6" s="57"/>
      <c r="CKW6" s="57"/>
      <c r="CKX6" s="57"/>
      <c r="CKY6" s="57"/>
      <c r="CKZ6" s="57"/>
      <c r="CLA6" s="56"/>
      <c r="CLB6" s="57"/>
      <c r="CLC6" s="57"/>
      <c r="CLD6" s="56"/>
      <c r="CLE6" s="57"/>
      <c r="CLF6" s="58"/>
      <c r="CLG6" s="56"/>
      <c r="CLH6" s="57"/>
      <c r="CLI6" s="57"/>
      <c r="CLJ6" s="57"/>
      <c r="CLK6" s="56"/>
      <c r="CLL6" s="57"/>
      <c r="CLM6" s="57"/>
      <c r="CLN6" s="56"/>
      <c r="CLO6" s="57"/>
      <c r="CLP6" s="58"/>
      <c r="CLQ6" s="56"/>
      <c r="CLR6" s="57"/>
      <c r="CLS6" s="57"/>
      <c r="CLT6" s="57"/>
      <c r="CLU6" s="56"/>
      <c r="CLV6" s="57"/>
      <c r="CLW6" s="57"/>
      <c r="CLX6" s="56"/>
      <c r="CLY6" s="57"/>
      <c r="CLZ6" s="58"/>
      <c r="CMA6" s="56"/>
      <c r="CMB6" s="57"/>
      <c r="CMC6" s="57"/>
      <c r="CMD6" s="57"/>
      <c r="CME6" s="56"/>
      <c r="CMF6" s="57"/>
      <c r="CMG6" s="57"/>
      <c r="CMH6" s="56"/>
      <c r="CMI6" s="57"/>
      <c r="CMJ6" s="58"/>
      <c r="CMK6" s="56"/>
      <c r="CML6" s="58"/>
      <c r="CMM6" s="57"/>
      <c r="CMN6" s="56"/>
      <c r="CMO6" s="57"/>
      <c r="CMP6" s="56"/>
      <c r="CMQ6" s="56"/>
      <c r="CMR6" s="56"/>
      <c r="CMS6" s="57"/>
      <c r="CMT6" s="386"/>
      <c r="CMU6" s="57"/>
      <c r="CMV6" s="386"/>
      <c r="CMW6" s="57"/>
      <c r="CMX6" s="386"/>
      <c r="CMY6" s="57"/>
      <c r="CMZ6" s="57"/>
      <c r="CNA6" s="57"/>
      <c r="CNB6" s="57"/>
      <c r="CNC6" s="57"/>
      <c r="CND6" s="57"/>
      <c r="CNE6" s="57"/>
      <c r="CNF6" s="57"/>
      <c r="CNG6" s="57"/>
      <c r="CNH6" s="57"/>
      <c r="CNI6" s="57"/>
      <c r="CNJ6" s="57"/>
      <c r="CNK6" s="57"/>
      <c r="CNL6" s="57"/>
      <c r="CNM6" s="57"/>
      <c r="CNN6" s="57"/>
      <c r="CNO6" s="57"/>
      <c r="CNP6" s="57"/>
      <c r="CNQ6" s="57"/>
      <c r="CNR6" s="57"/>
      <c r="CNS6" s="57"/>
      <c r="CNT6" s="57"/>
      <c r="CNU6" s="57"/>
      <c r="CNV6" s="57"/>
      <c r="CNW6" s="57"/>
      <c r="CNX6" s="57"/>
      <c r="CNY6" s="57"/>
      <c r="CNZ6" s="57"/>
      <c r="COA6" s="57"/>
      <c r="COB6" s="57"/>
      <c r="COC6" s="57"/>
      <c r="COD6" s="58"/>
      <c r="COE6" s="56"/>
      <c r="COF6" s="57"/>
      <c r="COG6" s="57"/>
      <c r="COH6" s="57"/>
      <c r="COI6" s="57"/>
      <c r="COJ6" s="57"/>
      <c r="COK6" s="56"/>
      <c r="COL6" s="57"/>
      <c r="COM6" s="57"/>
      <c r="CON6" s="56"/>
      <c r="COO6" s="57"/>
      <c r="COP6" s="58"/>
      <c r="COQ6" s="56"/>
      <c r="COR6" s="57"/>
      <c r="COS6" s="57"/>
      <c r="COT6" s="57"/>
      <c r="COU6" s="56"/>
      <c r="COV6" s="57"/>
      <c r="COW6" s="57"/>
      <c r="COX6" s="56"/>
      <c r="COY6" s="57"/>
      <c r="COZ6" s="58"/>
      <c r="CPA6" s="56"/>
      <c r="CPB6" s="57"/>
      <c r="CPC6" s="57"/>
      <c r="CPD6" s="57"/>
      <c r="CPE6" s="56"/>
      <c r="CPF6" s="57"/>
      <c r="CPG6" s="57"/>
      <c r="CPH6" s="56"/>
      <c r="CPI6" s="57"/>
      <c r="CPJ6" s="58"/>
      <c r="CPK6" s="56"/>
      <c r="CPL6" s="57"/>
      <c r="CPM6" s="57"/>
      <c r="CPN6" s="57"/>
      <c r="CPO6" s="56"/>
      <c r="CPP6" s="57"/>
      <c r="CPQ6" s="57"/>
      <c r="CPR6" s="56"/>
      <c r="CPS6" s="57"/>
      <c r="CPT6" s="58"/>
      <c r="CPU6" s="56"/>
      <c r="CPV6" s="58"/>
      <c r="CPW6" s="57"/>
      <c r="CPX6" s="56"/>
      <c r="CPY6" s="57"/>
      <c r="CPZ6" s="56"/>
      <c r="CQA6" s="56"/>
      <c r="CQB6" s="56"/>
      <c r="CQC6" s="57"/>
      <c r="CQD6" s="386"/>
      <c r="CQE6" s="57"/>
      <c r="CQF6" s="386"/>
      <c r="CQG6" s="57"/>
      <c r="CQH6" s="386"/>
      <c r="CQI6" s="57"/>
      <c r="CQJ6" s="57"/>
      <c r="CQK6" s="57"/>
      <c r="CQL6" s="57"/>
      <c r="CQM6" s="57"/>
      <c r="CQN6" s="57"/>
      <c r="CQO6" s="57"/>
      <c r="CQP6" s="57"/>
      <c r="CQQ6" s="57"/>
      <c r="CQR6" s="57"/>
      <c r="CQS6" s="57"/>
      <c r="CQT6" s="57"/>
      <c r="CQU6" s="57"/>
      <c r="CQV6" s="57"/>
      <c r="CQW6" s="57"/>
      <c r="CQX6" s="57"/>
      <c r="CQY6" s="57"/>
      <c r="CQZ6" s="57"/>
      <c r="CRA6" s="57"/>
      <c r="CRB6" s="57"/>
      <c r="CRC6" s="57"/>
      <c r="CRD6" s="57"/>
      <c r="CRE6" s="57"/>
      <c r="CRF6" s="57"/>
      <c r="CRG6" s="57"/>
      <c r="CRH6" s="57"/>
      <c r="CRI6" s="57"/>
      <c r="CRJ6" s="57"/>
      <c r="CRK6" s="57"/>
      <c r="CRL6" s="57"/>
      <c r="CRM6" s="57"/>
      <c r="CRN6" s="58"/>
      <c r="CRO6" s="56"/>
      <c r="CRP6" s="57"/>
      <c r="CRQ6" s="57"/>
      <c r="CRR6" s="57"/>
      <c r="CRS6" s="57"/>
      <c r="CRT6" s="57"/>
      <c r="CRU6" s="56"/>
      <c r="CRV6" s="57"/>
      <c r="CRW6" s="57"/>
      <c r="CRX6" s="56"/>
      <c r="CRY6" s="57"/>
      <c r="CRZ6" s="58"/>
      <c r="CSA6" s="56"/>
      <c r="CSB6" s="57"/>
      <c r="CSC6" s="57"/>
      <c r="CSD6" s="57"/>
      <c r="CSE6" s="56"/>
      <c r="CSF6" s="57"/>
      <c r="CSG6" s="57"/>
      <c r="CSH6" s="56"/>
      <c r="CSI6" s="57"/>
      <c r="CSJ6" s="58"/>
      <c r="CSK6" s="56"/>
      <c r="CSL6" s="57"/>
      <c r="CSM6" s="57"/>
      <c r="CSN6" s="57"/>
      <c r="CSO6" s="56"/>
      <c r="CSP6" s="57"/>
      <c r="CSQ6" s="57"/>
      <c r="CSR6" s="56"/>
      <c r="CSS6" s="57"/>
      <c r="CST6" s="58"/>
      <c r="CSU6" s="56"/>
      <c r="CSV6" s="57"/>
      <c r="CSW6" s="57"/>
      <c r="CSX6" s="57"/>
      <c r="CSY6" s="56"/>
      <c r="CSZ6" s="57"/>
      <c r="CTA6" s="57"/>
      <c r="CTB6" s="56"/>
      <c r="CTC6" s="57"/>
      <c r="CTD6" s="58"/>
      <c r="CTE6" s="56"/>
      <c r="CTF6" s="58"/>
      <c r="CTG6" s="57"/>
      <c r="CTH6" s="56"/>
      <c r="CTI6" s="57"/>
      <c r="CTJ6" s="56"/>
      <c r="CTK6" s="56"/>
      <c r="CTL6" s="56"/>
      <c r="CTM6" s="57"/>
      <c r="CTN6" s="386"/>
      <c r="CTO6" s="57"/>
      <c r="CTP6" s="386"/>
      <c r="CTQ6" s="57"/>
      <c r="CTR6" s="386"/>
      <c r="CTS6" s="57"/>
      <c r="CTT6" s="57"/>
      <c r="CTU6" s="57"/>
      <c r="CTV6" s="57"/>
      <c r="CTW6" s="57"/>
      <c r="CTX6" s="57"/>
      <c r="CTY6" s="57"/>
      <c r="CTZ6" s="57"/>
      <c r="CUA6" s="57"/>
      <c r="CUB6" s="57"/>
      <c r="CUC6" s="57"/>
      <c r="CUD6" s="57"/>
      <c r="CUE6" s="57"/>
      <c r="CUF6" s="57"/>
      <c r="CUG6" s="57"/>
      <c r="CUH6" s="57"/>
      <c r="CUI6" s="57"/>
      <c r="CUJ6" s="57"/>
      <c r="CUK6" s="57"/>
      <c r="CUL6" s="57"/>
      <c r="CUM6" s="57"/>
      <c r="CUN6" s="57"/>
      <c r="CUO6" s="57"/>
      <c r="CUP6" s="57"/>
      <c r="CUQ6" s="57"/>
      <c r="CUR6" s="57"/>
      <c r="CUS6" s="57"/>
      <c r="CUT6" s="57"/>
      <c r="CUU6" s="57"/>
      <c r="CUV6" s="57"/>
      <c r="CUW6" s="57"/>
      <c r="CUX6" s="58"/>
      <c r="CUY6" s="56"/>
      <c r="CUZ6" s="57"/>
      <c r="CVA6" s="57"/>
      <c r="CVB6" s="57"/>
      <c r="CVC6" s="57"/>
      <c r="CVD6" s="57"/>
      <c r="CVE6" s="56"/>
      <c r="CVF6" s="57"/>
      <c r="CVG6" s="57"/>
      <c r="CVH6" s="56"/>
      <c r="CVI6" s="57"/>
      <c r="CVJ6" s="58"/>
      <c r="CVK6" s="56"/>
      <c r="CVL6" s="57"/>
      <c r="CVM6" s="57"/>
      <c r="CVN6" s="57"/>
      <c r="CVO6" s="56"/>
      <c r="CVP6" s="57"/>
      <c r="CVQ6" s="57"/>
      <c r="CVR6" s="56"/>
      <c r="CVS6" s="57"/>
      <c r="CVT6" s="58"/>
      <c r="CVU6" s="56"/>
      <c r="CVV6" s="57"/>
      <c r="CVW6" s="57"/>
      <c r="CVX6" s="57"/>
      <c r="CVY6" s="56"/>
      <c r="CVZ6" s="57"/>
      <c r="CWA6" s="57"/>
      <c r="CWB6" s="56"/>
      <c r="CWC6" s="57"/>
      <c r="CWD6" s="58"/>
      <c r="CWE6" s="56"/>
      <c r="CWF6" s="57"/>
      <c r="CWG6" s="57"/>
      <c r="CWH6" s="57"/>
      <c r="CWI6" s="56"/>
      <c r="CWJ6" s="57"/>
      <c r="CWK6" s="57"/>
      <c r="CWL6" s="56"/>
      <c r="CWM6" s="57"/>
      <c r="CWN6" s="58"/>
      <c r="CWO6" s="56"/>
      <c r="CWP6" s="58"/>
      <c r="CWQ6" s="57"/>
      <c r="CWR6" s="56"/>
      <c r="CWS6" s="57"/>
      <c r="CWT6" s="56"/>
      <c r="CWU6" s="56"/>
      <c r="CWV6" s="56"/>
      <c r="CWW6" s="57"/>
      <c r="CWX6" s="386"/>
      <c r="CWY6" s="57"/>
      <c r="CWZ6" s="386"/>
      <c r="CXA6" s="57"/>
      <c r="CXB6" s="386"/>
      <c r="CXC6" s="57"/>
      <c r="CXD6" s="57"/>
      <c r="CXE6" s="57"/>
      <c r="CXF6" s="57"/>
      <c r="CXG6" s="57"/>
      <c r="CXH6" s="57"/>
      <c r="CXI6" s="57"/>
      <c r="CXJ6" s="57"/>
      <c r="CXK6" s="57"/>
      <c r="CXL6" s="57"/>
      <c r="CXM6" s="57"/>
      <c r="CXN6" s="57"/>
      <c r="CXO6" s="57"/>
      <c r="CXP6" s="57"/>
      <c r="CXQ6" s="57"/>
      <c r="CXR6" s="57"/>
      <c r="CXS6" s="57"/>
      <c r="CXT6" s="57"/>
      <c r="CXU6" s="57"/>
      <c r="CXV6" s="57"/>
      <c r="CXW6" s="57"/>
      <c r="CXX6" s="57"/>
      <c r="CXY6" s="57"/>
      <c r="CXZ6" s="57"/>
      <c r="CYA6" s="57"/>
      <c r="CYB6" s="57"/>
      <c r="CYC6" s="57"/>
      <c r="CYD6" s="57"/>
      <c r="CYE6" s="57"/>
      <c r="CYF6" s="57"/>
      <c r="CYG6" s="57"/>
      <c r="CYH6" s="58"/>
      <c r="CYI6" s="56"/>
      <c r="CYJ6" s="57"/>
      <c r="CYK6" s="57"/>
      <c r="CYL6" s="57"/>
      <c r="CYM6" s="57"/>
      <c r="CYN6" s="57"/>
      <c r="CYO6" s="56"/>
      <c r="CYP6" s="57"/>
      <c r="CYQ6" s="57"/>
      <c r="CYR6" s="56"/>
      <c r="CYS6" s="57"/>
      <c r="CYT6" s="58"/>
      <c r="CYU6" s="56"/>
      <c r="CYV6" s="57"/>
      <c r="CYW6" s="57"/>
      <c r="CYX6" s="57"/>
      <c r="CYY6" s="56"/>
      <c r="CYZ6" s="57"/>
      <c r="CZA6" s="57"/>
      <c r="CZB6" s="56"/>
      <c r="CZC6" s="57"/>
      <c r="CZD6" s="58"/>
      <c r="CZE6" s="56"/>
      <c r="CZF6" s="57"/>
      <c r="CZG6" s="57"/>
      <c r="CZH6" s="57"/>
      <c r="CZI6" s="56"/>
      <c r="CZJ6" s="57"/>
      <c r="CZK6" s="57"/>
      <c r="CZL6" s="56"/>
      <c r="CZM6" s="57"/>
      <c r="CZN6" s="58"/>
      <c r="CZO6" s="56"/>
      <c r="CZP6" s="57"/>
      <c r="CZQ6" s="57"/>
      <c r="CZR6" s="57"/>
      <c r="CZS6" s="56"/>
      <c r="CZT6" s="57"/>
      <c r="CZU6" s="57"/>
      <c r="CZV6" s="56"/>
      <c r="CZW6" s="57"/>
      <c r="CZX6" s="58"/>
      <c r="CZY6" s="56"/>
      <c r="CZZ6" s="58"/>
      <c r="DAA6" s="57"/>
      <c r="DAB6" s="56"/>
      <c r="DAC6" s="57"/>
      <c r="DAD6" s="56"/>
      <c r="DAE6" s="56"/>
      <c r="DAF6" s="56"/>
      <c r="DAG6" s="57"/>
      <c r="DAH6" s="386"/>
      <c r="DAI6" s="57"/>
      <c r="DAJ6" s="386"/>
      <c r="DAK6" s="57"/>
      <c r="DAL6" s="386"/>
      <c r="DAM6" s="57"/>
      <c r="DAN6" s="57"/>
      <c r="DAO6" s="57"/>
      <c r="DAP6" s="57"/>
      <c r="DAQ6" s="57"/>
      <c r="DAR6" s="57"/>
      <c r="DAS6" s="57"/>
      <c r="DAT6" s="57"/>
      <c r="DAU6" s="57"/>
      <c r="DAV6" s="57"/>
      <c r="DAW6" s="57"/>
      <c r="DAX6" s="57"/>
      <c r="DAY6" s="57"/>
      <c r="DAZ6" s="57"/>
      <c r="DBA6" s="57"/>
      <c r="DBB6" s="57"/>
      <c r="DBC6" s="57"/>
      <c r="DBD6" s="57"/>
      <c r="DBE6" s="57"/>
      <c r="DBF6" s="57"/>
      <c r="DBG6" s="57"/>
      <c r="DBH6" s="57"/>
      <c r="DBI6" s="57"/>
      <c r="DBJ6" s="57"/>
      <c r="DBK6" s="57"/>
      <c r="DBL6" s="57"/>
      <c r="DBM6" s="57"/>
      <c r="DBN6" s="57"/>
      <c r="DBO6" s="57"/>
      <c r="DBP6" s="57"/>
      <c r="DBQ6" s="57"/>
      <c r="DBR6" s="58"/>
      <c r="DBS6" s="56"/>
      <c r="DBT6" s="57"/>
      <c r="DBU6" s="57"/>
      <c r="DBV6" s="57"/>
      <c r="DBW6" s="57"/>
      <c r="DBX6" s="57"/>
      <c r="DBY6" s="56"/>
      <c r="DBZ6" s="57"/>
      <c r="DCA6" s="57"/>
      <c r="DCB6" s="56"/>
      <c r="DCC6" s="57"/>
      <c r="DCD6" s="58"/>
      <c r="DCE6" s="56"/>
      <c r="DCF6" s="57"/>
      <c r="DCG6" s="57"/>
      <c r="DCH6" s="57"/>
      <c r="DCI6" s="56"/>
      <c r="DCJ6" s="57"/>
      <c r="DCK6" s="57"/>
      <c r="DCL6" s="56"/>
      <c r="DCM6" s="57"/>
      <c r="DCN6" s="58"/>
      <c r="DCO6" s="56"/>
      <c r="DCP6" s="57"/>
      <c r="DCQ6" s="57"/>
      <c r="DCR6" s="57"/>
      <c r="DCS6" s="56"/>
      <c r="DCT6" s="57"/>
      <c r="DCU6" s="57"/>
      <c r="DCV6" s="56"/>
      <c r="DCW6" s="57"/>
      <c r="DCX6" s="58"/>
      <c r="DCY6" s="56"/>
      <c r="DCZ6" s="57"/>
      <c r="DDA6" s="57"/>
      <c r="DDB6" s="57"/>
      <c r="DDC6" s="56"/>
      <c r="DDD6" s="57"/>
      <c r="DDE6" s="57"/>
      <c r="DDF6" s="56"/>
      <c r="DDG6" s="57"/>
      <c r="DDH6" s="58"/>
      <c r="DDI6" s="56"/>
      <c r="DDJ6" s="58"/>
      <c r="DDK6" s="57"/>
      <c r="DDL6" s="56"/>
      <c r="DDM6" s="57"/>
      <c r="DDN6" s="56"/>
      <c r="DDO6" s="56"/>
      <c r="DDP6" s="56"/>
      <c r="DDQ6" s="57"/>
      <c r="DDR6" s="386"/>
      <c r="DDS6" s="57"/>
      <c r="DDT6" s="386"/>
      <c r="DDU6" s="57"/>
      <c r="DDV6" s="386"/>
      <c r="DDW6" s="57"/>
      <c r="DDX6" s="57"/>
      <c r="DDY6" s="57"/>
      <c r="DDZ6" s="57"/>
      <c r="DEA6" s="57"/>
      <c r="DEB6" s="57"/>
      <c r="DEC6" s="57"/>
      <c r="DED6" s="57"/>
      <c r="DEE6" s="57"/>
      <c r="DEF6" s="57"/>
      <c r="DEG6" s="57"/>
      <c r="DEH6" s="57"/>
      <c r="DEI6" s="57"/>
      <c r="DEJ6" s="57"/>
      <c r="DEK6" s="57"/>
      <c r="DEL6" s="57"/>
      <c r="DEM6" s="57"/>
      <c r="DEN6" s="57"/>
      <c r="DEO6" s="57"/>
      <c r="DEP6" s="57"/>
      <c r="DEQ6" s="57"/>
      <c r="DER6" s="57"/>
      <c r="DES6" s="57"/>
      <c r="DET6" s="57"/>
      <c r="DEU6" s="57"/>
      <c r="DEV6" s="57"/>
      <c r="DEW6" s="57"/>
      <c r="DEX6" s="57"/>
      <c r="DEY6" s="57"/>
      <c r="DEZ6" s="57"/>
      <c r="DFA6" s="57"/>
      <c r="DFB6" s="58"/>
      <c r="DFC6" s="56"/>
      <c r="DFD6" s="57"/>
      <c r="DFE6" s="57"/>
      <c r="DFF6" s="57"/>
      <c r="DFG6" s="57"/>
      <c r="DFH6" s="57"/>
      <c r="DFI6" s="56"/>
      <c r="DFJ6" s="57"/>
      <c r="DFK6" s="57"/>
      <c r="DFL6" s="56"/>
      <c r="DFM6" s="57"/>
      <c r="DFN6" s="58"/>
      <c r="DFO6" s="56"/>
      <c r="DFP6" s="57"/>
      <c r="DFQ6" s="57"/>
      <c r="DFR6" s="57"/>
      <c r="DFS6" s="56"/>
      <c r="DFT6" s="57"/>
      <c r="DFU6" s="57"/>
      <c r="DFV6" s="56"/>
      <c r="DFW6" s="57"/>
      <c r="DFX6" s="58"/>
      <c r="DFY6" s="56"/>
      <c r="DFZ6" s="57"/>
      <c r="DGA6" s="57"/>
      <c r="DGB6" s="57"/>
      <c r="DGC6" s="56"/>
      <c r="DGD6" s="57"/>
      <c r="DGE6" s="57"/>
      <c r="DGF6" s="56"/>
      <c r="DGG6" s="57"/>
      <c r="DGH6" s="58"/>
      <c r="DGI6" s="56"/>
      <c r="DGJ6" s="57"/>
      <c r="DGK6" s="57"/>
      <c r="DGL6" s="57"/>
      <c r="DGM6" s="56"/>
      <c r="DGN6" s="57"/>
      <c r="DGO6" s="57"/>
      <c r="DGP6" s="56"/>
      <c r="DGQ6" s="57"/>
      <c r="DGR6" s="58"/>
      <c r="DGS6" s="56"/>
      <c r="DGT6" s="58"/>
      <c r="DGU6" s="57"/>
      <c r="DGV6" s="56"/>
      <c r="DGW6" s="57"/>
      <c r="DGX6" s="56"/>
      <c r="DGY6" s="56"/>
      <c r="DGZ6" s="56"/>
      <c r="DHA6" s="57"/>
      <c r="DHB6" s="386"/>
      <c r="DHC6" s="57"/>
      <c r="DHD6" s="386"/>
      <c r="DHE6" s="57"/>
      <c r="DHF6" s="386"/>
      <c r="DHG6" s="57"/>
      <c r="DHH6" s="57"/>
      <c r="DHI6" s="57"/>
      <c r="DHJ6" s="57"/>
      <c r="DHK6" s="57"/>
      <c r="DHL6" s="57"/>
      <c r="DHM6" s="57"/>
      <c r="DHN6" s="57"/>
      <c r="DHO6" s="57"/>
      <c r="DHP6" s="57"/>
      <c r="DHQ6" s="57"/>
      <c r="DHR6" s="57"/>
      <c r="DHS6" s="57"/>
      <c r="DHT6" s="57"/>
      <c r="DHU6" s="57"/>
      <c r="DHV6" s="57"/>
      <c r="DHW6" s="57"/>
      <c r="DHX6" s="57"/>
      <c r="DHY6" s="57"/>
      <c r="DHZ6" s="57"/>
      <c r="DIA6" s="57"/>
      <c r="DIB6" s="57"/>
      <c r="DIC6" s="57"/>
      <c r="DID6" s="57"/>
      <c r="DIE6" s="57"/>
      <c r="DIF6" s="57"/>
      <c r="DIG6" s="57"/>
      <c r="DIH6" s="57"/>
      <c r="DII6" s="57"/>
      <c r="DIJ6" s="57"/>
      <c r="DIK6" s="57"/>
      <c r="DIL6" s="58"/>
      <c r="DIM6" s="56"/>
      <c r="DIN6" s="57"/>
      <c r="DIO6" s="57"/>
      <c r="DIP6" s="57"/>
      <c r="DIQ6" s="57"/>
      <c r="DIR6" s="57"/>
      <c r="DIS6" s="56"/>
      <c r="DIT6" s="57"/>
      <c r="DIU6" s="57"/>
      <c r="DIV6" s="56"/>
      <c r="DIW6" s="57"/>
      <c r="DIX6" s="58"/>
      <c r="DIY6" s="56"/>
      <c r="DIZ6" s="57"/>
      <c r="DJA6" s="57"/>
      <c r="DJB6" s="57"/>
      <c r="DJC6" s="56"/>
      <c r="DJD6" s="57"/>
      <c r="DJE6" s="57"/>
      <c r="DJF6" s="56"/>
      <c r="DJG6" s="57"/>
      <c r="DJH6" s="58"/>
      <c r="DJI6" s="56"/>
      <c r="DJJ6" s="57"/>
      <c r="DJK6" s="57"/>
      <c r="DJL6" s="57"/>
      <c r="DJM6" s="56"/>
      <c r="DJN6" s="57"/>
      <c r="DJO6" s="57"/>
      <c r="DJP6" s="56"/>
      <c r="DJQ6" s="57"/>
      <c r="DJR6" s="58"/>
      <c r="DJS6" s="56"/>
      <c r="DJT6" s="57"/>
      <c r="DJU6" s="57"/>
      <c r="DJV6" s="57"/>
      <c r="DJW6" s="56"/>
      <c r="DJX6" s="57"/>
      <c r="DJY6" s="57"/>
      <c r="DJZ6" s="56"/>
      <c r="DKA6" s="57"/>
      <c r="DKB6" s="58"/>
      <c r="DKC6" s="56"/>
      <c r="DKD6" s="58"/>
      <c r="DKE6" s="57"/>
      <c r="DKF6" s="56"/>
      <c r="DKG6" s="57"/>
      <c r="DKH6" s="56"/>
      <c r="DKI6" s="56"/>
      <c r="DKJ6" s="56"/>
      <c r="DKK6" s="57"/>
      <c r="DKL6" s="386"/>
      <c r="DKM6" s="57"/>
      <c r="DKN6" s="386"/>
      <c r="DKO6" s="57"/>
      <c r="DKP6" s="386"/>
      <c r="DKQ6" s="57"/>
      <c r="DKR6" s="57"/>
      <c r="DKS6" s="57"/>
      <c r="DKT6" s="57"/>
      <c r="DKU6" s="57"/>
      <c r="DKV6" s="57"/>
      <c r="DKW6" s="57"/>
      <c r="DKX6" s="57"/>
      <c r="DKY6" s="57"/>
      <c r="DKZ6" s="57"/>
      <c r="DLA6" s="57"/>
      <c r="DLB6" s="57"/>
      <c r="DLC6" s="57"/>
      <c r="DLD6" s="57"/>
      <c r="DLE6" s="57"/>
      <c r="DLF6" s="57"/>
      <c r="DLG6" s="57"/>
      <c r="DLH6" s="57"/>
      <c r="DLI6" s="57"/>
      <c r="DLJ6" s="57"/>
      <c r="DLK6" s="57"/>
      <c r="DLL6" s="57"/>
      <c r="DLM6" s="57"/>
      <c r="DLN6" s="57"/>
      <c r="DLO6" s="57"/>
      <c r="DLP6" s="57"/>
      <c r="DLQ6" s="57"/>
      <c r="DLR6" s="57"/>
      <c r="DLS6" s="57"/>
      <c r="DLT6" s="57"/>
      <c r="DLU6" s="57"/>
      <c r="DLV6" s="58"/>
      <c r="DLW6" s="56"/>
      <c r="DLX6" s="57"/>
      <c r="DLY6" s="57"/>
      <c r="DLZ6" s="57"/>
      <c r="DMA6" s="57"/>
      <c r="DMB6" s="57"/>
      <c r="DMC6" s="56"/>
      <c r="DMD6" s="57"/>
      <c r="DME6" s="57"/>
      <c r="DMF6" s="56"/>
      <c r="DMG6" s="57"/>
      <c r="DMH6" s="58"/>
      <c r="DMI6" s="56"/>
      <c r="DMJ6" s="57"/>
      <c r="DMK6" s="57"/>
      <c r="DML6" s="57"/>
      <c r="DMM6" s="56"/>
      <c r="DMN6" s="57"/>
      <c r="DMO6" s="57"/>
      <c r="DMP6" s="56"/>
      <c r="DMQ6" s="57"/>
      <c r="DMR6" s="58"/>
      <c r="DMS6" s="56"/>
      <c r="DMT6" s="57"/>
      <c r="DMU6" s="57"/>
      <c r="DMV6" s="57"/>
      <c r="DMW6" s="56"/>
      <c r="DMX6" s="57"/>
      <c r="DMY6" s="57"/>
      <c r="DMZ6" s="56"/>
      <c r="DNA6" s="57"/>
      <c r="DNB6" s="58"/>
      <c r="DNC6" s="56"/>
      <c r="DND6" s="57"/>
      <c r="DNE6" s="57"/>
      <c r="DNF6" s="57"/>
      <c r="DNG6" s="56"/>
      <c r="DNH6" s="57"/>
      <c r="DNI6" s="57"/>
      <c r="DNJ6" s="56"/>
      <c r="DNK6" s="57"/>
      <c r="DNL6" s="58"/>
      <c r="DNM6" s="56"/>
      <c r="DNN6" s="58"/>
      <c r="DNO6" s="57"/>
      <c r="DNP6" s="56"/>
      <c r="DNQ6" s="57"/>
      <c r="DNR6" s="56"/>
      <c r="DNS6" s="56"/>
      <c r="DNT6" s="56"/>
      <c r="DNU6" s="57"/>
      <c r="DNV6" s="386"/>
      <c r="DNW6" s="57"/>
      <c r="DNX6" s="386"/>
      <c r="DNY6" s="57"/>
      <c r="DNZ6" s="386"/>
      <c r="DOA6" s="57"/>
      <c r="DOB6" s="57"/>
      <c r="DOC6" s="57"/>
      <c r="DOD6" s="57"/>
      <c r="DOE6" s="57"/>
      <c r="DOF6" s="57"/>
      <c r="DOG6" s="57"/>
      <c r="DOH6" s="57"/>
      <c r="DOI6" s="57"/>
      <c r="DOJ6" s="57"/>
      <c r="DOK6" s="57"/>
      <c r="DOL6" s="57"/>
      <c r="DOM6" s="57"/>
      <c r="DON6" s="57"/>
      <c r="DOO6" s="57"/>
      <c r="DOP6" s="57"/>
      <c r="DOQ6" s="57"/>
      <c r="DOR6" s="57"/>
      <c r="DOS6" s="57"/>
      <c r="DOT6" s="57"/>
      <c r="DOU6" s="57"/>
      <c r="DOV6" s="57"/>
      <c r="DOW6" s="57"/>
      <c r="DOX6" s="57"/>
      <c r="DOY6" s="57"/>
      <c r="DOZ6" s="57"/>
      <c r="DPA6" s="57"/>
      <c r="DPB6" s="57"/>
      <c r="DPC6" s="57"/>
      <c r="DPD6" s="57"/>
      <c r="DPE6" s="57"/>
      <c r="DPF6" s="58"/>
      <c r="DPG6" s="56"/>
      <c r="DPH6" s="57"/>
      <c r="DPI6" s="57"/>
      <c r="DPJ6" s="57"/>
      <c r="DPK6" s="57"/>
      <c r="DPL6" s="57"/>
      <c r="DPM6" s="56"/>
      <c r="DPN6" s="57"/>
      <c r="DPO6" s="57"/>
      <c r="DPP6" s="56"/>
      <c r="DPQ6" s="57"/>
      <c r="DPR6" s="58"/>
      <c r="DPS6" s="56"/>
      <c r="DPT6" s="57"/>
      <c r="DPU6" s="57"/>
      <c r="DPV6" s="57"/>
      <c r="DPW6" s="56"/>
      <c r="DPX6" s="57"/>
      <c r="DPY6" s="57"/>
      <c r="DPZ6" s="56"/>
      <c r="DQA6" s="57"/>
      <c r="DQB6" s="58"/>
      <c r="DQC6" s="56"/>
      <c r="DQD6" s="57"/>
      <c r="DQE6" s="57"/>
      <c r="DQF6" s="57"/>
      <c r="DQG6" s="56"/>
      <c r="DQH6" s="57"/>
      <c r="DQI6" s="57"/>
      <c r="DQJ6" s="56"/>
      <c r="DQK6" s="57"/>
      <c r="DQL6" s="58"/>
      <c r="DQM6" s="56"/>
      <c r="DQN6" s="57"/>
      <c r="DQO6" s="57"/>
      <c r="DQP6" s="57"/>
      <c r="DQQ6" s="56"/>
      <c r="DQR6" s="57"/>
      <c r="DQS6" s="57"/>
      <c r="DQT6" s="56"/>
      <c r="DQU6" s="57"/>
      <c r="DQV6" s="58"/>
      <c r="DQW6" s="56"/>
      <c r="DQX6" s="58"/>
      <c r="DQY6" s="57"/>
      <c r="DQZ6" s="56"/>
      <c r="DRA6" s="57"/>
      <c r="DRB6" s="56"/>
      <c r="DRC6" s="56"/>
      <c r="DRD6" s="56"/>
      <c r="DRE6" s="57"/>
      <c r="DRF6" s="386"/>
      <c r="DRG6" s="57"/>
      <c r="DRH6" s="386"/>
      <c r="DRI6" s="57"/>
      <c r="DRJ6" s="386"/>
      <c r="DRK6" s="57"/>
      <c r="DRL6" s="57"/>
      <c r="DRM6" s="57"/>
      <c r="DRN6" s="57"/>
      <c r="DRO6" s="57"/>
      <c r="DRP6" s="57"/>
      <c r="DRQ6" s="57"/>
      <c r="DRR6" s="57"/>
      <c r="DRS6" s="57"/>
      <c r="DRT6" s="57"/>
      <c r="DRU6" s="57"/>
      <c r="DRV6" s="57"/>
      <c r="DRW6" s="57"/>
      <c r="DRX6" s="57"/>
      <c r="DRY6" s="57"/>
      <c r="DRZ6" s="57"/>
      <c r="DSA6" s="57"/>
      <c r="DSB6" s="57"/>
      <c r="DSC6" s="57"/>
      <c r="DSD6" s="57"/>
      <c r="DSE6" s="57"/>
      <c r="DSF6" s="57"/>
      <c r="DSG6" s="57"/>
      <c r="DSH6" s="57"/>
      <c r="DSI6" s="57"/>
      <c r="DSJ6" s="57"/>
      <c r="DSK6" s="57"/>
      <c r="DSL6" s="57"/>
      <c r="DSM6" s="57"/>
      <c r="DSN6" s="57"/>
      <c r="DSO6" s="57"/>
      <c r="DSP6" s="58"/>
      <c r="DSQ6" s="56"/>
      <c r="DSR6" s="57"/>
      <c r="DSS6" s="57"/>
      <c r="DST6" s="57"/>
      <c r="DSU6" s="57"/>
      <c r="DSV6" s="57"/>
      <c r="DSW6" s="56"/>
      <c r="DSX6" s="57"/>
      <c r="DSY6" s="57"/>
      <c r="DSZ6" s="56"/>
      <c r="DTA6" s="57"/>
      <c r="DTB6" s="58"/>
      <c r="DTC6" s="56"/>
      <c r="DTD6" s="57"/>
      <c r="DTE6" s="57"/>
      <c r="DTF6" s="57"/>
      <c r="DTG6" s="56"/>
      <c r="DTH6" s="57"/>
      <c r="DTI6" s="57"/>
      <c r="DTJ6" s="56"/>
      <c r="DTK6" s="57"/>
      <c r="DTL6" s="58"/>
      <c r="DTM6" s="56"/>
      <c r="DTN6" s="57"/>
      <c r="DTO6" s="57"/>
      <c r="DTP6" s="57"/>
      <c r="DTQ6" s="56"/>
      <c r="DTR6" s="57"/>
      <c r="DTS6" s="57"/>
      <c r="DTT6" s="56"/>
      <c r="DTU6" s="57"/>
      <c r="DTV6" s="58"/>
      <c r="DTW6" s="56"/>
      <c r="DTX6" s="57"/>
      <c r="DTY6" s="57"/>
      <c r="DTZ6" s="57"/>
      <c r="DUA6" s="56"/>
      <c r="DUB6" s="57"/>
      <c r="DUC6" s="57"/>
      <c r="DUD6" s="56"/>
      <c r="DUE6" s="57"/>
      <c r="DUF6" s="58"/>
      <c r="DUG6" s="56"/>
      <c r="DUH6" s="58"/>
      <c r="DUI6" s="57"/>
      <c r="DUJ6" s="56"/>
      <c r="DUK6" s="57"/>
      <c r="DUL6" s="56"/>
      <c r="DUM6" s="56"/>
      <c r="DUN6" s="56"/>
      <c r="DUO6" s="57"/>
      <c r="DUP6" s="386"/>
      <c r="DUQ6" s="57"/>
      <c r="DUR6" s="386"/>
      <c r="DUS6" s="57"/>
      <c r="DUT6" s="386"/>
      <c r="DUU6" s="57"/>
      <c r="DUV6" s="57"/>
      <c r="DUW6" s="57"/>
      <c r="DUX6" s="57"/>
      <c r="DUY6" s="57"/>
      <c r="DUZ6" s="57"/>
      <c r="DVA6" s="57"/>
      <c r="DVB6" s="57"/>
      <c r="DVC6" s="57"/>
      <c r="DVD6" s="57"/>
      <c r="DVE6" s="57"/>
      <c r="DVF6" s="57"/>
      <c r="DVG6" s="57"/>
      <c r="DVH6" s="57"/>
      <c r="DVI6" s="57"/>
      <c r="DVJ6" s="57"/>
      <c r="DVK6" s="57"/>
      <c r="DVL6" s="57"/>
      <c r="DVM6" s="57"/>
      <c r="DVN6" s="57"/>
      <c r="DVO6" s="57"/>
      <c r="DVP6" s="57"/>
      <c r="DVQ6" s="57"/>
      <c r="DVR6" s="57"/>
      <c r="DVS6" s="57"/>
      <c r="DVT6" s="57"/>
      <c r="DVU6" s="57"/>
      <c r="DVV6" s="57"/>
      <c r="DVW6" s="57"/>
      <c r="DVX6" s="57"/>
      <c r="DVY6" s="57"/>
      <c r="DVZ6" s="58"/>
      <c r="DWA6" s="56"/>
      <c r="DWB6" s="57"/>
      <c r="DWC6" s="57"/>
      <c r="DWD6" s="57"/>
      <c r="DWE6" s="57"/>
      <c r="DWF6" s="57"/>
      <c r="DWG6" s="56"/>
      <c r="DWH6" s="57"/>
      <c r="DWI6" s="57"/>
      <c r="DWJ6" s="56"/>
      <c r="DWK6" s="57"/>
      <c r="DWL6" s="58"/>
      <c r="DWM6" s="56"/>
      <c r="DWN6" s="57"/>
      <c r="DWO6" s="57"/>
      <c r="DWP6" s="57"/>
      <c r="DWQ6" s="56"/>
      <c r="DWR6" s="57"/>
      <c r="DWS6" s="57"/>
      <c r="DWT6" s="56"/>
      <c r="DWU6" s="57"/>
      <c r="DWV6" s="58"/>
      <c r="DWW6" s="56"/>
      <c r="DWX6" s="57"/>
      <c r="DWY6" s="57"/>
      <c r="DWZ6" s="57"/>
      <c r="DXA6" s="56"/>
      <c r="DXB6" s="57"/>
      <c r="DXC6" s="57"/>
      <c r="DXD6" s="56"/>
      <c r="DXE6" s="57"/>
      <c r="DXF6" s="58"/>
      <c r="DXG6" s="56"/>
      <c r="DXH6" s="57"/>
      <c r="DXI6" s="57"/>
      <c r="DXJ6" s="57"/>
      <c r="DXK6" s="56"/>
      <c r="DXL6" s="57"/>
      <c r="DXM6" s="57"/>
      <c r="DXN6" s="56"/>
      <c r="DXO6" s="57"/>
      <c r="DXP6" s="58"/>
      <c r="DXQ6" s="56"/>
      <c r="DXR6" s="58"/>
      <c r="DXS6" s="57"/>
      <c r="DXT6" s="56"/>
      <c r="DXU6" s="57"/>
      <c r="DXV6" s="56"/>
      <c r="DXW6" s="56"/>
      <c r="DXX6" s="56"/>
      <c r="DXY6" s="57"/>
      <c r="DXZ6" s="386"/>
      <c r="DYA6" s="57"/>
      <c r="DYB6" s="386"/>
      <c r="DYC6" s="57"/>
      <c r="DYD6" s="386"/>
      <c r="DYE6" s="57"/>
      <c r="DYF6" s="57"/>
      <c r="DYG6" s="57"/>
      <c r="DYH6" s="57"/>
      <c r="DYI6" s="57"/>
      <c r="DYJ6" s="57"/>
      <c r="DYK6" s="57"/>
      <c r="DYL6" s="57"/>
      <c r="DYM6" s="57"/>
      <c r="DYN6" s="57"/>
      <c r="DYO6" s="57"/>
      <c r="DYP6" s="57"/>
      <c r="DYQ6" s="57"/>
      <c r="DYR6" s="57"/>
      <c r="DYS6" s="57"/>
      <c r="DYT6" s="57"/>
      <c r="DYU6" s="57"/>
      <c r="DYV6" s="57"/>
      <c r="DYW6" s="57"/>
      <c r="DYX6" s="57"/>
      <c r="DYY6" s="57"/>
      <c r="DYZ6" s="57"/>
      <c r="DZA6" s="57"/>
      <c r="DZB6" s="57"/>
      <c r="DZC6" s="57"/>
      <c r="DZD6" s="57"/>
      <c r="DZE6" s="57"/>
      <c r="DZF6" s="57"/>
      <c r="DZG6" s="57"/>
      <c r="DZH6" s="57"/>
      <c r="DZI6" s="57"/>
      <c r="DZJ6" s="58"/>
      <c r="DZK6" s="56"/>
      <c r="DZL6" s="57"/>
      <c r="DZM6" s="57"/>
      <c r="DZN6" s="57"/>
      <c r="DZO6" s="57"/>
      <c r="DZP6" s="57"/>
      <c r="DZQ6" s="56"/>
      <c r="DZR6" s="57"/>
      <c r="DZS6" s="57"/>
      <c r="DZT6" s="56"/>
      <c r="DZU6" s="57"/>
      <c r="DZV6" s="58"/>
      <c r="DZW6" s="56"/>
      <c r="DZX6" s="57"/>
      <c r="DZY6" s="57"/>
      <c r="DZZ6" s="57"/>
      <c r="EAA6" s="56"/>
      <c r="EAB6" s="57"/>
      <c r="EAC6" s="57"/>
      <c r="EAD6" s="56"/>
      <c r="EAE6" s="57"/>
      <c r="EAF6" s="58"/>
      <c r="EAG6" s="56"/>
      <c r="EAH6" s="57"/>
      <c r="EAI6" s="57"/>
      <c r="EAJ6" s="57"/>
      <c r="EAK6" s="56"/>
      <c r="EAL6" s="57"/>
      <c r="EAM6" s="57"/>
      <c r="EAN6" s="56"/>
      <c r="EAO6" s="57"/>
      <c r="EAP6" s="58"/>
      <c r="EAQ6" s="56"/>
      <c r="EAR6" s="57"/>
      <c r="EAS6" s="57"/>
      <c r="EAT6" s="57"/>
      <c r="EAU6" s="56"/>
      <c r="EAV6" s="57"/>
      <c r="EAW6" s="57"/>
      <c r="EAX6" s="56"/>
      <c r="EAY6" s="57"/>
      <c r="EAZ6" s="58"/>
      <c r="EBA6" s="56"/>
      <c r="EBB6" s="58"/>
      <c r="EBC6" s="57"/>
      <c r="EBD6" s="56"/>
      <c r="EBE6" s="57"/>
      <c r="EBF6" s="56"/>
      <c r="EBG6" s="56"/>
      <c r="EBH6" s="56"/>
      <c r="EBI6" s="57"/>
      <c r="EBJ6" s="386"/>
      <c r="EBK6" s="57"/>
      <c r="EBL6" s="386"/>
      <c r="EBM6" s="57"/>
      <c r="EBN6" s="386"/>
      <c r="EBO6" s="57"/>
      <c r="EBP6" s="57"/>
      <c r="EBQ6" s="57"/>
      <c r="EBR6" s="57"/>
      <c r="EBS6" s="57"/>
      <c r="EBT6" s="57"/>
      <c r="EBU6" s="57"/>
      <c r="EBV6" s="57"/>
      <c r="EBW6" s="57"/>
      <c r="EBX6" s="57"/>
      <c r="EBY6" s="57"/>
      <c r="EBZ6" s="57"/>
      <c r="ECA6" s="57"/>
      <c r="ECB6" s="57"/>
      <c r="ECC6" s="57"/>
      <c r="ECD6" s="57"/>
      <c r="ECE6" s="57"/>
      <c r="ECF6" s="57"/>
      <c r="ECG6" s="57"/>
      <c r="ECH6" s="57"/>
      <c r="ECI6" s="57"/>
      <c r="ECJ6" s="57"/>
      <c r="ECK6" s="57"/>
      <c r="ECL6" s="57"/>
      <c r="ECM6" s="57"/>
      <c r="ECN6" s="57"/>
      <c r="ECO6" s="57"/>
      <c r="ECP6" s="57"/>
      <c r="ECQ6" s="57"/>
      <c r="ECR6" s="57"/>
      <c r="ECS6" s="57"/>
      <c r="ECT6" s="58"/>
      <c r="ECU6" s="56"/>
      <c r="ECV6" s="57"/>
      <c r="ECW6" s="57"/>
      <c r="ECX6" s="57"/>
      <c r="ECY6" s="57"/>
      <c r="ECZ6" s="57"/>
      <c r="EDA6" s="56"/>
      <c r="EDB6" s="57"/>
      <c r="EDC6" s="57"/>
      <c r="EDD6" s="56"/>
      <c r="EDE6" s="57"/>
      <c r="EDF6" s="58"/>
      <c r="EDG6" s="56"/>
      <c r="EDH6" s="57"/>
      <c r="EDI6" s="57"/>
      <c r="EDJ6" s="57"/>
      <c r="EDK6" s="56"/>
      <c r="EDL6" s="57"/>
      <c r="EDM6" s="57"/>
      <c r="EDN6" s="56"/>
      <c r="EDO6" s="57"/>
      <c r="EDP6" s="58"/>
      <c r="EDQ6" s="56"/>
      <c r="EDR6" s="57"/>
      <c r="EDS6" s="57"/>
      <c r="EDT6" s="57"/>
      <c r="EDU6" s="56"/>
      <c r="EDV6" s="57"/>
      <c r="EDW6" s="57"/>
      <c r="EDX6" s="56"/>
      <c r="EDY6" s="57"/>
      <c r="EDZ6" s="58"/>
      <c r="EEA6" s="56"/>
      <c r="EEB6" s="57"/>
      <c r="EEC6" s="57"/>
      <c r="EED6" s="57"/>
      <c r="EEE6" s="56"/>
      <c r="EEF6" s="57"/>
      <c r="EEG6" s="57"/>
      <c r="EEH6" s="56"/>
      <c r="EEI6" s="57"/>
      <c r="EEJ6" s="58"/>
      <c r="EEK6" s="56"/>
      <c r="EEL6" s="58"/>
      <c r="EEM6" s="57"/>
      <c r="EEN6" s="56"/>
      <c r="EEO6" s="57"/>
      <c r="EEP6" s="56"/>
      <c r="EEQ6" s="56"/>
      <c r="EER6" s="56"/>
      <c r="EES6" s="57"/>
      <c r="EET6" s="386"/>
      <c r="EEU6" s="57"/>
      <c r="EEV6" s="386"/>
      <c r="EEW6" s="57"/>
      <c r="EEX6" s="386"/>
      <c r="EEY6" s="57"/>
      <c r="EEZ6" s="57"/>
      <c r="EFA6" s="57"/>
      <c r="EFB6" s="57"/>
      <c r="EFC6" s="57"/>
      <c r="EFD6" s="57"/>
      <c r="EFE6" s="57"/>
      <c r="EFF6" s="57"/>
      <c r="EFG6" s="57"/>
      <c r="EFH6" s="57"/>
      <c r="EFI6" s="57"/>
      <c r="EFJ6" s="57"/>
      <c r="EFK6" s="57"/>
      <c r="EFL6" s="57"/>
      <c r="EFM6" s="57"/>
      <c r="EFN6" s="57"/>
      <c r="EFO6" s="57"/>
      <c r="EFP6" s="57"/>
      <c r="EFQ6" s="57"/>
      <c r="EFR6" s="57"/>
      <c r="EFS6" s="57"/>
      <c r="EFT6" s="57"/>
      <c r="EFU6" s="57"/>
      <c r="EFV6" s="57"/>
      <c r="EFW6" s="57"/>
      <c r="EFX6" s="57"/>
      <c r="EFY6" s="57"/>
      <c r="EFZ6" s="57"/>
      <c r="EGA6" s="57"/>
      <c r="EGB6" s="57"/>
      <c r="EGC6" s="57"/>
      <c r="EGD6" s="58"/>
      <c r="EGE6" s="56"/>
      <c r="EGF6" s="57"/>
      <c r="EGG6" s="57"/>
      <c r="EGH6" s="57"/>
      <c r="EGI6" s="57"/>
      <c r="EGJ6" s="57"/>
      <c r="EGK6" s="56"/>
      <c r="EGL6" s="57"/>
      <c r="EGM6" s="57"/>
      <c r="EGN6" s="56"/>
      <c r="EGO6" s="57"/>
      <c r="EGP6" s="58"/>
      <c r="EGQ6" s="56"/>
      <c r="EGR6" s="57"/>
      <c r="EGS6" s="57"/>
      <c r="EGT6" s="57"/>
      <c r="EGU6" s="56"/>
      <c r="EGV6" s="57"/>
      <c r="EGW6" s="57"/>
      <c r="EGX6" s="56"/>
      <c r="EGY6" s="57"/>
      <c r="EGZ6" s="58"/>
      <c r="EHA6" s="56"/>
      <c r="EHB6" s="57"/>
      <c r="EHC6" s="57"/>
      <c r="EHD6" s="57"/>
      <c r="EHE6" s="56"/>
      <c r="EHF6" s="57"/>
      <c r="EHG6" s="57"/>
      <c r="EHH6" s="56"/>
      <c r="EHI6" s="57"/>
      <c r="EHJ6" s="58"/>
      <c r="EHK6" s="56"/>
      <c r="EHL6" s="57"/>
      <c r="EHM6" s="57"/>
      <c r="EHN6" s="57"/>
      <c r="EHO6" s="56"/>
      <c r="EHP6" s="57"/>
      <c r="EHQ6" s="57"/>
      <c r="EHR6" s="56"/>
      <c r="EHS6" s="57"/>
      <c r="EHT6" s="58"/>
      <c r="EHU6" s="56"/>
      <c r="EHV6" s="58"/>
      <c r="EHW6" s="57"/>
      <c r="EHX6" s="56"/>
      <c r="EHY6" s="57"/>
      <c r="EHZ6" s="56"/>
      <c r="EIA6" s="56"/>
      <c r="EIB6" s="56"/>
      <c r="EIC6" s="57"/>
      <c r="EID6" s="386"/>
      <c r="EIE6" s="57"/>
      <c r="EIF6" s="386"/>
      <c r="EIG6" s="57"/>
      <c r="EIH6" s="386"/>
      <c r="EII6" s="57"/>
      <c r="EIJ6" s="57"/>
      <c r="EIK6" s="57"/>
      <c r="EIL6" s="57"/>
      <c r="EIM6" s="57"/>
      <c r="EIN6" s="57"/>
      <c r="EIO6" s="57"/>
      <c r="EIP6" s="57"/>
      <c r="EIQ6" s="57"/>
      <c r="EIR6" s="57"/>
      <c r="EIS6" s="57"/>
      <c r="EIT6" s="57"/>
      <c r="EIU6" s="57"/>
      <c r="EIV6" s="57"/>
      <c r="EIW6" s="57"/>
      <c r="EIX6" s="57"/>
      <c r="EIY6" s="57"/>
      <c r="EIZ6" s="57"/>
      <c r="EJA6" s="57"/>
      <c r="EJB6" s="57"/>
      <c r="EJC6" s="57"/>
      <c r="EJD6" s="57"/>
      <c r="EJE6" s="57"/>
      <c r="EJF6" s="57"/>
      <c r="EJG6" s="57"/>
      <c r="EJH6" s="57"/>
      <c r="EJI6" s="57"/>
      <c r="EJJ6" s="57"/>
      <c r="EJK6" s="57"/>
      <c r="EJL6" s="57"/>
      <c r="EJM6" s="57"/>
      <c r="EJN6" s="58"/>
      <c r="EJO6" s="56"/>
      <c r="EJP6" s="57"/>
      <c r="EJQ6" s="57"/>
      <c r="EJR6" s="57"/>
      <c r="EJS6" s="57"/>
      <c r="EJT6" s="57"/>
      <c r="EJU6" s="56"/>
      <c r="EJV6" s="57"/>
      <c r="EJW6" s="57"/>
      <c r="EJX6" s="56"/>
      <c r="EJY6" s="57"/>
      <c r="EJZ6" s="58"/>
      <c r="EKA6" s="56"/>
      <c r="EKB6" s="57"/>
      <c r="EKC6" s="57"/>
      <c r="EKD6" s="57"/>
      <c r="EKE6" s="56"/>
      <c r="EKF6" s="57"/>
      <c r="EKG6" s="57"/>
      <c r="EKH6" s="56"/>
      <c r="EKI6" s="57"/>
      <c r="EKJ6" s="58"/>
      <c r="EKK6" s="56"/>
      <c r="EKL6" s="57"/>
      <c r="EKM6" s="57"/>
      <c r="EKN6" s="57"/>
      <c r="EKO6" s="56"/>
      <c r="EKP6" s="57"/>
      <c r="EKQ6" s="57"/>
      <c r="EKR6" s="56"/>
      <c r="EKS6" s="57"/>
      <c r="EKT6" s="58"/>
      <c r="EKU6" s="56"/>
      <c r="EKV6" s="57"/>
      <c r="EKW6" s="57"/>
      <c r="EKX6" s="57"/>
      <c r="EKY6" s="56"/>
      <c r="EKZ6" s="57"/>
      <c r="ELA6" s="57"/>
      <c r="ELB6" s="56"/>
      <c r="ELC6" s="57"/>
      <c r="ELD6" s="58"/>
      <c r="ELE6" s="56"/>
      <c r="ELF6" s="58"/>
      <c r="ELG6" s="57"/>
      <c r="ELH6" s="56"/>
      <c r="ELI6" s="57"/>
      <c r="ELJ6" s="56"/>
      <c r="ELK6" s="56"/>
      <c r="ELL6" s="56"/>
      <c r="ELM6" s="57"/>
      <c r="ELN6" s="386"/>
      <c r="ELO6" s="57"/>
      <c r="ELP6" s="386"/>
      <c r="ELQ6" s="57"/>
      <c r="ELR6" s="386"/>
      <c r="ELS6" s="57"/>
      <c r="ELT6" s="57"/>
      <c r="ELU6" s="57"/>
      <c r="ELV6" s="57"/>
      <c r="ELW6" s="57"/>
      <c r="ELX6" s="57"/>
      <c r="ELY6" s="57"/>
      <c r="ELZ6" s="57"/>
      <c r="EMA6" s="57"/>
      <c r="EMB6" s="57"/>
      <c r="EMC6" s="57"/>
      <c r="EMD6" s="57"/>
      <c r="EME6" s="57"/>
      <c r="EMF6" s="57"/>
      <c r="EMG6" s="57"/>
      <c r="EMH6" s="57"/>
      <c r="EMI6" s="57"/>
      <c r="EMJ6" s="57"/>
      <c r="EMK6" s="57"/>
      <c r="EML6" s="57"/>
      <c r="EMM6" s="57"/>
      <c r="EMN6" s="57"/>
      <c r="EMO6" s="57"/>
      <c r="EMP6" s="57"/>
      <c r="EMQ6" s="57"/>
      <c r="EMR6" s="57"/>
      <c r="EMS6" s="57"/>
      <c r="EMT6" s="57"/>
      <c r="EMU6" s="57"/>
      <c r="EMV6" s="57"/>
      <c r="EMW6" s="57"/>
      <c r="EMX6" s="58"/>
      <c r="EMY6" s="56"/>
      <c r="EMZ6" s="57"/>
      <c r="ENA6" s="57"/>
      <c r="ENB6" s="57"/>
      <c r="ENC6" s="57"/>
      <c r="END6" s="57"/>
      <c r="ENE6" s="56"/>
      <c r="ENF6" s="57"/>
      <c r="ENG6" s="57"/>
      <c r="ENH6" s="56"/>
      <c r="ENI6" s="57"/>
      <c r="ENJ6" s="58"/>
      <c r="ENK6" s="56"/>
      <c r="ENL6" s="57"/>
      <c r="ENM6" s="57"/>
      <c r="ENN6" s="57"/>
      <c r="ENO6" s="56"/>
      <c r="ENP6" s="57"/>
      <c r="ENQ6" s="57"/>
      <c r="ENR6" s="56"/>
      <c r="ENS6" s="57"/>
      <c r="ENT6" s="58"/>
      <c r="ENU6" s="56"/>
      <c r="ENV6" s="57"/>
      <c r="ENW6" s="57"/>
      <c r="ENX6" s="57"/>
      <c r="ENY6" s="56"/>
      <c r="ENZ6" s="57"/>
      <c r="EOA6" s="57"/>
      <c r="EOB6" s="56"/>
      <c r="EOC6" s="57"/>
      <c r="EOD6" s="58"/>
      <c r="EOE6" s="56"/>
      <c r="EOF6" s="57"/>
      <c r="EOG6" s="57"/>
      <c r="EOH6" s="57"/>
      <c r="EOI6" s="56"/>
      <c r="EOJ6" s="57"/>
      <c r="EOK6" s="57"/>
      <c r="EOL6" s="56"/>
      <c r="EOM6" s="57"/>
      <c r="EON6" s="58"/>
      <c r="EOO6" s="56" t="str">
        <f t="shared" si="75"/>
        <v xml:space="preserve"> </v>
      </c>
    </row>
    <row r="7" spans="1:3873" x14ac:dyDescent="0.3">
      <c r="A7" s="393" t="s">
        <v>110</v>
      </c>
      <c r="B7" s="30" t="s">
        <v>1788</v>
      </c>
      <c r="C7" s="29" t="s">
        <v>1381</v>
      </c>
      <c r="D7" s="28" t="str">
        <f t="shared" si="61"/>
        <v xml:space="preserve"> </v>
      </c>
      <c r="E7" s="29"/>
      <c r="F7" s="28"/>
      <c r="G7" s="31">
        <v>45408</v>
      </c>
      <c r="H7" s="31" t="s">
        <v>1774</v>
      </c>
      <c r="I7" s="29" t="s">
        <v>1372</v>
      </c>
      <c r="J7" s="388" t="s">
        <v>1789</v>
      </c>
      <c r="K7" s="29" t="s">
        <v>1372</v>
      </c>
      <c r="L7" s="388" t="s">
        <v>1789</v>
      </c>
      <c r="M7" s="29" t="s">
        <v>1461</v>
      </c>
      <c r="N7" s="29" t="s">
        <v>1462</v>
      </c>
      <c r="O7" s="29"/>
      <c r="P7" s="29" t="s">
        <v>1372</v>
      </c>
      <c r="Q7" s="29" t="s">
        <v>1372</v>
      </c>
      <c r="R7" s="29" t="s">
        <v>1372</v>
      </c>
      <c r="S7" s="29" t="s">
        <v>1372</v>
      </c>
      <c r="T7" s="29" t="s">
        <v>1372</v>
      </c>
      <c r="U7" s="29" t="s">
        <v>1372</v>
      </c>
      <c r="V7" s="29"/>
      <c r="W7" s="29" t="s">
        <v>1382</v>
      </c>
      <c r="X7" s="29"/>
      <c r="Y7" s="29"/>
      <c r="Z7" s="29" t="s">
        <v>1372</v>
      </c>
      <c r="AA7" s="29"/>
      <c r="AB7" s="29"/>
      <c r="AC7" s="29"/>
      <c r="AD7" s="29"/>
      <c r="AE7" s="29"/>
      <c r="AF7" s="29"/>
      <c r="AG7" s="29"/>
      <c r="AH7" s="29"/>
      <c r="AI7" s="29"/>
      <c r="AJ7" s="29"/>
      <c r="AK7" s="29"/>
      <c r="AL7" s="29"/>
      <c r="AM7" s="29" t="s">
        <v>1372</v>
      </c>
      <c r="AN7" s="29"/>
      <c r="AO7" s="29"/>
      <c r="AP7" s="29"/>
      <c r="AQ7" s="29"/>
      <c r="AR7" s="29"/>
      <c r="AS7" s="29"/>
      <c r="AT7" s="30" t="s">
        <v>1794</v>
      </c>
      <c r="AU7" s="29" t="s">
        <v>1371</v>
      </c>
      <c r="AV7" s="28" t="str">
        <f t="shared" ref="AV7" si="76">IFERROR(VLOOKUP(AT7,BASEPOE1,2,FALSE)," ")</f>
        <v xml:space="preserve"> </v>
      </c>
      <c r="AW7" s="29"/>
      <c r="AX7" s="28"/>
      <c r="AY7" s="31">
        <v>45476</v>
      </c>
      <c r="AZ7" s="31">
        <f>+AY7+365</f>
        <v>45841</v>
      </c>
      <c r="BA7" s="29" t="s">
        <v>1372</v>
      </c>
      <c r="BB7" s="388" t="s">
        <v>1373</v>
      </c>
      <c r="BC7" s="29" t="s">
        <v>1372</v>
      </c>
      <c r="BD7" s="388" t="s">
        <v>1373</v>
      </c>
      <c r="BE7" s="29" t="s">
        <v>1461</v>
      </c>
      <c r="BF7" s="29" t="s">
        <v>1462</v>
      </c>
      <c r="BG7" s="29" t="s">
        <v>1372</v>
      </c>
      <c r="BH7" s="29"/>
      <c r="BI7" s="29" t="s">
        <v>1372</v>
      </c>
      <c r="BJ7" s="29" t="s">
        <v>1372</v>
      </c>
      <c r="BK7" s="29" t="s">
        <v>1372</v>
      </c>
      <c r="BL7" s="29" t="s">
        <v>1372</v>
      </c>
      <c r="BM7" s="29" t="s">
        <v>1372</v>
      </c>
      <c r="BN7" s="29" t="s">
        <v>1372</v>
      </c>
      <c r="BO7" s="29"/>
      <c r="BP7" s="29"/>
      <c r="BQ7" s="29"/>
      <c r="BR7" s="29" t="s">
        <v>1372</v>
      </c>
      <c r="BS7" s="29"/>
      <c r="BT7" s="29"/>
      <c r="BU7" s="29"/>
      <c r="BV7" s="29"/>
      <c r="BW7" s="29"/>
      <c r="BX7" s="29"/>
      <c r="BY7" s="29"/>
      <c r="BZ7" s="29"/>
      <c r="CA7" s="29"/>
      <c r="CB7" s="29"/>
      <c r="CC7" s="29"/>
      <c r="CD7" s="29"/>
      <c r="CE7" s="29"/>
      <c r="CF7" s="29"/>
      <c r="CG7" s="29"/>
      <c r="CH7" s="29"/>
      <c r="CI7" s="29"/>
      <c r="CJ7" s="29"/>
      <c r="CK7" s="29"/>
      <c r="CL7" s="30" t="s">
        <v>1800</v>
      </c>
      <c r="CM7" s="29" t="s">
        <v>1371</v>
      </c>
      <c r="CN7" s="28" t="str">
        <f t="shared" ref="CN7" si="77">IFERROR(VLOOKUP(CL7,BASEPOE1,2,FALSE)," ")</f>
        <v xml:space="preserve"> </v>
      </c>
      <c r="CO7" s="29"/>
      <c r="CP7" s="28"/>
      <c r="CQ7" s="31">
        <v>45478</v>
      </c>
      <c r="CR7" s="31">
        <f>+CQ7+365</f>
        <v>45843</v>
      </c>
      <c r="CS7" s="29" t="s">
        <v>1372</v>
      </c>
      <c r="CT7" s="32" t="s">
        <v>1373</v>
      </c>
      <c r="CU7" s="29" t="s">
        <v>1372</v>
      </c>
      <c r="CV7" s="32" t="s">
        <v>1373</v>
      </c>
      <c r="CW7" s="29" t="s">
        <v>1461</v>
      </c>
      <c r="CX7" s="29" t="s">
        <v>1462</v>
      </c>
      <c r="CY7" s="29" t="s">
        <v>1372</v>
      </c>
      <c r="CZ7" s="29"/>
      <c r="DA7" s="29" t="s">
        <v>1372</v>
      </c>
      <c r="DB7" s="29" t="s">
        <v>1372</v>
      </c>
      <c r="DC7" s="29" t="s">
        <v>1372</v>
      </c>
      <c r="DD7" s="29" t="s">
        <v>1372</v>
      </c>
      <c r="DE7" s="29" t="s">
        <v>1372</v>
      </c>
      <c r="DF7" s="29" t="s">
        <v>1372</v>
      </c>
      <c r="DG7" s="29"/>
      <c r="DH7" s="29"/>
      <c r="DI7" s="29"/>
      <c r="DJ7" s="29" t="s">
        <v>1372</v>
      </c>
      <c r="DK7" s="29"/>
      <c r="DL7" s="29"/>
      <c r="DM7" s="29"/>
      <c r="DN7" s="29"/>
      <c r="DO7" s="29"/>
      <c r="DP7" s="29"/>
      <c r="DQ7" s="29"/>
      <c r="DR7" s="29"/>
      <c r="DS7" s="29"/>
      <c r="DT7" s="29"/>
      <c r="DU7" s="29"/>
      <c r="DV7" s="29" t="s">
        <v>1372</v>
      </c>
      <c r="DW7" s="29" t="s">
        <v>1372</v>
      </c>
      <c r="DX7" s="29"/>
      <c r="DY7" s="29"/>
      <c r="DZ7" s="29" t="s">
        <v>1372</v>
      </c>
      <c r="EA7" s="29"/>
      <c r="EB7" s="29" t="s">
        <v>1768</v>
      </c>
      <c r="EC7" s="29"/>
      <c r="ED7" s="30" t="s">
        <v>1808</v>
      </c>
      <c r="EE7" s="29" t="s">
        <v>1371</v>
      </c>
      <c r="EF7" s="28" t="str">
        <f t="shared" ref="EF7" si="78">IFERROR(VLOOKUP(ED7,BASEPOE1,2,FALSE)," ")</f>
        <v xml:space="preserve"> </v>
      </c>
      <c r="EG7" s="29"/>
      <c r="EH7" s="28"/>
      <c r="EI7" s="31">
        <v>45474</v>
      </c>
      <c r="EJ7" s="31">
        <f>+EI7+365</f>
        <v>45839</v>
      </c>
      <c r="EK7" s="29" t="s">
        <v>1372</v>
      </c>
      <c r="EL7" s="388" t="s">
        <v>1373</v>
      </c>
      <c r="EM7" s="29" t="s">
        <v>1372</v>
      </c>
      <c r="EN7" s="388" t="s">
        <v>1373</v>
      </c>
      <c r="EO7" s="29" t="s">
        <v>1461</v>
      </c>
      <c r="EP7" s="29" t="s">
        <v>1462</v>
      </c>
      <c r="EQ7" s="29"/>
      <c r="ER7" s="29" t="s">
        <v>1372</v>
      </c>
      <c r="ES7" s="29" t="s">
        <v>1372</v>
      </c>
      <c r="ET7" s="29" t="s">
        <v>1372</v>
      </c>
      <c r="EU7" s="29" t="s">
        <v>1372</v>
      </c>
      <c r="EV7" s="29" t="s">
        <v>1372</v>
      </c>
      <c r="EW7" s="29" t="s">
        <v>1461</v>
      </c>
      <c r="EX7" s="29" t="s">
        <v>1372</v>
      </c>
      <c r="EY7" s="29"/>
      <c r="EZ7" s="29"/>
      <c r="FA7" s="29"/>
      <c r="FB7" s="29" t="s">
        <v>1372</v>
      </c>
      <c r="FC7" s="29"/>
      <c r="FD7" s="29"/>
      <c r="FE7" s="29"/>
      <c r="FF7" s="29"/>
      <c r="FG7" s="29"/>
      <c r="FH7" s="29"/>
      <c r="FI7" s="29"/>
      <c r="FJ7" s="29"/>
      <c r="FK7" s="29"/>
      <c r="FL7" s="29"/>
      <c r="FM7" s="29"/>
      <c r="FN7" s="29" t="s">
        <v>1372</v>
      </c>
      <c r="FO7" s="29" t="s">
        <v>1372</v>
      </c>
      <c r="FP7" s="29"/>
      <c r="FQ7" s="29"/>
      <c r="FR7" s="29" t="s">
        <v>1372</v>
      </c>
      <c r="FS7" s="29"/>
      <c r="FT7" s="29" t="s">
        <v>1768</v>
      </c>
      <c r="FU7" s="29"/>
      <c r="FV7" s="30" t="s">
        <v>1823</v>
      </c>
      <c r="FW7" s="29" t="s">
        <v>1371</v>
      </c>
      <c r="FX7" s="28" t="str">
        <f t="shared" ref="FX7" si="79">IFERROR(VLOOKUP(FV7,BASEPOE1,2,FALSE)," ")</f>
        <v xml:space="preserve"> </v>
      </c>
      <c r="FY7" s="29"/>
      <c r="FZ7" s="28"/>
      <c r="GA7" s="31">
        <v>45476</v>
      </c>
      <c r="GB7" s="31">
        <f>+GA7+365</f>
        <v>45841</v>
      </c>
      <c r="GC7" s="29" t="s">
        <v>1372</v>
      </c>
      <c r="GD7" s="388" t="s">
        <v>1373</v>
      </c>
      <c r="GE7" s="29" t="s">
        <v>1372</v>
      </c>
      <c r="GF7" s="388" t="s">
        <v>1373</v>
      </c>
      <c r="GG7" s="29" t="s">
        <v>1461</v>
      </c>
      <c r="GH7" s="29" t="s">
        <v>1462</v>
      </c>
      <c r="GI7" s="29" t="s">
        <v>1782</v>
      </c>
      <c r="GJ7" s="29"/>
      <c r="GK7" s="29" t="s">
        <v>1372</v>
      </c>
      <c r="GL7" s="29" t="s">
        <v>1372</v>
      </c>
      <c r="GM7" s="29" t="s">
        <v>1372</v>
      </c>
      <c r="GN7" s="29" t="s">
        <v>1372</v>
      </c>
      <c r="GO7" s="29" t="s">
        <v>1461</v>
      </c>
      <c r="GP7" s="29" t="s">
        <v>1372</v>
      </c>
      <c r="GQ7" s="29"/>
      <c r="GR7" s="29"/>
      <c r="GS7" s="29"/>
      <c r="GT7" s="29" t="s">
        <v>1372</v>
      </c>
      <c r="GU7" s="29"/>
      <c r="GV7" s="29"/>
      <c r="GW7" s="29"/>
      <c r="GX7" s="29"/>
      <c r="GY7" s="29"/>
      <c r="GZ7" s="29"/>
      <c r="HA7" s="29"/>
      <c r="HB7" s="29"/>
      <c r="HC7" s="29"/>
      <c r="HD7" s="29"/>
      <c r="HE7" s="29"/>
      <c r="HF7" s="29" t="s">
        <v>1372</v>
      </c>
      <c r="HG7" s="29" t="s">
        <v>1372</v>
      </c>
      <c r="HH7" s="29"/>
      <c r="HI7" s="29"/>
      <c r="HJ7" s="29" t="s">
        <v>1372</v>
      </c>
      <c r="HK7" s="29"/>
      <c r="HL7" s="29" t="s">
        <v>1768</v>
      </c>
      <c r="HM7" s="29"/>
      <c r="HN7" s="30" t="s">
        <v>1819</v>
      </c>
      <c r="HO7" s="29" t="s">
        <v>1371</v>
      </c>
      <c r="HP7" s="28" t="str">
        <f t="shared" ref="HP7" si="80">IFERROR(VLOOKUP(HN7,BASEPOE1,2,FALSE)," ")</f>
        <v xml:space="preserve"> </v>
      </c>
      <c r="HQ7" s="29"/>
      <c r="HR7" s="28"/>
      <c r="HS7" s="31">
        <v>45477</v>
      </c>
      <c r="HT7" s="31">
        <f>+HS7+365</f>
        <v>45842</v>
      </c>
      <c r="HU7" s="29" t="s">
        <v>1372</v>
      </c>
      <c r="HV7" s="388" t="s">
        <v>1373</v>
      </c>
      <c r="HW7" s="29" t="s">
        <v>1372</v>
      </c>
      <c r="HX7" s="388" t="s">
        <v>1373</v>
      </c>
      <c r="HY7" s="29" t="s">
        <v>1461</v>
      </c>
      <c r="HZ7" s="29" t="s">
        <v>1462</v>
      </c>
      <c r="IA7" s="29" t="s">
        <v>1820</v>
      </c>
      <c r="IB7" s="29"/>
      <c r="IC7" s="29" t="s">
        <v>1372</v>
      </c>
      <c r="ID7" s="29" t="s">
        <v>1821</v>
      </c>
      <c r="IE7" s="29"/>
      <c r="IF7" s="29"/>
      <c r="IG7" s="29"/>
      <c r="IH7" s="29" t="s">
        <v>1372</v>
      </c>
      <c r="II7" s="29"/>
      <c r="IJ7" s="29"/>
      <c r="IK7" s="29"/>
      <c r="IL7" s="29"/>
      <c r="IM7" s="29"/>
      <c r="IN7" s="29"/>
      <c r="IO7" s="29"/>
      <c r="IP7" s="29"/>
      <c r="IQ7" s="29"/>
      <c r="IR7" s="29"/>
      <c r="IS7" s="29"/>
      <c r="IT7" s="29"/>
      <c r="IU7" s="29"/>
      <c r="IV7" s="29"/>
      <c r="IW7" s="29"/>
      <c r="IX7" s="29"/>
      <c r="IY7" s="29" t="s">
        <v>1372</v>
      </c>
      <c r="IZ7" s="29"/>
      <c r="JA7" s="29"/>
      <c r="JB7" s="29" t="s">
        <v>1372</v>
      </c>
      <c r="JC7" s="29"/>
      <c r="JD7" s="29" t="s">
        <v>1783</v>
      </c>
      <c r="JE7" s="29"/>
      <c r="JF7" s="30" t="s">
        <v>1791</v>
      </c>
      <c r="JG7" s="29" t="s">
        <v>1371</v>
      </c>
      <c r="JH7" s="28" t="str">
        <f t="shared" ref="JH7" si="81">IFERROR(VLOOKUP(JF7,BASEPOE1,2,FALSE)," ")</f>
        <v xml:space="preserve"> </v>
      </c>
      <c r="JI7" s="29"/>
      <c r="JJ7" s="28"/>
      <c r="JK7" s="31">
        <v>45475</v>
      </c>
      <c r="JL7" s="31">
        <f>+JK7+365</f>
        <v>45840</v>
      </c>
      <c r="JM7" s="29" t="s">
        <v>1372</v>
      </c>
      <c r="JN7" s="388" t="s">
        <v>1373</v>
      </c>
      <c r="JO7" s="29" t="s">
        <v>1372</v>
      </c>
      <c r="JP7" s="388" t="s">
        <v>1373</v>
      </c>
      <c r="JQ7" s="29" t="s">
        <v>1461</v>
      </c>
      <c r="JR7" s="29" t="s">
        <v>1462</v>
      </c>
      <c r="JS7" s="29" t="s">
        <v>1792</v>
      </c>
      <c r="JT7" s="29"/>
      <c r="JU7" s="29" t="s">
        <v>1372</v>
      </c>
      <c r="JV7" s="29" t="s">
        <v>1372</v>
      </c>
      <c r="JW7" s="29" t="s">
        <v>1372</v>
      </c>
      <c r="JX7" s="29" t="s">
        <v>1372</v>
      </c>
      <c r="JY7" s="29" t="s">
        <v>1372</v>
      </c>
      <c r="JZ7" s="29" t="s">
        <v>1372</v>
      </c>
      <c r="KA7" s="29"/>
      <c r="KB7" s="29"/>
      <c r="KC7" s="29"/>
      <c r="KD7" s="29" t="s">
        <v>1372</v>
      </c>
      <c r="KE7" s="29"/>
      <c r="KF7" s="29"/>
      <c r="KG7" s="29"/>
      <c r="KH7" s="29"/>
      <c r="KI7" s="29"/>
      <c r="KJ7" s="29"/>
      <c r="KK7" s="29" t="s">
        <v>1372</v>
      </c>
      <c r="KL7" s="29"/>
      <c r="KM7" s="29"/>
      <c r="KN7" s="29"/>
      <c r="KO7" s="29"/>
      <c r="KP7" s="29"/>
      <c r="KQ7" s="29"/>
      <c r="KR7" s="29"/>
      <c r="KS7" s="29"/>
      <c r="KT7" s="29"/>
      <c r="KU7" s="29"/>
      <c r="KV7" s="29"/>
      <c r="KW7" s="29"/>
      <c r="KX7" s="30" t="s">
        <v>1766</v>
      </c>
      <c r="KY7" s="29" t="s">
        <v>1371</v>
      </c>
      <c r="KZ7" s="28" t="str">
        <f t="shared" ref="KZ7" si="82">IFERROR(VLOOKUP(KX7,BASEPOE1,2,FALSE)," ")</f>
        <v xml:space="preserve"> </v>
      </c>
      <c r="LA7" s="29"/>
      <c r="LB7" s="28"/>
      <c r="LC7" s="31">
        <v>45474</v>
      </c>
      <c r="LD7" s="31">
        <f>+LC7+365</f>
        <v>45839</v>
      </c>
      <c r="LE7" s="29" t="s">
        <v>1372</v>
      </c>
      <c r="LF7" s="388" t="s">
        <v>1373</v>
      </c>
      <c r="LG7" s="29" t="s">
        <v>1372</v>
      </c>
      <c r="LH7" s="388" t="s">
        <v>1373</v>
      </c>
      <c r="LI7" s="29" t="s">
        <v>1461</v>
      </c>
      <c r="LJ7" s="29" t="s">
        <v>1462</v>
      </c>
      <c r="LK7" s="29"/>
      <c r="LL7" s="29" t="s">
        <v>1372</v>
      </c>
      <c r="LM7" s="29" t="s">
        <v>1372</v>
      </c>
      <c r="LN7" s="29" t="s">
        <v>1767</v>
      </c>
      <c r="LO7" s="29" t="s">
        <v>1372</v>
      </c>
      <c r="LP7" s="29" t="s">
        <v>1372</v>
      </c>
      <c r="LQ7" s="29" t="s">
        <v>1372</v>
      </c>
      <c r="LR7" s="29" t="s">
        <v>1372</v>
      </c>
      <c r="LS7" s="29"/>
      <c r="LT7" s="29"/>
      <c r="LU7" s="29"/>
      <c r="LV7" s="29" t="s">
        <v>1372</v>
      </c>
      <c r="LW7" s="29"/>
      <c r="LX7" s="29"/>
      <c r="LY7" s="29"/>
      <c r="LZ7" s="29"/>
      <c r="MA7" s="29"/>
      <c r="MB7" s="29" t="s">
        <v>1372</v>
      </c>
      <c r="MC7" s="29"/>
      <c r="MD7" s="29"/>
      <c r="ME7" s="29"/>
      <c r="MF7" s="29"/>
      <c r="MG7" s="29"/>
      <c r="MH7" s="29" t="s">
        <v>1372</v>
      </c>
      <c r="MI7" s="29" t="s">
        <v>1372</v>
      </c>
      <c r="MJ7" s="29"/>
      <c r="MK7" s="29"/>
      <c r="ML7" s="29" t="s">
        <v>1372</v>
      </c>
      <c r="MM7" s="29"/>
      <c r="MN7" s="29" t="s">
        <v>1768</v>
      </c>
      <c r="MO7" s="29"/>
      <c r="MP7" s="30" t="s">
        <v>1781</v>
      </c>
      <c r="MQ7" s="29" t="s">
        <v>1371</v>
      </c>
      <c r="MR7" s="28" t="str">
        <f t="shared" ref="MR7" si="83">IFERROR(VLOOKUP(MP7,BASEPOE1,2,FALSE)," ")</f>
        <v xml:space="preserve"> </v>
      </c>
      <c r="MS7" s="29"/>
      <c r="MT7" s="28"/>
      <c r="MU7" s="31">
        <v>45474</v>
      </c>
      <c r="MV7" s="31">
        <f>+MU7+365</f>
        <v>45839</v>
      </c>
      <c r="MW7" s="29" t="s">
        <v>1372</v>
      </c>
      <c r="MX7" s="388" t="s">
        <v>1373</v>
      </c>
      <c r="MY7" s="29" t="s">
        <v>1372</v>
      </c>
      <c r="MZ7" s="388" t="s">
        <v>1373</v>
      </c>
      <c r="NA7" s="29" t="s">
        <v>1461</v>
      </c>
      <c r="NB7" s="29" t="s">
        <v>1462</v>
      </c>
      <c r="NC7" s="29" t="s">
        <v>1782</v>
      </c>
      <c r="ND7" s="29"/>
      <c r="NE7" s="29" t="s">
        <v>1372</v>
      </c>
      <c r="NF7" s="29" t="s">
        <v>1372</v>
      </c>
      <c r="NG7" s="29" t="s">
        <v>1372</v>
      </c>
      <c r="NH7" s="29" t="s">
        <v>1372</v>
      </c>
      <c r="NI7" s="29" t="s">
        <v>1372</v>
      </c>
      <c r="NJ7" s="29" t="s">
        <v>1372</v>
      </c>
      <c r="NK7" s="29"/>
      <c r="NL7" s="29"/>
      <c r="NM7" s="29"/>
      <c r="NN7" s="29"/>
      <c r="NO7" s="29"/>
      <c r="NP7" s="29"/>
      <c r="NQ7" s="29"/>
      <c r="NR7" s="29"/>
      <c r="NS7" s="29"/>
      <c r="NT7" s="29"/>
      <c r="NU7" s="29"/>
      <c r="NV7" s="29"/>
      <c r="NW7" s="29"/>
      <c r="NX7" s="29"/>
      <c r="NY7" s="29"/>
      <c r="NZ7" s="29" t="s">
        <v>1372</v>
      </c>
      <c r="OA7" s="29" t="s">
        <v>1372</v>
      </c>
      <c r="OB7" s="29"/>
      <c r="OC7" s="29"/>
      <c r="OD7" s="29"/>
      <c r="OE7" s="29"/>
      <c r="OF7" s="29" t="s">
        <v>1783</v>
      </c>
      <c r="OG7" s="29"/>
      <c r="OH7" s="30" t="s">
        <v>1812</v>
      </c>
      <c r="OI7" s="29" t="s">
        <v>1371</v>
      </c>
      <c r="OJ7" s="28" t="str">
        <f t="shared" ref="OJ7" si="84">IFERROR(VLOOKUP(OH7,BASEPOE1,2,FALSE)," ")</f>
        <v xml:space="preserve"> </v>
      </c>
      <c r="OK7" s="29"/>
      <c r="OL7" s="28"/>
      <c r="OM7" s="31">
        <v>45475</v>
      </c>
      <c r="ON7" s="31">
        <f>+OM7+365</f>
        <v>45840</v>
      </c>
      <c r="OO7" s="29" t="s">
        <v>1372</v>
      </c>
      <c r="OP7" s="388" t="s">
        <v>1373</v>
      </c>
      <c r="OQ7" s="29" t="s">
        <v>1372</v>
      </c>
      <c r="OR7" s="388" t="s">
        <v>1373</v>
      </c>
      <c r="OS7" s="29" t="s">
        <v>1461</v>
      </c>
      <c r="OT7" s="29" t="s">
        <v>1462</v>
      </c>
      <c r="OU7" s="29" t="s">
        <v>1813</v>
      </c>
      <c r="OV7" s="29"/>
      <c r="OW7" s="29" t="s">
        <v>1372</v>
      </c>
      <c r="OX7" s="29" t="s">
        <v>1372</v>
      </c>
      <c r="OY7" s="29" t="s">
        <v>1372</v>
      </c>
      <c r="OZ7" s="29" t="s">
        <v>1372</v>
      </c>
      <c r="PA7" s="29" t="s">
        <v>1461</v>
      </c>
      <c r="PB7" s="29" t="s">
        <v>1372</v>
      </c>
      <c r="PC7" s="29"/>
      <c r="PD7" s="29"/>
      <c r="PE7" s="29"/>
      <c r="PF7" s="29" t="s">
        <v>1372</v>
      </c>
      <c r="PG7" s="29"/>
      <c r="PH7" s="29"/>
      <c r="PI7" s="29"/>
      <c r="PJ7" s="29"/>
      <c r="PK7" s="29"/>
      <c r="PL7" s="29"/>
      <c r="PM7" s="29"/>
      <c r="PN7" s="29"/>
      <c r="PO7" s="29"/>
      <c r="PP7" s="29"/>
      <c r="PQ7" s="29"/>
      <c r="PR7" s="29" t="s">
        <v>1372</v>
      </c>
      <c r="PS7" s="29" t="s">
        <v>1372</v>
      </c>
      <c r="PT7" s="29"/>
      <c r="PU7" s="29"/>
      <c r="PV7" s="29" t="s">
        <v>1372</v>
      </c>
      <c r="PW7" s="29"/>
      <c r="PX7" s="29" t="s">
        <v>1768</v>
      </c>
      <c r="PY7" s="29"/>
      <c r="PZ7" s="30" t="s">
        <v>1832</v>
      </c>
      <c r="QA7" s="29" t="s">
        <v>1371</v>
      </c>
      <c r="QB7" s="28" t="str">
        <f t="shared" ref="QB7" si="85">IFERROR(VLOOKUP(PZ7,BASEPOE1,2,FALSE)," ")</f>
        <v xml:space="preserve"> </v>
      </c>
      <c r="QC7" s="29"/>
      <c r="QD7" s="28"/>
      <c r="QE7" s="31">
        <v>45475</v>
      </c>
      <c r="QF7" s="31">
        <f>+QE7+365</f>
        <v>45840</v>
      </c>
      <c r="QG7" s="29" t="s">
        <v>1372</v>
      </c>
      <c r="QH7" s="388" t="s">
        <v>1373</v>
      </c>
      <c r="QI7" s="29" t="s">
        <v>1372</v>
      </c>
      <c r="QJ7" s="388" t="s">
        <v>1373</v>
      </c>
      <c r="QK7" s="29" t="s">
        <v>1461</v>
      </c>
      <c r="QL7" s="29" t="s">
        <v>1462</v>
      </c>
      <c r="QM7" s="29"/>
      <c r="QN7" s="29" t="s">
        <v>1372</v>
      </c>
      <c r="QO7" s="29" t="s">
        <v>1372</v>
      </c>
      <c r="QP7" s="29" t="s">
        <v>1372</v>
      </c>
      <c r="QQ7" s="29" t="s">
        <v>1372</v>
      </c>
      <c r="QR7" s="29" t="s">
        <v>1372</v>
      </c>
      <c r="QS7" s="29" t="s">
        <v>1461</v>
      </c>
      <c r="QT7" s="29" t="s">
        <v>1372</v>
      </c>
      <c r="QU7" s="29"/>
      <c r="QV7" s="29"/>
      <c r="QW7" s="29"/>
      <c r="QX7" s="29" t="s">
        <v>1372</v>
      </c>
      <c r="QY7" s="29"/>
      <c r="QZ7" s="29"/>
      <c r="RA7" s="29"/>
      <c r="RB7" s="29"/>
      <c r="RC7" s="29"/>
      <c r="RD7" s="29"/>
      <c r="RE7" s="29"/>
      <c r="RF7" s="29"/>
      <c r="RG7" s="29"/>
      <c r="RH7" s="29"/>
      <c r="RI7" s="29"/>
      <c r="RJ7" s="29"/>
      <c r="RK7" s="29"/>
      <c r="RL7" s="29"/>
      <c r="RM7" s="29"/>
      <c r="RN7" s="29" t="s">
        <v>1372</v>
      </c>
      <c r="RO7" s="29"/>
      <c r="RP7" s="29"/>
      <c r="RQ7" s="29"/>
      <c r="RR7" s="30" t="s">
        <v>1785</v>
      </c>
      <c r="RS7" s="29" t="s">
        <v>1371</v>
      </c>
      <c r="RT7" s="28" t="str">
        <f t="shared" ref="RT7" si="86">IFERROR(VLOOKUP(RR7,BASEPOE1,2,FALSE)," ")</f>
        <v xml:space="preserve"> </v>
      </c>
      <c r="RU7" s="29"/>
      <c r="RV7" s="28"/>
      <c r="RW7" s="31">
        <v>45474</v>
      </c>
      <c r="RX7" s="31">
        <f>+RW7+365</f>
        <v>45839</v>
      </c>
      <c r="RY7" s="29" t="s">
        <v>1372</v>
      </c>
      <c r="RZ7" s="388" t="s">
        <v>1373</v>
      </c>
      <c r="SA7" s="29" t="s">
        <v>1372</v>
      </c>
      <c r="SB7" s="388" t="s">
        <v>1373</v>
      </c>
      <c r="SC7" s="29" t="s">
        <v>1461</v>
      </c>
      <c r="SD7" s="29" t="s">
        <v>1462</v>
      </c>
      <c r="SE7" s="29" t="s">
        <v>1786</v>
      </c>
      <c r="SF7" s="29"/>
      <c r="SG7" s="29" t="s">
        <v>1372</v>
      </c>
      <c r="SH7" s="29" t="s">
        <v>1372</v>
      </c>
      <c r="SI7" s="29" t="s">
        <v>1372</v>
      </c>
      <c r="SJ7" s="29" t="s">
        <v>1372</v>
      </c>
      <c r="SK7" s="29" t="s">
        <v>1372</v>
      </c>
      <c r="SL7" s="29" t="s">
        <v>1372</v>
      </c>
      <c r="SM7" s="29"/>
      <c r="SN7" s="29"/>
      <c r="SO7" s="29"/>
      <c r="SP7" s="29" t="s">
        <v>1372</v>
      </c>
      <c r="SQ7" s="29"/>
      <c r="SR7" s="29"/>
      <c r="SS7" s="29"/>
      <c r="ST7" s="29"/>
      <c r="SU7" s="29"/>
      <c r="SV7" s="29"/>
      <c r="SW7" s="29"/>
      <c r="SX7" s="29"/>
      <c r="SY7" s="29"/>
      <c r="SZ7" s="29"/>
      <c r="TA7" s="29"/>
      <c r="TB7" s="29"/>
      <c r="TC7" s="29"/>
      <c r="TD7" s="29"/>
      <c r="TE7" s="29"/>
      <c r="TF7" s="29" t="s">
        <v>1372</v>
      </c>
      <c r="TG7" s="29"/>
      <c r="TH7" s="29"/>
      <c r="TI7" s="29"/>
      <c r="TJ7" s="30" t="s">
        <v>1772</v>
      </c>
      <c r="TK7" s="29" t="s">
        <v>1371</v>
      </c>
      <c r="TL7" s="28" t="str">
        <f t="shared" ref="TL7" si="87">IFERROR(VLOOKUP(TJ7,BASEPOE1,2,FALSE)," ")</f>
        <v xml:space="preserve"> </v>
      </c>
      <c r="TM7" s="29"/>
      <c r="TN7" s="28"/>
      <c r="TO7" s="28" t="s">
        <v>1773</v>
      </c>
      <c r="TP7" s="28" t="s">
        <v>1774</v>
      </c>
      <c r="TQ7" s="29" t="s">
        <v>1372</v>
      </c>
      <c r="TR7" s="388" t="s">
        <v>1774</v>
      </c>
      <c r="TS7" s="29" t="s">
        <v>1372</v>
      </c>
      <c r="TT7" s="388" t="s">
        <v>1774</v>
      </c>
      <c r="TU7" s="29" t="s">
        <v>1461</v>
      </c>
      <c r="TV7" s="29" t="s">
        <v>1462</v>
      </c>
      <c r="TW7" s="29" t="s">
        <v>1372</v>
      </c>
      <c r="TX7" s="29"/>
      <c r="TY7" s="29" t="s">
        <v>1372</v>
      </c>
      <c r="TZ7" s="29" t="s">
        <v>1372</v>
      </c>
      <c r="UA7" s="29" t="s">
        <v>1372</v>
      </c>
      <c r="UB7" s="29" t="s">
        <v>1372</v>
      </c>
      <c r="UC7" s="29" t="s">
        <v>1461</v>
      </c>
      <c r="UD7" s="29" t="s">
        <v>1372</v>
      </c>
      <c r="UE7" s="29"/>
      <c r="UF7" s="29"/>
      <c r="UG7" s="29"/>
      <c r="UH7" s="29" t="s">
        <v>1372</v>
      </c>
      <c r="UI7" s="29"/>
      <c r="UJ7" s="29"/>
      <c r="UK7" s="29"/>
      <c r="UL7" s="29"/>
      <c r="UM7" s="29"/>
      <c r="UN7" s="29"/>
      <c r="UO7" s="29"/>
      <c r="UP7" s="29"/>
      <c r="UQ7" s="29"/>
      <c r="UR7" s="29"/>
      <c r="US7" s="29"/>
      <c r="UT7" s="29" t="s">
        <v>1372</v>
      </c>
      <c r="UU7" s="29" t="s">
        <v>1372</v>
      </c>
      <c r="UV7" s="29"/>
      <c r="UW7" s="29"/>
      <c r="UX7" s="29"/>
      <c r="UY7" s="29"/>
      <c r="UZ7" s="29" t="s">
        <v>1768</v>
      </c>
      <c r="VA7" s="29"/>
      <c r="VB7" s="30" t="s">
        <v>1798</v>
      </c>
      <c r="VC7" s="29" t="s">
        <v>1371</v>
      </c>
      <c r="VD7" s="28" t="str">
        <f t="shared" ref="VD7" si="88">IFERROR(VLOOKUP(VB7,BASEPOE1,2,FALSE)," ")</f>
        <v xml:space="preserve"> </v>
      </c>
      <c r="VE7" s="29"/>
      <c r="VF7" s="28"/>
      <c r="VG7" s="31">
        <v>45041</v>
      </c>
      <c r="VH7" s="28" t="s">
        <v>1774</v>
      </c>
      <c r="VI7" s="29" t="s">
        <v>1372</v>
      </c>
      <c r="VJ7" s="388" t="s">
        <v>1774</v>
      </c>
      <c r="VK7" s="29" t="s">
        <v>1372</v>
      </c>
      <c r="VL7" s="388" t="s">
        <v>1774</v>
      </c>
      <c r="VM7" s="29" t="s">
        <v>1461</v>
      </c>
      <c r="VN7" s="29" t="s">
        <v>1462</v>
      </c>
      <c r="VO7" s="29" t="s">
        <v>1372</v>
      </c>
      <c r="VP7" s="29" t="s">
        <v>1372</v>
      </c>
      <c r="VQ7" s="29" t="s">
        <v>1372</v>
      </c>
      <c r="VR7" s="29" t="s">
        <v>1372</v>
      </c>
      <c r="VS7" s="29" t="s">
        <v>1372</v>
      </c>
      <c r="VT7" s="29" t="s">
        <v>1372</v>
      </c>
      <c r="VU7" s="29" t="s">
        <v>1461</v>
      </c>
      <c r="VV7" s="29" t="s">
        <v>1372</v>
      </c>
      <c r="VW7" s="29"/>
      <c r="VX7" s="29"/>
      <c r="VY7" s="29"/>
      <c r="VZ7" s="29" t="s">
        <v>1372</v>
      </c>
      <c r="WA7" s="29"/>
      <c r="WB7" s="29"/>
      <c r="WC7" s="29"/>
      <c r="WD7" s="29"/>
      <c r="WE7" s="29"/>
      <c r="WF7" s="29"/>
      <c r="WG7" s="29"/>
      <c r="WH7" s="29"/>
      <c r="WI7" s="29"/>
      <c r="WJ7" s="29"/>
      <c r="WK7" s="29"/>
      <c r="WL7" s="29"/>
      <c r="WM7" s="29" t="s">
        <v>1372</v>
      </c>
      <c r="WN7" s="29"/>
      <c r="WO7" s="29"/>
      <c r="WP7" s="29" t="s">
        <v>1372</v>
      </c>
      <c r="WQ7" s="29"/>
      <c r="WR7" s="29"/>
      <c r="WS7" s="29"/>
      <c r="WT7" s="30" t="s">
        <v>1825</v>
      </c>
      <c r="WU7" s="29" t="s">
        <v>1826</v>
      </c>
      <c r="WV7" s="28" t="str">
        <f t="shared" ref="WV7" si="89">IFERROR(VLOOKUP(WT7,BASEPOE1,2,FALSE)," ")</f>
        <v xml:space="preserve"> </v>
      </c>
      <c r="WW7" s="29"/>
      <c r="WX7" s="28"/>
      <c r="WY7" s="28" t="s">
        <v>1827</v>
      </c>
      <c r="WZ7" s="28" t="s">
        <v>1774</v>
      </c>
      <c r="XA7" s="29" t="s">
        <v>1372</v>
      </c>
      <c r="XB7" s="388" t="s">
        <v>1774</v>
      </c>
      <c r="XC7" s="29" t="s">
        <v>1372</v>
      </c>
      <c r="XD7" s="388" t="s">
        <v>1774</v>
      </c>
      <c r="XE7" s="29" t="s">
        <v>1461</v>
      </c>
      <c r="XF7" s="29" t="s">
        <v>1462</v>
      </c>
      <c r="XG7" s="29" t="s">
        <v>1372</v>
      </c>
      <c r="XH7" s="29"/>
      <c r="XI7" s="29" t="s">
        <v>1372</v>
      </c>
      <c r="XJ7" s="29" t="s">
        <v>1828</v>
      </c>
      <c r="XK7" s="29" t="s">
        <v>1372</v>
      </c>
      <c r="XL7" s="29" t="s">
        <v>1372</v>
      </c>
      <c r="XM7" s="29" t="s">
        <v>1372</v>
      </c>
      <c r="XN7" s="29" t="s">
        <v>1372</v>
      </c>
      <c r="XO7" s="29"/>
      <c r="XP7" s="29"/>
      <c r="XQ7" s="29"/>
      <c r="XR7" s="29" t="s">
        <v>1372</v>
      </c>
      <c r="XS7" s="29"/>
      <c r="XT7" s="29"/>
      <c r="XU7" s="29"/>
      <c r="XV7" s="29"/>
      <c r="XW7" s="29"/>
      <c r="XX7" s="29"/>
      <c r="XY7" s="29"/>
      <c r="XZ7" s="29"/>
      <c r="YA7" s="29"/>
      <c r="YB7" s="29"/>
      <c r="YC7" s="29"/>
      <c r="YD7" s="29"/>
      <c r="YE7" s="29" t="s">
        <v>1372</v>
      </c>
      <c r="YF7" s="29"/>
      <c r="YG7" s="29"/>
      <c r="YH7" s="29"/>
      <c r="YI7" s="29"/>
      <c r="YJ7" s="29"/>
      <c r="YK7" s="29"/>
      <c r="YL7" s="30" t="s">
        <v>1815</v>
      </c>
      <c r="YM7" s="29" t="s">
        <v>1371</v>
      </c>
      <c r="YN7" s="28" t="str">
        <f t="shared" ref="YN7" si="90">IFERROR(VLOOKUP(YL7,BASEPOE1,2,FALSE)," ")</f>
        <v xml:space="preserve"> </v>
      </c>
      <c r="YO7" s="29"/>
      <c r="YP7" s="28"/>
      <c r="YQ7" s="28" t="s">
        <v>1777</v>
      </c>
      <c r="YR7" s="28" t="s">
        <v>1774</v>
      </c>
      <c r="YS7" s="29" t="s">
        <v>1372</v>
      </c>
      <c r="YT7" s="388" t="s">
        <v>1774</v>
      </c>
      <c r="YU7" s="29" t="s">
        <v>1372</v>
      </c>
      <c r="YV7" s="388" t="s">
        <v>1774</v>
      </c>
      <c r="YW7" s="29" t="s">
        <v>1461</v>
      </c>
      <c r="YX7" s="29" t="s">
        <v>1462</v>
      </c>
      <c r="YY7" s="29" t="s">
        <v>1372</v>
      </c>
      <c r="YZ7" s="29"/>
      <c r="ZA7" s="29" t="s">
        <v>1372</v>
      </c>
      <c r="ZB7" s="29" t="s">
        <v>1372</v>
      </c>
      <c r="ZC7" s="29" t="s">
        <v>1372</v>
      </c>
      <c r="ZD7" s="29" t="s">
        <v>1372</v>
      </c>
      <c r="ZE7" s="29" t="s">
        <v>1372</v>
      </c>
      <c r="ZF7" s="29" t="s">
        <v>1372</v>
      </c>
      <c r="ZG7" s="29"/>
      <c r="ZH7" s="29"/>
      <c r="ZI7" s="29"/>
      <c r="ZJ7" s="29" t="s">
        <v>1372</v>
      </c>
      <c r="ZK7" s="29"/>
      <c r="ZL7" s="29"/>
      <c r="ZM7" s="29"/>
      <c r="ZN7" s="29"/>
      <c r="ZO7" s="29"/>
      <c r="ZP7" s="29"/>
      <c r="ZQ7" s="29"/>
      <c r="ZR7" s="29"/>
      <c r="ZS7" s="29"/>
      <c r="ZT7" s="29"/>
      <c r="ZU7" s="29"/>
      <c r="ZV7" s="29" t="s">
        <v>1372</v>
      </c>
      <c r="ZW7" s="29" t="s">
        <v>1372</v>
      </c>
      <c r="ZX7" s="29"/>
      <c r="ZY7" s="29"/>
      <c r="ZZ7" s="29" t="s">
        <v>1372</v>
      </c>
      <c r="AAA7" s="29"/>
      <c r="AAB7" s="29"/>
      <c r="AAC7" s="29"/>
      <c r="AAD7" s="30" t="s">
        <v>1817</v>
      </c>
      <c r="AAE7" s="29" t="s">
        <v>1371</v>
      </c>
      <c r="AAF7" s="28" t="str">
        <f t="shared" ref="AAF7" si="91">IFERROR(VLOOKUP(AAD7,BASEPOE1,2,FALSE)," ")</f>
        <v xml:space="preserve"> </v>
      </c>
      <c r="AAG7" s="29"/>
      <c r="AAH7" s="28"/>
      <c r="AAI7" s="31">
        <v>45041</v>
      </c>
      <c r="AAJ7" s="28" t="s">
        <v>1774</v>
      </c>
      <c r="AAK7" s="29" t="s">
        <v>1372</v>
      </c>
      <c r="AAL7" s="388" t="s">
        <v>1774</v>
      </c>
      <c r="AAM7" s="29" t="s">
        <v>1372</v>
      </c>
      <c r="AAN7" s="388" t="s">
        <v>1774</v>
      </c>
      <c r="AAO7" s="29" t="s">
        <v>1461</v>
      </c>
      <c r="AAP7" s="29" t="s">
        <v>1462</v>
      </c>
      <c r="AAQ7" s="29" t="s">
        <v>1372</v>
      </c>
      <c r="AAR7" s="29"/>
      <c r="AAS7" s="29" t="s">
        <v>1372</v>
      </c>
      <c r="AAT7" s="29" t="s">
        <v>1372</v>
      </c>
      <c r="AAU7" s="29" t="s">
        <v>1372</v>
      </c>
      <c r="AAV7" s="29" t="s">
        <v>1372</v>
      </c>
      <c r="AAW7" s="29" t="s">
        <v>1372</v>
      </c>
      <c r="AAX7" s="29" t="s">
        <v>1372</v>
      </c>
      <c r="AAY7" s="29"/>
      <c r="AAZ7" s="29"/>
      <c r="ABA7" s="29"/>
      <c r="ABB7" s="29" t="s">
        <v>1372</v>
      </c>
      <c r="ABC7" s="29"/>
      <c r="ABD7" s="29"/>
      <c r="ABE7" s="29"/>
      <c r="ABF7" s="29"/>
      <c r="ABG7" s="29"/>
      <c r="ABH7" s="29" t="s">
        <v>1372</v>
      </c>
      <c r="ABI7" s="29"/>
      <c r="ABJ7" s="29"/>
      <c r="ABK7" s="29"/>
      <c r="ABL7" s="29"/>
      <c r="ABM7" s="29"/>
      <c r="ABN7" s="29"/>
      <c r="ABO7" s="29" t="s">
        <v>1372</v>
      </c>
      <c r="ABP7" s="29"/>
      <c r="ABQ7" s="29"/>
      <c r="ABR7" s="29"/>
      <c r="ABS7" s="29"/>
      <c r="ABT7" s="29" t="s">
        <v>1783</v>
      </c>
      <c r="ABU7" s="29"/>
      <c r="ABV7" s="30" t="s">
        <v>1810</v>
      </c>
      <c r="ABW7" s="29"/>
      <c r="ABX7" s="28" t="str">
        <f t="shared" ref="ABX7" si="92">IFERROR(VLOOKUP(ABV7,BASEPOE1,2,FALSE)," ")</f>
        <v xml:space="preserve"> </v>
      </c>
      <c r="ABY7" s="29"/>
      <c r="ABZ7" s="28"/>
      <c r="ACA7" s="31">
        <v>44673</v>
      </c>
      <c r="ACB7" s="28" t="s">
        <v>1774</v>
      </c>
      <c r="ACC7" s="29" t="s">
        <v>1372</v>
      </c>
      <c r="ACD7" s="388" t="s">
        <v>1774</v>
      </c>
      <c r="ACE7" s="29" t="s">
        <v>1372</v>
      </c>
      <c r="ACF7" s="388" t="s">
        <v>1774</v>
      </c>
      <c r="ACG7" s="29" t="s">
        <v>1461</v>
      </c>
      <c r="ACH7" s="29" t="s">
        <v>1462</v>
      </c>
      <c r="ACI7" s="29"/>
      <c r="ACJ7" s="29" t="s">
        <v>1372</v>
      </c>
      <c r="ACK7" s="29" t="s">
        <v>1372</v>
      </c>
      <c r="ACL7" s="29" t="s">
        <v>1372</v>
      </c>
      <c r="ACM7" s="29" t="s">
        <v>1372</v>
      </c>
      <c r="ACN7" s="29" t="s">
        <v>1372</v>
      </c>
      <c r="ACO7" s="29" t="s">
        <v>1372</v>
      </c>
      <c r="ACP7" s="29" t="s">
        <v>1372</v>
      </c>
      <c r="ACQ7" s="29"/>
      <c r="ACR7" s="29"/>
      <c r="ACS7" s="29"/>
      <c r="ACT7" s="29"/>
      <c r="ACU7" s="29"/>
      <c r="ACV7" s="29"/>
      <c r="ACW7" s="29"/>
      <c r="ACX7" s="29"/>
      <c r="ACY7" s="29"/>
      <c r="ACZ7" s="29" t="s">
        <v>1372</v>
      </c>
      <c r="ADA7" s="29"/>
      <c r="ADB7" s="29"/>
      <c r="ADC7" s="29"/>
      <c r="ADD7" s="29"/>
      <c r="ADE7" s="29"/>
      <c r="ADF7" s="29" t="s">
        <v>1372</v>
      </c>
      <c r="ADG7" s="29"/>
      <c r="ADH7" s="29"/>
      <c r="ADI7" s="29"/>
      <c r="ADJ7" s="29" t="s">
        <v>1372</v>
      </c>
      <c r="ADK7" s="29"/>
      <c r="ADL7" s="29" t="s">
        <v>1768</v>
      </c>
      <c r="ADM7" s="29"/>
      <c r="ADN7" s="30" t="s">
        <v>1776</v>
      </c>
      <c r="ADO7" s="29" t="s">
        <v>1371</v>
      </c>
      <c r="ADP7" s="28" t="str">
        <f t="shared" ref="ADP7" si="93">IFERROR(VLOOKUP(ADN7,BASEPOE1,2,FALSE)," ")</f>
        <v xml:space="preserve"> </v>
      </c>
      <c r="ADQ7" s="29"/>
      <c r="ADR7" s="28"/>
      <c r="ADS7" s="28" t="s">
        <v>1777</v>
      </c>
      <c r="ADT7" s="28" t="s">
        <v>1774</v>
      </c>
      <c r="ADU7" s="29" t="s">
        <v>1372</v>
      </c>
      <c r="ADV7" s="388" t="s">
        <v>1774</v>
      </c>
      <c r="ADW7" s="29" t="s">
        <v>1372</v>
      </c>
      <c r="ADX7" s="388" t="s">
        <v>1774</v>
      </c>
      <c r="ADY7" s="29" t="s">
        <v>1461</v>
      </c>
      <c r="ADZ7" s="29" t="s">
        <v>1462</v>
      </c>
      <c r="AEA7" s="29"/>
      <c r="AEB7" s="29" t="s">
        <v>1372</v>
      </c>
      <c r="AEC7" s="29" t="s">
        <v>1372</v>
      </c>
      <c r="AED7" s="29" t="s">
        <v>1372</v>
      </c>
      <c r="AEE7" s="29" t="s">
        <v>1372</v>
      </c>
      <c r="AEF7" s="29" t="s">
        <v>1372</v>
      </c>
      <c r="AEG7" s="29" t="s">
        <v>1461</v>
      </c>
      <c r="AEH7" s="29" t="s">
        <v>1372</v>
      </c>
      <c r="AEI7" s="29"/>
      <c r="AEJ7" s="29"/>
      <c r="AEK7" s="29"/>
      <c r="AEL7" s="29"/>
      <c r="AEM7" s="29"/>
      <c r="AEN7" s="29"/>
      <c r="AEO7" s="29"/>
      <c r="AEP7" s="29"/>
      <c r="AEQ7" s="29"/>
      <c r="AER7" s="29"/>
      <c r="AES7" s="29"/>
      <c r="AET7" s="29"/>
      <c r="AEU7" s="29"/>
      <c r="AEV7" s="29"/>
      <c r="AEW7" s="29"/>
      <c r="AEX7" s="29"/>
      <c r="AEY7" s="29"/>
      <c r="AEZ7" s="29"/>
      <c r="AFA7" s="29"/>
      <c r="AFB7" s="29" t="s">
        <v>1372</v>
      </c>
      <c r="AFC7" s="29"/>
      <c r="AFD7" s="29"/>
      <c r="AFE7" s="29"/>
      <c r="AFF7" s="30"/>
      <c r="AFG7" s="29"/>
      <c r="AFH7" s="28" t="str">
        <f t="shared" ref="AFH7" si="94">IFERROR(VLOOKUP(AFF7,BASEPOE1,2,FALSE)," ")</f>
        <v xml:space="preserve"> </v>
      </c>
      <c r="AFI7" s="29"/>
      <c r="AFJ7" s="28"/>
      <c r="AFK7" s="28"/>
      <c r="AFL7" s="28">
        <v>45742</v>
      </c>
      <c r="AFM7" s="29"/>
      <c r="AFN7" s="388"/>
      <c r="AFO7" s="29"/>
      <c r="AFP7" s="388"/>
      <c r="AFQ7" s="29"/>
      <c r="AFR7" s="388"/>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30"/>
      <c r="AGY7" s="29"/>
      <c r="AGZ7" s="28" t="str">
        <f t="shared" ref="AGZ7" si="95">IFERROR(VLOOKUP(AGX7,BASEPOE1,2,FALSE)," ")</f>
        <v xml:space="preserve"> </v>
      </c>
      <c r="AHA7" s="29"/>
      <c r="AHB7" s="28"/>
      <c r="AHC7" s="28"/>
      <c r="AHD7" s="28">
        <v>45742</v>
      </c>
      <c r="AHE7" s="29"/>
      <c r="AHF7" s="388"/>
      <c r="AHG7" s="29"/>
      <c r="AHH7" s="388"/>
      <c r="AHI7" s="29"/>
      <c r="AHJ7" s="388"/>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30"/>
      <c r="AIQ7" s="29"/>
      <c r="AIR7" s="28" t="str">
        <f t="shared" ref="AIR7" si="96">IFERROR(VLOOKUP(AIP7,BASEPOE1,2,FALSE)," ")</f>
        <v xml:space="preserve"> </v>
      </c>
      <c r="AIS7" s="29"/>
      <c r="AIT7" s="28"/>
      <c r="AIU7" s="28"/>
      <c r="AIV7" s="28">
        <v>45742</v>
      </c>
      <c r="AIW7" s="29"/>
      <c r="AIX7" s="388"/>
      <c r="AIY7" s="29"/>
      <c r="AIZ7" s="388"/>
      <c r="AJA7" s="29"/>
      <c r="AJB7" s="388"/>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30"/>
      <c r="AKI7" s="29"/>
      <c r="AKJ7" s="28" t="str">
        <f t="shared" ref="AKJ7" si="97">IFERROR(VLOOKUP(AKH7,BASEPOE1,2,FALSE)," ")</f>
        <v xml:space="preserve"> </v>
      </c>
      <c r="AKK7" s="29"/>
      <c r="AKL7" s="28"/>
      <c r="AKM7" s="28"/>
      <c r="AKN7" s="28">
        <v>45742</v>
      </c>
      <c r="AKO7" s="29"/>
      <c r="AKP7" s="388"/>
      <c r="AKQ7" s="29"/>
      <c r="AKR7" s="388"/>
      <c r="AKS7" s="29"/>
      <c r="AKT7" s="388"/>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30"/>
      <c r="AMA7" s="29"/>
      <c r="AMB7" s="28" t="str">
        <f t="shared" ref="AMB7" si="98">IFERROR(VLOOKUP(ALZ7,BASEPOE1,2,FALSE)," ")</f>
        <v xml:space="preserve"> </v>
      </c>
      <c r="AMC7" s="29"/>
      <c r="AMD7" s="28"/>
      <c r="AME7" s="28"/>
      <c r="AMF7" s="28">
        <v>45742</v>
      </c>
      <c r="AMG7" s="29"/>
      <c r="AMH7" s="388"/>
      <c r="AMI7" s="29"/>
      <c r="AMJ7" s="388"/>
      <c r="AMK7" s="29"/>
      <c r="AML7" s="388"/>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30"/>
      <c r="ANS7" s="29"/>
      <c r="ANT7" s="28" t="str">
        <f t="shared" ref="ANT7" si="99">IFERROR(VLOOKUP(ANR7,BASEPOE1,2,FALSE)," ")</f>
        <v xml:space="preserve"> </v>
      </c>
      <c r="ANU7" s="29"/>
      <c r="ANV7" s="28"/>
      <c r="ANW7" s="28"/>
      <c r="ANX7" s="28">
        <v>45742</v>
      </c>
      <c r="ANY7" s="29"/>
      <c r="ANZ7" s="388"/>
      <c r="AOA7" s="29"/>
      <c r="AOB7" s="388"/>
      <c r="AOC7" s="29"/>
      <c r="AOD7" s="388"/>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30"/>
      <c r="APK7" s="29"/>
      <c r="APL7" s="28" t="str">
        <f t="shared" ref="APL7" si="100">IFERROR(VLOOKUP(APJ7,BASEPOE1,2,FALSE)," ")</f>
        <v xml:space="preserve"> </v>
      </c>
      <c r="APM7" s="29"/>
      <c r="APN7" s="28"/>
      <c r="APO7" s="28"/>
      <c r="APP7" s="28">
        <v>45742</v>
      </c>
      <c r="APQ7" s="29"/>
      <c r="APR7" s="388"/>
      <c r="APS7" s="29"/>
      <c r="APT7" s="388"/>
      <c r="APU7" s="29"/>
      <c r="APV7" s="388"/>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30"/>
      <c r="ARC7" s="29"/>
      <c r="ARD7" s="28" t="str">
        <f t="shared" ref="ARD7" si="101">IFERROR(VLOOKUP(ARB7,BASEPOE1,2,FALSE)," ")</f>
        <v xml:space="preserve"> </v>
      </c>
      <c r="ARE7" s="29"/>
      <c r="ARF7" s="28"/>
      <c r="ARG7" s="28"/>
      <c r="ARH7" s="28">
        <v>45742</v>
      </c>
      <c r="ARI7" s="29"/>
      <c r="ARJ7" s="388"/>
      <c r="ARK7" s="29"/>
      <c r="ARL7" s="388"/>
      <c r="ARM7" s="29"/>
      <c r="ARN7" s="388"/>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30"/>
      <c r="ASU7" s="29"/>
      <c r="ASV7" s="28" t="str">
        <f t="shared" ref="ASV7" si="102">IFERROR(VLOOKUP(AST7,BASEPOE1,2,FALSE)," ")</f>
        <v xml:space="preserve"> </v>
      </c>
      <c r="ASW7" s="29"/>
      <c r="ASX7" s="28"/>
      <c r="ASY7" s="28"/>
      <c r="ASZ7" s="28">
        <v>45742</v>
      </c>
      <c r="ATA7" s="29"/>
      <c r="ATB7" s="388"/>
      <c r="ATC7" s="29"/>
      <c r="ATD7" s="388"/>
      <c r="ATE7" s="29"/>
      <c r="ATF7" s="388"/>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30"/>
      <c r="AUM7" s="29"/>
      <c r="AUN7" s="28" t="str">
        <f t="shared" ref="AUN7" si="103">IFERROR(VLOOKUP(AUL7,BASEPOE1,2,FALSE)," ")</f>
        <v xml:space="preserve"> </v>
      </c>
      <c r="AUO7" s="29"/>
      <c r="AUP7" s="28"/>
      <c r="AUQ7" s="28"/>
      <c r="AUR7" s="28">
        <v>45742</v>
      </c>
      <c r="AUS7" s="29"/>
      <c r="AUT7" s="388"/>
      <c r="AUU7" s="29"/>
      <c r="AUV7" s="388"/>
      <c r="AUW7" s="29"/>
      <c r="AUX7" s="388"/>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8"/>
      <c r="AWF7" s="29"/>
      <c r="AWG7" s="29"/>
      <c r="AWH7" s="29"/>
      <c r="AWI7" s="29"/>
      <c r="AWJ7" s="29"/>
      <c r="AWK7" s="28"/>
      <c r="AWL7" s="29"/>
      <c r="AWM7" s="29"/>
      <c r="AWN7" s="28"/>
      <c r="AWO7" s="29"/>
      <c r="AWP7" s="30"/>
      <c r="AWQ7" s="28"/>
      <c r="AWR7" s="29"/>
      <c r="AWS7" s="29"/>
      <c r="AWT7" s="29"/>
      <c r="AWU7" s="28"/>
      <c r="AWV7" s="29"/>
      <c r="AWW7" s="29"/>
      <c r="AWX7" s="28"/>
      <c r="AWY7" s="29"/>
      <c r="AWZ7" s="30"/>
      <c r="AXA7" s="28"/>
      <c r="AXB7" s="29"/>
      <c r="AXC7" s="29"/>
      <c r="AXD7" s="29"/>
      <c r="AXE7" s="28"/>
      <c r="AXF7" s="29"/>
      <c r="AXG7" s="29"/>
      <c r="AXH7" s="29"/>
      <c r="AXI7" s="29"/>
      <c r="AXJ7" s="29"/>
      <c r="AXK7" s="28"/>
      <c r="AXL7" s="29"/>
      <c r="AXM7" s="29"/>
      <c r="AXN7" s="28"/>
      <c r="AXO7" s="29"/>
      <c r="AXP7" s="30"/>
      <c r="AXQ7" s="28"/>
      <c r="AXR7" s="29"/>
      <c r="AXS7" s="29"/>
      <c r="AXT7" s="29"/>
      <c r="AXU7" s="28"/>
      <c r="AXV7" s="29"/>
      <c r="AXW7" s="29"/>
      <c r="AXX7" s="28"/>
      <c r="AXY7" s="29"/>
      <c r="AXZ7" s="30"/>
      <c r="AYA7" s="28"/>
      <c r="AYB7" s="29"/>
      <c r="AYC7" s="29"/>
      <c r="AYD7" s="29"/>
      <c r="AYE7" s="28"/>
      <c r="AYF7" s="29"/>
      <c r="AYG7" s="29"/>
      <c r="AYH7" s="29"/>
      <c r="AYI7" s="29"/>
      <c r="AYJ7" s="29"/>
      <c r="AYK7" s="28"/>
      <c r="AYL7" s="29"/>
      <c r="AYM7" s="29"/>
      <c r="AYN7" s="28"/>
      <c r="AYO7" s="29"/>
      <c r="AYP7" s="30"/>
      <c r="AYQ7" s="28"/>
      <c r="AYR7" s="29"/>
      <c r="AYS7" s="29"/>
      <c r="AYT7" s="29"/>
      <c r="AYU7" s="28"/>
      <c r="AYV7" s="29"/>
      <c r="AYW7" s="29"/>
      <c r="AYX7" s="28"/>
      <c r="AYY7" s="29"/>
      <c r="AYZ7" s="30"/>
      <c r="AZA7" s="28"/>
      <c r="AZB7" s="29"/>
      <c r="AZC7" s="29"/>
      <c r="AZD7" s="29"/>
      <c r="AZE7" s="28"/>
      <c r="AZF7" s="29"/>
      <c r="AZG7" s="29"/>
      <c r="AZH7" s="29"/>
      <c r="AZI7" s="29"/>
      <c r="AZJ7" s="29"/>
      <c r="AZK7" s="28"/>
      <c r="AZL7" s="29"/>
      <c r="AZM7" s="29"/>
      <c r="AZN7" s="28"/>
      <c r="AZO7" s="29"/>
      <c r="AZP7" s="30"/>
      <c r="AZQ7" s="28"/>
      <c r="AZR7" s="29"/>
      <c r="AZS7" s="29"/>
      <c r="AZT7" s="29"/>
      <c r="AZU7" s="28"/>
      <c r="AZV7" s="29"/>
      <c r="AZW7" s="29"/>
      <c r="AZX7" s="28"/>
      <c r="AZY7" s="29"/>
      <c r="AZZ7" s="30"/>
      <c r="BAA7" s="28"/>
      <c r="BAB7" s="29"/>
      <c r="BAC7" s="29"/>
      <c r="BAD7" s="29"/>
      <c r="BAE7" s="28"/>
      <c r="BAF7" s="29"/>
      <c r="BAG7" s="29"/>
      <c r="BAH7" s="29"/>
      <c r="BAI7" s="29"/>
      <c r="BAJ7" s="29"/>
      <c r="BAK7" s="28"/>
      <c r="BAL7" s="29"/>
      <c r="BAM7" s="29"/>
      <c r="BAN7" s="28"/>
      <c r="BAO7" s="29"/>
      <c r="BAP7" s="30"/>
      <c r="BAQ7" s="28"/>
      <c r="BAR7" s="29"/>
      <c r="BAS7" s="29"/>
      <c r="BAT7" s="29"/>
      <c r="BAU7" s="28"/>
      <c r="BAV7" s="29"/>
      <c r="BAW7" s="29"/>
      <c r="BAX7" s="28"/>
      <c r="BAY7" s="29"/>
      <c r="BAZ7" s="30"/>
      <c r="BBA7" s="28"/>
      <c r="BBB7" s="29"/>
      <c r="BBC7" s="29"/>
      <c r="BBD7" s="29"/>
      <c r="BBE7" s="28"/>
      <c r="BBF7" s="29"/>
      <c r="BBG7" s="29"/>
      <c r="BBH7" s="29"/>
      <c r="BBI7" s="29"/>
      <c r="BBJ7" s="29"/>
      <c r="BBK7" s="28"/>
      <c r="BBL7" s="29"/>
      <c r="BBM7" s="29"/>
      <c r="BBN7" s="28"/>
      <c r="BBO7" s="29"/>
      <c r="BBP7" s="30"/>
      <c r="BBQ7" s="28"/>
      <c r="BBR7" s="29"/>
      <c r="BBS7" s="29"/>
      <c r="BBT7" s="29"/>
      <c r="BBU7" s="28"/>
      <c r="BBV7" s="29"/>
      <c r="BBW7" s="29"/>
      <c r="BBX7" s="28"/>
      <c r="BBY7" s="29"/>
      <c r="BBZ7" s="30"/>
      <c r="BCA7" s="28"/>
      <c r="BCB7" s="29"/>
      <c r="BCC7" s="29"/>
      <c r="BCD7" s="29"/>
      <c r="BCE7" s="28"/>
      <c r="BCF7" s="29"/>
      <c r="BCG7" s="29"/>
      <c r="BCH7" s="29"/>
      <c r="BCI7" s="29"/>
      <c r="BCJ7" s="29"/>
      <c r="BCK7" s="28"/>
      <c r="BCL7" s="29"/>
      <c r="BCM7" s="29"/>
      <c r="BCN7" s="28"/>
      <c r="BCO7" s="29"/>
      <c r="BCP7" s="30"/>
      <c r="BCQ7" s="28"/>
      <c r="BCR7" s="29"/>
      <c r="BCS7" s="29"/>
      <c r="BCT7" s="29"/>
      <c r="BCU7" s="28"/>
      <c r="BCV7" s="29"/>
      <c r="BCW7" s="29"/>
      <c r="BCX7" s="28"/>
      <c r="BCY7" s="29"/>
      <c r="BCZ7" s="30"/>
      <c r="BDA7" s="28"/>
      <c r="BDB7" s="29"/>
      <c r="BDC7" s="29"/>
      <c r="BDD7" s="29"/>
      <c r="BDE7" s="28"/>
      <c r="BDF7" s="29"/>
      <c r="BDG7" s="29"/>
      <c r="BDH7" s="29"/>
      <c r="BDI7" s="29"/>
      <c r="BDJ7" s="29"/>
      <c r="BDK7" s="28"/>
      <c r="BDL7" s="29"/>
      <c r="BDM7" s="29"/>
      <c r="BDN7" s="28"/>
      <c r="BDO7" s="29"/>
      <c r="BDP7" s="30"/>
      <c r="BDQ7" s="28"/>
      <c r="BDR7" s="29"/>
      <c r="BDS7" s="29"/>
      <c r="BDT7" s="29"/>
      <c r="BDU7" s="28"/>
      <c r="BDV7" s="29"/>
      <c r="BDW7" s="29"/>
      <c r="BDX7" s="28"/>
      <c r="BDY7" s="29"/>
      <c r="BDZ7" s="30"/>
      <c r="BEA7" s="28"/>
      <c r="BEB7" s="29"/>
      <c r="BEC7" s="29"/>
      <c r="BED7" s="29"/>
      <c r="BEE7" s="28"/>
      <c r="BEF7" s="29"/>
      <c r="BEG7" s="29"/>
      <c r="BEH7" s="29"/>
      <c r="BEI7" s="29"/>
      <c r="BEJ7" s="29"/>
      <c r="BEK7" s="28"/>
      <c r="BEL7" s="29"/>
      <c r="BEM7" s="29"/>
      <c r="BEN7" s="28"/>
      <c r="BEO7" s="29"/>
      <c r="BEP7" s="30"/>
      <c r="BEQ7" s="28"/>
      <c r="BER7" s="29"/>
      <c r="BES7" s="29"/>
      <c r="BET7" s="29"/>
      <c r="BEU7" s="28"/>
      <c r="BEV7" s="29"/>
      <c r="BEW7" s="29"/>
      <c r="BEX7" s="28"/>
      <c r="BEY7" s="29"/>
      <c r="BEZ7" s="30"/>
      <c r="BFA7" s="28"/>
      <c r="BFB7" s="29"/>
      <c r="BFC7" s="29"/>
      <c r="BFD7" s="29"/>
      <c r="BFE7" s="28"/>
      <c r="BFF7" s="29"/>
      <c r="BFG7" s="29"/>
      <c r="BFH7" s="29"/>
      <c r="BFI7" s="29"/>
      <c r="BFJ7" s="29"/>
      <c r="BFK7" s="28"/>
      <c r="BFL7" s="29"/>
      <c r="BFM7" s="29"/>
      <c r="BFN7" s="28"/>
      <c r="BFO7" s="29"/>
      <c r="BFP7" s="30"/>
      <c r="BFQ7" s="28"/>
      <c r="BFR7" s="29"/>
      <c r="BFS7" s="29"/>
      <c r="BFT7" s="29"/>
      <c r="BFU7" s="28"/>
      <c r="BFV7" s="29"/>
      <c r="BFW7" s="29"/>
      <c r="BFX7" s="28"/>
      <c r="BFY7" s="29"/>
      <c r="BFZ7" s="30"/>
      <c r="BGA7" s="28"/>
      <c r="BGB7" s="29"/>
      <c r="BGC7" s="29"/>
      <c r="BGD7" s="29"/>
      <c r="BGE7" s="28"/>
      <c r="BGF7" s="29"/>
      <c r="BGG7" s="29"/>
      <c r="BGH7" s="29"/>
      <c r="BGI7" s="29"/>
      <c r="BGJ7" s="29"/>
      <c r="BGK7" s="28"/>
      <c r="BGL7" s="29"/>
      <c r="BGM7" s="29"/>
      <c r="BGN7" s="28"/>
      <c r="BGO7" s="29"/>
      <c r="BGP7" s="30"/>
      <c r="BGQ7" s="28"/>
      <c r="BGR7" s="29"/>
      <c r="BGS7" s="29"/>
      <c r="BGT7" s="29"/>
      <c r="BGU7" s="28"/>
      <c r="BGV7" s="29"/>
      <c r="BGW7" s="29"/>
      <c r="BGX7" s="28"/>
      <c r="BGY7" s="29"/>
      <c r="BGZ7" s="30"/>
      <c r="BHA7" s="28"/>
      <c r="BHB7" s="29"/>
      <c r="BHC7" s="29"/>
      <c r="BHD7" s="29"/>
      <c r="BHE7" s="28"/>
      <c r="BHF7" s="29"/>
      <c r="BHG7" s="29"/>
      <c r="BHH7" s="29"/>
      <c r="BHI7" s="29"/>
      <c r="BHJ7" s="29"/>
      <c r="BHK7" s="28"/>
      <c r="BHL7" s="29"/>
      <c r="BHM7" s="29"/>
      <c r="BHN7" s="28"/>
      <c r="BHO7" s="29"/>
      <c r="BHP7" s="30"/>
      <c r="BHQ7" s="28"/>
      <c r="BHR7" s="29"/>
      <c r="BHS7" s="29"/>
      <c r="BHT7" s="29"/>
      <c r="BHU7" s="28"/>
      <c r="BHV7" s="29"/>
      <c r="BHW7" s="29"/>
      <c r="BHX7" s="28"/>
      <c r="BHY7" s="29"/>
      <c r="BHZ7" s="30"/>
      <c r="BIA7" s="28"/>
      <c r="BIB7" s="29"/>
      <c r="BIC7" s="29"/>
      <c r="BID7" s="29"/>
      <c r="BIE7" s="28"/>
      <c r="BIF7" s="29"/>
      <c r="BIG7" s="29"/>
      <c r="BIH7" s="29"/>
      <c r="BII7" s="29"/>
      <c r="BIJ7" s="29"/>
      <c r="BIK7" s="28"/>
      <c r="BIL7" s="29"/>
      <c r="BIM7" s="29"/>
      <c r="BIN7" s="28"/>
      <c r="BIO7" s="29"/>
      <c r="BIP7" s="30"/>
      <c r="BIQ7" s="28"/>
      <c r="BIR7" s="29"/>
      <c r="BIS7" s="29"/>
      <c r="BIT7" s="29"/>
      <c r="BIU7" s="28"/>
      <c r="BIV7" s="29"/>
      <c r="BIW7" s="29"/>
      <c r="BIX7" s="28"/>
      <c r="BIY7" s="29"/>
      <c r="BIZ7" s="30"/>
      <c r="BJA7" s="28"/>
      <c r="BJB7" s="29"/>
      <c r="BJC7" s="29"/>
      <c r="BJD7" s="29"/>
      <c r="BJE7" s="28"/>
      <c r="BJF7" s="29"/>
      <c r="BJG7" s="29"/>
      <c r="BJH7" s="29"/>
      <c r="BJI7" s="29"/>
      <c r="BJJ7" s="29"/>
      <c r="BJK7" s="28"/>
      <c r="BJL7" s="29"/>
      <c r="BJM7" s="29"/>
      <c r="BJN7" s="28"/>
      <c r="BJO7" s="29"/>
      <c r="BJP7" s="30"/>
      <c r="BJQ7" s="28"/>
      <c r="BJR7" s="29"/>
      <c r="BJS7" s="29"/>
      <c r="BJT7" s="29"/>
      <c r="BJU7" s="28"/>
      <c r="BJV7" s="29"/>
      <c r="BJW7" s="29"/>
      <c r="BJX7" s="28"/>
      <c r="BJY7" s="29"/>
      <c r="BJZ7" s="30"/>
      <c r="BKA7" s="28"/>
      <c r="BKB7" s="29"/>
      <c r="BKC7" s="29"/>
      <c r="BKD7" s="29"/>
      <c r="BKE7" s="28"/>
      <c r="BKF7" s="29"/>
      <c r="BKG7" s="29"/>
      <c r="BKH7" s="29"/>
      <c r="BKI7" s="29"/>
      <c r="BKJ7" s="29"/>
      <c r="BKK7" s="28"/>
      <c r="BKL7" s="29"/>
      <c r="BKM7" s="29"/>
      <c r="BKN7" s="28"/>
      <c r="BKO7" s="29"/>
      <c r="BKP7" s="30"/>
      <c r="BKQ7" s="28"/>
      <c r="BKR7" s="29"/>
      <c r="BKS7" s="29"/>
      <c r="BKT7" s="29"/>
      <c r="BKU7" s="28"/>
      <c r="BKV7" s="29"/>
      <c r="BKW7" s="29"/>
      <c r="BKX7" s="28"/>
      <c r="BKY7" s="29"/>
      <c r="BKZ7" s="30"/>
      <c r="BLA7" s="28"/>
      <c r="BLB7" s="29"/>
      <c r="BLC7" s="29"/>
      <c r="BLD7" s="29"/>
      <c r="BLE7" s="28"/>
      <c r="BLF7" s="29"/>
      <c r="BLG7" s="29"/>
      <c r="BLH7" s="29"/>
      <c r="BLI7" s="29"/>
      <c r="BLJ7" s="29"/>
      <c r="BLK7" s="28"/>
      <c r="BLL7" s="29"/>
      <c r="BLM7" s="29"/>
      <c r="BLN7" s="28"/>
      <c r="BLO7" s="29"/>
      <c r="BLP7" s="30"/>
      <c r="BLQ7" s="28"/>
      <c r="BLR7" s="29"/>
      <c r="BLS7" s="29"/>
      <c r="BLT7" s="29"/>
      <c r="BLU7" s="28"/>
      <c r="BLV7" s="29"/>
      <c r="BLW7" s="29"/>
      <c r="BLX7" s="28"/>
      <c r="BLY7" s="29"/>
      <c r="BLZ7" s="30"/>
      <c r="BMA7" s="28"/>
      <c r="BMB7" s="29"/>
      <c r="BMC7" s="29"/>
      <c r="BMD7" s="29"/>
      <c r="BME7" s="28"/>
      <c r="BMF7" s="29"/>
      <c r="BMG7" s="29"/>
      <c r="BMH7" s="29"/>
      <c r="BMI7" s="29"/>
      <c r="BMJ7" s="29"/>
      <c r="BMK7" s="28"/>
      <c r="BML7" s="29"/>
      <c r="BMM7" s="29"/>
      <c r="BMN7" s="28"/>
      <c r="BMO7" s="29"/>
      <c r="BMP7" s="30"/>
      <c r="BMQ7" s="28"/>
      <c r="BMR7" s="29"/>
      <c r="BMS7" s="29"/>
      <c r="BMT7" s="29"/>
      <c r="BMU7" s="28"/>
      <c r="BMV7" s="29"/>
      <c r="BMW7" s="29"/>
      <c r="BMX7" s="28"/>
      <c r="BMY7" s="29"/>
      <c r="BMZ7" s="30"/>
      <c r="BNA7" s="28"/>
      <c r="BNB7" s="29"/>
      <c r="BNC7" s="29"/>
      <c r="BND7" s="29"/>
      <c r="BNE7" s="28"/>
      <c r="BNF7" s="29"/>
      <c r="BNG7" s="29"/>
      <c r="BNH7" s="29"/>
      <c r="BNI7" s="29"/>
      <c r="BNJ7" s="29"/>
      <c r="BNK7" s="28"/>
      <c r="BNL7" s="29"/>
      <c r="BNM7" s="29"/>
      <c r="BNN7" s="28"/>
      <c r="BNO7" s="29"/>
      <c r="BNP7" s="30"/>
      <c r="BNQ7" s="28"/>
      <c r="BNR7" s="29"/>
      <c r="BNS7" s="29"/>
      <c r="BNT7" s="29"/>
      <c r="BNU7" s="28"/>
      <c r="BNV7" s="29"/>
      <c r="BNW7" s="29"/>
      <c r="BNX7" s="28"/>
      <c r="BNY7" s="29"/>
      <c r="BNZ7" s="30"/>
      <c r="BOA7" s="28"/>
      <c r="BOB7" s="29"/>
      <c r="BOC7" s="29"/>
      <c r="BOD7" s="29"/>
      <c r="BOE7" s="28"/>
      <c r="BOF7" s="29"/>
      <c r="BOG7" s="29"/>
      <c r="BOH7" s="29"/>
      <c r="BOI7" s="29"/>
      <c r="BOJ7" s="29"/>
      <c r="BOK7" s="28"/>
      <c r="BOL7" s="29"/>
      <c r="BOM7" s="29"/>
      <c r="BON7" s="28"/>
      <c r="BOO7" s="29"/>
      <c r="BOP7" s="30"/>
      <c r="BOQ7" s="28"/>
      <c r="BOR7" s="29"/>
      <c r="BOS7" s="29"/>
      <c r="BOT7" s="29"/>
      <c r="BOU7" s="28"/>
      <c r="BOV7" s="29"/>
      <c r="BOW7" s="29"/>
      <c r="BOX7" s="28"/>
      <c r="BOY7" s="29"/>
      <c r="BOZ7" s="30"/>
      <c r="BPA7" s="28"/>
      <c r="BPB7" s="29"/>
      <c r="BPC7" s="29"/>
      <c r="BPD7" s="29"/>
      <c r="BPE7" s="28"/>
      <c r="BPF7" s="29"/>
      <c r="BPG7" s="29"/>
      <c r="BPH7" s="29"/>
      <c r="BPI7" s="29"/>
      <c r="BPJ7" s="29"/>
      <c r="BPK7" s="28"/>
      <c r="BPL7" s="29"/>
      <c r="BPM7" s="29"/>
      <c r="BPN7" s="28"/>
      <c r="BPO7" s="29"/>
      <c r="BPP7" s="30"/>
      <c r="BPQ7" s="28"/>
      <c r="BPR7" s="29"/>
      <c r="BPS7" s="29"/>
      <c r="BPT7" s="29"/>
      <c r="BPU7" s="28"/>
      <c r="BPV7" s="29"/>
      <c r="BPW7" s="29"/>
      <c r="BPX7" s="28"/>
      <c r="BPY7" s="29"/>
      <c r="BPZ7" s="30"/>
      <c r="BQA7" s="28"/>
      <c r="BQB7" s="29"/>
      <c r="BQC7" s="29"/>
      <c r="BQD7" s="29"/>
      <c r="BQE7" s="28"/>
      <c r="BQF7" s="29"/>
      <c r="BQG7" s="29"/>
      <c r="BQH7" s="29"/>
      <c r="BQI7" s="29"/>
      <c r="BQJ7" s="29"/>
      <c r="BQK7" s="28"/>
      <c r="BQL7" s="29"/>
      <c r="BQM7" s="29"/>
      <c r="BQN7" s="28"/>
      <c r="BQO7" s="29"/>
      <c r="BQP7" s="30"/>
      <c r="BQQ7" s="28"/>
      <c r="BQR7" s="29"/>
      <c r="BQS7" s="29"/>
      <c r="BQT7" s="29"/>
      <c r="BQU7" s="28"/>
      <c r="BQV7" s="29"/>
      <c r="BQW7" s="29"/>
      <c r="BQX7" s="28"/>
      <c r="BQY7" s="29"/>
      <c r="BQZ7" s="30"/>
      <c r="BRA7" s="28"/>
      <c r="BRB7" s="29"/>
      <c r="BRC7" s="29"/>
      <c r="BRD7" s="29"/>
      <c r="BRE7" s="28"/>
      <c r="BRF7" s="29"/>
      <c r="BRG7" s="29"/>
      <c r="BRH7" s="29"/>
      <c r="BRI7" s="29"/>
      <c r="BRJ7" s="29"/>
      <c r="BRK7" s="28"/>
      <c r="BRL7" s="29"/>
      <c r="BRM7" s="29"/>
      <c r="BRN7" s="28"/>
      <c r="BRO7" s="29"/>
      <c r="BRP7" s="30"/>
      <c r="BRQ7" s="28"/>
      <c r="BRR7" s="29"/>
      <c r="BRS7" s="29"/>
      <c r="BRT7" s="29"/>
      <c r="BRU7" s="28"/>
      <c r="BRV7" s="29"/>
      <c r="BRW7" s="29"/>
      <c r="BRX7" s="28"/>
      <c r="BRY7" s="29"/>
      <c r="BRZ7" s="30"/>
      <c r="BSA7" s="28"/>
      <c r="BSB7" s="29"/>
      <c r="BSC7" s="29"/>
      <c r="BSD7" s="29"/>
      <c r="BSE7" s="28"/>
      <c r="BSF7" s="29"/>
      <c r="BSG7" s="29"/>
      <c r="BSH7" s="29"/>
      <c r="BSI7" s="29"/>
      <c r="BSJ7" s="29"/>
      <c r="BSK7" s="28"/>
      <c r="BSL7" s="29"/>
      <c r="BSM7" s="29"/>
      <c r="BSN7" s="28"/>
      <c r="BSO7" s="29"/>
      <c r="BSP7" s="30"/>
      <c r="BSQ7" s="28"/>
      <c r="BSR7" s="29"/>
      <c r="BSS7" s="29"/>
      <c r="BST7" s="29"/>
      <c r="BSU7" s="28"/>
      <c r="BSV7" s="29"/>
      <c r="BSW7" s="29"/>
      <c r="BSX7" s="28"/>
      <c r="BSY7" s="29"/>
      <c r="BSZ7" s="30"/>
      <c r="BTA7" s="28"/>
      <c r="BTB7" s="29"/>
      <c r="BTC7" s="29"/>
      <c r="BTD7" s="29"/>
      <c r="BTE7" s="28"/>
      <c r="BTF7" s="29"/>
      <c r="BTG7" s="29"/>
      <c r="BTH7" s="29"/>
      <c r="BTI7" s="29"/>
      <c r="BTJ7" s="29"/>
      <c r="BTK7" s="28"/>
      <c r="BTL7" s="29"/>
      <c r="BTM7" s="29"/>
      <c r="BTN7" s="28"/>
      <c r="BTO7" s="29"/>
      <c r="BTP7" s="30"/>
      <c r="BTQ7" s="28"/>
      <c r="BTR7" s="29"/>
      <c r="BTS7" s="29"/>
      <c r="BTT7" s="29"/>
      <c r="BTU7" s="28"/>
      <c r="BTV7" s="29"/>
      <c r="BTW7" s="29"/>
      <c r="BTX7" s="28"/>
      <c r="BTY7" s="29"/>
      <c r="BTZ7" s="30"/>
      <c r="BUA7" s="28"/>
      <c r="BUB7" s="29"/>
      <c r="BUC7" s="29"/>
      <c r="BUD7" s="29"/>
      <c r="BUE7" s="28"/>
      <c r="BUF7" s="29"/>
      <c r="BUG7" s="29"/>
      <c r="BUH7" s="29"/>
      <c r="BUI7" s="29"/>
      <c r="BUJ7" s="29"/>
      <c r="BUK7" s="28"/>
      <c r="BUL7" s="29"/>
      <c r="BUM7" s="29"/>
      <c r="BUN7" s="28"/>
      <c r="BUO7" s="29"/>
      <c r="BUP7" s="30"/>
      <c r="BUQ7" s="28"/>
      <c r="BUR7" s="29"/>
      <c r="BUS7" s="29"/>
      <c r="BUT7" s="29"/>
      <c r="BUU7" s="28"/>
      <c r="BUV7" s="29"/>
      <c r="BUW7" s="29"/>
      <c r="BUX7" s="28"/>
      <c r="BUY7" s="29"/>
      <c r="BUZ7" s="30"/>
      <c r="BVA7" s="28"/>
      <c r="BVB7" s="29"/>
      <c r="BVC7" s="29"/>
      <c r="BVD7" s="29"/>
      <c r="BVE7" s="28"/>
      <c r="BVF7" s="29"/>
      <c r="BVG7" s="29"/>
      <c r="BVH7" s="29"/>
      <c r="BVI7" s="29"/>
      <c r="BVJ7" s="29"/>
      <c r="BVK7" s="28"/>
      <c r="BVL7" s="29"/>
      <c r="BVM7" s="29"/>
      <c r="BVN7" s="28"/>
      <c r="BVO7" s="29"/>
      <c r="BVP7" s="30"/>
      <c r="BVQ7" s="28"/>
      <c r="BVR7" s="29"/>
      <c r="BVS7" s="29"/>
      <c r="BVT7" s="29"/>
      <c r="BVU7" s="28"/>
      <c r="BVV7" s="29"/>
      <c r="BVW7" s="29"/>
      <c r="BVX7" s="28"/>
      <c r="BVY7" s="29"/>
      <c r="BVZ7" s="30"/>
      <c r="BWA7" s="28"/>
      <c r="BWB7" s="29"/>
      <c r="BWC7" s="29"/>
      <c r="BWD7" s="29"/>
      <c r="BWE7" s="28"/>
      <c r="BWF7" s="29"/>
      <c r="BWG7" s="29"/>
      <c r="BWH7" s="29"/>
      <c r="BWI7" s="29"/>
      <c r="BWJ7" s="29"/>
      <c r="BWK7" s="28"/>
      <c r="BWL7" s="29"/>
      <c r="BWM7" s="29"/>
      <c r="BWN7" s="28"/>
      <c r="BWO7" s="29"/>
      <c r="BWP7" s="30"/>
      <c r="BWQ7" s="28"/>
      <c r="BWR7" s="29"/>
      <c r="BWS7" s="29"/>
      <c r="BWT7" s="29"/>
      <c r="BWU7" s="28"/>
      <c r="BWV7" s="29"/>
      <c r="BWW7" s="29"/>
      <c r="BWX7" s="28"/>
      <c r="BWY7" s="29"/>
      <c r="BWZ7" s="30"/>
      <c r="BXA7" s="28"/>
      <c r="BXB7" s="29"/>
      <c r="BXC7" s="29"/>
      <c r="BXD7" s="29"/>
      <c r="BXE7" s="28"/>
      <c r="BXF7" s="29"/>
      <c r="BXG7" s="29"/>
      <c r="BXH7" s="29"/>
      <c r="BXI7" s="29"/>
      <c r="BXJ7" s="29"/>
      <c r="BXK7" s="28"/>
      <c r="BXL7" s="29"/>
      <c r="BXM7" s="29"/>
      <c r="BXN7" s="28"/>
      <c r="BXO7" s="29"/>
      <c r="BXP7" s="30"/>
      <c r="BXQ7" s="28"/>
      <c r="BXR7" s="29"/>
      <c r="BXS7" s="29"/>
      <c r="BXT7" s="29"/>
      <c r="BXU7" s="28"/>
      <c r="BXV7" s="29"/>
      <c r="BXW7" s="29"/>
      <c r="BXX7" s="28"/>
      <c r="BXY7" s="29"/>
      <c r="BXZ7" s="30"/>
      <c r="BYA7" s="28"/>
      <c r="BYB7" s="29"/>
      <c r="BYC7" s="29"/>
      <c r="BYD7" s="29"/>
      <c r="BYE7" s="28"/>
      <c r="BYF7" s="29"/>
      <c r="BYG7" s="29"/>
      <c r="BYH7" s="29"/>
      <c r="BYI7" s="29"/>
      <c r="BYJ7" s="29"/>
      <c r="BYK7" s="28"/>
      <c r="BYL7" s="29"/>
      <c r="BYM7" s="29"/>
      <c r="BYN7" s="28"/>
      <c r="BYO7" s="29"/>
      <c r="BYP7" s="30"/>
      <c r="BYQ7" s="28"/>
      <c r="BYR7" s="29"/>
      <c r="BYS7" s="29"/>
      <c r="BYT7" s="29"/>
      <c r="BYU7" s="28"/>
      <c r="BYV7" s="29"/>
      <c r="BYW7" s="29"/>
      <c r="BYX7" s="30"/>
      <c r="BYY7" s="29"/>
      <c r="BYZ7" s="28"/>
      <c r="BZA7" s="29"/>
      <c r="BZB7" s="28"/>
      <c r="BZC7" s="28"/>
      <c r="BZD7" s="28"/>
      <c r="BZE7" s="29"/>
      <c r="BZF7" s="388"/>
      <c r="BZG7" s="29"/>
      <c r="BZH7" s="388"/>
      <c r="BZI7" s="29"/>
      <c r="BZJ7" s="388"/>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30"/>
      <c r="CAQ7" s="28"/>
      <c r="CAR7" s="29"/>
      <c r="CAS7" s="29"/>
      <c r="CAT7" s="32"/>
      <c r="CAU7" s="32"/>
      <c r="CAV7" s="32"/>
      <c r="CAW7" s="31"/>
      <c r="CAX7" s="32"/>
      <c r="CAY7" s="32"/>
      <c r="CAZ7" s="28"/>
      <c r="CBA7" s="29"/>
      <c r="CBB7" s="30"/>
      <c r="CBC7" s="28"/>
      <c r="CBD7" s="29"/>
      <c r="CBE7" s="29"/>
      <c r="CBF7" s="32"/>
      <c r="CBG7" s="31"/>
      <c r="CBH7" s="32"/>
      <c r="CBI7" s="32"/>
      <c r="CBJ7" s="28"/>
      <c r="CBK7" s="29"/>
      <c r="CBL7" s="30"/>
      <c r="CBM7" s="28"/>
      <c r="CBN7" s="29"/>
      <c r="CBO7" s="29"/>
      <c r="CBP7" s="32"/>
      <c r="CBQ7" s="28"/>
      <c r="CBR7" s="29"/>
      <c r="CBS7" s="29"/>
      <c r="CBT7" s="28"/>
      <c r="CBU7" s="29"/>
      <c r="CBV7" s="30"/>
      <c r="CBW7" s="28"/>
      <c r="CBX7" s="29"/>
      <c r="CBY7" s="29"/>
      <c r="CBZ7" s="32"/>
      <c r="CCA7" s="28"/>
      <c r="CCB7" s="29"/>
      <c r="CCC7" s="29"/>
      <c r="CCD7" s="28"/>
      <c r="CCE7" s="29"/>
      <c r="CCF7" s="30"/>
      <c r="CCG7" s="28"/>
      <c r="CCH7" s="30"/>
      <c r="CCI7" s="29"/>
      <c r="CCJ7" s="28"/>
      <c r="CCK7" s="29"/>
      <c r="CCL7" s="28"/>
      <c r="CCM7" s="28"/>
      <c r="CCN7" s="28"/>
      <c r="CCO7" s="29"/>
      <c r="CCP7" s="388"/>
      <c r="CCQ7" s="29"/>
      <c r="CCR7" s="388"/>
      <c r="CCS7" s="29"/>
      <c r="CCT7" s="388"/>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30"/>
      <c r="CEA7" s="28"/>
      <c r="CEB7" s="29"/>
      <c r="CEC7" s="29"/>
      <c r="CED7" s="32"/>
      <c r="CEE7" s="32"/>
      <c r="CEF7" s="32"/>
      <c r="CEG7" s="31"/>
      <c r="CEH7" s="32"/>
      <c r="CEI7" s="32"/>
      <c r="CEJ7" s="28"/>
      <c r="CEK7" s="29"/>
      <c r="CEL7" s="30"/>
      <c r="CEM7" s="28"/>
      <c r="CEN7" s="29"/>
      <c r="CEO7" s="29"/>
      <c r="CEP7" s="32"/>
      <c r="CEQ7" s="31"/>
      <c r="CER7" s="32"/>
      <c r="CES7" s="32"/>
      <c r="CET7" s="28"/>
      <c r="CEU7" s="29"/>
      <c r="CEV7" s="30"/>
      <c r="CEW7" s="28"/>
      <c r="CEX7" s="29"/>
      <c r="CEY7" s="29"/>
      <c r="CEZ7" s="32"/>
      <c r="CFA7" s="28"/>
      <c r="CFB7" s="29"/>
      <c r="CFC7" s="29"/>
      <c r="CFD7" s="28"/>
      <c r="CFE7" s="29"/>
      <c r="CFF7" s="30"/>
      <c r="CFG7" s="28"/>
      <c r="CFH7" s="29"/>
      <c r="CFI7" s="29"/>
      <c r="CFJ7" s="32"/>
      <c r="CFK7" s="28"/>
      <c r="CFL7" s="29"/>
      <c r="CFM7" s="29"/>
      <c r="CFN7" s="28"/>
      <c r="CFO7" s="29"/>
      <c r="CFP7" s="30"/>
      <c r="CFQ7" s="28"/>
      <c r="CFR7" s="30"/>
      <c r="CFS7" s="29"/>
      <c r="CFT7" s="28"/>
      <c r="CFU7" s="29"/>
      <c r="CFV7" s="28"/>
      <c r="CFW7" s="28"/>
      <c r="CFX7" s="28"/>
      <c r="CFY7" s="29"/>
      <c r="CFZ7" s="388"/>
      <c r="CGA7" s="29"/>
      <c r="CGB7" s="388"/>
      <c r="CGC7" s="29"/>
      <c r="CGD7" s="388"/>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30"/>
      <c r="CHK7" s="28"/>
      <c r="CHL7" s="29"/>
      <c r="CHM7" s="29"/>
      <c r="CHN7" s="32"/>
      <c r="CHO7" s="32"/>
      <c r="CHP7" s="32"/>
      <c r="CHQ7" s="31"/>
      <c r="CHR7" s="32"/>
      <c r="CHS7" s="32"/>
      <c r="CHT7" s="28"/>
      <c r="CHU7" s="29"/>
      <c r="CHV7" s="30"/>
      <c r="CHW7" s="28"/>
      <c r="CHX7" s="29"/>
      <c r="CHY7" s="29"/>
      <c r="CHZ7" s="32"/>
      <c r="CIA7" s="31"/>
      <c r="CIB7" s="32"/>
      <c r="CIC7" s="32"/>
      <c r="CID7" s="28"/>
      <c r="CIE7" s="29"/>
      <c r="CIF7" s="30"/>
      <c r="CIG7" s="28"/>
      <c r="CIH7" s="29"/>
      <c r="CII7" s="29"/>
      <c r="CIJ7" s="32"/>
      <c r="CIK7" s="28"/>
      <c r="CIL7" s="29"/>
      <c r="CIM7" s="29"/>
      <c r="CIN7" s="28"/>
      <c r="CIO7" s="29"/>
      <c r="CIP7" s="30"/>
      <c r="CIQ7" s="28"/>
      <c r="CIR7" s="29"/>
      <c r="CIS7" s="29"/>
      <c r="CIT7" s="32"/>
      <c r="CIU7" s="28"/>
      <c r="CIV7" s="29"/>
      <c r="CIW7" s="29"/>
      <c r="CIX7" s="28"/>
      <c r="CIY7" s="29"/>
      <c r="CIZ7" s="30"/>
      <c r="CJA7" s="28"/>
      <c r="CJB7" s="30"/>
      <c r="CJC7" s="29"/>
      <c r="CJD7" s="28"/>
      <c r="CJE7" s="29"/>
      <c r="CJF7" s="28"/>
      <c r="CJG7" s="28"/>
      <c r="CJH7" s="28"/>
      <c r="CJI7" s="29"/>
      <c r="CJJ7" s="388"/>
      <c r="CJK7" s="29"/>
      <c r="CJL7" s="388"/>
      <c r="CJM7" s="29"/>
      <c r="CJN7" s="388"/>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30"/>
      <c r="CKU7" s="28"/>
      <c r="CKV7" s="29"/>
      <c r="CKW7" s="29"/>
      <c r="CKX7" s="32"/>
      <c r="CKY7" s="32"/>
      <c r="CKZ7" s="32"/>
      <c r="CLA7" s="31"/>
      <c r="CLB7" s="32"/>
      <c r="CLC7" s="32"/>
      <c r="CLD7" s="28"/>
      <c r="CLE7" s="29"/>
      <c r="CLF7" s="30"/>
      <c r="CLG7" s="28"/>
      <c r="CLH7" s="29"/>
      <c r="CLI7" s="29"/>
      <c r="CLJ7" s="32"/>
      <c r="CLK7" s="31"/>
      <c r="CLL7" s="32"/>
      <c r="CLM7" s="32"/>
      <c r="CLN7" s="28"/>
      <c r="CLO7" s="29"/>
      <c r="CLP7" s="30"/>
      <c r="CLQ7" s="28"/>
      <c r="CLR7" s="29"/>
      <c r="CLS7" s="29"/>
      <c r="CLT7" s="32"/>
      <c r="CLU7" s="28"/>
      <c r="CLV7" s="29"/>
      <c r="CLW7" s="29"/>
      <c r="CLX7" s="28"/>
      <c r="CLY7" s="29"/>
      <c r="CLZ7" s="30"/>
      <c r="CMA7" s="28"/>
      <c r="CMB7" s="29"/>
      <c r="CMC7" s="29"/>
      <c r="CMD7" s="32"/>
      <c r="CME7" s="28"/>
      <c r="CMF7" s="29"/>
      <c r="CMG7" s="29"/>
      <c r="CMH7" s="28"/>
      <c r="CMI7" s="29"/>
      <c r="CMJ7" s="30"/>
      <c r="CMK7" s="28"/>
      <c r="CML7" s="30"/>
      <c r="CMM7" s="29"/>
      <c r="CMN7" s="28"/>
      <c r="CMO7" s="29"/>
      <c r="CMP7" s="28"/>
      <c r="CMQ7" s="28"/>
      <c r="CMR7" s="28"/>
      <c r="CMS7" s="29"/>
      <c r="CMT7" s="388"/>
      <c r="CMU7" s="29"/>
      <c r="CMV7" s="388"/>
      <c r="CMW7" s="29"/>
      <c r="CMX7" s="388"/>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30"/>
      <c r="COE7" s="28"/>
      <c r="COF7" s="29"/>
      <c r="COG7" s="29"/>
      <c r="COH7" s="32"/>
      <c r="COI7" s="32"/>
      <c r="COJ7" s="32"/>
      <c r="COK7" s="31"/>
      <c r="COL7" s="32"/>
      <c r="COM7" s="32"/>
      <c r="CON7" s="28"/>
      <c r="COO7" s="29"/>
      <c r="COP7" s="30"/>
      <c r="COQ7" s="28"/>
      <c r="COR7" s="29"/>
      <c r="COS7" s="29"/>
      <c r="COT7" s="32"/>
      <c r="COU7" s="31"/>
      <c r="COV7" s="32"/>
      <c r="COW7" s="32"/>
      <c r="COX7" s="28"/>
      <c r="COY7" s="29"/>
      <c r="COZ7" s="30"/>
      <c r="CPA7" s="28"/>
      <c r="CPB7" s="29"/>
      <c r="CPC7" s="29"/>
      <c r="CPD7" s="32"/>
      <c r="CPE7" s="28"/>
      <c r="CPF7" s="29"/>
      <c r="CPG7" s="29"/>
      <c r="CPH7" s="28"/>
      <c r="CPI7" s="29"/>
      <c r="CPJ7" s="30"/>
      <c r="CPK7" s="28"/>
      <c r="CPL7" s="29"/>
      <c r="CPM7" s="29"/>
      <c r="CPN7" s="32"/>
      <c r="CPO7" s="28"/>
      <c r="CPP7" s="29"/>
      <c r="CPQ7" s="29"/>
      <c r="CPR7" s="28"/>
      <c r="CPS7" s="29"/>
      <c r="CPT7" s="30"/>
      <c r="CPU7" s="28"/>
      <c r="CPV7" s="30"/>
      <c r="CPW7" s="29"/>
      <c r="CPX7" s="28"/>
      <c r="CPY7" s="29"/>
      <c r="CPZ7" s="28"/>
      <c r="CQA7" s="28"/>
      <c r="CQB7" s="28"/>
      <c r="CQC7" s="29"/>
      <c r="CQD7" s="388"/>
      <c r="CQE7" s="29"/>
      <c r="CQF7" s="388"/>
      <c r="CQG7" s="29"/>
      <c r="CQH7" s="388"/>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30"/>
      <c r="CRO7" s="28"/>
      <c r="CRP7" s="29"/>
      <c r="CRQ7" s="29"/>
      <c r="CRR7" s="32"/>
      <c r="CRS7" s="32"/>
      <c r="CRT7" s="32"/>
      <c r="CRU7" s="31"/>
      <c r="CRV7" s="32"/>
      <c r="CRW7" s="32"/>
      <c r="CRX7" s="28"/>
      <c r="CRY7" s="29"/>
      <c r="CRZ7" s="30"/>
      <c r="CSA7" s="28"/>
      <c r="CSB7" s="29"/>
      <c r="CSC7" s="29"/>
      <c r="CSD7" s="32"/>
      <c r="CSE7" s="31"/>
      <c r="CSF7" s="32"/>
      <c r="CSG7" s="32"/>
      <c r="CSH7" s="28"/>
      <c r="CSI7" s="29"/>
      <c r="CSJ7" s="30"/>
      <c r="CSK7" s="28"/>
      <c r="CSL7" s="29"/>
      <c r="CSM7" s="29"/>
      <c r="CSN7" s="32"/>
      <c r="CSO7" s="28"/>
      <c r="CSP7" s="29"/>
      <c r="CSQ7" s="29"/>
      <c r="CSR7" s="28"/>
      <c r="CSS7" s="29"/>
      <c r="CST7" s="30"/>
      <c r="CSU7" s="28"/>
      <c r="CSV7" s="29"/>
      <c r="CSW7" s="29"/>
      <c r="CSX7" s="32"/>
      <c r="CSY7" s="28"/>
      <c r="CSZ7" s="29"/>
      <c r="CTA7" s="29"/>
      <c r="CTB7" s="28"/>
      <c r="CTC7" s="29"/>
      <c r="CTD7" s="30"/>
      <c r="CTE7" s="28"/>
      <c r="CTF7" s="30"/>
      <c r="CTG7" s="29"/>
      <c r="CTH7" s="28"/>
      <c r="CTI7" s="29"/>
      <c r="CTJ7" s="28"/>
      <c r="CTK7" s="28"/>
      <c r="CTL7" s="28"/>
      <c r="CTM7" s="29"/>
      <c r="CTN7" s="388"/>
      <c r="CTO7" s="29"/>
      <c r="CTP7" s="388"/>
      <c r="CTQ7" s="29"/>
      <c r="CTR7" s="388"/>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30"/>
      <c r="CUY7" s="28"/>
      <c r="CUZ7" s="29"/>
      <c r="CVA7" s="29"/>
      <c r="CVB7" s="32"/>
      <c r="CVC7" s="32"/>
      <c r="CVD7" s="32"/>
      <c r="CVE7" s="31"/>
      <c r="CVF7" s="32"/>
      <c r="CVG7" s="32"/>
      <c r="CVH7" s="28"/>
      <c r="CVI7" s="29"/>
      <c r="CVJ7" s="30"/>
      <c r="CVK7" s="28"/>
      <c r="CVL7" s="29"/>
      <c r="CVM7" s="29"/>
      <c r="CVN7" s="32"/>
      <c r="CVO7" s="31"/>
      <c r="CVP7" s="32"/>
      <c r="CVQ7" s="32"/>
      <c r="CVR7" s="28"/>
      <c r="CVS7" s="29"/>
      <c r="CVT7" s="30"/>
      <c r="CVU7" s="28"/>
      <c r="CVV7" s="29"/>
      <c r="CVW7" s="29"/>
      <c r="CVX7" s="32"/>
      <c r="CVY7" s="28"/>
      <c r="CVZ7" s="29"/>
      <c r="CWA7" s="29"/>
      <c r="CWB7" s="28"/>
      <c r="CWC7" s="29"/>
      <c r="CWD7" s="30"/>
      <c r="CWE7" s="28"/>
      <c r="CWF7" s="29"/>
      <c r="CWG7" s="29"/>
      <c r="CWH7" s="32"/>
      <c r="CWI7" s="28"/>
      <c r="CWJ7" s="29"/>
      <c r="CWK7" s="29"/>
      <c r="CWL7" s="28"/>
      <c r="CWM7" s="29"/>
      <c r="CWN7" s="30"/>
      <c r="CWO7" s="28"/>
      <c r="CWP7" s="30"/>
      <c r="CWQ7" s="29"/>
      <c r="CWR7" s="28"/>
      <c r="CWS7" s="29"/>
      <c r="CWT7" s="28"/>
      <c r="CWU7" s="28"/>
      <c r="CWV7" s="28"/>
      <c r="CWW7" s="29"/>
      <c r="CWX7" s="388"/>
      <c r="CWY7" s="29"/>
      <c r="CWZ7" s="388"/>
      <c r="CXA7" s="29"/>
      <c r="CXB7" s="388"/>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30"/>
      <c r="CYI7" s="28"/>
      <c r="CYJ7" s="29"/>
      <c r="CYK7" s="29"/>
      <c r="CYL7" s="32"/>
      <c r="CYM7" s="32"/>
      <c r="CYN7" s="32"/>
      <c r="CYO7" s="31"/>
      <c r="CYP7" s="32"/>
      <c r="CYQ7" s="32"/>
      <c r="CYR7" s="28"/>
      <c r="CYS7" s="29"/>
      <c r="CYT7" s="30"/>
      <c r="CYU7" s="28"/>
      <c r="CYV7" s="29"/>
      <c r="CYW7" s="29"/>
      <c r="CYX7" s="32"/>
      <c r="CYY7" s="31"/>
      <c r="CYZ7" s="32"/>
      <c r="CZA7" s="32"/>
      <c r="CZB7" s="28"/>
      <c r="CZC7" s="29"/>
      <c r="CZD7" s="30"/>
      <c r="CZE7" s="28"/>
      <c r="CZF7" s="29"/>
      <c r="CZG7" s="29"/>
      <c r="CZH7" s="32"/>
      <c r="CZI7" s="28"/>
      <c r="CZJ7" s="29"/>
      <c r="CZK7" s="29"/>
      <c r="CZL7" s="28"/>
      <c r="CZM7" s="29"/>
      <c r="CZN7" s="30"/>
      <c r="CZO7" s="28"/>
      <c r="CZP7" s="29"/>
      <c r="CZQ7" s="29"/>
      <c r="CZR7" s="32"/>
      <c r="CZS7" s="28"/>
      <c r="CZT7" s="29"/>
      <c r="CZU7" s="29"/>
      <c r="CZV7" s="28"/>
      <c r="CZW7" s="29"/>
      <c r="CZX7" s="30"/>
      <c r="CZY7" s="28"/>
      <c r="CZZ7" s="30"/>
      <c r="DAA7" s="29"/>
      <c r="DAB7" s="28"/>
      <c r="DAC7" s="29"/>
      <c r="DAD7" s="28"/>
      <c r="DAE7" s="28"/>
      <c r="DAF7" s="28"/>
      <c r="DAG7" s="29"/>
      <c r="DAH7" s="388"/>
      <c r="DAI7" s="29"/>
      <c r="DAJ7" s="388"/>
      <c r="DAK7" s="29"/>
      <c r="DAL7" s="388"/>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30"/>
      <c r="DBS7" s="28"/>
      <c r="DBT7" s="29"/>
      <c r="DBU7" s="29"/>
      <c r="DBV7" s="32"/>
      <c r="DBW7" s="32"/>
      <c r="DBX7" s="32"/>
      <c r="DBY7" s="31"/>
      <c r="DBZ7" s="32"/>
      <c r="DCA7" s="32"/>
      <c r="DCB7" s="28"/>
      <c r="DCC7" s="29"/>
      <c r="DCD7" s="30"/>
      <c r="DCE7" s="28"/>
      <c r="DCF7" s="29"/>
      <c r="DCG7" s="29"/>
      <c r="DCH7" s="32"/>
      <c r="DCI7" s="31"/>
      <c r="DCJ7" s="32"/>
      <c r="DCK7" s="32"/>
      <c r="DCL7" s="28"/>
      <c r="DCM7" s="29"/>
      <c r="DCN7" s="30"/>
      <c r="DCO7" s="28"/>
      <c r="DCP7" s="29"/>
      <c r="DCQ7" s="29"/>
      <c r="DCR7" s="32"/>
      <c r="DCS7" s="28"/>
      <c r="DCT7" s="29"/>
      <c r="DCU7" s="29"/>
      <c r="DCV7" s="28"/>
      <c r="DCW7" s="29"/>
      <c r="DCX7" s="30"/>
      <c r="DCY7" s="28"/>
      <c r="DCZ7" s="29"/>
      <c r="DDA7" s="29"/>
      <c r="DDB7" s="32"/>
      <c r="DDC7" s="28"/>
      <c r="DDD7" s="29"/>
      <c r="DDE7" s="29"/>
      <c r="DDF7" s="28"/>
      <c r="DDG7" s="29"/>
      <c r="DDH7" s="30"/>
      <c r="DDI7" s="28"/>
      <c r="DDJ7" s="30"/>
      <c r="DDK7" s="29"/>
      <c r="DDL7" s="28"/>
      <c r="DDM7" s="29"/>
      <c r="DDN7" s="28"/>
      <c r="DDO7" s="28"/>
      <c r="DDP7" s="28"/>
      <c r="DDQ7" s="29"/>
      <c r="DDR7" s="388"/>
      <c r="DDS7" s="29"/>
      <c r="DDT7" s="388"/>
      <c r="DDU7" s="29"/>
      <c r="DDV7" s="388"/>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30"/>
      <c r="DFC7" s="28"/>
      <c r="DFD7" s="29"/>
      <c r="DFE7" s="29"/>
      <c r="DFF7" s="32"/>
      <c r="DFG7" s="32"/>
      <c r="DFH7" s="32"/>
      <c r="DFI7" s="31"/>
      <c r="DFJ7" s="32"/>
      <c r="DFK7" s="32"/>
      <c r="DFL7" s="28"/>
      <c r="DFM7" s="29"/>
      <c r="DFN7" s="30"/>
      <c r="DFO7" s="28"/>
      <c r="DFP7" s="29"/>
      <c r="DFQ7" s="29"/>
      <c r="DFR7" s="32"/>
      <c r="DFS7" s="31"/>
      <c r="DFT7" s="32"/>
      <c r="DFU7" s="32"/>
      <c r="DFV7" s="28"/>
      <c r="DFW7" s="29"/>
      <c r="DFX7" s="30"/>
      <c r="DFY7" s="28"/>
      <c r="DFZ7" s="29"/>
      <c r="DGA7" s="29"/>
      <c r="DGB7" s="32"/>
      <c r="DGC7" s="28"/>
      <c r="DGD7" s="29"/>
      <c r="DGE7" s="29"/>
      <c r="DGF7" s="28"/>
      <c r="DGG7" s="29"/>
      <c r="DGH7" s="30"/>
      <c r="DGI7" s="28"/>
      <c r="DGJ7" s="29"/>
      <c r="DGK7" s="29"/>
      <c r="DGL7" s="32"/>
      <c r="DGM7" s="28"/>
      <c r="DGN7" s="29"/>
      <c r="DGO7" s="29"/>
      <c r="DGP7" s="28"/>
      <c r="DGQ7" s="29"/>
      <c r="DGR7" s="30"/>
      <c r="DGS7" s="28"/>
      <c r="DGT7" s="30"/>
      <c r="DGU7" s="29"/>
      <c r="DGV7" s="28"/>
      <c r="DGW7" s="29"/>
      <c r="DGX7" s="28"/>
      <c r="DGY7" s="28"/>
      <c r="DGZ7" s="28"/>
      <c r="DHA7" s="29"/>
      <c r="DHB7" s="388"/>
      <c r="DHC7" s="29"/>
      <c r="DHD7" s="388"/>
      <c r="DHE7" s="29"/>
      <c r="DHF7" s="388"/>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30"/>
      <c r="DIM7" s="28"/>
      <c r="DIN7" s="29"/>
      <c r="DIO7" s="29"/>
      <c r="DIP7" s="32"/>
      <c r="DIQ7" s="32"/>
      <c r="DIR7" s="32"/>
      <c r="DIS7" s="31"/>
      <c r="DIT7" s="32"/>
      <c r="DIU7" s="32"/>
      <c r="DIV7" s="28"/>
      <c r="DIW7" s="29"/>
      <c r="DIX7" s="30"/>
      <c r="DIY7" s="28"/>
      <c r="DIZ7" s="29"/>
      <c r="DJA7" s="29"/>
      <c r="DJB7" s="32"/>
      <c r="DJC7" s="31"/>
      <c r="DJD7" s="32"/>
      <c r="DJE7" s="32"/>
      <c r="DJF7" s="28"/>
      <c r="DJG7" s="29"/>
      <c r="DJH7" s="30"/>
      <c r="DJI7" s="28"/>
      <c r="DJJ7" s="29"/>
      <c r="DJK7" s="29"/>
      <c r="DJL7" s="32"/>
      <c r="DJM7" s="28"/>
      <c r="DJN7" s="29"/>
      <c r="DJO7" s="29"/>
      <c r="DJP7" s="28"/>
      <c r="DJQ7" s="29"/>
      <c r="DJR7" s="30"/>
      <c r="DJS7" s="28"/>
      <c r="DJT7" s="29"/>
      <c r="DJU7" s="29"/>
      <c r="DJV7" s="32"/>
      <c r="DJW7" s="28"/>
      <c r="DJX7" s="29"/>
      <c r="DJY7" s="29"/>
      <c r="DJZ7" s="28"/>
      <c r="DKA7" s="29"/>
      <c r="DKB7" s="30"/>
      <c r="DKC7" s="28"/>
      <c r="DKD7" s="30"/>
      <c r="DKE7" s="29"/>
      <c r="DKF7" s="28"/>
      <c r="DKG7" s="29"/>
      <c r="DKH7" s="28"/>
      <c r="DKI7" s="28"/>
      <c r="DKJ7" s="28"/>
      <c r="DKK7" s="29"/>
      <c r="DKL7" s="388"/>
      <c r="DKM7" s="29"/>
      <c r="DKN7" s="388"/>
      <c r="DKO7" s="29"/>
      <c r="DKP7" s="388"/>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30"/>
      <c r="DLW7" s="28"/>
      <c r="DLX7" s="29"/>
      <c r="DLY7" s="29"/>
      <c r="DLZ7" s="32"/>
      <c r="DMA7" s="32"/>
      <c r="DMB7" s="32"/>
      <c r="DMC7" s="31"/>
      <c r="DMD7" s="32"/>
      <c r="DME7" s="32"/>
      <c r="DMF7" s="28"/>
      <c r="DMG7" s="29"/>
      <c r="DMH7" s="30"/>
      <c r="DMI7" s="28"/>
      <c r="DMJ7" s="29"/>
      <c r="DMK7" s="29"/>
      <c r="DML7" s="32"/>
      <c r="DMM7" s="31"/>
      <c r="DMN7" s="32"/>
      <c r="DMO7" s="32"/>
      <c r="DMP7" s="28"/>
      <c r="DMQ7" s="29"/>
      <c r="DMR7" s="30"/>
      <c r="DMS7" s="28"/>
      <c r="DMT7" s="29"/>
      <c r="DMU7" s="29"/>
      <c r="DMV7" s="32"/>
      <c r="DMW7" s="28"/>
      <c r="DMX7" s="29"/>
      <c r="DMY7" s="29"/>
      <c r="DMZ7" s="28"/>
      <c r="DNA7" s="29"/>
      <c r="DNB7" s="30"/>
      <c r="DNC7" s="28"/>
      <c r="DND7" s="29"/>
      <c r="DNE7" s="29"/>
      <c r="DNF7" s="32"/>
      <c r="DNG7" s="28"/>
      <c r="DNH7" s="29"/>
      <c r="DNI7" s="29"/>
      <c r="DNJ7" s="28"/>
      <c r="DNK7" s="29"/>
      <c r="DNL7" s="30"/>
      <c r="DNM7" s="28"/>
      <c r="DNN7" s="30"/>
      <c r="DNO7" s="29"/>
      <c r="DNP7" s="28"/>
      <c r="DNQ7" s="29"/>
      <c r="DNR7" s="28"/>
      <c r="DNS7" s="28"/>
      <c r="DNT7" s="28"/>
      <c r="DNU7" s="29"/>
      <c r="DNV7" s="388"/>
      <c r="DNW7" s="29"/>
      <c r="DNX7" s="388"/>
      <c r="DNY7" s="29"/>
      <c r="DNZ7" s="388"/>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30"/>
      <c r="DPG7" s="28"/>
      <c r="DPH7" s="29"/>
      <c r="DPI7" s="29"/>
      <c r="DPJ7" s="32"/>
      <c r="DPK7" s="32"/>
      <c r="DPL7" s="32"/>
      <c r="DPM7" s="31"/>
      <c r="DPN7" s="32"/>
      <c r="DPO7" s="32"/>
      <c r="DPP7" s="28"/>
      <c r="DPQ7" s="29"/>
      <c r="DPR7" s="30"/>
      <c r="DPS7" s="28"/>
      <c r="DPT7" s="29"/>
      <c r="DPU7" s="29"/>
      <c r="DPV7" s="32"/>
      <c r="DPW7" s="31"/>
      <c r="DPX7" s="32"/>
      <c r="DPY7" s="32"/>
      <c r="DPZ7" s="28"/>
      <c r="DQA7" s="29"/>
      <c r="DQB7" s="30"/>
      <c r="DQC7" s="28"/>
      <c r="DQD7" s="29"/>
      <c r="DQE7" s="29"/>
      <c r="DQF7" s="32"/>
      <c r="DQG7" s="28"/>
      <c r="DQH7" s="29"/>
      <c r="DQI7" s="29"/>
      <c r="DQJ7" s="28"/>
      <c r="DQK7" s="29"/>
      <c r="DQL7" s="30"/>
      <c r="DQM7" s="28"/>
      <c r="DQN7" s="29"/>
      <c r="DQO7" s="29"/>
      <c r="DQP7" s="32"/>
      <c r="DQQ7" s="28"/>
      <c r="DQR7" s="29"/>
      <c r="DQS7" s="29"/>
      <c r="DQT7" s="28"/>
      <c r="DQU7" s="29"/>
      <c r="DQV7" s="30"/>
      <c r="DQW7" s="28"/>
      <c r="DQX7" s="30"/>
      <c r="DQY7" s="29"/>
      <c r="DQZ7" s="28"/>
      <c r="DRA7" s="29"/>
      <c r="DRB7" s="28"/>
      <c r="DRC7" s="28"/>
      <c r="DRD7" s="28"/>
      <c r="DRE7" s="29"/>
      <c r="DRF7" s="388"/>
      <c r="DRG7" s="29"/>
      <c r="DRH7" s="388"/>
      <c r="DRI7" s="29"/>
      <c r="DRJ7" s="388"/>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30"/>
      <c r="DSQ7" s="28"/>
      <c r="DSR7" s="29"/>
      <c r="DSS7" s="29"/>
      <c r="DST7" s="32"/>
      <c r="DSU7" s="32"/>
      <c r="DSV7" s="32"/>
      <c r="DSW7" s="31"/>
      <c r="DSX7" s="32"/>
      <c r="DSY7" s="32"/>
      <c r="DSZ7" s="28"/>
      <c r="DTA7" s="29"/>
      <c r="DTB7" s="30"/>
      <c r="DTC7" s="28"/>
      <c r="DTD7" s="29"/>
      <c r="DTE7" s="29"/>
      <c r="DTF7" s="32"/>
      <c r="DTG7" s="31"/>
      <c r="DTH7" s="32"/>
      <c r="DTI7" s="32"/>
      <c r="DTJ7" s="28"/>
      <c r="DTK7" s="29"/>
      <c r="DTL7" s="30"/>
      <c r="DTM7" s="28"/>
      <c r="DTN7" s="29"/>
      <c r="DTO7" s="29"/>
      <c r="DTP7" s="32"/>
      <c r="DTQ7" s="28"/>
      <c r="DTR7" s="29"/>
      <c r="DTS7" s="29"/>
      <c r="DTT7" s="28"/>
      <c r="DTU7" s="29"/>
      <c r="DTV7" s="30"/>
      <c r="DTW7" s="28"/>
      <c r="DTX7" s="29"/>
      <c r="DTY7" s="29"/>
      <c r="DTZ7" s="32"/>
      <c r="DUA7" s="28"/>
      <c r="DUB7" s="29"/>
      <c r="DUC7" s="29"/>
      <c r="DUD7" s="28"/>
      <c r="DUE7" s="29"/>
      <c r="DUF7" s="30"/>
      <c r="DUG7" s="28"/>
      <c r="DUH7" s="30"/>
      <c r="DUI7" s="29"/>
      <c r="DUJ7" s="28"/>
      <c r="DUK7" s="29"/>
      <c r="DUL7" s="28"/>
      <c r="DUM7" s="28"/>
      <c r="DUN7" s="28"/>
      <c r="DUO7" s="29"/>
      <c r="DUP7" s="388"/>
      <c r="DUQ7" s="29"/>
      <c r="DUR7" s="388"/>
      <c r="DUS7" s="29"/>
      <c r="DUT7" s="388"/>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30"/>
      <c r="DWA7" s="28"/>
      <c r="DWB7" s="29"/>
      <c r="DWC7" s="29"/>
      <c r="DWD7" s="32"/>
      <c r="DWE7" s="32"/>
      <c r="DWF7" s="32"/>
      <c r="DWG7" s="31"/>
      <c r="DWH7" s="32"/>
      <c r="DWI7" s="32"/>
      <c r="DWJ7" s="28"/>
      <c r="DWK7" s="29"/>
      <c r="DWL7" s="30"/>
      <c r="DWM7" s="28"/>
      <c r="DWN7" s="29"/>
      <c r="DWO7" s="29"/>
      <c r="DWP7" s="32"/>
      <c r="DWQ7" s="31"/>
      <c r="DWR7" s="32"/>
      <c r="DWS7" s="32"/>
      <c r="DWT7" s="28"/>
      <c r="DWU7" s="29"/>
      <c r="DWV7" s="30"/>
      <c r="DWW7" s="28"/>
      <c r="DWX7" s="29"/>
      <c r="DWY7" s="29"/>
      <c r="DWZ7" s="32"/>
      <c r="DXA7" s="28"/>
      <c r="DXB7" s="29"/>
      <c r="DXC7" s="29"/>
      <c r="DXD7" s="28"/>
      <c r="DXE7" s="29"/>
      <c r="DXF7" s="30"/>
      <c r="DXG7" s="28"/>
      <c r="DXH7" s="29"/>
      <c r="DXI7" s="29"/>
      <c r="DXJ7" s="32"/>
      <c r="DXK7" s="28"/>
      <c r="DXL7" s="29"/>
      <c r="DXM7" s="29"/>
      <c r="DXN7" s="28"/>
      <c r="DXO7" s="29"/>
      <c r="DXP7" s="30"/>
      <c r="DXQ7" s="28"/>
      <c r="DXR7" s="30"/>
      <c r="DXS7" s="29"/>
      <c r="DXT7" s="28"/>
      <c r="DXU7" s="29"/>
      <c r="DXV7" s="28"/>
      <c r="DXW7" s="28"/>
      <c r="DXX7" s="28"/>
      <c r="DXY7" s="29"/>
      <c r="DXZ7" s="388"/>
      <c r="DYA7" s="29"/>
      <c r="DYB7" s="388"/>
      <c r="DYC7" s="29"/>
      <c r="DYD7" s="388"/>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30"/>
      <c r="DZK7" s="28"/>
      <c r="DZL7" s="29"/>
      <c r="DZM7" s="29"/>
      <c r="DZN7" s="32"/>
      <c r="DZO7" s="32"/>
      <c r="DZP7" s="32"/>
      <c r="DZQ7" s="31"/>
      <c r="DZR7" s="32"/>
      <c r="DZS7" s="32"/>
      <c r="DZT7" s="28"/>
      <c r="DZU7" s="29"/>
      <c r="DZV7" s="30"/>
      <c r="DZW7" s="28"/>
      <c r="DZX7" s="29"/>
      <c r="DZY7" s="29"/>
      <c r="DZZ7" s="32"/>
      <c r="EAA7" s="31"/>
      <c r="EAB7" s="32"/>
      <c r="EAC7" s="32"/>
      <c r="EAD7" s="28"/>
      <c r="EAE7" s="29"/>
      <c r="EAF7" s="30"/>
      <c r="EAG7" s="28"/>
      <c r="EAH7" s="29"/>
      <c r="EAI7" s="29"/>
      <c r="EAJ7" s="32"/>
      <c r="EAK7" s="28"/>
      <c r="EAL7" s="29"/>
      <c r="EAM7" s="29"/>
      <c r="EAN7" s="28"/>
      <c r="EAO7" s="29"/>
      <c r="EAP7" s="30"/>
      <c r="EAQ7" s="28"/>
      <c r="EAR7" s="29"/>
      <c r="EAS7" s="29"/>
      <c r="EAT7" s="32"/>
      <c r="EAU7" s="28"/>
      <c r="EAV7" s="29"/>
      <c r="EAW7" s="29"/>
      <c r="EAX7" s="28"/>
      <c r="EAY7" s="29"/>
      <c r="EAZ7" s="30"/>
      <c r="EBA7" s="28"/>
      <c r="EBB7" s="30"/>
      <c r="EBC7" s="29"/>
      <c r="EBD7" s="28"/>
      <c r="EBE7" s="29"/>
      <c r="EBF7" s="28"/>
      <c r="EBG7" s="28"/>
      <c r="EBH7" s="28"/>
      <c r="EBI7" s="29"/>
      <c r="EBJ7" s="388"/>
      <c r="EBK7" s="29"/>
      <c r="EBL7" s="388"/>
      <c r="EBM7" s="29"/>
      <c r="EBN7" s="388"/>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30"/>
      <c r="ECU7" s="28"/>
      <c r="ECV7" s="29"/>
      <c r="ECW7" s="29"/>
      <c r="ECX7" s="32"/>
      <c r="ECY7" s="32"/>
      <c r="ECZ7" s="32"/>
      <c r="EDA7" s="31"/>
      <c r="EDB7" s="32"/>
      <c r="EDC7" s="32"/>
      <c r="EDD7" s="28"/>
      <c r="EDE7" s="29"/>
      <c r="EDF7" s="30"/>
      <c r="EDG7" s="28"/>
      <c r="EDH7" s="29"/>
      <c r="EDI7" s="29"/>
      <c r="EDJ7" s="32"/>
      <c r="EDK7" s="31"/>
      <c r="EDL7" s="32"/>
      <c r="EDM7" s="32"/>
      <c r="EDN7" s="28"/>
      <c r="EDO7" s="29"/>
      <c r="EDP7" s="30"/>
      <c r="EDQ7" s="28"/>
      <c r="EDR7" s="29"/>
      <c r="EDS7" s="29"/>
      <c r="EDT7" s="32"/>
      <c r="EDU7" s="28"/>
      <c r="EDV7" s="29"/>
      <c r="EDW7" s="29"/>
      <c r="EDX7" s="28"/>
      <c r="EDY7" s="29"/>
      <c r="EDZ7" s="30"/>
      <c r="EEA7" s="28"/>
      <c r="EEB7" s="29"/>
      <c r="EEC7" s="29"/>
      <c r="EED7" s="32"/>
      <c r="EEE7" s="28"/>
      <c r="EEF7" s="29"/>
      <c r="EEG7" s="29"/>
      <c r="EEH7" s="28"/>
      <c r="EEI7" s="29"/>
      <c r="EEJ7" s="30"/>
      <c r="EEK7" s="28"/>
      <c r="EEL7" s="30"/>
      <c r="EEM7" s="29"/>
      <c r="EEN7" s="28"/>
      <c r="EEO7" s="29"/>
      <c r="EEP7" s="28"/>
      <c r="EEQ7" s="28"/>
      <c r="EER7" s="28"/>
      <c r="EES7" s="29"/>
      <c r="EET7" s="388"/>
      <c r="EEU7" s="29"/>
      <c r="EEV7" s="388"/>
      <c r="EEW7" s="29"/>
      <c r="EEX7" s="388"/>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30"/>
      <c r="EGE7" s="28"/>
      <c r="EGF7" s="29"/>
      <c r="EGG7" s="29"/>
      <c r="EGH7" s="32"/>
      <c r="EGI7" s="32"/>
      <c r="EGJ7" s="32"/>
      <c r="EGK7" s="31"/>
      <c r="EGL7" s="32"/>
      <c r="EGM7" s="32"/>
      <c r="EGN7" s="28"/>
      <c r="EGO7" s="29"/>
      <c r="EGP7" s="30"/>
      <c r="EGQ7" s="28"/>
      <c r="EGR7" s="29"/>
      <c r="EGS7" s="29"/>
      <c r="EGT7" s="32"/>
      <c r="EGU7" s="31"/>
      <c r="EGV7" s="32"/>
      <c r="EGW7" s="32"/>
      <c r="EGX7" s="28"/>
      <c r="EGY7" s="29"/>
      <c r="EGZ7" s="30"/>
      <c r="EHA7" s="28"/>
      <c r="EHB7" s="29"/>
      <c r="EHC7" s="29"/>
      <c r="EHD7" s="32"/>
      <c r="EHE7" s="28"/>
      <c r="EHF7" s="29"/>
      <c r="EHG7" s="29"/>
      <c r="EHH7" s="28"/>
      <c r="EHI7" s="29"/>
      <c r="EHJ7" s="30"/>
      <c r="EHK7" s="28"/>
      <c r="EHL7" s="29"/>
      <c r="EHM7" s="29"/>
      <c r="EHN7" s="32"/>
      <c r="EHO7" s="28"/>
      <c r="EHP7" s="29"/>
      <c r="EHQ7" s="29"/>
      <c r="EHR7" s="28"/>
      <c r="EHS7" s="29"/>
      <c r="EHT7" s="30"/>
      <c r="EHU7" s="28"/>
      <c r="EHV7" s="30"/>
      <c r="EHW7" s="29"/>
      <c r="EHX7" s="28"/>
      <c r="EHY7" s="29"/>
      <c r="EHZ7" s="28"/>
      <c r="EIA7" s="28"/>
      <c r="EIB7" s="28"/>
      <c r="EIC7" s="29"/>
      <c r="EID7" s="388"/>
      <c r="EIE7" s="29"/>
      <c r="EIF7" s="388"/>
      <c r="EIG7" s="29"/>
      <c r="EIH7" s="388"/>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30"/>
      <c r="EJO7" s="28"/>
      <c r="EJP7" s="29"/>
      <c r="EJQ7" s="29"/>
      <c r="EJR7" s="32"/>
      <c r="EJS7" s="32"/>
      <c r="EJT7" s="32"/>
      <c r="EJU7" s="31"/>
      <c r="EJV7" s="32"/>
      <c r="EJW7" s="32"/>
      <c r="EJX7" s="28"/>
      <c r="EJY7" s="29"/>
      <c r="EJZ7" s="30"/>
      <c r="EKA7" s="28"/>
      <c r="EKB7" s="29"/>
      <c r="EKC7" s="29"/>
      <c r="EKD7" s="32"/>
      <c r="EKE7" s="31"/>
      <c r="EKF7" s="32"/>
      <c r="EKG7" s="32"/>
      <c r="EKH7" s="28"/>
      <c r="EKI7" s="29"/>
      <c r="EKJ7" s="30"/>
      <c r="EKK7" s="28"/>
      <c r="EKL7" s="29"/>
      <c r="EKM7" s="29"/>
      <c r="EKN7" s="32"/>
      <c r="EKO7" s="28"/>
      <c r="EKP7" s="29"/>
      <c r="EKQ7" s="29"/>
      <c r="EKR7" s="28"/>
      <c r="EKS7" s="29"/>
      <c r="EKT7" s="30"/>
      <c r="EKU7" s="28"/>
      <c r="EKV7" s="29"/>
      <c r="EKW7" s="29"/>
      <c r="EKX7" s="32"/>
      <c r="EKY7" s="28"/>
      <c r="EKZ7" s="29"/>
      <c r="ELA7" s="29"/>
      <c r="ELB7" s="28"/>
      <c r="ELC7" s="29"/>
      <c r="ELD7" s="30"/>
      <c r="ELE7" s="28"/>
      <c r="ELF7" s="30"/>
      <c r="ELG7" s="29"/>
      <c r="ELH7" s="28"/>
      <c r="ELI7" s="29"/>
      <c r="ELJ7" s="28"/>
      <c r="ELK7" s="28"/>
      <c r="ELL7" s="28"/>
      <c r="ELM7" s="29"/>
      <c r="ELN7" s="388"/>
      <c r="ELO7" s="29"/>
      <c r="ELP7" s="388"/>
      <c r="ELQ7" s="29"/>
      <c r="ELR7" s="388"/>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30"/>
      <c r="EMY7" s="28"/>
      <c r="EMZ7" s="29"/>
      <c r="ENA7" s="29"/>
      <c r="ENB7" s="32"/>
      <c r="ENC7" s="32"/>
      <c r="END7" s="32"/>
      <c r="ENE7" s="31"/>
      <c r="ENF7" s="32"/>
      <c r="ENG7" s="32"/>
      <c r="ENH7" s="28"/>
      <c r="ENI7" s="29"/>
      <c r="ENJ7" s="30"/>
      <c r="ENK7" s="28"/>
      <c r="ENL7" s="29"/>
      <c r="ENM7" s="29"/>
      <c r="ENN7" s="32"/>
      <c r="ENO7" s="31"/>
      <c r="ENP7" s="32"/>
      <c r="ENQ7" s="32"/>
      <c r="ENR7" s="28"/>
      <c r="ENS7" s="29"/>
      <c r="ENT7" s="30"/>
      <c r="ENU7" s="28"/>
      <c r="ENV7" s="29"/>
      <c r="ENW7" s="29"/>
      <c r="ENX7" s="32"/>
      <c r="ENY7" s="28"/>
      <c r="ENZ7" s="29"/>
      <c r="EOA7" s="29"/>
      <c r="EOB7" s="28"/>
      <c r="EOC7" s="29"/>
      <c r="EOD7" s="30"/>
      <c r="EOE7" s="28"/>
      <c r="EOF7" s="29"/>
      <c r="EOG7" s="29"/>
      <c r="EOH7" s="32"/>
      <c r="EOI7" s="28"/>
      <c r="EOJ7" s="29"/>
      <c r="EOK7" s="29"/>
      <c r="EOL7" s="28"/>
      <c r="EOM7" s="29"/>
      <c r="EON7" s="30" t="s">
        <v>5573</v>
      </c>
      <c r="EOO7" s="28" t="str">
        <f t="shared" si="75"/>
        <v xml:space="preserve"> </v>
      </c>
    </row>
    <row r="8" spans="1:3873" x14ac:dyDescent="0.3">
      <c r="A8" s="55" t="s">
        <v>122</v>
      </c>
      <c r="B8" s="58"/>
      <c r="C8" s="57"/>
      <c r="D8" s="56" t="str">
        <f t="shared" si="61"/>
        <v xml:space="preserve"> </v>
      </c>
      <c r="E8" s="57"/>
      <c r="F8" s="56"/>
      <c r="G8" s="56"/>
      <c r="H8" s="56"/>
      <c r="I8" s="57"/>
      <c r="J8" s="386"/>
      <c r="K8" s="57"/>
      <c r="L8" s="386"/>
      <c r="M8" s="57"/>
      <c r="N8" s="386"/>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8"/>
      <c r="AU8" s="56"/>
      <c r="AV8" s="57"/>
      <c r="AW8" s="57"/>
      <c r="AX8" s="57"/>
      <c r="AY8" s="57"/>
      <c r="AZ8" s="57"/>
      <c r="BA8" s="56"/>
      <c r="BB8" s="57"/>
      <c r="BC8" s="57"/>
      <c r="BD8" s="56"/>
      <c r="BE8" s="57"/>
      <c r="BF8" s="58"/>
      <c r="BG8" s="56"/>
      <c r="BH8" s="57"/>
      <c r="BI8" s="57"/>
      <c r="BJ8" s="57"/>
      <c r="BK8" s="56"/>
      <c r="BL8" s="57"/>
      <c r="BM8" s="57"/>
      <c r="BN8" s="56"/>
      <c r="BO8" s="57"/>
      <c r="BP8" s="58"/>
      <c r="BQ8" s="56"/>
      <c r="BR8" s="57"/>
      <c r="BS8" s="57"/>
      <c r="BT8" s="57"/>
      <c r="BU8" s="56"/>
      <c r="BV8" s="57"/>
      <c r="BW8" s="57"/>
      <c r="BX8" s="56"/>
      <c r="BY8" s="57"/>
      <c r="BZ8" s="58"/>
      <c r="CA8" s="56"/>
      <c r="CB8" s="57"/>
      <c r="CC8" s="57"/>
      <c r="CD8" s="57"/>
      <c r="CE8" s="56"/>
      <c r="CF8" s="57"/>
      <c r="CG8" s="57"/>
      <c r="CH8" s="56"/>
      <c r="CI8" s="57"/>
      <c r="CJ8" s="58"/>
      <c r="CK8" s="56"/>
      <c r="CL8" s="57"/>
      <c r="CM8" s="57"/>
      <c r="CN8" s="57"/>
      <c r="CO8" s="56"/>
      <c r="CP8" s="57"/>
      <c r="CQ8" s="57"/>
      <c r="CR8" s="56"/>
      <c r="CS8" s="57"/>
      <c r="CT8" s="58"/>
      <c r="CU8" s="56"/>
      <c r="CV8" s="57"/>
      <c r="CW8" s="57"/>
      <c r="CX8" s="57"/>
      <c r="CY8" s="56"/>
      <c r="CZ8" s="57"/>
      <c r="DA8" s="57"/>
      <c r="DB8" s="56"/>
      <c r="DC8" s="57"/>
      <c r="DD8" s="58"/>
      <c r="DE8" s="56"/>
      <c r="DF8" s="57"/>
      <c r="DG8" s="57"/>
      <c r="DH8" s="57"/>
      <c r="DI8" s="56"/>
      <c r="DJ8" s="57"/>
      <c r="DK8" s="57"/>
      <c r="DL8" s="56"/>
      <c r="DM8" s="57"/>
      <c r="DN8" s="58"/>
      <c r="DO8" s="56"/>
      <c r="DP8" s="57"/>
      <c r="DQ8" s="57"/>
      <c r="DR8" s="57"/>
      <c r="DS8" s="56"/>
      <c r="DT8" s="57"/>
      <c r="DU8" s="57"/>
      <c r="DV8" s="56"/>
      <c r="DW8" s="57"/>
      <c r="DX8" s="58"/>
      <c r="DY8" s="56"/>
      <c r="DZ8" s="57"/>
      <c r="EA8" s="57"/>
      <c r="EB8" s="57"/>
      <c r="EC8" s="56"/>
      <c r="ED8" s="57"/>
      <c r="EE8" s="56"/>
      <c r="EF8" s="56"/>
      <c r="EG8" s="57"/>
      <c r="EH8" s="58"/>
      <c r="EI8" s="56"/>
      <c r="EJ8" s="57"/>
      <c r="EK8" s="57"/>
      <c r="EL8" s="57"/>
      <c r="EM8" s="56"/>
      <c r="EN8" s="57"/>
      <c r="EO8" s="57"/>
      <c r="EP8" s="56"/>
      <c r="EQ8" s="57"/>
      <c r="ER8" s="58"/>
      <c r="ES8" s="56"/>
      <c r="ET8" s="57"/>
      <c r="EU8" s="57"/>
      <c r="EV8" s="57"/>
      <c r="EW8" s="56"/>
      <c r="EX8" s="57"/>
      <c r="EY8" s="57"/>
      <c r="EZ8" s="56"/>
      <c r="FA8" s="57"/>
      <c r="FB8" s="58"/>
      <c r="FC8" s="56"/>
      <c r="FD8" s="57"/>
      <c r="FE8" s="57"/>
      <c r="FF8" s="57"/>
      <c r="FG8" s="56"/>
      <c r="FH8" s="57"/>
      <c r="FI8" s="57"/>
      <c r="FJ8" s="56"/>
      <c r="FK8" s="57"/>
      <c r="FL8" s="58"/>
      <c r="FM8" s="56"/>
      <c r="FN8" s="57"/>
      <c r="FO8" s="57"/>
      <c r="FP8" s="57"/>
      <c r="FQ8" s="56"/>
      <c r="FR8" s="57"/>
      <c r="FS8" s="57"/>
      <c r="FT8" s="56"/>
      <c r="FU8" s="57"/>
      <c r="FV8" s="58"/>
      <c r="FW8" s="56"/>
      <c r="FX8" s="57"/>
      <c r="FY8" s="57"/>
      <c r="FZ8" s="57"/>
      <c r="GA8" s="56"/>
      <c r="GB8" s="57"/>
      <c r="GC8" s="57"/>
      <c r="GD8" s="56"/>
      <c r="GE8" s="57"/>
      <c r="GF8" s="58"/>
      <c r="GG8" s="56"/>
      <c r="GH8" s="57"/>
      <c r="GI8" s="57"/>
      <c r="GJ8" s="57"/>
      <c r="GK8" s="56"/>
      <c r="GL8" s="57"/>
      <c r="GM8" s="57"/>
      <c r="GN8" s="56"/>
      <c r="GO8" s="57"/>
      <c r="GP8" s="58"/>
      <c r="GQ8" s="56"/>
      <c r="GR8" s="57"/>
      <c r="GS8" s="57"/>
      <c r="GT8" s="57"/>
      <c r="GU8" s="56"/>
      <c r="GV8" s="57"/>
      <c r="GW8" s="57"/>
      <c r="GX8" s="56"/>
      <c r="GY8" s="57"/>
      <c r="GZ8" s="58"/>
      <c r="HA8" s="56"/>
      <c r="HB8" s="57"/>
      <c r="HC8" s="57"/>
      <c r="HD8" s="57"/>
      <c r="HE8" s="56"/>
      <c r="HF8" s="57"/>
      <c r="HG8" s="57"/>
      <c r="HH8" s="56"/>
      <c r="HI8" s="57"/>
      <c r="HJ8" s="58"/>
      <c r="HK8" s="56"/>
      <c r="HL8" s="57"/>
      <c r="HM8" s="57"/>
      <c r="HN8" s="57"/>
      <c r="HO8" s="56"/>
      <c r="HP8" s="57"/>
      <c r="HQ8" s="57"/>
      <c r="HR8" s="56"/>
      <c r="HS8" s="57"/>
      <c r="HT8" s="58"/>
      <c r="HU8" s="56"/>
      <c r="HV8" s="57"/>
      <c r="HW8" s="57"/>
      <c r="HX8" s="57"/>
      <c r="HY8" s="56"/>
      <c r="HZ8" s="57"/>
      <c r="IA8" s="57"/>
      <c r="IB8" s="56"/>
      <c r="IC8" s="57"/>
      <c r="ID8" s="58"/>
      <c r="IE8" s="56"/>
      <c r="IF8" s="57"/>
      <c r="IG8" s="57"/>
      <c r="IH8" s="57"/>
      <c r="II8" s="56"/>
      <c r="IJ8" s="57"/>
      <c r="IK8" s="57"/>
      <c r="IL8" s="56"/>
      <c r="IM8" s="57"/>
      <c r="IN8" s="58"/>
      <c r="IO8" s="56"/>
      <c r="IP8" s="57"/>
      <c r="IQ8" s="57"/>
      <c r="IR8" s="57"/>
      <c r="IS8" s="56"/>
      <c r="IT8" s="57"/>
      <c r="IU8" s="57"/>
      <c r="IV8" s="56"/>
      <c r="IW8" s="57"/>
      <c r="IX8" s="58"/>
      <c r="IY8" s="56"/>
      <c r="IZ8" s="57"/>
      <c r="JA8" s="57"/>
      <c r="JB8" s="57"/>
      <c r="JC8" s="56"/>
      <c r="JD8" s="57"/>
      <c r="JE8" s="57"/>
      <c r="JF8" s="56"/>
      <c r="JG8" s="57"/>
      <c r="JH8" s="58"/>
      <c r="JI8" s="56"/>
      <c r="JJ8" s="57"/>
      <c r="JK8" s="57"/>
      <c r="JL8" s="57"/>
      <c r="JM8" s="56"/>
      <c r="JN8" s="57"/>
      <c r="JO8" s="57"/>
      <c r="JP8" s="56"/>
      <c r="JQ8" s="57"/>
      <c r="JR8" s="58"/>
      <c r="JS8" s="56"/>
      <c r="JT8" s="57"/>
      <c r="JU8" s="57"/>
      <c r="JV8" s="57"/>
      <c r="JW8" s="56"/>
      <c r="JX8" s="57"/>
      <c r="JY8" s="57"/>
      <c r="JZ8" s="56"/>
      <c r="KA8" s="57"/>
      <c r="KB8" s="58"/>
      <c r="KC8" s="56"/>
      <c r="KD8" s="57"/>
      <c r="KE8" s="57"/>
      <c r="KF8" s="57"/>
      <c r="KG8" s="56"/>
      <c r="KH8" s="57"/>
      <c r="KI8" s="57"/>
      <c r="KJ8" s="56"/>
      <c r="KK8" s="57"/>
      <c r="KL8" s="58"/>
      <c r="KM8" s="56"/>
      <c r="KN8" s="57"/>
      <c r="KO8" s="57"/>
      <c r="KP8" s="57"/>
      <c r="KQ8" s="56"/>
      <c r="KR8" s="57"/>
      <c r="KS8" s="57"/>
      <c r="KT8" s="56"/>
      <c r="KU8" s="57"/>
      <c r="KV8" s="58"/>
      <c r="KW8" s="56"/>
      <c r="KX8" s="57"/>
      <c r="KY8" s="57"/>
      <c r="KZ8" s="57"/>
      <c r="LA8" s="56"/>
      <c r="LB8" s="57"/>
      <c r="LC8" s="57"/>
      <c r="LD8" s="56"/>
      <c r="LE8" s="57"/>
      <c r="LF8" s="58"/>
      <c r="LG8" s="56"/>
      <c r="LH8" s="57"/>
      <c r="LI8" s="57"/>
      <c r="LJ8" s="57"/>
      <c r="LK8" s="56"/>
      <c r="LL8" s="57"/>
      <c r="LM8" s="57"/>
      <c r="LN8" s="56"/>
      <c r="LO8" s="57"/>
      <c r="LP8" s="58"/>
      <c r="LQ8" s="56"/>
      <c r="LR8" s="57"/>
      <c r="LS8" s="57"/>
      <c r="LT8" s="57"/>
      <c r="LU8" s="56"/>
      <c r="LV8" s="57"/>
      <c r="LW8" s="57"/>
      <c r="LX8" s="56"/>
      <c r="LY8" s="57"/>
      <c r="LZ8" s="58"/>
      <c r="MA8" s="56"/>
      <c r="MB8" s="57"/>
      <c r="MC8" s="57"/>
      <c r="MD8" s="57"/>
      <c r="ME8" s="56"/>
      <c r="MF8" s="57"/>
      <c r="MG8" s="57"/>
      <c r="MH8" s="56"/>
      <c r="MI8" s="57"/>
      <c r="MJ8" s="58"/>
      <c r="MK8" s="56"/>
      <c r="ML8" s="57"/>
      <c r="MM8" s="57"/>
      <c r="MN8" s="57"/>
      <c r="MO8" s="56"/>
      <c r="MP8" s="57"/>
      <c r="MQ8" s="57"/>
      <c r="MR8" s="56"/>
      <c r="MS8" s="57"/>
      <c r="MT8" s="58"/>
      <c r="MU8" s="56"/>
      <c r="MV8" s="57"/>
      <c r="MW8" s="57"/>
      <c r="MX8" s="57"/>
      <c r="MY8" s="56"/>
      <c r="MZ8" s="57"/>
      <c r="NA8" s="57"/>
      <c r="NB8" s="56"/>
      <c r="NC8" s="57"/>
      <c r="ND8" s="58"/>
      <c r="NE8" s="56"/>
      <c r="NF8" s="57"/>
      <c r="NG8" s="57"/>
      <c r="NH8" s="57"/>
      <c r="NI8" s="56"/>
      <c r="NJ8" s="57"/>
      <c r="NK8" s="57"/>
      <c r="NL8" s="56"/>
      <c r="NM8" s="57"/>
      <c r="NN8" s="58"/>
      <c r="NO8" s="56"/>
      <c r="NP8" s="57"/>
      <c r="NQ8" s="57"/>
      <c r="NR8" s="57"/>
      <c r="NS8" s="56"/>
      <c r="NT8" s="57"/>
      <c r="NU8" s="57"/>
      <c r="NV8" s="56"/>
      <c r="NW8" s="57"/>
      <c r="NX8" s="58"/>
      <c r="NY8" s="56"/>
      <c r="NZ8" s="57"/>
      <c r="OA8" s="57"/>
      <c r="OB8" s="57"/>
      <c r="OC8" s="56"/>
      <c r="OD8" s="57"/>
      <c r="OE8" s="57"/>
      <c r="OF8" s="58"/>
      <c r="OG8" s="58"/>
      <c r="OH8" s="58"/>
      <c r="OI8" s="56"/>
      <c r="OJ8" s="58"/>
      <c r="OK8" s="58"/>
      <c r="OL8" s="58"/>
      <c r="OM8" s="58"/>
      <c r="ON8" s="58"/>
      <c r="OO8" s="58"/>
      <c r="OP8" s="56"/>
      <c r="OQ8" s="57"/>
      <c r="OR8" s="58"/>
      <c r="OS8" s="56"/>
      <c r="OT8" s="57"/>
      <c r="OU8" s="57"/>
      <c r="OV8" s="57"/>
      <c r="OW8" s="56"/>
      <c r="OX8" s="57"/>
      <c r="OY8" s="57"/>
      <c r="OZ8" s="56"/>
      <c r="PA8" s="57"/>
      <c r="PB8" s="58"/>
      <c r="PC8" s="56"/>
      <c r="PD8" s="57"/>
      <c r="PE8" s="57"/>
      <c r="PF8" s="57"/>
      <c r="PG8" s="56"/>
      <c r="PH8" s="57"/>
      <c r="PI8" s="57"/>
      <c r="PJ8" s="56"/>
      <c r="PK8" s="57"/>
      <c r="PL8" s="58"/>
      <c r="PM8" s="56"/>
      <c r="PN8" s="57"/>
      <c r="PO8" s="57"/>
      <c r="PP8" s="57"/>
      <c r="PQ8" s="56"/>
      <c r="PR8" s="57"/>
      <c r="PS8" s="57"/>
      <c r="PT8" s="56"/>
      <c r="PU8" s="57"/>
      <c r="PV8" s="58"/>
      <c r="PW8" s="56"/>
      <c r="PX8" s="57"/>
      <c r="PY8" s="57"/>
      <c r="PZ8" s="57"/>
      <c r="QA8" s="56"/>
      <c r="QB8" s="57"/>
      <c r="QC8" s="57"/>
      <c r="QD8" s="56"/>
      <c r="QE8" s="57"/>
      <c r="QF8" s="58"/>
      <c r="QG8" s="56"/>
      <c r="QH8" s="57"/>
      <c r="QI8" s="57"/>
      <c r="QJ8" s="57"/>
      <c r="QK8" s="56"/>
      <c r="QL8" s="57"/>
      <c r="QM8" s="57"/>
      <c r="QN8" s="56"/>
      <c r="QO8" s="57"/>
      <c r="QP8" s="58"/>
      <c r="QQ8" s="56"/>
      <c r="QR8" s="57"/>
      <c r="QS8" s="57"/>
      <c r="QT8" s="57"/>
      <c r="QU8" s="56"/>
      <c r="QV8" s="57"/>
      <c r="QW8" s="57"/>
      <c r="QX8" s="56"/>
      <c r="QY8" s="57"/>
      <c r="QZ8" s="58"/>
      <c r="RA8" s="56"/>
      <c r="RB8" s="57"/>
      <c r="RC8" s="57"/>
      <c r="RD8" s="57"/>
      <c r="RE8" s="56"/>
      <c r="RF8" s="57"/>
      <c r="RG8" s="57"/>
      <c r="RH8" s="56"/>
      <c r="RI8" s="57"/>
      <c r="RJ8" s="58"/>
      <c r="RK8" s="56"/>
      <c r="RL8" s="57"/>
      <c r="RM8" s="57"/>
      <c r="RN8" s="57"/>
      <c r="RO8" s="56"/>
      <c r="RP8" s="57"/>
      <c r="RQ8" s="57"/>
      <c r="RR8" s="56"/>
      <c r="RS8" s="57"/>
      <c r="RT8" s="58"/>
      <c r="RU8" s="56"/>
      <c r="RV8" s="57"/>
      <c r="RW8" s="57"/>
      <c r="RX8" s="57"/>
      <c r="RY8" s="56"/>
      <c r="RZ8" s="57"/>
      <c r="SA8" s="57"/>
      <c r="SB8" s="56"/>
      <c r="SC8" s="57"/>
      <c r="SD8" s="58"/>
      <c r="SE8" s="56"/>
      <c r="SF8" s="57"/>
      <c r="SG8" s="57"/>
      <c r="SH8" s="57"/>
      <c r="SI8" s="56"/>
      <c r="SJ8" s="57"/>
      <c r="SK8" s="57"/>
      <c r="SL8" s="56"/>
      <c r="SM8" s="57"/>
      <c r="SN8" s="58"/>
      <c r="SO8" s="56"/>
      <c r="SP8" s="57"/>
      <c r="SQ8" s="57"/>
      <c r="SR8" s="57"/>
      <c r="SS8" s="56"/>
      <c r="ST8" s="57"/>
      <c r="SU8" s="57"/>
      <c r="SV8" s="56"/>
      <c r="SW8" s="57"/>
      <c r="SX8" s="58"/>
      <c r="SY8" s="56"/>
      <c r="SZ8" s="57"/>
      <c r="TA8" s="57"/>
      <c r="TB8" s="57"/>
      <c r="TC8" s="56"/>
      <c r="TD8" s="57"/>
      <c r="TE8" s="57"/>
      <c r="TF8" s="56"/>
      <c r="TG8" s="57"/>
      <c r="TH8" s="58"/>
      <c r="TI8" s="56"/>
      <c r="TJ8" s="57"/>
      <c r="TK8" s="57"/>
      <c r="TL8" s="57"/>
      <c r="TM8" s="56"/>
      <c r="TN8" s="57"/>
      <c r="TO8" s="57"/>
      <c r="TP8" s="56"/>
      <c r="TQ8" s="57"/>
      <c r="TR8" s="58"/>
      <c r="TS8" s="56"/>
      <c r="TT8" s="57"/>
      <c r="TU8" s="57"/>
      <c r="TV8" s="57"/>
      <c r="TW8" s="56"/>
      <c r="TX8" s="57"/>
      <c r="TY8" s="57"/>
      <c r="TZ8" s="56"/>
      <c r="UA8" s="57"/>
      <c r="UB8" s="58"/>
      <c r="UC8" s="56"/>
      <c r="UD8" s="57"/>
      <c r="UE8" s="57"/>
      <c r="UF8" s="57"/>
      <c r="UG8" s="56"/>
      <c r="UH8" s="57"/>
      <c r="UI8" s="57"/>
      <c r="UJ8" s="56"/>
      <c r="UK8" s="57"/>
      <c r="UL8" s="58"/>
      <c r="UM8" s="56"/>
      <c r="UN8" s="57"/>
      <c r="UO8" s="57"/>
      <c r="UP8" s="57"/>
      <c r="UQ8" s="56"/>
      <c r="UR8" s="57"/>
      <c r="US8" s="57"/>
      <c r="UT8" s="56"/>
      <c r="UU8" s="57"/>
      <c r="UV8" s="58"/>
      <c r="UW8" s="56"/>
      <c r="UX8" s="57"/>
      <c r="UY8" s="57"/>
      <c r="UZ8" s="57"/>
      <c r="VA8" s="56"/>
      <c r="VB8" s="57"/>
      <c r="VC8" s="57"/>
      <c r="VD8" s="56"/>
      <c r="VE8" s="57"/>
      <c r="VF8" s="58"/>
      <c r="VG8" s="56"/>
      <c r="VH8" s="57"/>
      <c r="VI8" s="57"/>
      <c r="VJ8" s="57"/>
      <c r="VK8" s="56"/>
      <c r="VL8" s="57"/>
      <c r="VM8" s="57"/>
      <c r="VN8" s="56"/>
      <c r="VO8" s="57"/>
      <c r="VP8" s="58"/>
      <c r="VQ8" s="56"/>
      <c r="VR8" s="57"/>
      <c r="VS8" s="57"/>
      <c r="VT8" s="57"/>
      <c r="VU8" s="56"/>
      <c r="VV8" s="57"/>
      <c r="VW8" s="57"/>
      <c r="VX8" s="56"/>
      <c r="VY8" s="57"/>
      <c r="VZ8" s="58"/>
      <c r="WA8" s="56"/>
      <c r="WB8" s="57"/>
      <c r="WC8" s="57"/>
      <c r="WD8" s="57"/>
      <c r="WE8" s="56"/>
      <c r="WF8" s="57"/>
      <c r="WG8" s="57"/>
      <c r="WH8" s="56"/>
      <c r="WI8" s="57"/>
      <c r="WJ8" s="58"/>
      <c r="WK8" s="56"/>
      <c r="WL8" s="57"/>
      <c r="WM8" s="57"/>
      <c r="WN8" s="57"/>
      <c r="WO8" s="56"/>
      <c r="WP8" s="57"/>
      <c r="WQ8" s="57"/>
      <c r="WR8" s="56"/>
      <c r="WS8" s="57"/>
      <c r="WT8" s="58"/>
      <c r="WU8" s="56"/>
      <c r="WV8" s="57"/>
      <c r="WW8" s="57"/>
      <c r="WX8" s="57"/>
      <c r="WY8" s="56"/>
      <c r="WZ8" s="57"/>
      <c r="XA8" s="57"/>
      <c r="XB8" s="56"/>
      <c r="XC8" s="57"/>
      <c r="XD8" s="58"/>
      <c r="XE8" s="56"/>
      <c r="XF8" s="57"/>
      <c r="XG8" s="57"/>
      <c r="XH8" s="57"/>
      <c r="XI8" s="56"/>
      <c r="XJ8" s="57"/>
      <c r="XK8" s="57"/>
      <c r="XL8" s="56"/>
      <c r="XM8" s="57"/>
      <c r="XN8" s="58"/>
      <c r="XO8" s="56"/>
      <c r="XP8" s="57"/>
      <c r="XQ8" s="57"/>
      <c r="XR8" s="57"/>
      <c r="XS8" s="56"/>
      <c r="XT8" s="57"/>
      <c r="XU8" s="57"/>
      <c r="XV8" s="56"/>
      <c r="XW8" s="57"/>
      <c r="XX8" s="58"/>
      <c r="XY8" s="56"/>
      <c r="XZ8" s="57"/>
      <c r="YA8" s="57"/>
      <c r="YB8" s="57"/>
      <c r="YC8" s="56"/>
      <c r="YD8" s="57"/>
      <c r="YE8" s="57"/>
      <c r="YF8" s="56"/>
      <c r="YG8" s="57"/>
      <c r="YH8" s="58"/>
      <c r="YI8" s="56"/>
      <c r="YJ8" s="57"/>
      <c r="YK8" s="57"/>
      <c r="YL8" s="57"/>
      <c r="YM8" s="56"/>
      <c r="YN8" s="57"/>
      <c r="YO8" s="57"/>
      <c r="YP8" s="56"/>
      <c r="YQ8" s="57"/>
      <c r="YR8" s="58"/>
      <c r="YS8" s="56"/>
      <c r="YT8" s="57"/>
      <c r="YU8" s="57"/>
      <c r="YV8" s="57"/>
      <c r="YW8" s="56"/>
      <c r="YX8" s="57"/>
      <c r="YY8" s="57"/>
      <c r="YZ8" s="56"/>
      <c r="ZA8" s="57"/>
      <c r="ZB8" s="58"/>
      <c r="ZC8" s="56"/>
      <c r="ZD8" s="57"/>
      <c r="ZE8" s="57"/>
      <c r="ZF8" s="57"/>
      <c r="ZG8" s="56"/>
      <c r="ZH8" s="57"/>
      <c r="ZI8" s="57"/>
      <c r="ZJ8" s="56"/>
      <c r="ZK8" s="57"/>
      <c r="ZL8" s="58"/>
      <c r="ZM8" s="56"/>
      <c r="ZN8" s="57"/>
      <c r="ZO8" s="57"/>
      <c r="ZP8" s="57"/>
      <c r="ZQ8" s="56"/>
      <c r="ZR8" s="57"/>
      <c r="ZS8" s="57"/>
      <c r="ZT8" s="56"/>
      <c r="ZU8" s="57"/>
      <c r="ZV8" s="58"/>
      <c r="ZW8" s="56"/>
      <c r="ZX8" s="57"/>
      <c r="ZY8" s="57"/>
      <c r="ZZ8" s="57"/>
      <c r="AAA8" s="56"/>
      <c r="AAB8" s="57"/>
      <c r="AAC8" s="57"/>
      <c r="AAD8" s="56"/>
      <c r="AAE8" s="57"/>
      <c r="AAF8" s="58"/>
      <c r="AAG8" s="56"/>
      <c r="AAH8" s="57"/>
      <c r="AAI8" s="57"/>
      <c r="AAJ8" s="57"/>
      <c r="AAK8" s="56"/>
      <c r="AAL8" s="57"/>
      <c r="AAM8" s="57"/>
      <c r="AAN8" s="56"/>
      <c r="AAO8" s="57"/>
      <c r="AAP8" s="58"/>
      <c r="AAQ8" s="56"/>
      <c r="AAR8" s="57"/>
      <c r="AAS8" s="57"/>
      <c r="AAT8" s="57"/>
      <c r="AAU8" s="56"/>
      <c r="AAV8" s="57"/>
      <c r="AAW8" s="57"/>
      <c r="AAX8" s="58"/>
      <c r="AAY8" s="58"/>
      <c r="AAZ8" s="58"/>
      <c r="ABA8" s="56"/>
      <c r="ABB8" s="58"/>
      <c r="ABC8" s="58"/>
      <c r="ABD8" s="58"/>
      <c r="ABE8" s="58"/>
      <c r="ABF8" s="58"/>
      <c r="ABG8" s="57"/>
      <c r="ABH8" s="56"/>
      <c r="ABI8" s="57"/>
      <c r="ABJ8" s="58"/>
      <c r="ABK8" s="56"/>
      <c r="ABL8" s="57"/>
      <c r="ABM8" s="57"/>
      <c r="ABN8" s="57"/>
      <c r="ABO8" s="56"/>
      <c r="ABP8" s="57"/>
      <c r="ABQ8" s="57"/>
      <c r="ABR8" s="56"/>
      <c r="ABS8" s="57"/>
      <c r="ABT8" s="58"/>
      <c r="ABU8" s="56"/>
      <c r="ABV8" s="57"/>
      <c r="ABW8" s="57"/>
      <c r="ABX8" s="57"/>
      <c r="ABY8" s="56"/>
      <c r="ABZ8" s="57"/>
      <c r="ACA8" s="57"/>
      <c r="ACB8" s="56"/>
      <c r="ACC8" s="57"/>
      <c r="ACD8" s="58"/>
      <c r="ACE8" s="56"/>
      <c r="ACF8" s="57"/>
      <c r="ACG8" s="57"/>
      <c r="ACH8" s="57"/>
      <c r="ACI8" s="56"/>
      <c r="ACJ8" s="57"/>
      <c r="ACK8" s="57"/>
      <c r="ACL8" s="56"/>
      <c r="ACM8" s="57"/>
      <c r="ACN8" s="58"/>
      <c r="ACO8" s="56"/>
      <c r="ACP8" s="57"/>
      <c r="ACQ8" s="57"/>
      <c r="ACR8" s="57"/>
      <c r="ACS8" s="56"/>
      <c r="ACT8" s="57"/>
      <c r="ACU8" s="57"/>
      <c r="ACV8" s="56"/>
      <c r="ACW8" s="57"/>
      <c r="ACX8" s="58"/>
      <c r="ACY8" s="56"/>
      <c r="ACZ8" s="57"/>
      <c r="ADA8" s="57"/>
      <c r="ADB8" s="57"/>
      <c r="ADC8" s="56"/>
      <c r="ADD8" s="57"/>
      <c r="ADE8" s="57"/>
      <c r="ADF8" s="56"/>
      <c r="ADG8" s="57"/>
      <c r="ADH8" s="58"/>
      <c r="ADI8" s="56"/>
      <c r="ADJ8" s="57"/>
      <c r="ADK8" s="57"/>
      <c r="ADL8" s="57"/>
      <c r="ADM8" s="56"/>
      <c r="ADN8" s="57"/>
      <c r="ADO8" s="57"/>
      <c r="ADP8" s="56"/>
      <c r="ADQ8" s="57"/>
      <c r="ADR8" s="58"/>
      <c r="ADS8" s="56"/>
      <c r="ADT8" s="57"/>
      <c r="ADU8" s="57"/>
      <c r="ADV8" s="57"/>
      <c r="ADW8" s="56"/>
      <c r="ADX8" s="57"/>
      <c r="ADY8" s="57"/>
      <c r="ADZ8" s="56"/>
      <c r="AEA8" s="57"/>
      <c r="AEB8" s="58"/>
      <c r="AEC8" s="56"/>
      <c r="AED8" s="57"/>
      <c r="AEE8" s="57"/>
      <c r="AEF8" s="57"/>
      <c r="AEG8" s="56"/>
      <c r="AEH8" s="57"/>
      <c r="AEI8" s="57"/>
      <c r="AEJ8" s="56"/>
      <c r="AEK8" s="57"/>
      <c r="AEL8" s="58"/>
      <c r="AEM8" s="56"/>
      <c r="AEN8" s="57"/>
      <c r="AEO8" s="57"/>
      <c r="AEP8" s="57"/>
      <c r="AEQ8" s="56"/>
      <c r="AER8" s="57"/>
      <c r="AES8" s="57"/>
      <c r="AET8" s="56"/>
      <c r="AEU8" s="57"/>
      <c r="AEV8" s="58"/>
      <c r="AEW8" s="56"/>
      <c r="AEX8" s="57"/>
      <c r="AEY8" s="57"/>
      <c r="AEZ8" s="57"/>
      <c r="AFA8" s="56"/>
      <c r="AFB8" s="57"/>
      <c r="AFC8" s="57"/>
      <c r="AFD8" s="56"/>
      <c r="AFE8" s="57"/>
      <c r="AFF8" s="58"/>
      <c r="AFG8" s="56"/>
      <c r="AFH8" s="57"/>
      <c r="AFI8" s="57"/>
      <c r="AFJ8" s="57"/>
      <c r="AFK8" s="56"/>
      <c r="AFL8" s="57"/>
      <c r="AFM8" s="57"/>
      <c r="AFN8" s="56"/>
      <c r="AFO8" s="57"/>
      <c r="AFP8" s="58"/>
      <c r="AFQ8" s="56"/>
      <c r="AFR8" s="57"/>
      <c r="AFS8" s="57"/>
      <c r="AFT8" s="57"/>
      <c r="AFU8" s="56"/>
      <c r="AFV8" s="57"/>
      <c r="AFW8" s="57"/>
      <c r="AFX8" s="56"/>
      <c r="AFY8" s="57"/>
      <c r="AFZ8" s="58"/>
      <c r="AGA8" s="56"/>
      <c r="AGB8" s="57"/>
      <c r="AGC8" s="57"/>
      <c r="AGD8" s="57"/>
      <c r="AGE8" s="56"/>
      <c r="AGF8" s="57"/>
      <c r="AGG8" s="57"/>
      <c r="AGH8" s="56"/>
      <c r="AGI8" s="57"/>
      <c r="AGJ8" s="58"/>
      <c r="AGK8" s="56"/>
      <c r="AGL8" s="57"/>
      <c r="AGM8" s="57"/>
      <c r="AGN8" s="57"/>
      <c r="AGO8" s="56"/>
      <c r="AGP8" s="57"/>
      <c r="AGQ8" s="57"/>
      <c r="AGR8" s="56"/>
      <c r="AGS8" s="57"/>
      <c r="AGT8" s="58"/>
      <c r="AGU8" s="56"/>
      <c r="AGV8" s="57"/>
      <c r="AGW8" s="57"/>
      <c r="AGX8" s="57"/>
      <c r="AGY8" s="56"/>
      <c r="AGZ8" s="57"/>
      <c r="AHA8" s="57"/>
      <c r="AHB8" s="56"/>
      <c r="AHC8" s="57"/>
      <c r="AHD8" s="58"/>
      <c r="AHE8" s="56"/>
      <c r="AHF8" s="57"/>
      <c r="AHG8" s="57"/>
      <c r="AHH8" s="57"/>
      <c r="AHI8" s="56"/>
      <c r="AHJ8" s="57"/>
      <c r="AHK8" s="57"/>
      <c r="AHL8" s="56"/>
      <c r="AHM8" s="57"/>
      <c r="AHN8" s="58"/>
      <c r="AHO8" s="56"/>
      <c r="AHP8" s="57"/>
      <c r="AHQ8" s="57"/>
      <c r="AHR8" s="57"/>
      <c r="AHS8" s="56"/>
      <c r="AHT8" s="57"/>
      <c r="AHU8" s="57"/>
      <c r="AHV8" s="56"/>
      <c r="AHW8" s="57"/>
      <c r="AHX8" s="58"/>
      <c r="AHY8" s="56"/>
      <c r="AHZ8" s="57"/>
      <c r="AIA8" s="57"/>
      <c r="AIB8" s="57"/>
      <c r="AIC8" s="56"/>
      <c r="AID8" s="57"/>
      <c r="AIE8" s="57"/>
      <c r="AIF8" s="56"/>
      <c r="AIG8" s="57"/>
      <c r="AIH8" s="58"/>
      <c r="AII8" s="56"/>
      <c r="AIJ8" s="57"/>
      <c r="AIK8" s="57"/>
      <c r="AIL8" s="57"/>
      <c r="AIM8" s="56"/>
      <c r="AIN8" s="57"/>
      <c r="AIO8" s="57"/>
      <c r="AIP8" s="56"/>
      <c r="AIQ8" s="57"/>
      <c r="AIR8" s="58"/>
      <c r="AIS8" s="56"/>
      <c r="AIT8" s="57"/>
      <c r="AIU8" s="57"/>
      <c r="AIV8" s="57"/>
      <c r="AIW8" s="56"/>
      <c r="AIX8" s="57"/>
      <c r="AIY8" s="57"/>
      <c r="AIZ8" s="56"/>
      <c r="AJA8" s="57"/>
      <c r="AJB8" s="58"/>
      <c r="AJC8" s="56"/>
      <c r="AJD8" s="57"/>
      <c r="AJE8" s="57"/>
      <c r="AJF8" s="57"/>
      <c r="AJG8" s="56"/>
      <c r="AJH8" s="57"/>
      <c r="AJI8" s="57"/>
      <c r="AJJ8" s="56"/>
      <c r="AJK8" s="57"/>
      <c r="AJL8" s="58"/>
      <c r="AJM8" s="56"/>
      <c r="AJN8" s="57"/>
      <c r="AJO8" s="57"/>
      <c r="AJP8" s="57"/>
      <c r="AJQ8" s="56"/>
      <c r="AJR8" s="57"/>
      <c r="AJS8" s="57"/>
      <c r="AJT8" s="56"/>
      <c r="AJU8" s="57"/>
      <c r="AJV8" s="58"/>
      <c r="AJW8" s="56"/>
      <c r="AJX8" s="57"/>
      <c r="AJY8" s="57"/>
      <c r="AJZ8" s="57"/>
      <c r="AKA8" s="56"/>
      <c r="AKB8" s="57"/>
      <c r="AKC8" s="57"/>
      <c r="AKD8" s="56"/>
      <c r="AKE8" s="57"/>
      <c r="AKF8" s="58"/>
      <c r="AKG8" s="56"/>
      <c r="AKH8" s="57"/>
      <c r="AKI8" s="57"/>
      <c r="AKJ8" s="57"/>
      <c r="AKK8" s="56"/>
      <c r="AKL8" s="57"/>
      <c r="AKM8" s="57"/>
      <c r="AKN8" s="56"/>
      <c r="AKO8" s="57"/>
      <c r="AKP8" s="58"/>
      <c r="AKQ8" s="56"/>
      <c r="AKR8" s="57"/>
      <c r="AKS8" s="57"/>
      <c r="AKT8" s="57"/>
      <c r="AKU8" s="56"/>
      <c r="AKV8" s="57"/>
      <c r="AKW8" s="57"/>
      <c r="AKX8" s="56"/>
      <c r="AKY8" s="57"/>
      <c r="AKZ8" s="58"/>
      <c r="ALA8" s="56"/>
      <c r="ALB8" s="57"/>
      <c r="ALC8" s="57"/>
      <c r="ALD8" s="57"/>
      <c r="ALE8" s="56"/>
      <c r="ALF8" s="57"/>
      <c r="ALG8" s="57"/>
      <c r="ALH8" s="57"/>
      <c r="ALI8" s="57"/>
      <c r="ALJ8" s="57"/>
      <c r="ALK8" s="56"/>
      <c r="ALL8" s="57"/>
      <c r="ALM8" s="57"/>
      <c r="ALN8" s="56"/>
      <c r="ALO8" s="57"/>
      <c r="ALP8" s="58"/>
      <c r="ALQ8" s="56"/>
      <c r="ALR8" s="57"/>
      <c r="ALS8" s="57"/>
      <c r="ALT8" s="57"/>
      <c r="ALU8" s="56"/>
      <c r="ALV8" s="57"/>
      <c r="ALW8" s="57"/>
      <c r="ALX8" s="56"/>
      <c r="ALY8" s="57"/>
      <c r="ALZ8" s="58"/>
      <c r="AMA8" s="56"/>
      <c r="AMB8" s="57"/>
      <c r="AMC8" s="57"/>
      <c r="AMD8" s="57"/>
      <c r="AME8" s="56"/>
      <c r="AMF8" s="57"/>
      <c r="AMG8" s="57"/>
      <c r="AMH8" s="57"/>
      <c r="AMI8" s="57"/>
      <c r="AMJ8" s="57"/>
      <c r="AMK8" s="56"/>
      <c r="AML8" s="57"/>
      <c r="AMM8" s="57"/>
      <c r="AMN8" s="56"/>
      <c r="AMO8" s="57"/>
      <c r="AMP8" s="58"/>
      <c r="AMQ8" s="56"/>
      <c r="AMR8" s="57"/>
      <c r="AMS8" s="57"/>
      <c r="AMT8" s="57"/>
      <c r="AMU8" s="56"/>
      <c r="AMV8" s="57"/>
      <c r="AMW8" s="57"/>
      <c r="AMX8" s="56"/>
      <c r="AMY8" s="57"/>
      <c r="AMZ8" s="58"/>
      <c r="ANA8" s="56"/>
      <c r="ANB8" s="57"/>
      <c r="ANC8" s="57"/>
      <c r="AND8" s="57"/>
      <c r="ANE8" s="56"/>
      <c r="ANF8" s="57"/>
      <c r="ANG8" s="57"/>
      <c r="ANH8" s="57"/>
      <c r="ANI8" s="57"/>
      <c r="ANJ8" s="57"/>
      <c r="ANK8" s="56"/>
      <c r="ANL8" s="57"/>
      <c r="ANM8" s="57"/>
      <c r="ANN8" s="56"/>
      <c r="ANO8" s="57"/>
      <c r="ANP8" s="58"/>
      <c r="ANQ8" s="56"/>
      <c r="ANR8" s="57"/>
      <c r="ANS8" s="57"/>
      <c r="ANT8" s="57"/>
      <c r="ANU8" s="56"/>
      <c r="ANV8" s="57"/>
      <c r="ANW8" s="57"/>
      <c r="ANX8" s="56"/>
      <c r="ANY8" s="57"/>
      <c r="ANZ8" s="58"/>
      <c r="AOA8" s="56"/>
      <c r="AOB8" s="57"/>
      <c r="AOC8" s="57"/>
      <c r="AOD8" s="57"/>
      <c r="AOE8" s="56"/>
      <c r="AOF8" s="57"/>
      <c r="AOG8" s="57"/>
      <c r="AOH8" s="57"/>
      <c r="AOI8" s="57"/>
      <c r="AOJ8" s="57"/>
      <c r="AOK8" s="56"/>
      <c r="AOL8" s="57"/>
      <c r="AOM8" s="57"/>
      <c r="AON8" s="56"/>
      <c r="AOO8" s="57"/>
      <c r="AOP8" s="58"/>
      <c r="AOQ8" s="56"/>
      <c r="AOR8" s="57"/>
      <c r="AOS8" s="57"/>
      <c r="AOT8" s="57"/>
      <c r="AOU8" s="56"/>
      <c r="AOV8" s="57"/>
      <c r="AOW8" s="57"/>
      <c r="AOX8" s="56"/>
      <c r="AOY8" s="57"/>
      <c r="AOZ8" s="58"/>
      <c r="APA8" s="56"/>
      <c r="APB8" s="57"/>
      <c r="APC8" s="57"/>
      <c r="APD8" s="57"/>
      <c r="APE8" s="56"/>
      <c r="APF8" s="57"/>
      <c r="APG8" s="57"/>
      <c r="APH8" s="57"/>
      <c r="API8" s="57"/>
      <c r="APJ8" s="57"/>
      <c r="APK8" s="56"/>
      <c r="APL8" s="57"/>
      <c r="APM8" s="57"/>
      <c r="APN8" s="56"/>
      <c r="APO8" s="57"/>
      <c r="APP8" s="58"/>
      <c r="APQ8" s="56"/>
      <c r="APR8" s="57"/>
      <c r="APS8" s="57"/>
      <c r="APT8" s="57"/>
      <c r="APU8" s="56"/>
      <c r="APV8" s="57"/>
      <c r="APW8" s="57"/>
      <c r="APX8" s="56"/>
      <c r="APY8" s="57"/>
      <c r="APZ8" s="58"/>
      <c r="AQA8" s="56"/>
      <c r="AQB8" s="57"/>
      <c r="AQC8" s="57"/>
      <c r="AQD8" s="57"/>
      <c r="AQE8" s="56"/>
      <c r="AQF8" s="57"/>
      <c r="AQG8" s="57"/>
      <c r="AQH8" s="57"/>
      <c r="AQI8" s="57"/>
      <c r="AQJ8" s="57"/>
      <c r="AQK8" s="56"/>
      <c r="AQL8" s="57"/>
      <c r="AQM8" s="57"/>
      <c r="AQN8" s="56"/>
      <c r="AQO8" s="57"/>
      <c r="AQP8" s="58"/>
      <c r="AQQ8" s="56"/>
      <c r="AQR8" s="57"/>
      <c r="AQS8" s="57"/>
      <c r="AQT8" s="57"/>
      <c r="AQU8" s="56"/>
      <c r="AQV8" s="57"/>
      <c r="AQW8" s="57"/>
      <c r="AQX8" s="56"/>
      <c r="AQY8" s="57"/>
      <c r="AQZ8" s="58"/>
      <c r="ARA8" s="56"/>
      <c r="ARB8" s="57"/>
      <c r="ARC8" s="57"/>
      <c r="ARD8" s="57"/>
      <c r="ARE8" s="56"/>
      <c r="ARF8" s="57"/>
      <c r="ARG8" s="57"/>
      <c r="ARH8" s="57"/>
      <c r="ARI8" s="57"/>
      <c r="ARJ8" s="57"/>
      <c r="ARK8" s="56"/>
      <c r="ARL8" s="57"/>
      <c r="ARM8" s="57"/>
      <c r="ARN8" s="56"/>
      <c r="ARO8" s="57"/>
      <c r="ARP8" s="58"/>
      <c r="ARQ8" s="56"/>
      <c r="ARR8" s="57"/>
      <c r="ARS8" s="57"/>
      <c r="ART8" s="57"/>
      <c r="ARU8" s="56"/>
      <c r="ARV8" s="57"/>
      <c r="ARW8" s="57"/>
      <c r="ARX8" s="56"/>
      <c r="ARY8" s="57"/>
      <c r="ARZ8" s="58"/>
      <c r="ASA8" s="56"/>
      <c r="ASB8" s="57"/>
      <c r="ASC8" s="57"/>
      <c r="ASD8" s="57"/>
      <c r="ASE8" s="56"/>
      <c r="ASF8" s="57"/>
      <c r="ASG8" s="57"/>
      <c r="ASH8" s="57"/>
      <c r="ASI8" s="57"/>
      <c r="ASJ8" s="57"/>
      <c r="ASK8" s="56"/>
      <c r="ASL8" s="57"/>
      <c r="ASM8" s="57"/>
      <c r="ASN8" s="56"/>
      <c r="ASO8" s="57"/>
      <c r="ASP8" s="58"/>
      <c r="ASQ8" s="56"/>
      <c r="ASR8" s="57"/>
      <c r="ASS8" s="57"/>
      <c r="AST8" s="57"/>
      <c r="ASU8" s="56"/>
      <c r="ASV8" s="57"/>
      <c r="ASW8" s="57"/>
      <c r="ASX8" s="56"/>
      <c r="ASY8" s="57"/>
      <c r="ASZ8" s="58"/>
      <c r="ATA8" s="56"/>
      <c r="ATB8" s="57"/>
      <c r="ATC8" s="57"/>
      <c r="ATD8" s="57"/>
      <c r="ATE8" s="56"/>
      <c r="ATF8" s="57"/>
      <c r="ATG8" s="57"/>
      <c r="ATH8" s="57"/>
      <c r="ATI8" s="57"/>
      <c r="ATJ8" s="57"/>
      <c r="ATK8" s="56"/>
      <c r="ATL8" s="57"/>
      <c r="ATM8" s="57"/>
      <c r="ATN8" s="56"/>
      <c r="ATO8" s="57"/>
      <c r="ATP8" s="58"/>
      <c r="ATQ8" s="56"/>
      <c r="ATR8" s="57"/>
      <c r="ATS8" s="57"/>
      <c r="ATT8" s="57"/>
      <c r="ATU8" s="56"/>
      <c r="ATV8" s="57"/>
      <c r="ATW8" s="57"/>
      <c r="ATX8" s="56"/>
      <c r="ATY8" s="57"/>
      <c r="ATZ8" s="58"/>
      <c r="AUA8" s="56"/>
      <c r="AUB8" s="57"/>
      <c r="AUC8" s="57"/>
      <c r="AUD8" s="57"/>
      <c r="AUE8" s="56"/>
      <c r="AUF8" s="57"/>
      <c r="AUG8" s="57"/>
      <c r="AUH8" s="57"/>
      <c r="AUI8" s="57"/>
      <c r="AUJ8" s="57"/>
      <c r="AUK8" s="56"/>
      <c r="AUL8" s="57"/>
      <c r="AUM8" s="57"/>
      <c r="AUN8" s="56"/>
      <c r="AUO8" s="57"/>
      <c r="AUP8" s="58"/>
      <c r="AUQ8" s="56"/>
      <c r="AUR8" s="57"/>
      <c r="AUS8" s="57"/>
      <c r="AUT8" s="57"/>
      <c r="AUU8" s="56"/>
      <c r="AUV8" s="57"/>
      <c r="AUW8" s="57"/>
      <c r="AUX8" s="56"/>
      <c r="AUY8" s="57"/>
      <c r="AUZ8" s="58"/>
      <c r="AVA8" s="56"/>
      <c r="AVB8" s="57"/>
      <c r="AVC8" s="57"/>
      <c r="AVD8" s="57"/>
      <c r="AVE8" s="56"/>
      <c r="AVF8" s="57"/>
      <c r="AVG8" s="57"/>
      <c r="AVH8" s="57"/>
      <c r="AVI8" s="57"/>
      <c r="AVJ8" s="57"/>
      <c r="AVK8" s="56"/>
      <c r="AVL8" s="57"/>
      <c r="AVM8" s="57"/>
      <c r="AVN8" s="56"/>
      <c r="AVO8" s="57"/>
      <c r="AVP8" s="58"/>
      <c r="AVQ8" s="56"/>
      <c r="AVR8" s="57"/>
      <c r="AVS8" s="57"/>
      <c r="AVT8" s="57"/>
      <c r="AVU8" s="56"/>
      <c r="AVV8" s="57"/>
      <c r="AVW8" s="57"/>
      <c r="AVX8" s="56"/>
      <c r="AVY8" s="57"/>
      <c r="AVZ8" s="58"/>
      <c r="AWA8" s="56"/>
      <c r="AWB8" s="57"/>
      <c r="AWC8" s="57"/>
      <c r="AWD8" s="57"/>
      <c r="AWE8" s="56"/>
      <c r="AWF8" s="57"/>
      <c r="AWG8" s="57"/>
      <c r="AWH8" s="57"/>
      <c r="AWI8" s="57"/>
      <c r="AWJ8" s="57"/>
      <c r="AWK8" s="56"/>
      <c r="AWL8" s="57"/>
      <c r="AWM8" s="57"/>
      <c r="AWN8" s="56"/>
      <c r="AWO8" s="57"/>
      <c r="AWP8" s="58"/>
      <c r="AWQ8" s="56"/>
      <c r="AWR8" s="57"/>
      <c r="AWS8" s="57"/>
      <c r="AWT8" s="57"/>
      <c r="AWU8" s="56"/>
      <c r="AWV8" s="57"/>
      <c r="AWW8" s="57"/>
      <c r="AWX8" s="56"/>
      <c r="AWY8" s="57"/>
      <c r="AWZ8" s="58"/>
      <c r="AXA8" s="56"/>
      <c r="AXB8" s="57"/>
      <c r="AXC8" s="57"/>
      <c r="AXD8" s="57"/>
      <c r="AXE8" s="56"/>
      <c r="AXF8" s="57"/>
      <c r="AXG8" s="57"/>
      <c r="AXH8" s="57"/>
      <c r="AXI8" s="57"/>
      <c r="AXJ8" s="57"/>
      <c r="AXK8" s="56"/>
      <c r="AXL8" s="57"/>
      <c r="AXM8" s="57"/>
      <c r="AXN8" s="56"/>
      <c r="AXO8" s="57"/>
      <c r="AXP8" s="58"/>
      <c r="AXQ8" s="56"/>
      <c r="AXR8" s="57"/>
      <c r="AXS8" s="57"/>
      <c r="AXT8" s="57"/>
      <c r="AXU8" s="56"/>
      <c r="AXV8" s="57"/>
      <c r="AXW8" s="57"/>
      <c r="AXX8" s="56"/>
      <c r="AXY8" s="57"/>
      <c r="AXZ8" s="58"/>
      <c r="AYA8" s="56"/>
      <c r="AYB8" s="57"/>
      <c r="AYC8" s="57"/>
      <c r="AYD8" s="57"/>
      <c r="AYE8" s="56"/>
      <c r="AYF8" s="57"/>
      <c r="AYG8" s="57"/>
      <c r="AYH8" s="57"/>
      <c r="AYI8" s="57"/>
      <c r="AYJ8" s="57"/>
      <c r="AYK8" s="56"/>
      <c r="AYL8" s="57"/>
      <c r="AYM8" s="57"/>
      <c r="AYN8" s="56"/>
      <c r="AYO8" s="57"/>
      <c r="AYP8" s="58"/>
      <c r="AYQ8" s="56"/>
      <c r="AYR8" s="57"/>
      <c r="AYS8" s="57"/>
      <c r="AYT8" s="57"/>
      <c r="AYU8" s="56"/>
      <c r="AYV8" s="57"/>
      <c r="AYW8" s="57"/>
      <c r="AYX8" s="56"/>
      <c r="AYY8" s="57"/>
      <c r="AYZ8" s="58"/>
      <c r="AZA8" s="56"/>
      <c r="AZB8" s="57"/>
      <c r="AZC8" s="57"/>
      <c r="AZD8" s="57"/>
      <c r="AZE8" s="56"/>
      <c r="AZF8" s="57"/>
      <c r="AZG8" s="57"/>
      <c r="AZH8" s="57"/>
      <c r="AZI8" s="57"/>
      <c r="AZJ8" s="57"/>
      <c r="AZK8" s="56"/>
      <c r="AZL8" s="57"/>
      <c r="AZM8" s="57"/>
      <c r="AZN8" s="56"/>
      <c r="AZO8" s="57"/>
      <c r="AZP8" s="58"/>
      <c r="AZQ8" s="56"/>
      <c r="AZR8" s="57"/>
      <c r="AZS8" s="57"/>
      <c r="AZT8" s="57"/>
      <c r="AZU8" s="56"/>
      <c r="AZV8" s="57"/>
      <c r="AZW8" s="57"/>
      <c r="AZX8" s="56"/>
      <c r="AZY8" s="57"/>
      <c r="AZZ8" s="58"/>
      <c r="BAA8" s="56"/>
      <c r="BAB8" s="57"/>
      <c r="BAC8" s="57"/>
      <c r="BAD8" s="57"/>
      <c r="BAE8" s="56"/>
      <c r="BAF8" s="57"/>
      <c r="BAG8" s="57"/>
      <c r="BAH8" s="57"/>
      <c r="BAI8" s="57"/>
      <c r="BAJ8" s="57"/>
      <c r="BAK8" s="56"/>
      <c r="BAL8" s="57"/>
      <c r="BAM8" s="57"/>
      <c r="BAN8" s="56"/>
      <c r="BAO8" s="57"/>
      <c r="BAP8" s="58"/>
      <c r="BAQ8" s="56"/>
      <c r="BAR8" s="57"/>
      <c r="BAS8" s="57"/>
      <c r="BAT8" s="57"/>
      <c r="BAU8" s="56"/>
      <c r="BAV8" s="57"/>
      <c r="BAW8" s="57"/>
      <c r="BAX8" s="56"/>
      <c r="BAY8" s="57"/>
      <c r="BAZ8" s="58"/>
      <c r="BBA8" s="56"/>
      <c r="BBB8" s="57"/>
      <c r="BBC8" s="57"/>
      <c r="BBD8" s="57"/>
      <c r="BBE8" s="56"/>
      <c r="BBF8" s="57"/>
      <c r="BBG8" s="57"/>
      <c r="BBH8" s="57"/>
      <c r="BBI8" s="57"/>
      <c r="BBJ8" s="57"/>
      <c r="BBK8" s="56"/>
      <c r="BBL8" s="57"/>
      <c r="BBM8" s="57"/>
      <c r="BBN8" s="56"/>
      <c r="BBO8" s="57"/>
      <c r="BBP8" s="58"/>
      <c r="BBQ8" s="56"/>
      <c r="BBR8" s="57"/>
      <c r="BBS8" s="57"/>
      <c r="BBT8" s="57"/>
      <c r="BBU8" s="56"/>
      <c r="BBV8" s="57"/>
      <c r="BBW8" s="57"/>
      <c r="BBX8" s="56"/>
      <c r="BBY8" s="57"/>
      <c r="BBZ8" s="58"/>
      <c r="BCA8" s="56"/>
      <c r="BCB8" s="57"/>
      <c r="BCC8" s="57"/>
      <c r="BCD8" s="57"/>
      <c r="BCE8" s="56"/>
      <c r="BCF8" s="57"/>
      <c r="BCG8" s="57"/>
      <c r="BCH8" s="57"/>
      <c r="BCI8" s="57"/>
      <c r="BCJ8" s="57"/>
      <c r="BCK8" s="56"/>
      <c r="BCL8" s="57"/>
      <c r="BCM8" s="57"/>
      <c r="BCN8" s="56"/>
      <c r="BCO8" s="57"/>
      <c r="BCP8" s="58"/>
      <c r="BCQ8" s="56"/>
      <c r="BCR8" s="57"/>
      <c r="BCS8" s="57"/>
      <c r="BCT8" s="57"/>
      <c r="BCU8" s="56"/>
      <c r="BCV8" s="57"/>
      <c r="BCW8" s="57"/>
      <c r="BCX8" s="56"/>
      <c r="BCY8" s="57"/>
      <c r="BCZ8" s="58"/>
      <c r="BDA8" s="56"/>
      <c r="BDB8" s="57"/>
      <c r="BDC8" s="57"/>
      <c r="BDD8" s="57"/>
      <c r="BDE8" s="56"/>
      <c r="BDF8" s="57"/>
      <c r="BDG8" s="57"/>
      <c r="BDH8" s="57"/>
      <c r="BDI8" s="57"/>
      <c r="BDJ8" s="57"/>
      <c r="BDK8" s="56"/>
      <c r="BDL8" s="57"/>
      <c r="BDM8" s="57"/>
      <c r="BDN8" s="56"/>
      <c r="BDO8" s="57"/>
      <c r="BDP8" s="58"/>
      <c r="BDQ8" s="56"/>
      <c r="BDR8" s="57"/>
      <c r="BDS8" s="57"/>
      <c r="BDT8" s="57"/>
      <c r="BDU8" s="56"/>
      <c r="BDV8" s="57"/>
      <c r="BDW8" s="57"/>
      <c r="BDX8" s="56"/>
      <c r="BDY8" s="57"/>
      <c r="BDZ8" s="58"/>
      <c r="BEA8" s="56"/>
      <c r="BEB8" s="57"/>
      <c r="BEC8" s="57"/>
      <c r="BED8" s="57"/>
      <c r="BEE8" s="56"/>
      <c r="BEF8" s="57"/>
      <c r="BEG8" s="57"/>
      <c r="BEH8" s="57"/>
      <c r="BEI8" s="57"/>
      <c r="BEJ8" s="57"/>
      <c r="BEK8" s="56"/>
      <c r="BEL8" s="57"/>
      <c r="BEM8" s="57"/>
      <c r="BEN8" s="56"/>
      <c r="BEO8" s="57"/>
      <c r="BEP8" s="58"/>
      <c r="BEQ8" s="56"/>
      <c r="BER8" s="57"/>
      <c r="BES8" s="57"/>
      <c r="BET8" s="57"/>
      <c r="BEU8" s="56"/>
      <c r="BEV8" s="57"/>
      <c r="BEW8" s="57"/>
      <c r="BEX8" s="56"/>
      <c r="BEY8" s="57"/>
      <c r="BEZ8" s="58"/>
      <c r="BFA8" s="56"/>
      <c r="BFB8" s="57"/>
      <c r="BFC8" s="57"/>
      <c r="BFD8" s="57"/>
      <c r="BFE8" s="56"/>
      <c r="BFF8" s="57"/>
      <c r="BFG8" s="57"/>
      <c r="BFH8" s="57"/>
      <c r="BFI8" s="57"/>
      <c r="BFJ8" s="57"/>
      <c r="BFK8" s="56"/>
      <c r="BFL8" s="57"/>
      <c r="BFM8" s="57"/>
      <c r="BFN8" s="56"/>
      <c r="BFO8" s="57"/>
      <c r="BFP8" s="58"/>
      <c r="BFQ8" s="56"/>
      <c r="BFR8" s="57"/>
      <c r="BFS8" s="57"/>
      <c r="BFT8" s="57"/>
      <c r="BFU8" s="56"/>
      <c r="BFV8" s="57"/>
      <c r="BFW8" s="57"/>
      <c r="BFX8" s="56"/>
      <c r="BFY8" s="57"/>
      <c r="BFZ8" s="58"/>
      <c r="BGA8" s="56"/>
      <c r="BGB8" s="57"/>
      <c r="BGC8" s="57"/>
      <c r="BGD8" s="57"/>
      <c r="BGE8" s="56"/>
      <c r="BGF8" s="57"/>
      <c r="BGG8" s="57"/>
      <c r="BGH8" s="57"/>
      <c r="BGI8" s="57"/>
      <c r="BGJ8" s="57"/>
      <c r="BGK8" s="56"/>
      <c r="BGL8" s="57"/>
      <c r="BGM8" s="57"/>
      <c r="BGN8" s="56"/>
      <c r="BGO8" s="57"/>
      <c r="BGP8" s="58"/>
      <c r="BGQ8" s="56"/>
      <c r="BGR8" s="57"/>
      <c r="BGS8" s="57"/>
      <c r="BGT8" s="57"/>
      <c r="BGU8" s="56"/>
      <c r="BGV8" s="57"/>
      <c r="BGW8" s="57"/>
      <c r="BGX8" s="56"/>
      <c r="BGY8" s="57"/>
      <c r="BGZ8" s="58"/>
      <c r="BHA8" s="56"/>
      <c r="BHB8" s="57"/>
      <c r="BHC8" s="57"/>
      <c r="BHD8" s="57"/>
      <c r="BHE8" s="56"/>
      <c r="BHF8" s="57"/>
      <c r="BHG8" s="57"/>
      <c r="BHH8" s="57"/>
      <c r="BHI8" s="57"/>
      <c r="BHJ8" s="57"/>
      <c r="BHK8" s="56"/>
      <c r="BHL8" s="57"/>
      <c r="BHM8" s="57"/>
      <c r="BHN8" s="56"/>
      <c r="BHO8" s="57"/>
      <c r="BHP8" s="58"/>
      <c r="BHQ8" s="56"/>
      <c r="BHR8" s="57"/>
      <c r="BHS8" s="57"/>
      <c r="BHT8" s="57"/>
      <c r="BHU8" s="56"/>
      <c r="BHV8" s="57"/>
      <c r="BHW8" s="57"/>
      <c r="BHX8" s="56"/>
      <c r="BHY8" s="57"/>
      <c r="BHZ8" s="58"/>
      <c r="BIA8" s="56"/>
      <c r="BIB8" s="57"/>
      <c r="BIC8" s="57"/>
      <c r="BID8" s="57"/>
      <c r="BIE8" s="56"/>
      <c r="BIF8" s="57"/>
      <c r="BIG8" s="57"/>
      <c r="BIH8" s="57"/>
      <c r="BII8" s="57"/>
      <c r="BIJ8" s="57"/>
      <c r="BIK8" s="56"/>
      <c r="BIL8" s="57"/>
      <c r="BIM8" s="57"/>
      <c r="BIN8" s="56"/>
      <c r="BIO8" s="57"/>
      <c r="BIP8" s="58"/>
      <c r="BIQ8" s="56"/>
      <c r="BIR8" s="57"/>
      <c r="BIS8" s="57"/>
      <c r="BIT8" s="57"/>
      <c r="BIU8" s="56"/>
      <c r="BIV8" s="57"/>
      <c r="BIW8" s="57"/>
      <c r="BIX8" s="56"/>
      <c r="BIY8" s="57"/>
      <c r="BIZ8" s="58"/>
      <c r="BJA8" s="56"/>
      <c r="BJB8" s="57"/>
      <c r="BJC8" s="57"/>
      <c r="BJD8" s="57"/>
      <c r="BJE8" s="56"/>
      <c r="BJF8" s="57"/>
      <c r="BJG8" s="57"/>
      <c r="BJH8" s="57"/>
      <c r="BJI8" s="57"/>
      <c r="BJJ8" s="57"/>
      <c r="BJK8" s="56"/>
      <c r="BJL8" s="57"/>
      <c r="BJM8" s="57"/>
      <c r="BJN8" s="56"/>
      <c r="BJO8" s="57"/>
      <c r="BJP8" s="58"/>
      <c r="BJQ8" s="56"/>
      <c r="BJR8" s="57"/>
      <c r="BJS8" s="57"/>
      <c r="BJT8" s="57"/>
      <c r="BJU8" s="56"/>
      <c r="BJV8" s="57"/>
      <c r="BJW8" s="57"/>
      <c r="BJX8" s="56"/>
      <c r="BJY8" s="57"/>
      <c r="BJZ8" s="58"/>
      <c r="BKA8" s="56"/>
      <c r="BKB8" s="57"/>
      <c r="BKC8" s="57"/>
      <c r="BKD8" s="57"/>
      <c r="BKE8" s="56"/>
      <c r="BKF8" s="57"/>
      <c r="BKG8" s="57"/>
      <c r="BKH8" s="57"/>
      <c r="BKI8" s="57"/>
      <c r="BKJ8" s="57"/>
      <c r="BKK8" s="56"/>
      <c r="BKL8" s="57"/>
      <c r="BKM8" s="57"/>
      <c r="BKN8" s="56"/>
      <c r="BKO8" s="57"/>
      <c r="BKP8" s="58"/>
      <c r="BKQ8" s="56"/>
      <c r="BKR8" s="57"/>
      <c r="BKS8" s="57"/>
      <c r="BKT8" s="57"/>
      <c r="BKU8" s="56"/>
      <c r="BKV8" s="57"/>
      <c r="BKW8" s="57"/>
      <c r="BKX8" s="56"/>
      <c r="BKY8" s="57"/>
      <c r="BKZ8" s="58"/>
      <c r="BLA8" s="56"/>
      <c r="BLB8" s="57"/>
      <c r="BLC8" s="57"/>
      <c r="BLD8" s="57"/>
      <c r="BLE8" s="56"/>
      <c r="BLF8" s="57"/>
      <c r="BLG8" s="57"/>
      <c r="BLH8" s="57"/>
      <c r="BLI8" s="57"/>
      <c r="BLJ8" s="57"/>
      <c r="BLK8" s="56"/>
      <c r="BLL8" s="57"/>
      <c r="BLM8" s="57"/>
      <c r="BLN8" s="56"/>
      <c r="BLO8" s="57"/>
      <c r="BLP8" s="58"/>
      <c r="BLQ8" s="56"/>
      <c r="BLR8" s="57"/>
      <c r="BLS8" s="57"/>
      <c r="BLT8" s="57"/>
      <c r="BLU8" s="56"/>
      <c r="BLV8" s="57"/>
      <c r="BLW8" s="57"/>
      <c r="BLX8" s="56"/>
      <c r="BLY8" s="57"/>
      <c r="BLZ8" s="58"/>
      <c r="BMA8" s="56"/>
      <c r="BMB8" s="57"/>
      <c r="BMC8" s="57"/>
      <c r="BMD8" s="57"/>
      <c r="BME8" s="56"/>
      <c r="BMF8" s="57"/>
      <c r="BMG8" s="57"/>
      <c r="BMH8" s="57"/>
      <c r="BMI8" s="57"/>
      <c r="BMJ8" s="57"/>
      <c r="BMK8" s="56"/>
      <c r="BML8" s="57"/>
      <c r="BMM8" s="57"/>
      <c r="BMN8" s="56"/>
      <c r="BMO8" s="57"/>
      <c r="BMP8" s="58"/>
      <c r="BMQ8" s="56"/>
      <c r="BMR8" s="57"/>
      <c r="BMS8" s="57"/>
      <c r="BMT8" s="57"/>
      <c r="BMU8" s="56"/>
      <c r="BMV8" s="57"/>
      <c r="BMW8" s="57"/>
      <c r="BMX8" s="56"/>
      <c r="BMY8" s="57"/>
      <c r="BMZ8" s="58"/>
      <c r="BNA8" s="56"/>
      <c r="BNB8" s="57"/>
      <c r="BNC8" s="57"/>
      <c r="BND8" s="57"/>
      <c r="BNE8" s="56"/>
      <c r="BNF8" s="57"/>
      <c r="BNG8" s="57"/>
      <c r="BNH8" s="57"/>
      <c r="BNI8" s="57"/>
      <c r="BNJ8" s="57"/>
      <c r="BNK8" s="56"/>
      <c r="BNL8" s="57"/>
      <c r="BNM8" s="57"/>
      <c r="BNN8" s="56"/>
      <c r="BNO8" s="57"/>
      <c r="BNP8" s="58"/>
      <c r="BNQ8" s="56"/>
      <c r="BNR8" s="57"/>
      <c r="BNS8" s="57"/>
      <c r="BNT8" s="57"/>
      <c r="BNU8" s="56"/>
      <c r="BNV8" s="57"/>
      <c r="BNW8" s="57"/>
      <c r="BNX8" s="56"/>
      <c r="BNY8" s="57"/>
      <c r="BNZ8" s="58"/>
      <c r="BOA8" s="56"/>
      <c r="BOB8" s="57"/>
      <c r="BOC8" s="57"/>
      <c r="BOD8" s="57"/>
      <c r="BOE8" s="56"/>
      <c r="BOF8" s="57"/>
      <c r="BOG8" s="57"/>
      <c r="BOH8" s="57"/>
      <c r="BOI8" s="57"/>
      <c r="BOJ8" s="57"/>
      <c r="BOK8" s="56"/>
      <c r="BOL8" s="57"/>
      <c r="BOM8" s="57"/>
      <c r="BON8" s="56"/>
      <c r="BOO8" s="57"/>
      <c r="BOP8" s="58"/>
      <c r="BOQ8" s="56"/>
      <c r="BOR8" s="57"/>
      <c r="BOS8" s="57"/>
      <c r="BOT8" s="57"/>
      <c r="BOU8" s="56"/>
      <c r="BOV8" s="57"/>
      <c r="BOW8" s="57"/>
      <c r="BOX8" s="56"/>
      <c r="BOY8" s="57"/>
      <c r="BOZ8" s="58"/>
      <c r="BPA8" s="56"/>
      <c r="BPB8" s="57"/>
      <c r="BPC8" s="57"/>
      <c r="BPD8" s="57"/>
      <c r="BPE8" s="56"/>
      <c r="BPF8" s="57"/>
      <c r="BPG8" s="57"/>
      <c r="BPH8" s="57"/>
      <c r="BPI8" s="57"/>
      <c r="BPJ8" s="57"/>
      <c r="BPK8" s="56"/>
      <c r="BPL8" s="57"/>
      <c r="BPM8" s="57"/>
      <c r="BPN8" s="56"/>
      <c r="BPO8" s="57"/>
      <c r="BPP8" s="58"/>
      <c r="BPQ8" s="56"/>
      <c r="BPR8" s="57"/>
      <c r="BPS8" s="57"/>
      <c r="BPT8" s="57"/>
      <c r="BPU8" s="56"/>
      <c r="BPV8" s="57"/>
      <c r="BPW8" s="57"/>
      <c r="BPX8" s="56"/>
      <c r="BPY8" s="57"/>
      <c r="BPZ8" s="58"/>
      <c r="BQA8" s="56"/>
      <c r="BQB8" s="57"/>
      <c r="BQC8" s="57"/>
      <c r="BQD8" s="57"/>
      <c r="BQE8" s="56"/>
      <c r="BQF8" s="57"/>
      <c r="BQG8" s="57"/>
      <c r="BQH8" s="57"/>
      <c r="BQI8" s="57"/>
      <c r="BQJ8" s="57"/>
      <c r="BQK8" s="56"/>
      <c r="BQL8" s="57"/>
      <c r="BQM8" s="57"/>
      <c r="BQN8" s="56"/>
      <c r="BQO8" s="57"/>
      <c r="BQP8" s="58"/>
      <c r="BQQ8" s="56"/>
      <c r="BQR8" s="57"/>
      <c r="BQS8" s="57"/>
      <c r="BQT8" s="57"/>
      <c r="BQU8" s="56"/>
      <c r="BQV8" s="57"/>
      <c r="BQW8" s="57"/>
      <c r="BQX8" s="56"/>
      <c r="BQY8" s="57"/>
      <c r="BQZ8" s="58"/>
      <c r="BRA8" s="56"/>
      <c r="BRB8" s="57"/>
      <c r="BRC8" s="57"/>
      <c r="BRD8" s="57"/>
      <c r="BRE8" s="56"/>
      <c r="BRF8" s="57"/>
      <c r="BRG8" s="57"/>
      <c r="BRH8" s="57"/>
      <c r="BRI8" s="57"/>
      <c r="BRJ8" s="57"/>
      <c r="BRK8" s="56"/>
      <c r="BRL8" s="57"/>
      <c r="BRM8" s="57"/>
      <c r="BRN8" s="56"/>
      <c r="BRO8" s="57"/>
      <c r="BRP8" s="58"/>
      <c r="BRQ8" s="56"/>
      <c r="BRR8" s="57"/>
      <c r="BRS8" s="57"/>
      <c r="BRT8" s="57"/>
      <c r="BRU8" s="56"/>
      <c r="BRV8" s="57"/>
      <c r="BRW8" s="57"/>
      <c r="BRX8" s="56"/>
      <c r="BRY8" s="57"/>
      <c r="BRZ8" s="58"/>
      <c r="BSA8" s="56"/>
      <c r="BSB8" s="57"/>
      <c r="BSC8" s="57"/>
      <c r="BSD8" s="57"/>
      <c r="BSE8" s="56"/>
      <c r="BSF8" s="57"/>
      <c r="BSG8" s="57"/>
      <c r="BSH8" s="57"/>
      <c r="BSI8" s="57"/>
      <c r="BSJ8" s="57"/>
      <c r="BSK8" s="56"/>
      <c r="BSL8" s="57"/>
      <c r="BSM8" s="57"/>
      <c r="BSN8" s="56"/>
      <c r="BSO8" s="57"/>
      <c r="BSP8" s="58"/>
      <c r="BSQ8" s="56"/>
      <c r="BSR8" s="57"/>
      <c r="BSS8" s="57"/>
      <c r="BST8" s="57"/>
      <c r="BSU8" s="56"/>
      <c r="BSV8" s="57"/>
      <c r="BSW8" s="57"/>
      <c r="BSX8" s="56"/>
      <c r="BSY8" s="57"/>
      <c r="BSZ8" s="58"/>
      <c r="BTA8" s="56"/>
      <c r="BTB8" s="57"/>
      <c r="BTC8" s="57"/>
      <c r="BTD8" s="57"/>
      <c r="BTE8" s="56"/>
      <c r="BTF8" s="57"/>
      <c r="BTG8" s="57"/>
      <c r="BTH8" s="57"/>
      <c r="BTI8" s="57"/>
      <c r="BTJ8" s="57"/>
      <c r="BTK8" s="56"/>
      <c r="BTL8" s="57"/>
      <c r="BTM8" s="57"/>
      <c r="BTN8" s="56"/>
      <c r="BTO8" s="57"/>
      <c r="BTP8" s="58"/>
      <c r="BTQ8" s="56"/>
      <c r="BTR8" s="57"/>
      <c r="BTS8" s="57"/>
      <c r="BTT8" s="57"/>
      <c r="BTU8" s="56"/>
      <c r="BTV8" s="57"/>
      <c r="BTW8" s="57"/>
      <c r="BTX8" s="56"/>
      <c r="BTY8" s="57"/>
      <c r="BTZ8" s="58"/>
      <c r="BUA8" s="56"/>
      <c r="BUB8" s="57"/>
      <c r="BUC8" s="57"/>
      <c r="BUD8" s="57"/>
      <c r="BUE8" s="56"/>
      <c r="BUF8" s="57"/>
      <c r="BUG8" s="57"/>
      <c r="BUH8" s="57"/>
      <c r="BUI8" s="57"/>
      <c r="BUJ8" s="57"/>
      <c r="BUK8" s="56"/>
      <c r="BUL8" s="57"/>
      <c r="BUM8" s="57"/>
      <c r="BUN8" s="56"/>
      <c r="BUO8" s="57"/>
      <c r="BUP8" s="58"/>
      <c r="BUQ8" s="56"/>
      <c r="BUR8" s="57"/>
      <c r="BUS8" s="57"/>
      <c r="BUT8" s="57"/>
      <c r="BUU8" s="56"/>
      <c r="BUV8" s="57"/>
      <c r="BUW8" s="57"/>
      <c r="BUX8" s="56"/>
      <c r="BUY8" s="57"/>
      <c r="BUZ8" s="58"/>
      <c r="BVA8" s="56"/>
      <c r="BVB8" s="57"/>
      <c r="BVC8" s="57"/>
      <c r="BVD8" s="57"/>
      <c r="BVE8" s="56"/>
      <c r="BVF8" s="57"/>
      <c r="BVG8" s="57"/>
      <c r="BVH8" s="57"/>
      <c r="BVI8" s="57"/>
      <c r="BVJ8" s="57"/>
      <c r="BVK8" s="56"/>
      <c r="BVL8" s="57"/>
      <c r="BVM8" s="57"/>
      <c r="BVN8" s="56"/>
      <c r="BVO8" s="57"/>
      <c r="BVP8" s="58"/>
      <c r="BVQ8" s="56"/>
      <c r="BVR8" s="57"/>
      <c r="BVS8" s="57"/>
      <c r="BVT8" s="57"/>
      <c r="BVU8" s="56"/>
      <c r="BVV8" s="57"/>
      <c r="BVW8" s="57"/>
      <c r="BVX8" s="56"/>
      <c r="BVY8" s="57"/>
      <c r="BVZ8" s="58"/>
      <c r="BWA8" s="56"/>
      <c r="BWB8" s="57"/>
      <c r="BWC8" s="57"/>
      <c r="BWD8" s="57"/>
      <c r="BWE8" s="56"/>
      <c r="BWF8" s="57"/>
      <c r="BWG8" s="57"/>
      <c r="BWH8" s="57"/>
      <c r="BWI8" s="57"/>
      <c r="BWJ8" s="57"/>
      <c r="BWK8" s="56"/>
      <c r="BWL8" s="57"/>
      <c r="BWM8" s="57"/>
      <c r="BWN8" s="56"/>
      <c r="BWO8" s="57"/>
      <c r="BWP8" s="58"/>
      <c r="BWQ8" s="56"/>
      <c r="BWR8" s="57"/>
      <c r="BWS8" s="57"/>
      <c r="BWT8" s="57"/>
      <c r="BWU8" s="56"/>
      <c r="BWV8" s="57"/>
      <c r="BWW8" s="57"/>
      <c r="BWX8" s="56"/>
      <c r="BWY8" s="57"/>
      <c r="BWZ8" s="58"/>
      <c r="BXA8" s="56"/>
      <c r="BXB8" s="57"/>
      <c r="BXC8" s="57"/>
      <c r="BXD8" s="57"/>
      <c r="BXE8" s="56"/>
      <c r="BXF8" s="57"/>
      <c r="BXG8" s="57"/>
      <c r="BXH8" s="57"/>
      <c r="BXI8" s="57"/>
      <c r="BXJ8" s="57"/>
      <c r="BXK8" s="56"/>
      <c r="BXL8" s="57"/>
      <c r="BXM8" s="57"/>
      <c r="BXN8" s="56"/>
      <c r="BXO8" s="57"/>
      <c r="BXP8" s="58"/>
      <c r="BXQ8" s="56"/>
      <c r="BXR8" s="57"/>
      <c r="BXS8" s="57"/>
      <c r="BXT8" s="57"/>
      <c r="BXU8" s="56"/>
      <c r="BXV8" s="57"/>
      <c r="BXW8" s="57"/>
      <c r="BXX8" s="56"/>
      <c r="BXY8" s="57"/>
      <c r="BXZ8" s="58"/>
      <c r="BYA8" s="56"/>
      <c r="BYB8" s="57"/>
      <c r="BYC8" s="57"/>
      <c r="BYD8" s="57"/>
      <c r="BYE8" s="56"/>
      <c r="BYF8" s="57"/>
      <c r="BYG8" s="57"/>
      <c r="BYH8" s="57"/>
      <c r="BYI8" s="57"/>
      <c r="BYJ8" s="57"/>
      <c r="BYK8" s="56"/>
      <c r="BYL8" s="57"/>
      <c r="BYM8" s="57"/>
      <c r="BYN8" s="56"/>
      <c r="BYO8" s="57"/>
      <c r="BYP8" s="58"/>
      <c r="BYQ8" s="56"/>
      <c r="BYR8" s="57"/>
      <c r="BYS8" s="57"/>
      <c r="BYT8" s="57"/>
      <c r="BYU8" s="56"/>
      <c r="BYV8" s="57"/>
      <c r="BYW8" s="57"/>
      <c r="BYX8" s="58"/>
      <c r="BYY8" s="57"/>
      <c r="BYZ8" s="56"/>
      <c r="BZA8" s="57"/>
      <c r="BZB8" s="56"/>
      <c r="BZC8" s="56"/>
      <c r="BZD8" s="56"/>
      <c r="BZE8" s="57"/>
      <c r="BZF8" s="386"/>
      <c r="BZG8" s="57"/>
      <c r="BZH8" s="386"/>
      <c r="BZI8" s="57"/>
      <c r="BZJ8" s="386"/>
      <c r="BZK8" s="57"/>
      <c r="BZL8" s="57"/>
      <c r="BZM8" s="57"/>
      <c r="BZN8" s="57"/>
      <c r="BZO8" s="57"/>
      <c r="BZP8" s="57"/>
      <c r="BZQ8" s="57"/>
      <c r="BZR8" s="57"/>
      <c r="BZS8" s="57"/>
      <c r="BZT8" s="57"/>
      <c r="BZU8" s="57"/>
      <c r="BZV8" s="57"/>
      <c r="BZW8" s="57"/>
      <c r="BZX8" s="57"/>
      <c r="BZY8" s="57"/>
      <c r="BZZ8" s="57"/>
      <c r="CAA8" s="57"/>
      <c r="CAB8" s="57"/>
      <c r="CAC8" s="57"/>
      <c r="CAD8" s="57"/>
      <c r="CAE8" s="57"/>
      <c r="CAF8" s="57"/>
      <c r="CAG8" s="57"/>
      <c r="CAH8" s="57"/>
      <c r="CAI8" s="57"/>
      <c r="CAJ8" s="57"/>
      <c r="CAK8" s="57"/>
      <c r="CAL8" s="57"/>
      <c r="CAM8" s="57"/>
      <c r="CAN8" s="57"/>
      <c r="CAO8" s="57"/>
      <c r="CAP8" s="58"/>
      <c r="CAQ8" s="56"/>
      <c r="CAR8" s="57"/>
      <c r="CAS8" s="57"/>
      <c r="CAT8" s="57"/>
      <c r="CAU8" s="57"/>
      <c r="CAV8" s="57"/>
      <c r="CAW8" s="56"/>
      <c r="CAX8" s="57"/>
      <c r="CAY8" s="57"/>
      <c r="CAZ8" s="56"/>
      <c r="CBA8" s="57"/>
      <c r="CBB8" s="58"/>
      <c r="CBC8" s="56"/>
      <c r="CBD8" s="57"/>
      <c r="CBE8" s="57"/>
      <c r="CBF8" s="57"/>
      <c r="CBG8" s="56"/>
      <c r="CBH8" s="57"/>
      <c r="CBI8" s="57"/>
      <c r="CBJ8" s="56"/>
      <c r="CBK8" s="57"/>
      <c r="CBL8" s="58"/>
      <c r="CBM8" s="56"/>
      <c r="CBN8" s="57"/>
      <c r="CBO8" s="57"/>
      <c r="CBP8" s="57"/>
      <c r="CBQ8" s="56"/>
      <c r="CBR8" s="57"/>
      <c r="CBS8" s="57"/>
      <c r="CBT8" s="56"/>
      <c r="CBU8" s="57"/>
      <c r="CBV8" s="58"/>
      <c r="CBW8" s="56"/>
      <c r="CBX8" s="57"/>
      <c r="CBY8" s="57"/>
      <c r="CBZ8" s="57"/>
      <c r="CCA8" s="56"/>
      <c r="CCB8" s="57"/>
      <c r="CCC8" s="57"/>
      <c r="CCD8" s="56"/>
      <c r="CCE8" s="57"/>
      <c r="CCF8" s="58"/>
      <c r="CCG8" s="56"/>
      <c r="CCH8" s="58"/>
      <c r="CCI8" s="57"/>
      <c r="CCJ8" s="56"/>
      <c r="CCK8" s="57"/>
      <c r="CCL8" s="56"/>
      <c r="CCM8" s="56"/>
      <c r="CCN8" s="56"/>
      <c r="CCO8" s="57"/>
      <c r="CCP8" s="386"/>
      <c r="CCQ8" s="57"/>
      <c r="CCR8" s="386"/>
      <c r="CCS8" s="57"/>
      <c r="CCT8" s="386"/>
      <c r="CCU8" s="57"/>
      <c r="CCV8" s="57"/>
      <c r="CCW8" s="57"/>
      <c r="CCX8" s="57"/>
      <c r="CCY8" s="57"/>
      <c r="CCZ8" s="57"/>
      <c r="CDA8" s="57"/>
      <c r="CDB8" s="57"/>
      <c r="CDC8" s="57"/>
      <c r="CDD8" s="57"/>
      <c r="CDE8" s="57"/>
      <c r="CDF8" s="57"/>
      <c r="CDG8" s="57"/>
      <c r="CDH8" s="57"/>
      <c r="CDI8" s="57"/>
      <c r="CDJ8" s="57"/>
      <c r="CDK8" s="57"/>
      <c r="CDL8" s="57"/>
      <c r="CDM8" s="57"/>
      <c r="CDN8" s="57"/>
      <c r="CDO8" s="57"/>
      <c r="CDP8" s="57"/>
      <c r="CDQ8" s="57"/>
      <c r="CDR8" s="57"/>
      <c r="CDS8" s="57"/>
      <c r="CDT8" s="57"/>
      <c r="CDU8" s="57"/>
      <c r="CDV8" s="57"/>
      <c r="CDW8" s="57"/>
      <c r="CDX8" s="57"/>
      <c r="CDY8" s="57"/>
      <c r="CDZ8" s="58"/>
      <c r="CEA8" s="56"/>
      <c r="CEB8" s="57"/>
      <c r="CEC8" s="57"/>
      <c r="CED8" s="57"/>
      <c r="CEE8" s="57"/>
      <c r="CEF8" s="57"/>
      <c r="CEG8" s="56"/>
      <c r="CEH8" s="57"/>
      <c r="CEI8" s="57"/>
      <c r="CEJ8" s="56"/>
      <c r="CEK8" s="57"/>
      <c r="CEL8" s="58"/>
      <c r="CEM8" s="56"/>
      <c r="CEN8" s="57"/>
      <c r="CEO8" s="57"/>
      <c r="CEP8" s="57"/>
      <c r="CEQ8" s="56"/>
      <c r="CER8" s="57"/>
      <c r="CES8" s="57"/>
      <c r="CET8" s="56"/>
      <c r="CEU8" s="57"/>
      <c r="CEV8" s="58"/>
      <c r="CEW8" s="56"/>
      <c r="CEX8" s="57"/>
      <c r="CEY8" s="57"/>
      <c r="CEZ8" s="57"/>
      <c r="CFA8" s="56"/>
      <c r="CFB8" s="57"/>
      <c r="CFC8" s="57"/>
      <c r="CFD8" s="56"/>
      <c r="CFE8" s="57"/>
      <c r="CFF8" s="58"/>
      <c r="CFG8" s="56"/>
      <c r="CFH8" s="57"/>
      <c r="CFI8" s="57"/>
      <c r="CFJ8" s="57"/>
      <c r="CFK8" s="56"/>
      <c r="CFL8" s="57"/>
      <c r="CFM8" s="57"/>
      <c r="CFN8" s="56"/>
      <c r="CFO8" s="57"/>
      <c r="CFP8" s="58"/>
      <c r="CFQ8" s="56"/>
      <c r="CFR8" s="58"/>
      <c r="CFS8" s="57"/>
      <c r="CFT8" s="56"/>
      <c r="CFU8" s="57"/>
      <c r="CFV8" s="56"/>
      <c r="CFW8" s="56"/>
      <c r="CFX8" s="56"/>
      <c r="CFY8" s="57"/>
      <c r="CFZ8" s="386"/>
      <c r="CGA8" s="57"/>
      <c r="CGB8" s="386"/>
      <c r="CGC8" s="57"/>
      <c r="CGD8" s="386"/>
      <c r="CGE8" s="57"/>
      <c r="CGF8" s="57"/>
      <c r="CGG8" s="57"/>
      <c r="CGH8" s="57"/>
      <c r="CGI8" s="57"/>
      <c r="CGJ8" s="57"/>
      <c r="CGK8" s="57"/>
      <c r="CGL8" s="57"/>
      <c r="CGM8" s="57"/>
      <c r="CGN8" s="57"/>
      <c r="CGO8" s="57"/>
      <c r="CGP8" s="57"/>
      <c r="CGQ8" s="57"/>
      <c r="CGR8" s="57"/>
      <c r="CGS8" s="57"/>
      <c r="CGT8" s="57"/>
      <c r="CGU8" s="57"/>
      <c r="CGV8" s="57"/>
      <c r="CGW8" s="57"/>
      <c r="CGX8" s="57"/>
      <c r="CGY8" s="57"/>
      <c r="CGZ8" s="57"/>
      <c r="CHA8" s="57"/>
      <c r="CHB8" s="57"/>
      <c r="CHC8" s="57"/>
      <c r="CHD8" s="57"/>
      <c r="CHE8" s="57"/>
      <c r="CHF8" s="57"/>
      <c r="CHG8" s="57"/>
      <c r="CHH8" s="57"/>
      <c r="CHI8" s="57"/>
      <c r="CHJ8" s="58"/>
      <c r="CHK8" s="56"/>
      <c r="CHL8" s="57"/>
      <c r="CHM8" s="57"/>
      <c r="CHN8" s="57"/>
      <c r="CHO8" s="57"/>
      <c r="CHP8" s="57"/>
      <c r="CHQ8" s="56"/>
      <c r="CHR8" s="57"/>
      <c r="CHS8" s="57"/>
      <c r="CHT8" s="56"/>
      <c r="CHU8" s="57"/>
      <c r="CHV8" s="58"/>
      <c r="CHW8" s="56"/>
      <c r="CHX8" s="57"/>
      <c r="CHY8" s="57"/>
      <c r="CHZ8" s="57"/>
      <c r="CIA8" s="56"/>
      <c r="CIB8" s="57"/>
      <c r="CIC8" s="57"/>
      <c r="CID8" s="56"/>
      <c r="CIE8" s="57"/>
      <c r="CIF8" s="58"/>
      <c r="CIG8" s="56"/>
      <c r="CIH8" s="57"/>
      <c r="CII8" s="57"/>
      <c r="CIJ8" s="57"/>
      <c r="CIK8" s="56"/>
      <c r="CIL8" s="57"/>
      <c r="CIM8" s="57"/>
      <c r="CIN8" s="56"/>
      <c r="CIO8" s="57"/>
      <c r="CIP8" s="58"/>
      <c r="CIQ8" s="56"/>
      <c r="CIR8" s="57"/>
      <c r="CIS8" s="57"/>
      <c r="CIT8" s="57"/>
      <c r="CIU8" s="56"/>
      <c r="CIV8" s="57"/>
      <c r="CIW8" s="57"/>
      <c r="CIX8" s="56"/>
      <c r="CIY8" s="57"/>
      <c r="CIZ8" s="58"/>
      <c r="CJA8" s="56"/>
      <c r="CJB8" s="58"/>
      <c r="CJC8" s="57"/>
      <c r="CJD8" s="56"/>
      <c r="CJE8" s="57"/>
      <c r="CJF8" s="56"/>
      <c r="CJG8" s="56"/>
      <c r="CJH8" s="56"/>
      <c r="CJI8" s="57"/>
      <c r="CJJ8" s="386"/>
      <c r="CJK8" s="57"/>
      <c r="CJL8" s="386"/>
      <c r="CJM8" s="57"/>
      <c r="CJN8" s="386"/>
      <c r="CJO8" s="57"/>
      <c r="CJP8" s="57"/>
      <c r="CJQ8" s="57"/>
      <c r="CJR8" s="57"/>
      <c r="CJS8" s="57"/>
      <c r="CJT8" s="57"/>
      <c r="CJU8" s="57"/>
      <c r="CJV8" s="57"/>
      <c r="CJW8" s="57"/>
      <c r="CJX8" s="57"/>
      <c r="CJY8" s="57"/>
      <c r="CJZ8" s="57"/>
      <c r="CKA8" s="57"/>
      <c r="CKB8" s="57"/>
      <c r="CKC8" s="57"/>
      <c r="CKD8" s="57"/>
      <c r="CKE8" s="57"/>
      <c r="CKF8" s="57"/>
      <c r="CKG8" s="57"/>
      <c r="CKH8" s="57"/>
      <c r="CKI8" s="57"/>
      <c r="CKJ8" s="57"/>
      <c r="CKK8" s="57"/>
      <c r="CKL8" s="57"/>
      <c r="CKM8" s="57"/>
      <c r="CKN8" s="57"/>
      <c r="CKO8" s="57"/>
      <c r="CKP8" s="57"/>
      <c r="CKQ8" s="57"/>
      <c r="CKR8" s="57"/>
      <c r="CKS8" s="57"/>
      <c r="CKT8" s="58"/>
      <c r="CKU8" s="56"/>
      <c r="CKV8" s="57"/>
      <c r="CKW8" s="57"/>
      <c r="CKX8" s="57"/>
      <c r="CKY8" s="57"/>
      <c r="CKZ8" s="57"/>
      <c r="CLA8" s="56"/>
      <c r="CLB8" s="57"/>
      <c r="CLC8" s="57"/>
      <c r="CLD8" s="56"/>
      <c r="CLE8" s="57"/>
      <c r="CLF8" s="58"/>
      <c r="CLG8" s="56"/>
      <c r="CLH8" s="57"/>
      <c r="CLI8" s="57"/>
      <c r="CLJ8" s="57"/>
      <c r="CLK8" s="56"/>
      <c r="CLL8" s="57"/>
      <c r="CLM8" s="57"/>
      <c r="CLN8" s="56"/>
      <c r="CLO8" s="57"/>
      <c r="CLP8" s="58"/>
      <c r="CLQ8" s="56"/>
      <c r="CLR8" s="57"/>
      <c r="CLS8" s="57"/>
      <c r="CLT8" s="57"/>
      <c r="CLU8" s="56"/>
      <c r="CLV8" s="57"/>
      <c r="CLW8" s="57"/>
      <c r="CLX8" s="56"/>
      <c r="CLY8" s="57"/>
      <c r="CLZ8" s="58"/>
      <c r="CMA8" s="56"/>
      <c r="CMB8" s="57"/>
      <c r="CMC8" s="57"/>
      <c r="CMD8" s="57"/>
      <c r="CME8" s="56"/>
      <c r="CMF8" s="57"/>
      <c r="CMG8" s="57"/>
      <c r="CMH8" s="56"/>
      <c r="CMI8" s="57"/>
      <c r="CMJ8" s="58"/>
      <c r="CMK8" s="56"/>
      <c r="CML8" s="58"/>
      <c r="CMM8" s="57"/>
      <c r="CMN8" s="56"/>
      <c r="CMO8" s="57"/>
      <c r="CMP8" s="56"/>
      <c r="CMQ8" s="56"/>
      <c r="CMR8" s="56"/>
      <c r="CMS8" s="57"/>
      <c r="CMT8" s="386"/>
      <c r="CMU8" s="57"/>
      <c r="CMV8" s="386"/>
      <c r="CMW8" s="57"/>
      <c r="CMX8" s="386"/>
      <c r="CMY8" s="57"/>
      <c r="CMZ8" s="57"/>
      <c r="CNA8" s="57"/>
      <c r="CNB8" s="57"/>
      <c r="CNC8" s="57"/>
      <c r="CND8" s="57"/>
      <c r="CNE8" s="57"/>
      <c r="CNF8" s="57"/>
      <c r="CNG8" s="57"/>
      <c r="CNH8" s="57"/>
      <c r="CNI8" s="57"/>
      <c r="CNJ8" s="57"/>
      <c r="CNK8" s="57"/>
      <c r="CNL8" s="57"/>
      <c r="CNM8" s="57"/>
      <c r="CNN8" s="57"/>
      <c r="CNO8" s="57"/>
      <c r="CNP8" s="57"/>
      <c r="CNQ8" s="57"/>
      <c r="CNR8" s="57"/>
      <c r="CNS8" s="57"/>
      <c r="CNT8" s="57"/>
      <c r="CNU8" s="57"/>
      <c r="CNV8" s="57"/>
      <c r="CNW8" s="57"/>
      <c r="CNX8" s="57"/>
      <c r="CNY8" s="57"/>
      <c r="CNZ8" s="57"/>
      <c r="COA8" s="57"/>
      <c r="COB8" s="57"/>
      <c r="COC8" s="57"/>
      <c r="COD8" s="58"/>
      <c r="COE8" s="56"/>
      <c r="COF8" s="57"/>
      <c r="COG8" s="57"/>
      <c r="COH8" s="57"/>
      <c r="COI8" s="57"/>
      <c r="COJ8" s="57"/>
      <c r="COK8" s="56"/>
      <c r="COL8" s="57"/>
      <c r="COM8" s="57"/>
      <c r="CON8" s="56"/>
      <c r="COO8" s="57"/>
      <c r="COP8" s="58"/>
      <c r="COQ8" s="56"/>
      <c r="COR8" s="57"/>
      <c r="COS8" s="57"/>
      <c r="COT8" s="57"/>
      <c r="COU8" s="56"/>
      <c r="COV8" s="57"/>
      <c r="COW8" s="57"/>
      <c r="COX8" s="56"/>
      <c r="COY8" s="57"/>
      <c r="COZ8" s="58"/>
      <c r="CPA8" s="56"/>
      <c r="CPB8" s="57"/>
      <c r="CPC8" s="57"/>
      <c r="CPD8" s="57"/>
      <c r="CPE8" s="56"/>
      <c r="CPF8" s="57"/>
      <c r="CPG8" s="57"/>
      <c r="CPH8" s="56"/>
      <c r="CPI8" s="57"/>
      <c r="CPJ8" s="58"/>
      <c r="CPK8" s="56"/>
      <c r="CPL8" s="57"/>
      <c r="CPM8" s="57"/>
      <c r="CPN8" s="57"/>
      <c r="CPO8" s="56"/>
      <c r="CPP8" s="57"/>
      <c r="CPQ8" s="57"/>
      <c r="CPR8" s="56"/>
      <c r="CPS8" s="57"/>
      <c r="CPT8" s="58"/>
      <c r="CPU8" s="56"/>
      <c r="CPV8" s="58"/>
      <c r="CPW8" s="57"/>
      <c r="CPX8" s="56"/>
      <c r="CPY8" s="57"/>
      <c r="CPZ8" s="56"/>
      <c r="CQA8" s="56"/>
      <c r="CQB8" s="56"/>
      <c r="CQC8" s="57"/>
      <c r="CQD8" s="386"/>
      <c r="CQE8" s="57"/>
      <c r="CQF8" s="386"/>
      <c r="CQG8" s="57"/>
      <c r="CQH8" s="386"/>
      <c r="CQI8" s="57"/>
      <c r="CQJ8" s="57"/>
      <c r="CQK8" s="57"/>
      <c r="CQL8" s="57"/>
      <c r="CQM8" s="57"/>
      <c r="CQN8" s="57"/>
      <c r="CQO8" s="57"/>
      <c r="CQP8" s="57"/>
      <c r="CQQ8" s="57"/>
      <c r="CQR8" s="57"/>
      <c r="CQS8" s="57"/>
      <c r="CQT8" s="57"/>
      <c r="CQU8" s="57"/>
      <c r="CQV8" s="57"/>
      <c r="CQW8" s="57"/>
      <c r="CQX8" s="57"/>
      <c r="CQY8" s="57"/>
      <c r="CQZ8" s="57"/>
      <c r="CRA8" s="57"/>
      <c r="CRB8" s="57"/>
      <c r="CRC8" s="57"/>
      <c r="CRD8" s="57"/>
      <c r="CRE8" s="57"/>
      <c r="CRF8" s="57"/>
      <c r="CRG8" s="57"/>
      <c r="CRH8" s="57"/>
      <c r="CRI8" s="57"/>
      <c r="CRJ8" s="57"/>
      <c r="CRK8" s="57"/>
      <c r="CRL8" s="57"/>
      <c r="CRM8" s="57"/>
      <c r="CRN8" s="58"/>
      <c r="CRO8" s="56"/>
      <c r="CRP8" s="57"/>
      <c r="CRQ8" s="57"/>
      <c r="CRR8" s="57"/>
      <c r="CRS8" s="57"/>
      <c r="CRT8" s="57"/>
      <c r="CRU8" s="56"/>
      <c r="CRV8" s="57"/>
      <c r="CRW8" s="57"/>
      <c r="CRX8" s="56"/>
      <c r="CRY8" s="57"/>
      <c r="CRZ8" s="58"/>
      <c r="CSA8" s="56"/>
      <c r="CSB8" s="57"/>
      <c r="CSC8" s="57"/>
      <c r="CSD8" s="57"/>
      <c r="CSE8" s="56"/>
      <c r="CSF8" s="57"/>
      <c r="CSG8" s="57"/>
      <c r="CSH8" s="56"/>
      <c r="CSI8" s="57"/>
      <c r="CSJ8" s="58"/>
      <c r="CSK8" s="56"/>
      <c r="CSL8" s="57"/>
      <c r="CSM8" s="57"/>
      <c r="CSN8" s="57"/>
      <c r="CSO8" s="56"/>
      <c r="CSP8" s="57"/>
      <c r="CSQ8" s="57"/>
      <c r="CSR8" s="56"/>
      <c r="CSS8" s="57"/>
      <c r="CST8" s="58"/>
      <c r="CSU8" s="56"/>
      <c r="CSV8" s="57"/>
      <c r="CSW8" s="57"/>
      <c r="CSX8" s="57"/>
      <c r="CSY8" s="56"/>
      <c r="CSZ8" s="57"/>
      <c r="CTA8" s="57"/>
      <c r="CTB8" s="56"/>
      <c r="CTC8" s="57"/>
      <c r="CTD8" s="58"/>
      <c r="CTE8" s="56"/>
      <c r="CTF8" s="58"/>
      <c r="CTG8" s="57"/>
      <c r="CTH8" s="56"/>
      <c r="CTI8" s="57"/>
      <c r="CTJ8" s="56"/>
      <c r="CTK8" s="56"/>
      <c r="CTL8" s="56"/>
      <c r="CTM8" s="57"/>
      <c r="CTN8" s="386"/>
      <c r="CTO8" s="57"/>
      <c r="CTP8" s="386"/>
      <c r="CTQ8" s="57"/>
      <c r="CTR8" s="386"/>
      <c r="CTS8" s="57"/>
      <c r="CTT8" s="57"/>
      <c r="CTU8" s="57"/>
      <c r="CTV8" s="57"/>
      <c r="CTW8" s="57"/>
      <c r="CTX8" s="57"/>
      <c r="CTY8" s="57"/>
      <c r="CTZ8" s="57"/>
      <c r="CUA8" s="57"/>
      <c r="CUB8" s="57"/>
      <c r="CUC8" s="57"/>
      <c r="CUD8" s="57"/>
      <c r="CUE8" s="57"/>
      <c r="CUF8" s="57"/>
      <c r="CUG8" s="57"/>
      <c r="CUH8" s="57"/>
      <c r="CUI8" s="57"/>
      <c r="CUJ8" s="57"/>
      <c r="CUK8" s="57"/>
      <c r="CUL8" s="57"/>
      <c r="CUM8" s="57"/>
      <c r="CUN8" s="57"/>
      <c r="CUO8" s="57"/>
      <c r="CUP8" s="57"/>
      <c r="CUQ8" s="57"/>
      <c r="CUR8" s="57"/>
      <c r="CUS8" s="57"/>
      <c r="CUT8" s="57"/>
      <c r="CUU8" s="57"/>
      <c r="CUV8" s="57"/>
      <c r="CUW8" s="57"/>
      <c r="CUX8" s="58"/>
      <c r="CUY8" s="56"/>
      <c r="CUZ8" s="57"/>
      <c r="CVA8" s="57"/>
      <c r="CVB8" s="57"/>
      <c r="CVC8" s="57"/>
      <c r="CVD8" s="57"/>
      <c r="CVE8" s="56"/>
      <c r="CVF8" s="57"/>
      <c r="CVG8" s="57"/>
      <c r="CVH8" s="56"/>
      <c r="CVI8" s="57"/>
      <c r="CVJ8" s="58"/>
      <c r="CVK8" s="56"/>
      <c r="CVL8" s="57"/>
      <c r="CVM8" s="57"/>
      <c r="CVN8" s="57"/>
      <c r="CVO8" s="56"/>
      <c r="CVP8" s="57"/>
      <c r="CVQ8" s="57"/>
      <c r="CVR8" s="56"/>
      <c r="CVS8" s="57"/>
      <c r="CVT8" s="58"/>
      <c r="CVU8" s="56"/>
      <c r="CVV8" s="57"/>
      <c r="CVW8" s="57"/>
      <c r="CVX8" s="57"/>
      <c r="CVY8" s="56"/>
      <c r="CVZ8" s="57"/>
      <c r="CWA8" s="57"/>
      <c r="CWB8" s="56"/>
      <c r="CWC8" s="57"/>
      <c r="CWD8" s="58"/>
      <c r="CWE8" s="56"/>
      <c r="CWF8" s="57"/>
      <c r="CWG8" s="57"/>
      <c r="CWH8" s="57"/>
      <c r="CWI8" s="56"/>
      <c r="CWJ8" s="57"/>
      <c r="CWK8" s="57"/>
      <c r="CWL8" s="56"/>
      <c r="CWM8" s="57"/>
      <c r="CWN8" s="58"/>
      <c r="CWO8" s="56"/>
      <c r="CWP8" s="58"/>
      <c r="CWQ8" s="57"/>
      <c r="CWR8" s="56"/>
      <c r="CWS8" s="57"/>
      <c r="CWT8" s="56"/>
      <c r="CWU8" s="56"/>
      <c r="CWV8" s="56"/>
      <c r="CWW8" s="57"/>
      <c r="CWX8" s="386"/>
      <c r="CWY8" s="57"/>
      <c r="CWZ8" s="386"/>
      <c r="CXA8" s="57"/>
      <c r="CXB8" s="386"/>
      <c r="CXC8" s="57"/>
      <c r="CXD8" s="57"/>
      <c r="CXE8" s="57"/>
      <c r="CXF8" s="57"/>
      <c r="CXG8" s="57"/>
      <c r="CXH8" s="57"/>
      <c r="CXI8" s="57"/>
      <c r="CXJ8" s="57"/>
      <c r="CXK8" s="57"/>
      <c r="CXL8" s="57"/>
      <c r="CXM8" s="57"/>
      <c r="CXN8" s="57"/>
      <c r="CXO8" s="57"/>
      <c r="CXP8" s="57"/>
      <c r="CXQ8" s="57"/>
      <c r="CXR8" s="57"/>
      <c r="CXS8" s="57"/>
      <c r="CXT8" s="57"/>
      <c r="CXU8" s="57"/>
      <c r="CXV8" s="57"/>
      <c r="CXW8" s="57"/>
      <c r="CXX8" s="57"/>
      <c r="CXY8" s="57"/>
      <c r="CXZ8" s="57"/>
      <c r="CYA8" s="57"/>
      <c r="CYB8" s="57"/>
      <c r="CYC8" s="57"/>
      <c r="CYD8" s="57"/>
      <c r="CYE8" s="57"/>
      <c r="CYF8" s="57"/>
      <c r="CYG8" s="57"/>
      <c r="CYH8" s="58"/>
      <c r="CYI8" s="56"/>
      <c r="CYJ8" s="57"/>
      <c r="CYK8" s="57"/>
      <c r="CYL8" s="57"/>
      <c r="CYM8" s="57"/>
      <c r="CYN8" s="57"/>
      <c r="CYO8" s="56"/>
      <c r="CYP8" s="57"/>
      <c r="CYQ8" s="57"/>
      <c r="CYR8" s="56"/>
      <c r="CYS8" s="57"/>
      <c r="CYT8" s="58"/>
      <c r="CYU8" s="56"/>
      <c r="CYV8" s="57"/>
      <c r="CYW8" s="57"/>
      <c r="CYX8" s="57"/>
      <c r="CYY8" s="56"/>
      <c r="CYZ8" s="57"/>
      <c r="CZA8" s="57"/>
      <c r="CZB8" s="56"/>
      <c r="CZC8" s="57"/>
      <c r="CZD8" s="58"/>
      <c r="CZE8" s="56"/>
      <c r="CZF8" s="57"/>
      <c r="CZG8" s="57"/>
      <c r="CZH8" s="57"/>
      <c r="CZI8" s="56"/>
      <c r="CZJ8" s="57"/>
      <c r="CZK8" s="57"/>
      <c r="CZL8" s="56"/>
      <c r="CZM8" s="57"/>
      <c r="CZN8" s="58"/>
      <c r="CZO8" s="56"/>
      <c r="CZP8" s="57"/>
      <c r="CZQ8" s="57"/>
      <c r="CZR8" s="57"/>
      <c r="CZS8" s="56"/>
      <c r="CZT8" s="57"/>
      <c r="CZU8" s="57"/>
      <c r="CZV8" s="56"/>
      <c r="CZW8" s="57"/>
      <c r="CZX8" s="58"/>
      <c r="CZY8" s="56"/>
      <c r="CZZ8" s="58"/>
      <c r="DAA8" s="57"/>
      <c r="DAB8" s="56"/>
      <c r="DAC8" s="57"/>
      <c r="DAD8" s="56"/>
      <c r="DAE8" s="56"/>
      <c r="DAF8" s="56"/>
      <c r="DAG8" s="57"/>
      <c r="DAH8" s="386"/>
      <c r="DAI8" s="57"/>
      <c r="DAJ8" s="386"/>
      <c r="DAK8" s="57"/>
      <c r="DAL8" s="386"/>
      <c r="DAM8" s="57"/>
      <c r="DAN8" s="57"/>
      <c r="DAO8" s="57"/>
      <c r="DAP8" s="57"/>
      <c r="DAQ8" s="57"/>
      <c r="DAR8" s="57"/>
      <c r="DAS8" s="57"/>
      <c r="DAT8" s="57"/>
      <c r="DAU8" s="57"/>
      <c r="DAV8" s="57"/>
      <c r="DAW8" s="57"/>
      <c r="DAX8" s="57"/>
      <c r="DAY8" s="57"/>
      <c r="DAZ8" s="57"/>
      <c r="DBA8" s="57"/>
      <c r="DBB8" s="57"/>
      <c r="DBC8" s="57"/>
      <c r="DBD8" s="57"/>
      <c r="DBE8" s="57"/>
      <c r="DBF8" s="57"/>
      <c r="DBG8" s="57"/>
      <c r="DBH8" s="57"/>
      <c r="DBI8" s="57"/>
      <c r="DBJ8" s="57"/>
      <c r="DBK8" s="57"/>
      <c r="DBL8" s="57"/>
      <c r="DBM8" s="57"/>
      <c r="DBN8" s="57"/>
      <c r="DBO8" s="57"/>
      <c r="DBP8" s="57"/>
      <c r="DBQ8" s="57"/>
      <c r="DBR8" s="58"/>
      <c r="DBS8" s="56"/>
      <c r="DBT8" s="57"/>
      <c r="DBU8" s="57"/>
      <c r="DBV8" s="57"/>
      <c r="DBW8" s="57"/>
      <c r="DBX8" s="57"/>
      <c r="DBY8" s="56"/>
      <c r="DBZ8" s="57"/>
      <c r="DCA8" s="57"/>
      <c r="DCB8" s="56"/>
      <c r="DCC8" s="57"/>
      <c r="DCD8" s="58"/>
      <c r="DCE8" s="56"/>
      <c r="DCF8" s="57"/>
      <c r="DCG8" s="57"/>
      <c r="DCH8" s="57"/>
      <c r="DCI8" s="56"/>
      <c r="DCJ8" s="57"/>
      <c r="DCK8" s="57"/>
      <c r="DCL8" s="56"/>
      <c r="DCM8" s="57"/>
      <c r="DCN8" s="58"/>
      <c r="DCO8" s="56"/>
      <c r="DCP8" s="57"/>
      <c r="DCQ8" s="57"/>
      <c r="DCR8" s="57"/>
      <c r="DCS8" s="56"/>
      <c r="DCT8" s="57"/>
      <c r="DCU8" s="57"/>
      <c r="DCV8" s="56"/>
      <c r="DCW8" s="57"/>
      <c r="DCX8" s="58"/>
      <c r="DCY8" s="56"/>
      <c r="DCZ8" s="57"/>
      <c r="DDA8" s="57"/>
      <c r="DDB8" s="57"/>
      <c r="DDC8" s="56"/>
      <c r="DDD8" s="57"/>
      <c r="DDE8" s="57"/>
      <c r="DDF8" s="56"/>
      <c r="DDG8" s="57"/>
      <c r="DDH8" s="58"/>
      <c r="DDI8" s="56"/>
      <c r="DDJ8" s="58"/>
      <c r="DDK8" s="57"/>
      <c r="DDL8" s="56"/>
      <c r="DDM8" s="57"/>
      <c r="DDN8" s="56"/>
      <c r="DDO8" s="56"/>
      <c r="DDP8" s="56"/>
      <c r="DDQ8" s="57"/>
      <c r="DDR8" s="386"/>
      <c r="DDS8" s="57"/>
      <c r="DDT8" s="386"/>
      <c r="DDU8" s="57"/>
      <c r="DDV8" s="386"/>
      <c r="DDW8" s="57"/>
      <c r="DDX8" s="57"/>
      <c r="DDY8" s="57"/>
      <c r="DDZ8" s="57"/>
      <c r="DEA8" s="57"/>
      <c r="DEB8" s="57"/>
      <c r="DEC8" s="57"/>
      <c r="DED8" s="57"/>
      <c r="DEE8" s="57"/>
      <c r="DEF8" s="57"/>
      <c r="DEG8" s="57"/>
      <c r="DEH8" s="57"/>
      <c r="DEI8" s="57"/>
      <c r="DEJ8" s="57"/>
      <c r="DEK8" s="57"/>
      <c r="DEL8" s="57"/>
      <c r="DEM8" s="57"/>
      <c r="DEN8" s="57"/>
      <c r="DEO8" s="57"/>
      <c r="DEP8" s="57"/>
      <c r="DEQ8" s="57"/>
      <c r="DER8" s="57"/>
      <c r="DES8" s="57"/>
      <c r="DET8" s="57"/>
      <c r="DEU8" s="57"/>
      <c r="DEV8" s="57"/>
      <c r="DEW8" s="57"/>
      <c r="DEX8" s="57"/>
      <c r="DEY8" s="57"/>
      <c r="DEZ8" s="57"/>
      <c r="DFA8" s="57"/>
      <c r="DFB8" s="58"/>
      <c r="DFC8" s="56"/>
      <c r="DFD8" s="57"/>
      <c r="DFE8" s="57"/>
      <c r="DFF8" s="57"/>
      <c r="DFG8" s="57"/>
      <c r="DFH8" s="57"/>
      <c r="DFI8" s="56"/>
      <c r="DFJ8" s="57"/>
      <c r="DFK8" s="57"/>
      <c r="DFL8" s="56"/>
      <c r="DFM8" s="57"/>
      <c r="DFN8" s="58"/>
      <c r="DFO8" s="56"/>
      <c r="DFP8" s="57"/>
      <c r="DFQ8" s="57"/>
      <c r="DFR8" s="57"/>
      <c r="DFS8" s="56"/>
      <c r="DFT8" s="57"/>
      <c r="DFU8" s="57"/>
      <c r="DFV8" s="56"/>
      <c r="DFW8" s="57"/>
      <c r="DFX8" s="58"/>
      <c r="DFY8" s="56"/>
      <c r="DFZ8" s="57"/>
      <c r="DGA8" s="57"/>
      <c r="DGB8" s="57"/>
      <c r="DGC8" s="56"/>
      <c r="DGD8" s="57"/>
      <c r="DGE8" s="57"/>
      <c r="DGF8" s="56"/>
      <c r="DGG8" s="57"/>
      <c r="DGH8" s="58"/>
      <c r="DGI8" s="56"/>
      <c r="DGJ8" s="57"/>
      <c r="DGK8" s="57"/>
      <c r="DGL8" s="57"/>
      <c r="DGM8" s="56"/>
      <c r="DGN8" s="57"/>
      <c r="DGO8" s="57"/>
      <c r="DGP8" s="56"/>
      <c r="DGQ8" s="57"/>
      <c r="DGR8" s="58"/>
      <c r="DGS8" s="56"/>
      <c r="DGT8" s="58"/>
      <c r="DGU8" s="57"/>
      <c r="DGV8" s="56"/>
      <c r="DGW8" s="57"/>
      <c r="DGX8" s="56"/>
      <c r="DGY8" s="56"/>
      <c r="DGZ8" s="56"/>
      <c r="DHA8" s="57"/>
      <c r="DHB8" s="386"/>
      <c r="DHC8" s="57"/>
      <c r="DHD8" s="386"/>
      <c r="DHE8" s="57"/>
      <c r="DHF8" s="386"/>
      <c r="DHG8" s="57"/>
      <c r="DHH8" s="57"/>
      <c r="DHI8" s="57"/>
      <c r="DHJ8" s="57"/>
      <c r="DHK8" s="57"/>
      <c r="DHL8" s="57"/>
      <c r="DHM8" s="57"/>
      <c r="DHN8" s="57"/>
      <c r="DHO8" s="57"/>
      <c r="DHP8" s="57"/>
      <c r="DHQ8" s="57"/>
      <c r="DHR8" s="57"/>
      <c r="DHS8" s="57"/>
      <c r="DHT8" s="57"/>
      <c r="DHU8" s="57"/>
      <c r="DHV8" s="57"/>
      <c r="DHW8" s="57"/>
      <c r="DHX8" s="57"/>
      <c r="DHY8" s="57"/>
      <c r="DHZ8" s="57"/>
      <c r="DIA8" s="57"/>
      <c r="DIB8" s="57"/>
      <c r="DIC8" s="57"/>
      <c r="DID8" s="57"/>
      <c r="DIE8" s="57"/>
      <c r="DIF8" s="57"/>
      <c r="DIG8" s="57"/>
      <c r="DIH8" s="57"/>
      <c r="DII8" s="57"/>
      <c r="DIJ8" s="57"/>
      <c r="DIK8" s="57"/>
      <c r="DIL8" s="58"/>
      <c r="DIM8" s="56"/>
      <c r="DIN8" s="57"/>
      <c r="DIO8" s="57"/>
      <c r="DIP8" s="57"/>
      <c r="DIQ8" s="57"/>
      <c r="DIR8" s="57"/>
      <c r="DIS8" s="56"/>
      <c r="DIT8" s="57"/>
      <c r="DIU8" s="57"/>
      <c r="DIV8" s="56"/>
      <c r="DIW8" s="57"/>
      <c r="DIX8" s="58"/>
      <c r="DIY8" s="56"/>
      <c r="DIZ8" s="57"/>
      <c r="DJA8" s="57"/>
      <c r="DJB8" s="57"/>
      <c r="DJC8" s="56"/>
      <c r="DJD8" s="57"/>
      <c r="DJE8" s="57"/>
      <c r="DJF8" s="56"/>
      <c r="DJG8" s="57"/>
      <c r="DJH8" s="58"/>
      <c r="DJI8" s="56"/>
      <c r="DJJ8" s="57"/>
      <c r="DJK8" s="57"/>
      <c r="DJL8" s="57"/>
      <c r="DJM8" s="56"/>
      <c r="DJN8" s="57"/>
      <c r="DJO8" s="57"/>
      <c r="DJP8" s="56"/>
      <c r="DJQ8" s="57"/>
      <c r="DJR8" s="58"/>
      <c r="DJS8" s="56"/>
      <c r="DJT8" s="57"/>
      <c r="DJU8" s="57"/>
      <c r="DJV8" s="57"/>
      <c r="DJW8" s="56"/>
      <c r="DJX8" s="57"/>
      <c r="DJY8" s="57"/>
      <c r="DJZ8" s="56"/>
      <c r="DKA8" s="57"/>
      <c r="DKB8" s="58"/>
      <c r="DKC8" s="56"/>
      <c r="DKD8" s="58"/>
      <c r="DKE8" s="57"/>
      <c r="DKF8" s="56"/>
      <c r="DKG8" s="57"/>
      <c r="DKH8" s="56"/>
      <c r="DKI8" s="56"/>
      <c r="DKJ8" s="56"/>
      <c r="DKK8" s="57"/>
      <c r="DKL8" s="386"/>
      <c r="DKM8" s="57"/>
      <c r="DKN8" s="386"/>
      <c r="DKO8" s="57"/>
      <c r="DKP8" s="386"/>
      <c r="DKQ8" s="57"/>
      <c r="DKR8" s="57"/>
      <c r="DKS8" s="57"/>
      <c r="DKT8" s="57"/>
      <c r="DKU8" s="57"/>
      <c r="DKV8" s="57"/>
      <c r="DKW8" s="57"/>
      <c r="DKX8" s="57"/>
      <c r="DKY8" s="57"/>
      <c r="DKZ8" s="57"/>
      <c r="DLA8" s="57"/>
      <c r="DLB8" s="57"/>
      <c r="DLC8" s="57"/>
      <c r="DLD8" s="57"/>
      <c r="DLE8" s="57"/>
      <c r="DLF8" s="57"/>
      <c r="DLG8" s="57"/>
      <c r="DLH8" s="57"/>
      <c r="DLI8" s="57"/>
      <c r="DLJ8" s="57"/>
      <c r="DLK8" s="57"/>
      <c r="DLL8" s="57"/>
      <c r="DLM8" s="57"/>
      <c r="DLN8" s="57"/>
      <c r="DLO8" s="57"/>
      <c r="DLP8" s="57"/>
      <c r="DLQ8" s="57"/>
      <c r="DLR8" s="57"/>
      <c r="DLS8" s="57"/>
      <c r="DLT8" s="57"/>
      <c r="DLU8" s="57"/>
      <c r="DLV8" s="58"/>
      <c r="DLW8" s="56"/>
      <c r="DLX8" s="57"/>
      <c r="DLY8" s="57"/>
      <c r="DLZ8" s="57"/>
      <c r="DMA8" s="57"/>
      <c r="DMB8" s="57"/>
      <c r="DMC8" s="56"/>
      <c r="DMD8" s="57"/>
      <c r="DME8" s="57"/>
      <c r="DMF8" s="56"/>
      <c r="DMG8" s="57"/>
      <c r="DMH8" s="58"/>
      <c r="DMI8" s="56"/>
      <c r="DMJ8" s="57"/>
      <c r="DMK8" s="57"/>
      <c r="DML8" s="57"/>
      <c r="DMM8" s="56"/>
      <c r="DMN8" s="57"/>
      <c r="DMO8" s="57"/>
      <c r="DMP8" s="56"/>
      <c r="DMQ8" s="57"/>
      <c r="DMR8" s="58"/>
      <c r="DMS8" s="56"/>
      <c r="DMT8" s="57"/>
      <c r="DMU8" s="57"/>
      <c r="DMV8" s="57"/>
      <c r="DMW8" s="56"/>
      <c r="DMX8" s="57"/>
      <c r="DMY8" s="57"/>
      <c r="DMZ8" s="56"/>
      <c r="DNA8" s="57"/>
      <c r="DNB8" s="58"/>
      <c r="DNC8" s="56"/>
      <c r="DND8" s="57"/>
      <c r="DNE8" s="57"/>
      <c r="DNF8" s="57"/>
      <c r="DNG8" s="56"/>
      <c r="DNH8" s="57"/>
      <c r="DNI8" s="57"/>
      <c r="DNJ8" s="56"/>
      <c r="DNK8" s="57"/>
      <c r="DNL8" s="58"/>
      <c r="DNM8" s="56"/>
      <c r="DNN8" s="58"/>
      <c r="DNO8" s="57"/>
      <c r="DNP8" s="56"/>
      <c r="DNQ8" s="57"/>
      <c r="DNR8" s="56"/>
      <c r="DNS8" s="56"/>
      <c r="DNT8" s="56"/>
      <c r="DNU8" s="57"/>
      <c r="DNV8" s="386"/>
      <c r="DNW8" s="57"/>
      <c r="DNX8" s="386"/>
      <c r="DNY8" s="57"/>
      <c r="DNZ8" s="386"/>
      <c r="DOA8" s="57"/>
      <c r="DOB8" s="57"/>
      <c r="DOC8" s="57"/>
      <c r="DOD8" s="57"/>
      <c r="DOE8" s="57"/>
      <c r="DOF8" s="57"/>
      <c r="DOG8" s="57"/>
      <c r="DOH8" s="57"/>
      <c r="DOI8" s="57"/>
      <c r="DOJ8" s="57"/>
      <c r="DOK8" s="57"/>
      <c r="DOL8" s="57"/>
      <c r="DOM8" s="57"/>
      <c r="DON8" s="57"/>
      <c r="DOO8" s="57"/>
      <c r="DOP8" s="57"/>
      <c r="DOQ8" s="57"/>
      <c r="DOR8" s="57"/>
      <c r="DOS8" s="57"/>
      <c r="DOT8" s="57"/>
      <c r="DOU8" s="57"/>
      <c r="DOV8" s="57"/>
      <c r="DOW8" s="57"/>
      <c r="DOX8" s="57"/>
      <c r="DOY8" s="57"/>
      <c r="DOZ8" s="57"/>
      <c r="DPA8" s="57"/>
      <c r="DPB8" s="57"/>
      <c r="DPC8" s="57"/>
      <c r="DPD8" s="57"/>
      <c r="DPE8" s="57"/>
      <c r="DPF8" s="58"/>
      <c r="DPG8" s="56"/>
      <c r="DPH8" s="57"/>
      <c r="DPI8" s="57"/>
      <c r="DPJ8" s="57"/>
      <c r="DPK8" s="57"/>
      <c r="DPL8" s="57"/>
      <c r="DPM8" s="56"/>
      <c r="DPN8" s="57"/>
      <c r="DPO8" s="57"/>
      <c r="DPP8" s="56"/>
      <c r="DPQ8" s="57"/>
      <c r="DPR8" s="58"/>
      <c r="DPS8" s="56"/>
      <c r="DPT8" s="57"/>
      <c r="DPU8" s="57"/>
      <c r="DPV8" s="57"/>
      <c r="DPW8" s="56"/>
      <c r="DPX8" s="57"/>
      <c r="DPY8" s="57"/>
      <c r="DPZ8" s="56"/>
      <c r="DQA8" s="57"/>
      <c r="DQB8" s="58"/>
      <c r="DQC8" s="56"/>
      <c r="DQD8" s="57"/>
      <c r="DQE8" s="57"/>
      <c r="DQF8" s="57"/>
      <c r="DQG8" s="56"/>
      <c r="DQH8" s="57"/>
      <c r="DQI8" s="57"/>
      <c r="DQJ8" s="56"/>
      <c r="DQK8" s="57"/>
      <c r="DQL8" s="58"/>
      <c r="DQM8" s="56"/>
      <c r="DQN8" s="57"/>
      <c r="DQO8" s="57"/>
      <c r="DQP8" s="57"/>
      <c r="DQQ8" s="56"/>
      <c r="DQR8" s="57"/>
      <c r="DQS8" s="57"/>
      <c r="DQT8" s="56"/>
      <c r="DQU8" s="57"/>
      <c r="DQV8" s="58"/>
      <c r="DQW8" s="56"/>
      <c r="DQX8" s="58"/>
      <c r="DQY8" s="57"/>
      <c r="DQZ8" s="56"/>
      <c r="DRA8" s="57"/>
      <c r="DRB8" s="56"/>
      <c r="DRC8" s="56"/>
      <c r="DRD8" s="56"/>
      <c r="DRE8" s="57"/>
      <c r="DRF8" s="386"/>
      <c r="DRG8" s="57"/>
      <c r="DRH8" s="386"/>
      <c r="DRI8" s="57"/>
      <c r="DRJ8" s="386"/>
      <c r="DRK8" s="57"/>
      <c r="DRL8" s="57"/>
      <c r="DRM8" s="57"/>
      <c r="DRN8" s="57"/>
      <c r="DRO8" s="57"/>
      <c r="DRP8" s="57"/>
      <c r="DRQ8" s="57"/>
      <c r="DRR8" s="57"/>
      <c r="DRS8" s="57"/>
      <c r="DRT8" s="57"/>
      <c r="DRU8" s="57"/>
      <c r="DRV8" s="57"/>
      <c r="DRW8" s="57"/>
      <c r="DRX8" s="57"/>
      <c r="DRY8" s="57"/>
      <c r="DRZ8" s="57"/>
      <c r="DSA8" s="57"/>
      <c r="DSB8" s="57"/>
      <c r="DSC8" s="57"/>
      <c r="DSD8" s="57"/>
      <c r="DSE8" s="57"/>
      <c r="DSF8" s="57"/>
      <c r="DSG8" s="57"/>
      <c r="DSH8" s="57"/>
      <c r="DSI8" s="57"/>
      <c r="DSJ8" s="57"/>
      <c r="DSK8" s="57"/>
      <c r="DSL8" s="57"/>
      <c r="DSM8" s="57"/>
      <c r="DSN8" s="57"/>
      <c r="DSO8" s="57"/>
      <c r="DSP8" s="58"/>
      <c r="DSQ8" s="56"/>
      <c r="DSR8" s="57"/>
      <c r="DSS8" s="57"/>
      <c r="DST8" s="57"/>
      <c r="DSU8" s="57"/>
      <c r="DSV8" s="57"/>
      <c r="DSW8" s="56"/>
      <c r="DSX8" s="57"/>
      <c r="DSY8" s="57"/>
      <c r="DSZ8" s="56"/>
      <c r="DTA8" s="57"/>
      <c r="DTB8" s="58"/>
      <c r="DTC8" s="56"/>
      <c r="DTD8" s="57"/>
      <c r="DTE8" s="57"/>
      <c r="DTF8" s="57"/>
      <c r="DTG8" s="56"/>
      <c r="DTH8" s="57"/>
      <c r="DTI8" s="57"/>
      <c r="DTJ8" s="56"/>
      <c r="DTK8" s="57"/>
      <c r="DTL8" s="58"/>
      <c r="DTM8" s="56"/>
      <c r="DTN8" s="57"/>
      <c r="DTO8" s="57"/>
      <c r="DTP8" s="57"/>
      <c r="DTQ8" s="56"/>
      <c r="DTR8" s="57"/>
      <c r="DTS8" s="57"/>
      <c r="DTT8" s="56"/>
      <c r="DTU8" s="57"/>
      <c r="DTV8" s="58"/>
      <c r="DTW8" s="56"/>
      <c r="DTX8" s="57"/>
      <c r="DTY8" s="57"/>
      <c r="DTZ8" s="57"/>
      <c r="DUA8" s="56"/>
      <c r="DUB8" s="57"/>
      <c r="DUC8" s="57"/>
      <c r="DUD8" s="56"/>
      <c r="DUE8" s="57"/>
      <c r="DUF8" s="58"/>
      <c r="DUG8" s="56"/>
      <c r="DUH8" s="58"/>
      <c r="DUI8" s="57"/>
      <c r="DUJ8" s="56"/>
      <c r="DUK8" s="57"/>
      <c r="DUL8" s="56"/>
      <c r="DUM8" s="56"/>
      <c r="DUN8" s="56"/>
      <c r="DUO8" s="57"/>
      <c r="DUP8" s="386"/>
      <c r="DUQ8" s="57"/>
      <c r="DUR8" s="386"/>
      <c r="DUS8" s="57"/>
      <c r="DUT8" s="386"/>
      <c r="DUU8" s="57"/>
      <c r="DUV8" s="57"/>
      <c r="DUW8" s="57"/>
      <c r="DUX8" s="57"/>
      <c r="DUY8" s="57"/>
      <c r="DUZ8" s="57"/>
      <c r="DVA8" s="57"/>
      <c r="DVB8" s="57"/>
      <c r="DVC8" s="57"/>
      <c r="DVD8" s="57"/>
      <c r="DVE8" s="57"/>
      <c r="DVF8" s="57"/>
      <c r="DVG8" s="57"/>
      <c r="DVH8" s="57"/>
      <c r="DVI8" s="57"/>
      <c r="DVJ8" s="57"/>
      <c r="DVK8" s="57"/>
      <c r="DVL8" s="57"/>
      <c r="DVM8" s="57"/>
      <c r="DVN8" s="57"/>
      <c r="DVO8" s="57"/>
      <c r="DVP8" s="57"/>
      <c r="DVQ8" s="57"/>
      <c r="DVR8" s="57"/>
      <c r="DVS8" s="57"/>
      <c r="DVT8" s="57"/>
      <c r="DVU8" s="57"/>
      <c r="DVV8" s="57"/>
      <c r="DVW8" s="57"/>
      <c r="DVX8" s="57"/>
      <c r="DVY8" s="57"/>
      <c r="DVZ8" s="58"/>
      <c r="DWA8" s="56"/>
      <c r="DWB8" s="57"/>
      <c r="DWC8" s="57"/>
      <c r="DWD8" s="57"/>
      <c r="DWE8" s="57"/>
      <c r="DWF8" s="57"/>
      <c r="DWG8" s="56"/>
      <c r="DWH8" s="57"/>
      <c r="DWI8" s="57"/>
      <c r="DWJ8" s="56"/>
      <c r="DWK8" s="57"/>
      <c r="DWL8" s="58"/>
      <c r="DWM8" s="56"/>
      <c r="DWN8" s="57"/>
      <c r="DWO8" s="57"/>
      <c r="DWP8" s="57"/>
      <c r="DWQ8" s="56"/>
      <c r="DWR8" s="57"/>
      <c r="DWS8" s="57"/>
      <c r="DWT8" s="56"/>
      <c r="DWU8" s="57"/>
      <c r="DWV8" s="58"/>
      <c r="DWW8" s="56"/>
      <c r="DWX8" s="57"/>
      <c r="DWY8" s="57"/>
      <c r="DWZ8" s="57"/>
      <c r="DXA8" s="56"/>
      <c r="DXB8" s="57"/>
      <c r="DXC8" s="57"/>
      <c r="DXD8" s="56"/>
      <c r="DXE8" s="57"/>
      <c r="DXF8" s="58"/>
      <c r="DXG8" s="56"/>
      <c r="DXH8" s="57"/>
      <c r="DXI8" s="57"/>
      <c r="DXJ8" s="57"/>
      <c r="DXK8" s="56"/>
      <c r="DXL8" s="57"/>
      <c r="DXM8" s="57"/>
      <c r="DXN8" s="56"/>
      <c r="DXO8" s="57"/>
      <c r="DXP8" s="58"/>
      <c r="DXQ8" s="56"/>
      <c r="DXR8" s="58"/>
      <c r="DXS8" s="57"/>
      <c r="DXT8" s="56"/>
      <c r="DXU8" s="57"/>
      <c r="DXV8" s="56"/>
      <c r="DXW8" s="56"/>
      <c r="DXX8" s="56"/>
      <c r="DXY8" s="57"/>
      <c r="DXZ8" s="386"/>
      <c r="DYA8" s="57"/>
      <c r="DYB8" s="386"/>
      <c r="DYC8" s="57"/>
      <c r="DYD8" s="386"/>
      <c r="DYE8" s="57"/>
      <c r="DYF8" s="57"/>
      <c r="DYG8" s="57"/>
      <c r="DYH8" s="57"/>
      <c r="DYI8" s="57"/>
      <c r="DYJ8" s="57"/>
      <c r="DYK8" s="57"/>
      <c r="DYL8" s="57"/>
      <c r="DYM8" s="57"/>
      <c r="DYN8" s="57"/>
      <c r="DYO8" s="57"/>
      <c r="DYP8" s="57"/>
      <c r="DYQ8" s="57"/>
      <c r="DYR8" s="57"/>
      <c r="DYS8" s="57"/>
      <c r="DYT8" s="57"/>
      <c r="DYU8" s="57"/>
      <c r="DYV8" s="57"/>
      <c r="DYW8" s="57"/>
      <c r="DYX8" s="57"/>
      <c r="DYY8" s="57"/>
      <c r="DYZ8" s="57"/>
      <c r="DZA8" s="57"/>
      <c r="DZB8" s="57"/>
      <c r="DZC8" s="57"/>
      <c r="DZD8" s="57"/>
      <c r="DZE8" s="57"/>
      <c r="DZF8" s="57"/>
      <c r="DZG8" s="57"/>
      <c r="DZH8" s="57"/>
      <c r="DZI8" s="57"/>
      <c r="DZJ8" s="58"/>
      <c r="DZK8" s="56"/>
      <c r="DZL8" s="57"/>
      <c r="DZM8" s="57"/>
      <c r="DZN8" s="57"/>
      <c r="DZO8" s="57"/>
      <c r="DZP8" s="57"/>
      <c r="DZQ8" s="56"/>
      <c r="DZR8" s="57"/>
      <c r="DZS8" s="57"/>
      <c r="DZT8" s="56"/>
      <c r="DZU8" s="57"/>
      <c r="DZV8" s="58"/>
      <c r="DZW8" s="56"/>
      <c r="DZX8" s="57"/>
      <c r="DZY8" s="57"/>
      <c r="DZZ8" s="57"/>
      <c r="EAA8" s="56"/>
      <c r="EAB8" s="57"/>
      <c r="EAC8" s="57"/>
      <c r="EAD8" s="56"/>
      <c r="EAE8" s="57"/>
      <c r="EAF8" s="58"/>
      <c r="EAG8" s="56"/>
      <c r="EAH8" s="57"/>
      <c r="EAI8" s="57"/>
      <c r="EAJ8" s="57"/>
      <c r="EAK8" s="56"/>
      <c r="EAL8" s="57"/>
      <c r="EAM8" s="57"/>
      <c r="EAN8" s="56"/>
      <c r="EAO8" s="57"/>
      <c r="EAP8" s="58"/>
      <c r="EAQ8" s="56"/>
      <c r="EAR8" s="57"/>
      <c r="EAS8" s="57"/>
      <c r="EAT8" s="57"/>
      <c r="EAU8" s="56"/>
      <c r="EAV8" s="57"/>
      <c r="EAW8" s="57"/>
      <c r="EAX8" s="56"/>
      <c r="EAY8" s="57"/>
      <c r="EAZ8" s="58"/>
      <c r="EBA8" s="56"/>
      <c r="EBB8" s="58"/>
      <c r="EBC8" s="57"/>
      <c r="EBD8" s="56"/>
      <c r="EBE8" s="57"/>
      <c r="EBF8" s="56"/>
      <c r="EBG8" s="56"/>
      <c r="EBH8" s="56"/>
      <c r="EBI8" s="57"/>
      <c r="EBJ8" s="386"/>
      <c r="EBK8" s="57"/>
      <c r="EBL8" s="386"/>
      <c r="EBM8" s="57"/>
      <c r="EBN8" s="386"/>
      <c r="EBO8" s="57"/>
      <c r="EBP8" s="57"/>
      <c r="EBQ8" s="57"/>
      <c r="EBR8" s="57"/>
      <c r="EBS8" s="57"/>
      <c r="EBT8" s="57"/>
      <c r="EBU8" s="57"/>
      <c r="EBV8" s="57"/>
      <c r="EBW8" s="57"/>
      <c r="EBX8" s="57"/>
      <c r="EBY8" s="57"/>
      <c r="EBZ8" s="57"/>
      <c r="ECA8" s="57"/>
      <c r="ECB8" s="57"/>
      <c r="ECC8" s="57"/>
      <c r="ECD8" s="57"/>
      <c r="ECE8" s="57"/>
      <c r="ECF8" s="57"/>
      <c r="ECG8" s="57"/>
      <c r="ECH8" s="57"/>
      <c r="ECI8" s="57"/>
      <c r="ECJ8" s="57"/>
      <c r="ECK8" s="57"/>
      <c r="ECL8" s="57"/>
      <c r="ECM8" s="57"/>
      <c r="ECN8" s="57"/>
      <c r="ECO8" s="57"/>
      <c r="ECP8" s="57"/>
      <c r="ECQ8" s="57"/>
      <c r="ECR8" s="57"/>
      <c r="ECS8" s="57"/>
      <c r="ECT8" s="58"/>
      <c r="ECU8" s="56"/>
      <c r="ECV8" s="57"/>
      <c r="ECW8" s="57"/>
      <c r="ECX8" s="57"/>
      <c r="ECY8" s="57"/>
      <c r="ECZ8" s="57"/>
      <c r="EDA8" s="56"/>
      <c r="EDB8" s="57"/>
      <c r="EDC8" s="57"/>
      <c r="EDD8" s="56"/>
      <c r="EDE8" s="57"/>
      <c r="EDF8" s="58"/>
      <c r="EDG8" s="56"/>
      <c r="EDH8" s="57"/>
      <c r="EDI8" s="57"/>
      <c r="EDJ8" s="57"/>
      <c r="EDK8" s="56"/>
      <c r="EDL8" s="57"/>
      <c r="EDM8" s="57"/>
      <c r="EDN8" s="56"/>
      <c r="EDO8" s="57"/>
      <c r="EDP8" s="58"/>
      <c r="EDQ8" s="56"/>
      <c r="EDR8" s="57"/>
      <c r="EDS8" s="57"/>
      <c r="EDT8" s="57"/>
      <c r="EDU8" s="56"/>
      <c r="EDV8" s="57"/>
      <c r="EDW8" s="57"/>
      <c r="EDX8" s="56"/>
      <c r="EDY8" s="57"/>
      <c r="EDZ8" s="58"/>
      <c r="EEA8" s="56"/>
      <c r="EEB8" s="57"/>
      <c r="EEC8" s="57"/>
      <c r="EED8" s="57"/>
      <c r="EEE8" s="56"/>
      <c r="EEF8" s="57"/>
      <c r="EEG8" s="57"/>
      <c r="EEH8" s="56"/>
      <c r="EEI8" s="57"/>
      <c r="EEJ8" s="58"/>
      <c r="EEK8" s="56"/>
      <c r="EEL8" s="58"/>
      <c r="EEM8" s="57"/>
      <c r="EEN8" s="56"/>
      <c r="EEO8" s="57"/>
      <c r="EEP8" s="56"/>
      <c r="EEQ8" s="56"/>
      <c r="EER8" s="56"/>
      <c r="EES8" s="57"/>
      <c r="EET8" s="386"/>
      <c r="EEU8" s="57"/>
      <c r="EEV8" s="386"/>
      <c r="EEW8" s="57"/>
      <c r="EEX8" s="386"/>
      <c r="EEY8" s="57"/>
      <c r="EEZ8" s="57"/>
      <c r="EFA8" s="57"/>
      <c r="EFB8" s="57"/>
      <c r="EFC8" s="57"/>
      <c r="EFD8" s="57"/>
      <c r="EFE8" s="57"/>
      <c r="EFF8" s="57"/>
      <c r="EFG8" s="57"/>
      <c r="EFH8" s="57"/>
      <c r="EFI8" s="57"/>
      <c r="EFJ8" s="57"/>
      <c r="EFK8" s="57"/>
      <c r="EFL8" s="57"/>
      <c r="EFM8" s="57"/>
      <c r="EFN8" s="57"/>
      <c r="EFO8" s="57"/>
      <c r="EFP8" s="57"/>
      <c r="EFQ8" s="57"/>
      <c r="EFR8" s="57"/>
      <c r="EFS8" s="57"/>
      <c r="EFT8" s="57"/>
      <c r="EFU8" s="57"/>
      <c r="EFV8" s="57"/>
      <c r="EFW8" s="57"/>
      <c r="EFX8" s="57"/>
      <c r="EFY8" s="57"/>
      <c r="EFZ8" s="57"/>
      <c r="EGA8" s="57"/>
      <c r="EGB8" s="57"/>
      <c r="EGC8" s="57"/>
      <c r="EGD8" s="58"/>
      <c r="EGE8" s="56"/>
      <c r="EGF8" s="57"/>
      <c r="EGG8" s="57"/>
      <c r="EGH8" s="57"/>
      <c r="EGI8" s="57"/>
      <c r="EGJ8" s="57"/>
      <c r="EGK8" s="56"/>
      <c r="EGL8" s="57"/>
      <c r="EGM8" s="57"/>
      <c r="EGN8" s="56"/>
      <c r="EGO8" s="57"/>
      <c r="EGP8" s="58"/>
      <c r="EGQ8" s="56"/>
      <c r="EGR8" s="57"/>
      <c r="EGS8" s="57"/>
      <c r="EGT8" s="57"/>
      <c r="EGU8" s="56"/>
      <c r="EGV8" s="57"/>
      <c r="EGW8" s="57"/>
      <c r="EGX8" s="56"/>
      <c r="EGY8" s="57"/>
      <c r="EGZ8" s="58"/>
      <c r="EHA8" s="56"/>
      <c r="EHB8" s="57"/>
      <c r="EHC8" s="57"/>
      <c r="EHD8" s="57"/>
      <c r="EHE8" s="56"/>
      <c r="EHF8" s="57"/>
      <c r="EHG8" s="57"/>
      <c r="EHH8" s="56"/>
      <c r="EHI8" s="57"/>
      <c r="EHJ8" s="58"/>
      <c r="EHK8" s="56"/>
      <c r="EHL8" s="57"/>
      <c r="EHM8" s="57"/>
      <c r="EHN8" s="57"/>
      <c r="EHO8" s="56"/>
      <c r="EHP8" s="57"/>
      <c r="EHQ8" s="57"/>
      <c r="EHR8" s="56"/>
      <c r="EHS8" s="57"/>
      <c r="EHT8" s="58"/>
      <c r="EHU8" s="56"/>
      <c r="EHV8" s="58"/>
      <c r="EHW8" s="57"/>
      <c r="EHX8" s="56"/>
      <c r="EHY8" s="57"/>
      <c r="EHZ8" s="56"/>
      <c r="EIA8" s="56"/>
      <c r="EIB8" s="56"/>
      <c r="EIC8" s="57"/>
      <c r="EID8" s="386"/>
      <c r="EIE8" s="57"/>
      <c r="EIF8" s="386"/>
      <c r="EIG8" s="57"/>
      <c r="EIH8" s="386"/>
      <c r="EII8" s="57"/>
      <c r="EIJ8" s="57"/>
      <c r="EIK8" s="57"/>
      <c r="EIL8" s="57"/>
      <c r="EIM8" s="57"/>
      <c r="EIN8" s="57"/>
      <c r="EIO8" s="57"/>
      <c r="EIP8" s="57"/>
      <c r="EIQ8" s="57"/>
      <c r="EIR8" s="57"/>
      <c r="EIS8" s="57"/>
      <c r="EIT8" s="57"/>
      <c r="EIU8" s="57"/>
      <c r="EIV8" s="57"/>
      <c r="EIW8" s="57"/>
      <c r="EIX8" s="57"/>
      <c r="EIY8" s="57"/>
      <c r="EIZ8" s="57"/>
      <c r="EJA8" s="57"/>
      <c r="EJB8" s="57"/>
      <c r="EJC8" s="57"/>
      <c r="EJD8" s="57"/>
      <c r="EJE8" s="57"/>
      <c r="EJF8" s="57"/>
      <c r="EJG8" s="57"/>
      <c r="EJH8" s="57"/>
      <c r="EJI8" s="57"/>
      <c r="EJJ8" s="57"/>
      <c r="EJK8" s="57"/>
      <c r="EJL8" s="57"/>
      <c r="EJM8" s="57"/>
      <c r="EJN8" s="58"/>
      <c r="EJO8" s="56"/>
      <c r="EJP8" s="57"/>
      <c r="EJQ8" s="57"/>
      <c r="EJR8" s="57"/>
      <c r="EJS8" s="57"/>
      <c r="EJT8" s="57"/>
      <c r="EJU8" s="56"/>
      <c r="EJV8" s="57"/>
      <c r="EJW8" s="57"/>
      <c r="EJX8" s="56"/>
      <c r="EJY8" s="57"/>
      <c r="EJZ8" s="58"/>
      <c r="EKA8" s="56"/>
      <c r="EKB8" s="57"/>
      <c r="EKC8" s="57"/>
      <c r="EKD8" s="57"/>
      <c r="EKE8" s="56"/>
      <c r="EKF8" s="57"/>
      <c r="EKG8" s="57"/>
      <c r="EKH8" s="56"/>
      <c r="EKI8" s="57"/>
      <c r="EKJ8" s="58"/>
      <c r="EKK8" s="56"/>
      <c r="EKL8" s="57"/>
      <c r="EKM8" s="57"/>
      <c r="EKN8" s="57"/>
      <c r="EKO8" s="56"/>
      <c r="EKP8" s="57"/>
      <c r="EKQ8" s="57"/>
      <c r="EKR8" s="56"/>
      <c r="EKS8" s="57"/>
      <c r="EKT8" s="58"/>
      <c r="EKU8" s="56"/>
      <c r="EKV8" s="57"/>
      <c r="EKW8" s="57"/>
      <c r="EKX8" s="57"/>
      <c r="EKY8" s="56"/>
      <c r="EKZ8" s="57"/>
      <c r="ELA8" s="57"/>
      <c r="ELB8" s="56"/>
      <c r="ELC8" s="57"/>
      <c r="ELD8" s="58"/>
      <c r="ELE8" s="56"/>
      <c r="ELF8" s="58"/>
      <c r="ELG8" s="57"/>
      <c r="ELH8" s="56"/>
      <c r="ELI8" s="57"/>
      <c r="ELJ8" s="56"/>
      <c r="ELK8" s="56"/>
      <c r="ELL8" s="56"/>
      <c r="ELM8" s="57"/>
      <c r="ELN8" s="386"/>
      <c r="ELO8" s="57"/>
      <c r="ELP8" s="386"/>
      <c r="ELQ8" s="57"/>
      <c r="ELR8" s="386"/>
      <c r="ELS8" s="57"/>
      <c r="ELT8" s="57"/>
      <c r="ELU8" s="57"/>
      <c r="ELV8" s="57"/>
      <c r="ELW8" s="57"/>
      <c r="ELX8" s="57"/>
      <c r="ELY8" s="57"/>
      <c r="ELZ8" s="57"/>
      <c r="EMA8" s="57"/>
      <c r="EMB8" s="57"/>
      <c r="EMC8" s="57"/>
      <c r="EMD8" s="57"/>
      <c r="EME8" s="57"/>
      <c r="EMF8" s="57"/>
      <c r="EMG8" s="57"/>
      <c r="EMH8" s="57"/>
      <c r="EMI8" s="57"/>
      <c r="EMJ8" s="57"/>
      <c r="EMK8" s="57"/>
      <c r="EML8" s="57"/>
      <c r="EMM8" s="57"/>
      <c r="EMN8" s="57"/>
      <c r="EMO8" s="57"/>
      <c r="EMP8" s="57"/>
      <c r="EMQ8" s="57"/>
      <c r="EMR8" s="57"/>
      <c r="EMS8" s="57"/>
      <c r="EMT8" s="57"/>
      <c r="EMU8" s="57"/>
      <c r="EMV8" s="57"/>
      <c r="EMW8" s="57"/>
      <c r="EMX8" s="58"/>
      <c r="EMY8" s="56"/>
      <c r="EMZ8" s="57"/>
      <c r="ENA8" s="57"/>
      <c r="ENB8" s="57"/>
      <c r="ENC8" s="57"/>
      <c r="END8" s="57"/>
      <c r="ENE8" s="56"/>
      <c r="ENF8" s="57"/>
      <c r="ENG8" s="57"/>
      <c r="ENH8" s="56"/>
      <c r="ENI8" s="57"/>
      <c r="ENJ8" s="58"/>
      <c r="ENK8" s="56"/>
      <c r="ENL8" s="57"/>
      <c r="ENM8" s="57"/>
      <c r="ENN8" s="57"/>
      <c r="ENO8" s="56"/>
      <c r="ENP8" s="57"/>
      <c r="ENQ8" s="57"/>
      <c r="ENR8" s="56"/>
      <c r="ENS8" s="57"/>
      <c r="ENT8" s="58"/>
      <c r="ENU8" s="56"/>
      <c r="ENV8" s="57"/>
      <c r="ENW8" s="57"/>
      <c r="ENX8" s="57"/>
      <c r="ENY8" s="56"/>
      <c r="ENZ8" s="57"/>
      <c r="EOA8" s="57"/>
      <c r="EOB8" s="56"/>
      <c r="EOC8" s="57"/>
      <c r="EOD8" s="58"/>
      <c r="EOE8" s="56"/>
      <c r="EOF8" s="57"/>
      <c r="EOG8" s="57"/>
      <c r="EOH8" s="57"/>
      <c r="EOI8" s="56"/>
      <c r="EOJ8" s="57"/>
      <c r="EOK8" s="57"/>
      <c r="EOL8" s="56"/>
      <c r="EOM8" s="57"/>
      <c r="EON8" s="58"/>
      <c r="EOO8" s="56" t="str">
        <f t="shared" si="75"/>
        <v xml:space="preserve"> </v>
      </c>
    </row>
    <row r="9" spans="1:3873" x14ac:dyDescent="0.3">
      <c r="A9" s="27" t="s">
        <v>114</v>
      </c>
      <c r="B9" s="30"/>
      <c r="C9" s="29"/>
      <c r="D9" s="28" t="str">
        <f t="shared" si="61"/>
        <v xml:space="preserve"> </v>
      </c>
      <c r="E9" s="29"/>
      <c r="F9" s="28"/>
      <c r="G9" s="28"/>
      <c r="H9" s="28"/>
      <c r="I9" s="29"/>
      <c r="J9" s="385"/>
      <c r="K9" s="29"/>
      <c r="L9" s="385"/>
      <c r="M9" s="29"/>
      <c r="N9" s="385"/>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30"/>
      <c r="AU9" s="28"/>
      <c r="AV9" s="29"/>
      <c r="AW9" s="29"/>
      <c r="AX9" s="29"/>
      <c r="AY9" s="29"/>
      <c r="AZ9" s="29"/>
      <c r="BA9" s="28"/>
      <c r="BB9" s="29"/>
      <c r="BC9" s="29"/>
      <c r="BD9" s="28"/>
      <c r="BE9" s="29"/>
      <c r="BF9" s="30"/>
      <c r="BG9" s="28"/>
      <c r="BH9" s="29"/>
      <c r="BI9" s="29"/>
      <c r="BJ9" s="29"/>
      <c r="BK9" s="28"/>
      <c r="BL9" s="29"/>
      <c r="BM9" s="29"/>
      <c r="BN9" s="28"/>
      <c r="BO9" s="29"/>
      <c r="BP9" s="30"/>
      <c r="BQ9" s="28"/>
      <c r="BR9" s="29"/>
      <c r="BS9" s="29"/>
      <c r="BT9" s="29"/>
      <c r="BU9" s="28"/>
      <c r="BV9" s="29"/>
      <c r="BW9" s="29"/>
      <c r="BX9" s="28"/>
      <c r="BY9" s="29"/>
      <c r="BZ9" s="30"/>
      <c r="CA9" s="28"/>
      <c r="CB9" s="29"/>
      <c r="CC9" s="29"/>
      <c r="CD9" s="29"/>
      <c r="CE9" s="28"/>
      <c r="CF9" s="29"/>
      <c r="CG9" s="29"/>
      <c r="CH9" s="28"/>
      <c r="CI9" s="29"/>
      <c r="CJ9" s="30"/>
      <c r="CK9" s="28"/>
      <c r="CL9" s="29"/>
      <c r="CM9" s="29"/>
      <c r="CN9" s="29"/>
      <c r="CO9" s="28"/>
      <c r="CP9" s="29"/>
      <c r="CQ9" s="29"/>
      <c r="CR9" s="28"/>
      <c r="CS9" s="29"/>
      <c r="CT9" s="30"/>
      <c r="CU9" s="28"/>
      <c r="CV9" s="29"/>
      <c r="CW9" s="29"/>
      <c r="CX9" s="29"/>
      <c r="CY9" s="28"/>
      <c r="CZ9" s="29"/>
      <c r="DA9" s="29"/>
      <c r="DB9" s="28"/>
      <c r="DC9" s="29"/>
      <c r="DD9" s="30"/>
      <c r="DE9" s="28"/>
      <c r="DF9" s="29"/>
      <c r="DG9" s="29"/>
      <c r="DH9" s="29"/>
      <c r="DI9" s="28"/>
      <c r="DJ9" s="29"/>
      <c r="DK9" s="29"/>
      <c r="DL9" s="28"/>
      <c r="DM9" s="29"/>
      <c r="DN9" s="30"/>
      <c r="DO9" s="28"/>
      <c r="DP9" s="29"/>
      <c r="DQ9" s="29"/>
      <c r="DR9" s="29"/>
      <c r="DS9" s="28"/>
      <c r="DT9" s="29"/>
      <c r="DU9" s="29"/>
      <c r="DV9" s="28"/>
      <c r="DW9" s="29"/>
      <c r="DX9" s="30"/>
      <c r="DY9" s="28"/>
      <c r="DZ9" s="29"/>
      <c r="EA9" s="29"/>
      <c r="EB9" s="29"/>
      <c r="EC9" s="28"/>
      <c r="ED9" s="29"/>
      <c r="EE9" s="28"/>
      <c r="EF9" s="28"/>
      <c r="EG9" s="29"/>
      <c r="EH9" s="30"/>
      <c r="EI9" s="28"/>
      <c r="EJ9" s="29"/>
      <c r="EK9" s="29"/>
      <c r="EL9" s="29"/>
      <c r="EM9" s="28"/>
      <c r="EN9" s="29"/>
      <c r="EO9" s="33"/>
      <c r="EP9" s="28"/>
      <c r="EQ9" s="29"/>
      <c r="ER9" s="30"/>
      <c r="ES9" s="28"/>
      <c r="ET9" s="29"/>
      <c r="EU9" s="29"/>
      <c r="EV9" s="29"/>
      <c r="EW9" s="28"/>
      <c r="EX9" s="29"/>
      <c r="EY9" s="29"/>
      <c r="EZ9" s="28"/>
      <c r="FA9" s="29"/>
      <c r="FB9" s="30"/>
      <c r="FC9" s="28"/>
      <c r="FD9" s="29"/>
      <c r="FE9" s="29"/>
      <c r="FF9" s="29"/>
      <c r="FG9" s="28"/>
      <c r="FH9" s="29"/>
      <c r="FI9" s="29"/>
      <c r="FJ9" s="28"/>
      <c r="FK9" s="29"/>
      <c r="FL9" s="30"/>
      <c r="FM9" s="28"/>
      <c r="FN9" s="29"/>
      <c r="FO9" s="29"/>
      <c r="FP9" s="29"/>
      <c r="FQ9" s="28"/>
      <c r="FR9" s="29"/>
      <c r="FS9" s="29"/>
      <c r="FT9" s="28"/>
      <c r="FU9" s="29"/>
      <c r="FV9" s="30"/>
      <c r="FW9" s="28"/>
      <c r="FX9" s="29"/>
      <c r="FY9" s="29"/>
      <c r="FZ9" s="29"/>
      <c r="GA9" s="28"/>
      <c r="GB9" s="29"/>
      <c r="GC9" s="29"/>
      <c r="GD9" s="28"/>
      <c r="GE9" s="29"/>
      <c r="GF9" s="30"/>
      <c r="GG9" s="28"/>
      <c r="GH9" s="29"/>
      <c r="GI9" s="29"/>
      <c r="GJ9" s="29"/>
      <c r="GK9" s="28"/>
      <c r="GL9" s="29"/>
      <c r="GM9" s="29"/>
      <c r="GN9" s="28"/>
      <c r="GO9" s="29"/>
      <c r="GP9" s="30"/>
      <c r="GQ9" s="28"/>
      <c r="GR9" s="29"/>
      <c r="GS9" s="29"/>
      <c r="GT9" s="29"/>
      <c r="GU9" s="28"/>
      <c r="GV9" s="29"/>
      <c r="GW9" s="29"/>
      <c r="GX9" s="28"/>
      <c r="GY9" s="29"/>
      <c r="GZ9" s="30"/>
      <c r="HA9" s="28"/>
      <c r="HB9" s="29"/>
      <c r="HC9" s="29"/>
      <c r="HD9" s="29"/>
      <c r="HE9" s="28"/>
      <c r="HF9" s="29"/>
      <c r="HG9" s="29"/>
      <c r="HH9" s="28"/>
      <c r="HI9" s="29"/>
      <c r="HJ9" s="30"/>
      <c r="HK9" s="28"/>
      <c r="HL9" s="29"/>
      <c r="HM9" s="29"/>
      <c r="HN9" s="29"/>
      <c r="HO9" s="28"/>
      <c r="HP9" s="29"/>
      <c r="HQ9" s="29"/>
      <c r="HR9" s="28"/>
      <c r="HS9" s="29"/>
      <c r="HT9" s="30"/>
      <c r="HU9" s="28"/>
      <c r="HV9" s="29"/>
      <c r="HW9" s="29"/>
      <c r="HX9" s="29"/>
      <c r="HY9" s="28"/>
      <c r="HZ9" s="29"/>
      <c r="IA9" s="29"/>
      <c r="IB9" s="28"/>
      <c r="IC9" s="29"/>
      <c r="ID9" s="30"/>
      <c r="IE9" s="28"/>
      <c r="IF9" s="29"/>
      <c r="IG9" s="29"/>
      <c r="IH9" s="29"/>
      <c r="II9" s="28"/>
      <c r="IJ9" s="29"/>
      <c r="IK9" s="29"/>
      <c r="IL9" s="28"/>
      <c r="IM9" s="29"/>
      <c r="IN9" s="30"/>
      <c r="IO9" s="28"/>
      <c r="IP9" s="29"/>
      <c r="IQ9" s="29"/>
      <c r="IR9" s="29"/>
      <c r="IS9" s="28"/>
      <c r="IT9" s="29"/>
      <c r="IU9" s="29"/>
      <c r="IV9" s="28"/>
      <c r="IW9" s="29"/>
      <c r="IX9" s="30"/>
      <c r="IY9" s="28"/>
      <c r="IZ9" s="29"/>
      <c r="JA9" s="29"/>
      <c r="JB9" s="29"/>
      <c r="JC9" s="28"/>
      <c r="JD9" s="29"/>
      <c r="JE9" s="29"/>
      <c r="JF9" s="28"/>
      <c r="JG9" s="29"/>
      <c r="JH9" s="30"/>
      <c r="JI9" s="28"/>
      <c r="JJ9" s="29"/>
      <c r="JK9" s="29"/>
      <c r="JL9" s="29"/>
      <c r="JM9" s="28"/>
      <c r="JN9" s="29"/>
      <c r="JO9" s="29"/>
      <c r="JP9" s="28"/>
      <c r="JQ9" s="29"/>
      <c r="JR9" s="30"/>
      <c r="JS9" s="28"/>
      <c r="JT9" s="29"/>
      <c r="JU9" s="29"/>
      <c r="JV9" s="29"/>
      <c r="JW9" s="28"/>
      <c r="JX9" s="29"/>
      <c r="JY9" s="29"/>
      <c r="JZ9" s="28"/>
      <c r="KA9" s="29"/>
      <c r="KB9" s="30"/>
      <c r="KC9" s="28"/>
      <c r="KD9" s="29"/>
      <c r="KE9" s="29"/>
      <c r="KF9" s="29"/>
      <c r="KG9" s="28"/>
      <c r="KH9" s="29"/>
      <c r="KI9" s="29"/>
      <c r="KJ9" s="28"/>
      <c r="KK9" s="29"/>
      <c r="KL9" s="30"/>
      <c r="KM9" s="28"/>
      <c r="KN9" s="29"/>
      <c r="KO9" s="29"/>
      <c r="KP9" s="29"/>
      <c r="KQ9" s="28"/>
      <c r="KR9" s="29"/>
      <c r="KS9" s="29"/>
      <c r="KT9" s="28"/>
      <c r="KU9" s="29"/>
      <c r="KV9" s="30"/>
      <c r="KW9" s="28"/>
      <c r="KX9" s="29"/>
      <c r="KY9" s="29"/>
      <c r="KZ9" s="29"/>
      <c r="LA9" s="28"/>
      <c r="LB9" s="29"/>
      <c r="LC9" s="29"/>
      <c r="LD9" s="28"/>
      <c r="LE9" s="29"/>
      <c r="LF9" s="30"/>
      <c r="LG9" s="28"/>
      <c r="LH9" s="29"/>
      <c r="LI9" s="29"/>
      <c r="LJ9" s="29"/>
      <c r="LK9" s="28"/>
      <c r="LL9" s="29"/>
      <c r="LM9" s="29"/>
      <c r="LN9" s="28"/>
      <c r="LO9" s="29"/>
      <c r="LP9" s="30"/>
      <c r="LQ9" s="28"/>
      <c r="LR9" s="29"/>
      <c r="LS9" s="29"/>
      <c r="LT9" s="29"/>
      <c r="LU9" s="28"/>
      <c r="LV9" s="29"/>
      <c r="LW9" s="29"/>
      <c r="LX9" s="28"/>
      <c r="LY9" s="29"/>
      <c r="LZ9" s="30"/>
      <c r="MA9" s="28"/>
      <c r="MB9" s="29"/>
      <c r="MC9" s="29"/>
      <c r="MD9" s="29"/>
      <c r="ME9" s="28"/>
      <c r="MF9" s="29"/>
      <c r="MG9" s="29"/>
      <c r="MH9" s="28"/>
      <c r="MI9" s="29"/>
      <c r="MJ9" s="30"/>
      <c r="MK9" s="28"/>
      <c r="ML9" s="29"/>
      <c r="MM9" s="29"/>
      <c r="MN9" s="29"/>
      <c r="MO9" s="28"/>
      <c r="MP9" s="29"/>
      <c r="MQ9" s="29"/>
      <c r="MR9" s="28"/>
      <c r="MS9" s="29"/>
      <c r="MT9" s="30"/>
      <c r="MU9" s="28"/>
      <c r="MV9" s="29"/>
      <c r="MW9" s="29"/>
      <c r="MX9" s="29"/>
      <c r="MY9" s="28"/>
      <c r="MZ9" s="29"/>
      <c r="NA9" s="29"/>
      <c r="NB9" s="28"/>
      <c r="NC9" s="29"/>
      <c r="ND9" s="30"/>
      <c r="NE9" s="28"/>
      <c r="NF9" s="29"/>
      <c r="NG9" s="29"/>
      <c r="NH9" s="29"/>
      <c r="NI9" s="28"/>
      <c r="NJ9" s="29"/>
      <c r="NK9" s="29"/>
      <c r="NL9" s="28"/>
      <c r="NM9" s="29"/>
      <c r="NN9" s="30"/>
      <c r="NO9" s="28"/>
      <c r="NP9" s="29"/>
      <c r="NQ9" s="29"/>
      <c r="NR9" s="29"/>
      <c r="NS9" s="28"/>
      <c r="NT9" s="29"/>
      <c r="NU9" s="29"/>
      <c r="NV9" s="28"/>
      <c r="NW9" s="29"/>
      <c r="NX9" s="30"/>
      <c r="NY9" s="28"/>
      <c r="NZ9" s="29"/>
      <c r="OA9" s="29"/>
      <c r="OB9" s="29"/>
      <c r="OC9" s="28"/>
      <c r="OD9" s="29"/>
      <c r="OE9" s="29"/>
      <c r="OF9" s="30"/>
      <c r="OG9" s="30"/>
      <c r="OH9" s="30"/>
      <c r="OI9" s="28"/>
      <c r="OJ9" s="30"/>
      <c r="OK9" s="30"/>
      <c r="OL9" s="30"/>
      <c r="OM9" s="30"/>
      <c r="ON9" s="30"/>
      <c r="OO9" s="30"/>
      <c r="OP9" s="28"/>
      <c r="OQ9" s="29"/>
      <c r="OR9" s="30"/>
      <c r="OS9" s="28"/>
      <c r="OT9" s="29"/>
      <c r="OU9" s="29"/>
      <c r="OV9" s="29"/>
      <c r="OW9" s="28"/>
      <c r="OX9" s="29"/>
      <c r="OY9" s="29"/>
      <c r="OZ9" s="28"/>
      <c r="PA9" s="29"/>
      <c r="PB9" s="30"/>
      <c r="PC9" s="28"/>
      <c r="PD9" s="29"/>
      <c r="PE9" s="29"/>
      <c r="PF9" s="29"/>
      <c r="PG9" s="28"/>
      <c r="PH9" s="29"/>
      <c r="PI9" s="29"/>
      <c r="PJ9" s="28"/>
      <c r="PK9" s="29"/>
      <c r="PL9" s="30"/>
      <c r="PM9" s="28"/>
      <c r="PN9" s="29"/>
      <c r="PO9" s="29"/>
      <c r="PP9" s="29"/>
      <c r="PQ9" s="28"/>
      <c r="PR9" s="29"/>
      <c r="PS9" s="29"/>
      <c r="PT9" s="28"/>
      <c r="PU9" s="29"/>
      <c r="PV9" s="30"/>
      <c r="PW9" s="28"/>
      <c r="PX9" s="29"/>
      <c r="PY9" s="29"/>
      <c r="PZ9" s="29"/>
      <c r="QA9" s="28"/>
      <c r="QB9" s="29"/>
      <c r="QC9" s="29"/>
      <c r="QD9" s="28"/>
      <c r="QE9" s="29"/>
      <c r="QF9" s="30"/>
      <c r="QG9" s="28"/>
      <c r="QH9" s="29"/>
      <c r="QI9" s="29"/>
      <c r="QJ9" s="29"/>
      <c r="QK9" s="28"/>
      <c r="QL9" s="29"/>
      <c r="QM9" s="29"/>
      <c r="QN9" s="28"/>
      <c r="QO9" s="29"/>
      <c r="QP9" s="30"/>
      <c r="QQ9" s="28"/>
      <c r="QR9" s="29"/>
      <c r="QS9" s="29"/>
      <c r="QT9" s="29"/>
      <c r="QU9" s="28"/>
      <c r="QV9" s="29"/>
      <c r="QW9" s="29"/>
      <c r="QX9" s="28"/>
      <c r="QY9" s="29"/>
      <c r="QZ9" s="30"/>
      <c r="RA9" s="28"/>
      <c r="RB9" s="29"/>
      <c r="RC9" s="29"/>
      <c r="RD9" s="29"/>
      <c r="RE9" s="28"/>
      <c r="RF9" s="29"/>
      <c r="RG9" s="29"/>
      <c r="RH9" s="28"/>
      <c r="RI9" s="29"/>
      <c r="RJ9" s="30"/>
      <c r="RK9" s="28"/>
      <c r="RL9" s="29"/>
      <c r="RM9" s="29"/>
      <c r="RN9" s="29"/>
      <c r="RO9" s="28"/>
      <c r="RP9" s="29"/>
      <c r="RQ9" s="29"/>
      <c r="RR9" s="28"/>
      <c r="RS9" s="29"/>
      <c r="RT9" s="30"/>
      <c r="RU9" s="28"/>
      <c r="RV9" s="29"/>
      <c r="RW9" s="29"/>
      <c r="RX9" s="29"/>
      <c r="RY9" s="28"/>
      <c r="RZ9" s="29"/>
      <c r="SA9" s="29"/>
      <c r="SB9" s="28"/>
      <c r="SC9" s="29"/>
      <c r="SD9" s="30"/>
      <c r="SE9" s="28"/>
      <c r="SF9" s="29"/>
      <c r="SG9" s="29"/>
      <c r="SH9" s="29"/>
      <c r="SI9" s="28"/>
      <c r="SJ9" s="29"/>
      <c r="SK9" s="29"/>
      <c r="SL9" s="28"/>
      <c r="SM9" s="29"/>
      <c r="SN9" s="30"/>
      <c r="SO9" s="28"/>
      <c r="SP9" s="29"/>
      <c r="SQ9" s="29"/>
      <c r="SR9" s="29"/>
      <c r="SS9" s="28"/>
      <c r="ST9" s="29"/>
      <c r="SU9" s="29"/>
      <c r="SV9" s="28"/>
      <c r="SW9" s="29"/>
      <c r="SX9" s="30"/>
      <c r="SY9" s="28"/>
      <c r="SZ9" s="29"/>
      <c r="TA9" s="29"/>
      <c r="TB9" s="29"/>
      <c r="TC9" s="28"/>
      <c r="TD9" s="29"/>
      <c r="TE9" s="29"/>
      <c r="TF9" s="28"/>
      <c r="TG9" s="29"/>
      <c r="TH9" s="30"/>
      <c r="TI9" s="28"/>
      <c r="TJ9" s="29"/>
      <c r="TK9" s="29"/>
      <c r="TL9" s="29"/>
      <c r="TM9" s="28"/>
      <c r="TN9" s="29"/>
      <c r="TO9" s="29"/>
      <c r="TP9" s="28"/>
      <c r="TQ9" s="29"/>
      <c r="TR9" s="30"/>
      <c r="TS9" s="28"/>
      <c r="TT9" s="29"/>
      <c r="TU9" s="29"/>
      <c r="TV9" s="29"/>
      <c r="TW9" s="28"/>
      <c r="TX9" s="29"/>
      <c r="TY9" s="29"/>
      <c r="TZ9" s="28"/>
      <c r="UA9" s="29"/>
      <c r="UB9" s="30"/>
      <c r="UC9" s="28"/>
      <c r="UD9" s="29"/>
      <c r="UE9" s="29"/>
      <c r="UF9" s="29"/>
      <c r="UG9" s="28"/>
      <c r="UH9" s="29"/>
      <c r="UI9" s="29"/>
      <c r="UJ9" s="28"/>
      <c r="UK9" s="29"/>
      <c r="UL9" s="30"/>
      <c r="UM9" s="28"/>
      <c r="UN9" s="29"/>
      <c r="UO9" s="29"/>
      <c r="UP9" s="29"/>
      <c r="UQ9" s="28"/>
      <c r="UR9" s="29"/>
      <c r="US9" s="29"/>
      <c r="UT9" s="28"/>
      <c r="UU9" s="29"/>
      <c r="UV9" s="30"/>
      <c r="UW9" s="28"/>
      <c r="UX9" s="29"/>
      <c r="UY9" s="29"/>
      <c r="UZ9" s="29"/>
      <c r="VA9" s="28"/>
      <c r="VB9" s="29"/>
      <c r="VC9" s="29"/>
      <c r="VD9" s="28"/>
      <c r="VE9" s="29"/>
      <c r="VF9" s="30"/>
      <c r="VG9" s="28"/>
      <c r="VH9" s="29"/>
      <c r="VI9" s="29"/>
      <c r="VJ9" s="29"/>
      <c r="VK9" s="28"/>
      <c r="VL9" s="29"/>
      <c r="VM9" s="29"/>
      <c r="VN9" s="28"/>
      <c r="VO9" s="29"/>
      <c r="VP9" s="30"/>
      <c r="VQ9" s="28"/>
      <c r="VR9" s="29"/>
      <c r="VS9" s="29"/>
      <c r="VT9" s="29"/>
      <c r="VU9" s="28"/>
      <c r="VV9" s="29"/>
      <c r="VW9" s="29"/>
      <c r="VX9" s="28"/>
      <c r="VY9" s="29"/>
      <c r="VZ9" s="30"/>
      <c r="WA9" s="28"/>
      <c r="WB9" s="29"/>
      <c r="WC9" s="29"/>
      <c r="WD9" s="29"/>
      <c r="WE9" s="28"/>
      <c r="WF9" s="29"/>
      <c r="WG9" s="29"/>
      <c r="WH9" s="28"/>
      <c r="WI9" s="29"/>
      <c r="WJ9" s="30"/>
      <c r="WK9" s="28"/>
      <c r="WL9" s="29"/>
      <c r="WM9" s="29"/>
      <c r="WN9" s="29"/>
      <c r="WO9" s="28"/>
      <c r="WP9" s="29"/>
      <c r="WQ9" s="29"/>
      <c r="WR9" s="28"/>
      <c r="WS9" s="29"/>
      <c r="WT9" s="30"/>
      <c r="WU9" s="28"/>
      <c r="WV9" s="29"/>
      <c r="WW9" s="29"/>
      <c r="WX9" s="29"/>
      <c r="WY9" s="28"/>
      <c r="WZ9" s="29"/>
      <c r="XA9" s="29"/>
      <c r="XB9" s="28"/>
      <c r="XC9" s="29"/>
      <c r="XD9" s="30"/>
      <c r="XE9" s="28"/>
      <c r="XF9" s="29"/>
      <c r="XG9" s="29"/>
      <c r="XH9" s="29"/>
      <c r="XI9" s="28"/>
      <c r="XJ9" s="29"/>
      <c r="XK9" s="29"/>
      <c r="XL9" s="28"/>
      <c r="XM9" s="29"/>
      <c r="XN9" s="30"/>
      <c r="XO9" s="28"/>
      <c r="XP9" s="29"/>
      <c r="XQ9" s="29"/>
      <c r="XR9" s="29"/>
      <c r="XS9" s="28"/>
      <c r="XT9" s="29"/>
      <c r="XU9" s="29"/>
      <c r="XV9" s="28"/>
      <c r="XW9" s="29"/>
      <c r="XX9" s="30"/>
      <c r="XY9" s="28"/>
      <c r="XZ9" s="29"/>
      <c r="YA9" s="29"/>
      <c r="YB9" s="29"/>
      <c r="YC9" s="28"/>
      <c r="YD9" s="29"/>
      <c r="YE9" s="29"/>
      <c r="YF9" s="28"/>
      <c r="YG9" s="29"/>
      <c r="YH9" s="30"/>
      <c r="YI9" s="28"/>
      <c r="YJ9" s="29"/>
      <c r="YK9" s="29"/>
      <c r="YL9" s="29"/>
      <c r="YM9" s="28"/>
      <c r="YN9" s="29"/>
      <c r="YO9" s="29"/>
      <c r="YP9" s="28"/>
      <c r="YQ9" s="29"/>
      <c r="YR9" s="30"/>
      <c r="YS9" s="28"/>
      <c r="YT9" s="29"/>
      <c r="YU9" s="29"/>
      <c r="YV9" s="29"/>
      <c r="YW9" s="28"/>
      <c r="YX9" s="29"/>
      <c r="YY9" s="29"/>
      <c r="YZ9" s="28"/>
      <c r="ZA9" s="29"/>
      <c r="ZB9" s="30"/>
      <c r="ZC9" s="28"/>
      <c r="ZD9" s="29"/>
      <c r="ZE9" s="29"/>
      <c r="ZF9" s="29"/>
      <c r="ZG9" s="28"/>
      <c r="ZH9" s="29"/>
      <c r="ZI9" s="29"/>
      <c r="ZJ9" s="28"/>
      <c r="ZK9" s="29"/>
      <c r="ZL9" s="30"/>
      <c r="ZM9" s="28"/>
      <c r="ZN9" s="29"/>
      <c r="ZO9" s="29"/>
      <c r="ZP9" s="29"/>
      <c r="ZQ9" s="28"/>
      <c r="ZR9" s="29"/>
      <c r="ZS9" s="29"/>
      <c r="ZT9" s="28"/>
      <c r="ZU9" s="29"/>
      <c r="ZV9" s="30"/>
      <c r="ZW9" s="28"/>
      <c r="ZX9" s="29"/>
      <c r="ZY9" s="29"/>
      <c r="ZZ9" s="29"/>
      <c r="AAA9" s="28"/>
      <c r="AAB9" s="29"/>
      <c r="AAC9" s="29"/>
      <c r="AAD9" s="28"/>
      <c r="AAE9" s="29"/>
      <c r="AAF9" s="30"/>
      <c r="AAG9" s="28"/>
      <c r="AAH9" s="29"/>
      <c r="AAI9" s="29"/>
      <c r="AAJ9" s="29"/>
      <c r="AAK9" s="28"/>
      <c r="AAL9" s="29"/>
      <c r="AAM9" s="29"/>
      <c r="AAN9" s="28"/>
      <c r="AAO9" s="29"/>
      <c r="AAP9" s="30"/>
      <c r="AAQ9" s="28"/>
      <c r="AAR9" s="29"/>
      <c r="AAS9" s="29"/>
      <c r="AAT9" s="29"/>
      <c r="AAU9" s="28"/>
      <c r="AAV9" s="29"/>
      <c r="AAW9" s="29"/>
      <c r="AAX9" s="30"/>
      <c r="AAY9" s="30"/>
      <c r="AAZ9" s="30"/>
      <c r="ABA9" s="28"/>
      <c r="ABB9" s="30"/>
      <c r="ABC9" s="30"/>
      <c r="ABD9" s="30"/>
      <c r="ABE9" s="30"/>
      <c r="ABF9" s="30"/>
      <c r="ABG9" s="29"/>
      <c r="ABH9" s="28"/>
      <c r="ABI9" s="29"/>
      <c r="ABJ9" s="30"/>
      <c r="ABK9" s="28"/>
      <c r="ABL9" s="29"/>
      <c r="ABM9" s="29"/>
      <c r="ABN9" s="29"/>
      <c r="ABO9" s="28"/>
      <c r="ABP9" s="29"/>
      <c r="ABQ9" s="29"/>
      <c r="ABR9" s="28"/>
      <c r="ABS9" s="29"/>
      <c r="ABT9" s="30"/>
      <c r="ABU9" s="28"/>
      <c r="ABV9" s="29"/>
      <c r="ABW9" s="29"/>
      <c r="ABX9" s="29"/>
      <c r="ABY9" s="28"/>
      <c r="ABZ9" s="29"/>
      <c r="ACA9" s="29"/>
      <c r="ACB9" s="28"/>
      <c r="ACC9" s="29"/>
      <c r="ACD9" s="30"/>
      <c r="ACE9" s="28"/>
      <c r="ACF9" s="29"/>
      <c r="ACG9" s="29"/>
      <c r="ACH9" s="29"/>
      <c r="ACI9" s="28"/>
      <c r="ACJ9" s="29"/>
      <c r="ACK9" s="29"/>
      <c r="ACL9" s="28"/>
      <c r="ACM9" s="29"/>
      <c r="ACN9" s="30"/>
      <c r="ACO9" s="28"/>
      <c r="ACP9" s="29"/>
      <c r="ACQ9" s="29"/>
      <c r="ACR9" s="29"/>
      <c r="ACS9" s="28"/>
      <c r="ACT9" s="29"/>
      <c r="ACU9" s="29"/>
      <c r="ACV9" s="28"/>
      <c r="ACW9" s="29"/>
      <c r="ACX9" s="30"/>
      <c r="ACY9" s="28"/>
      <c r="ACZ9" s="29"/>
      <c r="ADA9" s="29"/>
      <c r="ADB9" s="29"/>
      <c r="ADC9" s="28"/>
      <c r="ADD9" s="29"/>
      <c r="ADE9" s="29"/>
      <c r="ADF9" s="28"/>
      <c r="ADG9" s="29"/>
      <c r="ADH9" s="30"/>
      <c r="ADI9" s="28"/>
      <c r="ADJ9" s="29"/>
      <c r="ADK9" s="29"/>
      <c r="ADL9" s="29"/>
      <c r="ADM9" s="28"/>
      <c r="ADN9" s="29"/>
      <c r="ADO9" s="29"/>
      <c r="ADP9" s="28"/>
      <c r="ADQ9" s="29"/>
      <c r="ADR9" s="30"/>
      <c r="ADS9" s="28"/>
      <c r="ADT9" s="29"/>
      <c r="ADU9" s="29"/>
      <c r="ADV9" s="29"/>
      <c r="ADW9" s="28"/>
      <c r="ADX9" s="29"/>
      <c r="ADY9" s="29"/>
      <c r="ADZ9" s="28"/>
      <c r="AEA9" s="29"/>
      <c r="AEB9" s="30"/>
      <c r="AEC9" s="28"/>
      <c r="AED9" s="29"/>
      <c r="AEE9" s="29"/>
      <c r="AEF9" s="29"/>
      <c r="AEG9" s="28"/>
      <c r="AEH9" s="29"/>
      <c r="AEI9" s="29"/>
      <c r="AEJ9" s="28"/>
      <c r="AEK9" s="29"/>
      <c r="AEL9" s="30"/>
      <c r="AEM9" s="28"/>
      <c r="AEN9" s="29"/>
      <c r="AEO9" s="29"/>
      <c r="AEP9" s="29"/>
      <c r="AEQ9" s="28"/>
      <c r="AER9" s="29"/>
      <c r="AES9" s="29"/>
      <c r="AET9" s="28"/>
      <c r="AEU9" s="29"/>
      <c r="AEV9" s="30"/>
      <c r="AEW9" s="28"/>
      <c r="AEX9" s="29"/>
      <c r="AEY9" s="29"/>
      <c r="AEZ9" s="29"/>
      <c r="AFA9" s="28"/>
      <c r="AFB9" s="29"/>
      <c r="AFC9" s="29"/>
      <c r="AFD9" s="28"/>
      <c r="AFE9" s="29"/>
      <c r="AFF9" s="30"/>
      <c r="AFG9" s="28"/>
      <c r="AFH9" s="29"/>
      <c r="AFI9" s="29"/>
      <c r="AFJ9" s="29"/>
      <c r="AFK9" s="28"/>
      <c r="AFL9" s="29"/>
      <c r="AFM9" s="29"/>
      <c r="AFN9" s="28"/>
      <c r="AFO9" s="29"/>
      <c r="AFP9" s="30"/>
      <c r="AFQ9" s="28"/>
      <c r="AFR9" s="29"/>
      <c r="AFS9" s="29"/>
      <c r="AFT9" s="29"/>
      <c r="AFU9" s="28"/>
      <c r="AFV9" s="29"/>
      <c r="AFW9" s="29"/>
      <c r="AFX9" s="28"/>
      <c r="AFY9" s="29"/>
      <c r="AFZ9" s="30"/>
      <c r="AGA9" s="28"/>
      <c r="AGB9" s="29"/>
      <c r="AGC9" s="29"/>
      <c r="AGD9" s="29"/>
      <c r="AGE9" s="28"/>
      <c r="AGF9" s="29"/>
      <c r="AGG9" s="29"/>
      <c r="AGH9" s="28"/>
      <c r="AGI9" s="29"/>
      <c r="AGJ9" s="30"/>
      <c r="AGK9" s="28"/>
      <c r="AGL9" s="29"/>
      <c r="AGM9" s="29"/>
      <c r="AGN9" s="29"/>
      <c r="AGO9" s="28"/>
      <c r="AGP9" s="29"/>
      <c r="AGQ9" s="29"/>
      <c r="AGR9" s="28"/>
      <c r="AGS9" s="29"/>
      <c r="AGT9" s="30"/>
      <c r="AGU9" s="28"/>
      <c r="AGV9" s="29"/>
      <c r="AGW9" s="29"/>
      <c r="AGX9" s="29"/>
      <c r="AGY9" s="28"/>
      <c r="AGZ9" s="29"/>
      <c r="AHA9" s="29"/>
      <c r="AHB9" s="28"/>
      <c r="AHC9" s="29"/>
      <c r="AHD9" s="30"/>
      <c r="AHE9" s="28"/>
      <c r="AHF9" s="29"/>
      <c r="AHG9" s="29"/>
      <c r="AHH9" s="29"/>
      <c r="AHI9" s="28"/>
      <c r="AHJ9" s="29"/>
      <c r="AHK9" s="29"/>
      <c r="AHL9" s="28"/>
      <c r="AHM9" s="29"/>
      <c r="AHN9" s="30"/>
      <c r="AHO9" s="28"/>
      <c r="AHP9" s="29"/>
      <c r="AHQ9" s="29"/>
      <c r="AHR9" s="29"/>
      <c r="AHS9" s="28"/>
      <c r="AHT9" s="29"/>
      <c r="AHU9" s="29"/>
      <c r="AHV9" s="28"/>
      <c r="AHW9" s="29"/>
      <c r="AHX9" s="30"/>
      <c r="AHY9" s="28"/>
      <c r="AHZ9" s="29"/>
      <c r="AIA9" s="29"/>
      <c r="AIB9" s="29"/>
      <c r="AIC9" s="28"/>
      <c r="AID9" s="29"/>
      <c r="AIE9" s="29"/>
      <c r="AIF9" s="28"/>
      <c r="AIG9" s="29"/>
      <c r="AIH9" s="30"/>
      <c r="AII9" s="28"/>
      <c r="AIJ9" s="29"/>
      <c r="AIK9" s="29"/>
      <c r="AIL9" s="29"/>
      <c r="AIM9" s="28"/>
      <c r="AIN9" s="29"/>
      <c r="AIO9" s="29"/>
      <c r="AIP9" s="28"/>
      <c r="AIQ9" s="29"/>
      <c r="AIR9" s="30"/>
      <c r="AIS9" s="28"/>
      <c r="AIT9" s="29"/>
      <c r="AIU9" s="29"/>
      <c r="AIV9" s="29"/>
      <c r="AIW9" s="28"/>
      <c r="AIX9" s="29"/>
      <c r="AIY9" s="29"/>
      <c r="AIZ9" s="28"/>
      <c r="AJA9" s="29"/>
      <c r="AJB9" s="30"/>
      <c r="AJC9" s="28"/>
      <c r="AJD9" s="29"/>
      <c r="AJE9" s="29"/>
      <c r="AJF9" s="29"/>
      <c r="AJG9" s="28"/>
      <c r="AJH9" s="29"/>
      <c r="AJI9" s="29"/>
      <c r="AJJ9" s="28"/>
      <c r="AJK9" s="29"/>
      <c r="AJL9" s="30"/>
      <c r="AJM9" s="28"/>
      <c r="AJN9" s="29"/>
      <c r="AJO9" s="29"/>
      <c r="AJP9" s="29"/>
      <c r="AJQ9" s="28"/>
      <c r="AJR9" s="29"/>
      <c r="AJS9" s="29"/>
      <c r="AJT9" s="28"/>
      <c r="AJU9" s="29"/>
      <c r="AJV9" s="30"/>
      <c r="AJW9" s="28"/>
      <c r="AJX9" s="29"/>
      <c r="AJY9" s="29"/>
      <c r="AJZ9" s="29"/>
      <c r="AKA9" s="28"/>
      <c r="AKB9" s="29"/>
      <c r="AKC9" s="29"/>
      <c r="AKD9" s="28"/>
      <c r="AKE9" s="29"/>
      <c r="AKF9" s="30"/>
      <c r="AKG9" s="28"/>
      <c r="AKH9" s="29"/>
      <c r="AKI9" s="29"/>
      <c r="AKJ9" s="29"/>
      <c r="AKK9" s="28"/>
      <c r="AKL9" s="29"/>
      <c r="AKM9" s="29"/>
      <c r="AKN9" s="28"/>
      <c r="AKO9" s="29"/>
      <c r="AKP9" s="30"/>
      <c r="AKQ9" s="28"/>
      <c r="AKR9" s="29"/>
      <c r="AKS9" s="29"/>
      <c r="AKT9" s="29"/>
      <c r="AKU9" s="28"/>
      <c r="AKV9" s="29"/>
      <c r="AKW9" s="29"/>
      <c r="AKX9" s="28"/>
      <c r="AKY9" s="29"/>
      <c r="AKZ9" s="30"/>
      <c r="ALA9" s="28"/>
      <c r="ALB9" s="29"/>
      <c r="ALC9" s="29"/>
      <c r="ALD9" s="29"/>
      <c r="ALE9" s="28"/>
      <c r="ALF9" s="29"/>
      <c r="ALG9" s="29"/>
      <c r="ALH9" s="29"/>
      <c r="ALI9" s="29"/>
      <c r="ALJ9" s="29"/>
      <c r="ALK9" s="28"/>
      <c r="ALL9" s="29"/>
      <c r="ALM9" s="29"/>
      <c r="ALN9" s="28"/>
      <c r="ALO9" s="29"/>
      <c r="ALP9" s="30"/>
      <c r="ALQ9" s="28"/>
      <c r="ALR9" s="29"/>
      <c r="ALS9" s="29"/>
      <c r="ALT9" s="29"/>
      <c r="ALU9" s="28"/>
      <c r="ALV9" s="29"/>
      <c r="ALW9" s="29"/>
      <c r="ALX9" s="28"/>
      <c r="ALY9" s="29"/>
      <c r="ALZ9" s="30"/>
      <c r="AMA9" s="28"/>
      <c r="AMB9" s="29"/>
      <c r="AMC9" s="29"/>
      <c r="AMD9" s="29"/>
      <c r="AME9" s="28"/>
      <c r="AMF9" s="29"/>
      <c r="AMG9" s="29"/>
      <c r="AMH9" s="29"/>
      <c r="AMI9" s="29"/>
      <c r="AMJ9" s="29"/>
      <c r="AMK9" s="28"/>
      <c r="AML9" s="29"/>
      <c r="AMM9" s="29"/>
      <c r="AMN9" s="28"/>
      <c r="AMO9" s="29"/>
      <c r="AMP9" s="30"/>
      <c r="AMQ9" s="28"/>
      <c r="AMR9" s="29"/>
      <c r="AMS9" s="29"/>
      <c r="AMT9" s="29"/>
      <c r="AMU9" s="28"/>
      <c r="AMV9" s="29"/>
      <c r="AMW9" s="29"/>
      <c r="AMX9" s="28"/>
      <c r="AMY9" s="29"/>
      <c r="AMZ9" s="30"/>
      <c r="ANA9" s="28"/>
      <c r="ANB9" s="29"/>
      <c r="ANC9" s="29"/>
      <c r="AND9" s="29"/>
      <c r="ANE9" s="28"/>
      <c r="ANF9" s="29"/>
      <c r="ANG9" s="29"/>
      <c r="ANH9" s="29"/>
      <c r="ANI9" s="29"/>
      <c r="ANJ9" s="29"/>
      <c r="ANK9" s="28"/>
      <c r="ANL9" s="29"/>
      <c r="ANM9" s="29"/>
      <c r="ANN9" s="28"/>
      <c r="ANO9" s="29"/>
      <c r="ANP9" s="30"/>
      <c r="ANQ9" s="28"/>
      <c r="ANR9" s="29"/>
      <c r="ANS9" s="29"/>
      <c r="ANT9" s="29"/>
      <c r="ANU9" s="28"/>
      <c r="ANV9" s="29"/>
      <c r="ANW9" s="29"/>
      <c r="ANX9" s="28"/>
      <c r="ANY9" s="29"/>
      <c r="ANZ9" s="30"/>
      <c r="AOA9" s="28"/>
      <c r="AOB9" s="29"/>
      <c r="AOC9" s="29"/>
      <c r="AOD9" s="29"/>
      <c r="AOE9" s="28"/>
      <c r="AOF9" s="29"/>
      <c r="AOG9" s="29"/>
      <c r="AOH9" s="29"/>
      <c r="AOI9" s="29"/>
      <c r="AOJ9" s="29"/>
      <c r="AOK9" s="28"/>
      <c r="AOL9" s="29"/>
      <c r="AOM9" s="29"/>
      <c r="AON9" s="28"/>
      <c r="AOO9" s="29"/>
      <c r="AOP9" s="30"/>
      <c r="AOQ9" s="28"/>
      <c r="AOR9" s="29"/>
      <c r="AOS9" s="29"/>
      <c r="AOT9" s="29"/>
      <c r="AOU9" s="28"/>
      <c r="AOV9" s="29"/>
      <c r="AOW9" s="29"/>
      <c r="AOX9" s="28"/>
      <c r="AOY9" s="29"/>
      <c r="AOZ9" s="30"/>
      <c r="APA9" s="28"/>
      <c r="APB9" s="29"/>
      <c r="APC9" s="29"/>
      <c r="APD9" s="29"/>
      <c r="APE9" s="28"/>
      <c r="APF9" s="29"/>
      <c r="APG9" s="29"/>
      <c r="APH9" s="29"/>
      <c r="API9" s="29"/>
      <c r="APJ9" s="29"/>
      <c r="APK9" s="28"/>
      <c r="APL9" s="29"/>
      <c r="APM9" s="29"/>
      <c r="APN9" s="28"/>
      <c r="APO9" s="29"/>
      <c r="APP9" s="30"/>
      <c r="APQ9" s="28"/>
      <c r="APR9" s="29"/>
      <c r="APS9" s="29"/>
      <c r="APT9" s="29"/>
      <c r="APU9" s="28"/>
      <c r="APV9" s="29"/>
      <c r="APW9" s="29"/>
      <c r="APX9" s="28"/>
      <c r="APY9" s="29"/>
      <c r="APZ9" s="30"/>
      <c r="AQA9" s="28"/>
      <c r="AQB9" s="29"/>
      <c r="AQC9" s="29"/>
      <c r="AQD9" s="29"/>
      <c r="AQE9" s="28"/>
      <c r="AQF9" s="29"/>
      <c r="AQG9" s="29"/>
      <c r="AQH9" s="29"/>
      <c r="AQI9" s="29"/>
      <c r="AQJ9" s="29"/>
      <c r="AQK9" s="28"/>
      <c r="AQL9" s="29"/>
      <c r="AQM9" s="29"/>
      <c r="AQN9" s="28"/>
      <c r="AQO9" s="29"/>
      <c r="AQP9" s="30"/>
      <c r="AQQ9" s="28"/>
      <c r="AQR9" s="29"/>
      <c r="AQS9" s="29"/>
      <c r="AQT9" s="29"/>
      <c r="AQU9" s="28"/>
      <c r="AQV9" s="29"/>
      <c r="AQW9" s="29"/>
      <c r="AQX9" s="28"/>
      <c r="AQY9" s="29"/>
      <c r="AQZ9" s="30"/>
      <c r="ARA9" s="28"/>
      <c r="ARB9" s="29"/>
      <c r="ARC9" s="29"/>
      <c r="ARD9" s="29"/>
      <c r="ARE9" s="28"/>
      <c r="ARF9" s="29"/>
      <c r="ARG9" s="29"/>
      <c r="ARH9" s="29"/>
      <c r="ARI9" s="29"/>
      <c r="ARJ9" s="29"/>
      <c r="ARK9" s="28"/>
      <c r="ARL9" s="29"/>
      <c r="ARM9" s="29"/>
      <c r="ARN9" s="28"/>
      <c r="ARO9" s="29"/>
      <c r="ARP9" s="30"/>
      <c r="ARQ9" s="28"/>
      <c r="ARR9" s="29"/>
      <c r="ARS9" s="29"/>
      <c r="ART9" s="29"/>
      <c r="ARU9" s="28"/>
      <c r="ARV9" s="29"/>
      <c r="ARW9" s="29"/>
      <c r="ARX9" s="28"/>
      <c r="ARY9" s="29"/>
      <c r="ARZ9" s="30"/>
      <c r="ASA9" s="28"/>
      <c r="ASB9" s="29"/>
      <c r="ASC9" s="29"/>
      <c r="ASD9" s="29"/>
      <c r="ASE9" s="28"/>
      <c r="ASF9" s="29"/>
      <c r="ASG9" s="29"/>
      <c r="ASH9" s="29"/>
      <c r="ASI9" s="29"/>
      <c r="ASJ9" s="29"/>
      <c r="ASK9" s="28"/>
      <c r="ASL9" s="29"/>
      <c r="ASM9" s="29"/>
      <c r="ASN9" s="28"/>
      <c r="ASO9" s="29"/>
      <c r="ASP9" s="30"/>
      <c r="ASQ9" s="28"/>
      <c r="ASR9" s="29"/>
      <c r="ASS9" s="29"/>
      <c r="AST9" s="29"/>
      <c r="ASU9" s="28"/>
      <c r="ASV9" s="29"/>
      <c r="ASW9" s="29"/>
      <c r="ASX9" s="28"/>
      <c r="ASY9" s="29"/>
      <c r="ASZ9" s="30"/>
      <c r="ATA9" s="28"/>
      <c r="ATB9" s="29"/>
      <c r="ATC9" s="29"/>
      <c r="ATD9" s="29"/>
      <c r="ATE9" s="28"/>
      <c r="ATF9" s="29"/>
      <c r="ATG9" s="29"/>
      <c r="ATH9" s="29"/>
      <c r="ATI9" s="29"/>
      <c r="ATJ9" s="29"/>
      <c r="ATK9" s="28"/>
      <c r="ATL9" s="29"/>
      <c r="ATM9" s="29"/>
      <c r="ATN9" s="28"/>
      <c r="ATO9" s="29"/>
      <c r="ATP9" s="30"/>
      <c r="ATQ9" s="28"/>
      <c r="ATR9" s="29"/>
      <c r="ATS9" s="29"/>
      <c r="ATT9" s="29"/>
      <c r="ATU9" s="28"/>
      <c r="ATV9" s="29"/>
      <c r="ATW9" s="29"/>
      <c r="ATX9" s="28"/>
      <c r="ATY9" s="29"/>
      <c r="ATZ9" s="30"/>
      <c r="AUA9" s="28"/>
      <c r="AUB9" s="29"/>
      <c r="AUC9" s="29"/>
      <c r="AUD9" s="29"/>
      <c r="AUE9" s="28"/>
      <c r="AUF9" s="29"/>
      <c r="AUG9" s="29"/>
      <c r="AUH9" s="29"/>
      <c r="AUI9" s="29"/>
      <c r="AUJ9" s="29"/>
      <c r="AUK9" s="28"/>
      <c r="AUL9" s="29"/>
      <c r="AUM9" s="29"/>
      <c r="AUN9" s="28"/>
      <c r="AUO9" s="29"/>
      <c r="AUP9" s="30"/>
      <c r="AUQ9" s="28"/>
      <c r="AUR9" s="29"/>
      <c r="AUS9" s="29"/>
      <c r="AUT9" s="29"/>
      <c r="AUU9" s="28"/>
      <c r="AUV9" s="29"/>
      <c r="AUW9" s="29"/>
      <c r="AUX9" s="28"/>
      <c r="AUY9" s="29"/>
      <c r="AUZ9" s="30"/>
      <c r="AVA9" s="28"/>
      <c r="AVB9" s="29"/>
      <c r="AVC9" s="29"/>
      <c r="AVD9" s="29"/>
      <c r="AVE9" s="28"/>
      <c r="AVF9" s="29"/>
      <c r="AVG9" s="29"/>
      <c r="AVH9" s="29"/>
      <c r="AVI9" s="29"/>
      <c r="AVJ9" s="29"/>
      <c r="AVK9" s="28"/>
      <c r="AVL9" s="29"/>
      <c r="AVM9" s="29"/>
      <c r="AVN9" s="28"/>
      <c r="AVO9" s="29"/>
      <c r="AVP9" s="30"/>
      <c r="AVQ9" s="28"/>
      <c r="AVR9" s="29"/>
      <c r="AVS9" s="29"/>
      <c r="AVT9" s="29"/>
      <c r="AVU9" s="28"/>
      <c r="AVV9" s="29"/>
      <c r="AVW9" s="29"/>
      <c r="AVX9" s="28"/>
      <c r="AVY9" s="29"/>
      <c r="AVZ9" s="30"/>
      <c r="AWA9" s="28"/>
      <c r="AWB9" s="29"/>
      <c r="AWC9" s="29"/>
      <c r="AWD9" s="29"/>
      <c r="AWE9" s="28"/>
      <c r="AWF9" s="29"/>
      <c r="AWG9" s="29"/>
      <c r="AWH9" s="29"/>
      <c r="AWI9" s="29"/>
      <c r="AWJ9" s="29"/>
      <c r="AWK9" s="28"/>
      <c r="AWL9" s="29"/>
      <c r="AWM9" s="29"/>
      <c r="AWN9" s="28"/>
      <c r="AWO9" s="29"/>
      <c r="AWP9" s="30"/>
      <c r="AWQ9" s="28"/>
      <c r="AWR9" s="29"/>
      <c r="AWS9" s="29"/>
      <c r="AWT9" s="29"/>
      <c r="AWU9" s="28"/>
      <c r="AWV9" s="29"/>
      <c r="AWW9" s="29"/>
      <c r="AWX9" s="28"/>
      <c r="AWY9" s="29"/>
      <c r="AWZ9" s="30"/>
      <c r="AXA9" s="28"/>
      <c r="AXB9" s="29"/>
      <c r="AXC9" s="29"/>
      <c r="AXD9" s="29"/>
      <c r="AXE9" s="28"/>
      <c r="AXF9" s="29"/>
      <c r="AXG9" s="29"/>
      <c r="AXH9" s="29"/>
      <c r="AXI9" s="29"/>
      <c r="AXJ9" s="29"/>
      <c r="AXK9" s="28"/>
      <c r="AXL9" s="29"/>
      <c r="AXM9" s="29"/>
      <c r="AXN9" s="28"/>
      <c r="AXO9" s="29"/>
      <c r="AXP9" s="30"/>
      <c r="AXQ9" s="28"/>
      <c r="AXR9" s="29"/>
      <c r="AXS9" s="29"/>
      <c r="AXT9" s="29"/>
      <c r="AXU9" s="28"/>
      <c r="AXV9" s="29"/>
      <c r="AXW9" s="29"/>
      <c r="AXX9" s="28"/>
      <c r="AXY9" s="29"/>
      <c r="AXZ9" s="30"/>
      <c r="AYA9" s="28"/>
      <c r="AYB9" s="29"/>
      <c r="AYC9" s="29"/>
      <c r="AYD9" s="29"/>
      <c r="AYE9" s="28"/>
      <c r="AYF9" s="29"/>
      <c r="AYG9" s="29"/>
      <c r="AYH9" s="29"/>
      <c r="AYI9" s="29"/>
      <c r="AYJ9" s="29"/>
      <c r="AYK9" s="28"/>
      <c r="AYL9" s="29"/>
      <c r="AYM9" s="29"/>
      <c r="AYN9" s="28"/>
      <c r="AYO9" s="29"/>
      <c r="AYP9" s="30"/>
      <c r="AYQ9" s="28"/>
      <c r="AYR9" s="29"/>
      <c r="AYS9" s="29"/>
      <c r="AYT9" s="29"/>
      <c r="AYU9" s="28"/>
      <c r="AYV9" s="29"/>
      <c r="AYW9" s="29"/>
      <c r="AYX9" s="28"/>
      <c r="AYY9" s="29"/>
      <c r="AYZ9" s="30"/>
      <c r="AZA9" s="28"/>
      <c r="AZB9" s="29"/>
      <c r="AZC9" s="29"/>
      <c r="AZD9" s="29"/>
      <c r="AZE9" s="28"/>
      <c r="AZF9" s="29"/>
      <c r="AZG9" s="29"/>
      <c r="AZH9" s="29"/>
      <c r="AZI9" s="29"/>
      <c r="AZJ9" s="29"/>
      <c r="AZK9" s="28"/>
      <c r="AZL9" s="29"/>
      <c r="AZM9" s="29"/>
      <c r="AZN9" s="28"/>
      <c r="AZO9" s="29"/>
      <c r="AZP9" s="30"/>
      <c r="AZQ9" s="28"/>
      <c r="AZR9" s="29"/>
      <c r="AZS9" s="29"/>
      <c r="AZT9" s="29"/>
      <c r="AZU9" s="28"/>
      <c r="AZV9" s="29"/>
      <c r="AZW9" s="29"/>
      <c r="AZX9" s="28"/>
      <c r="AZY9" s="29"/>
      <c r="AZZ9" s="30"/>
      <c r="BAA9" s="28"/>
      <c r="BAB9" s="29"/>
      <c r="BAC9" s="29"/>
      <c r="BAD9" s="29"/>
      <c r="BAE9" s="28"/>
      <c r="BAF9" s="29"/>
      <c r="BAG9" s="29"/>
      <c r="BAH9" s="29"/>
      <c r="BAI9" s="29"/>
      <c r="BAJ9" s="29"/>
      <c r="BAK9" s="28"/>
      <c r="BAL9" s="29"/>
      <c r="BAM9" s="29"/>
      <c r="BAN9" s="28"/>
      <c r="BAO9" s="29"/>
      <c r="BAP9" s="30"/>
      <c r="BAQ9" s="28"/>
      <c r="BAR9" s="29"/>
      <c r="BAS9" s="29"/>
      <c r="BAT9" s="29"/>
      <c r="BAU9" s="28"/>
      <c r="BAV9" s="29"/>
      <c r="BAW9" s="29"/>
      <c r="BAX9" s="28"/>
      <c r="BAY9" s="29"/>
      <c r="BAZ9" s="30"/>
      <c r="BBA9" s="28"/>
      <c r="BBB9" s="29"/>
      <c r="BBC9" s="29"/>
      <c r="BBD9" s="29"/>
      <c r="BBE9" s="28"/>
      <c r="BBF9" s="29"/>
      <c r="BBG9" s="29"/>
      <c r="BBH9" s="29"/>
      <c r="BBI9" s="29"/>
      <c r="BBJ9" s="29"/>
      <c r="BBK9" s="28"/>
      <c r="BBL9" s="29"/>
      <c r="BBM9" s="29"/>
      <c r="BBN9" s="28"/>
      <c r="BBO9" s="29"/>
      <c r="BBP9" s="30"/>
      <c r="BBQ9" s="28"/>
      <c r="BBR9" s="29"/>
      <c r="BBS9" s="29"/>
      <c r="BBT9" s="29"/>
      <c r="BBU9" s="28"/>
      <c r="BBV9" s="29"/>
      <c r="BBW9" s="29"/>
      <c r="BBX9" s="28"/>
      <c r="BBY9" s="29"/>
      <c r="BBZ9" s="30"/>
      <c r="BCA9" s="28"/>
      <c r="BCB9" s="29"/>
      <c r="BCC9" s="29"/>
      <c r="BCD9" s="29"/>
      <c r="BCE9" s="28"/>
      <c r="BCF9" s="29"/>
      <c r="BCG9" s="29"/>
      <c r="BCH9" s="29"/>
      <c r="BCI9" s="29"/>
      <c r="BCJ9" s="29"/>
      <c r="BCK9" s="28"/>
      <c r="BCL9" s="29"/>
      <c r="BCM9" s="29"/>
      <c r="BCN9" s="28"/>
      <c r="BCO9" s="29"/>
      <c r="BCP9" s="30"/>
      <c r="BCQ9" s="28"/>
      <c r="BCR9" s="29"/>
      <c r="BCS9" s="29"/>
      <c r="BCT9" s="29"/>
      <c r="BCU9" s="28"/>
      <c r="BCV9" s="29"/>
      <c r="BCW9" s="29"/>
      <c r="BCX9" s="28"/>
      <c r="BCY9" s="29"/>
      <c r="BCZ9" s="30"/>
      <c r="BDA9" s="28"/>
      <c r="BDB9" s="29"/>
      <c r="BDC9" s="29"/>
      <c r="BDD9" s="29"/>
      <c r="BDE9" s="28"/>
      <c r="BDF9" s="29"/>
      <c r="BDG9" s="29"/>
      <c r="BDH9" s="29"/>
      <c r="BDI9" s="29"/>
      <c r="BDJ9" s="29"/>
      <c r="BDK9" s="28"/>
      <c r="BDL9" s="29"/>
      <c r="BDM9" s="29"/>
      <c r="BDN9" s="28"/>
      <c r="BDO9" s="29"/>
      <c r="BDP9" s="30"/>
      <c r="BDQ9" s="28"/>
      <c r="BDR9" s="29"/>
      <c r="BDS9" s="29"/>
      <c r="BDT9" s="29"/>
      <c r="BDU9" s="28"/>
      <c r="BDV9" s="29"/>
      <c r="BDW9" s="29"/>
      <c r="BDX9" s="28"/>
      <c r="BDY9" s="29"/>
      <c r="BDZ9" s="30"/>
      <c r="BEA9" s="28"/>
      <c r="BEB9" s="29"/>
      <c r="BEC9" s="29"/>
      <c r="BED9" s="29"/>
      <c r="BEE9" s="28"/>
      <c r="BEF9" s="29"/>
      <c r="BEG9" s="29"/>
      <c r="BEH9" s="29"/>
      <c r="BEI9" s="29"/>
      <c r="BEJ9" s="29"/>
      <c r="BEK9" s="28"/>
      <c r="BEL9" s="29"/>
      <c r="BEM9" s="29"/>
      <c r="BEN9" s="28"/>
      <c r="BEO9" s="29"/>
      <c r="BEP9" s="30"/>
      <c r="BEQ9" s="28"/>
      <c r="BER9" s="29"/>
      <c r="BES9" s="29"/>
      <c r="BET9" s="29"/>
      <c r="BEU9" s="28"/>
      <c r="BEV9" s="29"/>
      <c r="BEW9" s="29"/>
      <c r="BEX9" s="28"/>
      <c r="BEY9" s="29"/>
      <c r="BEZ9" s="30"/>
      <c r="BFA9" s="28"/>
      <c r="BFB9" s="29"/>
      <c r="BFC9" s="29"/>
      <c r="BFD9" s="29"/>
      <c r="BFE9" s="28"/>
      <c r="BFF9" s="29"/>
      <c r="BFG9" s="29"/>
      <c r="BFH9" s="29"/>
      <c r="BFI9" s="29"/>
      <c r="BFJ9" s="29"/>
      <c r="BFK9" s="28"/>
      <c r="BFL9" s="29"/>
      <c r="BFM9" s="29"/>
      <c r="BFN9" s="28"/>
      <c r="BFO9" s="29"/>
      <c r="BFP9" s="30"/>
      <c r="BFQ9" s="28"/>
      <c r="BFR9" s="29"/>
      <c r="BFS9" s="29"/>
      <c r="BFT9" s="29"/>
      <c r="BFU9" s="28"/>
      <c r="BFV9" s="29"/>
      <c r="BFW9" s="29"/>
      <c r="BFX9" s="28"/>
      <c r="BFY9" s="29"/>
      <c r="BFZ9" s="30"/>
      <c r="BGA9" s="28"/>
      <c r="BGB9" s="29"/>
      <c r="BGC9" s="29"/>
      <c r="BGD9" s="29"/>
      <c r="BGE9" s="28"/>
      <c r="BGF9" s="29"/>
      <c r="BGG9" s="29"/>
      <c r="BGH9" s="29"/>
      <c r="BGI9" s="29"/>
      <c r="BGJ9" s="29"/>
      <c r="BGK9" s="28"/>
      <c r="BGL9" s="29"/>
      <c r="BGM9" s="29"/>
      <c r="BGN9" s="28"/>
      <c r="BGO9" s="29"/>
      <c r="BGP9" s="30"/>
      <c r="BGQ9" s="28"/>
      <c r="BGR9" s="29"/>
      <c r="BGS9" s="29"/>
      <c r="BGT9" s="29"/>
      <c r="BGU9" s="28"/>
      <c r="BGV9" s="29"/>
      <c r="BGW9" s="29"/>
      <c r="BGX9" s="28"/>
      <c r="BGY9" s="29"/>
      <c r="BGZ9" s="30"/>
      <c r="BHA9" s="28"/>
      <c r="BHB9" s="29"/>
      <c r="BHC9" s="29"/>
      <c r="BHD9" s="29"/>
      <c r="BHE9" s="28"/>
      <c r="BHF9" s="29"/>
      <c r="BHG9" s="29"/>
      <c r="BHH9" s="29"/>
      <c r="BHI9" s="29"/>
      <c r="BHJ9" s="29"/>
      <c r="BHK9" s="28"/>
      <c r="BHL9" s="29"/>
      <c r="BHM9" s="29"/>
      <c r="BHN9" s="28"/>
      <c r="BHO9" s="29"/>
      <c r="BHP9" s="30"/>
      <c r="BHQ9" s="28"/>
      <c r="BHR9" s="29"/>
      <c r="BHS9" s="29"/>
      <c r="BHT9" s="29"/>
      <c r="BHU9" s="28"/>
      <c r="BHV9" s="29"/>
      <c r="BHW9" s="29"/>
      <c r="BHX9" s="28"/>
      <c r="BHY9" s="29"/>
      <c r="BHZ9" s="30"/>
      <c r="BIA9" s="28"/>
      <c r="BIB9" s="29"/>
      <c r="BIC9" s="29"/>
      <c r="BID9" s="29"/>
      <c r="BIE9" s="28"/>
      <c r="BIF9" s="29"/>
      <c r="BIG9" s="29"/>
      <c r="BIH9" s="29"/>
      <c r="BII9" s="29"/>
      <c r="BIJ9" s="29"/>
      <c r="BIK9" s="28"/>
      <c r="BIL9" s="29"/>
      <c r="BIM9" s="29"/>
      <c r="BIN9" s="28"/>
      <c r="BIO9" s="29"/>
      <c r="BIP9" s="30"/>
      <c r="BIQ9" s="28"/>
      <c r="BIR9" s="29"/>
      <c r="BIS9" s="29"/>
      <c r="BIT9" s="29"/>
      <c r="BIU9" s="28"/>
      <c r="BIV9" s="29"/>
      <c r="BIW9" s="29"/>
      <c r="BIX9" s="28"/>
      <c r="BIY9" s="29"/>
      <c r="BIZ9" s="30"/>
      <c r="BJA9" s="28"/>
      <c r="BJB9" s="29"/>
      <c r="BJC9" s="29"/>
      <c r="BJD9" s="29"/>
      <c r="BJE9" s="28"/>
      <c r="BJF9" s="29"/>
      <c r="BJG9" s="29"/>
      <c r="BJH9" s="29"/>
      <c r="BJI9" s="29"/>
      <c r="BJJ9" s="29"/>
      <c r="BJK9" s="28"/>
      <c r="BJL9" s="29"/>
      <c r="BJM9" s="29"/>
      <c r="BJN9" s="28"/>
      <c r="BJO9" s="29"/>
      <c r="BJP9" s="30"/>
      <c r="BJQ9" s="28"/>
      <c r="BJR9" s="29"/>
      <c r="BJS9" s="29"/>
      <c r="BJT9" s="29"/>
      <c r="BJU9" s="28"/>
      <c r="BJV9" s="29"/>
      <c r="BJW9" s="29"/>
      <c r="BJX9" s="28"/>
      <c r="BJY9" s="29"/>
      <c r="BJZ9" s="30"/>
      <c r="BKA9" s="28"/>
      <c r="BKB9" s="29"/>
      <c r="BKC9" s="29"/>
      <c r="BKD9" s="29"/>
      <c r="BKE9" s="28"/>
      <c r="BKF9" s="29"/>
      <c r="BKG9" s="29"/>
      <c r="BKH9" s="29"/>
      <c r="BKI9" s="29"/>
      <c r="BKJ9" s="29"/>
      <c r="BKK9" s="28"/>
      <c r="BKL9" s="29"/>
      <c r="BKM9" s="29"/>
      <c r="BKN9" s="28"/>
      <c r="BKO9" s="29"/>
      <c r="BKP9" s="30"/>
      <c r="BKQ9" s="28"/>
      <c r="BKR9" s="29"/>
      <c r="BKS9" s="29"/>
      <c r="BKT9" s="29"/>
      <c r="BKU9" s="28"/>
      <c r="BKV9" s="29"/>
      <c r="BKW9" s="29"/>
      <c r="BKX9" s="28"/>
      <c r="BKY9" s="29"/>
      <c r="BKZ9" s="30"/>
      <c r="BLA9" s="28"/>
      <c r="BLB9" s="29"/>
      <c r="BLC9" s="29"/>
      <c r="BLD9" s="29"/>
      <c r="BLE9" s="28"/>
      <c r="BLF9" s="29"/>
      <c r="BLG9" s="29"/>
      <c r="BLH9" s="29"/>
      <c r="BLI9" s="29"/>
      <c r="BLJ9" s="29"/>
      <c r="BLK9" s="28"/>
      <c r="BLL9" s="29"/>
      <c r="BLM9" s="29"/>
      <c r="BLN9" s="28"/>
      <c r="BLO9" s="29"/>
      <c r="BLP9" s="30"/>
      <c r="BLQ9" s="28"/>
      <c r="BLR9" s="29"/>
      <c r="BLS9" s="29"/>
      <c r="BLT9" s="29"/>
      <c r="BLU9" s="28"/>
      <c r="BLV9" s="29"/>
      <c r="BLW9" s="29"/>
      <c r="BLX9" s="28"/>
      <c r="BLY9" s="29"/>
      <c r="BLZ9" s="30"/>
      <c r="BMA9" s="28"/>
      <c r="BMB9" s="29"/>
      <c r="BMC9" s="29"/>
      <c r="BMD9" s="29"/>
      <c r="BME9" s="28"/>
      <c r="BMF9" s="29"/>
      <c r="BMG9" s="29"/>
      <c r="BMH9" s="29"/>
      <c r="BMI9" s="29"/>
      <c r="BMJ9" s="29"/>
      <c r="BMK9" s="28"/>
      <c r="BML9" s="29"/>
      <c r="BMM9" s="29"/>
      <c r="BMN9" s="28"/>
      <c r="BMO9" s="29"/>
      <c r="BMP9" s="30"/>
      <c r="BMQ9" s="28"/>
      <c r="BMR9" s="29"/>
      <c r="BMS9" s="29"/>
      <c r="BMT9" s="29"/>
      <c r="BMU9" s="28"/>
      <c r="BMV9" s="29"/>
      <c r="BMW9" s="29"/>
      <c r="BMX9" s="28"/>
      <c r="BMY9" s="29"/>
      <c r="BMZ9" s="30"/>
      <c r="BNA9" s="28"/>
      <c r="BNB9" s="29"/>
      <c r="BNC9" s="29"/>
      <c r="BND9" s="29"/>
      <c r="BNE9" s="28"/>
      <c r="BNF9" s="29"/>
      <c r="BNG9" s="29"/>
      <c r="BNH9" s="29"/>
      <c r="BNI9" s="29"/>
      <c r="BNJ9" s="29"/>
      <c r="BNK9" s="28"/>
      <c r="BNL9" s="29"/>
      <c r="BNM9" s="29"/>
      <c r="BNN9" s="28"/>
      <c r="BNO9" s="29"/>
      <c r="BNP9" s="30"/>
      <c r="BNQ9" s="28"/>
      <c r="BNR9" s="29"/>
      <c r="BNS9" s="29"/>
      <c r="BNT9" s="29"/>
      <c r="BNU9" s="28"/>
      <c r="BNV9" s="29"/>
      <c r="BNW9" s="29"/>
      <c r="BNX9" s="28"/>
      <c r="BNY9" s="29"/>
      <c r="BNZ9" s="30"/>
      <c r="BOA9" s="28"/>
      <c r="BOB9" s="29"/>
      <c r="BOC9" s="29"/>
      <c r="BOD9" s="29"/>
      <c r="BOE9" s="28"/>
      <c r="BOF9" s="29"/>
      <c r="BOG9" s="29"/>
      <c r="BOH9" s="29"/>
      <c r="BOI9" s="29"/>
      <c r="BOJ9" s="29"/>
      <c r="BOK9" s="28"/>
      <c r="BOL9" s="29"/>
      <c r="BOM9" s="29"/>
      <c r="BON9" s="28"/>
      <c r="BOO9" s="29"/>
      <c r="BOP9" s="30"/>
      <c r="BOQ9" s="28"/>
      <c r="BOR9" s="29"/>
      <c r="BOS9" s="29"/>
      <c r="BOT9" s="29"/>
      <c r="BOU9" s="28"/>
      <c r="BOV9" s="29"/>
      <c r="BOW9" s="29"/>
      <c r="BOX9" s="28"/>
      <c r="BOY9" s="29"/>
      <c r="BOZ9" s="30"/>
      <c r="BPA9" s="28"/>
      <c r="BPB9" s="29"/>
      <c r="BPC9" s="29"/>
      <c r="BPD9" s="29"/>
      <c r="BPE9" s="28"/>
      <c r="BPF9" s="29"/>
      <c r="BPG9" s="29"/>
      <c r="BPH9" s="29"/>
      <c r="BPI9" s="29"/>
      <c r="BPJ9" s="29"/>
      <c r="BPK9" s="28"/>
      <c r="BPL9" s="29"/>
      <c r="BPM9" s="29"/>
      <c r="BPN9" s="28"/>
      <c r="BPO9" s="29"/>
      <c r="BPP9" s="30"/>
      <c r="BPQ9" s="28"/>
      <c r="BPR9" s="29"/>
      <c r="BPS9" s="29"/>
      <c r="BPT9" s="29"/>
      <c r="BPU9" s="28"/>
      <c r="BPV9" s="29"/>
      <c r="BPW9" s="29"/>
      <c r="BPX9" s="28"/>
      <c r="BPY9" s="29"/>
      <c r="BPZ9" s="30"/>
      <c r="BQA9" s="28"/>
      <c r="BQB9" s="29"/>
      <c r="BQC9" s="29"/>
      <c r="BQD9" s="29"/>
      <c r="BQE9" s="28"/>
      <c r="BQF9" s="29"/>
      <c r="BQG9" s="29"/>
      <c r="BQH9" s="29"/>
      <c r="BQI9" s="29"/>
      <c r="BQJ9" s="29"/>
      <c r="BQK9" s="28"/>
      <c r="BQL9" s="29"/>
      <c r="BQM9" s="29"/>
      <c r="BQN9" s="28"/>
      <c r="BQO9" s="29"/>
      <c r="BQP9" s="30"/>
      <c r="BQQ9" s="28"/>
      <c r="BQR9" s="29"/>
      <c r="BQS9" s="29"/>
      <c r="BQT9" s="29"/>
      <c r="BQU9" s="28"/>
      <c r="BQV9" s="29"/>
      <c r="BQW9" s="29"/>
      <c r="BQX9" s="28"/>
      <c r="BQY9" s="29"/>
      <c r="BQZ9" s="30"/>
      <c r="BRA9" s="28"/>
      <c r="BRB9" s="29"/>
      <c r="BRC9" s="29"/>
      <c r="BRD9" s="29"/>
      <c r="BRE9" s="28"/>
      <c r="BRF9" s="29"/>
      <c r="BRG9" s="29"/>
      <c r="BRH9" s="29"/>
      <c r="BRI9" s="29"/>
      <c r="BRJ9" s="29"/>
      <c r="BRK9" s="28"/>
      <c r="BRL9" s="29"/>
      <c r="BRM9" s="29"/>
      <c r="BRN9" s="28"/>
      <c r="BRO9" s="29"/>
      <c r="BRP9" s="30"/>
      <c r="BRQ9" s="28"/>
      <c r="BRR9" s="29"/>
      <c r="BRS9" s="29"/>
      <c r="BRT9" s="29"/>
      <c r="BRU9" s="28"/>
      <c r="BRV9" s="29"/>
      <c r="BRW9" s="29"/>
      <c r="BRX9" s="28"/>
      <c r="BRY9" s="29"/>
      <c r="BRZ9" s="30"/>
      <c r="BSA9" s="28"/>
      <c r="BSB9" s="29"/>
      <c r="BSC9" s="29"/>
      <c r="BSD9" s="29"/>
      <c r="BSE9" s="28"/>
      <c r="BSF9" s="29"/>
      <c r="BSG9" s="29"/>
      <c r="BSH9" s="29"/>
      <c r="BSI9" s="29"/>
      <c r="BSJ9" s="29"/>
      <c r="BSK9" s="28"/>
      <c r="BSL9" s="29"/>
      <c r="BSM9" s="29"/>
      <c r="BSN9" s="28"/>
      <c r="BSO9" s="29"/>
      <c r="BSP9" s="30"/>
      <c r="BSQ9" s="28"/>
      <c r="BSR9" s="29"/>
      <c r="BSS9" s="29"/>
      <c r="BST9" s="29"/>
      <c r="BSU9" s="28"/>
      <c r="BSV9" s="29"/>
      <c r="BSW9" s="29"/>
      <c r="BSX9" s="28"/>
      <c r="BSY9" s="29"/>
      <c r="BSZ9" s="30"/>
      <c r="BTA9" s="28"/>
      <c r="BTB9" s="29"/>
      <c r="BTC9" s="29"/>
      <c r="BTD9" s="29"/>
      <c r="BTE9" s="28"/>
      <c r="BTF9" s="29"/>
      <c r="BTG9" s="29"/>
      <c r="BTH9" s="29"/>
      <c r="BTI9" s="29"/>
      <c r="BTJ9" s="29"/>
      <c r="BTK9" s="28"/>
      <c r="BTL9" s="29"/>
      <c r="BTM9" s="29"/>
      <c r="BTN9" s="28"/>
      <c r="BTO9" s="29"/>
      <c r="BTP9" s="30"/>
      <c r="BTQ9" s="28"/>
      <c r="BTR9" s="29"/>
      <c r="BTS9" s="29"/>
      <c r="BTT9" s="29"/>
      <c r="BTU9" s="28"/>
      <c r="BTV9" s="29"/>
      <c r="BTW9" s="29"/>
      <c r="BTX9" s="28"/>
      <c r="BTY9" s="29"/>
      <c r="BTZ9" s="30"/>
      <c r="BUA9" s="28"/>
      <c r="BUB9" s="29"/>
      <c r="BUC9" s="29"/>
      <c r="BUD9" s="29"/>
      <c r="BUE9" s="28"/>
      <c r="BUF9" s="29"/>
      <c r="BUG9" s="29"/>
      <c r="BUH9" s="29"/>
      <c r="BUI9" s="29"/>
      <c r="BUJ9" s="29"/>
      <c r="BUK9" s="28"/>
      <c r="BUL9" s="29"/>
      <c r="BUM9" s="29"/>
      <c r="BUN9" s="28"/>
      <c r="BUO9" s="29"/>
      <c r="BUP9" s="30"/>
      <c r="BUQ9" s="28"/>
      <c r="BUR9" s="29"/>
      <c r="BUS9" s="29"/>
      <c r="BUT9" s="29"/>
      <c r="BUU9" s="28"/>
      <c r="BUV9" s="29"/>
      <c r="BUW9" s="29"/>
      <c r="BUX9" s="28"/>
      <c r="BUY9" s="29"/>
      <c r="BUZ9" s="30"/>
      <c r="BVA9" s="28"/>
      <c r="BVB9" s="29"/>
      <c r="BVC9" s="29"/>
      <c r="BVD9" s="29"/>
      <c r="BVE9" s="28"/>
      <c r="BVF9" s="29"/>
      <c r="BVG9" s="29"/>
      <c r="BVH9" s="29"/>
      <c r="BVI9" s="29"/>
      <c r="BVJ9" s="29"/>
      <c r="BVK9" s="28"/>
      <c r="BVL9" s="29"/>
      <c r="BVM9" s="29"/>
      <c r="BVN9" s="28"/>
      <c r="BVO9" s="29"/>
      <c r="BVP9" s="30"/>
      <c r="BVQ9" s="28"/>
      <c r="BVR9" s="29"/>
      <c r="BVS9" s="29"/>
      <c r="BVT9" s="29"/>
      <c r="BVU9" s="28"/>
      <c r="BVV9" s="29"/>
      <c r="BVW9" s="29"/>
      <c r="BVX9" s="28"/>
      <c r="BVY9" s="29"/>
      <c r="BVZ9" s="30"/>
      <c r="BWA9" s="28"/>
      <c r="BWB9" s="29"/>
      <c r="BWC9" s="29"/>
      <c r="BWD9" s="29"/>
      <c r="BWE9" s="28"/>
      <c r="BWF9" s="29"/>
      <c r="BWG9" s="29"/>
      <c r="BWH9" s="29"/>
      <c r="BWI9" s="29"/>
      <c r="BWJ9" s="29"/>
      <c r="BWK9" s="28"/>
      <c r="BWL9" s="29"/>
      <c r="BWM9" s="29"/>
      <c r="BWN9" s="28"/>
      <c r="BWO9" s="29"/>
      <c r="BWP9" s="30"/>
      <c r="BWQ9" s="28"/>
      <c r="BWR9" s="29"/>
      <c r="BWS9" s="29"/>
      <c r="BWT9" s="29"/>
      <c r="BWU9" s="28"/>
      <c r="BWV9" s="29"/>
      <c r="BWW9" s="29"/>
      <c r="BWX9" s="28"/>
      <c r="BWY9" s="29"/>
      <c r="BWZ9" s="30"/>
      <c r="BXA9" s="28"/>
      <c r="BXB9" s="29"/>
      <c r="BXC9" s="29"/>
      <c r="BXD9" s="29"/>
      <c r="BXE9" s="28"/>
      <c r="BXF9" s="29"/>
      <c r="BXG9" s="29"/>
      <c r="BXH9" s="29"/>
      <c r="BXI9" s="29"/>
      <c r="BXJ9" s="29"/>
      <c r="BXK9" s="28"/>
      <c r="BXL9" s="29"/>
      <c r="BXM9" s="29"/>
      <c r="BXN9" s="28"/>
      <c r="BXO9" s="29"/>
      <c r="BXP9" s="30"/>
      <c r="BXQ9" s="28"/>
      <c r="BXR9" s="29"/>
      <c r="BXS9" s="29"/>
      <c r="BXT9" s="29"/>
      <c r="BXU9" s="28"/>
      <c r="BXV9" s="29"/>
      <c r="BXW9" s="29"/>
      <c r="BXX9" s="28"/>
      <c r="BXY9" s="29"/>
      <c r="BXZ9" s="30"/>
      <c r="BYA9" s="28"/>
      <c r="BYB9" s="29"/>
      <c r="BYC9" s="29"/>
      <c r="BYD9" s="29"/>
      <c r="BYE9" s="28"/>
      <c r="BYF9" s="29"/>
      <c r="BYG9" s="29"/>
      <c r="BYH9" s="29"/>
      <c r="BYI9" s="29"/>
      <c r="BYJ9" s="29"/>
      <c r="BYK9" s="28"/>
      <c r="BYL9" s="29"/>
      <c r="BYM9" s="29"/>
      <c r="BYN9" s="28"/>
      <c r="BYO9" s="29"/>
      <c r="BYP9" s="30"/>
      <c r="BYQ9" s="28"/>
      <c r="BYR9" s="29"/>
      <c r="BYS9" s="29"/>
      <c r="BYT9" s="29"/>
      <c r="BYU9" s="28"/>
      <c r="BYV9" s="29"/>
      <c r="BYW9" s="29"/>
      <c r="BYX9" s="30"/>
      <c r="BYY9" s="29"/>
      <c r="BYZ9" s="28"/>
      <c r="BZA9" s="29"/>
      <c r="BZB9" s="28"/>
      <c r="BZC9" s="28"/>
      <c r="BZD9" s="28"/>
      <c r="BZE9" s="29"/>
      <c r="BZF9" s="385"/>
      <c r="BZG9" s="29"/>
      <c r="BZH9" s="385"/>
      <c r="BZI9" s="29"/>
      <c r="BZJ9" s="385"/>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30"/>
      <c r="CAQ9" s="28"/>
      <c r="CAR9" s="29"/>
      <c r="CAS9" s="29"/>
      <c r="CAT9" s="29"/>
      <c r="CAU9" s="29"/>
      <c r="CAV9" s="29"/>
      <c r="CAW9" s="28"/>
      <c r="CAX9" s="29"/>
      <c r="CAY9" s="29"/>
      <c r="CAZ9" s="28"/>
      <c r="CBA9" s="29"/>
      <c r="CBB9" s="30"/>
      <c r="CBC9" s="28"/>
      <c r="CBD9" s="29"/>
      <c r="CBE9" s="29"/>
      <c r="CBF9" s="29"/>
      <c r="CBG9" s="28"/>
      <c r="CBH9" s="29"/>
      <c r="CBI9" s="29"/>
      <c r="CBJ9" s="28"/>
      <c r="CBK9" s="29"/>
      <c r="CBL9" s="30"/>
      <c r="CBM9" s="28"/>
      <c r="CBN9" s="29"/>
      <c r="CBO9" s="29"/>
      <c r="CBP9" s="29"/>
      <c r="CBQ9" s="28"/>
      <c r="CBR9" s="29"/>
      <c r="CBS9" s="29"/>
      <c r="CBT9" s="28"/>
      <c r="CBU9" s="29"/>
      <c r="CBV9" s="30"/>
      <c r="CBW9" s="28"/>
      <c r="CBX9" s="29"/>
      <c r="CBY9" s="29"/>
      <c r="CBZ9" s="29"/>
      <c r="CCA9" s="28"/>
      <c r="CCB9" s="29"/>
      <c r="CCC9" s="29"/>
      <c r="CCD9" s="28"/>
      <c r="CCE9" s="29"/>
      <c r="CCF9" s="30"/>
      <c r="CCG9" s="28"/>
      <c r="CCH9" s="30"/>
      <c r="CCI9" s="29"/>
      <c r="CCJ9" s="28"/>
      <c r="CCK9" s="29"/>
      <c r="CCL9" s="28"/>
      <c r="CCM9" s="28"/>
      <c r="CCN9" s="28"/>
      <c r="CCO9" s="29"/>
      <c r="CCP9" s="385"/>
      <c r="CCQ9" s="29"/>
      <c r="CCR9" s="385"/>
      <c r="CCS9" s="29"/>
      <c r="CCT9" s="385"/>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30"/>
      <c r="CEA9" s="28"/>
      <c r="CEB9" s="29"/>
      <c r="CEC9" s="29"/>
      <c r="CED9" s="29"/>
      <c r="CEE9" s="29"/>
      <c r="CEF9" s="29"/>
      <c r="CEG9" s="28"/>
      <c r="CEH9" s="29"/>
      <c r="CEI9" s="29"/>
      <c r="CEJ9" s="28"/>
      <c r="CEK9" s="29"/>
      <c r="CEL9" s="30"/>
      <c r="CEM9" s="28"/>
      <c r="CEN9" s="29"/>
      <c r="CEO9" s="29"/>
      <c r="CEP9" s="29"/>
      <c r="CEQ9" s="28"/>
      <c r="CER9" s="29"/>
      <c r="CES9" s="29"/>
      <c r="CET9" s="28"/>
      <c r="CEU9" s="29"/>
      <c r="CEV9" s="30"/>
      <c r="CEW9" s="28"/>
      <c r="CEX9" s="29"/>
      <c r="CEY9" s="29"/>
      <c r="CEZ9" s="29"/>
      <c r="CFA9" s="28"/>
      <c r="CFB9" s="29"/>
      <c r="CFC9" s="29"/>
      <c r="CFD9" s="28"/>
      <c r="CFE9" s="29"/>
      <c r="CFF9" s="30"/>
      <c r="CFG9" s="28"/>
      <c r="CFH9" s="29"/>
      <c r="CFI9" s="29"/>
      <c r="CFJ9" s="29"/>
      <c r="CFK9" s="28"/>
      <c r="CFL9" s="29"/>
      <c r="CFM9" s="29"/>
      <c r="CFN9" s="28"/>
      <c r="CFO9" s="29"/>
      <c r="CFP9" s="30"/>
      <c r="CFQ9" s="28"/>
      <c r="CFR9" s="30"/>
      <c r="CFS9" s="29"/>
      <c r="CFT9" s="28"/>
      <c r="CFU9" s="29"/>
      <c r="CFV9" s="28"/>
      <c r="CFW9" s="28"/>
      <c r="CFX9" s="28"/>
      <c r="CFY9" s="29"/>
      <c r="CFZ9" s="385"/>
      <c r="CGA9" s="29"/>
      <c r="CGB9" s="385"/>
      <c r="CGC9" s="29"/>
      <c r="CGD9" s="385"/>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30"/>
      <c r="CHK9" s="28"/>
      <c r="CHL9" s="29"/>
      <c r="CHM9" s="29"/>
      <c r="CHN9" s="29"/>
      <c r="CHO9" s="29"/>
      <c r="CHP9" s="29"/>
      <c r="CHQ9" s="28"/>
      <c r="CHR9" s="29"/>
      <c r="CHS9" s="29"/>
      <c r="CHT9" s="28"/>
      <c r="CHU9" s="29"/>
      <c r="CHV9" s="30"/>
      <c r="CHW9" s="28"/>
      <c r="CHX9" s="29"/>
      <c r="CHY9" s="29"/>
      <c r="CHZ9" s="29"/>
      <c r="CIA9" s="28"/>
      <c r="CIB9" s="29"/>
      <c r="CIC9" s="29"/>
      <c r="CID9" s="28"/>
      <c r="CIE9" s="29"/>
      <c r="CIF9" s="30"/>
      <c r="CIG9" s="28"/>
      <c r="CIH9" s="29"/>
      <c r="CII9" s="29"/>
      <c r="CIJ9" s="29"/>
      <c r="CIK9" s="28"/>
      <c r="CIL9" s="29"/>
      <c r="CIM9" s="29"/>
      <c r="CIN9" s="28"/>
      <c r="CIO9" s="29"/>
      <c r="CIP9" s="30"/>
      <c r="CIQ9" s="28"/>
      <c r="CIR9" s="29"/>
      <c r="CIS9" s="29"/>
      <c r="CIT9" s="29"/>
      <c r="CIU9" s="28"/>
      <c r="CIV9" s="29"/>
      <c r="CIW9" s="29"/>
      <c r="CIX9" s="28"/>
      <c r="CIY9" s="29"/>
      <c r="CIZ9" s="30"/>
      <c r="CJA9" s="28"/>
      <c r="CJB9" s="30"/>
      <c r="CJC9" s="29"/>
      <c r="CJD9" s="28"/>
      <c r="CJE9" s="29"/>
      <c r="CJF9" s="28"/>
      <c r="CJG9" s="28"/>
      <c r="CJH9" s="28"/>
      <c r="CJI9" s="29"/>
      <c r="CJJ9" s="385"/>
      <c r="CJK9" s="29"/>
      <c r="CJL9" s="385"/>
      <c r="CJM9" s="29"/>
      <c r="CJN9" s="385"/>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30"/>
      <c r="CKU9" s="28"/>
      <c r="CKV9" s="29"/>
      <c r="CKW9" s="29"/>
      <c r="CKX9" s="29"/>
      <c r="CKY9" s="29"/>
      <c r="CKZ9" s="29"/>
      <c r="CLA9" s="28"/>
      <c r="CLB9" s="29"/>
      <c r="CLC9" s="29"/>
      <c r="CLD9" s="28"/>
      <c r="CLE9" s="29"/>
      <c r="CLF9" s="30"/>
      <c r="CLG9" s="28"/>
      <c r="CLH9" s="29"/>
      <c r="CLI9" s="29"/>
      <c r="CLJ9" s="29"/>
      <c r="CLK9" s="28"/>
      <c r="CLL9" s="29"/>
      <c r="CLM9" s="29"/>
      <c r="CLN9" s="28"/>
      <c r="CLO9" s="29"/>
      <c r="CLP9" s="30"/>
      <c r="CLQ9" s="28"/>
      <c r="CLR9" s="29"/>
      <c r="CLS9" s="29"/>
      <c r="CLT9" s="29"/>
      <c r="CLU9" s="28"/>
      <c r="CLV9" s="29"/>
      <c r="CLW9" s="29"/>
      <c r="CLX9" s="28"/>
      <c r="CLY9" s="29"/>
      <c r="CLZ9" s="30"/>
      <c r="CMA9" s="28"/>
      <c r="CMB9" s="29"/>
      <c r="CMC9" s="29"/>
      <c r="CMD9" s="29"/>
      <c r="CME9" s="28"/>
      <c r="CMF9" s="29"/>
      <c r="CMG9" s="29"/>
      <c r="CMH9" s="28"/>
      <c r="CMI9" s="29"/>
      <c r="CMJ9" s="30"/>
      <c r="CMK9" s="28"/>
      <c r="CML9" s="30"/>
      <c r="CMM9" s="29"/>
      <c r="CMN9" s="28"/>
      <c r="CMO9" s="29"/>
      <c r="CMP9" s="28"/>
      <c r="CMQ9" s="28"/>
      <c r="CMR9" s="28"/>
      <c r="CMS9" s="29"/>
      <c r="CMT9" s="385"/>
      <c r="CMU9" s="29"/>
      <c r="CMV9" s="385"/>
      <c r="CMW9" s="29"/>
      <c r="CMX9" s="385"/>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30"/>
      <c r="COE9" s="28"/>
      <c r="COF9" s="29"/>
      <c r="COG9" s="29"/>
      <c r="COH9" s="29"/>
      <c r="COI9" s="29"/>
      <c r="COJ9" s="29"/>
      <c r="COK9" s="28"/>
      <c r="COL9" s="29"/>
      <c r="COM9" s="29"/>
      <c r="CON9" s="28"/>
      <c r="COO9" s="29"/>
      <c r="COP9" s="30"/>
      <c r="COQ9" s="28"/>
      <c r="COR9" s="29"/>
      <c r="COS9" s="29"/>
      <c r="COT9" s="29"/>
      <c r="COU9" s="28"/>
      <c r="COV9" s="29"/>
      <c r="COW9" s="29"/>
      <c r="COX9" s="28"/>
      <c r="COY9" s="29"/>
      <c r="COZ9" s="30"/>
      <c r="CPA9" s="28"/>
      <c r="CPB9" s="29"/>
      <c r="CPC9" s="29"/>
      <c r="CPD9" s="29"/>
      <c r="CPE9" s="28"/>
      <c r="CPF9" s="29"/>
      <c r="CPG9" s="29"/>
      <c r="CPH9" s="28"/>
      <c r="CPI9" s="29"/>
      <c r="CPJ9" s="30"/>
      <c r="CPK9" s="28"/>
      <c r="CPL9" s="29"/>
      <c r="CPM9" s="29"/>
      <c r="CPN9" s="29"/>
      <c r="CPO9" s="28"/>
      <c r="CPP9" s="29"/>
      <c r="CPQ9" s="29"/>
      <c r="CPR9" s="28"/>
      <c r="CPS9" s="29"/>
      <c r="CPT9" s="30"/>
      <c r="CPU9" s="28"/>
      <c r="CPV9" s="30"/>
      <c r="CPW9" s="29"/>
      <c r="CPX9" s="28"/>
      <c r="CPY9" s="29"/>
      <c r="CPZ9" s="28"/>
      <c r="CQA9" s="28"/>
      <c r="CQB9" s="28"/>
      <c r="CQC9" s="29"/>
      <c r="CQD9" s="385"/>
      <c r="CQE9" s="29"/>
      <c r="CQF9" s="385"/>
      <c r="CQG9" s="29"/>
      <c r="CQH9" s="385"/>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30"/>
      <c r="CRO9" s="28"/>
      <c r="CRP9" s="29"/>
      <c r="CRQ9" s="29"/>
      <c r="CRR9" s="29"/>
      <c r="CRS9" s="29"/>
      <c r="CRT9" s="29"/>
      <c r="CRU9" s="28"/>
      <c r="CRV9" s="29"/>
      <c r="CRW9" s="29"/>
      <c r="CRX9" s="28"/>
      <c r="CRY9" s="29"/>
      <c r="CRZ9" s="30"/>
      <c r="CSA9" s="28"/>
      <c r="CSB9" s="29"/>
      <c r="CSC9" s="29"/>
      <c r="CSD9" s="29"/>
      <c r="CSE9" s="28"/>
      <c r="CSF9" s="29"/>
      <c r="CSG9" s="29"/>
      <c r="CSH9" s="28"/>
      <c r="CSI9" s="29"/>
      <c r="CSJ9" s="30"/>
      <c r="CSK9" s="28"/>
      <c r="CSL9" s="29"/>
      <c r="CSM9" s="29"/>
      <c r="CSN9" s="29"/>
      <c r="CSO9" s="28"/>
      <c r="CSP9" s="29"/>
      <c r="CSQ9" s="29"/>
      <c r="CSR9" s="28"/>
      <c r="CSS9" s="29"/>
      <c r="CST9" s="30"/>
      <c r="CSU9" s="28"/>
      <c r="CSV9" s="29"/>
      <c r="CSW9" s="29"/>
      <c r="CSX9" s="29"/>
      <c r="CSY9" s="28"/>
      <c r="CSZ9" s="29"/>
      <c r="CTA9" s="29"/>
      <c r="CTB9" s="28"/>
      <c r="CTC9" s="29"/>
      <c r="CTD9" s="30"/>
      <c r="CTE9" s="28"/>
      <c r="CTF9" s="30"/>
      <c r="CTG9" s="29"/>
      <c r="CTH9" s="28"/>
      <c r="CTI9" s="29"/>
      <c r="CTJ9" s="28"/>
      <c r="CTK9" s="28"/>
      <c r="CTL9" s="28"/>
      <c r="CTM9" s="29"/>
      <c r="CTN9" s="385"/>
      <c r="CTO9" s="29"/>
      <c r="CTP9" s="385"/>
      <c r="CTQ9" s="29"/>
      <c r="CTR9" s="385"/>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30"/>
      <c r="CUY9" s="28"/>
      <c r="CUZ9" s="29"/>
      <c r="CVA9" s="29"/>
      <c r="CVB9" s="29"/>
      <c r="CVC9" s="29"/>
      <c r="CVD9" s="29"/>
      <c r="CVE9" s="28"/>
      <c r="CVF9" s="29"/>
      <c r="CVG9" s="29"/>
      <c r="CVH9" s="28"/>
      <c r="CVI9" s="29"/>
      <c r="CVJ9" s="30"/>
      <c r="CVK9" s="28"/>
      <c r="CVL9" s="29"/>
      <c r="CVM9" s="29"/>
      <c r="CVN9" s="29"/>
      <c r="CVO9" s="28"/>
      <c r="CVP9" s="29"/>
      <c r="CVQ9" s="29"/>
      <c r="CVR9" s="28"/>
      <c r="CVS9" s="29"/>
      <c r="CVT9" s="30"/>
      <c r="CVU9" s="28"/>
      <c r="CVV9" s="29"/>
      <c r="CVW9" s="29"/>
      <c r="CVX9" s="29"/>
      <c r="CVY9" s="28"/>
      <c r="CVZ9" s="29"/>
      <c r="CWA9" s="29"/>
      <c r="CWB9" s="28"/>
      <c r="CWC9" s="29"/>
      <c r="CWD9" s="30"/>
      <c r="CWE9" s="28"/>
      <c r="CWF9" s="29"/>
      <c r="CWG9" s="29"/>
      <c r="CWH9" s="29"/>
      <c r="CWI9" s="28"/>
      <c r="CWJ9" s="29"/>
      <c r="CWK9" s="29"/>
      <c r="CWL9" s="28"/>
      <c r="CWM9" s="29"/>
      <c r="CWN9" s="30"/>
      <c r="CWO9" s="28"/>
      <c r="CWP9" s="30"/>
      <c r="CWQ9" s="29"/>
      <c r="CWR9" s="28"/>
      <c r="CWS9" s="29"/>
      <c r="CWT9" s="28"/>
      <c r="CWU9" s="28"/>
      <c r="CWV9" s="28"/>
      <c r="CWW9" s="29"/>
      <c r="CWX9" s="385"/>
      <c r="CWY9" s="29"/>
      <c r="CWZ9" s="385"/>
      <c r="CXA9" s="29"/>
      <c r="CXB9" s="385"/>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30"/>
      <c r="CYI9" s="28"/>
      <c r="CYJ9" s="29"/>
      <c r="CYK9" s="29"/>
      <c r="CYL9" s="29"/>
      <c r="CYM9" s="29"/>
      <c r="CYN9" s="29"/>
      <c r="CYO9" s="28"/>
      <c r="CYP9" s="29"/>
      <c r="CYQ9" s="29"/>
      <c r="CYR9" s="28"/>
      <c r="CYS9" s="29"/>
      <c r="CYT9" s="30"/>
      <c r="CYU9" s="28"/>
      <c r="CYV9" s="29"/>
      <c r="CYW9" s="29"/>
      <c r="CYX9" s="29"/>
      <c r="CYY9" s="28"/>
      <c r="CYZ9" s="29"/>
      <c r="CZA9" s="29"/>
      <c r="CZB9" s="28"/>
      <c r="CZC9" s="29"/>
      <c r="CZD9" s="30"/>
      <c r="CZE9" s="28"/>
      <c r="CZF9" s="29"/>
      <c r="CZG9" s="29"/>
      <c r="CZH9" s="29"/>
      <c r="CZI9" s="28"/>
      <c r="CZJ9" s="29"/>
      <c r="CZK9" s="29"/>
      <c r="CZL9" s="28"/>
      <c r="CZM9" s="29"/>
      <c r="CZN9" s="30"/>
      <c r="CZO9" s="28"/>
      <c r="CZP9" s="29"/>
      <c r="CZQ9" s="29"/>
      <c r="CZR9" s="29"/>
      <c r="CZS9" s="28"/>
      <c r="CZT9" s="29"/>
      <c r="CZU9" s="29"/>
      <c r="CZV9" s="28"/>
      <c r="CZW9" s="29"/>
      <c r="CZX9" s="30"/>
      <c r="CZY9" s="28"/>
      <c r="CZZ9" s="30"/>
      <c r="DAA9" s="29"/>
      <c r="DAB9" s="28"/>
      <c r="DAC9" s="29"/>
      <c r="DAD9" s="28"/>
      <c r="DAE9" s="28"/>
      <c r="DAF9" s="28"/>
      <c r="DAG9" s="29"/>
      <c r="DAH9" s="385"/>
      <c r="DAI9" s="29"/>
      <c r="DAJ9" s="385"/>
      <c r="DAK9" s="29"/>
      <c r="DAL9" s="385"/>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30"/>
      <c r="DBS9" s="28"/>
      <c r="DBT9" s="29"/>
      <c r="DBU9" s="29"/>
      <c r="DBV9" s="29"/>
      <c r="DBW9" s="29"/>
      <c r="DBX9" s="29"/>
      <c r="DBY9" s="28"/>
      <c r="DBZ9" s="29"/>
      <c r="DCA9" s="29"/>
      <c r="DCB9" s="28"/>
      <c r="DCC9" s="29"/>
      <c r="DCD9" s="30"/>
      <c r="DCE9" s="28"/>
      <c r="DCF9" s="29"/>
      <c r="DCG9" s="29"/>
      <c r="DCH9" s="29"/>
      <c r="DCI9" s="28"/>
      <c r="DCJ9" s="29"/>
      <c r="DCK9" s="29"/>
      <c r="DCL9" s="28"/>
      <c r="DCM9" s="29"/>
      <c r="DCN9" s="30"/>
      <c r="DCO9" s="28"/>
      <c r="DCP9" s="29"/>
      <c r="DCQ9" s="29"/>
      <c r="DCR9" s="29"/>
      <c r="DCS9" s="28"/>
      <c r="DCT9" s="29"/>
      <c r="DCU9" s="29"/>
      <c r="DCV9" s="28"/>
      <c r="DCW9" s="29"/>
      <c r="DCX9" s="30"/>
      <c r="DCY9" s="28"/>
      <c r="DCZ9" s="29"/>
      <c r="DDA9" s="29"/>
      <c r="DDB9" s="29"/>
      <c r="DDC9" s="28"/>
      <c r="DDD9" s="29"/>
      <c r="DDE9" s="29"/>
      <c r="DDF9" s="28"/>
      <c r="DDG9" s="29"/>
      <c r="DDH9" s="30"/>
      <c r="DDI9" s="28"/>
      <c r="DDJ9" s="30"/>
      <c r="DDK9" s="29"/>
      <c r="DDL9" s="28"/>
      <c r="DDM9" s="29"/>
      <c r="DDN9" s="28"/>
      <c r="DDO9" s="28"/>
      <c r="DDP9" s="28"/>
      <c r="DDQ9" s="29"/>
      <c r="DDR9" s="385"/>
      <c r="DDS9" s="29"/>
      <c r="DDT9" s="385"/>
      <c r="DDU9" s="29"/>
      <c r="DDV9" s="385"/>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30"/>
      <c r="DFC9" s="28"/>
      <c r="DFD9" s="29"/>
      <c r="DFE9" s="29"/>
      <c r="DFF9" s="29"/>
      <c r="DFG9" s="29"/>
      <c r="DFH9" s="29"/>
      <c r="DFI9" s="28"/>
      <c r="DFJ9" s="29"/>
      <c r="DFK9" s="29"/>
      <c r="DFL9" s="28"/>
      <c r="DFM9" s="29"/>
      <c r="DFN9" s="30"/>
      <c r="DFO9" s="28"/>
      <c r="DFP9" s="29"/>
      <c r="DFQ9" s="29"/>
      <c r="DFR9" s="29"/>
      <c r="DFS9" s="28"/>
      <c r="DFT9" s="29"/>
      <c r="DFU9" s="29"/>
      <c r="DFV9" s="28"/>
      <c r="DFW9" s="29"/>
      <c r="DFX9" s="30"/>
      <c r="DFY9" s="28"/>
      <c r="DFZ9" s="29"/>
      <c r="DGA9" s="29"/>
      <c r="DGB9" s="29"/>
      <c r="DGC9" s="28"/>
      <c r="DGD9" s="29"/>
      <c r="DGE9" s="29"/>
      <c r="DGF9" s="28"/>
      <c r="DGG9" s="29"/>
      <c r="DGH9" s="30"/>
      <c r="DGI9" s="28"/>
      <c r="DGJ9" s="29"/>
      <c r="DGK9" s="29"/>
      <c r="DGL9" s="29"/>
      <c r="DGM9" s="28"/>
      <c r="DGN9" s="29"/>
      <c r="DGO9" s="29"/>
      <c r="DGP9" s="28"/>
      <c r="DGQ9" s="29"/>
      <c r="DGR9" s="30"/>
      <c r="DGS9" s="28"/>
      <c r="DGT9" s="30"/>
      <c r="DGU9" s="29"/>
      <c r="DGV9" s="28"/>
      <c r="DGW9" s="29"/>
      <c r="DGX9" s="28"/>
      <c r="DGY9" s="28"/>
      <c r="DGZ9" s="28"/>
      <c r="DHA9" s="29"/>
      <c r="DHB9" s="385"/>
      <c r="DHC9" s="29"/>
      <c r="DHD9" s="385"/>
      <c r="DHE9" s="29"/>
      <c r="DHF9" s="385"/>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30"/>
      <c r="DIM9" s="28"/>
      <c r="DIN9" s="29"/>
      <c r="DIO9" s="29"/>
      <c r="DIP9" s="29"/>
      <c r="DIQ9" s="29"/>
      <c r="DIR9" s="29"/>
      <c r="DIS9" s="28"/>
      <c r="DIT9" s="29"/>
      <c r="DIU9" s="29"/>
      <c r="DIV9" s="28"/>
      <c r="DIW9" s="29"/>
      <c r="DIX9" s="30"/>
      <c r="DIY9" s="28"/>
      <c r="DIZ9" s="29"/>
      <c r="DJA9" s="29"/>
      <c r="DJB9" s="29"/>
      <c r="DJC9" s="28"/>
      <c r="DJD9" s="29"/>
      <c r="DJE9" s="29"/>
      <c r="DJF9" s="28"/>
      <c r="DJG9" s="29"/>
      <c r="DJH9" s="30"/>
      <c r="DJI9" s="28"/>
      <c r="DJJ9" s="29"/>
      <c r="DJK9" s="29"/>
      <c r="DJL9" s="29"/>
      <c r="DJM9" s="28"/>
      <c r="DJN9" s="29"/>
      <c r="DJO9" s="29"/>
      <c r="DJP9" s="28"/>
      <c r="DJQ9" s="29"/>
      <c r="DJR9" s="30"/>
      <c r="DJS9" s="28"/>
      <c r="DJT9" s="29"/>
      <c r="DJU9" s="29"/>
      <c r="DJV9" s="29"/>
      <c r="DJW9" s="28"/>
      <c r="DJX9" s="29"/>
      <c r="DJY9" s="29"/>
      <c r="DJZ9" s="28"/>
      <c r="DKA9" s="29"/>
      <c r="DKB9" s="30"/>
      <c r="DKC9" s="28"/>
      <c r="DKD9" s="30"/>
      <c r="DKE9" s="29"/>
      <c r="DKF9" s="28"/>
      <c r="DKG9" s="29"/>
      <c r="DKH9" s="28"/>
      <c r="DKI9" s="28"/>
      <c r="DKJ9" s="28"/>
      <c r="DKK9" s="29"/>
      <c r="DKL9" s="385"/>
      <c r="DKM9" s="29"/>
      <c r="DKN9" s="385"/>
      <c r="DKO9" s="29"/>
      <c r="DKP9" s="385"/>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30"/>
      <c r="DLW9" s="28"/>
      <c r="DLX9" s="29"/>
      <c r="DLY9" s="29"/>
      <c r="DLZ9" s="29"/>
      <c r="DMA9" s="29"/>
      <c r="DMB9" s="29"/>
      <c r="DMC9" s="28"/>
      <c r="DMD9" s="29"/>
      <c r="DME9" s="29"/>
      <c r="DMF9" s="28"/>
      <c r="DMG9" s="29"/>
      <c r="DMH9" s="30"/>
      <c r="DMI9" s="28"/>
      <c r="DMJ9" s="29"/>
      <c r="DMK9" s="29"/>
      <c r="DML9" s="29"/>
      <c r="DMM9" s="28"/>
      <c r="DMN9" s="29"/>
      <c r="DMO9" s="29"/>
      <c r="DMP9" s="28"/>
      <c r="DMQ9" s="29"/>
      <c r="DMR9" s="30"/>
      <c r="DMS9" s="28"/>
      <c r="DMT9" s="29"/>
      <c r="DMU9" s="29"/>
      <c r="DMV9" s="29"/>
      <c r="DMW9" s="28"/>
      <c r="DMX9" s="29"/>
      <c r="DMY9" s="29"/>
      <c r="DMZ9" s="28"/>
      <c r="DNA9" s="29"/>
      <c r="DNB9" s="30"/>
      <c r="DNC9" s="28"/>
      <c r="DND9" s="29"/>
      <c r="DNE9" s="29"/>
      <c r="DNF9" s="29"/>
      <c r="DNG9" s="28"/>
      <c r="DNH9" s="29"/>
      <c r="DNI9" s="29"/>
      <c r="DNJ9" s="28"/>
      <c r="DNK9" s="29"/>
      <c r="DNL9" s="30"/>
      <c r="DNM9" s="28"/>
      <c r="DNN9" s="30"/>
      <c r="DNO9" s="29"/>
      <c r="DNP9" s="28"/>
      <c r="DNQ9" s="29"/>
      <c r="DNR9" s="28"/>
      <c r="DNS9" s="28"/>
      <c r="DNT9" s="28"/>
      <c r="DNU9" s="29"/>
      <c r="DNV9" s="385"/>
      <c r="DNW9" s="29"/>
      <c r="DNX9" s="385"/>
      <c r="DNY9" s="29"/>
      <c r="DNZ9" s="385"/>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30"/>
      <c r="DPG9" s="28"/>
      <c r="DPH9" s="29"/>
      <c r="DPI9" s="29"/>
      <c r="DPJ9" s="29"/>
      <c r="DPK9" s="29"/>
      <c r="DPL9" s="29"/>
      <c r="DPM9" s="28"/>
      <c r="DPN9" s="29"/>
      <c r="DPO9" s="29"/>
      <c r="DPP9" s="28"/>
      <c r="DPQ9" s="29"/>
      <c r="DPR9" s="30"/>
      <c r="DPS9" s="28"/>
      <c r="DPT9" s="29"/>
      <c r="DPU9" s="29"/>
      <c r="DPV9" s="29"/>
      <c r="DPW9" s="28"/>
      <c r="DPX9" s="29"/>
      <c r="DPY9" s="29"/>
      <c r="DPZ9" s="28"/>
      <c r="DQA9" s="29"/>
      <c r="DQB9" s="30"/>
      <c r="DQC9" s="28"/>
      <c r="DQD9" s="29"/>
      <c r="DQE9" s="29"/>
      <c r="DQF9" s="29"/>
      <c r="DQG9" s="28"/>
      <c r="DQH9" s="29"/>
      <c r="DQI9" s="29"/>
      <c r="DQJ9" s="28"/>
      <c r="DQK9" s="29"/>
      <c r="DQL9" s="30"/>
      <c r="DQM9" s="28"/>
      <c r="DQN9" s="29"/>
      <c r="DQO9" s="29"/>
      <c r="DQP9" s="29"/>
      <c r="DQQ9" s="28"/>
      <c r="DQR9" s="29"/>
      <c r="DQS9" s="29"/>
      <c r="DQT9" s="28"/>
      <c r="DQU9" s="29"/>
      <c r="DQV9" s="30"/>
      <c r="DQW9" s="28"/>
      <c r="DQX9" s="30"/>
      <c r="DQY9" s="29"/>
      <c r="DQZ9" s="28"/>
      <c r="DRA9" s="29"/>
      <c r="DRB9" s="28"/>
      <c r="DRC9" s="28"/>
      <c r="DRD9" s="28"/>
      <c r="DRE9" s="29"/>
      <c r="DRF9" s="385"/>
      <c r="DRG9" s="29"/>
      <c r="DRH9" s="385"/>
      <c r="DRI9" s="29"/>
      <c r="DRJ9" s="385"/>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30"/>
      <c r="DSQ9" s="28"/>
      <c r="DSR9" s="29"/>
      <c r="DSS9" s="29"/>
      <c r="DST9" s="29"/>
      <c r="DSU9" s="29"/>
      <c r="DSV9" s="29"/>
      <c r="DSW9" s="28"/>
      <c r="DSX9" s="29"/>
      <c r="DSY9" s="29"/>
      <c r="DSZ9" s="28"/>
      <c r="DTA9" s="29"/>
      <c r="DTB9" s="30"/>
      <c r="DTC9" s="28"/>
      <c r="DTD9" s="29"/>
      <c r="DTE9" s="29"/>
      <c r="DTF9" s="29"/>
      <c r="DTG9" s="28"/>
      <c r="DTH9" s="29"/>
      <c r="DTI9" s="29"/>
      <c r="DTJ9" s="28"/>
      <c r="DTK9" s="29"/>
      <c r="DTL9" s="30"/>
      <c r="DTM9" s="28"/>
      <c r="DTN9" s="29"/>
      <c r="DTO9" s="29"/>
      <c r="DTP9" s="29"/>
      <c r="DTQ9" s="28"/>
      <c r="DTR9" s="29"/>
      <c r="DTS9" s="29"/>
      <c r="DTT9" s="28"/>
      <c r="DTU9" s="29"/>
      <c r="DTV9" s="30"/>
      <c r="DTW9" s="28"/>
      <c r="DTX9" s="29"/>
      <c r="DTY9" s="29"/>
      <c r="DTZ9" s="29"/>
      <c r="DUA9" s="28"/>
      <c r="DUB9" s="29"/>
      <c r="DUC9" s="29"/>
      <c r="DUD9" s="28"/>
      <c r="DUE9" s="29"/>
      <c r="DUF9" s="30"/>
      <c r="DUG9" s="28"/>
      <c r="DUH9" s="30"/>
      <c r="DUI9" s="29"/>
      <c r="DUJ9" s="28"/>
      <c r="DUK9" s="29"/>
      <c r="DUL9" s="28"/>
      <c r="DUM9" s="28"/>
      <c r="DUN9" s="28"/>
      <c r="DUO9" s="29"/>
      <c r="DUP9" s="385"/>
      <c r="DUQ9" s="29"/>
      <c r="DUR9" s="385"/>
      <c r="DUS9" s="29"/>
      <c r="DUT9" s="385"/>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30"/>
      <c r="DWA9" s="28"/>
      <c r="DWB9" s="29"/>
      <c r="DWC9" s="29"/>
      <c r="DWD9" s="29"/>
      <c r="DWE9" s="29"/>
      <c r="DWF9" s="29"/>
      <c r="DWG9" s="28"/>
      <c r="DWH9" s="29"/>
      <c r="DWI9" s="29"/>
      <c r="DWJ9" s="28"/>
      <c r="DWK9" s="29"/>
      <c r="DWL9" s="30"/>
      <c r="DWM9" s="28"/>
      <c r="DWN9" s="29"/>
      <c r="DWO9" s="29"/>
      <c r="DWP9" s="29"/>
      <c r="DWQ9" s="28"/>
      <c r="DWR9" s="29"/>
      <c r="DWS9" s="29"/>
      <c r="DWT9" s="28"/>
      <c r="DWU9" s="29"/>
      <c r="DWV9" s="30"/>
      <c r="DWW9" s="28"/>
      <c r="DWX9" s="29"/>
      <c r="DWY9" s="29"/>
      <c r="DWZ9" s="29"/>
      <c r="DXA9" s="28"/>
      <c r="DXB9" s="29"/>
      <c r="DXC9" s="29"/>
      <c r="DXD9" s="28"/>
      <c r="DXE9" s="29"/>
      <c r="DXF9" s="30"/>
      <c r="DXG9" s="28"/>
      <c r="DXH9" s="29"/>
      <c r="DXI9" s="29"/>
      <c r="DXJ9" s="29"/>
      <c r="DXK9" s="28"/>
      <c r="DXL9" s="29"/>
      <c r="DXM9" s="29"/>
      <c r="DXN9" s="28"/>
      <c r="DXO9" s="29"/>
      <c r="DXP9" s="30"/>
      <c r="DXQ9" s="28"/>
      <c r="DXR9" s="30"/>
      <c r="DXS9" s="29"/>
      <c r="DXT9" s="28"/>
      <c r="DXU9" s="29"/>
      <c r="DXV9" s="28"/>
      <c r="DXW9" s="28"/>
      <c r="DXX9" s="28"/>
      <c r="DXY9" s="29"/>
      <c r="DXZ9" s="385"/>
      <c r="DYA9" s="29"/>
      <c r="DYB9" s="385"/>
      <c r="DYC9" s="29"/>
      <c r="DYD9" s="385"/>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30"/>
      <c r="DZK9" s="28"/>
      <c r="DZL9" s="29"/>
      <c r="DZM9" s="29"/>
      <c r="DZN9" s="29"/>
      <c r="DZO9" s="29"/>
      <c r="DZP9" s="29"/>
      <c r="DZQ9" s="28"/>
      <c r="DZR9" s="29"/>
      <c r="DZS9" s="29"/>
      <c r="DZT9" s="28"/>
      <c r="DZU9" s="29"/>
      <c r="DZV9" s="30"/>
      <c r="DZW9" s="28"/>
      <c r="DZX9" s="29"/>
      <c r="DZY9" s="29"/>
      <c r="DZZ9" s="29"/>
      <c r="EAA9" s="28"/>
      <c r="EAB9" s="29"/>
      <c r="EAC9" s="29"/>
      <c r="EAD9" s="28"/>
      <c r="EAE9" s="29"/>
      <c r="EAF9" s="30"/>
      <c r="EAG9" s="28"/>
      <c r="EAH9" s="29"/>
      <c r="EAI9" s="29"/>
      <c r="EAJ9" s="29"/>
      <c r="EAK9" s="28"/>
      <c r="EAL9" s="29"/>
      <c r="EAM9" s="29"/>
      <c r="EAN9" s="28"/>
      <c r="EAO9" s="29"/>
      <c r="EAP9" s="30"/>
      <c r="EAQ9" s="28"/>
      <c r="EAR9" s="29"/>
      <c r="EAS9" s="29"/>
      <c r="EAT9" s="29"/>
      <c r="EAU9" s="28"/>
      <c r="EAV9" s="29"/>
      <c r="EAW9" s="29"/>
      <c r="EAX9" s="28"/>
      <c r="EAY9" s="29"/>
      <c r="EAZ9" s="30"/>
      <c r="EBA9" s="28"/>
      <c r="EBB9" s="30"/>
      <c r="EBC9" s="29"/>
      <c r="EBD9" s="28"/>
      <c r="EBE9" s="29"/>
      <c r="EBF9" s="28"/>
      <c r="EBG9" s="28"/>
      <c r="EBH9" s="28"/>
      <c r="EBI9" s="29"/>
      <c r="EBJ9" s="385"/>
      <c r="EBK9" s="29"/>
      <c r="EBL9" s="385"/>
      <c r="EBM9" s="29"/>
      <c r="EBN9" s="385"/>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30"/>
      <c r="ECU9" s="28"/>
      <c r="ECV9" s="29"/>
      <c r="ECW9" s="29"/>
      <c r="ECX9" s="29"/>
      <c r="ECY9" s="29"/>
      <c r="ECZ9" s="29"/>
      <c r="EDA9" s="28"/>
      <c r="EDB9" s="29"/>
      <c r="EDC9" s="29"/>
      <c r="EDD9" s="28"/>
      <c r="EDE9" s="29"/>
      <c r="EDF9" s="30"/>
      <c r="EDG9" s="28"/>
      <c r="EDH9" s="29"/>
      <c r="EDI9" s="29"/>
      <c r="EDJ9" s="29"/>
      <c r="EDK9" s="28"/>
      <c r="EDL9" s="29"/>
      <c r="EDM9" s="29"/>
      <c r="EDN9" s="28"/>
      <c r="EDO9" s="29"/>
      <c r="EDP9" s="30"/>
      <c r="EDQ9" s="28"/>
      <c r="EDR9" s="29"/>
      <c r="EDS9" s="29"/>
      <c r="EDT9" s="29"/>
      <c r="EDU9" s="28"/>
      <c r="EDV9" s="29"/>
      <c r="EDW9" s="29"/>
      <c r="EDX9" s="28"/>
      <c r="EDY9" s="29"/>
      <c r="EDZ9" s="30"/>
      <c r="EEA9" s="28"/>
      <c r="EEB9" s="29"/>
      <c r="EEC9" s="29"/>
      <c r="EED9" s="29"/>
      <c r="EEE9" s="28"/>
      <c r="EEF9" s="29"/>
      <c r="EEG9" s="29"/>
      <c r="EEH9" s="28"/>
      <c r="EEI9" s="29"/>
      <c r="EEJ9" s="30"/>
      <c r="EEK9" s="28"/>
      <c r="EEL9" s="30"/>
      <c r="EEM9" s="29"/>
      <c r="EEN9" s="28"/>
      <c r="EEO9" s="29"/>
      <c r="EEP9" s="28"/>
      <c r="EEQ9" s="28"/>
      <c r="EER9" s="28"/>
      <c r="EES9" s="29"/>
      <c r="EET9" s="385"/>
      <c r="EEU9" s="29"/>
      <c r="EEV9" s="385"/>
      <c r="EEW9" s="29"/>
      <c r="EEX9" s="385"/>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30"/>
      <c r="EGE9" s="28"/>
      <c r="EGF9" s="29"/>
      <c r="EGG9" s="29"/>
      <c r="EGH9" s="29"/>
      <c r="EGI9" s="29"/>
      <c r="EGJ9" s="29"/>
      <c r="EGK9" s="28"/>
      <c r="EGL9" s="29"/>
      <c r="EGM9" s="29"/>
      <c r="EGN9" s="28"/>
      <c r="EGO9" s="29"/>
      <c r="EGP9" s="30"/>
      <c r="EGQ9" s="28"/>
      <c r="EGR9" s="29"/>
      <c r="EGS9" s="29"/>
      <c r="EGT9" s="29"/>
      <c r="EGU9" s="28"/>
      <c r="EGV9" s="29"/>
      <c r="EGW9" s="29"/>
      <c r="EGX9" s="28"/>
      <c r="EGY9" s="29"/>
      <c r="EGZ9" s="30"/>
      <c r="EHA9" s="28"/>
      <c r="EHB9" s="29"/>
      <c r="EHC9" s="29"/>
      <c r="EHD9" s="29"/>
      <c r="EHE9" s="28"/>
      <c r="EHF9" s="29"/>
      <c r="EHG9" s="29"/>
      <c r="EHH9" s="28"/>
      <c r="EHI9" s="29"/>
      <c r="EHJ9" s="30"/>
      <c r="EHK9" s="28"/>
      <c r="EHL9" s="29"/>
      <c r="EHM9" s="29"/>
      <c r="EHN9" s="29"/>
      <c r="EHO9" s="28"/>
      <c r="EHP9" s="29"/>
      <c r="EHQ9" s="29"/>
      <c r="EHR9" s="28"/>
      <c r="EHS9" s="29"/>
      <c r="EHT9" s="30"/>
      <c r="EHU9" s="28"/>
      <c r="EHV9" s="30"/>
      <c r="EHW9" s="29"/>
      <c r="EHX9" s="28"/>
      <c r="EHY9" s="29"/>
      <c r="EHZ9" s="28"/>
      <c r="EIA9" s="28"/>
      <c r="EIB9" s="28"/>
      <c r="EIC9" s="29"/>
      <c r="EID9" s="385"/>
      <c r="EIE9" s="29"/>
      <c r="EIF9" s="385"/>
      <c r="EIG9" s="29"/>
      <c r="EIH9" s="385"/>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30"/>
      <c r="EJO9" s="28"/>
      <c r="EJP9" s="29"/>
      <c r="EJQ9" s="29"/>
      <c r="EJR9" s="29"/>
      <c r="EJS9" s="29"/>
      <c r="EJT9" s="29"/>
      <c r="EJU9" s="28"/>
      <c r="EJV9" s="29"/>
      <c r="EJW9" s="29"/>
      <c r="EJX9" s="28"/>
      <c r="EJY9" s="29"/>
      <c r="EJZ9" s="30"/>
      <c r="EKA9" s="28"/>
      <c r="EKB9" s="29"/>
      <c r="EKC9" s="29"/>
      <c r="EKD9" s="29"/>
      <c r="EKE9" s="28"/>
      <c r="EKF9" s="29"/>
      <c r="EKG9" s="29"/>
      <c r="EKH9" s="28"/>
      <c r="EKI9" s="29"/>
      <c r="EKJ9" s="30"/>
      <c r="EKK9" s="28"/>
      <c r="EKL9" s="29"/>
      <c r="EKM9" s="29"/>
      <c r="EKN9" s="29"/>
      <c r="EKO9" s="28"/>
      <c r="EKP9" s="29"/>
      <c r="EKQ9" s="29"/>
      <c r="EKR9" s="28"/>
      <c r="EKS9" s="29"/>
      <c r="EKT9" s="30"/>
      <c r="EKU9" s="28"/>
      <c r="EKV9" s="29"/>
      <c r="EKW9" s="29"/>
      <c r="EKX9" s="29"/>
      <c r="EKY9" s="28"/>
      <c r="EKZ9" s="29"/>
      <c r="ELA9" s="29"/>
      <c r="ELB9" s="28"/>
      <c r="ELC9" s="29"/>
      <c r="ELD9" s="30"/>
      <c r="ELE9" s="28"/>
      <c r="ELF9" s="30"/>
      <c r="ELG9" s="29"/>
      <c r="ELH9" s="28"/>
      <c r="ELI9" s="29"/>
      <c r="ELJ9" s="28"/>
      <c r="ELK9" s="28"/>
      <c r="ELL9" s="28"/>
      <c r="ELM9" s="29"/>
      <c r="ELN9" s="385"/>
      <c r="ELO9" s="29"/>
      <c r="ELP9" s="385"/>
      <c r="ELQ9" s="29"/>
      <c r="ELR9" s="385"/>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30"/>
      <c r="EMY9" s="28"/>
      <c r="EMZ9" s="29"/>
      <c r="ENA9" s="29"/>
      <c r="ENB9" s="29"/>
      <c r="ENC9" s="29"/>
      <c r="END9" s="29"/>
      <c r="ENE9" s="28"/>
      <c r="ENF9" s="29"/>
      <c r="ENG9" s="29"/>
      <c r="ENH9" s="28"/>
      <c r="ENI9" s="29"/>
      <c r="ENJ9" s="30"/>
      <c r="ENK9" s="28"/>
      <c r="ENL9" s="29"/>
      <c r="ENM9" s="29"/>
      <c r="ENN9" s="29"/>
      <c r="ENO9" s="28"/>
      <c r="ENP9" s="29"/>
      <c r="ENQ9" s="29"/>
      <c r="ENR9" s="28"/>
      <c r="ENS9" s="29"/>
      <c r="ENT9" s="30"/>
      <c r="ENU9" s="28"/>
      <c r="ENV9" s="29"/>
      <c r="ENW9" s="29"/>
      <c r="ENX9" s="29"/>
      <c r="ENY9" s="28"/>
      <c r="ENZ9" s="29"/>
      <c r="EOA9" s="29"/>
      <c r="EOB9" s="28"/>
      <c r="EOC9" s="29"/>
      <c r="EOD9" s="30"/>
      <c r="EOE9" s="28"/>
      <c r="EOF9" s="29"/>
      <c r="EOG9" s="29"/>
      <c r="EOH9" s="29"/>
      <c r="EOI9" s="28"/>
      <c r="EOJ9" s="29"/>
      <c r="EOK9" s="29"/>
      <c r="EOL9" s="28"/>
      <c r="EOM9" s="29"/>
      <c r="EON9" s="30"/>
      <c r="EOO9" s="28" t="str">
        <f t="shared" si="75"/>
        <v xml:space="preserve"> </v>
      </c>
    </row>
    <row r="10" spans="1:3873" x14ac:dyDescent="0.3">
      <c r="A10" s="55" t="s">
        <v>117</v>
      </c>
      <c r="B10" s="58"/>
      <c r="C10" s="57"/>
      <c r="D10" s="56" t="str">
        <f t="shared" si="61"/>
        <v xml:space="preserve"> </v>
      </c>
      <c r="E10" s="57"/>
      <c r="F10" s="56"/>
      <c r="G10" s="56"/>
      <c r="H10" s="56"/>
      <c r="I10" s="57"/>
      <c r="J10" s="387"/>
      <c r="K10" s="57"/>
      <c r="L10" s="387"/>
      <c r="M10" s="57"/>
      <c r="N10" s="38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8"/>
      <c r="AU10" s="56"/>
      <c r="AV10" s="57"/>
      <c r="AW10" s="57"/>
      <c r="AX10" s="57"/>
      <c r="AY10" s="57"/>
      <c r="AZ10" s="57"/>
      <c r="BA10" s="56"/>
      <c r="BB10" s="57"/>
      <c r="BC10" s="57"/>
      <c r="BD10" s="56"/>
      <c r="BE10" s="57"/>
      <c r="BF10" s="58"/>
      <c r="BG10" s="56"/>
      <c r="BH10" s="57"/>
      <c r="BI10" s="57"/>
      <c r="BJ10" s="57"/>
      <c r="BK10" s="56"/>
      <c r="BL10" s="57"/>
      <c r="BM10" s="57"/>
      <c r="BN10" s="56"/>
      <c r="BO10" s="57"/>
      <c r="BP10" s="58"/>
      <c r="BQ10" s="56"/>
      <c r="BR10" s="57"/>
      <c r="BS10" s="57"/>
      <c r="BT10" s="57"/>
      <c r="BU10" s="56"/>
      <c r="BV10" s="57"/>
      <c r="BW10" s="57"/>
      <c r="BX10" s="56"/>
      <c r="BY10" s="57"/>
      <c r="BZ10" s="58"/>
      <c r="CA10" s="56"/>
      <c r="CB10" s="57"/>
      <c r="CC10" s="57"/>
      <c r="CD10" s="57"/>
      <c r="CE10" s="56"/>
      <c r="CF10" s="57"/>
      <c r="CG10" s="57"/>
      <c r="CH10" s="56"/>
      <c r="CI10" s="57"/>
      <c r="CJ10" s="58"/>
      <c r="CK10" s="56"/>
      <c r="CL10" s="57"/>
      <c r="CM10" s="57"/>
      <c r="CN10" s="57"/>
      <c r="CO10" s="56"/>
      <c r="CP10" s="57"/>
      <c r="CQ10" s="57"/>
      <c r="CR10" s="56"/>
      <c r="CS10" s="57"/>
      <c r="CT10" s="58"/>
      <c r="CU10" s="56"/>
      <c r="CV10" s="57"/>
      <c r="CW10" s="57"/>
      <c r="CX10" s="57"/>
      <c r="CY10" s="56"/>
      <c r="CZ10" s="57"/>
      <c r="DA10" s="57"/>
      <c r="DB10" s="56"/>
      <c r="DC10" s="57"/>
      <c r="DD10" s="58"/>
      <c r="DE10" s="56"/>
      <c r="DF10" s="57"/>
      <c r="DG10" s="57"/>
      <c r="DH10" s="57"/>
      <c r="DI10" s="56"/>
      <c r="DJ10" s="57"/>
      <c r="DK10" s="57"/>
      <c r="DL10" s="56"/>
      <c r="DM10" s="57"/>
      <c r="DN10" s="58"/>
      <c r="DO10" s="56"/>
      <c r="DP10" s="57"/>
      <c r="DQ10" s="57"/>
      <c r="DR10" s="57"/>
      <c r="DS10" s="56"/>
      <c r="DT10" s="57"/>
      <c r="DU10" s="57"/>
      <c r="DV10" s="56"/>
      <c r="DW10" s="57"/>
      <c r="DX10" s="58"/>
      <c r="DY10" s="56"/>
      <c r="DZ10" s="57"/>
      <c r="EA10" s="57"/>
      <c r="EB10" s="57"/>
      <c r="EC10" s="56"/>
      <c r="ED10" s="57"/>
      <c r="EE10" s="56"/>
      <c r="EF10" s="56"/>
      <c r="EG10" s="57"/>
      <c r="EH10" s="58"/>
      <c r="EI10" s="56"/>
      <c r="EJ10" s="57"/>
      <c r="EK10" s="57"/>
      <c r="EL10" s="57"/>
      <c r="EM10" s="56"/>
      <c r="EN10" s="57"/>
      <c r="EO10" s="57"/>
      <c r="EP10" s="56"/>
      <c r="EQ10" s="57"/>
      <c r="ER10" s="58"/>
      <c r="ES10" s="56"/>
      <c r="ET10" s="57"/>
      <c r="EU10" s="57"/>
      <c r="EV10" s="57"/>
      <c r="EW10" s="56"/>
      <c r="EX10" s="57"/>
      <c r="EY10" s="57"/>
      <c r="EZ10" s="56"/>
      <c r="FA10" s="57"/>
      <c r="FB10" s="58"/>
      <c r="FC10" s="56"/>
      <c r="FD10" s="57"/>
      <c r="FE10" s="57"/>
      <c r="FF10" s="57"/>
      <c r="FG10" s="56"/>
      <c r="FH10" s="57"/>
      <c r="FI10" s="57"/>
      <c r="FJ10" s="56"/>
      <c r="FK10" s="57"/>
      <c r="FL10" s="58"/>
      <c r="FM10" s="56"/>
      <c r="FN10" s="57"/>
      <c r="FO10" s="57"/>
      <c r="FP10" s="57"/>
      <c r="FQ10" s="56"/>
      <c r="FR10" s="57"/>
      <c r="FS10" s="57"/>
      <c r="FT10" s="56"/>
      <c r="FU10" s="57"/>
      <c r="FV10" s="58"/>
      <c r="FW10" s="56"/>
      <c r="FX10" s="57"/>
      <c r="FY10" s="57"/>
      <c r="FZ10" s="57"/>
      <c r="GA10" s="56"/>
      <c r="GB10" s="57"/>
      <c r="GC10" s="57"/>
      <c r="GD10" s="56"/>
      <c r="GE10" s="57"/>
      <c r="GF10" s="58"/>
      <c r="GG10" s="56"/>
      <c r="GH10" s="57"/>
      <c r="GI10" s="57"/>
      <c r="GJ10" s="57"/>
      <c r="GK10" s="56"/>
      <c r="GL10" s="57"/>
      <c r="GM10" s="57"/>
      <c r="GN10" s="56"/>
      <c r="GO10" s="57"/>
      <c r="GP10" s="58"/>
      <c r="GQ10" s="56"/>
      <c r="GR10" s="57"/>
      <c r="GS10" s="57"/>
      <c r="GT10" s="57"/>
      <c r="GU10" s="56"/>
      <c r="GV10" s="57"/>
      <c r="GW10" s="57"/>
      <c r="GX10" s="56"/>
      <c r="GY10" s="57"/>
      <c r="GZ10" s="58"/>
      <c r="HA10" s="56"/>
      <c r="HB10" s="57"/>
      <c r="HC10" s="57"/>
      <c r="HD10" s="57"/>
      <c r="HE10" s="56"/>
      <c r="HF10" s="57"/>
      <c r="HG10" s="57"/>
      <c r="HH10" s="56"/>
      <c r="HI10" s="57"/>
      <c r="HJ10" s="58"/>
      <c r="HK10" s="56"/>
      <c r="HL10" s="57"/>
      <c r="HM10" s="57"/>
      <c r="HN10" s="57"/>
      <c r="HO10" s="56"/>
      <c r="HP10" s="57"/>
      <c r="HQ10" s="57"/>
      <c r="HR10" s="56"/>
      <c r="HS10" s="57"/>
      <c r="HT10" s="58"/>
      <c r="HU10" s="56"/>
      <c r="HV10" s="57"/>
      <c r="HW10" s="57"/>
      <c r="HX10" s="57"/>
      <c r="HY10" s="56"/>
      <c r="HZ10" s="57"/>
      <c r="IA10" s="57"/>
      <c r="IB10" s="56"/>
      <c r="IC10" s="57"/>
      <c r="ID10" s="58"/>
      <c r="IE10" s="56"/>
      <c r="IF10" s="57"/>
      <c r="IG10" s="57"/>
      <c r="IH10" s="57"/>
      <c r="II10" s="56"/>
      <c r="IJ10" s="57"/>
      <c r="IK10" s="57"/>
      <c r="IL10" s="56"/>
      <c r="IM10" s="57"/>
      <c r="IN10" s="58"/>
      <c r="IO10" s="56"/>
      <c r="IP10" s="57"/>
      <c r="IQ10" s="57"/>
      <c r="IR10" s="57"/>
      <c r="IS10" s="56"/>
      <c r="IT10" s="57"/>
      <c r="IU10" s="57"/>
      <c r="IV10" s="56"/>
      <c r="IW10" s="57"/>
      <c r="IX10" s="58"/>
      <c r="IY10" s="56"/>
      <c r="IZ10" s="57"/>
      <c r="JA10" s="57"/>
      <c r="JB10" s="57"/>
      <c r="JC10" s="56"/>
      <c r="JD10" s="57"/>
      <c r="JE10" s="57"/>
      <c r="JF10" s="56"/>
      <c r="JG10" s="57"/>
      <c r="JH10" s="58"/>
      <c r="JI10" s="56"/>
      <c r="JJ10" s="57"/>
      <c r="JK10" s="57"/>
      <c r="JL10" s="57"/>
      <c r="JM10" s="56"/>
      <c r="JN10" s="57"/>
      <c r="JO10" s="57"/>
      <c r="JP10" s="56"/>
      <c r="JQ10" s="57"/>
      <c r="JR10" s="58"/>
      <c r="JS10" s="56"/>
      <c r="JT10" s="57"/>
      <c r="JU10" s="57"/>
      <c r="JV10" s="57"/>
      <c r="JW10" s="56"/>
      <c r="JX10" s="57"/>
      <c r="JY10" s="57"/>
      <c r="JZ10" s="56"/>
      <c r="KA10" s="57"/>
      <c r="KB10" s="58"/>
      <c r="KC10" s="56"/>
      <c r="KD10" s="57"/>
      <c r="KE10" s="57"/>
      <c r="KF10" s="57"/>
      <c r="KG10" s="56"/>
      <c r="KH10" s="57"/>
      <c r="KI10" s="57"/>
      <c r="KJ10" s="56"/>
      <c r="KK10" s="57"/>
      <c r="KL10" s="58"/>
      <c r="KM10" s="56"/>
      <c r="KN10" s="57"/>
      <c r="KO10" s="57"/>
      <c r="KP10" s="57"/>
      <c r="KQ10" s="56"/>
      <c r="KR10" s="57"/>
      <c r="KS10" s="57"/>
      <c r="KT10" s="56"/>
      <c r="KU10" s="57"/>
      <c r="KV10" s="58"/>
      <c r="KW10" s="56"/>
      <c r="KX10" s="57"/>
      <c r="KY10" s="57"/>
      <c r="KZ10" s="57"/>
      <c r="LA10" s="56"/>
      <c r="LB10" s="57"/>
      <c r="LC10" s="57"/>
      <c r="LD10" s="56"/>
      <c r="LE10" s="57"/>
      <c r="LF10" s="58"/>
      <c r="LG10" s="56"/>
      <c r="LH10" s="57"/>
      <c r="LI10" s="57"/>
      <c r="LJ10" s="57"/>
      <c r="LK10" s="56"/>
      <c r="LL10" s="57"/>
      <c r="LM10" s="57"/>
      <c r="LN10" s="56"/>
      <c r="LO10" s="57"/>
      <c r="LP10" s="58"/>
      <c r="LQ10" s="56"/>
      <c r="LR10" s="57"/>
      <c r="LS10" s="57"/>
      <c r="LT10" s="57"/>
      <c r="LU10" s="56"/>
      <c r="LV10" s="57"/>
      <c r="LW10" s="57"/>
      <c r="LX10" s="56"/>
      <c r="LY10" s="57"/>
      <c r="LZ10" s="58"/>
      <c r="MA10" s="56"/>
      <c r="MB10" s="57"/>
      <c r="MC10" s="57"/>
      <c r="MD10" s="57"/>
      <c r="ME10" s="56"/>
      <c r="MF10" s="57"/>
      <c r="MG10" s="57"/>
      <c r="MH10" s="56"/>
      <c r="MI10" s="57"/>
      <c r="MJ10" s="58"/>
      <c r="MK10" s="56"/>
      <c r="ML10" s="57"/>
      <c r="MM10" s="57"/>
      <c r="MN10" s="57"/>
      <c r="MO10" s="56"/>
      <c r="MP10" s="57"/>
      <c r="MQ10" s="57"/>
      <c r="MR10" s="56"/>
      <c r="MS10" s="57"/>
      <c r="MT10" s="58"/>
      <c r="MU10" s="56"/>
      <c r="MV10" s="57"/>
      <c r="MW10" s="57"/>
      <c r="MX10" s="57"/>
      <c r="MY10" s="56"/>
      <c r="MZ10" s="57"/>
      <c r="NA10" s="57"/>
      <c r="NB10" s="56"/>
      <c r="NC10" s="57"/>
      <c r="ND10" s="58"/>
      <c r="NE10" s="56"/>
      <c r="NF10" s="57"/>
      <c r="NG10" s="57"/>
      <c r="NH10" s="57"/>
      <c r="NI10" s="56"/>
      <c r="NJ10" s="57"/>
      <c r="NK10" s="57"/>
      <c r="NL10" s="56"/>
      <c r="NM10" s="57"/>
      <c r="NN10" s="58"/>
      <c r="NO10" s="56"/>
      <c r="NP10" s="57"/>
      <c r="NQ10" s="57"/>
      <c r="NR10" s="57"/>
      <c r="NS10" s="56"/>
      <c r="NT10" s="57"/>
      <c r="NU10" s="57"/>
      <c r="NV10" s="56"/>
      <c r="NW10" s="57"/>
      <c r="NX10" s="58"/>
      <c r="NY10" s="56"/>
      <c r="NZ10" s="57"/>
      <c r="OA10" s="57"/>
      <c r="OB10" s="57"/>
      <c r="OC10" s="56"/>
      <c r="OD10" s="57"/>
      <c r="OE10" s="57"/>
      <c r="OF10" s="58"/>
      <c r="OG10" s="58"/>
      <c r="OH10" s="58"/>
      <c r="OI10" s="56"/>
      <c r="OJ10" s="58"/>
      <c r="OK10" s="58"/>
      <c r="OL10" s="58"/>
      <c r="OM10" s="58"/>
      <c r="ON10" s="58"/>
      <c r="OO10" s="58"/>
      <c r="OP10" s="56"/>
      <c r="OQ10" s="57"/>
      <c r="OR10" s="58"/>
      <c r="OS10" s="56"/>
      <c r="OT10" s="57"/>
      <c r="OU10" s="57"/>
      <c r="OV10" s="57"/>
      <c r="OW10" s="56"/>
      <c r="OX10" s="57"/>
      <c r="OY10" s="57"/>
      <c r="OZ10" s="56"/>
      <c r="PA10" s="57"/>
      <c r="PB10" s="58"/>
      <c r="PC10" s="56"/>
      <c r="PD10" s="57"/>
      <c r="PE10" s="57"/>
      <c r="PF10" s="57"/>
      <c r="PG10" s="56"/>
      <c r="PH10" s="57"/>
      <c r="PI10" s="57"/>
      <c r="PJ10" s="56"/>
      <c r="PK10" s="57"/>
      <c r="PL10" s="58"/>
      <c r="PM10" s="56"/>
      <c r="PN10" s="57"/>
      <c r="PO10" s="57"/>
      <c r="PP10" s="57"/>
      <c r="PQ10" s="56"/>
      <c r="PR10" s="57"/>
      <c r="PS10" s="57"/>
      <c r="PT10" s="56"/>
      <c r="PU10" s="57"/>
      <c r="PV10" s="58"/>
      <c r="PW10" s="56"/>
      <c r="PX10" s="57"/>
      <c r="PY10" s="57"/>
      <c r="PZ10" s="57"/>
      <c r="QA10" s="56"/>
      <c r="QB10" s="57"/>
      <c r="QC10" s="57"/>
      <c r="QD10" s="56"/>
      <c r="QE10" s="57"/>
      <c r="QF10" s="58"/>
      <c r="QG10" s="56"/>
      <c r="QH10" s="57"/>
      <c r="QI10" s="57"/>
      <c r="QJ10" s="57"/>
      <c r="QK10" s="56"/>
      <c r="QL10" s="57"/>
      <c r="QM10" s="57"/>
      <c r="QN10" s="56"/>
      <c r="QO10" s="57"/>
      <c r="QP10" s="58"/>
      <c r="QQ10" s="56"/>
      <c r="QR10" s="57"/>
      <c r="QS10" s="57"/>
      <c r="QT10" s="57"/>
      <c r="QU10" s="56"/>
      <c r="QV10" s="57"/>
      <c r="QW10" s="57"/>
      <c r="QX10" s="56"/>
      <c r="QY10" s="57"/>
      <c r="QZ10" s="58"/>
      <c r="RA10" s="56"/>
      <c r="RB10" s="57"/>
      <c r="RC10" s="57"/>
      <c r="RD10" s="57"/>
      <c r="RE10" s="56"/>
      <c r="RF10" s="57"/>
      <c r="RG10" s="57"/>
      <c r="RH10" s="56"/>
      <c r="RI10" s="57"/>
      <c r="RJ10" s="58"/>
      <c r="RK10" s="56"/>
      <c r="RL10" s="57"/>
      <c r="RM10" s="57"/>
      <c r="RN10" s="57"/>
      <c r="RO10" s="56"/>
      <c r="RP10" s="57"/>
      <c r="RQ10" s="57"/>
      <c r="RR10" s="56"/>
      <c r="RS10" s="57"/>
      <c r="RT10" s="58"/>
      <c r="RU10" s="56"/>
      <c r="RV10" s="57"/>
      <c r="RW10" s="57"/>
      <c r="RX10" s="57"/>
      <c r="RY10" s="56"/>
      <c r="RZ10" s="57"/>
      <c r="SA10" s="57"/>
      <c r="SB10" s="56"/>
      <c r="SC10" s="57"/>
      <c r="SD10" s="58"/>
      <c r="SE10" s="56"/>
      <c r="SF10" s="57"/>
      <c r="SG10" s="57"/>
      <c r="SH10" s="57"/>
      <c r="SI10" s="56"/>
      <c r="SJ10" s="57"/>
      <c r="SK10" s="57"/>
      <c r="SL10" s="56"/>
      <c r="SM10" s="57"/>
      <c r="SN10" s="58"/>
      <c r="SO10" s="56"/>
      <c r="SP10" s="57"/>
      <c r="SQ10" s="57"/>
      <c r="SR10" s="57"/>
      <c r="SS10" s="56"/>
      <c r="ST10" s="57"/>
      <c r="SU10" s="57"/>
      <c r="SV10" s="56"/>
      <c r="SW10" s="57"/>
      <c r="SX10" s="58"/>
      <c r="SY10" s="56"/>
      <c r="SZ10" s="57"/>
      <c r="TA10" s="57"/>
      <c r="TB10" s="57"/>
      <c r="TC10" s="56"/>
      <c r="TD10" s="57"/>
      <c r="TE10" s="57"/>
      <c r="TF10" s="56"/>
      <c r="TG10" s="57"/>
      <c r="TH10" s="58"/>
      <c r="TI10" s="56"/>
      <c r="TJ10" s="57"/>
      <c r="TK10" s="57"/>
      <c r="TL10" s="57"/>
      <c r="TM10" s="56"/>
      <c r="TN10" s="57"/>
      <c r="TO10" s="57"/>
      <c r="TP10" s="56"/>
      <c r="TQ10" s="57"/>
      <c r="TR10" s="58"/>
      <c r="TS10" s="56"/>
      <c r="TT10" s="57"/>
      <c r="TU10" s="57"/>
      <c r="TV10" s="57"/>
      <c r="TW10" s="56"/>
      <c r="TX10" s="57"/>
      <c r="TY10" s="57"/>
      <c r="TZ10" s="56"/>
      <c r="UA10" s="57"/>
      <c r="UB10" s="58"/>
      <c r="UC10" s="56"/>
      <c r="UD10" s="57"/>
      <c r="UE10" s="57"/>
      <c r="UF10" s="57"/>
      <c r="UG10" s="56"/>
      <c r="UH10" s="57"/>
      <c r="UI10" s="57"/>
      <c r="UJ10" s="56"/>
      <c r="UK10" s="57"/>
      <c r="UL10" s="58"/>
      <c r="UM10" s="56"/>
      <c r="UN10" s="57"/>
      <c r="UO10" s="57"/>
      <c r="UP10" s="57"/>
      <c r="UQ10" s="56"/>
      <c r="UR10" s="57"/>
      <c r="US10" s="57"/>
      <c r="UT10" s="56"/>
      <c r="UU10" s="57"/>
      <c r="UV10" s="58"/>
      <c r="UW10" s="56"/>
      <c r="UX10" s="57"/>
      <c r="UY10" s="57"/>
      <c r="UZ10" s="57"/>
      <c r="VA10" s="56"/>
      <c r="VB10" s="57"/>
      <c r="VC10" s="57"/>
      <c r="VD10" s="56"/>
      <c r="VE10" s="57"/>
      <c r="VF10" s="58"/>
      <c r="VG10" s="56"/>
      <c r="VH10" s="57"/>
      <c r="VI10" s="57"/>
      <c r="VJ10" s="57"/>
      <c r="VK10" s="56"/>
      <c r="VL10" s="57"/>
      <c r="VM10" s="57"/>
      <c r="VN10" s="56"/>
      <c r="VO10" s="57"/>
      <c r="VP10" s="58"/>
      <c r="VQ10" s="56"/>
      <c r="VR10" s="57"/>
      <c r="VS10" s="57"/>
      <c r="VT10" s="57"/>
      <c r="VU10" s="56"/>
      <c r="VV10" s="57"/>
      <c r="VW10" s="57"/>
      <c r="VX10" s="56"/>
      <c r="VY10" s="57"/>
      <c r="VZ10" s="58"/>
      <c r="WA10" s="56"/>
      <c r="WB10" s="57"/>
      <c r="WC10" s="57"/>
      <c r="WD10" s="57"/>
      <c r="WE10" s="56"/>
      <c r="WF10" s="57"/>
      <c r="WG10" s="57"/>
      <c r="WH10" s="56"/>
      <c r="WI10" s="57"/>
      <c r="WJ10" s="58"/>
      <c r="WK10" s="56"/>
      <c r="WL10" s="57"/>
      <c r="WM10" s="57"/>
      <c r="WN10" s="57"/>
      <c r="WO10" s="56"/>
      <c r="WP10" s="57"/>
      <c r="WQ10" s="57"/>
      <c r="WR10" s="56"/>
      <c r="WS10" s="57"/>
      <c r="WT10" s="58"/>
      <c r="WU10" s="56"/>
      <c r="WV10" s="57"/>
      <c r="WW10" s="57"/>
      <c r="WX10" s="57"/>
      <c r="WY10" s="56"/>
      <c r="WZ10" s="57"/>
      <c r="XA10" s="57"/>
      <c r="XB10" s="56"/>
      <c r="XC10" s="57"/>
      <c r="XD10" s="58"/>
      <c r="XE10" s="56"/>
      <c r="XF10" s="57"/>
      <c r="XG10" s="57"/>
      <c r="XH10" s="57"/>
      <c r="XI10" s="56"/>
      <c r="XJ10" s="57"/>
      <c r="XK10" s="57"/>
      <c r="XL10" s="56"/>
      <c r="XM10" s="57"/>
      <c r="XN10" s="58"/>
      <c r="XO10" s="56"/>
      <c r="XP10" s="57"/>
      <c r="XQ10" s="57"/>
      <c r="XR10" s="57"/>
      <c r="XS10" s="56"/>
      <c r="XT10" s="57"/>
      <c r="XU10" s="57"/>
      <c r="XV10" s="56"/>
      <c r="XW10" s="57"/>
      <c r="XX10" s="58"/>
      <c r="XY10" s="56"/>
      <c r="XZ10" s="57"/>
      <c r="YA10" s="57"/>
      <c r="YB10" s="57"/>
      <c r="YC10" s="56"/>
      <c r="YD10" s="57"/>
      <c r="YE10" s="57"/>
      <c r="YF10" s="56"/>
      <c r="YG10" s="57"/>
      <c r="YH10" s="58"/>
      <c r="YI10" s="56"/>
      <c r="YJ10" s="57"/>
      <c r="YK10" s="57"/>
      <c r="YL10" s="57"/>
      <c r="YM10" s="56"/>
      <c r="YN10" s="57"/>
      <c r="YO10" s="57"/>
      <c r="YP10" s="56"/>
      <c r="YQ10" s="57"/>
      <c r="YR10" s="58"/>
      <c r="YS10" s="56"/>
      <c r="YT10" s="57"/>
      <c r="YU10" s="57"/>
      <c r="YV10" s="57"/>
      <c r="YW10" s="56"/>
      <c r="YX10" s="57"/>
      <c r="YY10" s="57"/>
      <c r="YZ10" s="56"/>
      <c r="ZA10" s="57"/>
      <c r="ZB10" s="58"/>
      <c r="ZC10" s="56"/>
      <c r="ZD10" s="57"/>
      <c r="ZE10" s="57"/>
      <c r="ZF10" s="57"/>
      <c r="ZG10" s="56"/>
      <c r="ZH10" s="57"/>
      <c r="ZI10" s="57"/>
      <c r="ZJ10" s="56"/>
      <c r="ZK10" s="57"/>
      <c r="ZL10" s="58"/>
      <c r="ZM10" s="56"/>
      <c r="ZN10" s="57"/>
      <c r="ZO10" s="57"/>
      <c r="ZP10" s="57"/>
      <c r="ZQ10" s="56"/>
      <c r="ZR10" s="57"/>
      <c r="ZS10" s="57"/>
      <c r="ZT10" s="56"/>
      <c r="ZU10" s="57"/>
      <c r="ZV10" s="58"/>
      <c r="ZW10" s="56"/>
      <c r="ZX10" s="57"/>
      <c r="ZY10" s="57"/>
      <c r="ZZ10" s="57"/>
      <c r="AAA10" s="56"/>
      <c r="AAB10" s="57"/>
      <c r="AAC10" s="57"/>
      <c r="AAD10" s="56"/>
      <c r="AAE10" s="57"/>
      <c r="AAF10" s="58"/>
      <c r="AAG10" s="56"/>
      <c r="AAH10" s="57"/>
      <c r="AAI10" s="57"/>
      <c r="AAJ10" s="57"/>
      <c r="AAK10" s="56"/>
      <c r="AAL10" s="57"/>
      <c r="AAM10" s="57"/>
      <c r="AAN10" s="56"/>
      <c r="AAO10" s="57"/>
      <c r="AAP10" s="58"/>
      <c r="AAQ10" s="56"/>
      <c r="AAR10" s="57"/>
      <c r="AAS10" s="57"/>
      <c r="AAT10" s="57"/>
      <c r="AAU10" s="56"/>
      <c r="AAV10" s="57"/>
      <c r="AAW10" s="57"/>
      <c r="AAX10" s="58"/>
      <c r="AAY10" s="58"/>
      <c r="AAZ10" s="58"/>
      <c r="ABA10" s="56"/>
      <c r="ABB10" s="58"/>
      <c r="ABC10" s="58"/>
      <c r="ABD10" s="58"/>
      <c r="ABE10" s="58"/>
      <c r="ABF10" s="58"/>
      <c r="ABG10" s="57"/>
      <c r="ABH10" s="56"/>
      <c r="ABI10" s="57"/>
      <c r="ABJ10" s="58"/>
      <c r="ABK10" s="56"/>
      <c r="ABL10" s="57"/>
      <c r="ABM10" s="57"/>
      <c r="ABN10" s="57"/>
      <c r="ABO10" s="56"/>
      <c r="ABP10" s="57"/>
      <c r="ABQ10" s="57"/>
      <c r="ABR10" s="56"/>
      <c r="ABS10" s="57"/>
      <c r="ABT10" s="58"/>
      <c r="ABU10" s="56"/>
      <c r="ABV10" s="57"/>
      <c r="ABW10" s="57"/>
      <c r="ABX10" s="57"/>
      <c r="ABY10" s="56"/>
      <c r="ABZ10" s="57"/>
      <c r="ACA10" s="57"/>
      <c r="ACB10" s="56"/>
      <c r="ACC10" s="57"/>
      <c r="ACD10" s="58"/>
      <c r="ACE10" s="56"/>
      <c r="ACF10" s="57"/>
      <c r="ACG10" s="57"/>
      <c r="ACH10" s="57"/>
      <c r="ACI10" s="56"/>
      <c r="ACJ10" s="57"/>
      <c r="ACK10" s="57"/>
      <c r="ACL10" s="56"/>
      <c r="ACM10" s="57"/>
      <c r="ACN10" s="58"/>
      <c r="ACO10" s="56"/>
      <c r="ACP10" s="57"/>
      <c r="ACQ10" s="57"/>
      <c r="ACR10" s="57"/>
      <c r="ACS10" s="56"/>
      <c r="ACT10" s="57"/>
      <c r="ACU10" s="57"/>
      <c r="ACV10" s="56"/>
      <c r="ACW10" s="57"/>
      <c r="ACX10" s="58"/>
      <c r="ACY10" s="56"/>
      <c r="ACZ10" s="57"/>
      <c r="ADA10" s="57"/>
      <c r="ADB10" s="57"/>
      <c r="ADC10" s="56"/>
      <c r="ADD10" s="57"/>
      <c r="ADE10" s="57"/>
      <c r="ADF10" s="56"/>
      <c r="ADG10" s="57"/>
      <c r="ADH10" s="58"/>
      <c r="ADI10" s="56"/>
      <c r="ADJ10" s="57"/>
      <c r="ADK10" s="57"/>
      <c r="ADL10" s="57"/>
      <c r="ADM10" s="56"/>
      <c r="ADN10" s="57"/>
      <c r="ADO10" s="57"/>
      <c r="ADP10" s="56"/>
      <c r="ADQ10" s="57"/>
      <c r="ADR10" s="58"/>
      <c r="ADS10" s="56"/>
      <c r="ADT10" s="57"/>
      <c r="ADU10" s="57"/>
      <c r="ADV10" s="57"/>
      <c r="ADW10" s="56"/>
      <c r="ADX10" s="57"/>
      <c r="ADY10" s="57"/>
      <c r="ADZ10" s="56"/>
      <c r="AEA10" s="57"/>
      <c r="AEB10" s="58"/>
      <c r="AEC10" s="56"/>
      <c r="AED10" s="57"/>
      <c r="AEE10" s="57"/>
      <c r="AEF10" s="57"/>
      <c r="AEG10" s="56"/>
      <c r="AEH10" s="57"/>
      <c r="AEI10" s="57"/>
      <c r="AEJ10" s="56"/>
      <c r="AEK10" s="57"/>
      <c r="AEL10" s="58"/>
      <c r="AEM10" s="56"/>
      <c r="AEN10" s="57"/>
      <c r="AEO10" s="57"/>
      <c r="AEP10" s="57"/>
      <c r="AEQ10" s="56"/>
      <c r="AER10" s="57"/>
      <c r="AES10" s="57"/>
      <c r="AET10" s="56"/>
      <c r="AEU10" s="57"/>
      <c r="AEV10" s="58"/>
      <c r="AEW10" s="56"/>
      <c r="AEX10" s="57"/>
      <c r="AEY10" s="57"/>
      <c r="AEZ10" s="57"/>
      <c r="AFA10" s="56"/>
      <c r="AFB10" s="57"/>
      <c r="AFC10" s="57"/>
      <c r="AFD10" s="56"/>
      <c r="AFE10" s="57"/>
      <c r="AFF10" s="58"/>
      <c r="AFG10" s="56"/>
      <c r="AFH10" s="57"/>
      <c r="AFI10" s="57"/>
      <c r="AFJ10" s="57"/>
      <c r="AFK10" s="56"/>
      <c r="AFL10" s="57"/>
      <c r="AFM10" s="57"/>
      <c r="AFN10" s="56"/>
      <c r="AFO10" s="57"/>
      <c r="AFP10" s="58"/>
      <c r="AFQ10" s="56"/>
      <c r="AFR10" s="57"/>
      <c r="AFS10" s="57"/>
      <c r="AFT10" s="57"/>
      <c r="AFU10" s="56"/>
      <c r="AFV10" s="57"/>
      <c r="AFW10" s="57"/>
      <c r="AFX10" s="56"/>
      <c r="AFY10" s="57"/>
      <c r="AFZ10" s="58"/>
      <c r="AGA10" s="56"/>
      <c r="AGB10" s="57"/>
      <c r="AGC10" s="57"/>
      <c r="AGD10" s="57"/>
      <c r="AGE10" s="56"/>
      <c r="AGF10" s="57"/>
      <c r="AGG10" s="57"/>
      <c r="AGH10" s="56"/>
      <c r="AGI10" s="57"/>
      <c r="AGJ10" s="58"/>
      <c r="AGK10" s="56"/>
      <c r="AGL10" s="57"/>
      <c r="AGM10" s="57"/>
      <c r="AGN10" s="57"/>
      <c r="AGO10" s="56"/>
      <c r="AGP10" s="57"/>
      <c r="AGQ10" s="57"/>
      <c r="AGR10" s="56"/>
      <c r="AGS10" s="57"/>
      <c r="AGT10" s="58"/>
      <c r="AGU10" s="56"/>
      <c r="AGV10" s="57"/>
      <c r="AGW10" s="57"/>
      <c r="AGX10" s="57"/>
      <c r="AGY10" s="56"/>
      <c r="AGZ10" s="57"/>
      <c r="AHA10" s="57"/>
      <c r="AHB10" s="56"/>
      <c r="AHC10" s="57"/>
      <c r="AHD10" s="58"/>
      <c r="AHE10" s="56"/>
      <c r="AHF10" s="57"/>
      <c r="AHG10" s="57"/>
      <c r="AHH10" s="57"/>
      <c r="AHI10" s="56"/>
      <c r="AHJ10" s="57"/>
      <c r="AHK10" s="57"/>
      <c r="AHL10" s="56"/>
      <c r="AHM10" s="57"/>
      <c r="AHN10" s="58"/>
      <c r="AHO10" s="56"/>
      <c r="AHP10" s="57"/>
      <c r="AHQ10" s="57"/>
      <c r="AHR10" s="57"/>
      <c r="AHS10" s="56"/>
      <c r="AHT10" s="57"/>
      <c r="AHU10" s="57"/>
      <c r="AHV10" s="56"/>
      <c r="AHW10" s="57"/>
      <c r="AHX10" s="58"/>
      <c r="AHY10" s="56"/>
      <c r="AHZ10" s="57"/>
      <c r="AIA10" s="57"/>
      <c r="AIB10" s="57"/>
      <c r="AIC10" s="56"/>
      <c r="AID10" s="57"/>
      <c r="AIE10" s="57"/>
      <c r="AIF10" s="56"/>
      <c r="AIG10" s="57"/>
      <c r="AIH10" s="58"/>
      <c r="AII10" s="56"/>
      <c r="AIJ10" s="57"/>
      <c r="AIK10" s="57"/>
      <c r="AIL10" s="57"/>
      <c r="AIM10" s="56"/>
      <c r="AIN10" s="57"/>
      <c r="AIO10" s="57"/>
      <c r="AIP10" s="56"/>
      <c r="AIQ10" s="57"/>
      <c r="AIR10" s="58"/>
      <c r="AIS10" s="56"/>
      <c r="AIT10" s="57"/>
      <c r="AIU10" s="57"/>
      <c r="AIV10" s="57"/>
      <c r="AIW10" s="56"/>
      <c r="AIX10" s="57"/>
      <c r="AIY10" s="57"/>
      <c r="AIZ10" s="56"/>
      <c r="AJA10" s="57"/>
      <c r="AJB10" s="58"/>
      <c r="AJC10" s="56"/>
      <c r="AJD10" s="57"/>
      <c r="AJE10" s="57"/>
      <c r="AJF10" s="57"/>
      <c r="AJG10" s="56"/>
      <c r="AJH10" s="57"/>
      <c r="AJI10" s="57"/>
      <c r="AJJ10" s="56"/>
      <c r="AJK10" s="57"/>
      <c r="AJL10" s="58"/>
      <c r="AJM10" s="56"/>
      <c r="AJN10" s="57"/>
      <c r="AJO10" s="57"/>
      <c r="AJP10" s="57"/>
      <c r="AJQ10" s="56"/>
      <c r="AJR10" s="57"/>
      <c r="AJS10" s="57"/>
      <c r="AJT10" s="56"/>
      <c r="AJU10" s="57"/>
      <c r="AJV10" s="58"/>
      <c r="AJW10" s="56"/>
      <c r="AJX10" s="57"/>
      <c r="AJY10" s="57"/>
      <c r="AJZ10" s="57"/>
      <c r="AKA10" s="56"/>
      <c r="AKB10" s="57"/>
      <c r="AKC10" s="57"/>
      <c r="AKD10" s="56"/>
      <c r="AKE10" s="57"/>
      <c r="AKF10" s="58"/>
      <c r="AKG10" s="56"/>
      <c r="AKH10" s="57"/>
      <c r="AKI10" s="57"/>
      <c r="AKJ10" s="57"/>
      <c r="AKK10" s="56"/>
      <c r="AKL10" s="57"/>
      <c r="AKM10" s="57"/>
      <c r="AKN10" s="56"/>
      <c r="AKO10" s="57"/>
      <c r="AKP10" s="58"/>
      <c r="AKQ10" s="56"/>
      <c r="AKR10" s="57"/>
      <c r="AKS10" s="57"/>
      <c r="AKT10" s="57"/>
      <c r="AKU10" s="56"/>
      <c r="AKV10" s="57"/>
      <c r="AKW10" s="57"/>
      <c r="AKX10" s="56"/>
      <c r="AKY10" s="57"/>
      <c r="AKZ10" s="58"/>
      <c r="ALA10" s="56"/>
      <c r="ALB10" s="57"/>
      <c r="ALC10" s="57"/>
      <c r="ALD10" s="57"/>
      <c r="ALE10" s="56"/>
      <c r="ALF10" s="57"/>
      <c r="ALG10" s="57"/>
      <c r="ALH10" s="57"/>
      <c r="ALI10" s="57"/>
      <c r="ALJ10" s="57"/>
      <c r="ALK10" s="56"/>
      <c r="ALL10" s="57"/>
      <c r="ALM10" s="57"/>
      <c r="ALN10" s="56"/>
      <c r="ALO10" s="57"/>
      <c r="ALP10" s="58"/>
      <c r="ALQ10" s="56"/>
      <c r="ALR10" s="57"/>
      <c r="ALS10" s="57"/>
      <c r="ALT10" s="57"/>
      <c r="ALU10" s="56"/>
      <c r="ALV10" s="57"/>
      <c r="ALW10" s="57"/>
      <c r="ALX10" s="56"/>
      <c r="ALY10" s="57"/>
      <c r="ALZ10" s="58"/>
      <c r="AMA10" s="56"/>
      <c r="AMB10" s="57"/>
      <c r="AMC10" s="57"/>
      <c r="AMD10" s="57"/>
      <c r="AME10" s="56"/>
      <c r="AMF10" s="57"/>
      <c r="AMG10" s="57"/>
      <c r="AMH10" s="57"/>
      <c r="AMI10" s="57"/>
      <c r="AMJ10" s="57"/>
      <c r="AMK10" s="56"/>
      <c r="AML10" s="57"/>
      <c r="AMM10" s="57"/>
      <c r="AMN10" s="56"/>
      <c r="AMO10" s="57"/>
      <c r="AMP10" s="58"/>
      <c r="AMQ10" s="56"/>
      <c r="AMR10" s="57"/>
      <c r="AMS10" s="57"/>
      <c r="AMT10" s="57"/>
      <c r="AMU10" s="56"/>
      <c r="AMV10" s="57"/>
      <c r="AMW10" s="57"/>
      <c r="AMX10" s="56"/>
      <c r="AMY10" s="57"/>
      <c r="AMZ10" s="58"/>
      <c r="ANA10" s="56"/>
      <c r="ANB10" s="57"/>
      <c r="ANC10" s="57"/>
      <c r="AND10" s="57"/>
      <c r="ANE10" s="56"/>
      <c r="ANF10" s="57"/>
      <c r="ANG10" s="57"/>
      <c r="ANH10" s="57"/>
      <c r="ANI10" s="57"/>
      <c r="ANJ10" s="57"/>
      <c r="ANK10" s="56"/>
      <c r="ANL10" s="57"/>
      <c r="ANM10" s="57"/>
      <c r="ANN10" s="56"/>
      <c r="ANO10" s="57"/>
      <c r="ANP10" s="58"/>
      <c r="ANQ10" s="56"/>
      <c r="ANR10" s="57"/>
      <c r="ANS10" s="57"/>
      <c r="ANT10" s="57"/>
      <c r="ANU10" s="56"/>
      <c r="ANV10" s="57"/>
      <c r="ANW10" s="57"/>
      <c r="ANX10" s="56"/>
      <c r="ANY10" s="57"/>
      <c r="ANZ10" s="58"/>
      <c r="AOA10" s="56"/>
      <c r="AOB10" s="57"/>
      <c r="AOC10" s="57"/>
      <c r="AOD10" s="57"/>
      <c r="AOE10" s="56"/>
      <c r="AOF10" s="57"/>
      <c r="AOG10" s="57"/>
      <c r="AOH10" s="57"/>
      <c r="AOI10" s="57"/>
      <c r="AOJ10" s="57"/>
      <c r="AOK10" s="56"/>
      <c r="AOL10" s="57"/>
      <c r="AOM10" s="57"/>
      <c r="AON10" s="56"/>
      <c r="AOO10" s="57"/>
      <c r="AOP10" s="58"/>
      <c r="AOQ10" s="56"/>
      <c r="AOR10" s="57"/>
      <c r="AOS10" s="57"/>
      <c r="AOT10" s="57"/>
      <c r="AOU10" s="56"/>
      <c r="AOV10" s="57"/>
      <c r="AOW10" s="57"/>
      <c r="AOX10" s="56"/>
      <c r="AOY10" s="57"/>
      <c r="AOZ10" s="58"/>
      <c r="APA10" s="56"/>
      <c r="APB10" s="57"/>
      <c r="APC10" s="57"/>
      <c r="APD10" s="57"/>
      <c r="APE10" s="56"/>
      <c r="APF10" s="57"/>
      <c r="APG10" s="57"/>
      <c r="APH10" s="57"/>
      <c r="API10" s="57"/>
      <c r="APJ10" s="57"/>
      <c r="APK10" s="56"/>
      <c r="APL10" s="57"/>
      <c r="APM10" s="57"/>
      <c r="APN10" s="56"/>
      <c r="APO10" s="57"/>
      <c r="APP10" s="58"/>
      <c r="APQ10" s="56"/>
      <c r="APR10" s="57"/>
      <c r="APS10" s="57"/>
      <c r="APT10" s="57"/>
      <c r="APU10" s="56"/>
      <c r="APV10" s="57"/>
      <c r="APW10" s="57"/>
      <c r="APX10" s="56"/>
      <c r="APY10" s="57"/>
      <c r="APZ10" s="58"/>
      <c r="AQA10" s="56"/>
      <c r="AQB10" s="57"/>
      <c r="AQC10" s="57"/>
      <c r="AQD10" s="57"/>
      <c r="AQE10" s="56"/>
      <c r="AQF10" s="57"/>
      <c r="AQG10" s="57"/>
      <c r="AQH10" s="57"/>
      <c r="AQI10" s="57"/>
      <c r="AQJ10" s="57"/>
      <c r="AQK10" s="56"/>
      <c r="AQL10" s="57"/>
      <c r="AQM10" s="57"/>
      <c r="AQN10" s="56"/>
      <c r="AQO10" s="57"/>
      <c r="AQP10" s="58"/>
      <c r="AQQ10" s="56"/>
      <c r="AQR10" s="57"/>
      <c r="AQS10" s="57"/>
      <c r="AQT10" s="57"/>
      <c r="AQU10" s="56"/>
      <c r="AQV10" s="57"/>
      <c r="AQW10" s="57"/>
      <c r="AQX10" s="56"/>
      <c r="AQY10" s="57"/>
      <c r="AQZ10" s="58"/>
      <c r="ARA10" s="56"/>
      <c r="ARB10" s="57"/>
      <c r="ARC10" s="57"/>
      <c r="ARD10" s="57"/>
      <c r="ARE10" s="56"/>
      <c r="ARF10" s="57"/>
      <c r="ARG10" s="57"/>
      <c r="ARH10" s="57"/>
      <c r="ARI10" s="57"/>
      <c r="ARJ10" s="57"/>
      <c r="ARK10" s="56"/>
      <c r="ARL10" s="57"/>
      <c r="ARM10" s="57"/>
      <c r="ARN10" s="56"/>
      <c r="ARO10" s="57"/>
      <c r="ARP10" s="58"/>
      <c r="ARQ10" s="56"/>
      <c r="ARR10" s="57"/>
      <c r="ARS10" s="57"/>
      <c r="ART10" s="57"/>
      <c r="ARU10" s="56"/>
      <c r="ARV10" s="57"/>
      <c r="ARW10" s="57"/>
      <c r="ARX10" s="56"/>
      <c r="ARY10" s="57"/>
      <c r="ARZ10" s="58"/>
      <c r="ASA10" s="56"/>
      <c r="ASB10" s="57"/>
      <c r="ASC10" s="57"/>
      <c r="ASD10" s="57"/>
      <c r="ASE10" s="56"/>
      <c r="ASF10" s="57"/>
      <c r="ASG10" s="57"/>
      <c r="ASH10" s="57"/>
      <c r="ASI10" s="57"/>
      <c r="ASJ10" s="57"/>
      <c r="ASK10" s="56"/>
      <c r="ASL10" s="57"/>
      <c r="ASM10" s="57"/>
      <c r="ASN10" s="56"/>
      <c r="ASO10" s="57"/>
      <c r="ASP10" s="58"/>
      <c r="ASQ10" s="56"/>
      <c r="ASR10" s="57"/>
      <c r="ASS10" s="57"/>
      <c r="AST10" s="57"/>
      <c r="ASU10" s="56"/>
      <c r="ASV10" s="57"/>
      <c r="ASW10" s="57"/>
      <c r="ASX10" s="56"/>
      <c r="ASY10" s="57"/>
      <c r="ASZ10" s="58"/>
      <c r="ATA10" s="56"/>
      <c r="ATB10" s="57"/>
      <c r="ATC10" s="57"/>
      <c r="ATD10" s="57"/>
      <c r="ATE10" s="56"/>
      <c r="ATF10" s="57"/>
      <c r="ATG10" s="57"/>
      <c r="ATH10" s="57"/>
      <c r="ATI10" s="57"/>
      <c r="ATJ10" s="57"/>
      <c r="ATK10" s="56"/>
      <c r="ATL10" s="57"/>
      <c r="ATM10" s="57"/>
      <c r="ATN10" s="56"/>
      <c r="ATO10" s="57"/>
      <c r="ATP10" s="58"/>
      <c r="ATQ10" s="56"/>
      <c r="ATR10" s="57"/>
      <c r="ATS10" s="57"/>
      <c r="ATT10" s="57"/>
      <c r="ATU10" s="56"/>
      <c r="ATV10" s="57"/>
      <c r="ATW10" s="57"/>
      <c r="ATX10" s="56"/>
      <c r="ATY10" s="57"/>
      <c r="ATZ10" s="58"/>
      <c r="AUA10" s="56"/>
      <c r="AUB10" s="57"/>
      <c r="AUC10" s="57"/>
      <c r="AUD10" s="57"/>
      <c r="AUE10" s="56"/>
      <c r="AUF10" s="57"/>
      <c r="AUG10" s="57"/>
      <c r="AUH10" s="57"/>
      <c r="AUI10" s="57"/>
      <c r="AUJ10" s="57"/>
      <c r="AUK10" s="56"/>
      <c r="AUL10" s="57"/>
      <c r="AUM10" s="57"/>
      <c r="AUN10" s="56"/>
      <c r="AUO10" s="57"/>
      <c r="AUP10" s="58"/>
      <c r="AUQ10" s="56"/>
      <c r="AUR10" s="57"/>
      <c r="AUS10" s="57"/>
      <c r="AUT10" s="57"/>
      <c r="AUU10" s="56"/>
      <c r="AUV10" s="57"/>
      <c r="AUW10" s="57"/>
      <c r="AUX10" s="56"/>
      <c r="AUY10" s="57"/>
      <c r="AUZ10" s="58"/>
      <c r="AVA10" s="56"/>
      <c r="AVB10" s="57"/>
      <c r="AVC10" s="57"/>
      <c r="AVD10" s="57"/>
      <c r="AVE10" s="56"/>
      <c r="AVF10" s="57"/>
      <c r="AVG10" s="57"/>
      <c r="AVH10" s="57"/>
      <c r="AVI10" s="57"/>
      <c r="AVJ10" s="57"/>
      <c r="AVK10" s="56"/>
      <c r="AVL10" s="57"/>
      <c r="AVM10" s="57"/>
      <c r="AVN10" s="56"/>
      <c r="AVO10" s="57"/>
      <c r="AVP10" s="58"/>
      <c r="AVQ10" s="56"/>
      <c r="AVR10" s="57"/>
      <c r="AVS10" s="57"/>
      <c r="AVT10" s="57"/>
      <c r="AVU10" s="56"/>
      <c r="AVV10" s="57"/>
      <c r="AVW10" s="57"/>
      <c r="AVX10" s="56"/>
      <c r="AVY10" s="57"/>
      <c r="AVZ10" s="58"/>
      <c r="AWA10" s="56"/>
      <c r="AWB10" s="57"/>
      <c r="AWC10" s="57"/>
      <c r="AWD10" s="57"/>
      <c r="AWE10" s="56"/>
      <c r="AWF10" s="57"/>
      <c r="AWG10" s="57"/>
      <c r="AWH10" s="57"/>
      <c r="AWI10" s="57"/>
      <c r="AWJ10" s="57"/>
      <c r="AWK10" s="56"/>
      <c r="AWL10" s="57"/>
      <c r="AWM10" s="57"/>
      <c r="AWN10" s="56"/>
      <c r="AWO10" s="57"/>
      <c r="AWP10" s="58"/>
      <c r="AWQ10" s="56"/>
      <c r="AWR10" s="57"/>
      <c r="AWS10" s="57"/>
      <c r="AWT10" s="57"/>
      <c r="AWU10" s="56"/>
      <c r="AWV10" s="57"/>
      <c r="AWW10" s="57"/>
      <c r="AWX10" s="56"/>
      <c r="AWY10" s="57"/>
      <c r="AWZ10" s="58"/>
      <c r="AXA10" s="56"/>
      <c r="AXB10" s="57"/>
      <c r="AXC10" s="57"/>
      <c r="AXD10" s="57"/>
      <c r="AXE10" s="56"/>
      <c r="AXF10" s="57"/>
      <c r="AXG10" s="57"/>
      <c r="AXH10" s="57"/>
      <c r="AXI10" s="57"/>
      <c r="AXJ10" s="57"/>
      <c r="AXK10" s="56"/>
      <c r="AXL10" s="57"/>
      <c r="AXM10" s="57"/>
      <c r="AXN10" s="56"/>
      <c r="AXO10" s="57"/>
      <c r="AXP10" s="58"/>
      <c r="AXQ10" s="56"/>
      <c r="AXR10" s="57"/>
      <c r="AXS10" s="57"/>
      <c r="AXT10" s="57"/>
      <c r="AXU10" s="56"/>
      <c r="AXV10" s="57"/>
      <c r="AXW10" s="57"/>
      <c r="AXX10" s="56"/>
      <c r="AXY10" s="57"/>
      <c r="AXZ10" s="58"/>
      <c r="AYA10" s="56"/>
      <c r="AYB10" s="57"/>
      <c r="AYC10" s="57"/>
      <c r="AYD10" s="57"/>
      <c r="AYE10" s="56"/>
      <c r="AYF10" s="57"/>
      <c r="AYG10" s="57"/>
      <c r="AYH10" s="57"/>
      <c r="AYI10" s="57"/>
      <c r="AYJ10" s="57"/>
      <c r="AYK10" s="56"/>
      <c r="AYL10" s="57"/>
      <c r="AYM10" s="57"/>
      <c r="AYN10" s="56"/>
      <c r="AYO10" s="57"/>
      <c r="AYP10" s="58"/>
      <c r="AYQ10" s="56"/>
      <c r="AYR10" s="57"/>
      <c r="AYS10" s="57"/>
      <c r="AYT10" s="57"/>
      <c r="AYU10" s="56"/>
      <c r="AYV10" s="57"/>
      <c r="AYW10" s="57"/>
      <c r="AYX10" s="56"/>
      <c r="AYY10" s="57"/>
      <c r="AYZ10" s="58"/>
      <c r="AZA10" s="56"/>
      <c r="AZB10" s="57"/>
      <c r="AZC10" s="57"/>
      <c r="AZD10" s="57"/>
      <c r="AZE10" s="56"/>
      <c r="AZF10" s="57"/>
      <c r="AZG10" s="57"/>
      <c r="AZH10" s="57"/>
      <c r="AZI10" s="57"/>
      <c r="AZJ10" s="57"/>
      <c r="AZK10" s="56"/>
      <c r="AZL10" s="57"/>
      <c r="AZM10" s="57"/>
      <c r="AZN10" s="56"/>
      <c r="AZO10" s="57"/>
      <c r="AZP10" s="58"/>
      <c r="AZQ10" s="56"/>
      <c r="AZR10" s="57"/>
      <c r="AZS10" s="57"/>
      <c r="AZT10" s="57"/>
      <c r="AZU10" s="56"/>
      <c r="AZV10" s="57"/>
      <c r="AZW10" s="57"/>
      <c r="AZX10" s="56"/>
      <c r="AZY10" s="57"/>
      <c r="AZZ10" s="58"/>
      <c r="BAA10" s="56"/>
      <c r="BAB10" s="57"/>
      <c r="BAC10" s="57"/>
      <c r="BAD10" s="57"/>
      <c r="BAE10" s="56"/>
      <c r="BAF10" s="57"/>
      <c r="BAG10" s="57"/>
      <c r="BAH10" s="57"/>
      <c r="BAI10" s="57"/>
      <c r="BAJ10" s="57"/>
      <c r="BAK10" s="56"/>
      <c r="BAL10" s="57"/>
      <c r="BAM10" s="57"/>
      <c r="BAN10" s="56"/>
      <c r="BAO10" s="57"/>
      <c r="BAP10" s="58"/>
      <c r="BAQ10" s="56"/>
      <c r="BAR10" s="57"/>
      <c r="BAS10" s="57"/>
      <c r="BAT10" s="57"/>
      <c r="BAU10" s="56"/>
      <c r="BAV10" s="57"/>
      <c r="BAW10" s="57"/>
      <c r="BAX10" s="56"/>
      <c r="BAY10" s="57"/>
      <c r="BAZ10" s="58"/>
      <c r="BBA10" s="56"/>
      <c r="BBB10" s="57"/>
      <c r="BBC10" s="57"/>
      <c r="BBD10" s="57"/>
      <c r="BBE10" s="56"/>
      <c r="BBF10" s="57"/>
      <c r="BBG10" s="57"/>
      <c r="BBH10" s="57"/>
      <c r="BBI10" s="57"/>
      <c r="BBJ10" s="57"/>
      <c r="BBK10" s="56"/>
      <c r="BBL10" s="57"/>
      <c r="BBM10" s="57"/>
      <c r="BBN10" s="56"/>
      <c r="BBO10" s="57"/>
      <c r="BBP10" s="58"/>
      <c r="BBQ10" s="56"/>
      <c r="BBR10" s="57"/>
      <c r="BBS10" s="57"/>
      <c r="BBT10" s="57"/>
      <c r="BBU10" s="56"/>
      <c r="BBV10" s="57"/>
      <c r="BBW10" s="57"/>
      <c r="BBX10" s="56"/>
      <c r="BBY10" s="57"/>
      <c r="BBZ10" s="58"/>
      <c r="BCA10" s="56"/>
      <c r="BCB10" s="57"/>
      <c r="BCC10" s="57"/>
      <c r="BCD10" s="57"/>
      <c r="BCE10" s="56"/>
      <c r="BCF10" s="57"/>
      <c r="BCG10" s="57"/>
      <c r="BCH10" s="57"/>
      <c r="BCI10" s="57"/>
      <c r="BCJ10" s="57"/>
      <c r="BCK10" s="56"/>
      <c r="BCL10" s="57"/>
      <c r="BCM10" s="57"/>
      <c r="BCN10" s="56"/>
      <c r="BCO10" s="57"/>
      <c r="BCP10" s="58"/>
      <c r="BCQ10" s="56"/>
      <c r="BCR10" s="57"/>
      <c r="BCS10" s="57"/>
      <c r="BCT10" s="57"/>
      <c r="BCU10" s="56"/>
      <c r="BCV10" s="57"/>
      <c r="BCW10" s="57"/>
      <c r="BCX10" s="56"/>
      <c r="BCY10" s="57"/>
      <c r="BCZ10" s="58"/>
      <c r="BDA10" s="56"/>
      <c r="BDB10" s="57"/>
      <c r="BDC10" s="57"/>
      <c r="BDD10" s="57"/>
      <c r="BDE10" s="56"/>
      <c r="BDF10" s="57"/>
      <c r="BDG10" s="57"/>
      <c r="BDH10" s="57"/>
      <c r="BDI10" s="57"/>
      <c r="BDJ10" s="57"/>
      <c r="BDK10" s="56"/>
      <c r="BDL10" s="57"/>
      <c r="BDM10" s="57"/>
      <c r="BDN10" s="56"/>
      <c r="BDO10" s="57"/>
      <c r="BDP10" s="58"/>
      <c r="BDQ10" s="56"/>
      <c r="BDR10" s="57"/>
      <c r="BDS10" s="57"/>
      <c r="BDT10" s="57"/>
      <c r="BDU10" s="56"/>
      <c r="BDV10" s="57"/>
      <c r="BDW10" s="57"/>
      <c r="BDX10" s="56"/>
      <c r="BDY10" s="57"/>
      <c r="BDZ10" s="58"/>
      <c r="BEA10" s="56"/>
      <c r="BEB10" s="57"/>
      <c r="BEC10" s="57"/>
      <c r="BED10" s="57"/>
      <c r="BEE10" s="56"/>
      <c r="BEF10" s="57"/>
      <c r="BEG10" s="57"/>
      <c r="BEH10" s="57"/>
      <c r="BEI10" s="57"/>
      <c r="BEJ10" s="57"/>
      <c r="BEK10" s="56"/>
      <c r="BEL10" s="57"/>
      <c r="BEM10" s="57"/>
      <c r="BEN10" s="56"/>
      <c r="BEO10" s="57"/>
      <c r="BEP10" s="58"/>
      <c r="BEQ10" s="56"/>
      <c r="BER10" s="57"/>
      <c r="BES10" s="57"/>
      <c r="BET10" s="57"/>
      <c r="BEU10" s="56"/>
      <c r="BEV10" s="57"/>
      <c r="BEW10" s="57"/>
      <c r="BEX10" s="56"/>
      <c r="BEY10" s="57"/>
      <c r="BEZ10" s="58"/>
      <c r="BFA10" s="56"/>
      <c r="BFB10" s="57"/>
      <c r="BFC10" s="57"/>
      <c r="BFD10" s="57"/>
      <c r="BFE10" s="56"/>
      <c r="BFF10" s="57"/>
      <c r="BFG10" s="57"/>
      <c r="BFH10" s="57"/>
      <c r="BFI10" s="57"/>
      <c r="BFJ10" s="57"/>
      <c r="BFK10" s="56"/>
      <c r="BFL10" s="57"/>
      <c r="BFM10" s="57"/>
      <c r="BFN10" s="56"/>
      <c r="BFO10" s="57"/>
      <c r="BFP10" s="58"/>
      <c r="BFQ10" s="56"/>
      <c r="BFR10" s="57"/>
      <c r="BFS10" s="57"/>
      <c r="BFT10" s="57"/>
      <c r="BFU10" s="56"/>
      <c r="BFV10" s="57"/>
      <c r="BFW10" s="57"/>
      <c r="BFX10" s="56"/>
      <c r="BFY10" s="57"/>
      <c r="BFZ10" s="58"/>
      <c r="BGA10" s="56"/>
      <c r="BGB10" s="57"/>
      <c r="BGC10" s="57"/>
      <c r="BGD10" s="57"/>
      <c r="BGE10" s="56"/>
      <c r="BGF10" s="57"/>
      <c r="BGG10" s="57"/>
      <c r="BGH10" s="57"/>
      <c r="BGI10" s="57"/>
      <c r="BGJ10" s="57"/>
      <c r="BGK10" s="56"/>
      <c r="BGL10" s="57"/>
      <c r="BGM10" s="57"/>
      <c r="BGN10" s="56"/>
      <c r="BGO10" s="57"/>
      <c r="BGP10" s="58"/>
      <c r="BGQ10" s="56"/>
      <c r="BGR10" s="57"/>
      <c r="BGS10" s="57"/>
      <c r="BGT10" s="57"/>
      <c r="BGU10" s="56"/>
      <c r="BGV10" s="57"/>
      <c r="BGW10" s="57"/>
      <c r="BGX10" s="56"/>
      <c r="BGY10" s="57"/>
      <c r="BGZ10" s="58"/>
      <c r="BHA10" s="56"/>
      <c r="BHB10" s="57"/>
      <c r="BHC10" s="57"/>
      <c r="BHD10" s="57"/>
      <c r="BHE10" s="56"/>
      <c r="BHF10" s="57"/>
      <c r="BHG10" s="57"/>
      <c r="BHH10" s="57"/>
      <c r="BHI10" s="57"/>
      <c r="BHJ10" s="57"/>
      <c r="BHK10" s="56"/>
      <c r="BHL10" s="57"/>
      <c r="BHM10" s="57"/>
      <c r="BHN10" s="56"/>
      <c r="BHO10" s="57"/>
      <c r="BHP10" s="58"/>
      <c r="BHQ10" s="56"/>
      <c r="BHR10" s="57"/>
      <c r="BHS10" s="57"/>
      <c r="BHT10" s="57"/>
      <c r="BHU10" s="56"/>
      <c r="BHV10" s="57"/>
      <c r="BHW10" s="57"/>
      <c r="BHX10" s="56"/>
      <c r="BHY10" s="57"/>
      <c r="BHZ10" s="58"/>
      <c r="BIA10" s="56"/>
      <c r="BIB10" s="57"/>
      <c r="BIC10" s="57"/>
      <c r="BID10" s="57"/>
      <c r="BIE10" s="56"/>
      <c r="BIF10" s="57"/>
      <c r="BIG10" s="57"/>
      <c r="BIH10" s="57"/>
      <c r="BII10" s="57"/>
      <c r="BIJ10" s="57"/>
      <c r="BIK10" s="56"/>
      <c r="BIL10" s="57"/>
      <c r="BIM10" s="57"/>
      <c r="BIN10" s="56"/>
      <c r="BIO10" s="57"/>
      <c r="BIP10" s="58"/>
      <c r="BIQ10" s="56"/>
      <c r="BIR10" s="57"/>
      <c r="BIS10" s="57"/>
      <c r="BIT10" s="57"/>
      <c r="BIU10" s="56"/>
      <c r="BIV10" s="57"/>
      <c r="BIW10" s="57"/>
      <c r="BIX10" s="56"/>
      <c r="BIY10" s="57"/>
      <c r="BIZ10" s="58"/>
      <c r="BJA10" s="56"/>
      <c r="BJB10" s="57"/>
      <c r="BJC10" s="57"/>
      <c r="BJD10" s="57"/>
      <c r="BJE10" s="56"/>
      <c r="BJF10" s="57"/>
      <c r="BJG10" s="57"/>
      <c r="BJH10" s="57"/>
      <c r="BJI10" s="57"/>
      <c r="BJJ10" s="57"/>
      <c r="BJK10" s="56"/>
      <c r="BJL10" s="57"/>
      <c r="BJM10" s="57"/>
      <c r="BJN10" s="56"/>
      <c r="BJO10" s="57"/>
      <c r="BJP10" s="58"/>
      <c r="BJQ10" s="56"/>
      <c r="BJR10" s="57"/>
      <c r="BJS10" s="57"/>
      <c r="BJT10" s="57"/>
      <c r="BJU10" s="56"/>
      <c r="BJV10" s="57"/>
      <c r="BJW10" s="57"/>
      <c r="BJX10" s="56"/>
      <c r="BJY10" s="57"/>
      <c r="BJZ10" s="58"/>
      <c r="BKA10" s="56"/>
      <c r="BKB10" s="57"/>
      <c r="BKC10" s="57"/>
      <c r="BKD10" s="57"/>
      <c r="BKE10" s="56"/>
      <c r="BKF10" s="57"/>
      <c r="BKG10" s="57"/>
      <c r="BKH10" s="57"/>
      <c r="BKI10" s="57"/>
      <c r="BKJ10" s="57"/>
      <c r="BKK10" s="56"/>
      <c r="BKL10" s="57"/>
      <c r="BKM10" s="57"/>
      <c r="BKN10" s="56"/>
      <c r="BKO10" s="57"/>
      <c r="BKP10" s="58"/>
      <c r="BKQ10" s="56"/>
      <c r="BKR10" s="57"/>
      <c r="BKS10" s="57"/>
      <c r="BKT10" s="57"/>
      <c r="BKU10" s="56"/>
      <c r="BKV10" s="57"/>
      <c r="BKW10" s="57"/>
      <c r="BKX10" s="56"/>
      <c r="BKY10" s="57"/>
      <c r="BKZ10" s="58"/>
      <c r="BLA10" s="56"/>
      <c r="BLB10" s="57"/>
      <c r="BLC10" s="57"/>
      <c r="BLD10" s="57"/>
      <c r="BLE10" s="56"/>
      <c r="BLF10" s="57"/>
      <c r="BLG10" s="57"/>
      <c r="BLH10" s="57"/>
      <c r="BLI10" s="57"/>
      <c r="BLJ10" s="57"/>
      <c r="BLK10" s="56"/>
      <c r="BLL10" s="57"/>
      <c r="BLM10" s="57"/>
      <c r="BLN10" s="56"/>
      <c r="BLO10" s="57"/>
      <c r="BLP10" s="58"/>
      <c r="BLQ10" s="56"/>
      <c r="BLR10" s="57"/>
      <c r="BLS10" s="57"/>
      <c r="BLT10" s="57"/>
      <c r="BLU10" s="56"/>
      <c r="BLV10" s="57"/>
      <c r="BLW10" s="57"/>
      <c r="BLX10" s="56"/>
      <c r="BLY10" s="57"/>
      <c r="BLZ10" s="58"/>
      <c r="BMA10" s="56"/>
      <c r="BMB10" s="57"/>
      <c r="BMC10" s="57"/>
      <c r="BMD10" s="57"/>
      <c r="BME10" s="56"/>
      <c r="BMF10" s="57"/>
      <c r="BMG10" s="57"/>
      <c r="BMH10" s="57"/>
      <c r="BMI10" s="57"/>
      <c r="BMJ10" s="57"/>
      <c r="BMK10" s="56"/>
      <c r="BML10" s="57"/>
      <c r="BMM10" s="57"/>
      <c r="BMN10" s="56"/>
      <c r="BMO10" s="57"/>
      <c r="BMP10" s="58"/>
      <c r="BMQ10" s="56"/>
      <c r="BMR10" s="57"/>
      <c r="BMS10" s="57"/>
      <c r="BMT10" s="57"/>
      <c r="BMU10" s="56"/>
      <c r="BMV10" s="57"/>
      <c r="BMW10" s="57"/>
      <c r="BMX10" s="56"/>
      <c r="BMY10" s="57"/>
      <c r="BMZ10" s="58"/>
      <c r="BNA10" s="56"/>
      <c r="BNB10" s="57"/>
      <c r="BNC10" s="57"/>
      <c r="BND10" s="57"/>
      <c r="BNE10" s="56"/>
      <c r="BNF10" s="57"/>
      <c r="BNG10" s="57"/>
      <c r="BNH10" s="57"/>
      <c r="BNI10" s="57"/>
      <c r="BNJ10" s="57"/>
      <c r="BNK10" s="56"/>
      <c r="BNL10" s="57"/>
      <c r="BNM10" s="57"/>
      <c r="BNN10" s="56"/>
      <c r="BNO10" s="57"/>
      <c r="BNP10" s="58"/>
      <c r="BNQ10" s="56"/>
      <c r="BNR10" s="57"/>
      <c r="BNS10" s="57"/>
      <c r="BNT10" s="57"/>
      <c r="BNU10" s="56"/>
      <c r="BNV10" s="57"/>
      <c r="BNW10" s="57"/>
      <c r="BNX10" s="56"/>
      <c r="BNY10" s="57"/>
      <c r="BNZ10" s="58"/>
      <c r="BOA10" s="56"/>
      <c r="BOB10" s="57"/>
      <c r="BOC10" s="57"/>
      <c r="BOD10" s="57"/>
      <c r="BOE10" s="56"/>
      <c r="BOF10" s="57"/>
      <c r="BOG10" s="57"/>
      <c r="BOH10" s="57"/>
      <c r="BOI10" s="57"/>
      <c r="BOJ10" s="57"/>
      <c r="BOK10" s="56"/>
      <c r="BOL10" s="57"/>
      <c r="BOM10" s="57"/>
      <c r="BON10" s="56"/>
      <c r="BOO10" s="57"/>
      <c r="BOP10" s="58"/>
      <c r="BOQ10" s="56"/>
      <c r="BOR10" s="57"/>
      <c r="BOS10" s="57"/>
      <c r="BOT10" s="57"/>
      <c r="BOU10" s="56"/>
      <c r="BOV10" s="57"/>
      <c r="BOW10" s="57"/>
      <c r="BOX10" s="56"/>
      <c r="BOY10" s="57"/>
      <c r="BOZ10" s="58"/>
      <c r="BPA10" s="56"/>
      <c r="BPB10" s="57"/>
      <c r="BPC10" s="57"/>
      <c r="BPD10" s="57"/>
      <c r="BPE10" s="56"/>
      <c r="BPF10" s="57"/>
      <c r="BPG10" s="57"/>
      <c r="BPH10" s="57"/>
      <c r="BPI10" s="57"/>
      <c r="BPJ10" s="57"/>
      <c r="BPK10" s="56"/>
      <c r="BPL10" s="57"/>
      <c r="BPM10" s="57"/>
      <c r="BPN10" s="56"/>
      <c r="BPO10" s="57"/>
      <c r="BPP10" s="58"/>
      <c r="BPQ10" s="56"/>
      <c r="BPR10" s="57"/>
      <c r="BPS10" s="57"/>
      <c r="BPT10" s="57"/>
      <c r="BPU10" s="56"/>
      <c r="BPV10" s="57"/>
      <c r="BPW10" s="57"/>
      <c r="BPX10" s="56"/>
      <c r="BPY10" s="57"/>
      <c r="BPZ10" s="58"/>
      <c r="BQA10" s="56"/>
      <c r="BQB10" s="57"/>
      <c r="BQC10" s="57"/>
      <c r="BQD10" s="57"/>
      <c r="BQE10" s="56"/>
      <c r="BQF10" s="57"/>
      <c r="BQG10" s="57"/>
      <c r="BQH10" s="57"/>
      <c r="BQI10" s="57"/>
      <c r="BQJ10" s="57"/>
      <c r="BQK10" s="56"/>
      <c r="BQL10" s="57"/>
      <c r="BQM10" s="57"/>
      <c r="BQN10" s="56"/>
      <c r="BQO10" s="57"/>
      <c r="BQP10" s="58"/>
      <c r="BQQ10" s="56"/>
      <c r="BQR10" s="57"/>
      <c r="BQS10" s="57"/>
      <c r="BQT10" s="57"/>
      <c r="BQU10" s="56"/>
      <c r="BQV10" s="57"/>
      <c r="BQW10" s="57"/>
      <c r="BQX10" s="56"/>
      <c r="BQY10" s="57"/>
      <c r="BQZ10" s="58"/>
      <c r="BRA10" s="56"/>
      <c r="BRB10" s="57"/>
      <c r="BRC10" s="57"/>
      <c r="BRD10" s="57"/>
      <c r="BRE10" s="56"/>
      <c r="BRF10" s="57"/>
      <c r="BRG10" s="57"/>
      <c r="BRH10" s="57"/>
      <c r="BRI10" s="57"/>
      <c r="BRJ10" s="57"/>
      <c r="BRK10" s="56"/>
      <c r="BRL10" s="57"/>
      <c r="BRM10" s="57"/>
      <c r="BRN10" s="56"/>
      <c r="BRO10" s="57"/>
      <c r="BRP10" s="58"/>
      <c r="BRQ10" s="56"/>
      <c r="BRR10" s="57"/>
      <c r="BRS10" s="57"/>
      <c r="BRT10" s="57"/>
      <c r="BRU10" s="56"/>
      <c r="BRV10" s="57"/>
      <c r="BRW10" s="57"/>
      <c r="BRX10" s="56"/>
      <c r="BRY10" s="57"/>
      <c r="BRZ10" s="58"/>
      <c r="BSA10" s="56"/>
      <c r="BSB10" s="57"/>
      <c r="BSC10" s="57"/>
      <c r="BSD10" s="57"/>
      <c r="BSE10" s="56"/>
      <c r="BSF10" s="57"/>
      <c r="BSG10" s="57"/>
      <c r="BSH10" s="57"/>
      <c r="BSI10" s="57"/>
      <c r="BSJ10" s="57"/>
      <c r="BSK10" s="56"/>
      <c r="BSL10" s="57"/>
      <c r="BSM10" s="57"/>
      <c r="BSN10" s="56"/>
      <c r="BSO10" s="57"/>
      <c r="BSP10" s="58"/>
      <c r="BSQ10" s="56"/>
      <c r="BSR10" s="57"/>
      <c r="BSS10" s="57"/>
      <c r="BST10" s="57"/>
      <c r="BSU10" s="56"/>
      <c r="BSV10" s="57"/>
      <c r="BSW10" s="57"/>
      <c r="BSX10" s="56"/>
      <c r="BSY10" s="57"/>
      <c r="BSZ10" s="58"/>
      <c r="BTA10" s="56"/>
      <c r="BTB10" s="57"/>
      <c r="BTC10" s="57"/>
      <c r="BTD10" s="57"/>
      <c r="BTE10" s="56"/>
      <c r="BTF10" s="57"/>
      <c r="BTG10" s="57"/>
      <c r="BTH10" s="57"/>
      <c r="BTI10" s="57"/>
      <c r="BTJ10" s="57"/>
      <c r="BTK10" s="56"/>
      <c r="BTL10" s="57"/>
      <c r="BTM10" s="57"/>
      <c r="BTN10" s="56"/>
      <c r="BTO10" s="57"/>
      <c r="BTP10" s="58"/>
      <c r="BTQ10" s="56"/>
      <c r="BTR10" s="57"/>
      <c r="BTS10" s="57"/>
      <c r="BTT10" s="57"/>
      <c r="BTU10" s="56"/>
      <c r="BTV10" s="57"/>
      <c r="BTW10" s="57"/>
      <c r="BTX10" s="56"/>
      <c r="BTY10" s="57"/>
      <c r="BTZ10" s="58"/>
      <c r="BUA10" s="56"/>
      <c r="BUB10" s="57"/>
      <c r="BUC10" s="57"/>
      <c r="BUD10" s="57"/>
      <c r="BUE10" s="56"/>
      <c r="BUF10" s="57"/>
      <c r="BUG10" s="57"/>
      <c r="BUH10" s="57"/>
      <c r="BUI10" s="57"/>
      <c r="BUJ10" s="57"/>
      <c r="BUK10" s="56"/>
      <c r="BUL10" s="57"/>
      <c r="BUM10" s="57"/>
      <c r="BUN10" s="56"/>
      <c r="BUO10" s="57"/>
      <c r="BUP10" s="58"/>
      <c r="BUQ10" s="56"/>
      <c r="BUR10" s="57"/>
      <c r="BUS10" s="57"/>
      <c r="BUT10" s="57"/>
      <c r="BUU10" s="56"/>
      <c r="BUV10" s="57"/>
      <c r="BUW10" s="57"/>
      <c r="BUX10" s="56"/>
      <c r="BUY10" s="57"/>
      <c r="BUZ10" s="58"/>
      <c r="BVA10" s="56"/>
      <c r="BVB10" s="57"/>
      <c r="BVC10" s="57"/>
      <c r="BVD10" s="57"/>
      <c r="BVE10" s="56"/>
      <c r="BVF10" s="57"/>
      <c r="BVG10" s="57"/>
      <c r="BVH10" s="57"/>
      <c r="BVI10" s="57"/>
      <c r="BVJ10" s="57"/>
      <c r="BVK10" s="56"/>
      <c r="BVL10" s="57"/>
      <c r="BVM10" s="57"/>
      <c r="BVN10" s="56"/>
      <c r="BVO10" s="57"/>
      <c r="BVP10" s="58"/>
      <c r="BVQ10" s="56"/>
      <c r="BVR10" s="57"/>
      <c r="BVS10" s="57"/>
      <c r="BVT10" s="57"/>
      <c r="BVU10" s="56"/>
      <c r="BVV10" s="57"/>
      <c r="BVW10" s="57"/>
      <c r="BVX10" s="56"/>
      <c r="BVY10" s="57"/>
      <c r="BVZ10" s="58"/>
      <c r="BWA10" s="56"/>
      <c r="BWB10" s="57"/>
      <c r="BWC10" s="57"/>
      <c r="BWD10" s="57"/>
      <c r="BWE10" s="56"/>
      <c r="BWF10" s="57"/>
      <c r="BWG10" s="57"/>
      <c r="BWH10" s="57"/>
      <c r="BWI10" s="57"/>
      <c r="BWJ10" s="57"/>
      <c r="BWK10" s="56"/>
      <c r="BWL10" s="57"/>
      <c r="BWM10" s="57"/>
      <c r="BWN10" s="56"/>
      <c r="BWO10" s="57"/>
      <c r="BWP10" s="58"/>
      <c r="BWQ10" s="56"/>
      <c r="BWR10" s="57"/>
      <c r="BWS10" s="57"/>
      <c r="BWT10" s="57"/>
      <c r="BWU10" s="56"/>
      <c r="BWV10" s="57"/>
      <c r="BWW10" s="57"/>
      <c r="BWX10" s="56"/>
      <c r="BWY10" s="57"/>
      <c r="BWZ10" s="58"/>
      <c r="BXA10" s="56"/>
      <c r="BXB10" s="57"/>
      <c r="BXC10" s="57"/>
      <c r="BXD10" s="57"/>
      <c r="BXE10" s="56"/>
      <c r="BXF10" s="57"/>
      <c r="BXG10" s="57"/>
      <c r="BXH10" s="57"/>
      <c r="BXI10" s="57"/>
      <c r="BXJ10" s="57"/>
      <c r="BXK10" s="56"/>
      <c r="BXL10" s="57"/>
      <c r="BXM10" s="57"/>
      <c r="BXN10" s="56"/>
      <c r="BXO10" s="57"/>
      <c r="BXP10" s="58"/>
      <c r="BXQ10" s="56"/>
      <c r="BXR10" s="57"/>
      <c r="BXS10" s="57"/>
      <c r="BXT10" s="57"/>
      <c r="BXU10" s="56"/>
      <c r="BXV10" s="57"/>
      <c r="BXW10" s="57"/>
      <c r="BXX10" s="56"/>
      <c r="BXY10" s="57"/>
      <c r="BXZ10" s="58"/>
      <c r="BYA10" s="56"/>
      <c r="BYB10" s="57"/>
      <c r="BYC10" s="57"/>
      <c r="BYD10" s="57"/>
      <c r="BYE10" s="56"/>
      <c r="BYF10" s="57"/>
      <c r="BYG10" s="57"/>
      <c r="BYH10" s="57"/>
      <c r="BYI10" s="57"/>
      <c r="BYJ10" s="57"/>
      <c r="BYK10" s="56"/>
      <c r="BYL10" s="57"/>
      <c r="BYM10" s="57"/>
      <c r="BYN10" s="56"/>
      <c r="BYO10" s="57"/>
      <c r="BYP10" s="58"/>
      <c r="BYQ10" s="56"/>
      <c r="BYR10" s="57"/>
      <c r="BYS10" s="57"/>
      <c r="BYT10" s="57"/>
      <c r="BYU10" s="56"/>
      <c r="BYV10" s="57"/>
      <c r="BYW10" s="57"/>
      <c r="BYX10" s="58"/>
      <c r="BYY10" s="57"/>
      <c r="BYZ10" s="56"/>
      <c r="BZA10" s="57"/>
      <c r="BZB10" s="56"/>
      <c r="BZC10" s="56"/>
      <c r="BZD10" s="56"/>
      <c r="BZE10" s="57"/>
      <c r="BZF10" s="387"/>
      <c r="BZG10" s="57"/>
      <c r="BZH10" s="387"/>
      <c r="BZI10" s="57"/>
      <c r="BZJ10" s="387"/>
      <c r="BZK10" s="57"/>
      <c r="BZL10" s="57"/>
      <c r="BZM10" s="57"/>
      <c r="BZN10" s="57"/>
      <c r="BZO10" s="57"/>
      <c r="BZP10" s="57"/>
      <c r="BZQ10" s="57"/>
      <c r="BZR10" s="57"/>
      <c r="BZS10" s="57"/>
      <c r="BZT10" s="57"/>
      <c r="BZU10" s="57"/>
      <c r="BZV10" s="57"/>
      <c r="BZW10" s="57"/>
      <c r="BZX10" s="57"/>
      <c r="BZY10" s="57"/>
      <c r="BZZ10" s="57"/>
      <c r="CAA10" s="57"/>
      <c r="CAB10" s="57"/>
      <c r="CAC10" s="57"/>
      <c r="CAD10" s="57"/>
      <c r="CAE10" s="57"/>
      <c r="CAF10" s="57"/>
      <c r="CAG10" s="57"/>
      <c r="CAH10" s="57"/>
      <c r="CAI10" s="57"/>
      <c r="CAJ10" s="57"/>
      <c r="CAK10" s="57"/>
      <c r="CAL10" s="57"/>
      <c r="CAM10" s="57"/>
      <c r="CAN10" s="57"/>
      <c r="CAO10" s="57"/>
      <c r="CAP10" s="58"/>
      <c r="CAQ10" s="56"/>
      <c r="CAR10" s="57"/>
      <c r="CAS10" s="57"/>
      <c r="CAT10" s="57"/>
      <c r="CAU10" s="57"/>
      <c r="CAV10" s="57"/>
      <c r="CAW10" s="56"/>
      <c r="CAX10" s="57"/>
      <c r="CAY10" s="57"/>
      <c r="CAZ10" s="56"/>
      <c r="CBA10" s="57"/>
      <c r="CBB10" s="58"/>
      <c r="CBC10" s="56"/>
      <c r="CBD10" s="57"/>
      <c r="CBE10" s="57"/>
      <c r="CBF10" s="57"/>
      <c r="CBG10" s="56"/>
      <c r="CBH10" s="57"/>
      <c r="CBI10" s="57"/>
      <c r="CBJ10" s="56"/>
      <c r="CBK10" s="57"/>
      <c r="CBL10" s="58"/>
      <c r="CBM10" s="56"/>
      <c r="CBN10" s="57"/>
      <c r="CBO10" s="57"/>
      <c r="CBP10" s="57"/>
      <c r="CBQ10" s="56"/>
      <c r="CBR10" s="57"/>
      <c r="CBS10" s="57"/>
      <c r="CBT10" s="56"/>
      <c r="CBU10" s="57"/>
      <c r="CBV10" s="58"/>
      <c r="CBW10" s="56"/>
      <c r="CBX10" s="57"/>
      <c r="CBY10" s="57"/>
      <c r="CBZ10" s="57"/>
      <c r="CCA10" s="56"/>
      <c r="CCB10" s="57"/>
      <c r="CCC10" s="57"/>
      <c r="CCD10" s="56"/>
      <c r="CCE10" s="57"/>
      <c r="CCF10" s="58"/>
      <c r="CCG10" s="56"/>
      <c r="CCH10" s="58"/>
      <c r="CCI10" s="57"/>
      <c r="CCJ10" s="56"/>
      <c r="CCK10" s="57"/>
      <c r="CCL10" s="56"/>
      <c r="CCM10" s="56"/>
      <c r="CCN10" s="56"/>
      <c r="CCO10" s="57"/>
      <c r="CCP10" s="387"/>
      <c r="CCQ10" s="57"/>
      <c r="CCR10" s="387"/>
      <c r="CCS10" s="57"/>
      <c r="CCT10" s="387"/>
      <c r="CCU10" s="57"/>
      <c r="CCV10" s="57"/>
      <c r="CCW10" s="57"/>
      <c r="CCX10" s="57"/>
      <c r="CCY10" s="57"/>
      <c r="CCZ10" s="57"/>
      <c r="CDA10" s="57"/>
      <c r="CDB10" s="57"/>
      <c r="CDC10" s="57"/>
      <c r="CDD10" s="57"/>
      <c r="CDE10" s="57"/>
      <c r="CDF10" s="57"/>
      <c r="CDG10" s="57"/>
      <c r="CDH10" s="57"/>
      <c r="CDI10" s="57"/>
      <c r="CDJ10" s="57"/>
      <c r="CDK10" s="57"/>
      <c r="CDL10" s="57"/>
      <c r="CDM10" s="57"/>
      <c r="CDN10" s="57"/>
      <c r="CDO10" s="57"/>
      <c r="CDP10" s="57"/>
      <c r="CDQ10" s="57"/>
      <c r="CDR10" s="57"/>
      <c r="CDS10" s="57"/>
      <c r="CDT10" s="57"/>
      <c r="CDU10" s="57"/>
      <c r="CDV10" s="57"/>
      <c r="CDW10" s="57"/>
      <c r="CDX10" s="57"/>
      <c r="CDY10" s="57"/>
      <c r="CDZ10" s="58"/>
      <c r="CEA10" s="56"/>
      <c r="CEB10" s="57"/>
      <c r="CEC10" s="57"/>
      <c r="CED10" s="57"/>
      <c r="CEE10" s="57"/>
      <c r="CEF10" s="57"/>
      <c r="CEG10" s="56"/>
      <c r="CEH10" s="57"/>
      <c r="CEI10" s="57"/>
      <c r="CEJ10" s="56"/>
      <c r="CEK10" s="57"/>
      <c r="CEL10" s="58"/>
      <c r="CEM10" s="56"/>
      <c r="CEN10" s="57"/>
      <c r="CEO10" s="57"/>
      <c r="CEP10" s="57"/>
      <c r="CEQ10" s="56"/>
      <c r="CER10" s="57"/>
      <c r="CES10" s="57"/>
      <c r="CET10" s="56"/>
      <c r="CEU10" s="57"/>
      <c r="CEV10" s="58"/>
      <c r="CEW10" s="56"/>
      <c r="CEX10" s="57"/>
      <c r="CEY10" s="57"/>
      <c r="CEZ10" s="57"/>
      <c r="CFA10" s="56"/>
      <c r="CFB10" s="57"/>
      <c r="CFC10" s="57"/>
      <c r="CFD10" s="56"/>
      <c r="CFE10" s="57"/>
      <c r="CFF10" s="58"/>
      <c r="CFG10" s="56"/>
      <c r="CFH10" s="57"/>
      <c r="CFI10" s="57"/>
      <c r="CFJ10" s="57"/>
      <c r="CFK10" s="56"/>
      <c r="CFL10" s="57"/>
      <c r="CFM10" s="57"/>
      <c r="CFN10" s="56"/>
      <c r="CFO10" s="57"/>
      <c r="CFP10" s="58"/>
      <c r="CFQ10" s="56"/>
      <c r="CFR10" s="58"/>
      <c r="CFS10" s="57"/>
      <c r="CFT10" s="56"/>
      <c r="CFU10" s="57"/>
      <c r="CFV10" s="56"/>
      <c r="CFW10" s="56"/>
      <c r="CFX10" s="56"/>
      <c r="CFY10" s="57"/>
      <c r="CFZ10" s="387"/>
      <c r="CGA10" s="57"/>
      <c r="CGB10" s="387"/>
      <c r="CGC10" s="57"/>
      <c r="CGD10" s="387"/>
      <c r="CGE10" s="57"/>
      <c r="CGF10" s="57"/>
      <c r="CGG10" s="57"/>
      <c r="CGH10" s="57"/>
      <c r="CGI10" s="57"/>
      <c r="CGJ10" s="57"/>
      <c r="CGK10" s="57"/>
      <c r="CGL10" s="57"/>
      <c r="CGM10" s="57"/>
      <c r="CGN10" s="57"/>
      <c r="CGO10" s="57"/>
      <c r="CGP10" s="57"/>
      <c r="CGQ10" s="57"/>
      <c r="CGR10" s="57"/>
      <c r="CGS10" s="57"/>
      <c r="CGT10" s="57"/>
      <c r="CGU10" s="57"/>
      <c r="CGV10" s="57"/>
      <c r="CGW10" s="57"/>
      <c r="CGX10" s="57"/>
      <c r="CGY10" s="57"/>
      <c r="CGZ10" s="57"/>
      <c r="CHA10" s="57"/>
      <c r="CHB10" s="57"/>
      <c r="CHC10" s="57"/>
      <c r="CHD10" s="57"/>
      <c r="CHE10" s="57"/>
      <c r="CHF10" s="57"/>
      <c r="CHG10" s="57"/>
      <c r="CHH10" s="57"/>
      <c r="CHI10" s="57"/>
      <c r="CHJ10" s="58"/>
      <c r="CHK10" s="56"/>
      <c r="CHL10" s="57"/>
      <c r="CHM10" s="57"/>
      <c r="CHN10" s="57"/>
      <c r="CHO10" s="57"/>
      <c r="CHP10" s="57"/>
      <c r="CHQ10" s="56"/>
      <c r="CHR10" s="57"/>
      <c r="CHS10" s="57"/>
      <c r="CHT10" s="56"/>
      <c r="CHU10" s="57"/>
      <c r="CHV10" s="58"/>
      <c r="CHW10" s="56"/>
      <c r="CHX10" s="57"/>
      <c r="CHY10" s="57"/>
      <c r="CHZ10" s="57"/>
      <c r="CIA10" s="56"/>
      <c r="CIB10" s="57"/>
      <c r="CIC10" s="57"/>
      <c r="CID10" s="56"/>
      <c r="CIE10" s="57"/>
      <c r="CIF10" s="58"/>
      <c r="CIG10" s="56"/>
      <c r="CIH10" s="57"/>
      <c r="CII10" s="57"/>
      <c r="CIJ10" s="57"/>
      <c r="CIK10" s="56"/>
      <c r="CIL10" s="57"/>
      <c r="CIM10" s="57"/>
      <c r="CIN10" s="56"/>
      <c r="CIO10" s="57"/>
      <c r="CIP10" s="58"/>
      <c r="CIQ10" s="56"/>
      <c r="CIR10" s="57"/>
      <c r="CIS10" s="57"/>
      <c r="CIT10" s="57"/>
      <c r="CIU10" s="56"/>
      <c r="CIV10" s="57"/>
      <c r="CIW10" s="57"/>
      <c r="CIX10" s="56"/>
      <c r="CIY10" s="57"/>
      <c r="CIZ10" s="58"/>
      <c r="CJA10" s="56"/>
      <c r="CJB10" s="58"/>
      <c r="CJC10" s="57"/>
      <c r="CJD10" s="56"/>
      <c r="CJE10" s="57"/>
      <c r="CJF10" s="56"/>
      <c r="CJG10" s="56"/>
      <c r="CJH10" s="56"/>
      <c r="CJI10" s="57"/>
      <c r="CJJ10" s="387"/>
      <c r="CJK10" s="57"/>
      <c r="CJL10" s="387"/>
      <c r="CJM10" s="57"/>
      <c r="CJN10" s="387"/>
      <c r="CJO10" s="57"/>
      <c r="CJP10" s="57"/>
      <c r="CJQ10" s="57"/>
      <c r="CJR10" s="57"/>
      <c r="CJS10" s="57"/>
      <c r="CJT10" s="57"/>
      <c r="CJU10" s="57"/>
      <c r="CJV10" s="57"/>
      <c r="CJW10" s="57"/>
      <c r="CJX10" s="57"/>
      <c r="CJY10" s="57"/>
      <c r="CJZ10" s="57"/>
      <c r="CKA10" s="57"/>
      <c r="CKB10" s="57"/>
      <c r="CKC10" s="57"/>
      <c r="CKD10" s="57"/>
      <c r="CKE10" s="57"/>
      <c r="CKF10" s="57"/>
      <c r="CKG10" s="57"/>
      <c r="CKH10" s="57"/>
      <c r="CKI10" s="57"/>
      <c r="CKJ10" s="57"/>
      <c r="CKK10" s="57"/>
      <c r="CKL10" s="57"/>
      <c r="CKM10" s="57"/>
      <c r="CKN10" s="57"/>
      <c r="CKO10" s="57"/>
      <c r="CKP10" s="57"/>
      <c r="CKQ10" s="57"/>
      <c r="CKR10" s="57"/>
      <c r="CKS10" s="57"/>
      <c r="CKT10" s="58"/>
      <c r="CKU10" s="56"/>
      <c r="CKV10" s="57"/>
      <c r="CKW10" s="57"/>
      <c r="CKX10" s="57"/>
      <c r="CKY10" s="57"/>
      <c r="CKZ10" s="57"/>
      <c r="CLA10" s="56"/>
      <c r="CLB10" s="57"/>
      <c r="CLC10" s="57"/>
      <c r="CLD10" s="56"/>
      <c r="CLE10" s="57"/>
      <c r="CLF10" s="58"/>
      <c r="CLG10" s="56"/>
      <c r="CLH10" s="57"/>
      <c r="CLI10" s="57"/>
      <c r="CLJ10" s="57"/>
      <c r="CLK10" s="56"/>
      <c r="CLL10" s="57"/>
      <c r="CLM10" s="57"/>
      <c r="CLN10" s="56"/>
      <c r="CLO10" s="57"/>
      <c r="CLP10" s="58"/>
      <c r="CLQ10" s="56"/>
      <c r="CLR10" s="57"/>
      <c r="CLS10" s="57"/>
      <c r="CLT10" s="57"/>
      <c r="CLU10" s="56"/>
      <c r="CLV10" s="57"/>
      <c r="CLW10" s="57"/>
      <c r="CLX10" s="56"/>
      <c r="CLY10" s="57"/>
      <c r="CLZ10" s="58"/>
      <c r="CMA10" s="56"/>
      <c r="CMB10" s="57"/>
      <c r="CMC10" s="57"/>
      <c r="CMD10" s="57"/>
      <c r="CME10" s="56"/>
      <c r="CMF10" s="57"/>
      <c r="CMG10" s="57"/>
      <c r="CMH10" s="56"/>
      <c r="CMI10" s="57"/>
      <c r="CMJ10" s="58"/>
      <c r="CMK10" s="56"/>
      <c r="CML10" s="58"/>
      <c r="CMM10" s="57"/>
      <c r="CMN10" s="56"/>
      <c r="CMO10" s="57"/>
      <c r="CMP10" s="56"/>
      <c r="CMQ10" s="56"/>
      <c r="CMR10" s="56"/>
      <c r="CMS10" s="57"/>
      <c r="CMT10" s="387"/>
      <c r="CMU10" s="57"/>
      <c r="CMV10" s="387"/>
      <c r="CMW10" s="57"/>
      <c r="CMX10" s="387"/>
      <c r="CMY10" s="57"/>
      <c r="CMZ10" s="57"/>
      <c r="CNA10" s="57"/>
      <c r="CNB10" s="57"/>
      <c r="CNC10" s="57"/>
      <c r="CND10" s="57"/>
      <c r="CNE10" s="57"/>
      <c r="CNF10" s="57"/>
      <c r="CNG10" s="57"/>
      <c r="CNH10" s="57"/>
      <c r="CNI10" s="57"/>
      <c r="CNJ10" s="57"/>
      <c r="CNK10" s="57"/>
      <c r="CNL10" s="57"/>
      <c r="CNM10" s="57"/>
      <c r="CNN10" s="57"/>
      <c r="CNO10" s="57"/>
      <c r="CNP10" s="57"/>
      <c r="CNQ10" s="57"/>
      <c r="CNR10" s="57"/>
      <c r="CNS10" s="57"/>
      <c r="CNT10" s="57"/>
      <c r="CNU10" s="57"/>
      <c r="CNV10" s="57"/>
      <c r="CNW10" s="57"/>
      <c r="CNX10" s="57"/>
      <c r="CNY10" s="57"/>
      <c r="CNZ10" s="57"/>
      <c r="COA10" s="57"/>
      <c r="COB10" s="57"/>
      <c r="COC10" s="57"/>
      <c r="COD10" s="58"/>
      <c r="COE10" s="56"/>
      <c r="COF10" s="57"/>
      <c r="COG10" s="57"/>
      <c r="COH10" s="57"/>
      <c r="COI10" s="57"/>
      <c r="COJ10" s="57"/>
      <c r="COK10" s="56"/>
      <c r="COL10" s="57"/>
      <c r="COM10" s="57"/>
      <c r="CON10" s="56"/>
      <c r="COO10" s="57"/>
      <c r="COP10" s="58"/>
      <c r="COQ10" s="56"/>
      <c r="COR10" s="57"/>
      <c r="COS10" s="57"/>
      <c r="COT10" s="57"/>
      <c r="COU10" s="56"/>
      <c r="COV10" s="57"/>
      <c r="COW10" s="57"/>
      <c r="COX10" s="56"/>
      <c r="COY10" s="57"/>
      <c r="COZ10" s="58"/>
      <c r="CPA10" s="56"/>
      <c r="CPB10" s="57"/>
      <c r="CPC10" s="57"/>
      <c r="CPD10" s="57"/>
      <c r="CPE10" s="56"/>
      <c r="CPF10" s="57"/>
      <c r="CPG10" s="57"/>
      <c r="CPH10" s="56"/>
      <c r="CPI10" s="57"/>
      <c r="CPJ10" s="58"/>
      <c r="CPK10" s="56"/>
      <c r="CPL10" s="57"/>
      <c r="CPM10" s="57"/>
      <c r="CPN10" s="57"/>
      <c r="CPO10" s="56"/>
      <c r="CPP10" s="57"/>
      <c r="CPQ10" s="57"/>
      <c r="CPR10" s="56"/>
      <c r="CPS10" s="57"/>
      <c r="CPT10" s="58"/>
      <c r="CPU10" s="56"/>
      <c r="CPV10" s="58"/>
      <c r="CPW10" s="57"/>
      <c r="CPX10" s="56"/>
      <c r="CPY10" s="57"/>
      <c r="CPZ10" s="56"/>
      <c r="CQA10" s="56"/>
      <c r="CQB10" s="56"/>
      <c r="CQC10" s="57"/>
      <c r="CQD10" s="387"/>
      <c r="CQE10" s="57"/>
      <c r="CQF10" s="387"/>
      <c r="CQG10" s="57"/>
      <c r="CQH10" s="387"/>
      <c r="CQI10" s="57"/>
      <c r="CQJ10" s="57"/>
      <c r="CQK10" s="57"/>
      <c r="CQL10" s="57"/>
      <c r="CQM10" s="57"/>
      <c r="CQN10" s="57"/>
      <c r="CQO10" s="57"/>
      <c r="CQP10" s="57"/>
      <c r="CQQ10" s="57"/>
      <c r="CQR10" s="57"/>
      <c r="CQS10" s="57"/>
      <c r="CQT10" s="57"/>
      <c r="CQU10" s="57"/>
      <c r="CQV10" s="57"/>
      <c r="CQW10" s="57"/>
      <c r="CQX10" s="57"/>
      <c r="CQY10" s="57"/>
      <c r="CQZ10" s="57"/>
      <c r="CRA10" s="57"/>
      <c r="CRB10" s="57"/>
      <c r="CRC10" s="57"/>
      <c r="CRD10" s="57"/>
      <c r="CRE10" s="57"/>
      <c r="CRF10" s="57"/>
      <c r="CRG10" s="57"/>
      <c r="CRH10" s="57"/>
      <c r="CRI10" s="57"/>
      <c r="CRJ10" s="57"/>
      <c r="CRK10" s="57"/>
      <c r="CRL10" s="57"/>
      <c r="CRM10" s="57"/>
      <c r="CRN10" s="58"/>
      <c r="CRO10" s="56"/>
      <c r="CRP10" s="57"/>
      <c r="CRQ10" s="57"/>
      <c r="CRR10" s="57"/>
      <c r="CRS10" s="57"/>
      <c r="CRT10" s="57"/>
      <c r="CRU10" s="56"/>
      <c r="CRV10" s="57"/>
      <c r="CRW10" s="57"/>
      <c r="CRX10" s="56"/>
      <c r="CRY10" s="57"/>
      <c r="CRZ10" s="58"/>
      <c r="CSA10" s="56"/>
      <c r="CSB10" s="57"/>
      <c r="CSC10" s="57"/>
      <c r="CSD10" s="57"/>
      <c r="CSE10" s="56"/>
      <c r="CSF10" s="57"/>
      <c r="CSG10" s="57"/>
      <c r="CSH10" s="56"/>
      <c r="CSI10" s="57"/>
      <c r="CSJ10" s="58"/>
      <c r="CSK10" s="56"/>
      <c r="CSL10" s="57"/>
      <c r="CSM10" s="57"/>
      <c r="CSN10" s="57"/>
      <c r="CSO10" s="56"/>
      <c r="CSP10" s="57"/>
      <c r="CSQ10" s="57"/>
      <c r="CSR10" s="56"/>
      <c r="CSS10" s="57"/>
      <c r="CST10" s="58"/>
      <c r="CSU10" s="56"/>
      <c r="CSV10" s="57"/>
      <c r="CSW10" s="57"/>
      <c r="CSX10" s="57"/>
      <c r="CSY10" s="56"/>
      <c r="CSZ10" s="57"/>
      <c r="CTA10" s="57"/>
      <c r="CTB10" s="56"/>
      <c r="CTC10" s="57"/>
      <c r="CTD10" s="58"/>
      <c r="CTE10" s="56"/>
      <c r="CTF10" s="58"/>
      <c r="CTG10" s="57"/>
      <c r="CTH10" s="56"/>
      <c r="CTI10" s="57"/>
      <c r="CTJ10" s="56"/>
      <c r="CTK10" s="56"/>
      <c r="CTL10" s="56"/>
      <c r="CTM10" s="57"/>
      <c r="CTN10" s="387"/>
      <c r="CTO10" s="57"/>
      <c r="CTP10" s="387"/>
      <c r="CTQ10" s="57"/>
      <c r="CTR10" s="387"/>
      <c r="CTS10" s="57"/>
      <c r="CTT10" s="57"/>
      <c r="CTU10" s="57"/>
      <c r="CTV10" s="57"/>
      <c r="CTW10" s="57"/>
      <c r="CTX10" s="57"/>
      <c r="CTY10" s="57"/>
      <c r="CTZ10" s="57"/>
      <c r="CUA10" s="57"/>
      <c r="CUB10" s="57"/>
      <c r="CUC10" s="57"/>
      <c r="CUD10" s="57"/>
      <c r="CUE10" s="57"/>
      <c r="CUF10" s="57"/>
      <c r="CUG10" s="57"/>
      <c r="CUH10" s="57"/>
      <c r="CUI10" s="57"/>
      <c r="CUJ10" s="57"/>
      <c r="CUK10" s="57"/>
      <c r="CUL10" s="57"/>
      <c r="CUM10" s="57"/>
      <c r="CUN10" s="57"/>
      <c r="CUO10" s="57"/>
      <c r="CUP10" s="57"/>
      <c r="CUQ10" s="57"/>
      <c r="CUR10" s="57"/>
      <c r="CUS10" s="57"/>
      <c r="CUT10" s="57"/>
      <c r="CUU10" s="57"/>
      <c r="CUV10" s="57"/>
      <c r="CUW10" s="57"/>
      <c r="CUX10" s="58"/>
      <c r="CUY10" s="56"/>
      <c r="CUZ10" s="57"/>
      <c r="CVA10" s="57"/>
      <c r="CVB10" s="57"/>
      <c r="CVC10" s="57"/>
      <c r="CVD10" s="57"/>
      <c r="CVE10" s="56"/>
      <c r="CVF10" s="57"/>
      <c r="CVG10" s="57"/>
      <c r="CVH10" s="56"/>
      <c r="CVI10" s="57"/>
      <c r="CVJ10" s="58"/>
      <c r="CVK10" s="56"/>
      <c r="CVL10" s="57"/>
      <c r="CVM10" s="57"/>
      <c r="CVN10" s="57"/>
      <c r="CVO10" s="56"/>
      <c r="CVP10" s="57"/>
      <c r="CVQ10" s="57"/>
      <c r="CVR10" s="56"/>
      <c r="CVS10" s="57"/>
      <c r="CVT10" s="58"/>
      <c r="CVU10" s="56"/>
      <c r="CVV10" s="57"/>
      <c r="CVW10" s="57"/>
      <c r="CVX10" s="57"/>
      <c r="CVY10" s="56"/>
      <c r="CVZ10" s="57"/>
      <c r="CWA10" s="57"/>
      <c r="CWB10" s="56"/>
      <c r="CWC10" s="57"/>
      <c r="CWD10" s="58"/>
      <c r="CWE10" s="56"/>
      <c r="CWF10" s="57"/>
      <c r="CWG10" s="57"/>
      <c r="CWH10" s="57"/>
      <c r="CWI10" s="56"/>
      <c r="CWJ10" s="57"/>
      <c r="CWK10" s="57"/>
      <c r="CWL10" s="56"/>
      <c r="CWM10" s="57"/>
      <c r="CWN10" s="58"/>
      <c r="CWO10" s="56"/>
      <c r="CWP10" s="58"/>
      <c r="CWQ10" s="57"/>
      <c r="CWR10" s="56"/>
      <c r="CWS10" s="57"/>
      <c r="CWT10" s="56"/>
      <c r="CWU10" s="56"/>
      <c r="CWV10" s="56"/>
      <c r="CWW10" s="57"/>
      <c r="CWX10" s="387"/>
      <c r="CWY10" s="57"/>
      <c r="CWZ10" s="387"/>
      <c r="CXA10" s="57"/>
      <c r="CXB10" s="387"/>
      <c r="CXC10" s="57"/>
      <c r="CXD10" s="57"/>
      <c r="CXE10" s="57"/>
      <c r="CXF10" s="57"/>
      <c r="CXG10" s="57"/>
      <c r="CXH10" s="57"/>
      <c r="CXI10" s="57"/>
      <c r="CXJ10" s="57"/>
      <c r="CXK10" s="57"/>
      <c r="CXL10" s="57"/>
      <c r="CXM10" s="57"/>
      <c r="CXN10" s="57"/>
      <c r="CXO10" s="57"/>
      <c r="CXP10" s="57"/>
      <c r="CXQ10" s="57"/>
      <c r="CXR10" s="57"/>
      <c r="CXS10" s="57"/>
      <c r="CXT10" s="57"/>
      <c r="CXU10" s="57"/>
      <c r="CXV10" s="57"/>
      <c r="CXW10" s="57"/>
      <c r="CXX10" s="57"/>
      <c r="CXY10" s="57"/>
      <c r="CXZ10" s="57"/>
      <c r="CYA10" s="57"/>
      <c r="CYB10" s="57"/>
      <c r="CYC10" s="57"/>
      <c r="CYD10" s="57"/>
      <c r="CYE10" s="57"/>
      <c r="CYF10" s="57"/>
      <c r="CYG10" s="57"/>
      <c r="CYH10" s="58"/>
      <c r="CYI10" s="56"/>
      <c r="CYJ10" s="57"/>
      <c r="CYK10" s="57"/>
      <c r="CYL10" s="57"/>
      <c r="CYM10" s="57"/>
      <c r="CYN10" s="57"/>
      <c r="CYO10" s="56"/>
      <c r="CYP10" s="57"/>
      <c r="CYQ10" s="57"/>
      <c r="CYR10" s="56"/>
      <c r="CYS10" s="57"/>
      <c r="CYT10" s="58"/>
      <c r="CYU10" s="56"/>
      <c r="CYV10" s="57"/>
      <c r="CYW10" s="57"/>
      <c r="CYX10" s="57"/>
      <c r="CYY10" s="56"/>
      <c r="CYZ10" s="57"/>
      <c r="CZA10" s="57"/>
      <c r="CZB10" s="56"/>
      <c r="CZC10" s="57"/>
      <c r="CZD10" s="58"/>
      <c r="CZE10" s="56"/>
      <c r="CZF10" s="57"/>
      <c r="CZG10" s="57"/>
      <c r="CZH10" s="57"/>
      <c r="CZI10" s="56"/>
      <c r="CZJ10" s="57"/>
      <c r="CZK10" s="57"/>
      <c r="CZL10" s="56"/>
      <c r="CZM10" s="57"/>
      <c r="CZN10" s="58"/>
      <c r="CZO10" s="56"/>
      <c r="CZP10" s="57"/>
      <c r="CZQ10" s="57"/>
      <c r="CZR10" s="57"/>
      <c r="CZS10" s="56"/>
      <c r="CZT10" s="57"/>
      <c r="CZU10" s="57"/>
      <c r="CZV10" s="56"/>
      <c r="CZW10" s="57"/>
      <c r="CZX10" s="58"/>
      <c r="CZY10" s="56"/>
      <c r="CZZ10" s="58"/>
      <c r="DAA10" s="57"/>
      <c r="DAB10" s="56"/>
      <c r="DAC10" s="57"/>
      <c r="DAD10" s="56"/>
      <c r="DAE10" s="56"/>
      <c r="DAF10" s="56"/>
      <c r="DAG10" s="57"/>
      <c r="DAH10" s="387"/>
      <c r="DAI10" s="57"/>
      <c r="DAJ10" s="387"/>
      <c r="DAK10" s="57"/>
      <c r="DAL10" s="387"/>
      <c r="DAM10" s="57"/>
      <c r="DAN10" s="57"/>
      <c r="DAO10" s="57"/>
      <c r="DAP10" s="57"/>
      <c r="DAQ10" s="57"/>
      <c r="DAR10" s="57"/>
      <c r="DAS10" s="57"/>
      <c r="DAT10" s="57"/>
      <c r="DAU10" s="57"/>
      <c r="DAV10" s="57"/>
      <c r="DAW10" s="57"/>
      <c r="DAX10" s="57"/>
      <c r="DAY10" s="57"/>
      <c r="DAZ10" s="57"/>
      <c r="DBA10" s="57"/>
      <c r="DBB10" s="57"/>
      <c r="DBC10" s="57"/>
      <c r="DBD10" s="57"/>
      <c r="DBE10" s="57"/>
      <c r="DBF10" s="57"/>
      <c r="DBG10" s="57"/>
      <c r="DBH10" s="57"/>
      <c r="DBI10" s="57"/>
      <c r="DBJ10" s="57"/>
      <c r="DBK10" s="57"/>
      <c r="DBL10" s="57"/>
      <c r="DBM10" s="57"/>
      <c r="DBN10" s="57"/>
      <c r="DBO10" s="57"/>
      <c r="DBP10" s="57"/>
      <c r="DBQ10" s="57"/>
      <c r="DBR10" s="58"/>
      <c r="DBS10" s="56"/>
      <c r="DBT10" s="57"/>
      <c r="DBU10" s="57"/>
      <c r="DBV10" s="57"/>
      <c r="DBW10" s="57"/>
      <c r="DBX10" s="57"/>
      <c r="DBY10" s="56"/>
      <c r="DBZ10" s="57"/>
      <c r="DCA10" s="57"/>
      <c r="DCB10" s="56"/>
      <c r="DCC10" s="57"/>
      <c r="DCD10" s="58"/>
      <c r="DCE10" s="56"/>
      <c r="DCF10" s="57"/>
      <c r="DCG10" s="57"/>
      <c r="DCH10" s="57"/>
      <c r="DCI10" s="56"/>
      <c r="DCJ10" s="57"/>
      <c r="DCK10" s="57"/>
      <c r="DCL10" s="56"/>
      <c r="DCM10" s="57"/>
      <c r="DCN10" s="58"/>
      <c r="DCO10" s="56"/>
      <c r="DCP10" s="57"/>
      <c r="DCQ10" s="57"/>
      <c r="DCR10" s="57"/>
      <c r="DCS10" s="56"/>
      <c r="DCT10" s="57"/>
      <c r="DCU10" s="57"/>
      <c r="DCV10" s="56"/>
      <c r="DCW10" s="57"/>
      <c r="DCX10" s="58"/>
      <c r="DCY10" s="56"/>
      <c r="DCZ10" s="57"/>
      <c r="DDA10" s="57"/>
      <c r="DDB10" s="57"/>
      <c r="DDC10" s="56"/>
      <c r="DDD10" s="57"/>
      <c r="DDE10" s="57"/>
      <c r="DDF10" s="56"/>
      <c r="DDG10" s="57"/>
      <c r="DDH10" s="58"/>
      <c r="DDI10" s="56"/>
      <c r="DDJ10" s="58"/>
      <c r="DDK10" s="57"/>
      <c r="DDL10" s="56"/>
      <c r="DDM10" s="57"/>
      <c r="DDN10" s="56"/>
      <c r="DDO10" s="56"/>
      <c r="DDP10" s="56"/>
      <c r="DDQ10" s="57"/>
      <c r="DDR10" s="387"/>
      <c r="DDS10" s="57"/>
      <c r="DDT10" s="387"/>
      <c r="DDU10" s="57"/>
      <c r="DDV10" s="387"/>
      <c r="DDW10" s="57"/>
      <c r="DDX10" s="57"/>
      <c r="DDY10" s="57"/>
      <c r="DDZ10" s="57"/>
      <c r="DEA10" s="57"/>
      <c r="DEB10" s="57"/>
      <c r="DEC10" s="57"/>
      <c r="DED10" s="57"/>
      <c r="DEE10" s="57"/>
      <c r="DEF10" s="57"/>
      <c r="DEG10" s="57"/>
      <c r="DEH10" s="57"/>
      <c r="DEI10" s="57"/>
      <c r="DEJ10" s="57"/>
      <c r="DEK10" s="57"/>
      <c r="DEL10" s="57"/>
      <c r="DEM10" s="57"/>
      <c r="DEN10" s="57"/>
      <c r="DEO10" s="57"/>
      <c r="DEP10" s="57"/>
      <c r="DEQ10" s="57"/>
      <c r="DER10" s="57"/>
      <c r="DES10" s="57"/>
      <c r="DET10" s="57"/>
      <c r="DEU10" s="57"/>
      <c r="DEV10" s="57"/>
      <c r="DEW10" s="57"/>
      <c r="DEX10" s="57"/>
      <c r="DEY10" s="57"/>
      <c r="DEZ10" s="57"/>
      <c r="DFA10" s="57"/>
      <c r="DFB10" s="58"/>
      <c r="DFC10" s="56"/>
      <c r="DFD10" s="57"/>
      <c r="DFE10" s="57"/>
      <c r="DFF10" s="57"/>
      <c r="DFG10" s="57"/>
      <c r="DFH10" s="57"/>
      <c r="DFI10" s="56"/>
      <c r="DFJ10" s="57"/>
      <c r="DFK10" s="57"/>
      <c r="DFL10" s="56"/>
      <c r="DFM10" s="57"/>
      <c r="DFN10" s="58"/>
      <c r="DFO10" s="56"/>
      <c r="DFP10" s="57"/>
      <c r="DFQ10" s="57"/>
      <c r="DFR10" s="57"/>
      <c r="DFS10" s="56"/>
      <c r="DFT10" s="57"/>
      <c r="DFU10" s="57"/>
      <c r="DFV10" s="56"/>
      <c r="DFW10" s="57"/>
      <c r="DFX10" s="58"/>
      <c r="DFY10" s="56"/>
      <c r="DFZ10" s="57"/>
      <c r="DGA10" s="57"/>
      <c r="DGB10" s="57"/>
      <c r="DGC10" s="56"/>
      <c r="DGD10" s="57"/>
      <c r="DGE10" s="57"/>
      <c r="DGF10" s="56"/>
      <c r="DGG10" s="57"/>
      <c r="DGH10" s="58"/>
      <c r="DGI10" s="56"/>
      <c r="DGJ10" s="57"/>
      <c r="DGK10" s="57"/>
      <c r="DGL10" s="57"/>
      <c r="DGM10" s="56"/>
      <c r="DGN10" s="57"/>
      <c r="DGO10" s="57"/>
      <c r="DGP10" s="56"/>
      <c r="DGQ10" s="57"/>
      <c r="DGR10" s="58"/>
      <c r="DGS10" s="56"/>
      <c r="DGT10" s="58"/>
      <c r="DGU10" s="57"/>
      <c r="DGV10" s="56"/>
      <c r="DGW10" s="57"/>
      <c r="DGX10" s="56"/>
      <c r="DGY10" s="56"/>
      <c r="DGZ10" s="56"/>
      <c r="DHA10" s="57"/>
      <c r="DHB10" s="387"/>
      <c r="DHC10" s="57"/>
      <c r="DHD10" s="387"/>
      <c r="DHE10" s="57"/>
      <c r="DHF10" s="387"/>
      <c r="DHG10" s="57"/>
      <c r="DHH10" s="57"/>
      <c r="DHI10" s="57"/>
      <c r="DHJ10" s="57"/>
      <c r="DHK10" s="57"/>
      <c r="DHL10" s="57"/>
      <c r="DHM10" s="57"/>
      <c r="DHN10" s="57"/>
      <c r="DHO10" s="57"/>
      <c r="DHP10" s="57"/>
      <c r="DHQ10" s="57"/>
      <c r="DHR10" s="57"/>
      <c r="DHS10" s="57"/>
      <c r="DHT10" s="57"/>
      <c r="DHU10" s="57"/>
      <c r="DHV10" s="57"/>
      <c r="DHW10" s="57"/>
      <c r="DHX10" s="57"/>
      <c r="DHY10" s="57"/>
      <c r="DHZ10" s="57"/>
      <c r="DIA10" s="57"/>
      <c r="DIB10" s="57"/>
      <c r="DIC10" s="57"/>
      <c r="DID10" s="57"/>
      <c r="DIE10" s="57"/>
      <c r="DIF10" s="57"/>
      <c r="DIG10" s="57"/>
      <c r="DIH10" s="57"/>
      <c r="DII10" s="57"/>
      <c r="DIJ10" s="57"/>
      <c r="DIK10" s="57"/>
      <c r="DIL10" s="58"/>
      <c r="DIM10" s="56"/>
      <c r="DIN10" s="57"/>
      <c r="DIO10" s="57"/>
      <c r="DIP10" s="57"/>
      <c r="DIQ10" s="57"/>
      <c r="DIR10" s="57"/>
      <c r="DIS10" s="56"/>
      <c r="DIT10" s="57"/>
      <c r="DIU10" s="57"/>
      <c r="DIV10" s="56"/>
      <c r="DIW10" s="57"/>
      <c r="DIX10" s="58"/>
      <c r="DIY10" s="56"/>
      <c r="DIZ10" s="57"/>
      <c r="DJA10" s="57"/>
      <c r="DJB10" s="57"/>
      <c r="DJC10" s="56"/>
      <c r="DJD10" s="57"/>
      <c r="DJE10" s="57"/>
      <c r="DJF10" s="56"/>
      <c r="DJG10" s="57"/>
      <c r="DJH10" s="58"/>
      <c r="DJI10" s="56"/>
      <c r="DJJ10" s="57"/>
      <c r="DJK10" s="57"/>
      <c r="DJL10" s="57"/>
      <c r="DJM10" s="56"/>
      <c r="DJN10" s="57"/>
      <c r="DJO10" s="57"/>
      <c r="DJP10" s="56"/>
      <c r="DJQ10" s="57"/>
      <c r="DJR10" s="58"/>
      <c r="DJS10" s="56"/>
      <c r="DJT10" s="57"/>
      <c r="DJU10" s="57"/>
      <c r="DJV10" s="57"/>
      <c r="DJW10" s="56"/>
      <c r="DJX10" s="57"/>
      <c r="DJY10" s="57"/>
      <c r="DJZ10" s="56"/>
      <c r="DKA10" s="57"/>
      <c r="DKB10" s="58"/>
      <c r="DKC10" s="56"/>
      <c r="DKD10" s="58"/>
      <c r="DKE10" s="57"/>
      <c r="DKF10" s="56"/>
      <c r="DKG10" s="57"/>
      <c r="DKH10" s="56"/>
      <c r="DKI10" s="56"/>
      <c r="DKJ10" s="56"/>
      <c r="DKK10" s="57"/>
      <c r="DKL10" s="387"/>
      <c r="DKM10" s="57"/>
      <c r="DKN10" s="387"/>
      <c r="DKO10" s="57"/>
      <c r="DKP10" s="387"/>
      <c r="DKQ10" s="57"/>
      <c r="DKR10" s="57"/>
      <c r="DKS10" s="57"/>
      <c r="DKT10" s="57"/>
      <c r="DKU10" s="57"/>
      <c r="DKV10" s="57"/>
      <c r="DKW10" s="57"/>
      <c r="DKX10" s="57"/>
      <c r="DKY10" s="57"/>
      <c r="DKZ10" s="57"/>
      <c r="DLA10" s="57"/>
      <c r="DLB10" s="57"/>
      <c r="DLC10" s="57"/>
      <c r="DLD10" s="57"/>
      <c r="DLE10" s="57"/>
      <c r="DLF10" s="57"/>
      <c r="DLG10" s="57"/>
      <c r="DLH10" s="57"/>
      <c r="DLI10" s="57"/>
      <c r="DLJ10" s="57"/>
      <c r="DLK10" s="57"/>
      <c r="DLL10" s="57"/>
      <c r="DLM10" s="57"/>
      <c r="DLN10" s="57"/>
      <c r="DLO10" s="57"/>
      <c r="DLP10" s="57"/>
      <c r="DLQ10" s="57"/>
      <c r="DLR10" s="57"/>
      <c r="DLS10" s="57"/>
      <c r="DLT10" s="57"/>
      <c r="DLU10" s="57"/>
      <c r="DLV10" s="58"/>
      <c r="DLW10" s="56"/>
      <c r="DLX10" s="57"/>
      <c r="DLY10" s="57"/>
      <c r="DLZ10" s="57"/>
      <c r="DMA10" s="57"/>
      <c r="DMB10" s="57"/>
      <c r="DMC10" s="56"/>
      <c r="DMD10" s="57"/>
      <c r="DME10" s="57"/>
      <c r="DMF10" s="56"/>
      <c r="DMG10" s="57"/>
      <c r="DMH10" s="58"/>
      <c r="DMI10" s="56"/>
      <c r="DMJ10" s="57"/>
      <c r="DMK10" s="57"/>
      <c r="DML10" s="57"/>
      <c r="DMM10" s="56"/>
      <c r="DMN10" s="57"/>
      <c r="DMO10" s="57"/>
      <c r="DMP10" s="56"/>
      <c r="DMQ10" s="57"/>
      <c r="DMR10" s="58"/>
      <c r="DMS10" s="56"/>
      <c r="DMT10" s="57"/>
      <c r="DMU10" s="57"/>
      <c r="DMV10" s="57"/>
      <c r="DMW10" s="56"/>
      <c r="DMX10" s="57"/>
      <c r="DMY10" s="57"/>
      <c r="DMZ10" s="56"/>
      <c r="DNA10" s="57"/>
      <c r="DNB10" s="58"/>
      <c r="DNC10" s="56"/>
      <c r="DND10" s="57"/>
      <c r="DNE10" s="57"/>
      <c r="DNF10" s="57"/>
      <c r="DNG10" s="56"/>
      <c r="DNH10" s="57"/>
      <c r="DNI10" s="57"/>
      <c r="DNJ10" s="56"/>
      <c r="DNK10" s="57"/>
      <c r="DNL10" s="58"/>
      <c r="DNM10" s="56"/>
      <c r="DNN10" s="58"/>
      <c r="DNO10" s="57"/>
      <c r="DNP10" s="56"/>
      <c r="DNQ10" s="57"/>
      <c r="DNR10" s="56"/>
      <c r="DNS10" s="56"/>
      <c r="DNT10" s="56"/>
      <c r="DNU10" s="57"/>
      <c r="DNV10" s="387"/>
      <c r="DNW10" s="57"/>
      <c r="DNX10" s="387"/>
      <c r="DNY10" s="57"/>
      <c r="DNZ10" s="387"/>
      <c r="DOA10" s="57"/>
      <c r="DOB10" s="57"/>
      <c r="DOC10" s="57"/>
      <c r="DOD10" s="57"/>
      <c r="DOE10" s="57"/>
      <c r="DOF10" s="57"/>
      <c r="DOG10" s="57"/>
      <c r="DOH10" s="57"/>
      <c r="DOI10" s="57"/>
      <c r="DOJ10" s="57"/>
      <c r="DOK10" s="57"/>
      <c r="DOL10" s="57"/>
      <c r="DOM10" s="57"/>
      <c r="DON10" s="57"/>
      <c r="DOO10" s="57"/>
      <c r="DOP10" s="57"/>
      <c r="DOQ10" s="57"/>
      <c r="DOR10" s="57"/>
      <c r="DOS10" s="57"/>
      <c r="DOT10" s="57"/>
      <c r="DOU10" s="57"/>
      <c r="DOV10" s="57"/>
      <c r="DOW10" s="57"/>
      <c r="DOX10" s="57"/>
      <c r="DOY10" s="57"/>
      <c r="DOZ10" s="57"/>
      <c r="DPA10" s="57"/>
      <c r="DPB10" s="57"/>
      <c r="DPC10" s="57"/>
      <c r="DPD10" s="57"/>
      <c r="DPE10" s="57"/>
      <c r="DPF10" s="58"/>
      <c r="DPG10" s="56"/>
      <c r="DPH10" s="57"/>
      <c r="DPI10" s="57"/>
      <c r="DPJ10" s="57"/>
      <c r="DPK10" s="57"/>
      <c r="DPL10" s="57"/>
      <c r="DPM10" s="56"/>
      <c r="DPN10" s="57"/>
      <c r="DPO10" s="57"/>
      <c r="DPP10" s="56"/>
      <c r="DPQ10" s="57"/>
      <c r="DPR10" s="58"/>
      <c r="DPS10" s="56"/>
      <c r="DPT10" s="57"/>
      <c r="DPU10" s="57"/>
      <c r="DPV10" s="57"/>
      <c r="DPW10" s="56"/>
      <c r="DPX10" s="57"/>
      <c r="DPY10" s="57"/>
      <c r="DPZ10" s="56"/>
      <c r="DQA10" s="57"/>
      <c r="DQB10" s="58"/>
      <c r="DQC10" s="56"/>
      <c r="DQD10" s="57"/>
      <c r="DQE10" s="57"/>
      <c r="DQF10" s="57"/>
      <c r="DQG10" s="56"/>
      <c r="DQH10" s="57"/>
      <c r="DQI10" s="57"/>
      <c r="DQJ10" s="56"/>
      <c r="DQK10" s="57"/>
      <c r="DQL10" s="58"/>
      <c r="DQM10" s="56"/>
      <c r="DQN10" s="57"/>
      <c r="DQO10" s="57"/>
      <c r="DQP10" s="57"/>
      <c r="DQQ10" s="56"/>
      <c r="DQR10" s="57"/>
      <c r="DQS10" s="57"/>
      <c r="DQT10" s="56"/>
      <c r="DQU10" s="57"/>
      <c r="DQV10" s="58"/>
      <c r="DQW10" s="56"/>
      <c r="DQX10" s="58"/>
      <c r="DQY10" s="57"/>
      <c r="DQZ10" s="56"/>
      <c r="DRA10" s="57"/>
      <c r="DRB10" s="56"/>
      <c r="DRC10" s="56"/>
      <c r="DRD10" s="56"/>
      <c r="DRE10" s="57"/>
      <c r="DRF10" s="387"/>
      <c r="DRG10" s="57"/>
      <c r="DRH10" s="387"/>
      <c r="DRI10" s="57"/>
      <c r="DRJ10" s="387"/>
      <c r="DRK10" s="57"/>
      <c r="DRL10" s="57"/>
      <c r="DRM10" s="57"/>
      <c r="DRN10" s="57"/>
      <c r="DRO10" s="57"/>
      <c r="DRP10" s="57"/>
      <c r="DRQ10" s="57"/>
      <c r="DRR10" s="57"/>
      <c r="DRS10" s="57"/>
      <c r="DRT10" s="57"/>
      <c r="DRU10" s="57"/>
      <c r="DRV10" s="57"/>
      <c r="DRW10" s="57"/>
      <c r="DRX10" s="57"/>
      <c r="DRY10" s="57"/>
      <c r="DRZ10" s="57"/>
      <c r="DSA10" s="57"/>
      <c r="DSB10" s="57"/>
      <c r="DSC10" s="57"/>
      <c r="DSD10" s="57"/>
      <c r="DSE10" s="57"/>
      <c r="DSF10" s="57"/>
      <c r="DSG10" s="57"/>
      <c r="DSH10" s="57"/>
      <c r="DSI10" s="57"/>
      <c r="DSJ10" s="57"/>
      <c r="DSK10" s="57"/>
      <c r="DSL10" s="57"/>
      <c r="DSM10" s="57"/>
      <c r="DSN10" s="57"/>
      <c r="DSO10" s="57"/>
      <c r="DSP10" s="58"/>
      <c r="DSQ10" s="56"/>
      <c r="DSR10" s="57"/>
      <c r="DSS10" s="57"/>
      <c r="DST10" s="57"/>
      <c r="DSU10" s="57"/>
      <c r="DSV10" s="57"/>
      <c r="DSW10" s="56"/>
      <c r="DSX10" s="57"/>
      <c r="DSY10" s="57"/>
      <c r="DSZ10" s="56"/>
      <c r="DTA10" s="57"/>
      <c r="DTB10" s="58"/>
      <c r="DTC10" s="56"/>
      <c r="DTD10" s="57"/>
      <c r="DTE10" s="57"/>
      <c r="DTF10" s="57"/>
      <c r="DTG10" s="56"/>
      <c r="DTH10" s="57"/>
      <c r="DTI10" s="57"/>
      <c r="DTJ10" s="56"/>
      <c r="DTK10" s="57"/>
      <c r="DTL10" s="58"/>
      <c r="DTM10" s="56"/>
      <c r="DTN10" s="57"/>
      <c r="DTO10" s="57"/>
      <c r="DTP10" s="57"/>
      <c r="DTQ10" s="56"/>
      <c r="DTR10" s="57"/>
      <c r="DTS10" s="57"/>
      <c r="DTT10" s="56"/>
      <c r="DTU10" s="57"/>
      <c r="DTV10" s="58"/>
      <c r="DTW10" s="56"/>
      <c r="DTX10" s="57"/>
      <c r="DTY10" s="57"/>
      <c r="DTZ10" s="57"/>
      <c r="DUA10" s="56"/>
      <c r="DUB10" s="57"/>
      <c r="DUC10" s="57"/>
      <c r="DUD10" s="56"/>
      <c r="DUE10" s="57"/>
      <c r="DUF10" s="58"/>
      <c r="DUG10" s="56"/>
      <c r="DUH10" s="58"/>
      <c r="DUI10" s="57"/>
      <c r="DUJ10" s="56"/>
      <c r="DUK10" s="57"/>
      <c r="DUL10" s="56"/>
      <c r="DUM10" s="56"/>
      <c r="DUN10" s="56"/>
      <c r="DUO10" s="57"/>
      <c r="DUP10" s="387"/>
      <c r="DUQ10" s="57"/>
      <c r="DUR10" s="387"/>
      <c r="DUS10" s="57"/>
      <c r="DUT10" s="387"/>
      <c r="DUU10" s="57"/>
      <c r="DUV10" s="57"/>
      <c r="DUW10" s="57"/>
      <c r="DUX10" s="57"/>
      <c r="DUY10" s="57"/>
      <c r="DUZ10" s="57"/>
      <c r="DVA10" s="57"/>
      <c r="DVB10" s="57"/>
      <c r="DVC10" s="57"/>
      <c r="DVD10" s="57"/>
      <c r="DVE10" s="57"/>
      <c r="DVF10" s="57"/>
      <c r="DVG10" s="57"/>
      <c r="DVH10" s="57"/>
      <c r="DVI10" s="57"/>
      <c r="DVJ10" s="57"/>
      <c r="DVK10" s="57"/>
      <c r="DVL10" s="57"/>
      <c r="DVM10" s="57"/>
      <c r="DVN10" s="57"/>
      <c r="DVO10" s="57"/>
      <c r="DVP10" s="57"/>
      <c r="DVQ10" s="57"/>
      <c r="DVR10" s="57"/>
      <c r="DVS10" s="57"/>
      <c r="DVT10" s="57"/>
      <c r="DVU10" s="57"/>
      <c r="DVV10" s="57"/>
      <c r="DVW10" s="57"/>
      <c r="DVX10" s="57"/>
      <c r="DVY10" s="57"/>
      <c r="DVZ10" s="58"/>
      <c r="DWA10" s="56"/>
      <c r="DWB10" s="57"/>
      <c r="DWC10" s="57"/>
      <c r="DWD10" s="57"/>
      <c r="DWE10" s="57"/>
      <c r="DWF10" s="57"/>
      <c r="DWG10" s="56"/>
      <c r="DWH10" s="57"/>
      <c r="DWI10" s="57"/>
      <c r="DWJ10" s="56"/>
      <c r="DWK10" s="57"/>
      <c r="DWL10" s="58"/>
      <c r="DWM10" s="56"/>
      <c r="DWN10" s="57"/>
      <c r="DWO10" s="57"/>
      <c r="DWP10" s="57"/>
      <c r="DWQ10" s="56"/>
      <c r="DWR10" s="57"/>
      <c r="DWS10" s="57"/>
      <c r="DWT10" s="56"/>
      <c r="DWU10" s="57"/>
      <c r="DWV10" s="58"/>
      <c r="DWW10" s="56"/>
      <c r="DWX10" s="57"/>
      <c r="DWY10" s="57"/>
      <c r="DWZ10" s="57"/>
      <c r="DXA10" s="56"/>
      <c r="DXB10" s="57"/>
      <c r="DXC10" s="57"/>
      <c r="DXD10" s="56"/>
      <c r="DXE10" s="57"/>
      <c r="DXF10" s="58"/>
      <c r="DXG10" s="56"/>
      <c r="DXH10" s="57"/>
      <c r="DXI10" s="57"/>
      <c r="DXJ10" s="57"/>
      <c r="DXK10" s="56"/>
      <c r="DXL10" s="57"/>
      <c r="DXM10" s="57"/>
      <c r="DXN10" s="56"/>
      <c r="DXO10" s="57"/>
      <c r="DXP10" s="58"/>
      <c r="DXQ10" s="56"/>
      <c r="DXR10" s="58"/>
      <c r="DXS10" s="57"/>
      <c r="DXT10" s="56"/>
      <c r="DXU10" s="57"/>
      <c r="DXV10" s="56"/>
      <c r="DXW10" s="56"/>
      <c r="DXX10" s="56"/>
      <c r="DXY10" s="57"/>
      <c r="DXZ10" s="387"/>
      <c r="DYA10" s="57"/>
      <c r="DYB10" s="387"/>
      <c r="DYC10" s="57"/>
      <c r="DYD10" s="387"/>
      <c r="DYE10" s="57"/>
      <c r="DYF10" s="57"/>
      <c r="DYG10" s="57"/>
      <c r="DYH10" s="57"/>
      <c r="DYI10" s="57"/>
      <c r="DYJ10" s="57"/>
      <c r="DYK10" s="57"/>
      <c r="DYL10" s="57"/>
      <c r="DYM10" s="57"/>
      <c r="DYN10" s="57"/>
      <c r="DYO10" s="57"/>
      <c r="DYP10" s="57"/>
      <c r="DYQ10" s="57"/>
      <c r="DYR10" s="57"/>
      <c r="DYS10" s="57"/>
      <c r="DYT10" s="57"/>
      <c r="DYU10" s="57"/>
      <c r="DYV10" s="57"/>
      <c r="DYW10" s="57"/>
      <c r="DYX10" s="57"/>
      <c r="DYY10" s="57"/>
      <c r="DYZ10" s="57"/>
      <c r="DZA10" s="57"/>
      <c r="DZB10" s="57"/>
      <c r="DZC10" s="57"/>
      <c r="DZD10" s="57"/>
      <c r="DZE10" s="57"/>
      <c r="DZF10" s="57"/>
      <c r="DZG10" s="57"/>
      <c r="DZH10" s="57"/>
      <c r="DZI10" s="57"/>
      <c r="DZJ10" s="58"/>
      <c r="DZK10" s="56"/>
      <c r="DZL10" s="57"/>
      <c r="DZM10" s="57"/>
      <c r="DZN10" s="57"/>
      <c r="DZO10" s="57"/>
      <c r="DZP10" s="57"/>
      <c r="DZQ10" s="56"/>
      <c r="DZR10" s="57"/>
      <c r="DZS10" s="57"/>
      <c r="DZT10" s="56"/>
      <c r="DZU10" s="57"/>
      <c r="DZV10" s="58"/>
      <c r="DZW10" s="56"/>
      <c r="DZX10" s="57"/>
      <c r="DZY10" s="57"/>
      <c r="DZZ10" s="57"/>
      <c r="EAA10" s="56"/>
      <c r="EAB10" s="57"/>
      <c r="EAC10" s="57"/>
      <c r="EAD10" s="56"/>
      <c r="EAE10" s="57"/>
      <c r="EAF10" s="58"/>
      <c r="EAG10" s="56"/>
      <c r="EAH10" s="57"/>
      <c r="EAI10" s="57"/>
      <c r="EAJ10" s="57"/>
      <c r="EAK10" s="56"/>
      <c r="EAL10" s="57"/>
      <c r="EAM10" s="57"/>
      <c r="EAN10" s="56"/>
      <c r="EAO10" s="57"/>
      <c r="EAP10" s="58"/>
      <c r="EAQ10" s="56"/>
      <c r="EAR10" s="57"/>
      <c r="EAS10" s="57"/>
      <c r="EAT10" s="57"/>
      <c r="EAU10" s="56"/>
      <c r="EAV10" s="57"/>
      <c r="EAW10" s="57"/>
      <c r="EAX10" s="56"/>
      <c r="EAY10" s="57"/>
      <c r="EAZ10" s="58"/>
      <c r="EBA10" s="56"/>
      <c r="EBB10" s="58"/>
      <c r="EBC10" s="57"/>
      <c r="EBD10" s="56"/>
      <c r="EBE10" s="57"/>
      <c r="EBF10" s="56"/>
      <c r="EBG10" s="56"/>
      <c r="EBH10" s="56"/>
      <c r="EBI10" s="57"/>
      <c r="EBJ10" s="387"/>
      <c r="EBK10" s="57"/>
      <c r="EBL10" s="387"/>
      <c r="EBM10" s="57"/>
      <c r="EBN10" s="387"/>
      <c r="EBO10" s="57"/>
      <c r="EBP10" s="57"/>
      <c r="EBQ10" s="57"/>
      <c r="EBR10" s="57"/>
      <c r="EBS10" s="57"/>
      <c r="EBT10" s="57"/>
      <c r="EBU10" s="57"/>
      <c r="EBV10" s="57"/>
      <c r="EBW10" s="57"/>
      <c r="EBX10" s="57"/>
      <c r="EBY10" s="57"/>
      <c r="EBZ10" s="57"/>
      <c r="ECA10" s="57"/>
      <c r="ECB10" s="57"/>
      <c r="ECC10" s="57"/>
      <c r="ECD10" s="57"/>
      <c r="ECE10" s="57"/>
      <c r="ECF10" s="57"/>
      <c r="ECG10" s="57"/>
      <c r="ECH10" s="57"/>
      <c r="ECI10" s="57"/>
      <c r="ECJ10" s="57"/>
      <c r="ECK10" s="57"/>
      <c r="ECL10" s="57"/>
      <c r="ECM10" s="57"/>
      <c r="ECN10" s="57"/>
      <c r="ECO10" s="57"/>
      <c r="ECP10" s="57"/>
      <c r="ECQ10" s="57"/>
      <c r="ECR10" s="57"/>
      <c r="ECS10" s="57"/>
      <c r="ECT10" s="58"/>
      <c r="ECU10" s="56"/>
      <c r="ECV10" s="57"/>
      <c r="ECW10" s="57"/>
      <c r="ECX10" s="57"/>
      <c r="ECY10" s="57"/>
      <c r="ECZ10" s="57"/>
      <c r="EDA10" s="56"/>
      <c r="EDB10" s="57"/>
      <c r="EDC10" s="57"/>
      <c r="EDD10" s="56"/>
      <c r="EDE10" s="57"/>
      <c r="EDF10" s="58"/>
      <c r="EDG10" s="56"/>
      <c r="EDH10" s="57"/>
      <c r="EDI10" s="57"/>
      <c r="EDJ10" s="57"/>
      <c r="EDK10" s="56"/>
      <c r="EDL10" s="57"/>
      <c r="EDM10" s="57"/>
      <c r="EDN10" s="56"/>
      <c r="EDO10" s="57"/>
      <c r="EDP10" s="58"/>
      <c r="EDQ10" s="56"/>
      <c r="EDR10" s="57"/>
      <c r="EDS10" s="57"/>
      <c r="EDT10" s="57"/>
      <c r="EDU10" s="56"/>
      <c r="EDV10" s="57"/>
      <c r="EDW10" s="57"/>
      <c r="EDX10" s="56"/>
      <c r="EDY10" s="57"/>
      <c r="EDZ10" s="58"/>
      <c r="EEA10" s="56"/>
      <c r="EEB10" s="57"/>
      <c r="EEC10" s="57"/>
      <c r="EED10" s="57"/>
      <c r="EEE10" s="56"/>
      <c r="EEF10" s="57"/>
      <c r="EEG10" s="57"/>
      <c r="EEH10" s="56"/>
      <c r="EEI10" s="57"/>
      <c r="EEJ10" s="58"/>
      <c r="EEK10" s="56"/>
      <c r="EEL10" s="58"/>
      <c r="EEM10" s="57"/>
      <c r="EEN10" s="56"/>
      <c r="EEO10" s="57"/>
      <c r="EEP10" s="56"/>
      <c r="EEQ10" s="56"/>
      <c r="EER10" s="56"/>
      <c r="EES10" s="57"/>
      <c r="EET10" s="387"/>
      <c r="EEU10" s="57"/>
      <c r="EEV10" s="387"/>
      <c r="EEW10" s="57"/>
      <c r="EEX10" s="387"/>
      <c r="EEY10" s="57"/>
      <c r="EEZ10" s="57"/>
      <c r="EFA10" s="57"/>
      <c r="EFB10" s="57"/>
      <c r="EFC10" s="57"/>
      <c r="EFD10" s="57"/>
      <c r="EFE10" s="57"/>
      <c r="EFF10" s="57"/>
      <c r="EFG10" s="57"/>
      <c r="EFH10" s="57"/>
      <c r="EFI10" s="57"/>
      <c r="EFJ10" s="57"/>
      <c r="EFK10" s="57"/>
      <c r="EFL10" s="57"/>
      <c r="EFM10" s="57"/>
      <c r="EFN10" s="57"/>
      <c r="EFO10" s="57"/>
      <c r="EFP10" s="57"/>
      <c r="EFQ10" s="57"/>
      <c r="EFR10" s="57"/>
      <c r="EFS10" s="57"/>
      <c r="EFT10" s="57"/>
      <c r="EFU10" s="57"/>
      <c r="EFV10" s="57"/>
      <c r="EFW10" s="57"/>
      <c r="EFX10" s="57"/>
      <c r="EFY10" s="57"/>
      <c r="EFZ10" s="57"/>
      <c r="EGA10" s="57"/>
      <c r="EGB10" s="57"/>
      <c r="EGC10" s="57"/>
      <c r="EGD10" s="58"/>
      <c r="EGE10" s="56"/>
      <c r="EGF10" s="57"/>
      <c r="EGG10" s="57"/>
      <c r="EGH10" s="57"/>
      <c r="EGI10" s="57"/>
      <c r="EGJ10" s="57"/>
      <c r="EGK10" s="56"/>
      <c r="EGL10" s="57"/>
      <c r="EGM10" s="57"/>
      <c r="EGN10" s="56"/>
      <c r="EGO10" s="57"/>
      <c r="EGP10" s="58"/>
      <c r="EGQ10" s="56"/>
      <c r="EGR10" s="57"/>
      <c r="EGS10" s="57"/>
      <c r="EGT10" s="57"/>
      <c r="EGU10" s="56"/>
      <c r="EGV10" s="57"/>
      <c r="EGW10" s="57"/>
      <c r="EGX10" s="56"/>
      <c r="EGY10" s="57"/>
      <c r="EGZ10" s="58"/>
      <c r="EHA10" s="56"/>
      <c r="EHB10" s="57"/>
      <c r="EHC10" s="57"/>
      <c r="EHD10" s="57"/>
      <c r="EHE10" s="56"/>
      <c r="EHF10" s="57"/>
      <c r="EHG10" s="57"/>
      <c r="EHH10" s="56"/>
      <c r="EHI10" s="57"/>
      <c r="EHJ10" s="58"/>
      <c r="EHK10" s="56"/>
      <c r="EHL10" s="57"/>
      <c r="EHM10" s="57"/>
      <c r="EHN10" s="57"/>
      <c r="EHO10" s="56"/>
      <c r="EHP10" s="57"/>
      <c r="EHQ10" s="57"/>
      <c r="EHR10" s="56"/>
      <c r="EHS10" s="57"/>
      <c r="EHT10" s="58"/>
      <c r="EHU10" s="56"/>
      <c r="EHV10" s="58"/>
      <c r="EHW10" s="57"/>
      <c r="EHX10" s="56"/>
      <c r="EHY10" s="57"/>
      <c r="EHZ10" s="56"/>
      <c r="EIA10" s="56"/>
      <c r="EIB10" s="56"/>
      <c r="EIC10" s="57"/>
      <c r="EID10" s="387"/>
      <c r="EIE10" s="57"/>
      <c r="EIF10" s="387"/>
      <c r="EIG10" s="57"/>
      <c r="EIH10" s="387"/>
      <c r="EII10" s="57"/>
      <c r="EIJ10" s="57"/>
      <c r="EIK10" s="57"/>
      <c r="EIL10" s="57"/>
      <c r="EIM10" s="57"/>
      <c r="EIN10" s="57"/>
      <c r="EIO10" s="57"/>
      <c r="EIP10" s="57"/>
      <c r="EIQ10" s="57"/>
      <c r="EIR10" s="57"/>
      <c r="EIS10" s="57"/>
      <c r="EIT10" s="57"/>
      <c r="EIU10" s="57"/>
      <c r="EIV10" s="57"/>
      <c r="EIW10" s="57"/>
      <c r="EIX10" s="57"/>
      <c r="EIY10" s="57"/>
      <c r="EIZ10" s="57"/>
      <c r="EJA10" s="57"/>
      <c r="EJB10" s="57"/>
      <c r="EJC10" s="57"/>
      <c r="EJD10" s="57"/>
      <c r="EJE10" s="57"/>
      <c r="EJF10" s="57"/>
      <c r="EJG10" s="57"/>
      <c r="EJH10" s="57"/>
      <c r="EJI10" s="57"/>
      <c r="EJJ10" s="57"/>
      <c r="EJK10" s="57"/>
      <c r="EJL10" s="57"/>
      <c r="EJM10" s="57"/>
      <c r="EJN10" s="58"/>
      <c r="EJO10" s="56"/>
      <c r="EJP10" s="57"/>
      <c r="EJQ10" s="57"/>
      <c r="EJR10" s="57"/>
      <c r="EJS10" s="57"/>
      <c r="EJT10" s="57"/>
      <c r="EJU10" s="56"/>
      <c r="EJV10" s="57"/>
      <c r="EJW10" s="57"/>
      <c r="EJX10" s="56"/>
      <c r="EJY10" s="57"/>
      <c r="EJZ10" s="58"/>
      <c r="EKA10" s="56"/>
      <c r="EKB10" s="57"/>
      <c r="EKC10" s="57"/>
      <c r="EKD10" s="57"/>
      <c r="EKE10" s="56"/>
      <c r="EKF10" s="57"/>
      <c r="EKG10" s="57"/>
      <c r="EKH10" s="56"/>
      <c r="EKI10" s="57"/>
      <c r="EKJ10" s="58"/>
      <c r="EKK10" s="56"/>
      <c r="EKL10" s="57"/>
      <c r="EKM10" s="57"/>
      <c r="EKN10" s="57"/>
      <c r="EKO10" s="56"/>
      <c r="EKP10" s="57"/>
      <c r="EKQ10" s="57"/>
      <c r="EKR10" s="56"/>
      <c r="EKS10" s="57"/>
      <c r="EKT10" s="58"/>
      <c r="EKU10" s="56"/>
      <c r="EKV10" s="57"/>
      <c r="EKW10" s="57"/>
      <c r="EKX10" s="57"/>
      <c r="EKY10" s="56"/>
      <c r="EKZ10" s="57"/>
      <c r="ELA10" s="57"/>
      <c r="ELB10" s="56"/>
      <c r="ELC10" s="57"/>
      <c r="ELD10" s="58"/>
      <c r="ELE10" s="56"/>
      <c r="ELF10" s="58"/>
      <c r="ELG10" s="57"/>
      <c r="ELH10" s="56"/>
      <c r="ELI10" s="57"/>
      <c r="ELJ10" s="56"/>
      <c r="ELK10" s="56"/>
      <c r="ELL10" s="56"/>
      <c r="ELM10" s="57"/>
      <c r="ELN10" s="387"/>
      <c r="ELO10" s="57"/>
      <c r="ELP10" s="387"/>
      <c r="ELQ10" s="57"/>
      <c r="ELR10" s="387"/>
      <c r="ELS10" s="57"/>
      <c r="ELT10" s="57"/>
      <c r="ELU10" s="57"/>
      <c r="ELV10" s="57"/>
      <c r="ELW10" s="57"/>
      <c r="ELX10" s="57"/>
      <c r="ELY10" s="57"/>
      <c r="ELZ10" s="57"/>
      <c r="EMA10" s="57"/>
      <c r="EMB10" s="57"/>
      <c r="EMC10" s="57"/>
      <c r="EMD10" s="57"/>
      <c r="EME10" s="57"/>
      <c r="EMF10" s="57"/>
      <c r="EMG10" s="57"/>
      <c r="EMH10" s="57"/>
      <c r="EMI10" s="57"/>
      <c r="EMJ10" s="57"/>
      <c r="EMK10" s="57"/>
      <c r="EML10" s="57"/>
      <c r="EMM10" s="57"/>
      <c r="EMN10" s="57"/>
      <c r="EMO10" s="57"/>
      <c r="EMP10" s="57"/>
      <c r="EMQ10" s="57"/>
      <c r="EMR10" s="57"/>
      <c r="EMS10" s="57"/>
      <c r="EMT10" s="57"/>
      <c r="EMU10" s="57"/>
      <c r="EMV10" s="57"/>
      <c r="EMW10" s="57"/>
      <c r="EMX10" s="58"/>
      <c r="EMY10" s="56"/>
      <c r="EMZ10" s="57"/>
      <c r="ENA10" s="57"/>
      <c r="ENB10" s="57"/>
      <c r="ENC10" s="57"/>
      <c r="END10" s="57"/>
      <c r="ENE10" s="56"/>
      <c r="ENF10" s="57"/>
      <c r="ENG10" s="57"/>
      <c r="ENH10" s="56"/>
      <c r="ENI10" s="57"/>
      <c r="ENJ10" s="58"/>
      <c r="ENK10" s="56"/>
      <c r="ENL10" s="57"/>
      <c r="ENM10" s="57"/>
      <c r="ENN10" s="57"/>
      <c r="ENO10" s="56"/>
      <c r="ENP10" s="57"/>
      <c r="ENQ10" s="57"/>
      <c r="ENR10" s="56"/>
      <c r="ENS10" s="57"/>
      <c r="ENT10" s="58"/>
      <c r="ENU10" s="56"/>
      <c r="ENV10" s="57"/>
      <c r="ENW10" s="57"/>
      <c r="ENX10" s="57"/>
      <c r="ENY10" s="56"/>
      <c r="ENZ10" s="57"/>
      <c r="EOA10" s="57"/>
      <c r="EOB10" s="56"/>
      <c r="EOC10" s="57"/>
      <c r="EOD10" s="58"/>
      <c r="EOE10" s="56"/>
      <c r="EOF10" s="57"/>
      <c r="EOG10" s="57"/>
      <c r="EOH10" s="57"/>
      <c r="EOI10" s="56"/>
      <c r="EOJ10" s="57"/>
      <c r="EOK10" s="57"/>
      <c r="EOL10" s="56"/>
      <c r="EOM10" s="57"/>
      <c r="EON10" s="58"/>
      <c r="EOO10" s="56" t="str">
        <f t="shared" si="75"/>
        <v xml:space="preserve"> </v>
      </c>
    </row>
    <row r="11" spans="1:3873" x14ac:dyDescent="0.3">
      <c r="A11" s="393" t="s">
        <v>126</v>
      </c>
      <c r="B11" s="30" t="s">
        <v>1977</v>
      </c>
      <c r="C11" s="29" t="s">
        <v>1381</v>
      </c>
      <c r="D11" s="28" t="str">
        <f t="shared" si="61"/>
        <v xml:space="preserve"> </v>
      </c>
      <c r="E11" s="29"/>
      <c r="F11" s="28"/>
      <c r="G11" s="31">
        <v>45363</v>
      </c>
      <c r="H11" s="31">
        <f>+G11+365</f>
        <v>45728</v>
      </c>
      <c r="I11" s="29" t="s">
        <v>1372</v>
      </c>
      <c r="J11" s="29" t="s">
        <v>1373</v>
      </c>
      <c r="K11" s="29" t="s">
        <v>1372</v>
      </c>
      <c r="L11" s="29" t="s">
        <v>1373</v>
      </c>
      <c r="M11" s="29" t="s">
        <v>1461</v>
      </c>
      <c r="N11" s="29" t="s">
        <v>1462</v>
      </c>
      <c r="O11" s="29" t="s">
        <v>1372</v>
      </c>
      <c r="P11" s="29" t="s">
        <v>1372</v>
      </c>
      <c r="Q11" s="29" t="s">
        <v>1372</v>
      </c>
      <c r="R11" s="29" t="s">
        <v>1372</v>
      </c>
      <c r="S11" s="29" t="s">
        <v>1372</v>
      </c>
      <c r="T11" s="29" t="s">
        <v>1372</v>
      </c>
      <c r="U11" s="29" t="s">
        <v>1372</v>
      </c>
      <c r="V11" s="29"/>
      <c r="W11" s="29" t="s">
        <v>1382</v>
      </c>
      <c r="X11" s="29"/>
      <c r="Y11" s="29"/>
      <c r="Z11" s="29" t="s">
        <v>1372</v>
      </c>
      <c r="AA11" s="29"/>
      <c r="AB11" s="29"/>
      <c r="AC11" s="29"/>
      <c r="AD11" s="29"/>
      <c r="AE11" s="29"/>
      <c r="AF11" s="29"/>
      <c r="AG11" s="29"/>
      <c r="AH11" s="29"/>
      <c r="AI11" s="29"/>
      <c r="AJ11" s="29"/>
      <c r="AK11" s="29"/>
      <c r="AL11" s="29"/>
      <c r="AM11" s="29"/>
      <c r="AN11" s="29"/>
      <c r="AO11" s="29"/>
      <c r="AP11" s="29"/>
      <c r="AQ11" s="29"/>
      <c r="AR11" s="29"/>
      <c r="AS11" s="29"/>
      <c r="AT11" s="30"/>
      <c r="AU11" s="28"/>
      <c r="AV11" s="29"/>
      <c r="AW11" s="29"/>
      <c r="AX11" s="29"/>
      <c r="AY11" s="29"/>
      <c r="AZ11" s="29"/>
      <c r="BA11" s="28"/>
      <c r="BB11" s="29"/>
      <c r="BC11" s="29"/>
      <c r="BD11" s="28"/>
      <c r="BE11" s="29"/>
      <c r="BF11" s="30"/>
      <c r="BG11" s="28"/>
      <c r="BH11" s="29"/>
      <c r="BI11" s="29"/>
      <c r="BJ11" s="29"/>
      <c r="BK11" s="28"/>
      <c r="BL11" s="29"/>
      <c r="BM11" s="29"/>
      <c r="BN11" s="28"/>
      <c r="BO11" s="29"/>
      <c r="BP11" s="30"/>
      <c r="BQ11" s="28"/>
      <c r="BR11" s="29"/>
      <c r="BS11" s="29"/>
      <c r="BT11" s="29"/>
      <c r="BU11" s="28"/>
      <c r="BV11" s="29"/>
      <c r="BW11" s="29"/>
      <c r="BX11" s="28"/>
      <c r="BY11" s="29"/>
      <c r="BZ11" s="30"/>
      <c r="CA11" s="28"/>
      <c r="CB11" s="29"/>
      <c r="CC11" s="29"/>
      <c r="CD11" s="29"/>
      <c r="CE11" s="28"/>
      <c r="CF11" s="29"/>
      <c r="CG11" s="29"/>
      <c r="CH11" s="28"/>
      <c r="CI11" s="29"/>
      <c r="CJ11" s="30"/>
      <c r="CK11" s="28"/>
      <c r="CL11" s="29"/>
      <c r="CM11" s="29"/>
      <c r="CN11" s="29"/>
      <c r="CO11" s="28"/>
      <c r="CP11" s="29"/>
      <c r="CQ11" s="29"/>
      <c r="CR11" s="28"/>
      <c r="CS11" s="29"/>
      <c r="CT11" s="30"/>
      <c r="CU11" s="28"/>
      <c r="CV11" s="29"/>
      <c r="CW11" s="29"/>
      <c r="CX11" s="29"/>
      <c r="CY11" s="28"/>
      <c r="CZ11" s="29"/>
      <c r="DA11" s="29"/>
      <c r="DB11" s="28"/>
      <c r="DC11" s="29"/>
      <c r="DD11" s="30"/>
      <c r="DE11" s="28"/>
      <c r="DF11" s="29"/>
      <c r="DG11" s="29"/>
      <c r="DH11" s="29"/>
      <c r="DI11" s="28"/>
      <c r="DJ11" s="29"/>
      <c r="DK11" s="29"/>
      <c r="DL11" s="28"/>
      <c r="DM11" s="29"/>
      <c r="DN11" s="30"/>
      <c r="DO11" s="28"/>
      <c r="DP11" s="29"/>
      <c r="DQ11" s="29"/>
      <c r="DR11" s="29"/>
      <c r="DS11" s="28"/>
      <c r="DT11" s="29"/>
      <c r="DU11" s="29"/>
      <c r="DV11" s="28"/>
      <c r="DW11" s="29"/>
      <c r="DX11" s="30"/>
      <c r="DY11" s="28"/>
      <c r="DZ11" s="29"/>
      <c r="EA11" s="29"/>
      <c r="EB11" s="29"/>
      <c r="EC11" s="28"/>
      <c r="ED11" s="29"/>
      <c r="EE11" s="28"/>
      <c r="EF11" s="28"/>
      <c r="EG11" s="29"/>
      <c r="EH11" s="30"/>
      <c r="EI11" s="28"/>
      <c r="EJ11" s="29"/>
      <c r="EK11" s="29"/>
      <c r="EL11" s="29"/>
      <c r="EM11" s="28"/>
      <c r="EN11" s="29"/>
      <c r="EO11" s="33"/>
      <c r="EP11" s="28"/>
      <c r="EQ11" s="29"/>
      <c r="ER11" s="30"/>
      <c r="ES11" s="28"/>
      <c r="ET11" s="29"/>
      <c r="EU11" s="29"/>
      <c r="EV11" s="29"/>
      <c r="EW11" s="28"/>
      <c r="EX11" s="29"/>
      <c r="EY11" s="29"/>
      <c r="EZ11" s="28"/>
      <c r="FA11" s="29"/>
      <c r="FB11" s="30"/>
      <c r="FC11" s="28"/>
      <c r="FD11" s="29"/>
      <c r="FE11" s="29"/>
      <c r="FF11" s="29"/>
      <c r="FG11" s="28"/>
      <c r="FH11" s="29"/>
      <c r="FI11" s="29"/>
      <c r="FJ11" s="28"/>
      <c r="FK11" s="29"/>
      <c r="FL11" s="30"/>
      <c r="FM11" s="28"/>
      <c r="FN11" s="29"/>
      <c r="FO11" s="29"/>
      <c r="FP11" s="29"/>
      <c r="FQ11" s="28"/>
      <c r="FR11" s="29"/>
      <c r="FS11" s="29"/>
      <c r="FT11" s="28"/>
      <c r="FU11" s="29"/>
      <c r="FV11" s="30"/>
      <c r="FW11" s="28"/>
      <c r="FX11" s="29"/>
      <c r="FY11" s="29"/>
      <c r="FZ11" s="29"/>
      <c r="GA11" s="28"/>
      <c r="GB11" s="29"/>
      <c r="GC11" s="29"/>
      <c r="GD11" s="28"/>
      <c r="GE11" s="29"/>
      <c r="GF11" s="30"/>
      <c r="GG11" s="28"/>
      <c r="GH11" s="29"/>
      <c r="GI11" s="29"/>
      <c r="GJ11" s="29"/>
      <c r="GK11" s="28"/>
      <c r="GL11" s="29"/>
      <c r="GM11" s="29"/>
      <c r="GN11" s="28"/>
      <c r="GO11" s="29"/>
      <c r="GP11" s="30"/>
      <c r="GQ11" s="28"/>
      <c r="GR11" s="29"/>
      <c r="GS11" s="29"/>
      <c r="GT11" s="29"/>
      <c r="GU11" s="28"/>
      <c r="GV11" s="29"/>
      <c r="GW11" s="29"/>
      <c r="GX11" s="28"/>
      <c r="GY11" s="29"/>
      <c r="GZ11" s="30"/>
      <c r="HA11" s="28"/>
      <c r="HB11" s="29"/>
      <c r="HC11" s="29"/>
      <c r="HD11" s="29"/>
      <c r="HE11" s="28"/>
      <c r="HF11" s="29"/>
      <c r="HG11" s="29"/>
      <c r="HH11" s="28"/>
      <c r="HI11" s="29"/>
      <c r="HJ11" s="30"/>
      <c r="HK11" s="28"/>
      <c r="HL11" s="29"/>
      <c r="HM11" s="29"/>
      <c r="HN11" s="29"/>
      <c r="HO11" s="28"/>
      <c r="HP11" s="29"/>
      <c r="HQ11" s="29"/>
      <c r="HR11" s="28"/>
      <c r="HS11" s="29"/>
      <c r="HT11" s="30"/>
      <c r="HU11" s="28"/>
      <c r="HV11" s="29"/>
      <c r="HW11" s="29"/>
      <c r="HX11" s="29"/>
      <c r="HY11" s="28"/>
      <c r="HZ11" s="29"/>
      <c r="IA11" s="29"/>
      <c r="IB11" s="28"/>
      <c r="IC11" s="29"/>
      <c r="ID11" s="30"/>
      <c r="IE11" s="28"/>
      <c r="IF11" s="29"/>
      <c r="IG11" s="29"/>
      <c r="IH11" s="29"/>
      <c r="II11" s="28"/>
      <c r="IJ11" s="29"/>
      <c r="IK11" s="29"/>
      <c r="IL11" s="28"/>
      <c r="IM11" s="29"/>
      <c r="IN11" s="30"/>
      <c r="IO11" s="28"/>
      <c r="IP11" s="29"/>
      <c r="IQ11" s="29"/>
      <c r="IR11" s="29"/>
      <c r="IS11" s="28"/>
      <c r="IT11" s="29"/>
      <c r="IU11" s="29"/>
      <c r="IV11" s="28"/>
      <c r="IW11" s="29"/>
      <c r="IX11" s="30"/>
      <c r="IY11" s="28"/>
      <c r="IZ11" s="29"/>
      <c r="JA11" s="29"/>
      <c r="JB11" s="29"/>
      <c r="JC11" s="28"/>
      <c r="JD11" s="29"/>
      <c r="JE11" s="29"/>
      <c r="JF11" s="28"/>
      <c r="JG11" s="29"/>
      <c r="JH11" s="30"/>
      <c r="JI11" s="28"/>
      <c r="JJ11" s="29"/>
      <c r="JK11" s="29"/>
      <c r="JL11" s="29"/>
      <c r="JM11" s="28"/>
      <c r="JN11" s="29"/>
      <c r="JO11" s="29"/>
      <c r="JP11" s="28"/>
      <c r="JQ11" s="29"/>
      <c r="JR11" s="30"/>
      <c r="JS11" s="28"/>
      <c r="JT11" s="29"/>
      <c r="JU11" s="29"/>
      <c r="JV11" s="29"/>
      <c r="JW11" s="28"/>
      <c r="JX11" s="29"/>
      <c r="JY11" s="29"/>
      <c r="JZ11" s="28"/>
      <c r="KA11" s="29"/>
      <c r="KB11" s="30"/>
      <c r="KC11" s="28"/>
      <c r="KD11" s="29"/>
      <c r="KE11" s="29"/>
      <c r="KF11" s="29"/>
      <c r="KG11" s="28"/>
      <c r="KH11" s="29"/>
      <c r="KI11" s="29"/>
      <c r="KJ11" s="28"/>
      <c r="KK11" s="29"/>
      <c r="KL11" s="30"/>
      <c r="KM11" s="28"/>
      <c r="KN11" s="29"/>
      <c r="KO11" s="29"/>
      <c r="KP11" s="29"/>
      <c r="KQ11" s="28"/>
      <c r="KR11" s="29"/>
      <c r="KS11" s="29"/>
      <c r="KT11" s="28"/>
      <c r="KU11" s="29"/>
      <c r="KV11" s="30"/>
      <c r="KW11" s="28"/>
      <c r="KX11" s="29"/>
      <c r="KY11" s="29"/>
      <c r="KZ11" s="29"/>
      <c r="LA11" s="28"/>
      <c r="LB11" s="29"/>
      <c r="LC11" s="29"/>
      <c r="LD11" s="28"/>
      <c r="LE11" s="29"/>
      <c r="LF11" s="30"/>
      <c r="LG11" s="28"/>
      <c r="LH11" s="29"/>
      <c r="LI11" s="29"/>
      <c r="LJ11" s="29"/>
      <c r="LK11" s="28"/>
      <c r="LL11" s="29"/>
      <c r="LM11" s="29"/>
      <c r="LN11" s="28"/>
      <c r="LO11" s="29"/>
      <c r="LP11" s="30"/>
      <c r="LQ11" s="28"/>
      <c r="LR11" s="29"/>
      <c r="LS11" s="29"/>
      <c r="LT11" s="29"/>
      <c r="LU11" s="28"/>
      <c r="LV11" s="29"/>
      <c r="LW11" s="29"/>
      <c r="LX11" s="28"/>
      <c r="LY11" s="29"/>
      <c r="LZ11" s="30"/>
      <c r="MA11" s="28"/>
      <c r="MB11" s="29"/>
      <c r="MC11" s="29"/>
      <c r="MD11" s="29"/>
      <c r="ME11" s="28"/>
      <c r="MF11" s="29"/>
      <c r="MG11" s="29"/>
      <c r="MH11" s="28"/>
      <c r="MI11" s="29"/>
      <c r="MJ11" s="30"/>
      <c r="MK11" s="28"/>
      <c r="ML11" s="29"/>
      <c r="MM11" s="29"/>
      <c r="MN11" s="29"/>
      <c r="MO11" s="28"/>
      <c r="MP11" s="29"/>
      <c r="MQ11" s="29"/>
      <c r="MR11" s="28"/>
      <c r="MS11" s="29"/>
      <c r="MT11" s="30"/>
      <c r="MU11" s="28"/>
      <c r="MV11" s="29"/>
      <c r="MW11" s="29"/>
      <c r="MX11" s="29"/>
      <c r="MY11" s="28"/>
      <c r="MZ11" s="29"/>
      <c r="NA11" s="29"/>
      <c r="NB11" s="28"/>
      <c r="NC11" s="29"/>
      <c r="ND11" s="30"/>
      <c r="NE11" s="28"/>
      <c r="NF11" s="29"/>
      <c r="NG11" s="29"/>
      <c r="NH11" s="29"/>
      <c r="NI11" s="28"/>
      <c r="NJ11" s="29"/>
      <c r="NK11" s="29"/>
      <c r="NL11" s="28"/>
      <c r="NM11" s="29"/>
      <c r="NN11" s="30"/>
      <c r="NO11" s="28"/>
      <c r="NP11" s="29"/>
      <c r="NQ11" s="29"/>
      <c r="NR11" s="29"/>
      <c r="NS11" s="28"/>
      <c r="NT11" s="29"/>
      <c r="NU11" s="29"/>
      <c r="NV11" s="28"/>
      <c r="NW11" s="29"/>
      <c r="NX11" s="30"/>
      <c r="NY11" s="28"/>
      <c r="NZ11" s="29"/>
      <c r="OA11" s="29"/>
      <c r="OB11" s="29"/>
      <c r="OC11" s="28"/>
      <c r="OD11" s="29"/>
      <c r="OE11" s="29"/>
      <c r="OF11" s="30"/>
      <c r="OG11" s="30"/>
      <c r="OH11" s="30"/>
      <c r="OI11" s="28"/>
      <c r="OJ11" s="30"/>
      <c r="OK11" s="30"/>
      <c r="OL11" s="30"/>
      <c r="OM11" s="30"/>
      <c r="ON11" s="30"/>
      <c r="OO11" s="30"/>
      <c r="OP11" s="28"/>
      <c r="OQ11" s="29"/>
      <c r="OR11" s="30"/>
      <c r="OS11" s="28"/>
      <c r="OT11" s="29"/>
      <c r="OU11" s="29"/>
      <c r="OV11" s="29"/>
      <c r="OW11" s="28"/>
      <c r="OX11" s="29"/>
      <c r="OY11" s="29"/>
      <c r="OZ11" s="28"/>
      <c r="PA11" s="29"/>
      <c r="PB11" s="30"/>
      <c r="PC11" s="28"/>
      <c r="PD11" s="29"/>
      <c r="PE11" s="29"/>
      <c r="PF11" s="29"/>
      <c r="PG11" s="28"/>
      <c r="PH11" s="29"/>
      <c r="PI11" s="29"/>
      <c r="PJ11" s="28"/>
      <c r="PK11" s="29"/>
      <c r="PL11" s="30"/>
      <c r="PM11" s="28"/>
      <c r="PN11" s="29"/>
      <c r="PO11" s="29"/>
      <c r="PP11" s="29"/>
      <c r="PQ11" s="28"/>
      <c r="PR11" s="29"/>
      <c r="PS11" s="29"/>
      <c r="PT11" s="28"/>
      <c r="PU11" s="29"/>
      <c r="PV11" s="30"/>
      <c r="PW11" s="28"/>
      <c r="PX11" s="29"/>
      <c r="PY11" s="29"/>
      <c r="PZ11" s="29"/>
      <c r="QA11" s="28"/>
      <c r="QB11" s="29"/>
      <c r="QC11" s="29"/>
      <c r="QD11" s="28"/>
      <c r="QE11" s="29"/>
      <c r="QF11" s="30"/>
      <c r="QG11" s="28"/>
      <c r="QH11" s="29"/>
      <c r="QI11" s="29"/>
      <c r="QJ11" s="29"/>
      <c r="QK11" s="28"/>
      <c r="QL11" s="29"/>
      <c r="QM11" s="29"/>
      <c r="QN11" s="28"/>
      <c r="QO11" s="29"/>
      <c r="QP11" s="30"/>
      <c r="QQ11" s="28"/>
      <c r="QR11" s="29"/>
      <c r="QS11" s="29"/>
      <c r="QT11" s="29"/>
      <c r="QU11" s="28"/>
      <c r="QV11" s="29"/>
      <c r="QW11" s="29"/>
      <c r="QX11" s="28"/>
      <c r="QY11" s="29"/>
      <c r="QZ11" s="30"/>
      <c r="RA11" s="28"/>
      <c r="RB11" s="29"/>
      <c r="RC11" s="29"/>
      <c r="RD11" s="29"/>
      <c r="RE11" s="28"/>
      <c r="RF11" s="29"/>
      <c r="RG11" s="29"/>
      <c r="RH11" s="28"/>
      <c r="RI11" s="29"/>
      <c r="RJ11" s="30"/>
      <c r="RK11" s="28"/>
      <c r="RL11" s="29"/>
      <c r="RM11" s="29"/>
      <c r="RN11" s="29"/>
      <c r="RO11" s="28"/>
      <c r="RP11" s="29"/>
      <c r="RQ11" s="29"/>
      <c r="RR11" s="28"/>
      <c r="RS11" s="29"/>
      <c r="RT11" s="30"/>
      <c r="RU11" s="28"/>
      <c r="RV11" s="29"/>
      <c r="RW11" s="29"/>
      <c r="RX11" s="29"/>
      <c r="RY11" s="28"/>
      <c r="RZ11" s="29"/>
      <c r="SA11" s="29"/>
      <c r="SB11" s="28"/>
      <c r="SC11" s="29"/>
      <c r="SD11" s="30"/>
      <c r="SE11" s="28"/>
      <c r="SF11" s="29"/>
      <c r="SG11" s="29"/>
      <c r="SH11" s="29"/>
      <c r="SI11" s="28"/>
      <c r="SJ11" s="29"/>
      <c r="SK11" s="29"/>
      <c r="SL11" s="28"/>
      <c r="SM11" s="29"/>
      <c r="SN11" s="30"/>
      <c r="SO11" s="28"/>
      <c r="SP11" s="29"/>
      <c r="SQ11" s="29"/>
      <c r="SR11" s="29"/>
      <c r="SS11" s="28"/>
      <c r="ST11" s="29"/>
      <c r="SU11" s="29"/>
      <c r="SV11" s="28"/>
      <c r="SW11" s="29"/>
      <c r="SX11" s="30"/>
      <c r="SY11" s="28"/>
      <c r="SZ11" s="29"/>
      <c r="TA11" s="29"/>
      <c r="TB11" s="29"/>
      <c r="TC11" s="28"/>
      <c r="TD11" s="29"/>
      <c r="TE11" s="29"/>
      <c r="TF11" s="28"/>
      <c r="TG11" s="29"/>
      <c r="TH11" s="30"/>
      <c r="TI11" s="28"/>
      <c r="TJ11" s="29"/>
      <c r="TK11" s="29"/>
      <c r="TL11" s="29"/>
      <c r="TM11" s="28"/>
      <c r="TN11" s="29"/>
      <c r="TO11" s="29"/>
      <c r="TP11" s="28"/>
      <c r="TQ11" s="29"/>
      <c r="TR11" s="30"/>
      <c r="TS11" s="28"/>
      <c r="TT11" s="29"/>
      <c r="TU11" s="29"/>
      <c r="TV11" s="29"/>
      <c r="TW11" s="28"/>
      <c r="TX11" s="29"/>
      <c r="TY11" s="29"/>
      <c r="TZ11" s="28"/>
      <c r="UA11" s="29"/>
      <c r="UB11" s="30"/>
      <c r="UC11" s="28"/>
      <c r="UD11" s="29"/>
      <c r="UE11" s="29"/>
      <c r="UF11" s="29"/>
      <c r="UG11" s="28"/>
      <c r="UH11" s="29"/>
      <c r="UI11" s="29"/>
      <c r="UJ11" s="28"/>
      <c r="UK11" s="29"/>
      <c r="UL11" s="30"/>
      <c r="UM11" s="28"/>
      <c r="UN11" s="29"/>
      <c r="UO11" s="29"/>
      <c r="UP11" s="29"/>
      <c r="UQ11" s="28"/>
      <c r="UR11" s="29"/>
      <c r="US11" s="29"/>
      <c r="UT11" s="28"/>
      <c r="UU11" s="29"/>
      <c r="UV11" s="30"/>
      <c r="UW11" s="28"/>
      <c r="UX11" s="29"/>
      <c r="UY11" s="29"/>
      <c r="UZ11" s="29"/>
      <c r="VA11" s="28"/>
      <c r="VB11" s="29"/>
      <c r="VC11" s="29"/>
      <c r="VD11" s="28"/>
      <c r="VE11" s="29"/>
      <c r="VF11" s="30"/>
      <c r="VG11" s="28"/>
      <c r="VH11" s="29"/>
      <c r="VI11" s="29"/>
      <c r="VJ11" s="29"/>
      <c r="VK11" s="28"/>
      <c r="VL11" s="29"/>
      <c r="VM11" s="29"/>
      <c r="VN11" s="28"/>
      <c r="VO11" s="29"/>
      <c r="VP11" s="30"/>
      <c r="VQ11" s="28"/>
      <c r="VR11" s="29"/>
      <c r="VS11" s="29"/>
      <c r="VT11" s="29"/>
      <c r="VU11" s="28"/>
      <c r="VV11" s="29"/>
      <c r="VW11" s="29"/>
      <c r="VX11" s="28"/>
      <c r="VY11" s="29"/>
      <c r="VZ11" s="30"/>
      <c r="WA11" s="28"/>
      <c r="WB11" s="29"/>
      <c r="WC11" s="29"/>
      <c r="WD11" s="29"/>
      <c r="WE11" s="28"/>
      <c r="WF11" s="29"/>
      <c r="WG11" s="29"/>
      <c r="WH11" s="28"/>
      <c r="WI11" s="29"/>
      <c r="WJ11" s="30"/>
      <c r="WK11" s="28"/>
      <c r="WL11" s="29"/>
      <c r="WM11" s="29"/>
      <c r="WN11" s="29"/>
      <c r="WO11" s="28"/>
      <c r="WP11" s="29"/>
      <c r="WQ11" s="29"/>
      <c r="WR11" s="28"/>
      <c r="WS11" s="29"/>
      <c r="WT11" s="30"/>
      <c r="WU11" s="28"/>
      <c r="WV11" s="29"/>
      <c r="WW11" s="29"/>
      <c r="WX11" s="29"/>
      <c r="WY11" s="28"/>
      <c r="WZ11" s="29"/>
      <c r="XA11" s="29"/>
      <c r="XB11" s="28"/>
      <c r="XC11" s="29"/>
      <c r="XD11" s="30"/>
      <c r="XE11" s="28"/>
      <c r="XF11" s="29"/>
      <c r="XG11" s="29"/>
      <c r="XH11" s="29"/>
      <c r="XI11" s="28"/>
      <c r="XJ11" s="29"/>
      <c r="XK11" s="29"/>
      <c r="XL11" s="28"/>
      <c r="XM11" s="29"/>
      <c r="XN11" s="30"/>
      <c r="XO11" s="28"/>
      <c r="XP11" s="29"/>
      <c r="XQ11" s="29"/>
      <c r="XR11" s="29"/>
      <c r="XS11" s="28"/>
      <c r="XT11" s="29"/>
      <c r="XU11" s="29"/>
      <c r="XV11" s="28"/>
      <c r="XW11" s="29"/>
      <c r="XX11" s="30"/>
      <c r="XY11" s="28"/>
      <c r="XZ11" s="29"/>
      <c r="YA11" s="29"/>
      <c r="YB11" s="29"/>
      <c r="YC11" s="28"/>
      <c r="YD11" s="29"/>
      <c r="YE11" s="29"/>
      <c r="YF11" s="28"/>
      <c r="YG11" s="29"/>
      <c r="YH11" s="30"/>
      <c r="YI11" s="28"/>
      <c r="YJ11" s="29"/>
      <c r="YK11" s="29"/>
      <c r="YL11" s="29"/>
      <c r="YM11" s="28"/>
      <c r="YN11" s="29"/>
      <c r="YO11" s="29"/>
      <c r="YP11" s="28"/>
      <c r="YQ11" s="29"/>
      <c r="YR11" s="30"/>
      <c r="YS11" s="28"/>
      <c r="YT11" s="29"/>
      <c r="YU11" s="29"/>
      <c r="YV11" s="29"/>
      <c r="YW11" s="28"/>
      <c r="YX11" s="29"/>
      <c r="YY11" s="29"/>
      <c r="YZ11" s="28"/>
      <c r="ZA11" s="29"/>
      <c r="ZB11" s="30"/>
      <c r="ZC11" s="28"/>
      <c r="ZD11" s="29"/>
      <c r="ZE11" s="29"/>
      <c r="ZF11" s="29"/>
      <c r="ZG11" s="28"/>
      <c r="ZH11" s="29"/>
      <c r="ZI11" s="29"/>
      <c r="ZJ11" s="28"/>
      <c r="ZK11" s="29"/>
      <c r="ZL11" s="30"/>
      <c r="ZM11" s="28"/>
      <c r="ZN11" s="29"/>
      <c r="ZO11" s="29"/>
      <c r="ZP11" s="29"/>
      <c r="ZQ11" s="28"/>
      <c r="ZR11" s="29"/>
      <c r="ZS11" s="29"/>
      <c r="ZT11" s="28"/>
      <c r="ZU11" s="29"/>
      <c r="ZV11" s="30"/>
      <c r="ZW11" s="28"/>
      <c r="ZX11" s="29"/>
      <c r="ZY11" s="29"/>
      <c r="ZZ11" s="29"/>
      <c r="AAA11" s="28"/>
      <c r="AAB11" s="29"/>
      <c r="AAC11" s="29"/>
      <c r="AAD11" s="28"/>
      <c r="AAE11" s="29"/>
      <c r="AAF11" s="30"/>
      <c r="AAG11" s="28"/>
      <c r="AAH11" s="29"/>
      <c r="AAI11" s="29"/>
      <c r="AAJ11" s="29"/>
      <c r="AAK11" s="28"/>
      <c r="AAL11" s="29"/>
      <c r="AAM11" s="29"/>
      <c r="AAN11" s="28"/>
      <c r="AAO11" s="29"/>
      <c r="AAP11" s="30"/>
      <c r="AAQ11" s="28"/>
      <c r="AAR11" s="29"/>
      <c r="AAS11" s="29"/>
      <c r="AAT11" s="29"/>
      <c r="AAU11" s="28"/>
      <c r="AAV11" s="29"/>
      <c r="AAW11" s="29"/>
      <c r="AAX11" s="30"/>
      <c r="AAY11" s="30"/>
      <c r="AAZ11" s="30"/>
      <c r="ABA11" s="28"/>
      <c r="ABB11" s="30"/>
      <c r="ABC11" s="30"/>
      <c r="ABD11" s="30"/>
      <c r="ABE11" s="30"/>
      <c r="ABF11" s="30"/>
      <c r="ABG11" s="29"/>
      <c r="ABH11" s="28"/>
      <c r="ABI11" s="29"/>
      <c r="ABJ11" s="30"/>
      <c r="ABK11" s="28"/>
      <c r="ABL11" s="29"/>
      <c r="ABM11" s="29"/>
      <c r="ABN11" s="29"/>
      <c r="ABO11" s="28"/>
      <c r="ABP11" s="29"/>
      <c r="ABQ11" s="29"/>
      <c r="ABR11" s="28"/>
      <c r="ABS11" s="29"/>
      <c r="ABT11" s="30"/>
      <c r="ABU11" s="28"/>
      <c r="ABV11" s="29"/>
      <c r="ABW11" s="29"/>
      <c r="ABX11" s="29"/>
      <c r="ABY11" s="28"/>
      <c r="ABZ11" s="29"/>
      <c r="ACA11" s="29"/>
      <c r="ACB11" s="28"/>
      <c r="ACC11" s="29"/>
      <c r="ACD11" s="30"/>
      <c r="ACE11" s="28"/>
      <c r="ACF11" s="29"/>
      <c r="ACG11" s="29"/>
      <c r="ACH11" s="29"/>
      <c r="ACI11" s="28"/>
      <c r="ACJ11" s="29"/>
      <c r="ACK11" s="29"/>
      <c r="ACL11" s="28"/>
      <c r="ACM11" s="29"/>
      <c r="ACN11" s="30"/>
      <c r="ACO11" s="28"/>
      <c r="ACP11" s="29"/>
      <c r="ACQ11" s="29"/>
      <c r="ACR11" s="29"/>
      <c r="ACS11" s="28"/>
      <c r="ACT11" s="29"/>
      <c r="ACU11" s="29"/>
      <c r="ACV11" s="28"/>
      <c r="ACW11" s="29"/>
      <c r="ACX11" s="30"/>
      <c r="ACY11" s="28"/>
      <c r="ACZ11" s="29"/>
      <c r="ADA11" s="29"/>
      <c r="ADB11" s="29"/>
      <c r="ADC11" s="28"/>
      <c r="ADD11" s="29"/>
      <c r="ADE11" s="29"/>
      <c r="ADF11" s="28"/>
      <c r="ADG11" s="29"/>
      <c r="ADH11" s="30"/>
      <c r="ADI11" s="28"/>
      <c r="ADJ11" s="29"/>
      <c r="ADK11" s="29"/>
      <c r="ADL11" s="29"/>
      <c r="ADM11" s="28"/>
      <c r="ADN11" s="29"/>
      <c r="ADO11" s="29"/>
      <c r="ADP11" s="28"/>
      <c r="ADQ11" s="29"/>
      <c r="ADR11" s="30"/>
      <c r="ADS11" s="28"/>
      <c r="ADT11" s="29"/>
      <c r="ADU11" s="29"/>
      <c r="ADV11" s="29"/>
      <c r="ADW11" s="28"/>
      <c r="ADX11" s="29"/>
      <c r="ADY11" s="29"/>
      <c r="ADZ11" s="28"/>
      <c r="AEA11" s="29"/>
      <c r="AEB11" s="30"/>
      <c r="AEC11" s="28"/>
      <c r="AED11" s="29"/>
      <c r="AEE11" s="29"/>
      <c r="AEF11" s="29"/>
      <c r="AEG11" s="28"/>
      <c r="AEH11" s="29"/>
      <c r="AEI11" s="29"/>
      <c r="AEJ11" s="28"/>
      <c r="AEK11" s="29"/>
      <c r="AEL11" s="30"/>
      <c r="AEM11" s="28"/>
      <c r="AEN11" s="29"/>
      <c r="AEO11" s="29"/>
      <c r="AEP11" s="29"/>
      <c r="AEQ11" s="28"/>
      <c r="AER11" s="29"/>
      <c r="AES11" s="29"/>
      <c r="AET11" s="28"/>
      <c r="AEU11" s="29"/>
      <c r="AEV11" s="30"/>
      <c r="AEW11" s="28"/>
      <c r="AEX11" s="29"/>
      <c r="AEY11" s="29"/>
      <c r="AEZ11" s="29"/>
      <c r="AFA11" s="28"/>
      <c r="AFB11" s="29"/>
      <c r="AFC11" s="29"/>
      <c r="AFD11" s="28"/>
      <c r="AFE11" s="29"/>
      <c r="AFF11" s="30"/>
      <c r="AFG11" s="28"/>
      <c r="AFH11" s="29"/>
      <c r="AFI11" s="29"/>
      <c r="AFJ11" s="29"/>
      <c r="AFK11" s="28"/>
      <c r="AFL11" s="29"/>
      <c r="AFM11" s="29"/>
      <c r="AFN11" s="28"/>
      <c r="AFO11" s="29"/>
      <c r="AFP11" s="30"/>
      <c r="AFQ11" s="28"/>
      <c r="AFR11" s="29"/>
      <c r="AFS11" s="29"/>
      <c r="AFT11" s="29"/>
      <c r="AFU11" s="28"/>
      <c r="AFV11" s="29"/>
      <c r="AFW11" s="29"/>
      <c r="AFX11" s="28"/>
      <c r="AFY11" s="29"/>
      <c r="AFZ11" s="30"/>
      <c r="AGA11" s="28"/>
      <c r="AGB11" s="29"/>
      <c r="AGC11" s="29"/>
      <c r="AGD11" s="29"/>
      <c r="AGE11" s="28"/>
      <c r="AGF11" s="29"/>
      <c r="AGG11" s="29"/>
      <c r="AGH11" s="28"/>
      <c r="AGI11" s="29"/>
      <c r="AGJ11" s="30"/>
      <c r="AGK11" s="28"/>
      <c r="AGL11" s="29"/>
      <c r="AGM11" s="29"/>
      <c r="AGN11" s="29"/>
      <c r="AGO11" s="28"/>
      <c r="AGP11" s="29"/>
      <c r="AGQ11" s="29"/>
      <c r="AGR11" s="28"/>
      <c r="AGS11" s="29"/>
      <c r="AGT11" s="30"/>
      <c r="AGU11" s="28"/>
      <c r="AGV11" s="29"/>
      <c r="AGW11" s="29"/>
      <c r="AGX11" s="29"/>
      <c r="AGY11" s="28"/>
      <c r="AGZ11" s="29"/>
      <c r="AHA11" s="29"/>
      <c r="AHB11" s="28"/>
      <c r="AHC11" s="29"/>
      <c r="AHD11" s="30"/>
      <c r="AHE11" s="28"/>
      <c r="AHF11" s="29"/>
      <c r="AHG11" s="29"/>
      <c r="AHH11" s="29"/>
      <c r="AHI11" s="28"/>
      <c r="AHJ11" s="29"/>
      <c r="AHK11" s="29"/>
      <c r="AHL11" s="28"/>
      <c r="AHM11" s="29"/>
      <c r="AHN11" s="30"/>
      <c r="AHO11" s="28"/>
      <c r="AHP11" s="29"/>
      <c r="AHQ11" s="29"/>
      <c r="AHR11" s="29"/>
      <c r="AHS11" s="28"/>
      <c r="AHT11" s="29"/>
      <c r="AHU11" s="29"/>
      <c r="AHV11" s="28"/>
      <c r="AHW11" s="29"/>
      <c r="AHX11" s="30"/>
      <c r="AHY11" s="28"/>
      <c r="AHZ11" s="29"/>
      <c r="AIA11" s="29"/>
      <c r="AIB11" s="29"/>
      <c r="AIC11" s="28"/>
      <c r="AID11" s="29"/>
      <c r="AIE11" s="29"/>
      <c r="AIF11" s="28"/>
      <c r="AIG11" s="29"/>
      <c r="AIH11" s="30"/>
      <c r="AII11" s="28"/>
      <c r="AIJ11" s="29"/>
      <c r="AIK11" s="29"/>
      <c r="AIL11" s="29"/>
      <c r="AIM11" s="28"/>
      <c r="AIN11" s="29"/>
      <c r="AIO11" s="29"/>
      <c r="AIP11" s="28"/>
      <c r="AIQ11" s="29"/>
      <c r="AIR11" s="30"/>
      <c r="AIS11" s="28"/>
      <c r="AIT11" s="29"/>
      <c r="AIU11" s="29"/>
      <c r="AIV11" s="29"/>
      <c r="AIW11" s="28"/>
      <c r="AIX11" s="29"/>
      <c r="AIY11" s="29"/>
      <c r="AIZ11" s="28"/>
      <c r="AJA11" s="29"/>
      <c r="AJB11" s="30"/>
      <c r="AJC11" s="28"/>
      <c r="AJD11" s="29"/>
      <c r="AJE11" s="29"/>
      <c r="AJF11" s="29"/>
      <c r="AJG11" s="28"/>
      <c r="AJH11" s="29"/>
      <c r="AJI11" s="29"/>
      <c r="AJJ11" s="28"/>
      <c r="AJK11" s="29"/>
      <c r="AJL11" s="30"/>
      <c r="AJM11" s="28"/>
      <c r="AJN11" s="29"/>
      <c r="AJO11" s="29"/>
      <c r="AJP11" s="29"/>
      <c r="AJQ11" s="28"/>
      <c r="AJR11" s="29"/>
      <c r="AJS11" s="29"/>
      <c r="AJT11" s="28"/>
      <c r="AJU11" s="29"/>
      <c r="AJV11" s="30"/>
      <c r="AJW11" s="28"/>
      <c r="AJX11" s="29"/>
      <c r="AJY11" s="29"/>
      <c r="AJZ11" s="29"/>
      <c r="AKA11" s="28"/>
      <c r="AKB11" s="29"/>
      <c r="AKC11" s="29"/>
      <c r="AKD11" s="28"/>
      <c r="AKE11" s="29"/>
      <c r="AKF11" s="30"/>
      <c r="AKG11" s="28"/>
      <c r="AKH11" s="29"/>
      <c r="AKI11" s="29"/>
      <c r="AKJ11" s="29"/>
      <c r="AKK11" s="28"/>
      <c r="AKL11" s="29"/>
      <c r="AKM11" s="29"/>
      <c r="AKN11" s="28"/>
      <c r="AKO11" s="29"/>
      <c r="AKP11" s="30"/>
      <c r="AKQ11" s="28"/>
      <c r="AKR11" s="29"/>
      <c r="AKS11" s="29"/>
      <c r="AKT11" s="29"/>
      <c r="AKU11" s="28"/>
      <c r="AKV11" s="29"/>
      <c r="AKW11" s="29"/>
      <c r="AKX11" s="28"/>
      <c r="AKY11" s="29"/>
      <c r="AKZ11" s="30"/>
      <c r="ALA11" s="28"/>
      <c r="ALB11" s="29"/>
      <c r="ALC11" s="29"/>
      <c r="ALD11" s="29"/>
      <c r="ALE11" s="28"/>
      <c r="ALF11" s="29"/>
      <c r="ALG11" s="29"/>
      <c r="ALH11" s="29"/>
      <c r="ALI11" s="29"/>
      <c r="ALJ11" s="29"/>
      <c r="ALK11" s="28"/>
      <c r="ALL11" s="29"/>
      <c r="ALM11" s="29"/>
      <c r="ALN11" s="28"/>
      <c r="ALO11" s="29"/>
      <c r="ALP11" s="30"/>
      <c r="ALQ11" s="28"/>
      <c r="ALR11" s="29"/>
      <c r="ALS11" s="29"/>
      <c r="ALT11" s="29"/>
      <c r="ALU11" s="28"/>
      <c r="ALV11" s="29"/>
      <c r="ALW11" s="29"/>
      <c r="ALX11" s="28"/>
      <c r="ALY11" s="29"/>
      <c r="ALZ11" s="30"/>
      <c r="AMA11" s="28"/>
      <c r="AMB11" s="29"/>
      <c r="AMC11" s="29"/>
      <c r="AMD11" s="29"/>
      <c r="AME11" s="28"/>
      <c r="AMF11" s="29"/>
      <c r="AMG11" s="29"/>
      <c r="AMH11" s="29"/>
      <c r="AMI11" s="29"/>
      <c r="AMJ11" s="29"/>
      <c r="AMK11" s="28"/>
      <c r="AML11" s="29"/>
      <c r="AMM11" s="29"/>
      <c r="AMN11" s="28"/>
      <c r="AMO11" s="29"/>
      <c r="AMP11" s="30"/>
      <c r="AMQ11" s="28"/>
      <c r="AMR11" s="29"/>
      <c r="AMS11" s="29"/>
      <c r="AMT11" s="29"/>
      <c r="AMU11" s="28"/>
      <c r="AMV11" s="29"/>
      <c r="AMW11" s="29"/>
      <c r="AMX11" s="28"/>
      <c r="AMY11" s="29"/>
      <c r="AMZ11" s="30"/>
      <c r="ANA11" s="28"/>
      <c r="ANB11" s="29"/>
      <c r="ANC11" s="29"/>
      <c r="AND11" s="29"/>
      <c r="ANE11" s="28"/>
      <c r="ANF11" s="29"/>
      <c r="ANG11" s="29"/>
      <c r="ANH11" s="29"/>
      <c r="ANI11" s="29"/>
      <c r="ANJ11" s="29"/>
      <c r="ANK11" s="28"/>
      <c r="ANL11" s="29"/>
      <c r="ANM11" s="29"/>
      <c r="ANN11" s="28"/>
      <c r="ANO11" s="29"/>
      <c r="ANP11" s="30"/>
      <c r="ANQ11" s="28"/>
      <c r="ANR11" s="29"/>
      <c r="ANS11" s="29"/>
      <c r="ANT11" s="29"/>
      <c r="ANU11" s="28"/>
      <c r="ANV11" s="29"/>
      <c r="ANW11" s="29"/>
      <c r="ANX11" s="28"/>
      <c r="ANY11" s="29"/>
      <c r="ANZ11" s="30"/>
      <c r="AOA11" s="28"/>
      <c r="AOB11" s="29"/>
      <c r="AOC11" s="29"/>
      <c r="AOD11" s="29"/>
      <c r="AOE11" s="28"/>
      <c r="AOF11" s="29"/>
      <c r="AOG11" s="29"/>
      <c r="AOH11" s="29"/>
      <c r="AOI11" s="29"/>
      <c r="AOJ11" s="29"/>
      <c r="AOK11" s="28"/>
      <c r="AOL11" s="29"/>
      <c r="AOM11" s="29"/>
      <c r="AON11" s="28"/>
      <c r="AOO11" s="29"/>
      <c r="AOP11" s="30"/>
      <c r="AOQ11" s="28"/>
      <c r="AOR11" s="29"/>
      <c r="AOS11" s="29"/>
      <c r="AOT11" s="29"/>
      <c r="AOU11" s="28"/>
      <c r="AOV11" s="29"/>
      <c r="AOW11" s="29"/>
      <c r="AOX11" s="28"/>
      <c r="AOY11" s="29"/>
      <c r="AOZ11" s="30"/>
      <c r="APA11" s="28"/>
      <c r="APB11" s="29"/>
      <c r="APC11" s="29"/>
      <c r="APD11" s="29"/>
      <c r="APE11" s="28"/>
      <c r="APF11" s="29"/>
      <c r="APG11" s="29"/>
      <c r="APH11" s="29"/>
      <c r="API11" s="29"/>
      <c r="APJ11" s="29"/>
      <c r="APK11" s="28"/>
      <c r="APL11" s="29"/>
      <c r="APM11" s="29"/>
      <c r="APN11" s="28"/>
      <c r="APO11" s="29"/>
      <c r="APP11" s="30"/>
      <c r="APQ11" s="28"/>
      <c r="APR11" s="29"/>
      <c r="APS11" s="29"/>
      <c r="APT11" s="29"/>
      <c r="APU11" s="28"/>
      <c r="APV11" s="29"/>
      <c r="APW11" s="29"/>
      <c r="APX11" s="28"/>
      <c r="APY11" s="29"/>
      <c r="APZ11" s="30"/>
      <c r="AQA11" s="28"/>
      <c r="AQB11" s="29"/>
      <c r="AQC11" s="29"/>
      <c r="AQD11" s="29"/>
      <c r="AQE11" s="28"/>
      <c r="AQF11" s="29"/>
      <c r="AQG11" s="29"/>
      <c r="AQH11" s="29"/>
      <c r="AQI11" s="29"/>
      <c r="AQJ11" s="29"/>
      <c r="AQK11" s="28"/>
      <c r="AQL11" s="29"/>
      <c r="AQM11" s="29"/>
      <c r="AQN11" s="28"/>
      <c r="AQO11" s="29"/>
      <c r="AQP11" s="30"/>
      <c r="AQQ11" s="28"/>
      <c r="AQR11" s="29"/>
      <c r="AQS11" s="29"/>
      <c r="AQT11" s="29"/>
      <c r="AQU11" s="28"/>
      <c r="AQV11" s="29"/>
      <c r="AQW11" s="29"/>
      <c r="AQX11" s="28"/>
      <c r="AQY11" s="29"/>
      <c r="AQZ11" s="30"/>
      <c r="ARA11" s="28"/>
      <c r="ARB11" s="29"/>
      <c r="ARC11" s="29"/>
      <c r="ARD11" s="29"/>
      <c r="ARE11" s="28"/>
      <c r="ARF11" s="29"/>
      <c r="ARG11" s="29"/>
      <c r="ARH11" s="29"/>
      <c r="ARI11" s="29"/>
      <c r="ARJ11" s="29"/>
      <c r="ARK11" s="28"/>
      <c r="ARL11" s="29"/>
      <c r="ARM11" s="29"/>
      <c r="ARN11" s="28"/>
      <c r="ARO11" s="29"/>
      <c r="ARP11" s="30"/>
      <c r="ARQ11" s="28"/>
      <c r="ARR11" s="29"/>
      <c r="ARS11" s="29"/>
      <c r="ART11" s="29"/>
      <c r="ARU11" s="28"/>
      <c r="ARV11" s="29"/>
      <c r="ARW11" s="29"/>
      <c r="ARX11" s="28"/>
      <c r="ARY11" s="29"/>
      <c r="ARZ11" s="30"/>
      <c r="ASA11" s="28"/>
      <c r="ASB11" s="29"/>
      <c r="ASC11" s="29"/>
      <c r="ASD11" s="29"/>
      <c r="ASE11" s="28"/>
      <c r="ASF11" s="29"/>
      <c r="ASG11" s="29"/>
      <c r="ASH11" s="29"/>
      <c r="ASI11" s="29"/>
      <c r="ASJ11" s="29"/>
      <c r="ASK11" s="28"/>
      <c r="ASL11" s="29"/>
      <c r="ASM11" s="29"/>
      <c r="ASN11" s="28"/>
      <c r="ASO11" s="29"/>
      <c r="ASP11" s="30"/>
      <c r="ASQ11" s="28"/>
      <c r="ASR11" s="29"/>
      <c r="ASS11" s="29"/>
      <c r="AST11" s="29"/>
      <c r="ASU11" s="28"/>
      <c r="ASV11" s="29"/>
      <c r="ASW11" s="29"/>
      <c r="ASX11" s="28"/>
      <c r="ASY11" s="29"/>
      <c r="ASZ11" s="30"/>
      <c r="ATA11" s="28"/>
      <c r="ATB11" s="29"/>
      <c r="ATC11" s="29"/>
      <c r="ATD11" s="29"/>
      <c r="ATE11" s="28"/>
      <c r="ATF11" s="29"/>
      <c r="ATG11" s="29"/>
      <c r="ATH11" s="29"/>
      <c r="ATI11" s="29"/>
      <c r="ATJ11" s="29"/>
      <c r="ATK11" s="28"/>
      <c r="ATL11" s="29"/>
      <c r="ATM11" s="29"/>
      <c r="ATN11" s="28"/>
      <c r="ATO11" s="29"/>
      <c r="ATP11" s="30"/>
      <c r="ATQ11" s="28"/>
      <c r="ATR11" s="29"/>
      <c r="ATS11" s="29"/>
      <c r="ATT11" s="29"/>
      <c r="ATU11" s="28"/>
      <c r="ATV11" s="29"/>
      <c r="ATW11" s="29"/>
      <c r="ATX11" s="28"/>
      <c r="ATY11" s="29"/>
      <c r="ATZ11" s="30"/>
      <c r="AUA11" s="28"/>
      <c r="AUB11" s="29"/>
      <c r="AUC11" s="29"/>
      <c r="AUD11" s="29"/>
      <c r="AUE11" s="28"/>
      <c r="AUF11" s="29"/>
      <c r="AUG11" s="29"/>
      <c r="AUH11" s="29"/>
      <c r="AUI11" s="29"/>
      <c r="AUJ11" s="29"/>
      <c r="AUK11" s="28"/>
      <c r="AUL11" s="29"/>
      <c r="AUM11" s="29"/>
      <c r="AUN11" s="28"/>
      <c r="AUO11" s="29"/>
      <c r="AUP11" s="30"/>
      <c r="AUQ11" s="28"/>
      <c r="AUR11" s="29"/>
      <c r="AUS11" s="29"/>
      <c r="AUT11" s="29"/>
      <c r="AUU11" s="28"/>
      <c r="AUV11" s="29"/>
      <c r="AUW11" s="29"/>
      <c r="AUX11" s="28"/>
      <c r="AUY11" s="29"/>
      <c r="AUZ11" s="30"/>
      <c r="AVA11" s="28"/>
      <c r="AVB11" s="29"/>
      <c r="AVC11" s="29"/>
      <c r="AVD11" s="29"/>
      <c r="AVE11" s="28"/>
      <c r="AVF11" s="29"/>
      <c r="AVG11" s="29"/>
      <c r="AVH11" s="29"/>
      <c r="AVI11" s="29"/>
      <c r="AVJ11" s="29"/>
      <c r="AVK11" s="28"/>
      <c r="AVL11" s="29"/>
      <c r="AVM11" s="29"/>
      <c r="AVN11" s="28"/>
      <c r="AVO11" s="29"/>
      <c r="AVP11" s="30"/>
      <c r="AVQ11" s="28"/>
      <c r="AVR11" s="29"/>
      <c r="AVS11" s="29"/>
      <c r="AVT11" s="29"/>
      <c r="AVU11" s="28"/>
      <c r="AVV11" s="29"/>
      <c r="AVW11" s="29"/>
      <c r="AVX11" s="28"/>
      <c r="AVY11" s="29"/>
      <c r="AVZ11" s="30"/>
      <c r="AWA11" s="28"/>
      <c r="AWB11" s="29"/>
      <c r="AWC11" s="29"/>
      <c r="AWD11" s="29"/>
      <c r="AWE11" s="28"/>
      <c r="AWF11" s="29"/>
      <c r="AWG11" s="29"/>
      <c r="AWH11" s="29"/>
      <c r="AWI11" s="29"/>
      <c r="AWJ11" s="29"/>
      <c r="AWK11" s="28"/>
      <c r="AWL11" s="29"/>
      <c r="AWM11" s="29"/>
      <c r="AWN11" s="28"/>
      <c r="AWO11" s="29"/>
      <c r="AWP11" s="30"/>
      <c r="AWQ11" s="28"/>
      <c r="AWR11" s="29"/>
      <c r="AWS11" s="29"/>
      <c r="AWT11" s="29"/>
      <c r="AWU11" s="28"/>
      <c r="AWV11" s="29"/>
      <c r="AWW11" s="29"/>
      <c r="AWX11" s="28"/>
      <c r="AWY11" s="29"/>
      <c r="AWZ11" s="30"/>
      <c r="AXA11" s="28"/>
      <c r="AXB11" s="29"/>
      <c r="AXC11" s="29"/>
      <c r="AXD11" s="29"/>
      <c r="AXE11" s="28"/>
      <c r="AXF11" s="29"/>
      <c r="AXG11" s="29"/>
      <c r="AXH11" s="29"/>
      <c r="AXI11" s="29"/>
      <c r="AXJ11" s="29"/>
      <c r="AXK11" s="28"/>
      <c r="AXL11" s="29"/>
      <c r="AXM11" s="29"/>
      <c r="AXN11" s="28"/>
      <c r="AXO11" s="29"/>
      <c r="AXP11" s="30"/>
      <c r="AXQ11" s="28"/>
      <c r="AXR11" s="29"/>
      <c r="AXS11" s="29"/>
      <c r="AXT11" s="29"/>
      <c r="AXU11" s="28"/>
      <c r="AXV11" s="29"/>
      <c r="AXW11" s="29"/>
      <c r="AXX11" s="28"/>
      <c r="AXY11" s="29"/>
      <c r="AXZ11" s="30"/>
      <c r="AYA11" s="28"/>
      <c r="AYB11" s="29"/>
      <c r="AYC11" s="29"/>
      <c r="AYD11" s="29"/>
      <c r="AYE11" s="28"/>
      <c r="AYF11" s="29"/>
      <c r="AYG11" s="29"/>
      <c r="AYH11" s="29"/>
      <c r="AYI11" s="29"/>
      <c r="AYJ11" s="29"/>
      <c r="AYK11" s="28"/>
      <c r="AYL11" s="29"/>
      <c r="AYM11" s="29"/>
      <c r="AYN11" s="28"/>
      <c r="AYO11" s="29"/>
      <c r="AYP11" s="30"/>
      <c r="AYQ11" s="28"/>
      <c r="AYR11" s="29"/>
      <c r="AYS11" s="29"/>
      <c r="AYT11" s="29"/>
      <c r="AYU11" s="28"/>
      <c r="AYV11" s="29"/>
      <c r="AYW11" s="29"/>
      <c r="AYX11" s="28"/>
      <c r="AYY11" s="29"/>
      <c r="AYZ11" s="30"/>
      <c r="AZA11" s="28"/>
      <c r="AZB11" s="29"/>
      <c r="AZC11" s="29"/>
      <c r="AZD11" s="29"/>
      <c r="AZE11" s="28"/>
      <c r="AZF11" s="29"/>
      <c r="AZG11" s="29"/>
      <c r="AZH11" s="29"/>
      <c r="AZI11" s="29"/>
      <c r="AZJ11" s="29"/>
      <c r="AZK11" s="28"/>
      <c r="AZL11" s="29"/>
      <c r="AZM11" s="29"/>
      <c r="AZN11" s="28"/>
      <c r="AZO11" s="29"/>
      <c r="AZP11" s="30"/>
      <c r="AZQ11" s="28"/>
      <c r="AZR11" s="29"/>
      <c r="AZS11" s="29"/>
      <c r="AZT11" s="29"/>
      <c r="AZU11" s="28"/>
      <c r="AZV11" s="29"/>
      <c r="AZW11" s="29"/>
      <c r="AZX11" s="28"/>
      <c r="AZY11" s="29"/>
      <c r="AZZ11" s="30"/>
      <c r="BAA11" s="28"/>
      <c r="BAB11" s="29"/>
      <c r="BAC11" s="29"/>
      <c r="BAD11" s="29"/>
      <c r="BAE11" s="28"/>
      <c r="BAF11" s="29"/>
      <c r="BAG11" s="29"/>
      <c r="BAH11" s="29"/>
      <c r="BAI11" s="29"/>
      <c r="BAJ11" s="29"/>
      <c r="BAK11" s="28"/>
      <c r="BAL11" s="29"/>
      <c r="BAM11" s="29"/>
      <c r="BAN11" s="28"/>
      <c r="BAO11" s="29"/>
      <c r="BAP11" s="30"/>
      <c r="BAQ11" s="28"/>
      <c r="BAR11" s="29"/>
      <c r="BAS11" s="29"/>
      <c r="BAT11" s="29"/>
      <c r="BAU11" s="28"/>
      <c r="BAV11" s="29"/>
      <c r="BAW11" s="29"/>
      <c r="BAX11" s="28"/>
      <c r="BAY11" s="29"/>
      <c r="BAZ11" s="30"/>
      <c r="BBA11" s="28"/>
      <c r="BBB11" s="29"/>
      <c r="BBC11" s="29"/>
      <c r="BBD11" s="29"/>
      <c r="BBE11" s="28"/>
      <c r="BBF11" s="29"/>
      <c r="BBG11" s="29"/>
      <c r="BBH11" s="29"/>
      <c r="BBI11" s="29"/>
      <c r="BBJ11" s="29"/>
      <c r="BBK11" s="28"/>
      <c r="BBL11" s="29"/>
      <c r="BBM11" s="29"/>
      <c r="BBN11" s="28"/>
      <c r="BBO11" s="29"/>
      <c r="BBP11" s="30"/>
      <c r="BBQ11" s="28"/>
      <c r="BBR11" s="29"/>
      <c r="BBS11" s="29"/>
      <c r="BBT11" s="29"/>
      <c r="BBU11" s="28"/>
      <c r="BBV11" s="29"/>
      <c r="BBW11" s="29"/>
      <c r="BBX11" s="28"/>
      <c r="BBY11" s="29"/>
      <c r="BBZ11" s="30"/>
      <c r="BCA11" s="28"/>
      <c r="BCB11" s="29"/>
      <c r="BCC11" s="29"/>
      <c r="BCD11" s="29"/>
      <c r="BCE11" s="28"/>
      <c r="BCF11" s="29"/>
      <c r="BCG11" s="29"/>
      <c r="BCH11" s="29"/>
      <c r="BCI11" s="29"/>
      <c r="BCJ11" s="29"/>
      <c r="BCK11" s="28"/>
      <c r="BCL11" s="29"/>
      <c r="BCM11" s="29"/>
      <c r="BCN11" s="28"/>
      <c r="BCO11" s="29"/>
      <c r="BCP11" s="30"/>
      <c r="BCQ11" s="28"/>
      <c r="BCR11" s="29"/>
      <c r="BCS11" s="29"/>
      <c r="BCT11" s="29"/>
      <c r="BCU11" s="28"/>
      <c r="BCV11" s="29"/>
      <c r="BCW11" s="29"/>
      <c r="BCX11" s="28"/>
      <c r="BCY11" s="29"/>
      <c r="BCZ11" s="30"/>
      <c r="BDA11" s="28"/>
      <c r="BDB11" s="29"/>
      <c r="BDC11" s="29"/>
      <c r="BDD11" s="29"/>
      <c r="BDE11" s="28"/>
      <c r="BDF11" s="29"/>
      <c r="BDG11" s="29"/>
      <c r="BDH11" s="29"/>
      <c r="BDI11" s="29"/>
      <c r="BDJ11" s="29"/>
      <c r="BDK11" s="28"/>
      <c r="BDL11" s="29"/>
      <c r="BDM11" s="29"/>
      <c r="BDN11" s="28"/>
      <c r="BDO11" s="29"/>
      <c r="BDP11" s="30"/>
      <c r="BDQ11" s="28"/>
      <c r="BDR11" s="29"/>
      <c r="BDS11" s="29"/>
      <c r="BDT11" s="29"/>
      <c r="BDU11" s="28"/>
      <c r="BDV11" s="29"/>
      <c r="BDW11" s="29"/>
      <c r="BDX11" s="28"/>
      <c r="BDY11" s="29"/>
      <c r="BDZ11" s="30"/>
      <c r="BEA11" s="28"/>
      <c r="BEB11" s="29"/>
      <c r="BEC11" s="29"/>
      <c r="BED11" s="29"/>
      <c r="BEE11" s="28"/>
      <c r="BEF11" s="29"/>
      <c r="BEG11" s="29"/>
      <c r="BEH11" s="29"/>
      <c r="BEI11" s="29"/>
      <c r="BEJ11" s="29"/>
      <c r="BEK11" s="28"/>
      <c r="BEL11" s="29"/>
      <c r="BEM11" s="29"/>
      <c r="BEN11" s="28"/>
      <c r="BEO11" s="29"/>
      <c r="BEP11" s="30"/>
      <c r="BEQ11" s="28"/>
      <c r="BER11" s="29"/>
      <c r="BES11" s="29"/>
      <c r="BET11" s="29"/>
      <c r="BEU11" s="28"/>
      <c r="BEV11" s="29"/>
      <c r="BEW11" s="29"/>
      <c r="BEX11" s="28"/>
      <c r="BEY11" s="29"/>
      <c r="BEZ11" s="30"/>
      <c r="BFA11" s="28"/>
      <c r="BFB11" s="29"/>
      <c r="BFC11" s="29"/>
      <c r="BFD11" s="29"/>
      <c r="BFE11" s="28"/>
      <c r="BFF11" s="29"/>
      <c r="BFG11" s="29"/>
      <c r="BFH11" s="29"/>
      <c r="BFI11" s="29"/>
      <c r="BFJ11" s="29"/>
      <c r="BFK11" s="28"/>
      <c r="BFL11" s="29"/>
      <c r="BFM11" s="29"/>
      <c r="BFN11" s="28"/>
      <c r="BFO11" s="29"/>
      <c r="BFP11" s="30"/>
      <c r="BFQ11" s="28"/>
      <c r="BFR11" s="29"/>
      <c r="BFS11" s="29"/>
      <c r="BFT11" s="29"/>
      <c r="BFU11" s="28"/>
      <c r="BFV11" s="29"/>
      <c r="BFW11" s="29"/>
      <c r="BFX11" s="28"/>
      <c r="BFY11" s="29"/>
      <c r="BFZ11" s="30"/>
      <c r="BGA11" s="28"/>
      <c r="BGB11" s="29"/>
      <c r="BGC11" s="29"/>
      <c r="BGD11" s="29"/>
      <c r="BGE11" s="28"/>
      <c r="BGF11" s="29"/>
      <c r="BGG11" s="29"/>
      <c r="BGH11" s="29"/>
      <c r="BGI11" s="29"/>
      <c r="BGJ11" s="29"/>
      <c r="BGK11" s="28"/>
      <c r="BGL11" s="29"/>
      <c r="BGM11" s="29"/>
      <c r="BGN11" s="28"/>
      <c r="BGO11" s="29"/>
      <c r="BGP11" s="30"/>
      <c r="BGQ11" s="28"/>
      <c r="BGR11" s="29"/>
      <c r="BGS11" s="29"/>
      <c r="BGT11" s="29"/>
      <c r="BGU11" s="28"/>
      <c r="BGV11" s="29"/>
      <c r="BGW11" s="29"/>
      <c r="BGX11" s="28"/>
      <c r="BGY11" s="29"/>
      <c r="BGZ11" s="30"/>
      <c r="BHA11" s="28"/>
      <c r="BHB11" s="29"/>
      <c r="BHC11" s="29"/>
      <c r="BHD11" s="29"/>
      <c r="BHE11" s="28"/>
      <c r="BHF11" s="29"/>
      <c r="BHG11" s="29"/>
      <c r="BHH11" s="29"/>
      <c r="BHI11" s="29"/>
      <c r="BHJ11" s="29"/>
      <c r="BHK11" s="28"/>
      <c r="BHL11" s="29"/>
      <c r="BHM11" s="29"/>
      <c r="BHN11" s="28"/>
      <c r="BHO11" s="29"/>
      <c r="BHP11" s="30"/>
      <c r="BHQ11" s="28"/>
      <c r="BHR11" s="29"/>
      <c r="BHS11" s="29"/>
      <c r="BHT11" s="29"/>
      <c r="BHU11" s="28"/>
      <c r="BHV11" s="29"/>
      <c r="BHW11" s="29"/>
      <c r="BHX11" s="28"/>
      <c r="BHY11" s="29"/>
      <c r="BHZ11" s="30"/>
      <c r="BIA11" s="28"/>
      <c r="BIB11" s="29"/>
      <c r="BIC11" s="29"/>
      <c r="BID11" s="29"/>
      <c r="BIE11" s="28"/>
      <c r="BIF11" s="29"/>
      <c r="BIG11" s="29"/>
      <c r="BIH11" s="29"/>
      <c r="BII11" s="29"/>
      <c r="BIJ11" s="29"/>
      <c r="BIK11" s="28"/>
      <c r="BIL11" s="29"/>
      <c r="BIM11" s="29"/>
      <c r="BIN11" s="28"/>
      <c r="BIO11" s="29"/>
      <c r="BIP11" s="30"/>
      <c r="BIQ11" s="28"/>
      <c r="BIR11" s="29"/>
      <c r="BIS11" s="29"/>
      <c r="BIT11" s="29"/>
      <c r="BIU11" s="28"/>
      <c r="BIV11" s="29"/>
      <c r="BIW11" s="29"/>
      <c r="BIX11" s="28"/>
      <c r="BIY11" s="29"/>
      <c r="BIZ11" s="30"/>
      <c r="BJA11" s="28"/>
      <c r="BJB11" s="29"/>
      <c r="BJC11" s="29"/>
      <c r="BJD11" s="29"/>
      <c r="BJE11" s="28"/>
      <c r="BJF11" s="29"/>
      <c r="BJG11" s="29"/>
      <c r="BJH11" s="29"/>
      <c r="BJI11" s="29"/>
      <c r="BJJ11" s="29"/>
      <c r="BJK11" s="28"/>
      <c r="BJL11" s="29"/>
      <c r="BJM11" s="29"/>
      <c r="BJN11" s="28"/>
      <c r="BJO11" s="29"/>
      <c r="BJP11" s="30"/>
      <c r="BJQ11" s="28"/>
      <c r="BJR11" s="29"/>
      <c r="BJS11" s="29"/>
      <c r="BJT11" s="29"/>
      <c r="BJU11" s="28"/>
      <c r="BJV11" s="29"/>
      <c r="BJW11" s="29"/>
      <c r="BJX11" s="28"/>
      <c r="BJY11" s="29"/>
      <c r="BJZ11" s="30"/>
      <c r="BKA11" s="28"/>
      <c r="BKB11" s="29"/>
      <c r="BKC11" s="29"/>
      <c r="BKD11" s="29"/>
      <c r="BKE11" s="28"/>
      <c r="BKF11" s="29"/>
      <c r="BKG11" s="29"/>
      <c r="BKH11" s="29"/>
      <c r="BKI11" s="29"/>
      <c r="BKJ11" s="29"/>
      <c r="BKK11" s="28"/>
      <c r="BKL11" s="29"/>
      <c r="BKM11" s="29"/>
      <c r="BKN11" s="28"/>
      <c r="BKO11" s="29"/>
      <c r="BKP11" s="30"/>
      <c r="BKQ11" s="28"/>
      <c r="BKR11" s="29"/>
      <c r="BKS11" s="29"/>
      <c r="BKT11" s="29"/>
      <c r="BKU11" s="28"/>
      <c r="BKV11" s="29"/>
      <c r="BKW11" s="29"/>
      <c r="BKX11" s="28"/>
      <c r="BKY11" s="29"/>
      <c r="BKZ11" s="30"/>
      <c r="BLA11" s="28"/>
      <c r="BLB11" s="29"/>
      <c r="BLC11" s="29"/>
      <c r="BLD11" s="29"/>
      <c r="BLE11" s="28"/>
      <c r="BLF11" s="29"/>
      <c r="BLG11" s="29"/>
      <c r="BLH11" s="29"/>
      <c r="BLI11" s="29"/>
      <c r="BLJ11" s="29"/>
      <c r="BLK11" s="28"/>
      <c r="BLL11" s="29"/>
      <c r="BLM11" s="29"/>
      <c r="BLN11" s="28"/>
      <c r="BLO11" s="29"/>
      <c r="BLP11" s="30"/>
      <c r="BLQ11" s="28"/>
      <c r="BLR11" s="29"/>
      <c r="BLS11" s="29"/>
      <c r="BLT11" s="29"/>
      <c r="BLU11" s="28"/>
      <c r="BLV11" s="29"/>
      <c r="BLW11" s="29"/>
      <c r="BLX11" s="28"/>
      <c r="BLY11" s="29"/>
      <c r="BLZ11" s="30"/>
      <c r="BMA11" s="28"/>
      <c r="BMB11" s="29"/>
      <c r="BMC11" s="29"/>
      <c r="BMD11" s="29"/>
      <c r="BME11" s="28"/>
      <c r="BMF11" s="29"/>
      <c r="BMG11" s="29"/>
      <c r="BMH11" s="29"/>
      <c r="BMI11" s="29"/>
      <c r="BMJ11" s="29"/>
      <c r="BMK11" s="28"/>
      <c r="BML11" s="29"/>
      <c r="BMM11" s="29"/>
      <c r="BMN11" s="28"/>
      <c r="BMO11" s="29"/>
      <c r="BMP11" s="30"/>
      <c r="BMQ11" s="28"/>
      <c r="BMR11" s="29"/>
      <c r="BMS11" s="29"/>
      <c r="BMT11" s="29"/>
      <c r="BMU11" s="28"/>
      <c r="BMV11" s="29"/>
      <c r="BMW11" s="29"/>
      <c r="BMX11" s="28"/>
      <c r="BMY11" s="29"/>
      <c r="BMZ11" s="30"/>
      <c r="BNA11" s="28"/>
      <c r="BNB11" s="29"/>
      <c r="BNC11" s="29"/>
      <c r="BND11" s="29"/>
      <c r="BNE11" s="28"/>
      <c r="BNF11" s="29"/>
      <c r="BNG11" s="29"/>
      <c r="BNH11" s="29"/>
      <c r="BNI11" s="29"/>
      <c r="BNJ11" s="29"/>
      <c r="BNK11" s="28"/>
      <c r="BNL11" s="29"/>
      <c r="BNM11" s="29"/>
      <c r="BNN11" s="28"/>
      <c r="BNO11" s="29"/>
      <c r="BNP11" s="30"/>
      <c r="BNQ11" s="28"/>
      <c r="BNR11" s="29"/>
      <c r="BNS11" s="29"/>
      <c r="BNT11" s="29"/>
      <c r="BNU11" s="28"/>
      <c r="BNV11" s="29"/>
      <c r="BNW11" s="29"/>
      <c r="BNX11" s="28"/>
      <c r="BNY11" s="29"/>
      <c r="BNZ11" s="30"/>
      <c r="BOA11" s="28"/>
      <c r="BOB11" s="29"/>
      <c r="BOC11" s="29"/>
      <c r="BOD11" s="29"/>
      <c r="BOE11" s="28"/>
      <c r="BOF11" s="29"/>
      <c r="BOG11" s="29"/>
      <c r="BOH11" s="29"/>
      <c r="BOI11" s="29"/>
      <c r="BOJ11" s="29"/>
      <c r="BOK11" s="28"/>
      <c r="BOL11" s="29"/>
      <c r="BOM11" s="29"/>
      <c r="BON11" s="28"/>
      <c r="BOO11" s="29"/>
      <c r="BOP11" s="30"/>
      <c r="BOQ11" s="28"/>
      <c r="BOR11" s="29"/>
      <c r="BOS11" s="29"/>
      <c r="BOT11" s="29"/>
      <c r="BOU11" s="28"/>
      <c r="BOV11" s="29"/>
      <c r="BOW11" s="29"/>
      <c r="BOX11" s="28"/>
      <c r="BOY11" s="29"/>
      <c r="BOZ11" s="30"/>
      <c r="BPA11" s="28"/>
      <c r="BPB11" s="29"/>
      <c r="BPC11" s="29"/>
      <c r="BPD11" s="29"/>
      <c r="BPE11" s="28"/>
      <c r="BPF11" s="29"/>
      <c r="BPG11" s="29"/>
      <c r="BPH11" s="29"/>
      <c r="BPI11" s="29"/>
      <c r="BPJ11" s="29"/>
      <c r="BPK11" s="28"/>
      <c r="BPL11" s="29"/>
      <c r="BPM11" s="29"/>
      <c r="BPN11" s="28"/>
      <c r="BPO11" s="29"/>
      <c r="BPP11" s="30"/>
      <c r="BPQ11" s="28"/>
      <c r="BPR11" s="29"/>
      <c r="BPS11" s="29"/>
      <c r="BPT11" s="29"/>
      <c r="BPU11" s="28"/>
      <c r="BPV11" s="29"/>
      <c r="BPW11" s="29"/>
      <c r="BPX11" s="28"/>
      <c r="BPY11" s="29"/>
      <c r="BPZ11" s="30"/>
      <c r="BQA11" s="28"/>
      <c r="BQB11" s="29"/>
      <c r="BQC11" s="29"/>
      <c r="BQD11" s="29"/>
      <c r="BQE11" s="28"/>
      <c r="BQF11" s="29"/>
      <c r="BQG11" s="29"/>
      <c r="BQH11" s="29"/>
      <c r="BQI11" s="29"/>
      <c r="BQJ11" s="29"/>
      <c r="BQK11" s="28"/>
      <c r="BQL11" s="29"/>
      <c r="BQM11" s="29"/>
      <c r="BQN11" s="28"/>
      <c r="BQO11" s="29"/>
      <c r="BQP11" s="30"/>
      <c r="BQQ11" s="28"/>
      <c r="BQR11" s="29"/>
      <c r="BQS11" s="29"/>
      <c r="BQT11" s="29"/>
      <c r="BQU11" s="28"/>
      <c r="BQV11" s="29"/>
      <c r="BQW11" s="29"/>
      <c r="BQX11" s="28"/>
      <c r="BQY11" s="29"/>
      <c r="BQZ11" s="30"/>
      <c r="BRA11" s="28"/>
      <c r="BRB11" s="29"/>
      <c r="BRC11" s="29"/>
      <c r="BRD11" s="29"/>
      <c r="BRE11" s="28"/>
      <c r="BRF11" s="29"/>
      <c r="BRG11" s="29"/>
      <c r="BRH11" s="29"/>
      <c r="BRI11" s="29"/>
      <c r="BRJ11" s="29"/>
      <c r="BRK11" s="28"/>
      <c r="BRL11" s="29"/>
      <c r="BRM11" s="29"/>
      <c r="BRN11" s="28"/>
      <c r="BRO11" s="29"/>
      <c r="BRP11" s="30"/>
      <c r="BRQ11" s="28"/>
      <c r="BRR11" s="29"/>
      <c r="BRS11" s="29"/>
      <c r="BRT11" s="29"/>
      <c r="BRU11" s="28"/>
      <c r="BRV11" s="29"/>
      <c r="BRW11" s="29"/>
      <c r="BRX11" s="28"/>
      <c r="BRY11" s="29"/>
      <c r="BRZ11" s="30"/>
      <c r="BSA11" s="28"/>
      <c r="BSB11" s="29"/>
      <c r="BSC11" s="29"/>
      <c r="BSD11" s="29"/>
      <c r="BSE11" s="28"/>
      <c r="BSF11" s="29"/>
      <c r="BSG11" s="29"/>
      <c r="BSH11" s="29"/>
      <c r="BSI11" s="29"/>
      <c r="BSJ11" s="29"/>
      <c r="BSK11" s="28"/>
      <c r="BSL11" s="29"/>
      <c r="BSM11" s="29"/>
      <c r="BSN11" s="28"/>
      <c r="BSO11" s="29"/>
      <c r="BSP11" s="30"/>
      <c r="BSQ11" s="28"/>
      <c r="BSR11" s="29"/>
      <c r="BSS11" s="29"/>
      <c r="BST11" s="29"/>
      <c r="BSU11" s="28"/>
      <c r="BSV11" s="29"/>
      <c r="BSW11" s="29"/>
      <c r="BSX11" s="28"/>
      <c r="BSY11" s="29"/>
      <c r="BSZ11" s="30"/>
      <c r="BTA11" s="28"/>
      <c r="BTB11" s="29"/>
      <c r="BTC11" s="29"/>
      <c r="BTD11" s="29"/>
      <c r="BTE11" s="28"/>
      <c r="BTF11" s="29"/>
      <c r="BTG11" s="29"/>
      <c r="BTH11" s="29"/>
      <c r="BTI11" s="29"/>
      <c r="BTJ11" s="29"/>
      <c r="BTK11" s="28"/>
      <c r="BTL11" s="29"/>
      <c r="BTM11" s="29"/>
      <c r="BTN11" s="28"/>
      <c r="BTO11" s="29"/>
      <c r="BTP11" s="30"/>
      <c r="BTQ11" s="28"/>
      <c r="BTR11" s="29"/>
      <c r="BTS11" s="29"/>
      <c r="BTT11" s="29"/>
      <c r="BTU11" s="28"/>
      <c r="BTV11" s="29"/>
      <c r="BTW11" s="29"/>
      <c r="BTX11" s="28"/>
      <c r="BTY11" s="29"/>
      <c r="BTZ11" s="30"/>
      <c r="BUA11" s="28"/>
      <c r="BUB11" s="29"/>
      <c r="BUC11" s="29"/>
      <c r="BUD11" s="29"/>
      <c r="BUE11" s="28"/>
      <c r="BUF11" s="29"/>
      <c r="BUG11" s="29"/>
      <c r="BUH11" s="29"/>
      <c r="BUI11" s="29"/>
      <c r="BUJ11" s="29"/>
      <c r="BUK11" s="28"/>
      <c r="BUL11" s="29"/>
      <c r="BUM11" s="29"/>
      <c r="BUN11" s="28"/>
      <c r="BUO11" s="29"/>
      <c r="BUP11" s="30"/>
      <c r="BUQ11" s="28"/>
      <c r="BUR11" s="29"/>
      <c r="BUS11" s="29"/>
      <c r="BUT11" s="29"/>
      <c r="BUU11" s="28"/>
      <c r="BUV11" s="29"/>
      <c r="BUW11" s="29"/>
      <c r="BUX11" s="28"/>
      <c r="BUY11" s="29"/>
      <c r="BUZ11" s="30"/>
      <c r="BVA11" s="28"/>
      <c r="BVB11" s="29"/>
      <c r="BVC11" s="29"/>
      <c r="BVD11" s="29"/>
      <c r="BVE11" s="28"/>
      <c r="BVF11" s="29"/>
      <c r="BVG11" s="29"/>
      <c r="BVH11" s="29"/>
      <c r="BVI11" s="29"/>
      <c r="BVJ11" s="29"/>
      <c r="BVK11" s="28"/>
      <c r="BVL11" s="29"/>
      <c r="BVM11" s="29"/>
      <c r="BVN11" s="28"/>
      <c r="BVO11" s="29"/>
      <c r="BVP11" s="30"/>
      <c r="BVQ11" s="28"/>
      <c r="BVR11" s="29"/>
      <c r="BVS11" s="29"/>
      <c r="BVT11" s="29"/>
      <c r="BVU11" s="28"/>
      <c r="BVV11" s="29"/>
      <c r="BVW11" s="29"/>
      <c r="BVX11" s="28"/>
      <c r="BVY11" s="29"/>
      <c r="BVZ11" s="30"/>
      <c r="BWA11" s="28"/>
      <c r="BWB11" s="29"/>
      <c r="BWC11" s="29"/>
      <c r="BWD11" s="29"/>
      <c r="BWE11" s="28"/>
      <c r="BWF11" s="29"/>
      <c r="BWG11" s="29"/>
      <c r="BWH11" s="29"/>
      <c r="BWI11" s="29"/>
      <c r="BWJ11" s="29"/>
      <c r="BWK11" s="28"/>
      <c r="BWL11" s="29"/>
      <c r="BWM11" s="29"/>
      <c r="BWN11" s="28"/>
      <c r="BWO11" s="29"/>
      <c r="BWP11" s="30"/>
      <c r="BWQ11" s="28"/>
      <c r="BWR11" s="29"/>
      <c r="BWS11" s="29"/>
      <c r="BWT11" s="29"/>
      <c r="BWU11" s="28"/>
      <c r="BWV11" s="29"/>
      <c r="BWW11" s="29"/>
      <c r="BWX11" s="28"/>
      <c r="BWY11" s="29"/>
      <c r="BWZ11" s="30"/>
      <c r="BXA11" s="28"/>
      <c r="BXB11" s="29"/>
      <c r="BXC11" s="29"/>
      <c r="BXD11" s="29"/>
      <c r="BXE11" s="28"/>
      <c r="BXF11" s="29"/>
      <c r="BXG11" s="29"/>
      <c r="BXH11" s="29"/>
      <c r="BXI11" s="29"/>
      <c r="BXJ11" s="29"/>
      <c r="BXK11" s="28"/>
      <c r="BXL11" s="29"/>
      <c r="BXM11" s="29"/>
      <c r="BXN11" s="28"/>
      <c r="BXO11" s="29"/>
      <c r="BXP11" s="30"/>
      <c r="BXQ11" s="28"/>
      <c r="BXR11" s="29"/>
      <c r="BXS11" s="29"/>
      <c r="BXT11" s="29"/>
      <c r="BXU11" s="28"/>
      <c r="BXV11" s="29"/>
      <c r="BXW11" s="29"/>
      <c r="BXX11" s="28"/>
      <c r="BXY11" s="29"/>
      <c r="BXZ11" s="30"/>
      <c r="BYA11" s="28"/>
      <c r="BYB11" s="29"/>
      <c r="BYC11" s="29"/>
      <c r="BYD11" s="29"/>
      <c r="BYE11" s="28"/>
      <c r="BYF11" s="29"/>
      <c r="BYG11" s="29"/>
      <c r="BYH11" s="29"/>
      <c r="BYI11" s="29"/>
      <c r="BYJ11" s="29"/>
      <c r="BYK11" s="28"/>
      <c r="BYL11" s="29"/>
      <c r="BYM11" s="29"/>
      <c r="BYN11" s="28"/>
      <c r="BYO11" s="29"/>
      <c r="BYP11" s="30"/>
      <c r="BYQ11" s="28"/>
      <c r="BYR11" s="29"/>
      <c r="BYS11" s="29"/>
      <c r="BYT11" s="29"/>
      <c r="BYU11" s="28"/>
      <c r="BYV11" s="29"/>
      <c r="BYW11" s="29"/>
      <c r="BYX11" s="30"/>
      <c r="BYY11" s="29"/>
      <c r="BYZ11" s="28"/>
      <c r="BZA11" s="29"/>
      <c r="BZB11" s="28"/>
      <c r="BZC11" s="28"/>
      <c r="BZD11" s="28"/>
      <c r="BZE11" s="29"/>
      <c r="BZF11" s="385"/>
      <c r="BZG11" s="29"/>
      <c r="BZH11" s="385"/>
      <c r="BZI11" s="29"/>
      <c r="BZJ11" s="385"/>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30"/>
      <c r="CAQ11" s="28"/>
      <c r="CAR11" s="29"/>
      <c r="CAS11" s="29"/>
      <c r="CAT11" s="29"/>
      <c r="CAU11" s="29"/>
      <c r="CAV11" s="29"/>
      <c r="CAW11" s="28"/>
      <c r="CAX11" s="29"/>
      <c r="CAY11" s="29"/>
      <c r="CAZ11" s="28"/>
      <c r="CBA11" s="29"/>
      <c r="CBB11" s="30"/>
      <c r="CBC11" s="28"/>
      <c r="CBD11" s="29"/>
      <c r="CBE11" s="29"/>
      <c r="CBF11" s="29"/>
      <c r="CBG11" s="28"/>
      <c r="CBH11" s="29"/>
      <c r="CBI11" s="29"/>
      <c r="CBJ11" s="28"/>
      <c r="CBK11" s="29"/>
      <c r="CBL11" s="30"/>
      <c r="CBM11" s="28"/>
      <c r="CBN11" s="29"/>
      <c r="CBO11" s="29"/>
      <c r="CBP11" s="29"/>
      <c r="CBQ11" s="28"/>
      <c r="CBR11" s="29"/>
      <c r="CBS11" s="29"/>
      <c r="CBT11" s="28"/>
      <c r="CBU11" s="29"/>
      <c r="CBV11" s="30"/>
      <c r="CBW11" s="28"/>
      <c r="CBX11" s="29"/>
      <c r="CBY11" s="29"/>
      <c r="CBZ11" s="29"/>
      <c r="CCA11" s="28"/>
      <c r="CCB11" s="29"/>
      <c r="CCC11" s="29"/>
      <c r="CCD11" s="28"/>
      <c r="CCE11" s="29"/>
      <c r="CCF11" s="30"/>
      <c r="CCG11" s="28"/>
      <c r="CCH11" s="30"/>
      <c r="CCI11" s="29"/>
      <c r="CCJ11" s="28"/>
      <c r="CCK11" s="29"/>
      <c r="CCL11" s="28"/>
      <c r="CCM11" s="28"/>
      <c r="CCN11" s="28"/>
      <c r="CCO11" s="29"/>
      <c r="CCP11" s="385"/>
      <c r="CCQ11" s="29"/>
      <c r="CCR11" s="385"/>
      <c r="CCS11" s="29"/>
      <c r="CCT11" s="385"/>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30"/>
      <c r="CEA11" s="28"/>
      <c r="CEB11" s="29"/>
      <c r="CEC11" s="29"/>
      <c r="CED11" s="29"/>
      <c r="CEE11" s="29"/>
      <c r="CEF11" s="29"/>
      <c r="CEG11" s="28"/>
      <c r="CEH11" s="29"/>
      <c r="CEI11" s="29"/>
      <c r="CEJ11" s="28"/>
      <c r="CEK11" s="29"/>
      <c r="CEL11" s="30"/>
      <c r="CEM11" s="28"/>
      <c r="CEN11" s="29"/>
      <c r="CEO11" s="29"/>
      <c r="CEP11" s="29"/>
      <c r="CEQ11" s="28"/>
      <c r="CER11" s="29"/>
      <c r="CES11" s="29"/>
      <c r="CET11" s="28"/>
      <c r="CEU11" s="29"/>
      <c r="CEV11" s="30"/>
      <c r="CEW11" s="28"/>
      <c r="CEX11" s="29"/>
      <c r="CEY11" s="29"/>
      <c r="CEZ11" s="29"/>
      <c r="CFA11" s="28"/>
      <c r="CFB11" s="29"/>
      <c r="CFC11" s="29"/>
      <c r="CFD11" s="28"/>
      <c r="CFE11" s="29"/>
      <c r="CFF11" s="30"/>
      <c r="CFG11" s="28"/>
      <c r="CFH11" s="29"/>
      <c r="CFI11" s="29"/>
      <c r="CFJ11" s="29"/>
      <c r="CFK11" s="28"/>
      <c r="CFL11" s="29"/>
      <c r="CFM11" s="29"/>
      <c r="CFN11" s="28"/>
      <c r="CFO11" s="29"/>
      <c r="CFP11" s="30"/>
      <c r="CFQ11" s="28"/>
      <c r="CFR11" s="30"/>
      <c r="CFS11" s="29"/>
      <c r="CFT11" s="28"/>
      <c r="CFU11" s="29"/>
      <c r="CFV11" s="28"/>
      <c r="CFW11" s="28"/>
      <c r="CFX11" s="28"/>
      <c r="CFY11" s="29"/>
      <c r="CFZ11" s="385"/>
      <c r="CGA11" s="29"/>
      <c r="CGB11" s="385"/>
      <c r="CGC11" s="29"/>
      <c r="CGD11" s="385"/>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30"/>
      <c r="CHK11" s="28"/>
      <c r="CHL11" s="29"/>
      <c r="CHM11" s="29"/>
      <c r="CHN11" s="29"/>
      <c r="CHO11" s="29"/>
      <c r="CHP11" s="29"/>
      <c r="CHQ11" s="28"/>
      <c r="CHR11" s="29"/>
      <c r="CHS11" s="29"/>
      <c r="CHT11" s="28"/>
      <c r="CHU11" s="29"/>
      <c r="CHV11" s="30"/>
      <c r="CHW11" s="28"/>
      <c r="CHX11" s="29"/>
      <c r="CHY11" s="29"/>
      <c r="CHZ11" s="29"/>
      <c r="CIA11" s="28"/>
      <c r="CIB11" s="29"/>
      <c r="CIC11" s="29"/>
      <c r="CID11" s="28"/>
      <c r="CIE11" s="29"/>
      <c r="CIF11" s="30"/>
      <c r="CIG11" s="28"/>
      <c r="CIH11" s="29"/>
      <c r="CII11" s="29"/>
      <c r="CIJ11" s="29"/>
      <c r="CIK11" s="28"/>
      <c r="CIL11" s="29"/>
      <c r="CIM11" s="29"/>
      <c r="CIN11" s="28"/>
      <c r="CIO11" s="29"/>
      <c r="CIP11" s="30"/>
      <c r="CIQ11" s="28"/>
      <c r="CIR11" s="29"/>
      <c r="CIS11" s="29"/>
      <c r="CIT11" s="29"/>
      <c r="CIU11" s="28"/>
      <c r="CIV11" s="29"/>
      <c r="CIW11" s="29"/>
      <c r="CIX11" s="28"/>
      <c r="CIY11" s="29"/>
      <c r="CIZ11" s="30"/>
      <c r="CJA11" s="28"/>
      <c r="CJB11" s="30"/>
      <c r="CJC11" s="29"/>
      <c r="CJD11" s="28"/>
      <c r="CJE11" s="29"/>
      <c r="CJF11" s="28"/>
      <c r="CJG11" s="28"/>
      <c r="CJH11" s="28"/>
      <c r="CJI11" s="29"/>
      <c r="CJJ11" s="385"/>
      <c r="CJK11" s="29"/>
      <c r="CJL11" s="385"/>
      <c r="CJM11" s="29"/>
      <c r="CJN11" s="385"/>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30"/>
      <c r="CKU11" s="28"/>
      <c r="CKV11" s="29"/>
      <c r="CKW11" s="29"/>
      <c r="CKX11" s="29"/>
      <c r="CKY11" s="29"/>
      <c r="CKZ11" s="29"/>
      <c r="CLA11" s="28"/>
      <c r="CLB11" s="29"/>
      <c r="CLC11" s="29"/>
      <c r="CLD11" s="28"/>
      <c r="CLE11" s="29"/>
      <c r="CLF11" s="30"/>
      <c r="CLG11" s="28"/>
      <c r="CLH11" s="29"/>
      <c r="CLI11" s="29"/>
      <c r="CLJ11" s="29"/>
      <c r="CLK11" s="28"/>
      <c r="CLL11" s="29"/>
      <c r="CLM11" s="29"/>
      <c r="CLN11" s="28"/>
      <c r="CLO11" s="29"/>
      <c r="CLP11" s="30"/>
      <c r="CLQ11" s="28"/>
      <c r="CLR11" s="29"/>
      <c r="CLS11" s="29"/>
      <c r="CLT11" s="29"/>
      <c r="CLU11" s="28"/>
      <c r="CLV11" s="29"/>
      <c r="CLW11" s="29"/>
      <c r="CLX11" s="28"/>
      <c r="CLY11" s="29"/>
      <c r="CLZ11" s="30"/>
      <c r="CMA11" s="28"/>
      <c r="CMB11" s="29"/>
      <c r="CMC11" s="29"/>
      <c r="CMD11" s="29"/>
      <c r="CME11" s="28"/>
      <c r="CMF11" s="29"/>
      <c r="CMG11" s="29"/>
      <c r="CMH11" s="28"/>
      <c r="CMI11" s="29"/>
      <c r="CMJ11" s="30"/>
      <c r="CMK11" s="28"/>
      <c r="CML11" s="30"/>
      <c r="CMM11" s="29"/>
      <c r="CMN11" s="28"/>
      <c r="CMO11" s="29"/>
      <c r="CMP11" s="28"/>
      <c r="CMQ11" s="28"/>
      <c r="CMR11" s="28"/>
      <c r="CMS11" s="29"/>
      <c r="CMT11" s="385"/>
      <c r="CMU11" s="29"/>
      <c r="CMV11" s="385"/>
      <c r="CMW11" s="29"/>
      <c r="CMX11" s="385"/>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30"/>
      <c r="COE11" s="28"/>
      <c r="COF11" s="29"/>
      <c r="COG11" s="29"/>
      <c r="COH11" s="29"/>
      <c r="COI11" s="29"/>
      <c r="COJ11" s="29"/>
      <c r="COK11" s="28"/>
      <c r="COL11" s="29"/>
      <c r="COM11" s="29"/>
      <c r="CON11" s="28"/>
      <c r="COO11" s="29"/>
      <c r="COP11" s="30"/>
      <c r="COQ11" s="28"/>
      <c r="COR11" s="29"/>
      <c r="COS11" s="29"/>
      <c r="COT11" s="29"/>
      <c r="COU11" s="28"/>
      <c r="COV11" s="29"/>
      <c r="COW11" s="29"/>
      <c r="COX11" s="28"/>
      <c r="COY11" s="29"/>
      <c r="COZ11" s="30"/>
      <c r="CPA11" s="28"/>
      <c r="CPB11" s="29"/>
      <c r="CPC11" s="29"/>
      <c r="CPD11" s="29"/>
      <c r="CPE11" s="28"/>
      <c r="CPF11" s="29"/>
      <c r="CPG11" s="29"/>
      <c r="CPH11" s="28"/>
      <c r="CPI11" s="29"/>
      <c r="CPJ11" s="30"/>
      <c r="CPK11" s="28"/>
      <c r="CPL11" s="29"/>
      <c r="CPM11" s="29"/>
      <c r="CPN11" s="29"/>
      <c r="CPO11" s="28"/>
      <c r="CPP11" s="29"/>
      <c r="CPQ11" s="29"/>
      <c r="CPR11" s="28"/>
      <c r="CPS11" s="29"/>
      <c r="CPT11" s="30"/>
      <c r="CPU11" s="28"/>
      <c r="CPV11" s="30"/>
      <c r="CPW11" s="29"/>
      <c r="CPX11" s="28"/>
      <c r="CPY11" s="29"/>
      <c r="CPZ11" s="28"/>
      <c r="CQA11" s="28"/>
      <c r="CQB11" s="28"/>
      <c r="CQC11" s="29"/>
      <c r="CQD11" s="385"/>
      <c r="CQE11" s="29"/>
      <c r="CQF11" s="385"/>
      <c r="CQG11" s="29"/>
      <c r="CQH11" s="385"/>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30"/>
      <c r="CRO11" s="28"/>
      <c r="CRP11" s="29"/>
      <c r="CRQ11" s="29"/>
      <c r="CRR11" s="29"/>
      <c r="CRS11" s="29"/>
      <c r="CRT11" s="29"/>
      <c r="CRU11" s="28"/>
      <c r="CRV11" s="29"/>
      <c r="CRW11" s="29"/>
      <c r="CRX11" s="28"/>
      <c r="CRY11" s="29"/>
      <c r="CRZ11" s="30"/>
      <c r="CSA11" s="28"/>
      <c r="CSB11" s="29"/>
      <c r="CSC11" s="29"/>
      <c r="CSD11" s="29"/>
      <c r="CSE11" s="28"/>
      <c r="CSF11" s="29"/>
      <c r="CSG11" s="29"/>
      <c r="CSH11" s="28"/>
      <c r="CSI11" s="29"/>
      <c r="CSJ11" s="30"/>
      <c r="CSK11" s="28"/>
      <c r="CSL11" s="29"/>
      <c r="CSM11" s="29"/>
      <c r="CSN11" s="29"/>
      <c r="CSO11" s="28"/>
      <c r="CSP11" s="29"/>
      <c r="CSQ11" s="29"/>
      <c r="CSR11" s="28"/>
      <c r="CSS11" s="29"/>
      <c r="CST11" s="30"/>
      <c r="CSU11" s="28"/>
      <c r="CSV11" s="29"/>
      <c r="CSW11" s="29"/>
      <c r="CSX11" s="29"/>
      <c r="CSY11" s="28"/>
      <c r="CSZ11" s="29"/>
      <c r="CTA11" s="29"/>
      <c r="CTB11" s="28"/>
      <c r="CTC11" s="29"/>
      <c r="CTD11" s="30"/>
      <c r="CTE11" s="28"/>
      <c r="CTF11" s="30"/>
      <c r="CTG11" s="29"/>
      <c r="CTH11" s="28"/>
      <c r="CTI11" s="29"/>
      <c r="CTJ11" s="28"/>
      <c r="CTK11" s="28"/>
      <c r="CTL11" s="28"/>
      <c r="CTM11" s="29"/>
      <c r="CTN11" s="385"/>
      <c r="CTO11" s="29"/>
      <c r="CTP11" s="385"/>
      <c r="CTQ11" s="29"/>
      <c r="CTR11" s="385"/>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30"/>
      <c r="CUY11" s="28"/>
      <c r="CUZ11" s="29"/>
      <c r="CVA11" s="29"/>
      <c r="CVB11" s="29"/>
      <c r="CVC11" s="29"/>
      <c r="CVD11" s="29"/>
      <c r="CVE11" s="28"/>
      <c r="CVF11" s="29"/>
      <c r="CVG11" s="29"/>
      <c r="CVH11" s="28"/>
      <c r="CVI11" s="29"/>
      <c r="CVJ11" s="30"/>
      <c r="CVK11" s="28"/>
      <c r="CVL11" s="29"/>
      <c r="CVM11" s="29"/>
      <c r="CVN11" s="29"/>
      <c r="CVO11" s="28"/>
      <c r="CVP11" s="29"/>
      <c r="CVQ11" s="29"/>
      <c r="CVR11" s="28"/>
      <c r="CVS11" s="29"/>
      <c r="CVT11" s="30"/>
      <c r="CVU11" s="28"/>
      <c r="CVV11" s="29"/>
      <c r="CVW11" s="29"/>
      <c r="CVX11" s="29"/>
      <c r="CVY11" s="28"/>
      <c r="CVZ11" s="29"/>
      <c r="CWA11" s="29"/>
      <c r="CWB11" s="28"/>
      <c r="CWC11" s="29"/>
      <c r="CWD11" s="30"/>
      <c r="CWE11" s="28"/>
      <c r="CWF11" s="29"/>
      <c r="CWG11" s="29"/>
      <c r="CWH11" s="29"/>
      <c r="CWI11" s="28"/>
      <c r="CWJ11" s="29"/>
      <c r="CWK11" s="29"/>
      <c r="CWL11" s="28"/>
      <c r="CWM11" s="29"/>
      <c r="CWN11" s="30"/>
      <c r="CWO11" s="28"/>
      <c r="CWP11" s="30"/>
      <c r="CWQ11" s="29"/>
      <c r="CWR11" s="28"/>
      <c r="CWS11" s="29"/>
      <c r="CWT11" s="28"/>
      <c r="CWU11" s="28"/>
      <c r="CWV11" s="28"/>
      <c r="CWW11" s="29"/>
      <c r="CWX11" s="385"/>
      <c r="CWY11" s="29"/>
      <c r="CWZ11" s="385"/>
      <c r="CXA11" s="29"/>
      <c r="CXB11" s="385"/>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30"/>
      <c r="CYI11" s="28"/>
      <c r="CYJ11" s="29"/>
      <c r="CYK11" s="29"/>
      <c r="CYL11" s="29"/>
      <c r="CYM11" s="29"/>
      <c r="CYN11" s="29"/>
      <c r="CYO11" s="28"/>
      <c r="CYP11" s="29"/>
      <c r="CYQ11" s="29"/>
      <c r="CYR11" s="28"/>
      <c r="CYS11" s="29"/>
      <c r="CYT11" s="30"/>
      <c r="CYU11" s="28"/>
      <c r="CYV11" s="29"/>
      <c r="CYW11" s="29"/>
      <c r="CYX11" s="29"/>
      <c r="CYY11" s="28"/>
      <c r="CYZ11" s="29"/>
      <c r="CZA11" s="29"/>
      <c r="CZB11" s="28"/>
      <c r="CZC11" s="29"/>
      <c r="CZD11" s="30"/>
      <c r="CZE11" s="28"/>
      <c r="CZF11" s="29"/>
      <c r="CZG11" s="29"/>
      <c r="CZH11" s="29"/>
      <c r="CZI11" s="28"/>
      <c r="CZJ11" s="29"/>
      <c r="CZK11" s="29"/>
      <c r="CZL11" s="28"/>
      <c r="CZM11" s="29"/>
      <c r="CZN11" s="30"/>
      <c r="CZO11" s="28"/>
      <c r="CZP11" s="29"/>
      <c r="CZQ11" s="29"/>
      <c r="CZR11" s="29"/>
      <c r="CZS11" s="28"/>
      <c r="CZT11" s="29"/>
      <c r="CZU11" s="29"/>
      <c r="CZV11" s="28"/>
      <c r="CZW11" s="29"/>
      <c r="CZX11" s="30"/>
      <c r="CZY11" s="28"/>
      <c r="CZZ11" s="30"/>
      <c r="DAA11" s="29"/>
      <c r="DAB11" s="28"/>
      <c r="DAC11" s="29"/>
      <c r="DAD11" s="28"/>
      <c r="DAE11" s="28"/>
      <c r="DAF11" s="28"/>
      <c r="DAG11" s="29"/>
      <c r="DAH11" s="385"/>
      <c r="DAI11" s="29"/>
      <c r="DAJ11" s="385"/>
      <c r="DAK11" s="29"/>
      <c r="DAL11" s="385"/>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30"/>
      <c r="DBS11" s="28"/>
      <c r="DBT11" s="29"/>
      <c r="DBU11" s="29"/>
      <c r="DBV11" s="29"/>
      <c r="DBW11" s="29"/>
      <c r="DBX11" s="29"/>
      <c r="DBY11" s="28"/>
      <c r="DBZ11" s="29"/>
      <c r="DCA11" s="29"/>
      <c r="DCB11" s="28"/>
      <c r="DCC11" s="29"/>
      <c r="DCD11" s="30"/>
      <c r="DCE11" s="28"/>
      <c r="DCF11" s="29"/>
      <c r="DCG11" s="29"/>
      <c r="DCH11" s="29"/>
      <c r="DCI11" s="28"/>
      <c r="DCJ11" s="29"/>
      <c r="DCK11" s="29"/>
      <c r="DCL11" s="28"/>
      <c r="DCM11" s="29"/>
      <c r="DCN11" s="30"/>
      <c r="DCO11" s="28"/>
      <c r="DCP11" s="29"/>
      <c r="DCQ11" s="29"/>
      <c r="DCR11" s="29"/>
      <c r="DCS11" s="28"/>
      <c r="DCT11" s="29"/>
      <c r="DCU11" s="29"/>
      <c r="DCV11" s="28"/>
      <c r="DCW11" s="29"/>
      <c r="DCX11" s="30"/>
      <c r="DCY11" s="28"/>
      <c r="DCZ11" s="29"/>
      <c r="DDA11" s="29"/>
      <c r="DDB11" s="29"/>
      <c r="DDC11" s="28"/>
      <c r="DDD11" s="29"/>
      <c r="DDE11" s="29"/>
      <c r="DDF11" s="28"/>
      <c r="DDG11" s="29"/>
      <c r="DDH11" s="30"/>
      <c r="DDI11" s="28"/>
      <c r="DDJ11" s="30"/>
      <c r="DDK11" s="29"/>
      <c r="DDL11" s="28"/>
      <c r="DDM11" s="29"/>
      <c r="DDN11" s="28"/>
      <c r="DDO11" s="28"/>
      <c r="DDP11" s="28"/>
      <c r="DDQ11" s="29"/>
      <c r="DDR11" s="385"/>
      <c r="DDS11" s="29"/>
      <c r="DDT11" s="385"/>
      <c r="DDU11" s="29"/>
      <c r="DDV11" s="385"/>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30"/>
      <c r="DFC11" s="28"/>
      <c r="DFD11" s="29"/>
      <c r="DFE11" s="29"/>
      <c r="DFF11" s="29"/>
      <c r="DFG11" s="29"/>
      <c r="DFH11" s="29"/>
      <c r="DFI11" s="28"/>
      <c r="DFJ11" s="29"/>
      <c r="DFK11" s="29"/>
      <c r="DFL11" s="28"/>
      <c r="DFM11" s="29"/>
      <c r="DFN11" s="30"/>
      <c r="DFO11" s="28"/>
      <c r="DFP11" s="29"/>
      <c r="DFQ11" s="29"/>
      <c r="DFR11" s="29"/>
      <c r="DFS11" s="28"/>
      <c r="DFT11" s="29"/>
      <c r="DFU11" s="29"/>
      <c r="DFV11" s="28"/>
      <c r="DFW11" s="29"/>
      <c r="DFX11" s="30"/>
      <c r="DFY11" s="28"/>
      <c r="DFZ11" s="29"/>
      <c r="DGA11" s="29"/>
      <c r="DGB11" s="29"/>
      <c r="DGC11" s="28"/>
      <c r="DGD11" s="29"/>
      <c r="DGE11" s="29"/>
      <c r="DGF11" s="28"/>
      <c r="DGG11" s="29"/>
      <c r="DGH11" s="30"/>
      <c r="DGI11" s="28"/>
      <c r="DGJ11" s="29"/>
      <c r="DGK11" s="29"/>
      <c r="DGL11" s="29"/>
      <c r="DGM11" s="28"/>
      <c r="DGN11" s="29"/>
      <c r="DGO11" s="29"/>
      <c r="DGP11" s="28"/>
      <c r="DGQ11" s="29"/>
      <c r="DGR11" s="30"/>
      <c r="DGS11" s="28"/>
      <c r="DGT11" s="30"/>
      <c r="DGU11" s="29"/>
      <c r="DGV11" s="28"/>
      <c r="DGW11" s="29"/>
      <c r="DGX11" s="28"/>
      <c r="DGY11" s="28"/>
      <c r="DGZ11" s="28"/>
      <c r="DHA11" s="29"/>
      <c r="DHB11" s="385"/>
      <c r="DHC11" s="29"/>
      <c r="DHD11" s="385"/>
      <c r="DHE11" s="29"/>
      <c r="DHF11" s="385"/>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30"/>
      <c r="DIM11" s="28"/>
      <c r="DIN11" s="29"/>
      <c r="DIO11" s="29"/>
      <c r="DIP11" s="29"/>
      <c r="DIQ11" s="29"/>
      <c r="DIR11" s="29"/>
      <c r="DIS11" s="28"/>
      <c r="DIT11" s="29"/>
      <c r="DIU11" s="29"/>
      <c r="DIV11" s="28"/>
      <c r="DIW11" s="29"/>
      <c r="DIX11" s="30"/>
      <c r="DIY11" s="28"/>
      <c r="DIZ11" s="29"/>
      <c r="DJA11" s="29"/>
      <c r="DJB11" s="29"/>
      <c r="DJC11" s="28"/>
      <c r="DJD11" s="29"/>
      <c r="DJE11" s="29"/>
      <c r="DJF11" s="28"/>
      <c r="DJG11" s="29"/>
      <c r="DJH11" s="30"/>
      <c r="DJI11" s="28"/>
      <c r="DJJ11" s="29"/>
      <c r="DJK11" s="29"/>
      <c r="DJL11" s="29"/>
      <c r="DJM11" s="28"/>
      <c r="DJN11" s="29"/>
      <c r="DJO11" s="29"/>
      <c r="DJP11" s="28"/>
      <c r="DJQ11" s="29"/>
      <c r="DJR11" s="30"/>
      <c r="DJS11" s="28"/>
      <c r="DJT11" s="29"/>
      <c r="DJU11" s="29"/>
      <c r="DJV11" s="29"/>
      <c r="DJW11" s="28"/>
      <c r="DJX11" s="29"/>
      <c r="DJY11" s="29"/>
      <c r="DJZ11" s="28"/>
      <c r="DKA11" s="29"/>
      <c r="DKB11" s="30"/>
      <c r="DKC11" s="28"/>
      <c r="DKD11" s="30"/>
      <c r="DKE11" s="29"/>
      <c r="DKF11" s="28"/>
      <c r="DKG11" s="29"/>
      <c r="DKH11" s="28"/>
      <c r="DKI11" s="28"/>
      <c r="DKJ11" s="28"/>
      <c r="DKK11" s="29"/>
      <c r="DKL11" s="385"/>
      <c r="DKM11" s="29"/>
      <c r="DKN11" s="385"/>
      <c r="DKO11" s="29"/>
      <c r="DKP11" s="385"/>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30"/>
      <c r="DLW11" s="28"/>
      <c r="DLX11" s="29"/>
      <c r="DLY11" s="29"/>
      <c r="DLZ11" s="29"/>
      <c r="DMA11" s="29"/>
      <c r="DMB11" s="29"/>
      <c r="DMC11" s="28"/>
      <c r="DMD11" s="29"/>
      <c r="DME11" s="29"/>
      <c r="DMF11" s="28"/>
      <c r="DMG11" s="29"/>
      <c r="DMH11" s="30"/>
      <c r="DMI11" s="28"/>
      <c r="DMJ11" s="29"/>
      <c r="DMK11" s="29"/>
      <c r="DML11" s="29"/>
      <c r="DMM11" s="28"/>
      <c r="DMN11" s="29"/>
      <c r="DMO11" s="29"/>
      <c r="DMP11" s="28"/>
      <c r="DMQ11" s="29"/>
      <c r="DMR11" s="30"/>
      <c r="DMS11" s="28"/>
      <c r="DMT11" s="29"/>
      <c r="DMU11" s="29"/>
      <c r="DMV11" s="29"/>
      <c r="DMW11" s="28"/>
      <c r="DMX11" s="29"/>
      <c r="DMY11" s="29"/>
      <c r="DMZ11" s="28"/>
      <c r="DNA11" s="29"/>
      <c r="DNB11" s="30"/>
      <c r="DNC11" s="28"/>
      <c r="DND11" s="29"/>
      <c r="DNE11" s="29"/>
      <c r="DNF11" s="29"/>
      <c r="DNG11" s="28"/>
      <c r="DNH11" s="29"/>
      <c r="DNI11" s="29"/>
      <c r="DNJ11" s="28"/>
      <c r="DNK11" s="29"/>
      <c r="DNL11" s="30"/>
      <c r="DNM11" s="28"/>
      <c r="DNN11" s="30"/>
      <c r="DNO11" s="29"/>
      <c r="DNP11" s="28"/>
      <c r="DNQ11" s="29"/>
      <c r="DNR11" s="28"/>
      <c r="DNS11" s="28"/>
      <c r="DNT11" s="28"/>
      <c r="DNU11" s="29"/>
      <c r="DNV11" s="385"/>
      <c r="DNW11" s="29"/>
      <c r="DNX11" s="385"/>
      <c r="DNY11" s="29"/>
      <c r="DNZ11" s="385"/>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30"/>
      <c r="DPG11" s="28"/>
      <c r="DPH11" s="29"/>
      <c r="DPI11" s="29"/>
      <c r="DPJ11" s="29"/>
      <c r="DPK11" s="29"/>
      <c r="DPL11" s="29"/>
      <c r="DPM11" s="28"/>
      <c r="DPN11" s="29"/>
      <c r="DPO11" s="29"/>
      <c r="DPP11" s="28"/>
      <c r="DPQ11" s="29"/>
      <c r="DPR11" s="30"/>
      <c r="DPS11" s="28"/>
      <c r="DPT11" s="29"/>
      <c r="DPU11" s="29"/>
      <c r="DPV11" s="29"/>
      <c r="DPW11" s="28"/>
      <c r="DPX11" s="29"/>
      <c r="DPY11" s="29"/>
      <c r="DPZ11" s="28"/>
      <c r="DQA11" s="29"/>
      <c r="DQB11" s="30"/>
      <c r="DQC11" s="28"/>
      <c r="DQD11" s="29"/>
      <c r="DQE11" s="29"/>
      <c r="DQF11" s="29"/>
      <c r="DQG11" s="28"/>
      <c r="DQH11" s="29"/>
      <c r="DQI11" s="29"/>
      <c r="DQJ11" s="28"/>
      <c r="DQK11" s="29"/>
      <c r="DQL11" s="30"/>
      <c r="DQM11" s="28"/>
      <c r="DQN11" s="29"/>
      <c r="DQO11" s="29"/>
      <c r="DQP11" s="29"/>
      <c r="DQQ11" s="28"/>
      <c r="DQR11" s="29"/>
      <c r="DQS11" s="29"/>
      <c r="DQT11" s="28"/>
      <c r="DQU11" s="29"/>
      <c r="DQV11" s="30"/>
      <c r="DQW11" s="28"/>
      <c r="DQX11" s="30"/>
      <c r="DQY11" s="29"/>
      <c r="DQZ11" s="28"/>
      <c r="DRA11" s="29"/>
      <c r="DRB11" s="28"/>
      <c r="DRC11" s="28"/>
      <c r="DRD11" s="28"/>
      <c r="DRE11" s="29"/>
      <c r="DRF11" s="385"/>
      <c r="DRG11" s="29"/>
      <c r="DRH11" s="385"/>
      <c r="DRI11" s="29"/>
      <c r="DRJ11" s="385"/>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30"/>
      <c r="DSQ11" s="28"/>
      <c r="DSR11" s="29"/>
      <c r="DSS11" s="29"/>
      <c r="DST11" s="29"/>
      <c r="DSU11" s="29"/>
      <c r="DSV11" s="29"/>
      <c r="DSW11" s="28"/>
      <c r="DSX11" s="29"/>
      <c r="DSY11" s="29"/>
      <c r="DSZ11" s="28"/>
      <c r="DTA11" s="29"/>
      <c r="DTB11" s="30"/>
      <c r="DTC11" s="28"/>
      <c r="DTD11" s="29"/>
      <c r="DTE11" s="29"/>
      <c r="DTF11" s="29"/>
      <c r="DTG11" s="28"/>
      <c r="DTH11" s="29"/>
      <c r="DTI11" s="29"/>
      <c r="DTJ11" s="28"/>
      <c r="DTK11" s="29"/>
      <c r="DTL11" s="30"/>
      <c r="DTM11" s="28"/>
      <c r="DTN11" s="29"/>
      <c r="DTO11" s="29"/>
      <c r="DTP11" s="29"/>
      <c r="DTQ11" s="28"/>
      <c r="DTR11" s="29"/>
      <c r="DTS11" s="29"/>
      <c r="DTT11" s="28"/>
      <c r="DTU11" s="29"/>
      <c r="DTV11" s="30"/>
      <c r="DTW11" s="28"/>
      <c r="DTX11" s="29"/>
      <c r="DTY11" s="29"/>
      <c r="DTZ11" s="29"/>
      <c r="DUA11" s="28"/>
      <c r="DUB11" s="29"/>
      <c r="DUC11" s="29"/>
      <c r="DUD11" s="28"/>
      <c r="DUE11" s="29"/>
      <c r="DUF11" s="30"/>
      <c r="DUG11" s="28"/>
      <c r="DUH11" s="30"/>
      <c r="DUI11" s="29"/>
      <c r="DUJ11" s="28"/>
      <c r="DUK11" s="29"/>
      <c r="DUL11" s="28"/>
      <c r="DUM11" s="28"/>
      <c r="DUN11" s="28"/>
      <c r="DUO11" s="29"/>
      <c r="DUP11" s="385"/>
      <c r="DUQ11" s="29"/>
      <c r="DUR11" s="385"/>
      <c r="DUS11" s="29"/>
      <c r="DUT11" s="385"/>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30"/>
      <c r="DWA11" s="28"/>
      <c r="DWB11" s="29"/>
      <c r="DWC11" s="29"/>
      <c r="DWD11" s="29"/>
      <c r="DWE11" s="29"/>
      <c r="DWF11" s="29"/>
      <c r="DWG11" s="28"/>
      <c r="DWH11" s="29"/>
      <c r="DWI11" s="29"/>
      <c r="DWJ11" s="28"/>
      <c r="DWK11" s="29"/>
      <c r="DWL11" s="30"/>
      <c r="DWM11" s="28"/>
      <c r="DWN11" s="29"/>
      <c r="DWO11" s="29"/>
      <c r="DWP11" s="29"/>
      <c r="DWQ11" s="28"/>
      <c r="DWR11" s="29"/>
      <c r="DWS11" s="29"/>
      <c r="DWT11" s="28"/>
      <c r="DWU11" s="29"/>
      <c r="DWV11" s="30"/>
      <c r="DWW11" s="28"/>
      <c r="DWX11" s="29"/>
      <c r="DWY11" s="29"/>
      <c r="DWZ11" s="29"/>
      <c r="DXA11" s="28"/>
      <c r="DXB11" s="29"/>
      <c r="DXC11" s="29"/>
      <c r="DXD11" s="28"/>
      <c r="DXE11" s="29"/>
      <c r="DXF11" s="30"/>
      <c r="DXG11" s="28"/>
      <c r="DXH11" s="29"/>
      <c r="DXI11" s="29"/>
      <c r="DXJ11" s="29"/>
      <c r="DXK11" s="28"/>
      <c r="DXL11" s="29"/>
      <c r="DXM11" s="29"/>
      <c r="DXN11" s="28"/>
      <c r="DXO11" s="29"/>
      <c r="DXP11" s="30"/>
      <c r="DXQ11" s="28"/>
      <c r="DXR11" s="30"/>
      <c r="DXS11" s="29"/>
      <c r="DXT11" s="28"/>
      <c r="DXU11" s="29"/>
      <c r="DXV11" s="28"/>
      <c r="DXW11" s="28"/>
      <c r="DXX11" s="28"/>
      <c r="DXY11" s="29"/>
      <c r="DXZ11" s="385"/>
      <c r="DYA11" s="29"/>
      <c r="DYB11" s="385"/>
      <c r="DYC11" s="29"/>
      <c r="DYD11" s="385"/>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30"/>
      <c r="DZK11" s="28"/>
      <c r="DZL11" s="29"/>
      <c r="DZM11" s="29"/>
      <c r="DZN11" s="29"/>
      <c r="DZO11" s="29"/>
      <c r="DZP11" s="29"/>
      <c r="DZQ11" s="28"/>
      <c r="DZR11" s="29"/>
      <c r="DZS11" s="29"/>
      <c r="DZT11" s="28"/>
      <c r="DZU11" s="29"/>
      <c r="DZV11" s="30"/>
      <c r="DZW11" s="28"/>
      <c r="DZX11" s="29"/>
      <c r="DZY11" s="29"/>
      <c r="DZZ11" s="29"/>
      <c r="EAA11" s="28"/>
      <c r="EAB11" s="29"/>
      <c r="EAC11" s="29"/>
      <c r="EAD11" s="28"/>
      <c r="EAE11" s="29"/>
      <c r="EAF11" s="30"/>
      <c r="EAG11" s="28"/>
      <c r="EAH11" s="29"/>
      <c r="EAI11" s="29"/>
      <c r="EAJ11" s="29"/>
      <c r="EAK11" s="28"/>
      <c r="EAL11" s="29"/>
      <c r="EAM11" s="29"/>
      <c r="EAN11" s="28"/>
      <c r="EAO11" s="29"/>
      <c r="EAP11" s="30"/>
      <c r="EAQ11" s="28"/>
      <c r="EAR11" s="29"/>
      <c r="EAS11" s="29"/>
      <c r="EAT11" s="29"/>
      <c r="EAU11" s="28"/>
      <c r="EAV11" s="29"/>
      <c r="EAW11" s="29"/>
      <c r="EAX11" s="28"/>
      <c r="EAY11" s="29"/>
      <c r="EAZ11" s="30"/>
      <c r="EBA11" s="28"/>
      <c r="EBB11" s="30"/>
      <c r="EBC11" s="29"/>
      <c r="EBD11" s="28"/>
      <c r="EBE11" s="29"/>
      <c r="EBF11" s="28"/>
      <c r="EBG11" s="28"/>
      <c r="EBH11" s="28"/>
      <c r="EBI11" s="29"/>
      <c r="EBJ11" s="385"/>
      <c r="EBK11" s="29"/>
      <c r="EBL11" s="385"/>
      <c r="EBM11" s="29"/>
      <c r="EBN11" s="385"/>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30"/>
      <c r="ECU11" s="28"/>
      <c r="ECV11" s="29"/>
      <c r="ECW11" s="29"/>
      <c r="ECX11" s="29"/>
      <c r="ECY11" s="29"/>
      <c r="ECZ11" s="29"/>
      <c r="EDA11" s="28"/>
      <c r="EDB11" s="29"/>
      <c r="EDC11" s="29"/>
      <c r="EDD11" s="28"/>
      <c r="EDE11" s="29"/>
      <c r="EDF11" s="30"/>
      <c r="EDG11" s="28"/>
      <c r="EDH11" s="29"/>
      <c r="EDI11" s="29"/>
      <c r="EDJ11" s="29"/>
      <c r="EDK11" s="28"/>
      <c r="EDL11" s="29"/>
      <c r="EDM11" s="29"/>
      <c r="EDN11" s="28"/>
      <c r="EDO11" s="29"/>
      <c r="EDP11" s="30"/>
      <c r="EDQ11" s="28"/>
      <c r="EDR11" s="29"/>
      <c r="EDS11" s="29"/>
      <c r="EDT11" s="29"/>
      <c r="EDU11" s="28"/>
      <c r="EDV11" s="29"/>
      <c r="EDW11" s="29"/>
      <c r="EDX11" s="28"/>
      <c r="EDY11" s="29"/>
      <c r="EDZ11" s="30"/>
      <c r="EEA11" s="28"/>
      <c r="EEB11" s="29"/>
      <c r="EEC11" s="29"/>
      <c r="EED11" s="29"/>
      <c r="EEE11" s="28"/>
      <c r="EEF11" s="29"/>
      <c r="EEG11" s="29"/>
      <c r="EEH11" s="28"/>
      <c r="EEI11" s="29"/>
      <c r="EEJ11" s="30"/>
      <c r="EEK11" s="28"/>
      <c r="EEL11" s="30"/>
      <c r="EEM11" s="29"/>
      <c r="EEN11" s="28"/>
      <c r="EEO11" s="29"/>
      <c r="EEP11" s="28"/>
      <c r="EEQ11" s="28"/>
      <c r="EER11" s="28"/>
      <c r="EES11" s="29"/>
      <c r="EET11" s="385"/>
      <c r="EEU11" s="29"/>
      <c r="EEV11" s="385"/>
      <c r="EEW11" s="29"/>
      <c r="EEX11" s="385"/>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30"/>
      <c r="EGE11" s="28"/>
      <c r="EGF11" s="29"/>
      <c r="EGG11" s="29"/>
      <c r="EGH11" s="29"/>
      <c r="EGI11" s="29"/>
      <c r="EGJ11" s="29"/>
      <c r="EGK11" s="28"/>
      <c r="EGL11" s="29"/>
      <c r="EGM11" s="29"/>
      <c r="EGN11" s="28"/>
      <c r="EGO11" s="29"/>
      <c r="EGP11" s="30"/>
      <c r="EGQ11" s="28"/>
      <c r="EGR11" s="29"/>
      <c r="EGS11" s="29"/>
      <c r="EGT11" s="29"/>
      <c r="EGU11" s="28"/>
      <c r="EGV11" s="29"/>
      <c r="EGW11" s="29"/>
      <c r="EGX11" s="28"/>
      <c r="EGY11" s="29"/>
      <c r="EGZ11" s="30"/>
      <c r="EHA11" s="28"/>
      <c r="EHB11" s="29"/>
      <c r="EHC11" s="29"/>
      <c r="EHD11" s="29"/>
      <c r="EHE11" s="28"/>
      <c r="EHF11" s="29"/>
      <c r="EHG11" s="29"/>
      <c r="EHH11" s="28"/>
      <c r="EHI11" s="29"/>
      <c r="EHJ11" s="30"/>
      <c r="EHK11" s="28"/>
      <c r="EHL11" s="29"/>
      <c r="EHM11" s="29"/>
      <c r="EHN11" s="29"/>
      <c r="EHO11" s="28"/>
      <c r="EHP11" s="29"/>
      <c r="EHQ11" s="29"/>
      <c r="EHR11" s="28"/>
      <c r="EHS11" s="29"/>
      <c r="EHT11" s="30"/>
      <c r="EHU11" s="28"/>
      <c r="EHV11" s="30"/>
      <c r="EHW11" s="29"/>
      <c r="EHX11" s="28"/>
      <c r="EHY11" s="29"/>
      <c r="EHZ11" s="28"/>
      <c r="EIA11" s="28"/>
      <c r="EIB11" s="28"/>
      <c r="EIC11" s="29"/>
      <c r="EID11" s="385"/>
      <c r="EIE11" s="29"/>
      <c r="EIF11" s="385"/>
      <c r="EIG11" s="29"/>
      <c r="EIH11" s="385"/>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30"/>
      <c r="EJO11" s="28"/>
      <c r="EJP11" s="29"/>
      <c r="EJQ11" s="29"/>
      <c r="EJR11" s="29"/>
      <c r="EJS11" s="29"/>
      <c r="EJT11" s="29"/>
      <c r="EJU11" s="28"/>
      <c r="EJV11" s="29"/>
      <c r="EJW11" s="29"/>
      <c r="EJX11" s="28"/>
      <c r="EJY11" s="29"/>
      <c r="EJZ11" s="30"/>
      <c r="EKA11" s="28"/>
      <c r="EKB11" s="29"/>
      <c r="EKC11" s="29"/>
      <c r="EKD11" s="29"/>
      <c r="EKE11" s="28"/>
      <c r="EKF11" s="29"/>
      <c r="EKG11" s="29"/>
      <c r="EKH11" s="28"/>
      <c r="EKI11" s="29"/>
      <c r="EKJ11" s="30"/>
      <c r="EKK11" s="28"/>
      <c r="EKL11" s="29"/>
      <c r="EKM11" s="29"/>
      <c r="EKN11" s="29"/>
      <c r="EKO11" s="28"/>
      <c r="EKP11" s="29"/>
      <c r="EKQ11" s="29"/>
      <c r="EKR11" s="28"/>
      <c r="EKS11" s="29"/>
      <c r="EKT11" s="30"/>
      <c r="EKU11" s="28"/>
      <c r="EKV11" s="29"/>
      <c r="EKW11" s="29"/>
      <c r="EKX11" s="29"/>
      <c r="EKY11" s="28"/>
      <c r="EKZ11" s="29"/>
      <c r="ELA11" s="29"/>
      <c r="ELB11" s="28"/>
      <c r="ELC11" s="29"/>
      <c r="ELD11" s="30"/>
      <c r="ELE11" s="28"/>
      <c r="ELF11" s="30"/>
      <c r="ELG11" s="29"/>
      <c r="ELH11" s="28"/>
      <c r="ELI11" s="29"/>
      <c r="ELJ11" s="28"/>
      <c r="ELK11" s="28"/>
      <c r="ELL11" s="28"/>
      <c r="ELM11" s="29"/>
      <c r="ELN11" s="385"/>
      <c r="ELO11" s="29"/>
      <c r="ELP11" s="385"/>
      <c r="ELQ11" s="29"/>
      <c r="ELR11" s="385"/>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30"/>
      <c r="EMY11" s="28"/>
      <c r="EMZ11" s="29"/>
      <c r="ENA11" s="29"/>
      <c r="ENB11" s="29"/>
      <c r="ENC11" s="29"/>
      <c r="END11" s="29"/>
      <c r="ENE11" s="28"/>
      <c r="ENF11" s="29"/>
      <c r="ENG11" s="29"/>
      <c r="ENH11" s="28"/>
      <c r="ENI11" s="29"/>
      <c r="ENJ11" s="30"/>
      <c r="ENK11" s="28"/>
      <c r="ENL11" s="29"/>
      <c r="ENM11" s="29"/>
      <c r="ENN11" s="29"/>
      <c r="ENO11" s="28"/>
      <c r="ENP11" s="29"/>
      <c r="ENQ11" s="29"/>
      <c r="ENR11" s="28"/>
      <c r="ENS11" s="29"/>
      <c r="ENT11" s="30"/>
      <c r="ENU11" s="28"/>
      <c r="ENV11" s="29"/>
      <c r="ENW11" s="29"/>
      <c r="ENX11" s="29"/>
      <c r="ENY11" s="28"/>
      <c r="ENZ11" s="29"/>
      <c r="EOA11" s="29"/>
      <c r="EOB11" s="28"/>
      <c r="EOC11" s="29"/>
      <c r="EOD11" s="30"/>
      <c r="EOE11" s="28"/>
      <c r="EOF11" s="29"/>
      <c r="EOG11" s="29"/>
      <c r="EOH11" s="29"/>
      <c r="EOI11" s="28"/>
      <c r="EOJ11" s="29"/>
      <c r="EOK11" s="29"/>
      <c r="EOL11" s="28"/>
      <c r="EOM11" s="29"/>
      <c r="EON11" s="30"/>
      <c r="EOO11" s="28" t="str">
        <f t="shared" si="75"/>
        <v xml:space="preserve"> </v>
      </c>
    </row>
    <row r="12" spans="1:3873" x14ac:dyDescent="0.3">
      <c r="A12" s="55" t="s">
        <v>142</v>
      </c>
      <c r="B12" s="58"/>
      <c r="C12" s="57"/>
      <c r="D12" s="56" t="str">
        <f t="shared" si="61"/>
        <v xml:space="preserve"> </v>
      </c>
      <c r="E12" s="57"/>
      <c r="F12" s="56"/>
      <c r="G12" s="56"/>
      <c r="H12" s="56"/>
      <c r="I12" s="57"/>
      <c r="J12" s="387"/>
      <c r="K12" s="57"/>
      <c r="L12" s="387"/>
      <c r="M12" s="57"/>
      <c r="N12" s="38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8"/>
      <c r="AU12" s="56"/>
      <c r="AV12" s="57"/>
      <c r="AW12" s="57"/>
      <c r="AX12" s="57"/>
      <c r="AY12" s="57"/>
      <c r="AZ12" s="57"/>
      <c r="BA12" s="56"/>
      <c r="BB12" s="57"/>
      <c r="BC12" s="57"/>
      <c r="BD12" s="56"/>
      <c r="BE12" s="57"/>
      <c r="BF12" s="58"/>
      <c r="BG12" s="56"/>
      <c r="BH12" s="57"/>
      <c r="BI12" s="57"/>
      <c r="BJ12" s="57"/>
      <c r="BK12" s="56"/>
      <c r="BL12" s="57"/>
      <c r="BM12" s="57"/>
      <c r="BN12" s="56"/>
      <c r="BO12" s="57"/>
      <c r="BP12" s="58"/>
      <c r="BQ12" s="56"/>
      <c r="BR12" s="57"/>
      <c r="BS12" s="57"/>
      <c r="BT12" s="57"/>
      <c r="BU12" s="56"/>
      <c r="BV12" s="57"/>
      <c r="BW12" s="57"/>
      <c r="BX12" s="56"/>
      <c r="BY12" s="57"/>
      <c r="BZ12" s="58"/>
      <c r="CA12" s="56"/>
      <c r="CB12" s="57"/>
      <c r="CC12" s="57"/>
      <c r="CD12" s="57"/>
      <c r="CE12" s="56"/>
      <c r="CF12" s="57"/>
      <c r="CG12" s="57"/>
      <c r="CH12" s="56"/>
      <c r="CI12" s="57"/>
      <c r="CJ12" s="58"/>
      <c r="CK12" s="56"/>
      <c r="CL12" s="57"/>
      <c r="CM12" s="57"/>
      <c r="CN12" s="57"/>
      <c r="CO12" s="56"/>
      <c r="CP12" s="57"/>
      <c r="CQ12" s="57"/>
      <c r="CR12" s="56"/>
      <c r="CS12" s="57"/>
      <c r="CT12" s="58"/>
      <c r="CU12" s="56"/>
      <c r="CV12" s="57"/>
      <c r="CW12" s="57"/>
      <c r="CX12" s="57"/>
      <c r="CY12" s="56"/>
      <c r="CZ12" s="57"/>
      <c r="DA12" s="57"/>
      <c r="DB12" s="56"/>
      <c r="DC12" s="57"/>
      <c r="DD12" s="58"/>
      <c r="DE12" s="56"/>
      <c r="DF12" s="57"/>
      <c r="DG12" s="57"/>
      <c r="DH12" s="57"/>
      <c r="DI12" s="56"/>
      <c r="DJ12" s="57"/>
      <c r="DK12" s="57"/>
      <c r="DL12" s="56"/>
      <c r="DM12" s="57"/>
      <c r="DN12" s="58"/>
      <c r="DO12" s="56"/>
      <c r="DP12" s="57"/>
      <c r="DQ12" s="57"/>
      <c r="DR12" s="57"/>
      <c r="DS12" s="56"/>
      <c r="DT12" s="57"/>
      <c r="DU12" s="57"/>
      <c r="DV12" s="56"/>
      <c r="DW12" s="57"/>
      <c r="DX12" s="58"/>
      <c r="DY12" s="56"/>
      <c r="DZ12" s="57"/>
      <c r="EA12" s="57"/>
      <c r="EB12" s="57"/>
      <c r="EC12" s="56"/>
      <c r="ED12" s="57"/>
      <c r="EE12" s="56"/>
      <c r="EF12" s="56"/>
      <c r="EG12" s="57"/>
      <c r="EH12" s="58"/>
      <c r="EI12" s="56"/>
      <c r="EJ12" s="57"/>
      <c r="EK12" s="57"/>
      <c r="EL12" s="57"/>
      <c r="EM12" s="56"/>
      <c r="EN12" s="57"/>
      <c r="EO12" s="57"/>
      <c r="EP12" s="56"/>
      <c r="EQ12" s="57"/>
      <c r="ER12" s="58"/>
      <c r="ES12" s="56"/>
      <c r="ET12" s="57"/>
      <c r="EU12" s="57"/>
      <c r="EV12" s="57"/>
      <c r="EW12" s="56"/>
      <c r="EX12" s="57"/>
      <c r="EY12" s="57"/>
      <c r="EZ12" s="56"/>
      <c r="FA12" s="57"/>
      <c r="FB12" s="58"/>
      <c r="FC12" s="56"/>
      <c r="FD12" s="57"/>
      <c r="FE12" s="57"/>
      <c r="FF12" s="57"/>
      <c r="FG12" s="56"/>
      <c r="FH12" s="57"/>
      <c r="FI12" s="57"/>
      <c r="FJ12" s="56"/>
      <c r="FK12" s="57"/>
      <c r="FL12" s="58"/>
      <c r="FM12" s="56"/>
      <c r="FN12" s="57"/>
      <c r="FO12" s="57"/>
      <c r="FP12" s="57"/>
      <c r="FQ12" s="56"/>
      <c r="FR12" s="57"/>
      <c r="FS12" s="57"/>
      <c r="FT12" s="56"/>
      <c r="FU12" s="57"/>
      <c r="FV12" s="58"/>
      <c r="FW12" s="56"/>
      <c r="FX12" s="57"/>
      <c r="FY12" s="57"/>
      <c r="FZ12" s="57"/>
      <c r="GA12" s="56"/>
      <c r="GB12" s="57"/>
      <c r="GC12" s="57"/>
      <c r="GD12" s="56"/>
      <c r="GE12" s="57"/>
      <c r="GF12" s="58"/>
      <c r="GG12" s="56"/>
      <c r="GH12" s="57"/>
      <c r="GI12" s="57"/>
      <c r="GJ12" s="57"/>
      <c r="GK12" s="56"/>
      <c r="GL12" s="57"/>
      <c r="GM12" s="57"/>
      <c r="GN12" s="56"/>
      <c r="GO12" s="57"/>
      <c r="GP12" s="58"/>
      <c r="GQ12" s="56"/>
      <c r="GR12" s="57"/>
      <c r="GS12" s="57"/>
      <c r="GT12" s="57"/>
      <c r="GU12" s="56"/>
      <c r="GV12" s="57"/>
      <c r="GW12" s="57"/>
      <c r="GX12" s="56"/>
      <c r="GY12" s="57"/>
      <c r="GZ12" s="58"/>
      <c r="HA12" s="56"/>
      <c r="HB12" s="57"/>
      <c r="HC12" s="57"/>
      <c r="HD12" s="57"/>
      <c r="HE12" s="56"/>
      <c r="HF12" s="57"/>
      <c r="HG12" s="57"/>
      <c r="HH12" s="56"/>
      <c r="HI12" s="57"/>
      <c r="HJ12" s="58"/>
      <c r="HK12" s="56"/>
      <c r="HL12" s="57"/>
      <c r="HM12" s="57"/>
      <c r="HN12" s="57"/>
      <c r="HO12" s="56"/>
      <c r="HP12" s="57"/>
      <c r="HQ12" s="57"/>
      <c r="HR12" s="56"/>
      <c r="HS12" s="57"/>
      <c r="HT12" s="58"/>
      <c r="HU12" s="56"/>
      <c r="HV12" s="57"/>
      <c r="HW12" s="57"/>
      <c r="HX12" s="57"/>
      <c r="HY12" s="56"/>
      <c r="HZ12" s="57"/>
      <c r="IA12" s="57"/>
      <c r="IB12" s="56"/>
      <c r="IC12" s="57"/>
      <c r="ID12" s="58"/>
      <c r="IE12" s="56"/>
      <c r="IF12" s="57"/>
      <c r="IG12" s="57"/>
      <c r="IH12" s="57"/>
      <c r="II12" s="56"/>
      <c r="IJ12" s="57"/>
      <c r="IK12" s="57"/>
      <c r="IL12" s="56"/>
      <c r="IM12" s="57"/>
      <c r="IN12" s="58"/>
      <c r="IO12" s="56"/>
      <c r="IP12" s="57"/>
      <c r="IQ12" s="57"/>
      <c r="IR12" s="57"/>
      <c r="IS12" s="56"/>
      <c r="IT12" s="57"/>
      <c r="IU12" s="57"/>
      <c r="IV12" s="56"/>
      <c r="IW12" s="57"/>
      <c r="IX12" s="58"/>
      <c r="IY12" s="56"/>
      <c r="IZ12" s="57"/>
      <c r="JA12" s="57"/>
      <c r="JB12" s="57"/>
      <c r="JC12" s="56"/>
      <c r="JD12" s="57"/>
      <c r="JE12" s="57"/>
      <c r="JF12" s="56"/>
      <c r="JG12" s="57"/>
      <c r="JH12" s="58"/>
      <c r="JI12" s="56"/>
      <c r="JJ12" s="57"/>
      <c r="JK12" s="57"/>
      <c r="JL12" s="57"/>
      <c r="JM12" s="56"/>
      <c r="JN12" s="57"/>
      <c r="JO12" s="57"/>
      <c r="JP12" s="56"/>
      <c r="JQ12" s="57"/>
      <c r="JR12" s="58"/>
      <c r="JS12" s="56"/>
      <c r="JT12" s="57"/>
      <c r="JU12" s="57"/>
      <c r="JV12" s="57"/>
      <c r="JW12" s="56"/>
      <c r="JX12" s="57"/>
      <c r="JY12" s="57"/>
      <c r="JZ12" s="56"/>
      <c r="KA12" s="57"/>
      <c r="KB12" s="58"/>
      <c r="KC12" s="56"/>
      <c r="KD12" s="57"/>
      <c r="KE12" s="57"/>
      <c r="KF12" s="57"/>
      <c r="KG12" s="56"/>
      <c r="KH12" s="57"/>
      <c r="KI12" s="57"/>
      <c r="KJ12" s="56"/>
      <c r="KK12" s="57"/>
      <c r="KL12" s="58"/>
      <c r="KM12" s="56"/>
      <c r="KN12" s="57"/>
      <c r="KO12" s="57"/>
      <c r="KP12" s="57"/>
      <c r="KQ12" s="56"/>
      <c r="KR12" s="57"/>
      <c r="KS12" s="57"/>
      <c r="KT12" s="56"/>
      <c r="KU12" s="57"/>
      <c r="KV12" s="58"/>
      <c r="KW12" s="56"/>
      <c r="KX12" s="57"/>
      <c r="KY12" s="57"/>
      <c r="KZ12" s="57"/>
      <c r="LA12" s="56"/>
      <c r="LB12" s="57"/>
      <c r="LC12" s="57"/>
      <c r="LD12" s="56"/>
      <c r="LE12" s="57"/>
      <c r="LF12" s="58"/>
      <c r="LG12" s="56"/>
      <c r="LH12" s="57"/>
      <c r="LI12" s="57"/>
      <c r="LJ12" s="57"/>
      <c r="LK12" s="56"/>
      <c r="LL12" s="57"/>
      <c r="LM12" s="57"/>
      <c r="LN12" s="56"/>
      <c r="LO12" s="57"/>
      <c r="LP12" s="58"/>
      <c r="LQ12" s="56"/>
      <c r="LR12" s="57"/>
      <c r="LS12" s="57"/>
      <c r="LT12" s="57"/>
      <c r="LU12" s="56"/>
      <c r="LV12" s="57"/>
      <c r="LW12" s="57"/>
      <c r="LX12" s="56"/>
      <c r="LY12" s="57"/>
      <c r="LZ12" s="58"/>
      <c r="MA12" s="56"/>
      <c r="MB12" s="57"/>
      <c r="MC12" s="57"/>
      <c r="MD12" s="57"/>
      <c r="ME12" s="56"/>
      <c r="MF12" s="57"/>
      <c r="MG12" s="57"/>
      <c r="MH12" s="56"/>
      <c r="MI12" s="57"/>
      <c r="MJ12" s="58"/>
      <c r="MK12" s="56"/>
      <c r="ML12" s="57"/>
      <c r="MM12" s="57"/>
      <c r="MN12" s="57"/>
      <c r="MO12" s="56"/>
      <c r="MP12" s="57"/>
      <c r="MQ12" s="57"/>
      <c r="MR12" s="56"/>
      <c r="MS12" s="57"/>
      <c r="MT12" s="58"/>
      <c r="MU12" s="56"/>
      <c r="MV12" s="57"/>
      <c r="MW12" s="57"/>
      <c r="MX12" s="57"/>
      <c r="MY12" s="56"/>
      <c r="MZ12" s="57"/>
      <c r="NA12" s="57"/>
      <c r="NB12" s="56"/>
      <c r="NC12" s="57"/>
      <c r="ND12" s="58"/>
      <c r="NE12" s="56"/>
      <c r="NF12" s="57"/>
      <c r="NG12" s="57"/>
      <c r="NH12" s="57"/>
      <c r="NI12" s="56"/>
      <c r="NJ12" s="57"/>
      <c r="NK12" s="57"/>
      <c r="NL12" s="56"/>
      <c r="NM12" s="57"/>
      <c r="NN12" s="58"/>
      <c r="NO12" s="56"/>
      <c r="NP12" s="57"/>
      <c r="NQ12" s="57"/>
      <c r="NR12" s="57"/>
      <c r="NS12" s="56"/>
      <c r="NT12" s="57"/>
      <c r="NU12" s="57"/>
      <c r="NV12" s="56"/>
      <c r="NW12" s="57"/>
      <c r="NX12" s="58"/>
      <c r="NY12" s="56"/>
      <c r="NZ12" s="57"/>
      <c r="OA12" s="57"/>
      <c r="OB12" s="57"/>
      <c r="OC12" s="56"/>
      <c r="OD12" s="57"/>
      <c r="OE12" s="57"/>
      <c r="OF12" s="58"/>
      <c r="OG12" s="58"/>
      <c r="OH12" s="58"/>
      <c r="OI12" s="56"/>
      <c r="OJ12" s="58"/>
      <c r="OK12" s="58"/>
      <c r="OL12" s="58"/>
      <c r="OM12" s="58"/>
      <c r="ON12" s="58"/>
      <c r="OO12" s="58"/>
      <c r="OP12" s="56"/>
      <c r="OQ12" s="57"/>
      <c r="OR12" s="58"/>
      <c r="OS12" s="56"/>
      <c r="OT12" s="57"/>
      <c r="OU12" s="57"/>
      <c r="OV12" s="57"/>
      <c r="OW12" s="56"/>
      <c r="OX12" s="57"/>
      <c r="OY12" s="57"/>
      <c r="OZ12" s="56"/>
      <c r="PA12" s="57"/>
      <c r="PB12" s="58"/>
      <c r="PC12" s="56"/>
      <c r="PD12" s="57"/>
      <c r="PE12" s="57"/>
      <c r="PF12" s="57"/>
      <c r="PG12" s="56"/>
      <c r="PH12" s="57"/>
      <c r="PI12" s="57"/>
      <c r="PJ12" s="56"/>
      <c r="PK12" s="57"/>
      <c r="PL12" s="58"/>
      <c r="PM12" s="56"/>
      <c r="PN12" s="57"/>
      <c r="PO12" s="57"/>
      <c r="PP12" s="57"/>
      <c r="PQ12" s="56"/>
      <c r="PR12" s="57"/>
      <c r="PS12" s="57"/>
      <c r="PT12" s="56"/>
      <c r="PU12" s="57"/>
      <c r="PV12" s="58"/>
      <c r="PW12" s="56"/>
      <c r="PX12" s="57"/>
      <c r="PY12" s="57"/>
      <c r="PZ12" s="57"/>
      <c r="QA12" s="56"/>
      <c r="QB12" s="57"/>
      <c r="QC12" s="57"/>
      <c r="QD12" s="56"/>
      <c r="QE12" s="57"/>
      <c r="QF12" s="58"/>
      <c r="QG12" s="56"/>
      <c r="QH12" s="57"/>
      <c r="QI12" s="57"/>
      <c r="QJ12" s="57"/>
      <c r="QK12" s="56"/>
      <c r="QL12" s="57"/>
      <c r="QM12" s="57"/>
      <c r="QN12" s="56"/>
      <c r="QO12" s="57"/>
      <c r="QP12" s="58"/>
      <c r="QQ12" s="56"/>
      <c r="QR12" s="57"/>
      <c r="QS12" s="57"/>
      <c r="QT12" s="57"/>
      <c r="QU12" s="56"/>
      <c r="QV12" s="57"/>
      <c r="QW12" s="57"/>
      <c r="QX12" s="56"/>
      <c r="QY12" s="57"/>
      <c r="QZ12" s="58"/>
      <c r="RA12" s="56"/>
      <c r="RB12" s="57"/>
      <c r="RC12" s="57"/>
      <c r="RD12" s="57"/>
      <c r="RE12" s="56"/>
      <c r="RF12" s="57"/>
      <c r="RG12" s="57"/>
      <c r="RH12" s="56"/>
      <c r="RI12" s="57"/>
      <c r="RJ12" s="58"/>
      <c r="RK12" s="56"/>
      <c r="RL12" s="57"/>
      <c r="RM12" s="57"/>
      <c r="RN12" s="57"/>
      <c r="RO12" s="56"/>
      <c r="RP12" s="57"/>
      <c r="RQ12" s="57"/>
      <c r="RR12" s="56"/>
      <c r="RS12" s="57"/>
      <c r="RT12" s="58"/>
      <c r="RU12" s="56"/>
      <c r="RV12" s="57"/>
      <c r="RW12" s="57"/>
      <c r="RX12" s="57"/>
      <c r="RY12" s="56"/>
      <c r="RZ12" s="57"/>
      <c r="SA12" s="57"/>
      <c r="SB12" s="56"/>
      <c r="SC12" s="57"/>
      <c r="SD12" s="58"/>
      <c r="SE12" s="56"/>
      <c r="SF12" s="57"/>
      <c r="SG12" s="57"/>
      <c r="SH12" s="57"/>
      <c r="SI12" s="56"/>
      <c r="SJ12" s="57"/>
      <c r="SK12" s="57"/>
      <c r="SL12" s="56"/>
      <c r="SM12" s="57"/>
      <c r="SN12" s="58"/>
      <c r="SO12" s="56"/>
      <c r="SP12" s="57"/>
      <c r="SQ12" s="57"/>
      <c r="SR12" s="57"/>
      <c r="SS12" s="56"/>
      <c r="ST12" s="57"/>
      <c r="SU12" s="57"/>
      <c r="SV12" s="56"/>
      <c r="SW12" s="57"/>
      <c r="SX12" s="58"/>
      <c r="SY12" s="56"/>
      <c r="SZ12" s="57"/>
      <c r="TA12" s="57"/>
      <c r="TB12" s="57"/>
      <c r="TC12" s="56"/>
      <c r="TD12" s="57"/>
      <c r="TE12" s="57"/>
      <c r="TF12" s="56"/>
      <c r="TG12" s="57"/>
      <c r="TH12" s="58"/>
      <c r="TI12" s="56"/>
      <c r="TJ12" s="57"/>
      <c r="TK12" s="57"/>
      <c r="TL12" s="57"/>
      <c r="TM12" s="56"/>
      <c r="TN12" s="57"/>
      <c r="TO12" s="57"/>
      <c r="TP12" s="56"/>
      <c r="TQ12" s="57"/>
      <c r="TR12" s="58"/>
      <c r="TS12" s="56"/>
      <c r="TT12" s="57"/>
      <c r="TU12" s="57"/>
      <c r="TV12" s="57"/>
      <c r="TW12" s="56"/>
      <c r="TX12" s="57"/>
      <c r="TY12" s="57"/>
      <c r="TZ12" s="56"/>
      <c r="UA12" s="57"/>
      <c r="UB12" s="58"/>
      <c r="UC12" s="56"/>
      <c r="UD12" s="57"/>
      <c r="UE12" s="57"/>
      <c r="UF12" s="57"/>
      <c r="UG12" s="56"/>
      <c r="UH12" s="57"/>
      <c r="UI12" s="57"/>
      <c r="UJ12" s="56"/>
      <c r="UK12" s="57"/>
      <c r="UL12" s="58"/>
      <c r="UM12" s="56"/>
      <c r="UN12" s="57"/>
      <c r="UO12" s="57"/>
      <c r="UP12" s="57"/>
      <c r="UQ12" s="56"/>
      <c r="UR12" s="57"/>
      <c r="US12" s="57"/>
      <c r="UT12" s="56"/>
      <c r="UU12" s="57"/>
      <c r="UV12" s="58"/>
      <c r="UW12" s="56"/>
      <c r="UX12" s="57"/>
      <c r="UY12" s="57"/>
      <c r="UZ12" s="57"/>
      <c r="VA12" s="56"/>
      <c r="VB12" s="57"/>
      <c r="VC12" s="57"/>
      <c r="VD12" s="56"/>
      <c r="VE12" s="57"/>
      <c r="VF12" s="58"/>
      <c r="VG12" s="56"/>
      <c r="VH12" s="57"/>
      <c r="VI12" s="57"/>
      <c r="VJ12" s="57"/>
      <c r="VK12" s="56"/>
      <c r="VL12" s="57"/>
      <c r="VM12" s="57"/>
      <c r="VN12" s="56"/>
      <c r="VO12" s="57"/>
      <c r="VP12" s="58"/>
      <c r="VQ12" s="56"/>
      <c r="VR12" s="57"/>
      <c r="VS12" s="57"/>
      <c r="VT12" s="57"/>
      <c r="VU12" s="56"/>
      <c r="VV12" s="57"/>
      <c r="VW12" s="57"/>
      <c r="VX12" s="56"/>
      <c r="VY12" s="57"/>
      <c r="VZ12" s="58"/>
      <c r="WA12" s="56"/>
      <c r="WB12" s="57"/>
      <c r="WC12" s="57"/>
      <c r="WD12" s="57"/>
      <c r="WE12" s="56"/>
      <c r="WF12" s="57"/>
      <c r="WG12" s="57"/>
      <c r="WH12" s="56"/>
      <c r="WI12" s="57"/>
      <c r="WJ12" s="58"/>
      <c r="WK12" s="56"/>
      <c r="WL12" s="57"/>
      <c r="WM12" s="57"/>
      <c r="WN12" s="57"/>
      <c r="WO12" s="56"/>
      <c r="WP12" s="57"/>
      <c r="WQ12" s="57"/>
      <c r="WR12" s="56"/>
      <c r="WS12" s="57"/>
      <c r="WT12" s="58"/>
      <c r="WU12" s="56"/>
      <c r="WV12" s="57"/>
      <c r="WW12" s="57"/>
      <c r="WX12" s="57"/>
      <c r="WY12" s="56"/>
      <c r="WZ12" s="57"/>
      <c r="XA12" s="57"/>
      <c r="XB12" s="56"/>
      <c r="XC12" s="57"/>
      <c r="XD12" s="58"/>
      <c r="XE12" s="56"/>
      <c r="XF12" s="57"/>
      <c r="XG12" s="57"/>
      <c r="XH12" s="57"/>
      <c r="XI12" s="56"/>
      <c r="XJ12" s="57"/>
      <c r="XK12" s="57"/>
      <c r="XL12" s="56"/>
      <c r="XM12" s="57"/>
      <c r="XN12" s="58"/>
      <c r="XO12" s="56"/>
      <c r="XP12" s="57"/>
      <c r="XQ12" s="57"/>
      <c r="XR12" s="57"/>
      <c r="XS12" s="56"/>
      <c r="XT12" s="57"/>
      <c r="XU12" s="57"/>
      <c r="XV12" s="56"/>
      <c r="XW12" s="57"/>
      <c r="XX12" s="58"/>
      <c r="XY12" s="56"/>
      <c r="XZ12" s="57"/>
      <c r="YA12" s="57"/>
      <c r="YB12" s="57"/>
      <c r="YC12" s="56"/>
      <c r="YD12" s="57"/>
      <c r="YE12" s="57"/>
      <c r="YF12" s="56"/>
      <c r="YG12" s="57"/>
      <c r="YH12" s="58"/>
      <c r="YI12" s="56"/>
      <c r="YJ12" s="57"/>
      <c r="YK12" s="57"/>
      <c r="YL12" s="57"/>
      <c r="YM12" s="56"/>
      <c r="YN12" s="57"/>
      <c r="YO12" s="57"/>
      <c r="YP12" s="56"/>
      <c r="YQ12" s="57"/>
      <c r="YR12" s="58"/>
      <c r="YS12" s="56"/>
      <c r="YT12" s="57"/>
      <c r="YU12" s="57"/>
      <c r="YV12" s="57"/>
      <c r="YW12" s="56"/>
      <c r="YX12" s="57"/>
      <c r="YY12" s="57"/>
      <c r="YZ12" s="56"/>
      <c r="ZA12" s="57"/>
      <c r="ZB12" s="58"/>
      <c r="ZC12" s="56"/>
      <c r="ZD12" s="57"/>
      <c r="ZE12" s="57"/>
      <c r="ZF12" s="57"/>
      <c r="ZG12" s="56"/>
      <c r="ZH12" s="57"/>
      <c r="ZI12" s="57"/>
      <c r="ZJ12" s="56"/>
      <c r="ZK12" s="57"/>
      <c r="ZL12" s="58"/>
      <c r="ZM12" s="56"/>
      <c r="ZN12" s="57"/>
      <c r="ZO12" s="57"/>
      <c r="ZP12" s="57"/>
      <c r="ZQ12" s="56"/>
      <c r="ZR12" s="57"/>
      <c r="ZS12" s="57"/>
      <c r="ZT12" s="56"/>
      <c r="ZU12" s="57"/>
      <c r="ZV12" s="58"/>
      <c r="ZW12" s="56"/>
      <c r="ZX12" s="57"/>
      <c r="ZY12" s="57"/>
      <c r="ZZ12" s="57"/>
      <c r="AAA12" s="56"/>
      <c r="AAB12" s="57"/>
      <c r="AAC12" s="57"/>
      <c r="AAD12" s="56"/>
      <c r="AAE12" s="57"/>
      <c r="AAF12" s="58"/>
      <c r="AAG12" s="56"/>
      <c r="AAH12" s="57"/>
      <c r="AAI12" s="57"/>
      <c r="AAJ12" s="57"/>
      <c r="AAK12" s="56"/>
      <c r="AAL12" s="57"/>
      <c r="AAM12" s="57"/>
      <c r="AAN12" s="56"/>
      <c r="AAO12" s="57"/>
      <c r="AAP12" s="58"/>
      <c r="AAQ12" s="56"/>
      <c r="AAR12" s="57"/>
      <c r="AAS12" s="57"/>
      <c r="AAT12" s="57"/>
      <c r="AAU12" s="56"/>
      <c r="AAV12" s="57"/>
      <c r="AAW12" s="57"/>
      <c r="AAX12" s="58"/>
      <c r="AAY12" s="58"/>
      <c r="AAZ12" s="58"/>
      <c r="ABA12" s="56"/>
      <c r="ABB12" s="58"/>
      <c r="ABC12" s="58"/>
      <c r="ABD12" s="58"/>
      <c r="ABE12" s="58"/>
      <c r="ABF12" s="58"/>
      <c r="ABG12" s="57"/>
      <c r="ABH12" s="56"/>
      <c r="ABI12" s="57"/>
      <c r="ABJ12" s="58"/>
      <c r="ABK12" s="56"/>
      <c r="ABL12" s="57"/>
      <c r="ABM12" s="57"/>
      <c r="ABN12" s="57"/>
      <c r="ABO12" s="56"/>
      <c r="ABP12" s="57"/>
      <c r="ABQ12" s="57"/>
      <c r="ABR12" s="56"/>
      <c r="ABS12" s="57"/>
      <c r="ABT12" s="58"/>
      <c r="ABU12" s="56"/>
      <c r="ABV12" s="57"/>
      <c r="ABW12" s="57"/>
      <c r="ABX12" s="57"/>
      <c r="ABY12" s="56"/>
      <c r="ABZ12" s="57"/>
      <c r="ACA12" s="57"/>
      <c r="ACB12" s="56"/>
      <c r="ACC12" s="57"/>
      <c r="ACD12" s="58"/>
      <c r="ACE12" s="56"/>
      <c r="ACF12" s="57"/>
      <c r="ACG12" s="57"/>
      <c r="ACH12" s="57"/>
      <c r="ACI12" s="56"/>
      <c r="ACJ12" s="57"/>
      <c r="ACK12" s="57"/>
      <c r="ACL12" s="56"/>
      <c r="ACM12" s="57"/>
      <c r="ACN12" s="58"/>
      <c r="ACO12" s="56"/>
      <c r="ACP12" s="57"/>
      <c r="ACQ12" s="57"/>
      <c r="ACR12" s="57"/>
      <c r="ACS12" s="56"/>
      <c r="ACT12" s="57"/>
      <c r="ACU12" s="57"/>
      <c r="ACV12" s="56"/>
      <c r="ACW12" s="57"/>
      <c r="ACX12" s="58"/>
      <c r="ACY12" s="56"/>
      <c r="ACZ12" s="57"/>
      <c r="ADA12" s="57"/>
      <c r="ADB12" s="57"/>
      <c r="ADC12" s="56"/>
      <c r="ADD12" s="57"/>
      <c r="ADE12" s="57"/>
      <c r="ADF12" s="56"/>
      <c r="ADG12" s="57"/>
      <c r="ADH12" s="58"/>
      <c r="ADI12" s="56"/>
      <c r="ADJ12" s="57"/>
      <c r="ADK12" s="57"/>
      <c r="ADL12" s="57"/>
      <c r="ADM12" s="56"/>
      <c r="ADN12" s="57"/>
      <c r="ADO12" s="57"/>
      <c r="ADP12" s="56"/>
      <c r="ADQ12" s="57"/>
      <c r="ADR12" s="58"/>
      <c r="ADS12" s="56"/>
      <c r="ADT12" s="57"/>
      <c r="ADU12" s="57"/>
      <c r="ADV12" s="57"/>
      <c r="ADW12" s="56"/>
      <c r="ADX12" s="57"/>
      <c r="ADY12" s="57"/>
      <c r="ADZ12" s="56"/>
      <c r="AEA12" s="57"/>
      <c r="AEB12" s="58"/>
      <c r="AEC12" s="56"/>
      <c r="AED12" s="57"/>
      <c r="AEE12" s="57"/>
      <c r="AEF12" s="57"/>
      <c r="AEG12" s="56"/>
      <c r="AEH12" s="57"/>
      <c r="AEI12" s="57"/>
      <c r="AEJ12" s="56"/>
      <c r="AEK12" s="57"/>
      <c r="AEL12" s="58"/>
      <c r="AEM12" s="56"/>
      <c r="AEN12" s="57"/>
      <c r="AEO12" s="57"/>
      <c r="AEP12" s="57"/>
      <c r="AEQ12" s="56"/>
      <c r="AER12" s="57"/>
      <c r="AES12" s="57"/>
      <c r="AET12" s="56"/>
      <c r="AEU12" s="57"/>
      <c r="AEV12" s="58"/>
      <c r="AEW12" s="56"/>
      <c r="AEX12" s="57"/>
      <c r="AEY12" s="57"/>
      <c r="AEZ12" s="57"/>
      <c r="AFA12" s="56"/>
      <c r="AFB12" s="57"/>
      <c r="AFC12" s="57"/>
      <c r="AFD12" s="56"/>
      <c r="AFE12" s="57"/>
      <c r="AFF12" s="58"/>
      <c r="AFG12" s="56"/>
      <c r="AFH12" s="57"/>
      <c r="AFI12" s="57"/>
      <c r="AFJ12" s="57"/>
      <c r="AFK12" s="56"/>
      <c r="AFL12" s="57"/>
      <c r="AFM12" s="57"/>
      <c r="AFN12" s="56"/>
      <c r="AFO12" s="57"/>
      <c r="AFP12" s="58"/>
      <c r="AFQ12" s="56"/>
      <c r="AFR12" s="57"/>
      <c r="AFS12" s="57"/>
      <c r="AFT12" s="57"/>
      <c r="AFU12" s="56"/>
      <c r="AFV12" s="57"/>
      <c r="AFW12" s="57"/>
      <c r="AFX12" s="56"/>
      <c r="AFY12" s="57"/>
      <c r="AFZ12" s="58"/>
      <c r="AGA12" s="56"/>
      <c r="AGB12" s="57"/>
      <c r="AGC12" s="57"/>
      <c r="AGD12" s="57"/>
      <c r="AGE12" s="56"/>
      <c r="AGF12" s="57"/>
      <c r="AGG12" s="57"/>
      <c r="AGH12" s="56"/>
      <c r="AGI12" s="57"/>
      <c r="AGJ12" s="58"/>
      <c r="AGK12" s="56"/>
      <c r="AGL12" s="57"/>
      <c r="AGM12" s="57"/>
      <c r="AGN12" s="57"/>
      <c r="AGO12" s="56"/>
      <c r="AGP12" s="57"/>
      <c r="AGQ12" s="57"/>
      <c r="AGR12" s="56"/>
      <c r="AGS12" s="57"/>
      <c r="AGT12" s="58"/>
      <c r="AGU12" s="56"/>
      <c r="AGV12" s="57"/>
      <c r="AGW12" s="57"/>
      <c r="AGX12" s="57"/>
      <c r="AGY12" s="56"/>
      <c r="AGZ12" s="57"/>
      <c r="AHA12" s="57"/>
      <c r="AHB12" s="56"/>
      <c r="AHC12" s="57"/>
      <c r="AHD12" s="58"/>
      <c r="AHE12" s="56"/>
      <c r="AHF12" s="57"/>
      <c r="AHG12" s="57"/>
      <c r="AHH12" s="57"/>
      <c r="AHI12" s="56"/>
      <c r="AHJ12" s="57"/>
      <c r="AHK12" s="57"/>
      <c r="AHL12" s="56"/>
      <c r="AHM12" s="57"/>
      <c r="AHN12" s="58"/>
      <c r="AHO12" s="56"/>
      <c r="AHP12" s="57"/>
      <c r="AHQ12" s="57"/>
      <c r="AHR12" s="57"/>
      <c r="AHS12" s="56"/>
      <c r="AHT12" s="57"/>
      <c r="AHU12" s="57"/>
      <c r="AHV12" s="56"/>
      <c r="AHW12" s="57"/>
      <c r="AHX12" s="58"/>
      <c r="AHY12" s="56"/>
      <c r="AHZ12" s="57"/>
      <c r="AIA12" s="57"/>
      <c r="AIB12" s="57"/>
      <c r="AIC12" s="56"/>
      <c r="AID12" s="57"/>
      <c r="AIE12" s="57"/>
      <c r="AIF12" s="56"/>
      <c r="AIG12" s="57"/>
      <c r="AIH12" s="58"/>
      <c r="AII12" s="56"/>
      <c r="AIJ12" s="57"/>
      <c r="AIK12" s="57"/>
      <c r="AIL12" s="57"/>
      <c r="AIM12" s="56"/>
      <c r="AIN12" s="57"/>
      <c r="AIO12" s="57"/>
      <c r="AIP12" s="56"/>
      <c r="AIQ12" s="57"/>
      <c r="AIR12" s="58"/>
      <c r="AIS12" s="56"/>
      <c r="AIT12" s="57"/>
      <c r="AIU12" s="57"/>
      <c r="AIV12" s="57"/>
      <c r="AIW12" s="56"/>
      <c r="AIX12" s="57"/>
      <c r="AIY12" s="57"/>
      <c r="AIZ12" s="56"/>
      <c r="AJA12" s="57"/>
      <c r="AJB12" s="58"/>
      <c r="AJC12" s="56"/>
      <c r="AJD12" s="57"/>
      <c r="AJE12" s="57"/>
      <c r="AJF12" s="57"/>
      <c r="AJG12" s="56"/>
      <c r="AJH12" s="57"/>
      <c r="AJI12" s="57"/>
      <c r="AJJ12" s="56"/>
      <c r="AJK12" s="57"/>
      <c r="AJL12" s="58"/>
      <c r="AJM12" s="56"/>
      <c r="AJN12" s="57"/>
      <c r="AJO12" s="57"/>
      <c r="AJP12" s="57"/>
      <c r="AJQ12" s="56"/>
      <c r="AJR12" s="57"/>
      <c r="AJS12" s="57"/>
      <c r="AJT12" s="56"/>
      <c r="AJU12" s="57"/>
      <c r="AJV12" s="58"/>
      <c r="AJW12" s="56"/>
      <c r="AJX12" s="57"/>
      <c r="AJY12" s="57"/>
      <c r="AJZ12" s="57"/>
      <c r="AKA12" s="56"/>
      <c r="AKB12" s="57"/>
      <c r="AKC12" s="57"/>
      <c r="AKD12" s="56"/>
      <c r="AKE12" s="57"/>
      <c r="AKF12" s="58"/>
      <c r="AKG12" s="56"/>
      <c r="AKH12" s="57"/>
      <c r="AKI12" s="57"/>
      <c r="AKJ12" s="57"/>
      <c r="AKK12" s="56"/>
      <c r="AKL12" s="57"/>
      <c r="AKM12" s="57"/>
      <c r="AKN12" s="56"/>
      <c r="AKO12" s="57"/>
      <c r="AKP12" s="58"/>
      <c r="AKQ12" s="56"/>
      <c r="AKR12" s="57"/>
      <c r="AKS12" s="57"/>
      <c r="AKT12" s="57"/>
      <c r="AKU12" s="56"/>
      <c r="AKV12" s="57"/>
      <c r="AKW12" s="57"/>
      <c r="AKX12" s="56"/>
      <c r="AKY12" s="57"/>
      <c r="AKZ12" s="58"/>
      <c r="ALA12" s="56"/>
      <c r="ALB12" s="57"/>
      <c r="ALC12" s="57"/>
      <c r="ALD12" s="57"/>
      <c r="ALE12" s="56"/>
      <c r="ALF12" s="57"/>
      <c r="ALG12" s="57"/>
      <c r="ALH12" s="57"/>
      <c r="ALI12" s="57"/>
      <c r="ALJ12" s="57"/>
      <c r="ALK12" s="56"/>
      <c r="ALL12" s="57"/>
      <c r="ALM12" s="57"/>
      <c r="ALN12" s="56"/>
      <c r="ALO12" s="57"/>
      <c r="ALP12" s="58"/>
      <c r="ALQ12" s="56"/>
      <c r="ALR12" s="57"/>
      <c r="ALS12" s="57"/>
      <c r="ALT12" s="57"/>
      <c r="ALU12" s="56"/>
      <c r="ALV12" s="57"/>
      <c r="ALW12" s="57"/>
      <c r="ALX12" s="56"/>
      <c r="ALY12" s="57"/>
      <c r="ALZ12" s="58"/>
      <c r="AMA12" s="56"/>
      <c r="AMB12" s="57"/>
      <c r="AMC12" s="57"/>
      <c r="AMD12" s="57"/>
      <c r="AME12" s="56"/>
      <c r="AMF12" s="57"/>
      <c r="AMG12" s="57"/>
      <c r="AMH12" s="57"/>
      <c r="AMI12" s="57"/>
      <c r="AMJ12" s="57"/>
      <c r="AMK12" s="56"/>
      <c r="AML12" s="57"/>
      <c r="AMM12" s="57"/>
      <c r="AMN12" s="56"/>
      <c r="AMO12" s="57"/>
      <c r="AMP12" s="58"/>
      <c r="AMQ12" s="56"/>
      <c r="AMR12" s="57"/>
      <c r="AMS12" s="57"/>
      <c r="AMT12" s="57"/>
      <c r="AMU12" s="56"/>
      <c r="AMV12" s="57"/>
      <c r="AMW12" s="57"/>
      <c r="AMX12" s="56"/>
      <c r="AMY12" s="57"/>
      <c r="AMZ12" s="58"/>
      <c r="ANA12" s="56"/>
      <c r="ANB12" s="57"/>
      <c r="ANC12" s="57"/>
      <c r="AND12" s="57"/>
      <c r="ANE12" s="56"/>
      <c r="ANF12" s="57"/>
      <c r="ANG12" s="57"/>
      <c r="ANH12" s="57"/>
      <c r="ANI12" s="57"/>
      <c r="ANJ12" s="57"/>
      <c r="ANK12" s="56"/>
      <c r="ANL12" s="57"/>
      <c r="ANM12" s="57"/>
      <c r="ANN12" s="56"/>
      <c r="ANO12" s="57"/>
      <c r="ANP12" s="58"/>
      <c r="ANQ12" s="56"/>
      <c r="ANR12" s="57"/>
      <c r="ANS12" s="57"/>
      <c r="ANT12" s="57"/>
      <c r="ANU12" s="56"/>
      <c r="ANV12" s="57"/>
      <c r="ANW12" s="57"/>
      <c r="ANX12" s="56"/>
      <c r="ANY12" s="57"/>
      <c r="ANZ12" s="58"/>
      <c r="AOA12" s="56"/>
      <c r="AOB12" s="57"/>
      <c r="AOC12" s="57"/>
      <c r="AOD12" s="57"/>
      <c r="AOE12" s="56"/>
      <c r="AOF12" s="57"/>
      <c r="AOG12" s="57"/>
      <c r="AOH12" s="57"/>
      <c r="AOI12" s="57"/>
      <c r="AOJ12" s="57"/>
      <c r="AOK12" s="56"/>
      <c r="AOL12" s="57"/>
      <c r="AOM12" s="57"/>
      <c r="AON12" s="56"/>
      <c r="AOO12" s="57"/>
      <c r="AOP12" s="58"/>
      <c r="AOQ12" s="56"/>
      <c r="AOR12" s="57"/>
      <c r="AOS12" s="57"/>
      <c r="AOT12" s="57"/>
      <c r="AOU12" s="56"/>
      <c r="AOV12" s="57"/>
      <c r="AOW12" s="57"/>
      <c r="AOX12" s="56"/>
      <c r="AOY12" s="57"/>
      <c r="AOZ12" s="58"/>
      <c r="APA12" s="56"/>
      <c r="APB12" s="57"/>
      <c r="APC12" s="57"/>
      <c r="APD12" s="57"/>
      <c r="APE12" s="56"/>
      <c r="APF12" s="57"/>
      <c r="APG12" s="57"/>
      <c r="APH12" s="57"/>
      <c r="API12" s="57"/>
      <c r="APJ12" s="57"/>
      <c r="APK12" s="56"/>
      <c r="APL12" s="57"/>
      <c r="APM12" s="57"/>
      <c r="APN12" s="56"/>
      <c r="APO12" s="57"/>
      <c r="APP12" s="58"/>
      <c r="APQ12" s="56"/>
      <c r="APR12" s="57"/>
      <c r="APS12" s="57"/>
      <c r="APT12" s="57"/>
      <c r="APU12" s="56"/>
      <c r="APV12" s="57"/>
      <c r="APW12" s="57"/>
      <c r="APX12" s="56"/>
      <c r="APY12" s="57"/>
      <c r="APZ12" s="58"/>
      <c r="AQA12" s="56"/>
      <c r="AQB12" s="57"/>
      <c r="AQC12" s="57"/>
      <c r="AQD12" s="57"/>
      <c r="AQE12" s="56"/>
      <c r="AQF12" s="57"/>
      <c r="AQG12" s="57"/>
      <c r="AQH12" s="57"/>
      <c r="AQI12" s="57"/>
      <c r="AQJ12" s="57"/>
      <c r="AQK12" s="56"/>
      <c r="AQL12" s="57"/>
      <c r="AQM12" s="57"/>
      <c r="AQN12" s="56"/>
      <c r="AQO12" s="57"/>
      <c r="AQP12" s="58"/>
      <c r="AQQ12" s="56"/>
      <c r="AQR12" s="57"/>
      <c r="AQS12" s="57"/>
      <c r="AQT12" s="57"/>
      <c r="AQU12" s="56"/>
      <c r="AQV12" s="57"/>
      <c r="AQW12" s="57"/>
      <c r="AQX12" s="56"/>
      <c r="AQY12" s="57"/>
      <c r="AQZ12" s="58"/>
      <c r="ARA12" s="56"/>
      <c r="ARB12" s="57"/>
      <c r="ARC12" s="57"/>
      <c r="ARD12" s="57"/>
      <c r="ARE12" s="56"/>
      <c r="ARF12" s="57"/>
      <c r="ARG12" s="57"/>
      <c r="ARH12" s="57"/>
      <c r="ARI12" s="57"/>
      <c r="ARJ12" s="57"/>
      <c r="ARK12" s="56"/>
      <c r="ARL12" s="57"/>
      <c r="ARM12" s="57"/>
      <c r="ARN12" s="56"/>
      <c r="ARO12" s="57"/>
      <c r="ARP12" s="58"/>
      <c r="ARQ12" s="56"/>
      <c r="ARR12" s="57"/>
      <c r="ARS12" s="57"/>
      <c r="ART12" s="57"/>
      <c r="ARU12" s="56"/>
      <c r="ARV12" s="57"/>
      <c r="ARW12" s="57"/>
      <c r="ARX12" s="56"/>
      <c r="ARY12" s="57"/>
      <c r="ARZ12" s="58"/>
      <c r="ASA12" s="56"/>
      <c r="ASB12" s="57"/>
      <c r="ASC12" s="57"/>
      <c r="ASD12" s="57"/>
      <c r="ASE12" s="56"/>
      <c r="ASF12" s="57"/>
      <c r="ASG12" s="57"/>
      <c r="ASH12" s="57"/>
      <c r="ASI12" s="57"/>
      <c r="ASJ12" s="57"/>
      <c r="ASK12" s="56"/>
      <c r="ASL12" s="57"/>
      <c r="ASM12" s="57"/>
      <c r="ASN12" s="56"/>
      <c r="ASO12" s="57"/>
      <c r="ASP12" s="58"/>
      <c r="ASQ12" s="56"/>
      <c r="ASR12" s="57"/>
      <c r="ASS12" s="57"/>
      <c r="AST12" s="57"/>
      <c r="ASU12" s="56"/>
      <c r="ASV12" s="57"/>
      <c r="ASW12" s="57"/>
      <c r="ASX12" s="56"/>
      <c r="ASY12" s="57"/>
      <c r="ASZ12" s="58"/>
      <c r="ATA12" s="56"/>
      <c r="ATB12" s="57"/>
      <c r="ATC12" s="57"/>
      <c r="ATD12" s="57"/>
      <c r="ATE12" s="56"/>
      <c r="ATF12" s="57"/>
      <c r="ATG12" s="57"/>
      <c r="ATH12" s="57"/>
      <c r="ATI12" s="57"/>
      <c r="ATJ12" s="57"/>
      <c r="ATK12" s="56"/>
      <c r="ATL12" s="57"/>
      <c r="ATM12" s="57"/>
      <c r="ATN12" s="56"/>
      <c r="ATO12" s="57"/>
      <c r="ATP12" s="58"/>
      <c r="ATQ12" s="56"/>
      <c r="ATR12" s="57"/>
      <c r="ATS12" s="57"/>
      <c r="ATT12" s="57"/>
      <c r="ATU12" s="56"/>
      <c r="ATV12" s="57"/>
      <c r="ATW12" s="57"/>
      <c r="ATX12" s="56"/>
      <c r="ATY12" s="57"/>
      <c r="ATZ12" s="58"/>
      <c r="AUA12" s="56"/>
      <c r="AUB12" s="57"/>
      <c r="AUC12" s="57"/>
      <c r="AUD12" s="57"/>
      <c r="AUE12" s="56"/>
      <c r="AUF12" s="57"/>
      <c r="AUG12" s="57"/>
      <c r="AUH12" s="57"/>
      <c r="AUI12" s="57"/>
      <c r="AUJ12" s="57"/>
      <c r="AUK12" s="56"/>
      <c r="AUL12" s="57"/>
      <c r="AUM12" s="57"/>
      <c r="AUN12" s="56"/>
      <c r="AUO12" s="57"/>
      <c r="AUP12" s="58"/>
      <c r="AUQ12" s="56"/>
      <c r="AUR12" s="57"/>
      <c r="AUS12" s="57"/>
      <c r="AUT12" s="57"/>
      <c r="AUU12" s="56"/>
      <c r="AUV12" s="57"/>
      <c r="AUW12" s="57"/>
      <c r="AUX12" s="56"/>
      <c r="AUY12" s="57"/>
      <c r="AUZ12" s="58"/>
      <c r="AVA12" s="56"/>
      <c r="AVB12" s="57"/>
      <c r="AVC12" s="57"/>
      <c r="AVD12" s="57"/>
      <c r="AVE12" s="56"/>
      <c r="AVF12" s="57"/>
      <c r="AVG12" s="57"/>
      <c r="AVH12" s="57"/>
      <c r="AVI12" s="57"/>
      <c r="AVJ12" s="57"/>
      <c r="AVK12" s="56"/>
      <c r="AVL12" s="57"/>
      <c r="AVM12" s="57"/>
      <c r="AVN12" s="56"/>
      <c r="AVO12" s="57"/>
      <c r="AVP12" s="58"/>
      <c r="AVQ12" s="56"/>
      <c r="AVR12" s="57"/>
      <c r="AVS12" s="57"/>
      <c r="AVT12" s="57"/>
      <c r="AVU12" s="56"/>
      <c r="AVV12" s="57"/>
      <c r="AVW12" s="57"/>
      <c r="AVX12" s="56"/>
      <c r="AVY12" s="57"/>
      <c r="AVZ12" s="58"/>
      <c r="AWA12" s="56"/>
      <c r="AWB12" s="57"/>
      <c r="AWC12" s="57"/>
      <c r="AWD12" s="57"/>
      <c r="AWE12" s="56"/>
      <c r="AWF12" s="57"/>
      <c r="AWG12" s="57"/>
      <c r="AWH12" s="57"/>
      <c r="AWI12" s="57"/>
      <c r="AWJ12" s="57"/>
      <c r="AWK12" s="56"/>
      <c r="AWL12" s="57"/>
      <c r="AWM12" s="57"/>
      <c r="AWN12" s="56"/>
      <c r="AWO12" s="57"/>
      <c r="AWP12" s="58"/>
      <c r="AWQ12" s="56"/>
      <c r="AWR12" s="57"/>
      <c r="AWS12" s="57"/>
      <c r="AWT12" s="57"/>
      <c r="AWU12" s="56"/>
      <c r="AWV12" s="57"/>
      <c r="AWW12" s="57"/>
      <c r="AWX12" s="56"/>
      <c r="AWY12" s="57"/>
      <c r="AWZ12" s="58"/>
      <c r="AXA12" s="56"/>
      <c r="AXB12" s="57"/>
      <c r="AXC12" s="57"/>
      <c r="AXD12" s="57"/>
      <c r="AXE12" s="56"/>
      <c r="AXF12" s="57"/>
      <c r="AXG12" s="57"/>
      <c r="AXH12" s="57"/>
      <c r="AXI12" s="57"/>
      <c r="AXJ12" s="57"/>
      <c r="AXK12" s="56"/>
      <c r="AXL12" s="57"/>
      <c r="AXM12" s="57"/>
      <c r="AXN12" s="56"/>
      <c r="AXO12" s="57"/>
      <c r="AXP12" s="58"/>
      <c r="AXQ12" s="56"/>
      <c r="AXR12" s="57"/>
      <c r="AXS12" s="57"/>
      <c r="AXT12" s="57"/>
      <c r="AXU12" s="56"/>
      <c r="AXV12" s="57"/>
      <c r="AXW12" s="57"/>
      <c r="AXX12" s="56"/>
      <c r="AXY12" s="57"/>
      <c r="AXZ12" s="58"/>
      <c r="AYA12" s="56"/>
      <c r="AYB12" s="57"/>
      <c r="AYC12" s="57"/>
      <c r="AYD12" s="57"/>
      <c r="AYE12" s="56"/>
      <c r="AYF12" s="57"/>
      <c r="AYG12" s="57"/>
      <c r="AYH12" s="57"/>
      <c r="AYI12" s="57"/>
      <c r="AYJ12" s="57"/>
      <c r="AYK12" s="56"/>
      <c r="AYL12" s="57"/>
      <c r="AYM12" s="57"/>
      <c r="AYN12" s="56"/>
      <c r="AYO12" s="57"/>
      <c r="AYP12" s="58"/>
      <c r="AYQ12" s="56"/>
      <c r="AYR12" s="57"/>
      <c r="AYS12" s="57"/>
      <c r="AYT12" s="57"/>
      <c r="AYU12" s="56"/>
      <c r="AYV12" s="57"/>
      <c r="AYW12" s="57"/>
      <c r="AYX12" s="56"/>
      <c r="AYY12" s="57"/>
      <c r="AYZ12" s="58"/>
      <c r="AZA12" s="56"/>
      <c r="AZB12" s="57"/>
      <c r="AZC12" s="57"/>
      <c r="AZD12" s="57"/>
      <c r="AZE12" s="56"/>
      <c r="AZF12" s="57"/>
      <c r="AZG12" s="57"/>
      <c r="AZH12" s="57"/>
      <c r="AZI12" s="57"/>
      <c r="AZJ12" s="57"/>
      <c r="AZK12" s="56"/>
      <c r="AZL12" s="57"/>
      <c r="AZM12" s="57"/>
      <c r="AZN12" s="56"/>
      <c r="AZO12" s="57"/>
      <c r="AZP12" s="58"/>
      <c r="AZQ12" s="56"/>
      <c r="AZR12" s="57"/>
      <c r="AZS12" s="57"/>
      <c r="AZT12" s="57"/>
      <c r="AZU12" s="56"/>
      <c r="AZV12" s="57"/>
      <c r="AZW12" s="57"/>
      <c r="AZX12" s="56"/>
      <c r="AZY12" s="57"/>
      <c r="AZZ12" s="58"/>
      <c r="BAA12" s="56"/>
      <c r="BAB12" s="57"/>
      <c r="BAC12" s="57"/>
      <c r="BAD12" s="57"/>
      <c r="BAE12" s="56"/>
      <c r="BAF12" s="57"/>
      <c r="BAG12" s="57"/>
      <c r="BAH12" s="57"/>
      <c r="BAI12" s="57"/>
      <c r="BAJ12" s="57"/>
      <c r="BAK12" s="56"/>
      <c r="BAL12" s="57"/>
      <c r="BAM12" s="57"/>
      <c r="BAN12" s="56"/>
      <c r="BAO12" s="57"/>
      <c r="BAP12" s="58"/>
      <c r="BAQ12" s="56"/>
      <c r="BAR12" s="57"/>
      <c r="BAS12" s="57"/>
      <c r="BAT12" s="57"/>
      <c r="BAU12" s="56"/>
      <c r="BAV12" s="57"/>
      <c r="BAW12" s="57"/>
      <c r="BAX12" s="56"/>
      <c r="BAY12" s="57"/>
      <c r="BAZ12" s="58"/>
      <c r="BBA12" s="56"/>
      <c r="BBB12" s="57"/>
      <c r="BBC12" s="57"/>
      <c r="BBD12" s="57"/>
      <c r="BBE12" s="56"/>
      <c r="BBF12" s="57"/>
      <c r="BBG12" s="57"/>
      <c r="BBH12" s="57"/>
      <c r="BBI12" s="57"/>
      <c r="BBJ12" s="57"/>
      <c r="BBK12" s="56"/>
      <c r="BBL12" s="57"/>
      <c r="BBM12" s="57"/>
      <c r="BBN12" s="56"/>
      <c r="BBO12" s="57"/>
      <c r="BBP12" s="58"/>
      <c r="BBQ12" s="56"/>
      <c r="BBR12" s="57"/>
      <c r="BBS12" s="57"/>
      <c r="BBT12" s="57"/>
      <c r="BBU12" s="56"/>
      <c r="BBV12" s="57"/>
      <c r="BBW12" s="57"/>
      <c r="BBX12" s="56"/>
      <c r="BBY12" s="57"/>
      <c r="BBZ12" s="58"/>
      <c r="BCA12" s="56"/>
      <c r="BCB12" s="57"/>
      <c r="BCC12" s="57"/>
      <c r="BCD12" s="57"/>
      <c r="BCE12" s="56"/>
      <c r="BCF12" s="57"/>
      <c r="BCG12" s="57"/>
      <c r="BCH12" s="57"/>
      <c r="BCI12" s="57"/>
      <c r="BCJ12" s="57"/>
      <c r="BCK12" s="56"/>
      <c r="BCL12" s="57"/>
      <c r="BCM12" s="57"/>
      <c r="BCN12" s="56"/>
      <c r="BCO12" s="57"/>
      <c r="BCP12" s="58"/>
      <c r="BCQ12" s="56"/>
      <c r="BCR12" s="57"/>
      <c r="BCS12" s="57"/>
      <c r="BCT12" s="57"/>
      <c r="BCU12" s="56"/>
      <c r="BCV12" s="57"/>
      <c r="BCW12" s="57"/>
      <c r="BCX12" s="56"/>
      <c r="BCY12" s="57"/>
      <c r="BCZ12" s="58"/>
      <c r="BDA12" s="56"/>
      <c r="BDB12" s="57"/>
      <c r="BDC12" s="57"/>
      <c r="BDD12" s="57"/>
      <c r="BDE12" s="56"/>
      <c r="BDF12" s="57"/>
      <c r="BDG12" s="57"/>
      <c r="BDH12" s="57"/>
      <c r="BDI12" s="57"/>
      <c r="BDJ12" s="57"/>
      <c r="BDK12" s="56"/>
      <c r="BDL12" s="57"/>
      <c r="BDM12" s="57"/>
      <c r="BDN12" s="56"/>
      <c r="BDO12" s="57"/>
      <c r="BDP12" s="58"/>
      <c r="BDQ12" s="56"/>
      <c r="BDR12" s="57"/>
      <c r="BDS12" s="57"/>
      <c r="BDT12" s="57"/>
      <c r="BDU12" s="56"/>
      <c r="BDV12" s="57"/>
      <c r="BDW12" s="57"/>
      <c r="BDX12" s="56"/>
      <c r="BDY12" s="57"/>
      <c r="BDZ12" s="58"/>
      <c r="BEA12" s="56"/>
      <c r="BEB12" s="57"/>
      <c r="BEC12" s="57"/>
      <c r="BED12" s="57"/>
      <c r="BEE12" s="56"/>
      <c r="BEF12" s="57"/>
      <c r="BEG12" s="57"/>
      <c r="BEH12" s="57"/>
      <c r="BEI12" s="57"/>
      <c r="BEJ12" s="57"/>
      <c r="BEK12" s="56"/>
      <c r="BEL12" s="57"/>
      <c r="BEM12" s="57"/>
      <c r="BEN12" s="56"/>
      <c r="BEO12" s="57"/>
      <c r="BEP12" s="58"/>
      <c r="BEQ12" s="56"/>
      <c r="BER12" s="57"/>
      <c r="BES12" s="57"/>
      <c r="BET12" s="57"/>
      <c r="BEU12" s="56"/>
      <c r="BEV12" s="57"/>
      <c r="BEW12" s="57"/>
      <c r="BEX12" s="56"/>
      <c r="BEY12" s="57"/>
      <c r="BEZ12" s="58"/>
      <c r="BFA12" s="56"/>
      <c r="BFB12" s="57"/>
      <c r="BFC12" s="57"/>
      <c r="BFD12" s="57"/>
      <c r="BFE12" s="56"/>
      <c r="BFF12" s="57"/>
      <c r="BFG12" s="57"/>
      <c r="BFH12" s="57"/>
      <c r="BFI12" s="57"/>
      <c r="BFJ12" s="57"/>
      <c r="BFK12" s="56"/>
      <c r="BFL12" s="57"/>
      <c r="BFM12" s="57"/>
      <c r="BFN12" s="56"/>
      <c r="BFO12" s="57"/>
      <c r="BFP12" s="58"/>
      <c r="BFQ12" s="56"/>
      <c r="BFR12" s="57"/>
      <c r="BFS12" s="57"/>
      <c r="BFT12" s="57"/>
      <c r="BFU12" s="56"/>
      <c r="BFV12" s="57"/>
      <c r="BFW12" s="57"/>
      <c r="BFX12" s="56"/>
      <c r="BFY12" s="57"/>
      <c r="BFZ12" s="58"/>
      <c r="BGA12" s="56"/>
      <c r="BGB12" s="57"/>
      <c r="BGC12" s="57"/>
      <c r="BGD12" s="57"/>
      <c r="BGE12" s="56"/>
      <c r="BGF12" s="57"/>
      <c r="BGG12" s="57"/>
      <c r="BGH12" s="57"/>
      <c r="BGI12" s="57"/>
      <c r="BGJ12" s="57"/>
      <c r="BGK12" s="56"/>
      <c r="BGL12" s="57"/>
      <c r="BGM12" s="57"/>
      <c r="BGN12" s="56"/>
      <c r="BGO12" s="57"/>
      <c r="BGP12" s="58"/>
      <c r="BGQ12" s="56"/>
      <c r="BGR12" s="57"/>
      <c r="BGS12" s="57"/>
      <c r="BGT12" s="57"/>
      <c r="BGU12" s="56"/>
      <c r="BGV12" s="57"/>
      <c r="BGW12" s="57"/>
      <c r="BGX12" s="56"/>
      <c r="BGY12" s="57"/>
      <c r="BGZ12" s="58"/>
      <c r="BHA12" s="56"/>
      <c r="BHB12" s="57"/>
      <c r="BHC12" s="57"/>
      <c r="BHD12" s="57"/>
      <c r="BHE12" s="56"/>
      <c r="BHF12" s="57"/>
      <c r="BHG12" s="57"/>
      <c r="BHH12" s="57"/>
      <c r="BHI12" s="57"/>
      <c r="BHJ12" s="57"/>
      <c r="BHK12" s="56"/>
      <c r="BHL12" s="57"/>
      <c r="BHM12" s="57"/>
      <c r="BHN12" s="56"/>
      <c r="BHO12" s="57"/>
      <c r="BHP12" s="58"/>
      <c r="BHQ12" s="56"/>
      <c r="BHR12" s="57"/>
      <c r="BHS12" s="57"/>
      <c r="BHT12" s="57"/>
      <c r="BHU12" s="56"/>
      <c r="BHV12" s="57"/>
      <c r="BHW12" s="57"/>
      <c r="BHX12" s="56"/>
      <c r="BHY12" s="57"/>
      <c r="BHZ12" s="58"/>
      <c r="BIA12" s="56"/>
      <c r="BIB12" s="57"/>
      <c r="BIC12" s="57"/>
      <c r="BID12" s="57"/>
      <c r="BIE12" s="56"/>
      <c r="BIF12" s="57"/>
      <c r="BIG12" s="57"/>
      <c r="BIH12" s="57"/>
      <c r="BII12" s="57"/>
      <c r="BIJ12" s="57"/>
      <c r="BIK12" s="56"/>
      <c r="BIL12" s="57"/>
      <c r="BIM12" s="57"/>
      <c r="BIN12" s="56"/>
      <c r="BIO12" s="57"/>
      <c r="BIP12" s="58"/>
      <c r="BIQ12" s="56"/>
      <c r="BIR12" s="57"/>
      <c r="BIS12" s="57"/>
      <c r="BIT12" s="57"/>
      <c r="BIU12" s="56"/>
      <c r="BIV12" s="57"/>
      <c r="BIW12" s="57"/>
      <c r="BIX12" s="56"/>
      <c r="BIY12" s="57"/>
      <c r="BIZ12" s="58"/>
      <c r="BJA12" s="56"/>
      <c r="BJB12" s="57"/>
      <c r="BJC12" s="57"/>
      <c r="BJD12" s="57"/>
      <c r="BJE12" s="56"/>
      <c r="BJF12" s="57"/>
      <c r="BJG12" s="57"/>
      <c r="BJH12" s="57"/>
      <c r="BJI12" s="57"/>
      <c r="BJJ12" s="57"/>
      <c r="BJK12" s="56"/>
      <c r="BJL12" s="57"/>
      <c r="BJM12" s="57"/>
      <c r="BJN12" s="56"/>
      <c r="BJO12" s="57"/>
      <c r="BJP12" s="58"/>
      <c r="BJQ12" s="56"/>
      <c r="BJR12" s="57"/>
      <c r="BJS12" s="57"/>
      <c r="BJT12" s="57"/>
      <c r="BJU12" s="56"/>
      <c r="BJV12" s="57"/>
      <c r="BJW12" s="57"/>
      <c r="BJX12" s="56"/>
      <c r="BJY12" s="57"/>
      <c r="BJZ12" s="58"/>
      <c r="BKA12" s="56"/>
      <c r="BKB12" s="57"/>
      <c r="BKC12" s="57"/>
      <c r="BKD12" s="57"/>
      <c r="BKE12" s="56"/>
      <c r="BKF12" s="57"/>
      <c r="BKG12" s="57"/>
      <c r="BKH12" s="57"/>
      <c r="BKI12" s="57"/>
      <c r="BKJ12" s="57"/>
      <c r="BKK12" s="56"/>
      <c r="BKL12" s="57"/>
      <c r="BKM12" s="57"/>
      <c r="BKN12" s="56"/>
      <c r="BKO12" s="57"/>
      <c r="BKP12" s="58"/>
      <c r="BKQ12" s="56"/>
      <c r="BKR12" s="57"/>
      <c r="BKS12" s="57"/>
      <c r="BKT12" s="57"/>
      <c r="BKU12" s="56"/>
      <c r="BKV12" s="57"/>
      <c r="BKW12" s="57"/>
      <c r="BKX12" s="56"/>
      <c r="BKY12" s="57"/>
      <c r="BKZ12" s="58"/>
      <c r="BLA12" s="56"/>
      <c r="BLB12" s="57"/>
      <c r="BLC12" s="57"/>
      <c r="BLD12" s="57"/>
      <c r="BLE12" s="56"/>
      <c r="BLF12" s="57"/>
      <c r="BLG12" s="57"/>
      <c r="BLH12" s="57"/>
      <c r="BLI12" s="57"/>
      <c r="BLJ12" s="57"/>
      <c r="BLK12" s="56"/>
      <c r="BLL12" s="57"/>
      <c r="BLM12" s="57"/>
      <c r="BLN12" s="56"/>
      <c r="BLO12" s="57"/>
      <c r="BLP12" s="58"/>
      <c r="BLQ12" s="56"/>
      <c r="BLR12" s="57"/>
      <c r="BLS12" s="57"/>
      <c r="BLT12" s="57"/>
      <c r="BLU12" s="56"/>
      <c r="BLV12" s="57"/>
      <c r="BLW12" s="57"/>
      <c r="BLX12" s="56"/>
      <c r="BLY12" s="57"/>
      <c r="BLZ12" s="58"/>
      <c r="BMA12" s="56"/>
      <c r="BMB12" s="57"/>
      <c r="BMC12" s="57"/>
      <c r="BMD12" s="57"/>
      <c r="BME12" s="56"/>
      <c r="BMF12" s="57"/>
      <c r="BMG12" s="57"/>
      <c r="BMH12" s="57"/>
      <c r="BMI12" s="57"/>
      <c r="BMJ12" s="57"/>
      <c r="BMK12" s="56"/>
      <c r="BML12" s="57"/>
      <c r="BMM12" s="57"/>
      <c r="BMN12" s="56"/>
      <c r="BMO12" s="57"/>
      <c r="BMP12" s="58"/>
      <c r="BMQ12" s="56"/>
      <c r="BMR12" s="57"/>
      <c r="BMS12" s="57"/>
      <c r="BMT12" s="57"/>
      <c r="BMU12" s="56"/>
      <c r="BMV12" s="57"/>
      <c r="BMW12" s="57"/>
      <c r="BMX12" s="56"/>
      <c r="BMY12" s="57"/>
      <c r="BMZ12" s="58"/>
      <c r="BNA12" s="56"/>
      <c r="BNB12" s="57"/>
      <c r="BNC12" s="57"/>
      <c r="BND12" s="57"/>
      <c r="BNE12" s="56"/>
      <c r="BNF12" s="57"/>
      <c r="BNG12" s="57"/>
      <c r="BNH12" s="57"/>
      <c r="BNI12" s="57"/>
      <c r="BNJ12" s="57"/>
      <c r="BNK12" s="56"/>
      <c r="BNL12" s="57"/>
      <c r="BNM12" s="57"/>
      <c r="BNN12" s="56"/>
      <c r="BNO12" s="57"/>
      <c r="BNP12" s="58"/>
      <c r="BNQ12" s="56"/>
      <c r="BNR12" s="57"/>
      <c r="BNS12" s="57"/>
      <c r="BNT12" s="57"/>
      <c r="BNU12" s="56"/>
      <c r="BNV12" s="57"/>
      <c r="BNW12" s="57"/>
      <c r="BNX12" s="56"/>
      <c r="BNY12" s="57"/>
      <c r="BNZ12" s="58"/>
      <c r="BOA12" s="56"/>
      <c r="BOB12" s="57"/>
      <c r="BOC12" s="57"/>
      <c r="BOD12" s="57"/>
      <c r="BOE12" s="56"/>
      <c r="BOF12" s="57"/>
      <c r="BOG12" s="57"/>
      <c r="BOH12" s="57"/>
      <c r="BOI12" s="57"/>
      <c r="BOJ12" s="57"/>
      <c r="BOK12" s="56"/>
      <c r="BOL12" s="57"/>
      <c r="BOM12" s="57"/>
      <c r="BON12" s="56"/>
      <c r="BOO12" s="57"/>
      <c r="BOP12" s="58"/>
      <c r="BOQ12" s="56"/>
      <c r="BOR12" s="57"/>
      <c r="BOS12" s="57"/>
      <c r="BOT12" s="57"/>
      <c r="BOU12" s="56"/>
      <c r="BOV12" s="57"/>
      <c r="BOW12" s="57"/>
      <c r="BOX12" s="56"/>
      <c r="BOY12" s="57"/>
      <c r="BOZ12" s="58"/>
      <c r="BPA12" s="56"/>
      <c r="BPB12" s="57"/>
      <c r="BPC12" s="57"/>
      <c r="BPD12" s="57"/>
      <c r="BPE12" s="56"/>
      <c r="BPF12" s="57"/>
      <c r="BPG12" s="57"/>
      <c r="BPH12" s="57"/>
      <c r="BPI12" s="57"/>
      <c r="BPJ12" s="57"/>
      <c r="BPK12" s="56"/>
      <c r="BPL12" s="57"/>
      <c r="BPM12" s="57"/>
      <c r="BPN12" s="56"/>
      <c r="BPO12" s="57"/>
      <c r="BPP12" s="58"/>
      <c r="BPQ12" s="56"/>
      <c r="BPR12" s="57"/>
      <c r="BPS12" s="57"/>
      <c r="BPT12" s="57"/>
      <c r="BPU12" s="56"/>
      <c r="BPV12" s="57"/>
      <c r="BPW12" s="57"/>
      <c r="BPX12" s="56"/>
      <c r="BPY12" s="57"/>
      <c r="BPZ12" s="58"/>
      <c r="BQA12" s="56"/>
      <c r="BQB12" s="57"/>
      <c r="BQC12" s="57"/>
      <c r="BQD12" s="57"/>
      <c r="BQE12" s="56"/>
      <c r="BQF12" s="57"/>
      <c r="BQG12" s="57"/>
      <c r="BQH12" s="57"/>
      <c r="BQI12" s="57"/>
      <c r="BQJ12" s="57"/>
      <c r="BQK12" s="56"/>
      <c r="BQL12" s="57"/>
      <c r="BQM12" s="57"/>
      <c r="BQN12" s="56"/>
      <c r="BQO12" s="57"/>
      <c r="BQP12" s="58"/>
      <c r="BQQ12" s="56"/>
      <c r="BQR12" s="57"/>
      <c r="BQS12" s="57"/>
      <c r="BQT12" s="57"/>
      <c r="BQU12" s="56"/>
      <c r="BQV12" s="57"/>
      <c r="BQW12" s="57"/>
      <c r="BQX12" s="56"/>
      <c r="BQY12" s="57"/>
      <c r="BQZ12" s="58"/>
      <c r="BRA12" s="56"/>
      <c r="BRB12" s="57"/>
      <c r="BRC12" s="57"/>
      <c r="BRD12" s="57"/>
      <c r="BRE12" s="56"/>
      <c r="BRF12" s="57"/>
      <c r="BRG12" s="57"/>
      <c r="BRH12" s="57"/>
      <c r="BRI12" s="57"/>
      <c r="BRJ12" s="57"/>
      <c r="BRK12" s="56"/>
      <c r="BRL12" s="57"/>
      <c r="BRM12" s="57"/>
      <c r="BRN12" s="56"/>
      <c r="BRO12" s="57"/>
      <c r="BRP12" s="58"/>
      <c r="BRQ12" s="56"/>
      <c r="BRR12" s="57"/>
      <c r="BRS12" s="57"/>
      <c r="BRT12" s="57"/>
      <c r="BRU12" s="56"/>
      <c r="BRV12" s="57"/>
      <c r="BRW12" s="57"/>
      <c r="BRX12" s="56"/>
      <c r="BRY12" s="57"/>
      <c r="BRZ12" s="58"/>
      <c r="BSA12" s="56"/>
      <c r="BSB12" s="57"/>
      <c r="BSC12" s="57"/>
      <c r="BSD12" s="57"/>
      <c r="BSE12" s="56"/>
      <c r="BSF12" s="57"/>
      <c r="BSG12" s="57"/>
      <c r="BSH12" s="57"/>
      <c r="BSI12" s="57"/>
      <c r="BSJ12" s="57"/>
      <c r="BSK12" s="56"/>
      <c r="BSL12" s="57"/>
      <c r="BSM12" s="57"/>
      <c r="BSN12" s="56"/>
      <c r="BSO12" s="57"/>
      <c r="BSP12" s="58"/>
      <c r="BSQ12" s="56"/>
      <c r="BSR12" s="57"/>
      <c r="BSS12" s="57"/>
      <c r="BST12" s="57"/>
      <c r="BSU12" s="56"/>
      <c r="BSV12" s="57"/>
      <c r="BSW12" s="57"/>
      <c r="BSX12" s="56"/>
      <c r="BSY12" s="57"/>
      <c r="BSZ12" s="58"/>
      <c r="BTA12" s="56"/>
      <c r="BTB12" s="57"/>
      <c r="BTC12" s="57"/>
      <c r="BTD12" s="57"/>
      <c r="BTE12" s="56"/>
      <c r="BTF12" s="57"/>
      <c r="BTG12" s="57"/>
      <c r="BTH12" s="57"/>
      <c r="BTI12" s="57"/>
      <c r="BTJ12" s="57"/>
      <c r="BTK12" s="56"/>
      <c r="BTL12" s="57"/>
      <c r="BTM12" s="57"/>
      <c r="BTN12" s="56"/>
      <c r="BTO12" s="57"/>
      <c r="BTP12" s="58"/>
      <c r="BTQ12" s="56"/>
      <c r="BTR12" s="57"/>
      <c r="BTS12" s="57"/>
      <c r="BTT12" s="57"/>
      <c r="BTU12" s="56"/>
      <c r="BTV12" s="57"/>
      <c r="BTW12" s="57"/>
      <c r="BTX12" s="56"/>
      <c r="BTY12" s="57"/>
      <c r="BTZ12" s="58"/>
      <c r="BUA12" s="56"/>
      <c r="BUB12" s="57"/>
      <c r="BUC12" s="57"/>
      <c r="BUD12" s="57"/>
      <c r="BUE12" s="56"/>
      <c r="BUF12" s="57"/>
      <c r="BUG12" s="57"/>
      <c r="BUH12" s="57"/>
      <c r="BUI12" s="57"/>
      <c r="BUJ12" s="57"/>
      <c r="BUK12" s="56"/>
      <c r="BUL12" s="57"/>
      <c r="BUM12" s="57"/>
      <c r="BUN12" s="56"/>
      <c r="BUO12" s="57"/>
      <c r="BUP12" s="58"/>
      <c r="BUQ12" s="56"/>
      <c r="BUR12" s="57"/>
      <c r="BUS12" s="57"/>
      <c r="BUT12" s="57"/>
      <c r="BUU12" s="56"/>
      <c r="BUV12" s="57"/>
      <c r="BUW12" s="57"/>
      <c r="BUX12" s="56"/>
      <c r="BUY12" s="57"/>
      <c r="BUZ12" s="58"/>
      <c r="BVA12" s="56"/>
      <c r="BVB12" s="57"/>
      <c r="BVC12" s="57"/>
      <c r="BVD12" s="57"/>
      <c r="BVE12" s="56"/>
      <c r="BVF12" s="57"/>
      <c r="BVG12" s="57"/>
      <c r="BVH12" s="57"/>
      <c r="BVI12" s="57"/>
      <c r="BVJ12" s="57"/>
      <c r="BVK12" s="56"/>
      <c r="BVL12" s="57"/>
      <c r="BVM12" s="57"/>
      <c r="BVN12" s="56"/>
      <c r="BVO12" s="57"/>
      <c r="BVP12" s="58"/>
      <c r="BVQ12" s="56"/>
      <c r="BVR12" s="57"/>
      <c r="BVS12" s="57"/>
      <c r="BVT12" s="57"/>
      <c r="BVU12" s="56"/>
      <c r="BVV12" s="57"/>
      <c r="BVW12" s="57"/>
      <c r="BVX12" s="56"/>
      <c r="BVY12" s="57"/>
      <c r="BVZ12" s="58"/>
      <c r="BWA12" s="56"/>
      <c r="BWB12" s="57"/>
      <c r="BWC12" s="57"/>
      <c r="BWD12" s="57"/>
      <c r="BWE12" s="56"/>
      <c r="BWF12" s="57"/>
      <c r="BWG12" s="57"/>
      <c r="BWH12" s="57"/>
      <c r="BWI12" s="57"/>
      <c r="BWJ12" s="57"/>
      <c r="BWK12" s="56"/>
      <c r="BWL12" s="57"/>
      <c r="BWM12" s="57"/>
      <c r="BWN12" s="56"/>
      <c r="BWO12" s="57"/>
      <c r="BWP12" s="58"/>
      <c r="BWQ12" s="56"/>
      <c r="BWR12" s="57"/>
      <c r="BWS12" s="57"/>
      <c r="BWT12" s="57"/>
      <c r="BWU12" s="56"/>
      <c r="BWV12" s="57"/>
      <c r="BWW12" s="57"/>
      <c r="BWX12" s="56"/>
      <c r="BWY12" s="57"/>
      <c r="BWZ12" s="58"/>
      <c r="BXA12" s="56"/>
      <c r="BXB12" s="57"/>
      <c r="BXC12" s="57"/>
      <c r="BXD12" s="57"/>
      <c r="BXE12" s="56"/>
      <c r="BXF12" s="57"/>
      <c r="BXG12" s="57"/>
      <c r="BXH12" s="57"/>
      <c r="BXI12" s="57"/>
      <c r="BXJ12" s="57"/>
      <c r="BXK12" s="56"/>
      <c r="BXL12" s="57"/>
      <c r="BXM12" s="57"/>
      <c r="BXN12" s="56"/>
      <c r="BXO12" s="57"/>
      <c r="BXP12" s="58"/>
      <c r="BXQ12" s="56"/>
      <c r="BXR12" s="57"/>
      <c r="BXS12" s="57"/>
      <c r="BXT12" s="57"/>
      <c r="BXU12" s="56"/>
      <c r="BXV12" s="57"/>
      <c r="BXW12" s="57"/>
      <c r="BXX12" s="56"/>
      <c r="BXY12" s="57"/>
      <c r="BXZ12" s="58"/>
      <c r="BYA12" s="56"/>
      <c r="BYB12" s="57"/>
      <c r="BYC12" s="57"/>
      <c r="BYD12" s="57"/>
      <c r="BYE12" s="56"/>
      <c r="BYF12" s="57"/>
      <c r="BYG12" s="57"/>
      <c r="BYH12" s="57"/>
      <c r="BYI12" s="57"/>
      <c r="BYJ12" s="57"/>
      <c r="BYK12" s="56"/>
      <c r="BYL12" s="57"/>
      <c r="BYM12" s="57"/>
      <c r="BYN12" s="56"/>
      <c r="BYO12" s="57"/>
      <c r="BYP12" s="58"/>
      <c r="BYQ12" s="56"/>
      <c r="BYR12" s="57"/>
      <c r="BYS12" s="57"/>
      <c r="BYT12" s="57"/>
      <c r="BYU12" s="56"/>
      <c r="BYV12" s="57"/>
      <c r="BYW12" s="57"/>
      <c r="BYX12" s="58"/>
      <c r="BYY12" s="57"/>
      <c r="BYZ12" s="56"/>
      <c r="BZA12" s="57"/>
      <c r="BZB12" s="56"/>
      <c r="BZC12" s="56"/>
      <c r="BZD12" s="56"/>
      <c r="BZE12" s="57"/>
      <c r="BZF12" s="387"/>
      <c r="BZG12" s="57"/>
      <c r="BZH12" s="387"/>
      <c r="BZI12" s="57"/>
      <c r="BZJ12" s="38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8"/>
      <c r="CAQ12" s="56"/>
      <c r="CAR12" s="57"/>
      <c r="CAS12" s="57"/>
      <c r="CAT12" s="57"/>
      <c r="CAU12" s="57"/>
      <c r="CAV12" s="57"/>
      <c r="CAW12" s="56"/>
      <c r="CAX12" s="57"/>
      <c r="CAY12" s="57"/>
      <c r="CAZ12" s="56"/>
      <c r="CBA12" s="57"/>
      <c r="CBB12" s="58"/>
      <c r="CBC12" s="56"/>
      <c r="CBD12" s="57"/>
      <c r="CBE12" s="57"/>
      <c r="CBF12" s="57"/>
      <c r="CBG12" s="56"/>
      <c r="CBH12" s="57"/>
      <c r="CBI12" s="57"/>
      <c r="CBJ12" s="56"/>
      <c r="CBK12" s="57"/>
      <c r="CBL12" s="58"/>
      <c r="CBM12" s="56"/>
      <c r="CBN12" s="57"/>
      <c r="CBO12" s="57"/>
      <c r="CBP12" s="57"/>
      <c r="CBQ12" s="56"/>
      <c r="CBR12" s="57"/>
      <c r="CBS12" s="57"/>
      <c r="CBT12" s="56"/>
      <c r="CBU12" s="57"/>
      <c r="CBV12" s="58"/>
      <c r="CBW12" s="56"/>
      <c r="CBX12" s="57"/>
      <c r="CBY12" s="57"/>
      <c r="CBZ12" s="57"/>
      <c r="CCA12" s="56"/>
      <c r="CCB12" s="57"/>
      <c r="CCC12" s="57"/>
      <c r="CCD12" s="56"/>
      <c r="CCE12" s="57"/>
      <c r="CCF12" s="58"/>
      <c r="CCG12" s="56"/>
      <c r="CCH12" s="58"/>
      <c r="CCI12" s="57"/>
      <c r="CCJ12" s="56"/>
      <c r="CCK12" s="57"/>
      <c r="CCL12" s="56"/>
      <c r="CCM12" s="56"/>
      <c r="CCN12" s="56"/>
      <c r="CCO12" s="57"/>
      <c r="CCP12" s="387"/>
      <c r="CCQ12" s="57"/>
      <c r="CCR12" s="387"/>
      <c r="CCS12" s="57"/>
      <c r="CCT12" s="38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8"/>
      <c r="CEA12" s="56"/>
      <c r="CEB12" s="57"/>
      <c r="CEC12" s="57"/>
      <c r="CED12" s="57"/>
      <c r="CEE12" s="57"/>
      <c r="CEF12" s="57"/>
      <c r="CEG12" s="56"/>
      <c r="CEH12" s="57"/>
      <c r="CEI12" s="57"/>
      <c r="CEJ12" s="56"/>
      <c r="CEK12" s="57"/>
      <c r="CEL12" s="58"/>
      <c r="CEM12" s="56"/>
      <c r="CEN12" s="57"/>
      <c r="CEO12" s="57"/>
      <c r="CEP12" s="57"/>
      <c r="CEQ12" s="56"/>
      <c r="CER12" s="57"/>
      <c r="CES12" s="57"/>
      <c r="CET12" s="56"/>
      <c r="CEU12" s="57"/>
      <c r="CEV12" s="58"/>
      <c r="CEW12" s="56"/>
      <c r="CEX12" s="57"/>
      <c r="CEY12" s="57"/>
      <c r="CEZ12" s="57"/>
      <c r="CFA12" s="56"/>
      <c r="CFB12" s="57"/>
      <c r="CFC12" s="57"/>
      <c r="CFD12" s="56"/>
      <c r="CFE12" s="57"/>
      <c r="CFF12" s="58"/>
      <c r="CFG12" s="56"/>
      <c r="CFH12" s="57"/>
      <c r="CFI12" s="57"/>
      <c r="CFJ12" s="57"/>
      <c r="CFK12" s="56"/>
      <c r="CFL12" s="57"/>
      <c r="CFM12" s="57"/>
      <c r="CFN12" s="56"/>
      <c r="CFO12" s="57"/>
      <c r="CFP12" s="58"/>
      <c r="CFQ12" s="56"/>
      <c r="CFR12" s="58"/>
      <c r="CFS12" s="57"/>
      <c r="CFT12" s="56"/>
      <c r="CFU12" s="57"/>
      <c r="CFV12" s="56"/>
      <c r="CFW12" s="56"/>
      <c r="CFX12" s="56"/>
      <c r="CFY12" s="57"/>
      <c r="CFZ12" s="387"/>
      <c r="CGA12" s="57"/>
      <c r="CGB12" s="387"/>
      <c r="CGC12" s="57"/>
      <c r="CGD12" s="38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8"/>
      <c r="CHK12" s="56"/>
      <c r="CHL12" s="57"/>
      <c r="CHM12" s="57"/>
      <c r="CHN12" s="57"/>
      <c r="CHO12" s="57"/>
      <c r="CHP12" s="57"/>
      <c r="CHQ12" s="56"/>
      <c r="CHR12" s="57"/>
      <c r="CHS12" s="57"/>
      <c r="CHT12" s="56"/>
      <c r="CHU12" s="57"/>
      <c r="CHV12" s="58"/>
      <c r="CHW12" s="56"/>
      <c r="CHX12" s="57"/>
      <c r="CHY12" s="57"/>
      <c r="CHZ12" s="57"/>
      <c r="CIA12" s="56"/>
      <c r="CIB12" s="57"/>
      <c r="CIC12" s="57"/>
      <c r="CID12" s="56"/>
      <c r="CIE12" s="57"/>
      <c r="CIF12" s="58"/>
      <c r="CIG12" s="56"/>
      <c r="CIH12" s="57"/>
      <c r="CII12" s="57"/>
      <c r="CIJ12" s="57"/>
      <c r="CIK12" s="56"/>
      <c r="CIL12" s="57"/>
      <c r="CIM12" s="57"/>
      <c r="CIN12" s="56"/>
      <c r="CIO12" s="57"/>
      <c r="CIP12" s="58"/>
      <c r="CIQ12" s="56"/>
      <c r="CIR12" s="57"/>
      <c r="CIS12" s="57"/>
      <c r="CIT12" s="57"/>
      <c r="CIU12" s="56"/>
      <c r="CIV12" s="57"/>
      <c r="CIW12" s="57"/>
      <c r="CIX12" s="56"/>
      <c r="CIY12" s="57"/>
      <c r="CIZ12" s="58"/>
      <c r="CJA12" s="56"/>
      <c r="CJB12" s="58"/>
      <c r="CJC12" s="57"/>
      <c r="CJD12" s="56"/>
      <c r="CJE12" s="57"/>
      <c r="CJF12" s="56"/>
      <c r="CJG12" s="56"/>
      <c r="CJH12" s="56"/>
      <c r="CJI12" s="57"/>
      <c r="CJJ12" s="387"/>
      <c r="CJK12" s="57"/>
      <c r="CJL12" s="387"/>
      <c r="CJM12" s="57"/>
      <c r="CJN12" s="38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8"/>
      <c r="CKU12" s="56"/>
      <c r="CKV12" s="57"/>
      <c r="CKW12" s="57"/>
      <c r="CKX12" s="57"/>
      <c r="CKY12" s="57"/>
      <c r="CKZ12" s="57"/>
      <c r="CLA12" s="56"/>
      <c r="CLB12" s="57"/>
      <c r="CLC12" s="57"/>
      <c r="CLD12" s="56"/>
      <c r="CLE12" s="57"/>
      <c r="CLF12" s="58"/>
      <c r="CLG12" s="56"/>
      <c r="CLH12" s="57"/>
      <c r="CLI12" s="57"/>
      <c r="CLJ12" s="57"/>
      <c r="CLK12" s="56"/>
      <c r="CLL12" s="57"/>
      <c r="CLM12" s="57"/>
      <c r="CLN12" s="56"/>
      <c r="CLO12" s="57"/>
      <c r="CLP12" s="58"/>
      <c r="CLQ12" s="56"/>
      <c r="CLR12" s="57"/>
      <c r="CLS12" s="57"/>
      <c r="CLT12" s="57"/>
      <c r="CLU12" s="56"/>
      <c r="CLV12" s="57"/>
      <c r="CLW12" s="57"/>
      <c r="CLX12" s="56"/>
      <c r="CLY12" s="57"/>
      <c r="CLZ12" s="58"/>
      <c r="CMA12" s="56"/>
      <c r="CMB12" s="57"/>
      <c r="CMC12" s="57"/>
      <c r="CMD12" s="57"/>
      <c r="CME12" s="56"/>
      <c r="CMF12" s="57"/>
      <c r="CMG12" s="57"/>
      <c r="CMH12" s="56"/>
      <c r="CMI12" s="57"/>
      <c r="CMJ12" s="58"/>
      <c r="CMK12" s="56"/>
      <c r="CML12" s="58"/>
      <c r="CMM12" s="57"/>
      <c r="CMN12" s="56"/>
      <c r="CMO12" s="57"/>
      <c r="CMP12" s="56"/>
      <c r="CMQ12" s="56"/>
      <c r="CMR12" s="56"/>
      <c r="CMS12" s="57"/>
      <c r="CMT12" s="387"/>
      <c r="CMU12" s="57"/>
      <c r="CMV12" s="387"/>
      <c r="CMW12" s="57"/>
      <c r="CMX12" s="38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8"/>
      <c r="COE12" s="56"/>
      <c r="COF12" s="57"/>
      <c r="COG12" s="57"/>
      <c r="COH12" s="57"/>
      <c r="COI12" s="57"/>
      <c r="COJ12" s="57"/>
      <c r="COK12" s="56"/>
      <c r="COL12" s="57"/>
      <c r="COM12" s="57"/>
      <c r="CON12" s="56"/>
      <c r="COO12" s="57"/>
      <c r="COP12" s="58"/>
      <c r="COQ12" s="56"/>
      <c r="COR12" s="57"/>
      <c r="COS12" s="57"/>
      <c r="COT12" s="57"/>
      <c r="COU12" s="56"/>
      <c r="COV12" s="57"/>
      <c r="COW12" s="57"/>
      <c r="COX12" s="56"/>
      <c r="COY12" s="57"/>
      <c r="COZ12" s="58"/>
      <c r="CPA12" s="56"/>
      <c r="CPB12" s="57"/>
      <c r="CPC12" s="57"/>
      <c r="CPD12" s="57"/>
      <c r="CPE12" s="56"/>
      <c r="CPF12" s="57"/>
      <c r="CPG12" s="57"/>
      <c r="CPH12" s="56"/>
      <c r="CPI12" s="57"/>
      <c r="CPJ12" s="58"/>
      <c r="CPK12" s="56"/>
      <c r="CPL12" s="57"/>
      <c r="CPM12" s="57"/>
      <c r="CPN12" s="57"/>
      <c r="CPO12" s="56"/>
      <c r="CPP12" s="57"/>
      <c r="CPQ12" s="57"/>
      <c r="CPR12" s="56"/>
      <c r="CPS12" s="57"/>
      <c r="CPT12" s="58"/>
      <c r="CPU12" s="56"/>
      <c r="CPV12" s="58"/>
      <c r="CPW12" s="57"/>
      <c r="CPX12" s="56"/>
      <c r="CPY12" s="57"/>
      <c r="CPZ12" s="56"/>
      <c r="CQA12" s="56"/>
      <c r="CQB12" s="56"/>
      <c r="CQC12" s="57"/>
      <c r="CQD12" s="387"/>
      <c r="CQE12" s="57"/>
      <c r="CQF12" s="387"/>
      <c r="CQG12" s="57"/>
      <c r="CQH12" s="38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8"/>
      <c r="CRO12" s="56"/>
      <c r="CRP12" s="57"/>
      <c r="CRQ12" s="57"/>
      <c r="CRR12" s="57"/>
      <c r="CRS12" s="57"/>
      <c r="CRT12" s="57"/>
      <c r="CRU12" s="56"/>
      <c r="CRV12" s="57"/>
      <c r="CRW12" s="57"/>
      <c r="CRX12" s="56"/>
      <c r="CRY12" s="57"/>
      <c r="CRZ12" s="58"/>
      <c r="CSA12" s="56"/>
      <c r="CSB12" s="57"/>
      <c r="CSC12" s="57"/>
      <c r="CSD12" s="57"/>
      <c r="CSE12" s="56"/>
      <c r="CSF12" s="57"/>
      <c r="CSG12" s="57"/>
      <c r="CSH12" s="56"/>
      <c r="CSI12" s="57"/>
      <c r="CSJ12" s="58"/>
      <c r="CSK12" s="56"/>
      <c r="CSL12" s="57"/>
      <c r="CSM12" s="57"/>
      <c r="CSN12" s="57"/>
      <c r="CSO12" s="56"/>
      <c r="CSP12" s="57"/>
      <c r="CSQ12" s="57"/>
      <c r="CSR12" s="56"/>
      <c r="CSS12" s="57"/>
      <c r="CST12" s="58"/>
      <c r="CSU12" s="56"/>
      <c r="CSV12" s="57"/>
      <c r="CSW12" s="57"/>
      <c r="CSX12" s="57"/>
      <c r="CSY12" s="56"/>
      <c r="CSZ12" s="57"/>
      <c r="CTA12" s="57"/>
      <c r="CTB12" s="56"/>
      <c r="CTC12" s="57"/>
      <c r="CTD12" s="58"/>
      <c r="CTE12" s="56"/>
      <c r="CTF12" s="58"/>
      <c r="CTG12" s="57"/>
      <c r="CTH12" s="56"/>
      <c r="CTI12" s="57"/>
      <c r="CTJ12" s="56"/>
      <c r="CTK12" s="56"/>
      <c r="CTL12" s="56"/>
      <c r="CTM12" s="57"/>
      <c r="CTN12" s="387"/>
      <c r="CTO12" s="57"/>
      <c r="CTP12" s="387"/>
      <c r="CTQ12" s="57"/>
      <c r="CTR12" s="38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8"/>
      <c r="CUY12" s="56"/>
      <c r="CUZ12" s="57"/>
      <c r="CVA12" s="57"/>
      <c r="CVB12" s="57"/>
      <c r="CVC12" s="57"/>
      <c r="CVD12" s="57"/>
      <c r="CVE12" s="56"/>
      <c r="CVF12" s="57"/>
      <c r="CVG12" s="57"/>
      <c r="CVH12" s="56"/>
      <c r="CVI12" s="57"/>
      <c r="CVJ12" s="58"/>
      <c r="CVK12" s="56"/>
      <c r="CVL12" s="57"/>
      <c r="CVM12" s="57"/>
      <c r="CVN12" s="57"/>
      <c r="CVO12" s="56"/>
      <c r="CVP12" s="57"/>
      <c r="CVQ12" s="57"/>
      <c r="CVR12" s="56"/>
      <c r="CVS12" s="57"/>
      <c r="CVT12" s="58"/>
      <c r="CVU12" s="56"/>
      <c r="CVV12" s="57"/>
      <c r="CVW12" s="57"/>
      <c r="CVX12" s="57"/>
      <c r="CVY12" s="56"/>
      <c r="CVZ12" s="57"/>
      <c r="CWA12" s="57"/>
      <c r="CWB12" s="56"/>
      <c r="CWC12" s="57"/>
      <c r="CWD12" s="58"/>
      <c r="CWE12" s="56"/>
      <c r="CWF12" s="57"/>
      <c r="CWG12" s="57"/>
      <c r="CWH12" s="57"/>
      <c r="CWI12" s="56"/>
      <c r="CWJ12" s="57"/>
      <c r="CWK12" s="57"/>
      <c r="CWL12" s="56"/>
      <c r="CWM12" s="57"/>
      <c r="CWN12" s="58"/>
      <c r="CWO12" s="56"/>
      <c r="CWP12" s="58"/>
      <c r="CWQ12" s="57"/>
      <c r="CWR12" s="56"/>
      <c r="CWS12" s="57"/>
      <c r="CWT12" s="56"/>
      <c r="CWU12" s="56"/>
      <c r="CWV12" s="56"/>
      <c r="CWW12" s="57"/>
      <c r="CWX12" s="387"/>
      <c r="CWY12" s="57"/>
      <c r="CWZ12" s="387"/>
      <c r="CXA12" s="57"/>
      <c r="CXB12" s="38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8"/>
      <c r="CYI12" s="56"/>
      <c r="CYJ12" s="57"/>
      <c r="CYK12" s="57"/>
      <c r="CYL12" s="57"/>
      <c r="CYM12" s="57"/>
      <c r="CYN12" s="57"/>
      <c r="CYO12" s="56"/>
      <c r="CYP12" s="57"/>
      <c r="CYQ12" s="57"/>
      <c r="CYR12" s="56"/>
      <c r="CYS12" s="57"/>
      <c r="CYT12" s="58"/>
      <c r="CYU12" s="56"/>
      <c r="CYV12" s="57"/>
      <c r="CYW12" s="57"/>
      <c r="CYX12" s="57"/>
      <c r="CYY12" s="56"/>
      <c r="CYZ12" s="57"/>
      <c r="CZA12" s="57"/>
      <c r="CZB12" s="56"/>
      <c r="CZC12" s="57"/>
      <c r="CZD12" s="58"/>
      <c r="CZE12" s="56"/>
      <c r="CZF12" s="57"/>
      <c r="CZG12" s="57"/>
      <c r="CZH12" s="57"/>
      <c r="CZI12" s="56"/>
      <c r="CZJ12" s="57"/>
      <c r="CZK12" s="57"/>
      <c r="CZL12" s="56"/>
      <c r="CZM12" s="57"/>
      <c r="CZN12" s="58"/>
      <c r="CZO12" s="56"/>
      <c r="CZP12" s="57"/>
      <c r="CZQ12" s="57"/>
      <c r="CZR12" s="57"/>
      <c r="CZS12" s="56"/>
      <c r="CZT12" s="57"/>
      <c r="CZU12" s="57"/>
      <c r="CZV12" s="56"/>
      <c r="CZW12" s="57"/>
      <c r="CZX12" s="58"/>
      <c r="CZY12" s="56"/>
      <c r="CZZ12" s="58"/>
      <c r="DAA12" s="57"/>
      <c r="DAB12" s="56"/>
      <c r="DAC12" s="57"/>
      <c r="DAD12" s="56"/>
      <c r="DAE12" s="56"/>
      <c r="DAF12" s="56"/>
      <c r="DAG12" s="57"/>
      <c r="DAH12" s="387"/>
      <c r="DAI12" s="57"/>
      <c r="DAJ12" s="387"/>
      <c r="DAK12" s="57"/>
      <c r="DAL12" s="38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8"/>
      <c r="DBS12" s="56"/>
      <c r="DBT12" s="57"/>
      <c r="DBU12" s="57"/>
      <c r="DBV12" s="57"/>
      <c r="DBW12" s="57"/>
      <c r="DBX12" s="57"/>
      <c r="DBY12" s="56"/>
      <c r="DBZ12" s="57"/>
      <c r="DCA12" s="57"/>
      <c r="DCB12" s="56"/>
      <c r="DCC12" s="57"/>
      <c r="DCD12" s="58"/>
      <c r="DCE12" s="56"/>
      <c r="DCF12" s="57"/>
      <c r="DCG12" s="57"/>
      <c r="DCH12" s="57"/>
      <c r="DCI12" s="56"/>
      <c r="DCJ12" s="57"/>
      <c r="DCK12" s="57"/>
      <c r="DCL12" s="56"/>
      <c r="DCM12" s="57"/>
      <c r="DCN12" s="58"/>
      <c r="DCO12" s="56"/>
      <c r="DCP12" s="57"/>
      <c r="DCQ12" s="57"/>
      <c r="DCR12" s="57"/>
      <c r="DCS12" s="56"/>
      <c r="DCT12" s="57"/>
      <c r="DCU12" s="57"/>
      <c r="DCV12" s="56"/>
      <c r="DCW12" s="57"/>
      <c r="DCX12" s="58"/>
      <c r="DCY12" s="56"/>
      <c r="DCZ12" s="57"/>
      <c r="DDA12" s="57"/>
      <c r="DDB12" s="57"/>
      <c r="DDC12" s="56"/>
      <c r="DDD12" s="57"/>
      <c r="DDE12" s="57"/>
      <c r="DDF12" s="56"/>
      <c r="DDG12" s="57"/>
      <c r="DDH12" s="58"/>
      <c r="DDI12" s="56"/>
      <c r="DDJ12" s="58"/>
      <c r="DDK12" s="57"/>
      <c r="DDL12" s="56"/>
      <c r="DDM12" s="57"/>
      <c r="DDN12" s="56"/>
      <c r="DDO12" s="56"/>
      <c r="DDP12" s="56"/>
      <c r="DDQ12" s="57"/>
      <c r="DDR12" s="387"/>
      <c r="DDS12" s="57"/>
      <c r="DDT12" s="387"/>
      <c r="DDU12" s="57"/>
      <c r="DDV12" s="38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8"/>
      <c r="DFC12" s="56"/>
      <c r="DFD12" s="57"/>
      <c r="DFE12" s="57"/>
      <c r="DFF12" s="57"/>
      <c r="DFG12" s="57"/>
      <c r="DFH12" s="57"/>
      <c r="DFI12" s="56"/>
      <c r="DFJ12" s="57"/>
      <c r="DFK12" s="57"/>
      <c r="DFL12" s="56"/>
      <c r="DFM12" s="57"/>
      <c r="DFN12" s="58"/>
      <c r="DFO12" s="56"/>
      <c r="DFP12" s="57"/>
      <c r="DFQ12" s="57"/>
      <c r="DFR12" s="57"/>
      <c r="DFS12" s="56"/>
      <c r="DFT12" s="57"/>
      <c r="DFU12" s="57"/>
      <c r="DFV12" s="56"/>
      <c r="DFW12" s="57"/>
      <c r="DFX12" s="58"/>
      <c r="DFY12" s="56"/>
      <c r="DFZ12" s="57"/>
      <c r="DGA12" s="57"/>
      <c r="DGB12" s="57"/>
      <c r="DGC12" s="56"/>
      <c r="DGD12" s="57"/>
      <c r="DGE12" s="57"/>
      <c r="DGF12" s="56"/>
      <c r="DGG12" s="57"/>
      <c r="DGH12" s="58"/>
      <c r="DGI12" s="56"/>
      <c r="DGJ12" s="57"/>
      <c r="DGK12" s="57"/>
      <c r="DGL12" s="57"/>
      <c r="DGM12" s="56"/>
      <c r="DGN12" s="57"/>
      <c r="DGO12" s="57"/>
      <c r="DGP12" s="56"/>
      <c r="DGQ12" s="57"/>
      <c r="DGR12" s="58"/>
      <c r="DGS12" s="56"/>
      <c r="DGT12" s="58"/>
      <c r="DGU12" s="57"/>
      <c r="DGV12" s="56"/>
      <c r="DGW12" s="57"/>
      <c r="DGX12" s="56"/>
      <c r="DGY12" s="56"/>
      <c r="DGZ12" s="56"/>
      <c r="DHA12" s="57"/>
      <c r="DHB12" s="387"/>
      <c r="DHC12" s="57"/>
      <c r="DHD12" s="387"/>
      <c r="DHE12" s="57"/>
      <c r="DHF12" s="38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8"/>
      <c r="DIM12" s="56"/>
      <c r="DIN12" s="57"/>
      <c r="DIO12" s="57"/>
      <c r="DIP12" s="57"/>
      <c r="DIQ12" s="57"/>
      <c r="DIR12" s="57"/>
      <c r="DIS12" s="56"/>
      <c r="DIT12" s="57"/>
      <c r="DIU12" s="57"/>
      <c r="DIV12" s="56"/>
      <c r="DIW12" s="57"/>
      <c r="DIX12" s="58"/>
      <c r="DIY12" s="56"/>
      <c r="DIZ12" s="57"/>
      <c r="DJA12" s="57"/>
      <c r="DJB12" s="57"/>
      <c r="DJC12" s="56"/>
      <c r="DJD12" s="57"/>
      <c r="DJE12" s="57"/>
      <c r="DJF12" s="56"/>
      <c r="DJG12" s="57"/>
      <c r="DJH12" s="58"/>
      <c r="DJI12" s="56"/>
      <c r="DJJ12" s="57"/>
      <c r="DJK12" s="57"/>
      <c r="DJL12" s="57"/>
      <c r="DJM12" s="56"/>
      <c r="DJN12" s="57"/>
      <c r="DJO12" s="57"/>
      <c r="DJP12" s="56"/>
      <c r="DJQ12" s="57"/>
      <c r="DJR12" s="58"/>
      <c r="DJS12" s="56"/>
      <c r="DJT12" s="57"/>
      <c r="DJU12" s="57"/>
      <c r="DJV12" s="57"/>
      <c r="DJW12" s="56"/>
      <c r="DJX12" s="57"/>
      <c r="DJY12" s="57"/>
      <c r="DJZ12" s="56"/>
      <c r="DKA12" s="57"/>
      <c r="DKB12" s="58"/>
      <c r="DKC12" s="56"/>
      <c r="DKD12" s="58"/>
      <c r="DKE12" s="57"/>
      <c r="DKF12" s="56"/>
      <c r="DKG12" s="57"/>
      <c r="DKH12" s="56"/>
      <c r="DKI12" s="56"/>
      <c r="DKJ12" s="56"/>
      <c r="DKK12" s="57"/>
      <c r="DKL12" s="387"/>
      <c r="DKM12" s="57"/>
      <c r="DKN12" s="387"/>
      <c r="DKO12" s="57"/>
      <c r="DKP12" s="38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8"/>
      <c r="DLW12" s="56"/>
      <c r="DLX12" s="57"/>
      <c r="DLY12" s="57"/>
      <c r="DLZ12" s="57"/>
      <c r="DMA12" s="57"/>
      <c r="DMB12" s="57"/>
      <c r="DMC12" s="56"/>
      <c r="DMD12" s="57"/>
      <c r="DME12" s="57"/>
      <c r="DMF12" s="56"/>
      <c r="DMG12" s="57"/>
      <c r="DMH12" s="58"/>
      <c r="DMI12" s="56"/>
      <c r="DMJ12" s="57"/>
      <c r="DMK12" s="57"/>
      <c r="DML12" s="57"/>
      <c r="DMM12" s="56"/>
      <c r="DMN12" s="57"/>
      <c r="DMO12" s="57"/>
      <c r="DMP12" s="56"/>
      <c r="DMQ12" s="57"/>
      <c r="DMR12" s="58"/>
      <c r="DMS12" s="56"/>
      <c r="DMT12" s="57"/>
      <c r="DMU12" s="57"/>
      <c r="DMV12" s="57"/>
      <c r="DMW12" s="56"/>
      <c r="DMX12" s="57"/>
      <c r="DMY12" s="57"/>
      <c r="DMZ12" s="56"/>
      <c r="DNA12" s="57"/>
      <c r="DNB12" s="58"/>
      <c r="DNC12" s="56"/>
      <c r="DND12" s="57"/>
      <c r="DNE12" s="57"/>
      <c r="DNF12" s="57"/>
      <c r="DNG12" s="56"/>
      <c r="DNH12" s="57"/>
      <c r="DNI12" s="57"/>
      <c r="DNJ12" s="56"/>
      <c r="DNK12" s="57"/>
      <c r="DNL12" s="58"/>
      <c r="DNM12" s="56"/>
      <c r="DNN12" s="58"/>
      <c r="DNO12" s="57"/>
      <c r="DNP12" s="56"/>
      <c r="DNQ12" s="57"/>
      <c r="DNR12" s="56"/>
      <c r="DNS12" s="56"/>
      <c r="DNT12" s="56"/>
      <c r="DNU12" s="57"/>
      <c r="DNV12" s="387"/>
      <c r="DNW12" s="57"/>
      <c r="DNX12" s="387"/>
      <c r="DNY12" s="57"/>
      <c r="DNZ12" s="38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8"/>
      <c r="DPG12" s="56"/>
      <c r="DPH12" s="57"/>
      <c r="DPI12" s="57"/>
      <c r="DPJ12" s="57"/>
      <c r="DPK12" s="57"/>
      <c r="DPL12" s="57"/>
      <c r="DPM12" s="56"/>
      <c r="DPN12" s="57"/>
      <c r="DPO12" s="57"/>
      <c r="DPP12" s="56"/>
      <c r="DPQ12" s="57"/>
      <c r="DPR12" s="58"/>
      <c r="DPS12" s="56"/>
      <c r="DPT12" s="57"/>
      <c r="DPU12" s="57"/>
      <c r="DPV12" s="57"/>
      <c r="DPW12" s="56"/>
      <c r="DPX12" s="57"/>
      <c r="DPY12" s="57"/>
      <c r="DPZ12" s="56"/>
      <c r="DQA12" s="57"/>
      <c r="DQB12" s="58"/>
      <c r="DQC12" s="56"/>
      <c r="DQD12" s="57"/>
      <c r="DQE12" s="57"/>
      <c r="DQF12" s="57"/>
      <c r="DQG12" s="56"/>
      <c r="DQH12" s="57"/>
      <c r="DQI12" s="57"/>
      <c r="DQJ12" s="56"/>
      <c r="DQK12" s="57"/>
      <c r="DQL12" s="58"/>
      <c r="DQM12" s="56"/>
      <c r="DQN12" s="57"/>
      <c r="DQO12" s="57"/>
      <c r="DQP12" s="57"/>
      <c r="DQQ12" s="56"/>
      <c r="DQR12" s="57"/>
      <c r="DQS12" s="57"/>
      <c r="DQT12" s="56"/>
      <c r="DQU12" s="57"/>
      <c r="DQV12" s="58"/>
      <c r="DQW12" s="56"/>
      <c r="DQX12" s="58"/>
      <c r="DQY12" s="57"/>
      <c r="DQZ12" s="56"/>
      <c r="DRA12" s="57"/>
      <c r="DRB12" s="56"/>
      <c r="DRC12" s="56"/>
      <c r="DRD12" s="56"/>
      <c r="DRE12" s="57"/>
      <c r="DRF12" s="387"/>
      <c r="DRG12" s="57"/>
      <c r="DRH12" s="387"/>
      <c r="DRI12" s="57"/>
      <c r="DRJ12" s="38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8"/>
      <c r="DSQ12" s="56"/>
      <c r="DSR12" s="57"/>
      <c r="DSS12" s="57"/>
      <c r="DST12" s="57"/>
      <c r="DSU12" s="57"/>
      <c r="DSV12" s="57"/>
      <c r="DSW12" s="56"/>
      <c r="DSX12" s="57"/>
      <c r="DSY12" s="57"/>
      <c r="DSZ12" s="56"/>
      <c r="DTA12" s="57"/>
      <c r="DTB12" s="58"/>
      <c r="DTC12" s="56"/>
      <c r="DTD12" s="57"/>
      <c r="DTE12" s="57"/>
      <c r="DTF12" s="57"/>
      <c r="DTG12" s="56"/>
      <c r="DTH12" s="57"/>
      <c r="DTI12" s="57"/>
      <c r="DTJ12" s="56"/>
      <c r="DTK12" s="57"/>
      <c r="DTL12" s="58"/>
      <c r="DTM12" s="56"/>
      <c r="DTN12" s="57"/>
      <c r="DTO12" s="57"/>
      <c r="DTP12" s="57"/>
      <c r="DTQ12" s="56"/>
      <c r="DTR12" s="57"/>
      <c r="DTS12" s="57"/>
      <c r="DTT12" s="56"/>
      <c r="DTU12" s="57"/>
      <c r="DTV12" s="58"/>
      <c r="DTW12" s="56"/>
      <c r="DTX12" s="57"/>
      <c r="DTY12" s="57"/>
      <c r="DTZ12" s="57"/>
      <c r="DUA12" s="56"/>
      <c r="DUB12" s="57"/>
      <c r="DUC12" s="57"/>
      <c r="DUD12" s="56"/>
      <c r="DUE12" s="57"/>
      <c r="DUF12" s="58"/>
      <c r="DUG12" s="56"/>
      <c r="DUH12" s="58"/>
      <c r="DUI12" s="57"/>
      <c r="DUJ12" s="56"/>
      <c r="DUK12" s="57"/>
      <c r="DUL12" s="56"/>
      <c r="DUM12" s="56"/>
      <c r="DUN12" s="56"/>
      <c r="DUO12" s="57"/>
      <c r="DUP12" s="387"/>
      <c r="DUQ12" s="57"/>
      <c r="DUR12" s="387"/>
      <c r="DUS12" s="57"/>
      <c r="DUT12" s="38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8"/>
      <c r="DWA12" s="56"/>
      <c r="DWB12" s="57"/>
      <c r="DWC12" s="57"/>
      <c r="DWD12" s="57"/>
      <c r="DWE12" s="57"/>
      <c r="DWF12" s="57"/>
      <c r="DWG12" s="56"/>
      <c r="DWH12" s="57"/>
      <c r="DWI12" s="57"/>
      <c r="DWJ12" s="56"/>
      <c r="DWK12" s="57"/>
      <c r="DWL12" s="58"/>
      <c r="DWM12" s="56"/>
      <c r="DWN12" s="57"/>
      <c r="DWO12" s="57"/>
      <c r="DWP12" s="57"/>
      <c r="DWQ12" s="56"/>
      <c r="DWR12" s="57"/>
      <c r="DWS12" s="57"/>
      <c r="DWT12" s="56"/>
      <c r="DWU12" s="57"/>
      <c r="DWV12" s="58"/>
      <c r="DWW12" s="56"/>
      <c r="DWX12" s="57"/>
      <c r="DWY12" s="57"/>
      <c r="DWZ12" s="57"/>
      <c r="DXA12" s="56"/>
      <c r="DXB12" s="57"/>
      <c r="DXC12" s="57"/>
      <c r="DXD12" s="56"/>
      <c r="DXE12" s="57"/>
      <c r="DXF12" s="58"/>
      <c r="DXG12" s="56"/>
      <c r="DXH12" s="57"/>
      <c r="DXI12" s="57"/>
      <c r="DXJ12" s="57"/>
      <c r="DXK12" s="56"/>
      <c r="DXL12" s="57"/>
      <c r="DXM12" s="57"/>
      <c r="DXN12" s="56"/>
      <c r="DXO12" s="57"/>
      <c r="DXP12" s="58"/>
      <c r="DXQ12" s="56"/>
      <c r="DXR12" s="58"/>
      <c r="DXS12" s="57"/>
      <c r="DXT12" s="56"/>
      <c r="DXU12" s="57"/>
      <c r="DXV12" s="56"/>
      <c r="DXW12" s="56"/>
      <c r="DXX12" s="56"/>
      <c r="DXY12" s="57"/>
      <c r="DXZ12" s="387"/>
      <c r="DYA12" s="57"/>
      <c r="DYB12" s="387"/>
      <c r="DYC12" s="57"/>
      <c r="DYD12" s="38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8"/>
      <c r="DZK12" s="56"/>
      <c r="DZL12" s="57"/>
      <c r="DZM12" s="57"/>
      <c r="DZN12" s="57"/>
      <c r="DZO12" s="57"/>
      <c r="DZP12" s="57"/>
      <c r="DZQ12" s="56"/>
      <c r="DZR12" s="57"/>
      <c r="DZS12" s="57"/>
      <c r="DZT12" s="56"/>
      <c r="DZU12" s="57"/>
      <c r="DZV12" s="58"/>
      <c r="DZW12" s="56"/>
      <c r="DZX12" s="57"/>
      <c r="DZY12" s="57"/>
      <c r="DZZ12" s="57"/>
      <c r="EAA12" s="56"/>
      <c r="EAB12" s="57"/>
      <c r="EAC12" s="57"/>
      <c r="EAD12" s="56"/>
      <c r="EAE12" s="57"/>
      <c r="EAF12" s="58"/>
      <c r="EAG12" s="56"/>
      <c r="EAH12" s="57"/>
      <c r="EAI12" s="57"/>
      <c r="EAJ12" s="57"/>
      <c r="EAK12" s="56"/>
      <c r="EAL12" s="57"/>
      <c r="EAM12" s="57"/>
      <c r="EAN12" s="56"/>
      <c r="EAO12" s="57"/>
      <c r="EAP12" s="58"/>
      <c r="EAQ12" s="56"/>
      <c r="EAR12" s="57"/>
      <c r="EAS12" s="57"/>
      <c r="EAT12" s="57"/>
      <c r="EAU12" s="56"/>
      <c r="EAV12" s="57"/>
      <c r="EAW12" s="57"/>
      <c r="EAX12" s="56"/>
      <c r="EAY12" s="57"/>
      <c r="EAZ12" s="58"/>
      <c r="EBA12" s="56"/>
      <c r="EBB12" s="58"/>
      <c r="EBC12" s="57"/>
      <c r="EBD12" s="56"/>
      <c r="EBE12" s="57"/>
      <c r="EBF12" s="56"/>
      <c r="EBG12" s="56"/>
      <c r="EBH12" s="56"/>
      <c r="EBI12" s="57"/>
      <c r="EBJ12" s="387"/>
      <c r="EBK12" s="57"/>
      <c r="EBL12" s="387"/>
      <c r="EBM12" s="57"/>
      <c r="EBN12" s="38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8"/>
      <c r="ECU12" s="56"/>
      <c r="ECV12" s="57"/>
      <c r="ECW12" s="57"/>
      <c r="ECX12" s="57"/>
      <c r="ECY12" s="57"/>
      <c r="ECZ12" s="57"/>
      <c r="EDA12" s="56"/>
      <c r="EDB12" s="57"/>
      <c r="EDC12" s="57"/>
      <c r="EDD12" s="56"/>
      <c r="EDE12" s="57"/>
      <c r="EDF12" s="58"/>
      <c r="EDG12" s="56"/>
      <c r="EDH12" s="57"/>
      <c r="EDI12" s="57"/>
      <c r="EDJ12" s="57"/>
      <c r="EDK12" s="56"/>
      <c r="EDL12" s="57"/>
      <c r="EDM12" s="57"/>
      <c r="EDN12" s="56"/>
      <c r="EDO12" s="57"/>
      <c r="EDP12" s="58"/>
      <c r="EDQ12" s="56"/>
      <c r="EDR12" s="57"/>
      <c r="EDS12" s="57"/>
      <c r="EDT12" s="57"/>
      <c r="EDU12" s="56"/>
      <c r="EDV12" s="57"/>
      <c r="EDW12" s="57"/>
      <c r="EDX12" s="56"/>
      <c r="EDY12" s="57"/>
      <c r="EDZ12" s="58"/>
      <c r="EEA12" s="56"/>
      <c r="EEB12" s="57"/>
      <c r="EEC12" s="57"/>
      <c r="EED12" s="57"/>
      <c r="EEE12" s="56"/>
      <c r="EEF12" s="57"/>
      <c r="EEG12" s="57"/>
      <c r="EEH12" s="56"/>
      <c r="EEI12" s="57"/>
      <c r="EEJ12" s="58"/>
      <c r="EEK12" s="56"/>
      <c r="EEL12" s="58"/>
      <c r="EEM12" s="57"/>
      <c r="EEN12" s="56"/>
      <c r="EEO12" s="57"/>
      <c r="EEP12" s="56"/>
      <c r="EEQ12" s="56"/>
      <c r="EER12" s="56"/>
      <c r="EES12" s="57"/>
      <c r="EET12" s="387"/>
      <c r="EEU12" s="57"/>
      <c r="EEV12" s="387"/>
      <c r="EEW12" s="57"/>
      <c r="EEX12" s="38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8"/>
      <c r="EGE12" s="56"/>
      <c r="EGF12" s="57"/>
      <c r="EGG12" s="57"/>
      <c r="EGH12" s="57"/>
      <c r="EGI12" s="57"/>
      <c r="EGJ12" s="57"/>
      <c r="EGK12" s="56"/>
      <c r="EGL12" s="57"/>
      <c r="EGM12" s="57"/>
      <c r="EGN12" s="56"/>
      <c r="EGO12" s="57"/>
      <c r="EGP12" s="58"/>
      <c r="EGQ12" s="56"/>
      <c r="EGR12" s="57"/>
      <c r="EGS12" s="57"/>
      <c r="EGT12" s="57"/>
      <c r="EGU12" s="56"/>
      <c r="EGV12" s="57"/>
      <c r="EGW12" s="57"/>
      <c r="EGX12" s="56"/>
      <c r="EGY12" s="57"/>
      <c r="EGZ12" s="58"/>
      <c r="EHA12" s="56"/>
      <c r="EHB12" s="57"/>
      <c r="EHC12" s="57"/>
      <c r="EHD12" s="57"/>
      <c r="EHE12" s="56"/>
      <c r="EHF12" s="57"/>
      <c r="EHG12" s="57"/>
      <c r="EHH12" s="56"/>
      <c r="EHI12" s="57"/>
      <c r="EHJ12" s="58"/>
      <c r="EHK12" s="56"/>
      <c r="EHL12" s="57"/>
      <c r="EHM12" s="57"/>
      <c r="EHN12" s="57"/>
      <c r="EHO12" s="56"/>
      <c r="EHP12" s="57"/>
      <c r="EHQ12" s="57"/>
      <c r="EHR12" s="56"/>
      <c r="EHS12" s="57"/>
      <c r="EHT12" s="58"/>
      <c r="EHU12" s="56"/>
      <c r="EHV12" s="58"/>
      <c r="EHW12" s="57"/>
      <c r="EHX12" s="56"/>
      <c r="EHY12" s="57"/>
      <c r="EHZ12" s="56"/>
      <c r="EIA12" s="56"/>
      <c r="EIB12" s="56"/>
      <c r="EIC12" s="57"/>
      <c r="EID12" s="387"/>
      <c r="EIE12" s="57"/>
      <c r="EIF12" s="387"/>
      <c r="EIG12" s="57"/>
      <c r="EIH12" s="38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8"/>
      <c r="EJO12" s="56"/>
      <c r="EJP12" s="57"/>
      <c r="EJQ12" s="57"/>
      <c r="EJR12" s="57"/>
      <c r="EJS12" s="57"/>
      <c r="EJT12" s="57"/>
      <c r="EJU12" s="56"/>
      <c r="EJV12" s="57"/>
      <c r="EJW12" s="57"/>
      <c r="EJX12" s="56"/>
      <c r="EJY12" s="57"/>
      <c r="EJZ12" s="58"/>
      <c r="EKA12" s="56"/>
      <c r="EKB12" s="57"/>
      <c r="EKC12" s="57"/>
      <c r="EKD12" s="57"/>
      <c r="EKE12" s="56"/>
      <c r="EKF12" s="57"/>
      <c r="EKG12" s="57"/>
      <c r="EKH12" s="56"/>
      <c r="EKI12" s="57"/>
      <c r="EKJ12" s="58"/>
      <c r="EKK12" s="56"/>
      <c r="EKL12" s="57"/>
      <c r="EKM12" s="57"/>
      <c r="EKN12" s="57"/>
      <c r="EKO12" s="56"/>
      <c r="EKP12" s="57"/>
      <c r="EKQ12" s="57"/>
      <c r="EKR12" s="56"/>
      <c r="EKS12" s="57"/>
      <c r="EKT12" s="58"/>
      <c r="EKU12" s="56"/>
      <c r="EKV12" s="57"/>
      <c r="EKW12" s="57"/>
      <c r="EKX12" s="57"/>
      <c r="EKY12" s="56"/>
      <c r="EKZ12" s="57"/>
      <c r="ELA12" s="57"/>
      <c r="ELB12" s="56"/>
      <c r="ELC12" s="57"/>
      <c r="ELD12" s="58"/>
      <c r="ELE12" s="56"/>
      <c r="ELF12" s="58"/>
      <c r="ELG12" s="57"/>
      <c r="ELH12" s="56"/>
      <c r="ELI12" s="57"/>
      <c r="ELJ12" s="56"/>
      <c r="ELK12" s="56"/>
      <c r="ELL12" s="56"/>
      <c r="ELM12" s="57"/>
      <c r="ELN12" s="387"/>
      <c r="ELO12" s="57"/>
      <c r="ELP12" s="387"/>
      <c r="ELQ12" s="57"/>
      <c r="ELR12" s="38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8"/>
      <c r="EMY12" s="56"/>
      <c r="EMZ12" s="57"/>
      <c r="ENA12" s="57"/>
      <c r="ENB12" s="57"/>
      <c r="ENC12" s="57"/>
      <c r="END12" s="57"/>
      <c r="ENE12" s="56"/>
      <c r="ENF12" s="57"/>
      <c r="ENG12" s="57"/>
      <c r="ENH12" s="56"/>
      <c r="ENI12" s="57"/>
      <c r="ENJ12" s="58"/>
      <c r="ENK12" s="56"/>
      <c r="ENL12" s="57"/>
      <c r="ENM12" s="57"/>
      <c r="ENN12" s="57"/>
      <c r="ENO12" s="56"/>
      <c r="ENP12" s="57"/>
      <c r="ENQ12" s="57"/>
      <c r="ENR12" s="56"/>
      <c r="ENS12" s="57"/>
      <c r="ENT12" s="58"/>
      <c r="ENU12" s="56"/>
      <c r="ENV12" s="57"/>
      <c r="ENW12" s="57"/>
      <c r="ENX12" s="57"/>
      <c r="ENY12" s="56"/>
      <c r="ENZ12" s="57"/>
      <c r="EOA12" s="57"/>
      <c r="EOB12" s="56"/>
      <c r="EOC12" s="57"/>
      <c r="EOD12" s="58"/>
      <c r="EOE12" s="56"/>
      <c r="EOF12" s="57"/>
      <c r="EOG12" s="57"/>
      <c r="EOH12" s="57"/>
      <c r="EOI12" s="56"/>
      <c r="EOJ12" s="57"/>
      <c r="EOK12" s="57"/>
      <c r="EOL12" s="56"/>
      <c r="EOM12" s="57"/>
      <c r="EON12" s="58"/>
      <c r="EOO12" s="56" t="str">
        <f t="shared" si="75"/>
        <v xml:space="preserve"> </v>
      </c>
    </row>
    <row r="13" spans="1:3873" x14ac:dyDescent="0.3">
      <c r="A13" s="393" t="s">
        <v>146</v>
      </c>
      <c r="B13" s="30" t="s">
        <v>2772</v>
      </c>
      <c r="C13" s="29" t="s">
        <v>1371</v>
      </c>
      <c r="D13" s="28" t="str">
        <f t="shared" si="61"/>
        <v xml:space="preserve"> </v>
      </c>
      <c r="E13" s="29"/>
      <c r="F13" s="28"/>
      <c r="G13" s="31">
        <v>45363</v>
      </c>
      <c r="H13" s="31">
        <f>+G13+365</f>
        <v>45728</v>
      </c>
      <c r="I13" s="29" t="s">
        <v>1372</v>
      </c>
      <c r="J13" s="388" t="s">
        <v>1373</v>
      </c>
      <c r="K13" s="29" t="s">
        <v>1372</v>
      </c>
      <c r="L13" s="388" t="s">
        <v>1373</v>
      </c>
      <c r="M13" s="29" t="s">
        <v>1372</v>
      </c>
      <c r="N13" s="29" t="s">
        <v>2585</v>
      </c>
      <c r="O13" s="29" t="s">
        <v>1372</v>
      </c>
      <c r="P13" s="29" t="s">
        <v>1372</v>
      </c>
      <c r="Q13" s="29" t="s">
        <v>1372</v>
      </c>
      <c r="R13" s="29" t="s">
        <v>1461</v>
      </c>
      <c r="S13" s="29" t="s">
        <v>1372</v>
      </c>
      <c r="T13" s="29" t="s">
        <v>1372</v>
      </c>
      <c r="U13" s="29" t="s">
        <v>1372</v>
      </c>
      <c r="V13" s="29" t="s">
        <v>1372</v>
      </c>
      <c r="W13" s="29"/>
      <c r="X13" s="29"/>
      <c r="Y13" s="29"/>
      <c r="Z13" s="29" t="s">
        <v>1372</v>
      </c>
      <c r="AA13" s="29"/>
      <c r="AB13" s="29"/>
      <c r="AC13" s="29"/>
      <c r="AD13" s="29"/>
      <c r="AE13" s="29"/>
      <c r="AF13" s="29"/>
      <c r="AG13" s="29"/>
      <c r="AH13" s="29"/>
      <c r="AI13" s="29"/>
      <c r="AJ13" s="29"/>
      <c r="AK13" s="29"/>
      <c r="AL13" s="29"/>
      <c r="AM13" s="29"/>
      <c r="AN13" s="29"/>
      <c r="AO13" s="29"/>
      <c r="AP13" s="29"/>
      <c r="AQ13" s="29"/>
      <c r="AR13" s="29" t="s">
        <v>1768</v>
      </c>
      <c r="AS13" s="29"/>
      <c r="AT13" s="30"/>
      <c r="AU13" s="28"/>
      <c r="AV13" s="29"/>
      <c r="AW13" s="29"/>
      <c r="AX13" s="29"/>
      <c r="AY13" s="29"/>
      <c r="AZ13" s="29"/>
      <c r="BA13" s="28"/>
      <c r="BB13" s="29"/>
      <c r="BC13" s="29"/>
      <c r="BD13" s="28"/>
      <c r="BE13" s="29"/>
      <c r="BF13" s="30"/>
      <c r="BG13" s="28"/>
      <c r="BH13" s="29"/>
      <c r="BI13" s="29"/>
      <c r="BJ13" s="29"/>
      <c r="BK13" s="28"/>
      <c r="BL13" s="29"/>
      <c r="BM13" s="29"/>
      <c r="BN13" s="28"/>
      <c r="BO13" s="29"/>
      <c r="BP13" s="30"/>
      <c r="BQ13" s="28"/>
      <c r="BR13" s="29"/>
      <c r="BS13" s="29"/>
      <c r="BT13" s="29"/>
      <c r="BU13" s="28"/>
      <c r="BV13" s="29"/>
      <c r="BW13" s="29"/>
      <c r="BX13" s="28"/>
      <c r="BY13" s="29"/>
      <c r="BZ13" s="30"/>
      <c r="CA13" s="28"/>
      <c r="CB13" s="29"/>
      <c r="CC13" s="29"/>
      <c r="CD13" s="29"/>
      <c r="CE13" s="28"/>
      <c r="CF13" s="29"/>
      <c r="CG13" s="29"/>
      <c r="CH13" s="28"/>
      <c r="CI13" s="29"/>
      <c r="CJ13" s="30"/>
      <c r="CK13" s="28"/>
      <c r="CL13" s="29"/>
      <c r="CM13" s="29"/>
      <c r="CN13" s="29"/>
      <c r="CO13" s="28"/>
      <c r="CP13" s="29"/>
      <c r="CQ13" s="29"/>
      <c r="CR13" s="28"/>
      <c r="CS13" s="29"/>
      <c r="CT13" s="30"/>
      <c r="CU13" s="28"/>
      <c r="CV13" s="29"/>
      <c r="CW13" s="29"/>
      <c r="CX13" s="29"/>
      <c r="CY13" s="28"/>
      <c r="CZ13" s="29"/>
      <c r="DA13" s="29"/>
      <c r="DB13" s="28"/>
      <c r="DC13" s="29"/>
      <c r="DD13" s="30"/>
      <c r="DE13" s="28"/>
      <c r="DF13" s="29"/>
      <c r="DG13" s="29"/>
      <c r="DH13" s="29"/>
      <c r="DI13" s="28"/>
      <c r="DJ13" s="29"/>
      <c r="DK13" s="29"/>
      <c r="DL13" s="28"/>
      <c r="DM13" s="29"/>
      <c r="DN13" s="30"/>
      <c r="DO13" s="28"/>
      <c r="DP13" s="29"/>
      <c r="DQ13" s="29"/>
      <c r="DR13" s="29"/>
      <c r="DS13" s="28"/>
      <c r="DT13" s="29"/>
      <c r="DU13" s="29"/>
      <c r="DV13" s="28"/>
      <c r="DW13" s="29"/>
      <c r="DX13" s="30"/>
      <c r="DY13" s="28"/>
      <c r="DZ13" s="29"/>
      <c r="EA13" s="29"/>
      <c r="EB13" s="29"/>
      <c r="EC13" s="28"/>
      <c r="ED13" s="29"/>
      <c r="EE13" s="28"/>
      <c r="EF13" s="28"/>
      <c r="EG13" s="29"/>
      <c r="EH13" s="30"/>
      <c r="EI13" s="28"/>
      <c r="EJ13" s="29"/>
      <c r="EK13" s="29"/>
      <c r="EL13" s="29"/>
      <c r="EM13" s="28"/>
      <c r="EN13" s="29"/>
      <c r="EO13" s="33"/>
      <c r="EP13" s="28"/>
      <c r="EQ13" s="29"/>
      <c r="ER13" s="30"/>
      <c r="ES13" s="28"/>
      <c r="ET13" s="29"/>
      <c r="EU13" s="29"/>
      <c r="EV13" s="29"/>
      <c r="EW13" s="28"/>
      <c r="EX13" s="29"/>
      <c r="EY13" s="29"/>
      <c r="EZ13" s="28"/>
      <c r="FA13" s="29"/>
      <c r="FB13" s="30"/>
      <c r="FC13" s="28"/>
      <c r="FD13" s="29"/>
      <c r="FE13" s="29"/>
      <c r="FF13" s="29"/>
      <c r="FG13" s="28"/>
      <c r="FH13" s="29"/>
      <c r="FI13" s="29"/>
      <c r="FJ13" s="28"/>
      <c r="FK13" s="29"/>
      <c r="FL13" s="30"/>
      <c r="FM13" s="28"/>
      <c r="FN13" s="29"/>
      <c r="FO13" s="29"/>
      <c r="FP13" s="29"/>
      <c r="FQ13" s="28"/>
      <c r="FR13" s="29"/>
      <c r="FS13" s="29"/>
      <c r="FT13" s="28"/>
      <c r="FU13" s="29"/>
      <c r="FV13" s="30"/>
      <c r="FW13" s="28"/>
      <c r="FX13" s="29"/>
      <c r="FY13" s="29"/>
      <c r="FZ13" s="29"/>
      <c r="GA13" s="28"/>
      <c r="GB13" s="29"/>
      <c r="GC13" s="29"/>
      <c r="GD13" s="28"/>
      <c r="GE13" s="29"/>
      <c r="GF13" s="30"/>
      <c r="GG13" s="28"/>
      <c r="GH13" s="29"/>
      <c r="GI13" s="29"/>
      <c r="GJ13" s="29"/>
      <c r="GK13" s="28"/>
      <c r="GL13" s="29"/>
      <c r="GM13" s="29"/>
      <c r="GN13" s="28"/>
      <c r="GO13" s="29"/>
      <c r="GP13" s="30"/>
      <c r="GQ13" s="28"/>
      <c r="GR13" s="29"/>
      <c r="GS13" s="29"/>
      <c r="GT13" s="29"/>
      <c r="GU13" s="28"/>
      <c r="GV13" s="29"/>
      <c r="GW13" s="29"/>
      <c r="GX13" s="28"/>
      <c r="GY13" s="29"/>
      <c r="GZ13" s="30"/>
      <c r="HA13" s="28"/>
      <c r="HB13" s="29"/>
      <c r="HC13" s="29"/>
      <c r="HD13" s="29"/>
      <c r="HE13" s="28"/>
      <c r="HF13" s="29"/>
      <c r="HG13" s="29"/>
      <c r="HH13" s="28"/>
      <c r="HI13" s="29"/>
      <c r="HJ13" s="30"/>
      <c r="HK13" s="28"/>
      <c r="HL13" s="29"/>
      <c r="HM13" s="29"/>
      <c r="HN13" s="29"/>
      <c r="HO13" s="28"/>
      <c r="HP13" s="29"/>
      <c r="HQ13" s="29"/>
      <c r="HR13" s="28"/>
      <c r="HS13" s="29"/>
      <c r="HT13" s="30"/>
      <c r="HU13" s="28"/>
      <c r="HV13" s="29"/>
      <c r="HW13" s="29"/>
      <c r="HX13" s="29"/>
      <c r="HY13" s="28"/>
      <c r="HZ13" s="29"/>
      <c r="IA13" s="29"/>
      <c r="IB13" s="28"/>
      <c r="IC13" s="29"/>
      <c r="ID13" s="30"/>
      <c r="IE13" s="28"/>
      <c r="IF13" s="29"/>
      <c r="IG13" s="29"/>
      <c r="IH13" s="29"/>
      <c r="II13" s="28"/>
      <c r="IJ13" s="29"/>
      <c r="IK13" s="29"/>
      <c r="IL13" s="28"/>
      <c r="IM13" s="29"/>
      <c r="IN13" s="30"/>
      <c r="IO13" s="28"/>
      <c r="IP13" s="29"/>
      <c r="IQ13" s="29"/>
      <c r="IR13" s="29"/>
      <c r="IS13" s="28"/>
      <c r="IT13" s="29"/>
      <c r="IU13" s="29"/>
      <c r="IV13" s="28"/>
      <c r="IW13" s="29"/>
      <c r="IX13" s="30"/>
      <c r="IY13" s="28"/>
      <c r="IZ13" s="29"/>
      <c r="JA13" s="29"/>
      <c r="JB13" s="29"/>
      <c r="JC13" s="28"/>
      <c r="JD13" s="29"/>
      <c r="JE13" s="29"/>
      <c r="JF13" s="28"/>
      <c r="JG13" s="29"/>
      <c r="JH13" s="30"/>
      <c r="JI13" s="28"/>
      <c r="JJ13" s="29"/>
      <c r="JK13" s="29"/>
      <c r="JL13" s="29"/>
      <c r="JM13" s="28"/>
      <c r="JN13" s="29"/>
      <c r="JO13" s="29"/>
      <c r="JP13" s="28"/>
      <c r="JQ13" s="29"/>
      <c r="JR13" s="30"/>
      <c r="JS13" s="28"/>
      <c r="JT13" s="29"/>
      <c r="JU13" s="29"/>
      <c r="JV13" s="29"/>
      <c r="JW13" s="28"/>
      <c r="JX13" s="29"/>
      <c r="JY13" s="29"/>
      <c r="JZ13" s="28"/>
      <c r="KA13" s="29"/>
      <c r="KB13" s="30"/>
      <c r="KC13" s="28"/>
      <c r="KD13" s="29"/>
      <c r="KE13" s="29"/>
      <c r="KF13" s="29"/>
      <c r="KG13" s="28"/>
      <c r="KH13" s="29"/>
      <c r="KI13" s="29"/>
      <c r="KJ13" s="28"/>
      <c r="KK13" s="29"/>
      <c r="KL13" s="30"/>
      <c r="KM13" s="28"/>
      <c r="KN13" s="29"/>
      <c r="KO13" s="29"/>
      <c r="KP13" s="29"/>
      <c r="KQ13" s="28"/>
      <c r="KR13" s="29"/>
      <c r="KS13" s="29"/>
      <c r="KT13" s="28"/>
      <c r="KU13" s="29"/>
      <c r="KV13" s="30"/>
      <c r="KW13" s="28"/>
      <c r="KX13" s="29"/>
      <c r="KY13" s="29"/>
      <c r="KZ13" s="29"/>
      <c r="LA13" s="28"/>
      <c r="LB13" s="29"/>
      <c r="LC13" s="29"/>
      <c r="LD13" s="28"/>
      <c r="LE13" s="29"/>
      <c r="LF13" s="30"/>
      <c r="LG13" s="28"/>
      <c r="LH13" s="29"/>
      <c r="LI13" s="29"/>
      <c r="LJ13" s="29"/>
      <c r="LK13" s="28"/>
      <c r="LL13" s="29"/>
      <c r="LM13" s="29"/>
      <c r="LN13" s="28"/>
      <c r="LO13" s="29"/>
      <c r="LP13" s="30"/>
      <c r="LQ13" s="28"/>
      <c r="LR13" s="29"/>
      <c r="LS13" s="29"/>
      <c r="LT13" s="29"/>
      <c r="LU13" s="28"/>
      <c r="LV13" s="29"/>
      <c r="LW13" s="29"/>
      <c r="LX13" s="28"/>
      <c r="LY13" s="29"/>
      <c r="LZ13" s="30"/>
      <c r="MA13" s="28"/>
      <c r="MB13" s="29"/>
      <c r="MC13" s="29"/>
      <c r="MD13" s="29"/>
      <c r="ME13" s="28"/>
      <c r="MF13" s="29"/>
      <c r="MG13" s="29"/>
      <c r="MH13" s="28"/>
      <c r="MI13" s="29"/>
      <c r="MJ13" s="30"/>
      <c r="MK13" s="28"/>
      <c r="ML13" s="29"/>
      <c r="MM13" s="29"/>
      <c r="MN13" s="29"/>
      <c r="MO13" s="28"/>
      <c r="MP13" s="29"/>
      <c r="MQ13" s="29"/>
      <c r="MR13" s="28"/>
      <c r="MS13" s="29"/>
      <c r="MT13" s="30"/>
      <c r="MU13" s="28"/>
      <c r="MV13" s="29"/>
      <c r="MW13" s="29"/>
      <c r="MX13" s="29"/>
      <c r="MY13" s="28"/>
      <c r="MZ13" s="29"/>
      <c r="NA13" s="29"/>
      <c r="NB13" s="28"/>
      <c r="NC13" s="29"/>
      <c r="ND13" s="30"/>
      <c r="NE13" s="28"/>
      <c r="NF13" s="29"/>
      <c r="NG13" s="29"/>
      <c r="NH13" s="29"/>
      <c r="NI13" s="28"/>
      <c r="NJ13" s="29"/>
      <c r="NK13" s="29"/>
      <c r="NL13" s="28"/>
      <c r="NM13" s="29"/>
      <c r="NN13" s="30"/>
      <c r="NO13" s="28"/>
      <c r="NP13" s="29"/>
      <c r="NQ13" s="29"/>
      <c r="NR13" s="29"/>
      <c r="NS13" s="28"/>
      <c r="NT13" s="29"/>
      <c r="NU13" s="29"/>
      <c r="NV13" s="28"/>
      <c r="NW13" s="29"/>
      <c r="NX13" s="30"/>
      <c r="NY13" s="28"/>
      <c r="NZ13" s="29"/>
      <c r="OA13" s="29"/>
      <c r="OB13" s="29"/>
      <c r="OC13" s="28"/>
      <c r="OD13" s="29"/>
      <c r="OE13" s="29"/>
      <c r="OF13" s="30"/>
      <c r="OG13" s="30"/>
      <c r="OH13" s="30"/>
      <c r="OI13" s="28"/>
      <c r="OJ13" s="30"/>
      <c r="OK13" s="30"/>
      <c r="OL13" s="30"/>
      <c r="OM13" s="30"/>
      <c r="ON13" s="30"/>
      <c r="OO13" s="30"/>
      <c r="OP13" s="28"/>
      <c r="OQ13" s="29"/>
      <c r="OR13" s="30"/>
      <c r="OS13" s="28"/>
      <c r="OT13" s="29"/>
      <c r="OU13" s="29"/>
      <c r="OV13" s="29"/>
      <c r="OW13" s="28"/>
      <c r="OX13" s="29"/>
      <c r="OY13" s="29"/>
      <c r="OZ13" s="28"/>
      <c r="PA13" s="29"/>
      <c r="PB13" s="30"/>
      <c r="PC13" s="28"/>
      <c r="PD13" s="29"/>
      <c r="PE13" s="29"/>
      <c r="PF13" s="29"/>
      <c r="PG13" s="28"/>
      <c r="PH13" s="29"/>
      <c r="PI13" s="29"/>
      <c r="PJ13" s="28"/>
      <c r="PK13" s="29"/>
      <c r="PL13" s="30"/>
      <c r="PM13" s="28"/>
      <c r="PN13" s="29"/>
      <c r="PO13" s="29"/>
      <c r="PP13" s="29"/>
      <c r="PQ13" s="28"/>
      <c r="PR13" s="29"/>
      <c r="PS13" s="29"/>
      <c r="PT13" s="28"/>
      <c r="PU13" s="29"/>
      <c r="PV13" s="30"/>
      <c r="PW13" s="28"/>
      <c r="PX13" s="29"/>
      <c r="PY13" s="29"/>
      <c r="PZ13" s="29"/>
      <c r="QA13" s="28"/>
      <c r="QB13" s="29"/>
      <c r="QC13" s="29"/>
      <c r="QD13" s="28"/>
      <c r="QE13" s="29"/>
      <c r="QF13" s="30"/>
      <c r="QG13" s="28"/>
      <c r="QH13" s="29"/>
      <c r="QI13" s="29"/>
      <c r="QJ13" s="29"/>
      <c r="QK13" s="28"/>
      <c r="QL13" s="29"/>
      <c r="QM13" s="29"/>
      <c r="QN13" s="28"/>
      <c r="QO13" s="29"/>
      <c r="QP13" s="30"/>
      <c r="QQ13" s="28"/>
      <c r="QR13" s="29"/>
      <c r="QS13" s="29"/>
      <c r="QT13" s="29"/>
      <c r="QU13" s="28"/>
      <c r="QV13" s="29"/>
      <c r="QW13" s="29"/>
      <c r="QX13" s="28"/>
      <c r="QY13" s="29"/>
      <c r="QZ13" s="30"/>
      <c r="RA13" s="28"/>
      <c r="RB13" s="29"/>
      <c r="RC13" s="29"/>
      <c r="RD13" s="29"/>
      <c r="RE13" s="28"/>
      <c r="RF13" s="29"/>
      <c r="RG13" s="29"/>
      <c r="RH13" s="28"/>
      <c r="RI13" s="29"/>
      <c r="RJ13" s="30"/>
      <c r="RK13" s="28"/>
      <c r="RL13" s="29"/>
      <c r="RM13" s="29"/>
      <c r="RN13" s="29"/>
      <c r="RO13" s="28"/>
      <c r="RP13" s="29"/>
      <c r="RQ13" s="29"/>
      <c r="RR13" s="28"/>
      <c r="RS13" s="29"/>
      <c r="RT13" s="30"/>
      <c r="RU13" s="28"/>
      <c r="RV13" s="29"/>
      <c r="RW13" s="29"/>
      <c r="RX13" s="29"/>
      <c r="RY13" s="28"/>
      <c r="RZ13" s="29"/>
      <c r="SA13" s="29"/>
      <c r="SB13" s="28"/>
      <c r="SC13" s="29"/>
      <c r="SD13" s="30"/>
      <c r="SE13" s="28"/>
      <c r="SF13" s="29"/>
      <c r="SG13" s="29"/>
      <c r="SH13" s="29"/>
      <c r="SI13" s="28"/>
      <c r="SJ13" s="29"/>
      <c r="SK13" s="29"/>
      <c r="SL13" s="28"/>
      <c r="SM13" s="29"/>
      <c r="SN13" s="30"/>
      <c r="SO13" s="28"/>
      <c r="SP13" s="29"/>
      <c r="SQ13" s="29"/>
      <c r="SR13" s="29"/>
      <c r="SS13" s="28"/>
      <c r="ST13" s="29"/>
      <c r="SU13" s="29"/>
      <c r="SV13" s="28"/>
      <c r="SW13" s="29"/>
      <c r="SX13" s="30"/>
      <c r="SY13" s="28"/>
      <c r="SZ13" s="29"/>
      <c r="TA13" s="29"/>
      <c r="TB13" s="29"/>
      <c r="TC13" s="28"/>
      <c r="TD13" s="29"/>
      <c r="TE13" s="29"/>
      <c r="TF13" s="28"/>
      <c r="TG13" s="29"/>
      <c r="TH13" s="30"/>
      <c r="TI13" s="28"/>
      <c r="TJ13" s="29"/>
      <c r="TK13" s="29"/>
      <c r="TL13" s="29"/>
      <c r="TM13" s="28"/>
      <c r="TN13" s="29"/>
      <c r="TO13" s="29"/>
      <c r="TP13" s="28"/>
      <c r="TQ13" s="29"/>
      <c r="TR13" s="30"/>
      <c r="TS13" s="28"/>
      <c r="TT13" s="29"/>
      <c r="TU13" s="29"/>
      <c r="TV13" s="29"/>
      <c r="TW13" s="28"/>
      <c r="TX13" s="29"/>
      <c r="TY13" s="29"/>
      <c r="TZ13" s="28"/>
      <c r="UA13" s="29"/>
      <c r="UB13" s="30"/>
      <c r="UC13" s="28"/>
      <c r="UD13" s="29"/>
      <c r="UE13" s="29"/>
      <c r="UF13" s="29"/>
      <c r="UG13" s="28"/>
      <c r="UH13" s="29"/>
      <c r="UI13" s="29"/>
      <c r="UJ13" s="28"/>
      <c r="UK13" s="29"/>
      <c r="UL13" s="30"/>
      <c r="UM13" s="28"/>
      <c r="UN13" s="29"/>
      <c r="UO13" s="29"/>
      <c r="UP13" s="29"/>
      <c r="UQ13" s="28"/>
      <c r="UR13" s="29"/>
      <c r="US13" s="29"/>
      <c r="UT13" s="28"/>
      <c r="UU13" s="29"/>
      <c r="UV13" s="30"/>
      <c r="UW13" s="28"/>
      <c r="UX13" s="29"/>
      <c r="UY13" s="29"/>
      <c r="UZ13" s="29"/>
      <c r="VA13" s="28"/>
      <c r="VB13" s="29"/>
      <c r="VC13" s="29"/>
      <c r="VD13" s="28"/>
      <c r="VE13" s="29"/>
      <c r="VF13" s="30"/>
      <c r="VG13" s="28"/>
      <c r="VH13" s="29"/>
      <c r="VI13" s="29"/>
      <c r="VJ13" s="29"/>
      <c r="VK13" s="28"/>
      <c r="VL13" s="29"/>
      <c r="VM13" s="29"/>
      <c r="VN13" s="28"/>
      <c r="VO13" s="29"/>
      <c r="VP13" s="30"/>
      <c r="VQ13" s="28"/>
      <c r="VR13" s="29"/>
      <c r="VS13" s="29"/>
      <c r="VT13" s="29"/>
      <c r="VU13" s="28"/>
      <c r="VV13" s="29"/>
      <c r="VW13" s="29"/>
      <c r="VX13" s="28"/>
      <c r="VY13" s="29"/>
      <c r="VZ13" s="30"/>
      <c r="WA13" s="28"/>
      <c r="WB13" s="29"/>
      <c r="WC13" s="29"/>
      <c r="WD13" s="29"/>
      <c r="WE13" s="28"/>
      <c r="WF13" s="29"/>
      <c r="WG13" s="29"/>
      <c r="WH13" s="28"/>
      <c r="WI13" s="29"/>
      <c r="WJ13" s="30"/>
      <c r="WK13" s="28"/>
      <c r="WL13" s="29"/>
      <c r="WM13" s="29"/>
      <c r="WN13" s="29"/>
      <c r="WO13" s="28"/>
      <c r="WP13" s="29"/>
      <c r="WQ13" s="29"/>
      <c r="WR13" s="28"/>
      <c r="WS13" s="29"/>
      <c r="WT13" s="30"/>
      <c r="WU13" s="28"/>
      <c r="WV13" s="29"/>
      <c r="WW13" s="29"/>
      <c r="WX13" s="29"/>
      <c r="WY13" s="28"/>
      <c r="WZ13" s="29"/>
      <c r="XA13" s="29"/>
      <c r="XB13" s="28"/>
      <c r="XC13" s="29"/>
      <c r="XD13" s="30"/>
      <c r="XE13" s="28"/>
      <c r="XF13" s="29"/>
      <c r="XG13" s="29"/>
      <c r="XH13" s="29"/>
      <c r="XI13" s="28"/>
      <c r="XJ13" s="29"/>
      <c r="XK13" s="29"/>
      <c r="XL13" s="28"/>
      <c r="XM13" s="29"/>
      <c r="XN13" s="30"/>
      <c r="XO13" s="28"/>
      <c r="XP13" s="29"/>
      <c r="XQ13" s="29"/>
      <c r="XR13" s="29"/>
      <c r="XS13" s="28"/>
      <c r="XT13" s="29"/>
      <c r="XU13" s="29"/>
      <c r="XV13" s="28"/>
      <c r="XW13" s="29"/>
      <c r="XX13" s="30"/>
      <c r="XY13" s="28"/>
      <c r="XZ13" s="29"/>
      <c r="YA13" s="29"/>
      <c r="YB13" s="29"/>
      <c r="YC13" s="28"/>
      <c r="YD13" s="29"/>
      <c r="YE13" s="29"/>
      <c r="YF13" s="28"/>
      <c r="YG13" s="29"/>
      <c r="YH13" s="30"/>
      <c r="YI13" s="28"/>
      <c r="YJ13" s="29"/>
      <c r="YK13" s="29"/>
      <c r="YL13" s="29"/>
      <c r="YM13" s="28"/>
      <c r="YN13" s="29"/>
      <c r="YO13" s="29"/>
      <c r="YP13" s="28"/>
      <c r="YQ13" s="29"/>
      <c r="YR13" s="30"/>
      <c r="YS13" s="28"/>
      <c r="YT13" s="29"/>
      <c r="YU13" s="29"/>
      <c r="YV13" s="29"/>
      <c r="YW13" s="28"/>
      <c r="YX13" s="29"/>
      <c r="YY13" s="29"/>
      <c r="YZ13" s="28"/>
      <c r="ZA13" s="29"/>
      <c r="ZB13" s="30"/>
      <c r="ZC13" s="28"/>
      <c r="ZD13" s="29"/>
      <c r="ZE13" s="29"/>
      <c r="ZF13" s="29"/>
      <c r="ZG13" s="28"/>
      <c r="ZH13" s="29"/>
      <c r="ZI13" s="29"/>
      <c r="ZJ13" s="28"/>
      <c r="ZK13" s="29"/>
      <c r="ZL13" s="30"/>
      <c r="ZM13" s="28"/>
      <c r="ZN13" s="29"/>
      <c r="ZO13" s="29"/>
      <c r="ZP13" s="29"/>
      <c r="ZQ13" s="28"/>
      <c r="ZR13" s="29"/>
      <c r="ZS13" s="29"/>
      <c r="ZT13" s="28"/>
      <c r="ZU13" s="29"/>
      <c r="ZV13" s="30"/>
      <c r="ZW13" s="28"/>
      <c r="ZX13" s="29"/>
      <c r="ZY13" s="29"/>
      <c r="ZZ13" s="29"/>
      <c r="AAA13" s="28"/>
      <c r="AAB13" s="29"/>
      <c r="AAC13" s="29"/>
      <c r="AAD13" s="28"/>
      <c r="AAE13" s="29"/>
      <c r="AAF13" s="30"/>
      <c r="AAG13" s="28"/>
      <c r="AAH13" s="29"/>
      <c r="AAI13" s="29"/>
      <c r="AAJ13" s="29"/>
      <c r="AAK13" s="28"/>
      <c r="AAL13" s="29"/>
      <c r="AAM13" s="29"/>
      <c r="AAN13" s="28"/>
      <c r="AAO13" s="29"/>
      <c r="AAP13" s="30"/>
      <c r="AAQ13" s="28"/>
      <c r="AAR13" s="29"/>
      <c r="AAS13" s="29"/>
      <c r="AAT13" s="29"/>
      <c r="AAU13" s="28"/>
      <c r="AAV13" s="29"/>
      <c r="AAW13" s="29"/>
      <c r="AAX13" s="30"/>
      <c r="AAY13" s="30"/>
      <c r="AAZ13" s="30"/>
      <c r="ABA13" s="28"/>
      <c r="ABB13" s="30"/>
      <c r="ABC13" s="30"/>
      <c r="ABD13" s="30"/>
      <c r="ABE13" s="30"/>
      <c r="ABF13" s="30"/>
      <c r="ABG13" s="29"/>
      <c r="ABH13" s="28"/>
      <c r="ABI13" s="29"/>
      <c r="ABJ13" s="30"/>
      <c r="ABK13" s="28"/>
      <c r="ABL13" s="29"/>
      <c r="ABM13" s="29"/>
      <c r="ABN13" s="29"/>
      <c r="ABO13" s="28"/>
      <c r="ABP13" s="29"/>
      <c r="ABQ13" s="29"/>
      <c r="ABR13" s="28"/>
      <c r="ABS13" s="29"/>
      <c r="ABT13" s="30"/>
      <c r="ABU13" s="28"/>
      <c r="ABV13" s="29"/>
      <c r="ABW13" s="29"/>
      <c r="ABX13" s="29"/>
      <c r="ABY13" s="28"/>
      <c r="ABZ13" s="29"/>
      <c r="ACA13" s="29"/>
      <c r="ACB13" s="28"/>
      <c r="ACC13" s="29"/>
      <c r="ACD13" s="30"/>
      <c r="ACE13" s="28"/>
      <c r="ACF13" s="29"/>
      <c r="ACG13" s="29"/>
      <c r="ACH13" s="29"/>
      <c r="ACI13" s="28"/>
      <c r="ACJ13" s="29"/>
      <c r="ACK13" s="29"/>
      <c r="ACL13" s="28"/>
      <c r="ACM13" s="29"/>
      <c r="ACN13" s="30"/>
      <c r="ACO13" s="28"/>
      <c r="ACP13" s="29"/>
      <c r="ACQ13" s="29"/>
      <c r="ACR13" s="29"/>
      <c r="ACS13" s="28"/>
      <c r="ACT13" s="29"/>
      <c r="ACU13" s="29"/>
      <c r="ACV13" s="28"/>
      <c r="ACW13" s="29"/>
      <c r="ACX13" s="30"/>
      <c r="ACY13" s="28"/>
      <c r="ACZ13" s="29"/>
      <c r="ADA13" s="29"/>
      <c r="ADB13" s="29"/>
      <c r="ADC13" s="28"/>
      <c r="ADD13" s="29"/>
      <c r="ADE13" s="29"/>
      <c r="ADF13" s="28"/>
      <c r="ADG13" s="29"/>
      <c r="ADH13" s="30"/>
      <c r="ADI13" s="28"/>
      <c r="ADJ13" s="29"/>
      <c r="ADK13" s="29"/>
      <c r="ADL13" s="29"/>
      <c r="ADM13" s="28"/>
      <c r="ADN13" s="29"/>
      <c r="ADO13" s="29"/>
      <c r="ADP13" s="28"/>
      <c r="ADQ13" s="29"/>
      <c r="ADR13" s="30"/>
      <c r="ADS13" s="28"/>
      <c r="ADT13" s="29"/>
      <c r="ADU13" s="29"/>
      <c r="ADV13" s="29"/>
      <c r="ADW13" s="28"/>
      <c r="ADX13" s="29"/>
      <c r="ADY13" s="29"/>
      <c r="ADZ13" s="28"/>
      <c r="AEA13" s="29"/>
      <c r="AEB13" s="30"/>
      <c r="AEC13" s="28"/>
      <c r="AED13" s="29"/>
      <c r="AEE13" s="29"/>
      <c r="AEF13" s="29"/>
      <c r="AEG13" s="28"/>
      <c r="AEH13" s="29"/>
      <c r="AEI13" s="29"/>
      <c r="AEJ13" s="28"/>
      <c r="AEK13" s="29"/>
      <c r="AEL13" s="30"/>
      <c r="AEM13" s="28"/>
      <c r="AEN13" s="29"/>
      <c r="AEO13" s="29"/>
      <c r="AEP13" s="29"/>
      <c r="AEQ13" s="28"/>
      <c r="AER13" s="29"/>
      <c r="AES13" s="29"/>
      <c r="AET13" s="28"/>
      <c r="AEU13" s="29"/>
      <c r="AEV13" s="30"/>
      <c r="AEW13" s="28"/>
      <c r="AEX13" s="29"/>
      <c r="AEY13" s="29"/>
      <c r="AEZ13" s="29"/>
      <c r="AFA13" s="28"/>
      <c r="AFB13" s="29"/>
      <c r="AFC13" s="29"/>
      <c r="AFD13" s="28"/>
      <c r="AFE13" s="29"/>
      <c r="AFF13" s="30"/>
      <c r="AFG13" s="28"/>
      <c r="AFH13" s="29"/>
      <c r="AFI13" s="29"/>
      <c r="AFJ13" s="29"/>
      <c r="AFK13" s="28"/>
      <c r="AFL13" s="29"/>
      <c r="AFM13" s="29"/>
      <c r="AFN13" s="28"/>
      <c r="AFO13" s="29"/>
      <c r="AFP13" s="30"/>
      <c r="AFQ13" s="28"/>
      <c r="AFR13" s="29"/>
      <c r="AFS13" s="29"/>
      <c r="AFT13" s="29"/>
      <c r="AFU13" s="28"/>
      <c r="AFV13" s="29"/>
      <c r="AFW13" s="29"/>
      <c r="AFX13" s="28"/>
      <c r="AFY13" s="29"/>
      <c r="AFZ13" s="30"/>
      <c r="AGA13" s="28"/>
      <c r="AGB13" s="29"/>
      <c r="AGC13" s="29"/>
      <c r="AGD13" s="29"/>
      <c r="AGE13" s="28"/>
      <c r="AGF13" s="29"/>
      <c r="AGG13" s="29"/>
      <c r="AGH13" s="28"/>
      <c r="AGI13" s="29"/>
      <c r="AGJ13" s="30"/>
      <c r="AGK13" s="28"/>
      <c r="AGL13" s="29"/>
      <c r="AGM13" s="29"/>
      <c r="AGN13" s="29"/>
      <c r="AGO13" s="28"/>
      <c r="AGP13" s="29"/>
      <c r="AGQ13" s="29"/>
      <c r="AGR13" s="28"/>
      <c r="AGS13" s="29"/>
      <c r="AGT13" s="30"/>
      <c r="AGU13" s="28"/>
      <c r="AGV13" s="29"/>
      <c r="AGW13" s="29"/>
      <c r="AGX13" s="29"/>
      <c r="AGY13" s="28"/>
      <c r="AGZ13" s="29"/>
      <c r="AHA13" s="29"/>
      <c r="AHB13" s="28"/>
      <c r="AHC13" s="29"/>
      <c r="AHD13" s="30"/>
      <c r="AHE13" s="28"/>
      <c r="AHF13" s="29"/>
      <c r="AHG13" s="29"/>
      <c r="AHH13" s="29"/>
      <c r="AHI13" s="28"/>
      <c r="AHJ13" s="29"/>
      <c r="AHK13" s="29"/>
      <c r="AHL13" s="28"/>
      <c r="AHM13" s="29"/>
      <c r="AHN13" s="30"/>
      <c r="AHO13" s="28"/>
      <c r="AHP13" s="29"/>
      <c r="AHQ13" s="29"/>
      <c r="AHR13" s="29"/>
      <c r="AHS13" s="28"/>
      <c r="AHT13" s="29"/>
      <c r="AHU13" s="29"/>
      <c r="AHV13" s="28"/>
      <c r="AHW13" s="29"/>
      <c r="AHX13" s="30"/>
      <c r="AHY13" s="28"/>
      <c r="AHZ13" s="29"/>
      <c r="AIA13" s="29"/>
      <c r="AIB13" s="29"/>
      <c r="AIC13" s="28"/>
      <c r="AID13" s="29"/>
      <c r="AIE13" s="29"/>
      <c r="AIF13" s="28"/>
      <c r="AIG13" s="29"/>
      <c r="AIH13" s="30"/>
      <c r="AII13" s="28"/>
      <c r="AIJ13" s="29"/>
      <c r="AIK13" s="29"/>
      <c r="AIL13" s="29"/>
      <c r="AIM13" s="28"/>
      <c r="AIN13" s="29"/>
      <c r="AIO13" s="29"/>
      <c r="AIP13" s="28"/>
      <c r="AIQ13" s="29"/>
      <c r="AIR13" s="30"/>
      <c r="AIS13" s="28"/>
      <c r="AIT13" s="29"/>
      <c r="AIU13" s="29"/>
      <c r="AIV13" s="29"/>
      <c r="AIW13" s="28"/>
      <c r="AIX13" s="29"/>
      <c r="AIY13" s="29"/>
      <c r="AIZ13" s="28"/>
      <c r="AJA13" s="29"/>
      <c r="AJB13" s="30"/>
      <c r="AJC13" s="28"/>
      <c r="AJD13" s="29"/>
      <c r="AJE13" s="29"/>
      <c r="AJF13" s="29"/>
      <c r="AJG13" s="28"/>
      <c r="AJH13" s="29"/>
      <c r="AJI13" s="29"/>
      <c r="AJJ13" s="28"/>
      <c r="AJK13" s="29"/>
      <c r="AJL13" s="30"/>
      <c r="AJM13" s="28"/>
      <c r="AJN13" s="29"/>
      <c r="AJO13" s="29"/>
      <c r="AJP13" s="29"/>
      <c r="AJQ13" s="28"/>
      <c r="AJR13" s="29"/>
      <c r="AJS13" s="29"/>
      <c r="AJT13" s="28"/>
      <c r="AJU13" s="29"/>
      <c r="AJV13" s="30"/>
      <c r="AJW13" s="28"/>
      <c r="AJX13" s="29"/>
      <c r="AJY13" s="29"/>
      <c r="AJZ13" s="29"/>
      <c r="AKA13" s="28"/>
      <c r="AKB13" s="29"/>
      <c r="AKC13" s="29"/>
      <c r="AKD13" s="28"/>
      <c r="AKE13" s="29"/>
      <c r="AKF13" s="30"/>
      <c r="AKG13" s="28"/>
      <c r="AKH13" s="29"/>
      <c r="AKI13" s="29"/>
      <c r="AKJ13" s="29"/>
      <c r="AKK13" s="28"/>
      <c r="AKL13" s="29"/>
      <c r="AKM13" s="29"/>
      <c r="AKN13" s="28"/>
      <c r="AKO13" s="29"/>
      <c r="AKP13" s="30"/>
      <c r="AKQ13" s="28"/>
      <c r="AKR13" s="29"/>
      <c r="AKS13" s="29"/>
      <c r="AKT13" s="29"/>
      <c r="AKU13" s="28"/>
      <c r="AKV13" s="29"/>
      <c r="AKW13" s="29"/>
      <c r="AKX13" s="28"/>
      <c r="AKY13" s="29"/>
      <c r="AKZ13" s="30"/>
      <c r="ALA13" s="28"/>
      <c r="ALB13" s="29"/>
      <c r="ALC13" s="29"/>
      <c r="ALD13" s="29"/>
      <c r="ALE13" s="28"/>
      <c r="ALF13" s="29"/>
      <c r="ALG13" s="29"/>
      <c r="ALH13" s="29"/>
      <c r="ALI13" s="29"/>
      <c r="ALJ13" s="29"/>
      <c r="ALK13" s="28"/>
      <c r="ALL13" s="29"/>
      <c r="ALM13" s="29"/>
      <c r="ALN13" s="28"/>
      <c r="ALO13" s="29"/>
      <c r="ALP13" s="30"/>
      <c r="ALQ13" s="28"/>
      <c r="ALR13" s="29"/>
      <c r="ALS13" s="29"/>
      <c r="ALT13" s="29"/>
      <c r="ALU13" s="28"/>
      <c r="ALV13" s="29"/>
      <c r="ALW13" s="29"/>
      <c r="ALX13" s="28"/>
      <c r="ALY13" s="29"/>
      <c r="ALZ13" s="30"/>
      <c r="AMA13" s="28"/>
      <c r="AMB13" s="29"/>
      <c r="AMC13" s="29"/>
      <c r="AMD13" s="29"/>
      <c r="AME13" s="28"/>
      <c r="AMF13" s="29"/>
      <c r="AMG13" s="29"/>
      <c r="AMH13" s="29"/>
      <c r="AMI13" s="29"/>
      <c r="AMJ13" s="29"/>
      <c r="AMK13" s="28"/>
      <c r="AML13" s="29"/>
      <c r="AMM13" s="29"/>
      <c r="AMN13" s="28"/>
      <c r="AMO13" s="29"/>
      <c r="AMP13" s="30"/>
      <c r="AMQ13" s="28"/>
      <c r="AMR13" s="29"/>
      <c r="AMS13" s="29"/>
      <c r="AMT13" s="29"/>
      <c r="AMU13" s="28"/>
      <c r="AMV13" s="29"/>
      <c r="AMW13" s="29"/>
      <c r="AMX13" s="28"/>
      <c r="AMY13" s="29"/>
      <c r="AMZ13" s="30"/>
      <c r="ANA13" s="28"/>
      <c r="ANB13" s="29"/>
      <c r="ANC13" s="29"/>
      <c r="AND13" s="29"/>
      <c r="ANE13" s="28"/>
      <c r="ANF13" s="29"/>
      <c r="ANG13" s="29"/>
      <c r="ANH13" s="29"/>
      <c r="ANI13" s="29"/>
      <c r="ANJ13" s="29"/>
      <c r="ANK13" s="28"/>
      <c r="ANL13" s="29"/>
      <c r="ANM13" s="29"/>
      <c r="ANN13" s="28"/>
      <c r="ANO13" s="29"/>
      <c r="ANP13" s="30"/>
      <c r="ANQ13" s="28"/>
      <c r="ANR13" s="29"/>
      <c r="ANS13" s="29"/>
      <c r="ANT13" s="29"/>
      <c r="ANU13" s="28"/>
      <c r="ANV13" s="29"/>
      <c r="ANW13" s="29"/>
      <c r="ANX13" s="28"/>
      <c r="ANY13" s="29"/>
      <c r="ANZ13" s="30"/>
      <c r="AOA13" s="28"/>
      <c r="AOB13" s="29"/>
      <c r="AOC13" s="29"/>
      <c r="AOD13" s="29"/>
      <c r="AOE13" s="28"/>
      <c r="AOF13" s="29"/>
      <c r="AOG13" s="29"/>
      <c r="AOH13" s="29"/>
      <c r="AOI13" s="29"/>
      <c r="AOJ13" s="29"/>
      <c r="AOK13" s="28"/>
      <c r="AOL13" s="29"/>
      <c r="AOM13" s="29"/>
      <c r="AON13" s="28"/>
      <c r="AOO13" s="29"/>
      <c r="AOP13" s="30"/>
      <c r="AOQ13" s="28"/>
      <c r="AOR13" s="29"/>
      <c r="AOS13" s="29"/>
      <c r="AOT13" s="29"/>
      <c r="AOU13" s="28"/>
      <c r="AOV13" s="29"/>
      <c r="AOW13" s="29"/>
      <c r="AOX13" s="28"/>
      <c r="AOY13" s="29"/>
      <c r="AOZ13" s="30"/>
      <c r="APA13" s="28"/>
      <c r="APB13" s="29"/>
      <c r="APC13" s="29"/>
      <c r="APD13" s="29"/>
      <c r="APE13" s="28"/>
      <c r="APF13" s="29"/>
      <c r="APG13" s="29"/>
      <c r="APH13" s="29"/>
      <c r="API13" s="29"/>
      <c r="APJ13" s="29"/>
      <c r="APK13" s="28"/>
      <c r="APL13" s="29"/>
      <c r="APM13" s="29"/>
      <c r="APN13" s="28"/>
      <c r="APO13" s="29"/>
      <c r="APP13" s="30"/>
      <c r="APQ13" s="28"/>
      <c r="APR13" s="29"/>
      <c r="APS13" s="29"/>
      <c r="APT13" s="29"/>
      <c r="APU13" s="28"/>
      <c r="APV13" s="29"/>
      <c r="APW13" s="29"/>
      <c r="APX13" s="28"/>
      <c r="APY13" s="29"/>
      <c r="APZ13" s="30"/>
      <c r="AQA13" s="28"/>
      <c r="AQB13" s="29"/>
      <c r="AQC13" s="29"/>
      <c r="AQD13" s="29"/>
      <c r="AQE13" s="28"/>
      <c r="AQF13" s="29"/>
      <c r="AQG13" s="29"/>
      <c r="AQH13" s="29"/>
      <c r="AQI13" s="29"/>
      <c r="AQJ13" s="29"/>
      <c r="AQK13" s="28"/>
      <c r="AQL13" s="29"/>
      <c r="AQM13" s="29"/>
      <c r="AQN13" s="28"/>
      <c r="AQO13" s="29"/>
      <c r="AQP13" s="30"/>
      <c r="AQQ13" s="28"/>
      <c r="AQR13" s="29"/>
      <c r="AQS13" s="29"/>
      <c r="AQT13" s="29"/>
      <c r="AQU13" s="28"/>
      <c r="AQV13" s="29"/>
      <c r="AQW13" s="29"/>
      <c r="AQX13" s="28"/>
      <c r="AQY13" s="29"/>
      <c r="AQZ13" s="30"/>
      <c r="ARA13" s="28"/>
      <c r="ARB13" s="29"/>
      <c r="ARC13" s="29"/>
      <c r="ARD13" s="29"/>
      <c r="ARE13" s="28"/>
      <c r="ARF13" s="29"/>
      <c r="ARG13" s="29"/>
      <c r="ARH13" s="29"/>
      <c r="ARI13" s="29"/>
      <c r="ARJ13" s="29"/>
      <c r="ARK13" s="28"/>
      <c r="ARL13" s="29"/>
      <c r="ARM13" s="29"/>
      <c r="ARN13" s="28"/>
      <c r="ARO13" s="29"/>
      <c r="ARP13" s="30"/>
      <c r="ARQ13" s="28"/>
      <c r="ARR13" s="29"/>
      <c r="ARS13" s="29"/>
      <c r="ART13" s="29"/>
      <c r="ARU13" s="28"/>
      <c r="ARV13" s="29"/>
      <c r="ARW13" s="29"/>
      <c r="ARX13" s="28"/>
      <c r="ARY13" s="29"/>
      <c r="ARZ13" s="30"/>
      <c r="ASA13" s="28"/>
      <c r="ASB13" s="29"/>
      <c r="ASC13" s="29"/>
      <c r="ASD13" s="29"/>
      <c r="ASE13" s="28"/>
      <c r="ASF13" s="29"/>
      <c r="ASG13" s="29"/>
      <c r="ASH13" s="29"/>
      <c r="ASI13" s="29"/>
      <c r="ASJ13" s="29"/>
      <c r="ASK13" s="28"/>
      <c r="ASL13" s="29"/>
      <c r="ASM13" s="29"/>
      <c r="ASN13" s="28"/>
      <c r="ASO13" s="29"/>
      <c r="ASP13" s="30"/>
      <c r="ASQ13" s="28"/>
      <c r="ASR13" s="29"/>
      <c r="ASS13" s="29"/>
      <c r="AST13" s="29"/>
      <c r="ASU13" s="28"/>
      <c r="ASV13" s="29"/>
      <c r="ASW13" s="29"/>
      <c r="ASX13" s="28"/>
      <c r="ASY13" s="29"/>
      <c r="ASZ13" s="30"/>
      <c r="ATA13" s="28"/>
      <c r="ATB13" s="29"/>
      <c r="ATC13" s="29"/>
      <c r="ATD13" s="29"/>
      <c r="ATE13" s="28"/>
      <c r="ATF13" s="29"/>
      <c r="ATG13" s="29"/>
      <c r="ATH13" s="29"/>
      <c r="ATI13" s="29"/>
      <c r="ATJ13" s="29"/>
      <c r="ATK13" s="28"/>
      <c r="ATL13" s="29"/>
      <c r="ATM13" s="29"/>
      <c r="ATN13" s="28"/>
      <c r="ATO13" s="29"/>
      <c r="ATP13" s="30"/>
      <c r="ATQ13" s="28"/>
      <c r="ATR13" s="29"/>
      <c r="ATS13" s="29"/>
      <c r="ATT13" s="29"/>
      <c r="ATU13" s="28"/>
      <c r="ATV13" s="29"/>
      <c r="ATW13" s="29"/>
      <c r="ATX13" s="28"/>
      <c r="ATY13" s="29"/>
      <c r="ATZ13" s="30"/>
      <c r="AUA13" s="28"/>
      <c r="AUB13" s="29"/>
      <c r="AUC13" s="29"/>
      <c r="AUD13" s="29"/>
      <c r="AUE13" s="28"/>
      <c r="AUF13" s="29"/>
      <c r="AUG13" s="29"/>
      <c r="AUH13" s="29"/>
      <c r="AUI13" s="29"/>
      <c r="AUJ13" s="29"/>
      <c r="AUK13" s="28"/>
      <c r="AUL13" s="29"/>
      <c r="AUM13" s="29"/>
      <c r="AUN13" s="28"/>
      <c r="AUO13" s="29"/>
      <c r="AUP13" s="30"/>
      <c r="AUQ13" s="28"/>
      <c r="AUR13" s="29"/>
      <c r="AUS13" s="29"/>
      <c r="AUT13" s="29"/>
      <c r="AUU13" s="28"/>
      <c r="AUV13" s="29"/>
      <c r="AUW13" s="29"/>
      <c r="AUX13" s="28"/>
      <c r="AUY13" s="29"/>
      <c r="AUZ13" s="30"/>
      <c r="AVA13" s="28"/>
      <c r="AVB13" s="29"/>
      <c r="AVC13" s="29"/>
      <c r="AVD13" s="29"/>
      <c r="AVE13" s="28"/>
      <c r="AVF13" s="29"/>
      <c r="AVG13" s="29"/>
      <c r="AVH13" s="29"/>
      <c r="AVI13" s="29"/>
      <c r="AVJ13" s="29"/>
      <c r="AVK13" s="28"/>
      <c r="AVL13" s="29"/>
      <c r="AVM13" s="29"/>
      <c r="AVN13" s="28"/>
      <c r="AVO13" s="29"/>
      <c r="AVP13" s="30"/>
      <c r="AVQ13" s="28"/>
      <c r="AVR13" s="29"/>
      <c r="AVS13" s="29"/>
      <c r="AVT13" s="29"/>
      <c r="AVU13" s="28"/>
      <c r="AVV13" s="29"/>
      <c r="AVW13" s="29"/>
      <c r="AVX13" s="28"/>
      <c r="AVY13" s="29"/>
      <c r="AVZ13" s="30"/>
      <c r="AWA13" s="28"/>
      <c r="AWB13" s="29"/>
      <c r="AWC13" s="29"/>
      <c r="AWD13" s="29"/>
      <c r="AWE13" s="28"/>
      <c r="AWF13" s="29"/>
      <c r="AWG13" s="29"/>
      <c r="AWH13" s="29"/>
      <c r="AWI13" s="29"/>
      <c r="AWJ13" s="29"/>
      <c r="AWK13" s="28"/>
      <c r="AWL13" s="29"/>
      <c r="AWM13" s="29"/>
      <c r="AWN13" s="28"/>
      <c r="AWO13" s="29"/>
      <c r="AWP13" s="30"/>
      <c r="AWQ13" s="28"/>
      <c r="AWR13" s="29"/>
      <c r="AWS13" s="29"/>
      <c r="AWT13" s="29"/>
      <c r="AWU13" s="28"/>
      <c r="AWV13" s="29"/>
      <c r="AWW13" s="29"/>
      <c r="AWX13" s="28"/>
      <c r="AWY13" s="29"/>
      <c r="AWZ13" s="30"/>
      <c r="AXA13" s="28"/>
      <c r="AXB13" s="29"/>
      <c r="AXC13" s="29"/>
      <c r="AXD13" s="29"/>
      <c r="AXE13" s="28"/>
      <c r="AXF13" s="29"/>
      <c r="AXG13" s="29"/>
      <c r="AXH13" s="29"/>
      <c r="AXI13" s="29"/>
      <c r="AXJ13" s="29"/>
      <c r="AXK13" s="28"/>
      <c r="AXL13" s="29"/>
      <c r="AXM13" s="29"/>
      <c r="AXN13" s="28"/>
      <c r="AXO13" s="29"/>
      <c r="AXP13" s="30"/>
      <c r="AXQ13" s="28"/>
      <c r="AXR13" s="29"/>
      <c r="AXS13" s="29"/>
      <c r="AXT13" s="29"/>
      <c r="AXU13" s="28"/>
      <c r="AXV13" s="29"/>
      <c r="AXW13" s="29"/>
      <c r="AXX13" s="28"/>
      <c r="AXY13" s="29"/>
      <c r="AXZ13" s="30"/>
      <c r="AYA13" s="28"/>
      <c r="AYB13" s="29"/>
      <c r="AYC13" s="29"/>
      <c r="AYD13" s="29"/>
      <c r="AYE13" s="28"/>
      <c r="AYF13" s="29"/>
      <c r="AYG13" s="29"/>
      <c r="AYH13" s="29"/>
      <c r="AYI13" s="29"/>
      <c r="AYJ13" s="29"/>
      <c r="AYK13" s="28"/>
      <c r="AYL13" s="29"/>
      <c r="AYM13" s="29"/>
      <c r="AYN13" s="28"/>
      <c r="AYO13" s="29"/>
      <c r="AYP13" s="30"/>
      <c r="AYQ13" s="28"/>
      <c r="AYR13" s="29"/>
      <c r="AYS13" s="29"/>
      <c r="AYT13" s="29"/>
      <c r="AYU13" s="28"/>
      <c r="AYV13" s="29"/>
      <c r="AYW13" s="29"/>
      <c r="AYX13" s="28"/>
      <c r="AYY13" s="29"/>
      <c r="AYZ13" s="30"/>
      <c r="AZA13" s="28"/>
      <c r="AZB13" s="29"/>
      <c r="AZC13" s="29"/>
      <c r="AZD13" s="29"/>
      <c r="AZE13" s="28"/>
      <c r="AZF13" s="29"/>
      <c r="AZG13" s="29"/>
      <c r="AZH13" s="29"/>
      <c r="AZI13" s="29"/>
      <c r="AZJ13" s="29"/>
      <c r="AZK13" s="28"/>
      <c r="AZL13" s="29"/>
      <c r="AZM13" s="29"/>
      <c r="AZN13" s="28"/>
      <c r="AZO13" s="29"/>
      <c r="AZP13" s="30"/>
      <c r="AZQ13" s="28"/>
      <c r="AZR13" s="29"/>
      <c r="AZS13" s="29"/>
      <c r="AZT13" s="29"/>
      <c r="AZU13" s="28"/>
      <c r="AZV13" s="29"/>
      <c r="AZW13" s="29"/>
      <c r="AZX13" s="28"/>
      <c r="AZY13" s="29"/>
      <c r="AZZ13" s="30"/>
      <c r="BAA13" s="28"/>
      <c r="BAB13" s="29"/>
      <c r="BAC13" s="29"/>
      <c r="BAD13" s="29"/>
      <c r="BAE13" s="28"/>
      <c r="BAF13" s="29"/>
      <c r="BAG13" s="29"/>
      <c r="BAH13" s="29"/>
      <c r="BAI13" s="29"/>
      <c r="BAJ13" s="29"/>
      <c r="BAK13" s="28"/>
      <c r="BAL13" s="29"/>
      <c r="BAM13" s="29"/>
      <c r="BAN13" s="28"/>
      <c r="BAO13" s="29"/>
      <c r="BAP13" s="30"/>
      <c r="BAQ13" s="28"/>
      <c r="BAR13" s="29"/>
      <c r="BAS13" s="29"/>
      <c r="BAT13" s="29"/>
      <c r="BAU13" s="28"/>
      <c r="BAV13" s="29"/>
      <c r="BAW13" s="29"/>
      <c r="BAX13" s="28"/>
      <c r="BAY13" s="29"/>
      <c r="BAZ13" s="30"/>
      <c r="BBA13" s="28"/>
      <c r="BBB13" s="29"/>
      <c r="BBC13" s="29"/>
      <c r="BBD13" s="29"/>
      <c r="BBE13" s="28"/>
      <c r="BBF13" s="29"/>
      <c r="BBG13" s="29"/>
      <c r="BBH13" s="29"/>
      <c r="BBI13" s="29"/>
      <c r="BBJ13" s="29"/>
      <c r="BBK13" s="28"/>
      <c r="BBL13" s="29"/>
      <c r="BBM13" s="29"/>
      <c r="BBN13" s="28"/>
      <c r="BBO13" s="29"/>
      <c r="BBP13" s="30"/>
      <c r="BBQ13" s="28"/>
      <c r="BBR13" s="29"/>
      <c r="BBS13" s="29"/>
      <c r="BBT13" s="29"/>
      <c r="BBU13" s="28"/>
      <c r="BBV13" s="29"/>
      <c r="BBW13" s="29"/>
      <c r="BBX13" s="28"/>
      <c r="BBY13" s="29"/>
      <c r="BBZ13" s="30"/>
      <c r="BCA13" s="28"/>
      <c r="BCB13" s="29"/>
      <c r="BCC13" s="29"/>
      <c r="BCD13" s="29"/>
      <c r="BCE13" s="28"/>
      <c r="BCF13" s="29"/>
      <c r="BCG13" s="29"/>
      <c r="BCH13" s="29"/>
      <c r="BCI13" s="29"/>
      <c r="BCJ13" s="29"/>
      <c r="BCK13" s="28"/>
      <c r="BCL13" s="29"/>
      <c r="BCM13" s="29"/>
      <c r="BCN13" s="28"/>
      <c r="BCO13" s="29"/>
      <c r="BCP13" s="30"/>
      <c r="BCQ13" s="28"/>
      <c r="BCR13" s="29"/>
      <c r="BCS13" s="29"/>
      <c r="BCT13" s="29"/>
      <c r="BCU13" s="28"/>
      <c r="BCV13" s="29"/>
      <c r="BCW13" s="29"/>
      <c r="BCX13" s="28"/>
      <c r="BCY13" s="29"/>
      <c r="BCZ13" s="30"/>
      <c r="BDA13" s="28"/>
      <c r="BDB13" s="29"/>
      <c r="BDC13" s="29"/>
      <c r="BDD13" s="29"/>
      <c r="BDE13" s="28"/>
      <c r="BDF13" s="29"/>
      <c r="BDG13" s="29"/>
      <c r="BDH13" s="29"/>
      <c r="BDI13" s="29"/>
      <c r="BDJ13" s="29"/>
      <c r="BDK13" s="28"/>
      <c r="BDL13" s="29"/>
      <c r="BDM13" s="29"/>
      <c r="BDN13" s="28"/>
      <c r="BDO13" s="29"/>
      <c r="BDP13" s="30"/>
      <c r="BDQ13" s="28"/>
      <c r="BDR13" s="29"/>
      <c r="BDS13" s="29"/>
      <c r="BDT13" s="29"/>
      <c r="BDU13" s="28"/>
      <c r="BDV13" s="29"/>
      <c r="BDW13" s="29"/>
      <c r="BDX13" s="28"/>
      <c r="BDY13" s="29"/>
      <c r="BDZ13" s="30"/>
      <c r="BEA13" s="28"/>
      <c r="BEB13" s="29"/>
      <c r="BEC13" s="29"/>
      <c r="BED13" s="29"/>
      <c r="BEE13" s="28"/>
      <c r="BEF13" s="29"/>
      <c r="BEG13" s="29"/>
      <c r="BEH13" s="29"/>
      <c r="BEI13" s="29"/>
      <c r="BEJ13" s="29"/>
      <c r="BEK13" s="28"/>
      <c r="BEL13" s="29"/>
      <c r="BEM13" s="29"/>
      <c r="BEN13" s="28"/>
      <c r="BEO13" s="29"/>
      <c r="BEP13" s="30"/>
      <c r="BEQ13" s="28"/>
      <c r="BER13" s="29"/>
      <c r="BES13" s="29"/>
      <c r="BET13" s="29"/>
      <c r="BEU13" s="28"/>
      <c r="BEV13" s="29"/>
      <c r="BEW13" s="29"/>
      <c r="BEX13" s="28"/>
      <c r="BEY13" s="29"/>
      <c r="BEZ13" s="30"/>
      <c r="BFA13" s="28"/>
      <c r="BFB13" s="29"/>
      <c r="BFC13" s="29"/>
      <c r="BFD13" s="29"/>
      <c r="BFE13" s="28"/>
      <c r="BFF13" s="29"/>
      <c r="BFG13" s="29"/>
      <c r="BFH13" s="29"/>
      <c r="BFI13" s="29"/>
      <c r="BFJ13" s="29"/>
      <c r="BFK13" s="28"/>
      <c r="BFL13" s="29"/>
      <c r="BFM13" s="29"/>
      <c r="BFN13" s="28"/>
      <c r="BFO13" s="29"/>
      <c r="BFP13" s="30"/>
      <c r="BFQ13" s="28"/>
      <c r="BFR13" s="29"/>
      <c r="BFS13" s="29"/>
      <c r="BFT13" s="29"/>
      <c r="BFU13" s="28"/>
      <c r="BFV13" s="29"/>
      <c r="BFW13" s="29"/>
      <c r="BFX13" s="28"/>
      <c r="BFY13" s="29"/>
      <c r="BFZ13" s="30"/>
      <c r="BGA13" s="28"/>
      <c r="BGB13" s="29"/>
      <c r="BGC13" s="29"/>
      <c r="BGD13" s="29"/>
      <c r="BGE13" s="28"/>
      <c r="BGF13" s="29"/>
      <c r="BGG13" s="29"/>
      <c r="BGH13" s="29"/>
      <c r="BGI13" s="29"/>
      <c r="BGJ13" s="29"/>
      <c r="BGK13" s="28"/>
      <c r="BGL13" s="29"/>
      <c r="BGM13" s="29"/>
      <c r="BGN13" s="28"/>
      <c r="BGO13" s="29"/>
      <c r="BGP13" s="30"/>
      <c r="BGQ13" s="28"/>
      <c r="BGR13" s="29"/>
      <c r="BGS13" s="29"/>
      <c r="BGT13" s="29"/>
      <c r="BGU13" s="28"/>
      <c r="BGV13" s="29"/>
      <c r="BGW13" s="29"/>
      <c r="BGX13" s="28"/>
      <c r="BGY13" s="29"/>
      <c r="BGZ13" s="30"/>
      <c r="BHA13" s="28"/>
      <c r="BHB13" s="29"/>
      <c r="BHC13" s="29"/>
      <c r="BHD13" s="29"/>
      <c r="BHE13" s="28"/>
      <c r="BHF13" s="29"/>
      <c r="BHG13" s="29"/>
      <c r="BHH13" s="29"/>
      <c r="BHI13" s="29"/>
      <c r="BHJ13" s="29"/>
      <c r="BHK13" s="28"/>
      <c r="BHL13" s="29"/>
      <c r="BHM13" s="29"/>
      <c r="BHN13" s="28"/>
      <c r="BHO13" s="29"/>
      <c r="BHP13" s="30"/>
      <c r="BHQ13" s="28"/>
      <c r="BHR13" s="29"/>
      <c r="BHS13" s="29"/>
      <c r="BHT13" s="29"/>
      <c r="BHU13" s="28"/>
      <c r="BHV13" s="29"/>
      <c r="BHW13" s="29"/>
      <c r="BHX13" s="28"/>
      <c r="BHY13" s="29"/>
      <c r="BHZ13" s="30"/>
      <c r="BIA13" s="28"/>
      <c r="BIB13" s="29"/>
      <c r="BIC13" s="29"/>
      <c r="BID13" s="29"/>
      <c r="BIE13" s="28"/>
      <c r="BIF13" s="29"/>
      <c r="BIG13" s="29"/>
      <c r="BIH13" s="29"/>
      <c r="BII13" s="29"/>
      <c r="BIJ13" s="29"/>
      <c r="BIK13" s="28"/>
      <c r="BIL13" s="29"/>
      <c r="BIM13" s="29"/>
      <c r="BIN13" s="28"/>
      <c r="BIO13" s="29"/>
      <c r="BIP13" s="30"/>
      <c r="BIQ13" s="28"/>
      <c r="BIR13" s="29"/>
      <c r="BIS13" s="29"/>
      <c r="BIT13" s="29"/>
      <c r="BIU13" s="28"/>
      <c r="BIV13" s="29"/>
      <c r="BIW13" s="29"/>
      <c r="BIX13" s="28"/>
      <c r="BIY13" s="29"/>
      <c r="BIZ13" s="30"/>
      <c r="BJA13" s="28"/>
      <c r="BJB13" s="29"/>
      <c r="BJC13" s="29"/>
      <c r="BJD13" s="29"/>
      <c r="BJE13" s="28"/>
      <c r="BJF13" s="29"/>
      <c r="BJG13" s="29"/>
      <c r="BJH13" s="29"/>
      <c r="BJI13" s="29"/>
      <c r="BJJ13" s="29"/>
      <c r="BJK13" s="28"/>
      <c r="BJL13" s="29"/>
      <c r="BJM13" s="29"/>
      <c r="BJN13" s="28"/>
      <c r="BJO13" s="29"/>
      <c r="BJP13" s="30"/>
      <c r="BJQ13" s="28"/>
      <c r="BJR13" s="29"/>
      <c r="BJS13" s="29"/>
      <c r="BJT13" s="29"/>
      <c r="BJU13" s="28"/>
      <c r="BJV13" s="29"/>
      <c r="BJW13" s="29"/>
      <c r="BJX13" s="28"/>
      <c r="BJY13" s="29"/>
      <c r="BJZ13" s="30"/>
      <c r="BKA13" s="28"/>
      <c r="BKB13" s="29"/>
      <c r="BKC13" s="29"/>
      <c r="BKD13" s="29"/>
      <c r="BKE13" s="28"/>
      <c r="BKF13" s="29"/>
      <c r="BKG13" s="29"/>
      <c r="BKH13" s="29"/>
      <c r="BKI13" s="29"/>
      <c r="BKJ13" s="29"/>
      <c r="BKK13" s="28"/>
      <c r="BKL13" s="29"/>
      <c r="BKM13" s="29"/>
      <c r="BKN13" s="28"/>
      <c r="BKO13" s="29"/>
      <c r="BKP13" s="30"/>
      <c r="BKQ13" s="28"/>
      <c r="BKR13" s="29"/>
      <c r="BKS13" s="29"/>
      <c r="BKT13" s="29"/>
      <c r="BKU13" s="28"/>
      <c r="BKV13" s="29"/>
      <c r="BKW13" s="29"/>
      <c r="BKX13" s="28"/>
      <c r="BKY13" s="29"/>
      <c r="BKZ13" s="30"/>
      <c r="BLA13" s="28"/>
      <c r="BLB13" s="29"/>
      <c r="BLC13" s="29"/>
      <c r="BLD13" s="29"/>
      <c r="BLE13" s="28"/>
      <c r="BLF13" s="29"/>
      <c r="BLG13" s="29"/>
      <c r="BLH13" s="29"/>
      <c r="BLI13" s="29"/>
      <c r="BLJ13" s="29"/>
      <c r="BLK13" s="28"/>
      <c r="BLL13" s="29"/>
      <c r="BLM13" s="29"/>
      <c r="BLN13" s="28"/>
      <c r="BLO13" s="29"/>
      <c r="BLP13" s="30"/>
      <c r="BLQ13" s="28"/>
      <c r="BLR13" s="29"/>
      <c r="BLS13" s="29"/>
      <c r="BLT13" s="29"/>
      <c r="BLU13" s="28"/>
      <c r="BLV13" s="29"/>
      <c r="BLW13" s="29"/>
      <c r="BLX13" s="28"/>
      <c r="BLY13" s="29"/>
      <c r="BLZ13" s="30"/>
      <c r="BMA13" s="28"/>
      <c r="BMB13" s="29"/>
      <c r="BMC13" s="29"/>
      <c r="BMD13" s="29"/>
      <c r="BME13" s="28"/>
      <c r="BMF13" s="29"/>
      <c r="BMG13" s="29"/>
      <c r="BMH13" s="29"/>
      <c r="BMI13" s="29"/>
      <c r="BMJ13" s="29"/>
      <c r="BMK13" s="28"/>
      <c r="BML13" s="29"/>
      <c r="BMM13" s="29"/>
      <c r="BMN13" s="28"/>
      <c r="BMO13" s="29"/>
      <c r="BMP13" s="30"/>
      <c r="BMQ13" s="28"/>
      <c r="BMR13" s="29"/>
      <c r="BMS13" s="29"/>
      <c r="BMT13" s="29"/>
      <c r="BMU13" s="28"/>
      <c r="BMV13" s="29"/>
      <c r="BMW13" s="29"/>
      <c r="BMX13" s="28"/>
      <c r="BMY13" s="29"/>
      <c r="BMZ13" s="30"/>
      <c r="BNA13" s="28"/>
      <c r="BNB13" s="29"/>
      <c r="BNC13" s="29"/>
      <c r="BND13" s="29"/>
      <c r="BNE13" s="28"/>
      <c r="BNF13" s="29"/>
      <c r="BNG13" s="29"/>
      <c r="BNH13" s="29"/>
      <c r="BNI13" s="29"/>
      <c r="BNJ13" s="29"/>
      <c r="BNK13" s="28"/>
      <c r="BNL13" s="29"/>
      <c r="BNM13" s="29"/>
      <c r="BNN13" s="28"/>
      <c r="BNO13" s="29"/>
      <c r="BNP13" s="30"/>
      <c r="BNQ13" s="28"/>
      <c r="BNR13" s="29"/>
      <c r="BNS13" s="29"/>
      <c r="BNT13" s="29"/>
      <c r="BNU13" s="28"/>
      <c r="BNV13" s="29"/>
      <c r="BNW13" s="29"/>
      <c r="BNX13" s="28"/>
      <c r="BNY13" s="29"/>
      <c r="BNZ13" s="30"/>
      <c r="BOA13" s="28"/>
      <c r="BOB13" s="29"/>
      <c r="BOC13" s="29"/>
      <c r="BOD13" s="29"/>
      <c r="BOE13" s="28"/>
      <c r="BOF13" s="29"/>
      <c r="BOG13" s="29"/>
      <c r="BOH13" s="29"/>
      <c r="BOI13" s="29"/>
      <c r="BOJ13" s="29"/>
      <c r="BOK13" s="28"/>
      <c r="BOL13" s="29"/>
      <c r="BOM13" s="29"/>
      <c r="BON13" s="28"/>
      <c r="BOO13" s="29"/>
      <c r="BOP13" s="30"/>
      <c r="BOQ13" s="28"/>
      <c r="BOR13" s="29"/>
      <c r="BOS13" s="29"/>
      <c r="BOT13" s="29"/>
      <c r="BOU13" s="28"/>
      <c r="BOV13" s="29"/>
      <c r="BOW13" s="29"/>
      <c r="BOX13" s="28"/>
      <c r="BOY13" s="29"/>
      <c r="BOZ13" s="30"/>
      <c r="BPA13" s="28"/>
      <c r="BPB13" s="29"/>
      <c r="BPC13" s="29"/>
      <c r="BPD13" s="29"/>
      <c r="BPE13" s="28"/>
      <c r="BPF13" s="29"/>
      <c r="BPG13" s="29"/>
      <c r="BPH13" s="29"/>
      <c r="BPI13" s="29"/>
      <c r="BPJ13" s="29"/>
      <c r="BPK13" s="28"/>
      <c r="BPL13" s="29"/>
      <c r="BPM13" s="29"/>
      <c r="BPN13" s="28"/>
      <c r="BPO13" s="29"/>
      <c r="BPP13" s="30"/>
      <c r="BPQ13" s="28"/>
      <c r="BPR13" s="29"/>
      <c r="BPS13" s="29"/>
      <c r="BPT13" s="29"/>
      <c r="BPU13" s="28"/>
      <c r="BPV13" s="29"/>
      <c r="BPW13" s="29"/>
      <c r="BPX13" s="28"/>
      <c r="BPY13" s="29"/>
      <c r="BPZ13" s="30"/>
      <c r="BQA13" s="28"/>
      <c r="BQB13" s="29"/>
      <c r="BQC13" s="29"/>
      <c r="BQD13" s="29"/>
      <c r="BQE13" s="28"/>
      <c r="BQF13" s="29"/>
      <c r="BQG13" s="29"/>
      <c r="BQH13" s="29"/>
      <c r="BQI13" s="29"/>
      <c r="BQJ13" s="29"/>
      <c r="BQK13" s="28"/>
      <c r="BQL13" s="29"/>
      <c r="BQM13" s="29"/>
      <c r="BQN13" s="28"/>
      <c r="BQO13" s="29"/>
      <c r="BQP13" s="30"/>
      <c r="BQQ13" s="28"/>
      <c r="BQR13" s="29"/>
      <c r="BQS13" s="29"/>
      <c r="BQT13" s="29"/>
      <c r="BQU13" s="28"/>
      <c r="BQV13" s="29"/>
      <c r="BQW13" s="29"/>
      <c r="BQX13" s="28"/>
      <c r="BQY13" s="29"/>
      <c r="BQZ13" s="30"/>
      <c r="BRA13" s="28"/>
      <c r="BRB13" s="29"/>
      <c r="BRC13" s="29"/>
      <c r="BRD13" s="29"/>
      <c r="BRE13" s="28"/>
      <c r="BRF13" s="29"/>
      <c r="BRG13" s="29"/>
      <c r="BRH13" s="29"/>
      <c r="BRI13" s="29"/>
      <c r="BRJ13" s="29"/>
      <c r="BRK13" s="28"/>
      <c r="BRL13" s="29"/>
      <c r="BRM13" s="29"/>
      <c r="BRN13" s="28"/>
      <c r="BRO13" s="29"/>
      <c r="BRP13" s="30"/>
      <c r="BRQ13" s="28"/>
      <c r="BRR13" s="29"/>
      <c r="BRS13" s="29"/>
      <c r="BRT13" s="29"/>
      <c r="BRU13" s="28"/>
      <c r="BRV13" s="29"/>
      <c r="BRW13" s="29"/>
      <c r="BRX13" s="28"/>
      <c r="BRY13" s="29"/>
      <c r="BRZ13" s="30"/>
      <c r="BSA13" s="28"/>
      <c r="BSB13" s="29"/>
      <c r="BSC13" s="29"/>
      <c r="BSD13" s="29"/>
      <c r="BSE13" s="28"/>
      <c r="BSF13" s="29"/>
      <c r="BSG13" s="29"/>
      <c r="BSH13" s="29"/>
      <c r="BSI13" s="29"/>
      <c r="BSJ13" s="29"/>
      <c r="BSK13" s="28"/>
      <c r="BSL13" s="29"/>
      <c r="BSM13" s="29"/>
      <c r="BSN13" s="28"/>
      <c r="BSO13" s="29"/>
      <c r="BSP13" s="30"/>
      <c r="BSQ13" s="28"/>
      <c r="BSR13" s="29"/>
      <c r="BSS13" s="29"/>
      <c r="BST13" s="29"/>
      <c r="BSU13" s="28"/>
      <c r="BSV13" s="29"/>
      <c r="BSW13" s="29"/>
      <c r="BSX13" s="28"/>
      <c r="BSY13" s="29"/>
      <c r="BSZ13" s="30"/>
      <c r="BTA13" s="28"/>
      <c r="BTB13" s="29"/>
      <c r="BTC13" s="29"/>
      <c r="BTD13" s="29"/>
      <c r="BTE13" s="28"/>
      <c r="BTF13" s="29"/>
      <c r="BTG13" s="29"/>
      <c r="BTH13" s="29"/>
      <c r="BTI13" s="29"/>
      <c r="BTJ13" s="29"/>
      <c r="BTK13" s="28"/>
      <c r="BTL13" s="29"/>
      <c r="BTM13" s="29"/>
      <c r="BTN13" s="28"/>
      <c r="BTO13" s="29"/>
      <c r="BTP13" s="30"/>
      <c r="BTQ13" s="28"/>
      <c r="BTR13" s="29"/>
      <c r="BTS13" s="29"/>
      <c r="BTT13" s="29"/>
      <c r="BTU13" s="28"/>
      <c r="BTV13" s="29"/>
      <c r="BTW13" s="29"/>
      <c r="BTX13" s="28"/>
      <c r="BTY13" s="29"/>
      <c r="BTZ13" s="30"/>
      <c r="BUA13" s="28"/>
      <c r="BUB13" s="29"/>
      <c r="BUC13" s="29"/>
      <c r="BUD13" s="29"/>
      <c r="BUE13" s="28"/>
      <c r="BUF13" s="29"/>
      <c r="BUG13" s="29"/>
      <c r="BUH13" s="29"/>
      <c r="BUI13" s="29"/>
      <c r="BUJ13" s="29"/>
      <c r="BUK13" s="28"/>
      <c r="BUL13" s="29"/>
      <c r="BUM13" s="29"/>
      <c r="BUN13" s="28"/>
      <c r="BUO13" s="29"/>
      <c r="BUP13" s="30"/>
      <c r="BUQ13" s="28"/>
      <c r="BUR13" s="29"/>
      <c r="BUS13" s="29"/>
      <c r="BUT13" s="29"/>
      <c r="BUU13" s="28"/>
      <c r="BUV13" s="29"/>
      <c r="BUW13" s="29"/>
      <c r="BUX13" s="28"/>
      <c r="BUY13" s="29"/>
      <c r="BUZ13" s="30"/>
      <c r="BVA13" s="28"/>
      <c r="BVB13" s="29"/>
      <c r="BVC13" s="29"/>
      <c r="BVD13" s="29"/>
      <c r="BVE13" s="28"/>
      <c r="BVF13" s="29"/>
      <c r="BVG13" s="29"/>
      <c r="BVH13" s="29"/>
      <c r="BVI13" s="29"/>
      <c r="BVJ13" s="29"/>
      <c r="BVK13" s="28"/>
      <c r="BVL13" s="29"/>
      <c r="BVM13" s="29"/>
      <c r="BVN13" s="28"/>
      <c r="BVO13" s="29"/>
      <c r="BVP13" s="30"/>
      <c r="BVQ13" s="28"/>
      <c r="BVR13" s="29"/>
      <c r="BVS13" s="29"/>
      <c r="BVT13" s="29"/>
      <c r="BVU13" s="28"/>
      <c r="BVV13" s="29"/>
      <c r="BVW13" s="29"/>
      <c r="BVX13" s="28"/>
      <c r="BVY13" s="29"/>
      <c r="BVZ13" s="30"/>
      <c r="BWA13" s="28"/>
      <c r="BWB13" s="29"/>
      <c r="BWC13" s="29"/>
      <c r="BWD13" s="29"/>
      <c r="BWE13" s="28"/>
      <c r="BWF13" s="29"/>
      <c r="BWG13" s="29"/>
      <c r="BWH13" s="29"/>
      <c r="BWI13" s="29"/>
      <c r="BWJ13" s="29"/>
      <c r="BWK13" s="28"/>
      <c r="BWL13" s="29"/>
      <c r="BWM13" s="29"/>
      <c r="BWN13" s="28"/>
      <c r="BWO13" s="29"/>
      <c r="BWP13" s="30"/>
      <c r="BWQ13" s="28"/>
      <c r="BWR13" s="29"/>
      <c r="BWS13" s="29"/>
      <c r="BWT13" s="29"/>
      <c r="BWU13" s="28"/>
      <c r="BWV13" s="29"/>
      <c r="BWW13" s="29"/>
      <c r="BWX13" s="28"/>
      <c r="BWY13" s="29"/>
      <c r="BWZ13" s="30"/>
      <c r="BXA13" s="28"/>
      <c r="BXB13" s="29"/>
      <c r="BXC13" s="29"/>
      <c r="BXD13" s="29"/>
      <c r="BXE13" s="28"/>
      <c r="BXF13" s="29"/>
      <c r="BXG13" s="29"/>
      <c r="BXH13" s="29"/>
      <c r="BXI13" s="29"/>
      <c r="BXJ13" s="29"/>
      <c r="BXK13" s="28"/>
      <c r="BXL13" s="29"/>
      <c r="BXM13" s="29"/>
      <c r="BXN13" s="28"/>
      <c r="BXO13" s="29"/>
      <c r="BXP13" s="30"/>
      <c r="BXQ13" s="28"/>
      <c r="BXR13" s="29"/>
      <c r="BXS13" s="29"/>
      <c r="BXT13" s="29"/>
      <c r="BXU13" s="28"/>
      <c r="BXV13" s="29"/>
      <c r="BXW13" s="29"/>
      <c r="BXX13" s="28"/>
      <c r="BXY13" s="29"/>
      <c r="BXZ13" s="30"/>
      <c r="BYA13" s="28"/>
      <c r="BYB13" s="29"/>
      <c r="BYC13" s="29"/>
      <c r="BYD13" s="29"/>
      <c r="BYE13" s="28"/>
      <c r="BYF13" s="29"/>
      <c r="BYG13" s="29"/>
      <c r="BYH13" s="29"/>
      <c r="BYI13" s="29"/>
      <c r="BYJ13" s="29"/>
      <c r="BYK13" s="28"/>
      <c r="BYL13" s="29"/>
      <c r="BYM13" s="29"/>
      <c r="BYN13" s="28"/>
      <c r="BYO13" s="29"/>
      <c r="BYP13" s="30"/>
      <c r="BYQ13" s="28"/>
      <c r="BYR13" s="29"/>
      <c r="BYS13" s="29"/>
      <c r="BYT13" s="29"/>
      <c r="BYU13" s="28"/>
      <c r="BYV13" s="29"/>
      <c r="BYW13" s="29"/>
      <c r="BYX13" s="30"/>
      <c r="BYY13" s="29"/>
      <c r="BYZ13" s="28"/>
      <c r="BZA13" s="29"/>
      <c r="BZB13" s="28"/>
      <c r="BZC13" s="28"/>
      <c r="BZD13" s="28"/>
      <c r="BZE13" s="29"/>
      <c r="BZF13" s="385"/>
      <c r="BZG13" s="29"/>
      <c r="BZH13" s="385"/>
      <c r="BZI13" s="29"/>
      <c r="BZJ13" s="385"/>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30"/>
      <c r="CAQ13" s="28"/>
      <c r="CAR13" s="29"/>
      <c r="CAS13" s="29"/>
      <c r="CAT13" s="29"/>
      <c r="CAU13" s="29"/>
      <c r="CAV13" s="29"/>
      <c r="CAW13" s="28"/>
      <c r="CAX13" s="29"/>
      <c r="CAY13" s="29"/>
      <c r="CAZ13" s="28"/>
      <c r="CBA13" s="29"/>
      <c r="CBB13" s="30"/>
      <c r="CBC13" s="28"/>
      <c r="CBD13" s="29"/>
      <c r="CBE13" s="29"/>
      <c r="CBF13" s="29"/>
      <c r="CBG13" s="28"/>
      <c r="CBH13" s="29"/>
      <c r="CBI13" s="29"/>
      <c r="CBJ13" s="28"/>
      <c r="CBK13" s="29"/>
      <c r="CBL13" s="30"/>
      <c r="CBM13" s="28"/>
      <c r="CBN13" s="29"/>
      <c r="CBO13" s="29"/>
      <c r="CBP13" s="29"/>
      <c r="CBQ13" s="28"/>
      <c r="CBR13" s="29"/>
      <c r="CBS13" s="29"/>
      <c r="CBT13" s="28"/>
      <c r="CBU13" s="29"/>
      <c r="CBV13" s="30"/>
      <c r="CBW13" s="28"/>
      <c r="CBX13" s="29"/>
      <c r="CBY13" s="29"/>
      <c r="CBZ13" s="29"/>
      <c r="CCA13" s="28"/>
      <c r="CCB13" s="29"/>
      <c r="CCC13" s="29"/>
      <c r="CCD13" s="28"/>
      <c r="CCE13" s="29"/>
      <c r="CCF13" s="30"/>
      <c r="CCG13" s="28"/>
      <c r="CCH13" s="30"/>
      <c r="CCI13" s="29"/>
      <c r="CCJ13" s="28"/>
      <c r="CCK13" s="29"/>
      <c r="CCL13" s="28"/>
      <c r="CCM13" s="28"/>
      <c r="CCN13" s="28"/>
      <c r="CCO13" s="29"/>
      <c r="CCP13" s="385"/>
      <c r="CCQ13" s="29"/>
      <c r="CCR13" s="385"/>
      <c r="CCS13" s="29"/>
      <c r="CCT13" s="385"/>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30"/>
      <c r="CEA13" s="28"/>
      <c r="CEB13" s="29"/>
      <c r="CEC13" s="29"/>
      <c r="CED13" s="29"/>
      <c r="CEE13" s="29"/>
      <c r="CEF13" s="29"/>
      <c r="CEG13" s="28"/>
      <c r="CEH13" s="29"/>
      <c r="CEI13" s="29"/>
      <c r="CEJ13" s="28"/>
      <c r="CEK13" s="29"/>
      <c r="CEL13" s="30"/>
      <c r="CEM13" s="28"/>
      <c r="CEN13" s="29"/>
      <c r="CEO13" s="29"/>
      <c r="CEP13" s="29"/>
      <c r="CEQ13" s="28"/>
      <c r="CER13" s="29"/>
      <c r="CES13" s="29"/>
      <c r="CET13" s="28"/>
      <c r="CEU13" s="29"/>
      <c r="CEV13" s="30"/>
      <c r="CEW13" s="28"/>
      <c r="CEX13" s="29"/>
      <c r="CEY13" s="29"/>
      <c r="CEZ13" s="29"/>
      <c r="CFA13" s="28"/>
      <c r="CFB13" s="29"/>
      <c r="CFC13" s="29"/>
      <c r="CFD13" s="28"/>
      <c r="CFE13" s="29"/>
      <c r="CFF13" s="30"/>
      <c r="CFG13" s="28"/>
      <c r="CFH13" s="29"/>
      <c r="CFI13" s="29"/>
      <c r="CFJ13" s="29"/>
      <c r="CFK13" s="28"/>
      <c r="CFL13" s="29"/>
      <c r="CFM13" s="29"/>
      <c r="CFN13" s="28"/>
      <c r="CFO13" s="29"/>
      <c r="CFP13" s="30"/>
      <c r="CFQ13" s="28"/>
      <c r="CFR13" s="30"/>
      <c r="CFS13" s="29"/>
      <c r="CFT13" s="28"/>
      <c r="CFU13" s="29"/>
      <c r="CFV13" s="28"/>
      <c r="CFW13" s="28"/>
      <c r="CFX13" s="28"/>
      <c r="CFY13" s="29"/>
      <c r="CFZ13" s="385"/>
      <c r="CGA13" s="29"/>
      <c r="CGB13" s="385"/>
      <c r="CGC13" s="29"/>
      <c r="CGD13" s="385"/>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30"/>
      <c r="CHK13" s="28"/>
      <c r="CHL13" s="29"/>
      <c r="CHM13" s="29"/>
      <c r="CHN13" s="29"/>
      <c r="CHO13" s="29"/>
      <c r="CHP13" s="29"/>
      <c r="CHQ13" s="28"/>
      <c r="CHR13" s="29"/>
      <c r="CHS13" s="29"/>
      <c r="CHT13" s="28"/>
      <c r="CHU13" s="29"/>
      <c r="CHV13" s="30"/>
      <c r="CHW13" s="28"/>
      <c r="CHX13" s="29"/>
      <c r="CHY13" s="29"/>
      <c r="CHZ13" s="29"/>
      <c r="CIA13" s="28"/>
      <c r="CIB13" s="29"/>
      <c r="CIC13" s="29"/>
      <c r="CID13" s="28"/>
      <c r="CIE13" s="29"/>
      <c r="CIF13" s="30"/>
      <c r="CIG13" s="28"/>
      <c r="CIH13" s="29"/>
      <c r="CII13" s="29"/>
      <c r="CIJ13" s="29"/>
      <c r="CIK13" s="28"/>
      <c r="CIL13" s="29"/>
      <c r="CIM13" s="29"/>
      <c r="CIN13" s="28"/>
      <c r="CIO13" s="29"/>
      <c r="CIP13" s="30"/>
      <c r="CIQ13" s="28"/>
      <c r="CIR13" s="29"/>
      <c r="CIS13" s="29"/>
      <c r="CIT13" s="29"/>
      <c r="CIU13" s="28"/>
      <c r="CIV13" s="29"/>
      <c r="CIW13" s="29"/>
      <c r="CIX13" s="28"/>
      <c r="CIY13" s="29"/>
      <c r="CIZ13" s="30"/>
      <c r="CJA13" s="28"/>
      <c r="CJB13" s="30"/>
      <c r="CJC13" s="29"/>
      <c r="CJD13" s="28"/>
      <c r="CJE13" s="29"/>
      <c r="CJF13" s="28"/>
      <c r="CJG13" s="28"/>
      <c r="CJH13" s="28"/>
      <c r="CJI13" s="29"/>
      <c r="CJJ13" s="385"/>
      <c r="CJK13" s="29"/>
      <c r="CJL13" s="385"/>
      <c r="CJM13" s="29"/>
      <c r="CJN13" s="385"/>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30"/>
      <c r="CKU13" s="28"/>
      <c r="CKV13" s="29"/>
      <c r="CKW13" s="29"/>
      <c r="CKX13" s="29"/>
      <c r="CKY13" s="29"/>
      <c r="CKZ13" s="29"/>
      <c r="CLA13" s="28"/>
      <c r="CLB13" s="29"/>
      <c r="CLC13" s="29"/>
      <c r="CLD13" s="28"/>
      <c r="CLE13" s="29"/>
      <c r="CLF13" s="30"/>
      <c r="CLG13" s="28"/>
      <c r="CLH13" s="29"/>
      <c r="CLI13" s="29"/>
      <c r="CLJ13" s="29"/>
      <c r="CLK13" s="28"/>
      <c r="CLL13" s="29"/>
      <c r="CLM13" s="29"/>
      <c r="CLN13" s="28"/>
      <c r="CLO13" s="29"/>
      <c r="CLP13" s="30"/>
      <c r="CLQ13" s="28"/>
      <c r="CLR13" s="29"/>
      <c r="CLS13" s="29"/>
      <c r="CLT13" s="29"/>
      <c r="CLU13" s="28"/>
      <c r="CLV13" s="29"/>
      <c r="CLW13" s="29"/>
      <c r="CLX13" s="28"/>
      <c r="CLY13" s="29"/>
      <c r="CLZ13" s="30"/>
      <c r="CMA13" s="28"/>
      <c r="CMB13" s="29"/>
      <c r="CMC13" s="29"/>
      <c r="CMD13" s="29"/>
      <c r="CME13" s="28"/>
      <c r="CMF13" s="29"/>
      <c r="CMG13" s="29"/>
      <c r="CMH13" s="28"/>
      <c r="CMI13" s="29"/>
      <c r="CMJ13" s="30"/>
      <c r="CMK13" s="28"/>
      <c r="CML13" s="30"/>
      <c r="CMM13" s="29"/>
      <c r="CMN13" s="28"/>
      <c r="CMO13" s="29"/>
      <c r="CMP13" s="28"/>
      <c r="CMQ13" s="28"/>
      <c r="CMR13" s="28"/>
      <c r="CMS13" s="29"/>
      <c r="CMT13" s="385"/>
      <c r="CMU13" s="29"/>
      <c r="CMV13" s="385"/>
      <c r="CMW13" s="29"/>
      <c r="CMX13" s="385"/>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30"/>
      <c r="COE13" s="28"/>
      <c r="COF13" s="29"/>
      <c r="COG13" s="29"/>
      <c r="COH13" s="29"/>
      <c r="COI13" s="29"/>
      <c r="COJ13" s="29"/>
      <c r="COK13" s="28"/>
      <c r="COL13" s="29"/>
      <c r="COM13" s="29"/>
      <c r="CON13" s="28"/>
      <c r="COO13" s="29"/>
      <c r="COP13" s="30"/>
      <c r="COQ13" s="28"/>
      <c r="COR13" s="29"/>
      <c r="COS13" s="29"/>
      <c r="COT13" s="29"/>
      <c r="COU13" s="28"/>
      <c r="COV13" s="29"/>
      <c r="COW13" s="29"/>
      <c r="COX13" s="28"/>
      <c r="COY13" s="29"/>
      <c r="COZ13" s="30"/>
      <c r="CPA13" s="28"/>
      <c r="CPB13" s="29"/>
      <c r="CPC13" s="29"/>
      <c r="CPD13" s="29"/>
      <c r="CPE13" s="28"/>
      <c r="CPF13" s="29"/>
      <c r="CPG13" s="29"/>
      <c r="CPH13" s="28"/>
      <c r="CPI13" s="29"/>
      <c r="CPJ13" s="30"/>
      <c r="CPK13" s="28"/>
      <c r="CPL13" s="29"/>
      <c r="CPM13" s="29"/>
      <c r="CPN13" s="29"/>
      <c r="CPO13" s="28"/>
      <c r="CPP13" s="29"/>
      <c r="CPQ13" s="29"/>
      <c r="CPR13" s="28"/>
      <c r="CPS13" s="29"/>
      <c r="CPT13" s="30"/>
      <c r="CPU13" s="28"/>
      <c r="CPV13" s="30"/>
      <c r="CPW13" s="29"/>
      <c r="CPX13" s="28"/>
      <c r="CPY13" s="29"/>
      <c r="CPZ13" s="28"/>
      <c r="CQA13" s="28"/>
      <c r="CQB13" s="28"/>
      <c r="CQC13" s="29"/>
      <c r="CQD13" s="385"/>
      <c r="CQE13" s="29"/>
      <c r="CQF13" s="385"/>
      <c r="CQG13" s="29"/>
      <c r="CQH13" s="385"/>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30"/>
      <c r="CRO13" s="28"/>
      <c r="CRP13" s="29"/>
      <c r="CRQ13" s="29"/>
      <c r="CRR13" s="29"/>
      <c r="CRS13" s="29"/>
      <c r="CRT13" s="29"/>
      <c r="CRU13" s="28"/>
      <c r="CRV13" s="29"/>
      <c r="CRW13" s="29"/>
      <c r="CRX13" s="28"/>
      <c r="CRY13" s="29"/>
      <c r="CRZ13" s="30"/>
      <c r="CSA13" s="28"/>
      <c r="CSB13" s="29"/>
      <c r="CSC13" s="29"/>
      <c r="CSD13" s="29"/>
      <c r="CSE13" s="28"/>
      <c r="CSF13" s="29"/>
      <c r="CSG13" s="29"/>
      <c r="CSH13" s="28"/>
      <c r="CSI13" s="29"/>
      <c r="CSJ13" s="30"/>
      <c r="CSK13" s="28"/>
      <c r="CSL13" s="29"/>
      <c r="CSM13" s="29"/>
      <c r="CSN13" s="29"/>
      <c r="CSO13" s="28"/>
      <c r="CSP13" s="29"/>
      <c r="CSQ13" s="29"/>
      <c r="CSR13" s="28"/>
      <c r="CSS13" s="29"/>
      <c r="CST13" s="30"/>
      <c r="CSU13" s="28"/>
      <c r="CSV13" s="29"/>
      <c r="CSW13" s="29"/>
      <c r="CSX13" s="29"/>
      <c r="CSY13" s="28"/>
      <c r="CSZ13" s="29"/>
      <c r="CTA13" s="29"/>
      <c r="CTB13" s="28"/>
      <c r="CTC13" s="29"/>
      <c r="CTD13" s="30"/>
      <c r="CTE13" s="28"/>
      <c r="CTF13" s="30"/>
      <c r="CTG13" s="29"/>
      <c r="CTH13" s="28"/>
      <c r="CTI13" s="29"/>
      <c r="CTJ13" s="28"/>
      <c r="CTK13" s="28"/>
      <c r="CTL13" s="28"/>
      <c r="CTM13" s="29"/>
      <c r="CTN13" s="385"/>
      <c r="CTO13" s="29"/>
      <c r="CTP13" s="385"/>
      <c r="CTQ13" s="29"/>
      <c r="CTR13" s="385"/>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30"/>
      <c r="CUY13" s="28"/>
      <c r="CUZ13" s="29"/>
      <c r="CVA13" s="29"/>
      <c r="CVB13" s="29"/>
      <c r="CVC13" s="29"/>
      <c r="CVD13" s="29"/>
      <c r="CVE13" s="28"/>
      <c r="CVF13" s="29"/>
      <c r="CVG13" s="29"/>
      <c r="CVH13" s="28"/>
      <c r="CVI13" s="29"/>
      <c r="CVJ13" s="30"/>
      <c r="CVK13" s="28"/>
      <c r="CVL13" s="29"/>
      <c r="CVM13" s="29"/>
      <c r="CVN13" s="29"/>
      <c r="CVO13" s="28"/>
      <c r="CVP13" s="29"/>
      <c r="CVQ13" s="29"/>
      <c r="CVR13" s="28"/>
      <c r="CVS13" s="29"/>
      <c r="CVT13" s="30"/>
      <c r="CVU13" s="28"/>
      <c r="CVV13" s="29"/>
      <c r="CVW13" s="29"/>
      <c r="CVX13" s="29"/>
      <c r="CVY13" s="28"/>
      <c r="CVZ13" s="29"/>
      <c r="CWA13" s="29"/>
      <c r="CWB13" s="28"/>
      <c r="CWC13" s="29"/>
      <c r="CWD13" s="30"/>
      <c r="CWE13" s="28"/>
      <c r="CWF13" s="29"/>
      <c r="CWG13" s="29"/>
      <c r="CWH13" s="29"/>
      <c r="CWI13" s="28"/>
      <c r="CWJ13" s="29"/>
      <c r="CWK13" s="29"/>
      <c r="CWL13" s="28"/>
      <c r="CWM13" s="29"/>
      <c r="CWN13" s="30"/>
      <c r="CWO13" s="28"/>
      <c r="CWP13" s="30"/>
      <c r="CWQ13" s="29"/>
      <c r="CWR13" s="28"/>
      <c r="CWS13" s="29"/>
      <c r="CWT13" s="28"/>
      <c r="CWU13" s="28"/>
      <c r="CWV13" s="28"/>
      <c r="CWW13" s="29"/>
      <c r="CWX13" s="385"/>
      <c r="CWY13" s="29"/>
      <c r="CWZ13" s="385"/>
      <c r="CXA13" s="29"/>
      <c r="CXB13" s="385"/>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30"/>
      <c r="CYI13" s="28"/>
      <c r="CYJ13" s="29"/>
      <c r="CYK13" s="29"/>
      <c r="CYL13" s="29"/>
      <c r="CYM13" s="29"/>
      <c r="CYN13" s="29"/>
      <c r="CYO13" s="28"/>
      <c r="CYP13" s="29"/>
      <c r="CYQ13" s="29"/>
      <c r="CYR13" s="28"/>
      <c r="CYS13" s="29"/>
      <c r="CYT13" s="30"/>
      <c r="CYU13" s="28"/>
      <c r="CYV13" s="29"/>
      <c r="CYW13" s="29"/>
      <c r="CYX13" s="29"/>
      <c r="CYY13" s="28"/>
      <c r="CYZ13" s="29"/>
      <c r="CZA13" s="29"/>
      <c r="CZB13" s="28"/>
      <c r="CZC13" s="29"/>
      <c r="CZD13" s="30"/>
      <c r="CZE13" s="28"/>
      <c r="CZF13" s="29"/>
      <c r="CZG13" s="29"/>
      <c r="CZH13" s="29"/>
      <c r="CZI13" s="28"/>
      <c r="CZJ13" s="29"/>
      <c r="CZK13" s="29"/>
      <c r="CZL13" s="28"/>
      <c r="CZM13" s="29"/>
      <c r="CZN13" s="30"/>
      <c r="CZO13" s="28"/>
      <c r="CZP13" s="29"/>
      <c r="CZQ13" s="29"/>
      <c r="CZR13" s="29"/>
      <c r="CZS13" s="28"/>
      <c r="CZT13" s="29"/>
      <c r="CZU13" s="29"/>
      <c r="CZV13" s="28"/>
      <c r="CZW13" s="29"/>
      <c r="CZX13" s="30"/>
      <c r="CZY13" s="28"/>
      <c r="CZZ13" s="30"/>
      <c r="DAA13" s="29"/>
      <c r="DAB13" s="28"/>
      <c r="DAC13" s="29"/>
      <c r="DAD13" s="28"/>
      <c r="DAE13" s="28"/>
      <c r="DAF13" s="28"/>
      <c r="DAG13" s="29"/>
      <c r="DAH13" s="385"/>
      <c r="DAI13" s="29"/>
      <c r="DAJ13" s="385"/>
      <c r="DAK13" s="29"/>
      <c r="DAL13" s="385"/>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30"/>
      <c r="DBS13" s="28"/>
      <c r="DBT13" s="29"/>
      <c r="DBU13" s="29"/>
      <c r="DBV13" s="29"/>
      <c r="DBW13" s="29"/>
      <c r="DBX13" s="29"/>
      <c r="DBY13" s="28"/>
      <c r="DBZ13" s="29"/>
      <c r="DCA13" s="29"/>
      <c r="DCB13" s="28"/>
      <c r="DCC13" s="29"/>
      <c r="DCD13" s="30"/>
      <c r="DCE13" s="28"/>
      <c r="DCF13" s="29"/>
      <c r="DCG13" s="29"/>
      <c r="DCH13" s="29"/>
      <c r="DCI13" s="28"/>
      <c r="DCJ13" s="29"/>
      <c r="DCK13" s="29"/>
      <c r="DCL13" s="28"/>
      <c r="DCM13" s="29"/>
      <c r="DCN13" s="30"/>
      <c r="DCO13" s="28"/>
      <c r="DCP13" s="29"/>
      <c r="DCQ13" s="29"/>
      <c r="DCR13" s="29"/>
      <c r="DCS13" s="28"/>
      <c r="DCT13" s="29"/>
      <c r="DCU13" s="29"/>
      <c r="DCV13" s="28"/>
      <c r="DCW13" s="29"/>
      <c r="DCX13" s="30"/>
      <c r="DCY13" s="28"/>
      <c r="DCZ13" s="29"/>
      <c r="DDA13" s="29"/>
      <c r="DDB13" s="29"/>
      <c r="DDC13" s="28"/>
      <c r="DDD13" s="29"/>
      <c r="DDE13" s="29"/>
      <c r="DDF13" s="28"/>
      <c r="DDG13" s="29"/>
      <c r="DDH13" s="30"/>
      <c r="DDI13" s="28"/>
      <c r="DDJ13" s="30"/>
      <c r="DDK13" s="29"/>
      <c r="DDL13" s="28"/>
      <c r="DDM13" s="29"/>
      <c r="DDN13" s="28"/>
      <c r="DDO13" s="28"/>
      <c r="DDP13" s="28"/>
      <c r="DDQ13" s="29"/>
      <c r="DDR13" s="385"/>
      <c r="DDS13" s="29"/>
      <c r="DDT13" s="385"/>
      <c r="DDU13" s="29"/>
      <c r="DDV13" s="385"/>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30"/>
      <c r="DFC13" s="28"/>
      <c r="DFD13" s="29"/>
      <c r="DFE13" s="29"/>
      <c r="DFF13" s="29"/>
      <c r="DFG13" s="29"/>
      <c r="DFH13" s="29"/>
      <c r="DFI13" s="28"/>
      <c r="DFJ13" s="29"/>
      <c r="DFK13" s="29"/>
      <c r="DFL13" s="28"/>
      <c r="DFM13" s="29"/>
      <c r="DFN13" s="30"/>
      <c r="DFO13" s="28"/>
      <c r="DFP13" s="29"/>
      <c r="DFQ13" s="29"/>
      <c r="DFR13" s="29"/>
      <c r="DFS13" s="28"/>
      <c r="DFT13" s="29"/>
      <c r="DFU13" s="29"/>
      <c r="DFV13" s="28"/>
      <c r="DFW13" s="29"/>
      <c r="DFX13" s="30"/>
      <c r="DFY13" s="28"/>
      <c r="DFZ13" s="29"/>
      <c r="DGA13" s="29"/>
      <c r="DGB13" s="29"/>
      <c r="DGC13" s="28"/>
      <c r="DGD13" s="29"/>
      <c r="DGE13" s="29"/>
      <c r="DGF13" s="28"/>
      <c r="DGG13" s="29"/>
      <c r="DGH13" s="30"/>
      <c r="DGI13" s="28"/>
      <c r="DGJ13" s="29"/>
      <c r="DGK13" s="29"/>
      <c r="DGL13" s="29"/>
      <c r="DGM13" s="28"/>
      <c r="DGN13" s="29"/>
      <c r="DGO13" s="29"/>
      <c r="DGP13" s="28"/>
      <c r="DGQ13" s="29"/>
      <c r="DGR13" s="30"/>
      <c r="DGS13" s="28"/>
      <c r="DGT13" s="30"/>
      <c r="DGU13" s="29"/>
      <c r="DGV13" s="28"/>
      <c r="DGW13" s="29"/>
      <c r="DGX13" s="28"/>
      <c r="DGY13" s="28"/>
      <c r="DGZ13" s="28"/>
      <c r="DHA13" s="29"/>
      <c r="DHB13" s="385"/>
      <c r="DHC13" s="29"/>
      <c r="DHD13" s="385"/>
      <c r="DHE13" s="29"/>
      <c r="DHF13" s="385"/>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30"/>
      <c r="DIM13" s="28"/>
      <c r="DIN13" s="29"/>
      <c r="DIO13" s="29"/>
      <c r="DIP13" s="29"/>
      <c r="DIQ13" s="29"/>
      <c r="DIR13" s="29"/>
      <c r="DIS13" s="28"/>
      <c r="DIT13" s="29"/>
      <c r="DIU13" s="29"/>
      <c r="DIV13" s="28"/>
      <c r="DIW13" s="29"/>
      <c r="DIX13" s="30"/>
      <c r="DIY13" s="28"/>
      <c r="DIZ13" s="29"/>
      <c r="DJA13" s="29"/>
      <c r="DJB13" s="29"/>
      <c r="DJC13" s="28"/>
      <c r="DJD13" s="29"/>
      <c r="DJE13" s="29"/>
      <c r="DJF13" s="28"/>
      <c r="DJG13" s="29"/>
      <c r="DJH13" s="30"/>
      <c r="DJI13" s="28"/>
      <c r="DJJ13" s="29"/>
      <c r="DJK13" s="29"/>
      <c r="DJL13" s="29"/>
      <c r="DJM13" s="28"/>
      <c r="DJN13" s="29"/>
      <c r="DJO13" s="29"/>
      <c r="DJP13" s="28"/>
      <c r="DJQ13" s="29"/>
      <c r="DJR13" s="30"/>
      <c r="DJS13" s="28"/>
      <c r="DJT13" s="29"/>
      <c r="DJU13" s="29"/>
      <c r="DJV13" s="29"/>
      <c r="DJW13" s="28"/>
      <c r="DJX13" s="29"/>
      <c r="DJY13" s="29"/>
      <c r="DJZ13" s="28"/>
      <c r="DKA13" s="29"/>
      <c r="DKB13" s="30"/>
      <c r="DKC13" s="28"/>
      <c r="DKD13" s="30"/>
      <c r="DKE13" s="29"/>
      <c r="DKF13" s="28"/>
      <c r="DKG13" s="29"/>
      <c r="DKH13" s="28"/>
      <c r="DKI13" s="28"/>
      <c r="DKJ13" s="28"/>
      <c r="DKK13" s="29"/>
      <c r="DKL13" s="385"/>
      <c r="DKM13" s="29"/>
      <c r="DKN13" s="385"/>
      <c r="DKO13" s="29"/>
      <c r="DKP13" s="385"/>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30"/>
      <c r="DLW13" s="28"/>
      <c r="DLX13" s="29"/>
      <c r="DLY13" s="29"/>
      <c r="DLZ13" s="29"/>
      <c r="DMA13" s="29"/>
      <c r="DMB13" s="29"/>
      <c r="DMC13" s="28"/>
      <c r="DMD13" s="29"/>
      <c r="DME13" s="29"/>
      <c r="DMF13" s="28"/>
      <c r="DMG13" s="29"/>
      <c r="DMH13" s="30"/>
      <c r="DMI13" s="28"/>
      <c r="DMJ13" s="29"/>
      <c r="DMK13" s="29"/>
      <c r="DML13" s="29"/>
      <c r="DMM13" s="28"/>
      <c r="DMN13" s="29"/>
      <c r="DMO13" s="29"/>
      <c r="DMP13" s="28"/>
      <c r="DMQ13" s="29"/>
      <c r="DMR13" s="30"/>
      <c r="DMS13" s="28"/>
      <c r="DMT13" s="29"/>
      <c r="DMU13" s="29"/>
      <c r="DMV13" s="29"/>
      <c r="DMW13" s="28"/>
      <c r="DMX13" s="29"/>
      <c r="DMY13" s="29"/>
      <c r="DMZ13" s="28"/>
      <c r="DNA13" s="29"/>
      <c r="DNB13" s="30"/>
      <c r="DNC13" s="28"/>
      <c r="DND13" s="29"/>
      <c r="DNE13" s="29"/>
      <c r="DNF13" s="29"/>
      <c r="DNG13" s="28"/>
      <c r="DNH13" s="29"/>
      <c r="DNI13" s="29"/>
      <c r="DNJ13" s="28"/>
      <c r="DNK13" s="29"/>
      <c r="DNL13" s="30"/>
      <c r="DNM13" s="28"/>
      <c r="DNN13" s="30"/>
      <c r="DNO13" s="29"/>
      <c r="DNP13" s="28"/>
      <c r="DNQ13" s="29"/>
      <c r="DNR13" s="28"/>
      <c r="DNS13" s="28"/>
      <c r="DNT13" s="28"/>
      <c r="DNU13" s="29"/>
      <c r="DNV13" s="385"/>
      <c r="DNW13" s="29"/>
      <c r="DNX13" s="385"/>
      <c r="DNY13" s="29"/>
      <c r="DNZ13" s="385"/>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30"/>
      <c r="DPG13" s="28"/>
      <c r="DPH13" s="29"/>
      <c r="DPI13" s="29"/>
      <c r="DPJ13" s="29"/>
      <c r="DPK13" s="29"/>
      <c r="DPL13" s="29"/>
      <c r="DPM13" s="28"/>
      <c r="DPN13" s="29"/>
      <c r="DPO13" s="29"/>
      <c r="DPP13" s="28"/>
      <c r="DPQ13" s="29"/>
      <c r="DPR13" s="30"/>
      <c r="DPS13" s="28"/>
      <c r="DPT13" s="29"/>
      <c r="DPU13" s="29"/>
      <c r="DPV13" s="29"/>
      <c r="DPW13" s="28"/>
      <c r="DPX13" s="29"/>
      <c r="DPY13" s="29"/>
      <c r="DPZ13" s="28"/>
      <c r="DQA13" s="29"/>
      <c r="DQB13" s="30"/>
      <c r="DQC13" s="28"/>
      <c r="DQD13" s="29"/>
      <c r="DQE13" s="29"/>
      <c r="DQF13" s="29"/>
      <c r="DQG13" s="28"/>
      <c r="DQH13" s="29"/>
      <c r="DQI13" s="29"/>
      <c r="DQJ13" s="28"/>
      <c r="DQK13" s="29"/>
      <c r="DQL13" s="30"/>
      <c r="DQM13" s="28"/>
      <c r="DQN13" s="29"/>
      <c r="DQO13" s="29"/>
      <c r="DQP13" s="29"/>
      <c r="DQQ13" s="28"/>
      <c r="DQR13" s="29"/>
      <c r="DQS13" s="29"/>
      <c r="DQT13" s="28"/>
      <c r="DQU13" s="29"/>
      <c r="DQV13" s="30"/>
      <c r="DQW13" s="28"/>
      <c r="DQX13" s="30"/>
      <c r="DQY13" s="29"/>
      <c r="DQZ13" s="28"/>
      <c r="DRA13" s="29"/>
      <c r="DRB13" s="28"/>
      <c r="DRC13" s="28"/>
      <c r="DRD13" s="28"/>
      <c r="DRE13" s="29"/>
      <c r="DRF13" s="385"/>
      <c r="DRG13" s="29"/>
      <c r="DRH13" s="385"/>
      <c r="DRI13" s="29"/>
      <c r="DRJ13" s="385"/>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30"/>
      <c r="DSQ13" s="28"/>
      <c r="DSR13" s="29"/>
      <c r="DSS13" s="29"/>
      <c r="DST13" s="29"/>
      <c r="DSU13" s="29"/>
      <c r="DSV13" s="29"/>
      <c r="DSW13" s="28"/>
      <c r="DSX13" s="29"/>
      <c r="DSY13" s="29"/>
      <c r="DSZ13" s="28"/>
      <c r="DTA13" s="29"/>
      <c r="DTB13" s="30"/>
      <c r="DTC13" s="28"/>
      <c r="DTD13" s="29"/>
      <c r="DTE13" s="29"/>
      <c r="DTF13" s="29"/>
      <c r="DTG13" s="28"/>
      <c r="DTH13" s="29"/>
      <c r="DTI13" s="29"/>
      <c r="DTJ13" s="28"/>
      <c r="DTK13" s="29"/>
      <c r="DTL13" s="30"/>
      <c r="DTM13" s="28"/>
      <c r="DTN13" s="29"/>
      <c r="DTO13" s="29"/>
      <c r="DTP13" s="29"/>
      <c r="DTQ13" s="28"/>
      <c r="DTR13" s="29"/>
      <c r="DTS13" s="29"/>
      <c r="DTT13" s="28"/>
      <c r="DTU13" s="29"/>
      <c r="DTV13" s="30"/>
      <c r="DTW13" s="28"/>
      <c r="DTX13" s="29"/>
      <c r="DTY13" s="29"/>
      <c r="DTZ13" s="29"/>
      <c r="DUA13" s="28"/>
      <c r="DUB13" s="29"/>
      <c r="DUC13" s="29"/>
      <c r="DUD13" s="28"/>
      <c r="DUE13" s="29"/>
      <c r="DUF13" s="30"/>
      <c r="DUG13" s="28"/>
      <c r="DUH13" s="30"/>
      <c r="DUI13" s="29"/>
      <c r="DUJ13" s="28"/>
      <c r="DUK13" s="29"/>
      <c r="DUL13" s="28"/>
      <c r="DUM13" s="28"/>
      <c r="DUN13" s="28"/>
      <c r="DUO13" s="29"/>
      <c r="DUP13" s="385"/>
      <c r="DUQ13" s="29"/>
      <c r="DUR13" s="385"/>
      <c r="DUS13" s="29"/>
      <c r="DUT13" s="385"/>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30"/>
      <c r="DWA13" s="28"/>
      <c r="DWB13" s="29"/>
      <c r="DWC13" s="29"/>
      <c r="DWD13" s="29"/>
      <c r="DWE13" s="29"/>
      <c r="DWF13" s="29"/>
      <c r="DWG13" s="28"/>
      <c r="DWH13" s="29"/>
      <c r="DWI13" s="29"/>
      <c r="DWJ13" s="28"/>
      <c r="DWK13" s="29"/>
      <c r="DWL13" s="30"/>
      <c r="DWM13" s="28"/>
      <c r="DWN13" s="29"/>
      <c r="DWO13" s="29"/>
      <c r="DWP13" s="29"/>
      <c r="DWQ13" s="28"/>
      <c r="DWR13" s="29"/>
      <c r="DWS13" s="29"/>
      <c r="DWT13" s="28"/>
      <c r="DWU13" s="29"/>
      <c r="DWV13" s="30"/>
      <c r="DWW13" s="28"/>
      <c r="DWX13" s="29"/>
      <c r="DWY13" s="29"/>
      <c r="DWZ13" s="29"/>
      <c r="DXA13" s="28"/>
      <c r="DXB13" s="29"/>
      <c r="DXC13" s="29"/>
      <c r="DXD13" s="28"/>
      <c r="DXE13" s="29"/>
      <c r="DXF13" s="30"/>
      <c r="DXG13" s="28"/>
      <c r="DXH13" s="29"/>
      <c r="DXI13" s="29"/>
      <c r="DXJ13" s="29"/>
      <c r="DXK13" s="28"/>
      <c r="DXL13" s="29"/>
      <c r="DXM13" s="29"/>
      <c r="DXN13" s="28"/>
      <c r="DXO13" s="29"/>
      <c r="DXP13" s="30"/>
      <c r="DXQ13" s="28"/>
      <c r="DXR13" s="30"/>
      <c r="DXS13" s="29"/>
      <c r="DXT13" s="28"/>
      <c r="DXU13" s="29"/>
      <c r="DXV13" s="28"/>
      <c r="DXW13" s="28"/>
      <c r="DXX13" s="28"/>
      <c r="DXY13" s="29"/>
      <c r="DXZ13" s="385"/>
      <c r="DYA13" s="29"/>
      <c r="DYB13" s="385"/>
      <c r="DYC13" s="29"/>
      <c r="DYD13" s="385"/>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30"/>
      <c r="DZK13" s="28"/>
      <c r="DZL13" s="29"/>
      <c r="DZM13" s="29"/>
      <c r="DZN13" s="29"/>
      <c r="DZO13" s="29"/>
      <c r="DZP13" s="29"/>
      <c r="DZQ13" s="28"/>
      <c r="DZR13" s="29"/>
      <c r="DZS13" s="29"/>
      <c r="DZT13" s="28"/>
      <c r="DZU13" s="29"/>
      <c r="DZV13" s="30"/>
      <c r="DZW13" s="28"/>
      <c r="DZX13" s="29"/>
      <c r="DZY13" s="29"/>
      <c r="DZZ13" s="29"/>
      <c r="EAA13" s="28"/>
      <c r="EAB13" s="29"/>
      <c r="EAC13" s="29"/>
      <c r="EAD13" s="28"/>
      <c r="EAE13" s="29"/>
      <c r="EAF13" s="30"/>
      <c r="EAG13" s="28"/>
      <c r="EAH13" s="29"/>
      <c r="EAI13" s="29"/>
      <c r="EAJ13" s="29"/>
      <c r="EAK13" s="28"/>
      <c r="EAL13" s="29"/>
      <c r="EAM13" s="29"/>
      <c r="EAN13" s="28"/>
      <c r="EAO13" s="29"/>
      <c r="EAP13" s="30"/>
      <c r="EAQ13" s="28"/>
      <c r="EAR13" s="29"/>
      <c r="EAS13" s="29"/>
      <c r="EAT13" s="29"/>
      <c r="EAU13" s="28"/>
      <c r="EAV13" s="29"/>
      <c r="EAW13" s="29"/>
      <c r="EAX13" s="28"/>
      <c r="EAY13" s="29"/>
      <c r="EAZ13" s="30"/>
      <c r="EBA13" s="28"/>
      <c r="EBB13" s="30"/>
      <c r="EBC13" s="29"/>
      <c r="EBD13" s="28"/>
      <c r="EBE13" s="29"/>
      <c r="EBF13" s="28"/>
      <c r="EBG13" s="28"/>
      <c r="EBH13" s="28"/>
      <c r="EBI13" s="29"/>
      <c r="EBJ13" s="385"/>
      <c r="EBK13" s="29"/>
      <c r="EBL13" s="385"/>
      <c r="EBM13" s="29"/>
      <c r="EBN13" s="385"/>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30"/>
      <c r="ECU13" s="28"/>
      <c r="ECV13" s="29"/>
      <c r="ECW13" s="29"/>
      <c r="ECX13" s="29"/>
      <c r="ECY13" s="29"/>
      <c r="ECZ13" s="29"/>
      <c r="EDA13" s="28"/>
      <c r="EDB13" s="29"/>
      <c r="EDC13" s="29"/>
      <c r="EDD13" s="28"/>
      <c r="EDE13" s="29"/>
      <c r="EDF13" s="30"/>
      <c r="EDG13" s="28"/>
      <c r="EDH13" s="29"/>
      <c r="EDI13" s="29"/>
      <c r="EDJ13" s="29"/>
      <c r="EDK13" s="28"/>
      <c r="EDL13" s="29"/>
      <c r="EDM13" s="29"/>
      <c r="EDN13" s="28"/>
      <c r="EDO13" s="29"/>
      <c r="EDP13" s="30"/>
      <c r="EDQ13" s="28"/>
      <c r="EDR13" s="29"/>
      <c r="EDS13" s="29"/>
      <c r="EDT13" s="29"/>
      <c r="EDU13" s="28"/>
      <c r="EDV13" s="29"/>
      <c r="EDW13" s="29"/>
      <c r="EDX13" s="28"/>
      <c r="EDY13" s="29"/>
      <c r="EDZ13" s="30"/>
      <c r="EEA13" s="28"/>
      <c r="EEB13" s="29"/>
      <c r="EEC13" s="29"/>
      <c r="EED13" s="29"/>
      <c r="EEE13" s="28"/>
      <c r="EEF13" s="29"/>
      <c r="EEG13" s="29"/>
      <c r="EEH13" s="28"/>
      <c r="EEI13" s="29"/>
      <c r="EEJ13" s="30"/>
      <c r="EEK13" s="28"/>
      <c r="EEL13" s="30"/>
      <c r="EEM13" s="29"/>
      <c r="EEN13" s="28"/>
      <c r="EEO13" s="29"/>
      <c r="EEP13" s="28"/>
      <c r="EEQ13" s="28"/>
      <c r="EER13" s="28"/>
      <c r="EES13" s="29"/>
      <c r="EET13" s="385"/>
      <c r="EEU13" s="29"/>
      <c r="EEV13" s="385"/>
      <c r="EEW13" s="29"/>
      <c r="EEX13" s="385"/>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30"/>
      <c r="EGE13" s="28"/>
      <c r="EGF13" s="29"/>
      <c r="EGG13" s="29"/>
      <c r="EGH13" s="29"/>
      <c r="EGI13" s="29"/>
      <c r="EGJ13" s="29"/>
      <c r="EGK13" s="28"/>
      <c r="EGL13" s="29"/>
      <c r="EGM13" s="29"/>
      <c r="EGN13" s="28"/>
      <c r="EGO13" s="29"/>
      <c r="EGP13" s="30"/>
      <c r="EGQ13" s="28"/>
      <c r="EGR13" s="29"/>
      <c r="EGS13" s="29"/>
      <c r="EGT13" s="29"/>
      <c r="EGU13" s="28"/>
      <c r="EGV13" s="29"/>
      <c r="EGW13" s="29"/>
      <c r="EGX13" s="28"/>
      <c r="EGY13" s="29"/>
      <c r="EGZ13" s="30"/>
      <c r="EHA13" s="28"/>
      <c r="EHB13" s="29"/>
      <c r="EHC13" s="29"/>
      <c r="EHD13" s="29"/>
      <c r="EHE13" s="28"/>
      <c r="EHF13" s="29"/>
      <c r="EHG13" s="29"/>
      <c r="EHH13" s="28"/>
      <c r="EHI13" s="29"/>
      <c r="EHJ13" s="30"/>
      <c r="EHK13" s="28"/>
      <c r="EHL13" s="29"/>
      <c r="EHM13" s="29"/>
      <c r="EHN13" s="29"/>
      <c r="EHO13" s="28"/>
      <c r="EHP13" s="29"/>
      <c r="EHQ13" s="29"/>
      <c r="EHR13" s="28"/>
      <c r="EHS13" s="29"/>
      <c r="EHT13" s="30"/>
      <c r="EHU13" s="28"/>
      <c r="EHV13" s="30"/>
      <c r="EHW13" s="29"/>
      <c r="EHX13" s="28"/>
      <c r="EHY13" s="29"/>
      <c r="EHZ13" s="28"/>
      <c r="EIA13" s="28"/>
      <c r="EIB13" s="28"/>
      <c r="EIC13" s="29"/>
      <c r="EID13" s="385"/>
      <c r="EIE13" s="29"/>
      <c r="EIF13" s="385"/>
      <c r="EIG13" s="29"/>
      <c r="EIH13" s="385"/>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30"/>
      <c r="EJO13" s="28"/>
      <c r="EJP13" s="29"/>
      <c r="EJQ13" s="29"/>
      <c r="EJR13" s="29"/>
      <c r="EJS13" s="29"/>
      <c r="EJT13" s="29"/>
      <c r="EJU13" s="28"/>
      <c r="EJV13" s="29"/>
      <c r="EJW13" s="29"/>
      <c r="EJX13" s="28"/>
      <c r="EJY13" s="29"/>
      <c r="EJZ13" s="30"/>
      <c r="EKA13" s="28"/>
      <c r="EKB13" s="29"/>
      <c r="EKC13" s="29"/>
      <c r="EKD13" s="29"/>
      <c r="EKE13" s="28"/>
      <c r="EKF13" s="29"/>
      <c r="EKG13" s="29"/>
      <c r="EKH13" s="28"/>
      <c r="EKI13" s="29"/>
      <c r="EKJ13" s="30"/>
      <c r="EKK13" s="28"/>
      <c r="EKL13" s="29"/>
      <c r="EKM13" s="29"/>
      <c r="EKN13" s="29"/>
      <c r="EKO13" s="28"/>
      <c r="EKP13" s="29"/>
      <c r="EKQ13" s="29"/>
      <c r="EKR13" s="28"/>
      <c r="EKS13" s="29"/>
      <c r="EKT13" s="30"/>
      <c r="EKU13" s="28"/>
      <c r="EKV13" s="29"/>
      <c r="EKW13" s="29"/>
      <c r="EKX13" s="29"/>
      <c r="EKY13" s="28"/>
      <c r="EKZ13" s="29"/>
      <c r="ELA13" s="29"/>
      <c r="ELB13" s="28"/>
      <c r="ELC13" s="29"/>
      <c r="ELD13" s="30"/>
      <c r="ELE13" s="28"/>
      <c r="ELF13" s="30"/>
      <c r="ELG13" s="29"/>
      <c r="ELH13" s="28"/>
      <c r="ELI13" s="29"/>
      <c r="ELJ13" s="28"/>
      <c r="ELK13" s="28"/>
      <c r="ELL13" s="28"/>
      <c r="ELM13" s="29"/>
      <c r="ELN13" s="385"/>
      <c r="ELO13" s="29"/>
      <c r="ELP13" s="385"/>
      <c r="ELQ13" s="29"/>
      <c r="ELR13" s="385"/>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30"/>
      <c r="EMY13" s="28"/>
      <c r="EMZ13" s="29"/>
      <c r="ENA13" s="29"/>
      <c r="ENB13" s="29"/>
      <c r="ENC13" s="29"/>
      <c r="END13" s="29"/>
      <c r="ENE13" s="28"/>
      <c r="ENF13" s="29"/>
      <c r="ENG13" s="29"/>
      <c r="ENH13" s="28"/>
      <c r="ENI13" s="29"/>
      <c r="ENJ13" s="30"/>
      <c r="ENK13" s="28"/>
      <c r="ENL13" s="29"/>
      <c r="ENM13" s="29"/>
      <c r="ENN13" s="29"/>
      <c r="ENO13" s="28"/>
      <c r="ENP13" s="29"/>
      <c r="ENQ13" s="29"/>
      <c r="ENR13" s="28"/>
      <c r="ENS13" s="29"/>
      <c r="ENT13" s="30"/>
      <c r="ENU13" s="28"/>
      <c r="ENV13" s="29"/>
      <c r="ENW13" s="29"/>
      <c r="ENX13" s="29"/>
      <c r="ENY13" s="28"/>
      <c r="ENZ13" s="29"/>
      <c r="EOA13" s="29"/>
      <c r="EOB13" s="28"/>
      <c r="EOC13" s="29"/>
      <c r="EOD13" s="30"/>
      <c r="EOE13" s="28"/>
      <c r="EOF13" s="29"/>
      <c r="EOG13" s="29"/>
      <c r="EOH13" s="29"/>
      <c r="EOI13" s="28"/>
      <c r="EOJ13" s="29"/>
      <c r="EOK13" s="29"/>
      <c r="EOL13" s="28"/>
      <c r="EOM13" s="29"/>
      <c r="EON13" s="30"/>
      <c r="EOO13" s="28" t="str">
        <f t="shared" si="75"/>
        <v xml:space="preserve"> </v>
      </c>
    </row>
    <row r="14" spans="1:3873" x14ac:dyDescent="0.3">
      <c r="A14" s="392" t="s">
        <v>150</v>
      </c>
      <c r="B14" s="58" t="s">
        <v>2058</v>
      </c>
      <c r="C14" s="57" t="s">
        <v>1381</v>
      </c>
      <c r="D14" s="56" t="str">
        <f t="shared" si="61"/>
        <v xml:space="preserve"> </v>
      </c>
      <c r="E14" s="57"/>
      <c r="F14" s="56"/>
      <c r="G14" s="59">
        <v>45379</v>
      </c>
      <c r="H14" s="59">
        <f>+G14+365</f>
        <v>45744</v>
      </c>
      <c r="I14" s="57" t="s">
        <v>1372</v>
      </c>
      <c r="J14" s="57" t="s">
        <v>1373</v>
      </c>
      <c r="K14" s="57" t="s">
        <v>1372</v>
      </c>
      <c r="L14" s="57" t="s">
        <v>1373</v>
      </c>
      <c r="M14" s="57"/>
      <c r="N14" s="57" t="s">
        <v>2059</v>
      </c>
      <c r="O14" s="57" t="s">
        <v>1372</v>
      </c>
      <c r="P14" s="57"/>
      <c r="Q14" s="57" t="s">
        <v>1372</v>
      </c>
      <c r="R14" s="57" t="s">
        <v>1372</v>
      </c>
      <c r="S14" s="57" t="s">
        <v>1372</v>
      </c>
      <c r="T14" s="57" t="s">
        <v>1372</v>
      </c>
      <c r="U14" s="57" t="s">
        <v>1372</v>
      </c>
      <c r="V14" s="57" t="s">
        <v>1372</v>
      </c>
      <c r="W14" s="57"/>
      <c r="X14" s="57"/>
      <c r="Y14" s="57"/>
      <c r="Z14" s="57" t="s">
        <v>1372</v>
      </c>
      <c r="AA14" s="57"/>
      <c r="AB14" s="57"/>
      <c r="AC14" s="57"/>
      <c r="AD14" s="57"/>
      <c r="AE14" s="57"/>
      <c r="AF14" s="57"/>
      <c r="AG14" s="57" t="s">
        <v>1372</v>
      </c>
      <c r="AH14" s="57"/>
      <c r="AI14" s="57"/>
      <c r="AJ14" s="57"/>
      <c r="AK14" s="57"/>
      <c r="AL14" s="57"/>
      <c r="AM14" s="57"/>
      <c r="AN14" s="57"/>
      <c r="AO14" s="57"/>
      <c r="AP14" s="57"/>
      <c r="AQ14" s="57"/>
      <c r="AR14" s="57"/>
      <c r="AS14" s="57"/>
      <c r="AT14" s="58" t="s">
        <v>2069</v>
      </c>
      <c r="AU14" s="57"/>
      <c r="AV14" s="56" t="str">
        <f t="shared" ref="AV14" si="104">IFERROR(VLOOKUP(AT14,BASEPOE1,2,FALSE)," ")</f>
        <v xml:space="preserve"> </v>
      </c>
      <c r="AW14" s="57"/>
      <c r="AX14" s="56"/>
      <c r="AY14" s="59">
        <v>45359</v>
      </c>
      <c r="AZ14" s="59">
        <f>+AY14+365</f>
        <v>45724</v>
      </c>
      <c r="BA14" s="57" t="s">
        <v>1372</v>
      </c>
      <c r="BB14" s="57" t="s">
        <v>1373</v>
      </c>
      <c r="BC14" s="57" t="s">
        <v>1372</v>
      </c>
      <c r="BD14" s="57" t="s">
        <v>1373</v>
      </c>
      <c r="BE14" s="57" t="s">
        <v>1461</v>
      </c>
      <c r="BF14" s="387" t="s">
        <v>2064</v>
      </c>
      <c r="BG14" s="57" t="s">
        <v>1372</v>
      </c>
      <c r="BH14" s="57"/>
      <c r="BI14" s="57"/>
      <c r="BJ14" s="57" t="s">
        <v>1372</v>
      </c>
      <c r="BK14" s="57" t="s">
        <v>1372</v>
      </c>
      <c r="BL14" s="57" t="s">
        <v>1372</v>
      </c>
      <c r="BM14" s="57" t="s">
        <v>1461</v>
      </c>
      <c r="BN14" s="57" t="s">
        <v>1372</v>
      </c>
      <c r="BO14" s="57"/>
      <c r="BP14" s="57"/>
      <c r="BQ14" s="57"/>
      <c r="BR14" s="57" t="s">
        <v>1372</v>
      </c>
      <c r="BS14" s="57"/>
      <c r="BT14" s="57"/>
      <c r="BU14" s="57"/>
      <c r="BV14" s="57"/>
      <c r="BW14" s="57"/>
      <c r="BX14" s="57"/>
      <c r="BY14" s="57" t="s">
        <v>1372</v>
      </c>
      <c r="BZ14" s="57"/>
      <c r="CA14" s="57"/>
      <c r="CB14" s="57"/>
      <c r="CC14" s="57"/>
      <c r="CD14" s="57"/>
      <c r="CE14" s="57"/>
      <c r="CF14" s="57"/>
      <c r="CG14" s="57"/>
      <c r="CH14" s="57"/>
      <c r="CI14" s="57"/>
      <c r="CJ14" s="57"/>
      <c r="CK14" s="57"/>
      <c r="CL14" s="58" t="s">
        <v>2063</v>
      </c>
      <c r="CM14" s="57" t="s">
        <v>1371</v>
      </c>
      <c r="CN14" s="56" t="str">
        <f t="shared" ref="CN14" si="105">IFERROR(VLOOKUP(CL14,BASEPOE1,2,FALSE)," ")</f>
        <v xml:space="preserve"> </v>
      </c>
      <c r="CO14" s="57"/>
      <c r="CP14" s="56"/>
      <c r="CQ14" s="59">
        <v>45358</v>
      </c>
      <c r="CR14" s="59">
        <f>+CQ14+365</f>
        <v>45723</v>
      </c>
      <c r="CS14" s="57" t="s">
        <v>1372</v>
      </c>
      <c r="CT14" s="57" t="s">
        <v>1373</v>
      </c>
      <c r="CU14" s="57" t="s">
        <v>1372</v>
      </c>
      <c r="CV14" s="57" t="s">
        <v>1373</v>
      </c>
      <c r="CW14" s="57" t="s">
        <v>1372</v>
      </c>
      <c r="CX14" s="387" t="s">
        <v>2064</v>
      </c>
      <c r="CY14" s="57" t="s">
        <v>1372</v>
      </c>
      <c r="CZ14" s="57" t="s">
        <v>1372</v>
      </c>
      <c r="DA14" s="57" t="s">
        <v>1372</v>
      </c>
      <c r="DB14" s="57" t="s">
        <v>1372</v>
      </c>
      <c r="DC14" s="57" t="s">
        <v>1372</v>
      </c>
      <c r="DD14" s="57" t="s">
        <v>1372</v>
      </c>
      <c r="DE14" s="57" t="s">
        <v>1372</v>
      </c>
      <c r="DF14" s="57"/>
      <c r="DG14" s="57" t="s">
        <v>1382</v>
      </c>
      <c r="DH14" s="57"/>
      <c r="DI14" s="57"/>
      <c r="DJ14" s="57" t="s">
        <v>1372</v>
      </c>
      <c r="DK14" s="57"/>
      <c r="DL14" s="57"/>
      <c r="DM14" s="57"/>
      <c r="DN14" s="57"/>
      <c r="DO14" s="57"/>
      <c r="DP14" s="57" t="s">
        <v>1372</v>
      </c>
      <c r="DQ14" s="57" t="s">
        <v>1372</v>
      </c>
      <c r="DR14" s="57"/>
      <c r="DS14" s="57"/>
      <c r="DT14" s="57"/>
      <c r="DU14" s="57"/>
      <c r="DV14" s="57"/>
      <c r="DW14" s="57"/>
      <c r="DX14" s="57"/>
      <c r="DY14" s="57"/>
      <c r="DZ14" s="57"/>
      <c r="EA14" s="57"/>
      <c r="EB14" s="57"/>
      <c r="EC14" s="57"/>
      <c r="ED14" s="58" t="s">
        <v>2061</v>
      </c>
      <c r="EE14" s="57" t="s">
        <v>1371</v>
      </c>
      <c r="EF14" s="56" t="str">
        <f t="shared" ref="EF14" si="106">IFERROR(VLOOKUP(ED14,BASEPOE1,2,FALSE)," ")</f>
        <v xml:space="preserve"> </v>
      </c>
      <c r="EG14" s="57"/>
      <c r="EH14" s="56"/>
      <c r="EI14" s="59">
        <v>45370</v>
      </c>
      <c r="EJ14" s="59">
        <f>+EI14+365</f>
        <v>45735</v>
      </c>
      <c r="EK14" s="57" t="s">
        <v>1372</v>
      </c>
      <c r="EL14" s="57" t="s">
        <v>1373</v>
      </c>
      <c r="EM14" s="57" t="s">
        <v>1372</v>
      </c>
      <c r="EN14" s="57" t="s">
        <v>1373</v>
      </c>
      <c r="EO14" s="57" t="s">
        <v>1461</v>
      </c>
      <c r="EP14" s="29" t="s">
        <v>1462</v>
      </c>
      <c r="EQ14" s="57" t="s">
        <v>1372</v>
      </c>
      <c r="ER14" s="57"/>
      <c r="ES14" s="57" t="s">
        <v>1372</v>
      </c>
      <c r="ET14" s="57" t="s">
        <v>1372</v>
      </c>
      <c r="EU14" s="57" t="s">
        <v>1372</v>
      </c>
      <c r="EV14" s="57" t="s">
        <v>1372</v>
      </c>
      <c r="EW14" s="57" t="s">
        <v>1372</v>
      </c>
      <c r="EX14" s="57" t="s">
        <v>1372</v>
      </c>
      <c r="EY14" s="57"/>
      <c r="EZ14" s="57"/>
      <c r="FA14" s="57"/>
      <c r="FB14" s="57" t="s">
        <v>1372</v>
      </c>
      <c r="FC14" s="57"/>
      <c r="FD14" s="57"/>
      <c r="FE14" s="57"/>
      <c r="FF14" s="57"/>
      <c r="FG14" s="57"/>
      <c r="FH14" s="57" t="s">
        <v>1372</v>
      </c>
      <c r="FI14" s="57"/>
      <c r="FJ14" s="57"/>
      <c r="FK14" s="57"/>
      <c r="FL14" s="57"/>
      <c r="FM14" s="57"/>
      <c r="FN14" s="57"/>
      <c r="FO14" s="57" t="s">
        <v>1372</v>
      </c>
      <c r="FP14" s="57"/>
      <c r="FQ14" s="57"/>
      <c r="FR14" s="57"/>
      <c r="FS14" s="57"/>
      <c r="FT14" s="57" t="s">
        <v>1768</v>
      </c>
      <c r="FU14" s="57"/>
      <c r="FV14" s="58" t="s">
        <v>2066</v>
      </c>
      <c r="FW14" s="57" t="s">
        <v>1371</v>
      </c>
      <c r="FX14" s="56" t="str">
        <f t="shared" ref="FX14" si="107">IFERROR(VLOOKUP(FV14,BASEPOE1,2,FALSE)," ")</f>
        <v xml:space="preserve"> </v>
      </c>
      <c r="FY14" s="57"/>
      <c r="FZ14" s="56"/>
      <c r="GA14" s="59">
        <v>45360</v>
      </c>
      <c r="GB14" s="59">
        <f>+GA14+365</f>
        <v>45725</v>
      </c>
      <c r="GC14" s="57"/>
      <c r="GD14" s="57"/>
      <c r="GE14" s="57"/>
      <c r="GF14" s="57"/>
      <c r="GG14" s="57" t="s">
        <v>1461</v>
      </c>
      <c r="GH14" s="387" t="s">
        <v>2067</v>
      </c>
      <c r="GI14" s="57" t="s">
        <v>1372</v>
      </c>
      <c r="GJ14" s="57"/>
      <c r="GK14" s="57" t="s">
        <v>1372</v>
      </c>
      <c r="GL14" s="57" t="s">
        <v>1372</v>
      </c>
      <c r="GM14" s="57"/>
      <c r="GN14" s="57"/>
      <c r="GO14" s="57"/>
      <c r="GP14" s="57" t="s">
        <v>1372</v>
      </c>
      <c r="GQ14" s="57"/>
      <c r="GR14" s="57"/>
      <c r="GS14" s="57"/>
      <c r="GT14" s="57"/>
      <c r="GU14" s="57"/>
      <c r="GV14" s="57"/>
      <c r="GW14" s="57"/>
      <c r="GX14" s="57"/>
      <c r="GY14" s="57"/>
      <c r="GZ14" s="57" t="s">
        <v>1372</v>
      </c>
      <c r="HA14" s="57"/>
      <c r="HB14" s="57"/>
      <c r="HC14" s="57"/>
      <c r="HD14" s="57"/>
      <c r="HE14" s="57"/>
      <c r="HF14" s="57"/>
      <c r="HG14" s="57"/>
      <c r="HH14" s="57"/>
      <c r="HI14" s="57"/>
      <c r="HJ14" s="57" t="s">
        <v>1372</v>
      </c>
      <c r="HK14" s="57"/>
      <c r="HL14" s="57" t="s">
        <v>1783</v>
      </c>
      <c r="HM14" s="57"/>
      <c r="HN14" s="58"/>
      <c r="HO14" s="57"/>
      <c r="HP14" s="56" t="str">
        <f t="shared" ref="HP14" si="108">IFERROR(VLOOKUP(HN14,BASEPOE1,2,FALSE)," ")</f>
        <v xml:space="preserve"> </v>
      </c>
      <c r="HQ14" s="57"/>
      <c r="HR14" s="56"/>
      <c r="HS14" s="56"/>
      <c r="HT14" s="56">
        <f>+HS14+365</f>
        <v>365</v>
      </c>
      <c r="HU14" s="57"/>
      <c r="HV14" s="57"/>
      <c r="HW14" s="57"/>
      <c r="HX14" s="57"/>
      <c r="HY14" s="57"/>
      <c r="HZ14" s="38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8"/>
      <c r="JG14" s="57"/>
      <c r="JH14" s="56" t="str">
        <f t="shared" ref="JH14" si="109">IFERROR(VLOOKUP(JF14,BASEPOE1,2,FALSE)," ")</f>
        <v xml:space="preserve"> </v>
      </c>
      <c r="JI14" s="57"/>
      <c r="JJ14" s="56"/>
      <c r="JK14" s="56"/>
      <c r="JL14" s="56">
        <f>+JK14+365</f>
        <v>365</v>
      </c>
      <c r="JM14" s="57"/>
      <c r="JN14" s="57"/>
      <c r="JO14" s="57"/>
      <c r="JP14" s="57"/>
      <c r="JQ14" s="57"/>
      <c r="JR14" s="38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6"/>
      <c r="LB14" s="57"/>
      <c r="LC14" s="57"/>
      <c r="LD14" s="56"/>
      <c r="LE14" s="57"/>
      <c r="LF14" s="58"/>
      <c r="LG14" s="56"/>
      <c r="LH14" s="57"/>
      <c r="LI14" s="57"/>
      <c r="LJ14" s="57"/>
      <c r="LK14" s="56"/>
      <c r="LL14" s="57"/>
      <c r="LM14" s="57"/>
      <c r="LN14" s="56"/>
      <c r="LO14" s="57"/>
      <c r="LP14" s="58"/>
      <c r="LQ14" s="56"/>
      <c r="LR14" s="57"/>
      <c r="LS14" s="57"/>
      <c r="LT14" s="57"/>
      <c r="LU14" s="56"/>
      <c r="LV14" s="57"/>
      <c r="LW14" s="57"/>
      <c r="LX14" s="56"/>
      <c r="LY14" s="57"/>
      <c r="LZ14" s="58"/>
      <c r="MA14" s="56"/>
      <c r="MB14" s="57"/>
      <c r="MC14" s="57"/>
      <c r="MD14" s="57"/>
      <c r="ME14" s="56"/>
      <c r="MF14" s="57"/>
      <c r="MG14" s="57"/>
      <c r="MH14" s="56"/>
      <c r="MI14" s="57"/>
      <c r="MJ14" s="58"/>
      <c r="MK14" s="56"/>
      <c r="ML14" s="57"/>
      <c r="MM14" s="57"/>
      <c r="MN14" s="57"/>
      <c r="MO14" s="56"/>
      <c r="MP14" s="57"/>
      <c r="MQ14" s="57"/>
      <c r="MR14" s="56"/>
      <c r="MS14" s="57"/>
      <c r="MT14" s="58"/>
      <c r="MU14" s="56"/>
      <c r="MV14" s="57"/>
      <c r="MW14" s="57"/>
      <c r="MX14" s="57"/>
      <c r="MY14" s="56"/>
      <c r="MZ14" s="57"/>
      <c r="NA14" s="57"/>
      <c r="NB14" s="56"/>
      <c r="NC14" s="57"/>
      <c r="ND14" s="58"/>
      <c r="NE14" s="56"/>
      <c r="NF14" s="57"/>
      <c r="NG14" s="57"/>
      <c r="NH14" s="57"/>
      <c r="NI14" s="56"/>
      <c r="NJ14" s="57"/>
      <c r="NK14" s="57"/>
      <c r="NL14" s="56"/>
      <c r="NM14" s="57"/>
      <c r="NN14" s="58"/>
      <c r="NO14" s="56"/>
      <c r="NP14" s="57"/>
      <c r="NQ14" s="57"/>
      <c r="NR14" s="57"/>
      <c r="NS14" s="56"/>
      <c r="NT14" s="57"/>
      <c r="NU14" s="57"/>
      <c r="NV14" s="56"/>
      <c r="NW14" s="57"/>
      <c r="NX14" s="58"/>
      <c r="NY14" s="56"/>
      <c r="NZ14" s="57"/>
      <c r="OA14" s="57"/>
      <c r="OB14" s="57"/>
      <c r="OC14" s="56"/>
      <c r="OD14" s="57"/>
      <c r="OE14" s="57"/>
      <c r="OF14" s="58"/>
      <c r="OG14" s="58"/>
      <c r="OH14" s="58"/>
      <c r="OI14" s="56"/>
      <c r="OJ14" s="58"/>
      <c r="OK14" s="58"/>
      <c r="OL14" s="58"/>
      <c r="OM14" s="58"/>
      <c r="ON14" s="58"/>
      <c r="OO14" s="58"/>
      <c r="OP14" s="56"/>
      <c r="OQ14" s="57"/>
      <c r="OR14" s="58"/>
      <c r="OS14" s="56"/>
      <c r="OT14" s="57"/>
      <c r="OU14" s="57"/>
      <c r="OV14" s="57"/>
      <c r="OW14" s="56"/>
      <c r="OX14" s="57"/>
      <c r="OY14" s="57"/>
      <c r="OZ14" s="56"/>
      <c r="PA14" s="57"/>
      <c r="PB14" s="58"/>
      <c r="PC14" s="56"/>
      <c r="PD14" s="57"/>
      <c r="PE14" s="57"/>
      <c r="PF14" s="57"/>
      <c r="PG14" s="56"/>
      <c r="PH14" s="57"/>
      <c r="PI14" s="57"/>
      <c r="PJ14" s="56"/>
      <c r="PK14" s="57"/>
      <c r="PL14" s="58"/>
      <c r="PM14" s="56"/>
      <c r="PN14" s="57"/>
      <c r="PO14" s="57"/>
      <c r="PP14" s="57"/>
      <c r="PQ14" s="56"/>
      <c r="PR14" s="57"/>
      <c r="PS14" s="57"/>
      <c r="PT14" s="56"/>
      <c r="PU14" s="57"/>
      <c r="PV14" s="58"/>
      <c r="PW14" s="56"/>
      <c r="PX14" s="57"/>
      <c r="PY14" s="57"/>
      <c r="PZ14" s="57"/>
      <c r="QA14" s="56"/>
      <c r="QB14" s="57"/>
      <c r="QC14" s="57"/>
      <c r="QD14" s="56"/>
      <c r="QE14" s="57"/>
      <c r="QF14" s="58"/>
      <c r="QG14" s="56"/>
      <c r="QH14" s="57"/>
      <c r="QI14" s="57"/>
      <c r="QJ14" s="57"/>
      <c r="QK14" s="56"/>
      <c r="QL14" s="57"/>
      <c r="QM14" s="57"/>
      <c r="QN14" s="56"/>
      <c r="QO14" s="57"/>
      <c r="QP14" s="58"/>
      <c r="QQ14" s="56"/>
      <c r="QR14" s="57"/>
      <c r="QS14" s="57"/>
      <c r="QT14" s="57"/>
      <c r="QU14" s="56"/>
      <c r="QV14" s="57"/>
      <c r="QW14" s="57"/>
      <c r="QX14" s="56"/>
      <c r="QY14" s="57"/>
      <c r="QZ14" s="58"/>
      <c r="RA14" s="56"/>
      <c r="RB14" s="57"/>
      <c r="RC14" s="57"/>
      <c r="RD14" s="57"/>
      <c r="RE14" s="56"/>
      <c r="RF14" s="57"/>
      <c r="RG14" s="57"/>
      <c r="RH14" s="56"/>
      <c r="RI14" s="57"/>
      <c r="RJ14" s="58"/>
      <c r="RK14" s="56"/>
      <c r="RL14" s="57"/>
      <c r="RM14" s="57"/>
      <c r="RN14" s="57"/>
      <c r="RO14" s="56"/>
      <c r="RP14" s="57"/>
      <c r="RQ14" s="57"/>
      <c r="RR14" s="56"/>
      <c r="RS14" s="57"/>
      <c r="RT14" s="58"/>
      <c r="RU14" s="56"/>
      <c r="RV14" s="57"/>
      <c r="RW14" s="57"/>
      <c r="RX14" s="57"/>
      <c r="RY14" s="56"/>
      <c r="RZ14" s="57"/>
      <c r="SA14" s="57"/>
      <c r="SB14" s="56"/>
      <c r="SC14" s="57"/>
      <c r="SD14" s="58"/>
      <c r="SE14" s="56"/>
      <c r="SF14" s="57"/>
      <c r="SG14" s="57"/>
      <c r="SH14" s="57"/>
      <c r="SI14" s="56"/>
      <c r="SJ14" s="57"/>
      <c r="SK14" s="57"/>
      <c r="SL14" s="56"/>
      <c r="SM14" s="57"/>
      <c r="SN14" s="58"/>
      <c r="SO14" s="56"/>
      <c r="SP14" s="57"/>
      <c r="SQ14" s="57"/>
      <c r="SR14" s="57"/>
      <c r="SS14" s="56"/>
      <c r="ST14" s="57"/>
      <c r="SU14" s="57"/>
      <c r="SV14" s="56"/>
      <c r="SW14" s="57"/>
      <c r="SX14" s="58"/>
      <c r="SY14" s="56"/>
      <c r="SZ14" s="57"/>
      <c r="TA14" s="57"/>
      <c r="TB14" s="57"/>
      <c r="TC14" s="56"/>
      <c r="TD14" s="57"/>
      <c r="TE14" s="57"/>
      <c r="TF14" s="56"/>
      <c r="TG14" s="57"/>
      <c r="TH14" s="58"/>
      <c r="TI14" s="56"/>
      <c r="TJ14" s="57"/>
      <c r="TK14" s="57"/>
      <c r="TL14" s="57"/>
      <c r="TM14" s="56"/>
      <c r="TN14" s="57"/>
      <c r="TO14" s="57"/>
      <c r="TP14" s="56"/>
      <c r="TQ14" s="57"/>
      <c r="TR14" s="58"/>
      <c r="TS14" s="56"/>
      <c r="TT14" s="57"/>
      <c r="TU14" s="57"/>
      <c r="TV14" s="57"/>
      <c r="TW14" s="56"/>
      <c r="TX14" s="57"/>
      <c r="TY14" s="57"/>
      <c r="TZ14" s="56"/>
      <c r="UA14" s="57"/>
      <c r="UB14" s="58"/>
      <c r="UC14" s="56"/>
      <c r="UD14" s="57"/>
      <c r="UE14" s="57"/>
      <c r="UF14" s="57"/>
      <c r="UG14" s="56"/>
      <c r="UH14" s="57"/>
      <c r="UI14" s="57"/>
      <c r="UJ14" s="56"/>
      <c r="UK14" s="57"/>
      <c r="UL14" s="58"/>
      <c r="UM14" s="56"/>
      <c r="UN14" s="57"/>
      <c r="UO14" s="57"/>
      <c r="UP14" s="57"/>
      <c r="UQ14" s="56"/>
      <c r="UR14" s="57"/>
      <c r="US14" s="57"/>
      <c r="UT14" s="56"/>
      <c r="UU14" s="57"/>
      <c r="UV14" s="58"/>
      <c r="UW14" s="56"/>
      <c r="UX14" s="57"/>
      <c r="UY14" s="57"/>
      <c r="UZ14" s="57"/>
      <c r="VA14" s="56"/>
      <c r="VB14" s="57"/>
      <c r="VC14" s="57"/>
      <c r="VD14" s="56"/>
      <c r="VE14" s="57"/>
      <c r="VF14" s="58"/>
      <c r="VG14" s="56"/>
      <c r="VH14" s="57"/>
      <c r="VI14" s="57"/>
      <c r="VJ14" s="57"/>
      <c r="VK14" s="56"/>
      <c r="VL14" s="57"/>
      <c r="VM14" s="57"/>
      <c r="VN14" s="56"/>
      <c r="VO14" s="57"/>
      <c r="VP14" s="58"/>
      <c r="VQ14" s="56"/>
      <c r="VR14" s="57"/>
      <c r="VS14" s="57"/>
      <c r="VT14" s="57"/>
      <c r="VU14" s="56"/>
      <c r="VV14" s="57"/>
      <c r="VW14" s="57"/>
      <c r="VX14" s="56"/>
      <c r="VY14" s="57"/>
      <c r="VZ14" s="58"/>
      <c r="WA14" s="56"/>
      <c r="WB14" s="57"/>
      <c r="WC14" s="57"/>
      <c r="WD14" s="57"/>
      <c r="WE14" s="56"/>
      <c r="WF14" s="57"/>
      <c r="WG14" s="57"/>
      <c r="WH14" s="56"/>
      <c r="WI14" s="57"/>
      <c r="WJ14" s="58"/>
      <c r="WK14" s="56"/>
      <c r="WL14" s="57"/>
      <c r="WM14" s="57"/>
      <c r="WN14" s="57"/>
      <c r="WO14" s="56"/>
      <c r="WP14" s="57"/>
      <c r="WQ14" s="57"/>
      <c r="WR14" s="56"/>
      <c r="WS14" s="57"/>
      <c r="WT14" s="58"/>
      <c r="WU14" s="56"/>
      <c r="WV14" s="57"/>
      <c r="WW14" s="57"/>
      <c r="WX14" s="57"/>
      <c r="WY14" s="56"/>
      <c r="WZ14" s="57"/>
      <c r="XA14" s="57"/>
      <c r="XB14" s="56"/>
      <c r="XC14" s="57"/>
      <c r="XD14" s="58"/>
      <c r="XE14" s="56"/>
      <c r="XF14" s="57"/>
      <c r="XG14" s="57"/>
      <c r="XH14" s="57"/>
      <c r="XI14" s="56"/>
      <c r="XJ14" s="57"/>
      <c r="XK14" s="57"/>
      <c r="XL14" s="56"/>
      <c r="XM14" s="57"/>
      <c r="XN14" s="58"/>
      <c r="XO14" s="56"/>
      <c r="XP14" s="57"/>
      <c r="XQ14" s="57"/>
      <c r="XR14" s="57"/>
      <c r="XS14" s="56"/>
      <c r="XT14" s="57"/>
      <c r="XU14" s="57"/>
      <c r="XV14" s="56"/>
      <c r="XW14" s="57"/>
      <c r="XX14" s="58"/>
      <c r="XY14" s="56"/>
      <c r="XZ14" s="57"/>
      <c r="YA14" s="57"/>
      <c r="YB14" s="57"/>
      <c r="YC14" s="56"/>
      <c r="YD14" s="57"/>
      <c r="YE14" s="57"/>
      <c r="YF14" s="56"/>
      <c r="YG14" s="57"/>
      <c r="YH14" s="58"/>
      <c r="YI14" s="56"/>
      <c r="YJ14" s="57"/>
      <c r="YK14" s="57"/>
      <c r="YL14" s="57"/>
      <c r="YM14" s="56"/>
      <c r="YN14" s="57"/>
      <c r="YO14" s="57"/>
      <c r="YP14" s="56"/>
      <c r="YQ14" s="57"/>
      <c r="YR14" s="58"/>
      <c r="YS14" s="56"/>
      <c r="YT14" s="57"/>
      <c r="YU14" s="57"/>
      <c r="YV14" s="57"/>
      <c r="YW14" s="56"/>
      <c r="YX14" s="57"/>
      <c r="YY14" s="57"/>
      <c r="YZ14" s="56"/>
      <c r="ZA14" s="57"/>
      <c r="ZB14" s="58"/>
      <c r="ZC14" s="56"/>
      <c r="ZD14" s="57"/>
      <c r="ZE14" s="57"/>
      <c r="ZF14" s="57"/>
      <c r="ZG14" s="56"/>
      <c r="ZH14" s="57"/>
      <c r="ZI14" s="57"/>
      <c r="ZJ14" s="56"/>
      <c r="ZK14" s="57"/>
      <c r="ZL14" s="58"/>
      <c r="ZM14" s="56"/>
      <c r="ZN14" s="57"/>
      <c r="ZO14" s="57"/>
      <c r="ZP14" s="57"/>
      <c r="ZQ14" s="56"/>
      <c r="ZR14" s="57"/>
      <c r="ZS14" s="57"/>
      <c r="ZT14" s="56"/>
      <c r="ZU14" s="57"/>
      <c r="ZV14" s="58"/>
      <c r="ZW14" s="56"/>
      <c r="ZX14" s="57"/>
      <c r="ZY14" s="57"/>
      <c r="ZZ14" s="57"/>
      <c r="AAA14" s="56"/>
      <c r="AAB14" s="57"/>
      <c r="AAC14" s="57"/>
      <c r="AAD14" s="56"/>
      <c r="AAE14" s="57"/>
      <c r="AAF14" s="58"/>
      <c r="AAG14" s="56"/>
      <c r="AAH14" s="57"/>
      <c r="AAI14" s="57"/>
      <c r="AAJ14" s="57"/>
      <c r="AAK14" s="56"/>
      <c r="AAL14" s="57"/>
      <c r="AAM14" s="57"/>
      <c r="AAN14" s="56"/>
      <c r="AAO14" s="57"/>
      <c r="AAP14" s="58"/>
      <c r="AAQ14" s="56"/>
      <c r="AAR14" s="57"/>
      <c r="AAS14" s="57"/>
      <c r="AAT14" s="57"/>
      <c r="AAU14" s="56"/>
      <c r="AAV14" s="57"/>
      <c r="AAW14" s="57"/>
      <c r="AAX14" s="58"/>
      <c r="AAY14" s="58"/>
      <c r="AAZ14" s="58"/>
      <c r="ABA14" s="56"/>
      <c r="ABB14" s="58"/>
      <c r="ABC14" s="58"/>
      <c r="ABD14" s="58"/>
      <c r="ABE14" s="58"/>
      <c r="ABF14" s="58"/>
      <c r="ABG14" s="57"/>
      <c r="ABH14" s="56"/>
      <c r="ABI14" s="57"/>
      <c r="ABJ14" s="58"/>
      <c r="ABK14" s="56"/>
      <c r="ABL14" s="57"/>
      <c r="ABM14" s="57"/>
      <c r="ABN14" s="57"/>
      <c r="ABO14" s="56"/>
      <c r="ABP14" s="57"/>
      <c r="ABQ14" s="57"/>
      <c r="ABR14" s="56"/>
      <c r="ABS14" s="57"/>
      <c r="ABT14" s="58"/>
      <c r="ABU14" s="56"/>
      <c r="ABV14" s="57"/>
      <c r="ABW14" s="57"/>
      <c r="ABX14" s="57"/>
      <c r="ABY14" s="56"/>
      <c r="ABZ14" s="57"/>
      <c r="ACA14" s="57"/>
      <c r="ACB14" s="56"/>
      <c r="ACC14" s="57"/>
      <c r="ACD14" s="58"/>
      <c r="ACE14" s="56"/>
      <c r="ACF14" s="57"/>
      <c r="ACG14" s="57"/>
      <c r="ACH14" s="57"/>
      <c r="ACI14" s="56"/>
      <c r="ACJ14" s="57"/>
      <c r="ACK14" s="57"/>
      <c r="ACL14" s="56"/>
      <c r="ACM14" s="57"/>
      <c r="ACN14" s="58"/>
      <c r="ACO14" s="56"/>
      <c r="ACP14" s="57"/>
      <c r="ACQ14" s="57"/>
      <c r="ACR14" s="57"/>
      <c r="ACS14" s="56"/>
      <c r="ACT14" s="57"/>
      <c r="ACU14" s="57"/>
      <c r="ACV14" s="56"/>
      <c r="ACW14" s="57"/>
      <c r="ACX14" s="58"/>
      <c r="ACY14" s="56"/>
      <c r="ACZ14" s="57"/>
      <c r="ADA14" s="57"/>
      <c r="ADB14" s="57"/>
      <c r="ADC14" s="56"/>
      <c r="ADD14" s="57"/>
      <c r="ADE14" s="57"/>
      <c r="ADF14" s="56"/>
      <c r="ADG14" s="57"/>
      <c r="ADH14" s="58"/>
      <c r="ADI14" s="56"/>
      <c r="ADJ14" s="57"/>
      <c r="ADK14" s="57"/>
      <c r="ADL14" s="57"/>
      <c r="ADM14" s="56"/>
      <c r="ADN14" s="57"/>
      <c r="ADO14" s="57"/>
      <c r="ADP14" s="56"/>
      <c r="ADQ14" s="57"/>
      <c r="ADR14" s="58"/>
      <c r="ADS14" s="56"/>
      <c r="ADT14" s="57"/>
      <c r="ADU14" s="57"/>
      <c r="ADV14" s="57"/>
      <c r="ADW14" s="56"/>
      <c r="ADX14" s="57"/>
      <c r="ADY14" s="57"/>
      <c r="ADZ14" s="56"/>
      <c r="AEA14" s="57"/>
      <c r="AEB14" s="58"/>
      <c r="AEC14" s="56"/>
      <c r="AED14" s="57"/>
      <c r="AEE14" s="57"/>
      <c r="AEF14" s="57"/>
      <c r="AEG14" s="56"/>
      <c r="AEH14" s="57"/>
      <c r="AEI14" s="57"/>
      <c r="AEJ14" s="56"/>
      <c r="AEK14" s="57"/>
      <c r="AEL14" s="58"/>
      <c r="AEM14" s="56"/>
      <c r="AEN14" s="57"/>
      <c r="AEO14" s="57"/>
      <c r="AEP14" s="57"/>
      <c r="AEQ14" s="56"/>
      <c r="AER14" s="57"/>
      <c r="AES14" s="57"/>
      <c r="AET14" s="56"/>
      <c r="AEU14" s="57"/>
      <c r="AEV14" s="58"/>
      <c r="AEW14" s="56"/>
      <c r="AEX14" s="57"/>
      <c r="AEY14" s="57"/>
      <c r="AEZ14" s="57"/>
      <c r="AFA14" s="56"/>
      <c r="AFB14" s="57"/>
      <c r="AFC14" s="57"/>
      <c r="AFD14" s="56"/>
      <c r="AFE14" s="57"/>
      <c r="AFF14" s="58"/>
      <c r="AFG14" s="56"/>
      <c r="AFH14" s="57"/>
      <c r="AFI14" s="57"/>
      <c r="AFJ14" s="57"/>
      <c r="AFK14" s="56"/>
      <c r="AFL14" s="57"/>
      <c r="AFM14" s="57"/>
      <c r="AFN14" s="56"/>
      <c r="AFO14" s="57"/>
      <c r="AFP14" s="58"/>
      <c r="AFQ14" s="56"/>
      <c r="AFR14" s="57"/>
      <c r="AFS14" s="57"/>
      <c r="AFT14" s="57"/>
      <c r="AFU14" s="56"/>
      <c r="AFV14" s="57"/>
      <c r="AFW14" s="57"/>
      <c r="AFX14" s="56"/>
      <c r="AFY14" s="57"/>
      <c r="AFZ14" s="58"/>
      <c r="AGA14" s="56"/>
      <c r="AGB14" s="57"/>
      <c r="AGC14" s="57"/>
      <c r="AGD14" s="57"/>
      <c r="AGE14" s="56"/>
      <c r="AGF14" s="57"/>
      <c r="AGG14" s="57"/>
      <c r="AGH14" s="56"/>
      <c r="AGI14" s="57"/>
      <c r="AGJ14" s="58"/>
      <c r="AGK14" s="56"/>
      <c r="AGL14" s="57"/>
      <c r="AGM14" s="57"/>
      <c r="AGN14" s="57"/>
      <c r="AGO14" s="56"/>
      <c r="AGP14" s="57"/>
      <c r="AGQ14" s="57"/>
      <c r="AGR14" s="56"/>
      <c r="AGS14" s="57"/>
      <c r="AGT14" s="58"/>
      <c r="AGU14" s="56"/>
      <c r="AGV14" s="57"/>
      <c r="AGW14" s="57"/>
      <c r="AGX14" s="57"/>
      <c r="AGY14" s="56"/>
      <c r="AGZ14" s="57"/>
      <c r="AHA14" s="57"/>
      <c r="AHB14" s="56"/>
      <c r="AHC14" s="57"/>
      <c r="AHD14" s="58"/>
      <c r="AHE14" s="56"/>
      <c r="AHF14" s="57"/>
      <c r="AHG14" s="57"/>
      <c r="AHH14" s="57"/>
      <c r="AHI14" s="56"/>
      <c r="AHJ14" s="57"/>
      <c r="AHK14" s="57"/>
      <c r="AHL14" s="56"/>
      <c r="AHM14" s="57"/>
      <c r="AHN14" s="58"/>
      <c r="AHO14" s="56"/>
      <c r="AHP14" s="57"/>
      <c r="AHQ14" s="57"/>
      <c r="AHR14" s="57"/>
      <c r="AHS14" s="56"/>
      <c r="AHT14" s="57"/>
      <c r="AHU14" s="57"/>
      <c r="AHV14" s="56"/>
      <c r="AHW14" s="57"/>
      <c r="AHX14" s="58"/>
      <c r="AHY14" s="56"/>
      <c r="AHZ14" s="57"/>
      <c r="AIA14" s="57"/>
      <c r="AIB14" s="57"/>
      <c r="AIC14" s="56"/>
      <c r="AID14" s="57"/>
      <c r="AIE14" s="57"/>
      <c r="AIF14" s="56"/>
      <c r="AIG14" s="57"/>
      <c r="AIH14" s="58"/>
      <c r="AII14" s="56"/>
      <c r="AIJ14" s="57"/>
      <c r="AIK14" s="57"/>
      <c r="AIL14" s="57"/>
      <c r="AIM14" s="56"/>
      <c r="AIN14" s="57"/>
      <c r="AIO14" s="57"/>
      <c r="AIP14" s="56"/>
      <c r="AIQ14" s="57"/>
      <c r="AIR14" s="58"/>
      <c r="AIS14" s="56"/>
      <c r="AIT14" s="57"/>
      <c r="AIU14" s="57"/>
      <c r="AIV14" s="57"/>
      <c r="AIW14" s="56"/>
      <c r="AIX14" s="57"/>
      <c r="AIY14" s="57"/>
      <c r="AIZ14" s="56"/>
      <c r="AJA14" s="57"/>
      <c r="AJB14" s="58"/>
      <c r="AJC14" s="56"/>
      <c r="AJD14" s="57"/>
      <c r="AJE14" s="57"/>
      <c r="AJF14" s="57"/>
      <c r="AJG14" s="56"/>
      <c r="AJH14" s="57"/>
      <c r="AJI14" s="57"/>
      <c r="AJJ14" s="56"/>
      <c r="AJK14" s="57"/>
      <c r="AJL14" s="58"/>
      <c r="AJM14" s="56"/>
      <c r="AJN14" s="57"/>
      <c r="AJO14" s="57"/>
      <c r="AJP14" s="57"/>
      <c r="AJQ14" s="56"/>
      <c r="AJR14" s="57"/>
      <c r="AJS14" s="57"/>
      <c r="AJT14" s="56"/>
      <c r="AJU14" s="57"/>
      <c r="AJV14" s="58"/>
      <c r="AJW14" s="56"/>
      <c r="AJX14" s="57"/>
      <c r="AJY14" s="57"/>
      <c r="AJZ14" s="57"/>
      <c r="AKA14" s="56"/>
      <c r="AKB14" s="57"/>
      <c r="AKC14" s="57"/>
      <c r="AKD14" s="56"/>
      <c r="AKE14" s="57"/>
      <c r="AKF14" s="58"/>
      <c r="AKG14" s="56"/>
      <c r="AKH14" s="57"/>
      <c r="AKI14" s="57"/>
      <c r="AKJ14" s="57"/>
      <c r="AKK14" s="56"/>
      <c r="AKL14" s="57"/>
      <c r="AKM14" s="57"/>
      <c r="AKN14" s="56"/>
      <c r="AKO14" s="57"/>
      <c r="AKP14" s="58"/>
      <c r="AKQ14" s="56"/>
      <c r="AKR14" s="57"/>
      <c r="AKS14" s="57"/>
      <c r="AKT14" s="57"/>
      <c r="AKU14" s="56"/>
      <c r="AKV14" s="57"/>
      <c r="AKW14" s="57"/>
      <c r="AKX14" s="56"/>
      <c r="AKY14" s="57"/>
      <c r="AKZ14" s="58"/>
      <c r="ALA14" s="56"/>
      <c r="ALB14" s="57"/>
      <c r="ALC14" s="57"/>
      <c r="ALD14" s="57"/>
      <c r="ALE14" s="56"/>
      <c r="ALF14" s="57"/>
      <c r="ALG14" s="57"/>
      <c r="ALH14" s="57"/>
      <c r="ALI14" s="57"/>
      <c r="ALJ14" s="57"/>
      <c r="ALK14" s="56"/>
      <c r="ALL14" s="57"/>
      <c r="ALM14" s="57"/>
      <c r="ALN14" s="56"/>
      <c r="ALO14" s="57"/>
      <c r="ALP14" s="58"/>
      <c r="ALQ14" s="56"/>
      <c r="ALR14" s="57"/>
      <c r="ALS14" s="57"/>
      <c r="ALT14" s="57"/>
      <c r="ALU14" s="56"/>
      <c r="ALV14" s="57"/>
      <c r="ALW14" s="57"/>
      <c r="ALX14" s="56"/>
      <c r="ALY14" s="57"/>
      <c r="ALZ14" s="58"/>
      <c r="AMA14" s="56"/>
      <c r="AMB14" s="57"/>
      <c r="AMC14" s="57"/>
      <c r="AMD14" s="57"/>
      <c r="AME14" s="56"/>
      <c r="AMF14" s="57"/>
      <c r="AMG14" s="57"/>
      <c r="AMH14" s="57"/>
      <c r="AMI14" s="57"/>
      <c r="AMJ14" s="57"/>
      <c r="AMK14" s="56"/>
      <c r="AML14" s="57"/>
      <c r="AMM14" s="57"/>
      <c r="AMN14" s="56"/>
      <c r="AMO14" s="57"/>
      <c r="AMP14" s="58"/>
      <c r="AMQ14" s="56"/>
      <c r="AMR14" s="57"/>
      <c r="AMS14" s="57"/>
      <c r="AMT14" s="57"/>
      <c r="AMU14" s="56"/>
      <c r="AMV14" s="57"/>
      <c r="AMW14" s="57"/>
      <c r="AMX14" s="56"/>
      <c r="AMY14" s="57"/>
      <c r="AMZ14" s="58"/>
      <c r="ANA14" s="56"/>
      <c r="ANB14" s="57"/>
      <c r="ANC14" s="57"/>
      <c r="AND14" s="57"/>
      <c r="ANE14" s="56"/>
      <c r="ANF14" s="57"/>
      <c r="ANG14" s="57"/>
      <c r="ANH14" s="57"/>
      <c r="ANI14" s="57"/>
      <c r="ANJ14" s="57"/>
      <c r="ANK14" s="56"/>
      <c r="ANL14" s="57"/>
      <c r="ANM14" s="57"/>
      <c r="ANN14" s="56"/>
      <c r="ANO14" s="57"/>
      <c r="ANP14" s="58"/>
      <c r="ANQ14" s="56"/>
      <c r="ANR14" s="57"/>
      <c r="ANS14" s="57"/>
      <c r="ANT14" s="57"/>
      <c r="ANU14" s="56"/>
      <c r="ANV14" s="57"/>
      <c r="ANW14" s="57"/>
      <c r="ANX14" s="56"/>
      <c r="ANY14" s="57"/>
      <c r="ANZ14" s="58"/>
      <c r="AOA14" s="56"/>
      <c r="AOB14" s="57"/>
      <c r="AOC14" s="57"/>
      <c r="AOD14" s="57"/>
      <c r="AOE14" s="56"/>
      <c r="AOF14" s="57"/>
      <c r="AOG14" s="57"/>
      <c r="AOH14" s="57"/>
      <c r="AOI14" s="57"/>
      <c r="AOJ14" s="57"/>
      <c r="AOK14" s="56"/>
      <c r="AOL14" s="57"/>
      <c r="AOM14" s="57"/>
      <c r="AON14" s="56"/>
      <c r="AOO14" s="57"/>
      <c r="AOP14" s="58"/>
      <c r="AOQ14" s="56"/>
      <c r="AOR14" s="57"/>
      <c r="AOS14" s="57"/>
      <c r="AOT14" s="57"/>
      <c r="AOU14" s="56"/>
      <c r="AOV14" s="57"/>
      <c r="AOW14" s="57"/>
      <c r="AOX14" s="56"/>
      <c r="AOY14" s="57"/>
      <c r="AOZ14" s="58"/>
      <c r="APA14" s="56"/>
      <c r="APB14" s="57"/>
      <c r="APC14" s="57"/>
      <c r="APD14" s="57"/>
      <c r="APE14" s="56"/>
      <c r="APF14" s="57"/>
      <c r="APG14" s="57"/>
      <c r="APH14" s="57"/>
      <c r="API14" s="57"/>
      <c r="APJ14" s="57"/>
      <c r="APK14" s="56"/>
      <c r="APL14" s="57"/>
      <c r="APM14" s="57"/>
      <c r="APN14" s="56"/>
      <c r="APO14" s="57"/>
      <c r="APP14" s="58"/>
      <c r="APQ14" s="56"/>
      <c r="APR14" s="57"/>
      <c r="APS14" s="57"/>
      <c r="APT14" s="57"/>
      <c r="APU14" s="56"/>
      <c r="APV14" s="57"/>
      <c r="APW14" s="57"/>
      <c r="APX14" s="56"/>
      <c r="APY14" s="57"/>
      <c r="APZ14" s="58"/>
      <c r="AQA14" s="56"/>
      <c r="AQB14" s="57"/>
      <c r="AQC14" s="57"/>
      <c r="AQD14" s="57"/>
      <c r="AQE14" s="56"/>
      <c r="AQF14" s="57"/>
      <c r="AQG14" s="57"/>
      <c r="AQH14" s="57"/>
      <c r="AQI14" s="57"/>
      <c r="AQJ14" s="57"/>
      <c r="AQK14" s="56"/>
      <c r="AQL14" s="57"/>
      <c r="AQM14" s="57"/>
      <c r="AQN14" s="56"/>
      <c r="AQO14" s="57"/>
      <c r="AQP14" s="58"/>
      <c r="AQQ14" s="56"/>
      <c r="AQR14" s="57"/>
      <c r="AQS14" s="57"/>
      <c r="AQT14" s="57"/>
      <c r="AQU14" s="56"/>
      <c r="AQV14" s="57"/>
      <c r="AQW14" s="57"/>
      <c r="AQX14" s="56"/>
      <c r="AQY14" s="57"/>
      <c r="AQZ14" s="58"/>
      <c r="ARA14" s="56"/>
      <c r="ARB14" s="57"/>
      <c r="ARC14" s="57"/>
      <c r="ARD14" s="57"/>
      <c r="ARE14" s="56"/>
      <c r="ARF14" s="57"/>
      <c r="ARG14" s="57"/>
      <c r="ARH14" s="57"/>
      <c r="ARI14" s="57"/>
      <c r="ARJ14" s="57"/>
      <c r="ARK14" s="56"/>
      <c r="ARL14" s="57"/>
      <c r="ARM14" s="57"/>
      <c r="ARN14" s="56"/>
      <c r="ARO14" s="57"/>
      <c r="ARP14" s="58"/>
      <c r="ARQ14" s="56"/>
      <c r="ARR14" s="57"/>
      <c r="ARS14" s="57"/>
      <c r="ART14" s="57"/>
      <c r="ARU14" s="56"/>
      <c r="ARV14" s="57"/>
      <c r="ARW14" s="57"/>
      <c r="ARX14" s="56"/>
      <c r="ARY14" s="57"/>
      <c r="ARZ14" s="58"/>
      <c r="ASA14" s="56"/>
      <c r="ASB14" s="57"/>
      <c r="ASC14" s="57"/>
      <c r="ASD14" s="57"/>
      <c r="ASE14" s="56"/>
      <c r="ASF14" s="57"/>
      <c r="ASG14" s="57"/>
      <c r="ASH14" s="57"/>
      <c r="ASI14" s="57"/>
      <c r="ASJ14" s="57"/>
      <c r="ASK14" s="56"/>
      <c r="ASL14" s="57"/>
      <c r="ASM14" s="57"/>
      <c r="ASN14" s="56"/>
      <c r="ASO14" s="57"/>
      <c r="ASP14" s="58"/>
      <c r="ASQ14" s="56"/>
      <c r="ASR14" s="57"/>
      <c r="ASS14" s="57"/>
      <c r="AST14" s="57"/>
      <c r="ASU14" s="56"/>
      <c r="ASV14" s="57"/>
      <c r="ASW14" s="57"/>
      <c r="ASX14" s="56"/>
      <c r="ASY14" s="57"/>
      <c r="ASZ14" s="58"/>
      <c r="ATA14" s="56"/>
      <c r="ATB14" s="57"/>
      <c r="ATC14" s="57"/>
      <c r="ATD14" s="57"/>
      <c r="ATE14" s="56"/>
      <c r="ATF14" s="57"/>
      <c r="ATG14" s="57"/>
      <c r="ATH14" s="57"/>
      <c r="ATI14" s="57"/>
      <c r="ATJ14" s="57"/>
      <c r="ATK14" s="56"/>
      <c r="ATL14" s="57"/>
      <c r="ATM14" s="57"/>
      <c r="ATN14" s="56"/>
      <c r="ATO14" s="57"/>
      <c r="ATP14" s="58"/>
      <c r="ATQ14" s="56"/>
      <c r="ATR14" s="57"/>
      <c r="ATS14" s="57"/>
      <c r="ATT14" s="57"/>
      <c r="ATU14" s="56"/>
      <c r="ATV14" s="57"/>
      <c r="ATW14" s="57"/>
      <c r="ATX14" s="56"/>
      <c r="ATY14" s="57"/>
      <c r="ATZ14" s="58"/>
      <c r="AUA14" s="56"/>
      <c r="AUB14" s="57"/>
      <c r="AUC14" s="57"/>
      <c r="AUD14" s="57"/>
      <c r="AUE14" s="56"/>
      <c r="AUF14" s="57"/>
      <c r="AUG14" s="57"/>
      <c r="AUH14" s="57"/>
      <c r="AUI14" s="57"/>
      <c r="AUJ14" s="57"/>
      <c r="AUK14" s="56"/>
      <c r="AUL14" s="57"/>
      <c r="AUM14" s="57"/>
      <c r="AUN14" s="56"/>
      <c r="AUO14" s="57"/>
      <c r="AUP14" s="58"/>
      <c r="AUQ14" s="56"/>
      <c r="AUR14" s="57"/>
      <c r="AUS14" s="57"/>
      <c r="AUT14" s="57"/>
      <c r="AUU14" s="56"/>
      <c r="AUV14" s="57"/>
      <c r="AUW14" s="57"/>
      <c r="AUX14" s="56"/>
      <c r="AUY14" s="57"/>
      <c r="AUZ14" s="58"/>
      <c r="AVA14" s="56"/>
      <c r="AVB14" s="57"/>
      <c r="AVC14" s="57"/>
      <c r="AVD14" s="57"/>
      <c r="AVE14" s="56"/>
      <c r="AVF14" s="57"/>
      <c r="AVG14" s="57"/>
      <c r="AVH14" s="57"/>
      <c r="AVI14" s="57"/>
      <c r="AVJ14" s="57"/>
      <c r="AVK14" s="56"/>
      <c r="AVL14" s="57"/>
      <c r="AVM14" s="57"/>
      <c r="AVN14" s="56"/>
      <c r="AVO14" s="57"/>
      <c r="AVP14" s="58"/>
      <c r="AVQ14" s="56"/>
      <c r="AVR14" s="57"/>
      <c r="AVS14" s="57"/>
      <c r="AVT14" s="57"/>
      <c r="AVU14" s="56"/>
      <c r="AVV14" s="57"/>
      <c r="AVW14" s="57"/>
      <c r="AVX14" s="56"/>
      <c r="AVY14" s="57"/>
      <c r="AVZ14" s="58"/>
      <c r="AWA14" s="56"/>
      <c r="AWB14" s="57"/>
      <c r="AWC14" s="57"/>
      <c r="AWD14" s="57"/>
      <c r="AWE14" s="56"/>
      <c r="AWF14" s="57"/>
      <c r="AWG14" s="57"/>
      <c r="AWH14" s="57"/>
      <c r="AWI14" s="57"/>
      <c r="AWJ14" s="57"/>
      <c r="AWK14" s="56"/>
      <c r="AWL14" s="57"/>
      <c r="AWM14" s="57"/>
      <c r="AWN14" s="56"/>
      <c r="AWO14" s="57"/>
      <c r="AWP14" s="58"/>
      <c r="AWQ14" s="56"/>
      <c r="AWR14" s="57"/>
      <c r="AWS14" s="57"/>
      <c r="AWT14" s="57"/>
      <c r="AWU14" s="56"/>
      <c r="AWV14" s="57"/>
      <c r="AWW14" s="57"/>
      <c r="AWX14" s="56"/>
      <c r="AWY14" s="57"/>
      <c r="AWZ14" s="58"/>
      <c r="AXA14" s="56"/>
      <c r="AXB14" s="57"/>
      <c r="AXC14" s="57"/>
      <c r="AXD14" s="57"/>
      <c r="AXE14" s="56"/>
      <c r="AXF14" s="57"/>
      <c r="AXG14" s="57"/>
      <c r="AXH14" s="57"/>
      <c r="AXI14" s="57"/>
      <c r="AXJ14" s="57"/>
      <c r="AXK14" s="56"/>
      <c r="AXL14" s="57"/>
      <c r="AXM14" s="57"/>
      <c r="AXN14" s="56"/>
      <c r="AXO14" s="57"/>
      <c r="AXP14" s="58"/>
      <c r="AXQ14" s="56"/>
      <c r="AXR14" s="57"/>
      <c r="AXS14" s="57"/>
      <c r="AXT14" s="57"/>
      <c r="AXU14" s="56"/>
      <c r="AXV14" s="57"/>
      <c r="AXW14" s="57"/>
      <c r="AXX14" s="56"/>
      <c r="AXY14" s="57"/>
      <c r="AXZ14" s="58"/>
      <c r="AYA14" s="56"/>
      <c r="AYB14" s="57"/>
      <c r="AYC14" s="57"/>
      <c r="AYD14" s="57"/>
      <c r="AYE14" s="56"/>
      <c r="AYF14" s="57"/>
      <c r="AYG14" s="57"/>
      <c r="AYH14" s="57"/>
      <c r="AYI14" s="57"/>
      <c r="AYJ14" s="57"/>
      <c r="AYK14" s="56"/>
      <c r="AYL14" s="57"/>
      <c r="AYM14" s="57"/>
      <c r="AYN14" s="56"/>
      <c r="AYO14" s="57"/>
      <c r="AYP14" s="58"/>
      <c r="AYQ14" s="56"/>
      <c r="AYR14" s="57"/>
      <c r="AYS14" s="57"/>
      <c r="AYT14" s="57"/>
      <c r="AYU14" s="56"/>
      <c r="AYV14" s="57"/>
      <c r="AYW14" s="57"/>
      <c r="AYX14" s="56"/>
      <c r="AYY14" s="57"/>
      <c r="AYZ14" s="58"/>
      <c r="AZA14" s="56"/>
      <c r="AZB14" s="57"/>
      <c r="AZC14" s="57"/>
      <c r="AZD14" s="57"/>
      <c r="AZE14" s="56"/>
      <c r="AZF14" s="57"/>
      <c r="AZG14" s="57"/>
      <c r="AZH14" s="57"/>
      <c r="AZI14" s="57"/>
      <c r="AZJ14" s="57"/>
      <c r="AZK14" s="56"/>
      <c r="AZL14" s="57"/>
      <c r="AZM14" s="57"/>
      <c r="AZN14" s="56"/>
      <c r="AZO14" s="57"/>
      <c r="AZP14" s="58"/>
      <c r="AZQ14" s="56"/>
      <c r="AZR14" s="57"/>
      <c r="AZS14" s="57"/>
      <c r="AZT14" s="57"/>
      <c r="AZU14" s="56"/>
      <c r="AZV14" s="57"/>
      <c r="AZW14" s="57"/>
      <c r="AZX14" s="56"/>
      <c r="AZY14" s="57"/>
      <c r="AZZ14" s="58"/>
      <c r="BAA14" s="56"/>
      <c r="BAB14" s="57"/>
      <c r="BAC14" s="57"/>
      <c r="BAD14" s="57"/>
      <c r="BAE14" s="56"/>
      <c r="BAF14" s="57"/>
      <c r="BAG14" s="57"/>
      <c r="BAH14" s="57"/>
      <c r="BAI14" s="57"/>
      <c r="BAJ14" s="57"/>
      <c r="BAK14" s="56"/>
      <c r="BAL14" s="57"/>
      <c r="BAM14" s="57"/>
      <c r="BAN14" s="56"/>
      <c r="BAO14" s="57"/>
      <c r="BAP14" s="58"/>
      <c r="BAQ14" s="56"/>
      <c r="BAR14" s="57"/>
      <c r="BAS14" s="57"/>
      <c r="BAT14" s="57"/>
      <c r="BAU14" s="56"/>
      <c r="BAV14" s="57"/>
      <c r="BAW14" s="57"/>
      <c r="BAX14" s="56"/>
      <c r="BAY14" s="57"/>
      <c r="BAZ14" s="58"/>
      <c r="BBA14" s="56"/>
      <c r="BBB14" s="57"/>
      <c r="BBC14" s="57"/>
      <c r="BBD14" s="57"/>
      <c r="BBE14" s="56"/>
      <c r="BBF14" s="57"/>
      <c r="BBG14" s="57"/>
      <c r="BBH14" s="57"/>
      <c r="BBI14" s="57"/>
      <c r="BBJ14" s="57"/>
      <c r="BBK14" s="56"/>
      <c r="BBL14" s="57"/>
      <c r="BBM14" s="57"/>
      <c r="BBN14" s="56"/>
      <c r="BBO14" s="57"/>
      <c r="BBP14" s="58"/>
      <c r="BBQ14" s="56"/>
      <c r="BBR14" s="57"/>
      <c r="BBS14" s="57"/>
      <c r="BBT14" s="57"/>
      <c r="BBU14" s="56"/>
      <c r="BBV14" s="57"/>
      <c r="BBW14" s="57"/>
      <c r="BBX14" s="56"/>
      <c r="BBY14" s="57"/>
      <c r="BBZ14" s="58"/>
      <c r="BCA14" s="56"/>
      <c r="BCB14" s="57"/>
      <c r="BCC14" s="57"/>
      <c r="BCD14" s="57"/>
      <c r="BCE14" s="56"/>
      <c r="BCF14" s="57"/>
      <c r="BCG14" s="57"/>
      <c r="BCH14" s="57"/>
      <c r="BCI14" s="57"/>
      <c r="BCJ14" s="57"/>
      <c r="BCK14" s="56"/>
      <c r="BCL14" s="57"/>
      <c r="BCM14" s="57"/>
      <c r="BCN14" s="56"/>
      <c r="BCO14" s="57"/>
      <c r="BCP14" s="58"/>
      <c r="BCQ14" s="56"/>
      <c r="BCR14" s="57"/>
      <c r="BCS14" s="57"/>
      <c r="BCT14" s="57"/>
      <c r="BCU14" s="56"/>
      <c r="BCV14" s="57"/>
      <c r="BCW14" s="57"/>
      <c r="BCX14" s="56"/>
      <c r="BCY14" s="57"/>
      <c r="BCZ14" s="58"/>
      <c r="BDA14" s="56"/>
      <c r="BDB14" s="57"/>
      <c r="BDC14" s="57"/>
      <c r="BDD14" s="57"/>
      <c r="BDE14" s="56"/>
      <c r="BDF14" s="57"/>
      <c r="BDG14" s="57"/>
      <c r="BDH14" s="57"/>
      <c r="BDI14" s="57"/>
      <c r="BDJ14" s="57"/>
      <c r="BDK14" s="56"/>
      <c r="BDL14" s="57"/>
      <c r="BDM14" s="57"/>
      <c r="BDN14" s="56"/>
      <c r="BDO14" s="57"/>
      <c r="BDP14" s="58"/>
      <c r="BDQ14" s="56"/>
      <c r="BDR14" s="57"/>
      <c r="BDS14" s="57"/>
      <c r="BDT14" s="57"/>
      <c r="BDU14" s="56"/>
      <c r="BDV14" s="57"/>
      <c r="BDW14" s="57"/>
      <c r="BDX14" s="56"/>
      <c r="BDY14" s="57"/>
      <c r="BDZ14" s="58"/>
      <c r="BEA14" s="56"/>
      <c r="BEB14" s="57"/>
      <c r="BEC14" s="57"/>
      <c r="BED14" s="57"/>
      <c r="BEE14" s="56"/>
      <c r="BEF14" s="57"/>
      <c r="BEG14" s="57"/>
      <c r="BEH14" s="57"/>
      <c r="BEI14" s="57"/>
      <c r="BEJ14" s="57"/>
      <c r="BEK14" s="56"/>
      <c r="BEL14" s="57"/>
      <c r="BEM14" s="57"/>
      <c r="BEN14" s="56"/>
      <c r="BEO14" s="57"/>
      <c r="BEP14" s="58"/>
      <c r="BEQ14" s="56"/>
      <c r="BER14" s="57"/>
      <c r="BES14" s="57"/>
      <c r="BET14" s="57"/>
      <c r="BEU14" s="56"/>
      <c r="BEV14" s="57"/>
      <c r="BEW14" s="57"/>
      <c r="BEX14" s="56"/>
      <c r="BEY14" s="57"/>
      <c r="BEZ14" s="58"/>
      <c r="BFA14" s="56"/>
      <c r="BFB14" s="57"/>
      <c r="BFC14" s="57"/>
      <c r="BFD14" s="57"/>
      <c r="BFE14" s="56"/>
      <c r="BFF14" s="57"/>
      <c r="BFG14" s="57"/>
      <c r="BFH14" s="57"/>
      <c r="BFI14" s="57"/>
      <c r="BFJ14" s="57"/>
      <c r="BFK14" s="56"/>
      <c r="BFL14" s="57"/>
      <c r="BFM14" s="57"/>
      <c r="BFN14" s="56"/>
      <c r="BFO14" s="57"/>
      <c r="BFP14" s="58"/>
      <c r="BFQ14" s="56"/>
      <c r="BFR14" s="57"/>
      <c r="BFS14" s="57"/>
      <c r="BFT14" s="57"/>
      <c r="BFU14" s="56"/>
      <c r="BFV14" s="57"/>
      <c r="BFW14" s="57"/>
      <c r="BFX14" s="56"/>
      <c r="BFY14" s="57"/>
      <c r="BFZ14" s="58"/>
      <c r="BGA14" s="56"/>
      <c r="BGB14" s="57"/>
      <c r="BGC14" s="57"/>
      <c r="BGD14" s="57"/>
      <c r="BGE14" s="56"/>
      <c r="BGF14" s="57"/>
      <c r="BGG14" s="57"/>
      <c r="BGH14" s="57"/>
      <c r="BGI14" s="57"/>
      <c r="BGJ14" s="57"/>
      <c r="BGK14" s="56"/>
      <c r="BGL14" s="57"/>
      <c r="BGM14" s="57"/>
      <c r="BGN14" s="56"/>
      <c r="BGO14" s="57"/>
      <c r="BGP14" s="58"/>
      <c r="BGQ14" s="56"/>
      <c r="BGR14" s="57"/>
      <c r="BGS14" s="57"/>
      <c r="BGT14" s="57"/>
      <c r="BGU14" s="56"/>
      <c r="BGV14" s="57"/>
      <c r="BGW14" s="57"/>
      <c r="BGX14" s="56"/>
      <c r="BGY14" s="57"/>
      <c r="BGZ14" s="58"/>
      <c r="BHA14" s="56"/>
      <c r="BHB14" s="57"/>
      <c r="BHC14" s="57"/>
      <c r="BHD14" s="57"/>
      <c r="BHE14" s="56"/>
      <c r="BHF14" s="57"/>
      <c r="BHG14" s="57"/>
      <c r="BHH14" s="57"/>
      <c r="BHI14" s="57"/>
      <c r="BHJ14" s="57"/>
      <c r="BHK14" s="56"/>
      <c r="BHL14" s="57"/>
      <c r="BHM14" s="57"/>
      <c r="BHN14" s="56"/>
      <c r="BHO14" s="57"/>
      <c r="BHP14" s="58"/>
      <c r="BHQ14" s="56"/>
      <c r="BHR14" s="57"/>
      <c r="BHS14" s="57"/>
      <c r="BHT14" s="57"/>
      <c r="BHU14" s="56"/>
      <c r="BHV14" s="57"/>
      <c r="BHW14" s="57"/>
      <c r="BHX14" s="56"/>
      <c r="BHY14" s="57"/>
      <c r="BHZ14" s="58"/>
      <c r="BIA14" s="56"/>
      <c r="BIB14" s="57"/>
      <c r="BIC14" s="57"/>
      <c r="BID14" s="57"/>
      <c r="BIE14" s="56"/>
      <c r="BIF14" s="57"/>
      <c r="BIG14" s="57"/>
      <c r="BIH14" s="57"/>
      <c r="BII14" s="57"/>
      <c r="BIJ14" s="57"/>
      <c r="BIK14" s="56"/>
      <c r="BIL14" s="57"/>
      <c r="BIM14" s="57"/>
      <c r="BIN14" s="56"/>
      <c r="BIO14" s="57"/>
      <c r="BIP14" s="58"/>
      <c r="BIQ14" s="56"/>
      <c r="BIR14" s="57"/>
      <c r="BIS14" s="57"/>
      <c r="BIT14" s="57"/>
      <c r="BIU14" s="56"/>
      <c r="BIV14" s="57"/>
      <c r="BIW14" s="57"/>
      <c r="BIX14" s="56"/>
      <c r="BIY14" s="57"/>
      <c r="BIZ14" s="58"/>
      <c r="BJA14" s="56"/>
      <c r="BJB14" s="57"/>
      <c r="BJC14" s="57"/>
      <c r="BJD14" s="57"/>
      <c r="BJE14" s="56"/>
      <c r="BJF14" s="57"/>
      <c r="BJG14" s="57"/>
      <c r="BJH14" s="57"/>
      <c r="BJI14" s="57"/>
      <c r="BJJ14" s="57"/>
      <c r="BJK14" s="56"/>
      <c r="BJL14" s="57"/>
      <c r="BJM14" s="57"/>
      <c r="BJN14" s="56"/>
      <c r="BJO14" s="57"/>
      <c r="BJP14" s="58"/>
      <c r="BJQ14" s="56"/>
      <c r="BJR14" s="57"/>
      <c r="BJS14" s="57"/>
      <c r="BJT14" s="57"/>
      <c r="BJU14" s="56"/>
      <c r="BJV14" s="57"/>
      <c r="BJW14" s="57"/>
      <c r="BJX14" s="56"/>
      <c r="BJY14" s="57"/>
      <c r="BJZ14" s="58"/>
      <c r="BKA14" s="56"/>
      <c r="BKB14" s="57"/>
      <c r="BKC14" s="57"/>
      <c r="BKD14" s="57"/>
      <c r="BKE14" s="56"/>
      <c r="BKF14" s="57"/>
      <c r="BKG14" s="57"/>
      <c r="BKH14" s="57"/>
      <c r="BKI14" s="57"/>
      <c r="BKJ14" s="57"/>
      <c r="BKK14" s="56"/>
      <c r="BKL14" s="57"/>
      <c r="BKM14" s="57"/>
      <c r="BKN14" s="56"/>
      <c r="BKO14" s="57"/>
      <c r="BKP14" s="58"/>
      <c r="BKQ14" s="56"/>
      <c r="BKR14" s="57"/>
      <c r="BKS14" s="57"/>
      <c r="BKT14" s="57"/>
      <c r="BKU14" s="56"/>
      <c r="BKV14" s="57"/>
      <c r="BKW14" s="57"/>
      <c r="BKX14" s="56"/>
      <c r="BKY14" s="57"/>
      <c r="BKZ14" s="58"/>
      <c r="BLA14" s="56"/>
      <c r="BLB14" s="57"/>
      <c r="BLC14" s="57"/>
      <c r="BLD14" s="57"/>
      <c r="BLE14" s="56"/>
      <c r="BLF14" s="57"/>
      <c r="BLG14" s="57"/>
      <c r="BLH14" s="57"/>
      <c r="BLI14" s="57"/>
      <c r="BLJ14" s="57"/>
      <c r="BLK14" s="56"/>
      <c r="BLL14" s="57"/>
      <c r="BLM14" s="57"/>
      <c r="BLN14" s="56"/>
      <c r="BLO14" s="57"/>
      <c r="BLP14" s="58"/>
      <c r="BLQ14" s="56"/>
      <c r="BLR14" s="57"/>
      <c r="BLS14" s="57"/>
      <c r="BLT14" s="57"/>
      <c r="BLU14" s="56"/>
      <c r="BLV14" s="57"/>
      <c r="BLW14" s="57"/>
      <c r="BLX14" s="56"/>
      <c r="BLY14" s="57"/>
      <c r="BLZ14" s="58"/>
      <c r="BMA14" s="56"/>
      <c r="BMB14" s="57"/>
      <c r="BMC14" s="57"/>
      <c r="BMD14" s="57"/>
      <c r="BME14" s="56"/>
      <c r="BMF14" s="57"/>
      <c r="BMG14" s="57"/>
      <c r="BMH14" s="57"/>
      <c r="BMI14" s="57"/>
      <c r="BMJ14" s="57"/>
      <c r="BMK14" s="56"/>
      <c r="BML14" s="57"/>
      <c r="BMM14" s="57"/>
      <c r="BMN14" s="56"/>
      <c r="BMO14" s="57"/>
      <c r="BMP14" s="58"/>
      <c r="BMQ14" s="56"/>
      <c r="BMR14" s="57"/>
      <c r="BMS14" s="57"/>
      <c r="BMT14" s="57"/>
      <c r="BMU14" s="56"/>
      <c r="BMV14" s="57"/>
      <c r="BMW14" s="57"/>
      <c r="BMX14" s="56"/>
      <c r="BMY14" s="57"/>
      <c r="BMZ14" s="58"/>
      <c r="BNA14" s="56"/>
      <c r="BNB14" s="57"/>
      <c r="BNC14" s="57"/>
      <c r="BND14" s="57"/>
      <c r="BNE14" s="56"/>
      <c r="BNF14" s="57"/>
      <c r="BNG14" s="57"/>
      <c r="BNH14" s="57"/>
      <c r="BNI14" s="57"/>
      <c r="BNJ14" s="57"/>
      <c r="BNK14" s="56"/>
      <c r="BNL14" s="57"/>
      <c r="BNM14" s="57"/>
      <c r="BNN14" s="56"/>
      <c r="BNO14" s="57"/>
      <c r="BNP14" s="58"/>
      <c r="BNQ14" s="56"/>
      <c r="BNR14" s="57"/>
      <c r="BNS14" s="57"/>
      <c r="BNT14" s="57"/>
      <c r="BNU14" s="56"/>
      <c r="BNV14" s="57"/>
      <c r="BNW14" s="57"/>
      <c r="BNX14" s="56"/>
      <c r="BNY14" s="57"/>
      <c r="BNZ14" s="58"/>
      <c r="BOA14" s="56"/>
      <c r="BOB14" s="57"/>
      <c r="BOC14" s="57"/>
      <c r="BOD14" s="57"/>
      <c r="BOE14" s="56"/>
      <c r="BOF14" s="57"/>
      <c r="BOG14" s="57"/>
      <c r="BOH14" s="57"/>
      <c r="BOI14" s="57"/>
      <c r="BOJ14" s="57"/>
      <c r="BOK14" s="56"/>
      <c r="BOL14" s="57"/>
      <c r="BOM14" s="57"/>
      <c r="BON14" s="56"/>
      <c r="BOO14" s="57"/>
      <c r="BOP14" s="58"/>
      <c r="BOQ14" s="56"/>
      <c r="BOR14" s="57"/>
      <c r="BOS14" s="57"/>
      <c r="BOT14" s="57"/>
      <c r="BOU14" s="56"/>
      <c r="BOV14" s="57"/>
      <c r="BOW14" s="57"/>
      <c r="BOX14" s="56"/>
      <c r="BOY14" s="57"/>
      <c r="BOZ14" s="58"/>
      <c r="BPA14" s="56"/>
      <c r="BPB14" s="57"/>
      <c r="BPC14" s="57"/>
      <c r="BPD14" s="57"/>
      <c r="BPE14" s="56"/>
      <c r="BPF14" s="57"/>
      <c r="BPG14" s="57"/>
      <c r="BPH14" s="57"/>
      <c r="BPI14" s="57"/>
      <c r="BPJ14" s="57"/>
      <c r="BPK14" s="56"/>
      <c r="BPL14" s="57"/>
      <c r="BPM14" s="57"/>
      <c r="BPN14" s="56"/>
      <c r="BPO14" s="57"/>
      <c r="BPP14" s="58"/>
      <c r="BPQ14" s="56"/>
      <c r="BPR14" s="57"/>
      <c r="BPS14" s="57"/>
      <c r="BPT14" s="57"/>
      <c r="BPU14" s="56"/>
      <c r="BPV14" s="57"/>
      <c r="BPW14" s="57"/>
      <c r="BPX14" s="56"/>
      <c r="BPY14" s="57"/>
      <c r="BPZ14" s="58"/>
      <c r="BQA14" s="56"/>
      <c r="BQB14" s="57"/>
      <c r="BQC14" s="57"/>
      <c r="BQD14" s="57"/>
      <c r="BQE14" s="56"/>
      <c r="BQF14" s="57"/>
      <c r="BQG14" s="57"/>
      <c r="BQH14" s="57"/>
      <c r="BQI14" s="57"/>
      <c r="BQJ14" s="57"/>
      <c r="BQK14" s="56"/>
      <c r="BQL14" s="57"/>
      <c r="BQM14" s="57"/>
      <c r="BQN14" s="56"/>
      <c r="BQO14" s="57"/>
      <c r="BQP14" s="58"/>
      <c r="BQQ14" s="56"/>
      <c r="BQR14" s="57"/>
      <c r="BQS14" s="57"/>
      <c r="BQT14" s="57"/>
      <c r="BQU14" s="56"/>
      <c r="BQV14" s="57"/>
      <c r="BQW14" s="57"/>
      <c r="BQX14" s="56"/>
      <c r="BQY14" s="57"/>
      <c r="BQZ14" s="58"/>
      <c r="BRA14" s="56"/>
      <c r="BRB14" s="57"/>
      <c r="BRC14" s="57"/>
      <c r="BRD14" s="57"/>
      <c r="BRE14" s="56"/>
      <c r="BRF14" s="57"/>
      <c r="BRG14" s="57"/>
      <c r="BRH14" s="57"/>
      <c r="BRI14" s="57"/>
      <c r="BRJ14" s="57"/>
      <c r="BRK14" s="56"/>
      <c r="BRL14" s="57"/>
      <c r="BRM14" s="57"/>
      <c r="BRN14" s="56"/>
      <c r="BRO14" s="57"/>
      <c r="BRP14" s="58"/>
      <c r="BRQ14" s="56"/>
      <c r="BRR14" s="57"/>
      <c r="BRS14" s="57"/>
      <c r="BRT14" s="57"/>
      <c r="BRU14" s="56"/>
      <c r="BRV14" s="57"/>
      <c r="BRW14" s="57"/>
      <c r="BRX14" s="56"/>
      <c r="BRY14" s="57"/>
      <c r="BRZ14" s="58"/>
      <c r="BSA14" s="56"/>
      <c r="BSB14" s="57"/>
      <c r="BSC14" s="57"/>
      <c r="BSD14" s="57"/>
      <c r="BSE14" s="56"/>
      <c r="BSF14" s="57"/>
      <c r="BSG14" s="57"/>
      <c r="BSH14" s="57"/>
      <c r="BSI14" s="57"/>
      <c r="BSJ14" s="57"/>
      <c r="BSK14" s="56"/>
      <c r="BSL14" s="57"/>
      <c r="BSM14" s="57"/>
      <c r="BSN14" s="56"/>
      <c r="BSO14" s="57"/>
      <c r="BSP14" s="58"/>
      <c r="BSQ14" s="56"/>
      <c r="BSR14" s="57"/>
      <c r="BSS14" s="57"/>
      <c r="BST14" s="57"/>
      <c r="BSU14" s="56"/>
      <c r="BSV14" s="57"/>
      <c r="BSW14" s="57"/>
      <c r="BSX14" s="56"/>
      <c r="BSY14" s="57"/>
      <c r="BSZ14" s="58"/>
      <c r="BTA14" s="56"/>
      <c r="BTB14" s="57"/>
      <c r="BTC14" s="57"/>
      <c r="BTD14" s="57"/>
      <c r="BTE14" s="56"/>
      <c r="BTF14" s="57"/>
      <c r="BTG14" s="57"/>
      <c r="BTH14" s="57"/>
      <c r="BTI14" s="57"/>
      <c r="BTJ14" s="57"/>
      <c r="BTK14" s="56"/>
      <c r="BTL14" s="57"/>
      <c r="BTM14" s="57"/>
      <c r="BTN14" s="56"/>
      <c r="BTO14" s="57"/>
      <c r="BTP14" s="58"/>
      <c r="BTQ14" s="56"/>
      <c r="BTR14" s="57"/>
      <c r="BTS14" s="57"/>
      <c r="BTT14" s="57"/>
      <c r="BTU14" s="56"/>
      <c r="BTV14" s="57"/>
      <c r="BTW14" s="57"/>
      <c r="BTX14" s="56"/>
      <c r="BTY14" s="57"/>
      <c r="BTZ14" s="58"/>
      <c r="BUA14" s="56"/>
      <c r="BUB14" s="57"/>
      <c r="BUC14" s="57"/>
      <c r="BUD14" s="57"/>
      <c r="BUE14" s="56"/>
      <c r="BUF14" s="57"/>
      <c r="BUG14" s="57"/>
      <c r="BUH14" s="57"/>
      <c r="BUI14" s="57"/>
      <c r="BUJ14" s="57"/>
      <c r="BUK14" s="56"/>
      <c r="BUL14" s="57"/>
      <c r="BUM14" s="57"/>
      <c r="BUN14" s="56"/>
      <c r="BUO14" s="57"/>
      <c r="BUP14" s="58"/>
      <c r="BUQ14" s="56"/>
      <c r="BUR14" s="57"/>
      <c r="BUS14" s="57"/>
      <c r="BUT14" s="57"/>
      <c r="BUU14" s="56"/>
      <c r="BUV14" s="57"/>
      <c r="BUW14" s="57"/>
      <c r="BUX14" s="56"/>
      <c r="BUY14" s="57"/>
      <c r="BUZ14" s="58"/>
      <c r="BVA14" s="56"/>
      <c r="BVB14" s="57"/>
      <c r="BVC14" s="57"/>
      <c r="BVD14" s="57"/>
      <c r="BVE14" s="56"/>
      <c r="BVF14" s="57"/>
      <c r="BVG14" s="57"/>
      <c r="BVH14" s="57"/>
      <c r="BVI14" s="57"/>
      <c r="BVJ14" s="57"/>
      <c r="BVK14" s="56"/>
      <c r="BVL14" s="57"/>
      <c r="BVM14" s="57"/>
      <c r="BVN14" s="56"/>
      <c r="BVO14" s="57"/>
      <c r="BVP14" s="58"/>
      <c r="BVQ14" s="56"/>
      <c r="BVR14" s="57"/>
      <c r="BVS14" s="57"/>
      <c r="BVT14" s="57"/>
      <c r="BVU14" s="56"/>
      <c r="BVV14" s="57"/>
      <c r="BVW14" s="57"/>
      <c r="BVX14" s="56"/>
      <c r="BVY14" s="57"/>
      <c r="BVZ14" s="58"/>
      <c r="BWA14" s="56"/>
      <c r="BWB14" s="57"/>
      <c r="BWC14" s="57"/>
      <c r="BWD14" s="57"/>
      <c r="BWE14" s="56"/>
      <c r="BWF14" s="57"/>
      <c r="BWG14" s="57"/>
      <c r="BWH14" s="57"/>
      <c r="BWI14" s="57"/>
      <c r="BWJ14" s="57"/>
      <c r="BWK14" s="56"/>
      <c r="BWL14" s="57"/>
      <c r="BWM14" s="57"/>
      <c r="BWN14" s="56"/>
      <c r="BWO14" s="57"/>
      <c r="BWP14" s="58"/>
      <c r="BWQ14" s="56"/>
      <c r="BWR14" s="57"/>
      <c r="BWS14" s="57"/>
      <c r="BWT14" s="57"/>
      <c r="BWU14" s="56"/>
      <c r="BWV14" s="57"/>
      <c r="BWW14" s="57"/>
      <c r="BWX14" s="56"/>
      <c r="BWY14" s="57"/>
      <c r="BWZ14" s="58"/>
      <c r="BXA14" s="56"/>
      <c r="BXB14" s="57"/>
      <c r="BXC14" s="57"/>
      <c r="BXD14" s="57"/>
      <c r="BXE14" s="56"/>
      <c r="BXF14" s="57"/>
      <c r="BXG14" s="57"/>
      <c r="BXH14" s="57"/>
      <c r="BXI14" s="57"/>
      <c r="BXJ14" s="57"/>
      <c r="BXK14" s="56"/>
      <c r="BXL14" s="57"/>
      <c r="BXM14" s="57"/>
      <c r="BXN14" s="56"/>
      <c r="BXO14" s="57"/>
      <c r="BXP14" s="58"/>
      <c r="BXQ14" s="56"/>
      <c r="BXR14" s="57"/>
      <c r="BXS14" s="57"/>
      <c r="BXT14" s="57"/>
      <c r="BXU14" s="56"/>
      <c r="BXV14" s="57"/>
      <c r="BXW14" s="57"/>
      <c r="BXX14" s="56"/>
      <c r="BXY14" s="57"/>
      <c r="BXZ14" s="58"/>
      <c r="BYA14" s="56"/>
      <c r="BYB14" s="57"/>
      <c r="BYC14" s="57"/>
      <c r="BYD14" s="57"/>
      <c r="BYE14" s="56"/>
      <c r="BYF14" s="57"/>
      <c r="BYG14" s="57"/>
      <c r="BYH14" s="57"/>
      <c r="BYI14" s="57"/>
      <c r="BYJ14" s="57"/>
      <c r="BYK14" s="56"/>
      <c r="BYL14" s="57"/>
      <c r="BYM14" s="57"/>
      <c r="BYN14" s="56"/>
      <c r="BYO14" s="57"/>
      <c r="BYP14" s="58"/>
      <c r="BYQ14" s="56"/>
      <c r="BYR14" s="57"/>
      <c r="BYS14" s="57"/>
      <c r="BYT14" s="57"/>
      <c r="BYU14" s="56"/>
      <c r="BYV14" s="57"/>
      <c r="BYW14" s="57"/>
      <c r="BYX14" s="58"/>
      <c r="BYY14" s="57"/>
      <c r="BYZ14" s="56"/>
      <c r="BZA14" s="57"/>
      <c r="BZB14" s="56"/>
      <c r="BZC14" s="56"/>
      <c r="BZD14" s="56"/>
      <c r="BZE14" s="57"/>
      <c r="BZF14" s="387"/>
      <c r="BZG14" s="57"/>
      <c r="BZH14" s="387"/>
      <c r="BZI14" s="57"/>
      <c r="BZJ14" s="38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8"/>
      <c r="CAQ14" s="56"/>
      <c r="CAR14" s="57"/>
      <c r="CAS14" s="57"/>
      <c r="CAT14" s="57"/>
      <c r="CAU14" s="57"/>
      <c r="CAV14" s="57"/>
      <c r="CAW14" s="56"/>
      <c r="CAX14" s="57"/>
      <c r="CAY14" s="57"/>
      <c r="CAZ14" s="56"/>
      <c r="CBA14" s="57"/>
      <c r="CBB14" s="58"/>
      <c r="CBC14" s="56"/>
      <c r="CBD14" s="57"/>
      <c r="CBE14" s="57"/>
      <c r="CBF14" s="57"/>
      <c r="CBG14" s="56"/>
      <c r="CBH14" s="57"/>
      <c r="CBI14" s="57"/>
      <c r="CBJ14" s="56"/>
      <c r="CBK14" s="57"/>
      <c r="CBL14" s="58"/>
      <c r="CBM14" s="56"/>
      <c r="CBN14" s="57"/>
      <c r="CBO14" s="57"/>
      <c r="CBP14" s="57"/>
      <c r="CBQ14" s="56"/>
      <c r="CBR14" s="57"/>
      <c r="CBS14" s="57"/>
      <c r="CBT14" s="56"/>
      <c r="CBU14" s="57"/>
      <c r="CBV14" s="58"/>
      <c r="CBW14" s="56"/>
      <c r="CBX14" s="57"/>
      <c r="CBY14" s="57"/>
      <c r="CBZ14" s="57"/>
      <c r="CCA14" s="56"/>
      <c r="CCB14" s="57"/>
      <c r="CCC14" s="57"/>
      <c r="CCD14" s="56"/>
      <c r="CCE14" s="57"/>
      <c r="CCF14" s="58"/>
      <c r="CCG14" s="56"/>
      <c r="CCH14" s="58"/>
      <c r="CCI14" s="57"/>
      <c r="CCJ14" s="56"/>
      <c r="CCK14" s="57"/>
      <c r="CCL14" s="56"/>
      <c r="CCM14" s="56"/>
      <c r="CCN14" s="56"/>
      <c r="CCO14" s="57"/>
      <c r="CCP14" s="387"/>
      <c r="CCQ14" s="57"/>
      <c r="CCR14" s="387"/>
      <c r="CCS14" s="57"/>
      <c r="CCT14" s="38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8"/>
      <c r="CEA14" s="56"/>
      <c r="CEB14" s="57"/>
      <c r="CEC14" s="57"/>
      <c r="CED14" s="57"/>
      <c r="CEE14" s="57"/>
      <c r="CEF14" s="57"/>
      <c r="CEG14" s="56"/>
      <c r="CEH14" s="57"/>
      <c r="CEI14" s="57"/>
      <c r="CEJ14" s="56"/>
      <c r="CEK14" s="57"/>
      <c r="CEL14" s="58"/>
      <c r="CEM14" s="56"/>
      <c r="CEN14" s="57"/>
      <c r="CEO14" s="57"/>
      <c r="CEP14" s="57"/>
      <c r="CEQ14" s="56"/>
      <c r="CER14" s="57"/>
      <c r="CES14" s="57"/>
      <c r="CET14" s="56"/>
      <c r="CEU14" s="57"/>
      <c r="CEV14" s="58"/>
      <c r="CEW14" s="56"/>
      <c r="CEX14" s="57"/>
      <c r="CEY14" s="57"/>
      <c r="CEZ14" s="57"/>
      <c r="CFA14" s="56"/>
      <c r="CFB14" s="57"/>
      <c r="CFC14" s="57"/>
      <c r="CFD14" s="56"/>
      <c r="CFE14" s="57"/>
      <c r="CFF14" s="58"/>
      <c r="CFG14" s="56"/>
      <c r="CFH14" s="57"/>
      <c r="CFI14" s="57"/>
      <c r="CFJ14" s="57"/>
      <c r="CFK14" s="56"/>
      <c r="CFL14" s="57"/>
      <c r="CFM14" s="57"/>
      <c r="CFN14" s="56"/>
      <c r="CFO14" s="57"/>
      <c r="CFP14" s="58"/>
      <c r="CFQ14" s="56"/>
      <c r="CFR14" s="58"/>
      <c r="CFS14" s="57"/>
      <c r="CFT14" s="56"/>
      <c r="CFU14" s="57"/>
      <c r="CFV14" s="56"/>
      <c r="CFW14" s="56"/>
      <c r="CFX14" s="56"/>
      <c r="CFY14" s="57"/>
      <c r="CFZ14" s="387"/>
      <c r="CGA14" s="57"/>
      <c r="CGB14" s="387"/>
      <c r="CGC14" s="57"/>
      <c r="CGD14" s="38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8"/>
      <c r="CHK14" s="56"/>
      <c r="CHL14" s="57"/>
      <c r="CHM14" s="57"/>
      <c r="CHN14" s="57"/>
      <c r="CHO14" s="57"/>
      <c r="CHP14" s="57"/>
      <c r="CHQ14" s="56"/>
      <c r="CHR14" s="57"/>
      <c r="CHS14" s="57"/>
      <c r="CHT14" s="56"/>
      <c r="CHU14" s="57"/>
      <c r="CHV14" s="58"/>
      <c r="CHW14" s="56"/>
      <c r="CHX14" s="57"/>
      <c r="CHY14" s="57"/>
      <c r="CHZ14" s="57"/>
      <c r="CIA14" s="56"/>
      <c r="CIB14" s="57"/>
      <c r="CIC14" s="57"/>
      <c r="CID14" s="56"/>
      <c r="CIE14" s="57"/>
      <c r="CIF14" s="58"/>
      <c r="CIG14" s="56"/>
      <c r="CIH14" s="57"/>
      <c r="CII14" s="57"/>
      <c r="CIJ14" s="57"/>
      <c r="CIK14" s="56"/>
      <c r="CIL14" s="57"/>
      <c r="CIM14" s="57"/>
      <c r="CIN14" s="56"/>
      <c r="CIO14" s="57"/>
      <c r="CIP14" s="58"/>
      <c r="CIQ14" s="56"/>
      <c r="CIR14" s="57"/>
      <c r="CIS14" s="57"/>
      <c r="CIT14" s="57"/>
      <c r="CIU14" s="56"/>
      <c r="CIV14" s="57"/>
      <c r="CIW14" s="57"/>
      <c r="CIX14" s="56"/>
      <c r="CIY14" s="57"/>
      <c r="CIZ14" s="58"/>
      <c r="CJA14" s="56"/>
      <c r="CJB14" s="58"/>
      <c r="CJC14" s="57"/>
      <c r="CJD14" s="56"/>
      <c r="CJE14" s="57"/>
      <c r="CJF14" s="56"/>
      <c r="CJG14" s="56"/>
      <c r="CJH14" s="56"/>
      <c r="CJI14" s="57"/>
      <c r="CJJ14" s="387"/>
      <c r="CJK14" s="57"/>
      <c r="CJL14" s="387"/>
      <c r="CJM14" s="57"/>
      <c r="CJN14" s="38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8"/>
      <c r="CKU14" s="56"/>
      <c r="CKV14" s="57"/>
      <c r="CKW14" s="57"/>
      <c r="CKX14" s="57"/>
      <c r="CKY14" s="57"/>
      <c r="CKZ14" s="57"/>
      <c r="CLA14" s="56"/>
      <c r="CLB14" s="57"/>
      <c r="CLC14" s="57"/>
      <c r="CLD14" s="56"/>
      <c r="CLE14" s="57"/>
      <c r="CLF14" s="58"/>
      <c r="CLG14" s="56"/>
      <c r="CLH14" s="57"/>
      <c r="CLI14" s="57"/>
      <c r="CLJ14" s="57"/>
      <c r="CLK14" s="56"/>
      <c r="CLL14" s="57"/>
      <c r="CLM14" s="57"/>
      <c r="CLN14" s="56"/>
      <c r="CLO14" s="57"/>
      <c r="CLP14" s="58"/>
      <c r="CLQ14" s="56"/>
      <c r="CLR14" s="57"/>
      <c r="CLS14" s="57"/>
      <c r="CLT14" s="57"/>
      <c r="CLU14" s="56"/>
      <c r="CLV14" s="57"/>
      <c r="CLW14" s="57"/>
      <c r="CLX14" s="56"/>
      <c r="CLY14" s="57"/>
      <c r="CLZ14" s="58"/>
      <c r="CMA14" s="56"/>
      <c r="CMB14" s="57"/>
      <c r="CMC14" s="57"/>
      <c r="CMD14" s="57"/>
      <c r="CME14" s="56"/>
      <c r="CMF14" s="57"/>
      <c r="CMG14" s="57"/>
      <c r="CMH14" s="56"/>
      <c r="CMI14" s="57"/>
      <c r="CMJ14" s="58"/>
      <c r="CMK14" s="56"/>
      <c r="CML14" s="58"/>
      <c r="CMM14" s="57"/>
      <c r="CMN14" s="56"/>
      <c r="CMO14" s="57"/>
      <c r="CMP14" s="56"/>
      <c r="CMQ14" s="56"/>
      <c r="CMR14" s="56"/>
      <c r="CMS14" s="57"/>
      <c r="CMT14" s="387"/>
      <c r="CMU14" s="57"/>
      <c r="CMV14" s="387"/>
      <c r="CMW14" s="57"/>
      <c r="CMX14" s="38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8"/>
      <c r="COE14" s="56"/>
      <c r="COF14" s="57"/>
      <c r="COG14" s="57"/>
      <c r="COH14" s="57"/>
      <c r="COI14" s="57"/>
      <c r="COJ14" s="57"/>
      <c r="COK14" s="56"/>
      <c r="COL14" s="57"/>
      <c r="COM14" s="57"/>
      <c r="CON14" s="56"/>
      <c r="COO14" s="57"/>
      <c r="COP14" s="58"/>
      <c r="COQ14" s="56"/>
      <c r="COR14" s="57"/>
      <c r="COS14" s="57"/>
      <c r="COT14" s="57"/>
      <c r="COU14" s="56"/>
      <c r="COV14" s="57"/>
      <c r="COW14" s="57"/>
      <c r="COX14" s="56"/>
      <c r="COY14" s="57"/>
      <c r="COZ14" s="58"/>
      <c r="CPA14" s="56"/>
      <c r="CPB14" s="57"/>
      <c r="CPC14" s="57"/>
      <c r="CPD14" s="57"/>
      <c r="CPE14" s="56"/>
      <c r="CPF14" s="57"/>
      <c r="CPG14" s="57"/>
      <c r="CPH14" s="56"/>
      <c r="CPI14" s="57"/>
      <c r="CPJ14" s="58"/>
      <c r="CPK14" s="56"/>
      <c r="CPL14" s="57"/>
      <c r="CPM14" s="57"/>
      <c r="CPN14" s="57"/>
      <c r="CPO14" s="56"/>
      <c r="CPP14" s="57"/>
      <c r="CPQ14" s="57"/>
      <c r="CPR14" s="56"/>
      <c r="CPS14" s="57"/>
      <c r="CPT14" s="58"/>
      <c r="CPU14" s="56"/>
      <c r="CPV14" s="58"/>
      <c r="CPW14" s="57"/>
      <c r="CPX14" s="56"/>
      <c r="CPY14" s="57"/>
      <c r="CPZ14" s="56"/>
      <c r="CQA14" s="56"/>
      <c r="CQB14" s="56"/>
      <c r="CQC14" s="57"/>
      <c r="CQD14" s="387"/>
      <c r="CQE14" s="57"/>
      <c r="CQF14" s="387"/>
      <c r="CQG14" s="57"/>
      <c r="CQH14" s="38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8"/>
      <c r="CRO14" s="56"/>
      <c r="CRP14" s="57"/>
      <c r="CRQ14" s="57"/>
      <c r="CRR14" s="57"/>
      <c r="CRS14" s="57"/>
      <c r="CRT14" s="57"/>
      <c r="CRU14" s="56"/>
      <c r="CRV14" s="57"/>
      <c r="CRW14" s="57"/>
      <c r="CRX14" s="56"/>
      <c r="CRY14" s="57"/>
      <c r="CRZ14" s="58"/>
      <c r="CSA14" s="56"/>
      <c r="CSB14" s="57"/>
      <c r="CSC14" s="57"/>
      <c r="CSD14" s="57"/>
      <c r="CSE14" s="56"/>
      <c r="CSF14" s="57"/>
      <c r="CSG14" s="57"/>
      <c r="CSH14" s="56"/>
      <c r="CSI14" s="57"/>
      <c r="CSJ14" s="58"/>
      <c r="CSK14" s="56"/>
      <c r="CSL14" s="57"/>
      <c r="CSM14" s="57"/>
      <c r="CSN14" s="57"/>
      <c r="CSO14" s="56"/>
      <c r="CSP14" s="57"/>
      <c r="CSQ14" s="57"/>
      <c r="CSR14" s="56"/>
      <c r="CSS14" s="57"/>
      <c r="CST14" s="58"/>
      <c r="CSU14" s="56"/>
      <c r="CSV14" s="57"/>
      <c r="CSW14" s="57"/>
      <c r="CSX14" s="57"/>
      <c r="CSY14" s="56"/>
      <c r="CSZ14" s="57"/>
      <c r="CTA14" s="57"/>
      <c r="CTB14" s="56"/>
      <c r="CTC14" s="57"/>
      <c r="CTD14" s="58"/>
      <c r="CTE14" s="56"/>
      <c r="CTF14" s="58"/>
      <c r="CTG14" s="57"/>
      <c r="CTH14" s="56"/>
      <c r="CTI14" s="57"/>
      <c r="CTJ14" s="56"/>
      <c r="CTK14" s="56"/>
      <c r="CTL14" s="56"/>
      <c r="CTM14" s="57"/>
      <c r="CTN14" s="387"/>
      <c r="CTO14" s="57"/>
      <c r="CTP14" s="387"/>
      <c r="CTQ14" s="57"/>
      <c r="CTR14" s="38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8"/>
      <c r="CUY14" s="56"/>
      <c r="CUZ14" s="57"/>
      <c r="CVA14" s="57"/>
      <c r="CVB14" s="57"/>
      <c r="CVC14" s="57"/>
      <c r="CVD14" s="57"/>
      <c r="CVE14" s="56"/>
      <c r="CVF14" s="57"/>
      <c r="CVG14" s="57"/>
      <c r="CVH14" s="56"/>
      <c r="CVI14" s="57"/>
      <c r="CVJ14" s="58"/>
      <c r="CVK14" s="56"/>
      <c r="CVL14" s="57"/>
      <c r="CVM14" s="57"/>
      <c r="CVN14" s="57"/>
      <c r="CVO14" s="56"/>
      <c r="CVP14" s="57"/>
      <c r="CVQ14" s="57"/>
      <c r="CVR14" s="56"/>
      <c r="CVS14" s="57"/>
      <c r="CVT14" s="58"/>
      <c r="CVU14" s="56"/>
      <c r="CVV14" s="57"/>
      <c r="CVW14" s="57"/>
      <c r="CVX14" s="57"/>
      <c r="CVY14" s="56"/>
      <c r="CVZ14" s="57"/>
      <c r="CWA14" s="57"/>
      <c r="CWB14" s="56"/>
      <c r="CWC14" s="57"/>
      <c r="CWD14" s="58"/>
      <c r="CWE14" s="56"/>
      <c r="CWF14" s="57"/>
      <c r="CWG14" s="57"/>
      <c r="CWH14" s="57"/>
      <c r="CWI14" s="56"/>
      <c r="CWJ14" s="57"/>
      <c r="CWK14" s="57"/>
      <c r="CWL14" s="56"/>
      <c r="CWM14" s="57"/>
      <c r="CWN14" s="58"/>
      <c r="CWO14" s="56"/>
      <c r="CWP14" s="58"/>
      <c r="CWQ14" s="57"/>
      <c r="CWR14" s="56"/>
      <c r="CWS14" s="57"/>
      <c r="CWT14" s="56"/>
      <c r="CWU14" s="56"/>
      <c r="CWV14" s="56"/>
      <c r="CWW14" s="57"/>
      <c r="CWX14" s="387"/>
      <c r="CWY14" s="57"/>
      <c r="CWZ14" s="387"/>
      <c r="CXA14" s="57"/>
      <c r="CXB14" s="38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8"/>
      <c r="CYI14" s="56"/>
      <c r="CYJ14" s="57"/>
      <c r="CYK14" s="57"/>
      <c r="CYL14" s="57"/>
      <c r="CYM14" s="57"/>
      <c r="CYN14" s="57"/>
      <c r="CYO14" s="56"/>
      <c r="CYP14" s="57"/>
      <c r="CYQ14" s="57"/>
      <c r="CYR14" s="56"/>
      <c r="CYS14" s="57"/>
      <c r="CYT14" s="58"/>
      <c r="CYU14" s="56"/>
      <c r="CYV14" s="57"/>
      <c r="CYW14" s="57"/>
      <c r="CYX14" s="57"/>
      <c r="CYY14" s="56"/>
      <c r="CYZ14" s="57"/>
      <c r="CZA14" s="57"/>
      <c r="CZB14" s="56"/>
      <c r="CZC14" s="57"/>
      <c r="CZD14" s="58"/>
      <c r="CZE14" s="56"/>
      <c r="CZF14" s="57"/>
      <c r="CZG14" s="57"/>
      <c r="CZH14" s="57"/>
      <c r="CZI14" s="56"/>
      <c r="CZJ14" s="57"/>
      <c r="CZK14" s="57"/>
      <c r="CZL14" s="56"/>
      <c r="CZM14" s="57"/>
      <c r="CZN14" s="58"/>
      <c r="CZO14" s="56"/>
      <c r="CZP14" s="57"/>
      <c r="CZQ14" s="57"/>
      <c r="CZR14" s="57"/>
      <c r="CZS14" s="56"/>
      <c r="CZT14" s="57"/>
      <c r="CZU14" s="57"/>
      <c r="CZV14" s="56"/>
      <c r="CZW14" s="57"/>
      <c r="CZX14" s="58"/>
      <c r="CZY14" s="56"/>
      <c r="CZZ14" s="58"/>
      <c r="DAA14" s="57"/>
      <c r="DAB14" s="56"/>
      <c r="DAC14" s="57"/>
      <c r="DAD14" s="56"/>
      <c r="DAE14" s="56"/>
      <c r="DAF14" s="56"/>
      <c r="DAG14" s="57"/>
      <c r="DAH14" s="387"/>
      <c r="DAI14" s="57"/>
      <c r="DAJ14" s="387"/>
      <c r="DAK14" s="57"/>
      <c r="DAL14" s="38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8"/>
      <c r="DBS14" s="56"/>
      <c r="DBT14" s="57"/>
      <c r="DBU14" s="57"/>
      <c r="DBV14" s="57"/>
      <c r="DBW14" s="57"/>
      <c r="DBX14" s="57"/>
      <c r="DBY14" s="56"/>
      <c r="DBZ14" s="57"/>
      <c r="DCA14" s="57"/>
      <c r="DCB14" s="56"/>
      <c r="DCC14" s="57"/>
      <c r="DCD14" s="58"/>
      <c r="DCE14" s="56"/>
      <c r="DCF14" s="57"/>
      <c r="DCG14" s="57"/>
      <c r="DCH14" s="57"/>
      <c r="DCI14" s="56"/>
      <c r="DCJ14" s="57"/>
      <c r="DCK14" s="57"/>
      <c r="DCL14" s="56"/>
      <c r="DCM14" s="57"/>
      <c r="DCN14" s="58"/>
      <c r="DCO14" s="56"/>
      <c r="DCP14" s="57"/>
      <c r="DCQ14" s="57"/>
      <c r="DCR14" s="57"/>
      <c r="DCS14" s="56"/>
      <c r="DCT14" s="57"/>
      <c r="DCU14" s="57"/>
      <c r="DCV14" s="56"/>
      <c r="DCW14" s="57"/>
      <c r="DCX14" s="58"/>
      <c r="DCY14" s="56"/>
      <c r="DCZ14" s="57"/>
      <c r="DDA14" s="57"/>
      <c r="DDB14" s="57"/>
      <c r="DDC14" s="56"/>
      <c r="DDD14" s="57"/>
      <c r="DDE14" s="57"/>
      <c r="DDF14" s="56"/>
      <c r="DDG14" s="57"/>
      <c r="DDH14" s="58"/>
      <c r="DDI14" s="56"/>
      <c r="DDJ14" s="58"/>
      <c r="DDK14" s="57"/>
      <c r="DDL14" s="56"/>
      <c r="DDM14" s="57"/>
      <c r="DDN14" s="56"/>
      <c r="DDO14" s="56"/>
      <c r="DDP14" s="56"/>
      <c r="DDQ14" s="57"/>
      <c r="DDR14" s="387"/>
      <c r="DDS14" s="57"/>
      <c r="DDT14" s="387"/>
      <c r="DDU14" s="57"/>
      <c r="DDV14" s="38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8"/>
      <c r="DFC14" s="56"/>
      <c r="DFD14" s="57"/>
      <c r="DFE14" s="57"/>
      <c r="DFF14" s="57"/>
      <c r="DFG14" s="57"/>
      <c r="DFH14" s="57"/>
      <c r="DFI14" s="56"/>
      <c r="DFJ14" s="57"/>
      <c r="DFK14" s="57"/>
      <c r="DFL14" s="56"/>
      <c r="DFM14" s="57"/>
      <c r="DFN14" s="58"/>
      <c r="DFO14" s="56"/>
      <c r="DFP14" s="57"/>
      <c r="DFQ14" s="57"/>
      <c r="DFR14" s="57"/>
      <c r="DFS14" s="56"/>
      <c r="DFT14" s="57"/>
      <c r="DFU14" s="57"/>
      <c r="DFV14" s="56"/>
      <c r="DFW14" s="57"/>
      <c r="DFX14" s="58"/>
      <c r="DFY14" s="56"/>
      <c r="DFZ14" s="57"/>
      <c r="DGA14" s="57"/>
      <c r="DGB14" s="57"/>
      <c r="DGC14" s="56"/>
      <c r="DGD14" s="57"/>
      <c r="DGE14" s="57"/>
      <c r="DGF14" s="56"/>
      <c r="DGG14" s="57"/>
      <c r="DGH14" s="58"/>
      <c r="DGI14" s="56"/>
      <c r="DGJ14" s="57"/>
      <c r="DGK14" s="57"/>
      <c r="DGL14" s="57"/>
      <c r="DGM14" s="56"/>
      <c r="DGN14" s="57"/>
      <c r="DGO14" s="57"/>
      <c r="DGP14" s="56"/>
      <c r="DGQ14" s="57"/>
      <c r="DGR14" s="58"/>
      <c r="DGS14" s="56"/>
      <c r="DGT14" s="58"/>
      <c r="DGU14" s="57"/>
      <c r="DGV14" s="56"/>
      <c r="DGW14" s="57"/>
      <c r="DGX14" s="56"/>
      <c r="DGY14" s="56"/>
      <c r="DGZ14" s="56"/>
      <c r="DHA14" s="57"/>
      <c r="DHB14" s="387"/>
      <c r="DHC14" s="57"/>
      <c r="DHD14" s="387"/>
      <c r="DHE14" s="57"/>
      <c r="DHF14" s="38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8"/>
      <c r="DIM14" s="56"/>
      <c r="DIN14" s="57"/>
      <c r="DIO14" s="57"/>
      <c r="DIP14" s="57"/>
      <c r="DIQ14" s="57"/>
      <c r="DIR14" s="57"/>
      <c r="DIS14" s="56"/>
      <c r="DIT14" s="57"/>
      <c r="DIU14" s="57"/>
      <c r="DIV14" s="56"/>
      <c r="DIW14" s="57"/>
      <c r="DIX14" s="58"/>
      <c r="DIY14" s="56"/>
      <c r="DIZ14" s="57"/>
      <c r="DJA14" s="57"/>
      <c r="DJB14" s="57"/>
      <c r="DJC14" s="56"/>
      <c r="DJD14" s="57"/>
      <c r="DJE14" s="57"/>
      <c r="DJF14" s="56"/>
      <c r="DJG14" s="57"/>
      <c r="DJH14" s="58"/>
      <c r="DJI14" s="56"/>
      <c r="DJJ14" s="57"/>
      <c r="DJK14" s="57"/>
      <c r="DJL14" s="57"/>
      <c r="DJM14" s="56"/>
      <c r="DJN14" s="57"/>
      <c r="DJO14" s="57"/>
      <c r="DJP14" s="56"/>
      <c r="DJQ14" s="57"/>
      <c r="DJR14" s="58"/>
      <c r="DJS14" s="56"/>
      <c r="DJT14" s="57"/>
      <c r="DJU14" s="57"/>
      <c r="DJV14" s="57"/>
      <c r="DJW14" s="56"/>
      <c r="DJX14" s="57"/>
      <c r="DJY14" s="57"/>
      <c r="DJZ14" s="56"/>
      <c r="DKA14" s="57"/>
      <c r="DKB14" s="58"/>
      <c r="DKC14" s="56"/>
      <c r="DKD14" s="58"/>
      <c r="DKE14" s="57"/>
      <c r="DKF14" s="56"/>
      <c r="DKG14" s="57"/>
      <c r="DKH14" s="56"/>
      <c r="DKI14" s="56"/>
      <c r="DKJ14" s="56"/>
      <c r="DKK14" s="57"/>
      <c r="DKL14" s="387"/>
      <c r="DKM14" s="57"/>
      <c r="DKN14" s="387"/>
      <c r="DKO14" s="57"/>
      <c r="DKP14" s="38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8"/>
      <c r="DLW14" s="56"/>
      <c r="DLX14" s="57"/>
      <c r="DLY14" s="57"/>
      <c r="DLZ14" s="57"/>
      <c r="DMA14" s="57"/>
      <c r="DMB14" s="57"/>
      <c r="DMC14" s="56"/>
      <c r="DMD14" s="57"/>
      <c r="DME14" s="57"/>
      <c r="DMF14" s="56"/>
      <c r="DMG14" s="57"/>
      <c r="DMH14" s="58"/>
      <c r="DMI14" s="56"/>
      <c r="DMJ14" s="57"/>
      <c r="DMK14" s="57"/>
      <c r="DML14" s="57"/>
      <c r="DMM14" s="56"/>
      <c r="DMN14" s="57"/>
      <c r="DMO14" s="57"/>
      <c r="DMP14" s="56"/>
      <c r="DMQ14" s="57"/>
      <c r="DMR14" s="58"/>
      <c r="DMS14" s="56"/>
      <c r="DMT14" s="57"/>
      <c r="DMU14" s="57"/>
      <c r="DMV14" s="57"/>
      <c r="DMW14" s="56"/>
      <c r="DMX14" s="57"/>
      <c r="DMY14" s="57"/>
      <c r="DMZ14" s="56"/>
      <c r="DNA14" s="57"/>
      <c r="DNB14" s="58"/>
      <c r="DNC14" s="56"/>
      <c r="DND14" s="57"/>
      <c r="DNE14" s="57"/>
      <c r="DNF14" s="57"/>
      <c r="DNG14" s="56"/>
      <c r="DNH14" s="57"/>
      <c r="DNI14" s="57"/>
      <c r="DNJ14" s="56"/>
      <c r="DNK14" s="57"/>
      <c r="DNL14" s="58"/>
      <c r="DNM14" s="56"/>
      <c r="DNN14" s="58"/>
      <c r="DNO14" s="57"/>
      <c r="DNP14" s="56"/>
      <c r="DNQ14" s="57"/>
      <c r="DNR14" s="56"/>
      <c r="DNS14" s="56"/>
      <c r="DNT14" s="56"/>
      <c r="DNU14" s="57"/>
      <c r="DNV14" s="387"/>
      <c r="DNW14" s="57"/>
      <c r="DNX14" s="387"/>
      <c r="DNY14" s="57"/>
      <c r="DNZ14" s="38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8"/>
      <c r="DPG14" s="56"/>
      <c r="DPH14" s="57"/>
      <c r="DPI14" s="57"/>
      <c r="DPJ14" s="57"/>
      <c r="DPK14" s="57"/>
      <c r="DPL14" s="57"/>
      <c r="DPM14" s="56"/>
      <c r="DPN14" s="57"/>
      <c r="DPO14" s="57"/>
      <c r="DPP14" s="56"/>
      <c r="DPQ14" s="57"/>
      <c r="DPR14" s="58"/>
      <c r="DPS14" s="56"/>
      <c r="DPT14" s="57"/>
      <c r="DPU14" s="57"/>
      <c r="DPV14" s="57"/>
      <c r="DPW14" s="56"/>
      <c r="DPX14" s="57"/>
      <c r="DPY14" s="57"/>
      <c r="DPZ14" s="56"/>
      <c r="DQA14" s="57"/>
      <c r="DQB14" s="58"/>
      <c r="DQC14" s="56"/>
      <c r="DQD14" s="57"/>
      <c r="DQE14" s="57"/>
      <c r="DQF14" s="57"/>
      <c r="DQG14" s="56"/>
      <c r="DQH14" s="57"/>
      <c r="DQI14" s="57"/>
      <c r="DQJ14" s="56"/>
      <c r="DQK14" s="57"/>
      <c r="DQL14" s="58"/>
      <c r="DQM14" s="56"/>
      <c r="DQN14" s="57"/>
      <c r="DQO14" s="57"/>
      <c r="DQP14" s="57"/>
      <c r="DQQ14" s="56"/>
      <c r="DQR14" s="57"/>
      <c r="DQS14" s="57"/>
      <c r="DQT14" s="56"/>
      <c r="DQU14" s="57"/>
      <c r="DQV14" s="58"/>
      <c r="DQW14" s="56"/>
      <c r="DQX14" s="58"/>
      <c r="DQY14" s="57"/>
      <c r="DQZ14" s="56"/>
      <c r="DRA14" s="57"/>
      <c r="DRB14" s="56"/>
      <c r="DRC14" s="56"/>
      <c r="DRD14" s="56"/>
      <c r="DRE14" s="57"/>
      <c r="DRF14" s="387"/>
      <c r="DRG14" s="57"/>
      <c r="DRH14" s="387"/>
      <c r="DRI14" s="57"/>
      <c r="DRJ14" s="38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8"/>
      <c r="DSQ14" s="56"/>
      <c r="DSR14" s="57"/>
      <c r="DSS14" s="57"/>
      <c r="DST14" s="57"/>
      <c r="DSU14" s="57"/>
      <c r="DSV14" s="57"/>
      <c r="DSW14" s="56"/>
      <c r="DSX14" s="57"/>
      <c r="DSY14" s="57"/>
      <c r="DSZ14" s="56"/>
      <c r="DTA14" s="57"/>
      <c r="DTB14" s="58"/>
      <c r="DTC14" s="56"/>
      <c r="DTD14" s="57"/>
      <c r="DTE14" s="57"/>
      <c r="DTF14" s="57"/>
      <c r="DTG14" s="56"/>
      <c r="DTH14" s="57"/>
      <c r="DTI14" s="57"/>
      <c r="DTJ14" s="56"/>
      <c r="DTK14" s="57"/>
      <c r="DTL14" s="58"/>
      <c r="DTM14" s="56"/>
      <c r="DTN14" s="57"/>
      <c r="DTO14" s="57"/>
      <c r="DTP14" s="57"/>
      <c r="DTQ14" s="56"/>
      <c r="DTR14" s="57"/>
      <c r="DTS14" s="57"/>
      <c r="DTT14" s="56"/>
      <c r="DTU14" s="57"/>
      <c r="DTV14" s="58"/>
      <c r="DTW14" s="56"/>
      <c r="DTX14" s="57"/>
      <c r="DTY14" s="57"/>
      <c r="DTZ14" s="57"/>
      <c r="DUA14" s="56"/>
      <c r="DUB14" s="57"/>
      <c r="DUC14" s="57"/>
      <c r="DUD14" s="56"/>
      <c r="DUE14" s="57"/>
      <c r="DUF14" s="58"/>
      <c r="DUG14" s="56"/>
      <c r="DUH14" s="58"/>
      <c r="DUI14" s="57"/>
      <c r="DUJ14" s="56"/>
      <c r="DUK14" s="57"/>
      <c r="DUL14" s="56"/>
      <c r="DUM14" s="56"/>
      <c r="DUN14" s="56"/>
      <c r="DUO14" s="57"/>
      <c r="DUP14" s="387"/>
      <c r="DUQ14" s="57"/>
      <c r="DUR14" s="387"/>
      <c r="DUS14" s="57"/>
      <c r="DUT14" s="38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8"/>
      <c r="DWA14" s="56"/>
      <c r="DWB14" s="57"/>
      <c r="DWC14" s="57"/>
      <c r="DWD14" s="57"/>
      <c r="DWE14" s="57"/>
      <c r="DWF14" s="57"/>
      <c r="DWG14" s="56"/>
      <c r="DWH14" s="57"/>
      <c r="DWI14" s="57"/>
      <c r="DWJ14" s="56"/>
      <c r="DWK14" s="57"/>
      <c r="DWL14" s="58"/>
      <c r="DWM14" s="56"/>
      <c r="DWN14" s="57"/>
      <c r="DWO14" s="57"/>
      <c r="DWP14" s="57"/>
      <c r="DWQ14" s="56"/>
      <c r="DWR14" s="57"/>
      <c r="DWS14" s="57"/>
      <c r="DWT14" s="56"/>
      <c r="DWU14" s="57"/>
      <c r="DWV14" s="58"/>
      <c r="DWW14" s="56"/>
      <c r="DWX14" s="57"/>
      <c r="DWY14" s="57"/>
      <c r="DWZ14" s="57"/>
      <c r="DXA14" s="56"/>
      <c r="DXB14" s="57"/>
      <c r="DXC14" s="57"/>
      <c r="DXD14" s="56"/>
      <c r="DXE14" s="57"/>
      <c r="DXF14" s="58"/>
      <c r="DXG14" s="56"/>
      <c r="DXH14" s="57"/>
      <c r="DXI14" s="57"/>
      <c r="DXJ14" s="57"/>
      <c r="DXK14" s="56"/>
      <c r="DXL14" s="57"/>
      <c r="DXM14" s="57"/>
      <c r="DXN14" s="56"/>
      <c r="DXO14" s="57"/>
      <c r="DXP14" s="58"/>
      <c r="DXQ14" s="56"/>
      <c r="DXR14" s="58"/>
      <c r="DXS14" s="57"/>
      <c r="DXT14" s="56"/>
      <c r="DXU14" s="57"/>
      <c r="DXV14" s="56"/>
      <c r="DXW14" s="56"/>
      <c r="DXX14" s="56"/>
      <c r="DXY14" s="57"/>
      <c r="DXZ14" s="387"/>
      <c r="DYA14" s="57"/>
      <c r="DYB14" s="387"/>
      <c r="DYC14" s="57"/>
      <c r="DYD14" s="38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8"/>
      <c r="DZK14" s="56"/>
      <c r="DZL14" s="57"/>
      <c r="DZM14" s="57"/>
      <c r="DZN14" s="57"/>
      <c r="DZO14" s="57"/>
      <c r="DZP14" s="57"/>
      <c r="DZQ14" s="56"/>
      <c r="DZR14" s="57"/>
      <c r="DZS14" s="57"/>
      <c r="DZT14" s="56"/>
      <c r="DZU14" s="57"/>
      <c r="DZV14" s="58"/>
      <c r="DZW14" s="56"/>
      <c r="DZX14" s="57"/>
      <c r="DZY14" s="57"/>
      <c r="DZZ14" s="57"/>
      <c r="EAA14" s="56"/>
      <c r="EAB14" s="57"/>
      <c r="EAC14" s="57"/>
      <c r="EAD14" s="56"/>
      <c r="EAE14" s="57"/>
      <c r="EAF14" s="58"/>
      <c r="EAG14" s="56"/>
      <c r="EAH14" s="57"/>
      <c r="EAI14" s="57"/>
      <c r="EAJ14" s="57"/>
      <c r="EAK14" s="56"/>
      <c r="EAL14" s="57"/>
      <c r="EAM14" s="57"/>
      <c r="EAN14" s="56"/>
      <c r="EAO14" s="57"/>
      <c r="EAP14" s="58"/>
      <c r="EAQ14" s="56"/>
      <c r="EAR14" s="57"/>
      <c r="EAS14" s="57"/>
      <c r="EAT14" s="57"/>
      <c r="EAU14" s="56"/>
      <c r="EAV14" s="57"/>
      <c r="EAW14" s="57"/>
      <c r="EAX14" s="56"/>
      <c r="EAY14" s="57"/>
      <c r="EAZ14" s="58"/>
      <c r="EBA14" s="56"/>
      <c r="EBB14" s="58"/>
      <c r="EBC14" s="57"/>
      <c r="EBD14" s="56"/>
      <c r="EBE14" s="57"/>
      <c r="EBF14" s="56"/>
      <c r="EBG14" s="56"/>
      <c r="EBH14" s="56"/>
      <c r="EBI14" s="57"/>
      <c r="EBJ14" s="387"/>
      <c r="EBK14" s="57"/>
      <c r="EBL14" s="387"/>
      <c r="EBM14" s="57"/>
      <c r="EBN14" s="38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8"/>
      <c r="ECU14" s="56"/>
      <c r="ECV14" s="57"/>
      <c r="ECW14" s="57"/>
      <c r="ECX14" s="57"/>
      <c r="ECY14" s="57"/>
      <c r="ECZ14" s="57"/>
      <c r="EDA14" s="56"/>
      <c r="EDB14" s="57"/>
      <c r="EDC14" s="57"/>
      <c r="EDD14" s="56"/>
      <c r="EDE14" s="57"/>
      <c r="EDF14" s="58"/>
      <c r="EDG14" s="56"/>
      <c r="EDH14" s="57"/>
      <c r="EDI14" s="57"/>
      <c r="EDJ14" s="57"/>
      <c r="EDK14" s="56"/>
      <c r="EDL14" s="57"/>
      <c r="EDM14" s="57"/>
      <c r="EDN14" s="56"/>
      <c r="EDO14" s="57"/>
      <c r="EDP14" s="58"/>
      <c r="EDQ14" s="56"/>
      <c r="EDR14" s="57"/>
      <c r="EDS14" s="57"/>
      <c r="EDT14" s="57"/>
      <c r="EDU14" s="56"/>
      <c r="EDV14" s="57"/>
      <c r="EDW14" s="57"/>
      <c r="EDX14" s="56"/>
      <c r="EDY14" s="57"/>
      <c r="EDZ14" s="58"/>
      <c r="EEA14" s="56"/>
      <c r="EEB14" s="57"/>
      <c r="EEC14" s="57"/>
      <c r="EED14" s="57"/>
      <c r="EEE14" s="56"/>
      <c r="EEF14" s="57"/>
      <c r="EEG14" s="57"/>
      <c r="EEH14" s="56"/>
      <c r="EEI14" s="57"/>
      <c r="EEJ14" s="58"/>
      <c r="EEK14" s="56"/>
      <c r="EEL14" s="58"/>
      <c r="EEM14" s="57"/>
      <c r="EEN14" s="56"/>
      <c r="EEO14" s="57"/>
      <c r="EEP14" s="56"/>
      <c r="EEQ14" s="56"/>
      <c r="EER14" s="56"/>
      <c r="EES14" s="57"/>
      <c r="EET14" s="387"/>
      <c r="EEU14" s="57"/>
      <c r="EEV14" s="387"/>
      <c r="EEW14" s="57"/>
      <c r="EEX14" s="38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8"/>
      <c r="EGE14" s="56"/>
      <c r="EGF14" s="57"/>
      <c r="EGG14" s="57"/>
      <c r="EGH14" s="57"/>
      <c r="EGI14" s="57"/>
      <c r="EGJ14" s="57"/>
      <c r="EGK14" s="56"/>
      <c r="EGL14" s="57"/>
      <c r="EGM14" s="57"/>
      <c r="EGN14" s="56"/>
      <c r="EGO14" s="57"/>
      <c r="EGP14" s="58"/>
      <c r="EGQ14" s="56"/>
      <c r="EGR14" s="57"/>
      <c r="EGS14" s="57"/>
      <c r="EGT14" s="57"/>
      <c r="EGU14" s="56"/>
      <c r="EGV14" s="57"/>
      <c r="EGW14" s="57"/>
      <c r="EGX14" s="56"/>
      <c r="EGY14" s="57"/>
      <c r="EGZ14" s="58"/>
      <c r="EHA14" s="56"/>
      <c r="EHB14" s="57"/>
      <c r="EHC14" s="57"/>
      <c r="EHD14" s="57"/>
      <c r="EHE14" s="56"/>
      <c r="EHF14" s="57"/>
      <c r="EHG14" s="57"/>
      <c r="EHH14" s="56"/>
      <c r="EHI14" s="57"/>
      <c r="EHJ14" s="58"/>
      <c r="EHK14" s="56"/>
      <c r="EHL14" s="57"/>
      <c r="EHM14" s="57"/>
      <c r="EHN14" s="57"/>
      <c r="EHO14" s="56"/>
      <c r="EHP14" s="57"/>
      <c r="EHQ14" s="57"/>
      <c r="EHR14" s="56"/>
      <c r="EHS14" s="57"/>
      <c r="EHT14" s="58"/>
      <c r="EHU14" s="56"/>
      <c r="EHV14" s="58"/>
      <c r="EHW14" s="57"/>
      <c r="EHX14" s="56"/>
      <c r="EHY14" s="57"/>
      <c r="EHZ14" s="56"/>
      <c r="EIA14" s="56"/>
      <c r="EIB14" s="56"/>
      <c r="EIC14" s="57"/>
      <c r="EID14" s="387"/>
      <c r="EIE14" s="57"/>
      <c r="EIF14" s="387"/>
      <c r="EIG14" s="57"/>
      <c r="EIH14" s="38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8"/>
      <c r="EJO14" s="56"/>
      <c r="EJP14" s="57"/>
      <c r="EJQ14" s="57"/>
      <c r="EJR14" s="57"/>
      <c r="EJS14" s="57"/>
      <c r="EJT14" s="57"/>
      <c r="EJU14" s="56"/>
      <c r="EJV14" s="57"/>
      <c r="EJW14" s="57"/>
      <c r="EJX14" s="56"/>
      <c r="EJY14" s="57"/>
      <c r="EJZ14" s="58"/>
      <c r="EKA14" s="56"/>
      <c r="EKB14" s="57"/>
      <c r="EKC14" s="57"/>
      <c r="EKD14" s="57"/>
      <c r="EKE14" s="56"/>
      <c r="EKF14" s="57"/>
      <c r="EKG14" s="57"/>
      <c r="EKH14" s="56"/>
      <c r="EKI14" s="57"/>
      <c r="EKJ14" s="58"/>
      <c r="EKK14" s="56"/>
      <c r="EKL14" s="57"/>
      <c r="EKM14" s="57"/>
      <c r="EKN14" s="57"/>
      <c r="EKO14" s="56"/>
      <c r="EKP14" s="57"/>
      <c r="EKQ14" s="57"/>
      <c r="EKR14" s="56"/>
      <c r="EKS14" s="57"/>
      <c r="EKT14" s="58"/>
      <c r="EKU14" s="56"/>
      <c r="EKV14" s="57"/>
      <c r="EKW14" s="57"/>
      <c r="EKX14" s="57"/>
      <c r="EKY14" s="56"/>
      <c r="EKZ14" s="57"/>
      <c r="ELA14" s="57"/>
      <c r="ELB14" s="56"/>
      <c r="ELC14" s="57"/>
      <c r="ELD14" s="58"/>
      <c r="ELE14" s="56"/>
      <c r="ELF14" s="58"/>
      <c r="ELG14" s="57"/>
      <c r="ELH14" s="56"/>
      <c r="ELI14" s="57"/>
      <c r="ELJ14" s="56"/>
      <c r="ELK14" s="56"/>
      <c r="ELL14" s="56"/>
      <c r="ELM14" s="57"/>
      <c r="ELN14" s="387"/>
      <c r="ELO14" s="57"/>
      <c r="ELP14" s="387"/>
      <c r="ELQ14" s="57"/>
      <c r="ELR14" s="38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8"/>
      <c r="EMY14" s="56"/>
      <c r="EMZ14" s="57"/>
      <c r="ENA14" s="57"/>
      <c r="ENB14" s="57"/>
      <c r="ENC14" s="57"/>
      <c r="END14" s="57"/>
      <c r="ENE14" s="56"/>
      <c r="ENF14" s="57"/>
      <c r="ENG14" s="57"/>
      <c r="ENH14" s="56"/>
      <c r="ENI14" s="57"/>
      <c r="ENJ14" s="58"/>
      <c r="ENK14" s="56"/>
      <c r="ENL14" s="57"/>
      <c r="ENM14" s="57"/>
      <c r="ENN14" s="57"/>
      <c r="ENO14" s="56"/>
      <c r="ENP14" s="57"/>
      <c r="ENQ14" s="57"/>
      <c r="ENR14" s="56"/>
      <c r="ENS14" s="57"/>
      <c r="ENT14" s="58"/>
      <c r="ENU14" s="56"/>
      <c r="ENV14" s="57"/>
      <c r="ENW14" s="57"/>
      <c r="ENX14" s="57"/>
      <c r="ENY14" s="56"/>
      <c r="ENZ14" s="57"/>
      <c r="EOA14" s="57"/>
      <c r="EOB14" s="56"/>
      <c r="EOC14" s="57"/>
      <c r="EOD14" s="58"/>
      <c r="EOE14" s="56"/>
      <c r="EOF14" s="57"/>
      <c r="EOG14" s="57"/>
      <c r="EOH14" s="57"/>
      <c r="EOI14" s="56"/>
      <c r="EOJ14" s="57"/>
      <c r="EOK14" s="57"/>
      <c r="EOL14" s="56"/>
      <c r="EOM14" s="57"/>
      <c r="EON14" s="58"/>
      <c r="EOO14" s="56" t="str">
        <f t="shared" si="75"/>
        <v xml:space="preserve"> </v>
      </c>
    </row>
    <row r="15" spans="1:3873" x14ac:dyDescent="0.3">
      <c r="A15" s="27" t="s">
        <v>154</v>
      </c>
      <c r="B15" s="30"/>
      <c r="C15" s="29"/>
      <c r="D15" s="28" t="str">
        <f t="shared" si="61"/>
        <v xml:space="preserve"> </v>
      </c>
      <c r="E15" s="29"/>
      <c r="F15" s="28"/>
      <c r="G15" s="28"/>
      <c r="H15" s="28"/>
      <c r="I15" s="29"/>
      <c r="J15" s="385"/>
      <c r="K15" s="29"/>
      <c r="L15" s="385"/>
      <c r="M15" s="29"/>
      <c r="N15" s="385"/>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30"/>
      <c r="AU15" s="28"/>
      <c r="AV15" s="29"/>
      <c r="AW15" s="30"/>
      <c r="AX15" s="29"/>
      <c r="AY15" s="29"/>
      <c r="AZ15" s="29"/>
      <c r="BA15" s="28"/>
      <c r="BB15" s="29"/>
      <c r="BC15" s="29"/>
      <c r="BD15" s="28"/>
      <c r="BE15" s="29"/>
      <c r="BF15" s="30"/>
      <c r="BG15" s="28"/>
      <c r="BH15" s="29"/>
      <c r="BI15" s="30"/>
      <c r="BJ15" s="29"/>
      <c r="BK15" s="28"/>
      <c r="BL15" s="29"/>
      <c r="BM15" s="29"/>
      <c r="BN15" s="28"/>
      <c r="BO15" s="29"/>
      <c r="BP15" s="30"/>
      <c r="BQ15" s="28"/>
      <c r="BR15" s="29"/>
      <c r="BS15" s="30"/>
      <c r="BT15" s="29"/>
      <c r="BU15" s="28"/>
      <c r="BV15" s="29"/>
      <c r="BW15" s="29"/>
      <c r="BX15" s="28"/>
      <c r="BY15" s="29"/>
      <c r="BZ15" s="30"/>
      <c r="CA15" s="28"/>
      <c r="CB15" s="29"/>
      <c r="CC15" s="30"/>
      <c r="CD15" s="29"/>
      <c r="CE15" s="28"/>
      <c r="CF15" s="29"/>
      <c r="CG15" s="29"/>
      <c r="CH15" s="28"/>
      <c r="CI15" s="29"/>
      <c r="CJ15" s="30"/>
      <c r="CK15" s="28"/>
      <c r="CL15" s="29"/>
      <c r="CM15" s="30"/>
      <c r="CN15" s="29"/>
      <c r="CO15" s="28"/>
      <c r="CP15" s="29"/>
      <c r="CQ15" s="29"/>
      <c r="CR15" s="28"/>
      <c r="CS15" s="29"/>
      <c r="CT15" s="30"/>
      <c r="CU15" s="28"/>
      <c r="CV15" s="29"/>
      <c r="CW15" s="29"/>
      <c r="CX15" s="29"/>
      <c r="CY15" s="28"/>
      <c r="CZ15" s="29"/>
      <c r="DA15" s="29"/>
      <c r="DB15" s="28"/>
      <c r="DC15" s="29"/>
      <c r="DD15" s="30"/>
      <c r="DE15" s="28"/>
      <c r="DF15" s="29"/>
      <c r="DG15" s="29"/>
      <c r="DH15" s="29"/>
      <c r="DI15" s="28"/>
      <c r="DJ15" s="29"/>
      <c r="DK15" s="29"/>
      <c r="DL15" s="28"/>
      <c r="DM15" s="29"/>
      <c r="DN15" s="30"/>
      <c r="DO15" s="28"/>
      <c r="DP15" s="29"/>
      <c r="DQ15" s="29"/>
      <c r="DR15" s="29"/>
      <c r="DS15" s="28"/>
      <c r="DT15" s="29"/>
      <c r="DU15" s="29"/>
      <c r="DV15" s="28"/>
      <c r="DW15" s="29"/>
      <c r="DX15" s="30"/>
      <c r="DY15" s="28"/>
      <c r="DZ15" s="29"/>
      <c r="EA15" s="29"/>
      <c r="EB15" s="29"/>
      <c r="EC15" s="28"/>
      <c r="ED15" s="29"/>
      <c r="EE15" s="28"/>
      <c r="EF15" s="28"/>
      <c r="EG15" s="29"/>
      <c r="EH15" s="30"/>
      <c r="EI15" s="28"/>
      <c r="EJ15" s="29"/>
      <c r="EK15" s="29"/>
      <c r="EL15" s="29"/>
      <c r="EM15" s="28"/>
      <c r="EN15" s="29"/>
      <c r="EO15" s="33"/>
      <c r="EP15" s="28"/>
      <c r="EQ15" s="29"/>
      <c r="ER15" s="30"/>
      <c r="ES15" s="28"/>
      <c r="ET15" s="29"/>
      <c r="EU15" s="29"/>
      <c r="EV15" s="29"/>
      <c r="EW15" s="28"/>
      <c r="EX15" s="29"/>
      <c r="EY15" s="29"/>
      <c r="EZ15" s="28"/>
      <c r="FA15" s="29"/>
      <c r="FB15" s="30"/>
      <c r="FC15" s="28"/>
      <c r="FD15" s="29"/>
      <c r="FE15" s="29"/>
      <c r="FF15" s="29"/>
      <c r="FG15" s="28"/>
      <c r="FH15" s="29"/>
      <c r="FI15" s="29"/>
      <c r="FJ15" s="28"/>
      <c r="FK15" s="29"/>
      <c r="FL15" s="30"/>
      <c r="FM15" s="28"/>
      <c r="FN15" s="29"/>
      <c r="FO15" s="29"/>
      <c r="FP15" s="29"/>
      <c r="FQ15" s="28"/>
      <c r="FR15" s="29"/>
      <c r="FS15" s="29"/>
      <c r="FT15" s="28"/>
      <c r="FU15" s="29"/>
      <c r="FV15" s="30"/>
      <c r="FW15" s="28"/>
      <c r="FX15" s="29"/>
      <c r="FY15" s="29"/>
      <c r="FZ15" s="29"/>
      <c r="GA15" s="28"/>
      <c r="GB15" s="29"/>
      <c r="GC15" s="29"/>
      <c r="GD15" s="28"/>
      <c r="GE15" s="29"/>
      <c r="GF15" s="30"/>
      <c r="GG15" s="28"/>
      <c r="GH15" s="29"/>
      <c r="GI15" s="29"/>
      <c r="GJ15" s="29"/>
      <c r="GK15" s="28"/>
      <c r="GL15" s="29"/>
      <c r="GM15" s="29"/>
      <c r="GN15" s="28"/>
      <c r="GO15" s="29"/>
      <c r="GP15" s="30"/>
      <c r="GQ15" s="28"/>
      <c r="GR15" s="29"/>
      <c r="GS15" s="29"/>
      <c r="GT15" s="29"/>
      <c r="GU15" s="28"/>
      <c r="GV15" s="29"/>
      <c r="GW15" s="29"/>
      <c r="GX15" s="28"/>
      <c r="GY15" s="29"/>
      <c r="GZ15" s="30"/>
      <c r="HA15" s="28"/>
      <c r="HB15" s="29"/>
      <c r="HC15" s="29"/>
      <c r="HD15" s="29"/>
      <c r="HE15" s="28"/>
      <c r="HF15" s="29"/>
      <c r="HG15" s="29"/>
      <c r="HH15" s="28"/>
      <c r="HI15" s="29"/>
      <c r="HJ15" s="30"/>
      <c r="HK15" s="28"/>
      <c r="HL15" s="29"/>
      <c r="HM15" s="29"/>
      <c r="HN15" s="29"/>
      <c r="HO15" s="28"/>
      <c r="HP15" s="29"/>
      <c r="HQ15" s="29"/>
      <c r="HR15" s="28"/>
      <c r="HS15" s="29"/>
      <c r="HT15" s="30"/>
      <c r="HU15" s="28"/>
      <c r="HV15" s="29"/>
      <c r="HW15" s="29"/>
      <c r="HX15" s="29"/>
      <c r="HY15" s="28"/>
      <c r="HZ15" s="29"/>
      <c r="IA15" s="29"/>
      <c r="IB15" s="28"/>
      <c r="IC15" s="29"/>
      <c r="ID15" s="30"/>
      <c r="IE15" s="28"/>
      <c r="IF15" s="29"/>
      <c r="IG15" s="29"/>
      <c r="IH15" s="29"/>
      <c r="II15" s="28"/>
      <c r="IJ15" s="29"/>
      <c r="IK15" s="29"/>
      <c r="IL15" s="28"/>
      <c r="IM15" s="29"/>
      <c r="IN15" s="30"/>
      <c r="IO15" s="28"/>
      <c r="IP15" s="29"/>
      <c r="IQ15" s="29"/>
      <c r="IR15" s="29"/>
      <c r="IS15" s="28"/>
      <c r="IT15" s="29"/>
      <c r="IU15" s="29"/>
      <c r="IV15" s="28"/>
      <c r="IW15" s="29"/>
      <c r="IX15" s="30"/>
      <c r="IY15" s="28"/>
      <c r="IZ15" s="29"/>
      <c r="JA15" s="29"/>
      <c r="JB15" s="29"/>
      <c r="JC15" s="28"/>
      <c r="JD15" s="29"/>
      <c r="JE15" s="29"/>
      <c r="JF15" s="28"/>
      <c r="JG15" s="29"/>
      <c r="JH15" s="30"/>
      <c r="JI15" s="28"/>
      <c r="JJ15" s="29"/>
      <c r="JK15" s="29"/>
      <c r="JL15" s="29"/>
      <c r="JM15" s="28"/>
      <c r="JN15" s="29"/>
      <c r="JO15" s="29"/>
      <c r="JP15" s="28"/>
      <c r="JQ15" s="29"/>
      <c r="JR15" s="30"/>
      <c r="JS15" s="28"/>
      <c r="JT15" s="29"/>
      <c r="JU15" s="29"/>
      <c r="JV15" s="29"/>
      <c r="JW15" s="28"/>
      <c r="JX15" s="29"/>
      <c r="JY15" s="29"/>
      <c r="JZ15" s="28"/>
      <c r="KA15" s="29"/>
      <c r="KB15" s="30"/>
      <c r="KC15" s="28"/>
      <c r="KD15" s="29"/>
      <c r="KE15" s="29"/>
      <c r="KF15" s="29"/>
      <c r="KG15" s="28"/>
      <c r="KH15" s="29"/>
      <c r="KI15" s="29"/>
      <c r="KJ15" s="28"/>
      <c r="KK15" s="29"/>
      <c r="KL15" s="30"/>
      <c r="KM15" s="28"/>
      <c r="KN15" s="29"/>
      <c r="KO15" s="29"/>
      <c r="KP15" s="29"/>
      <c r="KQ15" s="28"/>
      <c r="KR15" s="29"/>
      <c r="KS15" s="29"/>
      <c r="KT15" s="28"/>
      <c r="KU15" s="29"/>
      <c r="KV15" s="30"/>
      <c r="KW15" s="28"/>
      <c r="KX15" s="29"/>
      <c r="KY15" s="29"/>
      <c r="KZ15" s="29"/>
      <c r="LA15" s="28"/>
      <c r="LB15" s="29"/>
      <c r="LC15" s="29"/>
      <c r="LD15" s="28"/>
      <c r="LE15" s="29"/>
      <c r="LF15" s="30"/>
      <c r="LG15" s="28"/>
      <c r="LH15" s="29"/>
      <c r="LI15" s="29"/>
      <c r="LJ15" s="29"/>
      <c r="LK15" s="28"/>
      <c r="LL15" s="29"/>
      <c r="LM15" s="29"/>
      <c r="LN15" s="28"/>
      <c r="LO15" s="29"/>
      <c r="LP15" s="30"/>
      <c r="LQ15" s="28"/>
      <c r="LR15" s="29"/>
      <c r="LS15" s="29"/>
      <c r="LT15" s="29"/>
      <c r="LU15" s="28"/>
      <c r="LV15" s="29"/>
      <c r="LW15" s="29"/>
      <c r="LX15" s="28"/>
      <c r="LY15" s="29"/>
      <c r="LZ15" s="30"/>
      <c r="MA15" s="28"/>
      <c r="MB15" s="29"/>
      <c r="MC15" s="29"/>
      <c r="MD15" s="29"/>
      <c r="ME15" s="28"/>
      <c r="MF15" s="29"/>
      <c r="MG15" s="29"/>
      <c r="MH15" s="28"/>
      <c r="MI15" s="29"/>
      <c r="MJ15" s="30"/>
      <c r="MK15" s="28"/>
      <c r="ML15" s="29"/>
      <c r="MM15" s="29"/>
      <c r="MN15" s="29"/>
      <c r="MO15" s="28"/>
      <c r="MP15" s="29"/>
      <c r="MQ15" s="29"/>
      <c r="MR15" s="28"/>
      <c r="MS15" s="29"/>
      <c r="MT15" s="30"/>
      <c r="MU15" s="28"/>
      <c r="MV15" s="29"/>
      <c r="MW15" s="29"/>
      <c r="MX15" s="29"/>
      <c r="MY15" s="28"/>
      <c r="MZ15" s="29"/>
      <c r="NA15" s="29"/>
      <c r="NB15" s="28"/>
      <c r="NC15" s="29"/>
      <c r="ND15" s="30"/>
      <c r="NE15" s="28"/>
      <c r="NF15" s="29"/>
      <c r="NG15" s="29"/>
      <c r="NH15" s="29"/>
      <c r="NI15" s="28"/>
      <c r="NJ15" s="29"/>
      <c r="NK15" s="29"/>
      <c r="NL15" s="28"/>
      <c r="NM15" s="29"/>
      <c r="NN15" s="30"/>
      <c r="NO15" s="28"/>
      <c r="NP15" s="29"/>
      <c r="NQ15" s="29"/>
      <c r="NR15" s="29"/>
      <c r="NS15" s="28"/>
      <c r="NT15" s="29"/>
      <c r="NU15" s="29"/>
      <c r="NV15" s="28"/>
      <c r="NW15" s="29"/>
      <c r="NX15" s="30"/>
      <c r="NY15" s="28"/>
      <c r="NZ15" s="29"/>
      <c r="OA15" s="29"/>
      <c r="OB15" s="29"/>
      <c r="OC15" s="28"/>
      <c r="OD15" s="29"/>
      <c r="OE15" s="29"/>
      <c r="OF15" s="30"/>
      <c r="OG15" s="30"/>
      <c r="OH15" s="30"/>
      <c r="OI15" s="28"/>
      <c r="OJ15" s="30"/>
      <c r="OK15" s="30"/>
      <c r="OL15" s="30"/>
      <c r="OM15" s="30"/>
      <c r="ON15" s="30"/>
      <c r="OO15" s="30"/>
      <c r="OP15" s="28"/>
      <c r="OQ15" s="29"/>
      <c r="OR15" s="30"/>
      <c r="OS15" s="28"/>
      <c r="OT15" s="29"/>
      <c r="OU15" s="29"/>
      <c r="OV15" s="29"/>
      <c r="OW15" s="28"/>
      <c r="OX15" s="29"/>
      <c r="OY15" s="29"/>
      <c r="OZ15" s="28"/>
      <c r="PA15" s="29"/>
      <c r="PB15" s="30"/>
      <c r="PC15" s="28"/>
      <c r="PD15" s="29"/>
      <c r="PE15" s="29"/>
      <c r="PF15" s="29"/>
      <c r="PG15" s="28"/>
      <c r="PH15" s="29"/>
      <c r="PI15" s="29"/>
      <c r="PJ15" s="28"/>
      <c r="PK15" s="29"/>
      <c r="PL15" s="30"/>
      <c r="PM15" s="28"/>
      <c r="PN15" s="29"/>
      <c r="PO15" s="29"/>
      <c r="PP15" s="29"/>
      <c r="PQ15" s="28"/>
      <c r="PR15" s="29"/>
      <c r="PS15" s="29"/>
      <c r="PT15" s="28"/>
      <c r="PU15" s="29"/>
      <c r="PV15" s="30"/>
      <c r="PW15" s="28"/>
      <c r="PX15" s="29"/>
      <c r="PY15" s="29"/>
      <c r="PZ15" s="29"/>
      <c r="QA15" s="28"/>
      <c r="QB15" s="29"/>
      <c r="QC15" s="29"/>
      <c r="QD15" s="28"/>
      <c r="QE15" s="29"/>
      <c r="QF15" s="30"/>
      <c r="QG15" s="28"/>
      <c r="QH15" s="29"/>
      <c r="QI15" s="29"/>
      <c r="QJ15" s="29"/>
      <c r="QK15" s="28"/>
      <c r="QL15" s="29"/>
      <c r="QM15" s="29"/>
      <c r="QN15" s="28"/>
      <c r="QO15" s="29"/>
      <c r="QP15" s="30"/>
      <c r="QQ15" s="28"/>
      <c r="QR15" s="29"/>
      <c r="QS15" s="29"/>
      <c r="QT15" s="29"/>
      <c r="QU15" s="28"/>
      <c r="QV15" s="29"/>
      <c r="QW15" s="29"/>
      <c r="QX15" s="28"/>
      <c r="QY15" s="29"/>
      <c r="QZ15" s="30"/>
      <c r="RA15" s="28"/>
      <c r="RB15" s="29"/>
      <c r="RC15" s="29"/>
      <c r="RD15" s="29"/>
      <c r="RE15" s="28"/>
      <c r="RF15" s="29"/>
      <c r="RG15" s="29"/>
      <c r="RH15" s="28"/>
      <c r="RI15" s="29"/>
      <c r="RJ15" s="30"/>
      <c r="RK15" s="28"/>
      <c r="RL15" s="29"/>
      <c r="RM15" s="29"/>
      <c r="RN15" s="29"/>
      <c r="RO15" s="28"/>
      <c r="RP15" s="29"/>
      <c r="RQ15" s="29"/>
      <c r="RR15" s="28"/>
      <c r="RS15" s="29"/>
      <c r="RT15" s="30"/>
      <c r="RU15" s="28"/>
      <c r="RV15" s="29"/>
      <c r="RW15" s="29"/>
      <c r="RX15" s="29"/>
      <c r="RY15" s="28"/>
      <c r="RZ15" s="29"/>
      <c r="SA15" s="29"/>
      <c r="SB15" s="28"/>
      <c r="SC15" s="29"/>
      <c r="SD15" s="30"/>
      <c r="SE15" s="28"/>
      <c r="SF15" s="29"/>
      <c r="SG15" s="29"/>
      <c r="SH15" s="29"/>
      <c r="SI15" s="28"/>
      <c r="SJ15" s="29"/>
      <c r="SK15" s="29"/>
      <c r="SL15" s="28"/>
      <c r="SM15" s="29"/>
      <c r="SN15" s="30"/>
      <c r="SO15" s="28"/>
      <c r="SP15" s="29"/>
      <c r="SQ15" s="29"/>
      <c r="SR15" s="29"/>
      <c r="SS15" s="28"/>
      <c r="ST15" s="29"/>
      <c r="SU15" s="29"/>
      <c r="SV15" s="28"/>
      <c r="SW15" s="29"/>
      <c r="SX15" s="30"/>
      <c r="SY15" s="28"/>
      <c r="SZ15" s="29"/>
      <c r="TA15" s="29"/>
      <c r="TB15" s="29"/>
      <c r="TC15" s="28"/>
      <c r="TD15" s="29"/>
      <c r="TE15" s="29"/>
      <c r="TF15" s="28"/>
      <c r="TG15" s="29"/>
      <c r="TH15" s="30"/>
      <c r="TI15" s="28"/>
      <c r="TJ15" s="29"/>
      <c r="TK15" s="29"/>
      <c r="TL15" s="29"/>
      <c r="TM15" s="28"/>
      <c r="TN15" s="29"/>
      <c r="TO15" s="29"/>
      <c r="TP15" s="28"/>
      <c r="TQ15" s="29"/>
      <c r="TR15" s="30"/>
      <c r="TS15" s="28"/>
      <c r="TT15" s="29"/>
      <c r="TU15" s="29"/>
      <c r="TV15" s="29"/>
      <c r="TW15" s="28"/>
      <c r="TX15" s="29"/>
      <c r="TY15" s="29"/>
      <c r="TZ15" s="28"/>
      <c r="UA15" s="29"/>
      <c r="UB15" s="30"/>
      <c r="UC15" s="28"/>
      <c r="UD15" s="29"/>
      <c r="UE15" s="29"/>
      <c r="UF15" s="29"/>
      <c r="UG15" s="28"/>
      <c r="UH15" s="29"/>
      <c r="UI15" s="29"/>
      <c r="UJ15" s="28"/>
      <c r="UK15" s="29"/>
      <c r="UL15" s="30"/>
      <c r="UM15" s="28"/>
      <c r="UN15" s="29"/>
      <c r="UO15" s="29"/>
      <c r="UP15" s="29"/>
      <c r="UQ15" s="28"/>
      <c r="UR15" s="29"/>
      <c r="US15" s="29"/>
      <c r="UT15" s="28"/>
      <c r="UU15" s="29"/>
      <c r="UV15" s="30"/>
      <c r="UW15" s="28"/>
      <c r="UX15" s="29"/>
      <c r="UY15" s="29"/>
      <c r="UZ15" s="29"/>
      <c r="VA15" s="28"/>
      <c r="VB15" s="29"/>
      <c r="VC15" s="29"/>
      <c r="VD15" s="28"/>
      <c r="VE15" s="29"/>
      <c r="VF15" s="30"/>
      <c r="VG15" s="28"/>
      <c r="VH15" s="29"/>
      <c r="VI15" s="29"/>
      <c r="VJ15" s="29"/>
      <c r="VK15" s="28"/>
      <c r="VL15" s="29"/>
      <c r="VM15" s="29"/>
      <c r="VN15" s="28"/>
      <c r="VO15" s="29"/>
      <c r="VP15" s="30"/>
      <c r="VQ15" s="28"/>
      <c r="VR15" s="29"/>
      <c r="VS15" s="29"/>
      <c r="VT15" s="29"/>
      <c r="VU15" s="28"/>
      <c r="VV15" s="29"/>
      <c r="VW15" s="29"/>
      <c r="VX15" s="28"/>
      <c r="VY15" s="29"/>
      <c r="VZ15" s="30"/>
      <c r="WA15" s="28"/>
      <c r="WB15" s="29"/>
      <c r="WC15" s="29"/>
      <c r="WD15" s="29"/>
      <c r="WE15" s="28"/>
      <c r="WF15" s="29"/>
      <c r="WG15" s="29"/>
      <c r="WH15" s="28"/>
      <c r="WI15" s="29"/>
      <c r="WJ15" s="30"/>
      <c r="WK15" s="28"/>
      <c r="WL15" s="29"/>
      <c r="WM15" s="29"/>
      <c r="WN15" s="29"/>
      <c r="WO15" s="28"/>
      <c r="WP15" s="29"/>
      <c r="WQ15" s="29"/>
      <c r="WR15" s="28"/>
      <c r="WS15" s="29"/>
      <c r="WT15" s="30"/>
      <c r="WU15" s="28"/>
      <c r="WV15" s="29"/>
      <c r="WW15" s="29"/>
      <c r="WX15" s="29"/>
      <c r="WY15" s="28"/>
      <c r="WZ15" s="29"/>
      <c r="XA15" s="29"/>
      <c r="XB15" s="28"/>
      <c r="XC15" s="29"/>
      <c r="XD15" s="30"/>
      <c r="XE15" s="28"/>
      <c r="XF15" s="29"/>
      <c r="XG15" s="29"/>
      <c r="XH15" s="29"/>
      <c r="XI15" s="28"/>
      <c r="XJ15" s="29"/>
      <c r="XK15" s="29"/>
      <c r="XL15" s="28"/>
      <c r="XM15" s="29"/>
      <c r="XN15" s="30"/>
      <c r="XO15" s="28"/>
      <c r="XP15" s="29"/>
      <c r="XQ15" s="29"/>
      <c r="XR15" s="29"/>
      <c r="XS15" s="28"/>
      <c r="XT15" s="29"/>
      <c r="XU15" s="29"/>
      <c r="XV15" s="28"/>
      <c r="XW15" s="29"/>
      <c r="XX15" s="30"/>
      <c r="XY15" s="28"/>
      <c r="XZ15" s="29"/>
      <c r="YA15" s="29"/>
      <c r="YB15" s="29"/>
      <c r="YC15" s="28"/>
      <c r="YD15" s="29"/>
      <c r="YE15" s="29"/>
      <c r="YF15" s="28"/>
      <c r="YG15" s="29"/>
      <c r="YH15" s="30"/>
      <c r="YI15" s="28"/>
      <c r="YJ15" s="29"/>
      <c r="YK15" s="29"/>
      <c r="YL15" s="29"/>
      <c r="YM15" s="28"/>
      <c r="YN15" s="29"/>
      <c r="YO15" s="29"/>
      <c r="YP15" s="28"/>
      <c r="YQ15" s="29"/>
      <c r="YR15" s="30"/>
      <c r="YS15" s="28"/>
      <c r="YT15" s="29"/>
      <c r="YU15" s="29"/>
      <c r="YV15" s="29"/>
      <c r="YW15" s="28"/>
      <c r="YX15" s="29"/>
      <c r="YY15" s="29"/>
      <c r="YZ15" s="28"/>
      <c r="ZA15" s="29"/>
      <c r="ZB15" s="30"/>
      <c r="ZC15" s="28"/>
      <c r="ZD15" s="29"/>
      <c r="ZE15" s="29"/>
      <c r="ZF15" s="29"/>
      <c r="ZG15" s="28"/>
      <c r="ZH15" s="29"/>
      <c r="ZI15" s="29"/>
      <c r="ZJ15" s="28"/>
      <c r="ZK15" s="29"/>
      <c r="ZL15" s="30"/>
      <c r="ZM15" s="28"/>
      <c r="ZN15" s="29"/>
      <c r="ZO15" s="29"/>
      <c r="ZP15" s="29"/>
      <c r="ZQ15" s="28"/>
      <c r="ZR15" s="29"/>
      <c r="ZS15" s="29"/>
      <c r="ZT15" s="28"/>
      <c r="ZU15" s="29"/>
      <c r="ZV15" s="30"/>
      <c r="ZW15" s="28"/>
      <c r="ZX15" s="29"/>
      <c r="ZY15" s="29"/>
      <c r="ZZ15" s="29"/>
      <c r="AAA15" s="28"/>
      <c r="AAB15" s="29"/>
      <c r="AAC15" s="29"/>
      <c r="AAD15" s="28"/>
      <c r="AAE15" s="29"/>
      <c r="AAF15" s="30"/>
      <c r="AAG15" s="28"/>
      <c r="AAH15" s="29"/>
      <c r="AAI15" s="29"/>
      <c r="AAJ15" s="29"/>
      <c r="AAK15" s="28"/>
      <c r="AAL15" s="29"/>
      <c r="AAM15" s="29"/>
      <c r="AAN15" s="28"/>
      <c r="AAO15" s="29"/>
      <c r="AAP15" s="30"/>
      <c r="AAQ15" s="28"/>
      <c r="AAR15" s="29"/>
      <c r="AAS15" s="29"/>
      <c r="AAT15" s="29"/>
      <c r="AAU15" s="28"/>
      <c r="AAV15" s="29"/>
      <c r="AAW15" s="29"/>
      <c r="AAX15" s="30"/>
      <c r="AAY15" s="30"/>
      <c r="AAZ15" s="30"/>
      <c r="ABA15" s="28"/>
      <c r="ABB15" s="30"/>
      <c r="ABC15" s="30"/>
      <c r="ABD15" s="30"/>
      <c r="ABE15" s="30"/>
      <c r="ABF15" s="30"/>
      <c r="ABG15" s="29"/>
      <c r="ABH15" s="28"/>
      <c r="ABI15" s="29"/>
      <c r="ABJ15" s="30"/>
      <c r="ABK15" s="28"/>
      <c r="ABL15" s="29"/>
      <c r="ABM15" s="29"/>
      <c r="ABN15" s="29"/>
      <c r="ABO15" s="28"/>
      <c r="ABP15" s="29"/>
      <c r="ABQ15" s="29"/>
      <c r="ABR15" s="28"/>
      <c r="ABS15" s="29"/>
      <c r="ABT15" s="30"/>
      <c r="ABU15" s="28"/>
      <c r="ABV15" s="29"/>
      <c r="ABW15" s="29"/>
      <c r="ABX15" s="29"/>
      <c r="ABY15" s="28"/>
      <c r="ABZ15" s="29"/>
      <c r="ACA15" s="29"/>
      <c r="ACB15" s="28"/>
      <c r="ACC15" s="29"/>
      <c r="ACD15" s="30"/>
      <c r="ACE15" s="28"/>
      <c r="ACF15" s="29"/>
      <c r="ACG15" s="29"/>
      <c r="ACH15" s="29"/>
      <c r="ACI15" s="28"/>
      <c r="ACJ15" s="29"/>
      <c r="ACK15" s="29"/>
      <c r="ACL15" s="28"/>
      <c r="ACM15" s="29"/>
      <c r="ACN15" s="30"/>
      <c r="ACO15" s="28"/>
      <c r="ACP15" s="29"/>
      <c r="ACQ15" s="29"/>
      <c r="ACR15" s="29"/>
      <c r="ACS15" s="28"/>
      <c r="ACT15" s="29"/>
      <c r="ACU15" s="29"/>
      <c r="ACV15" s="28"/>
      <c r="ACW15" s="29"/>
      <c r="ACX15" s="30"/>
      <c r="ACY15" s="28"/>
      <c r="ACZ15" s="29"/>
      <c r="ADA15" s="29"/>
      <c r="ADB15" s="29"/>
      <c r="ADC15" s="28"/>
      <c r="ADD15" s="29"/>
      <c r="ADE15" s="29"/>
      <c r="ADF15" s="28"/>
      <c r="ADG15" s="29"/>
      <c r="ADH15" s="30"/>
      <c r="ADI15" s="28"/>
      <c r="ADJ15" s="29"/>
      <c r="ADK15" s="29"/>
      <c r="ADL15" s="29"/>
      <c r="ADM15" s="28"/>
      <c r="ADN15" s="29"/>
      <c r="ADO15" s="29"/>
      <c r="ADP15" s="28"/>
      <c r="ADQ15" s="29"/>
      <c r="ADR15" s="30"/>
      <c r="ADS15" s="28"/>
      <c r="ADT15" s="29"/>
      <c r="ADU15" s="29"/>
      <c r="ADV15" s="29"/>
      <c r="ADW15" s="28"/>
      <c r="ADX15" s="29"/>
      <c r="ADY15" s="29"/>
      <c r="ADZ15" s="28"/>
      <c r="AEA15" s="29"/>
      <c r="AEB15" s="30"/>
      <c r="AEC15" s="28"/>
      <c r="AED15" s="29"/>
      <c r="AEE15" s="29"/>
      <c r="AEF15" s="29"/>
      <c r="AEG15" s="28"/>
      <c r="AEH15" s="29"/>
      <c r="AEI15" s="29"/>
      <c r="AEJ15" s="28"/>
      <c r="AEK15" s="29"/>
      <c r="AEL15" s="30"/>
      <c r="AEM15" s="28"/>
      <c r="AEN15" s="29"/>
      <c r="AEO15" s="29"/>
      <c r="AEP15" s="29"/>
      <c r="AEQ15" s="28"/>
      <c r="AER15" s="29"/>
      <c r="AES15" s="29"/>
      <c r="AET15" s="28"/>
      <c r="AEU15" s="29"/>
      <c r="AEV15" s="30"/>
      <c r="AEW15" s="28"/>
      <c r="AEX15" s="29"/>
      <c r="AEY15" s="29"/>
      <c r="AEZ15" s="29"/>
      <c r="AFA15" s="28"/>
      <c r="AFB15" s="29"/>
      <c r="AFC15" s="29"/>
      <c r="AFD15" s="28"/>
      <c r="AFE15" s="29"/>
      <c r="AFF15" s="30"/>
      <c r="AFG15" s="28"/>
      <c r="AFH15" s="29"/>
      <c r="AFI15" s="29"/>
      <c r="AFJ15" s="29"/>
      <c r="AFK15" s="28"/>
      <c r="AFL15" s="29"/>
      <c r="AFM15" s="29"/>
      <c r="AFN15" s="28"/>
      <c r="AFO15" s="29"/>
      <c r="AFP15" s="30"/>
      <c r="AFQ15" s="28"/>
      <c r="AFR15" s="29"/>
      <c r="AFS15" s="29"/>
      <c r="AFT15" s="29"/>
      <c r="AFU15" s="28"/>
      <c r="AFV15" s="29"/>
      <c r="AFW15" s="29"/>
      <c r="AFX15" s="28"/>
      <c r="AFY15" s="29"/>
      <c r="AFZ15" s="30"/>
      <c r="AGA15" s="28"/>
      <c r="AGB15" s="29"/>
      <c r="AGC15" s="29"/>
      <c r="AGD15" s="29"/>
      <c r="AGE15" s="28"/>
      <c r="AGF15" s="29"/>
      <c r="AGG15" s="29"/>
      <c r="AGH15" s="28"/>
      <c r="AGI15" s="29"/>
      <c r="AGJ15" s="30"/>
      <c r="AGK15" s="28"/>
      <c r="AGL15" s="29"/>
      <c r="AGM15" s="29"/>
      <c r="AGN15" s="29"/>
      <c r="AGO15" s="28"/>
      <c r="AGP15" s="29"/>
      <c r="AGQ15" s="29"/>
      <c r="AGR15" s="28"/>
      <c r="AGS15" s="29"/>
      <c r="AGT15" s="30"/>
      <c r="AGU15" s="28"/>
      <c r="AGV15" s="29"/>
      <c r="AGW15" s="29"/>
      <c r="AGX15" s="29"/>
      <c r="AGY15" s="28"/>
      <c r="AGZ15" s="29"/>
      <c r="AHA15" s="29"/>
      <c r="AHB15" s="28"/>
      <c r="AHC15" s="29"/>
      <c r="AHD15" s="30"/>
      <c r="AHE15" s="28"/>
      <c r="AHF15" s="29"/>
      <c r="AHG15" s="29"/>
      <c r="AHH15" s="29"/>
      <c r="AHI15" s="28"/>
      <c r="AHJ15" s="29"/>
      <c r="AHK15" s="29"/>
      <c r="AHL15" s="28"/>
      <c r="AHM15" s="29"/>
      <c r="AHN15" s="30"/>
      <c r="AHO15" s="28"/>
      <c r="AHP15" s="29"/>
      <c r="AHQ15" s="29"/>
      <c r="AHR15" s="29"/>
      <c r="AHS15" s="28"/>
      <c r="AHT15" s="29"/>
      <c r="AHU15" s="29"/>
      <c r="AHV15" s="28"/>
      <c r="AHW15" s="29"/>
      <c r="AHX15" s="30"/>
      <c r="AHY15" s="28"/>
      <c r="AHZ15" s="29"/>
      <c r="AIA15" s="29"/>
      <c r="AIB15" s="29"/>
      <c r="AIC15" s="28"/>
      <c r="AID15" s="29"/>
      <c r="AIE15" s="29"/>
      <c r="AIF15" s="28"/>
      <c r="AIG15" s="29"/>
      <c r="AIH15" s="30"/>
      <c r="AII15" s="28"/>
      <c r="AIJ15" s="29"/>
      <c r="AIK15" s="29"/>
      <c r="AIL15" s="29"/>
      <c r="AIM15" s="28"/>
      <c r="AIN15" s="29"/>
      <c r="AIO15" s="29"/>
      <c r="AIP15" s="28"/>
      <c r="AIQ15" s="29"/>
      <c r="AIR15" s="30"/>
      <c r="AIS15" s="28"/>
      <c r="AIT15" s="29"/>
      <c r="AIU15" s="29"/>
      <c r="AIV15" s="29"/>
      <c r="AIW15" s="28"/>
      <c r="AIX15" s="29"/>
      <c r="AIY15" s="29"/>
      <c r="AIZ15" s="28"/>
      <c r="AJA15" s="29"/>
      <c r="AJB15" s="30"/>
      <c r="AJC15" s="28"/>
      <c r="AJD15" s="29"/>
      <c r="AJE15" s="29"/>
      <c r="AJF15" s="29"/>
      <c r="AJG15" s="28"/>
      <c r="AJH15" s="29"/>
      <c r="AJI15" s="29"/>
      <c r="AJJ15" s="28"/>
      <c r="AJK15" s="29"/>
      <c r="AJL15" s="30"/>
      <c r="AJM15" s="28"/>
      <c r="AJN15" s="29"/>
      <c r="AJO15" s="29"/>
      <c r="AJP15" s="29"/>
      <c r="AJQ15" s="28"/>
      <c r="AJR15" s="29"/>
      <c r="AJS15" s="29"/>
      <c r="AJT15" s="28"/>
      <c r="AJU15" s="29"/>
      <c r="AJV15" s="30"/>
      <c r="AJW15" s="28"/>
      <c r="AJX15" s="29"/>
      <c r="AJY15" s="29"/>
      <c r="AJZ15" s="29"/>
      <c r="AKA15" s="28"/>
      <c r="AKB15" s="29"/>
      <c r="AKC15" s="29"/>
      <c r="AKD15" s="28"/>
      <c r="AKE15" s="29"/>
      <c r="AKF15" s="30"/>
      <c r="AKG15" s="28"/>
      <c r="AKH15" s="29"/>
      <c r="AKI15" s="29"/>
      <c r="AKJ15" s="29"/>
      <c r="AKK15" s="28"/>
      <c r="AKL15" s="29"/>
      <c r="AKM15" s="29"/>
      <c r="AKN15" s="28"/>
      <c r="AKO15" s="29"/>
      <c r="AKP15" s="30"/>
      <c r="AKQ15" s="28"/>
      <c r="AKR15" s="29"/>
      <c r="AKS15" s="29"/>
      <c r="AKT15" s="29"/>
      <c r="AKU15" s="28"/>
      <c r="AKV15" s="29"/>
      <c r="AKW15" s="29"/>
      <c r="AKX15" s="28"/>
      <c r="AKY15" s="29"/>
      <c r="AKZ15" s="30"/>
      <c r="ALA15" s="28"/>
      <c r="ALB15" s="29"/>
      <c r="ALC15" s="29"/>
      <c r="ALD15" s="29"/>
      <c r="ALE15" s="28"/>
      <c r="ALF15" s="29"/>
      <c r="ALG15" s="29"/>
      <c r="ALH15" s="29"/>
      <c r="ALI15" s="29"/>
      <c r="ALJ15" s="29"/>
      <c r="ALK15" s="28"/>
      <c r="ALL15" s="29"/>
      <c r="ALM15" s="29"/>
      <c r="ALN15" s="28"/>
      <c r="ALO15" s="29"/>
      <c r="ALP15" s="30"/>
      <c r="ALQ15" s="28"/>
      <c r="ALR15" s="29"/>
      <c r="ALS15" s="29"/>
      <c r="ALT15" s="29"/>
      <c r="ALU15" s="28"/>
      <c r="ALV15" s="29"/>
      <c r="ALW15" s="29"/>
      <c r="ALX15" s="28"/>
      <c r="ALY15" s="29"/>
      <c r="ALZ15" s="30"/>
      <c r="AMA15" s="28"/>
      <c r="AMB15" s="29"/>
      <c r="AMC15" s="29"/>
      <c r="AMD15" s="29"/>
      <c r="AME15" s="28"/>
      <c r="AMF15" s="29"/>
      <c r="AMG15" s="29"/>
      <c r="AMH15" s="29"/>
      <c r="AMI15" s="29"/>
      <c r="AMJ15" s="29"/>
      <c r="AMK15" s="28"/>
      <c r="AML15" s="29"/>
      <c r="AMM15" s="29"/>
      <c r="AMN15" s="28"/>
      <c r="AMO15" s="29"/>
      <c r="AMP15" s="30"/>
      <c r="AMQ15" s="28"/>
      <c r="AMR15" s="29"/>
      <c r="AMS15" s="29"/>
      <c r="AMT15" s="29"/>
      <c r="AMU15" s="28"/>
      <c r="AMV15" s="29"/>
      <c r="AMW15" s="29"/>
      <c r="AMX15" s="28"/>
      <c r="AMY15" s="29"/>
      <c r="AMZ15" s="30"/>
      <c r="ANA15" s="28"/>
      <c r="ANB15" s="29"/>
      <c r="ANC15" s="29"/>
      <c r="AND15" s="29"/>
      <c r="ANE15" s="28"/>
      <c r="ANF15" s="29"/>
      <c r="ANG15" s="29"/>
      <c r="ANH15" s="29"/>
      <c r="ANI15" s="29"/>
      <c r="ANJ15" s="29"/>
      <c r="ANK15" s="28"/>
      <c r="ANL15" s="29"/>
      <c r="ANM15" s="29"/>
      <c r="ANN15" s="28"/>
      <c r="ANO15" s="29"/>
      <c r="ANP15" s="30"/>
      <c r="ANQ15" s="28"/>
      <c r="ANR15" s="29"/>
      <c r="ANS15" s="29"/>
      <c r="ANT15" s="29"/>
      <c r="ANU15" s="28"/>
      <c r="ANV15" s="29"/>
      <c r="ANW15" s="29"/>
      <c r="ANX15" s="28"/>
      <c r="ANY15" s="29"/>
      <c r="ANZ15" s="30"/>
      <c r="AOA15" s="28"/>
      <c r="AOB15" s="29"/>
      <c r="AOC15" s="29"/>
      <c r="AOD15" s="29"/>
      <c r="AOE15" s="28"/>
      <c r="AOF15" s="29"/>
      <c r="AOG15" s="29"/>
      <c r="AOH15" s="29"/>
      <c r="AOI15" s="29"/>
      <c r="AOJ15" s="29"/>
      <c r="AOK15" s="28"/>
      <c r="AOL15" s="29"/>
      <c r="AOM15" s="29"/>
      <c r="AON15" s="28"/>
      <c r="AOO15" s="29"/>
      <c r="AOP15" s="30"/>
      <c r="AOQ15" s="28"/>
      <c r="AOR15" s="29"/>
      <c r="AOS15" s="29"/>
      <c r="AOT15" s="29"/>
      <c r="AOU15" s="28"/>
      <c r="AOV15" s="29"/>
      <c r="AOW15" s="29"/>
      <c r="AOX15" s="28"/>
      <c r="AOY15" s="29"/>
      <c r="AOZ15" s="30"/>
      <c r="APA15" s="28"/>
      <c r="APB15" s="29"/>
      <c r="APC15" s="29"/>
      <c r="APD15" s="29"/>
      <c r="APE15" s="28"/>
      <c r="APF15" s="29"/>
      <c r="APG15" s="29"/>
      <c r="APH15" s="29"/>
      <c r="API15" s="29"/>
      <c r="APJ15" s="29"/>
      <c r="APK15" s="28"/>
      <c r="APL15" s="29"/>
      <c r="APM15" s="29"/>
      <c r="APN15" s="28"/>
      <c r="APO15" s="29"/>
      <c r="APP15" s="30"/>
      <c r="APQ15" s="28"/>
      <c r="APR15" s="29"/>
      <c r="APS15" s="29"/>
      <c r="APT15" s="29"/>
      <c r="APU15" s="28"/>
      <c r="APV15" s="29"/>
      <c r="APW15" s="29"/>
      <c r="APX15" s="28"/>
      <c r="APY15" s="29"/>
      <c r="APZ15" s="30"/>
      <c r="AQA15" s="28"/>
      <c r="AQB15" s="29"/>
      <c r="AQC15" s="29"/>
      <c r="AQD15" s="29"/>
      <c r="AQE15" s="28"/>
      <c r="AQF15" s="29"/>
      <c r="AQG15" s="29"/>
      <c r="AQH15" s="29"/>
      <c r="AQI15" s="29"/>
      <c r="AQJ15" s="29"/>
      <c r="AQK15" s="28"/>
      <c r="AQL15" s="29"/>
      <c r="AQM15" s="29"/>
      <c r="AQN15" s="28"/>
      <c r="AQO15" s="29"/>
      <c r="AQP15" s="30"/>
      <c r="AQQ15" s="28"/>
      <c r="AQR15" s="29"/>
      <c r="AQS15" s="29"/>
      <c r="AQT15" s="29"/>
      <c r="AQU15" s="28"/>
      <c r="AQV15" s="29"/>
      <c r="AQW15" s="29"/>
      <c r="AQX15" s="28"/>
      <c r="AQY15" s="29"/>
      <c r="AQZ15" s="30"/>
      <c r="ARA15" s="28"/>
      <c r="ARB15" s="29"/>
      <c r="ARC15" s="29"/>
      <c r="ARD15" s="29"/>
      <c r="ARE15" s="28"/>
      <c r="ARF15" s="29"/>
      <c r="ARG15" s="29"/>
      <c r="ARH15" s="29"/>
      <c r="ARI15" s="29"/>
      <c r="ARJ15" s="29"/>
      <c r="ARK15" s="28"/>
      <c r="ARL15" s="29"/>
      <c r="ARM15" s="29"/>
      <c r="ARN15" s="28"/>
      <c r="ARO15" s="29"/>
      <c r="ARP15" s="30"/>
      <c r="ARQ15" s="28"/>
      <c r="ARR15" s="29"/>
      <c r="ARS15" s="29"/>
      <c r="ART15" s="29"/>
      <c r="ARU15" s="28"/>
      <c r="ARV15" s="29"/>
      <c r="ARW15" s="29"/>
      <c r="ARX15" s="28"/>
      <c r="ARY15" s="29"/>
      <c r="ARZ15" s="30"/>
      <c r="ASA15" s="28"/>
      <c r="ASB15" s="29"/>
      <c r="ASC15" s="29"/>
      <c r="ASD15" s="29"/>
      <c r="ASE15" s="28"/>
      <c r="ASF15" s="29"/>
      <c r="ASG15" s="29"/>
      <c r="ASH15" s="29"/>
      <c r="ASI15" s="29"/>
      <c r="ASJ15" s="29"/>
      <c r="ASK15" s="28"/>
      <c r="ASL15" s="29"/>
      <c r="ASM15" s="29"/>
      <c r="ASN15" s="28"/>
      <c r="ASO15" s="29"/>
      <c r="ASP15" s="30"/>
      <c r="ASQ15" s="28"/>
      <c r="ASR15" s="29"/>
      <c r="ASS15" s="29"/>
      <c r="AST15" s="29"/>
      <c r="ASU15" s="28"/>
      <c r="ASV15" s="29"/>
      <c r="ASW15" s="29"/>
      <c r="ASX15" s="28"/>
      <c r="ASY15" s="29"/>
      <c r="ASZ15" s="30"/>
      <c r="ATA15" s="28"/>
      <c r="ATB15" s="29"/>
      <c r="ATC15" s="29"/>
      <c r="ATD15" s="29"/>
      <c r="ATE15" s="28"/>
      <c r="ATF15" s="29"/>
      <c r="ATG15" s="29"/>
      <c r="ATH15" s="29"/>
      <c r="ATI15" s="29"/>
      <c r="ATJ15" s="29"/>
      <c r="ATK15" s="28"/>
      <c r="ATL15" s="29"/>
      <c r="ATM15" s="29"/>
      <c r="ATN15" s="28"/>
      <c r="ATO15" s="29"/>
      <c r="ATP15" s="30"/>
      <c r="ATQ15" s="28"/>
      <c r="ATR15" s="29"/>
      <c r="ATS15" s="29"/>
      <c r="ATT15" s="29"/>
      <c r="ATU15" s="28"/>
      <c r="ATV15" s="29"/>
      <c r="ATW15" s="29"/>
      <c r="ATX15" s="28"/>
      <c r="ATY15" s="29"/>
      <c r="ATZ15" s="30"/>
      <c r="AUA15" s="28"/>
      <c r="AUB15" s="29"/>
      <c r="AUC15" s="29"/>
      <c r="AUD15" s="29"/>
      <c r="AUE15" s="28"/>
      <c r="AUF15" s="29"/>
      <c r="AUG15" s="29"/>
      <c r="AUH15" s="29"/>
      <c r="AUI15" s="29"/>
      <c r="AUJ15" s="29"/>
      <c r="AUK15" s="28"/>
      <c r="AUL15" s="29"/>
      <c r="AUM15" s="29"/>
      <c r="AUN15" s="28"/>
      <c r="AUO15" s="29"/>
      <c r="AUP15" s="30"/>
      <c r="AUQ15" s="28"/>
      <c r="AUR15" s="29"/>
      <c r="AUS15" s="29"/>
      <c r="AUT15" s="29"/>
      <c r="AUU15" s="28"/>
      <c r="AUV15" s="29"/>
      <c r="AUW15" s="29"/>
      <c r="AUX15" s="28"/>
      <c r="AUY15" s="29"/>
      <c r="AUZ15" s="30"/>
      <c r="AVA15" s="28"/>
      <c r="AVB15" s="29"/>
      <c r="AVC15" s="29"/>
      <c r="AVD15" s="29"/>
      <c r="AVE15" s="28"/>
      <c r="AVF15" s="29"/>
      <c r="AVG15" s="29"/>
      <c r="AVH15" s="29"/>
      <c r="AVI15" s="29"/>
      <c r="AVJ15" s="29"/>
      <c r="AVK15" s="28"/>
      <c r="AVL15" s="29"/>
      <c r="AVM15" s="29"/>
      <c r="AVN15" s="28"/>
      <c r="AVO15" s="29"/>
      <c r="AVP15" s="30"/>
      <c r="AVQ15" s="28"/>
      <c r="AVR15" s="29"/>
      <c r="AVS15" s="29"/>
      <c r="AVT15" s="29"/>
      <c r="AVU15" s="28"/>
      <c r="AVV15" s="29"/>
      <c r="AVW15" s="29"/>
      <c r="AVX15" s="28"/>
      <c r="AVY15" s="29"/>
      <c r="AVZ15" s="30"/>
      <c r="AWA15" s="28"/>
      <c r="AWB15" s="29"/>
      <c r="AWC15" s="29"/>
      <c r="AWD15" s="29"/>
      <c r="AWE15" s="28"/>
      <c r="AWF15" s="29"/>
      <c r="AWG15" s="29"/>
      <c r="AWH15" s="29"/>
      <c r="AWI15" s="29"/>
      <c r="AWJ15" s="29"/>
      <c r="AWK15" s="28"/>
      <c r="AWL15" s="29"/>
      <c r="AWM15" s="29"/>
      <c r="AWN15" s="28"/>
      <c r="AWO15" s="29"/>
      <c r="AWP15" s="30"/>
      <c r="AWQ15" s="28"/>
      <c r="AWR15" s="29"/>
      <c r="AWS15" s="29"/>
      <c r="AWT15" s="29"/>
      <c r="AWU15" s="28"/>
      <c r="AWV15" s="29"/>
      <c r="AWW15" s="29"/>
      <c r="AWX15" s="28"/>
      <c r="AWY15" s="29"/>
      <c r="AWZ15" s="30"/>
      <c r="AXA15" s="28"/>
      <c r="AXB15" s="29"/>
      <c r="AXC15" s="29"/>
      <c r="AXD15" s="29"/>
      <c r="AXE15" s="28"/>
      <c r="AXF15" s="29"/>
      <c r="AXG15" s="29"/>
      <c r="AXH15" s="29"/>
      <c r="AXI15" s="29"/>
      <c r="AXJ15" s="29"/>
      <c r="AXK15" s="28"/>
      <c r="AXL15" s="29"/>
      <c r="AXM15" s="29"/>
      <c r="AXN15" s="28"/>
      <c r="AXO15" s="29"/>
      <c r="AXP15" s="30"/>
      <c r="AXQ15" s="28"/>
      <c r="AXR15" s="29"/>
      <c r="AXS15" s="29"/>
      <c r="AXT15" s="29"/>
      <c r="AXU15" s="28"/>
      <c r="AXV15" s="29"/>
      <c r="AXW15" s="29"/>
      <c r="AXX15" s="28"/>
      <c r="AXY15" s="29"/>
      <c r="AXZ15" s="30"/>
      <c r="AYA15" s="28"/>
      <c r="AYB15" s="29"/>
      <c r="AYC15" s="29"/>
      <c r="AYD15" s="29"/>
      <c r="AYE15" s="28"/>
      <c r="AYF15" s="29"/>
      <c r="AYG15" s="29"/>
      <c r="AYH15" s="29"/>
      <c r="AYI15" s="29"/>
      <c r="AYJ15" s="29"/>
      <c r="AYK15" s="28"/>
      <c r="AYL15" s="29"/>
      <c r="AYM15" s="29"/>
      <c r="AYN15" s="28"/>
      <c r="AYO15" s="29"/>
      <c r="AYP15" s="30"/>
      <c r="AYQ15" s="28"/>
      <c r="AYR15" s="29"/>
      <c r="AYS15" s="29"/>
      <c r="AYT15" s="29"/>
      <c r="AYU15" s="28"/>
      <c r="AYV15" s="29"/>
      <c r="AYW15" s="29"/>
      <c r="AYX15" s="28"/>
      <c r="AYY15" s="29"/>
      <c r="AYZ15" s="30"/>
      <c r="AZA15" s="28"/>
      <c r="AZB15" s="29"/>
      <c r="AZC15" s="29"/>
      <c r="AZD15" s="29"/>
      <c r="AZE15" s="28"/>
      <c r="AZF15" s="29"/>
      <c r="AZG15" s="29"/>
      <c r="AZH15" s="29"/>
      <c r="AZI15" s="29"/>
      <c r="AZJ15" s="29"/>
      <c r="AZK15" s="28"/>
      <c r="AZL15" s="29"/>
      <c r="AZM15" s="29"/>
      <c r="AZN15" s="28"/>
      <c r="AZO15" s="29"/>
      <c r="AZP15" s="30"/>
      <c r="AZQ15" s="28"/>
      <c r="AZR15" s="29"/>
      <c r="AZS15" s="29"/>
      <c r="AZT15" s="29"/>
      <c r="AZU15" s="28"/>
      <c r="AZV15" s="29"/>
      <c r="AZW15" s="29"/>
      <c r="AZX15" s="28"/>
      <c r="AZY15" s="29"/>
      <c r="AZZ15" s="30"/>
      <c r="BAA15" s="28"/>
      <c r="BAB15" s="29"/>
      <c r="BAC15" s="29"/>
      <c r="BAD15" s="29"/>
      <c r="BAE15" s="28"/>
      <c r="BAF15" s="29"/>
      <c r="BAG15" s="29"/>
      <c r="BAH15" s="29"/>
      <c r="BAI15" s="29"/>
      <c r="BAJ15" s="29"/>
      <c r="BAK15" s="28"/>
      <c r="BAL15" s="29"/>
      <c r="BAM15" s="29"/>
      <c r="BAN15" s="28"/>
      <c r="BAO15" s="29"/>
      <c r="BAP15" s="30"/>
      <c r="BAQ15" s="28"/>
      <c r="BAR15" s="29"/>
      <c r="BAS15" s="29"/>
      <c r="BAT15" s="29"/>
      <c r="BAU15" s="28"/>
      <c r="BAV15" s="29"/>
      <c r="BAW15" s="29"/>
      <c r="BAX15" s="28"/>
      <c r="BAY15" s="29"/>
      <c r="BAZ15" s="30"/>
      <c r="BBA15" s="28"/>
      <c r="BBB15" s="29"/>
      <c r="BBC15" s="29"/>
      <c r="BBD15" s="29"/>
      <c r="BBE15" s="28"/>
      <c r="BBF15" s="29"/>
      <c r="BBG15" s="29"/>
      <c r="BBH15" s="29"/>
      <c r="BBI15" s="29"/>
      <c r="BBJ15" s="29"/>
      <c r="BBK15" s="28"/>
      <c r="BBL15" s="29"/>
      <c r="BBM15" s="29"/>
      <c r="BBN15" s="28"/>
      <c r="BBO15" s="29"/>
      <c r="BBP15" s="30"/>
      <c r="BBQ15" s="28"/>
      <c r="BBR15" s="29"/>
      <c r="BBS15" s="29"/>
      <c r="BBT15" s="29"/>
      <c r="BBU15" s="28"/>
      <c r="BBV15" s="29"/>
      <c r="BBW15" s="29"/>
      <c r="BBX15" s="28"/>
      <c r="BBY15" s="29"/>
      <c r="BBZ15" s="30"/>
      <c r="BCA15" s="28"/>
      <c r="BCB15" s="29"/>
      <c r="BCC15" s="29"/>
      <c r="BCD15" s="29"/>
      <c r="BCE15" s="28"/>
      <c r="BCF15" s="29"/>
      <c r="BCG15" s="29"/>
      <c r="BCH15" s="29"/>
      <c r="BCI15" s="29"/>
      <c r="BCJ15" s="29"/>
      <c r="BCK15" s="28"/>
      <c r="BCL15" s="29"/>
      <c r="BCM15" s="29"/>
      <c r="BCN15" s="28"/>
      <c r="BCO15" s="29"/>
      <c r="BCP15" s="30"/>
      <c r="BCQ15" s="28"/>
      <c r="BCR15" s="29"/>
      <c r="BCS15" s="29"/>
      <c r="BCT15" s="29"/>
      <c r="BCU15" s="28"/>
      <c r="BCV15" s="29"/>
      <c r="BCW15" s="29"/>
      <c r="BCX15" s="28"/>
      <c r="BCY15" s="29"/>
      <c r="BCZ15" s="30"/>
      <c r="BDA15" s="28"/>
      <c r="BDB15" s="29"/>
      <c r="BDC15" s="29"/>
      <c r="BDD15" s="29"/>
      <c r="BDE15" s="28"/>
      <c r="BDF15" s="29"/>
      <c r="BDG15" s="29"/>
      <c r="BDH15" s="29"/>
      <c r="BDI15" s="29"/>
      <c r="BDJ15" s="29"/>
      <c r="BDK15" s="28"/>
      <c r="BDL15" s="29"/>
      <c r="BDM15" s="29"/>
      <c r="BDN15" s="28"/>
      <c r="BDO15" s="29"/>
      <c r="BDP15" s="30"/>
      <c r="BDQ15" s="28"/>
      <c r="BDR15" s="29"/>
      <c r="BDS15" s="29"/>
      <c r="BDT15" s="29"/>
      <c r="BDU15" s="28"/>
      <c r="BDV15" s="29"/>
      <c r="BDW15" s="29"/>
      <c r="BDX15" s="28"/>
      <c r="BDY15" s="29"/>
      <c r="BDZ15" s="30"/>
      <c r="BEA15" s="28"/>
      <c r="BEB15" s="29"/>
      <c r="BEC15" s="29"/>
      <c r="BED15" s="29"/>
      <c r="BEE15" s="28"/>
      <c r="BEF15" s="29"/>
      <c r="BEG15" s="29"/>
      <c r="BEH15" s="29"/>
      <c r="BEI15" s="29"/>
      <c r="BEJ15" s="29"/>
      <c r="BEK15" s="28"/>
      <c r="BEL15" s="29"/>
      <c r="BEM15" s="29"/>
      <c r="BEN15" s="28"/>
      <c r="BEO15" s="29"/>
      <c r="BEP15" s="30"/>
      <c r="BEQ15" s="28"/>
      <c r="BER15" s="29"/>
      <c r="BES15" s="29"/>
      <c r="BET15" s="29"/>
      <c r="BEU15" s="28"/>
      <c r="BEV15" s="29"/>
      <c r="BEW15" s="29"/>
      <c r="BEX15" s="28"/>
      <c r="BEY15" s="29"/>
      <c r="BEZ15" s="30"/>
      <c r="BFA15" s="28"/>
      <c r="BFB15" s="29"/>
      <c r="BFC15" s="29"/>
      <c r="BFD15" s="29"/>
      <c r="BFE15" s="28"/>
      <c r="BFF15" s="29"/>
      <c r="BFG15" s="29"/>
      <c r="BFH15" s="29"/>
      <c r="BFI15" s="29"/>
      <c r="BFJ15" s="29"/>
      <c r="BFK15" s="28"/>
      <c r="BFL15" s="29"/>
      <c r="BFM15" s="29"/>
      <c r="BFN15" s="28"/>
      <c r="BFO15" s="29"/>
      <c r="BFP15" s="30"/>
      <c r="BFQ15" s="28"/>
      <c r="BFR15" s="29"/>
      <c r="BFS15" s="29"/>
      <c r="BFT15" s="29"/>
      <c r="BFU15" s="28"/>
      <c r="BFV15" s="29"/>
      <c r="BFW15" s="29"/>
      <c r="BFX15" s="28"/>
      <c r="BFY15" s="29"/>
      <c r="BFZ15" s="30"/>
      <c r="BGA15" s="28"/>
      <c r="BGB15" s="29"/>
      <c r="BGC15" s="29"/>
      <c r="BGD15" s="29"/>
      <c r="BGE15" s="28"/>
      <c r="BGF15" s="29"/>
      <c r="BGG15" s="29"/>
      <c r="BGH15" s="29"/>
      <c r="BGI15" s="29"/>
      <c r="BGJ15" s="29"/>
      <c r="BGK15" s="28"/>
      <c r="BGL15" s="29"/>
      <c r="BGM15" s="29"/>
      <c r="BGN15" s="28"/>
      <c r="BGO15" s="29"/>
      <c r="BGP15" s="30"/>
      <c r="BGQ15" s="28"/>
      <c r="BGR15" s="29"/>
      <c r="BGS15" s="29"/>
      <c r="BGT15" s="29"/>
      <c r="BGU15" s="28"/>
      <c r="BGV15" s="29"/>
      <c r="BGW15" s="29"/>
      <c r="BGX15" s="28"/>
      <c r="BGY15" s="29"/>
      <c r="BGZ15" s="30"/>
      <c r="BHA15" s="28"/>
      <c r="BHB15" s="29"/>
      <c r="BHC15" s="29"/>
      <c r="BHD15" s="29"/>
      <c r="BHE15" s="28"/>
      <c r="BHF15" s="29"/>
      <c r="BHG15" s="29"/>
      <c r="BHH15" s="29"/>
      <c r="BHI15" s="29"/>
      <c r="BHJ15" s="29"/>
      <c r="BHK15" s="28"/>
      <c r="BHL15" s="29"/>
      <c r="BHM15" s="29"/>
      <c r="BHN15" s="28"/>
      <c r="BHO15" s="29"/>
      <c r="BHP15" s="30"/>
      <c r="BHQ15" s="28"/>
      <c r="BHR15" s="29"/>
      <c r="BHS15" s="29"/>
      <c r="BHT15" s="29"/>
      <c r="BHU15" s="28"/>
      <c r="BHV15" s="29"/>
      <c r="BHW15" s="29"/>
      <c r="BHX15" s="28"/>
      <c r="BHY15" s="29"/>
      <c r="BHZ15" s="30"/>
      <c r="BIA15" s="28"/>
      <c r="BIB15" s="29"/>
      <c r="BIC15" s="29"/>
      <c r="BID15" s="29"/>
      <c r="BIE15" s="28"/>
      <c r="BIF15" s="29"/>
      <c r="BIG15" s="29"/>
      <c r="BIH15" s="29"/>
      <c r="BII15" s="29"/>
      <c r="BIJ15" s="29"/>
      <c r="BIK15" s="28"/>
      <c r="BIL15" s="29"/>
      <c r="BIM15" s="29"/>
      <c r="BIN15" s="28"/>
      <c r="BIO15" s="29"/>
      <c r="BIP15" s="30"/>
      <c r="BIQ15" s="28"/>
      <c r="BIR15" s="29"/>
      <c r="BIS15" s="29"/>
      <c r="BIT15" s="29"/>
      <c r="BIU15" s="28"/>
      <c r="BIV15" s="29"/>
      <c r="BIW15" s="29"/>
      <c r="BIX15" s="28"/>
      <c r="BIY15" s="29"/>
      <c r="BIZ15" s="30"/>
      <c r="BJA15" s="28"/>
      <c r="BJB15" s="29"/>
      <c r="BJC15" s="29"/>
      <c r="BJD15" s="29"/>
      <c r="BJE15" s="28"/>
      <c r="BJF15" s="29"/>
      <c r="BJG15" s="29"/>
      <c r="BJH15" s="29"/>
      <c r="BJI15" s="29"/>
      <c r="BJJ15" s="29"/>
      <c r="BJK15" s="28"/>
      <c r="BJL15" s="29"/>
      <c r="BJM15" s="29"/>
      <c r="BJN15" s="28"/>
      <c r="BJO15" s="29"/>
      <c r="BJP15" s="30"/>
      <c r="BJQ15" s="28"/>
      <c r="BJR15" s="29"/>
      <c r="BJS15" s="29"/>
      <c r="BJT15" s="29"/>
      <c r="BJU15" s="28"/>
      <c r="BJV15" s="29"/>
      <c r="BJW15" s="29"/>
      <c r="BJX15" s="28"/>
      <c r="BJY15" s="29"/>
      <c r="BJZ15" s="30"/>
      <c r="BKA15" s="28"/>
      <c r="BKB15" s="29"/>
      <c r="BKC15" s="29"/>
      <c r="BKD15" s="29"/>
      <c r="BKE15" s="28"/>
      <c r="BKF15" s="29"/>
      <c r="BKG15" s="29"/>
      <c r="BKH15" s="29"/>
      <c r="BKI15" s="29"/>
      <c r="BKJ15" s="29"/>
      <c r="BKK15" s="28"/>
      <c r="BKL15" s="29"/>
      <c r="BKM15" s="29"/>
      <c r="BKN15" s="28"/>
      <c r="BKO15" s="29"/>
      <c r="BKP15" s="30"/>
      <c r="BKQ15" s="28"/>
      <c r="BKR15" s="29"/>
      <c r="BKS15" s="29"/>
      <c r="BKT15" s="29"/>
      <c r="BKU15" s="28"/>
      <c r="BKV15" s="29"/>
      <c r="BKW15" s="29"/>
      <c r="BKX15" s="28"/>
      <c r="BKY15" s="29"/>
      <c r="BKZ15" s="30"/>
      <c r="BLA15" s="28"/>
      <c r="BLB15" s="29"/>
      <c r="BLC15" s="29"/>
      <c r="BLD15" s="29"/>
      <c r="BLE15" s="28"/>
      <c r="BLF15" s="29"/>
      <c r="BLG15" s="29"/>
      <c r="BLH15" s="29"/>
      <c r="BLI15" s="29"/>
      <c r="BLJ15" s="29"/>
      <c r="BLK15" s="28"/>
      <c r="BLL15" s="29"/>
      <c r="BLM15" s="29"/>
      <c r="BLN15" s="28"/>
      <c r="BLO15" s="29"/>
      <c r="BLP15" s="30"/>
      <c r="BLQ15" s="28"/>
      <c r="BLR15" s="29"/>
      <c r="BLS15" s="29"/>
      <c r="BLT15" s="29"/>
      <c r="BLU15" s="28"/>
      <c r="BLV15" s="29"/>
      <c r="BLW15" s="29"/>
      <c r="BLX15" s="28"/>
      <c r="BLY15" s="29"/>
      <c r="BLZ15" s="30"/>
      <c r="BMA15" s="28"/>
      <c r="BMB15" s="29"/>
      <c r="BMC15" s="29"/>
      <c r="BMD15" s="29"/>
      <c r="BME15" s="28"/>
      <c r="BMF15" s="29"/>
      <c r="BMG15" s="29"/>
      <c r="BMH15" s="29"/>
      <c r="BMI15" s="29"/>
      <c r="BMJ15" s="29"/>
      <c r="BMK15" s="28"/>
      <c r="BML15" s="29"/>
      <c r="BMM15" s="29"/>
      <c r="BMN15" s="28"/>
      <c r="BMO15" s="29"/>
      <c r="BMP15" s="30"/>
      <c r="BMQ15" s="28"/>
      <c r="BMR15" s="29"/>
      <c r="BMS15" s="29"/>
      <c r="BMT15" s="29"/>
      <c r="BMU15" s="28"/>
      <c r="BMV15" s="29"/>
      <c r="BMW15" s="29"/>
      <c r="BMX15" s="28"/>
      <c r="BMY15" s="29"/>
      <c r="BMZ15" s="30"/>
      <c r="BNA15" s="28"/>
      <c r="BNB15" s="29"/>
      <c r="BNC15" s="29"/>
      <c r="BND15" s="29"/>
      <c r="BNE15" s="28"/>
      <c r="BNF15" s="29"/>
      <c r="BNG15" s="29"/>
      <c r="BNH15" s="29"/>
      <c r="BNI15" s="29"/>
      <c r="BNJ15" s="29"/>
      <c r="BNK15" s="28"/>
      <c r="BNL15" s="29"/>
      <c r="BNM15" s="29"/>
      <c r="BNN15" s="28"/>
      <c r="BNO15" s="29"/>
      <c r="BNP15" s="30"/>
      <c r="BNQ15" s="28"/>
      <c r="BNR15" s="29"/>
      <c r="BNS15" s="29"/>
      <c r="BNT15" s="29"/>
      <c r="BNU15" s="28"/>
      <c r="BNV15" s="29"/>
      <c r="BNW15" s="29"/>
      <c r="BNX15" s="28"/>
      <c r="BNY15" s="29"/>
      <c r="BNZ15" s="30"/>
      <c r="BOA15" s="28"/>
      <c r="BOB15" s="29"/>
      <c r="BOC15" s="29"/>
      <c r="BOD15" s="29"/>
      <c r="BOE15" s="28"/>
      <c r="BOF15" s="29"/>
      <c r="BOG15" s="29"/>
      <c r="BOH15" s="29"/>
      <c r="BOI15" s="29"/>
      <c r="BOJ15" s="29"/>
      <c r="BOK15" s="28"/>
      <c r="BOL15" s="29"/>
      <c r="BOM15" s="29"/>
      <c r="BON15" s="28"/>
      <c r="BOO15" s="29"/>
      <c r="BOP15" s="30"/>
      <c r="BOQ15" s="28"/>
      <c r="BOR15" s="29"/>
      <c r="BOS15" s="29"/>
      <c r="BOT15" s="29"/>
      <c r="BOU15" s="28"/>
      <c r="BOV15" s="29"/>
      <c r="BOW15" s="29"/>
      <c r="BOX15" s="28"/>
      <c r="BOY15" s="29"/>
      <c r="BOZ15" s="30"/>
      <c r="BPA15" s="28"/>
      <c r="BPB15" s="29"/>
      <c r="BPC15" s="29"/>
      <c r="BPD15" s="29"/>
      <c r="BPE15" s="28"/>
      <c r="BPF15" s="29"/>
      <c r="BPG15" s="29"/>
      <c r="BPH15" s="29"/>
      <c r="BPI15" s="29"/>
      <c r="BPJ15" s="29"/>
      <c r="BPK15" s="28"/>
      <c r="BPL15" s="29"/>
      <c r="BPM15" s="29"/>
      <c r="BPN15" s="28"/>
      <c r="BPO15" s="29"/>
      <c r="BPP15" s="30"/>
      <c r="BPQ15" s="28"/>
      <c r="BPR15" s="29"/>
      <c r="BPS15" s="29"/>
      <c r="BPT15" s="29"/>
      <c r="BPU15" s="28"/>
      <c r="BPV15" s="29"/>
      <c r="BPW15" s="29"/>
      <c r="BPX15" s="28"/>
      <c r="BPY15" s="29"/>
      <c r="BPZ15" s="30"/>
      <c r="BQA15" s="28"/>
      <c r="BQB15" s="29"/>
      <c r="BQC15" s="29"/>
      <c r="BQD15" s="29"/>
      <c r="BQE15" s="28"/>
      <c r="BQF15" s="29"/>
      <c r="BQG15" s="29"/>
      <c r="BQH15" s="29"/>
      <c r="BQI15" s="29"/>
      <c r="BQJ15" s="29"/>
      <c r="BQK15" s="28"/>
      <c r="BQL15" s="29"/>
      <c r="BQM15" s="29"/>
      <c r="BQN15" s="28"/>
      <c r="BQO15" s="29"/>
      <c r="BQP15" s="30"/>
      <c r="BQQ15" s="28"/>
      <c r="BQR15" s="29"/>
      <c r="BQS15" s="29"/>
      <c r="BQT15" s="29"/>
      <c r="BQU15" s="28"/>
      <c r="BQV15" s="29"/>
      <c r="BQW15" s="29"/>
      <c r="BQX15" s="28"/>
      <c r="BQY15" s="29"/>
      <c r="BQZ15" s="30"/>
      <c r="BRA15" s="28"/>
      <c r="BRB15" s="29"/>
      <c r="BRC15" s="29"/>
      <c r="BRD15" s="29"/>
      <c r="BRE15" s="28"/>
      <c r="BRF15" s="29"/>
      <c r="BRG15" s="29"/>
      <c r="BRH15" s="29"/>
      <c r="BRI15" s="29"/>
      <c r="BRJ15" s="29"/>
      <c r="BRK15" s="28"/>
      <c r="BRL15" s="29"/>
      <c r="BRM15" s="29"/>
      <c r="BRN15" s="28"/>
      <c r="BRO15" s="29"/>
      <c r="BRP15" s="30"/>
      <c r="BRQ15" s="28"/>
      <c r="BRR15" s="29"/>
      <c r="BRS15" s="29"/>
      <c r="BRT15" s="29"/>
      <c r="BRU15" s="28"/>
      <c r="BRV15" s="29"/>
      <c r="BRW15" s="29"/>
      <c r="BRX15" s="28"/>
      <c r="BRY15" s="29"/>
      <c r="BRZ15" s="30"/>
      <c r="BSA15" s="28"/>
      <c r="BSB15" s="29"/>
      <c r="BSC15" s="29"/>
      <c r="BSD15" s="29"/>
      <c r="BSE15" s="28"/>
      <c r="BSF15" s="29"/>
      <c r="BSG15" s="29"/>
      <c r="BSH15" s="29"/>
      <c r="BSI15" s="29"/>
      <c r="BSJ15" s="29"/>
      <c r="BSK15" s="28"/>
      <c r="BSL15" s="29"/>
      <c r="BSM15" s="29"/>
      <c r="BSN15" s="28"/>
      <c r="BSO15" s="29"/>
      <c r="BSP15" s="30"/>
      <c r="BSQ15" s="28"/>
      <c r="BSR15" s="29"/>
      <c r="BSS15" s="29"/>
      <c r="BST15" s="29"/>
      <c r="BSU15" s="28"/>
      <c r="BSV15" s="29"/>
      <c r="BSW15" s="29"/>
      <c r="BSX15" s="28"/>
      <c r="BSY15" s="29"/>
      <c r="BSZ15" s="30"/>
      <c r="BTA15" s="28"/>
      <c r="BTB15" s="29"/>
      <c r="BTC15" s="29"/>
      <c r="BTD15" s="29"/>
      <c r="BTE15" s="28"/>
      <c r="BTF15" s="29"/>
      <c r="BTG15" s="29"/>
      <c r="BTH15" s="29"/>
      <c r="BTI15" s="29"/>
      <c r="BTJ15" s="29"/>
      <c r="BTK15" s="28"/>
      <c r="BTL15" s="29"/>
      <c r="BTM15" s="29"/>
      <c r="BTN15" s="28"/>
      <c r="BTO15" s="29"/>
      <c r="BTP15" s="30"/>
      <c r="BTQ15" s="28"/>
      <c r="BTR15" s="29"/>
      <c r="BTS15" s="29"/>
      <c r="BTT15" s="29"/>
      <c r="BTU15" s="28"/>
      <c r="BTV15" s="29"/>
      <c r="BTW15" s="29"/>
      <c r="BTX15" s="28"/>
      <c r="BTY15" s="29"/>
      <c r="BTZ15" s="30"/>
      <c r="BUA15" s="28"/>
      <c r="BUB15" s="29"/>
      <c r="BUC15" s="29"/>
      <c r="BUD15" s="29"/>
      <c r="BUE15" s="28"/>
      <c r="BUF15" s="29"/>
      <c r="BUG15" s="29"/>
      <c r="BUH15" s="29"/>
      <c r="BUI15" s="29"/>
      <c r="BUJ15" s="29"/>
      <c r="BUK15" s="28"/>
      <c r="BUL15" s="29"/>
      <c r="BUM15" s="29"/>
      <c r="BUN15" s="28"/>
      <c r="BUO15" s="29"/>
      <c r="BUP15" s="30"/>
      <c r="BUQ15" s="28"/>
      <c r="BUR15" s="29"/>
      <c r="BUS15" s="29"/>
      <c r="BUT15" s="29"/>
      <c r="BUU15" s="28"/>
      <c r="BUV15" s="29"/>
      <c r="BUW15" s="29"/>
      <c r="BUX15" s="28"/>
      <c r="BUY15" s="29"/>
      <c r="BUZ15" s="30"/>
      <c r="BVA15" s="28"/>
      <c r="BVB15" s="29"/>
      <c r="BVC15" s="29"/>
      <c r="BVD15" s="29"/>
      <c r="BVE15" s="28"/>
      <c r="BVF15" s="29"/>
      <c r="BVG15" s="29"/>
      <c r="BVH15" s="29"/>
      <c r="BVI15" s="29"/>
      <c r="BVJ15" s="29"/>
      <c r="BVK15" s="28"/>
      <c r="BVL15" s="29"/>
      <c r="BVM15" s="29"/>
      <c r="BVN15" s="28"/>
      <c r="BVO15" s="29"/>
      <c r="BVP15" s="30"/>
      <c r="BVQ15" s="28"/>
      <c r="BVR15" s="29"/>
      <c r="BVS15" s="29"/>
      <c r="BVT15" s="29"/>
      <c r="BVU15" s="28"/>
      <c r="BVV15" s="29"/>
      <c r="BVW15" s="29"/>
      <c r="BVX15" s="28"/>
      <c r="BVY15" s="29"/>
      <c r="BVZ15" s="30"/>
      <c r="BWA15" s="28"/>
      <c r="BWB15" s="29"/>
      <c r="BWC15" s="29"/>
      <c r="BWD15" s="29"/>
      <c r="BWE15" s="28"/>
      <c r="BWF15" s="29"/>
      <c r="BWG15" s="29"/>
      <c r="BWH15" s="29"/>
      <c r="BWI15" s="29"/>
      <c r="BWJ15" s="29"/>
      <c r="BWK15" s="28"/>
      <c r="BWL15" s="29"/>
      <c r="BWM15" s="29"/>
      <c r="BWN15" s="28"/>
      <c r="BWO15" s="29"/>
      <c r="BWP15" s="30"/>
      <c r="BWQ15" s="28"/>
      <c r="BWR15" s="29"/>
      <c r="BWS15" s="29"/>
      <c r="BWT15" s="29"/>
      <c r="BWU15" s="28"/>
      <c r="BWV15" s="29"/>
      <c r="BWW15" s="29"/>
      <c r="BWX15" s="28"/>
      <c r="BWY15" s="29"/>
      <c r="BWZ15" s="30"/>
      <c r="BXA15" s="28"/>
      <c r="BXB15" s="29"/>
      <c r="BXC15" s="29"/>
      <c r="BXD15" s="29"/>
      <c r="BXE15" s="28"/>
      <c r="BXF15" s="29"/>
      <c r="BXG15" s="29"/>
      <c r="BXH15" s="29"/>
      <c r="BXI15" s="29"/>
      <c r="BXJ15" s="29"/>
      <c r="BXK15" s="28"/>
      <c r="BXL15" s="29"/>
      <c r="BXM15" s="29"/>
      <c r="BXN15" s="28"/>
      <c r="BXO15" s="29"/>
      <c r="BXP15" s="30"/>
      <c r="BXQ15" s="28"/>
      <c r="BXR15" s="29"/>
      <c r="BXS15" s="29"/>
      <c r="BXT15" s="29"/>
      <c r="BXU15" s="28"/>
      <c r="BXV15" s="29"/>
      <c r="BXW15" s="29"/>
      <c r="BXX15" s="28"/>
      <c r="BXY15" s="29"/>
      <c r="BXZ15" s="30"/>
      <c r="BYA15" s="28"/>
      <c r="BYB15" s="29"/>
      <c r="BYC15" s="29"/>
      <c r="BYD15" s="29"/>
      <c r="BYE15" s="28"/>
      <c r="BYF15" s="29"/>
      <c r="BYG15" s="29"/>
      <c r="BYH15" s="29"/>
      <c r="BYI15" s="29"/>
      <c r="BYJ15" s="29"/>
      <c r="BYK15" s="28"/>
      <c r="BYL15" s="29"/>
      <c r="BYM15" s="29"/>
      <c r="BYN15" s="28"/>
      <c r="BYO15" s="29"/>
      <c r="BYP15" s="30"/>
      <c r="BYQ15" s="28"/>
      <c r="BYR15" s="29"/>
      <c r="BYS15" s="29"/>
      <c r="BYT15" s="29"/>
      <c r="BYU15" s="28"/>
      <c r="BYV15" s="29"/>
      <c r="BYW15" s="29"/>
      <c r="BYX15" s="30"/>
      <c r="BYY15" s="29"/>
      <c r="BYZ15" s="28"/>
      <c r="BZA15" s="29"/>
      <c r="BZB15" s="28"/>
      <c r="BZC15" s="28"/>
      <c r="BZD15" s="28"/>
      <c r="BZE15" s="29"/>
      <c r="BZF15" s="385"/>
      <c r="BZG15" s="29"/>
      <c r="BZH15" s="385"/>
      <c r="BZI15" s="29"/>
      <c r="BZJ15" s="385"/>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30"/>
      <c r="CAQ15" s="28"/>
      <c r="CAR15" s="29"/>
      <c r="CAS15" s="30"/>
      <c r="CAT15" s="29"/>
      <c r="CAU15" s="29"/>
      <c r="CAV15" s="29"/>
      <c r="CAW15" s="28"/>
      <c r="CAX15" s="29"/>
      <c r="CAY15" s="29"/>
      <c r="CAZ15" s="28"/>
      <c r="CBA15" s="29"/>
      <c r="CBB15" s="30"/>
      <c r="CBC15" s="28"/>
      <c r="CBD15" s="29"/>
      <c r="CBE15" s="30"/>
      <c r="CBF15" s="29"/>
      <c r="CBG15" s="28"/>
      <c r="CBH15" s="29"/>
      <c r="CBI15" s="29"/>
      <c r="CBJ15" s="28"/>
      <c r="CBK15" s="29"/>
      <c r="CBL15" s="30"/>
      <c r="CBM15" s="28"/>
      <c r="CBN15" s="29"/>
      <c r="CBO15" s="30"/>
      <c r="CBP15" s="29"/>
      <c r="CBQ15" s="28"/>
      <c r="CBR15" s="29"/>
      <c r="CBS15" s="29"/>
      <c r="CBT15" s="28"/>
      <c r="CBU15" s="29"/>
      <c r="CBV15" s="30"/>
      <c r="CBW15" s="28"/>
      <c r="CBX15" s="29"/>
      <c r="CBY15" s="30"/>
      <c r="CBZ15" s="29"/>
      <c r="CCA15" s="28"/>
      <c r="CCB15" s="29"/>
      <c r="CCC15" s="29"/>
      <c r="CCD15" s="28"/>
      <c r="CCE15" s="29"/>
      <c r="CCF15" s="30"/>
      <c r="CCG15" s="28"/>
      <c r="CCH15" s="30"/>
      <c r="CCI15" s="29"/>
      <c r="CCJ15" s="28"/>
      <c r="CCK15" s="29"/>
      <c r="CCL15" s="28"/>
      <c r="CCM15" s="28"/>
      <c r="CCN15" s="28"/>
      <c r="CCO15" s="29"/>
      <c r="CCP15" s="385"/>
      <c r="CCQ15" s="29"/>
      <c r="CCR15" s="385"/>
      <c r="CCS15" s="29"/>
      <c r="CCT15" s="385"/>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30"/>
      <c r="CEA15" s="28"/>
      <c r="CEB15" s="29"/>
      <c r="CEC15" s="30"/>
      <c r="CED15" s="29"/>
      <c r="CEE15" s="29"/>
      <c r="CEF15" s="29"/>
      <c r="CEG15" s="28"/>
      <c r="CEH15" s="29"/>
      <c r="CEI15" s="29"/>
      <c r="CEJ15" s="28"/>
      <c r="CEK15" s="29"/>
      <c r="CEL15" s="30"/>
      <c r="CEM15" s="28"/>
      <c r="CEN15" s="29"/>
      <c r="CEO15" s="30"/>
      <c r="CEP15" s="29"/>
      <c r="CEQ15" s="28"/>
      <c r="CER15" s="29"/>
      <c r="CES15" s="29"/>
      <c r="CET15" s="28"/>
      <c r="CEU15" s="29"/>
      <c r="CEV15" s="30"/>
      <c r="CEW15" s="28"/>
      <c r="CEX15" s="29"/>
      <c r="CEY15" s="30"/>
      <c r="CEZ15" s="29"/>
      <c r="CFA15" s="28"/>
      <c r="CFB15" s="29"/>
      <c r="CFC15" s="29"/>
      <c r="CFD15" s="28"/>
      <c r="CFE15" s="29"/>
      <c r="CFF15" s="30"/>
      <c r="CFG15" s="28"/>
      <c r="CFH15" s="29"/>
      <c r="CFI15" s="30"/>
      <c r="CFJ15" s="29"/>
      <c r="CFK15" s="28"/>
      <c r="CFL15" s="29"/>
      <c r="CFM15" s="29"/>
      <c r="CFN15" s="28"/>
      <c r="CFO15" s="29"/>
      <c r="CFP15" s="30"/>
      <c r="CFQ15" s="28"/>
      <c r="CFR15" s="30"/>
      <c r="CFS15" s="29"/>
      <c r="CFT15" s="28"/>
      <c r="CFU15" s="29"/>
      <c r="CFV15" s="28"/>
      <c r="CFW15" s="28"/>
      <c r="CFX15" s="28"/>
      <c r="CFY15" s="29"/>
      <c r="CFZ15" s="385"/>
      <c r="CGA15" s="29"/>
      <c r="CGB15" s="385"/>
      <c r="CGC15" s="29"/>
      <c r="CGD15" s="385"/>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30"/>
      <c r="CHK15" s="28"/>
      <c r="CHL15" s="29"/>
      <c r="CHM15" s="30"/>
      <c r="CHN15" s="29"/>
      <c r="CHO15" s="29"/>
      <c r="CHP15" s="29"/>
      <c r="CHQ15" s="28"/>
      <c r="CHR15" s="29"/>
      <c r="CHS15" s="29"/>
      <c r="CHT15" s="28"/>
      <c r="CHU15" s="29"/>
      <c r="CHV15" s="30"/>
      <c r="CHW15" s="28"/>
      <c r="CHX15" s="29"/>
      <c r="CHY15" s="30"/>
      <c r="CHZ15" s="29"/>
      <c r="CIA15" s="28"/>
      <c r="CIB15" s="29"/>
      <c r="CIC15" s="29"/>
      <c r="CID15" s="28"/>
      <c r="CIE15" s="29"/>
      <c r="CIF15" s="30"/>
      <c r="CIG15" s="28"/>
      <c r="CIH15" s="29"/>
      <c r="CII15" s="30"/>
      <c r="CIJ15" s="29"/>
      <c r="CIK15" s="28"/>
      <c r="CIL15" s="29"/>
      <c r="CIM15" s="29"/>
      <c r="CIN15" s="28"/>
      <c r="CIO15" s="29"/>
      <c r="CIP15" s="30"/>
      <c r="CIQ15" s="28"/>
      <c r="CIR15" s="29"/>
      <c r="CIS15" s="30"/>
      <c r="CIT15" s="29"/>
      <c r="CIU15" s="28"/>
      <c r="CIV15" s="29"/>
      <c r="CIW15" s="29"/>
      <c r="CIX15" s="28"/>
      <c r="CIY15" s="29"/>
      <c r="CIZ15" s="30"/>
      <c r="CJA15" s="28"/>
      <c r="CJB15" s="30"/>
      <c r="CJC15" s="29"/>
      <c r="CJD15" s="28"/>
      <c r="CJE15" s="29"/>
      <c r="CJF15" s="28"/>
      <c r="CJG15" s="28"/>
      <c r="CJH15" s="28"/>
      <c r="CJI15" s="29"/>
      <c r="CJJ15" s="385"/>
      <c r="CJK15" s="29"/>
      <c r="CJL15" s="385"/>
      <c r="CJM15" s="29"/>
      <c r="CJN15" s="385"/>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30"/>
      <c r="CKU15" s="28"/>
      <c r="CKV15" s="29"/>
      <c r="CKW15" s="30"/>
      <c r="CKX15" s="29"/>
      <c r="CKY15" s="29"/>
      <c r="CKZ15" s="29"/>
      <c r="CLA15" s="28"/>
      <c r="CLB15" s="29"/>
      <c r="CLC15" s="29"/>
      <c r="CLD15" s="28"/>
      <c r="CLE15" s="29"/>
      <c r="CLF15" s="30"/>
      <c r="CLG15" s="28"/>
      <c r="CLH15" s="29"/>
      <c r="CLI15" s="30"/>
      <c r="CLJ15" s="29"/>
      <c r="CLK15" s="28"/>
      <c r="CLL15" s="29"/>
      <c r="CLM15" s="29"/>
      <c r="CLN15" s="28"/>
      <c r="CLO15" s="29"/>
      <c r="CLP15" s="30"/>
      <c r="CLQ15" s="28"/>
      <c r="CLR15" s="29"/>
      <c r="CLS15" s="30"/>
      <c r="CLT15" s="29"/>
      <c r="CLU15" s="28"/>
      <c r="CLV15" s="29"/>
      <c r="CLW15" s="29"/>
      <c r="CLX15" s="28"/>
      <c r="CLY15" s="29"/>
      <c r="CLZ15" s="30"/>
      <c r="CMA15" s="28"/>
      <c r="CMB15" s="29"/>
      <c r="CMC15" s="30"/>
      <c r="CMD15" s="29"/>
      <c r="CME15" s="28"/>
      <c r="CMF15" s="29"/>
      <c r="CMG15" s="29"/>
      <c r="CMH15" s="28"/>
      <c r="CMI15" s="29"/>
      <c r="CMJ15" s="30"/>
      <c r="CMK15" s="28"/>
      <c r="CML15" s="30"/>
      <c r="CMM15" s="29"/>
      <c r="CMN15" s="28"/>
      <c r="CMO15" s="29"/>
      <c r="CMP15" s="28"/>
      <c r="CMQ15" s="28"/>
      <c r="CMR15" s="28"/>
      <c r="CMS15" s="29"/>
      <c r="CMT15" s="385"/>
      <c r="CMU15" s="29"/>
      <c r="CMV15" s="385"/>
      <c r="CMW15" s="29"/>
      <c r="CMX15" s="385"/>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30"/>
      <c r="COE15" s="28"/>
      <c r="COF15" s="29"/>
      <c r="COG15" s="30"/>
      <c r="COH15" s="29"/>
      <c r="COI15" s="29"/>
      <c r="COJ15" s="29"/>
      <c r="COK15" s="28"/>
      <c r="COL15" s="29"/>
      <c r="COM15" s="29"/>
      <c r="CON15" s="28"/>
      <c r="COO15" s="29"/>
      <c r="COP15" s="30"/>
      <c r="COQ15" s="28"/>
      <c r="COR15" s="29"/>
      <c r="COS15" s="30"/>
      <c r="COT15" s="29"/>
      <c r="COU15" s="28"/>
      <c r="COV15" s="29"/>
      <c r="COW15" s="29"/>
      <c r="COX15" s="28"/>
      <c r="COY15" s="29"/>
      <c r="COZ15" s="30"/>
      <c r="CPA15" s="28"/>
      <c r="CPB15" s="29"/>
      <c r="CPC15" s="30"/>
      <c r="CPD15" s="29"/>
      <c r="CPE15" s="28"/>
      <c r="CPF15" s="29"/>
      <c r="CPG15" s="29"/>
      <c r="CPH15" s="28"/>
      <c r="CPI15" s="29"/>
      <c r="CPJ15" s="30"/>
      <c r="CPK15" s="28"/>
      <c r="CPL15" s="29"/>
      <c r="CPM15" s="30"/>
      <c r="CPN15" s="29"/>
      <c r="CPO15" s="28"/>
      <c r="CPP15" s="29"/>
      <c r="CPQ15" s="29"/>
      <c r="CPR15" s="28"/>
      <c r="CPS15" s="29"/>
      <c r="CPT15" s="30"/>
      <c r="CPU15" s="28"/>
      <c r="CPV15" s="30"/>
      <c r="CPW15" s="29"/>
      <c r="CPX15" s="28"/>
      <c r="CPY15" s="29"/>
      <c r="CPZ15" s="28"/>
      <c r="CQA15" s="28"/>
      <c r="CQB15" s="28"/>
      <c r="CQC15" s="29"/>
      <c r="CQD15" s="385"/>
      <c r="CQE15" s="29"/>
      <c r="CQF15" s="385"/>
      <c r="CQG15" s="29"/>
      <c r="CQH15" s="385"/>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30"/>
      <c r="CRO15" s="28"/>
      <c r="CRP15" s="29"/>
      <c r="CRQ15" s="30"/>
      <c r="CRR15" s="29"/>
      <c r="CRS15" s="29"/>
      <c r="CRT15" s="29"/>
      <c r="CRU15" s="28"/>
      <c r="CRV15" s="29"/>
      <c r="CRW15" s="29"/>
      <c r="CRX15" s="28"/>
      <c r="CRY15" s="29"/>
      <c r="CRZ15" s="30"/>
      <c r="CSA15" s="28"/>
      <c r="CSB15" s="29"/>
      <c r="CSC15" s="30"/>
      <c r="CSD15" s="29"/>
      <c r="CSE15" s="28"/>
      <c r="CSF15" s="29"/>
      <c r="CSG15" s="29"/>
      <c r="CSH15" s="28"/>
      <c r="CSI15" s="29"/>
      <c r="CSJ15" s="30"/>
      <c r="CSK15" s="28"/>
      <c r="CSL15" s="29"/>
      <c r="CSM15" s="30"/>
      <c r="CSN15" s="29"/>
      <c r="CSO15" s="28"/>
      <c r="CSP15" s="29"/>
      <c r="CSQ15" s="29"/>
      <c r="CSR15" s="28"/>
      <c r="CSS15" s="29"/>
      <c r="CST15" s="30"/>
      <c r="CSU15" s="28"/>
      <c r="CSV15" s="29"/>
      <c r="CSW15" s="30"/>
      <c r="CSX15" s="29"/>
      <c r="CSY15" s="28"/>
      <c r="CSZ15" s="29"/>
      <c r="CTA15" s="29"/>
      <c r="CTB15" s="28"/>
      <c r="CTC15" s="29"/>
      <c r="CTD15" s="30"/>
      <c r="CTE15" s="28"/>
      <c r="CTF15" s="30"/>
      <c r="CTG15" s="29"/>
      <c r="CTH15" s="28"/>
      <c r="CTI15" s="29"/>
      <c r="CTJ15" s="28"/>
      <c r="CTK15" s="28"/>
      <c r="CTL15" s="28"/>
      <c r="CTM15" s="29"/>
      <c r="CTN15" s="385"/>
      <c r="CTO15" s="29"/>
      <c r="CTP15" s="385"/>
      <c r="CTQ15" s="29"/>
      <c r="CTR15" s="385"/>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30"/>
      <c r="CUY15" s="28"/>
      <c r="CUZ15" s="29"/>
      <c r="CVA15" s="30"/>
      <c r="CVB15" s="29"/>
      <c r="CVC15" s="29"/>
      <c r="CVD15" s="29"/>
      <c r="CVE15" s="28"/>
      <c r="CVF15" s="29"/>
      <c r="CVG15" s="29"/>
      <c r="CVH15" s="28"/>
      <c r="CVI15" s="29"/>
      <c r="CVJ15" s="30"/>
      <c r="CVK15" s="28"/>
      <c r="CVL15" s="29"/>
      <c r="CVM15" s="30"/>
      <c r="CVN15" s="29"/>
      <c r="CVO15" s="28"/>
      <c r="CVP15" s="29"/>
      <c r="CVQ15" s="29"/>
      <c r="CVR15" s="28"/>
      <c r="CVS15" s="29"/>
      <c r="CVT15" s="30"/>
      <c r="CVU15" s="28"/>
      <c r="CVV15" s="29"/>
      <c r="CVW15" s="30"/>
      <c r="CVX15" s="29"/>
      <c r="CVY15" s="28"/>
      <c r="CVZ15" s="29"/>
      <c r="CWA15" s="29"/>
      <c r="CWB15" s="28"/>
      <c r="CWC15" s="29"/>
      <c r="CWD15" s="30"/>
      <c r="CWE15" s="28"/>
      <c r="CWF15" s="29"/>
      <c r="CWG15" s="30"/>
      <c r="CWH15" s="29"/>
      <c r="CWI15" s="28"/>
      <c r="CWJ15" s="29"/>
      <c r="CWK15" s="29"/>
      <c r="CWL15" s="28"/>
      <c r="CWM15" s="29"/>
      <c r="CWN15" s="30"/>
      <c r="CWO15" s="28"/>
      <c r="CWP15" s="30"/>
      <c r="CWQ15" s="29"/>
      <c r="CWR15" s="28"/>
      <c r="CWS15" s="29"/>
      <c r="CWT15" s="28"/>
      <c r="CWU15" s="28"/>
      <c r="CWV15" s="28"/>
      <c r="CWW15" s="29"/>
      <c r="CWX15" s="385"/>
      <c r="CWY15" s="29"/>
      <c r="CWZ15" s="385"/>
      <c r="CXA15" s="29"/>
      <c r="CXB15" s="385"/>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30"/>
      <c r="CYI15" s="28"/>
      <c r="CYJ15" s="29"/>
      <c r="CYK15" s="30"/>
      <c r="CYL15" s="29"/>
      <c r="CYM15" s="29"/>
      <c r="CYN15" s="29"/>
      <c r="CYO15" s="28"/>
      <c r="CYP15" s="29"/>
      <c r="CYQ15" s="29"/>
      <c r="CYR15" s="28"/>
      <c r="CYS15" s="29"/>
      <c r="CYT15" s="30"/>
      <c r="CYU15" s="28"/>
      <c r="CYV15" s="29"/>
      <c r="CYW15" s="30"/>
      <c r="CYX15" s="29"/>
      <c r="CYY15" s="28"/>
      <c r="CYZ15" s="29"/>
      <c r="CZA15" s="29"/>
      <c r="CZB15" s="28"/>
      <c r="CZC15" s="29"/>
      <c r="CZD15" s="30"/>
      <c r="CZE15" s="28"/>
      <c r="CZF15" s="29"/>
      <c r="CZG15" s="30"/>
      <c r="CZH15" s="29"/>
      <c r="CZI15" s="28"/>
      <c r="CZJ15" s="29"/>
      <c r="CZK15" s="29"/>
      <c r="CZL15" s="28"/>
      <c r="CZM15" s="29"/>
      <c r="CZN15" s="30"/>
      <c r="CZO15" s="28"/>
      <c r="CZP15" s="29"/>
      <c r="CZQ15" s="30"/>
      <c r="CZR15" s="29"/>
      <c r="CZS15" s="28"/>
      <c r="CZT15" s="29"/>
      <c r="CZU15" s="29"/>
      <c r="CZV15" s="28"/>
      <c r="CZW15" s="29"/>
      <c r="CZX15" s="30"/>
      <c r="CZY15" s="28"/>
      <c r="CZZ15" s="30"/>
      <c r="DAA15" s="29"/>
      <c r="DAB15" s="28"/>
      <c r="DAC15" s="29"/>
      <c r="DAD15" s="28"/>
      <c r="DAE15" s="28"/>
      <c r="DAF15" s="28"/>
      <c r="DAG15" s="29"/>
      <c r="DAH15" s="385"/>
      <c r="DAI15" s="29"/>
      <c r="DAJ15" s="385"/>
      <c r="DAK15" s="29"/>
      <c r="DAL15" s="385"/>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30"/>
      <c r="DBS15" s="28"/>
      <c r="DBT15" s="29"/>
      <c r="DBU15" s="30"/>
      <c r="DBV15" s="29"/>
      <c r="DBW15" s="29"/>
      <c r="DBX15" s="29"/>
      <c r="DBY15" s="28"/>
      <c r="DBZ15" s="29"/>
      <c r="DCA15" s="29"/>
      <c r="DCB15" s="28"/>
      <c r="DCC15" s="29"/>
      <c r="DCD15" s="30"/>
      <c r="DCE15" s="28"/>
      <c r="DCF15" s="29"/>
      <c r="DCG15" s="30"/>
      <c r="DCH15" s="29"/>
      <c r="DCI15" s="28"/>
      <c r="DCJ15" s="29"/>
      <c r="DCK15" s="29"/>
      <c r="DCL15" s="28"/>
      <c r="DCM15" s="29"/>
      <c r="DCN15" s="30"/>
      <c r="DCO15" s="28"/>
      <c r="DCP15" s="29"/>
      <c r="DCQ15" s="30"/>
      <c r="DCR15" s="29"/>
      <c r="DCS15" s="28"/>
      <c r="DCT15" s="29"/>
      <c r="DCU15" s="29"/>
      <c r="DCV15" s="28"/>
      <c r="DCW15" s="29"/>
      <c r="DCX15" s="30"/>
      <c r="DCY15" s="28"/>
      <c r="DCZ15" s="29"/>
      <c r="DDA15" s="30"/>
      <c r="DDB15" s="29"/>
      <c r="DDC15" s="28"/>
      <c r="DDD15" s="29"/>
      <c r="DDE15" s="29"/>
      <c r="DDF15" s="28"/>
      <c r="DDG15" s="29"/>
      <c r="DDH15" s="30"/>
      <c r="DDI15" s="28"/>
      <c r="DDJ15" s="30"/>
      <c r="DDK15" s="29"/>
      <c r="DDL15" s="28"/>
      <c r="DDM15" s="29"/>
      <c r="DDN15" s="28"/>
      <c r="DDO15" s="28"/>
      <c r="DDP15" s="28"/>
      <c r="DDQ15" s="29"/>
      <c r="DDR15" s="385"/>
      <c r="DDS15" s="29"/>
      <c r="DDT15" s="385"/>
      <c r="DDU15" s="29"/>
      <c r="DDV15" s="385"/>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30"/>
      <c r="DFC15" s="28"/>
      <c r="DFD15" s="29"/>
      <c r="DFE15" s="30"/>
      <c r="DFF15" s="29"/>
      <c r="DFG15" s="29"/>
      <c r="DFH15" s="29"/>
      <c r="DFI15" s="28"/>
      <c r="DFJ15" s="29"/>
      <c r="DFK15" s="29"/>
      <c r="DFL15" s="28"/>
      <c r="DFM15" s="29"/>
      <c r="DFN15" s="30"/>
      <c r="DFO15" s="28"/>
      <c r="DFP15" s="29"/>
      <c r="DFQ15" s="30"/>
      <c r="DFR15" s="29"/>
      <c r="DFS15" s="28"/>
      <c r="DFT15" s="29"/>
      <c r="DFU15" s="29"/>
      <c r="DFV15" s="28"/>
      <c r="DFW15" s="29"/>
      <c r="DFX15" s="30"/>
      <c r="DFY15" s="28"/>
      <c r="DFZ15" s="29"/>
      <c r="DGA15" s="30"/>
      <c r="DGB15" s="29"/>
      <c r="DGC15" s="28"/>
      <c r="DGD15" s="29"/>
      <c r="DGE15" s="29"/>
      <c r="DGF15" s="28"/>
      <c r="DGG15" s="29"/>
      <c r="DGH15" s="30"/>
      <c r="DGI15" s="28"/>
      <c r="DGJ15" s="29"/>
      <c r="DGK15" s="30"/>
      <c r="DGL15" s="29"/>
      <c r="DGM15" s="28"/>
      <c r="DGN15" s="29"/>
      <c r="DGO15" s="29"/>
      <c r="DGP15" s="28"/>
      <c r="DGQ15" s="29"/>
      <c r="DGR15" s="30"/>
      <c r="DGS15" s="28"/>
      <c r="DGT15" s="30"/>
      <c r="DGU15" s="29"/>
      <c r="DGV15" s="28"/>
      <c r="DGW15" s="29"/>
      <c r="DGX15" s="28"/>
      <c r="DGY15" s="28"/>
      <c r="DGZ15" s="28"/>
      <c r="DHA15" s="29"/>
      <c r="DHB15" s="385"/>
      <c r="DHC15" s="29"/>
      <c r="DHD15" s="385"/>
      <c r="DHE15" s="29"/>
      <c r="DHF15" s="385"/>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30"/>
      <c r="DIM15" s="28"/>
      <c r="DIN15" s="29"/>
      <c r="DIO15" s="30"/>
      <c r="DIP15" s="29"/>
      <c r="DIQ15" s="29"/>
      <c r="DIR15" s="29"/>
      <c r="DIS15" s="28"/>
      <c r="DIT15" s="29"/>
      <c r="DIU15" s="29"/>
      <c r="DIV15" s="28"/>
      <c r="DIW15" s="29"/>
      <c r="DIX15" s="30"/>
      <c r="DIY15" s="28"/>
      <c r="DIZ15" s="29"/>
      <c r="DJA15" s="30"/>
      <c r="DJB15" s="29"/>
      <c r="DJC15" s="28"/>
      <c r="DJD15" s="29"/>
      <c r="DJE15" s="29"/>
      <c r="DJF15" s="28"/>
      <c r="DJG15" s="29"/>
      <c r="DJH15" s="30"/>
      <c r="DJI15" s="28"/>
      <c r="DJJ15" s="29"/>
      <c r="DJK15" s="30"/>
      <c r="DJL15" s="29"/>
      <c r="DJM15" s="28"/>
      <c r="DJN15" s="29"/>
      <c r="DJO15" s="29"/>
      <c r="DJP15" s="28"/>
      <c r="DJQ15" s="29"/>
      <c r="DJR15" s="30"/>
      <c r="DJS15" s="28"/>
      <c r="DJT15" s="29"/>
      <c r="DJU15" s="30"/>
      <c r="DJV15" s="29"/>
      <c r="DJW15" s="28"/>
      <c r="DJX15" s="29"/>
      <c r="DJY15" s="29"/>
      <c r="DJZ15" s="28"/>
      <c r="DKA15" s="29"/>
      <c r="DKB15" s="30"/>
      <c r="DKC15" s="28"/>
      <c r="DKD15" s="30"/>
      <c r="DKE15" s="29"/>
      <c r="DKF15" s="28"/>
      <c r="DKG15" s="29"/>
      <c r="DKH15" s="28"/>
      <c r="DKI15" s="28"/>
      <c r="DKJ15" s="28"/>
      <c r="DKK15" s="29"/>
      <c r="DKL15" s="385"/>
      <c r="DKM15" s="29"/>
      <c r="DKN15" s="385"/>
      <c r="DKO15" s="29"/>
      <c r="DKP15" s="385"/>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30"/>
      <c r="DLW15" s="28"/>
      <c r="DLX15" s="29"/>
      <c r="DLY15" s="30"/>
      <c r="DLZ15" s="29"/>
      <c r="DMA15" s="29"/>
      <c r="DMB15" s="29"/>
      <c r="DMC15" s="28"/>
      <c r="DMD15" s="29"/>
      <c r="DME15" s="29"/>
      <c r="DMF15" s="28"/>
      <c r="DMG15" s="29"/>
      <c r="DMH15" s="30"/>
      <c r="DMI15" s="28"/>
      <c r="DMJ15" s="29"/>
      <c r="DMK15" s="30"/>
      <c r="DML15" s="29"/>
      <c r="DMM15" s="28"/>
      <c r="DMN15" s="29"/>
      <c r="DMO15" s="29"/>
      <c r="DMP15" s="28"/>
      <c r="DMQ15" s="29"/>
      <c r="DMR15" s="30"/>
      <c r="DMS15" s="28"/>
      <c r="DMT15" s="29"/>
      <c r="DMU15" s="30"/>
      <c r="DMV15" s="29"/>
      <c r="DMW15" s="28"/>
      <c r="DMX15" s="29"/>
      <c r="DMY15" s="29"/>
      <c r="DMZ15" s="28"/>
      <c r="DNA15" s="29"/>
      <c r="DNB15" s="30"/>
      <c r="DNC15" s="28"/>
      <c r="DND15" s="29"/>
      <c r="DNE15" s="30"/>
      <c r="DNF15" s="29"/>
      <c r="DNG15" s="28"/>
      <c r="DNH15" s="29"/>
      <c r="DNI15" s="29"/>
      <c r="DNJ15" s="28"/>
      <c r="DNK15" s="29"/>
      <c r="DNL15" s="30"/>
      <c r="DNM15" s="28"/>
      <c r="DNN15" s="30"/>
      <c r="DNO15" s="29"/>
      <c r="DNP15" s="28"/>
      <c r="DNQ15" s="29"/>
      <c r="DNR15" s="28"/>
      <c r="DNS15" s="28"/>
      <c r="DNT15" s="28"/>
      <c r="DNU15" s="29"/>
      <c r="DNV15" s="385"/>
      <c r="DNW15" s="29"/>
      <c r="DNX15" s="385"/>
      <c r="DNY15" s="29"/>
      <c r="DNZ15" s="385"/>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30"/>
      <c r="DPG15" s="28"/>
      <c r="DPH15" s="29"/>
      <c r="DPI15" s="30"/>
      <c r="DPJ15" s="29"/>
      <c r="DPK15" s="29"/>
      <c r="DPL15" s="29"/>
      <c r="DPM15" s="28"/>
      <c r="DPN15" s="29"/>
      <c r="DPO15" s="29"/>
      <c r="DPP15" s="28"/>
      <c r="DPQ15" s="29"/>
      <c r="DPR15" s="30"/>
      <c r="DPS15" s="28"/>
      <c r="DPT15" s="29"/>
      <c r="DPU15" s="30"/>
      <c r="DPV15" s="29"/>
      <c r="DPW15" s="28"/>
      <c r="DPX15" s="29"/>
      <c r="DPY15" s="29"/>
      <c r="DPZ15" s="28"/>
      <c r="DQA15" s="29"/>
      <c r="DQB15" s="30"/>
      <c r="DQC15" s="28"/>
      <c r="DQD15" s="29"/>
      <c r="DQE15" s="30"/>
      <c r="DQF15" s="29"/>
      <c r="DQG15" s="28"/>
      <c r="DQH15" s="29"/>
      <c r="DQI15" s="29"/>
      <c r="DQJ15" s="28"/>
      <c r="DQK15" s="29"/>
      <c r="DQL15" s="30"/>
      <c r="DQM15" s="28"/>
      <c r="DQN15" s="29"/>
      <c r="DQO15" s="30"/>
      <c r="DQP15" s="29"/>
      <c r="DQQ15" s="28"/>
      <c r="DQR15" s="29"/>
      <c r="DQS15" s="29"/>
      <c r="DQT15" s="28"/>
      <c r="DQU15" s="29"/>
      <c r="DQV15" s="30"/>
      <c r="DQW15" s="28"/>
      <c r="DQX15" s="30"/>
      <c r="DQY15" s="29"/>
      <c r="DQZ15" s="28"/>
      <c r="DRA15" s="29"/>
      <c r="DRB15" s="28"/>
      <c r="DRC15" s="28"/>
      <c r="DRD15" s="28"/>
      <c r="DRE15" s="29"/>
      <c r="DRF15" s="385"/>
      <c r="DRG15" s="29"/>
      <c r="DRH15" s="385"/>
      <c r="DRI15" s="29"/>
      <c r="DRJ15" s="385"/>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30"/>
      <c r="DSQ15" s="28"/>
      <c r="DSR15" s="29"/>
      <c r="DSS15" s="30"/>
      <c r="DST15" s="29"/>
      <c r="DSU15" s="29"/>
      <c r="DSV15" s="29"/>
      <c r="DSW15" s="28"/>
      <c r="DSX15" s="29"/>
      <c r="DSY15" s="29"/>
      <c r="DSZ15" s="28"/>
      <c r="DTA15" s="29"/>
      <c r="DTB15" s="30"/>
      <c r="DTC15" s="28"/>
      <c r="DTD15" s="29"/>
      <c r="DTE15" s="30"/>
      <c r="DTF15" s="29"/>
      <c r="DTG15" s="28"/>
      <c r="DTH15" s="29"/>
      <c r="DTI15" s="29"/>
      <c r="DTJ15" s="28"/>
      <c r="DTK15" s="29"/>
      <c r="DTL15" s="30"/>
      <c r="DTM15" s="28"/>
      <c r="DTN15" s="29"/>
      <c r="DTO15" s="30"/>
      <c r="DTP15" s="29"/>
      <c r="DTQ15" s="28"/>
      <c r="DTR15" s="29"/>
      <c r="DTS15" s="29"/>
      <c r="DTT15" s="28"/>
      <c r="DTU15" s="29"/>
      <c r="DTV15" s="30"/>
      <c r="DTW15" s="28"/>
      <c r="DTX15" s="29"/>
      <c r="DTY15" s="30"/>
      <c r="DTZ15" s="29"/>
      <c r="DUA15" s="28"/>
      <c r="DUB15" s="29"/>
      <c r="DUC15" s="29"/>
      <c r="DUD15" s="28"/>
      <c r="DUE15" s="29"/>
      <c r="DUF15" s="30"/>
      <c r="DUG15" s="28"/>
      <c r="DUH15" s="30"/>
      <c r="DUI15" s="29"/>
      <c r="DUJ15" s="28"/>
      <c r="DUK15" s="29"/>
      <c r="DUL15" s="28"/>
      <c r="DUM15" s="28"/>
      <c r="DUN15" s="28"/>
      <c r="DUO15" s="29"/>
      <c r="DUP15" s="385"/>
      <c r="DUQ15" s="29"/>
      <c r="DUR15" s="385"/>
      <c r="DUS15" s="29"/>
      <c r="DUT15" s="385"/>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30"/>
      <c r="DWA15" s="28"/>
      <c r="DWB15" s="29"/>
      <c r="DWC15" s="30"/>
      <c r="DWD15" s="29"/>
      <c r="DWE15" s="29"/>
      <c r="DWF15" s="29"/>
      <c r="DWG15" s="28"/>
      <c r="DWH15" s="29"/>
      <c r="DWI15" s="29"/>
      <c r="DWJ15" s="28"/>
      <c r="DWK15" s="29"/>
      <c r="DWL15" s="30"/>
      <c r="DWM15" s="28"/>
      <c r="DWN15" s="29"/>
      <c r="DWO15" s="30"/>
      <c r="DWP15" s="29"/>
      <c r="DWQ15" s="28"/>
      <c r="DWR15" s="29"/>
      <c r="DWS15" s="29"/>
      <c r="DWT15" s="28"/>
      <c r="DWU15" s="29"/>
      <c r="DWV15" s="30"/>
      <c r="DWW15" s="28"/>
      <c r="DWX15" s="29"/>
      <c r="DWY15" s="30"/>
      <c r="DWZ15" s="29"/>
      <c r="DXA15" s="28"/>
      <c r="DXB15" s="29"/>
      <c r="DXC15" s="29"/>
      <c r="DXD15" s="28"/>
      <c r="DXE15" s="29"/>
      <c r="DXF15" s="30"/>
      <c r="DXG15" s="28"/>
      <c r="DXH15" s="29"/>
      <c r="DXI15" s="30"/>
      <c r="DXJ15" s="29"/>
      <c r="DXK15" s="28"/>
      <c r="DXL15" s="29"/>
      <c r="DXM15" s="29"/>
      <c r="DXN15" s="28"/>
      <c r="DXO15" s="29"/>
      <c r="DXP15" s="30"/>
      <c r="DXQ15" s="28"/>
      <c r="DXR15" s="30"/>
      <c r="DXS15" s="29"/>
      <c r="DXT15" s="28"/>
      <c r="DXU15" s="29"/>
      <c r="DXV15" s="28"/>
      <c r="DXW15" s="28"/>
      <c r="DXX15" s="28"/>
      <c r="DXY15" s="29"/>
      <c r="DXZ15" s="385"/>
      <c r="DYA15" s="29"/>
      <c r="DYB15" s="385"/>
      <c r="DYC15" s="29"/>
      <c r="DYD15" s="385"/>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30"/>
      <c r="DZK15" s="28"/>
      <c r="DZL15" s="29"/>
      <c r="DZM15" s="30"/>
      <c r="DZN15" s="29"/>
      <c r="DZO15" s="29"/>
      <c r="DZP15" s="29"/>
      <c r="DZQ15" s="28"/>
      <c r="DZR15" s="29"/>
      <c r="DZS15" s="29"/>
      <c r="DZT15" s="28"/>
      <c r="DZU15" s="29"/>
      <c r="DZV15" s="30"/>
      <c r="DZW15" s="28"/>
      <c r="DZX15" s="29"/>
      <c r="DZY15" s="30"/>
      <c r="DZZ15" s="29"/>
      <c r="EAA15" s="28"/>
      <c r="EAB15" s="29"/>
      <c r="EAC15" s="29"/>
      <c r="EAD15" s="28"/>
      <c r="EAE15" s="29"/>
      <c r="EAF15" s="30"/>
      <c r="EAG15" s="28"/>
      <c r="EAH15" s="29"/>
      <c r="EAI15" s="30"/>
      <c r="EAJ15" s="29"/>
      <c r="EAK15" s="28"/>
      <c r="EAL15" s="29"/>
      <c r="EAM15" s="29"/>
      <c r="EAN15" s="28"/>
      <c r="EAO15" s="29"/>
      <c r="EAP15" s="30"/>
      <c r="EAQ15" s="28"/>
      <c r="EAR15" s="29"/>
      <c r="EAS15" s="30"/>
      <c r="EAT15" s="29"/>
      <c r="EAU15" s="28"/>
      <c r="EAV15" s="29"/>
      <c r="EAW15" s="29"/>
      <c r="EAX15" s="28"/>
      <c r="EAY15" s="29"/>
      <c r="EAZ15" s="30"/>
      <c r="EBA15" s="28"/>
      <c r="EBB15" s="30"/>
      <c r="EBC15" s="29"/>
      <c r="EBD15" s="28"/>
      <c r="EBE15" s="29"/>
      <c r="EBF15" s="28"/>
      <c r="EBG15" s="28"/>
      <c r="EBH15" s="28"/>
      <c r="EBI15" s="29"/>
      <c r="EBJ15" s="385"/>
      <c r="EBK15" s="29"/>
      <c r="EBL15" s="385"/>
      <c r="EBM15" s="29"/>
      <c r="EBN15" s="385"/>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30"/>
      <c r="ECU15" s="28"/>
      <c r="ECV15" s="29"/>
      <c r="ECW15" s="30"/>
      <c r="ECX15" s="29"/>
      <c r="ECY15" s="29"/>
      <c r="ECZ15" s="29"/>
      <c r="EDA15" s="28"/>
      <c r="EDB15" s="29"/>
      <c r="EDC15" s="29"/>
      <c r="EDD15" s="28"/>
      <c r="EDE15" s="29"/>
      <c r="EDF15" s="30"/>
      <c r="EDG15" s="28"/>
      <c r="EDH15" s="29"/>
      <c r="EDI15" s="30"/>
      <c r="EDJ15" s="29"/>
      <c r="EDK15" s="28"/>
      <c r="EDL15" s="29"/>
      <c r="EDM15" s="29"/>
      <c r="EDN15" s="28"/>
      <c r="EDO15" s="29"/>
      <c r="EDP15" s="30"/>
      <c r="EDQ15" s="28"/>
      <c r="EDR15" s="29"/>
      <c r="EDS15" s="30"/>
      <c r="EDT15" s="29"/>
      <c r="EDU15" s="28"/>
      <c r="EDV15" s="29"/>
      <c r="EDW15" s="29"/>
      <c r="EDX15" s="28"/>
      <c r="EDY15" s="29"/>
      <c r="EDZ15" s="30"/>
      <c r="EEA15" s="28"/>
      <c r="EEB15" s="29"/>
      <c r="EEC15" s="30"/>
      <c r="EED15" s="29"/>
      <c r="EEE15" s="28"/>
      <c r="EEF15" s="29"/>
      <c r="EEG15" s="29"/>
      <c r="EEH15" s="28"/>
      <c r="EEI15" s="29"/>
      <c r="EEJ15" s="30"/>
      <c r="EEK15" s="28"/>
      <c r="EEL15" s="30"/>
      <c r="EEM15" s="29"/>
      <c r="EEN15" s="28"/>
      <c r="EEO15" s="29"/>
      <c r="EEP15" s="28"/>
      <c r="EEQ15" s="28"/>
      <c r="EER15" s="28"/>
      <c r="EES15" s="29"/>
      <c r="EET15" s="385"/>
      <c r="EEU15" s="29"/>
      <c r="EEV15" s="385"/>
      <c r="EEW15" s="29"/>
      <c r="EEX15" s="385"/>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30"/>
      <c r="EGE15" s="28"/>
      <c r="EGF15" s="29"/>
      <c r="EGG15" s="30"/>
      <c r="EGH15" s="29"/>
      <c r="EGI15" s="29"/>
      <c r="EGJ15" s="29"/>
      <c r="EGK15" s="28"/>
      <c r="EGL15" s="29"/>
      <c r="EGM15" s="29"/>
      <c r="EGN15" s="28"/>
      <c r="EGO15" s="29"/>
      <c r="EGP15" s="30"/>
      <c r="EGQ15" s="28"/>
      <c r="EGR15" s="29"/>
      <c r="EGS15" s="30"/>
      <c r="EGT15" s="29"/>
      <c r="EGU15" s="28"/>
      <c r="EGV15" s="29"/>
      <c r="EGW15" s="29"/>
      <c r="EGX15" s="28"/>
      <c r="EGY15" s="29"/>
      <c r="EGZ15" s="30"/>
      <c r="EHA15" s="28"/>
      <c r="EHB15" s="29"/>
      <c r="EHC15" s="30"/>
      <c r="EHD15" s="29"/>
      <c r="EHE15" s="28"/>
      <c r="EHF15" s="29"/>
      <c r="EHG15" s="29"/>
      <c r="EHH15" s="28"/>
      <c r="EHI15" s="29"/>
      <c r="EHJ15" s="30"/>
      <c r="EHK15" s="28"/>
      <c r="EHL15" s="29"/>
      <c r="EHM15" s="30"/>
      <c r="EHN15" s="29"/>
      <c r="EHO15" s="28"/>
      <c r="EHP15" s="29"/>
      <c r="EHQ15" s="29"/>
      <c r="EHR15" s="28"/>
      <c r="EHS15" s="29"/>
      <c r="EHT15" s="30"/>
      <c r="EHU15" s="28"/>
      <c r="EHV15" s="30"/>
      <c r="EHW15" s="29"/>
      <c r="EHX15" s="28"/>
      <c r="EHY15" s="29"/>
      <c r="EHZ15" s="28"/>
      <c r="EIA15" s="28"/>
      <c r="EIB15" s="28"/>
      <c r="EIC15" s="29"/>
      <c r="EID15" s="385"/>
      <c r="EIE15" s="29"/>
      <c r="EIF15" s="385"/>
      <c r="EIG15" s="29"/>
      <c r="EIH15" s="385"/>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30"/>
      <c r="EJO15" s="28"/>
      <c r="EJP15" s="29"/>
      <c r="EJQ15" s="30"/>
      <c r="EJR15" s="29"/>
      <c r="EJS15" s="29"/>
      <c r="EJT15" s="29"/>
      <c r="EJU15" s="28"/>
      <c r="EJV15" s="29"/>
      <c r="EJW15" s="29"/>
      <c r="EJX15" s="28"/>
      <c r="EJY15" s="29"/>
      <c r="EJZ15" s="30"/>
      <c r="EKA15" s="28"/>
      <c r="EKB15" s="29"/>
      <c r="EKC15" s="30"/>
      <c r="EKD15" s="29"/>
      <c r="EKE15" s="28"/>
      <c r="EKF15" s="29"/>
      <c r="EKG15" s="29"/>
      <c r="EKH15" s="28"/>
      <c r="EKI15" s="29"/>
      <c r="EKJ15" s="30"/>
      <c r="EKK15" s="28"/>
      <c r="EKL15" s="29"/>
      <c r="EKM15" s="30"/>
      <c r="EKN15" s="29"/>
      <c r="EKO15" s="28"/>
      <c r="EKP15" s="29"/>
      <c r="EKQ15" s="29"/>
      <c r="EKR15" s="28"/>
      <c r="EKS15" s="29"/>
      <c r="EKT15" s="30"/>
      <c r="EKU15" s="28"/>
      <c r="EKV15" s="29"/>
      <c r="EKW15" s="30"/>
      <c r="EKX15" s="29"/>
      <c r="EKY15" s="28"/>
      <c r="EKZ15" s="29"/>
      <c r="ELA15" s="29"/>
      <c r="ELB15" s="28"/>
      <c r="ELC15" s="29"/>
      <c r="ELD15" s="30"/>
      <c r="ELE15" s="28"/>
      <c r="ELF15" s="30"/>
      <c r="ELG15" s="29"/>
      <c r="ELH15" s="28"/>
      <c r="ELI15" s="29"/>
      <c r="ELJ15" s="28"/>
      <c r="ELK15" s="28"/>
      <c r="ELL15" s="28"/>
      <c r="ELM15" s="29"/>
      <c r="ELN15" s="385"/>
      <c r="ELO15" s="29"/>
      <c r="ELP15" s="385"/>
      <c r="ELQ15" s="29"/>
      <c r="ELR15" s="385"/>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30"/>
      <c r="EMY15" s="28"/>
      <c r="EMZ15" s="29"/>
      <c r="ENA15" s="30"/>
      <c r="ENB15" s="29"/>
      <c r="ENC15" s="29"/>
      <c r="END15" s="29"/>
      <c r="ENE15" s="28"/>
      <c r="ENF15" s="29"/>
      <c r="ENG15" s="29"/>
      <c r="ENH15" s="28"/>
      <c r="ENI15" s="29"/>
      <c r="ENJ15" s="30"/>
      <c r="ENK15" s="28"/>
      <c r="ENL15" s="29"/>
      <c r="ENM15" s="30"/>
      <c r="ENN15" s="29"/>
      <c r="ENO15" s="28"/>
      <c r="ENP15" s="29"/>
      <c r="ENQ15" s="29"/>
      <c r="ENR15" s="28"/>
      <c r="ENS15" s="29"/>
      <c r="ENT15" s="30"/>
      <c r="ENU15" s="28"/>
      <c r="ENV15" s="29"/>
      <c r="ENW15" s="30"/>
      <c r="ENX15" s="29"/>
      <c r="ENY15" s="28"/>
      <c r="ENZ15" s="29"/>
      <c r="EOA15" s="29"/>
      <c r="EOB15" s="28"/>
      <c r="EOC15" s="29"/>
      <c r="EOD15" s="30"/>
      <c r="EOE15" s="28"/>
      <c r="EOF15" s="29"/>
      <c r="EOG15" s="30"/>
      <c r="EOH15" s="29"/>
      <c r="EOI15" s="28"/>
      <c r="EOJ15" s="29"/>
      <c r="EOK15" s="29"/>
      <c r="EOL15" s="28"/>
      <c r="EOM15" s="29"/>
      <c r="EON15" s="30" t="s">
        <v>5574</v>
      </c>
      <c r="EOO15" s="28" t="str">
        <f t="shared" si="75"/>
        <v xml:space="preserve"> </v>
      </c>
    </row>
    <row r="16" spans="1:3873" x14ac:dyDescent="0.3">
      <c r="A16" s="55" t="s">
        <v>925</v>
      </c>
      <c r="B16" s="58"/>
      <c r="C16" s="57"/>
      <c r="D16" s="56" t="str">
        <f t="shared" si="61"/>
        <v xml:space="preserve"> </v>
      </c>
      <c r="E16" s="57"/>
      <c r="F16" s="56"/>
      <c r="G16" s="56"/>
      <c r="H16" s="56"/>
      <c r="I16" s="57"/>
      <c r="J16" s="387"/>
      <c r="K16" s="57"/>
      <c r="L16" s="387"/>
      <c r="M16" s="57"/>
      <c r="N16" s="38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8"/>
      <c r="AU16" s="56"/>
      <c r="AV16" s="57"/>
      <c r="AW16" s="57"/>
      <c r="AX16" s="57"/>
      <c r="AY16" s="57"/>
      <c r="AZ16" s="57"/>
      <c r="BA16" s="56"/>
      <c r="BB16" s="57"/>
      <c r="BC16" s="57"/>
      <c r="BD16" s="56"/>
      <c r="BE16" s="57"/>
      <c r="BF16" s="58"/>
      <c r="BG16" s="56"/>
      <c r="BH16" s="57"/>
      <c r="BI16" s="57"/>
      <c r="BJ16" s="57"/>
      <c r="BK16" s="56"/>
      <c r="BL16" s="57"/>
      <c r="BM16" s="57"/>
      <c r="BN16" s="56"/>
      <c r="BO16" s="57"/>
      <c r="BP16" s="58"/>
      <c r="BQ16" s="56"/>
      <c r="BR16" s="57"/>
      <c r="BS16" s="57"/>
      <c r="BT16" s="57"/>
      <c r="BU16" s="56"/>
      <c r="BV16" s="57"/>
      <c r="BW16" s="57"/>
      <c r="BX16" s="56"/>
      <c r="BY16" s="57"/>
      <c r="BZ16" s="58"/>
      <c r="CA16" s="56"/>
      <c r="CB16" s="57"/>
      <c r="CC16" s="57"/>
      <c r="CD16" s="57"/>
      <c r="CE16" s="56"/>
      <c r="CF16" s="57"/>
      <c r="CG16" s="57"/>
      <c r="CH16" s="56"/>
      <c r="CI16" s="57"/>
      <c r="CJ16" s="58"/>
      <c r="CK16" s="56"/>
      <c r="CL16" s="57"/>
      <c r="CM16" s="57"/>
      <c r="CN16" s="57"/>
      <c r="CO16" s="56"/>
      <c r="CP16" s="57"/>
      <c r="CQ16" s="57"/>
      <c r="CR16" s="56"/>
      <c r="CS16" s="57"/>
      <c r="CT16" s="58"/>
      <c r="CU16" s="56"/>
      <c r="CV16" s="57"/>
      <c r="CW16" s="57"/>
      <c r="CX16" s="57"/>
      <c r="CY16" s="56"/>
      <c r="CZ16" s="57"/>
      <c r="DA16" s="57"/>
      <c r="DB16" s="56"/>
      <c r="DC16" s="57"/>
      <c r="DD16" s="58"/>
      <c r="DE16" s="56"/>
      <c r="DF16" s="57"/>
      <c r="DG16" s="57"/>
      <c r="DH16" s="57"/>
      <c r="DI16" s="56"/>
      <c r="DJ16" s="57"/>
      <c r="DK16" s="57"/>
      <c r="DL16" s="56"/>
      <c r="DM16" s="57"/>
      <c r="DN16" s="58"/>
      <c r="DO16" s="56"/>
      <c r="DP16" s="57"/>
      <c r="DQ16" s="57"/>
      <c r="DR16" s="57"/>
      <c r="DS16" s="56"/>
      <c r="DT16" s="57"/>
      <c r="DU16" s="57"/>
      <c r="DV16" s="56"/>
      <c r="DW16" s="57"/>
      <c r="DX16" s="58"/>
      <c r="DY16" s="56"/>
      <c r="DZ16" s="57"/>
      <c r="EA16" s="57"/>
      <c r="EB16" s="57"/>
      <c r="EC16" s="56"/>
      <c r="ED16" s="57"/>
      <c r="EE16" s="56"/>
      <c r="EF16" s="56"/>
      <c r="EG16" s="57"/>
      <c r="EH16" s="58"/>
      <c r="EI16" s="56"/>
      <c r="EJ16" s="57"/>
      <c r="EK16" s="57"/>
      <c r="EL16" s="57"/>
      <c r="EM16" s="56"/>
      <c r="EN16" s="57"/>
      <c r="EO16" s="57"/>
      <c r="EP16" s="56"/>
      <c r="EQ16" s="57"/>
      <c r="ER16" s="58"/>
      <c r="ES16" s="56"/>
      <c r="ET16" s="57"/>
      <c r="EU16" s="57"/>
      <c r="EV16" s="57"/>
      <c r="EW16" s="56"/>
      <c r="EX16" s="57"/>
      <c r="EY16" s="57"/>
      <c r="EZ16" s="56"/>
      <c r="FA16" s="57"/>
      <c r="FB16" s="58"/>
      <c r="FC16" s="56"/>
      <c r="FD16" s="57"/>
      <c r="FE16" s="57"/>
      <c r="FF16" s="57"/>
      <c r="FG16" s="56"/>
      <c r="FH16" s="57"/>
      <c r="FI16" s="57"/>
      <c r="FJ16" s="56"/>
      <c r="FK16" s="57"/>
      <c r="FL16" s="58"/>
      <c r="FM16" s="56"/>
      <c r="FN16" s="57"/>
      <c r="FO16" s="57"/>
      <c r="FP16" s="57"/>
      <c r="FQ16" s="56"/>
      <c r="FR16" s="57"/>
      <c r="FS16" s="57"/>
      <c r="FT16" s="56"/>
      <c r="FU16" s="57"/>
      <c r="FV16" s="58"/>
      <c r="FW16" s="56"/>
      <c r="FX16" s="57"/>
      <c r="FY16" s="57"/>
      <c r="FZ16" s="57"/>
      <c r="GA16" s="56"/>
      <c r="GB16" s="57"/>
      <c r="GC16" s="57"/>
      <c r="GD16" s="56"/>
      <c r="GE16" s="57"/>
      <c r="GF16" s="58"/>
      <c r="GG16" s="56"/>
      <c r="GH16" s="57"/>
      <c r="GI16" s="57"/>
      <c r="GJ16" s="57"/>
      <c r="GK16" s="56"/>
      <c r="GL16" s="57"/>
      <c r="GM16" s="57"/>
      <c r="GN16" s="56"/>
      <c r="GO16" s="57"/>
      <c r="GP16" s="58"/>
      <c r="GQ16" s="56"/>
      <c r="GR16" s="57"/>
      <c r="GS16" s="57"/>
      <c r="GT16" s="57"/>
      <c r="GU16" s="56"/>
      <c r="GV16" s="57"/>
      <c r="GW16" s="57"/>
      <c r="GX16" s="56"/>
      <c r="GY16" s="57"/>
      <c r="GZ16" s="58"/>
      <c r="HA16" s="56"/>
      <c r="HB16" s="57"/>
      <c r="HC16" s="57"/>
      <c r="HD16" s="57"/>
      <c r="HE16" s="56"/>
      <c r="HF16" s="57"/>
      <c r="HG16" s="57"/>
      <c r="HH16" s="56"/>
      <c r="HI16" s="57"/>
      <c r="HJ16" s="58"/>
      <c r="HK16" s="56"/>
      <c r="HL16" s="57"/>
      <c r="HM16" s="57"/>
      <c r="HN16" s="57"/>
      <c r="HO16" s="56"/>
      <c r="HP16" s="57"/>
      <c r="HQ16" s="57"/>
      <c r="HR16" s="56"/>
      <c r="HS16" s="57"/>
      <c r="HT16" s="58"/>
      <c r="HU16" s="56"/>
      <c r="HV16" s="57"/>
      <c r="HW16" s="57"/>
      <c r="HX16" s="57"/>
      <c r="HY16" s="56"/>
      <c r="HZ16" s="57"/>
      <c r="IA16" s="57"/>
      <c r="IB16" s="56"/>
      <c r="IC16" s="57"/>
      <c r="ID16" s="58"/>
      <c r="IE16" s="56"/>
      <c r="IF16" s="57"/>
      <c r="IG16" s="57"/>
      <c r="IH16" s="57"/>
      <c r="II16" s="56"/>
      <c r="IJ16" s="57"/>
      <c r="IK16" s="57"/>
      <c r="IL16" s="56"/>
      <c r="IM16" s="57"/>
      <c r="IN16" s="58"/>
      <c r="IO16" s="56"/>
      <c r="IP16" s="57"/>
      <c r="IQ16" s="57"/>
      <c r="IR16" s="57"/>
      <c r="IS16" s="56"/>
      <c r="IT16" s="57"/>
      <c r="IU16" s="57"/>
      <c r="IV16" s="56"/>
      <c r="IW16" s="57"/>
      <c r="IX16" s="58"/>
      <c r="IY16" s="56"/>
      <c r="IZ16" s="57"/>
      <c r="JA16" s="57"/>
      <c r="JB16" s="57"/>
      <c r="JC16" s="56"/>
      <c r="JD16" s="57"/>
      <c r="JE16" s="57"/>
      <c r="JF16" s="56"/>
      <c r="JG16" s="57"/>
      <c r="JH16" s="58"/>
      <c r="JI16" s="56"/>
      <c r="JJ16" s="57"/>
      <c r="JK16" s="57"/>
      <c r="JL16" s="57"/>
      <c r="JM16" s="56"/>
      <c r="JN16" s="57"/>
      <c r="JO16" s="57"/>
      <c r="JP16" s="56"/>
      <c r="JQ16" s="57"/>
      <c r="JR16" s="58"/>
      <c r="JS16" s="56"/>
      <c r="JT16" s="57"/>
      <c r="JU16" s="57"/>
      <c r="JV16" s="57"/>
      <c r="JW16" s="56"/>
      <c r="JX16" s="57"/>
      <c r="JY16" s="57"/>
      <c r="JZ16" s="56"/>
      <c r="KA16" s="57"/>
      <c r="KB16" s="58"/>
      <c r="KC16" s="56"/>
      <c r="KD16" s="57"/>
      <c r="KE16" s="57"/>
      <c r="KF16" s="57"/>
      <c r="KG16" s="56"/>
      <c r="KH16" s="57"/>
      <c r="KI16" s="57"/>
      <c r="KJ16" s="56"/>
      <c r="KK16" s="57"/>
      <c r="KL16" s="58"/>
      <c r="KM16" s="56"/>
      <c r="KN16" s="57"/>
      <c r="KO16" s="57"/>
      <c r="KP16" s="57"/>
      <c r="KQ16" s="56"/>
      <c r="KR16" s="57"/>
      <c r="KS16" s="57"/>
      <c r="KT16" s="56"/>
      <c r="KU16" s="57"/>
      <c r="KV16" s="58"/>
      <c r="KW16" s="56"/>
      <c r="KX16" s="57"/>
      <c r="KY16" s="57"/>
      <c r="KZ16" s="57"/>
      <c r="LA16" s="56"/>
      <c r="LB16" s="57"/>
      <c r="LC16" s="57"/>
      <c r="LD16" s="56"/>
      <c r="LE16" s="57"/>
      <c r="LF16" s="58"/>
      <c r="LG16" s="56"/>
      <c r="LH16" s="57"/>
      <c r="LI16" s="57"/>
      <c r="LJ16" s="57"/>
      <c r="LK16" s="56"/>
      <c r="LL16" s="57"/>
      <c r="LM16" s="57"/>
      <c r="LN16" s="56"/>
      <c r="LO16" s="57"/>
      <c r="LP16" s="58"/>
      <c r="LQ16" s="56"/>
      <c r="LR16" s="57"/>
      <c r="LS16" s="57"/>
      <c r="LT16" s="57"/>
      <c r="LU16" s="56"/>
      <c r="LV16" s="57"/>
      <c r="LW16" s="57"/>
      <c r="LX16" s="56"/>
      <c r="LY16" s="57"/>
      <c r="LZ16" s="58"/>
      <c r="MA16" s="56"/>
      <c r="MB16" s="57"/>
      <c r="MC16" s="57"/>
      <c r="MD16" s="57"/>
      <c r="ME16" s="56"/>
      <c r="MF16" s="57"/>
      <c r="MG16" s="57"/>
      <c r="MH16" s="56"/>
      <c r="MI16" s="57"/>
      <c r="MJ16" s="58"/>
      <c r="MK16" s="56"/>
      <c r="ML16" s="57"/>
      <c r="MM16" s="57"/>
      <c r="MN16" s="57"/>
      <c r="MO16" s="56"/>
      <c r="MP16" s="57"/>
      <c r="MQ16" s="57"/>
      <c r="MR16" s="56"/>
      <c r="MS16" s="57"/>
      <c r="MT16" s="58"/>
      <c r="MU16" s="56"/>
      <c r="MV16" s="57"/>
      <c r="MW16" s="57"/>
      <c r="MX16" s="57"/>
      <c r="MY16" s="56"/>
      <c r="MZ16" s="57"/>
      <c r="NA16" s="57"/>
      <c r="NB16" s="56"/>
      <c r="NC16" s="57"/>
      <c r="ND16" s="58"/>
      <c r="NE16" s="56"/>
      <c r="NF16" s="57"/>
      <c r="NG16" s="57"/>
      <c r="NH16" s="57"/>
      <c r="NI16" s="56"/>
      <c r="NJ16" s="57"/>
      <c r="NK16" s="57"/>
      <c r="NL16" s="56"/>
      <c r="NM16" s="57"/>
      <c r="NN16" s="58"/>
      <c r="NO16" s="56"/>
      <c r="NP16" s="57"/>
      <c r="NQ16" s="57"/>
      <c r="NR16" s="57"/>
      <c r="NS16" s="56"/>
      <c r="NT16" s="57"/>
      <c r="NU16" s="57"/>
      <c r="NV16" s="56"/>
      <c r="NW16" s="57"/>
      <c r="NX16" s="58"/>
      <c r="NY16" s="56"/>
      <c r="NZ16" s="57"/>
      <c r="OA16" s="57"/>
      <c r="OB16" s="57"/>
      <c r="OC16" s="56"/>
      <c r="OD16" s="57"/>
      <c r="OE16" s="57"/>
      <c r="OF16" s="58"/>
      <c r="OG16" s="58"/>
      <c r="OH16" s="58"/>
      <c r="OI16" s="56"/>
      <c r="OJ16" s="58"/>
      <c r="OK16" s="58"/>
      <c r="OL16" s="58"/>
      <c r="OM16" s="58"/>
      <c r="ON16" s="58"/>
      <c r="OO16" s="58"/>
      <c r="OP16" s="56"/>
      <c r="OQ16" s="57"/>
      <c r="OR16" s="58"/>
      <c r="OS16" s="56"/>
      <c r="OT16" s="57"/>
      <c r="OU16" s="57"/>
      <c r="OV16" s="57"/>
      <c r="OW16" s="56"/>
      <c r="OX16" s="57"/>
      <c r="OY16" s="57"/>
      <c r="OZ16" s="56"/>
      <c r="PA16" s="57"/>
      <c r="PB16" s="58"/>
      <c r="PC16" s="56"/>
      <c r="PD16" s="57"/>
      <c r="PE16" s="57"/>
      <c r="PF16" s="57"/>
      <c r="PG16" s="56"/>
      <c r="PH16" s="57"/>
      <c r="PI16" s="57"/>
      <c r="PJ16" s="56"/>
      <c r="PK16" s="57"/>
      <c r="PL16" s="58"/>
      <c r="PM16" s="56"/>
      <c r="PN16" s="57"/>
      <c r="PO16" s="57"/>
      <c r="PP16" s="57"/>
      <c r="PQ16" s="56"/>
      <c r="PR16" s="57"/>
      <c r="PS16" s="57"/>
      <c r="PT16" s="56"/>
      <c r="PU16" s="57"/>
      <c r="PV16" s="58"/>
      <c r="PW16" s="56"/>
      <c r="PX16" s="57"/>
      <c r="PY16" s="57"/>
      <c r="PZ16" s="57"/>
      <c r="QA16" s="56"/>
      <c r="QB16" s="57"/>
      <c r="QC16" s="57"/>
      <c r="QD16" s="56"/>
      <c r="QE16" s="57"/>
      <c r="QF16" s="58"/>
      <c r="QG16" s="56"/>
      <c r="QH16" s="57"/>
      <c r="QI16" s="57"/>
      <c r="QJ16" s="57"/>
      <c r="QK16" s="56"/>
      <c r="QL16" s="57"/>
      <c r="QM16" s="57"/>
      <c r="QN16" s="56"/>
      <c r="QO16" s="57"/>
      <c r="QP16" s="58"/>
      <c r="QQ16" s="56"/>
      <c r="QR16" s="57"/>
      <c r="QS16" s="57"/>
      <c r="QT16" s="57"/>
      <c r="QU16" s="56"/>
      <c r="QV16" s="57"/>
      <c r="QW16" s="57"/>
      <c r="QX16" s="56"/>
      <c r="QY16" s="57"/>
      <c r="QZ16" s="58"/>
      <c r="RA16" s="56"/>
      <c r="RB16" s="57"/>
      <c r="RC16" s="57"/>
      <c r="RD16" s="57"/>
      <c r="RE16" s="56"/>
      <c r="RF16" s="57"/>
      <c r="RG16" s="57"/>
      <c r="RH16" s="56"/>
      <c r="RI16" s="57"/>
      <c r="RJ16" s="58"/>
      <c r="RK16" s="56"/>
      <c r="RL16" s="57"/>
      <c r="RM16" s="57"/>
      <c r="RN16" s="57"/>
      <c r="RO16" s="56"/>
      <c r="RP16" s="57"/>
      <c r="RQ16" s="57"/>
      <c r="RR16" s="56"/>
      <c r="RS16" s="57"/>
      <c r="RT16" s="58"/>
      <c r="RU16" s="56"/>
      <c r="RV16" s="57"/>
      <c r="RW16" s="57"/>
      <c r="RX16" s="57"/>
      <c r="RY16" s="56"/>
      <c r="RZ16" s="57"/>
      <c r="SA16" s="57"/>
      <c r="SB16" s="56"/>
      <c r="SC16" s="57"/>
      <c r="SD16" s="58"/>
      <c r="SE16" s="56"/>
      <c r="SF16" s="57"/>
      <c r="SG16" s="57"/>
      <c r="SH16" s="57"/>
      <c r="SI16" s="56"/>
      <c r="SJ16" s="57"/>
      <c r="SK16" s="57"/>
      <c r="SL16" s="56"/>
      <c r="SM16" s="57"/>
      <c r="SN16" s="58"/>
      <c r="SO16" s="56"/>
      <c r="SP16" s="57"/>
      <c r="SQ16" s="57"/>
      <c r="SR16" s="57"/>
      <c r="SS16" s="56"/>
      <c r="ST16" s="57"/>
      <c r="SU16" s="57"/>
      <c r="SV16" s="56"/>
      <c r="SW16" s="57"/>
      <c r="SX16" s="58"/>
      <c r="SY16" s="56"/>
      <c r="SZ16" s="57"/>
      <c r="TA16" s="57"/>
      <c r="TB16" s="57"/>
      <c r="TC16" s="56"/>
      <c r="TD16" s="57"/>
      <c r="TE16" s="57"/>
      <c r="TF16" s="56"/>
      <c r="TG16" s="57"/>
      <c r="TH16" s="58"/>
      <c r="TI16" s="56"/>
      <c r="TJ16" s="57"/>
      <c r="TK16" s="57"/>
      <c r="TL16" s="57"/>
      <c r="TM16" s="56"/>
      <c r="TN16" s="57"/>
      <c r="TO16" s="57"/>
      <c r="TP16" s="56"/>
      <c r="TQ16" s="57"/>
      <c r="TR16" s="58"/>
      <c r="TS16" s="56"/>
      <c r="TT16" s="57"/>
      <c r="TU16" s="57"/>
      <c r="TV16" s="57"/>
      <c r="TW16" s="56"/>
      <c r="TX16" s="57"/>
      <c r="TY16" s="57"/>
      <c r="TZ16" s="56"/>
      <c r="UA16" s="57"/>
      <c r="UB16" s="58"/>
      <c r="UC16" s="56"/>
      <c r="UD16" s="57"/>
      <c r="UE16" s="57"/>
      <c r="UF16" s="57"/>
      <c r="UG16" s="56"/>
      <c r="UH16" s="57"/>
      <c r="UI16" s="57"/>
      <c r="UJ16" s="56"/>
      <c r="UK16" s="57"/>
      <c r="UL16" s="58"/>
      <c r="UM16" s="56"/>
      <c r="UN16" s="57"/>
      <c r="UO16" s="57"/>
      <c r="UP16" s="57"/>
      <c r="UQ16" s="56"/>
      <c r="UR16" s="57"/>
      <c r="US16" s="57"/>
      <c r="UT16" s="56"/>
      <c r="UU16" s="57"/>
      <c r="UV16" s="58"/>
      <c r="UW16" s="56"/>
      <c r="UX16" s="57"/>
      <c r="UY16" s="57"/>
      <c r="UZ16" s="57"/>
      <c r="VA16" s="56"/>
      <c r="VB16" s="57"/>
      <c r="VC16" s="57"/>
      <c r="VD16" s="56"/>
      <c r="VE16" s="57"/>
      <c r="VF16" s="58"/>
      <c r="VG16" s="56"/>
      <c r="VH16" s="57"/>
      <c r="VI16" s="57"/>
      <c r="VJ16" s="57"/>
      <c r="VK16" s="56"/>
      <c r="VL16" s="57"/>
      <c r="VM16" s="57"/>
      <c r="VN16" s="56"/>
      <c r="VO16" s="57"/>
      <c r="VP16" s="58"/>
      <c r="VQ16" s="56"/>
      <c r="VR16" s="57"/>
      <c r="VS16" s="57"/>
      <c r="VT16" s="57"/>
      <c r="VU16" s="56"/>
      <c r="VV16" s="57"/>
      <c r="VW16" s="57"/>
      <c r="VX16" s="56"/>
      <c r="VY16" s="57"/>
      <c r="VZ16" s="58"/>
      <c r="WA16" s="56"/>
      <c r="WB16" s="57"/>
      <c r="WC16" s="57"/>
      <c r="WD16" s="57"/>
      <c r="WE16" s="56"/>
      <c r="WF16" s="57"/>
      <c r="WG16" s="57"/>
      <c r="WH16" s="56"/>
      <c r="WI16" s="57"/>
      <c r="WJ16" s="58"/>
      <c r="WK16" s="56"/>
      <c r="WL16" s="57"/>
      <c r="WM16" s="57"/>
      <c r="WN16" s="57"/>
      <c r="WO16" s="56"/>
      <c r="WP16" s="57"/>
      <c r="WQ16" s="57"/>
      <c r="WR16" s="56"/>
      <c r="WS16" s="57"/>
      <c r="WT16" s="58"/>
      <c r="WU16" s="56"/>
      <c r="WV16" s="57"/>
      <c r="WW16" s="57"/>
      <c r="WX16" s="57"/>
      <c r="WY16" s="56"/>
      <c r="WZ16" s="57"/>
      <c r="XA16" s="57"/>
      <c r="XB16" s="56"/>
      <c r="XC16" s="57"/>
      <c r="XD16" s="58"/>
      <c r="XE16" s="56"/>
      <c r="XF16" s="57"/>
      <c r="XG16" s="57"/>
      <c r="XH16" s="57"/>
      <c r="XI16" s="56"/>
      <c r="XJ16" s="57"/>
      <c r="XK16" s="57"/>
      <c r="XL16" s="56"/>
      <c r="XM16" s="57"/>
      <c r="XN16" s="58"/>
      <c r="XO16" s="56"/>
      <c r="XP16" s="57"/>
      <c r="XQ16" s="57"/>
      <c r="XR16" s="57"/>
      <c r="XS16" s="56"/>
      <c r="XT16" s="57"/>
      <c r="XU16" s="57"/>
      <c r="XV16" s="56"/>
      <c r="XW16" s="57"/>
      <c r="XX16" s="58"/>
      <c r="XY16" s="56"/>
      <c r="XZ16" s="57"/>
      <c r="YA16" s="57"/>
      <c r="YB16" s="57"/>
      <c r="YC16" s="56"/>
      <c r="YD16" s="57"/>
      <c r="YE16" s="57"/>
      <c r="YF16" s="56"/>
      <c r="YG16" s="57"/>
      <c r="YH16" s="58"/>
      <c r="YI16" s="56"/>
      <c r="YJ16" s="57"/>
      <c r="YK16" s="57"/>
      <c r="YL16" s="57"/>
      <c r="YM16" s="56"/>
      <c r="YN16" s="57"/>
      <c r="YO16" s="57"/>
      <c r="YP16" s="56"/>
      <c r="YQ16" s="57"/>
      <c r="YR16" s="58"/>
      <c r="YS16" s="56"/>
      <c r="YT16" s="57"/>
      <c r="YU16" s="57"/>
      <c r="YV16" s="57"/>
      <c r="YW16" s="56"/>
      <c r="YX16" s="57"/>
      <c r="YY16" s="57"/>
      <c r="YZ16" s="56"/>
      <c r="ZA16" s="57"/>
      <c r="ZB16" s="58"/>
      <c r="ZC16" s="56"/>
      <c r="ZD16" s="57"/>
      <c r="ZE16" s="57"/>
      <c r="ZF16" s="57"/>
      <c r="ZG16" s="56"/>
      <c r="ZH16" s="57"/>
      <c r="ZI16" s="57"/>
      <c r="ZJ16" s="56"/>
      <c r="ZK16" s="57"/>
      <c r="ZL16" s="58"/>
      <c r="ZM16" s="56"/>
      <c r="ZN16" s="57"/>
      <c r="ZO16" s="57"/>
      <c r="ZP16" s="57"/>
      <c r="ZQ16" s="56"/>
      <c r="ZR16" s="57"/>
      <c r="ZS16" s="57"/>
      <c r="ZT16" s="56"/>
      <c r="ZU16" s="57"/>
      <c r="ZV16" s="58"/>
      <c r="ZW16" s="56"/>
      <c r="ZX16" s="57"/>
      <c r="ZY16" s="57"/>
      <c r="ZZ16" s="57"/>
      <c r="AAA16" s="56"/>
      <c r="AAB16" s="57"/>
      <c r="AAC16" s="57"/>
      <c r="AAD16" s="56"/>
      <c r="AAE16" s="57"/>
      <c r="AAF16" s="58"/>
      <c r="AAG16" s="56"/>
      <c r="AAH16" s="57"/>
      <c r="AAI16" s="57"/>
      <c r="AAJ16" s="57"/>
      <c r="AAK16" s="56"/>
      <c r="AAL16" s="57"/>
      <c r="AAM16" s="57"/>
      <c r="AAN16" s="56"/>
      <c r="AAO16" s="57"/>
      <c r="AAP16" s="58"/>
      <c r="AAQ16" s="56"/>
      <c r="AAR16" s="57"/>
      <c r="AAS16" s="57"/>
      <c r="AAT16" s="57"/>
      <c r="AAU16" s="56"/>
      <c r="AAV16" s="57"/>
      <c r="AAW16" s="57"/>
      <c r="AAX16" s="58"/>
      <c r="AAY16" s="58"/>
      <c r="AAZ16" s="58"/>
      <c r="ABA16" s="56"/>
      <c r="ABB16" s="58"/>
      <c r="ABC16" s="58"/>
      <c r="ABD16" s="58"/>
      <c r="ABE16" s="58"/>
      <c r="ABF16" s="58"/>
      <c r="ABG16" s="57"/>
      <c r="ABH16" s="56"/>
      <c r="ABI16" s="57"/>
      <c r="ABJ16" s="58"/>
      <c r="ABK16" s="56"/>
      <c r="ABL16" s="57"/>
      <c r="ABM16" s="57"/>
      <c r="ABN16" s="57"/>
      <c r="ABO16" s="56"/>
      <c r="ABP16" s="57"/>
      <c r="ABQ16" s="57"/>
      <c r="ABR16" s="56"/>
      <c r="ABS16" s="57"/>
      <c r="ABT16" s="58"/>
      <c r="ABU16" s="56"/>
      <c r="ABV16" s="57"/>
      <c r="ABW16" s="57"/>
      <c r="ABX16" s="57"/>
      <c r="ABY16" s="56"/>
      <c r="ABZ16" s="57"/>
      <c r="ACA16" s="57"/>
      <c r="ACB16" s="56"/>
      <c r="ACC16" s="57"/>
      <c r="ACD16" s="58"/>
      <c r="ACE16" s="56"/>
      <c r="ACF16" s="57"/>
      <c r="ACG16" s="57"/>
      <c r="ACH16" s="57"/>
      <c r="ACI16" s="56"/>
      <c r="ACJ16" s="57"/>
      <c r="ACK16" s="57"/>
      <c r="ACL16" s="56"/>
      <c r="ACM16" s="57"/>
      <c r="ACN16" s="58"/>
      <c r="ACO16" s="56"/>
      <c r="ACP16" s="57"/>
      <c r="ACQ16" s="57"/>
      <c r="ACR16" s="57"/>
      <c r="ACS16" s="56"/>
      <c r="ACT16" s="57"/>
      <c r="ACU16" s="57"/>
      <c r="ACV16" s="56"/>
      <c r="ACW16" s="57"/>
      <c r="ACX16" s="58"/>
      <c r="ACY16" s="56"/>
      <c r="ACZ16" s="57"/>
      <c r="ADA16" s="57"/>
      <c r="ADB16" s="57"/>
      <c r="ADC16" s="56"/>
      <c r="ADD16" s="57"/>
      <c r="ADE16" s="57"/>
      <c r="ADF16" s="56"/>
      <c r="ADG16" s="57"/>
      <c r="ADH16" s="58"/>
      <c r="ADI16" s="56"/>
      <c r="ADJ16" s="57"/>
      <c r="ADK16" s="57"/>
      <c r="ADL16" s="57"/>
      <c r="ADM16" s="56"/>
      <c r="ADN16" s="57"/>
      <c r="ADO16" s="57"/>
      <c r="ADP16" s="56"/>
      <c r="ADQ16" s="57"/>
      <c r="ADR16" s="58"/>
      <c r="ADS16" s="56"/>
      <c r="ADT16" s="57"/>
      <c r="ADU16" s="57"/>
      <c r="ADV16" s="57"/>
      <c r="ADW16" s="56"/>
      <c r="ADX16" s="57"/>
      <c r="ADY16" s="57"/>
      <c r="ADZ16" s="56"/>
      <c r="AEA16" s="57"/>
      <c r="AEB16" s="58"/>
      <c r="AEC16" s="56"/>
      <c r="AED16" s="57"/>
      <c r="AEE16" s="57"/>
      <c r="AEF16" s="57"/>
      <c r="AEG16" s="56"/>
      <c r="AEH16" s="57"/>
      <c r="AEI16" s="57"/>
      <c r="AEJ16" s="56"/>
      <c r="AEK16" s="57"/>
      <c r="AEL16" s="58"/>
      <c r="AEM16" s="56"/>
      <c r="AEN16" s="57"/>
      <c r="AEO16" s="57"/>
      <c r="AEP16" s="57"/>
      <c r="AEQ16" s="56"/>
      <c r="AER16" s="57"/>
      <c r="AES16" s="57"/>
      <c r="AET16" s="56"/>
      <c r="AEU16" s="57"/>
      <c r="AEV16" s="58"/>
      <c r="AEW16" s="56"/>
      <c r="AEX16" s="57"/>
      <c r="AEY16" s="57"/>
      <c r="AEZ16" s="57"/>
      <c r="AFA16" s="56"/>
      <c r="AFB16" s="57"/>
      <c r="AFC16" s="57"/>
      <c r="AFD16" s="56"/>
      <c r="AFE16" s="57"/>
      <c r="AFF16" s="58"/>
      <c r="AFG16" s="56"/>
      <c r="AFH16" s="57"/>
      <c r="AFI16" s="57"/>
      <c r="AFJ16" s="57"/>
      <c r="AFK16" s="56"/>
      <c r="AFL16" s="57"/>
      <c r="AFM16" s="57"/>
      <c r="AFN16" s="56"/>
      <c r="AFO16" s="57"/>
      <c r="AFP16" s="58"/>
      <c r="AFQ16" s="56"/>
      <c r="AFR16" s="57"/>
      <c r="AFS16" s="57"/>
      <c r="AFT16" s="57"/>
      <c r="AFU16" s="56"/>
      <c r="AFV16" s="57"/>
      <c r="AFW16" s="57"/>
      <c r="AFX16" s="56"/>
      <c r="AFY16" s="57"/>
      <c r="AFZ16" s="58"/>
      <c r="AGA16" s="56"/>
      <c r="AGB16" s="57"/>
      <c r="AGC16" s="57"/>
      <c r="AGD16" s="57"/>
      <c r="AGE16" s="56"/>
      <c r="AGF16" s="57"/>
      <c r="AGG16" s="57"/>
      <c r="AGH16" s="56"/>
      <c r="AGI16" s="57"/>
      <c r="AGJ16" s="58"/>
      <c r="AGK16" s="56"/>
      <c r="AGL16" s="57"/>
      <c r="AGM16" s="57"/>
      <c r="AGN16" s="57"/>
      <c r="AGO16" s="56"/>
      <c r="AGP16" s="57"/>
      <c r="AGQ16" s="57"/>
      <c r="AGR16" s="56"/>
      <c r="AGS16" s="57"/>
      <c r="AGT16" s="58"/>
      <c r="AGU16" s="56"/>
      <c r="AGV16" s="57"/>
      <c r="AGW16" s="57"/>
      <c r="AGX16" s="57"/>
      <c r="AGY16" s="56"/>
      <c r="AGZ16" s="57"/>
      <c r="AHA16" s="57"/>
      <c r="AHB16" s="56"/>
      <c r="AHC16" s="57"/>
      <c r="AHD16" s="58"/>
      <c r="AHE16" s="56"/>
      <c r="AHF16" s="57"/>
      <c r="AHG16" s="57"/>
      <c r="AHH16" s="57"/>
      <c r="AHI16" s="56"/>
      <c r="AHJ16" s="57"/>
      <c r="AHK16" s="57"/>
      <c r="AHL16" s="56"/>
      <c r="AHM16" s="57"/>
      <c r="AHN16" s="58"/>
      <c r="AHO16" s="56"/>
      <c r="AHP16" s="57"/>
      <c r="AHQ16" s="57"/>
      <c r="AHR16" s="57"/>
      <c r="AHS16" s="56"/>
      <c r="AHT16" s="57"/>
      <c r="AHU16" s="57"/>
      <c r="AHV16" s="56"/>
      <c r="AHW16" s="57"/>
      <c r="AHX16" s="58"/>
      <c r="AHY16" s="56"/>
      <c r="AHZ16" s="57"/>
      <c r="AIA16" s="57"/>
      <c r="AIB16" s="57"/>
      <c r="AIC16" s="56"/>
      <c r="AID16" s="57"/>
      <c r="AIE16" s="57"/>
      <c r="AIF16" s="56"/>
      <c r="AIG16" s="57"/>
      <c r="AIH16" s="58"/>
      <c r="AII16" s="56"/>
      <c r="AIJ16" s="57"/>
      <c r="AIK16" s="57"/>
      <c r="AIL16" s="57"/>
      <c r="AIM16" s="56"/>
      <c r="AIN16" s="57"/>
      <c r="AIO16" s="57"/>
      <c r="AIP16" s="56"/>
      <c r="AIQ16" s="57"/>
      <c r="AIR16" s="58"/>
      <c r="AIS16" s="56"/>
      <c r="AIT16" s="57"/>
      <c r="AIU16" s="57"/>
      <c r="AIV16" s="57"/>
      <c r="AIW16" s="56"/>
      <c r="AIX16" s="57"/>
      <c r="AIY16" s="57"/>
      <c r="AIZ16" s="56"/>
      <c r="AJA16" s="57"/>
      <c r="AJB16" s="58"/>
      <c r="AJC16" s="56"/>
      <c r="AJD16" s="57"/>
      <c r="AJE16" s="57"/>
      <c r="AJF16" s="57"/>
      <c r="AJG16" s="56"/>
      <c r="AJH16" s="57"/>
      <c r="AJI16" s="57"/>
      <c r="AJJ16" s="56"/>
      <c r="AJK16" s="57"/>
      <c r="AJL16" s="58"/>
      <c r="AJM16" s="56"/>
      <c r="AJN16" s="57"/>
      <c r="AJO16" s="57"/>
      <c r="AJP16" s="57"/>
      <c r="AJQ16" s="56"/>
      <c r="AJR16" s="57"/>
      <c r="AJS16" s="57"/>
      <c r="AJT16" s="56"/>
      <c r="AJU16" s="57"/>
      <c r="AJV16" s="58"/>
      <c r="AJW16" s="56"/>
      <c r="AJX16" s="57"/>
      <c r="AJY16" s="57"/>
      <c r="AJZ16" s="57"/>
      <c r="AKA16" s="56"/>
      <c r="AKB16" s="57"/>
      <c r="AKC16" s="57"/>
      <c r="AKD16" s="56"/>
      <c r="AKE16" s="57"/>
      <c r="AKF16" s="58"/>
      <c r="AKG16" s="56"/>
      <c r="AKH16" s="57"/>
      <c r="AKI16" s="57"/>
      <c r="AKJ16" s="57"/>
      <c r="AKK16" s="56"/>
      <c r="AKL16" s="57"/>
      <c r="AKM16" s="57"/>
      <c r="AKN16" s="56"/>
      <c r="AKO16" s="57"/>
      <c r="AKP16" s="58"/>
      <c r="AKQ16" s="56"/>
      <c r="AKR16" s="57"/>
      <c r="AKS16" s="57"/>
      <c r="AKT16" s="57"/>
      <c r="AKU16" s="56"/>
      <c r="AKV16" s="57"/>
      <c r="AKW16" s="57"/>
      <c r="AKX16" s="56"/>
      <c r="AKY16" s="57"/>
      <c r="AKZ16" s="58"/>
      <c r="ALA16" s="56"/>
      <c r="ALB16" s="57"/>
      <c r="ALC16" s="57"/>
      <c r="ALD16" s="57"/>
      <c r="ALE16" s="56"/>
      <c r="ALF16" s="57"/>
      <c r="ALG16" s="57"/>
      <c r="ALH16" s="57"/>
      <c r="ALI16" s="57"/>
      <c r="ALJ16" s="57"/>
      <c r="ALK16" s="56"/>
      <c r="ALL16" s="57"/>
      <c r="ALM16" s="57"/>
      <c r="ALN16" s="56"/>
      <c r="ALO16" s="57"/>
      <c r="ALP16" s="58"/>
      <c r="ALQ16" s="56"/>
      <c r="ALR16" s="57"/>
      <c r="ALS16" s="57"/>
      <c r="ALT16" s="57"/>
      <c r="ALU16" s="56"/>
      <c r="ALV16" s="57"/>
      <c r="ALW16" s="57"/>
      <c r="ALX16" s="56"/>
      <c r="ALY16" s="57"/>
      <c r="ALZ16" s="58"/>
      <c r="AMA16" s="56"/>
      <c r="AMB16" s="57"/>
      <c r="AMC16" s="57"/>
      <c r="AMD16" s="57"/>
      <c r="AME16" s="56"/>
      <c r="AMF16" s="57"/>
      <c r="AMG16" s="57"/>
      <c r="AMH16" s="57"/>
      <c r="AMI16" s="57"/>
      <c r="AMJ16" s="57"/>
      <c r="AMK16" s="56"/>
      <c r="AML16" s="57"/>
      <c r="AMM16" s="57"/>
      <c r="AMN16" s="56"/>
      <c r="AMO16" s="57"/>
      <c r="AMP16" s="58"/>
      <c r="AMQ16" s="56"/>
      <c r="AMR16" s="57"/>
      <c r="AMS16" s="57"/>
      <c r="AMT16" s="57"/>
      <c r="AMU16" s="56"/>
      <c r="AMV16" s="57"/>
      <c r="AMW16" s="57"/>
      <c r="AMX16" s="56"/>
      <c r="AMY16" s="57"/>
      <c r="AMZ16" s="58"/>
      <c r="ANA16" s="56"/>
      <c r="ANB16" s="57"/>
      <c r="ANC16" s="57"/>
      <c r="AND16" s="57"/>
      <c r="ANE16" s="56"/>
      <c r="ANF16" s="57"/>
      <c r="ANG16" s="57"/>
      <c r="ANH16" s="57"/>
      <c r="ANI16" s="57"/>
      <c r="ANJ16" s="57"/>
      <c r="ANK16" s="56"/>
      <c r="ANL16" s="57"/>
      <c r="ANM16" s="57"/>
      <c r="ANN16" s="56"/>
      <c r="ANO16" s="57"/>
      <c r="ANP16" s="58"/>
      <c r="ANQ16" s="56"/>
      <c r="ANR16" s="57"/>
      <c r="ANS16" s="57"/>
      <c r="ANT16" s="57"/>
      <c r="ANU16" s="56"/>
      <c r="ANV16" s="57"/>
      <c r="ANW16" s="57"/>
      <c r="ANX16" s="56"/>
      <c r="ANY16" s="57"/>
      <c r="ANZ16" s="58"/>
      <c r="AOA16" s="56"/>
      <c r="AOB16" s="57"/>
      <c r="AOC16" s="57"/>
      <c r="AOD16" s="57"/>
      <c r="AOE16" s="56"/>
      <c r="AOF16" s="57"/>
      <c r="AOG16" s="57"/>
      <c r="AOH16" s="57"/>
      <c r="AOI16" s="57"/>
      <c r="AOJ16" s="57"/>
      <c r="AOK16" s="56"/>
      <c r="AOL16" s="57"/>
      <c r="AOM16" s="57"/>
      <c r="AON16" s="56"/>
      <c r="AOO16" s="57"/>
      <c r="AOP16" s="58"/>
      <c r="AOQ16" s="56"/>
      <c r="AOR16" s="57"/>
      <c r="AOS16" s="57"/>
      <c r="AOT16" s="57"/>
      <c r="AOU16" s="56"/>
      <c r="AOV16" s="57"/>
      <c r="AOW16" s="57"/>
      <c r="AOX16" s="56"/>
      <c r="AOY16" s="57"/>
      <c r="AOZ16" s="58"/>
      <c r="APA16" s="56"/>
      <c r="APB16" s="57"/>
      <c r="APC16" s="57"/>
      <c r="APD16" s="57"/>
      <c r="APE16" s="56"/>
      <c r="APF16" s="57"/>
      <c r="APG16" s="57"/>
      <c r="APH16" s="57"/>
      <c r="API16" s="57"/>
      <c r="APJ16" s="57"/>
      <c r="APK16" s="56"/>
      <c r="APL16" s="57"/>
      <c r="APM16" s="57"/>
      <c r="APN16" s="56"/>
      <c r="APO16" s="57"/>
      <c r="APP16" s="58"/>
      <c r="APQ16" s="56"/>
      <c r="APR16" s="57"/>
      <c r="APS16" s="57"/>
      <c r="APT16" s="57"/>
      <c r="APU16" s="56"/>
      <c r="APV16" s="57"/>
      <c r="APW16" s="57"/>
      <c r="APX16" s="56"/>
      <c r="APY16" s="57"/>
      <c r="APZ16" s="58"/>
      <c r="AQA16" s="56"/>
      <c r="AQB16" s="57"/>
      <c r="AQC16" s="57"/>
      <c r="AQD16" s="57"/>
      <c r="AQE16" s="56"/>
      <c r="AQF16" s="57"/>
      <c r="AQG16" s="57"/>
      <c r="AQH16" s="57"/>
      <c r="AQI16" s="57"/>
      <c r="AQJ16" s="57"/>
      <c r="AQK16" s="56"/>
      <c r="AQL16" s="57"/>
      <c r="AQM16" s="57"/>
      <c r="AQN16" s="56"/>
      <c r="AQO16" s="57"/>
      <c r="AQP16" s="58"/>
      <c r="AQQ16" s="56"/>
      <c r="AQR16" s="57"/>
      <c r="AQS16" s="57"/>
      <c r="AQT16" s="57"/>
      <c r="AQU16" s="56"/>
      <c r="AQV16" s="57"/>
      <c r="AQW16" s="57"/>
      <c r="AQX16" s="56"/>
      <c r="AQY16" s="57"/>
      <c r="AQZ16" s="58"/>
      <c r="ARA16" s="56"/>
      <c r="ARB16" s="57"/>
      <c r="ARC16" s="57"/>
      <c r="ARD16" s="57"/>
      <c r="ARE16" s="56"/>
      <c r="ARF16" s="57"/>
      <c r="ARG16" s="57"/>
      <c r="ARH16" s="57"/>
      <c r="ARI16" s="57"/>
      <c r="ARJ16" s="57"/>
      <c r="ARK16" s="56"/>
      <c r="ARL16" s="57"/>
      <c r="ARM16" s="57"/>
      <c r="ARN16" s="56"/>
      <c r="ARO16" s="57"/>
      <c r="ARP16" s="58"/>
      <c r="ARQ16" s="56"/>
      <c r="ARR16" s="57"/>
      <c r="ARS16" s="57"/>
      <c r="ART16" s="57"/>
      <c r="ARU16" s="56"/>
      <c r="ARV16" s="57"/>
      <c r="ARW16" s="57"/>
      <c r="ARX16" s="56"/>
      <c r="ARY16" s="57"/>
      <c r="ARZ16" s="58"/>
      <c r="ASA16" s="56"/>
      <c r="ASB16" s="57"/>
      <c r="ASC16" s="57"/>
      <c r="ASD16" s="57"/>
      <c r="ASE16" s="56"/>
      <c r="ASF16" s="57"/>
      <c r="ASG16" s="57"/>
      <c r="ASH16" s="57"/>
      <c r="ASI16" s="57"/>
      <c r="ASJ16" s="57"/>
      <c r="ASK16" s="56"/>
      <c r="ASL16" s="57"/>
      <c r="ASM16" s="57"/>
      <c r="ASN16" s="56"/>
      <c r="ASO16" s="57"/>
      <c r="ASP16" s="58"/>
      <c r="ASQ16" s="56"/>
      <c r="ASR16" s="57"/>
      <c r="ASS16" s="57"/>
      <c r="AST16" s="57"/>
      <c r="ASU16" s="56"/>
      <c r="ASV16" s="57"/>
      <c r="ASW16" s="57"/>
      <c r="ASX16" s="56"/>
      <c r="ASY16" s="57"/>
      <c r="ASZ16" s="58"/>
      <c r="ATA16" s="56"/>
      <c r="ATB16" s="57"/>
      <c r="ATC16" s="57"/>
      <c r="ATD16" s="57"/>
      <c r="ATE16" s="56"/>
      <c r="ATF16" s="57"/>
      <c r="ATG16" s="57"/>
      <c r="ATH16" s="57"/>
      <c r="ATI16" s="57"/>
      <c r="ATJ16" s="57"/>
      <c r="ATK16" s="56"/>
      <c r="ATL16" s="57"/>
      <c r="ATM16" s="57"/>
      <c r="ATN16" s="56"/>
      <c r="ATO16" s="57"/>
      <c r="ATP16" s="58"/>
      <c r="ATQ16" s="56"/>
      <c r="ATR16" s="57"/>
      <c r="ATS16" s="57"/>
      <c r="ATT16" s="57"/>
      <c r="ATU16" s="56"/>
      <c r="ATV16" s="57"/>
      <c r="ATW16" s="57"/>
      <c r="ATX16" s="56"/>
      <c r="ATY16" s="57"/>
      <c r="ATZ16" s="58"/>
      <c r="AUA16" s="56"/>
      <c r="AUB16" s="57"/>
      <c r="AUC16" s="57"/>
      <c r="AUD16" s="57"/>
      <c r="AUE16" s="56"/>
      <c r="AUF16" s="57"/>
      <c r="AUG16" s="57"/>
      <c r="AUH16" s="57"/>
      <c r="AUI16" s="57"/>
      <c r="AUJ16" s="57"/>
      <c r="AUK16" s="56"/>
      <c r="AUL16" s="57"/>
      <c r="AUM16" s="57"/>
      <c r="AUN16" s="56"/>
      <c r="AUO16" s="57"/>
      <c r="AUP16" s="58"/>
      <c r="AUQ16" s="56"/>
      <c r="AUR16" s="57"/>
      <c r="AUS16" s="57"/>
      <c r="AUT16" s="57"/>
      <c r="AUU16" s="56"/>
      <c r="AUV16" s="57"/>
      <c r="AUW16" s="57"/>
      <c r="AUX16" s="56"/>
      <c r="AUY16" s="57"/>
      <c r="AUZ16" s="58"/>
      <c r="AVA16" s="56"/>
      <c r="AVB16" s="57"/>
      <c r="AVC16" s="57"/>
      <c r="AVD16" s="57"/>
      <c r="AVE16" s="56"/>
      <c r="AVF16" s="57"/>
      <c r="AVG16" s="57"/>
      <c r="AVH16" s="57"/>
      <c r="AVI16" s="57"/>
      <c r="AVJ16" s="57"/>
      <c r="AVK16" s="56"/>
      <c r="AVL16" s="57"/>
      <c r="AVM16" s="57"/>
      <c r="AVN16" s="56"/>
      <c r="AVO16" s="57"/>
      <c r="AVP16" s="58"/>
      <c r="AVQ16" s="56"/>
      <c r="AVR16" s="57"/>
      <c r="AVS16" s="57"/>
      <c r="AVT16" s="57"/>
      <c r="AVU16" s="56"/>
      <c r="AVV16" s="57"/>
      <c r="AVW16" s="57"/>
      <c r="AVX16" s="56"/>
      <c r="AVY16" s="57"/>
      <c r="AVZ16" s="58"/>
      <c r="AWA16" s="56"/>
      <c r="AWB16" s="57"/>
      <c r="AWC16" s="57"/>
      <c r="AWD16" s="57"/>
      <c r="AWE16" s="56"/>
      <c r="AWF16" s="57"/>
      <c r="AWG16" s="57"/>
      <c r="AWH16" s="57"/>
      <c r="AWI16" s="57"/>
      <c r="AWJ16" s="57"/>
      <c r="AWK16" s="56"/>
      <c r="AWL16" s="57"/>
      <c r="AWM16" s="57"/>
      <c r="AWN16" s="56"/>
      <c r="AWO16" s="57"/>
      <c r="AWP16" s="58"/>
      <c r="AWQ16" s="56"/>
      <c r="AWR16" s="57"/>
      <c r="AWS16" s="57"/>
      <c r="AWT16" s="57"/>
      <c r="AWU16" s="56"/>
      <c r="AWV16" s="57"/>
      <c r="AWW16" s="57"/>
      <c r="AWX16" s="56"/>
      <c r="AWY16" s="57"/>
      <c r="AWZ16" s="58"/>
      <c r="AXA16" s="56"/>
      <c r="AXB16" s="57"/>
      <c r="AXC16" s="57"/>
      <c r="AXD16" s="57"/>
      <c r="AXE16" s="56"/>
      <c r="AXF16" s="57"/>
      <c r="AXG16" s="57"/>
      <c r="AXH16" s="57"/>
      <c r="AXI16" s="57"/>
      <c r="AXJ16" s="57"/>
      <c r="AXK16" s="56"/>
      <c r="AXL16" s="57"/>
      <c r="AXM16" s="57"/>
      <c r="AXN16" s="56"/>
      <c r="AXO16" s="57"/>
      <c r="AXP16" s="58"/>
      <c r="AXQ16" s="56"/>
      <c r="AXR16" s="57"/>
      <c r="AXS16" s="57"/>
      <c r="AXT16" s="57"/>
      <c r="AXU16" s="56"/>
      <c r="AXV16" s="57"/>
      <c r="AXW16" s="57"/>
      <c r="AXX16" s="56"/>
      <c r="AXY16" s="57"/>
      <c r="AXZ16" s="58"/>
      <c r="AYA16" s="56"/>
      <c r="AYB16" s="57"/>
      <c r="AYC16" s="57"/>
      <c r="AYD16" s="57"/>
      <c r="AYE16" s="56"/>
      <c r="AYF16" s="57"/>
      <c r="AYG16" s="57"/>
      <c r="AYH16" s="57"/>
      <c r="AYI16" s="57"/>
      <c r="AYJ16" s="57"/>
      <c r="AYK16" s="56"/>
      <c r="AYL16" s="57"/>
      <c r="AYM16" s="57"/>
      <c r="AYN16" s="56"/>
      <c r="AYO16" s="57"/>
      <c r="AYP16" s="58"/>
      <c r="AYQ16" s="56"/>
      <c r="AYR16" s="57"/>
      <c r="AYS16" s="57"/>
      <c r="AYT16" s="57"/>
      <c r="AYU16" s="56"/>
      <c r="AYV16" s="57"/>
      <c r="AYW16" s="57"/>
      <c r="AYX16" s="56"/>
      <c r="AYY16" s="57"/>
      <c r="AYZ16" s="58"/>
      <c r="AZA16" s="56"/>
      <c r="AZB16" s="57"/>
      <c r="AZC16" s="57"/>
      <c r="AZD16" s="57"/>
      <c r="AZE16" s="56"/>
      <c r="AZF16" s="57"/>
      <c r="AZG16" s="57"/>
      <c r="AZH16" s="57"/>
      <c r="AZI16" s="57"/>
      <c r="AZJ16" s="57"/>
      <c r="AZK16" s="56"/>
      <c r="AZL16" s="57"/>
      <c r="AZM16" s="57"/>
      <c r="AZN16" s="56"/>
      <c r="AZO16" s="57"/>
      <c r="AZP16" s="58"/>
      <c r="AZQ16" s="56"/>
      <c r="AZR16" s="57"/>
      <c r="AZS16" s="57"/>
      <c r="AZT16" s="57"/>
      <c r="AZU16" s="56"/>
      <c r="AZV16" s="57"/>
      <c r="AZW16" s="57"/>
      <c r="AZX16" s="56"/>
      <c r="AZY16" s="57"/>
      <c r="AZZ16" s="58"/>
      <c r="BAA16" s="56"/>
      <c r="BAB16" s="57"/>
      <c r="BAC16" s="57"/>
      <c r="BAD16" s="57"/>
      <c r="BAE16" s="56"/>
      <c r="BAF16" s="57"/>
      <c r="BAG16" s="57"/>
      <c r="BAH16" s="57"/>
      <c r="BAI16" s="57"/>
      <c r="BAJ16" s="57"/>
      <c r="BAK16" s="56"/>
      <c r="BAL16" s="57"/>
      <c r="BAM16" s="57"/>
      <c r="BAN16" s="56"/>
      <c r="BAO16" s="57"/>
      <c r="BAP16" s="58"/>
      <c r="BAQ16" s="56"/>
      <c r="BAR16" s="57"/>
      <c r="BAS16" s="57"/>
      <c r="BAT16" s="57"/>
      <c r="BAU16" s="56"/>
      <c r="BAV16" s="57"/>
      <c r="BAW16" s="57"/>
      <c r="BAX16" s="56"/>
      <c r="BAY16" s="57"/>
      <c r="BAZ16" s="58"/>
      <c r="BBA16" s="56"/>
      <c r="BBB16" s="57"/>
      <c r="BBC16" s="57"/>
      <c r="BBD16" s="57"/>
      <c r="BBE16" s="56"/>
      <c r="BBF16" s="57"/>
      <c r="BBG16" s="57"/>
      <c r="BBH16" s="57"/>
      <c r="BBI16" s="57"/>
      <c r="BBJ16" s="57"/>
      <c r="BBK16" s="56"/>
      <c r="BBL16" s="57"/>
      <c r="BBM16" s="57"/>
      <c r="BBN16" s="56"/>
      <c r="BBO16" s="57"/>
      <c r="BBP16" s="58"/>
      <c r="BBQ16" s="56"/>
      <c r="BBR16" s="57"/>
      <c r="BBS16" s="57"/>
      <c r="BBT16" s="57"/>
      <c r="BBU16" s="56"/>
      <c r="BBV16" s="57"/>
      <c r="BBW16" s="57"/>
      <c r="BBX16" s="56"/>
      <c r="BBY16" s="57"/>
      <c r="BBZ16" s="58"/>
      <c r="BCA16" s="56"/>
      <c r="BCB16" s="57"/>
      <c r="BCC16" s="57"/>
      <c r="BCD16" s="57"/>
      <c r="BCE16" s="56"/>
      <c r="BCF16" s="57"/>
      <c r="BCG16" s="57"/>
      <c r="BCH16" s="57"/>
      <c r="BCI16" s="57"/>
      <c r="BCJ16" s="57"/>
      <c r="BCK16" s="56"/>
      <c r="BCL16" s="57"/>
      <c r="BCM16" s="57"/>
      <c r="BCN16" s="56"/>
      <c r="BCO16" s="57"/>
      <c r="BCP16" s="58"/>
      <c r="BCQ16" s="56"/>
      <c r="BCR16" s="57"/>
      <c r="BCS16" s="57"/>
      <c r="BCT16" s="57"/>
      <c r="BCU16" s="56"/>
      <c r="BCV16" s="57"/>
      <c r="BCW16" s="57"/>
      <c r="BCX16" s="56"/>
      <c r="BCY16" s="57"/>
      <c r="BCZ16" s="58"/>
      <c r="BDA16" s="56"/>
      <c r="BDB16" s="57"/>
      <c r="BDC16" s="57"/>
      <c r="BDD16" s="57"/>
      <c r="BDE16" s="56"/>
      <c r="BDF16" s="57"/>
      <c r="BDG16" s="57"/>
      <c r="BDH16" s="57"/>
      <c r="BDI16" s="57"/>
      <c r="BDJ16" s="57"/>
      <c r="BDK16" s="56"/>
      <c r="BDL16" s="57"/>
      <c r="BDM16" s="57"/>
      <c r="BDN16" s="56"/>
      <c r="BDO16" s="57"/>
      <c r="BDP16" s="58"/>
      <c r="BDQ16" s="56"/>
      <c r="BDR16" s="57"/>
      <c r="BDS16" s="57"/>
      <c r="BDT16" s="57"/>
      <c r="BDU16" s="56"/>
      <c r="BDV16" s="57"/>
      <c r="BDW16" s="57"/>
      <c r="BDX16" s="56"/>
      <c r="BDY16" s="57"/>
      <c r="BDZ16" s="58"/>
      <c r="BEA16" s="56"/>
      <c r="BEB16" s="57"/>
      <c r="BEC16" s="57"/>
      <c r="BED16" s="57"/>
      <c r="BEE16" s="56"/>
      <c r="BEF16" s="57"/>
      <c r="BEG16" s="57"/>
      <c r="BEH16" s="57"/>
      <c r="BEI16" s="57"/>
      <c r="BEJ16" s="57"/>
      <c r="BEK16" s="56"/>
      <c r="BEL16" s="57"/>
      <c r="BEM16" s="57"/>
      <c r="BEN16" s="56"/>
      <c r="BEO16" s="57"/>
      <c r="BEP16" s="58"/>
      <c r="BEQ16" s="56"/>
      <c r="BER16" s="57"/>
      <c r="BES16" s="57"/>
      <c r="BET16" s="57"/>
      <c r="BEU16" s="56"/>
      <c r="BEV16" s="57"/>
      <c r="BEW16" s="57"/>
      <c r="BEX16" s="56"/>
      <c r="BEY16" s="57"/>
      <c r="BEZ16" s="58"/>
      <c r="BFA16" s="56"/>
      <c r="BFB16" s="57"/>
      <c r="BFC16" s="57"/>
      <c r="BFD16" s="57"/>
      <c r="BFE16" s="56"/>
      <c r="BFF16" s="57"/>
      <c r="BFG16" s="57"/>
      <c r="BFH16" s="57"/>
      <c r="BFI16" s="57"/>
      <c r="BFJ16" s="57"/>
      <c r="BFK16" s="56"/>
      <c r="BFL16" s="57"/>
      <c r="BFM16" s="57"/>
      <c r="BFN16" s="56"/>
      <c r="BFO16" s="57"/>
      <c r="BFP16" s="58"/>
      <c r="BFQ16" s="56"/>
      <c r="BFR16" s="57"/>
      <c r="BFS16" s="57"/>
      <c r="BFT16" s="57"/>
      <c r="BFU16" s="56"/>
      <c r="BFV16" s="57"/>
      <c r="BFW16" s="57"/>
      <c r="BFX16" s="56"/>
      <c r="BFY16" s="57"/>
      <c r="BFZ16" s="58"/>
      <c r="BGA16" s="56"/>
      <c r="BGB16" s="57"/>
      <c r="BGC16" s="57"/>
      <c r="BGD16" s="57"/>
      <c r="BGE16" s="56"/>
      <c r="BGF16" s="57"/>
      <c r="BGG16" s="57"/>
      <c r="BGH16" s="57"/>
      <c r="BGI16" s="57"/>
      <c r="BGJ16" s="57"/>
      <c r="BGK16" s="56"/>
      <c r="BGL16" s="57"/>
      <c r="BGM16" s="57"/>
      <c r="BGN16" s="56"/>
      <c r="BGO16" s="57"/>
      <c r="BGP16" s="58"/>
      <c r="BGQ16" s="56"/>
      <c r="BGR16" s="57"/>
      <c r="BGS16" s="57"/>
      <c r="BGT16" s="57"/>
      <c r="BGU16" s="56"/>
      <c r="BGV16" s="57"/>
      <c r="BGW16" s="57"/>
      <c r="BGX16" s="56"/>
      <c r="BGY16" s="57"/>
      <c r="BGZ16" s="58"/>
      <c r="BHA16" s="56"/>
      <c r="BHB16" s="57"/>
      <c r="BHC16" s="57"/>
      <c r="BHD16" s="57"/>
      <c r="BHE16" s="56"/>
      <c r="BHF16" s="57"/>
      <c r="BHG16" s="57"/>
      <c r="BHH16" s="57"/>
      <c r="BHI16" s="57"/>
      <c r="BHJ16" s="57"/>
      <c r="BHK16" s="56"/>
      <c r="BHL16" s="57"/>
      <c r="BHM16" s="57"/>
      <c r="BHN16" s="56"/>
      <c r="BHO16" s="57"/>
      <c r="BHP16" s="58"/>
      <c r="BHQ16" s="56"/>
      <c r="BHR16" s="57"/>
      <c r="BHS16" s="57"/>
      <c r="BHT16" s="57"/>
      <c r="BHU16" s="56"/>
      <c r="BHV16" s="57"/>
      <c r="BHW16" s="57"/>
      <c r="BHX16" s="56"/>
      <c r="BHY16" s="57"/>
      <c r="BHZ16" s="58"/>
      <c r="BIA16" s="56"/>
      <c r="BIB16" s="57"/>
      <c r="BIC16" s="57"/>
      <c r="BID16" s="57"/>
      <c r="BIE16" s="56"/>
      <c r="BIF16" s="57"/>
      <c r="BIG16" s="57"/>
      <c r="BIH16" s="57"/>
      <c r="BII16" s="57"/>
      <c r="BIJ16" s="57"/>
      <c r="BIK16" s="56"/>
      <c r="BIL16" s="57"/>
      <c r="BIM16" s="57"/>
      <c r="BIN16" s="56"/>
      <c r="BIO16" s="57"/>
      <c r="BIP16" s="58"/>
      <c r="BIQ16" s="56"/>
      <c r="BIR16" s="57"/>
      <c r="BIS16" s="57"/>
      <c r="BIT16" s="57"/>
      <c r="BIU16" s="56"/>
      <c r="BIV16" s="57"/>
      <c r="BIW16" s="57"/>
      <c r="BIX16" s="56"/>
      <c r="BIY16" s="57"/>
      <c r="BIZ16" s="58"/>
      <c r="BJA16" s="56"/>
      <c r="BJB16" s="57"/>
      <c r="BJC16" s="57"/>
      <c r="BJD16" s="57"/>
      <c r="BJE16" s="56"/>
      <c r="BJF16" s="57"/>
      <c r="BJG16" s="57"/>
      <c r="BJH16" s="57"/>
      <c r="BJI16" s="57"/>
      <c r="BJJ16" s="57"/>
      <c r="BJK16" s="56"/>
      <c r="BJL16" s="57"/>
      <c r="BJM16" s="57"/>
      <c r="BJN16" s="56"/>
      <c r="BJO16" s="57"/>
      <c r="BJP16" s="58"/>
      <c r="BJQ16" s="56"/>
      <c r="BJR16" s="57"/>
      <c r="BJS16" s="57"/>
      <c r="BJT16" s="57"/>
      <c r="BJU16" s="56"/>
      <c r="BJV16" s="57"/>
      <c r="BJW16" s="57"/>
      <c r="BJX16" s="56"/>
      <c r="BJY16" s="57"/>
      <c r="BJZ16" s="58"/>
      <c r="BKA16" s="56"/>
      <c r="BKB16" s="57"/>
      <c r="BKC16" s="57"/>
      <c r="BKD16" s="57"/>
      <c r="BKE16" s="56"/>
      <c r="BKF16" s="57"/>
      <c r="BKG16" s="57"/>
      <c r="BKH16" s="57"/>
      <c r="BKI16" s="57"/>
      <c r="BKJ16" s="57"/>
      <c r="BKK16" s="56"/>
      <c r="BKL16" s="57"/>
      <c r="BKM16" s="57"/>
      <c r="BKN16" s="56"/>
      <c r="BKO16" s="57"/>
      <c r="BKP16" s="58"/>
      <c r="BKQ16" s="56"/>
      <c r="BKR16" s="57"/>
      <c r="BKS16" s="57"/>
      <c r="BKT16" s="57"/>
      <c r="BKU16" s="56"/>
      <c r="BKV16" s="57"/>
      <c r="BKW16" s="57"/>
      <c r="BKX16" s="56"/>
      <c r="BKY16" s="57"/>
      <c r="BKZ16" s="58"/>
      <c r="BLA16" s="56"/>
      <c r="BLB16" s="57"/>
      <c r="BLC16" s="57"/>
      <c r="BLD16" s="57"/>
      <c r="BLE16" s="56"/>
      <c r="BLF16" s="57"/>
      <c r="BLG16" s="57"/>
      <c r="BLH16" s="57"/>
      <c r="BLI16" s="57"/>
      <c r="BLJ16" s="57"/>
      <c r="BLK16" s="56"/>
      <c r="BLL16" s="57"/>
      <c r="BLM16" s="57"/>
      <c r="BLN16" s="56"/>
      <c r="BLO16" s="57"/>
      <c r="BLP16" s="58"/>
      <c r="BLQ16" s="56"/>
      <c r="BLR16" s="57"/>
      <c r="BLS16" s="57"/>
      <c r="BLT16" s="57"/>
      <c r="BLU16" s="56"/>
      <c r="BLV16" s="57"/>
      <c r="BLW16" s="57"/>
      <c r="BLX16" s="56"/>
      <c r="BLY16" s="57"/>
      <c r="BLZ16" s="58"/>
      <c r="BMA16" s="56"/>
      <c r="BMB16" s="57"/>
      <c r="BMC16" s="57"/>
      <c r="BMD16" s="57"/>
      <c r="BME16" s="56"/>
      <c r="BMF16" s="57"/>
      <c r="BMG16" s="57"/>
      <c r="BMH16" s="57"/>
      <c r="BMI16" s="57"/>
      <c r="BMJ16" s="57"/>
      <c r="BMK16" s="56"/>
      <c r="BML16" s="57"/>
      <c r="BMM16" s="57"/>
      <c r="BMN16" s="56"/>
      <c r="BMO16" s="57"/>
      <c r="BMP16" s="58"/>
      <c r="BMQ16" s="56"/>
      <c r="BMR16" s="57"/>
      <c r="BMS16" s="57"/>
      <c r="BMT16" s="57"/>
      <c r="BMU16" s="56"/>
      <c r="BMV16" s="57"/>
      <c r="BMW16" s="57"/>
      <c r="BMX16" s="56"/>
      <c r="BMY16" s="57"/>
      <c r="BMZ16" s="58"/>
      <c r="BNA16" s="56"/>
      <c r="BNB16" s="57"/>
      <c r="BNC16" s="57"/>
      <c r="BND16" s="57"/>
      <c r="BNE16" s="56"/>
      <c r="BNF16" s="57"/>
      <c r="BNG16" s="57"/>
      <c r="BNH16" s="57"/>
      <c r="BNI16" s="57"/>
      <c r="BNJ16" s="57"/>
      <c r="BNK16" s="56"/>
      <c r="BNL16" s="57"/>
      <c r="BNM16" s="57"/>
      <c r="BNN16" s="56"/>
      <c r="BNO16" s="57"/>
      <c r="BNP16" s="58"/>
      <c r="BNQ16" s="56"/>
      <c r="BNR16" s="57"/>
      <c r="BNS16" s="57"/>
      <c r="BNT16" s="57"/>
      <c r="BNU16" s="56"/>
      <c r="BNV16" s="57"/>
      <c r="BNW16" s="57"/>
      <c r="BNX16" s="56"/>
      <c r="BNY16" s="57"/>
      <c r="BNZ16" s="58"/>
      <c r="BOA16" s="56"/>
      <c r="BOB16" s="57"/>
      <c r="BOC16" s="57"/>
      <c r="BOD16" s="57"/>
      <c r="BOE16" s="56"/>
      <c r="BOF16" s="57"/>
      <c r="BOG16" s="57"/>
      <c r="BOH16" s="57"/>
      <c r="BOI16" s="57"/>
      <c r="BOJ16" s="57"/>
      <c r="BOK16" s="56"/>
      <c r="BOL16" s="57"/>
      <c r="BOM16" s="57"/>
      <c r="BON16" s="56"/>
      <c r="BOO16" s="57"/>
      <c r="BOP16" s="58"/>
      <c r="BOQ16" s="56"/>
      <c r="BOR16" s="57"/>
      <c r="BOS16" s="57"/>
      <c r="BOT16" s="57"/>
      <c r="BOU16" s="56"/>
      <c r="BOV16" s="57"/>
      <c r="BOW16" s="57"/>
      <c r="BOX16" s="56"/>
      <c r="BOY16" s="57"/>
      <c r="BOZ16" s="58"/>
      <c r="BPA16" s="56"/>
      <c r="BPB16" s="57"/>
      <c r="BPC16" s="57"/>
      <c r="BPD16" s="57"/>
      <c r="BPE16" s="56"/>
      <c r="BPF16" s="57"/>
      <c r="BPG16" s="57"/>
      <c r="BPH16" s="57"/>
      <c r="BPI16" s="57"/>
      <c r="BPJ16" s="57"/>
      <c r="BPK16" s="56"/>
      <c r="BPL16" s="57"/>
      <c r="BPM16" s="57"/>
      <c r="BPN16" s="56"/>
      <c r="BPO16" s="57"/>
      <c r="BPP16" s="58"/>
      <c r="BPQ16" s="56"/>
      <c r="BPR16" s="57"/>
      <c r="BPS16" s="57"/>
      <c r="BPT16" s="57"/>
      <c r="BPU16" s="56"/>
      <c r="BPV16" s="57"/>
      <c r="BPW16" s="57"/>
      <c r="BPX16" s="56"/>
      <c r="BPY16" s="57"/>
      <c r="BPZ16" s="58"/>
      <c r="BQA16" s="56"/>
      <c r="BQB16" s="57"/>
      <c r="BQC16" s="57"/>
      <c r="BQD16" s="57"/>
      <c r="BQE16" s="56"/>
      <c r="BQF16" s="57"/>
      <c r="BQG16" s="57"/>
      <c r="BQH16" s="57"/>
      <c r="BQI16" s="57"/>
      <c r="BQJ16" s="57"/>
      <c r="BQK16" s="56"/>
      <c r="BQL16" s="57"/>
      <c r="BQM16" s="57"/>
      <c r="BQN16" s="56"/>
      <c r="BQO16" s="57"/>
      <c r="BQP16" s="58"/>
      <c r="BQQ16" s="56"/>
      <c r="BQR16" s="57"/>
      <c r="BQS16" s="57"/>
      <c r="BQT16" s="57"/>
      <c r="BQU16" s="56"/>
      <c r="BQV16" s="57"/>
      <c r="BQW16" s="57"/>
      <c r="BQX16" s="56"/>
      <c r="BQY16" s="57"/>
      <c r="BQZ16" s="58"/>
      <c r="BRA16" s="56"/>
      <c r="BRB16" s="57"/>
      <c r="BRC16" s="57"/>
      <c r="BRD16" s="57"/>
      <c r="BRE16" s="56"/>
      <c r="BRF16" s="57"/>
      <c r="BRG16" s="57"/>
      <c r="BRH16" s="57"/>
      <c r="BRI16" s="57"/>
      <c r="BRJ16" s="57"/>
      <c r="BRK16" s="56"/>
      <c r="BRL16" s="57"/>
      <c r="BRM16" s="57"/>
      <c r="BRN16" s="56"/>
      <c r="BRO16" s="57"/>
      <c r="BRP16" s="58"/>
      <c r="BRQ16" s="56"/>
      <c r="BRR16" s="57"/>
      <c r="BRS16" s="57"/>
      <c r="BRT16" s="57"/>
      <c r="BRU16" s="56"/>
      <c r="BRV16" s="57"/>
      <c r="BRW16" s="57"/>
      <c r="BRX16" s="56"/>
      <c r="BRY16" s="57"/>
      <c r="BRZ16" s="58"/>
      <c r="BSA16" s="56"/>
      <c r="BSB16" s="57"/>
      <c r="BSC16" s="57"/>
      <c r="BSD16" s="57"/>
      <c r="BSE16" s="56"/>
      <c r="BSF16" s="57"/>
      <c r="BSG16" s="57"/>
      <c r="BSH16" s="57"/>
      <c r="BSI16" s="57"/>
      <c r="BSJ16" s="57"/>
      <c r="BSK16" s="56"/>
      <c r="BSL16" s="57"/>
      <c r="BSM16" s="57"/>
      <c r="BSN16" s="56"/>
      <c r="BSO16" s="57"/>
      <c r="BSP16" s="58"/>
      <c r="BSQ16" s="56"/>
      <c r="BSR16" s="57"/>
      <c r="BSS16" s="57"/>
      <c r="BST16" s="57"/>
      <c r="BSU16" s="56"/>
      <c r="BSV16" s="57"/>
      <c r="BSW16" s="57"/>
      <c r="BSX16" s="56"/>
      <c r="BSY16" s="57"/>
      <c r="BSZ16" s="58"/>
      <c r="BTA16" s="56"/>
      <c r="BTB16" s="57"/>
      <c r="BTC16" s="57"/>
      <c r="BTD16" s="57"/>
      <c r="BTE16" s="56"/>
      <c r="BTF16" s="57"/>
      <c r="BTG16" s="57"/>
      <c r="BTH16" s="57"/>
      <c r="BTI16" s="57"/>
      <c r="BTJ16" s="57"/>
      <c r="BTK16" s="56"/>
      <c r="BTL16" s="57"/>
      <c r="BTM16" s="57"/>
      <c r="BTN16" s="56"/>
      <c r="BTO16" s="57"/>
      <c r="BTP16" s="58"/>
      <c r="BTQ16" s="56"/>
      <c r="BTR16" s="57"/>
      <c r="BTS16" s="57"/>
      <c r="BTT16" s="57"/>
      <c r="BTU16" s="56"/>
      <c r="BTV16" s="57"/>
      <c r="BTW16" s="57"/>
      <c r="BTX16" s="56"/>
      <c r="BTY16" s="57"/>
      <c r="BTZ16" s="58"/>
      <c r="BUA16" s="56"/>
      <c r="BUB16" s="57"/>
      <c r="BUC16" s="57"/>
      <c r="BUD16" s="57"/>
      <c r="BUE16" s="56"/>
      <c r="BUF16" s="57"/>
      <c r="BUG16" s="57"/>
      <c r="BUH16" s="57"/>
      <c r="BUI16" s="57"/>
      <c r="BUJ16" s="57"/>
      <c r="BUK16" s="56"/>
      <c r="BUL16" s="57"/>
      <c r="BUM16" s="57"/>
      <c r="BUN16" s="56"/>
      <c r="BUO16" s="57"/>
      <c r="BUP16" s="58"/>
      <c r="BUQ16" s="56"/>
      <c r="BUR16" s="57"/>
      <c r="BUS16" s="57"/>
      <c r="BUT16" s="57"/>
      <c r="BUU16" s="56"/>
      <c r="BUV16" s="57"/>
      <c r="BUW16" s="57"/>
      <c r="BUX16" s="56"/>
      <c r="BUY16" s="57"/>
      <c r="BUZ16" s="58"/>
      <c r="BVA16" s="56"/>
      <c r="BVB16" s="57"/>
      <c r="BVC16" s="57"/>
      <c r="BVD16" s="57"/>
      <c r="BVE16" s="56"/>
      <c r="BVF16" s="57"/>
      <c r="BVG16" s="57"/>
      <c r="BVH16" s="57"/>
      <c r="BVI16" s="57"/>
      <c r="BVJ16" s="57"/>
      <c r="BVK16" s="56"/>
      <c r="BVL16" s="57"/>
      <c r="BVM16" s="57"/>
      <c r="BVN16" s="56"/>
      <c r="BVO16" s="57"/>
      <c r="BVP16" s="58"/>
      <c r="BVQ16" s="56"/>
      <c r="BVR16" s="57"/>
      <c r="BVS16" s="57"/>
      <c r="BVT16" s="57"/>
      <c r="BVU16" s="56"/>
      <c r="BVV16" s="57"/>
      <c r="BVW16" s="57"/>
      <c r="BVX16" s="56"/>
      <c r="BVY16" s="57"/>
      <c r="BVZ16" s="58"/>
      <c r="BWA16" s="56"/>
      <c r="BWB16" s="57"/>
      <c r="BWC16" s="57"/>
      <c r="BWD16" s="57"/>
      <c r="BWE16" s="56"/>
      <c r="BWF16" s="57"/>
      <c r="BWG16" s="57"/>
      <c r="BWH16" s="57"/>
      <c r="BWI16" s="57"/>
      <c r="BWJ16" s="57"/>
      <c r="BWK16" s="56"/>
      <c r="BWL16" s="57"/>
      <c r="BWM16" s="57"/>
      <c r="BWN16" s="56"/>
      <c r="BWO16" s="57"/>
      <c r="BWP16" s="58"/>
      <c r="BWQ16" s="56"/>
      <c r="BWR16" s="57"/>
      <c r="BWS16" s="57"/>
      <c r="BWT16" s="57"/>
      <c r="BWU16" s="56"/>
      <c r="BWV16" s="57"/>
      <c r="BWW16" s="57"/>
      <c r="BWX16" s="56"/>
      <c r="BWY16" s="57"/>
      <c r="BWZ16" s="58"/>
      <c r="BXA16" s="56"/>
      <c r="BXB16" s="57"/>
      <c r="BXC16" s="57"/>
      <c r="BXD16" s="57"/>
      <c r="BXE16" s="56"/>
      <c r="BXF16" s="57"/>
      <c r="BXG16" s="57"/>
      <c r="BXH16" s="57"/>
      <c r="BXI16" s="57"/>
      <c r="BXJ16" s="57"/>
      <c r="BXK16" s="56"/>
      <c r="BXL16" s="57"/>
      <c r="BXM16" s="57"/>
      <c r="BXN16" s="56"/>
      <c r="BXO16" s="57"/>
      <c r="BXP16" s="58"/>
      <c r="BXQ16" s="56"/>
      <c r="BXR16" s="57"/>
      <c r="BXS16" s="57"/>
      <c r="BXT16" s="57"/>
      <c r="BXU16" s="56"/>
      <c r="BXV16" s="57"/>
      <c r="BXW16" s="57"/>
      <c r="BXX16" s="56"/>
      <c r="BXY16" s="57"/>
      <c r="BXZ16" s="58"/>
      <c r="BYA16" s="56"/>
      <c r="BYB16" s="57"/>
      <c r="BYC16" s="57"/>
      <c r="BYD16" s="57"/>
      <c r="BYE16" s="56"/>
      <c r="BYF16" s="57"/>
      <c r="BYG16" s="57"/>
      <c r="BYH16" s="57"/>
      <c r="BYI16" s="57"/>
      <c r="BYJ16" s="57"/>
      <c r="BYK16" s="56"/>
      <c r="BYL16" s="57"/>
      <c r="BYM16" s="57"/>
      <c r="BYN16" s="56"/>
      <c r="BYO16" s="57"/>
      <c r="BYP16" s="58"/>
      <c r="BYQ16" s="56"/>
      <c r="BYR16" s="57"/>
      <c r="BYS16" s="57"/>
      <c r="BYT16" s="57"/>
      <c r="BYU16" s="56"/>
      <c r="BYV16" s="57"/>
      <c r="BYW16" s="57"/>
      <c r="BYX16" s="58"/>
      <c r="BYY16" s="57"/>
      <c r="BYZ16" s="56"/>
      <c r="BZA16" s="57"/>
      <c r="BZB16" s="56"/>
      <c r="BZC16" s="56"/>
      <c r="BZD16" s="56"/>
      <c r="BZE16" s="57"/>
      <c r="BZF16" s="387"/>
      <c r="BZG16" s="57"/>
      <c r="BZH16" s="387"/>
      <c r="BZI16" s="57"/>
      <c r="BZJ16" s="38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8"/>
      <c r="CAQ16" s="56"/>
      <c r="CAR16" s="57"/>
      <c r="CAS16" s="57"/>
      <c r="CAT16" s="57"/>
      <c r="CAU16" s="57"/>
      <c r="CAV16" s="57"/>
      <c r="CAW16" s="56"/>
      <c r="CAX16" s="57"/>
      <c r="CAY16" s="57"/>
      <c r="CAZ16" s="56"/>
      <c r="CBA16" s="57"/>
      <c r="CBB16" s="58"/>
      <c r="CBC16" s="56"/>
      <c r="CBD16" s="57"/>
      <c r="CBE16" s="57"/>
      <c r="CBF16" s="57"/>
      <c r="CBG16" s="56"/>
      <c r="CBH16" s="57"/>
      <c r="CBI16" s="57"/>
      <c r="CBJ16" s="56"/>
      <c r="CBK16" s="57"/>
      <c r="CBL16" s="58"/>
      <c r="CBM16" s="56"/>
      <c r="CBN16" s="57"/>
      <c r="CBO16" s="57"/>
      <c r="CBP16" s="57"/>
      <c r="CBQ16" s="56"/>
      <c r="CBR16" s="57"/>
      <c r="CBS16" s="57"/>
      <c r="CBT16" s="56"/>
      <c r="CBU16" s="57"/>
      <c r="CBV16" s="58"/>
      <c r="CBW16" s="56"/>
      <c r="CBX16" s="57"/>
      <c r="CBY16" s="57"/>
      <c r="CBZ16" s="57"/>
      <c r="CCA16" s="56"/>
      <c r="CCB16" s="57"/>
      <c r="CCC16" s="57"/>
      <c r="CCD16" s="56"/>
      <c r="CCE16" s="57"/>
      <c r="CCF16" s="58"/>
      <c r="CCG16" s="56"/>
      <c r="CCH16" s="58"/>
      <c r="CCI16" s="57"/>
      <c r="CCJ16" s="56"/>
      <c r="CCK16" s="57"/>
      <c r="CCL16" s="56"/>
      <c r="CCM16" s="56"/>
      <c r="CCN16" s="56"/>
      <c r="CCO16" s="57"/>
      <c r="CCP16" s="387"/>
      <c r="CCQ16" s="57"/>
      <c r="CCR16" s="387"/>
      <c r="CCS16" s="57"/>
      <c r="CCT16" s="38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8"/>
      <c r="CEA16" s="56"/>
      <c r="CEB16" s="57"/>
      <c r="CEC16" s="57"/>
      <c r="CED16" s="57"/>
      <c r="CEE16" s="57"/>
      <c r="CEF16" s="57"/>
      <c r="CEG16" s="56"/>
      <c r="CEH16" s="57"/>
      <c r="CEI16" s="57"/>
      <c r="CEJ16" s="56"/>
      <c r="CEK16" s="57"/>
      <c r="CEL16" s="58"/>
      <c r="CEM16" s="56"/>
      <c r="CEN16" s="57"/>
      <c r="CEO16" s="57"/>
      <c r="CEP16" s="57"/>
      <c r="CEQ16" s="56"/>
      <c r="CER16" s="57"/>
      <c r="CES16" s="57"/>
      <c r="CET16" s="56"/>
      <c r="CEU16" s="57"/>
      <c r="CEV16" s="58"/>
      <c r="CEW16" s="56"/>
      <c r="CEX16" s="57"/>
      <c r="CEY16" s="57"/>
      <c r="CEZ16" s="57"/>
      <c r="CFA16" s="56"/>
      <c r="CFB16" s="57"/>
      <c r="CFC16" s="57"/>
      <c r="CFD16" s="56"/>
      <c r="CFE16" s="57"/>
      <c r="CFF16" s="58"/>
      <c r="CFG16" s="56"/>
      <c r="CFH16" s="57"/>
      <c r="CFI16" s="57"/>
      <c r="CFJ16" s="57"/>
      <c r="CFK16" s="56"/>
      <c r="CFL16" s="57"/>
      <c r="CFM16" s="57"/>
      <c r="CFN16" s="56"/>
      <c r="CFO16" s="57"/>
      <c r="CFP16" s="58"/>
      <c r="CFQ16" s="56"/>
      <c r="CFR16" s="58"/>
      <c r="CFS16" s="57"/>
      <c r="CFT16" s="56"/>
      <c r="CFU16" s="57"/>
      <c r="CFV16" s="56"/>
      <c r="CFW16" s="56"/>
      <c r="CFX16" s="56"/>
      <c r="CFY16" s="57"/>
      <c r="CFZ16" s="387"/>
      <c r="CGA16" s="57"/>
      <c r="CGB16" s="387"/>
      <c r="CGC16" s="57"/>
      <c r="CGD16" s="38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8"/>
      <c r="CHK16" s="56"/>
      <c r="CHL16" s="57"/>
      <c r="CHM16" s="57"/>
      <c r="CHN16" s="57"/>
      <c r="CHO16" s="57"/>
      <c r="CHP16" s="57"/>
      <c r="CHQ16" s="56"/>
      <c r="CHR16" s="57"/>
      <c r="CHS16" s="57"/>
      <c r="CHT16" s="56"/>
      <c r="CHU16" s="57"/>
      <c r="CHV16" s="58"/>
      <c r="CHW16" s="56"/>
      <c r="CHX16" s="57"/>
      <c r="CHY16" s="57"/>
      <c r="CHZ16" s="57"/>
      <c r="CIA16" s="56"/>
      <c r="CIB16" s="57"/>
      <c r="CIC16" s="57"/>
      <c r="CID16" s="56"/>
      <c r="CIE16" s="57"/>
      <c r="CIF16" s="58"/>
      <c r="CIG16" s="56"/>
      <c r="CIH16" s="57"/>
      <c r="CII16" s="57"/>
      <c r="CIJ16" s="57"/>
      <c r="CIK16" s="56"/>
      <c r="CIL16" s="57"/>
      <c r="CIM16" s="57"/>
      <c r="CIN16" s="56"/>
      <c r="CIO16" s="57"/>
      <c r="CIP16" s="58"/>
      <c r="CIQ16" s="56"/>
      <c r="CIR16" s="57"/>
      <c r="CIS16" s="57"/>
      <c r="CIT16" s="57"/>
      <c r="CIU16" s="56"/>
      <c r="CIV16" s="57"/>
      <c r="CIW16" s="57"/>
      <c r="CIX16" s="56"/>
      <c r="CIY16" s="57"/>
      <c r="CIZ16" s="58"/>
      <c r="CJA16" s="56"/>
      <c r="CJB16" s="58"/>
      <c r="CJC16" s="57"/>
      <c r="CJD16" s="56"/>
      <c r="CJE16" s="57"/>
      <c r="CJF16" s="56"/>
      <c r="CJG16" s="56"/>
      <c r="CJH16" s="56"/>
      <c r="CJI16" s="57"/>
      <c r="CJJ16" s="387"/>
      <c r="CJK16" s="57"/>
      <c r="CJL16" s="387"/>
      <c r="CJM16" s="57"/>
      <c r="CJN16" s="38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8"/>
      <c r="CKU16" s="56"/>
      <c r="CKV16" s="57"/>
      <c r="CKW16" s="57"/>
      <c r="CKX16" s="57"/>
      <c r="CKY16" s="57"/>
      <c r="CKZ16" s="57"/>
      <c r="CLA16" s="56"/>
      <c r="CLB16" s="57"/>
      <c r="CLC16" s="57"/>
      <c r="CLD16" s="56"/>
      <c r="CLE16" s="57"/>
      <c r="CLF16" s="58"/>
      <c r="CLG16" s="56"/>
      <c r="CLH16" s="57"/>
      <c r="CLI16" s="57"/>
      <c r="CLJ16" s="57"/>
      <c r="CLK16" s="56"/>
      <c r="CLL16" s="57"/>
      <c r="CLM16" s="57"/>
      <c r="CLN16" s="56"/>
      <c r="CLO16" s="57"/>
      <c r="CLP16" s="58"/>
      <c r="CLQ16" s="56"/>
      <c r="CLR16" s="57"/>
      <c r="CLS16" s="57"/>
      <c r="CLT16" s="57"/>
      <c r="CLU16" s="56"/>
      <c r="CLV16" s="57"/>
      <c r="CLW16" s="57"/>
      <c r="CLX16" s="56"/>
      <c r="CLY16" s="57"/>
      <c r="CLZ16" s="58"/>
      <c r="CMA16" s="56"/>
      <c r="CMB16" s="57"/>
      <c r="CMC16" s="57"/>
      <c r="CMD16" s="57"/>
      <c r="CME16" s="56"/>
      <c r="CMF16" s="57"/>
      <c r="CMG16" s="57"/>
      <c r="CMH16" s="56"/>
      <c r="CMI16" s="57"/>
      <c r="CMJ16" s="58"/>
      <c r="CMK16" s="56"/>
      <c r="CML16" s="58"/>
      <c r="CMM16" s="57"/>
      <c r="CMN16" s="56"/>
      <c r="CMO16" s="57"/>
      <c r="CMP16" s="56"/>
      <c r="CMQ16" s="56"/>
      <c r="CMR16" s="56"/>
      <c r="CMS16" s="57"/>
      <c r="CMT16" s="387"/>
      <c r="CMU16" s="57"/>
      <c r="CMV16" s="387"/>
      <c r="CMW16" s="57"/>
      <c r="CMX16" s="38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8"/>
      <c r="COE16" s="56"/>
      <c r="COF16" s="57"/>
      <c r="COG16" s="57"/>
      <c r="COH16" s="57"/>
      <c r="COI16" s="57"/>
      <c r="COJ16" s="57"/>
      <c r="COK16" s="56"/>
      <c r="COL16" s="57"/>
      <c r="COM16" s="57"/>
      <c r="CON16" s="56"/>
      <c r="COO16" s="57"/>
      <c r="COP16" s="58"/>
      <c r="COQ16" s="56"/>
      <c r="COR16" s="57"/>
      <c r="COS16" s="57"/>
      <c r="COT16" s="57"/>
      <c r="COU16" s="56"/>
      <c r="COV16" s="57"/>
      <c r="COW16" s="57"/>
      <c r="COX16" s="56"/>
      <c r="COY16" s="57"/>
      <c r="COZ16" s="58"/>
      <c r="CPA16" s="56"/>
      <c r="CPB16" s="57"/>
      <c r="CPC16" s="57"/>
      <c r="CPD16" s="57"/>
      <c r="CPE16" s="56"/>
      <c r="CPF16" s="57"/>
      <c r="CPG16" s="57"/>
      <c r="CPH16" s="56"/>
      <c r="CPI16" s="57"/>
      <c r="CPJ16" s="58"/>
      <c r="CPK16" s="56"/>
      <c r="CPL16" s="57"/>
      <c r="CPM16" s="57"/>
      <c r="CPN16" s="57"/>
      <c r="CPO16" s="56"/>
      <c r="CPP16" s="57"/>
      <c r="CPQ16" s="57"/>
      <c r="CPR16" s="56"/>
      <c r="CPS16" s="57"/>
      <c r="CPT16" s="58"/>
      <c r="CPU16" s="56"/>
      <c r="CPV16" s="58"/>
      <c r="CPW16" s="57"/>
      <c r="CPX16" s="56"/>
      <c r="CPY16" s="57"/>
      <c r="CPZ16" s="56"/>
      <c r="CQA16" s="56"/>
      <c r="CQB16" s="56"/>
      <c r="CQC16" s="57"/>
      <c r="CQD16" s="387"/>
      <c r="CQE16" s="57"/>
      <c r="CQF16" s="387"/>
      <c r="CQG16" s="57"/>
      <c r="CQH16" s="38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8"/>
      <c r="CRO16" s="56"/>
      <c r="CRP16" s="57"/>
      <c r="CRQ16" s="57"/>
      <c r="CRR16" s="57"/>
      <c r="CRS16" s="57"/>
      <c r="CRT16" s="57"/>
      <c r="CRU16" s="56"/>
      <c r="CRV16" s="57"/>
      <c r="CRW16" s="57"/>
      <c r="CRX16" s="56"/>
      <c r="CRY16" s="57"/>
      <c r="CRZ16" s="58"/>
      <c r="CSA16" s="56"/>
      <c r="CSB16" s="57"/>
      <c r="CSC16" s="57"/>
      <c r="CSD16" s="57"/>
      <c r="CSE16" s="56"/>
      <c r="CSF16" s="57"/>
      <c r="CSG16" s="57"/>
      <c r="CSH16" s="56"/>
      <c r="CSI16" s="57"/>
      <c r="CSJ16" s="58"/>
      <c r="CSK16" s="56"/>
      <c r="CSL16" s="57"/>
      <c r="CSM16" s="57"/>
      <c r="CSN16" s="57"/>
      <c r="CSO16" s="56"/>
      <c r="CSP16" s="57"/>
      <c r="CSQ16" s="57"/>
      <c r="CSR16" s="56"/>
      <c r="CSS16" s="57"/>
      <c r="CST16" s="58"/>
      <c r="CSU16" s="56"/>
      <c r="CSV16" s="57"/>
      <c r="CSW16" s="57"/>
      <c r="CSX16" s="57"/>
      <c r="CSY16" s="56"/>
      <c r="CSZ16" s="57"/>
      <c r="CTA16" s="57"/>
      <c r="CTB16" s="56"/>
      <c r="CTC16" s="57"/>
      <c r="CTD16" s="58"/>
      <c r="CTE16" s="56"/>
      <c r="CTF16" s="58"/>
      <c r="CTG16" s="57"/>
      <c r="CTH16" s="56"/>
      <c r="CTI16" s="57"/>
      <c r="CTJ16" s="56"/>
      <c r="CTK16" s="56"/>
      <c r="CTL16" s="56"/>
      <c r="CTM16" s="57"/>
      <c r="CTN16" s="387"/>
      <c r="CTO16" s="57"/>
      <c r="CTP16" s="387"/>
      <c r="CTQ16" s="57"/>
      <c r="CTR16" s="38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8"/>
      <c r="CUY16" s="56"/>
      <c r="CUZ16" s="57"/>
      <c r="CVA16" s="57"/>
      <c r="CVB16" s="57"/>
      <c r="CVC16" s="57"/>
      <c r="CVD16" s="57"/>
      <c r="CVE16" s="56"/>
      <c r="CVF16" s="57"/>
      <c r="CVG16" s="57"/>
      <c r="CVH16" s="56"/>
      <c r="CVI16" s="57"/>
      <c r="CVJ16" s="58"/>
      <c r="CVK16" s="56"/>
      <c r="CVL16" s="57"/>
      <c r="CVM16" s="57"/>
      <c r="CVN16" s="57"/>
      <c r="CVO16" s="56"/>
      <c r="CVP16" s="57"/>
      <c r="CVQ16" s="57"/>
      <c r="CVR16" s="56"/>
      <c r="CVS16" s="57"/>
      <c r="CVT16" s="58"/>
      <c r="CVU16" s="56"/>
      <c r="CVV16" s="57"/>
      <c r="CVW16" s="57"/>
      <c r="CVX16" s="57"/>
      <c r="CVY16" s="56"/>
      <c r="CVZ16" s="57"/>
      <c r="CWA16" s="57"/>
      <c r="CWB16" s="56"/>
      <c r="CWC16" s="57"/>
      <c r="CWD16" s="58"/>
      <c r="CWE16" s="56"/>
      <c r="CWF16" s="57"/>
      <c r="CWG16" s="57"/>
      <c r="CWH16" s="57"/>
      <c r="CWI16" s="56"/>
      <c r="CWJ16" s="57"/>
      <c r="CWK16" s="57"/>
      <c r="CWL16" s="56"/>
      <c r="CWM16" s="57"/>
      <c r="CWN16" s="58"/>
      <c r="CWO16" s="56"/>
      <c r="CWP16" s="58"/>
      <c r="CWQ16" s="57"/>
      <c r="CWR16" s="56"/>
      <c r="CWS16" s="57"/>
      <c r="CWT16" s="56"/>
      <c r="CWU16" s="56"/>
      <c r="CWV16" s="56"/>
      <c r="CWW16" s="57"/>
      <c r="CWX16" s="387"/>
      <c r="CWY16" s="57"/>
      <c r="CWZ16" s="387"/>
      <c r="CXA16" s="57"/>
      <c r="CXB16" s="38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8"/>
      <c r="CYI16" s="56"/>
      <c r="CYJ16" s="57"/>
      <c r="CYK16" s="57"/>
      <c r="CYL16" s="57"/>
      <c r="CYM16" s="57"/>
      <c r="CYN16" s="57"/>
      <c r="CYO16" s="56"/>
      <c r="CYP16" s="57"/>
      <c r="CYQ16" s="57"/>
      <c r="CYR16" s="56"/>
      <c r="CYS16" s="57"/>
      <c r="CYT16" s="58"/>
      <c r="CYU16" s="56"/>
      <c r="CYV16" s="57"/>
      <c r="CYW16" s="57"/>
      <c r="CYX16" s="57"/>
      <c r="CYY16" s="56"/>
      <c r="CYZ16" s="57"/>
      <c r="CZA16" s="57"/>
      <c r="CZB16" s="56"/>
      <c r="CZC16" s="57"/>
      <c r="CZD16" s="58"/>
      <c r="CZE16" s="56"/>
      <c r="CZF16" s="57"/>
      <c r="CZG16" s="57"/>
      <c r="CZH16" s="57"/>
      <c r="CZI16" s="56"/>
      <c r="CZJ16" s="57"/>
      <c r="CZK16" s="57"/>
      <c r="CZL16" s="56"/>
      <c r="CZM16" s="57"/>
      <c r="CZN16" s="58"/>
      <c r="CZO16" s="56"/>
      <c r="CZP16" s="57"/>
      <c r="CZQ16" s="57"/>
      <c r="CZR16" s="57"/>
      <c r="CZS16" s="56"/>
      <c r="CZT16" s="57"/>
      <c r="CZU16" s="57"/>
      <c r="CZV16" s="56"/>
      <c r="CZW16" s="57"/>
      <c r="CZX16" s="58"/>
      <c r="CZY16" s="56"/>
      <c r="CZZ16" s="58"/>
      <c r="DAA16" s="57"/>
      <c r="DAB16" s="56"/>
      <c r="DAC16" s="57"/>
      <c r="DAD16" s="56"/>
      <c r="DAE16" s="56"/>
      <c r="DAF16" s="56"/>
      <c r="DAG16" s="57"/>
      <c r="DAH16" s="387"/>
      <c r="DAI16" s="57"/>
      <c r="DAJ16" s="387"/>
      <c r="DAK16" s="57"/>
      <c r="DAL16" s="38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8"/>
      <c r="DBS16" s="56"/>
      <c r="DBT16" s="57"/>
      <c r="DBU16" s="57"/>
      <c r="DBV16" s="57"/>
      <c r="DBW16" s="57"/>
      <c r="DBX16" s="57"/>
      <c r="DBY16" s="56"/>
      <c r="DBZ16" s="57"/>
      <c r="DCA16" s="57"/>
      <c r="DCB16" s="56"/>
      <c r="DCC16" s="57"/>
      <c r="DCD16" s="58"/>
      <c r="DCE16" s="56"/>
      <c r="DCF16" s="57"/>
      <c r="DCG16" s="57"/>
      <c r="DCH16" s="57"/>
      <c r="DCI16" s="56"/>
      <c r="DCJ16" s="57"/>
      <c r="DCK16" s="57"/>
      <c r="DCL16" s="56"/>
      <c r="DCM16" s="57"/>
      <c r="DCN16" s="58"/>
      <c r="DCO16" s="56"/>
      <c r="DCP16" s="57"/>
      <c r="DCQ16" s="57"/>
      <c r="DCR16" s="57"/>
      <c r="DCS16" s="56"/>
      <c r="DCT16" s="57"/>
      <c r="DCU16" s="57"/>
      <c r="DCV16" s="56"/>
      <c r="DCW16" s="57"/>
      <c r="DCX16" s="58"/>
      <c r="DCY16" s="56"/>
      <c r="DCZ16" s="57"/>
      <c r="DDA16" s="57"/>
      <c r="DDB16" s="57"/>
      <c r="DDC16" s="56"/>
      <c r="DDD16" s="57"/>
      <c r="DDE16" s="57"/>
      <c r="DDF16" s="56"/>
      <c r="DDG16" s="57"/>
      <c r="DDH16" s="58"/>
      <c r="DDI16" s="56"/>
      <c r="DDJ16" s="58"/>
      <c r="DDK16" s="57"/>
      <c r="DDL16" s="56"/>
      <c r="DDM16" s="57"/>
      <c r="DDN16" s="56"/>
      <c r="DDO16" s="56"/>
      <c r="DDP16" s="56"/>
      <c r="DDQ16" s="57"/>
      <c r="DDR16" s="387"/>
      <c r="DDS16" s="57"/>
      <c r="DDT16" s="387"/>
      <c r="DDU16" s="57"/>
      <c r="DDV16" s="38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8"/>
      <c r="DFC16" s="56"/>
      <c r="DFD16" s="57"/>
      <c r="DFE16" s="57"/>
      <c r="DFF16" s="57"/>
      <c r="DFG16" s="57"/>
      <c r="DFH16" s="57"/>
      <c r="DFI16" s="56"/>
      <c r="DFJ16" s="57"/>
      <c r="DFK16" s="57"/>
      <c r="DFL16" s="56"/>
      <c r="DFM16" s="57"/>
      <c r="DFN16" s="58"/>
      <c r="DFO16" s="56"/>
      <c r="DFP16" s="57"/>
      <c r="DFQ16" s="57"/>
      <c r="DFR16" s="57"/>
      <c r="DFS16" s="56"/>
      <c r="DFT16" s="57"/>
      <c r="DFU16" s="57"/>
      <c r="DFV16" s="56"/>
      <c r="DFW16" s="57"/>
      <c r="DFX16" s="58"/>
      <c r="DFY16" s="56"/>
      <c r="DFZ16" s="57"/>
      <c r="DGA16" s="57"/>
      <c r="DGB16" s="57"/>
      <c r="DGC16" s="56"/>
      <c r="DGD16" s="57"/>
      <c r="DGE16" s="57"/>
      <c r="DGF16" s="56"/>
      <c r="DGG16" s="57"/>
      <c r="DGH16" s="58"/>
      <c r="DGI16" s="56"/>
      <c r="DGJ16" s="57"/>
      <c r="DGK16" s="57"/>
      <c r="DGL16" s="57"/>
      <c r="DGM16" s="56"/>
      <c r="DGN16" s="57"/>
      <c r="DGO16" s="57"/>
      <c r="DGP16" s="56"/>
      <c r="DGQ16" s="57"/>
      <c r="DGR16" s="58"/>
      <c r="DGS16" s="56"/>
      <c r="DGT16" s="58"/>
      <c r="DGU16" s="57"/>
      <c r="DGV16" s="56"/>
      <c r="DGW16" s="57"/>
      <c r="DGX16" s="56"/>
      <c r="DGY16" s="56"/>
      <c r="DGZ16" s="56"/>
      <c r="DHA16" s="57"/>
      <c r="DHB16" s="387"/>
      <c r="DHC16" s="57"/>
      <c r="DHD16" s="387"/>
      <c r="DHE16" s="57"/>
      <c r="DHF16" s="38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8"/>
      <c r="DIM16" s="56"/>
      <c r="DIN16" s="57"/>
      <c r="DIO16" s="57"/>
      <c r="DIP16" s="57"/>
      <c r="DIQ16" s="57"/>
      <c r="DIR16" s="57"/>
      <c r="DIS16" s="56"/>
      <c r="DIT16" s="57"/>
      <c r="DIU16" s="57"/>
      <c r="DIV16" s="56"/>
      <c r="DIW16" s="57"/>
      <c r="DIX16" s="58"/>
      <c r="DIY16" s="56"/>
      <c r="DIZ16" s="57"/>
      <c r="DJA16" s="57"/>
      <c r="DJB16" s="57"/>
      <c r="DJC16" s="56"/>
      <c r="DJD16" s="57"/>
      <c r="DJE16" s="57"/>
      <c r="DJF16" s="56"/>
      <c r="DJG16" s="57"/>
      <c r="DJH16" s="58"/>
      <c r="DJI16" s="56"/>
      <c r="DJJ16" s="57"/>
      <c r="DJK16" s="57"/>
      <c r="DJL16" s="57"/>
      <c r="DJM16" s="56"/>
      <c r="DJN16" s="57"/>
      <c r="DJO16" s="57"/>
      <c r="DJP16" s="56"/>
      <c r="DJQ16" s="57"/>
      <c r="DJR16" s="58"/>
      <c r="DJS16" s="56"/>
      <c r="DJT16" s="57"/>
      <c r="DJU16" s="57"/>
      <c r="DJV16" s="57"/>
      <c r="DJW16" s="56"/>
      <c r="DJX16" s="57"/>
      <c r="DJY16" s="57"/>
      <c r="DJZ16" s="56"/>
      <c r="DKA16" s="57"/>
      <c r="DKB16" s="58"/>
      <c r="DKC16" s="56"/>
      <c r="DKD16" s="58"/>
      <c r="DKE16" s="57"/>
      <c r="DKF16" s="56"/>
      <c r="DKG16" s="57"/>
      <c r="DKH16" s="56"/>
      <c r="DKI16" s="56"/>
      <c r="DKJ16" s="56"/>
      <c r="DKK16" s="57"/>
      <c r="DKL16" s="387"/>
      <c r="DKM16" s="57"/>
      <c r="DKN16" s="387"/>
      <c r="DKO16" s="57"/>
      <c r="DKP16" s="38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8"/>
      <c r="DLW16" s="56"/>
      <c r="DLX16" s="57"/>
      <c r="DLY16" s="57"/>
      <c r="DLZ16" s="57"/>
      <c r="DMA16" s="57"/>
      <c r="DMB16" s="57"/>
      <c r="DMC16" s="56"/>
      <c r="DMD16" s="57"/>
      <c r="DME16" s="57"/>
      <c r="DMF16" s="56"/>
      <c r="DMG16" s="57"/>
      <c r="DMH16" s="58"/>
      <c r="DMI16" s="56"/>
      <c r="DMJ16" s="57"/>
      <c r="DMK16" s="57"/>
      <c r="DML16" s="57"/>
      <c r="DMM16" s="56"/>
      <c r="DMN16" s="57"/>
      <c r="DMO16" s="57"/>
      <c r="DMP16" s="56"/>
      <c r="DMQ16" s="57"/>
      <c r="DMR16" s="58"/>
      <c r="DMS16" s="56"/>
      <c r="DMT16" s="57"/>
      <c r="DMU16" s="57"/>
      <c r="DMV16" s="57"/>
      <c r="DMW16" s="56"/>
      <c r="DMX16" s="57"/>
      <c r="DMY16" s="57"/>
      <c r="DMZ16" s="56"/>
      <c r="DNA16" s="57"/>
      <c r="DNB16" s="58"/>
      <c r="DNC16" s="56"/>
      <c r="DND16" s="57"/>
      <c r="DNE16" s="57"/>
      <c r="DNF16" s="57"/>
      <c r="DNG16" s="56"/>
      <c r="DNH16" s="57"/>
      <c r="DNI16" s="57"/>
      <c r="DNJ16" s="56"/>
      <c r="DNK16" s="57"/>
      <c r="DNL16" s="58"/>
      <c r="DNM16" s="56"/>
      <c r="DNN16" s="58"/>
      <c r="DNO16" s="57"/>
      <c r="DNP16" s="56"/>
      <c r="DNQ16" s="57"/>
      <c r="DNR16" s="56"/>
      <c r="DNS16" s="56"/>
      <c r="DNT16" s="56"/>
      <c r="DNU16" s="57"/>
      <c r="DNV16" s="387"/>
      <c r="DNW16" s="57"/>
      <c r="DNX16" s="387"/>
      <c r="DNY16" s="57"/>
      <c r="DNZ16" s="38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8"/>
      <c r="DPG16" s="56"/>
      <c r="DPH16" s="57"/>
      <c r="DPI16" s="57"/>
      <c r="DPJ16" s="57"/>
      <c r="DPK16" s="57"/>
      <c r="DPL16" s="57"/>
      <c r="DPM16" s="56"/>
      <c r="DPN16" s="57"/>
      <c r="DPO16" s="57"/>
      <c r="DPP16" s="56"/>
      <c r="DPQ16" s="57"/>
      <c r="DPR16" s="58"/>
      <c r="DPS16" s="56"/>
      <c r="DPT16" s="57"/>
      <c r="DPU16" s="57"/>
      <c r="DPV16" s="57"/>
      <c r="DPW16" s="56"/>
      <c r="DPX16" s="57"/>
      <c r="DPY16" s="57"/>
      <c r="DPZ16" s="56"/>
      <c r="DQA16" s="57"/>
      <c r="DQB16" s="58"/>
      <c r="DQC16" s="56"/>
      <c r="DQD16" s="57"/>
      <c r="DQE16" s="57"/>
      <c r="DQF16" s="57"/>
      <c r="DQG16" s="56"/>
      <c r="DQH16" s="57"/>
      <c r="DQI16" s="57"/>
      <c r="DQJ16" s="56"/>
      <c r="DQK16" s="57"/>
      <c r="DQL16" s="58"/>
      <c r="DQM16" s="56"/>
      <c r="DQN16" s="57"/>
      <c r="DQO16" s="57"/>
      <c r="DQP16" s="57"/>
      <c r="DQQ16" s="56"/>
      <c r="DQR16" s="57"/>
      <c r="DQS16" s="57"/>
      <c r="DQT16" s="56"/>
      <c r="DQU16" s="57"/>
      <c r="DQV16" s="58"/>
      <c r="DQW16" s="56"/>
      <c r="DQX16" s="58"/>
      <c r="DQY16" s="57"/>
      <c r="DQZ16" s="56"/>
      <c r="DRA16" s="57"/>
      <c r="DRB16" s="56"/>
      <c r="DRC16" s="56"/>
      <c r="DRD16" s="56"/>
      <c r="DRE16" s="57"/>
      <c r="DRF16" s="387"/>
      <c r="DRG16" s="57"/>
      <c r="DRH16" s="387"/>
      <c r="DRI16" s="57"/>
      <c r="DRJ16" s="38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8"/>
      <c r="DSQ16" s="56"/>
      <c r="DSR16" s="57"/>
      <c r="DSS16" s="57"/>
      <c r="DST16" s="57"/>
      <c r="DSU16" s="57"/>
      <c r="DSV16" s="57"/>
      <c r="DSW16" s="56"/>
      <c r="DSX16" s="57"/>
      <c r="DSY16" s="57"/>
      <c r="DSZ16" s="56"/>
      <c r="DTA16" s="57"/>
      <c r="DTB16" s="58"/>
      <c r="DTC16" s="56"/>
      <c r="DTD16" s="57"/>
      <c r="DTE16" s="57"/>
      <c r="DTF16" s="57"/>
      <c r="DTG16" s="56"/>
      <c r="DTH16" s="57"/>
      <c r="DTI16" s="57"/>
      <c r="DTJ16" s="56"/>
      <c r="DTK16" s="57"/>
      <c r="DTL16" s="58"/>
      <c r="DTM16" s="56"/>
      <c r="DTN16" s="57"/>
      <c r="DTO16" s="57"/>
      <c r="DTP16" s="57"/>
      <c r="DTQ16" s="56"/>
      <c r="DTR16" s="57"/>
      <c r="DTS16" s="57"/>
      <c r="DTT16" s="56"/>
      <c r="DTU16" s="57"/>
      <c r="DTV16" s="58"/>
      <c r="DTW16" s="56"/>
      <c r="DTX16" s="57"/>
      <c r="DTY16" s="57"/>
      <c r="DTZ16" s="57"/>
      <c r="DUA16" s="56"/>
      <c r="DUB16" s="57"/>
      <c r="DUC16" s="57"/>
      <c r="DUD16" s="56"/>
      <c r="DUE16" s="57"/>
      <c r="DUF16" s="58"/>
      <c r="DUG16" s="56"/>
      <c r="DUH16" s="58"/>
      <c r="DUI16" s="57"/>
      <c r="DUJ16" s="56"/>
      <c r="DUK16" s="57"/>
      <c r="DUL16" s="56"/>
      <c r="DUM16" s="56"/>
      <c r="DUN16" s="56"/>
      <c r="DUO16" s="57"/>
      <c r="DUP16" s="387"/>
      <c r="DUQ16" s="57"/>
      <c r="DUR16" s="387"/>
      <c r="DUS16" s="57"/>
      <c r="DUT16" s="38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8"/>
      <c r="DWA16" s="56"/>
      <c r="DWB16" s="57"/>
      <c r="DWC16" s="57"/>
      <c r="DWD16" s="57"/>
      <c r="DWE16" s="57"/>
      <c r="DWF16" s="57"/>
      <c r="DWG16" s="56"/>
      <c r="DWH16" s="57"/>
      <c r="DWI16" s="57"/>
      <c r="DWJ16" s="56"/>
      <c r="DWK16" s="57"/>
      <c r="DWL16" s="58"/>
      <c r="DWM16" s="56"/>
      <c r="DWN16" s="57"/>
      <c r="DWO16" s="57"/>
      <c r="DWP16" s="57"/>
      <c r="DWQ16" s="56"/>
      <c r="DWR16" s="57"/>
      <c r="DWS16" s="57"/>
      <c r="DWT16" s="56"/>
      <c r="DWU16" s="57"/>
      <c r="DWV16" s="58"/>
      <c r="DWW16" s="56"/>
      <c r="DWX16" s="57"/>
      <c r="DWY16" s="57"/>
      <c r="DWZ16" s="57"/>
      <c r="DXA16" s="56"/>
      <c r="DXB16" s="57"/>
      <c r="DXC16" s="57"/>
      <c r="DXD16" s="56"/>
      <c r="DXE16" s="57"/>
      <c r="DXF16" s="58"/>
      <c r="DXG16" s="56"/>
      <c r="DXH16" s="57"/>
      <c r="DXI16" s="57"/>
      <c r="DXJ16" s="57"/>
      <c r="DXK16" s="56"/>
      <c r="DXL16" s="57"/>
      <c r="DXM16" s="57"/>
      <c r="DXN16" s="56"/>
      <c r="DXO16" s="57"/>
      <c r="DXP16" s="58"/>
      <c r="DXQ16" s="56"/>
      <c r="DXR16" s="58"/>
      <c r="DXS16" s="57"/>
      <c r="DXT16" s="56"/>
      <c r="DXU16" s="57"/>
      <c r="DXV16" s="56"/>
      <c r="DXW16" s="56"/>
      <c r="DXX16" s="56"/>
      <c r="DXY16" s="57"/>
      <c r="DXZ16" s="387"/>
      <c r="DYA16" s="57"/>
      <c r="DYB16" s="387"/>
      <c r="DYC16" s="57"/>
      <c r="DYD16" s="38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8"/>
      <c r="DZK16" s="56"/>
      <c r="DZL16" s="57"/>
      <c r="DZM16" s="57"/>
      <c r="DZN16" s="57"/>
      <c r="DZO16" s="57"/>
      <c r="DZP16" s="57"/>
      <c r="DZQ16" s="56"/>
      <c r="DZR16" s="57"/>
      <c r="DZS16" s="57"/>
      <c r="DZT16" s="56"/>
      <c r="DZU16" s="57"/>
      <c r="DZV16" s="58"/>
      <c r="DZW16" s="56"/>
      <c r="DZX16" s="57"/>
      <c r="DZY16" s="57"/>
      <c r="DZZ16" s="57"/>
      <c r="EAA16" s="56"/>
      <c r="EAB16" s="57"/>
      <c r="EAC16" s="57"/>
      <c r="EAD16" s="56"/>
      <c r="EAE16" s="57"/>
      <c r="EAF16" s="58"/>
      <c r="EAG16" s="56"/>
      <c r="EAH16" s="57"/>
      <c r="EAI16" s="57"/>
      <c r="EAJ16" s="57"/>
      <c r="EAK16" s="56"/>
      <c r="EAL16" s="57"/>
      <c r="EAM16" s="57"/>
      <c r="EAN16" s="56"/>
      <c r="EAO16" s="57"/>
      <c r="EAP16" s="58"/>
      <c r="EAQ16" s="56"/>
      <c r="EAR16" s="57"/>
      <c r="EAS16" s="57"/>
      <c r="EAT16" s="57"/>
      <c r="EAU16" s="56"/>
      <c r="EAV16" s="57"/>
      <c r="EAW16" s="57"/>
      <c r="EAX16" s="56"/>
      <c r="EAY16" s="57"/>
      <c r="EAZ16" s="58"/>
      <c r="EBA16" s="56"/>
      <c r="EBB16" s="58"/>
      <c r="EBC16" s="57"/>
      <c r="EBD16" s="56"/>
      <c r="EBE16" s="57"/>
      <c r="EBF16" s="56"/>
      <c r="EBG16" s="56"/>
      <c r="EBH16" s="56"/>
      <c r="EBI16" s="57"/>
      <c r="EBJ16" s="387"/>
      <c r="EBK16" s="57"/>
      <c r="EBL16" s="387"/>
      <c r="EBM16" s="57"/>
      <c r="EBN16" s="38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8"/>
      <c r="ECU16" s="56"/>
      <c r="ECV16" s="57"/>
      <c r="ECW16" s="57"/>
      <c r="ECX16" s="57"/>
      <c r="ECY16" s="57"/>
      <c r="ECZ16" s="57"/>
      <c r="EDA16" s="56"/>
      <c r="EDB16" s="57"/>
      <c r="EDC16" s="57"/>
      <c r="EDD16" s="56"/>
      <c r="EDE16" s="57"/>
      <c r="EDF16" s="58"/>
      <c r="EDG16" s="56"/>
      <c r="EDH16" s="57"/>
      <c r="EDI16" s="57"/>
      <c r="EDJ16" s="57"/>
      <c r="EDK16" s="56"/>
      <c r="EDL16" s="57"/>
      <c r="EDM16" s="57"/>
      <c r="EDN16" s="56"/>
      <c r="EDO16" s="57"/>
      <c r="EDP16" s="58"/>
      <c r="EDQ16" s="56"/>
      <c r="EDR16" s="57"/>
      <c r="EDS16" s="57"/>
      <c r="EDT16" s="57"/>
      <c r="EDU16" s="56"/>
      <c r="EDV16" s="57"/>
      <c r="EDW16" s="57"/>
      <c r="EDX16" s="56"/>
      <c r="EDY16" s="57"/>
      <c r="EDZ16" s="58"/>
      <c r="EEA16" s="56"/>
      <c r="EEB16" s="57"/>
      <c r="EEC16" s="57"/>
      <c r="EED16" s="57"/>
      <c r="EEE16" s="56"/>
      <c r="EEF16" s="57"/>
      <c r="EEG16" s="57"/>
      <c r="EEH16" s="56"/>
      <c r="EEI16" s="57"/>
      <c r="EEJ16" s="58"/>
      <c r="EEK16" s="56"/>
      <c r="EEL16" s="58"/>
      <c r="EEM16" s="57"/>
      <c r="EEN16" s="56"/>
      <c r="EEO16" s="57"/>
      <c r="EEP16" s="56"/>
      <c r="EEQ16" s="56"/>
      <c r="EER16" s="56"/>
      <c r="EES16" s="57"/>
      <c r="EET16" s="387"/>
      <c r="EEU16" s="57"/>
      <c r="EEV16" s="387"/>
      <c r="EEW16" s="57"/>
      <c r="EEX16" s="38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8"/>
      <c r="EGE16" s="56"/>
      <c r="EGF16" s="57"/>
      <c r="EGG16" s="57"/>
      <c r="EGH16" s="57"/>
      <c r="EGI16" s="57"/>
      <c r="EGJ16" s="57"/>
      <c r="EGK16" s="56"/>
      <c r="EGL16" s="57"/>
      <c r="EGM16" s="57"/>
      <c r="EGN16" s="56"/>
      <c r="EGO16" s="57"/>
      <c r="EGP16" s="58"/>
      <c r="EGQ16" s="56"/>
      <c r="EGR16" s="57"/>
      <c r="EGS16" s="57"/>
      <c r="EGT16" s="57"/>
      <c r="EGU16" s="56"/>
      <c r="EGV16" s="57"/>
      <c r="EGW16" s="57"/>
      <c r="EGX16" s="56"/>
      <c r="EGY16" s="57"/>
      <c r="EGZ16" s="58"/>
      <c r="EHA16" s="56"/>
      <c r="EHB16" s="57"/>
      <c r="EHC16" s="57"/>
      <c r="EHD16" s="57"/>
      <c r="EHE16" s="56"/>
      <c r="EHF16" s="57"/>
      <c r="EHG16" s="57"/>
      <c r="EHH16" s="56"/>
      <c r="EHI16" s="57"/>
      <c r="EHJ16" s="58"/>
      <c r="EHK16" s="56"/>
      <c r="EHL16" s="57"/>
      <c r="EHM16" s="57"/>
      <c r="EHN16" s="57"/>
      <c r="EHO16" s="56"/>
      <c r="EHP16" s="57"/>
      <c r="EHQ16" s="57"/>
      <c r="EHR16" s="56"/>
      <c r="EHS16" s="57"/>
      <c r="EHT16" s="58"/>
      <c r="EHU16" s="56"/>
      <c r="EHV16" s="58"/>
      <c r="EHW16" s="57"/>
      <c r="EHX16" s="56"/>
      <c r="EHY16" s="57"/>
      <c r="EHZ16" s="56"/>
      <c r="EIA16" s="56"/>
      <c r="EIB16" s="56"/>
      <c r="EIC16" s="57"/>
      <c r="EID16" s="387"/>
      <c r="EIE16" s="57"/>
      <c r="EIF16" s="387"/>
      <c r="EIG16" s="57"/>
      <c r="EIH16" s="38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8"/>
      <c r="EJO16" s="56"/>
      <c r="EJP16" s="57"/>
      <c r="EJQ16" s="57"/>
      <c r="EJR16" s="57"/>
      <c r="EJS16" s="57"/>
      <c r="EJT16" s="57"/>
      <c r="EJU16" s="56"/>
      <c r="EJV16" s="57"/>
      <c r="EJW16" s="57"/>
      <c r="EJX16" s="56"/>
      <c r="EJY16" s="57"/>
      <c r="EJZ16" s="58"/>
      <c r="EKA16" s="56"/>
      <c r="EKB16" s="57"/>
      <c r="EKC16" s="57"/>
      <c r="EKD16" s="57"/>
      <c r="EKE16" s="56"/>
      <c r="EKF16" s="57"/>
      <c r="EKG16" s="57"/>
      <c r="EKH16" s="56"/>
      <c r="EKI16" s="57"/>
      <c r="EKJ16" s="58"/>
      <c r="EKK16" s="56"/>
      <c r="EKL16" s="57"/>
      <c r="EKM16" s="57"/>
      <c r="EKN16" s="57"/>
      <c r="EKO16" s="56"/>
      <c r="EKP16" s="57"/>
      <c r="EKQ16" s="57"/>
      <c r="EKR16" s="56"/>
      <c r="EKS16" s="57"/>
      <c r="EKT16" s="58"/>
      <c r="EKU16" s="56"/>
      <c r="EKV16" s="57"/>
      <c r="EKW16" s="57"/>
      <c r="EKX16" s="57"/>
      <c r="EKY16" s="56"/>
      <c r="EKZ16" s="57"/>
      <c r="ELA16" s="57"/>
      <c r="ELB16" s="56"/>
      <c r="ELC16" s="57"/>
      <c r="ELD16" s="58"/>
      <c r="ELE16" s="56"/>
      <c r="ELF16" s="58"/>
      <c r="ELG16" s="57"/>
      <c r="ELH16" s="56"/>
      <c r="ELI16" s="57"/>
      <c r="ELJ16" s="56"/>
      <c r="ELK16" s="56"/>
      <c r="ELL16" s="56"/>
      <c r="ELM16" s="57"/>
      <c r="ELN16" s="387"/>
      <c r="ELO16" s="57"/>
      <c r="ELP16" s="387"/>
      <c r="ELQ16" s="57"/>
      <c r="ELR16" s="38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8"/>
      <c r="EMY16" s="56"/>
      <c r="EMZ16" s="57"/>
      <c r="ENA16" s="57"/>
      <c r="ENB16" s="57"/>
      <c r="ENC16" s="57"/>
      <c r="END16" s="57"/>
      <c r="ENE16" s="56"/>
      <c r="ENF16" s="57"/>
      <c r="ENG16" s="57"/>
      <c r="ENH16" s="56"/>
      <c r="ENI16" s="57"/>
      <c r="ENJ16" s="58"/>
      <c r="ENK16" s="56"/>
      <c r="ENL16" s="57"/>
      <c r="ENM16" s="57"/>
      <c r="ENN16" s="57"/>
      <c r="ENO16" s="56"/>
      <c r="ENP16" s="57"/>
      <c r="ENQ16" s="57"/>
      <c r="ENR16" s="56"/>
      <c r="ENS16" s="57"/>
      <c r="ENT16" s="58"/>
      <c r="ENU16" s="56"/>
      <c r="ENV16" s="57"/>
      <c r="ENW16" s="57"/>
      <c r="ENX16" s="57"/>
      <c r="ENY16" s="56"/>
      <c r="ENZ16" s="57"/>
      <c r="EOA16" s="57"/>
      <c r="EOB16" s="56"/>
      <c r="EOC16" s="57"/>
      <c r="EOD16" s="58"/>
      <c r="EOE16" s="56"/>
      <c r="EOF16" s="57"/>
      <c r="EOG16" s="57"/>
      <c r="EOH16" s="57"/>
      <c r="EOI16" s="56"/>
      <c r="EOJ16" s="57"/>
      <c r="EOK16" s="57"/>
      <c r="EOL16" s="56"/>
      <c r="EOM16" s="57"/>
      <c r="EON16" s="58"/>
      <c r="EOO16" s="56" t="str">
        <f t="shared" si="75"/>
        <v xml:space="preserve"> </v>
      </c>
    </row>
    <row r="17" spans="1:3785" x14ac:dyDescent="0.3">
      <c r="A17" s="27" t="s">
        <v>159</v>
      </c>
      <c r="B17" s="30"/>
      <c r="C17" s="29"/>
      <c r="D17" s="28" t="str">
        <f t="shared" si="61"/>
        <v xml:space="preserve"> </v>
      </c>
      <c r="E17" s="29"/>
      <c r="F17" s="28"/>
      <c r="G17" s="28"/>
      <c r="H17" s="28"/>
      <c r="I17" s="29"/>
      <c r="J17" s="385"/>
      <c r="K17" s="29"/>
      <c r="L17" s="385"/>
      <c r="M17" s="29"/>
      <c r="N17" s="385"/>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30"/>
      <c r="AU17" s="28"/>
      <c r="AV17" s="29"/>
      <c r="AW17" s="29"/>
      <c r="AX17" s="29"/>
      <c r="AY17" s="29"/>
      <c r="AZ17" s="29"/>
      <c r="BA17" s="28"/>
      <c r="BB17" s="29"/>
      <c r="BC17" s="29"/>
      <c r="BD17" s="28"/>
      <c r="BE17" s="29"/>
      <c r="BF17" s="30"/>
      <c r="BG17" s="28"/>
      <c r="BH17" s="29"/>
      <c r="BI17" s="29"/>
      <c r="BJ17" s="29"/>
      <c r="BK17" s="28"/>
      <c r="BL17" s="29"/>
      <c r="BM17" s="29"/>
      <c r="BN17" s="28"/>
      <c r="BO17" s="29"/>
      <c r="BP17" s="30"/>
      <c r="BQ17" s="28"/>
      <c r="BR17" s="29"/>
      <c r="BS17" s="29"/>
      <c r="BT17" s="29"/>
      <c r="BU17" s="28"/>
      <c r="BV17" s="29"/>
      <c r="BW17" s="29"/>
      <c r="BX17" s="28"/>
      <c r="BY17" s="29"/>
      <c r="BZ17" s="30"/>
      <c r="CA17" s="28"/>
      <c r="CB17" s="29"/>
      <c r="CC17" s="29"/>
      <c r="CD17" s="29"/>
      <c r="CE17" s="28"/>
      <c r="CF17" s="29"/>
      <c r="CG17" s="29"/>
      <c r="CH17" s="28"/>
      <c r="CI17" s="29"/>
      <c r="CJ17" s="30"/>
      <c r="CK17" s="28"/>
      <c r="CL17" s="29"/>
      <c r="CM17" s="29"/>
      <c r="CN17" s="29"/>
      <c r="CO17" s="28"/>
      <c r="CP17" s="29"/>
      <c r="CQ17" s="29"/>
      <c r="CR17" s="28"/>
      <c r="CS17" s="29"/>
      <c r="CT17" s="30"/>
      <c r="CU17" s="28"/>
      <c r="CV17" s="29"/>
      <c r="CW17" s="29"/>
      <c r="CX17" s="29"/>
      <c r="CY17" s="28"/>
      <c r="CZ17" s="29"/>
      <c r="DA17" s="29"/>
      <c r="DB17" s="28"/>
      <c r="DC17" s="29"/>
      <c r="DD17" s="30"/>
      <c r="DE17" s="28"/>
      <c r="DF17" s="29"/>
      <c r="DG17" s="29"/>
      <c r="DH17" s="29"/>
      <c r="DI17" s="28"/>
      <c r="DJ17" s="29"/>
      <c r="DK17" s="29"/>
      <c r="DL17" s="28"/>
      <c r="DM17" s="29"/>
      <c r="DN17" s="30"/>
      <c r="DO17" s="28"/>
      <c r="DP17" s="29"/>
      <c r="DQ17" s="29"/>
      <c r="DR17" s="29"/>
      <c r="DS17" s="28"/>
      <c r="DT17" s="29"/>
      <c r="DU17" s="29"/>
      <c r="DV17" s="28"/>
      <c r="DW17" s="29"/>
      <c r="DX17" s="30"/>
      <c r="DY17" s="28"/>
      <c r="DZ17" s="29"/>
      <c r="EA17" s="29"/>
      <c r="EB17" s="29"/>
      <c r="EC17" s="28"/>
      <c r="ED17" s="29"/>
      <c r="EE17" s="28"/>
      <c r="EF17" s="28"/>
      <c r="EG17" s="29"/>
      <c r="EH17" s="30"/>
      <c r="EI17" s="28"/>
      <c r="EJ17" s="29"/>
      <c r="EK17" s="29"/>
      <c r="EL17" s="29"/>
      <c r="EM17" s="28"/>
      <c r="EN17" s="29"/>
      <c r="EO17" s="33"/>
      <c r="EP17" s="28"/>
      <c r="EQ17" s="29"/>
      <c r="ER17" s="30"/>
      <c r="ES17" s="28"/>
      <c r="ET17" s="29"/>
      <c r="EU17" s="29"/>
      <c r="EV17" s="29"/>
      <c r="EW17" s="28"/>
      <c r="EX17" s="29"/>
      <c r="EY17" s="29"/>
      <c r="EZ17" s="28"/>
      <c r="FA17" s="29"/>
      <c r="FB17" s="30"/>
      <c r="FC17" s="28"/>
      <c r="FD17" s="29"/>
      <c r="FE17" s="29"/>
      <c r="FF17" s="29"/>
      <c r="FG17" s="28"/>
      <c r="FH17" s="29"/>
      <c r="FI17" s="29"/>
      <c r="FJ17" s="28"/>
      <c r="FK17" s="29"/>
      <c r="FL17" s="30"/>
      <c r="FM17" s="28"/>
      <c r="FN17" s="29"/>
      <c r="FO17" s="29"/>
      <c r="FP17" s="29"/>
      <c r="FQ17" s="28"/>
      <c r="FR17" s="29"/>
      <c r="FS17" s="29"/>
      <c r="FT17" s="28"/>
      <c r="FU17" s="29"/>
      <c r="FV17" s="30"/>
      <c r="FW17" s="28"/>
      <c r="FX17" s="29"/>
      <c r="FY17" s="29"/>
      <c r="FZ17" s="29"/>
      <c r="GA17" s="28"/>
      <c r="GB17" s="29"/>
      <c r="GC17" s="29"/>
      <c r="GD17" s="28"/>
      <c r="GE17" s="29"/>
      <c r="GF17" s="30"/>
      <c r="GG17" s="28"/>
      <c r="GH17" s="29"/>
      <c r="GI17" s="29"/>
      <c r="GJ17" s="29"/>
      <c r="GK17" s="28"/>
      <c r="GL17" s="29"/>
      <c r="GM17" s="29"/>
      <c r="GN17" s="28"/>
      <c r="GO17" s="29"/>
      <c r="GP17" s="30"/>
      <c r="GQ17" s="28"/>
      <c r="GR17" s="29"/>
      <c r="GS17" s="29"/>
      <c r="GT17" s="29"/>
      <c r="GU17" s="28"/>
      <c r="GV17" s="29"/>
      <c r="GW17" s="29"/>
      <c r="GX17" s="28"/>
      <c r="GY17" s="29"/>
      <c r="GZ17" s="30"/>
      <c r="HA17" s="28"/>
      <c r="HB17" s="29"/>
      <c r="HC17" s="29"/>
      <c r="HD17" s="29"/>
      <c r="HE17" s="28"/>
      <c r="HF17" s="29"/>
      <c r="HG17" s="29"/>
      <c r="HH17" s="28"/>
      <c r="HI17" s="29"/>
      <c r="HJ17" s="30"/>
      <c r="HK17" s="28"/>
      <c r="HL17" s="29"/>
      <c r="HM17" s="29"/>
      <c r="HN17" s="29"/>
      <c r="HO17" s="28"/>
      <c r="HP17" s="29"/>
      <c r="HQ17" s="29"/>
      <c r="HR17" s="28"/>
      <c r="HS17" s="29"/>
      <c r="HT17" s="30"/>
      <c r="HU17" s="28"/>
      <c r="HV17" s="29"/>
      <c r="HW17" s="29"/>
      <c r="HX17" s="29"/>
      <c r="HY17" s="28"/>
      <c r="HZ17" s="29"/>
      <c r="IA17" s="29"/>
      <c r="IB17" s="28"/>
      <c r="IC17" s="29"/>
      <c r="ID17" s="30"/>
      <c r="IE17" s="28"/>
      <c r="IF17" s="29"/>
      <c r="IG17" s="29"/>
      <c r="IH17" s="29"/>
      <c r="II17" s="28"/>
      <c r="IJ17" s="29"/>
      <c r="IK17" s="29"/>
      <c r="IL17" s="28"/>
      <c r="IM17" s="29"/>
      <c r="IN17" s="30"/>
      <c r="IO17" s="28"/>
      <c r="IP17" s="29"/>
      <c r="IQ17" s="29"/>
      <c r="IR17" s="29"/>
      <c r="IS17" s="28"/>
      <c r="IT17" s="29"/>
      <c r="IU17" s="29"/>
      <c r="IV17" s="28"/>
      <c r="IW17" s="29"/>
      <c r="IX17" s="30"/>
      <c r="IY17" s="28"/>
      <c r="IZ17" s="29"/>
      <c r="JA17" s="29"/>
      <c r="JB17" s="29"/>
      <c r="JC17" s="28"/>
      <c r="JD17" s="29"/>
      <c r="JE17" s="29"/>
      <c r="JF17" s="28"/>
      <c r="JG17" s="29"/>
      <c r="JH17" s="30"/>
      <c r="JI17" s="28"/>
      <c r="JJ17" s="29"/>
      <c r="JK17" s="29"/>
      <c r="JL17" s="29"/>
      <c r="JM17" s="28"/>
      <c r="JN17" s="29"/>
      <c r="JO17" s="29"/>
      <c r="JP17" s="28"/>
      <c r="JQ17" s="29"/>
      <c r="JR17" s="30"/>
      <c r="JS17" s="28"/>
      <c r="JT17" s="29"/>
      <c r="JU17" s="29"/>
      <c r="JV17" s="29"/>
      <c r="JW17" s="28"/>
      <c r="JX17" s="29"/>
      <c r="JY17" s="29"/>
      <c r="JZ17" s="28"/>
      <c r="KA17" s="29"/>
      <c r="KB17" s="30"/>
      <c r="KC17" s="28"/>
      <c r="KD17" s="29"/>
      <c r="KE17" s="29"/>
      <c r="KF17" s="29"/>
      <c r="KG17" s="28"/>
      <c r="KH17" s="29"/>
      <c r="KI17" s="29"/>
      <c r="KJ17" s="28"/>
      <c r="KK17" s="29"/>
      <c r="KL17" s="30"/>
      <c r="KM17" s="28"/>
      <c r="KN17" s="29"/>
      <c r="KO17" s="29"/>
      <c r="KP17" s="29"/>
      <c r="KQ17" s="28"/>
      <c r="KR17" s="29"/>
      <c r="KS17" s="29"/>
      <c r="KT17" s="28"/>
      <c r="KU17" s="29"/>
      <c r="KV17" s="30"/>
      <c r="KW17" s="28"/>
      <c r="KX17" s="29"/>
      <c r="KY17" s="29"/>
      <c r="KZ17" s="29"/>
      <c r="LA17" s="28"/>
      <c r="LB17" s="29"/>
      <c r="LC17" s="29"/>
      <c r="LD17" s="28"/>
      <c r="LE17" s="29"/>
      <c r="LF17" s="30"/>
      <c r="LG17" s="28"/>
      <c r="LH17" s="29"/>
      <c r="LI17" s="29"/>
      <c r="LJ17" s="29"/>
      <c r="LK17" s="28"/>
      <c r="LL17" s="29"/>
      <c r="LM17" s="29"/>
      <c r="LN17" s="28"/>
      <c r="LO17" s="29"/>
      <c r="LP17" s="30"/>
      <c r="LQ17" s="28"/>
      <c r="LR17" s="29"/>
      <c r="LS17" s="29"/>
      <c r="LT17" s="29"/>
      <c r="LU17" s="28"/>
      <c r="LV17" s="29"/>
      <c r="LW17" s="29"/>
      <c r="LX17" s="28"/>
      <c r="LY17" s="29"/>
      <c r="LZ17" s="30"/>
      <c r="MA17" s="28"/>
      <c r="MB17" s="29"/>
      <c r="MC17" s="29"/>
      <c r="MD17" s="29"/>
      <c r="ME17" s="28"/>
      <c r="MF17" s="29"/>
      <c r="MG17" s="29"/>
      <c r="MH17" s="28"/>
      <c r="MI17" s="29"/>
      <c r="MJ17" s="30"/>
      <c r="MK17" s="28"/>
      <c r="ML17" s="29"/>
      <c r="MM17" s="29"/>
      <c r="MN17" s="29"/>
      <c r="MO17" s="28"/>
      <c r="MP17" s="29"/>
      <c r="MQ17" s="29"/>
      <c r="MR17" s="28"/>
      <c r="MS17" s="29"/>
      <c r="MT17" s="30"/>
      <c r="MU17" s="28"/>
      <c r="MV17" s="29"/>
      <c r="MW17" s="29"/>
      <c r="MX17" s="29"/>
      <c r="MY17" s="28"/>
      <c r="MZ17" s="29"/>
      <c r="NA17" s="29"/>
      <c r="NB17" s="28"/>
      <c r="NC17" s="29"/>
      <c r="ND17" s="30"/>
      <c r="NE17" s="28"/>
      <c r="NF17" s="29"/>
      <c r="NG17" s="29"/>
      <c r="NH17" s="29"/>
      <c r="NI17" s="28"/>
      <c r="NJ17" s="29"/>
      <c r="NK17" s="29"/>
      <c r="NL17" s="28"/>
      <c r="NM17" s="29"/>
      <c r="NN17" s="30"/>
      <c r="NO17" s="28"/>
      <c r="NP17" s="29"/>
      <c r="NQ17" s="29"/>
      <c r="NR17" s="29"/>
      <c r="NS17" s="28"/>
      <c r="NT17" s="29"/>
      <c r="NU17" s="29"/>
      <c r="NV17" s="28"/>
      <c r="NW17" s="29"/>
      <c r="NX17" s="30"/>
      <c r="NY17" s="28"/>
      <c r="NZ17" s="29"/>
      <c r="OA17" s="29"/>
      <c r="OB17" s="29"/>
      <c r="OC17" s="28"/>
      <c r="OD17" s="29"/>
      <c r="OE17" s="29"/>
      <c r="OF17" s="30"/>
      <c r="OG17" s="30"/>
      <c r="OH17" s="30"/>
      <c r="OI17" s="28"/>
      <c r="OJ17" s="30"/>
      <c r="OK17" s="30"/>
      <c r="OL17" s="30"/>
      <c r="OM17" s="30"/>
      <c r="ON17" s="30"/>
      <c r="OO17" s="30"/>
      <c r="OP17" s="28"/>
      <c r="OQ17" s="29"/>
      <c r="OR17" s="30"/>
      <c r="OS17" s="28"/>
      <c r="OT17" s="29"/>
      <c r="OU17" s="29"/>
      <c r="OV17" s="29"/>
      <c r="OW17" s="28"/>
      <c r="OX17" s="29"/>
      <c r="OY17" s="29"/>
      <c r="OZ17" s="28"/>
      <c r="PA17" s="29"/>
      <c r="PB17" s="30"/>
      <c r="PC17" s="28"/>
      <c r="PD17" s="29"/>
      <c r="PE17" s="29"/>
      <c r="PF17" s="29"/>
      <c r="PG17" s="28"/>
      <c r="PH17" s="29"/>
      <c r="PI17" s="29"/>
      <c r="PJ17" s="28"/>
      <c r="PK17" s="29"/>
      <c r="PL17" s="30"/>
      <c r="PM17" s="28"/>
      <c r="PN17" s="29"/>
      <c r="PO17" s="29"/>
      <c r="PP17" s="29"/>
      <c r="PQ17" s="28"/>
      <c r="PR17" s="29"/>
      <c r="PS17" s="29"/>
      <c r="PT17" s="28"/>
      <c r="PU17" s="29"/>
      <c r="PV17" s="30"/>
      <c r="PW17" s="28"/>
      <c r="PX17" s="29"/>
      <c r="PY17" s="29"/>
      <c r="PZ17" s="29"/>
      <c r="QA17" s="28"/>
      <c r="QB17" s="29"/>
      <c r="QC17" s="29"/>
      <c r="QD17" s="28"/>
      <c r="QE17" s="29"/>
      <c r="QF17" s="30"/>
      <c r="QG17" s="28"/>
      <c r="QH17" s="29"/>
      <c r="QI17" s="29"/>
      <c r="QJ17" s="29"/>
      <c r="QK17" s="28"/>
      <c r="QL17" s="29"/>
      <c r="QM17" s="29"/>
      <c r="QN17" s="28"/>
      <c r="QO17" s="29"/>
      <c r="QP17" s="30"/>
      <c r="QQ17" s="28"/>
      <c r="QR17" s="29"/>
      <c r="QS17" s="29"/>
      <c r="QT17" s="29"/>
      <c r="QU17" s="28"/>
      <c r="QV17" s="29"/>
      <c r="QW17" s="29"/>
      <c r="QX17" s="28"/>
      <c r="QY17" s="29"/>
      <c r="QZ17" s="30"/>
      <c r="RA17" s="28"/>
      <c r="RB17" s="29"/>
      <c r="RC17" s="29"/>
      <c r="RD17" s="29"/>
      <c r="RE17" s="28"/>
      <c r="RF17" s="29"/>
      <c r="RG17" s="29"/>
      <c r="RH17" s="28"/>
      <c r="RI17" s="29"/>
      <c r="RJ17" s="30"/>
      <c r="RK17" s="28"/>
      <c r="RL17" s="29"/>
      <c r="RM17" s="29"/>
      <c r="RN17" s="29"/>
      <c r="RO17" s="28"/>
      <c r="RP17" s="29"/>
      <c r="RQ17" s="29"/>
      <c r="RR17" s="28"/>
      <c r="RS17" s="29"/>
      <c r="RT17" s="30"/>
      <c r="RU17" s="28"/>
      <c r="RV17" s="29"/>
      <c r="RW17" s="29"/>
      <c r="RX17" s="29"/>
      <c r="RY17" s="28"/>
      <c r="RZ17" s="29"/>
      <c r="SA17" s="29"/>
      <c r="SB17" s="28"/>
      <c r="SC17" s="29"/>
      <c r="SD17" s="30"/>
      <c r="SE17" s="28"/>
      <c r="SF17" s="29"/>
      <c r="SG17" s="29"/>
      <c r="SH17" s="29"/>
      <c r="SI17" s="28"/>
      <c r="SJ17" s="29"/>
      <c r="SK17" s="29"/>
      <c r="SL17" s="28"/>
      <c r="SM17" s="29"/>
      <c r="SN17" s="30"/>
      <c r="SO17" s="28"/>
      <c r="SP17" s="29"/>
      <c r="SQ17" s="29"/>
      <c r="SR17" s="29"/>
      <c r="SS17" s="28"/>
      <c r="ST17" s="29"/>
      <c r="SU17" s="29"/>
      <c r="SV17" s="28"/>
      <c r="SW17" s="29"/>
      <c r="SX17" s="30"/>
      <c r="SY17" s="28"/>
      <c r="SZ17" s="29"/>
      <c r="TA17" s="29"/>
      <c r="TB17" s="29"/>
      <c r="TC17" s="28"/>
      <c r="TD17" s="29"/>
      <c r="TE17" s="29"/>
      <c r="TF17" s="28"/>
      <c r="TG17" s="29"/>
      <c r="TH17" s="30"/>
      <c r="TI17" s="28"/>
      <c r="TJ17" s="29"/>
      <c r="TK17" s="29"/>
      <c r="TL17" s="29"/>
      <c r="TM17" s="28"/>
      <c r="TN17" s="29"/>
      <c r="TO17" s="29"/>
      <c r="TP17" s="28"/>
      <c r="TQ17" s="29"/>
      <c r="TR17" s="30"/>
      <c r="TS17" s="28"/>
      <c r="TT17" s="29"/>
      <c r="TU17" s="29"/>
      <c r="TV17" s="29"/>
      <c r="TW17" s="28"/>
      <c r="TX17" s="29"/>
      <c r="TY17" s="29"/>
      <c r="TZ17" s="28"/>
      <c r="UA17" s="29"/>
      <c r="UB17" s="30"/>
      <c r="UC17" s="28"/>
      <c r="UD17" s="29"/>
      <c r="UE17" s="29"/>
      <c r="UF17" s="29"/>
      <c r="UG17" s="28"/>
      <c r="UH17" s="29"/>
      <c r="UI17" s="29"/>
      <c r="UJ17" s="28"/>
      <c r="UK17" s="29"/>
      <c r="UL17" s="30"/>
      <c r="UM17" s="28"/>
      <c r="UN17" s="29"/>
      <c r="UO17" s="29"/>
      <c r="UP17" s="29"/>
      <c r="UQ17" s="28"/>
      <c r="UR17" s="29"/>
      <c r="US17" s="29"/>
      <c r="UT17" s="28"/>
      <c r="UU17" s="29"/>
      <c r="UV17" s="30"/>
      <c r="UW17" s="28"/>
      <c r="UX17" s="29"/>
      <c r="UY17" s="29"/>
      <c r="UZ17" s="29"/>
      <c r="VA17" s="28"/>
      <c r="VB17" s="29"/>
      <c r="VC17" s="29"/>
      <c r="VD17" s="28"/>
      <c r="VE17" s="29"/>
      <c r="VF17" s="30"/>
      <c r="VG17" s="28"/>
      <c r="VH17" s="29"/>
      <c r="VI17" s="29"/>
      <c r="VJ17" s="29"/>
      <c r="VK17" s="28"/>
      <c r="VL17" s="29"/>
      <c r="VM17" s="29"/>
      <c r="VN17" s="28"/>
      <c r="VO17" s="29"/>
      <c r="VP17" s="30"/>
      <c r="VQ17" s="28"/>
      <c r="VR17" s="29"/>
      <c r="VS17" s="29"/>
      <c r="VT17" s="29"/>
      <c r="VU17" s="28"/>
      <c r="VV17" s="29"/>
      <c r="VW17" s="29"/>
      <c r="VX17" s="28"/>
      <c r="VY17" s="29"/>
      <c r="VZ17" s="30"/>
      <c r="WA17" s="28"/>
      <c r="WB17" s="29"/>
      <c r="WC17" s="29"/>
      <c r="WD17" s="29"/>
      <c r="WE17" s="28"/>
      <c r="WF17" s="29"/>
      <c r="WG17" s="29"/>
      <c r="WH17" s="28"/>
      <c r="WI17" s="29"/>
      <c r="WJ17" s="30"/>
      <c r="WK17" s="28"/>
      <c r="WL17" s="29"/>
      <c r="WM17" s="29"/>
      <c r="WN17" s="29"/>
      <c r="WO17" s="28"/>
      <c r="WP17" s="29"/>
      <c r="WQ17" s="29"/>
      <c r="WR17" s="28"/>
      <c r="WS17" s="29"/>
      <c r="WT17" s="30"/>
      <c r="WU17" s="28"/>
      <c r="WV17" s="29"/>
      <c r="WW17" s="29"/>
      <c r="WX17" s="29"/>
      <c r="WY17" s="28"/>
      <c r="WZ17" s="29"/>
      <c r="XA17" s="29"/>
      <c r="XB17" s="28"/>
      <c r="XC17" s="29"/>
      <c r="XD17" s="30"/>
      <c r="XE17" s="28"/>
      <c r="XF17" s="29"/>
      <c r="XG17" s="29"/>
      <c r="XH17" s="29"/>
      <c r="XI17" s="28"/>
      <c r="XJ17" s="29"/>
      <c r="XK17" s="29"/>
      <c r="XL17" s="28"/>
      <c r="XM17" s="29"/>
      <c r="XN17" s="30"/>
      <c r="XO17" s="28"/>
      <c r="XP17" s="29"/>
      <c r="XQ17" s="29"/>
      <c r="XR17" s="29"/>
      <c r="XS17" s="28"/>
      <c r="XT17" s="29"/>
      <c r="XU17" s="29"/>
      <c r="XV17" s="28"/>
      <c r="XW17" s="29"/>
      <c r="XX17" s="30"/>
      <c r="XY17" s="28"/>
      <c r="XZ17" s="29"/>
      <c r="YA17" s="29"/>
      <c r="YB17" s="29"/>
      <c r="YC17" s="28"/>
      <c r="YD17" s="29"/>
      <c r="YE17" s="29"/>
      <c r="YF17" s="28"/>
      <c r="YG17" s="29"/>
      <c r="YH17" s="30"/>
      <c r="YI17" s="28"/>
      <c r="YJ17" s="29"/>
      <c r="YK17" s="29"/>
      <c r="YL17" s="29"/>
      <c r="YM17" s="28"/>
      <c r="YN17" s="29"/>
      <c r="YO17" s="29"/>
      <c r="YP17" s="28"/>
      <c r="YQ17" s="29"/>
      <c r="YR17" s="30"/>
      <c r="YS17" s="28"/>
      <c r="YT17" s="29"/>
      <c r="YU17" s="29"/>
      <c r="YV17" s="29"/>
      <c r="YW17" s="28"/>
      <c r="YX17" s="29"/>
      <c r="YY17" s="29"/>
      <c r="YZ17" s="28"/>
      <c r="ZA17" s="29"/>
      <c r="ZB17" s="30"/>
      <c r="ZC17" s="28"/>
      <c r="ZD17" s="29"/>
      <c r="ZE17" s="29"/>
      <c r="ZF17" s="29"/>
      <c r="ZG17" s="28"/>
      <c r="ZH17" s="29"/>
      <c r="ZI17" s="29"/>
      <c r="ZJ17" s="28"/>
      <c r="ZK17" s="29"/>
      <c r="ZL17" s="30"/>
      <c r="ZM17" s="28"/>
      <c r="ZN17" s="29"/>
      <c r="ZO17" s="29"/>
      <c r="ZP17" s="29"/>
      <c r="ZQ17" s="28"/>
      <c r="ZR17" s="29"/>
      <c r="ZS17" s="29"/>
      <c r="ZT17" s="28"/>
      <c r="ZU17" s="29"/>
      <c r="ZV17" s="30"/>
      <c r="ZW17" s="28"/>
      <c r="ZX17" s="29"/>
      <c r="ZY17" s="29"/>
      <c r="ZZ17" s="29"/>
      <c r="AAA17" s="28"/>
      <c r="AAB17" s="29"/>
      <c r="AAC17" s="29"/>
      <c r="AAD17" s="28"/>
      <c r="AAE17" s="29"/>
      <c r="AAF17" s="30"/>
      <c r="AAG17" s="28"/>
      <c r="AAH17" s="29"/>
      <c r="AAI17" s="29"/>
      <c r="AAJ17" s="29"/>
      <c r="AAK17" s="28"/>
      <c r="AAL17" s="29"/>
      <c r="AAM17" s="29"/>
      <c r="AAN17" s="28"/>
      <c r="AAO17" s="29"/>
      <c r="AAP17" s="30"/>
      <c r="AAQ17" s="28"/>
      <c r="AAR17" s="29"/>
      <c r="AAS17" s="29"/>
      <c r="AAT17" s="29"/>
      <c r="AAU17" s="28"/>
      <c r="AAV17" s="29"/>
      <c r="AAW17" s="29"/>
      <c r="AAX17" s="30"/>
      <c r="AAY17" s="30"/>
      <c r="AAZ17" s="30"/>
      <c r="ABA17" s="28"/>
      <c r="ABB17" s="30"/>
      <c r="ABC17" s="30"/>
      <c r="ABD17" s="30"/>
      <c r="ABE17" s="30"/>
      <c r="ABF17" s="30"/>
      <c r="ABG17" s="29"/>
      <c r="ABH17" s="28"/>
      <c r="ABI17" s="29"/>
      <c r="ABJ17" s="30"/>
      <c r="ABK17" s="28"/>
      <c r="ABL17" s="29"/>
      <c r="ABM17" s="29"/>
      <c r="ABN17" s="29"/>
      <c r="ABO17" s="28"/>
      <c r="ABP17" s="29"/>
      <c r="ABQ17" s="29"/>
      <c r="ABR17" s="28"/>
      <c r="ABS17" s="29"/>
      <c r="ABT17" s="30"/>
      <c r="ABU17" s="28"/>
      <c r="ABV17" s="29"/>
      <c r="ABW17" s="29"/>
      <c r="ABX17" s="29"/>
      <c r="ABY17" s="28"/>
      <c r="ABZ17" s="29"/>
      <c r="ACA17" s="29"/>
      <c r="ACB17" s="28"/>
      <c r="ACC17" s="29"/>
      <c r="ACD17" s="30"/>
      <c r="ACE17" s="28"/>
      <c r="ACF17" s="29"/>
      <c r="ACG17" s="29"/>
      <c r="ACH17" s="29"/>
      <c r="ACI17" s="28"/>
      <c r="ACJ17" s="29"/>
      <c r="ACK17" s="29"/>
      <c r="ACL17" s="28"/>
      <c r="ACM17" s="29"/>
      <c r="ACN17" s="30"/>
      <c r="ACO17" s="28"/>
      <c r="ACP17" s="29"/>
      <c r="ACQ17" s="29"/>
      <c r="ACR17" s="29"/>
      <c r="ACS17" s="28"/>
      <c r="ACT17" s="29"/>
      <c r="ACU17" s="29"/>
      <c r="ACV17" s="28"/>
      <c r="ACW17" s="29"/>
      <c r="ACX17" s="30"/>
      <c r="ACY17" s="28"/>
      <c r="ACZ17" s="29"/>
      <c r="ADA17" s="29"/>
      <c r="ADB17" s="29"/>
      <c r="ADC17" s="28"/>
      <c r="ADD17" s="29"/>
      <c r="ADE17" s="29"/>
      <c r="ADF17" s="28"/>
      <c r="ADG17" s="29"/>
      <c r="ADH17" s="30"/>
      <c r="ADI17" s="28"/>
      <c r="ADJ17" s="29"/>
      <c r="ADK17" s="29"/>
      <c r="ADL17" s="29"/>
      <c r="ADM17" s="28"/>
      <c r="ADN17" s="29"/>
      <c r="ADO17" s="29"/>
      <c r="ADP17" s="28"/>
      <c r="ADQ17" s="29"/>
      <c r="ADR17" s="30"/>
      <c r="ADS17" s="28"/>
      <c r="ADT17" s="29"/>
      <c r="ADU17" s="29"/>
      <c r="ADV17" s="29"/>
      <c r="ADW17" s="28"/>
      <c r="ADX17" s="29"/>
      <c r="ADY17" s="29"/>
      <c r="ADZ17" s="28"/>
      <c r="AEA17" s="29"/>
      <c r="AEB17" s="30"/>
      <c r="AEC17" s="28"/>
      <c r="AED17" s="29"/>
      <c r="AEE17" s="29"/>
      <c r="AEF17" s="29"/>
      <c r="AEG17" s="28"/>
      <c r="AEH17" s="29"/>
      <c r="AEI17" s="29"/>
      <c r="AEJ17" s="28"/>
      <c r="AEK17" s="29"/>
      <c r="AEL17" s="30"/>
      <c r="AEM17" s="28"/>
      <c r="AEN17" s="29"/>
      <c r="AEO17" s="29"/>
      <c r="AEP17" s="29"/>
      <c r="AEQ17" s="28"/>
      <c r="AER17" s="29"/>
      <c r="AES17" s="29"/>
      <c r="AET17" s="28"/>
      <c r="AEU17" s="29"/>
      <c r="AEV17" s="30"/>
      <c r="AEW17" s="28"/>
      <c r="AEX17" s="29"/>
      <c r="AEY17" s="29"/>
      <c r="AEZ17" s="29"/>
      <c r="AFA17" s="28"/>
      <c r="AFB17" s="29"/>
      <c r="AFC17" s="29"/>
      <c r="AFD17" s="28"/>
      <c r="AFE17" s="29"/>
      <c r="AFF17" s="30"/>
      <c r="AFG17" s="28"/>
      <c r="AFH17" s="29"/>
      <c r="AFI17" s="29"/>
      <c r="AFJ17" s="29"/>
      <c r="AFK17" s="28"/>
      <c r="AFL17" s="29"/>
      <c r="AFM17" s="29"/>
      <c r="AFN17" s="28"/>
      <c r="AFO17" s="29"/>
      <c r="AFP17" s="30"/>
      <c r="AFQ17" s="28"/>
      <c r="AFR17" s="29"/>
      <c r="AFS17" s="29"/>
      <c r="AFT17" s="29"/>
      <c r="AFU17" s="28"/>
      <c r="AFV17" s="29"/>
      <c r="AFW17" s="29"/>
      <c r="AFX17" s="28"/>
      <c r="AFY17" s="29"/>
      <c r="AFZ17" s="30"/>
      <c r="AGA17" s="28"/>
      <c r="AGB17" s="29"/>
      <c r="AGC17" s="29"/>
      <c r="AGD17" s="29"/>
      <c r="AGE17" s="28"/>
      <c r="AGF17" s="29"/>
      <c r="AGG17" s="29"/>
      <c r="AGH17" s="28"/>
      <c r="AGI17" s="29"/>
      <c r="AGJ17" s="30"/>
      <c r="AGK17" s="28"/>
      <c r="AGL17" s="29"/>
      <c r="AGM17" s="29"/>
      <c r="AGN17" s="29"/>
      <c r="AGO17" s="28"/>
      <c r="AGP17" s="29"/>
      <c r="AGQ17" s="29"/>
      <c r="AGR17" s="28"/>
      <c r="AGS17" s="29"/>
      <c r="AGT17" s="30"/>
      <c r="AGU17" s="28"/>
      <c r="AGV17" s="29"/>
      <c r="AGW17" s="29"/>
      <c r="AGX17" s="29"/>
      <c r="AGY17" s="28"/>
      <c r="AGZ17" s="29"/>
      <c r="AHA17" s="29"/>
      <c r="AHB17" s="28"/>
      <c r="AHC17" s="29"/>
      <c r="AHD17" s="30"/>
      <c r="AHE17" s="28"/>
      <c r="AHF17" s="29"/>
      <c r="AHG17" s="29"/>
      <c r="AHH17" s="29"/>
      <c r="AHI17" s="28"/>
      <c r="AHJ17" s="29"/>
      <c r="AHK17" s="29"/>
      <c r="AHL17" s="28"/>
      <c r="AHM17" s="29"/>
      <c r="AHN17" s="30"/>
      <c r="AHO17" s="28"/>
      <c r="AHP17" s="29"/>
      <c r="AHQ17" s="29"/>
      <c r="AHR17" s="29"/>
      <c r="AHS17" s="28"/>
      <c r="AHT17" s="29"/>
      <c r="AHU17" s="29"/>
      <c r="AHV17" s="28"/>
      <c r="AHW17" s="29"/>
      <c r="AHX17" s="30"/>
      <c r="AHY17" s="28"/>
      <c r="AHZ17" s="29"/>
      <c r="AIA17" s="29"/>
      <c r="AIB17" s="29"/>
      <c r="AIC17" s="28"/>
      <c r="AID17" s="29"/>
      <c r="AIE17" s="29"/>
      <c r="AIF17" s="28"/>
      <c r="AIG17" s="29"/>
      <c r="AIH17" s="30"/>
      <c r="AII17" s="28"/>
      <c r="AIJ17" s="29"/>
      <c r="AIK17" s="29"/>
      <c r="AIL17" s="29"/>
      <c r="AIM17" s="28"/>
      <c r="AIN17" s="29"/>
      <c r="AIO17" s="29"/>
      <c r="AIP17" s="28"/>
      <c r="AIQ17" s="29"/>
      <c r="AIR17" s="30"/>
      <c r="AIS17" s="28"/>
      <c r="AIT17" s="29"/>
      <c r="AIU17" s="29"/>
      <c r="AIV17" s="29"/>
      <c r="AIW17" s="28"/>
      <c r="AIX17" s="29"/>
      <c r="AIY17" s="29"/>
      <c r="AIZ17" s="28"/>
      <c r="AJA17" s="29"/>
      <c r="AJB17" s="30"/>
      <c r="AJC17" s="28"/>
      <c r="AJD17" s="29"/>
      <c r="AJE17" s="29"/>
      <c r="AJF17" s="29"/>
      <c r="AJG17" s="28"/>
      <c r="AJH17" s="29"/>
      <c r="AJI17" s="29"/>
      <c r="AJJ17" s="28"/>
      <c r="AJK17" s="29"/>
      <c r="AJL17" s="30"/>
      <c r="AJM17" s="28"/>
      <c r="AJN17" s="29"/>
      <c r="AJO17" s="29"/>
      <c r="AJP17" s="29"/>
      <c r="AJQ17" s="28"/>
      <c r="AJR17" s="29"/>
      <c r="AJS17" s="29"/>
      <c r="AJT17" s="28"/>
      <c r="AJU17" s="29"/>
      <c r="AJV17" s="30"/>
      <c r="AJW17" s="28"/>
      <c r="AJX17" s="29"/>
      <c r="AJY17" s="29"/>
      <c r="AJZ17" s="29"/>
      <c r="AKA17" s="28"/>
      <c r="AKB17" s="29"/>
      <c r="AKC17" s="29"/>
      <c r="AKD17" s="28"/>
      <c r="AKE17" s="29"/>
      <c r="AKF17" s="30"/>
      <c r="AKG17" s="28"/>
      <c r="AKH17" s="29"/>
      <c r="AKI17" s="29"/>
      <c r="AKJ17" s="29"/>
      <c r="AKK17" s="28"/>
      <c r="AKL17" s="29"/>
      <c r="AKM17" s="29"/>
      <c r="AKN17" s="28"/>
      <c r="AKO17" s="29"/>
      <c r="AKP17" s="30"/>
      <c r="AKQ17" s="28"/>
      <c r="AKR17" s="29"/>
      <c r="AKS17" s="29"/>
      <c r="AKT17" s="29"/>
      <c r="AKU17" s="28"/>
      <c r="AKV17" s="29"/>
      <c r="AKW17" s="29"/>
      <c r="AKX17" s="28"/>
      <c r="AKY17" s="29"/>
      <c r="AKZ17" s="30"/>
      <c r="ALA17" s="28"/>
      <c r="ALB17" s="29"/>
      <c r="ALC17" s="29"/>
      <c r="ALD17" s="29"/>
      <c r="ALE17" s="28"/>
      <c r="ALF17" s="29"/>
      <c r="ALG17" s="29"/>
      <c r="ALH17" s="29"/>
      <c r="ALI17" s="29"/>
      <c r="ALJ17" s="29"/>
      <c r="ALK17" s="28"/>
      <c r="ALL17" s="29"/>
      <c r="ALM17" s="29"/>
      <c r="ALN17" s="28"/>
      <c r="ALO17" s="29"/>
      <c r="ALP17" s="30"/>
      <c r="ALQ17" s="28"/>
      <c r="ALR17" s="29"/>
      <c r="ALS17" s="29"/>
      <c r="ALT17" s="29"/>
      <c r="ALU17" s="28"/>
      <c r="ALV17" s="29"/>
      <c r="ALW17" s="29"/>
      <c r="ALX17" s="28"/>
      <c r="ALY17" s="29"/>
      <c r="ALZ17" s="30"/>
      <c r="AMA17" s="28"/>
      <c r="AMB17" s="29"/>
      <c r="AMC17" s="29"/>
      <c r="AMD17" s="29"/>
      <c r="AME17" s="28"/>
      <c r="AMF17" s="29"/>
      <c r="AMG17" s="29"/>
      <c r="AMH17" s="29"/>
      <c r="AMI17" s="29"/>
      <c r="AMJ17" s="29"/>
      <c r="AMK17" s="28"/>
      <c r="AML17" s="29"/>
      <c r="AMM17" s="29"/>
      <c r="AMN17" s="28"/>
      <c r="AMO17" s="29"/>
      <c r="AMP17" s="30"/>
      <c r="AMQ17" s="28"/>
      <c r="AMR17" s="29"/>
      <c r="AMS17" s="29"/>
      <c r="AMT17" s="29"/>
      <c r="AMU17" s="28"/>
      <c r="AMV17" s="29"/>
      <c r="AMW17" s="29"/>
      <c r="AMX17" s="28"/>
      <c r="AMY17" s="29"/>
      <c r="AMZ17" s="30"/>
      <c r="ANA17" s="28"/>
      <c r="ANB17" s="29"/>
      <c r="ANC17" s="29"/>
      <c r="AND17" s="29"/>
      <c r="ANE17" s="28"/>
      <c r="ANF17" s="29"/>
      <c r="ANG17" s="29"/>
      <c r="ANH17" s="29"/>
      <c r="ANI17" s="29"/>
      <c r="ANJ17" s="29"/>
      <c r="ANK17" s="28"/>
      <c r="ANL17" s="29"/>
      <c r="ANM17" s="29"/>
      <c r="ANN17" s="28"/>
      <c r="ANO17" s="29"/>
      <c r="ANP17" s="30"/>
      <c r="ANQ17" s="28"/>
      <c r="ANR17" s="29"/>
      <c r="ANS17" s="29"/>
      <c r="ANT17" s="29"/>
      <c r="ANU17" s="28"/>
      <c r="ANV17" s="29"/>
      <c r="ANW17" s="29"/>
      <c r="ANX17" s="28"/>
      <c r="ANY17" s="29"/>
      <c r="ANZ17" s="30"/>
      <c r="AOA17" s="28"/>
      <c r="AOB17" s="29"/>
      <c r="AOC17" s="29"/>
      <c r="AOD17" s="29"/>
      <c r="AOE17" s="28"/>
      <c r="AOF17" s="29"/>
      <c r="AOG17" s="29"/>
      <c r="AOH17" s="29"/>
      <c r="AOI17" s="29"/>
      <c r="AOJ17" s="29"/>
      <c r="AOK17" s="28"/>
      <c r="AOL17" s="29"/>
      <c r="AOM17" s="29"/>
      <c r="AON17" s="28"/>
      <c r="AOO17" s="29"/>
      <c r="AOP17" s="30"/>
      <c r="AOQ17" s="28"/>
      <c r="AOR17" s="29"/>
      <c r="AOS17" s="29"/>
      <c r="AOT17" s="29"/>
      <c r="AOU17" s="28"/>
      <c r="AOV17" s="29"/>
      <c r="AOW17" s="29"/>
      <c r="AOX17" s="28"/>
      <c r="AOY17" s="29"/>
      <c r="AOZ17" s="30"/>
      <c r="APA17" s="28"/>
      <c r="APB17" s="29"/>
      <c r="APC17" s="29"/>
      <c r="APD17" s="29"/>
      <c r="APE17" s="28"/>
      <c r="APF17" s="29"/>
      <c r="APG17" s="29"/>
      <c r="APH17" s="29"/>
      <c r="API17" s="29"/>
      <c r="APJ17" s="29"/>
      <c r="APK17" s="28"/>
      <c r="APL17" s="29"/>
      <c r="APM17" s="29"/>
      <c r="APN17" s="28"/>
      <c r="APO17" s="29"/>
      <c r="APP17" s="30"/>
      <c r="APQ17" s="28"/>
      <c r="APR17" s="29"/>
      <c r="APS17" s="29"/>
      <c r="APT17" s="29"/>
      <c r="APU17" s="28"/>
      <c r="APV17" s="29"/>
      <c r="APW17" s="29"/>
      <c r="APX17" s="28"/>
      <c r="APY17" s="29"/>
      <c r="APZ17" s="30"/>
      <c r="AQA17" s="28"/>
      <c r="AQB17" s="29"/>
      <c r="AQC17" s="29"/>
      <c r="AQD17" s="29"/>
      <c r="AQE17" s="28"/>
      <c r="AQF17" s="29"/>
      <c r="AQG17" s="29"/>
      <c r="AQH17" s="29"/>
      <c r="AQI17" s="29"/>
      <c r="AQJ17" s="29"/>
      <c r="AQK17" s="28"/>
      <c r="AQL17" s="29"/>
      <c r="AQM17" s="29"/>
      <c r="AQN17" s="28"/>
      <c r="AQO17" s="29"/>
      <c r="AQP17" s="30"/>
      <c r="AQQ17" s="28"/>
      <c r="AQR17" s="29"/>
      <c r="AQS17" s="29"/>
      <c r="AQT17" s="29"/>
      <c r="AQU17" s="28"/>
      <c r="AQV17" s="29"/>
      <c r="AQW17" s="29"/>
      <c r="AQX17" s="28"/>
      <c r="AQY17" s="29"/>
      <c r="AQZ17" s="30"/>
      <c r="ARA17" s="28"/>
      <c r="ARB17" s="29"/>
      <c r="ARC17" s="29"/>
      <c r="ARD17" s="29"/>
      <c r="ARE17" s="28"/>
      <c r="ARF17" s="29"/>
      <c r="ARG17" s="29"/>
      <c r="ARH17" s="29"/>
      <c r="ARI17" s="29"/>
      <c r="ARJ17" s="29"/>
      <c r="ARK17" s="28"/>
      <c r="ARL17" s="29"/>
      <c r="ARM17" s="29"/>
      <c r="ARN17" s="28"/>
      <c r="ARO17" s="29"/>
      <c r="ARP17" s="30"/>
      <c r="ARQ17" s="28"/>
      <c r="ARR17" s="29"/>
      <c r="ARS17" s="29"/>
      <c r="ART17" s="29"/>
      <c r="ARU17" s="28"/>
      <c r="ARV17" s="29"/>
      <c r="ARW17" s="29"/>
      <c r="ARX17" s="28"/>
      <c r="ARY17" s="29"/>
      <c r="ARZ17" s="30"/>
      <c r="ASA17" s="28"/>
      <c r="ASB17" s="29"/>
      <c r="ASC17" s="29"/>
      <c r="ASD17" s="29"/>
      <c r="ASE17" s="28"/>
      <c r="ASF17" s="29"/>
      <c r="ASG17" s="29"/>
      <c r="ASH17" s="29"/>
      <c r="ASI17" s="29"/>
      <c r="ASJ17" s="29"/>
      <c r="ASK17" s="28"/>
      <c r="ASL17" s="29"/>
      <c r="ASM17" s="29"/>
      <c r="ASN17" s="28"/>
      <c r="ASO17" s="29"/>
      <c r="ASP17" s="30"/>
      <c r="ASQ17" s="28"/>
      <c r="ASR17" s="29"/>
      <c r="ASS17" s="29"/>
      <c r="AST17" s="29"/>
      <c r="ASU17" s="28"/>
      <c r="ASV17" s="29"/>
      <c r="ASW17" s="29"/>
      <c r="ASX17" s="28"/>
      <c r="ASY17" s="29"/>
      <c r="ASZ17" s="30"/>
      <c r="ATA17" s="28"/>
      <c r="ATB17" s="29"/>
      <c r="ATC17" s="29"/>
      <c r="ATD17" s="29"/>
      <c r="ATE17" s="28"/>
      <c r="ATF17" s="29"/>
      <c r="ATG17" s="29"/>
      <c r="ATH17" s="29"/>
      <c r="ATI17" s="29"/>
      <c r="ATJ17" s="29"/>
      <c r="ATK17" s="28"/>
      <c r="ATL17" s="29"/>
      <c r="ATM17" s="29"/>
      <c r="ATN17" s="28"/>
      <c r="ATO17" s="29"/>
      <c r="ATP17" s="30"/>
      <c r="ATQ17" s="28"/>
      <c r="ATR17" s="29"/>
      <c r="ATS17" s="29"/>
      <c r="ATT17" s="29"/>
      <c r="ATU17" s="28"/>
      <c r="ATV17" s="29"/>
      <c r="ATW17" s="29"/>
      <c r="ATX17" s="28"/>
      <c r="ATY17" s="29"/>
      <c r="ATZ17" s="30"/>
      <c r="AUA17" s="28"/>
      <c r="AUB17" s="29"/>
      <c r="AUC17" s="29"/>
      <c r="AUD17" s="29"/>
      <c r="AUE17" s="28"/>
      <c r="AUF17" s="29"/>
      <c r="AUG17" s="29"/>
      <c r="AUH17" s="29"/>
      <c r="AUI17" s="29"/>
      <c r="AUJ17" s="29"/>
      <c r="AUK17" s="28"/>
      <c r="AUL17" s="29"/>
      <c r="AUM17" s="29"/>
      <c r="AUN17" s="28"/>
      <c r="AUO17" s="29"/>
      <c r="AUP17" s="30"/>
      <c r="AUQ17" s="28"/>
      <c r="AUR17" s="29"/>
      <c r="AUS17" s="29"/>
      <c r="AUT17" s="29"/>
      <c r="AUU17" s="28"/>
      <c r="AUV17" s="29"/>
      <c r="AUW17" s="29"/>
      <c r="AUX17" s="28"/>
      <c r="AUY17" s="29"/>
      <c r="AUZ17" s="30"/>
      <c r="AVA17" s="28"/>
      <c r="AVB17" s="29"/>
      <c r="AVC17" s="29"/>
      <c r="AVD17" s="29"/>
      <c r="AVE17" s="28"/>
      <c r="AVF17" s="29"/>
      <c r="AVG17" s="29"/>
      <c r="AVH17" s="29"/>
      <c r="AVI17" s="29"/>
      <c r="AVJ17" s="29"/>
      <c r="AVK17" s="28"/>
      <c r="AVL17" s="29"/>
      <c r="AVM17" s="29"/>
      <c r="AVN17" s="28"/>
      <c r="AVO17" s="29"/>
      <c r="AVP17" s="30"/>
      <c r="AVQ17" s="28"/>
      <c r="AVR17" s="29"/>
      <c r="AVS17" s="29"/>
      <c r="AVT17" s="29"/>
      <c r="AVU17" s="28"/>
      <c r="AVV17" s="29"/>
      <c r="AVW17" s="29"/>
      <c r="AVX17" s="28"/>
      <c r="AVY17" s="29"/>
      <c r="AVZ17" s="30"/>
      <c r="AWA17" s="28"/>
      <c r="AWB17" s="29"/>
      <c r="AWC17" s="29"/>
      <c r="AWD17" s="29"/>
      <c r="AWE17" s="28"/>
      <c r="AWF17" s="29"/>
      <c r="AWG17" s="29"/>
      <c r="AWH17" s="29"/>
      <c r="AWI17" s="29"/>
      <c r="AWJ17" s="29"/>
      <c r="AWK17" s="28"/>
      <c r="AWL17" s="29"/>
      <c r="AWM17" s="29"/>
      <c r="AWN17" s="28"/>
      <c r="AWO17" s="29"/>
      <c r="AWP17" s="30"/>
      <c r="AWQ17" s="28"/>
      <c r="AWR17" s="29"/>
      <c r="AWS17" s="29"/>
      <c r="AWT17" s="29"/>
      <c r="AWU17" s="28"/>
      <c r="AWV17" s="29"/>
      <c r="AWW17" s="29"/>
      <c r="AWX17" s="28"/>
      <c r="AWY17" s="29"/>
      <c r="AWZ17" s="30"/>
      <c r="AXA17" s="28"/>
      <c r="AXB17" s="29"/>
      <c r="AXC17" s="29"/>
      <c r="AXD17" s="29"/>
      <c r="AXE17" s="28"/>
      <c r="AXF17" s="29"/>
      <c r="AXG17" s="29"/>
      <c r="AXH17" s="29"/>
      <c r="AXI17" s="29"/>
      <c r="AXJ17" s="29"/>
      <c r="AXK17" s="28"/>
      <c r="AXL17" s="29"/>
      <c r="AXM17" s="29"/>
      <c r="AXN17" s="28"/>
      <c r="AXO17" s="29"/>
      <c r="AXP17" s="30"/>
      <c r="AXQ17" s="28"/>
      <c r="AXR17" s="29"/>
      <c r="AXS17" s="29"/>
      <c r="AXT17" s="29"/>
      <c r="AXU17" s="28"/>
      <c r="AXV17" s="29"/>
      <c r="AXW17" s="29"/>
      <c r="AXX17" s="28"/>
      <c r="AXY17" s="29"/>
      <c r="AXZ17" s="30"/>
      <c r="AYA17" s="28"/>
      <c r="AYB17" s="29"/>
      <c r="AYC17" s="29"/>
      <c r="AYD17" s="29"/>
      <c r="AYE17" s="28"/>
      <c r="AYF17" s="29"/>
      <c r="AYG17" s="29"/>
      <c r="AYH17" s="29"/>
      <c r="AYI17" s="29"/>
      <c r="AYJ17" s="29"/>
      <c r="AYK17" s="28"/>
      <c r="AYL17" s="29"/>
      <c r="AYM17" s="29"/>
      <c r="AYN17" s="28"/>
      <c r="AYO17" s="29"/>
      <c r="AYP17" s="30"/>
      <c r="AYQ17" s="28"/>
      <c r="AYR17" s="29"/>
      <c r="AYS17" s="29"/>
      <c r="AYT17" s="29"/>
      <c r="AYU17" s="28"/>
      <c r="AYV17" s="29"/>
      <c r="AYW17" s="29"/>
      <c r="AYX17" s="28"/>
      <c r="AYY17" s="29"/>
      <c r="AYZ17" s="30"/>
      <c r="AZA17" s="28"/>
      <c r="AZB17" s="29"/>
      <c r="AZC17" s="29"/>
      <c r="AZD17" s="29"/>
      <c r="AZE17" s="28"/>
      <c r="AZF17" s="29"/>
      <c r="AZG17" s="29"/>
      <c r="AZH17" s="29"/>
      <c r="AZI17" s="29"/>
      <c r="AZJ17" s="29"/>
      <c r="AZK17" s="28"/>
      <c r="AZL17" s="29"/>
      <c r="AZM17" s="29"/>
      <c r="AZN17" s="28"/>
      <c r="AZO17" s="29"/>
      <c r="AZP17" s="30"/>
      <c r="AZQ17" s="28"/>
      <c r="AZR17" s="29"/>
      <c r="AZS17" s="29"/>
      <c r="AZT17" s="29"/>
      <c r="AZU17" s="28"/>
      <c r="AZV17" s="29"/>
      <c r="AZW17" s="29"/>
      <c r="AZX17" s="28"/>
      <c r="AZY17" s="29"/>
      <c r="AZZ17" s="30"/>
      <c r="BAA17" s="28"/>
      <c r="BAB17" s="29"/>
      <c r="BAC17" s="29"/>
      <c r="BAD17" s="29"/>
      <c r="BAE17" s="28"/>
      <c r="BAF17" s="29"/>
      <c r="BAG17" s="29"/>
      <c r="BAH17" s="29"/>
      <c r="BAI17" s="29"/>
      <c r="BAJ17" s="29"/>
      <c r="BAK17" s="28"/>
      <c r="BAL17" s="29"/>
      <c r="BAM17" s="29"/>
      <c r="BAN17" s="28"/>
      <c r="BAO17" s="29"/>
      <c r="BAP17" s="30"/>
      <c r="BAQ17" s="28"/>
      <c r="BAR17" s="29"/>
      <c r="BAS17" s="29"/>
      <c r="BAT17" s="29"/>
      <c r="BAU17" s="28"/>
      <c r="BAV17" s="29"/>
      <c r="BAW17" s="29"/>
      <c r="BAX17" s="28"/>
      <c r="BAY17" s="29"/>
      <c r="BAZ17" s="30"/>
      <c r="BBA17" s="28"/>
      <c r="BBB17" s="29"/>
      <c r="BBC17" s="29"/>
      <c r="BBD17" s="29"/>
      <c r="BBE17" s="28"/>
      <c r="BBF17" s="29"/>
      <c r="BBG17" s="29"/>
      <c r="BBH17" s="29"/>
      <c r="BBI17" s="29"/>
      <c r="BBJ17" s="29"/>
      <c r="BBK17" s="28"/>
      <c r="BBL17" s="29"/>
      <c r="BBM17" s="29"/>
      <c r="BBN17" s="28"/>
      <c r="BBO17" s="29"/>
      <c r="BBP17" s="30"/>
      <c r="BBQ17" s="28"/>
      <c r="BBR17" s="29"/>
      <c r="BBS17" s="29"/>
      <c r="BBT17" s="29"/>
      <c r="BBU17" s="28"/>
      <c r="BBV17" s="29"/>
      <c r="BBW17" s="29"/>
      <c r="BBX17" s="28"/>
      <c r="BBY17" s="29"/>
      <c r="BBZ17" s="30"/>
      <c r="BCA17" s="28"/>
      <c r="BCB17" s="29"/>
      <c r="BCC17" s="29"/>
      <c r="BCD17" s="29"/>
      <c r="BCE17" s="28"/>
      <c r="BCF17" s="29"/>
      <c r="BCG17" s="29"/>
      <c r="BCH17" s="29"/>
      <c r="BCI17" s="29"/>
      <c r="BCJ17" s="29"/>
      <c r="BCK17" s="28"/>
      <c r="BCL17" s="29"/>
      <c r="BCM17" s="29"/>
      <c r="BCN17" s="28"/>
      <c r="BCO17" s="29"/>
      <c r="BCP17" s="30"/>
      <c r="BCQ17" s="28"/>
      <c r="BCR17" s="29"/>
      <c r="BCS17" s="29"/>
      <c r="BCT17" s="29"/>
      <c r="BCU17" s="28"/>
      <c r="BCV17" s="29"/>
      <c r="BCW17" s="29"/>
      <c r="BCX17" s="28"/>
      <c r="BCY17" s="29"/>
      <c r="BCZ17" s="30"/>
      <c r="BDA17" s="28"/>
      <c r="BDB17" s="29"/>
      <c r="BDC17" s="29"/>
      <c r="BDD17" s="29"/>
      <c r="BDE17" s="28"/>
      <c r="BDF17" s="29"/>
      <c r="BDG17" s="29"/>
      <c r="BDH17" s="29"/>
      <c r="BDI17" s="29"/>
      <c r="BDJ17" s="29"/>
      <c r="BDK17" s="28"/>
      <c r="BDL17" s="29"/>
      <c r="BDM17" s="29"/>
      <c r="BDN17" s="28"/>
      <c r="BDO17" s="29"/>
      <c r="BDP17" s="30"/>
      <c r="BDQ17" s="28"/>
      <c r="BDR17" s="29"/>
      <c r="BDS17" s="29"/>
      <c r="BDT17" s="29"/>
      <c r="BDU17" s="28"/>
      <c r="BDV17" s="29"/>
      <c r="BDW17" s="29"/>
      <c r="BDX17" s="28"/>
      <c r="BDY17" s="29"/>
      <c r="BDZ17" s="30"/>
      <c r="BEA17" s="28"/>
      <c r="BEB17" s="29"/>
      <c r="BEC17" s="29"/>
      <c r="BED17" s="29"/>
      <c r="BEE17" s="28"/>
      <c r="BEF17" s="29"/>
      <c r="BEG17" s="29"/>
      <c r="BEH17" s="29"/>
      <c r="BEI17" s="29"/>
      <c r="BEJ17" s="29"/>
      <c r="BEK17" s="28"/>
      <c r="BEL17" s="29"/>
      <c r="BEM17" s="29"/>
      <c r="BEN17" s="28"/>
      <c r="BEO17" s="29"/>
      <c r="BEP17" s="30"/>
      <c r="BEQ17" s="28"/>
      <c r="BER17" s="29"/>
      <c r="BES17" s="29"/>
      <c r="BET17" s="29"/>
      <c r="BEU17" s="28"/>
      <c r="BEV17" s="29"/>
      <c r="BEW17" s="29"/>
      <c r="BEX17" s="28"/>
      <c r="BEY17" s="29"/>
      <c r="BEZ17" s="30"/>
      <c r="BFA17" s="28"/>
      <c r="BFB17" s="29"/>
      <c r="BFC17" s="29"/>
      <c r="BFD17" s="29"/>
      <c r="BFE17" s="28"/>
      <c r="BFF17" s="29"/>
      <c r="BFG17" s="29"/>
      <c r="BFH17" s="29"/>
      <c r="BFI17" s="29"/>
      <c r="BFJ17" s="29"/>
      <c r="BFK17" s="28"/>
      <c r="BFL17" s="29"/>
      <c r="BFM17" s="29"/>
      <c r="BFN17" s="28"/>
      <c r="BFO17" s="29"/>
      <c r="BFP17" s="30"/>
      <c r="BFQ17" s="28"/>
      <c r="BFR17" s="29"/>
      <c r="BFS17" s="29"/>
      <c r="BFT17" s="29"/>
      <c r="BFU17" s="28"/>
      <c r="BFV17" s="29"/>
      <c r="BFW17" s="29"/>
      <c r="BFX17" s="28"/>
      <c r="BFY17" s="29"/>
      <c r="BFZ17" s="30"/>
      <c r="BGA17" s="28"/>
      <c r="BGB17" s="29"/>
      <c r="BGC17" s="29"/>
      <c r="BGD17" s="29"/>
      <c r="BGE17" s="28"/>
      <c r="BGF17" s="29"/>
      <c r="BGG17" s="29"/>
      <c r="BGH17" s="29"/>
      <c r="BGI17" s="29"/>
      <c r="BGJ17" s="29"/>
      <c r="BGK17" s="28"/>
      <c r="BGL17" s="29"/>
      <c r="BGM17" s="29"/>
      <c r="BGN17" s="28"/>
      <c r="BGO17" s="29"/>
      <c r="BGP17" s="30"/>
      <c r="BGQ17" s="28"/>
      <c r="BGR17" s="29"/>
      <c r="BGS17" s="29"/>
      <c r="BGT17" s="29"/>
      <c r="BGU17" s="28"/>
      <c r="BGV17" s="29"/>
      <c r="BGW17" s="29"/>
      <c r="BGX17" s="28"/>
      <c r="BGY17" s="29"/>
      <c r="BGZ17" s="30"/>
      <c r="BHA17" s="28"/>
      <c r="BHB17" s="29"/>
      <c r="BHC17" s="29"/>
      <c r="BHD17" s="29"/>
      <c r="BHE17" s="28"/>
      <c r="BHF17" s="29"/>
      <c r="BHG17" s="29"/>
      <c r="BHH17" s="29"/>
      <c r="BHI17" s="29"/>
      <c r="BHJ17" s="29"/>
      <c r="BHK17" s="28"/>
      <c r="BHL17" s="29"/>
      <c r="BHM17" s="29"/>
      <c r="BHN17" s="28"/>
      <c r="BHO17" s="29"/>
      <c r="BHP17" s="30"/>
      <c r="BHQ17" s="28"/>
      <c r="BHR17" s="29"/>
      <c r="BHS17" s="29"/>
      <c r="BHT17" s="29"/>
      <c r="BHU17" s="28"/>
      <c r="BHV17" s="29"/>
      <c r="BHW17" s="29"/>
      <c r="BHX17" s="28"/>
      <c r="BHY17" s="29"/>
      <c r="BHZ17" s="30"/>
      <c r="BIA17" s="28"/>
      <c r="BIB17" s="29"/>
      <c r="BIC17" s="29"/>
      <c r="BID17" s="29"/>
      <c r="BIE17" s="28"/>
      <c r="BIF17" s="29"/>
      <c r="BIG17" s="29"/>
      <c r="BIH17" s="29"/>
      <c r="BII17" s="29"/>
      <c r="BIJ17" s="29"/>
      <c r="BIK17" s="28"/>
      <c r="BIL17" s="29"/>
      <c r="BIM17" s="29"/>
      <c r="BIN17" s="28"/>
      <c r="BIO17" s="29"/>
      <c r="BIP17" s="30"/>
      <c r="BIQ17" s="28"/>
      <c r="BIR17" s="29"/>
      <c r="BIS17" s="29"/>
      <c r="BIT17" s="29"/>
      <c r="BIU17" s="28"/>
      <c r="BIV17" s="29"/>
      <c r="BIW17" s="29"/>
      <c r="BIX17" s="28"/>
      <c r="BIY17" s="29"/>
      <c r="BIZ17" s="30"/>
      <c r="BJA17" s="28"/>
      <c r="BJB17" s="29"/>
      <c r="BJC17" s="29"/>
      <c r="BJD17" s="29"/>
      <c r="BJE17" s="28"/>
      <c r="BJF17" s="29"/>
      <c r="BJG17" s="29"/>
      <c r="BJH17" s="29"/>
      <c r="BJI17" s="29"/>
      <c r="BJJ17" s="29"/>
      <c r="BJK17" s="28"/>
      <c r="BJL17" s="29"/>
      <c r="BJM17" s="29"/>
      <c r="BJN17" s="28"/>
      <c r="BJO17" s="29"/>
      <c r="BJP17" s="30"/>
      <c r="BJQ17" s="28"/>
      <c r="BJR17" s="29"/>
      <c r="BJS17" s="29"/>
      <c r="BJT17" s="29"/>
      <c r="BJU17" s="28"/>
      <c r="BJV17" s="29"/>
      <c r="BJW17" s="29"/>
      <c r="BJX17" s="28"/>
      <c r="BJY17" s="29"/>
      <c r="BJZ17" s="30"/>
      <c r="BKA17" s="28"/>
      <c r="BKB17" s="29"/>
      <c r="BKC17" s="29"/>
      <c r="BKD17" s="29"/>
      <c r="BKE17" s="28"/>
      <c r="BKF17" s="29"/>
      <c r="BKG17" s="29"/>
      <c r="BKH17" s="29"/>
      <c r="BKI17" s="29"/>
      <c r="BKJ17" s="29"/>
      <c r="BKK17" s="28"/>
      <c r="BKL17" s="29"/>
      <c r="BKM17" s="29"/>
      <c r="BKN17" s="28"/>
      <c r="BKO17" s="29"/>
      <c r="BKP17" s="30"/>
      <c r="BKQ17" s="28"/>
      <c r="BKR17" s="29"/>
      <c r="BKS17" s="29"/>
      <c r="BKT17" s="29"/>
      <c r="BKU17" s="28"/>
      <c r="BKV17" s="29"/>
      <c r="BKW17" s="29"/>
      <c r="BKX17" s="28"/>
      <c r="BKY17" s="29"/>
      <c r="BKZ17" s="30"/>
      <c r="BLA17" s="28"/>
      <c r="BLB17" s="29"/>
      <c r="BLC17" s="29"/>
      <c r="BLD17" s="29"/>
      <c r="BLE17" s="28"/>
      <c r="BLF17" s="29"/>
      <c r="BLG17" s="29"/>
      <c r="BLH17" s="29"/>
      <c r="BLI17" s="29"/>
      <c r="BLJ17" s="29"/>
      <c r="BLK17" s="28"/>
      <c r="BLL17" s="29"/>
      <c r="BLM17" s="29"/>
      <c r="BLN17" s="28"/>
      <c r="BLO17" s="29"/>
      <c r="BLP17" s="30"/>
      <c r="BLQ17" s="28"/>
      <c r="BLR17" s="29"/>
      <c r="BLS17" s="29"/>
      <c r="BLT17" s="29"/>
      <c r="BLU17" s="28"/>
      <c r="BLV17" s="29"/>
      <c r="BLW17" s="29"/>
      <c r="BLX17" s="28"/>
      <c r="BLY17" s="29"/>
      <c r="BLZ17" s="30"/>
      <c r="BMA17" s="28"/>
      <c r="BMB17" s="29"/>
      <c r="BMC17" s="29"/>
      <c r="BMD17" s="29"/>
      <c r="BME17" s="28"/>
      <c r="BMF17" s="29"/>
      <c r="BMG17" s="29"/>
      <c r="BMH17" s="29"/>
      <c r="BMI17" s="29"/>
      <c r="BMJ17" s="29"/>
      <c r="BMK17" s="28"/>
      <c r="BML17" s="29"/>
      <c r="BMM17" s="29"/>
      <c r="BMN17" s="28"/>
      <c r="BMO17" s="29"/>
      <c r="BMP17" s="30"/>
      <c r="BMQ17" s="28"/>
      <c r="BMR17" s="29"/>
      <c r="BMS17" s="29"/>
      <c r="BMT17" s="29"/>
      <c r="BMU17" s="28"/>
      <c r="BMV17" s="29"/>
      <c r="BMW17" s="29"/>
      <c r="BMX17" s="28"/>
      <c r="BMY17" s="29"/>
      <c r="BMZ17" s="30"/>
      <c r="BNA17" s="28"/>
      <c r="BNB17" s="29"/>
      <c r="BNC17" s="29"/>
      <c r="BND17" s="29"/>
      <c r="BNE17" s="28"/>
      <c r="BNF17" s="29"/>
      <c r="BNG17" s="29"/>
      <c r="BNH17" s="29"/>
      <c r="BNI17" s="29"/>
      <c r="BNJ17" s="29"/>
      <c r="BNK17" s="28"/>
      <c r="BNL17" s="29"/>
      <c r="BNM17" s="29"/>
      <c r="BNN17" s="28"/>
      <c r="BNO17" s="29"/>
      <c r="BNP17" s="30"/>
      <c r="BNQ17" s="28"/>
      <c r="BNR17" s="29"/>
      <c r="BNS17" s="29"/>
      <c r="BNT17" s="29"/>
      <c r="BNU17" s="28"/>
      <c r="BNV17" s="29"/>
      <c r="BNW17" s="29"/>
      <c r="BNX17" s="28"/>
      <c r="BNY17" s="29"/>
      <c r="BNZ17" s="30"/>
      <c r="BOA17" s="28"/>
      <c r="BOB17" s="29"/>
      <c r="BOC17" s="29"/>
      <c r="BOD17" s="29"/>
      <c r="BOE17" s="28"/>
      <c r="BOF17" s="29"/>
      <c r="BOG17" s="29"/>
      <c r="BOH17" s="29"/>
      <c r="BOI17" s="29"/>
      <c r="BOJ17" s="29"/>
      <c r="BOK17" s="28"/>
      <c r="BOL17" s="29"/>
      <c r="BOM17" s="29"/>
      <c r="BON17" s="28"/>
      <c r="BOO17" s="29"/>
      <c r="BOP17" s="30"/>
      <c r="BOQ17" s="28"/>
      <c r="BOR17" s="29"/>
      <c r="BOS17" s="29"/>
      <c r="BOT17" s="29"/>
      <c r="BOU17" s="28"/>
      <c r="BOV17" s="29"/>
      <c r="BOW17" s="29"/>
      <c r="BOX17" s="28"/>
      <c r="BOY17" s="29"/>
      <c r="BOZ17" s="30"/>
      <c r="BPA17" s="28"/>
      <c r="BPB17" s="29"/>
      <c r="BPC17" s="29"/>
      <c r="BPD17" s="29"/>
      <c r="BPE17" s="28"/>
      <c r="BPF17" s="29"/>
      <c r="BPG17" s="29"/>
      <c r="BPH17" s="29"/>
      <c r="BPI17" s="29"/>
      <c r="BPJ17" s="29"/>
      <c r="BPK17" s="28"/>
      <c r="BPL17" s="29"/>
      <c r="BPM17" s="29"/>
      <c r="BPN17" s="28"/>
      <c r="BPO17" s="29"/>
      <c r="BPP17" s="30"/>
      <c r="BPQ17" s="28"/>
      <c r="BPR17" s="29"/>
      <c r="BPS17" s="29"/>
      <c r="BPT17" s="29"/>
      <c r="BPU17" s="28"/>
      <c r="BPV17" s="29"/>
      <c r="BPW17" s="29"/>
      <c r="BPX17" s="28"/>
      <c r="BPY17" s="29"/>
      <c r="BPZ17" s="30"/>
      <c r="BQA17" s="28"/>
      <c r="BQB17" s="29"/>
      <c r="BQC17" s="29"/>
      <c r="BQD17" s="29"/>
      <c r="BQE17" s="28"/>
      <c r="BQF17" s="29"/>
      <c r="BQG17" s="29"/>
      <c r="BQH17" s="29"/>
      <c r="BQI17" s="29"/>
      <c r="BQJ17" s="29"/>
      <c r="BQK17" s="28"/>
      <c r="BQL17" s="29"/>
      <c r="BQM17" s="29"/>
      <c r="BQN17" s="28"/>
      <c r="BQO17" s="29"/>
      <c r="BQP17" s="30"/>
      <c r="BQQ17" s="28"/>
      <c r="BQR17" s="29"/>
      <c r="BQS17" s="29"/>
      <c r="BQT17" s="29"/>
      <c r="BQU17" s="28"/>
      <c r="BQV17" s="29"/>
      <c r="BQW17" s="29"/>
      <c r="BQX17" s="28"/>
      <c r="BQY17" s="29"/>
      <c r="BQZ17" s="30"/>
      <c r="BRA17" s="28"/>
      <c r="BRB17" s="29"/>
      <c r="BRC17" s="29"/>
      <c r="BRD17" s="29"/>
      <c r="BRE17" s="28"/>
      <c r="BRF17" s="29"/>
      <c r="BRG17" s="29"/>
      <c r="BRH17" s="29"/>
      <c r="BRI17" s="29"/>
      <c r="BRJ17" s="29"/>
      <c r="BRK17" s="28"/>
      <c r="BRL17" s="29"/>
      <c r="BRM17" s="29"/>
      <c r="BRN17" s="28"/>
      <c r="BRO17" s="29"/>
      <c r="BRP17" s="30"/>
      <c r="BRQ17" s="28"/>
      <c r="BRR17" s="29"/>
      <c r="BRS17" s="29"/>
      <c r="BRT17" s="29"/>
      <c r="BRU17" s="28"/>
      <c r="BRV17" s="29"/>
      <c r="BRW17" s="29"/>
      <c r="BRX17" s="28"/>
      <c r="BRY17" s="29"/>
      <c r="BRZ17" s="30"/>
      <c r="BSA17" s="28"/>
      <c r="BSB17" s="29"/>
      <c r="BSC17" s="29"/>
      <c r="BSD17" s="29"/>
      <c r="BSE17" s="28"/>
      <c r="BSF17" s="29"/>
      <c r="BSG17" s="29"/>
      <c r="BSH17" s="29"/>
      <c r="BSI17" s="29"/>
      <c r="BSJ17" s="29"/>
      <c r="BSK17" s="28"/>
      <c r="BSL17" s="29"/>
      <c r="BSM17" s="29"/>
      <c r="BSN17" s="28"/>
      <c r="BSO17" s="29"/>
      <c r="BSP17" s="30"/>
      <c r="BSQ17" s="28"/>
      <c r="BSR17" s="29"/>
      <c r="BSS17" s="29"/>
      <c r="BST17" s="29"/>
      <c r="BSU17" s="28"/>
      <c r="BSV17" s="29"/>
      <c r="BSW17" s="29"/>
      <c r="BSX17" s="28"/>
      <c r="BSY17" s="29"/>
      <c r="BSZ17" s="30"/>
      <c r="BTA17" s="28"/>
      <c r="BTB17" s="29"/>
      <c r="BTC17" s="29"/>
      <c r="BTD17" s="29"/>
      <c r="BTE17" s="28"/>
      <c r="BTF17" s="29"/>
      <c r="BTG17" s="29"/>
      <c r="BTH17" s="29"/>
      <c r="BTI17" s="29"/>
      <c r="BTJ17" s="29"/>
      <c r="BTK17" s="28"/>
      <c r="BTL17" s="29"/>
      <c r="BTM17" s="29"/>
      <c r="BTN17" s="28"/>
      <c r="BTO17" s="29"/>
      <c r="BTP17" s="30"/>
      <c r="BTQ17" s="28"/>
      <c r="BTR17" s="29"/>
      <c r="BTS17" s="29"/>
      <c r="BTT17" s="29"/>
      <c r="BTU17" s="28"/>
      <c r="BTV17" s="29"/>
      <c r="BTW17" s="29"/>
      <c r="BTX17" s="28"/>
      <c r="BTY17" s="29"/>
      <c r="BTZ17" s="30"/>
      <c r="BUA17" s="28"/>
      <c r="BUB17" s="29"/>
      <c r="BUC17" s="29"/>
      <c r="BUD17" s="29"/>
      <c r="BUE17" s="28"/>
      <c r="BUF17" s="29"/>
      <c r="BUG17" s="29"/>
      <c r="BUH17" s="29"/>
      <c r="BUI17" s="29"/>
      <c r="BUJ17" s="29"/>
      <c r="BUK17" s="28"/>
      <c r="BUL17" s="29"/>
      <c r="BUM17" s="29"/>
      <c r="BUN17" s="28"/>
      <c r="BUO17" s="29"/>
      <c r="BUP17" s="30"/>
      <c r="BUQ17" s="28"/>
      <c r="BUR17" s="29"/>
      <c r="BUS17" s="29"/>
      <c r="BUT17" s="29"/>
      <c r="BUU17" s="28"/>
      <c r="BUV17" s="29"/>
      <c r="BUW17" s="29"/>
      <c r="BUX17" s="28"/>
      <c r="BUY17" s="29"/>
      <c r="BUZ17" s="30"/>
      <c r="BVA17" s="28"/>
      <c r="BVB17" s="29"/>
      <c r="BVC17" s="29"/>
      <c r="BVD17" s="29"/>
      <c r="BVE17" s="28"/>
      <c r="BVF17" s="29"/>
      <c r="BVG17" s="29"/>
      <c r="BVH17" s="29"/>
      <c r="BVI17" s="29"/>
      <c r="BVJ17" s="29"/>
      <c r="BVK17" s="28"/>
      <c r="BVL17" s="29"/>
      <c r="BVM17" s="29"/>
      <c r="BVN17" s="28"/>
      <c r="BVO17" s="29"/>
      <c r="BVP17" s="30"/>
      <c r="BVQ17" s="28"/>
      <c r="BVR17" s="29"/>
      <c r="BVS17" s="29"/>
      <c r="BVT17" s="29"/>
      <c r="BVU17" s="28"/>
      <c r="BVV17" s="29"/>
      <c r="BVW17" s="29"/>
      <c r="BVX17" s="28"/>
      <c r="BVY17" s="29"/>
      <c r="BVZ17" s="30"/>
      <c r="BWA17" s="28"/>
      <c r="BWB17" s="29"/>
      <c r="BWC17" s="29"/>
      <c r="BWD17" s="29"/>
      <c r="BWE17" s="28"/>
      <c r="BWF17" s="29"/>
      <c r="BWG17" s="29"/>
      <c r="BWH17" s="29"/>
      <c r="BWI17" s="29"/>
      <c r="BWJ17" s="29"/>
      <c r="BWK17" s="28"/>
      <c r="BWL17" s="29"/>
      <c r="BWM17" s="29"/>
      <c r="BWN17" s="28"/>
      <c r="BWO17" s="29"/>
      <c r="BWP17" s="30"/>
      <c r="BWQ17" s="28"/>
      <c r="BWR17" s="29"/>
      <c r="BWS17" s="29"/>
      <c r="BWT17" s="29"/>
      <c r="BWU17" s="28"/>
      <c r="BWV17" s="29"/>
      <c r="BWW17" s="29"/>
      <c r="BWX17" s="28"/>
      <c r="BWY17" s="29"/>
      <c r="BWZ17" s="30"/>
      <c r="BXA17" s="28"/>
      <c r="BXB17" s="29"/>
      <c r="BXC17" s="29"/>
      <c r="BXD17" s="29"/>
      <c r="BXE17" s="28"/>
      <c r="BXF17" s="29"/>
      <c r="BXG17" s="29"/>
      <c r="BXH17" s="29"/>
      <c r="BXI17" s="29"/>
      <c r="BXJ17" s="29"/>
      <c r="BXK17" s="28"/>
      <c r="BXL17" s="29"/>
      <c r="BXM17" s="29"/>
      <c r="BXN17" s="28"/>
      <c r="BXO17" s="29"/>
      <c r="BXP17" s="30"/>
      <c r="BXQ17" s="28"/>
      <c r="BXR17" s="29"/>
      <c r="BXS17" s="29"/>
      <c r="BXT17" s="29"/>
      <c r="BXU17" s="28"/>
      <c r="BXV17" s="29"/>
      <c r="BXW17" s="29"/>
      <c r="BXX17" s="28"/>
      <c r="BXY17" s="29"/>
      <c r="BXZ17" s="30"/>
      <c r="BYA17" s="28"/>
      <c r="BYB17" s="29"/>
      <c r="BYC17" s="29"/>
      <c r="BYD17" s="29"/>
      <c r="BYE17" s="28"/>
      <c r="BYF17" s="29"/>
      <c r="BYG17" s="29"/>
      <c r="BYH17" s="29"/>
      <c r="BYI17" s="29"/>
      <c r="BYJ17" s="29"/>
      <c r="BYK17" s="28"/>
      <c r="BYL17" s="29"/>
      <c r="BYM17" s="29"/>
      <c r="BYN17" s="28"/>
      <c r="BYO17" s="29"/>
      <c r="BYP17" s="30"/>
      <c r="BYQ17" s="28"/>
      <c r="BYR17" s="29"/>
      <c r="BYS17" s="29"/>
      <c r="BYT17" s="29"/>
      <c r="BYU17" s="28"/>
      <c r="BYV17" s="29"/>
      <c r="BYW17" s="29"/>
      <c r="BYX17" s="30"/>
      <c r="BYY17" s="29"/>
      <c r="BYZ17" s="28"/>
      <c r="BZA17" s="29"/>
      <c r="BZB17" s="28"/>
      <c r="BZC17" s="28"/>
      <c r="BZD17" s="28"/>
      <c r="BZE17" s="29"/>
      <c r="BZF17" s="385"/>
      <c r="BZG17" s="29"/>
      <c r="BZH17" s="385"/>
      <c r="BZI17" s="29"/>
      <c r="BZJ17" s="385"/>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30"/>
      <c r="CAQ17" s="28"/>
      <c r="CAR17" s="29"/>
      <c r="CAS17" s="29"/>
      <c r="CAT17" s="29"/>
      <c r="CAU17" s="29"/>
      <c r="CAV17" s="29"/>
      <c r="CAW17" s="28"/>
      <c r="CAX17" s="29"/>
      <c r="CAY17" s="29"/>
      <c r="CAZ17" s="28"/>
      <c r="CBA17" s="29"/>
      <c r="CBB17" s="30"/>
      <c r="CBC17" s="28"/>
      <c r="CBD17" s="29"/>
      <c r="CBE17" s="29"/>
      <c r="CBF17" s="29"/>
      <c r="CBG17" s="28"/>
      <c r="CBH17" s="29"/>
      <c r="CBI17" s="29"/>
      <c r="CBJ17" s="28"/>
      <c r="CBK17" s="29"/>
      <c r="CBL17" s="30"/>
      <c r="CBM17" s="28"/>
      <c r="CBN17" s="29"/>
      <c r="CBO17" s="29"/>
      <c r="CBP17" s="29"/>
      <c r="CBQ17" s="28"/>
      <c r="CBR17" s="29"/>
      <c r="CBS17" s="29"/>
      <c r="CBT17" s="28"/>
      <c r="CBU17" s="29"/>
      <c r="CBV17" s="30"/>
      <c r="CBW17" s="28"/>
      <c r="CBX17" s="29"/>
      <c r="CBY17" s="29"/>
      <c r="CBZ17" s="29"/>
      <c r="CCA17" s="28"/>
      <c r="CCB17" s="29"/>
      <c r="CCC17" s="29"/>
      <c r="CCD17" s="28"/>
      <c r="CCE17" s="29"/>
      <c r="CCF17" s="30"/>
      <c r="CCG17" s="28"/>
      <c r="CCH17" s="30"/>
      <c r="CCI17" s="29"/>
      <c r="CCJ17" s="28"/>
      <c r="CCK17" s="29"/>
      <c r="CCL17" s="28"/>
      <c r="CCM17" s="28"/>
      <c r="CCN17" s="28"/>
      <c r="CCO17" s="29"/>
      <c r="CCP17" s="385"/>
      <c r="CCQ17" s="29"/>
      <c r="CCR17" s="385"/>
      <c r="CCS17" s="29"/>
      <c r="CCT17" s="385"/>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30"/>
      <c r="CEA17" s="28"/>
      <c r="CEB17" s="29"/>
      <c r="CEC17" s="29"/>
      <c r="CED17" s="29"/>
      <c r="CEE17" s="29"/>
      <c r="CEF17" s="29"/>
      <c r="CEG17" s="28"/>
      <c r="CEH17" s="29"/>
      <c r="CEI17" s="29"/>
      <c r="CEJ17" s="28"/>
      <c r="CEK17" s="29"/>
      <c r="CEL17" s="30"/>
      <c r="CEM17" s="28"/>
      <c r="CEN17" s="29"/>
      <c r="CEO17" s="29"/>
      <c r="CEP17" s="29"/>
      <c r="CEQ17" s="28"/>
      <c r="CER17" s="29"/>
      <c r="CES17" s="29"/>
      <c r="CET17" s="28"/>
      <c r="CEU17" s="29"/>
      <c r="CEV17" s="30"/>
      <c r="CEW17" s="28"/>
      <c r="CEX17" s="29"/>
      <c r="CEY17" s="29"/>
      <c r="CEZ17" s="29"/>
      <c r="CFA17" s="28"/>
      <c r="CFB17" s="29"/>
      <c r="CFC17" s="29"/>
      <c r="CFD17" s="28"/>
      <c r="CFE17" s="29"/>
      <c r="CFF17" s="30"/>
      <c r="CFG17" s="28"/>
      <c r="CFH17" s="29"/>
      <c r="CFI17" s="29"/>
      <c r="CFJ17" s="29"/>
      <c r="CFK17" s="28"/>
      <c r="CFL17" s="29"/>
      <c r="CFM17" s="29"/>
      <c r="CFN17" s="28"/>
      <c r="CFO17" s="29"/>
      <c r="CFP17" s="30"/>
      <c r="CFQ17" s="28"/>
      <c r="CFR17" s="30"/>
      <c r="CFS17" s="29"/>
      <c r="CFT17" s="28"/>
      <c r="CFU17" s="29"/>
      <c r="CFV17" s="28"/>
      <c r="CFW17" s="28"/>
      <c r="CFX17" s="28"/>
      <c r="CFY17" s="29"/>
      <c r="CFZ17" s="385"/>
      <c r="CGA17" s="29"/>
      <c r="CGB17" s="385"/>
      <c r="CGC17" s="29"/>
      <c r="CGD17" s="385"/>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30"/>
      <c r="CHK17" s="28"/>
      <c r="CHL17" s="29"/>
      <c r="CHM17" s="29"/>
      <c r="CHN17" s="29"/>
      <c r="CHO17" s="29"/>
      <c r="CHP17" s="29"/>
      <c r="CHQ17" s="28"/>
      <c r="CHR17" s="29"/>
      <c r="CHS17" s="29"/>
      <c r="CHT17" s="28"/>
      <c r="CHU17" s="29"/>
      <c r="CHV17" s="30"/>
      <c r="CHW17" s="28"/>
      <c r="CHX17" s="29"/>
      <c r="CHY17" s="29"/>
      <c r="CHZ17" s="29"/>
      <c r="CIA17" s="28"/>
      <c r="CIB17" s="29"/>
      <c r="CIC17" s="29"/>
      <c r="CID17" s="28"/>
      <c r="CIE17" s="29"/>
      <c r="CIF17" s="30"/>
      <c r="CIG17" s="28"/>
      <c r="CIH17" s="29"/>
      <c r="CII17" s="29"/>
      <c r="CIJ17" s="29"/>
      <c r="CIK17" s="28"/>
      <c r="CIL17" s="29"/>
      <c r="CIM17" s="29"/>
      <c r="CIN17" s="28"/>
      <c r="CIO17" s="29"/>
      <c r="CIP17" s="30"/>
      <c r="CIQ17" s="28"/>
      <c r="CIR17" s="29"/>
      <c r="CIS17" s="29"/>
      <c r="CIT17" s="29"/>
      <c r="CIU17" s="28"/>
      <c r="CIV17" s="29"/>
      <c r="CIW17" s="29"/>
      <c r="CIX17" s="28"/>
      <c r="CIY17" s="29"/>
      <c r="CIZ17" s="30"/>
      <c r="CJA17" s="28"/>
      <c r="CJB17" s="30"/>
      <c r="CJC17" s="29"/>
      <c r="CJD17" s="28"/>
      <c r="CJE17" s="29"/>
      <c r="CJF17" s="28"/>
      <c r="CJG17" s="28"/>
      <c r="CJH17" s="28"/>
      <c r="CJI17" s="29"/>
      <c r="CJJ17" s="385"/>
      <c r="CJK17" s="29"/>
      <c r="CJL17" s="385"/>
      <c r="CJM17" s="29"/>
      <c r="CJN17" s="385"/>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30"/>
      <c r="CKU17" s="28"/>
      <c r="CKV17" s="29"/>
      <c r="CKW17" s="29"/>
      <c r="CKX17" s="29"/>
      <c r="CKY17" s="29"/>
      <c r="CKZ17" s="29"/>
      <c r="CLA17" s="28"/>
      <c r="CLB17" s="29"/>
      <c r="CLC17" s="29"/>
      <c r="CLD17" s="28"/>
      <c r="CLE17" s="29"/>
      <c r="CLF17" s="30"/>
      <c r="CLG17" s="28"/>
      <c r="CLH17" s="29"/>
      <c r="CLI17" s="29"/>
      <c r="CLJ17" s="29"/>
      <c r="CLK17" s="28"/>
      <c r="CLL17" s="29"/>
      <c r="CLM17" s="29"/>
      <c r="CLN17" s="28"/>
      <c r="CLO17" s="29"/>
      <c r="CLP17" s="30"/>
      <c r="CLQ17" s="28"/>
      <c r="CLR17" s="29"/>
      <c r="CLS17" s="29"/>
      <c r="CLT17" s="29"/>
      <c r="CLU17" s="28"/>
      <c r="CLV17" s="29"/>
      <c r="CLW17" s="29"/>
      <c r="CLX17" s="28"/>
      <c r="CLY17" s="29"/>
      <c r="CLZ17" s="30"/>
      <c r="CMA17" s="28"/>
      <c r="CMB17" s="29"/>
      <c r="CMC17" s="29"/>
      <c r="CMD17" s="29"/>
      <c r="CME17" s="28"/>
      <c r="CMF17" s="29"/>
      <c r="CMG17" s="29"/>
      <c r="CMH17" s="28"/>
      <c r="CMI17" s="29"/>
      <c r="CMJ17" s="30"/>
      <c r="CMK17" s="28"/>
      <c r="CML17" s="30"/>
      <c r="CMM17" s="29"/>
      <c r="CMN17" s="28"/>
      <c r="CMO17" s="29"/>
      <c r="CMP17" s="28"/>
      <c r="CMQ17" s="28"/>
      <c r="CMR17" s="28"/>
      <c r="CMS17" s="29"/>
      <c r="CMT17" s="385"/>
      <c r="CMU17" s="29"/>
      <c r="CMV17" s="385"/>
      <c r="CMW17" s="29"/>
      <c r="CMX17" s="385"/>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30"/>
      <c r="COE17" s="28"/>
      <c r="COF17" s="29"/>
      <c r="COG17" s="29"/>
      <c r="COH17" s="29"/>
      <c r="COI17" s="29"/>
      <c r="COJ17" s="29"/>
      <c r="COK17" s="28"/>
      <c r="COL17" s="29"/>
      <c r="COM17" s="29"/>
      <c r="CON17" s="28"/>
      <c r="COO17" s="29"/>
      <c r="COP17" s="30"/>
      <c r="COQ17" s="28"/>
      <c r="COR17" s="29"/>
      <c r="COS17" s="29"/>
      <c r="COT17" s="29"/>
      <c r="COU17" s="28"/>
      <c r="COV17" s="29"/>
      <c r="COW17" s="29"/>
      <c r="COX17" s="28"/>
      <c r="COY17" s="29"/>
      <c r="COZ17" s="30"/>
      <c r="CPA17" s="28"/>
      <c r="CPB17" s="29"/>
      <c r="CPC17" s="29"/>
      <c r="CPD17" s="29"/>
      <c r="CPE17" s="28"/>
      <c r="CPF17" s="29"/>
      <c r="CPG17" s="29"/>
      <c r="CPH17" s="28"/>
      <c r="CPI17" s="29"/>
      <c r="CPJ17" s="30"/>
      <c r="CPK17" s="28"/>
      <c r="CPL17" s="29"/>
      <c r="CPM17" s="29"/>
      <c r="CPN17" s="29"/>
      <c r="CPO17" s="28"/>
      <c r="CPP17" s="29"/>
      <c r="CPQ17" s="29"/>
      <c r="CPR17" s="28"/>
      <c r="CPS17" s="29"/>
      <c r="CPT17" s="30"/>
      <c r="CPU17" s="28"/>
      <c r="CPV17" s="30"/>
      <c r="CPW17" s="29"/>
      <c r="CPX17" s="28"/>
      <c r="CPY17" s="29"/>
      <c r="CPZ17" s="28"/>
      <c r="CQA17" s="28"/>
      <c r="CQB17" s="28"/>
      <c r="CQC17" s="29"/>
      <c r="CQD17" s="385"/>
      <c r="CQE17" s="29"/>
      <c r="CQF17" s="385"/>
      <c r="CQG17" s="29"/>
      <c r="CQH17" s="385"/>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30"/>
      <c r="CRO17" s="28"/>
      <c r="CRP17" s="29"/>
      <c r="CRQ17" s="29"/>
      <c r="CRR17" s="29"/>
      <c r="CRS17" s="29"/>
      <c r="CRT17" s="29"/>
      <c r="CRU17" s="28"/>
      <c r="CRV17" s="29"/>
      <c r="CRW17" s="29"/>
      <c r="CRX17" s="28"/>
      <c r="CRY17" s="29"/>
      <c r="CRZ17" s="30"/>
      <c r="CSA17" s="28"/>
      <c r="CSB17" s="29"/>
      <c r="CSC17" s="29"/>
      <c r="CSD17" s="29"/>
      <c r="CSE17" s="28"/>
      <c r="CSF17" s="29"/>
      <c r="CSG17" s="29"/>
      <c r="CSH17" s="28"/>
      <c r="CSI17" s="29"/>
      <c r="CSJ17" s="30"/>
      <c r="CSK17" s="28"/>
      <c r="CSL17" s="29"/>
      <c r="CSM17" s="29"/>
      <c r="CSN17" s="29"/>
      <c r="CSO17" s="28"/>
      <c r="CSP17" s="29"/>
      <c r="CSQ17" s="29"/>
      <c r="CSR17" s="28"/>
      <c r="CSS17" s="29"/>
      <c r="CST17" s="30"/>
      <c r="CSU17" s="28"/>
      <c r="CSV17" s="29"/>
      <c r="CSW17" s="29"/>
      <c r="CSX17" s="29"/>
      <c r="CSY17" s="28"/>
      <c r="CSZ17" s="29"/>
      <c r="CTA17" s="29"/>
      <c r="CTB17" s="28"/>
      <c r="CTC17" s="29"/>
      <c r="CTD17" s="30"/>
      <c r="CTE17" s="28"/>
      <c r="CTF17" s="30"/>
      <c r="CTG17" s="29"/>
      <c r="CTH17" s="28"/>
      <c r="CTI17" s="29"/>
      <c r="CTJ17" s="28"/>
      <c r="CTK17" s="28"/>
      <c r="CTL17" s="28"/>
      <c r="CTM17" s="29"/>
      <c r="CTN17" s="385"/>
      <c r="CTO17" s="29"/>
      <c r="CTP17" s="385"/>
      <c r="CTQ17" s="29"/>
      <c r="CTR17" s="385"/>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30"/>
      <c r="CUY17" s="28"/>
      <c r="CUZ17" s="29"/>
      <c r="CVA17" s="29"/>
      <c r="CVB17" s="29"/>
      <c r="CVC17" s="29"/>
      <c r="CVD17" s="29"/>
      <c r="CVE17" s="28"/>
      <c r="CVF17" s="29"/>
      <c r="CVG17" s="29"/>
      <c r="CVH17" s="28"/>
      <c r="CVI17" s="29"/>
      <c r="CVJ17" s="30"/>
      <c r="CVK17" s="28"/>
      <c r="CVL17" s="29"/>
      <c r="CVM17" s="29"/>
      <c r="CVN17" s="29"/>
      <c r="CVO17" s="28"/>
      <c r="CVP17" s="29"/>
      <c r="CVQ17" s="29"/>
      <c r="CVR17" s="28"/>
      <c r="CVS17" s="29"/>
      <c r="CVT17" s="30"/>
      <c r="CVU17" s="28"/>
      <c r="CVV17" s="29"/>
      <c r="CVW17" s="29"/>
      <c r="CVX17" s="29"/>
      <c r="CVY17" s="28"/>
      <c r="CVZ17" s="29"/>
      <c r="CWA17" s="29"/>
      <c r="CWB17" s="28"/>
      <c r="CWC17" s="29"/>
      <c r="CWD17" s="30"/>
      <c r="CWE17" s="28"/>
      <c r="CWF17" s="29"/>
      <c r="CWG17" s="29"/>
      <c r="CWH17" s="29"/>
      <c r="CWI17" s="28"/>
      <c r="CWJ17" s="29"/>
      <c r="CWK17" s="29"/>
      <c r="CWL17" s="28"/>
      <c r="CWM17" s="29"/>
      <c r="CWN17" s="30"/>
      <c r="CWO17" s="28"/>
      <c r="CWP17" s="30"/>
      <c r="CWQ17" s="29"/>
      <c r="CWR17" s="28"/>
      <c r="CWS17" s="29"/>
      <c r="CWT17" s="28"/>
      <c r="CWU17" s="28"/>
      <c r="CWV17" s="28"/>
      <c r="CWW17" s="29"/>
      <c r="CWX17" s="385"/>
      <c r="CWY17" s="29"/>
      <c r="CWZ17" s="385"/>
      <c r="CXA17" s="29"/>
      <c r="CXB17" s="385"/>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30"/>
      <c r="CYI17" s="28"/>
      <c r="CYJ17" s="29"/>
      <c r="CYK17" s="29"/>
      <c r="CYL17" s="29"/>
      <c r="CYM17" s="29"/>
      <c r="CYN17" s="29"/>
      <c r="CYO17" s="28"/>
      <c r="CYP17" s="29"/>
      <c r="CYQ17" s="29"/>
      <c r="CYR17" s="28"/>
      <c r="CYS17" s="29"/>
      <c r="CYT17" s="30"/>
      <c r="CYU17" s="28"/>
      <c r="CYV17" s="29"/>
      <c r="CYW17" s="29"/>
      <c r="CYX17" s="29"/>
      <c r="CYY17" s="28"/>
      <c r="CYZ17" s="29"/>
      <c r="CZA17" s="29"/>
      <c r="CZB17" s="28"/>
      <c r="CZC17" s="29"/>
      <c r="CZD17" s="30"/>
      <c r="CZE17" s="28"/>
      <c r="CZF17" s="29"/>
      <c r="CZG17" s="29"/>
      <c r="CZH17" s="29"/>
      <c r="CZI17" s="28"/>
      <c r="CZJ17" s="29"/>
      <c r="CZK17" s="29"/>
      <c r="CZL17" s="28"/>
      <c r="CZM17" s="29"/>
      <c r="CZN17" s="30"/>
      <c r="CZO17" s="28"/>
      <c r="CZP17" s="29"/>
      <c r="CZQ17" s="29"/>
      <c r="CZR17" s="29"/>
      <c r="CZS17" s="28"/>
      <c r="CZT17" s="29"/>
      <c r="CZU17" s="29"/>
      <c r="CZV17" s="28"/>
      <c r="CZW17" s="29"/>
      <c r="CZX17" s="30"/>
      <c r="CZY17" s="28"/>
      <c r="CZZ17" s="30"/>
      <c r="DAA17" s="29"/>
      <c r="DAB17" s="28"/>
      <c r="DAC17" s="29"/>
      <c r="DAD17" s="28"/>
      <c r="DAE17" s="28"/>
      <c r="DAF17" s="28"/>
      <c r="DAG17" s="29"/>
      <c r="DAH17" s="385"/>
      <c r="DAI17" s="29"/>
      <c r="DAJ17" s="385"/>
      <c r="DAK17" s="29"/>
      <c r="DAL17" s="385"/>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30"/>
      <c r="DBS17" s="28"/>
      <c r="DBT17" s="29"/>
      <c r="DBU17" s="29"/>
      <c r="DBV17" s="29"/>
      <c r="DBW17" s="29"/>
      <c r="DBX17" s="29"/>
      <c r="DBY17" s="28"/>
      <c r="DBZ17" s="29"/>
      <c r="DCA17" s="29"/>
      <c r="DCB17" s="28"/>
      <c r="DCC17" s="29"/>
      <c r="DCD17" s="30"/>
      <c r="DCE17" s="28"/>
      <c r="DCF17" s="29"/>
      <c r="DCG17" s="29"/>
      <c r="DCH17" s="29"/>
      <c r="DCI17" s="28"/>
      <c r="DCJ17" s="29"/>
      <c r="DCK17" s="29"/>
      <c r="DCL17" s="28"/>
      <c r="DCM17" s="29"/>
      <c r="DCN17" s="30"/>
      <c r="DCO17" s="28"/>
      <c r="DCP17" s="29"/>
      <c r="DCQ17" s="29"/>
      <c r="DCR17" s="29"/>
      <c r="DCS17" s="28"/>
      <c r="DCT17" s="29"/>
      <c r="DCU17" s="29"/>
      <c r="DCV17" s="28"/>
      <c r="DCW17" s="29"/>
      <c r="DCX17" s="30"/>
      <c r="DCY17" s="28"/>
      <c r="DCZ17" s="29"/>
      <c r="DDA17" s="29"/>
      <c r="DDB17" s="29"/>
      <c r="DDC17" s="28"/>
      <c r="DDD17" s="29"/>
      <c r="DDE17" s="29"/>
      <c r="DDF17" s="28"/>
      <c r="DDG17" s="29"/>
      <c r="DDH17" s="30"/>
      <c r="DDI17" s="28"/>
      <c r="DDJ17" s="30"/>
      <c r="DDK17" s="29"/>
      <c r="DDL17" s="28"/>
      <c r="DDM17" s="29"/>
      <c r="DDN17" s="28"/>
      <c r="DDO17" s="28"/>
      <c r="DDP17" s="28"/>
      <c r="DDQ17" s="29"/>
      <c r="DDR17" s="385"/>
      <c r="DDS17" s="29"/>
      <c r="DDT17" s="385"/>
      <c r="DDU17" s="29"/>
      <c r="DDV17" s="385"/>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30"/>
      <c r="DFC17" s="28"/>
      <c r="DFD17" s="29"/>
      <c r="DFE17" s="29"/>
      <c r="DFF17" s="29"/>
      <c r="DFG17" s="29"/>
      <c r="DFH17" s="29"/>
      <c r="DFI17" s="28"/>
      <c r="DFJ17" s="29"/>
      <c r="DFK17" s="29"/>
      <c r="DFL17" s="28"/>
      <c r="DFM17" s="29"/>
      <c r="DFN17" s="30"/>
      <c r="DFO17" s="28"/>
      <c r="DFP17" s="29"/>
      <c r="DFQ17" s="29"/>
      <c r="DFR17" s="29"/>
      <c r="DFS17" s="28"/>
      <c r="DFT17" s="29"/>
      <c r="DFU17" s="29"/>
      <c r="DFV17" s="28"/>
      <c r="DFW17" s="29"/>
      <c r="DFX17" s="30"/>
      <c r="DFY17" s="28"/>
      <c r="DFZ17" s="29"/>
      <c r="DGA17" s="29"/>
      <c r="DGB17" s="29"/>
      <c r="DGC17" s="28"/>
      <c r="DGD17" s="29"/>
      <c r="DGE17" s="29"/>
      <c r="DGF17" s="28"/>
      <c r="DGG17" s="29"/>
      <c r="DGH17" s="30"/>
      <c r="DGI17" s="28"/>
      <c r="DGJ17" s="29"/>
      <c r="DGK17" s="29"/>
      <c r="DGL17" s="29"/>
      <c r="DGM17" s="28"/>
      <c r="DGN17" s="29"/>
      <c r="DGO17" s="29"/>
      <c r="DGP17" s="28"/>
      <c r="DGQ17" s="29"/>
      <c r="DGR17" s="30"/>
      <c r="DGS17" s="28"/>
      <c r="DGT17" s="30"/>
      <c r="DGU17" s="29"/>
      <c r="DGV17" s="28"/>
      <c r="DGW17" s="29"/>
      <c r="DGX17" s="28"/>
      <c r="DGY17" s="28"/>
      <c r="DGZ17" s="28"/>
      <c r="DHA17" s="29"/>
      <c r="DHB17" s="385"/>
      <c r="DHC17" s="29"/>
      <c r="DHD17" s="385"/>
      <c r="DHE17" s="29"/>
      <c r="DHF17" s="385"/>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30"/>
      <c r="DIM17" s="28"/>
      <c r="DIN17" s="29"/>
      <c r="DIO17" s="29"/>
      <c r="DIP17" s="29"/>
      <c r="DIQ17" s="29"/>
      <c r="DIR17" s="29"/>
      <c r="DIS17" s="28"/>
      <c r="DIT17" s="29"/>
      <c r="DIU17" s="29"/>
      <c r="DIV17" s="28"/>
      <c r="DIW17" s="29"/>
      <c r="DIX17" s="30"/>
      <c r="DIY17" s="28"/>
      <c r="DIZ17" s="29"/>
      <c r="DJA17" s="29"/>
      <c r="DJB17" s="29"/>
      <c r="DJC17" s="28"/>
      <c r="DJD17" s="29"/>
      <c r="DJE17" s="29"/>
      <c r="DJF17" s="28"/>
      <c r="DJG17" s="29"/>
      <c r="DJH17" s="30"/>
      <c r="DJI17" s="28"/>
      <c r="DJJ17" s="29"/>
      <c r="DJK17" s="29"/>
      <c r="DJL17" s="29"/>
      <c r="DJM17" s="28"/>
      <c r="DJN17" s="29"/>
      <c r="DJO17" s="29"/>
      <c r="DJP17" s="28"/>
      <c r="DJQ17" s="29"/>
      <c r="DJR17" s="30"/>
      <c r="DJS17" s="28"/>
      <c r="DJT17" s="29"/>
      <c r="DJU17" s="29"/>
      <c r="DJV17" s="29"/>
      <c r="DJW17" s="28"/>
      <c r="DJX17" s="29"/>
      <c r="DJY17" s="29"/>
      <c r="DJZ17" s="28"/>
      <c r="DKA17" s="29"/>
      <c r="DKB17" s="30"/>
      <c r="DKC17" s="28"/>
      <c r="DKD17" s="30"/>
      <c r="DKE17" s="29"/>
      <c r="DKF17" s="28"/>
      <c r="DKG17" s="29"/>
      <c r="DKH17" s="28"/>
      <c r="DKI17" s="28"/>
      <c r="DKJ17" s="28"/>
      <c r="DKK17" s="29"/>
      <c r="DKL17" s="385"/>
      <c r="DKM17" s="29"/>
      <c r="DKN17" s="385"/>
      <c r="DKO17" s="29"/>
      <c r="DKP17" s="385"/>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30"/>
      <c r="DLW17" s="28"/>
      <c r="DLX17" s="29"/>
      <c r="DLY17" s="29"/>
      <c r="DLZ17" s="29"/>
      <c r="DMA17" s="29"/>
      <c r="DMB17" s="29"/>
      <c r="DMC17" s="28"/>
      <c r="DMD17" s="29"/>
      <c r="DME17" s="29"/>
      <c r="DMF17" s="28"/>
      <c r="DMG17" s="29"/>
      <c r="DMH17" s="30"/>
      <c r="DMI17" s="28"/>
      <c r="DMJ17" s="29"/>
      <c r="DMK17" s="29"/>
      <c r="DML17" s="29"/>
      <c r="DMM17" s="28"/>
      <c r="DMN17" s="29"/>
      <c r="DMO17" s="29"/>
      <c r="DMP17" s="28"/>
      <c r="DMQ17" s="29"/>
      <c r="DMR17" s="30"/>
      <c r="DMS17" s="28"/>
      <c r="DMT17" s="29"/>
      <c r="DMU17" s="29"/>
      <c r="DMV17" s="29"/>
      <c r="DMW17" s="28"/>
      <c r="DMX17" s="29"/>
      <c r="DMY17" s="29"/>
      <c r="DMZ17" s="28"/>
      <c r="DNA17" s="29"/>
      <c r="DNB17" s="30"/>
      <c r="DNC17" s="28"/>
      <c r="DND17" s="29"/>
      <c r="DNE17" s="29"/>
      <c r="DNF17" s="29"/>
      <c r="DNG17" s="28"/>
      <c r="DNH17" s="29"/>
      <c r="DNI17" s="29"/>
      <c r="DNJ17" s="28"/>
      <c r="DNK17" s="29"/>
      <c r="DNL17" s="30"/>
      <c r="DNM17" s="28"/>
      <c r="DNN17" s="30"/>
      <c r="DNO17" s="29"/>
      <c r="DNP17" s="28"/>
      <c r="DNQ17" s="29"/>
      <c r="DNR17" s="28"/>
      <c r="DNS17" s="28"/>
      <c r="DNT17" s="28"/>
      <c r="DNU17" s="29"/>
      <c r="DNV17" s="385"/>
      <c r="DNW17" s="29"/>
      <c r="DNX17" s="385"/>
      <c r="DNY17" s="29"/>
      <c r="DNZ17" s="385"/>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30"/>
      <c r="DPG17" s="28"/>
      <c r="DPH17" s="29"/>
      <c r="DPI17" s="29"/>
      <c r="DPJ17" s="29"/>
      <c r="DPK17" s="29"/>
      <c r="DPL17" s="29"/>
      <c r="DPM17" s="28"/>
      <c r="DPN17" s="29"/>
      <c r="DPO17" s="29"/>
      <c r="DPP17" s="28"/>
      <c r="DPQ17" s="29"/>
      <c r="DPR17" s="30"/>
      <c r="DPS17" s="28"/>
      <c r="DPT17" s="29"/>
      <c r="DPU17" s="29"/>
      <c r="DPV17" s="29"/>
      <c r="DPW17" s="28"/>
      <c r="DPX17" s="29"/>
      <c r="DPY17" s="29"/>
      <c r="DPZ17" s="28"/>
      <c r="DQA17" s="29"/>
      <c r="DQB17" s="30"/>
      <c r="DQC17" s="28"/>
      <c r="DQD17" s="29"/>
      <c r="DQE17" s="29"/>
      <c r="DQF17" s="29"/>
      <c r="DQG17" s="28"/>
      <c r="DQH17" s="29"/>
      <c r="DQI17" s="29"/>
      <c r="DQJ17" s="28"/>
      <c r="DQK17" s="29"/>
      <c r="DQL17" s="30"/>
      <c r="DQM17" s="28"/>
      <c r="DQN17" s="29"/>
      <c r="DQO17" s="29"/>
      <c r="DQP17" s="29"/>
      <c r="DQQ17" s="28"/>
      <c r="DQR17" s="29"/>
      <c r="DQS17" s="29"/>
      <c r="DQT17" s="28"/>
      <c r="DQU17" s="29"/>
      <c r="DQV17" s="30"/>
      <c r="DQW17" s="28"/>
      <c r="DQX17" s="30"/>
      <c r="DQY17" s="29"/>
      <c r="DQZ17" s="28"/>
      <c r="DRA17" s="29"/>
      <c r="DRB17" s="28"/>
      <c r="DRC17" s="28"/>
      <c r="DRD17" s="28"/>
      <c r="DRE17" s="29"/>
      <c r="DRF17" s="385"/>
      <c r="DRG17" s="29"/>
      <c r="DRH17" s="385"/>
      <c r="DRI17" s="29"/>
      <c r="DRJ17" s="385"/>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30"/>
      <c r="DSQ17" s="28"/>
      <c r="DSR17" s="29"/>
      <c r="DSS17" s="29"/>
      <c r="DST17" s="29"/>
      <c r="DSU17" s="29"/>
      <c r="DSV17" s="29"/>
      <c r="DSW17" s="28"/>
      <c r="DSX17" s="29"/>
      <c r="DSY17" s="29"/>
      <c r="DSZ17" s="28"/>
      <c r="DTA17" s="29"/>
      <c r="DTB17" s="30"/>
      <c r="DTC17" s="28"/>
      <c r="DTD17" s="29"/>
      <c r="DTE17" s="29"/>
      <c r="DTF17" s="29"/>
      <c r="DTG17" s="28"/>
      <c r="DTH17" s="29"/>
      <c r="DTI17" s="29"/>
      <c r="DTJ17" s="28"/>
      <c r="DTK17" s="29"/>
      <c r="DTL17" s="30"/>
      <c r="DTM17" s="28"/>
      <c r="DTN17" s="29"/>
      <c r="DTO17" s="29"/>
      <c r="DTP17" s="29"/>
      <c r="DTQ17" s="28"/>
      <c r="DTR17" s="29"/>
      <c r="DTS17" s="29"/>
      <c r="DTT17" s="28"/>
      <c r="DTU17" s="29"/>
      <c r="DTV17" s="30"/>
      <c r="DTW17" s="28"/>
      <c r="DTX17" s="29"/>
      <c r="DTY17" s="29"/>
      <c r="DTZ17" s="29"/>
      <c r="DUA17" s="28"/>
      <c r="DUB17" s="29"/>
      <c r="DUC17" s="29"/>
      <c r="DUD17" s="28"/>
      <c r="DUE17" s="29"/>
      <c r="DUF17" s="30"/>
      <c r="DUG17" s="28"/>
      <c r="DUH17" s="30"/>
      <c r="DUI17" s="29"/>
      <c r="DUJ17" s="28"/>
      <c r="DUK17" s="29"/>
      <c r="DUL17" s="28"/>
      <c r="DUM17" s="28"/>
      <c r="DUN17" s="28"/>
      <c r="DUO17" s="29"/>
      <c r="DUP17" s="385"/>
      <c r="DUQ17" s="29"/>
      <c r="DUR17" s="385"/>
      <c r="DUS17" s="29"/>
      <c r="DUT17" s="385"/>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30"/>
      <c r="DWA17" s="28"/>
      <c r="DWB17" s="29"/>
      <c r="DWC17" s="29"/>
      <c r="DWD17" s="29"/>
      <c r="DWE17" s="29"/>
      <c r="DWF17" s="29"/>
      <c r="DWG17" s="28"/>
      <c r="DWH17" s="29"/>
      <c r="DWI17" s="29"/>
      <c r="DWJ17" s="28"/>
      <c r="DWK17" s="29"/>
      <c r="DWL17" s="30"/>
      <c r="DWM17" s="28"/>
      <c r="DWN17" s="29"/>
      <c r="DWO17" s="29"/>
      <c r="DWP17" s="29"/>
      <c r="DWQ17" s="28"/>
      <c r="DWR17" s="29"/>
      <c r="DWS17" s="29"/>
      <c r="DWT17" s="28"/>
      <c r="DWU17" s="29"/>
      <c r="DWV17" s="30"/>
      <c r="DWW17" s="28"/>
      <c r="DWX17" s="29"/>
      <c r="DWY17" s="29"/>
      <c r="DWZ17" s="29"/>
      <c r="DXA17" s="28"/>
      <c r="DXB17" s="29"/>
      <c r="DXC17" s="29"/>
      <c r="DXD17" s="28"/>
      <c r="DXE17" s="29"/>
      <c r="DXF17" s="30"/>
      <c r="DXG17" s="28"/>
      <c r="DXH17" s="29"/>
      <c r="DXI17" s="29"/>
      <c r="DXJ17" s="29"/>
      <c r="DXK17" s="28"/>
      <c r="DXL17" s="29"/>
      <c r="DXM17" s="29"/>
      <c r="DXN17" s="28"/>
      <c r="DXO17" s="29"/>
      <c r="DXP17" s="30"/>
      <c r="DXQ17" s="28"/>
      <c r="DXR17" s="30"/>
      <c r="DXS17" s="29"/>
      <c r="DXT17" s="28"/>
      <c r="DXU17" s="29"/>
      <c r="DXV17" s="28"/>
      <c r="DXW17" s="28"/>
      <c r="DXX17" s="28"/>
      <c r="DXY17" s="29"/>
      <c r="DXZ17" s="385"/>
      <c r="DYA17" s="29"/>
      <c r="DYB17" s="385"/>
      <c r="DYC17" s="29"/>
      <c r="DYD17" s="385"/>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30"/>
      <c r="DZK17" s="28"/>
      <c r="DZL17" s="29"/>
      <c r="DZM17" s="29"/>
      <c r="DZN17" s="29"/>
      <c r="DZO17" s="29"/>
      <c r="DZP17" s="29"/>
      <c r="DZQ17" s="28"/>
      <c r="DZR17" s="29"/>
      <c r="DZS17" s="29"/>
      <c r="DZT17" s="28"/>
      <c r="DZU17" s="29"/>
      <c r="DZV17" s="30"/>
      <c r="DZW17" s="28"/>
      <c r="DZX17" s="29"/>
      <c r="DZY17" s="29"/>
      <c r="DZZ17" s="29"/>
      <c r="EAA17" s="28"/>
      <c r="EAB17" s="29"/>
      <c r="EAC17" s="29"/>
      <c r="EAD17" s="28"/>
      <c r="EAE17" s="29"/>
      <c r="EAF17" s="30"/>
      <c r="EAG17" s="28"/>
      <c r="EAH17" s="29"/>
      <c r="EAI17" s="29"/>
      <c r="EAJ17" s="29"/>
      <c r="EAK17" s="28"/>
      <c r="EAL17" s="29"/>
      <c r="EAM17" s="29"/>
      <c r="EAN17" s="28"/>
      <c r="EAO17" s="29"/>
      <c r="EAP17" s="30"/>
      <c r="EAQ17" s="28"/>
      <c r="EAR17" s="29"/>
      <c r="EAS17" s="29"/>
      <c r="EAT17" s="29"/>
      <c r="EAU17" s="28"/>
      <c r="EAV17" s="29"/>
      <c r="EAW17" s="29"/>
      <c r="EAX17" s="28"/>
      <c r="EAY17" s="29"/>
      <c r="EAZ17" s="30"/>
      <c r="EBA17" s="28"/>
      <c r="EBB17" s="30"/>
      <c r="EBC17" s="29"/>
      <c r="EBD17" s="28"/>
      <c r="EBE17" s="29"/>
      <c r="EBF17" s="28"/>
      <c r="EBG17" s="28"/>
      <c r="EBH17" s="28"/>
      <c r="EBI17" s="29"/>
      <c r="EBJ17" s="385"/>
      <c r="EBK17" s="29"/>
      <c r="EBL17" s="385"/>
      <c r="EBM17" s="29"/>
      <c r="EBN17" s="385"/>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30"/>
      <c r="ECU17" s="28"/>
      <c r="ECV17" s="29"/>
      <c r="ECW17" s="29"/>
      <c r="ECX17" s="29"/>
      <c r="ECY17" s="29"/>
      <c r="ECZ17" s="29"/>
      <c r="EDA17" s="28"/>
      <c r="EDB17" s="29"/>
      <c r="EDC17" s="29"/>
      <c r="EDD17" s="28"/>
      <c r="EDE17" s="29"/>
      <c r="EDF17" s="30"/>
      <c r="EDG17" s="28"/>
      <c r="EDH17" s="29"/>
      <c r="EDI17" s="29"/>
      <c r="EDJ17" s="29"/>
      <c r="EDK17" s="28"/>
      <c r="EDL17" s="29"/>
      <c r="EDM17" s="29"/>
      <c r="EDN17" s="28"/>
      <c r="EDO17" s="29"/>
      <c r="EDP17" s="30"/>
      <c r="EDQ17" s="28"/>
      <c r="EDR17" s="29"/>
      <c r="EDS17" s="29"/>
      <c r="EDT17" s="29"/>
      <c r="EDU17" s="28"/>
      <c r="EDV17" s="29"/>
      <c r="EDW17" s="29"/>
      <c r="EDX17" s="28"/>
      <c r="EDY17" s="29"/>
      <c r="EDZ17" s="30"/>
      <c r="EEA17" s="28"/>
      <c r="EEB17" s="29"/>
      <c r="EEC17" s="29"/>
      <c r="EED17" s="29"/>
      <c r="EEE17" s="28"/>
      <c r="EEF17" s="29"/>
      <c r="EEG17" s="29"/>
      <c r="EEH17" s="28"/>
      <c r="EEI17" s="29"/>
      <c r="EEJ17" s="30"/>
      <c r="EEK17" s="28"/>
      <c r="EEL17" s="30"/>
      <c r="EEM17" s="29"/>
      <c r="EEN17" s="28"/>
      <c r="EEO17" s="29"/>
      <c r="EEP17" s="28"/>
      <c r="EEQ17" s="28"/>
      <c r="EER17" s="28"/>
      <c r="EES17" s="29"/>
      <c r="EET17" s="385"/>
      <c r="EEU17" s="29"/>
      <c r="EEV17" s="385"/>
      <c r="EEW17" s="29"/>
      <c r="EEX17" s="385"/>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30"/>
      <c r="EGE17" s="28"/>
      <c r="EGF17" s="29"/>
      <c r="EGG17" s="29"/>
      <c r="EGH17" s="29"/>
      <c r="EGI17" s="29"/>
      <c r="EGJ17" s="29"/>
      <c r="EGK17" s="28"/>
      <c r="EGL17" s="29"/>
      <c r="EGM17" s="29"/>
      <c r="EGN17" s="28"/>
      <c r="EGO17" s="29"/>
      <c r="EGP17" s="30"/>
      <c r="EGQ17" s="28"/>
      <c r="EGR17" s="29"/>
      <c r="EGS17" s="29"/>
      <c r="EGT17" s="29"/>
      <c r="EGU17" s="28"/>
      <c r="EGV17" s="29"/>
      <c r="EGW17" s="29"/>
      <c r="EGX17" s="28"/>
      <c r="EGY17" s="29"/>
      <c r="EGZ17" s="30"/>
      <c r="EHA17" s="28"/>
      <c r="EHB17" s="29"/>
      <c r="EHC17" s="29"/>
      <c r="EHD17" s="29"/>
      <c r="EHE17" s="28"/>
      <c r="EHF17" s="29"/>
      <c r="EHG17" s="29"/>
      <c r="EHH17" s="28"/>
      <c r="EHI17" s="29"/>
      <c r="EHJ17" s="30"/>
      <c r="EHK17" s="28"/>
      <c r="EHL17" s="29"/>
      <c r="EHM17" s="29"/>
      <c r="EHN17" s="29"/>
      <c r="EHO17" s="28"/>
      <c r="EHP17" s="29"/>
      <c r="EHQ17" s="29"/>
      <c r="EHR17" s="28"/>
      <c r="EHS17" s="29"/>
      <c r="EHT17" s="30"/>
      <c r="EHU17" s="28"/>
      <c r="EHV17" s="30"/>
      <c r="EHW17" s="29"/>
      <c r="EHX17" s="28"/>
      <c r="EHY17" s="29"/>
      <c r="EHZ17" s="28"/>
      <c r="EIA17" s="28"/>
      <c r="EIB17" s="28"/>
      <c r="EIC17" s="29"/>
      <c r="EID17" s="385"/>
      <c r="EIE17" s="29"/>
      <c r="EIF17" s="385"/>
      <c r="EIG17" s="29"/>
      <c r="EIH17" s="385"/>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30"/>
      <c r="EJO17" s="28"/>
      <c r="EJP17" s="29"/>
      <c r="EJQ17" s="29"/>
      <c r="EJR17" s="29"/>
      <c r="EJS17" s="29"/>
      <c r="EJT17" s="29"/>
      <c r="EJU17" s="28"/>
      <c r="EJV17" s="29"/>
      <c r="EJW17" s="29"/>
      <c r="EJX17" s="28"/>
      <c r="EJY17" s="29"/>
      <c r="EJZ17" s="30"/>
      <c r="EKA17" s="28"/>
      <c r="EKB17" s="29"/>
      <c r="EKC17" s="29"/>
      <c r="EKD17" s="29"/>
      <c r="EKE17" s="28"/>
      <c r="EKF17" s="29"/>
      <c r="EKG17" s="29"/>
      <c r="EKH17" s="28"/>
      <c r="EKI17" s="29"/>
      <c r="EKJ17" s="30"/>
      <c r="EKK17" s="28"/>
      <c r="EKL17" s="29"/>
      <c r="EKM17" s="29"/>
      <c r="EKN17" s="29"/>
      <c r="EKO17" s="28"/>
      <c r="EKP17" s="29"/>
      <c r="EKQ17" s="29"/>
      <c r="EKR17" s="28"/>
      <c r="EKS17" s="29"/>
      <c r="EKT17" s="30"/>
      <c r="EKU17" s="28"/>
      <c r="EKV17" s="29"/>
      <c r="EKW17" s="29"/>
      <c r="EKX17" s="29"/>
      <c r="EKY17" s="28"/>
      <c r="EKZ17" s="29"/>
      <c r="ELA17" s="29"/>
      <c r="ELB17" s="28"/>
      <c r="ELC17" s="29"/>
      <c r="ELD17" s="30"/>
      <c r="ELE17" s="28"/>
      <c r="ELF17" s="30"/>
      <c r="ELG17" s="29"/>
      <c r="ELH17" s="28"/>
      <c r="ELI17" s="29"/>
      <c r="ELJ17" s="28"/>
      <c r="ELK17" s="28"/>
      <c r="ELL17" s="28"/>
      <c r="ELM17" s="29"/>
      <c r="ELN17" s="385"/>
      <c r="ELO17" s="29"/>
      <c r="ELP17" s="385"/>
      <c r="ELQ17" s="29"/>
      <c r="ELR17" s="385"/>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30"/>
      <c r="EMY17" s="28"/>
      <c r="EMZ17" s="29"/>
      <c r="ENA17" s="29"/>
      <c r="ENB17" s="29"/>
      <c r="ENC17" s="29"/>
      <c r="END17" s="29"/>
      <c r="ENE17" s="28"/>
      <c r="ENF17" s="29"/>
      <c r="ENG17" s="29"/>
      <c r="ENH17" s="28"/>
      <c r="ENI17" s="29"/>
      <c r="ENJ17" s="30"/>
      <c r="ENK17" s="28"/>
      <c r="ENL17" s="29"/>
      <c r="ENM17" s="29"/>
      <c r="ENN17" s="29"/>
      <c r="ENO17" s="28"/>
      <c r="ENP17" s="29"/>
      <c r="ENQ17" s="29"/>
      <c r="ENR17" s="28"/>
      <c r="ENS17" s="29"/>
      <c r="ENT17" s="30"/>
      <c r="ENU17" s="28"/>
      <c r="ENV17" s="29"/>
      <c r="ENW17" s="29"/>
      <c r="ENX17" s="29"/>
      <c r="ENY17" s="28"/>
      <c r="ENZ17" s="29"/>
      <c r="EOA17" s="29"/>
      <c r="EOB17" s="28"/>
      <c r="EOC17" s="29"/>
      <c r="EOD17" s="30"/>
      <c r="EOE17" s="28"/>
      <c r="EOF17" s="29"/>
      <c r="EOG17" s="29"/>
      <c r="EOH17" s="29"/>
      <c r="EOI17" s="28"/>
      <c r="EOJ17" s="29"/>
      <c r="EOK17" s="29"/>
      <c r="EOL17" s="28"/>
      <c r="EOM17" s="29"/>
      <c r="EON17" s="30"/>
      <c r="EOO17" s="28" t="str">
        <f t="shared" si="75"/>
        <v xml:space="preserve"> </v>
      </c>
    </row>
    <row r="18" spans="1:3785" x14ac:dyDescent="0.3">
      <c r="A18" s="392" t="s">
        <v>130</v>
      </c>
      <c r="B18" s="58" t="s">
        <v>2584</v>
      </c>
      <c r="C18" s="57" t="s">
        <v>1371</v>
      </c>
      <c r="D18" s="56" t="str">
        <f t="shared" si="61"/>
        <v xml:space="preserve"> </v>
      </c>
      <c r="E18" s="57"/>
      <c r="F18" s="56"/>
      <c r="G18" s="59">
        <v>45345</v>
      </c>
      <c r="H18" s="59">
        <f>+G18+365</f>
        <v>45710</v>
      </c>
      <c r="I18" s="59" t="s">
        <v>1372</v>
      </c>
      <c r="J18" s="59" t="s">
        <v>1373</v>
      </c>
      <c r="K18" s="59" t="s">
        <v>1372</v>
      </c>
      <c r="L18" s="59" t="s">
        <v>1373</v>
      </c>
      <c r="M18" s="59" t="s">
        <v>1372</v>
      </c>
      <c r="N18" s="386" t="s">
        <v>2585</v>
      </c>
      <c r="O18" s="57" t="s">
        <v>2582</v>
      </c>
      <c r="P18" s="57"/>
      <c r="Q18" s="57" t="s">
        <v>1372</v>
      </c>
      <c r="R18" s="57" t="s">
        <v>1372</v>
      </c>
      <c r="S18" s="57" t="s">
        <v>1372</v>
      </c>
      <c r="T18" s="57" t="s">
        <v>1372</v>
      </c>
      <c r="U18" s="57" t="s">
        <v>1372</v>
      </c>
      <c r="V18" s="57" t="s">
        <v>1372</v>
      </c>
      <c r="W18" s="57"/>
      <c r="X18" s="57"/>
      <c r="Y18" s="57"/>
      <c r="Z18" s="57" t="s">
        <v>1372</v>
      </c>
      <c r="AA18" s="57"/>
      <c r="AB18" s="57"/>
      <c r="AC18" s="57"/>
      <c r="AD18" s="57"/>
      <c r="AE18" s="57"/>
      <c r="AF18" s="57" t="s">
        <v>1372</v>
      </c>
      <c r="AG18" s="57" t="s">
        <v>1372</v>
      </c>
      <c r="AH18" s="57"/>
      <c r="AI18" s="57"/>
      <c r="AJ18" s="57"/>
      <c r="AK18" s="57"/>
      <c r="AL18" s="57"/>
      <c r="AM18" s="57" t="s">
        <v>1372</v>
      </c>
      <c r="AN18" s="57" t="s">
        <v>1372</v>
      </c>
      <c r="AO18" s="57"/>
      <c r="AP18" s="57"/>
      <c r="AQ18" s="57"/>
      <c r="AR18" s="57"/>
      <c r="AS18" s="57"/>
      <c r="AT18" s="58" t="s">
        <v>2580</v>
      </c>
      <c r="AU18" s="56" t="s">
        <v>1371</v>
      </c>
      <c r="AV18" s="56" t="str">
        <f t="shared" ref="AV18:AV19" si="110">IFERROR(VLOOKUP(AT18,BASEPOE1,2,FALSE)," ")</f>
        <v xml:space="preserve"> </v>
      </c>
      <c r="AW18" s="57"/>
      <c r="AX18" s="57"/>
      <c r="AY18" s="59">
        <v>45345</v>
      </c>
      <c r="AZ18" s="59">
        <f>+AY18+365</f>
        <v>45710</v>
      </c>
      <c r="BA18" s="57" t="s">
        <v>1372</v>
      </c>
      <c r="BB18" s="57" t="s">
        <v>1373</v>
      </c>
      <c r="BC18" s="57" t="s">
        <v>1372</v>
      </c>
      <c r="BD18" s="57" t="s">
        <v>1373</v>
      </c>
      <c r="BE18" s="57" t="s">
        <v>1372</v>
      </c>
      <c r="BF18" s="387" t="s">
        <v>2581</v>
      </c>
      <c r="BG18" s="57" t="s">
        <v>2582</v>
      </c>
      <c r="BH18" s="57"/>
      <c r="BI18" s="57" t="s">
        <v>1372</v>
      </c>
      <c r="BJ18" s="57" t="s">
        <v>1372</v>
      </c>
      <c r="BK18" s="57" t="s">
        <v>1372</v>
      </c>
      <c r="BL18" s="57" t="s">
        <v>1461</v>
      </c>
      <c r="BM18" s="57" t="s">
        <v>1372</v>
      </c>
      <c r="BN18" s="57" t="s">
        <v>1372</v>
      </c>
      <c r="BO18" s="57"/>
      <c r="BP18" s="57"/>
      <c r="BQ18" s="57"/>
      <c r="BR18" s="57" t="s">
        <v>1372</v>
      </c>
      <c r="BS18" s="57"/>
      <c r="BT18" s="57"/>
      <c r="BU18" s="57"/>
      <c r="BV18" s="57"/>
      <c r="BW18" s="57"/>
      <c r="BX18" s="57"/>
      <c r="BY18" s="57" t="s">
        <v>1372</v>
      </c>
      <c r="BZ18" s="57"/>
      <c r="CA18" s="57"/>
      <c r="CB18" s="57"/>
      <c r="CC18" s="57"/>
      <c r="CD18" s="57"/>
      <c r="CE18" s="57" t="s">
        <v>1372</v>
      </c>
      <c r="CF18" s="57" t="s">
        <v>1372</v>
      </c>
      <c r="CG18" s="57"/>
      <c r="CH18" s="57"/>
      <c r="CI18" s="57"/>
      <c r="CJ18" s="57"/>
      <c r="CK18" s="57"/>
      <c r="CL18" s="57"/>
      <c r="CM18" s="57"/>
      <c r="CN18" s="57"/>
      <c r="CO18" s="56"/>
      <c r="CP18" s="57"/>
      <c r="CQ18" s="57"/>
      <c r="CR18" s="56"/>
      <c r="CS18" s="57"/>
      <c r="CT18" s="58"/>
      <c r="CU18" s="56"/>
      <c r="CV18" s="57"/>
      <c r="CW18" s="57"/>
      <c r="CX18" s="57"/>
      <c r="CY18" s="56"/>
      <c r="CZ18" s="57"/>
      <c r="DA18" s="57"/>
      <c r="DB18" s="56"/>
      <c r="DC18" s="57"/>
      <c r="DD18" s="58"/>
      <c r="DE18" s="56"/>
      <c r="DF18" s="57"/>
      <c r="DG18" s="57"/>
      <c r="DH18" s="57"/>
      <c r="DI18" s="56"/>
      <c r="DJ18" s="57"/>
      <c r="DK18" s="57"/>
      <c r="DL18" s="56"/>
      <c r="DM18" s="57"/>
      <c r="DN18" s="58"/>
      <c r="DO18" s="56"/>
      <c r="DP18" s="57"/>
      <c r="DQ18" s="57"/>
      <c r="DR18" s="57"/>
      <c r="DS18" s="56"/>
      <c r="DT18" s="57"/>
      <c r="DU18" s="57"/>
      <c r="DV18" s="56"/>
      <c r="DW18" s="57"/>
      <c r="DX18" s="58"/>
      <c r="DY18" s="56"/>
      <c r="DZ18" s="57"/>
      <c r="EA18" s="57"/>
      <c r="EB18" s="57"/>
      <c r="EC18" s="56"/>
      <c r="ED18" s="57"/>
      <c r="EE18" s="56"/>
      <c r="EF18" s="56"/>
      <c r="EG18" s="57"/>
      <c r="EH18" s="58"/>
      <c r="EI18" s="56"/>
      <c r="EJ18" s="57"/>
      <c r="EK18" s="57"/>
      <c r="EL18" s="57"/>
      <c r="EM18" s="56"/>
      <c r="EN18" s="57"/>
      <c r="EO18" s="57"/>
      <c r="EP18" s="56"/>
      <c r="EQ18" s="57"/>
      <c r="ER18" s="58"/>
      <c r="ES18" s="56"/>
      <c r="ET18" s="57"/>
      <c r="EU18" s="57"/>
      <c r="EV18" s="57"/>
      <c r="EW18" s="56"/>
      <c r="EX18" s="57"/>
      <c r="EY18" s="57"/>
      <c r="EZ18" s="56"/>
      <c r="FA18" s="57"/>
      <c r="FB18" s="58"/>
      <c r="FC18" s="56"/>
      <c r="FD18" s="57"/>
      <c r="FE18" s="57"/>
      <c r="FF18" s="57"/>
      <c r="FG18" s="56"/>
      <c r="FH18" s="57"/>
      <c r="FI18" s="57"/>
      <c r="FJ18" s="56"/>
      <c r="FK18" s="57"/>
      <c r="FL18" s="58"/>
      <c r="FM18" s="56"/>
      <c r="FN18" s="57"/>
      <c r="FO18" s="57"/>
      <c r="FP18" s="57"/>
      <c r="FQ18" s="56"/>
      <c r="FR18" s="57"/>
      <c r="FS18" s="57"/>
      <c r="FT18" s="56"/>
      <c r="FU18" s="57"/>
      <c r="FV18" s="58"/>
      <c r="FW18" s="56"/>
      <c r="FX18" s="57"/>
      <c r="FY18" s="57"/>
      <c r="FZ18" s="57"/>
      <c r="GA18" s="56"/>
      <c r="GB18" s="57"/>
      <c r="GC18" s="57"/>
      <c r="GD18" s="56"/>
      <c r="GE18" s="57"/>
      <c r="GF18" s="58"/>
      <c r="GG18" s="56"/>
      <c r="GH18" s="57"/>
      <c r="GI18" s="57"/>
      <c r="GJ18" s="57"/>
      <c r="GK18" s="56"/>
      <c r="GL18" s="57"/>
      <c r="GM18" s="57"/>
      <c r="GN18" s="56"/>
      <c r="GO18" s="57"/>
      <c r="GP18" s="58"/>
      <c r="GQ18" s="56"/>
      <c r="GR18" s="57"/>
      <c r="GS18" s="57"/>
      <c r="GT18" s="57"/>
      <c r="GU18" s="56"/>
      <c r="GV18" s="57"/>
      <c r="GW18" s="57"/>
      <c r="GX18" s="56"/>
      <c r="GY18" s="57"/>
      <c r="GZ18" s="58"/>
      <c r="HA18" s="56"/>
      <c r="HB18" s="57"/>
      <c r="HC18" s="57"/>
      <c r="HD18" s="57"/>
      <c r="HE18" s="56"/>
      <c r="HF18" s="57"/>
      <c r="HG18" s="57"/>
      <c r="HH18" s="56"/>
      <c r="HI18" s="57"/>
      <c r="HJ18" s="58"/>
      <c r="HK18" s="56"/>
      <c r="HL18" s="57"/>
      <c r="HM18" s="57"/>
      <c r="HN18" s="57"/>
      <c r="HO18" s="56"/>
      <c r="HP18" s="57"/>
      <c r="HQ18" s="57"/>
      <c r="HR18" s="56"/>
      <c r="HS18" s="57"/>
      <c r="HT18" s="58"/>
      <c r="HU18" s="56"/>
      <c r="HV18" s="57"/>
      <c r="HW18" s="57"/>
      <c r="HX18" s="57"/>
      <c r="HY18" s="56"/>
      <c r="HZ18" s="57"/>
      <c r="IA18" s="57"/>
      <c r="IB18" s="56"/>
      <c r="IC18" s="57"/>
      <c r="ID18" s="58"/>
      <c r="IE18" s="56"/>
      <c r="IF18" s="57"/>
      <c r="IG18" s="57"/>
      <c r="IH18" s="57"/>
      <c r="II18" s="56"/>
      <c r="IJ18" s="57"/>
      <c r="IK18" s="57"/>
      <c r="IL18" s="56"/>
      <c r="IM18" s="57"/>
      <c r="IN18" s="58"/>
      <c r="IO18" s="56"/>
      <c r="IP18" s="57"/>
      <c r="IQ18" s="57"/>
      <c r="IR18" s="57"/>
      <c r="IS18" s="56"/>
      <c r="IT18" s="57"/>
      <c r="IU18" s="57"/>
      <c r="IV18" s="56"/>
      <c r="IW18" s="57"/>
      <c r="IX18" s="58"/>
      <c r="IY18" s="56"/>
      <c r="IZ18" s="57"/>
      <c r="JA18" s="57"/>
      <c r="JB18" s="57"/>
      <c r="JC18" s="56"/>
      <c r="JD18" s="57"/>
      <c r="JE18" s="57"/>
      <c r="JF18" s="56"/>
      <c r="JG18" s="57"/>
      <c r="JH18" s="58"/>
      <c r="JI18" s="56"/>
      <c r="JJ18" s="57"/>
      <c r="JK18" s="57"/>
      <c r="JL18" s="57"/>
      <c r="JM18" s="56"/>
      <c r="JN18" s="57"/>
      <c r="JO18" s="57"/>
      <c r="JP18" s="56"/>
      <c r="JQ18" s="57"/>
      <c r="JR18" s="58"/>
      <c r="JS18" s="56"/>
      <c r="JT18" s="57"/>
      <c r="JU18" s="57"/>
      <c r="JV18" s="57"/>
      <c r="JW18" s="56"/>
      <c r="JX18" s="57"/>
      <c r="JY18" s="57"/>
      <c r="JZ18" s="56"/>
      <c r="KA18" s="57"/>
      <c r="KB18" s="58"/>
      <c r="KC18" s="56"/>
      <c r="KD18" s="57"/>
      <c r="KE18" s="57"/>
      <c r="KF18" s="57"/>
      <c r="KG18" s="56"/>
      <c r="KH18" s="57"/>
      <c r="KI18" s="57"/>
      <c r="KJ18" s="56"/>
      <c r="KK18" s="57"/>
      <c r="KL18" s="58"/>
      <c r="KM18" s="56"/>
      <c r="KN18" s="57"/>
      <c r="KO18" s="57"/>
      <c r="KP18" s="57"/>
      <c r="KQ18" s="56"/>
      <c r="KR18" s="57"/>
      <c r="KS18" s="57"/>
      <c r="KT18" s="56"/>
      <c r="KU18" s="57"/>
      <c r="KV18" s="58"/>
      <c r="KW18" s="56"/>
      <c r="KX18" s="57"/>
      <c r="KY18" s="57"/>
      <c r="KZ18" s="57"/>
      <c r="LA18" s="56"/>
      <c r="LB18" s="57"/>
      <c r="LC18" s="57"/>
      <c r="LD18" s="56"/>
      <c r="LE18" s="57"/>
      <c r="LF18" s="58"/>
      <c r="LG18" s="56"/>
      <c r="LH18" s="57"/>
      <c r="LI18" s="57"/>
      <c r="LJ18" s="57"/>
      <c r="LK18" s="56"/>
      <c r="LL18" s="57"/>
      <c r="LM18" s="57"/>
      <c r="LN18" s="56"/>
      <c r="LO18" s="57"/>
      <c r="LP18" s="58"/>
      <c r="LQ18" s="56"/>
      <c r="LR18" s="57"/>
      <c r="LS18" s="57"/>
      <c r="LT18" s="57"/>
      <c r="LU18" s="56"/>
      <c r="LV18" s="57"/>
      <c r="LW18" s="57"/>
      <c r="LX18" s="56"/>
      <c r="LY18" s="57"/>
      <c r="LZ18" s="58"/>
      <c r="MA18" s="56"/>
      <c r="MB18" s="57"/>
      <c r="MC18" s="57"/>
      <c r="MD18" s="57"/>
      <c r="ME18" s="56"/>
      <c r="MF18" s="57"/>
      <c r="MG18" s="57"/>
      <c r="MH18" s="56"/>
      <c r="MI18" s="57"/>
      <c r="MJ18" s="58"/>
      <c r="MK18" s="56"/>
      <c r="ML18" s="57"/>
      <c r="MM18" s="57"/>
      <c r="MN18" s="57"/>
      <c r="MO18" s="56"/>
      <c r="MP18" s="57"/>
      <c r="MQ18" s="57"/>
      <c r="MR18" s="56"/>
      <c r="MS18" s="57"/>
      <c r="MT18" s="58"/>
      <c r="MU18" s="56"/>
      <c r="MV18" s="57"/>
      <c r="MW18" s="57"/>
      <c r="MX18" s="57"/>
      <c r="MY18" s="56"/>
      <c r="MZ18" s="57"/>
      <c r="NA18" s="57"/>
      <c r="NB18" s="56"/>
      <c r="NC18" s="57"/>
      <c r="ND18" s="58"/>
      <c r="NE18" s="56"/>
      <c r="NF18" s="57"/>
      <c r="NG18" s="57"/>
      <c r="NH18" s="57"/>
      <c r="NI18" s="56"/>
      <c r="NJ18" s="57"/>
      <c r="NK18" s="57"/>
      <c r="NL18" s="56"/>
      <c r="NM18" s="57"/>
      <c r="NN18" s="58"/>
      <c r="NO18" s="56"/>
      <c r="NP18" s="57"/>
      <c r="NQ18" s="57"/>
      <c r="NR18" s="57"/>
      <c r="NS18" s="56"/>
      <c r="NT18" s="57"/>
      <c r="NU18" s="57"/>
      <c r="NV18" s="56"/>
      <c r="NW18" s="57"/>
      <c r="NX18" s="58"/>
      <c r="NY18" s="56"/>
      <c r="NZ18" s="57"/>
      <c r="OA18" s="57"/>
      <c r="OB18" s="57"/>
      <c r="OC18" s="56"/>
      <c r="OD18" s="57"/>
      <c r="OE18" s="57"/>
      <c r="OF18" s="58"/>
      <c r="OG18" s="58"/>
      <c r="OH18" s="58"/>
      <c r="OI18" s="56"/>
      <c r="OJ18" s="58"/>
      <c r="OK18" s="58"/>
      <c r="OL18" s="58"/>
      <c r="OM18" s="58"/>
      <c r="ON18" s="58"/>
      <c r="OO18" s="58"/>
      <c r="OP18" s="56"/>
      <c r="OQ18" s="57"/>
      <c r="OR18" s="58"/>
      <c r="OS18" s="56"/>
      <c r="OT18" s="57"/>
      <c r="OU18" s="57"/>
      <c r="OV18" s="57"/>
      <c r="OW18" s="56"/>
      <c r="OX18" s="57"/>
      <c r="OY18" s="57"/>
      <c r="OZ18" s="56"/>
      <c r="PA18" s="57"/>
      <c r="PB18" s="58"/>
      <c r="PC18" s="56"/>
      <c r="PD18" s="57"/>
      <c r="PE18" s="57"/>
      <c r="PF18" s="57"/>
      <c r="PG18" s="56"/>
      <c r="PH18" s="57"/>
      <c r="PI18" s="57"/>
      <c r="PJ18" s="56"/>
      <c r="PK18" s="57"/>
      <c r="PL18" s="58"/>
      <c r="PM18" s="56"/>
      <c r="PN18" s="57"/>
      <c r="PO18" s="57"/>
      <c r="PP18" s="57"/>
      <c r="PQ18" s="56"/>
      <c r="PR18" s="57"/>
      <c r="PS18" s="57"/>
      <c r="PT18" s="56"/>
      <c r="PU18" s="57"/>
      <c r="PV18" s="58"/>
      <c r="PW18" s="56"/>
      <c r="PX18" s="57"/>
      <c r="PY18" s="57"/>
      <c r="PZ18" s="57"/>
      <c r="QA18" s="56"/>
      <c r="QB18" s="57"/>
      <c r="QC18" s="57"/>
      <c r="QD18" s="56"/>
      <c r="QE18" s="57"/>
      <c r="QF18" s="58"/>
      <c r="QG18" s="56"/>
      <c r="QH18" s="57"/>
      <c r="QI18" s="57"/>
      <c r="QJ18" s="57"/>
      <c r="QK18" s="56"/>
      <c r="QL18" s="57"/>
      <c r="QM18" s="57"/>
      <c r="QN18" s="56"/>
      <c r="QO18" s="57"/>
      <c r="QP18" s="58"/>
      <c r="QQ18" s="56"/>
      <c r="QR18" s="57"/>
      <c r="QS18" s="57"/>
      <c r="QT18" s="57"/>
      <c r="QU18" s="56"/>
      <c r="QV18" s="57"/>
      <c r="QW18" s="57"/>
      <c r="QX18" s="56"/>
      <c r="QY18" s="57"/>
      <c r="QZ18" s="58"/>
      <c r="RA18" s="56"/>
      <c r="RB18" s="57"/>
      <c r="RC18" s="57"/>
      <c r="RD18" s="57"/>
      <c r="RE18" s="56"/>
      <c r="RF18" s="57"/>
      <c r="RG18" s="57"/>
      <c r="RH18" s="56"/>
      <c r="RI18" s="57"/>
      <c r="RJ18" s="58"/>
      <c r="RK18" s="56"/>
      <c r="RL18" s="57"/>
      <c r="RM18" s="57"/>
      <c r="RN18" s="57"/>
      <c r="RO18" s="56"/>
      <c r="RP18" s="57"/>
      <c r="RQ18" s="57"/>
      <c r="RR18" s="56"/>
      <c r="RS18" s="57"/>
      <c r="RT18" s="58"/>
      <c r="RU18" s="56"/>
      <c r="RV18" s="57"/>
      <c r="RW18" s="57"/>
      <c r="RX18" s="57"/>
      <c r="RY18" s="56"/>
      <c r="RZ18" s="57"/>
      <c r="SA18" s="57"/>
      <c r="SB18" s="56"/>
      <c r="SC18" s="57"/>
      <c r="SD18" s="58"/>
      <c r="SE18" s="56"/>
      <c r="SF18" s="57"/>
      <c r="SG18" s="57"/>
      <c r="SH18" s="57"/>
      <c r="SI18" s="56"/>
      <c r="SJ18" s="57"/>
      <c r="SK18" s="57"/>
      <c r="SL18" s="56"/>
      <c r="SM18" s="57"/>
      <c r="SN18" s="58"/>
      <c r="SO18" s="56"/>
      <c r="SP18" s="57"/>
      <c r="SQ18" s="57"/>
      <c r="SR18" s="57"/>
      <c r="SS18" s="56"/>
      <c r="ST18" s="57"/>
      <c r="SU18" s="57"/>
      <c r="SV18" s="56"/>
      <c r="SW18" s="57"/>
      <c r="SX18" s="58"/>
      <c r="SY18" s="56"/>
      <c r="SZ18" s="57"/>
      <c r="TA18" s="57"/>
      <c r="TB18" s="57"/>
      <c r="TC18" s="56"/>
      <c r="TD18" s="57"/>
      <c r="TE18" s="57"/>
      <c r="TF18" s="56"/>
      <c r="TG18" s="57"/>
      <c r="TH18" s="58"/>
      <c r="TI18" s="56"/>
      <c r="TJ18" s="57"/>
      <c r="TK18" s="57"/>
      <c r="TL18" s="57"/>
      <c r="TM18" s="56"/>
      <c r="TN18" s="57"/>
      <c r="TO18" s="57"/>
      <c r="TP18" s="56"/>
      <c r="TQ18" s="57"/>
      <c r="TR18" s="58"/>
      <c r="TS18" s="56"/>
      <c r="TT18" s="57"/>
      <c r="TU18" s="57"/>
      <c r="TV18" s="57"/>
      <c r="TW18" s="56"/>
      <c r="TX18" s="57"/>
      <c r="TY18" s="57"/>
      <c r="TZ18" s="56"/>
      <c r="UA18" s="57"/>
      <c r="UB18" s="58"/>
      <c r="UC18" s="56"/>
      <c r="UD18" s="57"/>
      <c r="UE18" s="57"/>
      <c r="UF18" s="57"/>
      <c r="UG18" s="56"/>
      <c r="UH18" s="57"/>
      <c r="UI18" s="57"/>
      <c r="UJ18" s="56"/>
      <c r="UK18" s="57"/>
      <c r="UL18" s="58"/>
      <c r="UM18" s="56"/>
      <c r="UN18" s="57"/>
      <c r="UO18" s="57"/>
      <c r="UP18" s="57"/>
      <c r="UQ18" s="56"/>
      <c r="UR18" s="57"/>
      <c r="US18" s="57"/>
      <c r="UT18" s="56"/>
      <c r="UU18" s="57"/>
      <c r="UV18" s="58"/>
      <c r="UW18" s="56"/>
      <c r="UX18" s="57"/>
      <c r="UY18" s="57"/>
      <c r="UZ18" s="57"/>
      <c r="VA18" s="56"/>
      <c r="VB18" s="57"/>
      <c r="VC18" s="57"/>
      <c r="VD18" s="56"/>
      <c r="VE18" s="57"/>
      <c r="VF18" s="58"/>
      <c r="VG18" s="56"/>
      <c r="VH18" s="57"/>
      <c r="VI18" s="57"/>
      <c r="VJ18" s="57"/>
      <c r="VK18" s="56"/>
      <c r="VL18" s="57"/>
      <c r="VM18" s="57"/>
      <c r="VN18" s="56"/>
      <c r="VO18" s="57"/>
      <c r="VP18" s="58"/>
      <c r="VQ18" s="56"/>
      <c r="VR18" s="57"/>
      <c r="VS18" s="57"/>
      <c r="VT18" s="57"/>
      <c r="VU18" s="56"/>
      <c r="VV18" s="57"/>
      <c r="VW18" s="57"/>
      <c r="VX18" s="56"/>
      <c r="VY18" s="57"/>
      <c r="VZ18" s="58"/>
      <c r="WA18" s="56"/>
      <c r="WB18" s="57"/>
      <c r="WC18" s="57"/>
      <c r="WD18" s="57"/>
      <c r="WE18" s="56"/>
      <c r="WF18" s="57"/>
      <c r="WG18" s="57"/>
      <c r="WH18" s="56"/>
      <c r="WI18" s="57"/>
      <c r="WJ18" s="58"/>
      <c r="WK18" s="56"/>
      <c r="WL18" s="57"/>
      <c r="WM18" s="57"/>
      <c r="WN18" s="57"/>
      <c r="WO18" s="56"/>
      <c r="WP18" s="57"/>
      <c r="WQ18" s="57"/>
      <c r="WR18" s="56"/>
      <c r="WS18" s="57"/>
      <c r="WT18" s="58"/>
      <c r="WU18" s="56"/>
      <c r="WV18" s="57"/>
      <c r="WW18" s="57"/>
      <c r="WX18" s="57"/>
      <c r="WY18" s="56"/>
      <c r="WZ18" s="57"/>
      <c r="XA18" s="57"/>
      <c r="XB18" s="56"/>
      <c r="XC18" s="57"/>
      <c r="XD18" s="58"/>
      <c r="XE18" s="56"/>
      <c r="XF18" s="57"/>
      <c r="XG18" s="57"/>
      <c r="XH18" s="57"/>
      <c r="XI18" s="56"/>
      <c r="XJ18" s="57"/>
      <c r="XK18" s="57"/>
      <c r="XL18" s="56"/>
      <c r="XM18" s="57"/>
      <c r="XN18" s="58"/>
      <c r="XO18" s="56"/>
      <c r="XP18" s="57"/>
      <c r="XQ18" s="57"/>
      <c r="XR18" s="57"/>
      <c r="XS18" s="56"/>
      <c r="XT18" s="57"/>
      <c r="XU18" s="57"/>
      <c r="XV18" s="56"/>
      <c r="XW18" s="57"/>
      <c r="XX18" s="58"/>
      <c r="XY18" s="56"/>
      <c r="XZ18" s="57"/>
      <c r="YA18" s="57"/>
      <c r="YB18" s="57"/>
      <c r="YC18" s="56"/>
      <c r="YD18" s="57"/>
      <c r="YE18" s="57"/>
      <c r="YF18" s="56"/>
      <c r="YG18" s="57"/>
      <c r="YH18" s="58"/>
      <c r="YI18" s="56"/>
      <c r="YJ18" s="57"/>
      <c r="YK18" s="57"/>
      <c r="YL18" s="57"/>
      <c r="YM18" s="56"/>
      <c r="YN18" s="57"/>
      <c r="YO18" s="57"/>
      <c r="YP18" s="56"/>
      <c r="YQ18" s="57"/>
      <c r="YR18" s="58"/>
      <c r="YS18" s="56"/>
      <c r="YT18" s="57"/>
      <c r="YU18" s="57"/>
      <c r="YV18" s="57"/>
      <c r="YW18" s="56"/>
      <c r="YX18" s="57"/>
      <c r="YY18" s="57"/>
      <c r="YZ18" s="56"/>
      <c r="ZA18" s="57"/>
      <c r="ZB18" s="58"/>
      <c r="ZC18" s="56"/>
      <c r="ZD18" s="57"/>
      <c r="ZE18" s="57"/>
      <c r="ZF18" s="57"/>
      <c r="ZG18" s="56"/>
      <c r="ZH18" s="57"/>
      <c r="ZI18" s="57"/>
      <c r="ZJ18" s="56"/>
      <c r="ZK18" s="57"/>
      <c r="ZL18" s="58"/>
      <c r="ZM18" s="56"/>
      <c r="ZN18" s="57"/>
      <c r="ZO18" s="57"/>
      <c r="ZP18" s="57"/>
      <c r="ZQ18" s="56"/>
      <c r="ZR18" s="57"/>
      <c r="ZS18" s="57"/>
      <c r="ZT18" s="56"/>
      <c r="ZU18" s="57"/>
      <c r="ZV18" s="58"/>
      <c r="ZW18" s="56"/>
      <c r="ZX18" s="57"/>
      <c r="ZY18" s="57"/>
      <c r="ZZ18" s="57"/>
      <c r="AAA18" s="56"/>
      <c r="AAB18" s="57"/>
      <c r="AAC18" s="57"/>
      <c r="AAD18" s="56"/>
      <c r="AAE18" s="57"/>
      <c r="AAF18" s="58"/>
      <c r="AAG18" s="56"/>
      <c r="AAH18" s="57"/>
      <c r="AAI18" s="57"/>
      <c r="AAJ18" s="57"/>
      <c r="AAK18" s="56"/>
      <c r="AAL18" s="57"/>
      <c r="AAM18" s="57"/>
      <c r="AAN18" s="56"/>
      <c r="AAO18" s="57"/>
      <c r="AAP18" s="58"/>
      <c r="AAQ18" s="56"/>
      <c r="AAR18" s="57"/>
      <c r="AAS18" s="57"/>
      <c r="AAT18" s="57"/>
      <c r="AAU18" s="56"/>
      <c r="AAV18" s="57"/>
      <c r="AAW18" s="57"/>
      <c r="AAX18" s="58"/>
      <c r="AAY18" s="58"/>
      <c r="AAZ18" s="58"/>
      <c r="ABA18" s="56"/>
      <c r="ABB18" s="58"/>
      <c r="ABC18" s="58"/>
      <c r="ABD18" s="58"/>
      <c r="ABE18" s="58"/>
      <c r="ABF18" s="58"/>
      <c r="ABG18" s="57"/>
      <c r="ABH18" s="56"/>
      <c r="ABI18" s="57"/>
      <c r="ABJ18" s="58"/>
      <c r="ABK18" s="56"/>
      <c r="ABL18" s="57"/>
      <c r="ABM18" s="57"/>
      <c r="ABN18" s="57"/>
      <c r="ABO18" s="56"/>
      <c r="ABP18" s="57"/>
      <c r="ABQ18" s="57"/>
      <c r="ABR18" s="56"/>
      <c r="ABS18" s="57"/>
      <c r="ABT18" s="58"/>
      <c r="ABU18" s="56"/>
      <c r="ABV18" s="57"/>
      <c r="ABW18" s="57"/>
      <c r="ABX18" s="57"/>
      <c r="ABY18" s="56"/>
      <c r="ABZ18" s="57"/>
      <c r="ACA18" s="57"/>
      <c r="ACB18" s="56"/>
      <c r="ACC18" s="57"/>
      <c r="ACD18" s="58"/>
      <c r="ACE18" s="56"/>
      <c r="ACF18" s="57"/>
      <c r="ACG18" s="57"/>
      <c r="ACH18" s="57"/>
      <c r="ACI18" s="56"/>
      <c r="ACJ18" s="57"/>
      <c r="ACK18" s="57"/>
      <c r="ACL18" s="56"/>
      <c r="ACM18" s="57"/>
      <c r="ACN18" s="58"/>
      <c r="ACO18" s="56"/>
      <c r="ACP18" s="57"/>
      <c r="ACQ18" s="57"/>
      <c r="ACR18" s="57"/>
      <c r="ACS18" s="56"/>
      <c r="ACT18" s="57"/>
      <c r="ACU18" s="57"/>
      <c r="ACV18" s="56"/>
      <c r="ACW18" s="57"/>
      <c r="ACX18" s="58"/>
      <c r="ACY18" s="56"/>
      <c r="ACZ18" s="57"/>
      <c r="ADA18" s="57"/>
      <c r="ADB18" s="57"/>
      <c r="ADC18" s="56"/>
      <c r="ADD18" s="57"/>
      <c r="ADE18" s="57"/>
      <c r="ADF18" s="56"/>
      <c r="ADG18" s="57"/>
      <c r="ADH18" s="58"/>
      <c r="ADI18" s="56"/>
      <c r="ADJ18" s="57"/>
      <c r="ADK18" s="57"/>
      <c r="ADL18" s="57"/>
      <c r="ADM18" s="56"/>
      <c r="ADN18" s="57"/>
      <c r="ADO18" s="57"/>
      <c r="ADP18" s="56"/>
      <c r="ADQ18" s="57"/>
      <c r="ADR18" s="58"/>
      <c r="ADS18" s="56"/>
      <c r="ADT18" s="57"/>
      <c r="ADU18" s="57"/>
      <c r="ADV18" s="57"/>
      <c r="ADW18" s="56"/>
      <c r="ADX18" s="57"/>
      <c r="ADY18" s="57"/>
      <c r="ADZ18" s="56"/>
      <c r="AEA18" s="57"/>
      <c r="AEB18" s="58"/>
      <c r="AEC18" s="56"/>
      <c r="AED18" s="57"/>
      <c r="AEE18" s="57"/>
      <c r="AEF18" s="57"/>
      <c r="AEG18" s="56"/>
      <c r="AEH18" s="57"/>
      <c r="AEI18" s="57"/>
      <c r="AEJ18" s="56"/>
      <c r="AEK18" s="57"/>
      <c r="AEL18" s="58"/>
      <c r="AEM18" s="56"/>
      <c r="AEN18" s="57"/>
      <c r="AEO18" s="57"/>
      <c r="AEP18" s="57"/>
      <c r="AEQ18" s="56"/>
      <c r="AER18" s="57"/>
      <c r="AES18" s="57"/>
      <c r="AET18" s="56"/>
      <c r="AEU18" s="57"/>
      <c r="AEV18" s="58"/>
      <c r="AEW18" s="56"/>
      <c r="AEX18" s="57"/>
      <c r="AEY18" s="57"/>
      <c r="AEZ18" s="57"/>
      <c r="AFA18" s="56"/>
      <c r="AFB18" s="57"/>
      <c r="AFC18" s="57"/>
      <c r="AFD18" s="56"/>
      <c r="AFE18" s="57"/>
      <c r="AFF18" s="58"/>
      <c r="AFG18" s="56"/>
      <c r="AFH18" s="57"/>
      <c r="AFI18" s="57"/>
      <c r="AFJ18" s="57"/>
      <c r="AFK18" s="56"/>
      <c r="AFL18" s="57"/>
      <c r="AFM18" s="57"/>
      <c r="AFN18" s="56"/>
      <c r="AFO18" s="57"/>
      <c r="AFP18" s="58"/>
      <c r="AFQ18" s="56"/>
      <c r="AFR18" s="57"/>
      <c r="AFS18" s="57"/>
      <c r="AFT18" s="57"/>
      <c r="AFU18" s="56"/>
      <c r="AFV18" s="57"/>
      <c r="AFW18" s="57"/>
      <c r="AFX18" s="56"/>
      <c r="AFY18" s="57"/>
      <c r="AFZ18" s="58"/>
      <c r="AGA18" s="56"/>
      <c r="AGB18" s="57"/>
      <c r="AGC18" s="57"/>
      <c r="AGD18" s="57"/>
      <c r="AGE18" s="56"/>
      <c r="AGF18" s="57"/>
      <c r="AGG18" s="57"/>
      <c r="AGH18" s="56"/>
      <c r="AGI18" s="57"/>
      <c r="AGJ18" s="58"/>
      <c r="AGK18" s="56"/>
      <c r="AGL18" s="57"/>
      <c r="AGM18" s="57"/>
      <c r="AGN18" s="57"/>
      <c r="AGO18" s="56"/>
      <c r="AGP18" s="57"/>
      <c r="AGQ18" s="57"/>
      <c r="AGR18" s="56"/>
      <c r="AGS18" s="57"/>
      <c r="AGT18" s="58"/>
      <c r="AGU18" s="56"/>
      <c r="AGV18" s="57"/>
      <c r="AGW18" s="57"/>
      <c r="AGX18" s="57"/>
      <c r="AGY18" s="56"/>
      <c r="AGZ18" s="57"/>
      <c r="AHA18" s="57"/>
      <c r="AHB18" s="56"/>
      <c r="AHC18" s="57"/>
      <c r="AHD18" s="58"/>
      <c r="AHE18" s="56"/>
      <c r="AHF18" s="57"/>
      <c r="AHG18" s="57"/>
      <c r="AHH18" s="57"/>
      <c r="AHI18" s="56"/>
      <c r="AHJ18" s="57"/>
      <c r="AHK18" s="57"/>
      <c r="AHL18" s="56"/>
      <c r="AHM18" s="57"/>
      <c r="AHN18" s="58"/>
      <c r="AHO18" s="56"/>
      <c r="AHP18" s="57"/>
      <c r="AHQ18" s="57"/>
      <c r="AHR18" s="57"/>
      <c r="AHS18" s="56"/>
      <c r="AHT18" s="57"/>
      <c r="AHU18" s="57"/>
      <c r="AHV18" s="56"/>
      <c r="AHW18" s="57"/>
      <c r="AHX18" s="58"/>
      <c r="AHY18" s="56"/>
      <c r="AHZ18" s="57"/>
      <c r="AIA18" s="57"/>
      <c r="AIB18" s="57"/>
      <c r="AIC18" s="56"/>
      <c r="AID18" s="57"/>
      <c r="AIE18" s="57"/>
      <c r="AIF18" s="56"/>
      <c r="AIG18" s="57"/>
      <c r="AIH18" s="58"/>
      <c r="AII18" s="56"/>
      <c r="AIJ18" s="57"/>
      <c r="AIK18" s="57"/>
      <c r="AIL18" s="57"/>
      <c r="AIM18" s="56"/>
      <c r="AIN18" s="57"/>
      <c r="AIO18" s="57"/>
      <c r="AIP18" s="56"/>
      <c r="AIQ18" s="57"/>
      <c r="AIR18" s="58"/>
      <c r="AIS18" s="56"/>
      <c r="AIT18" s="57"/>
      <c r="AIU18" s="57"/>
      <c r="AIV18" s="57"/>
      <c r="AIW18" s="56"/>
      <c r="AIX18" s="57"/>
      <c r="AIY18" s="57"/>
      <c r="AIZ18" s="56"/>
      <c r="AJA18" s="57"/>
      <c r="AJB18" s="58"/>
      <c r="AJC18" s="56"/>
      <c r="AJD18" s="57"/>
      <c r="AJE18" s="57"/>
      <c r="AJF18" s="57"/>
      <c r="AJG18" s="56"/>
      <c r="AJH18" s="57"/>
      <c r="AJI18" s="57"/>
      <c r="AJJ18" s="56"/>
      <c r="AJK18" s="57"/>
      <c r="AJL18" s="58"/>
      <c r="AJM18" s="56"/>
      <c r="AJN18" s="57"/>
      <c r="AJO18" s="57"/>
      <c r="AJP18" s="57"/>
      <c r="AJQ18" s="56"/>
      <c r="AJR18" s="57"/>
      <c r="AJS18" s="57"/>
      <c r="AJT18" s="56"/>
      <c r="AJU18" s="57"/>
      <c r="AJV18" s="58"/>
      <c r="AJW18" s="56"/>
      <c r="AJX18" s="57"/>
      <c r="AJY18" s="57"/>
      <c r="AJZ18" s="57"/>
      <c r="AKA18" s="56"/>
      <c r="AKB18" s="57"/>
      <c r="AKC18" s="57"/>
      <c r="AKD18" s="56"/>
      <c r="AKE18" s="57"/>
      <c r="AKF18" s="58"/>
      <c r="AKG18" s="56"/>
      <c r="AKH18" s="57"/>
      <c r="AKI18" s="57"/>
      <c r="AKJ18" s="57"/>
      <c r="AKK18" s="56"/>
      <c r="AKL18" s="57"/>
      <c r="AKM18" s="57"/>
      <c r="AKN18" s="56"/>
      <c r="AKO18" s="57"/>
      <c r="AKP18" s="58"/>
      <c r="AKQ18" s="56"/>
      <c r="AKR18" s="57"/>
      <c r="AKS18" s="57"/>
      <c r="AKT18" s="57"/>
      <c r="AKU18" s="56"/>
      <c r="AKV18" s="57"/>
      <c r="AKW18" s="57"/>
      <c r="AKX18" s="56"/>
      <c r="AKY18" s="57"/>
      <c r="AKZ18" s="58"/>
      <c r="ALA18" s="56"/>
      <c r="ALB18" s="57"/>
      <c r="ALC18" s="57"/>
      <c r="ALD18" s="57"/>
      <c r="ALE18" s="56"/>
      <c r="ALF18" s="57"/>
      <c r="ALG18" s="57"/>
      <c r="ALH18" s="57"/>
      <c r="ALI18" s="57"/>
      <c r="ALJ18" s="57"/>
      <c r="ALK18" s="56"/>
      <c r="ALL18" s="57"/>
      <c r="ALM18" s="57"/>
      <c r="ALN18" s="56"/>
      <c r="ALO18" s="57"/>
      <c r="ALP18" s="58"/>
      <c r="ALQ18" s="56"/>
      <c r="ALR18" s="57"/>
      <c r="ALS18" s="57"/>
      <c r="ALT18" s="57"/>
      <c r="ALU18" s="56"/>
      <c r="ALV18" s="57"/>
      <c r="ALW18" s="57"/>
      <c r="ALX18" s="56"/>
      <c r="ALY18" s="57"/>
      <c r="ALZ18" s="58"/>
      <c r="AMA18" s="56"/>
      <c r="AMB18" s="57"/>
      <c r="AMC18" s="57"/>
      <c r="AMD18" s="57"/>
      <c r="AME18" s="56"/>
      <c r="AMF18" s="57"/>
      <c r="AMG18" s="57"/>
      <c r="AMH18" s="57"/>
      <c r="AMI18" s="57"/>
      <c r="AMJ18" s="57"/>
      <c r="AMK18" s="56"/>
      <c r="AML18" s="57"/>
      <c r="AMM18" s="57"/>
      <c r="AMN18" s="56"/>
      <c r="AMO18" s="57"/>
      <c r="AMP18" s="58"/>
      <c r="AMQ18" s="56"/>
      <c r="AMR18" s="57"/>
      <c r="AMS18" s="57"/>
      <c r="AMT18" s="57"/>
      <c r="AMU18" s="56"/>
      <c r="AMV18" s="57"/>
      <c r="AMW18" s="57"/>
      <c r="AMX18" s="56"/>
      <c r="AMY18" s="57"/>
      <c r="AMZ18" s="58"/>
      <c r="ANA18" s="56"/>
      <c r="ANB18" s="57"/>
      <c r="ANC18" s="57"/>
      <c r="AND18" s="57"/>
      <c r="ANE18" s="56"/>
      <c r="ANF18" s="57"/>
      <c r="ANG18" s="57"/>
      <c r="ANH18" s="57"/>
      <c r="ANI18" s="57"/>
      <c r="ANJ18" s="57"/>
      <c r="ANK18" s="56"/>
      <c r="ANL18" s="57"/>
      <c r="ANM18" s="57"/>
      <c r="ANN18" s="56"/>
      <c r="ANO18" s="57"/>
      <c r="ANP18" s="58"/>
      <c r="ANQ18" s="56"/>
      <c r="ANR18" s="57"/>
      <c r="ANS18" s="57"/>
      <c r="ANT18" s="57"/>
      <c r="ANU18" s="56"/>
      <c r="ANV18" s="57"/>
      <c r="ANW18" s="57"/>
      <c r="ANX18" s="56"/>
      <c r="ANY18" s="57"/>
      <c r="ANZ18" s="58"/>
      <c r="AOA18" s="56"/>
      <c r="AOB18" s="57"/>
      <c r="AOC18" s="57"/>
      <c r="AOD18" s="57"/>
      <c r="AOE18" s="56"/>
      <c r="AOF18" s="57"/>
      <c r="AOG18" s="57"/>
      <c r="AOH18" s="57"/>
      <c r="AOI18" s="57"/>
      <c r="AOJ18" s="57"/>
      <c r="AOK18" s="56"/>
      <c r="AOL18" s="57"/>
      <c r="AOM18" s="57"/>
      <c r="AON18" s="56"/>
      <c r="AOO18" s="57"/>
      <c r="AOP18" s="58"/>
      <c r="AOQ18" s="56"/>
      <c r="AOR18" s="57"/>
      <c r="AOS18" s="57"/>
      <c r="AOT18" s="57"/>
      <c r="AOU18" s="56"/>
      <c r="AOV18" s="57"/>
      <c r="AOW18" s="57"/>
      <c r="AOX18" s="56"/>
      <c r="AOY18" s="57"/>
      <c r="AOZ18" s="58"/>
      <c r="APA18" s="56"/>
      <c r="APB18" s="57"/>
      <c r="APC18" s="57"/>
      <c r="APD18" s="57"/>
      <c r="APE18" s="56"/>
      <c r="APF18" s="57"/>
      <c r="APG18" s="57"/>
      <c r="APH18" s="57"/>
      <c r="API18" s="57"/>
      <c r="APJ18" s="57"/>
      <c r="APK18" s="56"/>
      <c r="APL18" s="57"/>
      <c r="APM18" s="57"/>
      <c r="APN18" s="56"/>
      <c r="APO18" s="57"/>
      <c r="APP18" s="58"/>
      <c r="APQ18" s="56"/>
      <c r="APR18" s="57"/>
      <c r="APS18" s="57"/>
      <c r="APT18" s="57"/>
      <c r="APU18" s="56"/>
      <c r="APV18" s="57"/>
      <c r="APW18" s="57"/>
      <c r="APX18" s="56"/>
      <c r="APY18" s="57"/>
      <c r="APZ18" s="58"/>
      <c r="AQA18" s="56"/>
      <c r="AQB18" s="57"/>
      <c r="AQC18" s="57"/>
      <c r="AQD18" s="57"/>
      <c r="AQE18" s="56"/>
      <c r="AQF18" s="57"/>
      <c r="AQG18" s="57"/>
      <c r="AQH18" s="57"/>
      <c r="AQI18" s="57"/>
      <c r="AQJ18" s="57"/>
      <c r="AQK18" s="56"/>
      <c r="AQL18" s="57"/>
      <c r="AQM18" s="57"/>
      <c r="AQN18" s="56"/>
      <c r="AQO18" s="57"/>
      <c r="AQP18" s="58"/>
      <c r="AQQ18" s="56"/>
      <c r="AQR18" s="57"/>
      <c r="AQS18" s="57"/>
      <c r="AQT18" s="57"/>
      <c r="AQU18" s="56"/>
      <c r="AQV18" s="57"/>
      <c r="AQW18" s="57"/>
      <c r="AQX18" s="56"/>
      <c r="AQY18" s="57"/>
      <c r="AQZ18" s="58"/>
      <c r="ARA18" s="56"/>
      <c r="ARB18" s="57"/>
      <c r="ARC18" s="57"/>
      <c r="ARD18" s="57"/>
      <c r="ARE18" s="56"/>
      <c r="ARF18" s="57"/>
      <c r="ARG18" s="57"/>
      <c r="ARH18" s="57"/>
      <c r="ARI18" s="57"/>
      <c r="ARJ18" s="57"/>
      <c r="ARK18" s="56"/>
      <c r="ARL18" s="57"/>
      <c r="ARM18" s="57"/>
      <c r="ARN18" s="56"/>
      <c r="ARO18" s="57"/>
      <c r="ARP18" s="58"/>
      <c r="ARQ18" s="56"/>
      <c r="ARR18" s="57"/>
      <c r="ARS18" s="57"/>
      <c r="ART18" s="57"/>
      <c r="ARU18" s="56"/>
      <c r="ARV18" s="57"/>
      <c r="ARW18" s="57"/>
      <c r="ARX18" s="56"/>
      <c r="ARY18" s="57"/>
      <c r="ARZ18" s="58"/>
      <c r="ASA18" s="56"/>
      <c r="ASB18" s="57"/>
      <c r="ASC18" s="57"/>
      <c r="ASD18" s="57"/>
      <c r="ASE18" s="56"/>
      <c r="ASF18" s="57"/>
      <c r="ASG18" s="57"/>
      <c r="ASH18" s="57"/>
      <c r="ASI18" s="57"/>
      <c r="ASJ18" s="57"/>
      <c r="ASK18" s="56"/>
      <c r="ASL18" s="57"/>
      <c r="ASM18" s="57"/>
      <c r="ASN18" s="56"/>
      <c r="ASO18" s="57"/>
      <c r="ASP18" s="58"/>
      <c r="ASQ18" s="56"/>
      <c r="ASR18" s="57"/>
      <c r="ASS18" s="57"/>
      <c r="AST18" s="57"/>
      <c r="ASU18" s="56"/>
      <c r="ASV18" s="57"/>
      <c r="ASW18" s="57"/>
      <c r="ASX18" s="56"/>
      <c r="ASY18" s="57"/>
      <c r="ASZ18" s="58"/>
      <c r="ATA18" s="56"/>
      <c r="ATB18" s="57"/>
      <c r="ATC18" s="57"/>
      <c r="ATD18" s="57"/>
      <c r="ATE18" s="56"/>
      <c r="ATF18" s="57"/>
      <c r="ATG18" s="57"/>
      <c r="ATH18" s="57"/>
      <c r="ATI18" s="57"/>
      <c r="ATJ18" s="57"/>
      <c r="ATK18" s="56"/>
      <c r="ATL18" s="57"/>
      <c r="ATM18" s="57"/>
      <c r="ATN18" s="56"/>
      <c r="ATO18" s="57"/>
      <c r="ATP18" s="58"/>
      <c r="ATQ18" s="56"/>
      <c r="ATR18" s="57"/>
      <c r="ATS18" s="57"/>
      <c r="ATT18" s="57"/>
      <c r="ATU18" s="56"/>
      <c r="ATV18" s="57"/>
      <c r="ATW18" s="57"/>
      <c r="ATX18" s="56"/>
      <c r="ATY18" s="57"/>
      <c r="ATZ18" s="58"/>
      <c r="AUA18" s="56"/>
      <c r="AUB18" s="57"/>
      <c r="AUC18" s="57"/>
      <c r="AUD18" s="57"/>
      <c r="AUE18" s="56"/>
      <c r="AUF18" s="57"/>
      <c r="AUG18" s="57"/>
      <c r="AUH18" s="57"/>
      <c r="AUI18" s="57"/>
      <c r="AUJ18" s="57"/>
      <c r="AUK18" s="56"/>
      <c r="AUL18" s="57"/>
      <c r="AUM18" s="57"/>
      <c r="AUN18" s="56"/>
      <c r="AUO18" s="57"/>
      <c r="AUP18" s="58"/>
      <c r="AUQ18" s="56"/>
      <c r="AUR18" s="57"/>
      <c r="AUS18" s="57"/>
      <c r="AUT18" s="57"/>
      <c r="AUU18" s="56"/>
      <c r="AUV18" s="57"/>
      <c r="AUW18" s="57"/>
      <c r="AUX18" s="56"/>
      <c r="AUY18" s="57"/>
      <c r="AUZ18" s="58"/>
      <c r="AVA18" s="56"/>
      <c r="AVB18" s="57"/>
      <c r="AVC18" s="57"/>
      <c r="AVD18" s="57"/>
      <c r="AVE18" s="56"/>
      <c r="AVF18" s="57"/>
      <c r="AVG18" s="57"/>
      <c r="AVH18" s="57"/>
      <c r="AVI18" s="57"/>
      <c r="AVJ18" s="57"/>
      <c r="AVK18" s="56"/>
      <c r="AVL18" s="57"/>
      <c r="AVM18" s="57"/>
      <c r="AVN18" s="56"/>
      <c r="AVO18" s="57"/>
      <c r="AVP18" s="58"/>
      <c r="AVQ18" s="56"/>
      <c r="AVR18" s="57"/>
      <c r="AVS18" s="57"/>
      <c r="AVT18" s="57"/>
      <c r="AVU18" s="56"/>
      <c r="AVV18" s="57"/>
      <c r="AVW18" s="57"/>
      <c r="AVX18" s="56"/>
      <c r="AVY18" s="57"/>
      <c r="AVZ18" s="58"/>
      <c r="AWA18" s="56"/>
      <c r="AWB18" s="57"/>
      <c r="AWC18" s="57"/>
      <c r="AWD18" s="57"/>
      <c r="AWE18" s="56"/>
      <c r="AWF18" s="57"/>
      <c r="AWG18" s="57"/>
      <c r="AWH18" s="57"/>
      <c r="AWI18" s="57"/>
      <c r="AWJ18" s="57"/>
      <c r="AWK18" s="56"/>
      <c r="AWL18" s="57"/>
      <c r="AWM18" s="57"/>
      <c r="AWN18" s="56"/>
      <c r="AWO18" s="57"/>
      <c r="AWP18" s="58"/>
      <c r="AWQ18" s="56"/>
      <c r="AWR18" s="57"/>
      <c r="AWS18" s="57"/>
      <c r="AWT18" s="57"/>
      <c r="AWU18" s="56"/>
      <c r="AWV18" s="57"/>
      <c r="AWW18" s="57"/>
      <c r="AWX18" s="56"/>
      <c r="AWY18" s="57"/>
      <c r="AWZ18" s="58"/>
      <c r="AXA18" s="56"/>
      <c r="AXB18" s="57"/>
      <c r="AXC18" s="57"/>
      <c r="AXD18" s="57"/>
      <c r="AXE18" s="56"/>
      <c r="AXF18" s="57"/>
      <c r="AXG18" s="57"/>
      <c r="AXH18" s="57"/>
      <c r="AXI18" s="57"/>
      <c r="AXJ18" s="57"/>
      <c r="AXK18" s="56"/>
      <c r="AXL18" s="57"/>
      <c r="AXM18" s="57"/>
      <c r="AXN18" s="56"/>
      <c r="AXO18" s="57"/>
      <c r="AXP18" s="58"/>
      <c r="AXQ18" s="56"/>
      <c r="AXR18" s="57"/>
      <c r="AXS18" s="57"/>
      <c r="AXT18" s="57"/>
      <c r="AXU18" s="56"/>
      <c r="AXV18" s="57"/>
      <c r="AXW18" s="57"/>
      <c r="AXX18" s="56"/>
      <c r="AXY18" s="57"/>
      <c r="AXZ18" s="58"/>
      <c r="AYA18" s="56"/>
      <c r="AYB18" s="57"/>
      <c r="AYC18" s="57"/>
      <c r="AYD18" s="57"/>
      <c r="AYE18" s="56"/>
      <c r="AYF18" s="57"/>
      <c r="AYG18" s="57"/>
      <c r="AYH18" s="57"/>
      <c r="AYI18" s="57"/>
      <c r="AYJ18" s="57"/>
      <c r="AYK18" s="56"/>
      <c r="AYL18" s="57"/>
      <c r="AYM18" s="57"/>
      <c r="AYN18" s="56"/>
      <c r="AYO18" s="57"/>
      <c r="AYP18" s="58"/>
      <c r="AYQ18" s="56"/>
      <c r="AYR18" s="57"/>
      <c r="AYS18" s="57"/>
      <c r="AYT18" s="57"/>
      <c r="AYU18" s="56"/>
      <c r="AYV18" s="57"/>
      <c r="AYW18" s="57"/>
      <c r="AYX18" s="56"/>
      <c r="AYY18" s="57"/>
      <c r="AYZ18" s="58"/>
      <c r="AZA18" s="56"/>
      <c r="AZB18" s="57"/>
      <c r="AZC18" s="57"/>
      <c r="AZD18" s="57"/>
      <c r="AZE18" s="56"/>
      <c r="AZF18" s="57"/>
      <c r="AZG18" s="57"/>
      <c r="AZH18" s="57"/>
      <c r="AZI18" s="57"/>
      <c r="AZJ18" s="57"/>
      <c r="AZK18" s="56"/>
      <c r="AZL18" s="57"/>
      <c r="AZM18" s="57"/>
      <c r="AZN18" s="56"/>
      <c r="AZO18" s="57"/>
      <c r="AZP18" s="58"/>
      <c r="AZQ18" s="56"/>
      <c r="AZR18" s="57"/>
      <c r="AZS18" s="57"/>
      <c r="AZT18" s="57"/>
      <c r="AZU18" s="56"/>
      <c r="AZV18" s="57"/>
      <c r="AZW18" s="57"/>
      <c r="AZX18" s="56"/>
      <c r="AZY18" s="57"/>
      <c r="AZZ18" s="58"/>
      <c r="BAA18" s="56"/>
      <c r="BAB18" s="57"/>
      <c r="BAC18" s="57"/>
      <c r="BAD18" s="57"/>
      <c r="BAE18" s="56"/>
      <c r="BAF18" s="57"/>
      <c r="BAG18" s="57"/>
      <c r="BAH18" s="57"/>
      <c r="BAI18" s="57"/>
      <c r="BAJ18" s="57"/>
      <c r="BAK18" s="56"/>
      <c r="BAL18" s="57"/>
      <c r="BAM18" s="57"/>
      <c r="BAN18" s="56"/>
      <c r="BAO18" s="57"/>
      <c r="BAP18" s="58"/>
      <c r="BAQ18" s="56"/>
      <c r="BAR18" s="57"/>
      <c r="BAS18" s="57"/>
      <c r="BAT18" s="57"/>
      <c r="BAU18" s="56"/>
      <c r="BAV18" s="57"/>
      <c r="BAW18" s="57"/>
      <c r="BAX18" s="56"/>
      <c r="BAY18" s="57"/>
      <c r="BAZ18" s="58"/>
      <c r="BBA18" s="56"/>
      <c r="BBB18" s="57"/>
      <c r="BBC18" s="57"/>
      <c r="BBD18" s="57"/>
      <c r="BBE18" s="56"/>
      <c r="BBF18" s="57"/>
      <c r="BBG18" s="57"/>
      <c r="BBH18" s="57"/>
      <c r="BBI18" s="57"/>
      <c r="BBJ18" s="57"/>
      <c r="BBK18" s="56"/>
      <c r="BBL18" s="57"/>
      <c r="BBM18" s="57"/>
      <c r="BBN18" s="56"/>
      <c r="BBO18" s="57"/>
      <c r="BBP18" s="58"/>
      <c r="BBQ18" s="56"/>
      <c r="BBR18" s="57"/>
      <c r="BBS18" s="57"/>
      <c r="BBT18" s="57"/>
      <c r="BBU18" s="56"/>
      <c r="BBV18" s="57"/>
      <c r="BBW18" s="57"/>
      <c r="BBX18" s="56"/>
      <c r="BBY18" s="57"/>
      <c r="BBZ18" s="58"/>
      <c r="BCA18" s="56"/>
      <c r="BCB18" s="57"/>
      <c r="BCC18" s="57"/>
      <c r="BCD18" s="57"/>
      <c r="BCE18" s="56"/>
      <c r="BCF18" s="57"/>
      <c r="BCG18" s="57"/>
      <c r="BCH18" s="57"/>
      <c r="BCI18" s="57"/>
      <c r="BCJ18" s="57"/>
      <c r="BCK18" s="56"/>
      <c r="BCL18" s="57"/>
      <c r="BCM18" s="57"/>
      <c r="BCN18" s="56"/>
      <c r="BCO18" s="57"/>
      <c r="BCP18" s="58"/>
      <c r="BCQ18" s="56"/>
      <c r="BCR18" s="57"/>
      <c r="BCS18" s="57"/>
      <c r="BCT18" s="57"/>
      <c r="BCU18" s="56"/>
      <c r="BCV18" s="57"/>
      <c r="BCW18" s="57"/>
      <c r="BCX18" s="56"/>
      <c r="BCY18" s="57"/>
      <c r="BCZ18" s="58"/>
      <c r="BDA18" s="56"/>
      <c r="BDB18" s="57"/>
      <c r="BDC18" s="57"/>
      <c r="BDD18" s="57"/>
      <c r="BDE18" s="56"/>
      <c r="BDF18" s="57"/>
      <c r="BDG18" s="57"/>
      <c r="BDH18" s="57"/>
      <c r="BDI18" s="57"/>
      <c r="BDJ18" s="57"/>
      <c r="BDK18" s="56"/>
      <c r="BDL18" s="57"/>
      <c r="BDM18" s="57"/>
      <c r="BDN18" s="56"/>
      <c r="BDO18" s="57"/>
      <c r="BDP18" s="58"/>
      <c r="BDQ18" s="56"/>
      <c r="BDR18" s="57"/>
      <c r="BDS18" s="57"/>
      <c r="BDT18" s="57"/>
      <c r="BDU18" s="56"/>
      <c r="BDV18" s="57"/>
      <c r="BDW18" s="57"/>
      <c r="BDX18" s="56"/>
      <c r="BDY18" s="57"/>
      <c r="BDZ18" s="58"/>
      <c r="BEA18" s="56"/>
      <c r="BEB18" s="57"/>
      <c r="BEC18" s="57"/>
      <c r="BED18" s="57"/>
      <c r="BEE18" s="56"/>
      <c r="BEF18" s="57"/>
      <c r="BEG18" s="57"/>
      <c r="BEH18" s="57"/>
      <c r="BEI18" s="57"/>
      <c r="BEJ18" s="57"/>
      <c r="BEK18" s="56"/>
      <c r="BEL18" s="57"/>
      <c r="BEM18" s="57"/>
      <c r="BEN18" s="56"/>
      <c r="BEO18" s="57"/>
      <c r="BEP18" s="58"/>
      <c r="BEQ18" s="56"/>
      <c r="BER18" s="57"/>
      <c r="BES18" s="57"/>
      <c r="BET18" s="57"/>
      <c r="BEU18" s="56"/>
      <c r="BEV18" s="57"/>
      <c r="BEW18" s="57"/>
      <c r="BEX18" s="56"/>
      <c r="BEY18" s="57"/>
      <c r="BEZ18" s="58"/>
      <c r="BFA18" s="56"/>
      <c r="BFB18" s="57"/>
      <c r="BFC18" s="57"/>
      <c r="BFD18" s="57"/>
      <c r="BFE18" s="56"/>
      <c r="BFF18" s="57"/>
      <c r="BFG18" s="57"/>
      <c r="BFH18" s="57"/>
      <c r="BFI18" s="57"/>
      <c r="BFJ18" s="57"/>
      <c r="BFK18" s="56"/>
      <c r="BFL18" s="57"/>
      <c r="BFM18" s="57"/>
      <c r="BFN18" s="56"/>
      <c r="BFO18" s="57"/>
      <c r="BFP18" s="58"/>
      <c r="BFQ18" s="56"/>
      <c r="BFR18" s="57"/>
      <c r="BFS18" s="57"/>
      <c r="BFT18" s="57"/>
      <c r="BFU18" s="56"/>
      <c r="BFV18" s="57"/>
      <c r="BFW18" s="57"/>
      <c r="BFX18" s="56"/>
      <c r="BFY18" s="57"/>
      <c r="BFZ18" s="58"/>
      <c r="BGA18" s="56"/>
      <c r="BGB18" s="57"/>
      <c r="BGC18" s="57"/>
      <c r="BGD18" s="57"/>
      <c r="BGE18" s="56"/>
      <c r="BGF18" s="57"/>
      <c r="BGG18" s="57"/>
      <c r="BGH18" s="57"/>
      <c r="BGI18" s="57"/>
      <c r="BGJ18" s="57"/>
      <c r="BGK18" s="56"/>
      <c r="BGL18" s="57"/>
      <c r="BGM18" s="57"/>
      <c r="BGN18" s="56"/>
      <c r="BGO18" s="57"/>
      <c r="BGP18" s="58"/>
      <c r="BGQ18" s="56"/>
      <c r="BGR18" s="57"/>
      <c r="BGS18" s="57"/>
      <c r="BGT18" s="57"/>
      <c r="BGU18" s="56"/>
      <c r="BGV18" s="57"/>
      <c r="BGW18" s="57"/>
      <c r="BGX18" s="56"/>
      <c r="BGY18" s="57"/>
      <c r="BGZ18" s="58"/>
      <c r="BHA18" s="56"/>
      <c r="BHB18" s="57"/>
      <c r="BHC18" s="57"/>
      <c r="BHD18" s="57"/>
      <c r="BHE18" s="56"/>
      <c r="BHF18" s="57"/>
      <c r="BHG18" s="57"/>
      <c r="BHH18" s="57"/>
      <c r="BHI18" s="57"/>
      <c r="BHJ18" s="57"/>
      <c r="BHK18" s="56"/>
      <c r="BHL18" s="57"/>
      <c r="BHM18" s="57"/>
      <c r="BHN18" s="56"/>
      <c r="BHO18" s="57"/>
      <c r="BHP18" s="58"/>
      <c r="BHQ18" s="56"/>
      <c r="BHR18" s="57"/>
      <c r="BHS18" s="57"/>
      <c r="BHT18" s="57"/>
      <c r="BHU18" s="56"/>
      <c r="BHV18" s="57"/>
      <c r="BHW18" s="57"/>
      <c r="BHX18" s="56"/>
      <c r="BHY18" s="57"/>
      <c r="BHZ18" s="58"/>
      <c r="BIA18" s="56"/>
      <c r="BIB18" s="57"/>
      <c r="BIC18" s="57"/>
      <c r="BID18" s="57"/>
      <c r="BIE18" s="56"/>
      <c r="BIF18" s="57"/>
      <c r="BIG18" s="57"/>
      <c r="BIH18" s="57"/>
      <c r="BII18" s="57"/>
      <c r="BIJ18" s="57"/>
      <c r="BIK18" s="56"/>
      <c r="BIL18" s="57"/>
      <c r="BIM18" s="57"/>
      <c r="BIN18" s="56"/>
      <c r="BIO18" s="57"/>
      <c r="BIP18" s="58"/>
      <c r="BIQ18" s="56"/>
      <c r="BIR18" s="57"/>
      <c r="BIS18" s="57"/>
      <c r="BIT18" s="57"/>
      <c r="BIU18" s="56"/>
      <c r="BIV18" s="57"/>
      <c r="BIW18" s="57"/>
      <c r="BIX18" s="56"/>
      <c r="BIY18" s="57"/>
      <c r="BIZ18" s="58"/>
      <c r="BJA18" s="56"/>
      <c r="BJB18" s="57"/>
      <c r="BJC18" s="57"/>
      <c r="BJD18" s="57"/>
      <c r="BJE18" s="56"/>
      <c r="BJF18" s="57"/>
      <c r="BJG18" s="57"/>
      <c r="BJH18" s="57"/>
      <c r="BJI18" s="57"/>
      <c r="BJJ18" s="57"/>
      <c r="BJK18" s="56"/>
      <c r="BJL18" s="57"/>
      <c r="BJM18" s="57"/>
      <c r="BJN18" s="56"/>
      <c r="BJO18" s="57"/>
      <c r="BJP18" s="58"/>
      <c r="BJQ18" s="56"/>
      <c r="BJR18" s="57"/>
      <c r="BJS18" s="57"/>
      <c r="BJT18" s="57"/>
      <c r="BJU18" s="56"/>
      <c r="BJV18" s="57"/>
      <c r="BJW18" s="57"/>
      <c r="BJX18" s="56"/>
      <c r="BJY18" s="57"/>
      <c r="BJZ18" s="58"/>
      <c r="BKA18" s="56"/>
      <c r="BKB18" s="57"/>
      <c r="BKC18" s="57"/>
      <c r="BKD18" s="57"/>
      <c r="BKE18" s="56"/>
      <c r="BKF18" s="57"/>
      <c r="BKG18" s="57"/>
      <c r="BKH18" s="57"/>
      <c r="BKI18" s="57"/>
      <c r="BKJ18" s="57"/>
      <c r="BKK18" s="56"/>
      <c r="BKL18" s="57"/>
      <c r="BKM18" s="57"/>
      <c r="BKN18" s="56"/>
      <c r="BKO18" s="57"/>
      <c r="BKP18" s="58"/>
      <c r="BKQ18" s="56"/>
      <c r="BKR18" s="57"/>
      <c r="BKS18" s="57"/>
      <c r="BKT18" s="57"/>
      <c r="BKU18" s="56"/>
      <c r="BKV18" s="57"/>
      <c r="BKW18" s="57"/>
      <c r="BKX18" s="56"/>
      <c r="BKY18" s="57"/>
      <c r="BKZ18" s="58"/>
      <c r="BLA18" s="56"/>
      <c r="BLB18" s="57"/>
      <c r="BLC18" s="57"/>
      <c r="BLD18" s="57"/>
      <c r="BLE18" s="56"/>
      <c r="BLF18" s="57"/>
      <c r="BLG18" s="57"/>
      <c r="BLH18" s="57"/>
      <c r="BLI18" s="57"/>
      <c r="BLJ18" s="57"/>
      <c r="BLK18" s="56"/>
      <c r="BLL18" s="57"/>
      <c r="BLM18" s="57"/>
      <c r="BLN18" s="56"/>
      <c r="BLO18" s="57"/>
      <c r="BLP18" s="58"/>
      <c r="BLQ18" s="56"/>
      <c r="BLR18" s="57"/>
      <c r="BLS18" s="57"/>
      <c r="BLT18" s="57"/>
      <c r="BLU18" s="56"/>
      <c r="BLV18" s="57"/>
      <c r="BLW18" s="57"/>
      <c r="BLX18" s="56"/>
      <c r="BLY18" s="57"/>
      <c r="BLZ18" s="58"/>
      <c r="BMA18" s="56"/>
      <c r="BMB18" s="57"/>
      <c r="BMC18" s="57"/>
      <c r="BMD18" s="57"/>
      <c r="BME18" s="56"/>
      <c r="BMF18" s="57"/>
      <c r="BMG18" s="57"/>
      <c r="BMH18" s="57"/>
      <c r="BMI18" s="57"/>
      <c r="BMJ18" s="57"/>
      <c r="BMK18" s="56"/>
      <c r="BML18" s="57"/>
      <c r="BMM18" s="57"/>
      <c r="BMN18" s="56"/>
      <c r="BMO18" s="57"/>
      <c r="BMP18" s="58"/>
      <c r="BMQ18" s="56"/>
      <c r="BMR18" s="57"/>
      <c r="BMS18" s="57"/>
      <c r="BMT18" s="57"/>
      <c r="BMU18" s="56"/>
      <c r="BMV18" s="57"/>
      <c r="BMW18" s="57"/>
      <c r="BMX18" s="56"/>
      <c r="BMY18" s="57"/>
      <c r="BMZ18" s="58"/>
      <c r="BNA18" s="56"/>
      <c r="BNB18" s="57"/>
      <c r="BNC18" s="57"/>
      <c r="BND18" s="57"/>
      <c r="BNE18" s="56"/>
      <c r="BNF18" s="57"/>
      <c r="BNG18" s="57"/>
      <c r="BNH18" s="57"/>
      <c r="BNI18" s="57"/>
      <c r="BNJ18" s="57"/>
      <c r="BNK18" s="56"/>
      <c r="BNL18" s="57"/>
      <c r="BNM18" s="57"/>
      <c r="BNN18" s="56"/>
      <c r="BNO18" s="57"/>
      <c r="BNP18" s="58"/>
      <c r="BNQ18" s="56"/>
      <c r="BNR18" s="57"/>
      <c r="BNS18" s="57"/>
      <c r="BNT18" s="57"/>
      <c r="BNU18" s="56"/>
      <c r="BNV18" s="57"/>
      <c r="BNW18" s="57"/>
      <c r="BNX18" s="56"/>
      <c r="BNY18" s="57"/>
      <c r="BNZ18" s="58"/>
      <c r="BOA18" s="56"/>
      <c r="BOB18" s="57"/>
      <c r="BOC18" s="57"/>
      <c r="BOD18" s="57"/>
      <c r="BOE18" s="56"/>
      <c r="BOF18" s="57"/>
      <c r="BOG18" s="57"/>
      <c r="BOH18" s="57"/>
      <c r="BOI18" s="57"/>
      <c r="BOJ18" s="57"/>
      <c r="BOK18" s="56"/>
      <c r="BOL18" s="57"/>
      <c r="BOM18" s="57"/>
      <c r="BON18" s="56"/>
      <c r="BOO18" s="57"/>
      <c r="BOP18" s="58"/>
      <c r="BOQ18" s="56"/>
      <c r="BOR18" s="57"/>
      <c r="BOS18" s="57"/>
      <c r="BOT18" s="57"/>
      <c r="BOU18" s="56"/>
      <c r="BOV18" s="57"/>
      <c r="BOW18" s="57"/>
      <c r="BOX18" s="56"/>
      <c r="BOY18" s="57"/>
      <c r="BOZ18" s="58"/>
      <c r="BPA18" s="56"/>
      <c r="BPB18" s="57"/>
      <c r="BPC18" s="57"/>
      <c r="BPD18" s="57"/>
      <c r="BPE18" s="56"/>
      <c r="BPF18" s="57"/>
      <c r="BPG18" s="57"/>
      <c r="BPH18" s="57"/>
      <c r="BPI18" s="57"/>
      <c r="BPJ18" s="57"/>
      <c r="BPK18" s="56"/>
      <c r="BPL18" s="57"/>
      <c r="BPM18" s="57"/>
      <c r="BPN18" s="56"/>
      <c r="BPO18" s="57"/>
      <c r="BPP18" s="58"/>
      <c r="BPQ18" s="56"/>
      <c r="BPR18" s="57"/>
      <c r="BPS18" s="57"/>
      <c r="BPT18" s="57"/>
      <c r="BPU18" s="56"/>
      <c r="BPV18" s="57"/>
      <c r="BPW18" s="57"/>
      <c r="BPX18" s="56"/>
      <c r="BPY18" s="57"/>
      <c r="BPZ18" s="58"/>
      <c r="BQA18" s="56"/>
      <c r="BQB18" s="57"/>
      <c r="BQC18" s="57"/>
      <c r="BQD18" s="57"/>
      <c r="BQE18" s="56"/>
      <c r="BQF18" s="57"/>
      <c r="BQG18" s="57"/>
      <c r="BQH18" s="57"/>
      <c r="BQI18" s="57"/>
      <c r="BQJ18" s="57"/>
      <c r="BQK18" s="56"/>
      <c r="BQL18" s="57"/>
      <c r="BQM18" s="57"/>
      <c r="BQN18" s="56"/>
      <c r="BQO18" s="57"/>
      <c r="BQP18" s="58"/>
      <c r="BQQ18" s="56"/>
      <c r="BQR18" s="57"/>
      <c r="BQS18" s="57"/>
      <c r="BQT18" s="57"/>
      <c r="BQU18" s="56"/>
      <c r="BQV18" s="57"/>
      <c r="BQW18" s="57"/>
      <c r="BQX18" s="56"/>
      <c r="BQY18" s="57"/>
      <c r="BQZ18" s="58"/>
      <c r="BRA18" s="56"/>
      <c r="BRB18" s="57"/>
      <c r="BRC18" s="57"/>
      <c r="BRD18" s="57"/>
      <c r="BRE18" s="56"/>
      <c r="BRF18" s="57"/>
      <c r="BRG18" s="57"/>
      <c r="BRH18" s="57"/>
      <c r="BRI18" s="57"/>
      <c r="BRJ18" s="57"/>
      <c r="BRK18" s="56"/>
      <c r="BRL18" s="57"/>
      <c r="BRM18" s="57"/>
      <c r="BRN18" s="56"/>
      <c r="BRO18" s="57"/>
      <c r="BRP18" s="58"/>
      <c r="BRQ18" s="56"/>
      <c r="BRR18" s="57"/>
      <c r="BRS18" s="57"/>
      <c r="BRT18" s="57"/>
      <c r="BRU18" s="56"/>
      <c r="BRV18" s="57"/>
      <c r="BRW18" s="57"/>
      <c r="BRX18" s="56"/>
      <c r="BRY18" s="57"/>
      <c r="BRZ18" s="58"/>
      <c r="BSA18" s="56"/>
      <c r="BSB18" s="57"/>
      <c r="BSC18" s="57"/>
      <c r="BSD18" s="57"/>
      <c r="BSE18" s="56"/>
      <c r="BSF18" s="57"/>
      <c r="BSG18" s="57"/>
      <c r="BSH18" s="57"/>
      <c r="BSI18" s="57"/>
      <c r="BSJ18" s="57"/>
      <c r="BSK18" s="56"/>
      <c r="BSL18" s="57"/>
      <c r="BSM18" s="57"/>
      <c r="BSN18" s="56"/>
      <c r="BSO18" s="57"/>
      <c r="BSP18" s="58"/>
      <c r="BSQ18" s="56"/>
      <c r="BSR18" s="57"/>
      <c r="BSS18" s="57"/>
      <c r="BST18" s="57"/>
      <c r="BSU18" s="56"/>
      <c r="BSV18" s="57"/>
      <c r="BSW18" s="57"/>
      <c r="BSX18" s="56"/>
      <c r="BSY18" s="57"/>
      <c r="BSZ18" s="58"/>
      <c r="BTA18" s="56"/>
      <c r="BTB18" s="57"/>
      <c r="BTC18" s="57"/>
      <c r="BTD18" s="57"/>
      <c r="BTE18" s="56"/>
      <c r="BTF18" s="57"/>
      <c r="BTG18" s="57"/>
      <c r="BTH18" s="57"/>
      <c r="BTI18" s="57"/>
      <c r="BTJ18" s="57"/>
      <c r="BTK18" s="56"/>
      <c r="BTL18" s="57"/>
      <c r="BTM18" s="57"/>
      <c r="BTN18" s="56"/>
      <c r="BTO18" s="57"/>
      <c r="BTP18" s="58"/>
      <c r="BTQ18" s="56"/>
      <c r="BTR18" s="57"/>
      <c r="BTS18" s="57"/>
      <c r="BTT18" s="57"/>
      <c r="BTU18" s="56"/>
      <c r="BTV18" s="57"/>
      <c r="BTW18" s="57"/>
      <c r="BTX18" s="56"/>
      <c r="BTY18" s="57"/>
      <c r="BTZ18" s="58"/>
      <c r="BUA18" s="56"/>
      <c r="BUB18" s="57"/>
      <c r="BUC18" s="57"/>
      <c r="BUD18" s="57"/>
      <c r="BUE18" s="56"/>
      <c r="BUF18" s="57"/>
      <c r="BUG18" s="57"/>
      <c r="BUH18" s="57"/>
      <c r="BUI18" s="57"/>
      <c r="BUJ18" s="57"/>
      <c r="BUK18" s="56"/>
      <c r="BUL18" s="57"/>
      <c r="BUM18" s="57"/>
      <c r="BUN18" s="56"/>
      <c r="BUO18" s="57"/>
      <c r="BUP18" s="58"/>
      <c r="BUQ18" s="56"/>
      <c r="BUR18" s="57"/>
      <c r="BUS18" s="57"/>
      <c r="BUT18" s="57"/>
      <c r="BUU18" s="56"/>
      <c r="BUV18" s="57"/>
      <c r="BUW18" s="57"/>
      <c r="BUX18" s="56"/>
      <c r="BUY18" s="57"/>
      <c r="BUZ18" s="58"/>
      <c r="BVA18" s="56"/>
      <c r="BVB18" s="57"/>
      <c r="BVC18" s="57"/>
      <c r="BVD18" s="57"/>
      <c r="BVE18" s="56"/>
      <c r="BVF18" s="57"/>
      <c r="BVG18" s="57"/>
      <c r="BVH18" s="57"/>
      <c r="BVI18" s="57"/>
      <c r="BVJ18" s="57"/>
      <c r="BVK18" s="56"/>
      <c r="BVL18" s="57"/>
      <c r="BVM18" s="57"/>
      <c r="BVN18" s="56"/>
      <c r="BVO18" s="57"/>
      <c r="BVP18" s="58"/>
      <c r="BVQ18" s="56"/>
      <c r="BVR18" s="57"/>
      <c r="BVS18" s="57"/>
      <c r="BVT18" s="57"/>
      <c r="BVU18" s="56"/>
      <c r="BVV18" s="57"/>
      <c r="BVW18" s="57"/>
      <c r="BVX18" s="56"/>
      <c r="BVY18" s="57"/>
      <c r="BVZ18" s="58"/>
      <c r="BWA18" s="56"/>
      <c r="BWB18" s="57"/>
      <c r="BWC18" s="57"/>
      <c r="BWD18" s="57"/>
      <c r="BWE18" s="56"/>
      <c r="BWF18" s="57"/>
      <c r="BWG18" s="57"/>
      <c r="BWH18" s="57"/>
      <c r="BWI18" s="57"/>
      <c r="BWJ18" s="57"/>
      <c r="BWK18" s="56"/>
      <c r="BWL18" s="57"/>
      <c r="BWM18" s="57"/>
      <c r="BWN18" s="56"/>
      <c r="BWO18" s="57"/>
      <c r="BWP18" s="58"/>
      <c r="BWQ18" s="56"/>
      <c r="BWR18" s="57"/>
      <c r="BWS18" s="57"/>
      <c r="BWT18" s="57"/>
      <c r="BWU18" s="56"/>
      <c r="BWV18" s="57"/>
      <c r="BWW18" s="57"/>
      <c r="BWX18" s="56"/>
      <c r="BWY18" s="57"/>
      <c r="BWZ18" s="58"/>
      <c r="BXA18" s="56"/>
      <c r="BXB18" s="57"/>
      <c r="BXC18" s="57"/>
      <c r="BXD18" s="57"/>
      <c r="BXE18" s="56"/>
      <c r="BXF18" s="57"/>
      <c r="BXG18" s="57"/>
      <c r="BXH18" s="57"/>
      <c r="BXI18" s="57"/>
      <c r="BXJ18" s="57"/>
      <c r="BXK18" s="56"/>
      <c r="BXL18" s="57"/>
      <c r="BXM18" s="57"/>
      <c r="BXN18" s="56"/>
      <c r="BXO18" s="57"/>
      <c r="BXP18" s="58"/>
      <c r="BXQ18" s="56"/>
      <c r="BXR18" s="57"/>
      <c r="BXS18" s="57"/>
      <c r="BXT18" s="57"/>
      <c r="BXU18" s="56"/>
      <c r="BXV18" s="57"/>
      <c r="BXW18" s="57"/>
      <c r="BXX18" s="56"/>
      <c r="BXY18" s="57"/>
      <c r="BXZ18" s="58"/>
      <c r="BYA18" s="56"/>
      <c r="BYB18" s="57"/>
      <c r="BYC18" s="57"/>
      <c r="BYD18" s="57"/>
      <c r="BYE18" s="56"/>
      <c r="BYF18" s="57"/>
      <c r="BYG18" s="57"/>
      <c r="BYH18" s="57"/>
      <c r="BYI18" s="57"/>
      <c r="BYJ18" s="57"/>
      <c r="BYK18" s="56"/>
      <c r="BYL18" s="57"/>
      <c r="BYM18" s="57"/>
      <c r="BYN18" s="56"/>
      <c r="BYO18" s="57"/>
      <c r="BYP18" s="58"/>
      <c r="BYQ18" s="56"/>
      <c r="BYR18" s="57"/>
      <c r="BYS18" s="57"/>
      <c r="BYT18" s="57"/>
      <c r="BYU18" s="56"/>
      <c r="BYV18" s="57"/>
      <c r="BYW18" s="57"/>
      <c r="BYX18" s="58"/>
      <c r="BYY18" s="57"/>
      <c r="BYZ18" s="56"/>
      <c r="BZA18" s="57"/>
      <c r="BZB18" s="56"/>
      <c r="BZC18" s="56"/>
      <c r="BZD18" s="56"/>
      <c r="BZE18" s="57"/>
      <c r="BZF18" s="386"/>
      <c r="BZG18" s="57"/>
      <c r="BZH18" s="386"/>
      <c r="BZI18" s="57"/>
      <c r="BZJ18" s="386"/>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8"/>
      <c r="CAQ18" s="56"/>
      <c r="CAR18" s="57"/>
      <c r="CAS18" s="57"/>
      <c r="CAT18" s="57"/>
      <c r="CAU18" s="57"/>
      <c r="CAV18" s="57"/>
      <c r="CAW18" s="56"/>
      <c r="CAX18" s="57"/>
      <c r="CAY18" s="57"/>
      <c r="CAZ18" s="56"/>
      <c r="CBA18" s="57"/>
      <c r="CBB18" s="58"/>
      <c r="CBC18" s="56"/>
      <c r="CBD18" s="57"/>
      <c r="CBE18" s="57"/>
      <c r="CBF18" s="57"/>
      <c r="CBG18" s="56"/>
      <c r="CBH18" s="57"/>
      <c r="CBI18" s="57"/>
      <c r="CBJ18" s="56"/>
      <c r="CBK18" s="57"/>
      <c r="CBL18" s="58"/>
      <c r="CBM18" s="56"/>
      <c r="CBN18" s="57"/>
      <c r="CBO18" s="57"/>
      <c r="CBP18" s="57"/>
      <c r="CBQ18" s="56"/>
      <c r="CBR18" s="57"/>
      <c r="CBS18" s="57"/>
      <c r="CBT18" s="56"/>
      <c r="CBU18" s="57"/>
      <c r="CBV18" s="58"/>
      <c r="CBW18" s="56"/>
      <c r="CBX18" s="57"/>
      <c r="CBY18" s="57"/>
      <c r="CBZ18" s="57"/>
      <c r="CCA18" s="56"/>
      <c r="CCB18" s="57"/>
      <c r="CCC18" s="57"/>
      <c r="CCD18" s="56"/>
      <c r="CCE18" s="57"/>
      <c r="CCF18" s="58"/>
      <c r="CCG18" s="56"/>
      <c r="CCH18" s="58"/>
      <c r="CCI18" s="57"/>
      <c r="CCJ18" s="56"/>
      <c r="CCK18" s="57"/>
      <c r="CCL18" s="56"/>
      <c r="CCM18" s="56"/>
      <c r="CCN18" s="56"/>
      <c r="CCO18" s="57"/>
      <c r="CCP18" s="386"/>
      <c r="CCQ18" s="57"/>
      <c r="CCR18" s="386"/>
      <c r="CCS18" s="57"/>
      <c r="CCT18" s="386"/>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8"/>
      <c r="CEA18" s="56"/>
      <c r="CEB18" s="57"/>
      <c r="CEC18" s="57"/>
      <c r="CED18" s="57"/>
      <c r="CEE18" s="57"/>
      <c r="CEF18" s="57"/>
      <c r="CEG18" s="56"/>
      <c r="CEH18" s="57"/>
      <c r="CEI18" s="57"/>
      <c r="CEJ18" s="56"/>
      <c r="CEK18" s="57"/>
      <c r="CEL18" s="58"/>
      <c r="CEM18" s="56"/>
      <c r="CEN18" s="57"/>
      <c r="CEO18" s="57"/>
      <c r="CEP18" s="57"/>
      <c r="CEQ18" s="56"/>
      <c r="CER18" s="57"/>
      <c r="CES18" s="57"/>
      <c r="CET18" s="56"/>
      <c r="CEU18" s="57"/>
      <c r="CEV18" s="58"/>
      <c r="CEW18" s="56"/>
      <c r="CEX18" s="57"/>
      <c r="CEY18" s="57"/>
      <c r="CEZ18" s="57"/>
      <c r="CFA18" s="56"/>
      <c r="CFB18" s="57"/>
      <c r="CFC18" s="57"/>
      <c r="CFD18" s="56"/>
      <c r="CFE18" s="57"/>
      <c r="CFF18" s="58"/>
      <c r="CFG18" s="56"/>
      <c r="CFH18" s="57"/>
      <c r="CFI18" s="57"/>
      <c r="CFJ18" s="57"/>
      <c r="CFK18" s="56"/>
      <c r="CFL18" s="57"/>
      <c r="CFM18" s="57"/>
      <c r="CFN18" s="56"/>
      <c r="CFO18" s="57"/>
      <c r="CFP18" s="58"/>
      <c r="CFQ18" s="56"/>
      <c r="CFR18" s="58"/>
      <c r="CFS18" s="57"/>
      <c r="CFT18" s="56"/>
      <c r="CFU18" s="57"/>
      <c r="CFV18" s="56"/>
      <c r="CFW18" s="56"/>
      <c r="CFX18" s="56"/>
      <c r="CFY18" s="57"/>
      <c r="CFZ18" s="386"/>
      <c r="CGA18" s="57"/>
      <c r="CGB18" s="386"/>
      <c r="CGC18" s="57"/>
      <c r="CGD18" s="386"/>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8"/>
      <c r="CHK18" s="56"/>
      <c r="CHL18" s="57"/>
      <c r="CHM18" s="57"/>
      <c r="CHN18" s="57"/>
      <c r="CHO18" s="57"/>
      <c r="CHP18" s="57"/>
      <c r="CHQ18" s="56"/>
      <c r="CHR18" s="57"/>
      <c r="CHS18" s="57"/>
      <c r="CHT18" s="56"/>
      <c r="CHU18" s="57"/>
      <c r="CHV18" s="58"/>
      <c r="CHW18" s="56"/>
      <c r="CHX18" s="57"/>
      <c r="CHY18" s="57"/>
      <c r="CHZ18" s="57"/>
      <c r="CIA18" s="56"/>
      <c r="CIB18" s="57"/>
      <c r="CIC18" s="57"/>
      <c r="CID18" s="56"/>
      <c r="CIE18" s="57"/>
      <c r="CIF18" s="58"/>
      <c r="CIG18" s="56"/>
      <c r="CIH18" s="57"/>
      <c r="CII18" s="57"/>
      <c r="CIJ18" s="57"/>
      <c r="CIK18" s="56"/>
      <c r="CIL18" s="57"/>
      <c r="CIM18" s="57"/>
      <c r="CIN18" s="56"/>
      <c r="CIO18" s="57"/>
      <c r="CIP18" s="58"/>
      <c r="CIQ18" s="56"/>
      <c r="CIR18" s="57"/>
      <c r="CIS18" s="57"/>
      <c r="CIT18" s="57"/>
      <c r="CIU18" s="56"/>
      <c r="CIV18" s="57"/>
      <c r="CIW18" s="57"/>
      <c r="CIX18" s="56"/>
      <c r="CIY18" s="57"/>
      <c r="CIZ18" s="58"/>
      <c r="CJA18" s="56"/>
      <c r="CJB18" s="58"/>
      <c r="CJC18" s="57"/>
      <c r="CJD18" s="56"/>
      <c r="CJE18" s="57"/>
      <c r="CJF18" s="56"/>
      <c r="CJG18" s="56"/>
      <c r="CJH18" s="56"/>
      <c r="CJI18" s="57"/>
      <c r="CJJ18" s="386"/>
      <c r="CJK18" s="57"/>
      <c r="CJL18" s="386"/>
      <c r="CJM18" s="57"/>
      <c r="CJN18" s="386"/>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8"/>
      <c r="CKU18" s="56"/>
      <c r="CKV18" s="57"/>
      <c r="CKW18" s="57"/>
      <c r="CKX18" s="57"/>
      <c r="CKY18" s="57"/>
      <c r="CKZ18" s="57"/>
      <c r="CLA18" s="56"/>
      <c r="CLB18" s="57"/>
      <c r="CLC18" s="57"/>
      <c r="CLD18" s="56"/>
      <c r="CLE18" s="57"/>
      <c r="CLF18" s="58"/>
      <c r="CLG18" s="56"/>
      <c r="CLH18" s="57"/>
      <c r="CLI18" s="57"/>
      <c r="CLJ18" s="57"/>
      <c r="CLK18" s="56"/>
      <c r="CLL18" s="57"/>
      <c r="CLM18" s="57"/>
      <c r="CLN18" s="56"/>
      <c r="CLO18" s="57"/>
      <c r="CLP18" s="58"/>
      <c r="CLQ18" s="56"/>
      <c r="CLR18" s="57"/>
      <c r="CLS18" s="57"/>
      <c r="CLT18" s="57"/>
      <c r="CLU18" s="56"/>
      <c r="CLV18" s="57"/>
      <c r="CLW18" s="57"/>
      <c r="CLX18" s="56"/>
      <c r="CLY18" s="57"/>
      <c r="CLZ18" s="58"/>
      <c r="CMA18" s="56"/>
      <c r="CMB18" s="57"/>
      <c r="CMC18" s="57"/>
      <c r="CMD18" s="57"/>
      <c r="CME18" s="56"/>
      <c r="CMF18" s="57"/>
      <c r="CMG18" s="57"/>
      <c r="CMH18" s="56"/>
      <c r="CMI18" s="57"/>
      <c r="CMJ18" s="58"/>
      <c r="CMK18" s="56"/>
      <c r="CML18" s="58"/>
      <c r="CMM18" s="57"/>
      <c r="CMN18" s="56"/>
      <c r="CMO18" s="57"/>
      <c r="CMP18" s="56"/>
      <c r="CMQ18" s="56"/>
      <c r="CMR18" s="56"/>
      <c r="CMS18" s="57"/>
      <c r="CMT18" s="386"/>
      <c r="CMU18" s="57"/>
      <c r="CMV18" s="386"/>
      <c r="CMW18" s="57"/>
      <c r="CMX18" s="386"/>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8"/>
      <c r="COE18" s="56"/>
      <c r="COF18" s="57"/>
      <c r="COG18" s="57"/>
      <c r="COH18" s="57"/>
      <c r="COI18" s="57"/>
      <c r="COJ18" s="57"/>
      <c r="COK18" s="56"/>
      <c r="COL18" s="57"/>
      <c r="COM18" s="57"/>
      <c r="CON18" s="56"/>
      <c r="COO18" s="57"/>
      <c r="COP18" s="58"/>
      <c r="COQ18" s="56"/>
      <c r="COR18" s="57"/>
      <c r="COS18" s="57"/>
      <c r="COT18" s="57"/>
      <c r="COU18" s="56"/>
      <c r="COV18" s="57"/>
      <c r="COW18" s="57"/>
      <c r="COX18" s="56"/>
      <c r="COY18" s="57"/>
      <c r="COZ18" s="58"/>
      <c r="CPA18" s="56"/>
      <c r="CPB18" s="57"/>
      <c r="CPC18" s="57"/>
      <c r="CPD18" s="57"/>
      <c r="CPE18" s="56"/>
      <c r="CPF18" s="57"/>
      <c r="CPG18" s="57"/>
      <c r="CPH18" s="56"/>
      <c r="CPI18" s="57"/>
      <c r="CPJ18" s="58"/>
      <c r="CPK18" s="56"/>
      <c r="CPL18" s="57"/>
      <c r="CPM18" s="57"/>
      <c r="CPN18" s="57"/>
      <c r="CPO18" s="56"/>
      <c r="CPP18" s="57"/>
      <c r="CPQ18" s="57"/>
      <c r="CPR18" s="56"/>
      <c r="CPS18" s="57"/>
      <c r="CPT18" s="58"/>
      <c r="CPU18" s="56"/>
      <c r="CPV18" s="58"/>
      <c r="CPW18" s="57"/>
      <c r="CPX18" s="56"/>
      <c r="CPY18" s="57"/>
      <c r="CPZ18" s="56"/>
      <c r="CQA18" s="56"/>
      <c r="CQB18" s="56"/>
      <c r="CQC18" s="57"/>
      <c r="CQD18" s="386"/>
      <c r="CQE18" s="57"/>
      <c r="CQF18" s="386"/>
      <c r="CQG18" s="57"/>
      <c r="CQH18" s="386"/>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8"/>
      <c r="CRO18" s="56"/>
      <c r="CRP18" s="57"/>
      <c r="CRQ18" s="57"/>
      <c r="CRR18" s="57"/>
      <c r="CRS18" s="57"/>
      <c r="CRT18" s="57"/>
      <c r="CRU18" s="56"/>
      <c r="CRV18" s="57"/>
      <c r="CRW18" s="57"/>
      <c r="CRX18" s="56"/>
      <c r="CRY18" s="57"/>
      <c r="CRZ18" s="58"/>
      <c r="CSA18" s="56"/>
      <c r="CSB18" s="57"/>
      <c r="CSC18" s="57"/>
      <c r="CSD18" s="57"/>
      <c r="CSE18" s="56"/>
      <c r="CSF18" s="57"/>
      <c r="CSG18" s="57"/>
      <c r="CSH18" s="56"/>
      <c r="CSI18" s="57"/>
      <c r="CSJ18" s="58"/>
      <c r="CSK18" s="56"/>
      <c r="CSL18" s="57"/>
      <c r="CSM18" s="57"/>
      <c r="CSN18" s="57"/>
      <c r="CSO18" s="56"/>
      <c r="CSP18" s="57"/>
      <c r="CSQ18" s="57"/>
      <c r="CSR18" s="56"/>
      <c r="CSS18" s="57"/>
      <c r="CST18" s="58"/>
      <c r="CSU18" s="56"/>
      <c r="CSV18" s="57"/>
      <c r="CSW18" s="57"/>
      <c r="CSX18" s="57"/>
      <c r="CSY18" s="56"/>
      <c r="CSZ18" s="57"/>
      <c r="CTA18" s="57"/>
      <c r="CTB18" s="56"/>
      <c r="CTC18" s="57"/>
      <c r="CTD18" s="58"/>
      <c r="CTE18" s="56"/>
      <c r="CTF18" s="58"/>
      <c r="CTG18" s="57"/>
      <c r="CTH18" s="56"/>
      <c r="CTI18" s="57"/>
      <c r="CTJ18" s="56"/>
      <c r="CTK18" s="56"/>
      <c r="CTL18" s="56"/>
      <c r="CTM18" s="57"/>
      <c r="CTN18" s="386"/>
      <c r="CTO18" s="57"/>
      <c r="CTP18" s="386"/>
      <c r="CTQ18" s="57"/>
      <c r="CTR18" s="386"/>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8"/>
      <c r="CUY18" s="56"/>
      <c r="CUZ18" s="57"/>
      <c r="CVA18" s="57"/>
      <c r="CVB18" s="57"/>
      <c r="CVC18" s="57"/>
      <c r="CVD18" s="57"/>
      <c r="CVE18" s="56"/>
      <c r="CVF18" s="57"/>
      <c r="CVG18" s="57"/>
      <c r="CVH18" s="56"/>
      <c r="CVI18" s="57"/>
      <c r="CVJ18" s="58"/>
      <c r="CVK18" s="56"/>
      <c r="CVL18" s="57"/>
      <c r="CVM18" s="57"/>
      <c r="CVN18" s="57"/>
      <c r="CVO18" s="56"/>
      <c r="CVP18" s="57"/>
      <c r="CVQ18" s="57"/>
      <c r="CVR18" s="56"/>
      <c r="CVS18" s="57"/>
      <c r="CVT18" s="58"/>
      <c r="CVU18" s="56"/>
      <c r="CVV18" s="57"/>
      <c r="CVW18" s="57"/>
      <c r="CVX18" s="57"/>
      <c r="CVY18" s="56"/>
      <c r="CVZ18" s="57"/>
      <c r="CWA18" s="57"/>
      <c r="CWB18" s="56"/>
      <c r="CWC18" s="57"/>
      <c r="CWD18" s="58"/>
      <c r="CWE18" s="56"/>
      <c r="CWF18" s="57"/>
      <c r="CWG18" s="57"/>
      <c r="CWH18" s="57"/>
      <c r="CWI18" s="56"/>
      <c r="CWJ18" s="57"/>
      <c r="CWK18" s="57"/>
      <c r="CWL18" s="56"/>
      <c r="CWM18" s="57"/>
      <c r="CWN18" s="58"/>
      <c r="CWO18" s="56"/>
      <c r="CWP18" s="58"/>
      <c r="CWQ18" s="57"/>
      <c r="CWR18" s="56"/>
      <c r="CWS18" s="57"/>
      <c r="CWT18" s="56"/>
      <c r="CWU18" s="56"/>
      <c r="CWV18" s="56"/>
      <c r="CWW18" s="57"/>
      <c r="CWX18" s="386"/>
      <c r="CWY18" s="57"/>
      <c r="CWZ18" s="386"/>
      <c r="CXA18" s="57"/>
      <c r="CXB18" s="386"/>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8"/>
      <c r="CYI18" s="56"/>
      <c r="CYJ18" s="57"/>
      <c r="CYK18" s="57"/>
      <c r="CYL18" s="57"/>
      <c r="CYM18" s="57"/>
      <c r="CYN18" s="57"/>
      <c r="CYO18" s="56"/>
      <c r="CYP18" s="57"/>
      <c r="CYQ18" s="57"/>
      <c r="CYR18" s="56"/>
      <c r="CYS18" s="57"/>
      <c r="CYT18" s="58"/>
      <c r="CYU18" s="56"/>
      <c r="CYV18" s="57"/>
      <c r="CYW18" s="57"/>
      <c r="CYX18" s="57"/>
      <c r="CYY18" s="56"/>
      <c r="CYZ18" s="57"/>
      <c r="CZA18" s="57"/>
      <c r="CZB18" s="56"/>
      <c r="CZC18" s="57"/>
      <c r="CZD18" s="58"/>
      <c r="CZE18" s="56"/>
      <c r="CZF18" s="57"/>
      <c r="CZG18" s="57"/>
      <c r="CZH18" s="57"/>
      <c r="CZI18" s="56"/>
      <c r="CZJ18" s="57"/>
      <c r="CZK18" s="57"/>
      <c r="CZL18" s="56"/>
      <c r="CZM18" s="57"/>
      <c r="CZN18" s="58"/>
      <c r="CZO18" s="56"/>
      <c r="CZP18" s="57"/>
      <c r="CZQ18" s="57"/>
      <c r="CZR18" s="57"/>
      <c r="CZS18" s="56"/>
      <c r="CZT18" s="57"/>
      <c r="CZU18" s="57"/>
      <c r="CZV18" s="56"/>
      <c r="CZW18" s="57"/>
      <c r="CZX18" s="58"/>
      <c r="CZY18" s="56"/>
      <c r="CZZ18" s="58"/>
      <c r="DAA18" s="57"/>
      <c r="DAB18" s="56"/>
      <c r="DAC18" s="57"/>
      <c r="DAD18" s="56"/>
      <c r="DAE18" s="56"/>
      <c r="DAF18" s="56"/>
      <c r="DAG18" s="57"/>
      <c r="DAH18" s="386"/>
      <c r="DAI18" s="57"/>
      <c r="DAJ18" s="386"/>
      <c r="DAK18" s="57"/>
      <c r="DAL18" s="386"/>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8"/>
      <c r="DBS18" s="56"/>
      <c r="DBT18" s="57"/>
      <c r="DBU18" s="57"/>
      <c r="DBV18" s="57"/>
      <c r="DBW18" s="57"/>
      <c r="DBX18" s="57"/>
      <c r="DBY18" s="56"/>
      <c r="DBZ18" s="57"/>
      <c r="DCA18" s="57"/>
      <c r="DCB18" s="56"/>
      <c r="DCC18" s="57"/>
      <c r="DCD18" s="58"/>
      <c r="DCE18" s="56"/>
      <c r="DCF18" s="57"/>
      <c r="DCG18" s="57"/>
      <c r="DCH18" s="57"/>
      <c r="DCI18" s="56"/>
      <c r="DCJ18" s="57"/>
      <c r="DCK18" s="57"/>
      <c r="DCL18" s="56"/>
      <c r="DCM18" s="57"/>
      <c r="DCN18" s="58"/>
      <c r="DCO18" s="56"/>
      <c r="DCP18" s="57"/>
      <c r="DCQ18" s="57"/>
      <c r="DCR18" s="57"/>
      <c r="DCS18" s="56"/>
      <c r="DCT18" s="57"/>
      <c r="DCU18" s="57"/>
      <c r="DCV18" s="56"/>
      <c r="DCW18" s="57"/>
      <c r="DCX18" s="58"/>
      <c r="DCY18" s="56"/>
      <c r="DCZ18" s="57"/>
      <c r="DDA18" s="57"/>
      <c r="DDB18" s="57"/>
      <c r="DDC18" s="56"/>
      <c r="DDD18" s="57"/>
      <c r="DDE18" s="57"/>
      <c r="DDF18" s="56"/>
      <c r="DDG18" s="57"/>
      <c r="DDH18" s="58"/>
      <c r="DDI18" s="56"/>
      <c r="DDJ18" s="58"/>
      <c r="DDK18" s="57"/>
      <c r="DDL18" s="56"/>
      <c r="DDM18" s="57"/>
      <c r="DDN18" s="56"/>
      <c r="DDO18" s="56"/>
      <c r="DDP18" s="56"/>
      <c r="DDQ18" s="57"/>
      <c r="DDR18" s="386"/>
      <c r="DDS18" s="57"/>
      <c r="DDT18" s="386"/>
      <c r="DDU18" s="57"/>
      <c r="DDV18" s="386"/>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8"/>
      <c r="DFC18" s="56"/>
      <c r="DFD18" s="57"/>
      <c r="DFE18" s="57"/>
      <c r="DFF18" s="57"/>
      <c r="DFG18" s="57"/>
      <c r="DFH18" s="57"/>
      <c r="DFI18" s="56"/>
      <c r="DFJ18" s="57"/>
      <c r="DFK18" s="57"/>
      <c r="DFL18" s="56"/>
      <c r="DFM18" s="57"/>
      <c r="DFN18" s="58"/>
      <c r="DFO18" s="56"/>
      <c r="DFP18" s="57"/>
      <c r="DFQ18" s="57"/>
      <c r="DFR18" s="57"/>
      <c r="DFS18" s="56"/>
      <c r="DFT18" s="57"/>
      <c r="DFU18" s="57"/>
      <c r="DFV18" s="56"/>
      <c r="DFW18" s="57"/>
      <c r="DFX18" s="58"/>
      <c r="DFY18" s="56"/>
      <c r="DFZ18" s="57"/>
      <c r="DGA18" s="57"/>
      <c r="DGB18" s="57"/>
      <c r="DGC18" s="56"/>
      <c r="DGD18" s="57"/>
      <c r="DGE18" s="57"/>
      <c r="DGF18" s="56"/>
      <c r="DGG18" s="57"/>
      <c r="DGH18" s="58"/>
      <c r="DGI18" s="56"/>
      <c r="DGJ18" s="57"/>
      <c r="DGK18" s="57"/>
      <c r="DGL18" s="57"/>
      <c r="DGM18" s="56"/>
      <c r="DGN18" s="57"/>
      <c r="DGO18" s="57"/>
      <c r="DGP18" s="56"/>
      <c r="DGQ18" s="57"/>
      <c r="DGR18" s="58"/>
      <c r="DGS18" s="56"/>
      <c r="DGT18" s="58"/>
      <c r="DGU18" s="57"/>
      <c r="DGV18" s="56"/>
      <c r="DGW18" s="57"/>
      <c r="DGX18" s="56"/>
      <c r="DGY18" s="56"/>
      <c r="DGZ18" s="56"/>
      <c r="DHA18" s="57"/>
      <c r="DHB18" s="386"/>
      <c r="DHC18" s="57"/>
      <c r="DHD18" s="386"/>
      <c r="DHE18" s="57"/>
      <c r="DHF18" s="386"/>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8"/>
      <c r="DIM18" s="56"/>
      <c r="DIN18" s="57"/>
      <c r="DIO18" s="57"/>
      <c r="DIP18" s="57"/>
      <c r="DIQ18" s="57"/>
      <c r="DIR18" s="57"/>
      <c r="DIS18" s="56"/>
      <c r="DIT18" s="57"/>
      <c r="DIU18" s="57"/>
      <c r="DIV18" s="56"/>
      <c r="DIW18" s="57"/>
      <c r="DIX18" s="58"/>
      <c r="DIY18" s="56"/>
      <c r="DIZ18" s="57"/>
      <c r="DJA18" s="57"/>
      <c r="DJB18" s="57"/>
      <c r="DJC18" s="56"/>
      <c r="DJD18" s="57"/>
      <c r="DJE18" s="57"/>
      <c r="DJF18" s="56"/>
      <c r="DJG18" s="57"/>
      <c r="DJH18" s="58"/>
      <c r="DJI18" s="56"/>
      <c r="DJJ18" s="57"/>
      <c r="DJK18" s="57"/>
      <c r="DJL18" s="57"/>
      <c r="DJM18" s="56"/>
      <c r="DJN18" s="57"/>
      <c r="DJO18" s="57"/>
      <c r="DJP18" s="56"/>
      <c r="DJQ18" s="57"/>
      <c r="DJR18" s="58"/>
      <c r="DJS18" s="56"/>
      <c r="DJT18" s="57"/>
      <c r="DJU18" s="57"/>
      <c r="DJV18" s="57"/>
      <c r="DJW18" s="56"/>
      <c r="DJX18" s="57"/>
      <c r="DJY18" s="57"/>
      <c r="DJZ18" s="56"/>
      <c r="DKA18" s="57"/>
      <c r="DKB18" s="58"/>
      <c r="DKC18" s="56"/>
      <c r="DKD18" s="58"/>
      <c r="DKE18" s="57"/>
      <c r="DKF18" s="56"/>
      <c r="DKG18" s="57"/>
      <c r="DKH18" s="56"/>
      <c r="DKI18" s="56"/>
      <c r="DKJ18" s="56"/>
      <c r="DKK18" s="57"/>
      <c r="DKL18" s="386"/>
      <c r="DKM18" s="57"/>
      <c r="DKN18" s="386"/>
      <c r="DKO18" s="57"/>
      <c r="DKP18" s="386"/>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8"/>
      <c r="DLW18" s="56"/>
      <c r="DLX18" s="57"/>
      <c r="DLY18" s="57"/>
      <c r="DLZ18" s="57"/>
      <c r="DMA18" s="57"/>
      <c r="DMB18" s="57"/>
      <c r="DMC18" s="56"/>
      <c r="DMD18" s="57"/>
      <c r="DME18" s="57"/>
      <c r="DMF18" s="56"/>
      <c r="DMG18" s="57"/>
      <c r="DMH18" s="58"/>
      <c r="DMI18" s="56"/>
      <c r="DMJ18" s="57"/>
      <c r="DMK18" s="57"/>
      <c r="DML18" s="57"/>
      <c r="DMM18" s="56"/>
      <c r="DMN18" s="57"/>
      <c r="DMO18" s="57"/>
      <c r="DMP18" s="56"/>
      <c r="DMQ18" s="57"/>
      <c r="DMR18" s="58"/>
      <c r="DMS18" s="56"/>
      <c r="DMT18" s="57"/>
      <c r="DMU18" s="57"/>
      <c r="DMV18" s="57"/>
      <c r="DMW18" s="56"/>
      <c r="DMX18" s="57"/>
      <c r="DMY18" s="57"/>
      <c r="DMZ18" s="56"/>
      <c r="DNA18" s="57"/>
      <c r="DNB18" s="58"/>
      <c r="DNC18" s="56"/>
      <c r="DND18" s="57"/>
      <c r="DNE18" s="57"/>
      <c r="DNF18" s="57"/>
      <c r="DNG18" s="56"/>
      <c r="DNH18" s="57"/>
      <c r="DNI18" s="57"/>
      <c r="DNJ18" s="56"/>
      <c r="DNK18" s="57"/>
      <c r="DNL18" s="58"/>
      <c r="DNM18" s="56"/>
      <c r="DNN18" s="58"/>
      <c r="DNO18" s="57"/>
      <c r="DNP18" s="56"/>
      <c r="DNQ18" s="57"/>
      <c r="DNR18" s="56"/>
      <c r="DNS18" s="56"/>
      <c r="DNT18" s="56"/>
      <c r="DNU18" s="57"/>
      <c r="DNV18" s="386"/>
      <c r="DNW18" s="57"/>
      <c r="DNX18" s="386"/>
      <c r="DNY18" s="57"/>
      <c r="DNZ18" s="386"/>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8"/>
      <c r="DPG18" s="56"/>
      <c r="DPH18" s="57"/>
      <c r="DPI18" s="57"/>
      <c r="DPJ18" s="57"/>
      <c r="DPK18" s="57"/>
      <c r="DPL18" s="57"/>
      <c r="DPM18" s="56"/>
      <c r="DPN18" s="57"/>
      <c r="DPO18" s="57"/>
      <c r="DPP18" s="56"/>
      <c r="DPQ18" s="57"/>
      <c r="DPR18" s="58"/>
      <c r="DPS18" s="56"/>
      <c r="DPT18" s="57"/>
      <c r="DPU18" s="57"/>
      <c r="DPV18" s="57"/>
      <c r="DPW18" s="56"/>
      <c r="DPX18" s="57"/>
      <c r="DPY18" s="57"/>
      <c r="DPZ18" s="56"/>
      <c r="DQA18" s="57"/>
      <c r="DQB18" s="58"/>
      <c r="DQC18" s="56"/>
      <c r="DQD18" s="57"/>
      <c r="DQE18" s="57"/>
      <c r="DQF18" s="57"/>
      <c r="DQG18" s="56"/>
      <c r="DQH18" s="57"/>
      <c r="DQI18" s="57"/>
      <c r="DQJ18" s="56"/>
      <c r="DQK18" s="57"/>
      <c r="DQL18" s="58"/>
      <c r="DQM18" s="56"/>
      <c r="DQN18" s="57"/>
      <c r="DQO18" s="57"/>
      <c r="DQP18" s="57"/>
      <c r="DQQ18" s="56"/>
      <c r="DQR18" s="57"/>
      <c r="DQS18" s="57"/>
      <c r="DQT18" s="56"/>
      <c r="DQU18" s="57"/>
      <c r="DQV18" s="58"/>
      <c r="DQW18" s="56"/>
      <c r="DQX18" s="58"/>
      <c r="DQY18" s="57"/>
      <c r="DQZ18" s="56"/>
      <c r="DRA18" s="57"/>
      <c r="DRB18" s="56"/>
      <c r="DRC18" s="56"/>
      <c r="DRD18" s="56"/>
      <c r="DRE18" s="57"/>
      <c r="DRF18" s="386"/>
      <c r="DRG18" s="57"/>
      <c r="DRH18" s="386"/>
      <c r="DRI18" s="57"/>
      <c r="DRJ18" s="386"/>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8"/>
      <c r="DSQ18" s="56"/>
      <c r="DSR18" s="57"/>
      <c r="DSS18" s="57"/>
      <c r="DST18" s="57"/>
      <c r="DSU18" s="57"/>
      <c r="DSV18" s="57"/>
      <c r="DSW18" s="56"/>
      <c r="DSX18" s="57"/>
      <c r="DSY18" s="57"/>
      <c r="DSZ18" s="56"/>
      <c r="DTA18" s="57"/>
      <c r="DTB18" s="58"/>
      <c r="DTC18" s="56"/>
      <c r="DTD18" s="57"/>
      <c r="DTE18" s="57"/>
      <c r="DTF18" s="57"/>
      <c r="DTG18" s="56"/>
      <c r="DTH18" s="57"/>
      <c r="DTI18" s="57"/>
      <c r="DTJ18" s="56"/>
      <c r="DTK18" s="57"/>
      <c r="DTL18" s="58"/>
      <c r="DTM18" s="56"/>
      <c r="DTN18" s="57"/>
      <c r="DTO18" s="57"/>
      <c r="DTP18" s="57"/>
      <c r="DTQ18" s="56"/>
      <c r="DTR18" s="57"/>
      <c r="DTS18" s="57"/>
      <c r="DTT18" s="56"/>
      <c r="DTU18" s="57"/>
      <c r="DTV18" s="58"/>
      <c r="DTW18" s="56"/>
      <c r="DTX18" s="57"/>
      <c r="DTY18" s="57"/>
      <c r="DTZ18" s="57"/>
      <c r="DUA18" s="56"/>
      <c r="DUB18" s="57"/>
      <c r="DUC18" s="57"/>
      <c r="DUD18" s="56"/>
      <c r="DUE18" s="57"/>
      <c r="DUF18" s="58"/>
      <c r="DUG18" s="56"/>
      <c r="DUH18" s="58"/>
      <c r="DUI18" s="57"/>
      <c r="DUJ18" s="56"/>
      <c r="DUK18" s="57"/>
      <c r="DUL18" s="56"/>
      <c r="DUM18" s="56"/>
      <c r="DUN18" s="56"/>
      <c r="DUO18" s="57"/>
      <c r="DUP18" s="386"/>
      <c r="DUQ18" s="57"/>
      <c r="DUR18" s="386"/>
      <c r="DUS18" s="57"/>
      <c r="DUT18" s="386"/>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8"/>
      <c r="DWA18" s="56"/>
      <c r="DWB18" s="57"/>
      <c r="DWC18" s="57"/>
      <c r="DWD18" s="57"/>
      <c r="DWE18" s="57"/>
      <c r="DWF18" s="57"/>
      <c r="DWG18" s="56"/>
      <c r="DWH18" s="57"/>
      <c r="DWI18" s="57"/>
      <c r="DWJ18" s="56"/>
      <c r="DWK18" s="57"/>
      <c r="DWL18" s="58"/>
      <c r="DWM18" s="56"/>
      <c r="DWN18" s="57"/>
      <c r="DWO18" s="57"/>
      <c r="DWP18" s="57"/>
      <c r="DWQ18" s="56"/>
      <c r="DWR18" s="57"/>
      <c r="DWS18" s="57"/>
      <c r="DWT18" s="56"/>
      <c r="DWU18" s="57"/>
      <c r="DWV18" s="58"/>
      <c r="DWW18" s="56"/>
      <c r="DWX18" s="57"/>
      <c r="DWY18" s="57"/>
      <c r="DWZ18" s="57"/>
      <c r="DXA18" s="56"/>
      <c r="DXB18" s="57"/>
      <c r="DXC18" s="57"/>
      <c r="DXD18" s="56"/>
      <c r="DXE18" s="57"/>
      <c r="DXF18" s="58"/>
      <c r="DXG18" s="56"/>
      <c r="DXH18" s="57"/>
      <c r="DXI18" s="57"/>
      <c r="DXJ18" s="57"/>
      <c r="DXK18" s="56"/>
      <c r="DXL18" s="57"/>
      <c r="DXM18" s="57"/>
      <c r="DXN18" s="56"/>
      <c r="DXO18" s="57"/>
      <c r="DXP18" s="58"/>
      <c r="DXQ18" s="56"/>
      <c r="DXR18" s="58"/>
      <c r="DXS18" s="57"/>
      <c r="DXT18" s="56"/>
      <c r="DXU18" s="57"/>
      <c r="DXV18" s="56"/>
      <c r="DXW18" s="56"/>
      <c r="DXX18" s="56"/>
      <c r="DXY18" s="57"/>
      <c r="DXZ18" s="386"/>
      <c r="DYA18" s="57"/>
      <c r="DYB18" s="386"/>
      <c r="DYC18" s="57"/>
      <c r="DYD18" s="386"/>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8"/>
      <c r="DZK18" s="56"/>
      <c r="DZL18" s="57"/>
      <c r="DZM18" s="57"/>
      <c r="DZN18" s="57"/>
      <c r="DZO18" s="57"/>
      <c r="DZP18" s="57"/>
      <c r="DZQ18" s="56"/>
      <c r="DZR18" s="57"/>
      <c r="DZS18" s="57"/>
      <c r="DZT18" s="56"/>
      <c r="DZU18" s="57"/>
      <c r="DZV18" s="58"/>
      <c r="DZW18" s="56"/>
      <c r="DZX18" s="57"/>
      <c r="DZY18" s="57"/>
      <c r="DZZ18" s="57"/>
      <c r="EAA18" s="56"/>
      <c r="EAB18" s="57"/>
      <c r="EAC18" s="57"/>
      <c r="EAD18" s="56"/>
      <c r="EAE18" s="57"/>
      <c r="EAF18" s="58"/>
      <c r="EAG18" s="56"/>
      <c r="EAH18" s="57"/>
      <c r="EAI18" s="57"/>
      <c r="EAJ18" s="57"/>
      <c r="EAK18" s="56"/>
      <c r="EAL18" s="57"/>
      <c r="EAM18" s="57"/>
      <c r="EAN18" s="56"/>
      <c r="EAO18" s="57"/>
      <c r="EAP18" s="58"/>
      <c r="EAQ18" s="56"/>
      <c r="EAR18" s="57"/>
      <c r="EAS18" s="57"/>
      <c r="EAT18" s="57"/>
      <c r="EAU18" s="56"/>
      <c r="EAV18" s="57"/>
      <c r="EAW18" s="57"/>
      <c r="EAX18" s="56"/>
      <c r="EAY18" s="57"/>
      <c r="EAZ18" s="58"/>
      <c r="EBA18" s="56"/>
      <c r="EBB18" s="58"/>
      <c r="EBC18" s="57"/>
      <c r="EBD18" s="56"/>
      <c r="EBE18" s="57"/>
      <c r="EBF18" s="56"/>
      <c r="EBG18" s="56"/>
      <c r="EBH18" s="56"/>
      <c r="EBI18" s="57"/>
      <c r="EBJ18" s="386"/>
      <c r="EBK18" s="57"/>
      <c r="EBL18" s="386"/>
      <c r="EBM18" s="57"/>
      <c r="EBN18" s="386"/>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8"/>
      <c r="ECU18" s="56"/>
      <c r="ECV18" s="57"/>
      <c r="ECW18" s="57"/>
      <c r="ECX18" s="57"/>
      <c r="ECY18" s="57"/>
      <c r="ECZ18" s="57"/>
      <c r="EDA18" s="56"/>
      <c r="EDB18" s="57"/>
      <c r="EDC18" s="57"/>
      <c r="EDD18" s="56"/>
      <c r="EDE18" s="57"/>
      <c r="EDF18" s="58"/>
      <c r="EDG18" s="56"/>
      <c r="EDH18" s="57"/>
      <c r="EDI18" s="57"/>
      <c r="EDJ18" s="57"/>
      <c r="EDK18" s="56"/>
      <c r="EDL18" s="57"/>
      <c r="EDM18" s="57"/>
      <c r="EDN18" s="56"/>
      <c r="EDO18" s="57"/>
      <c r="EDP18" s="58"/>
      <c r="EDQ18" s="56"/>
      <c r="EDR18" s="57"/>
      <c r="EDS18" s="57"/>
      <c r="EDT18" s="57"/>
      <c r="EDU18" s="56"/>
      <c r="EDV18" s="57"/>
      <c r="EDW18" s="57"/>
      <c r="EDX18" s="56"/>
      <c r="EDY18" s="57"/>
      <c r="EDZ18" s="58"/>
      <c r="EEA18" s="56"/>
      <c r="EEB18" s="57"/>
      <c r="EEC18" s="57"/>
      <c r="EED18" s="57"/>
      <c r="EEE18" s="56"/>
      <c r="EEF18" s="57"/>
      <c r="EEG18" s="57"/>
      <c r="EEH18" s="56"/>
      <c r="EEI18" s="57"/>
      <c r="EEJ18" s="58"/>
      <c r="EEK18" s="56"/>
      <c r="EEL18" s="58"/>
      <c r="EEM18" s="57"/>
      <c r="EEN18" s="56"/>
      <c r="EEO18" s="57"/>
      <c r="EEP18" s="56"/>
      <c r="EEQ18" s="56"/>
      <c r="EER18" s="56"/>
      <c r="EES18" s="57"/>
      <c r="EET18" s="386"/>
      <c r="EEU18" s="57"/>
      <c r="EEV18" s="386"/>
      <c r="EEW18" s="57"/>
      <c r="EEX18" s="386"/>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8"/>
      <c r="EGE18" s="56"/>
      <c r="EGF18" s="57"/>
      <c r="EGG18" s="57"/>
      <c r="EGH18" s="57"/>
      <c r="EGI18" s="57"/>
      <c r="EGJ18" s="57"/>
      <c r="EGK18" s="56"/>
      <c r="EGL18" s="57"/>
      <c r="EGM18" s="57"/>
      <c r="EGN18" s="56"/>
      <c r="EGO18" s="57"/>
      <c r="EGP18" s="58"/>
      <c r="EGQ18" s="56"/>
      <c r="EGR18" s="57"/>
      <c r="EGS18" s="57"/>
      <c r="EGT18" s="57"/>
      <c r="EGU18" s="56"/>
      <c r="EGV18" s="57"/>
      <c r="EGW18" s="57"/>
      <c r="EGX18" s="56"/>
      <c r="EGY18" s="57"/>
      <c r="EGZ18" s="58"/>
      <c r="EHA18" s="56"/>
      <c r="EHB18" s="57"/>
      <c r="EHC18" s="57"/>
      <c r="EHD18" s="57"/>
      <c r="EHE18" s="56"/>
      <c r="EHF18" s="57"/>
      <c r="EHG18" s="57"/>
      <c r="EHH18" s="56"/>
      <c r="EHI18" s="57"/>
      <c r="EHJ18" s="58"/>
      <c r="EHK18" s="56"/>
      <c r="EHL18" s="57"/>
      <c r="EHM18" s="57"/>
      <c r="EHN18" s="57"/>
      <c r="EHO18" s="56"/>
      <c r="EHP18" s="57"/>
      <c r="EHQ18" s="57"/>
      <c r="EHR18" s="56"/>
      <c r="EHS18" s="57"/>
      <c r="EHT18" s="58"/>
      <c r="EHU18" s="56"/>
      <c r="EHV18" s="58"/>
      <c r="EHW18" s="57"/>
      <c r="EHX18" s="56"/>
      <c r="EHY18" s="57"/>
      <c r="EHZ18" s="56"/>
      <c r="EIA18" s="56"/>
      <c r="EIB18" s="56"/>
      <c r="EIC18" s="57"/>
      <c r="EID18" s="386"/>
      <c r="EIE18" s="57"/>
      <c r="EIF18" s="386"/>
      <c r="EIG18" s="57"/>
      <c r="EIH18" s="386"/>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8"/>
      <c r="EJO18" s="56"/>
      <c r="EJP18" s="57"/>
      <c r="EJQ18" s="57"/>
      <c r="EJR18" s="57"/>
      <c r="EJS18" s="57"/>
      <c r="EJT18" s="57"/>
      <c r="EJU18" s="56"/>
      <c r="EJV18" s="57"/>
      <c r="EJW18" s="57"/>
      <c r="EJX18" s="56"/>
      <c r="EJY18" s="57"/>
      <c r="EJZ18" s="58"/>
      <c r="EKA18" s="56"/>
      <c r="EKB18" s="57"/>
      <c r="EKC18" s="57"/>
      <c r="EKD18" s="57"/>
      <c r="EKE18" s="56"/>
      <c r="EKF18" s="57"/>
      <c r="EKG18" s="57"/>
      <c r="EKH18" s="56"/>
      <c r="EKI18" s="57"/>
      <c r="EKJ18" s="58"/>
      <c r="EKK18" s="56"/>
      <c r="EKL18" s="57"/>
      <c r="EKM18" s="57"/>
      <c r="EKN18" s="57"/>
      <c r="EKO18" s="56"/>
      <c r="EKP18" s="57"/>
      <c r="EKQ18" s="57"/>
      <c r="EKR18" s="56"/>
      <c r="EKS18" s="57"/>
      <c r="EKT18" s="58"/>
      <c r="EKU18" s="56"/>
      <c r="EKV18" s="57"/>
      <c r="EKW18" s="57"/>
      <c r="EKX18" s="57"/>
      <c r="EKY18" s="56"/>
      <c r="EKZ18" s="57"/>
      <c r="ELA18" s="57"/>
      <c r="ELB18" s="56"/>
      <c r="ELC18" s="57"/>
      <c r="ELD18" s="58"/>
      <c r="ELE18" s="56"/>
      <c r="ELF18" s="58"/>
      <c r="ELG18" s="57"/>
      <c r="ELH18" s="56"/>
      <c r="ELI18" s="57"/>
      <c r="ELJ18" s="56"/>
      <c r="ELK18" s="56"/>
      <c r="ELL18" s="56"/>
      <c r="ELM18" s="57"/>
      <c r="ELN18" s="386"/>
      <c r="ELO18" s="57"/>
      <c r="ELP18" s="386"/>
      <c r="ELQ18" s="57"/>
      <c r="ELR18" s="386"/>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8"/>
      <c r="EMY18" s="56"/>
      <c r="EMZ18" s="57"/>
      <c r="ENA18" s="57"/>
      <c r="ENB18" s="57"/>
      <c r="ENC18" s="57"/>
      <c r="END18" s="57"/>
      <c r="ENE18" s="56"/>
      <c r="ENF18" s="57"/>
      <c r="ENG18" s="57"/>
      <c r="ENH18" s="56"/>
      <c r="ENI18" s="57"/>
      <c r="ENJ18" s="58"/>
      <c r="ENK18" s="56"/>
      <c r="ENL18" s="57"/>
      <c r="ENM18" s="57"/>
      <c r="ENN18" s="57"/>
      <c r="ENO18" s="56"/>
      <c r="ENP18" s="57"/>
      <c r="ENQ18" s="57"/>
      <c r="ENR18" s="56"/>
      <c r="ENS18" s="57"/>
      <c r="ENT18" s="58"/>
      <c r="ENU18" s="56"/>
      <c r="ENV18" s="57"/>
      <c r="ENW18" s="57"/>
      <c r="ENX18" s="57"/>
      <c r="ENY18" s="56"/>
      <c r="ENZ18" s="57"/>
      <c r="EOA18" s="57"/>
      <c r="EOB18" s="56"/>
      <c r="EOC18" s="57"/>
      <c r="EOD18" s="58"/>
      <c r="EOE18" s="56"/>
      <c r="EOF18" s="57"/>
      <c r="EOG18" s="57"/>
      <c r="EOH18" s="57"/>
      <c r="EOI18" s="56"/>
      <c r="EOJ18" s="57"/>
      <c r="EOK18" s="57"/>
      <c r="EOL18" s="56"/>
      <c r="EOM18" s="57"/>
      <c r="EON18" s="58"/>
      <c r="EOO18" s="56" t="str">
        <f t="shared" si="75"/>
        <v xml:space="preserve"> </v>
      </c>
    </row>
    <row r="19" spans="1:3785" x14ac:dyDescent="0.3">
      <c r="A19" s="393" t="s">
        <v>134</v>
      </c>
      <c r="B19" s="30" t="s">
        <v>2683</v>
      </c>
      <c r="C19" s="29" t="s">
        <v>1371</v>
      </c>
      <c r="D19" s="28" t="str">
        <f t="shared" si="61"/>
        <v xml:space="preserve"> </v>
      </c>
      <c r="E19" s="29"/>
      <c r="F19" s="28"/>
      <c r="G19" s="31">
        <v>45343</v>
      </c>
      <c r="H19" s="31">
        <f>+G19+365</f>
        <v>45708</v>
      </c>
      <c r="I19" s="29" t="s">
        <v>1372</v>
      </c>
      <c r="J19" s="29" t="s">
        <v>1373</v>
      </c>
      <c r="K19" s="29" t="s">
        <v>1372</v>
      </c>
      <c r="L19" s="29" t="s">
        <v>1373</v>
      </c>
      <c r="M19" s="29" t="s">
        <v>1372</v>
      </c>
      <c r="N19" s="388" t="s">
        <v>2684</v>
      </c>
      <c r="O19" s="29" t="s">
        <v>1372</v>
      </c>
      <c r="P19" s="29"/>
      <c r="Q19" s="29" t="s">
        <v>1372</v>
      </c>
      <c r="R19" s="29" t="s">
        <v>1372</v>
      </c>
      <c r="S19" s="29" t="s">
        <v>1372</v>
      </c>
      <c r="T19" s="29" t="s">
        <v>1372</v>
      </c>
      <c r="U19" s="29" t="s">
        <v>1461</v>
      </c>
      <c r="V19" s="29" t="s">
        <v>1372</v>
      </c>
      <c r="W19" s="29"/>
      <c r="X19" s="29"/>
      <c r="Y19" s="29"/>
      <c r="Z19" s="29" t="s">
        <v>1372</v>
      </c>
      <c r="AA19" s="29"/>
      <c r="AB19" s="29"/>
      <c r="AC19" s="29"/>
      <c r="AD19" s="29"/>
      <c r="AE19" s="29"/>
      <c r="AF19" s="29"/>
      <c r="AG19" s="29" t="s">
        <v>1372</v>
      </c>
      <c r="AH19" s="29"/>
      <c r="AI19" s="29"/>
      <c r="AJ19" s="29"/>
      <c r="AK19" s="29"/>
      <c r="AL19" s="29" t="s">
        <v>1372</v>
      </c>
      <c r="AM19" s="29" t="s">
        <v>1372</v>
      </c>
      <c r="AN19" s="29"/>
      <c r="AO19" s="29"/>
      <c r="AP19" s="29"/>
      <c r="AQ19" s="29"/>
      <c r="AR19" s="29"/>
      <c r="AS19" s="29"/>
      <c r="AT19" s="30" t="s">
        <v>2702</v>
      </c>
      <c r="AU19" s="29" t="s">
        <v>1381</v>
      </c>
      <c r="AV19" s="28" t="str">
        <f t="shared" si="110"/>
        <v xml:space="preserve"> </v>
      </c>
      <c r="AW19" s="29"/>
      <c r="AX19" s="28"/>
      <c r="AY19" s="31">
        <v>45345</v>
      </c>
      <c r="AZ19" s="31">
        <f>+AY19+365</f>
        <v>45710</v>
      </c>
      <c r="BA19" s="29" t="s">
        <v>1372</v>
      </c>
      <c r="BB19" s="32" t="s">
        <v>1373</v>
      </c>
      <c r="BC19" s="29" t="s">
        <v>1372</v>
      </c>
      <c r="BD19" s="32" t="s">
        <v>1373</v>
      </c>
      <c r="BE19" s="29" t="s">
        <v>1461</v>
      </c>
      <c r="BF19" s="388" t="s">
        <v>2703</v>
      </c>
      <c r="BG19" s="29" t="s">
        <v>1372</v>
      </c>
      <c r="BH19" s="29"/>
      <c r="BI19" s="29" t="s">
        <v>1372</v>
      </c>
      <c r="BJ19" s="29" t="s">
        <v>1372</v>
      </c>
      <c r="BK19" s="29" t="s">
        <v>1372</v>
      </c>
      <c r="BL19" s="29" t="s">
        <v>1372</v>
      </c>
      <c r="BM19" s="29" t="s">
        <v>1372</v>
      </c>
      <c r="BN19" s="29"/>
      <c r="BO19" s="29" t="s">
        <v>1382</v>
      </c>
      <c r="BP19" s="29"/>
      <c r="BQ19" s="29"/>
      <c r="BR19" s="29" t="s">
        <v>1372</v>
      </c>
      <c r="BS19" s="29"/>
      <c r="BT19" s="29"/>
      <c r="BU19" s="29"/>
      <c r="BV19" s="29"/>
      <c r="BW19" s="29"/>
      <c r="BX19" s="29"/>
      <c r="BY19" s="29"/>
      <c r="BZ19" s="29"/>
      <c r="CA19" s="29"/>
      <c r="CB19" s="29"/>
      <c r="CC19" s="29"/>
      <c r="CD19" s="29"/>
      <c r="CE19" s="29"/>
      <c r="CF19" s="29"/>
      <c r="CG19" s="29"/>
      <c r="CH19" s="29"/>
      <c r="CI19" s="29"/>
      <c r="CJ19" s="29" t="s">
        <v>1375</v>
      </c>
      <c r="CK19" s="29"/>
      <c r="CL19" s="29"/>
      <c r="CM19" s="29"/>
      <c r="CN19" s="32"/>
      <c r="CO19" s="28"/>
      <c r="CP19" s="29"/>
      <c r="CQ19" s="29"/>
      <c r="CR19" s="28"/>
      <c r="CS19" s="29"/>
      <c r="CT19" s="30"/>
      <c r="CU19" s="28"/>
      <c r="CV19" s="29"/>
      <c r="CW19" s="29"/>
      <c r="CX19" s="32"/>
      <c r="CY19" s="28"/>
      <c r="CZ19" s="29"/>
      <c r="DA19" s="29"/>
      <c r="DB19" s="28"/>
      <c r="DC19" s="29"/>
      <c r="DD19" s="30"/>
      <c r="DE19" s="28"/>
      <c r="DF19" s="29"/>
      <c r="DG19" s="29"/>
      <c r="DH19" s="32"/>
      <c r="DI19" s="28"/>
      <c r="DJ19" s="29"/>
      <c r="DK19" s="29"/>
      <c r="DL19" s="28"/>
      <c r="DM19" s="29"/>
      <c r="DN19" s="30"/>
      <c r="DO19" s="28"/>
      <c r="DP19" s="29"/>
      <c r="DQ19" s="29"/>
      <c r="DR19" s="32"/>
      <c r="DS19" s="28"/>
      <c r="DT19" s="29"/>
      <c r="DU19" s="29"/>
      <c r="DV19" s="28"/>
      <c r="DW19" s="29"/>
      <c r="DX19" s="30"/>
      <c r="DY19" s="28"/>
      <c r="DZ19" s="29"/>
      <c r="EA19" s="29"/>
      <c r="EB19" s="32"/>
      <c r="EC19" s="28"/>
      <c r="ED19" s="29"/>
      <c r="EE19" s="28"/>
      <c r="EF19" s="28"/>
      <c r="EG19" s="29"/>
      <c r="EH19" s="30"/>
      <c r="EI19" s="28"/>
      <c r="EJ19" s="29"/>
      <c r="EK19" s="29"/>
      <c r="EL19" s="32"/>
      <c r="EM19" s="28"/>
      <c r="EN19" s="29"/>
      <c r="EO19" s="33"/>
      <c r="EP19" s="28"/>
      <c r="EQ19" s="29"/>
      <c r="ER19" s="30"/>
      <c r="ES19" s="28"/>
      <c r="ET19" s="29"/>
      <c r="EU19" s="29"/>
      <c r="EV19" s="32"/>
      <c r="EW19" s="28"/>
      <c r="EX19" s="29"/>
      <c r="EY19" s="29"/>
      <c r="EZ19" s="28"/>
      <c r="FA19" s="29"/>
      <c r="FB19" s="30"/>
      <c r="FC19" s="28"/>
      <c r="FD19" s="29"/>
      <c r="FE19" s="29"/>
      <c r="FF19" s="32"/>
      <c r="FG19" s="28"/>
      <c r="FH19" s="29"/>
      <c r="FI19" s="29"/>
      <c r="FJ19" s="28"/>
      <c r="FK19" s="29"/>
      <c r="FL19" s="30"/>
      <c r="FM19" s="28"/>
      <c r="FN19" s="29"/>
      <c r="FO19" s="29"/>
      <c r="FP19" s="32"/>
      <c r="FQ19" s="28"/>
      <c r="FR19" s="29"/>
      <c r="FS19" s="29"/>
      <c r="FT19" s="28"/>
      <c r="FU19" s="29"/>
      <c r="FV19" s="30"/>
      <c r="FW19" s="28"/>
      <c r="FX19" s="29"/>
      <c r="FY19" s="29"/>
      <c r="FZ19" s="32"/>
      <c r="GA19" s="28"/>
      <c r="GB19" s="29"/>
      <c r="GC19" s="29"/>
      <c r="GD19" s="28"/>
      <c r="GE19" s="29"/>
      <c r="GF19" s="30"/>
      <c r="GG19" s="28"/>
      <c r="GH19" s="29"/>
      <c r="GI19" s="29"/>
      <c r="GJ19" s="32"/>
      <c r="GK19" s="28"/>
      <c r="GL19" s="29"/>
      <c r="GM19" s="29"/>
      <c r="GN19" s="28"/>
      <c r="GO19" s="29"/>
      <c r="GP19" s="30"/>
      <c r="GQ19" s="28"/>
      <c r="GR19" s="29"/>
      <c r="GS19" s="29"/>
      <c r="GT19" s="32"/>
      <c r="GU19" s="28"/>
      <c r="GV19" s="29"/>
      <c r="GW19" s="29"/>
      <c r="GX19" s="28"/>
      <c r="GY19" s="29"/>
      <c r="GZ19" s="30"/>
      <c r="HA19" s="28"/>
      <c r="HB19" s="29"/>
      <c r="HC19" s="29"/>
      <c r="HD19" s="32"/>
      <c r="HE19" s="28"/>
      <c r="HF19" s="29"/>
      <c r="HG19" s="29"/>
      <c r="HH19" s="28"/>
      <c r="HI19" s="29"/>
      <c r="HJ19" s="30"/>
      <c r="HK19" s="28"/>
      <c r="HL19" s="29"/>
      <c r="HM19" s="29"/>
      <c r="HN19" s="32"/>
      <c r="HO19" s="28"/>
      <c r="HP19" s="29"/>
      <c r="HQ19" s="29"/>
      <c r="HR19" s="28"/>
      <c r="HS19" s="29"/>
      <c r="HT19" s="30"/>
      <c r="HU19" s="28"/>
      <c r="HV19" s="29"/>
      <c r="HW19" s="29"/>
      <c r="HX19" s="29"/>
      <c r="HY19" s="28"/>
      <c r="HZ19" s="29"/>
      <c r="IA19" s="29"/>
      <c r="IB19" s="28"/>
      <c r="IC19" s="29"/>
      <c r="ID19" s="30"/>
      <c r="IE19" s="28"/>
      <c r="IF19" s="29"/>
      <c r="IG19" s="29"/>
      <c r="IH19" s="29"/>
      <c r="II19" s="28"/>
      <c r="IJ19" s="29"/>
      <c r="IK19" s="29"/>
      <c r="IL19" s="28"/>
      <c r="IM19" s="29"/>
      <c r="IN19" s="30"/>
      <c r="IO19" s="28"/>
      <c r="IP19" s="29"/>
      <c r="IQ19" s="29"/>
      <c r="IR19" s="29"/>
      <c r="IS19" s="28"/>
      <c r="IT19" s="29"/>
      <c r="IU19" s="29"/>
      <c r="IV19" s="28"/>
      <c r="IW19" s="29"/>
      <c r="IX19" s="30"/>
      <c r="IY19" s="28"/>
      <c r="IZ19" s="29"/>
      <c r="JA19" s="29"/>
      <c r="JB19" s="29"/>
      <c r="JC19" s="28"/>
      <c r="JD19" s="29"/>
      <c r="JE19" s="29"/>
      <c r="JF19" s="28"/>
      <c r="JG19" s="29"/>
      <c r="JH19" s="30"/>
      <c r="JI19" s="28"/>
      <c r="JJ19" s="29"/>
      <c r="JK19" s="29"/>
      <c r="JL19" s="29"/>
      <c r="JM19" s="28"/>
      <c r="JN19" s="29"/>
      <c r="JO19" s="29"/>
      <c r="JP19" s="28"/>
      <c r="JQ19" s="29"/>
      <c r="JR19" s="30"/>
      <c r="JS19" s="28"/>
      <c r="JT19" s="29"/>
      <c r="JU19" s="29"/>
      <c r="JV19" s="29"/>
      <c r="JW19" s="28"/>
      <c r="JX19" s="29"/>
      <c r="JY19" s="29"/>
      <c r="JZ19" s="28"/>
      <c r="KA19" s="29"/>
      <c r="KB19" s="30"/>
      <c r="KC19" s="28"/>
      <c r="KD19" s="29"/>
      <c r="KE19" s="29"/>
      <c r="KF19" s="29"/>
      <c r="KG19" s="28"/>
      <c r="KH19" s="29"/>
      <c r="KI19" s="29"/>
      <c r="KJ19" s="28"/>
      <c r="KK19" s="29"/>
      <c r="KL19" s="30"/>
      <c r="KM19" s="28"/>
      <c r="KN19" s="29"/>
      <c r="KO19" s="29"/>
      <c r="KP19" s="29"/>
      <c r="KQ19" s="28"/>
      <c r="KR19" s="29"/>
      <c r="KS19" s="29"/>
      <c r="KT19" s="28"/>
      <c r="KU19" s="29"/>
      <c r="KV19" s="30"/>
      <c r="KW19" s="28"/>
      <c r="KX19" s="29"/>
      <c r="KY19" s="29"/>
      <c r="KZ19" s="29"/>
      <c r="LA19" s="28"/>
      <c r="LB19" s="29"/>
      <c r="LC19" s="29"/>
      <c r="LD19" s="28"/>
      <c r="LE19" s="29"/>
      <c r="LF19" s="30"/>
      <c r="LG19" s="28"/>
      <c r="LH19" s="29"/>
      <c r="LI19" s="29"/>
      <c r="LJ19" s="29"/>
      <c r="LK19" s="28"/>
      <c r="LL19" s="29"/>
      <c r="LM19" s="29"/>
      <c r="LN19" s="28"/>
      <c r="LO19" s="29"/>
      <c r="LP19" s="30"/>
      <c r="LQ19" s="28"/>
      <c r="LR19" s="29"/>
      <c r="LS19" s="29"/>
      <c r="LT19" s="29"/>
      <c r="LU19" s="28"/>
      <c r="LV19" s="29"/>
      <c r="LW19" s="29"/>
      <c r="LX19" s="28"/>
      <c r="LY19" s="29"/>
      <c r="LZ19" s="30"/>
      <c r="MA19" s="28"/>
      <c r="MB19" s="29"/>
      <c r="MC19" s="29"/>
      <c r="MD19" s="29"/>
      <c r="ME19" s="28"/>
      <c r="MF19" s="29"/>
      <c r="MG19" s="29"/>
      <c r="MH19" s="28"/>
      <c r="MI19" s="29"/>
      <c r="MJ19" s="30"/>
      <c r="MK19" s="28"/>
      <c r="ML19" s="29"/>
      <c r="MM19" s="29"/>
      <c r="MN19" s="29"/>
      <c r="MO19" s="28"/>
      <c r="MP19" s="29"/>
      <c r="MQ19" s="29"/>
      <c r="MR19" s="28"/>
      <c r="MS19" s="29"/>
      <c r="MT19" s="30"/>
      <c r="MU19" s="28"/>
      <c r="MV19" s="29"/>
      <c r="MW19" s="29"/>
      <c r="MX19" s="29"/>
      <c r="MY19" s="28"/>
      <c r="MZ19" s="29"/>
      <c r="NA19" s="29"/>
      <c r="NB19" s="28"/>
      <c r="NC19" s="29"/>
      <c r="ND19" s="30"/>
      <c r="NE19" s="28"/>
      <c r="NF19" s="29"/>
      <c r="NG19" s="29"/>
      <c r="NH19" s="29"/>
      <c r="NI19" s="28"/>
      <c r="NJ19" s="29"/>
      <c r="NK19" s="29"/>
      <c r="NL19" s="28"/>
      <c r="NM19" s="29"/>
      <c r="NN19" s="30"/>
      <c r="NO19" s="28"/>
      <c r="NP19" s="29"/>
      <c r="NQ19" s="29"/>
      <c r="NR19" s="29"/>
      <c r="NS19" s="28"/>
      <c r="NT19" s="29"/>
      <c r="NU19" s="29"/>
      <c r="NV19" s="28"/>
      <c r="NW19" s="29"/>
      <c r="NX19" s="30"/>
      <c r="NY19" s="28"/>
      <c r="NZ19" s="29"/>
      <c r="OA19" s="29"/>
      <c r="OB19" s="29"/>
      <c r="OC19" s="28"/>
      <c r="OD19" s="29"/>
      <c r="OE19" s="29"/>
      <c r="OF19" s="30"/>
      <c r="OG19" s="30"/>
      <c r="OH19" s="30"/>
      <c r="OI19" s="28"/>
      <c r="OJ19" s="30"/>
      <c r="OK19" s="30"/>
      <c r="OL19" s="30"/>
      <c r="OM19" s="30"/>
      <c r="ON19" s="30"/>
      <c r="OO19" s="30"/>
      <c r="OP19" s="28"/>
      <c r="OQ19" s="29"/>
      <c r="OR19" s="30"/>
      <c r="OS19" s="28"/>
      <c r="OT19" s="29"/>
      <c r="OU19" s="29"/>
      <c r="OV19" s="29"/>
      <c r="OW19" s="28"/>
      <c r="OX19" s="29"/>
      <c r="OY19" s="29"/>
      <c r="OZ19" s="28"/>
      <c r="PA19" s="29"/>
      <c r="PB19" s="30"/>
      <c r="PC19" s="28"/>
      <c r="PD19" s="29"/>
      <c r="PE19" s="29"/>
      <c r="PF19" s="29"/>
      <c r="PG19" s="28"/>
      <c r="PH19" s="29"/>
      <c r="PI19" s="29"/>
      <c r="PJ19" s="28"/>
      <c r="PK19" s="29"/>
      <c r="PL19" s="30"/>
      <c r="PM19" s="28"/>
      <c r="PN19" s="29"/>
      <c r="PO19" s="29"/>
      <c r="PP19" s="29"/>
      <c r="PQ19" s="28"/>
      <c r="PR19" s="29"/>
      <c r="PS19" s="29"/>
      <c r="PT19" s="28"/>
      <c r="PU19" s="29"/>
      <c r="PV19" s="30"/>
      <c r="PW19" s="28"/>
      <c r="PX19" s="29"/>
      <c r="PY19" s="29"/>
      <c r="PZ19" s="29"/>
      <c r="QA19" s="28"/>
      <c r="QB19" s="29"/>
      <c r="QC19" s="29"/>
      <c r="QD19" s="28"/>
      <c r="QE19" s="29"/>
      <c r="QF19" s="30"/>
      <c r="QG19" s="28"/>
      <c r="QH19" s="29"/>
      <c r="QI19" s="29"/>
      <c r="QJ19" s="29"/>
      <c r="QK19" s="28"/>
      <c r="QL19" s="29"/>
      <c r="QM19" s="29"/>
      <c r="QN19" s="28"/>
      <c r="QO19" s="29"/>
      <c r="QP19" s="30"/>
      <c r="QQ19" s="28"/>
      <c r="QR19" s="29"/>
      <c r="QS19" s="29"/>
      <c r="QT19" s="29"/>
      <c r="QU19" s="28"/>
      <c r="QV19" s="29"/>
      <c r="QW19" s="29"/>
      <c r="QX19" s="28"/>
      <c r="QY19" s="29"/>
      <c r="QZ19" s="30"/>
      <c r="RA19" s="28"/>
      <c r="RB19" s="29"/>
      <c r="RC19" s="29"/>
      <c r="RD19" s="29"/>
      <c r="RE19" s="28"/>
      <c r="RF19" s="29"/>
      <c r="RG19" s="29"/>
      <c r="RH19" s="28"/>
      <c r="RI19" s="29"/>
      <c r="RJ19" s="30"/>
      <c r="RK19" s="28"/>
      <c r="RL19" s="29"/>
      <c r="RM19" s="29"/>
      <c r="RN19" s="29"/>
      <c r="RO19" s="28"/>
      <c r="RP19" s="29"/>
      <c r="RQ19" s="29"/>
      <c r="RR19" s="28"/>
      <c r="RS19" s="29"/>
      <c r="RT19" s="30"/>
      <c r="RU19" s="28"/>
      <c r="RV19" s="29"/>
      <c r="RW19" s="29"/>
      <c r="RX19" s="29"/>
      <c r="RY19" s="28"/>
      <c r="RZ19" s="29"/>
      <c r="SA19" s="29"/>
      <c r="SB19" s="28"/>
      <c r="SC19" s="29"/>
      <c r="SD19" s="30"/>
      <c r="SE19" s="28"/>
      <c r="SF19" s="29"/>
      <c r="SG19" s="29"/>
      <c r="SH19" s="29"/>
      <c r="SI19" s="28"/>
      <c r="SJ19" s="29"/>
      <c r="SK19" s="29"/>
      <c r="SL19" s="28"/>
      <c r="SM19" s="29"/>
      <c r="SN19" s="30"/>
      <c r="SO19" s="28"/>
      <c r="SP19" s="29"/>
      <c r="SQ19" s="29"/>
      <c r="SR19" s="29"/>
      <c r="SS19" s="28"/>
      <c r="ST19" s="29"/>
      <c r="SU19" s="29"/>
      <c r="SV19" s="28"/>
      <c r="SW19" s="29"/>
      <c r="SX19" s="30"/>
      <c r="SY19" s="28"/>
      <c r="SZ19" s="29"/>
      <c r="TA19" s="29"/>
      <c r="TB19" s="29"/>
      <c r="TC19" s="28"/>
      <c r="TD19" s="29"/>
      <c r="TE19" s="29"/>
      <c r="TF19" s="28"/>
      <c r="TG19" s="29"/>
      <c r="TH19" s="30"/>
      <c r="TI19" s="28"/>
      <c r="TJ19" s="29"/>
      <c r="TK19" s="29"/>
      <c r="TL19" s="29"/>
      <c r="TM19" s="28"/>
      <c r="TN19" s="29"/>
      <c r="TO19" s="29"/>
      <c r="TP19" s="28"/>
      <c r="TQ19" s="29"/>
      <c r="TR19" s="30"/>
      <c r="TS19" s="28"/>
      <c r="TT19" s="29"/>
      <c r="TU19" s="29"/>
      <c r="TV19" s="29"/>
      <c r="TW19" s="28"/>
      <c r="TX19" s="29"/>
      <c r="TY19" s="29"/>
      <c r="TZ19" s="28"/>
      <c r="UA19" s="29"/>
      <c r="UB19" s="30"/>
      <c r="UC19" s="28"/>
      <c r="UD19" s="29"/>
      <c r="UE19" s="29"/>
      <c r="UF19" s="29"/>
      <c r="UG19" s="28"/>
      <c r="UH19" s="29"/>
      <c r="UI19" s="29"/>
      <c r="UJ19" s="28"/>
      <c r="UK19" s="29"/>
      <c r="UL19" s="30"/>
      <c r="UM19" s="28"/>
      <c r="UN19" s="29"/>
      <c r="UO19" s="29"/>
      <c r="UP19" s="29"/>
      <c r="UQ19" s="28"/>
      <c r="UR19" s="29"/>
      <c r="US19" s="29"/>
      <c r="UT19" s="28"/>
      <c r="UU19" s="29"/>
      <c r="UV19" s="30"/>
      <c r="UW19" s="28"/>
      <c r="UX19" s="29"/>
      <c r="UY19" s="29"/>
      <c r="UZ19" s="29"/>
      <c r="VA19" s="28"/>
      <c r="VB19" s="29"/>
      <c r="VC19" s="29"/>
      <c r="VD19" s="28"/>
      <c r="VE19" s="29"/>
      <c r="VF19" s="30"/>
      <c r="VG19" s="28"/>
      <c r="VH19" s="29"/>
      <c r="VI19" s="29"/>
      <c r="VJ19" s="29"/>
      <c r="VK19" s="28"/>
      <c r="VL19" s="29"/>
      <c r="VM19" s="29"/>
      <c r="VN19" s="28"/>
      <c r="VO19" s="29"/>
      <c r="VP19" s="30"/>
      <c r="VQ19" s="28"/>
      <c r="VR19" s="29"/>
      <c r="VS19" s="29"/>
      <c r="VT19" s="29"/>
      <c r="VU19" s="28"/>
      <c r="VV19" s="29"/>
      <c r="VW19" s="29"/>
      <c r="VX19" s="28"/>
      <c r="VY19" s="29"/>
      <c r="VZ19" s="30"/>
      <c r="WA19" s="28"/>
      <c r="WB19" s="29"/>
      <c r="WC19" s="29"/>
      <c r="WD19" s="29"/>
      <c r="WE19" s="28"/>
      <c r="WF19" s="29"/>
      <c r="WG19" s="29"/>
      <c r="WH19" s="28"/>
      <c r="WI19" s="29"/>
      <c r="WJ19" s="30"/>
      <c r="WK19" s="28"/>
      <c r="WL19" s="29"/>
      <c r="WM19" s="29"/>
      <c r="WN19" s="29"/>
      <c r="WO19" s="28"/>
      <c r="WP19" s="29"/>
      <c r="WQ19" s="29"/>
      <c r="WR19" s="28"/>
      <c r="WS19" s="29"/>
      <c r="WT19" s="30"/>
      <c r="WU19" s="28"/>
      <c r="WV19" s="29"/>
      <c r="WW19" s="29"/>
      <c r="WX19" s="29"/>
      <c r="WY19" s="28"/>
      <c r="WZ19" s="29"/>
      <c r="XA19" s="29"/>
      <c r="XB19" s="28"/>
      <c r="XC19" s="29"/>
      <c r="XD19" s="30"/>
      <c r="XE19" s="28"/>
      <c r="XF19" s="29"/>
      <c r="XG19" s="29"/>
      <c r="XH19" s="29"/>
      <c r="XI19" s="28"/>
      <c r="XJ19" s="29"/>
      <c r="XK19" s="29"/>
      <c r="XL19" s="28"/>
      <c r="XM19" s="29"/>
      <c r="XN19" s="30"/>
      <c r="XO19" s="28"/>
      <c r="XP19" s="29"/>
      <c r="XQ19" s="29"/>
      <c r="XR19" s="29"/>
      <c r="XS19" s="28"/>
      <c r="XT19" s="29"/>
      <c r="XU19" s="29"/>
      <c r="XV19" s="28"/>
      <c r="XW19" s="29"/>
      <c r="XX19" s="30"/>
      <c r="XY19" s="28"/>
      <c r="XZ19" s="29"/>
      <c r="YA19" s="29"/>
      <c r="YB19" s="29"/>
      <c r="YC19" s="28"/>
      <c r="YD19" s="29"/>
      <c r="YE19" s="29"/>
      <c r="YF19" s="28"/>
      <c r="YG19" s="29"/>
      <c r="YH19" s="30"/>
      <c r="YI19" s="28"/>
      <c r="YJ19" s="29"/>
      <c r="YK19" s="29"/>
      <c r="YL19" s="29"/>
      <c r="YM19" s="28"/>
      <c r="YN19" s="29"/>
      <c r="YO19" s="29"/>
      <c r="YP19" s="28"/>
      <c r="YQ19" s="29"/>
      <c r="YR19" s="30"/>
      <c r="YS19" s="28"/>
      <c r="YT19" s="29"/>
      <c r="YU19" s="29"/>
      <c r="YV19" s="29"/>
      <c r="YW19" s="28"/>
      <c r="YX19" s="29"/>
      <c r="YY19" s="29"/>
      <c r="YZ19" s="28"/>
      <c r="ZA19" s="29"/>
      <c r="ZB19" s="30"/>
      <c r="ZC19" s="28"/>
      <c r="ZD19" s="29"/>
      <c r="ZE19" s="29"/>
      <c r="ZF19" s="29"/>
      <c r="ZG19" s="28"/>
      <c r="ZH19" s="29"/>
      <c r="ZI19" s="29"/>
      <c r="ZJ19" s="28"/>
      <c r="ZK19" s="29"/>
      <c r="ZL19" s="30"/>
      <c r="ZM19" s="28"/>
      <c r="ZN19" s="29"/>
      <c r="ZO19" s="29"/>
      <c r="ZP19" s="29"/>
      <c r="ZQ19" s="28"/>
      <c r="ZR19" s="29"/>
      <c r="ZS19" s="29"/>
      <c r="ZT19" s="28"/>
      <c r="ZU19" s="29"/>
      <c r="ZV19" s="30"/>
      <c r="ZW19" s="28"/>
      <c r="ZX19" s="29"/>
      <c r="ZY19" s="29"/>
      <c r="ZZ19" s="29"/>
      <c r="AAA19" s="28"/>
      <c r="AAB19" s="29"/>
      <c r="AAC19" s="29"/>
      <c r="AAD19" s="28"/>
      <c r="AAE19" s="29"/>
      <c r="AAF19" s="30"/>
      <c r="AAG19" s="28"/>
      <c r="AAH19" s="29"/>
      <c r="AAI19" s="29"/>
      <c r="AAJ19" s="29"/>
      <c r="AAK19" s="28"/>
      <c r="AAL19" s="29"/>
      <c r="AAM19" s="29"/>
      <c r="AAN19" s="28"/>
      <c r="AAO19" s="29"/>
      <c r="AAP19" s="30"/>
      <c r="AAQ19" s="28"/>
      <c r="AAR19" s="29"/>
      <c r="AAS19" s="29"/>
      <c r="AAT19" s="29"/>
      <c r="AAU19" s="28"/>
      <c r="AAV19" s="29"/>
      <c r="AAW19" s="29"/>
      <c r="AAX19" s="30"/>
      <c r="AAY19" s="30"/>
      <c r="AAZ19" s="30"/>
      <c r="ABA19" s="28"/>
      <c r="ABB19" s="30"/>
      <c r="ABC19" s="30"/>
      <c r="ABD19" s="30"/>
      <c r="ABE19" s="30"/>
      <c r="ABF19" s="30"/>
      <c r="ABG19" s="29"/>
      <c r="ABH19" s="28"/>
      <c r="ABI19" s="29"/>
      <c r="ABJ19" s="30"/>
      <c r="ABK19" s="28"/>
      <c r="ABL19" s="29"/>
      <c r="ABM19" s="29"/>
      <c r="ABN19" s="29"/>
      <c r="ABO19" s="28"/>
      <c r="ABP19" s="29"/>
      <c r="ABQ19" s="29"/>
      <c r="ABR19" s="28"/>
      <c r="ABS19" s="29"/>
      <c r="ABT19" s="30"/>
      <c r="ABU19" s="28"/>
      <c r="ABV19" s="29"/>
      <c r="ABW19" s="29"/>
      <c r="ABX19" s="29"/>
      <c r="ABY19" s="28"/>
      <c r="ABZ19" s="29"/>
      <c r="ACA19" s="29"/>
      <c r="ACB19" s="28"/>
      <c r="ACC19" s="29"/>
      <c r="ACD19" s="30"/>
      <c r="ACE19" s="28"/>
      <c r="ACF19" s="29"/>
      <c r="ACG19" s="29"/>
      <c r="ACH19" s="29"/>
      <c r="ACI19" s="28"/>
      <c r="ACJ19" s="29"/>
      <c r="ACK19" s="29"/>
      <c r="ACL19" s="28"/>
      <c r="ACM19" s="29"/>
      <c r="ACN19" s="30"/>
      <c r="ACO19" s="28"/>
      <c r="ACP19" s="29"/>
      <c r="ACQ19" s="29"/>
      <c r="ACR19" s="29"/>
      <c r="ACS19" s="28"/>
      <c r="ACT19" s="29"/>
      <c r="ACU19" s="29"/>
      <c r="ACV19" s="28"/>
      <c r="ACW19" s="29"/>
      <c r="ACX19" s="30"/>
      <c r="ACY19" s="28"/>
      <c r="ACZ19" s="29"/>
      <c r="ADA19" s="29"/>
      <c r="ADB19" s="29"/>
      <c r="ADC19" s="28"/>
      <c r="ADD19" s="29"/>
      <c r="ADE19" s="29"/>
      <c r="ADF19" s="28"/>
      <c r="ADG19" s="29"/>
      <c r="ADH19" s="30"/>
      <c r="ADI19" s="28"/>
      <c r="ADJ19" s="29"/>
      <c r="ADK19" s="29"/>
      <c r="ADL19" s="29"/>
      <c r="ADM19" s="28"/>
      <c r="ADN19" s="29"/>
      <c r="ADO19" s="29"/>
      <c r="ADP19" s="28"/>
      <c r="ADQ19" s="29"/>
      <c r="ADR19" s="30"/>
      <c r="ADS19" s="28"/>
      <c r="ADT19" s="29"/>
      <c r="ADU19" s="29"/>
      <c r="ADV19" s="29"/>
      <c r="ADW19" s="28"/>
      <c r="ADX19" s="29"/>
      <c r="ADY19" s="29"/>
      <c r="ADZ19" s="28"/>
      <c r="AEA19" s="29"/>
      <c r="AEB19" s="30"/>
      <c r="AEC19" s="28"/>
      <c r="AED19" s="29"/>
      <c r="AEE19" s="29"/>
      <c r="AEF19" s="29"/>
      <c r="AEG19" s="28"/>
      <c r="AEH19" s="29"/>
      <c r="AEI19" s="29"/>
      <c r="AEJ19" s="28"/>
      <c r="AEK19" s="29"/>
      <c r="AEL19" s="30"/>
      <c r="AEM19" s="28"/>
      <c r="AEN19" s="29"/>
      <c r="AEO19" s="29"/>
      <c r="AEP19" s="29"/>
      <c r="AEQ19" s="28"/>
      <c r="AER19" s="29"/>
      <c r="AES19" s="29"/>
      <c r="AET19" s="28"/>
      <c r="AEU19" s="29"/>
      <c r="AEV19" s="30"/>
      <c r="AEW19" s="28"/>
      <c r="AEX19" s="29"/>
      <c r="AEY19" s="29"/>
      <c r="AEZ19" s="29"/>
      <c r="AFA19" s="28"/>
      <c r="AFB19" s="29"/>
      <c r="AFC19" s="29"/>
      <c r="AFD19" s="28"/>
      <c r="AFE19" s="29"/>
      <c r="AFF19" s="30"/>
      <c r="AFG19" s="28"/>
      <c r="AFH19" s="29"/>
      <c r="AFI19" s="29"/>
      <c r="AFJ19" s="29"/>
      <c r="AFK19" s="28"/>
      <c r="AFL19" s="29"/>
      <c r="AFM19" s="29"/>
      <c r="AFN19" s="28"/>
      <c r="AFO19" s="29"/>
      <c r="AFP19" s="30"/>
      <c r="AFQ19" s="28"/>
      <c r="AFR19" s="29"/>
      <c r="AFS19" s="29"/>
      <c r="AFT19" s="29"/>
      <c r="AFU19" s="28"/>
      <c r="AFV19" s="29"/>
      <c r="AFW19" s="29"/>
      <c r="AFX19" s="28"/>
      <c r="AFY19" s="29"/>
      <c r="AFZ19" s="30"/>
      <c r="AGA19" s="28"/>
      <c r="AGB19" s="29"/>
      <c r="AGC19" s="29"/>
      <c r="AGD19" s="29"/>
      <c r="AGE19" s="28"/>
      <c r="AGF19" s="29"/>
      <c r="AGG19" s="29"/>
      <c r="AGH19" s="28"/>
      <c r="AGI19" s="29"/>
      <c r="AGJ19" s="30"/>
      <c r="AGK19" s="28"/>
      <c r="AGL19" s="29"/>
      <c r="AGM19" s="29"/>
      <c r="AGN19" s="29"/>
      <c r="AGO19" s="28"/>
      <c r="AGP19" s="29"/>
      <c r="AGQ19" s="29"/>
      <c r="AGR19" s="28"/>
      <c r="AGS19" s="29"/>
      <c r="AGT19" s="30"/>
      <c r="AGU19" s="28"/>
      <c r="AGV19" s="29"/>
      <c r="AGW19" s="29"/>
      <c r="AGX19" s="29"/>
      <c r="AGY19" s="28"/>
      <c r="AGZ19" s="29"/>
      <c r="AHA19" s="29"/>
      <c r="AHB19" s="28"/>
      <c r="AHC19" s="29"/>
      <c r="AHD19" s="30"/>
      <c r="AHE19" s="28"/>
      <c r="AHF19" s="29"/>
      <c r="AHG19" s="29"/>
      <c r="AHH19" s="29"/>
      <c r="AHI19" s="28"/>
      <c r="AHJ19" s="29"/>
      <c r="AHK19" s="29"/>
      <c r="AHL19" s="28"/>
      <c r="AHM19" s="29"/>
      <c r="AHN19" s="30"/>
      <c r="AHO19" s="28"/>
      <c r="AHP19" s="29"/>
      <c r="AHQ19" s="29"/>
      <c r="AHR19" s="29"/>
      <c r="AHS19" s="28"/>
      <c r="AHT19" s="29"/>
      <c r="AHU19" s="29"/>
      <c r="AHV19" s="28"/>
      <c r="AHW19" s="29"/>
      <c r="AHX19" s="30"/>
      <c r="AHY19" s="28"/>
      <c r="AHZ19" s="29"/>
      <c r="AIA19" s="29"/>
      <c r="AIB19" s="29"/>
      <c r="AIC19" s="28"/>
      <c r="AID19" s="29"/>
      <c r="AIE19" s="29"/>
      <c r="AIF19" s="28"/>
      <c r="AIG19" s="29"/>
      <c r="AIH19" s="30"/>
      <c r="AII19" s="28"/>
      <c r="AIJ19" s="29"/>
      <c r="AIK19" s="29"/>
      <c r="AIL19" s="29"/>
      <c r="AIM19" s="28"/>
      <c r="AIN19" s="29"/>
      <c r="AIO19" s="29"/>
      <c r="AIP19" s="28"/>
      <c r="AIQ19" s="29"/>
      <c r="AIR19" s="30"/>
      <c r="AIS19" s="28"/>
      <c r="AIT19" s="29"/>
      <c r="AIU19" s="29"/>
      <c r="AIV19" s="29"/>
      <c r="AIW19" s="28"/>
      <c r="AIX19" s="29"/>
      <c r="AIY19" s="29"/>
      <c r="AIZ19" s="28"/>
      <c r="AJA19" s="29"/>
      <c r="AJB19" s="30"/>
      <c r="AJC19" s="28"/>
      <c r="AJD19" s="29"/>
      <c r="AJE19" s="29"/>
      <c r="AJF19" s="29"/>
      <c r="AJG19" s="28"/>
      <c r="AJH19" s="29"/>
      <c r="AJI19" s="29"/>
      <c r="AJJ19" s="28"/>
      <c r="AJK19" s="29"/>
      <c r="AJL19" s="30"/>
      <c r="AJM19" s="28"/>
      <c r="AJN19" s="29"/>
      <c r="AJO19" s="29"/>
      <c r="AJP19" s="29"/>
      <c r="AJQ19" s="28"/>
      <c r="AJR19" s="29"/>
      <c r="AJS19" s="29"/>
      <c r="AJT19" s="28"/>
      <c r="AJU19" s="29"/>
      <c r="AJV19" s="30"/>
      <c r="AJW19" s="28"/>
      <c r="AJX19" s="29"/>
      <c r="AJY19" s="29"/>
      <c r="AJZ19" s="29"/>
      <c r="AKA19" s="28"/>
      <c r="AKB19" s="29"/>
      <c r="AKC19" s="29"/>
      <c r="AKD19" s="28"/>
      <c r="AKE19" s="29"/>
      <c r="AKF19" s="30"/>
      <c r="AKG19" s="28"/>
      <c r="AKH19" s="29"/>
      <c r="AKI19" s="29"/>
      <c r="AKJ19" s="29"/>
      <c r="AKK19" s="28"/>
      <c r="AKL19" s="29"/>
      <c r="AKM19" s="29"/>
      <c r="AKN19" s="28"/>
      <c r="AKO19" s="29"/>
      <c r="AKP19" s="30"/>
      <c r="AKQ19" s="28"/>
      <c r="AKR19" s="29"/>
      <c r="AKS19" s="29"/>
      <c r="AKT19" s="29"/>
      <c r="AKU19" s="28"/>
      <c r="AKV19" s="29"/>
      <c r="AKW19" s="29"/>
      <c r="AKX19" s="28"/>
      <c r="AKY19" s="29"/>
      <c r="AKZ19" s="30"/>
      <c r="ALA19" s="28"/>
      <c r="ALB19" s="29"/>
      <c r="ALC19" s="29"/>
      <c r="ALD19" s="29"/>
      <c r="ALE19" s="28"/>
      <c r="ALF19" s="29"/>
      <c r="ALG19" s="29"/>
      <c r="ALH19" s="29"/>
      <c r="ALI19" s="29"/>
      <c r="ALJ19" s="29"/>
      <c r="ALK19" s="28"/>
      <c r="ALL19" s="29"/>
      <c r="ALM19" s="29"/>
      <c r="ALN19" s="28"/>
      <c r="ALO19" s="29"/>
      <c r="ALP19" s="30"/>
      <c r="ALQ19" s="28"/>
      <c r="ALR19" s="29"/>
      <c r="ALS19" s="29"/>
      <c r="ALT19" s="29"/>
      <c r="ALU19" s="28"/>
      <c r="ALV19" s="29"/>
      <c r="ALW19" s="29"/>
      <c r="ALX19" s="28"/>
      <c r="ALY19" s="29"/>
      <c r="ALZ19" s="30"/>
      <c r="AMA19" s="28"/>
      <c r="AMB19" s="29"/>
      <c r="AMC19" s="29"/>
      <c r="AMD19" s="29"/>
      <c r="AME19" s="28"/>
      <c r="AMF19" s="29"/>
      <c r="AMG19" s="29"/>
      <c r="AMH19" s="29"/>
      <c r="AMI19" s="29"/>
      <c r="AMJ19" s="29"/>
      <c r="AMK19" s="28"/>
      <c r="AML19" s="29"/>
      <c r="AMM19" s="29"/>
      <c r="AMN19" s="28"/>
      <c r="AMO19" s="29"/>
      <c r="AMP19" s="30"/>
      <c r="AMQ19" s="28"/>
      <c r="AMR19" s="29"/>
      <c r="AMS19" s="29"/>
      <c r="AMT19" s="29"/>
      <c r="AMU19" s="28"/>
      <c r="AMV19" s="29"/>
      <c r="AMW19" s="29"/>
      <c r="AMX19" s="28"/>
      <c r="AMY19" s="29"/>
      <c r="AMZ19" s="30"/>
      <c r="ANA19" s="28"/>
      <c r="ANB19" s="29"/>
      <c r="ANC19" s="29"/>
      <c r="AND19" s="29"/>
      <c r="ANE19" s="28"/>
      <c r="ANF19" s="29"/>
      <c r="ANG19" s="29"/>
      <c r="ANH19" s="29"/>
      <c r="ANI19" s="29"/>
      <c r="ANJ19" s="29"/>
      <c r="ANK19" s="28"/>
      <c r="ANL19" s="29"/>
      <c r="ANM19" s="29"/>
      <c r="ANN19" s="28"/>
      <c r="ANO19" s="29"/>
      <c r="ANP19" s="30"/>
      <c r="ANQ19" s="28"/>
      <c r="ANR19" s="29"/>
      <c r="ANS19" s="29"/>
      <c r="ANT19" s="29"/>
      <c r="ANU19" s="28"/>
      <c r="ANV19" s="29"/>
      <c r="ANW19" s="29"/>
      <c r="ANX19" s="28"/>
      <c r="ANY19" s="29"/>
      <c r="ANZ19" s="30"/>
      <c r="AOA19" s="28"/>
      <c r="AOB19" s="29"/>
      <c r="AOC19" s="29"/>
      <c r="AOD19" s="29"/>
      <c r="AOE19" s="28"/>
      <c r="AOF19" s="29"/>
      <c r="AOG19" s="29"/>
      <c r="AOH19" s="29"/>
      <c r="AOI19" s="29"/>
      <c r="AOJ19" s="29"/>
      <c r="AOK19" s="28"/>
      <c r="AOL19" s="29"/>
      <c r="AOM19" s="29"/>
      <c r="AON19" s="28"/>
      <c r="AOO19" s="29"/>
      <c r="AOP19" s="30"/>
      <c r="AOQ19" s="28"/>
      <c r="AOR19" s="29"/>
      <c r="AOS19" s="29"/>
      <c r="AOT19" s="29"/>
      <c r="AOU19" s="28"/>
      <c r="AOV19" s="29"/>
      <c r="AOW19" s="29"/>
      <c r="AOX19" s="28"/>
      <c r="AOY19" s="29"/>
      <c r="AOZ19" s="30"/>
      <c r="APA19" s="28"/>
      <c r="APB19" s="29"/>
      <c r="APC19" s="29"/>
      <c r="APD19" s="29"/>
      <c r="APE19" s="28"/>
      <c r="APF19" s="29"/>
      <c r="APG19" s="29"/>
      <c r="APH19" s="29"/>
      <c r="API19" s="29"/>
      <c r="APJ19" s="29"/>
      <c r="APK19" s="28"/>
      <c r="APL19" s="29"/>
      <c r="APM19" s="29"/>
      <c r="APN19" s="28"/>
      <c r="APO19" s="29"/>
      <c r="APP19" s="30"/>
      <c r="APQ19" s="28"/>
      <c r="APR19" s="29"/>
      <c r="APS19" s="29"/>
      <c r="APT19" s="29"/>
      <c r="APU19" s="28"/>
      <c r="APV19" s="29"/>
      <c r="APW19" s="29"/>
      <c r="APX19" s="28"/>
      <c r="APY19" s="29"/>
      <c r="APZ19" s="30"/>
      <c r="AQA19" s="28"/>
      <c r="AQB19" s="29"/>
      <c r="AQC19" s="29"/>
      <c r="AQD19" s="29"/>
      <c r="AQE19" s="28"/>
      <c r="AQF19" s="29"/>
      <c r="AQG19" s="29"/>
      <c r="AQH19" s="29"/>
      <c r="AQI19" s="29"/>
      <c r="AQJ19" s="29"/>
      <c r="AQK19" s="28"/>
      <c r="AQL19" s="29"/>
      <c r="AQM19" s="29"/>
      <c r="AQN19" s="28"/>
      <c r="AQO19" s="29"/>
      <c r="AQP19" s="30"/>
      <c r="AQQ19" s="28"/>
      <c r="AQR19" s="29"/>
      <c r="AQS19" s="29"/>
      <c r="AQT19" s="29"/>
      <c r="AQU19" s="28"/>
      <c r="AQV19" s="29"/>
      <c r="AQW19" s="29"/>
      <c r="AQX19" s="28"/>
      <c r="AQY19" s="29"/>
      <c r="AQZ19" s="30"/>
      <c r="ARA19" s="28"/>
      <c r="ARB19" s="29"/>
      <c r="ARC19" s="29"/>
      <c r="ARD19" s="29"/>
      <c r="ARE19" s="28"/>
      <c r="ARF19" s="29"/>
      <c r="ARG19" s="29"/>
      <c r="ARH19" s="29"/>
      <c r="ARI19" s="29"/>
      <c r="ARJ19" s="29"/>
      <c r="ARK19" s="28"/>
      <c r="ARL19" s="29"/>
      <c r="ARM19" s="29"/>
      <c r="ARN19" s="28"/>
      <c r="ARO19" s="29"/>
      <c r="ARP19" s="30"/>
      <c r="ARQ19" s="28"/>
      <c r="ARR19" s="29"/>
      <c r="ARS19" s="29"/>
      <c r="ART19" s="29"/>
      <c r="ARU19" s="28"/>
      <c r="ARV19" s="29"/>
      <c r="ARW19" s="29"/>
      <c r="ARX19" s="28"/>
      <c r="ARY19" s="29"/>
      <c r="ARZ19" s="30"/>
      <c r="ASA19" s="28"/>
      <c r="ASB19" s="29"/>
      <c r="ASC19" s="29"/>
      <c r="ASD19" s="29"/>
      <c r="ASE19" s="28"/>
      <c r="ASF19" s="29"/>
      <c r="ASG19" s="29"/>
      <c r="ASH19" s="29"/>
      <c r="ASI19" s="29"/>
      <c r="ASJ19" s="29"/>
      <c r="ASK19" s="28"/>
      <c r="ASL19" s="29"/>
      <c r="ASM19" s="29"/>
      <c r="ASN19" s="28"/>
      <c r="ASO19" s="29"/>
      <c r="ASP19" s="30"/>
      <c r="ASQ19" s="28"/>
      <c r="ASR19" s="29"/>
      <c r="ASS19" s="29"/>
      <c r="AST19" s="29"/>
      <c r="ASU19" s="28"/>
      <c r="ASV19" s="29"/>
      <c r="ASW19" s="29"/>
      <c r="ASX19" s="28"/>
      <c r="ASY19" s="29"/>
      <c r="ASZ19" s="30"/>
      <c r="ATA19" s="28"/>
      <c r="ATB19" s="29"/>
      <c r="ATC19" s="29"/>
      <c r="ATD19" s="29"/>
      <c r="ATE19" s="28"/>
      <c r="ATF19" s="29"/>
      <c r="ATG19" s="29"/>
      <c r="ATH19" s="29"/>
      <c r="ATI19" s="29"/>
      <c r="ATJ19" s="29"/>
      <c r="ATK19" s="28"/>
      <c r="ATL19" s="29"/>
      <c r="ATM19" s="29"/>
      <c r="ATN19" s="28"/>
      <c r="ATO19" s="29"/>
      <c r="ATP19" s="30"/>
      <c r="ATQ19" s="28"/>
      <c r="ATR19" s="29"/>
      <c r="ATS19" s="29"/>
      <c r="ATT19" s="29"/>
      <c r="ATU19" s="28"/>
      <c r="ATV19" s="29"/>
      <c r="ATW19" s="29"/>
      <c r="ATX19" s="28"/>
      <c r="ATY19" s="29"/>
      <c r="ATZ19" s="30"/>
      <c r="AUA19" s="28"/>
      <c r="AUB19" s="29"/>
      <c r="AUC19" s="29"/>
      <c r="AUD19" s="29"/>
      <c r="AUE19" s="28"/>
      <c r="AUF19" s="29"/>
      <c r="AUG19" s="29"/>
      <c r="AUH19" s="29"/>
      <c r="AUI19" s="29"/>
      <c r="AUJ19" s="29"/>
      <c r="AUK19" s="28"/>
      <c r="AUL19" s="29"/>
      <c r="AUM19" s="29"/>
      <c r="AUN19" s="28"/>
      <c r="AUO19" s="29"/>
      <c r="AUP19" s="30"/>
      <c r="AUQ19" s="28"/>
      <c r="AUR19" s="29"/>
      <c r="AUS19" s="29"/>
      <c r="AUT19" s="29"/>
      <c r="AUU19" s="28"/>
      <c r="AUV19" s="29"/>
      <c r="AUW19" s="29"/>
      <c r="AUX19" s="28"/>
      <c r="AUY19" s="29"/>
      <c r="AUZ19" s="30"/>
      <c r="AVA19" s="28"/>
      <c r="AVB19" s="29"/>
      <c r="AVC19" s="29"/>
      <c r="AVD19" s="29"/>
      <c r="AVE19" s="28"/>
      <c r="AVF19" s="29"/>
      <c r="AVG19" s="29"/>
      <c r="AVH19" s="29"/>
      <c r="AVI19" s="29"/>
      <c r="AVJ19" s="29"/>
      <c r="AVK19" s="28"/>
      <c r="AVL19" s="29"/>
      <c r="AVM19" s="29"/>
      <c r="AVN19" s="28"/>
      <c r="AVO19" s="29"/>
      <c r="AVP19" s="30"/>
      <c r="AVQ19" s="28"/>
      <c r="AVR19" s="29"/>
      <c r="AVS19" s="29"/>
      <c r="AVT19" s="29"/>
      <c r="AVU19" s="28"/>
      <c r="AVV19" s="29"/>
      <c r="AVW19" s="29"/>
      <c r="AVX19" s="28"/>
      <c r="AVY19" s="29"/>
      <c r="AVZ19" s="30"/>
      <c r="AWA19" s="28"/>
      <c r="AWB19" s="29"/>
      <c r="AWC19" s="29"/>
      <c r="AWD19" s="29"/>
      <c r="AWE19" s="28"/>
      <c r="AWF19" s="29"/>
      <c r="AWG19" s="29"/>
      <c r="AWH19" s="29"/>
      <c r="AWI19" s="29"/>
      <c r="AWJ19" s="29"/>
      <c r="AWK19" s="28"/>
      <c r="AWL19" s="29"/>
      <c r="AWM19" s="29"/>
      <c r="AWN19" s="28"/>
      <c r="AWO19" s="29"/>
      <c r="AWP19" s="30"/>
      <c r="AWQ19" s="28"/>
      <c r="AWR19" s="29"/>
      <c r="AWS19" s="29"/>
      <c r="AWT19" s="29"/>
      <c r="AWU19" s="28"/>
      <c r="AWV19" s="29"/>
      <c r="AWW19" s="29"/>
      <c r="AWX19" s="28"/>
      <c r="AWY19" s="29"/>
      <c r="AWZ19" s="30"/>
      <c r="AXA19" s="28"/>
      <c r="AXB19" s="29"/>
      <c r="AXC19" s="29"/>
      <c r="AXD19" s="29"/>
      <c r="AXE19" s="28"/>
      <c r="AXF19" s="29"/>
      <c r="AXG19" s="29"/>
      <c r="AXH19" s="29"/>
      <c r="AXI19" s="29"/>
      <c r="AXJ19" s="29"/>
      <c r="AXK19" s="28"/>
      <c r="AXL19" s="29"/>
      <c r="AXM19" s="29"/>
      <c r="AXN19" s="28"/>
      <c r="AXO19" s="29"/>
      <c r="AXP19" s="30"/>
      <c r="AXQ19" s="28"/>
      <c r="AXR19" s="29"/>
      <c r="AXS19" s="29"/>
      <c r="AXT19" s="29"/>
      <c r="AXU19" s="28"/>
      <c r="AXV19" s="29"/>
      <c r="AXW19" s="29"/>
      <c r="AXX19" s="28"/>
      <c r="AXY19" s="29"/>
      <c r="AXZ19" s="30"/>
      <c r="AYA19" s="28"/>
      <c r="AYB19" s="29"/>
      <c r="AYC19" s="29"/>
      <c r="AYD19" s="29"/>
      <c r="AYE19" s="28"/>
      <c r="AYF19" s="29"/>
      <c r="AYG19" s="29"/>
      <c r="AYH19" s="29"/>
      <c r="AYI19" s="29"/>
      <c r="AYJ19" s="29"/>
      <c r="AYK19" s="28"/>
      <c r="AYL19" s="29"/>
      <c r="AYM19" s="29"/>
      <c r="AYN19" s="28"/>
      <c r="AYO19" s="29"/>
      <c r="AYP19" s="30"/>
      <c r="AYQ19" s="28"/>
      <c r="AYR19" s="29"/>
      <c r="AYS19" s="29"/>
      <c r="AYT19" s="29"/>
      <c r="AYU19" s="28"/>
      <c r="AYV19" s="29"/>
      <c r="AYW19" s="29"/>
      <c r="AYX19" s="28"/>
      <c r="AYY19" s="29"/>
      <c r="AYZ19" s="30"/>
      <c r="AZA19" s="28"/>
      <c r="AZB19" s="29"/>
      <c r="AZC19" s="29"/>
      <c r="AZD19" s="29"/>
      <c r="AZE19" s="28"/>
      <c r="AZF19" s="29"/>
      <c r="AZG19" s="29"/>
      <c r="AZH19" s="29"/>
      <c r="AZI19" s="29"/>
      <c r="AZJ19" s="29"/>
      <c r="AZK19" s="28"/>
      <c r="AZL19" s="29"/>
      <c r="AZM19" s="29"/>
      <c r="AZN19" s="28"/>
      <c r="AZO19" s="29"/>
      <c r="AZP19" s="30"/>
      <c r="AZQ19" s="28"/>
      <c r="AZR19" s="29"/>
      <c r="AZS19" s="29"/>
      <c r="AZT19" s="29"/>
      <c r="AZU19" s="28"/>
      <c r="AZV19" s="29"/>
      <c r="AZW19" s="29"/>
      <c r="AZX19" s="28"/>
      <c r="AZY19" s="29"/>
      <c r="AZZ19" s="30"/>
      <c r="BAA19" s="28"/>
      <c r="BAB19" s="29"/>
      <c r="BAC19" s="29"/>
      <c r="BAD19" s="29"/>
      <c r="BAE19" s="28"/>
      <c r="BAF19" s="29"/>
      <c r="BAG19" s="29"/>
      <c r="BAH19" s="29"/>
      <c r="BAI19" s="29"/>
      <c r="BAJ19" s="29"/>
      <c r="BAK19" s="28"/>
      <c r="BAL19" s="29"/>
      <c r="BAM19" s="29"/>
      <c r="BAN19" s="28"/>
      <c r="BAO19" s="29"/>
      <c r="BAP19" s="30"/>
      <c r="BAQ19" s="28"/>
      <c r="BAR19" s="29"/>
      <c r="BAS19" s="29"/>
      <c r="BAT19" s="29"/>
      <c r="BAU19" s="28"/>
      <c r="BAV19" s="29"/>
      <c r="BAW19" s="29"/>
      <c r="BAX19" s="28"/>
      <c r="BAY19" s="29"/>
      <c r="BAZ19" s="30"/>
      <c r="BBA19" s="28"/>
      <c r="BBB19" s="29"/>
      <c r="BBC19" s="29"/>
      <c r="BBD19" s="29"/>
      <c r="BBE19" s="28"/>
      <c r="BBF19" s="29"/>
      <c r="BBG19" s="29"/>
      <c r="BBH19" s="29"/>
      <c r="BBI19" s="29"/>
      <c r="BBJ19" s="29"/>
      <c r="BBK19" s="28"/>
      <c r="BBL19" s="29"/>
      <c r="BBM19" s="29"/>
      <c r="BBN19" s="28"/>
      <c r="BBO19" s="29"/>
      <c r="BBP19" s="30"/>
      <c r="BBQ19" s="28"/>
      <c r="BBR19" s="29"/>
      <c r="BBS19" s="29"/>
      <c r="BBT19" s="29"/>
      <c r="BBU19" s="28"/>
      <c r="BBV19" s="29"/>
      <c r="BBW19" s="29"/>
      <c r="BBX19" s="28"/>
      <c r="BBY19" s="29"/>
      <c r="BBZ19" s="30"/>
      <c r="BCA19" s="28"/>
      <c r="BCB19" s="29"/>
      <c r="BCC19" s="29"/>
      <c r="BCD19" s="29"/>
      <c r="BCE19" s="28"/>
      <c r="BCF19" s="29"/>
      <c r="BCG19" s="29"/>
      <c r="BCH19" s="29"/>
      <c r="BCI19" s="29"/>
      <c r="BCJ19" s="29"/>
      <c r="BCK19" s="28"/>
      <c r="BCL19" s="29"/>
      <c r="BCM19" s="29"/>
      <c r="BCN19" s="28"/>
      <c r="BCO19" s="29"/>
      <c r="BCP19" s="30"/>
      <c r="BCQ19" s="28"/>
      <c r="BCR19" s="29"/>
      <c r="BCS19" s="29"/>
      <c r="BCT19" s="29"/>
      <c r="BCU19" s="28"/>
      <c r="BCV19" s="29"/>
      <c r="BCW19" s="29"/>
      <c r="BCX19" s="28"/>
      <c r="BCY19" s="29"/>
      <c r="BCZ19" s="30"/>
      <c r="BDA19" s="28"/>
      <c r="BDB19" s="29"/>
      <c r="BDC19" s="29"/>
      <c r="BDD19" s="29"/>
      <c r="BDE19" s="28"/>
      <c r="BDF19" s="29"/>
      <c r="BDG19" s="29"/>
      <c r="BDH19" s="29"/>
      <c r="BDI19" s="29"/>
      <c r="BDJ19" s="29"/>
      <c r="BDK19" s="28"/>
      <c r="BDL19" s="29"/>
      <c r="BDM19" s="29"/>
      <c r="BDN19" s="28"/>
      <c r="BDO19" s="29"/>
      <c r="BDP19" s="30"/>
      <c r="BDQ19" s="28"/>
      <c r="BDR19" s="29"/>
      <c r="BDS19" s="29"/>
      <c r="BDT19" s="29"/>
      <c r="BDU19" s="28"/>
      <c r="BDV19" s="29"/>
      <c r="BDW19" s="29"/>
      <c r="BDX19" s="28"/>
      <c r="BDY19" s="29"/>
      <c r="BDZ19" s="30"/>
      <c r="BEA19" s="28"/>
      <c r="BEB19" s="29"/>
      <c r="BEC19" s="29"/>
      <c r="BED19" s="29"/>
      <c r="BEE19" s="28"/>
      <c r="BEF19" s="29"/>
      <c r="BEG19" s="29"/>
      <c r="BEH19" s="29"/>
      <c r="BEI19" s="29"/>
      <c r="BEJ19" s="29"/>
      <c r="BEK19" s="28"/>
      <c r="BEL19" s="29"/>
      <c r="BEM19" s="29"/>
      <c r="BEN19" s="28"/>
      <c r="BEO19" s="29"/>
      <c r="BEP19" s="30"/>
      <c r="BEQ19" s="28"/>
      <c r="BER19" s="29"/>
      <c r="BES19" s="29"/>
      <c r="BET19" s="29"/>
      <c r="BEU19" s="28"/>
      <c r="BEV19" s="29"/>
      <c r="BEW19" s="29"/>
      <c r="BEX19" s="28"/>
      <c r="BEY19" s="29"/>
      <c r="BEZ19" s="30"/>
      <c r="BFA19" s="28"/>
      <c r="BFB19" s="29"/>
      <c r="BFC19" s="29"/>
      <c r="BFD19" s="29"/>
      <c r="BFE19" s="28"/>
      <c r="BFF19" s="29"/>
      <c r="BFG19" s="29"/>
      <c r="BFH19" s="29"/>
      <c r="BFI19" s="29"/>
      <c r="BFJ19" s="29"/>
      <c r="BFK19" s="28"/>
      <c r="BFL19" s="29"/>
      <c r="BFM19" s="29"/>
      <c r="BFN19" s="28"/>
      <c r="BFO19" s="29"/>
      <c r="BFP19" s="30"/>
      <c r="BFQ19" s="28"/>
      <c r="BFR19" s="29"/>
      <c r="BFS19" s="29"/>
      <c r="BFT19" s="29"/>
      <c r="BFU19" s="28"/>
      <c r="BFV19" s="29"/>
      <c r="BFW19" s="29"/>
      <c r="BFX19" s="28"/>
      <c r="BFY19" s="29"/>
      <c r="BFZ19" s="30"/>
      <c r="BGA19" s="28"/>
      <c r="BGB19" s="29"/>
      <c r="BGC19" s="29"/>
      <c r="BGD19" s="29"/>
      <c r="BGE19" s="28"/>
      <c r="BGF19" s="29"/>
      <c r="BGG19" s="29"/>
      <c r="BGH19" s="29"/>
      <c r="BGI19" s="29"/>
      <c r="BGJ19" s="29"/>
      <c r="BGK19" s="28"/>
      <c r="BGL19" s="29"/>
      <c r="BGM19" s="29"/>
      <c r="BGN19" s="28"/>
      <c r="BGO19" s="29"/>
      <c r="BGP19" s="30"/>
      <c r="BGQ19" s="28"/>
      <c r="BGR19" s="29"/>
      <c r="BGS19" s="29"/>
      <c r="BGT19" s="29"/>
      <c r="BGU19" s="28"/>
      <c r="BGV19" s="29"/>
      <c r="BGW19" s="29"/>
      <c r="BGX19" s="28"/>
      <c r="BGY19" s="29"/>
      <c r="BGZ19" s="30"/>
      <c r="BHA19" s="28"/>
      <c r="BHB19" s="29"/>
      <c r="BHC19" s="29"/>
      <c r="BHD19" s="29"/>
      <c r="BHE19" s="28"/>
      <c r="BHF19" s="29"/>
      <c r="BHG19" s="29"/>
      <c r="BHH19" s="29"/>
      <c r="BHI19" s="29"/>
      <c r="BHJ19" s="29"/>
      <c r="BHK19" s="28"/>
      <c r="BHL19" s="29"/>
      <c r="BHM19" s="29"/>
      <c r="BHN19" s="28"/>
      <c r="BHO19" s="29"/>
      <c r="BHP19" s="30"/>
      <c r="BHQ19" s="28"/>
      <c r="BHR19" s="29"/>
      <c r="BHS19" s="29"/>
      <c r="BHT19" s="29"/>
      <c r="BHU19" s="28"/>
      <c r="BHV19" s="29"/>
      <c r="BHW19" s="29"/>
      <c r="BHX19" s="28"/>
      <c r="BHY19" s="29"/>
      <c r="BHZ19" s="30"/>
      <c r="BIA19" s="28"/>
      <c r="BIB19" s="29"/>
      <c r="BIC19" s="29"/>
      <c r="BID19" s="29"/>
      <c r="BIE19" s="28"/>
      <c r="BIF19" s="29"/>
      <c r="BIG19" s="29"/>
      <c r="BIH19" s="29"/>
      <c r="BII19" s="29"/>
      <c r="BIJ19" s="29"/>
      <c r="BIK19" s="28"/>
      <c r="BIL19" s="29"/>
      <c r="BIM19" s="29"/>
      <c r="BIN19" s="28"/>
      <c r="BIO19" s="29"/>
      <c r="BIP19" s="30"/>
      <c r="BIQ19" s="28"/>
      <c r="BIR19" s="29"/>
      <c r="BIS19" s="29"/>
      <c r="BIT19" s="29"/>
      <c r="BIU19" s="28"/>
      <c r="BIV19" s="29"/>
      <c r="BIW19" s="29"/>
      <c r="BIX19" s="28"/>
      <c r="BIY19" s="29"/>
      <c r="BIZ19" s="30"/>
      <c r="BJA19" s="28"/>
      <c r="BJB19" s="29"/>
      <c r="BJC19" s="29"/>
      <c r="BJD19" s="29"/>
      <c r="BJE19" s="28"/>
      <c r="BJF19" s="29"/>
      <c r="BJG19" s="29"/>
      <c r="BJH19" s="29"/>
      <c r="BJI19" s="29"/>
      <c r="BJJ19" s="29"/>
      <c r="BJK19" s="28"/>
      <c r="BJL19" s="29"/>
      <c r="BJM19" s="29"/>
      <c r="BJN19" s="28"/>
      <c r="BJO19" s="29"/>
      <c r="BJP19" s="30"/>
      <c r="BJQ19" s="28"/>
      <c r="BJR19" s="29"/>
      <c r="BJS19" s="29"/>
      <c r="BJT19" s="29"/>
      <c r="BJU19" s="28"/>
      <c r="BJV19" s="29"/>
      <c r="BJW19" s="29"/>
      <c r="BJX19" s="28"/>
      <c r="BJY19" s="29"/>
      <c r="BJZ19" s="30"/>
      <c r="BKA19" s="28"/>
      <c r="BKB19" s="29"/>
      <c r="BKC19" s="29"/>
      <c r="BKD19" s="29"/>
      <c r="BKE19" s="28"/>
      <c r="BKF19" s="29"/>
      <c r="BKG19" s="29"/>
      <c r="BKH19" s="29"/>
      <c r="BKI19" s="29"/>
      <c r="BKJ19" s="29"/>
      <c r="BKK19" s="28"/>
      <c r="BKL19" s="29"/>
      <c r="BKM19" s="29"/>
      <c r="BKN19" s="28"/>
      <c r="BKO19" s="29"/>
      <c r="BKP19" s="30"/>
      <c r="BKQ19" s="28"/>
      <c r="BKR19" s="29"/>
      <c r="BKS19" s="29"/>
      <c r="BKT19" s="29"/>
      <c r="BKU19" s="28"/>
      <c r="BKV19" s="29"/>
      <c r="BKW19" s="29"/>
      <c r="BKX19" s="28"/>
      <c r="BKY19" s="29"/>
      <c r="BKZ19" s="30"/>
      <c r="BLA19" s="28"/>
      <c r="BLB19" s="29"/>
      <c r="BLC19" s="29"/>
      <c r="BLD19" s="29"/>
      <c r="BLE19" s="28"/>
      <c r="BLF19" s="29"/>
      <c r="BLG19" s="29"/>
      <c r="BLH19" s="29"/>
      <c r="BLI19" s="29"/>
      <c r="BLJ19" s="29"/>
      <c r="BLK19" s="28"/>
      <c r="BLL19" s="29"/>
      <c r="BLM19" s="29"/>
      <c r="BLN19" s="28"/>
      <c r="BLO19" s="29"/>
      <c r="BLP19" s="30"/>
      <c r="BLQ19" s="28"/>
      <c r="BLR19" s="29"/>
      <c r="BLS19" s="29"/>
      <c r="BLT19" s="29"/>
      <c r="BLU19" s="28"/>
      <c r="BLV19" s="29"/>
      <c r="BLW19" s="29"/>
      <c r="BLX19" s="28"/>
      <c r="BLY19" s="29"/>
      <c r="BLZ19" s="30"/>
      <c r="BMA19" s="28"/>
      <c r="BMB19" s="29"/>
      <c r="BMC19" s="29"/>
      <c r="BMD19" s="29"/>
      <c r="BME19" s="28"/>
      <c r="BMF19" s="29"/>
      <c r="BMG19" s="29"/>
      <c r="BMH19" s="29"/>
      <c r="BMI19" s="29"/>
      <c r="BMJ19" s="29"/>
      <c r="BMK19" s="28"/>
      <c r="BML19" s="29"/>
      <c r="BMM19" s="29"/>
      <c r="BMN19" s="28"/>
      <c r="BMO19" s="29"/>
      <c r="BMP19" s="30"/>
      <c r="BMQ19" s="28"/>
      <c r="BMR19" s="29"/>
      <c r="BMS19" s="29"/>
      <c r="BMT19" s="29"/>
      <c r="BMU19" s="28"/>
      <c r="BMV19" s="29"/>
      <c r="BMW19" s="29"/>
      <c r="BMX19" s="28"/>
      <c r="BMY19" s="29"/>
      <c r="BMZ19" s="30"/>
      <c r="BNA19" s="28"/>
      <c r="BNB19" s="29"/>
      <c r="BNC19" s="29"/>
      <c r="BND19" s="29"/>
      <c r="BNE19" s="28"/>
      <c r="BNF19" s="29"/>
      <c r="BNG19" s="29"/>
      <c r="BNH19" s="29"/>
      <c r="BNI19" s="29"/>
      <c r="BNJ19" s="29"/>
      <c r="BNK19" s="28"/>
      <c r="BNL19" s="29"/>
      <c r="BNM19" s="29"/>
      <c r="BNN19" s="28"/>
      <c r="BNO19" s="29"/>
      <c r="BNP19" s="30"/>
      <c r="BNQ19" s="28"/>
      <c r="BNR19" s="29"/>
      <c r="BNS19" s="29"/>
      <c r="BNT19" s="29"/>
      <c r="BNU19" s="28"/>
      <c r="BNV19" s="29"/>
      <c r="BNW19" s="29"/>
      <c r="BNX19" s="28"/>
      <c r="BNY19" s="29"/>
      <c r="BNZ19" s="30"/>
      <c r="BOA19" s="28"/>
      <c r="BOB19" s="29"/>
      <c r="BOC19" s="29"/>
      <c r="BOD19" s="29"/>
      <c r="BOE19" s="28"/>
      <c r="BOF19" s="29"/>
      <c r="BOG19" s="29"/>
      <c r="BOH19" s="29"/>
      <c r="BOI19" s="29"/>
      <c r="BOJ19" s="29"/>
      <c r="BOK19" s="28"/>
      <c r="BOL19" s="29"/>
      <c r="BOM19" s="29"/>
      <c r="BON19" s="28"/>
      <c r="BOO19" s="29"/>
      <c r="BOP19" s="30"/>
      <c r="BOQ19" s="28"/>
      <c r="BOR19" s="29"/>
      <c r="BOS19" s="29"/>
      <c r="BOT19" s="29"/>
      <c r="BOU19" s="28"/>
      <c r="BOV19" s="29"/>
      <c r="BOW19" s="29"/>
      <c r="BOX19" s="28"/>
      <c r="BOY19" s="29"/>
      <c r="BOZ19" s="30"/>
      <c r="BPA19" s="28"/>
      <c r="BPB19" s="29"/>
      <c r="BPC19" s="29"/>
      <c r="BPD19" s="29"/>
      <c r="BPE19" s="28"/>
      <c r="BPF19" s="29"/>
      <c r="BPG19" s="29"/>
      <c r="BPH19" s="29"/>
      <c r="BPI19" s="29"/>
      <c r="BPJ19" s="29"/>
      <c r="BPK19" s="28"/>
      <c r="BPL19" s="29"/>
      <c r="BPM19" s="29"/>
      <c r="BPN19" s="28"/>
      <c r="BPO19" s="29"/>
      <c r="BPP19" s="30"/>
      <c r="BPQ19" s="28"/>
      <c r="BPR19" s="29"/>
      <c r="BPS19" s="29"/>
      <c r="BPT19" s="29"/>
      <c r="BPU19" s="28"/>
      <c r="BPV19" s="29"/>
      <c r="BPW19" s="29"/>
      <c r="BPX19" s="28"/>
      <c r="BPY19" s="29"/>
      <c r="BPZ19" s="30"/>
      <c r="BQA19" s="28"/>
      <c r="BQB19" s="29"/>
      <c r="BQC19" s="29"/>
      <c r="BQD19" s="29"/>
      <c r="BQE19" s="28"/>
      <c r="BQF19" s="29"/>
      <c r="BQG19" s="29"/>
      <c r="BQH19" s="29"/>
      <c r="BQI19" s="29"/>
      <c r="BQJ19" s="29"/>
      <c r="BQK19" s="28"/>
      <c r="BQL19" s="29"/>
      <c r="BQM19" s="29"/>
      <c r="BQN19" s="28"/>
      <c r="BQO19" s="29"/>
      <c r="BQP19" s="30"/>
      <c r="BQQ19" s="28"/>
      <c r="BQR19" s="29"/>
      <c r="BQS19" s="29"/>
      <c r="BQT19" s="29"/>
      <c r="BQU19" s="28"/>
      <c r="BQV19" s="29"/>
      <c r="BQW19" s="29"/>
      <c r="BQX19" s="28"/>
      <c r="BQY19" s="29"/>
      <c r="BQZ19" s="30"/>
      <c r="BRA19" s="28"/>
      <c r="BRB19" s="29"/>
      <c r="BRC19" s="29"/>
      <c r="BRD19" s="29"/>
      <c r="BRE19" s="28"/>
      <c r="BRF19" s="29"/>
      <c r="BRG19" s="29"/>
      <c r="BRH19" s="29"/>
      <c r="BRI19" s="29"/>
      <c r="BRJ19" s="29"/>
      <c r="BRK19" s="28"/>
      <c r="BRL19" s="29"/>
      <c r="BRM19" s="29"/>
      <c r="BRN19" s="28"/>
      <c r="BRO19" s="29"/>
      <c r="BRP19" s="30"/>
      <c r="BRQ19" s="28"/>
      <c r="BRR19" s="29"/>
      <c r="BRS19" s="29"/>
      <c r="BRT19" s="29"/>
      <c r="BRU19" s="28"/>
      <c r="BRV19" s="29"/>
      <c r="BRW19" s="29"/>
      <c r="BRX19" s="28"/>
      <c r="BRY19" s="29"/>
      <c r="BRZ19" s="30"/>
      <c r="BSA19" s="28"/>
      <c r="BSB19" s="29"/>
      <c r="BSC19" s="29"/>
      <c r="BSD19" s="29"/>
      <c r="BSE19" s="28"/>
      <c r="BSF19" s="29"/>
      <c r="BSG19" s="29"/>
      <c r="BSH19" s="29"/>
      <c r="BSI19" s="29"/>
      <c r="BSJ19" s="29"/>
      <c r="BSK19" s="28"/>
      <c r="BSL19" s="29"/>
      <c r="BSM19" s="29"/>
      <c r="BSN19" s="28"/>
      <c r="BSO19" s="29"/>
      <c r="BSP19" s="30"/>
      <c r="BSQ19" s="28"/>
      <c r="BSR19" s="29"/>
      <c r="BSS19" s="29"/>
      <c r="BST19" s="29"/>
      <c r="BSU19" s="28"/>
      <c r="BSV19" s="29"/>
      <c r="BSW19" s="29"/>
      <c r="BSX19" s="28"/>
      <c r="BSY19" s="29"/>
      <c r="BSZ19" s="30"/>
      <c r="BTA19" s="28"/>
      <c r="BTB19" s="29"/>
      <c r="BTC19" s="29"/>
      <c r="BTD19" s="29"/>
      <c r="BTE19" s="28"/>
      <c r="BTF19" s="29"/>
      <c r="BTG19" s="29"/>
      <c r="BTH19" s="29"/>
      <c r="BTI19" s="29"/>
      <c r="BTJ19" s="29"/>
      <c r="BTK19" s="28"/>
      <c r="BTL19" s="29"/>
      <c r="BTM19" s="29"/>
      <c r="BTN19" s="28"/>
      <c r="BTO19" s="29"/>
      <c r="BTP19" s="30"/>
      <c r="BTQ19" s="28"/>
      <c r="BTR19" s="29"/>
      <c r="BTS19" s="29"/>
      <c r="BTT19" s="29"/>
      <c r="BTU19" s="28"/>
      <c r="BTV19" s="29"/>
      <c r="BTW19" s="29"/>
      <c r="BTX19" s="28"/>
      <c r="BTY19" s="29"/>
      <c r="BTZ19" s="30"/>
      <c r="BUA19" s="28"/>
      <c r="BUB19" s="29"/>
      <c r="BUC19" s="29"/>
      <c r="BUD19" s="29"/>
      <c r="BUE19" s="28"/>
      <c r="BUF19" s="29"/>
      <c r="BUG19" s="29"/>
      <c r="BUH19" s="29"/>
      <c r="BUI19" s="29"/>
      <c r="BUJ19" s="29"/>
      <c r="BUK19" s="28"/>
      <c r="BUL19" s="29"/>
      <c r="BUM19" s="29"/>
      <c r="BUN19" s="28"/>
      <c r="BUO19" s="29"/>
      <c r="BUP19" s="30"/>
      <c r="BUQ19" s="28"/>
      <c r="BUR19" s="29"/>
      <c r="BUS19" s="29"/>
      <c r="BUT19" s="29"/>
      <c r="BUU19" s="28"/>
      <c r="BUV19" s="29"/>
      <c r="BUW19" s="29"/>
      <c r="BUX19" s="28"/>
      <c r="BUY19" s="29"/>
      <c r="BUZ19" s="30"/>
      <c r="BVA19" s="28"/>
      <c r="BVB19" s="29"/>
      <c r="BVC19" s="29"/>
      <c r="BVD19" s="29"/>
      <c r="BVE19" s="28"/>
      <c r="BVF19" s="29"/>
      <c r="BVG19" s="29"/>
      <c r="BVH19" s="29"/>
      <c r="BVI19" s="29"/>
      <c r="BVJ19" s="29"/>
      <c r="BVK19" s="28"/>
      <c r="BVL19" s="29"/>
      <c r="BVM19" s="29"/>
      <c r="BVN19" s="28"/>
      <c r="BVO19" s="29"/>
      <c r="BVP19" s="30"/>
      <c r="BVQ19" s="28"/>
      <c r="BVR19" s="29"/>
      <c r="BVS19" s="29"/>
      <c r="BVT19" s="29"/>
      <c r="BVU19" s="28"/>
      <c r="BVV19" s="29"/>
      <c r="BVW19" s="29"/>
      <c r="BVX19" s="28"/>
      <c r="BVY19" s="29"/>
      <c r="BVZ19" s="30"/>
      <c r="BWA19" s="28"/>
      <c r="BWB19" s="29"/>
      <c r="BWC19" s="29"/>
      <c r="BWD19" s="29"/>
      <c r="BWE19" s="28"/>
      <c r="BWF19" s="29"/>
      <c r="BWG19" s="29"/>
      <c r="BWH19" s="29"/>
      <c r="BWI19" s="29"/>
      <c r="BWJ19" s="29"/>
      <c r="BWK19" s="28"/>
      <c r="BWL19" s="29"/>
      <c r="BWM19" s="29"/>
      <c r="BWN19" s="28"/>
      <c r="BWO19" s="29"/>
      <c r="BWP19" s="30"/>
      <c r="BWQ19" s="28"/>
      <c r="BWR19" s="29"/>
      <c r="BWS19" s="29"/>
      <c r="BWT19" s="29"/>
      <c r="BWU19" s="28"/>
      <c r="BWV19" s="29"/>
      <c r="BWW19" s="29"/>
      <c r="BWX19" s="28"/>
      <c r="BWY19" s="29"/>
      <c r="BWZ19" s="30"/>
      <c r="BXA19" s="28"/>
      <c r="BXB19" s="29"/>
      <c r="BXC19" s="29"/>
      <c r="BXD19" s="29"/>
      <c r="BXE19" s="28"/>
      <c r="BXF19" s="29"/>
      <c r="BXG19" s="29"/>
      <c r="BXH19" s="29"/>
      <c r="BXI19" s="29"/>
      <c r="BXJ19" s="29"/>
      <c r="BXK19" s="28"/>
      <c r="BXL19" s="29"/>
      <c r="BXM19" s="29"/>
      <c r="BXN19" s="28"/>
      <c r="BXO19" s="29"/>
      <c r="BXP19" s="30"/>
      <c r="BXQ19" s="28"/>
      <c r="BXR19" s="29"/>
      <c r="BXS19" s="29"/>
      <c r="BXT19" s="29"/>
      <c r="BXU19" s="28"/>
      <c r="BXV19" s="29"/>
      <c r="BXW19" s="29"/>
      <c r="BXX19" s="28"/>
      <c r="BXY19" s="29"/>
      <c r="BXZ19" s="30"/>
      <c r="BYA19" s="28"/>
      <c r="BYB19" s="29"/>
      <c r="BYC19" s="29"/>
      <c r="BYD19" s="29"/>
      <c r="BYE19" s="28"/>
      <c r="BYF19" s="29"/>
      <c r="BYG19" s="29"/>
      <c r="BYH19" s="29"/>
      <c r="BYI19" s="29"/>
      <c r="BYJ19" s="29"/>
      <c r="BYK19" s="28"/>
      <c r="BYL19" s="29"/>
      <c r="BYM19" s="29"/>
      <c r="BYN19" s="28"/>
      <c r="BYO19" s="29"/>
      <c r="BYP19" s="30"/>
      <c r="BYQ19" s="28"/>
      <c r="BYR19" s="29"/>
      <c r="BYS19" s="29"/>
      <c r="BYT19" s="29"/>
      <c r="BYU19" s="28"/>
      <c r="BYV19" s="29"/>
      <c r="BYW19" s="29"/>
      <c r="BYX19" s="30"/>
      <c r="BYY19" s="29"/>
      <c r="BYZ19" s="28"/>
      <c r="BZA19" s="29"/>
      <c r="BZB19" s="28"/>
      <c r="BZC19" s="28"/>
      <c r="BZD19" s="28"/>
      <c r="BZE19" s="29"/>
      <c r="BZF19" s="388"/>
      <c r="BZG19" s="29"/>
      <c r="BZH19" s="388"/>
      <c r="BZI19" s="29"/>
      <c r="BZJ19" s="388"/>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30"/>
      <c r="CAQ19" s="28"/>
      <c r="CAR19" s="29"/>
      <c r="CAS19" s="29"/>
      <c r="CAT19" s="32"/>
      <c r="CAU19" s="32"/>
      <c r="CAV19" s="32"/>
      <c r="CAW19" s="28"/>
      <c r="CAX19" s="29"/>
      <c r="CAY19" s="29"/>
      <c r="CAZ19" s="28"/>
      <c r="CBA19" s="29"/>
      <c r="CBB19" s="30"/>
      <c r="CBC19" s="28"/>
      <c r="CBD19" s="29"/>
      <c r="CBE19" s="29"/>
      <c r="CBF19" s="32"/>
      <c r="CBG19" s="28"/>
      <c r="CBH19" s="29"/>
      <c r="CBI19" s="29"/>
      <c r="CBJ19" s="28"/>
      <c r="CBK19" s="29"/>
      <c r="CBL19" s="30"/>
      <c r="CBM19" s="28"/>
      <c r="CBN19" s="29"/>
      <c r="CBO19" s="29"/>
      <c r="CBP19" s="32"/>
      <c r="CBQ19" s="28"/>
      <c r="CBR19" s="29"/>
      <c r="CBS19" s="29"/>
      <c r="CBT19" s="28"/>
      <c r="CBU19" s="29"/>
      <c r="CBV19" s="30"/>
      <c r="CBW19" s="28"/>
      <c r="CBX19" s="29"/>
      <c r="CBY19" s="29"/>
      <c r="CBZ19" s="32"/>
      <c r="CCA19" s="28"/>
      <c r="CCB19" s="29"/>
      <c r="CCC19" s="29"/>
      <c r="CCD19" s="28"/>
      <c r="CCE19" s="29"/>
      <c r="CCF19" s="30"/>
      <c r="CCG19" s="28"/>
      <c r="CCH19" s="30"/>
      <c r="CCI19" s="29"/>
      <c r="CCJ19" s="28"/>
      <c r="CCK19" s="29"/>
      <c r="CCL19" s="28"/>
      <c r="CCM19" s="28"/>
      <c r="CCN19" s="28"/>
      <c r="CCO19" s="29"/>
      <c r="CCP19" s="388"/>
      <c r="CCQ19" s="29"/>
      <c r="CCR19" s="388"/>
      <c r="CCS19" s="29"/>
      <c r="CCT19" s="388"/>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30"/>
      <c r="CEA19" s="28"/>
      <c r="CEB19" s="29"/>
      <c r="CEC19" s="29"/>
      <c r="CED19" s="32"/>
      <c r="CEE19" s="32"/>
      <c r="CEF19" s="32"/>
      <c r="CEG19" s="28"/>
      <c r="CEH19" s="29"/>
      <c r="CEI19" s="29"/>
      <c r="CEJ19" s="28"/>
      <c r="CEK19" s="29"/>
      <c r="CEL19" s="30"/>
      <c r="CEM19" s="28"/>
      <c r="CEN19" s="29"/>
      <c r="CEO19" s="29"/>
      <c r="CEP19" s="32"/>
      <c r="CEQ19" s="28"/>
      <c r="CER19" s="29"/>
      <c r="CES19" s="29"/>
      <c r="CET19" s="28"/>
      <c r="CEU19" s="29"/>
      <c r="CEV19" s="30"/>
      <c r="CEW19" s="28"/>
      <c r="CEX19" s="29"/>
      <c r="CEY19" s="29"/>
      <c r="CEZ19" s="32"/>
      <c r="CFA19" s="28"/>
      <c r="CFB19" s="29"/>
      <c r="CFC19" s="29"/>
      <c r="CFD19" s="28"/>
      <c r="CFE19" s="29"/>
      <c r="CFF19" s="30"/>
      <c r="CFG19" s="28"/>
      <c r="CFH19" s="29"/>
      <c r="CFI19" s="29"/>
      <c r="CFJ19" s="32"/>
      <c r="CFK19" s="28"/>
      <c r="CFL19" s="29"/>
      <c r="CFM19" s="29"/>
      <c r="CFN19" s="28"/>
      <c r="CFO19" s="29"/>
      <c r="CFP19" s="30"/>
      <c r="CFQ19" s="28"/>
      <c r="CFR19" s="30"/>
      <c r="CFS19" s="29"/>
      <c r="CFT19" s="28"/>
      <c r="CFU19" s="29"/>
      <c r="CFV19" s="28"/>
      <c r="CFW19" s="28"/>
      <c r="CFX19" s="28"/>
      <c r="CFY19" s="29"/>
      <c r="CFZ19" s="388"/>
      <c r="CGA19" s="29"/>
      <c r="CGB19" s="388"/>
      <c r="CGC19" s="29"/>
      <c r="CGD19" s="388"/>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30"/>
      <c r="CHK19" s="28"/>
      <c r="CHL19" s="29"/>
      <c r="CHM19" s="29"/>
      <c r="CHN19" s="32"/>
      <c r="CHO19" s="32"/>
      <c r="CHP19" s="32"/>
      <c r="CHQ19" s="28"/>
      <c r="CHR19" s="29"/>
      <c r="CHS19" s="29"/>
      <c r="CHT19" s="28"/>
      <c r="CHU19" s="29"/>
      <c r="CHV19" s="30"/>
      <c r="CHW19" s="28"/>
      <c r="CHX19" s="29"/>
      <c r="CHY19" s="29"/>
      <c r="CHZ19" s="32"/>
      <c r="CIA19" s="28"/>
      <c r="CIB19" s="29"/>
      <c r="CIC19" s="29"/>
      <c r="CID19" s="28"/>
      <c r="CIE19" s="29"/>
      <c r="CIF19" s="30"/>
      <c r="CIG19" s="28"/>
      <c r="CIH19" s="29"/>
      <c r="CII19" s="29"/>
      <c r="CIJ19" s="32"/>
      <c r="CIK19" s="28"/>
      <c r="CIL19" s="29"/>
      <c r="CIM19" s="29"/>
      <c r="CIN19" s="28"/>
      <c r="CIO19" s="29"/>
      <c r="CIP19" s="30"/>
      <c r="CIQ19" s="28"/>
      <c r="CIR19" s="29"/>
      <c r="CIS19" s="29"/>
      <c r="CIT19" s="32"/>
      <c r="CIU19" s="28"/>
      <c r="CIV19" s="29"/>
      <c r="CIW19" s="29"/>
      <c r="CIX19" s="28"/>
      <c r="CIY19" s="29"/>
      <c r="CIZ19" s="30"/>
      <c r="CJA19" s="28"/>
      <c r="CJB19" s="30"/>
      <c r="CJC19" s="29"/>
      <c r="CJD19" s="28"/>
      <c r="CJE19" s="29"/>
      <c r="CJF19" s="28"/>
      <c r="CJG19" s="28"/>
      <c r="CJH19" s="28"/>
      <c r="CJI19" s="29"/>
      <c r="CJJ19" s="388"/>
      <c r="CJK19" s="29"/>
      <c r="CJL19" s="388"/>
      <c r="CJM19" s="29"/>
      <c r="CJN19" s="388"/>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30"/>
      <c r="CKU19" s="28"/>
      <c r="CKV19" s="29"/>
      <c r="CKW19" s="29"/>
      <c r="CKX19" s="32"/>
      <c r="CKY19" s="32"/>
      <c r="CKZ19" s="32"/>
      <c r="CLA19" s="28"/>
      <c r="CLB19" s="29"/>
      <c r="CLC19" s="29"/>
      <c r="CLD19" s="28"/>
      <c r="CLE19" s="29"/>
      <c r="CLF19" s="30"/>
      <c r="CLG19" s="28"/>
      <c r="CLH19" s="29"/>
      <c r="CLI19" s="29"/>
      <c r="CLJ19" s="32"/>
      <c r="CLK19" s="28"/>
      <c r="CLL19" s="29"/>
      <c r="CLM19" s="29"/>
      <c r="CLN19" s="28"/>
      <c r="CLO19" s="29"/>
      <c r="CLP19" s="30"/>
      <c r="CLQ19" s="28"/>
      <c r="CLR19" s="29"/>
      <c r="CLS19" s="29"/>
      <c r="CLT19" s="32"/>
      <c r="CLU19" s="28"/>
      <c r="CLV19" s="29"/>
      <c r="CLW19" s="29"/>
      <c r="CLX19" s="28"/>
      <c r="CLY19" s="29"/>
      <c r="CLZ19" s="30"/>
      <c r="CMA19" s="28"/>
      <c r="CMB19" s="29"/>
      <c r="CMC19" s="29"/>
      <c r="CMD19" s="32"/>
      <c r="CME19" s="28"/>
      <c r="CMF19" s="29"/>
      <c r="CMG19" s="29"/>
      <c r="CMH19" s="28"/>
      <c r="CMI19" s="29"/>
      <c r="CMJ19" s="30"/>
      <c r="CMK19" s="28"/>
      <c r="CML19" s="30"/>
      <c r="CMM19" s="29"/>
      <c r="CMN19" s="28"/>
      <c r="CMO19" s="29"/>
      <c r="CMP19" s="28"/>
      <c r="CMQ19" s="28"/>
      <c r="CMR19" s="28"/>
      <c r="CMS19" s="29"/>
      <c r="CMT19" s="388"/>
      <c r="CMU19" s="29"/>
      <c r="CMV19" s="388"/>
      <c r="CMW19" s="29"/>
      <c r="CMX19" s="388"/>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30"/>
      <c r="COE19" s="28"/>
      <c r="COF19" s="29"/>
      <c r="COG19" s="29"/>
      <c r="COH19" s="32"/>
      <c r="COI19" s="32"/>
      <c r="COJ19" s="32"/>
      <c r="COK19" s="28"/>
      <c r="COL19" s="29"/>
      <c r="COM19" s="29"/>
      <c r="CON19" s="28"/>
      <c r="COO19" s="29"/>
      <c r="COP19" s="30"/>
      <c r="COQ19" s="28"/>
      <c r="COR19" s="29"/>
      <c r="COS19" s="29"/>
      <c r="COT19" s="32"/>
      <c r="COU19" s="28"/>
      <c r="COV19" s="29"/>
      <c r="COW19" s="29"/>
      <c r="COX19" s="28"/>
      <c r="COY19" s="29"/>
      <c r="COZ19" s="30"/>
      <c r="CPA19" s="28"/>
      <c r="CPB19" s="29"/>
      <c r="CPC19" s="29"/>
      <c r="CPD19" s="32"/>
      <c r="CPE19" s="28"/>
      <c r="CPF19" s="29"/>
      <c r="CPG19" s="29"/>
      <c r="CPH19" s="28"/>
      <c r="CPI19" s="29"/>
      <c r="CPJ19" s="30"/>
      <c r="CPK19" s="28"/>
      <c r="CPL19" s="29"/>
      <c r="CPM19" s="29"/>
      <c r="CPN19" s="32"/>
      <c r="CPO19" s="28"/>
      <c r="CPP19" s="29"/>
      <c r="CPQ19" s="29"/>
      <c r="CPR19" s="28"/>
      <c r="CPS19" s="29"/>
      <c r="CPT19" s="30"/>
      <c r="CPU19" s="28"/>
      <c r="CPV19" s="30"/>
      <c r="CPW19" s="29"/>
      <c r="CPX19" s="28"/>
      <c r="CPY19" s="29"/>
      <c r="CPZ19" s="28"/>
      <c r="CQA19" s="28"/>
      <c r="CQB19" s="28"/>
      <c r="CQC19" s="29"/>
      <c r="CQD19" s="388"/>
      <c r="CQE19" s="29"/>
      <c r="CQF19" s="388"/>
      <c r="CQG19" s="29"/>
      <c r="CQH19" s="388"/>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30"/>
      <c r="CRO19" s="28"/>
      <c r="CRP19" s="29"/>
      <c r="CRQ19" s="29"/>
      <c r="CRR19" s="32"/>
      <c r="CRS19" s="32"/>
      <c r="CRT19" s="32"/>
      <c r="CRU19" s="28"/>
      <c r="CRV19" s="29"/>
      <c r="CRW19" s="29"/>
      <c r="CRX19" s="28"/>
      <c r="CRY19" s="29"/>
      <c r="CRZ19" s="30"/>
      <c r="CSA19" s="28"/>
      <c r="CSB19" s="29"/>
      <c r="CSC19" s="29"/>
      <c r="CSD19" s="32"/>
      <c r="CSE19" s="28"/>
      <c r="CSF19" s="29"/>
      <c r="CSG19" s="29"/>
      <c r="CSH19" s="28"/>
      <c r="CSI19" s="29"/>
      <c r="CSJ19" s="30"/>
      <c r="CSK19" s="28"/>
      <c r="CSL19" s="29"/>
      <c r="CSM19" s="29"/>
      <c r="CSN19" s="32"/>
      <c r="CSO19" s="28"/>
      <c r="CSP19" s="29"/>
      <c r="CSQ19" s="29"/>
      <c r="CSR19" s="28"/>
      <c r="CSS19" s="29"/>
      <c r="CST19" s="30"/>
      <c r="CSU19" s="28"/>
      <c r="CSV19" s="29"/>
      <c r="CSW19" s="29"/>
      <c r="CSX19" s="32"/>
      <c r="CSY19" s="28"/>
      <c r="CSZ19" s="29"/>
      <c r="CTA19" s="29"/>
      <c r="CTB19" s="28"/>
      <c r="CTC19" s="29"/>
      <c r="CTD19" s="30"/>
      <c r="CTE19" s="28"/>
      <c r="CTF19" s="30"/>
      <c r="CTG19" s="29"/>
      <c r="CTH19" s="28"/>
      <c r="CTI19" s="29"/>
      <c r="CTJ19" s="28"/>
      <c r="CTK19" s="28"/>
      <c r="CTL19" s="28"/>
      <c r="CTM19" s="29"/>
      <c r="CTN19" s="388"/>
      <c r="CTO19" s="29"/>
      <c r="CTP19" s="388"/>
      <c r="CTQ19" s="29"/>
      <c r="CTR19" s="388"/>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30"/>
      <c r="CUY19" s="28"/>
      <c r="CUZ19" s="29"/>
      <c r="CVA19" s="29"/>
      <c r="CVB19" s="32"/>
      <c r="CVC19" s="32"/>
      <c r="CVD19" s="32"/>
      <c r="CVE19" s="28"/>
      <c r="CVF19" s="29"/>
      <c r="CVG19" s="29"/>
      <c r="CVH19" s="28"/>
      <c r="CVI19" s="29"/>
      <c r="CVJ19" s="30"/>
      <c r="CVK19" s="28"/>
      <c r="CVL19" s="29"/>
      <c r="CVM19" s="29"/>
      <c r="CVN19" s="32"/>
      <c r="CVO19" s="28"/>
      <c r="CVP19" s="29"/>
      <c r="CVQ19" s="29"/>
      <c r="CVR19" s="28"/>
      <c r="CVS19" s="29"/>
      <c r="CVT19" s="30"/>
      <c r="CVU19" s="28"/>
      <c r="CVV19" s="29"/>
      <c r="CVW19" s="29"/>
      <c r="CVX19" s="32"/>
      <c r="CVY19" s="28"/>
      <c r="CVZ19" s="29"/>
      <c r="CWA19" s="29"/>
      <c r="CWB19" s="28"/>
      <c r="CWC19" s="29"/>
      <c r="CWD19" s="30"/>
      <c r="CWE19" s="28"/>
      <c r="CWF19" s="29"/>
      <c r="CWG19" s="29"/>
      <c r="CWH19" s="32"/>
      <c r="CWI19" s="28"/>
      <c r="CWJ19" s="29"/>
      <c r="CWK19" s="29"/>
      <c r="CWL19" s="28"/>
      <c r="CWM19" s="29"/>
      <c r="CWN19" s="30"/>
      <c r="CWO19" s="28"/>
      <c r="CWP19" s="30"/>
      <c r="CWQ19" s="29"/>
      <c r="CWR19" s="28"/>
      <c r="CWS19" s="29"/>
      <c r="CWT19" s="28"/>
      <c r="CWU19" s="28"/>
      <c r="CWV19" s="28"/>
      <c r="CWW19" s="29"/>
      <c r="CWX19" s="388"/>
      <c r="CWY19" s="29"/>
      <c r="CWZ19" s="388"/>
      <c r="CXA19" s="29"/>
      <c r="CXB19" s="388"/>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30"/>
      <c r="CYI19" s="28"/>
      <c r="CYJ19" s="29"/>
      <c r="CYK19" s="29"/>
      <c r="CYL19" s="32"/>
      <c r="CYM19" s="32"/>
      <c r="CYN19" s="32"/>
      <c r="CYO19" s="28"/>
      <c r="CYP19" s="29"/>
      <c r="CYQ19" s="29"/>
      <c r="CYR19" s="28"/>
      <c r="CYS19" s="29"/>
      <c r="CYT19" s="30"/>
      <c r="CYU19" s="28"/>
      <c r="CYV19" s="29"/>
      <c r="CYW19" s="29"/>
      <c r="CYX19" s="32"/>
      <c r="CYY19" s="28"/>
      <c r="CYZ19" s="29"/>
      <c r="CZA19" s="29"/>
      <c r="CZB19" s="28"/>
      <c r="CZC19" s="29"/>
      <c r="CZD19" s="30"/>
      <c r="CZE19" s="28"/>
      <c r="CZF19" s="29"/>
      <c r="CZG19" s="29"/>
      <c r="CZH19" s="32"/>
      <c r="CZI19" s="28"/>
      <c r="CZJ19" s="29"/>
      <c r="CZK19" s="29"/>
      <c r="CZL19" s="28"/>
      <c r="CZM19" s="29"/>
      <c r="CZN19" s="30"/>
      <c r="CZO19" s="28"/>
      <c r="CZP19" s="29"/>
      <c r="CZQ19" s="29"/>
      <c r="CZR19" s="32"/>
      <c r="CZS19" s="28"/>
      <c r="CZT19" s="29"/>
      <c r="CZU19" s="29"/>
      <c r="CZV19" s="28"/>
      <c r="CZW19" s="29"/>
      <c r="CZX19" s="30"/>
      <c r="CZY19" s="28"/>
      <c r="CZZ19" s="30"/>
      <c r="DAA19" s="29"/>
      <c r="DAB19" s="28"/>
      <c r="DAC19" s="29"/>
      <c r="DAD19" s="28"/>
      <c r="DAE19" s="28"/>
      <c r="DAF19" s="28"/>
      <c r="DAG19" s="29"/>
      <c r="DAH19" s="388"/>
      <c r="DAI19" s="29"/>
      <c r="DAJ19" s="388"/>
      <c r="DAK19" s="29"/>
      <c r="DAL19" s="388"/>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30"/>
      <c r="DBS19" s="28"/>
      <c r="DBT19" s="29"/>
      <c r="DBU19" s="29"/>
      <c r="DBV19" s="32"/>
      <c r="DBW19" s="32"/>
      <c r="DBX19" s="32"/>
      <c r="DBY19" s="28"/>
      <c r="DBZ19" s="29"/>
      <c r="DCA19" s="29"/>
      <c r="DCB19" s="28"/>
      <c r="DCC19" s="29"/>
      <c r="DCD19" s="30"/>
      <c r="DCE19" s="28"/>
      <c r="DCF19" s="29"/>
      <c r="DCG19" s="29"/>
      <c r="DCH19" s="32"/>
      <c r="DCI19" s="28"/>
      <c r="DCJ19" s="29"/>
      <c r="DCK19" s="29"/>
      <c r="DCL19" s="28"/>
      <c r="DCM19" s="29"/>
      <c r="DCN19" s="30"/>
      <c r="DCO19" s="28"/>
      <c r="DCP19" s="29"/>
      <c r="DCQ19" s="29"/>
      <c r="DCR19" s="32"/>
      <c r="DCS19" s="28"/>
      <c r="DCT19" s="29"/>
      <c r="DCU19" s="29"/>
      <c r="DCV19" s="28"/>
      <c r="DCW19" s="29"/>
      <c r="DCX19" s="30"/>
      <c r="DCY19" s="28"/>
      <c r="DCZ19" s="29"/>
      <c r="DDA19" s="29"/>
      <c r="DDB19" s="32"/>
      <c r="DDC19" s="28"/>
      <c r="DDD19" s="29"/>
      <c r="DDE19" s="29"/>
      <c r="DDF19" s="28"/>
      <c r="DDG19" s="29"/>
      <c r="DDH19" s="30"/>
      <c r="DDI19" s="28"/>
      <c r="DDJ19" s="30"/>
      <c r="DDK19" s="29"/>
      <c r="DDL19" s="28"/>
      <c r="DDM19" s="29"/>
      <c r="DDN19" s="28"/>
      <c r="DDO19" s="28"/>
      <c r="DDP19" s="28"/>
      <c r="DDQ19" s="29"/>
      <c r="DDR19" s="388"/>
      <c r="DDS19" s="29"/>
      <c r="DDT19" s="388"/>
      <c r="DDU19" s="29"/>
      <c r="DDV19" s="388"/>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30"/>
      <c r="DFC19" s="28"/>
      <c r="DFD19" s="29"/>
      <c r="DFE19" s="29"/>
      <c r="DFF19" s="32"/>
      <c r="DFG19" s="32"/>
      <c r="DFH19" s="32"/>
      <c r="DFI19" s="28"/>
      <c r="DFJ19" s="29"/>
      <c r="DFK19" s="29"/>
      <c r="DFL19" s="28"/>
      <c r="DFM19" s="29"/>
      <c r="DFN19" s="30"/>
      <c r="DFO19" s="28"/>
      <c r="DFP19" s="29"/>
      <c r="DFQ19" s="29"/>
      <c r="DFR19" s="32"/>
      <c r="DFS19" s="28"/>
      <c r="DFT19" s="29"/>
      <c r="DFU19" s="29"/>
      <c r="DFV19" s="28"/>
      <c r="DFW19" s="29"/>
      <c r="DFX19" s="30"/>
      <c r="DFY19" s="28"/>
      <c r="DFZ19" s="29"/>
      <c r="DGA19" s="29"/>
      <c r="DGB19" s="32"/>
      <c r="DGC19" s="28"/>
      <c r="DGD19" s="29"/>
      <c r="DGE19" s="29"/>
      <c r="DGF19" s="28"/>
      <c r="DGG19" s="29"/>
      <c r="DGH19" s="30"/>
      <c r="DGI19" s="28"/>
      <c r="DGJ19" s="29"/>
      <c r="DGK19" s="29"/>
      <c r="DGL19" s="32"/>
      <c r="DGM19" s="28"/>
      <c r="DGN19" s="29"/>
      <c r="DGO19" s="29"/>
      <c r="DGP19" s="28"/>
      <c r="DGQ19" s="29"/>
      <c r="DGR19" s="30"/>
      <c r="DGS19" s="28"/>
      <c r="DGT19" s="30"/>
      <c r="DGU19" s="29"/>
      <c r="DGV19" s="28"/>
      <c r="DGW19" s="29"/>
      <c r="DGX19" s="28"/>
      <c r="DGY19" s="28"/>
      <c r="DGZ19" s="28"/>
      <c r="DHA19" s="29"/>
      <c r="DHB19" s="388"/>
      <c r="DHC19" s="29"/>
      <c r="DHD19" s="388"/>
      <c r="DHE19" s="29"/>
      <c r="DHF19" s="388"/>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30"/>
      <c r="DIM19" s="28"/>
      <c r="DIN19" s="29"/>
      <c r="DIO19" s="29"/>
      <c r="DIP19" s="32"/>
      <c r="DIQ19" s="32"/>
      <c r="DIR19" s="32"/>
      <c r="DIS19" s="28"/>
      <c r="DIT19" s="29"/>
      <c r="DIU19" s="29"/>
      <c r="DIV19" s="28"/>
      <c r="DIW19" s="29"/>
      <c r="DIX19" s="30"/>
      <c r="DIY19" s="28"/>
      <c r="DIZ19" s="29"/>
      <c r="DJA19" s="29"/>
      <c r="DJB19" s="32"/>
      <c r="DJC19" s="28"/>
      <c r="DJD19" s="29"/>
      <c r="DJE19" s="29"/>
      <c r="DJF19" s="28"/>
      <c r="DJG19" s="29"/>
      <c r="DJH19" s="30"/>
      <c r="DJI19" s="28"/>
      <c r="DJJ19" s="29"/>
      <c r="DJK19" s="29"/>
      <c r="DJL19" s="32"/>
      <c r="DJM19" s="28"/>
      <c r="DJN19" s="29"/>
      <c r="DJO19" s="29"/>
      <c r="DJP19" s="28"/>
      <c r="DJQ19" s="29"/>
      <c r="DJR19" s="30"/>
      <c r="DJS19" s="28"/>
      <c r="DJT19" s="29"/>
      <c r="DJU19" s="29"/>
      <c r="DJV19" s="32"/>
      <c r="DJW19" s="28"/>
      <c r="DJX19" s="29"/>
      <c r="DJY19" s="29"/>
      <c r="DJZ19" s="28"/>
      <c r="DKA19" s="29"/>
      <c r="DKB19" s="30"/>
      <c r="DKC19" s="28"/>
      <c r="DKD19" s="30"/>
      <c r="DKE19" s="29"/>
      <c r="DKF19" s="28"/>
      <c r="DKG19" s="29"/>
      <c r="DKH19" s="28"/>
      <c r="DKI19" s="28"/>
      <c r="DKJ19" s="28"/>
      <c r="DKK19" s="29"/>
      <c r="DKL19" s="388"/>
      <c r="DKM19" s="29"/>
      <c r="DKN19" s="388"/>
      <c r="DKO19" s="29"/>
      <c r="DKP19" s="388"/>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30"/>
      <c r="DLW19" s="28"/>
      <c r="DLX19" s="29"/>
      <c r="DLY19" s="29"/>
      <c r="DLZ19" s="32"/>
      <c r="DMA19" s="32"/>
      <c r="DMB19" s="32"/>
      <c r="DMC19" s="28"/>
      <c r="DMD19" s="29"/>
      <c r="DME19" s="29"/>
      <c r="DMF19" s="28"/>
      <c r="DMG19" s="29"/>
      <c r="DMH19" s="30"/>
      <c r="DMI19" s="28"/>
      <c r="DMJ19" s="29"/>
      <c r="DMK19" s="29"/>
      <c r="DML19" s="32"/>
      <c r="DMM19" s="28"/>
      <c r="DMN19" s="29"/>
      <c r="DMO19" s="29"/>
      <c r="DMP19" s="28"/>
      <c r="DMQ19" s="29"/>
      <c r="DMR19" s="30"/>
      <c r="DMS19" s="28"/>
      <c r="DMT19" s="29"/>
      <c r="DMU19" s="29"/>
      <c r="DMV19" s="32"/>
      <c r="DMW19" s="28"/>
      <c r="DMX19" s="29"/>
      <c r="DMY19" s="29"/>
      <c r="DMZ19" s="28"/>
      <c r="DNA19" s="29"/>
      <c r="DNB19" s="30"/>
      <c r="DNC19" s="28"/>
      <c r="DND19" s="29"/>
      <c r="DNE19" s="29"/>
      <c r="DNF19" s="32"/>
      <c r="DNG19" s="28"/>
      <c r="DNH19" s="29"/>
      <c r="DNI19" s="29"/>
      <c r="DNJ19" s="28"/>
      <c r="DNK19" s="29"/>
      <c r="DNL19" s="30"/>
      <c r="DNM19" s="28"/>
      <c r="DNN19" s="30"/>
      <c r="DNO19" s="29"/>
      <c r="DNP19" s="28"/>
      <c r="DNQ19" s="29"/>
      <c r="DNR19" s="28"/>
      <c r="DNS19" s="28"/>
      <c r="DNT19" s="28"/>
      <c r="DNU19" s="29"/>
      <c r="DNV19" s="388"/>
      <c r="DNW19" s="29"/>
      <c r="DNX19" s="388"/>
      <c r="DNY19" s="29"/>
      <c r="DNZ19" s="388"/>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30"/>
      <c r="DPG19" s="28"/>
      <c r="DPH19" s="29"/>
      <c r="DPI19" s="29"/>
      <c r="DPJ19" s="32"/>
      <c r="DPK19" s="32"/>
      <c r="DPL19" s="32"/>
      <c r="DPM19" s="28"/>
      <c r="DPN19" s="29"/>
      <c r="DPO19" s="29"/>
      <c r="DPP19" s="28"/>
      <c r="DPQ19" s="29"/>
      <c r="DPR19" s="30"/>
      <c r="DPS19" s="28"/>
      <c r="DPT19" s="29"/>
      <c r="DPU19" s="29"/>
      <c r="DPV19" s="32"/>
      <c r="DPW19" s="28"/>
      <c r="DPX19" s="29"/>
      <c r="DPY19" s="29"/>
      <c r="DPZ19" s="28"/>
      <c r="DQA19" s="29"/>
      <c r="DQB19" s="30"/>
      <c r="DQC19" s="28"/>
      <c r="DQD19" s="29"/>
      <c r="DQE19" s="29"/>
      <c r="DQF19" s="32"/>
      <c r="DQG19" s="28"/>
      <c r="DQH19" s="29"/>
      <c r="DQI19" s="29"/>
      <c r="DQJ19" s="28"/>
      <c r="DQK19" s="29"/>
      <c r="DQL19" s="30"/>
      <c r="DQM19" s="28"/>
      <c r="DQN19" s="29"/>
      <c r="DQO19" s="29"/>
      <c r="DQP19" s="32"/>
      <c r="DQQ19" s="28"/>
      <c r="DQR19" s="29"/>
      <c r="DQS19" s="29"/>
      <c r="DQT19" s="28"/>
      <c r="DQU19" s="29"/>
      <c r="DQV19" s="30"/>
      <c r="DQW19" s="28"/>
      <c r="DQX19" s="30"/>
      <c r="DQY19" s="29"/>
      <c r="DQZ19" s="28"/>
      <c r="DRA19" s="29"/>
      <c r="DRB19" s="28"/>
      <c r="DRC19" s="28"/>
      <c r="DRD19" s="28"/>
      <c r="DRE19" s="29"/>
      <c r="DRF19" s="388"/>
      <c r="DRG19" s="29"/>
      <c r="DRH19" s="388"/>
      <c r="DRI19" s="29"/>
      <c r="DRJ19" s="388"/>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30"/>
      <c r="DSQ19" s="28"/>
      <c r="DSR19" s="29"/>
      <c r="DSS19" s="29"/>
      <c r="DST19" s="32"/>
      <c r="DSU19" s="32"/>
      <c r="DSV19" s="32"/>
      <c r="DSW19" s="28"/>
      <c r="DSX19" s="29"/>
      <c r="DSY19" s="29"/>
      <c r="DSZ19" s="28"/>
      <c r="DTA19" s="29"/>
      <c r="DTB19" s="30"/>
      <c r="DTC19" s="28"/>
      <c r="DTD19" s="29"/>
      <c r="DTE19" s="29"/>
      <c r="DTF19" s="32"/>
      <c r="DTG19" s="28"/>
      <c r="DTH19" s="29"/>
      <c r="DTI19" s="29"/>
      <c r="DTJ19" s="28"/>
      <c r="DTK19" s="29"/>
      <c r="DTL19" s="30"/>
      <c r="DTM19" s="28"/>
      <c r="DTN19" s="29"/>
      <c r="DTO19" s="29"/>
      <c r="DTP19" s="32"/>
      <c r="DTQ19" s="28"/>
      <c r="DTR19" s="29"/>
      <c r="DTS19" s="29"/>
      <c r="DTT19" s="28"/>
      <c r="DTU19" s="29"/>
      <c r="DTV19" s="30"/>
      <c r="DTW19" s="28"/>
      <c r="DTX19" s="29"/>
      <c r="DTY19" s="29"/>
      <c r="DTZ19" s="32"/>
      <c r="DUA19" s="28"/>
      <c r="DUB19" s="29"/>
      <c r="DUC19" s="29"/>
      <c r="DUD19" s="28"/>
      <c r="DUE19" s="29"/>
      <c r="DUF19" s="30"/>
      <c r="DUG19" s="28"/>
      <c r="DUH19" s="30"/>
      <c r="DUI19" s="29"/>
      <c r="DUJ19" s="28"/>
      <c r="DUK19" s="29"/>
      <c r="DUL19" s="28"/>
      <c r="DUM19" s="28"/>
      <c r="DUN19" s="28"/>
      <c r="DUO19" s="29"/>
      <c r="DUP19" s="388"/>
      <c r="DUQ19" s="29"/>
      <c r="DUR19" s="388"/>
      <c r="DUS19" s="29"/>
      <c r="DUT19" s="388"/>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30"/>
      <c r="DWA19" s="28"/>
      <c r="DWB19" s="29"/>
      <c r="DWC19" s="29"/>
      <c r="DWD19" s="32"/>
      <c r="DWE19" s="32"/>
      <c r="DWF19" s="32"/>
      <c r="DWG19" s="28"/>
      <c r="DWH19" s="29"/>
      <c r="DWI19" s="29"/>
      <c r="DWJ19" s="28"/>
      <c r="DWK19" s="29"/>
      <c r="DWL19" s="30"/>
      <c r="DWM19" s="28"/>
      <c r="DWN19" s="29"/>
      <c r="DWO19" s="29"/>
      <c r="DWP19" s="32"/>
      <c r="DWQ19" s="28"/>
      <c r="DWR19" s="29"/>
      <c r="DWS19" s="29"/>
      <c r="DWT19" s="28"/>
      <c r="DWU19" s="29"/>
      <c r="DWV19" s="30"/>
      <c r="DWW19" s="28"/>
      <c r="DWX19" s="29"/>
      <c r="DWY19" s="29"/>
      <c r="DWZ19" s="32"/>
      <c r="DXA19" s="28"/>
      <c r="DXB19" s="29"/>
      <c r="DXC19" s="29"/>
      <c r="DXD19" s="28"/>
      <c r="DXE19" s="29"/>
      <c r="DXF19" s="30"/>
      <c r="DXG19" s="28"/>
      <c r="DXH19" s="29"/>
      <c r="DXI19" s="29"/>
      <c r="DXJ19" s="32"/>
      <c r="DXK19" s="28"/>
      <c r="DXL19" s="29"/>
      <c r="DXM19" s="29"/>
      <c r="DXN19" s="28"/>
      <c r="DXO19" s="29"/>
      <c r="DXP19" s="30"/>
      <c r="DXQ19" s="28"/>
      <c r="DXR19" s="30"/>
      <c r="DXS19" s="29"/>
      <c r="DXT19" s="28"/>
      <c r="DXU19" s="29"/>
      <c r="DXV19" s="28"/>
      <c r="DXW19" s="28"/>
      <c r="DXX19" s="28"/>
      <c r="DXY19" s="29"/>
      <c r="DXZ19" s="388"/>
      <c r="DYA19" s="29"/>
      <c r="DYB19" s="388"/>
      <c r="DYC19" s="29"/>
      <c r="DYD19" s="388"/>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30"/>
      <c r="DZK19" s="28"/>
      <c r="DZL19" s="29"/>
      <c r="DZM19" s="29"/>
      <c r="DZN19" s="32"/>
      <c r="DZO19" s="32"/>
      <c r="DZP19" s="32"/>
      <c r="DZQ19" s="28"/>
      <c r="DZR19" s="29"/>
      <c r="DZS19" s="29"/>
      <c r="DZT19" s="28"/>
      <c r="DZU19" s="29"/>
      <c r="DZV19" s="30"/>
      <c r="DZW19" s="28"/>
      <c r="DZX19" s="29"/>
      <c r="DZY19" s="29"/>
      <c r="DZZ19" s="32"/>
      <c r="EAA19" s="28"/>
      <c r="EAB19" s="29"/>
      <c r="EAC19" s="29"/>
      <c r="EAD19" s="28"/>
      <c r="EAE19" s="29"/>
      <c r="EAF19" s="30"/>
      <c r="EAG19" s="28"/>
      <c r="EAH19" s="29"/>
      <c r="EAI19" s="29"/>
      <c r="EAJ19" s="32"/>
      <c r="EAK19" s="28"/>
      <c r="EAL19" s="29"/>
      <c r="EAM19" s="29"/>
      <c r="EAN19" s="28"/>
      <c r="EAO19" s="29"/>
      <c r="EAP19" s="30"/>
      <c r="EAQ19" s="28"/>
      <c r="EAR19" s="29"/>
      <c r="EAS19" s="29"/>
      <c r="EAT19" s="32"/>
      <c r="EAU19" s="28"/>
      <c r="EAV19" s="29"/>
      <c r="EAW19" s="29"/>
      <c r="EAX19" s="28"/>
      <c r="EAY19" s="29"/>
      <c r="EAZ19" s="30"/>
      <c r="EBA19" s="28"/>
      <c r="EBB19" s="30"/>
      <c r="EBC19" s="29"/>
      <c r="EBD19" s="28"/>
      <c r="EBE19" s="29"/>
      <c r="EBF19" s="28"/>
      <c r="EBG19" s="28"/>
      <c r="EBH19" s="28"/>
      <c r="EBI19" s="29"/>
      <c r="EBJ19" s="388"/>
      <c r="EBK19" s="29"/>
      <c r="EBL19" s="388"/>
      <c r="EBM19" s="29"/>
      <c r="EBN19" s="388"/>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30"/>
      <c r="ECU19" s="28"/>
      <c r="ECV19" s="29"/>
      <c r="ECW19" s="29"/>
      <c r="ECX19" s="32"/>
      <c r="ECY19" s="32"/>
      <c r="ECZ19" s="32"/>
      <c r="EDA19" s="28"/>
      <c r="EDB19" s="29"/>
      <c r="EDC19" s="29"/>
      <c r="EDD19" s="28"/>
      <c r="EDE19" s="29"/>
      <c r="EDF19" s="30"/>
      <c r="EDG19" s="28"/>
      <c r="EDH19" s="29"/>
      <c r="EDI19" s="29"/>
      <c r="EDJ19" s="32"/>
      <c r="EDK19" s="28"/>
      <c r="EDL19" s="29"/>
      <c r="EDM19" s="29"/>
      <c r="EDN19" s="28"/>
      <c r="EDO19" s="29"/>
      <c r="EDP19" s="30"/>
      <c r="EDQ19" s="28"/>
      <c r="EDR19" s="29"/>
      <c r="EDS19" s="29"/>
      <c r="EDT19" s="32"/>
      <c r="EDU19" s="28"/>
      <c r="EDV19" s="29"/>
      <c r="EDW19" s="29"/>
      <c r="EDX19" s="28"/>
      <c r="EDY19" s="29"/>
      <c r="EDZ19" s="30"/>
      <c r="EEA19" s="28"/>
      <c r="EEB19" s="29"/>
      <c r="EEC19" s="29"/>
      <c r="EED19" s="32"/>
      <c r="EEE19" s="28"/>
      <c r="EEF19" s="29"/>
      <c r="EEG19" s="29"/>
      <c r="EEH19" s="28"/>
      <c r="EEI19" s="29"/>
      <c r="EEJ19" s="30"/>
      <c r="EEK19" s="28"/>
      <c r="EEL19" s="30"/>
      <c r="EEM19" s="29"/>
      <c r="EEN19" s="28"/>
      <c r="EEO19" s="29"/>
      <c r="EEP19" s="28"/>
      <c r="EEQ19" s="28"/>
      <c r="EER19" s="28"/>
      <c r="EES19" s="29"/>
      <c r="EET19" s="388"/>
      <c r="EEU19" s="29"/>
      <c r="EEV19" s="388"/>
      <c r="EEW19" s="29"/>
      <c r="EEX19" s="388"/>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30"/>
      <c r="EGE19" s="28"/>
      <c r="EGF19" s="29"/>
      <c r="EGG19" s="29"/>
      <c r="EGH19" s="32"/>
      <c r="EGI19" s="32"/>
      <c r="EGJ19" s="32"/>
      <c r="EGK19" s="28"/>
      <c r="EGL19" s="29"/>
      <c r="EGM19" s="29"/>
      <c r="EGN19" s="28"/>
      <c r="EGO19" s="29"/>
      <c r="EGP19" s="30"/>
      <c r="EGQ19" s="28"/>
      <c r="EGR19" s="29"/>
      <c r="EGS19" s="29"/>
      <c r="EGT19" s="32"/>
      <c r="EGU19" s="28"/>
      <c r="EGV19" s="29"/>
      <c r="EGW19" s="29"/>
      <c r="EGX19" s="28"/>
      <c r="EGY19" s="29"/>
      <c r="EGZ19" s="30"/>
      <c r="EHA19" s="28"/>
      <c r="EHB19" s="29"/>
      <c r="EHC19" s="29"/>
      <c r="EHD19" s="32"/>
      <c r="EHE19" s="28"/>
      <c r="EHF19" s="29"/>
      <c r="EHG19" s="29"/>
      <c r="EHH19" s="28"/>
      <c r="EHI19" s="29"/>
      <c r="EHJ19" s="30"/>
      <c r="EHK19" s="28"/>
      <c r="EHL19" s="29"/>
      <c r="EHM19" s="29"/>
      <c r="EHN19" s="32"/>
      <c r="EHO19" s="28"/>
      <c r="EHP19" s="29"/>
      <c r="EHQ19" s="29"/>
      <c r="EHR19" s="28"/>
      <c r="EHS19" s="29"/>
      <c r="EHT19" s="30"/>
      <c r="EHU19" s="28"/>
      <c r="EHV19" s="30"/>
      <c r="EHW19" s="29"/>
      <c r="EHX19" s="28"/>
      <c r="EHY19" s="29"/>
      <c r="EHZ19" s="28"/>
      <c r="EIA19" s="28"/>
      <c r="EIB19" s="28"/>
      <c r="EIC19" s="29"/>
      <c r="EID19" s="388"/>
      <c r="EIE19" s="29"/>
      <c r="EIF19" s="388"/>
      <c r="EIG19" s="29"/>
      <c r="EIH19" s="388"/>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30"/>
      <c r="EJO19" s="28"/>
      <c r="EJP19" s="29"/>
      <c r="EJQ19" s="29"/>
      <c r="EJR19" s="32"/>
      <c r="EJS19" s="32"/>
      <c r="EJT19" s="32"/>
      <c r="EJU19" s="28"/>
      <c r="EJV19" s="29"/>
      <c r="EJW19" s="29"/>
      <c r="EJX19" s="28"/>
      <c r="EJY19" s="29"/>
      <c r="EJZ19" s="30"/>
      <c r="EKA19" s="28"/>
      <c r="EKB19" s="29"/>
      <c r="EKC19" s="29"/>
      <c r="EKD19" s="32"/>
      <c r="EKE19" s="28"/>
      <c r="EKF19" s="29"/>
      <c r="EKG19" s="29"/>
      <c r="EKH19" s="28"/>
      <c r="EKI19" s="29"/>
      <c r="EKJ19" s="30"/>
      <c r="EKK19" s="28"/>
      <c r="EKL19" s="29"/>
      <c r="EKM19" s="29"/>
      <c r="EKN19" s="32"/>
      <c r="EKO19" s="28"/>
      <c r="EKP19" s="29"/>
      <c r="EKQ19" s="29"/>
      <c r="EKR19" s="28"/>
      <c r="EKS19" s="29"/>
      <c r="EKT19" s="30"/>
      <c r="EKU19" s="28"/>
      <c r="EKV19" s="29"/>
      <c r="EKW19" s="29"/>
      <c r="EKX19" s="32"/>
      <c r="EKY19" s="28"/>
      <c r="EKZ19" s="29"/>
      <c r="ELA19" s="29"/>
      <c r="ELB19" s="28"/>
      <c r="ELC19" s="29"/>
      <c r="ELD19" s="30"/>
      <c r="ELE19" s="28"/>
      <c r="ELF19" s="30"/>
      <c r="ELG19" s="29"/>
      <c r="ELH19" s="28"/>
      <c r="ELI19" s="29"/>
      <c r="ELJ19" s="28"/>
      <c r="ELK19" s="28"/>
      <c r="ELL19" s="28"/>
      <c r="ELM19" s="29"/>
      <c r="ELN19" s="388"/>
      <c r="ELO19" s="29"/>
      <c r="ELP19" s="388"/>
      <c r="ELQ19" s="29"/>
      <c r="ELR19" s="388"/>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30"/>
      <c r="EMY19" s="28"/>
      <c r="EMZ19" s="29"/>
      <c r="ENA19" s="29"/>
      <c r="ENB19" s="32"/>
      <c r="ENC19" s="32"/>
      <c r="END19" s="32"/>
      <c r="ENE19" s="28"/>
      <c r="ENF19" s="29"/>
      <c r="ENG19" s="29"/>
      <c r="ENH19" s="28"/>
      <c r="ENI19" s="29"/>
      <c r="ENJ19" s="30"/>
      <c r="ENK19" s="28"/>
      <c r="ENL19" s="29"/>
      <c r="ENM19" s="29"/>
      <c r="ENN19" s="32"/>
      <c r="ENO19" s="28"/>
      <c r="ENP19" s="29"/>
      <c r="ENQ19" s="29"/>
      <c r="ENR19" s="28"/>
      <c r="ENS19" s="29"/>
      <c r="ENT19" s="30"/>
      <c r="ENU19" s="28"/>
      <c r="ENV19" s="29"/>
      <c r="ENW19" s="29"/>
      <c r="ENX19" s="32"/>
      <c r="ENY19" s="28"/>
      <c r="ENZ19" s="29"/>
      <c r="EOA19" s="29"/>
      <c r="EOB19" s="28"/>
      <c r="EOC19" s="29"/>
      <c r="EOD19" s="30"/>
      <c r="EOE19" s="28"/>
      <c r="EOF19" s="29"/>
      <c r="EOG19" s="29"/>
      <c r="EOH19" s="32"/>
      <c r="EOI19" s="28"/>
      <c r="EOJ19" s="29"/>
      <c r="EOK19" s="29"/>
      <c r="EOL19" s="28"/>
      <c r="EOM19" s="29"/>
      <c r="EON19" s="30" t="s">
        <v>5575</v>
      </c>
      <c r="EOO19" s="28" t="str">
        <f t="shared" si="75"/>
        <v xml:space="preserve"> </v>
      </c>
    </row>
    <row r="20" spans="1:3785" x14ac:dyDescent="0.3">
      <c r="A20" s="392" t="s">
        <v>163</v>
      </c>
      <c r="B20" s="58" t="s">
        <v>2853</v>
      </c>
      <c r="C20" s="57" t="s">
        <v>1381</v>
      </c>
      <c r="D20" s="56" t="str">
        <f t="shared" si="61"/>
        <v xml:space="preserve"> </v>
      </c>
      <c r="E20" s="57"/>
      <c r="F20" s="56"/>
      <c r="G20" s="59">
        <v>45435</v>
      </c>
      <c r="H20" s="59">
        <f>+G20+365</f>
        <v>45800</v>
      </c>
      <c r="I20" s="57" t="s">
        <v>1372</v>
      </c>
      <c r="J20" s="57" t="s">
        <v>1373</v>
      </c>
      <c r="K20" s="57" t="s">
        <v>1372</v>
      </c>
      <c r="L20" s="57" t="s">
        <v>1373</v>
      </c>
      <c r="M20" s="57" t="s">
        <v>1461</v>
      </c>
      <c r="N20" s="57" t="s">
        <v>2854</v>
      </c>
      <c r="O20" s="57" t="s">
        <v>1782</v>
      </c>
      <c r="P20" s="57"/>
      <c r="Q20" s="57" t="s">
        <v>1372</v>
      </c>
      <c r="R20" s="57" t="s">
        <v>1372</v>
      </c>
      <c r="S20" s="57" t="s">
        <v>1372</v>
      </c>
      <c r="T20" s="57" t="s">
        <v>1372</v>
      </c>
      <c r="U20" s="57" t="s">
        <v>1372</v>
      </c>
      <c r="V20" s="57"/>
      <c r="W20" s="57" t="s">
        <v>1382</v>
      </c>
      <c r="X20" s="57"/>
      <c r="Y20" s="57"/>
      <c r="Z20" s="57" t="s">
        <v>1372</v>
      </c>
      <c r="AA20" s="57"/>
      <c r="AB20" s="57"/>
      <c r="AC20" s="57"/>
      <c r="AD20" s="57"/>
      <c r="AE20" s="57"/>
      <c r="AF20" s="57"/>
      <c r="AG20" s="57"/>
      <c r="AH20" s="57"/>
      <c r="AI20" s="57"/>
      <c r="AJ20" s="57"/>
      <c r="AK20" s="57"/>
      <c r="AL20" s="57"/>
      <c r="AM20" s="57"/>
      <c r="AN20" s="57"/>
      <c r="AO20" s="57"/>
      <c r="AP20" s="57"/>
      <c r="AQ20" s="57"/>
      <c r="AR20" s="57" t="s">
        <v>1783</v>
      </c>
      <c r="AS20" s="57"/>
      <c r="AT20" s="58"/>
      <c r="AU20" s="56"/>
      <c r="AV20" s="56"/>
      <c r="AW20" s="57"/>
      <c r="AX20" s="57"/>
      <c r="AY20" s="390"/>
      <c r="AZ20" s="390"/>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6"/>
      <c r="CO20" s="56"/>
      <c r="CP20" s="57"/>
      <c r="CQ20" s="390"/>
      <c r="CR20" s="59"/>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6"/>
      <c r="EF20" s="56"/>
      <c r="EG20" s="57"/>
      <c r="EH20" s="58"/>
      <c r="EI20" s="59"/>
      <c r="EJ20" s="390"/>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8"/>
      <c r="FW20" s="56"/>
      <c r="FX20" s="56"/>
      <c r="FY20" s="57"/>
      <c r="FZ20" s="57"/>
      <c r="GA20" s="59"/>
      <c r="GB20" s="390"/>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6"/>
      <c r="HP20" s="56"/>
      <c r="HQ20" s="57"/>
      <c r="HR20" s="56"/>
      <c r="HS20" s="390"/>
      <c r="HT20" s="391"/>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6"/>
      <c r="JG20" s="57"/>
      <c r="JH20" s="56"/>
      <c r="JI20" s="56"/>
      <c r="JJ20" s="57"/>
      <c r="JK20" s="390"/>
      <c r="JL20" s="390"/>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6"/>
      <c r="LA20" s="56"/>
      <c r="LB20" s="57"/>
      <c r="LC20" s="390"/>
      <c r="LD20" s="390"/>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6"/>
      <c r="MS20" s="56"/>
      <c r="MT20" s="57"/>
      <c r="MU20" s="390"/>
      <c r="MV20" s="390"/>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8"/>
      <c r="OI20" s="56"/>
      <c r="OJ20" s="56"/>
      <c r="OK20" s="56"/>
      <c r="OL20" s="57"/>
      <c r="OM20" s="390"/>
      <c r="ON20" s="390"/>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6"/>
      <c r="QB20" s="56"/>
      <c r="QC20" s="56"/>
      <c r="QD20" s="57"/>
      <c r="QE20" s="390"/>
      <c r="QF20" s="390"/>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6"/>
      <c r="RS20" s="57"/>
      <c r="RT20" s="56"/>
      <c r="RU20" s="56"/>
      <c r="RV20" s="57"/>
      <c r="RW20" s="390"/>
      <c r="RX20" s="390"/>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6"/>
      <c r="TM20" s="56"/>
      <c r="TN20" s="57"/>
      <c r="TO20" s="390"/>
      <c r="TP20" s="390"/>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6"/>
      <c r="VE20" s="57"/>
      <c r="VF20" s="58"/>
      <c r="VG20" s="59"/>
      <c r="VH20" s="390"/>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8"/>
      <c r="WU20" s="56"/>
      <c r="WV20" s="56"/>
      <c r="WW20" s="56"/>
      <c r="WX20" s="57"/>
      <c r="WY20" s="390"/>
      <c r="WZ20" s="390"/>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6"/>
      <c r="YN20" s="56"/>
      <c r="YO20" s="56"/>
      <c r="YP20" s="57"/>
      <c r="YQ20" s="390"/>
      <c r="YR20" s="390"/>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6"/>
      <c r="AAE20" s="57"/>
      <c r="AAF20" s="56"/>
      <c r="AAG20" s="56"/>
      <c r="AAH20" s="57"/>
      <c r="AAI20" s="390"/>
      <c r="AAJ20" s="390"/>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6"/>
      <c r="ABY20" s="56"/>
      <c r="ABZ20" s="57"/>
      <c r="ACA20" s="390"/>
      <c r="ACB20" s="390"/>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6"/>
      <c r="ADQ20" s="56"/>
      <c r="ADR20" s="57"/>
      <c r="ADS20" s="390"/>
      <c r="ADT20" s="390"/>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8"/>
      <c r="AFG20" s="56"/>
      <c r="AFH20" s="56"/>
      <c r="AFI20" s="56"/>
      <c r="AFJ20" s="57"/>
      <c r="AFK20" s="390"/>
      <c r="AFL20" s="390"/>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6"/>
      <c r="AGZ20" s="56"/>
      <c r="AHA20" s="56"/>
      <c r="AHB20" s="57"/>
      <c r="AHC20" s="390"/>
      <c r="AHD20" s="390"/>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6"/>
      <c r="AIQ20" s="57"/>
      <c r="AIR20" s="56"/>
      <c r="AIS20" s="56"/>
      <c r="AIT20" s="57"/>
      <c r="AIU20" s="390"/>
      <c r="AIV20" s="390"/>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6"/>
      <c r="AKK20" s="56"/>
      <c r="AKL20" s="57"/>
      <c r="AKM20" s="390"/>
      <c r="AKN20" s="390"/>
      <c r="AKO20" s="57"/>
      <c r="AKP20" s="57"/>
      <c r="AKQ20" s="57"/>
      <c r="AKR20" s="57"/>
      <c r="AKS20" s="57"/>
      <c r="AKT20" s="57"/>
      <c r="AKU20" s="57"/>
      <c r="AKV20" s="57"/>
      <c r="AKW20" s="57"/>
      <c r="AKX20" s="57"/>
      <c r="AKY20" s="57"/>
      <c r="AKZ20" s="57"/>
      <c r="ALA20" s="57"/>
      <c r="ALB20" s="57"/>
      <c r="ALC20" s="57"/>
      <c r="ALD20" s="57"/>
      <c r="ALE20" s="57"/>
      <c r="ALF20" s="57"/>
      <c r="ALG20" s="57"/>
      <c r="ALH20" s="57"/>
      <c r="ALI20" s="57"/>
      <c r="ALJ20" s="57"/>
      <c r="ALK20" s="57"/>
      <c r="ALL20" s="57"/>
      <c r="ALM20" s="57"/>
      <c r="ALN20" s="57"/>
      <c r="ALO20" s="57"/>
      <c r="ALP20" s="57"/>
      <c r="ALQ20" s="57"/>
      <c r="ALR20" s="57"/>
      <c r="ALS20" s="57"/>
      <c r="ALT20" s="57"/>
      <c r="ALU20" s="57"/>
      <c r="ALV20" s="57"/>
      <c r="ALW20" s="57"/>
      <c r="ALX20" s="57"/>
      <c r="ALY20" s="57"/>
      <c r="ALZ20" s="58"/>
      <c r="AMA20" s="56"/>
      <c r="AMB20" s="56"/>
      <c r="AMC20" s="56"/>
      <c r="AMD20" s="57"/>
      <c r="AME20" s="390"/>
      <c r="AMF20" s="390"/>
      <c r="AMG20" s="57"/>
      <c r="AMH20" s="57"/>
      <c r="AMI20" s="57"/>
      <c r="AMJ20" s="57"/>
      <c r="AMK20" s="57"/>
      <c r="AML20" s="57"/>
      <c r="AMM20" s="57"/>
      <c r="AMN20" s="57"/>
      <c r="AMO20" s="57"/>
      <c r="AMP20" s="57"/>
      <c r="AMQ20" s="57"/>
      <c r="AMR20" s="57"/>
      <c r="AMS20" s="57"/>
      <c r="AMT20" s="57"/>
      <c r="AMU20" s="57"/>
      <c r="AMV20" s="57"/>
      <c r="AMW20" s="57"/>
      <c r="AMX20" s="57"/>
      <c r="AMY20" s="57"/>
      <c r="AMZ20" s="57"/>
      <c r="ANA20" s="57"/>
      <c r="ANB20" s="57"/>
      <c r="ANC20" s="57"/>
      <c r="AND20" s="57"/>
      <c r="ANE20" s="57"/>
      <c r="ANF20" s="57"/>
      <c r="ANG20" s="57"/>
      <c r="ANH20" s="57"/>
      <c r="ANI20" s="57"/>
      <c r="ANJ20" s="57"/>
      <c r="ANK20" s="57"/>
      <c r="ANL20" s="57"/>
      <c r="ANM20" s="57"/>
      <c r="ANN20" s="57"/>
      <c r="ANO20" s="57"/>
      <c r="ANP20" s="57"/>
      <c r="ANQ20" s="57"/>
      <c r="ANR20" s="57"/>
      <c r="ANS20" s="57"/>
      <c r="ANT20" s="56"/>
      <c r="ANU20" s="56"/>
      <c r="ANV20" s="57"/>
      <c r="ANW20" s="390"/>
      <c r="ANX20" s="390"/>
      <c r="ANY20" s="57"/>
      <c r="ANZ20" s="57"/>
      <c r="AOA20" s="57"/>
      <c r="AOB20" s="57"/>
      <c r="AOC20" s="57"/>
      <c r="AOD20" s="57"/>
      <c r="AOE20" s="57"/>
      <c r="AOF20" s="57"/>
      <c r="AOG20" s="57"/>
      <c r="AOH20" s="57"/>
      <c r="AOI20" s="57"/>
      <c r="AOJ20" s="57"/>
      <c r="AOK20" s="57"/>
      <c r="AOL20" s="57"/>
      <c r="AOM20" s="57"/>
      <c r="AON20" s="57"/>
      <c r="AOO20" s="57"/>
      <c r="AOP20" s="57"/>
      <c r="AOQ20" s="57"/>
      <c r="AOR20" s="57"/>
      <c r="AOS20" s="57"/>
      <c r="AOT20" s="57"/>
      <c r="AOU20" s="57"/>
      <c r="AOV20" s="57"/>
      <c r="AOW20" s="57"/>
      <c r="AOX20" s="57"/>
      <c r="AOY20" s="57"/>
      <c r="AOZ20" s="57"/>
      <c r="APA20" s="57"/>
      <c r="APB20" s="57"/>
      <c r="APC20" s="57"/>
      <c r="APD20" s="57"/>
      <c r="APE20" s="57"/>
      <c r="APF20" s="57"/>
      <c r="APG20" s="57"/>
      <c r="APH20" s="57"/>
      <c r="API20" s="57"/>
      <c r="APJ20" s="57"/>
      <c r="APK20" s="56"/>
      <c r="APL20" s="56"/>
      <c r="APM20" s="56"/>
      <c r="APN20" s="57"/>
      <c r="APO20" s="390"/>
      <c r="APP20" s="390"/>
      <c r="APQ20" s="57"/>
      <c r="APR20" s="57"/>
      <c r="APS20" s="57"/>
      <c r="APT20" s="57"/>
      <c r="APU20" s="57"/>
      <c r="APV20" s="57"/>
      <c r="APW20" s="57"/>
      <c r="APX20" s="57"/>
      <c r="APY20" s="57"/>
      <c r="APZ20" s="57"/>
      <c r="AQA20" s="57"/>
      <c r="AQB20" s="57"/>
      <c r="AQC20" s="57"/>
      <c r="AQD20" s="57"/>
      <c r="AQE20" s="57"/>
      <c r="AQF20" s="57"/>
      <c r="AQG20" s="57"/>
      <c r="AQH20" s="57"/>
      <c r="AQI20" s="57"/>
      <c r="AQJ20" s="57"/>
      <c r="AQK20" s="57"/>
      <c r="AQL20" s="57"/>
      <c r="AQM20" s="57"/>
      <c r="AQN20" s="57"/>
      <c r="AQO20" s="57"/>
      <c r="AQP20" s="57"/>
      <c r="AQQ20" s="57"/>
      <c r="AQR20" s="57"/>
      <c r="AQS20" s="57"/>
      <c r="AQT20" s="57"/>
      <c r="AQU20" s="57"/>
      <c r="AQV20" s="57"/>
      <c r="AQW20" s="57"/>
      <c r="AQX20" s="57"/>
      <c r="AQY20" s="57"/>
      <c r="AQZ20" s="57"/>
      <c r="ARA20" s="57"/>
      <c r="ARB20" s="57"/>
      <c r="ARC20" s="57"/>
      <c r="ARD20" s="56"/>
      <c r="ARE20" s="56"/>
      <c r="ARF20" s="57"/>
      <c r="ARG20" s="390"/>
      <c r="ARH20" s="390"/>
      <c r="ARI20" s="57"/>
      <c r="ARJ20" s="57"/>
      <c r="ARK20" s="57"/>
      <c r="ARL20" s="57"/>
      <c r="ARM20" s="57"/>
      <c r="ARN20" s="57"/>
      <c r="ARO20" s="57"/>
      <c r="ARP20" s="57"/>
      <c r="ARQ20" s="57"/>
      <c r="ARR20" s="57"/>
      <c r="ARS20" s="57"/>
      <c r="ART20" s="57"/>
      <c r="ARU20" s="57"/>
      <c r="ARV20" s="57"/>
      <c r="ARW20" s="57"/>
      <c r="ARX20" s="57"/>
      <c r="ARY20" s="57"/>
      <c r="ARZ20" s="57"/>
      <c r="ASA20" s="57"/>
      <c r="ASB20" s="57"/>
      <c r="ASC20" s="57"/>
      <c r="ASD20" s="57"/>
      <c r="ASE20" s="57"/>
      <c r="ASF20" s="57"/>
      <c r="ASG20" s="57"/>
      <c r="ASH20" s="57"/>
      <c r="ASI20" s="57"/>
      <c r="ASJ20" s="57"/>
      <c r="ASK20" s="57"/>
      <c r="ASL20" s="57"/>
      <c r="ASM20" s="57"/>
      <c r="ASN20" s="57"/>
      <c r="ASO20" s="57"/>
      <c r="ASP20" s="57"/>
      <c r="ASQ20" s="57"/>
      <c r="ASR20" s="57"/>
      <c r="ASS20" s="57"/>
      <c r="AST20" s="57"/>
      <c r="ASU20" s="56"/>
      <c r="ASV20" s="56"/>
      <c r="ASW20" s="56"/>
      <c r="ASX20" s="57"/>
      <c r="ASY20" s="390"/>
      <c r="ASZ20" s="390"/>
      <c r="ATA20" s="57"/>
      <c r="ATB20" s="57"/>
      <c r="ATC20" s="57"/>
      <c r="ATD20" s="57"/>
      <c r="ATE20" s="57"/>
      <c r="ATF20" s="57"/>
      <c r="ATG20" s="57"/>
      <c r="ATH20" s="57"/>
      <c r="ATI20" s="57"/>
      <c r="ATJ20" s="57"/>
      <c r="ATK20" s="57"/>
      <c r="ATL20" s="57"/>
      <c r="ATM20" s="57"/>
      <c r="ATN20" s="57"/>
      <c r="ATO20" s="57"/>
      <c r="ATP20" s="57"/>
      <c r="ATQ20" s="57"/>
      <c r="ATR20" s="57"/>
      <c r="ATS20" s="57"/>
      <c r="ATT20" s="57"/>
      <c r="ATU20" s="57"/>
      <c r="ATV20" s="57"/>
      <c r="ATW20" s="57"/>
      <c r="ATX20" s="57"/>
      <c r="ATY20" s="57"/>
      <c r="ATZ20" s="57"/>
      <c r="AUA20" s="57"/>
      <c r="AUB20" s="57"/>
      <c r="AUC20" s="57"/>
      <c r="AUD20" s="57"/>
      <c r="AUE20" s="57"/>
      <c r="AUF20" s="57"/>
      <c r="AUG20" s="57"/>
      <c r="AUH20" s="57"/>
      <c r="AUI20" s="57"/>
      <c r="AUJ20" s="57"/>
      <c r="AUK20" s="57"/>
      <c r="AUL20" s="57"/>
      <c r="AUM20" s="57"/>
      <c r="AUN20" s="56"/>
      <c r="AUO20" s="56"/>
      <c r="AUP20" s="57"/>
      <c r="AUQ20" s="390"/>
      <c r="AUR20" s="390"/>
      <c r="AUS20" s="57"/>
      <c r="AUT20" s="57"/>
      <c r="AUU20" s="57"/>
      <c r="AUV20" s="57"/>
      <c r="AUW20" s="57"/>
      <c r="AUX20" s="57"/>
      <c r="AUY20" s="57"/>
      <c r="AUZ20" s="57"/>
      <c r="AVA20" s="57"/>
      <c r="AVB20" s="57"/>
      <c r="AVC20" s="57"/>
      <c r="AVD20" s="57"/>
      <c r="AVE20" s="57"/>
      <c r="AVF20" s="57"/>
      <c r="AVG20" s="57"/>
      <c r="AVH20" s="57"/>
      <c r="AVI20" s="57"/>
      <c r="AVJ20" s="57"/>
      <c r="AVK20" s="57"/>
      <c r="AVL20" s="57"/>
      <c r="AVM20" s="57"/>
      <c r="AVN20" s="57"/>
      <c r="AVO20" s="57"/>
      <c r="AVP20" s="57"/>
      <c r="AVQ20" s="57"/>
      <c r="AVR20" s="57"/>
      <c r="AVS20" s="57"/>
      <c r="AVT20" s="57"/>
      <c r="AVU20" s="57"/>
      <c r="AVV20" s="57"/>
      <c r="AVW20" s="57"/>
      <c r="AVX20" s="57"/>
      <c r="AVY20" s="57"/>
      <c r="AVZ20" s="57"/>
      <c r="AWA20" s="57"/>
      <c r="AWB20" s="57"/>
      <c r="AWC20" s="57"/>
      <c r="AWD20" s="57"/>
      <c r="AWE20" s="57"/>
      <c r="AWF20" s="56"/>
      <c r="AWG20" s="56"/>
      <c r="AWH20" s="57"/>
      <c r="AWI20" s="390"/>
      <c r="AWJ20" s="390"/>
      <c r="AWK20" s="57"/>
      <c r="AWL20" s="57"/>
      <c r="AWM20" s="57"/>
      <c r="AWN20" s="57"/>
      <c r="AWO20" s="57"/>
      <c r="AWP20" s="57"/>
      <c r="AWQ20" s="57"/>
      <c r="AWR20" s="57"/>
      <c r="AWS20" s="57"/>
      <c r="AWT20" s="57"/>
      <c r="AWU20" s="57"/>
      <c r="AWV20" s="57"/>
      <c r="AWW20" s="57"/>
      <c r="AWX20" s="57"/>
      <c r="AWY20" s="57"/>
      <c r="AWZ20" s="57"/>
      <c r="AXA20" s="57"/>
      <c r="AXB20" s="57"/>
      <c r="AXC20" s="57"/>
      <c r="AXD20" s="57"/>
      <c r="AXE20" s="57"/>
      <c r="AXF20" s="57"/>
      <c r="AXG20" s="57"/>
      <c r="AXH20" s="57"/>
      <c r="AXI20" s="57"/>
      <c r="AXJ20" s="57"/>
      <c r="AXK20" s="57"/>
      <c r="AXL20" s="57"/>
      <c r="AXM20" s="57"/>
      <c r="AXN20" s="57"/>
      <c r="AXO20" s="57"/>
      <c r="AXP20" s="57"/>
      <c r="AXQ20" s="57"/>
      <c r="AXR20" s="57"/>
      <c r="AXS20" s="57"/>
      <c r="AXT20" s="57"/>
      <c r="AXU20" s="57"/>
      <c r="AXV20" s="57"/>
      <c r="AXW20" s="57"/>
      <c r="AXX20" s="56"/>
      <c r="AXY20" s="56"/>
      <c r="AXZ20" s="57"/>
      <c r="AYA20" s="390"/>
      <c r="AYB20" s="390"/>
      <c r="AYC20" s="57"/>
      <c r="AYD20" s="57"/>
      <c r="AYE20" s="57"/>
      <c r="AYF20" s="57"/>
      <c r="AYG20" s="57"/>
      <c r="AYH20" s="57"/>
      <c r="AYI20" s="57"/>
      <c r="AYJ20" s="57"/>
      <c r="AYK20" s="57"/>
      <c r="AYL20" s="57"/>
      <c r="AYM20" s="57"/>
      <c r="AYN20" s="57"/>
      <c r="AYO20" s="57"/>
      <c r="AYP20" s="57"/>
      <c r="AYQ20" s="57"/>
      <c r="AYR20" s="57"/>
      <c r="AYS20" s="57"/>
      <c r="AYT20" s="57"/>
      <c r="AYU20" s="57"/>
      <c r="AYV20" s="57"/>
      <c r="AYW20" s="57"/>
      <c r="AYX20" s="57"/>
      <c r="AYY20" s="57"/>
      <c r="AYZ20" s="57"/>
      <c r="AZA20" s="57"/>
      <c r="AZB20" s="57"/>
      <c r="AZC20" s="57"/>
      <c r="AZD20" s="57"/>
      <c r="AZE20" s="57"/>
      <c r="AZF20" s="57"/>
      <c r="AZG20" s="57"/>
      <c r="AZH20" s="57"/>
      <c r="AZI20" s="57"/>
      <c r="AZJ20" s="57"/>
      <c r="AZK20" s="57"/>
      <c r="AZL20" s="57"/>
      <c r="AZM20" s="57"/>
      <c r="AZN20" s="57"/>
      <c r="AZO20" s="57"/>
      <c r="AZP20" s="56"/>
      <c r="AZQ20" s="56"/>
      <c r="AZR20" s="57"/>
      <c r="AZS20" s="390"/>
      <c r="AZT20" s="390"/>
      <c r="AZU20" s="57"/>
      <c r="AZV20" s="57"/>
      <c r="AZW20" s="57"/>
      <c r="AZX20" s="57"/>
      <c r="AZY20" s="57"/>
      <c r="AZZ20" s="57"/>
      <c r="BAA20" s="57"/>
      <c r="BAB20" s="57"/>
      <c r="BAC20" s="57"/>
      <c r="BAD20" s="57"/>
      <c r="BAE20" s="57"/>
      <c r="BAF20" s="57"/>
      <c r="BAG20" s="57"/>
      <c r="BAH20" s="57"/>
      <c r="BAI20" s="57"/>
      <c r="BAJ20" s="57"/>
      <c r="BAK20" s="57"/>
      <c r="BAL20" s="57"/>
      <c r="BAM20" s="57"/>
      <c r="BAN20" s="57"/>
      <c r="BAO20" s="57"/>
      <c r="BAP20" s="57"/>
      <c r="BAQ20" s="57"/>
      <c r="BAR20" s="57"/>
      <c r="BAS20" s="57"/>
      <c r="BAT20" s="57"/>
      <c r="BAU20" s="57"/>
      <c r="BAV20" s="57"/>
      <c r="BAW20" s="57"/>
      <c r="BAX20" s="57"/>
      <c r="BAY20" s="57"/>
      <c r="BAZ20" s="57"/>
      <c r="BBA20" s="57"/>
      <c r="BBB20" s="57"/>
      <c r="BBC20" s="57"/>
      <c r="BBD20" s="57"/>
      <c r="BBE20" s="57"/>
      <c r="BBF20" s="57"/>
      <c r="BBG20" s="57"/>
      <c r="BBH20" s="56"/>
      <c r="BBI20" s="56"/>
      <c r="BBJ20" s="57"/>
      <c r="BBK20" s="390"/>
      <c r="BBL20" s="390"/>
      <c r="BBM20" s="57"/>
      <c r="BBN20" s="57"/>
      <c r="BBO20" s="57"/>
      <c r="BBP20" s="57"/>
      <c r="BBQ20" s="57"/>
      <c r="BBR20" s="57"/>
      <c r="BBS20" s="57"/>
      <c r="BBT20" s="57"/>
      <c r="BBU20" s="57"/>
      <c r="BBV20" s="57"/>
      <c r="BBW20" s="57"/>
      <c r="BBX20" s="57"/>
      <c r="BBY20" s="57"/>
      <c r="BBZ20" s="57"/>
      <c r="BCA20" s="57"/>
      <c r="BCB20" s="57"/>
      <c r="BCC20" s="57"/>
      <c r="BCD20" s="57"/>
      <c r="BCE20" s="57"/>
      <c r="BCF20" s="57"/>
      <c r="BCG20" s="57"/>
      <c r="BCH20" s="57"/>
      <c r="BCI20" s="57"/>
      <c r="BCJ20" s="57"/>
      <c r="BCK20" s="57"/>
      <c r="BCL20" s="57"/>
      <c r="BCM20" s="57"/>
      <c r="BCN20" s="57"/>
      <c r="BCO20" s="57"/>
      <c r="BCP20" s="57"/>
      <c r="BCQ20" s="57"/>
      <c r="BCR20" s="57"/>
      <c r="BCS20" s="57"/>
      <c r="BCT20" s="57"/>
      <c r="BCU20" s="57"/>
      <c r="BCV20" s="57"/>
      <c r="BCW20" s="57"/>
      <c r="BCX20" s="57"/>
      <c r="BCY20" s="57"/>
      <c r="BCZ20" s="56"/>
      <c r="BDA20" s="56"/>
      <c r="BDB20" s="57"/>
      <c r="BDC20" s="390"/>
      <c r="BDD20" s="390"/>
      <c r="BDE20" s="57"/>
      <c r="BDF20" s="57"/>
      <c r="BDG20" s="57"/>
      <c r="BDH20" s="57"/>
      <c r="BDI20" s="57"/>
      <c r="BDJ20" s="57"/>
      <c r="BDK20" s="57"/>
      <c r="BDL20" s="57"/>
      <c r="BDM20" s="57"/>
      <c r="BDN20" s="57"/>
      <c r="BDO20" s="57"/>
      <c r="BDP20" s="57"/>
      <c r="BDQ20" s="57"/>
      <c r="BDR20" s="57"/>
      <c r="BDS20" s="57"/>
      <c r="BDT20" s="57"/>
      <c r="BDU20" s="57"/>
      <c r="BDV20" s="57"/>
      <c r="BDW20" s="57"/>
      <c r="BDX20" s="57"/>
      <c r="BDY20" s="57"/>
      <c r="BDZ20" s="57"/>
      <c r="BEA20" s="57"/>
      <c r="BEB20" s="57"/>
      <c r="BEC20" s="57"/>
      <c r="BED20" s="57"/>
      <c r="BEE20" s="57"/>
      <c r="BEF20" s="57"/>
      <c r="BEG20" s="57"/>
      <c r="BEH20" s="57"/>
      <c r="BEI20" s="57"/>
      <c r="BEJ20" s="57"/>
      <c r="BEK20" s="57"/>
      <c r="BEL20" s="57"/>
      <c r="BEM20" s="57"/>
      <c r="BEN20" s="57"/>
      <c r="BEO20" s="57"/>
      <c r="BEP20" s="57"/>
      <c r="BEQ20" s="57"/>
      <c r="BER20" s="56"/>
      <c r="BES20" s="56"/>
      <c r="BET20" s="57"/>
      <c r="BEU20" s="390"/>
      <c r="BEV20" s="390"/>
      <c r="BEW20" s="57"/>
      <c r="BEX20" s="57"/>
      <c r="BEY20" s="57"/>
      <c r="BEZ20" s="57"/>
      <c r="BFA20" s="57"/>
      <c r="BFB20" s="57"/>
      <c r="BFC20" s="57"/>
      <c r="BFD20" s="57"/>
      <c r="BFE20" s="57"/>
      <c r="BFF20" s="57"/>
      <c r="BFG20" s="57"/>
      <c r="BFH20" s="57"/>
      <c r="BFI20" s="57"/>
      <c r="BFJ20" s="57"/>
      <c r="BFK20" s="57"/>
      <c r="BFL20" s="57"/>
      <c r="BFM20" s="57"/>
      <c r="BFN20" s="57"/>
      <c r="BFO20" s="57"/>
      <c r="BFP20" s="57"/>
      <c r="BFQ20" s="57"/>
      <c r="BFR20" s="57"/>
      <c r="BFS20" s="57"/>
      <c r="BFT20" s="57"/>
      <c r="BFU20" s="57"/>
      <c r="BFV20" s="57"/>
      <c r="BFW20" s="57"/>
      <c r="BFX20" s="57"/>
      <c r="BFY20" s="57"/>
      <c r="BFZ20" s="57"/>
      <c r="BGA20" s="57"/>
      <c r="BGB20" s="57"/>
      <c r="BGC20" s="57"/>
      <c r="BGD20" s="57"/>
      <c r="BGE20" s="57"/>
      <c r="BGF20" s="57"/>
      <c r="BGG20" s="57"/>
      <c r="BGH20" s="57"/>
      <c r="BGI20" s="57"/>
      <c r="BGJ20" s="56"/>
      <c r="BGK20" s="56"/>
      <c r="BGL20" s="57"/>
      <c r="BGM20" s="390"/>
      <c r="BGN20" s="390"/>
      <c r="BGO20" s="57"/>
      <c r="BGP20" s="57"/>
      <c r="BGQ20" s="57"/>
      <c r="BGR20" s="57"/>
      <c r="BGS20" s="57"/>
      <c r="BGT20" s="57"/>
      <c r="BGU20" s="57"/>
      <c r="BGV20" s="57"/>
      <c r="BGW20" s="57"/>
      <c r="BGX20" s="57"/>
      <c r="BGY20" s="57"/>
      <c r="BGZ20" s="57"/>
      <c r="BHA20" s="57"/>
      <c r="BHB20" s="57"/>
      <c r="BHC20" s="57"/>
      <c r="BHD20" s="57"/>
      <c r="BHE20" s="57"/>
      <c r="BHF20" s="57"/>
      <c r="BHG20" s="57"/>
      <c r="BHH20" s="57"/>
      <c r="BHI20" s="57"/>
      <c r="BHJ20" s="57"/>
      <c r="BHK20" s="57"/>
      <c r="BHL20" s="57"/>
      <c r="BHM20" s="57"/>
      <c r="BHN20" s="57"/>
      <c r="BHO20" s="57"/>
      <c r="BHP20" s="57"/>
      <c r="BHQ20" s="57"/>
      <c r="BHR20" s="57"/>
      <c r="BHS20" s="57"/>
      <c r="BHT20" s="57"/>
      <c r="BHU20" s="57"/>
      <c r="BHV20" s="57"/>
      <c r="BHW20" s="57"/>
      <c r="BHX20" s="57"/>
      <c r="BHY20" s="57"/>
      <c r="BHZ20" s="57"/>
      <c r="BIA20" s="57"/>
      <c r="BIB20" s="56"/>
      <c r="BIC20" s="56"/>
      <c r="BID20" s="57"/>
      <c r="BIE20" s="390"/>
      <c r="BIF20" s="390"/>
      <c r="BIG20" s="57"/>
      <c r="BIH20" s="57"/>
      <c r="BII20" s="57"/>
      <c r="BIJ20" s="57"/>
      <c r="BIK20" s="57"/>
      <c r="BIL20" s="57"/>
      <c r="BIM20" s="57"/>
      <c r="BIN20" s="57"/>
      <c r="BIO20" s="57"/>
      <c r="BIP20" s="57"/>
      <c r="BIQ20" s="57"/>
      <c r="BIR20" s="57"/>
      <c r="BIS20" s="57"/>
      <c r="BIT20" s="57"/>
      <c r="BIU20" s="57"/>
      <c r="BIV20" s="57"/>
      <c r="BIW20" s="57"/>
      <c r="BIX20" s="57"/>
      <c r="BIY20" s="57"/>
      <c r="BIZ20" s="57"/>
      <c r="BJA20" s="57"/>
      <c r="BJB20" s="57"/>
      <c r="BJC20" s="57"/>
      <c r="BJD20" s="57"/>
      <c r="BJE20" s="57"/>
      <c r="BJF20" s="57"/>
      <c r="BJG20" s="57"/>
      <c r="BJH20" s="57"/>
      <c r="BJI20" s="57"/>
      <c r="BJJ20" s="57"/>
      <c r="BJK20" s="57"/>
      <c r="BJL20" s="57"/>
      <c r="BJM20" s="57"/>
      <c r="BJN20" s="57"/>
      <c r="BJO20" s="57"/>
      <c r="BJP20" s="57"/>
      <c r="BJQ20" s="57"/>
      <c r="BJR20" s="57"/>
      <c r="BJS20" s="57"/>
      <c r="BJT20" s="56"/>
      <c r="BJU20" s="56"/>
      <c r="BJV20" s="57"/>
      <c r="BJW20" s="390"/>
      <c r="BJX20" s="390"/>
      <c r="BJY20" s="57"/>
      <c r="BJZ20" s="57"/>
      <c r="BKA20" s="57"/>
      <c r="BKB20" s="57"/>
      <c r="BKC20" s="57"/>
      <c r="BKD20" s="57"/>
      <c r="BKE20" s="57"/>
      <c r="BKF20" s="57"/>
      <c r="BKG20" s="57"/>
      <c r="BKH20" s="57"/>
      <c r="BKI20" s="57"/>
      <c r="BKJ20" s="57"/>
      <c r="BKK20" s="57"/>
      <c r="BKL20" s="57"/>
      <c r="BKM20" s="57"/>
      <c r="BKN20" s="57"/>
      <c r="BKO20" s="57"/>
      <c r="BKP20" s="57"/>
      <c r="BKQ20" s="57"/>
      <c r="BKR20" s="57"/>
      <c r="BKS20" s="57"/>
      <c r="BKT20" s="57"/>
      <c r="BKU20" s="57"/>
      <c r="BKV20" s="57"/>
      <c r="BKW20" s="57"/>
      <c r="BKX20" s="57"/>
      <c r="BKY20" s="57"/>
      <c r="BKZ20" s="57"/>
      <c r="BLA20" s="57"/>
      <c r="BLB20" s="57"/>
      <c r="BLC20" s="57"/>
      <c r="BLD20" s="57"/>
      <c r="BLE20" s="57"/>
      <c r="BLF20" s="57"/>
      <c r="BLG20" s="57"/>
      <c r="BLH20" s="57"/>
      <c r="BLI20" s="57"/>
      <c r="BLJ20" s="57"/>
      <c r="BLK20" s="57"/>
      <c r="BLL20" s="56"/>
      <c r="BLM20" s="56"/>
      <c r="BLN20" s="57"/>
      <c r="BLO20" s="390"/>
      <c r="BLP20" s="390"/>
      <c r="BLQ20" s="57"/>
      <c r="BLR20" s="57"/>
      <c r="BLS20" s="57"/>
      <c r="BLT20" s="57"/>
      <c r="BLU20" s="57"/>
      <c r="BLV20" s="57"/>
      <c r="BLW20" s="57"/>
      <c r="BLX20" s="57"/>
      <c r="BLY20" s="57"/>
      <c r="BLZ20" s="57"/>
      <c r="BMA20" s="57"/>
      <c r="BMB20" s="57"/>
      <c r="BMC20" s="57"/>
      <c r="BMD20" s="57"/>
      <c r="BME20" s="57"/>
      <c r="BMF20" s="57"/>
      <c r="BMG20" s="57"/>
      <c r="BMH20" s="57"/>
      <c r="BMI20" s="57"/>
      <c r="BMJ20" s="57"/>
      <c r="BMK20" s="57"/>
      <c r="BML20" s="57"/>
      <c r="BMM20" s="57"/>
      <c r="BMN20" s="57"/>
      <c r="BMO20" s="57"/>
      <c r="BMP20" s="57"/>
      <c r="BMQ20" s="57"/>
      <c r="BMR20" s="57"/>
      <c r="BMS20" s="57"/>
      <c r="BMT20" s="57"/>
      <c r="BMU20" s="57"/>
      <c r="BMV20" s="57"/>
      <c r="BMW20" s="57"/>
      <c r="BMX20" s="57"/>
      <c r="BMY20" s="57"/>
      <c r="BMZ20" s="57"/>
      <c r="BNA20" s="57"/>
      <c r="BNB20" s="57"/>
      <c r="BNC20" s="57"/>
      <c r="BND20" s="56"/>
      <c r="BNE20" s="56"/>
      <c r="BNF20" s="57"/>
      <c r="BNG20" s="390"/>
      <c r="BNH20" s="390"/>
      <c r="BNI20" s="57"/>
      <c r="BNJ20" s="57"/>
      <c r="BNK20" s="57"/>
      <c r="BNL20" s="57"/>
      <c r="BNM20" s="57"/>
      <c r="BNN20" s="57"/>
      <c r="BNO20" s="57"/>
      <c r="BNP20" s="57"/>
      <c r="BNQ20" s="57"/>
      <c r="BNR20" s="57"/>
      <c r="BNS20" s="57"/>
      <c r="BNT20" s="57"/>
      <c r="BNU20" s="57"/>
      <c r="BNV20" s="57"/>
      <c r="BNW20" s="57"/>
      <c r="BNX20" s="57"/>
      <c r="BNY20" s="57"/>
      <c r="BNZ20" s="57"/>
      <c r="BOA20" s="57"/>
      <c r="BOB20" s="57"/>
      <c r="BOC20" s="57"/>
      <c r="BOD20" s="57"/>
      <c r="BOE20" s="57"/>
      <c r="BOF20" s="57"/>
      <c r="BOG20" s="57"/>
      <c r="BOH20" s="57"/>
      <c r="BOI20" s="57"/>
      <c r="BOJ20" s="57"/>
      <c r="BOK20" s="57"/>
      <c r="BOL20" s="57"/>
      <c r="BOM20" s="57"/>
      <c r="BON20" s="57"/>
      <c r="BOO20" s="57"/>
      <c r="BOP20" s="57"/>
      <c r="BOQ20" s="57"/>
      <c r="BOR20" s="57"/>
      <c r="BOS20" s="57"/>
      <c r="BOT20" s="57"/>
      <c r="BOU20" s="57"/>
      <c r="BOV20" s="56"/>
      <c r="BOW20" s="56"/>
      <c r="BOX20" s="57"/>
      <c r="BOY20" s="390"/>
      <c r="BOZ20" s="390"/>
      <c r="BPA20" s="57"/>
      <c r="BPB20" s="57"/>
      <c r="BPC20" s="57"/>
      <c r="BPD20" s="57"/>
      <c r="BPE20" s="57"/>
      <c r="BPF20" s="57"/>
      <c r="BPG20" s="57"/>
      <c r="BPH20" s="57"/>
      <c r="BPI20" s="57"/>
      <c r="BPJ20" s="57"/>
      <c r="BPK20" s="57"/>
      <c r="BPL20" s="57"/>
      <c r="BPM20" s="57"/>
      <c r="BPN20" s="57"/>
      <c r="BPO20" s="57"/>
      <c r="BPP20" s="57"/>
      <c r="BPQ20" s="57"/>
      <c r="BPR20" s="57"/>
      <c r="BPS20" s="57"/>
      <c r="BPT20" s="57"/>
      <c r="BPU20" s="57"/>
      <c r="BPV20" s="57"/>
      <c r="BPW20" s="57"/>
      <c r="BPX20" s="57"/>
      <c r="BPY20" s="57"/>
      <c r="BPZ20" s="57"/>
      <c r="BQA20" s="57"/>
      <c r="BQB20" s="57"/>
      <c r="BQC20" s="57"/>
      <c r="BQD20" s="57"/>
      <c r="BQE20" s="57"/>
      <c r="BQF20" s="57"/>
      <c r="BQG20" s="57"/>
      <c r="BQH20" s="57"/>
      <c r="BQI20" s="57"/>
      <c r="BQJ20" s="57"/>
      <c r="BQK20" s="57"/>
      <c r="BQL20" s="57"/>
      <c r="BQM20" s="57"/>
      <c r="BQN20" s="56"/>
      <c r="BQO20" s="56"/>
      <c r="BQP20" s="57"/>
      <c r="BQQ20" s="390"/>
      <c r="BQR20" s="390"/>
      <c r="BQS20" s="57"/>
      <c r="BQT20" s="57"/>
      <c r="BQU20" s="57"/>
      <c r="BQV20" s="57"/>
      <c r="BQW20" s="57"/>
      <c r="BQX20" s="57"/>
      <c r="BQY20" s="57"/>
      <c r="BQZ20" s="57"/>
      <c r="BRA20" s="57"/>
      <c r="BRB20" s="57"/>
      <c r="BRC20" s="57"/>
      <c r="BRD20" s="57"/>
      <c r="BRE20" s="57"/>
      <c r="BRF20" s="57"/>
      <c r="BRG20" s="57"/>
      <c r="BRH20" s="57"/>
      <c r="BRI20" s="57"/>
      <c r="BRJ20" s="57"/>
      <c r="BRK20" s="57"/>
      <c r="BRL20" s="57"/>
      <c r="BRM20" s="57"/>
      <c r="BRN20" s="57"/>
      <c r="BRO20" s="57"/>
      <c r="BRP20" s="57"/>
      <c r="BRQ20" s="57"/>
      <c r="BRR20" s="57"/>
      <c r="BRS20" s="57"/>
      <c r="BRT20" s="57"/>
      <c r="BRU20" s="57"/>
      <c r="BRV20" s="57"/>
      <c r="BRW20" s="57"/>
      <c r="BRX20" s="57"/>
      <c r="BRY20" s="57"/>
      <c r="BRZ20" s="57"/>
      <c r="BSA20" s="57"/>
      <c r="BSB20" s="57"/>
      <c r="BSC20" s="57"/>
      <c r="BSD20" s="57"/>
      <c r="BSE20" s="57"/>
      <c r="BSF20" s="56"/>
      <c r="BSG20" s="56"/>
      <c r="BSH20" s="57"/>
      <c r="BSI20" s="390"/>
      <c r="BSJ20" s="390"/>
      <c r="BSK20" s="57"/>
      <c r="BSL20" s="57"/>
      <c r="BSM20" s="57"/>
      <c r="BSN20" s="57"/>
      <c r="BSO20" s="57"/>
      <c r="BSP20" s="57"/>
      <c r="BSQ20" s="57"/>
      <c r="BSR20" s="57"/>
      <c r="BSS20" s="57"/>
      <c r="BST20" s="57"/>
      <c r="BSU20" s="57"/>
      <c r="BSV20" s="57"/>
      <c r="BSW20" s="57"/>
      <c r="BSX20" s="57"/>
      <c r="BSY20" s="57"/>
      <c r="BSZ20" s="57"/>
      <c r="BTA20" s="57"/>
      <c r="BTB20" s="57"/>
      <c r="BTC20" s="57"/>
      <c r="BTD20" s="57"/>
      <c r="BTE20" s="57"/>
      <c r="BTF20" s="57"/>
      <c r="BTG20" s="57"/>
      <c r="BTH20" s="57"/>
      <c r="BTI20" s="57"/>
      <c r="BTJ20" s="57"/>
      <c r="BTK20" s="57"/>
      <c r="BTL20" s="57"/>
      <c r="BTM20" s="57"/>
      <c r="BTN20" s="57"/>
      <c r="BTO20" s="57"/>
      <c r="BTP20" s="57"/>
      <c r="BTQ20" s="57"/>
      <c r="BTR20" s="57"/>
      <c r="BTS20" s="57"/>
      <c r="BTT20" s="57"/>
      <c r="BTU20" s="57"/>
      <c r="BTV20" s="57"/>
      <c r="BTW20" s="57"/>
      <c r="BTX20" s="56"/>
      <c r="BTY20" s="56"/>
      <c r="BTZ20" s="57"/>
      <c r="BUA20" s="390"/>
      <c r="BUB20" s="390"/>
      <c r="BUC20" s="57"/>
      <c r="BUD20" s="57"/>
      <c r="BUE20" s="57"/>
      <c r="BUF20" s="57"/>
      <c r="BUG20" s="57"/>
      <c r="BUH20" s="57"/>
      <c r="BUI20" s="57"/>
      <c r="BUJ20" s="57"/>
      <c r="BUK20" s="57"/>
      <c r="BUL20" s="57"/>
      <c r="BUM20" s="57"/>
      <c r="BUN20" s="57"/>
      <c r="BUO20" s="57"/>
      <c r="BUP20" s="57"/>
      <c r="BUQ20" s="57"/>
      <c r="BUR20" s="57"/>
      <c r="BUS20" s="57"/>
      <c r="BUT20" s="57"/>
      <c r="BUU20" s="57"/>
      <c r="BUV20" s="57"/>
      <c r="BUW20" s="57"/>
      <c r="BUX20" s="57"/>
      <c r="BUY20" s="57"/>
      <c r="BUZ20" s="57"/>
      <c r="BVA20" s="57"/>
      <c r="BVB20" s="57"/>
      <c r="BVC20" s="57"/>
      <c r="BVD20" s="57"/>
      <c r="BVE20" s="57"/>
      <c r="BVF20" s="57"/>
      <c r="BVG20" s="57"/>
      <c r="BVH20" s="57"/>
      <c r="BVI20" s="57"/>
      <c r="BVJ20" s="57"/>
      <c r="BVK20" s="57"/>
      <c r="BVL20" s="57"/>
      <c r="BVM20" s="57"/>
      <c r="BVN20" s="57"/>
      <c r="BVO20" s="57"/>
      <c r="BVP20" s="56"/>
      <c r="BVQ20" s="56"/>
      <c r="BVR20" s="57"/>
      <c r="BVS20" s="390"/>
      <c r="BVT20" s="390"/>
      <c r="BVU20" s="57"/>
      <c r="BVV20" s="57"/>
      <c r="BVW20" s="57"/>
      <c r="BVX20" s="57"/>
      <c r="BVY20" s="57"/>
      <c r="BVZ20" s="57"/>
      <c r="BWA20" s="57"/>
      <c r="BWB20" s="57"/>
      <c r="BWC20" s="57"/>
      <c r="BWD20" s="57"/>
      <c r="BWE20" s="57"/>
      <c r="BWF20" s="57"/>
      <c r="BWG20" s="57"/>
      <c r="BWH20" s="57"/>
      <c r="BWI20" s="57"/>
      <c r="BWJ20" s="57"/>
      <c r="BWK20" s="57"/>
      <c r="BWL20" s="57"/>
      <c r="BWM20" s="57"/>
      <c r="BWN20" s="57"/>
      <c r="BWO20" s="57"/>
      <c r="BWP20" s="57"/>
      <c r="BWQ20" s="57"/>
      <c r="BWR20" s="57"/>
      <c r="BWS20" s="57"/>
      <c r="BWT20" s="57"/>
      <c r="BWU20" s="57"/>
      <c r="BWV20" s="57"/>
      <c r="BWW20" s="57"/>
      <c r="BWX20" s="57"/>
      <c r="BWY20" s="57"/>
      <c r="BWZ20" s="57"/>
      <c r="BXA20" s="57"/>
      <c r="BXB20" s="57"/>
      <c r="BXC20" s="57"/>
      <c r="BXD20" s="57"/>
      <c r="BXE20" s="57"/>
      <c r="BXF20" s="57"/>
      <c r="BXG20" s="57"/>
      <c r="BXH20" s="56"/>
      <c r="BXI20" s="56"/>
      <c r="BXJ20" s="57"/>
      <c r="BXK20" s="390"/>
      <c r="BXL20" s="390"/>
      <c r="BXM20" s="57"/>
      <c r="BXN20" s="57"/>
      <c r="BXO20" s="57"/>
      <c r="BXP20" s="57"/>
      <c r="BXQ20" s="57"/>
      <c r="BXR20" s="57"/>
      <c r="BXS20" s="57"/>
      <c r="BXT20" s="57"/>
      <c r="BXU20" s="57"/>
      <c r="BXV20" s="57"/>
      <c r="BXW20" s="57"/>
      <c r="BXX20" s="57"/>
      <c r="BXY20" s="57"/>
      <c r="BXZ20" s="57"/>
      <c r="BYA20" s="57"/>
      <c r="BYB20" s="57"/>
      <c r="BYC20" s="57"/>
      <c r="BYD20" s="57"/>
      <c r="BYE20" s="57"/>
      <c r="BYF20" s="57"/>
      <c r="BYG20" s="57"/>
      <c r="BYH20" s="57"/>
      <c r="BYI20" s="57"/>
      <c r="BYJ20" s="57"/>
      <c r="BYK20" s="57"/>
      <c r="BYL20" s="57"/>
      <c r="BYM20" s="57"/>
      <c r="BYN20" s="57"/>
      <c r="BYO20" s="57"/>
      <c r="BYP20" s="57"/>
      <c r="BYQ20" s="57"/>
      <c r="BYR20" s="57"/>
      <c r="BYS20" s="57"/>
      <c r="BYT20" s="57"/>
      <c r="BYU20" s="57"/>
      <c r="BYV20" s="57"/>
      <c r="BYW20" s="57"/>
      <c r="BYX20" s="57"/>
      <c r="BYY20" s="57"/>
      <c r="BYZ20" s="56"/>
      <c r="BZA20" s="56"/>
      <c r="BZB20" s="57"/>
      <c r="BZC20" s="390"/>
      <c r="BZD20" s="390"/>
      <c r="BZE20" s="57"/>
      <c r="BZF20" s="57"/>
      <c r="BZG20" s="57"/>
      <c r="BZH20" s="387"/>
      <c r="BZI20" s="57"/>
      <c r="BZJ20" s="387"/>
      <c r="BZK20" s="57"/>
      <c r="BZL20" s="57"/>
      <c r="BZM20" s="57"/>
      <c r="BZN20" s="57"/>
      <c r="BZO20" s="57"/>
      <c r="BZP20" s="57"/>
      <c r="BZQ20" s="57"/>
      <c r="BZR20" s="57"/>
      <c r="BZS20" s="57"/>
      <c r="BZT20" s="57"/>
      <c r="BZU20" s="57"/>
      <c r="BZV20" s="57"/>
      <c r="BZW20" s="57"/>
      <c r="BZX20" s="57"/>
      <c r="BZY20" s="57"/>
      <c r="BZZ20" s="57"/>
      <c r="CAA20" s="57"/>
      <c r="CAB20" s="57"/>
      <c r="CAC20" s="57"/>
      <c r="CAD20" s="57"/>
      <c r="CAE20" s="57"/>
      <c r="CAF20" s="57"/>
      <c r="CAG20" s="57"/>
      <c r="CAH20" s="57"/>
      <c r="CAI20" s="57"/>
      <c r="CAJ20" s="57"/>
      <c r="CAK20" s="57"/>
      <c r="CAL20" s="57"/>
      <c r="CAM20" s="57"/>
      <c r="CAN20" s="57"/>
      <c r="CAO20" s="57"/>
      <c r="CAP20" s="58"/>
      <c r="CAQ20" s="56"/>
      <c r="CAR20" s="57"/>
      <c r="CAS20" s="57"/>
      <c r="CAT20" s="57"/>
      <c r="CAU20" s="57"/>
      <c r="CAV20" s="57"/>
      <c r="CAW20" s="56"/>
      <c r="CAX20" s="57"/>
      <c r="CAY20" s="57"/>
      <c r="CAZ20" s="56"/>
      <c r="CBA20" s="57"/>
      <c r="CBB20" s="58"/>
      <c r="CBC20" s="56"/>
      <c r="CBD20" s="57"/>
      <c r="CBE20" s="57"/>
      <c r="CBF20" s="57"/>
      <c r="CBG20" s="56"/>
      <c r="CBH20" s="57"/>
      <c r="CBI20" s="57"/>
      <c r="CBJ20" s="56"/>
      <c r="CBK20" s="57"/>
      <c r="CBL20" s="58"/>
      <c r="CBM20" s="56"/>
      <c r="CBN20" s="57"/>
      <c r="CBO20" s="57"/>
      <c r="CBP20" s="57"/>
      <c r="CBQ20" s="56"/>
      <c r="CBR20" s="57"/>
      <c r="CBS20" s="57"/>
      <c r="CBT20" s="56"/>
      <c r="CBU20" s="57"/>
      <c r="CBV20" s="58"/>
      <c r="CBW20" s="56"/>
      <c r="CBX20" s="57"/>
      <c r="CBY20" s="57"/>
      <c r="CBZ20" s="57"/>
      <c r="CCA20" s="56"/>
      <c r="CCB20" s="57"/>
      <c r="CCC20" s="57"/>
      <c r="CCD20" s="56"/>
      <c r="CCE20" s="57"/>
      <c r="CCF20" s="58"/>
      <c r="CCG20" s="56"/>
      <c r="CCH20" s="58"/>
      <c r="CCI20" s="57"/>
      <c r="CCJ20" s="56"/>
      <c r="CCK20" s="57"/>
      <c r="CCL20" s="56"/>
      <c r="CCM20" s="56"/>
      <c r="CCN20" s="56"/>
      <c r="CCO20" s="57"/>
      <c r="CCP20" s="387"/>
      <c r="CCQ20" s="57"/>
      <c r="CCR20" s="387"/>
      <c r="CCS20" s="57"/>
      <c r="CCT20" s="387"/>
      <c r="CCU20" s="57"/>
      <c r="CCV20" s="57"/>
      <c r="CCW20" s="57"/>
      <c r="CCX20" s="57"/>
      <c r="CCY20" s="57"/>
      <c r="CCZ20" s="57"/>
      <c r="CDA20" s="57"/>
      <c r="CDB20" s="57"/>
      <c r="CDC20" s="57"/>
      <c r="CDD20" s="57"/>
      <c r="CDE20" s="57"/>
      <c r="CDF20" s="57"/>
      <c r="CDG20" s="57"/>
      <c r="CDH20" s="57"/>
      <c r="CDI20" s="57"/>
      <c r="CDJ20" s="57"/>
      <c r="CDK20" s="57"/>
      <c r="CDL20" s="57"/>
      <c r="CDM20" s="57"/>
      <c r="CDN20" s="57"/>
      <c r="CDO20" s="57"/>
      <c r="CDP20" s="57"/>
      <c r="CDQ20" s="57"/>
      <c r="CDR20" s="57"/>
      <c r="CDS20" s="57"/>
      <c r="CDT20" s="57"/>
      <c r="CDU20" s="57"/>
      <c r="CDV20" s="57"/>
      <c r="CDW20" s="57"/>
      <c r="CDX20" s="57"/>
      <c r="CDY20" s="57"/>
      <c r="CDZ20" s="58"/>
      <c r="CEA20" s="56"/>
      <c r="CEB20" s="57"/>
      <c r="CEC20" s="57"/>
      <c r="CED20" s="57"/>
      <c r="CEE20" s="57"/>
      <c r="CEF20" s="57"/>
      <c r="CEG20" s="56"/>
      <c r="CEH20" s="57"/>
      <c r="CEI20" s="57"/>
      <c r="CEJ20" s="56"/>
      <c r="CEK20" s="57"/>
      <c r="CEL20" s="58"/>
      <c r="CEM20" s="56"/>
      <c r="CEN20" s="57"/>
      <c r="CEO20" s="57"/>
      <c r="CEP20" s="57"/>
      <c r="CEQ20" s="56"/>
      <c r="CER20" s="57"/>
      <c r="CES20" s="57"/>
      <c r="CET20" s="56"/>
      <c r="CEU20" s="57"/>
      <c r="CEV20" s="58"/>
      <c r="CEW20" s="56"/>
      <c r="CEX20" s="57"/>
      <c r="CEY20" s="57"/>
      <c r="CEZ20" s="57"/>
      <c r="CFA20" s="56"/>
      <c r="CFB20" s="57"/>
      <c r="CFC20" s="57"/>
      <c r="CFD20" s="56"/>
      <c r="CFE20" s="57"/>
      <c r="CFF20" s="58"/>
      <c r="CFG20" s="56"/>
      <c r="CFH20" s="57"/>
      <c r="CFI20" s="57"/>
      <c r="CFJ20" s="57"/>
      <c r="CFK20" s="56"/>
      <c r="CFL20" s="57"/>
      <c r="CFM20" s="57"/>
      <c r="CFN20" s="56"/>
      <c r="CFO20" s="57"/>
      <c r="CFP20" s="58"/>
      <c r="CFQ20" s="56"/>
      <c r="CFR20" s="58"/>
      <c r="CFS20" s="57"/>
      <c r="CFT20" s="56"/>
      <c r="CFU20" s="57"/>
      <c r="CFV20" s="56"/>
      <c r="CFW20" s="56"/>
      <c r="CFX20" s="56"/>
      <c r="CFY20" s="57"/>
      <c r="CFZ20" s="387"/>
      <c r="CGA20" s="57"/>
      <c r="CGB20" s="387"/>
      <c r="CGC20" s="57"/>
      <c r="CGD20" s="387"/>
      <c r="CGE20" s="57"/>
      <c r="CGF20" s="57"/>
      <c r="CGG20" s="57"/>
      <c r="CGH20" s="57"/>
      <c r="CGI20" s="57"/>
      <c r="CGJ20" s="57"/>
      <c r="CGK20" s="57"/>
      <c r="CGL20" s="57"/>
      <c r="CGM20" s="57"/>
      <c r="CGN20" s="57"/>
      <c r="CGO20" s="57"/>
      <c r="CGP20" s="57"/>
      <c r="CGQ20" s="57"/>
      <c r="CGR20" s="57"/>
      <c r="CGS20" s="57"/>
      <c r="CGT20" s="57"/>
      <c r="CGU20" s="57"/>
      <c r="CGV20" s="57"/>
      <c r="CGW20" s="57"/>
      <c r="CGX20" s="57"/>
      <c r="CGY20" s="57"/>
      <c r="CGZ20" s="57"/>
      <c r="CHA20" s="57"/>
      <c r="CHB20" s="57"/>
      <c r="CHC20" s="57"/>
      <c r="CHD20" s="57"/>
      <c r="CHE20" s="57"/>
      <c r="CHF20" s="57"/>
      <c r="CHG20" s="57"/>
      <c r="CHH20" s="57"/>
      <c r="CHI20" s="57"/>
      <c r="CHJ20" s="58"/>
      <c r="CHK20" s="56"/>
      <c r="CHL20" s="57"/>
      <c r="CHM20" s="57"/>
      <c r="CHN20" s="57"/>
      <c r="CHO20" s="57"/>
      <c r="CHP20" s="57"/>
      <c r="CHQ20" s="56"/>
      <c r="CHR20" s="57"/>
      <c r="CHS20" s="57"/>
      <c r="CHT20" s="56"/>
      <c r="CHU20" s="57"/>
      <c r="CHV20" s="58"/>
      <c r="CHW20" s="56"/>
      <c r="CHX20" s="57"/>
      <c r="CHY20" s="57"/>
      <c r="CHZ20" s="57"/>
      <c r="CIA20" s="56"/>
      <c r="CIB20" s="57"/>
      <c r="CIC20" s="57"/>
      <c r="CID20" s="56"/>
      <c r="CIE20" s="57"/>
      <c r="CIF20" s="58"/>
      <c r="CIG20" s="56"/>
      <c r="CIH20" s="57"/>
      <c r="CII20" s="57"/>
      <c r="CIJ20" s="57"/>
      <c r="CIK20" s="56"/>
      <c r="CIL20" s="57"/>
      <c r="CIM20" s="57"/>
      <c r="CIN20" s="56"/>
      <c r="CIO20" s="57"/>
      <c r="CIP20" s="58"/>
      <c r="CIQ20" s="56"/>
      <c r="CIR20" s="57"/>
      <c r="CIS20" s="57"/>
      <c r="CIT20" s="57"/>
      <c r="CIU20" s="56"/>
      <c r="CIV20" s="57"/>
      <c r="CIW20" s="57"/>
      <c r="CIX20" s="56"/>
      <c r="CIY20" s="57"/>
      <c r="CIZ20" s="58"/>
      <c r="CJA20" s="56"/>
      <c r="CJB20" s="58"/>
      <c r="CJC20" s="57"/>
      <c r="CJD20" s="56"/>
      <c r="CJE20" s="57"/>
      <c r="CJF20" s="56"/>
      <c r="CJG20" s="56"/>
      <c r="CJH20" s="56"/>
      <c r="CJI20" s="57"/>
      <c r="CJJ20" s="387"/>
      <c r="CJK20" s="57"/>
      <c r="CJL20" s="387"/>
      <c r="CJM20" s="57"/>
      <c r="CJN20" s="387"/>
      <c r="CJO20" s="57"/>
      <c r="CJP20" s="57"/>
      <c r="CJQ20" s="57"/>
      <c r="CJR20" s="57"/>
      <c r="CJS20" s="57"/>
      <c r="CJT20" s="57"/>
      <c r="CJU20" s="57"/>
      <c r="CJV20" s="57"/>
      <c r="CJW20" s="57"/>
      <c r="CJX20" s="57"/>
      <c r="CJY20" s="57"/>
      <c r="CJZ20" s="57"/>
      <c r="CKA20" s="57"/>
      <c r="CKB20" s="57"/>
      <c r="CKC20" s="57"/>
      <c r="CKD20" s="57"/>
      <c r="CKE20" s="57"/>
      <c r="CKF20" s="57"/>
      <c r="CKG20" s="57"/>
      <c r="CKH20" s="57"/>
      <c r="CKI20" s="57"/>
      <c r="CKJ20" s="57"/>
      <c r="CKK20" s="57"/>
      <c r="CKL20" s="57"/>
      <c r="CKM20" s="57"/>
      <c r="CKN20" s="57"/>
      <c r="CKO20" s="57"/>
      <c r="CKP20" s="57"/>
      <c r="CKQ20" s="57"/>
      <c r="CKR20" s="57"/>
      <c r="CKS20" s="57"/>
      <c r="CKT20" s="58"/>
      <c r="CKU20" s="56"/>
      <c r="CKV20" s="57"/>
      <c r="CKW20" s="57"/>
      <c r="CKX20" s="57"/>
      <c r="CKY20" s="57"/>
      <c r="CKZ20" s="57"/>
      <c r="CLA20" s="56"/>
      <c r="CLB20" s="57"/>
      <c r="CLC20" s="57"/>
      <c r="CLD20" s="56"/>
      <c r="CLE20" s="57"/>
      <c r="CLF20" s="58"/>
      <c r="CLG20" s="56"/>
      <c r="CLH20" s="57"/>
      <c r="CLI20" s="57"/>
      <c r="CLJ20" s="57"/>
      <c r="CLK20" s="56"/>
      <c r="CLL20" s="57"/>
      <c r="CLM20" s="57"/>
      <c r="CLN20" s="56"/>
      <c r="CLO20" s="57"/>
      <c r="CLP20" s="58"/>
      <c r="CLQ20" s="56"/>
      <c r="CLR20" s="57"/>
      <c r="CLS20" s="57"/>
      <c r="CLT20" s="57"/>
      <c r="CLU20" s="56"/>
      <c r="CLV20" s="57"/>
      <c r="CLW20" s="57"/>
      <c r="CLX20" s="56"/>
      <c r="CLY20" s="57"/>
      <c r="CLZ20" s="58"/>
      <c r="CMA20" s="56"/>
      <c r="CMB20" s="57"/>
      <c r="CMC20" s="57"/>
      <c r="CMD20" s="57"/>
      <c r="CME20" s="56"/>
      <c r="CMF20" s="57"/>
      <c r="CMG20" s="57"/>
      <c r="CMH20" s="56"/>
      <c r="CMI20" s="57"/>
      <c r="CMJ20" s="58"/>
      <c r="CMK20" s="56"/>
      <c r="CML20" s="58"/>
      <c r="CMM20" s="57"/>
      <c r="CMN20" s="56"/>
      <c r="CMO20" s="57"/>
      <c r="CMP20" s="56"/>
      <c r="CMQ20" s="56"/>
      <c r="CMR20" s="56"/>
      <c r="CMS20" s="57"/>
      <c r="CMT20" s="387"/>
      <c r="CMU20" s="57"/>
      <c r="CMV20" s="387"/>
      <c r="CMW20" s="57"/>
      <c r="CMX20" s="387"/>
      <c r="CMY20" s="57"/>
      <c r="CMZ20" s="57"/>
      <c r="CNA20" s="57"/>
      <c r="CNB20" s="57"/>
      <c r="CNC20" s="57"/>
      <c r="CND20" s="57"/>
      <c r="CNE20" s="57"/>
      <c r="CNF20" s="57"/>
      <c r="CNG20" s="57"/>
      <c r="CNH20" s="57"/>
      <c r="CNI20" s="57"/>
      <c r="CNJ20" s="57"/>
      <c r="CNK20" s="57"/>
      <c r="CNL20" s="57"/>
      <c r="CNM20" s="57"/>
      <c r="CNN20" s="57"/>
      <c r="CNO20" s="57"/>
      <c r="CNP20" s="57"/>
      <c r="CNQ20" s="57"/>
      <c r="CNR20" s="57"/>
      <c r="CNS20" s="57"/>
      <c r="CNT20" s="57"/>
      <c r="CNU20" s="57"/>
      <c r="CNV20" s="57"/>
      <c r="CNW20" s="57"/>
      <c r="CNX20" s="57"/>
      <c r="CNY20" s="57"/>
      <c r="CNZ20" s="57"/>
      <c r="COA20" s="57"/>
      <c r="COB20" s="57"/>
      <c r="COC20" s="57"/>
      <c r="COD20" s="58"/>
      <c r="COE20" s="56"/>
      <c r="COF20" s="57"/>
      <c r="COG20" s="57"/>
      <c r="COH20" s="57"/>
      <c r="COI20" s="57"/>
      <c r="COJ20" s="57"/>
      <c r="COK20" s="56"/>
      <c r="COL20" s="57"/>
      <c r="COM20" s="57"/>
      <c r="CON20" s="56"/>
      <c r="COO20" s="57"/>
      <c r="COP20" s="58"/>
      <c r="COQ20" s="56"/>
      <c r="COR20" s="57"/>
      <c r="COS20" s="57"/>
      <c r="COT20" s="57"/>
      <c r="COU20" s="56"/>
      <c r="COV20" s="57"/>
      <c r="COW20" s="57"/>
      <c r="COX20" s="56"/>
      <c r="COY20" s="57"/>
      <c r="COZ20" s="58"/>
      <c r="CPA20" s="56"/>
      <c r="CPB20" s="57"/>
      <c r="CPC20" s="57"/>
      <c r="CPD20" s="57"/>
      <c r="CPE20" s="56"/>
      <c r="CPF20" s="57"/>
      <c r="CPG20" s="57"/>
      <c r="CPH20" s="56"/>
      <c r="CPI20" s="57"/>
      <c r="CPJ20" s="58"/>
      <c r="CPK20" s="56"/>
      <c r="CPL20" s="57"/>
      <c r="CPM20" s="57"/>
      <c r="CPN20" s="57"/>
      <c r="CPO20" s="56"/>
      <c r="CPP20" s="57"/>
      <c r="CPQ20" s="57"/>
      <c r="CPR20" s="56"/>
      <c r="CPS20" s="57"/>
      <c r="CPT20" s="58"/>
      <c r="CPU20" s="56"/>
      <c r="CPV20" s="58"/>
      <c r="CPW20" s="57"/>
      <c r="CPX20" s="56"/>
      <c r="CPY20" s="57"/>
      <c r="CPZ20" s="56"/>
      <c r="CQA20" s="56"/>
      <c r="CQB20" s="56"/>
      <c r="CQC20" s="57"/>
      <c r="CQD20" s="387"/>
      <c r="CQE20" s="57"/>
      <c r="CQF20" s="387"/>
      <c r="CQG20" s="57"/>
      <c r="CQH20" s="387"/>
      <c r="CQI20" s="57"/>
      <c r="CQJ20" s="57"/>
      <c r="CQK20" s="57"/>
      <c r="CQL20" s="57"/>
      <c r="CQM20" s="57"/>
      <c r="CQN20" s="57"/>
      <c r="CQO20" s="57"/>
      <c r="CQP20" s="57"/>
      <c r="CQQ20" s="57"/>
      <c r="CQR20" s="57"/>
      <c r="CQS20" s="57"/>
      <c r="CQT20" s="57"/>
      <c r="CQU20" s="57"/>
      <c r="CQV20" s="57"/>
      <c r="CQW20" s="57"/>
      <c r="CQX20" s="57"/>
      <c r="CQY20" s="57"/>
      <c r="CQZ20" s="57"/>
      <c r="CRA20" s="57"/>
      <c r="CRB20" s="57"/>
      <c r="CRC20" s="57"/>
      <c r="CRD20" s="57"/>
      <c r="CRE20" s="57"/>
      <c r="CRF20" s="57"/>
      <c r="CRG20" s="57"/>
      <c r="CRH20" s="57"/>
      <c r="CRI20" s="57"/>
      <c r="CRJ20" s="57"/>
      <c r="CRK20" s="57"/>
      <c r="CRL20" s="57"/>
      <c r="CRM20" s="57"/>
      <c r="CRN20" s="58"/>
      <c r="CRO20" s="56"/>
      <c r="CRP20" s="57"/>
      <c r="CRQ20" s="57"/>
      <c r="CRR20" s="57"/>
      <c r="CRS20" s="57"/>
      <c r="CRT20" s="57"/>
      <c r="CRU20" s="56"/>
      <c r="CRV20" s="57"/>
      <c r="CRW20" s="57"/>
      <c r="CRX20" s="56"/>
      <c r="CRY20" s="57"/>
      <c r="CRZ20" s="58"/>
      <c r="CSA20" s="56"/>
      <c r="CSB20" s="57"/>
      <c r="CSC20" s="57"/>
      <c r="CSD20" s="57"/>
      <c r="CSE20" s="56"/>
      <c r="CSF20" s="57"/>
      <c r="CSG20" s="57"/>
      <c r="CSH20" s="56"/>
      <c r="CSI20" s="57"/>
      <c r="CSJ20" s="58"/>
      <c r="CSK20" s="56"/>
      <c r="CSL20" s="57"/>
      <c r="CSM20" s="57"/>
      <c r="CSN20" s="57"/>
      <c r="CSO20" s="56"/>
      <c r="CSP20" s="57"/>
      <c r="CSQ20" s="57"/>
      <c r="CSR20" s="56"/>
      <c r="CSS20" s="57"/>
      <c r="CST20" s="58"/>
      <c r="CSU20" s="56"/>
      <c r="CSV20" s="57"/>
      <c r="CSW20" s="57"/>
      <c r="CSX20" s="57"/>
      <c r="CSY20" s="56"/>
      <c r="CSZ20" s="57"/>
      <c r="CTA20" s="57"/>
      <c r="CTB20" s="56"/>
      <c r="CTC20" s="57"/>
      <c r="CTD20" s="58"/>
      <c r="CTE20" s="56"/>
      <c r="CTF20" s="58"/>
      <c r="CTG20" s="57"/>
      <c r="CTH20" s="56"/>
      <c r="CTI20" s="57"/>
      <c r="CTJ20" s="56"/>
      <c r="CTK20" s="56"/>
      <c r="CTL20" s="56"/>
      <c r="CTM20" s="57"/>
      <c r="CTN20" s="387"/>
      <c r="CTO20" s="57"/>
      <c r="CTP20" s="387"/>
      <c r="CTQ20" s="57"/>
      <c r="CTR20" s="387"/>
      <c r="CTS20" s="57"/>
      <c r="CTT20" s="57"/>
      <c r="CTU20" s="57"/>
      <c r="CTV20" s="57"/>
      <c r="CTW20" s="57"/>
      <c r="CTX20" s="57"/>
      <c r="CTY20" s="57"/>
      <c r="CTZ20" s="57"/>
      <c r="CUA20" s="57"/>
      <c r="CUB20" s="57"/>
      <c r="CUC20" s="57"/>
      <c r="CUD20" s="57"/>
      <c r="CUE20" s="57"/>
      <c r="CUF20" s="57"/>
      <c r="CUG20" s="57"/>
      <c r="CUH20" s="57"/>
      <c r="CUI20" s="57"/>
      <c r="CUJ20" s="57"/>
      <c r="CUK20" s="57"/>
      <c r="CUL20" s="57"/>
      <c r="CUM20" s="57"/>
      <c r="CUN20" s="57"/>
      <c r="CUO20" s="57"/>
      <c r="CUP20" s="57"/>
      <c r="CUQ20" s="57"/>
      <c r="CUR20" s="57"/>
      <c r="CUS20" s="57"/>
      <c r="CUT20" s="57"/>
      <c r="CUU20" s="57"/>
      <c r="CUV20" s="57"/>
      <c r="CUW20" s="57"/>
      <c r="CUX20" s="58"/>
      <c r="CUY20" s="56"/>
      <c r="CUZ20" s="57"/>
      <c r="CVA20" s="57"/>
      <c r="CVB20" s="57"/>
      <c r="CVC20" s="57"/>
      <c r="CVD20" s="57"/>
      <c r="CVE20" s="56"/>
      <c r="CVF20" s="57"/>
      <c r="CVG20" s="57"/>
      <c r="CVH20" s="56"/>
      <c r="CVI20" s="57"/>
      <c r="CVJ20" s="58"/>
      <c r="CVK20" s="56"/>
      <c r="CVL20" s="57"/>
      <c r="CVM20" s="57"/>
      <c r="CVN20" s="57"/>
      <c r="CVO20" s="56"/>
      <c r="CVP20" s="57"/>
      <c r="CVQ20" s="57"/>
      <c r="CVR20" s="56"/>
      <c r="CVS20" s="57"/>
      <c r="CVT20" s="58"/>
      <c r="CVU20" s="56"/>
      <c r="CVV20" s="57"/>
      <c r="CVW20" s="57"/>
      <c r="CVX20" s="57"/>
      <c r="CVY20" s="56"/>
      <c r="CVZ20" s="57"/>
      <c r="CWA20" s="57"/>
      <c r="CWB20" s="56"/>
      <c r="CWC20" s="57"/>
      <c r="CWD20" s="58"/>
      <c r="CWE20" s="56"/>
      <c r="CWF20" s="57"/>
      <c r="CWG20" s="57"/>
      <c r="CWH20" s="57"/>
      <c r="CWI20" s="56"/>
      <c r="CWJ20" s="57"/>
      <c r="CWK20" s="57"/>
      <c r="CWL20" s="56"/>
      <c r="CWM20" s="57"/>
      <c r="CWN20" s="58"/>
      <c r="CWO20" s="56"/>
      <c r="CWP20" s="58"/>
      <c r="CWQ20" s="57"/>
      <c r="CWR20" s="56"/>
      <c r="CWS20" s="57"/>
      <c r="CWT20" s="56"/>
      <c r="CWU20" s="56"/>
      <c r="CWV20" s="56"/>
      <c r="CWW20" s="57"/>
      <c r="CWX20" s="387"/>
      <c r="CWY20" s="57"/>
      <c r="CWZ20" s="387"/>
      <c r="CXA20" s="57"/>
      <c r="CXB20" s="387"/>
      <c r="CXC20" s="57"/>
      <c r="CXD20" s="57"/>
      <c r="CXE20" s="57"/>
      <c r="CXF20" s="57"/>
      <c r="CXG20" s="57"/>
      <c r="CXH20" s="57"/>
      <c r="CXI20" s="57"/>
      <c r="CXJ20" s="57"/>
      <c r="CXK20" s="57"/>
      <c r="CXL20" s="57"/>
      <c r="CXM20" s="57"/>
      <c r="CXN20" s="57"/>
      <c r="CXO20" s="57"/>
      <c r="CXP20" s="57"/>
      <c r="CXQ20" s="57"/>
      <c r="CXR20" s="57"/>
      <c r="CXS20" s="57"/>
      <c r="CXT20" s="57"/>
      <c r="CXU20" s="57"/>
      <c r="CXV20" s="57"/>
      <c r="CXW20" s="57"/>
      <c r="CXX20" s="57"/>
      <c r="CXY20" s="57"/>
      <c r="CXZ20" s="57"/>
      <c r="CYA20" s="57"/>
      <c r="CYB20" s="57"/>
      <c r="CYC20" s="57"/>
      <c r="CYD20" s="57"/>
      <c r="CYE20" s="57"/>
      <c r="CYF20" s="57"/>
      <c r="CYG20" s="57"/>
      <c r="CYH20" s="58"/>
      <c r="CYI20" s="56"/>
      <c r="CYJ20" s="57"/>
      <c r="CYK20" s="57"/>
      <c r="CYL20" s="57"/>
      <c r="CYM20" s="57"/>
      <c r="CYN20" s="57"/>
      <c r="CYO20" s="56"/>
      <c r="CYP20" s="57"/>
      <c r="CYQ20" s="57"/>
      <c r="CYR20" s="56"/>
      <c r="CYS20" s="57"/>
      <c r="CYT20" s="58"/>
      <c r="CYU20" s="56"/>
      <c r="CYV20" s="57"/>
      <c r="CYW20" s="57"/>
      <c r="CYX20" s="57"/>
      <c r="CYY20" s="56"/>
      <c r="CYZ20" s="57"/>
      <c r="CZA20" s="57"/>
      <c r="CZB20" s="56"/>
      <c r="CZC20" s="57"/>
      <c r="CZD20" s="58"/>
      <c r="CZE20" s="56"/>
      <c r="CZF20" s="57"/>
      <c r="CZG20" s="57"/>
      <c r="CZH20" s="57"/>
      <c r="CZI20" s="56"/>
      <c r="CZJ20" s="57"/>
      <c r="CZK20" s="57"/>
      <c r="CZL20" s="56"/>
      <c r="CZM20" s="57"/>
      <c r="CZN20" s="58"/>
      <c r="CZO20" s="56"/>
      <c r="CZP20" s="57"/>
      <c r="CZQ20" s="57"/>
      <c r="CZR20" s="57"/>
      <c r="CZS20" s="56"/>
      <c r="CZT20" s="57"/>
      <c r="CZU20" s="57"/>
      <c r="CZV20" s="56"/>
      <c r="CZW20" s="57"/>
      <c r="CZX20" s="58"/>
      <c r="CZY20" s="56"/>
      <c r="CZZ20" s="58"/>
      <c r="DAA20" s="57"/>
      <c r="DAB20" s="56"/>
      <c r="DAC20" s="57"/>
      <c r="DAD20" s="56"/>
      <c r="DAE20" s="56"/>
      <c r="DAF20" s="56"/>
      <c r="DAG20" s="57"/>
      <c r="DAH20" s="387"/>
      <c r="DAI20" s="57"/>
      <c r="DAJ20" s="387"/>
      <c r="DAK20" s="57"/>
      <c r="DAL20" s="387"/>
      <c r="DAM20" s="57"/>
      <c r="DAN20" s="57"/>
      <c r="DAO20" s="57"/>
      <c r="DAP20" s="57"/>
      <c r="DAQ20" s="57"/>
      <c r="DAR20" s="57"/>
      <c r="DAS20" s="57"/>
      <c r="DAT20" s="57"/>
      <c r="DAU20" s="57"/>
      <c r="DAV20" s="57"/>
      <c r="DAW20" s="57"/>
      <c r="DAX20" s="57"/>
      <c r="DAY20" s="57"/>
      <c r="DAZ20" s="57"/>
      <c r="DBA20" s="57"/>
      <c r="DBB20" s="57"/>
      <c r="DBC20" s="57"/>
      <c r="DBD20" s="57"/>
      <c r="DBE20" s="57"/>
      <c r="DBF20" s="57"/>
      <c r="DBG20" s="57"/>
      <c r="DBH20" s="57"/>
      <c r="DBI20" s="57"/>
      <c r="DBJ20" s="57"/>
      <c r="DBK20" s="57"/>
      <c r="DBL20" s="57"/>
      <c r="DBM20" s="57"/>
      <c r="DBN20" s="57"/>
      <c r="DBO20" s="57"/>
      <c r="DBP20" s="57"/>
      <c r="DBQ20" s="57"/>
      <c r="DBR20" s="58"/>
      <c r="DBS20" s="56"/>
      <c r="DBT20" s="57"/>
      <c r="DBU20" s="57"/>
      <c r="DBV20" s="57"/>
      <c r="DBW20" s="57"/>
      <c r="DBX20" s="57"/>
      <c r="DBY20" s="56"/>
      <c r="DBZ20" s="57"/>
      <c r="DCA20" s="57"/>
      <c r="DCB20" s="56"/>
      <c r="DCC20" s="57"/>
      <c r="DCD20" s="58"/>
      <c r="DCE20" s="56"/>
      <c r="DCF20" s="57"/>
      <c r="DCG20" s="57"/>
      <c r="DCH20" s="57"/>
      <c r="DCI20" s="56"/>
      <c r="DCJ20" s="57"/>
      <c r="DCK20" s="57"/>
      <c r="DCL20" s="56"/>
      <c r="DCM20" s="57"/>
      <c r="DCN20" s="58"/>
      <c r="DCO20" s="56"/>
      <c r="DCP20" s="57"/>
      <c r="DCQ20" s="57"/>
      <c r="DCR20" s="57"/>
      <c r="DCS20" s="56"/>
      <c r="DCT20" s="57"/>
      <c r="DCU20" s="57"/>
      <c r="DCV20" s="56"/>
      <c r="DCW20" s="57"/>
      <c r="DCX20" s="58"/>
      <c r="DCY20" s="56"/>
      <c r="DCZ20" s="57"/>
      <c r="DDA20" s="57"/>
      <c r="DDB20" s="57"/>
      <c r="DDC20" s="56"/>
      <c r="DDD20" s="57"/>
      <c r="DDE20" s="57"/>
      <c r="DDF20" s="56"/>
      <c r="DDG20" s="57"/>
      <c r="DDH20" s="58"/>
      <c r="DDI20" s="56"/>
      <c r="DDJ20" s="58"/>
      <c r="DDK20" s="57"/>
      <c r="DDL20" s="56"/>
      <c r="DDM20" s="57"/>
      <c r="DDN20" s="56"/>
      <c r="DDO20" s="56"/>
      <c r="DDP20" s="56"/>
      <c r="DDQ20" s="57"/>
      <c r="DDR20" s="387"/>
      <c r="DDS20" s="57"/>
      <c r="DDT20" s="387"/>
      <c r="DDU20" s="57"/>
      <c r="DDV20" s="387"/>
      <c r="DDW20" s="57"/>
      <c r="DDX20" s="57"/>
      <c r="DDY20" s="57"/>
      <c r="DDZ20" s="57"/>
      <c r="DEA20" s="57"/>
      <c r="DEB20" s="57"/>
      <c r="DEC20" s="57"/>
      <c r="DED20" s="57"/>
      <c r="DEE20" s="57"/>
      <c r="DEF20" s="57"/>
      <c r="DEG20" s="57"/>
      <c r="DEH20" s="57"/>
      <c r="DEI20" s="57"/>
      <c r="DEJ20" s="57"/>
      <c r="DEK20" s="57"/>
      <c r="DEL20" s="57"/>
      <c r="DEM20" s="57"/>
      <c r="DEN20" s="57"/>
      <c r="DEO20" s="57"/>
      <c r="DEP20" s="57"/>
      <c r="DEQ20" s="57"/>
      <c r="DER20" s="57"/>
      <c r="DES20" s="57"/>
      <c r="DET20" s="57"/>
      <c r="DEU20" s="57"/>
      <c r="DEV20" s="57"/>
      <c r="DEW20" s="57"/>
      <c r="DEX20" s="57"/>
      <c r="DEY20" s="57"/>
      <c r="DEZ20" s="57"/>
      <c r="DFA20" s="57"/>
      <c r="DFB20" s="58"/>
      <c r="DFC20" s="56"/>
      <c r="DFD20" s="57"/>
      <c r="DFE20" s="57"/>
      <c r="DFF20" s="57"/>
      <c r="DFG20" s="57"/>
      <c r="DFH20" s="57"/>
      <c r="DFI20" s="56"/>
      <c r="DFJ20" s="57"/>
      <c r="DFK20" s="57"/>
      <c r="DFL20" s="56"/>
      <c r="DFM20" s="57"/>
      <c r="DFN20" s="58"/>
      <c r="DFO20" s="56"/>
      <c r="DFP20" s="57"/>
      <c r="DFQ20" s="57"/>
      <c r="DFR20" s="57"/>
      <c r="DFS20" s="56"/>
      <c r="DFT20" s="57"/>
      <c r="DFU20" s="57"/>
      <c r="DFV20" s="56"/>
      <c r="DFW20" s="57"/>
      <c r="DFX20" s="58"/>
      <c r="DFY20" s="56"/>
      <c r="DFZ20" s="57"/>
      <c r="DGA20" s="57"/>
      <c r="DGB20" s="57"/>
      <c r="DGC20" s="56"/>
      <c r="DGD20" s="57"/>
      <c r="DGE20" s="57"/>
      <c r="DGF20" s="56"/>
      <c r="DGG20" s="57"/>
      <c r="DGH20" s="58"/>
      <c r="DGI20" s="56"/>
      <c r="DGJ20" s="57"/>
      <c r="DGK20" s="57"/>
      <c r="DGL20" s="57"/>
      <c r="DGM20" s="56"/>
      <c r="DGN20" s="57"/>
      <c r="DGO20" s="57"/>
      <c r="DGP20" s="56"/>
      <c r="DGQ20" s="57"/>
      <c r="DGR20" s="58"/>
      <c r="DGS20" s="56"/>
      <c r="DGT20" s="58"/>
      <c r="DGU20" s="57"/>
      <c r="DGV20" s="56"/>
      <c r="DGW20" s="57"/>
      <c r="DGX20" s="56"/>
      <c r="DGY20" s="56"/>
      <c r="DGZ20" s="56"/>
      <c r="DHA20" s="57"/>
      <c r="DHB20" s="387"/>
      <c r="DHC20" s="57"/>
      <c r="DHD20" s="387"/>
      <c r="DHE20" s="57"/>
      <c r="DHF20" s="387"/>
      <c r="DHG20" s="57"/>
      <c r="DHH20" s="57"/>
      <c r="DHI20" s="57"/>
      <c r="DHJ20" s="57"/>
      <c r="DHK20" s="57"/>
      <c r="DHL20" s="57"/>
      <c r="DHM20" s="57"/>
      <c r="DHN20" s="57"/>
      <c r="DHO20" s="57"/>
      <c r="DHP20" s="57"/>
      <c r="DHQ20" s="57"/>
      <c r="DHR20" s="57"/>
      <c r="DHS20" s="57"/>
      <c r="DHT20" s="57"/>
      <c r="DHU20" s="57"/>
      <c r="DHV20" s="57"/>
      <c r="DHW20" s="57"/>
      <c r="DHX20" s="57"/>
      <c r="DHY20" s="57"/>
      <c r="DHZ20" s="57"/>
      <c r="DIA20" s="57"/>
      <c r="DIB20" s="57"/>
      <c r="DIC20" s="57"/>
      <c r="DID20" s="57"/>
      <c r="DIE20" s="57"/>
      <c r="DIF20" s="57"/>
      <c r="DIG20" s="57"/>
      <c r="DIH20" s="57"/>
      <c r="DII20" s="57"/>
      <c r="DIJ20" s="57"/>
      <c r="DIK20" s="57"/>
      <c r="DIL20" s="58"/>
      <c r="DIM20" s="56"/>
      <c r="DIN20" s="57"/>
      <c r="DIO20" s="57"/>
      <c r="DIP20" s="57"/>
      <c r="DIQ20" s="57"/>
      <c r="DIR20" s="57"/>
      <c r="DIS20" s="56"/>
      <c r="DIT20" s="57"/>
      <c r="DIU20" s="57"/>
      <c r="DIV20" s="56"/>
      <c r="DIW20" s="57"/>
      <c r="DIX20" s="58"/>
      <c r="DIY20" s="56"/>
      <c r="DIZ20" s="57"/>
      <c r="DJA20" s="57"/>
      <c r="DJB20" s="57"/>
      <c r="DJC20" s="56"/>
      <c r="DJD20" s="57"/>
      <c r="DJE20" s="57"/>
      <c r="DJF20" s="56"/>
      <c r="DJG20" s="57"/>
      <c r="DJH20" s="58"/>
      <c r="DJI20" s="56"/>
      <c r="DJJ20" s="57"/>
      <c r="DJK20" s="57"/>
      <c r="DJL20" s="57"/>
      <c r="DJM20" s="56"/>
      <c r="DJN20" s="57"/>
      <c r="DJO20" s="57"/>
      <c r="DJP20" s="56"/>
      <c r="DJQ20" s="57"/>
      <c r="DJR20" s="58"/>
      <c r="DJS20" s="56"/>
      <c r="DJT20" s="57"/>
      <c r="DJU20" s="57"/>
      <c r="DJV20" s="57"/>
      <c r="DJW20" s="56"/>
      <c r="DJX20" s="57"/>
      <c r="DJY20" s="57"/>
      <c r="DJZ20" s="56"/>
      <c r="DKA20" s="57"/>
      <c r="DKB20" s="58"/>
      <c r="DKC20" s="56"/>
      <c r="DKD20" s="58"/>
      <c r="DKE20" s="57"/>
      <c r="DKF20" s="56"/>
      <c r="DKG20" s="57"/>
      <c r="DKH20" s="56"/>
      <c r="DKI20" s="56"/>
      <c r="DKJ20" s="56"/>
      <c r="DKK20" s="57"/>
      <c r="DKL20" s="387"/>
      <c r="DKM20" s="57"/>
      <c r="DKN20" s="387"/>
      <c r="DKO20" s="57"/>
      <c r="DKP20" s="387"/>
      <c r="DKQ20" s="57"/>
      <c r="DKR20" s="57"/>
      <c r="DKS20" s="57"/>
      <c r="DKT20" s="57"/>
      <c r="DKU20" s="57"/>
      <c r="DKV20" s="57"/>
      <c r="DKW20" s="57"/>
      <c r="DKX20" s="57"/>
      <c r="DKY20" s="57"/>
      <c r="DKZ20" s="57"/>
      <c r="DLA20" s="57"/>
      <c r="DLB20" s="57"/>
      <c r="DLC20" s="57"/>
      <c r="DLD20" s="57"/>
      <c r="DLE20" s="57"/>
      <c r="DLF20" s="57"/>
      <c r="DLG20" s="57"/>
      <c r="DLH20" s="57"/>
      <c r="DLI20" s="57"/>
      <c r="DLJ20" s="57"/>
      <c r="DLK20" s="57"/>
      <c r="DLL20" s="57"/>
      <c r="DLM20" s="57"/>
      <c r="DLN20" s="57"/>
      <c r="DLO20" s="57"/>
      <c r="DLP20" s="57"/>
      <c r="DLQ20" s="57"/>
      <c r="DLR20" s="57"/>
      <c r="DLS20" s="57"/>
      <c r="DLT20" s="57"/>
      <c r="DLU20" s="57"/>
      <c r="DLV20" s="58"/>
      <c r="DLW20" s="56"/>
      <c r="DLX20" s="57"/>
      <c r="DLY20" s="57"/>
      <c r="DLZ20" s="57"/>
      <c r="DMA20" s="57"/>
      <c r="DMB20" s="57"/>
      <c r="DMC20" s="56"/>
      <c r="DMD20" s="57"/>
      <c r="DME20" s="57"/>
      <c r="DMF20" s="56"/>
      <c r="DMG20" s="57"/>
      <c r="DMH20" s="58"/>
      <c r="DMI20" s="56"/>
      <c r="DMJ20" s="57"/>
      <c r="DMK20" s="57"/>
      <c r="DML20" s="57"/>
      <c r="DMM20" s="56"/>
      <c r="DMN20" s="57"/>
      <c r="DMO20" s="57"/>
      <c r="DMP20" s="56"/>
      <c r="DMQ20" s="57"/>
      <c r="DMR20" s="58"/>
      <c r="DMS20" s="56"/>
      <c r="DMT20" s="57"/>
      <c r="DMU20" s="57"/>
      <c r="DMV20" s="57"/>
      <c r="DMW20" s="56"/>
      <c r="DMX20" s="57"/>
      <c r="DMY20" s="57"/>
      <c r="DMZ20" s="56"/>
      <c r="DNA20" s="57"/>
      <c r="DNB20" s="58"/>
      <c r="DNC20" s="56"/>
      <c r="DND20" s="57"/>
      <c r="DNE20" s="57"/>
      <c r="DNF20" s="57"/>
      <c r="DNG20" s="56"/>
      <c r="DNH20" s="57"/>
      <c r="DNI20" s="57"/>
      <c r="DNJ20" s="56"/>
      <c r="DNK20" s="57"/>
      <c r="DNL20" s="58"/>
      <c r="DNM20" s="56"/>
      <c r="DNN20" s="58"/>
      <c r="DNO20" s="57"/>
      <c r="DNP20" s="56"/>
      <c r="DNQ20" s="57"/>
      <c r="DNR20" s="56"/>
      <c r="DNS20" s="56"/>
      <c r="DNT20" s="56"/>
      <c r="DNU20" s="57"/>
      <c r="DNV20" s="387"/>
      <c r="DNW20" s="57"/>
      <c r="DNX20" s="387"/>
      <c r="DNY20" s="57"/>
      <c r="DNZ20" s="387"/>
      <c r="DOA20" s="57"/>
      <c r="DOB20" s="57"/>
      <c r="DOC20" s="57"/>
      <c r="DOD20" s="57"/>
      <c r="DOE20" s="57"/>
      <c r="DOF20" s="57"/>
      <c r="DOG20" s="57"/>
      <c r="DOH20" s="57"/>
      <c r="DOI20" s="57"/>
      <c r="DOJ20" s="57"/>
      <c r="DOK20" s="57"/>
      <c r="DOL20" s="57"/>
      <c r="DOM20" s="57"/>
      <c r="DON20" s="57"/>
      <c r="DOO20" s="57"/>
      <c r="DOP20" s="57"/>
      <c r="DOQ20" s="57"/>
      <c r="DOR20" s="57"/>
      <c r="DOS20" s="57"/>
      <c r="DOT20" s="57"/>
      <c r="DOU20" s="57"/>
      <c r="DOV20" s="57"/>
      <c r="DOW20" s="57"/>
      <c r="DOX20" s="57"/>
      <c r="DOY20" s="57"/>
      <c r="DOZ20" s="57"/>
      <c r="DPA20" s="57"/>
      <c r="DPB20" s="57"/>
      <c r="DPC20" s="57"/>
      <c r="DPD20" s="57"/>
      <c r="DPE20" s="57"/>
      <c r="DPF20" s="58"/>
      <c r="DPG20" s="56"/>
      <c r="DPH20" s="57"/>
      <c r="DPI20" s="57"/>
      <c r="DPJ20" s="57"/>
      <c r="DPK20" s="57"/>
      <c r="DPL20" s="57"/>
      <c r="DPM20" s="56"/>
      <c r="DPN20" s="57"/>
      <c r="DPO20" s="57"/>
      <c r="DPP20" s="56"/>
      <c r="DPQ20" s="57"/>
      <c r="DPR20" s="58"/>
      <c r="DPS20" s="56"/>
      <c r="DPT20" s="57"/>
      <c r="DPU20" s="57"/>
      <c r="DPV20" s="57"/>
      <c r="DPW20" s="56"/>
      <c r="DPX20" s="57"/>
      <c r="DPY20" s="57"/>
      <c r="DPZ20" s="56"/>
      <c r="DQA20" s="57"/>
      <c r="DQB20" s="58"/>
      <c r="DQC20" s="56"/>
      <c r="DQD20" s="57"/>
      <c r="DQE20" s="57"/>
      <c r="DQF20" s="57"/>
      <c r="DQG20" s="56"/>
      <c r="DQH20" s="57"/>
      <c r="DQI20" s="57"/>
      <c r="DQJ20" s="56"/>
      <c r="DQK20" s="57"/>
      <c r="DQL20" s="58"/>
      <c r="DQM20" s="56"/>
      <c r="DQN20" s="57"/>
      <c r="DQO20" s="57"/>
      <c r="DQP20" s="57"/>
      <c r="DQQ20" s="56"/>
      <c r="DQR20" s="57"/>
      <c r="DQS20" s="57"/>
      <c r="DQT20" s="56"/>
      <c r="DQU20" s="57"/>
      <c r="DQV20" s="58"/>
      <c r="DQW20" s="56"/>
      <c r="DQX20" s="58"/>
      <c r="DQY20" s="57"/>
      <c r="DQZ20" s="56"/>
      <c r="DRA20" s="57"/>
      <c r="DRB20" s="56"/>
      <c r="DRC20" s="56"/>
      <c r="DRD20" s="56"/>
      <c r="DRE20" s="57"/>
      <c r="DRF20" s="387"/>
      <c r="DRG20" s="57"/>
      <c r="DRH20" s="387"/>
      <c r="DRI20" s="57"/>
      <c r="DRJ20" s="387"/>
      <c r="DRK20" s="57"/>
      <c r="DRL20" s="57"/>
      <c r="DRM20" s="57"/>
      <c r="DRN20" s="57"/>
      <c r="DRO20" s="57"/>
      <c r="DRP20" s="57"/>
      <c r="DRQ20" s="57"/>
      <c r="DRR20" s="57"/>
      <c r="DRS20" s="57"/>
      <c r="DRT20" s="57"/>
      <c r="DRU20" s="57"/>
      <c r="DRV20" s="57"/>
      <c r="DRW20" s="57"/>
      <c r="DRX20" s="57"/>
      <c r="DRY20" s="57"/>
      <c r="DRZ20" s="57"/>
      <c r="DSA20" s="57"/>
      <c r="DSB20" s="57"/>
      <c r="DSC20" s="57"/>
      <c r="DSD20" s="57"/>
      <c r="DSE20" s="57"/>
      <c r="DSF20" s="57"/>
      <c r="DSG20" s="57"/>
      <c r="DSH20" s="57"/>
      <c r="DSI20" s="57"/>
      <c r="DSJ20" s="57"/>
      <c r="DSK20" s="57"/>
      <c r="DSL20" s="57"/>
      <c r="DSM20" s="57"/>
      <c r="DSN20" s="57"/>
      <c r="DSO20" s="57"/>
      <c r="DSP20" s="58"/>
      <c r="DSQ20" s="56"/>
      <c r="DSR20" s="57"/>
      <c r="DSS20" s="57"/>
      <c r="DST20" s="57"/>
      <c r="DSU20" s="57"/>
      <c r="DSV20" s="57"/>
      <c r="DSW20" s="56"/>
      <c r="DSX20" s="57"/>
      <c r="DSY20" s="57"/>
      <c r="DSZ20" s="56"/>
      <c r="DTA20" s="57"/>
      <c r="DTB20" s="58"/>
      <c r="DTC20" s="56"/>
      <c r="DTD20" s="57"/>
      <c r="DTE20" s="57"/>
      <c r="DTF20" s="57"/>
      <c r="DTG20" s="56"/>
      <c r="DTH20" s="57"/>
      <c r="DTI20" s="57"/>
      <c r="DTJ20" s="56"/>
      <c r="DTK20" s="57"/>
      <c r="DTL20" s="58"/>
      <c r="DTM20" s="56"/>
      <c r="DTN20" s="57"/>
      <c r="DTO20" s="57"/>
      <c r="DTP20" s="57"/>
      <c r="DTQ20" s="56"/>
      <c r="DTR20" s="57"/>
      <c r="DTS20" s="57"/>
      <c r="DTT20" s="56"/>
      <c r="DTU20" s="57"/>
      <c r="DTV20" s="58"/>
      <c r="DTW20" s="56"/>
      <c r="DTX20" s="57"/>
      <c r="DTY20" s="57"/>
      <c r="DTZ20" s="57"/>
      <c r="DUA20" s="56"/>
      <c r="DUB20" s="57"/>
      <c r="DUC20" s="57"/>
      <c r="DUD20" s="56"/>
      <c r="DUE20" s="57"/>
      <c r="DUF20" s="58"/>
      <c r="DUG20" s="56"/>
      <c r="DUH20" s="58"/>
      <c r="DUI20" s="57"/>
      <c r="DUJ20" s="56"/>
      <c r="DUK20" s="57"/>
      <c r="DUL20" s="56"/>
      <c r="DUM20" s="56"/>
      <c r="DUN20" s="56"/>
      <c r="DUO20" s="57"/>
      <c r="DUP20" s="387"/>
      <c r="DUQ20" s="57"/>
      <c r="DUR20" s="387"/>
      <c r="DUS20" s="57"/>
      <c r="DUT20" s="387"/>
      <c r="DUU20" s="57"/>
      <c r="DUV20" s="57"/>
      <c r="DUW20" s="57"/>
      <c r="DUX20" s="57"/>
      <c r="DUY20" s="57"/>
      <c r="DUZ20" s="57"/>
      <c r="DVA20" s="57"/>
      <c r="DVB20" s="57"/>
      <c r="DVC20" s="57"/>
      <c r="DVD20" s="57"/>
      <c r="DVE20" s="57"/>
      <c r="DVF20" s="57"/>
      <c r="DVG20" s="57"/>
      <c r="DVH20" s="57"/>
      <c r="DVI20" s="57"/>
      <c r="DVJ20" s="57"/>
      <c r="DVK20" s="57"/>
      <c r="DVL20" s="57"/>
      <c r="DVM20" s="57"/>
      <c r="DVN20" s="57"/>
      <c r="DVO20" s="57"/>
      <c r="DVP20" s="57"/>
      <c r="DVQ20" s="57"/>
      <c r="DVR20" s="57"/>
      <c r="DVS20" s="57"/>
      <c r="DVT20" s="57"/>
      <c r="DVU20" s="57"/>
      <c r="DVV20" s="57"/>
      <c r="DVW20" s="57"/>
      <c r="DVX20" s="57"/>
      <c r="DVY20" s="57"/>
      <c r="DVZ20" s="58"/>
      <c r="DWA20" s="56"/>
      <c r="DWB20" s="57"/>
      <c r="DWC20" s="57"/>
      <c r="DWD20" s="57"/>
      <c r="DWE20" s="57"/>
      <c r="DWF20" s="57"/>
      <c r="DWG20" s="56"/>
      <c r="DWH20" s="57"/>
      <c r="DWI20" s="57"/>
      <c r="DWJ20" s="56"/>
      <c r="DWK20" s="57"/>
      <c r="DWL20" s="58"/>
      <c r="DWM20" s="56"/>
      <c r="DWN20" s="57"/>
      <c r="DWO20" s="57"/>
      <c r="DWP20" s="57"/>
      <c r="DWQ20" s="56"/>
      <c r="DWR20" s="57"/>
      <c r="DWS20" s="57"/>
      <c r="DWT20" s="56"/>
      <c r="DWU20" s="57"/>
      <c r="DWV20" s="58"/>
      <c r="DWW20" s="56"/>
      <c r="DWX20" s="57"/>
      <c r="DWY20" s="57"/>
      <c r="DWZ20" s="57"/>
      <c r="DXA20" s="56"/>
      <c r="DXB20" s="57"/>
      <c r="DXC20" s="57"/>
      <c r="DXD20" s="56"/>
      <c r="DXE20" s="57"/>
      <c r="DXF20" s="58"/>
      <c r="DXG20" s="56"/>
      <c r="DXH20" s="57"/>
      <c r="DXI20" s="57"/>
      <c r="DXJ20" s="57"/>
      <c r="DXK20" s="56"/>
      <c r="DXL20" s="57"/>
      <c r="DXM20" s="57"/>
      <c r="DXN20" s="56"/>
      <c r="DXO20" s="57"/>
      <c r="DXP20" s="58"/>
      <c r="DXQ20" s="56"/>
      <c r="DXR20" s="58"/>
      <c r="DXS20" s="57"/>
      <c r="DXT20" s="56"/>
      <c r="DXU20" s="57"/>
      <c r="DXV20" s="56"/>
      <c r="DXW20" s="56"/>
      <c r="DXX20" s="56"/>
      <c r="DXY20" s="57"/>
      <c r="DXZ20" s="387"/>
      <c r="DYA20" s="57"/>
      <c r="DYB20" s="387"/>
      <c r="DYC20" s="57"/>
      <c r="DYD20" s="387"/>
      <c r="DYE20" s="57"/>
      <c r="DYF20" s="57"/>
      <c r="DYG20" s="57"/>
      <c r="DYH20" s="57"/>
      <c r="DYI20" s="57"/>
      <c r="DYJ20" s="57"/>
      <c r="DYK20" s="57"/>
      <c r="DYL20" s="57"/>
      <c r="DYM20" s="57"/>
      <c r="DYN20" s="57"/>
      <c r="DYO20" s="57"/>
      <c r="DYP20" s="57"/>
      <c r="DYQ20" s="57"/>
      <c r="DYR20" s="57"/>
      <c r="DYS20" s="57"/>
      <c r="DYT20" s="57"/>
      <c r="DYU20" s="57"/>
      <c r="DYV20" s="57"/>
      <c r="DYW20" s="57"/>
      <c r="DYX20" s="57"/>
      <c r="DYY20" s="57"/>
      <c r="DYZ20" s="57"/>
      <c r="DZA20" s="57"/>
      <c r="DZB20" s="57"/>
      <c r="DZC20" s="57"/>
      <c r="DZD20" s="57"/>
      <c r="DZE20" s="57"/>
      <c r="DZF20" s="57"/>
      <c r="DZG20" s="57"/>
      <c r="DZH20" s="57"/>
      <c r="DZI20" s="57"/>
      <c r="DZJ20" s="58"/>
      <c r="DZK20" s="56"/>
      <c r="DZL20" s="57"/>
      <c r="DZM20" s="57"/>
      <c r="DZN20" s="57"/>
      <c r="DZO20" s="57"/>
      <c r="DZP20" s="57"/>
      <c r="DZQ20" s="56"/>
      <c r="DZR20" s="57"/>
      <c r="DZS20" s="57"/>
      <c r="DZT20" s="56"/>
      <c r="DZU20" s="57"/>
      <c r="DZV20" s="58"/>
      <c r="DZW20" s="56"/>
      <c r="DZX20" s="57"/>
      <c r="DZY20" s="57"/>
      <c r="DZZ20" s="57"/>
      <c r="EAA20" s="56"/>
      <c r="EAB20" s="57"/>
      <c r="EAC20" s="57"/>
      <c r="EAD20" s="56"/>
      <c r="EAE20" s="57"/>
      <c r="EAF20" s="58"/>
      <c r="EAG20" s="56"/>
      <c r="EAH20" s="57"/>
      <c r="EAI20" s="57"/>
      <c r="EAJ20" s="57"/>
      <c r="EAK20" s="56"/>
      <c r="EAL20" s="57"/>
      <c r="EAM20" s="57"/>
      <c r="EAN20" s="56"/>
      <c r="EAO20" s="57"/>
      <c r="EAP20" s="58"/>
      <c r="EAQ20" s="56"/>
      <c r="EAR20" s="57"/>
      <c r="EAS20" s="57"/>
      <c r="EAT20" s="57"/>
      <c r="EAU20" s="56"/>
      <c r="EAV20" s="57"/>
      <c r="EAW20" s="57"/>
      <c r="EAX20" s="56"/>
      <c r="EAY20" s="57"/>
      <c r="EAZ20" s="58"/>
      <c r="EBA20" s="56"/>
      <c r="EBB20" s="58"/>
      <c r="EBC20" s="57"/>
      <c r="EBD20" s="56"/>
      <c r="EBE20" s="57"/>
      <c r="EBF20" s="56"/>
      <c r="EBG20" s="56"/>
      <c r="EBH20" s="56"/>
      <c r="EBI20" s="57"/>
      <c r="EBJ20" s="387"/>
      <c r="EBK20" s="57"/>
      <c r="EBL20" s="387"/>
      <c r="EBM20" s="57"/>
      <c r="EBN20" s="387"/>
      <c r="EBO20" s="57"/>
      <c r="EBP20" s="57"/>
      <c r="EBQ20" s="57"/>
      <c r="EBR20" s="57"/>
      <c r="EBS20" s="57"/>
      <c r="EBT20" s="57"/>
      <c r="EBU20" s="57"/>
      <c r="EBV20" s="57"/>
      <c r="EBW20" s="57"/>
      <c r="EBX20" s="57"/>
      <c r="EBY20" s="57"/>
      <c r="EBZ20" s="57"/>
      <c r="ECA20" s="57"/>
      <c r="ECB20" s="57"/>
      <c r="ECC20" s="57"/>
      <c r="ECD20" s="57"/>
      <c r="ECE20" s="57"/>
      <c r="ECF20" s="57"/>
      <c r="ECG20" s="57"/>
      <c r="ECH20" s="57"/>
      <c r="ECI20" s="57"/>
      <c r="ECJ20" s="57"/>
      <c r="ECK20" s="57"/>
      <c r="ECL20" s="57"/>
      <c r="ECM20" s="57"/>
      <c r="ECN20" s="57"/>
      <c r="ECO20" s="57"/>
      <c r="ECP20" s="57"/>
      <c r="ECQ20" s="57"/>
      <c r="ECR20" s="57"/>
      <c r="ECS20" s="57"/>
      <c r="ECT20" s="58"/>
      <c r="ECU20" s="56"/>
      <c r="ECV20" s="57"/>
      <c r="ECW20" s="57"/>
      <c r="ECX20" s="57"/>
      <c r="ECY20" s="57"/>
      <c r="ECZ20" s="57"/>
      <c r="EDA20" s="56"/>
      <c r="EDB20" s="57"/>
      <c r="EDC20" s="57"/>
      <c r="EDD20" s="56"/>
      <c r="EDE20" s="57"/>
      <c r="EDF20" s="58"/>
      <c r="EDG20" s="56"/>
      <c r="EDH20" s="57"/>
      <c r="EDI20" s="57"/>
      <c r="EDJ20" s="57"/>
      <c r="EDK20" s="56"/>
      <c r="EDL20" s="57"/>
      <c r="EDM20" s="57"/>
      <c r="EDN20" s="56"/>
      <c r="EDO20" s="57"/>
      <c r="EDP20" s="58"/>
      <c r="EDQ20" s="56"/>
      <c r="EDR20" s="57"/>
      <c r="EDS20" s="57"/>
      <c r="EDT20" s="57"/>
      <c r="EDU20" s="56"/>
      <c r="EDV20" s="57"/>
      <c r="EDW20" s="57"/>
      <c r="EDX20" s="56"/>
      <c r="EDY20" s="57"/>
      <c r="EDZ20" s="58"/>
      <c r="EEA20" s="56"/>
      <c r="EEB20" s="57"/>
      <c r="EEC20" s="57"/>
      <c r="EED20" s="57"/>
      <c r="EEE20" s="56"/>
      <c r="EEF20" s="57"/>
      <c r="EEG20" s="57"/>
      <c r="EEH20" s="56"/>
      <c r="EEI20" s="57"/>
      <c r="EEJ20" s="58"/>
      <c r="EEK20" s="56"/>
      <c r="EEL20" s="58"/>
      <c r="EEM20" s="57"/>
      <c r="EEN20" s="56"/>
      <c r="EEO20" s="57"/>
      <c r="EEP20" s="56"/>
      <c r="EEQ20" s="56"/>
      <c r="EER20" s="56"/>
      <c r="EES20" s="57"/>
      <c r="EET20" s="387"/>
      <c r="EEU20" s="57"/>
      <c r="EEV20" s="387"/>
      <c r="EEW20" s="57"/>
      <c r="EEX20" s="387"/>
      <c r="EEY20" s="57"/>
      <c r="EEZ20" s="57"/>
      <c r="EFA20" s="57"/>
      <c r="EFB20" s="57"/>
      <c r="EFC20" s="57"/>
      <c r="EFD20" s="57"/>
      <c r="EFE20" s="57"/>
      <c r="EFF20" s="57"/>
      <c r="EFG20" s="57"/>
      <c r="EFH20" s="57"/>
      <c r="EFI20" s="57"/>
      <c r="EFJ20" s="57"/>
      <c r="EFK20" s="57"/>
      <c r="EFL20" s="57"/>
      <c r="EFM20" s="57"/>
      <c r="EFN20" s="57"/>
      <c r="EFO20" s="57"/>
      <c r="EFP20" s="57"/>
      <c r="EFQ20" s="57"/>
      <c r="EFR20" s="57"/>
      <c r="EFS20" s="57"/>
      <c r="EFT20" s="57"/>
      <c r="EFU20" s="57"/>
      <c r="EFV20" s="57"/>
      <c r="EFW20" s="57"/>
      <c r="EFX20" s="57"/>
      <c r="EFY20" s="57"/>
      <c r="EFZ20" s="57"/>
      <c r="EGA20" s="57"/>
      <c r="EGB20" s="57"/>
      <c r="EGC20" s="57"/>
      <c r="EGD20" s="58"/>
      <c r="EGE20" s="56"/>
      <c r="EGF20" s="57"/>
      <c r="EGG20" s="57"/>
      <c r="EGH20" s="57"/>
      <c r="EGI20" s="57"/>
      <c r="EGJ20" s="57"/>
      <c r="EGK20" s="56"/>
      <c r="EGL20" s="57"/>
      <c r="EGM20" s="57"/>
      <c r="EGN20" s="56"/>
      <c r="EGO20" s="57"/>
      <c r="EGP20" s="58"/>
      <c r="EGQ20" s="56"/>
      <c r="EGR20" s="57"/>
      <c r="EGS20" s="57"/>
      <c r="EGT20" s="57"/>
      <c r="EGU20" s="56"/>
      <c r="EGV20" s="57"/>
      <c r="EGW20" s="57"/>
      <c r="EGX20" s="56"/>
      <c r="EGY20" s="57"/>
      <c r="EGZ20" s="58"/>
      <c r="EHA20" s="56"/>
      <c r="EHB20" s="57"/>
      <c r="EHC20" s="57"/>
      <c r="EHD20" s="57"/>
      <c r="EHE20" s="56"/>
      <c r="EHF20" s="57"/>
      <c r="EHG20" s="57"/>
      <c r="EHH20" s="56"/>
      <c r="EHI20" s="57"/>
      <c r="EHJ20" s="58"/>
      <c r="EHK20" s="56"/>
      <c r="EHL20" s="57"/>
      <c r="EHM20" s="57"/>
      <c r="EHN20" s="57"/>
      <c r="EHO20" s="56"/>
      <c r="EHP20" s="57"/>
      <c r="EHQ20" s="57"/>
      <c r="EHR20" s="56"/>
      <c r="EHS20" s="57"/>
      <c r="EHT20" s="58"/>
      <c r="EHU20" s="56"/>
      <c r="EHV20" s="58"/>
      <c r="EHW20" s="57"/>
      <c r="EHX20" s="56"/>
      <c r="EHY20" s="57"/>
      <c r="EHZ20" s="56"/>
      <c r="EIA20" s="56"/>
      <c r="EIB20" s="56"/>
      <c r="EIC20" s="57"/>
      <c r="EID20" s="387"/>
      <c r="EIE20" s="57"/>
      <c r="EIF20" s="387"/>
      <c r="EIG20" s="57"/>
      <c r="EIH20" s="387"/>
      <c r="EII20" s="57"/>
      <c r="EIJ20" s="57"/>
      <c r="EIK20" s="57"/>
      <c r="EIL20" s="57"/>
      <c r="EIM20" s="57"/>
      <c r="EIN20" s="57"/>
      <c r="EIO20" s="57"/>
      <c r="EIP20" s="57"/>
      <c r="EIQ20" s="57"/>
      <c r="EIR20" s="57"/>
      <c r="EIS20" s="57"/>
      <c r="EIT20" s="57"/>
      <c r="EIU20" s="57"/>
      <c r="EIV20" s="57"/>
      <c r="EIW20" s="57"/>
      <c r="EIX20" s="57"/>
      <c r="EIY20" s="57"/>
      <c r="EIZ20" s="57"/>
      <c r="EJA20" s="57"/>
      <c r="EJB20" s="57"/>
      <c r="EJC20" s="57"/>
      <c r="EJD20" s="57"/>
      <c r="EJE20" s="57"/>
      <c r="EJF20" s="57"/>
      <c r="EJG20" s="57"/>
      <c r="EJH20" s="57"/>
      <c r="EJI20" s="57"/>
      <c r="EJJ20" s="57"/>
      <c r="EJK20" s="57"/>
      <c r="EJL20" s="57"/>
      <c r="EJM20" s="57"/>
      <c r="EJN20" s="58"/>
      <c r="EJO20" s="56"/>
      <c r="EJP20" s="57"/>
      <c r="EJQ20" s="57"/>
      <c r="EJR20" s="57"/>
      <c r="EJS20" s="57"/>
      <c r="EJT20" s="57"/>
      <c r="EJU20" s="56"/>
      <c r="EJV20" s="57"/>
      <c r="EJW20" s="57"/>
      <c r="EJX20" s="56"/>
      <c r="EJY20" s="57"/>
      <c r="EJZ20" s="58"/>
      <c r="EKA20" s="56"/>
      <c r="EKB20" s="57"/>
      <c r="EKC20" s="57"/>
      <c r="EKD20" s="57"/>
      <c r="EKE20" s="56"/>
      <c r="EKF20" s="57"/>
      <c r="EKG20" s="57"/>
      <c r="EKH20" s="56"/>
      <c r="EKI20" s="57"/>
      <c r="EKJ20" s="58"/>
      <c r="EKK20" s="56"/>
      <c r="EKL20" s="57"/>
      <c r="EKM20" s="57"/>
      <c r="EKN20" s="57"/>
      <c r="EKO20" s="56"/>
      <c r="EKP20" s="57"/>
      <c r="EKQ20" s="57"/>
      <c r="EKR20" s="56"/>
      <c r="EKS20" s="57"/>
      <c r="EKT20" s="58"/>
      <c r="EKU20" s="56"/>
      <c r="EKV20" s="57"/>
      <c r="EKW20" s="57"/>
      <c r="EKX20" s="57"/>
      <c r="EKY20" s="56"/>
      <c r="EKZ20" s="57"/>
      <c r="ELA20" s="57"/>
      <c r="ELB20" s="56"/>
      <c r="ELC20" s="57"/>
      <c r="ELD20" s="58"/>
      <c r="ELE20" s="56"/>
      <c r="ELF20" s="58"/>
      <c r="ELG20" s="57"/>
      <c r="ELH20" s="56"/>
      <c r="ELI20" s="57"/>
      <c r="ELJ20" s="56"/>
      <c r="ELK20" s="56"/>
      <c r="ELL20" s="56"/>
      <c r="ELM20" s="57"/>
      <c r="ELN20" s="387"/>
      <c r="ELO20" s="57"/>
      <c r="ELP20" s="387"/>
      <c r="ELQ20" s="57"/>
      <c r="ELR20" s="387"/>
      <c r="ELS20" s="57"/>
      <c r="ELT20" s="57"/>
      <c r="ELU20" s="57"/>
      <c r="ELV20" s="57"/>
      <c r="ELW20" s="57"/>
      <c r="ELX20" s="57"/>
      <c r="ELY20" s="57"/>
      <c r="ELZ20" s="57"/>
      <c r="EMA20" s="57"/>
      <c r="EMB20" s="57"/>
      <c r="EMC20" s="57"/>
      <c r="EMD20" s="57"/>
      <c r="EME20" s="57"/>
      <c r="EMF20" s="57"/>
      <c r="EMG20" s="57"/>
      <c r="EMH20" s="57"/>
      <c r="EMI20" s="57"/>
      <c r="EMJ20" s="57"/>
      <c r="EMK20" s="57"/>
      <c r="EML20" s="57"/>
      <c r="EMM20" s="57"/>
      <c r="EMN20" s="57"/>
      <c r="EMO20" s="57"/>
      <c r="EMP20" s="57"/>
      <c r="EMQ20" s="57"/>
      <c r="EMR20" s="57"/>
      <c r="EMS20" s="57"/>
      <c r="EMT20" s="57"/>
      <c r="EMU20" s="57"/>
      <c r="EMV20" s="57"/>
      <c r="EMW20" s="57"/>
      <c r="EMX20" s="58"/>
      <c r="EMY20" s="56"/>
      <c r="EMZ20" s="57"/>
      <c r="ENA20" s="57"/>
      <c r="ENB20" s="57"/>
      <c r="ENC20" s="57"/>
      <c r="END20" s="57"/>
      <c r="ENE20" s="56"/>
      <c r="ENF20" s="57"/>
      <c r="ENG20" s="57"/>
      <c r="ENH20" s="56"/>
      <c r="ENI20" s="57"/>
      <c r="ENJ20" s="58"/>
      <c r="ENK20" s="56"/>
      <c r="ENL20" s="57"/>
      <c r="ENM20" s="57"/>
      <c r="ENN20" s="57"/>
      <c r="ENO20" s="56"/>
      <c r="ENP20" s="57"/>
      <c r="ENQ20" s="57"/>
      <c r="ENR20" s="56"/>
      <c r="ENS20" s="57"/>
      <c r="ENT20" s="58"/>
      <c r="ENU20" s="56"/>
      <c r="ENV20" s="57"/>
      <c r="ENW20" s="57"/>
      <c r="ENX20" s="57"/>
      <c r="ENY20" s="56"/>
      <c r="ENZ20" s="57"/>
      <c r="EOA20" s="57"/>
      <c r="EOB20" s="56"/>
      <c r="EOC20" s="57"/>
      <c r="EOD20" s="58"/>
      <c r="EOE20" s="56"/>
      <c r="EOF20" s="57"/>
      <c r="EOG20" s="57"/>
      <c r="EOH20" s="57"/>
      <c r="EOI20" s="56"/>
      <c r="EOJ20" s="57"/>
      <c r="EOK20" s="57"/>
      <c r="EOL20" s="56"/>
      <c r="EOM20" s="57"/>
      <c r="EON20" s="58"/>
      <c r="EOO20" s="56" t="str">
        <f t="shared" si="75"/>
        <v xml:space="preserve"> </v>
      </c>
    </row>
    <row r="21" spans="1:3785" x14ac:dyDescent="0.3">
      <c r="A21" s="27" t="s">
        <v>167</v>
      </c>
      <c r="B21" s="30"/>
      <c r="C21" s="29"/>
      <c r="D21" s="28" t="str">
        <f t="shared" si="61"/>
        <v xml:space="preserve"> </v>
      </c>
      <c r="E21" s="29"/>
      <c r="F21" s="28"/>
      <c r="G21" s="28"/>
      <c r="H21" s="28"/>
      <c r="I21" s="29"/>
      <c r="J21" s="385"/>
      <c r="K21" s="29"/>
      <c r="L21" s="385"/>
      <c r="M21" s="29"/>
      <c r="N21" s="385"/>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30"/>
      <c r="AU21" s="28"/>
      <c r="AV21" s="29"/>
      <c r="AW21" s="30"/>
      <c r="AX21" s="29"/>
      <c r="AY21" s="29"/>
      <c r="AZ21" s="29"/>
      <c r="BA21" s="28"/>
      <c r="BB21" s="29"/>
      <c r="BC21" s="29"/>
      <c r="BD21" s="28"/>
      <c r="BE21" s="29"/>
      <c r="BF21" s="30"/>
      <c r="BG21" s="28"/>
      <c r="BH21" s="29"/>
      <c r="BI21" s="30"/>
      <c r="BJ21" s="29"/>
      <c r="BK21" s="28"/>
      <c r="BL21" s="29"/>
      <c r="BM21" s="29"/>
      <c r="BN21" s="28"/>
      <c r="BO21" s="29"/>
      <c r="BP21" s="30"/>
      <c r="BQ21" s="28"/>
      <c r="BR21" s="29"/>
      <c r="BS21" s="30"/>
      <c r="BT21" s="29"/>
      <c r="BU21" s="28"/>
      <c r="BV21" s="29"/>
      <c r="BW21" s="29"/>
      <c r="BX21" s="28"/>
      <c r="BY21" s="29"/>
      <c r="BZ21" s="30"/>
      <c r="CA21" s="28"/>
      <c r="CB21" s="29"/>
      <c r="CC21" s="30"/>
      <c r="CD21" s="29"/>
      <c r="CE21" s="28"/>
      <c r="CF21" s="29"/>
      <c r="CG21" s="29"/>
      <c r="CH21" s="28"/>
      <c r="CI21" s="29"/>
      <c r="CJ21" s="30"/>
      <c r="CK21" s="28"/>
      <c r="CL21" s="29"/>
      <c r="CM21" s="30"/>
      <c r="CN21" s="29"/>
      <c r="CO21" s="28"/>
      <c r="CP21" s="29"/>
      <c r="CQ21" s="29"/>
      <c r="CR21" s="28"/>
      <c r="CS21" s="29"/>
      <c r="CT21" s="30"/>
      <c r="CU21" s="28"/>
      <c r="CV21" s="29"/>
      <c r="CW21" s="30"/>
      <c r="CX21" s="29"/>
      <c r="CY21" s="28"/>
      <c r="CZ21" s="29"/>
      <c r="DA21" s="29"/>
      <c r="DB21" s="28"/>
      <c r="DC21" s="29"/>
      <c r="DD21" s="30"/>
      <c r="DE21" s="28"/>
      <c r="DF21" s="29"/>
      <c r="DG21" s="30"/>
      <c r="DH21" s="29"/>
      <c r="DI21" s="28"/>
      <c r="DJ21" s="29"/>
      <c r="DK21" s="29"/>
      <c r="DL21" s="28"/>
      <c r="DM21" s="29"/>
      <c r="DN21" s="30"/>
      <c r="DO21" s="28"/>
      <c r="DP21" s="29"/>
      <c r="DQ21" s="30"/>
      <c r="DR21" s="29"/>
      <c r="DS21" s="28"/>
      <c r="DT21" s="29"/>
      <c r="DU21" s="29"/>
      <c r="DV21" s="28"/>
      <c r="DW21" s="29"/>
      <c r="DX21" s="30"/>
      <c r="DY21" s="28"/>
      <c r="DZ21" s="29"/>
      <c r="EA21" s="30"/>
      <c r="EB21" s="29"/>
      <c r="EC21" s="28"/>
      <c r="ED21" s="29"/>
      <c r="EE21" s="28"/>
      <c r="EF21" s="28"/>
      <c r="EG21" s="29"/>
      <c r="EH21" s="30"/>
      <c r="EI21" s="28"/>
      <c r="EJ21" s="29"/>
      <c r="EK21" s="30"/>
      <c r="EL21" s="29"/>
      <c r="EM21" s="28"/>
      <c r="EN21" s="29"/>
      <c r="EO21" s="33"/>
      <c r="EP21" s="28"/>
      <c r="EQ21" s="29"/>
      <c r="ER21" s="30"/>
      <c r="ES21" s="28"/>
      <c r="ET21" s="29"/>
      <c r="EU21" s="30"/>
      <c r="EV21" s="29"/>
      <c r="EW21" s="28"/>
      <c r="EX21" s="29"/>
      <c r="EY21" s="29"/>
      <c r="EZ21" s="28"/>
      <c r="FA21" s="29"/>
      <c r="FB21" s="30"/>
      <c r="FC21" s="28"/>
      <c r="FD21" s="29"/>
      <c r="FE21" s="30"/>
      <c r="FF21" s="29"/>
      <c r="FG21" s="28"/>
      <c r="FH21" s="29"/>
      <c r="FI21" s="29"/>
      <c r="FJ21" s="28"/>
      <c r="FK21" s="29"/>
      <c r="FL21" s="30"/>
      <c r="FM21" s="28"/>
      <c r="FN21" s="29"/>
      <c r="FO21" s="30"/>
      <c r="FP21" s="29"/>
      <c r="FQ21" s="28"/>
      <c r="FR21" s="29"/>
      <c r="FS21" s="29"/>
      <c r="FT21" s="28"/>
      <c r="FU21" s="29"/>
      <c r="FV21" s="30"/>
      <c r="FW21" s="28"/>
      <c r="FX21" s="29"/>
      <c r="FY21" s="30"/>
      <c r="FZ21" s="29"/>
      <c r="GA21" s="28"/>
      <c r="GB21" s="29"/>
      <c r="GC21" s="29"/>
      <c r="GD21" s="28"/>
      <c r="GE21" s="29"/>
      <c r="GF21" s="30"/>
      <c r="GG21" s="28"/>
      <c r="GH21" s="29"/>
      <c r="GI21" s="30"/>
      <c r="GJ21" s="29"/>
      <c r="GK21" s="28"/>
      <c r="GL21" s="29"/>
      <c r="GM21" s="29"/>
      <c r="GN21" s="28"/>
      <c r="GO21" s="29"/>
      <c r="GP21" s="30"/>
      <c r="GQ21" s="28"/>
      <c r="GR21" s="29"/>
      <c r="GS21" s="30"/>
      <c r="GT21" s="29"/>
      <c r="GU21" s="28"/>
      <c r="GV21" s="29"/>
      <c r="GW21" s="29"/>
      <c r="GX21" s="28"/>
      <c r="GY21" s="29"/>
      <c r="GZ21" s="30"/>
      <c r="HA21" s="28"/>
      <c r="HB21" s="29"/>
      <c r="HC21" s="30"/>
      <c r="HD21" s="29"/>
      <c r="HE21" s="28"/>
      <c r="HF21" s="29"/>
      <c r="HG21" s="29"/>
      <c r="HH21" s="28"/>
      <c r="HI21" s="29"/>
      <c r="HJ21" s="30"/>
      <c r="HK21" s="28"/>
      <c r="HL21" s="29"/>
      <c r="HM21" s="30"/>
      <c r="HN21" s="29"/>
      <c r="HO21" s="28"/>
      <c r="HP21" s="29"/>
      <c r="HQ21" s="29"/>
      <c r="HR21" s="28"/>
      <c r="HS21" s="29"/>
      <c r="HT21" s="30"/>
      <c r="HU21" s="28"/>
      <c r="HV21" s="29"/>
      <c r="HW21" s="30"/>
      <c r="HX21" s="29"/>
      <c r="HY21" s="28"/>
      <c r="HZ21" s="29"/>
      <c r="IA21" s="29"/>
      <c r="IB21" s="28"/>
      <c r="IC21" s="29"/>
      <c r="ID21" s="30"/>
      <c r="IE21" s="28"/>
      <c r="IF21" s="29"/>
      <c r="IG21" s="29"/>
      <c r="IH21" s="29"/>
      <c r="II21" s="28"/>
      <c r="IJ21" s="29"/>
      <c r="IK21" s="29"/>
      <c r="IL21" s="28"/>
      <c r="IM21" s="29"/>
      <c r="IN21" s="30"/>
      <c r="IO21" s="28"/>
      <c r="IP21" s="29"/>
      <c r="IQ21" s="29"/>
      <c r="IR21" s="29"/>
      <c r="IS21" s="28"/>
      <c r="IT21" s="29"/>
      <c r="IU21" s="29"/>
      <c r="IV21" s="28"/>
      <c r="IW21" s="29"/>
      <c r="IX21" s="30"/>
      <c r="IY21" s="28"/>
      <c r="IZ21" s="29"/>
      <c r="JA21" s="29"/>
      <c r="JB21" s="29"/>
      <c r="JC21" s="28"/>
      <c r="JD21" s="29"/>
      <c r="JE21" s="29"/>
      <c r="JF21" s="28"/>
      <c r="JG21" s="29"/>
      <c r="JH21" s="30"/>
      <c r="JI21" s="28"/>
      <c r="JJ21" s="29"/>
      <c r="JK21" s="29"/>
      <c r="JL21" s="29"/>
      <c r="JM21" s="28"/>
      <c r="JN21" s="29"/>
      <c r="JO21" s="29"/>
      <c r="JP21" s="28"/>
      <c r="JQ21" s="29"/>
      <c r="JR21" s="30"/>
      <c r="JS21" s="28"/>
      <c r="JT21" s="29"/>
      <c r="JU21" s="29"/>
      <c r="JV21" s="29"/>
      <c r="JW21" s="28"/>
      <c r="JX21" s="29"/>
      <c r="JY21" s="29"/>
      <c r="JZ21" s="28"/>
      <c r="KA21" s="29"/>
      <c r="KB21" s="30"/>
      <c r="KC21" s="28"/>
      <c r="KD21" s="29"/>
      <c r="KE21" s="29"/>
      <c r="KF21" s="29"/>
      <c r="KG21" s="28"/>
      <c r="KH21" s="29"/>
      <c r="KI21" s="29"/>
      <c r="KJ21" s="28"/>
      <c r="KK21" s="29"/>
      <c r="KL21" s="30"/>
      <c r="KM21" s="28"/>
      <c r="KN21" s="29"/>
      <c r="KO21" s="29"/>
      <c r="KP21" s="29"/>
      <c r="KQ21" s="28"/>
      <c r="KR21" s="29"/>
      <c r="KS21" s="29"/>
      <c r="KT21" s="28"/>
      <c r="KU21" s="29"/>
      <c r="KV21" s="30"/>
      <c r="KW21" s="28"/>
      <c r="KX21" s="29"/>
      <c r="KY21" s="29"/>
      <c r="KZ21" s="29"/>
      <c r="LA21" s="28"/>
      <c r="LB21" s="29"/>
      <c r="LC21" s="29"/>
      <c r="LD21" s="28"/>
      <c r="LE21" s="29"/>
      <c r="LF21" s="30"/>
      <c r="LG21" s="28"/>
      <c r="LH21" s="29"/>
      <c r="LI21" s="29"/>
      <c r="LJ21" s="29"/>
      <c r="LK21" s="28"/>
      <c r="LL21" s="29"/>
      <c r="LM21" s="29"/>
      <c r="LN21" s="28"/>
      <c r="LO21" s="29"/>
      <c r="LP21" s="30"/>
      <c r="LQ21" s="28"/>
      <c r="LR21" s="29"/>
      <c r="LS21" s="29"/>
      <c r="LT21" s="29"/>
      <c r="LU21" s="28"/>
      <c r="LV21" s="29"/>
      <c r="LW21" s="29"/>
      <c r="LX21" s="28"/>
      <c r="LY21" s="29"/>
      <c r="LZ21" s="30"/>
      <c r="MA21" s="28"/>
      <c r="MB21" s="29"/>
      <c r="MC21" s="29"/>
      <c r="MD21" s="29"/>
      <c r="ME21" s="28"/>
      <c r="MF21" s="29"/>
      <c r="MG21" s="29"/>
      <c r="MH21" s="28"/>
      <c r="MI21" s="29"/>
      <c r="MJ21" s="30"/>
      <c r="MK21" s="28"/>
      <c r="ML21" s="29"/>
      <c r="MM21" s="29"/>
      <c r="MN21" s="29"/>
      <c r="MO21" s="28"/>
      <c r="MP21" s="29"/>
      <c r="MQ21" s="29"/>
      <c r="MR21" s="28"/>
      <c r="MS21" s="29"/>
      <c r="MT21" s="30"/>
      <c r="MU21" s="28"/>
      <c r="MV21" s="29"/>
      <c r="MW21" s="29"/>
      <c r="MX21" s="29"/>
      <c r="MY21" s="28"/>
      <c r="MZ21" s="29"/>
      <c r="NA21" s="29"/>
      <c r="NB21" s="28"/>
      <c r="NC21" s="29"/>
      <c r="ND21" s="30"/>
      <c r="NE21" s="28"/>
      <c r="NF21" s="29"/>
      <c r="NG21" s="29"/>
      <c r="NH21" s="29"/>
      <c r="NI21" s="28"/>
      <c r="NJ21" s="29"/>
      <c r="NK21" s="29"/>
      <c r="NL21" s="28"/>
      <c r="NM21" s="29"/>
      <c r="NN21" s="30"/>
      <c r="NO21" s="28"/>
      <c r="NP21" s="29"/>
      <c r="NQ21" s="29"/>
      <c r="NR21" s="29"/>
      <c r="NS21" s="28"/>
      <c r="NT21" s="29"/>
      <c r="NU21" s="29"/>
      <c r="NV21" s="28"/>
      <c r="NW21" s="29"/>
      <c r="NX21" s="30"/>
      <c r="NY21" s="28"/>
      <c r="NZ21" s="29"/>
      <c r="OA21" s="29"/>
      <c r="OB21" s="29"/>
      <c r="OC21" s="28"/>
      <c r="OD21" s="29"/>
      <c r="OE21" s="29"/>
      <c r="OF21" s="30"/>
      <c r="OG21" s="30"/>
      <c r="OH21" s="30"/>
      <c r="OI21" s="28"/>
      <c r="OJ21" s="30"/>
      <c r="OK21" s="30"/>
      <c r="OL21" s="30"/>
      <c r="OM21" s="30"/>
      <c r="ON21" s="30"/>
      <c r="OO21" s="30"/>
      <c r="OP21" s="28"/>
      <c r="OQ21" s="29"/>
      <c r="OR21" s="30"/>
      <c r="OS21" s="28"/>
      <c r="OT21" s="29"/>
      <c r="OU21" s="29"/>
      <c r="OV21" s="29"/>
      <c r="OW21" s="28"/>
      <c r="OX21" s="29"/>
      <c r="OY21" s="29"/>
      <c r="OZ21" s="28"/>
      <c r="PA21" s="29"/>
      <c r="PB21" s="30"/>
      <c r="PC21" s="28"/>
      <c r="PD21" s="29"/>
      <c r="PE21" s="29"/>
      <c r="PF21" s="29"/>
      <c r="PG21" s="28"/>
      <c r="PH21" s="29"/>
      <c r="PI21" s="29"/>
      <c r="PJ21" s="28"/>
      <c r="PK21" s="29"/>
      <c r="PL21" s="30"/>
      <c r="PM21" s="28"/>
      <c r="PN21" s="29"/>
      <c r="PO21" s="29"/>
      <c r="PP21" s="29"/>
      <c r="PQ21" s="28"/>
      <c r="PR21" s="29"/>
      <c r="PS21" s="29"/>
      <c r="PT21" s="28"/>
      <c r="PU21" s="29"/>
      <c r="PV21" s="30"/>
      <c r="PW21" s="28"/>
      <c r="PX21" s="29"/>
      <c r="PY21" s="29"/>
      <c r="PZ21" s="29"/>
      <c r="QA21" s="28"/>
      <c r="QB21" s="29"/>
      <c r="QC21" s="29"/>
      <c r="QD21" s="28"/>
      <c r="QE21" s="29"/>
      <c r="QF21" s="30"/>
      <c r="QG21" s="28"/>
      <c r="QH21" s="29"/>
      <c r="QI21" s="29"/>
      <c r="QJ21" s="29"/>
      <c r="QK21" s="28"/>
      <c r="QL21" s="29"/>
      <c r="QM21" s="29"/>
      <c r="QN21" s="28"/>
      <c r="QO21" s="29"/>
      <c r="QP21" s="30"/>
      <c r="QQ21" s="28"/>
      <c r="QR21" s="29"/>
      <c r="QS21" s="29"/>
      <c r="QT21" s="29"/>
      <c r="QU21" s="28"/>
      <c r="QV21" s="29"/>
      <c r="QW21" s="29"/>
      <c r="QX21" s="28"/>
      <c r="QY21" s="29"/>
      <c r="QZ21" s="30"/>
      <c r="RA21" s="28"/>
      <c r="RB21" s="29"/>
      <c r="RC21" s="29"/>
      <c r="RD21" s="29"/>
      <c r="RE21" s="28"/>
      <c r="RF21" s="29"/>
      <c r="RG21" s="29"/>
      <c r="RH21" s="28"/>
      <c r="RI21" s="29"/>
      <c r="RJ21" s="30"/>
      <c r="RK21" s="28"/>
      <c r="RL21" s="29"/>
      <c r="RM21" s="29"/>
      <c r="RN21" s="29"/>
      <c r="RO21" s="28"/>
      <c r="RP21" s="29"/>
      <c r="RQ21" s="29"/>
      <c r="RR21" s="28"/>
      <c r="RS21" s="29"/>
      <c r="RT21" s="30"/>
      <c r="RU21" s="28"/>
      <c r="RV21" s="29"/>
      <c r="RW21" s="29"/>
      <c r="RX21" s="29"/>
      <c r="RY21" s="28"/>
      <c r="RZ21" s="29"/>
      <c r="SA21" s="29"/>
      <c r="SB21" s="28"/>
      <c r="SC21" s="29"/>
      <c r="SD21" s="30"/>
      <c r="SE21" s="28"/>
      <c r="SF21" s="29"/>
      <c r="SG21" s="29"/>
      <c r="SH21" s="29"/>
      <c r="SI21" s="28"/>
      <c r="SJ21" s="29"/>
      <c r="SK21" s="29"/>
      <c r="SL21" s="28"/>
      <c r="SM21" s="29"/>
      <c r="SN21" s="30"/>
      <c r="SO21" s="28"/>
      <c r="SP21" s="29"/>
      <c r="SQ21" s="29"/>
      <c r="SR21" s="29"/>
      <c r="SS21" s="28"/>
      <c r="ST21" s="29"/>
      <c r="SU21" s="29"/>
      <c r="SV21" s="28"/>
      <c r="SW21" s="29"/>
      <c r="SX21" s="30"/>
      <c r="SY21" s="28"/>
      <c r="SZ21" s="29"/>
      <c r="TA21" s="29"/>
      <c r="TB21" s="29"/>
      <c r="TC21" s="28"/>
      <c r="TD21" s="29"/>
      <c r="TE21" s="29"/>
      <c r="TF21" s="28"/>
      <c r="TG21" s="29"/>
      <c r="TH21" s="30"/>
      <c r="TI21" s="28"/>
      <c r="TJ21" s="29"/>
      <c r="TK21" s="29"/>
      <c r="TL21" s="29"/>
      <c r="TM21" s="28"/>
      <c r="TN21" s="29"/>
      <c r="TO21" s="29"/>
      <c r="TP21" s="28"/>
      <c r="TQ21" s="29"/>
      <c r="TR21" s="30"/>
      <c r="TS21" s="28"/>
      <c r="TT21" s="29"/>
      <c r="TU21" s="29"/>
      <c r="TV21" s="29"/>
      <c r="TW21" s="28"/>
      <c r="TX21" s="29"/>
      <c r="TY21" s="29"/>
      <c r="TZ21" s="28"/>
      <c r="UA21" s="29"/>
      <c r="UB21" s="30"/>
      <c r="UC21" s="28"/>
      <c r="UD21" s="29"/>
      <c r="UE21" s="29"/>
      <c r="UF21" s="29"/>
      <c r="UG21" s="28"/>
      <c r="UH21" s="29"/>
      <c r="UI21" s="29"/>
      <c r="UJ21" s="28"/>
      <c r="UK21" s="29"/>
      <c r="UL21" s="30"/>
      <c r="UM21" s="28"/>
      <c r="UN21" s="29"/>
      <c r="UO21" s="29"/>
      <c r="UP21" s="29"/>
      <c r="UQ21" s="28"/>
      <c r="UR21" s="29"/>
      <c r="US21" s="29"/>
      <c r="UT21" s="28"/>
      <c r="UU21" s="29"/>
      <c r="UV21" s="30"/>
      <c r="UW21" s="28"/>
      <c r="UX21" s="29"/>
      <c r="UY21" s="29"/>
      <c r="UZ21" s="29"/>
      <c r="VA21" s="28"/>
      <c r="VB21" s="29"/>
      <c r="VC21" s="29"/>
      <c r="VD21" s="28"/>
      <c r="VE21" s="29"/>
      <c r="VF21" s="30"/>
      <c r="VG21" s="28"/>
      <c r="VH21" s="29"/>
      <c r="VI21" s="29"/>
      <c r="VJ21" s="29"/>
      <c r="VK21" s="28"/>
      <c r="VL21" s="29"/>
      <c r="VM21" s="29"/>
      <c r="VN21" s="28"/>
      <c r="VO21" s="29"/>
      <c r="VP21" s="30"/>
      <c r="VQ21" s="28"/>
      <c r="VR21" s="29"/>
      <c r="VS21" s="29"/>
      <c r="VT21" s="29"/>
      <c r="VU21" s="28"/>
      <c r="VV21" s="29"/>
      <c r="VW21" s="29"/>
      <c r="VX21" s="28"/>
      <c r="VY21" s="29"/>
      <c r="VZ21" s="30"/>
      <c r="WA21" s="28"/>
      <c r="WB21" s="29"/>
      <c r="WC21" s="29"/>
      <c r="WD21" s="29"/>
      <c r="WE21" s="28"/>
      <c r="WF21" s="29"/>
      <c r="WG21" s="29"/>
      <c r="WH21" s="28"/>
      <c r="WI21" s="29"/>
      <c r="WJ21" s="30"/>
      <c r="WK21" s="28"/>
      <c r="WL21" s="29"/>
      <c r="WM21" s="29"/>
      <c r="WN21" s="29"/>
      <c r="WO21" s="28"/>
      <c r="WP21" s="29"/>
      <c r="WQ21" s="29"/>
      <c r="WR21" s="28"/>
      <c r="WS21" s="29"/>
      <c r="WT21" s="30"/>
      <c r="WU21" s="28"/>
      <c r="WV21" s="29"/>
      <c r="WW21" s="29"/>
      <c r="WX21" s="29"/>
      <c r="WY21" s="28"/>
      <c r="WZ21" s="29"/>
      <c r="XA21" s="29"/>
      <c r="XB21" s="28"/>
      <c r="XC21" s="29"/>
      <c r="XD21" s="30"/>
      <c r="XE21" s="28"/>
      <c r="XF21" s="29"/>
      <c r="XG21" s="29"/>
      <c r="XH21" s="29"/>
      <c r="XI21" s="28"/>
      <c r="XJ21" s="29"/>
      <c r="XK21" s="29"/>
      <c r="XL21" s="28"/>
      <c r="XM21" s="29"/>
      <c r="XN21" s="30"/>
      <c r="XO21" s="28"/>
      <c r="XP21" s="29"/>
      <c r="XQ21" s="29"/>
      <c r="XR21" s="29"/>
      <c r="XS21" s="28"/>
      <c r="XT21" s="29"/>
      <c r="XU21" s="29"/>
      <c r="XV21" s="28"/>
      <c r="XW21" s="29"/>
      <c r="XX21" s="30"/>
      <c r="XY21" s="28"/>
      <c r="XZ21" s="29"/>
      <c r="YA21" s="29"/>
      <c r="YB21" s="29"/>
      <c r="YC21" s="28"/>
      <c r="YD21" s="29"/>
      <c r="YE21" s="29"/>
      <c r="YF21" s="28"/>
      <c r="YG21" s="29"/>
      <c r="YH21" s="30"/>
      <c r="YI21" s="28"/>
      <c r="YJ21" s="29"/>
      <c r="YK21" s="29"/>
      <c r="YL21" s="29"/>
      <c r="YM21" s="28"/>
      <c r="YN21" s="29"/>
      <c r="YO21" s="29"/>
      <c r="YP21" s="28"/>
      <c r="YQ21" s="29"/>
      <c r="YR21" s="30"/>
      <c r="YS21" s="28"/>
      <c r="YT21" s="29"/>
      <c r="YU21" s="29"/>
      <c r="YV21" s="29"/>
      <c r="YW21" s="28"/>
      <c r="YX21" s="29"/>
      <c r="YY21" s="29"/>
      <c r="YZ21" s="28"/>
      <c r="ZA21" s="29"/>
      <c r="ZB21" s="30"/>
      <c r="ZC21" s="28"/>
      <c r="ZD21" s="29"/>
      <c r="ZE21" s="29"/>
      <c r="ZF21" s="29"/>
      <c r="ZG21" s="28"/>
      <c r="ZH21" s="29"/>
      <c r="ZI21" s="29"/>
      <c r="ZJ21" s="28"/>
      <c r="ZK21" s="29"/>
      <c r="ZL21" s="30"/>
      <c r="ZM21" s="28"/>
      <c r="ZN21" s="29"/>
      <c r="ZO21" s="29"/>
      <c r="ZP21" s="29"/>
      <c r="ZQ21" s="28"/>
      <c r="ZR21" s="29"/>
      <c r="ZS21" s="29"/>
      <c r="ZT21" s="28"/>
      <c r="ZU21" s="29"/>
      <c r="ZV21" s="30"/>
      <c r="ZW21" s="28"/>
      <c r="ZX21" s="29"/>
      <c r="ZY21" s="29"/>
      <c r="ZZ21" s="29"/>
      <c r="AAA21" s="28"/>
      <c r="AAB21" s="29"/>
      <c r="AAC21" s="29"/>
      <c r="AAD21" s="28"/>
      <c r="AAE21" s="29"/>
      <c r="AAF21" s="30"/>
      <c r="AAG21" s="28"/>
      <c r="AAH21" s="29"/>
      <c r="AAI21" s="29"/>
      <c r="AAJ21" s="29"/>
      <c r="AAK21" s="28"/>
      <c r="AAL21" s="29"/>
      <c r="AAM21" s="29"/>
      <c r="AAN21" s="28"/>
      <c r="AAO21" s="29"/>
      <c r="AAP21" s="30"/>
      <c r="AAQ21" s="28"/>
      <c r="AAR21" s="29"/>
      <c r="AAS21" s="29"/>
      <c r="AAT21" s="29"/>
      <c r="AAU21" s="28"/>
      <c r="AAV21" s="29"/>
      <c r="AAW21" s="29"/>
      <c r="AAX21" s="30"/>
      <c r="AAY21" s="30"/>
      <c r="AAZ21" s="30"/>
      <c r="ABA21" s="28"/>
      <c r="ABB21" s="30"/>
      <c r="ABC21" s="30"/>
      <c r="ABD21" s="30"/>
      <c r="ABE21" s="30"/>
      <c r="ABF21" s="30"/>
      <c r="ABG21" s="29"/>
      <c r="ABH21" s="28"/>
      <c r="ABI21" s="29"/>
      <c r="ABJ21" s="30"/>
      <c r="ABK21" s="28"/>
      <c r="ABL21" s="29"/>
      <c r="ABM21" s="29"/>
      <c r="ABN21" s="29"/>
      <c r="ABO21" s="28"/>
      <c r="ABP21" s="29"/>
      <c r="ABQ21" s="29"/>
      <c r="ABR21" s="28"/>
      <c r="ABS21" s="29"/>
      <c r="ABT21" s="30"/>
      <c r="ABU21" s="28"/>
      <c r="ABV21" s="29"/>
      <c r="ABW21" s="29"/>
      <c r="ABX21" s="29"/>
      <c r="ABY21" s="28"/>
      <c r="ABZ21" s="29"/>
      <c r="ACA21" s="29"/>
      <c r="ACB21" s="28"/>
      <c r="ACC21" s="29"/>
      <c r="ACD21" s="30"/>
      <c r="ACE21" s="28"/>
      <c r="ACF21" s="29"/>
      <c r="ACG21" s="29"/>
      <c r="ACH21" s="29"/>
      <c r="ACI21" s="28"/>
      <c r="ACJ21" s="29"/>
      <c r="ACK21" s="29"/>
      <c r="ACL21" s="28"/>
      <c r="ACM21" s="29"/>
      <c r="ACN21" s="30"/>
      <c r="ACO21" s="28"/>
      <c r="ACP21" s="29"/>
      <c r="ACQ21" s="29"/>
      <c r="ACR21" s="29"/>
      <c r="ACS21" s="28"/>
      <c r="ACT21" s="29"/>
      <c r="ACU21" s="29"/>
      <c r="ACV21" s="28"/>
      <c r="ACW21" s="29"/>
      <c r="ACX21" s="30"/>
      <c r="ACY21" s="28"/>
      <c r="ACZ21" s="29"/>
      <c r="ADA21" s="29"/>
      <c r="ADB21" s="29"/>
      <c r="ADC21" s="28"/>
      <c r="ADD21" s="29"/>
      <c r="ADE21" s="29"/>
      <c r="ADF21" s="28"/>
      <c r="ADG21" s="29"/>
      <c r="ADH21" s="30"/>
      <c r="ADI21" s="28"/>
      <c r="ADJ21" s="29"/>
      <c r="ADK21" s="29"/>
      <c r="ADL21" s="29"/>
      <c r="ADM21" s="28"/>
      <c r="ADN21" s="29"/>
      <c r="ADO21" s="29"/>
      <c r="ADP21" s="28"/>
      <c r="ADQ21" s="29"/>
      <c r="ADR21" s="30"/>
      <c r="ADS21" s="28"/>
      <c r="ADT21" s="29"/>
      <c r="ADU21" s="29"/>
      <c r="ADV21" s="29"/>
      <c r="ADW21" s="28"/>
      <c r="ADX21" s="29"/>
      <c r="ADY21" s="29"/>
      <c r="ADZ21" s="28"/>
      <c r="AEA21" s="29"/>
      <c r="AEB21" s="30"/>
      <c r="AEC21" s="28"/>
      <c r="AED21" s="29"/>
      <c r="AEE21" s="29"/>
      <c r="AEF21" s="29"/>
      <c r="AEG21" s="28"/>
      <c r="AEH21" s="29"/>
      <c r="AEI21" s="29"/>
      <c r="AEJ21" s="28"/>
      <c r="AEK21" s="29"/>
      <c r="AEL21" s="30"/>
      <c r="AEM21" s="28"/>
      <c r="AEN21" s="29"/>
      <c r="AEO21" s="29"/>
      <c r="AEP21" s="29"/>
      <c r="AEQ21" s="28"/>
      <c r="AER21" s="29"/>
      <c r="AES21" s="29"/>
      <c r="AET21" s="28"/>
      <c r="AEU21" s="29"/>
      <c r="AEV21" s="30"/>
      <c r="AEW21" s="28"/>
      <c r="AEX21" s="29"/>
      <c r="AEY21" s="29"/>
      <c r="AEZ21" s="29"/>
      <c r="AFA21" s="28"/>
      <c r="AFB21" s="29"/>
      <c r="AFC21" s="29"/>
      <c r="AFD21" s="28"/>
      <c r="AFE21" s="29"/>
      <c r="AFF21" s="30"/>
      <c r="AFG21" s="28"/>
      <c r="AFH21" s="29"/>
      <c r="AFI21" s="29"/>
      <c r="AFJ21" s="29"/>
      <c r="AFK21" s="28"/>
      <c r="AFL21" s="29"/>
      <c r="AFM21" s="29"/>
      <c r="AFN21" s="28"/>
      <c r="AFO21" s="29"/>
      <c r="AFP21" s="30"/>
      <c r="AFQ21" s="28"/>
      <c r="AFR21" s="29"/>
      <c r="AFS21" s="29"/>
      <c r="AFT21" s="29"/>
      <c r="AFU21" s="28"/>
      <c r="AFV21" s="29"/>
      <c r="AFW21" s="29"/>
      <c r="AFX21" s="28"/>
      <c r="AFY21" s="29"/>
      <c r="AFZ21" s="30"/>
      <c r="AGA21" s="28"/>
      <c r="AGB21" s="29"/>
      <c r="AGC21" s="29"/>
      <c r="AGD21" s="29"/>
      <c r="AGE21" s="28"/>
      <c r="AGF21" s="29"/>
      <c r="AGG21" s="29"/>
      <c r="AGH21" s="28"/>
      <c r="AGI21" s="29"/>
      <c r="AGJ21" s="30"/>
      <c r="AGK21" s="28"/>
      <c r="AGL21" s="29"/>
      <c r="AGM21" s="29"/>
      <c r="AGN21" s="29"/>
      <c r="AGO21" s="28"/>
      <c r="AGP21" s="29"/>
      <c r="AGQ21" s="29"/>
      <c r="AGR21" s="28"/>
      <c r="AGS21" s="29"/>
      <c r="AGT21" s="30"/>
      <c r="AGU21" s="28"/>
      <c r="AGV21" s="29"/>
      <c r="AGW21" s="29"/>
      <c r="AGX21" s="29"/>
      <c r="AGY21" s="28"/>
      <c r="AGZ21" s="29"/>
      <c r="AHA21" s="29"/>
      <c r="AHB21" s="28"/>
      <c r="AHC21" s="29"/>
      <c r="AHD21" s="30"/>
      <c r="AHE21" s="28"/>
      <c r="AHF21" s="29"/>
      <c r="AHG21" s="29"/>
      <c r="AHH21" s="29"/>
      <c r="AHI21" s="28"/>
      <c r="AHJ21" s="29"/>
      <c r="AHK21" s="29"/>
      <c r="AHL21" s="28"/>
      <c r="AHM21" s="29"/>
      <c r="AHN21" s="30"/>
      <c r="AHO21" s="28"/>
      <c r="AHP21" s="29"/>
      <c r="AHQ21" s="29"/>
      <c r="AHR21" s="29"/>
      <c r="AHS21" s="28"/>
      <c r="AHT21" s="29"/>
      <c r="AHU21" s="29"/>
      <c r="AHV21" s="28"/>
      <c r="AHW21" s="29"/>
      <c r="AHX21" s="30"/>
      <c r="AHY21" s="28"/>
      <c r="AHZ21" s="29"/>
      <c r="AIA21" s="29"/>
      <c r="AIB21" s="29"/>
      <c r="AIC21" s="28"/>
      <c r="AID21" s="29"/>
      <c r="AIE21" s="29"/>
      <c r="AIF21" s="28"/>
      <c r="AIG21" s="29"/>
      <c r="AIH21" s="30"/>
      <c r="AII21" s="28"/>
      <c r="AIJ21" s="29"/>
      <c r="AIK21" s="29"/>
      <c r="AIL21" s="29"/>
      <c r="AIM21" s="28"/>
      <c r="AIN21" s="29"/>
      <c r="AIO21" s="29"/>
      <c r="AIP21" s="28"/>
      <c r="AIQ21" s="29"/>
      <c r="AIR21" s="30"/>
      <c r="AIS21" s="28"/>
      <c r="AIT21" s="29"/>
      <c r="AIU21" s="29"/>
      <c r="AIV21" s="29"/>
      <c r="AIW21" s="28"/>
      <c r="AIX21" s="29"/>
      <c r="AIY21" s="29"/>
      <c r="AIZ21" s="28"/>
      <c r="AJA21" s="29"/>
      <c r="AJB21" s="30"/>
      <c r="AJC21" s="28"/>
      <c r="AJD21" s="29"/>
      <c r="AJE21" s="29"/>
      <c r="AJF21" s="29"/>
      <c r="AJG21" s="28"/>
      <c r="AJH21" s="29"/>
      <c r="AJI21" s="29"/>
      <c r="AJJ21" s="28"/>
      <c r="AJK21" s="29"/>
      <c r="AJL21" s="30"/>
      <c r="AJM21" s="28"/>
      <c r="AJN21" s="29"/>
      <c r="AJO21" s="29"/>
      <c r="AJP21" s="29"/>
      <c r="AJQ21" s="28"/>
      <c r="AJR21" s="29"/>
      <c r="AJS21" s="29"/>
      <c r="AJT21" s="28"/>
      <c r="AJU21" s="29"/>
      <c r="AJV21" s="30"/>
      <c r="AJW21" s="28"/>
      <c r="AJX21" s="29"/>
      <c r="AJY21" s="29"/>
      <c r="AJZ21" s="29"/>
      <c r="AKA21" s="28"/>
      <c r="AKB21" s="29"/>
      <c r="AKC21" s="29"/>
      <c r="AKD21" s="28"/>
      <c r="AKE21" s="29"/>
      <c r="AKF21" s="30"/>
      <c r="AKG21" s="28"/>
      <c r="AKH21" s="29"/>
      <c r="AKI21" s="29"/>
      <c r="AKJ21" s="29"/>
      <c r="AKK21" s="28"/>
      <c r="AKL21" s="29"/>
      <c r="AKM21" s="29"/>
      <c r="AKN21" s="28"/>
      <c r="AKO21" s="29"/>
      <c r="AKP21" s="30"/>
      <c r="AKQ21" s="28"/>
      <c r="AKR21" s="29"/>
      <c r="AKS21" s="29"/>
      <c r="AKT21" s="29"/>
      <c r="AKU21" s="28"/>
      <c r="AKV21" s="29"/>
      <c r="AKW21" s="29"/>
      <c r="AKX21" s="28"/>
      <c r="AKY21" s="29"/>
      <c r="AKZ21" s="30"/>
      <c r="ALA21" s="28"/>
      <c r="ALB21" s="29"/>
      <c r="ALC21" s="29"/>
      <c r="ALD21" s="29"/>
      <c r="ALE21" s="28"/>
      <c r="ALF21" s="29"/>
      <c r="ALG21" s="29"/>
      <c r="ALH21" s="29"/>
      <c r="ALI21" s="29"/>
      <c r="ALJ21" s="29"/>
      <c r="ALK21" s="28"/>
      <c r="ALL21" s="29"/>
      <c r="ALM21" s="29"/>
      <c r="ALN21" s="28"/>
      <c r="ALO21" s="29"/>
      <c r="ALP21" s="30"/>
      <c r="ALQ21" s="28"/>
      <c r="ALR21" s="29"/>
      <c r="ALS21" s="29"/>
      <c r="ALT21" s="29"/>
      <c r="ALU21" s="28"/>
      <c r="ALV21" s="29"/>
      <c r="ALW21" s="29"/>
      <c r="ALX21" s="28"/>
      <c r="ALY21" s="29"/>
      <c r="ALZ21" s="30"/>
      <c r="AMA21" s="28"/>
      <c r="AMB21" s="29"/>
      <c r="AMC21" s="29"/>
      <c r="AMD21" s="29"/>
      <c r="AME21" s="28"/>
      <c r="AMF21" s="29"/>
      <c r="AMG21" s="29"/>
      <c r="AMH21" s="29"/>
      <c r="AMI21" s="29"/>
      <c r="AMJ21" s="29"/>
      <c r="AMK21" s="28"/>
      <c r="AML21" s="29"/>
      <c r="AMM21" s="29"/>
      <c r="AMN21" s="28"/>
      <c r="AMO21" s="29"/>
      <c r="AMP21" s="30"/>
      <c r="AMQ21" s="28"/>
      <c r="AMR21" s="29"/>
      <c r="AMS21" s="29"/>
      <c r="AMT21" s="29"/>
      <c r="AMU21" s="28"/>
      <c r="AMV21" s="29"/>
      <c r="AMW21" s="29"/>
      <c r="AMX21" s="28"/>
      <c r="AMY21" s="29"/>
      <c r="AMZ21" s="30"/>
      <c r="ANA21" s="28"/>
      <c r="ANB21" s="29"/>
      <c r="ANC21" s="29"/>
      <c r="AND21" s="29"/>
      <c r="ANE21" s="28"/>
      <c r="ANF21" s="29"/>
      <c r="ANG21" s="29"/>
      <c r="ANH21" s="29"/>
      <c r="ANI21" s="29"/>
      <c r="ANJ21" s="29"/>
      <c r="ANK21" s="28"/>
      <c r="ANL21" s="29"/>
      <c r="ANM21" s="29"/>
      <c r="ANN21" s="28"/>
      <c r="ANO21" s="29"/>
      <c r="ANP21" s="30"/>
      <c r="ANQ21" s="28"/>
      <c r="ANR21" s="29"/>
      <c r="ANS21" s="29"/>
      <c r="ANT21" s="29"/>
      <c r="ANU21" s="28"/>
      <c r="ANV21" s="29"/>
      <c r="ANW21" s="29"/>
      <c r="ANX21" s="28"/>
      <c r="ANY21" s="29"/>
      <c r="ANZ21" s="30"/>
      <c r="AOA21" s="28"/>
      <c r="AOB21" s="29"/>
      <c r="AOC21" s="29"/>
      <c r="AOD21" s="29"/>
      <c r="AOE21" s="28"/>
      <c r="AOF21" s="29"/>
      <c r="AOG21" s="29"/>
      <c r="AOH21" s="29"/>
      <c r="AOI21" s="29"/>
      <c r="AOJ21" s="29"/>
      <c r="AOK21" s="28"/>
      <c r="AOL21" s="29"/>
      <c r="AOM21" s="29"/>
      <c r="AON21" s="28"/>
      <c r="AOO21" s="29"/>
      <c r="AOP21" s="30"/>
      <c r="AOQ21" s="28"/>
      <c r="AOR21" s="29"/>
      <c r="AOS21" s="29"/>
      <c r="AOT21" s="29"/>
      <c r="AOU21" s="28"/>
      <c r="AOV21" s="29"/>
      <c r="AOW21" s="29"/>
      <c r="AOX21" s="28"/>
      <c r="AOY21" s="29"/>
      <c r="AOZ21" s="30"/>
      <c r="APA21" s="28"/>
      <c r="APB21" s="29"/>
      <c r="APC21" s="29"/>
      <c r="APD21" s="29"/>
      <c r="APE21" s="28"/>
      <c r="APF21" s="29"/>
      <c r="APG21" s="29"/>
      <c r="APH21" s="29"/>
      <c r="API21" s="29"/>
      <c r="APJ21" s="29"/>
      <c r="APK21" s="28"/>
      <c r="APL21" s="29"/>
      <c r="APM21" s="29"/>
      <c r="APN21" s="28"/>
      <c r="APO21" s="29"/>
      <c r="APP21" s="30"/>
      <c r="APQ21" s="28"/>
      <c r="APR21" s="29"/>
      <c r="APS21" s="29"/>
      <c r="APT21" s="29"/>
      <c r="APU21" s="28"/>
      <c r="APV21" s="29"/>
      <c r="APW21" s="29"/>
      <c r="APX21" s="28"/>
      <c r="APY21" s="29"/>
      <c r="APZ21" s="30"/>
      <c r="AQA21" s="28"/>
      <c r="AQB21" s="29"/>
      <c r="AQC21" s="29"/>
      <c r="AQD21" s="29"/>
      <c r="AQE21" s="28"/>
      <c r="AQF21" s="29"/>
      <c r="AQG21" s="29"/>
      <c r="AQH21" s="29"/>
      <c r="AQI21" s="29"/>
      <c r="AQJ21" s="29"/>
      <c r="AQK21" s="28"/>
      <c r="AQL21" s="29"/>
      <c r="AQM21" s="29"/>
      <c r="AQN21" s="28"/>
      <c r="AQO21" s="29"/>
      <c r="AQP21" s="30"/>
      <c r="AQQ21" s="28"/>
      <c r="AQR21" s="29"/>
      <c r="AQS21" s="29"/>
      <c r="AQT21" s="29"/>
      <c r="AQU21" s="28"/>
      <c r="AQV21" s="29"/>
      <c r="AQW21" s="29"/>
      <c r="AQX21" s="28"/>
      <c r="AQY21" s="29"/>
      <c r="AQZ21" s="30"/>
      <c r="ARA21" s="28"/>
      <c r="ARB21" s="29"/>
      <c r="ARC21" s="29"/>
      <c r="ARD21" s="29"/>
      <c r="ARE21" s="28"/>
      <c r="ARF21" s="29"/>
      <c r="ARG21" s="29"/>
      <c r="ARH21" s="29"/>
      <c r="ARI21" s="29"/>
      <c r="ARJ21" s="29"/>
      <c r="ARK21" s="28"/>
      <c r="ARL21" s="29"/>
      <c r="ARM21" s="29"/>
      <c r="ARN21" s="28"/>
      <c r="ARO21" s="29"/>
      <c r="ARP21" s="30"/>
      <c r="ARQ21" s="28"/>
      <c r="ARR21" s="29"/>
      <c r="ARS21" s="29"/>
      <c r="ART21" s="29"/>
      <c r="ARU21" s="28"/>
      <c r="ARV21" s="29"/>
      <c r="ARW21" s="29"/>
      <c r="ARX21" s="28"/>
      <c r="ARY21" s="29"/>
      <c r="ARZ21" s="30"/>
      <c r="ASA21" s="28"/>
      <c r="ASB21" s="29"/>
      <c r="ASC21" s="29"/>
      <c r="ASD21" s="29"/>
      <c r="ASE21" s="28"/>
      <c r="ASF21" s="29"/>
      <c r="ASG21" s="29"/>
      <c r="ASH21" s="29"/>
      <c r="ASI21" s="29"/>
      <c r="ASJ21" s="29"/>
      <c r="ASK21" s="28"/>
      <c r="ASL21" s="29"/>
      <c r="ASM21" s="29"/>
      <c r="ASN21" s="28"/>
      <c r="ASO21" s="29"/>
      <c r="ASP21" s="30"/>
      <c r="ASQ21" s="28"/>
      <c r="ASR21" s="29"/>
      <c r="ASS21" s="29"/>
      <c r="AST21" s="29"/>
      <c r="ASU21" s="28"/>
      <c r="ASV21" s="29"/>
      <c r="ASW21" s="29"/>
      <c r="ASX21" s="28"/>
      <c r="ASY21" s="29"/>
      <c r="ASZ21" s="30"/>
      <c r="ATA21" s="28"/>
      <c r="ATB21" s="29"/>
      <c r="ATC21" s="29"/>
      <c r="ATD21" s="29"/>
      <c r="ATE21" s="28"/>
      <c r="ATF21" s="29"/>
      <c r="ATG21" s="29"/>
      <c r="ATH21" s="29"/>
      <c r="ATI21" s="29"/>
      <c r="ATJ21" s="29"/>
      <c r="ATK21" s="28"/>
      <c r="ATL21" s="29"/>
      <c r="ATM21" s="29"/>
      <c r="ATN21" s="28"/>
      <c r="ATO21" s="29"/>
      <c r="ATP21" s="30"/>
      <c r="ATQ21" s="28"/>
      <c r="ATR21" s="29"/>
      <c r="ATS21" s="29"/>
      <c r="ATT21" s="29"/>
      <c r="ATU21" s="28"/>
      <c r="ATV21" s="29"/>
      <c r="ATW21" s="29"/>
      <c r="ATX21" s="28"/>
      <c r="ATY21" s="29"/>
      <c r="ATZ21" s="30"/>
      <c r="AUA21" s="28"/>
      <c r="AUB21" s="29"/>
      <c r="AUC21" s="29"/>
      <c r="AUD21" s="29"/>
      <c r="AUE21" s="28"/>
      <c r="AUF21" s="29"/>
      <c r="AUG21" s="29"/>
      <c r="AUH21" s="29"/>
      <c r="AUI21" s="29"/>
      <c r="AUJ21" s="29"/>
      <c r="AUK21" s="28"/>
      <c r="AUL21" s="29"/>
      <c r="AUM21" s="29"/>
      <c r="AUN21" s="28"/>
      <c r="AUO21" s="29"/>
      <c r="AUP21" s="30"/>
      <c r="AUQ21" s="28"/>
      <c r="AUR21" s="29"/>
      <c r="AUS21" s="29"/>
      <c r="AUT21" s="29"/>
      <c r="AUU21" s="28"/>
      <c r="AUV21" s="29"/>
      <c r="AUW21" s="29"/>
      <c r="AUX21" s="28"/>
      <c r="AUY21" s="29"/>
      <c r="AUZ21" s="30"/>
      <c r="AVA21" s="28"/>
      <c r="AVB21" s="29"/>
      <c r="AVC21" s="29"/>
      <c r="AVD21" s="29"/>
      <c r="AVE21" s="28"/>
      <c r="AVF21" s="29"/>
      <c r="AVG21" s="29"/>
      <c r="AVH21" s="29"/>
      <c r="AVI21" s="29"/>
      <c r="AVJ21" s="29"/>
      <c r="AVK21" s="28"/>
      <c r="AVL21" s="29"/>
      <c r="AVM21" s="29"/>
      <c r="AVN21" s="28"/>
      <c r="AVO21" s="29"/>
      <c r="AVP21" s="30"/>
      <c r="AVQ21" s="28"/>
      <c r="AVR21" s="29"/>
      <c r="AVS21" s="29"/>
      <c r="AVT21" s="29"/>
      <c r="AVU21" s="28"/>
      <c r="AVV21" s="29"/>
      <c r="AVW21" s="29"/>
      <c r="AVX21" s="28"/>
      <c r="AVY21" s="29"/>
      <c r="AVZ21" s="30"/>
      <c r="AWA21" s="28"/>
      <c r="AWB21" s="29"/>
      <c r="AWC21" s="29"/>
      <c r="AWD21" s="29"/>
      <c r="AWE21" s="28"/>
      <c r="AWF21" s="29"/>
      <c r="AWG21" s="29"/>
      <c r="AWH21" s="29"/>
      <c r="AWI21" s="29"/>
      <c r="AWJ21" s="29"/>
      <c r="AWK21" s="28"/>
      <c r="AWL21" s="29"/>
      <c r="AWM21" s="29"/>
      <c r="AWN21" s="28"/>
      <c r="AWO21" s="29"/>
      <c r="AWP21" s="30"/>
      <c r="AWQ21" s="28"/>
      <c r="AWR21" s="29"/>
      <c r="AWS21" s="29"/>
      <c r="AWT21" s="29"/>
      <c r="AWU21" s="28"/>
      <c r="AWV21" s="29"/>
      <c r="AWW21" s="29"/>
      <c r="AWX21" s="28"/>
      <c r="AWY21" s="29"/>
      <c r="AWZ21" s="30"/>
      <c r="AXA21" s="28"/>
      <c r="AXB21" s="29"/>
      <c r="AXC21" s="29"/>
      <c r="AXD21" s="29"/>
      <c r="AXE21" s="28"/>
      <c r="AXF21" s="29"/>
      <c r="AXG21" s="29"/>
      <c r="AXH21" s="29"/>
      <c r="AXI21" s="29"/>
      <c r="AXJ21" s="29"/>
      <c r="AXK21" s="28"/>
      <c r="AXL21" s="29"/>
      <c r="AXM21" s="29"/>
      <c r="AXN21" s="28"/>
      <c r="AXO21" s="29"/>
      <c r="AXP21" s="30"/>
      <c r="AXQ21" s="28"/>
      <c r="AXR21" s="29"/>
      <c r="AXS21" s="29"/>
      <c r="AXT21" s="29"/>
      <c r="AXU21" s="28"/>
      <c r="AXV21" s="29"/>
      <c r="AXW21" s="29"/>
      <c r="AXX21" s="28"/>
      <c r="AXY21" s="29"/>
      <c r="AXZ21" s="30"/>
      <c r="AYA21" s="28"/>
      <c r="AYB21" s="29"/>
      <c r="AYC21" s="29"/>
      <c r="AYD21" s="29"/>
      <c r="AYE21" s="28"/>
      <c r="AYF21" s="29"/>
      <c r="AYG21" s="29"/>
      <c r="AYH21" s="29"/>
      <c r="AYI21" s="29"/>
      <c r="AYJ21" s="29"/>
      <c r="AYK21" s="28"/>
      <c r="AYL21" s="29"/>
      <c r="AYM21" s="29"/>
      <c r="AYN21" s="28"/>
      <c r="AYO21" s="29"/>
      <c r="AYP21" s="30"/>
      <c r="AYQ21" s="28"/>
      <c r="AYR21" s="29"/>
      <c r="AYS21" s="29"/>
      <c r="AYT21" s="29"/>
      <c r="AYU21" s="28"/>
      <c r="AYV21" s="29"/>
      <c r="AYW21" s="29"/>
      <c r="AYX21" s="28"/>
      <c r="AYY21" s="29"/>
      <c r="AYZ21" s="30"/>
      <c r="AZA21" s="28"/>
      <c r="AZB21" s="29"/>
      <c r="AZC21" s="29"/>
      <c r="AZD21" s="29"/>
      <c r="AZE21" s="28"/>
      <c r="AZF21" s="29"/>
      <c r="AZG21" s="29"/>
      <c r="AZH21" s="29"/>
      <c r="AZI21" s="29"/>
      <c r="AZJ21" s="29"/>
      <c r="AZK21" s="28"/>
      <c r="AZL21" s="29"/>
      <c r="AZM21" s="29"/>
      <c r="AZN21" s="28"/>
      <c r="AZO21" s="29"/>
      <c r="AZP21" s="30"/>
      <c r="AZQ21" s="28"/>
      <c r="AZR21" s="29"/>
      <c r="AZS21" s="29"/>
      <c r="AZT21" s="29"/>
      <c r="AZU21" s="28"/>
      <c r="AZV21" s="29"/>
      <c r="AZW21" s="29"/>
      <c r="AZX21" s="28"/>
      <c r="AZY21" s="29"/>
      <c r="AZZ21" s="30"/>
      <c r="BAA21" s="28"/>
      <c r="BAB21" s="29"/>
      <c r="BAC21" s="29"/>
      <c r="BAD21" s="29"/>
      <c r="BAE21" s="28"/>
      <c r="BAF21" s="29"/>
      <c r="BAG21" s="29"/>
      <c r="BAH21" s="29"/>
      <c r="BAI21" s="29"/>
      <c r="BAJ21" s="29"/>
      <c r="BAK21" s="28"/>
      <c r="BAL21" s="29"/>
      <c r="BAM21" s="29"/>
      <c r="BAN21" s="28"/>
      <c r="BAO21" s="29"/>
      <c r="BAP21" s="30"/>
      <c r="BAQ21" s="28"/>
      <c r="BAR21" s="29"/>
      <c r="BAS21" s="29"/>
      <c r="BAT21" s="29"/>
      <c r="BAU21" s="28"/>
      <c r="BAV21" s="29"/>
      <c r="BAW21" s="29"/>
      <c r="BAX21" s="28"/>
      <c r="BAY21" s="29"/>
      <c r="BAZ21" s="30"/>
      <c r="BBA21" s="28"/>
      <c r="BBB21" s="29"/>
      <c r="BBC21" s="29"/>
      <c r="BBD21" s="29"/>
      <c r="BBE21" s="28"/>
      <c r="BBF21" s="29"/>
      <c r="BBG21" s="29"/>
      <c r="BBH21" s="29"/>
      <c r="BBI21" s="29"/>
      <c r="BBJ21" s="29"/>
      <c r="BBK21" s="28"/>
      <c r="BBL21" s="29"/>
      <c r="BBM21" s="29"/>
      <c r="BBN21" s="28"/>
      <c r="BBO21" s="29"/>
      <c r="BBP21" s="30"/>
      <c r="BBQ21" s="28"/>
      <c r="BBR21" s="29"/>
      <c r="BBS21" s="29"/>
      <c r="BBT21" s="29"/>
      <c r="BBU21" s="28"/>
      <c r="BBV21" s="29"/>
      <c r="BBW21" s="29"/>
      <c r="BBX21" s="28"/>
      <c r="BBY21" s="29"/>
      <c r="BBZ21" s="30"/>
      <c r="BCA21" s="28"/>
      <c r="BCB21" s="29"/>
      <c r="BCC21" s="29"/>
      <c r="BCD21" s="29"/>
      <c r="BCE21" s="28"/>
      <c r="BCF21" s="29"/>
      <c r="BCG21" s="29"/>
      <c r="BCH21" s="29"/>
      <c r="BCI21" s="29"/>
      <c r="BCJ21" s="29"/>
      <c r="BCK21" s="28"/>
      <c r="BCL21" s="29"/>
      <c r="BCM21" s="29"/>
      <c r="BCN21" s="28"/>
      <c r="BCO21" s="29"/>
      <c r="BCP21" s="30"/>
      <c r="BCQ21" s="28"/>
      <c r="BCR21" s="29"/>
      <c r="BCS21" s="29"/>
      <c r="BCT21" s="29"/>
      <c r="BCU21" s="28"/>
      <c r="BCV21" s="29"/>
      <c r="BCW21" s="29"/>
      <c r="BCX21" s="28"/>
      <c r="BCY21" s="29"/>
      <c r="BCZ21" s="30"/>
      <c r="BDA21" s="28"/>
      <c r="BDB21" s="29"/>
      <c r="BDC21" s="29"/>
      <c r="BDD21" s="29"/>
      <c r="BDE21" s="28"/>
      <c r="BDF21" s="29"/>
      <c r="BDG21" s="29"/>
      <c r="BDH21" s="29"/>
      <c r="BDI21" s="29"/>
      <c r="BDJ21" s="29"/>
      <c r="BDK21" s="28"/>
      <c r="BDL21" s="29"/>
      <c r="BDM21" s="29"/>
      <c r="BDN21" s="28"/>
      <c r="BDO21" s="29"/>
      <c r="BDP21" s="30"/>
      <c r="BDQ21" s="28"/>
      <c r="BDR21" s="29"/>
      <c r="BDS21" s="29"/>
      <c r="BDT21" s="29"/>
      <c r="BDU21" s="28"/>
      <c r="BDV21" s="29"/>
      <c r="BDW21" s="29"/>
      <c r="BDX21" s="28"/>
      <c r="BDY21" s="29"/>
      <c r="BDZ21" s="30"/>
      <c r="BEA21" s="28"/>
      <c r="BEB21" s="29"/>
      <c r="BEC21" s="29"/>
      <c r="BED21" s="29"/>
      <c r="BEE21" s="28"/>
      <c r="BEF21" s="29"/>
      <c r="BEG21" s="29"/>
      <c r="BEH21" s="29"/>
      <c r="BEI21" s="29"/>
      <c r="BEJ21" s="29"/>
      <c r="BEK21" s="28"/>
      <c r="BEL21" s="29"/>
      <c r="BEM21" s="29"/>
      <c r="BEN21" s="28"/>
      <c r="BEO21" s="29"/>
      <c r="BEP21" s="30"/>
      <c r="BEQ21" s="28"/>
      <c r="BER21" s="29"/>
      <c r="BES21" s="29"/>
      <c r="BET21" s="29"/>
      <c r="BEU21" s="28"/>
      <c r="BEV21" s="29"/>
      <c r="BEW21" s="29"/>
      <c r="BEX21" s="28"/>
      <c r="BEY21" s="29"/>
      <c r="BEZ21" s="30"/>
      <c r="BFA21" s="28"/>
      <c r="BFB21" s="29"/>
      <c r="BFC21" s="29"/>
      <c r="BFD21" s="29"/>
      <c r="BFE21" s="28"/>
      <c r="BFF21" s="29"/>
      <c r="BFG21" s="29"/>
      <c r="BFH21" s="29"/>
      <c r="BFI21" s="29"/>
      <c r="BFJ21" s="29"/>
      <c r="BFK21" s="28"/>
      <c r="BFL21" s="29"/>
      <c r="BFM21" s="29"/>
      <c r="BFN21" s="28"/>
      <c r="BFO21" s="29"/>
      <c r="BFP21" s="30"/>
      <c r="BFQ21" s="28"/>
      <c r="BFR21" s="29"/>
      <c r="BFS21" s="29"/>
      <c r="BFT21" s="29"/>
      <c r="BFU21" s="28"/>
      <c r="BFV21" s="29"/>
      <c r="BFW21" s="29"/>
      <c r="BFX21" s="28"/>
      <c r="BFY21" s="29"/>
      <c r="BFZ21" s="30"/>
      <c r="BGA21" s="28"/>
      <c r="BGB21" s="29"/>
      <c r="BGC21" s="29"/>
      <c r="BGD21" s="29"/>
      <c r="BGE21" s="28"/>
      <c r="BGF21" s="29"/>
      <c r="BGG21" s="29"/>
      <c r="BGH21" s="29"/>
      <c r="BGI21" s="29"/>
      <c r="BGJ21" s="29"/>
      <c r="BGK21" s="28"/>
      <c r="BGL21" s="29"/>
      <c r="BGM21" s="29"/>
      <c r="BGN21" s="28"/>
      <c r="BGO21" s="29"/>
      <c r="BGP21" s="30"/>
      <c r="BGQ21" s="28"/>
      <c r="BGR21" s="29"/>
      <c r="BGS21" s="29"/>
      <c r="BGT21" s="29"/>
      <c r="BGU21" s="28"/>
      <c r="BGV21" s="29"/>
      <c r="BGW21" s="29"/>
      <c r="BGX21" s="28"/>
      <c r="BGY21" s="29"/>
      <c r="BGZ21" s="30"/>
      <c r="BHA21" s="28"/>
      <c r="BHB21" s="29"/>
      <c r="BHC21" s="29"/>
      <c r="BHD21" s="29"/>
      <c r="BHE21" s="28"/>
      <c r="BHF21" s="29"/>
      <c r="BHG21" s="29"/>
      <c r="BHH21" s="29"/>
      <c r="BHI21" s="29"/>
      <c r="BHJ21" s="29"/>
      <c r="BHK21" s="28"/>
      <c r="BHL21" s="29"/>
      <c r="BHM21" s="29"/>
      <c r="BHN21" s="28"/>
      <c r="BHO21" s="29"/>
      <c r="BHP21" s="30"/>
      <c r="BHQ21" s="28"/>
      <c r="BHR21" s="29"/>
      <c r="BHS21" s="29"/>
      <c r="BHT21" s="29"/>
      <c r="BHU21" s="28"/>
      <c r="BHV21" s="29"/>
      <c r="BHW21" s="29"/>
      <c r="BHX21" s="28"/>
      <c r="BHY21" s="29"/>
      <c r="BHZ21" s="30"/>
      <c r="BIA21" s="28"/>
      <c r="BIB21" s="29"/>
      <c r="BIC21" s="29"/>
      <c r="BID21" s="29"/>
      <c r="BIE21" s="28"/>
      <c r="BIF21" s="29"/>
      <c r="BIG21" s="29"/>
      <c r="BIH21" s="29"/>
      <c r="BII21" s="29"/>
      <c r="BIJ21" s="29"/>
      <c r="BIK21" s="28"/>
      <c r="BIL21" s="29"/>
      <c r="BIM21" s="29"/>
      <c r="BIN21" s="28"/>
      <c r="BIO21" s="29"/>
      <c r="BIP21" s="30"/>
      <c r="BIQ21" s="28"/>
      <c r="BIR21" s="29"/>
      <c r="BIS21" s="29"/>
      <c r="BIT21" s="29"/>
      <c r="BIU21" s="28"/>
      <c r="BIV21" s="29"/>
      <c r="BIW21" s="29"/>
      <c r="BIX21" s="28"/>
      <c r="BIY21" s="29"/>
      <c r="BIZ21" s="30"/>
      <c r="BJA21" s="28"/>
      <c r="BJB21" s="29"/>
      <c r="BJC21" s="29"/>
      <c r="BJD21" s="29"/>
      <c r="BJE21" s="28"/>
      <c r="BJF21" s="29"/>
      <c r="BJG21" s="29"/>
      <c r="BJH21" s="29"/>
      <c r="BJI21" s="29"/>
      <c r="BJJ21" s="29"/>
      <c r="BJK21" s="28"/>
      <c r="BJL21" s="29"/>
      <c r="BJM21" s="29"/>
      <c r="BJN21" s="28"/>
      <c r="BJO21" s="29"/>
      <c r="BJP21" s="30"/>
      <c r="BJQ21" s="28"/>
      <c r="BJR21" s="29"/>
      <c r="BJS21" s="29"/>
      <c r="BJT21" s="29"/>
      <c r="BJU21" s="28"/>
      <c r="BJV21" s="29"/>
      <c r="BJW21" s="29"/>
      <c r="BJX21" s="28"/>
      <c r="BJY21" s="29"/>
      <c r="BJZ21" s="30"/>
      <c r="BKA21" s="28"/>
      <c r="BKB21" s="29"/>
      <c r="BKC21" s="29"/>
      <c r="BKD21" s="29"/>
      <c r="BKE21" s="28"/>
      <c r="BKF21" s="29"/>
      <c r="BKG21" s="29"/>
      <c r="BKH21" s="29"/>
      <c r="BKI21" s="29"/>
      <c r="BKJ21" s="29"/>
      <c r="BKK21" s="28"/>
      <c r="BKL21" s="29"/>
      <c r="BKM21" s="29"/>
      <c r="BKN21" s="28"/>
      <c r="BKO21" s="29"/>
      <c r="BKP21" s="30"/>
      <c r="BKQ21" s="28"/>
      <c r="BKR21" s="29"/>
      <c r="BKS21" s="29"/>
      <c r="BKT21" s="29"/>
      <c r="BKU21" s="28"/>
      <c r="BKV21" s="29"/>
      <c r="BKW21" s="29"/>
      <c r="BKX21" s="28"/>
      <c r="BKY21" s="29"/>
      <c r="BKZ21" s="30"/>
      <c r="BLA21" s="28"/>
      <c r="BLB21" s="29"/>
      <c r="BLC21" s="29"/>
      <c r="BLD21" s="29"/>
      <c r="BLE21" s="28"/>
      <c r="BLF21" s="29"/>
      <c r="BLG21" s="29"/>
      <c r="BLH21" s="29"/>
      <c r="BLI21" s="29"/>
      <c r="BLJ21" s="29"/>
      <c r="BLK21" s="28"/>
      <c r="BLL21" s="29"/>
      <c r="BLM21" s="29"/>
      <c r="BLN21" s="28"/>
      <c r="BLO21" s="29"/>
      <c r="BLP21" s="30"/>
      <c r="BLQ21" s="28"/>
      <c r="BLR21" s="29"/>
      <c r="BLS21" s="29"/>
      <c r="BLT21" s="29"/>
      <c r="BLU21" s="28"/>
      <c r="BLV21" s="29"/>
      <c r="BLW21" s="29"/>
      <c r="BLX21" s="28"/>
      <c r="BLY21" s="29"/>
      <c r="BLZ21" s="30"/>
      <c r="BMA21" s="28"/>
      <c r="BMB21" s="29"/>
      <c r="BMC21" s="29"/>
      <c r="BMD21" s="29"/>
      <c r="BME21" s="28"/>
      <c r="BMF21" s="29"/>
      <c r="BMG21" s="29"/>
      <c r="BMH21" s="29"/>
      <c r="BMI21" s="29"/>
      <c r="BMJ21" s="29"/>
      <c r="BMK21" s="28"/>
      <c r="BML21" s="29"/>
      <c r="BMM21" s="29"/>
      <c r="BMN21" s="28"/>
      <c r="BMO21" s="29"/>
      <c r="BMP21" s="30"/>
      <c r="BMQ21" s="28"/>
      <c r="BMR21" s="29"/>
      <c r="BMS21" s="29"/>
      <c r="BMT21" s="29"/>
      <c r="BMU21" s="28"/>
      <c r="BMV21" s="29"/>
      <c r="BMW21" s="29"/>
      <c r="BMX21" s="28"/>
      <c r="BMY21" s="29"/>
      <c r="BMZ21" s="30"/>
      <c r="BNA21" s="28"/>
      <c r="BNB21" s="29"/>
      <c r="BNC21" s="29"/>
      <c r="BND21" s="29"/>
      <c r="BNE21" s="28"/>
      <c r="BNF21" s="29"/>
      <c r="BNG21" s="29"/>
      <c r="BNH21" s="29"/>
      <c r="BNI21" s="29"/>
      <c r="BNJ21" s="29"/>
      <c r="BNK21" s="28"/>
      <c r="BNL21" s="29"/>
      <c r="BNM21" s="29"/>
      <c r="BNN21" s="28"/>
      <c r="BNO21" s="29"/>
      <c r="BNP21" s="30"/>
      <c r="BNQ21" s="28"/>
      <c r="BNR21" s="29"/>
      <c r="BNS21" s="29"/>
      <c r="BNT21" s="29"/>
      <c r="BNU21" s="28"/>
      <c r="BNV21" s="29"/>
      <c r="BNW21" s="29"/>
      <c r="BNX21" s="28"/>
      <c r="BNY21" s="29"/>
      <c r="BNZ21" s="30"/>
      <c r="BOA21" s="28"/>
      <c r="BOB21" s="29"/>
      <c r="BOC21" s="29"/>
      <c r="BOD21" s="29"/>
      <c r="BOE21" s="28"/>
      <c r="BOF21" s="29"/>
      <c r="BOG21" s="29"/>
      <c r="BOH21" s="29"/>
      <c r="BOI21" s="29"/>
      <c r="BOJ21" s="29"/>
      <c r="BOK21" s="28"/>
      <c r="BOL21" s="29"/>
      <c r="BOM21" s="29"/>
      <c r="BON21" s="28"/>
      <c r="BOO21" s="29"/>
      <c r="BOP21" s="30"/>
      <c r="BOQ21" s="28"/>
      <c r="BOR21" s="29"/>
      <c r="BOS21" s="29"/>
      <c r="BOT21" s="29"/>
      <c r="BOU21" s="28"/>
      <c r="BOV21" s="29"/>
      <c r="BOW21" s="29"/>
      <c r="BOX21" s="28"/>
      <c r="BOY21" s="29"/>
      <c r="BOZ21" s="30"/>
      <c r="BPA21" s="28"/>
      <c r="BPB21" s="29"/>
      <c r="BPC21" s="29"/>
      <c r="BPD21" s="29"/>
      <c r="BPE21" s="28"/>
      <c r="BPF21" s="29"/>
      <c r="BPG21" s="29"/>
      <c r="BPH21" s="29"/>
      <c r="BPI21" s="29"/>
      <c r="BPJ21" s="29"/>
      <c r="BPK21" s="28"/>
      <c r="BPL21" s="29"/>
      <c r="BPM21" s="29"/>
      <c r="BPN21" s="28"/>
      <c r="BPO21" s="29"/>
      <c r="BPP21" s="30"/>
      <c r="BPQ21" s="28"/>
      <c r="BPR21" s="29"/>
      <c r="BPS21" s="29"/>
      <c r="BPT21" s="29"/>
      <c r="BPU21" s="28"/>
      <c r="BPV21" s="29"/>
      <c r="BPW21" s="29"/>
      <c r="BPX21" s="28"/>
      <c r="BPY21" s="29"/>
      <c r="BPZ21" s="30"/>
      <c r="BQA21" s="28"/>
      <c r="BQB21" s="29"/>
      <c r="BQC21" s="29"/>
      <c r="BQD21" s="29"/>
      <c r="BQE21" s="28"/>
      <c r="BQF21" s="29"/>
      <c r="BQG21" s="29"/>
      <c r="BQH21" s="29"/>
      <c r="BQI21" s="29"/>
      <c r="BQJ21" s="29"/>
      <c r="BQK21" s="28"/>
      <c r="BQL21" s="29"/>
      <c r="BQM21" s="29"/>
      <c r="BQN21" s="28"/>
      <c r="BQO21" s="29"/>
      <c r="BQP21" s="30"/>
      <c r="BQQ21" s="28"/>
      <c r="BQR21" s="29"/>
      <c r="BQS21" s="29"/>
      <c r="BQT21" s="29"/>
      <c r="BQU21" s="28"/>
      <c r="BQV21" s="29"/>
      <c r="BQW21" s="29"/>
      <c r="BQX21" s="28"/>
      <c r="BQY21" s="29"/>
      <c r="BQZ21" s="30"/>
      <c r="BRA21" s="28"/>
      <c r="BRB21" s="29"/>
      <c r="BRC21" s="29"/>
      <c r="BRD21" s="29"/>
      <c r="BRE21" s="28"/>
      <c r="BRF21" s="29"/>
      <c r="BRG21" s="29"/>
      <c r="BRH21" s="29"/>
      <c r="BRI21" s="29"/>
      <c r="BRJ21" s="29"/>
      <c r="BRK21" s="28"/>
      <c r="BRL21" s="29"/>
      <c r="BRM21" s="29"/>
      <c r="BRN21" s="28"/>
      <c r="BRO21" s="29"/>
      <c r="BRP21" s="30"/>
      <c r="BRQ21" s="28"/>
      <c r="BRR21" s="29"/>
      <c r="BRS21" s="29"/>
      <c r="BRT21" s="29"/>
      <c r="BRU21" s="28"/>
      <c r="BRV21" s="29"/>
      <c r="BRW21" s="29"/>
      <c r="BRX21" s="28"/>
      <c r="BRY21" s="29"/>
      <c r="BRZ21" s="30"/>
      <c r="BSA21" s="28"/>
      <c r="BSB21" s="29"/>
      <c r="BSC21" s="29"/>
      <c r="BSD21" s="29"/>
      <c r="BSE21" s="28"/>
      <c r="BSF21" s="29"/>
      <c r="BSG21" s="29"/>
      <c r="BSH21" s="29"/>
      <c r="BSI21" s="29"/>
      <c r="BSJ21" s="29"/>
      <c r="BSK21" s="28"/>
      <c r="BSL21" s="29"/>
      <c r="BSM21" s="29"/>
      <c r="BSN21" s="28"/>
      <c r="BSO21" s="29"/>
      <c r="BSP21" s="30"/>
      <c r="BSQ21" s="28"/>
      <c r="BSR21" s="29"/>
      <c r="BSS21" s="29"/>
      <c r="BST21" s="29"/>
      <c r="BSU21" s="28"/>
      <c r="BSV21" s="29"/>
      <c r="BSW21" s="29"/>
      <c r="BSX21" s="28"/>
      <c r="BSY21" s="29"/>
      <c r="BSZ21" s="30"/>
      <c r="BTA21" s="28"/>
      <c r="BTB21" s="29"/>
      <c r="BTC21" s="29"/>
      <c r="BTD21" s="29"/>
      <c r="BTE21" s="28"/>
      <c r="BTF21" s="29"/>
      <c r="BTG21" s="29"/>
      <c r="BTH21" s="29"/>
      <c r="BTI21" s="29"/>
      <c r="BTJ21" s="29"/>
      <c r="BTK21" s="28"/>
      <c r="BTL21" s="29"/>
      <c r="BTM21" s="29"/>
      <c r="BTN21" s="28"/>
      <c r="BTO21" s="29"/>
      <c r="BTP21" s="30"/>
      <c r="BTQ21" s="28"/>
      <c r="BTR21" s="29"/>
      <c r="BTS21" s="29"/>
      <c r="BTT21" s="29"/>
      <c r="BTU21" s="28"/>
      <c r="BTV21" s="29"/>
      <c r="BTW21" s="29"/>
      <c r="BTX21" s="28"/>
      <c r="BTY21" s="29"/>
      <c r="BTZ21" s="30"/>
      <c r="BUA21" s="28"/>
      <c r="BUB21" s="29"/>
      <c r="BUC21" s="29"/>
      <c r="BUD21" s="29"/>
      <c r="BUE21" s="28"/>
      <c r="BUF21" s="29"/>
      <c r="BUG21" s="29"/>
      <c r="BUH21" s="29"/>
      <c r="BUI21" s="29"/>
      <c r="BUJ21" s="29"/>
      <c r="BUK21" s="28"/>
      <c r="BUL21" s="29"/>
      <c r="BUM21" s="29"/>
      <c r="BUN21" s="28"/>
      <c r="BUO21" s="29"/>
      <c r="BUP21" s="30"/>
      <c r="BUQ21" s="28"/>
      <c r="BUR21" s="29"/>
      <c r="BUS21" s="29"/>
      <c r="BUT21" s="29"/>
      <c r="BUU21" s="28"/>
      <c r="BUV21" s="29"/>
      <c r="BUW21" s="29"/>
      <c r="BUX21" s="28"/>
      <c r="BUY21" s="29"/>
      <c r="BUZ21" s="30"/>
      <c r="BVA21" s="28"/>
      <c r="BVB21" s="29"/>
      <c r="BVC21" s="29"/>
      <c r="BVD21" s="29"/>
      <c r="BVE21" s="28"/>
      <c r="BVF21" s="29"/>
      <c r="BVG21" s="29"/>
      <c r="BVH21" s="29"/>
      <c r="BVI21" s="29"/>
      <c r="BVJ21" s="29"/>
      <c r="BVK21" s="28"/>
      <c r="BVL21" s="29"/>
      <c r="BVM21" s="29"/>
      <c r="BVN21" s="28"/>
      <c r="BVO21" s="29"/>
      <c r="BVP21" s="30"/>
      <c r="BVQ21" s="28"/>
      <c r="BVR21" s="29"/>
      <c r="BVS21" s="29"/>
      <c r="BVT21" s="29"/>
      <c r="BVU21" s="28"/>
      <c r="BVV21" s="29"/>
      <c r="BVW21" s="29"/>
      <c r="BVX21" s="28"/>
      <c r="BVY21" s="29"/>
      <c r="BVZ21" s="30"/>
      <c r="BWA21" s="28"/>
      <c r="BWB21" s="29"/>
      <c r="BWC21" s="29"/>
      <c r="BWD21" s="29"/>
      <c r="BWE21" s="28"/>
      <c r="BWF21" s="29"/>
      <c r="BWG21" s="29"/>
      <c r="BWH21" s="29"/>
      <c r="BWI21" s="29"/>
      <c r="BWJ21" s="29"/>
      <c r="BWK21" s="28"/>
      <c r="BWL21" s="29"/>
      <c r="BWM21" s="29"/>
      <c r="BWN21" s="28"/>
      <c r="BWO21" s="29"/>
      <c r="BWP21" s="30"/>
      <c r="BWQ21" s="28"/>
      <c r="BWR21" s="29"/>
      <c r="BWS21" s="29"/>
      <c r="BWT21" s="29"/>
      <c r="BWU21" s="28"/>
      <c r="BWV21" s="29"/>
      <c r="BWW21" s="29"/>
      <c r="BWX21" s="28"/>
      <c r="BWY21" s="29"/>
      <c r="BWZ21" s="30"/>
      <c r="BXA21" s="28"/>
      <c r="BXB21" s="29"/>
      <c r="BXC21" s="29"/>
      <c r="BXD21" s="29"/>
      <c r="BXE21" s="28"/>
      <c r="BXF21" s="29"/>
      <c r="BXG21" s="29"/>
      <c r="BXH21" s="29"/>
      <c r="BXI21" s="29"/>
      <c r="BXJ21" s="29"/>
      <c r="BXK21" s="28"/>
      <c r="BXL21" s="29"/>
      <c r="BXM21" s="29"/>
      <c r="BXN21" s="28"/>
      <c r="BXO21" s="29"/>
      <c r="BXP21" s="30"/>
      <c r="BXQ21" s="28"/>
      <c r="BXR21" s="29"/>
      <c r="BXS21" s="29"/>
      <c r="BXT21" s="29"/>
      <c r="BXU21" s="28"/>
      <c r="BXV21" s="29"/>
      <c r="BXW21" s="29"/>
      <c r="BXX21" s="28"/>
      <c r="BXY21" s="29"/>
      <c r="BXZ21" s="30"/>
      <c r="BYA21" s="28"/>
      <c r="BYB21" s="29"/>
      <c r="BYC21" s="29"/>
      <c r="BYD21" s="29"/>
      <c r="BYE21" s="28"/>
      <c r="BYF21" s="29"/>
      <c r="BYG21" s="29"/>
      <c r="BYH21" s="29"/>
      <c r="BYI21" s="29"/>
      <c r="BYJ21" s="29"/>
      <c r="BYK21" s="28"/>
      <c r="BYL21" s="29"/>
      <c r="BYM21" s="29"/>
      <c r="BYN21" s="28"/>
      <c r="BYO21" s="29"/>
      <c r="BYP21" s="30"/>
      <c r="BYQ21" s="28"/>
      <c r="BYR21" s="29"/>
      <c r="BYS21" s="29"/>
      <c r="BYT21" s="29"/>
      <c r="BYU21" s="28"/>
      <c r="BYV21" s="29"/>
      <c r="BYW21" s="29"/>
      <c r="BYX21" s="30"/>
      <c r="BYY21" s="29"/>
      <c r="BYZ21" s="28"/>
      <c r="BZA21" s="29"/>
      <c r="BZB21" s="28"/>
      <c r="BZC21" s="28"/>
      <c r="BZD21" s="28"/>
      <c r="BZE21" s="29"/>
      <c r="BZF21" s="385"/>
      <c r="BZG21" s="29"/>
      <c r="BZH21" s="385"/>
      <c r="BZI21" s="29"/>
      <c r="BZJ21" s="385"/>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30"/>
      <c r="CAQ21" s="28"/>
      <c r="CAR21" s="29"/>
      <c r="CAS21" s="30"/>
      <c r="CAT21" s="29"/>
      <c r="CAU21" s="29"/>
      <c r="CAV21" s="29"/>
      <c r="CAW21" s="28"/>
      <c r="CAX21" s="29"/>
      <c r="CAY21" s="29"/>
      <c r="CAZ21" s="28"/>
      <c r="CBA21" s="29"/>
      <c r="CBB21" s="30"/>
      <c r="CBC21" s="28"/>
      <c r="CBD21" s="29"/>
      <c r="CBE21" s="30"/>
      <c r="CBF21" s="29"/>
      <c r="CBG21" s="28"/>
      <c r="CBH21" s="29"/>
      <c r="CBI21" s="29"/>
      <c r="CBJ21" s="28"/>
      <c r="CBK21" s="29"/>
      <c r="CBL21" s="30"/>
      <c r="CBM21" s="28"/>
      <c r="CBN21" s="29"/>
      <c r="CBO21" s="30"/>
      <c r="CBP21" s="29"/>
      <c r="CBQ21" s="28"/>
      <c r="CBR21" s="29"/>
      <c r="CBS21" s="29"/>
      <c r="CBT21" s="28"/>
      <c r="CBU21" s="29"/>
      <c r="CBV21" s="30"/>
      <c r="CBW21" s="28"/>
      <c r="CBX21" s="29"/>
      <c r="CBY21" s="30"/>
      <c r="CBZ21" s="29"/>
      <c r="CCA21" s="28"/>
      <c r="CCB21" s="29"/>
      <c r="CCC21" s="29"/>
      <c r="CCD21" s="28"/>
      <c r="CCE21" s="29"/>
      <c r="CCF21" s="30"/>
      <c r="CCG21" s="28"/>
      <c r="CCH21" s="30"/>
      <c r="CCI21" s="29"/>
      <c r="CCJ21" s="28"/>
      <c r="CCK21" s="29"/>
      <c r="CCL21" s="28"/>
      <c r="CCM21" s="28"/>
      <c r="CCN21" s="28"/>
      <c r="CCO21" s="29"/>
      <c r="CCP21" s="385"/>
      <c r="CCQ21" s="29"/>
      <c r="CCR21" s="385"/>
      <c r="CCS21" s="29"/>
      <c r="CCT21" s="385"/>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30"/>
      <c r="CEA21" s="28"/>
      <c r="CEB21" s="29"/>
      <c r="CEC21" s="30"/>
      <c r="CED21" s="29"/>
      <c r="CEE21" s="29"/>
      <c r="CEF21" s="29"/>
      <c r="CEG21" s="28"/>
      <c r="CEH21" s="29"/>
      <c r="CEI21" s="29"/>
      <c r="CEJ21" s="28"/>
      <c r="CEK21" s="29"/>
      <c r="CEL21" s="30"/>
      <c r="CEM21" s="28"/>
      <c r="CEN21" s="29"/>
      <c r="CEO21" s="30"/>
      <c r="CEP21" s="29"/>
      <c r="CEQ21" s="28"/>
      <c r="CER21" s="29"/>
      <c r="CES21" s="29"/>
      <c r="CET21" s="28"/>
      <c r="CEU21" s="29"/>
      <c r="CEV21" s="30"/>
      <c r="CEW21" s="28"/>
      <c r="CEX21" s="29"/>
      <c r="CEY21" s="30"/>
      <c r="CEZ21" s="29"/>
      <c r="CFA21" s="28"/>
      <c r="CFB21" s="29"/>
      <c r="CFC21" s="29"/>
      <c r="CFD21" s="28"/>
      <c r="CFE21" s="29"/>
      <c r="CFF21" s="30"/>
      <c r="CFG21" s="28"/>
      <c r="CFH21" s="29"/>
      <c r="CFI21" s="30"/>
      <c r="CFJ21" s="29"/>
      <c r="CFK21" s="28"/>
      <c r="CFL21" s="29"/>
      <c r="CFM21" s="29"/>
      <c r="CFN21" s="28"/>
      <c r="CFO21" s="29"/>
      <c r="CFP21" s="30"/>
      <c r="CFQ21" s="28"/>
      <c r="CFR21" s="30"/>
      <c r="CFS21" s="29"/>
      <c r="CFT21" s="28"/>
      <c r="CFU21" s="29"/>
      <c r="CFV21" s="28"/>
      <c r="CFW21" s="28"/>
      <c r="CFX21" s="28"/>
      <c r="CFY21" s="29"/>
      <c r="CFZ21" s="385"/>
      <c r="CGA21" s="29"/>
      <c r="CGB21" s="385"/>
      <c r="CGC21" s="29"/>
      <c r="CGD21" s="385"/>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30"/>
      <c r="CHK21" s="28"/>
      <c r="CHL21" s="29"/>
      <c r="CHM21" s="30"/>
      <c r="CHN21" s="29"/>
      <c r="CHO21" s="29"/>
      <c r="CHP21" s="29"/>
      <c r="CHQ21" s="28"/>
      <c r="CHR21" s="29"/>
      <c r="CHS21" s="29"/>
      <c r="CHT21" s="28"/>
      <c r="CHU21" s="29"/>
      <c r="CHV21" s="30"/>
      <c r="CHW21" s="28"/>
      <c r="CHX21" s="29"/>
      <c r="CHY21" s="30"/>
      <c r="CHZ21" s="29"/>
      <c r="CIA21" s="28"/>
      <c r="CIB21" s="29"/>
      <c r="CIC21" s="29"/>
      <c r="CID21" s="28"/>
      <c r="CIE21" s="29"/>
      <c r="CIF21" s="30"/>
      <c r="CIG21" s="28"/>
      <c r="CIH21" s="29"/>
      <c r="CII21" s="30"/>
      <c r="CIJ21" s="29"/>
      <c r="CIK21" s="28"/>
      <c r="CIL21" s="29"/>
      <c r="CIM21" s="29"/>
      <c r="CIN21" s="28"/>
      <c r="CIO21" s="29"/>
      <c r="CIP21" s="30"/>
      <c r="CIQ21" s="28"/>
      <c r="CIR21" s="29"/>
      <c r="CIS21" s="30"/>
      <c r="CIT21" s="29"/>
      <c r="CIU21" s="28"/>
      <c r="CIV21" s="29"/>
      <c r="CIW21" s="29"/>
      <c r="CIX21" s="28"/>
      <c r="CIY21" s="29"/>
      <c r="CIZ21" s="30"/>
      <c r="CJA21" s="28"/>
      <c r="CJB21" s="30"/>
      <c r="CJC21" s="29"/>
      <c r="CJD21" s="28"/>
      <c r="CJE21" s="29"/>
      <c r="CJF21" s="28"/>
      <c r="CJG21" s="28"/>
      <c r="CJH21" s="28"/>
      <c r="CJI21" s="29"/>
      <c r="CJJ21" s="385"/>
      <c r="CJK21" s="29"/>
      <c r="CJL21" s="385"/>
      <c r="CJM21" s="29"/>
      <c r="CJN21" s="385"/>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30"/>
      <c r="CKU21" s="28"/>
      <c r="CKV21" s="29"/>
      <c r="CKW21" s="30"/>
      <c r="CKX21" s="29"/>
      <c r="CKY21" s="29"/>
      <c r="CKZ21" s="29"/>
      <c r="CLA21" s="28"/>
      <c r="CLB21" s="29"/>
      <c r="CLC21" s="29"/>
      <c r="CLD21" s="28"/>
      <c r="CLE21" s="29"/>
      <c r="CLF21" s="30"/>
      <c r="CLG21" s="28"/>
      <c r="CLH21" s="29"/>
      <c r="CLI21" s="30"/>
      <c r="CLJ21" s="29"/>
      <c r="CLK21" s="28"/>
      <c r="CLL21" s="29"/>
      <c r="CLM21" s="29"/>
      <c r="CLN21" s="28"/>
      <c r="CLO21" s="29"/>
      <c r="CLP21" s="30"/>
      <c r="CLQ21" s="28"/>
      <c r="CLR21" s="29"/>
      <c r="CLS21" s="30"/>
      <c r="CLT21" s="29"/>
      <c r="CLU21" s="28"/>
      <c r="CLV21" s="29"/>
      <c r="CLW21" s="29"/>
      <c r="CLX21" s="28"/>
      <c r="CLY21" s="29"/>
      <c r="CLZ21" s="30"/>
      <c r="CMA21" s="28"/>
      <c r="CMB21" s="29"/>
      <c r="CMC21" s="30"/>
      <c r="CMD21" s="29"/>
      <c r="CME21" s="28"/>
      <c r="CMF21" s="29"/>
      <c r="CMG21" s="29"/>
      <c r="CMH21" s="28"/>
      <c r="CMI21" s="29"/>
      <c r="CMJ21" s="30"/>
      <c r="CMK21" s="28"/>
      <c r="CML21" s="30"/>
      <c r="CMM21" s="29"/>
      <c r="CMN21" s="28"/>
      <c r="CMO21" s="29"/>
      <c r="CMP21" s="28"/>
      <c r="CMQ21" s="28"/>
      <c r="CMR21" s="28"/>
      <c r="CMS21" s="29"/>
      <c r="CMT21" s="385"/>
      <c r="CMU21" s="29"/>
      <c r="CMV21" s="385"/>
      <c r="CMW21" s="29"/>
      <c r="CMX21" s="385"/>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30"/>
      <c r="COE21" s="28"/>
      <c r="COF21" s="29"/>
      <c r="COG21" s="30"/>
      <c r="COH21" s="29"/>
      <c r="COI21" s="29"/>
      <c r="COJ21" s="29"/>
      <c r="COK21" s="28"/>
      <c r="COL21" s="29"/>
      <c r="COM21" s="29"/>
      <c r="CON21" s="28"/>
      <c r="COO21" s="29"/>
      <c r="COP21" s="30"/>
      <c r="COQ21" s="28"/>
      <c r="COR21" s="29"/>
      <c r="COS21" s="30"/>
      <c r="COT21" s="29"/>
      <c r="COU21" s="28"/>
      <c r="COV21" s="29"/>
      <c r="COW21" s="29"/>
      <c r="COX21" s="28"/>
      <c r="COY21" s="29"/>
      <c r="COZ21" s="30"/>
      <c r="CPA21" s="28"/>
      <c r="CPB21" s="29"/>
      <c r="CPC21" s="30"/>
      <c r="CPD21" s="29"/>
      <c r="CPE21" s="28"/>
      <c r="CPF21" s="29"/>
      <c r="CPG21" s="29"/>
      <c r="CPH21" s="28"/>
      <c r="CPI21" s="29"/>
      <c r="CPJ21" s="30"/>
      <c r="CPK21" s="28"/>
      <c r="CPL21" s="29"/>
      <c r="CPM21" s="30"/>
      <c r="CPN21" s="29"/>
      <c r="CPO21" s="28"/>
      <c r="CPP21" s="29"/>
      <c r="CPQ21" s="29"/>
      <c r="CPR21" s="28"/>
      <c r="CPS21" s="29"/>
      <c r="CPT21" s="30"/>
      <c r="CPU21" s="28"/>
      <c r="CPV21" s="30"/>
      <c r="CPW21" s="29"/>
      <c r="CPX21" s="28"/>
      <c r="CPY21" s="29"/>
      <c r="CPZ21" s="28"/>
      <c r="CQA21" s="28"/>
      <c r="CQB21" s="28"/>
      <c r="CQC21" s="29"/>
      <c r="CQD21" s="385"/>
      <c r="CQE21" s="29"/>
      <c r="CQF21" s="385"/>
      <c r="CQG21" s="29"/>
      <c r="CQH21" s="385"/>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30"/>
      <c r="CRO21" s="28"/>
      <c r="CRP21" s="29"/>
      <c r="CRQ21" s="30"/>
      <c r="CRR21" s="29"/>
      <c r="CRS21" s="29"/>
      <c r="CRT21" s="29"/>
      <c r="CRU21" s="28"/>
      <c r="CRV21" s="29"/>
      <c r="CRW21" s="29"/>
      <c r="CRX21" s="28"/>
      <c r="CRY21" s="29"/>
      <c r="CRZ21" s="30"/>
      <c r="CSA21" s="28"/>
      <c r="CSB21" s="29"/>
      <c r="CSC21" s="30"/>
      <c r="CSD21" s="29"/>
      <c r="CSE21" s="28"/>
      <c r="CSF21" s="29"/>
      <c r="CSG21" s="29"/>
      <c r="CSH21" s="28"/>
      <c r="CSI21" s="29"/>
      <c r="CSJ21" s="30"/>
      <c r="CSK21" s="28"/>
      <c r="CSL21" s="29"/>
      <c r="CSM21" s="30"/>
      <c r="CSN21" s="29"/>
      <c r="CSO21" s="28"/>
      <c r="CSP21" s="29"/>
      <c r="CSQ21" s="29"/>
      <c r="CSR21" s="28"/>
      <c r="CSS21" s="29"/>
      <c r="CST21" s="30"/>
      <c r="CSU21" s="28"/>
      <c r="CSV21" s="29"/>
      <c r="CSW21" s="30"/>
      <c r="CSX21" s="29"/>
      <c r="CSY21" s="28"/>
      <c r="CSZ21" s="29"/>
      <c r="CTA21" s="29"/>
      <c r="CTB21" s="28"/>
      <c r="CTC21" s="29"/>
      <c r="CTD21" s="30"/>
      <c r="CTE21" s="28"/>
      <c r="CTF21" s="30"/>
      <c r="CTG21" s="29"/>
      <c r="CTH21" s="28"/>
      <c r="CTI21" s="29"/>
      <c r="CTJ21" s="28"/>
      <c r="CTK21" s="28"/>
      <c r="CTL21" s="28"/>
      <c r="CTM21" s="29"/>
      <c r="CTN21" s="385"/>
      <c r="CTO21" s="29"/>
      <c r="CTP21" s="385"/>
      <c r="CTQ21" s="29"/>
      <c r="CTR21" s="385"/>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30"/>
      <c r="CUY21" s="28"/>
      <c r="CUZ21" s="29"/>
      <c r="CVA21" s="30"/>
      <c r="CVB21" s="29"/>
      <c r="CVC21" s="29"/>
      <c r="CVD21" s="29"/>
      <c r="CVE21" s="28"/>
      <c r="CVF21" s="29"/>
      <c r="CVG21" s="29"/>
      <c r="CVH21" s="28"/>
      <c r="CVI21" s="29"/>
      <c r="CVJ21" s="30"/>
      <c r="CVK21" s="28"/>
      <c r="CVL21" s="29"/>
      <c r="CVM21" s="30"/>
      <c r="CVN21" s="29"/>
      <c r="CVO21" s="28"/>
      <c r="CVP21" s="29"/>
      <c r="CVQ21" s="29"/>
      <c r="CVR21" s="28"/>
      <c r="CVS21" s="29"/>
      <c r="CVT21" s="30"/>
      <c r="CVU21" s="28"/>
      <c r="CVV21" s="29"/>
      <c r="CVW21" s="30"/>
      <c r="CVX21" s="29"/>
      <c r="CVY21" s="28"/>
      <c r="CVZ21" s="29"/>
      <c r="CWA21" s="29"/>
      <c r="CWB21" s="28"/>
      <c r="CWC21" s="29"/>
      <c r="CWD21" s="30"/>
      <c r="CWE21" s="28"/>
      <c r="CWF21" s="29"/>
      <c r="CWG21" s="30"/>
      <c r="CWH21" s="29"/>
      <c r="CWI21" s="28"/>
      <c r="CWJ21" s="29"/>
      <c r="CWK21" s="29"/>
      <c r="CWL21" s="28"/>
      <c r="CWM21" s="29"/>
      <c r="CWN21" s="30"/>
      <c r="CWO21" s="28"/>
      <c r="CWP21" s="30"/>
      <c r="CWQ21" s="29"/>
      <c r="CWR21" s="28"/>
      <c r="CWS21" s="29"/>
      <c r="CWT21" s="28"/>
      <c r="CWU21" s="28"/>
      <c r="CWV21" s="28"/>
      <c r="CWW21" s="29"/>
      <c r="CWX21" s="385"/>
      <c r="CWY21" s="29"/>
      <c r="CWZ21" s="385"/>
      <c r="CXA21" s="29"/>
      <c r="CXB21" s="385"/>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30"/>
      <c r="CYI21" s="28"/>
      <c r="CYJ21" s="29"/>
      <c r="CYK21" s="30"/>
      <c r="CYL21" s="29"/>
      <c r="CYM21" s="29"/>
      <c r="CYN21" s="29"/>
      <c r="CYO21" s="28"/>
      <c r="CYP21" s="29"/>
      <c r="CYQ21" s="29"/>
      <c r="CYR21" s="28"/>
      <c r="CYS21" s="29"/>
      <c r="CYT21" s="30"/>
      <c r="CYU21" s="28"/>
      <c r="CYV21" s="29"/>
      <c r="CYW21" s="30"/>
      <c r="CYX21" s="29"/>
      <c r="CYY21" s="28"/>
      <c r="CYZ21" s="29"/>
      <c r="CZA21" s="29"/>
      <c r="CZB21" s="28"/>
      <c r="CZC21" s="29"/>
      <c r="CZD21" s="30"/>
      <c r="CZE21" s="28"/>
      <c r="CZF21" s="29"/>
      <c r="CZG21" s="30"/>
      <c r="CZH21" s="29"/>
      <c r="CZI21" s="28"/>
      <c r="CZJ21" s="29"/>
      <c r="CZK21" s="29"/>
      <c r="CZL21" s="28"/>
      <c r="CZM21" s="29"/>
      <c r="CZN21" s="30"/>
      <c r="CZO21" s="28"/>
      <c r="CZP21" s="29"/>
      <c r="CZQ21" s="30"/>
      <c r="CZR21" s="29"/>
      <c r="CZS21" s="28"/>
      <c r="CZT21" s="29"/>
      <c r="CZU21" s="29"/>
      <c r="CZV21" s="28"/>
      <c r="CZW21" s="29"/>
      <c r="CZX21" s="30"/>
      <c r="CZY21" s="28"/>
      <c r="CZZ21" s="30"/>
      <c r="DAA21" s="29"/>
      <c r="DAB21" s="28"/>
      <c r="DAC21" s="29"/>
      <c r="DAD21" s="28"/>
      <c r="DAE21" s="28"/>
      <c r="DAF21" s="28"/>
      <c r="DAG21" s="29"/>
      <c r="DAH21" s="385"/>
      <c r="DAI21" s="29"/>
      <c r="DAJ21" s="385"/>
      <c r="DAK21" s="29"/>
      <c r="DAL21" s="385"/>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30"/>
      <c r="DBS21" s="28"/>
      <c r="DBT21" s="29"/>
      <c r="DBU21" s="30"/>
      <c r="DBV21" s="29"/>
      <c r="DBW21" s="29"/>
      <c r="DBX21" s="29"/>
      <c r="DBY21" s="28"/>
      <c r="DBZ21" s="29"/>
      <c r="DCA21" s="29"/>
      <c r="DCB21" s="28"/>
      <c r="DCC21" s="29"/>
      <c r="DCD21" s="30"/>
      <c r="DCE21" s="28"/>
      <c r="DCF21" s="29"/>
      <c r="DCG21" s="30"/>
      <c r="DCH21" s="29"/>
      <c r="DCI21" s="28"/>
      <c r="DCJ21" s="29"/>
      <c r="DCK21" s="29"/>
      <c r="DCL21" s="28"/>
      <c r="DCM21" s="29"/>
      <c r="DCN21" s="30"/>
      <c r="DCO21" s="28"/>
      <c r="DCP21" s="29"/>
      <c r="DCQ21" s="30"/>
      <c r="DCR21" s="29"/>
      <c r="DCS21" s="28"/>
      <c r="DCT21" s="29"/>
      <c r="DCU21" s="29"/>
      <c r="DCV21" s="28"/>
      <c r="DCW21" s="29"/>
      <c r="DCX21" s="30"/>
      <c r="DCY21" s="28"/>
      <c r="DCZ21" s="29"/>
      <c r="DDA21" s="30"/>
      <c r="DDB21" s="29"/>
      <c r="DDC21" s="28"/>
      <c r="DDD21" s="29"/>
      <c r="DDE21" s="29"/>
      <c r="DDF21" s="28"/>
      <c r="DDG21" s="29"/>
      <c r="DDH21" s="30"/>
      <c r="DDI21" s="28"/>
      <c r="DDJ21" s="30"/>
      <c r="DDK21" s="29"/>
      <c r="DDL21" s="28"/>
      <c r="DDM21" s="29"/>
      <c r="DDN21" s="28"/>
      <c r="DDO21" s="28"/>
      <c r="DDP21" s="28"/>
      <c r="DDQ21" s="29"/>
      <c r="DDR21" s="385"/>
      <c r="DDS21" s="29"/>
      <c r="DDT21" s="385"/>
      <c r="DDU21" s="29"/>
      <c r="DDV21" s="385"/>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30"/>
      <c r="DFC21" s="28"/>
      <c r="DFD21" s="29"/>
      <c r="DFE21" s="30"/>
      <c r="DFF21" s="29"/>
      <c r="DFG21" s="29"/>
      <c r="DFH21" s="29"/>
      <c r="DFI21" s="28"/>
      <c r="DFJ21" s="29"/>
      <c r="DFK21" s="29"/>
      <c r="DFL21" s="28"/>
      <c r="DFM21" s="29"/>
      <c r="DFN21" s="30"/>
      <c r="DFO21" s="28"/>
      <c r="DFP21" s="29"/>
      <c r="DFQ21" s="30"/>
      <c r="DFR21" s="29"/>
      <c r="DFS21" s="28"/>
      <c r="DFT21" s="29"/>
      <c r="DFU21" s="29"/>
      <c r="DFV21" s="28"/>
      <c r="DFW21" s="29"/>
      <c r="DFX21" s="30"/>
      <c r="DFY21" s="28"/>
      <c r="DFZ21" s="29"/>
      <c r="DGA21" s="30"/>
      <c r="DGB21" s="29"/>
      <c r="DGC21" s="28"/>
      <c r="DGD21" s="29"/>
      <c r="DGE21" s="29"/>
      <c r="DGF21" s="28"/>
      <c r="DGG21" s="29"/>
      <c r="DGH21" s="30"/>
      <c r="DGI21" s="28"/>
      <c r="DGJ21" s="29"/>
      <c r="DGK21" s="30"/>
      <c r="DGL21" s="29"/>
      <c r="DGM21" s="28"/>
      <c r="DGN21" s="29"/>
      <c r="DGO21" s="29"/>
      <c r="DGP21" s="28"/>
      <c r="DGQ21" s="29"/>
      <c r="DGR21" s="30"/>
      <c r="DGS21" s="28"/>
      <c r="DGT21" s="30"/>
      <c r="DGU21" s="29"/>
      <c r="DGV21" s="28"/>
      <c r="DGW21" s="29"/>
      <c r="DGX21" s="28"/>
      <c r="DGY21" s="28"/>
      <c r="DGZ21" s="28"/>
      <c r="DHA21" s="29"/>
      <c r="DHB21" s="385"/>
      <c r="DHC21" s="29"/>
      <c r="DHD21" s="385"/>
      <c r="DHE21" s="29"/>
      <c r="DHF21" s="385"/>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30"/>
      <c r="DIM21" s="28"/>
      <c r="DIN21" s="29"/>
      <c r="DIO21" s="30"/>
      <c r="DIP21" s="29"/>
      <c r="DIQ21" s="29"/>
      <c r="DIR21" s="29"/>
      <c r="DIS21" s="28"/>
      <c r="DIT21" s="29"/>
      <c r="DIU21" s="29"/>
      <c r="DIV21" s="28"/>
      <c r="DIW21" s="29"/>
      <c r="DIX21" s="30"/>
      <c r="DIY21" s="28"/>
      <c r="DIZ21" s="29"/>
      <c r="DJA21" s="30"/>
      <c r="DJB21" s="29"/>
      <c r="DJC21" s="28"/>
      <c r="DJD21" s="29"/>
      <c r="DJE21" s="29"/>
      <c r="DJF21" s="28"/>
      <c r="DJG21" s="29"/>
      <c r="DJH21" s="30"/>
      <c r="DJI21" s="28"/>
      <c r="DJJ21" s="29"/>
      <c r="DJK21" s="30"/>
      <c r="DJL21" s="29"/>
      <c r="DJM21" s="28"/>
      <c r="DJN21" s="29"/>
      <c r="DJO21" s="29"/>
      <c r="DJP21" s="28"/>
      <c r="DJQ21" s="29"/>
      <c r="DJR21" s="30"/>
      <c r="DJS21" s="28"/>
      <c r="DJT21" s="29"/>
      <c r="DJU21" s="30"/>
      <c r="DJV21" s="29"/>
      <c r="DJW21" s="28"/>
      <c r="DJX21" s="29"/>
      <c r="DJY21" s="29"/>
      <c r="DJZ21" s="28"/>
      <c r="DKA21" s="29"/>
      <c r="DKB21" s="30"/>
      <c r="DKC21" s="28"/>
      <c r="DKD21" s="30"/>
      <c r="DKE21" s="29"/>
      <c r="DKF21" s="28"/>
      <c r="DKG21" s="29"/>
      <c r="DKH21" s="28"/>
      <c r="DKI21" s="28"/>
      <c r="DKJ21" s="28"/>
      <c r="DKK21" s="29"/>
      <c r="DKL21" s="385"/>
      <c r="DKM21" s="29"/>
      <c r="DKN21" s="385"/>
      <c r="DKO21" s="29"/>
      <c r="DKP21" s="385"/>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30"/>
      <c r="DLW21" s="28"/>
      <c r="DLX21" s="29"/>
      <c r="DLY21" s="30"/>
      <c r="DLZ21" s="29"/>
      <c r="DMA21" s="29"/>
      <c r="DMB21" s="29"/>
      <c r="DMC21" s="28"/>
      <c r="DMD21" s="29"/>
      <c r="DME21" s="29"/>
      <c r="DMF21" s="28"/>
      <c r="DMG21" s="29"/>
      <c r="DMH21" s="30"/>
      <c r="DMI21" s="28"/>
      <c r="DMJ21" s="29"/>
      <c r="DMK21" s="30"/>
      <c r="DML21" s="29"/>
      <c r="DMM21" s="28"/>
      <c r="DMN21" s="29"/>
      <c r="DMO21" s="29"/>
      <c r="DMP21" s="28"/>
      <c r="DMQ21" s="29"/>
      <c r="DMR21" s="30"/>
      <c r="DMS21" s="28"/>
      <c r="DMT21" s="29"/>
      <c r="DMU21" s="30"/>
      <c r="DMV21" s="29"/>
      <c r="DMW21" s="28"/>
      <c r="DMX21" s="29"/>
      <c r="DMY21" s="29"/>
      <c r="DMZ21" s="28"/>
      <c r="DNA21" s="29"/>
      <c r="DNB21" s="30"/>
      <c r="DNC21" s="28"/>
      <c r="DND21" s="29"/>
      <c r="DNE21" s="30"/>
      <c r="DNF21" s="29"/>
      <c r="DNG21" s="28"/>
      <c r="DNH21" s="29"/>
      <c r="DNI21" s="29"/>
      <c r="DNJ21" s="28"/>
      <c r="DNK21" s="29"/>
      <c r="DNL21" s="30"/>
      <c r="DNM21" s="28"/>
      <c r="DNN21" s="30"/>
      <c r="DNO21" s="29"/>
      <c r="DNP21" s="28"/>
      <c r="DNQ21" s="29"/>
      <c r="DNR21" s="28"/>
      <c r="DNS21" s="28"/>
      <c r="DNT21" s="28"/>
      <c r="DNU21" s="29"/>
      <c r="DNV21" s="385"/>
      <c r="DNW21" s="29"/>
      <c r="DNX21" s="385"/>
      <c r="DNY21" s="29"/>
      <c r="DNZ21" s="385"/>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30"/>
      <c r="DPG21" s="28"/>
      <c r="DPH21" s="29"/>
      <c r="DPI21" s="30"/>
      <c r="DPJ21" s="29"/>
      <c r="DPK21" s="29"/>
      <c r="DPL21" s="29"/>
      <c r="DPM21" s="28"/>
      <c r="DPN21" s="29"/>
      <c r="DPO21" s="29"/>
      <c r="DPP21" s="28"/>
      <c r="DPQ21" s="29"/>
      <c r="DPR21" s="30"/>
      <c r="DPS21" s="28"/>
      <c r="DPT21" s="29"/>
      <c r="DPU21" s="30"/>
      <c r="DPV21" s="29"/>
      <c r="DPW21" s="28"/>
      <c r="DPX21" s="29"/>
      <c r="DPY21" s="29"/>
      <c r="DPZ21" s="28"/>
      <c r="DQA21" s="29"/>
      <c r="DQB21" s="30"/>
      <c r="DQC21" s="28"/>
      <c r="DQD21" s="29"/>
      <c r="DQE21" s="30"/>
      <c r="DQF21" s="29"/>
      <c r="DQG21" s="28"/>
      <c r="DQH21" s="29"/>
      <c r="DQI21" s="29"/>
      <c r="DQJ21" s="28"/>
      <c r="DQK21" s="29"/>
      <c r="DQL21" s="30"/>
      <c r="DQM21" s="28"/>
      <c r="DQN21" s="29"/>
      <c r="DQO21" s="30"/>
      <c r="DQP21" s="29"/>
      <c r="DQQ21" s="28"/>
      <c r="DQR21" s="29"/>
      <c r="DQS21" s="29"/>
      <c r="DQT21" s="28"/>
      <c r="DQU21" s="29"/>
      <c r="DQV21" s="30"/>
      <c r="DQW21" s="28"/>
      <c r="DQX21" s="30"/>
      <c r="DQY21" s="29"/>
      <c r="DQZ21" s="28"/>
      <c r="DRA21" s="29"/>
      <c r="DRB21" s="28"/>
      <c r="DRC21" s="28"/>
      <c r="DRD21" s="28"/>
      <c r="DRE21" s="29"/>
      <c r="DRF21" s="385"/>
      <c r="DRG21" s="29"/>
      <c r="DRH21" s="385"/>
      <c r="DRI21" s="29"/>
      <c r="DRJ21" s="385"/>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30"/>
      <c r="DSQ21" s="28"/>
      <c r="DSR21" s="29"/>
      <c r="DSS21" s="30"/>
      <c r="DST21" s="29"/>
      <c r="DSU21" s="29"/>
      <c r="DSV21" s="29"/>
      <c r="DSW21" s="28"/>
      <c r="DSX21" s="29"/>
      <c r="DSY21" s="29"/>
      <c r="DSZ21" s="28"/>
      <c r="DTA21" s="29"/>
      <c r="DTB21" s="30"/>
      <c r="DTC21" s="28"/>
      <c r="DTD21" s="29"/>
      <c r="DTE21" s="30"/>
      <c r="DTF21" s="29"/>
      <c r="DTG21" s="28"/>
      <c r="DTH21" s="29"/>
      <c r="DTI21" s="29"/>
      <c r="DTJ21" s="28"/>
      <c r="DTK21" s="29"/>
      <c r="DTL21" s="30"/>
      <c r="DTM21" s="28"/>
      <c r="DTN21" s="29"/>
      <c r="DTO21" s="30"/>
      <c r="DTP21" s="29"/>
      <c r="DTQ21" s="28"/>
      <c r="DTR21" s="29"/>
      <c r="DTS21" s="29"/>
      <c r="DTT21" s="28"/>
      <c r="DTU21" s="29"/>
      <c r="DTV21" s="30"/>
      <c r="DTW21" s="28"/>
      <c r="DTX21" s="29"/>
      <c r="DTY21" s="30"/>
      <c r="DTZ21" s="29"/>
      <c r="DUA21" s="28"/>
      <c r="DUB21" s="29"/>
      <c r="DUC21" s="29"/>
      <c r="DUD21" s="28"/>
      <c r="DUE21" s="29"/>
      <c r="DUF21" s="30"/>
      <c r="DUG21" s="28"/>
      <c r="DUH21" s="30"/>
      <c r="DUI21" s="29"/>
      <c r="DUJ21" s="28"/>
      <c r="DUK21" s="29"/>
      <c r="DUL21" s="28"/>
      <c r="DUM21" s="28"/>
      <c r="DUN21" s="28"/>
      <c r="DUO21" s="29"/>
      <c r="DUP21" s="385"/>
      <c r="DUQ21" s="29"/>
      <c r="DUR21" s="385"/>
      <c r="DUS21" s="29"/>
      <c r="DUT21" s="385"/>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30"/>
      <c r="DWA21" s="28"/>
      <c r="DWB21" s="29"/>
      <c r="DWC21" s="30"/>
      <c r="DWD21" s="29"/>
      <c r="DWE21" s="29"/>
      <c r="DWF21" s="29"/>
      <c r="DWG21" s="28"/>
      <c r="DWH21" s="29"/>
      <c r="DWI21" s="29"/>
      <c r="DWJ21" s="28"/>
      <c r="DWK21" s="29"/>
      <c r="DWL21" s="30"/>
      <c r="DWM21" s="28"/>
      <c r="DWN21" s="29"/>
      <c r="DWO21" s="30"/>
      <c r="DWP21" s="29"/>
      <c r="DWQ21" s="28"/>
      <c r="DWR21" s="29"/>
      <c r="DWS21" s="29"/>
      <c r="DWT21" s="28"/>
      <c r="DWU21" s="29"/>
      <c r="DWV21" s="30"/>
      <c r="DWW21" s="28"/>
      <c r="DWX21" s="29"/>
      <c r="DWY21" s="30"/>
      <c r="DWZ21" s="29"/>
      <c r="DXA21" s="28"/>
      <c r="DXB21" s="29"/>
      <c r="DXC21" s="29"/>
      <c r="DXD21" s="28"/>
      <c r="DXE21" s="29"/>
      <c r="DXF21" s="30"/>
      <c r="DXG21" s="28"/>
      <c r="DXH21" s="29"/>
      <c r="DXI21" s="30"/>
      <c r="DXJ21" s="29"/>
      <c r="DXK21" s="28"/>
      <c r="DXL21" s="29"/>
      <c r="DXM21" s="29"/>
      <c r="DXN21" s="28"/>
      <c r="DXO21" s="29"/>
      <c r="DXP21" s="30"/>
      <c r="DXQ21" s="28"/>
      <c r="DXR21" s="30"/>
      <c r="DXS21" s="29"/>
      <c r="DXT21" s="28"/>
      <c r="DXU21" s="29"/>
      <c r="DXV21" s="28"/>
      <c r="DXW21" s="28"/>
      <c r="DXX21" s="28"/>
      <c r="DXY21" s="29"/>
      <c r="DXZ21" s="385"/>
      <c r="DYA21" s="29"/>
      <c r="DYB21" s="385"/>
      <c r="DYC21" s="29"/>
      <c r="DYD21" s="385"/>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30"/>
      <c r="DZK21" s="28"/>
      <c r="DZL21" s="29"/>
      <c r="DZM21" s="30"/>
      <c r="DZN21" s="29"/>
      <c r="DZO21" s="29"/>
      <c r="DZP21" s="29"/>
      <c r="DZQ21" s="28"/>
      <c r="DZR21" s="29"/>
      <c r="DZS21" s="29"/>
      <c r="DZT21" s="28"/>
      <c r="DZU21" s="29"/>
      <c r="DZV21" s="30"/>
      <c r="DZW21" s="28"/>
      <c r="DZX21" s="29"/>
      <c r="DZY21" s="30"/>
      <c r="DZZ21" s="29"/>
      <c r="EAA21" s="28"/>
      <c r="EAB21" s="29"/>
      <c r="EAC21" s="29"/>
      <c r="EAD21" s="28"/>
      <c r="EAE21" s="29"/>
      <c r="EAF21" s="30"/>
      <c r="EAG21" s="28"/>
      <c r="EAH21" s="29"/>
      <c r="EAI21" s="30"/>
      <c r="EAJ21" s="29"/>
      <c r="EAK21" s="28"/>
      <c r="EAL21" s="29"/>
      <c r="EAM21" s="29"/>
      <c r="EAN21" s="28"/>
      <c r="EAO21" s="29"/>
      <c r="EAP21" s="30"/>
      <c r="EAQ21" s="28"/>
      <c r="EAR21" s="29"/>
      <c r="EAS21" s="30"/>
      <c r="EAT21" s="29"/>
      <c r="EAU21" s="28"/>
      <c r="EAV21" s="29"/>
      <c r="EAW21" s="29"/>
      <c r="EAX21" s="28"/>
      <c r="EAY21" s="29"/>
      <c r="EAZ21" s="30"/>
      <c r="EBA21" s="28"/>
      <c r="EBB21" s="30"/>
      <c r="EBC21" s="29"/>
      <c r="EBD21" s="28"/>
      <c r="EBE21" s="29"/>
      <c r="EBF21" s="28"/>
      <c r="EBG21" s="28"/>
      <c r="EBH21" s="28"/>
      <c r="EBI21" s="29"/>
      <c r="EBJ21" s="385"/>
      <c r="EBK21" s="29"/>
      <c r="EBL21" s="385"/>
      <c r="EBM21" s="29"/>
      <c r="EBN21" s="385"/>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30"/>
      <c r="ECU21" s="28"/>
      <c r="ECV21" s="29"/>
      <c r="ECW21" s="30"/>
      <c r="ECX21" s="29"/>
      <c r="ECY21" s="29"/>
      <c r="ECZ21" s="29"/>
      <c r="EDA21" s="28"/>
      <c r="EDB21" s="29"/>
      <c r="EDC21" s="29"/>
      <c r="EDD21" s="28"/>
      <c r="EDE21" s="29"/>
      <c r="EDF21" s="30"/>
      <c r="EDG21" s="28"/>
      <c r="EDH21" s="29"/>
      <c r="EDI21" s="30"/>
      <c r="EDJ21" s="29"/>
      <c r="EDK21" s="28"/>
      <c r="EDL21" s="29"/>
      <c r="EDM21" s="29"/>
      <c r="EDN21" s="28"/>
      <c r="EDO21" s="29"/>
      <c r="EDP21" s="30"/>
      <c r="EDQ21" s="28"/>
      <c r="EDR21" s="29"/>
      <c r="EDS21" s="30"/>
      <c r="EDT21" s="29"/>
      <c r="EDU21" s="28"/>
      <c r="EDV21" s="29"/>
      <c r="EDW21" s="29"/>
      <c r="EDX21" s="28"/>
      <c r="EDY21" s="29"/>
      <c r="EDZ21" s="30"/>
      <c r="EEA21" s="28"/>
      <c r="EEB21" s="29"/>
      <c r="EEC21" s="30"/>
      <c r="EED21" s="29"/>
      <c r="EEE21" s="28"/>
      <c r="EEF21" s="29"/>
      <c r="EEG21" s="29"/>
      <c r="EEH21" s="28"/>
      <c r="EEI21" s="29"/>
      <c r="EEJ21" s="30"/>
      <c r="EEK21" s="28"/>
      <c r="EEL21" s="30"/>
      <c r="EEM21" s="29"/>
      <c r="EEN21" s="28"/>
      <c r="EEO21" s="29"/>
      <c r="EEP21" s="28"/>
      <c r="EEQ21" s="28"/>
      <c r="EER21" s="28"/>
      <c r="EES21" s="29"/>
      <c r="EET21" s="385"/>
      <c r="EEU21" s="29"/>
      <c r="EEV21" s="385"/>
      <c r="EEW21" s="29"/>
      <c r="EEX21" s="385"/>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30"/>
      <c r="EGE21" s="28"/>
      <c r="EGF21" s="29"/>
      <c r="EGG21" s="30"/>
      <c r="EGH21" s="29"/>
      <c r="EGI21" s="29"/>
      <c r="EGJ21" s="29"/>
      <c r="EGK21" s="28"/>
      <c r="EGL21" s="29"/>
      <c r="EGM21" s="29"/>
      <c r="EGN21" s="28"/>
      <c r="EGO21" s="29"/>
      <c r="EGP21" s="30"/>
      <c r="EGQ21" s="28"/>
      <c r="EGR21" s="29"/>
      <c r="EGS21" s="30"/>
      <c r="EGT21" s="29"/>
      <c r="EGU21" s="28"/>
      <c r="EGV21" s="29"/>
      <c r="EGW21" s="29"/>
      <c r="EGX21" s="28"/>
      <c r="EGY21" s="29"/>
      <c r="EGZ21" s="30"/>
      <c r="EHA21" s="28"/>
      <c r="EHB21" s="29"/>
      <c r="EHC21" s="30"/>
      <c r="EHD21" s="29"/>
      <c r="EHE21" s="28"/>
      <c r="EHF21" s="29"/>
      <c r="EHG21" s="29"/>
      <c r="EHH21" s="28"/>
      <c r="EHI21" s="29"/>
      <c r="EHJ21" s="30"/>
      <c r="EHK21" s="28"/>
      <c r="EHL21" s="29"/>
      <c r="EHM21" s="30"/>
      <c r="EHN21" s="29"/>
      <c r="EHO21" s="28"/>
      <c r="EHP21" s="29"/>
      <c r="EHQ21" s="29"/>
      <c r="EHR21" s="28"/>
      <c r="EHS21" s="29"/>
      <c r="EHT21" s="30"/>
      <c r="EHU21" s="28"/>
      <c r="EHV21" s="30"/>
      <c r="EHW21" s="29"/>
      <c r="EHX21" s="28"/>
      <c r="EHY21" s="29"/>
      <c r="EHZ21" s="28"/>
      <c r="EIA21" s="28"/>
      <c r="EIB21" s="28"/>
      <c r="EIC21" s="29"/>
      <c r="EID21" s="385"/>
      <c r="EIE21" s="29"/>
      <c r="EIF21" s="385"/>
      <c r="EIG21" s="29"/>
      <c r="EIH21" s="385"/>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30"/>
      <c r="EJO21" s="28"/>
      <c r="EJP21" s="29"/>
      <c r="EJQ21" s="30"/>
      <c r="EJR21" s="29"/>
      <c r="EJS21" s="29"/>
      <c r="EJT21" s="29"/>
      <c r="EJU21" s="28"/>
      <c r="EJV21" s="29"/>
      <c r="EJW21" s="29"/>
      <c r="EJX21" s="28"/>
      <c r="EJY21" s="29"/>
      <c r="EJZ21" s="30"/>
      <c r="EKA21" s="28"/>
      <c r="EKB21" s="29"/>
      <c r="EKC21" s="30"/>
      <c r="EKD21" s="29"/>
      <c r="EKE21" s="28"/>
      <c r="EKF21" s="29"/>
      <c r="EKG21" s="29"/>
      <c r="EKH21" s="28"/>
      <c r="EKI21" s="29"/>
      <c r="EKJ21" s="30"/>
      <c r="EKK21" s="28"/>
      <c r="EKL21" s="29"/>
      <c r="EKM21" s="30"/>
      <c r="EKN21" s="29"/>
      <c r="EKO21" s="28"/>
      <c r="EKP21" s="29"/>
      <c r="EKQ21" s="29"/>
      <c r="EKR21" s="28"/>
      <c r="EKS21" s="29"/>
      <c r="EKT21" s="30"/>
      <c r="EKU21" s="28"/>
      <c r="EKV21" s="29"/>
      <c r="EKW21" s="30"/>
      <c r="EKX21" s="29"/>
      <c r="EKY21" s="28"/>
      <c r="EKZ21" s="29"/>
      <c r="ELA21" s="29"/>
      <c r="ELB21" s="28"/>
      <c r="ELC21" s="29"/>
      <c r="ELD21" s="30"/>
      <c r="ELE21" s="28"/>
      <c r="ELF21" s="30"/>
      <c r="ELG21" s="29"/>
      <c r="ELH21" s="28"/>
      <c r="ELI21" s="29"/>
      <c r="ELJ21" s="28"/>
      <c r="ELK21" s="28"/>
      <c r="ELL21" s="28"/>
      <c r="ELM21" s="29"/>
      <c r="ELN21" s="385"/>
      <c r="ELO21" s="29"/>
      <c r="ELP21" s="385"/>
      <c r="ELQ21" s="29"/>
      <c r="ELR21" s="385"/>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30"/>
      <c r="EMY21" s="28"/>
      <c r="EMZ21" s="29"/>
      <c r="ENA21" s="30"/>
      <c r="ENB21" s="29"/>
      <c r="ENC21" s="29"/>
      <c r="END21" s="29"/>
      <c r="ENE21" s="28"/>
      <c r="ENF21" s="29"/>
      <c r="ENG21" s="29"/>
      <c r="ENH21" s="28"/>
      <c r="ENI21" s="29"/>
      <c r="ENJ21" s="30"/>
      <c r="ENK21" s="28"/>
      <c r="ENL21" s="29"/>
      <c r="ENM21" s="30"/>
      <c r="ENN21" s="29"/>
      <c r="ENO21" s="28"/>
      <c r="ENP21" s="29"/>
      <c r="ENQ21" s="29"/>
      <c r="ENR21" s="28"/>
      <c r="ENS21" s="29"/>
      <c r="ENT21" s="30"/>
      <c r="ENU21" s="28"/>
      <c r="ENV21" s="29"/>
      <c r="ENW21" s="30"/>
      <c r="ENX21" s="29"/>
      <c r="ENY21" s="28"/>
      <c r="ENZ21" s="29"/>
      <c r="EOA21" s="29"/>
      <c r="EOB21" s="28"/>
      <c r="EOC21" s="29"/>
      <c r="EOD21" s="30"/>
      <c r="EOE21" s="28"/>
      <c r="EOF21" s="29"/>
      <c r="EOG21" s="30"/>
      <c r="EOH21" s="29"/>
      <c r="EOI21" s="28"/>
      <c r="EOJ21" s="29"/>
      <c r="EOK21" s="29"/>
      <c r="EOL21" s="28"/>
      <c r="EOM21" s="29"/>
      <c r="EON21" s="30" t="s">
        <v>5576</v>
      </c>
      <c r="EOO21" s="28" t="str">
        <f t="shared" si="75"/>
        <v xml:space="preserve"> </v>
      </c>
    </row>
    <row r="22" spans="1:3785" x14ac:dyDescent="0.3">
      <c r="A22" s="55" t="s">
        <v>138</v>
      </c>
      <c r="B22" s="58"/>
      <c r="C22" s="57"/>
      <c r="D22" s="56" t="str">
        <f t="shared" si="61"/>
        <v xml:space="preserve"> </v>
      </c>
      <c r="E22" s="57"/>
      <c r="F22" s="56"/>
      <c r="G22" s="56"/>
      <c r="H22" s="56"/>
      <c r="I22" s="57"/>
      <c r="J22" s="387"/>
      <c r="K22" s="57"/>
      <c r="L22" s="387"/>
      <c r="M22" s="57"/>
      <c r="N22" s="38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8"/>
      <c r="AU22" s="56"/>
      <c r="AV22" s="57"/>
      <c r="AW22" s="57"/>
      <c r="AX22" s="57"/>
      <c r="AY22" s="57"/>
      <c r="AZ22" s="57"/>
      <c r="BA22" s="56"/>
      <c r="BB22" s="57"/>
      <c r="BC22" s="57"/>
      <c r="BD22" s="56"/>
      <c r="BE22" s="57"/>
      <c r="BF22" s="58"/>
      <c r="BG22" s="56"/>
      <c r="BH22" s="57"/>
      <c r="BI22" s="57"/>
      <c r="BJ22" s="57"/>
      <c r="BK22" s="56"/>
      <c r="BL22" s="57"/>
      <c r="BM22" s="57"/>
      <c r="BN22" s="56"/>
      <c r="BO22" s="57"/>
      <c r="BP22" s="58"/>
      <c r="BQ22" s="56"/>
      <c r="BR22" s="57"/>
      <c r="BS22" s="57"/>
      <c r="BT22" s="57"/>
      <c r="BU22" s="56"/>
      <c r="BV22" s="57"/>
      <c r="BW22" s="57"/>
      <c r="BX22" s="56"/>
      <c r="BY22" s="57"/>
      <c r="BZ22" s="58"/>
      <c r="CA22" s="56"/>
      <c r="CB22" s="57"/>
      <c r="CC22" s="57"/>
      <c r="CD22" s="57"/>
      <c r="CE22" s="56"/>
      <c r="CF22" s="57"/>
      <c r="CG22" s="57"/>
      <c r="CH22" s="56"/>
      <c r="CI22" s="57"/>
      <c r="CJ22" s="58"/>
      <c r="CK22" s="56"/>
      <c r="CL22" s="57"/>
      <c r="CM22" s="57"/>
      <c r="CN22" s="57"/>
      <c r="CO22" s="56"/>
      <c r="CP22" s="57"/>
      <c r="CQ22" s="57"/>
      <c r="CR22" s="56"/>
      <c r="CS22" s="57"/>
      <c r="CT22" s="58"/>
      <c r="CU22" s="56"/>
      <c r="CV22" s="57"/>
      <c r="CW22" s="57"/>
      <c r="CX22" s="57"/>
      <c r="CY22" s="56"/>
      <c r="CZ22" s="57"/>
      <c r="DA22" s="57"/>
      <c r="DB22" s="56"/>
      <c r="DC22" s="57"/>
      <c r="DD22" s="58"/>
      <c r="DE22" s="56"/>
      <c r="DF22" s="57"/>
      <c r="DG22" s="57"/>
      <c r="DH22" s="57"/>
      <c r="DI22" s="56"/>
      <c r="DJ22" s="57"/>
      <c r="DK22" s="57"/>
      <c r="DL22" s="56"/>
      <c r="DM22" s="57"/>
      <c r="DN22" s="58"/>
      <c r="DO22" s="56"/>
      <c r="DP22" s="57"/>
      <c r="DQ22" s="57"/>
      <c r="DR22" s="57"/>
      <c r="DS22" s="56"/>
      <c r="DT22" s="57"/>
      <c r="DU22" s="57"/>
      <c r="DV22" s="56"/>
      <c r="DW22" s="57"/>
      <c r="DX22" s="58"/>
      <c r="DY22" s="56"/>
      <c r="DZ22" s="57"/>
      <c r="EA22" s="57"/>
      <c r="EB22" s="57"/>
      <c r="EC22" s="56"/>
      <c r="ED22" s="57"/>
      <c r="EE22" s="56"/>
      <c r="EF22" s="56"/>
      <c r="EG22" s="57"/>
      <c r="EH22" s="58"/>
      <c r="EI22" s="56"/>
      <c r="EJ22" s="57"/>
      <c r="EK22" s="57"/>
      <c r="EL22" s="57"/>
      <c r="EM22" s="56"/>
      <c r="EN22" s="57"/>
      <c r="EO22" s="57"/>
      <c r="EP22" s="56"/>
      <c r="EQ22" s="57"/>
      <c r="ER22" s="58"/>
      <c r="ES22" s="56"/>
      <c r="ET22" s="57"/>
      <c r="EU22" s="57"/>
      <c r="EV22" s="57"/>
      <c r="EW22" s="56"/>
      <c r="EX22" s="57"/>
      <c r="EY22" s="57"/>
      <c r="EZ22" s="56"/>
      <c r="FA22" s="57"/>
      <c r="FB22" s="58"/>
      <c r="FC22" s="56"/>
      <c r="FD22" s="57"/>
      <c r="FE22" s="57"/>
      <c r="FF22" s="57"/>
      <c r="FG22" s="56"/>
      <c r="FH22" s="57"/>
      <c r="FI22" s="57"/>
      <c r="FJ22" s="56"/>
      <c r="FK22" s="57"/>
      <c r="FL22" s="58"/>
      <c r="FM22" s="56"/>
      <c r="FN22" s="57"/>
      <c r="FO22" s="57"/>
      <c r="FP22" s="57"/>
      <c r="FQ22" s="56"/>
      <c r="FR22" s="57"/>
      <c r="FS22" s="57"/>
      <c r="FT22" s="56"/>
      <c r="FU22" s="57"/>
      <c r="FV22" s="58"/>
      <c r="FW22" s="56"/>
      <c r="FX22" s="57"/>
      <c r="FY22" s="57"/>
      <c r="FZ22" s="57"/>
      <c r="GA22" s="56"/>
      <c r="GB22" s="57"/>
      <c r="GC22" s="57"/>
      <c r="GD22" s="56"/>
      <c r="GE22" s="57"/>
      <c r="GF22" s="58"/>
      <c r="GG22" s="56"/>
      <c r="GH22" s="57"/>
      <c r="GI22" s="57"/>
      <c r="GJ22" s="57"/>
      <c r="GK22" s="56"/>
      <c r="GL22" s="57"/>
      <c r="GM22" s="57"/>
      <c r="GN22" s="56"/>
      <c r="GO22" s="57"/>
      <c r="GP22" s="58"/>
      <c r="GQ22" s="56"/>
      <c r="GR22" s="57"/>
      <c r="GS22" s="57"/>
      <c r="GT22" s="57"/>
      <c r="GU22" s="56"/>
      <c r="GV22" s="57"/>
      <c r="GW22" s="57"/>
      <c r="GX22" s="56"/>
      <c r="GY22" s="57"/>
      <c r="GZ22" s="58"/>
      <c r="HA22" s="56"/>
      <c r="HB22" s="57"/>
      <c r="HC22" s="57"/>
      <c r="HD22" s="57"/>
      <c r="HE22" s="56"/>
      <c r="HF22" s="57"/>
      <c r="HG22" s="57"/>
      <c r="HH22" s="56"/>
      <c r="HI22" s="57"/>
      <c r="HJ22" s="58"/>
      <c r="HK22" s="56"/>
      <c r="HL22" s="57"/>
      <c r="HM22" s="57"/>
      <c r="HN22" s="57"/>
      <c r="HO22" s="56"/>
      <c r="HP22" s="57"/>
      <c r="HQ22" s="57"/>
      <c r="HR22" s="56"/>
      <c r="HS22" s="57"/>
      <c r="HT22" s="58"/>
      <c r="HU22" s="56"/>
      <c r="HV22" s="57"/>
      <c r="HW22" s="57"/>
      <c r="HX22" s="57"/>
      <c r="HY22" s="56"/>
      <c r="HZ22" s="57"/>
      <c r="IA22" s="57"/>
      <c r="IB22" s="56"/>
      <c r="IC22" s="57"/>
      <c r="ID22" s="58"/>
      <c r="IE22" s="56"/>
      <c r="IF22" s="57"/>
      <c r="IG22" s="57"/>
      <c r="IH22" s="57"/>
      <c r="II22" s="56"/>
      <c r="IJ22" s="57"/>
      <c r="IK22" s="57"/>
      <c r="IL22" s="56"/>
      <c r="IM22" s="57"/>
      <c r="IN22" s="58"/>
      <c r="IO22" s="56"/>
      <c r="IP22" s="57"/>
      <c r="IQ22" s="57"/>
      <c r="IR22" s="57"/>
      <c r="IS22" s="56"/>
      <c r="IT22" s="57"/>
      <c r="IU22" s="57"/>
      <c r="IV22" s="56"/>
      <c r="IW22" s="57"/>
      <c r="IX22" s="58"/>
      <c r="IY22" s="56"/>
      <c r="IZ22" s="57"/>
      <c r="JA22" s="57"/>
      <c r="JB22" s="57"/>
      <c r="JC22" s="56"/>
      <c r="JD22" s="57"/>
      <c r="JE22" s="57"/>
      <c r="JF22" s="56"/>
      <c r="JG22" s="57"/>
      <c r="JH22" s="58"/>
      <c r="JI22" s="56"/>
      <c r="JJ22" s="57"/>
      <c r="JK22" s="57"/>
      <c r="JL22" s="57"/>
      <c r="JM22" s="56"/>
      <c r="JN22" s="57"/>
      <c r="JO22" s="57"/>
      <c r="JP22" s="56"/>
      <c r="JQ22" s="57"/>
      <c r="JR22" s="58"/>
      <c r="JS22" s="56"/>
      <c r="JT22" s="57"/>
      <c r="JU22" s="57"/>
      <c r="JV22" s="57"/>
      <c r="JW22" s="56"/>
      <c r="JX22" s="57"/>
      <c r="JY22" s="57"/>
      <c r="JZ22" s="56"/>
      <c r="KA22" s="57"/>
      <c r="KB22" s="58"/>
      <c r="KC22" s="56"/>
      <c r="KD22" s="57"/>
      <c r="KE22" s="57"/>
      <c r="KF22" s="57"/>
      <c r="KG22" s="56"/>
      <c r="KH22" s="57"/>
      <c r="KI22" s="57"/>
      <c r="KJ22" s="56"/>
      <c r="KK22" s="57"/>
      <c r="KL22" s="58"/>
      <c r="KM22" s="56"/>
      <c r="KN22" s="57"/>
      <c r="KO22" s="57"/>
      <c r="KP22" s="57"/>
      <c r="KQ22" s="56"/>
      <c r="KR22" s="57"/>
      <c r="KS22" s="57"/>
      <c r="KT22" s="56"/>
      <c r="KU22" s="57"/>
      <c r="KV22" s="58"/>
      <c r="KW22" s="56"/>
      <c r="KX22" s="57"/>
      <c r="KY22" s="57"/>
      <c r="KZ22" s="57"/>
      <c r="LA22" s="56"/>
      <c r="LB22" s="57"/>
      <c r="LC22" s="57"/>
      <c r="LD22" s="56"/>
      <c r="LE22" s="57"/>
      <c r="LF22" s="58"/>
      <c r="LG22" s="56"/>
      <c r="LH22" s="57"/>
      <c r="LI22" s="57"/>
      <c r="LJ22" s="57"/>
      <c r="LK22" s="56"/>
      <c r="LL22" s="57"/>
      <c r="LM22" s="57"/>
      <c r="LN22" s="56"/>
      <c r="LO22" s="57"/>
      <c r="LP22" s="58"/>
      <c r="LQ22" s="56"/>
      <c r="LR22" s="57"/>
      <c r="LS22" s="57"/>
      <c r="LT22" s="57"/>
      <c r="LU22" s="56"/>
      <c r="LV22" s="57"/>
      <c r="LW22" s="57"/>
      <c r="LX22" s="56"/>
      <c r="LY22" s="57"/>
      <c r="LZ22" s="58"/>
      <c r="MA22" s="56"/>
      <c r="MB22" s="57"/>
      <c r="MC22" s="57"/>
      <c r="MD22" s="57"/>
      <c r="ME22" s="56"/>
      <c r="MF22" s="57"/>
      <c r="MG22" s="57"/>
      <c r="MH22" s="56"/>
      <c r="MI22" s="57"/>
      <c r="MJ22" s="58"/>
      <c r="MK22" s="56"/>
      <c r="ML22" s="57"/>
      <c r="MM22" s="57"/>
      <c r="MN22" s="57"/>
      <c r="MO22" s="56"/>
      <c r="MP22" s="57"/>
      <c r="MQ22" s="57"/>
      <c r="MR22" s="56"/>
      <c r="MS22" s="57"/>
      <c r="MT22" s="58"/>
      <c r="MU22" s="56"/>
      <c r="MV22" s="57"/>
      <c r="MW22" s="57"/>
      <c r="MX22" s="57"/>
      <c r="MY22" s="56"/>
      <c r="MZ22" s="57"/>
      <c r="NA22" s="57"/>
      <c r="NB22" s="56"/>
      <c r="NC22" s="57"/>
      <c r="ND22" s="58"/>
      <c r="NE22" s="56"/>
      <c r="NF22" s="57"/>
      <c r="NG22" s="57"/>
      <c r="NH22" s="57"/>
      <c r="NI22" s="56"/>
      <c r="NJ22" s="57"/>
      <c r="NK22" s="57"/>
      <c r="NL22" s="56"/>
      <c r="NM22" s="57"/>
      <c r="NN22" s="58"/>
      <c r="NO22" s="56"/>
      <c r="NP22" s="57"/>
      <c r="NQ22" s="57"/>
      <c r="NR22" s="57"/>
      <c r="NS22" s="56"/>
      <c r="NT22" s="57"/>
      <c r="NU22" s="57"/>
      <c r="NV22" s="56"/>
      <c r="NW22" s="57"/>
      <c r="NX22" s="58"/>
      <c r="NY22" s="56"/>
      <c r="NZ22" s="57"/>
      <c r="OA22" s="57"/>
      <c r="OB22" s="57"/>
      <c r="OC22" s="56"/>
      <c r="OD22" s="57"/>
      <c r="OE22" s="57"/>
      <c r="OF22" s="58"/>
      <c r="OG22" s="58"/>
      <c r="OH22" s="58"/>
      <c r="OI22" s="56"/>
      <c r="OJ22" s="58"/>
      <c r="OK22" s="58"/>
      <c r="OL22" s="58"/>
      <c r="OM22" s="58"/>
      <c r="ON22" s="58"/>
      <c r="OO22" s="58"/>
      <c r="OP22" s="56"/>
      <c r="OQ22" s="57"/>
      <c r="OR22" s="58"/>
      <c r="OS22" s="56"/>
      <c r="OT22" s="57"/>
      <c r="OU22" s="57"/>
      <c r="OV22" s="57"/>
      <c r="OW22" s="56"/>
      <c r="OX22" s="57"/>
      <c r="OY22" s="57"/>
      <c r="OZ22" s="56"/>
      <c r="PA22" s="57"/>
      <c r="PB22" s="58"/>
      <c r="PC22" s="56"/>
      <c r="PD22" s="57"/>
      <c r="PE22" s="57"/>
      <c r="PF22" s="57"/>
      <c r="PG22" s="56"/>
      <c r="PH22" s="57"/>
      <c r="PI22" s="57"/>
      <c r="PJ22" s="56"/>
      <c r="PK22" s="57"/>
      <c r="PL22" s="58"/>
      <c r="PM22" s="56"/>
      <c r="PN22" s="57"/>
      <c r="PO22" s="57"/>
      <c r="PP22" s="57"/>
      <c r="PQ22" s="56"/>
      <c r="PR22" s="57"/>
      <c r="PS22" s="57"/>
      <c r="PT22" s="56"/>
      <c r="PU22" s="57"/>
      <c r="PV22" s="58"/>
      <c r="PW22" s="56"/>
      <c r="PX22" s="57"/>
      <c r="PY22" s="57"/>
      <c r="PZ22" s="57"/>
      <c r="QA22" s="56"/>
      <c r="QB22" s="57"/>
      <c r="QC22" s="57"/>
      <c r="QD22" s="56"/>
      <c r="QE22" s="57"/>
      <c r="QF22" s="58"/>
      <c r="QG22" s="56"/>
      <c r="QH22" s="57"/>
      <c r="QI22" s="57"/>
      <c r="QJ22" s="57"/>
      <c r="QK22" s="56"/>
      <c r="QL22" s="57"/>
      <c r="QM22" s="57"/>
      <c r="QN22" s="56"/>
      <c r="QO22" s="57"/>
      <c r="QP22" s="58"/>
      <c r="QQ22" s="56"/>
      <c r="QR22" s="57"/>
      <c r="QS22" s="57"/>
      <c r="QT22" s="57"/>
      <c r="QU22" s="56"/>
      <c r="QV22" s="57"/>
      <c r="QW22" s="57"/>
      <c r="QX22" s="56"/>
      <c r="QY22" s="57"/>
      <c r="QZ22" s="58"/>
      <c r="RA22" s="56"/>
      <c r="RB22" s="57"/>
      <c r="RC22" s="57"/>
      <c r="RD22" s="57"/>
      <c r="RE22" s="56"/>
      <c r="RF22" s="57"/>
      <c r="RG22" s="57"/>
      <c r="RH22" s="56"/>
      <c r="RI22" s="57"/>
      <c r="RJ22" s="58"/>
      <c r="RK22" s="56"/>
      <c r="RL22" s="57"/>
      <c r="RM22" s="57"/>
      <c r="RN22" s="57"/>
      <c r="RO22" s="56"/>
      <c r="RP22" s="57"/>
      <c r="RQ22" s="57"/>
      <c r="RR22" s="56"/>
      <c r="RS22" s="57"/>
      <c r="RT22" s="58"/>
      <c r="RU22" s="56"/>
      <c r="RV22" s="57"/>
      <c r="RW22" s="57"/>
      <c r="RX22" s="57"/>
      <c r="RY22" s="56"/>
      <c r="RZ22" s="57"/>
      <c r="SA22" s="57"/>
      <c r="SB22" s="56"/>
      <c r="SC22" s="57"/>
      <c r="SD22" s="58"/>
      <c r="SE22" s="56"/>
      <c r="SF22" s="57"/>
      <c r="SG22" s="57"/>
      <c r="SH22" s="57"/>
      <c r="SI22" s="56"/>
      <c r="SJ22" s="57"/>
      <c r="SK22" s="57"/>
      <c r="SL22" s="56"/>
      <c r="SM22" s="57"/>
      <c r="SN22" s="58"/>
      <c r="SO22" s="56"/>
      <c r="SP22" s="57"/>
      <c r="SQ22" s="57"/>
      <c r="SR22" s="57"/>
      <c r="SS22" s="56"/>
      <c r="ST22" s="57"/>
      <c r="SU22" s="57"/>
      <c r="SV22" s="56"/>
      <c r="SW22" s="57"/>
      <c r="SX22" s="58"/>
      <c r="SY22" s="56"/>
      <c r="SZ22" s="57"/>
      <c r="TA22" s="57"/>
      <c r="TB22" s="57"/>
      <c r="TC22" s="56"/>
      <c r="TD22" s="57"/>
      <c r="TE22" s="57"/>
      <c r="TF22" s="56"/>
      <c r="TG22" s="57"/>
      <c r="TH22" s="58"/>
      <c r="TI22" s="56"/>
      <c r="TJ22" s="57"/>
      <c r="TK22" s="57"/>
      <c r="TL22" s="57"/>
      <c r="TM22" s="56"/>
      <c r="TN22" s="57"/>
      <c r="TO22" s="57"/>
      <c r="TP22" s="56"/>
      <c r="TQ22" s="57"/>
      <c r="TR22" s="58"/>
      <c r="TS22" s="56"/>
      <c r="TT22" s="57"/>
      <c r="TU22" s="57"/>
      <c r="TV22" s="57"/>
      <c r="TW22" s="56"/>
      <c r="TX22" s="57"/>
      <c r="TY22" s="57"/>
      <c r="TZ22" s="56"/>
      <c r="UA22" s="57"/>
      <c r="UB22" s="58"/>
      <c r="UC22" s="56"/>
      <c r="UD22" s="57"/>
      <c r="UE22" s="57"/>
      <c r="UF22" s="57"/>
      <c r="UG22" s="56"/>
      <c r="UH22" s="57"/>
      <c r="UI22" s="57"/>
      <c r="UJ22" s="56"/>
      <c r="UK22" s="57"/>
      <c r="UL22" s="58"/>
      <c r="UM22" s="56"/>
      <c r="UN22" s="57"/>
      <c r="UO22" s="57"/>
      <c r="UP22" s="57"/>
      <c r="UQ22" s="56"/>
      <c r="UR22" s="57"/>
      <c r="US22" s="57"/>
      <c r="UT22" s="56"/>
      <c r="UU22" s="57"/>
      <c r="UV22" s="58"/>
      <c r="UW22" s="56"/>
      <c r="UX22" s="57"/>
      <c r="UY22" s="57"/>
      <c r="UZ22" s="57"/>
      <c r="VA22" s="56"/>
      <c r="VB22" s="57"/>
      <c r="VC22" s="57"/>
      <c r="VD22" s="56"/>
      <c r="VE22" s="57"/>
      <c r="VF22" s="58"/>
      <c r="VG22" s="56"/>
      <c r="VH22" s="57"/>
      <c r="VI22" s="57"/>
      <c r="VJ22" s="57"/>
      <c r="VK22" s="56"/>
      <c r="VL22" s="57"/>
      <c r="VM22" s="57"/>
      <c r="VN22" s="56"/>
      <c r="VO22" s="57"/>
      <c r="VP22" s="58"/>
      <c r="VQ22" s="56"/>
      <c r="VR22" s="57"/>
      <c r="VS22" s="57"/>
      <c r="VT22" s="57"/>
      <c r="VU22" s="56"/>
      <c r="VV22" s="57"/>
      <c r="VW22" s="57"/>
      <c r="VX22" s="56"/>
      <c r="VY22" s="57"/>
      <c r="VZ22" s="58"/>
      <c r="WA22" s="56"/>
      <c r="WB22" s="57"/>
      <c r="WC22" s="57"/>
      <c r="WD22" s="57"/>
      <c r="WE22" s="56"/>
      <c r="WF22" s="57"/>
      <c r="WG22" s="57"/>
      <c r="WH22" s="56"/>
      <c r="WI22" s="57"/>
      <c r="WJ22" s="58"/>
      <c r="WK22" s="56"/>
      <c r="WL22" s="57"/>
      <c r="WM22" s="57"/>
      <c r="WN22" s="57"/>
      <c r="WO22" s="56"/>
      <c r="WP22" s="57"/>
      <c r="WQ22" s="57"/>
      <c r="WR22" s="56"/>
      <c r="WS22" s="57"/>
      <c r="WT22" s="58"/>
      <c r="WU22" s="56"/>
      <c r="WV22" s="57"/>
      <c r="WW22" s="57"/>
      <c r="WX22" s="57"/>
      <c r="WY22" s="56"/>
      <c r="WZ22" s="57"/>
      <c r="XA22" s="57"/>
      <c r="XB22" s="56"/>
      <c r="XC22" s="57"/>
      <c r="XD22" s="58"/>
      <c r="XE22" s="56"/>
      <c r="XF22" s="57"/>
      <c r="XG22" s="57"/>
      <c r="XH22" s="57"/>
      <c r="XI22" s="56"/>
      <c r="XJ22" s="57"/>
      <c r="XK22" s="57"/>
      <c r="XL22" s="56"/>
      <c r="XM22" s="57"/>
      <c r="XN22" s="58"/>
      <c r="XO22" s="56"/>
      <c r="XP22" s="57"/>
      <c r="XQ22" s="57"/>
      <c r="XR22" s="57"/>
      <c r="XS22" s="56"/>
      <c r="XT22" s="57"/>
      <c r="XU22" s="57"/>
      <c r="XV22" s="56"/>
      <c r="XW22" s="57"/>
      <c r="XX22" s="58"/>
      <c r="XY22" s="56"/>
      <c r="XZ22" s="57"/>
      <c r="YA22" s="57"/>
      <c r="YB22" s="57"/>
      <c r="YC22" s="56"/>
      <c r="YD22" s="57"/>
      <c r="YE22" s="57"/>
      <c r="YF22" s="56"/>
      <c r="YG22" s="57"/>
      <c r="YH22" s="58"/>
      <c r="YI22" s="56"/>
      <c r="YJ22" s="57"/>
      <c r="YK22" s="57"/>
      <c r="YL22" s="57"/>
      <c r="YM22" s="56"/>
      <c r="YN22" s="57"/>
      <c r="YO22" s="57"/>
      <c r="YP22" s="56"/>
      <c r="YQ22" s="57"/>
      <c r="YR22" s="58"/>
      <c r="YS22" s="56"/>
      <c r="YT22" s="57"/>
      <c r="YU22" s="57"/>
      <c r="YV22" s="57"/>
      <c r="YW22" s="56"/>
      <c r="YX22" s="57"/>
      <c r="YY22" s="57"/>
      <c r="YZ22" s="56"/>
      <c r="ZA22" s="57"/>
      <c r="ZB22" s="58"/>
      <c r="ZC22" s="56"/>
      <c r="ZD22" s="57"/>
      <c r="ZE22" s="57"/>
      <c r="ZF22" s="57"/>
      <c r="ZG22" s="56"/>
      <c r="ZH22" s="57"/>
      <c r="ZI22" s="57"/>
      <c r="ZJ22" s="56"/>
      <c r="ZK22" s="57"/>
      <c r="ZL22" s="58"/>
      <c r="ZM22" s="56"/>
      <c r="ZN22" s="57"/>
      <c r="ZO22" s="57"/>
      <c r="ZP22" s="57"/>
      <c r="ZQ22" s="56"/>
      <c r="ZR22" s="57"/>
      <c r="ZS22" s="57"/>
      <c r="ZT22" s="56"/>
      <c r="ZU22" s="57"/>
      <c r="ZV22" s="58"/>
      <c r="ZW22" s="56"/>
      <c r="ZX22" s="57"/>
      <c r="ZY22" s="57"/>
      <c r="ZZ22" s="57"/>
      <c r="AAA22" s="56"/>
      <c r="AAB22" s="57"/>
      <c r="AAC22" s="57"/>
      <c r="AAD22" s="56"/>
      <c r="AAE22" s="57"/>
      <c r="AAF22" s="58"/>
      <c r="AAG22" s="56"/>
      <c r="AAH22" s="57"/>
      <c r="AAI22" s="57"/>
      <c r="AAJ22" s="57"/>
      <c r="AAK22" s="56"/>
      <c r="AAL22" s="57"/>
      <c r="AAM22" s="57"/>
      <c r="AAN22" s="56"/>
      <c r="AAO22" s="57"/>
      <c r="AAP22" s="58"/>
      <c r="AAQ22" s="56"/>
      <c r="AAR22" s="57"/>
      <c r="AAS22" s="57"/>
      <c r="AAT22" s="57"/>
      <c r="AAU22" s="56"/>
      <c r="AAV22" s="57"/>
      <c r="AAW22" s="57"/>
      <c r="AAX22" s="58"/>
      <c r="AAY22" s="58"/>
      <c r="AAZ22" s="58"/>
      <c r="ABA22" s="56"/>
      <c r="ABB22" s="58"/>
      <c r="ABC22" s="58"/>
      <c r="ABD22" s="58"/>
      <c r="ABE22" s="58"/>
      <c r="ABF22" s="58"/>
      <c r="ABG22" s="57"/>
      <c r="ABH22" s="56"/>
      <c r="ABI22" s="57"/>
      <c r="ABJ22" s="58"/>
      <c r="ABK22" s="56"/>
      <c r="ABL22" s="57"/>
      <c r="ABM22" s="57"/>
      <c r="ABN22" s="57"/>
      <c r="ABO22" s="56"/>
      <c r="ABP22" s="57"/>
      <c r="ABQ22" s="57"/>
      <c r="ABR22" s="56"/>
      <c r="ABS22" s="57"/>
      <c r="ABT22" s="58"/>
      <c r="ABU22" s="56"/>
      <c r="ABV22" s="57"/>
      <c r="ABW22" s="57"/>
      <c r="ABX22" s="57"/>
      <c r="ABY22" s="56"/>
      <c r="ABZ22" s="57"/>
      <c r="ACA22" s="57"/>
      <c r="ACB22" s="56"/>
      <c r="ACC22" s="57"/>
      <c r="ACD22" s="58"/>
      <c r="ACE22" s="56"/>
      <c r="ACF22" s="57"/>
      <c r="ACG22" s="57"/>
      <c r="ACH22" s="57"/>
      <c r="ACI22" s="56"/>
      <c r="ACJ22" s="57"/>
      <c r="ACK22" s="57"/>
      <c r="ACL22" s="56"/>
      <c r="ACM22" s="57"/>
      <c r="ACN22" s="58"/>
      <c r="ACO22" s="56"/>
      <c r="ACP22" s="57"/>
      <c r="ACQ22" s="57"/>
      <c r="ACR22" s="57"/>
      <c r="ACS22" s="56"/>
      <c r="ACT22" s="57"/>
      <c r="ACU22" s="57"/>
      <c r="ACV22" s="56"/>
      <c r="ACW22" s="57"/>
      <c r="ACX22" s="58"/>
      <c r="ACY22" s="56"/>
      <c r="ACZ22" s="57"/>
      <c r="ADA22" s="57"/>
      <c r="ADB22" s="57"/>
      <c r="ADC22" s="56"/>
      <c r="ADD22" s="57"/>
      <c r="ADE22" s="57"/>
      <c r="ADF22" s="56"/>
      <c r="ADG22" s="57"/>
      <c r="ADH22" s="58"/>
      <c r="ADI22" s="56"/>
      <c r="ADJ22" s="57"/>
      <c r="ADK22" s="57"/>
      <c r="ADL22" s="57"/>
      <c r="ADM22" s="56"/>
      <c r="ADN22" s="57"/>
      <c r="ADO22" s="57"/>
      <c r="ADP22" s="56"/>
      <c r="ADQ22" s="57"/>
      <c r="ADR22" s="58"/>
      <c r="ADS22" s="56"/>
      <c r="ADT22" s="57"/>
      <c r="ADU22" s="57"/>
      <c r="ADV22" s="57"/>
      <c r="ADW22" s="56"/>
      <c r="ADX22" s="57"/>
      <c r="ADY22" s="57"/>
      <c r="ADZ22" s="56"/>
      <c r="AEA22" s="57"/>
      <c r="AEB22" s="58"/>
      <c r="AEC22" s="56"/>
      <c r="AED22" s="57"/>
      <c r="AEE22" s="57"/>
      <c r="AEF22" s="57"/>
      <c r="AEG22" s="56"/>
      <c r="AEH22" s="57"/>
      <c r="AEI22" s="57"/>
      <c r="AEJ22" s="56"/>
      <c r="AEK22" s="57"/>
      <c r="AEL22" s="58"/>
      <c r="AEM22" s="56"/>
      <c r="AEN22" s="57"/>
      <c r="AEO22" s="57"/>
      <c r="AEP22" s="57"/>
      <c r="AEQ22" s="56"/>
      <c r="AER22" s="57"/>
      <c r="AES22" s="57"/>
      <c r="AET22" s="56"/>
      <c r="AEU22" s="57"/>
      <c r="AEV22" s="58"/>
      <c r="AEW22" s="56"/>
      <c r="AEX22" s="57"/>
      <c r="AEY22" s="57"/>
      <c r="AEZ22" s="57"/>
      <c r="AFA22" s="56"/>
      <c r="AFB22" s="57"/>
      <c r="AFC22" s="57"/>
      <c r="AFD22" s="56"/>
      <c r="AFE22" s="57"/>
      <c r="AFF22" s="58"/>
      <c r="AFG22" s="56"/>
      <c r="AFH22" s="57"/>
      <c r="AFI22" s="57"/>
      <c r="AFJ22" s="57"/>
      <c r="AFK22" s="56"/>
      <c r="AFL22" s="57"/>
      <c r="AFM22" s="57"/>
      <c r="AFN22" s="56"/>
      <c r="AFO22" s="57"/>
      <c r="AFP22" s="58"/>
      <c r="AFQ22" s="56"/>
      <c r="AFR22" s="57"/>
      <c r="AFS22" s="57"/>
      <c r="AFT22" s="57"/>
      <c r="AFU22" s="56"/>
      <c r="AFV22" s="57"/>
      <c r="AFW22" s="57"/>
      <c r="AFX22" s="56"/>
      <c r="AFY22" s="57"/>
      <c r="AFZ22" s="58"/>
      <c r="AGA22" s="56"/>
      <c r="AGB22" s="57"/>
      <c r="AGC22" s="57"/>
      <c r="AGD22" s="57"/>
      <c r="AGE22" s="56"/>
      <c r="AGF22" s="57"/>
      <c r="AGG22" s="57"/>
      <c r="AGH22" s="56"/>
      <c r="AGI22" s="57"/>
      <c r="AGJ22" s="58"/>
      <c r="AGK22" s="56"/>
      <c r="AGL22" s="57"/>
      <c r="AGM22" s="57"/>
      <c r="AGN22" s="57"/>
      <c r="AGO22" s="56"/>
      <c r="AGP22" s="57"/>
      <c r="AGQ22" s="57"/>
      <c r="AGR22" s="56"/>
      <c r="AGS22" s="57"/>
      <c r="AGT22" s="58"/>
      <c r="AGU22" s="56"/>
      <c r="AGV22" s="57"/>
      <c r="AGW22" s="57"/>
      <c r="AGX22" s="57"/>
      <c r="AGY22" s="56"/>
      <c r="AGZ22" s="57"/>
      <c r="AHA22" s="57"/>
      <c r="AHB22" s="56"/>
      <c r="AHC22" s="57"/>
      <c r="AHD22" s="58"/>
      <c r="AHE22" s="56"/>
      <c r="AHF22" s="57"/>
      <c r="AHG22" s="57"/>
      <c r="AHH22" s="57"/>
      <c r="AHI22" s="56"/>
      <c r="AHJ22" s="57"/>
      <c r="AHK22" s="57"/>
      <c r="AHL22" s="56"/>
      <c r="AHM22" s="57"/>
      <c r="AHN22" s="58"/>
      <c r="AHO22" s="56"/>
      <c r="AHP22" s="57"/>
      <c r="AHQ22" s="57"/>
      <c r="AHR22" s="57"/>
      <c r="AHS22" s="56"/>
      <c r="AHT22" s="57"/>
      <c r="AHU22" s="57"/>
      <c r="AHV22" s="56"/>
      <c r="AHW22" s="57"/>
      <c r="AHX22" s="58"/>
      <c r="AHY22" s="56"/>
      <c r="AHZ22" s="57"/>
      <c r="AIA22" s="57"/>
      <c r="AIB22" s="57"/>
      <c r="AIC22" s="56"/>
      <c r="AID22" s="57"/>
      <c r="AIE22" s="57"/>
      <c r="AIF22" s="56"/>
      <c r="AIG22" s="57"/>
      <c r="AIH22" s="58"/>
      <c r="AII22" s="56"/>
      <c r="AIJ22" s="57"/>
      <c r="AIK22" s="57"/>
      <c r="AIL22" s="57"/>
      <c r="AIM22" s="56"/>
      <c r="AIN22" s="57"/>
      <c r="AIO22" s="57"/>
      <c r="AIP22" s="56"/>
      <c r="AIQ22" s="57"/>
      <c r="AIR22" s="58"/>
      <c r="AIS22" s="56"/>
      <c r="AIT22" s="57"/>
      <c r="AIU22" s="57"/>
      <c r="AIV22" s="57"/>
      <c r="AIW22" s="56"/>
      <c r="AIX22" s="57"/>
      <c r="AIY22" s="57"/>
      <c r="AIZ22" s="56"/>
      <c r="AJA22" s="57"/>
      <c r="AJB22" s="58"/>
      <c r="AJC22" s="56"/>
      <c r="AJD22" s="57"/>
      <c r="AJE22" s="57"/>
      <c r="AJF22" s="57"/>
      <c r="AJG22" s="56"/>
      <c r="AJH22" s="57"/>
      <c r="AJI22" s="57"/>
      <c r="AJJ22" s="56"/>
      <c r="AJK22" s="57"/>
      <c r="AJL22" s="58"/>
      <c r="AJM22" s="56"/>
      <c r="AJN22" s="57"/>
      <c r="AJO22" s="57"/>
      <c r="AJP22" s="57"/>
      <c r="AJQ22" s="56"/>
      <c r="AJR22" s="57"/>
      <c r="AJS22" s="57"/>
      <c r="AJT22" s="56"/>
      <c r="AJU22" s="57"/>
      <c r="AJV22" s="58"/>
      <c r="AJW22" s="56"/>
      <c r="AJX22" s="57"/>
      <c r="AJY22" s="57"/>
      <c r="AJZ22" s="57"/>
      <c r="AKA22" s="56"/>
      <c r="AKB22" s="57"/>
      <c r="AKC22" s="57"/>
      <c r="AKD22" s="56"/>
      <c r="AKE22" s="57"/>
      <c r="AKF22" s="58"/>
      <c r="AKG22" s="56"/>
      <c r="AKH22" s="57"/>
      <c r="AKI22" s="57"/>
      <c r="AKJ22" s="57"/>
      <c r="AKK22" s="56"/>
      <c r="AKL22" s="57"/>
      <c r="AKM22" s="57"/>
      <c r="AKN22" s="56"/>
      <c r="AKO22" s="57"/>
      <c r="AKP22" s="58"/>
      <c r="AKQ22" s="56"/>
      <c r="AKR22" s="57"/>
      <c r="AKS22" s="57"/>
      <c r="AKT22" s="57"/>
      <c r="AKU22" s="56"/>
      <c r="AKV22" s="57"/>
      <c r="AKW22" s="57"/>
      <c r="AKX22" s="56"/>
      <c r="AKY22" s="57"/>
      <c r="AKZ22" s="58"/>
      <c r="ALA22" s="56"/>
      <c r="ALB22" s="57"/>
      <c r="ALC22" s="57"/>
      <c r="ALD22" s="57"/>
      <c r="ALE22" s="56"/>
      <c r="ALF22" s="57"/>
      <c r="ALG22" s="57"/>
      <c r="ALH22" s="57"/>
      <c r="ALI22" s="57"/>
      <c r="ALJ22" s="57"/>
      <c r="ALK22" s="56"/>
      <c r="ALL22" s="57"/>
      <c r="ALM22" s="57"/>
      <c r="ALN22" s="56"/>
      <c r="ALO22" s="57"/>
      <c r="ALP22" s="58"/>
      <c r="ALQ22" s="56"/>
      <c r="ALR22" s="57"/>
      <c r="ALS22" s="57"/>
      <c r="ALT22" s="57"/>
      <c r="ALU22" s="56"/>
      <c r="ALV22" s="57"/>
      <c r="ALW22" s="57"/>
      <c r="ALX22" s="56"/>
      <c r="ALY22" s="57"/>
      <c r="ALZ22" s="58"/>
      <c r="AMA22" s="56"/>
      <c r="AMB22" s="57"/>
      <c r="AMC22" s="57"/>
      <c r="AMD22" s="57"/>
      <c r="AME22" s="56"/>
      <c r="AMF22" s="57"/>
      <c r="AMG22" s="57"/>
      <c r="AMH22" s="57"/>
      <c r="AMI22" s="57"/>
      <c r="AMJ22" s="57"/>
      <c r="AMK22" s="56"/>
      <c r="AML22" s="57"/>
      <c r="AMM22" s="57"/>
      <c r="AMN22" s="56"/>
      <c r="AMO22" s="57"/>
      <c r="AMP22" s="58"/>
      <c r="AMQ22" s="56"/>
      <c r="AMR22" s="57"/>
      <c r="AMS22" s="57"/>
      <c r="AMT22" s="57"/>
      <c r="AMU22" s="56"/>
      <c r="AMV22" s="57"/>
      <c r="AMW22" s="57"/>
      <c r="AMX22" s="56"/>
      <c r="AMY22" s="57"/>
      <c r="AMZ22" s="58"/>
      <c r="ANA22" s="56"/>
      <c r="ANB22" s="57"/>
      <c r="ANC22" s="57"/>
      <c r="AND22" s="57"/>
      <c r="ANE22" s="56"/>
      <c r="ANF22" s="57"/>
      <c r="ANG22" s="57"/>
      <c r="ANH22" s="57"/>
      <c r="ANI22" s="57"/>
      <c r="ANJ22" s="57"/>
      <c r="ANK22" s="56"/>
      <c r="ANL22" s="57"/>
      <c r="ANM22" s="57"/>
      <c r="ANN22" s="56"/>
      <c r="ANO22" s="57"/>
      <c r="ANP22" s="58"/>
      <c r="ANQ22" s="56"/>
      <c r="ANR22" s="57"/>
      <c r="ANS22" s="57"/>
      <c r="ANT22" s="57"/>
      <c r="ANU22" s="56"/>
      <c r="ANV22" s="57"/>
      <c r="ANW22" s="57"/>
      <c r="ANX22" s="56"/>
      <c r="ANY22" s="57"/>
      <c r="ANZ22" s="58"/>
      <c r="AOA22" s="56"/>
      <c r="AOB22" s="57"/>
      <c r="AOC22" s="57"/>
      <c r="AOD22" s="57"/>
      <c r="AOE22" s="56"/>
      <c r="AOF22" s="57"/>
      <c r="AOG22" s="57"/>
      <c r="AOH22" s="57"/>
      <c r="AOI22" s="57"/>
      <c r="AOJ22" s="57"/>
      <c r="AOK22" s="56"/>
      <c r="AOL22" s="57"/>
      <c r="AOM22" s="57"/>
      <c r="AON22" s="56"/>
      <c r="AOO22" s="57"/>
      <c r="AOP22" s="58"/>
      <c r="AOQ22" s="56"/>
      <c r="AOR22" s="57"/>
      <c r="AOS22" s="57"/>
      <c r="AOT22" s="57"/>
      <c r="AOU22" s="56"/>
      <c r="AOV22" s="57"/>
      <c r="AOW22" s="57"/>
      <c r="AOX22" s="56"/>
      <c r="AOY22" s="57"/>
      <c r="AOZ22" s="58"/>
      <c r="APA22" s="56"/>
      <c r="APB22" s="57"/>
      <c r="APC22" s="57"/>
      <c r="APD22" s="57"/>
      <c r="APE22" s="56"/>
      <c r="APF22" s="57"/>
      <c r="APG22" s="57"/>
      <c r="APH22" s="57"/>
      <c r="API22" s="57"/>
      <c r="APJ22" s="57"/>
      <c r="APK22" s="56"/>
      <c r="APL22" s="57"/>
      <c r="APM22" s="57"/>
      <c r="APN22" s="56"/>
      <c r="APO22" s="57"/>
      <c r="APP22" s="58"/>
      <c r="APQ22" s="56"/>
      <c r="APR22" s="57"/>
      <c r="APS22" s="57"/>
      <c r="APT22" s="57"/>
      <c r="APU22" s="56"/>
      <c r="APV22" s="57"/>
      <c r="APW22" s="57"/>
      <c r="APX22" s="56"/>
      <c r="APY22" s="57"/>
      <c r="APZ22" s="58"/>
      <c r="AQA22" s="56"/>
      <c r="AQB22" s="57"/>
      <c r="AQC22" s="57"/>
      <c r="AQD22" s="57"/>
      <c r="AQE22" s="56"/>
      <c r="AQF22" s="57"/>
      <c r="AQG22" s="57"/>
      <c r="AQH22" s="57"/>
      <c r="AQI22" s="57"/>
      <c r="AQJ22" s="57"/>
      <c r="AQK22" s="56"/>
      <c r="AQL22" s="57"/>
      <c r="AQM22" s="57"/>
      <c r="AQN22" s="56"/>
      <c r="AQO22" s="57"/>
      <c r="AQP22" s="58"/>
      <c r="AQQ22" s="56"/>
      <c r="AQR22" s="57"/>
      <c r="AQS22" s="57"/>
      <c r="AQT22" s="57"/>
      <c r="AQU22" s="56"/>
      <c r="AQV22" s="57"/>
      <c r="AQW22" s="57"/>
      <c r="AQX22" s="56"/>
      <c r="AQY22" s="57"/>
      <c r="AQZ22" s="58"/>
      <c r="ARA22" s="56"/>
      <c r="ARB22" s="57"/>
      <c r="ARC22" s="57"/>
      <c r="ARD22" s="57"/>
      <c r="ARE22" s="56"/>
      <c r="ARF22" s="57"/>
      <c r="ARG22" s="57"/>
      <c r="ARH22" s="57"/>
      <c r="ARI22" s="57"/>
      <c r="ARJ22" s="57"/>
      <c r="ARK22" s="56"/>
      <c r="ARL22" s="57"/>
      <c r="ARM22" s="57"/>
      <c r="ARN22" s="56"/>
      <c r="ARO22" s="57"/>
      <c r="ARP22" s="58"/>
      <c r="ARQ22" s="56"/>
      <c r="ARR22" s="57"/>
      <c r="ARS22" s="57"/>
      <c r="ART22" s="57"/>
      <c r="ARU22" s="56"/>
      <c r="ARV22" s="57"/>
      <c r="ARW22" s="57"/>
      <c r="ARX22" s="56"/>
      <c r="ARY22" s="57"/>
      <c r="ARZ22" s="58"/>
      <c r="ASA22" s="56"/>
      <c r="ASB22" s="57"/>
      <c r="ASC22" s="57"/>
      <c r="ASD22" s="57"/>
      <c r="ASE22" s="56"/>
      <c r="ASF22" s="57"/>
      <c r="ASG22" s="57"/>
      <c r="ASH22" s="57"/>
      <c r="ASI22" s="57"/>
      <c r="ASJ22" s="57"/>
      <c r="ASK22" s="56"/>
      <c r="ASL22" s="57"/>
      <c r="ASM22" s="57"/>
      <c r="ASN22" s="56"/>
      <c r="ASO22" s="57"/>
      <c r="ASP22" s="58"/>
      <c r="ASQ22" s="56"/>
      <c r="ASR22" s="57"/>
      <c r="ASS22" s="57"/>
      <c r="AST22" s="57"/>
      <c r="ASU22" s="56"/>
      <c r="ASV22" s="57"/>
      <c r="ASW22" s="57"/>
      <c r="ASX22" s="56"/>
      <c r="ASY22" s="57"/>
      <c r="ASZ22" s="58"/>
      <c r="ATA22" s="56"/>
      <c r="ATB22" s="57"/>
      <c r="ATC22" s="57"/>
      <c r="ATD22" s="57"/>
      <c r="ATE22" s="56"/>
      <c r="ATF22" s="57"/>
      <c r="ATG22" s="57"/>
      <c r="ATH22" s="57"/>
      <c r="ATI22" s="57"/>
      <c r="ATJ22" s="57"/>
      <c r="ATK22" s="56"/>
      <c r="ATL22" s="57"/>
      <c r="ATM22" s="57"/>
      <c r="ATN22" s="56"/>
      <c r="ATO22" s="57"/>
      <c r="ATP22" s="58"/>
      <c r="ATQ22" s="56"/>
      <c r="ATR22" s="57"/>
      <c r="ATS22" s="57"/>
      <c r="ATT22" s="57"/>
      <c r="ATU22" s="56"/>
      <c r="ATV22" s="57"/>
      <c r="ATW22" s="57"/>
      <c r="ATX22" s="56"/>
      <c r="ATY22" s="57"/>
      <c r="ATZ22" s="58"/>
      <c r="AUA22" s="56"/>
      <c r="AUB22" s="57"/>
      <c r="AUC22" s="57"/>
      <c r="AUD22" s="57"/>
      <c r="AUE22" s="56"/>
      <c r="AUF22" s="57"/>
      <c r="AUG22" s="57"/>
      <c r="AUH22" s="57"/>
      <c r="AUI22" s="57"/>
      <c r="AUJ22" s="57"/>
      <c r="AUK22" s="56"/>
      <c r="AUL22" s="57"/>
      <c r="AUM22" s="57"/>
      <c r="AUN22" s="56"/>
      <c r="AUO22" s="57"/>
      <c r="AUP22" s="58"/>
      <c r="AUQ22" s="56"/>
      <c r="AUR22" s="57"/>
      <c r="AUS22" s="57"/>
      <c r="AUT22" s="57"/>
      <c r="AUU22" s="56"/>
      <c r="AUV22" s="57"/>
      <c r="AUW22" s="57"/>
      <c r="AUX22" s="56"/>
      <c r="AUY22" s="57"/>
      <c r="AUZ22" s="58"/>
      <c r="AVA22" s="56"/>
      <c r="AVB22" s="57"/>
      <c r="AVC22" s="57"/>
      <c r="AVD22" s="57"/>
      <c r="AVE22" s="56"/>
      <c r="AVF22" s="57"/>
      <c r="AVG22" s="57"/>
      <c r="AVH22" s="57"/>
      <c r="AVI22" s="57"/>
      <c r="AVJ22" s="57"/>
      <c r="AVK22" s="56"/>
      <c r="AVL22" s="57"/>
      <c r="AVM22" s="57"/>
      <c r="AVN22" s="56"/>
      <c r="AVO22" s="57"/>
      <c r="AVP22" s="58"/>
      <c r="AVQ22" s="56"/>
      <c r="AVR22" s="57"/>
      <c r="AVS22" s="57"/>
      <c r="AVT22" s="57"/>
      <c r="AVU22" s="56"/>
      <c r="AVV22" s="57"/>
      <c r="AVW22" s="57"/>
      <c r="AVX22" s="56"/>
      <c r="AVY22" s="57"/>
      <c r="AVZ22" s="58"/>
      <c r="AWA22" s="56"/>
      <c r="AWB22" s="57"/>
      <c r="AWC22" s="57"/>
      <c r="AWD22" s="57"/>
      <c r="AWE22" s="56"/>
      <c r="AWF22" s="57"/>
      <c r="AWG22" s="57"/>
      <c r="AWH22" s="57"/>
      <c r="AWI22" s="57"/>
      <c r="AWJ22" s="57"/>
      <c r="AWK22" s="56"/>
      <c r="AWL22" s="57"/>
      <c r="AWM22" s="57"/>
      <c r="AWN22" s="56"/>
      <c r="AWO22" s="57"/>
      <c r="AWP22" s="58"/>
      <c r="AWQ22" s="56"/>
      <c r="AWR22" s="57"/>
      <c r="AWS22" s="57"/>
      <c r="AWT22" s="57"/>
      <c r="AWU22" s="56"/>
      <c r="AWV22" s="57"/>
      <c r="AWW22" s="57"/>
      <c r="AWX22" s="56"/>
      <c r="AWY22" s="57"/>
      <c r="AWZ22" s="58"/>
      <c r="AXA22" s="56"/>
      <c r="AXB22" s="57"/>
      <c r="AXC22" s="57"/>
      <c r="AXD22" s="57"/>
      <c r="AXE22" s="56"/>
      <c r="AXF22" s="57"/>
      <c r="AXG22" s="57"/>
      <c r="AXH22" s="57"/>
      <c r="AXI22" s="57"/>
      <c r="AXJ22" s="57"/>
      <c r="AXK22" s="56"/>
      <c r="AXL22" s="57"/>
      <c r="AXM22" s="57"/>
      <c r="AXN22" s="56"/>
      <c r="AXO22" s="57"/>
      <c r="AXP22" s="58"/>
      <c r="AXQ22" s="56"/>
      <c r="AXR22" s="57"/>
      <c r="AXS22" s="57"/>
      <c r="AXT22" s="57"/>
      <c r="AXU22" s="56"/>
      <c r="AXV22" s="57"/>
      <c r="AXW22" s="57"/>
      <c r="AXX22" s="56"/>
      <c r="AXY22" s="57"/>
      <c r="AXZ22" s="58"/>
      <c r="AYA22" s="56"/>
      <c r="AYB22" s="57"/>
      <c r="AYC22" s="57"/>
      <c r="AYD22" s="57"/>
      <c r="AYE22" s="56"/>
      <c r="AYF22" s="57"/>
      <c r="AYG22" s="57"/>
      <c r="AYH22" s="57"/>
      <c r="AYI22" s="57"/>
      <c r="AYJ22" s="57"/>
      <c r="AYK22" s="56"/>
      <c r="AYL22" s="57"/>
      <c r="AYM22" s="57"/>
      <c r="AYN22" s="56"/>
      <c r="AYO22" s="57"/>
      <c r="AYP22" s="58"/>
      <c r="AYQ22" s="56"/>
      <c r="AYR22" s="57"/>
      <c r="AYS22" s="57"/>
      <c r="AYT22" s="57"/>
      <c r="AYU22" s="56"/>
      <c r="AYV22" s="57"/>
      <c r="AYW22" s="57"/>
      <c r="AYX22" s="56"/>
      <c r="AYY22" s="57"/>
      <c r="AYZ22" s="58"/>
      <c r="AZA22" s="56"/>
      <c r="AZB22" s="57"/>
      <c r="AZC22" s="57"/>
      <c r="AZD22" s="57"/>
      <c r="AZE22" s="56"/>
      <c r="AZF22" s="57"/>
      <c r="AZG22" s="57"/>
      <c r="AZH22" s="57"/>
      <c r="AZI22" s="57"/>
      <c r="AZJ22" s="57"/>
      <c r="AZK22" s="56"/>
      <c r="AZL22" s="57"/>
      <c r="AZM22" s="57"/>
      <c r="AZN22" s="56"/>
      <c r="AZO22" s="57"/>
      <c r="AZP22" s="58"/>
      <c r="AZQ22" s="56"/>
      <c r="AZR22" s="57"/>
      <c r="AZS22" s="57"/>
      <c r="AZT22" s="57"/>
      <c r="AZU22" s="56"/>
      <c r="AZV22" s="57"/>
      <c r="AZW22" s="57"/>
      <c r="AZX22" s="56"/>
      <c r="AZY22" s="57"/>
      <c r="AZZ22" s="58"/>
      <c r="BAA22" s="56"/>
      <c r="BAB22" s="57"/>
      <c r="BAC22" s="57"/>
      <c r="BAD22" s="57"/>
      <c r="BAE22" s="56"/>
      <c r="BAF22" s="57"/>
      <c r="BAG22" s="57"/>
      <c r="BAH22" s="57"/>
      <c r="BAI22" s="57"/>
      <c r="BAJ22" s="57"/>
      <c r="BAK22" s="56"/>
      <c r="BAL22" s="57"/>
      <c r="BAM22" s="57"/>
      <c r="BAN22" s="56"/>
      <c r="BAO22" s="57"/>
      <c r="BAP22" s="58"/>
      <c r="BAQ22" s="56"/>
      <c r="BAR22" s="57"/>
      <c r="BAS22" s="57"/>
      <c r="BAT22" s="57"/>
      <c r="BAU22" s="56"/>
      <c r="BAV22" s="57"/>
      <c r="BAW22" s="57"/>
      <c r="BAX22" s="56"/>
      <c r="BAY22" s="57"/>
      <c r="BAZ22" s="58"/>
      <c r="BBA22" s="56"/>
      <c r="BBB22" s="57"/>
      <c r="BBC22" s="57"/>
      <c r="BBD22" s="57"/>
      <c r="BBE22" s="56"/>
      <c r="BBF22" s="57"/>
      <c r="BBG22" s="57"/>
      <c r="BBH22" s="57"/>
      <c r="BBI22" s="57"/>
      <c r="BBJ22" s="57"/>
      <c r="BBK22" s="56"/>
      <c r="BBL22" s="57"/>
      <c r="BBM22" s="57"/>
      <c r="BBN22" s="56"/>
      <c r="BBO22" s="57"/>
      <c r="BBP22" s="58"/>
      <c r="BBQ22" s="56"/>
      <c r="BBR22" s="57"/>
      <c r="BBS22" s="57"/>
      <c r="BBT22" s="57"/>
      <c r="BBU22" s="56"/>
      <c r="BBV22" s="57"/>
      <c r="BBW22" s="57"/>
      <c r="BBX22" s="56"/>
      <c r="BBY22" s="57"/>
      <c r="BBZ22" s="58"/>
      <c r="BCA22" s="56"/>
      <c r="BCB22" s="57"/>
      <c r="BCC22" s="57"/>
      <c r="BCD22" s="57"/>
      <c r="BCE22" s="56"/>
      <c r="BCF22" s="57"/>
      <c r="BCG22" s="57"/>
      <c r="BCH22" s="57"/>
      <c r="BCI22" s="57"/>
      <c r="BCJ22" s="57"/>
      <c r="BCK22" s="56"/>
      <c r="BCL22" s="57"/>
      <c r="BCM22" s="57"/>
      <c r="BCN22" s="56"/>
      <c r="BCO22" s="57"/>
      <c r="BCP22" s="58"/>
      <c r="BCQ22" s="56"/>
      <c r="BCR22" s="57"/>
      <c r="BCS22" s="57"/>
      <c r="BCT22" s="57"/>
      <c r="BCU22" s="56"/>
      <c r="BCV22" s="57"/>
      <c r="BCW22" s="57"/>
      <c r="BCX22" s="56"/>
      <c r="BCY22" s="57"/>
      <c r="BCZ22" s="58"/>
      <c r="BDA22" s="56"/>
      <c r="BDB22" s="57"/>
      <c r="BDC22" s="57"/>
      <c r="BDD22" s="57"/>
      <c r="BDE22" s="56"/>
      <c r="BDF22" s="57"/>
      <c r="BDG22" s="57"/>
      <c r="BDH22" s="57"/>
      <c r="BDI22" s="57"/>
      <c r="BDJ22" s="57"/>
      <c r="BDK22" s="56"/>
      <c r="BDL22" s="57"/>
      <c r="BDM22" s="57"/>
      <c r="BDN22" s="56"/>
      <c r="BDO22" s="57"/>
      <c r="BDP22" s="58"/>
      <c r="BDQ22" s="56"/>
      <c r="BDR22" s="57"/>
      <c r="BDS22" s="57"/>
      <c r="BDT22" s="57"/>
      <c r="BDU22" s="56"/>
      <c r="BDV22" s="57"/>
      <c r="BDW22" s="57"/>
      <c r="BDX22" s="56"/>
      <c r="BDY22" s="57"/>
      <c r="BDZ22" s="58"/>
      <c r="BEA22" s="56"/>
      <c r="BEB22" s="57"/>
      <c r="BEC22" s="57"/>
      <c r="BED22" s="57"/>
      <c r="BEE22" s="56"/>
      <c r="BEF22" s="57"/>
      <c r="BEG22" s="57"/>
      <c r="BEH22" s="57"/>
      <c r="BEI22" s="57"/>
      <c r="BEJ22" s="57"/>
      <c r="BEK22" s="56"/>
      <c r="BEL22" s="57"/>
      <c r="BEM22" s="57"/>
      <c r="BEN22" s="56"/>
      <c r="BEO22" s="57"/>
      <c r="BEP22" s="58"/>
      <c r="BEQ22" s="56"/>
      <c r="BER22" s="57"/>
      <c r="BES22" s="57"/>
      <c r="BET22" s="57"/>
      <c r="BEU22" s="56"/>
      <c r="BEV22" s="57"/>
      <c r="BEW22" s="57"/>
      <c r="BEX22" s="56"/>
      <c r="BEY22" s="57"/>
      <c r="BEZ22" s="58"/>
      <c r="BFA22" s="56"/>
      <c r="BFB22" s="57"/>
      <c r="BFC22" s="57"/>
      <c r="BFD22" s="57"/>
      <c r="BFE22" s="56"/>
      <c r="BFF22" s="57"/>
      <c r="BFG22" s="57"/>
      <c r="BFH22" s="57"/>
      <c r="BFI22" s="57"/>
      <c r="BFJ22" s="57"/>
      <c r="BFK22" s="56"/>
      <c r="BFL22" s="57"/>
      <c r="BFM22" s="57"/>
      <c r="BFN22" s="56"/>
      <c r="BFO22" s="57"/>
      <c r="BFP22" s="58"/>
      <c r="BFQ22" s="56"/>
      <c r="BFR22" s="57"/>
      <c r="BFS22" s="57"/>
      <c r="BFT22" s="57"/>
      <c r="BFU22" s="56"/>
      <c r="BFV22" s="57"/>
      <c r="BFW22" s="57"/>
      <c r="BFX22" s="56"/>
      <c r="BFY22" s="57"/>
      <c r="BFZ22" s="58"/>
      <c r="BGA22" s="56"/>
      <c r="BGB22" s="57"/>
      <c r="BGC22" s="57"/>
      <c r="BGD22" s="57"/>
      <c r="BGE22" s="56"/>
      <c r="BGF22" s="57"/>
      <c r="BGG22" s="57"/>
      <c r="BGH22" s="57"/>
      <c r="BGI22" s="57"/>
      <c r="BGJ22" s="57"/>
      <c r="BGK22" s="56"/>
      <c r="BGL22" s="57"/>
      <c r="BGM22" s="57"/>
      <c r="BGN22" s="56"/>
      <c r="BGO22" s="57"/>
      <c r="BGP22" s="58"/>
      <c r="BGQ22" s="56"/>
      <c r="BGR22" s="57"/>
      <c r="BGS22" s="57"/>
      <c r="BGT22" s="57"/>
      <c r="BGU22" s="56"/>
      <c r="BGV22" s="57"/>
      <c r="BGW22" s="57"/>
      <c r="BGX22" s="56"/>
      <c r="BGY22" s="57"/>
      <c r="BGZ22" s="58"/>
      <c r="BHA22" s="56"/>
      <c r="BHB22" s="57"/>
      <c r="BHC22" s="57"/>
      <c r="BHD22" s="57"/>
      <c r="BHE22" s="56"/>
      <c r="BHF22" s="57"/>
      <c r="BHG22" s="57"/>
      <c r="BHH22" s="57"/>
      <c r="BHI22" s="57"/>
      <c r="BHJ22" s="57"/>
      <c r="BHK22" s="56"/>
      <c r="BHL22" s="57"/>
      <c r="BHM22" s="57"/>
      <c r="BHN22" s="56"/>
      <c r="BHO22" s="57"/>
      <c r="BHP22" s="58"/>
      <c r="BHQ22" s="56"/>
      <c r="BHR22" s="57"/>
      <c r="BHS22" s="57"/>
      <c r="BHT22" s="57"/>
      <c r="BHU22" s="56"/>
      <c r="BHV22" s="57"/>
      <c r="BHW22" s="57"/>
      <c r="BHX22" s="56"/>
      <c r="BHY22" s="57"/>
      <c r="BHZ22" s="58"/>
      <c r="BIA22" s="56"/>
      <c r="BIB22" s="57"/>
      <c r="BIC22" s="57"/>
      <c r="BID22" s="57"/>
      <c r="BIE22" s="56"/>
      <c r="BIF22" s="57"/>
      <c r="BIG22" s="57"/>
      <c r="BIH22" s="57"/>
      <c r="BII22" s="57"/>
      <c r="BIJ22" s="57"/>
      <c r="BIK22" s="56"/>
      <c r="BIL22" s="57"/>
      <c r="BIM22" s="57"/>
      <c r="BIN22" s="56"/>
      <c r="BIO22" s="57"/>
      <c r="BIP22" s="58"/>
      <c r="BIQ22" s="56"/>
      <c r="BIR22" s="57"/>
      <c r="BIS22" s="57"/>
      <c r="BIT22" s="57"/>
      <c r="BIU22" s="56"/>
      <c r="BIV22" s="57"/>
      <c r="BIW22" s="57"/>
      <c r="BIX22" s="56"/>
      <c r="BIY22" s="57"/>
      <c r="BIZ22" s="58"/>
      <c r="BJA22" s="56"/>
      <c r="BJB22" s="57"/>
      <c r="BJC22" s="57"/>
      <c r="BJD22" s="57"/>
      <c r="BJE22" s="56"/>
      <c r="BJF22" s="57"/>
      <c r="BJG22" s="57"/>
      <c r="BJH22" s="57"/>
      <c r="BJI22" s="57"/>
      <c r="BJJ22" s="57"/>
      <c r="BJK22" s="56"/>
      <c r="BJL22" s="57"/>
      <c r="BJM22" s="57"/>
      <c r="BJN22" s="56"/>
      <c r="BJO22" s="57"/>
      <c r="BJP22" s="58"/>
      <c r="BJQ22" s="56"/>
      <c r="BJR22" s="57"/>
      <c r="BJS22" s="57"/>
      <c r="BJT22" s="57"/>
      <c r="BJU22" s="56"/>
      <c r="BJV22" s="57"/>
      <c r="BJW22" s="57"/>
      <c r="BJX22" s="56"/>
      <c r="BJY22" s="57"/>
      <c r="BJZ22" s="58"/>
      <c r="BKA22" s="56"/>
      <c r="BKB22" s="57"/>
      <c r="BKC22" s="57"/>
      <c r="BKD22" s="57"/>
      <c r="BKE22" s="56"/>
      <c r="BKF22" s="57"/>
      <c r="BKG22" s="57"/>
      <c r="BKH22" s="57"/>
      <c r="BKI22" s="57"/>
      <c r="BKJ22" s="57"/>
      <c r="BKK22" s="56"/>
      <c r="BKL22" s="57"/>
      <c r="BKM22" s="57"/>
      <c r="BKN22" s="56"/>
      <c r="BKO22" s="57"/>
      <c r="BKP22" s="58"/>
      <c r="BKQ22" s="56"/>
      <c r="BKR22" s="57"/>
      <c r="BKS22" s="57"/>
      <c r="BKT22" s="57"/>
      <c r="BKU22" s="56"/>
      <c r="BKV22" s="57"/>
      <c r="BKW22" s="57"/>
      <c r="BKX22" s="56"/>
      <c r="BKY22" s="57"/>
      <c r="BKZ22" s="58"/>
      <c r="BLA22" s="56"/>
      <c r="BLB22" s="57"/>
      <c r="BLC22" s="57"/>
      <c r="BLD22" s="57"/>
      <c r="BLE22" s="56"/>
      <c r="BLF22" s="57"/>
      <c r="BLG22" s="57"/>
      <c r="BLH22" s="57"/>
      <c r="BLI22" s="57"/>
      <c r="BLJ22" s="57"/>
      <c r="BLK22" s="56"/>
      <c r="BLL22" s="57"/>
      <c r="BLM22" s="57"/>
      <c r="BLN22" s="56"/>
      <c r="BLO22" s="57"/>
      <c r="BLP22" s="58"/>
      <c r="BLQ22" s="56"/>
      <c r="BLR22" s="57"/>
      <c r="BLS22" s="57"/>
      <c r="BLT22" s="57"/>
      <c r="BLU22" s="56"/>
      <c r="BLV22" s="57"/>
      <c r="BLW22" s="57"/>
      <c r="BLX22" s="56"/>
      <c r="BLY22" s="57"/>
      <c r="BLZ22" s="58"/>
      <c r="BMA22" s="56"/>
      <c r="BMB22" s="57"/>
      <c r="BMC22" s="57"/>
      <c r="BMD22" s="57"/>
      <c r="BME22" s="56"/>
      <c r="BMF22" s="57"/>
      <c r="BMG22" s="57"/>
      <c r="BMH22" s="57"/>
      <c r="BMI22" s="57"/>
      <c r="BMJ22" s="57"/>
      <c r="BMK22" s="56"/>
      <c r="BML22" s="57"/>
      <c r="BMM22" s="57"/>
      <c r="BMN22" s="56"/>
      <c r="BMO22" s="57"/>
      <c r="BMP22" s="58"/>
      <c r="BMQ22" s="56"/>
      <c r="BMR22" s="57"/>
      <c r="BMS22" s="57"/>
      <c r="BMT22" s="57"/>
      <c r="BMU22" s="56"/>
      <c r="BMV22" s="57"/>
      <c r="BMW22" s="57"/>
      <c r="BMX22" s="56"/>
      <c r="BMY22" s="57"/>
      <c r="BMZ22" s="58"/>
      <c r="BNA22" s="56"/>
      <c r="BNB22" s="57"/>
      <c r="BNC22" s="57"/>
      <c r="BND22" s="57"/>
      <c r="BNE22" s="56"/>
      <c r="BNF22" s="57"/>
      <c r="BNG22" s="57"/>
      <c r="BNH22" s="57"/>
      <c r="BNI22" s="57"/>
      <c r="BNJ22" s="57"/>
      <c r="BNK22" s="56"/>
      <c r="BNL22" s="57"/>
      <c r="BNM22" s="57"/>
      <c r="BNN22" s="56"/>
      <c r="BNO22" s="57"/>
      <c r="BNP22" s="58"/>
      <c r="BNQ22" s="56"/>
      <c r="BNR22" s="57"/>
      <c r="BNS22" s="57"/>
      <c r="BNT22" s="57"/>
      <c r="BNU22" s="56"/>
      <c r="BNV22" s="57"/>
      <c r="BNW22" s="57"/>
      <c r="BNX22" s="56"/>
      <c r="BNY22" s="57"/>
      <c r="BNZ22" s="58"/>
      <c r="BOA22" s="56"/>
      <c r="BOB22" s="57"/>
      <c r="BOC22" s="57"/>
      <c r="BOD22" s="57"/>
      <c r="BOE22" s="56"/>
      <c r="BOF22" s="57"/>
      <c r="BOG22" s="57"/>
      <c r="BOH22" s="57"/>
      <c r="BOI22" s="57"/>
      <c r="BOJ22" s="57"/>
      <c r="BOK22" s="56"/>
      <c r="BOL22" s="57"/>
      <c r="BOM22" s="57"/>
      <c r="BON22" s="56"/>
      <c r="BOO22" s="57"/>
      <c r="BOP22" s="58"/>
      <c r="BOQ22" s="56"/>
      <c r="BOR22" s="57"/>
      <c r="BOS22" s="57"/>
      <c r="BOT22" s="57"/>
      <c r="BOU22" s="56"/>
      <c r="BOV22" s="57"/>
      <c r="BOW22" s="57"/>
      <c r="BOX22" s="56"/>
      <c r="BOY22" s="57"/>
      <c r="BOZ22" s="58"/>
      <c r="BPA22" s="56"/>
      <c r="BPB22" s="57"/>
      <c r="BPC22" s="57"/>
      <c r="BPD22" s="57"/>
      <c r="BPE22" s="56"/>
      <c r="BPF22" s="57"/>
      <c r="BPG22" s="57"/>
      <c r="BPH22" s="57"/>
      <c r="BPI22" s="57"/>
      <c r="BPJ22" s="57"/>
      <c r="BPK22" s="56"/>
      <c r="BPL22" s="57"/>
      <c r="BPM22" s="57"/>
      <c r="BPN22" s="56"/>
      <c r="BPO22" s="57"/>
      <c r="BPP22" s="58"/>
      <c r="BPQ22" s="56"/>
      <c r="BPR22" s="57"/>
      <c r="BPS22" s="57"/>
      <c r="BPT22" s="57"/>
      <c r="BPU22" s="56"/>
      <c r="BPV22" s="57"/>
      <c r="BPW22" s="57"/>
      <c r="BPX22" s="56"/>
      <c r="BPY22" s="57"/>
      <c r="BPZ22" s="58"/>
      <c r="BQA22" s="56"/>
      <c r="BQB22" s="57"/>
      <c r="BQC22" s="57"/>
      <c r="BQD22" s="57"/>
      <c r="BQE22" s="56"/>
      <c r="BQF22" s="57"/>
      <c r="BQG22" s="57"/>
      <c r="BQH22" s="57"/>
      <c r="BQI22" s="57"/>
      <c r="BQJ22" s="57"/>
      <c r="BQK22" s="56"/>
      <c r="BQL22" s="57"/>
      <c r="BQM22" s="57"/>
      <c r="BQN22" s="56"/>
      <c r="BQO22" s="57"/>
      <c r="BQP22" s="58"/>
      <c r="BQQ22" s="56"/>
      <c r="BQR22" s="57"/>
      <c r="BQS22" s="57"/>
      <c r="BQT22" s="57"/>
      <c r="BQU22" s="56"/>
      <c r="BQV22" s="57"/>
      <c r="BQW22" s="57"/>
      <c r="BQX22" s="56"/>
      <c r="BQY22" s="57"/>
      <c r="BQZ22" s="58"/>
      <c r="BRA22" s="56"/>
      <c r="BRB22" s="57"/>
      <c r="BRC22" s="57"/>
      <c r="BRD22" s="57"/>
      <c r="BRE22" s="56"/>
      <c r="BRF22" s="57"/>
      <c r="BRG22" s="57"/>
      <c r="BRH22" s="57"/>
      <c r="BRI22" s="57"/>
      <c r="BRJ22" s="57"/>
      <c r="BRK22" s="56"/>
      <c r="BRL22" s="57"/>
      <c r="BRM22" s="57"/>
      <c r="BRN22" s="56"/>
      <c r="BRO22" s="57"/>
      <c r="BRP22" s="58"/>
      <c r="BRQ22" s="56"/>
      <c r="BRR22" s="57"/>
      <c r="BRS22" s="57"/>
      <c r="BRT22" s="57"/>
      <c r="BRU22" s="56"/>
      <c r="BRV22" s="57"/>
      <c r="BRW22" s="57"/>
      <c r="BRX22" s="56"/>
      <c r="BRY22" s="57"/>
      <c r="BRZ22" s="58"/>
      <c r="BSA22" s="56"/>
      <c r="BSB22" s="57"/>
      <c r="BSC22" s="57"/>
      <c r="BSD22" s="57"/>
      <c r="BSE22" s="56"/>
      <c r="BSF22" s="57"/>
      <c r="BSG22" s="57"/>
      <c r="BSH22" s="57"/>
      <c r="BSI22" s="57"/>
      <c r="BSJ22" s="57"/>
      <c r="BSK22" s="56"/>
      <c r="BSL22" s="57"/>
      <c r="BSM22" s="57"/>
      <c r="BSN22" s="56"/>
      <c r="BSO22" s="57"/>
      <c r="BSP22" s="58"/>
      <c r="BSQ22" s="56"/>
      <c r="BSR22" s="57"/>
      <c r="BSS22" s="57"/>
      <c r="BST22" s="57"/>
      <c r="BSU22" s="56"/>
      <c r="BSV22" s="57"/>
      <c r="BSW22" s="57"/>
      <c r="BSX22" s="56"/>
      <c r="BSY22" s="57"/>
      <c r="BSZ22" s="58"/>
      <c r="BTA22" s="56"/>
      <c r="BTB22" s="57"/>
      <c r="BTC22" s="57"/>
      <c r="BTD22" s="57"/>
      <c r="BTE22" s="56"/>
      <c r="BTF22" s="57"/>
      <c r="BTG22" s="57"/>
      <c r="BTH22" s="57"/>
      <c r="BTI22" s="57"/>
      <c r="BTJ22" s="57"/>
      <c r="BTK22" s="56"/>
      <c r="BTL22" s="57"/>
      <c r="BTM22" s="57"/>
      <c r="BTN22" s="56"/>
      <c r="BTO22" s="57"/>
      <c r="BTP22" s="58"/>
      <c r="BTQ22" s="56"/>
      <c r="BTR22" s="57"/>
      <c r="BTS22" s="57"/>
      <c r="BTT22" s="57"/>
      <c r="BTU22" s="56"/>
      <c r="BTV22" s="57"/>
      <c r="BTW22" s="57"/>
      <c r="BTX22" s="56"/>
      <c r="BTY22" s="57"/>
      <c r="BTZ22" s="58"/>
      <c r="BUA22" s="56"/>
      <c r="BUB22" s="57"/>
      <c r="BUC22" s="57"/>
      <c r="BUD22" s="57"/>
      <c r="BUE22" s="56"/>
      <c r="BUF22" s="57"/>
      <c r="BUG22" s="57"/>
      <c r="BUH22" s="57"/>
      <c r="BUI22" s="57"/>
      <c r="BUJ22" s="57"/>
      <c r="BUK22" s="56"/>
      <c r="BUL22" s="57"/>
      <c r="BUM22" s="57"/>
      <c r="BUN22" s="56"/>
      <c r="BUO22" s="57"/>
      <c r="BUP22" s="58"/>
      <c r="BUQ22" s="56"/>
      <c r="BUR22" s="57"/>
      <c r="BUS22" s="57"/>
      <c r="BUT22" s="57"/>
      <c r="BUU22" s="56"/>
      <c r="BUV22" s="57"/>
      <c r="BUW22" s="57"/>
      <c r="BUX22" s="56"/>
      <c r="BUY22" s="57"/>
      <c r="BUZ22" s="58"/>
      <c r="BVA22" s="56"/>
      <c r="BVB22" s="57"/>
      <c r="BVC22" s="57"/>
      <c r="BVD22" s="57"/>
      <c r="BVE22" s="56"/>
      <c r="BVF22" s="57"/>
      <c r="BVG22" s="57"/>
      <c r="BVH22" s="57"/>
      <c r="BVI22" s="57"/>
      <c r="BVJ22" s="57"/>
      <c r="BVK22" s="56"/>
      <c r="BVL22" s="57"/>
      <c r="BVM22" s="57"/>
      <c r="BVN22" s="56"/>
      <c r="BVO22" s="57"/>
      <c r="BVP22" s="58"/>
      <c r="BVQ22" s="56"/>
      <c r="BVR22" s="57"/>
      <c r="BVS22" s="57"/>
      <c r="BVT22" s="57"/>
      <c r="BVU22" s="56"/>
      <c r="BVV22" s="57"/>
      <c r="BVW22" s="57"/>
      <c r="BVX22" s="56"/>
      <c r="BVY22" s="57"/>
      <c r="BVZ22" s="58"/>
      <c r="BWA22" s="56"/>
      <c r="BWB22" s="57"/>
      <c r="BWC22" s="57"/>
      <c r="BWD22" s="57"/>
      <c r="BWE22" s="56"/>
      <c r="BWF22" s="57"/>
      <c r="BWG22" s="57"/>
      <c r="BWH22" s="57"/>
      <c r="BWI22" s="57"/>
      <c r="BWJ22" s="57"/>
      <c r="BWK22" s="56"/>
      <c r="BWL22" s="57"/>
      <c r="BWM22" s="57"/>
      <c r="BWN22" s="56"/>
      <c r="BWO22" s="57"/>
      <c r="BWP22" s="58"/>
      <c r="BWQ22" s="56"/>
      <c r="BWR22" s="57"/>
      <c r="BWS22" s="57"/>
      <c r="BWT22" s="57"/>
      <c r="BWU22" s="56"/>
      <c r="BWV22" s="57"/>
      <c r="BWW22" s="57"/>
      <c r="BWX22" s="56"/>
      <c r="BWY22" s="57"/>
      <c r="BWZ22" s="58"/>
      <c r="BXA22" s="56"/>
      <c r="BXB22" s="57"/>
      <c r="BXC22" s="57"/>
      <c r="BXD22" s="57"/>
      <c r="BXE22" s="56"/>
      <c r="BXF22" s="57"/>
      <c r="BXG22" s="57"/>
      <c r="BXH22" s="57"/>
      <c r="BXI22" s="57"/>
      <c r="BXJ22" s="57"/>
      <c r="BXK22" s="56"/>
      <c r="BXL22" s="57"/>
      <c r="BXM22" s="57"/>
      <c r="BXN22" s="56"/>
      <c r="BXO22" s="57"/>
      <c r="BXP22" s="58"/>
      <c r="BXQ22" s="56"/>
      <c r="BXR22" s="57"/>
      <c r="BXS22" s="57"/>
      <c r="BXT22" s="57"/>
      <c r="BXU22" s="56"/>
      <c r="BXV22" s="57"/>
      <c r="BXW22" s="57"/>
      <c r="BXX22" s="56"/>
      <c r="BXY22" s="57"/>
      <c r="BXZ22" s="58"/>
      <c r="BYA22" s="56"/>
      <c r="BYB22" s="57"/>
      <c r="BYC22" s="57"/>
      <c r="BYD22" s="57"/>
      <c r="BYE22" s="56"/>
      <c r="BYF22" s="57"/>
      <c r="BYG22" s="57"/>
      <c r="BYH22" s="57"/>
      <c r="BYI22" s="57"/>
      <c r="BYJ22" s="57"/>
      <c r="BYK22" s="56"/>
      <c r="BYL22" s="57"/>
      <c r="BYM22" s="57"/>
      <c r="BYN22" s="56"/>
      <c r="BYO22" s="57"/>
      <c r="BYP22" s="58"/>
      <c r="BYQ22" s="56"/>
      <c r="BYR22" s="57"/>
      <c r="BYS22" s="57"/>
      <c r="BYT22" s="57"/>
      <c r="BYU22" s="56"/>
      <c r="BYV22" s="57"/>
      <c r="BYW22" s="57"/>
      <c r="BYX22" s="58"/>
      <c r="BYY22" s="57"/>
      <c r="BYZ22" s="56"/>
      <c r="BZA22" s="57"/>
      <c r="BZB22" s="56"/>
      <c r="BZC22" s="56"/>
      <c r="BZD22" s="56"/>
      <c r="BZE22" s="57"/>
      <c r="BZF22" s="387"/>
      <c r="BZG22" s="57"/>
      <c r="BZH22" s="387"/>
      <c r="BZI22" s="57"/>
      <c r="BZJ22" s="387"/>
      <c r="BZK22" s="57"/>
      <c r="BZL22" s="57"/>
      <c r="BZM22" s="57"/>
      <c r="BZN22" s="57"/>
      <c r="BZO22" s="57"/>
      <c r="BZP22" s="57"/>
      <c r="BZQ22" s="57"/>
      <c r="BZR22" s="57"/>
      <c r="BZS22" s="57"/>
      <c r="BZT22" s="57"/>
      <c r="BZU22" s="57"/>
      <c r="BZV22" s="57"/>
      <c r="BZW22" s="57"/>
      <c r="BZX22" s="57"/>
      <c r="BZY22" s="57"/>
      <c r="BZZ22" s="57"/>
      <c r="CAA22" s="57"/>
      <c r="CAB22" s="57"/>
      <c r="CAC22" s="57"/>
      <c r="CAD22" s="57"/>
      <c r="CAE22" s="57"/>
      <c r="CAF22" s="57"/>
      <c r="CAG22" s="57"/>
      <c r="CAH22" s="57"/>
      <c r="CAI22" s="57"/>
      <c r="CAJ22" s="57"/>
      <c r="CAK22" s="57"/>
      <c r="CAL22" s="57"/>
      <c r="CAM22" s="57"/>
      <c r="CAN22" s="57"/>
      <c r="CAO22" s="57"/>
      <c r="CAP22" s="58"/>
      <c r="CAQ22" s="56"/>
      <c r="CAR22" s="57"/>
      <c r="CAS22" s="57"/>
      <c r="CAT22" s="57"/>
      <c r="CAU22" s="57"/>
      <c r="CAV22" s="57"/>
      <c r="CAW22" s="56"/>
      <c r="CAX22" s="57"/>
      <c r="CAY22" s="57"/>
      <c r="CAZ22" s="56"/>
      <c r="CBA22" s="57"/>
      <c r="CBB22" s="58"/>
      <c r="CBC22" s="56"/>
      <c r="CBD22" s="57"/>
      <c r="CBE22" s="57"/>
      <c r="CBF22" s="57"/>
      <c r="CBG22" s="56"/>
      <c r="CBH22" s="57"/>
      <c r="CBI22" s="57"/>
      <c r="CBJ22" s="56"/>
      <c r="CBK22" s="57"/>
      <c r="CBL22" s="58"/>
      <c r="CBM22" s="56"/>
      <c r="CBN22" s="57"/>
      <c r="CBO22" s="57"/>
      <c r="CBP22" s="57"/>
      <c r="CBQ22" s="56"/>
      <c r="CBR22" s="57"/>
      <c r="CBS22" s="57"/>
      <c r="CBT22" s="56"/>
      <c r="CBU22" s="57"/>
      <c r="CBV22" s="58"/>
      <c r="CBW22" s="56"/>
      <c r="CBX22" s="57"/>
      <c r="CBY22" s="57"/>
      <c r="CBZ22" s="57"/>
      <c r="CCA22" s="56"/>
      <c r="CCB22" s="57"/>
      <c r="CCC22" s="57"/>
      <c r="CCD22" s="56"/>
      <c r="CCE22" s="57"/>
      <c r="CCF22" s="58"/>
      <c r="CCG22" s="56"/>
      <c r="CCH22" s="58"/>
      <c r="CCI22" s="57"/>
      <c r="CCJ22" s="56"/>
      <c r="CCK22" s="57"/>
      <c r="CCL22" s="56"/>
      <c r="CCM22" s="56"/>
      <c r="CCN22" s="56"/>
      <c r="CCO22" s="57"/>
      <c r="CCP22" s="387"/>
      <c r="CCQ22" s="57"/>
      <c r="CCR22" s="387"/>
      <c r="CCS22" s="57"/>
      <c r="CCT22" s="387"/>
      <c r="CCU22" s="57"/>
      <c r="CCV22" s="57"/>
      <c r="CCW22" s="57"/>
      <c r="CCX22" s="57"/>
      <c r="CCY22" s="57"/>
      <c r="CCZ22" s="57"/>
      <c r="CDA22" s="57"/>
      <c r="CDB22" s="57"/>
      <c r="CDC22" s="57"/>
      <c r="CDD22" s="57"/>
      <c r="CDE22" s="57"/>
      <c r="CDF22" s="57"/>
      <c r="CDG22" s="57"/>
      <c r="CDH22" s="57"/>
      <c r="CDI22" s="57"/>
      <c r="CDJ22" s="57"/>
      <c r="CDK22" s="57"/>
      <c r="CDL22" s="57"/>
      <c r="CDM22" s="57"/>
      <c r="CDN22" s="57"/>
      <c r="CDO22" s="57"/>
      <c r="CDP22" s="57"/>
      <c r="CDQ22" s="57"/>
      <c r="CDR22" s="57"/>
      <c r="CDS22" s="57"/>
      <c r="CDT22" s="57"/>
      <c r="CDU22" s="57"/>
      <c r="CDV22" s="57"/>
      <c r="CDW22" s="57"/>
      <c r="CDX22" s="57"/>
      <c r="CDY22" s="57"/>
      <c r="CDZ22" s="58"/>
      <c r="CEA22" s="56"/>
      <c r="CEB22" s="57"/>
      <c r="CEC22" s="57"/>
      <c r="CED22" s="57"/>
      <c r="CEE22" s="57"/>
      <c r="CEF22" s="57"/>
      <c r="CEG22" s="56"/>
      <c r="CEH22" s="57"/>
      <c r="CEI22" s="57"/>
      <c r="CEJ22" s="56"/>
      <c r="CEK22" s="57"/>
      <c r="CEL22" s="58"/>
      <c r="CEM22" s="56"/>
      <c r="CEN22" s="57"/>
      <c r="CEO22" s="57"/>
      <c r="CEP22" s="57"/>
      <c r="CEQ22" s="56"/>
      <c r="CER22" s="57"/>
      <c r="CES22" s="57"/>
      <c r="CET22" s="56"/>
      <c r="CEU22" s="57"/>
      <c r="CEV22" s="58"/>
      <c r="CEW22" s="56"/>
      <c r="CEX22" s="57"/>
      <c r="CEY22" s="57"/>
      <c r="CEZ22" s="57"/>
      <c r="CFA22" s="56"/>
      <c r="CFB22" s="57"/>
      <c r="CFC22" s="57"/>
      <c r="CFD22" s="56"/>
      <c r="CFE22" s="57"/>
      <c r="CFF22" s="58"/>
      <c r="CFG22" s="56"/>
      <c r="CFH22" s="57"/>
      <c r="CFI22" s="57"/>
      <c r="CFJ22" s="57"/>
      <c r="CFK22" s="56"/>
      <c r="CFL22" s="57"/>
      <c r="CFM22" s="57"/>
      <c r="CFN22" s="56"/>
      <c r="CFO22" s="57"/>
      <c r="CFP22" s="58"/>
      <c r="CFQ22" s="56"/>
      <c r="CFR22" s="58"/>
      <c r="CFS22" s="57"/>
      <c r="CFT22" s="56"/>
      <c r="CFU22" s="57"/>
      <c r="CFV22" s="56"/>
      <c r="CFW22" s="56"/>
      <c r="CFX22" s="56"/>
      <c r="CFY22" s="57"/>
      <c r="CFZ22" s="387"/>
      <c r="CGA22" s="57"/>
      <c r="CGB22" s="387"/>
      <c r="CGC22" s="57"/>
      <c r="CGD22" s="387"/>
      <c r="CGE22" s="57"/>
      <c r="CGF22" s="57"/>
      <c r="CGG22" s="57"/>
      <c r="CGH22" s="57"/>
      <c r="CGI22" s="57"/>
      <c r="CGJ22" s="57"/>
      <c r="CGK22" s="57"/>
      <c r="CGL22" s="57"/>
      <c r="CGM22" s="57"/>
      <c r="CGN22" s="57"/>
      <c r="CGO22" s="57"/>
      <c r="CGP22" s="57"/>
      <c r="CGQ22" s="57"/>
      <c r="CGR22" s="57"/>
      <c r="CGS22" s="57"/>
      <c r="CGT22" s="57"/>
      <c r="CGU22" s="57"/>
      <c r="CGV22" s="57"/>
      <c r="CGW22" s="57"/>
      <c r="CGX22" s="57"/>
      <c r="CGY22" s="57"/>
      <c r="CGZ22" s="57"/>
      <c r="CHA22" s="57"/>
      <c r="CHB22" s="57"/>
      <c r="CHC22" s="57"/>
      <c r="CHD22" s="57"/>
      <c r="CHE22" s="57"/>
      <c r="CHF22" s="57"/>
      <c r="CHG22" s="57"/>
      <c r="CHH22" s="57"/>
      <c r="CHI22" s="57"/>
      <c r="CHJ22" s="58"/>
      <c r="CHK22" s="56"/>
      <c r="CHL22" s="57"/>
      <c r="CHM22" s="57"/>
      <c r="CHN22" s="57"/>
      <c r="CHO22" s="57"/>
      <c r="CHP22" s="57"/>
      <c r="CHQ22" s="56"/>
      <c r="CHR22" s="57"/>
      <c r="CHS22" s="57"/>
      <c r="CHT22" s="56"/>
      <c r="CHU22" s="57"/>
      <c r="CHV22" s="58"/>
      <c r="CHW22" s="56"/>
      <c r="CHX22" s="57"/>
      <c r="CHY22" s="57"/>
      <c r="CHZ22" s="57"/>
      <c r="CIA22" s="56"/>
      <c r="CIB22" s="57"/>
      <c r="CIC22" s="57"/>
      <c r="CID22" s="56"/>
      <c r="CIE22" s="57"/>
      <c r="CIF22" s="58"/>
      <c r="CIG22" s="56"/>
      <c r="CIH22" s="57"/>
      <c r="CII22" s="57"/>
      <c r="CIJ22" s="57"/>
      <c r="CIK22" s="56"/>
      <c r="CIL22" s="57"/>
      <c r="CIM22" s="57"/>
      <c r="CIN22" s="56"/>
      <c r="CIO22" s="57"/>
      <c r="CIP22" s="58"/>
      <c r="CIQ22" s="56"/>
      <c r="CIR22" s="57"/>
      <c r="CIS22" s="57"/>
      <c r="CIT22" s="57"/>
      <c r="CIU22" s="56"/>
      <c r="CIV22" s="57"/>
      <c r="CIW22" s="57"/>
      <c r="CIX22" s="56"/>
      <c r="CIY22" s="57"/>
      <c r="CIZ22" s="58"/>
      <c r="CJA22" s="56"/>
      <c r="CJB22" s="58"/>
      <c r="CJC22" s="57"/>
      <c r="CJD22" s="56"/>
      <c r="CJE22" s="57"/>
      <c r="CJF22" s="56"/>
      <c r="CJG22" s="56"/>
      <c r="CJH22" s="56"/>
      <c r="CJI22" s="57"/>
      <c r="CJJ22" s="387"/>
      <c r="CJK22" s="57"/>
      <c r="CJL22" s="387"/>
      <c r="CJM22" s="57"/>
      <c r="CJN22" s="387"/>
      <c r="CJO22" s="57"/>
      <c r="CJP22" s="57"/>
      <c r="CJQ22" s="57"/>
      <c r="CJR22" s="57"/>
      <c r="CJS22" s="57"/>
      <c r="CJT22" s="57"/>
      <c r="CJU22" s="57"/>
      <c r="CJV22" s="57"/>
      <c r="CJW22" s="57"/>
      <c r="CJX22" s="57"/>
      <c r="CJY22" s="57"/>
      <c r="CJZ22" s="57"/>
      <c r="CKA22" s="57"/>
      <c r="CKB22" s="57"/>
      <c r="CKC22" s="57"/>
      <c r="CKD22" s="57"/>
      <c r="CKE22" s="57"/>
      <c r="CKF22" s="57"/>
      <c r="CKG22" s="57"/>
      <c r="CKH22" s="57"/>
      <c r="CKI22" s="57"/>
      <c r="CKJ22" s="57"/>
      <c r="CKK22" s="57"/>
      <c r="CKL22" s="57"/>
      <c r="CKM22" s="57"/>
      <c r="CKN22" s="57"/>
      <c r="CKO22" s="57"/>
      <c r="CKP22" s="57"/>
      <c r="CKQ22" s="57"/>
      <c r="CKR22" s="57"/>
      <c r="CKS22" s="57"/>
      <c r="CKT22" s="58"/>
      <c r="CKU22" s="56"/>
      <c r="CKV22" s="57"/>
      <c r="CKW22" s="57"/>
      <c r="CKX22" s="57"/>
      <c r="CKY22" s="57"/>
      <c r="CKZ22" s="57"/>
      <c r="CLA22" s="56"/>
      <c r="CLB22" s="57"/>
      <c r="CLC22" s="57"/>
      <c r="CLD22" s="56"/>
      <c r="CLE22" s="57"/>
      <c r="CLF22" s="58"/>
      <c r="CLG22" s="56"/>
      <c r="CLH22" s="57"/>
      <c r="CLI22" s="57"/>
      <c r="CLJ22" s="57"/>
      <c r="CLK22" s="56"/>
      <c r="CLL22" s="57"/>
      <c r="CLM22" s="57"/>
      <c r="CLN22" s="56"/>
      <c r="CLO22" s="57"/>
      <c r="CLP22" s="58"/>
      <c r="CLQ22" s="56"/>
      <c r="CLR22" s="57"/>
      <c r="CLS22" s="57"/>
      <c r="CLT22" s="57"/>
      <c r="CLU22" s="56"/>
      <c r="CLV22" s="57"/>
      <c r="CLW22" s="57"/>
      <c r="CLX22" s="56"/>
      <c r="CLY22" s="57"/>
      <c r="CLZ22" s="58"/>
      <c r="CMA22" s="56"/>
      <c r="CMB22" s="57"/>
      <c r="CMC22" s="57"/>
      <c r="CMD22" s="57"/>
      <c r="CME22" s="56"/>
      <c r="CMF22" s="57"/>
      <c r="CMG22" s="57"/>
      <c r="CMH22" s="56"/>
      <c r="CMI22" s="57"/>
      <c r="CMJ22" s="58"/>
      <c r="CMK22" s="56"/>
      <c r="CML22" s="58"/>
      <c r="CMM22" s="57"/>
      <c r="CMN22" s="56"/>
      <c r="CMO22" s="57"/>
      <c r="CMP22" s="56"/>
      <c r="CMQ22" s="56"/>
      <c r="CMR22" s="56"/>
      <c r="CMS22" s="57"/>
      <c r="CMT22" s="387"/>
      <c r="CMU22" s="57"/>
      <c r="CMV22" s="387"/>
      <c r="CMW22" s="57"/>
      <c r="CMX22" s="387"/>
      <c r="CMY22" s="57"/>
      <c r="CMZ22" s="57"/>
      <c r="CNA22" s="57"/>
      <c r="CNB22" s="57"/>
      <c r="CNC22" s="57"/>
      <c r="CND22" s="57"/>
      <c r="CNE22" s="57"/>
      <c r="CNF22" s="57"/>
      <c r="CNG22" s="57"/>
      <c r="CNH22" s="57"/>
      <c r="CNI22" s="57"/>
      <c r="CNJ22" s="57"/>
      <c r="CNK22" s="57"/>
      <c r="CNL22" s="57"/>
      <c r="CNM22" s="57"/>
      <c r="CNN22" s="57"/>
      <c r="CNO22" s="57"/>
      <c r="CNP22" s="57"/>
      <c r="CNQ22" s="57"/>
      <c r="CNR22" s="57"/>
      <c r="CNS22" s="57"/>
      <c r="CNT22" s="57"/>
      <c r="CNU22" s="57"/>
      <c r="CNV22" s="57"/>
      <c r="CNW22" s="57"/>
      <c r="CNX22" s="57"/>
      <c r="CNY22" s="57"/>
      <c r="CNZ22" s="57"/>
      <c r="COA22" s="57"/>
      <c r="COB22" s="57"/>
      <c r="COC22" s="57"/>
      <c r="COD22" s="58"/>
      <c r="COE22" s="56"/>
      <c r="COF22" s="57"/>
      <c r="COG22" s="57"/>
      <c r="COH22" s="57"/>
      <c r="COI22" s="57"/>
      <c r="COJ22" s="57"/>
      <c r="COK22" s="56"/>
      <c r="COL22" s="57"/>
      <c r="COM22" s="57"/>
      <c r="CON22" s="56"/>
      <c r="COO22" s="57"/>
      <c r="COP22" s="58"/>
      <c r="COQ22" s="56"/>
      <c r="COR22" s="57"/>
      <c r="COS22" s="57"/>
      <c r="COT22" s="57"/>
      <c r="COU22" s="56"/>
      <c r="COV22" s="57"/>
      <c r="COW22" s="57"/>
      <c r="COX22" s="56"/>
      <c r="COY22" s="57"/>
      <c r="COZ22" s="58"/>
      <c r="CPA22" s="56"/>
      <c r="CPB22" s="57"/>
      <c r="CPC22" s="57"/>
      <c r="CPD22" s="57"/>
      <c r="CPE22" s="56"/>
      <c r="CPF22" s="57"/>
      <c r="CPG22" s="57"/>
      <c r="CPH22" s="56"/>
      <c r="CPI22" s="57"/>
      <c r="CPJ22" s="58"/>
      <c r="CPK22" s="56"/>
      <c r="CPL22" s="57"/>
      <c r="CPM22" s="57"/>
      <c r="CPN22" s="57"/>
      <c r="CPO22" s="56"/>
      <c r="CPP22" s="57"/>
      <c r="CPQ22" s="57"/>
      <c r="CPR22" s="56"/>
      <c r="CPS22" s="57"/>
      <c r="CPT22" s="58"/>
      <c r="CPU22" s="56"/>
      <c r="CPV22" s="58"/>
      <c r="CPW22" s="57"/>
      <c r="CPX22" s="56"/>
      <c r="CPY22" s="57"/>
      <c r="CPZ22" s="56"/>
      <c r="CQA22" s="56"/>
      <c r="CQB22" s="56"/>
      <c r="CQC22" s="57"/>
      <c r="CQD22" s="387"/>
      <c r="CQE22" s="57"/>
      <c r="CQF22" s="387"/>
      <c r="CQG22" s="57"/>
      <c r="CQH22" s="387"/>
      <c r="CQI22" s="57"/>
      <c r="CQJ22" s="57"/>
      <c r="CQK22" s="57"/>
      <c r="CQL22" s="57"/>
      <c r="CQM22" s="57"/>
      <c r="CQN22" s="57"/>
      <c r="CQO22" s="57"/>
      <c r="CQP22" s="57"/>
      <c r="CQQ22" s="57"/>
      <c r="CQR22" s="57"/>
      <c r="CQS22" s="57"/>
      <c r="CQT22" s="57"/>
      <c r="CQU22" s="57"/>
      <c r="CQV22" s="57"/>
      <c r="CQW22" s="57"/>
      <c r="CQX22" s="57"/>
      <c r="CQY22" s="57"/>
      <c r="CQZ22" s="57"/>
      <c r="CRA22" s="57"/>
      <c r="CRB22" s="57"/>
      <c r="CRC22" s="57"/>
      <c r="CRD22" s="57"/>
      <c r="CRE22" s="57"/>
      <c r="CRF22" s="57"/>
      <c r="CRG22" s="57"/>
      <c r="CRH22" s="57"/>
      <c r="CRI22" s="57"/>
      <c r="CRJ22" s="57"/>
      <c r="CRK22" s="57"/>
      <c r="CRL22" s="57"/>
      <c r="CRM22" s="57"/>
      <c r="CRN22" s="58"/>
      <c r="CRO22" s="56"/>
      <c r="CRP22" s="57"/>
      <c r="CRQ22" s="57"/>
      <c r="CRR22" s="57"/>
      <c r="CRS22" s="57"/>
      <c r="CRT22" s="57"/>
      <c r="CRU22" s="56"/>
      <c r="CRV22" s="57"/>
      <c r="CRW22" s="57"/>
      <c r="CRX22" s="56"/>
      <c r="CRY22" s="57"/>
      <c r="CRZ22" s="58"/>
      <c r="CSA22" s="56"/>
      <c r="CSB22" s="57"/>
      <c r="CSC22" s="57"/>
      <c r="CSD22" s="57"/>
      <c r="CSE22" s="56"/>
      <c r="CSF22" s="57"/>
      <c r="CSG22" s="57"/>
      <c r="CSH22" s="56"/>
      <c r="CSI22" s="57"/>
      <c r="CSJ22" s="58"/>
      <c r="CSK22" s="56"/>
      <c r="CSL22" s="57"/>
      <c r="CSM22" s="57"/>
      <c r="CSN22" s="57"/>
      <c r="CSO22" s="56"/>
      <c r="CSP22" s="57"/>
      <c r="CSQ22" s="57"/>
      <c r="CSR22" s="56"/>
      <c r="CSS22" s="57"/>
      <c r="CST22" s="58"/>
      <c r="CSU22" s="56"/>
      <c r="CSV22" s="57"/>
      <c r="CSW22" s="57"/>
      <c r="CSX22" s="57"/>
      <c r="CSY22" s="56"/>
      <c r="CSZ22" s="57"/>
      <c r="CTA22" s="57"/>
      <c r="CTB22" s="56"/>
      <c r="CTC22" s="57"/>
      <c r="CTD22" s="58"/>
      <c r="CTE22" s="56"/>
      <c r="CTF22" s="58"/>
      <c r="CTG22" s="57"/>
      <c r="CTH22" s="56"/>
      <c r="CTI22" s="57"/>
      <c r="CTJ22" s="56"/>
      <c r="CTK22" s="56"/>
      <c r="CTL22" s="56"/>
      <c r="CTM22" s="57"/>
      <c r="CTN22" s="387"/>
      <c r="CTO22" s="57"/>
      <c r="CTP22" s="387"/>
      <c r="CTQ22" s="57"/>
      <c r="CTR22" s="387"/>
      <c r="CTS22" s="57"/>
      <c r="CTT22" s="57"/>
      <c r="CTU22" s="57"/>
      <c r="CTV22" s="57"/>
      <c r="CTW22" s="57"/>
      <c r="CTX22" s="57"/>
      <c r="CTY22" s="57"/>
      <c r="CTZ22" s="57"/>
      <c r="CUA22" s="57"/>
      <c r="CUB22" s="57"/>
      <c r="CUC22" s="57"/>
      <c r="CUD22" s="57"/>
      <c r="CUE22" s="57"/>
      <c r="CUF22" s="57"/>
      <c r="CUG22" s="57"/>
      <c r="CUH22" s="57"/>
      <c r="CUI22" s="57"/>
      <c r="CUJ22" s="57"/>
      <c r="CUK22" s="57"/>
      <c r="CUL22" s="57"/>
      <c r="CUM22" s="57"/>
      <c r="CUN22" s="57"/>
      <c r="CUO22" s="57"/>
      <c r="CUP22" s="57"/>
      <c r="CUQ22" s="57"/>
      <c r="CUR22" s="57"/>
      <c r="CUS22" s="57"/>
      <c r="CUT22" s="57"/>
      <c r="CUU22" s="57"/>
      <c r="CUV22" s="57"/>
      <c r="CUW22" s="57"/>
      <c r="CUX22" s="58"/>
      <c r="CUY22" s="56"/>
      <c r="CUZ22" s="57"/>
      <c r="CVA22" s="57"/>
      <c r="CVB22" s="57"/>
      <c r="CVC22" s="57"/>
      <c r="CVD22" s="57"/>
      <c r="CVE22" s="56"/>
      <c r="CVF22" s="57"/>
      <c r="CVG22" s="57"/>
      <c r="CVH22" s="56"/>
      <c r="CVI22" s="57"/>
      <c r="CVJ22" s="58"/>
      <c r="CVK22" s="56"/>
      <c r="CVL22" s="57"/>
      <c r="CVM22" s="57"/>
      <c r="CVN22" s="57"/>
      <c r="CVO22" s="56"/>
      <c r="CVP22" s="57"/>
      <c r="CVQ22" s="57"/>
      <c r="CVR22" s="56"/>
      <c r="CVS22" s="57"/>
      <c r="CVT22" s="58"/>
      <c r="CVU22" s="56"/>
      <c r="CVV22" s="57"/>
      <c r="CVW22" s="57"/>
      <c r="CVX22" s="57"/>
      <c r="CVY22" s="56"/>
      <c r="CVZ22" s="57"/>
      <c r="CWA22" s="57"/>
      <c r="CWB22" s="56"/>
      <c r="CWC22" s="57"/>
      <c r="CWD22" s="58"/>
      <c r="CWE22" s="56"/>
      <c r="CWF22" s="57"/>
      <c r="CWG22" s="57"/>
      <c r="CWH22" s="57"/>
      <c r="CWI22" s="56"/>
      <c r="CWJ22" s="57"/>
      <c r="CWK22" s="57"/>
      <c r="CWL22" s="56"/>
      <c r="CWM22" s="57"/>
      <c r="CWN22" s="58"/>
      <c r="CWO22" s="56"/>
      <c r="CWP22" s="58"/>
      <c r="CWQ22" s="57"/>
      <c r="CWR22" s="56"/>
      <c r="CWS22" s="57"/>
      <c r="CWT22" s="56"/>
      <c r="CWU22" s="56"/>
      <c r="CWV22" s="56"/>
      <c r="CWW22" s="57"/>
      <c r="CWX22" s="387"/>
      <c r="CWY22" s="57"/>
      <c r="CWZ22" s="387"/>
      <c r="CXA22" s="57"/>
      <c r="CXB22" s="387"/>
      <c r="CXC22" s="57"/>
      <c r="CXD22" s="57"/>
      <c r="CXE22" s="57"/>
      <c r="CXF22" s="57"/>
      <c r="CXG22" s="57"/>
      <c r="CXH22" s="57"/>
      <c r="CXI22" s="57"/>
      <c r="CXJ22" s="57"/>
      <c r="CXK22" s="57"/>
      <c r="CXL22" s="57"/>
      <c r="CXM22" s="57"/>
      <c r="CXN22" s="57"/>
      <c r="CXO22" s="57"/>
      <c r="CXP22" s="57"/>
      <c r="CXQ22" s="57"/>
      <c r="CXR22" s="57"/>
      <c r="CXS22" s="57"/>
      <c r="CXT22" s="57"/>
      <c r="CXU22" s="57"/>
      <c r="CXV22" s="57"/>
      <c r="CXW22" s="57"/>
      <c r="CXX22" s="57"/>
      <c r="CXY22" s="57"/>
      <c r="CXZ22" s="57"/>
      <c r="CYA22" s="57"/>
      <c r="CYB22" s="57"/>
      <c r="CYC22" s="57"/>
      <c r="CYD22" s="57"/>
      <c r="CYE22" s="57"/>
      <c r="CYF22" s="57"/>
      <c r="CYG22" s="57"/>
      <c r="CYH22" s="58"/>
      <c r="CYI22" s="56"/>
      <c r="CYJ22" s="57"/>
      <c r="CYK22" s="57"/>
      <c r="CYL22" s="57"/>
      <c r="CYM22" s="57"/>
      <c r="CYN22" s="57"/>
      <c r="CYO22" s="56"/>
      <c r="CYP22" s="57"/>
      <c r="CYQ22" s="57"/>
      <c r="CYR22" s="56"/>
      <c r="CYS22" s="57"/>
      <c r="CYT22" s="58"/>
      <c r="CYU22" s="56"/>
      <c r="CYV22" s="57"/>
      <c r="CYW22" s="57"/>
      <c r="CYX22" s="57"/>
      <c r="CYY22" s="56"/>
      <c r="CYZ22" s="57"/>
      <c r="CZA22" s="57"/>
      <c r="CZB22" s="56"/>
      <c r="CZC22" s="57"/>
      <c r="CZD22" s="58"/>
      <c r="CZE22" s="56"/>
      <c r="CZF22" s="57"/>
      <c r="CZG22" s="57"/>
      <c r="CZH22" s="57"/>
      <c r="CZI22" s="56"/>
      <c r="CZJ22" s="57"/>
      <c r="CZK22" s="57"/>
      <c r="CZL22" s="56"/>
      <c r="CZM22" s="57"/>
      <c r="CZN22" s="58"/>
      <c r="CZO22" s="56"/>
      <c r="CZP22" s="57"/>
      <c r="CZQ22" s="57"/>
      <c r="CZR22" s="57"/>
      <c r="CZS22" s="56"/>
      <c r="CZT22" s="57"/>
      <c r="CZU22" s="57"/>
      <c r="CZV22" s="56"/>
      <c r="CZW22" s="57"/>
      <c r="CZX22" s="58"/>
      <c r="CZY22" s="56"/>
      <c r="CZZ22" s="58"/>
      <c r="DAA22" s="57"/>
      <c r="DAB22" s="56"/>
      <c r="DAC22" s="57"/>
      <c r="DAD22" s="56"/>
      <c r="DAE22" s="56"/>
      <c r="DAF22" s="56"/>
      <c r="DAG22" s="57"/>
      <c r="DAH22" s="387"/>
      <c r="DAI22" s="57"/>
      <c r="DAJ22" s="387"/>
      <c r="DAK22" s="57"/>
      <c r="DAL22" s="387"/>
      <c r="DAM22" s="57"/>
      <c r="DAN22" s="57"/>
      <c r="DAO22" s="57"/>
      <c r="DAP22" s="57"/>
      <c r="DAQ22" s="57"/>
      <c r="DAR22" s="57"/>
      <c r="DAS22" s="57"/>
      <c r="DAT22" s="57"/>
      <c r="DAU22" s="57"/>
      <c r="DAV22" s="57"/>
      <c r="DAW22" s="57"/>
      <c r="DAX22" s="57"/>
      <c r="DAY22" s="57"/>
      <c r="DAZ22" s="57"/>
      <c r="DBA22" s="57"/>
      <c r="DBB22" s="57"/>
      <c r="DBC22" s="57"/>
      <c r="DBD22" s="57"/>
      <c r="DBE22" s="57"/>
      <c r="DBF22" s="57"/>
      <c r="DBG22" s="57"/>
      <c r="DBH22" s="57"/>
      <c r="DBI22" s="57"/>
      <c r="DBJ22" s="57"/>
      <c r="DBK22" s="57"/>
      <c r="DBL22" s="57"/>
      <c r="DBM22" s="57"/>
      <c r="DBN22" s="57"/>
      <c r="DBO22" s="57"/>
      <c r="DBP22" s="57"/>
      <c r="DBQ22" s="57"/>
      <c r="DBR22" s="58"/>
      <c r="DBS22" s="56"/>
      <c r="DBT22" s="57"/>
      <c r="DBU22" s="57"/>
      <c r="DBV22" s="57"/>
      <c r="DBW22" s="57"/>
      <c r="DBX22" s="57"/>
      <c r="DBY22" s="56"/>
      <c r="DBZ22" s="57"/>
      <c r="DCA22" s="57"/>
      <c r="DCB22" s="56"/>
      <c r="DCC22" s="57"/>
      <c r="DCD22" s="58"/>
      <c r="DCE22" s="56"/>
      <c r="DCF22" s="57"/>
      <c r="DCG22" s="57"/>
      <c r="DCH22" s="57"/>
      <c r="DCI22" s="56"/>
      <c r="DCJ22" s="57"/>
      <c r="DCK22" s="57"/>
      <c r="DCL22" s="56"/>
      <c r="DCM22" s="57"/>
      <c r="DCN22" s="58"/>
      <c r="DCO22" s="56"/>
      <c r="DCP22" s="57"/>
      <c r="DCQ22" s="57"/>
      <c r="DCR22" s="57"/>
      <c r="DCS22" s="56"/>
      <c r="DCT22" s="57"/>
      <c r="DCU22" s="57"/>
      <c r="DCV22" s="56"/>
      <c r="DCW22" s="57"/>
      <c r="DCX22" s="58"/>
      <c r="DCY22" s="56"/>
      <c r="DCZ22" s="57"/>
      <c r="DDA22" s="57"/>
      <c r="DDB22" s="57"/>
      <c r="DDC22" s="56"/>
      <c r="DDD22" s="57"/>
      <c r="DDE22" s="57"/>
      <c r="DDF22" s="56"/>
      <c r="DDG22" s="57"/>
      <c r="DDH22" s="58"/>
      <c r="DDI22" s="56"/>
      <c r="DDJ22" s="58"/>
      <c r="DDK22" s="57"/>
      <c r="DDL22" s="56"/>
      <c r="DDM22" s="57"/>
      <c r="DDN22" s="56"/>
      <c r="DDO22" s="56"/>
      <c r="DDP22" s="56"/>
      <c r="DDQ22" s="57"/>
      <c r="DDR22" s="387"/>
      <c r="DDS22" s="57"/>
      <c r="DDT22" s="387"/>
      <c r="DDU22" s="57"/>
      <c r="DDV22" s="387"/>
      <c r="DDW22" s="57"/>
      <c r="DDX22" s="57"/>
      <c r="DDY22" s="57"/>
      <c r="DDZ22" s="57"/>
      <c r="DEA22" s="57"/>
      <c r="DEB22" s="57"/>
      <c r="DEC22" s="57"/>
      <c r="DED22" s="57"/>
      <c r="DEE22" s="57"/>
      <c r="DEF22" s="57"/>
      <c r="DEG22" s="57"/>
      <c r="DEH22" s="57"/>
      <c r="DEI22" s="57"/>
      <c r="DEJ22" s="57"/>
      <c r="DEK22" s="57"/>
      <c r="DEL22" s="57"/>
      <c r="DEM22" s="57"/>
      <c r="DEN22" s="57"/>
      <c r="DEO22" s="57"/>
      <c r="DEP22" s="57"/>
      <c r="DEQ22" s="57"/>
      <c r="DER22" s="57"/>
      <c r="DES22" s="57"/>
      <c r="DET22" s="57"/>
      <c r="DEU22" s="57"/>
      <c r="DEV22" s="57"/>
      <c r="DEW22" s="57"/>
      <c r="DEX22" s="57"/>
      <c r="DEY22" s="57"/>
      <c r="DEZ22" s="57"/>
      <c r="DFA22" s="57"/>
      <c r="DFB22" s="58"/>
      <c r="DFC22" s="56"/>
      <c r="DFD22" s="57"/>
      <c r="DFE22" s="57"/>
      <c r="DFF22" s="57"/>
      <c r="DFG22" s="57"/>
      <c r="DFH22" s="57"/>
      <c r="DFI22" s="56"/>
      <c r="DFJ22" s="57"/>
      <c r="DFK22" s="57"/>
      <c r="DFL22" s="56"/>
      <c r="DFM22" s="57"/>
      <c r="DFN22" s="58"/>
      <c r="DFO22" s="56"/>
      <c r="DFP22" s="57"/>
      <c r="DFQ22" s="57"/>
      <c r="DFR22" s="57"/>
      <c r="DFS22" s="56"/>
      <c r="DFT22" s="57"/>
      <c r="DFU22" s="57"/>
      <c r="DFV22" s="56"/>
      <c r="DFW22" s="57"/>
      <c r="DFX22" s="58"/>
      <c r="DFY22" s="56"/>
      <c r="DFZ22" s="57"/>
      <c r="DGA22" s="57"/>
      <c r="DGB22" s="57"/>
      <c r="DGC22" s="56"/>
      <c r="DGD22" s="57"/>
      <c r="DGE22" s="57"/>
      <c r="DGF22" s="56"/>
      <c r="DGG22" s="57"/>
      <c r="DGH22" s="58"/>
      <c r="DGI22" s="56"/>
      <c r="DGJ22" s="57"/>
      <c r="DGK22" s="57"/>
      <c r="DGL22" s="57"/>
      <c r="DGM22" s="56"/>
      <c r="DGN22" s="57"/>
      <c r="DGO22" s="57"/>
      <c r="DGP22" s="56"/>
      <c r="DGQ22" s="57"/>
      <c r="DGR22" s="58"/>
      <c r="DGS22" s="56"/>
      <c r="DGT22" s="58"/>
      <c r="DGU22" s="57"/>
      <c r="DGV22" s="56"/>
      <c r="DGW22" s="57"/>
      <c r="DGX22" s="56"/>
      <c r="DGY22" s="56"/>
      <c r="DGZ22" s="56"/>
      <c r="DHA22" s="57"/>
      <c r="DHB22" s="387"/>
      <c r="DHC22" s="57"/>
      <c r="DHD22" s="387"/>
      <c r="DHE22" s="57"/>
      <c r="DHF22" s="387"/>
      <c r="DHG22" s="57"/>
      <c r="DHH22" s="57"/>
      <c r="DHI22" s="57"/>
      <c r="DHJ22" s="57"/>
      <c r="DHK22" s="57"/>
      <c r="DHL22" s="57"/>
      <c r="DHM22" s="57"/>
      <c r="DHN22" s="57"/>
      <c r="DHO22" s="57"/>
      <c r="DHP22" s="57"/>
      <c r="DHQ22" s="57"/>
      <c r="DHR22" s="57"/>
      <c r="DHS22" s="57"/>
      <c r="DHT22" s="57"/>
      <c r="DHU22" s="57"/>
      <c r="DHV22" s="57"/>
      <c r="DHW22" s="57"/>
      <c r="DHX22" s="57"/>
      <c r="DHY22" s="57"/>
      <c r="DHZ22" s="57"/>
      <c r="DIA22" s="57"/>
      <c r="DIB22" s="57"/>
      <c r="DIC22" s="57"/>
      <c r="DID22" s="57"/>
      <c r="DIE22" s="57"/>
      <c r="DIF22" s="57"/>
      <c r="DIG22" s="57"/>
      <c r="DIH22" s="57"/>
      <c r="DII22" s="57"/>
      <c r="DIJ22" s="57"/>
      <c r="DIK22" s="57"/>
      <c r="DIL22" s="58"/>
      <c r="DIM22" s="56"/>
      <c r="DIN22" s="57"/>
      <c r="DIO22" s="57"/>
      <c r="DIP22" s="57"/>
      <c r="DIQ22" s="57"/>
      <c r="DIR22" s="57"/>
      <c r="DIS22" s="56"/>
      <c r="DIT22" s="57"/>
      <c r="DIU22" s="57"/>
      <c r="DIV22" s="56"/>
      <c r="DIW22" s="57"/>
      <c r="DIX22" s="58"/>
      <c r="DIY22" s="56"/>
      <c r="DIZ22" s="57"/>
      <c r="DJA22" s="57"/>
      <c r="DJB22" s="57"/>
      <c r="DJC22" s="56"/>
      <c r="DJD22" s="57"/>
      <c r="DJE22" s="57"/>
      <c r="DJF22" s="56"/>
      <c r="DJG22" s="57"/>
      <c r="DJH22" s="58"/>
      <c r="DJI22" s="56"/>
      <c r="DJJ22" s="57"/>
      <c r="DJK22" s="57"/>
      <c r="DJL22" s="57"/>
      <c r="DJM22" s="56"/>
      <c r="DJN22" s="57"/>
      <c r="DJO22" s="57"/>
      <c r="DJP22" s="56"/>
      <c r="DJQ22" s="57"/>
      <c r="DJR22" s="58"/>
      <c r="DJS22" s="56"/>
      <c r="DJT22" s="57"/>
      <c r="DJU22" s="57"/>
      <c r="DJV22" s="57"/>
      <c r="DJW22" s="56"/>
      <c r="DJX22" s="57"/>
      <c r="DJY22" s="57"/>
      <c r="DJZ22" s="56"/>
      <c r="DKA22" s="57"/>
      <c r="DKB22" s="58"/>
      <c r="DKC22" s="56"/>
      <c r="DKD22" s="58"/>
      <c r="DKE22" s="57"/>
      <c r="DKF22" s="56"/>
      <c r="DKG22" s="57"/>
      <c r="DKH22" s="56"/>
      <c r="DKI22" s="56"/>
      <c r="DKJ22" s="56"/>
      <c r="DKK22" s="57"/>
      <c r="DKL22" s="387"/>
      <c r="DKM22" s="57"/>
      <c r="DKN22" s="387"/>
      <c r="DKO22" s="57"/>
      <c r="DKP22" s="387"/>
      <c r="DKQ22" s="57"/>
      <c r="DKR22" s="57"/>
      <c r="DKS22" s="57"/>
      <c r="DKT22" s="57"/>
      <c r="DKU22" s="57"/>
      <c r="DKV22" s="57"/>
      <c r="DKW22" s="57"/>
      <c r="DKX22" s="57"/>
      <c r="DKY22" s="57"/>
      <c r="DKZ22" s="57"/>
      <c r="DLA22" s="57"/>
      <c r="DLB22" s="57"/>
      <c r="DLC22" s="57"/>
      <c r="DLD22" s="57"/>
      <c r="DLE22" s="57"/>
      <c r="DLF22" s="57"/>
      <c r="DLG22" s="57"/>
      <c r="DLH22" s="57"/>
      <c r="DLI22" s="57"/>
      <c r="DLJ22" s="57"/>
      <c r="DLK22" s="57"/>
      <c r="DLL22" s="57"/>
      <c r="DLM22" s="57"/>
      <c r="DLN22" s="57"/>
      <c r="DLO22" s="57"/>
      <c r="DLP22" s="57"/>
      <c r="DLQ22" s="57"/>
      <c r="DLR22" s="57"/>
      <c r="DLS22" s="57"/>
      <c r="DLT22" s="57"/>
      <c r="DLU22" s="57"/>
      <c r="DLV22" s="58"/>
      <c r="DLW22" s="56"/>
      <c r="DLX22" s="57"/>
      <c r="DLY22" s="57"/>
      <c r="DLZ22" s="57"/>
      <c r="DMA22" s="57"/>
      <c r="DMB22" s="57"/>
      <c r="DMC22" s="56"/>
      <c r="DMD22" s="57"/>
      <c r="DME22" s="57"/>
      <c r="DMF22" s="56"/>
      <c r="DMG22" s="57"/>
      <c r="DMH22" s="58"/>
      <c r="DMI22" s="56"/>
      <c r="DMJ22" s="57"/>
      <c r="DMK22" s="57"/>
      <c r="DML22" s="57"/>
      <c r="DMM22" s="56"/>
      <c r="DMN22" s="57"/>
      <c r="DMO22" s="57"/>
      <c r="DMP22" s="56"/>
      <c r="DMQ22" s="57"/>
      <c r="DMR22" s="58"/>
      <c r="DMS22" s="56"/>
      <c r="DMT22" s="57"/>
      <c r="DMU22" s="57"/>
      <c r="DMV22" s="57"/>
      <c r="DMW22" s="56"/>
      <c r="DMX22" s="57"/>
      <c r="DMY22" s="57"/>
      <c r="DMZ22" s="56"/>
      <c r="DNA22" s="57"/>
      <c r="DNB22" s="58"/>
      <c r="DNC22" s="56"/>
      <c r="DND22" s="57"/>
      <c r="DNE22" s="57"/>
      <c r="DNF22" s="57"/>
      <c r="DNG22" s="56"/>
      <c r="DNH22" s="57"/>
      <c r="DNI22" s="57"/>
      <c r="DNJ22" s="56"/>
      <c r="DNK22" s="57"/>
      <c r="DNL22" s="58"/>
      <c r="DNM22" s="56"/>
      <c r="DNN22" s="58"/>
      <c r="DNO22" s="57"/>
      <c r="DNP22" s="56"/>
      <c r="DNQ22" s="57"/>
      <c r="DNR22" s="56"/>
      <c r="DNS22" s="56"/>
      <c r="DNT22" s="56"/>
      <c r="DNU22" s="57"/>
      <c r="DNV22" s="387"/>
      <c r="DNW22" s="57"/>
      <c r="DNX22" s="387"/>
      <c r="DNY22" s="57"/>
      <c r="DNZ22" s="387"/>
      <c r="DOA22" s="57"/>
      <c r="DOB22" s="57"/>
      <c r="DOC22" s="57"/>
      <c r="DOD22" s="57"/>
      <c r="DOE22" s="57"/>
      <c r="DOF22" s="57"/>
      <c r="DOG22" s="57"/>
      <c r="DOH22" s="57"/>
      <c r="DOI22" s="57"/>
      <c r="DOJ22" s="57"/>
      <c r="DOK22" s="57"/>
      <c r="DOL22" s="57"/>
      <c r="DOM22" s="57"/>
      <c r="DON22" s="57"/>
      <c r="DOO22" s="57"/>
      <c r="DOP22" s="57"/>
      <c r="DOQ22" s="57"/>
      <c r="DOR22" s="57"/>
      <c r="DOS22" s="57"/>
      <c r="DOT22" s="57"/>
      <c r="DOU22" s="57"/>
      <c r="DOV22" s="57"/>
      <c r="DOW22" s="57"/>
      <c r="DOX22" s="57"/>
      <c r="DOY22" s="57"/>
      <c r="DOZ22" s="57"/>
      <c r="DPA22" s="57"/>
      <c r="DPB22" s="57"/>
      <c r="DPC22" s="57"/>
      <c r="DPD22" s="57"/>
      <c r="DPE22" s="57"/>
      <c r="DPF22" s="58"/>
      <c r="DPG22" s="56"/>
      <c r="DPH22" s="57"/>
      <c r="DPI22" s="57"/>
      <c r="DPJ22" s="57"/>
      <c r="DPK22" s="57"/>
      <c r="DPL22" s="57"/>
      <c r="DPM22" s="56"/>
      <c r="DPN22" s="57"/>
      <c r="DPO22" s="57"/>
      <c r="DPP22" s="56"/>
      <c r="DPQ22" s="57"/>
      <c r="DPR22" s="58"/>
      <c r="DPS22" s="56"/>
      <c r="DPT22" s="57"/>
      <c r="DPU22" s="57"/>
      <c r="DPV22" s="57"/>
      <c r="DPW22" s="56"/>
      <c r="DPX22" s="57"/>
      <c r="DPY22" s="57"/>
      <c r="DPZ22" s="56"/>
      <c r="DQA22" s="57"/>
      <c r="DQB22" s="58"/>
      <c r="DQC22" s="56"/>
      <c r="DQD22" s="57"/>
      <c r="DQE22" s="57"/>
      <c r="DQF22" s="57"/>
      <c r="DQG22" s="56"/>
      <c r="DQH22" s="57"/>
      <c r="DQI22" s="57"/>
      <c r="DQJ22" s="56"/>
      <c r="DQK22" s="57"/>
      <c r="DQL22" s="58"/>
      <c r="DQM22" s="56"/>
      <c r="DQN22" s="57"/>
      <c r="DQO22" s="57"/>
      <c r="DQP22" s="57"/>
      <c r="DQQ22" s="56"/>
      <c r="DQR22" s="57"/>
      <c r="DQS22" s="57"/>
      <c r="DQT22" s="56"/>
      <c r="DQU22" s="57"/>
      <c r="DQV22" s="58"/>
      <c r="DQW22" s="56"/>
      <c r="DQX22" s="58"/>
      <c r="DQY22" s="57"/>
      <c r="DQZ22" s="56"/>
      <c r="DRA22" s="57"/>
      <c r="DRB22" s="56"/>
      <c r="DRC22" s="56"/>
      <c r="DRD22" s="56"/>
      <c r="DRE22" s="57"/>
      <c r="DRF22" s="387"/>
      <c r="DRG22" s="57"/>
      <c r="DRH22" s="387"/>
      <c r="DRI22" s="57"/>
      <c r="DRJ22" s="387"/>
      <c r="DRK22" s="57"/>
      <c r="DRL22" s="57"/>
      <c r="DRM22" s="57"/>
      <c r="DRN22" s="57"/>
      <c r="DRO22" s="57"/>
      <c r="DRP22" s="57"/>
      <c r="DRQ22" s="57"/>
      <c r="DRR22" s="57"/>
      <c r="DRS22" s="57"/>
      <c r="DRT22" s="57"/>
      <c r="DRU22" s="57"/>
      <c r="DRV22" s="57"/>
      <c r="DRW22" s="57"/>
      <c r="DRX22" s="57"/>
      <c r="DRY22" s="57"/>
      <c r="DRZ22" s="57"/>
      <c r="DSA22" s="57"/>
      <c r="DSB22" s="57"/>
      <c r="DSC22" s="57"/>
      <c r="DSD22" s="57"/>
      <c r="DSE22" s="57"/>
      <c r="DSF22" s="57"/>
      <c r="DSG22" s="57"/>
      <c r="DSH22" s="57"/>
      <c r="DSI22" s="57"/>
      <c r="DSJ22" s="57"/>
      <c r="DSK22" s="57"/>
      <c r="DSL22" s="57"/>
      <c r="DSM22" s="57"/>
      <c r="DSN22" s="57"/>
      <c r="DSO22" s="57"/>
      <c r="DSP22" s="58"/>
      <c r="DSQ22" s="56"/>
      <c r="DSR22" s="57"/>
      <c r="DSS22" s="57"/>
      <c r="DST22" s="57"/>
      <c r="DSU22" s="57"/>
      <c r="DSV22" s="57"/>
      <c r="DSW22" s="56"/>
      <c r="DSX22" s="57"/>
      <c r="DSY22" s="57"/>
      <c r="DSZ22" s="56"/>
      <c r="DTA22" s="57"/>
      <c r="DTB22" s="58"/>
      <c r="DTC22" s="56"/>
      <c r="DTD22" s="57"/>
      <c r="DTE22" s="57"/>
      <c r="DTF22" s="57"/>
      <c r="DTG22" s="56"/>
      <c r="DTH22" s="57"/>
      <c r="DTI22" s="57"/>
      <c r="DTJ22" s="56"/>
      <c r="DTK22" s="57"/>
      <c r="DTL22" s="58"/>
      <c r="DTM22" s="56"/>
      <c r="DTN22" s="57"/>
      <c r="DTO22" s="57"/>
      <c r="DTP22" s="57"/>
      <c r="DTQ22" s="56"/>
      <c r="DTR22" s="57"/>
      <c r="DTS22" s="57"/>
      <c r="DTT22" s="56"/>
      <c r="DTU22" s="57"/>
      <c r="DTV22" s="58"/>
      <c r="DTW22" s="56"/>
      <c r="DTX22" s="57"/>
      <c r="DTY22" s="57"/>
      <c r="DTZ22" s="57"/>
      <c r="DUA22" s="56"/>
      <c r="DUB22" s="57"/>
      <c r="DUC22" s="57"/>
      <c r="DUD22" s="56"/>
      <c r="DUE22" s="57"/>
      <c r="DUF22" s="58"/>
      <c r="DUG22" s="56"/>
      <c r="DUH22" s="58"/>
      <c r="DUI22" s="57"/>
      <c r="DUJ22" s="56"/>
      <c r="DUK22" s="57"/>
      <c r="DUL22" s="56"/>
      <c r="DUM22" s="56"/>
      <c r="DUN22" s="56"/>
      <c r="DUO22" s="57"/>
      <c r="DUP22" s="387"/>
      <c r="DUQ22" s="57"/>
      <c r="DUR22" s="387"/>
      <c r="DUS22" s="57"/>
      <c r="DUT22" s="387"/>
      <c r="DUU22" s="57"/>
      <c r="DUV22" s="57"/>
      <c r="DUW22" s="57"/>
      <c r="DUX22" s="57"/>
      <c r="DUY22" s="57"/>
      <c r="DUZ22" s="57"/>
      <c r="DVA22" s="57"/>
      <c r="DVB22" s="57"/>
      <c r="DVC22" s="57"/>
      <c r="DVD22" s="57"/>
      <c r="DVE22" s="57"/>
      <c r="DVF22" s="57"/>
      <c r="DVG22" s="57"/>
      <c r="DVH22" s="57"/>
      <c r="DVI22" s="57"/>
      <c r="DVJ22" s="57"/>
      <c r="DVK22" s="57"/>
      <c r="DVL22" s="57"/>
      <c r="DVM22" s="57"/>
      <c r="DVN22" s="57"/>
      <c r="DVO22" s="57"/>
      <c r="DVP22" s="57"/>
      <c r="DVQ22" s="57"/>
      <c r="DVR22" s="57"/>
      <c r="DVS22" s="57"/>
      <c r="DVT22" s="57"/>
      <c r="DVU22" s="57"/>
      <c r="DVV22" s="57"/>
      <c r="DVW22" s="57"/>
      <c r="DVX22" s="57"/>
      <c r="DVY22" s="57"/>
      <c r="DVZ22" s="58"/>
      <c r="DWA22" s="56"/>
      <c r="DWB22" s="57"/>
      <c r="DWC22" s="57"/>
      <c r="DWD22" s="57"/>
      <c r="DWE22" s="57"/>
      <c r="DWF22" s="57"/>
      <c r="DWG22" s="56"/>
      <c r="DWH22" s="57"/>
      <c r="DWI22" s="57"/>
      <c r="DWJ22" s="56"/>
      <c r="DWK22" s="57"/>
      <c r="DWL22" s="58"/>
      <c r="DWM22" s="56"/>
      <c r="DWN22" s="57"/>
      <c r="DWO22" s="57"/>
      <c r="DWP22" s="57"/>
      <c r="DWQ22" s="56"/>
      <c r="DWR22" s="57"/>
      <c r="DWS22" s="57"/>
      <c r="DWT22" s="56"/>
      <c r="DWU22" s="57"/>
      <c r="DWV22" s="58"/>
      <c r="DWW22" s="56"/>
      <c r="DWX22" s="57"/>
      <c r="DWY22" s="57"/>
      <c r="DWZ22" s="57"/>
      <c r="DXA22" s="56"/>
      <c r="DXB22" s="57"/>
      <c r="DXC22" s="57"/>
      <c r="DXD22" s="56"/>
      <c r="DXE22" s="57"/>
      <c r="DXF22" s="58"/>
      <c r="DXG22" s="56"/>
      <c r="DXH22" s="57"/>
      <c r="DXI22" s="57"/>
      <c r="DXJ22" s="57"/>
      <c r="DXK22" s="56"/>
      <c r="DXL22" s="57"/>
      <c r="DXM22" s="57"/>
      <c r="DXN22" s="56"/>
      <c r="DXO22" s="57"/>
      <c r="DXP22" s="58"/>
      <c r="DXQ22" s="56"/>
      <c r="DXR22" s="58"/>
      <c r="DXS22" s="57"/>
      <c r="DXT22" s="56"/>
      <c r="DXU22" s="57"/>
      <c r="DXV22" s="56"/>
      <c r="DXW22" s="56"/>
      <c r="DXX22" s="56"/>
      <c r="DXY22" s="57"/>
      <c r="DXZ22" s="387"/>
      <c r="DYA22" s="57"/>
      <c r="DYB22" s="387"/>
      <c r="DYC22" s="57"/>
      <c r="DYD22" s="387"/>
      <c r="DYE22" s="57"/>
      <c r="DYF22" s="57"/>
      <c r="DYG22" s="57"/>
      <c r="DYH22" s="57"/>
      <c r="DYI22" s="57"/>
      <c r="DYJ22" s="57"/>
      <c r="DYK22" s="57"/>
      <c r="DYL22" s="57"/>
      <c r="DYM22" s="57"/>
      <c r="DYN22" s="57"/>
      <c r="DYO22" s="57"/>
      <c r="DYP22" s="57"/>
      <c r="DYQ22" s="57"/>
      <c r="DYR22" s="57"/>
      <c r="DYS22" s="57"/>
      <c r="DYT22" s="57"/>
      <c r="DYU22" s="57"/>
      <c r="DYV22" s="57"/>
      <c r="DYW22" s="57"/>
      <c r="DYX22" s="57"/>
      <c r="DYY22" s="57"/>
      <c r="DYZ22" s="57"/>
      <c r="DZA22" s="57"/>
      <c r="DZB22" s="57"/>
      <c r="DZC22" s="57"/>
      <c r="DZD22" s="57"/>
      <c r="DZE22" s="57"/>
      <c r="DZF22" s="57"/>
      <c r="DZG22" s="57"/>
      <c r="DZH22" s="57"/>
      <c r="DZI22" s="57"/>
      <c r="DZJ22" s="58"/>
      <c r="DZK22" s="56"/>
      <c r="DZL22" s="57"/>
      <c r="DZM22" s="57"/>
      <c r="DZN22" s="57"/>
      <c r="DZO22" s="57"/>
      <c r="DZP22" s="57"/>
      <c r="DZQ22" s="56"/>
      <c r="DZR22" s="57"/>
      <c r="DZS22" s="57"/>
      <c r="DZT22" s="56"/>
      <c r="DZU22" s="57"/>
      <c r="DZV22" s="58"/>
      <c r="DZW22" s="56"/>
      <c r="DZX22" s="57"/>
      <c r="DZY22" s="57"/>
      <c r="DZZ22" s="57"/>
      <c r="EAA22" s="56"/>
      <c r="EAB22" s="57"/>
      <c r="EAC22" s="57"/>
      <c r="EAD22" s="56"/>
      <c r="EAE22" s="57"/>
      <c r="EAF22" s="58"/>
      <c r="EAG22" s="56"/>
      <c r="EAH22" s="57"/>
      <c r="EAI22" s="57"/>
      <c r="EAJ22" s="57"/>
      <c r="EAK22" s="56"/>
      <c r="EAL22" s="57"/>
      <c r="EAM22" s="57"/>
      <c r="EAN22" s="56"/>
      <c r="EAO22" s="57"/>
      <c r="EAP22" s="58"/>
      <c r="EAQ22" s="56"/>
      <c r="EAR22" s="57"/>
      <c r="EAS22" s="57"/>
      <c r="EAT22" s="57"/>
      <c r="EAU22" s="56"/>
      <c r="EAV22" s="57"/>
      <c r="EAW22" s="57"/>
      <c r="EAX22" s="56"/>
      <c r="EAY22" s="57"/>
      <c r="EAZ22" s="58"/>
      <c r="EBA22" s="56"/>
      <c r="EBB22" s="58"/>
      <c r="EBC22" s="57"/>
      <c r="EBD22" s="56"/>
      <c r="EBE22" s="57"/>
      <c r="EBF22" s="56"/>
      <c r="EBG22" s="56"/>
      <c r="EBH22" s="56"/>
      <c r="EBI22" s="57"/>
      <c r="EBJ22" s="387"/>
      <c r="EBK22" s="57"/>
      <c r="EBL22" s="387"/>
      <c r="EBM22" s="57"/>
      <c r="EBN22" s="387"/>
      <c r="EBO22" s="57"/>
      <c r="EBP22" s="57"/>
      <c r="EBQ22" s="57"/>
      <c r="EBR22" s="57"/>
      <c r="EBS22" s="57"/>
      <c r="EBT22" s="57"/>
      <c r="EBU22" s="57"/>
      <c r="EBV22" s="57"/>
      <c r="EBW22" s="57"/>
      <c r="EBX22" s="57"/>
      <c r="EBY22" s="57"/>
      <c r="EBZ22" s="57"/>
      <c r="ECA22" s="57"/>
      <c r="ECB22" s="57"/>
      <c r="ECC22" s="57"/>
      <c r="ECD22" s="57"/>
      <c r="ECE22" s="57"/>
      <c r="ECF22" s="57"/>
      <c r="ECG22" s="57"/>
      <c r="ECH22" s="57"/>
      <c r="ECI22" s="57"/>
      <c r="ECJ22" s="57"/>
      <c r="ECK22" s="57"/>
      <c r="ECL22" s="57"/>
      <c r="ECM22" s="57"/>
      <c r="ECN22" s="57"/>
      <c r="ECO22" s="57"/>
      <c r="ECP22" s="57"/>
      <c r="ECQ22" s="57"/>
      <c r="ECR22" s="57"/>
      <c r="ECS22" s="57"/>
      <c r="ECT22" s="58"/>
      <c r="ECU22" s="56"/>
      <c r="ECV22" s="57"/>
      <c r="ECW22" s="57"/>
      <c r="ECX22" s="57"/>
      <c r="ECY22" s="57"/>
      <c r="ECZ22" s="57"/>
      <c r="EDA22" s="56"/>
      <c r="EDB22" s="57"/>
      <c r="EDC22" s="57"/>
      <c r="EDD22" s="56"/>
      <c r="EDE22" s="57"/>
      <c r="EDF22" s="58"/>
      <c r="EDG22" s="56"/>
      <c r="EDH22" s="57"/>
      <c r="EDI22" s="57"/>
      <c r="EDJ22" s="57"/>
      <c r="EDK22" s="56"/>
      <c r="EDL22" s="57"/>
      <c r="EDM22" s="57"/>
      <c r="EDN22" s="56"/>
      <c r="EDO22" s="57"/>
      <c r="EDP22" s="58"/>
      <c r="EDQ22" s="56"/>
      <c r="EDR22" s="57"/>
      <c r="EDS22" s="57"/>
      <c r="EDT22" s="57"/>
      <c r="EDU22" s="56"/>
      <c r="EDV22" s="57"/>
      <c r="EDW22" s="57"/>
      <c r="EDX22" s="56"/>
      <c r="EDY22" s="57"/>
      <c r="EDZ22" s="58"/>
      <c r="EEA22" s="56"/>
      <c r="EEB22" s="57"/>
      <c r="EEC22" s="57"/>
      <c r="EED22" s="57"/>
      <c r="EEE22" s="56"/>
      <c r="EEF22" s="57"/>
      <c r="EEG22" s="57"/>
      <c r="EEH22" s="56"/>
      <c r="EEI22" s="57"/>
      <c r="EEJ22" s="58"/>
      <c r="EEK22" s="56"/>
      <c r="EEL22" s="58"/>
      <c r="EEM22" s="57"/>
      <c r="EEN22" s="56"/>
      <c r="EEO22" s="57"/>
      <c r="EEP22" s="56"/>
      <c r="EEQ22" s="56"/>
      <c r="EER22" s="56"/>
      <c r="EES22" s="57"/>
      <c r="EET22" s="387"/>
      <c r="EEU22" s="57"/>
      <c r="EEV22" s="387"/>
      <c r="EEW22" s="57"/>
      <c r="EEX22" s="387"/>
      <c r="EEY22" s="57"/>
      <c r="EEZ22" s="57"/>
      <c r="EFA22" s="57"/>
      <c r="EFB22" s="57"/>
      <c r="EFC22" s="57"/>
      <c r="EFD22" s="57"/>
      <c r="EFE22" s="57"/>
      <c r="EFF22" s="57"/>
      <c r="EFG22" s="57"/>
      <c r="EFH22" s="57"/>
      <c r="EFI22" s="57"/>
      <c r="EFJ22" s="57"/>
      <c r="EFK22" s="57"/>
      <c r="EFL22" s="57"/>
      <c r="EFM22" s="57"/>
      <c r="EFN22" s="57"/>
      <c r="EFO22" s="57"/>
      <c r="EFP22" s="57"/>
      <c r="EFQ22" s="57"/>
      <c r="EFR22" s="57"/>
      <c r="EFS22" s="57"/>
      <c r="EFT22" s="57"/>
      <c r="EFU22" s="57"/>
      <c r="EFV22" s="57"/>
      <c r="EFW22" s="57"/>
      <c r="EFX22" s="57"/>
      <c r="EFY22" s="57"/>
      <c r="EFZ22" s="57"/>
      <c r="EGA22" s="57"/>
      <c r="EGB22" s="57"/>
      <c r="EGC22" s="57"/>
      <c r="EGD22" s="58"/>
      <c r="EGE22" s="56"/>
      <c r="EGF22" s="57"/>
      <c r="EGG22" s="57"/>
      <c r="EGH22" s="57"/>
      <c r="EGI22" s="57"/>
      <c r="EGJ22" s="57"/>
      <c r="EGK22" s="56"/>
      <c r="EGL22" s="57"/>
      <c r="EGM22" s="57"/>
      <c r="EGN22" s="56"/>
      <c r="EGO22" s="57"/>
      <c r="EGP22" s="58"/>
      <c r="EGQ22" s="56"/>
      <c r="EGR22" s="57"/>
      <c r="EGS22" s="57"/>
      <c r="EGT22" s="57"/>
      <c r="EGU22" s="56"/>
      <c r="EGV22" s="57"/>
      <c r="EGW22" s="57"/>
      <c r="EGX22" s="56"/>
      <c r="EGY22" s="57"/>
      <c r="EGZ22" s="58"/>
      <c r="EHA22" s="56"/>
      <c r="EHB22" s="57"/>
      <c r="EHC22" s="57"/>
      <c r="EHD22" s="57"/>
      <c r="EHE22" s="56"/>
      <c r="EHF22" s="57"/>
      <c r="EHG22" s="57"/>
      <c r="EHH22" s="56"/>
      <c r="EHI22" s="57"/>
      <c r="EHJ22" s="58"/>
      <c r="EHK22" s="56"/>
      <c r="EHL22" s="57"/>
      <c r="EHM22" s="57"/>
      <c r="EHN22" s="57"/>
      <c r="EHO22" s="56"/>
      <c r="EHP22" s="57"/>
      <c r="EHQ22" s="57"/>
      <c r="EHR22" s="56"/>
      <c r="EHS22" s="57"/>
      <c r="EHT22" s="58"/>
      <c r="EHU22" s="56"/>
      <c r="EHV22" s="58"/>
      <c r="EHW22" s="57"/>
      <c r="EHX22" s="56"/>
      <c r="EHY22" s="57"/>
      <c r="EHZ22" s="56"/>
      <c r="EIA22" s="56"/>
      <c r="EIB22" s="56"/>
      <c r="EIC22" s="57"/>
      <c r="EID22" s="387"/>
      <c r="EIE22" s="57"/>
      <c r="EIF22" s="387"/>
      <c r="EIG22" s="57"/>
      <c r="EIH22" s="387"/>
      <c r="EII22" s="57"/>
      <c r="EIJ22" s="57"/>
      <c r="EIK22" s="57"/>
      <c r="EIL22" s="57"/>
      <c r="EIM22" s="57"/>
      <c r="EIN22" s="57"/>
      <c r="EIO22" s="57"/>
      <c r="EIP22" s="57"/>
      <c r="EIQ22" s="57"/>
      <c r="EIR22" s="57"/>
      <c r="EIS22" s="57"/>
      <c r="EIT22" s="57"/>
      <c r="EIU22" s="57"/>
      <c r="EIV22" s="57"/>
      <c r="EIW22" s="57"/>
      <c r="EIX22" s="57"/>
      <c r="EIY22" s="57"/>
      <c r="EIZ22" s="57"/>
      <c r="EJA22" s="57"/>
      <c r="EJB22" s="57"/>
      <c r="EJC22" s="57"/>
      <c r="EJD22" s="57"/>
      <c r="EJE22" s="57"/>
      <c r="EJF22" s="57"/>
      <c r="EJG22" s="57"/>
      <c r="EJH22" s="57"/>
      <c r="EJI22" s="57"/>
      <c r="EJJ22" s="57"/>
      <c r="EJK22" s="57"/>
      <c r="EJL22" s="57"/>
      <c r="EJM22" s="57"/>
      <c r="EJN22" s="58"/>
      <c r="EJO22" s="56"/>
      <c r="EJP22" s="57"/>
      <c r="EJQ22" s="57"/>
      <c r="EJR22" s="57"/>
      <c r="EJS22" s="57"/>
      <c r="EJT22" s="57"/>
      <c r="EJU22" s="56"/>
      <c r="EJV22" s="57"/>
      <c r="EJW22" s="57"/>
      <c r="EJX22" s="56"/>
      <c r="EJY22" s="57"/>
      <c r="EJZ22" s="58"/>
      <c r="EKA22" s="56"/>
      <c r="EKB22" s="57"/>
      <c r="EKC22" s="57"/>
      <c r="EKD22" s="57"/>
      <c r="EKE22" s="56"/>
      <c r="EKF22" s="57"/>
      <c r="EKG22" s="57"/>
      <c r="EKH22" s="56"/>
      <c r="EKI22" s="57"/>
      <c r="EKJ22" s="58"/>
      <c r="EKK22" s="56"/>
      <c r="EKL22" s="57"/>
      <c r="EKM22" s="57"/>
      <c r="EKN22" s="57"/>
      <c r="EKO22" s="56"/>
      <c r="EKP22" s="57"/>
      <c r="EKQ22" s="57"/>
      <c r="EKR22" s="56"/>
      <c r="EKS22" s="57"/>
      <c r="EKT22" s="58"/>
      <c r="EKU22" s="56"/>
      <c r="EKV22" s="57"/>
      <c r="EKW22" s="57"/>
      <c r="EKX22" s="57"/>
      <c r="EKY22" s="56"/>
      <c r="EKZ22" s="57"/>
      <c r="ELA22" s="57"/>
      <c r="ELB22" s="56"/>
      <c r="ELC22" s="57"/>
      <c r="ELD22" s="58"/>
      <c r="ELE22" s="56"/>
      <c r="ELF22" s="58"/>
      <c r="ELG22" s="57"/>
      <c r="ELH22" s="56"/>
      <c r="ELI22" s="57"/>
      <c r="ELJ22" s="56"/>
      <c r="ELK22" s="56"/>
      <c r="ELL22" s="56"/>
      <c r="ELM22" s="57"/>
      <c r="ELN22" s="387"/>
      <c r="ELO22" s="57"/>
      <c r="ELP22" s="387"/>
      <c r="ELQ22" s="57"/>
      <c r="ELR22" s="387"/>
      <c r="ELS22" s="57"/>
      <c r="ELT22" s="57"/>
      <c r="ELU22" s="57"/>
      <c r="ELV22" s="57"/>
      <c r="ELW22" s="57"/>
      <c r="ELX22" s="57"/>
      <c r="ELY22" s="57"/>
      <c r="ELZ22" s="57"/>
      <c r="EMA22" s="57"/>
      <c r="EMB22" s="57"/>
      <c r="EMC22" s="57"/>
      <c r="EMD22" s="57"/>
      <c r="EME22" s="57"/>
      <c r="EMF22" s="57"/>
      <c r="EMG22" s="57"/>
      <c r="EMH22" s="57"/>
      <c r="EMI22" s="57"/>
      <c r="EMJ22" s="57"/>
      <c r="EMK22" s="57"/>
      <c r="EML22" s="57"/>
      <c r="EMM22" s="57"/>
      <c r="EMN22" s="57"/>
      <c r="EMO22" s="57"/>
      <c r="EMP22" s="57"/>
      <c r="EMQ22" s="57"/>
      <c r="EMR22" s="57"/>
      <c r="EMS22" s="57"/>
      <c r="EMT22" s="57"/>
      <c r="EMU22" s="57"/>
      <c r="EMV22" s="57"/>
      <c r="EMW22" s="57"/>
      <c r="EMX22" s="58"/>
      <c r="EMY22" s="56"/>
      <c r="EMZ22" s="57"/>
      <c r="ENA22" s="57"/>
      <c r="ENB22" s="57"/>
      <c r="ENC22" s="57"/>
      <c r="END22" s="57"/>
      <c r="ENE22" s="56"/>
      <c r="ENF22" s="57"/>
      <c r="ENG22" s="57"/>
      <c r="ENH22" s="56"/>
      <c r="ENI22" s="57"/>
      <c r="ENJ22" s="58"/>
      <c r="ENK22" s="56"/>
      <c r="ENL22" s="57"/>
      <c r="ENM22" s="57"/>
      <c r="ENN22" s="57"/>
      <c r="ENO22" s="56"/>
      <c r="ENP22" s="57"/>
      <c r="ENQ22" s="57"/>
      <c r="ENR22" s="56"/>
      <c r="ENS22" s="57"/>
      <c r="ENT22" s="58"/>
      <c r="ENU22" s="56"/>
      <c r="ENV22" s="57"/>
      <c r="ENW22" s="57"/>
      <c r="ENX22" s="57"/>
      <c r="ENY22" s="56"/>
      <c r="ENZ22" s="57"/>
      <c r="EOA22" s="57"/>
      <c r="EOB22" s="56"/>
      <c r="EOC22" s="57"/>
      <c r="EOD22" s="58"/>
      <c r="EOE22" s="56"/>
      <c r="EOF22" s="57"/>
      <c r="EOG22" s="57"/>
      <c r="EOH22" s="57"/>
      <c r="EOI22" s="56"/>
      <c r="EOJ22" s="57"/>
      <c r="EOK22" s="57"/>
      <c r="EOL22" s="56"/>
      <c r="EOM22" s="57"/>
      <c r="EON22" s="58"/>
      <c r="EOO22" s="56" t="str">
        <f t="shared" si="75"/>
        <v xml:space="preserve"> </v>
      </c>
    </row>
    <row r="23" spans="1:3785" x14ac:dyDescent="0.3">
      <c r="A23" s="27" t="s">
        <v>171</v>
      </c>
      <c r="B23" s="30"/>
      <c r="C23" s="29"/>
      <c r="D23" s="28" t="str">
        <f t="shared" si="61"/>
        <v xml:space="preserve"> </v>
      </c>
      <c r="E23" s="29"/>
      <c r="F23" s="28"/>
      <c r="G23" s="28"/>
      <c r="H23" s="28"/>
      <c r="I23" s="29"/>
      <c r="J23" s="385"/>
      <c r="K23" s="29"/>
      <c r="L23" s="385"/>
      <c r="M23" s="29"/>
      <c r="N23" s="385"/>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30"/>
      <c r="AU23" s="28"/>
      <c r="AV23" s="29"/>
      <c r="AW23" s="29"/>
      <c r="AX23" s="29"/>
      <c r="AY23" s="29"/>
      <c r="AZ23" s="29"/>
      <c r="BA23" s="28"/>
      <c r="BB23" s="29"/>
      <c r="BC23" s="29"/>
      <c r="BD23" s="28"/>
      <c r="BE23" s="29"/>
      <c r="BF23" s="30"/>
      <c r="BG23" s="28"/>
      <c r="BH23" s="29"/>
      <c r="BI23" s="29"/>
      <c r="BJ23" s="29"/>
      <c r="BK23" s="28"/>
      <c r="BL23" s="29"/>
      <c r="BM23" s="29"/>
      <c r="BN23" s="28"/>
      <c r="BO23" s="29"/>
      <c r="BP23" s="30"/>
      <c r="BQ23" s="28"/>
      <c r="BR23" s="29"/>
      <c r="BS23" s="29"/>
      <c r="BT23" s="29"/>
      <c r="BU23" s="28"/>
      <c r="BV23" s="29"/>
      <c r="BW23" s="29"/>
      <c r="BX23" s="28"/>
      <c r="BY23" s="29"/>
      <c r="BZ23" s="30"/>
      <c r="CA23" s="28"/>
      <c r="CB23" s="29"/>
      <c r="CC23" s="29"/>
      <c r="CD23" s="29"/>
      <c r="CE23" s="28"/>
      <c r="CF23" s="29"/>
      <c r="CG23" s="29"/>
      <c r="CH23" s="28"/>
      <c r="CI23" s="29"/>
      <c r="CJ23" s="30"/>
      <c r="CK23" s="28"/>
      <c r="CL23" s="29"/>
      <c r="CM23" s="29"/>
      <c r="CN23" s="29"/>
      <c r="CO23" s="28"/>
      <c r="CP23" s="29"/>
      <c r="CQ23" s="29"/>
      <c r="CR23" s="28"/>
      <c r="CS23" s="29"/>
      <c r="CT23" s="30"/>
      <c r="CU23" s="28"/>
      <c r="CV23" s="29"/>
      <c r="CW23" s="29"/>
      <c r="CX23" s="29"/>
      <c r="CY23" s="28"/>
      <c r="CZ23" s="29"/>
      <c r="DA23" s="29"/>
      <c r="DB23" s="28"/>
      <c r="DC23" s="29"/>
      <c r="DD23" s="30"/>
      <c r="DE23" s="28"/>
      <c r="DF23" s="29"/>
      <c r="DG23" s="29"/>
      <c r="DH23" s="29"/>
      <c r="DI23" s="28"/>
      <c r="DJ23" s="29"/>
      <c r="DK23" s="29"/>
      <c r="DL23" s="28"/>
      <c r="DM23" s="29"/>
      <c r="DN23" s="30"/>
      <c r="DO23" s="28"/>
      <c r="DP23" s="29"/>
      <c r="DQ23" s="29"/>
      <c r="DR23" s="29"/>
      <c r="DS23" s="28"/>
      <c r="DT23" s="29"/>
      <c r="DU23" s="29"/>
      <c r="DV23" s="28"/>
      <c r="DW23" s="29"/>
      <c r="DX23" s="30"/>
      <c r="DY23" s="28"/>
      <c r="DZ23" s="29"/>
      <c r="EA23" s="29"/>
      <c r="EB23" s="29"/>
      <c r="EC23" s="28"/>
      <c r="ED23" s="29"/>
      <c r="EE23" s="28"/>
      <c r="EF23" s="28"/>
      <c r="EG23" s="29"/>
      <c r="EH23" s="30"/>
      <c r="EI23" s="28"/>
      <c r="EJ23" s="29"/>
      <c r="EK23" s="29"/>
      <c r="EL23" s="29"/>
      <c r="EM23" s="28"/>
      <c r="EN23" s="29"/>
      <c r="EO23" s="33"/>
      <c r="EP23" s="28"/>
      <c r="EQ23" s="29"/>
      <c r="ER23" s="30"/>
      <c r="ES23" s="28"/>
      <c r="ET23" s="29"/>
      <c r="EU23" s="29"/>
      <c r="EV23" s="29"/>
      <c r="EW23" s="28"/>
      <c r="EX23" s="29"/>
      <c r="EY23" s="29"/>
      <c r="EZ23" s="28"/>
      <c r="FA23" s="29"/>
      <c r="FB23" s="30"/>
      <c r="FC23" s="28"/>
      <c r="FD23" s="29"/>
      <c r="FE23" s="29"/>
      <c r="FF23" s="29"/>
      <c r="FG23" s="28"/>
      <c r="FH23" s="29"/>
      <c r="FI23" s="29"/>
      <c r="FJ23" s="28"/>
      <c r="FK23" s="29"/>
      <c r="FL23" s="30"/>
      <c r="FM23" s="28"/>
      <c r="FN23" s="29"/>
      <c r="FO23" s="29"/>
      <c r="FP23" s="29"/>
      <c r="FQ23" s="28"/>
      <c r="FR23" s="29"/>
      <c r="FS23" s="29"/>
      <c r="FT23" s="28"/>
      <c r="FU23" s="29"/>
      <c r="FV23" s="30"/>
      <c r="FW23" s="28"/>
      <c r="FX23" s="29"/>
      <c r="FY23" s="29"/>
      <c r="FZ23" s="29"/>
      <c r="GA23" s="28"/>
      <c r="GB23" s="29"/>
      <c r="GC23" s="29"/>
      <c r="GD23" s="28"/>
      <c r="GE23" s="29"/>
      <c r="GF23" s="30"/>
      <c r="GG23" s="28"/>
      <c r="GH23" s="29"/>
      <c r="GI23" s="29"/>
      <c r="GJ23" s="29"/>
      <c r="GK23" s="28"/>
      <c r="GL23" s="29"/>
      <c r="GM23" s="29"/>
      <c r="GN23" s="28"/>
      <c r="GO23" s="29"/>
      <c r="GP23" s="30"/>
      <c r="GQ23" s="28"/>
      <c r="GR23" s="29"/>
      <c r="GS23" s="29"/>
      <c r="GT23" s="29"/>
      <c r="GU23" s="28"/>
      <c r="GV23" s="29"/>
      <c r="GW23" s="29"/>
      <c r="GX23" s="28"/>
      <c r="GY23" s="29"/>
      <c r="GZ23" s="30"/>
      <c r="HA23" s="28"/>
      <c r="HB23" s="29"/>
      <c r="HC23" s="29"/>
      <c r="HD23" s="29"/>
      <c r="HE23" s="28"/>
      <c r="HF23" s="29"/>
      <c r="HG23" s="29"/>
      <c r="HH23" s="28"/>
      <c r="HI23" s="29"/>
      <c r="HJ23" s="30"/>
      <c r="HK23" s="28"/>
      <c r="HL23" s="29"/>
      <c r="HM23" s="29"/>
      <c r="HN23" s="29"/>
      <c r="HO23" s="28"/>
      <c r="HP23" s="29"/>
      <c r="HQ23" s="29"/>
      <c r="HR23" s="28"/>
      <c r="HS23" s="29"/>
      <c r="HT23" s="30"/>
      <c r="HU23" s="28"/>
      <c r="HV23" s="29"/>
      <c r="HW23" s="29"/>
      <c r="HX23" s="29"/>
      <c r="HY23" s="28"/>
      <c r="HZ23" s="29"/>
      <c r="IA23" s="29"/>
      <c r="IB23" s="28"/>
      <c r="IC23" s="29"/>
      <c r="ID23" s="30"/>
      <c r="IE23" s="28"/>
      <c r="IF23" s="29"/>
      <c r="IG23" s="29"/>
      <c r="IH23" s="29"/>
      <c r="II23" s="28"/>
      <c r="IJ23" s="29"/>
      <c r="IK23" s="29"/>
      <c r="IL23" s="28"/>
      <c r="IM23" s="29"/>
      <c r="IN23" s="30"/>
      <c r="IO23" s="28"/>
      <c r="IP23" s="29"/>
      <c r="IQ23" s="29"/>
      <c r="IR23" s="29"/>
      <c r="IS23" s="28"/>
      <c r="IT23" s="29"/>
      <c r="IU23" s="29"/>
      <c r="IV23" s="28"/>
      <c r="IW23" s="29"/>
      <c r="IX23" s="30"/>
      <c r="IY23" s="28"/>
      <c r="IZ23" s="29"/>
      <c r="JA23" s="29"/>
      <c r="JB23" s="29"/>
      <c r="JC23" s="28"/>
      <c r="JD23" s="29"/>
      <c r="JE23" s="29"/>
      <c r="JF23" s="28"/>
      <c r="JG23" s="29"/>
      <c r="JH23" s="30"/>
      <c r="JI23" s="28"/>
      <c r="JJ23" s="29"/>
      <c r="JK23" s="29"/>
      <c r="JL23" s="29"/>
      <c r="JM23" s="28"/>
      <c r="JN23" s="29"/>
      <c r="JO23" s="29"/>
      <c r="JP23" s="28"/>
      <c r="JQ23" s="29"/>
      <c r="JR23" s="30"/>
      <c r="JS23" s="28"/>
      <c r="JT23" s="29"/>
      <c r="JU23" s="29"/>
      <c r="JV23" s="29"/>
      <c r="JW23" s="28"/>
      <c r="JX23" s="29"/>
      <c r="JY23" s="29"/>
      <c r="JZ23" s="28"/>
      <c r="KA23" s="29"/>
      <c r="KB23" s="30"/>
      <c r="KC23" s="28"/>
      <c r="KD23" s="29"/>
      <c r="KE23" s="29"/>
      <c r="KF23" s="29"/>
      <c r="KG23" s="28"/>
      <c r="KH23" s="29"/>
      <c r="KI23" s="29"/>
      <c r="KJ23" s="28"/>
      <c r="KK23" s="29"/>
      <c r="KL23" s="30"/>
      <c r="KM23" s="28"/>
      <c r="KN23" s="29"/>
      <c r="KO23" s="29"/>
      <c r="KP23" s="29"/>
      <c r="KQ23" s="28"/>
      <c r="KR23" s="29"/>
      <c r="KS23" s="29"/>
      <c r="KT23" s="28"/>
      <c r="KU23" s="29"/>
      <c r="KV23" s="30"/>
      <c r="KW23" s="28"/>
      <c r="KX23" s="29"/>
      <c r="KY23" s="29"/>
      <c r="KZ23" s="29"/>
      <c r="LA23" s="28"/>
      <c r="LB23" s="29"/>
      <c r="LC23" s="29"/>
      <c r="LD23" s="28"/>
      <c r="LE23" s="29"/>
      <c r="LF23" s="30"/>
      <c r="LG23" s="28"/>
      <c r="LH23" s="29"/>
      <c r="LI23" s="29"/>
      <c r="LJ23" s="29"/>
      <c r="LK23" s="28"/>
      <c r="LL23" s="29"/>
      <c r="LM23" s="29"/>
      <c r="LN23" s="28"/>
      <c r="LO23" s="29"/>
      <c r="LP23" s="30"/>
      <c r="LQ23" s="28"/>
      <c r="LR23" s="29"/>
      <c r="LS23" s="29"/>
      <c r="LT23" s="29"/>
      <c r="LU23" s="28"/>
      <c r="LV23" s="29"/>
      <c r="LW23" s="29"/>
      <c r="LX23" s="28"/>
      <c r="LY23" s="29"/>
      <c r="LZ23" s="30"/>
      <c r="MA23" s="28"/>
      <c r="MB23" s="29"/>
      <c r="MC23" s="29"/>
      <c r="MD23" s="29"/>
      <c r="ME23" s="28"/>
      <c r="MF23" s="29"/>
      <c r="MG23" s="29"/>
      <c r="MH23" s="28"/>
      <c r="MI23" s="29"/>
      <c r="MJ23" s="30"/>
      <c r="MK23" s="28"/>
      <c r="ML23" s="29"/>
      <c r="MM23" s="29"/>
      <c r="MN23" s="29"/>
      <c r="MO23" s="28"/>
      <c r="MP23" s="29"/>
      <c r="MQ23" s="29"/>
      <c r="MR23" s="28"/>
      <c r="MS23" s="29"/>
      <c r="MT23" s="30"/>
      <c r="MU23" s="28"/>
      <c r="MV23" s="29"/>
      <c r="MW23" s="29"/>
      <c r="MX23" s="29"/>
      <c r="MY23" s="28"/>
      <c r="MZ23" s="29"/>
      <c r="NA23" s="29"/>
      <c r="NB23" s="28"/>
      <c r="NC23" s="29"/>
      <c r="ND23" s="30"/>
      <c r="NE23" s="28"/>
      <c r="NF23" s="29"/>
      <c r="NG23" s="29"/>
      <c r="NH23" s="29"/>
      <c r="NI23" s="28"/>
      <c r="NJ23" s="29"/>
      <c r="NK23" s="29"/>
      <c r="NL23" s="28"/>
      <c r="NM23" s="29"/>
      <c r="NN23" s="30"/>
      <c r="NO23" s="28"/>
      <c r="NP23" s="29"/>
      <c r="NQ23" s="29"/>
      <c r="NR23" s="29"/>
      <c r="NS23" s="28"/>
      <c r="NT23" s="29"/>
      <c r="NU23" s="29"/>
      <c r="NV23" s="28"/>
      <c r="NW23" s="29"/>
      <c r="NX23" s="30"/>
      <c r="NY23" s="28"/>
      <c r="NZ23" s="29"/>
      <c r="OA23" s="29"/>
      <c r="OB23" s="29"/>
      <c r="OC23" s="28"/>
      <c r="OD23" s="29"/>
      <c r="OE23" s="29"/>
      <c r="OF23" s="28"/>
      <c r="OG23" s="29"/>
      <c r="OH23" s="30"/>
      <c r="OI23" s="28"/>
      <c r="OJ23" s="29"/>
      <c r="OK23" s="29"/>
      <c r="OL23" s="29"/>
      <c r="OM23" s="28"/>
      <c r="ON23" s="29"/>
      <c r="OO23" s="29"/>
      <c r="OP23" s="28"/>
      <c r="OQ23" s="29"/>
      <c r="OR23" s="30"/>
      <c r="OS23" s="28"/>
      <c r="OT23" s="29"/>
      <c r="OU23" s="29"/>
      <c r="OV23" s="29"/>
      <c r="OW23" s="28"/>
      <c r="OX23" s="29"/>
      <c r="OY23" s="29"/>
      <c r="OZ23" s="28"/>
      <c r="PA23" s="29"/>
      <c r="PB23" s="30"/>
      <c r="PC23" s="28"/>
      <c r="PD23" s="29"/>
      <c r="PE23" s="29"/>
      <c r="PF23" s="29"/>
      <c r="PG23" s="28"/>
      <c r="PH23" s="29"/>
      <c r="PI23" s="29"/>
      <c r="PJ23" s="28"/>
      <c r="PK23" s="29"/>
      <c r="PL23" s="30"/>
      <c r="PM23" s="28"/>
      <c r="PN23" s="29"/>
      <c r="PO23" s="29"/>
      <c r="PP23" s="29"/>
      <c r="PQ23" s="28"/>
      <c r="PR23" s="29"/>
      <c r="PS23" s="29"/>
      <c r="PT23" s="28"/>
      <c r="PU23" s="29"/>
      <c r="PV23" s="30"/>
      <c r="PW23" s="28"/>
      <c r="PX23" s="29"/>
      <c r="PY23" s="29"/>
      <c r="PZ23" s="29"/>
      <c r="QA23" s="28"/>
      <c r="QB23" s="29"/>
      <c r="QC23" s="29"/>
      <c r="QD23" s="28"/>
      <c r="QE23" s="29"/>
      <c r="QF23" s="30"/>
      <c r="QG23" s="28"/>
      <c r="QH23" s="29"/>
      <c r="QI23" s="29"/>
      <c r="QJ23" s="29"/>
      <c r="QK23" s="28"/>
      <c r="QL23" s="29"/>
      <c r="QM23" s="29"/>
      <c r="QN23" s="28"/>
      <c r="QO23" s="29"/>
      <c r="QP23" s="30"/>
      <c r="QQ23" s="28"/>
      <c r="QR23" s="29"/>
      <c r="QS23" s="29"/>
      <c r="QT23" s="29"/>
      <c r="QU23" s="28"/>
      <c r="QV23" s="29"/>
      <c r="QW23" s="29"/>
      <c r="QX23" s="28"/>
      <c r="QY23" s="29"/>
      <c r="QZ23" s="30"/>
      <c r="RA23" s="28"/>
      <c r="RB23" s="29"/>
      <c r="RC23" s="29"/>
      <c r="RD23" s="29"/>
      <c r="RE23" s="28"/>
      <c r="RF23" s="29"/>
      <c r="RG23" s="29"/>
      <c r="RH23" s="28"/>
      <c r="RI23" s="29"/>
      <c r="RJ23" s="30"/>
      <c r="RK23" s="28"/>
      <c r="RL23" s="29"/>
      <c r="RM23" s="29"/>
      <c r="RN23" s="29"/>
      <c r="RO23" s="28"/>
      <c r="RP23" s="29"/>
      <c r="RQ23" s="29"/>
      <c r="RR23" s="28"/>
      <c r="RS23" s="29"/>
      <c r="RT23" s="30"/>
      <c r="RU23" s="28"/>
      <c r="RV23" s="29"/>
      <c r="RW23" s="29"/>
      <c r="RX23" s="29"/>
      <c r="RY23" s="28"/>
      <c r="RZ23" s="29"/>
      <c r="SA23" s="29"/>
      <c r="SB23" s="28"/>
      <c r="SC23" s="29"/>
      <c r="SD23" s="30"/>
      <c r="SE23" s="28"/>
      <c r="SF23" s="29"/>
      <c r="SG23" s="29"/>
      <c r="SH23" s="29"/>
      <c r="SI23" s="28"/>
      <c r="SJ23" s="29"/>
      <c r="SK23" s="29"/>
      <c r="SL23" s="28"/>
      <c r="SM23" s="29"/>
      <c r="SN23" s="30"/>
      <c r="SO23" s="28"/>
      <c r="SP23" s="29"/>
      <c r="SQ23" s="29"/>
      <c r="SR23" s="29"/>
      <c r="SS23" s="28"/>
      <c r="ST23" s="29"/>
      <c r="SU23" s="29"/>
      <c r="SV23" s="28"/>
      <c r="SW23" s="29"/>
      <c r="SX23" s="30"/>
      <c r="SY23" s="28"/>
      <c r="SZ23" s="29"/>
      <c r="TA23" s="29"/>
      <c r="TB23" s="29"/>
      <c r="TC23" s="28"/>
      <c r="TD23" s="29"/>
      <c r="TE23" s="29"/>
      <c r="TF23" s="28"/>
      <c r="TG23" s="29"/>
      <c r="TH23" s="30"/>
      <c r="TI23" s="28"/>
      <c r="TJ23" s="29"/>
      <c r="TK23" s="29"/>
      <c r="TL23" s="29"/>
      <c r="TM23" s="28"/>
      <c r="TN23" s="29"/>
      <c r="TO23" s="29"/>
      <c r="TP23" s="28"/>
      <c r="TQ23" s="29"/>
      <c r="TR23" s="30"/>
      <c r="TS23" s="28"/>
      <c r="TT23" s="29"/>
      <c r="TU23" s="29"/>
      <c r="TV23" s="29"/>
      <c r="TW23" s="28"/>
      <c r="TX23" s="29"/>
      <c r="TY23" s="29"/>
      <c r="TZ23" s="28"/>
      <c r="UA23" s="29"/>
      <c r="UB23" s="30"/>
      <c r="UC23" s="28"/>
      <c r="UD23" s="29"/>
      <c r="UE23" s="29"/>
      <c r="UF23" s="29"/>
      <c r="UG23" s="28"/>
      <c r="UH23" s="29"/>
      <c r="UI23" s="29"/>
      <c r="UJ23" s="28"/>
      <c r="UK23" s="29"/>
      <c r="UL23" s="30"/>
      <c r="UM23" s="28"/>
      <c r="UN23" s="29"/>
      <c r="UO23" s="29"/>
      <c r="UP23" s="29"/>
      <c r="UQ23" s="28"/>
      <c r="UR23" s="29"/>
      <c r="US23" s="29"/>
      <c r="UT23" s="28"/>
      <c r="UU23" s="29"/>
      <c r="UV23" s="30"/>
      <c r="UW23" s="28"/>
      <c r="UX23" s="29"/>
      <c r="UY23" s="29"/>
      <c r="UZ23" s="29"/>
      <c r="VA23" s="28"/>
      <c r="VB23" s="29"/>
      <c r="VC23" s="29"/>
      <c r="VD23" s="28"/>
      <c r="VE23" s="29"/>
      <c r="VF23" s="30"/>
      <c r="VG23" s="28"/>
      <c r="VH23" s="29"/>
      <c r="VI23" s="29"/>
      <c r="VJ23" s="29"/>
      <c r="VK23" s="28"/>
      <c r="VL23" s="29"/>
      <c r="VM23" s="29"/>
      <c r="VN23" s="28"/>
      <c r="VO23" s="29"/>
      <c r="VP23" s="30"/>
      <c r="VQ23" s="28"/>
      <c r="VR23" s="29"/>
      <c r="VS23" s="29"/>
      <c r="VT23" s="29"/>
      <c r="VU23" s="28"/>
      <c r="VV23" s="29"/>
      <c r="VW23" s="29"/>
      <c r="VX23" s="28"/>
      <c r="VY23" s="29"/>
      <c r="VZ23" s="30"/>
      <c r="WA23" s="28"/>
      <c r="WB23" s="29"/>
      <c r="WC23" s="29"/>
      <c r="WD23" s="29"/>
      <c r="WE23" s="28"/>
      <c r="WF23" s="29"/>
      <c r="WG23" s="29"/>
      <c r="WH23" s="28"/>
      <c r="WI23" s="29"/>
      <c r="WJ23" s="30"/>
      <c r="WK23" s="28"/>
      <c r="WL23" s="29"/>
      <c r="WM23" s="29"/>
      <c r="WN23" s="29"/>
      <c r="WO23" s="28"/>
      <c r="WP23" s="29"/>
      <c r="WQ23" s="29"/>
      <c r="WR23" s="28"/>
      <c r="WS23" s="29"/>
      <c r="WT23" s="30"/>
      <c r="WU23" s="28"/>
      <c r="WV23" s="29"/>
      <c r="WW23" s="29"/>
      <c r="WX23" s="29"/>
      <c r="WY23" s="28"/>
      <c r="WZ23" s="29"/>
      <c r="XA23" s="29"/>
      <c r="XB23" s="28"/>
      <c r="XC23" s="29"/>
      <c r="XD23" s="30"/>
      <c r="XE23" s="28"/>
      <c r="XF23" s="29"/>
      <c r="XG23" s="29"/>
      <c r="XH23" s="29"/>
      <c r="XI23" s="28"/>
      <c r="XJ23" s="29"/>
      <c r="XK23" s="29"/>
      <c r="XL23" s="28"/>
      <c r="XM23" s="29"/>
      <c r="XN23" s="30"/>
      <c r="XO23" s="28"/>
      <c r="XP23" s="29"/>
      <c r="XQ23" s="29"/>
      <c r="XR23" s="29"/>
      <c r="XS23" s="28"/>
      <c r="XT23" s="29"/>
      <c r="XU23" s="29"/>
      <c r="XV23" s="28"/>
      <c r="XW23" s="29"/>
      <c r="XX23" s="30"/>
      <c r="XY23" s="28"/>
      <c r="XZ23" s="29"/>
      <c r="YA23" s="29"/>
      <c r="YB23" s="29"/>
      <c r="YC23" s="28"/>
      <c r="YD23" s="29"/>
      <c r="YE23" s="29"/>
      <c r="YF23" s="28"/>
      <c r="YG23" s="29"/>
      <c r="YH23" s="30"/>
      <c r="YI23" s="28"/>
      <c r="YJ23" s="29"/>
      <c r="YK23" s="29"/>
      <c r="YL23" s="29"/>
      <c r="YM23" s="28"/>
      <c r="YN23" s="29"/>
      <c r="YO23" s="29"/>
      <c r="YP23" s="28"/>
      <c r="YQ23" s="29"/>
      <c r="YR23" s="30"/>
      <c r="YS23" s="28"/>
      <c r="YT23" s="29"/>
      <c r="YU23" s="29"/>
      <c r="YV23" s="29"/>
      <c r="YW23" s="28"/>
      <c r="YX23" s="29"/>
      <c r="YY23" s="29"/>
      <c r="YZ23" s="28"/>
      <c r="ZA23" s="29"/>
      <c r="ZB23" s="30"/>
      <c r="ZC23" s="28"/>
      <c r="ZD23" s="29"/>
      <c r="ZE23" s="29"/>
      <c r="ZF23" s="29"/>
      <c r="ZG23" s="28"/>
      <c r="ZH23" s="29"/>
      <c r="ZI23" s="29"/>
      <c r="ZJ23" s="28"/>
      <c r="ZK23" s="29"/>
      <c r="ZL23" s="30"/>
      <c r="ZM23" s="28"/>
      <c r="ZN23" s="29"/>
      <c r="ZO23" s="29"/>
      <c r="ZP23" s="29"/>
      <c r="ZQ23" s="28"/>
      <c r="ZR23" s="29"/>
      <c r="ZS23" s="29"/>
      <c r="ZT23" s="28"/>
      <c r="ZU23" s="29"/>
      <c r="ZV23" s="30"/>
      <c r="ZW23" s="28"/>
      <c r="ZX23" s="29"/>
      <c r="ZY23" s="29"/>
      <c r="ZZ23" s="29"/>
      <c r="AAA23" s="28"/>
      <c r="AAB23" s="29"/>
      <c r="AAC23" s="29"/>
      <c r="AAD23" s="28"/>
      <c r="AAE23" s="29"/>
      <c r="AAF23" s="30"/>
      <c r="AAG23" s="28"/>
      <c r="AAH23" s="29"/>
      <c r="AAI23" s="29"/>
      <c r="AAJ23" s="29"/>
      <c r="AAK23" s="28"/>
      <c r="AAL23" s="29"/>
      <c r="AAM23" s="29"/>
      <c r="AAN23" s="28"/>
      <c r="AAO23" s="29"/>
      <c r="AAP23" s="30"/>
      <c r="AAQ23" s="28"/>
      <c r="AAR23" s="29"/>
      <c r="AAS23" s="29"/>
      <c r="AAT23" s="29"/>
      <c r="AAU23" s="28"/>
      <c r="AAV23" s="29"/>
      <c r="AAW23" s="29"/>
      <c r="AAX23" s="28"/>
      <c r="AAY23" s="29"/>
      <c r="AAZ23" s="30"/>
      <c r="ABA23" s="28"/>
      <c r="ABB23" s="29"/>
      <c r="ABC23" s="29"/>
      <c r="ABD23" s="29"/>
      <c r="ABE23" s="28"/>
      <c r="ABF23" s="29"/>
      <c r="ABG23" s="29"/>
      <c r="ABH23" s="28"/>
      <c r="ABI23" s="29"/>
      <c r="ABJ23" s="30"/>
      <c r="ABK23" s="28"/>
      <c r="ABL23" s="29"/>
      <c r="ABM23" s="29"/>
      <c r="ABN23" s="29"/>
      <c r="ABO23" s="28"/>
      <c r="ABP23" s="29"/>
      <c r="ABQ23" s="29"/>
      <c r="ABR23" s="28"/>
      <c r="ABS23" s="29"/>
      <c r="ABT23" s="30"/>
      <c r="ABU23" s="28"/>
      <c r="ABV23" s="29"/>
      <c r="ABW23" s="29"/>
      <c r="ABX23" s="29"/>
      <c r="ABY23" s="28"/>
      <c r="ABZ23" s="29"/>
      <c r="ACA23" s="29"/>
      <c r="ACB23" s="28"/>
      <c r="ACC23" s="29"/>
      <c r="ACD23" s="30"/>
      <c r="ACE23" s="28"/>
      <c r="ACF23" s="29"/>
      <c r="ACG23" s="29"/>
      <c r="ACH23" s="29"/>
      <c r="ACI23" s="28"/>
      <c r="ACJ23" s="29"/>
      <c r="ACK23" s="29"/>
      <c r="ACL23" s="28"/>
      <c r="ACM23" s="29"/>
      <c r="ACN23" s="30"/>
      <c r="ACO23" s="28"/>
      <c r="ACP23" s="29"/>
      <c r="ACQ23" s="29"/>
      <c r="ACR23" s="29"/>
      <c r="ACS23" s="28"/>
      <c r="ACT23" s="29"/>
      <c r="ACU23" s="29"/>
      <c r="ACV23" s="28"/>
      <c r="ACW23" s="29"/>
      <c r="ACX23" s="30"/>
      <c r="ACY23" s="28"/>
      <c r="ACZ23" s="29"/>
      <c r="ADA23" s="29"/>
      <c r="ADB23" s="29"/>
      <c r="ADC23" s="28"/>
      <c r="ADD23" s="29"/>
      <c r="ADE23" s="29"/>
      <c r="ADF23" s="28"/>
      <c r="ADG23" s="29"/>
      <c r="ADH23" s="30"/>
      <c r="ADI23" s="28"/>
      <c r="ADJ23" s="29"/>
      <c r="ADK23" s="29"/>
      <c r="ADL23" s="29"/>
      <c r="ADM23" s="28"/>
      <c r="ADN23" s="29"/>
      <c r="ADO23" s="29"/>
      <c r="ADP23" s="28"/>
      <c r="ADQ23" s="29"/>
      <c r="ADR23" s="30"/>
      <c r="ADS23" s="28"/>
      <c r="ADT23" s="29"/>
      <c r="ADU23" s="29"/>
      <c r="ADV23" s="29"/>
      <c r="ADW23" s="28"/>
      <c r="ADX23" s="29"/>
      <c r="ADY23" s="29"/>
      <c r="ADZ23" s="28"/>
      <c r="AEA23" s="29"/>
      <c r="AEB23" s="30"/>
      <c r="AEC23" s="28"/>
      <c r="AED23" s="29"/>
      <c r="AEE23" s="29"/>
      <c r="AEF23" s="29"/>
      <c r="AEG23" s="28"/>
      <c r="AEH23" s="29"/>
      <c r="AEI23" s="29"/>
      <c r="AEJ23" s="28"/>
      <c r="AEK23" s="29"/>
      <c r="AEL23" s="30"/>
      <c r="AEM23" s="28"/>
      <c r="AEN23" s="29"/>
      <c r="AEO23" s="29"/>
      <c r="AEP23" s="29"/>
      <c r="AEQ23" s="28"/>
      <c r="AER23" s="29"/>
      <c r="AES23" s="29"/>
      <c r="AET23" s="28"/>
      <c r="AEU23" s="29"/>
      <c r="AEV23" s="30"/>
      <c r="AEW23" s="28"/>
      <c r="AEX23" s="29"/>
      <c r="AEY23" s="29"/>
      <c r="AEZ23" s="29"/>
      <c r="AFA23" s="28"/>
      <c r="AFB23" s="29"/>
      <c r="AFC23" s="29"/>
      <c r="AFD23" s="28"/>
      <c r="AFE23" s="29"/>
      <c r="AFF23" s="30"/>
      <c r="AFG23" s="28"/>
      <c r="AFH23" s="29"/>
      <c r="AFI23" s="29"/>
      <c r="AFJ23" s="29"/>
      <c r="AFK23" s="28"/>
      <c r="AFL23" s="29"/>
      <c r="AFM23" s="29"/>
      <c r="AFN23" s="28"/>
      <c r="AFO23" s="29"/>
      <c r="AFP23" s="30"/>
      <c r="AFQ23" s="28"/>
      <c r="AFR23" s="29"/>
      <c r="AFS23" s="29"/>
      <c r="AFT23" s="29"/>
      <c r="AFU23" s="28"/>
      <c r="AFV23" s="29"/>
      <c r="AFW23" s="29"/>
      <c r="AFX23" s="28"/>
      <c r="AFY23" s="29"/>
      <c r="AFZ23" s="30"/>
      <c r="AGA23" s="28"/>
      <c r="AGB23" s="29"/>
      <c r="AGC23" s="29"/>
      <c r="AGD23" s="29"/>
      <c r="AGE23" s="28"/>
      <c r="AGF23" s="29"/>
      <c r="AGG23" s="29"/>
      <c r="AGH23" s="28"/>
      <c r="AGI23" s="29"/>
      <c r="AGJ23" s="30"/>
      <c r="AGK23" s="28"/>
      <c r="AGL23" s="29"/>
      <c r="AGM23" s="29"/>
      <c r="AGN23" s="29"/>
      <c r="AGO23" s="28"/>
      <c r="AGP23" s="29"/>
      <c r="AGQ23" s="29"/>
      <c r="AGR23" s="28"/>
      <c r="AGS23" s="29"/>
      <c r="AGT23" s="30"/>
      <c r="AGU23" s="28"/>
      <c r="AGV23" s="29"/>
      <c r="AGW23" s="29"/>
      <c r="AGX23" s="29"/>
      <c r="AGY23" s="28"/>
      <c r="AGZ23" s="29"/>
      <c r="AHA23" s="29"/>
      <c r="AHB23" s="28"/>
      <c r="AHC23" s="29"/>
      <c r="AHD23" s="30"/>
      <c r="AHE23" s="28"/>
      <c r="AHF23" s="29"/>
      <c r="AHG23" s="29"/>
      <c r="AHH23" s="29"/>
      <c r="AHI23" s="28"/>
      <c r="AHJ23" s="29"/>
      <c r="AHK23" s="29"/>
      <c r="AHL23" s="28"/>
      <c r="AHM23" s="29"/>
      <c r="AHN23" s="30"/>
      <c r="AHO23" s="28"/>
      <c r="AHP23" s="29"/>
      <c r="AHQ23" s="29"/>
      <c r="AHR23" s="29"/>
      <c r="AHS23" s="28"/>
      <c r="AHT23" s="29"/>
      <c r="AHU23" s="29"/>
      <c r="AHV23" s="28"/>
      <c r="AHW23" s="29"/>
      <c r="AHX23" s="30"/>
      <c r="AHY23" s="28"/>
      <c r="AHZ23" s="29"/>
      <c r="AIA23" s="29"/>
      <c r="AIB23" s="29"/>
      <c r="AIC23" s="28"/>
      <c r="AID23" s="29"/>
      <c r="AIE23" s="29"/>
      <c r="AIF23" s="28"/>
      <c r="AIG23" s="29"/>
      <c r="AIH23" s="30"/>
      <c r="AII23" s="28"/>
      <c r="AIJ23" s="29"/>
      <c r="AIK23" s="29"/>
      <c r="AIL23" s="29"/>
      <c r="AIM23" s="28"/>
      <c r="AIN23" s="29"/>
      <c r="AIO23" s="29"/>
      <c r="AIP23" s="28"/>
      <c r="AIQ23" s="29"/>
      <c r="AIR23" s="30"/>
      <c r="AIS23" s="28"/>
      <c r="AIT23" s="29"/>
      <c r="AIU23" s="29"/>
      <c r="AIV23" s="29"/>
      <c r="AIW23" s="28"/>
      <c r="AIX23" s="29"/>
      <c r="AIY23" s="29"/>
      <c r="AIZ23" s="28"/>
      <c r="AJA23" s="29"/>
      <c r="AJB23" s="30"/>
      <c r="AJC23" s="28"/>
      <c r="AJD23" s="29"/>
      <c r="AJE23" s="29"/>
      <c r="AJF23" s="29"/>
      <c r="AJG23" s="28"/>
      <c r="AJH23" s="29"/>
      <c r="AJI23" s="29"/>
      <c r="AJJ23" s="28"/>
      <c r="AJK23" s="29"/>
      <c r="AJL23" s="30"/>
      <c r="AJM23" s="28"/>
      <c r="AJN23" s="29"/>
      <c r="AJO23" s="29"/>
      <c r="AJP23" s="29"/>
      <c r="AJQ23" s="28"/>
      <c r="AJR23" s="29"/>
      <c r="AJS23" s="29"/>
      <c r="AJT23" s="28"/>
      <c r="AJU23" s="29"/>
      <c r="AJV23" s="30"/>
      <c r="AJW23" s="28"/>
      <c r="AJX23" s="29"/>
      <c r="AJY23" s="29"/>
      <c r="AJZ23" s="29"/>
      <c r="AKA23" s="28"/>
      <c r="AKB23" s="29"/>
      <c r="AKC23" s="29"/>
      <c r="AKD23" s="28"/>
      <c r="AKE23" s="29"/>
      <c r="AKF23" s="30"/>
      <c r="AKG23" s="28"/>
      <c r="AKH23" s="29"/>
      <c r="AKI23" s="29"/>
      <c r="AKJ23" s="29"/>
      <c r="AKK23" s="28"/>
      <c r="AKL23" s="29"/>
      <c r="AKM23" s="29"/>
      <c r="AKN23" s="28"/>
      <c r="AKO23" s="29"/>
      <c r="AKP23" s="30"/>
      <c r="AKQ23" s="28"/>
      <c r="AKR23" s="29"/>
      <c r="AKS23" s="29"/>
      <c r="AKT23" s="29"/>
      <c r="AKU23" s="28"/>
      <c r="AKV23" s="29"/>
      <c r="AKW23" s="29"/>
      <c r="AKX23" s="28"/>
      <c r="AKY23" s="29"/>
      <c r="AKZ23" s="30"/>
      <c r="ALA23" s="28"/>
      <c r="ALB23" s="29"/>
      <c r="ALC23" s="29"/>
      <c r="ALD23" s="29"/>
      <c r="ALE23" s="28"/>
      <c r="ALF23" s="29"/>
      <c r="ALG23" s="29"/>
      <c r="ALH23" s="29"/>
      <c r="ALI23" s="29"/>
      <c r="ALJ23" s="29"/>
      <c r="ALK23" s="28"/>
      <c r="ALL23" s="29"/>
      <c r="ALM23" s="29"/>
      <c r="ALN23" s="28"/>
      <c r="ALO23" s="29"/>
      <c r="ALP23" s="30"/>
      <c r="ALQ23" s="28"/>
      <c r="ALR23" s="29"/>
      <c r="ALS23" s="29"/>
      <c r="ALT23" s="29"/>
      <c r="ALU23" s="28"/>
      <c r="ALV23" s="29"/>
      <c r="ALW23" s="29"/>
      <c r="ALX23" s="28"/>
      <c r="ALY23" s="29"/>
      <c r="ALZ23" s="30"/>
      <c r="AMA23" s="28"/>
      <c r="AMB23" s="29"/>
      <c r="AMC23" s="29"/>
      <c r="AMD23" s="29"/>
      <c r="AME23" s="28"/>
      <c r="AMF23" s="29"/>
      <c r="AMG23" s="29"/>
      <c r="AMH23" s="29"/>
      <c r="AMI23" s="29"/>
      <c r="AMJ23" s="29"/>
      <c r="AMK23" s="28"/>
      <c r="AML23" s="29"/>
      <c r="AMM23" s="29"/>
      <c r="AMN23" s="28"/>
      <c r="AMO23" s="29"/>
      <c r="AMP23" s="30"/>
      <c r="AMQ23" s="28"/>
      <c r="AMR23" s="29"/>
      <c r="AMS23" s="29"/>
      <c r="AMT23" s="29"/>
      <c r="AMU23" s="28"/>
      <c r="AMV23" s="29"/>
      <c r="AMW23" s="29"/>
      <c r="AMX23" s="28"/>
      <c r="AMY23" s="29"/>
      <c r="AMZ23" s="30"/>
      <c r="ANA23" s="28"/>
      <c r="ANB23" s="29"/>
      <c r="ANC23" s="29"/>
      <c r="AND23" s="29"/>
      <c r="ANE23" s="28"/>
      <c r="ANF23" s="29"/>
      <c r="ANG23" s="29"/>
      <c r="ANH23" s="29"/>
      <c r="ANI23" s="29"/>
      <c r="ANJ23" s="29"/>
      <c r="ANK23" s="28"/>
      <c r="ANL23" s="29"/>
      <c r="ANM23" s="29"/>
      <c r="ANN23" s="28"/>
      <c r="ANO23" s="29"/>
      <c r="ANP23" s="30"/>
      <c r="ANQ23" s="28"/>
      <c r="ANR23" s="29"/>
      <c r="ANS23" s="29"/>
      <c r="ANT23" s="29"/>
      <c r="ANU23" s="28"/>
      <c r="ANV23" s="29"/>
      <c r="ANW23" s="29"/>
      <c r="ANX23" s="28"/>
      <c r="ANY23" s="29"/>
      <c r="ANZ23" s="30"/>
      <c r="AOA23" s="28"/>
      <c r="AOB23" s="29"/>
      <c r="AOC23" s="29"/>
      <c r="AOD23" s="29"/>
      <c r="AOE23" s="28"/>
      <c r="AOF23" s="29"/>
      <c r="AOG23" s="29"/>
      <c r="AOH23" s="29"/>
      <c r="AOI23" s="29"/>
      <c r="AOJ23" s="29"/>
      <c r="AOK23" s="28"/>
      <c r="AOL23" s="29"/>
      <c r="AOM23" s="29"/>
      <c r="AON23" s="28"/>
      <c r="AOO23" s="29"/>
      <c r="AOP23" s="30"/>
      <c r="AOQ23" s="28"/>
      <c r="AOR23" s="29"/>
      <c r="AOS23" s="29"/>
      <c r="AOT23" s="29"/>
      <c r="AOU23" s="28"/>
      <c r="AOV23" s="29"/>
      <c r="AOW23" s="29"/>
      <c r="AOX23" s="28"/>
      <c r="AOY23" s="29"/>
      <c r="AOZ23" s="30"/>
      <c r="APA23" s="28"/>
      <c r="APB23" s="29"/>
      <c r="APC23" s="29"/>
      <c r="APD23" s="29"/>
      <c r="APE23" s="28"/>
      <c r="APF23" s="29"/>
      <c r="APG23" s="29"/>
      <c r="APH23" s="29"/>
      <c r="API23" s="29"/>
      <c r="APJ23" s="29"/>
      <c r="APK23" s="28"/>
      <c r="APL23" s="29"/>
      <c r="APM23" s="29"/>
      <c r="APN23" s="28"/>
      <c r="APO23" s="29"/>
      <c r="APP23" s="30"/>
      <c r="APQ23" s="28"/>
      <c r="APR23" s="29"/>
      <c r="APS23" s="29"/>
      <c r="APT23" s="29"/>
      <c r="APU23" s="28"/>
      <c r="APV23" s="29"/>
      <c r="APW23" s="29"/>
      <c r="APX23" s="28"/>
      <c r="APY23" s="29"/>
      <c r="APZ23" s="30"/>
      <c r="AQA23" s="28"/>
      <c r="AQB23" s="29"/>
      <c r="AQC23" s="29"/>
      <c r="AQD23" s="29"/>
      <c r="AQE23" s="28"/>
      <c r="AQF23" s="29"/>
      <c r="AQG23" s="29"/>
      <c r="AQH23" s="29"/>
      <c r="AQI23" s="29"/>
      <c r="AQJ23" s="29"/>
      <c r="AQK23" s="28"/>
      <c r="AQL23" s="29"/>
      <c r="AQM23" s="29"/>
      <c r="AQN23" s="28"/>
      <c r="AQO23" s="29"/>
      <c r="AQP23" s="30"/>
      <c r="AQQ23" s="28"/>
      <c r="AQR23" s="29"/>
      <c r="AQS23" s="29"/>
      <c r="AQT23" s="29"/>
      <c r="AQU23" s="28"/>
      <c r="AQV23" s="29"/>
      <c r="AQW23" s="29"/>
      <c r="AQX23" s="28"/>
      <c r="AQY23" s="29"/>
      <c r="AQZ23" s="30"/>
      <c r="ARA23" s="28"/>
      <c r="ARB23" s="29"/>
      <c r="ARC23" s="29"/>
      <c r="ARD23" s="29"/>
      <c r="ARE23" s="28"/>
      <c r="ARF23" s="29"/>
      <c r="ARG23" s="29"/>
      <c r="ARH23" s="29"/>
      <c r="ARI23" s="29"/>
      <c r="ARJ23" s="29"/>
      <c r="ARK23" s="28"/>
      <c r="ARL23" s="29"/>
      <c r="ARM23" s="29"/>
      <c r="ARN23" s="28"/>
      <c r="ARO23" s="29"/>
      <c r="ARP23" s="30"/>
      <c r="ARQ23" s="28"/>
      <c r="ARR23" s="29"/>
      <c r="ARS23" s="29"/>
      <c r="ART23" s="29"/>
      <c r="ARU23" s="28"/>
      <c r="ARV23" s="29"/>
      <c r="ARW23" s="29"/>
      <c r="ARX23" s="28"/>
      <c r="ARY23" s="29"/>
      <c r="ARZ23" s="30"/>
      <c r="ASA23" s="28"/>
      <c r="ASB23" s="29"/>
      <c r="ASC23" s="29"/>
      <c r="ASD23" s="29"/>
      <c r="ASE23" s="28"/>
      <c r="ASF23" s="29"/>
      <c r="ASG23" s="29"/>
      <c r="ASH23" s="29"/>
      <c r="ASI23" s="29"/>
      <c r="ASJ23" s="29"/>
      <c r="ASK23" s="28"/>
      <c r="ASL23" s="29"/>
      <c r="ASM23" s="29"/>
      <c r="ASN23" s="28"/>
      <c r="ASO23" s="29"/>
      <c r="ASP23" s="30"/>
      <c r="ASQ23" s="28"/>
      <c r="ASR23" s="29"/>
      <c r="ASS23" s="29"/>
      <c r="AST23" s="29"/>
      <c r="ASU23" s="28"/>
      <c r="ASV23" s="29"/>
      <c r="ASW23" s="29"/>
      <c r="ASX23" s="28"/>
      <c r="ASY23" s="29"/>
      <c r="ASZ23" s="30"/>
      <c r="ATA23" s="28"/>
      <c r="ATB23" s="29"/>
      <c r="ATC23" s="29"/>
      <c r="ATD23" s="29"/>
      <c r="ATE23" s="28"/>
      <c r="ATF23" s="29"/>
      <c r="ATG23" s="29"/>
      <c r="ATH23" s="29"/>
      <c r="ATI23" s="29"/>
      <c r="ATJ23" s="29"/>
      <c r="ATK23" s="28"/>
      <c r="ATL23" s="29"/>
      <c r="ATM23" s="29"/>
      <c r="ATN23" s="28"/>
      <c r="ATO23" s="29"/>
      <c r="ATP23" s="30"/>
      <c r="ATQ23" s="28"/>
      <c r="ATR23" s="29"/>
      <c r="ATS23" s="29"/>
      <c r="ATT23" s="29"/>
      <c r="ATU23" s="28"/>
      <c r="ATV23" s="29"/>
      <c r="ATW23" s="29"/>
      <c r="ATX23" s="28"/>
      <c r="ATY23" s="29"/>
      <c r="ATZ23" s="30"/>
      <c r="AUA23" s="28"/>
      <c r="AUB23" s="29"/>
      <c r="AUC23" s="29"/>
      <c r="AUD23" s="29"/>
      <c r="AUE23" s="28"/>
      <c r="AUF23" s="29"/>
      <c r="AUG23" s="29"/>
      <c r="AUH23" s="29"/>
      <c r="AUI23" s="29"/>
      <c r="AUJ23" s="29"/>
      <c r="AUK23" s="28"/>
      <c r="AUL23" s="29"/>
      <c r="AUM23" s="29"/>
      <c r="AUN23" s="28"/>
      <c r="AUO23" s="29"/>
      <c r="AUP23" s="30"/>
      <c r="AUQ23" s="28"/>
      <c r="AUR23" s="29"/>
      <c r="AUS23" s="29"/>
      <c r="AUT23" s="29"/>
      <c r="AUU23" s="28"/>
      <c r="AUV23" s="29"/>
      <c r="AUW23" s="29"/>
      <c r="AUX23" s="28"/>
      <c r="AUY23" s="29"/>
      <c r="AUZ23" s="30"/>
      <c r="AVA23" s="28"/>
      <c r="AVB23" s="29"/>
      <c r="AVC23" s="29"/>
      <c r="AVD23" s="29"/>
      <c r="AVE23" s="28"/>
      <c r="AVF23" s="29"/>
      <c r="AVG23" s="29"/>
      <c r="AVH23" s="29"/>
      <c r="AVI23" s="29"/>
      <c r="AVJ23" s="29"/>
      <c r="AVK23" s="28"/>
      <c r="AVL23" s="29"/>
      <c r="AVM23" s="29"/>
      <c r="AVN23" s="28"/>
      <c r="AVO23" s="29"/>
      <c r="AVP23" s="30"/>
      <c r="AVQ23" s="28"/>
      <c r="AVR23" s="29"/>
      <c r="AVS23" s="29"/>
      <c r="AVT23" s="29"/>
      <c r="AVU23" s="28"/>
      <c r="AVV23" s="29"/>
      <c r="AVW23" s="29"/>
      <c r="AVX23" s="28"/>
      <c r="AVY23" s="29"/>
      <c r="AVZ23" s="30"/>
      <c r="AWA23" s="28"/>
      <c r="AWB23" s="29"/>
      <c r="AWC23" s="29"/>
      <c r="AWD23" s="29"/>
      <c r="AWE23" s="28"/>
      <c r="AWF23" s="29"/>
      <c r="AWG23" s="29"/>
      <c r="AWH23" s="29"/>
      <c r="AWI23" s="29"/>
      <c r="AWJ23" s="29"/>
      <c r="AWK23" s="28"/>
      <c r="AWL23" s="29"/>
      <c r="AWM23" s="29"/>
      <c r="AWN23" s="28"/>
      <c r="AWO23" s="29"/>
      <c r="AWP23" s="30"/>
      <c r="AWQ23" s="28"/>
      <c r="AWR23" s="29"/>
      <c r="AWS23" s="29"/>
      <c r="AWT23" s="29"/>
      <c r="AWU23" s="28"/>
      <c r="AWV23" s="29"/>
      <c r="AWW23" s="29"/>
      <c r="AWX23" s="28"/>
      <c r="AWY23" s="29"/>
      <c r="AWZ23" s="30"/>
      <c r="AXA23" s="28"/>
      <c r="AXB23" s="29"/>
      <c r="AXC23" s="29"/>
      <c r="AXD23" s="29"/>
      <c r="AXE23" s="28"/>
      <c r="AXF23" s="29"/>
      <c r="AXG23" s="29"/>
      <c r="AXH23" s="29"/>
      <c r="AXI23" s="29"/>
      <c r="AXJ23" s="29"/>
      <c r="AXK23" s="28"/>
      <c r="AXL23" s="29"/>
      <c r="AXM23" s="29"/>
      <c r="AXN23" s="28"/>
      <c r="AXO23" s="29"/>
      <c r="AXP23" s="30"/>
      <c r="AXQ23" s="28"/>
      <c r="AXR23" s="29"/>
      <c r="AXS23" s="29"/>
      <c r="AXT23" s="29"/>
      <c r="AXU23" s="28"/>
      <c r="AXV23" s="29"/>
      <c r="AXW23" s="29"/>
      <c r="AXX23" s="28"/>
      <c r="AXY23" s="29"/>
      <c r="AXZ23" s="30"/>
      <c r="AYA23" s="28"/>
      <c r="AYB23" s="29"/>
      <c r="AYC23" s="29"/>
      <c r="AYD23" s="29"/>
      <c r="AYE23" s="28"/>
      <c r="AYF23" s="29"/>
      <c r="AYG23" s="29"/>
      <c r="AYH23" s="29"/>
      <c r="AYI23" s="29"/>
      <c r="AYJ23" s="29"/>
      <c r="AYK23" s="28"/>
      <c r="AYL23" s="29"/>
      <c r="AYM23" s="29"/>
      <c r="AYN23" s="28"/>
      <c r="AYO23" s="29"/>
      <c r="AYP23" s="30"/>
      <c r="AYQ23" s="28"/>
      <c r="AYR23" s="29"/>
      <c r="AYS23" s="29"/>
      <c r="AYT23" s="29"/>
      <c r="AYU23" s="28"/>
      <c r="AYV23" s="29"/>
      <c r="AYW23" s="29"/>
      <c r="AYX23" s="28"/>
      <c r="AYY23" s="29"/>
      <c r="AYZ23" s="30"/>
      <c r="AZA23" s="28"/>
      <c r="AZB23" s="29"/>
      <c r="AZC23" s="29"/>
      <c r="AZD23" s="29"/>
      <c r="AZE23" s="28"/>
      <c r="AZF23" s="29"/>
      <c r="AZG23" s="29"/>
      <c r="AZH23" s="29"/>
      <c r="AZI23" s="29"/>
      <c r="AZJ23" s="29"/>
      <c r="AZK23" s="28"/>
      <c r="AZL23" s="29"/>
      <c r="AZM23" s="29"/>
      <c r="AZN23" s="28"/>
      <c r="AZO23" s="29"/>
      <c r="AZP23" s="30"/>
      <c r="AZQ23" s="28"/>
      <c r="AZR23" s="29"/>
      <c r="AZS23" s="29"/>
      <c r="AZT23" s="29"/>
      <c r="AZU23" s="28"/>
      <c r="AZV23" s="29"/>
      <c r="AZW23" s="29"/>
      <c r="AZX23" s="28"/>
      <c r="AZY23" s="29"/>
      <c r="AZZ23" s="30"/>
      <c r="BAA23" s="28"/>
      <c r="BAB23" s="29"/>
      <c r="BAC23" s="29"/>
      <c r="BAD23" s="29"/>
      <c r="BAE23" s="28"/>
      <c r="BAF23" s="29"/>
      <c r="BAG23" s="29"/>
      <c r="BAH23" s="29"/>
      <c r="BAI23" s="29"/>
      <c r="BAJ23" s="29"/>
      <c r="BAK23" s="28"/>
      <c r="BAL23" s="29"/>
      <c r="BAM23" s="29"/>
      <c r="BAN23" s="28"/>
      <c r="BAO23" s="29"/>
      <c r="BAP23" s="30"/>
      <c r="BAQ23" s="28"/>
      <c r="BAR23" s="29"/>
      <c r="BAS23" s="29"/>
      <c r="BAT23" s="29"/>
      <c r="BAU23" s="28"/>
      <c r="BAV23" s="29"/>
      <c r="BAW23" s="29"/>
      <c r="BAX23" s="28"/>
      <c r="BAY23" s="29"/>
      <c r="BAZ23" s="30"/>
      <c r="BBA23" s="28"/>
      <c r="BBB23" s="29"/>
      <c r="BBC23" s="29"/>
      <c r="BBD23" s="29"/>
      <c r="BBE23" s="28"/>
      <c r="BBF23" s="29"/>
      <c r="BBG23" s="29"/>
      <c r="BBH23" s="29"/>
      <c r="BBI23" s="29"/>
      <c r="BBJ23" s="29"/>
      <c r="BBK23" s="28"/>
      <c r="BBL23" s="29"/>
      <c r="BBM23" s="29"/>
      <c r="BBN23" s="28"/>
      <c r="BBO23" s="29"/>
      <c r="BBP23" s="30"/>
      <c r="BBQ23" s="28"/>
      <c r="BBR23" s="29"/>
      <c r="BBS23" s="29"/>
      <c r="BBT23" s="29"/>
      <c r="BBU23" s="28"/>
      <c r="BBV23" s="29"/>
      <c r="BBW23" s="29"/>
      <c r="BBX23" s="28"/>
      <c r="BBY23" s="29"/>
      <c r="BBZ23" s="30"/>
      <c r="BCA23" s="28"/>
      <c r="BCB23" s="29"/>
      <c r="BCC23" s="29"/>
      <c r="BCD23" s="29"/>
      <c r="BCE23" s="28"/>
      <c r="BCF23" s="29"/>
      <c r="BCG23" s="29"/>
      <c r="BCH23" s="29"/>
      <c r="BCI23" s="29"/>
      <c r="BCJ23" s="29"/>
      <c r="BCK23" s="28"/>
      <c r="BCL23" s="29"/>
      <c r="BCM23" s="29"/>
      <c r="BCN23" s="28"/>
      <c r="BCO23" s="29"/>
      <c r="BCP23" s="30"/>
      <c r="BCQ23" s="28"/>
      <c r="BCR23" s="29"/>
      <c r="BCS23" s="29"/>
      <c r="BCT23" s="29"/>
      <c r="BCU23" s="28"/>
      <c r="BCV23" s="29"/>
      <c r="BCW23" s="29"/>
      <c r="BCX23" s="28"/>
      <c r="BCY23" s="29"/>
      <c r="BCZ23" s="30"/>
      <c r="BDA23" s="28"/>
      <c r="BDB23" s="29"/>
      <c r="BDC23" s="29"/>
      <c r="BDD23" s="29"/>
      <c r="BDE23" s="28"/>
      <c r="BDF23" s="29"/>
      <c r="BDG23" s="29"/>
      <c r="BDH23" s="29"/>
      <c r="BDI23" s="29"/>
      <c r="BDJ23" s="29"/>
      <c r="BDK23" s="28"/>
      <c r="BDL23" s="29"/>
      <c r="BDM23" s="29"/>
      <c r="BDN23" s="28"/>
      <c r="BDO23" s="29"/>
      <c r="BDP23" s="30"/>
      <c r="BDQ23" s="28"/>
      <c r="BDR23" s="29"/>
      <c r="BDS23" s="29"/>
      <c r="BDT23" s="29"/>
      <c r="BDU23" s="28"/>
      <c r="BDV23" s="29"/>
      <c r="BDW23" s="29"/>
      <c r="BDX23" s="28"/>
      <c r="BDY23" s="29"/>
      <c r="BDZ23" s="30"/>
      <c r="BEA23" s="28"/>
      <c r="BEB23" s="29"/>
      <c r="BEC23" s="29"/>
      <c r="BED23" s="29"/>
      <c r="BEE23" s="28"/>
      <c r="BEF23" s="29"/>
      <c r="BEG23" s="29"/>
      <c r="BEH23" s="29"/>
      <c r="BEI23" s="29"/>
      <c r="BEJ23" s="29"/>
      <c r="BEK23" s="28"/>
      <c r="BEL23" s="29"/>
      <c r="BEM23" s="29"/>
      <c r="BEN23" s="28"/>
      <c r="BEO23" s="29"/>
      <c r="BEP23" s="30"/>
      <c r="BEQ23" s="28"/>
      <c r="BER23" s="29"/>
      <c r="BES23" s="29"/>
      <c r="BET23" s="29"/>
      <c r="BEU23" s="28"/>
      <c r="BEV23" s="29"/>
      <c r="BEW23" s="29"/>
      <c r="BEX23" s="28"/>
      <c r="BEY23" s="29"/>
      <c r="BEZ23" s="30"/>
      <c r="BFA23" s="28"/>
      <c r="BFB23" s="29"/>
      <c r="BFC23" s="29"/>
      <c r="BFD23" s="29"/>
      <c r="BFE23" s="28"/>
      <c r="BFF23" s="29"/>
      <c r="BFG23" s="29"/>
      <c r="BFH23" s="29"/>
      <c r="BFI23" s="29"/>
      <c r="BFJ23" s="29"/>
      <c r="BFK23" s="28"/>
      <c r="BFL23" s="29"/>
      <c r="BFM23" s="29"/>
      <c r="BFN23" s="28"/>
      <c r="BFO23" s="29"/>
      <c r="BFP23" s="30"/>
      <c r="BFQ23" s="28"/>
      <c r="BFR23" s="29"/>
      <c r="BFS23" s="29"/>
      <c r="BFT23" s="29"/>
      <c r="BFU23" s="28"/>
      <c r="BFV23" s="29"/>
      <c r="BFW23" s="29"/>
      <c r="BFX23" s="28"/>
      <c r="BFY23" s="29"/>
      <c r="BFZ23" s="30"/>
      <c r="BGA23" s="28"/>
      <c r="BGB23" s="29"/>
      <c r="BGC23" s="29"/>
      <c r="BGD23" s="29"/>
      <c r="BGE23" s="28"/>
      <c r="BGF23" s="29"/>
      <c r="BGG23" s="29"/>
      <c r="BGH23" s="29"/>
      <c r="BGI23" s="29"/>
      <c r="BGJ23" s="29"/>
      <c r="BGK23" s="28"/>
      <c r="BGL23" s="29"/>
      <c r="BGM23" s="29"/>
      <c r="BGN23" s="28"/>
      <c r="BGO23" s="29"/>
      <c r="BGP23" s="30"/>
      <c r="BGQ23" s="28"/>
      <c r="BGR23" s="29"/>
      <c r="BGS23" s="29"/>
      <c r="BGT23" s="29"/>
      <c r="BGU23" s="28"/>
      <c r="BGV23" s="29"/>
      <c r="BGW23" s="29"/>
      <c r="BGX23" s="28"/>
      <c r="BGY23" s="29"/>
      <c r="BGZ23" s="30"/>
      <c r="BHA23" s="28"/>
      <c r="BHB23" s="29"/>
      <c r="BHC23" s="29"/>
      <c r="BHD23" s="29"/>
      <c r="BHE23" s="28"/>
      <c r="BHF23" s="29"/>
      <c r="BHG23" s="29"/>
      <c r="BHH23" s="29"/>
      <c r="BHI23" s="29"/>
      <c r="BHJ23" s="29"/>
      <c r="BHK23" s="28"/>
      <c r="BHL23" s="29"/>
      <c r="BHM23" s="29"/>
      <c r="BHN23" s="28"/>
      <c r="BHO23" s="29"/>
      <c r="BHP23" s="30"/>
      <c r="BHQ23" s="28"/>
      <c r="BHR23" s="29"/>
      <c r="BHS23" s="29"/>
      <c r="BHT23" s="29"/>
      <c r="BHU23" s="28"/>
      <c r="BHV23" s="29"/>
      <c r="BHW23" s="29"/>
      <c r="BHX23" s="28"/>
      <c r="BHY23" s="29"/>
      <c r="BHZ23" s="30"/>
      <c r="BIA23" s="28"/>
      <c r="BIB23" s="29"/>
      <c r="BIC23" s="29"/>
      <c r="BID23" s="29"/>
      <c r="BIE23" s="28"/>
      <c r="BIF23" s="29"/>
      <c r="BIG23" s="29"/>
      <c r="BIH23" s="29"/>
      <c r="BII23" s="29"/>
      <c r="BIJ23" s="29"/>
      <c r="BIK23" s="28"/>
      <c r="BIL23" s="29"/>
      <c r="BIM23" s="29"/>
      <c r="BIN23" s="28"/>
      <c r="BIO23" s="29"/>
      <c r="BIP23" s="30"/>
      <c r="BIQ23" s="28"/>
      <c r="BIR23" s="29"/>
      <c r="BIS23" s="29"/>
      <c r="BIT23" s="29"/>
      <c r="BIU23" s="28"/>
      <c r="BIV23" s="29"/>
      <c r="BIW23" s="29"/>
      <c r="BIX23" s="28"/>
      <c r="BIY23" s="29"/>
      <c r="BIZ23" s="30"/>
      <c r="BJA23" s="28"/>
      <c r="BJB23" s="29"/>
      <c r="BJC23" s="29"/>
      <c r="BJD23" s="29"/>
      <c r="BJE23" s="28"/>
      <c r="BJF23" s="29"/>
      <c r="BJG23" s="29"/>
      <c r="BJH23" s="29"/>
      <c r="BJI23" s="29"/>
      <c r="BJJ23" s="29"/>
      <c r="BJK23" s="28"/>
      <c r="BJL23" s="29"/>
      <c r="BJM23" s="29"/>
      <c r="BJN23" s="28"/>
      <c r="BJO23" s="29"/>
      <c r="BJP23" s="30"/>
      <c r="BJQ23" s="28"/>
      <c r="BJR23" s="29"/>
      <c r="BJS23" s="29"/>
      <c r="BJT23" s="29"/>
      <c r="BJU23" s="28"/>
      <c r="BJV23" s="29"/>
      <c r="BJW23" s="29"/>
      <c r="BJX23" s="28"/>
      <c r="BJY23" s="29"/>
      <c r="BJZ23" s="30"/>
      <c r="BKA23" s="28"/>
      <c r="BKB23" s="29"/>
      <c r="BKC23" s="29"/>
      <c r="BKD23" s="29"/>
      <c r="BKE23" s="28"/>
      <c r="BKF23" s="29"/>
      <c r="BKG23" s="29"/>
      <c r="BKH23" s="29"/>
      <c r="BKI23" s="29"/>
      <c r="BKJ23" s="29"/>
      <c r="BKK23" s="28"/>
      <c r="BKL23" s="29"/>
      <c r="BKM23" s="29"/>
      <c r="BKN23" s="28"/>
      <c r="BKO23" s="29"/>
      <c r="BKP23" s="30"/>
      <c r="BKQ23" s="28"/>
      <c r="BKR23" s="29"/>
      <c r="BKS23" s="29"/>
      <c r="BKT23" s="29"/>
      <c r="BKU23" s="28"/>
      <c r="BKV23" s="29"/>
      <c r="BKW23" s="29"/>
      <c r="BKX23" s="28"/>
      <c r="BKY23" s="29"/>
      <c r="BKZ23" s="30"/>
      <c r="BLA23" s="28"/>
      <c r="BLB23" s="29"/>
      <c r="BLC23" s="29"/>
      <c r="BLD23" s="29"/>
      <c r="BLE23" s="28"/>
      <c r="BLF23" s="29"/>
      <c r="BLG23" s="29"/>
      <c r="BLH23" s="29"/>
      <c r="BLI23" s="29"/>
      <c r="BLJ23" s="29"/>
      <c r="BLK23" s="28"/>
      <c r="BLL23" s="29"/>
      <c r="BLM23" s="29"/>
      <c r="BLN23" s="28"/>
      <c r="BLO23" s="29"/>
      <c r="BLP23" s="30"/>
      <c r="BLQ23" s="28"/>
      <c r="BLR23" s="29"/>
      <c r="BLS23" s="29"/>
      <c r="BLT23" s="29"/>
      <c r="BLU23" s="28"/>
      <c r="BLV23" s="29"/>
      <c r="BLW23" s="29"/>
      <c r="BLX23" s="28"/>
      <c r="BLY23" s="29"/>
      <c r="BLZ23" s="30"/>
      <c r="BMA23" s="28"/>
      <c r="BMB23" s="29"/>
      <c r="BMC23" s="29"/>
      <c r="BMD23" s="29"/>
      <c r="BME23" s="28"/>
      <c r="BMF23" s="29"/>
      <c r="BMG23" s="29"/>
      <c r="BMH23" s="29"/>
      <c r="BMI23" s="29"/>
      <c r="BMJ23" s="29"/>
      <c r="BMK23" s="28"/>
      <c r="BML23" s="29"/>
      <c r="BMM23" s="29"/>
      <c r="BMN23" s="28"/>
      <c r="BMO23" s="29"/>
      <c r="BMP23" s="30"/>
      <c r="BMQ23" s="28"/>
      <c r="BMR23" s="29"/>
      <c r="BMS23" s="29"/>
      <c r="BMT23" s="29"/>
      <c r="BMU23" s="28"/>
      <c r="BMV23" s="29"/>
      <c r="BMW23" s="29"/>
      <c r="BMX23" s="28"/>
      <c r="BMY23" s="29"/>
      <c r="BMZ23" s="30"/>
      <c r="BNA23" s="28"/>
      <c r="BNB23" s="29"/>
      <c r="BNC23" s="29"/>
      <c r="BND23" s="29"/>
      <c r="BNE23" s="28"/>
      <c r="BNF23" s="29"/>
      <c r="BNG23" s="29"/>
      <c r="BNH23" s="29"/>
      <c r="BNI23" s="29"/>
      <c r="BNJ23" s="29"/>
      <c r="BNK23" s="28"/>
      <c r="BNL23" s="29"/>
      <c r="BNM23" s="29"/>
      <c r="BNN23" s="28"/>
      <c r="BNO23" s="29"/>
      <c r="BNP23" s="30"/>
      <c r="BNQ23" s="28"/>
      <c r="BNR23" s="29"/>
      <c r="BNS23" s="29"/>
      <c r="BNT23" s="29"/>
      <c r="BNU23" s="28"/>
      <c r="BNV23" s="29"/>
      <c r="BNW23" s="29"/>
      <c r="BNX23" s="28"/>
      <c r="BNY23" s="29"/>
      <c r="BNZ23" s="30"/>
      <c r="BOA23" s="28"/>
      <c r="BOB23" s="29"/>
      <c r="BOC23" s="29"/>
      <c r="BOD23" s="29"/>
      <c r="BOE23" s="28"/>
      <c r="BOF23" s="29"/>
      <c r="BOG23" s="29"/>
      <c r="BOH23" s="29"/>
      <c r="BOI23" s="29"/>
      <c r="BOJ23" s="29"/>
      <c r="BOK23" s="28"/>
      <c r="BOL23" s="29"/>
      <c r="BOM23" s="29"/>
      <c r="BON23" s="28"/>
      <c r="BOO23" s="29"/>
      <c r="BOP23" s="30"/>
      <c r="BOQ23" s="28"/>
      <c r="BOR23" s="29"/>
      <c r="BOS23" s="29"/>
      <c r="BOT23" s="29"/>
      <c r="BOU23" s="28"/>
      <c r="BOV23" s="29"/>
      <c r="BOW23" s="29"/>
      <c r="BOX23" s="28"/>
      <c r="BOY23" s="29"/>
      <c r="BOZ23" s="30"/>
      <c r="BPA23" s="28"/>
      <c r="BPB23" s="29"/>
      <c r="BPC23" s="29"/>
      <c r="BPD23" s="29"/>
      <c r="BPE23" s="28"/>
      <c r="BPF23" s="29"/>
      <c r="BPG23" s="29"/>
      <c r="BPH23" s="29"/>
      <c r="BPI23" s="29"/>
      <c r="BPJ23" s="29"/>
      <c r="BPK23" s="28"/>
      <c r="BPL23" s="29"/>
      <c r="BPM23" s="29"/>
      <c r="BPN23" s="28"/>
      <c r="BPO23" s="29"/>
      <c r="BPP23" s="30"/>
      <c r="BPQ23" s="28"/>
      <c r="BPR23" s="29"/>
      <c r="BPS23" s="29"/>
      <c r="BPT23" s="29"/>
      <c r="BPU23" s="28"/>
      <c r="BPV23" s="29"/>
      <c r="BPW23" s="29"/>
      <c r="BPX23" s="28"/>
      <c r="BPY23" s="29"/>
      <c r="BPZ23" s="30"/>
      <c r="BQA23" s="28"/>
      <c r="BQB23" s="29"/>
      <c r="BQC23" s="29"/>
      <c r="BQD23" s="29"/>
      <c r="BQE23" s="28"/>
      <c r="BQF23" s="29"/>
      <c r="BQG23" s="29"/>
      <c r="BQH23" s="29"/>
      <c r="BQI23" s="29"/>
      <c r="BQJ23" s="29"/>
      <c r="BQK23" s="28"/>
      <c r="BQL23" s="29"/>
      <c r="BQM23" s="29"/>
      <c r="BQN23" s="28"/>
      <c r="BQO23" s="29"/>
      <c r="BQP23" s="30"/>
      <c r="BQQ23" s="28"/>
      <c r="BQR23" s="29"/>
      <c r="BQS23" s="29"/>
      <c r="BQT23" s="29"/>
      <c r="BQU23" s="28"/>
      <c r="BQV23" s="29"/>
      <c r="BQW23" s="29"/>
      <c r="BQX23" s="28"/>
      <c r="BQY23" s="29"/>
      <c r="BQZ23" s="30"/>
      <c r="BRA23" s="28"/>
      <c r="BRB23" s="29"/>
      <c r="BRC23" s="29"/>
      <c r="BRD23" s="29"/>
      <c r="BRE23" s="28"/>
      <c r="BRF23" s="29"/>
      <c r="BRG23" s="29"/>
      <c r="BRH23" s="29"/>
      <c r="BRI23" s="29"/>
      <c r="BRJ23" s="29"/>
      <c r="BRK23" s="28"/>
      <c r="BRL23" s="29"/>
      <c r="BRM23" s="29"/>
      <c r="BRN23" s="28"/>
      <c r="BRO23" s="29"/>
      <c r="BRP23" s="30"/>
      <c r="BRQ23" s="28"/>
      <c r="BRR23" s="29"/>
      <c r="BRS23" s="29"/>
      <c r="BRT23" s="29"/>
      <c r="BRU23" s="28"/>
      <c r="BRV23" s="29"/>
      <c r="BRW23" s="29"/>
      <c r="BRX23" s="28"/>
      <c r="BRY23" s="29"/>
      <c r="BRZ23" s="30"/>
      <c r="BSA23" s="28"/>
      <c r="BSB23" s="29"/>
      <c r="BSC23" s="29"/>
      <c r="BSD23" s="29"/>
      <c r="BSE23" s="28"/>
      <c r="BSF23" s="29"/>
      <c r="BSG23" s="29"/>
      <c r="BSH23" s="29"/>
      <c r="BSI23" s="29"/>
      <c r="BSJ23" s="29"/>
      <c r="BSK23" s="28"/>
      <c r="BSL23" s="29"/>
      <c r="BSM23" s="29"/>
      <c r="BSN23" s="28"/>
      <c r="BSO23" s="29"/>
      <c r="BSP23" s="30"/>
      <c r="BSQ23" s="28"/>
      <c r="BSR23" s="29"/>
      <c r="BSS23" s="29"/>
      <c r="BST23" s="29"/>
      <c r="BSU23" s="28"/>
      <c r="BSV23" s="29"/>
      <c r="BSW23" s="29"/>
      <c r="BSX23" s="28"/>
      <c r="BSY23" s="29"/>
      <c r="BSZ23" s="30"/>
      <c r="BTA23" s="28"/>
      <c r="BTB23" s="29"/>
      <c r="BTC23" s="29"/>
      <c r="BTD23" s="29"/>
      <c r="BTE23" s="28"/>
      <c r="BTF23" s="29"/>
      <c r="BTG23" s="29"/>
      <c r="BTH23" s="29"/>
      <c r="BTI23" s="29"/>
      <c r="BTJ23" s="29"/>
      <c r="BTK23" s="28"/>
      <c r="BTL23" s="29"/>
      <c r="BTM23" s="29"/>
      <c r="BTN23" s="28"/>
      <c r="BTO23" s="29"/>
      <c r="BTP23" s="30"/>
      <c r="BTQ23" s="28"/>
      <c r="BTR23" s="29"/>
      <c r="BTS23" s="29"/>
      <c r="BTT23" s="29"/>
      <c r="BTU23" s="28"/>
      <c r="BTV23" s="29"/>
      <c r="BTW23" s="29"/>
      <c r="BTX23" s="28"/>
      <c r="BTY23" s="29"/>
      <c r="BTZ23" s="30"/>
      <c r="BUA23" s="28"/>
      <c r="BUB23" s="29"/>
      <c r="BUC23" s="29"/>
      <c r="BUD23" s="29"/>
      <c r="BUE23" s="28"/>
      <c r="BUF23" s="29"/>
      <c r="BUG23" s="29"/>
      <c r="BUH23" s="29"/>
      <c r="BUI23" s="29"/>
      <c r="BUJ23" s="29"/>
      <c r="BUK23" s="28"/>
      <c r="BUL23" s="29"/>
      <c r="BUM23" s="29"/>
      <c r="BUN23" s="28"/>
      <c r="BUO23" s="29"/>
      <c r="BUP23" s="30"/>
      <c r="BUQ23" s="28"/>
      <c r="BUR23" s="29"/>
      <c r="BUS23" s="29"/>
      <c r="BUT23" s="29"/>
      <c r="BUU23" s="28"/>
      <c r="BUV23" s="29"/>
      <c r="BUW23" s="29"/>
      <c r="BUX23" s="28"/>
      <c r="BUY23" s="29"/>
      <c r="BUZ23" s="30"/>
      <c r="BVA23" s="28"/>
      <c r="BVB23" s="29"/>
      <c r="BVC23" s="29"/>
      <c r="BVD23" s="29"/>
      <c r="BVE23" s="28"/>
      <c r="BVF23" s="29"/>
      <c r="BVG23" s="29"/>
      <c r="BVH23" s="29"/>
      <c r="BVI23" s="29"/>
      <c r="BVJ23" s="29"/>
      <c r="BVK23" s="28"/>
      <c r="BVL23" s="29"/>
      <c r="BVM23" s="29"/>
      <c r="BVN23" s="28"/>
      <c r="BVO23" s="29"/>
      <c r="BVP23" s="30"/>
      <c r="BVQ23" s="28"/>
      <c r="BVR23" s="29"/>
      <c r="BVS23" s="29"/>
      <c r="BVT23" s="29"/>
      <c r="BVU23" s="28"/>
      <c r="BVV23" s="29"/>
      <c r="BVW23" s="29"/>
      <c r="BVX23" s="28"/>
      <c r="BVY23" s="29"/>
      <c r="BVZ23" s="30"/>
      <c r="BWA23" s="28"/>
      <c r="BWB23" s="29"/>
      <c r="BWC23" s="29"/>
      <c r="BWD23" s="29"/>
      <c r="BWE23" s="28"/>
      <c r="BWF23" s="29"/>
      <c r="BWG23" s="29"/>
      <c r="BWH23" s="29"/>
      <c r="BWI23" s="29"/>
      <c r="BWJ23" s="29"/>
      <c r="BWK23" s="28"/>
      <c r="BWL23" s="29"/>
      <c r="BWM23" s="29"/>
      <c r="BWN23" s="28"/>
      <c r="BWO23" s="29"/>
      <c r="BWP23" s="30"/>
      <c r="BWQ23" s="28"/>
      <c r="BWR23" s="29"/>
      <c r="BWS23" s="29"/>
      <c r="BWT23" s="29"/>
      <c r="BWU23" s="28"/>
      <c r="BWV23" s="29"/>
      <c r="BWW23" s="29"/>
      <c r="BWX23" s="28"/>
      <c r="BWY23" s="29"/>
      <c r="BWZ23" s="30"/>
      <c r="BXA23" s="28"/>
      <c r="BXB23" s="29"/>
      <c r="BXC23" s="29"/>
      <c r="BXD23" s="29"/>
      <c r="BXE23" s="28"/>
      <c r="BXF23" s="29"/>
      <c r="BXG23" s="29"/>
      <c r="BXH23" s="29"/>
      <c r="BXI23" s="29"/>
      <c r="BXJ23" s="29"/>
      <c r="BXK23" s="28"/>
      <c r="BXL23" s="29"/>
      <c r="BXM23" s="29"/>
      <c r="BXN23" s="28"/>
      <c r="BXO23" s="29"/>
      <c r="BXP23" s="30"/>
      <c r="BXQ23" s="28"/>
      <c r="BXR23" s="29"/>
      <c r="BXS23" s="29"/>
      <c r="BXT23" s="29"/>
      <c r="BXU23" s="28"/>
      <c r="BXV23" s="29"/>
      <c r="BXW23" s="29"/>
      <c r="BXX23" s="28"/>
      <c r="BXY23" s="29"/>
      <c r="BXZ23" s="30"/>
      <c r="BYA23" s="28"/>
      <c r="BYB23" s="29"/>
      <c r="BYC23" s="29"/>
      <c r="BYD23" s="29"/>
      <c r="BYE23" s="28"/>
      <c r="BYF23" s="29"/>
      <c r="BYG23" s="29"/>
      <c r="BYH23" s="29"/>
      <c r="BYI23" s="29"/>
      <c r="BYJ23" s="29"/>
      <c r="BYK23" s="28"/>
      <c r="BYL23" s="29"/>
      <c r="BYM23" s="29"/>
      <c r="BYN23" s="28"/>
      <c r="BYO23" s="29"/>
      <c r="BYP23" s="30"/>
      <c r="BYQ23" s="28"/>
      <c r="BYR23" s="29"/>
      <c r="BYS23" s="29"/>
      <c r="BYT23" s="29"/>
      <c r="BYU23" s="28"/>
      <c r="BYV23" s="29"/>
      <c r="BYW23" s="29"/>
      <c r="BYX23" s="30"/>
      <c r="BYY23" s="29"/>
      <c r="BYZ23" s="28"/>
      <c r="BZA23" s="29"/>
      <c r="BZB23" s="28"/>
      <c r="BZC23" s="28"/>
      <c r="BZD23" s="28"/>
      <c r="BZE23" s="29"/>
      <c r="BZF23" s="385"/>
      <c r="BZG23" s="29"/>
      <c r="BZH23" s="385"/>
      <c r="BZI23" s="29"/>
      <c r="BZJ23" s="385"/>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30"/>
      <c r="CAQ23" s="28"/>
      <c r="CAR23" s="29"/>
      <c r="CAS23" s="29"/>
      <c r="CAT23" s="29"/>
      <c r="CAU23" s="29"/>
      <c r="CAV23" s="29"/>
      <c r="CAW23" s="28"/>
      <c r="CAX23" s="29"/>
      <c r="CAY23" s="29"/>
      <c r="CAZ23" s="28"/>
      <c r="CBA23" s="29"/>
      <c r="CBB23" s="30"/>
      <c r="CBC23" s="28"/>
      <c r="CBD23" s="29"/>
      <c r="CBE23" s="29"/>
      <c r="CBF23" s="29"/>
      <c r="CBG23" s="28"/>
      <c r="CBH23" s="29"/>
      <c r="CBI23" s="29"/>
      <c r="CBJ23" s="28"/>
      <c r="CBK23" s="29"/>
      <c r="CBL23" s="30"/>
      <c r="CBM23" s="28"/>
      <c r="CBN23" s="29"/>
      <c r="CBO23" s="29"/>
      <c r="CBP23" s="29"/>
      <c r="CBQ23" s="28"/>
      <c r="CBR23" s="29"/>
      <c r="CBS23" s="29"/>
      <c r="CBT23" s="28"/>
      <c r="CBU23" s="29"/>
      <c r="CBV23" s="30"/>
      <c r="CBW23" s="28"/>
      <c r="CBX23" s="29"/>
      <c r="CBY23" s="29"/>
      <c r="CBZ23" s="29"/>
      <c r="CCA23" s="28"/>
      <c r="CCB23" s="29"/>
      <c r="CCC23" s="29"/>
      <c r="CCD23" s="28"/>
      <c r="CCE23" s="29"/>
      <c r="CCF23" s="30"/>
      <c r="CCG23" s="28"/>
      <c r="CCH23" s="30"/>
      <c r="CCI23" s="29"/>
      <c r="CCJ23" s="28"/>
      <c r="CCK23" s="29"/>
      <c r="CCL23" s="28"/>
      <c r="CCM23" s="28"/>
      <c r="CCN23" s="28"/>
      <c r="CCO23" s="29"/>
      <c r="CCP23" s="385"/>
      <c r="CCQ23" s="29"/>
      <c r="CCR23" s="385"/>
      <c r="CCS23" s="29"/>
      <c r="CCT23" s="385"/>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30"/>
      <c r="CEA23" s="28"/>
      <c r="CEB23" s="29"/>
      <c r="CEC23" s="29"/>
      <c r="CED23" s="29"/>
      <c r="CEE23" s="29"/>
      <c r="CEF23" s="29"/>
      <c r="CEG23" s="28"/>
      <c r="CEH23" s="29"/>
      <c r="CEI23" s="29"/>
      <c r="CEJ23" s="28"/>
      <c r="CEK23" s="29"/>
      <c r="CEL23" s="30"/>
      <c r="CEM23" s="28"/>
      <c r="CEN23" s="29"/>
      <c r="CEO23" s="29"/>
      <c r="CEP23" s="29"/>
      <c r="CEQ23" s="28"/>
      <c r="CER23" s="29"/>
      <c r="CES23" s="29"/>
      <c r="CET23" s="28"/>
      <c r="CEU23" s="29"/>
      <c r="CEV23" s="30"/>
      <c r="CEW23" s="28"/>
      <c r="CEX23" s="29"/>
      <c r="CEY23" s="29"/>
      <c r="CEZ23" s="29"/>
      <c r="CFA23" s="28"/>
      <c r="CFB23" s="29"/>
      <c r="CFC23" s="29"/>
      <c r="CFD23" s="28"/>
      <c r="CFE23" s="29"/>
      <c r="CFF23" s="30"/>
      <c r="CFG23" s="28"/>
      <c r="CFH23" s="29"/>
      <c r="CFI23" s="29"/>
      <c r="CFJ23" s="29"/>
      <c r="CFK23" s="28"/>
      <c r="CFL23" s="29"/>
      <c r="CFM23" s="29"/>
      <c r="CFN23" s="28"/>
      <c r="CFO23" s="29"/>
      <c r="CFP23" s="30"/>
      <c r="CFQ23" s="28"/>
      <c r="CFR23" s="30"/>
      <c r="CFS23" s="29"/>
      <c r="CFT23" s="28"/>
      <c r="CFU23" s="29"/>
      <c r="CFV23" s="28"/>
      <c r="CFW23" s="28"/>
      <c r="CFX23" s="28"/>
      <c r="CFY23" s="29"/>
      <c r="CFZ23" s="385"/>
      <c r="CGA23" s="29"/>
      <c r="CGB23" s="385"/>
      <c r="CGC23" s="29"/>
      <c r="CGD23" s="385"/>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30"/>
      <c r="CHK23" s="28"/>
      <c r="CHL23" s="29"/>
      <c r="CHM23" s="29"/>
      <c r="CHN23" s="29"/>
      <c r="CHO23" s="29"/>
      <c r="CHP23" s="29"/>
      <c r="CHQ23" s="28"/>
      <c r="CHR23" s="29"/>
      <c r="CHS23" s="29"/>
      <c r="CHT23" s="28"/>
      <c r="CHU23" s="29"/>
      <c r="CHV23" s="30"/>
      <c r="CHW23" s="28"/>
      <c r="CHX23" s="29"/>
      <c r="CHY23" s="29"/>
      <c r="CHZ23" s="29"/>
      <c r="CIA23" s="28"/>
      <c r="CIB23" s="29"/>
      <c r="CIC23" s="29"/>
      <c r="CID23" s="28"/>
      <c r="CIE23" s="29"/>
      <c r="CIF23" s="30"/>
      <c r="CIG23" s="28"/>
      <c r="CIH23" s="29"/>
      <c r="CII23" s="29"/>
      <c r="CIJ23" s="29"/>
      <c r="CIK23" s="28"/>
      <c r="CIL23" s="29"/>
      <c r="CIM23" s="29"/>
      <c r="CIN23" s="28"/>
      <c r="CIO23" s="29"/>
      <c r="CIP23" s="30"/>
      <c r="CIQ23" s="28"/>
      <c r="CIR23" s="29"/>
      <c r="CIS23" s="29"/>
      <c r="CIT23" s="29"/>
      <c r="CIU23" s="28"/>
      <c r="CIV23" s="29"/>
      <c r="CIW23" s="29"/>
      <c r="CIX23" s="28"/>
      <c r="CIY23" s="29"/>
      <c r="CIZ23" s="30"/>
      <c r="CJA23" s="28"/>
      <c r="CJB23" s="30"/>
      <c r="CJC23" s="29"/>
      <c r="CJD23" s="28"/>
      <c r="CJE23" s="29"/>
      <c r="CJF23" s="28"/>
      <c r="CJG23" s="28"/>
      <c r="CJH23" s="28"/>
      <c r="CJI23" s="29"/>
      <c r="CJJ23" s="385"/>
      <c r="CJK23" s="29"/>
      <c r="CJL23" s="385"/>
      <c r="CJM23" s="29"/>
      <c r="CJN23" s="385"/>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30"/>
      <c r="CKU23" s="28"/>
      <c r="CKV23" s="29"/>
      <c r="CKW23" s="29"/>
      <c r="CKX23" s="29"/>
      <c r="CKY23" s="29"/>
      <c r="CKZ23" s="29"/>
      <c r="CLA23" s="28"/>
      <c r="CLB23" s="29"/>
      <c r="CLC23" s="29"/>
      <c r="CLD23" s="28"/>
      <c r="CLE23" s="29"/>
      <c r="CLF23" s="30"/>
      <c r="CLG23" s="28"/>
      <c r="CLH23" s="29"/>
      <c r="CLI23" s="29"/>
      <c r="CLJ23" s="29"/>
      <c r="CLK23" s="28"/>
      <c r="CLL23" s="29"/>
      <c r="CLM23" s="29"/>
      <c r="CLN23" s="28"/>
      <c r="CLO23" s="29"/>
      <c r="CLP23" s="30"/>
      <c r="CLQ23" s="28"/>
      <c r="CLR23" s="29"/>
      <c r="CLS23" s="29"/>
      <c r="CLT23" s="29"/>
      <c r="CLU23" s="28"/>
      <c r="CLV23" s="29"/>
      <c r="CLW23" s="29"/>
      <c r="CLX23" s="28"/>
      <c r="CLY23" s="29"/>
      <c r="CLZ23" s="30"/>
      <c r="CMA23" s="28"/>
      <c r="CMB23" s="29"/>
      <c r="CMC23" s="29"/>
      <c r="CMD23" s="29"/>
      <c r="CME23" s="28"/>
      <c r="CMF23" s="29"/>
      <c r="CMG23" s="29"/>
      <c r="CMH23" s="28"/>
      <c r="CMI23" s="29"/>
      <c r="CMJ23" s="30"/>
      <c r="CMK23" s="28"/>
      <c r="CML23" s="30"/>
      <c r="CMM23" s="29"/>
      <c r="CMN23" s="28"/>
      <c r="CMO23" s="29"/>
      <c r="CMP23" s="28"/>
      <c r="CMQ23" s="28"/>
      <c r="CMR23" s="28"/>
      <c r="CMS23" s="29"/>
      <c r="CMT23" s="385"/>
      <c r="CMU23" s="29"/>
      <c r="CMV23" s="385"/>
      <c r="CMW23" s="29"/>
      <c r="CMX23" s="385"/>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30"/>
      <c r="COE23" s="28"/>
      <c r="COF23" s="29"/>
      <c r="COG23" s="29"/>
      <c r="COH23" s="29"/>
      <c r="COI23" s="29"/>
      <c r="COJ23" s="29"/>
      <c r="COK23" s="28"/>
      <c r="COL23" s="29"/>
      <c r="COM23" s="29"/>
      <c r="CON23" s="28"/>
      <c r="COO23" s="29"/>
      <c r="COP23" s="30"/>
      <c r="COQ23" s="28"/>
      <c r="COR23" s="29"/>
      <c r="COS23" s="29"/>
      <c r="COT23" s="29"/>
      <c r="COU23" s="28"/>
      <c r="COV23" s="29"/>
      <c r="COW23" s="29"/>
      <c r="COX23" s="28"/>
      <c r="COY23" s="29"/>
      <c r="COZ23" s="30"/>
      <c r="CPA23" s="28"/>
      <c r="CPB23" s="29"/>
      <c r="CPC23" s="29"/>
      <c r="CPD23" s="29"/>
      <c r="CPE23" s="28"/>
      <c r="CPF23" s="29"/>
      <c r="CPG23" s="29"/>
      <c r="CPH23" s="28"/>
      <c r="CPI23" s="29"/>
      <c r="CPJ23" s="30"/>
      <c r="CPK23" s="28"/>
      <c r="CPL23" s="29"/>
      <c r="CPM23" s="29"/>
      <c r="CPN23" s="29"/>
      <c r="CPO23" s="28"/>
      <c r="CPP23" s="29"/>
      <c r="CPQ23" s="29"/>
      <c r="CPR23" s="28"/>
      <c r="CPS23" s="29"/>
      <c r="CPT23" s="30"/>
      <c r="CPU23" s="28"/>
      <c r="CPV23" s="30"/>
      <c r="CPW23" s="29"/>
      <c r="CPX23" s="28"/>
      <c r="CPY23" s="29"/>
      <c r="CPZ23" s="28"/>
      <c r="CQA23" s="28"/>
      <c r="CQB23" s="28"/>
      <c r="CQC23" s="29"/>
      <c r="CQD23" s="385"/>
      <c r="CQE23" s="29"/>
      <c r="CQF23" s="385"/>
      <c r="CQG23" s="29"/>
      <c r="CQH23" s="385"/>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30"/>
      <c r="CRO23" s="28"/>
      <c r="CRP23" s="29"/>
      <c r="CRQ23" s="29"/>
      <c r="CRR23" s="29"/>
      <c r="CRS23" s="29"/>
      <c r="CRT23" s="29"/>
      <c r="CRU23" s="28"/>
      <c r="CRV23" s="29"/>
      <c r="CRW23" s="29"/>
      <c r="CRX23" s="28"/>
      <c r="CRY23" s="29"/>
      <c r="CRZ23" s="30"/>
      <c r="CSA23" s="28"/>
      <c r="CSB23" s="29"/>
      <c r="CSC23" s="29"/>
      <c r="CSD23" s="29"/>
      <c r="CSE23" s="28"/>
      <c r="CSF23" s="29"/>
      <c r="CSG23" s="29"/>
      <c r="CSH23" s="28"/>
      <c r="CSI23" s="29"/>
      <c r="CSJ23" s="30"/>
      <c r="CSK23" s="28"/>
      <c r="CSL23" s="29"/>
      <c r="CSM23" s="29"/>
      <c r="CSN23" s="29"/>
      <c r="CSO23" s="28"/>
      <c r="CSP23" s="29"/>
      <c r="CSQ23" s="29"/>
      <c r="CSR23" s="28"/>
      <c r="CSS23" s="29"/>
      <c r="CST23" s="30"/>
      <c r="CSU23" s="28"/>
      <c r="CSV23" s="29"/>
      <c r="CSW23" s="29"/>
      <c r="CSX23" s="29"/>
      <c r="CSY23" s="28"/>
      <c r="CSZ23" s="29"/>
      <c r="CTA23" s="29"/>
      <c r="CTB23" s="28"/>
      <c r="CTC23" s="29"/>
      <c r="CTD23" s="30"/>
      <c r="CTE23" s="28"/>
      <c r="CTF23" s="30"/>
      <c r="CTG23" s="29"/>
      <c r="CTH23" s="28"/>
      <c r="CTI23" s="29"/>
      <c r="CTJ23" s="28"/>
      <c r="CTK23" s="28"/>
      <c r="CTL23" s="28"/>
      <c r="CTM23" s="29"/>
      <c r="CTN23" s="385"/>
      <c r="CTO23" s="29"/>
      <c r="CTP23" s="385"/>
      <c r="CTQ23" s="29"/>
      <c r="CTR23" s="385"/>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30"/>
      <c r="CUY23" s="28"/>
      <c r="CUZ23" s="29"/>
      <c r="CVA23" s="29"/>
      <c r="CVB23" s="29"/>
      <c r="CVC23" s="29"/>
      <c r="CVD23" s="29"/>
      <c r="CVE23" s="28"/>
      <c r="CVF23" s="29"/>
      <c r="CVG23" s="29"/>
      <c r="CVH23" s="28"/>
      <c r="CVI23" s="29"/>
      <c r="CVJ23" s="30"/>
      <c r="CVK23" s="28"/>
      <c r="CVL23" s="29"/>
      <c r="CVM23" s="29"/>
      <c r="CVN23" s="29"/>
      <c r="CVO23" s="28"/>
      <c r="CVP23" s="29"/>
      <c r="CVQ23" s="29"/>
      <c r="CVR23" s="28"/>
      <c r="CVS23" s="29"/>
      <c r="CVT23" s="30"/>
      <c r="CVU23" s="28"/>
      <c r="CVV23" s="29"/>
      <c r="CVW23" s="29"/>
      <c r="CVX23" s="29"/>
      <c r="CVY23" s="28"/>
      <c r="CVZ23" s="29"/>
      <c r="CWA23" s="29"/>
      <c r="CWB23" s="28"/>
      <c r="CWC23" s="29"/>
      <c r="CWD23" s="30"/>
      <c r="CWE23" s="28"/>
      <c r="CWF23" s="29"/>
      <c r="CWG23" s="29"/>
      <c r="CWH23" s="29"/>
      <c r="CWI23" s="28"/>
      <c r="CWJ23" s="29"/>
      <c r="CWK23" s="29"/>
      <c r="CWL23" s="28"/>
      <c r="CWM23" s="29"/>
      <c r="CWN23" s="30"/>
      <c r="CWO23" s="28"/>
      <c r="CWP23" s="30"/>
      <c r="CWQ23" s="29"/>
      <c r="CWR23" s="28"/>
      <c r="CWS23" s="29"/>
      <c r="CWT23" s="28"/>
      <c r="CWU23" s="28"/>
      <c r="CWV23" s="28"/>
      <c r="CWW23" s="29"/>
      <c r="CWX23" s="385"/>
      <c r="CWY23" s="29"/>
      <c r="CWZ23" s="385"/>
      <c r="CXA23" s="29"/>
      <c r="CXB23" s="385"/>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30"/>
      <c r="CYI23" s="28"/>
      <c r="CYJ23" s="29"/>
      <c r="CYK23" s="29"/>
      <c r="CYL23" s="29"/>
      <c r="CYM23" s="29"/>
      <c r="CYN23" s="29"/>
      <c r="CYO23" s="28"/>
      <c r="CYP23" s="29"/>
      <c r="CYQ23" s="29"/>
      <c r="CYR23" s="28"/>
      <c r="CYS23" s="29"/>
      <c r="CYT23" s="30"/>
      <c r="CYU23" s="28"/>
      <c r="CYV23" s="29"/>
      <c r="CYW23" s="29"/>
      <c r="CYX23" s="29"/>
      <c r="CYY23" s="28"/>
      <c r="CYZ23" s="29"/>
      <c r="CZA23" s="29"/>
      <c r="CZB23" s="28"/>
      <c r="CZC23" s="29"/>
      <c r="CZD23" s="30"/>
      <c r="CZE23" s="28"/>
      <c r="CZF23" s="29"/>
      <c r="CZG23" s="29"/>
      <c r="CZH23" s="29"/>
      <c r="CZI23" s="28"/>
      <c r="CZJ23" s="29"/>
      <c r="CZK23" s="29"/>
      <c r="CZL23" s="28"/>
      <c r="CZM23" s="29"/>
      <c r="CZN23" s="30"/>
      <c r="CZO23" s="28"/>
      <c r="CZP23" s="29"/>
      <c r="CZQ23" s="29"/>
      <c r="CZR23" s="29"/>
      <c r="CZS23" s="28"/>
      <c r="CZT23" s="29"/>
      <c r="CZU23" s="29"/>
      <c r="CZV23" s="28"/>
      <c r="CZW23" s="29"/>
      <c r="CZX23" s="30"/>
      <c r="CZY23" s="28"/>
      <c r="CZZ23" s="30"/>
      <c r="DAA23" s="29"/>
      <c r="DAB23" s="28"/>
      <c r="DAC23" s="29"/>
      <c r="DAD23" s="28"/>
      <c r="DAE23" s="28"/>
      <c r="DAF23" s="28"/>
      <c r="DAG23" s="29"/>
      <c r="DAH23" s="385"/>
      <c r="DAI23" s="29"/>
      <c r="DAJ23" s="385"/>
      <c r="DAK23" s="29"/>
      <c r="DAL23" s="385"/>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30"/>
      <c r="DBS23" s="28"/>
      <c r="DBT23" s="29"/>
      <c r="DBU23" s="29"/>
      <c r="DBV23" s="29"/>
      <c r="DBW23" s="29"/>
      <c r="DBX23" s="29"/>
      <c r="DBY23" s="28"/>
      <c r="DBZ23" s="29"/>
      <c r="DCA23" s="29"/>
      <c r="DCB23" s="28"/>
      <c r="DCC23" s="29"/>
      <c r="DCD23" s="30"/>
      <c r="DCE23" s="28"/>
      <c r="DCF23" s="29"/>
      <c r="DCG23" s="29"/>
      <c r="DCH23" s="29"/>
      <c r="DCI23" s="28"/>
      <c r="DCJ23" s="29"/>
      <c r="DCK23" s="29"/>
      <c r="DCL23" s="28"/>
      <c r="DCM23" s="29"/>
      <c r="DCN23" s="30"/>
      <c r="DCO23" s="28"/>
      <c r="DCP23" s="29"/>
      <c r="DCQ23" s="29"/>
      <c r="DCR23" s="29"/>
      <c r="DCS23" s="28"/>
      <c r="DCT23" s="29"/>
      <c r="DCU23" s="29"/>
      <c r="DCV23" s="28"/>
      <c r="DCW23" s="29"/>
      <c r="DCX23" s="30"/>
      <c r="DCY23" s="28"/>
      <c r="DCZ23" s="29"/>
      <c r="DDA23" s="29"/>
      <c r="DDB23" s="29"/>
      <c r="DDC23" s="28"/>
      <c r="DDD23" s="29"/>
      <c r="DDE23" s="29"/>
      <c r="DDF23" s="28"/>
      <c r="DDG23" s="29"/>
      <c r="DDH23" s="30"/>
      <c r="DDI23" s="28"/>
      <c r="DDJ23" s="30"/>
      <c r="DDK23" s="29"/>
      <c r="DDL23" s="28"/>
      <c r="DDM23" s="29"/>
      <c r="DDN23" s="28"/>
      <c r="DDO23" s="28"/>
      <c r="DDP23" s="28"/>
      <c r="DDQ23" s="29"/>
      <c r="DDR23" s="385"/>
      <c r="DDS23" s="29"/>
      <c r="DDT23" s="385"/>
      <c r="DDU23" s="29"/>
      <c r="DDV23" s="385"/>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30"/>
      <c r="DFC23" s="28"/>
      <c r="DFD23" s="29"/>
      <c r="DFE23" s="29"/>
      <c r="DFF23" s="29"/>
      <c r="DFG23" s="29"/>
      <c r="DFH23" s="29"/>
      <c r="DFI23" s="28"/>
      <c r="DFJ23" s="29"/>
      <c r="DFK23" s="29"/>
      <c r="DFL23" s="28"/>
      <c r="DFM23" s="29"/>
      <c r="DFN23" s="30"/>
      <c r="DFO23" s="28"/>
      <c r="DFP23" s="29"/>
      <c r="DFQ23" s="29"/>
      <c r="DFR23" s="29"/>
      <c r="DFS23" s="28"/>
      <c r="DFT23" s="29"/>
      <c r="DFU23" s="29"/>
      <c r="DFV23" s="28"/>
      <c r="DFW23" s="29"/>
      <c r="DFX23" s="30"/>
      <c r="DFY23" s="28"/>
      <c r="DFZ23" s="29"/>
      <c r="DGA23" s="29"/>
      <c r="DGB23" s="29"/>
      <c r="DGC23" s="28"/>
      <c r="DGD23" s="29"/>
      <c r="DGE23" s="29"/>
      <c r="DGF23" s="28"/>
      <c r="DGG23" s="29"/>
      <c r="DGH23" s="30"/>
      <c r="DGI23" s="28"/>
      <c r="DGJ23" s="29"/>
      <c r="DGK23" s="29"/>
      <c r="DGL23" s="29"/>
      <c r="DGM23" s="28"/>
      <c r="DGN23" s="29"/>
      <c r="DGO23" s="29"/>
      <c r="DGP23" s="28"/>
      <c r="DGQ23" s="29"/>
      <c r="DGR23" s="30"/>
      <c r="DGS23" s="28"/>
      <c r="DGT23" s="30"/>
      <c r="DGU23" s="29"/>
      <c r="DGV23" s="28"/>
      <c r="DGW23" s="29"/>
      <c r="DGX23" s="28"/>
      <c r="DGY23" s="28"/>
      <c r="DGZ23" s="28"/>
      <c r="DHA23" s="29"/>
      <c r="DHB23" s="385"/>
      <c r="DHC23" s="29"/>
      <c r="DHD23" s="385"/>
      <c r="DHE23" s="29"/>
      <c r="DHF23" s="385"/>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30"/>
      <c r="DIM23" s="28"/>
      <c r="DIN23" s="29"/>
      <c r="DIO23" s="29"/>
      <c r="DIP23" s="29"/>
      <c r="DIQ23" s="29"/>
      <c r="DIR23" s="29"/>
      <c r="DIS23" s="28"/>
      <c r="DIT23" s="29"/>
      <c r="DIU23" s="29"/>
      <c r="DIV23" s="28"/>
      <c r="DIW23" s="29"/>
      <c r="DIX23" s="30"/>
      <c r="DIY23" s="28"/>
      <c r="DIZ23" s="29"/>
      <c r="DJA23" s="29"/>
      <c r="DJB23" s="29"/>
      <c r="DJC23" s="28"/>
      <c r="DJD23" s="29"/>
      <c r="DJE23" s="29"/>
      <c r="DJF23" s="28"/>
      <c r="DJG23" s="29"/>
      <c r="DJH23" s="30"/>
      <c r="DJI23" s="28"/>
      <c r="DJJ23" s="29"/>
      <c r="DJK23" s="29"/>
      <c r="DJL23" s="29"/>
      <c r="DJM23" s="28"/>
      <c r="DJN23" s="29"/>
      <c r="DJO23" s="29"/>
      <c r="DJP23" s="28"/>
      <c r="DJQ23" s="29"/>
      <c r="DJR23" s="30"/>
      <c r="DJS23" s="28"/>
      <c r="DJT23" s="29"/>
      <c r="DJU23" s="29"/>
      <c r="DJV23" s="29"/>
      <c r="DJW23" s="28"/>
      <c r="DJX23" s="29"/>
      <c r="DJY23" s="29"/>
      <c r="DJZ23" s="28"/>
      <c r="DKA23" s="29"/>
      <c r="DKB23" s="30"/>
      <c r="DKC23" s="28"/>
      <c r="DKD23" s="30"/>
      <c r="DKE23" s="29"/>
      <c r="DKF23" s="28"/>
      <c r="DKG23" s="29"/>
      <c r="DKH23" s="28"/>
      <c r="DKI23" s="28"/>
      <c r="DKJ23" s="28"/>
      <c r="DKK23" s="29"/>
      <c r="DKL23" s="385"/>
      <c r="DKM23" s="29"/>
      <c r="DKN23" s="385"/>
      <c r="DKO23" s="29"/>
      <c r="DKP23" s="385"/>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30"/>
      <c r="DLW23" s="28"/>
      <c r="DLX23" s="29"/>
      <c r="DLY23" s="29"/>
      <c r="DLZ23" s="29"/>
      <c r="DMA23" s="29"/>
      <c r="DMB23" s="29"/>
      <c r="DMC23" s="28"/>
      <c r="DMD23" s="29"/>
      <c r="DME23" s="29"/>
      <c r="DMF23" s="28"/>
      <c r="DMG23" s="29"/>
      <c r="DMH23" s="30"/>
      <c r="DMI23" s="28"/>
      <c r="DMJ23" s="29"/>
      <c r="DMK23" s="29"/>
      <c r="DML23" s="29"/>
      <c r="DMM23" s="28"/>
      <c r="DMN23" s="29"/>
      <c r="DMO23" s="29"/>
      <c r="DMP23" s="28"/>
      <c r="DMQ23" s="29"/>
      <c r="DMR23" s="30"/>
      <c r="DMS23" s="28"/>
      <c r="DMT23" s="29"/>
      <c r="DMU23" s="29"/>
      <c r="DMV23" s="29"/>
      <c r="DMW23" s="28"/>
      <c r="DMX23" s="29"/>
      <c r="DMY23" s="29"/>
      <c r="DMZ23" s="28"/>
      <c r="DNA23" s="29"/>
      <c r="DNB23" s="30"/>
      <c r="DNC23" s="28"/>
      <c r="DND23" s="29"/>
      <c r="DNE23" s="29"/>
      <c r="DNF23" s="29"/>
      <c r="DNG23" s="28"/>
      <c r="DNH23" s="29"/>
      <c r="DNI23" s="29"/>
      <c r="DNJ23" s="28"/>
      <c r="DNK23" s="29"/>
      <c r="DNL23" s="30"/>
      <c r="DNM23" s="28"/>
      <c r="DNN23" s="30"/>
      <c r="DNO23" s="29"/>
      <c r="DNP23" s="28"/>
      <c r="DNQ23" s="29"/>
      <c r="DNR23" s="28"/>
      <c r="DNS23" s="28"/>
      <c r="DNT23" s="28"/>
      <c r="DNU23" s="29"/>
      <c r="DNV23" s="385"/>
      <c r="DNW23" s="29"/>
      <c r="DNX23" s="385"/>
      <c r="DNY23" s="29"/>
      <c r="DNZ23" s="385"/>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30"/>
      <c r="DPG23" s="28"/>
      <c r="DPH23" s="29"/>
      <c r="DPI23" s="29"/>
      <c r="DPJ23" s="29"/>
      <c r="DPK23" s="29"/>
      <c r="DPL23" s="29"/>
      <c r="DPM23" s="28"/>
      <c r="DPN23" s="29"/>
      <c r="DPO23" s="29"/>
      <c r="DPP23" s="28"/>
      <c r="DPQ23" s="29"/>
      <c r="DPR23" s="30"/>
      <c r="DPS23" s="28"/>
      <c r="DPT23" s="29"/>
      <c r="DPU23" s="29"/>
      <c r="DPV23" s="29"/>
      <c r="DPW23" s="28"/>
      <c r="DPX23" s="29"/>
      <c r="DPY23" s="29"/>
      <c r="DPZ23" s="28"/>
      <c r="DQA23" s="29"/>
      <c r="DQB23" s="30"/>
      <c r="DQC23" s="28"/>
      <c r="DQD23" s="29"/>
      <c r="DQE23" s="29"/>
      <c r="DQF23" s="29"/>
      <c r="DQG23" s="28"/>
      <c r="DQH23" s="29"/>
      <c r="DQI23" s="29"/>
      <c r="DQJ23" s="28"/>
      <c r="DQK23" s="29"/>
      <c r="DQL23" s="30"/>
      <c r="DQM23" s="28"/>
      <c r="DQN23" s="29"/>
      <c r="DQO23" s="29"/>
      <c r="DQP23" s="29"/>
      <c r="DQQ23" s="28"/>
      <c r="DQR23" s="29"/>
      <c r="DQS23" s="29"/>
      <c r="DQT23" s="28"/>
      <c r="DQU23" s="29"/>
      <c r="DQV23" s="30"/>
      <c r="DQW23" s="28"/>
      <c r="DQX23" s="30"/>
      <c r="DQY23" s="29"/>
      <c r="DQZ23" s="28"/>
      <c r="DRA23" s="29"/>
      <c r="DRB23" s="28"/>
      <c r="DRC23" s="28"/>
      <c r="DRD23" s="28"/>
      <c r="DRE23" s="29"/>
      <c r="DRF23" s="385"/>
      <c r="DRG23" s="29"/>
      <c r="DRH23" s="385"/>
      <c r="DRI23" s="29"/>
      <c r="DRJ23" s="385"/>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30"/>
      <c r="DSQ23" s="28"/>
      <c r="DSR23" s="29"/>
      <c r="DSS23" s="29"/>
      <c r="DST23" s="29"/>
      <c r="DSU23" s="29"/>
      <c r="DSV23" s="29"/>
      <c r="DSW23" s="28"/>
      <c r="DSX23" s="29"/>
      <c r="DSY23" s="29"/>
      <c r="DSZ23" s="28"/>
      <c r="DTA23" s="29"/>
      <c r="DTB23" s="30"/>
      <c r="DTC23" s="28"/>
      <c r="DTD23" s="29"/>
      <c r="DTE23" s="29"/>
      <c r="DTF23" s="29"/>
      <c r="DTG23" s="28"/>
      <c r="DTH23" s="29"/>
      <c r="DTI23" s="29"/>
      <c r="DTJ23" s="28"/>
      <c r="DTK23" s="29"/>
      <c r="DTL23" s="30"/>
      <c r="DTM23" s="28"/>
      <c r="DTN23" s="29"/>
      <c r="DTO23" s="29"/>
      <c r="DTP23" s="29"/>
      <c r="DTQ23" s="28"/>
      <c r="DTR23" s="29"/>
      <c r="DTS23" s="29"/>
      <c r="DTT23" s="28"/>
      <c r="DTU23" s="29"/>
      <c r="DTV23" s="30"/>
      <c r="DTW23" s="28"/>
      <c r="DTX23" s="29"/>
      <c r="DTY23" s="29"/>
      <c r="DTZ23" s="29"/>
      <c r="DUA23" s="28"/>
      <c r="DUB23" s="29"/>
      <c r="DUC23" s="29"/>
      <c r="DUD23" s="28"/>
      <c r="DUE23" s="29"/>
      <c r="DUF23" s="30"/>
      <c r="DUG23" s="28"/>
      <c r="DUH23" s="30"/>
      <c r="DUI23" s="29"/>
      <c r="DUJ23" s="28"/>
      <c r="DUK23" s="29"/>
      <c r="DUL23" s="28"/>
      <c r="DUM23" s="28"/>
      <c r="DUN23" s="28"/>
      <c r="DUO23" s="29"/>
      <c r="DUP23" s="385"/>
      <c r="DUQ23" s="29"/>
      <c r="DUR23" s="385"/>
      <c r="DUS23" s="29"/>
      <c r="DUT23" s="385"/>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30"/>
      <c r="DWA23" s="28"/>
      <c r="DWB23" s="29"/>
      <c r="DWC23" s="29"/>
      <c r="DWD23" s="29"/>
      <c r="DWE23" s="29"/>
      <c r="DWF23" s="29"/>
      <c r="DWG23" s="28"/>
      <c r="DWH23" s="29"/>
      <c r="DWI23" s="29"/>
      <c r="DWJ23" s="28"/>
      <c r="DWK23" s="29"/>
      <c r="DWL23" s="30"/>
      <c r="DWM23" s="28"/>
      <c r="DWN23" s="29"/>
      <c r="DWO23" s="29"/>
      <c r="DWP23" s="29"/>
      <c r="DWQ23" s="28"/>
      <c r="DWR23" s="29"/>
      <c r="DWS23" s="29"/>
      <c r="DWT23" s="28"/>
      <c r="DWU23" s="29"/>
      <c r="DWV23" s="30"/>
      <c r="DWW23" s="28"/>
      <c r="DWX23" s="29"/>
      <c r="DWY23" s="29"/>
      <c r="DWZ23" s="29"/>
      <c r="DXA23" s="28"/>
      <c r="DXB23" s="29"/>
      <c r="DXC23" s="29"/>
      <c r="DXD23" s="28"/>
      <c r="DXE23" s="29"/>
      <c r="DXF23" s="30"/>
      <c r="DXG23" s="28"/>
      <c r="DXH23" s="29"/>
      <c r="DXI23" s="29"/>
      <c r="DXJ23" s="29"/>
      <c r="DXK23" s="28"/>
      <c r="DXL23" s="29"/>
      <c r="DXM23" s="29"/>
      <c r="DXN23" s="28"/>
      <c r="DXO23" s="29"/>
      <c r="DXP23" s="30"/>
      <c r="DXQ23" s="28"/>
      <c r="DXR23" s="30"/>
      <c r="DXS23" s="29"/>
      <c r="DXT23" s="28"/>
      <c r="DXU23" s="29"/>
      <c r="DXV23" s="28"/>
      <c r="DXW23" s="28"/>
      <c r="DXX23" s="28"/>
      <c r="DXY23" s="29"/>
      <c r="DXZ23" s="385"/>
      <c r="DYA23" s="29"/>
      <c r="DYB23" s="385"/>
      <c r="DYC23" s="29"/>
      <c r="DYD23" s="385"/>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30"/>
      <c r="DZK23" s="28"/>
      <c r="DZL23" s="29"/>
      <c r="DZM23" s="29"/>
      <c r="DZN23" s="29"/>
      <c r="DZO23" s="29"/>
      <c r="DZP23" s="29"/>
      <c r="DZQ23" s="28"/>
      <c r="DZR23" s="29"/>
      <c r="DZS23" s="29"/>
      <c r="DZT23" s="28"/>
      <c r="DZU23" s="29"/>
      <c r="DZV23" s="30"/>
      <c r="DZW23" s="28"/>
      <c r="DZX23" s="29"/>
      <c r="DZY23" s="29"/>
      <c r="DZZ23" s="29"/>
      <c r="EAA23" s="28"/>
      <c r="EAB23" s="29"/>
      <c r="EAC23" s="29"/>
      <c r="EAD23" s="28"/>
      <c r="EAE23" s="29"/>
      <c r="EAF23" s="30"/>
      <c r="EAG23" s="28"/>
      <c r="EAH23" s="29"/>
      <c r="EAI23" s="29"/>
      <c r="EAJ23" s="29"/>
      <c r="EAK23" s="28"/>
      <c r="EAL23" s="29"/>
      <c r="EAM23" s="29"/>
      <c r="EAN23" s="28"/>
      <c r="EAO23" s="29"/>
      <c r="EAP23" s="30"/>
      <c r="EAQ23" s="28"/>
      <c r="EAR23" s="29"/>
      <c r="EAS23" s="29"/>
      <c r="EAT23" s="29"/>
      <c r="EAU23" s="28"/>
      <c r="EAV23" s="29"/>
      <c r="EAW23" s="29"/>
      <c r="EAX23" s="28"/>
      <c r="EAY23" s="29"/>
      <c r="EAZ23" s="30"/>
      <c r="EBA23" s="28"/>
      <c r="EBB23" s="30"/>
      <c r="EBC23" s="29"/>
      <c r="EBD23" s="28"/>
      <c r="EBE23" s="29"/>
      <c r="EBF23" s="28"/>
      <c r="EBG23" s="28"/>
      <c r="EBH23" s="28"/>
      <c r="EBI23" s="29"/>
      <c r="EBJ23" s="385"/>
      <c r="EBK23" s="29"/>
      <c r="EBL23" s="385"/>
      <c r="EBM23" s="29"/>
      <c r="EBN23" s="385"/>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30"/>
      <c r="ECU23" s="28"/>
      <c r="ECV23" s="29"/>
      <c r="ECW23" s="29"/>
      <c r="ECX23" s="29"/>
      <c r="ECY23" s="29"/>
      <c r="ECZ23" s="29"/>
      <c r="EDA23" s="28"/>
      <c r="EDB23" s="29"/>
      <c r="EDC23" s="29"/>
      <c r="EDD23" s="28"/>
      <c r="EDE23" s="29"/>
      <c r="EDF23" s="30"/>
      <c r="EDG23" s="28"/>
      <c r="EDH23" s="29"/>
      <c r="EDI23" s="29"/>
      <c r="EDJ23" s="29"/>
      <c r="EDK23" s="28"/>
      <c r="EDL23" s="29"/>
      <c r="EDM23" s="29"/>
      <c r="EDN23" s="28"/>
      <c r="EDO23" s="29"/>
      <c r="EDP23" s="30"/>
      <c r="EDQ23" s="28"/>
      <c r="EDR23" s="29"/>
      <c r="EDS23" s="29"/>
      <c r="EDT23" s="29"/>
      <c r="EDU23" s="28"/>
      <c r="EDV23" s="29"/>
      <c r="EDW23" s="29"/>
      <c r="EDX23" s="28"/>
      <c r="EDY23" s="29"/>
      <c r="EDZ23" s="30"/>
      <c r="EEA23" s="28"/>
      <c r="EEB23" s="29"/>
      <c r="EEC23" s="29"/>
      <c r="EED23" s="29"/>
      <c r="EEE23" s="28"/>
      <c r="EEF23" s="29"/>
      <c r="EEG23" s="29"/>
      <c r="EEH23" s="28"/>
      <c r="EEI23" s="29"/>
      <c r="EEJ23" s="30"/>
      <c r="EEK23" s="28"/>
      <c r="EEL23" s="30"/>
      <c r="EEM23" s="29"/>
      <c r="EEN23" s="28"/>
      <c r="EEO23" s="29"/>
      <c r="EEP23" s="28"/>
      <c r="EEQ23" s="28"/>
      <c r="EER23" s="28"/>
      <c r="EES23" s="29"/>
      <c r="EET23" s="385"/>
      <c r="EEU23" s="29"/>
      <c r="EEV23" s="385"/>
      <c r="EEW23" s="29"/>
      <c r="EEX23" s="385"/>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30"/>
      <c r="EGE23" s="28"/>
      <c r="EGF23" s="29"/>
      <c r="EGG23" s="29"/>
      <c r="EGH23" s="29"/>
      <c r="EGI23" s="29"/>
      <c r="EGJ23" s="29"/>
      <c r="EGK23" s="28"/>
      <c r="EGL23" s="29"/>
      <c r="EGM23" s="29"/>
      <c r="EGN23" s="28"/>
      <c r="EGO23" s="29"/>
      <c r="EGP23" s="30"/>
      <c r="EGQ23" s="28"/>
      <c r="EGR23" s="29"/>
      <c r="EGS23" s="29"/>
      <c r="EGT23" s="29"/>
      <c r="EGU23" s="28"/>
      <c r="EGV23" s="29"/>
      <c r="EGW23" s="29"/>
      <c r="EGX23" s="28"/>
      <c r="EGY23" s="29"/>
      <c r="EGZ23" s="30"/>
      <c r="EHA23" s="28"/>
      <c r="EHB23" s="29"/>
      <c r="EHC23" s="29"/>
      <c r="EHD23" s="29"/>
      <c r="EHE23" s="28"/>
      <c r="EHF23" s="29"/>
      <c r="EHG23" s="29"/>
      <c r="EHH23" s="28"/>
      <c r="EHI23" s="29"/>
      <c r="EHJ23" s="30"/>
      <c r="EHK23" s="28"/>
      <c r="EHL23" s="29"/>
      <c r="EHM23" s="29"/>
      <c r="EHN23" s="29"/>
      <c r="EHO23" s="28"/>
      <c r="EHP23" s="29"/>
      <c r="EHQ23" s="29"/>
      <c r="EHR23" s="28"/>
      <c r="EHS23" s="29"/>
      <c r="EHT23" s="30"/>
      <c r="EHU23" s="28"/>
      <c r="EHV23" s="30"/>
      <c r="EHW23" s="29"/>
      <c r="EHX23" s="28"/>
      <c r="EHY23" s="29"/>
      <c r="EHZ23" s="28"/>
      <c r="EIA23" s="28"/>
      <c r="EIB23" s="28"/>
      <c r="EIC23" s="29"/>
      <c r="EID23" s="385"/>
      <c r="EIE23" s="29"/>
      <c r="EIF23" s="385"/>
      <c r="EIG23" s="29"/>
      <c r="EIH23" s="385"/>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30"/>
      <c r="EJO23" s="28"/>
      <c r="EJP23" s="29"/>
      <c r="EJQ23" s="29"/>
      <c r="EJR23" s="29"/>
      <c r="EJS23" s="29"/>
      <c r="EJT23" s="29"/>
      <c r="EJU23" s="28"/>
      <c r="EJV23" s="29"/>
      <c r="EJW23" s="29"/>
      <c r="EJX23" s="28"/>
      <c r="EJY23" s="29"/>
      <c r="EJZ23" s="30"/>
      <c r="EKA23" s="28"/>
      <c r="EKB23" s="29"/>
      <c r="EKC23" s="29"/>
      <c r="EKD23" s="29"/>
      <c r="EKE23" s="28"/>
      <c r="EKF23" s="29"/>
      <c r="EKG23" s="29"/>
      <c r="EKH23" s="28"/>
      <c r="EKI23" s="29"/>
      <c r="EKJ23" s="30"/>
      <c r="EKK23" s="28"/>
      <c r="EKL23" s="29"/>
      <c r="EKM23" s="29"/>
      <c r="EKN23" s="29"/>
      <c r="EKO23" s="28"/>
      <c r="EKP23" s="29"/>
      <c r="EKQ23" s="29"/>
      <c r="EKR23" s="28"/>
      <c r="EKS23" s="29"/>
      <c r="EKT23" s="30"/>
      <c r="EKU23" s="28"/>
      <c r="EKV23" s="29"/>
      <c r="EKW23" s="29"/>
      <c r="EKX23" s="29"/>
      <c r="EKY23" s="28"/>
      <c r="EKZ23" s="29"/>
      <c r="ELA23" s="29"/>
      <c r="ELB23" s="28"/>
      <c r="ELC23" s="29"/>
      <c r="ELD23" s="30"/>
      <c r="ELE23" s="28"/>
      <c r="ELF23" s="30"/>
      <c r="ELG23" s="29"/>
      <c r="ELH23" s="28"/>
      <c r="ELI23" s="29"/>
      <c r="ELJ23" s="28"/>
      <c r="ELK23" s="28"/>
      <c r="ELL23" s="28"/>
      <c r="ELM23" s="29"/>
      <c r="ELN23" s="385"/>
      <c r="ELO23" s="29"/>
      <c r="ELP23" s="385"/>
      <c r="ELQ23" s="29"/>
      <c r="ELR23" s="385"/>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30"/>
      <c r="EMY23" s="28"/>
      <c r="EMZ23" s="29"/>
      <c r="ENA23" s="29"/>
      <c r="ENB23" s="29"/>
      <c r="ENC23" s="29"/>
      <c r="END23" s="29"/>
      <c r="ENE23" s="28"/>
      <c r="ENF23" s="29"/>
      <c r="ENG23" s="29"/>
      <c r="ENH23" s="28"/>
      <c r="ENI23" s="29"/>
      <c r="ENJ23" s="30"/>
      <c r="ENK23" s="28"/>
      <c r="ENL23" s="29"/>
      <c r="ENM23" s="29"/>
      <c r="ENN23" s="29"/>
      <c r="ENO23" s="28"/>
      <c r="ENP23" s="29"/>
      <c r="ENQ23" s="29"/>
      <c r="ENR23" s="28"/>
      <c r="ENS23" s="29"/>
      <c r="ENT23" s="30"/>
      <c r="ENU23" s="28"/>
      <c r="ENV23" s="29"/>
      <c r="ENW23" s="29"/>
      <c r="ENX23" s="29"/>
      <c r="ENY23" s="28"/>
      <c r="ENZ23" s="29"/>
      <c r="EOA23" s="29"/>
      <c r="EOB23" s="28"/>
      <c r="EOC23" s="29"/>
      <c r="EOD23" s="30"/>
      <c r="EOE23" s="28"/>
      <c r="EOF23" s="29"/>
      <c r="EOG23" s="29"/>
      <c r="EOH23" s="29"/>
      <c r="EOI23" s="28"/>
      <c r="EOJ23" s="29"/>
      <c r="EOK23" s="29"/>
      <c r="EOL23" s="28"/>
      <c r="EOM23" s="29"/>
      <c r="EON23" s="30" t="s">
        <v>5577</v>
      </c>
      <c r="EOO23" s="28" t="str">
        <f t="shared" si="75"/>
        <v xml:space="preserve"> </v>
      </c>
    </row>
    <row r="24" spans="1:3785" x14ac:dyDescent="0.3">
      <c r="A24" s="392" t="s">
        <v>175</v>
      </c>
      <c r="B24" s="58" t="s">
        <v>3300</v>
      </c>
      <c r="C24" s="57" t="s">
        <v>1371</v>
      </c>
      <c r="D24" s="56" t="str">
        <f t="shared" si="61"/>
        <v xml:space="preserve"> </v>
      </c>
      <c r="E24" s="57"/>
      <c r="F24" s="56"/>
      <c r="G24" s="59">
        <v>45008</v>
      </c>
      <c r="H24" s="59" t="s">
        <v>1774</v>
      </c>
      <c r="I24" s="57" t="s">
        <v>1372</v>
      </c>
      <c r="J24" s="57" t="s">
        <v>1789</v>
      </c>
      <c r="K24" s="57" t="s">
        <v>1372</v>
      </c>
      <c r="L24" s="57" t="s">
        <v>1789</v>
      </c>
      <c r="M24" s="57" t="s">
        <v>1461</v>
      </c>
      <c r="N24" s="57" t="s">
        <v>3301</v>
      </c>
      <c r="O24" s="57" t="s">
        <v>1372</v>
      </c>
      <c r="P24" s="57" t="s">
        <v>1372</v>
      </c>
      <c r="Q24" s="57" t="s">
        <v>1372</v>
      </c>
      <c r="R24" s="57" t="s">
        <v>1372</v>
      </c>
      <c r="S24" s="57" t="s">
        <v>1372</v>
      </c>
      <c r="T24" s="57" t="s">
        <v>1461</v>
      </c>
      <c r="U24" s="57" t="s">
        <v>1372</v>
      </c>
      <c r="V24" s="57" t="s">
        <v>1372</v>
      </c>
      <c r="W24" s="57"/>
      <c r="X24" s="57"/>
      <c r="Y24" s="57"/>
      <c r="Z24" s="57" t="s">
        <v>1372</v>
      </c>
      <c r="AA24" s="57"/>
      <c r="AB24" s="57"/>
      <c r="AC24" s="57"/>
      <c r="AD24" s="57"/>
      <c r="AE24" s="57"/>
      <c r="AF24" s="57"/>
      <c r="AG24" s="57" t="s">
        <v>1372</v>
      </c>
      <c r="AH24" s="57"/>
      <c r="AI24" s="57"/>
      <c r="AJ24" s="57"/>
      <c r="AK24" s="57"/>
      <c r="AL24" s="57" t="s">
        <v>1372</v>
      </c>
      <c r="AM24" s="57" t="s">
        <v>1372</v>
      </c>
      <c r="AN24" s="57"/>
      <c r="AO24" s="57"/>
      <c r="AP24" s="57"/>
      <c r="AQ24" s="57"/>
      <c r="AR24" s="57"/>
      <c r="AS24" s="57"/>
      <c r="AT24" s="58" t="s">
        <v>3305</v>
      </c>
      <c r="AU24" s="57" t="s">
        <v>1371</v>
      </c>
      <c r="AV24" s="56" t="str">
        <f t="shared" ref="AV24" si="111">IFERROR(VLOOKUP(AT24,BASEPOE1,2,FALSE)," ")</f>
        <v xml:space="preserve"> </v>
      </c>
      <c r="AW24" s="57"/>
      <c r="AX24" s="56"/>
      <c r="AY24" s="59">
        <v>45328</v>
      </c>
      <c r="AZ24" s="59">
        <f>+AY24+365</f>
        <v>45693</v>
      </c>
      <c r="BA24" s="57" t="s">
        <v>1372</v>
      </c>
      <c r="BB24" s="57" t="s">
        <v>3306</v>
      </c>
      <c r="BC24" s="57" t="s">
        <v>1372</v>
      </c>
      <c r="BD24" s="57" t="s">
        <v>3306</v>
      </c>
      <c r="BE24" s="57" t="s">
        <v>1461</v>
      </c>
      <c r="BF24" s="29" t="s">
        <v>1462</v>
      </c>
      <c r="BG24" s="57" t="s">
        <v>1372</v>
      </c>
      <c r="BH24" s="57" t="s">
        <v>1372</v>
      </c>
      <c r="BI24" s="57" t="s">
        <v>1372</v>
      </c>
      <c r="BJ24" s="57" t="s">
        <v>1372</v>
      </c>
      <c r="BK24" s="57" t="s">
        <v>1372</v>
      </c>
      <c r="BL24" s="57" t="s">
        <v>1372</v>
      </c>
      <c r="BM24" s="57" t="s">
        <v>1372</v>
      </c>
      <c r="BN24" s="57" t="s">
        <v>1372</v>
      </c>
      <c r="BO24" s="57"/>
      <c r="BP24" s="57"/>
      <c r="BQ24" s="57"/>
      <c r="BR24" s="57" t="s">
        <v>1372</v>
      </c>
      <c r="BS24" s="57"/>
      <c r="BT24" s="57"/>
      <c r="BU24" s="57"/>
      <c r="BV24" s="57"/>
      <c r="BW24" s="57"/>
      <c r="BX24" s="57"/>
      <c r="BY24" s="57"/>
      <c r="BZ24" s="57"/>
      <c r="CA24" s="57"/>
      <c r="CB24" s="57"/>
      <c r="CC24" s="57"/>
      <c r="CD24" s="57" t="s">
        <v>1372</v>
      </c>
      <c r="CE24" s="57" t="s">
        <v>1372</v>
      </c>
      <c r="CF24" s="57"/>
      <c r="CG24" s="57"/>
      <c r="CH24" s="57"/>
      <c r="CI24" s="57"/>
      <c r="CJ24" s="57" t="s">
        <v>1783</v>
      </c>
      <c r="CK24" s="57"/>
      <c r="CL24" s="58" t="s">
        <v>3308</v>
      </c>
      <c r="CM24" s="57" t="s">
        <v>1371</v>
      </c>
      <c r="CN24" s="56" t="str">
        <f t="shared" ref="CN24" si="112">IFERROR(VLOOKUP(CL24,BASEPOE1,2,FALSE)," ")</f>
        <v xml:space="preserve"> </v>
      </c>
      <c r="CO24" s="57"/>
      <c r="CP24" s="56"/>
      <c r="CQ24" s="59">
        <v>45006</v>
      </c>
      <c r="CR24" s="59" t="s">
        <v>1774</v>
      </c>
      <c r="CS24" s="57" t="s">
        <v>1372</v>
      </c>
      <c r="CT24" s="57" t="s">
        <v>1789</v>
      </c>
      <c r="CU24" s="57" t="s">
        <v>1372</v>
      </c>
      <c r="CV24" s="57" t="s">
        <v>1789</v>
      </c>
      <c r="CW24" s="57" t="s">
        <v>1461</v>
      </c>
      <c r="CX24" s="57" t="s">
        <v>3309</v>
      </c>
      <c r="CY24" s="57"/>
      <c r="CZ24" s="57" t="s">
        <v>1372</v>
      </c>
      <c r="DA24" s="57" t="s">
        <v>1372</v>
      </c>
      <c r="DB24" s="57" t="s">
        <v>1372</v>
      </c>
      <c r="DC24" s="57" t="s">
        <v>1372</v>
      </c>
      <c r="DD24" s="57" t="s">
        <v>1372</v>
      </c>
      <c r="DE24" s="57" t="s">
        <v>1372</v>
      </c>
      <c r="DF24" s="57" t="s">
        <v>1372</v>
      </c>
      <c r="DG24" s="57"/>
      <c r="DH24" s="57"/>
      <c r="DI24" s="57"/>
      <c r="DJ24" s="57"/>
      <c r="DK24" s="57"/>
      <c r="DL24" s="57"/>
      <c r="DM24" s="57"/>
      <c r="DN24" s="57"/>
      <c r="DO24" s="57"/>
      <c r="DP24" s="57" t="s">
        <v>1372</v>
      </c>
      <c r="DQ24" s="57"/>
      <c r="DR24" s="57"/>
      <c r="DS24" s="57"/>
      <c r="DT24" s="57"/>
      <c r="DU24" s="57"/>
      <c r="DV24" s="57"/>
      <c r="DW24" s="57" t="s">
        <v>1372</v>
      </c>
      <c r="DX24" s="57"/>
      <c r="DY24" s="57"/>
      <c r="DZ24" s="57"/>
      <c r="EA24" s="57"/>
      <c r="EB24" s="57" t="s">
        <v>1783</v>
      </c>
      <c r="EC24" s="57"/>
      <c r="ED24" s="394" t="s">
        <v>3315</v>
      </c>
      <c r="EE24" s="57" t="s">
        <v>1371</v>
      </c>
      <c r="EF24" s="56" t="str">
        <f t="shared" ref="EF24" si="113">IFERROR(VLOOKUP(ED24,BASEPOE1,2,FALSE)," ")</f>
        <v xml:space="preserve"> </v>
      </c>
      <c r="EG24" s="57"/>
      <c r="EH24" s="56"/>
      <c r="EI24" s="59">
        <v>44999</v>
      </c>
      <c r="EJ24" s="59" t="s">
        <v>1774</v>
      </c>
      <c r="EK24" s="57" t="s">
        <v>1372</v>
      </c>
      <c r="EL24" s="57" t="s">
        <v>1789</v>
      </c>
      <c r="EM24" s="57" t="s">
        <v>1372</v>
      </c>
      <c r="EN24" s="57" t="s">
        <v>1789</v>
      </c>
      <c r="EO24" s="57" t="s">
        <v>1461</v>
      </c>
      <c r="EP24" s="57" t="s">
        <v>3309</v>
      </c>
      <c r="EQ24" s="57" t="s">
        <v>1372</v>
      </c>
      <c r="ER24" s="57"/>
      <c r="ES24" s="57"/>
      <c r="ET24" s="57" t="s">
        <v>1372</v>
      </c>
      <c r="EU24" s="57" t="s">
        <v>1372</v>
      </c>
      <c r="EV24" s="57" t="s">
        <v>1372</v>
      </c>
      <c r="EW24" s="57" t="s">
        <v>1461</v>
      </c>
      <c r="EX24" s="57" t="s">
        <v>1372</v>
      </c>
      <c r="EY24" s="57"/>
      <c r="EZ24" s="57"/>
      <c r="FA24" s="57"/>
      <c r="FB24" s="57" t="s">
        <v>1372</v>
      </c>
      <c r="FC24" s="57"/>
      <c r="FD24" s="57"/>
      <c r="FE24" s="57"/>
      <c r="FF24" s="57"/>
      <c r="FG24" s="57"/>
      <c r="FH24" s="57"/>
      <c r="FI24" s="57" t="s">
        <v>1372</v>
      </c>
      <c r="FJ24" s="57"/>
      <c r="FK24" s="57"/>
      <c r="FL24" s="57"/>
      <c r="FM24" s="57"/>
      <c r="FN24" s="57" t="s">
        <v>1372</v>
      </c>
      <c r="FO24" s="57" t="s">
        <v>1372</v>
      </c>
      <c r="FP24" s="57"/>
      <c r="FQ24" s="57"/>
      <c r="FR24" s="57"/>
      <c r="FS24" s="57"/>
      <c r="FT24" s="57" t="s">
        <v>1768</v>
      </c>
      <c r="FU24" s="57"/>
      <c r="FV24" s="58" t="s">
        <v>3319</v>
      </c>
      <c r="FW24" s="57" t="s">
        <v>1381</v>
      </c>
      <c r="FX24" s="56" t="str">
        <f t="shared" ref="FX24" si="114">IFERROR(VLOOKUP(FV24,BASEPOE1,2,FALSE)," ")</f>
        <v xml:space="preserve"> </v>
      </c>
      <c r="FY24" s="57"/>
      <c r="FZ24" s="56"/>
      <c r="GA24" s="59">
        <v>44999</v>
      </c>
      <c r="GB24" s="59" t="s">
        <v>1774</v>
      </c>
      <c r="GC24" s="57" t="s">
        <v>1372</v>
      </c>
      <c r="GD24" s="57" t="s">
        <v>1789</v>
      </c>
      <c r="GE24" s="57" t="s">
        <v>1372</v>
      </c>
      <c r="GF24" s="57" t="s">
        <v>1789</v>
      </c>
      <c r="GG24" s="57" t="s">
        <v>1461</v>
      </c>
      <c r="GH24" s="57" t="s">
        <v>3309</v>
      </c>
      <c r="GI24" s="57" t="s">
        <v>1372</v>
      </c>
      <c r="GJ24" s="57" t="s">
        <v>1372</v>
      </c>
      <c r="GK24" s="57" t="s">
        <v>1372</v>
      </c>
      <c r="GL24" s="57" t="s">
        <v>1372</v>
      </c>
      <c r="GM24" s="57" t="s">
        <v>1372</v>
      </c>
      <c r="GN24" s="57" t="s">
        <v>1372</v>
      </c>
      <c r="GO24" s="57" t="s">
        <v>1372</v>
      </c>
      <c r="GP24" s="57"/>
      <c r="GQ24" s="57"/>
      <c r="GR24" s="57"/>
      <c r="GS24" s="57"/>
      <c r="GT24" s="57" t="s">
        <v>1372</v>
      </c>
      <c r="GU24" s="57"/>
      <c r="GV24" s="57"/>
      <c r="GW24" s="57"/>
      <c r="GX24" s="57"/>
      <c r="GY24" s="57"/>
      <c r="GZ24" s="57"/>
      <c r="HA24" s="57" t="s">
        <v>1372</v>
      </c>
      <c r="HB24" s="57"/>
      <c r="HC24" s="57"/>
      <c r="HD24" s="57"/>
      <c r="HE24" s="57"/>
      <c r="HF24" s="57" t="s">
        <v>1372</v>
      </c>
      <c r="HG24" s="57" t="s">
        <v>1372</v>
      </c>
      <c r="HH24" s="57"/>
      <c r="HI24" s="57"/>
      <c r="HJ24" s="57"/>
      <c r="HK24" s="57"/>
      <c r="HL24" s="57" t="s">
        <v>1768</v>
      </c>
      <c r="HM24" s="57"/>
      <c r="HN24" s="58" t="s">
        <v>3311</v>
      </c>
      <c r="HO24" s="57" t="s">
        <v>1371</v>
      </c>
      <c r="HP24" s="56" t="str">
        <f t="shared" ref="HP24" si="115">IFERROR(VLOOKUP(HN24,BASEPOE1,2,FALSE)," ")</f>
        <v xml:space="preserve"> </v>
      </c>
      <c r="HQ24" s="57"/>
      <c r="HR24" s="56"/>
      <c r="HS24" s="59">
        <v>45322</v>
      </c>
      <c r="HT24" s="59">
        <f>+HS24+365</f>
        <v>45687</v>
      </c>
      <c r="HU24" s="57" t="s">
        <v>1372</v>
      </c>
      <c r="HV24" s="57" t="s">
        <v>1373</v>
      </c>
      <c r="HW24" s="57" t="s">
        <v>1372</v>
      </c>
      <c r="HX24" s="57" t="s">
        <v>1373</v>
      </c>
      <c r="HY24" s="57" t="s">
        <v>1372</v>
      </c>
      <c r="HZ24" s="57" t="s">
        <v>1462</v>
      </c>
      <c r="IA24" s="57" t="s">
        <v>1372</v>
      </c>
      <c r="IB24" s="57"/>
      <c r="IC24" s="57"/>
      <c r="ID24" s="57" t="s">
        <v>1372</v>
      </c>
      <c r="IE24" s="57" t="s">
        <v>1372</v>
      </c>
      <c r="IF24" s="57" t="s">
        <v>1372</v>
      </c>
      <c r="IG24" s="57" t="s">
        <v>1372</v>
      </c>
      <c r="IH24" s="57" t="s">
        <v>1372</v>
      </c>
      <c r="II24" s="57"/>
      <c r="IJ24" s="57"/>
      <c r="IK24" s="57"/>
      <c r="IL24" s="57"/>
      <c r="IM24" s="57"/>
      <c r="IN24" s="57"/>
      <c r="IO24" s="57"/>
      <c r="IP24" s="57"/>
      <c r="IQ24" s="57"/>
      <c r="IR24" s="57"/>
      <c r="IS24" s="57"/>
      <c r="IT24" s="57"/>
      <c r="IU24" s="57"/>
      <c r="IV24" s="57"/>
      <c r="IW24" s="57"/>
      <c r="IX24" s="57" t="s">
        <v>1372</v>
      </c>
      <c r="IY24" s="57"/>
      <c r="IZ24" s="57"/>
      <c r="JA24" s="57"/>
      <c r="JB24" s="57"/>
      <c r="JC24" s="57"/>
      <c r="JD24" s="57" t="s">
        <v>1768</v>
      </c>
      <c r="JE24" s="57" t="s">
        <v>1783</v>
      </c>
      <c r="JF24" s="58"/>
      <c r="JG24" s="57"/>
      <c r="JH24" s="56" t="str">
        <f t="shared" ref="JH24" si="116">IFERROR(VLOOKUP(JF24,BASEPOE1,2,FALSE)," ")</f>
        <v xml:space="preserve"> </v>
      </c>
      <c r="JI24" s="57"/>
      <c r="JJ24" s="56"/>
      <c r="JK24" s="59"/>
      <c r="JL24" s="59">
        <f>+JK24+365</f>
        <v>365</v>
      </c>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8"/>
      <c r="KY24" s="57"/>
      <c r="KZ24" s="56" t="str">
        <f t="shared" ref="KZ24" si="117">IFERROR(VLOOKUP(KX24,BASEPOE1,2,FALSE)," ")</f>
        <v xml:space="preserve"> </v>
      </c>
      <c r="LA24" s="57"/>
      <c r="LB24" s="56"/>
      <c r="LC24" s="59"/>
      <c r="LD24" s="59">
        <f>+LC24+365</f>
        <v>365</v>
      </c>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8"/>
      <c r="MQ24" s="57"/>
      <c r="MR24" s="56" t="str">
        <f t="shared" ref="MR24" si="118">IFERROR(VLOOKUP(MP24,BASEPOE1,2,FALSE)," ")</f>
        <v xml:space="preserve"> </v>
      </c>
      <c r="MS24" s="57"/>
      <c r="MT24" s="56"/>
      <c r="MU24" s="59"/>
      <c r="MV24" s="59">
        <f>+MU24+365</f>
        <v>365</v>
      </c>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8"/>
      <c r="OI24" s="56"/>
      <c r="OJ24" s="58"/>
      <c r="OK24" s="58"/>
      <c r="OL24" s="58"/>
      <c r="OM24" s="58"/>
      <c r="ON24" s="58"/>
      <c r="OO24" s="58"/>
      <c r="OP24" s="56"/>
      <c r="OQ24" s="57"/>
      <c r="OR24" s="58"/>
      <c r="OS24" s="56"/>
      <c r="OT24" s="57"/>
      <c r="OU24" s="57"/>
      <c r="OV24" s="57"/>
      <c r="OW24" s="56"/>
      <c r="OX24" s="57"/>
      <c r="OY24" s="57"/>
      <c r="OZ24" s="56"/>
      <c r="PA24" s="57"/>
      <c r="PB24" s="58"/>
      <c r="PC24" s="56"/>
      <c r="PD24" s="57"/>
      <c r="PE24" s="57"/>
      <c r="PF24" s="57"/>
      <c r="PG24" s="56"/>
      <c r="PH24" s="57"/>
      <c r="PI24" s="57"/>
      <c r="PJ24" s="56"/>
      <c r="PK24" s="57"/>
      <c r="PL24" s="58"/>
      <c r="PM24" s="56"/>
      <c r="PN24" s="57"/>
      <c r="PO24" s="57"/>
      <c r="PP24" s="57"/>
      <c r="PQ24" s="56"/>
      <c r="PR24" s="57"/>
      <c r="PS24" s="57"/>
      <c r="PT24" s="56"/>
      <c r="PU24" s="57"/>
      <c r="PV24" s="58"/>
      <c r="PW24" s="56"/>
      <c r="PX24" s="57"/>
      <c r="PY24" s="57"/>
      <c r="PZ24" s="57"/>
      <c r="QA24" s="56"/>
      <c r="QB24" s="57"/>
      <c r="QC24" s="57"/>
      <c r="QD24" s="56"/>
      <c r="QE24" s="57"/>
      <c r="QF24" s="58"/>
      <c r="QG24" s="56"/>
      <c r="QH24" s="57"/>
      <c r="QI24" s="57"/>
      <c r="QJ24" s="57"/>
      <c r="QK24" s="56"/>
      <c r="QL24" s="57"/>
      <c r="QM24" s="57"/>
      <c r="QN24" s="56"/>
      <c r="QO24" s="57"/>
      <c r="QP24" s="58"/>
      <c r="QQ24" s="56"/>
      <c r="QR24" s="57"/>
      <c r="QS24" s="57"/>
      <c r="QT24" s="57"/>
      <c r="QU24" s="56"/>
      <c r="QV24" s="57"/>
      <c r="QW24" s="57"/>
      <c r="QX24" s="56"/>
      <c r="QY24" s="57"/>
      <c r="QZ24" s="58"/>
      <c r="RA24" s="56"/>
      <c r="RB24" s="57"/>
      <c r="RC24" s="57"/>
      <c r="RD24" s="57"/>
      <c r="RE24" s="56"/>
      <c r="RF24" s="57"/>
      <c r="RG24" s="57"/>
      <c r="RH24" s="56"/>
      <c r="RI24" s="57"/>
      <c r="RJ24" s="58"/>
      <c r="RK24" s="56"/>
      <c r="RL24" s="57"/>
      <c r="RM24" s="57"/>
      <c r="RN24" s="57"/>
      <c r="RO24" s="56"/>
      <c r="RP24" s="57"/>
      <c r="RQ24" s="57"/>
      <c r="RR24" s="56"/>
      <c r="RS24" s="57"/>
      <c r="RT24" s="58"/>
      <c r="RU24" s="56"/>
      <c r="RV24" s="57"/>
      <c r="RW24" s="57"/>
      <c r="RX24" s="57"/>
      <c r="RY24" s="56"/>
      <c r="RZ24" s="57"/>
      <c r="SA24" s="57"/>
      <c r="SB24" s="56"/>
      <c r="SC24" s="57"/>
      <c r="SD24" s="58"/>
      <c r="SE24" s="56"/>
      <c r="SF24" s="57"/>
      <c r="SG24" s="57"/>
      <c r="SH24" s="57"/>
      <c r="SI24" s="56"/>
      <c r="SJ24" s="57"/>
      <c r="SK24" s="57"/>
      <c r="SL24" s="56"/>
      <c r="SM24" s="57"/>
      <c r="SN24" s="58"/>
      <c r="SO24" s="56"/>
      <c r="SP24" s="57"/>
      <c r="SQ24" s="57"/>
      <c r="SR24" s="57"/>
      <c r="SS24" s="56"/>
      <c r="ST24" s="57"/>
      <c r="SU24" s="57"/>
      <c r="SV24" s="56"/>
      <c r="SW24" s="57"/>
      <c r="SX24" s="58"/>
      <c r="SY24" s="56"/>
      <c r="SZ24" s="57"/>
      <c r="TA24" s="57"/>
      <c r="TB24" s="57"/>
      <c r="TC24" s="56"/>
      <c r="TD24" s="57"/>
      <c r="TE24" s="57"/>
      <c r="TF24" s="56"/>
      <c r="TG24" s="57"/>
      <c r="TH24" s="58"/>
      <c r="TI24" s="56"/>
      <c r="TJ24" s="57"/>
      <c r="TK24" s="57"/>
      <c r="TL24" s="57"/>
      <c r="TM24" s="56"/>
      <c r="TN24" s="57"/>
      <c r="TO24" s="57"/>
      <c r="TP24" s="56"/>
      <c r="TQ24" s="57"/>
      <c r="TR24" s="58"/>
      <c r="TS24" s="56"/>
      <c r="TT24" s="57"/>
      <c r="TU24" s="57"/>
      <c r="TV24" s="57"/>
      <c r="TW24" s="56"/>
      <c r="TX24" s="57"/>
      <c r="TY24" s="57"/>
      <c r="TZ24" s="56"/>
      <c r="UA24" s="57"/>
      <c r="UB24" s="58"/>
      <c r="UC24" s="56"/>
      <c r="UD24" s="57"/>
      <c r="UE24" s="57"/>
      <c r="UF24" s="57"/>
      <c r="UG24" s="56"/>
      <c r="UH24" s="57"/>
      <c r="UI24" s="57"/>
      <c r="UJ24" s="56"/>
      <c r="UK24" s="57"/>
      <c r="UL24" s="58"/>
      <c r="UM24" s="56"/>
      <c r="UN24" s="57"/>
      <c r="UO24" s="57"/>
      <c r="UP24" s="57"/>
      <c r="UQ24" s="56"/>
      <c r="UR24" s="57"/>
      <c r="US24" s="57"/>
      <c r="UT24" s="56"/>
      <c r="UU24" s="57"/>
      <c r="UV24" s="58"/>
      <c r="UW24" s="56"/>
      <c r="UX24" s="57"/>
      <c r="UY24" s="57"/>
      <c r="UZ24" s="57"/>
      <c r="VA24" s="56"/>
      <c r="VB24" s="57"/>
      <c r="VC24" s="57"/>
      <c r="VD24" s="56"/>
      <c r="VE24" s="57"/>
      <c r="VF24" s="58"/>
      <c r="VG24" s="56"/>
      <c r="VH24" s="57"/>
      <c r="VI24" s="57"/>
      <c r="VJ24" s="57"/>
      <c r="VK24" s="56"/>
      <c r="VL24" s="57"/>
      <c r="VM24" s="57"/>
      <c r="VN24" s="56"/>
      <c r="VO24" s="57"/>
      <c r="VP24" s="58"/>
      <c r="VQ24" s="56"/>
      <c r="VR24" s="57"/>
      <c r="VS24" s="57"/>
      <c r="VT24" s="57"/>
      <c r="VU24" s="56"/>
      <c r="VV24" s="57"/>
      <c r="VW24" s="57"/>
      <c r="VX24" s="56"/>
      <c r="VY24" s="57"/>
      <c r="VZ24" s="58"/>
      <c r="WA24" s="56"/>
      <c r="WB24" s="57"/>
      <c r="WC24" s="57"/>
      <c r="WD24" s="57"/>
      <c r="WE24" s="56"/>
      <c r="WF24" s="57"/>
      <c r="WG24" s="57"/>
      <c r="WH24" s="56"/>
      <c r="WI24" s="57"/>
      <c r="WJ24" s="58"/>
      <c r="WK24" s="56"/>
      <c r="WL24" s="57"/>
      <c r="WM24" s="57"/>
      <c r="WN24" s="57"/>
      <c r="WO24" s="56"/>
      <c r="WP24" s="57"/>
      <c r="WQ24" s="57"/>
      <c r="WR24" s="56"/>
      <c r="WS24" s="57"/>
      <c r="WT24" s="58"/>
      <c r="WU24" s="56"/>
      <c r="WV24" s="57"/>
      <c r="WW24" s="57"/>
      <c r="WX24" s="57"/>
      <c r="WY24" s="56"/>
      <c r="WZ24" s="57"/>
      <c r="XA24" s="57"/>
      <c r="XB24" s="56"/>
      <c r="XC24" s="57"/>
      <c r="XD24" s="58"/>
      <c r="XE24" s="56"/>
      <c r="XF24" s="57"/>
      <c r="XG24" s="57"/>
      <c r="XH24" s="57"/>
      <c r="XI24" s="56"/>
      <c r="XJ24" s="57"/>
      <c r="XK24" s="57"/>
      <c r="XL24" s="56"/>
      <c r="XM24" s="57"/>
      <c r="XN24" s="58"/>
      <c r="XO24" s="56"/>
      <c r="XP24" s="57"/>
      <c r="XQ24" s="57"/>
      <c r="XR24" s="57"/>
      <c r="XS24" s="56"/>
      <c r="XT24" s="57"/>
      <c r="XU24" s="57"/>
      <c r="XV24" s="56"/>
      <c r="XW24" s="57"/>
      <c r="XX24" s="58"/>
      <c r="XY24" s="56"/>
      <c r="XZ24" s="57"/>
      <c r="YA24" s="57"/>
      <c r="YB24" s="57"/>
      <c r="YC24" s="56"/>
      <c r="YD24" s="57"/>
      <c r="YE24" s="57"/>
      <c r="YF24" s="56"/>
      <c r="YG24" s="57"/>
      <c r="YH24" s="58"/>
      <c r="YI24" s="56"/>
      <c r="YJ24" s="57"/>
      <c r="YK24" s="57"/>
      <c r="YL24" s="57"/>
      <c r="YM24" s="56"/>
      <c r="YN24" s="57"/>
      <c r="YO24" s="57"/>
      <c r="YP24" s="56"/>
      <c r="YQ24" s="57"/>
      <c r="YR24" s="58"/>
      <c r="YS24" s="56"/>
      <c r="YT24" s="57"/>
      <c r="YU24" s="57"/>
      <c r="YV24" s="57"/>
      <c r="YW24" s="56"/>
      <c r="YX24" s="57"/>
      <c r="YY24" s="57"/>
      <c r="YZ24" s="56"/>
      <c r="ZA24" s="57"/>
      <c r="ZB24" s="58"/>
      <c r="ZC24" s="56"/>
      <c r="ZD24" s="57"/>
      <c r="ZE24" s="57"/>
      <c r="ZF24" s="57"/>
      <c r="ZG24" s="56"/>
      <c r="ZH24" s="57"/>
      <c r="ZI24" s="57"/>
      <c r="ZJ24" s="56"/>
      <c r="ZK24" s="57"/>
      <c r="ZL24" s="58"/>
      <c r="ZM24" s="56"/>
      <c r="ZN24" s="57"/>
      <c r="ZO24" s="57"/>
      <c r="ZP24" s="57"/>
      <c r="ZQ24" s="56"/>
      <c r="ZR24" s="57"/>
      <c r="ZS24" s="57"/>
      <c r="ZT24" s="56"/>
      <c r="ZU24" s="57"/>
      <c r="ZV24" s="58"/>
      <c r="ZW24" s="56"/>
      <c r="ZX24" s="57"/>
      <c r="ZY24" s="57"/>
      <c r="ZZ24" s="57"/>
      <c r="AAA24" s="56"/>
      <c r="AAB24" s="57"/>
      <c r="AAC24" s="57"/>
      <c r="AAD24" s="56"/>
      <c r="AAE24" s="57"/>
      <c r="AAF24" s="58"/>
      <c r="AAG24" s="56"/>
      <c r="AAH24" s="57"/>
      <c r="AAI24" s="57"/>
      <c r="AAJ24" s="57"/>
      <c r="AAK24" s="56"/>
      <c r="AAL24" s="57"/>
      <c r="AAM24" s="57"/>
      <c r="AAN24" s="56"/>
      <c r="AAO24" s="57"/>
      <c r="AAP24" s="58"/>
      <c r="AAQ24" s="56"/>
      <c r="AAR24" s="57"/>
      <c r="AAS24" s="57"/>
      <c r="AAT24" s="57"/>
      <c r="AAU24" s="56"/>
      <c r="AAV24" s="57"/>
      <c r="AAW24" s="57"/>
      <c r="AAX24" s="58"/>
      <c r="AAY24" s="58"/>
      <c r="AAZ24" s="58"/>
      <c r="ABA24" s="56"/>
      <c r="ABB24" s="58"/>
      <c r="ABC24" s="58"/>
      <c r="ABD24" s="58"/>
      <c r="ABE24" s="58"/>
      <c r="ABF24" s="58"/>
      <c r="ABG24" s="57"/>
      <c r="ABH24" s="56"/>
      <c r="ABI24" s="57"/>
      <c r="ABJ24" s="58"/>
      <c r="ABK24" s="56"/>
      <c r="ABL24" s="57"/>
      <c r="ABM24" s="57"/>
      <c r="ABN24" s="57"/>
      <c r="ABO24" s="56"/>
      <c r="ABP24" s="57"/>
      <c r="ABQ24" s="57"/>
      <c r="ABR24" s="56"/>
      <c r="ABS24" s="57"/>
      <c r="ABT24" s="58"/>
      <c r="ABU24" s="56"/>
      <c r="ABV24" s="57"/>
      <c r="ABW24" s="57"/>
      <c r="ABX24" s="57"/>
      <c r="ABY24" s="56"/>
      <c r="ABZ24" s="57"/>
      <c r="ACA24" s="57"/>
      <c r="ACB24" s="56"/>
      <c r="ACC24" s="57"/>
      <c r="ACD24" s="58"/>
      <c r="ACE24" s="56"/>
      <c r="ACF24" s="57"/>
      <c r="ACG24" s="57"/>
      <c r="ACH24" s="57"/>
      <c r="ACI24" s="56"/>
      <c r="ACJ24" s="57"/>
      <c r="ACK24" s="57"/>
      <c r="ACL24" s="56"/>
      <c r="ACM24" s="57"/>
      <c r="ACN24" s="58"/>
      <c r="ACO24" s="56"/>
      <c r="ACP24" s="57"/>
      <c r="ACQ24" s="57"/>
      <c r="ACR24" s="57"/>
      <c r="ACS24" s="56"/>
      <c r="ACT24" s="57"/>
      <c r="ACU24" s="57"/>
      <c r="ACV24" s="56"/>
      <c r="ACW24" s="57"/>
      <c r="ACX24" s="58"/>
      <c r="ACY24" s="56"/>
      <c r="ACZ24" s="57"/>
      <c r="ADA24" s="57"/>
      <c r="ADB24" s="57"/>
      <c r="ADC24" s="56"/>
      <c r="ADD24" s="57"/>
      <c r="ADE24" s="57"/>
      <c r="ADF24" s="56"/>
      <c r="ADG24" s="57"/>
      <c r="ADH24" s="58"/>
      <c r="ADI24" s="56"/>
      <c r="ADJ24" s="57"/>
      <c r="ADK24" s="57"/>
      <c r="ADL24" s="57"/>
      <c r="ADM24" s="56"/>
      <c r="ADN24" s="57"/>
      <c r="ADO24" s="57"/>
      <c r="ADP24" s="56"/>
      <c r="ADQ24" s="57"/>
      <c r="ADR24" s="58"/>
      <c r="ADS24" s="56"/>
      <c r="ADT24" s="57"/>
      <c r="ADU24" s="57"/>
      <c r="ADV24" s="57"/>
      <c r="ADW24" s="56"/>
      <c r="ADX24" s="57"/>
      <c r="ADY24" s="57"/>
      <c r="ADZ24" s="56"/>
      <c r="AEA24" s="57"/>
      <c r="AEB24" s="58"/>
      <c r="AEC24" s="56"/>
      <c r="AED24" s="57"/>
      <c r="AEE24" s="57"/>
      <c r="AEF24" s="57"/>
      <c r="AEG24" s="56"/>
      <c r="AEH24" s="57"/>
      <c r="AEI24" s="57"/>
      <c r="AEJ24" s="56"/>
      <c r="AEK24" s="57"/>
      <c r="AEL24" s="58"/>
      <c r="AEM24" s="56"/>
      <c r="AEN24" s="57"/>
      <c r="AEO24" s="57"/>
      <c r="AEP24" s="57"/>
      <c r="AEQ24" s="56"/>
      <c r="AER24" s="57"/>
      <c r="AES24" s="57"/>
      <c r="AET24" s="56"/>
      <c r="AEU24" s="57"/>
      <c r="AEV24" s="58"/>
      <c r="AEW24" s="56"/>
      <c r="AEX24" s="57"/>
      <c r="AEY24" s="57"/>
      <c r="AEZ24" s="57"/>
      <c r="AFA24" s="56"/>
      <c r="AFB24" s="57"/>
      <c r="AFC24" s="57"/>
      <c r="AFD24" s="56"/>
      <c r="AFE24" s="57"/>
      <c r="AFF24" s="58"/>
      <c r="AFG24" s="56"/>
      <c r="AFH24" s="57"/>
      <c r="AFI24" s="57"/>
      <c r="AFJ24" s="57"/>
      <c r="AFK24" s="56"/>
      <c r="AFL24" s="57"/>
      <c r="AFM24" s="57"/>
      <c r="AFN24" s="56"/>
      <c r="AFO24" s="57"/>
      <c r="AFP24" s="58"/>
      <c r="AFQ24" s="56"/>
      <c r="AFR24" s="57"/>
      <c r="AFS24" s="57"/>
      <c r="AFT24" s="57"/>
      <c r="AFU24" s="56"/>
      <c r="AFV24" s="57"/>
      <c r="AFW24" s="57"/>
      <c r="AFX24" s="56"/>
      <c r="AFY24" s="57"/>
      <c r="AFZ24" s="58"/>
      <c r="AGA24" s="56"/>
      <c r="AGB24" s="57"/>
      <c r="AGC24" s="57"/>
      <c r="AGD24" s="57"/>
      <c r="AGE24" s="56"/>
      <c r="AGF24" s="57"/>
      <c r="AGG24" s="57"/>
      <c r="AGH24" s="56"/>
      <c r="AGI24" s="57"/>
      <c r="AGJ24" s="58"/>
      <c r="AGK24" s="56"/>
      <c r="AGL24" s="57"/>
      <c r="AGM24" s="57"/>
      <c r="AGN24" s="57"/>
      <c r="AGO24" s="56"/>
      <c r="AGP24" s="57"/>
      <c r="AGQ24" s="57"/>
      <c r="AGR24" s="56"/>
      <c r="AGS24" s="57"/>
      <c r="AGT24" s="58"/>
      <c r="AGU24" s="56"/>
      <c r="AGV24" s="57"/>
      <c r="AGW24" s="57"/>
      <c r="AGX24" s="57"/>
      <c r="AGY24" s="56"/>
      <c r="AGZ24" s="57"/>
      <c r="AHA24" s="57"/>
      <c r="AHB24" s="56"/>
      <c r="AHC24" s="57"/>
      <c r="AHD24" s="58"/>
      <c r="AHE24" s="56"/>
      <c r="AHF24" s="57"/>
      <c r="AHG24" s="57"/>
      <c r="AHH24" s="57"/>
      <c r="AHI24" s="56"/>
      <c r="AHJ24" s="57"/>
      <c r="AHK24" s="57"/>
      <c r="AHL24" s="56"/>
      <c r="AHM24" s="57"/>
      <c r="AHN24" s="58"/>
      <c r="AHO24" s="56"/>
      <c r="AHP24" s="57"/>
      <c r="AHQ24" s="57"/>
      <c r="AHR24" s="57"/>
      <c r="AHS24" s="56"/>
      <c r="AHT24" s="57"/>
      <c r="AHU24" s="57"/>
      <c r="AHV24" s="56"/>
      <c r="AHW24" s="57"/>
      <c r="AHX24" s="58"/>
      <c r="AHY24" s="56"/>
      <c r="AHZ24" s="57"/>
      <c r="AIA24" s="57"/>
      <c r="AIB24" s="57"/>
      <c r="AIC24" s="56"/>
      <c r="AID24" s="57"/>
      <c r="AIE24" s="57"/>
      <c r="AIF24" s="56"/>
      <c r="AIG24" s="57"/>
      <c r="AIH24" s="58"/>
      <c r="AII24" s="56"/>
      <c r="AIJ24" s="57"/>
      <c r="AIK24" s="57"/>
      <c r="AIL24" s="57"/>
      <c r="AIM24" s="56"/>
      <c r="AIN24" s="57"/>
      <c r="AIO24" s="57"/>
      <c r="AIP24" s="56"/>
      <c r="AIQ24" s="57"/>
      <c r="AIR24" s="58"/>
      <c r="AIS24" s="56"/>
      <c r="AIT24" s="57"/>
      <c r="AIU24" s="57"/>
      <c r="AIV24" s="57"/>
      <c r="AIW24" s="56"/>
      <c r="AIX24" s="57"/>
      <c r="AIY24" s="57"/>
      <c r="AIZ24" s="56"/>
      <c r="AJA24" s="57"/>
      <c r="AJB24" s="58"/>
      <c r="AJC24" s="56"/>
      <c r="AJD24" s="57"/>
      <c r="AJE24" s="57"/>
      <c r="AJF24" s="57"/>
      <c r="AJG24" s="56"/>
      <c r="AJH24" s="57"/>
      <c r="AJI24" s="57"/>
      <c r="AJJ24" s="56"/>
      <c r="AJK24" s="57"/>
      <c r="AJL24" s="58"/>
      <c r="AJM24" s="56"/>
      <c r="AJN24" s="57"/>
      <c r="AJO24" s="57"/>
      <c r="AJP24" s="57"/>
      <c r="AJQ24" s="56"/>
      <c r="AJR24" s="57"/>
      <c r="AJS24" s="57"/>
      <c r="AJT24" s="56"/>
      <c r="AJU24" s="57"/>
      <c r="AJV24" s="58"/>
      <c r="AJW24" s="56"/>
      <c r="AJX24" s="57"/>
      <c r="AJY24" s="57"/>
      <c r="AJZ24" s="57"/>
      <c r="AKA24" s="56"/>
      <c r="AKB24" s="57"/>
      <c r="AKC24" s="57"/>
      <c r="AKD24" s="56"/>
      <c r="AKE24" s="57"/>
      <c r="AKF24" s="58"/>
      <c r="AKG24" s="56"/>
      <c r="AKH24" s="57"/>
      <c r="AKI24" s="57"/>
      <c r="AKJ24" s="57"/>
      <c r="AKK24" s="56"/>
      <c r="AKL24" s="57"/>
      <c r="AKM24" s="57"/>
      <c r="AKN24" s="56"/>
      <c r="AKO24" s="57"/>
      <c r="AKP24" s="58"/>
      <c r="AKQ24" s="56"/>
      <c r="AKR24" s="57"/>
      <c r="AKS24" s="57"/>
      <c r="AKT24" s="57"/>
      <c r="AKU24" s="56"/>
      <c r="AKV24" s="57"/>
      <c r="AKW24" s="57"/>
      <c r="AKX24" s="56"/>
      <c r="AKY24" s="57"/>
      <c r="AKZ24" s="58"/>
      <c r="ALA24" s="56"/>
      <c r="ALB24" s="57"/>
      <c r="ALC24" s="57"/>
      <c r="ALD24" s="57"/>
      <c r="ALE24" s="56"/>
      <c r="ALF24" s="57"/>
      <c r="ALG24" s="57"/>
      <c r="ALH24" s="57"/>
      <c r="ALI24" s="57"/>
      <c r="ALJ24" s="57"/>
      <c r="ALK24" s="56"/>
      <c r="ALL24" s="57"/>
      <c r="ALM24" s="57"/>
      <c r="ALN24" s="56"/>
      <c r="ALO24" s="57"/>
      <c r="ALP24" s="58"/>
      <c r="ALQ24" s="56"/>
      <c r="ALR24" s="57"/>
      <c r="ALS24" s="57"/>
      <c r="ALT24" s="57"/>
      <c r="ALU24" s="56"/>
      <c r="ALV24" s="57"/>
      <c r="ALW24" s="57"/>
      <c r="ALX24" s="56"/>
      <c r="ALY24" s="57"/>
      <c r="ALZ24" s="58"/>
      <c r="AMA24" s="56"/>
      <c r="AMB24" s="57"/>
      <c r="AMC24" s="57"/>
      <c r="AMD24" s="57"/>
      <c r="AME24" s="56"/>
      <c r="AMF24" s="57"/>
      <c r="AMG24" s="57"/>
      <c r="AMH24" s="57"/>
      <c r="AMI24" s="57"/>
      <c r="AMJ24" s="57"/>
      <c r="AMK24" s="56"/>
      <c r="AML24" s="57"/>
      <c r="AMM24" s="57"/>
      <c r="AMN24" s="56"/>
      <c r="AMO24" s="57"/>
      <c r="AMP24" s="58"/>
      <c r="AMQ24" s="56"/>
      <c r="AMR24" s="57"/>
      <c r="AMS24" s="57"/>
      <c r="AMT24" s="57"/>
      <c r="AMU24" s="56"/>
      <c r="AMV24" s="57"/>
      <c r="AMW24" s="57"/>
      <c r="AMX24" s="56"/>
      <c r="AMY24" s="57"/>
      <c r="AMZ24" s="58"/>
      <c r="ANA24" s="56"/>
      <c r="ANB24" s="57"/>
      <c r="ANC24" s="57"/>
      <c r="AND24" s="57"/>
      <c r="ANE24" s="56"/>
      <c r="ANF24" s="57"/>
      <c r="ANG24" s="57"/>
      <c r="ANH24" s="57"/>
      <c r="ANI24" s="57"/>
      <c r="ANJ24" s="57"/>
      <c r="ANK24" s="56"/>
      <c r="ANL24" s="57"/>
      <c r="ANM24" s="57"/>
      <c r="ANN24" s="56"/>
      <c r="ANO24" s="57"/>
      <c r="ANP24" s="58"/>
      <c r="ANQ24" s="56"/>
      <c r="ANR24" s="57"/>
      <c r="ANS24" s="57"/>
      <c r="ANT24" s="57"/>
      <c r="ANU24" s="56"/>
      <c r="ANV24" s="57"/>
      <c r="ANW24" s="57"/>
      <c r="ANX24" s="56"/>
      <c r="ANY24" s="57"/>
      <c r="ANZ24" s="58"/>
      <c r="AOA24" s="56"/>
      <c r="AOB24" s="57"/>
      <c r="AOC24" s="57"/>
      <c r="AOD24" s="57"/>
      <c r="AOE24" s="56"/>
      <c r="AOF24" s="57"/>
      <c r="AOG24" s="57"/>
      <c r="AOH24" s="57"/>
      <c r="AOI24" s="57"/>
      <c r="AOJ24" s="57"/>
      <c r="AOK24" s="56"/>
      <c r="AOL24" s="57"/>
      <c r="AOM24" s="57"/>
      <c r="AON24" s="56"/>
      <c r="AOO24" s="57"/>
      <c r="AOP24" s="58"/>
      <c r="AOQ24" s="56"/>
      <c r="AOR24" s="57"/>
      <c r="AOS24" s="57"/>
      <c r="AOT24" s="57"/>
      <c r="AOU24" s="56"/>
      <c r="AOV24" s="57"/>
      <c r="AOW24" s="57"/>
      <c r="AOX24" s="56"/>
      <c r="AOY24" s="57"/>
      <c r="AOZ24" s="58"/>
      <c r="APA24" s="56"/>
      <c r="APB24" s="57"/>
      <c r="APC24" s="57"/>
      <c r="APD24" s="57"/>
      <c r="APE24" s="56"/>
      <c r="APF24" s="57"/>
      <c r="APG24" s="57"/>
      <c r="APH24" s="57"/>
      <c r="API24" s="57"/>
      <c r="APJ24" s="57"/>
      <c r="APK24" s="56"/>
      <c r="APL24" s="57"/>
      <c r="APM24" s="57"/>
      <c r="APN24" s="56"/>
      <c r="APO24" s="57"/>
      <c r="APP24" s="58"/>
      <c r="APQ24" s="56"/>
      <c r="APR24" s="57"/>
      <c r="APS24" s="57"/>
      <c r="APT24" s="57"/>
      <c r="APU24" s="56"/>
      <c r="APV24" s="57"/>
      <c r="APW24" s="57"/>
      <c r="APX24" s="56"/>
      <c r="APY24" s="57"/>
      <c r="APZ24" s="58"/>
      <c r="AQA24" s="56"/>
      <c r="AQB24" s="57"/>
      <c r="AQC24" s="57"/>
      <c r="AQD24" s="57"/>
      <c r="AQE24" s="56"/>
      <c r="AQF24" s="57"/>
      <c r="AQG24" s="57"/>
      <c r="AQH24" s="57"/>
      <c r="AQI24" s="57"/>
      <c r="AQJ24" s="57"/>
      <c r="AQK24" s="56"/>
      <c r="AQL24" s="57"/>
      <c r="AQM24" s="57"/>
      <c r="AQN24" s="56"/>
      <c r="AQO24" s="57"/>
      <c r="AQP24" s="58"/>
      <c r="AQQ24" s="56"/>
      <c r="AQR24" s="57"/>
      <c r="AQS24" s="57"/>
      <c r="AQT24" s="57"/>
      <c r="AQU24" s="56"/>
      <c r="AQV24" s="57"/>
      <c r="AQW24" s="57"/>
      <c r="AQX24" s="56"/>
      <c r="AQY24" s="57"/>
      <c r="AQZ24" s="58"/>
      <c r="ARA24" s="56"/>
      <c r="ARB24" s="57"/>
      <c r="ARC24" s="57"/>
      <c r="ARD24" s="57"/>
      <c r="ARE24" s="56"/>
      <c r="ARF24" s="57"/>
      <c r="ARG24" s="57"/>
      <c r="ARH24" s="57"/>
      <c r="ARI24" s="57"/>
      <c r="ARJ24" s="57"/>
      <c r="ARK24" s="56"/>
      <c r="ARL24" s="57"/>
      <c r="ARM24" s="57"/>
      <c r="ARN24" s="56"/>
      <c r="ARO24" s="57"/>
      <c r="ARP24" s="58"/>
      <c r="ARQ24" s="56"/>
      <c r="ARR24" s="57"/>
      <c r="ARS24" s="57"/>
      <c r="ART24" s="57"/>
      <c r="ARU24" s="56"/>
      <c r="ARV24" s="57"/>
      <c r="ARW24" s="57"/>
      <c r="ARX24" s="56"/>
      <c r="ARY24" s="57"/>
      <c r="ARZ24" s="58"/>
      <c r="ASA24" s="56"/>
      <c r="ASB24" s="57"/>
      <c r="ASC24" s="57"/>
      <c r="ASD24" s="57"/>
      <c r="ASE24" s="56"/>
      <c r="ASF24" s="57"/>
      <c r="ASG24" s="57"/>
      <c r="ASH24" s="57"/>
      <c r="ASI24" s="57"/>
      <c r="ASJ24" s="57"/>
      <c r="ASK24" s="56"/>
      <c r="ASL24" s="57"/>
      <c r="ASM24" s="57"/>
      <c r="ASN24" s="56"/>
      <c r="ASO24" s="57"/>
      <c r="ASP24" s="58"/>
      <c r="ASQ24" s="56"/>
      <c r="ASR24" s="57"/>
      <c r="ASS24" s="57"/>
      <c r="AST24" s="57"/>
      <c r="ASU24" s="56"/>
      <c r="ASV24" s="57"/>
      <c r="ASW24" s="57"/>
      <c r="ASX24" s="56"/>
      <c r="ASY24" s="57"/>
      <c r="ASZ24" s="58"/>
      <c r="ATA24" s="56"/>
      <c r="ATB24" s="57"/>
      <c r="ATC24" s="57"/>
      <c r="ATD24" s="57"/>
      <c r="ATE24" s="56"/>
      <c r="ATF24" s="57"/>
      <c r="ATG24" s="57"/>
      <c r="ATH24" s="57"/>
      <c r="ATI24" s="57"/>
      <c r="ATJ24" s="57"/>
      <c r="ATK24" s="56"/>
      <c r="ATL24" s="57"/>
      <c r="ATM24" s="57"/>
      <c r="ATN24" s="56"/>
      <c r="ATO24" s="57"/>
      <c r="ATP24" s="58"/>
      <c r="ATQ24" s="56"/>
      <c r="ATR24" s="57"/>
      <c r="ATS24" s="57"/>
      <c r="ATT24" s="57"/>
      <c r="ATU24" s="56"/>
      <c r="ATV24" s="57"/>
      <c r="ATW24" s="57"/>
      <c r="ATX24" s="56"/>
      <c r="ATY24" s="57"/>
      <c r="ATZ24" s="58"/>
      <c r="AUA24" s="56"/>
      <c r="AUB24" s="57"/>
      <c r="AUC24" s="57"/>
      <c r="AUD24" s="57"/>
      <c r="AUE24" s="56"/>
      <c r="AUF24" s="57"/>
      <c r="AUG24" s="57"/>
      <c r="AUH24" s="57"/>
      <c r="AUI24" s="57"/>
      <c r="AUJ24" s="57"/>
      <c r="AUK24" s="56"/>
      <c r="AUL24" s="57"/>
      <c r="AUM24" s="57"/>
      <c r="AUN24" s="56"/>
      <c r="AUO24" s="57"/>
      <c r="AUP24" s="58"/>
      <c r="AUQ24" s="56"/>
      <c r="AUR24" s="57"/>
      <c r="AUS24" s="57"/>
      <c r="AUT24" s="57"/>
      <c r="AUU24" s="56"/>
      <c r="AUV24" s="57"/>
      <c r="AUW24" s="57"/>
      <c r="AUX24" s="56"/>
      <c r="AUY24" s="57"/>
      <c r="AUZ24" s="58"/>
      <c r="AVA24" s="56"/>
      <c r="AVB24" s="57"/>
      <c r="AVC24" s="57"/>
      <c r="AVD24" s="57"/>
      <c r="AVE24" s="56"/>
      <c r="AVF24" s="57"/>
      <c r="AVG24" s="57"/>
      <c r="AVH24" s="57"/>
      <c r="AVI24" s="57"/>
      <c r="AVJ24" s="57"/>
      <c r="AVK24" s="56"/>
      <c r="AVL24" s="57"/>
      <c r="AVM24" s="57"/>
      <c r="AVN24" s="56"/>
      <c r="AVO24" s="57"/>
      <c r="AVP24" s="58"/>
      <c r="AVQ24" s="56"/>
      <c r="AVR24" s="57"/>
      <c r="AVS24" s="57"/>
      <c r="AVT24" s="57"/>
      <c r="AVU24" s="56"/>
      <c r="AVV24" s="57"/>
      <c r="AVW24" s="57"/>
      <c r="AVX24" s="56"/>
      <c r="AVY24" s="57"/>
      <c r="AVZ24" s="58"/>
      <c r="AWA24" s="56"/>
      <c r="AWB24" s="57"/>
      <c r="AWC24" s="57"/>
      <c r="AWD24" s="57"/>
      <c r="AWE24" s="56"/>
      <c r="AWF24" s="57"/>
      <c r="AWG24" s="57"/>
      <c r="AWH24" s="57"/>
      <c r="AWI24" s="57"/>
      <c r="AWJ24" s="57"/>
      <c r="AWK24" s="56"/>
      <c r="AWL24" s="57"/>
      <c r="AWM24" s="57"/>
      <c r="AWN24" s="56"/>
      <c r="AWO24" s="57"/>
      <c r="AWP24" s="58"/>
      <c r="AWQ24" s="56"/>
      <c r="AWR24" s="57"/>
      <c r="AWS24" s="57"/>
      <c r="AWT24" s="57"/>
      <c r="AWU24" s="56"/>
      <c r="AWV24" s="57"/>
      <c r="AWW24" s="57"/>
      <c r="AWX24" s="56"/>
      <c r="AWY24" s="57"/>
      <c r="AWZ24" s="58"/>
      <c r="AXA24" s="56"/>
      <c r="AXB24" s="57"/>
      <c r="AXC24" s="57"/>
      <c r="AXD24" s="57"/>
      <c r="AXE24" s="56"/>
      <c r="AXF24" s="57"/>
      <c r="AXG24" s="57"/>
      <c r="AXH24" s="57"/>
      <c r="AXI24" s="57"/>
      <c r="AXJ24" s="57"/>
      <c r="AXK24" s="56"/>
      <c r="AXL24" s="57"/>
      <c r="AXM24" s="57"/>
      <c r="AXN24" s="56"/>
      <c r="AXO24" s="57"/>
      <c r="AXP24" s="58"/>
      <c r="AXQ24" s="56"/>
      <c r="AXR24" s="57"/>
      <c r="AXS24" s="57"/>
      <c r="AXT24" s="57"/>
      <c r="AXU24" s="56"/>
      <c r="AXV24" s="57"/>
      <c r="AXW24" s="57"/>
      <c r="AXX24" s="56"/>
      <c r="AXY24" s="57"/>
      <c r="AXZ24" s="58"/>
      <c r="AYA24" s="56"/>
      <c r="AYB24" s="57"/>
      <c r="AYC24" s="57"/>
      <c r="AYD24" s="57"/>
      <c r="AYE24" s="56"/>
      <c r="AYF24" s="57"/>
      <c r="AYG24" s="57"/>
      <c r="AYH24" s="57"/>
      <c r="AYI24" s="57"/>
      <c r="AYJ24" s="57"/>
      <c r="AYK24" s="56"/>
      <c r="AYL24" s="57"/>
      <c r="AYM24" s="57"/>
      <c r="AYN24" s="56"/>
      <c r="AYO24" s="57"/>
      <c r="AYP24" s="58"/>
      <c r="AYQ24" s="56"/>
      <c r="AYR24" s="57"/>
      <c r="AYS24" s="57"/>
      <c r="AYT24" s="57"/>
      <c r="AYU24" s="56"/>
      <c r="AYV24" s="57"/>
      <c r="AYW24" s="57"/>
      <c r="AYX24" s="56"/>
      <c r="AYY24" s="57"/>
      <c r="AYZ24" s="58"/>
      <c r="AZA24" s="56"/>
      <c r="AZB24" s="57"/>
      <c r="AZC24" s="57"/>
      <c r="AZD24" s="57"/>
      <c r="AZE24" s="56"/>
      <c r="AZF24" s="57"/>
      <c r="AZG24" s="57"/>
      <c r="AZH24" s="57"/>
      <c r="AZI24" s="57"/>
      <c r="AZJ24" s="57"/>
      <c r="AZK24" s="56"/>
      <c r="AZL24" s="57"/>
      <c r="AZM24" s="57"/>
      <c r="AZN24" s="56"/>
      <c r="AZO24" s="57"/>
      <c r="AZP24" s="58"/>
      <c r="AZQ24" s="56"/>
      <c r="AZR24" s="57"/>
      <c r="AZS24" s="57"/>
      <c r="AZT24" s="57"/>
      <c r="AZU24" s="56"/>
      <c r="AZV24" s="57"/>
      <c r="AZW24" s="57"/>
      <c r="AZX24" s="56"/>
      <c r="AZY24" s="57"/>
      <c r="AZZ24" s="58"/>
      <c r="BAA24" s="56"/>
      <c r="BAB24" s="57"/>
      <c r="BAC24" s="57"/>
      <c r="BAD24" s="57"/>
      <c r="BAE24" s="56"/>
      <c r="BAF24" s="57"/>
      <c r="BAG24" s="57"/>
      <c r="BAH24" s="57"/>
      <c r="BAI24" s="57"/>
      <c r="BAJ24" s="57"/>
      <c r="BAK24" s="56"/>
      <c r="BAL24" s="57"/>
      <c r="BAM24" s="57"/>
      <c r="BAN24" s="56"/>
      <c r="BAO24" s="57"/>
      <c r="BAP24" s="58"/>
      <c r="BAQ24" s="56"/>
      <c r="BAR24" s="57"/>
      <c r="BAS24" s="57"/>
      <c r="BAT24" s="57"/>
      <c r="BAU24" s="56"/>
      <c r="BAV24" s="57"/>
      <c r="BAW24" s="57"/>
      <c r="BAX24" s="56"/>
      <c r="BAY24" s="57"/>
      <c r="BAZ24" s="58"/>
      <c r="BBA24" s="56"/>
      <c r="BBB24" s="57"/>
      <c r="BBC24" s="57"/>
      <c r="BBD24" s="57"/>
      <c r="BBE24" s="56"/>
      <c r="BBF24" s="57"/>
      <c r="BBG24" s="57"/>
      <c r="BBH24" s="57"/>
      <c r="BBI24" s="57"/>
      <c r="BBJ24" s="57"/>
      <c r="BBK24" s="56"/>
      <c r="BBL24" s="57"/>
      <c r="BBM24" s="57"/>
      <c r="BBN24" s="56"/>
      <c r="BBO24" s="57"/>
      <c r="BBP24" s="58"/>
      <c r="BBQ24" s="56"/>
      <c r="BBR24" s="57"/>
      <c r="BBS24" s="57"/>
      <c r="BBT24" s="57"/>
      <c r="BBU24" s="56"/>
      <c r="BBV24" s="57"/>
      <c r="BBW24" s="57"/>
      <c r="BBX24" s="56"/>
      <c r="BBY24" s="57"/>
      <c r="BBZ24" s="58"/>
      <c r="BCA24" s="56"/>
      <c r="BCB24" s="57"/>
      <c r="BCC24" s="57"/>
      <c r="BCD24" s="57"/>
      <c r="BCE24" s="56"/>
      <c r="BCF24" s="57"/>
      <c r="BCG24" s="57"/>
      <c r="BCH24" s="57"/>
      <c r="BCI24" s="57"/>
      <c r="BCJ24" s="57"/>
      <c r="BCK24" s="56"/>
      <c r="BCL24" s="57"/>
      <c r="BCM24" s="57"/>
      <c r="BCN24" s="56"/>
      <c r="BCO24" s="57"/>
      <c r="BCP24" s="58"/>
      <c r="BCQ24" s="56"/>
      <c r="BCR24" s="57"/>
      <c r="BCS24" s="57"/>
      <c r="BCT24" s="57"/>
      <c r="BCU24" s="56"/>
      <c r="BCV24" s="57"/>
      <c r="BCW24" s="57"/>
      <c r="BCX24" s="56"/>
      <c r="BCY24" s="57"/>
      <c r="BCZ24" s="58"/>
      <c r="BDA24" s="56"/>
      <c r="BDB24" s="57"/>
      <c r="BDC24" s="57"/>
      <c r="BDD24" s="57"/>
      <c r="BDE24" s="56"/>
      <c r="BDF24" s="57"/>
      <c r="BDG24" s="57"/>
      <c r="BDH24" s="57"/>
      <c r="BDI24" s="57"/>
      <c r="BDJ24" s="57"/>
      <c r="BDK24" s="56"/>
      <c r="BDL24" s="57"/>
      <c r="BDM24" s="57"/>
      <c r="BDN24" s="56"/>
      <c r="BDO24" s="57"/>
      <c r="BDP24" s="58"/>
      <c r="BDQ24" s="56"/>
      <c r="BDR24" s="57"/>
      <c r="BDS24" s="57"/>
      <c r="BDT24" s="57"/>
      <c r="BDU24" s="56"/>
      <c r="BDV24" s="57"/>
      <c r="BDW24" s="57"/>
      <c r="BDX24" s="56"/>
      <c r="BDY24" s="57"/>
      <c r="BDZ24" s="58"/>
      <c r="BEA24" s="56"/>
      <c r="BEB24" s="57"/>
      <c r="BEC24" s="57"/>
      <c r="BED24" s="57"/>
      <c r="BEE24" s="56"/>
      <c r="BEF24" s="57"/>
      <c r="BEG24" s="57"/>
      <c r="BEH24" s="57"/>
      <c r="BEI24" s="57"/>
      <c r="BEJ24" s="57"/>
      <c r="BEK24" s="56"/>
      <c r="BEL24" s="57"/>
      <c r="BEM24" s="57"/>
      <c r="BEN24" s="56"/>
      <c r="BEO24" s="57"/>
      <c r="BEP24" s="58"/>
      <c r="BEQ24" s="56"/>
      <c r="BER24" s="57"/>
      <c r="BES24" s="57"/>
      <c r="BET24" s="57"/>
      <c r="BEU24" s="56"/>
      <c r="BEV24" s="57"/>
      <c r="BEW24" s="57"/>
      <c r="BEX24" s="56"/>
      <c r="BEY24" s="57"/>
      <c r="BEZ24" s="58"/>
      <c r="BFA24" s="56"/>
      <c r="BFB24" s="57"/>
      <c r="BFC24" s="57"/>
      <c r="BFD24" s="57"/>
      <c r="BFE24" s="56"/>
      <c r="BFF24" s="57"/>
      <c r="BFG24" s="57"/>
      <c r="BFH24" s="57"/>
      <c r="BFI24" s="57"/>
      <c r="BFJ24" s="57"/>
      <c r="BFK24" s="56"/>
      <c r="BFL24" s="57"/>
      <c r="BFM24" s="57"/>
      <c r="BFN24" s="56"/>
      <c r="BFO24" s="57"/>
      <c r="BFP24" s="58"/>
      <c r="BFQ24" s="56"/>
      <c r="BFR24" s="57"/>
      <c r="BFS24" s="57"/>
      <c r="BFT24" s="57"/>
      <c r="BFU24" s="56"/>
      <c r="BFV24" s="57"/>
      <c r="BFW24" s="57"/>
      <c r="BFX24" s="56"/>
      <c r="BFY24" s="57"/>
      <c r="BFZ24" s="58"/>
      <c r="BGA24" s="56"/>
      <c r="BGB24" s="57"/>
      <c r="BGC24" s="57"/>
      <c r="BGD24" s="57"/>
      <c r="BGE24" s="56"/>
      <c r="BGF24" s="57"/>
      <c r="BGG24" s="57"/>
      <c r="BGH24" s="57"/>
      <c r="BGI24" s="57"/>
      <c r="BGJ24" s="57"/>
      <c r="BGK24" s="56"/>
      <c r="BGL24" s="57"/>
      <c r="BGM24" s="57"/>
      <c r="BGN24" s="56"/>
      <c r="BGO24" s="57"/>
      <c r="BGP24" s="58"/>
      <c r="BGQ24" s="56"/>
      <c r="BGR24" s="57"/>
      <c r="BGS24" s="57"/>
      <c r="BGT24" s="57"/>
      <c r="BGU24" s="56"/>
      <c r="BGV24" s="57"/>
      <c r="BGW24" s="57"/>
      <c r="BGX24" s="56"/>
      <c r="BGY24" s="57"/>
      <c r="BGZ24" s="58"/>
      <c r="BHA24" s="56"/>
      <c r="BHB24" s="57"/>
      <c r="BHC24" s="57"/>
      <c r="BHD24" s="57"/>
      <c r="BHE24" s="56"/>
      <c r="BHF24" s="57"/>
      <c r="BHG24" s="57"/>
      <c r="BHH24" s="57"/>
      <c r="BHI24" s="57"/>
      <c r="BHJ24" s="57"/>
      <c r="BHK24" s="56"/>
      <c r="BHL24" s="57"/>
      <c r="BHM24" s="57"/>
      <c r="BHN24" s="56"/>
      <c r="BHO24" s="57"/>
      <c r="BHP24" s="58"/>
      <c r="BHQ24" s="56"/>
      <c r="BHR24" s="57"/>
      <c r="BHS24" s="57"/>
      <c r="BHT24" s="57"/>
      <c r="BHU24" s="56"/>
      <c r="BHV24" s="57"/>
      <c r="BHW24" s="57"/>
      <c r="BHX24" s="56"/>
      <c r="BHY24" s="57"/>
      <c r="BHZ24" s="58"/>
      <c r="BIA24" s="56"/>
      <c r="BIB24" s="57"/>
      <c r="BIC24" s="57"/>
      <c r="BID24" s="57"/>
      <c r="BIE24" s="56"/>
      <c r="BIF24" s="57"/>
      <c r="BIG24" s="57"/>
      <c r="BIH24" s="57"/>
      <c r="BII24" s="57"/>
      <c r="BIJ24" s="57"/>
      <c r="BIK24" s="56"/>
      <c r="BIL24" s="57"/>
      <c r="BIM24" s="57"/>
      <c r="BIN24" s="56"/>
      <c r="BIO24" s="57"/>
      <c r="BIP24" s="58"/>
      <c r="BIQ24" s="56"/>
      <c r="BIR24" s="57"/>
      <c r="BIS24" s="57"/>
      <c r="BIT24" s="57"/>
      <c r="BIU24" s="56"/>
      <c r="BIV24" s="57"/>
      <c r="BIW24" s="57"/>
      <c r="BIX24" s="56"/>
      <c r="BIY24" s="57"/>
      <c r="BIZ24" s="58"/>
      <c r="BJA24" s="56"/>
      <c r="BJB24" s="57"/>
      <c r="BJC24" s="57"/>
      <c r="BJD24" s="57"/>
      <c r="BJE24" s="56"/>
      <c r="BJF24" s="57"/>
      <c r="BJG24" s="57"/>
      <c r="BJH24" s="57"/>
      <c r="BJI24" s="57"/>
      <c r="BJJ24" s="57"/>
      <c r="BJK24" s="56"/>
      <c r="BJL24" s="57"/>
      <c r="BJM24" s="57"/>
      <c r="BJN24" s="56"/>
      <c r="BJO24" s="57"/>
      <c r="BJP24" s="58"/>
      <c r="BJQ24" s="56"/>
      <c r="BJR24" s="57"/>
      <c r="BJS24" s="57"/>
      <c r="BJT24" s="57"/>
      <c r="BJU24" s="56"/>
      <c r="BJV24" s="57"/>
      <c r="BJW24" s="57"/>
      <c r="BJX24" s="56"/>
      <c r="BJY24" s="57"/>
      <c r="BJZ24" s="58"/>
      <c r="BKA24" s="56"/>
      <c r="BKB24" s="57"/>
      <c r="BKC24" s="57"/>
      <c r="BKD24" s="57"/>
      <c r="BKE24" s="56"/>
      <c r="BKF24" s="57"/>
      <c r="BKG24" s="57"/>
      <c r="BKH24" s="57"/>
      <c r="BKI24" s="57"/>
      <c r="BKJ24" s="57"/>
      <c r="BKK24" s="56"/>
      <c r="BKL24" s="57"/>
      <c r="BKM24" s="57"/>
      <c r="BKN24" s="56"/>
      <c r="BKO24" s="57"/>
      <c r="BKP24" s="58"/>
      <c r="BKQ24" s="56"/>
      <c r="BKR24" s="57"/>
      <c r="BKS24" s="57"/>
      <c r="BKT24" s="57"/>
      <c r="BKU24" s="56"/>
      <c r="BKV24" s="57"/>
      <c r="BKW24" s="57"/>
      <c r="BKX24" s="56"/>
      <c r="BKY24" s="57"/>
      <c r="BKZ24" s="58"/>
      <c r="BLA24" s="56"/>
      <c r="BLB24" s="57"/>
      <c r="BLC24" s="57"/>
      <c r="BLD24" s="57"/>
      <c r="BLE24" s="56"/>
      <c r="BLF24" s="57"/>
      <c r="BLG24" s="57"/>
      <c r="BLH24" s="57"/>
      <c r="BLI24" s="57"/>
      <c r="BLJ24" s="57"/>
      <c r="BLK24" s="56"/>
      <c r="BLL24" s="57"/>
      <c r="BLM24" s="57"/>
      <c r="BLN24" s="56"/>
      <c r="BLO24" s="57"/>
      <c r="BLP24" s="58"/>
      <c r="BLQ24" s="56"/>
      <c r="BLR24" s="57"/>
      <c r="BLS24" s="57"/>
      <c r="BLT24" s="57"/>
      <c r="BLU24" s="56"/>
      <c r="BLV24" s="57"/>
      <c r="BLW24" s="57"/>
      <c r="BLX24" s="56"/>
      <c r="BLY24" s="57"/>
      <c r="BLZ24" s="58"/>
      <c r="BMA24" s="56"/>
      <c r="BMB24" s="57"/>
      <c r="BMC24" s="57"/>
      <c r="BMD24" s="57"/>
      <c r="BME24" s="56"/>
      <c r="BMF24" s="57"/>
      <c r="BMG24" s="57"/>
      <c r="BMH24" s="57"/>
      <c r="BMI24" s="57"/>
      <c r="BMJ24" s="57"/>
      <c r="BMK24" s="56"/>
      <c r="BML24" s="57"/>
      <c r="BMM24" s="57"/>
      <c r="BMN24" s="56"/>
      <c r="BMO24" s="57"/>
      <c r="BMP24" s="58"/>
      <c r="BMQ24" s="56"/>
      <c r="BMR24" s="57"/>
      <c r="BMS24" s="57"/>
      <c r="BMT24" s="57"/>
      <c r="BMU24" s="56"/>
      <c r="BMV24" s="57"/>
      <c r="BMW24" s="57"/>
      <c r="BMX24" s="56"/>
      <c r="BMY24" s="57"/>
      <c r="BMZ24" s="58"/>
      <c r="BNA24" s="56"/>
      <c r="BNB24" s="57"/>
      <c r="BNC24" s="57"/>
      <c r="BND24" s="57"/>
      <c r="BNE24" s="56"/>
      <c r="BNF24" s="57"/>
      <c r="BNG24" s="57"/>
      <c r="BNH24" s="57"/>
      <c r="BNI24" s="57"/>
      <c r="BNJ24" s="57"/>
      <c r="BNK24" s="56"/>
      <c r="BNL24" s="57"/>
      <c r="BNM24" s="57"/>
      <c r="BNN24" s="56"/>
      <c r="BNO24" s="57"/>
      <c r="BNP24" s="58"/>
      <c r="BNQ24" s="56"/>
      <c r="BNR24" s="57"/>
      <c r="BNS24" s="57"/>
      <c r="BNT24" s="57"/>
      <c r="BNU24" s="56"/>
      <c r="BNV24" s="57"/>
      <c r="BNW24" s="57"/>
      <c r="BNX24" s="56"/>
      <c r="BNY24" s="57"/>
      <c r="BNZ24" s="58"/>
      <c r="BOA24" s="56"/>
      <c r="BOB24" s="57"/>
      <c r="BOC24" s="57"/>
      <c r="BOD24" s="57"/>
      <c r="BOE24" s="56"/>
      <c r="BOF24" s="57"/>
      <c r="BOG24" s="57"/>
      <c r="BOH24" s="57"/>
      <c r="BOI24" s="57"/>
      <c r="BOJ24" s="57"/>
      <c r="BOK24" s="56"/>
      <c r="BOL24" s="57"/>
      <c r="BOM24" s="57"/>
      <c r="BON24" s="56"/>
      <c r="BOO24" s="57"/>
      <c r="BOP24" s="58"/>
      <c r="BOQ24" s="56"/>
      <c r="BOR24" s="57"/>
      <c r="BOS24" s="57"/>
      <c r="BOT24" s="57"/>
      <c r="BOU24" s="56"/>
      <c r="BOV24" s="57"/>
      <c r="BOW24" s="57"/>
      <c r="BOX24" s="56"/>
      <c r="BOY24" s="57"/>
      <c r="BOZ24" s="58"/>
      <c r="BPA24" s="56"/>
      <c r="BPB24" s="57"/>
      <c r="BPC24" s="57"/>
      <c r="BPD24" s="57"/>
      <c r="BPE24" s="56"/>
      <c r="BPF24" s="57"/>
      <c r="BPG24" s="57"/>
      <c r="BPH24" s="57"/>
      <c r="BPI24" s="57"/>
      <c r="BPJ24" s="57"/>
      <c r="BPK24" s="56"/>
      <c r="BPL24" s="57"/>
      <c r="BPM24" s="57"/>
      <c r="BPN24" s="56"/>
      <c r="BPO24" s="57"/>
      <c r="BPP24" s="58"/>
      <c r="BPQ24" s="56"/>
      <c r="BPR24" s="57"/>
      <c r="BPS24" s="57"/>
      <c r="BPT24" s="57"/>
      <c r="BPU24" s="56"/>
      <c r="BPV24" s="57"/>
      <c r="BPW24" s="57"/>
      <c r="BPX24" s="56"/>
      <c r="BPY24" s="57"/>
      <c r="BPZ24" s="58"/>
      <c r="BQA24" s="56"/>
      <c r="BQB24" s="57"/>
      <c r="BQC24" s="57"/>
      <c r="BQD24" s="57"/>
      <c r="BQE24" s="56"/>
      <c r="BQF24" s="57"/>
      <c r="BQG24" s="57"/>
      <c r="BQH24" s="57"/>
      <c r="BQI24" s="57"/>
      <c r="BQJ24" s="57"/>
      <c r="BQK24" s="56"/>
      <c r="BQL24" s="57"/>
      <c r="BQM24" s="57"/>
      <c r="BQN24" s="56"/>
      <c r="BQO24" s="57"/>
      <c r="BQP24" s="58"/>
      <c r="BQQ24" s="56"/>
      <c r="BQR24" s="57"/>
      <c r="BQS24" s="57"/>
      <c r="BQT24" s="57"/>
      <c r="BQU24" s="56"/>
      <c r="BQV24" s="57"/>
      <c r="BQW24" s="57"/>
      <c r="BQX24" s="56"/>
      <c r="BQY24" s="57"/>
      <c r="BQZ24" s="58"/>
      <c r="BRA24" s="56"/>
      <c r="BRB24" s="57"/>
      <c r="BRC24" s="57"/>
      <c r="BRD24" s="57"/>
      <c r="BRE24" s="56"/>
      <c r="BRF24" s="57"/>
      <c r="BRG24" s="57"/>
      <c r="BRH24" s="57"/>
      <c r="BRI24" s="57"/>
      <c r="BRJ24" s="57"/>
      <c r="BRK24" s="56"/>
      <c r="BRL24" s="57"/>
      <c r="BRM24" s="57"/>
      <c r="BRN24" s="56"/>
      <c r="BRO24" s="57"/>
      <c r="BRP24" s="58"/>
      <c r="BRQ24" s="56"/>
      <c r="BRR24" s="57"/>
      <c r="BRS24" s="57"/>
      <c r="BRT24" s="57"/>
      <c r="BRU24" s="56"/>
      <c r="BRV24" s="57"/>
      <c r="BRW24" s="57"/>
      <c r="BRX24" s="56"/>
      <c r="BRY24" s="57"/>
      <c r="BRZ24" s="58"/>
      <c r="BSA24" s="56"/>
      <c r="BSB24" s="57"/>
      <c r="BSC24" s="57"/>
      <c r="BSD24" s="57"/>
      <c r="BSE24" s="56"/>
      <c r="BSF24" s="57"/>
      <c r="BSG24" s="57"/>
      <c r="BSH24" s="57"/>
      <c r="BSI24" s="57"/>
      <c r="BSJ24" s="57"/>
      <c r="BSK24" s="56"/>
      <c r="BSL24" s="57"/>
      <c r="BSM24" s="57"/>
      <c r="BSN24" s="56"/>
      <c r="BSO24" s="57"/>
      <c r="BSP24" s="58"/>
      <c r="BSQ24" s="56"/>
      <c r="BSR24" s="57"/>
      <c r="BSS24" s="57"/>
      <c r="BST24" s="57"/>
      <c r="BSU24" s="56"/>
      <c r="BSV24" s="57"/>
      <c r="BSW24" s="57"/>
      <c r="BSX24" s="56"/>
      <c r="BSY24" s="57"/>
      <c r="BSZ24" s="58"/>
      <c r="BTA24" s="56"/>
      <c r="BTB24" s="57"/>
      <c r="BTC24" s="57"/>
      <c r="BTD24" s="57"/>
      <c r="BTE24" s="56"/>
      <c r="BTF24" s="57"/>
      <c r="BTG24" s="57"/>
      <c r="BTH24" s="57"/>
      <c r="BTI24" s="57"/>
      <c r="BTJ24" s="57"/>
      <c r="BTK24" s="56"/>
      <c r="BTL24" s="57"/>
      <c r="BTM24" s="57"/>
      <c r="BTN24" s="56"/>
      <c r="BTO24" s="57"/>
      <c r="BTP24" s="58"/>
      <c r="BTQ24" s="56"/>
      <c r="BTR24" s="57"/>
      <c r="BTS24" s="57"/>
      <c r="BTT24" s="57"/>
      <c r="BTU24" s="56"/>
      <c r="BTV24" s="57"/>
      <c r="BTW24" s="57"/>
      <c r="BTX24" s="56"/>
      <c r="BTY24" s="57"/>
      <c r="BTZ24" s="58"/>
      <c r="BUA24" s="56"/>
      <c r="BUB24" s="57"/>
      <c r="BUC24" s="57"/>
      <c r="BUD24" s="57"/>
      <c r="BUE24" s="56"/>
      <c r="BUF24" s="57"/>
      <c r="BUG24" s="57"/>
      <c r="BUH24" s="57"/>
      <c r="BUI24" s="57"/>
      <c r="BUJ24" s="57"/>
      <c r="BUK24" s="56"/>
      <c r="BUL24" s="57"/>
      <c r="BUM24" s="57"/>
      <c r="BUN24" s="56"/>
      <c r="BUO24" s="57"/>
      <c r="BUP24" s="58"/>
      <c r="BUQ24" s="56"/>
      <c r="BUR24" s="57"/>
      <c r="BUS24" s="57"/>
      <c r="BUT24" s="57"/>
      <c r="BUU24" s="56"/>
      <c r="BUV24" s="57"/>
      <c r="BUW24" s="57"/>
      <c r="BUX24" s="56"/>
      <c r="BUY24" s="57"/>
      <c r="BUZ24" s="58"/>
      <c r="BVA24" s="56"/>
      <c r="BVB24" s="57"/>
      <c r="BVC24" s="57"/>
      <c r="BVD24" s="57"/>
      <c r="BVE24" s="56"/>
      <c r="BVF24" s="57"/>
      <c r="BVG24" s="57"/>
      <c r="BVH24" s="57"/>
      <c r="BVI24" s="57"/>
      <c r="BVJ24" s="57"/>
      <c r="BVK24" s="56"/>
      <c r="BVL24" s="57"/>
      <c r="BVM24" s="57"/>
      <c r="BVN24" s="56"/>
      <c r="BVO24" s="57"/>
      <c r="BVP24" s="58"/>
      <c r="BVQ24" s="56"/>
      <c r="BVR24" s="57"/>
      <c r="BVS24" s="57"/>
      <c r="BVT24" s="57"/>
      <c r="BVU24" s="56"/>
      <c r="BVV24" s="57"/>
      <c r="BVW24" s="57"/>
      <c r="BVX24" s="56"/>
      <c r="BVY24" s="57"/>
      <c r="BVZ24" s="58"/>
      <c r="BWA24" s="56"/>
      <c r="BWB24" s="57"/>
      <c r="BWC24" s="57"/>
      <c r="BWD24" s="57"/>
      <c r="BWE24" s="56"/>
      <c r="BWF24" s="57"/>
      <c r="BWG24" s="57"/>
      <c r="BWH24" s="57"/>
      <c r="BWI24" s="57"/>
      <c r="BWJ24" s="57"/>
      <c r="BWK24" s="56"/>
      <c r="BWL24" s="57"/>
      <c r="BWM24" s="57"/>
      <c r="BWN24" s="56"/>
      <c r="BWO24" s="57"/>
      <c r="BWP24" s="58"/>
      <c r="BWQ24" s="56"/>
      <c r="BWR24" s="57"/>
      <c r="BWS24" s="57"/>
      <c r="BWT24" s="57"/>
      <c r="BWU24" s="56"/>
      <c r="BWV24" s="57"/>
      <c r="BWW24" s="57"/>
      <c r="BWX24" s="56"/>
      <c r="BWY24" s="57"/>
      <c r="BWZ24" s="58"/>
      <c r="BXA24" s="56"/>
      <c r="BXB24" s="57"/>
      <c r="BXC24" s="57"/>
      <c r="BXD24" s="57"/>
      <c r="BXE24" s="56"/>
      <c r="BXF24" s="57"/>
      <c r="BXG24" s="57"/>
      <c r="BXH24" s="57"/>
      <c r="BXI24" s="57"/>
      <c r="BXJ24" s="57"/>
      <c r="BXK24" s="56"/>
      <c r="BXL24" s="57"/>
      <c r="BXM24" s="57"/>
      <c r="BXN24" s="56"/>
      <c r="BXO24" s="57"/>
      <c r="BXP24" s="58"/>
      <c r="BXQ24" s="56"/>
      <c r="BXR24" s="57"/>
      <c r="BXS24" s="57"/>
      <c r="BXT24" s="57"/>
      <c r="BXU24" s="56"/>
      <c r="BXV24" s="57"/>
      <c r="BXW24" s="57"/>
      <c r="BXX24" s="56"/>
      <c r="BXY24" s="57"/>
      <c r="BXZ24" s="58"/>
      <c r="BYA24" s="56"/>
      <c r="BYB24" s="57"/>
      <c r="BYC24" s="57"/>
      <c r="BYD24" s="57"/>
      <c r="BYE24" s="56"/>
      <c r="BYF24" s="57"/>
      <c r="BYG24" s="57"/>
      <c r="BYH24" s="57"/>
      <c r="BYI24" s="57"/>
      <c r="BYJ24" s="57"/>
      <c r="BYK24" s="56"/>
      <c r="BYL24" s="57"/>
      <c r="BYM24" s="57"/>
      <c r="BYN24" s="56"/>
      <c r="BYO24" s="57"/>
      <c r="BYP24" s="58"/>
      <c r="BYQ24" s="56"/>
      <c r="BYR24" s="57"/>
      <c r="BYS24" s="57"/>
      <c r="BYT24" s="57"/>
      <c r="BYU24" s="56"/>
      <c r="BYV24" s="57"/>
      <c r="BYW24" s="57"/>
      <c r="BYX24" s="58"/>
      <c r="BYY24" s="57"/>
      <c r="BYZ24" s="56"/>
      <c r="BZA24" s="57"/>
      <c r="BZB24" s="56"/>
      <c r="BZC24" s="56"/>
      <c r="BZD24" s="56"/>
      <c r="BZE24" s="57"/>
      <c r="BZF24" s="387"/>
      <c r="BZG24" s="57"/>
      <c r="BZH24" s="387"/>
      <c r="BZI24" s="57"/>
      <c r="BZJ24" s="387"/>
      <c r="BZK24" s="57"/>
      <c r="BZL24" s="57"/>
      <c r="BZM24" s="57"/>
      <c r="BZN24" s="57"/>
      <c r="BZO24" s="57"/>
      <c r="BZP24" s="57"/>
      <c r="BZQ24" s="57"/>
      <c r="BZR24" s="57"/>
      <c r="BZS24" s="57"/>
      <c r="BZT24" s="57"/>
      <c r="BZU24" s="57"/>
      <c r="BZV24" s="57"/>
      <c r="BZW24" s="57"/>
      <c r="BZX24" s="57"/>
      <c r="BZY24" s="57"/>
      <c r="BZZ24" s="57"/>
      <c r="CAA24" s="57"/>
      <c r="CAB24" s="57"/>
      <c r="CAC24" s="57"/>
      <c r="CAD24" s="57"/>
      <c r="CAE24" s="57"/>
      <c r="CAF24" s="57"/>
      <c r="CAG24" s="57"/>
      <c r="CAH24" s="57"/>
      <c r="CAI24" s="57"/>
      <c r="CAJ24" s="57"/>
      <c r="CAK24" s="57"/>
      <c r="CAL24" s="57"/>
      <c r="CAM24" s="57"/>
      <c r="CAN24" s="57"/>
      <c r="CAO24" s="57"/>
      <c r="CAP24" s="58"/>
      <c r="CAQ24" s="56"/>
      <c r="CAR24" s="57"/>
      <c r="CAS24" s="57"/>
      <c r="CAT24" s="57"/>
      <c r="CAU24" s="57"/>
      <c r="CAV24" s="57"/>
      <c r="CAW24" s="56"/>
      <c r="CAX24" s="57"/>
      <c r="CAY24" s="57"/>
      <c r="CAZ24" s="56"/>
      <c r="CBA24" s="57"/>
      <c r="CBB24" s="58"/>
      <c r="CBC24" s="56"/>
      <c r="CBD24" s="57"/>
      <c r="CBE24" s="57"/>
      <c r="CBF24" s="57"/>
      <c r="CBG24" s="56"/>
      <c r="CBH24" s="57"/>
      <c r="CBI24" s="57"/>
      <c r="CBJ24" s="56"/>
      <c r="CBK24" s="57"/>
      <c r="CBL24" s="58"/>
      <c r="CBM24" s="56"/>
      <c r="CBN24" s="57"/>
      <c r="CBO24" s="57"/>
      <c r="CBP24" s="57"/>
      <c r="CBQ24" s="56"/>
      <c r="CBR24" s="57"/>
      <c r="CBS24" s="57"/>
      <c r="CBT24" s="56"/>
      <c r="CBU24" s="57"/>
      <c r="CBV24" s="58"/>
      <c r="CBW24" s="56"/>
      <c r="CBX24" s="57"/>
      <c r="CBY24" s="57"/>
      <c r="CBZ24" s="57"/>
      <c r="CCA24" s="56"/>
      <c r="CCB24" s="57"/>
      <c r="CCC24" s="57"/>
      <c r="CCD24" s="56"/>
      <c r="CCE24" s="57"/>
      <c r="CCF24" s="58"/>
      <c r="CCG24" s="56"/>
      <c r="CCH24" s="58"/>
      <c r="CCI24" s="57"/>
      <c r="CCJ24" s="56"/>
      <c r="CCK24" s="57"/>
      <c r="CCL24" s="56"/>
      <c r="CCM24" s="56"/>
      <c r="CCN24" s="56"/>
      <c r="CCO24" s="57"/>
      <c r="CCP24" s="387"/>
      <c r="CCQ24" s="57"/>
      <c r="CCR24" s="387"/>
      <c r="CCS24" s="57"/>
      <c r="CCT24" s="387"/>
      <c r="CCU24" s="57"/>
      <c r="CCV24" s="57"/>
      <c r="CCW24" s="57"/>
      <c r="CCX24" s="57"/>
      <c r="CCY24" s="57"/>
      <c r="CCZ24" s="57"/>
      <c r="CDA24" s="57"/>
      <c r="CDB24" s="57"/>
      <c r="CDC24" s="57"/>
      <c r="CDD24" s="57"/>
      <c r="CDE24" s="57"/>
      <c r="CDF24" s="57"/>
      <c r="CDG24" s="57"/>
      <c r="CDH24" s="57"/>
      <c r="CDI24" s="57"/>
      <c r="CDJ24" s="57"/>
      <c r="CDK24" s="57"/>
      <c r="CDL24" s="57"/>
      <c r="CDM24" s="57"/>
      <c r="CDN24" s="57"/>
      <c r="CDO24" s="57"/>
      <c r="CDP24" s="57"/>
      <c r="CDQ24" s="57"/>
      <c r="CDR24" s="57"/>
      <c r="CDS24" s="57"/>
      <c r="CDT24" s="57"/>
      <c r="CDU24" s="57"/>
      <c r="CDV24" s="57"/>
      <c r="CDW24" s="57"/>
      <c r="CDX24" s="57"/>
      <c r="CDY24" s="57"/>
      <c r="CDZ24" s="58"/>
      <c r="CEA24" s="56"/>
      <c r="CEB24" s="57"/>
      <c r="CEC24" s="57"/>
      <c r="CED24" s="57"/>
      <c r="CEE24" s="57"/>
      <c r="CEF24" s="57"/>
      <c r="CEG24" s="56"/>
      <c r="CEH24" s="57"/>
      <c r="CEI24" s="57"/>
      <c r="CEJ24" s="56"/>
      <c r="CEK24" s="57"/>
      <c r="CEL24" s="58"/>
      <c r="CEM24" s="56"/>
      <c r="CEN24" s="57"/>
      <c r="CEO24" s="57"/>
      <c r="CEP24" s="57"/>
      <c r="CEQ24" s="56"/>
      <c r="CER24" s="57"/>
      <c r="CES24" s="57"/>
      <c r="CET24" s="56"/>
      <c r="CEU24" s="57"/>
      <c r="CEV24" s="58"/>
      <c r="CEW24" s="56"/>
      <c r="CEX24" s="57"/>
      <c r="CEY24" s="57"/>
      <c r="CEZ24" s="57"/>
      <c r="CFA24" s="56"/>
      <c r="CFB24" s="57"/>
      <c r="CFC24" s="57"/>
      <c r="CFD24" s="56"/>
      <c r="CFE24" s="57"/>
      <c r="CFF24" s="58"/>
      <c r="CFG24" s="56"/>
      <c r="CFH24" s="57"/>
      <c r="CFI24" s="57"/>
      <c r="CFJ24" s="57"/>
      <c r="CFK24" s="56"/>
      <c r="CFL24" s="57"/>
      <c r="CFM24" s="57"/>
      <c r="CFN24" s="56"/>
      <c r="CFO24" s="57"/>
      <c r="CFP24" s="58"/>
      <c r="CFQ24" s="56"/>
      <c r="CFR24" s="58"/>
      <c r="CFS24" s="57"/>
      <c r="CFT24" s="56"/>
      <c r="CFU24" s="57"/>
      <c r="CFV24" s="56"/>
      <c r="CFW24" s="56"/>
      <c r="CFX24" s="56"/>
      <c r="CFY24" s="57"/>
      <c r="CFZ24" s="387"/>
      <c r="CGA24" s="57"/>
      <c r="CGB24" s="387"/>
      <c r="CGC24" s="57"/>
      <c r="CGD24" s="387"/>
      <c r="CGE24" s="57"/>
      <c r="CGF24" s="57"/>
      <c r="CGG24" s="57"/>
      <c r="CGH24" s="57"/>
      <c r="CGI24" s="57"/>
      <c r="CGJ24" s="57"/>
      <c r="CGK24" s="57"/>
      <c r="CGL24" s="57"/>
      <c r="CGM24" s="57"/>
      <c r="CGN24" s="57"/>
      <c r="CGO24" s="57"/>
      <c r="CGP24" s="57"/>
      <c r="CGQ24" s="57"/>
      <c r="CGR24" s="57"/>
      <c r="CGS24" s="57"/>
      <c r="CGT24" s="57"/>
      <c r="CGU24" s="57"/>
      <c r="CGV24" s="57"/>
      <c r="CGW24" s="57"/>
      <c r="CGX24" s="57"/>
      <c r="CGY24" s="57"/>
      <c r="CGZ24" s="57"/>
      <c r="CHA24" s="57"/>
      <c r="CHB24" s="57"/>
      <c r="CHC24" s="57"/>
      <c r="CHD24" s="57"/>
      <c r="CHE24" s="57"/>
      <c r="CHF24" s="57"/>
      <c r="CHG24" s="57"/>
      <c r="CHH24" s="57"/>
      <c r="CHI24" s="57"/>
      <c r="CHJ24" s="58"/>
      <c r="CHK24" s="56"/>
      <c r="CHL24" s="57"/>
      <c r="CHM24" s="57"/>
      <c r="CHN24" s="57"/>
      <c r="CHO24" s="57"/>
      <c r="CHP24" s="57"/>
      <c r="CHQ24" s="56"/>
      <c r="CHR24" s="57"/>
      <c r="CHS24" s="57"/>
      <c r="CHT24" s="56"/>
      <c r="CHU24" s="57"/>
      <c r="CHV24" s="58"/>
      <c r="CHW24" s="56"/>
      <c r="CHX24" s="57"/>
      <c r="CHY24" s="57"/>
      <c r="CHZ24" s="57"/>
      <c r="CIA24" s="56"/>
      <c r="CIB24" s="57"/>
      <c r="CIC24" s="57"/>
      <c r="CID24" s="56"/>
      <c r="CIE24" s="57"/>
      <c r="CIF24" s="58"/>
      <c r="CIG24" s="56"/>
      <c r="CIH24" s="57"/>
      <c r="CII24" s="57"/>
      <c r="CIJ24" s="57"/>
      <c r="CIK24" s="56"/>
      <c r="CIL24" s="57"/>
      <c r="CIM24" s="57"/>
      <c r="CIN24" s="56"/>
      <c r="CIO24" s="57"/>
      <c r="CIP24" s="58"/>
      <c r="CIQ24" s="56"/>
      <c r="CIR24" s="57"/>
      <c r="CIS24" s="57"/>
      <c r="CIT24" s="57"/>
      <c r="CIU24" s="56"/>
      <c r="CIV24" s="57"/>
      <c r="CIW24" s="57"/>
      <c r="CIX24" s="56"/>
      <c r="CIY24" s="57"/>
      <c r="CIZ24" s="58"/>
      <c r="CJA24" s="56"/>
      <c r="CJB24" s="58"/>
      <c r="CJC24" s="57"/>
      <c r="CJD24" s="56"/>
      <c r="CJE24" s="57"/>
      <c r="CJF24" s="56"/>
      <c r="CJG24" s="56"/>
      <c r="CJH24" s="56"/>
      <c r="CJI24" s="57"/>
      <c r="CJJ24" s="387"/>
      <c r="CJK24" s="57"/>
      <c r="CJL24" s="387"/>
      <c r="CJM24" s="57"/>
      <c r="CJN24" s="387"/>
      <c r="CJO24" s="57"/>
      <c r="CJP24" s="57"/>
      <c r="CJQ24" s="57"/>
      <c r="CJR24" s="57"/>
      <c r="CJS24" s="57"/>
      <c r="CJT24" s="57"/>
      <c r="CJU24" s="57"/>
      <c r="CJV24" s="57"/>
      <c r="CJW24" s="57"/>
      <c r="CJX24" s="57"/>
      <c r="CJY24" s="57"/>
      <c r="CJZ24" s="57"/>
      <c r="CKA24" s="57"/>
      <c r="CKB24" s="57"/>
      <c r="CKC24" s="57"/>
      <c r="CKD24" s="57"/>
      <c r="CKE24" s="57"/>
      <c r="CKF24" s="57"/>
      <c r="CKG24" s="57"/>
      <c r="CKH24" s="57"/>
      <c r="CKI24" s="57"/>
      <c r="CKJ24" s="57"/>
      <c r="CKK24" s="57"/>
      <c r="CKL24" s="57"/>
      <c r="CKM24" s="57"/>
      <c r="CKN24" s="57"/>
      <c r="CKO24" s="57"/>
      <c r="CKP24" s="57"/>
      <c r="CKQ24" s="57"/>
      <c r="CKR24" s="57"/>
      <c r="CKS24" s="57"/>
      <c r="CKT24" s="58"/>
      <c r="CKU24" s="56"/>
      <c r="CKV24" s="57"/>
      <c r="CKW24" s="57"/>
      <c r="CKX24" s="57"/>
      <c r="CKY24" s="57"/>
      <c r="CKZ24" s="57"/>
      <c r="CLA24" s="56"/>
      <c r="CLB24" s="57"/>
      <c r="CLC24" s="57"/>
      <c r="CLD24" s="56"/>
      <c r="CLE24" s="57"/>
      <c r="CLF24" s="58"/>
      <c r="CLG24" s="56"/>
      <c r="CLH24" s="57"/>
      <c r="CLI24" s="57"/>
      <c r="CLJ24" s="57"/>
      <c r="CLK24" s="56"/>
      <c r="CLL24" s="57"/>
      <c r="CLM24" s="57"/>
      <c r="CLN24" s="56"/>
      <c r="CLO24" s="57"/>
      <c r="CLP24" s="58"/>
      <c r="CLQ24" s="56"/>
      <c r="CLR24" s="57"/>
      <c r="CLS24" s="57"/>
      <c r="CLT24" s="57"/>
      <c r="CLU24" s="56"/>
      <c r="CLV24" s="57"/>
      <c r="CLW24" s="57"/>
      <c r="CLX24" s="56"/>
      <c r="CLY24" s="57"/>
      <c r="CLZ24" s="58"/>
      <c r="CMA24" s="56"/>
      <c r="CMB24" s="57"/>
      <c r="CMC24" s="57"/>
      <c r="CMD24" s="57"/>
      <c r="CME24" s="56"/>
      <c r="CMF24" s="57"/>
      <c r="CMG24" s="57"/>
      <c r="CMH24" s="56"/>
      <c r="CMI24" s="57"/>
      <c r="CMJ24" s="58"/>
      <c r="CMK24" s="56"/>
      <c r="CML24" s="58"/>
      <c r="CMM24" s="57"/>
      <c r="CMN24" s="56"/>
      <c r="CMO24" s="57"/>
      <c r="CMP24" s="56"/>
      <c r="CMQ24" s="56"/>
      <c r="CMR24" s="56"/>
      <c r="CMS24" s="57"/>
      <c r="CMT24" s="387"/>
      <c r="CMU24" s="57"/>
      <c r="CMV24" s="387"/>
      <c r="CMW24" s="57"/>
      <c r="CMX24" s="387"/>
      <c r="CMY24" s="57"/>
      <c r="CMZ24" s="57"/>
      <c r="CNA24" s="57"/>
      <c r="CNB24" s="57"/>
      <c r="CNC24" s="57"/>
      <c r="CND24" s="57"/>
      <c r="CNE24" s="57"/>
      <c r="CNF24" s="57"/>
      <c r="CNG24" s="57"/>
      <c r="CNH24" s="57"/>
      <c r="CNI24" s="57"/>
      <c r="CNJ24" s="57"/>
      <c r="CNK24" s="57"/>
      <c r="CNL24" s="57"/>
      <c r="CNM24" s="57"/>
      <c r="CNN24" s="57"/>
      <c r="CNO24" s="57"/>
      <c r="CNP24" s="57"/>
      <c r="CNQ24" s="57"/>
      <c r="CNR24" s="57"/>
      <c r="CNS24" s="57"/>
      <c r="CNT24" s="57"/>
      <c r="CNU24" s="57"/>
      <c r="CNV24" s="57"/>
      <c r="CNW24" s="57"/>
      <c r="CNX24" s="57"/>
      <c r="CNY24" s="57"/>
      <c r="CNZ24" s="57"/>
      <c r="COA24" s="57"/>
      <c r="COB24" s="57"/>
      <c r="COC24" s="57"/>
      <c r="COD24" s="58"/>
      <c r="COE24" s="56"/>
      <c r="COF24" s="57"/>
      <c r="COG24" s="57"/>
      <c r="COH24" s="57"/>
      <c r="COI24" s="57"/>
      <c r="COJ24" s="57"/>
      <c r="COK24" s="56"/>
      <c r="COL24" s="57"/>
      <c r="COM24" s="57"/>
      <c r="CON24" s="56"/>
      <c r="COO24" s="57"/>
      <c r="COP24" s="58"/>
      <c r="COQ24" s="56"/>
      <c r="COR24" s="57"/>
      <c r="COS24" s="57"/>
      <c r="COT24" s="57"/>
      <c r="COU24" s="56"/>
      <c r="COV24" s="57"/>
      <c r="COW24" s="57"/>
      <c r="COX24" s="56"/>
      <c r="COY24" s="57"/>
      <c r="COZ24" s="58"/>
      <c r="CPA24" s="56"/>
      <c r="CPB24" s="57"/>
      <c r="CPC24" s="57"/>
      <c r="CPD24" s="57"/>
      <c r="CPE24" s="56"/>
      <c r="CPF24" s="57"/>
      <c r="CPG24" s="57"/>
      <c r="CPH24" s="56"/>
      <c r="CPI24" s="57"/>
      <c r="CPJ24" s="58"/>
      <c r="CPK24" s="56"/>
      <c r="CPL24" s="57"/>
      <c r="CPM24" s="57"/>
      <c r="CPN24" s="57"/>
      <c r="CPO24" s="56"/>
      <c r="CPP24" s="57"/>
      <c r="CPQ24" s="57"/>
      <c r="CPR24" s="56"/>
      <c r="CPS24" s="57"/>
      <c r="CPT24" s="58"/>
      <c r="CPU24" s="56"/>
      <c r="CPV24" s="58"/>
      <c r="CPW24" s="57"/>
      <c r="CPX24" s="56"/>
      <c r="CPY24" s="57"/>
      <c r="CPZ24" s="56"/>
      <c r="CQA24" s="56"/>
      <c r="CQB24" s="56"/>
      <c r="CQC24" s="57"/>
      <c r="CQD24" s="387"/>
      <c r="CQE24" s="57"/>
      <c r="CQF24" s="387"/>
      <c r="CQG24" s="57"/>
      <c r="CQH24" s="387"/>
      <c r="CQI24" s="57"/>
      <c r="CQJ24" s="57"/>
      <c r="CQK24" s="57"/>
      <c r="CQL24" s="57"/>
      <c r="CQM24" s="57"/>
      <c r="CQN24" s="57"/>
      <c r="CQO24" s="57"/>
      <c r="CQP24" s="57"/>
      <c r="CQQ24" s="57"/>
      <c r="CQR24" s="57"/>
      <c r="CQS24" s="57"/>
      <c r="CQT24" s="57"/>
      <c r="CQU24" s="57"/>
      <c r="CQV24" s="57"/>
      <c r="CQW24" s="57"/>
      <c r="CQX24" s="57"/>
      <c r="CQY24" s="57"/>
      <c r="CQZ24" s="57"/>
      <c r="CRA24" s="57"/>
      <c r="CRB24" s="57"/>
      <c r="CRC24" s="57"/>
      <c r="CRD24" s="57"/>
      <c r="CRE24" s="57"/>
      <c r="CRF24" s="57"/>
      <c r="CRG24" s="57"/>
      <c r="CRH24" s="57"/>
      <c r="CRI24" s="57"/>
      <c r="CRJ24" s="57"/>
      <c r="CRK24" s="57"/>
      <c r="CRL24" s="57"/>
      <c r="CRM24" s="57"/>
      <c r="CRN24" s="58"/>
      <c r="CRO24" s="56"/>
      <c r="CRP24" s="57"/>
      <c r="CRQ24" s="57"/>
      <c r="CRR24" s="57"/>
      <c r="CRS24" s="57"/>
      <c r="CRT24" s="57"/>
      <c r="CRU24" s="56"/>
      <c r="CRV24" s="57"/>
      <c r="CRW24" s="57"/>
      <c r="CRX24" s="56"/>
      <c r="CRY24" s="57"/>
      <c r="CRZ24" s="58"/>
      <c r="CSA24" s="56"/>
      <c r="CSB24" s="57"/>
      <c r="CSC24" s="57"/>
      <c r="CSD24" s="57"/>
      <c r="CSE24" s="56"/>
      <c r="CSF24" s="57"/>
      <c r="CSG24" s="57"/>
      <c r="CSH24" s="56"/>
      <c r="CSI24" s="57"/>
      <c r="CSJ24" s="58"/>
      <c r="CSK24" s="56"/>
      <c r="CSL24" s="57"/>
      <c r="CSM24" s="57"/>
      <c r="CSN24" s="57"/>
      <c r="CSO24" s="56"/>
      <c r="CSP24" s="57"/>
      <c r="CSQ24" s="57"/>
      <c r="CSR24" s="56"/>
      <c r="CSS24" s="57"/>
      <c r="CST24" s="58"/>
      <c r="CSU24" s="56"/>
      <c r="CSV24" s="57"/>
      <c r="CSW24" s="57"/>
      <c r="CSX24" s="57"/>
      <c r="CSY24" s="56"/>
      <c r="CSZ24" s="57"/>
      <c r="CTA24" s="57"/>
      <c r="CTB24" s="56"/>
      <c r="CTC24" s="57"/>
      <c r="CTD24" s="58"/>
      <c r="CTE24" s="56"/>
      <c r="CTF24" s="58"/>
      <c r="CTG24" s="57"/>
      <c r="CTH24" s="56"/>
      <c r="CTI24" s="57"/>
      <c r="CTJ24" s="56"/>
      <c r="CTK24" s="56"/>
      <c r="CTL24" s="56"/>
      <c r="CTM24" s="57"/>
      <c r="CTN24" s="387"/>
      <c r="CTO24" s="57"/>
      <c r="CTP24" s="387"/>
      <c r="CTQ24" s="57"/>
      <c r="CTR24" s="387"/>
      <c r="CTS24" s="57"/>
      <c r="CTT24" s="57"/>
      <c r="CTU24" s="57"/>
      <c r="CTV24" s="57"/>
      <c r="CTW24" s="57"/>
      <c r="CTX24" s="57"/>
      <c r="CTY24" s="57"/>
      <c r="CTZ24" s="57"/>
      <c r="CUA24" s="57"/>
      <c r="CUB24" s="57"/>
      <c r="CUC24" s="57"/>
      <c r="CUD24" s="57"/>
      <c r="CUE24" s="57"/>
      <c r="CUF24" s="57"/>
      <c r="CUG24" s="57"/>
      <c r="CUH24" s="57"/>
      <c r="CUI24" s="57"/>
      <c r="CUJ24" s="57"/>
      <c r="CUK24" s="57"/>
      <c r="CUL24" s="57"/>
      <c r="CUM24" s="57"/>
      <c r="CUN24" s="57"/>
      <c r="CUO24" s="57"/>
      <c r="CUP24" s="57"/>
      <c r="CUQ24" s="57"/>
      <c r="CUR24" s="57"/>
      <c r="CUS24" s="57"/>
      <c r="CUT24" s="57"/>
      <c r="CUU24" s="57"/>
      <c r="CUV24" s="57"/>
      <c r="CUW24" s="57"/>
      <c r="CUX24" s="58"/>
      <c r="CUY24" s="56"/>
      <c r="CUZ24" s="57"/>
      <c r="CVA24" s="57"/>
      <c r="CVB24" s="57"/>
      <c r="CVC24" s="57"/>
      <c r="CVD24" s="57"/>
      <c r="CVE24" s="56"/>
      <c r="CVF24" s="57"/>
      <c r="CVG24" s="57"/>
      <c r="CVH24" s="56"/>
      <c r="CVI24" s="57"/>
      <c r="CVJ24" s="58"/>
      <c r="CVK24" s="56"/>
      <c r="CVL24" s="57"/>
      <c r="CVM24" s="57"/>
      <c r="CVN24" s="57"/>
      <c r="CVO24" s="56"/>
      <c r="CVP24" s="57"/>
      <c r="CVQ24" s="57"/>
      <c r="CVR24" s="56"/>
      <c r="CVS24" s="57"/>
      <c r="CVT24" s="58"/>
      <c r="CVU24" s="56"/>
      <c r="CVV24" s="57"/>
      <c r="CVW24" s="57"/>
      <c r="CVX24" s="57"/>
      <c r="CVY24" s="56"/>
      <c r="CVZ24" s="57"/>
      <c r="CWA24" s="57"/>
      <c r="CWB24" s="56"/>
      <c r="CWC24" s="57"/>
      <c r="CWD24" s="58"/>
      <c r="CWE24" s="56"/>
      <c r="CWF24" s="57"/>
      <c r="CWG24" s="57"/>
      <c r="CWH24" s="57"/>
      <c r="CWI24" s="56"/>
      <c r="CWJ24" s="57"/>
      <c r="CWK24" s="57"/>
      <c r="CWL24" s="56"/>
      <c r="CWM24" s="57"/>
      <c r="CWN24" s="58"/>
      <c r="CWO24" s="56"/>
      <c r="CWP24" s="58"/>
      <c r="CWQ24" s="57"/>
      <c r="CWR24" s="56"/>
      <c r="CWS24" s="57"/>
      <c r="CWT24" s="56"/>
      <c r="CWU24" s="56"/>
      <c r="CWV24" s="56"/>
      <c r="CWW24" s="57"/>
      <c r="CWX24" s="387"/>
      <c r="CWY24" s="57"/>
      <c r="CWZ24" s="387"/>
      <c r="CXA24" s="57"/>
      <c r="CXB24" s="387"/>
      <c r="CXC24" s="57"/>
      <c r="CXD24" s="57"/>
      <c r="CXE24" s="57"/>
      <c r="CXF24" s="57"/>
      <c r="CXG24" s="57"/>
      <c r="CXH24" s="57"/>
      <c r="CXI24" s="57"/>
      <c r="CXJ24" s="57"/>
      <c r="CXK24" s="57"/>
      <c r="CXL24" s="57"/>
      <c r="CXM24" s="57"/>
      <c r="CXN24" s="57"/>
      <c r="CXO24" s="57"/>
      <c r="CXP24" s="57"/>
      <c r="CXQ24" s="57"/>
      <c r="CXR24" s="57"/>
      <c r="CXS24" s="57"/>
      <c r="CXT24" s="57"/>
      <c r="CXU24" s="57"/>
      <c r="CXV24" s="57"/>
      <c r="CXW24" s="57"/>
      <c r="CXX24" s="57"/>
      <c r="CXY24" s="57"/>
      <c r="CXZ24" s="57"/>
      <c r="CYA24" s="57"/>
      <c r="CYB24" s="57"/>
      <c r="CYC24" s="57"/>
      <c r="CYD24" s="57"/>
      <c r="CYE24" s="57"/>
      <c r="CYF24" s="57"/>
      <c r="CYG24" s="57"/>
      <c r="CYH24" s="58"/>
      <c r="CYI24" s="56"/>
      <c r="CYJ24" s="57"/>
      <c r="CYK24" s="57"/>
      <c r="CYL24" s="57"/>
      <c r="CYM24" s="57"/>
      <c r="CYN24" s="57"/>
      <c r="CYO24" s="56"/>
      <c r="CYP24" s="57"/>
      <c r="CYQ24" s="57"/>
      <c r="CYR24" s="56"/>
      <c r="CYS24" s="57"/>
      <c r="CYT24" s="58"/>
      <c r="CYU24" s="56"/>
      <c r="CYV24" s="57"/>
      <c r="CYW24" s="57"/>
      <c r="CYX24" s="57"/>
      <c r="CYY24" s="56"/>
      <c r="CYZ24" s="57"/>
      <c r="CZA24" s="57"/>
      <c r="CZB24" s="56"/>
      <c r="CZC24" s="57"/>
      <c r="CZD24" s="58"/>
      <c r="CZE24" s="56"/>
      <c r="CZF24" s="57"/>
      <c r="CZG24" s="57"/>
      <c r="CZH24" s="57"/>
      <c r="CZI24" s="56"/>
      <c r="CZJ24" s="57"/>
      <c r="CZK24" s="57"/>
      <c r="CZL24" s="56"/>
      <c r="CZM24" s="57"/>
      <c r="CZN24" s="58"/>
      <c r="CZO24" s="56"/>
      <c r="CZP24" s="57"/>
      <c r="CZQ24" s="57"/>
      <c r="CZR24" s="57"/>
      <c r="CZS24" s="56"/>
      <c r="CZT24" s="57"/>
      <c r="CZU24" s="57"/>
      <c r="CZV24" s="56"/>
      <c r="CZW24" s="57"/>
      <c r="CZX24" s="58"/>
      <c r="CZY24" s="56"/>
      <c r="CZZ24" s="58"/>
      <c r="DAA24" s="57"/>
      <c r="DAB24" s="56"/>
      <c r="DAC24" s="57"/>
      <c r="DAD24" s="56"/>
      <c r="DAE24" s="56"/>
      <c r="DAF24" s="56"/>
      <c r="DAG24" s="57"/>
      <c r="DAH24" s="387"/>
      <c r="DAI24" s="57"/>
      <c r="DAJ24" s="387"/>
      <c r="DAK24" s="57"/>
      <c r="DAL24" s="387"/>
      <c r="DAM24" s="57"/>
      <c r="DAN24" s="57"/>
      <c r="DAO24" s="57"/>
      <c r="DAP24" s="57"/>
      <c r="DAQ24" s="57"/>
      <c r="DAR24" s="57"/>
      <c r="DAS24" s="57"/>
      <c r="DAT24" s="57"/>
      <c r="DAU24" s="57"/>
      <c r="DAV24" s="57"/>
      <c r="DAW24" s="57"/>
      <c r="DAX24" s="57"/>
      <c r="DAY24" s="57"/>
      <c r="DAZ24" s="57"/>
      <c r="DBA24" s="57"/>
      <c r="DBB24" s="57"/>
      <c r="DBC24" s="57"/>
      <c r="DBD24" s="57"/>
      <c r="DBE24" s="57"/>
      <c r="DBF24" s="57"/>
      <c r="DBG24" s="57"/>
      <c r="DBH24" s="57"/>
      <c r="DBI24" s="57"/>
      <c r="DBJ24" s="57"/>
      <c r="DBK24" s="57"/>
      <c r="DBL24" s="57"/>
      <c r="DBM24" s="57"/>
      <c r="DBN24" s="57"/>
      <c r="DBO24" s="57"/>
      <c r="DBP24" s="57"/>
      <c r="DBQ24" s="57"/>
      <c r="DBR24" s="58"/>
      <c r="DBS24" s="56"/>
      <c r="DBT24" s="57"/>
      <c r="DBU24" s="57"/>
      <c r="DBV24" s="57"/>
      <c r="DBW24" s="57"/>
      <c r="DBX24" s="57"/>
      <c r="DBY24" s="56"/>
      <c r="DBZ24" s="57"/>
      <c r="DCA24" s="57"/>
      <c r="DCB24" s="56"/>
      <c r="DCC24" s="57"/>
      <c r="DCD24" s="58"/>
      <c r="DCE24" s="56"/>
      <c r="DCF24" s="57"/>
      <c r="DCG24" s="57"/>
      <c r="DCH24" s="57"/>
      <c r="DCI24" s="56"/>
      <c r="DCJ24" s="57"/>
      <c r="DCK24" s="57"/>
      <c r="DCL24" s="56"/>
      <c r="DCM24" s="57"/>
      <c r="DCN24" s="58"/>
      <c r="DCO24" s="56"/>
      <c r="DCP24" s="57"/>
      <c r="DCQ24" s="57"/>
      <c r="DCR24" s="57"/>
      <c r="DCS24" s="56"/>
      <c r="DCT24" s="57"/>
      <c r="DCU24" s="57"/>
      <c r="DCV24" s="56"/>
      <c r="DCW24" s="57"/>
      <c r="DCX24" s="58"/>
      <c r="DCY24" s="56"/>
      <c r="DCZ24" s="57"/>
      <c r="DDA24" s="57"/>
      <c r="DDB24" s="57"/>
      <c r="DDC24" s="56"/>
      <c r="DDD24" s="57"/>
      <c r="DDE24" s="57"/>
      <c r="DDF24" s="56"/>
      <c r="DDG24" s="57"/>
      <c r="DDH24" s="58"/>
      <c r="DDI24" s="56"/>
      <c r="DDJ24" s="58"/>
      <c r="DDK24" s="57"/>
      <c r="DDL24" s="56"/>
      <c r="DDM24" s="57"/>
      <c r="DDN24" s="56"/>
      <c r="DDO24" s="56"/>
      <c r="DDP24" s="56"/>
      <c r="DDQ24" s="57"/>
      <c r="DDR24" s="387"/>
      <c r="DDS24" s="57"/>
      <c r="DDT24" s="387"/>
      <c r="DDU24" s="57"/>
      <c r="DDV24" s="387"/>
      <c r="DDW24" s="57"/>
      <c r="DDX24" s="57"/>
      <c r="DDY24" s="57"/>
      <c r="DDZ24" s="57"/>
      <c r="DEA24" s="57"/>
      <c r="DEB24" s="57"/>
      <c r="DEC24" s="57"/>
      <c r="DED24" s="57"/>
      <c r="DEE24" s="57"/>
      <c r="DEF24" s="57"/>
      <c r="DEG24" s="57"/>
      <c r="DEH24" s="57"/>
      <c r="DEI24" s="57"/>
      <c r="DEJ24" s="57"/>
      <c r="DEK24" s="57"/>
      <c r="DEL24" s="57"/>
      <c r="DEM24" s="57"/>
      <c r="DEN24" s="57"/>
      <c r="DEO24" s="57"/>
      <c r="DEP24" s="57"/>
      <c r="DEQ24" s="57"/>
      <c r="DER24" s="57"/>
      <c r="DES24" s="57"/>
      <c r="DET24" s="57"/>
      <c r="DEU24" s="57"/>
      <c r="DEV24" s="57"/>
      <c r="DEW24" s="57"/>
      <c r="DEX24" s="57"/>
      <c r="DEY24" s="57"/>
      <c r="DEZ24" s="57"/>
      <c r="DFA24" s="57"/>
      <c r="DFB24" s="58"/>
      <c r="DFC24" s="56"/>
      <c r="DFD24" s="57"/>
      <c r="DFE24" s="57"/>
      <c r="DFF24" s="57"/>
      <c r="DFG24" s="57"/>
      <c r="DFH24" s="57"/>
      <c r="DFI24" s="56"/>
      <c r="DFJ24" s="57"/>
      <c r="DFK24" s="57"/>
      <c r="DFL24" s="56"/>
      <c r="DFM24" s="57"/>
      <c r="DFN24" s="58"/>
      <c r="DFO24" s="56"/>
      <c r="DFP24" s="57"/>
      <c r="DFQ24" s="57"/>
      <c r="DFR24" s="57"/>
      <c r="DFS24" s="56"/>
      <c r="DFT24" s="57"/>
      <c r="DFU24" s="57"/>
      <c r="DFV24" s="56"/>
      <c r="DFW24" s="57"/>
      <c r="DFX24" s="58"/>
      <c r="DFY24" s="56"/>
      <c r="DFZ24" s="57"/>
      <c r="DGA24" s="57"/>
      <c r="DGB24" s="57"/>
      <c r="DGC24" s="56"/>
      <c r="DGD24" s="57"/>
      <c r="DGE24" s="57"/>
      <c r="DGF24" s="56"/>
      <c r="DGG24" s="57"/>
      <c r="DGH24" s="58"/>
      <c r="DGI24" s="56"/>
      <c r="DGJ24" s="57"/>
      <c r="DGK24" s="57"/>
      <c r="DGL24" s="57"/>
      <c r="DGM24" s="56"/>
      <c r="DGN24" s="57"/>
      <c r="DGO24" s="57"/>
      <c r="DGP24" s="56"/>
      <c r="DGQ24" s="57"/>
      <c r="DGR24" s="58"/>
      <c r="DGS24" s="56"/>
      <c r="DGT24" s="58"/>
      <c r="DGU24" s="57"/>
      <c r="DGV24" s="56"/>
      <c r="DGW24" s="57"/>
      <c r="DGX24" s="56"/>
      <c r="DGY24" s="56"/>
      <c r="DGZ24" s="56"/>
      <c r="DHA24" s="57"/>
      <c r="DHB24" s="387"/>
      <c r="DHC24" s="57"/>
      <c r="DHD24" s="387"/>
      <c r="DHE24" s="57"/>
      <c r="DHF24" s="387"/>
      <c r="DHG24" s="57"/>
      <c r="DHH24" s="57"/>
      <c r="DHI24" s="57"/>
      <c r="DHJ24" s="57"/>
      <c r="DHK24" s="57"/>
      <c r="DHL24" s="57"/>
      <c r="DHM24" s="57"/>
      <c r="DHN24" s="57"/>
      <c r="DHO24" s="57"/>
      <c r="DHP24" s="57"/>
      <c r="DHQ24" s="57"/>
      <c r="DHR24" s="57"/>
      <c r="DHS24" s="57"/>
      <c r="DHT24" s="57"/>
      <c r="DHU24" s="57"/>
      <c r="DHV24" s="57"/>
      <c r="DHW24" s="57"/>
      <c r="DHX24" s="57"/>
      <c r="DHY24" s="57"/>
      <c r="DHZ24" s="57"/>
      <c r="DIA24" s="57"/>
      <c r="DIB24" s="57"/>
      <c r="DIC24" s="57"/>
      <c r="DID24" s="57"/>
      <c r="DIE24" s="57"/>
      <c r="DIF24" s="57"/>
      <c r="DIG24" s="57"/>
      <c r="DIH24" s="57"/>
      <c r="DII24" s="57"/>
      <c r="DIJ24" s="57"/>
      <c r="DIK24" s="57"/>
      <c r="DIL24" s="58"/>
      <c r="DIM24" s="56"/>
      <c r="DIN24" s="57"/>
      <c r="DIO24" s="57"/>
      <c r="DIP24" s="57"/>
      <c r="DIQ24" s="57"/>
      <c r="DIR24" s="57"/>
      <c r="DIS24" s="56"/>
      <c r="DIT24" s="57"/>
      <c r="DIU24" s="57"/>
      <c r="DIV24" s="56"/>
      <c r="DIW24" s="57"/>
      <c r="DIX24" s="58"/>
      <c r="DIY24" s="56"/>
      <c r="DIZ24" s="57"/>
      <c r="DJA24" s="57"/>
      <c r="DJB24" s="57"/>
      <c r="DJC24" s="56"/>
      <c r="DJD24" s="57"/>
      <c r="DJE24" s="57"/>
      <c r="DJF24" s="56"/>
      <c r="DJG24" s="57"/>
      <c r="DJH24" s="58"/>
      <c r="DJI24" s="56"/>
      <c r="DJJ24" s="57"/>
      <c r="DJK24" s="57"/>
      <c r="DJL24" s="57"/>
      <c r="DJM24" s="56"/>
      <c r="DJN24" s="57"/>
      <c r="DJO24" s="57"/>
      <c r="DJP24" s="56"/>
      <c r="DJQ24" s="57"/>
      <c r="DJR24" s="58"/>
      <c r="DJS24" s="56"/>
      <c r="DJT24" s="57"/>
      <c r="DJU24" s="57"/>
      <c r="DJV24" s="57"/>
      <c r="DJW24" s="56"/>
      <c r="DJX24" s="57"/>
      <c r="DJY24" s="57"/>
      <c r="DJZ24" s="56"/>
      <c r="DKA24" s="57"/>
      <c r="DKB24" s="58"/>
      <c r="DKC24" s="56"/>
      <c r="DKD24" s="58"/>
      <c r="DKE24" s="57"/>
      <c r="DKF24" s="56"/>
      <c r="DKG24" s="57"/>
      <c r="DKH24" s="56"/>
      <c r="DKI24" s="56"/>
      <c r="DKJ24" s="56"/>
      <c r="DKK24" s="57"/>
      <c r="DKL24" s="387"/>
      <c r="DKM24" s="57"/>
      <c r="DKN24" s="387"/>
      <c r="DKO24" s="57"/>
      <c r="DKP24" s="387"/>
      <c r="DKQ24" s="57"/>
      <c r="DKR24" s="57"/>
      <c r="DKS24" s="57"/>
      <c r="DKT24" s="57"/>
      <c r="DKU24" s="57"/>
      <c r="DKV24" s="57"/>
      <c r="DKW24" s="57"/>
      <c r="DKX24" s="57"/>
      <c r="DKY24" s="57"/>
      <c r="DKZ24" s="57"/>
      <c r="DLA24" s="57"/>
      <c r="DLB24" s="57"/>
      <c r="DLC24" s="57"/>
      <c r="DLD24" s="57"/>
      <c r="DLE24" s="57"/>
      <c r="DLF24" s="57"/>
      <c r="DLG24" s="57"/>
      <c r="DLH24" s="57"/>
      <c r="DLI24" s="57"/>
      <c r="DLJ24" s="57"/>
      <c r="DLK24" s="57"/>
      <c r="DLL24" s="57"/>
      <c r="DLM24" s="57"/>
      <c r="DLN24" s="57"/>
      <c r="DLO24" s="57"/>
      <c r="DLP24" s="57"/>
      <c r="DLQ24" s="57"/>
      <c r="DLR24" s="57"/>
      <c r="DLS24" s="57"/>
      <c r="DLT24" s="57"/>
      <c r="DLU24" s="57"/>
      <c r="DLV24" s="58"/>
      <c r="DLW24" s="56"/>
      <c r="DLX24" s="57"/>
      <c r="DLY24" s="57"/>
      <c r="DLZ24" s="57"/>
      <c r="DMA24" s="57"/>
      <c r="DMB24" s="57"/>
      <c r="DMC24" s="56"/>
      <c r="DMD24" s="57"/>
      <c r="DME24" s="57"/>
      <c r="DMF24" s="56"/>
      <c r="DMG24" s="57"/>
      <c r="DMH24" s="58"/>
      <c r="DMI24" s="56"/>
      <c r="DMJ24" s="57"/>
      <c r="DMK24" s="57"/>
      <c r="DML24" s="57"/>
      <c r="DMM24" s="56"/>
      <c r="DMN24" s="57"/>
      <c r="DMO24" s="57"/>
      <c r="DMP24" s="56"/>
      <c r="DMQ24" s="57"/>
      <c r="DMR24" s="58"/>
      <c r="DMS24" s="56"/>
      <c r="DMT24" s="57"/>
      <c r="DMU24" s="57"/>
      <c r="DMV24" s="57"/>
      <c r="DMW24" s="56"/>
      <c r="DMX24" s="57"/>
      <c r="DMY24" s="57"/>
      <c r="DMZ24" s="56"/>
      <c r="DNA24" s="57"/>
      <c r="DNB24" s="58"/>
      <c r="DNC24" s="56"/>
      <c r="DND24" s="57"/>
      <c r="DNE24" s="57"/>
      <c r="DNF24" s="57"/>
      <c r="DNG24" s="56"/>
      <c r="DNH24" s="57"/>
      <c r="DNI24" s="57"/>
      <c r="DNJ24" s="56"/>
      <c r="DNK24" s="57"/>
      <c r="DNL24" s="58"/>
      <c r="DNM24" s="56"/>
      <c r="DNN24" s="58"/>
      <c r="DNO24" s="57"/>
      <c r="DNP24" s="56"/>
      <c r="DNQ24" s="57"/>
      <c r="DNR24" s="56"/>
      <c r="DNS24" s="56"/>
      <c r="DNT24" s="56"/>
      <c r="DNU24" s="57"/>
      <c r="DNV24" s="387"/>
      <c r="DNW24" s="57"/>
      <c r="DNX24" s="387"/>
      <c r="DNY24" s="57"/>
      <c r="DNZ24" s="387"/>
      <c r="DOA24" s="57"/>
      <c r="DOB24" s="57"/>
      <c r="DOC24" s="57"/>
      <c r="DOD24" s="57"/>
      <c r="DOE24" s="57"/>
      <c r="DOF24" s="57"/>
      <c r="DOG24" s="57"/>
      <c r="DOH24" s="57"/>
      <c r="DOI24" s="57"/>
      <c r="DOJ24" s="57"/>
      <c r="DOK24" s="57"/>
      <c r="DOL24" s="57"/>
      <c r="DOM24" s="57"/>
      <c r="DON24" s="57"/>
      <c r="DOO24" s="57"/>
      <c r="DOP24" s="57"/>
      <c r="DOQ24" s="57"/>
      <c r="DOR24" s="57"/>
      <c r="DOS24" s="57"/>
      <c r="DOT24" s="57"/>
      <c r="DOU24" s="57"/>
      <c r="DOV24" s="57"/>
      <c r="DOW24" s="57"/>
      <c r="DOX24" s="57"/>
      <c r="DOY24" s="57"/>
      <c r="DOZ24" s="57"/>
      <c r="DPA24" s="57"/>
      <c r="DPB24" s="57"/>
      <c r="DPC24" s="57"/>
      <c r="DPD24" s="57"/>
      <c r="DPE24" s="57"/>
      <c r="DPF24" s="58"/>
      <c r="DPG24" s="56"/>
      <c r="DPH24" s="57"/>
      <c r="DPI24" s="57"/>
      <c r="DPJ24" s="57"/>
      <c r="DPK24" s="57"/>
      <c r="DPL24" s="57"/>
      <c r="DPM24" s="56"/>
      <c r="DPN24" s="57"/>
      <c r="DPO24" s="57"/>
      <c r="DPP24" s="56"/>
      <c r="DPQ24" s="57"/>
      <c r="DPR24" s="58"/>
      <c r="DPS24" s="56"/>
      <c r="DPT24" s="57"/>
      <c r="DPU24" s="57"/>
      <c r="DPV24" s="57"/>
      <c r="DPW24" s="56"/>
      <c r="DPX24" s="57"/>
      <c r="DPY24" s="57"/>
      <c r="DPZ24" s="56"/>
      <c r="DQA24" s="57"/>
      <c r="DQB24" s="58"/>
      <c r="DQC24" s="56"/>
      <c r="DQD24" s="57"/>
      <c r="DQE24" s="57"/>
      <c r="DQF24" s="57"/>
      <c r="DQG24" s="56"/>
      <c r="DQH24" s="57"/>
      <c r="DQI24" s="57"/>
      <c r="DQJ24" s="56"/>
      <c r="DQK24" s="57"/>
      <c r="DQL24" s="58"/>
      <c r="DQM24" s="56"/>
      <c r="DQN24" s="57"/>
      <c r="DQO24" s="57"/>
      <c r="DQP24" s="57"/>
      <c r="DQQ24" s="56"/>
      <c r="DQR24" s="57"/>
      <c r="DQS24" s="57"/>
      <c r="DQT24" s="56"/>
      <c r="DQU24" s="57"/>
      <c r="DQV24" s="58"/>
      <c r="DQW24" s="56"/>
      <c r="DQX24" s="58"/>
      <c r="DQY24" s="57"/>
      <c r="DQZ24" s="56"/>
      <c r="DRA24" s="57"/>
      <c r="DRB24" s="56"/>
      <c r="DRC24" s="56"/>
      <c r="DRD24" s="56"/>
      <c r="DRE24" s="57"/>
      <c r="DRF24" s="387"/>
      <c r="DRG24" s="57"/>
      <c r="DRH24" s="387"/>
      <c r="DRI24" s="57"/>
      <c r="DRJ24" s="387"/>
      <c r="DRK24" s="57"/>
      <c r="DRL24" s="57"/>
      <c r="DRM24" s="57"/>
      <c r="DRN24" s="57"/>
      <c r="DRO24" s="57"/>
      <c r="DRP24" s="57"/>
      <c r="DRQ24" s="57"/>
      <c r="DRR24" s="57"/>
      <c r="DRS24" s="57"/>
      <c r="DRT24" s="57"/>
      <c r="DRU24" s="57"/>
      <c r="DRV24" s="57"/>
      <c r="DRW24" s="57"/>
      <c r="DRX24" s="57"/>
      <c r="DRY24" s="57"/>
      <c r="DRZ24" s="57"/>
      <c r="DSA24" s="57"/>
      <c r="DSB24" s="57"/>
      <c r="DSC24" s="57"/>
      <c r="DSD24" s="57"/>
      <c r="DSE24" s="57"/>
      <c r="DSF24" s="57"/>
      <c r="DSG24" s="57"/>
      <c r="DSH24" s="57"/>
      <c r="DSI24" s="57"/>
      <c r="DSJ24" s="57"/>
      <c r="DSK24" s="57"/>
      <c r="DSL24" s="57"/>
      <c r="DSM24" s="57"/>
      <c r="DSN24" s="57"/>
      <c r="DSO24" s="57"/>
      <c r="DSP24" s="58"/>
      <c r="DSQ24" s="56"/>
      <c r="DSR24" s="57"/>
      <c r="DSS24" s="57"/>
      <c r="DST24" s="57"/>
      <c r="DSU24" s="57"/>
      <c r="DSV24" s="57"/>
      <c r="DSW24" s="56"/>
      <c r="DSX24" s="57"/>
      <c r="DSY24" s="57"/>
      <c r="DSZ24" s="56"/>
      <c r="DTA24" s="57"/>
      <c r="DTB24" s="58"/>
      <c r="DTC24" s="56"/>
      <c r="DTD24" s="57"/>
      <c r="DTE24" s="57"/>
      <c r="DTF24" s="57"/>
      <c r="DTG24" s="56"/>
      <c r="DTH24" s="57"/>
      <c r="DTI24" s="57"/>
      <c r="DTJ24" s="56"/>
      <c r="DTK24" s="57"/>
      <c r="DTL24" s="58"/>
      <c r="DTM24" s="56"/>
      <c r="DTN24" s="57"/>
      <c r="DTO24" s="57"/>
      <c r="DTP24" s="57"/>
      <c r="DTQ24" s="56"/>
      <c r="DTR24" s="57"/>
      <c r="DTS24" s="57"/>
      <c r="DTT24" s="56"/>
      <c r="DTU24" s="57"/>
      <c r="DTV24" s="58"/>
      <c r="DTW24" s="56"/>
      <c r="DTX24" s="57"/>
      <c r="DTY24" s="57"/>
      <c r="DTZ24" s="57"/>
      <c r="DUA24" s="56"/>
      <c r="DUB24" s="57"/>
      <c r="DUC24" s="57"/>
      <c r="DUD24" s="56"/>
      <c r="DUE24" s="57"/>
      <c r="DUF24" s="58"/>
      <c r="DUG24" s="56"/>
      <c r="DUH24" s="58"/>
      <c r="DUI24" s="57"/>
      <c r="DUJ24" s="56"/>
      <c r="DUK24" s="57"/>
      <c r="DUL24" s="56"/>
      <c r="DUM24" s="56"/>
      <c r="DUN24" s="56"/>
      <c r="DUO24" s="57"/>
      <c r="DUP24" s="387"/>
      <c r="DUQ24" s="57"/>
      <c r="DUR24" s="387"/>
      <c r="DUS24" s="57"/>
      <c r="DUT24" s="387"/>
      <c r="DUU24" s="57"/>
      <c r="DUV24" s="57"/>
      <c r="DUW24" s="57"/>
      <c r="DUX24" s="57"/>
      <c r="DUY24" s="57"/>
      <c r="DUZ24" s="57"/>
      <c r="DVA24" s="57"/>
      <c r="DVB24" s="57"/>
      <c r="DVC24" s="57"/>
      <c r="DVD24" s="57"/>
      <c r="DVE24" s="57"/>
      <c r="DVF24" s="57"/>
      <c r="DVG24" s="57"/>
      <c r="DVH24" s="57"/>
      <c r="DVI24" s="57"/>
      <c r="DVJ24" s="57"/>
      <c r="DVK24" s="57"/>
      <c r="DVL24" s="57"/>
      <c r="DVM24" s="57"/>
      <c r="DVN24" s="57"/>
      <c r="DVO24" s="57"/>
      <c r="DVP24" s="57"/>
      <c r="DVQ24" s="57"/>
      <c r="DVR24" s="57"/>
      <c r="DVS24" s="57"/>
      <c r="DVT24" s="57"/>
      <c r="DVU24" s="57"/>
      <c r="DVV24" s="57"/>
      <c r="DVW24" s="57"/>
      <c r="DVX24" s="57"/>
      <c r="DVY24" s="57"/>
      <c r="DVZ24" s="58"/>
      <c r="DWA24" s="56"/>
      <c r="DWB24" s="57"/>
      <c r="DWC24" s="57"/>
      <c r="DWD24" s="57"/>
      <c r="DWE24" s="57"/>
      <c r="DWF24" s="57"/>
      <c r="DWG24" s="56"/>
      <c r="DWH24" s="57"/>
      <c r="DWI24" s="57"/>
      <c r="DWJ24" s="56"/>
      <c r="DWK24" s="57"/>
      <c r="DWL24" s="58"/>
      <c r="DWM24" s="56"/>
      <c r="DWN24" s="57"/>
      <c r="DWO24" s="57"/>
      <c r="DWP24" s="57"/>
      <c r="DWQ24" s="56"/>
      <c r="DWR24" s="57"/>
      <c r="DWS24" s="57"/>
      <c r="DWT24" s="56"/>
      <c r="DWU24" s="57"/>
      <c r="DWV24" s="58"/>
      <c r="DWW24" s="56"/>
      <c r="DWX24" s="57"/>
      <c r="DWY24" s="57"/>
      <c r="DWZ24" s="57"/>
      <c r="DXA24" s="56"/>
      <c r="DXB24" s="57"/>
      <c r="DXC24" s="57"/>
      <c r="DXD24" s="56"/>
      <c r="DXE24" s="57"/>
      <c r="DXF24" s="58"/>
      <c r="DXG24" s="56"/>
      <c r="DXH24" s="57"/>
      <c r="DXI24" s="57"/>
      <c r="DXJ24" s="57"/>
      <c r="DXK24" s="56"/>
      <c r="DXL24" s="57"/>
      <c r="DXM24" s="57"/>
      <c r="DXN24" s="56"/>
      <c r="DXO24" s="57"/>
      <c r="DXP24" s="58"/>
      <c r="DXQ24" s="56"/>
      <c r="DXR24" s="58"/>
      <c r="DXS24" s="57"/>
      <c r="DXT24" s="56"/>
      <c r="DXU24" s="57"/>
      <c r="DXV24" s="56"/>
      <c r="DXW24" s="56"/>
      <c r="DXX24" s="56"/>
      <c r="DXY24" s="57"/>
      <c r="DXZ24" s="387"/>
      <c r="DYA24" s="57"/>
      <c r="DYB24" s="387"/>
      <c r="DYC24" s="57"/>
      <c r="DYD24" s="387"/>
      <c r="DYE24" s="57"/>
      <c r="DYF24" s="57"/>
      <c r="DYG24" s="57"/>
      <c r="DYH24" s="57"/>
      <c r="DYI24" s="57"/>
      <c r="DYJ24" s="57"/>
      <c r="DYK24" s="57"/>
      <c r="DYL24" s="57"/>
      <c r="DYM24" s="57"/>
      <c r="DYN24" s="57"/>
      <c r="DYO24" s="57"/>
      <c r="DYP24" s="57"/>
      <c r="DYQ24" s="57"/>
      <c r="DYR24" s="57"/>
      <c r="DYS24" s="57"/>
      <c r="DYT24" s="57"/>
      <c r="DYU24" s="57"/>
      <c r="DYV24" s="57"/>
      <c r="DYW24" s="57"/>
      <c r="DYX24" s="57"/>
      <c r="DYY24" s="57"/>
      <c r="DYZ24" s="57"/>
      <c r="DZA24" s="57"/>
      <c r="DZB24" s="57"/>
      <c r="DZC24" s="57"/>
      <c r="DZD24" s="57"/>
      <c r="DZE24" s="57"/>
      <c r="DZF24" s="57"/>
      <c r="DZG24" s="57"/>
      <c r="DZH24" s="57"/>
      <c r="DZI24" s="57"/>
      <c r="DZJ24" s="58"/>
      <c r="DZK24" s="56"/>
      <c r="DZL24" s="57"/>
      <c r="DZM24" s="57"/>
      <c r="DZN24" s="57"/>
      <c r="DZO24" s="57"/>
      <c r="DZP24" s="57"/>
      <c r="DZQ24" s="56"/>
      <c r="DZR24" s="57"/>
      <c r="DZS24" s="57"/>
      <c r="DZT24" s="56"/>
      <c r="DZU24" s="57"/>
      <c r="DZV24" s="58"/>
      <c r="DZW24" s="56"/>
      <c r="DZX24" s="57"/>
      <c r="DZY24" s="57"/>
      <c r="DZZ24" s="57"/>
      <c r="EAA24" s="56"/>
      <c r="EAB24" s="57"/>
      <c r="EAC24" s="57"/>
      <c r="EAD24" s="56"/>
      <c r="EAE24" s="57"/>
      <c r="EAF24" s="58"/>
      <c r="EAG24" s="56"/>
      <c r="EAH24" s="57"/>
      <c r="EAI24" s="57"/>
      <c r="EAJ24" s="57"/>
      <c r="EAK24" s="56"/>
      <c r="EAL24" s="57"/>
      <c r="EAM24" s="57"/>
      <c r="EAN24" s="56"/>
      <c r="EAO24" s="57"/>
      <c r="EAP24" s="58"/>
      <c r="EAQ24" s="56"/>
      <c r="EAR24" s="57"/>
      <c r="EAS24" s="57"/>
      <c r="EAT24" s="57"/>
      <c r="EAU24" s="56"/>
      <c r="EAV24" s="57"/>
      <c r="EAW24" s="57"/>
      <c r="EAX24" s="56"/>
      <c r="EAY24" s="57"/>
      <c r="EAZ24" s="58"/>
      <c r="EBA24" s="56"/>
      <c r="EBB24" s="58"/>
      <c r="EBC24" s="57"/>
      <c r="EBD24" s="56"/>
      <c r="EBE24" s="57"/>
      <c r="EBF24" s="56"/>
      <c r="EBG24" s="56"/>
      <c r="EBH24" s="56"/>
      <c r="EBI24" s="57"/>
      <c r="EBJ24" s="387"/>
      <c r="EBK24" s="57"/>
      <c r="EBL24" s="387"/>
      <c r="EBM24" s="57"/>
      <c r="EBN24" s="387"/>
      <c r="EBO24" s="57"/>
      <c r="EBP24" s="57"/>
      <c r="EBQ24" s="57"/>
      <c r="EBR24" s="57"/>
      <c r="EBS24" s="57"/>
      <c r="EBT24" s="57"/>
      <c r="EBU24" s="57"/>
      <c r="EBV24" s="57"/>
      <c r="EBW24" s="57"/>
      <c r="EBX24" s="57"/>
      <c r="EBY24" s="57"/>
      <c r="EBZ24" s="57"/>
      <c r="ECA24" s="57"/>
      <c r="ECB24" s="57"/>
      <c r="ECC24" s="57"/>
      <c r="ECD24" s="57"/>
      <c r="ECE24" s="57"/>
      <c r="ECF24" s="57"/>
      <c r="ECG24" s="57"/>
      <c r="ECH24" s="57"/>
      <c r="ECI24" s="57"/>
      <c r="ECJ24" s="57"/>
      <c r="ECK24" s="57"/>
      <c r="ECL24" s="57"/>
      <c r="ECM24" s="57"/>
      <c r="ECN24" s="57"/>
      <c r="ECO24" s="57"/>
      <c r="ECP24" s="57"/>
      <c r="ECQ24" s="57"/>
      <c r="ECR24" s="57"/>
      <c r="ECS24" s="57"/>
      <c r="ECT24" s="58"/>
      <c r="ECU24" s="56"/>
      <c r="ECV24" s="57"/>
      <c r="ECW24" s="57"/>
      <c r="ECX24" s="57"/>
      <c r="ECY24" s="57"/>
      <c r="ECZ24" s="57"/>
      <c r="EDA24" s="56"/>
      <c r="EDB24" s="57"/>
      <c r="EDC24" s="57"/>
      <c r="EDD24" s="56"/>
      <c r="EDE24" s="57"/>
      <c r="EDF24" s="58"/>
      <c r="EDG24" s="56"/>
      <c r="EDH24" s="57"/>
      <c r="EDI24" s="57"/>
      <c r="EDJ24" s="57"/>
      <c r="EDK24" s="56"/>
      <c r="EDL24" s="57"/>
      <c r="EDM24" s="57"/>
      <c r="EDN24" s="56"/>
      <c r="EDO24" s="57"/>
      <c r="EDP24" s="58"/>
      <c r="EDQ24" s="56"/>
      <c r="EDR24" s="57"/>
      <c r="EDS24" s="57"/>
      <c r="EDT24" s="57"/>
      <c r="EDU24" s="56"/>
      <c r="EDV24" s="57"/>
      <c r="EDW24" s="57"/>
      <c r="EDX24" s="56"/>
      <c r="EDY24" s="57"/>
      <c r="EDZ24" s="58"/>
      <c r="EEA24" s="56"/>
      <c r="EEB24" s="57"/>
      <c r="EEC24" s="57"/>
      <c r="EED24" s="57"/>
      <c r="EEE24" s="56"/>
      <c r="EEF24" s="57"/>
      <c r="EEG24" s="57"/>
      <c r="EEH24" s="56"/>
      <c r="EEI24" s="57"/>
      <c r="EEJ24" s="58"/>
      <c r="EEK24" s="56"/>
      <c r="EEL24" s="58"/>
      <c r="EEM24" s="57"/>
      <c r="EEN24" s="56"/>
      <c r="EEO24" s="57"/>
      <c r="EEP24" s="56"/>
      <c r="EEQ24" s="56"/>
      <c r="EER24" s="56"/>
      <c r="EES24" s="57"/>
      <c r="EET24" s="387"/>
      <c r="EEU24" s="57"/>
      <c r="EEV24" s="387"/>
      <c r="EEW24" s="57"/>
      <c r="EEX24" s="387"/>
      <c r="EEY24" s="57"/>
      <c r="EEZ24" s="57"/>
      <c r="EFA24" s="57"/>
      <c r="EFB24" s="57"/>
      <c r="EFC24" s="57"/>
      <c r="EFD24" s="57"/>
      <c r="EFE24" s="57"/>
      <c r="EFF24" s="57"/>
      <c r="EFG24" s="57"/>
      <c r="EFH24" s="57"/>
      <c r="EFI24" s="57"/>
      <c r="EFJ24" s="57"/>
      <c r="EFK24" s="57"/>
      <c r="EFL24" s="57"/>
      <c r="EFM24" s="57"/>
      <c r="EFN24" s="57"/>
      <c r="EFO24" s="57"/>
      <c r="EFP24" s="57"/>
      <c r="EFQ24" s="57"/>
      <c r="EFR24" s="57"/>
      <c r="EFS24" s="57"/>
      <c r="EFT24" s="57"/>
      <c r="EFU24" s="57"/>
      <c r="EFV24" s="57"/>
      <c r="EFW24" s="57"/>
      <c r="EFX24" s="57"/>
      <c r="EFY24" s="57"/>
      <c r="EFZ24" s="57"/>
      <c r="EGA24" s="57"/>
      <c r="EGB24" s="57"/>
      <c r="EGC24" s="57"/>
      <c r="EGD24" s="58"/>
      <c r="EGE24" s="56"/>
      <c r="EGF24" s="57"/>
      <c r="EGG24" s="57"/>
      <c r="EGH24" s="57"/>
      <c r="EGI24" s="57"/>
      <c r="EGJ24" s="57"/>
      <c r="EGK24" s="56"/>
      <c r="EGL24" s="57"/>
      <c r="EGM24" s="57"/>
      <c r="EGN24" s="56"/>
      <c r="EGO24" s="57"/>
      <c r="EGP24" s="58"/>
      <c r="EGQ24" s="56"/>
      <c r="EGR24" s="57"/>
      <c r="EGS24" s="57"/>
      <c r="EGT24" s="57"/>
      <c r="EGU24" s="56"/>
      <c r="EGV24" s="57"/>
      <c r="EGW24" s="57"/>
      <c r="EGX24" s="56"/>
      <c r="EGY24" s="57"/>
      <c r="EGZ24" s="58"/>
      <c r="EHA24" s="56"/>
      <c r="EHB24" s="57"/>
      <c r="EHC24" s="57"/>
      <c r="EHD24" s="57"/>
      <c r="EHE24" s="56"/>
      <c r="EHF24" s="57"/>
      <c r="EHG24" s="57"/>
      <c r="EHH24" s="56"/>
      <c r="EHI24" s="57"/>
      <c r="EHJ24" s="58"/>
      <c r="EHK24" s="56"/>
      <c r="EHL24" s="57"/>
      <c r="EHM24" s="57"/>
      <c r="EHN24" s="57"/>
      <c r="EHO24" s="56"/>
      <c r="EHP24" s="57"/>
      <c r="EHQ24" s="57"/>
      <c r="EHR24" s="56"/>
      <c r="EHS24" s="57"/>
      <c r="EHT24" s="58"/>
      <c r="EHU24" s="56"/>
      <c r="EHV24" s="58"/>
      <c r="EHW24" s="57"/>
      <c r="EHX24" s="56"/>
      <c r="EHY24" s="57"/>
      <c r="EHZ24" s="56"/>
      <c r="EIA24" s="56"/>
      <c r="EIB24" s="56"/>
      <c r="EIC24" s="57"/>
      <c r="EID24" s="387"/>
      <c r="EIE24" s="57"/>
      <c r="EIF24" s="387"/>
      <c r="EIG24" s="57"/>
      <c r="EIH24" s="387"/>
      <c r="EII24" s="57"/>
      <c r="EIJ24" s="57"/>
      <c r="EIK24" s="57"/>
      <c r="EIL24" s="57"/>
      <c r="EIM24" s="57"/>
      <c r="EIN24" s="57"/>
      <c r="EIO24" s="57"/>
      <c r="EIP24" s="57"/>
      <c r="EIQ24" s="57"/>
      <c r="EIR24" s="57"/>
      <c r="EIS24" s="57"/>
      <c r="EIT24" s="57"/>
      <c r="EIU24" s="57"/>
      <c r="EIV24" s="57"/>
      <c r="EIW24" s="57"/>
      <c r="EIX24" s="57"/>
      <c r="EIY24" s="57"/>
      <c r="EIZ24" s="57"/>
      <c r="EJA24" s="57"/>
      <c r="EJB24" s="57"/>
      <c r="EJC24" s="57"/>
      <c r="EJD24" s="57"/>
      <c r="EJE24" s="57"/>
      <c r="EJF24" s="57"/>
      <c r="EJG24" s="57"/>
      <c r="EJH24" s="57"/>
      <c r="EJI24" s="57"/>
      <c r="EJJ24" s="57"/>
      <c r="EJK24" s="57"/>
      <c r="EJL24" s="57"/>
      <c r="EJM24" s="57"/>
      <c r="EJN24" s="58"/>
      <c r="EJO24" s="56"/>
      <c r="EJP24" s="57"/>
      <c r="EJQ24" s="57"/>
      <c r="EJR24" s="57"/>
      <c r="EJS24" s="57"/>
      <c r="EJT24" s="57"/>
      <c r="EJU24" s="56"/>
      <c r="EJV24" s="57"/>
      <c r="EJW24" s="57"/>
      <c r="EJX24" s="56"/>
      <c r="EJY24" s="57"/>
      <c r="EJZ24" s="58"/>
      <c r="EKA24" s="56"/>
      <c r="EKB24" s="57"/>
      <c r="EKC24" s="57"/>
      <c r="EKD24" s="57"/>
      <c r="EKE24" s="56"/>
      <c r="EKF24" s="57"/>
      <c r="EKG24" s="57"/>
      <c r="EKH24" s="56"/>
      <c r="EKI24" s="57"/>
      <c r="EKJ24" s="58"/>
      <c r="EKK24" s="56"/>
      <c r="EKL24" s="57"/>
      <c r="EKM24" s="57"/>
      <c r="EKN24" s="57"/>
      <c r="EKO24" s="56"/>
      <c r="EKP24" s="57"/>
      <c r="EKQ24" s="57"/>
      <c r="EKR24" s="56"/>
      <c r="EKS24" s="57"/>
      <c r="EKT24" s="58"/>
      <c r="EKU24" s="56"/>
      <c r="EKV24" s="57"/>
      <c r="EKW24" s="57"/>
      <c r="EKX24" s="57"/>
      <c r="EKY24" s="56"/>
      <c r="EKZ24" s="57"/>
      <c r="ELA24" s="57"/>
      <c r="ELB24" s="56"/>
      <c r="ELC24" s="57"/>
      <c r="ELD24" s="58"/>
      <c r="ELE24" s="56"/>
      <c r="ELF24" s="58"/>
      <c r="ELG24" s="57"/>
      <c r="ELH24" s="56"/>
      <c r="ELI24" s="57"/>
      <c r="ELJ24" s="56"/>
      <c r="ELK24" s="56"/>
      <c r="ELL24" s="56"/>
      <c r="ELM24" s="57"/>
      <c r="ELN24" s="387"/>
      <c r="ELO24" s="57"/>
      <c r="ELP24" s="387"/>
      <c r="ELQ24" s="57"/>
      <c r="ELR24" s="387"/>
      <c r="ELS24" s="57"/>
      <c r="ELT24" s="57"/>
      <c r="ELU24" s="57"/>
      <c r="ELV24" s="57"/>
      <c r="ELW24" s="57"/>
      <c r="ELX24" s="57"/>
      <c r="ELY24" s="57"/>
      <c r="ELZ24" s="57"/>
      <c r="EMA24" s="57"/>
      <c r="EMB24" s="57"/>
      <c r="EMC24" s="57"/>
      <c r="EMD24" s="57"/>
      <c r="EME24" s="57"/>
      <c r="EMF24" s="57"/>
      <c r="EMG24" s="57"/>
      <c r="EMH24" s="57"/>
      <c r="EMI24" s="57"/>
      <c r="EMJ24" s="57"/>
      <c r="EMK24" s="57"/>
      <c r="EML24" s="57"/>
      <c r="EMM24" s="57"/>
      <c r="EMN24" s="57"/>
      <c r="EMO24" s="57"/>
      <c r="EMP24" s="57"/>
      <c r="EMQ24" s="57"/>
      <c r="EMR24" s="57"/>
      <c r="EMS24" s="57"/>
      <c r="EMT24" s="57"/>
      <c r="EMU24" s="57"/>
      <c r="EMV24" s="57"/>
      <c r="EMW24" s="57"/>
      <c r="EMX24" s="58"/>
      <c r="EMY24" s="56"/>
      <c r="EMZ24" s="57"/>
      <c r="ENA24" s="57"/>
      <c r="ENB24" s="57"/>
      <c r="ENC24" s="57"/>
      <c r="END24" s="57"/>
      <c r="ENE24" s="56"/>
      <c r="ENF24" s="57"/>
      <c r="ENG24" s="57"/>
      <c r="ENH24" s="56"/>
      <c r="ENI24" s="57"/>
      <c r="ENJ24" s="58"/>
      <c r="ENK24" s="56"/>
      <c r="ENL24" s="57"/>
      <c r="ENM24" s="57"/>
      <c r="ENN24" s="57"/>
      <c r="ENO24" s="56"/>
      <c r="ENP24" s="57"/>
      <c r="ENQ24" s="57"/>
      <c r="ENR24" s="56"/>
      <c r="ENS24" s="57"/>
      <c r="ENT24" s="58"/>
      <c r="ENU24" s="56"/>
      <c r="ENV24" s="57"/>
      <c r="ENW24" s="57"/>
      <c r="ENX24" s="57"/>
      <c r="ENY24" s="56"/>
      <c r="ENZ24" s="57"/>
      <c r="EOA24" s="57"/>
      <c r="EOB24" s="56"/>
      <c r="EOC24" s="57"/>
      <c r="EOD24" s="58"/>
      <c r="EOE24" s="56"/>
      <c r="EOF24" s="57"/>
      <c r="EOG24" s="57"/>
      <c r="EOH24" s="57"/>
      <c r="EOI24" s="56"/>
      <c r="EOJ24" s="57"/>
      <c r="EOK24" s="57"/>
      <c r="EOL24" s="56"/>
      <c r="EOM24" s="57"/>
      <c r="EON24" s="58"/>
      <c r="EOO24" s="56" t="str">
        <f t="shared" si="75"/>
        <v xml:space="preserve"> </v>
      </c>
    </row>
    <row r="25" spans="1:3785" x14ac:dyDescent="0.3">
      <c r="A25" s="27" t="s">
        <v>179</v>
      </c>
      <c r="B25" s="30"/>
      <c r="C25" s="29"/>
      <c r="D25" s="28" t="str">
        <f t="shared" si="61"/>
        <v xml:space="preserve"> </v>
      </c>
      <c r="E25" s="29"/>
      <c r="F25" s="28"/>
      <c r="G25" s="28"/>
      <c r="H25" s="28"/>
      <c r="I25" s="29"/>
      <c r="J25" s="385"/>
      <c r="K25" s="29"/>
      <c r="L25" s="385"/>
      <c r="M25" s="29"/>
      <c r="N25" s="385"/>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30"/>
      <c r="AU25" s="28"/>
      <c r="AV25" s="29"/>
      <c r="AW25" s="29"/>
      <c r="AX25" s="29"/>
      <c r="AY25" s="29"/>
      <c r="AZ25" s="29"/>
      <c r="BA25" s="28"/>
      <c r="BB25" s="29"/>
      <c r="BC25" s="29"/>
      <c r="BD25" s="28"/>
      <c r="BE25" s="29"/>
      <c r="BF25" s="30"/>
      <c r="BG25" s="28"/>
      <c r="BH25" s="29"/>
      <c r="BI25" s="29"/>
      <c r="BJ25" s="29"/>
      <c r="BK25" s="28"/>
      <c r="BL25" s="29"/>
      <c r="BM25" s="29"/>
      <c r="BN25" s="28"/>
      <c r="BO25" s="29"/>
      <c r="BP25" s="30"/>
      <c r="BQ25" s="28"/>
      <c r="BR25" s="29"/>
      <c r="BS25" s="29"/>
      <c r="BT25" s="29"/>
      <c r="BU25" s="28"/>
      <c r="BV25" s="29"/>
      <c r="BW25" s="29"/>
      <c r="BX25" s="28"/>
      <c r="BY25" s="29"/>
      <c r="BZ25" s="30"/>
      <c r="CA25" s="28"/>
      <c r="CB25" s="29"/>
      <c r="CC25" s="29"/>
      <c r="CD25" s="29"/>
      <c r="CE25" s="28"/>
      <c r="CF25" s="29"/>
      <c r="CG25" s="29"/>
      <c r="CH25" s="28"/>
      <c r="CI25" s="29"/>
      <c r="CJ25" s="30"/>
      <c r="CK25" s="28"/>
      <c r="CL25" s="29"/>
      <c r="CM25" s="29"/>
      <c r="CN25" s="29"/>
      <c r="CO25" s="28"/>
      <c r="CP25" s="29"/>
      <c r="CQ25" s="29"/>
      <c r="CR25" s="28"/>
      <c r="CS25" s="29"/>
      <c r="CT25" s="30"/>
      <c r="CU25" s="28"/>
      <c r="CV25" s="29"/>
      <c r="CW25" s="29"/>
      <c r="CX25" s="29"/>
      <c r="CY25" s="28"/>
      <c r="CZ25" s="29"/>
      <c r="DA25" s="29"/>
      <c r="DB25" s="28"/>
      <c r="DC25" s="29"/>
      <c r="DD25" s="30"/>
      <c r="DE25" s="28"/>
      <c r="DF25" s="29"/>
      <c r="DG25" s="29"/>
      <c r="DH25" s="29"/>
      <c r="DI25" s="28"/>
      <c r="DJ25" s="29"/>
      <c r="DK25" s="29"/>
      <c r="DL25" s="28"/>
      <c r="DM25" s="29"/>
      <c r="DN25" s="30"/>
      <c r="DO25" s="28"/>
      <c r="DP25" s="29"/>
      <c r="DQ25" s="29"/>
      <c r="DR25" s="29"/>
      <c r="DS25" s="28"/>
      <c r="DT25" s="29"/>
      <c r="DU25" s="29"/>
      <c r="DV25" s="28"/>
      <c r="DW25" s="29"/>
      <c r="DX25" s="30"/>
      <c r="DY25" s="28"/>
      <c r="DZ25" s="29"/>
      <c r="EA25" s="29"/>
      <c r="EB25" s="29"/>
      <c r="EC25" s="28"/>
      <c r="ED25" s="29"/>
      <c r="EE25" s="28"/>
      <c r="EF25" s="28"/>
      <c r="EG25" s="29"/>
      <c r="EH25" s="30"/>
      <c r="EI25" s="28"/>
      <c r="EJ25" s="29"/>
      <c r="EK25" s="29"/>
      <c r="EL25" s="29"/>
      <c r="EM25" s="28"/>
      <c r="EN25" s="29"/>
      <c r="EO25" s="33"/>
      <c r="EP25" s="28"/>
      <c r="EQ25" s="29"/>
      <c r="ER25" s="30"/>
      <c r="ES25" s="28"/>
      <c r="ET25" s="29"/>
      <c r="EU25" s="29"/>
      <c r="EV25" s="29"/>
      <c r="EW25" s="28"/>
      <c r="EX25" s="29"/>
      <c r="EY25" s="29"/>
      <c r="EZ25" s="28"/>
      <c r="FA25" s="29"/>
      <c r="FB25" s="30"/>
      <c r="FC25" s="28"/>
      <c r="FD25" s="29"/>
      <c r="FE25" s="29"/>
      <c r="FF25" s="29"/>
      <c r="FG25" s="28"/>
      <c r="FH25" s="29"/>
      <c r="FI25" s="29"/>
      <c r="FJ25" s="28"/>
      <c r="FK25" s="29"/>
      <c r="FL25" s="30"/>
      <c r="FM25" s="28"/>
      <c r="FN25" s="29"/>
      <c r="FO25" s="29"/>
      <c r="FP25" s="29"/>
      <c r="FQ25" s="28"/>
      <c r="FR25" s="29"/>
      <c r="FS25" s="29"/>
      <c r="FT25" s="28"/>
      <c r="FU25" s="29"/>
      <c r="FV25" s="30"/>
      <c r="FW25" s="28"/>
      <c r="FX25" s="29"/>
      <c r="FY25" s="29"/>
      <c r="FZ25" s="29"/>
      <c r="GA25" s="28"/>
      <c r="GB25" s="29"/>
      <c r="GC25" s="29"/>
      <c r="GD25" s="28"/>
      <c r="GE25" s="29"/>
      <c r="GF25" s="30"/>
      <c r="GG25" s="28"/>
      <c r="GH25" s="29"/>
      <c r="GI25" s="29"/>
      <c r="GJ25" s="29"/>
      <c r="GK25" s="28"/>
      <c r="GL25" s="29"/>
      <c r="GM25" s="29"/>
      <c r="GN25" s="28"/>
      <c r="GO25" s="29"/>
      <c r="GP25" s="30"/>
      <c r="GQ25" s="28"/>
      <c r="GR25" s="29"/>
      <c r="GS25" s="29"/>
      <c r="GT25" s="29"/>
      <c r="GU25" s="28"/>
      <c r="GV25" s="29"/>
      <c r="GW25" s="29"/>
      <c r="GX25" s="28"/>
      <c r="GY25" s="29"/>
      <c r="GZ25" s="30"/>
      <c r="HA25" s="28"/>
      <c r="HB25" s="29"/>
      <c r="HC25" s="29"/>
      <c r="HD25" s="29"/>
      <c r="HE25" s="28"/>
      <c r="HF25" s="29"/>
      <c r="HG25" s="29"/>
      <c r="HH25" s="28"/>
      <c r="HI25" s="29"/>
      <c r="HJ25" s="30"/>
      <c r="HK25" s="28"/>
      <c r="HL25" s="29"/>
      <c r="HM25" s="29"/>
      <c r="HN25" s="29"/>
      <c r="HO25" s="28"/>
      <c r="HP25" s="29"/>
      <c r="HQ25" s="29"/>
      <c r="HR25" s="28"/>
      <c r="HS25" s="29"/>
      <c r="HT25" s="30"/>
      <c r="HU25" s="28"/>
      <c r="HV25" s="29"/>
      <c r="HW25" s="29"/>
      <c r="HX25" s="29"/>
      <c r="HY25" s="28"/>
      <c r="HZ25" s="29"/>
      <c r="IA25" s="29"/>
      <c r="IB25" s="28"/>
      <c r="IC25" s="29"/>
      <c r="ID25" s="30"/>
      <c r="IE25" s="28"/>
      <c r="IF25" s="29"/>
      <c r="IG25" s="29"/>
      <c r="IH25" s="29"/>
      <c r="II25" s="28"/>
      <c r="IJ25" s="29"/>
      <c r="IK25" s="29"/>
      <c r="IL25" s="28"/>
      <c r="IM25" s="29"/>
      <c r="IN25" s="30"/>
      <c r="IO25" s="28"/>
      <c r="IP25" s="29"/>
      <c r="IQ25" s="29"/>
      <c r="IR25" s="29"/>
      <c r="IS25" s="28"/>
      <c r="IT25" s="29"/>
      <c r="IU25" s="29"/>
      <c r="IV25" s="28"/>
      <c r="IW25" s="29"/>
      <c r="IX25" s="30"/>
      <c r="IY25" s="28"/>
      <c r="IZ25" s="29"/>
      <c r="JA25" s="29"/>
      <c r="JB25" s="29"/>
      <c r="JC25" s="28"/>
      <c r="JD25" s="29"/>
      <c r="JE25" s="29"/>
      <c r="JF25" s="28"/>
      <c r="JG25" s="29"/>
      <c r="JH25" s="30"/>
      <c r="JI25" s="28"/>
      <c r="JJ25" s="29"/>
      <c r="JK25" s="29"/>
      <c r="JL25" s="29"/>
      <c r="JM25" s="28"/>
      <c r="JN25" s="29"/>
      <c r="JO25" s="29"/>
      <c r="JP25" s="28"/>
      <c r="JQ25" s="29"/>
      <c r="JR25" s="30"/>
      <c r="JS25" s="28"/>
      <c r="JT25" s="29"/>
      <c r="JU25" s="29"/>
      <c r="JV25" s="29"/>
      <c r="JW25" s="28"/>
      <c r="JX25" s="29"/>
      <c r="JY25" s="29"/>
      <c r="JZ25" s="28"/>
      <c r="KA25" s="29"/>
      <c r="KB25" s="30"/>
      <c r="KC25" s="28"/>
      <c r="KD25" s="29"/>
      <c r="KE25" s="29"/>
      <c r="KF25" s="29"/>
      <c r="KG25" s="28"/>
      <c r="KH25" s="29"/>
      <c r="KI25" s="29"/>
      <c r="KJ25" s="28"/>
      <c r="KK25" s="29"/>
      <c r="KL25" s="30"/>
      <c r="KM25" s="28"/>
      <c r="KN25" s="29"/>
      <c r="KO25" s="29"/>
      <c r="KP25" s="29"/>
      <c r="KQ25" s="28"/>
      <c r="KR25" s="29"/>
      <c r="KS25" s="29"/>
      <c r="KT25" s="28"/>
      <c r="KU25" s="29"/>
      <c r="KV25" s="30"/>
      <c r="KW25" s="28"/>
      <c r="KX25" s="29"/>
      <c r="KY25" s="29"/>
      <c r="KZ25" s="29"/>
      <c r="LA25" s="28"/>
      <c r="LB25" s="29"/>
      <c r="LC25" s="29"/>
      <c r="LD25" s="28"/>
      <c r="LE25" s="29"/>
      <c r="LF25" s="30"/>
      <c r="LG25" s="28"/>
      <c r="LH25" s="29"/>
      <c r="LI25" s="29"/>
      <c r="LJ25" s="29"/>
      <c r="LK25" s="28"/>
      <c r="LL25" s="29"/>
      <c r="LM25" s="29"/>
      <c r="LN25" s="28"/>
      <c r="LO25" s="29"/>
      <c r="LP25" s="30"/>
      <c r="LQ25" s="28"/>
      <c r="LR25" s="29"/>
      <c r="LS25" s="29"/>
      <c r="LT25" s="29"/>
      <c r="LU25" s="28"/>
      <c r="LV25" s="29"/>
      <c r="LW25" s="29"/>
      <c r="LX25" s="28"/>
      <c r="LY25" s="29"/>
      <c r="LZ25" s="30"/>
      <c r="MA25" s="28"/>
      <c r="MB25" s="29"/>
      <c r="MC25" s="29"/>
      <c r="MD25" s="29"/>
      <c r="ME25" s="28"/>
      <c r="MF25" s="29"/>
      <c r="MG25" s="29"/>
      <c r="MH25" s="28"/>
      <c r="MI25" s="29"/>
      <c r="MJ25" s="30"/>
      <c r="MK25" s="28"/>
      <c r="ML25" s="29"/>
      <c r="MM25" s="29"/>
      <c r="MN25" s="29"/>
      <c r="MO25" s="28"/>
      <c r="MP25" s="29"/>
      <c r="MQ25" s="29"/>
      <c r="MR25" s="28"/>
      <c r="MS25" s="29"/>
      <c r="MT25" s="30"/>
      <c r="MU25" s="28"/>
      <c r="MV25" s="29"/>
      <c r="MW25" s="29"/>
      <c r="MX25" s="29"/>
      <c r="MY25" s="28"/>
      <c r="MZ25" s="29"/>
      <c r="NA25" s="29"/>
      <c r="NB25" s="28"/>
      <c r="NC25" s="29"/>
      <c r="ND25" s="30"/>
      <c r="NE25" s="28"/>
      <c r="NF25" s="29"/>
      <c r="NG25" s="29"/>
      <c r="NH25" s="29"/>
      <c r="NI25" s="28"/>
      <c r="NJ25" s="29"/>
      <c r="NK25" s="29"/>
      <c r="NL25" s="28"/>
      <c r="NM25" s="29"/>
      <c r="NN25" s="30"/>
      <c r="NO25" s="28"/>
      <c r="NP25" s="29"/>
      <c r="NQ25" s="29"/>
      <c r="NR25" s="29"/>
      <c r="NS25" s="28"/>
      <c r="NT25" s="29"/>
      <c r="NU25" s="29"/>
      <c r="NV25" s="28"/>
      <c r="NW25" s="29"/>
      <c r="NX25" s="30"/>
      <c r="NY25" s="28"/>
      <c r="NZ25" s="29"/>
      <c r="OA25" s="29"/>
      <c r="OB25" s="29"/>
      <c r="OC25" s="28"/>
      <c r="OD25" s="29"/>
      <c r="OE25" s="29"/>
      <c r="OF25" s="30"/>
      <c r="OG25" s="30"/>
      <c r="OH25" s="30"/>
      <c r="OI25" s="28"/>
      <c r="OJ25" s="30"/>
      <c r="OK25" s="30"/>
      <c r="OL25" s="30"/>
      <c r="OM25" s="30"/>
      <c r="ON25" s="30"/>
      <c r="OO25" s="30"/>
      <c r="OP25" s="28"/>
      <c r="OQ25" s="29"/>
      <c r="OR25" s="30"/>
      <c r="OS25" s="28"/>
      <c r="OT25" s="29"/>
      <c r="OU25" s="29"/>
      <c r="OV25" s="29"/>
      <c r="OW25" s="28"/>
      <c r="OX25" s="29"/>
      <c r="OY25" s="29"/>
      <c r="OZ25" s="28"/>
      <c r="PA25" s="29"/>
      <c r="PB25" s="30"/>
      <c r="PC25" s="28"/>
      <c r="PD25" s="29"/>
      <c r="PE25" s="29"/>
      <c r="PF25" s="29"/>
      <c r="PG25" s="28"/>
      <c r="PH25" s="29"/>
      <c r="PI25" s="29"/>
      <c r="PJ25" s="28"/>
      <c r="PK25" s="29"/>
      <c r="PL25" s="30"/>
      <c r="PM25" s="28"/>
      <c r="PN25" s="29"/>
      <c r="PO25" s="29"/>
      <c r="PP25" s="29"/>
      <c r="PQ25" s="28"/>
      <c r="PR25" s="29"/>
      <c r="PS25" s="29"/>
      <c r="PT25" s="28"/>
      <c r="PU25" s="29"/>
      <c r="PV25" s="30"/>
      <c r="PW25" s="28"/>
      <c r="PX25" s="29"/>
      <c r="PY25" s="29"/>
      <c r="PZ25" s="29"/>
      <c r="QA25" s="28"/>
      <c r="QB25" s="29"/>
      <c r="QC25" s="29"/>
      <c r="QD25" s="28"/>
      <c r="QE25" s="29"/>
      <c r="QF25" s="30"/>
      <c r="QG25" s="28"/>
      <c r="QH25" s="29"/>
      <c r="QI25" s="29"/>
      <c r="QJ25" s="29"/>
      <c r="QK25" s="28"/>
      <c r="QL25" s="29"/>
      <c r="QM25" s="29"/>
      <c r="QN25" s="28"/>
      <c r="QO25" s="29"/>
      <c r="QP25" s="30"/>
      <c r="QQ25" s="28"/>
      <c r="QR25" s="29"/>
      <c r="QS25" s="29"/>
      <c r="QT25" s="29"/>
      <c r="QU25" s="28"/>
      <c r="QV25" s="29"/>
      <c r="QW25" s="29"/>
      <c r="QX25" s="28"/>
      <c r="QY25" s="29"/>
      <c r="QZ25" s="30"/>
      <c r="RA25" s="28"/>
      <c r="RB25" s="29"/>
      <c r="RC25" s="29"/>
      <c r="RD25" s="29"/>
      <c r="RE25" s="28"/>
      <c r="RF25" s="29"/>
      <c r="RG25" s="29"/>
      <c r="RH25" s="28"/>
      <c r="RI25" s="29"/>
      <c r="RJ25" s="30"/>
      <c r="RK25" s="28"/>
      <c r="RL25" s="29"/>
      <c r="RM25" s="29"/>
      <c r="RN25" s="29"/>
      <c r="RO25" s="28"/>
      <c r="RP25" s="29"/>
      <c r="RQ25" s="29"/>
      <c r="RR25" s="28"/>
      <c r="RS25" s="29"/>
      <c r="RT25" s="30"/>
      <c r="RU25" s="28"/>
      <c r="RV25" s="29"/>
      <c r="RW25" s="29"/>
      <c r="RX25" s="29"/>
      <c r="RY25" s="28"/>
      <c r="RZ25" s="29"/>
      <c r="SA25" s="29"/>
      <c r="SB25" s="28"/>
      <c r="SC25" s="29"/>
      <c r="SD25" s="30"/>
      <c r="SE25" s="28"/>
      <c r="SF25" s="29"/>
      <c r="SG25" s="29"/>
      <c r="SH25" s="29"/>
      <c r="SI25" s="28"/>
      <c r="SJ25" s="29"/>
      <c r="SK25" s="29"/>
      <c r="SL25" s="28"/>
      <c r="SM25" s="29"/>
      <c r="SN25" s="30"/>
      <c r="SO25" s="28"/>
      <c r="SP25" s="29"/>
      <c r="SQ25" s="29"/>
      <c r="SR25" s="29"/>
      <c r="SS25" s="28"/>
      <c r="ST25" s="29"/>
      <c r="SU25" s="29"/>
      <c r="SV25" s="28"/>
      <c r="SW25" s="29"/>
      <c r="SX25" s="30"/>
      <c r="SY25" s="28"/>
      <c r="SZ25" s="29"/>
      <c r="TA25" s="29"/>
      <c r="TB25" s="29"/>
      <c r="TC25" s="28"/>
      <c r="TD25" s="29"/>
      <c r="TE25" s="29"/>
      <c r="TF25" s="28"/>
      <c r="TG25" s="29"/>
      <c r="TH25" s="30"/>
      <c r="TI25" s="28"/>
      <c r="TJ25" s="29"/>
      <c r="TK25" s="29"/>
      <c r="TL25" s="29"/>
      <c r="TM25" s="28"/>
      <c r="TN25" s="29"/>
      <c r="TO25" s="29"/>
      <c r="TP25" s="28"/>
      <c r="TQ25" s="29"/>
      <c r="TR25" s="30"/>
      <c r="TS25" s="28"/>
      <c r="TT25" s="29"/>
      <c r="TU25" s="29"/>
      <c r="TV25" s="29"/>
      <c r="TW25" s="28"/>
      <c r="TX25" s="29"/>
      <c r="TY25" s="29"/>
      <c r="TZ25" s="28"/>
      <c r="UA25" s="29"/>
      <c r="UB25" s="30"/>
      <c r="UC25" s="28"/>
      <c r="UD25" s="29"/>
      <c r="UE25" s="29"/>
      <c r="UF25" s="29"/>
      <c r="UG25" s="28"/>
      <c r="UH25" s="29"/>
      <c r="UI25" s="29"/>
      <c r="UJ25" s="28"/>
      <c r="UK25" s="29"/>
      <c r="UL25" s="30"/>
      <c r="UM25" s="28"/>
      <c r="UN25" s="29"/>
      <c r="UO25" s="29"/>
      <c r="UP25" s="29"/>
      <c r="UQ25" s="28"/>
      <c r="UR25" s="29"/>
      <c r="US25" s="29"/>
      <c r="UT25" s="28"/>
      <c r="UU25" s="29"/>
      <c r="UV25" s="30"/>
      <c r="UW25" s="28"/>
      <c r="UX25" s="29"/>
      <c r="UY25" s="29"/>
      <c r="UZ25" s="29"/>
      <c r="VA25" s="28"/>
      <c r="VB25" s="29"/>
      <c r="VC25" s="29"/>
      <c r="VD25" s="28"/>
      <c r="VE25" s="29"/>
      <c r="VF25" s="30"/>
      <c r="VG25" s="28"/>
      <c r="VH25" s="29"/>
      <c r="VI25" s="29"/>
      <c r="VJ25" s="29"/>
      <c r="VK25" s="28"/>
      <c r="VL25" s="29"/>
      <c r="VM25" s="29"/>
      <c r="VN25" s="28"/>
      <c r="VO25" s="29"/>
      <c r="VP25" s="30"/>
      <c r="VQ25" s="28"/>
      <c r="VR25" s="29"/>
      <c r="VS25" s="29"/>
      <c r="VT25" s="29"/>
      <c r="VU25" s="28"/>
      <c r="VV25" s="29"/>
      <c r="VW25" s="29"/>
      <c r="VX25" s="28"/>
      <c r="VY25" s="29"/>
      <c r="VZ25" s="30"/>
      <c r="WA25" s="28"/>
      <c r="WB25" s="29"/>
      <c r="WC25" s="29"/>
      <c r="WD25" s="29"/>
      <c r="WE25" s="28"/>
      <c r="WF25" s="29"/>
      <c r="WG25" s="29"/>
      <c r="WH25" s="28"/>
      <c r="WI25" s="29"/>
      <c r="WJ25" s="30"/>
      <c r="WK25" s="28"/>
      <c r="WL25" s="29"/>
      <c r="WM25" s="29"/>
      <c r="WN25" s="29"/>
      <c r="WO25" s="28"/>
      <c r="WP25" s="29"/>
      <c r="WQ25" s="29"/>
      <c r="WR25" s="28"/>
      <c r="WS25" s="29"/>
      <c r="WT25" s="30"/>
      <c r="WU25" s="28"/>
      <c r="WV25" s="29"/>
      <c r="WW25" s="29"/>
      <c r="WX25" s="29"/>
      <c r="WY25" s="28"/>
      <c r="WZ25" s="29"/>
      <c r="XA25" s="29"/>
      <c r="XB25" s="28"/>
      <c r="XC25" s="29"/>
      <c r="XD25" s="30"/>
      <c r="XE25" s="28"/>
      <c r="XF25" s="29"/>
      <c r="XG25" s="29"/>
      <c r="XH25" s="29"/>
      <c r="XI25" s="28"/>
      <c r="XJ25" s="29"/>
      <c r="XK25" s="29"/>
      <c r="XL25" s="28"/>
      <c r="XM25" s="29"/>
      <c r="XN25" s="30"/>
      <c r="XO25" s="28"/>
      <c r="XP25" s="29"/>
      <c r="XQ25" s="29"/>
      <c r="XR25" s="29"/>
      <c r="XS25" s="28"/>
      <c r="XT25" s="29"/>
      <c r="XU25" s="29"/>
      <c r="XV25" s="28"/>
      <c r="XW25" s="29"/>
      <c r="XX25" s="30"/>
      <c r="XY25" s="28"/>
      <c r="XZ25" s="29"/>
      <c r="YA25" s="29"/>
      <c r="YB25" s="29"/>
      <c r="YC25" s="28"/>
      <c r="YD25" s="29"/>
      <c r="YE25" s="29"/>
      <c r="YF25" s="28"/>
      <c r="YG25" s="29"/>
      <c r="YH25" s="30"/>
      <c r="YI25" s="28"/>
      <c r="YJ25" s="29"/>
      <c r="YK25" s="29"/>
      <c r="YL25" s="29"/>
      <c r="YM25" s="28"/>
      <c r="YN25" s="29"/>
      <c r="YO25" s="29"/>
      <c r="YP25" s="28"/>
      <c r="YQ25" s="29"/>
      <c r="YR25" s="30"/>
      <c r="YS25" s="28"/>
      <c r="YT25" s="29"/>
      <c r="YU25" s="29"/>
      <c r="YV25" s="29"/>
      <c r="YW25" s="28"/>
      <c r="YX25" s="29"/>
      <c r="YY25" s="29"/>
      <c r="YZ25" s="28"/>
      <c r="ZA25" s="29"/>
      <c r="ZB25" s="30"/>
      <c r="ZC25" s="28"/>
      <c r="ZD25" s="29"/>
      <c r="ZE25" s="29"/>
      <c r="ZF25" s="29"/>
      <c r="ZG25" s="28"/>
      <c r="ZH25" s="29"/>
      <c r="ZI25" s="29"/>
      <c r="ZJ25" s="28"/>
      <c r="ZK25" s="29"/>
      <c r="ZL25" s="30"/>
      <c r="ZM25" s="28"/>
      <c r="ZN25" s="29"/>
      <c r="ZO25" s="29"/>
      <c r="ZP25" s="29"/>
      <c r="ZQ25" s="28"/>
      <c r="ZR25" s="29"/>
      <c r="ZS25" s="29"/>
      <c r="ZT25" s="28"/>
      <c r="ZU25" s="29"/>
      <c r="ZV25" s="30"/>
      <c r="ZW25" s="28"/>
      <c r="ZX25" s="29"/>
      <c r="ZY25" s="29"/>
      <c r="ZZ25" s="29"/>
      <c r="AAA25" s="28"/>
      <c r="AAB25" s="29"/>
      <c r="AAC25" s="29"/>
      <c r="AAD25" s="28"/>
      <c r="AAE25" s="29"/>
      <c r="AAF25" s="30"/>
      <c r="AAG25" s="28"/>
      <c r="AAH25" s="29"/>
      <c r="AAI25" s="29"/>
      <c r="AAJ25" s="29"/>
      <c r="AAK25" s="28"/>
      <c r="AAL25" s="29"/>
      <c r="AAM25" s="29"/>
      <c r="AAN25" s="28"/>
      <c r="AAO25" s="29"/>
      <c r="AAP25" s="30"/>
      <c r="AAQ25" s="28"/>
      <c r="AAR25" s="29"/>
      <c r="AAS25" s="29"/>
      <c r="AAT25" s="29"/>
      <c r="AAU25" s="28"/>
      <c r="AAV25" s="29"/>
      <c r="AAW25" s="29"/>
      <c r="AAX25" s="28"/>
      <c r="AAY25" s="29"/>
      <c r="AAZ25" s="30"/>
      <c r="ABA25" s="28"/>
      <c r="ABB25" s="29"/>
      <c r="ABC25" s="29"/>
      <c r="ABD25" s="29"/>
      <c r="ABE25" s="28"/>
      <c r="ABF25" s="29"/>
      <c r="ABG25" s="29"/>
      <c r="ABH25" s="28"/>
      <c r="ABI25" s="29"/>
      <c r="ABJ25" s="30"/>
      <c r="ABK25" s="28"/>
      <c r="ABL25" s="29"/>
      <c r="ABM25" s="29"/>
      <c r="ABN25" s="29"/>
      <c r="ABO25" s="28"/>
      <c r="ABP25" s="29"/>
      <c r="ABQ25" s="29"/>
      <c r="ABR25" s="28"/>
      <c r="ABS25" s="29"/>
      <c r="ABT25" s="30"/>
      <c r="ABU25" s="28"/>
      <c r="ABV25" s="29"/>
      <c r="ABW25" s="29"/>
      <c r="ABX25" s="29"/>
      <c r="ABY25" s="28"/>
      <c r="ABZ25" s="29"/>
      <c r="ACA25" s="29"/>
      <c r="ACB25" s="28"/>
      <c r="ACC25" s="29"/>
      <c r="ACD25" s="30"/>
      <c r="ACE25" s="28"/>
      <c r="ACF25" s="29"/>
      <c r="ACG25" s="29"/>
      <c r="ACH25" s="29"/>
      <c r="ACI25" s="28"/>
      <c r="ACJ25" s="29"/>
      <c r="ACK25" s="29"/>
      <c r="ACL25" s="28"/>
      <c r="ACM25" s="29"/>
      <c r="ACN25" s="30"/>
      <c r="ACO25" s="28"/>
      <c r="ACP25" s="29"/>
      <c r="ACQ25" s="29"/>
      <c r="ACR25" s="29"/>
      <c r="ACS25" s="28"/>
      <c r="ACT25" s="29"/>
      <c r="ACU25" s="29"/>
      <c r="ACV25" s="28"/>
      <c r="ACW25" s="29"/>
      <c r="ACX25" s="30"/>
      <c r="ACY25" s="28"/>
      <c r="ACZ25" s="29"/>
      <c r="ADA25" s="29"/>
      <c r="ADB25" s="29"/>
      <c r="ADC25" s="28"/>
      <c r="ADD25" s="29"/>
      <c r="ADE25" s="29"/>
      <c r="ADF25" s="28"/>
      <c r="ADG25" s="29"/>
      <c r="ADH25" s="30"/>
      <c r="ADI25" s="28"/>
      <c r="ADJ25" s="29"/>
      <c r="ADK25" s="29"/>
      <c r="ADL25" s="29"/>
      <c r="ADM25" s="28"/>
      <c r="ADN25" s="29"/>
      <c r="ADO25" s="29"/>
      <c r="ADP25" s="28"/>
      <c r="ADQ25" s="29"/>
      <c r="ADR25" s="30"/>
      <c r="ADS25" s="28"/>
      <c r="ADT25" s="29"/>
      <c r="ADU25" s="29"/>
      <c r="ADV25" s="29"/>
      <c r="ADW25" s="28"/>
      <c r="ADX25" s="29"/>
      <c r="ADY25" s="29"/>
      <c r="ADZ25" s="28"/>
      <c r="AEA25" s="29"/>
      <c r="AEB25" s="30"/>
      <c r="AEC25" s="28"/>
      <c r="AED25" s="29"/>
      <c r="AEE25" s="29"/>
      <c r="AEF25" s="29"/>
      <c r="AEG25" s="28"/>
      <c r="AEH25" s="29"/>
      <c r="AEI25" s="29"/>
      <c r="AEJ25" s="28"/>
      <c r="AEK25" s="29"/>
      <c r="AEL25" s="30"/>
      <c r="AEM25" s="28"/>
      <c r="AEN25" s="29"/>
      <c r="AEO25" s="29"/>
      <c r="AEP25" s="29"/>
      <c r="AEQ25" s="28"/>
      <c r="AER25" s="29"/>
      <c r="AES25" s="29"/>
      <c r="AET25" s="28"/>
      <c r="AEU25" s="29"/>
      <c r="AEV25" s="30"/>
      <c r="AEW25" s="28"/>
      <c r="AEX25" s="29"/>
      <c r="AEY25" s="29"/>
      <c r="AEZ25" s="29"/>
      <c r="AFA25" s="28"/>
      <c r="AFB25" s="29"/>
      <c r="AFC25" s="29"/>
      <c r="AFD25" s="28"/>
      <c r="AFE25" s="29"/>
      <c r="AFF25" s="30"/>
      <c r="AFG25" s="28"/>
      <c r="AFH25" s="29"/>
      <c r="AFI25" s="29"/>
      <c r="AFJ25" s="29"/>
      <c r="AFK25" s="28"/>
      <c r="AFL25" s="29"/>
      <c r="AFM25" s="29"/>
      <c r="AFN25" s="28"/>
      <c r="AFO25" s="29"/>
      <c r="AFP25" s="30"/>
      <c r="AFQ25" s="28"/>
      <c r="AFR25" s="29"/>
      <c r="AFS25" s="29"/>
      <c r="AFT25" s="29"/>
      <c r="AFU25" s="28"/>
      <c r="AFV25" s="29"/>
      <c r="AFW25" s="29"/>
      <c r="AFX25" s="28"/>
      <c r="AFY25" s="29"/>
      <c r="AFZ25" s="30"/>
      <c r="AGA25" s="28"/>
      <c r="AGB25" s="29"/>
      <c r="AGC25" s="29"/>
      <c r="AGD25" s="29"/>
      <c r="AGE25" s="28"/>
      <c r="AGF25" s="29"/>
      <c r="AGG25" s="29"/>
      <c r="AGH25" s="28"/>
      <c r="AGI25" s="29"/>
      <c r="AGJ25" s="30"/>
      <c r="AGK25" s="28"/>
      <c r="AGL25" s="29"/>
      <c r="AGM25" s="29"/>
      <c r="AGN25" s="29"/>
      <c r="AGO25" s="28"/>
      <c r="AGP25" s="29"/>
      <c r="AGQ25" s="29"/>
      <c r="AGR25" s="28"/>
      <c r="AGS25" s="29"/>
      <c r="AGT25" s="30"/>
      <c r="AGU25" s="28"/>
      <c r="AGV25" s="29"/>
      <c r="AGW25" s="29"/>
      <c r="AGX25" s="29"/>
      <c r="AGY25" s="28"/>
      <c r="AGZ25" s="29"/>
      <c r="AHA25" s="29"/>
      <c r="AHB25" s="28"/>
      <c r="AHC25" s="29"/>
      <c r="AHD25" s="30"/>
      <c r="AHE25" s="28"/>
      <c r="AHF25" s="29"/>
      <c r="AHG25" s="29"/>
      <c r="AHH25" s="29"/>
      <c r="AHI25" s="28"/>
      <c r="AHJ25" s="29"/>
      <c r="AHK25" s="29"/>
      <c r="AHL25" s="28"/>
      <c r="AHM25" s="29"/>
      <c r="AHN25" s="30"/>
      <c r="AHO25" s="28"/>
      <c r="AHP25" s="29"/>
      <c r="AHQ25" s="29"/>
      <c r="AHR25" s="29"/>
      <c r="AHS25" s="28"/>
      <c r="AHT25" s="29"/>
      <c r="AHU25" s="29"/>
      <c r="AHV25" s="28"/>
      <c r="AHW25" s="29"/>
      <c r="AHX25" s="30"/>
      <c r="AHY25" s="28"/>
      <c r="AHZ25" s="29"/>
      <c r="AIA25" s="29"/>
      <c r="AIB25" s="29"/>
      <c r="AIC25" s="28"/>
      <c r="AID25" s="29"/>
      <c r="AIE25" s="29"/>
      <c r="AIF25" s="28"/>
      <c r="AIG25" s="29"/>
      <c r="AIH25" s="30"/>
      <c r="AII25" s="28"/>
      <c r="AIJ25" s="29"/>
      <c r="AIK25" s="29"/>
      <c r="AIL25" s="29"/>
      <c r="AIM25" s="28"/>
      <c r="AIN25" s="29"/>
      <c r="AIO25" s="29"/>
      <c r="AIP25" s="28"/>
      <c r="AIQ25" s="29"/>
      <c r="AIR25" s="30"/>
      <c r="AIS25" s="28"/>
      <c r="AIT25" s="29"/>
      <c r="AIU25" s="29"/>
      <c r="AIV25" s="29"/>
      <c r="AIW25" s="28"/>
      <c r="AIX25" s="29"/>
      <c r="AIY25" s="29"/>
      <c r="AIZ25" s="28"/>
      <c r="AJA25" s="29"/>
      <c r="AJB25" s="30"/>
      <c r="AJC25" s="28"/>
      <c r="AJD25" s="29"/>
      <c r="AJE25" s="29"/>
      <c r="AJF25" s="29"/>
      <c r="AJG25" s="28"/>
      <c r="AJH25" s="29"/>
      <c r="AJI25" s="29"/>
      <c r="AJJ25" s="28"/>
      <c r="AJK25" s="29"/>
      <c r="AJL25" s="30"/>
      <c r="AJM25" s="28"/>
      <c r="AJN25" s="29"/>
      <c r="AJO25" s="29"/>
      <c r="AJP25" s="29"/>
      <c r="AJQ25" s="28"/>
      <c r="AJR25" s="29"/>
      <c r="AJS25" s="29"/>
      <c r="AJT25" s="28"/>
      <c r="AJU25" s="29"/>
      <c r="AJV25" s="30"/>
      <c r="AJW25" s="28"/>
      <c r="AJX25" s="29"/>
      <c r="AJY25" s="29"/>
      <c r="AJZ25" s="29"/>
      <c r="AKA25" s="28"/>
      <c r="AKB25" s="29"/>
      <c r="AKC25" s="29"/>
      <c r="AKD25" s="28"/>
      <c r="AKE25" s="29"/>
      <c r="AKF25" s="30"/>
      <c r="AKG25" s="28"/>
      <c r="AKH25" s="29"/>
      <c r="AKI25" s="29"/>
      <c r="AKJ25" s="29"/>
      <c r="AKK25" s="28"/>
      <c r="AKL25" s="29"/>
      <c r="AKM25" s="29"/>
      <c r="AKN25" s="28"/>
      <c r="AKO25" s="29"/>
      <c r="AKP25" s="30"/>
      <c r="AKQ25" s="28"/>
      <c r="AKR25" s="29"/>
      <c r="AKS25" s="29"/>
      <c r="AKT25" s="29"/>
      <c r="AKU25" s="28"/>
      <c r="AKV25" s="29"/>
      <c r="AKW25" s="29"/>
      <c r="AKX25" s="28"/>
      <c r="AKY25" s="29"/>
      <c r="AKZ25" s="30"/>
      <c r="ALA25" s="28"/>
      <c r="ALB25" s="29"/>
      <c r="ALC25" s="29"/>
      <c r="ALD25" s="29"/>
      <c r="ALE25" s="28"/>
      <c r="ALF25" s="29"/>
      <c r="ALG25" s="29"/>
      <c r="ALH25" s="29"/>
      <c r="ALI25" s="29"/>
      <c r="ALJ25" s="29"/>
      <c r="ALK25" s="28"/>
      <c r="ALL25" s="29"/>
      <c r="ALM25" s="29"/>
      <c r="ALN25" s="28"/>
      <c r="ALO25" s="29"/>
      <c r="ALP25" s="30"/>
      <c r="ALQ25" s="28"/>
      <c r="ALR25" s="29"/>
      <c r="ALS25" s="29"/>
      <c r="ALT25" s="29"/>
      <c r="ALU25" s="28"/>
      <c r="ALV25" s="29"/>
      <c r="ALW25" s="29"/>
      <c r="ALX25" s="28"/>
      <c r="ALY25" s="29"/>
      <c r="ALZ25" s="30"/>
      <c r="AMA25" s="28"/>
      <c r="AMB25" s="29"/>
      <c r="AMC25" s="29"/>
      <c r="AMD25" s="29"/>
      <c r="AME25" s="28"/>
      <c r="AMF25" s="29"/>
      <c r="AMG25" s="29"/>
      <c r="AMH25" s="29"/>
      <c r="AMI25" s="29"/>
      <c r="AMJ25" s="29"/>
      <c r="AMK25" s="28"/>
      <c r="AML25" s="29"/>
      <c r="AMM25" s="29"/>
      <c r="AMN25" s="28"/>
      <c r="AMO25" s="29"/>
      <c r="AMP25" s="30"/>
      <c r="AMQ25" s="28"/>
      <c r="AMR25" s="29"/>
      <c r="AMS25" s="29"/>
      <c r="AMT25" s="29"/>
      <c r="AMU25" s="28"/>
      <c r="AMV25" s="29"/>
      <c r="AMW25" s="29"/>
      <c r="AMX25" s="28"/>
      <c r="AMY25" s="29"/>
      <c r="AMZ25" s="30"/>
      <c r="ANA25" s="28"/>
      <c r="ANB25" s="29"/>
      <c r="ANC25" s="29"/>
      <c r="AND25" s="29"/>
      <c r="ANE25" s="28"/>
      <c r="ANF25" s="29"/>
      <c r="ANG25" s="29"/>
      <c r="ANH25" s="29"/>
      <c r="ANI25" s="29"/>
      <c r="ANJ25" s="29"/>
      <c r="ANK25" s="28"/>
      <c r="ANL25" s="29"/>
      <c r="ANM25" s="29"/>
      <c r="ANN25" s="28"/>
      <c r="ANO25" s="29"/>
      <c r="ANP25" s="30"/>
      <c r="ANQ25" s="28"/>
      <c r="ANR25" s="29"/>
      <c r="ANS25" s="29"/>
      <c r="ANT25" s="29"/>
      <c r="ANU25" s="28"/>
      <c r="ANV25" s="29"/>
      <c r="ANW25" s="29"/>
      <c r="ANX25" s="28"/>
      <c r="ANY25" s="29"/>
      <c r="ANZ25" s="30"/>
      <c r="AOA25" s="28"/>
      <c r="AOB25" s="29"/>
      <c r="AOC25" s="29"/>
      <c r="AOD25" s="29"/>
      <c r="AOE25" s="28"/>
      <c r="AOF25" s="29"/>
      <c r="AOG25" s="29"/>
      <c r="AOH25" s="29"/>
      <c r="AOI25" s="29"/>
      <c r="AOJ25" s="29"/>
      <c r="AOK25" s="28"/>
      <c r="AOL25" s="29"/>
      <c r="AOM25" s="29"/>
      <c r="AON25" s="28"/>
      <c r="AOO25" s="29"/>
      <c r="AOP25" s="30"/>
      <c r="AOQ25" s="28"/>
      <c r="AOR25" s="29"/>
      <c r="AOS25" s="29"/>
      <c r="AOT25" s="29"/>
      <c r="AOU25" s="28"/>
      <c r="AOV25" s="29"/>
      <c r="AOW25" s="29"/>
      <c r="AOX25" s="28"/>
      <c r="AOY25" s="29"/>
      <c r="AOZ25" s="30"/>
      <c r="APA25" s="28"/>
      <c r="APB25" s="29"/>
      <c r="APC25" s="29"/>
      <c r="APD25" s="29"/>
      <c r="APE25" s="28"/>
      <c r="APF25" s="29"/>
      <c r="APG25" s="29"/>
      <c r="APH25" s="29"/>
      <c r="API25" s="29"/>
      <c r="APJ25" s="29"/>
      <c r="APK25" s="28"/>
      <c r="APL25" s="29"/>
      <c r="APM25" s="29"/>
      <c r="APN25" s="28"/>
      <c r="APO25" s="29"/>
      <c r="APP25" s="30"/>
      <c r="APQ25" s="28"/>
      <c r="APR25" s="29"/>
      <c r="APS25" s="29"/>
      <c r="APT25" s="29"/>
      <c r="APU25" s="28"/>
      <c r="APV25" s="29"/>
      <c r="APW25" s="29"/>
      <c r="APX25" s="28"/>
      <c r="APY25" s="29"/>
      <c r="APZ25" s="30"/>
      <c r="AQA25" s="28"/>
      <c r="AQB25" s="29"/>
      <c r="AQC25" s="29"/>
      <c r="AQD25" s="29"/>
      <c r="AQE25" s="28"/>
      <c r="AQF25" s="29"/>
      <c r="AQG25" s="29"/>
      <c r="AQH25" s="29"/>
      <c r="AQI25" s="29"/>
      <c r="AQJ25" s="29"/>
      <c r="AQK25" s="28"/>
      <c r="AQL25" s="29"/>
      <c r="AQM25" s="29"/>
      <c r="AQN25" s="28"/>
      <c r="AQO25" s="29"/>
      <c r="AQP25" s="30"/>
      <c r="AQQ25" s="28"/>
      <c r="AQR25" s="29"/>
      <c r="AQS25" s="29"/>
      <c r="AQT25" s="29"/>
      <c r="AQU25" s="28"/>
      <c r="AQV25" s="29"/>
      <c r="AQW25" s="29"/>
      <c r="AQX25" s="28"/>
      <c r="AQY25" s="29"/>
      <c r="AQZ25" s="30"/>
      <c r="ARA25" s="28"/>
      <c r="ARB25" s="29"/>
      <c r="ARC25" s="29"/>
      <c r="ARD25" s="29"/>
      <c r="ARE25" s="28"/>
      <c r="ARF25" s="29"/>
      <c r="ARG25" s="29"/>
      <c r="ARH25" s="29"/>
      <c r="ARI25" s="29"/>
      <c r="ARJ25" s="29"/>
      <c r="ARK25" s="28"/>
      <c r="ARL25" s="29"/>
      <c r="ARM25" s="29"/>
      <c r="ARN25" s="28"/>
      <c r="ARO25" s="29"/>
      <c r="ARP25" s="30"/>
      <c r="ARQ25" s="28"/>
      <c r="ARR25" s="29"/>
      <c r="ARS25" s="29"/>
      <c r="ART25" s="29"/>
      <c r="ARU25" s="28"/>
      <c r="ARV25" s="29"/>
      <c r="ARW25" s="29"/>
      <c r="ARX25" s="28"/>
      <c r="ARY25" s="29"/>
      <c r="ARZ25" s="30"/>
      <c r="ASA25" s="28"/>
      <c r="ASB25" s="29"/>
      <c r="ASC25" s="29"/>
      <c r="ASD25" s="29"/>
      <c r="ASE25" s="28"/>
      <c r="ASF25" s="29"/>
      <c r="ASG25" s="29"/>
      <c r="ASH25" s="29"/>
      <c r="ASI25" s="29"/>
      <c r="ASJ25" s="29"/>
      <c r="ASK25" s="28"/>
      <c r="ASL25" s="29"/>
      <c r="ASM25" s="29"/>
      <c r="ASN25" s="28"/>
      <c r="ASO25" s="29"/>
      <c r="ASP25" s="30"/>
      <c r="ASQ25" s="28"/>
      <c r="ASR25" s="29"/>
      <c r="ASS25" s="29"/>
      <c r="AST25" s="29"/>
      <c r="ASU25" s="28"/>
      <c r="ASV25" s="29"/>
      <c r="ASW25" s="29"/>
      <c r="ASX25" s="28"/>
      <c r="ASY25" s="29"/>
      <c r="ASZ25" s="30"/>
      <c r="ATA25" s="28"/>
      <c r="ATB25" s="29"/>
      <c r="ATC25" s="29"/>
      <c r="ATD25" s="29"/>
      <c r="ATE25" s="28"/>
      <c r="ATF25" s="29"/>
      <c r="ATG25" s="29"/>
      <c r="ATH25" s="29"/>
      <c r="ATI25" s="29"/>
      <c r="ATJ25" s="29"/>
      <c r="ATK25" s="28"/>
      <c r="ATL25" s="29"/>
      <c r="ATM25" s="29"/>
      <c r="ATN25" s="28"/>
      <c r="ATO25" s="29"/>
      <c r="ATP25" s="30"/>
      <c r="ATQ25" s="28"/>
      <c r="ATR25" s="29"/>
      <c r="ATS25" s="29"/>
      <c r="ATT25" s="29"/>
      <c r="ATU25" s="28"/>
      <c r="ATV25" s="29"/>
      <c r="ATW25" s="29"/>
      <c r="ATX25" s="28"/>
      <c r="ATY25" s="29"/>
      <c r="ATZ25" s="30"/>
      <c r="AUA25" s="28"/>
      <c r="AUB25" s="29"/>
      <c r="AUC25" s="29"/>
      <c r="AUD25" s="29"/>
      <c r="AUE25" s="28"/>
      <c r="AUF25" s="29"/>
      <c r="AUG25" s="29"/>
      <c r="AUH25" s="29"/>
      <c r="AUI25" s="29"/>
      <c r="AUJ25" s="29"/>
      <c r="AUK25" s="28"/>
      <c r="AUL25" s="29"/>
      <c r="AUM25" s="29"/>
      <c r="AUN25" s="28"/>
      <c r="AUO25" s="29"/>
      <c r="AUP25" s="30"/>
      <c r="AUQ25" s="28"/>
      <c r="AUR25" s="29"/>
      <c r="AUS25" s="29"/>
      <c r="AUT25" s="29"/>
      <c r="AUU25" s="28"/>
      <c r="AUV25" s="29"/>
      <c r="AUW25" s="29"/>
      <c r="AUX25" s="28"/>
      <c r="AUY25" s="29"/>
      <c r="AUZ25" s="30"/>
      <c r="AVA25" s="28"/>
      <c r="AVB25" s="29"/>
      <c r="AVC25" s="29"/>
      <c r="AVD25" s="29"/>
      <c r="AVE25" s="28"/>
      <c r="AVF25" s="29"/>
      <c r="AVG25" s="29"/>
      <c r="AVH25" s="29"/>
      <c r="AVI25" s="29"/>
      <c r="AVJ25" s="29"/>
      <c r="AVK25" s="28"/>
      <c r="AVL25" s="29"/>
      <c r="AVM25" s="29"/>
      <c r="AVN25" s="28"/>
      <c r="AVO25" s="29"/>
      <c r="AVP25" s="30"/>
      <c r="AVQ25" s="28"/>
      <c r="AVR25" s="29"/>
      <c r="AVS25" s="29"/>
      <c r="AVT25" s="29"/>
      <c r="AVU25" s="28"/>
      <c r="AVV25" s="29"/>
      <c r="AVW25" s="29"/>
      <c r="AVX25" s="28"/>
      <c r="AVY25" s="29"/>
      <c r="AVZ25" s="30"/>
      <c r="AWA25" s="28"/>
      <c r="AWB25" s="29"/>
      <c r="AWC25" s="29"/>
      <c r="AWD25" s="29"/>
      <c r="AWE25" s="28"/>
      <c r="AWF25" s="29"/>
      <c r="AWG25" s="29"/>
      <c r="AWH25" s="29"/>
      <c r="AWI25" s="29"/>
      <c r="AWJ25" s="29"/>
      <c r="AWK25" s="28"/>
      <c r="AWL25" s="29"/>
      <c r="AWM25" s="29"/>
      <c r="AWN25" s="28"/>
      <c r="AWO25" s="29"/>
      <c r="AWP25" s="30"/>
      <c r="AWQ25" s="28"/>
      <c r="AWR25" s="29"/>
      <c r="AWS25" s="29"/>
      <c r="AWT25" s="29"/>
      <c r="AWU25" s="28"/>
      <c r="AWV25" s="29"/>
      <c r="AWW25" s="29"/>
      <c r="AWX25" s="28"/>
      <c r="AWY25" s="29"/>
      <c r="AWZ25" s="30"/>
      <c r="AXA25" s="28"/>
      <c r="AXB25" s="29"/>
      <c r="AXC25" s="29"/>
      <c r="AXD25" s="29"/>
      <c r="AXE25" s="28"/>
      <c r="AXF25" s="29"/>
      <c r="AXG25" s="29"/>
      <c r="AXH25" s="29"/>
      <c r="AXI25" s="29"/>
      <c r="AXJ25" s="29"/>
      <c r="AXK25" s="28"/>
      <c r="AXL25" s="29"/>
      <c r="AXM25" s="29"/>
      <c r="AXN25" s="28"/>
      <c r="AXO25" s="29"/>
      <c r="AXP25" s="30"/>
      <c r="AXQ25" s="28"/>
      <c r="AXR25" s="29"/>
      <c r="AXS25" s="29"/>
      <c r="AXT25" s="29"/>
      <c r="AXU25" s="28"/>
      <c r="AXV25" s="29"/>
      <c r="AXW25" s="29"/>
      <c r="AXX25" s="28"/>
      <c r="AXY25" s="29"/>
      <c r="AXZ25" s="30"/>
      <c r="AYA25" s="28"/>
      <c r="AYB25" s="29"/>
      <c r="AYC25" s="29"/>
      <c r="AYD25" s="29"/>
      <c r="AYE25" s="28"/>
      <c r="AYF25" s="29"/>
      <c r="AYG25" s="29"/>
      <c r="AYH25" s="29"/>
      <c r="AYI25" s="29"/>
      <c r="AYJ25" s="29"/>
      <c r="AYK25" s="28"/>
      <c r="AYL25" s="29"/>
      <c r="AYM25" s="29"/>
      <c r="AYN25" s="28"/>
      <c r="AYO25" s="29"/>
      <c r="AYP25" s="30"/>
      <c r="AYQ25" s="28"/>
      <c r="AYR25" s="29"/>
      <c r="AYS25" s="29"/>
      <c r="AYT25" s="29"/>
      <c r="AYU25" s="28"/>
      <c r="AYV25" s="29"/>
      <c r="AYW25" s="29"/>
      <c r="AYX25" s="28"/>
      <c r="AYY25" s="29"/>
      <c r="AYZ25" s="30"/>
      <c r="AZA25" s="28"/>
      <c r="AZB25" s="29"/>
      <c r="AZC25" s="29"/>
      <c r="AZD25" s="29"/>
      <c r="AZE25" s="28"/>
      <c r="AZF25" s="29"/>
      <c r="AZG25" s="29"/>
      <c r="AZH25" s="29"/>
      <c r="AZI25" s="29"/>
      <c r="AZJ25" s="29"/>
      <c r="AZK25" s="28"/>
      <c r="AZL25" s="29"/>
      <c r="AZM25" s="29"/>
      <c r="AZN25" s="28"/>
      <c r="AZO25" s="29"/>
      <c r="AZP25" s="30"/>
      <c r="AZQ25" s="28"/>
      <c r="AZR25" s="29"/>
      <c r="AZS25" s="29"/>
      <c r="AZT25" s="29"/>
      <c r="AZU25" s="28"/>
      <c r="AZV25" s="29"/>
      <c r="AZW25" s="29"/>
      <c r="AZX25" s="28"/>
      <c r="AZY25" s="29"/>
      <c r="AZZ25" s="30"/>
      <c r="BAA25" s="28"/>
      <c r="BAB25" s="29"/>
      <c r="BAC25" s="29"/>
      <c r="BAD25" s="29"/>
      <c r="BAE25" s="28"/>
      <c r="BAF25" s="29"/>
      <c r="BAG25" s="29"/>
      <c r="BAH25" s="29"/>
      <c r="BAI25" s="29"/>
      <c r="BAJ25" s="29"/>
      <c r="BAK25" s="28"/>
      <c r="BAL25" s="29"/>
      <c r="BAM25" s="29"/>
      <c r="BAN25" s="28"/>
      <c r="BAO25" s="29"/>
      <c r="BAP25" s="30"/>
      <c r="BAQ25" s="28"/>
      <c r="BAR25" s="29"/>
      <c r="BAS25" s="29"/>
      <c r="BAT25" s="29"/>
      <c r="BAU25" s="28"/>
      <c r="BAV25" s="29"/>
      <c r="BAW25" s="29"/>
      <c r="BAX25" s="28"/>
      <c r="BAY25" s="29"/>
      <c r="BAZ25" s="30"/>
      <c r="BBA25" s="28"/>
      <c r="BBB25" s="29"/>
      <c r="BBC25" s="29"/>
      <c r="BBD25" s="29"/>
      <c r="BBE25" s="28"/>
      <c r="BBF25" s="29"/>
      <c r="BBG25" s="29"/>
      <c r="BBH25" s="29"/>
      <c r="BBI25" s="29"/>
      <c r="BBJ25" s="29"/>
      <c r="BBK25" s="28"/>
      <c r="BBL25" s="29"/>
      <c r="BBM25" s="29"/>
      <c r="BBN25" s="28"/>
      <c r="BBO25" s="29"/>
      <c r="BBP25" s="30"/>
      <c r="BBQ25" s="28"/>
      <c r="BBR25" s="29"/>
      <c r="BBS25" s="29"/>
      <c r="BBT25" s="29"/>
      <c r="BBU25" s="28"/>
      <c r="BBV25" s="29"/>
      <c r="BBW25" s="29"/>
      <c r="BBX25" s="28"/>
      <c r="BBY25" s="29"/>
      <c r="BBZ25" s="30"/>
      <c r="BCA25" s="28"/>
      <c r="BCB25" s="29"/>
      <c r="BCC25" s="29"/>
      <c r="BCD25" s="29"/>
      <c r="BCE25" s="28"/>
      <c r="BCF25" s="29"/>
      <c r="BCG25" s="29"/>
      <c r="BCH25" s="29"/>
      <c r="BCI25" s="29"/>
      <c r="BCJ25" s="29"/>
      <c r="BCK25" s="28"/>
      <c r="BCL25" s="29"/>
      <c r="BCM25" s="29"/>
      <c r="BCN25" s="28"/>
      <c r="BCO25" s="29"/>
      <c r="BCP25" s="30"/>
      <c r="BCQ25" s="28"/>
      <c r="BCR25" s="29"/>
      <c r="BCS25" s="29"/>
      <c r="BCT25" s="29"/>
      <c r="BCU25" s="28"/>
      <c r="BCV25" s="29"/>
      <c r="BCW25" s="29"/>
      <c r="BCX25" s="28"/>
      <c r="BCY25" s="29"/>
      <c r="BCZ25" s="30"/>
      <c r="BDA25" s="28"/>
      <c r="BDB25" s="29"/>
      <c r="BDC25" s="29"/>
      <c r="BDD25" s="29"/>
      <c r="BDE25" s="28"/>
      <c r="BDF25" s="29"/>
      <c r="BDG25" s="29"/>
      <c r="BDH25" s="29"/>
      <c r="BDI25" s="29"/>
      <c r="BDJ25" s="29"/>
      <c r="BDK25" s="28"/>
      <c r="BDL25" s="29"/>
      <c r="BDM25" s="29"/>
      <c r="BDN25" s="28"/>
      <c r="BDO25" s="29"/>
      <c r="BDP25" s="30"/>
      <c r="BDQ25" s="28"/>
      <c r="BDR25" s="29"/>
      <c r="BDS25" s="29"/>
      <c r="BDT25" s="29"/>
      <c r="BDU25" s="28"/>
      <c r="BDV25" s="29"/>
      <c r="BDW25" s="29"/>
      <c r="BDX25" s="28"/>
      <c r="BDY25" s="29"/>
      <c r="BDZ25" s="30"/>
      <c r="BEA25" s="28"/>
      <c r="BEB25" s="29"/>
      <c r="BEC25" s="29"/>
      <c r="BED25" s="29"/>
      <c r="BEE25" s="28"/>
      <c r="BEF25" s="29"/>
      <c r="BEG25" s="29"/>
      <c r="BEH25" s="29"/>
      <c r="BEI25" s="29"/>
      <c r="BEJ25" s="29"/>
      <c r="BEK25" s="28"/>
      <c r="BEL25" s="29"/>
      <c r="BEM25" s="29"/>
      <c r="BEN25" s="28"/>
      <c r="BEO25" s="29"/>
      <c r="BEP25" s="30"/>
      <c r="BEQ25" s="28"/>
      <c r="BER25" s="29"/>
      <c r="BES25" s="29"/>
      <c r="BET25" s="29"/>
      <c r="BEU25" s="28"/>
      <c r="BEV25" s="29"/>
      <c r="BEW25" s="29"/>
      <c r="BEX25" s="28"/>
      <c r="BEY25" s="29"/>
      <c r="BEZ25" s="30"/>
      <c r="BFA25" s="28"/>
      <c r="BFB25" s="29"/>
      <c r="BFC25" s="29"/>
      <c r="BFD25" s="29"/>
      <c r="BFE25" s="28"/>
      <c r="BFF25" s="29"/>
      <c r="BFG25" s="29"/>
      <c r="BFH25" s="29"/>
      <c r="BFI25" s="29"/>
      <c r="BFJ25" s="29"/>
      <c r="BFK25" s="28"/>
      <c r="BFL25" s="29"/>
      <c r="BFM25" s="29"/>
      <c r="BFN25" s="28"/>
      <c r="BFO25" s="29"/>
      <c r="BFP25" s="30"/>
      <c r="BFQ25" s="28"/>
      <c r="BFR25" s="29"/>
      <c r="BFS25" s="29"/>
      <c r="BFT25" s="29"/>
      <c r="BFU25" s="28"/>
      <c r="BFV25" s="29"/>
      <c r="BFW25" s="29"/>
      <c r="BFX25" s="28"/>
      <c r="BFY25" s="29"/>
      <c r="BFZ25" s="30"/>
      <c r="BGA25" s="28"/>
      <c r="BGB25" s="29"/>
      <c r="BGC25" s="29"/>
      <c r="BGD25" s="29"/>
      <c r="BGE25" s="28"/>
      <c r="BGF25" s="29"/>
      <c r="BGG25" s="29"/>
      <c r="BGH25" s="29"/>
      <c r="BGI25" s="29"/>
      <c r="BGJ25" s="29"/>
      <c r="BGK25" s="28"/>
      <c r="BGL25" s="29"/>
      <c r="BGM25" s="29"/>
      <c r="BGN25" s="28"/>
      <c r="BGO25" s="29"/>
      <c r="BGP25" s="30"/>
      <c r="BGQ25" s="28"/>
      <c r="BGR25" s="29"/>
      <c r="BGS25" s="29"/>
      <c r="BGT25" s="29"/>
      <c r="BGU25" s="28"/>
      <c r="BGV25" s="29"/>
      <c r="BGW25" s="29"/>
      <c r="BGX25" s="28"/>
      <c r="BGY25" s="29"/>
      <c r="BGZ25" s="30"/>
      <c r="BHA25" s="28"/>
      <c r="BHB25" s="29"/>
      <c r="BHC25" s="29"/>
      <c r="BHD25" s="29"/>
      <c r="BHE25" s="28"/>
      <c r="BHF25" s="29"/>
      <c r="BHG25" s="29"/>
      <c r="BHH25" s="29"/>
      <c r="BHI25" s="29"/>
      <c r="BHJ25" s="29"/>
      <c r="BHK25" s="28"/>
      <c r="BHL25" s="29"/>
      <c r="BHM25" s="29"/>
      <c r="BHN25" s="28"/>
      <c r="BHO25" s="29"/>
      <c r="BHP25" s="30"/>
      <c r="BHQ25" s="28"/>
      <c r="BHR25" s="29"/>
      <c r="BHS25" s="29"/>
      <c r="BHT25" s="29"/>
      <c r="BHU25" s="28"/>
      <c r="BHV25" s="29"/>
      <c r="BHW25" s="29"/>
      <c r="BHX25" s="28"/>
      <c r="BHY25" s="29"/>
      <c r="BHZ25" s="30"/>
      <c r="BIA25" s="28"/>
      <c r="BIB25" s="29"/>
      <c r="BIC25" s="29"/>
      <c r="BID25" s="29"/>
      <c r="BIE25" s="28"/>
      <c r="BIF25" s="29"/>
      <c r="BIG25" s="29"/>
      <c r="BIH25" s="29"/>
      <c r="BII25" s="29"/>
      <c r="BIJ25" s="29"/>
      <c r="BIK25" s="28"/>
      <c r="BIL25" s="29"/>
      <c r="BIM25" s="29"/>
      <c r="BIN25" s="28"/>
      <c r="BIO25" s="29"/>
      <c r="BIP25" s="30"/>
      <c r="BIQ25" s="28"/>
      <c r="BIR25" s="29"/>
      <c r="BIS25" s="29"/>
      <c r="BIT25" s="29"/>
      <c r="BIU25" s="28"/>
      <c r="BIV25" s="29"/>
      <c r="BIW25" s="29"/>
      <c r="BIX25" s="28"/>
      <c r="BIY25" s="29"/>
      <c r="BIZ25" s="30"/>
      <c r="BJA25" s="28"/>
      <c r="BJB25" s="29"/>
      <c r="BJC25" s="29"/>
      <c r="BJD25" s="29"/>
      <c r="BJE25" s="28"/>
      <c r="BJF25" s="29"/>
      <c r="BJG25" s="29"/>
      <c r="BJH25" s="29"/>
      <c r="BJI25" s="29"/>
      <c r="BJJ25" s="29"/>
      <c r="BJK25" s="28"/>
      <c r="BJL25" s="29"/>
      <c r="BJM25" s="29"/>
      <c r="BJN25" s="28"/>
      <c r="BJO25" s="29"/>
      <c r="BJP25" s="30"/>
      <c r="BJQ25" s="28"/>
      <c r="BJR25" s="29"/>
      <c r="BJS25" s="29"/>
      <c r="BJT25" s="29"/>
      <c r="BJU25" s="28"/>
      <c r="BJV25" s="29"/>
      <c r="BJW25" s="29"/>
      <c r="BJX25" s="28"/>
      <c r="BJY25" s="29"/>
      <c r="BJZ25" s="30"/>
      <c r="BKA25" s="28"/>
      <c r="BKB25" s="29"/>
      <c r="BKC25" s="29"/>
      <c r="BKD25" s="29"/>
      <c r="BKE25" s="28"/>
      <c r="BKF25" s="29"/>
      <c r="BKG25" s="29"/>
      <c r="BKH25" s="29"/>
      <c r="BKI25" s="29"/>
      <c r="BKJ25" s="29"/>
      <c r="BKK25" s="28"/>
      <c r="BKL25" s="29"/>
      <c r="BKM25" s="29"/>
      <c r="BKN25" s="28"/>
      <c r="BKO25" s="29"/>
      <c r="BKP25" s="30"/>
      <c r="BKQ25" s="28"/>
      <c r="BKR25" s="29"/>
      <c r="BKS25" s="29"/>
      <c r="BKT25" s="29"/>
      <c r="BKU25" s="28"/>
      <c r="BKV25" s="29"/>
      <c r="BKW25" s="29"/>
      <c r="BKX25" s="28"/>
      <c r="BKY25" s="29"/>
      <c r="BKZ25" s="30"/>
      <c r="BLA25" s="28"/>
      <c r="BLB25" s="29"/>
      <c r="BLC25" s="29"/>
      <c r="BLD25" s="29"/>
      <c r="BLE25" s="28"/>
      <c r="BLF25" s="29"/>
      <c r="BLG25" s="29"/>
      <c r="BLH25" s="29"/>
      <c r="BLI25" s="29"/>
      <c r="BLJ25" s="29"/>
      <c r="BLK25" s="28"/>
      <c r="BLL25" s="29"/>
      <c r="BLM25" s="29"/>
      <c r="BLN25" s="28"/>
      <c r="BLO25" s="29"/>
      <c r="BLP25" s="30"/>
      <c r="BLQ25" s="28"/>
      <c r="BLR25" s="29"/>
      <c r="BLS25" s="29"/>
      <c r="BLT25" s="29"/>
      <c r="BLU25" s="28"/>
      <c r="BLV25" s="29"/>
      <c r="BLW25" s="29"/>
      <c r="BLX25" s="28"/>
      <c r="BLY25" s="29"/>
      <c r="BLZ25" s="30"/>
      <c r="BMA25" s="28"/>
      <c r="BMB25" s="29"/>
      <c r="BMC25" s="29"/>
      <c r="BMD25" s="29"/>
      <c r="BME25" s="28"/>
      <c r="BMF25" s="29"/>
      <c r="BMG25" s="29"/>
      <c r="BMH25" s="29"/>
      <c r="BMI25" s="29"/>
      <c r="BMJ25" s="29"/>
      <c r="BMK25" s="28"/>
      <c r="BML25" s="29"/>
      <c r="BMM25" s="29"/>
      <c r="BMN25" s="28"/>
      <c r="BMO25" s="29"/>
      <c r="BMP25" s="30"/>
      <c r="BMQ25" s="28"/>
      <c r="BMR25" s="29"/>
      <c r="BMS25" s="29"/>
      <c r="BMT25" s="29"/>
      <c r="BMU25" s="28"/>
      <c r="BMV25" s="29"/>
      <c r="BMW25" s="29"/>
      <c r="BMX25" s="28"/>
      <c r="BMY25" s="29"/>
      <c r="BMZ25" s="30"/>
      <c r="BNA25" s="28"/>
      <c r="BNB25" s="29"/>
      <c r="BNC25" s="29"/>
      <c r="BND25" s="29"/>
      <c r="BNE25" s="28"/>
      <c r="BNF25" s="29"/>
      <c r="BNG25" s="29"/>
      <c r="BNH25" s="29"/>
      <c r="BNI25" s="29"/>
      <c r="BNJ25" s="29"/>
      <c r="BNK25" s="28"/>
      <c r="BNL25" s="29"/>
      <c r="BNM25" s="29"/>
      <c r="BNN25" s="28"/>
      <c r="BNO25" s="29"/>
      <c r="BNP25" s="30"/>
      <c r="BNQ25" s="28"/>
      <c r="BNR25" s="29"/>
      <c r="BNS25" s="29"/>
      <c r="BNT25" s="29"/>
      <c r="BNU25" s="28"/>
      <c r="BNV25" s="29"/>
      <c r="BNW25" s="29"/>
      <c r="BNX25" s="28"/>
      <c r="BNY25" s="29"/>
      <c r="BNZ25" s="30"/>
      <c r="BOA25" s="28"/>
      <c r="BOB25" s="29"/>
      <c r="BOC25" s="29"/>
      <c r="BOD25" s="29"/>
      <c r="BOE25" s="28"/>
      <c r="BOF25" s="29"/>
      <c r="BOG25" s="29"/>
      <c r="BOH25" s="29"/>
      <c r="BOI25" s="29"/>
      <c r="BOJ25" s="29"/>
      <c r="BOK25" s="28"/>
      <c r="BOL25" s="29"/>
      <c r="BOM25" s="29"/>
      <c r="BON25" s="28"/>
      <c r="BOO25" s="29"/>
      <c r="BOP25" s="30"/>
      <c r="BOQ25" s="28"/>
      <c r="BOR25" s="29"/>
      <c r="BOS25" s="29"/>
      <c r="BOT25" s="29"/>
      <c r="BOU25" s="28"/>
      <c r="BOV25" s="29"/>
      <c r="BOW25" s="29"/>
      <c r="BOX25" s="28"/>
      <c r="BOY25" s="29"/>
      <c r="BOZ25" s="30"/>
      <c r="BPA25" s="28"/>
      <c r="BPB25" s="29"/>
      <c r="BPC25" s="29"/>
      <c r="BPD25" s="29"/>
      <c r="BPE25" s="28"/>
      <c r="BPF25" s="29"/>
      <c r="BPG25" s="29"/>
      <c r="BPH25" s="29"/>
      <c r="BPI25" s="29"/>
      <c r="BPJ25" s="29"/>
      <c r="BPK25" s="28"/>
      <c r="BPL25" s="29"/>
      <c r="BPM25" s="29"/>
      <c r="BPN25" s="28"/>
      <c r="BPO25" s="29"/>
      <c r="BPP25" s="30"/>
      <c r="BPQ25" s="28"/>
      <c r="BPR25" s="29"/>
      <c r="BPS25" s="29"/>
      <c r="BPT25" s="29"/>
      <c r="BPU25" s="28"/>
      <c r="BPV25" s="29"/>
      <c r="BPW25" s="29"/>
      <c r="BPX25" s="28"/>
      <c r="BPY25" s="29"/>
      <c r="BPZ25" s="30"/>
      <c r="BQA25" s="28"/>
      <c r="BQB25" s="29"/>
      <c r="BQC25" s="29"/>
      <c r="BQD25" s="29"/>
      <c r="BQE25" s="28"/>
      <c r="BQF25" s="29"/>
      <c r="BQG25" s="29"/>
      <c r="BQH25" s="29"/>
      <c r="BQI25" s="29"/>
      <c r="BQJ25" s="29"/>
      <c r="BQK25" s="28"/>
      <c r="BQL25" s="29"/>
      <c r="BQM25" s="29"/>
      <c r="BQN25" s="28"/>
      <c r="BQO25" s="29"/>
      <c r="BQP25" s="30"/>
      <c r="BQQ25" s="28"/>
      <c r="BQR25" s="29"/>
      <c r="BQS25" s="29"/>
      <c r="BQT25" s="29"/>
      <c r="BQU25" s="28"/>
      <c r="BQV25" s="29"/>
      <c r="BQW25" s="29"/>
      <c r="BQX25" s="28"/>
      <c r="BQY25" s="29"/>
      <c r="BQZ25" s="30"/>
      <c r="BRA25" s="28"/>
      <c r="BRB25" s="29"/>
      <c r="BRC25" s="29"/>
      <c r="BRD25" s="29"/>
      <c r="BRE25" s="28"/>
      <c r="BRF25" s="29"/>
      <c r="BRG25" s="29"/>
      <c r="BRH25" s="29"/>
      <c r="BRI25" s="29"/>
      <c r="BRJ25" s="29"/>
      <c r="BRK25" s="28"/>
      <c r="BRL25" s="29"/>
      <c r="BRM25" s="29"/>
      <c r="BRN25" s="28"/>
      <c r="BRO25" s="29"/>
      <c r="BRP25" s="30"/>
      <c r="BRQ25" s="28"/>
      <c r="BRR25" s="29"/>
      <c r="BRS25" s="29"/>
      <c r="BRT25" s="29"/>
      <c r="BRU25" s="28"/>
      <c r="BRV25" s="29"/>
      <c r="BRW25" s="29"/>
      <c r="BRX25" s="28"/>
      <c r="BRY25" s="29"/>
      <c r="BRZ25" s="30"/>
      <c r="BSA25" s="28"/>
      <c r="BSB25" s="29"/>
      <c r="BSC25" s="29"/>
      <c r="BSD25" s="29"/>
      <c r="BSE25" s="28"/>
      <c r="BSF25" s="29"/>
      <c r="BSG25" s="29"/>
      <c r="BSH25" s="29"/>
      <c r="BSI25" s="29"/>
      <c r="BSJ25" s="29"/>
      <c r="BSK25" s="28"/>
      <c r="BSL25" s="29"/>
      <c r="BSM25" s="29"/>
      <c r="BSN25" s="28"/>
      <c r="BSO25" s="29"/>
      <c r="BSP25" s="30"/>
      <c r="BSQ25" s="28"/>
      <c r="BSR25" s="29"/>
      <c r="BSS25" s="29"/>
      <c r="BST25" s="29"/>
      <c r="BSU25" s="28"/>
      <c r="BSV25" s="29"/>
      <c r="BSW25" s="29"/>
      <c r="BSX25" s="28"/>
      <c r="BSY25" s="29"/>
      <c r="BSZ25" s="30"/>
      <c r="BTA25" s="28"/>
      <c r="BTB25" s="29"/>
      <c r="BTC25" s="29"/>
      <c r="BTD25" s="29"/>
      <c r="BTE25" s="28"/>
      <c r="BTF25" s="29"/>
      <c r="BTG25" s="29"/>
      <c r="BTH25" s="29"/>
      <c r="BTI25" s="29"/>
      <c r="BTJ25" s="29"/>
      <c r="BTK25" s="28"/>
      <c r="BTL25" s="29"/>
      <c r="BTM25" s="29"/>
      <c r="BTN25" s="28"/>
      <c r="BTO25" s="29"/>
      <c r="BTP25" s="30"/>
      <c r="BTQ25" s="28"/>
      <c r="BTR25" s="29"/>
      <c r="BTS25" s="29"/>
      <c r="BTT25" s="29"/>
      <c r="BTU25" s="28"/>
      <c r="BTV25" s="29"/>
      <c r="BTW25" s="29"/>
      <c r="BTX25" s="28"/>
      <c r="BTY25" s="29"/>
      <c r="BTZ25" s="30"/>
      <c r="BUA25" s="28"/>
      <c r="BUB25" s="29"/>
      <c r="BUC25" s="29"/>
      <c r="BUD25" s="29"/>
      <c r="BUE25" s="28"/>
      <c r="BUF25" s="29"/>
      <c r="BUG25" s="29"/>
      <c r="BUH25" s="29"/>
      <c r="BUI25" s="29"/>
      <c r="BUJ25" s="29"/>
      <c r="BUK25" s="28"/>
      <c r="BUL25" s="29"/>
      <c r="BUM25" s="29"/>
      <c r="BUN25" s="28"/>
      <c r="BUO25" s="29"/>
      <c r="BUP25" s="30"/>
      <c r="BUQ25" s="28"/>
      <c r="BUR25" s="29"/>
      <c r="BUS25" s="29"/>
      <c r="BUT25" s="29"/>
      <c r="BUU25" s="28"/>
      <c r="BUV25" s="29"/>
      <c r="BUW25" s="29"/>
      <c r="BUX25" s="28"/>
      <c r="BUY25" s="29"/>
      <c r="BUZ25" s="30"/>
      <c r="BVA25" s="28"/>
      <c r="BVB25" s="29"/>
      <c r="BVC25" s="29"/>
      <c r="BVD25" s="29"/>
      <c r="BVE25" s="28"/>
      <c r="BVF25" s="29"/>
      <c r="BVG25" s="29"/>
      <c r="BVH25" s="29"/>
      <c r="BVI25" s="29"/>
      <c r="BVJ25" s="29"/>
      <c r="BVK25" s="28"/>
      <c r="BVL25" s="29"/>
      <c r="BVM25" s="29"/>
      <c r="BVN25" s="28"/>
      <c r="BVO25" s="29"/>
      <c r="BVP25" s="30"/>
      <c r="BVQ25" s="28"/>
      <c r="BVR25" s="29"/>
      <c r="BVS25" s="29"/>
      <c r="BVT25" s="29"/>
      <c r="BVU25" s="28"/>
      <c r="BVV25" s="29"/>
      <c r="BVW25" s="29"/>
      <c r="BVX25" s="28"/>
      <c r="BVY25" s="29"/>
      <c r="BVZ25" s="30"/>
      <c r="BWA25" s="28"/>
      <c r="BWB25" s="29"/>
      <c r="BWC25" s="29"/>
      <c r="BWD25" s="29"/>
      <c r="BWE25" s="28"/>
      <c r="BWF25" s="29"/>
      <c r="BWG25" s="29"/>
      <c r="BWH25" s="29"/>
      <c r="BWI25" s="29"/>
      <c r="BWJ25" s="29"/>
      <c r="BWK25" s="28"/>
      <c r="BWL25" s="29"/>
      <c r="BWM25" s="29"/>
      <c r="BWN25" s="28"/>
      <c r="BWO25" s="29"/>
      <c r="BWP25" s="30"/>
      <c r="BWQ25" s="28"/>
      <c r="BWR25" s="29"/>
      <c r="BWS25" s="29"/>
      <c r="BWT25" s="29"/>
      <c r="BWU25" s="28"/>
      <c r="BWV25" s="29"/>
      <c r="BWW25" s="29"/>
      <c r="BWX25" s="28"/>
      <c r="BWY25" s="29"/>
      <c r="BWZ25" s="30"/>
      <c r="BXA25" s="28"/>
      <c r="BXB25" s="29"/>
      <c r="BXC25" s="29"/>
      <c r="BXD25" s="29"/>
      <c r="BXE25" s="28"/>
      <c r="BXF25" s="29"/>
      <c r="BXG25" s="29"/>
      <c r="BXH25" s="29"/>
      <c r="BXI25" s="29"/>
      <c r="BXJ25" s="29"/>
      <c r="BXK25" s="28"/>
      <c r="BXL25" s="29"/>
      <c r="BXM25" s="29"/>
      <c r="BXN25" s="28"/>
      <c r="BXO25" s="29"/>
      <c r="BXP25" s="30"/>
      <c r="BXQ25" s="28"/>
      <c r="BXR25" s="29"/>
      <c r="BXS25" s="29"/>
      <c r="BXT25" s="29"/>
      <c r="BXU25" s="28"/>
      <c r="BXV25" s="29"/>
      <c r="BXW25" s="29"/>
      <c r="BXX25" s="28"/>
      <c r="BXY25" s="29"/>
      <c r="BXZ25" s="30"/>
      <c r="BYA25" s="28"/>
      <c r="BYB25" s="29"/>
      <c r="BYC25" s="29"/>
      <c r="BYD25" s="29"/>
      <c r="BYE25" s="28"/>
      <c r="BYF25" s="29"/>
      <c r="BYG25" s="29"/>
      <c r="BYH25" s="29"/>
      <c r="BYI25" s="29"/>
      <c r="BYJ25" s="29"/>
      <c r="BYK25" s="28"/>
      <c r="BYL25" s="29"/>
      <c r="BYM25" s="29"/>
      <c r="BYN25" s="28"/>
      <c r="BYO25" s="29"/>
      <c r="BYP25" s="30"/>
      <c r="BYQ25" s="28"/>
      <c r="BYR25" s="29"/>
      <c r="BYS25" s="29"/>
      <c r="BYT25" s="29"/>
      <c r="BYU25" s="28"/>
      <c r="BYV25" s="29"/>
      <c r="BYW25" s="29"/>
      <c r="BYX25" s="30"/>
      <c r="BYY25" s="29"/>
      <c r="BYZ25" s="28"/>
      <c r="BZA25" s="29"/>
      <c r="BZB25" s="28"/>
      <c r="BZC25" s="28"/>
      <c r="BZD25" s="28"/>
      <c r="BZE25" s="29"/>
      <c r="BZF25" s="385"/>
      <c r="BZG25" s="29"/>
      <c r="BZH25" s="385"/>
      <c r="BZI25" s="29"/>
      <c r="BZJ25" s="385"/>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30"/>
      <c r="CAQ25" s="28"/>
      <c r="CAR25" s="29"/>
      <c r="CAS25" s="29"/>
      <c r="CAT25" s="29"/>
      <c r="CAU25" s="29"/>
      <c r="CAV25" s="29"/>
      <c r="CAW25" s="28"/>
      <c r="CAX25" s="29"/>
      <c r="CAY25" s="29"/>
      <c r="CAZ25" s="28"/>
      <c r="CBA25" s="29"/>
      <c r="CBB25" s="30"/>
      <c r="CBC25" s="28"/>
      <c r="CBD25" s="29"/>
      <c r="CBE25" s="29"/>
      <c r="CBF25" s="29"/>
      <c r="CBG25" s="28"/>
      <c r="CBH25" s="29"/>
      <c r="CBI25" s="29"/>
      <c r="CBJ25" s="28"/>
      <c r="CBK25" s="29"/>
      <c r="CBL25" s="30"/>
      <c r="CBM25" s="28"/>
      <c r="CBN25" s="29"/>
      <c r="CBO25" s="29"/>
      <c r="CBP25" s="29"/>
      <c r="CBQ25" s="28"/>
      <c r="CBR25" s="29"/>
      <c r="CBS25" s="29"/>
      <c r="CBT25" s="28"/>
      <c r="CBU25" s="29"/>
      <c r="CBV25" s="30"/>
      <c r="CBW25" s="28"/>
      <c r="CBX25" s="29"/>
      <c r="CBY25" s="29"/>
      <c r="CBZ25" s="29"/>
      <c r="CCA25" s="28"/>
      <c r="CCB25" s="29"/>
      <c r="CCC25" s="29"/>
      <c r="CCD25" s="28"/>
      <c r="CCE25" s="29"/>
      <c r="CCF25" s="30"/>
      <c r="CCG25" s="28"/>
      <c r="CCH25" s="30"/>
      <c r="CCI25" s="29"/>
      <c r="CCJ25" s="28"/>
      <c r="CCK25" s="29"/>
      <c r="CCL25" s="28"/>
      <c r="CCM25" s="28"/>
      <c r="CCN25" s="28"/>
      <c r="CCO25" s="29"/>
      <c r="CCP25" s="385"/>
      <c r="CCQ25" s="29"/>
      <c r="CCR25" s="385"/>
      <c r="CCS25" s="29"/>
      <c r="CCT25" s="385"/>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30"/>
      <c r="CEA25" s="28"/>
      <c r="CEB25" s="29"/>
      <c r="CEC25" s="29"/>
      <c r="CED25" s="29"/>
      <c r="CEE25" s="29"/>
      <c r="CEF25" s="29"/>
      <c r="CEG25" s="28"/>
      <c r="CEH25" s="29"/>
      <c r="CEI25" s="29"/>
      <c r="CEJ25" s="28"/>
      <c r="CEK25" s="29"/>
      <c r="CEL25" s="30"/>
      <c r="CEM25" s="28"/>
      <c r="CEN25" s="29"/>
      <c r="CEO25" s="29"/>
      <c r="CEP25" s="29"/>
      <c r="CEQ25" s="28"/>
      <c r="CER25" s="29"/>
      <c r="CES25" s="29"/>
      <c r="CET25" s="28"/>
      <c r="CEU25" s="29"/>
      <c r="CEV25" s="30"/>
      <c r="CEW25" s="28"/>
      <c r="CEX25" s="29"/>
      <c r="CEY25" s="29"/>
      <c r="CEZ25" s="29"/>
      <c r="CFA25" s="28"/>
      <c r="CFB25" s="29"/>
      <c r="CFC25" s="29"/>
      <c r="CFD25" s="28"/>
      <c r="CFE25" s="29"/>
      <c r="CFF25" s="30"/>
      <c r="CFG25" s="28"/>
      <c r="CFH25" s="29"/>
      <c r="CFI25" s="29"/>
      <c r="CFJ25" s="29"/>
      <c r="CFK25" s="28"/>
      <c r="CFL25" s="29"/>
      <c r="CFM25" s="29"/>
      <c r="CFN25" s="28"/>
      <c r="CFO25" s="29"/>
      <c r="CFP25" s="30"/>
      <c r="CFQ25" s="28"/>
      <c r="CFR25" s="30"/>
      <c r="CFS25" s="29"/>
      <c r="CFT25" s="28"/>
      <c r="CFU25" s="29"/>
      <c r="CFV25" s="28"/>
      <c r="CFW25" s="28"/>
      <c r="CFX25" s="28"/>
      <c r="CFY25" s="29"/>
      <c r="CFZ25" s="385"/>
      <c r="CGA25" s="29"/>
      <c r="CGB25" s="385"/>
      <c r="CGC25" s="29"/>
      <c r="CGD25" s="385"/>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30"/>
      <c r="CHK25" s="28"/>
      <c r="CHL25" s="29"/>
      <c r="CHM25" s="29"/>
      <c r="CHN25" s="29"/>
      <c r="CHO25" s="29"/>
      <c r="CHP25" s="29"/>
      <c r="CHQ25" s="28"/>
      <c r="CHR25" s="29"/>
      <c r="CHS25" s="29"/>
      <c r="CHT25" s="28"/>
      <c r="CHU25" s="29"/>
      <c r="CHV25" s="30"/>
      <c r="CHW25" s="28"/>
      <c r="CHX25" s="29"/>
      <c r="CHY25" s="29"/>
      <c r="CHZ25" s="29"/>
      <c r="CIA25" s="28"/>
      <c r="CIB25" s="29"/>
      <c r="CIC25" s="29"/>
      <c r="CID25" s="28"/>
      <c r="CIE25" s="29"/>
      <c r="CIF25" s="30"/>
      <c r="CIG25" s="28"/>
      <c r="CIH25" s="29"/>
      <c r="CII25" s="29"/>
      <c r="CIJ25" s="29"/>
      <c r="CIK25" s="28"/>
      <c r="CIL25" s="29"/>
      <c r="CIM25" s="29"/>
      <c r="CIN25" s="28"/>
      <c r="CIO25" s="29"/>
      <c r="CIP25" s="30"/>
      <c r="CIQ25" s="28"/>
      <c r="CIR25" s="29"/>
      <c r="CIS25" s="29"/>
      <c r="CIT25" s="29"/>
      <c r="CIU25" s="28"/>
      <c r="CIV25" s="29"/>
      <c r="CIW25" s="29"/>
      <c r="CIX25" s="28"/>
      <c r="CIY25" s="29"/>
      <c r="CIZ25" s="30"/>
      <c r="CJA25" s="28"/>
      <c r="CJB25" s="30"/>
      <c r="CJC25" s="29"/>
      <c r="CJD25" s="28"/>
      <c r="CJE25" s="29"/>
      <c r="CJF25" s="28"/>
      <c r="CJG25" s="28"/>
      <c r="CJH25" s="28"/>
      <c r="CJI25" s="29"/>
      <c r="CJJ25" s="385"/>
      <c r="CJK25" s="29"/>
      <c r="CJL25" s="385"/>
      <c r="CJM25" s="29"/>
      <c r="CJN25" s="385"/>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30"/>
      <c r="CKU25" s="28"/>
      <c r="CKV25" s="29"/>
      <c r="CKW25" s="29"/>
      <c r="CKX25" s="29"/>
      <c r="CKY25" s="29"/>
      <c r="CKZ25" s="29"/>
      <c r="CLA25" s="28"/>
      <c r="CLB25" s="29"/>
      <c r="CLC25" s="29"/>
      <c r="CLD25" s="28"/>
      <c r="CLE25" s="29"/>
      <c r="CLF25" s="30"/>
      <c r="CLG25" s="28"/>
      <c r="CLH25" s="29"/>
      <c r="CLI25" s="29"/>
      <c r="CLJ25" s="29"/>
      <c r="CLK25" s="28"/>
      <c r="CLL25" s="29"/>
      <c r="CLM25" s="29"/>
      <c r="CLN25" s="28"/>
      <c r="CLO25" s="29"/>
      <c r="CLP25" s="30"/>
      <c r="CLQ25" s="28"/>
      <c r="CLR25" s="29"/>
      <c r="CLS25" s="29"/>
      <c r="CLT25" s="29"/>
      <c r="CLU25" s="28"/>
      <c r="CLV25" s="29"/>
      <c r="CLW25" s="29"/>
      <c r="CLX25" s="28"/>
      <c r="CLY25" s="29"/>
      <c r="CLZ25" s="30"/>
      <c r="CMA25" s="28"/>
      <c r="CMB25" s="29"/>
      <c r="CMC25" s="29"/>
      <c r="CMD25" s="29"/>
      <c r="CME25" s="28"/>
      <c r="CMF25" s="29"/>
      <c r="CMG25" s="29"/>
      <c r="CMH25" s="28"/>
      <c r="CMI25" s="29"/>
      <c r="CMJ25" s="30"/>
      <c r="CMK25" s="28"/>
      <c r="CML25" s="30"/>
      <c r="CMM25" s="29"/>
      <c r="CMN25" s="28"/>
      <c r="CMO25" s="29"/>
      <c r="CMP25" s="28"/>
      <c r="CMQ25" s="28"/>
      <c r="CMR25" s="28"/>
      <c r="CMS25" s="29"/>
      <c r="CMT25" s="385"/>
      <c r="CMU25" s="29"/>
      <c r="CMV25" s="385"/>
      <c r="CMW25" s="29"/>
      <c r="CMX25" s="385"/>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30"/>
      <c r="COE25" s="28"/>
      <c r="COF25" s="29"/>
      <c r="COG25" s="29"/>
      <c r="COH25" s="29"/>
      <c r="COI25" s="29"/>
      <c r="COJ25" s="29"/>
      <c r="COK25" s="28"/>
      <c r="COL25" s="29"/>
      <c r="COM25" s="29"/>
      <c r="CON25" s="28"/>
      <c r="COO25" s="29"/>
      <c r="COP25" s="30"/>
      <c r="COQ25" s="28"/>
      <c r="COR25" s="29"/>
      <c r="COS25" s="29"/>
      <c r="COT25" s="29"/>
      <c r="COU25" s="28"/>
      <c r="COV25" s="29"/>
      <c r="COW25" s="29"/>
      <c r="COX25" s="28"/>
      <c r="COY25" s="29"/>
      <c r="COZ25" s="30"/>
      <c r="CPA25" s="28"/>
      <c r="CPB25" s="29"/>
      <c r="CPC25" s="29"/>
      <c r="CPD25" s="29"/>
      <c r="CPE25" s="28"/>
      <c r="CPF25" s="29"/>
      <c r="CPG25" s="29"/>
      <c r="CPH25" s="28"/>
      <c r="CPI25" s="29"/>
      <c r="CPJ25" s="30"/>
      <c r="CPK25" s="28"/>
      <c r="CPL25" s="29"/>
      <c r="CPM25" s="29"/>
      <c r="CPN25" s="29"/>
      <c r="CPO25" s="28"/>
      <c r="CPP25" s="29"/>
      <c r="CPQ25" s="29"/>
      <c r="CPR25" s="28"/>
      <c r="CPS25" s="29"/>
      <c r="CPT25" s="30"/>
      <c r="CPU25" s="28"/>
      <c r="CPV25" s="30"/>
      <c r="CPW25" s="29"/>
      <c r="CPX25" s="28"/>
      <c r="CPY25" s="29"/>
      <c r="CPZ25" s="28"/>
      <c r="CQA25" s="28"/>
      <c r="CQB25" s="28"/>
      <c r="CQC25" s="29"/>
      <c r="CQD25" s="385"/>
      <c r="CQE25" s="29"/>
      <c r="CQF25" s="385"/>
      <c r="CQG25" s="29"/>
      <c r="CQH25" s="385"/>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30"/>
      <c r="CRO25" s="28"/>
      <c r="CRP25" s="29"/>
      <c r="CRQ25" s="29"/>
      <c r="CRR25" s="29"/>
      <c r="CRS25" s="29"/>
      <c r="CRT25" s="29"/>
      <c r="CRU25" s="28"/>
      <c r="CRV25" s="29"/>
      <c r="CRW25" s="29"/>
      <c r="CRX25" s="28"/>
      <c r="CRY25" s="29"/>
      <c r="CRZ25" s="30"/>
      <c r="CSA25" s="28"/>
      <c r="CSB25" s="29"/>
      <c r="CSC25" s="29"/>
      <c r="CSD25" s="29"/>
      <c r="CSE25" s="28"/>
      <c r="CSF25" s="29"/>
      <c r="CSG25" s="29"/>
      <c r="CSH25" s="28"/>
      <c r="CSI25" s="29"/>
      <c r="CSJ25" s="30"/>
      <c r="CSK25" s="28"/>
      <c r="CSL25" s="29"/>
      <c r="CSM25" s="29"/>
      <c r="CSN25" s="29"/>
      <c r="CSO25" s="28"/>
      <c r="CSP25" s="29"/>
      <c r="CSQ25" s="29"/>
      <c r="CSR25" s="28"/>
      <c r="CSS25" s="29"/>
      <c r="CST25" s="30"/>
      <c r="CSU25" s="28"/>
      <c r="CSV25" s="29"/>
      <c r="CSW25" s="29"/>
      <c r="CSX25" s="29"/>
      <c r="CSY25" s="28"/>
      <c r="CSZ25" s="29"/>
      <c r="CTA25" s="29"/>
      <c r="CTB25" s="28"/>
      <c r="CTC25" s="29"/>
      <c r="CTD25" s="30"/>
      <c r="CTE25" s="28"/>
      <c r="CTF25" s="30"/>
      <c r="CTG25" s="29"/>
      <c r="CTH25" s="28"/>
      <c r="CTI25" s="29"/>
      <c r="CTJ25" s="28"/>
      <c r="CTK25" s="28"/>
      <c r="CTL25" s="28"/>
      <c r="CTM25" s="29"/>
      <c r="CTN25" s="385"/>
      <c r="CTO25" s="29"/>
      <c r="CTP25" s="385"/>
      <c r="CTQ25" s="29"/>
      <c r="CTR25" s="385"/>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30"/>
      <c r="CUY25" s="28"/>
      <c r="CUZ25" s="29"/>
      <c r="CVA25" s="29"/>
      <c r="CVB25" s="29"/>
      <c r="CVC25" s="29"/>
      <c r="CVD25" s="29"/>
      <c r="CVE25" s="28"/>
      <c r="CVF25" s="29"/>
      <c r="CVG25" s="29"/>
      <c r="CVH25" s="28"/>
      <c r="CVI25" s="29"/>
      <c r="CVJ25" s="30"/>
      <c r="CVK25" s="28"/>
      <c r="CVL25" s="29"/>
      <c r="CVM25" s="29"/>
      <c r="CVN25" s="29"/>
      <c r="CVO25" s="28"/>
      <c r="CVP25" s="29"/>
      <c r="CVQ25" s="29"/>
      <c r="CVR25" s="28"/>
      <c r="CVS25" s="29"/>
      <c r="CVT25" s="30"/>
      <c r="CVU25" s="28"/>
      <c r="CVV25" s="29"/>
      <c r="CVW25" s="29"/>
      <c r="CVX25" s="29"/>
      <c r="CVY25" s="28"/>
      <c r="CVZ25" s="29"/>
      <c r="CWA25" s="29"/>
      <c r="CWB25" s="28"/>
      <c r="CWC25" s="29"/>
      <c r="CWD25" s="30"/>
      <c r="CWE25" s="28"/>
      <c r="CWF25" s="29"/>
      <c r="CWG25" s="29"/>
      <c r="CWH25" s="29"/>
      <c r="CWI25" s="28"/>
      <c r="CWJ25" s="29"/>
      <c r="CWK25" s="29"/>
      <c r="CWL25" s="28"/>
      <c r="CWM25" s="29"/>
      <c r="CWN25" s="30"/>
      <c r="CWO25" s="28"/>
      <c r="CWP25" s="30"/>
      <c r="CWQ25" s="29"/>
      <c r="CWR25" s="28"/>
      <c r="CWS25" s="29"/>
      <c r="CWT25" s="28"/>
      <c r="CWU25" s="28"/>
      <c r="CWV25" s="28"/>
      <c r="CWW25" s="29"/>
      <c r="CWX25" s="385"/>
      <c r="CWY25" s="29"/>
      <c r="CWZ25" s="385"/>
      <c r="CXA25" s="29"/>
      <c r="CXB25" s="385"/>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30"/>
      <c r="CYI25" s="28"/>
      <c r="CYJ25" s="29"/>
      <c r="CYK25" s="29"/>
      <c r="CYL25" s="29"/>
      <c r="CYM25" s="29"/>
      <c r="CYN25" s="29"/>
      <c r="CYO25" s="28"/>
      <c r="CYP25" s="29"/>
      <c r="CYQ25" s="29"/>
      <c r="CYR25" s="28"/>
      <c r="CYS25" s="29"/>
      <c r="CYT25" s="30"/>
      <c r="CYU25" s="28"/>
      <c r="CYV25" s="29"/>
      <c r="CYW25" s="29"/>
      <c r="CYX25" s="29"/>
      <c r="CYY25" s="28"/>
      <c r="CYZ25" s="29"/>
      <c r="CZA25" s="29"/>
      <c r="CZB25" s="28"/>
      <c r="CZC25" s="29"/>
      <c r="CZD25" s="30"/>
      <c r="CZE25" s="28"/>
      <c r="CZF25" s="29"/>
      <c r="CZG25" s="29"/>
      <c r="CZH25" s="29"/>
      <c r="CZI25" s="28"/>
      <c r="CZJ25" s="29"/>
      <c r="CZK25" s="29"/>
      <c r="CZL25" s="28"/>
      <c r="CZM25" s="29"/>
      <c r="CZN25" s="30"/>
      <c r="CZO25" s="28"/>
      <c r="CZP25" s="29"/>
      <c r="CZQ25" s="29"/>
      <c r="CZR25" s="29"/>
      <c r="CZS25" s="28"/>
      <c r="CZT25" s="29"/>
      <c r="CZU25" s="29"/>
      <c r="CZV25" s="28"/>
      <c r="CZW25" s="29"/>
      <c r="CZX25" s="30"/>
      <c r="CZY25" s="28"/>
      <c r="CZZ25" s="30"/>
      <c r="DAA25" s="29"/>
      <c r="DAB25" s="28"/>
      <c r="DAC25" s="29"/>
      <c r="DAD25" s="28"/>
      <c r="DAE25" s="28"/>
      <c r="DAF25" s="28"/>
      <c r="DAG25" s="29"/>
      <c r="DAH25" s="385"/>
      <c r="DAI25" s="29"/>
      <c r="DAJ25" s="385"/>
      <c r="DAK25" s="29"/>
      <c r="DAL25" s="385"/>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30"/>
      <c r="DBS25" s="28"/>
      <c r="DBT25" s="29"/>
      <c r="DBU25" s="29"/>
      <c r="DBV25" s="29"/>
      <c r="DBW25" s="29"/>
      <c r="DBX25" s="29"/>
      <c r="DBY25" s="28"/>
      <c r="DBZ25" s="29"/>
      <c r="DCA25" s="29"/>
      <c r="DCB25" s="28"/>
      <c r="DCC25" s="29"/>
      <c r="DCD25" s="30"/>
      <c r="DCE25" s="28"/>
      <c r="DCF25" s="29"/>
      <c r="DCG25" s="29"/>
      <c r="DCH25" s="29"/>
      <c r="DCI25" s="28"/>
      <c r="DCJ25" s="29"/>
      <c r="DCK25" s="29"/>
      <c r="DCL25" s="28"/>
      <c r="DCM25" s="29"/>
      <c r="DCN25" s="30"/>
      <c r="DCO25" s="28"/>
      <c r="DCP25" s="29"/>
      <c r="DCQ25" s="29"/>
      <c r="DCR25" s="29"/>
      <c r="DCS25" s="28"/>
      <c r="DCT25" s="29"/>
      <c r="DCU25" s="29"/>
      <c r="DCV25" s="28"/>
      <c r="DCW25" s="29"/>
      <c r="DCX25" s="30"/>
      <c r="DCY25" s="28"/>
      <c r="DCZ25" s="29"/>
      <c r="DDA25" s="29"/>
      <c r="DDB25" s="29"/>
      <c r="DDC25" s="28"/>
      <c r="DDD25" s="29"/>
      <c r="DDE25" s="29"/>
      <c r="DDF25" s="28"/>
      <c r="DDG25" s="29"/>
      <c r="DDH25" s="30"/>
      <c r="DDI25" s="28"/>
      <c r="DDJ25" s="30"/>
      <c r="DDK25" s="29"/>
      <c r="DDL25" s="28"/>
      <c r="DDM25" s="29"/>
      <c r="DDN25" s="28"/>
      <c r="DDO25" s="28"/>
      <c r="DDP25" s="28"/>
      <c r="DDQ25" s="29"/>
      <c r="DDR25" s="385"/>
      <c r="DDS25" s="29"/>
      <c r="DDT25" s="385"/>
      <c r="DDU25" s="29"/>
      <c r="DDV25" s="385"/>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30"/>
      <c r="DFC25" s="28"/>
      <c r="DFD25" s="29"/>
      <c r="DFE25" s="29"/>
      <c r="DFF25" s="29"/>
      <c r="DFG25" s="29"/>
      <c r="DFH25" s="29"/>
      <c r="DFI25" s="28"/>
      <c r="DFJ25" s="29"/>
      <c r="DFK25" s="29"/>
      <c r="DFL25" s="28"/>
      <c r="DFM25" s="29"/>
      <c r="DFN25" s="30"/>
      <c r="DFO25" s="28"/>
      <c r="DFP25" s="29"/>
      <c r="DFQ25" s="29"/>
      <c r="DFR25" s="29"/>
      <c r="DFS25" s="28"/>
      <c r="DFT25" s="29"/>
      <c r="DFU25" s="29"/>
      <c r="DFV25" s="28"/>
      <c r="DFW25" s="29"/>
      <c r="DFX25" s="30"/>
      <c r="DFY25" s="28"/>
      <c r="DFZ25" s="29"/>
      <c r="DGA25" s="29"/>
      <c r="DGB25" s="29"/>
      <c r="DGC25" s="28"/>
      <c r="DGD25" s="29"/>
      <c r="DGE25" s="29"/>
      <c r="DGF25" s="28"/>
      <c r="DGG25" s="29"/>
      <c r="DGH25" s="30"/>
      <c r="DGI25" s="28"/>
      <c r="DGJ25" s="29"/>
      <c r="DGK25" s="29"/>
      <c r="DGL25" s="29"/>
      <c r="DGM25" s="28"/>
      <c r="DGN25" s="29"/>
      <c r="DGO25" s="29"/>
      <c r="DGP25" s="28"/>
      <c r="DGQ25" s="29"/>
      <c r="DGR25" s="30"/>
      <c r="DGS25" s="28"/>
      <c r="DGT25" s="30"/>
      <c r="DGU25" s="29"/>
      <c r="DGV25" s="28"/>
      <c r="DGW25" s="29"/>
      <c r="DGX25" s="28"/>
      <c r="DGY25" s="28"/>
      <c r="DGZ25" s="28"/>
      <c r="DHA25" s="29"/>
      <c r="DHB25" s="385"/>
      <c r="DHC25" s="29"/>
      <c r="DHD25" s="385"/>
      <c r="DHE25" s="29"/>
      <c r="DHF25" s="385"/>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30"/>
      <c r="DIM25" s="28"/>
      <c r="DIN25" s="29"/>
      <c r="DIO25" s="29"/>
      <c r="DIP25" s="29"/>
      <c r="DIQ25" s="29"/>
      <c r="DIR25" s="29"/>
      <c r="DIS25" s="28"/>
      <c r="DIT25" s="29"/>
      <c r="DIU25" s="29"/>
      <c r="DIV25" s="28"/>
      <c r="DIW25" s="29"/>
      <c r="DIX25" s="30"/>
      <c r="DIY25" s="28"/>
      <c r="DIZ25" s="29"/>
      <c r="DJA25" s="29"/>
      <c r="DJB25" s="29"/>
      <c r="DJC25" s="28"/>
      <c r="DJD25" s="29"/>
      <c r="DJE25" s="29"/>
      <c r="DJF25" s="28"/>
      <c r="DJG25" s="29"/>
      <c r="DJH25" s="30"/>
      <c r="DJI25" s="28"/>
      <c r="DJJ25" s="29"/>
      <c r="DJK25" s="29"/>
      <c r="DJL25" s="29"/>
      <c r="DJM25" s="28"/>
      <c r="DJN25" s="29"/>
      <c r="DJO25" s="29"/>
      <c r="DJP25" s="28"/>
      <c r="DJQ25" s="29"/>
      <c r="DJR25" s="30"/>
      <c r="DJS25" s="28"/>
      <c r="DJT25" s="29"/>
      <c r="DJU25" s="29"/>
      <c r="DJV25" s="29"/>
      <c r="DJW25" s="28"/>
      <c r="DJX25" s="29"/>
      <c r="DJY25" s="29"/>
      <c r="DJZ25" s="28"/>
      <c r="DKA25" s="29"/>
      <c r="DKB25" s="30"/>
      <c r="DKC25" s="28"/>
      <c r="DKD25" s="30"/>
      <c r="DKE25" s="29"/>
      <c r="DKF25" s="28"/>
      <c r="DKG25" s="29"/>
      <c r="DKH25" s="28"/>
      <c r="DKI25" s="28"/>
      <c r="DKJ25" s="28"/>
      <c r="DKK25" s="29"/>
      <c r="DKL25" s="385"/>
      <c r="DKM25" s="29"/>
      <c r="DKN25" s="385"/>
      <c r="DKO25" s="29"/>
      <c r="DKP25" s="385"/>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30"/>
      <c r="DLW25" s="28"/>
      <c r="DLX25" s="29"/>
      <c r="DLY25" s="29"/>
      <c r="DLZ25" s="29"/>
      <c r="DMA25" s="29"/>
      <c r="DMB25" s="29"/>
      <c r="DMC25" s="28"/>
      <c r="DMD25" s="29"/>
      <c r="DME25" s="29"/>
      <c r="DMF25" s="28"/>
      <c r="DMG25" s="29"/>
      <c r="DMH25" s="30"/>
      <c r="DMI25" s="28"/>
      <c r="DMJ25" s="29"/>
      <c r="DMK25" s="29"/>
      <c r="DML25" s="29"/>
      <c r="DMM25" s="28"/>
      <c r="DMN25" s="29"/>
      <c r="DMO25" s="29"/>
      <c r="DMP25" s="28"/>
      <c r="DMQ25" s="29"/>
      <c r="DMR25" s="30"/>
      <c r="DMS25" s="28"/>
      <c r="DMT25" s="29"/>
      <c r="DMU25" s="29"/>
      <c r="DMV25" s="29"/>
      <c r="DMW25" s="28"/>
      <c r="DMX25" s="29"/>
      <c r="DMY25" s="29"/>
      <c r="DMZ25" s="28"/>
      <c r="DNA25" s="29"/>
      <c r="DNB25" s="30"/>
      <c r="DNC25" s="28"/>
      <c r="DND25" s="29"/>
      <c r="DNE25" s="29"/>
      <c r="DNF25" s="29"/>
      <c r="DNG25" s="28"/>
      <c r="DNH25" s="29"/>
      <c r="DNI25" s="29"/>
      <c r="DNJ25" s="28"/>
      <c r="DNK25" s="29"/>
      <c r="DNL25" s="30"/>
      <c r="DNM25" s="28"/>
      <c r="DNN25" s="30"/>
      <c r="DNO25" s="29"/>
      <c r="DNP25" s="28"/>
      <c r="DNQ25" s="29"/>
      <c r="DNR25" s="28"/>
      <c r="DNS25" s="28"/>
      <c r="DNT25" s="28"/>
      <c r="DNU25" s="29"/>
      <c r="DNV25" s="385"/>
      <c r="DNW25" s="29"/>
      <c r="DNX25" s="385"/>
      <c r="DNY25" s="29"/>
      <c r="DNZ25" s="385"/>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30"/>
      <c r="DPG25" s="28"/>
      <c r="DPH25" s="29"/>
      <c r="DPI25" s="29"/>
      <c r="DPJ25" s="29"/>
      <c r="DPK25" s="29"/>
      <c r="DPL25" s="29"/>
      <c r="DPM25" s="28"/>
      <c r="DPN25" s="29"/>
      <c r="DPO25" s="29"/>
      <c r="DPP25" s="28"/>
      <c r="DPQ25" s="29"/>
      <c r="DPR25" s="30"/>
      <c r="DPS25" s="28"/>
      <c r="DPT25" s="29"/>
      <c r="DPU25" s="29"/>
      <c r="DPV25" s="29"/>
      <c r="DPW25" s="28"/>
      <c r="DPX25" s="29"/>
      <c r="DPY25" s="29"/>
      <c r="DPZ25" s="28"/>
      <c r="DQA25" s="29"/>
      <c r="DQB25" s="30"/>
      <c r="DQC25" s="28"/>
      <c r="DQD25" s="29"/>
      <c r="DQE25" s="29"/>
      <c r="DQF25" s="29"/>
      <c r="DQG25" s="28"/>
      <c r="DQH25" s="29"/>
      <c r="DQI25" s="29"/>
      <c r="DQJ25" s="28"/>
      <c r="DQK25" s="29"/>
      <c r="DQL25" s="30"/>
      <c r="DQM25" s="28"/>
      <c r="DQN25" s="29"/>
      <c r="DQO25" s="29"/>
      <c r="DQP25" s="29"/>
      <c r="DQQ25" s="28"/>
      <c r="DQR25" s="29"/>
      <c r="DQS25" s="29"/>
      <c r="DQT25" s="28"/>
      <c r="DQU25" s="29"/>
      <c r="DQV25" s="30"/>
      <c r="DQW25" s="28"/>
      <c r="DQX25" s="30"/>
      <c r="DQY25" s="29"/>
      <c r="DQZ25" s="28"/>
      <c r="DRA25" s="29"/>
      <c r="DRB25" s="28"/>
      <c r="DRC25" s="28"/>
      <c r="DRD25" s="28"/>
      <c r="DRE25" s="29"/>
      <c r="DRF25" s="385"/>
      <c r="DRG25" s="29"/>
      <c r="DRH25" s="385"/>
      <c r="DRI25" s="29"/>
      <c r="DRJ25" s="385"/>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30"/>
      <c r="DSQ25" s="28"/>
      <c r="DSR25" s="29"/>
      <c r="DSS25" s="29"/>
      <c r="DST25" s="29"/>
      <c r="DSU25" s="29"/>
      <c r="DSV25" s="29"/>
      <c r="DSW25" s="28"/>
      <c r="DSX25" s="29"/>
      <c r="DSY25" s="29"/>
      <c r="DSZ25" s="28"/>
      <c r="DTA25" s="29"/>
      <c r="DTB25" s="30"/>
      <c r="DTC25" s="28"/>
      <c r="DTD25" s="29"/>
      <c r="DTE25" s="29"/>
      <c r="DTF25" s="29"/>
      <c r="DTG25" s="28"/>
      <c r="DTH25" s="29"/>
      <c r="DTI25" s="29"/>
      <c r="DTJ25" s="28"/>
      <c r="DTK25" s="29"/>
      <c r="DTL25" s="30"/>
      <c r="DTM25" s="28"/>
      <c r="DTN25" s="29"/>
      <c r="DTO25" s="29"/>
      <c r="DTP25" s="29"/>
      <c r="DTQ25" s="28"/>
      <c r="DTR25" s="29"/>
      <c r="DTS25" s="29"/>
      <c r="DTT25" s="28"/>
      <c r="DTU25" s="29"/>
      <c r="DTV25" s="30"/>
      <c r="DTW25" s="28"/>
      <c r="DTX25" s="29"/>
      <c r="DTY25" s="29"/>
      <c r="DTZ25" s="29"/>
      <c r="DUA25" s="28"/>
      <c r="DUB25" s="29"/>
      <c r="DUC25" s="29"/>
      <c r="DUD25" s="28"/>
      <c r="DUE25" s="29"/>
      <c r="DUF25" s="30"/>
      <c r="DUG25" s="28"/>
      <c r="DUH25" s="30"/>
      <c r="DUI25" s="29"/>
      <c r="DUJ25" s="28"/>
      <c r="DUK25" s="29"/>
      <c r="DUL25" s="28"/>
      <c r="DUM25" s="28"/>
      <c r="DUN25" s="28"/>
      <c r="DUO25" s="29"/>
      <c r="DUP25" s="385"/>
      <c r="DUQ25" s="29"/>
      <c r="DUR25" s="385"/>
      <c r="DUS25" s="29"/>
      <c r="DUT25" s="385"/>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30"/>
      <c r="DWA25" s="28"/>
      <c r="DWB25" s="29"/>
      <c r="DWC25" s="29"/>
      <c r="DWD25" s="29"/>
      <c r="DWE25" s="29"/>
      <c r="DWF25" s="29"/>
      <c r="DWG25" s="28"/>
      <c r="DWH25" s="29"/>
      <c r="DWI25" s="29"/>
      <c r="DWJ25" s="28"/>
      <c r="DWK25" s="29"/>
      <c r="DWL25" s="30"/>
      <c r="DWM25" s="28"/>
      <c r="DWN25" s="29"/>
      <c r="DWO25" s="29"/>
      <c r="DWP25" s="29"/>
      <c r="DWQ25" s="28"/>
      <c r="DWR25" s="29"/>
      <c r="DWS25" s="29"/>
      <c r="DWT25" s="28"/>
      <c r="DWU25" s="29"/>
      <c r="DWV25" s="30"/>
      <c r="DWW25" s="28"/>
      <c r="DWX25" s="29"/>
      <c r="DWY25" s="29"/>
      <c r="DWZ25" s="29"/>
      <c r="DXA25" s="28"/>
      <c r="DXB25" s="29"/>
      <c r="DXC25" s="29"/>
      <c r="DXD25" s="28"/>
      <c r="DXE25" s="29"/>
      <c r="DXF25" s="30"/>
      <c r="DXG25" s="28"/>
      <c r="DXH25" s="29"/>
      <c r="DXI25" s="29"/>
      <c r="DXJ25" s="29"/>
      <c r="DXK25" s="28"/>
      <c r="DXL25" s="29"/>
      <c r="DXM25" s="29"/>
      <c r="DXN25" s="28"/>
      <c r="DXO25" s="29"/>
      <c r="DXP25" s="30"/>
      <c r="DXQ25" s="28"/>
      <c r="DXR25" s="30"/>
      <c r="DXS25" s="29"/>
      <c r="DXT25" s="28"/>
      <c r="DXU25" s="29"/>
      <c r="DXV25" s="28"/>
      <c r="DXW25" s="28"/>
      <c r="DXX25" s="28"/>
      <c r="DXY25" s="29"/>
      <c r="DXZ25" s="385"/>
      <c r="DYA25" s="29"/>
      <c r="DYB25" s="385"/>
      <c r="DYC25" s="29"/>
      <c r="DYD25" s="385"/>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30"/>
      <c r="DZK25" s="28"/>
      <c r="DZL25" s="29"/>
      <c r="DZM25" s="29"/>
      <c r="DZN25" s="29"/>
      <c r="DZO25" s="29"/>
      <c r="DZP25" s="29"/>
      <c r="DZQ25" s="28"/>
      <c r="DZR25" s="29"/>
      <c r="DZS25" s="29"/>
      <c r="DZT25" s="28"/>
      <c r="DZU25" s="29"/>
      <c r="DZV25" s="30"/>
      <c r="DZW25" s="28"/>
      <c r="DZX25" s="29"/>
      <c r="DZY25" s="29"/>
      <c r="DZZ25" s="29"/>
      <c r="EAA25" s="28"/>
      <c r="EAB25" s="29"/>
      <c r="EAC25" s="29"/>
      <c r="EAD25" s="28"/>
      <c r="EAE25" s="29"/>
      <c r="EAF25" s="30"/>
      <c r="EAG25" s="28"/>
      <c r="EAH25" s="29"/>
      <c r="EAI25" s="29"/>
      <c r="EAJ25" s="29"/>
      <c r="EAK25" s="28"/>
      <c r="EAL25" s="29"/>
      <c r="EAM25" s="29"/>
      <c r="EAN25" s="28"/>
      <c r="EAO25" s="29"/>
      <c r="EAP25" s="30"/>
      <c r="EAQ25" s="28"/>
      <c r="EAR25" s="29"/>
      <c r="EAS25" s="29"/>
      <c r="EAT25" s="29"/>
      <c r="EAU25" s="28"/>
      <c r="EAV25" s="29"/>
      <c r="EAW25" s="29"/>
      <c r="EAX25" s="28"/>
      <c r="EAY25" s="29"/>
      <c r="EAZ25" s="30"/>
      <c r="EBA25" s="28"/>
      <c r="EBB25" s="30"/>
      <c r="EBC25" s="29"/>
      <c r="EBD25" s="28"/>
      <c r="EBE25" s="29"/>
      <c r="EBF25" s="28"/>
      <c r="EBG25" s="28"/>
      <c r="EBH25" s="28"/>
      <c r="EBI25" s="29"/>
      <c r="EBJ25" s="385"/>
      <c r="EBK25" s="29"/>
      <c r="EBL25" s="385"/>
      <c r="EBM25" s="29"/>
      <c r="EBN25" s="385"/>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30"/>
      <c r="ECU25" s="28"/>
      <c r="ECV25" s="29"/>
      <c r="ECW25" s="29"/>
      <c r="ECX25" s="29"/>
      <c r="ECY25" s="29"/>
      <c r="ECZ25" s="29"/>
      <c r="EDA25" s="28"/>
      <c r="EDB25" s="29"/>
      <c r="EDC25" s="29"/>
      <c r="EDD25" s="28"/>
      <c r="EDE25" s="29"/>
      <c r="EDF25" s="30"/>
      <c r="EDG25" s="28"/>
      <c r="EDH25" s="29"/>
      <c r="EDI25" s="29"/>
      <c r="EDJ25" s="29"/>
      <c r="EDK25" s="28"/>
      <c r="EDL25" s="29"/>
      <c r="EDM25" s="29"/>
      <c r="EDN25" s="28"/>
      <c r="EDO25" s="29"/>
      <c r="EDP25" s="30"/>
      <c r="EDQ25" s="28"/>
      <c r="EDR25" s="29"/>
      <c r="EDS25" s="29"/>
      <c r="EDT25" s="29"/>
      <c r="EDU25" s="28"/>
      <c r="EDV25" s="29"/>
      <c r="EDW25" s="29"/>
      <c r="EDX25" s="28"/>
      <c r="EDY25" s="29"/>
      <c r="EDZ25" s="30"/>
      <c r="EEA25" s="28"/>
      <c r="EEB25" s="29"/>
      <c r="EEC25" s="29"/>
      <c r="EED25" s="29"/>
      <c r="EEE25" s="28"/>
      <c r="EEF25" s="29"/>
      <c r="EEG25" s="29"/>
      <c r="EEH25" s="28"/>
      <c r="EEI25" s="29"/>
      <c r="EEJ25" s="30"/>
      <c r="EEK25" s="28"/>
      <c r="EEL25" s="30"/>
      <c r="EEM25" s="29"/>
      <c r="EEN25" s="28"/>
      <c r="EEO25" s="29"/>
      <c r="EEP25" s="28"/>
      <c r="EEQ25" s="28"/>
      <c r="EER25" s="28"/>
      <c r="EES25" s="29"/>
      <c r="EET25" s="385"/>
      <c r="EEU25" s="29"/>
      <c r="EEV25" s="385"/>
      <c r="EEW25" s="29"/>
      <c r="EEX25" s="385"/>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30"/>
      <c r="EGE25" s="28"/>
      <c r="EGF25" s="29"/>
      <c r="EGG25" s="29"/>
      <c r="EGH25" s="29"/>
      <c r="EGI25" s="29"/>
      <c r="EGJ25" s="29"/>
      <c r="EGK25" s="28"/>
      <c r="EGL25" s="29"/>
      <c r="EGM25" s="29"/>
      <c r="EGN25" s="28"/>
      <c r="EGO25" s="29"/>
      <c r="EGP25" s="30"/>
      <c r="EGQ25" s="28"/>
      <c r="EGR25" s="29"/>
      <c r="EGS25" s="29"/>
      <c r="EGT25" s="29"/>
      <c r="EGU25" s="28"/>
      <c r="EGV25" s="29"/>
      <c r="EGW25" s="29"/>
      <c r="EGX25" s="28"/>
      <c r="EGY25" s="29"/>
      <c r="EGZ25" s="30"/>
      <c r="EHA25" s="28"/>
      <c r="EHB25" s="29"/>
      <c r="EHC25" s="29"/>
      <c r="EHD25" s="29"/>
      <c r="EHE25" s="28"/>
      <c r="EHF25" s="29"/>
      <c r="EHG25" s="29"/>
      <c r="EHH25" s="28"/>
      <c r="EHI25" s="29"/>
      <c r="EHJ25" s="30"/>
      <c r="EHK25" s="28"/>
      <c r="EHL25" s="29"/>
      <c r="EHM25" s="29"/>
      <c r="EHN25" s="29"/>
      <c r="EHO25" s="28"/>
      <c r="EHP25" s="29"/>
      <c r="EHQ25" s="29"/>
      <c r="EHR25" s="28"/>
      <c r="EHS25" s="29"/>
      <c r="EHT25" s="30"/>
      <c r="EHU25" s="28"/>
      <c r="EHV25" s="30"/>
      <c r="EHW25" s="29"/>
      <c r="EHX25" s="28"/>
      <c r="EHY25" s="29"/>
      <c r="EHZ25" s="28"/>
      <c r="EIA25" s="28"/>
      <c r="EIB25" s="28"/>
      <c r="EIC25" s="29"/>
      <c r="EID25" s="385"/>
      <c r="EIE25" s="29"/>
      <c r="EIF25" s="385"/>
      <c r="EIG25" s="29"/>
      <c r="EIH25" s="385"/>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30"/>
      <c r="EJO25" s="28"/>
      <c r="EJP25" s="29"/>
      <c r="EJQ25" s="29"/>
      <c r="EJR25" s="29"/>
      <c r="EJS25" s="29"/>
      <c r="EJT25" s="29"/>
      <c r="EJU25" s="28"/>
      <c r="EJV25" s="29"/>
      <c r="EJW25" s="29"/>
      <c r="EJX25" s="28"/>
      <c r="EJY25" s="29"/>
      <c r="EJZ25" s="30"/>
      <c r="EKA25" s="28"/>
      <c r="EKB25" s="29"/>
      <c r="EKC25" s="29"/>
      <c r="EKD25" s="29"/>
      <c r="EKE25" s="28"/>
      <c r="EKF25" s="29"/>
      <c r="EKG25" s="29"/>
      <c r="EKH25" s="28"/>
      <c r="EKI25" s="29"/>
      <c r="EKJ25" s="30"/>
      <c r="EKK25" s="28"/>
      <c r="EKL25" s="29"/>
      <c r="EKM25" s="29"/>
      <c r="EKN25" s="29"/>
      <c r="EKO25" s="28"/>
      <c r="EKP25" s="29"/>
      <c r="EKQ25" s="29"/>
      <c r="EKR25" s="28"/>
      <c r="EKS25" s="29"/>
      <c r="EKT25" s="30"/>
      <c r="EKU25" s="28"/>
      <c r="EKV25" s="29"/>
      <c r="EKW25" s="29"/>
      <c r="EKX25" s="29"/>
      <c r="EKY25" s="28"/>
      <c r="EKZ25" s="29"/>
      <c r="ELA25" s="29"/>
      <c r="ELB25" s="28"/>
      <c r="ELC25" s="29"/>
      <c r="ELD25" s="30"/>
      <c r="ELE25" s="28"/>
      <c r="ELF25" s="30"/>
      <c r="ELG25" s="29"/>
      <c r="ELH25" s="28"/>
      <c r="ELI25" s="29"/>
      <c r="ELJ25" s="28"/>
      <c r="ELK25" s="28"/>
      <c r="ELL25" s="28"/>
      <c r="ELM25" s="29"/>
      <c r="ELN25" s="385"/>
      <c r="ELO25" s="29"/>
      <c r="ELP25" s="385"/>
      <c r="ELQ25" s="29"/>
      <c r="ELR25" s="385"/>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30"/>
      <c r="EMY25" s="28"/>
      <c r="EMZ25" s="29"/>
      <c r="ENA25" s="29"/>
      <c r="ENB25" s="29"/>
      <c r="ENC25" s="29"/>
      <c r="END25" s="29"/>
      <c r="ENE25" s="28"/>
      <c r="ENF25" s="29"/>
      <c r="ENG25" s="29"/>
      <c r="ENH25" s="28"/>
      <c r="ENI25" s="29"/>
      <c r="ENJ25" s="30"/>
      <c r="ENK25" s="28"/>
      <c r="ENL25" s="29"/>
      <c r="ENM25" s="29"/>
      <c r="ENN25" s="29"/>
      <c r="ENO25" s="28"/>
      <c r="ENP25" s="29"/>
      <c r="ENQ25" s="29"/>
      <c r="ENR25" s="28"/>
      <c r="ENS25" s="29"/>
      <c r="ENT25" s="30"/>
      <c r="ENU25" s="28"/>
      <c r="ENV25" s="29"/>
      <c r="ENW25" s="29"/>
      <c r="ENX25" s="29"/>
      <c r="ENY25" s="28"/>
      <c r="ENZ25" s="29"/>
      <c r="EOA25" s="29"/>
      <c r="EOB25" s="28"/>
      <c r="EOC25" s="29"/>
      <c r="EOD25" s="30"/>
      <c r="EOE25" s="28"/>
      <c r="EOF25" s="29"/>
      <c r="EOG25" s="29"/>
      <c r="EOH25" s="29"/>
      <c r="EOI25" s="28"/>
      <c r="EOJ25" s="29"/>
      <c r="EOK25" s="29"/>
      <c r="EOL25" s="28"/>
      <c r="EOM25" s="29"/>
      <c r="EON25" s="30"/>
      <c r="EOO25" s="28" t="str">
        <f t="shared" si="75"/>
        <v xml:space="preserve"> </v>
      </c>
    </row>
    <row r="26" spans="1:3785" x14ac:dyDescent="0.3">
      <c r="A26" s="392" t="s">
        <v>183</v>
      </c>
      <c r="B26" s="58" t="s">
        <v>3513</v>
      </c>
      <c r="C26" s="57" t="s">
        <v>1371</v>
      </c>
      <c r="D26" s="56" t="str">
        <f t="shared" si="61"/>
        <v xml:space="preserve"> </v>
      </c>
      <c r="E26" s="57"/>
      <c r="F26" s="56"/>
      <c r="G26" s="59">
        <v>45006</v>
      </c>
      <c r="H26" s="59" t="s">
        <v>1774</v>
      </c>
      <c r="I26" s="57" t="s">
        <v>1372</v>
      </c>
      <c r="J26" s="57" t="s">
        <v>1789</v>
      </c>
      <c r="K26" s="57"/>
      <c r="L26" s="57"/>
      <c r="M26" s="57" t="s">
        <v>1461</v>
      </c>
      <c r="N26" s="57" t="s">
        <v>3487</v>
      </c>
      <c r="O26" s="57"/>
      <c r="P26" s="57" t="s">
        <v>1372</v>
      </c>
      <c r="Q26" s="57" t="s">
        <v>1372</v>
      </c>
      <c r="R26" s="57" t="s">
        <v>3514</v>
      </c>
      <c r="S26" s="57" t="s">
        <v>1372</v>
      </c>
      <c r="T26" s="57" t="s">
        <v>1372</v>
      </c>
      <c r="U26" s="57" t="s">
        <v>1372</v>
      </c>
      <c r="V26" s="57" t="s">
        <v>1372</v>
      </c>
      <c r="W26" s="57"/>
      <c r="X26" s="57"/>
      <c r="Y26" s="57"/>
      <c r="Z26" s="57" t="s">
        <v>1372</v>
      </c>
      <c r="AA26" s="57"/>
      <c r="AB26" s="57"/>
      <c r="AC26" s="57"/>
      <c r="AD26" s="57"/>
      <c r="AE26" s="57"/>
      <c r="AF26" s="57" t="s">
        <v>1372</v>
      </c>
      <c r="AG26" s="57" t="s">
        <v>1372</v>
      </c>
      <c r="AH26" s="57"/>
      <c r="AI26" s="57"/>
      <c r="AJ26" s="57"/>
      <c r="AK26" s="57"/>
      <c r="AL26" s="57"/>
      <c r="AM26" s="57"/>
      <c r="AN26" s="57"/>
      <c r="AO26" s="57"/>
      <c r="AP26" s="57"/>
      <c r="AQ26" s="57"/>
      <c r="AR26" s="57"/>
      <c r="AS26" s="57"/>
      <c r="AT26" s="58" t="s">
        <v>3486</v>
      </c>
      <c r="AU26" s="57" t="s">
        <v>1826</v>
      </c>
      <c r="AV26" s="56" t="str">
        <f t="shared" ref="AV26" si="119">IFERROR(VLOOKUP(AT26,BASEPOE1,2,FALSE)," ")</f>
        <v xml:space="preserve"> </v>
      </c>
      <c r="AW26" s="57"/>
      <c r="AX26" s="56"/>
      <c r="AY26" s="59">
        <v>45162</v>
      </c>
      <c r="AZ26" s="59" t="s">
        <v>1774</v>
      </c>
      <c r="BA26" s="57" t="s">
        <v>1372</v>
      </c>
      <c r="BB26" s="57" t="s">
        <v>1789</v>
      </c>
      <c r="BC26" s="57" t="s">
        <v>1372</v>
      </c>
      <c r="BD26" s="57" t="s">
        <v>1789</v>
      </c>
      <c r="BE26" s="57" t="s">
        <v>1461</v>
      </c>
      <c r="BF26" s="57" t="s">
        <v>3487</v>
      </c>
      <c r="BG26" s="57" t="s">
        <v>2582</v>
      </c>
      <c r="BH26" s="57"/>
      <c r="BI26" s="57" t="s">
        <v>1372</v>
      </c>
      <c r="BJ26" s="395" t="s">
        <v>3488</v>
      </c>
      <c r="BK26" s="57"/>
      <c r="BL26" s="57"/>
      <c r="BM26" s="57"/>
      <c r="BN26" s="57"/>
      <c r="BO26" s="57" t="s">
        <v>1382</v>
      </c>
      <c r="BP26" s="57"/>
      <c r="BQ26" s="57"/>
      <c r="BR26" s="57"/>
      <c r="BS26" s="57"/>
      <c r="BT26" s="57"/>
      <c r="BU26" s="57"/>
      <c r="BV26" s="57"/>
      <c r="BW26" s="57"/>
      <c r="BX26" s="57"/>
      <c r="BY26" s="57"/>
      <c r="BZ26" s="57"/>
      <c r="CA26" s="57"/>
      <c r="CB26" s="57"/>
      <c r="CC26" s="57"/>
      <c r="CD26" s="57"/>
      <c r="CE26" s="57"/>
      <c r="CF26" s="57"/>
      <c r="CG26" s="57"/>
      <c r="CH26" s="57"/>
      <c r="CI26" s="57"/>
      <c r="CJ26" s="57"/>
      <c r="CK26" s="57"/>
      <c r="CL26" s="58" t="s">
        <v>3501</v>
      </c>
      <c r="CM26" s="57" t="s">
        <v>1371</v>
      </c>
      <c r="CN26" s="56" t="str">
        <f t="shared" ref="CN26" si="120">IFERROR(VLOOKUP(CL26,BASEPOE1,2,FALSE)," ")</f>
        <v xml:space="preserve"> </v>
      </c>
      <c r="CO26" s="57"/>
      <c r="CP26" s="56"/>
      <c r="CQ26" s="59">
        <v>45176</v>
      </c>
      <c r="CR26" s="59" t="s">
        <v>1774</v>
      </c>
      <c r="CS26" s="57" t="s">
        <v>1372</v>
      </c>
      <c r="CT26" s="57" t="s">
        <v>1789</v>
      </c>
      <c r="CU26" s="57" t="s">
        <v>1372</v>
      </c>
      <c r="CV26" s="57" t="s">
        <v>1789</v>
      </c>
      <c r="CW26" s="57" t="s">
        <v>1461</v>
      </c>
      <c r="CX26" s="57" t="s">
        <v>3487</v>
      </c>
      <c r="CY26" s="57" t="s">
        <v>3502</v>
      </c>
      <c r="CZ26" s="57"/>
      <c r="DA26" s="57" t="s">
        <v>1372</v>
      </c>
      <c r="DB26" s="57" t="s">
        <v>1372</v>
      </c>
      <c r="DC26" s="57" t="s">
        <v>1372</v>
      </c>
      <c r="DD26" s="57" t="s">
        <v>1372</v>
      </c>
      <c r="DE26" s="57" t="s">
        <v>1372</v>
      </c>
      <c r="DF26" s="57" t="s">
        <v>1372</v>
      </c>
      <c r="DG26" s="57"/>
      <c r="DH26" s="57"/>
      <c r="DI26" s="57"/>
      <c r="DJ26" s="57" t="s">
        <v>1372</v>
      </c>
      <c r="DK26" s="57"/>
      <c r="DL26" s="57"/>
      <c r="DM26" s="57"/>
      <c r="DN26" s="57"/>
      <c r="DO26" s="57"/>
      <c r="DP26" s="57" t="s">
        <v>1372</v>
      </c>
      <c r="DQ26" s="57"/>
      <c r="DR26" s="57"/>
      <c r="DS26" s="57"/>
      <c r="DT26" s="57"/>
      <c r="DU26" s="57"/>
      <c r="DV26" s="57"/>
      <c r="DW26" s="57"/>
      <c r="DX26" s="57"/>
      <c r="DY26" s="57"/>
      <c r="DZ26" s="57"/>
      <c r="EA26" s="57"/>
      <c r="EB26" s="57" t="s">
        <v>1783</v>
      </c>
      <c r="EC26" s="57"/>
      <c r="ED26" s="58" t="s">
        <v>3490</v>
      </c>
      <c r="EE26" s="57" t="s">
        <v>1381</v>
      </c>
      <c r="EF26" s="56" t="str">
        <f t="shared" ref="EF26" si="121">IFERROR(VLOOKUP(ED26,BASEPOE1,2,FALSE)," ")</f>
        <v xml:space="preserve"> </v>
      </c>
      <c r="EG26" s="57"/>
      <c r="EH26" s="56"/>
      <c r="EI26" s="59" t="s">
        <v>3491</v>
      </c>
      <c r="EJ26" s="59" t="s">
        <v>1774</v>
      </c>
      <c r="EK26" s="57" t="s">
        <v>1372</v>
      </c>
      <c r="EL26" s="57" t="s">
        <v>1789</v>
      </c>
      <c r="EM26" s="57" t="s">
        <v>1372</v>
      </c>
      <c r="EN26" s="57" t="s">
        <v>1789</v>
      </c>
      <c r="EO26" s="57" t="s">
        <v>1461</v>
      </c>
      <c r="EP26" s="57" t="s">
        <v>3487</v>
      </c>
      <c r="EQ26" s="57" t="s">
        <v>1372</v>
      </c>
      <c r="ER26" s="57" t="s">
        <v>1372</v>
      </c>
      <c r="ES26" s="57" t="s">
        <v>1372</v>
      </c>
      <c r="ET26" s="57" t="s">
        <v>1372</v>
      </c>
      <c r="EU26" s="57" t="s">
        <v>1372</v>
      </c>
      <c r="EV26" s="57" t="s">
        <v>1372</v>
      </c>
      <c r="EW26" s="57" t="s">
        <v>1372</v>
      </c>
      <c r="EX26" s="57" t="s">
        <v>1372</v>
      </c>
      <c r="EY26" s="57"/>
      <c r="EZ26" s="57"/>
      <c r="FA26" s="57"/>
      <c r="FB26" s="57" t="s">
        <v>1372</v>
      </c>
      <c r="FC26" s="57"/>
      <c r="FD26" s="57"/>
      <c r="FE26" s="57"/>
      <c r="FF26" s="57"/>
      <c r="FG26" s="57"/>
      <c r="FH26" s="57"/>
      <c r="FI26" s="57" t="s">
        <v>1372</v>
      </c>
      <c r="FJ26" s="57"/>
      <c r="FK26" s="57"/>
      <c r="FL26" s="57"/>
      <c r="FM26" s="57"/>
      <c r="FN26" s="57"/>
      <c r="FO26" s="57"/>
      <c r="FP26" s="57"/>
      <c r="FQ26" s="57"/>
      <c r="FR26" s="57"/>
      <c r="FS26" s="57"/>
      <c r="FT26" s="57"/>
      <c r="FU26" s="57"/>
      <c r="FV26" s="58" t="s">
        <v>3516</v>
      </c>
      <c r="FW26" s="57" t="s">
        <v>1371</v>
      </c>
      <c r="FX26" s="56" t="str">
        <f t="shared" ref="FX26" si="122">IFERROR(VLOOKUP(FV26,BASEPOE1,2,FALSE)," ")</f>
        <v xml:space="preserve"> </v>
      </c>
      <c r="FY26" s="57"/>
      <c r="FZ26" s="56"/>
      <c r="GA26" s="59">
        <v>45006</v>
      </c>
      <c r="GB26" s="59" t="s">
        <v>1774</v>
      </c>
      <c r="GC26" s="57" t="s">
        <v>1372</v>
      </c>
      <c r="GD26" s="57" t="s">
        <v>1789</v>
      </c>
      <c r="GE26" s="57" t="s">
        <v>1372</v>
      </c>
      <c r="GF26" s="57" t="s">
        <v>1789</v>
      </c>
      <c r="GG26" s="57" t="s">
        <v>1461</v>
      </c>
      <c r="GH26" s="57" t="s">
        <v>3487</v>
      </c>
      <c r="GI26" s="57" t="s">
        <v>1372</v>
      </c>
      <c r="GJ26" s="57" t="s">
        <v>1372</v>
      </c>
      <c r="GK26" s="57" t="s">
        <v>1372</v>
      </c>
      <c r="GL26" s="57" t="s">
        <v>1372</v>
      </c>
      <c r="GM26" s="57" t="s">
        <v>1372</v>
      </c>
      <c r="GN26" s="57" t="s">
        <v>1372</v>
      </c>
      <c r="GO26" s="57" t="s">
        <v>1372</v>
      </c>
      <c r="GP26" s="57"/>
      <c r="GQ26" s="57"/>
      <c r="GR26" s="57"/>
      <c r="GS26" s="57"/>
      <c r="GT26" s="57" t="s">
        <v>1372</v>
      </c>
      <c r="GU26" s="57"/>
      <c r="GV26" s="57"/>
      <c r="GW26" s="57"/>
      <c r="GX26" s="57"/>
      <c r="GY26" s="57"/>
      <c r="GZ26" s="57"/>
      <c r="HA26" s="57" t="s">
        <v>1372</v>
      </c>
      <c r="HB26" s="57"/>
      <c r="HC26" s="57"/>
      <c r="HD26" s="57"/>
      <c r="HE26" s="57"/>
      <c r="HF26" s="57"/>
      <c r="HG26" s="57"/>
      <c r="HH26" s="57"/>
      <c r="HI26" s="57"/>
      <c r="HJ26" s="57"/>
      <c r="HK26" s="57"/>
      <c r="HL26" s="57"/>
      <c r="HM26" s="57"/>
      <c r="HN26" s="58" t="s">
        <v>3508</v>
      </c>
      <c r="HO26" s="57" t="s">
        <v>1371</v>
      </c>
      <c r="HP26" s="56" t="str">
        <f t="shared" ref="HP26" si="123">IFERROR(VLOOKUP(HN26,BASEPOE1,2,FALSE)," ")</f>
        <v xml:space="preserve"> </v>
      </c>
      <c r="HQ26" s="57"/>
      <c r="HR26" s="56"/>
      <c r="HS26" s="59">
        <v>45177</v>
      </c>
      <c r="HT26" s="59" t="s">
        <v>1774</v>
      </c>
      <c r="HU26" s="57" t="s">
        <v>1372</v>
      </c>
      <c r="HV26" s="57" t="s">
        <v>1789</v>
      </c>
      <c r="HW26" s="57" t="s">
        <v>1372</v>
      </c>
      <c r="HX26" s="57" t="s">
        <v>1789</v>
      </c>
      <c r="HY26" s="57" t="s">
        <v>1461</v>
      </c>
      <c r="HZ26" s="57" t="s">
        <v>3487</v>
      </c>
      <c r="IA26" s="57"/>
      <c r="IB26" s="57"/>
      <c r="IC26" s="57" t="s">
        <v>1372</v>
      </c>
      <c r="ID26" s="57" t="s">
        <v>1372</v>
      </c>
      <c r="IE26" s="57" t="s">
        <v>1372</v>
      </c>
      <c r="IF26" s="57" t="s">
        <v>1372</v>
      </c>
      <c r="IG26" s="57" t="s">
        <v>1372</v>
      </c>
      <c r="IH26" s="57" t="s">
        <v>1372</v>
      </c>
      <c r="II26" s="57"/>
      <c r="IJ26" s="57"/>
      <c r="IK26" s="57"/>
      <c r="IL26" s="57" t="s">
        <v>1372</v>
      </c>
      <c r="IM26" s="57"/>
      <c r="IN26" s="57"/>
      <c r="IO26" s="57"/>
      <c r="IP26" s="57"/>
      <c r="IQ26" s="57"/>
      <c r="IR26" s="57"/>
      <c r="IS26" s="57" t="s">
        <v>1372</v>
      </c>
      <c r="IT26" s="57"/>
      <c r="IU26" s="57"/>
      <c r="IV26" s="57"/>
      <c r="IW26" s="57"/>
      <c r="IX26" s="57"/>
      <c r="IY26" s="57"/>
      <c r="IZ26" s="57"/>
      <c r="JA26" s="57"/>
      <c r="JB26" s="57"/>
      <c r="JC26" s="57"/>
      <c r="JD26" s="57"/>
      <c r="JE26" s="57"/>
      <c r="JF26" s="58" t="s">
        <v>3510</v>
      </c>
      <c r="JG26" s="57" t="s">
        <v>1371</v>
      </c>
      <c r="JH26" s="56" t="str">
        <f t="shared" ref="JH26" si="124">IFERROR(VLOOKUP(JF26,BASEPOE1,2,FALSE)," ")</f>
        <v xml:space="preserve"> </v>
      </c>
      <c r="JI26" s="57"/>
      <c r="JJ26" s="56"/>
      <c r="JK26" s="59">
        <v>45006</v>
      </c>
      <c r="JL26" s="59" t="s">
        <v>1774</v>
      </c>
      <c r="JM26" s="57" t="s">
        <v>1372</v>
      </c>
      <c r="JN26" s="57" t="s">
        <v>1789</v>
      </c>
      <c r="JO26" s="57" t="s">
        <v>1372</v>
      </c>
      <c r="JP26" s="57" t="s">
        <v>1789</v>
      </c>
      <c r="JQ26" s="57" t="s">
        <v>1461</v>
      </c>
      <c r="JR26" s="57" t="s">
        <v>3487</v>
      </c>
      <c r="JS26" s="57"/>
      <c r="JT26" s="57" t="s">
        <v>3511</v>
      </c>
      <c r="JU26" s="57" t="s">
        <v>1372</v>
      </c>
      <c r="JV26" s="57" t="s">
        <v>1372</v>
      </c>
      <c r="JW26" s="57" t="s">
        <v>1372</v>
      </c>
      <c r="JX26" s="57" t="s">
        <v>1372</v>
      </c>
      <c r="JY26" s="57" t="s">
        <v>1461</v>
      </c>
      <c r="JZ26" s="57" t="s">
        <v>1372</v>
      </c>
      <c r="KA26" s="57"/>
      <c r="KB26" s="57"/>
      <c r="KC26" s="57"/>
      <c r="KD26" s="57" t="s">
        <v>1372</v>
      </c>
      <c r="KE26" s="57"/>
      <c r="KF26" s="57"/>
      <c r="KG26" s="57"/>
      <c r="KH26" s="57"/>
      <c r="KI26" s="57"/>
      <c r="KJ26" s="57"/>
      <c r="KK26" s="57"/>
      <c r="KL26" s="57"/>
      <c r="KM26" s="57"/>
      <c r="KN26" s="57"/>
      <c r="KO26" s="57"/>
      <c r="KP26" s="57"/>
      <c r="KQ26" s="57"/>
      <c r="KR26" s="57"/>
      <c r="KS26" s="57"/>
      <c r="KT26" s="57"/>
      <c r="KU26" s="57"/>
      <c r="KV26" s="57"/>
      <c r="KW26" s="57"/>
      <c r="KX26" s="58"/>
      <c r="KY26" s="57"/>
      <c r="KZ26" s="56" t="str">
        <f t="shared" ref="KZ26" si="125">IFERROR(VLOOKUP(KX26,BASEPOE1,2,FALSE)," ")</f>
        <v xml:space="preserve"> </v>
      </c>
      <c r="LA26" s="57"/>
      <c r="LB26" s="56"/>
      <c r="LC26" s="59"/>
      <c r="LD26" s="59"/>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8"/>
      <c r="MQ26" s="57"/>
      <c r="MR26" s="56" t="str">
        <f t="shared" ref="MR26" si="126">IFERROR(VLOOKUP(MP26,BASEPOE1,2,FALSE)," ")</f>
        <v xml:space="preserve"> </v>
      </c>
      <c r="MS26" s="57"/>
      <c r="MT26" s="56"/>
      <c r="MU26" s="59"/>
      <c r="MV26" s="59"/>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8"/>
      <c r="OI26" s="57"/>
      <c r="OJ26" s="56" t="str">
        <f t="shared" ref="OJ26" si="127">IFERROR(VLOOKUP(OH26,BASEPOE1,2,FALSE)," ")</f>
        <v xml:space="preserve"> </v>
      </c>
      <c r="OK26" s="57"/>
      <c r="OL26" s="56"/>
      <c r="OM26" s="59"/>
      <c r="ON26" s="59"/>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8"/>
      <c r="QA26" s="57"/>
      <c r="QB26" s="56" t="str">
        <f t="shared" ref="QB26" si="128">IFERROR(VLOOKUP(PZ26,BASEPOE1,2,FALSE)," ")</f>
        <v xml:space="preserve"> </v>
      </c>
      <c r="QC26" s="57"/>
      <c r="QD26" s="56"/>
      <c r="QE26" s="59"/>
      <c r="QF26" s="59"/>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8"/>
      <c r="RS26" s="57"/>
      <c r="RT26" s="56" t="str">
        <f t="shared" ref="RT26" si="129">IFERROR(VLOOKUP(RR26,BASEPOE1,2,FALSE)," ")</f>
        <v xml:space="preserve"> </v>
      </c>
      <c r="RU26" s="57"/>
      <c r="RV26" s="56"/>
      <c r="RW26" s="59"/>
      <c r="RX26" s="59"/>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8"/>
      <c r="TK26" s="57"/>
      <c r="TL26" s="56" t="str">
        <f t="shared" ref="TL26" si="130">IFERROR(VLOOKUP(TJ26,BASEPOE1,2,FALSE)," ")</f>
        <v xml:space="preserve"> </v>
      </c>
      <c r="TM26" s="57"/>
      <c r="TN26" s="56"/>
      <c r="TO26" s="59"/>
      <c r="TP26" s="59"/>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8"/>
      <c r="VC26" s="57"/>
      <c r="VD26" s="56" t="str">
        <f t="shared" ref="VD26" si="131">IFERROR(VLOOKUP(VB26,BASEPOE1,2,FALSE)," ")</f>
        <v xml:space="preserve"> </v>
      </c>
      <c r="VE26" s="57"/>
      <c r="VF26" s="56"/>
      <c r="VG26" s="59"/>
      <c r="VH26" s="59"/>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8"/>
      <c r="WU26" s="56"/>
      <c r="WV26" s="57"/>
      <c r="WW26" s="57"/>
      <c r="WX26" s="57"/>
      <c r="WY26" s="56"/>
      <c r="WZ26" s="57"/>
      <c r="XA26" s="57"/>
      <c r="XB26" s="56"/>
      <c r="XC26" s="57"/>
      <c r="XD26" s="58"/>
      <c r="XE26" s="56"/>
      <c r="XF26" s="57"/>
      <c r="XG26" s="57"/>
      <c r="XH26" s="57"/>
      <c r="XI26" s="56"/>
      <c r="XJ26" s="57"/>
      <c r="XK26" s="57"/>
      <c r="XL26" s="56"/>
      <c r="XM26" s="57"/>
      <c r="XN26" s="58"/>
      <c r="XO26" s="56"/>
      <c r="XP26" s="57"/>
      <c r="XQ26" s="57"/>
      <c r="XR26" s="57"/>
      <c r="XS26" s="56"/>
      <c r="XT26" s="57"/>
      <c r="XU26" s="57"/>
      <c r="XV26" s="56"/>
      <c r="XW26" s="57"/>
      <c r="XX26" s="58"/>
      <c r="XY26" s="56"/>
      <c r="XZ26" s="57"/>
      <c r="YA26" s="57"/>
      <c r="YB26" s="57"/>
      <c r="YC26" s="56"/>
      <c r="YD26" s="57"/>
      <c r="YE26" s="57"/>
      <c r="YF26" s="56"/>
      <c r="YG26" s="57"/>
      <c r="YH26" s="58"/>
      <c r="YI26" s="56"/>
      <c r="YJ26" s="57"/>
      <c r="YK26" s="57"/>
      <c r="YL26" s="57"/>
      <c r="YM26" s="56"/>
      <c r="YN26" s="57"/>
      <c r="YO26" s="57"/>
      <c r="YP26" s="56"/>
      <c r="YQ26" s="57"/>
      <c r="YR26" s="58"/>
      <c r="YS26" s="56"/>
      <c r="YT26" s="57"/>
      <c r="YU26" s="57"/>
      <c r="YV26" s="57"/>
      <c r="YW26" s="56"/>
      <c r="YX26" s="57"/>
      <c r="YY26" s="57"/>
      <c r="YZ26" s="56"/>
      <c r="ZA26" s="57"/>
      <c r="ZB26" s="58"/>
      <c r="ZC26" s="56"/>
      <c r="ZD26" s="57"/>
      <c r="ZE26" s="57"/>
      <c r="ZF26" s="57"/>
      <c r="ZG26" s="56"/>
      <c r="ZH26" s="57"/>
      <c r="ZI26" s="57"/>
      <c r="ZJ26" s="56"/>
      <c r="ZK26" s="57"/>
      <c r="ZL26" s="58"/>
      <c r="ZM26" s="56"/>
      <c r="ZN26" s="57"/>
      <c r="ZO26" s="57"/>
      <c r="ZP26" s="57"/>
      <c r="ZQ26" s="56"/>
      <c r="ZR26" s="57"/>
      <c r="ZS26" s="57"/>
      <c r="ZT26" s="56"/>
      <c r="ZU26" s="57"/>
      <c r="ZV26" s="58"/>
      <c r="ZW26" s="56"/>
      <c r="ZX26" s="57"/>
      <c r="ZY26" s="57"/>
      <c r="ZZ26" s="57"/>
      <c r="AAA26" s="56"/>
      <c r="AAB26" s="57"/>
      <c r="AAC26" s="57"/>
      <c r="AAD26" s="56"/>
      <c r="AAE26" s="57"/>
      <c r="AAF26" s="58"/>
      <c r="AAG26" s="56"/>
      <c r="AAH26" s="57"/>
      <c r="AAI26" s="57"/>
      <c r="AAJ26" s="57"/>
      <c r="AAK26" s="56"/>
      <c r="AAL26" s="57"/>
      <c r="AAM26" s="57"/>
      <c r="AAN26" s="56"/>
      <c r="AAO26" s="57"/>
      <c r="AAP26" s="58"/>
      <c r="AAQ26" s="56"/>
      <c r="AAR26" s="57"/>
      <c r="AAS26" s="57"/>
      <c r="AAT26" s="57"/>
      <c r="AAU26" s="56"/>
      <c r="AAV26" s="57"/>
      <c r="AAW26" s="57"/>
      <c r="AAX26" s="58"/>
      <c r="AAY26" s="58"/>
      <c r="AAZ26" s="58"/>
      <c r="ABA26" s="56"/>
      <c r="ABB26" s="58"/>
      <c r="ABC26" s="58"/>
      <c r="ABD26" s="58"/>
      <c r="ABE26" s="58"/>
      <c r="ABF26" s="58"/>
      <c r="ABG26" s="57"/>
      <c r="ABH26" s="56"/>
      <c r="ABI26" s="57"/>
      <c r="ABJ26" s="58"/>
      <c r="ABK26" s="56"/>
      <c r="ABL26" s="57"/>
      <c r="ABM26" s="57"/>
      <c r="ABN26" s="57"/>
      <c r="ABO26" s="56"/>
      <c r="ABP26" s="57"/>
      <c r="ABQ26" s="57"/>
      <c r="ABR26" s="56"/>
      <c r="ABS26" s="57"/>
      <c r="ABT26" s="58"/>
      <c r="ABU26" s="56"/>
      <c r="ABV26" s="57"/>
      <c r="ABW26" s="57"/>
      <c r="ABX26" s="57"/>
      <c r="ABY26" s="56"/>
      <c r="ABZ26" s="57"/>
      <c r="ACA26" s="57"/>
      <c r="ACB26" s="56"/>
      <c r="ACC26" s="57"/>
      <c r="ACD26" s="58"/>
      <c r="ACE26" s="56"/>
      <c r="ACF26" s="57"/>
      <c r="ACG26" s="57"/>
      <c r="ACH26" s="57"/>
      <c r="ACI26" s="56"/>
      <c r="ACJ26" s="57"/>
      <c r="ACK26" s="57"/>
      <c r="ACL26" s="56"/>
      <c r="ACM26" s="57"/>
      <c r="ACN26" s="58"/>
      <c r="ACO26" s="56"/>
      <c r="ACP26" s="57"/>
      <c r="ACQ26" s="57"/>
      <c r="ACR26" s="57"/>
      <c r="ACS26" s="56"/>
      <c r="ACT26" s="57"/>
      <c r="ACU26" s="57"/>
      <c r="ACV26" s="56"/>
      <c r="ACW26" s="57"/>
      <c r="ACX26" s="58"/>
      <c r="ACY26" s="56"/>
      <c r="ACZ26" s="57"/>
      <c r="ADA26" s="57"/>
      <c r="ADB26" s="57"/>
      <c r="ADC26" s="56"/>
      <c r="ADD26" s="57"/>
      <c r="ADE26" s="57"/>
      <c r="ADF26" s="56"/>
      <c r="ADG26" s="57"/>
      <c r="ADH26" s="58"/>
      <c r="ADI26" s="56"/>
      <c r="ADJ26" s="57"/>
      <c r="ADK26" s="57"/>
      <c r="ADL26" s="57"/>
      <c r="ADM26" s="56"/>
      <c r="ADN26" s="57"/>
      <c r="ADO26" s="57"/>
      <c r="ADP26" s="56"/>
      <c r="ADQ26" s="57"/>
      <c r="ADR26" s="58"/>
      <c r="ADS26" s="56"/>
      <c r="ADT26" s="57"/>
      <c r="ADU26" s="57"/>
      <c r="ADV26" s="57"/>
      <c r="ADW26" s="56"/>
      <c r="ADX26" s="57"/>
      <c r="ADY26" s="57"/>
      <c r="ADZ26" s="56"/>
      <c r="AEA26" s="57"/>
      <c r="AEB26" s="58"/>
      <c r="AEC26" s="56"/>
      <c r="AED26" s="57"/>
      <c r="AEE26" s="57"/>
      <c r="AEF26" s="57"/>
      <c r="AEG26" s="56"/>
      <c r="AEH26" s="57"/>
      <c r="AEI26" s="57"/>
      <c r="AEJ26" s="56"/>
      <c r="AEK26" s="57"/>
      <c r="AEL26" s="58"/>
      <c r="AEM26" s="56"/>
      <c r="AEN26" s="57"/>
      <c r="AEO26" s="57"/>
      <c r="AEP26" s="57"/>
      <c r="AEQ26" s="56"/>
      <c r="AER26" s="57"/>
      <c r="AES26" s="57"/>
      <c r="AET26" s="56"/>
      <c r="AEU26" s="57"/>
      <c r="AEV26" s="58"/>
      <c r="AEW26" s="56"/>
      <c r="AEX26" s="57"/>
      <c r="AEY26" s="57"/>
      <c r="AEZ26" s="57"/>
      <c r="AFA26" s="56"/>
      <c r="AFB26" s="57"/>
      <c r="AFC26" s="57"/>
      <c r="AFD26" s="56"/>
      <c r="AFE26" s="57"/>
      <c r="AFF26" s="58"/>
      <c r="AFG26" s="56"/>
      <c r="AFH26" s="57"/>
      <c r="AFI26" s="57"/>
      <c r="AFJ26" s="57"/>
      <c r="AFK26" s="56"/>
      <c r="AFL26" s="57"/>
      <c r="AFM26" s="57"/>
      <c r="AFN26" s="56"/>
      <c r="AFO26" s="57"/>
      <c r="AFP26" s="58"/>
      <c r="AFQ26" s="56"/>
      <c r="AFR26" s="57"/>
      <c r="AFS26" s="57"/>
      <c r="AFT26" s="57"/>
      <c r="AFU26" s="56"/>
      <c r="AFV26" s="57"/>
      <c r="AFW26" s="57"/>
      <c r="AFX26" s="56"/>
      <c r="AFY26" s="57"/>
      <c r="AFZ26" s="58"/>
      <c r="AGA26" s="56"/>
      <c r="AGB26" s="57"/>
      <c r="AGC26" s="57"/>
      <c r="AGD26" s="57"/>
      <c r="AGE26" s="56"/>
      <c r="AGF26" s="57"/>
      <c r="AGG26" s="57"/>
      <c r="AGH26" s="56"/>
      <c r="AGI26" s="57"/>
      <c r="AGJ26" s="58"/>
      <c r="AGK26" s="56"/>
      <c r="AGL26" s="57"/>
      <c r="AGM26" s="57"/>
      <c r="AGN26" s="57"/>
      <c r="AGO26" s="56"/>
      <c r="AGP26" s="57"/>
      <c r="AGQ26" s="57"/>
      <c r="AGR26" s="56"/>
      <c r="AGS26" s="57"/>
      <c r="AGT26" s="58"/>
      <c r="AGU26" s="56"/>
      <c r="AGV26" s="57"/>
      <c r="AGW26" s="57"/>
      <c r="AGX26" s="57"/>
      <c r="AGY26" s="56"/>
      <c r="AGZ26" s="57"/>
      <c r="AHA26" s="57"/>
      <c r="AHB26" s="56"/>
      <c r="AHC26" s="57"/>
      <c r="AHD26" s="58"/>
      <c r="AHE26" s="56"/>
      <c r="AHF26" s="57"/>
      <c r="AHG26" s="57"/>
      <c r="AHH26" s="57"/>
      <c r="AHI26" s="56"/>
      <c r="AHJ26" s="57"/>
      <c r="AHK26" s="57"/>
      <c r="AHL26" s="56"/>
      <c r="AHM26" s="57"/>
      <c r="AHN26" s="58"/>
      <c r="AHO26" s="56"/>
      <c r="AHP26" s="57"/>
      <c r="AHQ26" s="57"/>
      <c r="AHR26" s="57"/>
      <c r="AHS26" s="56"/>
      <c r="AHT26" s="57"/>
      <c r="AHU26" s="57"/>
      <c r="AHV26" s="56"/>
      <c r="AHW26" s="57"/>
      <c r="AHX26" s="58"/>
      <c r="AHY26" s="56"/>
      <c r="AHZ26" s="57"/>
      <c r="AIA26" s="57"/>
      <c r="AIB26" s="57"/>
      <c r="AIC26" s="56"/>
      <c r="AID26" s="57"/>
      <c r="AIE26" s="57"/>
      <c r="AIF26" s="56"/>
      <c r="AIG26" s="57"/>
      <c r="AIH26" s="58"/>
      <c r="AII26" s="56"/>
      <c r="AIJ26" s="57"/>
      <c r="AIK26" s="57"/>
      <c r="AIL26" s="57"/>
      <c r="AIM26" s="56"/>
      <c r="AIN26" s="57"/>
      <c r="AIO26" s="57"/>
      <c r="AIP26" s="56"/>
      <c r="AIQ26" s="57"/>
      <c r="AIR26" s="58"/>
      <c r="AIS26" s="56"/>
      <c r="AIT26" s="57"/>
      <c r="AIU26" s="57"/>
      <c r="AIV26" s="57"/>
      <c r="AIW26" s="56"/>
      <c r="AIX26" s="57"/>
      <c r="AIY26" s="57"/>
      <c r="AIZ26" s="56"/>
      <c r="AJA26" s="57"/>
      <c r="AJB26" s="58"/>
      <c r="AJC26" s="56"/>
      <c r="AJD26" s="57"/>
      <c r="AJE26" s="57"/>
      <c r="AJF26" s="57"/>
      <c r="AJG26" s="56"/>
      <c r="AJH26" s="57"/>
      <c r="AJI26" s="57"/>
      <c r="AJJ26" s="56"/>
      <c r="AJK26" s="57"/>
      <c r="AJL26" s="58"/>
      <c r="AJM26" s="56"/>
      <c r="AJN26" s="57"/>
      <c r="AJO26" s="57"/>
      <c r="AJP26" s="57"/>
      <c r="AJQ26" s="56"/>
      <c r="AJR26" s="57"/>
      <c r="AJS26" s="57"/>
      <c r="AJT26" s="56"/>
      <c r="AJU26" s="57"/>
      <c r="AJV26" s="58"/>
      <c r="AJW26" s="56"/>
      <c r="AJX26" s="57"/>
      <c r="AJY26" s="57"/>
      <c r="AJZ26" s="57"/>
      <c r="AKA26" s="56"/>
      <c r="AKB26" s="57"/>
      <c r="AKC26" s="57"/>
      <c r="AKD26" s="56"/>
      <c r="AKE26" s="57"/>
      <c r="AKF26" s="58"/>
      <c r="AKG26" s="56"/>
      <c r="AKH26" s="57"/>
      <c r="AKI26" s="57"/>
      <c r="AKJ26" s="57"/>
      <c r="AKK26" s="56"/>
      <c r="AKL26" s="57"/>
      <c r="AKM26" s="57"/>
      <c r="AKN26" s="56"/>
      <c r="AKO26" s="57"/>
      <c r="AKP26" s="58"/>
      <c r="AKQ26" s="56"/>
      <c r="AKR26" s="57"/>
      <c r="AKS26" s="57"/>
      <c r="AKT26" s="57"/>
      <c r="AKU26" s="56"/>
      <c r="AKV26" s="57"/>
      <c r="AKW26" s="57"/>
      <c r="AKX26" s="56"/>
      <c r="AKY26" s="57"/>
      <c r="AKZ26" s="58"/>
      <c r="ALA26" s="56"/>
      <c r="ALB26" s="57"/>
      <c r="ALC26" s="57"/>
      <c r="ALD26" s="57"/>
      <c r="ALE26" s="56"/>
      <c r="ALF26" s="57"/>
      <c r="ALG26" s="57"/>
      <c r="ALH26" s="57"/>
      <c r="ALI26" s="57"/>
      <c r="ALJ26" s="57"/>
      <c r="ALK26" s="56"/>
      <c r="ALL26" s="57"/>
      <c r="ALM26" s="57"/>
      <c r="ALN26" s="56"/>
      <c r="ALO26" s="57"/>
      <c r="ALP26" s="58"/>
      <c r="ALQ26" s="56"/>
      <c r="ALR26" s="57"/>
      <c r="ALS26" s="57"/>
      <c r="ALT26" s="57"/>
      <c r="ALU26" s="56"/>
      <c r="ALV26" s="57"/>
      <c r="ALW26" s="57"/>
      <c r="ALX26" s="56"/>
      <c r="ALY26" s="57"/>
      <c r="ALZ26" s="58"/>
      <c r="AMA26" s="56"/>
      <c r="AMB26" s="57"/>
      <c r="AMC26" s="57"/>
      <c r="AMD26" s="57"/>
      <c r="AME26" s="56"/>
      <c r="AMF26" s="57"/>
      <c r="AMG26" s="57"/>
      <c r="AMH26" s="57"/>
      <c r="AMI26" s="57"/>
      <c r="AMJ26" s="57"/>
      <c r="AMK26" s="56"/>
      <c r="AML26" s="57"/>
      <c r="AMM26" s="57"/>
      <c r="AMN26" s="56"/>
      <c r="AMO26" s="57"/>
      <c r="AMP26" s="58"/>
      <c r="AMQ26" s="56"/>
      <c r="AMR26" s="57"/>
      <c r="AMS26" s="57"/>
      <c r="AMT26" s="57"/>
      <c r="AMU26" s="56"/>
      <c r="AMV26" s="57"/>
      <c r="AMW26" s="57"/>
      <c r="AMX26" s="56"/>
      <c r="AMY26" s="57"/>
      <c r="AMZ26" s="58"/>
      <c r="ANA26" s="56"/>
      <c r="ANB26" s="57"/>
      <c r="ANC26" s="57"/>
      <c r="AND26" s="57"/>
      <c r="ANE26" s="56"/>
      <c r="ANF26" s="57"/>
      <c r="ANG26" s="57"/>
      <c r="ANH26" s="57"/>
      <c r="ANI26" s="57"/>
      <c r="ANJ26" s="57"/>
      <c r="ANK26" s="56"/>
      <c r="ANL26" s="57"/>
      <c r="ANM26" s="57"/>
      <c r="ANN26" s="56"/>
      <c r="ANO26" s="57"/>
      <c r="ANP26" s="58"/>
      <c r="ANQ26" s="56"/>
      <c r="ANR26" s="57"/>
      <c r="ANS26" s="57"/>
      <c r="ANT26" s="57"/>
      <c r="ANU26" s="56"/>
      <c r="ANV26" s="57"/>
      <c r="ANW26" s="57"/>
      <c r="ANX26" s="56"/>
      <c r="ANY26" s="57"/>
      <c r="ANZ26" s="58"/>
      <c r="AOA26" s="56"/>
      <c r="AOB26" s="57"/>
      <c r="AOC26" s="57"/>
      <c r="AOD26" s="57"/>
      <c r="AOE26" s="56"/>
      <c r="AOF26" s="57"/>
      <c r="AOG26" s="57"/>
      <c r="AOH26" s="57"/>
      <c r="AOI26" s="57"/>
      <c r="AOJ26" s="57"/>
      <c r="AOK26" s="56"/>
      <c r="AOL26" s="57"/>
      <c r="AOM26" s="57"/>
      <c r="AON26" s="56"/>
      <c r="AOO26" s="57"/>
      <c r="AOP26" s="58"/>
      <c r="AOQ26" s="56"/>
      <c r="AOR26" s="57"/>
      <c r="AOS26" s="57"/>
      <c r="AOT26" s="57"/>
      <c r="AOU26" s="56"/>
      <c r="AOV26" s="57"/>
      <c r="AOW26" s="57"/>
      <c r="AOX26" s="56"/>
      <c r="AOY26" s="57"/>
      <c r="AOZ26" s="58"/>
      <c r="APA26" s="56"/>
      <c r="APB26" s="57"/>
      <c r="APC26" s="57"/>
      <c r="APD26" s="57"/>
      <c r="APE26" s="56"/>
      <c r="APF26" s="57"/>
      <c r="APG26" s="57"/>
      <c r="APH26" s="57"/>
      <c r="API26" s="57"/>
      <c r="APJ26" s="57"/>
      <c r="APK26" s="56"/>
      <c r="APL26" s="57"/>
      <c r="APM26" s="57"/>
      <c r="APN26" s="56"/>
      <c r="APO26" s="57"/>
      <c r="APP26" s="58"/>
      <c r="APQ26" s="56"/>
      <c r="APR26" s="57"/>
      <c r="APS26" s="57"/>
      <c r="APT26" s="57"/>
      <c r="APU26" s="56"/>
      <c r="APV26" s="57"/>
      <c r="APW26" s="57"/>
      <c r="APX26" s="56"/>
      <c r="APY26" s="57"/>
      <c r="APZ26" s="58"/>
      <c r="AQA26" s="56"/>
      <c r="AQB26" s="57"/>
      <c r="AQC26" s="57"/>
      <c r="AQD26" s="57"/>
      <c r="AQE26" s="56"/>
      <c r="AQF26" s="57"/>
      <c r="AQG26" s="57"/>
      <c r="AQH26" s="57"/>
      <c r="AQI26" s="57"/>
      <c r="AQJ26" s="57"/>
      <c r="AQK26" s="56"/>
      <c r="AQL26" s="57"/>
      <c r="AQM26" s="57"/>
      <c r="AQN26" s="56"/>
      <c r="AQO26" s="57"/>
      <c r="AQP26" s="58"/>
      <c r="AQQ26" s="56"/>
      <c r="AQR26" s="57"/>
      <c r="AQS26" s="57"/>
      <c r="AQT26" s="57"/>
      <c r="AQU26" s="56"/>
      <c r="AQV26" s="57"/>
      <c r="AQW26" s="57"/>
      <c r="AQX26" s="56"/>
      <c r="AQY26" s="57"/>
      <c r="AQZ26" s="58"/>
      <c r="ARA26" s="56"/>
      <c r="ARB26" s="57"/>
      <c r="ARC26" s="57"/>
      <c r="ARD26" s="57"/>
      <c r="ARE26" s="56"/>
      <c r="ARF26" s="57"/>
      <c r="ARG26" s="57"/>
      <c r="ARH26" s="57"/>
      <c r="ARI26" s="57"/>
      <c r="ARJ26" s="57"/>
      <c r="ARK26" s="56"/>
      <c r="ARL26" s="57"/>
      <c r="ARM26" s="57"/>
      <c r="ARN26" s="56"/>
      <c r="ARO26" s="57"/>
      <c r="ARP26" s="58"/>
      <c r="ARQ26" s="56"/>
      <c r="ARR26" s="57"/>
      <c r="ARS26" s="57"/>
      <c r="ART26" s="57"/>
      <c r="ARU26" s="56"/>
      <c r="ARV26" s="57"/>
      <c r="ARW26" s="57"/>
      <c r="ARX26" s="56"/>
      <c r="ARY26" s="57"/>
      <c r="ARZ26" s="58"/>
      <c r="ASA26" s="56"/>
      <c r="ASB26" s="57"/>
      <c r="ASC26" s="57"/>
      <c r="ASD26" s="57"/>
      <c r="ASE26" s="56"/>
      <c r="ASF26" s="57"/>
      <c r="ASG26" s="57"/>
      <c r="ASH26" s="57"/>
      <c r="ASI26" s="57"/>
      <c r="ASJ26" s="57"/>
      <c r="ASK26" s="56"/>
      <c r="ASL26" s="57"/>
      <c r="ASM26" s="57"/>
      <c r="ASN26" s="56"/>
      <c r="ASO26" s="57"/>
      <c r="ASP26" s="58"/>
      <c r="ASQ26" s="56"/>
      <c r="ASR26" s="57"/>
      <c r="ASS26" s="57"/>
      <c r="AST26" s="57"/>
      <c r="ASU26" s="56"/>
      <c r="ASV26" s="57"/>
      <c r="ASW26" s="57"/>
      <c r="ASX26" s="56"/>
      <c r="ASY26" s="57"/>
      <c r="ASZ26" s="58"/>
      <c r="ATA26" s="56"/>
      <c r="ATB26" s="57"/>
      <c r="ATC26" s="57"/>
      <c r="ATD26" s="57"/>
      <c r="ATE26" s="56"/>
      <c r="ATF26" s="57"/>
      <c r="ATG26" s="57"/>
      <c r="ATH26" s="57"/>
      <c r="ATI26" s="57"/>
      <c r="ATJ26" s="57"/>
      <c r="ATK26" s="56"/>
      <c r="ATL26" s="57"/>
      <c r="ATM26" s="57"/>
      <c r="ATN26" s="56"/>
      <c r="ATO26" s="57"/>
      <c r="ATP26" s="58"/>
      <c r="ATQ26" s="56"/>
      <c r="ATR26" s="57"/>
      <c r="ATS26" s="57"/>
      <c r="ATT26" s="57"/>
      <c r="ATU26" s="56"/>
      <c r="ATV26" s="57"/>
      <c r="ATW26" s="57"/>
      <c r="ATX26" s="56"/>
      <c r="ATY26" s="57"/>
      <c r="ATZ26" s="58"/>
      <c r="AUA26" s="56"/>
      <c r="AUB26" s="57"/>
      <c r="AUC26" s="57"/>
      <c r="AUD26" s="57"/>
      <c r="AUE26" s="56"/>
      <c r="AUF26" s="57"/>
      <c r="AUG26" s="57"/>
      <c r="AUH26" s="57"/>
      <c r="AUI26" s="57"/>
      <c r="AUJ26" s="57"/>
      <c r="AUK26" s="56"/>
      <c r="AUL26" s="57"/>
      <c r="AUM26" s="57"/>
      <c r="AUN26" s="56"/>
      <c r="AUO26" s="57"/>
      <c r="AUP26" s="58"/>
      <c r="AUQ26" s="56"/>
      <c r="AUR26" s="57"/>
      <c r="AUS26" s="57"/>
      <c r="AUT26" s="57"/>
      <c r="AUU26" s="56"/>
      <c r="AUV26" s="57"/>
      <c r="AUW26" s="57"/>
      <c r="AUX26" s="56"/>
      <c r="AUY26" s="57"/>
      <c r="AUZ26" s="58"/>
      <c r="AVA26" s="56"/>
      <c r="AVB26" s="57"/>
      <c r="AVC26" s="57"/>
      <c r="AVD26" s="57"/>
      <c r="AVE26" s="56"/>
      <c r="AVF26" s="57"/>
      <c r="AVG26" s="57"/>
      <c r="AVH26" s="57"/>
      <c r="AVI26" s="57"/>
      <c r="AVJ26" s="57"/>
      <c r="AVK26" s="56"/>
      <c r="AVL26" s="57"/>
      <c r="AVM26" s="57"/>
      <c r="AVN26" s="56"/>
      <c r="AVO26" s="57"/>
      <c r="AVP26" s="58"/>
      <c r="AVQ26" s="56"/>
      <c r="AVR26" s="57"/>
      <c r="AVS26" s="57"/>
      <c r="AVT26" s="57"/>
      <c r="AVU26" s="56"/>
      <c r="AVV26" s="57"/>
      <c r="AVW26" s="57"/>
      <c r="AVX26" s="56"/>
      <c r="AVY26" s="57"/>
      <c r="AVZ26" s="58"/>
      <c r="AWA26" s="56"/>
      <c r="AWB26" s="57"/>
      <c r="AWC26" s="57"/>
      <c r="AWD26" s="57"/>
      <c r="AWE26" s="56"/>
      <c r="AWF26" s="57"/>
      <c r="AWG26" s="57"/>
      <c r="AWH26" s="57"/>
      <c r="AWI26" s="57"/>
      <c r="AWJ26" s="57"/>
      <c r="AWK26" s="56"/>
      <c r="AWL26" s="57"/>
      <c r="AWM26" s="57"/>
      <c r="AWN26" s="56"/>
      <c r="AWO26" s="57"/>
      <c r="AWP26" s="58"/>
      <c r="AWQ26" s="56"/>
      <c r="AWR26" s="57"/>
      <c r="AWS26" s="57"/>
      <c r="AWT26" s="57"/>
      <c r="AWU26" s="56"/>
      <c r="AWV26" s="57"/>
      <c r="AWW26" s="57"/>
      <c r="AWX26" s="56"/>
      <c r="AWY26" s="57"/>
      <c r="AWZ26" s="58"/>
      <c r="AXA26" s="56"/>
      <c r="AXB26" s="57"/>
      <c r="AXC26" s="57"/>
      <c r="AXD26" s="57"/>
      <c r="AXE26" s="56"/>
      <c r="AXF26" s="57"/>
      <c r="AXG26" s="57"/>
      <c r="AXH26" s="57"/>
      <c r="AXI26" s="57"/>
      <c r="AXJ26" s="57"/>
      <c r="AXK26" s="56"/>
      <c r="AXL26" s="57"/>
      <c r="AXM26" s="57"/>
      <c r="AXN26" s="56"/>
      <c r="AXO26" s="57"/>
      <c r="AXP26" s="58"/>
      <c r="AXQ26" s="56"/>
      <c r="AXR26" s="57"/>
      <c r="AXS26" s="57"/>
      <c r="AXT26" s="57"/>
      <c r="AXU26" s="56"/>
      <c r="AXV26" s="57"/>
      <c r="AXW26" s="57"/>
      <c r="AXX26" s="56"/>
      <c r="AXY26" s="57"/>
      <c r="AXZ26" s="58"/>
      <c r="AYA26" s="56"/>
      <c r="AYB26" s="57"/>
      <c r="AYC26" s="57"/>
      <c r="AYD26" s="57"/>
      <c r="AYE26" s="56"/>
      <c r="AYF26" s="57"/>
      <c r="AYG26" s="57"/>
      <c r="AYH26" s="57"/>
      <c r="AYI26" s="57"/>
      <c r="AYJ26" s="57"/>
      <c r="AYK26" s="56"/>
      <c r="AYL26" s="57"/>
      <c r="AYM26" s="57"/>
      <c r="AYN26" s="56"/>
      <c r="AYO26" s="57"/>
      <c r="AYP26" s="58"/>
      <c r="AYQ26" s="56"/>
      <c r="AYR26" s="57"/>
      <c r="AYS26" s="57"/>
      <c r="AYT26" s="57"/>
      <c r="AYU26" s="56"/>
      <c r="AYV26" s="57"/>
      <c r="AYW26" s="57"/>
      <c r="AYX26" s="56"/>
      <c r="AYY26" s="57"/>
      <c r="AYZ26" s="58"/>
      <c r="AZA26" s="56"/>
      <c r="AZB26" s="57"/>
      <c r="AZC26" s="57"/>
      <c r="AZD26" s="57"/>
      <c r="AZE26" s="56"/>
      <c r="AZF26" s="57"/>
      <c r="AZG26" s="57"/>
      <c r="AZH26" s="57"/>
      <c r="AZI26" s="57"/>
      <c r="AZJ26" s="57"/>
      <c r="AZK26" s="56"/>
      <c r="AZL26" s="57"/>
      <c r="AZM26" s="57"/>
      <c r="AZN26" s="56"/>
      <c r="AZO26" s="57"/>
      <c r="AZP26" s="58"/>
      <c r="AZQ26" s="56"/>
      <c r="AZR26" s="57"/>
      <c r="AZS26" s="57"/>
      <c r="AZT26" s="57"/>
      <c r="AZU26" s="56"/>
      <c r="AZV26" s="57"/>
      <c r="AZW26" s="57"/>
      <c r="AZX26" s="56"/>
      <c r="AZY26" s="57"/>
      <c r="AZZ26" s="58"/>
      <c r="BAA26" s="56"/>
      <c r="BAB26" s="57"/>
      <c r="BAC26" s="57"/>
      <c r="BAD26" s="57"/>
      <c r="BAE26" s="56"/>
      <c r="BAF26" s="57"/>
      <c r="BAG26" s="57"/>
      <c r="BAH26" s="57"/>
      <c r="BAI26" s="57"/>
      <c r="BAJ26" s="57"/>
      <c r="BAK26" s="56"/>
      <c r="BAL26" s="57"/>
      <c r="BAM26" s="57"/>
      <c r="BAN26" s="56"/>
      <c r="BAO26" s="57"/>
      <c r="BAP26" s="58"/>
      <c r="BAQ26" s="56"/>
      <c r="BAR26" s="57"/>
      <c r="BAS26" s="57"/>
      <c r="BAT26" s="57"/>
      <c r="BAU26" s="56"/>
      <c r="BAV26" s="57"/>
      <c r="BAW26" s="57"/>
      <c r="BAX26" s="56"/>
      <c r="BAY26" s="57"/>
      <c r="BAZ26" s="58"/>
      <c r="BBA26" s="56"/>
      <c r="BBB26" s="57"/>
      <c r="BBC26" s="57"/>
      <c r="BBD26" s="57"/>
      <c r="BBE26" s="56"/>
      <c r="BBF26" s="57"/>
      <c r="BBG26" s="57"/>
      <c r="BBH26" s="57"/>
      <c r="BBI26" s="57"/>
      <c r="BBJ26" s="57"/>
      <c r="BBK26" s="56"/>
      <c r="BBL26" s="57"/>
      <c r="BBM26" s="57"/>
      <c r="BBN26" s="56"/>
      <c r="BBO26" s="57"/>
      <c r="BBP26" s="58"/>
      <c r="BBQ26" s="56"/>
      <c r="BBR26" s="57"/>
      <c r="BBS26" s="57"/>
      <c r="BBT26" s="57"/>
      <c r="BBU26" s="56"/>
      <c r="BBV26" s="57"/>
      <c r="BBW26" s="57"/>
      <c r="BBX26" s="56"/>
      <c r="BBY26" s="57"/>
      <c r="BBZ26" s="58"/>
      <c r="BCA26" s="56"/>
      <c r="BCB26" s="57"/>
      <c r="BCC26" s="57"/>
      <c r="BCD26" s="57"/>
      <c r="BCE26" s="56"/>
      <c r="BCF26" s="57"/>
      <c r="BCG26" s="57"/>
      <c r="BCH26" s="57"/>
      <c r="BCI26" s="57"/>
      <c r="BCJ26" s="57"/>
      <c r="BCK26" s="56"/>
      <c r="BCL26" s="57"/>
      <c r="BCM26" s="57"/>
      <c r="BCN26" s="56"/>
      <c r="BCO26" s="57"/>
      <c r="BCP26" s="58"/>
      <c r="BCQ26" s="56"/>
      <c r="BCR26" s="57"/>
      <c r="BCS26" s="57"/>
      <c r="BCT26" s="57"/>
      <c r="BCU26" s="56"/>
      <c r="BCV26" s="57"/>
      <c r="BCW26" s="57"/>
      <c r="BCX26" s="56"/>
      <c r="BCY26" s="57"/>
      <c r="BCZ26" s="58"/>
      <c r="BDA26" s="56"/>
      <c r="BDB26" s="57"/>
      <c r="BDC26" s="57"/>
      <c r="BDD26" s="57"/>
      <c r="BDE26" s="56"/>
      <c r="BDF26" s="57"/>
      <c r="BDG26" s="57"/>
      <c r="BDH26" s="57"/>
      <c r="BDI26" s="57"/>
      <c r="BDJ26" s="57"/>
      <c r="BDK26" s="56"/>
      <c r="BDL26" s="57"/>
      <c r="BDM26" s="57"/>
      <c r="BDN26" s="56"/>
      <c r="BDO26" s="57"/>
      <c r="BDP26" s="58"/>
      <c r="BDQ26" s="56"/>
      <c r="BDR26" s="57"/>
      <c r="BDS26" s="57"/>
      <c r="BDT26" s="57"/>
      <c r="BDU26" s="56"/>
      <c r="BDV26" s="57"/>
      <c r="BDW26" s="57"/>
      <c r="BDX26" s="56"/>
      <c r="BDY26" s="57"/>
      <c r="BDZ26" s="58"/>
      <c r="BEA26" s="56"/>
      <c r="BEB26" s="57"/>
      <c r="BEC26" s="57"/>
      <c r="BED26" s="57"/>
      <c r="BEE26" s="56"/>
      <c r="BEF26" s="57"/>
      <c r="BEG26" s="57"/>
      <c r="BEH26" s="57"/>
      <c r="BEI26" s="57"/>
      <c r="BEJ26" s="57"/>
      <c r="BEK26" s="56"/>
      <c r="BEL26" s="57"/>
      <c r="BEM26" s="57"/>
      <c r="BEN26" s="56"/>
      <c r="BEO26" s="57"/>
      <c r="BEP26" s="58"/>
      <c r="BEQ26" s="56"/>
      <c r="BER26" s="57"/>
      <c r="BES26" s="57"/>
      <c r="BET26" s="57"/>
      <c r="BEU26" s="56"/>
      <c r="BEV26" s="57"/>
      <c r="BEW26" s="57"/>
      <c r="BEX26" s="56"/>
      <c r="BEY26" s="57"/>
      <c r="BEZ26" s="58"/>
      <c r="BFA26" s="56"/>
      <c r="BFB26" s="57"/>
      <c r="BFC26" s="57"/>
      <c r="BFD26" s="57"/>
      <c r="BFE26" s="56"/>
      <c r="BFF26" s="57"/>
      <c r="BFG26" s="57"/>
      <c r="BFH26" s="57"/>
      <c r="BFI26" s="57"/>
      <c r="BFJ26" s="57"/>
      <c r="BFK26" s="56"/>
      <c r="BFL26" s="57"/>
      <c r="BFM26" s="57"/>
      <c r="BFN26" s="56"/>
      <c r="BFO26" s="57"/>
      <c r="BFP26" s="58"/>
      <c r="BFQ26" s="56"/>
      <c r="BFR26" s="57"/>
      <c r="BFS26" s="57"/>
      <c r="BFT26" s="57"/>
      <c r="BFU26" s="56"/>
      <c r="BFV26" s="57"/>
      <c r="BFW26" s="57"/>
      <c r="BFX26" s="56"/>
      <c r="BFY26" s="57"/>
      <c r="BFZ26" s="58"/>
      <c r="BGA26" s="56"/>
      <c r="BGB26" s="57"/>
      <c r="BGC26" s="57"/>
      <c r="BGD26" s="57"/>
      <c r="BGE26" s="56"/>
      <c r="BGF26" s="57"/>
      <c r="BGG26" s="57"/>
      <c r="BGH26" s="57"/>
      <c r="BGI26" s="57"/>
      <c r="BGJ26" s="57"/>
      <c r="BGK26" s="56"/>
      <c r="BGL26" s="57"/>
      <c r="BGM26" s="57"/>
      <c r="BGN26" s="56"/>
      <c r="BGO26" s="57"/>
      <c r="BGP26" s="58"/>
      <c r="BGQ26" s="56"/>
      <c r="BGR26" s="57"/>
      <c r="BGS26" s="57"/>
      <c r="BGT26" s="57"/>
      <c r="BGU26" s="56"/>
      <c r="BGV26" s="57"/>
      <c r="BGW26" s="57"/>
      <c r="BGX26" s="56"/>
      <c r="BGY26" s="57"/>
      <c r="BGZ26" s="58"/>
      <c r="BHA26" s="56"/>
      <c r="BHB26" s="57"/>
      <c r="BHC26" s="57"/>
      <c r="BHD26" s="57"/>
      <c r="BHE26" s="56"/>
      <c r="BHF26" s="57"/>
      <c r="BHG26" s="57"/>
      <c r="BHH26" s="57"/>
      <c r="BHI26" s="57"/>
      <c r="BHJ26" s="57"/>
      <c r="BHK26" s="56"/>
      <c r="BHL26" s="57"/>
      <c r="BHM26" s="57"/>
      <c r="BHN26" s="56"/>
      <c r="BHO26" s="57"/>
      <c r="BHP26" s="58"/>
      <c r="BHQ26" s="56"/>
      <c r="BHR26" s="57"/>
      <c r="BHS26" s="57"/>
      <c r="BHT26" s="57"/>
      <c r="BHU26" s="56"/>
      <c r="BHV26" s="57"/>
      <c r="BHW26" s="57"/>
      <c r="BHX26" s="56"/>
      <c r="BHY26" s="57"/>
      <c r="BHZ26" s="58"/>
      <c r="BIA26" s="56"/>
      <c r="BIB26" s="57"/>
      <c r="BIC26" s="57"/>
      <c r="BID26" s="57"/>
      <c r="BIE26" s="56"/>
      <c r="BIF26" s="57"/>
      <c r="BIG26" s="57"/>
      <c r="BIH26" s="57"/>
      <c r="BII26" s="57"/>
      <c r="BIJ26" s="57"/>
      <c r="BIK26" s="56"/>
      <c r="BIL26" s="57"/>
      <c r="BIM26" s="57"/>
      <c r="BIN26" s="56"/>
      <c r="BIO26" s="57"/>
      <c r="BIP26" s="58"/>
      <c r="BIQ26" s="56"/>
      <c r="BIR26" s="57"/>
      <c r="BIS26" s="57"/>
      <c r="BIT26" s="57"/>
      <c r="BIU26" s="56"/>
      <c r="BIV26" s="57"/>
      <c r="BIW26" s="57"/>
      <c r="BIX26" s="56"/>
      <c r="BIY26" s="57"/>
      <c r="BIZ26" s="58"/>
      <c r="BJA26" s="56"/>
      <c r="BJB26" s="57"/>
      <c r="BJC26" s="57"/>
      <c r="BJD26" s="57"/>
      <c r="BJE26" s="56"/>
      <c r="BJF26" s="57"/>
      <c r="BJG26" s="57"/>
      <c r="BJH26" s="57"/>
      <c r="BJI26" s="57"/>
      <c r="BJJ26" s="57"/>
      <c r="BJK26" s="56"/>
      <c r="BJL26" s="57"/>
      <c r="BJM26" s="57"/>
      <c r="BJN26" s="56"/>
      <c r="BJO26" s="57"/>
      <c r="BJP26" s="58"/>
      <c r="BJQ26" s="56"/>
      <c r="BJR26" s="57"/>
      <c r="BJS26" s="57"/>
      <c r="BJT26" s="57"/>
      <c r="BJU26" s="56"/>
      <c r="BJV26" s="57"/>
      <c r="BJW26" s="57"/>
      <c r="BJX26" s="56"/>
      <c r="BJY26" s="57"/>
      <c r="BJZ26" s="58"/>
      <c r="BKA26" s="56"/>
      <c r="BKB26" s="57"/>
      <c r="BKC26" s="57"/>
      <c r="BKD26" s="57"/>
      <c r="BKE26" s="56"/>
      <c r="BKF26" s="57"/>
      <c r="BKG26" s="57"/>
      <c r="BKH26" s="57"/>
      <c r="BKI26" s="57"/>
      <c r="BKJ26" s="57"/>
      <c r="BKK26" s="56"/>
      <c r="BKL26" s="57"/>
      <c r="BKM26" s="57"/>
      <c r="BKN26" s="56"/>
      <c r="BKO26" s="57"/>
      <c r="BKP26" s="58"/>
      <c r="BKQ26" s="56"/>
      <c r="BKR26" s="57"/>
      <c r="BKS26" s="57"/>
      <c r="BKT26" s="57"/>
      <c r="BKU26" s="56"/>
      <c r="BKV26" s="57"/>
      <c r="BKW26" s="57"/>
      <c r="BKX26" s="56"/>
      <c r="BKY26" s="57"/>
      <c r="BKZ26" s="58"/>
      <c r="BLA26" s="56"/>
      <c r="BLB26" s="57"/>
      <c r="BLC26" s="57"/>
      <c r="BLD26" s="57"/>
      <c r="BLE26" s="56"/>
      <c r="BLF26" s="57"/>
      <c r="BLG26" s="57"/>
      <c r="BLH26" s="57"/>
      <c r="BLI26" s="57"/>
      <c r="BLJ26" s="57"/>
      <c r="BLK26" s="56"/>
      <c r="BLL26" s="57"/>
      <c r="BLM26" s="57"/>
      <c r="BLN26" s="56"/>
      <c r="BLO26" s="57"/>
      <c r="BLP26" s="58"/>
      <c r="BLQ26" s="56"/>
      <c r="BLR26" s="57"/>
      <c r="BLS26" s="57"/>
      <c r="BLT26" s="57"/>
      <c r="BLU26" s="56"/>
      <c r="BLV26" s="57"/>
      <c r="BLW26" s="57"/>
      <c r="BLX26" s="56"/>
      <c r="BLY26" s="57"/>
      <c r="BLZ26" s="58"/>
      <c r="BMA26" s="56"/>
      <c r="BMB26" s="57"/>
      <c r="BMC26" s="57"/>
      <c r="BMD26" s="57"/>
      <c r="BME26" s="56"/>
      <c r="BMF26" s="57"/>
      <c r="BMG26" s="57"/>
      <c r="BMH26" s="57"/>
      <c r="BMI26" s="57"/>
      <c r="BMJ26" s="57"/>
      <c r="BMK26" s="56"/>
      <c r="BML26" s="57"/>
      <c r="BMM26" s="57"/>
      <c r="BMN26" s="56"/>
      <c r="BMO26" s="57"/>
      <c r="BMP26" s="58"/>
      <c r="BMQ26" s="56"/>
      <c r="BMR26" s="57"/>
      <c r="BMS26" s="57"/>
      <c r="BMT26" s="57"/>
      <c r="BMU26" s="56"/>
      <c r="BMV26" s="57"/>
      <c r="BMW26" s="57"/>
      <c r="BMX26" s="56"/>
      <c r="BMY26" s="57"/>
      <c r="BMZ26" s="58"/>
      <c r="BNA26" s="56"/>
      <c r="BNB26" s="57"/>
      <c r="BNC26" s="57"/>
      <c r="BND26" s="57"/>
      <c r="BNE26" s="56"/>
      <c r="BNF26" s="57"/>
      <c r="BNG26" s="57"/>
      <c r="BNH26" s="57"/>
      <c r="BNI26" s="57"/>
      <c r="BNJ26" s="57"/>
      <c r="BNK26" s="56"/>
      <c r="BNL26" s="57"/>
      <c r="BNM26" s="57"/>
      <c r="BNN26" s="56"/>
      <c r="BNO26" s="57"/>
      <c r="BNP26" s="58"/>
      <c r="BNQ26" s="56"/>
      <c r="BNR26" s="57"/>
      <c r="BNS26" s="57"/>
      <c r="BNT26" s="57"/>
      <c r="BNU26" s="56"/>
      <c r="BNV26" s="57"/>
      <c r="BNW26" s="57"/>
      <c r="BNX26" s="56"/>
      <c r="BNY26" s="57"/>
      <c r="BNZ26" s="58"/>
      <c r="BOA26" s="56"/>
      <c r="BOB26" s="57"/>
      <c r="BOC26" s="57"/>
      <c r="BOD26" s="57"/>
      <c r="BOE26" s="56"/>
      <c r="BOF26" s="57"/>
      <c r="BOG26" s="57"/>
      <c r="BOH26" s="57"/>
      <c r="BOI26" s="57"/>
      <c r="BOJ26" s="57"/>
      <c r="BOK26" s="56"/>
      <c r="BOL26" s="57"/>
      <c r="BOM26" s="57"/>
      <c r="BON26" s="56"/>
      <c r="BOO26" s="57"/>
      <c r="BOP26" s="58"/>
      <c r="BOQ26" s="56"/>
      <c r="BOR26" s="57"/>
      <c r="BOS26" s="57"/>
      <c r="BOT26" s="57"/>
      <c r="BOU26" s="56"/>
      <c r="BOV26" s="57"/>
      <c r="BOW26" s="57"/>
      <c r="BOX26" s="56"/>
      <c r="BOY26" s="57"/>
      <c r="BOZ26" s="58"/>
      <c r="BPA26" s="56"/>
      <c r="BPB26" s="57"/>
      <c r="BPC26" s="57"/>
      <c r="BPD26" s="57"/>
      <c r="BPE26" s="56"/>
      <c r="BPF26" s="57"/>
      <c r="BPG26" s="57"/>
      <c r="BPH26" s="57"/>
      <c r="BPI26" s="57"/>
      <c r="BPJ26" s="57"/>
      <c r="BPK26" s="56"/>
      <c r="BPL26" s="57"/>
      <c r="BPM26" s="57"/>
      <c r="BPN26" s="56"/>
      <c r="BPO26" s="57"/>
      <c r="BPP26" s="58"/>
      <c r="BPQ26" s="56"/>
      <c r="BPR26" s="57"/>
      <c r="BPS26" s="57"/>
      <c r="BPT26" s="57"/>
      <c r="BPU26" s="56"/>
      <c r="BPV26" s="57"/>
      <c r="BPW26" s="57"/>
      <c r="BPX26" s="56"/>
      <c r="BPY26" s="57"/>
      <c r="BPZ26" s="58"/>
      <c r="BQA26" s="56"/>
      <c r="BQB26" s="57"/>
      <c r="BQC26" s="57"/>
      <c r="BQD26" s="57"/>
      <c r="BQE26" s="56"/>
      <c r="BQF26" s="57"/>
      <c r="BQG26" s="57"/>
      <c r="BQH26" s="57"/>
      <c r="BQI26" s="57"/>
      <c r="BQJ26" s="57"/>
      <c r="BQK26" s="56"/>
      <c r="BQL26" s="57"/>
      <c r="BQM26" s="57"/>
      <c r="BQN26" s="56"/>
      <c r="BQO26" s="57"/>
      <c r="BQP26" s="58"/>
      <c r="BQQ26" s="56"/>
      <c r="BQR26" s="57"/>
      <c r="BQS26" s="57"/>
      <c r="BQT26" s="57"/>
      <c r="BQU26" s="56"/>
      <c r="BQV26" s="57"/>
      <c r="BQW26" s="57"/>
      <c r="BQX26" s="56"/>
      <c r="BQY26" s="57"/>
      <c r="BQZ26" s="58"/>
      <c r="BRA26" s="56"/>
      <c r="BRB26" s="57"/>
      <c r="BRC26" s="57"/>
      <c r="BRD26" s="57"/>
      <c r="BRE26" s="56"/>
      <c r="BRF26" s="57"/>
      <c r="BRG26" s="57"/>
      <c r="BRH26" s="57"/>
      <c r="BRI26" s="57"/>
      <c r="BRJ26" s="57"/>
      <c r="BRK26" s="56"/>
      <c r="BRL26" s="57"/>
      <c r="BRM26" s="57"/>
      <c r="BRN26" s="56"/>
      <c r="BRO26" s="57"/>
      <c r="BRP26" s="58"/>
      <c r="BRQ26" s="56"/>
      <c r="BRR26" s="57"/>
      <c r="BRS26" s="57"/>
      <c r="BRT26" s="57"/>
      <c r="BRU26" s="56"/>
      <c r="BRV26" s="57"/>
      <c r="BRW26" s="57"/>
      <c r="BRX26" s="56"/>
      <c r="BRY26" s="57"/>
      <c r="BRZ26" s="58"/>
      <c r="BSA26" s="56"/>
      <c r="BSB26" s="57"/>
      <c r="BSC26" s="57"/>
      <c r="BSD26" s="57"/>
      <c r="BSE26" s="56"/>
      <c r="BSF26" s="57"/>
      <c r="BSG26" s="57"/>
      <c r="BSH26" s="57"/>
      <c r="BSI26" s="57"/>
      <c r="BSJ26" s="57"/>
      <c r="BSK26" s="56"/>
      <c r="BSL26" s="57"/>
      <c r="BSM26" s="57"/>
      <c r="BSN26" s="56"/>
      <c r="BSO26" s="57"/>
      <c r="BSP26" s="58"/>
      <c r="BSQ26" s="56"/>
      <c r="BSR26" s="57"/>
      <c r="BSS26" s="57"/>
      <c r="BST26" s="57"/>
      <c r="BSU26" s="56"/>
      <c r="BSV26" s="57"/>
      <c r="BSW26" s="57"/>
      <c r="BSX26" s="56"/>
      <c r="BSY26" s="57"/>
      <c r="BSZ26" s="58"/>
      <c r="BTA26" s="56"/>
      <c r="BTB26" s="57"/>
      <c r="BTC26" s="57"/>
      <c r="BTD26" s="57"/>
      <c r="BTE26" s="56"/>
      <c r="BTF26" s="57"/>
      <c r="BTG26" s="57"/>
      <c r="BTH26" s="57"/>
      <c r="BTI26" s="57"/>
      <c r="BTJ26" s="57"/>
      <c r="BTK26" s="56"/>
      <c r="BTL26" s="57"/>
      <c r="BTM26" s="57"/>
      <c r="BTN26" s="56"/>
      <c r="BTO26" s="57"/>
      <c r="BTP26" s="58"/>
      <c r="BTQ26" s="56"/>
      <c r="BTR26" s="57"/>
      <c r="BTS26" s="57"/>
      <c r="BTT26" s="57"/>
      <c r="BTU26" s="56"/>
      <c r="BTV26" s="57"/>
      <c r="BTW26" s="57"/>
      <c r="BTX26" s="56"/>
      <c r="BTY26" s="57"/>
      <c r="BTZ26" s="58"/>
      <c r="BUA26" s="56"/>
      <c r="BUB26" s="57"/>
      <c r="BUC26" s="57"/>
      <c r="BUD26" s="57"/>
      <c r="BUE26" s="56"/>
      <c r="BUF26" s="57"/>
      <c r="BUG26" s="57"/>
      <c r="BUH26" s="57"/>
      <c r="BUI26" s="57"/>
      <c r="BUJ26" s="57"/>
      <c r="BUK26" s="56"/>
      <c r="BUL26" s="57"/>
      <c r="BUM26" s="57"/>
      <c r="BUN26" s="56"/>
      <c r="BUO26" s="57"/>
      <c r="BUP26" s="58"/>
      <c r="BUQ26" s="56"/>
      <c r="BUR26" s="57"/>
      <c r="BUS26" s="57"/>
      <c r="BUT26" s="57"/>
      <c r="BUU26" s="56"/>
      <c r="BUV26" s="57"/>
      <c r="BUW26" s="57"/>
      <c r="BUX26" s="56"/>
      <c r="BUY26" s="57"/>
      <c r="BUZ26" s="58"/>
      <c r="BVA26" s="56"/>
      <c r="BVB26" s="57"/>
      <c r="BVC26" s="57"/>
      <c r="BVD26" s="57"/>
      <c r="BVE26" s="56"/>
      <c r="BVF26" s="57"/>
      <c r="BVG26" s="57"/>
      <c r="BVH26" s="57"/>
      <c r="BVI26" s="57"/>
      <c r="BVJ26" s="57"/>
      <c r="BVK26" s="56"/>
      <c r="BVL26" s="57"/>
      <c r="BVM26" s="57"/>
      <c r="BVN26" s="56"/>
      <c r="BVO26" s="57"/>
      <c r="BVP26" s="58"/>
      <c r="BVQ26" s="56"/>
      <c r="BVR26" s="57"/>
      <c r="BVS26" s="57"/>
      <c r="BVT26" s="57"/>
      <c r="BVU26" s="56"/>
      <c r="BVV26" s="57"/>
      <c r="BVW26" s="57"/>
      <c r="BVX26" s="56"/>
      <c r="BVY26" s="57"/>
      <c r="BVZ26" s="58"/>
      <c r="BWA26" s="56"/>
      <c r="BWB26" s="57"/>
      <c r="BWC26" s="57"/>
      <c r="BWD26" s="57"/>
      <c r="BWE26" s="56"/>
      <c r="BWF26" s="57"/>
      <c r="BWG26" s="57"/>
      <c r="BWH26" s="57"/>
      <c r="BWI26" s="57"/>
      <c r="BWJ26" s="57"/>
      <c r="BWK26" s="56"/>
      <c r="BWL26" s="57"/>
      <c r="BWM26" s="57"/>
      <c r="BWN26" s="56"/>
      <c r="BWO26" s="57"/>
      <c r="BWP26" s="58"/>
      <c r="BWQ26" s="56"/>
      <c r="BWR26" s="57"/>
      <c r="BWS26" s="57"/>
      <c r="BWT26" s="57"/>
      <c r="BWU26" s="56"/>
      <c r="BWV26" s="57"/>
      <c r="BWW26" s="57"/>
      <c r="BWX26" s="56"/>
      <c r="BWY26" s="57"/>
      <c r="BWZ26" s="58"/>
      <c r="BXA26" s="56"/>
      <c r="BXB26" s="57"/>
      <c r="BXC26" s="57"/>
      <c r="BXD26" s="57"/>
      <c r="BXE26" s="56"/>
      <c r="BXF26" s="57"/>
      <c r="BXG26" s="57"/>
      <c r="BXH26" s="57"/>
      <c r="BXI26" s="57"/>
      <c r="BXJ26" s="57"/>
      <c r="BXK26" s="56"/>
      <c r="BXL26" s="57"/>
      <c r="BXM26" s="57"/>
      <c r="BXN26" s="56"/>
      <c r="BXO26" s="57"/>
      <c r="BXP26" s="58"/>
      <c r="BXQ26" s="56"/>
      <c r="BXR26" s="57"/>
      <c r="BXS26" s="57"/>
      <c r="BXT26" s="57"/>
      <c r="BXU26" s="56"/>
      <c r="BXV26" s="57"/>
      <c r="BXW26" s="57"/>
      <c r="BXX26" s="56"/>
      <c r="BXY26" s="57"/>
      <c r="BXZ26" s="58"/>
      <c r="BYA26" s="56"/>
      <c r="BYB26" s="57"/>
      <c r="BYC26" s="57"/>
      <c r="BYD26" s="57"/>
      <c r="BYE26" s="56"/>
      <c r="BYF26" s="57"/>
      <c r="BYG26" s="57"/>
      <c r="BYH26" s="57"/>
      <c r="BYI26" s="57"/>
      <c r="BYJ26" s="57"/>
      <c r="BYK26" s="56"/>
      <c r="BYL26" s="57"/>
      <c r="BYM26" s="57"/>
      <c r="BYN26" s="56"/>
      <c r="BYO26" s="57"/>
      <c r="BYP26" s="58"/>
      <c r="BYQ26" s="56"/>
      <c r="BYR26" s="57"/>
      <c r="BYS26" s="57"/>
      <c r="BYT26" s="57"/>
      <c r="BYU26" s="56"/>
      <c r="BYV26" s="57"/>
      <c r="BYW26" s="57"/>
      <c r="BYX26" s="58"/>
      <c r="BYY26" s="57"/>
      <c r="BYZ26" s="56"/>
      <c r="BZA26" s="57"/>
      <c r="BZB26" s="56"/>
      <c r="BZC26" s="56"/>
      <c r="BZD26" s="56"/>
      <c r="BZE26" s="57"/>
      <c r="BZF26" s="387"/>
      <c r="BZG26" s="57"/>
      <c r="BZH26" s="387"/>
      <c r="BZI26" s="57"/>
      <c r="BZJ26" s="387"/>
      <c r="BZK26" s="57"/>
      <c r="BZL26" s="57"/>
      <c r="BZM26" s="57"/>
      <c r="BZN26" s="57"/>
      <c r="BZO26" s="57"/>
      <c r="BZP26" s="57"/>
      <c r="BZQ26" s="57"/>
      <c r="BZR26" s="57"/>
      <c r="BZS26" s="57"/>
      <c r="BZT26" s="57"/>
      <c r="BZU26" s="57"/>
      <c r="BZV26" s="57"/>
      <c r="BZW26" s="57"/>
      <c r="BZX26" s="57"/>
      <c r="BZY26" s="57"/>
      <c r="BZZ26" s="57"/>
      <c r="CAA26" s="57"/>
      <c r="CAB26" s="57"/>
      <c r="CAC26" s="57"/>
      <c r="CAD26" s="57"/>
      <c r="CAE26" s="57"/>
      <c r="CAF26" s="57"/>
      <c r="CAG26" s="57"/>
      <c r="CAH26" s="57"/>
      <c r="CAI26" s="57"/>
      <c r="CAJ26" s="57"/>
      <c r="CAK26" s="57"/>
      <c r="CAL26" s="57"/>
      <c r="CAM26" s="57"/>
      <c r="CAN26" s="57"/>
      <c r="CAO26" s="57"/>
      <c r="CAP26" s="58"/>
      <c r="CAQ26" s="56"/>
      <c r="CAR26" s="57"/>
      <c r="CAS26" s="57"/>
      <c r="CAT26" s="57"/>
      <c r="CAU26" s="57"/>
      <c r="CAV26" s="57"/>
      <c r="CAW26" s="56"/>
      <c r="CAX26" s="57"/>
      <c r="CAY26" s="57"/>
      <c r="CAZ26" s="56"/>
      <c r="CBA26" s="57"/>
      <c r="CBB26" s="58"/>
      <c r="CBC26" s="56"/>
      <c r="CBD26" s="57"/>
      <c r="CBE26" s="57"/>
      <c r="CBF26" s="57"/>
      <c r="CBG26" s="56"/>
      <c r="CBH26" s="57"/>
      <c r="CBI26" s="57"/>
      <c r="CBJ26" s="56"/>
      <c r="CBK26" s="57"/>
      <c r="CBL26" s="58"/>
      <c r="CBM26" s="56"/>
      <c r="CBN26" s="57"/>
      <c r="CBO26" s="57"/>
      <c r="CBP26" s="57"/>
      <c r="CBQ26" s="56"/>
      <c r="CBR26" s="57"/>
      <c r="CBS26" s="57"/>
      <c r="CBT26" s="56"/>
      <c r="CBU26" s="57"/>
      <c r="CBV26" s="58"/>
      <c r="CBW26" s="56"/>
      <c r="CBX26" s="57"/>
      <c r="CBY26" s="57"/>
      <c r="CBZ26" s="57"/>
      <c r="CCA26" s="56"/>
      <c r="CCB26" s="57"/>
      <c r="CCC26" s="57"/>
      <c r="CCD26" s="56"/>
      <c r="CCE26" s="57"/>
      <c r="CCF26" s="58"/>
      <c r="CCG26" s="56"/>
      <c r="CCH26" s="58"/>
      <c r="CCI26" s="57"/>
      <c r="CCJ26" s="56"/>
      <c r="CCK26" s="57"/>
      <c r="CCL26" s="56"/>
      <c r="CCM26" s="56"/>
      <c r="CCN26" s="56"/>
      <c r="CCO26" s="57"/>
      <c r="CCP26" s="387"/>
      <c r="CCQ26" s="57"/>
      <c r="CCR26" s="387"/>
      <c r="CCS26" s="57"/>
      <c r="CCT26" s="387"/>
      <c r="CCU26" s="57"/>
      <c r="CCV26" s="57"/>
      <c r="CCW26" s="57"/>
      <c r="CCX26" s="57"/>
      <c r="CCY26" s="57"/>
      <c r="CCZ26" s="57"/>
      <c r="CDA26" s="57"/>
      <c r="CDB26" s="57"/>
      <c r="CDC26" s="57"/>
      <c r="CDD26" s="57"/>
      <c r="CDE26" s="57"/>
      <c r="CDF26" s="57"/>
      <c r="CDG26" s="57"/>
      <c r="CDH26" s="57"/>
      <c r="CDI26" s="57"/>
      <c r="CDJ26" s="57"/>
      <c r="CDK26" s="57"/>
      <c r="CDL26" s="57"/>
      <c r="CDM26" s="57"/>
      <c r="CDN26" s="57"/>
      <c r="CDO26" s="57"/>
      <c r="CDP26" s="57"/>
      <c r="CDQ26" s="57"/>
      <c r="CDR26" s="57"/>
      <c r="CDS26" s="57"/>
      <c r="CDT26" s="57"/>
      <c r="CDU26" s="57"/>
      <c r="CDV26" s="57"/>
      <c r="CDW26" s="57"/>
      <c r="CDX26" s="57"/>
      <c r="CDY26" s="57"/>
      <c r="CDZ26" s="58"/>
      <c r="CEA26" s="56"/>
      <c r="CEB26" s="57"/>
      <c r="CEC26" s="57"/>
      <c r="CED26" s="57"/>
      <c r="CEE26" s="57"/>
      <c r="CEF26" s="57"/>
      <c r="CEG26" s="56"/>
      <c r="CEH26" s="57"/>
      <c r="CEI26" s="57"/>
      <c r="CEJ26" s="56"/>
      <c r="CEK26" s="57"/>
      <c r="CEL26" s="58"/>
      <c r="CEM26" s="56"/>
      <c r="CEN26" s="57"/>
      <c r="CEO26" s="57"/>
      <c r="CEP26" s="57"/>
      <c r="CEQ26" s="56"/>
      <c r="CER26" s="57"/>
      <c r="CES26" s="57"/>
      <c r="CET26" s="56"/>
      <c r="CEU26" s="57"/>
      <c r="CEV26" s="58"/>
      <c r="CEW26" s="56"/>
      <c r="CEX26" s="57"/>
      <c r="CEY26" s="57"/>
      <c r="CEZ26" s="57"/>
      <c r="CFA26" s="56"/>
      <c r="CFB26" s="57"/>
      <c r="CFC26" s="57"/>
      <c r="CFD26" s="56"/>
      <c r="CFE26" s="57"/>
      <c r="CFF26" s="58"/>
      <c r="CFG26" s="56"/>
      <c r="CFH26" s="57"/>
      <c r="CFI26" s="57"/>
      <c r="CFJ26" s="57"/>
      <c r="CFK26" s="56"/>
      <c r="CFL26" s="57"/>
      <c r="CFM26" s="57"/>
      <c r="CFN26" s="56"/>
      <c r="CFO26" s="57"/>
      <c r="CFP26" s="58"/>
      <c r="CFQ26" s="56"/>
      <c r="CFR26" s="58"/>
      <c r="CFS26" s="57"/>
      <c r="CFT26" s="56"/>
      <c r="CFU26" s="57"/>
      <c r="CFV26" s="56"/>
      <c r="CFW26" s="56"/>
      <c r="CFX26" s="56"/>
      <c r="CFY26" s="57"/>
      <c r="CFZ26" s="387"/>
      <c r="CGA26" s="57"/>
      <c r="CGB26" s="387"/>
      <c r="CGC26" s="57"/>
      <c r="CGD26" s="387"/>
      <c r="CGE26" s="57"/>
      <c r="CGF26" s="57"/>
      <c r="CGG26" s="57"/>
      <c r="CGH26" s="57"/>
      <c r="CGI26" s="57"/>
      <c r="CGJ26" s="57"/>
      <c r="CGK26" s="57"/>
      <c r="CGL26" s="57"/>
      <c r="CGM26" s="57"/>
      <c r="CGN26" s="57"/>
      <c r="CGO26" s="57"/>
      <c r="CGP26" s="57"/>
      <c r="CGQ26" s="57"/>
      <c r="CGR26" s="57"/>
      <c r="CGS26" s="57"/>
      <c r="CGT26" s="57"/>
      <c r="CGU26" s="57"/>
      <c r="CGV26" s="57"/>
      <c r="CGW26" s="57"/>
      <c r="CGX26" s="57"/>
      <c r="CGY26" s="57"/>
      <c r="CGZ26" s="57"/>
      <c r="CHA26" s="57"/>
      <c r="CHB26" s="57"/>
      <c r="CHC26" s="57"/>
      <c r="CHD26" s="57"/>
      <c r="CHE26" s="57"/>
      <c r="CHF26" s="57"/>
      <c r="CHG26" s="57"/>
      <c r="CHH26" s="57"/>
      <c r="CHI26" s="57"/>
      <c r="CHJ26" s="58"/>
      <c r="CHK26" s="56"/>
      <c r="CHL26" s="57"/>
      <c r="CHM26" s="57"/>
      <c r="CHN26" s="57"/>
      <c r="CHO26" s="57"/>
      <c r="CHP26" s="57"/>
      <c r="CHQ26" s="56"/>
      <c r="CHR26" s="57"/>
      <c r="CHS26" s="57"/>
      <c r="CHT26" s="56"/>
      <c r="CHU26" s="57"/>
      <c r="CHV26" s="58"/>
      <c r="CHW26" s="56"/>
      <c r="CHX26" s="57"/>
      <c r="CHY26" s="57"/>
      <c r="CHZ26" s="57"/>
      <c r="CIA26" s="56"/>
      <c r="CIB26" s="57"/>
      <c r="CIC26" s="57"/>
      <c r="CID26" s="56"/>
      <c r="CIE26" s="57"/>
      <c r="CIF26" s="58"/>
      <c r="CIG26" s="56"/>
      <c r="CIH26" s="57"/>
      <c r="CII26" s="57"/>
      <c r="CIJ26" s="57"/>
      <c r="CIK26" s="56"/>
      <c r="CIL26" s="57"/>
      <c r="CIM26" s="57"/>
      <c r="CIN26" s="56"/>
      <c r="CIO26" s="57"/>
      <c r="CIP26" s="58"/>
      <c r="CIQ26" s="56"/>
      <c r="CIR26" s="57"/>
      <c r="CIS26" s="57"/>
      <c r="CIT26" s="57"/>
      <c r="CIU26" s="56"/>
      <c r="CIV26" s="57"/>
      <c r="CIW26" s="57"/>
      <c r="CIX26" s="56"/>
      <c r="CIY26" s="57"/>
      <c r="CIZ26" s="58"/>
      <c r="CJA26" s="56"/>
      <c r="CJB26" s="58"/>
      <c r="CJC26" s="57"/>
      <c r="CJD26" s="56"/>
      <c r="CJE26" s="57"/>
      <c r="CJF26" s="56"/>
      <c r="CJG26" s="56"/>
      <c r="CJH26" s="56"/>
      <c r="CJI26" s="57"/>
      <c r="CJJ26" s="387"/>
      <c r="CJK26" s="57"/>
      <c r="CJL26" s="387"/>
      <c r="CJM26" s="57"/>
      <c r="CJN26" s="387"/>
      <c r="CJO26" s="57"/>
      <c r="CJP26" s="57"/>
      <c r="CJQ26" s="57"/>
      <c r="CJR26" s="57"/>
      <c r="CJS26" s="57"/>
      <c r="CJT26" s="57"/>
      <c r="CJU26" s="57"/>
      <c r="CJV26" s="57"/>
      <c r="CJW26" s="57"/>
      <c r="CJX26" s="57"/>
      <c r="CJY26" s="57"/>
      <c r="CJZ26" s="57"/>
      <c r="CKA26" s="57"/>
      <c r="CKB26" s="57"/>
      <c r="CKC26" s="57"/>
      <c r="CKD26" s="57"/>
      <c r="CKE26" s="57"/>
      <c r="CKF26" s="57"/>
      <c r="CKG26" s="57"/>
      <c r="CKH26" s="57"/>
      <c r="CKI26" s="57"/>
      <c r="CKJ26" s="57"/>
      <c r="CKK26" s="57"/>
      <c r="CKL26" s="57"/>
      <c r="CKM26" s="57"/>
      <c r="CKN26" s="57"/>
      <c r="CKO26" s="57"/>
      <c r="CKP26" s="57"/>
      <c r="CKQ26" s="57"/>
      <c r="CKR26" s="57"/>
      <c r="CKS26" s="57"/>
      <c r="CKT26" s="58"/>
      <c r="CKU26" s="56"/>
      <c r="CKV26" s="57"/>
      <c r="CKW26" s="57"/>
      <c r="CKX26" s="57"/>
      <c r="CKY26" s="57"/>
      <c r="CKZ26" s="57"/>
      <c r="CLA26" s="56"/>
      <c r="CLB26" s="57"/>
      <c r="CLC26" s="57"/>
      <c r="CLD26" s="56"/>
      <c r="CLE26" s="57"/>
      <c r="CLF26" s="58"/>
      <c r="CLG26" s="56"/>
      <c r="CLH26" s="57"/>
      <c r="CLI26" s="57"/>
      <c r="CLJ26" s="57"/>
      <c r="CLK26" s="56"/>
      <c r="CLL26" s="57"/>
      <c r="CLM26" s="57"/>
      <c r="CLN26" s="56"/>
      <c r="CLO26" s="57"/>
      <c r="CLP26" s="58"/>
      <c r="CLQ26" s="56"/>
      <c r="CLR26" s="57"/>
      <c r="CLS26" s="57"/>
      <c r="CLT26" s="57"/>
      <c r="CLU26" s="56"/>
      <c r="CLV26" s="57"/>
      <c r="CLW26" s="57"/>
      <c r="CLX26" s="56"/>
      <c r="CLY26" s="57"/>
      <c r="CLZ26" s="58"/>
      <c r="CMA26" s="56"/>
      <c r="CMB26" s="57"/>
      <c r="CMC26" s="57"/>
      <c r="CMD26" s="57"/>
      <c r="CME26" s="56"/>
      <c r="CMF26" s="57"/>
      <c r="CMG26" s="57"/>
      <c r="CMH26" s="56"/>
      <c r="CMI26" s="57"/>
      <c r="CMJ26" s="58"/>
      <c r="CMK26" s="56"/>
      <c r="CML26" s="58"/>
      <c r="CMM26" s="57"/>
      <c r="CMN26" s="56"/>
      <c r="CMO26" s="57"/>
      <c r="CMP26" s="56"/>
      <c r="CMQ26" s="56"/>
      <c r="CMR26" s="56"/>
      <c r="CMS26" s="57"/>
      <c r="CMT26" s="387"/>
      <c r="CMU26" s="57"/>
      <c r="CMV26" s="387"/>
      <c r="CMW26" s="57"/>
      <c r="CMX26" s="387"/>
      <c r="CMY26" s="57"/>
      <c r="CMZ26" s="57"/>
      <c r="CNA26" s="57"/>
      <c r="CNB26" s="57"/>
      <c r="CNC26" s="57"/>
      <c r="CND26" s="57"/>
      <c r="CNE26" s="57"/>
      <c r="CNF26" s="57"/>
      <c r="CNG26" s="57"/>
      <c r="CNH26" s="57"/>
      <c r="CNI26" s="57"/>
      <c r="CNJ26" s="57"/>
      <c r="CNK26" s="57"/>
      <c r="CNL26" s="57"/>
      <c r="CNM26" s="57"/>
      <c r="CNN26" s="57"/>
      <c r="CNO26" s="57"/>
      <c r="CNP26" s="57"/>
      <c r="CNQ26" s="57"/>
      <c r="CNR26" s="57"/>
      <c r="CNS26" s="57"/>
      <c r="CNT26" s="57"/>
      <c r="CNU26" s="57"/>
      <c r="CNV26" s="57"/>
      <c r="CNW26" s="57"/>
      <c r="CNX26" s="57"/>
      <c r="CNY26" s="57"/>
      <c r="CNZ26" s="57"/>
      <c r="COA26" s="57"/>
      <c r="COB26" s="57"/>
      <c r="COC26" s="57"/>
      <c r="COD26" s="58"/>
      <c r="COE26" s="56"/>
      <c r="COF26" s="57"/>
      <c r="COG26" s="57"/>
      <c r="COH26" s="57"/>
      <c r="COI26" s="57"/>
      <c r="COJ26" s="57"/>
      <c r="COK26" s="56"/>
      <c r="COL26" s="57"/>
      <c r="COM26" s="57"/>
      <c r="CON26" s="56"/>
      <c r="COO26" s="57"/>
      <c r="COP26" s="58"/>
      <c r="COQ26" s="56"/>
      <c r="COR26" s="57"/>
      <c r="COS26" s="57"/>
      <c r="COT26" s="57"/>
      <c r="COU26" s="56"/>
      <c r="COV26" s="57"/>
      <c r="COW26" s="57"/>
      <c r="COX26" s="56"/>
      <c r="COY26" s="57"/>
      <c r="COZ26" s="58"/>
      <c r="CPA26" s="56"/>
      <c r="CPB26" s="57"/>
      <c r="CPC26" s="57"/>
      <c r="CPD26" s="57"/>
      <c r="CPE26" s="56"/>
      <c r="CPF26" s="57"/>
      <c r="CPG26" s="57"/>
      <c r="CPH26" s="56"/>
      <c r="CPI26" s="57"/>
      <c r="CPJ26" s="58"/>
      <c r="CPK26" s="56"/>
      <c r="CPL26" s="57"/>
      <c r="CPM26" s="57"/>
      <c r="CPN26" s="57"/>
      <c r="CPO26" s="56"/>
      <c r="CPP26" s="57"/>
      <c r="CPQ26" s="57"/>
      <c r="CPR26" s="56"/>
      <c r="CPS26" s="57"/>
      <c r="CPT26" s="58"/>
      <c r="CPU26" s="56"/>
      <c r="CPV26" s="58"/>
      <c r="CPW26" s="57"/>
      <c r="CPX26" s="56"/>
      <c r="CPY26" s="57"/>
      <c r="CPZ26" s="56"/>
      <c r="CQA26" s="56"/>
      <c r="CQB26" s="56"/>
      <c r="CQC26" s="57"/>
      <c r="CQD26" s="387"/>
      <c r="CQE26" s="57"/>
      <c r="CQF26" s="387"/>
      <c r="CQG26" s="57"/>
      <c r="CQH26" s="387"/>
      <c r="CQI26" s="57"/>
      <c r="CQJ26" s="57"/>
      <c r="CQK26" s="57"/>
      <c r="CQL26" s="57"/>
      <c r="CQM26" s="57"/>
      <c r="CQN26" s="57"/>
      <c r="CQO26" s="57"/>
      <c r="CQP26" s="57"/>
      <c r="CQQ26" s="57"/>
      <c r="CQR26" s="57"/>
      <c r="CQS26" s="57"/>
      <c r="CQT26" s="57"/>
      <c r="CQU26" s="57"/>
      <c r="CQV26" s="57"/>
      <c r="CQW26" s="57"/>
      <c r="CQX26" s="57"/>
      <c r="CQY26" s="57"/>
      <c r="CQZ26" s="57"/>
      <c r="CRA26" s="57"/>
      <c r="CRB26" s="57"/>
      <c r="CRC26" s="57"/>
      <c r="CRD26" s="57"/>
      <c r="CRE26" s="57"/>
      <c r="CRF26" s="57"/>
      <c r="CRG26" s="57"/>
      <c r="CRH26" s="57"/>
      <c r="CRI26" s="57"/>
      <c r="CRJ26" s="57"/>
      <c r="CRK26" s="57"/>
      <c r="CRL26" s="57"/>
      <c r="CRM26" s="57"/>
      <c r="CRN26" s="58"/>
      <c r="CRO26" s="56"/>
      <c r="CRP26" s="57"/>
      <c r="CRQ26" s="57"/>
      <c r="CRR26" s="57"/>
      <c r="CRS26" s="57"/>
      <c r="CRT26" s="57"/>
      <c r="CRU26" s="56"/>
      <c r="CRV26" s="57"/>
      <c r="CRW26" s="57"/>
      <c r="CRX26" s="56"/>
      <c r="CRY26" s="57"/>
      <c r="CRZ26" s="58"/>
      <c r="CSA26" s="56"/>
      <c r="CSB26" s="57"/>
      <c r="CSC26" s="57"/>
      <c r="CSD26" s="57"/>
      <c r="CSE26" s="56"/>
      <c r="CSF26" s="57"/>
      <c r="CSG26" s="57"/>
      <c r="CSH26" s="56"/>
      <c r="CSI26" s="57"/>
      <c r="CSJ26" s="58"/>
      <c r="CSK26" s="56"/>
      <c r="CSL26" s="57"/>
      <c r="CSM26" s="57"/>
      <c r="CSN26" s="57"/>
      <c r="CSO26" s="56"/>
      <c r="CSP26" s="57"/>
      <c r="CSQ26" s="57"/>
      <c r="CSR26" s="56"/>
      <c r="CSS26" s="57"/>
      <c r="CST26" s="58"/>
      <c r="CSU26" s="56"/>
      <c r="CSV26" s="57"/>
      <c r="CSW26" s="57"/>
      <c r="CSX26" s="57"/>
      <c r="CSY26" s="56"/>
      <c r="CSZ26" s="57"/>
      <c r="CTA26" s="57"/>
      <c r="CTB26" s="56"/>
      <c r="CTC26" s="57"/>
      <c r="CTD26" s="58"/>
      <c r="CTE26" s="56"/>
      <c r="CTF26" s="58"/>
      <c r="CTG26" s="57"/>
      <c r="CTH26" s="56"/>
      <c r="CTI26" s="57"/>
      <c r="CTJ26" s="56"/>
      <c r="CTK26" s="56"/>
      <c r="CTL26" s="56"/>
      <c r="CTM26" s="57"/>
      <c r="CTN26" s="387"/>
      <c r="CTO26" s="57"/>
      <c r="CTP26" s="387"/>
      <c r="CTQ26" s="57"/>
      <c r="CTR26" s="387"/>
      <c r="CTS26" s="57"/>
      <c r="CTT26" s="57"/>
      <c r="CTU26" s="57"/>
      <c r="CTV26" s="57"/>
      <c r="CTW26" s="57"/>
      <c r="CTX26" s="57"/>
      <c r="CTY26" s="57"/>
      <c r="CTZ26" s="57"/>
      <c r="CUA26" s="57"/>
      <c r="CUB26" s="57"/>
      <c r="CUC26" s="57"/>
      <c r="CUD26" s="57"/>
      <c r="CUE26" s="57"/>
      <c r="CUF26" s="57"/>
      <c r="CUG26" s="57"/>
      <c r="CUH26" s="57"/>
      <c r="CUI26" s="57"/>
      <c r="CUJ26" s="57"/>
      <c r="CUK26" s="57"/>
      <c r="CUL26" s="57"/>
      <c r="CUM26" s="57"/>
      <c r="CUN26" s="57"/>
      <c r="CUO26" s="57"/>
      <c r="CUP26" s="57"/>
      <c r="CUQ26" s="57"/>
      <c r="CUR26" s="57"/>
      <c r="CUS26" s="57"/>
      <c r="CUT26" s="57"/>
      <c r="CUU26" s="57"/>
      <c r="CUV26" s="57"/>
      <c r="CUW26" s="57"/>
      <c r="CUX26" s="58"/>
      <c r="CUY26" s="56"/>
      <c r="CUZ26" s="57"/>
      <c r="CVA26" s="57"/>
      <c r="CVB26" s="57"/>
      <c r="CVC26" s="57"/>
      <c r="CVD26" s="57"/>
      <c r="CVE26" s="56"/>
      <c r="CVF26" s="57"/>
      <c r="CVG26" s="57"/>
      <c r="CVH26" s="56"/>
      <c r="CVI26" s="57"/>
      <c r="CVJ26" s="58"/>
      <c r="CVK26" s="56"/>
      <c r="CVL26" s="57"/>
      <c r="CVM26" s="57"/>
      <c r="CVN26" s="57"/>
      <c r="CVO26" s="56"/>
      <c r="CVP26" s="57"/>
      <c r="CVQ26" s="57"/>
      <c r="CVR26" s="56"/>
      <c r="CVS26" s="57"/>
      <c r="CVT26" s="58"/>
      <c r="CVU26" s="56"/>
      <c r="CVV26" s="57"/>
      <c r="CVW26" s="57"/>
      <c r="CVX26" s="57"/>
      <c r="CVY26" s="56"/>
      <c r="CVZ26" s="57"/>
      <c r="CWA26" s="57"/>
      <c r="CWB26" s="56"/>
      <c r="CWC26" s="57"/>
      <c r="CWD26" s="58"/>
      <c r="CWE26" s="56"/>
      <c r="CWF26" s="57"/>
      <c r="CWG26" s="57"/>
      <c r="CWH26" s="57"/>
      <c r="CWI26" s="56"/>
      <c r="CWJ26" s="57"/>
      <c r="CWK26" s="57"/>
      <c r="CWL26" s="56"/>
      <c r="CWM26" s="57"/>
      <c r="CWN26" s="58"/>
      <c r="CWO26" s="56"/>
      <c r="CWP26" s="58"/>
      <c r="CWQ26" s="57"/>
      <c r="CWR26" s="56"/>
      <c r="CWS26" s="57"/>
      <c r="CWT26" s="56"/>
      <c r="CWU26" s="56"/>
      <c r="CWV26" s="56"/>
      <c r="CWW26" s="57"/>
      <c r="CWX26" s="387"/>
      <c r="CWY26" s="57"/>
      <c r="CWZ26" s="387"/>
      <c r="CXA26" s="57"/>
      <c r="CXB26" s="387"/>
      <c r="CXC26" s="57"/>
      <c r="CXD26" s="57"/>
      <c r="CXE26" s="57"/>
      <c r="CXF26" s="57"/>
      <c r="CXG26" s="57"/>
      <c r="CXH26" s="57"/>
      <c r="CXI26" s="57"/>
      <c r="CXJ26" s="57"/>
      <c r="CXK26" s="57"/>
      <c r="CXL26" s="57"/>
      <c r="CXM26" s="57"/>
      <c r="CXN26" s="57"/>
      <c r="CXO26" s="57"/>
      <c r="CXP26" s="57"/>
      <c r="CXQ26" s="57"/>
      <c r="CXR26" s="57"/>
      <c r="CXS26" s="57"/>
      <c r="CXT26" s="57"/>
      <c r="CXU26" s="57"/>
      <c r="CXV26" s="57"/>
      <c r="CXW26" s="57"/>
      <c r="CXX26" s="57"/>
      <c r="CXY26" s="57"/>
      <c r="CXZ26" s="57"/>
      <c r="CYA26" s="57"/>
      <c r="CYB26" s="57"/>
      <c r="CYC26" s="57"/>
      <c r="CYD26" s="57"/>
      <c r="CYE26" s="57"/>
      <c r="CYF26" s="57"/>
      <c r="CYG26" s="57"/>
      <c r="CYH26" s="58"/>
      <c r="CYI26" s="56"/>
      <c r="CYJ26" s="57"/>
      <c r="CYK26" s="57"/>
      <c r="CYL26" s="57"/>
      <c r="CYM26" s="57"/>
      <c r="CYN26" s="57"/>
      <c r="CYO26" s="56"/>
      <c r="CYP26" s="57"/>
      <c r="CYQ26" s="57"/>
      <c r="CYR26" s="56"/>
      <c r="CYS26" s="57"/>
      <c r="CYT26" s="58"/>
      <c r="CYU26" s="56"/>
      <c r="CYV26" s="57"/>
      <c r="CYW26" s="57"/>
      <c r="CYX26" s="57"/>
      <c r="CYY26" s="56"/>
      <c r="CYZ26" s="57"/>
      <c r="CZA26" s="57"/>
      <c r="CZB26" s="56"/>
      <c r="CZC26" s="57"/>
      <c r="CZD26" s="58"/>
      <c r="CZE26" s="56"/>
      <c r="CZF26" s="57"/>
      <c r="CZG26" s="57"/>
      <c r="CZH26" s="57"/>
      <c r="CZI26" s="56"/>
      <c r="CZJ26" s="57"/>
      <c r="CZK26" s="57"/>
      <c r="CZL26" s="56"/>
      <c r="CZM26" s="57"/>
      <c r="CZN26" s="58"/>
      <c r="CZO26" s="56"/>
      <c r="CZP26" s="57"/>
      <c r="CZQ26" s="57"/>
      <c r="CZR26" s="57"/>
      <c r="CZS26" s="56"/>
      <c r="CZT26" s="57"/>
      <c r="CZU26" s="57"/>
      <c r="CZV26" s="56"/>
      <c r="CZW26" s="57"/>
      <c r="CZX26" s="58"/>
      <c r="CZY26" s="56"/>
      <c r="CZZ26" s="58"/>
      <c r="DAA26" s="57"/>
      <c r="DAB26" s="56"/>
      <c r="DAC26" s="57"/>
      <c r="DAD26" s="56"/>
      <c r="DAE26" s="56"/>
      <c r="DAF26" s="56"/>
      <c r="DAG26" s="57"/>
      <c r="DAH26" s="387"/>
      <c r="DAI26" s="57"/>
      <c r="DAJ26" s="387"/>
      <c r="DAK26" s="57"/>
      <c r="DAL26" s="387"/>
      <c r="DAM26" s="57"/>
      <c r="DAN26" s="57"/>
      <c r="DAO26" s="57"/>
      <c r="DAP26" s="57"/>
      <c r="DAQ26" s="57"/>
      <c r="DAR26" s="57"/>
      <c r="DAS26" s="57"/>
      <c r="DAT26" s="57"/>
      <c r="DAU26" s="57"/>
      <c r="DAV26" s="57"/>
      <c r="DAW26" s="57"/>
      <c r="DAX26" s="57"/>
      <c r="DAY26" s="57"/>
      <c r="DAZ26" s="57"/>
      <c r="DBA26" s="57"/>
      <c r="DBB26" s="57"/>
      <c r="DBC26" s="57"/>
      <c r="DBD26" s="57"/>
      <c r="DBE26" s="57"/>
      <c r="DBF26" s="57"/>
      <c r="DBG26" s="57"/>
      <c r="DBH26" s="57"/>
      <c r="DBI26" s="57"/>
      <c r="DBJ26" s="57"/>
      <c r="DBK26" s="57"/>
      <c r="DBL26" s="57"/>
      <c r="DBM26" s="57"/>
      <c r="DBN26" s="57"/>
      <c r="DBO26" s="57"/>
      <c r="DBP26" s="57"/>
      <c r="DBQ26" s="57"/>
      <c r="DBR26" s="58"/>
      <c r="DBS26" s="56"/>
      <c r="DBT26" s="57"/>
      <c r="DBU26" s="57"/>
      <c r="DBV26" s="57"/>
      <c r="DBW26" s="57"/>
      <c r="DBX26" s="57"/>
      <c r="DBY26" s="56"/>
      <c r="DBZ26" s="57"/>
      <c r="DCA26" s="57"/>
      <c r="DCB26" s="56"/>
      <c r="DCC26" s="57"/>
      <c r="DCD26" s="58"/>
      <c r="DCE26" s="56"/>
      <c r="DCF26" s="57"/>
      <c r="DCG26" s="57"/>
      <c r="DCH26" s="57"/>
      <c r="DCI26" s="56"/>
      <c r="DCJ26" s="57"/>
      <c r="DCK26" s="57"/>
      <c r="DCL26" s="56"/>
      <c r="DCM26" s="57"/>
      <c r="DCN26" s="58"/>
      <c r="DCO26" s="56"/>
      <c r="DCP26" s="57"/>
      <c r="DCQ26" s="57"/>
      <c r="DCR26" s="57"/>
      <c r="DCS26" s="56"/>
      <c r="DCT26" s="57"/>
      <c r="DCU26" s="57"/>
      <c r="DCV26" s="56"/>
      <c r="DCW26" s="57"/>
      <c r="DCX26" s="58"/>
      <c r="DCY26" s="56"/>
      <c r="DCZ26" s="57"/>
      <c r="DDA26" s="57"/>
      <c r="DDB26" s="57"/>
      <c r="DDC26" s="56"/>
      <c r="DDD26" s="57"/>
      <c r="DDE26" s="57"/>
      <c r="DDF26" s="56"/>
      <c r="DDG26" s="57"/>
      <c r="DDH26" s="58"/>
      <c r="DDI26" s="56"/>
      <c r="DDJ26" s="58"/>
      <c r="DDK26" s="57"/>
      <c r="DDL26" s="56"/>
      <c r="DDM26" s="57"/>
      <c r="DDN26" s="56"/>
      <c r="DDO26" s="56"/>
      <c r="DDP26" s="56"/>
      <c r="DDQ26" s="57"/>
      <c r="DDR26" s="387"/>
      <c r="DDS26" s="57"/>
      <c r="DDT26" s="387"/>
      <c r="DDU26" s="57"/>
      <c r="DDV26" s="387"/>
      <c r="DDW26" s="57"/>
      <c r="DDX26" s="57"/>
      <c r="DDY26" s="57"/>
      <c r="DDZ26" s="57"/>
      <c r="DEA26" s="57"/>
      <c r="DEB26" s="57"/>
      <c r="DEC26" s="57"/>
      <c r="DED26" s="57"/>
      <c r="DEE26" s="57"/>
      <c r="DEF26" s="57"/>
      <c r="DEG26" s="57"/>
      <c r="DEH26" s="57"/>
      <c r="DEI26" s="57"/>
      <c r="DEJ26" s="57"/>
      <c r="DEK26" s="57"/>
      <c r="DEL26" s="57"/>
      <c r="DEM26" s="57"/>
      <c r="DEN26" s="57"/>
      <c r="DEO26" s="57"/>
      <c r="DEP26" s="57"/>
      <c r="DEQ26" s="57"/>
      <c r="DER26" s="57"/>
      <c r="DES26" s="57"/>
      <c r="DET26" s="57"/>
      <c r="DEU26" s="57"/>
      <c r="DEV26" s="57"/>
      <c r="DEW26" s="57"/>
      <c r="DEX26" s="57"/>
      <c r="DEY26" s="57"/>
      <c r="DEZ26" s="57"/>
      <c r="DFA26" s="57"/>
      <c r="DFB26" s="58"/>
      <c r="DFC26" s="56"/>
      <c r="DFD26" s="57"/>
      <c r="DFE26" s="57"/>
      <c r="DFF26" s="57"/>
      <c r="DFG26" s="57"/>
      <c r="DFH26" s="57"/>
      <c r="DFI26" s="56"/>
      <c r="DFJ26" s="57"/>
      <c r="DFK26" s="57"/>
      <c r="DFL26" s="56"/>
      <c r="DFM26" s="57"/>
      <c r="DFN26" s="58"/>
      <c r="DFO26" s="56"/>
      <c r="DFP26" s="57"/>
      <c r="DFQ26" s="57"/>
      <c r="DFR26" s="57"/>
      <c r="DFS26" s="56"/>
      <c r="DFT26" s="57"/>
      <c r="DFU26" s="57"/>
      <c r="DFV26" s="56"/>
      <c r="DFW26" s="57"/>
      <c r="DFX26" s="58"/>
      <c r="DFY26" s="56"/>
      <c r="DFZ26" s="57"/>
      <c r="DGA26" s="57"/>
      <c r="DGB26" s="57"/>
      <c r="DGC26" s="56"/>
      <c r="DGD26" s="57"/>
      <c r="DGE26" s="57"/>
      <c r="DGF26" s="56"/>
      <c r="DGG26" s="57"/>
      <c r="DGH26" s="58"/>
      <c r="DGI26" s="56"/>
      <c r="DGJ26" s="57"/>
      <c r="DGK26" s="57"/>
      <c r="DGL26" s="57"/>
      <c r="DGM26" s="56"/>
      <c r="DGN26" s="57"/>
      <c r="DGO26" s="57"/>
      <c r="DGP26" s="56"/>
      <c r="DGQ26" s="57"/>
      <c r="DGR26" s="58"/>
      <c r="DGS26" s="56"/>
      <c r="DGT26" s="58"/>
      <c r="DGU26" s="57"/>
      <c r="DGV26" s="56"/>
      <c r="DGW26" s="57"/>
      <c r="DGX26" s="56"/>
      <c r="DGY26" s="56"/>
      <c r="DGZ26" s="56"/>
      <c r="DHA26" s="57"/>
      <c r="DHB26" s="387"/>
      <c r="DHC26" s="57"/>
      <c r="DHD26" s="387"/>
      <c r="DHE26" s="57"/>
      <c r="DHF26" s="387"/>
      <c r="DHG26" s="57"/>
      <c r="DHH26" s="57"/>
      <c r="DHI26" s="57"/>
      <c r="DHJ26" s="57"/>
      <c r="DHK26" s="57"/>
      <c r="DHL26" s="57"/>
      <c r="DHM26" s="57"/>
      <c r="DHN26" s="57"/>
      <c r="DHO26" s="57"/>
      <c r="DHP26" s="57"/>
      <c r="DHQ26" s="57"/>
      <c r="DHR26" s="57"/>
      <c r="DHS26" s="57"/>
      <c r="DHT26" s="57"/>
      <c r="DHU26" s="57"/>
      <c r="DHV26" s="57"/>
      <c r="DHW26" s="57"/>
      <c r="DHX26" s="57"/>
      <c r="DHY26" s="57"/>
      <c r="DHZ26" s="57"/>
      <c r="DIA26" s="57"/>
      <c r="DIB26" s="57"/>
      <c r="DIC26" s="57"/>
      <c r="DID26" s="57"/>
      <c r="DIE26" s="57"/>
      <c r="DIF26" s="57"/>
      <c r="DIG26" s="57"/>
      <c r="DIH26" s="57"/>
      <c r="DII26" s="57"/>
      <c r="DIJ26" s="57"/>
      <c r="DIK26" s="57"/>
      <c r="DIL26" s="58"/>
      <c r="DIM26" s="56"/>
      <c r="DIN26" s="57"/>
      <c r="DIO26" s="57"/>
      <c r="DIP26" s="57"/>
      <c r="DIQ26" s="57"/>
      <c r="DIR26" s="57"/>
      <c r="DIS26" s="56"/>
      <c r="DIT26" s="57"/>
      <c r="DIU26" s="57"/>
      <c r="DIV26" s="56"/>
      <c r="DIW26" s="57"/>
      <c r="DIX26" s="58"/>
      <c r="DIY26" s="56"/>
      <c r="DIZ26" s="57"/>
      <c r="DJA26" s="57"/>
      <c r="DJB26" s="57"/>
      <c r="DJC26" s="56"/>
      <c r="DJD26" s="57"/>
      <c r="DJE26" s="57"/>
      <c r="DJF26" s="56"/>
      <c r="DJG26" s="57"/>
      <c r="DJH26" s="58"/>
      <c r="DJI26" s="56"/>
      <c r="DJJ26" s="57"/>
      <c r="DJK26" s="57"/>
      <c r="DJL26" s="57"/>
      <c r="DJM26" s="56"/>
      <c r="DJN26" s="57"/>
      <c r="DJO26" s="57"/>
      <c r="DJP26" s="56"/>
      <c r="DJQ26" s="57"/>
      <c r="DJR26" s="58"/>
      <c r="DJS26" s="56"/>
      <c r="DJT26" s="57"/>
      <c r="DJU26" s="57"/>
      <c r="DJV26" s="57"/>
      <c r="DJW26" s="56"/>
      <c r="DJX26" s="57"/>
      <c r="DJY26" s="57"/>
      <c r="DJZ26" s="56"/>
      <c r="DKA26" s="57"/>
      <c r="DKB26" s="58"/>
      <c r="DKC26" s="56"/>
      <c r="DKD26" s="58"/>
      <c r="DKE26" s="57"/>
      <c r="DKF26" s="56"/>
      <c r="DKG26" s="57"/>
      <c r="DKH26" s="56"/>
      <c r="DKI26" s="56"/>
      <c r="DKJ26" s="56"/>
      <c r="DKK26" s="57"/>
      <c r="DKL26" s="387"/>
      <c r="DKM26" s="57"/>
      <c r="DKN26" s="387"/>
      <c r="DKO26" s="57"/>
      <c r="DKP26" s="387"/>
      <c r="DKQ26" s="57"/>
      <c r="DKR26" s="57"/>
      <c r="DKS26" s="57"/>
      <c r="DKT26" s="57"/>
      <c r="DKU26" s="57"/>
      <c r="DKV26" s="57"/>
      <c r="DKW26" s="57"/>
      <c r="DKX26" s="57"/>
      <c r="DKY26" s="57"/>
      <c r="DKZ26" s="57"/>
      <c r="DLA26" s="57"/>
      <c r="DLB26" s="57"/>
      <c r="DLC26" s="57"/>
      <c r="DLD26" s="57"/>
      <c r="DLE26" s="57"/>
      <c r="DLF26" s="57"/>
      <c r="DLG26" s="57"/>
      <c r="DLH26" s="57"/>
      <c r="DLI26" s="57"/>
      <c r="DLJ26" s="57"/>
      <c r="DLK26" s="57"/>
      <c r="DLL26" s="57"/>
      <c r="DLM26" s="57"/>
      <c r="DLN26" s="57"/>
      <c r="DLO26" s="57"/>
      <c r="DLP26" s="57"/>
      <c r="DLQ26" s="57"/>
      <c r="DLR26" s="57"/>
      <c r="DLS26" s="57"/>
      <c r="DLT26" s="57"/>
      <c r="DLU26" s="57"/>
      <c r="DLV26" s="58"/>
      <c r="DLW26" s="56"/>
      <c r="DLX26" s="57"/>
      <c r="DLY26" s="57"/>
      <c r="DLZ26" s="57"/>
      <c r="DMA26" s="57"/>
      <c r="DMB26" s="57"/>
      <c r="DMC26" s="56"/>
      <c r="DMD26" s="57"/>
      <c r="DME26" s="57"/>
      <c r="DMF26" s="56"/>
      <c r="DMG26" s="57"/>
      <c r="DMH26" s="58"/>
      <c r="DMI26" s="56"/>
      <c r="DMJ26" s="57"/>
      <c r="DMK26" s="57"/>
      <c r="DML26" s="57"/>
      <c r="DMM26" s="56"/>
      <c r="DMN26" s="57"/>
      <c r="DMO26" s="57"/>
      <c r="DMP26" s="56"/>
      <c r="DMQ26" s="57"/>
      <c r="DMR26" s="58"/>
      <c r="DMS26" s="56"/>
      <c r="DMT26" s="57"/>
      <c r="DMU26" s="57"/>
      <c r="DMV26" s="57"/>
      <c r="DMW26" s="56"/>
      <c r="DMX26" s="57"/>
      <c r="DMY26" s="57"/>
      <c r="DMZ26" s="56"/>
      <c r="DNA26" s="57"/>
      <c r="DNB26" s="58"/>
      <c r="DNC26" s="56"/>
      <c r="DND26" s="57"/>
      <c r="DNE26" s="57"/>
      <c r="DNF26" s="57"/>
      <c r="DNG26" s="56"/>
      <c r="DNH26" s="57"/>
      <c r="DNI26" s="57"/>
      <c r="DNJ26" s="56"/>
      <c r="DNK26" s="57"/>
      <c r="DNL26" s="58"/>
      <c r="DNM26" s="56"/>
      <c r="DNN26" s="58"/>
      <c r="DNO26" s="57"/>
      <c r="DNP26" s="56"/>
      <c r="DNQ26" s="57"/>
      <c r="DNR26" s="56"/>
      <c r="DNS26" s="56"/>
      <c r="DNT26" s="56"/>
      <c r="DNU26" s="57"/>
      <c r="DNV26" s="387"/>
      <c r="DNW26" s="57"/>
      <c r="DNX26" s="387"/>
      <c r="DNY26" s="57"/>
      <c r="DNZ26" s="387"/>
      <c r="DOA26" s="57"/>
      <c r="DOB26" s="57"/>
      <c r="DOC26" s="57"/>
      <c r="DOD26" s="57"/>
      <c r="DOE26" s="57"/>
      <c r="DOF26" s="57"/>
      <c r="DOG26" s="57"/>
      <c r="DOH26" s="57"/>
      <c r="DOI26" s="57"/>
      <c r="DOJ26" s="57"/>
      <c r="DOK26" s="57"/>
      <c r="DOL26" s="57"/>
      <c r="DOM26" s="57"/>
      <c r="DON26" s="57"/>
      <c r="DOO26" s="57"/>
      <c r="DOP26" s="57"/>
      <c r="DOQ26" s="57"/>
      <c r="DOR26" s="57"/>
      <c r="DOS26" s="57"/>
      <c r="DOT26" s="57"/>
      <c r="DOU26" s="57"/>
      <c r="DOV26" s="57"/>
      <c r="DOW26" s="57"/>
      <c r="DOX26" s="57"/>
      <c r="DOY26" s="57"/>
      <c r="DOZ26" s="57"/>
      <c r="DPA26" s="57"/>
      <c r="DPB26" s="57"/>
      <c r="DPC26" s="57"/>
      <c r="DPD26" s="57"/>
      <c r="DPE26" s="57"/>
      <c r="DPF26" s="58"/>
      <c r="DPG26" s="56"/>
      <c r="DPH26" s="57"/>
      <c r="DPI26" s="57"/>
      <c r="DPJ26" s="57"/>
      <c r="DPK26" s="57"/>
      <c r="DPL26" s="57"/>
      <c r="DPM26" s="56"/>
      <c r="DPN26" s="57"/>
      <c r="DPO26" s="57"/>
      <c r="DPP26" s="56"/>
      <c r="DPQ26" s="57"/>
      <c r="DPR26" s="58"/>
      <c r="DPS26" s="56"/>
      <c r="DPT26" s="57"/>
      <c r="DPU26" s="57"/>
      <c r="DPV26" s="57"/>
      <c r="DPW26" s="56"/>
      <c r="DPX26" s="57"/>
      <c r="DPY26" s="57"/>
      <c r="DPZ26" s="56"/>
      <c r="DQA26" s="57"/>
      <c r="DQB26" s="58"/>
      <c r="DQC26" s="56"/>
      <c r="DQD26" s="57"/>
      <c r="DQE26" s="57"/>
      <c r="DQF26" s="57"/>
      <c r="DQG26" s="56"/>
      <c r="DQH26" s="57"/>
      <c r="DQI26" s="57"/>
      <c r="DQJ26" s="56"/>
      <c r="DQK26" s="57"/>
      <c r="DQL26" s="58"/>
      <c r="DQM26" s="56"/>
      <c r="DQN26" s="57"/>
      <c r="DQO26" s="57"/>
      <c r="DQP26" s="57"/>
      <c r="DQQ26" s="56"/>
      <c r="DQR26" s="57"/>
      <c r="DQS26" s="57"/>
      <c r="DQT26" s="56"/>
      <c r="DQU26" s="57"/>
      <c r="DQV26" s="58"/>
      <c r="DQW26" s="56"/>
      <c r="DQX26" s="58"/>
      <c r="DQY26" s="57"/>
      <c r="DQZ26" s="56"/>
      <c r="DRA26" s="57"/>
      <c r="DRB26" s="56"/>
      <c r="DRC26" s="56"/>
      <c r="DRD26" s="56"/>
      <c r="DRE26" s="57"/>
      <c r="DRF26" s="387"/>
      <c r="DRG26" s="57"/>
      <c r="DRH26" s="387"/>
      <c r="DRI26" s="57"/>
      <c r="DRJ26" s="387"/>
      <c r="DRK26" s="57"/>
      <c r="DRL26" s="57"/>
      <c r="DRM26" s="57"/>
      <c r="DRN26" s="57"/>
      <c r="DRO26" s="57"/>
      <c r="DRP26" s="57"/>
      <c r="DRQ26" s="57"/>
      <c r="DRR26" s="57"/>
      <c r="DRS26" s="57"/>
      <c r="DRT26" s="57"/>
      <c r="DRU26" s="57"/>
      <c r="DRV26" s="57"/>
      <c r="DRW26" s="57"/>
      <c r="DRX26" s="57"/>
      <c r="DRY26" s="57"/>
      <c r="DRZ26" s="57"/>
      <c r="DSA26" s="57"/>
      <c r="DSB26" s="57"/>
      <c r="DSC26" s="57"/>
      <c r="DSD26" s="57"/>
      <c r="DSE26" s="57"/>
      <c r="DSF26" s="57"/>
      <c r="DSG26" s="57"/>
      <c r="DSH26" s="57"/>
      <c r="DSI26" s="57"/>
      <c r="DSJ26" s="57"/>
      <c r="DSK26" s="57"/>
      <c r="DSL26" s="57"/>
      <c r="DSM26" s="57"/>
      <c r="DSN26" s="57"/>
      <c r="DSO26" s="57"/>
      <c r="DSP26" s="58"/>
      <c r="DSQ26" s="56"/>
      <c r="DSR26" s="57"/>
      <c r="DSS26" s="57"/>
      <c r="DST26" s="57"/>
      <c r="DSU26" s="57"/>
      <c r="DSV26" s="57"/>
      <c r="DSW26" s="56"/>
      <c r="DSX26" s="57"/>
      <c r="DSY26" s="57"/>
      <c r="DSZ26" s="56"/>
      <c r="DTA26" s="57"/>
      <c r="DTB26" s="58"/>
      <c r="DTC26" s="56"/>
      <c r="DTD26" s="57"/>
      <c r="DTE26" s="57"/>
      <c r="DTF26" s="57"/>
      <c r="DTG26" s="56"/>
      <c r="DTH26" s="57"/>
      <c r="DTI26" s="57"/>
      <c r="DTJ26" s="56"/>
      <c r="DTK26" s="57"/>
      <c r="DTL26" s="58"/>
      <c r="DTM26" s="56"/>
      <c r="DTN26" s="57"/>
      <c r="DTO26" s="57"/>
      <c r="DTP26" s="57"/>
      <c r="DTQ26" s="56"/>
      <c r="DTR26" s="57"/>
      <c r="DTS26" s="57"/>
      <c r="DTT26" s="56"/>
      <c r="DTU26" s="57"/>
      <c r="DTV26" s="58"/>
      <c r="DTW26" s="56"/>
      <c r="DTX26" s="57"/>
      <c r="DTY26" s="57"/>
      <c r="DTZ26" s="57"/>
      <c r="DUA26" s="56"/>
      <c r="DUB26" s="57"/>
      <c r="DUC26" s="57"/>
      <c r="DUD26" s="56"/>
      <c r="DUE26" s="57"/>
      <c r="DUF26" s="58"/>
      <c r="DUG26" s="56"/>
      <c r="DUH26" s="58"/>
      <c r="DUI26" s="57"/>
      <c r="DUJ26" s="56"/>
      <c r="DUK26" s="57"/>
      <c r="DUL26" s="56"/>
      <c r="DUM26" s="56"/>
      <c r="DUN26" s="56"/>
      <c r="DUO26" s="57"/>
      <c r="DUP26" s="387"/>
      <c r="DUQ26" s="57"/>
      <c r="DUR26" s="387"/>
      <c r="DUS26" s="57"/>
      <c r="DUT26" s="387"/>
      <c r="DUU26" s="57"/>
      <c r="DUV26" s="57"/>
      <c r="DUW26" s="57"/>
      <c r="DUX26" s="57"/>
      <c r="DUY26" s="57"/>
      <c r="DUZ26" s="57"/>
      <c r="DVA26" s="57"/>
      <c r="DVB26" s="57"/>
      <c r="DVC26" s="57"/>
      <c r="DVD26" s="57"/>
      <c r="DVE26" s="57"/>
      <c r="DVF26" s="57"/>
      <c r="DVG26" s="57"/>
      <c r="DVH26" s="57"/>
      <c r="DVI26" s="57"/>
      <c r="DVJ26" s="57"/>
      <c r="DVK26" s="57"/>
      <c r="DVL26" s="57"/>
      <c r="DVM26" s="57"/>
      <c r="DVN26" s="57"/>
      <c r="DVO26" s="57"/>
      <c r="DVP26" s="57"/>
      <c r="DVQ26" s="57"/>
      <c r="DVR26" s="57"/>
      <c r="DVS26" s="57"/>
      <c r="DVT26" s="57"/>
      <c r="DVU26" s="57"/>
      <c r="DVV26" s="57"/>
      <c r="DVW26" s="57"/>
      <c r="DVX26" s="57"/>
      <c r="DVY26" s="57"/>
      <c r="DVZ26" s="58"/>
      <c r="DWA26" s="56"/>
      <c r="DWB26" s="57"/>
      <c r="DWC26" s="57"/>
      <c r="DWD26" s="57"/>
      <c r="DWE26" s="57"/>
      <c r="DWF26" s="57"/>
      <c r="DWG26" s="56"/>
      <c r="DWH26" s="57"/>
      <c r="DWI26" s="57"/>
      <c r="DWJ26" s="56"/>
      <c r="DWK26" s="57"/>
      <c r="DWL26" s="58"/>
      <c r="DWM26" s="56"/>
      <c r="DWN26" s="57"/>
      <c r="DWO26" s="57"/>
      <c r="DWP26" s="57"/>
      <c r="DWQ26" s="56"/>
      <c r="DWR26" s="57"/>
      <c r="DWS26" s="57"/>
      <c r="DWT26" s="56"/>
      <c r="DWU26" s="57"/>
      <c r="DWV26" s="58"/>
      <c r="DWW26" s="56"/>
      <c r="DWX26" s="57"/>
      <c r="DWY26" s="57"/>
      <c r="DWZ26" s="57"/>
      <c r="DXA26" s="56"/>
      <c r="DXB26" s="57"/>
      <c r="DXC26" s="57"/>
      <c r="DXD26" s="56"/>
      <c r="DXE26" s="57"/>
      <c r="DXF26" s="58"/>
      <c r="DXG26" s="56"/>
      <c r="DXH26" s="57"/>
      <c r="DXI26" s="57"/>
      <c r="DXJ26" s="57"/>
      <c r="DXK26" s="56"/>
      <c r="DXL26" s="57"/>
      <c r="DXM26" s="57"/>
      <c r="DXN26" s="56"/>
      <c r="DXO26" s="57"/>
      <c r="DXP26" s="58"/>
      <c r="DXQ26" s="56"/>
      <c r="DXR26" s="58"/>
      <c r="DXS26" s="57"/>
      <c r="DXT26" s="56"/>
      <c r="DXU26" s="57"/>
      <c r="DXV26" s="56"/>
      <c r="DXW26" s="56"/>
      <c r="DXX26" s="56"/>
      <c r="DXY26" s="57"/>
      <c r="DXZ26" s="387"/>
      <c r="DYA26" s="57"/>
      <c r="DYB26" s="387"/>
      <c r="DYC26" s="57"/>
      <c r="DYD26" s="387"/>
      <c r="DYE26" s="57"/>
      <c r="DYF26" s="57"/>
      <c r="DYG26" s="57"/>
      <c r="DYH26" s="57"/>
      <c r="DYI26" s="57"/>
      <c r="DYJ26" s="57"/>
      <c r="DYK26" s="57"/>
      <c r="DYL26" s="57"/>
      <c r="DYM26" s="57"/>
      <c r="DYN26" s="57"/>
      <c r="DYO26" s="57"/>
      <c r="DYP26" s="57"/>
      <c r="DYQ26" s="57"/>
      <c r="DYR26" s="57"/>
      <c r="DYS26" s="57"/>
      <c r="DYT26" s="57"/>
      <c r="DYU26" s="57"/>
      <c r="DYV26" s="57"/>
      <c r="DYW26" s="57"/>
      <c r="DYX26" s="57"/>
      <c r="DYY26" s="57"/>
      <c r="DYZ26" s="57"/>
      <c r="DZA26" s="57"/>
      <c r="DZB26" s="57"/>
      <c r="DZC26" s="57"/>
      <c r="DZD26" s="57"/>
      <c r="DZE26" s="57"/>
      <c r="DZF26" s="57"/>
      <c r="DZG26" s="57"/>
      <c r="DZH26" s="57"/>
      <c r="DZI26" s="57"/>
      <c r="DZJ26" s="58"/>
      <c r="DZK26" s="56"/>
      <c r="DZL26" s="57"/>
      <c r="DZM26" s="57"/>
      <c r="DZN26" s="57"/>
      <c r="DZO26" s="57"/>
      <c r="DZP26" s="57"/>
      <c r="DZQ26" s="56"/>
      <c r="DZR26" s="57"/>
      <c r="DZS26" s="57"/>
      <c r="DZT26" s="56"/>
      <c r="DZU26" s="57"/>
      <c r="DZV26" s="58"/>
      <c r="DZW26" s="56"/>
      <c r="DZX26" s="57"/>
      <c r="DZY26" s="57"/>
      <c r="DZZ26" s="57"/>
      <c r="EAA26" s="56"/>
      <c r="EAB26" s="57"/>
      <c r="EAC26" s="57"/>
      <c r="EAD26" s="56"/>
      <c r="EAE26" s="57"/>
      <c r="EAF26" s="58"/>
      <c r="EAG26" s="56"/>
      <c r="EAH26" s="57"/>
      <c r="EAI26" s="57"/>
      <c r="EAJ26" s="57"/>
      <c r="EAK26" s="56"/>
      <c r="EAL26" s="57"/>
      <c r="EAM26" s="57"/>
      <c r="EAN26" s="56"/>
      <c r="EAO26" s="57"/>
      <c r="EAP26" s="58"/>
      <c r="EAQ26" s="56"/>
      <c r="EAR26" s="57"/>
      <c r="EAS26" s="57"/>
      <c r="EAT26" s="57"/>
      <c r="EAU26" s="56"/>
      <c r="EAV26" s="57"/>
      <c r="EAW26" s="57"/>
      <c r="EAX26" s="56"/>
      <c r="EAY26" s="57"/>
      <c r="EAZ26" s="58"/>
      <c r="EBA26" s="56"/>
      <c r="EBB26" s="58"/>
      <c r="EBC26" s="57"/>
      <c r="EBD26" s="56"/>
      <c r="EBE26" s="57"/>
      <c r="EBF26" s="56"/>
      <c r="EBG26" s="56"/>
      <c r="EBH26" s="56"/>
      <c r="EBI26" s="57"/>
      <c r="EBJ26" s="387"/>
      <c r="EBK26" s="57"/>
      <c r="EBL26" s="387"/>
      <c r="EBM26" s="57"/>
      <c r="EBN26" s="387"/>
      <c r="EBO26" s="57"/>
      <c r="EBP26" s="57"/>
      <c r="EBQ26" s="57"/>
      <c r="EBR26" s="57"/>
      <c r="EBS26" s="57"/>
      <c r="EBT26" s="57"/>
      <c r="EBU26" s="57"/>
      <c r="EBV26" s="57"/>
      <c r="EBW26" s="57"/>
      <c r="EBX26" s="57"/>
      <c r="EBY26" s="57"/>
      <c r="EBZ26" s="57"/>
      <c r="ECA26" s="57"/>
      <c r="ECB26" s="57"/>
      <c r="ECC26" s="57"/>
      <c r="ECD26" s="57"/>
      <c r="ECE26" s="57"/>
      <c r="ECF26" s="57"/>
      <c r="ECG26" s="57"/>
      <c r="ECH26" s="57"/>
      <c r="ECI26" s="57"/>
      <c r="ECJ26" s="57"/>
      <c r="ECK26" s="57"/>
      <c r="ECL26" s="57"/>
      <c r="ECM26" s="57"/>
      <c r="ECN26" s="57"/>
      <c r="ECO26" s="57"/>
      <c r="ECP26" s="57"/>
      <c r="ECQ26" s="57"/>
      <c r="ECR26" s="57"/>
      <c r="ECS26" s="57"/>
      <c r="ECT26" s="58"/>
      <c r="ECU26" s="56"/>
      <c r="ECV26" s="57"/>
      <c r="ECW26" s="57"/>
      <c r="ECX26" s="57"/>
      <c r="ECY26" s="57"/>
      <c r="ECZ26" s="57"/>
      <c r="EDA26" s="56"/>
      <c r="EDB26" s="57"/>
      <c r="EDC26" s="57"/>
      <c r="EDD26" s="56"/>
      <c r="EDE26" s="57"/>
      <c r="EDF26" s="58"/>
      <c r="EDG26" s="56"/>
      <c r="EDH26" s="57"/>
      <c r="EDI26" s="57"/>
      <c r="EDJ26" s="57"/>
      <c r="EDK26" s="56"/>
      <c r="EDL26" s="57"/>
      <c r="EDM26" s="57"/>
      <c r="EDN26" s="56"/>
      <c r="EDO26" s="57"/>
      <c r="EDP26" s="58"/>
      <c r="EDQ26" s="56"/>
      <c r="EDR26" s="57"/>
      <c r="EDS26" s="57"/>
      <c r="EDT26" s="57"/>
      <c r="EDU26" s="56"/>
      <c r="EDV26" s="57"/>
      <c r="EDW26" s="57"/>
      <c r="EDX26" s="56"/>
      <c r="EDY26" s="57"/>
      <c r="EDZ26" s="58"/>
      <c r="EEA26" s="56"/>
      <c r="EEB26" s="57"/>
      <c r="EEC26" s="57"/>
      <c r="EED26" s="57"/>
      <c r="EEE26" s="56"/>
      <c r="EEF26" s="57"/>
      <c r="EEG26" s="57"/>
      <c r="EEH26" s="56"/>
      <c r="EEI26" s="57"/>
      <c r="EEJ26" s="58"/>
      <c r="EEK26" s="56"/>
      <c r="EEL26" s="58"/>
      <c r="EEM26" s="57"/>
      <c r="EEN26" s="56"/>
      <c r="EEO26" s="57"/>
      <c r="EEP26" s="56"/>
      <c r="EEQ26" s="56"/>
      <c r="EER26" s="56"/>
      <c r="EES26" s="57"/>
      <c r="EET26" s="387"/>
      <c r="EEU26" s="57"/>
      <c r="EEV26" s="387"/>
      <c r="EEW26" s="57"/>
      <c r="EEX26" s="387"/>
      <c r="EEY26" s="57"/>
      <c r="EEZ26" s="57"/>
      <c r="EFA26" s="57"/>
      <c r="EFB26" s="57"/>
      <c r="EFC26" s="57"/>
      <c r="EFD26" s="57"/>
      <c r="EFE26" s="57"/>
      <c r="EFF26" s="57"/>
      <c r="EFG26" s="57"/>
      <c r="EFH26" s="57"/>
      <c r="EFI26" s="57"/>
      <c r="EFJ26" s="57"/>
      <c r="EFK26" s="57"/>
      <c r="EFL26" s="57"/>
      <c r="EFM26" s="57"/>
      <c r="EFN26" s="57"/>
      <c r="EFO26" s="57"/>
      <c r="EFP26" s="57"/>
      <c r="EFQ26" s="57"/>
      <c r="EFR26" s="57"/>
      <c r="EFS26" s="57"/>
      <c r="EFT26" s="57"/>
      <c r="EFU26" s="57"/>
      <c r="EFV26" s="57"/>
      <c r="EFW26" s="57"/>
      <c r="EFX26" s="57"/>
      <c r="EFY26" s="57"/>
      <c r="EFZ26" s="57"/>
      <c r="EGA26" s="57"/>
      <c r="EGB26" s="57"/>
      <c r="EGC26" s="57"/>
      <c r="EGD26" s="58"/>
      <c r="EGE26" s="56"/>
      <c r="EGF26" s="57"/>
      <c r="EGG26" s="57"/>
      <c r="EGH26" s="57"/>
      <c r="EGI26" s="57"/>
      <c r="EGJ26" s="57"/>
      <c r="EGK26" s="56"/>
      <c r="EGL26" s="57"/>
      <c r="EGM26" s="57"/>
      <c r="EGN26" s="56"/>
      <c r="EGO26" s="57"/>
      <c r="EGP26" s="58"/>
      <c r="EGQ26" s="56"/>
      <c r="EGR26" s="57"/>
      <c r="EGS26" s="57"/>
      <c r="EGT26" s="57"/>
      <c r="EGU26" s="56"/>
      <c r="EGV26" s="57"/>
      <c r="EGW26" s="57"/>
      <c r="EGX26" s="56"/>
      <c r="EGY26" s="57"/>
      <c r="EGZ26" s="58"/>
      <c r="EHA26" s="56"/>
      <c r="EHB26" s="57"/>
      <c r="EHC26" s="57"/>
      <c r="EHD26" s="57"/>
      <c r="EHE26" s="56"/>
      <c r="EHF26" s="57"/>
      <c r="EHG26" s="57"/>
      <c r="EHH26" s="56"/>
      <c r="EHI26" s="57"/>
      <c r="EHJ26" s="58"/>
      <c r="EHK26" s="56"/>
      <c r="EHL26" s="57"/>
      <c r="EHM26" s="57"/>
      <c r="EHN26" s="57"/>
      <c r="EHO26" s="56"/>
      <c r="EHP26" s="57"/>
      <c r="EHQ26" s="57"/>
      <c r="EHR26" s="56"/>
      <c r="EHS26" s="57"/>
      <c r="EHT26" s="58"/>
      <c r="EHU26" s="56"/>
      <c r="EHV26" s="58"/>
      <c r="EHW26" s="57"/>
      <c r="EHX26" s="56"/>
      <c r="EHY26" s="57"/>
      <c r="EHZ26" s="56"/>
      <c r="EIA26" s="56"/>
      <c r="EIB26" s="56"/>
      <c r="EIC26" s="57"/>
      <c r="EID26" s="387"/>
      <c r="EIE26" s="57"/>
      <c r="EIF26" s="387"/>
      <c r="EIG26" s="57"/>
      <c r="EIH26" s="387"/>
      <c r="EII26" s="57"/>
      <c r="EIJ26" s="57"/>
      <c r="EIK26" s="57"/>
      <c r="EIL26" s="57"/>
      <c r="EIM26" s="57"/>
      <c r="EIN26" s="57"/>
      <c r="EIO26" s="57"/>
      <c r="EIP26" s="57"/>
      <c r="EIQ26" s="57"/>
      <c r="EIR26" s="57"/>
      <c r="EIS26" s="57"/>
      <c r="EIT26" s="57"/>
      <c r="EIU26" s="57"/>
      <c r="EIV26" s="57"/>
      <c r="EIW26" s="57"/>
      <c r="EIX26" s="57"/>
      <c r="EIY26" s="57"/>
      <c r="EIZ26" s="57"/>
      <c r="EJA26" s="57"/>
      <c r="EJB26" s="57"/>
      <c r="EJC26" s="57"/>
      <c r="EJD26" s="57"/>
      <c r="EJE26" s="57"/>
      <c r="EJF26" s="57"/>
      <c r="EJG26" s="57"/>
      <c r="EJH26" s="57"/>
      <c r="EJI26" s="57"/>
      <c r="EJJ26" s="57"/>
      <c r="EJK26" s="57"/>
      <c r="EJL26" s="57"/>
      <c r="EJM26" s="57"/>
      <c r="EJN26" s="58"/>
      <c r="EJO26" s="56"/>
      <c r="EJP26" s="57"/>
      <c r="EJQ26" s="57"/>
      <c r="EJR26" s="57"/>
      <c r="EJS26" s="57"/>
      <c r="EJT26" s="57"/>
      <c r="EJU26" s="56"/>
      <c r="EJV26" s="57"/>
      <c r="EJW26" s="57"/>
      <c r="EJX26" s="56"/>
      <c r="EJY26" s="57"/>
      <c r="EJZ26" s="58"/>
      <c r="EKA26" s="56"/>
      <c r="EKB26" s="57"/>
      <c r="EKC26" s="57"/>
      <c r="EKD26" s="57"/>
      <c r="EKE26" s="56"/>
      <c r="EKF26" s="57"/>
      <c r="EKG26" s="57"/>
      <c r="EKH26" s="56"/>
      <c r="EKI26" s="57"/>
      <c r="EKJ26" s="58"/>
      <c r="EKK26" s="56"/>
      <c r="EKL26" s="57"/>
      <c r="EKM26" s="57"/>
      <c r="EKN26" s="57"/>
      <c r="EKO26" s="56"/>
      <c r="EKP26" s="57"/>
      <c r="EKQ26" s="57"/>
      <c r="EKR26" s="56"/>
      <c r="EKS26" s="57"/>
      <c r="EKT26" s="58"/>
      <c r="EKU26" s="56"/>
      <c r="EKV26" s="57"/>
      <c r="EKW26" s="57"/>
      <c r="EKX26" s="57"/>
      <c r="EKY26" s="56"/>
      <c r="EKZ26" s="57"/>
      <c r="ELA26" s="57"/>
      <c r="ELB26" s="56"/>
      <c r="ELC26" s="57"/>
      <c r="ELD26" s="58"/>
      <c r="ELE26" s="56"/>
      <c r="ELF26" s="58"/>
      <c r="ELG26" s="57"/>
      <c r="ELH26" s="56"/>
      <c r="ELI26" s="57"/>
      <c r="ELJ26" s="56"/>
      <c r="ELK26" s="56"/>
      <c r="ELL26" s="56"/>
      <c r="ELM26" s="57"/>
      <c r="ELN26" s="387"/>
      <c r="ELO26" s="57"/>
      <c r="ELP26" s="387"/>
      <c r="ELQ26" s="57"/>
      <c r="ELR26" s="387"/>
      <c r="ELS26" s="57"/>
      <c r="ELT26" s="57"/>
      <c r="ELU26" s="57"/>
      <c r="ELV26" s="57"/>
      <c r="ELW26" s="57"/>
      <c r="ELX26" s="57"/>
      <c r="ELY26" s="57"/>
      <c r="ELZ26" s="57"/>
      <c r="EMA26" s="57"/>
      <c r="EMB26" s="57"/>
      <c r="EMC26" s="57"/>
      <c r="EMD26" s="57"/>
      <c r="EME26" s="57"/>
      <c r="EMF26" s="57"/>
      <c r="EMG26" s="57"/>
      <c r="EMH26" s="57"/>
      <c r="EMI26" s="57"/>
      <c r="EMJ26" s="57"/>
      <c r="EMK26" s="57"/>
      <c r="EML26" s="57"/>
      <c r="EMM26" s="57"/>
      <c r="EMN26" s="57"/>
      <c r="EMO26" s="57"/>
      <c r="EMP26" s="57"/>
      <c r="EMQ26" s="57"/>
      <c r="EMR26" s="57"/>
      <c r="EMS26" s="57"/>
      <c r="EMT26" s="57"/>
      <c r="EMU26" s="57"/>
      <c r="EMV26" s="57"/>
      <c r="EMW26" s="57"/>
      <c r="EMX26" s="58"/>
      <c r="EMY26" s="56"/>
      <c r="EMZ26" s="57"/>
      <c r="ENA26" s="57"/>
      <c r="ENB26" s="57"/>
      <c r="ENC26" s="57"/>
      <c r="END26" s="57"/>
      <c r="ENE26" s="56"/>
      <c r="ENF26" s="57"/>
      <c r="ENG26" s="57"/>
      <c r="ENH26" s="56"/>
      <c r="ENI26" s="57"/>
      <c r="ENJ26" s="58"/>
      <c r="ENK26" s="56"/>
      <c r="ENL26" s="57"/>
      <c r="ENM26" s="57"/>
      <c r="ENN26" s="57"/>
      <c r="ENO26" s="56"/>
      <c r="ENP26" s="57"/>
      <c r="ENQ26" s="57"/>
      <c r="ENR26" s="56"/>
      <c r="ENS26" s="57"/>
      <c r="ENT26" s="58"/>
      <c r="ENU26" s="56"/>
      <c r="ENV26" s="57"/>
      <c r="ENW26" s="57"/>
      <c r="ENX26" s="57"/>
      <c r="ENY26" s="56"/>
      <c r="ENZ26" s="57"/>
      <c r="EOA26" s="57"/>
      <c r="EOB26" s="56"/>
      <c r="EOC26" s="57"/>
      <c r="EOD26" s="58"/>
      <c r="EOE26" s="56"/>
      <c r="EOF26" s="57"/>
      <c r="EOG26" s="57"/>
      <c r="EOH26" s="57"/>
      <c r="EOI26" s="56"/>
      <c r="EOJ26" s="57"/>
      <c r="EOK26" s="57"/>
      <c r="EOL26" s="56"/>
      <c r="EOM26" s="57"/>
      <c r="EON26" s="58" t="s">
        <v>3516</v>
      </c>
      <c r="EOO26" s="56" t="str">
        <f t="shared" si="75"/>
        <v xml:space="preserve"> </v>
      </c>
    </row>
    <row r="27" spans="1:3785" x14ac:dyDescent="0.3">
      <c r="A27" s="27" t="s">
        <v>187</v>
      </c>
      <c r="B27" s="30"/>
      <c r="C27" s="29"/>
      <c r="D27" s="28" t="str">
        <f t="shared" si="61"/>
        <v xml:space="preserve"> </v>
      </c>
      <c r="E27" s="29"/>
      <c r="F27" s="28"/>
      <c r="G27" s="28"/>
      <c r="H27" s="28"/>
      <c r="I27" s="29"/>
      <c r="J27" s="385"/>
      <c r="K27" s="29"/>
      <c r="L27" s="385"/>
      <c r="M27" s="29"/>
      <c r="N27" s="385"/>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30"/>
      <c r="AU27" s="28"/>
      <c r="AV27" s="29"/>
      <c r="AW27" s="30"/>
      <c r="AX27" s="29"/>
      <c r="AY27" s="29"/>
      <c r="AZ27" s="29"/>
      <c r="BA27" s="28"/>
      <c r="BB27" s="29"/>
      <c r="BC27" s="29"/>
      <c r="BD27" s="28"/>
      <c r="BE27" s="29"/>
      <c r="BF27" s="30"/>
      <c r="BG27" s="28"/>
      <c r="BH27" s="29"/>
      <c r="BI27" s="30"/>
      <c r="BJ27" s="29"/>
      <c r="BK27" s="28"/>
      <c r="BL27" s="29"/>
      <c r="BM27" s="29"/>
      <c r="BN27" s="28"/>
      <c r="BO27" s="29"/>
      <c r="BP27" s="30"/>
      <c r="BQ27" s="28"/>
      <c r="BR27" s="29"/>
      <c r="BS27" s="30"/>
      <c r="BT27" s="29"/>
      <c r="BU27" s="28"/>
      <c r="BV27" s="29"/>
      <c r="BW27" s="29"/>
      <c r="BX27" s="28"/>
      <c r="BY27" s="29"/>
      <c r="BZ27" s="30"/>
      <c r="CA27" s="28"/>
      <c r="CB27" s="29"/>
      <c r="CC27" s="30"/>
      <c r="CD27" s="29"/>
      <c r="CE27" s="28"/>
      <c r="CF27" s="29"/>
      <c r="CG27" s="29"/>
      <c r="CH27" s="28"/>
      <c r="CI27" s="29"/>
      <c r="CJ27" s="30"/>
      <c r="CK27" s="28"/>
      <c r="CL27" s="29"/>
      <c r="CM27" s="29"/>
      <c r="CN27" s="29"/>
      <c r="CO27" s="28"/>
      <c r="CP27" s="29"/>
      <c r="CQ27" s="29"/>
      <c r="CR27" s="28"/>
      <c r="CS27" s="29"/>
      <c r="CT27" s="30"/>
      <c r="CU27" s="28"/>
      <c r="CV27" s="29"/>
      <c r="CW27" s="29"/>
      <c r="CX27" s="29"/>
      <c r="CY27" s="28"/>
      <c r="CZ27" s="29"/>
      <c r="DA27" s="29"/>
      <c r="DB27" s="28"/>
      <c r="DC27" s="29"/>
      <c r="DD27" s="30"/>
      <c r="DE27" s="28"/>
      <c r="DF27" s="29"/>
      <c r="DG27" s="29"/>
      <c r="DH27" s="29"/>
      <c r="DI27" s="28"/>
      <c r="DJ27" s="29"/>
      <c r="DK27" s="29"/>
      <c r="DL27" s="28"/>
      <c r="DM27" s="29"/>
      <c r="DN27" s="30"/>
      <c r="DO27" s="28"/>
      <c r="DP27" s="29"/>
      <c r="DQ27" s="29"/>
      <c r="DR27" s="29"/>
      <c r="DS27" s="28"/>
      <c r="DT27" s="29"/>
      <c r="DU27" s="29"/>
      <c r="DV27" s="28"/>
      <c r="DW27" s="29"/>
      <c r="DX27" s="30"/>
      <c r="DY27" s="28"/>
      <c r="DZ27" s="29"/>
      <c r="EA27" s="29"/>
      <c r="EB27" s="29"/>
      <c r="EC27" s="28"/>
      <c r="ED27" s="29"/>
      <c r="EE27" s="28"/>
      <c r="EF27" s="28"/>
      <c r="EG27" s="29"/>
      <c r="EH27" s="30"/>
      <c r="EI27" s="28"/>
      <c r="EJ27" s="29"/>
      <c r="EK27" s="29"/>
      <c r="EL27" s="29"/>
      <c r="EM27" s="28"/>
      <c r="EN27" s="29"/>
      <c r="EO27" s="33"/>
      <c r="EP27" s="28"/>
      <c r="EQ27" s="29"/>
      <c r="ER27" s="30"/>
      <c r="ES27" s="28"/>
      <c r="ET27" s="29"/>
      <c r="EU27" s="29"/>
      <c r="EV27" s="29"/>
      <c r="EW27" s="28"/>
      <c r="EX27" s="29"/>
      <c r="EY27" s="29"/>
      <c r="EZ27" s="28"/>
      <c r="FA27" s="29"/>
      <c r="FB27" s="30"/>
      <c r="FC27" s="28"/>
      <c r="FD27" s="29"/>
      <c r="FE27" s="29"/>
      <c r="FF27" s="29"/>
      <c r="FG27" s="28"/>
      <c r="FH27" s="29"/>
      <c r="FI27" s="29"/>
      <c r="FJ27" s="28"/>
      <c r="FK27" s="29"/>
      <c r="FL27" s="30"/>
      <c r="FM27" s="28"/>
      <c r="FN27" s="29"/>
      <c r="FO27" s="29"/>
      <c r="FP27" s="29"/>
      <c r="FQ27" s="28"/>
      <c r="FR27" s="29"/>
      <c r="FS27" s="29"/>
      <c r="FT27" s="28"/>
      <c r="FU27" s="29"/>
      <c r="FV27" s="30"/>
      <c r="FW27" s="28"/>
      <c r="FX27" s="29"/>
      <c r="FY27" s="29"/>
      <c r="FZ27" s="29"/>
      <c r="GA27" s="28"/>
      <c r="GB27" s="29"/>
      <c r="GC27" s="29"/>
      <c r="GD27" s="28"/>
      <c r="GE27" s="29"/>
      <c r="GF27" s="30"/>
      <c r="GG27" s="28"/>
      <c r="GH27" s="29"/>
      <c r="GI27" s="29"/>
      <c r="GJ27" s="29"/>
      <c r="GK27" s="28"/>
      <c r="GL27" s="29"/>
      <c r="GM27" s="29"/>
      <c r="GN27" s="28"/>
      <c r="GO27" s="29"/>
      <c r="GP27" s="30"/>
      <c r="GQ27" s="28"/>
      <c r="GR27" s="29"/>
      <c r="GS27" s="29"/>
      <c r="GT27" s="29"/>
      <c r="GU27" s="28"/>
      <c r="GV27" s="29"/>
      <c r="GW27" s="29"/>
      <c r="GX27" s="28"/>
      <c r="GY27" s="29"/>
      <c r="GZ27" s="30"/>
      <c r="HA27" s="28"/>
      <c r="HB27" s="29"/>
      <c r="HC27" s="29"/>
      <c r="HD27" s="29"/>
      <c r="HE27" s="28"/>
      <c r="HF27" s="29"/>
      <c r="HG27" s="29"/>
      <c r="HH27" s="28"/>
      <c r="HI27" s="29"/>
      <c r="HJ27" s="30"/>
      <c r="HK27" s="28"/>
      <c r="HL27" s="29"/>
      <c r="HM27" s="29"/>
      <c r="HN27" s="29"/>
      <c r="HO27" s="28"/>
      <c r="HP27" s="29"/>
      <c r="HQ27" s="29"/>
      <c r="HR27" s="28"/>
      <c r="HS27" s="29"/>
      <c r="HT27" s="30"/>
      <c r="HU27" s="28"/>
      <c r="HV27" s="29"/>
      <c r="HW27" s="29"/>
      <c r="HX27" s="29"/>
      <c r="HY27" s="28"/>
      <c r="HZ27" s="29"/>
      <c r="IA27" s="29"/>
      <c r="IB27" s="28"/>
      <c r="IC27" s="29"/>
      <c r="ID27" s="30"/>
      <c r="IE27" s="28"/>
      <c r="IF27" s="29"/>
      <c r="IG27" s="29"/>
      <c r="IH27" s="29"/>
      <c r="II27" s="28"/>
      <c r="IJ27" s="29"/>
      <c r="IK27" s="29"/>
      <c r="IL27" s="28"/>
      <c r="IM27" s="29"/>
      <c r="IN27" s="30"/>
      <c r="IO27" s="28"/>
      <c r="IP27" s="29"/>
      <c r="IQ27" s="29"/>
      <c r="IR27" s="29"/>
      <c r="IS27" s="28"/>
      <c r="IT27" s="29"/>
      <c r="IU27" s="29"/>
      <c r="IV27" s="28"/>
      <c r="IW27" s="29"/>
      <c r="IX27" s="30"/>
      <c r="IY27" s="28"/>
      <c r="IZ27" s="29"/>
      <c r="JA27" s="29"/>
      <c r="JB27" s="29"/>
      <c r="JC27" s="28"/>
      <c r="JD27" s="29"/>
      <c r="JE27" s="29"/>
      <c r="JF27" s="28"/>
      <c r="JG27" s="29"/>
      <c r="JH27" s="30"/>
      <c r="JI27" s="28"/>
      <c r="JJ27" s="29"/>
      <c r="JK27" s="29"/>
      <c r="JL27" s="29"/>
      <c r="JM27" s="28"/>
      <c r="JN27" s="29"/>
      <c r="JO27" s="29"/>
      <c r="JP27" s="28"/>
      <c r="JQ27" s="29"/>
      <c r="JR27" s="30"/>
      <c r="JS27" s="28"/>
      <c r="JT27" s="29"/>
      <c r="JU27" s="29"/>
      <c r="JV27" s="29"/>
      <c r="JW27" s="28"/>
      <c r="JX27" s="29"/>
      <c r="JY27" s="29"/>
      <c r="JZ27" s="28"/>
      <c r="KA27" s="29"/>
      <c r="KB27" s="30"/>
      <c r="KC27" s="28"/>
      <c r="KD27" s="29"/>
      <c r="KE27" s="29"/>
      <c r="KF27" s="29"/>
      <c r="KG27" s="28"/>
      <c r="KH27" s="29"/>
      <c r="KI27" s="29"/>
      <c r="KJ27" s="28"/>
      <c r="KK27" s="29"/>
      <c r="KL27" s="30"/>
      <c r="KM27" s="28"/>
      <c r="KN27" s="29"/>
      <c r="KO27" s="29"/>
      <c r="KP27" s="29"/>
      <c r="KQ27" s="28"/>
      <c r="KR27" s="29"/>
      <c r="KS27" s="29"/>
      <c r="KT27" s="28"/>
      <c r="KU27" s="29"/>
      <c r="KV27" s="30"/>
      <c r="KW27" s="28"/>
      <c r="KX27" s="29"/>
      <c r="KY27" s="29"/>
      <c r="KZ27" s="29"/>
      <c r="LA27" s="28"/>
      <c r="LB27" s="29"/>
      <c r="LC27" s="29"/>
      <c r="LD27" s="28"/>
      <c r="LE27" s="29"/>
      <c r="LF27" s="30"/>
      <c r="LG27" s="28"/>
      <c r="LH27" s="29"/>
      <c r="LI27" s="29"/>
      <c r="LJ27" s="29"/>
      <c r="LK27" s="28"/>
      <c r="LL27" s="29"/>
      <c r="LM27" s="29"/>
      <c r="LN27" s="28"/>
      <c r="LO27" s="29"/>
      <c r="LP27" s="30"/>
      <c r="LQ27" s="28"/>
      <c r="LR27" s="29"/>
      <c r="LS27" s="29"/>
      <c r="LT27" s="29"/>
      <c r="LU27" s="28"/>
      <c r="LV27" s="29"/>
      <c r="LW27" s="29"/>
      <c r="LX27" s="28"/>
      <c r="LY27" s="29"/>
      <c r="LZ27" s="30"/>
      <c r="MA27" s="28"/>
      <c r="MB27" s="29"/>
      <c r="MC27" s="29"/>
      <c r="MD27" s="29"/>
      <c r="ME27" s="28"/>
      <c r="MF27" s="29"/>
      <c r="MG27" s="29"/>
      <c r="MH27" s="28"/>
      <c r="MI27" s="29"/>
      <c r="MJ27" s="30"/>
      <c r="MK27" s="28"/>
      <c r="ML27" s="29"/>
      <c r="MM27" s="29"/>
      <c r="MN27" s="29"/>
      <c r="MO27" s="28"/>
      <c r="MP27" s="29"/>
      <c r="MQ27" s="29"/>
      <c r="MR27" s="28"/>
      <c r="MS27" s="29"/>
      <c r="MT27" s="30"/>
      <c r="MU27" s="28"/>
      <c r="MV27" s="29"/>
      <c r="MW27" s="29"/>
      <c r="MX27" s="29"/>
      <c r="MY27" s="28"/>
      <c r="MZ27" s="29"/>
      <c r="NA27" s="29"/>
      <c r="NB27" s="28"/>
      <c r="NC27" s="29"/>
      <c r="ND27" s="30"/>
      <c r="NE27" s="28"/>
      <c r="NF27" s="29"/>
      <c r="NG27" s="29"/>
      <c r="NH27" s="29"/>
      <c r="NI27" s="28"/>
      <c r="NJ27" s="29"/>
      <c r="NK27" s="29"/>
      <c r="NL27" s="28"/>
      <c r="NM27" s="29"/>
      <c r="NN27" s="30"/>
      <c r="NO27" s="28"/>
      <c r="NP27" s="29"/>
      <c r="NQ27" s="29"/>
      <c r="NR27" s="29"/>
      <c r="NS27" s="28"/>
      <c r="NT27" s="29"/>
      <c r="NU27" s="29"/>
      <c r="NV27" s="28"/>
      <c r="NW27" s="29"/>
      <c r="NX27" s="30"/>
      <c r="NY27" s="28"/>
      <c r="NZ27" s="29"/>
      <c r="OA27" s="29"/>
      <c r="OB27" s="29"/>
      <c r="OC27" s="28"/>
      <c r="OD27" s="29"/>
      <c r="OE27" s="29"/>
      <c r="OF27" s="30"/>
      <c r="OG27" s="30"/>
      <c r="OH27" s="30"/>
      <c r="OI27" s="28"/>
      <c r="OJ27" s="30"/>
      <c r="OK27" s="30"/>
      <c r="OL27" s="30"/>
      <c r="OM27" s="30"/>
      <c r="ON27" s="30"/>
      <c r="OO27" s="30"/>
      <c r="OP27" s="28"/>
      <c r="OQ27" s="29"/>
      <c r="OR27" s="30"/>
      <c r="OS27" s="28"/>
      <c r="OT27" s="29"/>
      <c r="OU27" s="29"/>
      <c r="OV27" s="29"/>
      <c r="OW27" s="28"/>
      <c r="OX27" s="29"/>
      <c r="OY27" s="29"/>
      <c r="OZ27" s="28"/>
      <c r="PA27" s="29"/>
      <c r="PB27" s="30"/>
      <c r="PC27" s="28"/>
      <c r="PD27" s="29"/>
      <c r="PE27" s="29"/>
      <c r="PF27" s="29"/>
      <c r="PG27" s="28"/>
      <c r="PH27" s="29"/>
      <c r="PI27" s="29"/>
      <c r="PJ27" s="28"/>
      <c r="PK27" s="29"/>
      <c r="PL27" s="30"/>
      <c r="PM27" s="28"/>
      <c r="PN27" s="29"/>
      <c r="PO27" s="29"/>
      <c r="PP27" s="29"/>
      <c r="PQ27" s="28"/>
      <c r="PR27" s="29"/>
      <c r="PS27" s="29"/>
      <c r="PT27" s="28"/>
      <c r="PU27" s="29"/>
      <c r="PV27" s="30"/>
      <c r="PW27" s="28"/>
      <c r="PX27" s="29"/>
      <c r="PY27" s="29"/>
      <c r="PZ27" s="29"/>
      <c r="QA27" s="28"/>
      <c r="QB27" s="29"/>
      <c r="QC27" s="29"/>
      <c r="QD27" s="28"/>
      <c r="QE27" s="29"/>
      <c r="QF27" s="30"/>
      <c r="QG27" s="28"/>
      <c r="QH27" s="29"/>
      <c r="QI27" s="29"/>
      <c r="QJ27" s="29"/>
      <c r="QK27" s="28"/>
      <c r="QL27" s="29"/>
      <c r="QM27" s="29"/>
      <c r="QN27" s="28"/>
      <c r="QO27" s="29"/>
      <c r="QP27" s="30"/>
      <c r="QQ27" s="28"/>
      <c r="QR27" s="29"/>
      <c r="QS27" s="29"/>
      <c r="QT27" s="29"/>
      <c r="QU27" s="28"/>
      <c r="QV27" s="29"/>
      <c r="QW27" s="29"/>
      <c r="QX27" s="28"/>
      <c r="QY27" s="29"/>
      <c r="QZ27" s="30"/>
      <c r="RA27" s="28"/>
      <c r="RB27" s="29"/>
      <c r="RC27" s="29"/>
      <c r="RD27" s="29"/>
      <c r="RE27" s="28"/>
      <c r="RF27" s="29"/>
      <c r="RG27" s="29"/>
      <c r="RH27" s="28"/>
      <c r="RI27" s="29"/>
      <c r="RJ27" s="30"/>
      <c r="RK27" s="28"/>
      <c r="RL27" s="29"/>
      <c r="RM27" s="29"/>
      <c r="RN27" s="29"/>
      <c r="RO27" s="28"/>
      <c r="RP27" s="29"/>
      <c r="RQ27" s="29"/>
      <c r="RR27" s="28"/>
      <c r="RS27" s="29"/>
      <c r="RT27" s="30"/>
      <c r="RU27" s="28"/>
      <c r="RV27" s="29"/>
      <c r="RW27" s="29"/>
      <c r="RX27" s="29"/>
      <c r="RY27" s="28"/>
      <c r="RZ27" s="29"/>
      <c r="SA27" s="29"/>
      <c r="SB27" s="28"/>
      <c r="SC27" s="29"/>
      <c r="SD27" s="30"/>
      <c r="SE27" s="28"/>
      <c r="SF27" s="29"/>
      <c r="SG27" s="29"/>
      <c r="SH27" s="29"/>
      <c r="SI27" s="28"/>
      <c r="SJ27" s="29"/>
      <c r="SK27" s="29"/>
      <c r="SL27" s="28"/>
      <c r="SM27" s="29"/>
      <c r="SN27" s="30"/>
      <c r="SO27" s="28"/>
      <c r="SP27" s="29"/>
      <c r="SQ27" s="29"/>
      <c r="SR27" s="29"/>
      <c r="SS27" s="28"/>
      <c r="ST27" s="29"/>
      <c r="SU27" s="29"/>
      <c r="SV27" s="28"/>
      <c r="SW27" s="29"/>
      <c r="SX27" s="30"/>
      <c r="SY27" s="28"/>
      <c r="SZ27" s="29"/>
      <c r="TA27" s="29"/>
      <c r="TB27" s="29"/>
      <c r="TC27" s="28"/>
      <c r="TD27" s="29"/>
      <c r="TE27" s="29"/>
      <c r="TF27" s="28"/>
      <c r="TG27" s="29"/>
      <c r="TH27" s="30"/>
      <c r="TI27" s="28"/>
      <c r="TJ27" s="29"/>
      <c r="TK27" s="29"/>
      <c r="TL27" s="29"/>
      <c r="TM27" s="28"/>
      <c r="TN27" s="29"/>
      <c r="TO27" s="29"/>
      <c r="TP27" s="28"/>
      <c r="TQ27" s="29"/>
      <c r="TR27" s="30"/>
      <c r="TS27" s="28"/>
      <c r="TT27" s="29"/>
      <c r="TU27" s="29"/>
      <c r="TV27" s="29"/>
      <c r="TW27" s="28"/>
      <c r="TX27" s="29"/>
      <c r="TY27" s="29"/>
      <c r="TZ27" s="28"/>
      <c r="UA27" s="29"/>
      <c r="UB27" s="30"/>
      <c r="UC27" s="28"/>
      <c r="UD27" s="29"/>
      <c r="UE27" s="29"/>
      <c r="UF27" s="29"/>
      <c r="UG27" s="28"/>
      <c r="UH27" s="29"/>
      <c r="UI27" s="29"/>
      <c r="UJ27" s="28"/>
      <c r="UK27" s="29"/>
      <c r="UL27" s="30"/>
      <c r="UM27" s="28"/>
      <c r="UN27" s="29"/>
      <c r="UO27" s="29"/>
      <c r="UP27" s="29"/>
      <c r="UQ27" s="28"/>
      <c r="UR27" s="29"/>
      <c r="US27" s="29"/>
      <c r="UT27" s="28"/>
      <c r="UU27" s="29"/>
      <c r="UV27" s="30"/>
      <c r="UW27" s="28"/>
      <c r="UX27" s="29"/>
      <c r="UY27" s="29"/>
      <c r="UZ27" s="29"/>
      <c r="VA27" s="28"/>
      <c r="VB27" s="29"/>
      <c r="VC27" s="29"/>
      <c r="VD27" s="28"/>
      <c r="VE27" s="29"/>
      <c r="VF27" s="30"/>
      <c r="VG27" s="28"/>
      <c r="VH27" s="29"/>
      <c r="VI27" s="29"/>
      <c r="VJ27" s="29"/>
      <c r="VK27" s="28"/>
      <c r="VL27" s="29"/>
      <c r="VM27" s="29"/>
      <c r="VN27" s="28"/>
      <c r="VO27" s="29"/>
      <c r="VP27" s="30"/>
      <c r="VQ27" s="28"/>
      <c r="VR27" s="29"/>
      <c r="VS27" s="29"/>
      <c r="VT27" s="29"/>
      <c r="VU27" s="28"/>
      <c r="VV27" s="29"/>
      <c r="VW27" s="29"/>
      <c r="VX27" s="28"/>
      <c r="VY27" s="29"/>
      <c r="VZ27" s="30"/>
      <c r="WA27" s="28"/>
      <c r="WB27" s="29"/>
      <c r="WC27" s="29"/>
      <c r="WD27" s="29"/>
      <c r="WE27" s="28"/>
      <c r="WF27" s="29"/>
      <c r="WG27" s="29"/>
      <c r="WH27" s="28"/>
      <c r="WI27" s="29"/>
      <c r="WJ27" s="30"/>
      <c r="WK27" s="28"/>
      <c r="WL27" s="29"/>
      <c r="WM27" s="29"/>
      <c r="WN27" s="29"/>
      <c r="WO27" s="28"/>
      <c r="WP27" s="29"/>
      <c r="WQ27" s="29"/>
      <c r="WR27" s="28"/>
      <c r="WS27" s="29"/>
      <c r="WT27" s="30"/>
      <c r="WU27" s="28"/>
      <c r="WV27" s="29"/>
      <c r="WW27" s="29"/>
      <c r="WX27" s="29"/>
      <c r="WY27" s="28"/>
      <c r="WZ27" s="29"/>
      <c r="XA27" s="29"/>
      <c r="XB27" s="28"/>
      <c r="XC27" s="29"/>
      <c r="XD27" s="30"/>
      <c r="XE27" s="28"/>
      <c r="XF27" s="29"/>
      <c r="XG27" s="29"/>
      <c r="XH27" s="29"/>
      <c r="XI27" s="28"/>
      <c r="XJ27" s="29"/>
      <c r="XK27" s="29"/>
      <c r="XL27" s="28"/>
      <c r="XM27" s="29"/>
      <c r="XN27" s="30"/>
      <c r="XO27" s="28"/>
      <c r="XP27" s="29"/>
      <c r="XQ27" s="29"/>
      <c r="XR27" s="29"/>
      <c r="XS27" s="28"/>
      <c r="XT27" s="29"/>
      <c r="XU27" s="29"/>
      <c r="XV27" s="28"/>
      <c r="XW27" s="29"/>
      <c r="XX27" s="30"/>
      <c r="XY27" s="28"/>
      <c r="XZ27" s="29"/>
      <c r="YA27" s="29"/>
      <c r="YB27" s="29"/>
      <c r="YC27" s="28"/>
      <c r="YD27" s="29"/>
      <c r="YE27" s="29"/>
      <c r="YF27" s="28"/>
      <c r="YG27" s="29"/>
      <c r="YH27" s="30"/>
      <c r="YI27" s="28"/>
      <c r="YJ27" s="29"/>
      <c r="YK27" s="29"/>
      <c r="YL27" s="29"/>
      <c r="YM27" s="28"/>
      <c r="YN27" s="29"/>
      <c r="YO27" s="29"/>
      <c r="YP27" s="28"/>
      <c r="YQ27" s="29"/>
      <c r="YR27" s="30"/>
      <c r="YS27" s="28"/>
      <c r="YT27" s="29"/>
      <c r="YU27" s="29"/>
      <c r="YV27" s="29"/>
      <c r="YW27" s="28"/>
      <c r="YX27" s="29"/>
      <c r="YY27" s="29"/>
      <c r="YZ27" s="28"/>
      <c r="ZA27" s="29"/>
      <c r="ZB27" s="30"/>
      <c r="ZC27" s="28"/>
      <c r="ZD27" s="29"/>
      <c r="ZE27" s="29"/>
      <c r="ZF27" s="29"/>
      <c r="ZG27" s="28"/>
      <c r="ZH27" s="29"/>
      <c r="ZI27" s="29"/>
      <c r="ZJ27" s="28"/>
      <c r="ZK27" s="29"/>
      <c r="ZL27" s="30"/>
      <c r="ZM27" s="28"/>
      <c r="ZN27" s="29"/>
      <c r="ZO27" s="29"/>
      <c r="ZP27" s="29"/>
      <c r="ZQ27" s="28"/>
      <c r="ZR27" s="29"/>
      <c r="ZS27" s="29"/>
      <c r="ZT27" s="28"/>
      <c r="ZU27" s="29"/>
      <c r="ZV27" s="30"/>
      <c r="ZW27" s="28"/>
      <c r="ZX27" s="29"/>
      <c r="ZY27" s="29"/>
      <c r="ZZ27" s="29"/>
      <c r="AAA27" s="28"/>
      <c r="AAB27" s="29"/>
      <c r="AAC27" s="29"/>
      <c r="AAD27" s="28"/>
      <c r="AAE27" s="29"/>
      <c r="AAF27" s="30"/>
      <c r="AAG27" s="28"/>
      <c r="AAH27" s="29"/>
      <c r="AAI27" s="29"/>
      <c r="AAJ27" s="29"/>
      <c r="AAK27" s="28"/>
      <c r="AAL27" s="29"/>
      <c r="AAM27" s="29"/>
      <c r="AAN27" s="28"/>
      <c r="AAO27" s="29"/>
      <c r="AAP27" s="30"/>
      <c r="AAQ27" s="28"/>
      <c r="AAR27" s="29"/>
      <c r="AAS27" s="29"/>
      <c r="AAT27" s="29"/>
      <c r="AAU27" s="28"/>
      <c r="AAV27" s="29"/>
      <c r="AAW27" s="29"/>
      <c r="AAX27" s="28"/>
      <c r="AAY27" s="29"/>
      <c r="AAZ27" s="30"/>
      <c r="ABA27" s="28"/>
      <c r="ABB27" s="29"/>
      <c r="ABC27" s="29"/>
      <c r="ABD27" s="29"/>
      <c r="ABE27" s="28"/>
      <c r="ABF27" s="29"/>
      <c r="ABG27" s="29"/>
      <c r="ABH27" s="28"/>
      <c r="ABI27" s="29"/>
      <c r="ABJ27" s="30"/>
      <c r="ABK27" s="28"/>
      <c r="ABL27" s="29"/>
      <c r="ABM27" s="29"/>
      <c r="ABN27" s="29"/>
      <c r="ABO27" s="28"/>
      <c r="ABP27" s="29"/>
      <c r="ABQ27" s="29"/>
      <c r="ABR27" s="28"/>
      <c r="ABS27" s="29"/>
      <c r="ABT27" s="30"/>
      <c r="ABU27" s="28"/>
      <c r="ABV27" s="29"/>
      <c r="ABW27" s="29"/>
      <c r="ABX27" s="29"/>
      <c r="ABY27" s="28"/>
      <c r="ABZ27" s="29"/>
      <c r="ACA27" s="29"/>
      <c r="ACB27" s="28"/>
      <c r="ACC27" s="29"/>
      <c r="ACD27" s="30"/>
      <c r="ACE27" s="28"/>
      <c r="ACF27" s="29"/>
      <c r="ACG27" s="29"/>
      <c r="ACH27" s="29"/>
      <c r="ACI27" s="28"/>
      <c r="ACJ27" s="29"/>
      <c r="ACK27" s="29"/>
      <c r="ACL27" s="28"/>
      <c r="ACM27" s="29"/>
      <c r="ACN27" s="30"/>
      <c r="ACO27" s="28"/>
      <c r="ACP27" s="29"/>
      <c r="ACQ27" s="29"/>
      <c r="ACR27" s="29"/>
      <c r="ACS27" s="28"/>
      <c r="ACT27" s="29"/>
      <c r="ACU27" s="29"/>
      <c r="ACV27" s="28"/>
      <c r="ACW27" s="29"/>
      <c r="ACX27" s="30"/>
      <c r="ACY27" s="28"/>
      <c r="ACZ27" s="29"/>
      <c r="ADA27" s="29"/>
      <c r="ADB27" s="29"/>
      <c r="ADC27" s="28"/>
      <c r="ADD27" s="29"/>
      <c r="ADE27" s="29"/>
      <c r="ADF27" s="28"/>
      <c r="ADG27" s="29"/>
      <c r="ADH27" s="30"/>
      <c r="ADI27" s="28"/>
      <c r="ADJ27" s="29"/>
      <c r="ADK27" s="29"/>
      <c r="ADL27" s="29"/>
      <c r="ADM27" s="28"/>
      <c r="ADN27" s="29"/>
      <c r="ADO27" s="29"/>
      <c r="ADP27" s="28"/>
      <c r="ADQ27" s="29"/>
      <c r="ADR27" s="30"/>
      <c r="ADS27" s="28"/>
      <c r="ADT27" s="29"/>
      <c r="ADU27" s="29"/>
      <c r="ADV27" s="29"/>
      <c r="ADW27" s="28"/>
      <c r="ADX27" s="29"/>
      <c r="ADY27" s="29"/>
      <c r="ADZ27" s="28"/>
      <c r="AEA27" s="29"/>
      <c r="AEB27" s="30"/>
      <c r="AEC27" s="28"/>
      <c r="AED27" s="29"/>
      <c r="AEE27" s="29"/>
      <c r="AEF27" s="29"/>
      <c r="AEG27" s="28"/>
      <c r="AEH27" s="29"/>
      <c r="AEI27" s="29"/>
      <c r="AEJ27" s="28"/>
      <c r="AEK27" s="29"/>
      <c r="AEL27" s="30"/>
      <c r="AEM27" s="28"/>
      <c r="AEN27" s="29"/>
      <c r="AEO27" s="29"/>
      <c r="AEP27" s="29"/>
      <c r="AEQ27" s="28"/>
      <c r="AER27" s="29"/>
      <c r="AES27" s="29"/>
      <c r="AET27" s="28"/>
      <c r="AEU27" s="29"/>
      <c r="AEV27" s="30"/>
      <c r="AEW27" s="28"/>
      <c r="AEX27" s="29"/>
      <c r="AEY27" s="29"/>
      <c r="AEZ27" s="29"/>
      <c r="AFA27" s="28"/>
      <c r="AFB27" s="29"/>
      <c r="AFC27" s="29"/>
      <c r="AFD27" s="28"/>
      <c r="AFE27" s="29"/>
      <c r="AFF27" s="30"/>
      <c r="AFG27" s="28"/>
      <c r="AFH27" s="29"/>
      <c r="AFI27" s="29"/>
      <c r="AFJ27" s="29"/>
      <c r="AFK27" s="28"/>
      <c r="AFL27" s="29"/>
      <c r="AFM27" s="29"/>
      <c r="AFN27" s="28"/>
      <c r="AFO27" s="29"/>
      <c r="AFP27" s="30"/>
      <c r="AFQ27" s="28"/>
      <c r="AFR27" s="29"/>
      <c r="AFS27" s="29"/>
      <c r="AFT27" s="29"/>
      <c r="AFU27" s="28"/>
      <c r="AFV27" s="29"/>
      <c r="AFW27" s="29"/>
      <c r="AFX27" s="28"/>
      <c r="AFY27" s="29"/>
      <c r="AFZ27" s="30"/>
      <c r="AGA27" s="28"/>
      <c r="AGB27" s="29"/>
      <c r="AGC27" s="29"/>
      <c r="AGD27" s="29"/>
      <c r="AGE27" s="28"/>
      <c r="AGF27" s="29"/>
      <c r="AGG27" s="29"/>
      <c r="AGH27" s="28"/>
      <c r="AGI27" s="29"/>
      <c r="AGJ27" s="30"/>
      <c r="AGK27" s="28"/>
      <c r="AGL27" s="29"/>
      <c r="AGM27" s="29"/>
      <c r="AGN27" s="29"/>
      <c r="AGO27" s="28"/>
      <c r="AGP27" s="29"/>
      <c r="AGQ27" s="29"/>
      <c r="AGR27" s="28"/>
      <c r="AGS27" s="29"/>
      <c r="AGT27" s="30"/>
      <c r="AGU27" s="28"/>
      <c r="AGV27" s="29"/>
      <c r="AGW27" s="29"/>
      <c r="AGX27" s="29"/>
      <c r="AGY27" s="28"/>
      <c r="AGZ27" s="29"/>
      <c r="AHA27" s="29"/>
      <c r="AHB27" s="28"/>
      <c r="AHC27" s="29"/>
      <c r="AHD27" s="30"/>
      <c r="AHE27" s="28"/>
      <c r="AHF27" s="29"/>
      <c r="AHG27" s="29"/>
      <c r="AHH27" s="29"/>
      <c r="AHI27" s="28"/>
      <c r="AHJ27" s="29"/>
      <c r="AHK27" s="29"/>
      <c r="AHL27" s="28"/>
      <c r="AHM27" s="29"/>
      <c r="AHN27" s="30"/>
      <c r="AHO27" s="28"/>
      <c r="AHP27" s="29"/>
      <c r="AHQ27" s="29"/>
      <c r="AHR27" s="29"/>
      <c r="AHS27" s="28"/>
      <c r="AHT27" s="29"/>
      <c r="AHU27" s="29"/>
      <c r="AHV27" s="28"/>
      <c r="AHW27" s="29"/>
      <c r="AHX27" s="30"/>
      <c r="AHY27" s="28"/>
      <c r="AHZ27" s="29"/>
      <c r="AIA27" s="29"/>
      <c r="AIB27" s="29"/>
      <c r="AIC27" s="28"/>
      <c r="AID27" s="29"/>
      <c r="AIE27" s="29"/>
      <c r="AIF27" s="28"/>
      <c r="AIG27" s="29"/>
      <c r="AIH27" s="30"/>
      <c r="AII27" s="28"/>
      <c r="AIJ27" s="29"/>
      <c r="AIK27" s="29"/>
      <c r="AIL27" s="29"/>
      <c r="AIM27" s="28"/>
      <c r="AIN27" s="29"/>
      <c r="AIO27" s="29"/>
      <c r="AIP27" s="28"/>
      <c r="AIQ27" s="29"/>
      <c r="AIR27" s="30"/>
      <c r="AIS27" s="28"/>
      <c r="AIT27" s="29"/>
      <c r="AIU27" s="29"/>
      <c r="AIV27" s="29"/>
      <c r="AIW27" s="28"/>
      <c r="AIX27" s="29"/>
      <c r="AIY27" s="29"/>
      <c r="AIZ27" s="28"/>
      <c r="AJA27" s="29"/>
      <c r="AJB27" s="30"/>
      <c r="AJC27" s="28"/>
      <c r="AJD27" s="29"/>
      <c r="AJE27" s="29"/>
      <c r="AJF27" s="29"/>
      <c r="AJG27" s="28"/>
      <c r="AJH27" s="29"/>
      <c r="AJI27" s="29"/>
      <c r="AJJ27" s="28"/>
      <c r="AJK27" s="29"/>
      <c r="AJL27" s="30"/>
      <c r="AJM27" s="28"/>
      <c r="AJN27" s="29"/>
      <c r="AJO27" s="29"/>
      <c r="AJP27" s="29"/>
      <c r="AJQ27" s="28"/>
      <c r="AJR27" s="29"/>
      <c r="AJS27" s="29"/>
      <c r="AJT27" s="28"/>
      <c r="AJU27" s="29"/>
      <c r="AJV27" s="30"/>
      <c r="AJW27" s="28"/>
      <c r="AJX27" s="29"/>
      <c r="AJY27" s="29"/>
      <c r="AJZ27" s="29"/>
      <c r="AKA27" s="28"/>
      <c r="AKB27" s="29"/>
      <c r="AKC27" s="29"/>
      <c r="AKD27" s="28"/>
      <c r="AKE27" s="29"/>
      <c r="AKF27" s="30"/>
      <c r="AKG27" s="28"/>
      <c r="AKH27" s="29"/>
      <c r="AKI27" s="29"/>
      <c r="AKJ27" s="29"/>
      <c r="AKK27" s="28"/>
      <c r="AKL27" s="29"/>
      <c r="AKM27" s="29"/>
      <c r="AKN27" s="28"/>
      <c r="AKO27" s="29"/>
      <c r="AKP27" s="30"/>
      <c r="AKQ27" s="28"/>
      <c r="AKR27" s="29"/>
      <c r="AKS27" s="29"/>
      <c r="AKT27" s="29"/>
      <c r="AKU27" s="28"/>
      <c r="AKV27" s="29"/>
      <c r="AKW27" s="29"/>
      <c r="AKX27" s="28"/>
      <c r="AKY27" s="29"/>
      <c r="AKZ27" s="30"/>
      <c r="ALA27" s="28"/>
      <c r="ALB27" s="29"/>
      <c r="ALC27" s="29"/>
      <c r="ALD27" s="29"/>
      <c r="ALE27" s="28"/>
      <c r="ALF27" s="29"/>
      <c r="ALG27" s="29"/>
      <c r="ALH27" s="29"/>
      <c r="ALI27" s="29"/>
      <c r="ALJ27" s="29"/>
      <c r="ALK27" s="28"/>
      <c r="ALL27" s="29"/>
      <c r="ALM27" s="29"/>
      <c r="ALN27" s="28"/>
      <c r="ALO27" s="29"/>
      <c r="ALP27" s="30"/>
      <c r="ALQ27" s="28"/>
      <c r="ALR27" s="29"/>
      <c r="ALS27" s="29"/>
      <c r="ALT27" s="29"/>
      <c r="ALU27" s="28"/>
      <c r="ALV27" s="29"/>
      <c r="ALW27" s="29"/>
      <c r="ALX27" s="28"/>
      <c r="ALY27" s="29"/>
      <c r="ALZ27" s="30"/>
      <c r="AMA27" s="28"/>
      <c r="AMB27" s="29"/>
      <c r="AMC27" s="29"/>
      <c r="AMD27" s="29"/>
      <c r="AME27" s="28"/>
      <c r="AMF27" s="29"/>
      <c r="AMG27" s="29"/>
      <c r="AMH27" s="29"/>
      <c r="AMI27" s="29"/>
      <c r="AMJ27" s="29"/>
      <c r="AMK27" s="28"/>
      <c r="AML27" s="29"/>
      <c r="AMM27" s="29"/>
      <c r="AMN27" s="28"/>
      <c r="AMO27" s="29"/>
      <c r="AMP27" s="30"/>
      <c r="AMQ27" s="28"/>
      <c r="AMR27" s="29"/>
      <c r="AMS27" s="29"/>
      <c r="AMT27" s="29"/>
      <c r="AMU27" s="28"/>
      <c r="AMV27" s="29"/>
      <c r="AMW27" s="29"/>
      <c r="AMX27" s="28"/>
      <c r="AMY27" s="29"/>
      <c r="AMZ27" s="30"/>
      <c r="ANA27" s="28"/>
      <c r="ANB27" s="29"/>
      <c r="ANC27" s="29"/>
      <c r="AND27" s="29"/>
      <c r="ANE27" s="28"/>
      <c r="ANF27" s="29"/>
      <c r="ANG27" s="29"/>
      <c r="ANH27" s="29"/>
      <c r="ANI27" s="29"/>
      <c r="ANJ27" s="29"/>
      <c r="ANK27" s="28"/>
      <c r="ANL27" s="29"/>
      <c r="ANM27" s="29"/>
      <c r="ANN27" s="28"/>
      <c r="ANO27" s="29"/>
      <c r="ANP27" s="30"/>
      <c r="ANQ27" s="28"/>
      <c r="ANR27" s="29"/>
      <c r="ANS27" s="29"/>
      <c r="ANT27" s="29"/>
      <c r="ANU27" s="28"/>
      <c r="ANV27" s="29"/>
      <c r="ANW27" s="29"/>
      <c r="ANX27" s="28"/>
      <c r="ANY27" s="29"/>
      <c r="ANZ27" s="30"/>
      <c r="AOA27" s="28"/>
      <c r="AOB27" s="29"/>
      <c r="AOC27" s="29"/>
      <c r="AOD27" s="29"/>
      <c r="AOE27" s="28"/>
      <c r="AOF27" s="29"/>
      <c r="AOG27" s="29"/>
      <c r="AOH27" s="29"/>
      <c r="AOI27" s="29"/>
      <c r="AOJ27" s="29"/>
      <c r="AOK27" s="28"/>
      <c r="AOL27" s="29"/>
      <c r="AOM27" s="29"/>
      <c r="AON27" s="28"/>
      <c r="AOO27" s="29"/>
      <c r="AOP27" s="30"/>
      <c r="AOQ27" s="28"/>
      <c r="AOR27" s="29"/>
      <c r="AOS27" s="29"/>
      <c r="AOT27" s="29"/>
      <c r="AOU27" s="28"/>
      <c r="AOV27" s="29"/>
      <c r="AOW27" s="29"/>
      <c r="AOX27" s="28"/>
      <c r="AOY27" s="29"/>
      <c r="AOZ27" s="30"/>
      <c r="APA27" s="28"/>
      <c r="APB27" s="29"/>
      <c r="APC27" s="29"/>
      <c r="APD27" s="29"/>
      <c r="APE27" s="28"/>
      <c r="APF27" s="29"/>
      <c r="APG27" s="29"/>
      <c r="APH27" s="29"/>
      <c r="API27" s="29"/>
      <c r="APJ27" s="29"/>
      <c r="APK27" s="28"/>
      <c r="APL27" s="29"/>
      <c r="APM27" s="29"/>
      <c r="APN27" s="28"/>
      <c r="APO27" s="29"/>
      <c r="APP27" s="30"/>
      <c r="APQ27" s="28"/>
      <c r="APR27" s="29"/>
      <c r="APS27" s="29"/>
      <c r="APT27" s="29"/>
      <c r="APU27" s="28"/>
      <c r="APV27" s="29"/>
      <c r="APW27" s="29"/>
      <c r="APX27" s="28"/>
      <c r="APY27" s="29"/>
      <c r="APZ27" s="30"/>
      <c r="AQA27" s="28"/>
      <c r="AQB27" s="29"/>
      <c r="AQC27" s="29"/>
      <c r="AQD27" s="29"/>
      <c r="AQE27" s="28"/>
      <c r="AQF27" s="29"/>
      <c r="AQG27" s="29"/>
      <c r="AQH27" s="29"/>
      <c r="AQI27" s="29"/>
      <c r="AQJ27" s="29"/>
      <c r="AQK27" s="28"/>
      <c r="AQL27" s="29"/>
      <c r="AQM27" s="29"/>
      <c r="AQN27" s="28"/>
      <c r="AQO27" s="29"/>
      <c r="AQP27" s="30"/>
      <c r="AQQ27" s="28"/>
      <c r="AQR27" s="29"/>
      <c r="AQS27" s="29"/>
      <c r="AQT27" s="29"/>
      <c r="AQU27" s="28"/>
      <c r="AQV27" s="29"/>
      <c r="AQW27" s="29"/>
      <c r="AQX27" s="28"/>
      <c r="AQY27" s="29"/>
      <c r="AQZ27" s="30"/>
      <c r="ARA27" s="28"/>
      <c r="ARB27" s="29"/>
      <c r="ARC27" s="29"/>
      <c r="ARD27" s="29"/>
      <c r="ARE27" s="28"/>
      <c r="ARF27" s="29"/>
      <c r="ARG27" s="29"/>
      <c r="ARH27" s="29"/>
      <c r="ARI27" s="29"/>
      <c r="ARJ27" s="29"/>
      <c r="ARK27" s="28"/>
      <c r="ARL27" s="29"/>
      <c r="ARM27" s="29"/>
      <c r="ARN27" s="28"/>
      <c r="ARO27" s="29"/>
      <c r="ARP27" s="30"/>
      <c r="ARQ27" s="28"/>
      <c r="ARR27" s="29"/>
      <c r="ARS27" s="29"/>
      <c r="ART27" s="29"/>
      <c r="ARU27" s="28"/>
      <c r="ARV27" s="29"/>
      <c r="ARW27" s="29"/>
      <c r="ARX27" s="28"/>
      <c r="ARY27" s="29"/>
      <c r="ARZ27" s="30"/>
      <c r="ASA27" s="28"/>
      <c r="ASB27" s="29"/>
      <c r="ASC27" s="29"/>
      <c r="ASD27" s="29"/>
      <c r="ASE27" s="28"/>
      <c r="ASF27" s="29"/>
      <c r="ASG27" s="29"/>
      <c r="ASH27" s="29"/>
      <c r="ASI27" s="29"/>
      <c r="ASJ27" s="29"/>
      <c r="ASK27" s="28"/>
      <c r="ASL27" s="29"/>
      <c r="ASM27" s="29"/>
      <c r="ASN27" s="28"/>
      <c r="ASO27" s="29"/>
      <c r="ASP27" s="30"/>
      <c r="ASQ27" s="28"/>
      <c r="ASR27" s="29"/>
      <c r="ASS27" s="29"/>
      <c r="AST27" s="29"/>
      <c r="ASU27" s="28"/>
      <c r="ASV27" s="29"/>
      <c r="ASW27" s="29"/>
      <c r="ASX27" s="28"/>
      <c r="ASY27" s="29"/>
      <c r="ASZ27" s="30"/>
      <c r="ATA27" s="28"/>
      <c r="ATB27" s="29"/>
      <c r="ATC27" s="29"/>
      <c r="ATD27" s="29"/>
      <c r="ATE27" s="28"/>
      <c r="ATF27" s="29"/>
      <c r="ATG27" s="29"/>
      <c r="ATH27" s="29"/>
      <c r="ATI27" s="29"/>
      <c r="ATJ27" s="29"/>
      <c r="ATK27" s="28"/>
      <c r="ATL27" s="29"/>
      <c r="ATM27" s="29"/>
      <c r="ATN27" s="28"/>
      <c r="ATO27" s="29"/>
      <c r="ATP27" s="30"/>
      <c r="ATQ27" s="28"/>
      <c r="ATR27" s="29"/>
      <c r="ATS27" s="29"/>
      <c r="ATT27" s="29"/>
      <c r="ATU27" s="28"/>
      <c r="ATV27" s="29"/>
      <c r="ATW27" s="29"/>
      <c r="ATX27" s="28"/>
      <c r="ATY27" s="29"/>
      <c r="ATZ27" s="30"/>
      <c r="AUA27" s="28"/>
      <c r="AUB27" s="29"/>
      <c r="AUC27" s="29"/>
      <c r="AUD27" s="29"/>
      <c r="AUE27" s="28"/>
      <c r="AUF27" s="29"/>
      <c r="AUG27" s="29"/>
      <c r="AUH27" s="29"/>
      <c r="AUI27" s="29"/>
      <c r="AUJ27" s="29"/>
      <c r="AUK27" s="28"/>
      <c r="AUL27" s="29"/>
      <c r="AUM27" s="29"/>
      <c r="AUN27" s="28"/>
      <c r="AUO27" s="29"/>
      <c r="AUP27" s="30"/>
      <c r="AUQ27" s="28"/>
      <c r="AUR27" s="29"/>
      <c r="AUS27" s="29"/>
      <c r="AUT27" s="29"/>
      <c r="AUU27" s="28"/>
      <c r="AUV27" s="29"/>
      <c r="AUW27" s="29"/>
      <c r="AUX27" s="28"/>
      <c r="AUY27" s="29"/>
      <c r="AUZ27" s="30"/>
      <c r="AVA27" s="28"/>
      <c r="AVB27" s="29"/>
      <c r="AVC27" s="29"/>
      <c r="AVD27" s="29"/>
      <c r="AVE27" s="28"/>
      <c r="AVF27" s="29"/>
      <c r="AVG27" s="29"/>
      <c r="AVH27" s="29"/>
      <c r="AVI27" s="29"/>
      <c r="AVJ27" s="29"/>
      <c r="AVK27" s="28"/>
      <c r="AVL27" s="29"/>
      <c r="AVM27" s="29"/>
      <c r="AVN27" s="28"/>
      <c r="AVO27" s="29"/>
      <c r="AVP27" s="30"/>
      <c r="AVQ27" s="28"/>
      <c r="AVR27" s="29"/>
      <c r="AVS27" s="29"/>
      <c r="AVT27" s="29"/>
      <c r="AVU27" s="28"/>
      <c r="AVV27" s="29"/>
      <c r="AVW27" s="29"/>
      <c r="AVX27" s="28"/>
      <c r="AVY27" s="29"/>
      <c r="AVZ27" s="30"/>
      <c r="AWA27" s="28"/>
      <c r="AWB27" s="29"/>
      <c r="AWC27" s="29"/>
      <c r="AWD27" s="29"/>
      <c r="AWE27" s="28"/>
      <c r="AWF27" s="29"/>
      <c r="AWG27" s="29"/>
      <c r="AWH27" s="29"/>
      <c r="AWI27" s="29"/>
      <c r="AWJ27" s="29"/>
      <c r="AWK27" s="28"/>
      <c r="AWL27" s="29"/>
      <c r="AWM27" s="29"/>
      <c r="AWN27" s="28"/>
      <c r="AWO27" s="29"/>
      <c r="AWP27" s="30"/>
      <c r="AWQ27" s="28"/>
      <c r="AWR27" s="29"/>
      <c r="AWS27" s="29"/>
      <c r="AWT27" s="29"/>
      <c r="AWU27" s="28"/>
      <c r="AWV27" s="29"/>
      <c r="AWW27" s="29"/>
      <c r="AWX27" s="28"/>
      <c r="AWY27" s="29"/>
      <c r="AWZ27" s="30"/>
      <c r="AXA27" s="28"/>
      <c r="AXB27" s="29"/>
      <c r="AXC27" s="29"/>
      <c r="AXD27" s="29"/>
      <c r="AXE27" s="28"/>
      <c r="AXF27" s="29"/>
      <c r="AXG27" s="29"/>
      <c r="AXH27" s="29"/>
      <c r="AXI27" s="29"/>
      <c r="AXJ27" s="29"/>
      <c r="AXK27" s="28"/>
      <c r="AXL27" s="29"/>
      <c r="AXM27" s="29"/>
      <c r="AXN27" s="28"/>
      <c r="AXO27" s="29"/>
      <c r="AXP27" s="30"/>
      <c r="AXQ27" s="28"/>
      <c r="AXR27" s="29"/>
      <c r="AXS27" s="29"/>
      <c r="AXT27" s="29"/>
      <c r="AXU27" s="28"/>
      <c r="AXV27" s="29"/>
      <c r="AXW27" s="29"/>
      <c r="AXX27" s="28"/>
      <c r="AXY27" s="29"/>
      <c r="AXZ27" s="30"/>
      <c r="AYA27" s="28"/>
      <c r="AYB27" s="29"/>
      <c r="AYC27" s="29"/>
      <c r="AYD27" s="29"/>
      <c r="AYE27" s="28"/>
      <c r="AYF27" s="29"/>
      <c r="AYG27" s="29"/>
      <c r="AYH27" s="29"/>
      <c r="AYI27" s="29"/>
      <c r="AYJ27" s="29"/>
      <c r="AYK27" s="28"/>
      <c r="AYL27" s="29"/>
      <c r="AYM27" s="29"/>
      <c r="AYN27" s="28"/>
      <c r="AYO27" s="29"/>
      <c r="AYP27" s="30"/>
      <c r="AYQ27" s="28"/>
      <c r="AYR27" s="29"/>
      <c r="AYS27" s="29"/>
      <c r="AYT27" s="29"/>
      <c r="AYU27" s="28"/>
      <c r="AYV27" s="29"/>
      <c r="AYW27" s="29"/>
      <c r="AYX27" s="28"/>
      <c r="AYY27" s="29"/>
      <c r="AYZ27" s="30"/>
      <c r="AZA27" s="28"/>
      <c r="AZB27" s="29"/>
      <c r="AZC27" s="29"/>
      <c r="AZD27" s="29"/>
      <c r="AZE27" s="28"/>
      <c r="AZF27" s="29"/>
      <c r="AZG27" s="29"/>
      <c r="AZH27" s="29"/>
      <c r="AZI27" s="29"/>
      <c r="AZJ27" s="29"/>
      <c r="AZK27" s="28"/>
      <c r="AZL27" s="29"/>
      <c r="AZM27" s="29"/>
      <c r="AZN27" s="28"/>
      <c r="AZO27" s="29"/>
      <c r="AZP27" s="30"/>
      <c r="AZQ27" s="28"/>
      <c r="AZR27" s="29"/>
      <c r="AZS27" s="29"/>
      <c r="AZT27" s="29"/>
      <c r="AZU27" s="28"/>
      <c r="AZV27" s="29"/>
      <c r="AZW27" s="29"/>
      <c r="AZX27" s="28"/>
      <c r="AZY27" s="29"/>
      <c r="AZZ27" s="30"/>
      <c r="BAA27" s="28"/>
      <c r="BAB27" s="29"/>
      <c r="BAC27" s="29"/>
      <c r="BAD27" s="29"/>
      <c r="BAE27" s="28"/>
      <c r="BAF27" s="29"/>
      <c r="BAG27" s="29"/>
      <c r="BAH27" s="29"/>
      <c r="BAI27" s="29"/>
      <c r="BAJ27" s="29"/>
      <c r="BAK27" s="28"/>
      <c r="BAL27" s="29"/>
      <c r="BAM27" s="29"/>
      <c r="BAN27" s="28"/>
      <c r="BAO27" s="29"/>
      <c r="BAP27" s="30"/>
      <c r="BAQ27" s="28"/>
      <c r="BAR27" s="29"/>
      <c r="BAS27" s="29"/>
      <c r="BAT27" s="29"/>
      <c r="BAU27" s="28"/>
      <c r="BAV27" s="29"/>
      <c r="BAW27" s="29"/>
      <c r="BAX27" s="28"/>
      <c r="BAY27" s="29"/>
      <c r="BAZ27" s="30"/>
      <c r="BBA27" s="28"/>
      <c r="BBB27" s="29"/>
      <c r="BBC27" s="29"/>
      <c r="BBD27" s="29"/>
      <c r="BBE27" s="28"/>
      <c r="BBF27" s="29"/>
      <c r="BBG27" s="29"/>
      <c r="BBH27" s="29"/>
      <c r="BBI27" s="29"/>
      <c r="BBJ27" s="29"/>
      <c r="BBK27" s="28"/>
      <c r="BBL27" s="29"/>
      <c r="BBM27" s="29"/>
      <c r="BBN27" s="28"/>
      <c r="BBO27" s="29"/>
      <c r="BBP27" s="30"/>
      <c r="BBQ27" s="28"/>
      <c r="BBR27" s="29"/>
      <c r="BBS27" s="29"/>
      <c r="BBT27" s="29"/>
      <c r="BBU27" s="28"/>
      <c r="BBV27" s="29"/>
      <c r="BBW27" s="29"/>
      <c r="BBX27" s="28"/>
      <c r="BBY27" s="29"/>
      <c r="BBZ27" s="30"/>
      <c r="BCA27" s="28"/>
      <c r="BCB27" s="29"/>
      <c r="BCC27" s="29"/>
      <c r="BCD27" s="29"/>
      <c r="BCE27" s="28"/>
      <c r="BCF27" s="29"/>
      <c r="BCG27" s="29"/>
      <c r="BCH27" s="29"/>
      <c r="BCI27" s="29"/>
      <c r="BCJ27" s="29"/>
      <c r="BCK27" s="28"/>
      <c r="BCL27" s="29"/>
      <c r="BCM27" s="29"/>
      <c r="BCN27" s="28"/>
      <c r="BCO27" s="29"/>
      <c r="BCP27" s="30"/>
      <c r="BCQ27" s="28"/>
      <c r="BCR27" s="29"/>
      <c r="BCS27" s="29"/>
      <c r="BCT27" s="29"/>
      <c r="BCU27" s="28"/>
      <c r="BCV27" s="29"/>
      <c r="BCW27" s="29"/>
      <c r="BCX27" s="28"/>
      <c r="BCY27" s="29"/>
      <c r="BCZ27" s="30"/>
      <c r="BDA27" s="28"/>
      <c r="BDB27" s="29"/>
      <c r="BDC27" s="29"/>
      <c r="BDD27" s="29"/>
      <c r="BDE27" s="28"/>
      <c r="BDF27" s="29"/>
      <c r="BDG27" s="29"/>
      <c r="BDH27" s="29"/>
      <c r="BDI27" s="29"/>
      <c r="BDJ27" s="29"/>
      <c r="BDK27" s="28"/>
      <c r="BDL27" s="29"/>
      <c r="BDM27" s="29"/>
      <c r="BDN27" s="28"/>
      <c r="BDO27" s="29"/>
      <c r="BDP27" s="30"/>
      <c r="BDQ27" s="28"/>
      <c r="BDR27" s="29"/>
      <c r="BDS27" s="29"/>
      <c r="BDT27" s="29"/>
      <c r="BDU27" s="28"/>
      <c r="BDV27" s="29"/>
      <c r="BDW27" s="29"/>
      <c r="BDX27" s="28"/>
      <c r="BDY27" s="29"/>
      <c r="BDZ27" s="30"/>
      <c r="BEA27" s="28"/>
      <c r="BEB27" s="29"/>
      <c r="BEC27" s="29"/>
      <c r="BED27" s="29"/>
      <c r="BEE27" s="28"/>
      <c r="BEF27" s="29"/>
      <c r="BEG27" s="29"/>
      <c r="BEH27" s="29"/>
      <c r="BEI27" s="29"/>
      <c r="BEJ27" s="29"/>
      <c r="BEK27" s="28"/>
      <c r="BEL27" s="29"/>
      <c r="BEM27" s="29"/>
      <c r="BEN27" s="28"/>
      <c r="BEO27" s="29"/>
      <c r="BEP27" s="30"/>
      <c r="BEQ27" s="28"/>
      <c r="BER27" s="29"/>
      <c r="BES27" s="29"/>
      <c r="BET27" s="29"/>
      <c r="BEU27" s="28"/>
      <c r="BEV27" s="29"/>
      <c r="BEW27" s="29"/>
      <c r="BEX27" s="28"/>
      <c r="BEY27" s="29"/>
      <c r="BEZ27" s="30"/>
      <c r="BFA27" s="28"/>
      <c r="BFB27" s="29"/>
      <c r="BFC27" s="29"/>
      <c r="BFD27" s="29"/>
      <c r="BFE27" s="28"/>
      <c r="BFF27" s="29"/>
      <c r="BFG27" s="29"/>
      <c r="BFH27" s="29"/>
      <c r="BFI27" s="29"/>
      <c r="BFJ27" s="29"/>
      <c r="BFK27" s="28"/>
      <c r="BFL27" s="29"/>
      <c r="BFM27" s="29"/>
      <c r="BFN27" s="28"/>
      <c r="BFO27" s="29"/>
      <c r="BFP27" s="30"/>
      <c r="BFQ27" s="28"/>
      <c r="BFR27" s="29"/>
      <c r="BFS27" s="29"/>
      <c r="BFT27" s="29"/>
      <c r="BFU27" s="28"/>
      <c r="BFV27" s="29"/>
      <c r="BFW27" s="29"/>
      <c r="BFX27" s="28"/>
      <c r="BFY27" s="29"/>
      <c r="BFZ27" s="30"/>
      <c r="BGA27" s="28"/>
      <c r="BGB27" s="29"/>
      <c r="BGC27" s="29"/>
      <c r="BGD27" s="29"/>
      <c r="BGE27" s="28"/>
      <c r="BGF27" s="29"/>
      <c r="BGG27" s="29"/>
      <c r="BGH27" s="29"/>
      <c r="BGI27" s="29"/>
      <c r="BGJ27" s="29"/>
      <c r="BGK27" s="28"/>
      <c r="BGL27" s="29"/>
      <c r="BGM27" s="29"/>
      <c r="BGN27" s="28"/>
      <c r="BGO27" s="29"/>
      <c r="BGP27" s="30"/>
      <c r="BGQ27" s="28"/>
      <c r="BGR27" s="29"/>
      <c r="BGS27" s="29"/>
      <c r="BGT27" s="29"/>
      <c r="BGU27" s="28"/>
      <c r="BGV27" s="29"/>
      <c r="BGW27" s="29"/>
      <c r="BGX27" s="28"/>
      <c r="BGY27" s="29"/>
      <c r="BGZ27" s="30"/>
      <c r="BHA27" s="28"/>
      <c r="BHB27" s="29"/>
      <c r="BHC27" s="29"/>
      <c r="BHD27" s="29"/>
      <c r="BHE27" s="28"/>
      <c r="BHF27" s="29"/>
      <c r="BHG27" s="29"/>
      <c r="BHH27" s="29"/>
      <c r="BHI27" s="29"/>
      <c r="BHJ27" s="29"/>
      <c r="BHK27" s="28"/>
      <c r="BHL27" s="29"/>
      <c r="BHM27" s="29"/>
      <c r="BHN27" s="28"/>
      <c r="BHO27" s="29"/>
      <c r="BHP27" s="30"/>
      <c r="BHQ27" s="28"/>
      <c r="BHR27" s="29"/>
      <c r="BHS27" s="29"/>
      <c r="BHT27" s="29"/>
      <c r="BHU27" s="28"/>
      <c r="BHV27" s="29"/>
      <c r="BHW27" s="29"/>
      <c r="BHX27" s="28"/>
      <c r="BHY27" s="29"/>
      <c r="BHZ27" s="30"/>
      <c r="BIA27" s="28"/>
      <c r="BIB27" s="29"/>
      <c r="BIC27" s="29"/>
      <c r="BID27" s="29"/>
      <c r="BIE27" s="28"/>
      <c r="BIF27" s="29"/>
      <c r="BIG27" s="29"/>
      <c r="BIH27" s="29"/>
      <c r="BII27" s="29"/>
      <c r="BIJ27" s="29"/>
      <c r="BIK27" s="28"/>
      <c r="BIL27" s="29"/>
      <c r="BIM27" s="29"/>
      <c r="BIN27" s="28"/>
      <c r="BIO27" s="29"/>
      <c r="BIP27" s="30"/>
      <c r="BIQ27" s="28"/>
      <c r="BIR27" s="29"/>
      <c r="BIS27" s="29"/>
      <c r="BIT27" s="29"/>
      <c r="BIU27" s="28"/>
      <c r="BIV27" s="29"/>
      <c r="BIW27" s="29"/>
      <c r="BIX27" s="28"/>
      <c r="BIY27" s="29"/>
      <c r="BIZ27" s="30"/>
      <c r="BJA27" s="28"/>
      <c r="BJB27" s="29"/>
      <c r="BJC27" s="29"/>
      <c r="BJD27" s="29"/>
      <c r="BJE27" s="28"/>
      <c r="BJF27" s="29"/>
      <c r="BJG27" s="29"/>
      <c r="BJH27" s="29"/>
      <c r="BJI27" s="29"/>
      <c r="BJJ27" s="29"/>
      <c r="BJK27" s="28"/>
      <c r="BJL27" s="29"/>
      <c r="BJM27" s="29"/>
      <c r="BJN27" s="28"/>
      <c r="BJO27" s="29"/>
      <c r="BJP27" s="30"/>
      <c r="BJQ27" s="28"/>
      <c r="BJR27" s="29"/>
      <c r="BJS27" s="29"/>
      <c r="BJT27" s="29"/>
      <c r="BJU27" s="28"/>
      <c r="BJV27" s="29"/>
      <c r="BJW27" s="29"/>
      <c r="BJX27" s="28"/>
      <c r="BJY27" s="29"/>
      <c r="BJZ27" s="30"/>
      <c r="BKA27" s="28"/>
      <c r="BKB27" s="29"/>
      <c r="BKC27" s="29"/>
      <c r="BKD27" s="29"/>
      <c r="BKE27" s="28"/>
      <c r="BKF27" s="29"/>
      <c r="BKG27" s="29"/>
      <c r="BKH27" s="29"/>
      <c r="BKI27" s="29"/>
      <c r="BKJ27" s="29"/>
      <c r="BKK27" s="28"/>
      <c r="BKL27" s="29"/>
      <c r="BKM27" s="29"/>
      <c r="BKN27" s="28"/>
      <c r="BKO27" s="29"/>
      <c r="BKP27" s="30"/>
      <c r="BKQ27" s="28"/>
      <c r="BKR27" s="29"/>
      <c r="BKS27" s="29"/>
      <c r="BKT27" s="29"/>
      <c r="BKU27" s="28"/>
      <c r="BKV27" s="29"/>
      <c r="BKW27" s="29"/>
      <c r="BKX27" s="28"/>
      <c r="BKY27" s="29"/>
      <c r="BKZ27" s="30"/>
      <c r="BLA27" s="28"/>
      <c r="BLB27" s="29"/>
      <c r="BLC27" s="29"/>
      <c r="BLD27" s="29"/>
      <c r="BLE27" s="28"/>
      <c r="BLF27" s="29"/>
      <c r="BLG27" s="29"/>
      <c r="BLH27" s="29"/>
      <c r="BLI27" s="29"/>
      <c r="BLJ27" s="29"/>
      <c r="BLK27" s="28"/>
      <c r="BLL27" s="29"/>
      <c r="BLM27" s="29"/>
      <c r="BLN27" s="28"/>
      <c r="BLO27" s="29"/>
      <c r="BLP27" s="30"/>
      <c r="BLQ27" s="28"/>
      <c r="BLR27" s="29"/>
      <c r="BLS27" s="29"/>
      <c r="BLT27" s="29"/>
      <c r="BLU27" s="28"/>
      <c r="BLV27" s="29"/>
      <c r="BLW27" s="29"/>
      <c r="BLX27" s="28"/>
      <c r="BLY27" s="29"/>
      <c r="BLZ27" s="30"/>
      <c r="BMA27" s="28"/>
      <c r="BMB27" s="29"/>
      <c r="BMC27" s="29"/>
      <c r="BMD27" s="29"/>
      <c r="BME27" s="28"/>
      <c r="BMF27" s="29"/>
      <c r="BMG27" s="29"/>
      <c r="BMH27" s="29"/>
      <c r="BMI27" s="29"/>
      <c r="BMJ27" s="29"/>
      <c r="BMK27" s="28"/>
      <c r="BML27" s="29"/>
      <c r="BMM27" s="29"/>
      <c r="BMN27" s="28"/>
      <c r="BMO27" s="29"/>
      <c r="BMP27" s="30"/>
      <c r="BMQ27" s="28"/>
      <c r="BMR27" s="29"/>
      <c r="BMS27" s="29"/>
      <c r="BMT27" s="29"/>
      <c r="BMU27" s="28"/>
      <c r="BMV27" s="29"/>
      <c r="BMW27" s="29"/>
      <c r="BMX27" s="28"/>
      <c r="BMY27" s="29"/>
      <c r="BMZ27" s="30"/>
      <c r="BNA27" s="28"/>
      <c r="BNB27" s="29"/>
      <c r="BNC27" s="29"/>
      <c r="BND27" s="29"/>
      <c r="BNE27" s="28"/>
      <c r="BNF27" s="29"/>
      <c r="BNG27" s="29"/>
      <c r="BNH27" s="29"/>
      <c r="BNI27" s="29"/>
      <c r="BNJ27" s="29"/>
      <c r="BNK27" s="28"/>
      <c r="BNL27" s="29"/>
      <c r="BNM27" s="29"/>
      <c r="BNN27" s="28"/>
      <c r="BNO27" s="29"/>
      <c r="BNP27" s="30"/>
      <c r="BNQ27" s="28"/>
      <c r="BNR27" s="29"/>
      <c r="BNS27" s="29"/>
      <c r="BNT27" s="29"/>
      <c r="BNU27" s="28"/>
      <c r="BNV27" s="29"/>
      <c r="BNW27" s="29"/>
      <c r="BNX27" s="28"/>
      <c r="BNY27" s="29"/>
      <c r="BNZ27" s="30"/>
      <c r="BOA27" s="28"/>
      <c r="BOB27" s="29"/>
      <c r="BOC27" s="29"/>
      <c r="BOD27" s="29"/>
      <c r="BOE27" s="28"/>
      <c r="BOF27" s="29"/>
      <c r="BOG27" s="29"/>
      <c r="BOH27" s="29"/>
      <c r="BOI27" s="29"/>
      <c r="BOJ27" s="29"/>
      <c r="BOK27" s="28"/>
      <c r="BOL27" s="29"/>
      <c r="BOM27" s="29"/>
      <c r="BON27" s="28"/>
      <c r="BOO27" s="29"/>
      <c r="BOP27" s="30"/>
      <c r="BOQ27" s="28"/>
      <c r="BOR27" s="29"/>
      <c r="BOS27" s="29"/>
      <c r="BOT27" s="29"/>
      <c r="BOU27" s="28"/>
      <c r="BOV27" s="29"/>
      <c r="BOW27" s="29"/>
      <c r="BOX27" s="28"/>
      <c r="BOY27" s="29"/>
      <c r="BOZ27" s="30"/>
      <c r="BPA27" s="28"/>
      <c r="BPB27" s="29"/>
      <c r="BPC27" s="29"/>
      <c r="BPD27" s="29"/>
      <c r="BPE27" s="28"/>
      <c r="BPF27" s="29"/>
      <c r="BPG27" s="29"/>
      <c r="BPH27" s="29"/>
      <c r="BPI27" s="29"/>
      <c r="BPJ27" s="29"/>
      <c r="BPK27" s="28"/>
      <c r="BPL27" s="29"/>
      <c r="BPM27" s="29"/>
      <c r="BPN27" s="28"/>
      <c r="BPO27" s="29"/>
      <c r="BPP27" s="30"/>
      <c r="BPQ27" s="28"/>
      <c r="BPR27" s="29"/>
      <c r="BPS27" s="29"/>
      <c r="BPT27" s="29"/>
      <c r="BPU27" s="28"/>
      <c r="BPV27" s="29"/>
      <c r="BPW27" s="29"/>
      <c r="BPX27" s="28"/>
      <c r="BPY27" s="29"/>
      <c r="BPZ27" s="30"/>
      <c r="BQA27" s="28"/>
      <c r="BQB27" s="29"/>
      <c r="BQC27" s="29"/>
      <c r="BQD27" s="29"/>
      <c r="BQE27" s="28"/>
      <c r="BQF27" s="29"/>
      <c r="BQG27" s="29"/>
      <c r="BQH27" s="29"/>
      <c r="BQI27" s="29"/>
      <c r="BQJ27" s="29"/>
      <c r="BQK27" s="28"/>
      <c r="BQL27" s="29"/>
      <c r="BQM27" s="29"/>
      <c r="BQN27" s="28"/>
      <c r="BQO27" s="29"/>
      <c r="BQP27" s="30"/>
      <c r="BQQ27" s="28"/>
      <c r="BQR27" s="29"/>
      <c r="BQS27" s="29"/>
      <c r="BQT27" s="29"/>
      <c r="BQU27" s="28"/>
      <c r="BQV27" s="29"/>
      <c r="BQW27" s="29"/>
      <c r="BQX27" s="28"/>
      <c r="BQY27" s="29"/>
      <c r="BQZ27" s="30"/>
      <c r="BRA27" s="28"/>
      <c r="BRB27" s="29"/>
      <c r="BRC27" s="29"/>
      <c r="BRD27" s="29"/>
      <c r="BRE27" s="28"/>
      <c r="BRF27" s="29"/>
      <c r="BRG27" s="29"/>
      <c r="BRH27" s="29"/>
      <c r="BRI27" s="29"/>
      <c r="BRJ27" s="29"/>
      <c r="BRK27" s="28"/>
      <c r="BRL27" s="29"/>
      <c r="BRM27" s="29"/>
      <c r="BRN27" s="28"/>
      <c r="BRO27" s="29"/>
      <c r="BRP27" s="30"/>
      <c r="BRQ27" s="28"/>
      <c r="BRR27" s="29"/>
      <c r="BRS27" s="29"/>
      <c r="BRT27" s="29"/>
      <c r="BRU27" s="28"/>
      <c r="BRV27" s="29"/>
      <c r="BRW27" s="29"/>
      <c r="BRX27" s="28"/>
      <c r="BRY27" s="29"/>
      <c r="BRZ27" s="30"/>
      <c r="BSA27" s="28"/>
      <c r="BSB27" s="29"/>
      <c r="BSC27" s="29"/>
      <c r="BSD27" s="29"/>
      <c r="BSE27" s="28"/>
      <c r="BSF27" s="29"/>
      <c r="BSG27" s="29"/>
      <c r="BSH27" s="29"/>
      <c r="BSI27" s="29"/>
      <c r="BSJ27" s="29"/>
      <c r="BSK27" s="28"/>
      <c r="BSL27" s="29"/>
      <c r="BSM27" s="29"/>
      <c r="BSN27" s="28"/>
      <c r="BSO27" s="29"/>
      <c r="BSP27" s="30"/>
      <c r="BSQ27" s="28"/>
      <c r="BSR27" s="29"/>
      <c r="BSS27" s="29"/>
      <c r="BST27" s="29"/>
      <c r="BSU27" s="28"/>
      <c r="BSV27" s="29"/>
      <c r="BSW27" s="29"/>
      <c r="BSX27" s="28"/>
      <c r="BSY27" s="29"/>
      <c r="BSZ27" s="30"/>
      <c r="BTA27" s="28"/>
      <c r="BTB27" s="29"/>
      <c r="BTC27" s="29"/>
      <c r="BTD27" s="29"/>
      <c r="BTE27" s="28"/>
      <c r="BTF27" s="29"/>
      <c r="BTG27" s="29"/>
      <c r="BTH27" s="29"/>
      <c r="BTI27" s="29"/>
      <c r="BTJ27" s="29"/>
      <c r="BTK27" s="28"/>
      <c r="BTL27" s="29"/>
      <c r="BTM27" s="29"/>
      <c r="BTN27" s="28"/>
      <c r="BTO27" s="29"/>
      <c r="BTP27" s="30"/>
      <c r="BTQ27" s="28"/>
      <c r="BTR27" s="29"/>
      <c r="BTS27" s="29"/>
      <c r="BTT27" s="29"/>
      <c r="BTU27" s="28"/>
      <c r="BTV27" s="29"/>
      <c r="BTW27" s="29"/>
      <c r="BTX27" s="28"/>
      <c r="BTY27" s="29"/>
      <c r="BTZ27" s="30"/>
      <c r="BUA27" s="28"/>
      <c r="BUB27" s="29"/>
      <c r="BUC27" s="29"/>
      <c r="BUD27" s="29"/>
      <c r="BUE27" s="28"/>
      <c r="BUF27" s="29"/>
      <c r="BUG27" s="29"/>
      <c r="BUH27" s="29"/>
      <c r="BUI27" s="29"/>
      <c r="BUJ27" s="29"/>
      <c r="BUK27" s="28"/>
      <c r="BUL27" s="29"/>
      <c r="BUM27" s="29"/>
      <c r="BUN27" s="28"/>
      <c r="BUO27" s="29"/>
      <c r="BUP27" s="30"/>
      <c r="BUQ27" s="28"/>
      <c r="BUR27" s="29"/>
      <c r="BUS27" s="29"/>
      <c r="BUT27" s="29"/>
      <c r="BUU27" s="28"/>
      <c r="BUV27" s="29"/>
      <c r="BUW27" s="29"/>
      <c r="BUX27" s="28"/>
      <c r="BUY27" s="29"/>
      <c r="BUZ27" s="30"/>
      <c r="BVA27" s="28"/>
      <c r="BVB27" s="29"/>
      <c r="BVC27" s="29"/>
      <c r="BVD27" s="29"/>
      <c r="BVE27" s="28"/>
      <c r="BVF27" s="29"/>
      <c r="BVG27" s="29"/>
      <c r="BVH27" s="29"/>
      <c r="BVI27" s="29"/>
      <c r="BVJ27" s="29"/>
      <c r="BVK27" s="28"/>
      <c r="BVL27" s="29"/>
      <c r="BVM27" s="29"/>
      <c r="BVN27" s="28"/>
      <c r="BVO27" s="29"/>
      <c r="BVP27" s="30"/>
      <c r="BVQ27" s="28"/>
      <c r="BVR27" s="29"/>
      <c r="BVS27" s="29"/>
      <c r="BVT27" s="29"/>
      <c r="BVU27" s="28"/>
      <c r="BVV27" s="29"/>
      <c r="BVW27" s="29"/>
      <c r="BVX27" s="28"/>
      <c r="BVY27" s="29"/>
      <c r="BVZ27" s="30"/>
      <c r="BWA27" s="28"/>
      <c r="BWB27" s="29"/>
      <c r="BWC27" s="29"/>
      <c r="BWD27" s="29"/>
      <c r="BWE27" s="28"/>
      <c r="BWF27" s="29"/>
      <c r="BWG27" s="29"/>
      <c r="BWH27" s="29"/>
      <c r="BWI27" s="29"/>
      <c r="BWJ27" s="29"/>
      <c r="BWK27" s="28"/>
      <c r="BWL27" s="29"/>
      <c r="BWM27" s="29"/>
      <c r="BWN27" s="28"/>
      <c r="BWO27" s="29"/>
      <c r="BWP27" s="30"/>
      <c r="BWQ27" s="28"/>
      <c r="BWR27" s="29"/>
      <c r="BWS27" s="29"/>
      <c r="BWT27" s="29"/>
      <c r="BWU27" s="28"/>
      <c r="BWV27" s="29"/>
      <c r="BWW27" s="29"/>
      <c r="BWX27" s="28"/>
      <c r="BWY27" s="29"/>
      <c r="BWZ27" s="30"/>
      <c r="BXA27" s="28"/>
      <c r="BXB27" s="29"/>
      <c r="BXC27" s="29"/>
      <c r="BXD27" s="29"/>
      <c r="BXE27" s="28"/>
      <c r="BXF27" s="29"/>
      <c r="BXG27" s="29"/>
      <c r="BXH27" s="29"/>
      <c r="BXI27" s="29"/>
      <c r="BXJ27" s="29"/>
      <c r="BXK27" s="28"/>
      <c r="BXL27" s="29"/>
      <c r="BXM27" s="29"/>
      <c r="BXN27" s="28"/>
      <c r="BXO27" s="29"/>
      <c r="BXP27" s="30"/>
      <c r="BXQ27" s="28"/>
      <c r="BXR27" s="29"/>
      <c r="BXS27" s="29"/>
      <c r="BXT27" s="29"/>
      <c r="BXU27" s="28"/>
      <c r="BXV27" s="29"/>
      <c r="BXW27" s="29"/>
      <c r="BXX27" s="28"/>
      <c r="BXY27" s="29"/>
      <c r="BXZ27" s="30"/>
      <c r="BYA27" s="28"/>
      <c r="BYB27" s="29"/>
      <c r="BYC27" s="29"/>
      <c r="BYD27" s="29"/>
      <c r="BYE27" s="28"/>
      <c r="BYF27" s="29"/>
      <c r="BYG27" s="29"/>
      <c r="BYH27" s="29"/>
      <c r="BYI27" s="29"/>
      <c r="BYJ27" s="29"/>
      <c r="BYK27" s="28"/>
      <c r="BYL27" s="29"/>
      <c r="BYM27" s="29"/>
      <c r="BYN27" s="28"/>
      <c r="BYO27" s="29"/>
      <c r="BYP27" s="30"/>
      <c r="BYQ27" s="28"/>
      <c r="BYR27" s="29"/>
      <c r="BYS27" s="29"/>
      <c r="BYT27" s="29"/>
      <c r="BYU27" s="28"/>
      <c r="BYV27" s="29"/>
      <c r="BYW27" s="29"/>
      <c r="BYX27" s="30"/>
      <c r="BYY27" s="29"/>
      <c r="BYZ27" s="28"/>
      <c r="BZA27" s="29"/>
      <c r="BZB27" s="28"/>
      <c r="BZC27" s="28"/>
      <c r="BZD27" s="28"/>
      <c r="BZE27" s="29"/>
      <c r="BZF27" s="385"/>
      <c r="BZG27" s="29"/>
      <c r="BZH27" s="385"/>
      <c r="BZI27" s="29"/>
      <c r="BZJ27" s="385"/>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30"/>
      <c r="CAQ27" s="28"/>
      <c r="CAR27" s="29"/>
      <c r="CAS27" s="30"/>
      <c r="CAT27" s="29"/>
      <c r="CAU27" s="29"/>
      <c r="CAV27" s="29"/>
      <c r="CAW27" s="28"/>
      <c r="CAX27" s="29"/>
      <c r="CAY27" s="29"/>
      <c r="CAZ27" s="28"/>
      <c r="CBA27" s="29"/>
      <c r="CBB27" s="30"/>
      <c r="CBC27" s="28"/>
      <c r="CBD27" s="29"/>
      <c r="CBE27" s="30"/>
      <c r="CBF27" s="29"/>
      <c r="CBG27" s="28"/>
      <c r="CBH27" s="29"/>
      <c r="CBI27" s="29"/>
      <c r="CBJ27" s="28"/>
      <c r="CBK27" s="29"/>
      <c r="CBL27" s="30"/>
      <c r="CBM27" s="28"/>
      <c r="CBN27" s="29"/>
      <c r="CBO27" s="30"/>
      <c r="CBP27" s="29"/>
      <c r="CBQ27" s="28"/>
      <c r="CBR27" s="29"/>
      <c r="CBS27" s="29"/>
      <c r="CBT27" s="28"/>
      <c r="CBU27" s="29"/>
      <c r="CBV27" s="30"/>
      <c r="CBW27" s="28"/>
      <c r="CBX27" s="29"/>
      <c r="CBY27" s="30"/>
      <c r="CBZ27" s="29"/>
      <c r="CCA27" s="28"/>
      <c r="CCB27" s="29"/>
      <c r="CCC27" s="29"/>
      <c r="CCD27" s="28"/>
      <c r="CCE27" s="29"/>
      <c r="CCF27" s="30"/>
      <c r="CCG27" s="28"/>
      <c r="CCH27" s="30"/>
      <c r="CCI27" s="29"/>
      <c r="CCJ27" s="28"/>
      <c r="CCK27" s="29"/>
      <c r="CCL27" s="28"/>
      <c r="CCM27" s="28"/>
      <c r="CCN27" s="28"/>
      <c r="CCO27" s="29"/>
      <c r="CCP27" s="385"/>
      <c r="CCQ27" s="29"/>
      <c r="CCR27" s="385"/>
      <c r="CCS27" s="29"/>
      <c r="CCT27" s="385"/>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30"/>
      <c r="CEA27" s="28"/>
      <c r="CEB27" s="29"/>
      <c r="CEC27" s="30"/>
      <c r="CED27" s="29"/>
      <c r="CEE27" s="29"/>
      <c r="CEF27" s="29"/>
      <c r="CEG27" s="28"/>
      <c r="CEH27" s="29"/>
      <c r="CEI27" s="29"/>
      <c r="CEJ27" s="28"/>
      <c r="CEK27" s="29"/>
      <c r="CEL27" s="30"/>
      <c r="CEM27" s="28"/>
      <c r="CEN27" s="29"/>
      <c r="CEO27" s="30"/>
      <c r="CEP27" s="29"/>
      <c r="CEQ27" s="28"/>
      <c r="CER27" s="29"/>
      <c r="CES27" s="29"/>
      <c r="CET27" s="28"/>
      <c r="CEU27" s="29"/>
      <c r="CEV27" s="30"/>
      <c r="CEW27" s="28"/>
      <c r="CEX27" s="29"/>
      <c r="CEY27" s="30"/>
      <c r="CEZ27" s="29"/>
      <c r="CFA27" s="28"/>
      <c r="CFB27" s="29"/>
      <c r="CFC27" s="29"/>
      <c r="CFD27" s="28"/>
      <c r="CFE27" s="29"/>
      <c r="CFF27" s="30"/>
      <c r="CFG27" s="28"/>
      <c r="CFH27" s="29"/>
      <c r="CFI27" s="30"/>
      <c r="CFJ27" s="29"/>
      <c r="CFK27" s="28"/>
      <c r="CFL27" s="29"/>
      <c r="CFM27" s="29"/>
      <c r="CFN27" s="28"/>
      <c r="CFO27" s="29"/>
      <c r="CFP27" s="30"/>
      <c r="CFQ27" s="28"/>
      <c r="CFR27" s="30"/>
      <c r="CFS27" s="29"/>
      <c r="CFT27" s="28"/>
      <c r="CFU27" s="29"/>
      <c r="CFV27" s="28"/>
      <c r="CFW27" s="28"/>
      <c r="CFX27" s="28"/>
      <c r="CFY27" s="29"/>
      <c r="CFZ27" s="385"/>
      <c r="CGA27" s="29"/>
      <c r="CGB27" s="385"/>
      <c r="CGC27" s="29"/>
      <c r="CGD27" s="385"/>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30"/>
      <c r="CHK27" s="28"/>
      <c r="CHL27" s="29"/>
      <c r="CHM27" s="30"/>
      <c r="CHN27" s="29"/>
      <c r="CHO27" s="29"/>
      <c r="CHP27" s="29"/>
      <c r="CHQ27" s="28"/>
      <c r="CHR27" s="29"/>
      <c r="CHS27" s="29"/>
      <c r="CHT27" s="28"/>
      <c r="CHU27" s="29"/>
      <c r="CHV27" s="30"/>
      <c r="CHW27" s="28"/>
      <c r="CHX27" s="29"/>
      <c r="CHY27" s="30"/>
      <c r="CHZ27" s="29"/>
      <c r="CIA27" s="28"/>
      <c r="CIB27" s="29"/>
      <c r="CIC27" s="29"/>
      <c r="CID27" s="28"/>
      <c r="CIE27" s="29"/>
      <c r="CIF27" s="30"/>
      <c r="CIG27" s="28"/>
      <c r="CIH27" s="29"/>
      <c r="CII27" s="30"/>
      <c r="CIJ27" s="29"/>
      <c r="CIK27" s="28"/>
      <c r="CIL27" s="29"/>
      <c r="CIM27" s="29"/>
      <c r="CIN27" s="28"/>
      <c r="CIO27" s="29"/>
      <c r="CIP27" s="30"/>
      <c r="CIQ27" s="28"/>
      <c r="CIR27" s="29"/>
      <c r="CIS27" s="30"/>
      <c r="CIT27" s="29"/>
      <c r="CIU27" s="28"/>
      <c r="CIV27" s="29"/>
      <c r="CIW27" s="29"/>
      <c r="CIX27" s="28"/>
      <c r="CIY27" s="29"/>
      <c r="CIZ27" s="30"/>
      <c r="CJA27" s="28"/>
      <c r="CJB27" s="30"/>
      <c r="CJC27" s="29"/>
      <c r="CJD27" s="28"/>
      <c r="CJE27" s="29"/>
      <c r="CJF27" s="28"/>
      <c r="CJG27" s="28"/>
      <c r="CJH27" s="28"/>
      <c r="CJI27" s="29"/>
      <c r="CJJ27" s="385"/>
      <c r="CJK27" s="29"/>
      <c r="CJL27" s="385"/>
      <c r="CJM27" s="29"/>
      <c r="CJN27" s="385"/>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30"/>
      <c r="CKU27" s="28"/>
      <c r="CKV27" s="29"/>
      <c r="CKW27" s="30"/>
      <c r="CKX27" s="29"/>
      <c r="CKY27" s="29"/>
      <c r="CKZ27" s="29"/>
      <c r="CLA27" s="28"/>
      <c r="CLB27" s="29"/>
      <c r="CLC27" s="29"/>
      <c r="CLD27" s="28"/>
      <c r="CLE27" s="29"/>
      <c r="CLF27" s="30"/>
      <c r="CLG27" s="28"/>
      <c r="CLH27" s="29"/>
      <c r="CLI27" s="30"/>
      <c r="CLJ27" s="29"/>
      <c r="CLK27" s="28"/>
      <c r="CLL27" s="29"/>
      <c r="CLM27" s="29"/>
      <c r="CLN27" s="28"/>
      <c r="CLO27" s="29"/>
      <c r="CLP27" s="30"/>
      <c r="CLQ27" s="28"/>
      <c r="CLR27" s="29"/>
      <c r="CLS27" s="30"/>
      <c r="CLT27" s="29"/>
      <c r="CLU27" s="28"/>
      <c r="CLV27" s="29"/>
      <c r="CLW27" s="29"/>
      <c r="CLX27" s="28"/>
      <c r="CLY27" s="29"/>
      <c r="CLZ27" s="30"/>
      <c r="CMA27" s="28"/>
      <c r="CMB27" s="29"/>
      <c r="CMC27" s="30"/>
      <c r="CMD27" s="29"/>
      <c r="CME27" s="28"/>
      <c r="CMF27" s="29"/>
      <c r="CMG27" s="29"/>
      <c r="CMH27" s="28"/>
      <c r="CMI27" s="29"/>
      <c r="CMJ27" s="30"/>
      <c r="CMK27" s="28"/>
      <c r="CML27" s="30"/>
      <c r="CMM27" s="29"/>
      <c r="CMN27" s="28"/>
      <c r="CMO27" s="29"/>
      <c r="CMP27" s="28"/>
      <c r="CMQ27" s="28"/>
      <c r="CMR27" s="28"/>
      <c r="CMS27" s="29"/>
      <c r="CMT27" s="385"/>
      <c r="CMU27" s="29"/>
      <c r="CMV27" s="385"/>
      <c r="CMW27" s="29"/>
      <c r="CMX27" s="385"/>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30"/>
      <c r="COE27" s="28"/>
      <c r="COF27" s="29"/>
      <c r="COG27" s="30"/>
      <c r="COH27" s="29"/>
      <c r="COI27" s="29"/>
      <c r="COJ27" s="29"/>
      <c r="COK27" s="28"/>
      <c r="COL27" s="29"/>
      <c r="COM27" s="29"/>
      <c r="CON27" s="28"/>
      <c r="COO27" s="29"/>
      <c r="COP27" s="30"/>
      <c r="COQ27" s="28"/>
      <c r="COR27" s="29"/>
      <c r="COS27" s="30"/>
      <c r="COT27" s="29"/>
      <c r="COU27" s="28"/>
      <c r="COV27" s="29"/>
      <c r="COW27" s="29"/>
      <c r="COX27" s="28"/>
      <c r="COY27" s="29"/>
      <c r="COZ27" s="30"/>
      <c r="CPA27" s="28"/>
      <c r="CPB27" s="29"/>
      <c r="CPC27" s="30"/>
      <c r="CPD27" s="29"/>
      <c r="CPE27" s="28"/>
      <c r="CPF27" s="29"/>
      <c r="CPG27" s="29"/>
      <c r="CPH27" s="28"/>
      <c r="CPI27" s="29"/>
      <c r="CPJ27" s="30"/>
      <c r="CPK27" s="28"/>
      <c r="CPL27" s="29"/>
      <c r="CPM27" s="30"/>
      <c r="CPN27" s="29"/>
      <c r="CPO27" s="28"/>
      <c r="CPP27" s="29"/>
      <c r="CPQ27" s="29"/>
      <c r="CPR27" s="28"/>
      <c r="CPS27" s="29"/>
      <c r="CPT27" s="30"/>
      <c r="CPU27" s="28"/>
      <c r="CPV27" s="30"/>
      <c r="CPW27" s="29"/>
      <c r="CPX27" s="28"/>
      <c r="CPY27" s="29"/>
      <c r="CPZ27" s="28"/>
      <c r="CQA27" s="28"/>
      <c r="CQB27" s="28"/>
      <c r="CQC27" s="29"/>
      <c r="CQD27" s="385"/>
      <c r="CQE27" s="29"/>
      <c r="CQF27" s="385"/>
      <c r="CQG27" s="29"/>
      <c r="CQH27" s="385"/>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30"/>
      <c r="CRO27" s="28"/>
      <c r="CRP27" s="29"/>
      <c r="CRQ27" s="30"/>
      <c r="CRR27" s="29"/>
      <c r="CRS27" s="29"/>
      <c r="CRT27" s="29"/>
      <c r="CRU27" s="28"/>
      <c r="CRV27" s="29"/>
      <c r="CRW27" s="29"/>
      <c r="CRX27" s="28"/>
      <c r="CRY27" s="29"/>
      <c r="CRZ27" s="30"/>
      <c r="CSA27" s="28"/>
      <c r="CSB27" s="29"/>
      <c r="CSC27" s="30"/>
      <c r="CSD27" s="29"/>
      <c r="CSE27" s="28"/>
      <c r="CSF27" s="29"/>
      <c r="CSG27" s="29"/>
      <c r="CSH27" s="28"/>
      <c r="CSI27" s="29"/>
      <c r="CSJ27" s="30"/>
      <c r="CSK27" s="28"/>
      <c r="CSL27" s="29"/>
      <c r="CSM27" s="30"/>
      <c r="CSN27" s="29"/>
      <c r="CSO27" s="28"/>
      <c r="CSP27" s="29"/>
      <c r="CSQ27" s="29"/>
      <c r="CSR27" s="28"/>
      <c r="CSS27" s="29"/>
      <c r="CST27" s="30"/>
      <c r="CSU27" s="28"/>
      <c r="CSV27" s="29"/>
      <c r="CSW27" s="30"/>
      <c r="CSX27" s="29"/>
      <c r="CSY27" s="28"/>
      <c r="CSZ27" s="29"/>
      <c r="CTA27" s="29"/>
      <c r="CTB27" s="28"/>
      <c r="CTC27" s="29"/>
      <c r="CTD27" s="30"/>
      <c r="CTE27" s="28"/>
      <c r="CTF27" s="30"/>
      <c r="CTG27" s="29"/>
      <c r="CTH27" s="28"/>
      <c r="CTI27" s="29"/>
      <c r="CTJ27" s="28"/>
      <c r="CTK27" s="28"/>
      <c r="CTL27" s="28"/>
      <c r="CTM27" s="29"/>
      <c r="CTN27" s="385"/>
      <c r="CTO27" s="29"/>
      <c r="CTP27" s="385"/>
      <c r="CTQ27" s="29"/>
      <c r="CTR27" s="385"/>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30"/>
      <c r="CUY27" s="28"/>
      <c r="CUZ27" s="29"/>
      <c r="CVA27" s="30"/>
      <c r="CVB27" s="29"/>
      <c r="CVC27" s="29"/>
      <c r="CVD27" s="29"/>
      <c r="CVE27" s="28"/>
      <c r="CVF27" s="29"/>
      <c r="CVG27" s="29"/>
      <c r="CVH27" s="28"/>
      <c r="CVI27" s="29"/>
      <c r="CVJ27" s="30"/>
      <c r="CVK27" s="28"/>
      <c r="CVL27" s="29"/>
      <c r="CVM27" s="30"/>
      <c r="CVN27" s="29"/>
      <c r="CVO27" s="28"/>
      <c r="CVP27" s="29"/>
      <c r="CVQ27" s="29"/>
      <c r="CVR27" s="28"/>
      <c r="CVS27" s="29"/>
      <c r="CVT27" s="30"/>
      <c r="CVU27" s="28"/>
      <c r="CVV27" s="29"/>
      <c r="CVW27" s="30"/>
      <c r="CVX27" s="29"/>
      <c r="CVY27" s="28"/>
      <c r="CVZ27" s="29"/>
      <c r="CWA27" s="29"/>
      <c r="CWB27" s="28"/>
      <c r="CWC27" s="29"/>
      <c r="CWD27" s="30"/>
      <c r="CWE27" s="28"/>
      <c r="CWF27" s="29"/>
      <c r="CWG27" s="30"/>
      <c r="CWH27" s="29"/>
      <c r="CWI27" s="28"/>
      <c r="CWJ27" s="29"/>
      <c r="CWK27" s="29"/>
      <c r="CWL27" s="28"/>
      <c r="CWM27" s="29"/>
      <c r="CWN27" s="30"/>
      <c r="CWO27" s="28"/>
      <c r="CWP27" s="30"/>
      <c r="CWQ27" s="29"/>
      <c r="CWR27" s="28"/>
      <c r="CWS27" s="29"/>
      <c r="CWT27" s="28"/>
      <c r="CWU27" s="28"/>
      <c r="CWV27" s="28"/>
      <c r="CWW27" s="29"/>
      <c r="CWX27" s="385"/>
      <c r="CWY27" s="29"/>
      <c r="CWZ27" s="385"/>
      <c r="CXA27" s="29"/>
      <c r="CXB27" s="385"/>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30"/>
      <c r="CYI27" s="28"/>
      <c r="CYJ27" s="29"/>
      <c r="CYK27" s="30"/>
      <c r="CYL27" s="29"/>
      <c r="CYM27" s="29"/>
      <c r="CYN27" s="29"/>
      <c r="CYO27" s="28"/>
      <c r="CYP27" s="29"/>
      <c r="CYQ27" s="29"/>
      <c r="CYR27" s="28"/>
      <c r="CYS27" s="29"/>
      <c r="CYT27" s="30"/>
      <c r="CYU27" s="28"/>
      <c r="CYV27" s="29"/>
      <c r="CYW27" s="30"/>
      <c r="CYX27" s="29"/>
      <c r="CYY27" s="28"/>
      <c r="CYZ27" s="29"/>
      <c r="CZA27" s="29"/>
      <c r="CZB27" s="28"/>
      <c r="CZC27" s="29"/>
      <c r="CZD27" s="30"/>
      <c r="CZE27" s="28"/>
      <c r="CZF27" s="29"/>
      <c r="CZG27" s="30"/>
      <c r="CZH27" s="29"/>
      <c r="CZI27" s="28"/>
      <c r="CZJ27" s="29"/>
      <c r="CZK27" s="29"/>
      <c r="CZL27" s="28"/>
      <c r="CZM27" s="29"/>
      <c r="CZN27" s="30"/>
      <c r="CZO27" s="28"/>
      <c r="CZP27" s="29"/>
      <c r="CZQ27" s="30"/>
      <c r="CZR27" s="29"/>
      <c r="CZS27" s="28"/>
      <c r="CZT27" s="29"/>
      <c r="CZU27" s="29"/>
      <c r="CZV27" s="28"/>
      <c r="CZW27" s="29"/>
      <c r="CZX27" s="30"/>
      <c r="CZY27" s="28"/>
      <c r="CZZ27" s="30"/>
      <c r="DAA27" s="29"/>
      <c r="DAB27" s="28"/>
      <c r="DAC27" s="29"/>
      <c r="DAD27" s="28"/>
      <c r="DAE27" s="28"/>
      <c r="DAF27" s="28"/>
      <c r="DAG27" s="29"/>
      <c r="DAH27" s="385"/>
      <c r="DAI27" s="29"/>
      <c r="DAJ27" s="385"/>
      <c r="DAK27" s="29"/>
      <c r="DAL27" s="385"/>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30"/>
      <c r="DBS27" s="28"/>
      <c r="DBT27" s="29"/>
      <c r="DBU27" s="30"/>
      <c r="DBV27" s="29"/>
      <c r="DBW27" s="29"/>
      <c r="DBX27" s="29"/>
      <c r="DBY27" s="28"/>
      <c r="DBZ27" s="29"/>
      <c r="DCA27" s="29"/>
      <c r="DCB27" s="28"/>
      <c r="DCC27" s="29"/>
      <c r="DCD27" s="30"/>
      <c r="DCE27" s="28"/>
      <c r="DCF27" s="29"/>
      <c r="DCG27" s="30"/>
      <c r="DCH27" s="29"/>
      <c r="DCI27" s="28"/>
      <c r="DCJ27" s="29"/>
      <c r="DCK27" s="29"/>
      <c r="DCL27" s="28"/>
      <c r="DCM27" s="29"/>
      <c r="DCN27" s="30"/>
      <c r="DCO27" s="28"/>
      <c r="DCP27" s="29"/>
      <c r="DCQ27" s="30"/>
      <c r="DCR27" s="29"/>
      <c r="DCS27" s="28"/>
      <c r="DCT27" s="29"/>
      <c r="DCU27" s="29"/>
      <c r="DCV27" s="28"/>
      <c r="DCW27" s="29"/>
      <c r="DCX27" s="30"/>
      <c r="DCY27" s="28"/>
      <c r="DCZ27" s="29"/>
      <c r="DDA27" s="30"/>
      <c r="DDB27" s="29"/>
      <c r="DDC27" s="28"/>
      <c r="DDD27" s="29"/>
      <c r="DDE27" s="29"/>
      <c r="DDF27" s="28"/>
      <c r="DDG27" s="29"/>
      <c r="DDH27" s="30"/>
      <c r="DDI27" s="28"/>
      <c r="DDJ27" s="30"/>
      <c r="DDK27" s="29"/>
      <c r="DDL27" s="28"/>
      <c r="DDM27" s="29"/>
      <c r="DDN27" s="28"/>
      <c r="DDO27" s="28"/>
      <c r="DDP27" s="28"/>
      <c r="DDQ27" s="29"/>
      <c r="DDR27" s="385"/>
      <c r="DDS27" s="29"/>
      <c r="DDT27" s="385"/>
      <c r="DDU27" s="29"/>
      <c r="DDV27" s="385"/>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30"/>
      <c r="DFC27" s="28"/>
      <c r="DFD27" s="29"/>
      <c r="DFE27" s="30"/>
      <c r="DFF27" s="29"/>
      <c r="DFG27" s="29"/>
      <c r="DFH27" s="29"/>
      <c r="DFI27" s="28"/>
      <c r="DFJ27" s="29"/>
      <c r="DFK27" s="29"/>
      <c r="DFL27" s="28"/>
      <c r="DFM27" s="29"/>
      <c r="DFN27" s="30"/>
      <c r="DFO27" s="28"/>
      <c r="DFP27" s="29"/>
      <c r="DFQ27" s="30"/>
      <c r="DFR27" s="29"/>
      <c r="DFS27" s="28"/>
      <c r="DFT27" s="29"/>
      <c r="DFU27" s="29"/>
      <c r="DFV27" s="28"/>
      <c r="DFW27" s="29"/>
      <c r="DFX27" s="30"/>
      <c r="DFY27" s="28"/>
      <c r="DFZ27" s="29"/>
      <c r="DGA27" s="30"/>
      <c r="DGB27" s="29"/>
      <c r="DGC27" s="28"/>
      <c r="DGD27" s="29"/>
      <c r="DGE27" s="29"/>
      <c r="DGF27" s="28"/>
      <c r="DGG27" s="29"/>
      <c r="DGH27" s="30"/>
      <c r="DGI27" s="28"/>
      <c r="DGJ27" s="29"/>
      <c r="DGK27" s="30"/>
      <c r="DGL27" s="29"/>
      <c r="DGM27" s="28"/>
      <c r="DGN27" s="29"/>
      <c r="DGO27" s="29"/>
      <c r="DGP27" s="28"/>
      <c r="DGQ27" s="29"/>
      <c r="DGR27" s="30"/>
      <c r="DGS27" s="28"/>
      <c r="DGT27" s="30"/>
      <c r="DGU27" s="29"/>
      <c r="DGV27" s="28"/>
      <c r="DGW27" s="29"/>
      <c r="DGX27" s="28"/>
      <c r="DGY27" s="28"/>
      <c r="DGZ27" s="28"/>
      <c r="DHA27" s="29"/>
      <c r="DHB27" s="385"/>
      <c r="DHC27" s="29"/>
      <c r="DHD27" s="385"/>
      <c r="DHE27" s="29"/>
      <c r="DHF27" s="385"/>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30"/>
      <c r="DIM27" s="28"/>
      <c r="DIN27" s="29"/>
      <c r="DIO27" s="30"/>
      <c r="DIP27" s="29"/>
      <c r="DIQ27" s="29"/>
      <c r="DIR27" s="29"/>
      <c r="DIS27" s="28"/>
      <c r="DIT27" s="29"/>
      <c r="DIU27" s="29"/>
      <c r="DIV27" s="28"/>
      <c r="DIW27" s="29"/>
      <c r="DIX27" s="30"/>
      <c r="DIY27" s="28"/>
      <c r="DIZ27" s="29"/>
      <c r="DJA27" s="30"/>
      <c r="DJB27" s="29"/>
      <c r="DJC27" s="28"/>
      <c r="DJD27" s="29"/>
      <c r="DJE27" s="29"/>
      <c r="DJF27" s="28"/>
      <c r="DJG27" s="29"/>
      <c r="DJH27" s="30"/>
      <c r="DJI27" s="28"/>
      <c r="DJJ27" s="29"/>
      <c r="DJK27" s="30"/>
      <c r="DJL27" s="29"/>
      <c r="DJM27" s="28"/>
      <c r="DJN27" s="29"/>
      <c r="DJO27" s="29"/>
      <c r="DJP27" s="28"/>
      <c r="DJQ27" s="29"/>
      <c r="DJR27" s="30"/>
      <c r="DJS27" s="28"/>
      <c r="DJT27" s="29"/>
      <c r="DJU27" s="30"/>
      <c r="DJV27" s="29"/>
      <c r="DJW27" s="28"/>
      <c r="DJX27" s="29"/>
      <c r="DJY27" s="29"/>
      <c r="DJZ27" s="28"/>
      <c r="DKA27" s="29"/>
      <c r="DKB27" s="30"/>
      <c r="DKC27" s="28"/>
      <c r="DKD27" s="30"/>
      <c r="DKE27" s="29"/>
      <c r="DKF27" s="28"/>
      <c r="DKG27" s="29"/>
      <c r="DKH27" s="28"/>
      <c r="DKI27" s="28"/>
      <c r="DKJ27" s="28"/>
      <c r="DKK27" s="29"/>
      <c r="DKL27" s="385"/>
      <c r="DKM27" s="29"/>
      <c r="DKN27" s="385"/>
      <c r="DKO27" s="29"/>
      <c r="DKP27" s="385"/>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30"/>
      <c r="DLW27" s="28"/>
      <c r="DLX27" s="29"/>
      <c r="DLY27" s="30"/>
      <c r="DLZ27" s="29"/>
      <c r="DMA27" s="29"/>
      <c r="DMB27" s="29"/>
      <c r="DMC27" s="28"/>
      <c r="DMD27" s="29"/>
      <c r="DME27" s="29"/>
      <c r="DMF27" s="28"/>
      <c r="DMG27" s="29"/>
      <c r="DMH27" s="30"/>
      <c r="DMI27" s="28"/>
      <c r="DMJ27" s="29"/>
      <c r="DMK27" s="30"/>
      <c r="DML27" s="29"/>
      <c r="DMM27" s="28"/>
      <c r="DMN27" s="29"/>
      <c r="DMO27" s="29"/>
      <c r="DMP27" s="28"/>
      <c r="DMQ27" s="29"/>
      <c r="DMR27" s="30"/>
      <c r="DMS27" s="28"/>
      <c r="DMT27" s="29"/>
      <c r="DMU27" s="30"/>
      <c r="DMV27" s="29"/>
      <c r="DMW27" s="28"/>
      <c r="DMX27" s="29"/>
      <c r="DMY27" s="29"/>
      <c r="DMZ27" s="28"/>
      <c r="DNA27" s="29"/>
      <c r="DNB27" s="30"/>
      <c r="DNC27" s="28"/>
      <c r="DND27" s="29"/>
      <c r="DNE27" s="30"/>
      <c r="DNF27" s="29"/>
      <c r="DNG27" s="28"/>
      <c r="DNH27" s="29"/>
      <c r="DNI27" s="29"/>
      <c r="DNJ27" s="28"/>
      <c r="DNK27" s="29"/>
      <c r="DNL27" s="30"/>
      <c r="DNM27" s="28"/>
      <c r="DNN27" s="30"/>
      <c r="DNO27" s="29"/>
      <c r="DNP27" s="28"/>
      <c r="DNQ27" s="29"/>
      <c r="DNR27" s="28"/>
      <c r="DNS27" s="28"/>
      <c r="DNT27" s="28"/>
      <c r="DNU27" s="29"/>
      <c r="DNV27" s="385"/>
      <c r="DNW27" s="29"/>
      <c r="DNX27" s="385"/>
      <c r="DNY27" s="29"/>
      <c r="DNZ27" s="385"/>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30"/>
      <c r="DPG27" s="28"/>
      <c r="DPH27" s="29"/>
      <c r="DPI27" s="30"/>
      <c r="DPJ27" s="29"/>
      <c r="DPK27" s="29"/>
      <c r="DPL27" s="29"/>
      <c r="DPM27" s="28"/>
      <c r="DPN27" s="29"/>
      <c r="DPO27" s="29"/>
      <c r="DPP27" s="28"/>
      <c r="DPQ27" s="29"/>
      <c r="DPR27" s="30"/>
      <c r="DPS27" s="28"/>
      <c r="DPT27" s="29"/>
      <c r="DPU27" s="30"/>
      <c r="DPV27" s="29"/>
      <c r="DPW27" s="28"/>
      <c r="DPX27" s="29"/>
      <c r="DPY27" s="29"/>
      <c r="DPZ27" s="28"/>
      <c r="DQA27" s="29"/>
      <c r="DQB27" s="30"/>
      <c r="DQC27" s="28"/>
      <c r="DQD27" s="29"/>
      <c r="DQE27" s="30"/>
      <c r="DQF27" s="29"/>
      <c r="DQG27" s="28"/>
      <c r="DQH27" s="29"/>
      <c r="DQI27" s="29"/>
      <c r="DQJ27" s="28"/>
      <c r="DQK27" s="29"/>
      <c r="DQL27" s="30"/>
      <c r="DQM27" s="28"/>
      <c r="DQN27" s="29"/>
      <c r="DQO27" s="30"/>
      <c r="DQP27" s="29"/>
      <c r="DQQ27" s="28"/>
      <c r="DQR27" s="29"/>
      <c r="DQS27" s="29"/>
      <c r="DQT27" s="28"/>
      <c r="DQU27" s="29"/>
      <c r="DQV27" s="30"/>
      <c r="DQW27" s="28"/>
      <c r="DQX27" s="30"/>
      <c r="DQY27" s="29"/>
      <c r="DQZ27" s="28"/>
      <c r="DRA27" s="29"/>
      <c r="DRB27" s="28"/>
      <c r="DRC27" s="28"/>
      <c r="DRD27" s="28"/>
      <c r="DRE27" s="29"/>
      <c r="DRF27" s="385"/>
      <c r="DRG27" s="29"/>
      <c r="DRH27" s="385"/>
      <c r="DRI27" s="29"/>
      <c r="DRJ27" s="385"/>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30"/>
      <c r="DSQ27" s="28"/>
      <c r="DSR27" s="29"/>
      <c r="DSS27" s="30"/>
      <c r="DST27" s="29"/>
      <c r="DSU27" s="29"/>
      <c r="DSV27" s="29"/>
      <c r="DSW27" s="28"/>
      <c r="DSX27" s="29"/>
      <c r="DSY27" s="29"/>
      <c r="DSZ27" s="28"/>
      <c r="DTA27" s="29"/>
      <c r="DTB27" s="30"/>
      <c r="DTC27" s="28"/>
      <c r="DTD27" s="29"/>
      <c r="DTE27" s="30"/>
      <c r="DTF27" s="29"/>
      <c r="DTG27" s="28"/>
      <c r="DTH27" s="29"/>
      <c r="DTI27" s="29"/>
      <c r="DTJ27" s="28"/>
      <c r="DTK27" s="29"/>
      <c r="DTL27" s="30"/>
      <c r="DTM27" s="28"/>
      <c r="DTN27" s="29"/>
      <c r="DTO27" s="30"/>
      <c r="DTP27" s="29"/>
      <c r="DTQ27" s="28"/>
      <c r="DTR27" s="29"/>
      <c r="DTS27" s="29"/>
      <c r="DTT27" s="28"/>
      <c r="DTU27" s="29"/>
      <c r="DTV27" s="30"/>
      <c r="DTW27" s="28"/>
      <c r="DTX27" s="29"/>
      <c r="DTY27" s="30"/>
      <c r="DTZ27" s="29"/>
      <c r="DUA27" s="28"/>
      <c r="DUB27" s="29"/>
      <c r="DUC27" s="29"/>
      <c r="DUD27" s="28"/>
      <c r="DUE27" s="29"/>
      <c r="DUF27" s="30"/>
      <c r="DUG27" s="28"/>
      <c r="DUH27" s="30"/>
      <c r="DUI27" s="29"/>
      <c r="DUJ27" s="28"/>
      <c r="DUK27" s="29"/>
      <c r="DUL27" s="28"/>
      <c r="DUM27" s="28"/>
      <c r="DUN27" s="28"/>
      <c r="DUO27" s="29"/>
      <c r="DUP27" s="385"/>
      <c r="DUQ27" s="29"/>
      <c r="DUR27" s="385"/>
      <c r="DUS27" s="29"/>
      <c r="DUT27" s="385"/>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30"/>
      <c r="DWA27" s="28"/>
      <c r="DWB27" s="29"/>
      <c r="DWC27" s="30"/>
      <c r="DWD27" s="29"/>
      <c r="DWE27" s="29"/>
      <c r="DWF27" s="29"/>
      <c r="DWG27" s="28"/>
      <c r="DWH27" s="29"/>
      <c r="DWI27" s="29"/>
      <c r="DWJ27" s="28"/>
      <c r="DWK27" s="29"/>
      <c r="DWL27" s="30"/>
      <c r="DWM27" s="28"/>
      <c r="DWN27" s="29"/>
      <c r="DWO27" s="30"/>
      <c r="DWP27" s="29"/>
      <c r="DWQ27" s="28"/>
      <c r="DWR27" s="29"/>
      <c r="DWS27" s="29"/>
      <c r="DWT27" s="28"/>
      <c r="DWU27" s="29"/>
      <c r="DWV27" s="30"/>
      <c r="DWW27" s="28"/>
      <c r="DWX27" s="29"/>
      <c r="DWY27" s="30"/>
      <c r="DWZ27" s="29"/>
      <c r="DXA27" s="28"/>
      <c r="DXB27" s="29"/>
      <c r="DXC27" s="29"/>
      <c r="DXD27" s="28"/>
      <c r="DXE27" s="29"/>
      <c r="DXF27" s="30"/>
      <c r="DXG27" s="28"/>
      <c r="DXH27" s="29"/>
      <c r="DXI27" s="30"/>
      <c r="DXJ27" s="29"/>
      <c r="DXK27" s="28"/>
      <c r="DXL27" s="29"/>
      <c r="DXM27" s="29"/>
      <c r="DXN27" s="28"/>
      <c r="DXO27" s="29"/>
      <c r="DXP27" s="30"/>
      <c r="DXQ27" s="28"/>
      <c r="DXR27" s="30"/>
      <c r="DXS27" s="29"/>
      <c r="DXT27" s="28"/>
      <c r="DXU27" s="29"/>
      <c r="DXV27" s="28"/>
      <c r="DXW27" s="28"/>
      <c r="DXX27" s="28"/>
      <c r="DXY27" s="29"/>
      <c r="DXZ27" s="385"/>
      <c r="DYA27" s="29"/>
      <c r="DYB27" s="385"/>
      <c r="DYC27" s="29"/>
      <c r="DYD27" s="385"/>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30"/>
      <c r="DZK27" s="28"/>
      <c r="DZL27" s="29"/>
      <c r="DZM27" s="30"/>
      <c r="DZN27" s="29"/>
      <c r="DZO27" s="29"/>
      <c r="DZP27" s="29"/>
      <c r="DZQ27" s="28"/>
      <c r="DZR27" s="29"/>
      <c r="DZS27" s="29"/>
      <c r="DZT27" s="28"/>
      <c r="DZU27" s="29"/>
      <c r="DZV27" s="30"/>
      <c r="DZW27" s="28"/>
      <c r="DZX27" s="29"/>
      <c r="DZY27" s="30"/>
      <c r="DZZ27" s="29"/>
      <c r="EAA27" s="28"/>
      <c r="EAB27" s="29"/>
      <c r="EAC27" s="29"/>
      <c r="EAD27" s="28"/>
      <c r="EAE27" s="29"/>
      <c r="EAF27" s="30"/>
      <c r="EAG27" s="28"/>
      <c r="EAH27" s="29"/>
      <c r="EAI27" s="30"/>
      <c r="EAJ27" s="29"/>
      <c r="EAK27" s="28"/>
      <c r="EAL27" s="29"/>
      <c r="EAM27" s="29"/>
      <c r="EAN27" s="28"/>
      <c r="EAO27" s="29"/>
      <c r="EAP27" s="30"/>
      <c r="EAQ27" s="28"/>
      <c r="EAR27" s="29"/>
      <c r="EAS27" s="30"/>
      <c r="EAT27" s="29"/>
      <c r="EAU27" s="28"/>
      <c r="EAV27" s="29"/>
      <c r="EAW27" s="29"/>
      <c r="EAX27" s="28"/>
      <c r="EAY27" s="29"/>
      <c r="EAZ27" s="30"/>
      <c r="EBA27" s="28"/>
      <c r="EBB27" s="30"/>
      <c r="EBC27" s="29"/>
      <c r="EBD27" s="28"/>
      <c r="EBE27" s="29"/>
      <c r="EBF27" s="28"/>
      <c r="EBG27" s="28"/>
      <c r="EBH27" s="28"/>
      <c r="EBI27" s="29"/>
      <c r="EBJ27" s="385"/>
      <c r="EBK27" s="29"/>
      <c r="EBL27" s="385"/>
      <c r="EBM27" s="29"/>
      <c r="EBN27" s="385"/>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30"/>
      <c r="ECU27" s="28"/>
      <c r="ECV27" s="29"/>
      <c r="ECW27" s="30"/>
      <c r="ECX27" s="29"/>
      <c r="ECY27" s="29"/>
      <c r="ECZ27" s="29"/>
      <c r="EDA27" s="28"/>
      <c r="EDB27" s="29"/>
      <c r="EDC27" s="29"/>
      <c r="EDD27" s="28"/>
      <c r="EDE27" s="29"/>
      <c r="EDF27" s="30"/>
      <c r="EDG27" s="28"/>
      <c r="EDH27" s="29"/>
      <c r="EDI27" s="30"/>
      <c r="EDJ27" s="29"/>
      <c r="EDK27" s="28"/>
      <c r="EDL27" s="29"/>
      <c r="EDM27" s="29"/>
      <c r="EDN27" s="28"/>
      <c r="EDO27" s="29"/>
      <c r="EDP27" s="30"/>
      <c r="EDQ27" s="28"/>
      <c r="EDR27" s="29"/>
      <c r="EDS27" s="30"/>
      <c r="EDT27" s="29"/>
      <c r="EDU27" s="28"/>
      <c r="EDV27" s="29"/>
      <c r="EDW27" s="29"/>
      <c r="EDX27" s="28"/>
      <c r="EDY27" s="29"/>
      <c r="EDZ27" s="30"/>
      <c r="EEA27" s="28"/>
      <c r="EEB27" s="29"/>
      <c r="EEC27" s="30"/>
      <c r="EED27" s="29"/>
      <c r="EEE27" s="28"/>
      <c r="EEF27" s="29"/>
      <c r="EEG27" s="29"/>
      <c r="EEH27" s="28"/>
      <c r="EEI27" s="29"/>
      <c r="EEJ27" s="30"/>
      <c r="EEK27" s="28"/>
      <c r="EEL27" s="30"/>
      <c r="EEM27" s="29"/>
      <c r="EEN27" s="28"/>
      <c r="EEO27" s="29"/>
      <c r="EEP27" s="28"/>
      <c r="EEQ27" s="28"/>
      <c r="EER27" s="28"/>
      <c r="EES27" s="29"/>
      <c r="EET27" s="385"/>
      <c r="EEU27" s="29"/>
      <c r="EEV27" s="385"/>
      <c r="EEW27" s="29"/>
      <c r="EEX27" s="385"/>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30"/>
      <c r="EGE27" s="28"/>
      <c r="EGF27" s="29"/>
      <c r="EGG27" s="30"/>
      <c r="EGH27" s="29"/>
      <c r="EGI27" s="29"/>
      <c r="EGJ27" s="29"/>
      <c r="EGK27" s="28"/>
      <c r="EGL27" s="29"/>
      <c r="EGM27" s="29"/>
      <c r="EGN27" s="28"/>
      <c r="EGO27" s="29"/>
      <c r="EGP27" s="30"/>
      <c r="EGQ27" s="28"/>
      <c r="EGR27" s="29"/>
      <c r="EGS27" s="30"/>
      <c r="EGT27" s="29"/>
      <c r="EGU27" s="28"/>
      <c r="EGV27" s="29"/>
      <c r="EGW27" s="29"/>
      <c r="EGX27" s="28"/>
      <c r="EGY27" s="29"/>
      <c r="EGZ27" s="30"/>
      <c r="EHA27" s="28"/>
      <c r="EHB27" s="29"/>
      <c r="EHC27" s="30"/>
      <c r="EHD27" s="29"/>
      <c r="EHE27" s="28"/>
      <c r="EHF27" s="29"/>
      <c r="EHG27" s="29"/>
      <c r="EHH27" s="28"/>
      <c r="EHI27" s="29"/>
      <c r="EHJ27" s="30"/>
      <c r="EHK27" s="28"/>
      <c r="EHL27" s="29"/>
      <c r="EHM27" s="30"/>
      <c r="EHN27" s="29"/>
      <c r="EHO27" s="28"/>
      <c r="EHP27" s="29"/>
      <c r="EHQ27" s="29"/>
      <c r="EHR27" s="28"/>
      <c r="EHS27" s="29"/>
      <c r="EHT27" s="30"/>
      <c r="EHU27" s="28"/>
      <c r="EHV27" s="30"/>
      <c r="EHW27" s="29"/>
      <c r="EHX27" s="28"/>
      <c r="EHY27" s="29"/>
      <c r="EHZ27" s="28"/>
      <c r="EIA27" s="28"/>
      <c r="EIB27" s="28"/>
      <c r="EIC27" s="29"/>
      <c r="EID27" s="385"/>
      <c r="EIE27" s="29"/>
      <c r="EIF27" s="385"/>
      <c r="EIG27" s="29"/>
      <c r="EIH27" s="385"/>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30"/>
      <c r="EJO27" s="28"/>
      <c r="EJP27" s="29"/>
      <c r="EJQ27" s="30"/>
      <c r="EJR27" s="29"/>
      <c r="EJS27" s="29"/>
      <c r="EJT27" s="29"/>
      <c r="EJU27" s="28"/>
      <c r="EJV27" s="29"/>
      <c r="EJW27" s="29"/>
      <c r="EJX27" s="28"/>
      <c r="EJY27" s="29"/>
      <c r="EJZ27" s="30"/>
      <c r="EKA27" s="28"/>
      <c r="EKB27" s="29"/>
      <c r="EKC27" s="30"/>
      <c r="EKD27" s="29"/>
      <c r="EKE27" s="28"/>
      <c r="EKF27" s="29"/>
      <c r="EKG27" s="29"/>
      <c r="EKH27" s="28"/>
      <c r="EKI27" s="29"/>
      <c r="EKJ27" s="30"/>
      <c r="EKK27" s="28"/>
      <c r="EKL27" s="29"/>
      <c r="EKM27" s="30"/>
      <c r="EKN27" s="29"/>
      <c r="EKO27" s="28"/>
      <c r="EKP27" s="29"/>
      <c r="EKQ27" s="29"/>
      <c r="EKR27" s="28"/>
      <c r="EKS27" s="29"/>
      <c r="EKT27" s="30"/>
      <c r="EKU27" s="28"/>
      <c r="EKV27" s="29"/>
      <c r="EKW27" s="30"/>
      <c r="EKX27" s="29"/>
      <c r="EKY27" s="28"/>
      <c r="EKZ27" s="29"/>
      <c r="ELA27" s="29"/>
      <c r="ELB27" s="28"/>
      <c r="ELC27" s="29"/>
      <c r="ELD27" s="30"/>
      <c r="ELE27" s="28"/>
      <c r="ELF27" s="30"/>
      <c r="ELG27" s="29"/>
      <c r="ELH27" s="28"/>
      <c r="ELI27" s="29"/>
      <c r="ELJ27" s="28"/>
      <c r="ELK27" s="28"/>
      <c r="ELL27" s="28"/>
      <c r="ELM27" s="29"/>
      <c r="ELN27" s="385"/>
      <c r="ELO27" s="29"/>
      <c r="ELP27" s="385"/>
      <c r="ELQ27" s="29"/>
      <c r="ELR27" s="385"/>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30"/>
      <c r="EMY27" s="28"/>
      <c r="EMZ27" s="29"/>
      <c r="ENA27" s="30"/>
      <c r="ENB27" s="29"/>
      <c r="ENC27" s="29"/>
      <c r="END27" s="29"/>
      <c r="ENE27" s="28"/>
      <c r="ENF27" s="29"/>
      <c r="ENG27" s="29"/>
      <c r="ENH27" s="28"/>
      <c r="ENI27" s="29"/>
      <c r="ENJ27" s="30"/>
      <c r="ENK27" s="28"/>
      <c r="ENL27" s="29"/>
      <c r="ENM27" s="30"/>
      <c r="ENN27" s="29"/>
      <c r="ENO27" s="28"/>
      <c r="ENP27" s="29"/>
      <c r="ENQ27" s="29"/>
      <c r="ENR27" s="28"/>
      <c r="ENS27" s="29"/>
      <c r="ENT27" s="30"/>
      <c r="ENU27" s="28"/>
      <c r="ENV27" s="29"/>
      <c r="ENW27" s="30"/>
      <c r="ENX27" s="29"/>
      <c r="ENY27" s="28"/>
      <c r="ENZ27" s="29"/>
      <c r="EOA27" s="29"/>
      <c r="EOB27" s="28"/>
      <c r="EOC27" s="29"/>
      <c r="EOD27" s="30"/>
      <c r="EOE27" s="28"/>
      <c r="EOF27" s="29"/>
      <c r="EOG27" s="30"/>
      <c r="EOH27" s="29"/>
      <c r="EOI27" s="28"/>
      <c r="EOJ27" s="29"/>
      <c r="EOK27" s="29"/>
      <c r="EOL27" s="28"/>
      <c r="EOM27" s="29"/>
      <c r="EON27" s="30"/>
      <c r="EOO27" s="28" t="str">
        <f t="shared" si="75"/>
        <v xml:space="preserve"> </v>
      </c>
    </row>
    <row r="28" spans="1:3785" x14ac:dyDescent="0.3">
      <c r="A28" s="392" t="s">
        <v>196</v>
      </c>
      <c r="B28" s="58" t="s">
        <v>3899</v>
      </c>
      <c r="C28" s="57" t="s">
        <v>1371</v>
      </c>
      <c r="D28" s="56" t="str">
        <f t="shared" si="61"/>
        <v xml:space="preserve"> </v>
      </c>
      <c r="E28" s="57"/>
      <c r="F28" s="56"/>
      <c r="G28" s="59">
        <v>45391</v>
      </c>
      <c r="H28" s="59">
        <f>+G28+365</f>
        <v>45756</v>
      </c>
      <c r="I28" s="57" t="s">
        <v>1372</v>
      </c>
      <c r="J28" s="57" t="s">
        <v>1373</v>
      </c>
      <c r="K28" s="57" t="s">
        <v>1372</v>
      </c>
      <c r="L28" s="57" t="s">
        <v>1373</v>
      </c>
      <c r="M28" s="57" t="s">
        <v>1372</v>
      </c>
      <c r="N28" s="57" t="s">
        <v>3895</v>
      </c>
      <c r="O28" s="57" t="s">
        <v>2582</v>
      </c>
      <c r="P28" s="57"/>
      <c r="Q28" s="57" t="s">
        <v>1372</v>
      </c>
      <c r="R28" s="57" t="s">
        <v>1372</v>
      </c>
      <c r="S28" s="57" t="s">
        <v>1372</v>
      </c>
      <c r="T28" s="57" t="s">
        <v>1461</v>
      </c>
      <c r="U28" s="57" t="s">
        <v>1461</v>
      </c>
      <c r="V28" s="57" t="s">
        <v>1372</v>
      </c>
      <c r="W28" s="57"/>
      <c r="X28" s="57"/>
      <c r="Y28" s="57"/>
      <c r="Z28" s="57" t="s">
        <v>1372</v>
      </c>
      <c r="AA28" s="57"/>
      <c r="AB28" s="57"/>
      <c r="AC28" s="57"/>
      <c r="AD28" s="57"/>
      <c r="AE28" s="57"/>
      <c r="AF28" s="57"/>
      <c r="AG28" s="57"/>
      <c r="AH28" s="57"/>
      <c r="AI28" s="57"/>
      <c r="AJ28" s="57"/>
      <c r="AK28" s="57"/>
      <c r="AL28" s="57"/>
      <c r="AM28" s="57" t="s">
        <v>1372</v>
      </c>
      <c r="AN28" s="57"/>
      <c r="AO28" s="57"/>
      <c r="AP28" s="57"/>
      <c r="AQ28" s="57"/>
      <c r="AR28" s="57"/>
      <c r="AS28" s="57"/>
      <c r="AT28" s="58" t="s">
        <v>3894</v>
      </c>
      <c r="AU28" s="57" t="s">
        <v>1371</v>
      </c>
      <c r="AV28" s="56" t="str">
        <f t="shared" ref="AV28" si="132">IFERROR(VLOOKUP(AT28,BASEPOE1,2,FALSE)," ")</f>
        <v xml:space="preserve"> </v>
      </c>
      <c r="AW28" s="57"/>
      <c r="AX28" s="56"/>
      <c r="AY28" s="59">
        <v>45387</v>
      </c>
      <c r="AZ28" s="59">
        <f>+AY28+365</f>
        <v>45752</v>
      </c>
      <c r="BA28" s="57" t="s">
        <v>1372</v>
      </c>
      <c r="BB28" s="57" t="s">
        <v>1373</v>
      </c>
      <c r="BC28" s="57" t="s">
        <v>1372</v>
      </c>
      <c r="BD28" s="57" t="s">
        <v>1373</v>
      </c>
      <c r="BE28" s="57" t="s">
        <v>1461</v>
      </c>
      <c r="BF28" s="57" t="s">
        <v>3895</v>
      </c>
      <c r="BG28" s="57" t="s">
        <v>1372</v>
      </c>
      <c r="BH28" s="57"/>
      <c r="BI28" s="57" t="s">
        <v>1372</v>
      </c>
      <c r="BJ28" s="57" t="s">
        <v>1372</v>
      </c>
      <c r="BK28" s="57" t="s">
        <v>1372</v>
      </c>
      <c r="BL28" s="57" t="s">
        <v>1461</v>
      </c>
      <c r="BM28" s="57" t="s">
        <v>1461</v>
      </c>
      <c r="BN28" s="57" t="s">
        <v>1372</v>
      </c>
      <c r="BO28" s="57"/>
      <c r="BP28" s="57"/>
      <c r="BQ28" s="57"/>
      <c r="BR28" s="57"/>
      <c r="BS28" s="57"/>
      <c r="BT28" s="57"/>
      <c r="BU28" s="57"/>
      <c r="BV28" s="57"/>
      <c r="BW28" s="57"/>
      <c r="BX28" s="57"/>
      <c r="BY28" s="57"/>
      <c r="BZ28" s="57"/>
      <c r="CA28" s="57"/>
      <c r="CB28" s="57"/>
      <c r="CC28" s="57"/>
      <c r="CD28" s="57"/>
      <c r="CE28" s="57" t="s">
        <v>1372</v>
      </c>
      <c r="CF28" s="57"/>
      <c r="CG28" s="57"/>
      <c r="CH28" s="57"/>
      <c r="CI28" s="57"/>
      <c r="CJ28" s="57"/>
      <c r="CK28" s="57"/>
      <c r="CL28" s="58" t="s">
        <v>3897</v>
      </c>
      <c r="CM28" s="57" t="s">
        <v>1381</v>
      </c>
      <c r="CN28" s="56" t="str">
        <f t="shared" ref="CN28" si="133">IFERROR(VLOOKUP(CL28,BASEPOE1,2,FALSE)," ")</f>
        <v xml:space="preserve"> </v>
      </c>
      <c r="CO28" s="57"/>
      <c r="CP28" s="56"/>
      <c r="CQ28" s="59">
        <v>45394</v>
      </c>
      <c r="CR28" s="59">
        <f>+CQ28+365</f>
        <v>45759</v>
      </c>
      <c r="CS28" s="57" t="s">
        <v>1372</v>
      </c>
      <c r="CT28" s="57" t="s">
        <v>1373</v>
      </c>
      <c r="CU28" s="57" t="s">
        <v>1372</v>
      </c>
      <c r="CV28" s="57" t="s">
        <v>1373</v>
      </c>
      <c r="CW28" s="57" t="s">
        <v>1372</v>
      </c>
      <c r="CX28" s="57" t="s">
        <v>3895</v>
      </c>
      <c r="CY28" s="57" t="s">
        <v>2582</v>
      </c>
      <c r="CZ28" s="57"/>
      <c r="DA28" s="57" t="s">
        <v>1372</v>
      </c>
      <c r="DB28" s="57" t="s">
        <v>1372</v>
      </c>
      <c r="DC28" s="57" t="s">
        <v>1372</v>
      </c>
      <c r="DD28" s="57" t="s">
        <v>1461</v>
      </c>
      <c r="DE28" s="57" t="s">
        <v>1461</v>
      </c>
      <c r="DF28" s="57"/>
      <c r="DG28" s="57" t="s">
        <v>1382</v>
      </c>
      <c r="DH28" s="57"/>
      <c r="DI28" s="57"/>
      <c r="DJ28" s="57" t="s">
        <v>1372</v>
      </c>
      <c r="DK28" s="57"/>
      <c r="DL28" s="57"/>
      <c r="DM28" s="57"/>
      <c r="DN28" s="57"/>
      <c r="DO28" s="57"/>
      <c r="DP28" s="57"/>
      <c r="DQ28" s="57" t="s">
        <v>1372</v>
      </c>
      <c r="DR28" s="57"/>
      <c r="DS28" s="57"/>
      <c r="DT28" s="57"/>
      <c r="DU28" s="57"/>
      <c r="DV28" s="57"/>
      <c r="DW28" s="57"/>
      <c r="DX28" s="57"/>
      <c r="DY28" s="57"/>
      <c r="DZ28" s="57"/>
      <c r="EA28" s="57"/>
      <c r="EB28" s="57"/>
      <c r="EC28" s="57"/>
      <c r="ED28" s="58"/>
      <c r="EE28" s="57"/>
      <c r="EF28" s="56" t="str">
        <f t="shared" ref="EF28" si="134">IFERROR(VLOOKUP(ED28,BASEPOE1,2,FALSE)," ")</f>
        <v xml:space="preserve"> </v>
      </c>
      <c r="EG28" s="57"/>
      <c r="EH28" s="56"/>
      <c r="EI28" s="59"/>
      <c r="EJ28" s="59"/>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8"/>
      <c r="FW28" s="57"/>
      <c r="FX28" s="56" t="str">
        <f t="shared" ref="FX28" si="135">IFERROR(VLOOKUP(FV28,BASEPOE1,2,FALSE)," ")</f>
        <v xml:space="preserve"> </v>
      </c>
      <c r="FY28" s="57"/>
      <c r="FZ28" s="56"/>
      <c r="GA28" s="59"/>
      <c r="GB28" s="59"/>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8"/>
      <c r="HO28" s="57"/>
      <c r="HP28" s="56" t="str">
        <f t="shared" ref="HP28" si="136">IFERROR(VLOOKUP(HN28,BASEPOE1,2,FALSE)," ")</f>
        <v xml:space="preserve"> </v>
      </c>
      <c r="HQ28" s="57"/>
      <c r="HR28" s="56"/>
      <c r="HS28" s="59"/>
      <c r="HT28" s="59"/>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8"/>
      <c r="JG28" s="57"/>
      <c r="JH28" s="56" t="str">
        <f t="shared" ref="JH28" si="137">IFERROR(VLOOKUP(JF28,BASEPOE1,2,FALSE)," ")</f>
        <v xml:space="preserve"> </v>
      </c>
      <c r="JI28" s="57"/>
      <c r="JJ28" s="56"/>
      <c r="JK28" s="59"/>
      <c r="JL28" s="59"/>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8"/>
      <c r="KY28" s="57"/>
      <c r="KZ28" s="56" t="str">
        <f t="shared" ref="KZ28" si="138">IFERROR(VLOOKUP(KX28,BASEPOE1,2,FALSE)," ")</f>
        <v xml:space="preserve"> </v>
      </c>
      <c r="LA28" s="57"/>
      <c r="LB28" s="56"/>
      <c r="LC28" s="59"/>
      <c r="LD28" s="59"/>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8"/>
      <c r="MQ28" s="57"/>
      <c r="MR28" s="56" t="str">
        <f t="shared" ref="MR28" si="139">IFERROR(VLOOKUP(MP28,BASEPOE1,2,FALSE)," ")</f>
        <v xml:space="preserve"> </v>
      </c>
      <c r="MS28" s="57"/>
      <c r="MT28" s="56"/>
      <c r="MU28" s="59"/>
      <c r="MV28" s="59"/>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8"/>
      <c r="OI28" s="57"/>
      <c r="OJ28" s="56" t="str">
        <f t="shared" ref="OJ28" si="140">IFERROR(VLOOKUP(OH28,BASEPOE1,2,FALSE)," ")</f>
        <v xml:space="preserve"> </v>
      </c>
      <c r="OK28" s="57"/>
      <c r="OL28" s="56"/>
      <c r="OM28" s="59"/>
      <c r="ON28" s="59"/>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8"/>
      <c r="QA28" s="57"/>
      <c r="QB28" s="56" t="str">
        <f t="shared" ref="QB28" si="141">IFERROR(VLOOKUP(PZ28,BASEPOE1,2,FALSE)," ")</f>
        <v xml:space="preserve"> </v>
      </c>
      <c r="QC28" s="57"/>
      <c r="QD28" s="56"/>
      <c r="QE28" s="59"/>
      <c r="QF28" s="59"/>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8"/>
      <c r="RS28" s="57"/>
      <c r="RT28" s="56" t="str">
        <f t="shared" ref="RT28" si="142">IFERROR(VLOOKUP(RR28,BASEPOE1,2,FALSE)," ")</f>
        <v xml:space="preserve"> </v>
      </c>
      <c r="RU28" s="57"/>
      <c r="RV28" s="56"/>
      <c r="RW28" s="59"/>
      <c r="RX28" s="59"/>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6"/>
      <c r="TN28" s="57"/>
      <c r="TO28" s="57"/>
      <c r="TP28" s="56"/>
      <c r="TQ28" s="57"/>
      <c r="TR28" s="58"/>
      <c r="TS28" s="56"/>
      <c r="TT28" s="57"/>
      <c r="TU28" s="57"/>
      <c r="TV28" s="57"/>
      <c r="TW28" s="56"/>
      <c r="TX28" s="57"/>
      <c r="TY28" s="57"/>
      <c r="TZ28" s="56"/>
      <c r="UA28" s="57"/>
      <c r="UB28" s="58"/>
      <c r="UC28" s="56"/>
      <c r="UD28" s="57"/>
      <c r="UE28" s="57"/>
      <c r="UF28" s="57"/>
      <c r="UG28" s="56"/>
      <c r="UH28" s="57"/>
      <c r="UI28" s="57"/>
      <c r="UJ28" s="56"/>
      <c r="UK28" s="57"/>
      <c r="UL28" s="58"/>
      <c r="UM28" s="56"/>
      <c r="UN28" s="57"/>
      <c r="UO28" s="57"/>
      <c r="UP28" s="57"/>
      <c r="UQ28" s="56"/>
      <c r="UR28" s="57"/>
      <c r="US28" s="57"/>
      <c r="UT28" s="56"/>
      <c r="UU28" s="57"/>
      <c r="UV28" s="58"/>
      <c r="UW28" s="56"/>
      <c r="UX28" s="57"/>
      <c r="UY28" s="57"/>
      <c r="UZ28" s="57"/>
      <c r="VA28" s="56"/>
      <c r="VB28" s="57"/>
      <c r="VC28" s="57"/>
      <c r="VD28" s="56"/>
      <c r="VE28" s="57"/>
      <c r="VF28" s="58"/>
      <c r="VG28" s="56"/>
      <c r="VH28" s="57"/>
      <c r="VI28" s="57"/>
      <c r="VJ28" s="57"/>
      <c r="VK28" s="56"/>
      <c r="VL28" s="57"/>
      <c r="VM28" s="57"/>
      <c r="VN28" s="56"/>
      <c r="VO28" s="57"/>
      <c r="VP28" s="58"/>
      <c r="VQ28" s="56"/>
      <c r="VR28" s="57"/>
      <c r="VS28" s="57"/>
      <c r="VT28" s="57"/>
      <c r="VU28" s="56"/>
      <c r="VV28" s="57"/>
      <c r="VW28" s="57"/>
      <c r="VX28" s="56"/>
      <c r="VY28" s="57"/>
      <c r="VZ28" s="58"/>
      <c r="WA28" s="56"/>
      <c r="WB28" s="57"/>
      <c r="WC28" s="57"/>
      <c r="WD28" s="57"/>
      <c r="WE28" s="56"/>
      <c r="WF28" s="57"/>
      <c r="WG28" s="57"/>
      <c r="WH28" s="56"/>
      <c r="WI28" s="57"/>
      <c r="WJ28" s="58"/>
      <c r="WK28" s="56"/>
      <c r="WL28" s="57"/>
      <c r="WM28" s="57"/>
      <c r="WN28" s="57"/>
      <c r="WO28" s="56"/>
      <c r="WP28" s="57"/>
      <c r="WQ28" s="57"/>
      <c r="WR28" s="56"/>
      <c r="WS28" s="57"/>
      <c r="WT28" s="58"/>
      <c r="WU28" s="56"/>
      <c r="WV28" s="57"/>
      <c r="WW28" s="57"/>
      <c r="WX28" s="57"/>
      <c r="WY28" s="56"/>
      <c r="WZ28" s="57"/>
      <c r="XA28" s="57"/>
      <c r="XB28" s="56"/>
      <c r="XC28" s="57"/>
      <c r="XD28" s="58"/>
      <c r="XE28" s="56"/>
      <c r="XF28" s="57"/>
      <c r="XG28" s="57"/>
      <c r="XH28" s="57"/>
      <c r="XI28" s="56"/>
      <c r="XJ28" s="57"/>
      <c r="XK28" s="57"/>
      <c r="XL28" s="56"/>
      <c r="XM28" s="57"/>
      <c r="XN28" s="58"/>
      <c r="XO28" s="56"/>
      <c r="XP28" s="57"/>
      <c r="XQ28" s="57"/>
      <c r="XR28" s="57"/>
      <c r="XS28" s="56"/>
      <c r="XT28" s="57"/>
      <c r="XU28" s="57"/>
      <c r="XV28" s="56"/>
      <c r="XW28" s="57"/>
      <c r="XX28" s="58"/>
      <c r="XY28" s="56"/>
      <c r="XZ28" s="57"/>
      <c r="YA28" s="57"/>
      <c r="YB28" s="57"/>
      <c r="YC28" s="56"/>
      <c r="YD28" s="57"/>
      <c r="YE28" s="57"/>
      <c r="YF28" s="56"/>
      <c r="YG28" s="57"/>
      <c r="YH28" s="58"/>
      <c r="YI28" s="56"/>
      <c r="YJ28" s="57"/>
      <c r="YK28" s="57"/>
      <c r="YL28" s="57"/>
      <c r="YM28" s="56"/>
      <c r="YN28" s="57"/>
      <c r="YO28" s="57"/>
      <c r="YP28" s="56"/>
      <c r="YQ28" s="57"/>
      <c r="YR28" s="58"/>
      <c r="YS28" s="56"/>
      <c r="YT28" s="57"/>
      <c r="YU28" s="57"/>
      <c r="YV28" s="57"/>
      <c r="YW28" s="56"/>
      <c r="YX28" s="57"/>
      <c r="YY28" s="57"/>
      <c r="YZ28" s="56"/>
      <c r="ZA28" s="57"/>
      <c r="ZB28" s="58"/>
      <c r="ZC28" s="56"/>
      <c r="ZD28" s="57"/>
      <c r="ZE28" s="57"/>
      <c r="ZF28" s="57"/>
      <c r="ZG28" s="56"/>
      <c r="ZH28" s="57"/>
      <c r="ZI28" s="57"/>
      <c r="ZJ28" s="56"/>
      <c r="ZK28" s="57"/>
      <c r="ZL28" s="58"/>
      <c r="ZM28" s="56"/>
      <c r="ZN28" s="57"/>
      <c r="ZO28" s="57"/>
      <c r="ZP28" s="57"/>
      <c r="ZQ28" s="56"/>
      <c r="ZR28" s="57"/>
      <c r="ZS28" s="57"/>
      <c r="ZT28" s="56"/>
      <c r="ZU28" s="57"/>
      <c r="ZV28" s="58"/>
      <c r="ZW28" s="56"/>
      <c r="ZX28" s="57"/>
      <c r="ZY28" s="57"/>
      <c r="ZZ28" s="57"/>
      <c r="AAA28" s="56"/>
      <c r="AAB28" s="57"/>
      <c r="AAC28" s="57"/>
      <c r="AAD28" s="56"/>
      <c r="AAE28" s="57"/>
      <c r="AAF28" s="58"/>
      <c r="AAG28" s="56"/>
      <c r="AAH28" s="57"/>
      <c r="AAI28" s="57"/>
      <c r="AAJ28" s="57"/>
      <c r="AAK28" s="56"/>
      <c r="AAL28" s="57"/>
      <c r="AAM28" s="57"/>
      <c r="AAN28" s="56"/>
      <c r="AAO28" s="57"/>
      <c r="AAP28" s="58"/>
      <c r="AAQ28" s="56"/>
      <c r="AAR28" s="57"/>
      <c r="AAS28" s="57"/>
      <c r="AAT28" s="57"/>
      <c r="AAU28" s="56"/>
      <c r="AAV28" s="57"/>
      <c r="AAW28" s="57"/>
      <c r="AAX28" s="58"/>
      <c r="AAY28" s="58"/>
      <c r="AAZ28" s="58"/>
      <c r="ABA28" s="56"/>
      <c r="ABB28" s="58"/>
      <c r="ABC28" s="58"/>
      <c r="ABD28" s="58"/>
      <c r="ABE28" s="58"/>
      <c r="ABF28" s="58"/>
      <c r="ABG28" s="57"/>
      <c r="ABH28" s="56"/>
      <c r="ABI28" s="57"/>
      <c r="ABJ28" s="58"/>
      <c r="ABK28" s="56"/>
      <c r="ABL28" s="57"/>
      <c r="ABM28" s="57"/>
      <c r="ABN28" s="57"/>
      <c r="ABO28" s="56"/>
      <c r="ABP28" s="57"/>
      <c r="ABQ28" s="57"/>
      <c r="ABR28" s="56"/>
      <c r="ABS28" s="57"/>
      <c r="ABT28" s="58"/>
      <c r="ABU28" s="56"/>
      <c r="ABV28" s="57"/>
      <c r="ABW28" s="57"/>
      <c r="ABX28" s="57"/>
      <c r="ABY28" s="56"/>
      <c r="ABZ28" s="57"/>
      <c r="ACA28" s="57"/>
      <c r="ACB28" s="56"/>
      <c r="ACC28" s="57"/>
      <c r="ACD28" s="58"/>
      <c r="ACE28" s="56"/>
      <c r="ACF28" s="57"/>
      <c r="ACG28" s="57"/>
      <c r="ACH28" s="57"/>
      <c r="ACI28" s="56"/>
      <c r="ACJ28" s="57"/>
      <c r="ACK28" s="57"/>
      <c r="ACL28" s="56"/>
      <c r="ACM28" s="57"/>
      <c r="ACN28" s="58"/>
      <c r="ACO28" s="56"/>
      <c r="ACP28" s="57"/>
      <c r="ACQ28" s="57"/>
      <c r="ACR28" s="57"/>
      <c r="ACS28" s="56"/>
      <c r="ACT28" s="57"/>
      <c r="ACU28" s="57"/>
      <c r="ACV28" s="56"/>
      <c r="ACW28" s="57"/>
      <c r="ACX28" s="58"/>
      <c r="ACY28" s="56"/>
      <c r="ACZ28" s="57"/>
      <c r="ADA28" s="57"/>
      <c r="ADB28" s="57"/>
      <c r="ADC28" s="56"/>
      <c r="ADD28" s="57"/>
      <c r="ADE28" s="57"/>
      <c r="ADF28" s="56"/>
      <c r="ADG28" s="57"/>
      <c r="ADH28" s="58"/>
      <c r="ADI28" s="56"/>
      <c r="ADJ28" s="57"/>
      <c r="ADK28" s="57"/>
      <c r="ADL28" s="57"/>
      <c r="ADM28" s="56"/>
      <c r="ADN28" s="57"/>
      <c r="ADO28" s="57"/>
      <c r="ADP28" s="56"/>
      <c r="ADQ28" s="57"/>
      <c r="ADR28" s="58"/>
      <c r="ADS28" s="56"/>
      <c r="ADT28" s="57"/>
      <c r="ADU28" s="57"/>
      <c r="ADV28" s="57"/>
      <c r="ADW28" s="56"/>
      <c r="ADX28" s="57"/>
      <c r="ADY28" s="57"/>
      <c r="ADZ28" s="56"/>
      <c r="AEA28" s="57"/>
      <c r="AEB28" s="58"/>
      <c r="AEC28" s="56"/>
      <c r="AED28" s="57"/>
      <c r="AEE28" s="57"/>
      <c r="AEF28" s="57"/>
      <c r="AEG28" s="56"/>
      <c r="AEH28" s="57"/>
      <c r="AEI28" s="57"/>
      <c r="AEJ28" s="56"/>
      <c r="AEK28" s="57"/>
      <c r="AEL28" s="58"/>
      <c r="AEM28" s="56"/>
      <c r="AEN28" s="57"/>
      <c r="AEO28" s="57"/>
      <c r="AEP28" s="57"/>
      <c r="AEQ28" s="56"/>
      <c r="AER28" s="57"/>
      <c r="AES28" s="57"/>
      <c r="AET28" s="56"/>
      <c r="AEU28" s="57"/>
      <c r="AEV28" s="58"/>
      <c r="AEW28" s="56"/>
      <c r="AEX28" s="57"/>
      <c r="AEY28" s="57"/>
      <c r="AEZ28" s="57"/>
      <c r="AFA28" s="56"/>
      <c r="AFB28" s="57"/>
      <c r="AFC28" s="57"/>
      <c r="AFD28" s="56"/>
      <c r="AFE28" s="57"/>
      <c r="AFF28" s="58"/>
      <c r="AFG28" s="56"/>
      <c r="AFH28" s="57"/>
      <c r="AFI28" s="57"/>
      <c r="AFJ28" s="57"/>
      <c r="AFK28" s="56"/>
      <c r="AFL28" s="57"/>
      <c r="AFM28" s="57"/>
      <c r="AFN28" s="56"/>
      <c r="AFO28" s="57"/>
      <c r="AFP28" s="58"/>
      <c r="AFQ28" s="56"/>
      <c r="AFR28" s="57"/>
      <c r="AFS28" s="57"/>
      <c r="AFT28" s="57"/>
      <c r="AFU28" s="56"/>
      <c r="AFV28" s="57"/>
      <c r="AFW28" s="57"/>
      <c r="AFX28" s="56"/>
      <c r="AFY28" s="57"/>
      <c r="AFZ28" s="58"/>
      <c r="AGA28" s="56"/>
      <c r="AGB28" s="57"/>
      <c r="AGC28" s="57"/>
      <c r="AGD28" s="57"/>
      <c r="AGE28" s="56"/>
      <c r="AGF28" s="57"/>
      <c r="AGG28" s="57"/>
      <c r="AGH28" s="56"/>
      <c r="AGI28" s="57"/>
      <c r="AGJ28" s="58"/>
      <c r="AGK28" s="56"/>
      <c r="AGL28" s="57"/>
      <c r="AGM28" s="57"/>
      <c r="AGN28" s="57"/>
      <c r="AGO28" s="56"/>
      <c r="AGP28" s="57"/>
      <c r="AGQ28" s="57"/>
      <c r="AGR28" s="56"/>
      <c r="AGS28" s="57"/>
      <c r="AGT28" s="58"/>
      <c r="AGU28" s="56"/>
      <c r="AGV28" s="57"/>
      <c r="AGW28" s="57"/>
      <c r="AGX28" s="57"/>
      <c r="AGY28" s="56"/>
      <c r="AGZ28" s="57"/>
      <c r="AHA28" s="57"/>
      <c r="AHB28" s="56"/>
      <c r="AHC28" s="57"/>
      <c r="AHD28" s="58"/>
      <c r="AHE28" s="56"/>
      <c r="AHF28" s="57"/>
      <c r="AHG28" s="57"/>
      <c r="AHH28" s="57"/>
      <c r="AHI28" s="56"/>
      <c r="AHJ28" s="57"/>
      <c r="AHK28" s="57"/>
      <c r="AHL28" s="56"/>
      <c r="AHM28" s="57"/>
      <c r="AHN28" s="58"/>
      <c r="AHO28" s="56"/>
      <c r="AHP28" s="57"/>
      <c r="AHQ28" s="57"/>
      <c r="AHR28" s="57"/>
      <c r="AHS28" s="56"/>
      <c r="AHT28" s="57"/>
      <c r="AHU28" s="57"/>
      <c r="AHV28" s="56"/>
      <c r="AHW28" s="57"/>
      <c r="AHX28" s="58"/>
      <c r="AHY28" s="56"/>
      <c r="AHZ28" s="57"/>
      <c r="AIA28" s="57"/>
      <c r="AIB28" s="57"/>
      <c r="AIC28" s="56"/>
      <c r="AID28" s="57"/>
      <c r="AIE28" s="57"/>
      <c r="AIF28" s="56"/>
      <c r="AIG28" s="57"/>
      <c r="AIH28" s="58"/>
      <c r="AII28" s="56"/>
      <c r="AIJ28" s="57"/>
      <c r="AIK28" s="57"/>
      <c r="AIL28" s="57"/>
      <c r="AIM28" s="56"/>
      <c r="AIN28" s="57"/>
      <c r="AIO28" s="57"/>
      <c r="AIP28" s="56"/>
      <c r="AIQ28" s="57"/>
      <c r="AIR28" s="58"/>
      <c r="AIS28" s="56"/>
      <c r="AIT28" s="57"/>
      <c r="AIU28" s="57"/>
      <c r="AIV28" s="57"/>
      <c r="AIW28" s="56"/>
      <c r="AIX28" s="57"/>
      <c r="AIY28" s="57"/>
      <c r="AIZ28" s="56"/>
      <c r="AJA28" s="57"/>
      <c r="AJB28" s="58"/>
      <c r="AJC28" s="56"/>
      <c r="AJD28" s="57"/>
      <c r="AJE28" s="57"/>
      <c r="AJF28" s="57"/>
      <c r="AJG28" s="56"/>
      <c r="AJH28" s="57"/>
      <c r="AJI28" s="57"/>
      <c r="AJJ28" s="56"/>
      <c r="AJK28" s="57"/>
      <c r="AJL28" s="58"/>
      <c r="AJM28" s="56"/>
      <c r="AJN28" s="57"/>
      <c r="AJO28" s="57"/>
      <c r="AJP28" s="57"/>
      <c r="AJQ28" s="56"/>
      <c r="AJR28" s="57"/>
      <c r="AJS28" s="57"/>
      <c r="AJT28" s="56"/>
      <c r="AJU28" s="57"/>
      <c r="AJV28" s="58"/>
      <c r="AJW28" s="56"/>
      <c r="AJX28" s="57"/>
      <c r="AJY28" s="57"/>
      <c r="AJZ28" s="57"/>
      <c r="AKA28" s="56"/>
      <c r="AKB28" s="57"/>
      <c r="AKC28" s="57"/>
      <c r="AKD28" s="56"/>
      <c r="AKE28" s="57"/>
      <c r="AKF28" s="58"/>
      <c r="AKG28" s="56"/>
      <c r="AKH28" s="57"/>
      <c r="AKI28" s="57"/>
      <c r="AKJ28" s="57"/>
      <c r="AKK28" s="56"/>
      <c r="AKL28" s="57"/>
      <c r="AKM28" s="57"/>
      <c r="AKN28" s="56"/>
      <c r="AKO28" s="57"/>
      <c r="AKP28" s="58"/>
      <c r="AKQ28" s="56"/>
      <c r="AKR28" s="57"/>
      <c r="AKS28" s="57"/>
      <c r="AKT28" s="57"/>
      <c r="AKU28" s="56"/>
      <c r="AKV28" s="57"/>
      <c r="AKW28" s="57"/>
      <c r="AKX28" s="56"/>
      <c r="AKY28" s="57"/>
      <c r="AKZ28" s="58"/>
      <c r="ALA28" s="56"/>
      <c r="ALB28" s="57"/>
      <c r="ALC28" s="57"/>
      <c r="ALD28" s="57"/>
      <c r="ALE28" s="56"/>
      <c r="ALF28" s="57"/>
      <c r="ALG28" s="57"/>
      <c r="ALH28" s="57"/>
      <c r="ALI28" s="57"/>
      <c r="ALJ28" s="57"/>
      <c r="ALK28" s="56"/>
      <c r="ALL28" s="57"/>
      <c r="ALM28" s="57"/>
      <c r="ALN28" s="56"/>
      <c r="ALO28" s="57"/>
      <c r="ALP28" s="58"/>
      <c r="ALQ28" s="56"/>
      <c r="ALR28" s="57"/>
      <c r="ALS28" s="57"/>
      <c r="ALT28" s="57"/>
      <c r="ALU28" s="56"/>
      <c r="ALV28" s="57"/>
      <c r="ALW28" s="57"/>
      <c r="ALX28" s="56"/>
      <c r="ALY28" s="57"/>
      <c r="ALZ28" s="58"/>
      <c r="AMA28" s="56"/>
      <c r="AMB28" s="57"/>
      <c r="AMC28" s="57"/>
      <c r="AMD28" s="57"/>
      <c r="AME28" s="56"/>
      <c r="AMF28" s="57"/>
      <c r="AMG28" s="57"/>
      <c r="AMH28" s="57"/>
      <c r="AMI28" s="57"/>
      <c r="AMJ28" s="57"/>
      <c r="AMK28" s="56"/>
      <c r="AML28" s="57"/>
      <c r="AMM28" s="57"/>
      <c r="AMN28" s="56"/>
      <c r="AMO28" s="57"/>
      <c r="AMP28" s="58"/>
      <c r="AMQ28" s="56"/>
      <c r="AMR28" s="57"/>
      <c r="AMS28" s="57"/>
      <c r="AMT28" s="57"/>
      <c r="AMU28" s="56"/>
      <c r="AMV28" s="57"/>
      <c r="AMW28" s="57"/>
      <c r="AMX28" s="56"/>
      <c r="AMY28" s="57"/>
      <c r="AMZ28" s="58"/>
      <c r="ANA28" s="56"/>
      <c r="ANB28" s="57"/>
      <c r="ANC28" s="57"/>
      <c r="AND28" s="57"/>
      <c r="ANE28" s="56"/>
      <c r="ANF28" s="57"/>
      <c r="ANG28" s="57"/>
      <c r="ANH28" s="57"/>
      <c r="ANI28" s="57"/>
      <c r="ANJ28" s="57"/>
      <c r="ANK28" s="56"/>
      <c r="ANL28" s="57"/>
      <c r="ANM28" s="57"/>
      <c r="ANN28" s="56"/>
      <c r="ANO28" s="57"/>
      <c r="ANP28" s="58"/>
      <c r="ANQ28" s="56"/>
      <c r="ANR28" s="57"/>
      <c r="ANS28" s="57"/>
      <c r="ANT28" s="57"/>
      <c r="ANU28" s="56"/>
      <c r="ANV28" s="57"/>
      <c r="ANW28" s="57"/>
      <c r="ANX28" s="56"/>
      <c r="ANY28" s="57"/>
      <c r="ANZ28" s="58"/>
      <c r="AOA28" s="56"/>
      <c r="AOB28" s="57"/>
      <c r="AOC28" s="57"/>
      <c r="AOD28" s="57"/>
      <c r="AOE28" s="56"/>
      <c r="AOF28" s="57"/>
      <c r="AOG28" s="57"/>
      <c r="AOH28" s="57"/>
      <c r="AOI28" s="57"/>
      <c r="AOJ28" s="57"/>
      <c r="AOK28" s="56"/>
      <c r="AOL28" s="57"/>
      <c r="AOM28" s="57"/>
      <c r="AON28" s="56"/>
      <c r="AOO28" s="57"/>
      <c r="AOP28" s="58"/>
      <c r="AOQ28" s="56"/>
      <c r="AOR28" s="57"/>
      <c r="AOS28" s="57"/>
      <c r="AOT28" s="57"/>
      <c r="AOU28" s="56"/>
      <c r="AOV28" s="57"/>
      <c r="AOW28" s="57"/>
      <c r="AOX28" s="56"/>
      <c r="AOY28" s="57"/>
      <c r="AOZ28" s="58"/>
      <c r="APA28" s="56"/>
      <c r="APB28" s="57"/>
      <c r="APC28" s="57"/>
      <c r="APD28" s="57"/>
      <c r="APE28" s="56"/>
      <c r="APF28" s="57"/>
      <c r="APG28" s="57"/>
      <c r="APH28" s="57"/>
      <c r="API28" s="57"/>
      <c r="APJ28" s="57"/>
      <c r="APK28" s="56"/>
      <c r="APL28" s="57"/>
      <c r="APM28" s="57"/>
      <c r="APN28" s="56"/>
      <c r="APO28" s="57"/>
      <c r="APP28" s="58"/>
      <c r="APQ28" s="56"/>
      <c r="APR28" s="57"/>
      <c r="APS28" s="57"/>
      <c r="APT28" s="57"/>
      <c r="APU28" s="56"/>
      <c r="APV28" s="57"/>
      <c r="APW28" s="57"/>
      <c r="APX28" s="56"/>
      <c r="APY28" s="57"/>
      <c r="APZ28" s="58"/>
      <c r="AQA28" s="56"/>
      <c r="AQB28" s="57"/>
      <c r="AQC28" s="57"/>
      <c r="AQD28" s="57"/>
      <c r="AQE28" s="56"/>
      <c r="AQF28" s="57"/>
      <c r="AQG28" s="57"/>
      <c r="AQH28" s="57"/>
      <c r="AQI28" s="57"/>
      <c r="AQJ28" s="57"/>
      <c r="AQK28" s="56"/>
      <c r="AQL28" s="57"/>
      <c r="AQM28" s="57"/>
      <c r="AQN28" s="56"/>
      <c r="AQO28" s="57"/>
      <c r="AQP28" s="58"/>
      <c r="AQQ28" s="56"/>
      <c r="AQR28" s="57"/>
      <c r="AQS28" s="57"/>
      <c r="AQT28" s="57"/>
      <c r="AQU28" s="56"/>
      <c r="AQV28" s="57"/>
      <c r="AQW28" s="57"/>
      <c r="AQX28" s="56"/>
      <c r="AQY28" s="57"/>
      <c r="AQZ28" s="58"/>
      <c r="ARA28" s="56"/>
      <c r="ARB28" s="57"/>
      <c r="ARC28" s="57"/>
      <c r="ARD28" s="57"/>
      <c r="ARE28" s="56"/>
      <c r="ARF28" s="57"/>
      <c r="ARG28" s="57"/>
      <c r="ARH28" s="57"/>
      <c r="ARI28" s="57"/>
      <c r="ARJ28" s="57"/>
      <c r="ARK28" s="56"/>
      <c r="ARL28" s="57"/>
      <c r="ARM28" s="57"/>
      <c r="ARN28" s="56"/>
      <c r="ARO28" s="57"/>
      <c r="ARP28" s="58"/>
      <c r="ARQ28" s="56"/>
      <c r="ARR28" s="57"/>
      <c r="ARS28" s="57"/>
      <c r="ART28" s="57"/>
      <c r="ARU28" s="56"/>
      <c r="ARV28" s="57"/>
      <c r="ARW28" s="57"/>
      <c r="ARX28" s="56"/>
      <c r="ARY28" s="57"/>
      <c r="ARZ28" s="58"/>
      <c r="ASA28" s="56"/>
      <c r="ASB28" s="57"/>
      <c r="ASC28" s="57"/>
      <c r="ASD28" s="57"/>
      <c r="ASE28" s="56"/>
      <c r="ASF28" s="57"/>
      <c r="ASG28" s="57"/>
      <c r="ASH28" s="57"/>
      <c r="ASI28" s="57"/>
      <c r="ASJ28" s="57"/>
      <c r="ASK28" s="56"/>
      <c r="ASL28" s="57"/>
      <c r="ASM28" s="57"/>
      <c r="ASN28" s="56"/>
      <c r="ASO28" s="57"/>
      <c r="ASP28" s="58"/>
      <c r="ASQ28" s="56"/>
      <c r="ASR28" s="57"/>
      <c r="ASS28" s="57"/>
      <c r="AST28" s="57"/>
      <c r="ASU28" s="56"/>
      <c r="ASV28" s="57"/>
      <c r="ASW28" s="57"/>
      <c r="ASX28" s="56"/>
      <c r="ASY28" s="57"/>
      <c r="ASZ28" s="58"/>
      <c r="ATA28" s="56"/>
      <c r="ATB28" s="57"/>
      <c r="ATC28" s="57"/>
      <c r="ATD28" s="57"/>
      <c r="ATE28" s="56"/>
      <c r="ATF28" s="57"/>
      <c r="ATG28" s="57"/>
      <c r="ATH28" s="57"/>
      <c r="ATI28" s="57"/>
      <c r="ATJ28" s="57"/>
      <c r="ATK28" s="56"/>
      <c r="ATL28" s="57"/>
      <c r="ATM28" s="57"/>
      <c r="ATN28" s="56"/>
      <c r="ATO28" s="57"/>
      <c r="ATP28" s="58"/>
      <c r="ATQ28" s="56"/>
      <c r="ATR28" s="57"/>
      <c r="ATS28" s="57"/>
      <c r="ATT28" s="57"/>
      <c r="ATU28" s="56"/>
      <c r="ATV28" s="57"/>
      <c r="ATW28" s="57"/>
      <c r="ATX28" s="56"/>
      <c r="ATY28" s="57"/>
      <c r="ATZ28" s="58"/>
      <c r="AUA28" s="56"/>
      <c r="AUB28" s="57"/>
      <c r="AUC28" s="57"/>
      <c r="AUD28" s="57"/>
      <c r="AUE28" s="56"/>
      <c r="AUF28" s="57"/>
      <c r="AUG28" s="57"/>
      <c r="AUH28" s="57"/>
      <c r="AUI28" s="57"/>
      <c r="AUJ28" s="57"/>
      <c r="AUK28" s="56"/>
      <c r="AUL28" s="57"/>
      <c r="AUM28" s="57"/>
      <c r="AUN28" s="56"/>
      <c r="AUO28" s="57"/>
      <c r="AUP28" s="58"/>
      <c r="AUQ28" s="56"/>
      <c r="AUR28" s="57"/>
      <c r="AUS28" s="57"/>
      <c r="AUT28" s="57"/>
      <c r="AUU28" s="56"/>
      <c r="AUV28" s="57"/>
      <c r="AUW28" s="57"/>
      <c r="AUX28" s="56"/>
      <c r="AUY28" s="57"/>
      <c r="AUZ28" s="58"/>
      <c r="AVA28" s="56"/>
      <c r="AVB28" s="57"/>
      <c r="AVC28" s="57"/>
      <c r="AVD28" s="57"/>
      <c r="AVE28" s="56"/>
      <c r="AVF28" s="57"/>
      <c r="AVG28" s="57"/>
      <c r="AVH28" s="57"/>
      <c r="AVI28" s="57"/>
      <c r="AVJ28" s="57"/>
      <c r="AVK28" s="56"/>
      <c r="AVL28" s="57"/>
      <c r="AVM28" s="57"/>
      <c r="AVN28" s="56"/>
      <c r="AVO28" s="57"/>
      <c r="AVP28" s="58"/>
      <c r="AVQ28" s="56"/>
      <c r="AVR28" s="57"/>
      <c r="AVS28" s="57"/>
      <c r="AVT28" s="57"/>
      <c r="AVU28" s="56"/>
      <c r="AVV28" s="57"/>
      <c r="AVW28" s="57"/>
      <c r="AVX28" s="56"/>
      <c r="AVY28" s="57"/>
      <c r="AVZ28" s="58"/>
      <c r="AWA28" s="56"/>
      <c r="AWB28" s="57"/>
      <c r="AWC28" s="57"/>
      <c r="AWD28" s="57"/>
      <c r="AWE28" s="56"/>
      <c r="AWF28" s="57"/>
      <c r="AWG28" s="57"/>
      <c r="AWH28" s="57"/>
      <c r="AWI28" s="57"/>
      <c r="AWJ28" s="57"/>
      <c r="AWK28" s="56"/>
      <c r="AWL28" s="57"/>
      <c r="AWM28" s="57"/>
      <c r="AWN28" s="56"/>
      <c r="AWO28" s="57"/>
      <c r="AWP28" s="58"/>
      <c r="AWQ28" s="56"/>
      <c r="AWR28" s="57"/>
      <c r="AWS28" s="57"/>
      <c r="AWT28" s="57"/>
      <c r="AWU28" s="56"/>
      <c r="AWV28" s="57"/>
      <c r="AWW28" s="57"/>
      <c r="AWX28" s="56"/>
      <c r="AWY28" s="57"/>
      <c r="AWZ28" s="58"/>
      <c r="AXA28" s="56"/>
      <c r="AXB28" s="57"/>
      <c r="AXC28" s="57"/>
      <c r="AXD28" s="57"/>
      <c r="AXE28" s="56"/>
      <c r="AXF28" s="57"/>
      <c r="AXG28" s="57"/>
      <c r="AXH28" s="57"/>
      <c r="AXI28" s="57"/>
      <c r="AXJ28" s="57"/>
      <c r="AXK28" s="56"/>
      <c r="AXL28" s="57"/>
      <c r="AXM28" s="57"/>
      <c r="AXN28" s="56"/>
      <c r="AXO28" s="57"/>
      <c r="AXP28" s="58"/>
      <c r="AXQ28" s="56"/>
      <c r="AXR28" s="57"/>
      <c r="AXS28" s="57"/>
      <c r="AXT28" s="57"/>
      <c r="AXU28" s="56"/>
      <c r="AXV28" s="57"/>
      <c r="AXW28" s="57"/>
      <c r="AXX28" s="56"/>
      <c r="AXY28" s="57"/>
      <c r="AXZ28" s="58"/>
      <c r="AYA28" s="56"/>
      <c r="AYB28" s="57"/>
      <c r="AYC28" s="57"/>
      <c r="AYD28" s="57"/>
      <c r="AYE28" s="56"/>
      <c r="AYF28" s="57"/>
      <c r="AYG28" s="57"/>
      <c r="AYH28" s="57"/>
      <c r="AYI28" s="57"/>
      <c r="AYJ28" s="57"/>
      <c r="AYK28" s="56"/>
      <c r="AYL28" s="57"/>
      <c r="AYM28" s="57"/>
      <c r="AYN28" s="56"/>
      <c r="AYO28" s="57"/>
      <c r="AYP28" s="58"/>
      <c r="AYQ28" s="56"/>
      <c r="AYR28" s="57"/>
      <c r="AYS28" s="57"/>
      <c r="AYT28" s="57"/>
      <c r="AYU28" s="56"/>
      <c r="AYV28" s="57"/>
      <c r="AYW28" s="57"/>
      <c r="AYX28" s="56"/>
      <c r="AYY28" s="57"/>
      <c r="AYZ28" s="58"/>
      <c r="AZA28" s="56"/>
      <c r="AZB28" s="57"/>
      <c r="AZC28" s="57"/>
      <c r="AZD28" s="57"/>
      <c r="AZE28" s="56"/>
      <c r="AZF28" s="57"/>
      <c r="AZG28" s="57"/>
      <c r="AZH28" s="57"/>
      <c r="AZI28" s="57"/>
      <c r="AZJ28" s="57"/>
      <c r="AZK28" s="56"/>
      <c r="AZL28" s="57"/>
      <c r="AZM28" s="57"/>
      <c r="AZN28" s="56"/>
      <c r="AZO28" s="57"/>
      <c r="AZP28" s="58"/>
      <c r="AZQ28" s="56"/>
      <c r="AZR28" s="57"/>
      <c r="AZS28" s="57"/>
      <c r="AZT28" s="57"/>
      <c r="AZU28" s="56"/>
      <c r="AZV28" s="57"/>
      <c r="AZW28" s="57"/>
      <c r="AZX28" s="56"/>
      <c r="AZY28" s="57"/>
      <c r="AZZ28" s="58"/>
      <c r="BAA28" s="56"/>
      <c r="BAB28" s="57"/>
      <c r="BAC28" s="57"/>
      <c r="BAD28" s="57"/>
      <c r="BAE28" s="56"/>
      <c r="BAF28" s="57"/>
      <c r="BAG28" s="57"/>
      <c r="BAH28" s="57"/>
      <c r="BAI28" s="57"/>
      <c r="BAJ28" s="57"/>
      <c r="BAK28" s="56"/>
      <c r="BAL28" s="57"/>
      <c r="BAM28" s="57"/>
      <c r="BAN28" s="56"/>
      <c r="BAO28" s="57"/>
      <c r="BAP28" s="58"/>
      <c r="BAQ28" s="56"/>
      <c r="BAR28" s="57"/>
      <c r="BAS28" s="57"/>
      <c r="BAT28" s="57"/>
      <c r="BAU28" s="56"/>
      <c r="BAV28" s="57"/>
      <c r="BAW28" s="57"/>
      <c r="BAX28" s="56"/>
      <c r="BAY28" s="57"/>
      <c r="BAZ28" s="58"/>
      <c r="BBA28" s="56"/>
      <c r="BBB28" s="57"/>
      <c r="BBC28" s="57"/>
      <c r="BBD28" s="57"/>
      <c r="BBE28" s="56"/>
      <c r="BBF28" s="57"/>
      <c r="BBG28" s="57"/>
      <c r="BBH28" s="57"/>
      <c r="BBI28" s="57"/>
      <c r="BBJ28" s="57"/>
      <c r="BBK28" s="56"/>
      <c r="BBL28" s="57"/>
      <c r="BBM28" s="57"/>
      <c r="BBN28" s="56"/>
      <c r="BBO28" s="57"/>
      <c r="BBP28" s="58"/>
      <c r="BBQ28" s="56"/>
      <c r="BBR28" s="57"/>
      <c r="BBS28" s="57"/>
      <c r="BBT28" s="57"/>
      <c r="BBU28" s="56"/>
      <c r="BBV28" s="57"/>
      <c r="BBW28" s="57"/>
      <c r="BBX28" s="56"/>
      <c r="BBY28" s="57"/>
      <c r="BBZ28" s="58"/>
      <c r="BCA28" s="56"/>
      <c r="BCB28" s="57"/>
      <c r="BCC28" s="57"/>
      <c r="BCD28" s="57"/>
      <c r="BCE28" s="56"/>
      <c r="BCF28" s="57"/>
      <c r="BCG28" s="57"/>
      <c r="BCH28" s="57"/>
      <c r="BCI28" s="57"/>
      <c r="BCJ28" s="57"/>
      <c r="BCK28" s="56"/>
      <c r="BCL28" s="57"/>
      <c r="BCM28" s="57"/>
      <c r="BCN28" s="56"/>
      <c r="BCO28" s="57"/>
      <c r="BCP28" s="58"/>
      <c r="BCQ28" s="56"/>
      <c r="BCR28" s="57"/>
      <c r="BCS28" s="57"/>
      <c r="BCT28" s="57"/>
      <c r="BCU28" s="56"/>
      <c r="BCV28" s="57"/>
      <c r="BCW28" s="57"/>
      <c r="BCX28" s="56"/>
      <c r="BCY28" s="57"/>
      <c r="BCZ28" s="58"/>
      <c r="BDA28" s="56"/>
      <c r="BDB28" s="57"/>
      <c r="BDC28" s="57"/>
      <c r="BDD28" s="57"/>
      <c r="BDE28" s="56"/>
      <c r="BDF28" s="57"/>
      <c r="BDG28" s="57"/>
      <c r="BDH28" s="57"/>
      <c r="BDI28" s="57"/>
      <c r="BDJ28" s="57"/>
      <c r="BDK28" s="56"/>
      <c r="BDL28" s="57"/>
      <c r="BDM28" s="57"/>
      <c r="BDN28" s="56"/>
      <c r="BDO28" s="57"/>
      <c r="BDP28" s="58"/>
      <c r="BDQ28" s="56"/>
      <c r="BDR28" s="57"/>
      <c r="BDS28" s="57"/>
      <c r="BDT28" s="57"/>
      <c r="BDU28" s="56"/>
      <c r="BDV28" s="57"/>
      <c r="BDW28" s="57"/>
      <c r="BDX28" s="56"/>
      <c r="BDY28" s="57"/>
      <c r="BDZ28" s="58"/>
      <c r="BEA28" s="56"/>
      <c r="BEB28" s="57"/>
      <c r="BEC28" s="57"/>
      <c r="BED28" s="57"/>
      <c r="BEE28" s="56"/>
      <c r="BEF28" s="57"/>
      <c r="BEG28" s="57"/>
      <c r="BEH28" s="57"/>
      <c r="BEI28" s="57"/>
      <c r="BEJ28" s="57"/>
      <c r="BEK28" s="56"/>
      <c r="BEL28" s="57"/>
      <c r="BEM28" s="57"/>
      <c r="BEN28" s="56"/>
      <c r="BEO28" s="57"/>
      <c r="BEP28" s="58"/>
      <c r="BEQ28" s="56"/>
      <c r="BER28" s="57"/>
      <c r="BES28" s="57"/>
      <c r="BET28" s="57"/>
      <c r="BEU28" s="56"/>
      <c r="BEV28" s="57"/>
      <c r="BEW28" s="57"/>
      <c r="BEX28" s="56"/>
      <c r="BEY28" s="57"/>
      <c r="BEZ28" s="58"/>
      <c r="BFA28" s="56"/>
      <c r="BFB28" s="57"/>
      <c r="BFC28" s="57"/>
      <c r="BFD28" s="57"/>
      <c r="BFE28" s="56"/>
      <c r="BFF28" s="57"/>
      <c r="BFG28" s="57"/>
      <c r="BFH28" s="57"/>
      <c r="BFI28" s="57"/>
      <c r="BFJ28" s="57"/>
      <c r="BFK28" s="56"/>
      <c r="BFL28" s="57"/>
      <c r="BFM28" s="57"/>
      <c r="BFN28" s="56"/>
      <c r="BFO28" s="57"/>
      <c r="BFP28" s="58"/>
      <c r="BFQ28" s="56"/>
      <c r="BFR28" s="57"/>
      <c r="BFS28" s="57"/>
      <c r="BFT28" s="57"/>
      <c r="BFU28" s="56"/>
      <c r="BFV28" s="57"/>
      <c r="BFW28" s="57"/>
      <c r="BFX28" s="56"/>
      <c r="BFY28" s="57"/>
      <c r="BFZ28" s="58"/>
      <c r="BGA28" s="56"/>
      <c r="BGB28" s="57"/>
      <c r="BGC28" s="57"/>
      <c r="BGD28" s="57"/>
      <c r="BGE28" s="56"/>
      <c r="BGF28" s="57"/>
      <c r="BGG28" s="57"/>
      <c r="BGH28" s="57"/>
      <c r="BGI28" s="57"/>
      <c r="BGJ28" s="57"/>
      <c r="BGK28" s="56"/>
      <c r="BGL28" s="57"/>
      <c r="BGM28" s="57"/>
      <c r="BGN28" s="56"/>
      <c r="BGO28" s="57"/>
      <c r="BGP28" s="58"/>
      <c r="BGQ28" s="56"/>
      <c r="BGR28" s="57"/>
      <c r="BGS28" s="57"/>
      <c r="BGT28" s="57"/>
      <c r="BGU28" s="56"/>
      <c r="BGV28" s="57"/>
      <c r="BGW28" s="57"/>
      <c r="BGX28" s="56"/>
      <c r="BGY28" s="57"/>
      <c r="BGZ28" s="58"/>
      <c r="BHA28" s="56"/>
      <c r="BHB28" s="57"/>
      <c r="BHC28" s="57"/>
      <c r="BHD28" s="57"/>
      <c r="BHE28" s="56"/>
      <c r="BHF28" s="57"/>
      <c r="BHG28" s="57"/>
      <c r="BHH28" s="57"/>
      <c r="BHI28" s="57"/>
      <c r="BHJ28" s="57"/>
      <c r="BHK28" s="56"/>
      <c r="BHL28" s="57"/>
      <c r="BHM28" s="57"/>
      <c r="BHN28" s="56"/>
      <c r="BHO28" s="57"/>
      <c r="BHP28" s="58"/>
      <c r="BHQ28" s="56"/>
      <c r="BHR28" s="57"/>
      <c r="BHS28" s="57"/>
      <c r="BHT28" s="57"/>
      <c r="BHU28" s="56"/>
      <c r="BHV28" s="57"/>
      <c r="BHW28" s="57"/>
      <c r="BHX28" s="56"/>
      <c r="BHY28" s="57"/>
      <c r="BHZ28" s="58"/>
      <c r="BIA28" s="56"/>
      <c r="BIB28" s="57"/>
      <c r="BIC28" s="57"/>
      <c r="BID28" s="57"/>
      <c r="BIE28" s="56"/>
      <c r="BIF28" s="57"/>
      <c r="BIG28" s="57"/>
      <c r="BIH28" s="57"/>
      <c r="BII28" s="57"/>
      <c r="BIJ28" s="57"/>
      <c r="BIK28" s="56"/>
      <c r="BIL28" s="57"/>
      <c r="BIM28" s="57"/>
      <c r="BIN28" s="56"/>
      <c r="BIO28" s="57"/>
      <c r="BIP28" s="58"/>
      <c r="BIQ28" s="56"/>
      <c r="BIR28" s="57"/>
      <c r="BIS28" s="57"/>
      <c r="BIT28" s="57"/>
      <c r="BIU28" s="56"/>
      <c r="BIV28" s="57"/>
      <c r="BIW28" s="57"/>
      <c r="BIX28" s="56"/>
      <c r="BIY28" s="57"/>
      <c r="BIZ28" s="58"/>
      <c r="BJA28" s="56"/>
      <c r="BJB28" s="57"/>
      <c r="BJC28" s="57"/>
      <c r="BJD28" s="57"/>
      <c r="BJE28" s="56"/>
      <c r="BJF28" s="57"/>
      <c r="BJG28" s="57"/>
      <c r="BJH28" s="57"/>
      <c r="BJI28" s="57"/>
      <c r="BJJ28" s="57"/>
      <c r="BJK28" s="56"/>
      <c r="BJL28" s="57"/>
      <c r="BJM28" s="57"/>
      <c r="BJN28" s="56"/>
      <c r="BJO28" s="57"/>
      <c r="BJP28" s="58"/>
      <c r="BJQ28" s="56"/>
      <c r="BJR28" s="57"/>
      <c r="BJS28" s="57"/>
      <c r="BJT28" s="57"/>
      <c r="BJU28" s="56"/>
      <c r="BJV28" s="57"/>
      <c r="BJW28" s="57"/>
      <c r="BJX28" s="56"/>
      <c r="BJY28" s="57"/>
      <c r="BJZ28" s="58"/>
      <c r="BKA28" s="56"/>
      <c r="BKB28" s="57"/>
      <c r="BKC28" s="57"/>
      <c r="BKD28" s="57"/>
      <c r="BKE28" s="56"/>
      <c r="BKF28" s="57"/>
      <c r="BKG28" s="57"/>
      <c r="BKH28" s="57"/>
      <c r="BKI28" s="57"/>
      <c r="BKJ28" s="57"/>
      <c r="BKK28" s="56"/>
      <c r="BKL28" s="57"/>
      <c r="BKM28" s="57"/>
      <c r="BKN28" s="56"/>
      <c r="BKO28" s="57"/>
      <c r="BKP28" s="58"/>
      <c r="BKQ28" s="56"/>
      <c r="BKR28" s="57"/>
      <c r="BKS28" s="57"/>
      <c r="BKT28" s="57"/>
      <c r="BKU28" s="56"/>
      <c r="BKV28" s="57"/>
      <c r="BKW28" s="57"/>
      <c r="BKX28" s="56"/>
      <c r="BKY28" s="57"/>
      <c r="BKZ28" s="58"/>
      <c r="BLA28" s="56"/>
      <c r="BLB28" s="57"/>
      <c r="BLC28" s="57"/>
      <c r="BLD28" s="57"/>
      <c r="BLE28" s="56"/>
      <c r="BLF28" s="57"/>
      <c r="BLG28" s="57"/>
      <c r="BLH28" s="57"/>
      <c r="BLI28" s="57"/>
      <c r="BLJ28" s="57"/>
      <c r="BLK28" s="56"/>
      <c r="BLL28" s="57"/>
      <c r="BLM28" s="57"/>
      <c r="BLN28" s="56"/>
      <c r="BLO28" s="57"/>
      <c r="BLP28" s="58"/>
      <c r="BLQ28" s="56"/>
      <c r="BLR28" s="57"/>
      <c r="BLS28" s="57"/>
      <c r="BLT28" s="57"/>
      <c r="BLU28" s="56"/>
      <c r="BLV28" s="57"/>
      <c r="BLW28" s="57"/>
      <c r="BLX28" s="56"/>
      <c r="BLY28" s="57"/>
      <c r="BLZ28" s="58"/>
      <c r="BMA28" s="56"/>
      <c r="BMB28" s="57"/>
      <c r="BMC28" s="57"/>
      <c r="BMD28" s="57"/>
      <c r="BME28" s="56"/>
      <c r="BMF28" s="57"/>
      <c r="BMG28" s="57"/>
      <c r="BMH28" s="57"/>
      <c r="BMI28" s="57"/>
      <c r="BMJ28" s="57"/>
      <c r="BMK28" s="56"/>
      <c r="BML28" s="57"/>
      <c r="BMM28" s="57"/>
      <c r="BMN28" s="56"/>
      <c r="BMO28" s="57"/>
      <c r="BMP28" s="58"/>
      <c r="BMQ28" s="56"/>
      <c r="BMR28" s="57"/>
      <c r="BMS28" s="57"/>
      <c r="BMT28" s="57"/>
      <c r="BMU28" s="56"/>
      <c r="BMV28" s="57"/>
      <c r="BMW28" s="57"/>
      <c r="BMX28" s="56"/>
      <c r="BMY28" s="57"/>
      <c r="BMZ28" s="58"/>
      <c r="BNA28" s="56"/>
      <c r="BNB28" s="57"/>
      <c r="BNC28" s="57"/>
      <c r="BND28" s="57"/>
      <c r="BNE28" s="56"/>
      <c r="BNF28" s="57"/>
      <c r="BNG28" s="57"/>
      <c r="BNH28" s="57"/>
      <c r="BNI28" s="57"/>
      <c r="BNJ28" s="57"/>
      <c r="BNK28" s="56"/>
      <c r="BNL28" s="57"/>
      <c r="BNM28" s="57"/>
      <c r="BNN28" s="56"/>
      <c r="BNO28" s="57"/>
      <c r="BNP28" s="58"/>
      <c r="BNQ28" s="56"/>
      <c r="BNR28" s="57"/>
      <c r="BNS28" s="57"/>
      <c r="BNT28" s="57"/>
      <c r="BNU28" s="56"/>
      <c r="BNV28" s="57"/>
      <c r="BNW28" s="57"/>
      <c r="BNX28" s="56"/>
      <c r="BNY28" s="57"/>
      <c r="BNZ28" s="58"/>
      <c r="BOA28" s="56"/>
      <c r="BOB28" s="57"/>
      <c r="BOC28" s="57"/>
      <c r="BOD28" s="57"/>
      <c r="BOE28" s="56"/>
      <c r="BOF28" s="57"/>
      <c r="BOG28" s="57"/>
      <c r="BOH28" s="57"/>
      <c r="BOI28" s="57"/>
      <c r="BOJ28" s="57"/>
      <c r="BOK28" s="56"/>
      <c r="BOL28" s="57"/>
      <c r="BOM28" s="57"/>
      <c r="BON28" s="56"/>
      <c r="BOO28" s="57"/>
      <c r="BOP28" s="58"/>
      <c r="BOQ28" s="56"/>
      <c r="BOR28" s="57"/>
      <c r="BOS28" s="57"/>
      <c r="BOT28" s="57"/>
      <c r="BOU28" s="56"/>
      <c r="BOV28" s="57"/>
      <c r="BOW28" s="57"/>
      <c r="BOX28" s="56"/>
      <c r="BOY28" s="57"/>
      <c r="BOZ28" s="58"/>
      <c r="BPA28" s="56"/>
      <c r="BPB28" s="57"/>
      <c r="BPC28" s="57"/>
      <c r="BPD28" s="57"/>
      <c r="BPE28" s="56"/>
      <c r="BPF28" s="57"/>
      <c r="BPG28" s="57"/>
      <c r="BPH28" s="57"/>
      <c r="BPI28" s="57"/>
      <c r="BPJ28" s="57"/>
      <c r="BPK28" s="56"/>
      <c r="BPL28" s="57"/>
      <c r="BPM28" s="57"/>
      <c r="BPN28" s="56"/>
      <c r="BPO28" s="57"/>
      <c r="BPP28" s="58"/>
      <c r="BPQ28" s="56"/>
      <c r="BPR28" s="57"/>
      <c r="BPS28" s="57"/>
      <c r="BPT28" s="57"/>
      <c r="BPU28" s="56"/>
      <c r="BPV28" s="57"/>
      <c r="BPW28" s="57"/>
      <c r="BPX28" s="56"/>
      <c r="BPY28" s="57"/>
      <c r="BPZ28" s="58"/>
      <c r="BQA28" s="56"/>
      <c r="BQB28" s="57"/>
      <c r="BQC28" s="57"/>
      <c r="BQD28" s="57"/>
      <c r="BQE28" s="56"/>
      <c r="BQF28" s="57"/>
      <c r="BQG28" s="57"/>
      <c r="BQH28" s="57"/>
      <c r="BQI28" s="57"/>
      <c r="BQJ28" s="57"/>
      <c r="BQK28" s="56"/>
      <c r="BQL28" s="57"/>
      <c r="BQM28" s="57"/>
      <c r="BQN28" s="56"/>
      <c r="BQO28" s="57"/>
      <c r="BQP28" s="58"/>
      <c r="BQQ28" s="56"/>
      <c r="BQR28" s="57"/>
      <c r="BQS28" s="57"/>
      <c r="BQT28" s="57"/>
      <c r="BQU28" s="56"/>
      <c r="BQV28" s="57"/>
      <c r="BQW28" s="57"/>
      <c r="BQX28" s="56"/>
      <c r="BQY28" s="57"/>
      <c r="BQZ28" s="58"/>
      <c r="BRA28" s="56"/>
      <c r="BRB28" s="57"/>
      <c r="BRC28" s="57"/>
      <c r="BRD28" s="57"/>
      <c r="BRE28" s="56"/>
      <c r="BRF28" s="57"/>
      <c r="BRG28" s="57"/>
      <c r="BRH28" s="57"/>
      <c r="BRI28" s="57"/>
      <c r="BRJ28" s="57"/>
      <c r="BRK28" s="56"/>
      <c r="BRL28" s="57"/>
      <c r="BRM28" s="57"/>
      <c r="BRN28" s="56"/>
      <c r="BRO28" s="57"/>
      <c r="BRP28" s="58"/>
      <c r="BRQ28" s="56"/>
      <c r="BRR28" s="57"/>
      <c r="BRS28" s="57"/>
      <c r="BRT28" s="57"/>
      <c r="BRU28" s="56"/>
      <c r="BRV28" s="57"/>
      <c r="BRW28" s="57"/>
      <c r="BRX28" s="56"/>
      <c r="BRY28" s="57"/>
      <c r="BRZ28" s="58"/>
      <c r="BSA28" s="56"/>
      <c r="BSB28" s="57"/>
      <c r="BSC28" s="57"/>
      <c r="BSD28" s="57"/>
      <c r="BSE28" s="56"/>
      <c r="BSF28" s="57"/>
      <c r="BSG28" s="57"/>
      <c r="BSH28" s="57"/>
      <c r="BSI28" s="57"/>
      <c r="BSJ28" s="57"/>
      <c r="BSK28" s="56"/>
      <c r="BSL28" s="57"/>
      <c r="BSM28" s="57"/>
      <c r="BSN28" s="56"/>
      <c r="BSO28" s="57"/>
      <c r="BSP28" s="58"/>
      <c r="BSQ28" s="56"/>
      <c r="BSR28" s="57"/>
      <c r="BSS28" s="57"/>
      <c r="BST28" s="57"/>
      <c r="BSU28" s="56"/>
      <c r="BSV28" s="57"/>
      <c r="BSW28" s="57"/>
      <c r="BSX28" s="56"/>
      <c r="BSY28" s="57"/>
      <c r="BSZ28" s="58"/>
      <c r="BTA28" s="56"/>
      <c r="BTB28" s="57"/>
      <c r="BTC28" s="57"/>
      <c r="BTD28" s="57"/>
      <c r="BTE28" s="56"/>
      <c r="BTF28" s="57"/>
      <c r="BTG28" s="57"/>
      <c r="BTH28" s="57"/>
      <c r="BTI28" s="57"/>
      <c r="BTJ28" s="57"/>
      <c r="BTK28" s="56"/>
      <c r="BTL28" s="57"/>
      <c r="BTM28" s="57"/>
      <c r="BTN28" s="56"/>
      <c r="BTO28" s="57"/>
      <c r="BTP28" s="58"/>
      <c r="BTQ28" s="56"/>
      <c r="BTR28" s="57"/>
      <c r="BTS28" s="57"/>
      <c r="BTT28" s="57"/>
      <c r="BTU28" s="56"/>
      <c r="BTV28" s="57"/>
      <c r="BTW28" s="57"/>
      <c r="BTX28" s="56"/>
      <c r="BTY28" s="57"/>
      <c r="BTZ28" s="58"/>
      <c r="BUA28" s="56"/>
      <c r="BUB28" s="57"/>
      <c r="BUC28" s="57"/>
      <c r="BUD28" s="57"/>
      <c r="BUE28" s="56"/>
      <c r="BUF28" s="57"/>
      <c r="BUG28" s="57"/>
      <c r="BUH28" s="57"/>
      <c r="BUI28" s="57"/>
      <c r="BUJ28" s="57"/>
      <c r="BUK28" s="56"/>
      <c r="BUL28" s="57"/>
      <c r="BUM28" s="57"/>
      <c r="BUN28" s="56"/>
      <c r="BUO28" s="57"/>
      <c r="BUP28" s="58"/>
      <c r="BUQ28" s="56"/>
      <c r="BUR28" s="57"/>
      <c r="BUS28" s="57"/>
      <c r="BUT28" s="57"/>
      <c r="BUU28" s="56"/>
      <c r="BUV28" s="57"/>
      <c r="BUW28" s="57"/>
      <c r="BUX28" s="56"/>
      <c r="BUY28" s="57"/>
      <c r="BUZ28" s="58"/>
      <c r="BVA28" s="56"/>
      <c r="BVB28" s="57"/>
      <c r="BVC28" s="57"/>
      <c r="BVD28" s="57"/>
      <c r="BVE28" s="56"/>
      <c r="BVF28" s="57"/>
      <c r="BVG28" s="57"/>
      <c r="BVH28" s="57"/>
      <c r="BVI28" s="57"/>
      <c r="BVJ28" s="57"/>
      <c r="BVK28" s="56"/>
      <c r="BVL28" s="57"/>
      <c r="BVM28" s="57"/>
      <c r="BVN28" s="56"/>
      <c r="BVO28" s="57"/>
      <c r="BVP28" s="58"/>
      <c r="BVQ28" s="56"/>
      <c r="BVR28" s="57"/>
      <c r="BVS28" s="57"/>
      <c r="BVT28" s="57"/>
      <c r="BVU28" s="56"/>
      <c r="BVV28" s="57"/>
      <c r="BVW28" s="57"/>
      <c r="BVX28" s="56"/>
      <c r="BVY28" s="57"/>
      <c r="BVZ28" s="58"/>
      <c r="BWA28" s="56"/>
      <c r="BWB28" s="57"/>
      <c r="BWC28" s="57"/>
      <c r="BWD28" s="57"/>
      <c r="BWE28" s="56"/>
      <c r="BWF28" s="57"/>
      <c r="BWG28" s="57"/>
      <c r="BWH28" s="57"/>
      <c r="BWI28" s="57"/>
      <c r="BWJ28" s="57"/>
      <c r="BWK28" s="56"/>
      <c r="BWL28" s="57"/>
      <c r="BWM28" s="57"/>
      <c r="BWN28" s="56"/>
      <c r="BWO28" s="57"/>
      <c r="BWP28" s="58"/>
      <c r="BWQ28" s="56"/>
      <c r="BWR28" s="57"/>
      <c r="BWS28" s="57"/>
      <c r="BWT28" s="57"/>
      <c r="BWU28" s="56"/>
      <c r="BWV28" s="57"/>
      <c r="BWW28" s="57"/>
      <c r="BWX28" s="56"/>
      <c r="BWY28" s="57"/>
      <c r="BWZ28" s="58"/>
      <c r="BXA28" s="56"/>
      <c r="BXB28" s="57"/>
      <c r="BXC28" s="57"/>
      <c r="BXD28" s="57"/>
      <c r="BXE28" s="56"/>
      <c r="BXF28" s="57"/>
      <c r="BXG28" s="57"/>
      <c r="BXH28" s="57"/>
      <c r="BXI28" s="57"/>
      <c r="BXJ28" s="57"/>
      <c r="BXK28" s="56"/>
      <c r="BXL28" s="57"/>
      <c r="BXM28" s="57"/>
      <c r="BXN28" s="56"/>
      <c r="BXO28" s="57"/>
      <c r="BXP28" s="58"/>
      <c r="BXQ28" s="56"/>
      <c r="BXR28" s="57"/>
      <c r="BXS28" s="57"/>
      <c r="BXT28" s="57"/>
      <c r="BXU28" s="56"/>
      <c r="BXV28" s="57"/>
      <c r="BXW28" s="57"/>
      <c r="BXX28" s="56"/>
      <c r="BXY28" s="57"/>
      <c r="BXZ28" s="58"/>
      <c r="BYA28" s="56"/>
      <c r="BYB28" s="57"/>
      <c r="BYC28" s="57"/>
      <c r="BYD28" s="57"/>
      <c r="BYE28" s="56"/>
      <c r="BYF28" s="57"/>
      <c r="BYG28" s="57"/>
      <c r="BYH28" s="57"/>
      <c r="BYI28" s="57"/>
      <c r="BYJ28" s="57"/>
      <c r="BYK28" s="56"/>
      <c r="BYL28" s="57"/>
      <c r="BYM28" s="57"/>
      <c r="BYN28" s="56"/>
      <c r="BYO28" s="57"/>
      <c r="BYP28" s="58"/>
      <c r="BYQ28" s="56"/>
      <c r="BYR28" s="57"/>
      <c r="BYS28" s="57"/>
      <c r="BYT28" s="57"/>
      <c r="BYU28" s="56"/>
      <c r="BYV28" s="57"/>
      <c r="BYW28" s="57"/>
      <c r="BYX28" s="58"/>
      <c r="BYY28" s="57"/>
      <c r="BYZ28" s="56"/>
      <c r="BZA28" s="57"/>
      <c r="BZB28" s="56"/>
      <c r="BZC28" s="56"/>
      <c r="BZD28" s="56"/>
      <c r="BZE28" s="57"/>
      <c r="BZF28" s="387"/>
      <c r="BZG28" s="57"/>
      <c r="BZH28" s="387"/>
      <c r="BZI28" s="57"/>
      <c r="BZJ28" s="387"/>
      <c r="BZK28" s="57"/>
      <c r="BZL28" s="57"/>
      <c r="BZM28" s="57"/>
      <c r="BZN28" s="57"/>
      <c r="BZO28" s="57"/>
      <c r="BZP28" s="57"/>
      <c r="BZQ28" s="57"/>
      <c r="BZR28" s="57"/>
      <c r="BZS28" s="57"/>
      <c r="BZT28" s="57"/>
      <c r="BZU28" s="57"/>
      <c r="BZV28" s="57"/>
      <c r="BZW28" s="57"/>
      <c r="BZX28" s="57"/>
      <c r="BZY28" s="57"/>
      <c r="BZZ28" s="57"/>
      <c r="CAA28" s="57"/>
      <c r="CAB28" s="57"/>
      <c r="CAC28" s="57"/>
      <c r="CAD28" s="57"/>
      <c r="CAE28" s="57"/>
      <c r="CAF28" s="57"/>
      <c r="CAG28" s="57"/>
      <c r="CAH28" s="57"/>
      <c r="CAI28" s="57"/>
      <c r="CAJ28" s="57"/>
      <c r="CAK28" s="57"/>
      <c r="CAL28" s="57"/>
      <c r="CAM28" s="57"/>
      <c r="CAN28" s="57"/>
      <c r="CAO28" s="57"/>
      <c r="CAP28" s="58"/>
      <c r="CAQ28" s="56"/>
      <c r="CAR28" s="57"/>
      <c r="CAS28" s="57"/>
      <c r="CAT28" s="57"/>
      <c r="CAU28" s="57"/>
      <c r="CAV28" s="57"/>
      <c r="CAW28" s="56"/>
      <c r="CAX28" s="57"/>
      <c r="CAY28" s="57"/>
      <c r="CAZ28" s="56"/>
      <c r="CBA28" s="57"/>
      <c r="CBB28" s="58"/>
      <c r="CBC28" s="56"/>
      <c r="CBD28" s="57"/>
      <c r="CBE28" s="57"/>
      <c r="CBF28" s="57"/>
      <c r="CBG28" s="56"/>
      <c r="CBH28" s="57"/>
      <c r="CBI28" s="57"/>
      <c r="CBJ28" s="56"/>
      <c r="CBK28" s="57"/>
      <c r="CBL28" s="58"/>
      <c r="CBM28" s="56"/>
      <c r="CBN28" s="57"/>
      <c r="CBO28" s="57"/>
      <c r="CBP28" s="57"/>
      <c r="CBQ28" s="56"/>
      <c r="CBR28" s="57"/>
      <c r="CBS28" s="57"/>
      <c r="CBT28" s="56"/>
      <c r="CBU28" s="57"/>
      <c r="CBV28" s="58"/>
      <c r="CBW28" s="56"/>
      <c r="CBX28" s="57"/>
      <c r="CBY28" s="57"/>
      <c r="CBZ28" s="57"/>
      <c r="CCA28" s="56"/>
      <c r="CCB28" s="57"/>
      <c r="CCC28" s="57"/>
      <c r="CCD28" s="56"/>
      <c r="CCE28" s="57"/>
      <c r="CCF28" s="58"/>
      <c r="CCG28" s="56"/>
      <c r="CCH28" s="58"/>
      <c r="CCI28" s="57"/>
      <c r="CCJ28" s="56"/>
      <c r="CCK28" s="57"/>
      <c r="CCL28" s="56"/>
      <c r="CCM28" s="56"/>
      <c r="CCN28" s="56"/>
      <c r="CCO28" s="57"/>
      <c r="CCP28" s="387"/>
      <c r="CCQ28" s="57"/>
      <c r="CCR28" s="387"/>
      <c r="CCS28" s="57"/>
      <c r="CCT28" s="387"/>
      <c r="CCU28" s="57"/>
      <c r="CCV28" s="57"/>
      <c r="CCW28" s="57"/>
      <c r="CCX28" s="57"/>
      <c r="CCY28" s="57"/>
      <c r="CCZ28" s="57"/>
      <c r="CDA28" s="57"/>
      <c r="CDB28" s="57"/>
      <c r="CDC28" s="57"/>
      <c r="CDD28" s="57"/>
      <c r="CDE28" s="57"/>
      <c r="CDF28" s="57"/>
      <c r="CDG28" s="57"/>
      <c r="CDH28" s="57"/>
      <c r="CDI28" s="57"/>
      <c r="CDJ28" s="57"/>
      <c r="CDK28" s="57"/>
      <c r="CDL28" s="57"/>
      <c r="CDM28" s="57"/>
      <c r="CDN28" s="57"/>
      <c r="CDO28" s="57"/>
      <c r="CDP28" s="57"/>
      <c r="CDQ28" s="57"/>
      <c r="CDR28" s="57"/>
      <c r="CDS28" s="57"/>
      <c r="CDT28" s="57"/>
      <c r="CDU28" s="57"/>
      <c r="CDV28" s="57"/>
      <c r="CDW28" s="57"/>
      <c r="CDX28" s="57"/>
      <c r="CDY28" s="57"/>
      <c r="CDZ28" s="58"/>
      <c r="CEA28" s="56"/>
      <c r="CEB28" s="57"/>
      <c r="CEC28" s="57"/>
      <c r="CED28" s="57"/>
      <c r="CEE28" s="57"/>
      <c r="CEF28" s="57"/>
      <c r="CEG28" s="56"/>
      <c r="CEH28" s="57"/>
      <c r="CEI28" s="57"/>
      <c r="CEJ28" s="56"/>
      <c r="CEK28" s="57"/>
      <c r="CEL28" s="58"/>
      <c r="CEM28" s="56"/>
      <c r="CEN28" s="57"/>
      <c r="CEO28" s="57"/>
      <c r="CEP28" s="57"/>
      <c r="CEQ28" s="56"/>
      <c r="CER28" s="57"/>
      <c r="CES28" s="57"/>
      <c r="CET28" s="56"/>
      <c r="CEU28" s="57"/>
      <c r="CEV28" s="58"/>
      <c r="CEW28" s="56"/>
      <c r="CEX28" s="57"/>
      <c r="CEY28" s="57"/>
      <c r="CEZ28" s="57"/>
      <c r="CFA28" s="56"/>
      <c r="CFB28" s="57"/>
      <c r="CFC28" s="57"/>
      <c r="CFD28" s="56"/>
      <c r="CFE28" s="57"/>
      <c r="CFF28" s="58"/>
      <c r="CFG28" s="56"/>
      <c r="CFH28" s="57"/>
      <c r="CFI28" s="57"/>
      <c r="CFJ28" s="57"/>
      <c r="CFK28" s="56"/>
      <c r="CFL28" s="57"/>
      <c r="CFM28" s="57"/>
      <c r="CFN28" s="56"/>
      <c r="CFO28" s="57"/>
      <c r="CFP28" s="58"/>
      <c r="CFQ28" s="56"/>
      <c r="CFR28" s="58"/>
      <c r="CFS28" s="57"/>
      <c r="CFT28" s="56"/>
      <c r="CFU28" s="57"/>
      <c r="CFV28" s="56"/>
      <c r="CFW28" s="56"/>
      <c r="CFX28" s="56"/>
      <c r="CFY28" s="57"/>
      <c r="CFZ28" s="387"/>
      <c r="CGA28" s="57"/>
      <c r="CGB28" s="387"/>
      <c r="CGC28" s="57"/>
      <c r="CGD28" s="387"/>
      <c r="CGE28" s="57"/>
      <c r="CGF28" s="57"/>
      <c r="CGG28" s="57"/>
      <c r="CGH28" s="57"/>
      <c r="CGI28" s="57"/>
      <c r="CGJ28" s="57"/>
      <c r="CGK28" s="57"/>
      <c r="CGL28" s="57"/>
      <c r="CGM28" s="57"/>
      <c r="CGN28" s="57"/>
      <c r="CGO28" s="57"/>
      <c r="CGP28" s="57"/>
      <c r="CGQ28" s="57"/>
      <c r="CGR28" s="57"/>
      <c r="CGS28" s="57"/>
      <c r="CGT28" s="57"/>
      <c r="CGU28" s="57"/>
      <c r="CGV28" s="57"/>
      <c r="CGW28" s="57"/>
      <c r="CGX28" s="57"/>
      <c r="CGY28" s="57"/>
      <c r="CGZ28" s="57"/>
      <c r="CHA28" s="57"/>
      <c r="CHB28" s="57"/>
      <c r="CHC28" s="57"/>
      <c r="CHD28" s="57"/>
      <c r="CHE28" s="57"/>
      <c r="CHF28" s="57"/>
      <c r="CHG28" s="57"/>
      <c r="CHH28" s="57"/>
      <c r="CHI28" s="57"/>
      <c r="CHJ28" s="58"/>
      <c r="CHK28" s="56"/>
      <c r="CHL28" s="57"/>
      <c r="CHM28" s="57"/>
      <c r="CHN28" s="57"/>
      <c r="CHO28" s="57"/>
      <c r="CHP28" s="57"/>
      <c r="CHQ28" s="56"/>
      <c r="CHR28" s="57"/>
      <c r="CHS28" s="57"/>
      <c r="CHT28" s="56"/>
      <c r="CHU28" s="57"/>
      <c r="CHV28" s="58"/>
      <c r="CHW28" s="56"/>
      <c r="CHX28" s="57"/>
      <c r="CHY28" s="57"/>
      <c r="CHZ28" s="57"/>
      <c r="CIA28" s="56"/>
      <c r="CIB28" s="57"/>
      <c r="CIC28" s="57"/>
      <c r="CID28" s="56"/>
      <c r="CIE28" s="57"/>
      <c r="CIF28" s="58"/>
      <c r="CIG28" s="56"/>
      <c r="CIH28" s="57"/>
      <c r="CII28" s="57"/>
      <c r="CIJ28" s="57"/>
      <c r="CIK28" s="56"/>
      <c r="CIL28" s="57"/>
      <c r="CIM28" s="57"/>
      <c r="CIN28" s="56"/>
      <c r="CIO28" s="57"/>
      <c r="CIP28" s="58"/>
      <c r="CIQ28" s="56"/>
      <c r="CIR28" s="57"/>
      <c r="CIS28" s="57"/>
      <c r="CIT28" s="57"/>
      <c r="CIU28" s="56"/>
      <c r="CIV28" s="57"/>
      <c r="CIW28" s="57"/>
      <c r="CIX28" s="56"/>
      <c r="CIY28" s="57"/>
      <c r="CIZ28" s="58"/>
      <c r="CJA28" s="56"/>
      <c r="CJB28" s="58"/>
      <c r="CJC28" s="57"/>
      <c r="CJD28" s="56"/>
      <c r="CJE28" s="57"/>
      <c r="CJF28" s="56"/>
      <c r="CJG28" s="56"/>
      <c r="CJH28" s="56"/>
      <c r="CJI28" s="57"/>
      <c r="CJJ28" s="387"/>
      <c r="CJK28" s="57"/>
      <c r="CJL28" s="387"/>
      <c r="CJM28" s="57"/>
      <c r="CJN28" s="387"/>
      <c r="CJO28" s="57"/>
      <c r="CJP28" s="57"/>
      <c r="CJQ28" s="57"/>
      <c r="CJR28" s="57"/>
      <c r="CJS28" s="57"/>
      <c r="CJT28" s="57"/>
      <c r="CJU28" s="57"/>
      <c r="CJV28" s="57"/>
      <c r="CJW28" s="57"/>
      <c r="CJX28" s="57"/>
      <c r="CJY28" s="57"/>
      <c r="CJZ28" s="57"/>
      <c r="CKA28" s="57"/>
      <c r="CKB28" s="57"/>
      <c r="CKC28" s="57"/>
      <c r="CKD28" s="57"/>
      <c r="CKE28" s="57"/>
      <c r="CKF28" s="57"/>
      <c r="CKG28" s="57"/>
      <c r="CKH28" s="57"/>
      <c r="CKI28" s="57"/>
      <c r="CKJ28" s="57"/>
      <c r="CKK28" s="57"/>
      <c r="CKL28" s="57"/>
      <c r="CKM28" s="57"/>
      <c r="CKN28" s="57"/>
      <c r="CKO28" s="57"/>
      <c r="CKP28" s="57"/>
      <c r="CKQ28" s="57"/>
      <c r="CKR28" s="57"/>
      <c r="CKS28" s="57"/>
      <c r="CKT28" s="58"/>
      <c r="CKU28" s="56"/>
      <c r="CKV28" s="57"/>
      <c r="CKW28" s="57"/>
      <c r="CKX28" s="57"/>
      <c r="CKY28" s="57"/>
      <c r="CKZ28" s="57"/>
      <c r="CLA28" s="56"/>
      <c r="CLB28" s="57"/>
      <c r="CLC28" s="57"/>
      <c r="CLD28" s="56"/>
      <c r="CLE28" s="57"/>
      <c r="CLF28" s="58"/>
      <c r="CLG28" s="56"/>
      <c r="CLH28" s="57"/>
      <c r="CLI28" s="57"/>
      <c r="CLJ28" s="57"/>
      <c r="CLK28" s="56"/>
      <c r="CLL28" s="57"/>
      <c r="CLM28" s="57"/>
      <c r="CLN28" s="56"/>
      <c r="CLO28" s="57"/>
      <c r="CLP28" s="58"/>
      <c r="CLQ28" s="56"/>
      <c r="CLR28" s="57"/>
      <c r="CLS28" s="57"/>
      <c r="CLT28" s="57"/>
      <c r="CLU28" s="56"/>
      <c r="CLV28" s="57"/>
      <c r="CLW28" s="57"/>
      <c r="CLX28" s="56"/>
      <c r="CLY28" s="57"/>
      <c r="CLZ28" s="58"/>
      <c r="CMA28" s="56"/>
      <c r="CMB28" s="57"/>
      <c r="CMC28" s="57"/>
      <c r="CMD28" s="57"/>
      <c r="CME28" s="56"/>
      <c r="CMF28" s="57"/>
      <c r="CMG28" s="57"/>
      <c r="CMH28" s="56"/>
      <c r="CMI28" s="57"/>
      <c r="CMJ28" s="58"/>
      <c r="CMK28" s="56"/>
      <c r="CML28" s="58"/>
      <c r="CMM28" s="57"/>
      <c r="CMN28" s="56"/>
      <c r="CMO28" s="57"/>
      <c r="CMP28" s="56"/>
      <c r="CMQ28" s="56"/>
      <c r="CMR28" s="56"/>
      <c r="CMS28" s="57"/>
      <c r="CMT28" s="387"/>
      <c r="CMU28" s="57"/>
      <c r="CMV28" s="387"/>
      <c r="CMW28" s="57"/>
      <c r="CMX28" s="387"/>
      <c r="CMY28" s="57"/>
      <c r="CMZ28" s="57"/>
      <c r="CNA28" s="57"/>
      <c r="CNB28" s="57"/>
      <c r="CNC28" s="57"/>
      <c r="CND28" s="57"/>
      <c r="CNE28" s="57"/>
      <c r="CNF28" s="57"/>
      <c r="CNG28" s="57"/>
      <c r="CNH28" s="57"/>
      <c r="CNI28" s="57"/>
      <c r="CNJ28" s="57"/>
      <c r="CNK28" s="57"/>
      <c r="CNL28" s="57"/>
      <c r="CNM28" s="57"/>
      <c r="CNN28" s="57"/>
      <c r="CNO28" s="57"/>
      <c r="CNP28" s="57"/>
      <c r="CNQ28" s="57"/>
      <c r="CNR28" s="57"/>
      <c r="CNS28" s="57"/>
      <c r="CNT28" s="57"/>
      <c r="CNU28" s="57"/>
      <c r="CNV28" s="57"/>
      <c r="CNW28" s="57"/>
      <c r="CNX28" s="57"/>
      <c r="CNY28" s="57"/>
      <c r="CNZ28" s="57"/>
      <c r="COA28" s="57"/>
      <c r="COB28" s="57"/>
      <c r="COC28" s="57"/>
      <c r="COD28" s="58"/>
      <c r="COE28" s="56"/>
      <c r="COF28" s="57"/>
      <c r="COG28" s="57"/>
      <c r="COH28" s="57"/>
      <c r="COI28" s="57"/>
      <c r="COJ28" s="57"/>
      <c r="COK28" s="56"/>
      <c r="COL28" s="57"/>
      <c r="COM28" s="57"/>
      <c r="CON28" s="56"/>
      <c r="COO28" s="57"/>
      <c r="COP28" s="58"/>
      <c r="COQ28" s="56"/>
      <c r="COR28" s="57"/>
      <c r="COS28" s="57"/>
      <c r="COT28" s="57"/>
      <c r="COU28" s="56"/>
      <c r="COV28" s="57"/>
      <c r="COW28" s="57"/>
      <c r="COX28" s="56"/>
      <c r="COY28" s="57"/>
      <c r="COZ28" s="58"/>
      <c r="CPA28" s="56"/>
      <c r="CPB28" s="57"/>
      <c r="CPC28" s="57"/>
      <c r="CPD28" s="57"/>
      <c r="CPE28" s="56"/>
      <c r="CPF28" s="57"/>
      <c r="CPG28" s="57"/>
      <c r="CPH28" s="56"/>
      <c r="CPI28" s="57"/>
      <c r="CPJ28" s="58"/>
      <c r="CPK28" s="56"/>
      <c r="CPL28" s="57"/>
      <c r="CPM28" s="57"/>
      <c r="CPN28" s="57"/>
      <c r="CPO28" s="56"/>
      <c r="CPP28" s="57"/>
      <c r="CPQ28" s="57"/>
      <c r="CPR28" s="56"/>
      <c r="CPS28" s="57"/>
      <c r="CPT28" s="58"/>
      <c r="CPU28" s="56"/>
      <c r="CPV28" s="58"/>
      <c r="CPW28" s="57"/>
      <c r="CPX28" s="56"/>
      <c r="CPY28" s="57"/>
      <c r="CPZ28" s="56"/>
      <c r="CQA28" s="56"/>
      <c r="CQB28" s="56"/>
      <c r="CQC28" s="57"/>
      <c r="CQD28" s="387"/>
      <c r="CQE28" s="57"/>
      <c r="CQF28" s="387"/>
      <c r="CQG28" s="57"/>
      <c r="CQH28" s="387"/>
      <c r="CQI28" s="57"/>
      <c r="CQJ28" s="57"/>
      <c r="CQK28" s="57"/>
      <c r="CQL28" s="57"/>
      <c r="CQM28" s="57"/>
      <c r="CQN28" s="57"/>
      <c r="CQO28" s="57"/>
      <c r="CQP28" s="57"/>
      <c r="CQQ28" s="57"/>
      <c r="CQR28" s="57"/>
      <c r="CQS28" s="57"/>
      <c r="CQT28" s="57"/>
      <c r="CQU28" s="57"/>
      <c r="CQV28" s="57"/>
      <c r="CQW28" s="57"/>
      <c r="CQX28" s="57"/>
      <c r="CQY28" s="57"/>
      <c r="CQZ28" s="57"/>
      <c r="CRA28" s="57"/>
      <c r="CRB28" s="57"/>
      <c r="CRC28" s="57"/>
      <c r="CRD28" s="57"/>
      <c r="CRE28" s="57"/>
      <c r="CRF28" s="57"/>
      <c r="CRG28" s="57"/>
      <c r="CRH28" s="57"/>
      <c r="CRI28" s="57"/>
      <c r="CRJ28" s="57"/>
      <c r="CRK28" s="57"/>
      <c r="CRL28" s="57"/>
      <c r="CRM28" s="57"/>
      <c r="CRN28" s="58"/>
      <c r="CRO28" s="56"/>
      <c r="CRP28" s="57"/>
      <c r="CRQ28" s="57"/>
      <c r="CRR28" s="57"/>
      <c r="CRS28" s="57"/>
      <c r="CRT28" s="57"/>
      <c r="CRU28" s="56"/>
      <c r="CRV28" s="57"/>
      <c r="CRW28" s="57"/>
      <c r="CRX28" s="56"/>
      <c r="CRY28" s="57"/>
      <c r="CRZ28" s="58"/>
      <c r="CSA28" s="56"/>
      <c r="CSB28" s="57"/>
      <c r="CSC28" s="57"/>
      <c r="CSD28" s="57"/>
      <c r="CSE28" s="56"/>
      <c r="CSF28" s="57"/>
      <c r="CSG28" s="57"/>
      <c r="CSH28" s="56"/>
      <c r="CSI28" s="57"/>
      <c r="CSJ28" s="58"/>
      <c r="CSK28" s="56"/>
      <c r="CSL28" s="57"/>
      <c r="CSM28" s="57"/>
      <c r="CSN28" s="57"/>
      <c r="CSO28" s="56"/>
      <c r="CSP28" s="57"/>
      <c r="CSQ28" s="57"/>
      <c r="CSR28" s="56"/>
      <c r="CSS28" s="57"/>
      <c r="CST28" s="58"/>
      <c r="CSU28" s="56"/>
      <c r="CSV28" s="57"/>
      <c r="CSW28" s="57"/>
      <c r="CSX28" s="57"/>
      <c r="CSY28" s="56"/>
      <c r="CSZ28" s="57"/>
      <c r="CTA28" s="57"/>
      <c r="CTB28" s="56"/>
      <c r="CTC28" s="57"/>
      <c r="CTD28" s="58"/>
      <c r="CTE28" s="56"/>
      <c r="CTF28" s="58"/>
      <c r="CTG28" s="57"/>
      <c r="CTH28" s="56"/>
      <c r="CTI28" s="57"/>
      <c r="CTJ28" s="56"/>
      <c r="CTK28" s="56"/>
      <c r="CTL28" s="56"/>
      <c r="CTM28" s="57"/>
      <c r="CTN28" s="387"/>
      <c r="CTO28" s="57"/>
      <c r="CTP28" s="387"/>
      <c r="CTQ28" s="57"/>
      <c r="CTR28" s="387"/>
      <c r="CTS28" s="57"/>
      <c r="CTT28" s="57"/>
      <c r="CTU28" s="57"/>
      <c r="CTV28" s="57"/>
      <c r="CTW28" s="57"/>
      <c r="CTX28" s="57"/>
      <c r="CTY28" s="57"/>
      <c r="CTZ28" s="57"/>
      <c r="CUA28" s="57"/>
      <c r="CUB28" s="57"/>
      <c r="CUC28" s="57"/>
      <c r="CUD28" s="57"/>
      <c r="CUE28" s="57"/>
      <c r="CUF28" s="57"/>
      <c r="CUG28" s="57"/>
      <c r="CUH28" s="57"/>
      <c r="CUI28" s="57"/>
      <c r="CUJ28" s="57"/>
      <c r="CUK28" s="57"/>
      <c r="CUL28" s="57"/>
      <c r="CUM28" s="57"/>
      <c r="CUN28" s="57"/>
      <c r="CUO28" s="57"/>
      <c r="CUP28" s="57"/>
      <c r="CUQ28" s="57"/>
      <c r="CUR28" s="57"/>
      <c r="CUS28" s="57"/>
      <c r="CUT28" s="57"/>
      <c r="CUU28" s="57"/>
      <c r="CUV28" s="57"/>
      <c r="CUW28" s="57"/>
      <c r="CUX28" s="58"/>
      <c r="CUY28" s="56"/>
      <c r="CUZ28" s="57"/>
      <c r="CVA28" s="57"/>
      <c r="CVB28" s="57"/>
      <c r="CVC28" s="57"/>
      <c r="CVD28" s="57"/>
      <c r="CVE28" s="56"/>
      <c r="CVF28" s="57"/>
      <c r="CVG28" s="57"/>
      <c r="CVH28" s="56"/>
      <c r="CVI28" s="57"/>
      <c r="CVJ28" s="58"/>
      <c r="CVK28" s="56"/>
      <c r="CVL28" s="57"/>
      <c r="CVM28" s="57"/>
      <c r="CVN28" s="57"/>
      <c r="CVO28" s="56"/>
      <c r="CVP28" s="57"/>
      <c r="CVQ28" s="57"/>
      <c r="CVR28" s="56"/>
      <c r="CVS28" s="57"/>
      <c r="CVT28" s="58"/>
      <c r="CVU28" s="56"/>
      <c r="CVV28" s="57"/>
      <c r="CVW28" s="57"/>
      <c r="CVX28" s="57"/>
      <c r="CVY28" s="56"/>
      <c r="CVZ28" s="57"/>
      <c r="CWA28" s="57"/>
      <c r="CWB28" s="56"/>
      <c r="CWC28" s="57"/>
      <c r="CWD28" s="58"/>
      <c r="CWE28" s="56"/>
      <c r="CWF28" s="57"/>
      <c r="CWG28" s="57"/>
      <c r="CWH28" s="57"/>
      <c r="CWI28" s="56"/>
      <c r="CWJ28" s="57"/>
      <c r="CWK28" s="57"/>
      <c r="CWL28" s="56"/>
      <c r="CWM28" s="57"/>
      <c r="CWN28" s="58"/>
      <c r="CWO28" s="56"/>
      <c r="CWP28" s="58"/>
      <c r="CWQ28" s="57"/>
      <c r="CWR28" s="56"/>
      <c r="CWS28" s="57"/>
      <c r="CWT28" s="56"/>
      <c r="CWU28" s="56"/>
      <c r="CWV28" s="56"/>
      <c r="CWW28" s="57"/>
      <c r="CWX28" s="387"/>
      <c r="CWY28" s="57"/>
      <c r="CWZ28" s="387"/>
      <c r="CXA28" s="57"/>
      <c r="CXB28" s="387"/>
      <c r="CXC28" s="57"/>
      <c r="CXD28" s="57"/>
      <c r="CXE28" s="57"/>
      <c r="CXF28" s="57"/>
      <c r="CXG28" s="57"/>
      <c r="CXH28" s="57"/>
      <c r="CXI28" s="57"/>
      <c r="CXJ28" s="57"/>
      <c r="CXK28" s="57"/>
      <c r="CXL28" s="57"/>
      <c r="CXM28" s="57"/>
      <c r="CXN28" s="57"/>
      <c r="CXO28" s="57"/>
      <c r="CXP28" s="57"/>
      <c r="CXQ28" s="57"/>
      <c r="CXR28" s="57"/>
      <c r="CXS28" s="57"/>
      <c r="CXT28" s="57"/>
      <c r="CXU28" s="57"/>
      <c r="CXV28" s="57"/>
      <c r="CXW28" s="57"/>
      <c r="CXX28" s="57"/>
      <c r="CXY28" s="57"/>
      <c r="CXZ28" s="57"/>
      <c r="CYA28" s="57"/>
      <c r="CYB28" s="57"/>
      <c r="CYC28" s="57"/>
      <c r="CYD28" s="57"/>
      <c r="CYE28" s="57"/>
      <c r="CYF28" s="57"/>
      <c r="CYG28" s="57"/>
      <c r="CYH28" s="58"/>
      <c r="CYI28" s="56"/>
      <c r="CYJ28" s="57"/>
      <c r="CYK28" s="57"/>
      <c r="CYL28" s="57"/>
      <c r="CYM28" s="57"/>
      <c r="CYN28" s="57"/>
      <c r="CYO28" s="56"/>
      <c r="CYP28" s="57"/>
      <c r="CYQ28" s="57"/>
      <c r="CYR28" s="56"/>
      <c r="CYS28" s="57"/>
      <c r="CYT28" s="58"/>
      <c r="CYU28" s="56"/>
      <c r="CYV28" s="57"/>
      <c r="CYW28" s="57"/>
      <c r="CYX28" s="57"/>
      <c r="CYY28" s="56"/>
      <c r="CYZ28" s="57"/>
      <c r="CZA28" s="57"/>
      <c r="CZB28" s="56"/>
      <c r="CZC28" s="57"/>
      <c r="CZD28" s="58"/>
      <c r="CZE28" s="56"/>
      <c r="CZF28" s="57"/>
      <c r="CZG28" s="57"/>
      <c r="CZH28" s="57"/>
      <c r="CZI28" s="56"/>
      <c r="CZJ28" s="57"/>
      <c r="CZK28" s="57"/>
      <c r="CZL28" s="56"/>
      <c r="CZM28" s="57"/>
      <c r="CZN28" s="58"/>
      <c r="CZO28" s="56"/>
      <c r="CZP28" s="57"/>
      <c r="CZQ28" s="57"/>
      <c r="CZR28" s="57"/>
      <c r="CZS28" s="56"/>
      <c r="CZT28" s="57"/>
      <c r="CZU28" s="57"/>
      <c r="CZV28" s="56"/>
      <c r="CZW28" s="57"/>
      <c r="CZX28" s="58"/>
      <c r="CZY28" s="56"/>
      <c r="CZZ28" s="58"/>
      <c r="DAA28" s="57"/>
      <c r="DAB28" s="56"/>
      <c r="DAC28" s="57"/>
      <c r="DAD28" s="56"/>
      <c r="DAE28" s="56"/>
      <c r="DAF28" s="56"/>
      <c r="DAG28" s="57"/>
      <c r="DAH28" s="387"/>
      <c r="DAI28" s="57"/>
      <c r="DAJ28" s="387"/>
      <c r="DAK28" s="57"/>
      <c r="DAL28" s="387"/>
      <c r="DAM28" s="57"/>
      <c r="DAN28" s="57"/>
      <c r="DAO28" s="57"/>
      <c r="DAP28" s="57"/>
      <c r="DAQ28" s="57"/>
      <c r="DAR28" s="57"/>
      <c r="DAS28" s="57"/>
      <c r="DAT28" s="57"/>
      <c r="DAU28" s="57"/>
      <c r="DAV28" s="57"/>
      <c r="DAW28" s="57"/>
      <c r="DAX28" s="57"/>
      <c r="DAY28" s="57"/>
      <c r="DAZ28" s="57"/>
      <c r="DBA28" s="57"/>
      <c r="DBB28" s="57"/>
      <c r="DBC28" s="57"/>
      <c r="DBD28" s="57"/>
      <c r="DBE28" s="57"/>
      <c r="DBF28" s="57"/>
      <c r="DBG28" s="57"/>
      <c r="DBH28" s="57"/>
      <c r="DBI28" s="57"/>
      <c r="DBJ28" s="57"/>
      <c r="DBK28" s="57"/>
      <c r="DBL28" s="57"/>
      <c r="DBM28" s="57"/>
      <c r="DBN28" s="57"/>
      <c r="DBO28" s="57"/>
      <c r="DBP28" s="57"/>
      <c r="DBQ28" s="57"/>
      <c r="DBR28" s="58"/>
      <c r="DBS28" s="56"/>
      <c r="DBT28" s="57"/>
      <c r="DBU28" s="57"/>
      <c r="DBV28" s="57"/>
      <c r="DBW28" s="57"/>
      <c r="DBX28" s="57"/>
      <c r="DBY28" s="56"/>
      <c r="DBZ28" s="57"/>
      <c r="DCA28" s="57"/>
      <c r="DCB28" s="56"/>
      <c r="DCC28" s="57"/>
      <c r="DCD28" s="58"/>
      <c r="DCE28" s="56"/>
      <c r="DCF28" s="57"/>
      <c r="DCG28" s="57"/>
      <c r="DCH28" s="57"/>
      <c r="DCI28" s="56"/>
      <c r="DCJ28" s="57"/>
      <c r="DCK28" s="57"/>
      <c r="DCL28" s="56"/>
      <c r="DCM28" s="57"/>
      <c r="DCN28" s="58"/>
      <c r="DCO28" s="56"/>
      <c r="DCP28" s="57"/>
      <c r="DCQ28" s="57"/>
      <c r="DCR28" s="57"/>
      <c r="DCS28" s="56"/>
      <c r="DCT28" s="57"/>
      <c r="DCU28" s="57"/>
      <c r="DCV28" s="56"/>
      <c r="DCW28" s="57"/>
      <c r="DCX28" s="58"/>
      <c r="DCY28" s="56"/>
      <c r="DCZ28" s="57"/>
      <c r="DDA28" s="57"/>
      <c r="DDB28" s="57"/>
      <c r="DDC28" s="56"/>
      <c r="DDD28" s="57"/>
      <c r="DDE28" s="57"/>
      <c r="DDF28" s="56"/>
      <c r="DDG28" s="57"/>
      <c r="DDH28" s="58"/>
      <c r="DDI28" s="56"/>
      <c r="DDJ28" s="58"/>
      <c r="DDK28" s="57"/>
      <c r="DDL28" s="56"/>
      <c r="DDM28" s="57"/>
      <c r="DDN28" s="56"/>
      <c r="DDO28" s="56"/>
      <c r="DDP28" s="56"/>
      <c r="DDQ28" s="57"/>
      <c r="DDR28" s="387"/>
      <c r="DDS28" s="57"/>
      <c r="DDT28" s="387"/>
      <c r="DDU28" s="57"/>
      <c r="DDV28" s="387"/>
      <c r="DDW28" s="57"/>
      <c r="DDX28" s="57"/>
      <c r="DDY28" s="57"/>
      <c r="DDZ28" s="57"/>
      <c r="DEA28" s="57"/>
      <c r="DEB28" s="57"/>
      <c r="DEC28" s="57"/>
      <c r="DED28" s="57"/>
      <c r="DEE28" s="57"/>
      <c r="DEF28" s="57"/>
      <c r="DEG28" s="57"/>
      <c r="DEH28" s="57"/>
      <c r="DEI28" s="57"/>
      <c r="DEJ28" s="57"/>
      <c r="DEK28" s="57"/>
      <c r="DEL28" s="57"/>
      <c r="DEM28" s="57"/>
      <c r="DEN28" s="57"/>
      <c r="DEO28" s="57"/>
      <c r="DEP28" s="57"/>
      <c r="DEQ28" s="57"/>
      <c r="DER28" s="57"/>
      <c r="DES28" s="57"/>
      <c r="DET28" s="57"/>
      <c r="DEU28" s="57"/>
      <c r="DEV28" s="57"/>
      <c r="DEW28" s="57"/>
      <c r="DEX28" s="57"/>
      <c r="DEY28" s="57"/>
      <c r="DEZ28" s="57"/>
      <c r="DFA28" s="57"/>
      <c r="DFB28" s="58"/>
      <c r="DFC28" s="56"/>
      <c r="DFD28" s="57"/>
      <c r="DFE28" s="57"/>
      <c r="DFF28" s="57"/>
      <c r="DFG28" s="57"/>
      <c r="DFH28" s="57"/>
      <c r="DFI28" s="56"/>
      <c r="DFJ28" s="57"/>
      <c r="DFK28" s="57"/>
      <c r="DFL28" s="56"/>
      <c r="DFM28" s="57"/>
      <c r="DFN28" s="58"/>
      <c r="DFO28" s="56"/>
      <c r="DFP28" s="57"/>
      <c r="DFQ28" s="57"/>
      <c r="DFR28" s="57"/>
      <c r="DFS28" s="56"/>
      <c r="DFT28" s="57"/>
      <c r="DFU28" s="57"/>
      <c r="DFV28" s="56"/>
      <c r="DFW28" s="57"/>
      <c r="DFX28" s="58"/>
      <c r="DFY28" s="56"/>
      <c r="DFZ28" s="57"/>
      <c r="DGA28" s="57"/>
      <c r="DGB28" s="57"/>
      <c r="DGC28" s="56"/>
      <c r="DGD28" s="57"/>
      <c r="DGE28" s="57"/>
      <c r="DGF28" s="56"/>
      <c r="DGG28" s="57"/>
      <c r="DGH28" s="58"/>
      <c r="DGI28" s="56"/>
      <c r="DGJ28" s="57"/>
      <c r="DGK28" s="57"/>
      <c r="DGL28" s="57"/>
      <c r="DGM28" s="56"/>
      <c r="DGN28" s="57"/>
      <c r="DGO28" s="57"/>
      <c r="DGP28" s="56"/>
      <c r="DGQ28" s="57"/>
      <c r="DGR28" s="58"/>
      <c r="DGS28" s="56"/>
      <c r="DGT28" s="58"/>
      <c r="DGU28" s="57"/>
      <c r="DGV28" s="56"/>
      <c r="DGW28" s="57"/>
      <c r="DGX28" s="56"/>
      <c r="DGY28" s="56"/>
      <c r="DGZ28" s="56"/>
      <c r="DHA28" s="57"/>
      <c r="DHB28" s="387"/>
      <c r="DHC28" s="57"/>
      <c r="DHD28" s="387"/>
      <c r="DHE28" s="57"/>
      <c r="DHF28" s="387"/>
      <c r="DHG28" s="57"/>
      <c r="DHH28" s="57"/>
      <c r="DHI28" s="57"/>
      <c r="DHJ28" s="57"/>
      <c r="DHK28" s="57"/>
      <c r="DHL28" s="57"/>
      <c r="DHM28" s="57"/>
      <c r="DHN28" s="57"/>
      <c r="DHO28" s="57"/>
      <c r="DHP28" s="57"/>
      <c r="DHQ28" s="57"/>
      <c r="DHR28" s="57"/>
      <c r="DHS28" s="57"/>
      <c r="DHT28" s="57"/>
      <c r="DHU28" s="57"/>
      <c r="DHV28" s="57"/>
      <c r="DHW28" s="57"/>
      <c r="DHX28" s="57"/>
      <c r="DHY28" s="57"/>
      <c r="DHZ28" s="57"/>
      <c r="DIA28" s="57"/>
      <c r="DIB28" s="57"/>
      <c r="DIC28" s="57"/>
      <c r="DID28" s="57"/>
      <c r="DIE28" s="57"/>
      <c r="DIF28" s="57"/>
      <c r="DIG28" s="57"/>
      <c r="DIH28" s="57"/>
      <c r="DII28" s="57"/>
      <c r="DIJ28" s="57"/>
      <c r="DIK28" s="57"/>
      <c r="DIL28" s="58"/>
      <c r="DIM28" s="56"/>
      <c r="DIN28" s="57"/>
      <c r="DIO28" s="57"/>
      <c r="DIP28" s="57"/>
      <c r="DIQ28" s="57"/>
      <c r="DIR28" s="57"/>
      <c r="DIS28" s="56"/>
      <c r="DIT28" s="57"/>
      <c r="DIU28" s="57"/>
      <c r="DIV28" s="56"/>
      <c r="DIW28" s="57"/>
      <c r="DIX28" s="58"/>
      <c r="DIY28" s="56"/>
      <c r="DIZ28" s="57"/>
      <c r="DJA28" s="57"/>
      <c r="DJB28" s="57"/>
      <c r="DJC28" s="56"/>
      <c r="DJD28" s="57"/>
      <c r="DJE28" s="57"/>
      <c r="DJF28" s="56"/>
      <c r="DJG28" s="57"/>
      <c r="DJH28" s="58"/>
      <c r="DJI28" s="56"/>
      <c r="DJJ28" s="57"/>
      <c r="DJK28" s="57"/>
      <c r="DJL28" s="57"/>
      <c r="DJM28" s="56"/>
      <c r="DJN28" s="57"/>
      <c r="DJO28" s="57"/>
      <c r="DJP28" s="56"/>
      <c r="DJQ28" s="57"/>
      <c r="DJR28" s="58"/>
      <c r="DJS28" s="56"/>
      <c r="DJT28" s="57"/>
      <c r="DJU28" s="57"/>
      <c r="DJV28" s="57"/>
      <c r="DJW28" s="56"/>
      <c r="DJX28" s="57"/>
      <c r="DJY28" s="57"/>
      <c r="DJZ28" s="56"/>
      <c r="DKA28" s="57"/>
      <c r="DKB28" s="58"/>
      <c r="DKC28" s="56"/>
      <c r="DKD28" s="58"/>
      <c r="DKE28" s="57"/>
      <c r="DKF28" s="56"/>
      <c r="DKG28" s="57"/>
      <c r="DKH28" s="56"/>
      <c r="DKI28" s="56"/>
      <c r="DKJ28" s="56"/>
      <c r="DKK28" s="57"/>
      <c r="DKL28" s="387"/>
      <c r="DKM28" s="57"/>
      <c r="DKN28" s="387"/>
      <c r="DKO28" s="57"/>
      <c r="DKP28" s="387"/>
      <c r="DKQ28" s="57"/>
      <c r="DKR28" s="57"/>
      <c r="DKS28" s="57"/>
      <c r="DKT28" s="57"/>
      <c r="DKU28" s="57"/>
      <c r="DKV28" s="57"/>
      <c r="DKW28" s="57"/>
      <c r="DKX28" s="57"/>
      <c r="DKY28" s="57"/>
      <c r="DKZ28" s="57"/>
      <c r="DLA28" s="57"/>
      <c r="DLB28" s="57"/>
      <c r="DLC28" s="57"/>
      <c r="DLD28" s="57"/>
      <c r="DLE28" s="57"/>
      <c r="DLF28" s="57"/>
      <c r="DLG28" s="57"/>
      <c r="DLH28" s="57"/>
      <c r="DLI28" s="57"/>
      <c r="DLJ28" s="57"/>
      <c r="DLK28" s="57"/>
      <c r="DLL28" s="57"/>
      <c r="DLM28" s="57"/>
      <c r="DLN28" s="57"/>
      <c r="DLO28" s="57"/>
      <c r="DLP28" s="57"/>
      <c r="DLQ28" s="57"/>
      <c r="DLR28" s="57"/>
      <c r="DLS28" s="57"/>
      <c r="DLT28" s="57"/>
      <c r="DLU28" s="57"/>
      <c r="DLV28" s="58"/>
      <c r="DLW28" s="56"/>
      <c r="DLX28" s="57"/>
      <c r="DLY28" s="57"/>
      <c r="DLZ28" s="57"/>
      <c r="DMA28" s="57"/>
      <c r="DMB28" s="57"/>
      <c r="DMC28" s="56"/>
      <c r="DMD28" s="57"/>
      <c r="DME28" s="57"/>
      <c r="DMF28" s="56"/>
      <c r="DMG28" s="57"/>
      <c r="DMH28" s="58"/>
      <c r="DMI28" s="56"/>
      <c r="DMJ28" s="57"/>
      <c r="DMK28" s="57"/>
      <c r="DML28" s="57"/>
      <c r="DMM28" s="56"/>
      <c r="DMN28" s="57"/>
      <c r="DMO28" s="57"/>
      <c r="DMP28" s="56"/>
      <c r="DMQ28" s="57"/>
      <c r="DMR28" s="58"/>
      <c r="DMS28" s="56"/>
      <c r="DMT28" s="57"/>
      <c r="DMU28" s="57"/>
      <c r="DMV28" s="57"/>
      <c r="DMW28" s="56"/>
      <c r="DMX28" s="57"/>
      <c r="DMY28" s="57"/>
      <c r="DMZ28" s="56"/>
      <c r="DNA28" s="57"/>
      <c r="DNB28" s="58"/>
      <c r="DNC28" s="56"/>
      <c r="DND28" s="57"/>
      <c r="DNE28" s="57"/>
      <c r="DNF28" s="57"/>
      <c r="DNG28" s="56"/>
      <c r="DNH28" s="57"/>
      <c r="DNI28" s="57"/>
      <c r="DNJ28" s="56"/>
      <c r="DNK28" s="57"/>
      <c r="DNL28" s="58"/>
      <c r="DNM28" s="56"/>
      <c r="DNN28" s="58"/>
      <c r="DNO28" s="57"/>
      <c r="DNP28" s="56"/>
      <c r="DNQ28" s="57"/>
      <c r="DNR28" s="56"/>
      <c r="DNS28" s="56"/>
      <c r="DNT28" s="56"/>
      <c r="DNU28" s="57"/>
      <c r="DNV28" s="387"/>
      <c r="DNW28" s="57"/>
      <c r="DNX28" s="387"/>
      <c r="DNY28" s="57"/>
      <c r="DNZ28" s="387"/>
      <c r="DOA28" s="57"/>
      <c r="DOB28" s="57"/>
      <c r="DOC28" s="57"/>
      <c r="DOD28" s="57"/>
      <c r="DOE28" s="57"/>
      <c r="DOF28" s="57"/>
      <c r="DOG28" s="57"/>
      <c r="DOH28" s="57"/>
      <c r="DOI28" s="57"/>
      <c r="DOJ28" s="57"/>
      <c r="DOK28" s="57"/>
      <c r="DOL28" s="57"/>
      <c r="DOM28" s="57"/>
      <c r="DON28" s="57"/>
      <c r="DOO28" s="57"/>
      <c r="DOP28" s="57"/>
      <c r="DOQ28" s="57"/>
      <c r="DOR28" s="57"/>
      <c r="DOS28" s="57"/>
      <c r="DOT28" s="57"/>
      <c r="DOU28" s="57"/>
      <c r="DOV28" s="57"/>
      <c r="DOW28" s="57"/>
      <c r="DOX28" s="57"/>
      <c r="DOY28" s="57"/>
      <c r="DOZ28" s="57"/>
      <c r="DPA28" s="57"/>
      <c r="DPB28" s="57"/>
      <c r="DPC28" s="57"/>
      <c r="DPD28" s="57"/>
      <c r="DPE28" s="57"/>
      <c r="DPF28" s="58"/>
      <c r="DPG28" s="56"/>
      <c r="DPH28" s="57"/>
      <c r="DPI28" s="57"/>
      <c r="DPJ28" s="57"/>
      <c r="DPK28" s="57"/>
      <c r="DPL28" s="57"/>
      <c r="DPM28" s="56"/>
      <c r="DPN28" s="57"/>
      <c r="DPO28" s="57"/>
      <c r="DPP28" s="56"/>
      <c r="DPQ28" s="57"/>
      <c r="DPR28" s="58"/>
      <c r="DPS28" s="56"/>
      <c r="DPT28" s="57"/>
      <c r="DPU28" s="57"/>
      <c r="DPV28" s="57"/>
      <c r="DPW28" s="56"/>
      <c r="DPX28" s="57"/>
      <c r="DPY28" s="57"/>
      <c r="DPZ28" s="56"/>
      <c r="DQA28" s="57"/>
      <c r="DQB28" s="58"/>
      <c r="DQC28" s="56"/>
      <c r="DQD28" s="57"/>
      <c r="DQE28" s="57"/>
      <c r="DQF28" s="57"/>
      <c r="DQG28" s="56"/>
      <c r="DQH28" s="57"/>
      <c r="DQI28" s="57"/>
      <c r="DQJ28" s="56"/>
      <c r="DQK28" s="57"/>
      <c r="DQL28" s="58"/>
      <c r="DQM28" s="56"/>
      <c r="DQN28" s="57"/>
      <c r="DQO28" s="57"/>
      <c r="DQP28" s="57"/>
      <c r="DQQ28" s="56"/>
      <c r="DQR28" s="57"/>
      <c r="DQS28" s="57"/>
      <c r="DQT28" s="56"/>
      <c r="DQU28" s="57"/>
      <c r="DQV28" s="58"/>
      <c r="DQW28" s="56"/>
      <c r="DQX28" s="58"/>
      <c r="DQY28" s="57"/>
      <c r="DQZ28" s="56"/>
      <c r="DRA28" s="57"/>
      <c r="DRB28" s="56"/>
      <c r="DRC28" s="56"/>
      <c r="DRD28" s="56"/>
      <c r="DRE28" s="57"/>
      <c r="DRF28" s="387"/>
      <c r="DRG28" s="57"/>
      <c r="DRH28" s="387"/>
      <c r="DRI28" s="57"/>
      <c r="DRJ28" s="387"/>
      <c r="DRK28" s="57"/>
      <c r="DRL28" s="57"/>
      <c r="DRM28" s="57"/>
      <c r="DRN28" s="57"/>
      <c r="DRO28" s="57"/>
      <c r="DRP28" s="57"/>
      <c r="DRQ28" s="57"/>
      <c r="DRR28" s="57"/>
      <c r="DRS28" s="57"/>
      <c r="DRT28" s="57"/>
      <c r="DRU28" s="57"/>
      <c r="DRV28" s="57"/>
      <c r="DRW28" s="57"/>
      <c r="DRX28" s="57"/>
      <c r="DRY28" s="57"/>
      <c r="DRZ28" s="57"/>
      <c r="DSA28" s="57"/>
      <c r="DSB28" s="57"/>
      <c r="DSC28" s="57"/>
      <c r="DSD28" s="57"/>
      <c r="DSE28" s="57"/>
      <c r="DSF28" s="57"/>
      <c r="DSG28" s="57"/>
      <c r="DSH28" s="57"/>
      <c r="DSI28" s="57"/>
      <c r="DSJ28" s="57"/>
      <c r="DSK28" s="57"/>
      <c r="DSL28" s="57"/>
      <c r="DSM28" s="57"/>
      <c r="DSN28" s="57"/>
      <c r="DSO28" s="57"/>
      <c r="DSP28" s="58"/>
      <c r="DSQ28" s="56"/>
      <c r="DSR28" s="57"/>
      <c r="DSS28" s="57"/>
      <c r="DST28" s="57"/>
      <c r="DSU28" s="57"/>
      <c r="DSV28" s="57"/>
      <c r="DSW28" s="56"/>
      <c r="DSX28" s="57"/>
      <c r="DSY28" s="57"/>
      <c r="DSZ28" s="56"/>
      <c r="DTA28" s="57"/>
      <c r="DTB28" s="58"/>
      <c r="DTC28" s="56"/>
      <c r="DTD28" s="57"/>
      <c r="DTE28" s="57"/>
      <c r="DTF28" s="57"/>
      <c r="DTG28" s="56"/>
      <c r="DTH28" s="57"/>
      <c r="DTI28" s="57"/>
      <c r="DTJ28" s="56"/>
      <c r="DTK28" s="57"/>
      <c r="DTL28" s="58"/>
      <c r="DTM28" s="56"/>
      <c r="DTN28" s="57"/>
      <c r="DTO28" s="57"/>
      <c r="DTP28" s="57"/>
      <c r="DTQ28" s="56"/>
      <c r="DTR28" s="57"/>
      <c r="DTS28" s="57"/>
      <c r="DTT28" s="56"/>
      <c r="DTU28" s="57"/>
      <c r="DTV28" s="58"/>
      <c r="DTW28" s="56"/>
      <c r="DTX28" s="57"/>
      <c r="DTY28" s="57"/>
      <c r="DTZ28" s="57"/>
      <c r="DUA28" s="56"/>
      <c r="DUB28" s="57"/>
      <c r="DUC28" s="57"/>
      <c r="DUD28" s="56"/>
      <c r="DUE28" s="57"/>
      <c r="DUF28" s="58"/>
      <c r="DUG28" s="56"/>
      <c r="DUH28" s="58"/>
      <c r="DUI28" s="57"/>
      <c r="DUJ28" s="56"/>
      <c r="DUK28" s="57"/>
      <c r="DUL28" s="56"/>
      <c r="DUM28" s="56"/>
      <c r="DUN28" s="56"/>
      <c r="DUO28" s="57"/>
      <c r="DUP28" s="387"/>
      <c r="DUQ28" s="57"/>
      <c r="DUR28" s="387"/>
      <c r="DUS28" s="57"/>
      <c r="DUT28" s="387"/>
      <c r="DUU28" s="57"/>
      <c r="DUV28" s="57"/>
      <c r="DUW28" s="57"/>
      <c r="DUX28" s="57"/>
      <c r="DUY28" s="57"/>
      <c r="DUZ28" s="57"/>
      <c r="DVA28" s="57"/>
      <c r="DVB28" s="57"/>
      <c r="DVC28" s="57"/>
      <c r="DVD28" s="57"/>
      <c r="DVE28" s="57"/>
      <c r="DVF28" s="57"/>
      <c r="DVG28" s="57"/>
      <c r="DVH28" s="57"/>
      <c r="DVI28" s="57"/>
      <c r="DVJ28" s="57"/>
      <c r="DVK28" s="57"/>
      <c r="DVL28" s="57"/>
      <c r="DVM28" s="57"/>
      <c r="DVN28" s="57"/>
      <c r="DVO28" s="57"/>
      <c r="DVP28" s="57"/>
      <c r="DVQ28" s="57"/>
      <c r="DVR28" s="57"/>
      <c r="DVS28" s="57"/>
      <c r="DVT28" s="57"/>
      <c r="DVU28" s="57"/>
      <c r="DVV28" s="57"/>
      <c r="DVW28" s="57"/>
      <c r="DVX28" s="57"/>
      <c r="DVY28" s="57"/>
      <c r="DVZ28" s="58"/>
      <c r="DWA28" s="56"/>
      <c r="DWB28" s="57"/>
      <c r="DWC28" s="57"/>
      <c r="DWD28" s="57"/>
      <c r="DWE28" s="57"/>
      <c r="DWF28" s="57"/>
      <c r="DWG28" s="56"/>
      <c r="DWH28" s="57"/>
      <c r="DWI28" s="57"/>
      <c r="DWJ28" s="56"/>
      <c r="DWK28" s="57"/>
      <c r="DWL28" s="58"/>
      <c r="DWM28" s="56"/>
      <c r="DWN28" s="57"/>
      <c r="DWO28" s="57"/>
      <c r="DWP28" s="57"/>
      <c r="DWQ28" s="56"/>
      <c r="DWR28" s="57"/>
      <c r="DWS28" s="57"/>
      <c r="DWT28" s="56"/>
      <c r="DWU28" s="57"/>
      <c r="DWV28" s="58"/>
      <c r="DWW28" s="56"/>
      <c r="DWX28" s="57"/>
      <c r="DWY28" s="57"/>
      <c r="DWZ28" s="57"/>
      <c r="DXA28" s="56"/>
      <c r="DXB28" s="57"/>
      <c r="DXC28" s="57"/>
      <c r="DXD28" s="56"/>
      <c r="DXE28" s="57"/>
      <c r="DXF28" s="58"/>
      <c r="DXG28" s="56"/>
      <c r="DXH28" s="57"/>
      <c r="DXI28" s="57"/>
      <c r="DXJ28" s="57"/>
      <c r="DXK28" s="56"/>
      <c r="DXL28" s="57"/>
      <c r="DXM28" s="57"/>
      <c r="DXN28" s="56"/>
      <c r="DXO28" s="57"/>
      <c r="DXP28" s="58"/>
      <c r="DXQ28" s="56"/>
      <c r="DXR28" s="58"/>
      <c r="DXS28" s="57"/>
      <c r="DXT28" s="56"/>
      <c r="DXU28" s="57"/>
      <c r="DXV28" s="56"/>
      <c r="DXW28" s="56"/>
      <c r="DXX28" s="56"/>
      <c r="DXY28" s="57"/>
      <c r="DXZ28" s="387"/>
      <c r="DYA28" s="57"/>
      <c r="DYB28" s="387"/>
      <c r="DYC28" s="57"/>
      <c r="DYD28" s="387"/>
      <c r="DYE28" s="57"/>
      <c r="DYF28" s="57"/>
      <c r="DYG28" s="57"/>
      <c r="DYH28" s="57"/>
      <c r="DYI28" s="57"/>
      <c r="DYJ28" s="57"/>
      <c r="DYK28" s="57"/>
      <c r="DYL28" s="57"/>
      <c r="DYM28" s="57"/>
      <c r="DYN28" s="57"/>
      <c r="DYO28" s="57"/>
      <c r="DYP28" s="57"/>
      <c r="DYQ28" s="57"/>
      <c r="DYR28" s="57"/>
      <c r="DYS28" s="57"/>
      <c r="DYT28" s="57"/>
      <c r="DYU28" s="57"/>
      <c r="DYV28" s="57"/>
      <c r="DYW28" s="57"/>
      <c r="DYX28" s="57"/>
      <c r="DYY28" s="57"/>
      <c r="DYZ28" s="57"/>
      <c r="DZA28" s="57"/>
      <c r="DZB28" s="57"/>
      <c r="DZC28" s="57"/>
      <c r="DZD28" s="57"/>
      <c r="DZE28" s="57"/>
      <c r="DZF28" s="57"/>
      <c r="DZG28" s="57"/>
      <c r="DZH28" s="57"/>
      <c r="DZI28" s="57"/>
      <c r="DZJ28" s="58"/>
      <c r="DZK28" s="56"/>
      <c r="DZL28" s="57"/>
      <c r="DZM28" s="57"/>
      <c r="DZN28" s="57"/>
      <c r="DZO28" s="57"/>
      <c r="DZP28" s="57"/>
      <c r="DZQ28" s="56"/>
      <c r="DZR28" s="57"/>
      <c r="DZS28" s="57"/>
      <c r="DZT28" s="56"/>
      <c r="DZU28" s="57"/>
      <c r="DZV28" s="58"/>
      <c r="DZW28" s="56"/>
      <c r="DZX28" s="57"/>
      <c r="DZY28" s="57"/>
      <c r="DZZ28" s="57"/>
      <c r="EAA28" s="56"/>
      <c r="EAB28" s="57"/>
      <c r="EAC28" s="57"/>
      <c r="EAD28" s="56"/>
      <c r="EAE28" s="57"/>
      <c r="EAF28" s="58"/>
      <c r="EAG28" s="56"/>
      <c r="EAH28" s="57"/>
      <c r="EAI28" s="57"/>
      <c r="EAJ28" s="57"/>
      <c r="EAK28" s="56"/>
      <c r="EAL28" s="57"/>
      <c r="EAM28" s="57"/>
      <c r="EAN28" s="56"/>
      <c r="EAO28" s="57"/>
      <c r="EAP28" s="58"/>
      <c r="EAQ28" s="56"/>
      <c r="EAR28" s="57"/>
      <c r="EAS28" s="57"/>
      <c r="EAT28" s="57"/>
      <c r="EAU28" s="56"/>
      <c r="EAV28" s="57"/>
      <c r="EAW28" s="57"/>
      <c r="EAX28" s="56"/>
      <c r="EAY28" s="57"/>
      <c r="EAZ28" s="58"/>
      <c r="EBA28" s="56"/>
      <c r="EBB28" s="58"/>
      <c r="EBC28" s="57"/>
      <c r="EBD28" s="56"/>
      <c r="EBE28" s="57"/>
      <c r="EBF28" s="56"/>
      <c r="EBG28" s="56"/>
      <c r="EBH28" s="56"/>
      <c r="EBI28" s="57"/>
      <c r="EBJ28" s="387"/>
      <c r="EBK28" s="57"/>
      <c r="EBL28" s="387"/>
      <c r="EBM28" s="57"/>
      <c r="EBN28" s="387"/>
      <c r="EBO28" s="57"/>
      <c r="EBP28" s="57"/>
      <c r="EBQ28" s="57"/>
      <c r="EBR28" s="57"/>
      <c r="EBS28" s="57"/>
      <c r="EBT28" s="57"/>
      <c r="EBU28" s="57"/>
      <c r="EBV28" s="57"/>
      <c r="EBW28" s="57"/>
      <c r="EBX28" s="57"/>
      <c r="EBY28" s="57"/>
      <c r="EBZ28" s="57"/>
      <c r="ECA28" s="57"/>
      <c r="ECB28" s="57"/>
      <c r="ECC28" s="57"/>
      <c r="ECD28" s="57"/>
      <c r="ECE28" s="57"/>
      <c r="ECF28" s="57"/>
      <c r="ECG28" s="57"/>
      <c r="ECH28" s="57"/>
      <c r="ECI28" s="57"/>
      <c r="ECJ28" s="57"/>
      <c r="ECK28" s="57"/>
      <c r="ECL28" s="57"/>
      <c r="ECM28" s="57"/>
      <c r="ECN28" s="57"/>
      <c r="ECO28" s="57"/>
      <c r="ECP28" s="57"/>
      <c r="ECQ28" s="57"/>
      <c r="ECR28" s="57"/>
      <c r="ECS28" s="57"/>
      <c r="ECT28" s="58"/>
      <c r="ECU28" s="56"/>
      <c r="ECV28" s="57"/>
      <c r="ECW28" s="57"/>
      <c r="ECX28" s="57"/>
      <c r="ECY28" s="57"/>
      <c r="ECZ28" s="57"/>
      <c r="EDA28" s="56"/>
      <c r="EDB28" s="57"/>
      <c r="EDC28" s="57"/>
      <c r="EDD28" s="56"/>
      <c r="EDE28" s="57"/>
      <c r="EDF28" s="58"/>
      <c r="EDG28" s="56"/>
      <c r="EDH28" s="57"/>
      <c r="EDI28" s="57"/>
      <c r="EDJ28" s="57"/>
      <c r="EDK28" s="56"/>
      <c r="EDL28" s="57"/>
      <c r="EDM28" s="57"/>
      <c r="EDN28" s="56"/>
      <c r="EDO28" s="57"/>
      <c r="EDP28" s="58"/>
      <c r="EDQ28" s="56"/>
      <c r="EDR28" s="57"/>
      <c r="EDS28" s="57"/>
      <c r="EDT28" s="57"/>
      <c r="EDU28" s="56"/>
      <c r="EDV28" s="57"/>
      <c r="EDW28" s="57"/>
      <c r="EDX28" s="56"/>
      <c r="EDY28" s="57"/>
      <c r="EDZ28" s="58"/>
      <c r="EEA28" s="56"/>
      <c r="EEB28" s="57"/>
      <c r="EEC28" s="57"/>
      <c r="EED28" s="57"/>
      <c r="EEE28" s="56"/>
      <c r="EEF28" s="57"/>
      <c r="EEG28" s="57"/>
      <c r="EEH28" s="56"/>
      <c r="EEI28" s="57"/>
      <c r="EEJ28" s="58"/>
      <c r="EEK28" s="56"/>
      <c r="EEL28" s="58"/>
      <c r="EEM28" s="57"/>
      <c r="EEN28" s="56"/>
      <c r="EEO28" s="57"/>
      <c r="EEP28" s="56"/>
      <c r="EEQ28" s="56"/>
      <c r="EER28" s="56"/>
      <c r="EES28" s="57"/>
      <c r="EET28" s="387"/>
      <c r="EEU28" s="57"/>
      <c r="EEV28" s="387"/>
      <c r="EEW28" s="57"/>
      <c r="EEX28" s="387"/>
      <c r="EEY28" s="57"/>
      <c r="EEZ28" s="57"/>
      <c r="EFA28" s="57"/>
      <c r="EFB28" s="57"/>
      <c r="EFC28" s="57"/>
      <c r="EFD28" s="57"/>
      <c r="EFE28" s="57"/>
      <c r="EFF28" s="57"/>
      <c r="EFG28" s="57"/>
      <c r="EFH28" s="57"/>
      <c r="EFI28" s="57"/>
      <c r="EFJ28" s="57"/>
      <c r="EFK28" s="57"/>
      <c r="EFL28" s="57"/>
      <c r="EFM28" s="57"/>
      <c r="EFN28" s="57"/>
      <c r="EFO28" s="57"/>
      <c r="EFP28" s="57"/>
      <c r="EFQ28" s="57"/>
      <c r="EFR28" s="57"/>
      <c r="EFS28" s="57"/>
      <c r="EFT28" s="57"/>
      <c r="EFU28" s="57"/>
      <c r="EFV28" s="57"/>
      <c r="EFW28" s="57"/>
      <c r="EFX28" s="57"/>
      <c r="EFY28" s="57"/>
      <c r="EFZ28" s="57"/>
      <c r="EGA28" s="57"/>
      <c r="EGB28" s="57"/>
      <c r="EGC28" s="57"/>
      <c r="EGD28" s="58"/>
      <c r="EGE28" s="56"/>
      <c r="EGF28" s="57"/>
      <c r="EGG28" s="57"/>
      <c r="EGH28" s="57"/>
      <c r="EGI28" s="57"/>
      <c r="EGJ28" s="57"/>
      <c r="EGK28" s="56"/>
      <c r="EGL28" s="57"/>
      <c r="EGM28" s="57"/>
      <c r="EGN28" s="56"/>
      <c r="EGO28" s="57"/>
      <c r="EGP28" s="58"/>
      <c r="EGQ28" s="56"/>
      <c r="EGR28" s="57"/>
      <c r="EGS28" s="57"/>
      <c r="EGT28" s="57"/>
      <c r="EGU28" s="56"/>
      <c r="EGV28" s="57"/>
      <c r="EGW28" s="57"/>
      <c r="EGX28" s="56"/>
      <c r="EGY28" s="57"/>
      <c r="EGZ28" s="58"/>
      <c r="EHA28" s="56"/>
      <c r="EHB28" s="57"/>
      <c r="EHC28" s="57"/>
      <c r="EHD28" s="57"/>
      <c r="EHE28" s="56"/>
      <c r="EHF28" s="57"/>
      <c r="EHG28" s="57"/>
      <c r="EHH28" s="56"/>
      <c r="EHI28" s="57"/>
      <c r="EHJ28" s="58"/>
      <c r="EHK28" s="56"/>
      <c r="EHL28" s="57"/>
      <c r="EHM28" s="57"/>
      <c r="EHN28" s="57"/>
      <c r="EHO28" s="56"/>
      <c r="EHP28" s="57"/>
      <c r="EHQ28" s="57"/>
      <c r="EHR28" s="56"/>
      <c r="EHS28" s="57"/>
      <c r="EHT28" s="58"/>
      <c r="EHU28" s="56"/>
      <c r="EHV28" s="58"/>
      <c r="EHW28" s="57"/>
      <c r="EHX28" s="56"/>
      <c r="EHY28" s="57"/>
      <c r="EHZ28" s="56"/>
      <c r="EIA28" s="56"/>
      <c r="EIB28" s="56"/>
      <c r="EIC28" s="57"/>
      <c r="EID28" s="387"/>
      <c r="EIE28" s="57"/>
      <c r="EIF28" s="387"/>
      <c r="EIG28" s="57"/>
      <c r="EIH28" s="387"/>
      <c r="EII28" s="57"/>
      <c r="EIJ28" s="57"/>
      <c r="EIK28" s="57"/>
      <c r="EIL28" s="57"/>
      <c r="EIM28" s="57"/>
      <c r="EIN28" s="57"/>
      <c r="EIO28" s="57"/>
      <c r="EIP28" s="57"/>
      <c r="EIQ28" s="57"/>
      <c r="EIR28" s="57"/>
      <c r="EIS28" s="57"/>
      <c r="EIT28" s="57"/>
      <c r="EIU28" s="57"/>
      <c r="EIV28" s="57"/>
      <c r="EIW28" s="57"/>
      <c r="EIX28" s="57"/>
      <c r="EIY28" s="57"/>
      <c r="EIZ28" s="57"/>
      <c r="EJA28" s="57"/>
      <c r="EJB28" s="57"/>
      <c r="EJC28" s="57"/>
      <c r="EJD28" s="57"/>
      <c r="EJE28" s="57"/>
      <c r="EJF28" s="57"/>
      <c r="EJG28" s="57"/>
      <c r="EJH28" s="57"/>
      <c r="EJI28" s="57"/>
      <c r="EJJ28" s="57"/>
      <c r="EJK28" s="57"/>
      <c r="EJL28" s="57"/>
      <c r="EJM28" s="57"/>
      <c r="EJN28" s="58"/>
      <c r="EJO28" s="56"/>
      <c r="EJP28" s="57"/>
      <c r="EJQ28" s="57"/>
      <c r="EJR28" s="57"/>
      <c r="EJS28" s="57"/>
      <c r="EJT28" s="57"/>
      <c r="EJU28" s="56"/>
      <c r="EJV28" s="57"/>
      <c r="EJW28" s="57"/>
      <c r="EJX28" s="56"/>
      <c r="EJY28" s="57"/>
      <c r="EJZ28" s="58"/>
      <c r="EKA28" s="56"/>
      <c r="EKB28" s="57"/>
      <c r="EKC28" s="57"/>
      <c r="EKD28" s="57"/>
      <c r="EKE28" s="56"/>
      <c r="EKF28" s="57"/>
      <c r="EKG28" s="57"/>
      <c r="EKH28" s="56"/>
      <c r="EKI28" s="57"/>
      <c r="EKJ28" s="58"/>
      <c r="EKK28" s="56"/>
      <c r="EKL28" s="57"/>
      <c r="EKM28" s="57"/>
      <c r="EKN28" s="57"/>
      <c r="EKO28" s="56"/>
      <c r="EKP28" s="57"/>
      <c r="EKQ28" s="57"/>
      <c r="EKR28" s="56"/>
      <c r="EKS28" s="57"/>
      <c r="EKT28" s="58"/>
      <c r="EKU28" s="56"/>
      <c r="EKV28" s="57"/>
      <c r="EKW28" s="57"/>
      <c r="EKX28" s="57"/>
      <c r="EKY28" s="56"/>
      <c r="EKZ28" s="57"/>
      <c r="ELA28" s="57"/>
      <c r="ELB28" s="56"/>
      <c r="ELC28" s="57"/>
      <c r="ELD28" s="58"/>
      <c r="ELE28" s="56"/>
      <c r="ELF28" s="58"/>
      <c r="ELG28" s="57"/>
      <c r="ELH28" s="56"/>
      <c r="ELI28" s="57"/>
      <c r="ELJ28" s="56"/>
      <c r="ELK28" s="56"/>
      <c r="ELL28" s="56"/>
      <c r="ELM28" s="57"/>
      <c r="ELN28" s="387"/>
      <c r="ELO28" s="57"/>
      <c r="ELP28" s="387"/>
      <c r="ELQ28" s="57"/>
      <c r="ELR28" s="387"/>
      <c r="ELS28" s="57"/>
      <c r="ELT28" s="57"/>
      <c r="ELU28" s="57"/>
      <c r="ELV28" s="57"/>
      <c r="ELW28" s="57"/>
      <c r="ELX28" s="57"/>
      <c r="ELY28" s="57"/>
      <c r="ELZ28" s="57"/>
      <c r="EMA28" s="57"/>
      <c r="EMB28" s="57"/>
      <c r="EMC28" s="57"/>
      <c r="EMD28" s="57"/>
      <c r="EME28" s="57"/>
      <c r="EMF28" s="57"/>
      <c r="EMG28" s="57"/>
      <c r="EMH28" s="57"/>
      <c r="EMI28" s="57"/>
      <c r="EMJ28" s="57"/>
      <c r="EMK28" s="57"/>
      <c r="EML28" s="57"/>
      <c r="EMM28" s="57"/>
      <c r="EMN28" s="57"/>
      <c r="EMO28" s="57"/>
      <c r="EMP28" s="57"/>
      <c r="EMQ28" s="57"/>
      <c r="EMR28" s="57"/>
      <c r="EMS28" s="57"/>
      <c r="EMT28" s="57"/>
      <c r="EMU28" s="57"/>
      <c r="EMV28" s="57"/>
      <c r="EMW28" s="57"/>
      <c r="EMX28" s="58"/>
      <c r="EMY28" s="56"/>
      <c r="EMZ28" s="57"/>
      <c r="ENA28" s="57"/>
      <c r="ENB28" s="57"/>
      <c r="ENC28" s="57"/>
      <c r="END28" s="57"/>
      <c r="ENE28" s="56"/>
      <c r="ENF28" s="57"/>
      <c r="ENG28" s="57"/>
      <c r="ENH28" s="56"/>
      <c r="ENI28" s="57"/>
      <c r="ENJ28" s="58"/>
      <c r="ENK28" s="56"/>
      <c r="ENL28" s="57"/>
      <c r="ENM28" s="57"/>
      <c r="ENN28" s="57"/>
      <c r="ENO28" s="56"/>
      <c r="ENP28" s="57"/>
      <c r="ENQ28" s="57"/>
      <c r="ENR28" s="56"/>
      <c r="ENS28" s="57"/>
      <c r="ENT28" s="58"/>
      <c r="ENU28" s="56"/>
      <c r="ENV28" s="57"/>
      <c r="ENW28" s="57"/>
      <c r="ENX28" s="57"/>
      <c r="ENY28" s="56"/>
      <c r="ENZ28" s="57"/>
      <c r="EOA28" s="57"/>
      <c r="EOB28" s="56"/>
      <c r="EOC28" s="57"/>
      <c r="EOD28" s="58"/>
      <c r="EOE28" s="56"/>
      <c r="EOF28" s="57"/>
      <c r="EOG28" s="57"/>
      <c r="EOH28" s="57"/>
      <c r="EOI28" s="56"/>
      <c r="EOJ28" s="57"/>
      <c r="EOK28" s="57"/>
      <c r="EOL28" s="56"/>
      <c r="EOM28" s="57"/>
      <c r="EON28" s="58"/>
      <c r="EOO28" s="56" t="str">
        <f t="shared" si="75"/>
        <v xml:space="preserve"> </v>
      </c>
    </row>
    <row r="29" spans="1:3785" x14ac:dyDescent="0.3">
      <c r="A29" s="27" t="s">
        <v>200</v>
      </c>
      <c r="B29" s="30"/>
      <c r="C29" s="29"/>
      <c r="D29" s="28" t="str">
        <f t="shared" si="61"/>
        <v xml:space="preserve"> </v>
      </c>
      <c r="E29" s="29"/>
      <c r="F29" s="28"/>
      <c r="G29" s="28"/>
      <c r="H29" s="28"/>
      <c r="I29" s="29"/>
      <c r="J29" s="385"/>
      <c r="K29" s="29"/>
      <c r="L29" s="385"/>
      <c r="M29" s="29"/>
      <c r="N29" s="385"/>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30"/>
      <c r="AU29" s="28"/>
      <c r="AV29" s="29"/>
      <c r="AW29" s="29"/>
      <c r="AX29" s="29"/>
      <c r="AY29" s="29"/>
      <c r="AZ29" s="29"/>
      <c r="BA29" s="28"/>
      <c r="BB29" s="29"/>
      <c r="BC29" s="29"/>
      <c r="BD29" s="28"/>
      <c r="BE29" s="29"/>
      <c r="BF29" s="30"/>
      <c r="BG29" s="28"/>
      <c r="BH29" s="29"/>
      <c r="BI29" s="29"/>
      <c r="BJ29" s="29"/>
      <c r="BK29" s="28"/>
      <c r="BL29" s="29"/>
      <c r="BM29" s="29"/>
      <c r="BN29" s="28"/>
      <c r="BO29" s="29"/>
      <c r="BP29" s="30"/>
      <c r="BQ29" s="28"/>
      <c r="BR29" s="29"/>
      <c r="BS29" s="29"/>
      <c r="BT29" s="29"/>
      <c r="BU29" s="28"/>
      <c r="BV29" s="29"/>
      <c r="BW29" s="29"/>
      <c r="BX29" s="28"/>
      <c r="BY29" s="29"/>
      <c r="BZ29" s="30"/>
      <c r="CA29" s="28"/>
      <c r="CB29" s="29"/>
      <c r="CC29" s="29"/>
      <c r="CD29" s="29"/>
      <c r="CE29" s="28"/>
      <c r="CF29" s="29"/>
      <c r="CG29" s="29"/>
      <c r="CH29" s="28"/>
      <c r="CI29" s="29"/>
      <c r="CJ29" s="30"/>
      <c r="CK29" s="28"/>
      <c r="CL29" s="29"/>
      <c r="CM29" s="29"/>
      <c r="CN29" s="29"/>
      <c r="CO29" s="28"/>
      <c r="CP29" s="29"/>
      <c r="CQ29" s="29"/>
      <c r="CR29" s="28"/>
      <c r="CS29" s="29"/>
      <c r="CT29" s="30"/>
      <c r="CU29" s="28"/>
      <c r="CV29" s="29"/>
      <c r="CW29" s="29"/>
      <c r="CX29" s="29"/>
      <c r="CY29" s="28"/>
      <c r="CZ29" s="29"/>
      <c r="DA29" s="29"/>
      <c r="DB29" s="28"/>
      <c r="DC29" s="29"/>
      <c r="DD29" s="30"/>
      <c r="DE29" s="28"/>
      <c r="DF29" s="29"/>
      <c r="DG29" s="29"/>
      <c r="DH29" s="29"/>
      <c r="DI29" s="28"/>
      <c r="DJ29" s="29"/>
      <c r="DK29" s="29"/>
      <c r="DL29" s="28"/>
      <c r="DM29" s="29"/>
      <c r="DN29" s="30"/>
      <c r="DO29" s="28"/>
      <c r="DP29" s="29"/>
      <c r="DQ29" s="29"/>
      <c r="DR29" s="29"/>
      <c r="DS29" s="28"/>
      <c r="DT29" s="29"/>
      <c r="DU29" s="29"/>
      <c r="DV29" s="28"/>
      <c r="DW29" s="29"/>
      <c r="DX29" s="30"/>
      <c r="DY29" s="28"/>
      <c r="DZ29" s="29"/>
      <c r="EA29" s="29"/>
      <c r="EB29" s="29"/>
      <c r="EC29" s="28"/>
      <c r="ED29" s="29"/>
      <c r="EE29" s="28"/>
      <c r="EF29" s="28"/>
      <c r="EG29" s="29"/>
      <c r="EH29" s="30"/>
      <c r="EI29" s="28"/>
      <c r="EJ29" s="29"/>
      <c r="EK29" s="29"/>
      <c r="EL29" s="29"/>
      <c r="EM29" s="28"/>
      <c r="EN29" s="29"/>
      <c r="EO29" s="33"/>
      <c r="EP29" s="28"/>
      <c r="EQ29" s="29"/>
      <c r="ER29" s="30"/>
      <c r="ES29" s="28"/>
      <c r="ET29" s="29"/>
      <c r="EU29" s="29"/>
      <c r="EV29" s="29"/>
      <c r="EW29" s="28"/>
      <c r="EX29" s="29"/>
      <c r="EY29" s="29"/>
      <c r="EZ29" s="28"/>
      <c r="FA29" s="29"/>
      <c r="FB29" s="30"/>
      <c r="FC29" s="28"/>
      <c r="FD29" s="29"/>
      <c r="FE29" s="29"/>
      <c r="FF29" s="29"/>
      <c r="FG29" s="28"/>
      <c r="FH29" s="29"/>
      <c r="FI29" s="29"/>
      <c r="FJ29" s="28"/>
      <c r="FK29" s="29"/>
      <c r="FL29" s="30"/>
      <c r="FM29" s="28"/>
      <c r="FN29" s="29"/>
      <c r="FO29" s="29"/>
      <c r="FP29" s="29"/>
      <c r="FQ29" s="28"/>
      <c r="FR29" s="29"/>
      <c r="FS29" s="29"/>
      <c r="FT29" s="28"/>
      <c r="FU29" s="29"/>
      <c r="FV29" s="30"/>
      <c r="FW29" s="28"/>
      <c r="FX29" s="29"/>
      <c r="FY29" s="29"/>
      <c r="FZ29" s="29"/>
      <c r="GA29" s="28"/>
      <c r="GB29" s="29"/>
      <c r="GC29" s="29"/>
      <c r="GD29" s="28"/>
      <c r="GE29" s="29"/>
      <c r="GF29" s="30"/>
      <c r="GG29" s="28"/>
      <c r="GH29" s="29"/>
      <c r="GI29" s="29"/>
      <c r="GJ29" s="29"/>
      <c r="GK29" s="28"/>
      <c r="GL29" s="29"/>
      <c r="GM29" s="29"/>
      <c r="GN29" s="28"/>
      <c r="GO29" s="29"/>
      <c r="GP29" s="30"/>
      <c r="GQ29" s="28"/>
      <c r="GR29" s="29"/>
      <c r="GS29" s="29"/>
      <c r="GT29" s="29"/>
      <c r="GU29" s="28"/>
      <c r="GV29" s="29"/>
      <c r="GW29" s="29"/>
      <c r="GX29" s="28"/>
      <c r="GY29" s="29"/>
      <c r="GZ29" s="30"/>
      <c r="HA29" s="28"/>
      <c r="HB29" s="29"/>
      <c r="HC29" s="29"/>
      <c r="HD29" s="29"/>
      <c r="HE29" s="28"/>
      <c r="HF29" s="29"/>
      <c r="HG29" s="29"/>
      <c r="HH29" s="28"/>
      <c r="HI29" s="29"/>
      <c r="HJ29" s="30"/>
      <c r="HK29" s="28"/>
      <c r="HL29" s="29"/>
      <c r="HM29" s="29"/>
      <c r="HN29" s="29"/>
      <c r="HO29" s="28"/>
      <c r="HP29" s="29"/>
      <c r="HQ29" s="29"/>
      <c r="HR29" s="28"/>
      <c r="HS29" s="29"/>
      <c r="HT29" s="30"/>
      <c r="HU29" s="28"/>
      <c r="HV29" s="29"/>
      <c r="HW29" s="29"/>
      <c r="HX29" s="29"/>
      <c r="HY29" s="28"/>
      <c r="HZ29" s="29"/>
      <c r="IA29" s="29"/>
      <c r="IB29" s="28"/>
      <c r="IC29" s="29"/>
      <c r="ID29" s="30"/>
      <c r="IE29" s="28"/>
      <c r="IF29" s="29"/>
      <c r="IG29" s="29"/>
      <c r="IH29" s="29"/>
      <c r="II29" s="28"/>
      <c r="IJ29" s="29"/>
      <c r="IK29" s="29"/>
      <c r="IL29" s="28"/>
      <c r="IM29" s="29"/>
      <c r="IN29" s="30"/>
      <c r="IO29" s="28"/>
      <c r="IP29" s="29"/>
      <c r="IQ29" s="29"/>
      <c r="IR29" s="29"/>
      <c r="IS29" s="28"/>
      <c r="IT29" s="29"/>
      <c r="IU29" s="29"/>
      <c r="IV29" s="28"/>
      <c r="IW29" s="29"/>
      <c r="IX29" s="30"/>
      <c r="IY29" s="28"/>
      <c r="IZ29" s="29"/>
      <c r="JA29" s="29"/>
      <c r="JB29" s="29"/>
      <c r="JC29" s="28"/>
      <c r="JD29" s="29"/>
      <c r="JE29" s="29"/>
      <c r="JF29" s="28"/>
      <c r="JG29" s="29"/>
      <c r="JH29" s="30"/>
      <c r="JI29" s="28"/>
      <c r="JJ29" s="29"/>
      <c r="JK29" s="29"/>
      <c r="JL29" s="29"/>
      <c r="JM29" s="28"/>
      <c r="JN29" s="29"/>
      <c r="JO29" s="29"/>
      <c r="JP29" s="28"/>
      <c r="JQ29" s="29"/>
      <c r="JR29" s="30"/>
      <c r="JS29" s="28"/>
      <c r="JT29" s="29"/>
      <c r="JU29" s="29"/>
      <c r="JV29" s="29"/>
      <c r="JW29" s="28"/>
      <c r="JX29" s="29"/>
      <c r="JY29" s="29"/>
      <c r="JZ29" s="28"/>
      <c r="KA29" s="29"/>
      <c r="KB29" s="30"/>
      <c r="KC29" s="28"/>
      <c r="KD29" s="29"/>
      <c r="KE29" s="29"/>
      <c r="KF29" s="29"/>
      <c r="KG29" s="28"/>
      <c r="KH29" s="29"/>
      <c r="KI29" s="29"/>
      <c r="KJ29" s="28"/>
      <c r="KK29" s="29"/>
      <c r="KL29" s="30"/>
      <c r="KM29" s="28"/>
      <c r="KN29" s="29"/>
      <c r="KO29" s="29"/>
      <c r="KP29" s="29"/>
      <c r="KQ29" s="28"/>
      <c r="KR29" s="29"/>
      <c r="KS29" s="29"/>
      <c r="KT29" s="28"/>
      <c r="KU29" s="29"/>
      <c r="KV29" s="30"/>
      <c r="KW29" s="28"/>
      <c r="KX29" s="29"/>
      <c r="KY29" s="29"/>
      <c r="KZ29" s="29"/>
      <c r="LA29" s="28"/>
      <c r="LB29" s="29"/>
      <c r="LC29" s="29"/>
      <c r="LD29" s="28"/>
      <c r="LE29" s="29"/>
      <c r="LF29" s="30"/>
      <c r="LG29" s="28"/>
      <c r="LH29" s="29"/>
      <c r="LI29" s="29"/>
      <c r="LJ29" s="29"/>
      <c r="LK29" s="28"/>
      <c r="LL29" s="29"/>
      <c r="LM29" s="29"/>
      <c r="LN29" s="28"/>
      <c r="LO29" s="29"/>
      <c r="LP29" s="30"/>
      <c r="LQ29" s="28"/>
      <c r="LR29" s="29"/>
      <c r="LS29" s="29"/>
      <c r="LT29" s="29"/>
      <c r="LU29" s="28"/>
      <c r="LV29" s="29"/>
      <c r="LW29" s="29"/>
      <c r="LX29" s="28"/>
      <c r="LY29" s="29"/>
      <c r="LZ29" s="30"/>
      <c r="MA29" s="28"/>
      <c r="MB29" s="29"/>
      <c r="MC29" s="29"/>
      <c r="MD29" s="29"/>
      <c r="ME29" s="28"/>
      <c r="MF29" s="29"/>
      <c r="MG29" s="29"/>
      <c r="MH29" s="28"/>
      <c r="MI29" s="29"/>
      <c r="MJ29" s="30"/>
      <c r="MK29" s="28"/>
      <c r="ML29" s="29"/>
      <c r="MM29" s="29"/>
      <c r="MN29" s="29"/>
      <c r="MO29" s="28"/>
      <c r="MP29" s="29"/>
      <c r="MQ29" s="29"/>
      <c r="MR29" s="28"/>
      <c r="MS29" s="29"/>
      <c r="MT29" s="30"/>
      <c r="MU29" s="28"/>
      <c r="MV29" s="29"/>
      <c r="MW29" s="29"/>
      <c r="MX29" s="29"/>
      <c r="MY29" s="28"/>
      <c r="MZ29" s="29"/>
      <c r="NA29" s="29"/>
      <c r="NB29" s="28"/>
      <c r="NC29" s="29"/>
      <c r="ND29" s="30"/>
      <c r="NE29" s="28"/>
      <c r="NF29" s="29"/>
      <c r="NG29" s="29"/>
      <c r="NH29" s="29"/>
      <c r="NI29" s="28"/>
      <c r="NJ29" s="29"/>
      <c r="NK29" s="29"/>
      <c r="NL29" s="28"/>
      <c r="NM29" s="29"/>
      <c r="NN29" s="30"/>
      <c r="NO29" s="28"/>
      <c r="NP29" s="29"/>
      <c r="NQ29" s="29"/>
      <c r="NR29" s="29"/>
      <c r="NS29" s="28"/>
      <c r="NT29" s="29"/>
      <c r="NU29" s="29"/>
      <c r="NV29" s="28"/>
      <c r="NW29" s="29"/>
      <c r="NX29" s="30"/>
      <c r="NY29" s="28"/>
      <c r="NZ29" s="29"/>
      <c r="OA29" s="29"/>
      <c r="OB29" s="29"/>
      <c r="OC29" s="28"/>
      <c r="OD29" s="29"/>
      <c r="OE29" s="29"/>
      <c r="OF29" s="30"/>
      <c r="OG29" s="30"/>
      <c r="OH29" s="30"/>
      <c r="OI29" s="28"/>
      <c r="OJ29" s="30"/>
      <c r="OK29" s="30"/>
      <c r="OL29" s="30"/>
      <c r="OM29" s="30"/>
      <c r="ON29" s="30"/>
      <c r="OO29" s="30"/>
      <c r="OP29" s="28"/>
      <c r="OQ29" s="29"/>
      <c r="OR29" s="30"/>
      <c r="OS29" s="28"/>
      <c r="OT29" s="29"/>
      <c r="OU29" s="29"/>
      <c r="OV29" s="29"/>
      <c r="OW29" s="28"/>
      <c r="OX29" s="29"/>
      <c r="OY29" s="29"/>
      <c r="OZ29" s="28"/>
      <c r="PA29" s="29"/>
      <c r="PB29" s="30"/>
      <c r="PC29" s="28"/>
      <c r="PD29" s="29"/>
      <c r="PE29" s="29"/>
      <c r="PF29" s="29"/>
      <c r="PG29" s="28"/>
      <c r="PH29" s="29"/>
      <c r="PI29" s="29"/>
      <c r="PJ29" s="28"/>
      <c r="PK29" s="29"/>
      <c r="PL29" s="30"/>
      <c r="PM29" s="28"/>
      <c r="PN29" s="29"/>
      <c r="PO29" s="29"/>
      <c r="PP29" s="29"/>
      <c r="PQ29" s="28"/>
      <c r="PR29" s="29"/>
      <c r="PS29" s="29"/>
      <c r="PT29" s="28"/>
      <c r="PU29" s="29"/>
      <c r="PV29" s="30"/>
      <c r="PW29" s="28"/>
      <c r="PX29" s="29"/>
      <c r="PY29" s="29"/>
      <c r="PZ29" s="29"/>
      <c r="QA29" s="28"/>
      <c r="QB29" s="29"/>
      <c r="QC29" s="29"/>
      <c r="QD29" s="28"/>
      <c r="QE29" s="29"/>
      <c r="QF29" s="30"/>
      <c r="QG29" s="28"/>
      <c r="QH29" s="29"/>
      <c r="QI29" s="29"/>
      <c r="QJ29" s="29"/>
      <c r="QK29" s="28"/>
      <c r="QL29" s="29"/>
      <c r="QM29" s="29"/>
      <c r="QN29" s="28"/>
      <c r="QO29" s="29"/>
      <c r="QP29" s="30"/>
      <c r="QQ29" s="28"/>
      <c r="QR29" s="29"/>
      <c r="QS29" s="29"/>
      <c r="QT29" s="29"/>
      <c r="QU29" s="28"/>
      <c r="QV29" s="29"/>
      <c r="QW29" s="29"/>
      <c r="QX29" s="28"/>
      <c r="QY29" s="29"/>
      <c r="QZ29" s="30"/>
      <c r="RA29" s="28"/>
      <c r="RB29" s="29"/>
      <c r="RC29" s="29"/>
      <c r="RD29" s="29"/>
      <c r="RE29" s="28"/>
      <c r="RF29" s="29"/>
      <c r="RG29" s="29"/>
      <c r="RH29" s="28"/>
      <c r="RI29" s="29"/>
      <c r="RJ29" s="30"/>
      <c r="RK29" s="28"/>
      <c r="RL29" s="29"/>
      <c r="RM29" s="29"/>
      <c r="RN29" s="29"/>
      <c r="RO29" s="28"/>
      <c r="RP29" s="29"/>
      <c r="RQ29" s="29"/>
      <c r="RR29" s="28"/>
      <c r="RS29" s="29"/>
      <c r="RT29" s="30"/>
      <c r="RU29" s="28"/>
      <c r="RV29" s="29"/>
      <c r="RW29" s="29"/>
      <c r="RX29" s="29"/>
      <c r="RY29" s="28"/>
      <c r="RZ29" s="29"/>
      <c r="SA29" s="29"/>
      <c r="SB29" s="28"/>
      <c r="SC29" s="29"/>
      <c r="SD29" s="30"/>
      <c r="SE29" s="28"/>
      <c r="SF29" s="29"/>
      <c r="SG29" s="29"/>
      <c r="SH29" s="29"/>
      <c r="SI29" s="28"/>
      <c r="SJ29" s="29"/>
      <c r="SK29" s="29"/>
      <c r="SL29" s="28"/>
      <c r="SM29" s="29"/>
      <c r="SN29" s="30"/>
      <c r="SO29" s="28"/>
      <c r="SP29" s="29"/>
      <c r="SQ29" s="29"/>
      <c r="SR29" s="29"/>
      <c r="SS29" s="28"/>
      <c r="ST29" s="29"/>
      <c r="SU29" s="29"/>
      <c r="SV29" s="28"/>
      <c r="SW29" s="29"/>
      <c r="SX29" s="30"/>
      <c r="SY29" s="28"/>
      <c r="SZ29" s="29"/>
      <c r="TA29" s="29"/>
      <c r="TB29" s="29"/>
      <c r="TC29" s="28"/>
      <c r="TD29" s="29"/>
      <c r="TE29" s="29"/>
      <c r="TF29" s="28"/>
      <c r="TG29" s="29"/>
      <c r="TH29" s="30"/>
      <c r="TI29" s="28"/>
      <c r="TJ29" s="29"/>
      <c r="TK29" s="29"/>
      <c r="TL29" s="29"/>
      <c r="TM29" s="28"/>
      <c r="TN29" s="29"/>
      <c r="TO29" s="29"/>
      <c r="TP29" s="28"/>
      <c r="TQ29" s="29"/>
      <c r="TR29" s="30"/>
      <c r="TS29" s="28"/>
      <c r="TT29" s="29"/>
      <c r="TU29" s="29"/>
      <c r="TV29" s="29"/>
      <c r="TW29" s="28"/>
      <c r="TX29" s="29"/>
      <c r="TY29" s="29"/>
      <c r="TZ29" s="28"/>
      <c r="UA29" s="29"/>
      <c r="UB29" s="30"/>
      <c r="UC29" s="28"/>
      <c r="UD29" s="29"/>
      <c r="UE29" s="29"/>
      <c r="UF29" s="29"/>
      <c r="UG29" s="28"/>
      <c r="UH29" s="29"/>
      <c r="UI29" s="29"/>
      <c r="UJ29" s="28"/>
      <c r="UK29" s="29"/>
      <c r="UL29" s="30"/>
      <c r="UM29" s="28"/>
      <c r="UN29" s="29"/>
      <c r="UO29" s="29"/>
      <c r="UP29" s="29"/>
      <c r="UQ29" s="28"/>
      <c r="UR29" s="29"/>
      <c r="US29" s="29"/>
      <c r="UT29" s="28"/>
      <c r="UU29" s="29"/>
      <c r="UV29" s="30"/>
      <c r="UW29" s="28"/>
      <c r="UX29" s="29"/>
      <c r="UY29" s="29"/>
      <c r="UZ29" s="29"/>
      <c r="VA29" s="28"/>
      <c r="VB29" s="29"/>
      <c r="VC29" s="29"/>
      <c r="VD29" s="28"/>
      <c r="VE29" s="29"/>
      <c r="VF29" s="30"/>
      <c r="VG29" s="28"/>
      <c r="VH29" s="29"/>
      <c r="VI29" s="29"/>
      <c r="VJ29" s="29"/>
      <c r="VK29" s="28"/>
      <c r="VL29" s="29"/>
      <c r="VM29" s="29"/>
      <c r="VN29" s="28"/>
      <c r="VO29" s="29"/>
      <c r="VP29" s="30"/>
      <c r="VQ29" s="28"/>
      <c r="VR29" s="29"/>
      <c r="VS29" s="29"/>
      <c r="VT29" s="29"/>
      <c r="VU29" s="28"/>
      <c r="VV29" s="29"/>
      <c r="VW29" s="29"/>
      <c r="VX29" s="28"/>
      <c r="VY29" s="29"/>
      <c r="VZ29" s="30"/>
      <c r="WA29" s="28"/>
      <c r="WB29" s="29"/>
      <c r="WC29" s="29"/>
      <c r="WD29" s="29"/>
      <c r="WE29" s="28"/>
      <c r="WF29" s="29"/>
      <c r="WG29" s="29"/>
      <c r="WH29" s="28"/>
      <c r="WI29" s="29"/>
      <c r="WJ29" s="30"/>
      <c r="WK29" s="28"/>
      <c r="WL29" s="29"/>
      <c r="WM29" s="29"/>
      <c r="WN29" s="29"/>
      <c r="WO29" s="28"/>
      <c r="WP29" s="29"/>
      <c r="WQ29" s="29"/>
      <c r="WR29" s="28"/>
      <c r="WS29" s="29"/>
      <c r="WT29" s="30"/>
      <c r="WU29" s="28"/>
      <c r="WV29" s="29"/>
      <c r="WW29" s="29"/>
      <c r="WX29" s="29"/>
      <c r="WY29" s="28"/>
      <c r="WZ29" s="29"/>
      <c r="XA29" s="29"/>
      <c r="XB29" s="28"/>
      <c r="XC29" s="29"/>
      <c r="XD29" s="30"/>
      <c r="XE29" s="28"/>
      <c r="XF29" s="29"/>
      <c r="XG29" s="29"/>
      <c r="XH29" s="29"/>
      <c r="XI29" s="28"/>
      <c r="XJ29" s="29"/>
      <c r="XK29" s="29"/>
      <c r="XL29" s="28"/>
      <c r="XM29" s="29"/>
      <c r="XN29" s="30"/>
      <c r="XO29" s="28"/>
      <c r="XP29" s="29"/>
      <c r="XQ29" s="29"/>
      <c r="XR29" s="29"/>
      <c r="XS29" s="28"/>
      <c r="XT29" s="29"/>
      <c r="XU29" s="29"/>
      <c r="XV29" s="28"/>
      <c r="XW29" s="29"/>
      <c r="XX29" s="30"/>
      <c r="XY29" s="28"/>
      <c r="XZ29" s="29"/>
      <c r="YA29" s="29"/>
      <c r="YB29" s="29"/>
      <c r="YC29" s="28"/>
      <c r="YD29" s="29"/>
      <c r="YE29" s="29"/>
      <c r="YF29" s="28"/>
      <c r="YG29" s="29"/>
      <c r="YH29" s="30"/>
      <c r="YI29" s="28"/>
      <c r="YJ29" s="29"/>
      <c r="YK29" s="29"/>
      <c r="YL29" s="29"/>
      <c r="YM29" s="28"/>
      <c r="YN29" s="29"/>
      <c r="YO29" s="29"/>
      <c r="YP29" s="28"/>
      <c r="YQ29" s="29"/>
      <c r="YR29" s="30"/>
      <c r="YS29" s="28"/>
      <c r="YT29" s="29"/>
      <c r="YU29" s="29"/>
      <c r="YV29" s="29"/>
      <c r="YW29" s="28"/>
      <c r="YX29" s="29"/>
      <c r="YY29" s="29"/>
      <c r="YZ29" s="28"/>
      <c r="ZA29" s="29"/>
      <c r="ZB29" s="30"/>
      <c r="ZC29" s="28"/>
      <c r="ZD29" s="29"/>
      <c r="ZE29" s="29"/>
      <c r="ZF29" s="29"/>
      <c r="ZG29" s="28"/>
      <c r="ZH29" s="29"/>
      <c r="ZI29" s="29"/>
      <c r="ZJ29" s="28"/>
      <c r="ZK29" s="29"/>
      <c r="ZL29" s="30"/>
      <c r="ZM29" s="28"/>
      <c r="ZN29" s="29"/>
      <c r="ZO29" s="29"/>
      <c r="ZP29" s="29"/>
      <c r="ZQ29" s="28"/>
      <c r="ZR29" s="29"/>
      <c r="ZS29" s="29"/>
      <c r="ZT29" s="28"/>
      <c r="ZU29" s="29"/>
      <c r="ZV29" s="30"/>
      <c r="ZW29" s="28"/>
      <c r="ZX29" s="29"/>
      <c r="ZY29" s="29"/>
      <c r="ZZ29" s="29"/>
      <c r="AAA29" s="28"/>
      <c r="AAB29" s="29"/>
      <c r="AAC29" s="29"/>
      <c r="AAD29" s="28"/>
      <c r="AAE29" s="29"/>
      <c r="AAF29" s="30"/>
      <c r="AAG29" s="28"/>
      <c r="AAH29" s="29"/>
      <c r="AAI29" s="29"/>
      <c r="AAJ29" s="29"/>
      <c r="AAK29" s="28"/>
      <c r="AAL29" s="29"/>
      <c r="AAM29" s="29"/>
      <c r="AAN29" s="28"/>
      <c r="AAO29" s="29"/>
      <c r="AAP29" s="30"/>
      <c r="AAQ29" s="28"/>
      <c r="AAR29" s="29"/>
      <c r="AAS29" s="29"/>
      <c r="AAT29" s="29"/>
      <c r="AAU29" s="28"/>
      <c r="AAV29" s="29"/>
      <c r="AAW29" s="29"/>
      <c r="AAX29" s="28"/>
      <c r="AAY29" s="29"/>
      <c r="AAZ29" s="30"/>
      <c r="ABA29" s="28"/>
      <c r="ABB29" s="29"/>
      <c r="ABC29" s="29"/>
      <c r="ABD29" s="29"/>
      <c r="ABE29" s="28"/>
      <c r="ABF29" s="29"/>
      <c r="ABG29" s="29"/>
      <c r="ABH29" s="28"/>
      <c r="ABI29" s="29"/>
      <c r="ABJ29" s="30"/>
      <c r="ABK29" s="28"/>
      <c r="ABL29" s="29"/>
      <c r="ABM29" s="29"/>
      <c r="ABN29" s="29"/>
      <c r="ABO29" s="28"/>
      <c r="ABP29" s="29"/>
      <c r="ABQ29" s="29"/>
      <c r="ABR29" s="28"/>
      <c r="ABS29" s="29"/>
      <c r="ABT29" s="30"/>
      <c r="ABU29" s="28"/>
      <c r="ABV29" s="29"/>
      <c r="ABW29" s="29"/>
      <c r="ABX29" s="29"/>
      <c r="ABY29" s="28"/>
      <c r="ABZ29" s="29"/>
      <c r="ACA29" s="29"/>
      <c r="ACB29" s="28"/>
      <c r="ACC29" s="29"/>
      <c r="ACD29" s="30"/>
      <c r="ACE29" s="28"/>
      <c r="ACF29" s="29"/>
      <c r="ACG29" s="29"/>
      <c r="ACH29" s="29"/>
      <c r="ACI29" s="28"/>
      <c r="ACJ29" s="29"/>
      <c r="ACK29" s="29"/>
      <c r="ACL29" s="28"/>
      <c r="ACM29" s="29"/>
      <c r="ACN29" s="30"/>
      <c r="ACO29" s="28"/>
      <c r="ACP29" s="29"/>
      <c r="ACQ29" s="29"/>
      <c r="ACR29" s="29"/>
      <c r="ACS29" s="28"/>
      <c r="ACT29" s="29"/>
      <c r="ACU29" s="29"/>
      <c r="ACV29" s="28"/>
      <c r="ACW29" s="29"/>
      <c r="ACX29" s="30"/>
      <c r="ACY29" s="28"/>
      <c r="ACZ29" s="29"/>
      <c r="ADA29" s="29"/>
      <c r="ADB29" s="29"/>
      <c r="ADC29" s="28"/>
      <c r="ADD29" s="29"/>
      <c r="ADE29" s="29"/>
      <c r="ADF29" s="28"/>
      <c r="ADG29" s="29"/>
      <c r="ADH29" s="30"/>
      <c r="ADI29" s="28"/>
      <c r="ADJ29" s="29"/>
      <c r="ADK29" s="29"/>
      <c r="ADL29" s="29"/>
      <c r="ADM29" s="28"/>
      <c r="ADN29" s="29"/>
      <c r="ADO29" s="29"/>
      <c r="ADP29" s="28"/>
      <c r="ADQ29" s="29"/>
      <c r="ADR29" s="30"/>
      <c r="ADS29" s="28"/>
      <c r="ADT29" s="29"/>
      <c r="ADU29" s="29"/>
      <c r="ADV29" s="29"/>
      <c r="ADW29" s="28"/>
      <c r="ADX29" s="29"/>
      <c r="ADY29" s="29"/>
      <c r="ADZ29" s="28"/>
      <c r="AEA29" s="29"/>
      <c r="AEB29" s="30"/>
      <c r="AEC29" s="28"/>
      <c r="AED29" s="29"/>
      <c r="AEE29" s="29"/>
      <c r="AEF29" s="29"/>
      <c r="AEG29" s="28"/>
      <c r="AEH29" s="29"/>
      <c r="AEI29" s="29"/>
      <c r="AEJ29" s="28"/>
      <c r="AEK29" s="29"/>
      <c r="AEL29" s="30"/>
      <c r="AEM29" s="28"/>
      <c r="AEN29" s="29"/>
      <c r="AEO29" s="29"/>
      <c r="AEP29" s="29"/>
      <c r="AEQ29" s="28"/>
      <c r="AER29" s="29"/>
      <c r="AES29" s="29"/>
      <c r="AET29" s="28"/>
      <c r="AEU29" s="29"/>
      <c r="AEV29" s="30"/>
      <c r="AEW29" s="28"/>
      <c r="AEX29" s="29"/>
      <c r="AEY29" s="29"/>
      <c r="AEZ29" s="29"/>
      <c r="AFA29" s="28"/>
      <c r="AFB29" s="29"/>
      <c r="AFC29" s="29"/>
      <c r="AFD29" s="28"/>
      <c r="AFE29" s="29"/>
      <c r="AFF29" s="30"/>
      <c r="AFG29" s="28"/>
      <c r="AFH29" s="29"/>
      <c r="AFI29" s="29"/>
      <c r="AFJ29" s="29"/>
      <c r="AFK29" s="28"/>
      <c r="AFL29" s="29"/>
      <c r="AFM29" s="29"/>
      <c r="AFN29" s="28"/>
      <c r="AFO29" s="29"/>
      <c r="AFP29" s="30"/>
      <c r="AFQ29" s="28"/>
      <c r="AFR29" s="29"/>
      <c r="AFS29" s="29"/>
      <c r="AFT29" s="29"/>
      <c r="AFU29" s="28"/>
      <c r="AFV29" s="29"/>
      <c r="AFW29" s="29"/>
      <c r="AFX29" s="28"/>
      <c r="AFY29" s="29"/>
      <c r="AFZ29" s="30"/>
      <c r="AGA29" s="28"/>
      <c r="AGB29" s="29"/>
      <c r="AGC29" s="29"/>
      <c r="AGD29" s="29"/>
      <c r="AGE29" s="28"/>
      <c r="AGF29" s="29"/>
      <c r="AGG29" s="29"/>
      <c r="AGH29" s="28"/>
      <c r="AGI29" s="29"/>
      <c r="AGJ29" s="30"/>
      <c r="AGK29" s="28"/>
      <c r="AGL29" s="29"/>
      <c r="AGM29" s="29"/>
      <c r="AGN29" s="29"/>
      <c r="AGO29" s="28"/>
      <c r="AGP29" s="29"/>
      <c r="AGQ29" s="29"/>
      <c r="AGR29" s="28"/>
      <c r="AGS29" s="29"/>
      <c r="AGT29" s="30"/>
      <c r="AGU29" s="28"/>
      <c r="AGV29" s="29"/>
      <c r="AGW29" s="29"/>
      <c r="AGX29" s="29"/>
      <c r="AGY29" s="28"/>
      <c r="AGZ29" s="29"/>
      <c r="AHA29" s="29"/>
      <c r="AHB29" s="28"/>
      <c r="AHC29" s="29"/>
      <c r="AHD29" s="30"/>
      <c r="AHE29" s="28"/>
      <c r="AHF29" s="29"/>
      <c r="AHG29" s="29"/>
      <c r="AHH29" s="29"/>
      <c r="AHI29" s="28"/>
      <c r="AHJ29" s="29"/>
      <c r="AHK29" s="29"/>
      <c r="AHL29" s="28"/>
      <c r="AHM29" s="29"/>
      <c r="AHN29" s="30"/>
      <c r="AHO29" s="28"/>
      <c r="AHP29" s="29"/>
      <c r="AHQ29" s="29"/>
      <c r="AHR29" s="29"/>
      <c r="AHS29" s="28"/>
      <c r="AHT29" s="29"/>
      <c r="AHU29" s="29"/>
      <c r="AHV29" s="28"/>
      <c r="AHW29" s="29"/>
      <c r="AHX29" s="30"/>
      <c r="AHY29" s="28"/>
      <c r="AHZ29" s="29"/>
      <c r="AIA29" s="29"/>
      <c r="AIB29" s="29"/>
      <c r="AIC29" s="28"/>
      <c r="AID29" s="29"/>
      <c r="AIE29" s="29"/>
      <c r="AIF29" s="28"/>
      <c r="AIG29" s="29"/>
      <c r="AIH29" s="30"/>
      <c r="AII29" s="28"/>
      <c r="AIJ29" s="29"/>
      <c r="AIK29" s="29"/>
      <c r="AIL29" s="29"/>
      <c r="AIM29" s="28"/>
      <c r="AIN29" s="29"/>
      <c r="AIO29" s="29"/>
      <c r="AIP29" s="28"/>
      <c r="AIQ29" s="29"/>
      <c r="AIR29" s="30"/>
      <c r="AIS29" s="28"/>
      <c r="AIT29" s="29"/>
      <c r="AIU29" s="29"/>
      <c r="AIV29" s="29"/>
      <c r="AIW29" s="28"/>
      <c r="AIX29" s="29"/>
      <c r="AIY29" s="29"/>
      <c r="AIZ29" s="28"/>
      <c r="AJA29" s="29"/>
      <c r="AJB29" s="30"/>
      <c r="AJC29" s="28"/>
      <c r="AJD29" s="29"/>
      <c r="AJE29" s="29"/>
      <c r="AJF29" s="29"/>
      <c r="AJG29" s="28"/>
      <c r="AJH29" s="29"/>
      <c r="AJI29" s="29"/>
      <c r="AJJ29" s="28"/>
      <c r="AJK29" s="29"/>
      <c r="AJL29" s="30"/>
      <c r="AJM29" s="28"/>
      <c r="AJN29" s="29"/>
      <c r="AJO29" s="29"/>
      <c r="AJP29" s="29"/>
      <c r="AJQ29" s="28"/>
      <c r="AJR29" s="29"/>
      <c r="AJS29" s="29"/>
      <c r="AJT29" s="28"/>
      <c r="AJU29" s="29"/>
      <c r="AJV29" s="30"/>
      <c r="AJW29" s="28"/>
      <c r="AJX29" s="29"/>
      <c r="AJY29" s="29"/>
      <c r="AJZ29" s="29"/>
      <c r="AKA29" s="28"/>
      <c r="AKB29" s="29"/>
      <c r="AKC29" s="29"/>
      <c r="AKD29" s="28"/>
      <c r="AKE29" s="29"/>
      <c r="AKF29" s="30"/>
      <c r="AKG29" s="28"/>
      <c r="AKH29" s="29"/>
      <c r="AKI29" s="29"/>
      <c r="AKJ29" s="29"/>
      <c r="AKK29" s="28"/>
      <c r="AKL29" s="29"/>
      <c r="AKM29" s="29"/>
      <c r="AKN29" s="28"/>
      <c r="AKO29" s="29"/>
      <c r="AKP29" s="30"/>
      <c r="AKQ29" s="28"/>
      <c r="AKR29" s="29"/>
      <c r="AKS29" s="29"/>
      <c r="AKT29" s="29"/>
      <c r="AKU29" s="28"/>
      <c r="AKV29" s="29"/>
      <c r="AKW29" s="29"/>
      <c r="AKX29" s="28"/>
      <c r="AKY29" s="29"/>
      <c r="AKZ29" s="30"/>
      <c r="ALA29" s="28"/>
      <c r="ALB29" s="29"/>
      <c r="ALC29" s="29"/>
      <c r="ALD29" s="29"/>
      <c r="ALE29" s="28"/>
      <c r="ALF29" s="29"/>
      <c r="ALG29" s="29"/>
      <c r="ALH29" s="29"/>
      <c r="ALI29" s="29"/>
      <c r="ALJ29" s="29"/>
      <c r="ALK29" s="28"/>
      <c r="ALL29" s="29"/>
      <c r="ALM29" s="29"/>
      <c r="ALN29" s="28"/>
      <c r="ALO29" s="29"/>
      <c r="ALP29" s="30"/>
      <c r="ALQ29" s="28"/>
      <c r="ALR29" s="29"/>
      <c r="ALS29" s="29"/>
      <c r="ALT29" s="29"/>
      <c r="ALU29" s="28"/>
      <c r="ALV29" s="29"/>
      <c r="ALW29" s="29"/>
      <c r="ALX29" s="28"/>
      <c r="ALY29" s="29"/>
      <c r="ALZ29" s="30"/>
      <c r="AMA29" s="28"/>
      <c r="AMB29" s="29"/>
      <c r="AMC29" s="29"/>
      <c r="AMD29" s="29"/>
      <c r="AME29" s="28"/>
      <c r="AMF29" s="29"/>
      <c r="AMG29" s="29"/>
      <c r="AMH29" s="29"/>
      <c r="AMI29" s="29"/>
      <c r="AMJ29" s="29"/>
      <c r="AMK29" s="28"/>
      <c r="AML29" s="29"/>
      <c r="AMM29" s="29"/>
      <c r="AMN29" s="28"/>
      <c r="AMO29" s="29"/>
      <c r="AMP29" s="30"/>
      <c r="AMQ29" s="28"/>
      <c r="AMR29" s="29"/>
      <c r="AMS29" s="29"/>
      <c r="AMT29" s="29"/>
      <c r="AMU29" s="28"/>
      <c r="AMV29" s="29"/>
      <c r="AMW29" s="29"/>
      <c r="AMX29" s="28"/>
      <c r="AMY29" s="29"/>
      <c r="AMZ29" s="30"/>
      <c r="ANA29" s="28"/>
      <c r="ANB29" s="29"/>
      <c r="ANC29" s="29"/>
      <c r="AND29" s="29"/>
      <c r="ANE29" s="28"/>
      <c r="ANF29" s="29"/>
      <c r="ANG29" s="29"/>
      <c r="ANH29" s="29"/>
      <c r="ANI29" s="29"/>
      <c r="ANJ29" s="29"/>
      <c r="ANK29" s="28"/>
      <c r="ANL29" s="29"/>
      <c r="ANM29" s="29"/>
      <c r="ANN29" s="28"/>
      <c r="ANO29" s="29"/>
      <c r="ANP29" s="30"/>
      <c r="ANQ29" s="28"/>
      <c r="ANR29" s="29"/>
      <c r="ANS29" s="29"/>
      <c r="ANT29" s="29"/>
      <c r="ANU29" s="28"/>
      <c r="ANV29" s="29"/>
      <c r="ANW29" s="29"/>
      <c r="ANX29" s="28"/>
      <c r="ANY29" s="29"/>
      <c r="ANZ29" s="30"/>
      <c r="AOA29" s="28"/>
      <c r="AOB29" s="29"/>
      <c r="AOC29" s="29"/>
      <c r="AOD29" s="29"/>
      <c r="AOE29" s="28"/>
      <c r="AOF29" s="29"/>
      <c r="AOG29" s="29"/>
      <c r="AOH29" s="29"/>
      <c r="AOI29" s="29"/>
      <c r="AOJ29" s="29"/>
      <c r="AOK29" s="28"/>
      <c r="AOL29" s="29"/>
      <c r="AOM29" s="29"/>
      <c r="AON29" s="28"/>
      <c r="AOO29" s="29"/>
      <c r="AOP29" s="30"/>
      <c r="AOQ29" s="28"/>
      <c r="AOR29" s="29"/>
      <c r="AOS29" s="29"/>
      <c r="AOT29" s="29"/>
      <c r="AOU29" s="28"/>
      <c r="AOV29" s="29"/>
      <c r="AOW29" s="29"/>
      <c r="AOX29" s="28"/>
      <c r="AOY29" s="29"/>
      <c r="AOZ29" s="30"/>
      <c r="APA29" s="28"/>
      <c r="APB29" s="29"/>
      <c r="APC29" s="29"/>
      <c r="APD29" s="29"/>
      <c r="APE29" s="28"/>
      <c r="APF29" s="29"/>
      <c r="APG29" s="29"/>
      <c r="APH29" s="29"/>
      <c r="API29" s="29"/>
      <c r="APJ29" s="29"/>
      <c r="APK29" s="28"/>
      <c r="APL29" s="29"/>
      <c r="APM29" s="29"/>
      <c r="APN29" s="28"/>
      <c r="APO29" s="29"/>
      <c r="APP29" s="30"/>
      <c r="APQ29" s="28"/>
      <c r="APR29" s="29"/>
      <c r="APS29" s="29"/>
      <c r="APT29" s="29"/>
      <c r="APU29" s="28"/>
      <c r="APV29" s="29"/>
      <c r="APW29" s="29"/>
      <c r="APX29" s="28"/>
      <c r="APY29" s="29"/>
      <c r="APZ29" s="30"/>
      <c r="AQA29" s="28"/>
      <c r="AQB29" s="29"/>
      <c r="AQC29" s="29"/>
      <c r="AQD29" s="29"/>
      <c r="AQE29" s="28"/>
      <c r="AQF29" s="29"/>
      <c r="AQG29" s="29"/>
      <c r="AQH29" s="29"/>
      <c r="AQI29" s="29"/>
      <c r="AQJ29" s="29"/>
      <c r="AQK29" s="28"/>
      <c r="AQL29" s="29"/>
      <c r="AQM29" s="29"/>
      <c r="AQN29" s="28"/>
      <c r="AQO29" s="29"/>
      <c r="AQP29" s="30"/>
      <c r="AQQ29" s="28"/>
      <c r="AQR29" s="29"/>
      <c r="AQS29" s="29"/>
      <c r="AQT29" s="29"/>
      <c r="AQU29" s="28"/>
      <c r="AQV29" s="29"/>
      <c r="AQW29" s="29"/>
      <c r="AQX29" s="28"/>
      <c r="AQY29" s="29"/>
      <c r="AQZ29" s="30"/>
      <c r="ARA29" s="28"/>
      <c r="ARB29" s="29"/>
      <c r="ARC29" s="29"/>
      <c r="ARD29" s="29"/>
      <c r="ARE29" s="28"/>
      <c r="ARF29" s="29"/>
      <c r="ARG29" s="29"/>
      <c r="ARH29" s="29"/>
      <c r="ARI29" s="29"/>
      <c r="ARJ29" s="29"/>
      <c r="ARK29" s="28"/>
      <c r="ARL29" s="29"/>
      <c r="ARM29" s="29"/>
      <c r="ARN29" s="28"/>
      <c r="ARO29" s="29"/>
      <c r="ARP29" s="30"/>
      <c r="ARQ29" s="28"/>
      <c r="ARR29" s="29"/>
      <c r="ARS29" s="29"/>
      <c r="ART29" s="29"/>
      <c r="ARU29" s="28"/>
      <c r="ARV29" s="29"/>
      <c r="ARW29" s="29"/>
      <c r="ARX29" s="28"/>
      <c r="ARY29" s="29"/>
      <c r="ARZ29" s="30"/>
      <c r="ASA29" s="28"/>
      <c r="ASB29" s="29"/>
      <c r="ASC29" s="29"/>
      <c r="ASD29" s="29"/>
      <c r="ASE29" s="28"/>
      <c r="ASF29" s="29"/>
      <c r="ASG29" s="29"/>
      <c r="ASH29" s="29"/>
      <c r="ASI29" s="29"/>
      <c r="ASJ29" s="29"/>
      <c r="ASK29" s="28"/>
      <c r="ASL29" s="29"/>
      <c r="ASM29" s="29"/>
      <c r="ASN29" s="28"/>
      <c r="ASO29" s="29"/>
      <c r="ASP29" s="30"/>
      <c r="ASQ29" s="28"/>
      <c r="ASR29" s="29"/>
      <c r="ASS29" s="29"/>
      <c r="AST29" s="29"/>
      <c r="ASU29" s="28"/>
      <c r="ASV29" s="29"/>
      <c r="ASW29" s="29"/>
      <c r="ASX29" s="28"/>
      <c r="ASY29" s="29"/>
      <c r="ASZ29" s="30"/>
      <c r="ATA29" s="28"/>
      <c r="ATB29" s="29"/>
      <c r="ATC29" s="29"/>
      <c r="ATD29" s="29"/>
      <c r="ATE29" s="28"/>
      <c r="ATF29" s="29"/>
      <c r="ATG29" s="29"/>
      <c r="ATH29" s="29"/>
      <c r="ATI29" s="29"/>
      <c r="ATJ29" s="29"/>
      <c r="ATK29" s="28"/>
      <c r="ATL29" s="29"/>
      <c r="ATM29" s="29"/>
      <c r="ATN29" s="28"/>
      <c r="ATO29" s="29"/>
      <c r="ATP29" s="30"/>
      <c r="ATQ29" s="28"/>
      <c r="ATR29" s="29"/>
      <c r="ATS29" s="29"/>
      <c r="ATT29" s="29"/>
      <c r="ATU29" s="28"/>
      <c r="ATV29" s="29"/>
      <c r="ATW29" s="29"/>
      <c r="ATX29" s="28"/>
      <c r="ATY29" s="29"/>
      <c r="ATZ29" s="30"/>
      <c r="AUA29" s="28"/>
      <c r="AUB29" s="29"/>
      <c r="AUC29" s="29"/>
      <c r="AUD29" s="29"/>
      <c r="AUE29" s="28"/>
      <c r="AUF29" s="29"/>
      <c r="AUG29" s="29"/>
      <c r="AUH29" s="29"/>
      <c r="AUI29" s="29"/>
      <c r="AUJ29" s="29"/>
      <c r="AUK29" s="28"/>
      <c r="AUL29" s="29"/>
      <c r="AUM29" s="29"/>
      <c r="AUN29" s="28"/>
      <c r="AUO29" s="29"/>
      <c r="AUP29" s="30"/>
      <c r="AUQ29" s="28"/>
      <c r="AUR29" s="29"/>
      <c r="AUS29" s="29"/>
      <c r="AUT29" s="29"/>
      <c r="AUU29" s="28"/>
      <c r="AUV29" s="29"/>
      <c r="AUW29" s="29"/>
      <c r="AUX29" s="28"/>
      <c r="AUY29" s="29"/>
      <c r="AUZ29" s="30"/>
      <c r="AVA29" s="28"/>
      <c r="AVB29" s="29"/>
      <c r="AVC29" s="29"/>
      <c r="AVD29" s="29"/>
      <c r="AVE29" s="28"/>
      <c r="AVF29" s="29"/>
      <c r="AVG29" s="29"/>
      <c r="AVH29" s="29"/>
      <c r="AVI29" s="29"/>
      <c r="AVJ29" s="29"/>
      <c r="AVK29" s="28"/>
      <c r="AVL29" s="29"/>
      <c r="AVM29" s="29"/>
      <c r="AVN29" s="28"/>
      <c r="AVO29" s="29"/>
      <c r="AVP29" s="30"/>
      <c r="AVQ29" s="28"/>
      <c r="AVR29" s="29"/>
      <c r="AVS29" s="29"/>
      <c r="AVT29" s="29"/>
      <c r="AVU29" s="28"/>
      <c r="AVV29" s="29"/>
      <c r="AVW29" s="29"/>
      <c r="AVX29" s="28"/>
      <c r="AVY29" s="29"/>
      <c r="AVZ29" s="30"/>
      <c r="AWA29" s="28"/>
      <c r="AWB29" s="29"/>
      <c r="AWC29" s="29"/>
      <c r="AWD29" s="29"/>
      <c r="AWE29" s="28"/>
      <c r="AWF29" s="29"/>
      <c r="AWG29" s="29"/>
      <c r="AWH29" s="29"/>
      <c r="AWI29" s="29"/>
      <c r="AWJ29" s="29"/>
      <c r="AWK29" s="28"/>
      <c r="AWL29" s="29"/>
      <c r="AWM29" s="29"/>
      <c r="AWN29" s="28"/>
      <c r="AWO29" s="29"/>
      <c r="AWP29" s="30"/>
      <c r="AWQ29" s="28"/>
      <c r="AWR29" s="29"/>
      <c r="AWS29" s="29"/>
      <c r="AWT29" s="29"/>
      <c r="AWU29" s="28"/>
      <c r="AWV29" s="29"/>
      <c r="AWW29" s="29"/>
      <c r="AWX29" s="28"/>
      <c r="AWY29" s="29"/>
      <c r="AWZ29" s="30"/>
      <c r="AXA29" s="28"/>
      <c r="AXB29" s="29"/>
      <c r="AXC29" s="29"/>
      <c r="AXD29" s="29"/>
      <c r="AXE29" s="28"/>
      <c r="AXF29" s="29"/>
      <c r="AXG29" s="29"/>
      <c r="AXH29" s="29"/>
      <c r="AXI29" s="29"/>
      <c r="AXJ29" s="29"/>
      <c r="AXK29" s="28"/>
      <c r="AXL29" s="29"/>
      <c r="AXM29" s="29"/>
      <c r="AXN29" s="28"/>
      <c r="AXO29" s="29"/>
      <c r="AXP29" s="30"/>
      <c r="AXQ29" s="28"/>
      <c r="AXR29" s="29"/>
      <c r="AXS29" s="29"/>
      <c r="AXT29" s="29"/>
      <c r="AXU29" s="28"/>
      <c r="AXV29" s="29"/>
      <c r="AXW29" s="29"/>
      <c r="AXX29" s="28"/>
      <c r="AXY29" s="29"/>
      <c r="AXZ29" s="30"/>
      <c r="AYA29" s="28"/>
      <c r="AYB29" s="29"/>
      <c r="AYC29" s="29"/>
      <c r="AYD29" s="29"/>
      <c r="AYE29" s="28"/>
      <c r="AYF29" s="29"/>
      <c r="AYG29" s="29"/>
      <c r="AYH29" s="29"/>
      <c r="AYI29" s="29"/>
      <c r="AYJ29" s="29"/>
      <c r="AYK29" s="28"/>
      <c r="AYL29" s="29"/>
      <c r="AYM29" s="29"/>
      <c r="AYN29" s="28"/>
      <c r="AYO29" s="29"/>
      <c r="AYP29" s="30"/>
      <c r="AYQ29" s="28"/>
      <c r="AYR29" s="29"/>
      <c r="AYS29" s="29"/>
      <c r="AYT29" s="29"/>
      <c r="AYU29" s="28"/>
      <c r="AYV29" s="29"/>
      <c r="AYW29" s="29"/>
      <c r="AYX29" s="28"/>
      <c r="AYY29" s="29"/>
      <c r="AYZ29" s="30"/>
      <c r="AZA29" s="28"/>
      <c r="AZB29" s="29"/>
      <c r="AZC29" s="29"/>
      <c r="AZD29" s="29"/>
      <c r="AZE29" s="28"/>
      <c r="AZF29" s="29"/>
      <c r="AZG29" s="29"/>
      <c r="AZH29" s="29"/>
      <c r="AZI29" s="29"/>
      <c r="AZJ29" s="29"/>
      <c r="AZK29" s="28"/>
      <c r="AZL29" s="29"/>
      <c r="AZM29" s="29"/>
      <c r="AZN29" s="28"/>
      <c r="AZO29" s="29"/>
      <c r="AZP29" s="30"/>
      <c r="AZQ29" s="28"/>
      <c r="AZR29" s="29"/>
      <c r="AZS29" s="29"/>
      <c r="AZT29" s="29"/>
      <c r="AZU29" s="28"/>
      <c r="AZV29" s="29"/>
      <c r="AZW29" s="29"/>
      <c r="AZX29" s="28"/>
      <c r="AZY29" s="29"/>
      <c r="AZZ29" s="30"/>
      <c r="BAA29" s="28"/>
      <c r="BAB29" s="29"/>
      <c r="BAC29" s="29"/>
      <c r="BAD29" s="29"/>
      <c r="BAE29" s="28"/>
      <c r="BAF29" s="29"/>
      <c r="BAG29" s="29"/>
      <c r="BAH29" s="29"/>
      <c r="BAI29" s="29"/>
      <c r="BAJ29" s="29"/>
      <c r="BAK29" s="28"/>
      <c r="BAL29" s="29"/>
      <c r="BAM29" s="29"/>
      <c r="BAN29" s="28"/>
      <c r="BAO29" s="29"/>
      <c r="BAP29" s="30"/>
      <c r="BAQ29" s="28"/>
      <c r="BAR29" s="29"/>
      <c r="BAS29" s="29"/>
      <c r="BAT29" s="29"/>
      <c r="BAU29" s="28"/>
      <c r="BAV29" s="29"/>
      <c r="BAW29" s="29"/>
      <c r="BAX29" s="28"/>
      <c r="BAY29" s="29"/>
      <c r="BAZ29" s="30"/>
      <c r="BBA29" s="28"/>
      <c r="BBB29" s="29"/>
      <c r="BBC29" s="29"/>
      <c r="BBD29" s="29"/>
      <c r="BBE29" s="28"/>
      <c r="BBF29" s="29"/>
      <c r="BBG29" s="29"/>
      <c r="BBH29" s="29"/>
      <c r="BBI29" s="29"/>
      <c r="BBJ29" s="29"/>
      <c r="BBK29" s="28"/>
      <c r="BBL29" s="29"/>
      <c r="BBM29" s="29"/>
      <c r="BBN29" s="28"/>
      <c r="BBO29" s="29"/>
      <c r="BBP29" s="30"/>
      <c r="BBQ29" s="28"/>
      <c r="BBR29" s="29"/>
      <c r="BBS29" s="29"/>
      <c r="BBT29" s="29"/>
      <c r="BBU29" s="28"/>
      <c r="BBV29" s="29"/>
      <c r="BBW29" s="29"/>
      <c r="BBX29" s="28"/>
      <c r="BBY29" s="29"/>
      <c r="BBZ29" s="30"/>
      <c r="BCA29" s="28"/>
      <c r="BCB29" s="29"/>
      <c r="BCC29" s="29"/>
      <c r="BCD29" s="29"/>
      <c r="BCE29" s="28"/>
      <c r="BCF29" s="29"/>
      <c r="BCG29" s="29"/>
      <c r="BCH29" s="29"/>
      <c r="BCI29" s="29"/>
      <c r="BCJ29" s="29"/>
      <c r="BCK29" s="28"/>
      <c r="BCL29" s="29"/>
      <c r="BCM29" s="29"/>
      <c r="BCN29" s="28"/>
      <c r="BCO29" s="29"/>
      <c r="BCP29" s="30"/>
      <c r="BCQ29" s="28"/>
      <c r="BCR29" s="29"/>
      <c r="BCS29" s="29"/>
      <c r="BCT29" s="29"/>
      <c r="BCU29" s="28"/>
      <c r="BCV29" s="29"/>
      <c r="BCW29" s="29"/>
      <c r="BCX29" s="28"/>
      <c r="BCY29" s="29"/>
      <c r="BCZ29" s="30"/>
      <c r="BDA29" s="28"/>
      <c r="BDB29" s="29"/>
      <c r="BDC29" s="29"/>
      <c r="BDD29" s="29"/>
      <c r="BDE29" s="28"/>
      <c r="BDF29" s="29"/>
      <c r="BDG29" s="29"/>
      <c r="BDH29" s="29"/>
      <c r="BDI29" s="29"/>
      <c r="BDJ29" s="29"/>
      <c r="BDK29" s="28"/>
      <c r="BDL29" s="29"/>
      <c r="BDM29" s="29"/>
      <c r="BDN29" s="28"/>
      <c r="BDO29" s="29"/>
      <c r="BDP29" s="30"/>
      <c r="BDQ29" s="28"/>
      <c r="BDR29" s="29"/>
      <c r="BDS29" s="29"/>
      <c r="BDT29" s="29"/>
      <c r="BDU29" s="28"/>
      <c r="BDV29" s="29"/>
      <c r="BDW29" s="29"/>
      <c r="BDX29" s="28"/>
      <c r="BDY29" s="29"/>
      <c r="BDZ29" s="30"/>
      <c r="BEA29" s="28"/>
      <c r="BEB29" s="29"/>
      <c r="BEC29" s="29"/>
      <c r="BED29" s="29"/>
      <c r="BEE29" s="28"/>
      <c r="BEF29" s="29"/>
      <c r="BEG29" s="29"/>
      <c r="BEH29" s="29"/>
      <c r="BEI29" s="29"/>
      <c r="BEJ29" s="29"/>
      <c r="BEK29" s="28"/>
      <c r="BEL29" s="29"/>
      <c r="BEM29" s="29"/>
      <c r="BEN29" s="28"/>
      <c r="BEO29" s="29"/>
      <c r="BEP29" s="30"/>
      <c r="BEQ29" s="28"/>
      <c r="BER29" s="29"/>
      <c r="BES29" s="29"/>
      <c r="BET29" s="29"/>
      <c r="BEU29" s="28"/>
      <c r="BEV29" s="29"/>
      <c r="BEW29" s="29"/>
      <c r="BEX29" s="28"/>
      <c r="BEY29" s="29"/>
      <c r="BEZ29" s="30"/>
      <c r="BFA29" s="28"/>
      <c r="BFB29" s="29"/>
      <c r="BFC29" s="29"/>
      <c r="BFD29" s="29"/>
      <c r="BFE29" s="28"/>
      <c r="BFF29" s="29"/>
      <c r="BFG29" s="29"/>
      <c r="BFH29" s="29"/>
      <c r="BFI29" s="29"/>
      <c r="BFJ29" s="29"/>
      <c r="BFK29" s="28"/>
      <c r="BFL29" s="29"/>
      <c r="BFM29" s="29"/>
      <c r="BFN29" s="28"/>
      <c r="BFO29" s="29"/>
      <c r="BFP29" s="30"/>
      <c r="BFQ29" s="28"/>
      <c r="BFR29" s="29"/>
      <c r="BFS29" s="29"/>
      <c r="BFT29" s="29"/>
      <c r="BFU29" s="28"/>
      <c r="BFV29" s="29"/>
      <c r="BFW29" s="29"/>
      <c r="BFX29" s="28"/>
      <c r="BFY29" s="29"/>
      <c r="BFZ29" s="30"/>
      <c r="BGA29" s="28"/>
      <c r="BGB29" s="29"/>
      <c r="BGC29" s="29"/>
      <c r="BGD29" s="29"/>
      <c r="BGE29" s="28"/>
      <c r="BGF29" s="29"/>
      <c r="BGG29" s="29"/>
      <c r="BGH29" s="29"/>
      <c r="BGI29" s="29"/>
      <c r="BGJ29" s="29"/>
      <c r="BGK29" s="28"/>
      <c r="BGL29" s="29"/>
      <c r="BGM29" s="29"/>
      <c r="BGN29" s="28"/>
      <c r="BGO29" s="29"/>
      <c r="BGP29" s="30"/>
      <c r="BGQ29" s="28"/>
      <c r="BGR29" s="29"/>
      <c r="BGS29" s="29"/>
      <c r="BGT29" s="29"/>
      <c r="BGU29" s="28"/>
      <c r="BGV29" s="29"/>
      <c r="BGW29" s="29"/>
      <c r="BGX29" s="28"/>
      <c r="BGY29" s="29"/>
      <c r="BGZ29" s="30"/>
      <c r="BHA29" s="28"/>
      <c r="BHB29" s="29"/>
      <c r="BHC29" s="29"/>
      <c r="BHD29" s="29"/>
      <c r="BHE29" s="28"/>
      <c r="BHF29" s="29"/>
      <c r="BHG29" s="29"/>
      <c r="BHH29" s="29"/>
      <c r="BHI29" s="29"/>
      <c r="BHJ29" s="29"/>
      <c r="BHK29" s="28"/>
      <c r="BHL29" s="29"/>
      <c r="BHM29" s="29"/>
      <c r="BHN29" s="28"/>
      <c r="BHO29" s="29"/>
      <c r="BHP29" s="30"/>
      <c r="BHQ29" s="28"/>
      <c r="BHR29" s="29"/>
      <c r="BHS29" s="29"/>
      <c r="BHT29" s="29"/>
      <c r="BHU29" s="28"/>
      <c r="BHV29" s="29"/>
      <c r="BHW29" s="29"/>
      <c r="BHX29" s="28"/>
      <c r="BHY29" s="29"/>
      <c r="BHZ29" s="30"/>
      <c r="BIA29" s="28"/>
      <c r="BIB29" s="29"/>
      <c r="BIC29" s="29"/>
      <c r="BID29" s="29"/>
      <c r="BIE29" s="28"/>
      <c r="BIF29" s="29"/>
      <c r="BIG29" s="29"/>
      <c r="BIH29" s="29"/>
      <c r="BII29" s="29"/>
      <c r="BIJ29" s="29"/>
      <c r="BIK29" s="28"/>
      <c r="BIL29" s="29"/>
      <c r="BIM29" s="29"/>
      <c r="BIN29" s="28"/>
      <c r="BIO29" s="29"/>
      <c r="BIP29" s="30"/>
      <c r="BIQ29" s="28"/>
      <c r="BIR29" s="29"/>
      <c r="BIS29" s="29"/>
      <c r="BIT29" s="29"/>
      <c r="BIU29" s="28"/>
      <c r="BIV29" s="29"/>
      <c r="BIW29" s="29"/>
      <c r="BIX29" s="28"/>
      <c r="BIY29" s="29"/>
      <c r="BIZ29" s="30"/>
      <c r="BJA29" s="28"/>
      <c r="BJB29" s="29"/>
      <c r="BJC29" s="29"/>
      <c r="BJD29" s="29"/>
      <c r="BJE29" s="28"/>
      <c r="BJF29" s="29"/>
      <c r="BJG29" s="29"/>
      <c r="BJH29" s="29"/>
      <c r="BJI29" s="29"/>
      <c r="BJJ29" s="29"/>
      <c r="BJK29" s="28"/>
      <c r="BJL29" s="29"/>
      <c r="BJM29" s="29"/>
      <c r="BJN29" s="28"/>
      <c r="BJO29" s="29"/>
      <c r="BJP29" s="30"/>
      <c r="BJQ29" s="28"/>
      <c r="BJR29" s="29"/>
      <c r="BJS29" s="29"/>
      <c r="BJT29" s="29"/>
      <c r="BJU29" s="28"/>
      <c r="BJV29" s="29"/>
      <c r="BJW29" s="29"/>
      <c r="BJX29" s="28"/>
      <c r="BJY29" s="29"/>
      <c r="BJZ29" s="30"/>
      <c r="BKA29" s="28"/>
      <c r="BKB29" s="29"/>
      <c r="BKC29" s="29"/>
      <c r="BKD29" s="29"/>
      <c r="BKE29" s="28"/>
      <c r="BKF29" s="29"/>
      <c r="BKG29" s="29"/>
      <c r="BKH29" s="29"/>
      <c r="BKI29" s="29"/>
      <c r="BKJ29" s="29"/>
      <c r="BKK29" s="28"/>
      <c r="BKL29" s="29"/>
      <c r="BKM29" s="29"/>
      <c r="BKN29" s="28"/>
      <c r="BKO29" s="29"/>
      <c r="BKP29" s="30"/>
      <c r="BKQ29" s="28"/>
      <c r="BKR29" s="29"/>
      <c r="BKS29" s="29"/>
      <c r="BKT29" s="29"/>
      <c r="BKU29" s="28"/>
      <c r="BKV29" s="29"/>
      <c r="BKW29" s="29"/>
      <c r="BKX29" s="28"/>
      <c r="BKY29" s="29"/>
      <c r="BKZ29" s="30"/>
      <c r="BLA29" s="28"/>
      <c r="BLB29" s="29"/>
      <c r="BLC29" s="29"/>
      <c r="BLD29" s="29"/>
      <c r="BLE29" s="28"/>
      <c r="BLF29" s="29"/>
      <c r="BLG29" s="29"/>
      <c r="BLH29" s="29"/>
      <c r="BLI29" s="29"/>
      <c r="BLJ29" s="29"/>
      <c r="BLK29" s="28"/>
      <c r="BLL29" s="29"/>
      <c r="BLM29" s="29"/>
      <c r="BLN29" s="28"/>
      <c r="BLO29" s="29"/>
      <c r="BLP29" s="30"/>
      <c r="BLQ29" s="28"/>
      <c r="BLR29" s="29"/>
      <c r="BLS29" s="29"/>
      <c r="BLT29" s="29"/>
      <c r="BLU29" s="28"/>
      <c r="BLV29" s="29"/>
      <c r="BLW29" s="29"/>
      <c r="BLX29" s="28"/>
      <c r="BLY29" s="29"/>
      <c r="BLZ29" s="30"/>
      <c r="BMA29" s="28"/>
      <c r="BMB29" s="29"/>
      <c r="BMC29" s="29"/>
      <c r="BMD29" s="29"/>
      <c r="BME29" s="28"/>
      <c r="BMF29" s="29"/>
      <c r="BMG29" s="29"/>
      <c r="BMH29" s="29"/>
      <c r="BMI29" s="29"/>
      <c r="BMJ29" s="29"/>
      <c r="BMK29" s="28"/>
      <c r="BML29" s="29"/>
      <c r="BMM29" s="29"/>
      <c r="BMN29" s="28"/>
      <c r="BMO29" s="29"/>
      <c r="BMP29" s="30"/>
      <c r="BMQ29" s="28"/>
      <c r="BMR29" s="29"/>
      <c r="BMS29" s="29"/>
      <c r="BMT29" s="29"/>
      <c r="BMU29" s="28"/>
      <c r="BMV29" s="29"/>
      <c r="BMW29" s="29"/>
      <c r="BMX29" s="28"/>
      <c r="BMY29" s="29"/>
      <c r="BMZ29" s="30"/>
      <c r="BNA29" s="28"/>
      <c r="BNB29" s="29"/>
      <c r="BNC29" s="29"/>
      <c r="BND29" s="29"/>
      <c r="BNE29" s="28"/>
      <c r="BNF29" s="29"/>
      <c r="BNG29" s="29"/>
      <c r="BNH29" s="29"/>
      <c r="BNI29" s="29"/>
      <c r="BNJ29" s="29"/>
      <c r="BNK29" s="28"/>
      <c r="BNL29" s="29"/>
      <c r="BNM29" s="29"/>
      <c r="BNN29" s="28"/>
      <c r="BNO29" s="29"/>
      <c r="BNP29" s="30"/>
      <c r="BNQ29" s="28"/>
      <c r="BNR29" s="29"/>
      <c r="BNS29" s="29"/>
      <c r="BNT29" s="29"/>
      <c r="BNU29" s="28"/>
      <c r="BNV29" s="29"/>
      <c r="BNW29" s="29"/>
      <c r="BNX29" s="28"/>
      <c r="BNY29" s="29"/>
      <c r="BNZ29" s="30"/>
      <c r="BOA29" s="28"/>
      <c r="BOB29" s="29"/>
      <c r="BOC29" s="29"/>
      <c r="BOD29" s="29"/>
      <c r="BOE29" s="28"/>
      <c r="BOF29" s="29"/>
      <c r="BOG29" s="29"/>
      <c r="BOH29" s="29"/>
      <c r="BOI29" s="29"/>
      <c r="BOJ29" s="29"/>
      <c r="BOK29" s="28"/>
      <c r="BOL29" s="29"/>
      <c r="BOM29" s="29"/>
      <c r="BON29" s="28"/>
      <c r="BOO29" s="29"/>
      <c r="BOP29" s="30"/>
      <c r="BOQ29" s="28"/>
      <c r="BOR29" s="29"/>
      <c r="BOS29" s="29"/>
      <c r="BOT29" s="29"/>
      <c r="BOU29" s="28"/>
      <c r="BOV29" s="29"/>
      <c r="BOW29" s="29"/>
      <c r="BOX29" s="28"/>
      <c r="BOY29" s="29"/>
      <c r="BOZ29" s="30"/>
      <c r="BPA29" s="28"/>
      <c r="BPB29" s="29"/>
      <c r="BPC29" s="29"/>
      <c r="BPD29" s="29"/>
      <c r="BPE29" s="28"/>
      <c r="BPF29" s="29"/>
      <c r="BPG29" s="29"/>
      <c r="BPH29" s="29"/>
      <c r="BPI29" s="29"/>
      <c r="BPJ29" s="29"/>
      <c r="BPK29" s="28"/>
      <c r="BPL29" s="29"/>
      <c r="BPM29" s="29"/>
      <c r="BPN29" s="28"/>
      <c r="BPO29" s="29"/>
      <c r="BPP29" s="30"/>
      <c r="BPQ29" s="28"/>
      <c r="BPR29" s="29"/>
      <c r="BPS29" s="29"/>
      <c r="BPT29" s="29"/>
      <c r="BPU29" s="28"/>
      <c r="BPV29" s="29"/>
      <c r="BPW29" s="29"/>
      <c r="BPX29" s="28"/>
      <c r="BPY29" s="29"/>
      <c r="BPZ29" s="30"/>
      <c r="BQA29" s="28"/>
      <c r="BQB29" s="29"/>
      <c r="BQC29" s="29"/>
      <c r="BQD29" s="29"/>
      <c r="BQE29" s="28"/>
      <c r="BQF29" s="29"/>
      <c r="BQG29" s="29"/>
      <c r="BQH29" s="29"/>
      <c r="BQI29" s="29"/>
      <c r="BQJ29" s="29"/>
      <c r="BQK29" s="28"/>
      <c r="BQL29" s="29"/>
      <c r="BQM29" s="29"/>
      <c r="BQN29" s="28"/>
      <c r="BQO29" s="29"/>
      <c r="BQP29" s="30"/>
      <c r="BQQ29" s="28"/>
      <c r="BQR29" s="29"/>
      <c r="BQS29" s="29"/>
      <c r="BQT29" s="29"/>
      <c r="BQU29" s="28"/>
      <c r="BQV29" s="29"/>
      <c r="BQW29" s="29"/>
      <c r="BQX29" s="28"/>
      <c r="BQY29" s="29"/>
      <c r="BQZ29" s="30"/>
      <c r="BRA29" s="28"/>
      <c r="BRB29" s="29"/>
      <c r="BRC29" s="29"/>
      <c r="BRD29" s="29"/>
      <c r="BRE29" s="28"/>
      <c r="BRF29" s="29"/>
      <c r="BRG29" s="29"/>
      <c r="BRH29" s="29"/>
      <c r="BRI29" s="29"/>
      <c r="BRJ29" s="29"/>
      <c r="BRK29" s="28"/>
      <c r="BRL29" s="29"/>
      <c r="BRM29" s="29"/>
      <c r="BRN29" s="28"/>
      <c r="BRO29" s="29"/>
      <c r="BRP29" s="30"/>
      <c r="BRQ29" s="28"/>
      <c r="BRR29" s="29"/>
      <c r="BRS29" s="29"/>
      <c r="BRT29" s="29"/>
      <c r="BRU29" s="28"/>
      <c r="BRV29" s="29"/>
      <c r="BRW29" s="29"/>
      <c r="BRX29" s="28"/>
      <c r="BRY29" s="29"/>
      <c r="BRZ29" s="30"/>
      <c r="BSA29" s="28"/>
      <c r="BSB29" s="29"/>
      <c r="BSC29" s="29"/>
      <c r="BSD29" s="29"/>
      <c r="BSE29" s="28"/>
      <c r="BSF29" s="29"/>
      <c r="BSG29" s="29"/>
      <c r="BSH29" s="29"/>
      <c r="BSI29" s="29"/>
      <c r="BSJ29" s="29"/>
      <c r="BSK29" s="28"/>
      <c r="BSL29" s="29"/>
      <c r="BSM29" s="29"/>
      <c r="BSN29" s="28"/>
      <c r="BSO29" s="29"/>
      <c r="BSP29" s="30"/>
      <c r="BSQ29" s="28"/>
      <c r="BSR29" s="29"/>
      <c r="BSS29" s="29"/>
      <c r="BST29" s="29"/>
      <c r="BSU29" s="28"/>
      <c r="BSV29" s="29"/>
      <c r="BSW29" s="29"/>
      <c r="BSX29" s="28"/>
      <c r="BSY29" s="29"/>
      <c r="BSZ29" s="30"/>
      <c r="BTA29" s="28"/>
      <c r="BTB29" s="29"/>
      <c r="BTC29" s="29"/>
      <c r="BTD29" s="29"/>
      <c r="BTE29" s="28"/>
      <c r="BTF29" s="29"/>
      <c r="BTG29" s="29"/>
      <c r="BTH29" s="29"/>
      <c r="BTI29" s="29"/>
      <c r="BTJ29" s="29"/>
      <c r="BTK29" s="28"/>
      <c r="BTL29" s="29"/>
      <c r="BTM29" s="29"/>
      <c r="BTN29" s="28"/>
      <c r="BTO29" s="29"/>
      <c r="BTP29" s="30"/>
      <c r="BTQ29" s="28"/>
      <c r="BTR29" s="29"/>
      <c r="BTS29" s="29"/>
      <c r="BTT29" s="29"/>
      <c r="BTU29" s="28"/>
      <c r="BTV29" s="29"/>
      <c r="BTW29" s="29"/>
      <c r="BTX29" s="28"/>
      <c r="BTY29" s="29"/>
      <c r="BTZ29" s="30"/>
      <c r="BUA29" s="28"/>
      <c r="BUB29" s="29"/>
      <c r="BUC29" s="29"/>
      <c r="BUD29" s="29"/>
      <c r="BUE29" s="28"/>
      <c r="BUF29" s="29"/>
      <c r="BUG29" s="29"/>
      <c r="BUH29" s="29"/>
      <c r="BUI29" s="29"/>
      <c r="BUJ29" s="29"/>
      <c r="BUK29" s="28"/>
      <c r="BUL29" s="29"/>
      <c r="BUM29" s="29"/>
      <c r="BUN29" s="28"/>
      <c r="BUO29" s="29"/>
      <c r="BUP29" s="30"/>
      <c r="BUQ29" s="28"/>
      <c r="BUR29" s="29"/>
      <c r="BUS29" s="29"/>
      <c r="BUT29" s="29"/>
      <c r="BUU29" s="28"/>
      <c r="BUV29" s="29"/>
      <c r="BUW29" s="29"/>
      <c r="BUX29" s="28"/>
      <c r="BUY29" s="29"/>
      <c r="BUZ29" s="30"/>
      <c r="BVA29" s="28"/>
      <c r="BVB29" s="29"/>
      <c r="BVC29" s="29"/>
      <c r="BVD29" s="29"/>
      <c r="BVE29" s="28"/>
      <c r="BVF29" s="29"/>
      <c r="BVG29" s="29"/>
      <c r="BVH29" s="29"/>
      <c r="BVI29" s="29"/>
      <c r="BVJ29" s="29"/>
      <c r="BVK29" s="28"/>
      <c r="BVL29" s="29"/>
      <c r="BVM29" s="29"/>
      <c r="BVN29" s="28"/>
      <c r="BVO29" s="29"/>
      <c r="BVP29" s="30"/>
      <c r="BVQ29" s="28"/>
      <c r="BVR29" s="29"/>
      <c r="BVS29" s="29"/>
      <c r="BVT29" s="29"/>
      <c r="BVU29" s="28"/>
      <c r="BVV29" s="29"/>
      <c r="BVW29" s="29"/>
      <c r="BVX29" s="28"/>
      <c r="BVY29" s="29"/>
      <c r="BVZ29" s="30"/>
      <c r="BWA29" s="28"/>
      <c r="BWB29" s="29"/>
      <c r="BWC29" s="29"/>
      <c r="BWD29" s="29"/>
      <c r="BWE29" s="28"/>
      <c r="BWF29" s="29"/>
      <c r="BWG29" s="29"/>
      <c r="BWH29" s="29"/>
      <c r="BWI29" s="29"/>
      <c r="BWJ29" s="29"/>
      <c r="BWK29" s="28"/>
      <c r="BWL29" s="29"/>
      <c r="BWM29" s="29"/>
      <c r="BWN29" s="28"/>
      <c r="BWO29" s="29"/>
      <c r="BWP29" s="30"/>
      <c r="BWQ29" s="28"/>
      <c r="BWR29" s="29"/>
      <c r="BWS29" s="29"/>
      <c r="BWT29" s="29"/>
      <c r="BWU29" s="28"/>
      <c r="BWV29" s="29"/>
      <c r="BWW29" s="29"/>
      <c r="BWX29" s="28"/>
      <c r="BWY29" s="29"/>
      <c r="BWZ29" s="30"/>
      <c r="BXA29" s="28"/>
      <c r="BXB29" s="29"/>
      <c r="BXC29" s="29"/>
      <c r="BXD29" s="29"/>
      <c r="BXE29" s="28"/>
      <c r="BXF29" s="29"/>
      <c r="BXG29" s="29"/>
      <c r="BXH29" s="29"/>
      <c r="BXI29" s="29"/>
      <c r="BXJ29" s="29"/>
      <c r="BXK29" s="28"/>
      <c r="BXL29" s="29"/>
      <c r="BXM29" s="29"/>
      <c r="BXN29" s="28"/>
      <c r="BXO29" s="29"/>
      <c r="BXP29" s="30"/>
      <c r="BXQ29" s="28"/>
      <c r="BXR29" s="29"/>
      <c r="BXS29" s="29"/>
      <c r="BXT29" s="29"/>
      <c r="BXU29" s="28"/>
      <c r="BXV29" s="29"/>
      <c r="BXW29" s="29"/>
      <c r="BXX29" s="28"/>
      <c r="BXY29" s="29"/>
      <c r="BXZ29" s="30"/>
      <c r="BYA29" s="28"/>
      <c r="BYB29" s="29"/>
      <c r="BYC29" s="29"/>
      <c r="BYD29" s="29"/>
      <c r="BYE29" s="28"/>
      <c r="BYF29" s="29"/>
      <c r="BYG29" s="29"/>
      <c r="BYH29" s="29"/>
      <c r="BYI29" s="29"/>
      <c r="BYJ29" s="29"/>
      <c r="BYK29" s="28"/>
      <c r="BYL29" s="29"/>
      <c r="BYM29" s="29"/>
      <c r="BYN29" s="28"/>
      <c r="BYO29" s="29"/>
      <c r="BYP29" s="30"/>
      <c r="BYQ29" s="28"/>
      <c r="BYR29" s="29"/>
      <c r="BYS29" s="29"/>
      <c r="BYT29" s="29"/>
      <c r="BYU29" s="28"/>
      <c r="BYV29" s="29"/>
      <c r="BYW29" s="29"/>
      <c r="BYX29" s="30"/>
      <c r="BYY29" s="29"/>
      <c r="BYZ29" s="28"/>
      <c r="BZA29" s="29"/>
      <c r="BZB29" s="28"/>
      <c r="BZC29" s="28"/>
      <c r="BZD29" s="28"/>
      <c r="BZE29" s="29"/>
      <c r="BZF29" s="385"/>
      <c r="BZG29" s="29"/>
      <c r="BZH29" s="385"/>
      <c r="BZI29" s="29"/>
      <c r="BZJ29" s="385"/>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30"/>
      <c r="CAQ29" s="28"/>
      <c r="CAR29" s="29"/>
      <c r="CAS29" s="29"/>
      <c r="CAT29" s="29"/>
      <c r="CAU29" s="29"/>
      <c r="CAV29" s="29"/>
      <c r="CAW29" s="28"/>
      <c r="CAX29" s="29"/>
      <c r="CAY29" s="29"/>
      <c r="CAZ29" s="28"/>
      <c r="CBA29" s="29"/>
      <c r="CBB29" s="30"/>
      <c r="CBC29" s="28"/>
      <c r="CBD29" s="29"/>
      <c r="CBE29" s="29"/>
      <c r="CBF29" s="29"/>
      <c r="CBG29" s="28"/>
      <c r="CBH29" s="29"/>
      <c r="CBI29" s="29"/>
      <c r="CBJ29" s="28"/>
      <c r="CBK29" s="29"/>
      <c r="CBL29" s="30"/>
      <c r="CBM29" s="28"/>
      <c r="CBN29" s="29"/>
      <c r="CBO29" s="29"/>
      <c r="CBP29" s="29"/>
      <c r="CBQ29" s="28"/>
      <c r="CBR29" s="29"/>
      <c r="CBS29" s="29"/>
      <c r="CBT29" s="28"/>
      <c r="CBU29" s="29"/>
      <c r="CBV29" s="30"/>
      <c r="CBW29" s="28"/>
      <c r="CBX29" s="29"/>
      <c r="CBY29" s="29"/>
      <c r="CBZ29" s="29"/>
      <c r="CCA29" s="28"/>
      <c r="CCB29" s="29"/>
      <c r="CCC29" s="29"/>
      <c r="CCD29" s="28"/>
      <c r="CCE29" s="29"/>
      <c r="CCF29" s="30"/>
      <c r="CCG29" s="28"/>
      <c r="CCH29" s="30"/>
      <c r="CCI29" s="29"/>
      <c r="CCJ29" s="28"/>
      <c r="CCK29" s="29"/>
      <c r="CCL29" s="28"/>
      <c r="CCM29" s="28"/>
      <c r="CCN29" s="28"/>
      <c r="CCO29" s="29"/>
      <c r="CCP29" s="385"/>
      <c r="CCQ29" s="29"/>
      <c r="CCR29" s="385"/>
      <c r="CCS29" s="29"/>
      <c r="CCT29" s="385"/>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30"/>
      <c r="CEA29" s="28"/>
      <c r="CEB29" s="29"/>
      <c r="CEC29" s="29"/>
      <c r="CED29" s="29"/>
      <c r="CEE29" s="29"/>
      <c r="CEF29" s="29"/>
      <c r="CEG29" s="28"/>
      <c r="CEH29" s="29"/>
      <c r="CEI29" s="29"/>
      <c r="CEJ29" s="28"/>
      <c r="CEK29" s="29"/>
      <c r="CEL29" s="30"/>
      <c r="CEM29" s="28"/>
      <c r="CEN29" s="29"/>
      <c r="CEO29" s="29"/>
      <c r="CEP29" s="29"/>
      <c r="CEQ29" s="28"/>
      <c r="CER29" s="29"/>
      <c r="CES29" s="29"/>
      <c r="CET29" s="28"/>
      <c r="CEU29" s="29"/>
      <c r="CEV29" s="30"/>
      <c r="CEW29" s="28"/>
      <c r="CEX29" s="29"/>
      <c r="CEY29" s="29"/>
      <c r="CEZ29" s="29"/>
      <c r="CFA29" s="28"/>
      <c r="CFB29" s="29"/>
      <c r="CFC29" s="29"/>
      <c r="CFD29" s="28"/>
      <c r="CFE29" s="29"/>
      <c r="CFF29" s="30"/>
      <c r="CFG29" s="28"/>
      <c r="CFH29" s="29"/>
      <c r="CFI29" s="29"/>
      <c r="CFJ29" s="29"/>
      <c r="CFK29" s="28"/>
      <c r="CFL29" s="29"/>
      <c r="CFM29" s="29"/>
      <c r="CFN29" s="28"/>
      <c r="CFO29" s="29"/>
      <c r="CFP29" s="30"/>
      <c r="CFQ29" s="28"/>
      <c r="CFR29" s="30"/>
      <c r="CFS29" s="29"/>
      <c r="CFT29" s="28"/>
      <c r="CFU29" s="29"/>
      <c r="CFV29" s="28"/>
      <c r="CFW29" s="28"/>
      <c r="CFX29" s="28"/>
      <c r="CFY29" s="29"/>
      <c r="CFZ29" s="385"/>
      <c r="CGA29" s="29"/>
      <c r="CGB29" s="385"/>
      <c r="CGC29" s="29"/>
      <c r="CGD29" s="385"/>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30"/>
      <c r="CHK29" s="28"/>
      <c r="CHL29" s="29"/>
      <c r="CHM29" s="29"/>
      <c r="CHN29" s="29"/>
      <c r="CHO29" s="29"/>
      <c r="CHP29" s="29"/>
      <c r="CHQ29" s="28"/>
      <c r="CHR29" s="29"/>
      <c r="CHS29" s="29"/>
      <c r="CHT29" s="28"/>
      <c r="CHU29" s="29"/>
      <c r="CHV29" s="30"/>
      <c r="CHW29" s="28"/>
      <c r="CHX29" s="29"/>
      <c r="CHY29" s="29"/>
      <c r="CHZ29" s="29"/>
      <c r="CIA29" s="28"/>
      <c r="CIB29" s="29"/>
      <c r="CIC29" s="29"/>
      <c r="CID29" s="28"/>
      <c r="CIE29" s="29"/>
      <c r="CIF29" s="30"/>
      <c r="CIG29" s="28"/>
      <c r="CIH29" s="29"/>
      <c r="CII29" s="29"/>
      <c r="CIJ29" s="29"/>
      <c r="CIK29" s="28"/>
      <c r="CIL29" s="29"/>
      <c r="CIM29" s="29"/>
      <c r="CIN29" s="28"/>
      <c r="CIO29" s="29"/>
      <c r="CIP29" s="30"/>
      <c r="CIQ29" s="28"/>
      <c r="CIR29" s="29"/>
      <c r="CIS29" s="29"/>
      <c r="CIT29" s="29"/>
      <c r="CIU29" s="28"/>
      <c r="CIV29" s="29"/>
      <c r="CIW29" s="29"/>
      <c r="CIX29" s="28"/>
      <c r="CIY29" s="29"/>
      <c r="CIZ29" s="30"/>
      <c r="CJA29" s="28"/>
      <c r="CJB29" s="30"/>
      <c r="CJC29" s="29"/>
      <c r="CJD29" s="28"/>
      <c r="CJE29" s="29"/>
      <c r="CJF29" s="28"/>
      <c r="CJG29" s="28"/>
      <c r="CJH29" s="28"/>
      <c r="CJI29" s="29"/>
      <c r="CJJ29" s="385"/>
      <c r="CJK29" s="29"/>
      <c r="CJL29" s="385"/>
      <c r="CJM29" s="29"/>
      <c r="CJN29" s="385"/>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30"/>
      <c r="CKU29" s="28"/>
      <c r="CKV29" s="29"/>
      <c r="CKW29" s="29"/>
      <c r="CKX29" s="29"/>
      <c r="CKY29" s="29"/>
      <c r="CKZ29" s="29"/>
      <c r="CLA29" s="28"/>
      <c r="CLB29" s="29"/>
      <c r="CLC29" s="29"/>
      <c r="CLD29" s="28"/>
      <c r="CLE29" s="29"/>
      <c r="CLF29" s="30"/>
      <c r="CLG29" s="28"/>
      <c r="CLH29" s="29"/>
      <c r="CLI29" s="29"/>
      <c r="CLJ29" s="29"/>
      <c r="CLK29" s="28"/>
      <c r="CLL29" s="29"/>
      <c r="CLM29" s="29"/>
      <c r="CLN29" s="28"/>
      <c r="CLO29" s="29"/>
      <c r="CLP29" s="30"/>
      <c r="CLQ29" s="28"/>
      <c r="CLR29" s="29"/>
      <c r="CLS29" s="29"/>
      <c r="CLT29" s="29"/>
      <c r="CLU29" s="28"/>
      <c r="CLV29" s="29"/>
      <c r="CLW29" s="29"/>
      <c r="CLX29" s="28"/>
      <c r="CLY29" s="29"/>
      <c r="CLZ29" s="30"/>
      <c r="CMA29" s="28"/>
      <c r="CMB29" s="29"/>
      <c r="CMC29" s="29"/>
      <c r="CMD29" s="29"/>
      <c r="CME29" s="28"/>
      <c r="CMF29" s="29"/>
      <c r="CMG29" s="29"/>
      <c r="CMH29" s="28"/>
      <c r="CMI29" s="29"/>
      <c r="CMJ29" s="30"/>
      <c r="CMK29" s="28"/>
      <c r="CML29" s="30"/>
      <c r="CMM29" s="29"/>
      <c r="CMN29" s="28"/>
      <c r="CMO29" s="29"/>
      <c r="CMP29" s="28"/>
      <c r="CMQ29" s="28"/>
      <c r="CMR29" s="28"/>
      <c r="CMS29" s="29"/>
      <c r="CMT29" s="385"/>
      <c r="CMU29" s="29"/>
      <c r="CMV29" s="385"/>
      <c r="CMW29" s="29"/>
      <c r="CMX29" s="385"/>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30"/>
      <c r="COE29" s="28"/>
      <c r="COF29" s="29"/>
      <c r="COG29" s="29"/>
      <c r="COH29" s="29"/>
      <c r="COI29" s="29"/>
      <c r="COJ29" s="29"/>
      <c r="COK29" s="28"/>
      <c r="COL29" s="29"/>
      <c r="COM29" s="29"/>
      <c r="CON29" s="28"/>
      <c r="COO29" s="29"/>
      <c r="COP29" s="30"/>
      <c r="COQ29" s="28"/>
      <c r="COR29" s="29"/>
      <c r="COS29" s="29"/>
      <c r="COT29" s="29"/>
      <c r="COU29" s="28"/>
      <c r="COV29" s="29"/>
      <c r="COW29" s="29"/>
      <c r="COX29" s="28"/>
      <c r="COY29" s="29"/>
      <c r="COZ29" s="30"/>
      <c r="CPA29" s="28"/>
      <c r="CPB29" s="29"/>
      <c r="CPC29" s="29"/>
      <c r="CPD29" s="29"/>
      <c r="CPE29" s="28"/>
      <c r="CPF29" s="29"/>
      <c r="CPG29" s="29"/>
      <c r="CPH29" s="28"/>
      <c r="CPI29" s="29"/>
      <c r="CPJ29" s="30"/>
      <c r="CPK29" s="28"/>
      <c r="CPL29" s="29"/>
      <c r="CPM29" s="29"/>
      <c r="CPN29" s="29"/>
      <c r="CPO29" s="28"/>
      <c r="CPP29" s="29"/>
      <c r="CPQ29" s="29"/>
      <c r="CPR29" s="28"/>
      <c r="CPS29" s="29"/>
      <c r="CPT29" s="30"/>
      <c r="CPU29" s="28"/>
      <c r="CPV29" s="30"/>
      <c r="CPW29" s="29"/>
      <c r="CPX29" s="28"/>
      <c r="CPY29" s="29"/>
      <c r="CPZ29" s="28"/>
      <c r="CQA29" s="28"/>
      <c r="CQB29" s="28"/>
      <c r="CQC29" s="29"/>
      <c r="CQD29" s="385"/>
      <c r="CQE29" s="29"/>
      <c r="CQF29" s="385"/>
      <c r="CQG29" s="29"/>
      <c r="CQH29" s="385"/>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30"/>
      <c r="CRO29" s="28"/>
      <c r="CRP29" s="29"/>
      <c r="CRQ29" s="29"/>
      <c r="CRR29" s="29"/>
      <c r="CRS29" s="29"/>
      <c r="CRT29" s="29"/>
      <c r="CRU29" s="28"/>
      <c r="CRV29" s="29"/>
      <c r="CRW29" s="29"/>
      <c r="CRX29" s="28"/>
      <c r="CRY29" s="29"/>
      <c r="CRZ29" s="30"/>
      <c r="CSA29" s="28"/>
      <c r="CSB29" s="29"/>
      <c r="CSC29" s="29"/>
      <c r="CSD29" s="29"/>
      <c r="CSE29" s="28"/>
      <c r="CSF29" s="29"/>
      <c r="CSG29" s="29"/>
      <c r="CSH29" s="28"/>
      <c r="CSI29" s="29"/>
      <c r="CSJ29" s="30"/>
      <c r="CSK29" s="28"/>
      <c r="CSL29" s="29"/>
      <c r="CSM29" s="29"/>
      <c r="CSN29" s="29"/>
      <c r="CSO29" s="28"/>
      <c r="CSP29" s="29"/>
      <c r="CSQ29" s="29"/>
      <c r="CSR29" s="28"/>
      <c r="CSS29" s="29"/>
      <c r="CST29" s="30"/>
      <c r="CSU29" s="28"/>
      <c r="CSV29" s="29"/>
      <c r="CSW29" s="29"/>
      <c r="CSX29" s="29"/>
      <c r="CSY29" s="28"/>
      <c r="CSZ29" s="29"/>
      <c r="CTA29" s="29"/>
      <c r="CTB29" s="28"/>
      <c r="CTC29" s="29"/>
      <c r="CTD29" s="30"/>
      <c r="CTE29" s="28"/>
      <c r="CTF29" s="30"/>
      <c r="CTG29" s="29"/>
      <c r="CTH29" s="28"/>
      <c r="CTI29" s="29"/>
      <c r="CTJ29" s="28"/>
      <c r="CTK29" s="28"/>
      <c r="CTL29" s="28"/>
      <c r="CTM29" s="29"/>
      <c r="CTN29" s="385"/>
      <c r="CTO29" s="29"/>
      <c r="CTP29" s="385"/>
      <c r="CTQ29" s="29"/>
      <c r="CTR29" s="385"/>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30"/>
      <c r="CUY29" s="28"/>
      <c r="CUZ29" s="29"/>
      <c r="CVA29" s="29"/>
      <c r="CVB29" s="29"/>
      <c r="CVC29" s="29"/>
      <c r="CVD29" s="29"/>
      <c r="CVE29" s="28"/>
      <c r="CVF29" s="29"/>
      <c r="CVG29" s="29"/>
      <c r="CVH29" s="28"/>
      <c r="CVI29" s="29"/>
      <c r="CVJ29" s="30"/>
      <c r="CVK29" s="28"/>
      <c r="CVL29" s="29"/>
      <c r="CVM29" s="29"/>
      <c r="CVN29" s="29"/>
      <c r="CVO29" s="28"/>
      <c r="CVP29" s="29"/>
      <c r="CVQ29" s="29"/>
      <c r="CVR29" s="28"/>
      <c r="CVS29" s="29"/>
      <c r="CVT29" s="30"/>
      <c r="CVU29" s="28"/>
      <c r="CVV29" s="29"/>
      <c r="CVW29" s="29"/>
      <c r="CVX29" s="29"/>
      <c r="CVY29" s="28"/>
      <c r="CVZ29" s="29"/>
      <c r="CWA29" s="29"/>
      <c r="CWB29" s="28"/>
      <c r="CWC29" s="29"/>
      <c r="CWD29" s="30"/>
      <c r="CWE29" s="28"/>
      <c r="CWF29" s="29"/>
      <c r="CWG29" s="29"/>
      <c r="CWH29" s="29"/>
      <c r="CWI29" s="28"/>
      <c r="CWJ29" s="29"/>
      <c r="CWK29" s="29"/>
      <c r="CWL29" s="28"/>
      <c r="CWM29" s="29"/>
      <c r="CWN29" s="30"/>
      <c r="CWO29" s="28"/>
      <c r="CWP29" s="30"/>
      <c r="CWQ29" s="29"/>
      <c r="CWR29" s="28"/>
      <c r="CWS29" s="29"/>
      <c r="CWT29" s="28"/>
      <c r="CWU29" s="28"/>
      <c r="CWV29" s="28"/>
      <c r="CWW29" s="29"/>
      <c r="CWX29" s="385"/>
      <c r="CWY29" s="29"/>
      <c r="CWZ29" s="385"/>
      <c r="CXA29" s="29"/>
      <c r="CXB29" s="385"/>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30"/>
      <c r="CYI29" s="28"/>
      <c r="CYJ29" s="29"/>
      <c r="CYK29" s="29"/>
      <c r="CYL29" s="29"/>
      <c r="CYM29" s="29"/>
      <c r="CYN29" s="29"/>
      <c r="CYO29" s="28"/>
      <c r="CYP29" s="29"/>
      <c r="CYQ29" s="29"/>
      <c r="CYR29" s="28"/>
      <c r="CYS29" s="29"/>
      <c r="CYT29" s="30"/>
      <c r="CYU29" s="28"/>
      <c r="CYV29" s="29"/>
      <c r="CYW29" s="29"/>
      <c r="CYX29" s="29"/>
      <c r="CYY29" s="28"/>
      <c r="CYZ29" s="29"/>
      <c r="CZA29" s="29"/>
      <c r="CZB29" s="28"/>
      <c r="CZC29" s="29"/>
      <c r="CZD29" s="30"/>
      <c r="CZE29" s="28"/>
      <c r="CZF29" s="29"/>
      <c r="CZG29" s="29"/>
      <c r="CZH29" s="29"/>
      <c r="CZI29" s="28"/>
      <c r="CZJ29" s="29"/>
      <c r="CZK29" s="29"/>
      <c r="CZL29" s="28"/>
      <c r="CZM29" s="29"/>
      <c r="CZN29" s="30"/>
      <c r="CZO29" s="28"/>
      <c r="CZP29" s="29"/>
      <c r="CZQ29" s="29"/>
      <c r="CZR29" s="29"/>
      <c r="CZS29" s="28"/>
      <c r="CZT29" s="29"/>
      <c r="CZU29" s="29"/>
      <c r="CZV29" s="28"/>
      <c r="CZW29" s="29"/>
      <c r="CZX29" s="30"/>
      <c r="CZY29" s="28"/>
      <c r="CZZ29" s="30"/>
      <c r="DAA29" s="29"/>
      <c r="DAB29" s="28"/>
      <c r="DAC29" s="29"/>
      <c r="DAD29" s="28"/>
      <c r="DAE29" s="28"/>
      <c r="DAF29" s="28"/>
      <c r="DAG29" s="29"/>
      <c r="DAH29" s="385"/>
      <c r="DAI29" s="29"/>
      <c r="DAJ29" s="385"/>
      <c r="DAK29" s="29"/>
      <c r="DAL29" s="385"/>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30"/>
      <c r="DBS29" s="28"/>
      <c r="DBT29" s="29"/>
      <c r="DBU29" s="29"/>
      <c r="DBV29" s="29"/>
      <c r="DBW29" s="29"/>
      <c r="DBX29" s="29"/>
      <c r="DBY29" s="28"/>
      <c r="DBZ29" s="29"/>
      <c r="DCA29" s="29"/>
      <c r="DCB29" s="28"/>
      <c r="DCC29" s="29"/>
      <c r="DCD29" s="30"/>
      <c r="DCE29" s="28"/>
      <c r="DCF29" s="29"/>
      <c r="DCG29" s="29"/>
      <c r="DCH29" s="29"/>
      <c r="DCI29" s="28"/>
      <c r="DCJ29" s="29"/>
      <c r="DCK29" s="29"/>
      <c r="DCL29" s="28"/>
      <c r="DCM29" s="29"/>
      <c r="DCN29" s="30"/>
      <c r="DCO29" s="28"/>
      <c r="DCP29" s="29"/>
      <c r="DCQ29" s="29"/>
      <c r="DCR29" s="29"/>
      <c r="DCS29" s="28"/>
      <c r="DCT29" s="29"/>
      <c r="DCU29" s="29"/>
      <c r="DCV29" s="28"/>
      <c r="DCW29" s="29"/>
      <c r="DCX29" s="30"/>
      <c r="DCY29" s="28"/>
      <c r="DCZ29" s="29"/>
      <c r="DDA29" s="29"/>
      <c r="DDB29" s="29"/>
      <c r="DDC29" s="28"/>
      <c r="DDD29" s="29"/>
      <c r="DDE29" s="29"/>
      <c r="DDF29" s="28"/>
      <c r="DDG29" s="29"/>
      <c r="DDH29" s="30"/>
      <c r="DDI29" s="28"/>
      <c r="DDJ29" s="30"/>
      <c r="DDK29" s="29"/>
      <c r="DDL29" s="28"/>
      <c r="DDM29" s="29"/>
      <c r="DDN29" s="28"/>
      <c r="DDO29" s="28"/>
      <c r="DDP29" s="28"/>
      <c r="DDQ29" s="29"/>
      <c r="DDR29" s="385"/>
      <c r="DDS29" s="29"/>
      <c r="DDT29" s="385"/>
      <c r="DDU29" s="29"/>
      <c r="DDV29" s="385"/>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30"/>
      <c r="DFC29" s="28"/>
      <c r="DFD29" s="29"/>
      <c r="DFE29" s="29"/>
      <c r="DFF29" s="29"/>
      <c r="DFG29" s="29"/>
      <c r="DFH29" s="29"/>
      <c r="DFI29" s="28"/>
      <c r="DFJ29" s="29"/>
      <c r="DFK29" s="29"/>
      <c r="DFL29" s="28"/>
      <c r="DFM29" s="29"/>
      <c r="DFN29" s="30"/>
      <c r="DFO29" s="28"/>
      <c r="DFP29" s="29"/>
      <c r="DFQ29" s="29"/>
      <c r="DFR29" s="29"/>
      <c r="DFS29" s="28"/>
      <c r="DFT29" s="29"/>
      <c r="DFU29" s="29"/>
      <c r="DFV29" s="28"/>
      <c r="DFW29" s="29"/>
      <c r="DFX29" s="30"/>
      <c r="DFY29" s="28"/>
      <c r="DFZ29" s="29"/>
      <c r="DGA29" s="29"/>
      <c r="DGB29" s="29"/>
      <c r="DGC29" s="28"/>
      <c r="DGD29" s="29"/>
      <c r="DGE29" s="29"/>
      <c r="DGF29" s="28"/>
      <c r="DGG29" s="29"/>
      <c r="DGH29" s="30"/>
      <c r="DGI29" s="28"/>
      <c r="DGJ29" s="29"/>
      <c r="DGK29" s="29"/>
      <c r="DGL29" s="29"/>
      <c r="DGM29" s="28"/>
      <c r="DGN29" s="29"/>
      <c r="DGO29" s="29"/>
      <c r="DGP29" s="28"/>
      <c r="DGQ29" s="29"/>
      <c r="DGR29" s="30"/>
      <c r="DGS29" s="28"/>
      <c r="DGT29" s="30"/>
      <c r="DGU29" s="29"/>
      <c r="DGV29" s="28"/>
      <c r="DGW29" s="29"/>
      <c r="DGX29" s="28"/>
      <c r="DGY29" s="28"/>
      <c r="DGZ29" s="28"/>
      <c r="DHA29" s="29"/>
      <c r="DHB29" s="385"/>
      <c r="DHC29" s="29"/>
      <c r="DHD29" s="385"/>
      <c r="DHE29" s="29"/>
      <c r="DHF29" s="385"/>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30"/>
      <c r="DIM29" s="28"/>
      <c r="DIN29" s="29"/>
      <c r="DIO29" s="29"/>
      <c r="DIP29" s="29"/>
      <c r="DIQ29" s="29"/>
      <c r="DIR29" s="29"/>
      <c r="DIS29" s="28"/>
      <c r="DIT29" s="29"/>
      <c r="DIU29" s="29"/>
      <c r="DIV29" s="28"/>
      <c r="DIW29" s="29"/>
      <c r="DIX29" s="30"/>
      <c r="DIY29" s="28"/>
      <c r="DIZ29" s="29"/>
      <c r="DJA29" s="29"/>
      <c r="DJB29" s="29"/>
      <c r="DJC29" s="28"/>
      <c r="DJD29" s="29"/>
      <c r="DJE29" s="29"/>
      <c r="DJF29" s="28"/>
      <c r="DJG29" s="29"/>
      <c r="DJH29" s="30"/>
      <c r="DJI29" s="28"/>
      <c r="DJJ29" s="29"/>
      <c r="DJK29" s="29"/>
      <c r="DJL29" s="29"/>
      <c r="DJM29" s="28"/>
      <c r="DJN29" s="29"/>
      <c r="DJO29" s="29"/>
      <c r="DJP29" s="28"/>
      <c r="DJQ29" s="29"/>
      <c r="DJR29" s="30"/>
      <c r="DJS29" s="28"/>
      <c r="DJT29" s="29"/>
      <c r="DJU29" s="29"/>
      <c r="DJV29" s="29"/>
      <c r="DJW29" s="28"/>
      <c r="DJX29" s="29"/>
      <c r="DJY29" s="29"/>
      <c r="DJZ29" s="28"/>
      <c r="DKA29" s="29"/>
      <c r="DKB29" s="30"/>
      <c r="DKC29" s="28"/>
      <c r="DKD29" s="30"/>
      <c r="DKE29" s="29"/>
      <c r="DKF29" s="28"/>
      <c r="DKG29" s="29"/>
      <c r="DKH29" s="28"/>
      <c r="DKI29" s="28"/>
      <c r="DKJ29" s="28"/>
      <c r="DKK29" s="29"/>
      <c r="DKL29" s="385"/>
      <c r="DKM29" s="29"/>
      <c r="DKN29" s="385"/>
      <c r="DKO29" s="29"/>
      <c r="DKP29" s="385"/>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30"/>
      <c r="DLW29" s="28"/>
      <c r="DLX29" s="29"/>
      <c r="DLY29" s="29"/>
      <c r="DLZ29" s="29"/>
      <c r="DMA29" s="29"/>
      <c r="DMB29" s="29"/>
      <c r="DMC29" s="28"/>
      <c r="DMD29" s="29"/>
      <c r="DME29" s="29"/>
      <c r="DMF29" s="28"/>
      <c r="DMG29" s="29"/>
      <c r="DMH29" s="30"/>
      <c r="DMI29" s="28"/>
      <c r="DMJ29" s="29"/>
      <c r="DMK29" s="29"/>
      <c r="DML29" s="29"/>
      <c r="DMM29" s="28"/>
      <c r="DMN29" s="29"/>
      <c r="DMO29" s="29"/>
      <c r="DMP29" s="28"/>
      <c r="DMQ29" s="29"/>
      <c r="DMR29" s="30"/>
      <c r="DMS29" s="28"/>
      <c r="DMT29" s="29"/>
      <c r="DMU29" s="29"/>
      <c r="DMV29" s="29"/>
      <c r="DMW29" s="28"/>
      <c r="DMX29" s="29"/>
      <c r="DMY29" s="29"/>
      <c r="DMZ29" s="28"/>
      <c r="DNA29" s="29"/>
      <c r="DNB29" s="30"/>
      <c r="DNC29" s="28"/>
      <c r="DND29" s="29"/>
      <c r="DNE29" s="29"/>
      <c r="DNF29" s="29"/>
      <c r="DNG29" s="28"/>
      <c r="DNH29" s="29"/>
      <c r="DNI29" s="29"/>
      <c r="DNJ29" s="28"/>
      <c r="DNK29" s="29"/>
      <c r="DNL29" s="30"/>
      <c r="DNM29" s="28"/>
      <c r="DNN29" s="30"/>
      <c r="DNO29" s="29"/>
      <c r="DNP29" s="28"/>
      <c r="DNQ29" s="29"/>
      <c r="DNR29" s="28"/>
      <c r="DNS29" s="28"/>
      <c r="DNT29" s="28"/>
      <c r="DNU29" s="29"/>
      <c r="DNV29" s="385"/>
      <c r="DNW29" s="29"/>
      <c r="DNX29" s="385"/>
      <c r="DNY29" s="29"/>
      <c r="DNZ29" s="385"/>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30"/>
      <c r="DPG29" s="28"/>
      <c r="DPH29" s="29"/>
      <c r="DPI29" s="29"/>
      <c r="DPJ29" s="29"/>
      <c r="DPK29" s="29"/>
      <c r="DPL29" s="29"/>
      <c r="DPM29" s="28"/>
      <c r="DPN29" s="29"/>
      <c r="DPO29" s="29"/>
      <c r="DPP29" s="28"/>
      <c r="DPQ29" s="29"/>
      <c r="DPR29" s="30"/>
      <c r="DPS29" s="28"/>
      <c r="DPT29" s="29"/>
      <c r="DPU29" s="29"/>
      <c r="DPV29" s="29"/>
      <c r="DPW29" s="28"/>
      <c r="DPX29" s="29"/>
      <c r="DPY29" s="29"/>
      <c r="DPZ29" s="28"/>
      <c r="DQA29" s="29"/>
      <c r="DQB29" s="30"/>
      <c r="DQC29" s="28"/>
      <c r="DQD29" s="29"/>
      <c r="DQE29" s="29"/>
      <c r="DQF29" s="29"/>
      <c r="DQG29" s="28"/>
      <c r="DQH29" s="29"/>
      <c r="DQI29" s="29"/>
      <c r="DQJ29" s="28"/>
      <c r="DQK29" s="29"/>
      <c r="DQL29" s="30"/>
      <c r="DQM29" s="28"/>
      <c r="DQN29" s="29"/>
      <c r="DQO29" s="29"/>
      <c r="DQP29" s="29"/>
      <c r="DQQ29" s="28"/>
      <c r="DQR29" s="29"/>
      <c r="DQS29" s="29"/>
      <c r="DQT29" s="28"/>
      <c r="DQU29" s="29"/>
      <c r="DQV29" s="30"/>
      <c r="DQW29" s="28"/>
      <c r="DQX29" s="30"/>
      <c r="DQY29" s="29"/>
      <c r="DQZ29" s="28"/>
      <c r="DRA29" s="29"/>
      <c r="DRB29" s="28"/>
      <c r="DRC29" s="28"/>
      <c r="DRD29" s="28"/>
      <c r="DRE29" s="29"/>
      <c r="DRF29" s="385"/>
      <c r="DRG29" s="29"/>
      <c r="DRH29" s="385"/>
      <c r="DRI29" s="29"/>
      <c r="DRJ29" s="385"/>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30"/>
      <c r="DSQ29" s="28"/>
      <c r="DSR29" s="29"/>
      <c r="DSS29" s="29"/>
      <c r="DST29" s="29"/>
      <c r="DSU29" s="29"/>
      <c r="DSV29" s="29"/>
      <c r="DSW29" s="28"/>
      <c r="DSX29" s="29"/>
      <c r="DSY29" s="29"/>
      <c r="DSZ29" s="28"/>
      <c r="DTA29" s="29"/>
      <c r="DTB29" s="30"/>
      <c r="DTC29" s="28"/>
      <c r="DTD29" s="29"/>
      <c r="DTE29" s="29"/>
      <c r="DTF29" s="29"/>
      <c r="DTG29" s="28"/>
      <c r="DTH29" s="29"/>
      <c r="DTI29" s="29"/>
      <c r="DTJ29" s="28"/>
      <c r="DTK29" s="29"/>
      <c r="DTL29" s="30"/>
      <c r="DTM29" s="28"/>
      <c r="DTN29" s="29"/>
      <c r="DTO29" s="29"/>
      <c r="DTP29" s="29"/>
      <c r="DTQ29" s="28"/>
      <c r="DTR29" s="29"/>
      <c r="DTS29" s="29"/>
      <c r="DTT29" s="28"/>
      <c r="DTU29" s="29"/>
      <c r="DTV29" s="30"/>
      <c r="DTW29" s="28"/>
      <c r="DTX29" s="29"/>
      <c r="DTY29" s="29"/>
      <c r="DTZ29" s="29"/>
      <c r="DUA29" s="28"/>
      <c r="DUB29" s="29"/>
      <c r="DUC29" s="29"/>
      <c r="DUD29" s="28"/>
      <c r="DUE29" s="29"/>
      <c r="DUF29" s="30"/>
      <c r="DUG29" s="28"/>
      <c r="DUH29" s="30"/>
      <c r="DUI29" s="29"/>
      <c r="DUJ29" s="28"/>
      <c r="DUK29" s="29"/>
      <c r="DUL29" s="28"/>
      <c r="DUM29" s="28"/>
      <c r="DUN29" s="28"/>
      <c r="DUO29" s="29"/>
      <c r="DUP29" s="385"/>
      <c r="DUQ29" s="29"/>
      <c r="DUR29" s="385"/>
      <c r="DUS29" s="29"/>
      <c r="DUT29" s="385"/>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30"/>
      <c r="DWA29" s="28"/>
      <c r="DWB29" s="29"/>
      <c r="DWC29" s="29"/>
      <c r="DWD29" s="29"/>
      <c r="DWE29" s="29"/>
      <c r="DWF29" s="29"/>
      <c r="DWG29" s="28"/>
      <c r="DWH29" s="29"/>
      <c r="DWI29" s="29"/>
      <c r="DWJ29" s="28"/>
      <c r="DWK29" s="29"/>
      <c r="DWL29" s="30"/>
      <c r="DWM29" s="28"/>
      <c r="DWN29" s="29"/>
      <c r="DWO29" s="29"/>
      <c r="DWP29" s="29"/>
      <c r="DWQ29" s="28"/>
      <c r="DWR29" s="29"/>
      <c r="DWS29" s="29"/>
      <c r="DWT29" s="28"/>
      <c r="DWU29" s="29"/>
      <c r="DWV29" s="30"/>
      <c r="DWW29" s="28"/>
      <c r="DWX29" s="29"/>
      <c r="DWY29" s="29"/>
      <c r="DWZ29" s="29"/>
      <c r="DXA29" s="28"/>
      <c r="DXB29" s="29"/>
      <c r="DXC29" s="29"/>
      <c r="DXD29" s="28"/>
      <c r="DXE29" s="29"/>
      <c r="DXF29" s="30"/>
      <c r="DXG29" s="28"/>
      <c r="DXH29" s="29"/>
      <c r="DXI29" s="29"/>
      <c r="DXJ29" s="29"/>
      <c r="DXK29" s="28"/>
      <c r="DXL29" s="29"/>
      <c r="DXM29" s="29"/>
      <c r="DXN29" s="28"/>
      <c r="DXO29" s="29"/>
      <c r="DXP29" s="30"/>
      <c r="DXQ29" s="28"/>
      <c r="DXR29" s="30"/>
      <c r="DXS29" s="29"/>
      <c r="DXT29" s="28"/>
      <c r="DXU29" s="29"/>
      <c r="DXV29" s="28"/>
      <c r="DXW29" s="28"/>
      <c r="DXX29" s="28"/>
      <c r="DXY29" s="29"/>
      <c r="DXZ29" s="385"/>
      <c r="DYA29" s="29"/>
      <c r="DYB29" s="385"/>
      <c r="DYC29" s="29"/>
      <c r="DYD29" s="385"/>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30"/>
      <c r="DZK29" s="28"/>
      <c r="DZL29" s="29"/>
      <c r="DZM29" s="29"/>
      <c r="DZN29" s="29"/>
      <c r="DZO29" s="29"/>
      <c r="DZP29" s="29"/>
      <c r="DZQ29" s="28"/>
      <c r="DZR29" s="29"/>
      <c r="DZS29" s="29"/>
      <c r="DZT29" s="28"/>
      <c r="DZU29" s="29"/>
      <c r="DZV29" s="30"/>
      <c r="DZW29" s="28"/>
      <c r="DZX29" s="29"/>
      <c r="DZY29" s="29"/>
      <c r="DZZ29" s="29"/>
      <c r="EAA29" s="28"/>
      <c r="EAB29" s="29"/>
      <c r="EAC29" s="29"/>
      <c r="EAD29" s="28"/>
      <c r="EAE29" s="29"/>
      <c r="EAF29" s="30"/>
      <c r="EAG29" s="28"/>
      <c r="EAH29" s="29"/>
      <c r="EAI29" s="29"/>
      <c r="EAJ29" s="29"/>
      <c r="EAK29" s="28"/>
      <c r="EAL29" s="29"/>
      <c r="EAM29" s="29"/>
      <c r="EAN29" s="28"/>
      <c r="EAO29" s="29"/>
      <c r="EAP29" s="30"/>
      <c r="EAQ29" s="28"/>
      <c r="EAR29" s="29"/>
      <c r="EAS29" s="29"/>
      <c r="EAT29" s="29"/>
      <c r="EAU29" s="28"/>
      <c r="EAV29" s="29"/>
      <c r="EAW29" s="29"/>
      <c r="EAX29" s="28"/>
      <c r="EAY29" s="29"/>
      <c r="EAZ29" s="30"/>
      <c r="EBA29" s="28"/>
      <c r="EBB29" s="30"/>
      <c r="EBC29" s="29"/>
      <c r="EBD29" s="28"/>
      <c r="EBE29" s="29"/>
      <c r="EBF29" s="28"/>
      <c r="EBG29" s="28"/>
      <c r="EBH29" s="28"/>
      <c r="EBI29" s="29"/>
      <c r="EBJ29" s="385"/>
      <c r="EBK29" s="29"/>
      <c r="EBL29" s="385"/>
      <c r="EBM29" s="29"/>
      <c r="EBN29" s="385"/>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30"/>
      <c r="ECU29" s="28"/>
      <c r="ECV29" s="29"/>
      <c r="ECW29" s="29"/>
      <c r="ECX29" s="29"/>
      <c r="ECY29" s="29"/>
      <c r="ECZ29" s="29"/>
      <c r="EDA29" s="28"/>
      <c r="EDB29" s="29"/>
      <c r="EDC29" s="29"/>
      <c r="EDD29" s="28"/>
      <c r="EDE29" s="29"/>
      <c r="EDF29" s="30"/>
      <c r="EDG29" s="28"/>
      <c r="EDH29" s="29"/>
      <c r="EDI29" s="29"/>
      <c r="EDJ29" s="29"/>
      <c r="EDK29" s="28"/>
      <c r="EDL29" s="29"/>
      <c r="EDM29" s="29"/>
      <c r="EDN29" s="28"/>
      <c r="EDO29" s="29"/>
      <c r="EDP29" s="30"/>
      <c r="EDQ29" s="28"/>
      <c r="EDR29" s="29"/>
      <c r="EDS29" s="29"/>
      <c r="EDT29" s="29"/>
      <c r="EDU29" s="28"/>
      <c r="EDV29" s="29"/>
      <c r="EDW29" s="29"/>
      <c r="EDX29" s="28"/>
      <c r="EDY29" s="29"/>
      <c r="EDZ29" s="30"/>
      <c r="EEA29" s="28"/>
      <c r="EEB29" s="29"/>
      <c r="EEC29" s="29"/>
      <c r="EED29" s="29"/>
      <c r="EEE29" s="28"/>
      <c r="EEF29" s="29"/>
      <c r="EEG29" s="29"/>
      <c r="EEH29" s="28"/>
      <c r="EEI29" s="29"/>
      <c r="EEJ29" s="30"/>
      <c r="EEK29" s="28"/>
      <c r="EEL29" s="30"/>
      <c r="EEM29" s="29"/>
      <c r="EEN29" s="28"/>
      <c r="EEO29" s="29"/>
      <c r="EEP29" s="28"/>
      <c r="EEQ29" s="28"/>
      <c r="EER29" s="28"/>
      <c r="EES29" s="29"/>
      <c r="EET29" s="385"/>
      <c r="EEU29" s="29"/>
      <c r="EEV29" s="385"/>
      <c r="EEW29" s="29"/>
      <c r="EEX29" s="385"/>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30"/>
      <c r="EGE29" s="28"/>
      <c r="EGF29" s="29"/>
      <c r="EGG29" s="29"/>
      <c r="EGH29" s="29"/>
      <c r="EGI29" s="29"/>
      <c r="EGJ29" s="29"/>
      <c r="EGK29" s="28"/>
      <c r="EGL29" s="29"/>
      <c r="EGM29" s="29"/>
      <c r="EGN29" s="28"/>
      <c r="EGO29" s="29"/>
      <c r="EGP29" s="30"/>
      <c r="EGQ29" s="28"/>
      <c r="EGR29" s="29"/>
      <c r="EGS29" s="29"/>
      <c r="EGT29" s="29"/>
      <c r="EGU29" s="28"/>
      <c r="EGV29" s="29"/>
      <c r="EGW29" s="29"/>
      <c r="EGX29" s="28"/>
      <c r="EGY29" s="29"/>
      <c r="EGZ29" s="30"/>
      <c r="EHA29" s="28"/>
      <c r="EHB29" s="29"/>
      <c r="EHC29" s="29"/>
      <c r="EHD29" s="29"/>
      <c r="EHE29" s="28"/>
      <c r="EHF29" s="29"/>
      <c r="EHG29" s="29"/>
      <c r="EHH29" s="28"/>
      <c r="EHI29" s="29"/>
      <c r="EHJ29" s="30"/>
      <c r="EHK29" s="28"/>
      <c r="EHL29" s="29"/>
      <c r="EHM29" s="29"/>
      <c r="EHN29" s="29"/>
      <c r="EHO29" s="28"/>
      <c r="EHP29" s="29"/>
      <c r="EHQ29" s="29"/>
      <c r="EHR29" s="28"/>
      <c r="EHS29" s="29"/>
      <c r="EHT29" s="30"/>
      <c r="EHU29" s="28"/>
      <c r="EHV29" s="30"/>
      <c r="EHW29" s="29"/>
      <c r="EHX29" s="28"/>
      <c r="EHY29" s="29"/>
      <c r="EHZ29" s="28"/>
      <c r="EIA29" s="28"/>
      <c r="EIB29" s="28"/>
      <c r="EIC29" s="29"/>
      <c r="EID29" s="385"/>
      <c r="EIE29" s="29"/>
      <c r="EIF29" s="385"/>
      <c r="EIG29" s="29"/>
      <c r="EIH29" s="385"/>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30"/>
      <c r="EJO29" s="28"/>
      <c r="EJP29" s="29"/>
      <c r="EJQ29" s="29"/>
      <c r="EJR29" s="29"/>
      <c r="EJS29" s="29"/>
      <c r="EJT29" s="29"/>
      <c r="EJU29" s="28"/>
      <c r="EJV29" s="29"/>
      <c r="EJW29" s="29"/>
      <c r="EJX29" s="28"/>
      <c r="EJY29" s="29"/>
      <c r="EJZ29" s="30"/>
      <c r="EKA29" s="28"/>
      <c r="EKB29" s="29"/>
      <c r="EKC29" s="29"/>
      <c r="EKD29" s="29"/>
      <c r="EKE29" s="28"/>
      <c r="EKF29" s="29"/>
      <c r="EKG29" s="29"/>
      <c r="EKH29" s="28"/>
      <c r="EKI29" s="29"/>
      <c r="EKJ29" s="30"/>
      <c r="EKK29" s="28"/>
      <c r="EKL29" s="29"/>
      <c r="EKM29" s="29"/>
      <c r="EKN29" s="29"/>
      <c r="EKO29" s="28"/>
      <c r="EKP29" s="29"/>
      <c r="EKQ29" s="29"/>
      <c r="EKR29" s="28"/>
      <c r="EKS29" s="29"/>
      <c r="EKT29" s="30"/>
      <c r="EKU29" s="28"/>
      <c r="EKV29" s="29"/>
      <c r="EKW29" s="29"/>
      <c r="EKX29" s="29"/>
      <c r="EKY29" s="28"/>
      <c r="EKZ29" s="29"/>
      <c r="ELA29" s="29"/>
      <c r="ELB29" s="28"/>
      <c r="ELC29" s="29"/>
      <c r="ELD29" s="30"/>
      <c r="ELE29" s="28"/>
      <c r="ELF29" s="30"/>
      <c r="ELG29" s="29"/>
      <c r="ELH29" s="28"/>
      <c r="ELI29" s="29"/>
      <c r="ELJ29" s="28"/>
      <c r="ELK29" s="28"/>
      <c r="ELL29" s="28"/>
      <c r="ELM29" s="29"/>
      <c r="ELN29" s="385"/>
      <c r="ELO29" s="29"/>
      <c r="ELP29" s="385"/>
      <c r="ELQ29" s="29"/>
      <c r="ELR29" s="385"/>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30"/>
      <c r="EMY29" s="28"/>
      <c r="EMZ29" s="29"/>
      <c r="ENA29" s="29"/>
      <c r="ENB29" s="29"/>
      <c r="ENC29" s="29"/>
      <c r="END29" s="29"/>
      <c r="ENE29" s="28"/>
      <c r="ENF29" s="29"/>
      <c r="ENG29" s="29"/>
      <c r="ENH29" s="28"/>
      <c r="ENI29" s="29"/>
      <c r="ENJ29" s="30"/>
      <c r="ENK29" s="28"/>
      <c r="ENL29" s="29"/>
      <c r="ENM29" s="29"/>
      <c r="ENN29" s="29"/>
      <c r="ENO29" s="28"/>
      <c r="ENP29" s="29"/>
      <c r="ENQ29" s="29"/>
      <c r="ENR29" s="28"/>
      <c r="ENS29" s="29"/>
      <c r="ENT29" s="30"/>
      <c r="ENU29" s="28"/>
      <c r="ENV29" s="29"/>
      <c r="ENW29" s="29"/>
      <c r="ENX29" s="29"/>
      <c r="ENY29" s="28"/>
      <c r="ENZ29" s="29"/>
      <c r="EOA29" s="29"/>
      <c r="EOB29" s="28"/>
      <c r="EOC29" s="29"/>
      <c r="EOD29" s="30"/>
      <c r="EOE29" s="28"/>
      <c r="EOF29" s="29"/>
      <c r="EOG29" s="29"/>
      <c r="EOH29" s="29"/>
      <c r="EOI29" s="28"/>
      <c r="EOJ29" s="29"/>
      <c r="EOK29" s="29"/>
      <c r="EOL29" s="28"/>
      <c r="EOM29" s="29"/>
      <c r="EON29" s="30"/>
      <c r="EOO29" s="28" t="str">
        <f t="shared" si="75"/>
        <v xml:space="preserve"> </v>
      </c>
    </row>
    <row r="30" spans="1:3785" x14ac:dyDescent="0.3">
      <c r="A30" s="392" t="s">
        <v>208</v>
      </c>
      <c r="B30" s="58" t="s">
        <v>4069</v>
      </c>
      <c r="C30" s="57" t="s">
        <v>4070</v>
      </c>
      <c r="D30" s="56" t="str">
        <f t="shared" si="61"/>
        <v xml:space="preserve"> </v>
      </c>
      <c r="E30" s="57"/>
      <c r="F30" s="56"/>
      <c r="G30" s="59">
        <v>45361</v>
      </c>
      <c r="H30" s="59">
        <f>+G30+365</f>
        <v>45726</v>
      </c>
      <c r="I30" s="57" t="s">
        <v>1372</v>
      </c>
      <c r="J30" s="57" t="s">
        <v>1373</v>
      </c>
      <c r="K30" s="57" t="s">
        <v>1372</v>
      </c>
      <c r="L30" s="57" t="s">
        <v>1373</v>
      </c>
      <c r="M30" s="57"/>
      <c r="N30" s="57"/>
      <c r="O30" s="57" t="s">
        <v>1372</v>
      </c>
      <c r="P30" s="57"/>
      <c r="Q30" s="57" t="s">
        <v>1372</v>
      </c>
      <c r="R30" s="57" t="s">
        <v>1372</v>
      </c>
      <c r="S30" s="57" t="s">
        <v>1372</v>
      </c>
      <c r="T30" s="57" t="s">
        <v>1372</v>
      </c>
      <c r="U30" s="57" t="s">
        <v>1372</v>
      </c>
      <c r="V30" s="57" t="s">
        <v>1372</v>
      </c>
      <c r="W30" s="57"/>
      <c r="X30" s="57"/>
      <c r="Y30" s="57"/>
      <c r="Z30" s="57"/>
      <c r="AA30" s="57"/>
      <c r="AB30" s="57"/>
      <c r="AC30" s="57"/>
      <c r="AD30" s="57"/>
      <c r="AE30" s="57"/>
      <c r="AF30" s="57"/>
      <c r="AG30" s="57"/>
      <c r="AH30" s="57"/>
      <c r="AI30" s="57"/>
      <c r="AJ30" s="57"/>
      <c r="AK30" s="57"/>
      <c r="AL30" s="57"/>
      <c r="AM30" s="57"/>
      <c r="AN30" s="57"/>
      <c r="AO30" s="57"/>
      <c r="AP30" s="57"/>
      <c r="AQ30" s="57"/>
      <c r="AR30" s="57" t="s">
        <v>1783</v>
      </c>
      <c r="AS30" s="57"/>
      <c r="AT30" s="58" t="s">
        <v>4065</v>
      </c>
      <c r="AU30" s="57"/>
      <c r="AV30" s="56" t="str">
        <f t="shared" ref="AV30:AV31" si="143">IFERROR(VLOOKUP(AT30,BASEPOE1,2,FALSE)," ")</f>
        <v xml:space="preserve"> </v>
      </c>
      <c r="AW30" s="57"/>
      <c r="AX30" s="56"/>
      <c r="AY30" s="59">
        <v>45362</v>
      </c>
      <c r="AZ30" s="59">
        <f>+AY30+365</f>
        <v>45727</v>
      </c>
      <c r="BA30" s="57" t="s">
        <v>1372</v>
      </c>
      <c r="BB30" s="57" t="s">
        <v>1373</v>
      </c>
      <c r="BC30" s="57" t="s">
        <v>1372</v>
      </c>
      <c r="BD30" s="57" t="s">
        <v>1373</v>
      </c>
      <c r="BE30" s="57" t="s">
        <v>1461</v>
      </c>
      <c r="BF30" s="57" t="s">
        <v>4063</v>
      </c>
      <c r="BG30" s="57" t="s">
        <v>1372</v>
      </c>
      <c r="BH30" s="57"/>
      <c r="BI30" s="57" t="s">
        <v>1372</v>
      </c>
      <c r="BJ30" s="57" t="s">
        <v>1372</v>
      </c>
      <c r="BK30" s="57" t="s">
        <v>1372</v>
      </c>
      <c r="BL30" s="57" t="s">
        <v>1372</v>
      </c>
      <c r="BM30" s="57"/>
      <c r="BN30" s="57" t="s">
        <v>1372</v>
      </c>
      <c r="BO30" s="57"/>
      <c r="BP30" s="57"/>
      <c r="BQ30" s="57"/>
      <c r="BR30" s="57" t="s">
        <v>1372</v>
      </c>
      <c r="BS30" s="57"/>
      <c r="BT30" s="57"/>
      <c r="BU30" s="57"/>
      <c r="BV30" s="57"/>
      <c r="BW30" s="57"/>
      <c r="BX30" s="57" t="s">
        <v>1372</v>
      </c>
      <c r="BY30" s="57"/>
      <c r="BZ30" s="57"/>
      <c r="CA30" s="57"/>
      <c r="CB30" s="57"/>
      <c r="CC30" s="57"/>
      <c r="CD30" s="57"/>
      <c r="CE30" s="57" t="s">
        <v>1372</v>
      </c>
      <c r="CF30" s="57"/>
      <c r="CG30" s="57"/>
      <c r="CH30" s="57" t="s">
        <v>1372</v>
      </c>
      <c r="CI30" s="57"/>
      <c r="CJ30" s="57" t="s">
        <v>1783</v>
      </c>
      <c r="CK30" s="57"/>
      <c r="CL30" s="58" t="s">
        <v>4067</v>
      </c>
      <c r="CM30" s="57"/>
      <c r="CN30" s="56" t="str">
        <f t="shared" ref="CN30" si="144">IFERROR(VLOOKUP(CL30,BASEPOE1,2,FALSE)," ")</f>
        <v xml:space="preserve"> </v>
      </c>
      <c r="CO30" s="57"/>
      <c r="CP30" s="56"/>
      <c r="CQ30" s="59">
        <v>45360</v>
      </c>
      <c r="CR30" s="59">
        <f>+CQ30+365</f>
        <v>45725</v>
      </c>
      <c r="CS30" s="57" t="s">
        <v>1372</v>
      </c>
      <c r="CT30" s="57" t="s">
        <v>1373</v>
      </c>
      <c r="CU30" s="57" t="s">
        <v>1372</v>
      </c>
      <c r="CV30" s="57" t="s">
        <v>1373</v>
      </c>
      <c r="CW30" s="57" t="s">
        <v>1461</v>
      </c>
      <c r="CX30" s="57" t="s">
        <v>4063</v>
      </c>
      <c r="CY30" s="57" t="s">
        <v>1372</v>
      </c>
      <c r="CZ30" s="57"/>
      <c r="DA30" s="57" t="s">
        <v>1372</v>
      </c>
      <c r="DB30" s="57" t="s">
        <v>1372</v>
      </c>
      <c r="DC30" s="57" t="s">
        <v>1372</v>
      </c>
      <c r="DD30" s="57" t="s">
        <v>1372</v>
      </c>
      <c r="DE30" s="57" t="s">
        <v>1372</v>
      </c>
      <c r="DF30" s="57" t="s">
        <v>1372</v>
      </c>
      <c r="DG30" s="57"/>
      <c r="DH30" s="57"/>
      <c r="DI30" s="57"/>
      <c r="DJ30" s="57" t="s">
        <v>1372</v>
      </c>
      <c r="DK30" s="57"/>
      <c r="DL30" s="57"/>
      <c r="DM30" s="57"/>
      <c r="DN30" s="57"/>
      <c r="DO30" s="57"/>
      <c r="DP30" s="57" t="s">
        <v>1372</v>
      </c>
      <c r="DQ30" s="57"/>
      <c r="DR30" s="57"/>
      <c r="DS30" s="57"/>
      <c r="DT30" s="57"/>
      <c r="DU30" s="57"/>
      <c r="DV30" s="57"/>
      <c r="DW30" s="57" t="s">
        <v>1372</v>
      </c>
      <c r="DX30" s="57"/>
      <c r="DY30" s="57"/>
      <c r="DZ30" s="57" t="s">
        <v>1372</v>
      </c>
      <c r="EA30" s="57"/>
      <c r="EB30" s="57" t="s">
        <v>1372</v>
      </c>
      <c r="EC30" s="57" t="s">
        <v>1783</v>
      </c>
      <c r="ED30" s="58" t="s">
        <v>4061</v>
      </c>
      <c r="EE30" s="57"/>
      <c r="EF30" s="56" t="str">
        <f t="shared" ref="EF30" si="145">IFERROR(VLOOKUP(ED30,BASEPOE1,2,FALSE)," ")</f>
        <v xml:space="preserve"> </v>
      </c>
      <c r="EG30" s="57"/>
      <c r="EH30" s="56"/>
      <c r="EI30" s="59">
        <v>45360</v>
      </c>
      <c r="EJ30" s="59">
        <f>+EI30+365</f>
        <v>45725</v>
      </c>
      <c r="EK30" s="57" t="s">
        <v>1372</v>
      </c>
      <c r="EL30" s="57" t="s">
        <v>1373</v>
      </c>
      <c r="EM30" s="57" t="s">
        <v>4062</v>
      </c>
      <c r="EN30" s="57" t="s">
        <v>1373</v>
      </c>
      <c r="EO30" s="57" t="s">
        <v>4063</v>
      </c>
      <c r="EP30" s="57"/>
      <c r="EQ30" s="57" t="s">
        <v>1372</v>
      </c>
      <c r="ER30" s="57"/>
      <c r="ES30" s="57" t="s">
        <v>1372</v>
      </c>
      <c r="ET30" s="57" t="s">
        <v>1372</v>
      </c>
      <c r="EU30" s="57" t="s">
        <v>1372</v>
      </c>
      <c r="EV30" s="57" t="s">
        <v>1372</v>
      </c>
      <c r="EW30" s="57" t="s">
        <v>1372</v>
      </c>
      <c r="EX30" s="57" t="s">
        <v>1372</v>
      </c>
      <c r="EY30" s="57"/>
      <c r="EZ30" s="57"/>
      <c r="FA30" s="57"/>
      <c r="FB30" s="57" t="s">
        <v>1372</v>
      </c>
      <c r="FC30" s="57"/>
      <c r="FD30" s="57"/>
      <c r="FE30" s="57"/>
      <c r="FF30" s="57"/>
      <c r="FG30" s="57"/>
      <c r="FH30" s="57" t="s">
        <v>1372</v>
      </c>
      <c r="FI30" s="57"/>
      <c r="FJ30" s="57"/>
      <c r="FK30" s="57"/>
      <c r="FL30" s="57"/>
      <c r="FM30" s="57"/>
      <c r="FN30" s="57"/>
      <c r="FO30" s="57"/>
      <c r="FP30" s="57"/>
      <c r="FQ30" s="57"/>
      <c r="FR30" s="57" t="s">
        <v>1372</v>
      </c>
      <c r="FS30" s="57"/>
      <c r="FT30" s="57" t="s">
        <v>1768</v>
      </c>
      <c r="FU30" s="57"/>
      <c r="FV30" s="58"/>
      <c r="FW30" s="57"/>
      <c r="FX30" s="56" t="str">
        <f t="shared" ref="FX30" si="146">IFERROR(VLOOKUP(FV30,BASEPOE1,2,FALSE)," ")</f>
        <v xml:space="preserve"> </v>
      </c>
      <c r="FY30" s="57"/>
      <c r="FZ30" s="56"/>
      <c r="GA30" s="59"/>
      <c r="GB30" s="59">
        <f>+GA30+365</f>
        <v>365</v>
      </c>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8"/>
      <c r="HO30" s="57"/>
      <c r="HP30" s="56" t="str">
        <f t="shared" ref="HP30" si="147">IFERROR(VLOOKUP(HN30,BASEPOE1,2,FALSE)," ")</f>
        <v xml:space="preserve"> </v>
      </c>
      <c r="HQ30" s="57"/>
      <c r="HR30" s="56"/>
      <c r="HS30" s="59"/>
      <c r="HT30" s="59">
        <f>+HS30+365</f>
        <v>365</v>
      </c>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8"/>
      <c r="JG30" s="57"/>
      <c r="JH30" s="56" t="str">
        <f t="shared" ref="JH30" si="148">IFERROR(VLOOKUP(JF30,BASEPOE1,2,FALSE)," ")</f>
        <v xml:space="preserve"> </v>
      </c>
      <c r="JI30" s="57"/>
      <c r="JJ30" s="56"/>
      <c r="JK30" s="59"/>
      <c r="JL30" s="59">
        <f>+JK30+365</f>
        <v>365</v>
      </c>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8"/>
      <c r="KY30" s="57"/>
      <c r="KZ30" s="56" t="str">
        <f t="shared" ref="KZ30" si="149">IFERROR(VLOOKUP(KX30,BASEPOE1,2,FALSE)," ")</f>
        <v xml:space="preserve"> </v>
      </c>
      <c r="LA30" s="57"/>
      <c r="LB30" s="56"/>
      <c r="LC30" s="59"/>
      <c r="LD30" s="59">
        <f>+LC30+365</f>
        <v>365</v>
      </c>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8"/>
      <c r="MQ30" s="57"/>
      <c r="MR30" s="56" t="str">
        <f t="shared" ref="MR30" si="150">IFERROR(VLOOKUP(MP30,BASEPOE1,2,FALSE)," ")</f>
        <v xml:space="preserve"> </v>
      </c>
      <c r="MS30" s="57"/>
      <c r="MT30" s="56"/>
      <c r="MU30" s="59"/>
      <c r="MV30" s="59">
        <f>+MU30+365</f>
        <v>365</v>
      </c>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8"/>
      <c r="OI30" s="57"/>
      <c r="OJ30" s="56" t="str">
        <f t="shared" ref="OJ30" si="151">IFERROR(VLOOKUP(OH30,BASEPOE1,2,FALSE)," ")</f>
        <v xml:space="preserve"> </v>
      </c>
      <c r="OK30" s="57"/>
      <c r="OL30" s="56"/>
      <c r="OM30" s="59"/>
      <c r="ON30" s="59">
        <f>+OM30+365</f>
        <v>365</v>
      </c>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8"/>
      <c r="QA30" s="57"/>
      <c r="QB30" s="56" t="str">
        <f t="shared" ref="QB30" si="152">IFERROR(VLOOKUP(PZ30,BASEPOE1,2,FALSE)," ")</f>
        <v xml:space="preserve"> </v>
      </c>
      <c r="QC30" s="57"/>
      <c r="QD30" s="56"/>
      <c r="QE30" s="59"/>
      <c r="QF30" s="59">
        <f>+QE30+365</f>
        <v>365</v>
      </c>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8"/>
      <c r="RS30" s="57"/>
      <c r="RT30" s="56" t="str">
        <f t="shared" ref="RT30" si="153">IFERROR(VLOOKUP(RR30,BASEPOE1,2,FALSE)," ")</f>
        <v xml:space="preserve"> </v>
      </c>
      <c r="RU30" s="57"/>
      <c r="RV30" s="56"/>
      <c r="RW30" s="59"/>
      <c r="RX30" s="59">
        <f>+RW30+365</f>
        <v>365</v>
      </c>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8"/>
      <c r="TK30" s="57"/>
      <c r="TL30" s="56" t="str">
        <f t="shared" ref="TL30" si="154">IFERROR(VLOOKUP(TJ30,BASEPOE1,2,FALSE)," ")</f>
        <v xml:space="preserve"> </v>
      </c>
      <c r="TM30" s="57"/>
      <c r="TN30" s="56"/>
      <c r="TO30" s="59"/>
      <c r="TP30" s="59">
        <f>+TO30+365</f>
        <v>365</v>
      </c>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8"/>
      <c r="VC30" s="57"/>
      <c r="VD30" s="56" t="str">
        <f t="shared" ref="VD30" si="155">IFERROR(VLOOKUP(VB30,BASEPOE1,2,FALSE)," ")</f>
        <v xml:space="preserve"> </v>
      </c>
      <c r="VE30" s="57"/>
      <c r="VF30" s="56"/>
      <c r="VG30" s="59"/>
      <c r="VH30" s="59">
        <f>+VG30+365</f>
        <v>365</v>
      </c>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8"/>
      <c r="WU30" s="57"/>
      <c r="WV30" s="56" t="str">
        <f t="shared" ref="WV30" si="156">IFERROR(VLOOKUP(WT30,BASEPOE1,2,FALSE)," ")</f>
        <v xml:space="preserve"> </v>
      </c>
      <c r="WW30" s="57"/>
      <c r="WX30" s="56"/>
      <c r="WY30" s="59"/>
      <c r="WZ30" s="59">
        <f>+WY30+365</f>
        <v>365</v>
      </c>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8"/>
      <c r="YM30" s="57"/>
      <c r="YN30" s="56" t="str">
        <f t="shared" ref="YN30" si="157">IFERROR(VLOOKUP(YL30,BASEPOE1,2,FALSE)," ")</f>
        <v xml:space="preserve"> </v>
      </c>
      <c r="YO30" s="57"/>
      <c r="YP30" s="56"/>
      <c r="YQ30" s="59"/>
      <c r="YR30" s="59">
        <f>+YQ30+365</f>
        <v>365</v>
      </c>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8"/>
      <c r="AAE30" s="57"/>
      <c r="AAF30" s="56" t="str">
        <f t="shared" ref="AAF30" si="158">IFERROR(VLOOKUP(AAD30,BASEPOE1,2,FALSE)," ")</f>
        <v xml:space="preserve"> </v>
      </c>
      <c r="AAG30" s="57"/>
      <c r="AAH30" s="56"/>
      <c r="AAI30" s="59"/>
      <c r="AAJ30" s="59">
        <f>+AAI30+365</f>
        <v>365</v>
      </c>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8"/>
      <c r="ABW30" s="57"/>
      <c r="ABX30" s="56" t="str">
        <f t="shared" ref="ABX30" si="159">IFERROR(VLOOKUP(ABV30,BASEPOE1,2,FALSE)," ")</f>
        <v xml:space="preserve"> </v>
      </c>
      <c r="ABY30" s="57"/>
      <c r="ABZ30" s="56"/>
      <c r="ACA30" s="59"/>
      <c r="ACB30" s="59">
        <f>+ACA30+365</f>
        <v>365</v>
      </c>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8"/>
      <c r="ADO30" s="57"/>
      <c r="ADP30" s="56" t="str">
        <f t="shared" ref="ADP30" si="160">IFERROR(VLOOKUP(ADN30,BASEPOE1,2,FALSE)," ")</f>
        <v xml:space="preserve"> </v>
      </c>
      <c r="ADQ30" s="57"/>
      <c r="ADR30" s="56"/>
      <c r="ADS30" s="59"/>
      <c r="ADT30" s="59">
        <f>+ADS30+365</f>
        <v>365</v>
      </c>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8"/>
      <c r="AFG30" s="57"/>
      <c r="AFH30" s="56" t="str">
        <f t="shared" ref="AFH30" si="161">IFERROR(VLOOKUP(AFF30,BASEPOE1,2,FALSE)," ")</f>
        <v xml:space="preserve"> </v>
      </c>
      <c r="AFI30" s="57"/>
      <c r="AFJ30" s="56"/>
      <c r="AFK30" s="59"/>
      <c r="AFL30" s="59">
        <f>+AFK30+365</f>
        <v>365</v>
      </c>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8"/>
      <c r="AGY30" s="57"/>
      <c r="AGZ30" s="56" t="str">
        <f t="shared" ref="AGZ30" si="162">IFERROR(VLOOKUP(AGX30,BASEPOE1,2,FALSE)," ")</f>
        <v xml:space="preserve"> </v>
      </c>
      <c r="AHA30" s="57"/>
      <c r="AHB30" s="56"/>
      <c r="AHC30" s="59"/>
      <c r="AHD30" s="59">
        <f>+AHC30+365</f>
        <v>365</v>
      </c>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8"/>
      <c r="AIQ30" s="57"/>
      <c r="AIR30" s="56" t="str">
        <f t="shared" ref="AIR30" si="163">IFERROR(VLOOKUP(AIP30,BASEPOE1,2,FALSE)," ")</f>
        <v xml:space="preserve"> </v>
      </c>
      <c r="AIS30" s="57"/>
      <c r="AIT30" s="56"/>
      <c r="AIU30" s="59"/>
      <c r="AIV30" s="59">
        <f>+AIU30+365</f>
        <v>365</v>
      </c>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6"/>
      <c r="AKL30" s="57"/>
      <c r="AKM30" s="57"/>
      <c r="AKN30" s="56"/>
      <c r="AKO30" s="57"/>
      <c r="AKP30" s="58"/>
      <c r="AKQ30" s="56"/>
      <c r="AKR30" s="57"/>
      <c r="AKS30" s="57"/>
      <c r="AKT30" s="57"/>
      <c r="AKU30" s="56"/>
      <c r="AKV30" s="57"/>
      <c r="AKW30" s="57"/>
      <c r="AKX30" s="56"/>
      <c r="AKY30" s="57"/>
      <c r="AKZ30" s="58"/>
      <c r="ALA30" s="56"/>
      <c r="ALB30" s="57"/>
      <c r="ALC30" s="57"/>
      <c r="ALD30" s="57"/>
      <c r="ALE30" s="56"/>
      <c r="ALF30" s="57"/>
      <c r="ALG30" s="57"/>
      <c r="ALH30" s="57"/>
      <c r="ALI30" s="57"/>
      <c r="ALJ30" s="57"/>
      <c r="ALK30" s="56"/>
      <c r="ALL30" s="57"/>
      <c r="ALM30" s="57"/>
      <c r="ALN30" s="56"/>
      <c r="ALO30" s="57"/>
      <c r="ALP30" s="58"/>
      <c r="ALQ30" s="56"/>
      <c r="ALR30" s="57"/>
      <c r="ALS30" s="57"/>
      <c r="ALT30" s="57"/>
      <c r="ALU30" s="56"/>
      <c r="ALV30" s="57"/>
      <c r="ALW30" s="57"/>
      <c r="ALX30" s="56"/>
      <c r="ALY30" s="57"/>
      <c r="ALZ30" s="58"/>
      <c r="AMA30" s="56"/>
      <c r="AMB30" s="57"/>
      <c r="AMC30" s="57"/>
      <c r="AMD30" s="57"/>
      <c r="AME30" s="56"/>
      <c r="AMF30" s="57"/>
      <c r="AMG30" s="57"/>
      <c r="AMH30" s="57"/>
      <c r="AMI30" s="57"/>
      <c r="AMJ30" s="57"/>
      <c r="AMK30" s="56"/>
      <c r="AML30" s="57"/>
      <c r="AMM30" s="57"/>
      <c r="AMN30" s="56"/>
      <c r="AMO30" s="57"/>
      <c r="AMP30" s="58"/>
      <c r="AMQ30" s="56"/>
      <c r="AMR30" s="57"/>
      <c r="AMS30" s="57"/>
      <c r="AMT30" s="57"/>
      <c r="AMU30" s="56"/>
      <c r="AMV30" s="57"/>
      <c r="AMW30" s="57"/>
      <c r="AMX30" s="56"/>
      <c r="AMY30" s="57"/>
      <c r="AMZ30" s="58"/>
      <c r="ANA30" s="56"/>
      <c r="ANB30" s="57"/>
      <c r="ANC30" s="57"/>
      <c r="AND30" s="57"/>
      <c r="ANE30" s="56"/>
      <c r="ANF30" s="57"/>
      <c r="ANG30" s="57"/>
      <c r="ANH30" s="57"/>
      <c r="ANI30" s="57"/>
      <c r="ANJ30" s="57"/>
      <c r="ANK30" s="56"/>
      <c r="ANL30" s="57"/>
      <c r="ANM30" s="57"/>
      <c r="ANN30" s="56"/>
      <c r="ANO30" s="57"/>
      <c r="ANP30" s="58"/>
      <c r="ANQ30" s="56"/>
      <c r="ANR30" s="57"/>
      <c r="ANS30" s="57"/>
      <c r="ANT30" s="57"/>
      <c r="ANU30" s="56"/>
      <c r="ANV30" s="57"/>
      <c r="ANW30" s="57"/>
      <c r="ANX30" s="56"/>
      <c r="ANY30" s="57"/>
      <c r="ANZ30" s="58"/>
      <c r="AOA30" s="56"/>
      <c r="AOB30" s="57"/>
      <c r="AOC30" s="57"/>
      <c r="AOD30" s="57"/>
      <c r="AOE30" s="56"/>
      <c r="AOF30" s="57"/>
      <c r="AOG30" s="57"/>
      <c r="AOH30" s="57"/>
      <c r="AOI30" s="57"/>
      <c r="AOJ30" s="57"/>
      <c r="AOK30" s="56"/>
      <c r="AOL30" s="57"/>
      <c r="AOM30" s="57"/>
      <c r="AON30" s="56"/>
      <c r="AOO30" s="57"/>
      <c r="AOP30" s="58"/>
      <c r="AOQ30" s="56"/>
      <c r="AOR30" s="57"/>
      <c r="AOS30" s="57"/>
      <c r="AOT30" s="57"/>
      <c r="AOU30" s="56"/>
      <c r="AOV30" s="57"/>
      <c r="AOW30" s="57"/>
      <c r="AOX30" s="56"/>
      <c r="AOY30" s="57"/>
      <c r="AOZ30" s="58"/>
      <c r="APA30" s="56"/>
      <c r="APB30" s="57"/>
      <c r="APC30" s="57"/>
      <c r="APD30" s="57"/>
      <c r="APE30" s="56"/>
      <c r="APF30" s="57"/>
      <c r="APG30" s="57"/>
      <c r="APH30" s="57"/>
      <c r="API30" s="57"/>
      <c r="APJ30" s="57"/>
      <c r="APK30" s="56"/>
      <c r="APL30" s="57"/>
      <c r="APM30" s="57"/>
      <c r="APN30" s="56"/>
      <c r="APO30" s="57"/>
      <c r="APP30" s="58"/>
      <c r="APQ30" s="56"/>
      <c r="APR30" s="57"/>
      <c r="APS30" s="57"/>
      <c r="APT30" s="57"/>
      <c r="APU30" s="56"/>
      <c r="APV30" s="57"/>
      <c r="APW30" s="57"/>
      <c r="APX30" s="56"/>
      <c r="APY30" s="57"/>
      <c r="APZ30" s="58"/>
      <c r="AQA30" s="56"/>
      <c r="AQB30" s="57"/>
      <c r="AQC30" s="57"/>
      <c r="AQD30" s="57"/>
      <c r="AQE30" s="56"/>
      <c r="AQF30" s="57"/>
      <c r="AQG30" s="57"/>
      <c r="AQH30" s="57"/>
      <c r="AQI30" s="57"/>
      <c r="AQJ30" s="57"/>
      <c r="AQK30" s="56"/>
      <c r="AQL30" s="57"/>
      <c r="AQM30" s="57"/>
      <c r="AQN30" s="56"/>
      <c r="AQO30" s="57"/>
      <c r="AQP30" s="58"/>
      <c r="AQQ30" s="56"/>
      <c r="AQR30" s="57"/>
      <c r="AQS30" s="57"/>
      <c r="AQT30" s="57"/>
      <c r="AQU30" s="56"/>
      <c r="AQV30" s="57"/>
      <c r="AQW30" s="57"/>
      <c r="AQX30" s="56"/>
      <c r="AQY30" s="57"/>
      <c r="AQZ30" s="58"/>
      <c r="ARA30" s="56"/>
      <c r="ARB30" s="57"/>
      <c r="ARC30" s="57"/>
      <c r="ARD30" s="57"/>
      <c r="ARE30" s="56"/>
      <c r="ARF30" s="57"/>
      <c r="ARG30" s="57"/>
      <c r="ARH30" s="57"/>
      <c r="ARI30" s="57"/>
      <c r="ARJ30" s="57"/>
      <c r="ARK30" s="56"/>
      <c r="ARL30" s="57"/>
      <c r="ARM30" s="57"/>
      <c r="ARN30" s="56"/>
      <c r="ARO30" s="57"/>
      <c r="ARP30" s="58"/>
      <c r="ARQ30" s="56"/>
      <c r="ARR30" s="57"/>
      <c r="ARS30" s="57"/>
      <c r="ART30" s="57"/>
      <c r="ARU30" s="56"/>
      <c r="ARV30" s="57"/>
      <c r="ARW30" s="57"/>
      <c r="ARX30" s="56"/>
      <c r="ARY30" s="57"/>
      <c r="ARZ30" s="58"/>
      <c r="ASA30" s="56"/>
      <c r="ASB30" s="57"/>
      <c r="ASC30" s="57"/>
      <c r="ASD30" s="57"/>
      <c r="ASE30" s="56"/>
      <c r="ASF30" s="57"/>
      <c r="ASG30" s="57"/>
      <c r="ASH30" s="57"/>
      <c r="ASI30" s="57"/>
      <c r="ASJ30" s="57"/>
      <c r="ASK30" s="56"/>
      <c r="ASL30" s="57"/>
      <c r="ASM30" s="57"/>
      <c r="ASN30" s="56"/>
      <c r="ASO30" s="57"/>
      <c r="ASP30" s="58"/>
      <c r="ASQ30" s="56"/>
      <c r="ASR30" s="57"/>
      <c r="ASS30" s="57"/>
      <c r="AST30" s="57"/>
      <c r="ASU30" s="56"/>
      <c r="ASV30" s="57"/>
      <c r="ASW30" s="57"/>
      <c r="ASX30" s="56"/>
      <c r="ASY30" s="57"/>
      <c r="ASZ30" s="58"/>
      <c r="ATA30" s="56"/>
      <c r="ATB30" s="57"/>
      <c r="ATC30" s="57"/>
      <c r="ATD30" s="57"/>
      <c r="ATE30" s="56"/>
      <c r="ATF30" s="57"/>
      <c r="ATG30" s="57"/>
      <c r="ATH30" s="57"/>
      <c r="ATI30" s="57"/>
      <c r="ATJ30" s="57"/>
      <c r="ATK30" s="56"/>
      <c r="ATL30" s="57"/>
      <c r="ATM30" s="57"/>
      <c r="ATN30" s="56"/>
      <c r="ATO30" s="57"/>
      <c r="ATP30" s="58"/>
      <c r="ATQ30" s="56"/>
      <c r="ATR30" s="57"/>
      <c r="ATS30" s="57"/>
      <c r="ATT30" s="57"/>
      <c r="ATU30" s="56"/>
      <c r="ATV30" s="57"/>
      <c r="ATW30" s="57"/>
      <c r="ATX30" s="56"/>
      <c r="ATY30" s="57"/>
      <c r="ATZ30" s="58"/>
      <c r="AUA30" s="56"/>
      <c r="AUB30" s="57"/>
      <c r="AUC30" s="57"/>
      <c r="AUD30" s="57"/>
      <c r="AUE30" s="56"/>
      <c r="AUF30" s="57"/>
      <c r="AUG30" s="57"/>
      <c r="AUH30" s="57"/>
      <c r="AUI30" s="57"/>
      <c r="AUJ30" s="57"/>
      <c r="AUK30" s="56"/>
      <c r="AUL30" s="57"/>
      <c r="AUM30" s="57"/>
      <c r="AUN30" s="56"/>
      <c r="AUO30" s="57"/>
      <c r="AUP30" s="58"/>
      <c r="AUQ30" s="56"/>
      <c r="AUR30" s="57"/>
      <c r="AUS30" s="57"/>
      <c r="AUT30" s="57"/>
      <c r="AUU30" s="56"/>
      <c r="AUV30" s="57"/>
      <c r="AUW30" s="57"/>
      <c r="AUX30" s="56"/>
      <c r="AUY30" s="57"/>
      <c r="AUZ30" s="58"/>
      <c r="AVA30" s="56"/>
      <c r="AVB30" s="57"/>
      <c r="AVC30" s="57"/>
      <c r="AVD30" s="57"/>
      <c r="AVE30" s="56"/>
      <c r="AVF30" s="57"/>
      <c r="AVG30" s="57"/>
      <c r="AVH30" s="57"/>
      <c r="AVI30" s="57"/>
      <c r="AVJ30" s="57"/>
      <c r="AVK30" s="56"/>
      <c r="AVL30" s="57"/>
      <c r="AVM30" s="57"/>
      <c r="AVN30" s="56"/>
      <c r="AVO30" s="57"/>
      <c r="AVP30" s="58"/>
      <c r="AVQ30" s="56"/>
      <c r="AVR30" s="57"/>
      <c r="AVS30" s="57"/>
      <c r="AVT30" s="57"/>
      <c r="AVU30" s="56"/>
      <c r="AVV30" s="57"/>
      <c r="AVW30" s="57"/>
      <c r="AVX30" s="56"/>
      <c r="AVY30" s="57"/>
      <c r="AVZ30" s="58"/>
      <c r="AWA30" s="56"/>
      <c r="AWB30" s="57"/>
      <c r="AWC30" s="57"/>
      <c r="AWD30" s="57"/>
      <c r="AWE30" s="56"/>
      <c r="AWF30" s="57"/>
      <c r="AWG30" s="57"/>
      <c r="AWH30" s="57"/>
      <c r="AWI30" s="57"/>
      <c r="AWJ30" s="57"/>
      <c r="AWK30" s="56"/>
      <c r="AWL30" s="57"/>
      <c r="AWM30" s="57"/>
      <c r="AWN30" s="56"/>
      <c r="AWO30" s="57"/>
      <c r="AWP30" s="58"/>
      <c r="AWQ30" s="56"/>
      <c r="AWR30" s="57"/>
      <c r="AWS30" s="57"/>
      <c r="AWT30" s="57"/>
      <c r="AWU30" s="56"/>
      <c r="AWV30" s="57"/>
      <c r="AWW30" s="57"/>
      <c r="AWX30" s="56"/>
      <c r="AWY30" s="57"/>
      <c r="AWZ30" s="58"/>
      <c r="AXA30" s="56"/>
      <c r="AXB30" s="57"/>
      <c r="AXC30" s="57"/>
      <c r="AXD30" s="57"/>
      <c r="AXE30" s="56"/>
      <c r="AXF30" s="57"/>
      <c r="AXG30" s="57"/>
      <c r="AXH30" s="57"/>
      <c r="AXI30" s="57"/>
      <c r="AXJ30" s="57"/>
      <c r="AXK30" s="56"/>
      <c r="AXL30" s="57"/>
      <c r="AXM30" s="57"/>
      <c r="AXN30" s="56"/>
      <c r="AXO30" s="57"/>
      <c r="AXP30" s="58"/>
      <c r="AXQ30" s="56"/>
      <c r="AXR30" s="57"/>
      <c r="AXS30" s="57"/>
      <c r="AXT30" s="57"/>
      <c r="AXU30" s="56"/>
      <c r="AXV30" s="57"/>
      <c r="AXW30" s="57"/>
      <c r="AXX30" s="56"/>
      <c r="AXY30" s="57"/>
      <c r="AXZ30" s="58"/>
      <c r="AYA30" s="56"/>
      <c r="AYB30" s="57"/>
      <c r="AYC30" s="57"/>
      <c r="AYD30" s="57"/>
      <c r="AYE30" s="56"/>
      <c r="AYF30" s="57"/>
      <c r="AYG30" s="57"/>
      <c r="AYH30" s="57"/>
      <c r="AYI30" s="57"/>
      <c r="AYJ30" s="57"/>
      <c r="AYK30" s="56"/>
      <c r="AYL30" s="57"/>
      <c r="AYM30" s="57"/>
      <c r="AYN30" s="56"/>
      <c r="AYO30" s="57"/>
      <c r="AYP30" s="58"/>
      <c r="AYQ30" s="56"/>
      <c r="AYR30" s="57"/>
      <c r="AYS30" s="57"/>
      <c r="AYT30" s="57"/>
      <c r="AYU30" s="56"/>
      <c r="AYV30" s="57"/>
      <c r="AYW30" s="57"/>
      <c r="AYX30" s="56"/>
      <c r="AYY30" s="57"/>
      <c r="AYZ30" s="58"/>
      <c r="AZA30" s="56"/>
      <c r="AZB30" s="57"/>
      <c r="AZC30" s="57"/>
      <c r="AZD30" s="57"/>
      <c r="AZE30" s="56"/>
      <c r="AZF30" s="57"/>
      <c r="AZG30" s="57"/>
      <c r="AZH30" s="57"/>
      <c r="AZI30" s="57"/>
      <c r="AZJ30" s="57"/>
      <c r="AZK30" s="56"/>
      <c r="AZL30" s="57"/>
      <c r="AZM30" s="57"/>
      <c r="AZN30" s="56"/>
      <c r="AZO30" s="57"/>
      <c r="AZP30" s="58"/>
      <c r="AZQ30" s="56"/>
      <c r="AZR30" s="57"/>
      <c r="AZS30" s="57"/>
      <c r="AZT30" s="57"/>
      <c r="AZU30" s="56"/>
      <c r="AZV30" s="57"/>
      <c r="AZW30" s="57"/>
      <c r="AZX30" s="56"/>
      <c r="AZY30" s="57"/>
      <c r="AZZ30" s="58"/>
      <c r="BAA30" s="56"/>
      <c r="BAB30" s="57"/>
      <c r="BAC30" s="57"/>
      <c r="BAD30" s="57"/>
      <c r="BAE30" s="56"/>
      <c r="BAF30" s="57"/>
      <c r="BAG30" s="57"/>
      <c r="BAH30" s="57"/>
      <c r="BAI30" s="57"/>
      <c r="BAJ30" s="57"/>
      <c r="BAK30" s="56"/>
      <c r="BAL30" s="57"/>
      <c r="BAM30" s="57"/>
      <c r="BAN30" s="56"/>
      <c r="BAO30" s="57"/>
      <c r="BAP30" s="58"/>
      <c r="BAQ30" s="56"/>
      <c r="BAR30" s="57"/>
      <c r="BAS30" s="57"/>
      <c r="BAT30" s="57"/>
      <c r="BAU30" s="56"/>
      <c r="BAV30" s="57"/>
      <c r="BAW30" s="57"/>
      <c r="BAX30" s="56"/>
      <c r="BAY30" s="57"/>
      <c r="BAZ30" s="58"/>
      <c r="BBA30" s="56"/>
      <c r="BBB30" s="57"/>
      <c r="BBC30" s="57"/>
      <c r="BBD30" s="57"/>
      <c r="BBE30" s="56"/>
      <c r="BBF30" s="57"/>
      <c r="BBG30" s="57"/>
      <c r="BBH30" s="57"/>
      <c r="BBI30" s="57"/>
      <c r="BBJ30" s="57"/>
      <c r="BBK30" s="56"/>
      <c r="BBL30" s="57"/>
      <c r="BBM30" s="57"/>
      <c r="BBN30" s="56"/>
      <c r="BBO30" s="57"/>
      <c r="BBP30" s="58"/>
      <c r="BBQ30" s="56"/>
      <c r="BBR30" s="57"/>
      <c r="BBS30" s="57"/>
      <c r="BBT30" s="57"/>
      <c r="BBU30" s="56"/>
      <c r="BBV30" s="57"/>
      <c r="BBW30" s="57"/>
      <c r="BBX30" s="56"/>
      <c r="BBY30" s="57"/>
      <c r="BBZ30" s="58"/>
      <c r="BCA30" s="56"/>
      <c r="BCB30" s="57"/>
      <c r="BCC30" s="57"/>
      <c r="BCD30" s="57"/>
      <c r="BCE30" s="56"/>
      <c r="BCF30" s="57"/>
      <c r="BCG30" s="57"/>
      <c r="BCH30" s="57"/>
      <c r="BCI30" s="57"/>
      <c r="BCJ30" s="57"/>
      <c r="BCK30" s="56"/>
      <c r="BCL30" s="57"/>
      <c r="BCM30" s="57"/>
      <c r="BCN30" s="56"/>
      <c r="BCO30" s="57"/>
      <c r="BCP30" s="58"/>
      <c r="BCQ30" s="56"/>
      <c r="BCR30" s="57"/>
      <c r="BCS30" s="57"/>
      <c r="BCT30" s="57"/>
      <c r="BCU30" s="56"/>
      <c r="BCV30" s="57"/>
      <c r="BCW30" s="57"/>
      <c r="BCX30" s="56"/>
      <c r="BCY30" s="57"/>
      <c r="BCZ30" s="58"/>
      <c r="BDA30" s="56"/>
      <c r="BDB30" s="57"/>
      <c r="BDC30" s="57"/>
      <c r="BDD30" s="57"/>
      <c r="BDE30" s="56"/>
      <c r="BDF30" s="57"/>
      <c r="BDG30" s="57"/>
      <c r="BDH30" s="57"/>
      <c r="BDI30" s="57"/>
      <c r="BDJ30" s="57"/>
      <c r="BDK30" s="56"/>
      <c r="BDL30" s="57"/>
      <c r="BDM30" s="57"/>
      <c r="BDN30" s="56"/>
      <c r="BDO30" s="57"/>
      <c r="BDP30" s="58"/>
      <c r="BDQ30" s="56"/>
      <c r="BDR30" s="57"/>
      <c r="BDS30" s="57"/>
      <c r="BDT30" s="57"/>
      <c r="BDU30" s="56"/>
      <c r="BDV30" s="57"/>
      <c r="BDW30" s="57"/>
      <c r="BDX30" s="56"/>
      <c r="BDY30" s="57"/>
      <c r="BDZ30" s="58"/>
      <c r="BEA30" s="56"/>
      <c r="BEB30" s="57"/>
      <c r="BEC30" s="57"/>
      <c r="BED30" s="57"/>
      <c r="BEE30" s="56"/>
      <c r="BEF30" s="57"/>
      <c r="BEG30" s="57"/>
      <c r="BEH30" s="57"/>
      <c r="BEI30" s="57"/>
      <c r="BEJ30" s="57"/>
      <c r="BEK30" s="56"/>
      <c r="BEL30" s="57"/>
      <c r="BEM30" s="57"/>
      <c r="BEN30" s="56"/>
      <c r="BEO30" s="57"/>
      <c r="BEP30" s="58"/>
      <c r="BEQ30" s="56"/>
      <c r="BER30" s="57"/>
      <c r="BES30" s="57"/>
      <c r="BET30" s="57"/>
      <c r="BEU30" s="56"/>
      <c r="BEV30" s="57"/>
      <c r="BEW30" s="57"/>
      <c r="BEX30" s="56"/>
      <c r="BEY30" s="57"/>
      <c r="BEZ30" s="58"/>
      <c r="BFA30" s="56"/>
      <c r="BFB30" s="57"/>
      <c r="BFC30" s="57"/>
      <c r="BFD30" s="57"/>
      <c r="BFE30" s="56"/>
      <c r="BFF30" s="57"/>
      <c r="BFG30" s="57"/>
      <c r="BFH30" s="57"/>
      <c r="BFI30" s="57"/>
      <c r="BFJ30" s="57"/>
      <c r="BFK30" s="56"/>
      <c r="BFL30" s="57"/>
      <c r="BFM30" s="57"/>
      <c r="BFN30" s="56"/>
      <c r="BFO30" s="57"/>
      <c r="BFP30" s="58"/>
      <c r="BFQ30" s="56"/>
      <c r="BFR30" s="57"/>
      <c r="BFS30" s="57"/>
      <c r="BFT30" s="57"/>
      <c r="BFU30" s="56"/>
      <c r="BFV30" s="57"/>
      <c r="BFW30" s="57"/>
      <c r="BFX30" s="56"/>
      <c r="BFY30" s="57"/>
      <c r="BFZ30" s="58"/>
      <c r="BGA30" s="56"/>
      <c r="BGB30" s="57"/>
      <c r="BGC30" s="57"/>
      <c r="BGD30" s="57"/>
      <c r="BGE30" s="56"/>
      <c r="BGF30" s="57"/>
      <c r="BGG30" s="57"/>
      <c r="BGH30" s="57"/>
      <c r="BGI30" s="57"/>
      <c r="BGJ30" s="57"/>
      <c r="BGK30" s="56"/>
      <c r="BGL30" s="57"/>
      <c r="BGM30" s="57"/>
      <c r="BGN30" s="56"/>
      <c r="BGO30" s="57"/>
      <c r="BGP30" s="58"/>
      <c r="BGQ30" s="56"/>
      <c r="BGR30" s="57"/>
      <c r="BGS30" s="57"/>
      <c r="BGT30" s="57"/>
      <c r="BGU30" s="56"/>
      <c r="BGV30" s="57"/>
      <c r="BGW30" s="57"/>
      <c r="BGX30" s="56"/>
      <c r="BGY30" s="57"/>
      <c r="BGZ30" s="58"/>
      <c r="BHA30" s="56"/>
      <c r="BHB30" s="57"/>
      <c r="BHC30" s="57"/>
      <c r="BHD30" s="57"/>
      <c r="BHE30" s="56"/>
      <c r="BHF30" s="57"/>
      <c r="BHG30" s="57"/>
      <c r="BHH30" s="57"/>
      <c r="BHI30" s="57"/>
      <c r="BHJ30" s="57"/>
      <c r="BHK30" s="56"/>
      <c r="BHL30" s="57"/>
      <c r="BHM30" s="57"/>
      <c r="BHN30" s="56"/>
      <c r="BHO30" s="57"/>
      <c r="BHP30" s="58"/>
      <c r="BHQ30" s="56"/>
      <c r="BHR30" s="57"/>
      <c r="BHS30" s="57"/>
      <c r="BHT30" s="57"/>
      <c r="BHU30" s="56"/>
      <c r="BHV30" s="57"/>
      <c r="BHW30" s="57"/>
      <c r="BHX30" s="56"/>
      <c r="BHY30" s="57"/>
      <c r="BHZ30" s="58"/>
      <c r="BIA30" s="56"/>
      <c r="BIB30" s="57"/>
      <c r="BIC30" s="57"/>
      <c r="BID30" s="57"/>
      <c r="BIE30" s="56"/>
      <c r="BIF30" s="57"/>
      <c r="BIG30" s="57"/>
      <c r="BIH30" s="57"/>
      <c r="BII30" s="57"/>
      <c r="BIJ30" s="57"/>
      <c r="BIK30" s="56"/>
      <c r="BIL30" s="57"/>
      <c r="BIM30" s="57"/>
      <c r="BIN30" s="56"/>
      <c r="BIO30" s="57"/>
      <c r="BIP30" s="58"/>
      <c r="BIQ30" s="56"/>
      <c r="BIR30" s="57"/>
      <c r="BIS30" s="57"/>
      <c r="BIT30" s="57"/>
      <c r="BIU30" s="56"/>
      <c r="BIV30" s="57"/>
      <c r="BIW30" s="57"/>
      <c r="BIX30" s="56"/>
      <c r="BIY30" s="57"/>
      <c r="BIZ30" s="58"/>
      <c r="BJA30" s="56"/>
      <c r="BJB30" s="57"/>
      <c r="BJC30" s="57"/>
      <c r="BJD30" s="57"/>
      <c r="BJE30" s="56"/>
      <c r="BJF30" s="57"/>
      <c r="BJG30" s="57"/>
      <c r="BJH30" s="57"/>
      <c r="BJI30" s="57"/>
      <c r="BJJ30" s="57"/>
      <c r="BJK30" s="56"/>
      <c r="BJL30" s="57"/>
      <c r="BJM30" s="57"/>
      <c r="BJN30" s="56"/>
      <c r="BJO30" s="57"/>
      <c r="BJP30" s="58"/>
      <c r="BJQ30" s="56"/>
      <c r="BJR30" s="57"/>
      <c r="BJS30" s="57"/>
      <c r="BJT30" s="57"/>
      <c r="BJU30" s="56"/>
      <c r="BJV30" s="57"/>
      <c r="BJW30" s="57"/>
      <c r="BJX30" s="56"/>
      <c r="BJY30" s="57"/>
      <c r="BJZ30" s="58"/>
      <c r="BKA30" s="56"/>
      <c r="BKB30" s="57"/>
      <c r="BKC30" s="57"/>
      <c r="BKD30" s="57"/>
      <c r="BKE30" s="56"/>
      <c r="BKF30" s="57"/>
      <c r="BKG30" s="57"/>
      <c r="BKH30" s="57"/>
      <c r="BKI30" s="57"/>
      <c r="BKJ30" s="57"/>
      <c r="BKK30" s="56"/>
      <c r="BKL30" s="57"/>
      <c r="BKM30" s="57"/>
      <c r="BKN30" s="56"/>
      <c r="BKO30" s="57"/>
      <c r="BKP30" s="58"/>
      <c r="BKQ30" s="56"/>
      <c r="BKR30" s="57"/>
      <c r="BKS30" s="57"/>
      <c r="BKT30" s="57"/>
      <c r="BKU30" s="56"/>
      <c r="BKV30" s="57"/>
      <c r="BKW30" s="57"/>
      <c r="BKX30" s="56"/>
      <c r="BKY30" s="57"/>
      <c r="BKZ30" s="58"/>
      <c r="BLA30" s="56"/>
      <c r="BLB30" s="57"/>
      <c r="BLC30" s="57"/>
      <c r="BLD30" s="57"/>
      <c r="BLE30" s="56"/>
      <c r="BLF30" s="57"/>
      <c r="BLG30" s="57"/>
      <c r="BLH30" s="57"/>
      <c r="BLI30" s="57"/>
      <c r="BLJ30" s="57"/>
      <c r="BLK30" s="56"/>
      <c r="BLL30" s="57"/>
      <c r="BLM30" s="57"/>
      <c r="BLN30" s="56"/>
      <c r="BLO30" s="57"/>
      <c r="BLP30" s="58"/>
      <c r="BLQ30" s="56"/>
      <c r="BLR30" s="57"/>
      <c r="BLS30" s="57"/>
      <c r="BLT30" s="57"/>
      <c r="BLU30" s="56"/>
      <c r="BLV30" s="57"/>
      <c r="BLW30" s="57"/>
      <c r="BLX30" s="56"/>
      <c r="BLY30" s="57"/>
      <c r="BLZ30" s="58"/>
      <c r="BMA30" s="56"/>
      <c r="BMB30" s="57"/>
      <c r="BMC30" s="57"/>
      <c r="BMD30" s="57"/>
      <c r="BME30" s="56"/>
      <c r="BMF30" s="57"/>
      <c r="BMG30" s="57"/>
      <c r="BMH30" s="57"/>
      <c r="BMI30" s="57"/>
      <c r="BMJ30" s="57"/>
      <c r="BMK30" s="56"/>
      <c r="BML30" s="57"/>
      <c r="BMM30" s="57"/>
      <c r="BMN30" s="56"/>
      <c r="BMO30" s="57"/>
      <c r="BMP30" s="58"/>
      <c r="BMQ30" s="56"/>
      <c r="BMR30" s="57"/>
      <c r="BMS30" s="57"/>
      <c r="BMT30" s="57"/>
      <c r="BMU30" s="56"/>
      <c r="BMV30" s="57"/>
      <c r="BMW30" s="57"/>
      <c r="BMX30" s="56"/>
      <c r="BMY30" s="57"/>
      <c r="BMZ30" s="58"/>
      <c r="BNA30" s="56"/>
      <c r="BNB30" s="57"/>
      <c r="BNC30" s="57"/>
      <c r="BND30" s="57"/>
      <c r="BNE30" s="56"/>
      <c r="BNF30" s="57"/>
      <c r="BNG30" s="57"/>
      <c r="BNH30" s="57"/>
      <c r="BNI30" s="57"/>
      <c r="BNJ30" s="57"/>
      <c r="BNK30" s="56"/>
      <c r="BNL30" s="57"/>
      <c r="BNM30" s="57"/>
      <c r="BNN30" s="56"/>
      <c r="BNO30" s="57"/>
      <c r="BNP30" s="58"/>
      <c r="BNQ30" s="56"/>
      <c r="BNR30" s="57"/>
      <c r="BNS30" s="57"/>
      <c r="BNT30" s="57"/>
      <c r="BNU30" s="56"/>
      <c r="BNV30" s="57"/>
      <c r="BNW30" s="57"/>
      <c r="BNX30" s="56"/>
      <c r="BNY30" s="57"/>
      <c r="BNZ30" s="58"/>
      <c r="BOA30" s="56"/>
      <c r="BOB30" s="57"/>
      <c r="BOC30" s="57"/>
      <c r="BOD30" s="57"/>
      <c r="BOE30" s="56"/>
      <c r="BOF30" s="57"/>
      <c r="BOG30" s="57"/>
      <c r="BOH30" s="57"/>
      <c r="BOI30" s="57"/>
      <c r="BOJ30" s="57"/>
      <c r="BOK30" s="56"/>
      <c r="BOL30" s="57"/>
      <c r="BOM30" s="57"/>
      <c r="BON30" s="56"/>
      <c r="BOO30" s="57"/>
      <c r="BOP30" s="58"/>
      <c r="BOQ30" s="56"/>
      <c r="BOR30" s="57"/>
      <c r="BOS30" s="57"/>
      <c r="BOT30" s="57"/>
      <c r="BOU30" s="56"/>
      <c r="BOV30" s="57"/>
      <c r="BOW30" s="57"/>
      <c r="BOX30" s="56"/>
      <c r="BOY30" s="57"/>
      <c r="BOZ30" s="58"/>
      <c r="BPA30" s="56"/>
      <c r="BPB30" s="57"/>
      <c r="BPC30" s="57"/>
      <c r="BPD30" s="57"/>
      <c r="BPE30" s="56"/>
      <c r="BPF30" s="57"/>
      <c r="BPG30" s="57"/>
      <c r="BPH30" s="57"/>
      <c r="BPI30" s="57"/>
      <c r="BPJ30" s="57"/>
      <c r="BPK30" s="56"/>
      <c r="BPL30" s="57"/>
      <c r="BPM30" s="57"/>
      <c r="BPN30" s="56"/>
      <c r="BPO30" s="57"/>
      <c r="BPP30" s="58"/>
      <c r="BPQ30" s="56"/>
      <c r="BPR30" s="57"/>
      <c r="BPS30" s="57"/>
      <c r="BPT30" s="57"/>
      <c r="BPU30" s="56"/>
      <c r="BPV30" s="57"/>
      <c r="BPW30" s="57"/>
      <c r="BPX30" s="56"/>
      <c r="BPY30" s="57"/>
      <c r="BPZ30" s="58"/>
      <c r="BQA30" s="56"/>
      <c r="BQB30" s="57"/>
      <c r="BQC30" s="57"/>
      <c r="BQD30" s="57"/>
      <c r="BQE30" s="56"/>
      <c r="BQF30" s="57"/>
      <c r="BQG30" s="57"/>
      <c r="BQH30" s="57"/>
      <c r="BQI30" s="57"/>
      <c r="BQJ30" s="57"/>
      <c r="BQK30" s="56"/>
      <c r="BQL30" s="57"/>
      <c r="BQM30" s="57"/>
      <c r="BQN30" s="56"/>
      <c r="BQO30" s="57"/>
      <c r="BQP30" s="58"/>
      <c r="BQQ30" s="56"/>
      <c r="BQR30" s="57"/>
      <c r="BQS30" s="57"/>
      <c r="BQT30" s="57"/>
      <c r="BQU30" s="56"/>
      <c r="BQV30" s="57"/>
      <c r="BQW30" s="57"/>
      <c r="BQX30" s="56"/>
      <c r="BQY30" s="57"/>
      <c r="BQZ30" s="58"/>
      <c r="BRA30" s="56"/>
      <c r="BRB30" s="57"/>
      <c r="BRC30" s="57"/>
      <c r="BRD30" s="57"/>
      <c r="BRE30" s="56"/>
      <c r="BRF30" s="57"/>
      <c r="BRG30" s="57"/>
      <c r="BRH30" s="57"/>
      <c r="BRI30" s="57"/>
      <c r="BRJ30" s="57"/>
      <c r="BRK30" s="56"/>
      <c r="BRL30" s="57"/>
      <c r="BRM30" s="57"/>
      <c r="BRN30" s="56"/>
      <c r="BRO30" s="57"/>
      <c r="BRP30" s="58"/>
      <c r="BRQ30" s="56"/>
      <c r="BRR30" s="57"/>
      <c r="BRS30" s="57"/>
      <c r="BRT30" s="57"/>
      <c r="BRU30" s="56"/>
      <c r="BRV30" s="57"/>
      <c r="BRW30" s="57"/>
      <c r="BRX30" s="56"/>
      <c r="BRY30" s="57"/>
      <c r="BRZ30" s="58"/>
      <c r="BSA30" s="56"/>
      <c r="BSB30" s="57"/>
      <c r="BSC30" s="57"/>
      <c r="BSD30" s="57"/>
      <c r="BSE30" s="56"/>
      <c r="BSF30" s="57"/>
      <c r="BSG30" s="57"/>
      <c r="BSH30" s="57"/>
      <c r="BSI30" s="57"/>
      <c r="BSJ30" s="57"/>
      <c r="BSK30" s="56"/>
      <c r="BSL30" s="57"/>
      <c r="BSM30" s="57"/>
      <c r="BSN30" s="56"/>
      <c r="BSO30" s="57"/>
      <c r="BSP30" s="58"/>
      <c r="BSQ30" s="56"/>
      <c r="BSR30" s="57"/>
      <c r="BSS30" s="57"/>
      <c r="BST30" s="57"/>
      <c r="BSU30" s="56"/>
      <c r="BSV30" s="57"/>
      <c r="BSW30" s="57"/>
      <c r="BSX30" s="56"/>
      <c r="BSY30" s="57"/>
      <c r="BSZ30" s="58"/>
      <c r="BTA30" s="56"/>
      <c r="BTB30" s="57"/>
      <c r="BTC30" s="57"/>
      <c r="BTD30" s="57"/>
      <c r="BTE30" s="56"/>
      <c r="BTF30" s="57"/>
      <c r="BTG30" s="57"/>
      <c r="BTH30" s="57"/>
      <c r="BTI30" s="57"/>
      <c r="BTJ30" s="57"/>
      <c r="BTK30" s="56"/>
      <c r="BTL30" s="57"/>
      <c r="BTM30" s="57"/>
      <c r="BTN30" s="56"/>
      <c r="BTO30" s="57"/>
      <c r="BTP30" s="58"/>
      <c r="BTQ30" s="56"/>
      <c r="BTR30" s="57"/>
      <c r="BTS30" s="57"/>
      <c r="BTT30" s="57"/>
      <c r="BTU30" s="56"/>
      <c r="BTV30" s="57"/>
      <c r="BTW30" s="57"/>
      <c r="BTX30" s="56"/>
      <c r="BTY30" s="57"/>
      <c r="BTZ30" s="58"/>
      <c r="BUA30" s="56"/>
      <c r="BUB30" s="57"/>
      <c r="BUC30" s="57"/>
      <c r="BUD30" s="57"/>
      <c r="BUE30" s="56"/>
      <c r="BUF30" s="57"/>
      <c r="BUG30" s="57"/>
      <c r="BUH30" s="57"/>
      <c r="BUI30" s="57"/>
      <c r="BUJ30" s="57"/>
      <c r="BUK30" s="56"/>
      <c r="BUL30" s="57"/>
      <c r="BUM30" s="57"/>
      <c r="BUN30" s="56"/>
      <c r="BUO30" s="57"/>
      <c r="BUP30" s="58"/>
      <c r="BUQ30" s="56"/>
      <c r="BUR30" s="57"/>
      <c r="BUS30" s="57"/>
      <c r="BUT30" s="57"/>
      <c r="BUU30" s="56"/>
      <c r="BUV30" s="57"/>
      <c r="BUW30" s="57"/>
      <c r="BUX30" s="56"/>
      <c r="BUY30" s="57"/>
      <c r="BUZ30" s="58"/>
      <c r="BVA30" s="56"/>
      <c r="BVB30" s="57"/>
      <c r="BVC30" s="57"/>
      <c r="BVD30" s="57"/>
      <c r="BVE30" s="56"/>
      <c r="BVF30" s="57"/>
      <c r="BVG30" s="57"/>
      <c r="BVH30" s="57"/>
      <c r="BVI30" s="57"/>
      <c r="BVJ30" s="57"/>
      <c r="BVK30" s="56"/>
      <c r="BVL30" s="57"/>
      <c r="BVM30" s="57"/>
      <c r="BVN30" s="56"/>
      <c r="BVO30" s="57"/>
      <c r="BVP30" s="58"/>
      <c r="BVQ30" s="56"/>
      <c r="BVR30" s="57"/>
      <c r="BVS30" s="57"/>
      <c r="BVT30" s="57"/>
      <c r="BVU30" s="56"/>
      <c r="BVV30" s="57"/>
      <c r="BVW30" s="57"/>
      <c r="BVX30" s="56"/>
      <c r="BVY30" s="57"/>
      <c r="BVZ30" s="58"/>
      <c r="BWA30" s="56"/>
      <c r="BWB30" s="57"/>
      <c r="BWC30" s="57"/>
      <c r="BWD30" s="57"/>
      <c r="BWE30" s="56"/>
      <c r="BWF30" s="57"/>
      <c r="BWG30" s="57"/>
      <c r="BWH30" s="57"/>
      <c r="BWI30" s="57"/>
      <c r="BWJ30" s="57"/>
      <c r="BWK30" s="56"/>
      <c r="BWL30" s="57"/>
      <c r="BWM30" s="57"/>
      <c r="BWN30" s="56"/>
      <c r="BWO30" s="57"/>
      <c r="BWP30" s="58"/>
      <c r="BWQ30" s="56"/>
      <c r="BWR30" s="57"/>
      <c r="BWS30" s="57"/>
      <c r="BWT30" s="57"/>
      <c r="BWU30" s="56"/>
      <c r="BWV30" s="57"/>
      <c r="BWW30" s="57"/>
      <c r="BWX30" s="56"/>
      <c r="BWY30" s="57"/>
      <c r="BWZ30" s="58"/>
      <c r="BXA30" s="56"/>
      <c r="BXB30" s="57"/>
      <c r="BXC30" s="57"/>
      <c r="BXD30" s="57"/>
      <c r="BXE30" s="56"/>
      <c r="BXF30" s="57"/>
      <c r="BXG30" s="57"/>
      <c r="BXH30" s="57"/>
      <c r="BXI30" s="57"/>
      <c r="BXJ30" s="57"/>
      <c r="BXK30" s="56"/>
      <c r="BXL30" s="57"/>
      <c r="BXM30" s="57"/>
      <c r="BXN30" s="56"/>
      <c r="BXO30" s="57"/>
      <c r="BXP30" s="58"/>
      <c r="BXQ30" s="56"/>
      <c r="BXR30" s="57"/>
      <c r="BXS30" s="57"/>
      <c r="BXT30" s="57"/>
      <c r="BXU30" s="56"/>
      <c r="BXV30" s="57"/>
      <c r="BXW30" s="57"/>
      <c r="BXX30" s="56"/>
      <c r="BXY30" s="57"/>
      <c r="BXZ30" s="58"/>
      <c r="BYA30" s="56"/>
      <c r="BYB30" s="57"/>
      <c r="BYC30" s="57"/>
      <c r="BYD30" s="57"/>
      <c r="BYE30" s="56"/>
      <c r="BYF30" s="57"/>
      <c r="BYG30" s="57"/>
      <c r="BYH30" s="57"/>
      <c r="BYI30" s="57"/>
      <c r="BYJ30" s="57"/>
      <c r="BYK30" s="56"/>
      <c r="BYL30" s="57"/>
      <c r="BYM30" s="57"/>
      <c r="BYN30" s="56"/>
      <c r="BYO30" s="57"/>
      <c r="BYP30" s="58"/>
      <c r="BYQ30" s="56"/>
      <c r="BYR30" s="57"/>
      <c r="BYS30" s="57"/>
      <c r="BYT30" s="57"/>
      <c r="BYU30" s="56"/>
      <c r="BYV30" s="57"/>
      <c r="BYW30" s="57"/>
      <c r="BYX30" s="58"/>
      <c r="BYY30" s="57"/>
      <c r="BYZ30" s="56"/>
      <c r="BZA30" s="57"/>
      <c r="BZB30" s="56"/>
      <c r="BZC30" s="56"/>
      <c r="BZD30" s="56"/>
      <c r="BZE30" s="57"/>
      <c r="BZF30" s="387"/>
      <c r="BZG30" s="57"/>
      <c r="BZH30" s="387"/>
      <c r="BZI30" s="57"/>
      <c r="BZJ30" s="387"/>
      <c r="BZK30" s="57"/>
      <c r="BZL30" s="57"/>
      <c r="BZM30" s="57"/>
      <c r="BZN30" s="57"/>
      <c r="BZO30" s="57"/>
      <c r="BZP30" s="57"/>
      <c r="BZQ30" s="57"/>
      <c r="BZR30" s="57"/>
      <c r="BZS30" s="57"/>
      <c r="BZT30" s="57"/>
      <c r="BZU30" s="57"/>
      <c r="BZV30" s="57"/>
      <c r="BZW30" s="57"/>
      <c r="BZX30" s="57"/>
      <c r="BZY30" s="57"/>
      <c r="BZZ30" s="57"/>
      <c r="CAA30" s="57"/>
      <c r="CAB30" s="57"/>
      <c r="CAC30" s="57"/>
      <c r="CAD30" s="57"/>
      <c r="CAE30" s="57"/>
      <c r="CAF30" s="57"/>
      <c r="CAG30" s="57"/>
      <c r="CAH30" s="57"/>
      <c r="CAI30" s="57"/>
      <c r="CAJ30" s="57"/>
      <c r="CAK30" s="57"/>
      <c r="CAL30" s="57"/>
      <c r="CAM30" s="57"/>
      <c r="CAN30" s="57"/>
      <c r="CAO30" s="57"/>
      <c r="CAP30" s="58"/>
      <c r="CAQ30" s="56"/>
      <c r="CAR30" s="57"/>
      <c r="CAS30" s="57"/>
      <c r="CAT30" s="57"/>
      <c r="CAU30" s="57"/>
      <c r="CAV30" s="57"/>
      <c r="CAW30" s="56"/>
      <c r="CAX30" s="57"/>
      <c r="CAY30" s="57"/>
      <c r="CAZ30" s="56"/>
      <c r="CBA30" s="57"/>
      <c r="CBB30" s="58"/>
      <c r="CBC30" s="56"/>
      <c r="CBD30" s="57"/>
      <c r="CBE30" s="57"/>
      <c r="CBF30" s="57"/>
      <c r="CBG30" s="56"/>
      <c r="CBH30" s="57"/>
      <c r="CBI30" s="57"/>
      <c r="CBJ30" s="56"/>
      <c r="CBK30" s="57"/>
      <c r="CBL30" s="58"/>
      <c r="CBM30" s="56"/>
      <c r="CBN30" s="57"/>
      <c r="CBO30" s="57"/>
      <c r="CBP30" s="57"/>
      <c r="CBQ30" s="56"/>
      <c r="CBR30" s="57"/>
      <c r="CBS30" s="57"/>
      <c r="CBT30" s="56"/>
      <c r="CBU30" s="57"/>
      <c r="CBV30" s="58"/>
      <c r="CBW30" s="56"/>
      <c r="CBX30" s="57"/>
      <c r="CBY30" s="57"/>
      <c r="CBZ30" s="57"/>
      <c r="CCA30" s="56"/>
      <c r="CCB30" s="57"/>
      <c r="CCC30" s="57"/>
      <c r="CCD30" s="56"/>
      <c r="CCE30" s="57"/>
      <c r="CCF30" s="58"/>
      <c r="CCG30" s="56"/>
      <c r="CCH30" s="58"/>
      <c r="CCI30" s="57"/>
      <c r="CCJ30" s="56"/>
      <c r="CCK30" s="57"/>
      <c r="CCL30" s="56"/>
      <c r="CCM30" s="56"/>
      <c r="CCN30" s="56"/>
      <c r="CCO30" s="57"/>
      <c r="CCP30" s="387"/>
      <c r="CCQ30" s="57"/>
      <c r="CCR30" s="387"/>
      <c r="CCS30" s="57"/>
      <c r="CCT30" s="387"/>
      <c r="CCU30" s="57"/>
      <c r="CCV30" s="57"/>
      <c r="CCW30" s="57"/>
      <c r="CCX30" s="57"/>
      <c r="CCY30" s="57"/>
      <c r="CCZ30" s="57"/>
      <c r="CDA30" s="57"/>
      <c r="CDB30" s="57"/>
      <c r="CDC30" s="57"/>
      <c r="CDD30" s="57"/>
      <c r="CDE30" s="57"/>
      <c r="CDF30" s="57"/>
      <c r="CDG30" s="57"/>
      <c r="CDH30" s="57"/>
      <c r="CDI30" s="57"/>
      <c r="CDJ30" s="57"/>
      <c r="CDK30" s="57"/>
      <c r="CDL30" s="57"/>
      <c r="CDM30" s="57"/>
      <c r="CDN30" s="57"/>
      <c r="CDO30" s="57"/>
      <c r="CDP30" s="57"/>
      <c r="CDQ30" s="57"/>
      <c r="CDR30" s="57"/>
      <c r="CDS30" s="57"/>
      <c r="CDT30" s="57"/>
      <c r="CDU30" s="57"/>
      <c r="CDV30" s="57"/>
      <c r="CDW30" s="57"/>
      <c r="CDX30" s="57"/>
      <c r="CDY30" s="57"/>
      <c r="CDZ30" s="58"/>
      <c r="CEA30" s="56"/>
      <c r="CEB30" s="57"/>
      <c r="CEC30" s="57"/>
      <c r="CED30" s="57"/>
      <c r="CEE30" s="57"/>
      <c r="CEF30" s="57"/>
      <c r="CEG30" s="56"/>
      <c r="CEH30" s="57"/>
      <c r="CEI30" s="57"/>
      <c r="CEJ30" s="56"/>
      <c r="CEK30" s="57"/>
      <c r="CEL30" s="58"/>
      <c r="CEM30" s="56"/>
      <c r="CEN30" s="57"/>
      <c r="CEO30" s="57"/>
      <c r="CEP30" s="57"/>
      <c r="CEQ30" s="56"/>
      <c r="CER30" s="57"/>
      <c r="CES30" s="57"/>
      <c r="CET30" s="56"/>
      <c r="CEU30" s="57"/>
      <c r="CEV30" s="58"/>
      <c r="CEW30" s="56"/>
      <c r="CEX30" s="57"/>
      <c r="CEY30" s="57"/>
      <c r="CEZ30" s="57"/>
      <c r="CFA30" s="56"/>
      <c r="CFB30" s="57"/>
      <c r="CFC30" s="57"/>
      <c r="CFD30" s="56"/>
      <c r="CFE30" s="57"/>
      <c r="CFF30" s="58"/>
      <c r="CFG30" s="56"/>
      <c r="CFH30" s="57"/>
      <c r="CFI30" s="57"/>
      <c r="CFJ30" s="57"/>
      <c r="CFK30" s="56"/>
      <c r="CFL30" s="57"/>
      <c r="CFM30" s="57"/>
      <c r="CFN30" s="56"/>
      <c r="CFO30" s="57"/>
      <c r="CFP30" s="58"/>
      <c r="CFQ30" s="56"/>
      <c r="CFR30" s="58"/>
      <c r="CFS30" s="57"/>
      <c r="CFT30" s="56"/>
      <c r="CFU30" s="57"/>
      <c r="CFV30" s="56"/>
      <c r="CFW30" s="56"/>
      <c r="CFX30" s="56"/>
      <c r="CFY30" s="57"/>
      <c r="CFZ30" s="387"/>
      <c r="CGA30" s="57"/>
      <c r="CGB30" s="387"/>
      <c r="CGC30" s="57"/>
      <c r="CGD30" s="387"/>
      <c r="CGE30" s="57"/>
      <c r="CGF30" s="57"/>
      <c r="CGG30" s="57"/>
      <c r="CGH30" s="57"/>
      <c r="CGI30" s="57"/>
      <c r="CGJ30" s="57"/>
      <c r="CGK30" s="57"/>
      <c r="CGL30" s="57"/>
      <c r="CGM30" s="57"/>
      <c r="CGN30" s="57"/>
      <c r="CGO30" s="57"/>
      <c r="CGP30" s="57"/>
      <c r="CGQ30" s="57"/>
      <c r="CGR30" s="57"/>
      <c r="CGS30" s="57"/>
      <c r="CGT30" s="57"/>
      <c r="CGU30" s="57"/>
      <c r="CGV30" s="57"/>
      <c r="CGW30" s="57"/>
      <c r="CGX30" s="57"/>
      <c r="CGY30" s="57"/>
      <c r="CGZ30" s="57"/>
      <c r="CHA30" s="57"/>
      <c r="CHB30" s="57"/>
      <c r="CHC30" s="57"/>
      <c r="CHD30" s="57"/>
      <c r="CHE30" s="57"/>
      <c r="CHF30" s="57"/>
      <c r="CHG30" s="57"/>
      <c r="CHH30" s="57"/>
      <c r="CHI30" s="57"/>
      <c r="CHJ30" s="58"/>
      <c r="CHK30" s="56"/>
      <c r="CHL30" s="57"/>
      <c r="CHM30" s="57"/>
      <c r="CHN30" s="57"/>
      <c r="CHO30" s="57"/>
      <c r="CHP30" s="57"/>
      <c r="CHQ30" s="56"/>
      <c r="CHR30" s="57"/>
      <c r="CHS30" s="57"/>
      <c r="CHT30" s="56"/>
      <c r="CHU30" s="57"/>
      <c r="CHV30" s="58"/>
      <c r="CHW30" s="56"/>
      <c r="CHX30" s="57"/>
      <c r="CHY30" s="57"/>
      <c r="CHZ30" s="57"/>
      <c r="CIA30" s="56"/>
      <c r="CIB30" s="57"/>
      <c r="CIC30" s="57"/>
      <c r="CID30" s="56"/>
      <c r="CIE30" s="57"/>
      <c r="CIF30" s="58"/>
      <c r="CIG30" s="56"/>
      <c r="CIH30" s="57"/>
      <c r="CII30" s="57"/>
      <c r="CIJ30" s="57"/>
      <c r="CIK30" s="56"/>
      <c r="CIL30" s="57"/>
      <c r="CIM30" s="57"/>
      <c r="CIN30" s="56"/>
      <c r="CIO30" s="57"/>
      <c r="CIP30" s="58"/>
      <c r="CIQ30" s="56"/>
      <c r="CIR30" s="57"/>
      <c r="CIS30" s="57"/>
      <c r="CIT30" s="57"/>
      <c r="CIU30" s="56"/>
      <c r="CIV30" s="57"/>
      <c r="CIW30" s="57"/>
      <c r="CIX30" s="56"/>
      <c r="CIY30" s="57"/>
      <c r="CIZ30" s="58"/>
      <c r="CJA30" s="56"/>
      <c r="CJB30" s="58"/>
      <c r="CJC30" s="57"/>
      <c r="CJD30" s="56"/>
      <c r="CJE30" s="57"/>
      <c r="CJF30" s="56"/>
      <c r="CJG30" s="56"/>
      <c r="CJH30" s="56"/>
      <c r="CJI30" s="57"/>
      <c r="CJJ30" s="387"/>
      <c r="CJK30" s="57"/>
      <c r="CJL30" s="387"/>
      <c r="CJM30" s="57"/>
      <c r="CJN30" s="387"/>
      <c r="CJO30" s="57"/>
      <c r="CJP30" s="57"/>
      <c r="CJQ30" s="57"/>
      <c r="CJR30" s="57"/>
      <c r="CJS30" s="57"/>
      <c r="CJT30" s="57"/>
      <c r="CJU30" s="57"/>
      <c r="CJV30" s="57"/>
      <c r="CJW30" s="57"/>
      <c r="CJX30" s="57"/>
      <c r="CJY30" s="57"/>
      <c r="CJZ30" s="57"/>
      <c r="CKA30" s="57"/>
      <c r="CKB30" s="57"/>
      <c r="CKC30" s="57"/>
      <c r="CKD30" s="57"/>
      <c r="CKE30" s="57"/>
      <c r="CKF30" s="57"/>
      <c r="CKG30" s="57"/>
      <c r="CKH30" s="57"/>
      <c r="CKI30" s="57"/>
      <c r="CKJ30" s="57"/>
      <c r="CKK30" s="57"/>
      <c r="CKL30" s="57"/>
      <c r="CKM30" s="57"/>
      <c r="CKN30" s="57"/>
      <c r="CKO30" s="57"/>
      <c r="CKP30" s="57"/>
      <c r="CKQ30" s="57"/>
      <c r="CKR30" s="57"/>
      <c r="CKS30" s="57"/>
      <c r="CKT30" s="58"/>
      <c r="CKU30" s="56"/>
      <c r="CKV30" s="57"/>
      <c r="CKW30" s="57"/>
      <c r="CKX30" s="57"/>
      <c r="CKY30" s="57"/>
      <c r="CKZ30" s="57"/>
      <c r="CLA30" s="56"/>
      <c r="CLB30" s="57"/>
      <c r="CLC30" s="57"/>
      <c r="CLD30" s="56"/>
      <c r="CLE30" s="57"/>
      <c r="CLF30" s="58"/>
      <c r="CLG30" s="56"/>
      <c r="CLH30" s="57"/>
      <c r="CLI30" s="57"/>
      <c r="CLJ30" s="57"/>
      <c r="CLK30" s="56"/>
      <c r="CLL30" s="57"/>
      <c r="CLM30" s="57"/>
      <c r="CLN30" s="56"/>
      <c r="CLO30" s="57"/>
      <c r="CLP30" s="58"/>
      <c r="CLQ30" s="56"/>
      <c r="CLR30" s="57"/>
      <c r="CLS30" s="57"/>
      <c r="CLT30" s="57"/>
      <c r="CLU30" s="56"/>
      <c r="CLV30" s="57"/>
      <c r="CLW30" s="57"/>
      <c r="CLX30" s="56"/>
      <c r="CLY30" s="57"/>
      <c r="CLZ30" s="58"/>
      <c r="CMA30" s="56"/>
      <c r="CMB30" s="57"/>
      <c r="CMC30" s="57"/>
      <c r="CMD30" s="57"/>
      <c r="CME30" s="56"/>
      <c r="CMF30" s="57"/>
      <c r="CMG30" s="57"/>
      <c r="CMH30" s="56"/>
      <c r="CMI30" s="57"/>
      <c r="CMJ30" s="58"/>
      <c r="CMK30" s="56"/>
      <c r="CML30" s="58"/>
      <c r="CMM30" s="57"/>
      <c r="CMN30" s="56"/>
      <c r="CMO30" s="57"/>
      <c r="CMP30" s="56"/>
      <c r="CMQ30" s="56"/>
      <c r="CMR30" s="56"/>
      <c r="CMS30" s="57"/>
      <c r="CMT30" s="387"/>
      <c r="CMU30" s="57"/>
      <c r="CMV30" s="387"/>
      <c r="CMW30" s="57"/>
      <c r="CMX30" s="387"/>
      <c r="CMY30" s="57"/>
      <c r="CMZ30" s="57"/>
      <c r="CNA30" s="57"/>
      <c r="CNB30" s="57"/>
      <c r="CNC30" s="57"/>
      <c r="CND30" s="57"/>
      <c r="CNE30" s="57"/>
      <c r="CNF30" s="57"/>
      <c r="CNG30" s="57"/>
      <c r="CNH30" s="57"/>
      <c r="CNI30" s="57"/>
      <c r="CNJ30" s="57"/>
      <c r="CNK30" s="57"/>
      <c r="CNL30" s="57"/>
      <c r="CNM30" s="57"/>
      <c r="CNN30" s="57"/>
      <c r="CNO30" s="57"/>
      <c r="CNP30" s="57"/>
      <c r="CNQ30" s="57"/>
      <c r="CNR30" s="57"/>
      <c r="CNS30" s="57"/>
      <c r="CNT30" s="57"/>
      <c r="CNU30" s="57"/>
      <c r="CNV30" s="57"/>
      <c r="CNW30" s="57"/>
      <c r="CNX30" s="57"/>
      <c r="CNY30" s="57"/>
      <c r="CNZ30" s="57"/>
      <c r="COA30" s="57"/>
      <c r="COB30" s="57"/>
      <c r="COC30" s="57"/>
      <c r="COD30" s="58"/>
      <c r="COE30" s="56"/>
      <c r="COF30" s="57"/>
      <c r="COG30" s="57"/>
      <c r="COH30" s="57"/>
      <c r="COI30" s="57"/>
      <c r="COJ30" s="57"/>
      <c r="COK30" s="56"/>
      <c r="COL30" s="57"/>
      <c r="COM30" s="57"/>
      <c r="CON30" s="56"/>
      <c r="COO30" s="57"/>
      <c r="COP30" s="58"/>
      <c r="COQ30" s="56"/>
      <c r="COR30" s="57"/>
      <c r="COS30" s="57"/>
      <c r="COT30" s="57"/>
      <c r="COU30" s="56"/>
      <c r="COV30" s="57"/>
      <c r="COW30" s="57"/>
      <c r="COX30" s="56"/>
      <c r="COY30" s="57"/>
      <c r="COZ30" s="58"/>
      <c r="CPA30" s="56"/>
      <c r="CPB30" s="57"/>
      <c r="CPC30" s="57"/>
      <c r="CPD30" s="57"/>
      <c r="CPE30" s="56"/>
      <c r="CPF30" s="57"/>
      <c r="CPG30" s="57"/>
      <c r="CPH30" s="56"/>
      <c r="CPI30" s="57"/>
      <c r="CPJ30" s="58"/>
      <c r="CPK30" s="56"/>
      <c r="CPL30" s="57"/>
      <c r="CPM30" s="57"/>
      <c r="CPN30" s="57"/>
      <c r="CPO30" s="56"/>
      <c r="CPP30" s="57"/>
      <c r="CPQ30" s="57"/>
      <c r="CPR30" s="56"/>
      <c r="CPS30" s="57"/>
      <c r="CPT30" s="58"/>
      <c r="CPU30" s="56"/>
      <c r="CPV30" s="58"/>
      <c r="CPW30" s="57"/>
      <c r="CPX30" s="56"/>
      <c r="CPY30" s="57"/>
      <c r="CPZ30" s="56"/>
      <c r="CQA30" s="56"/>
      <c r="CQB30" s="56"/>
      <c r="CQC30" s="57"/>
      <c r="CQD30" s="387"/>
      <c r="CQE30" s="57"/>
      <c r="CQF30" s="387"/>
      <c r="CQG30" s="57"/>
      <c r="CQH30" s="387"/>
      <c r="CQI30" s="57"/>
      <c r="CQJ30" s="57"/>
      <c r="CQK30" s="57"/>
      <c r="CQL30" s="57"/>
      <c r="CQM30" s="57"/>
      <c r="CQN30" s="57"/>
      <c r="CQO30" s="57"/>
      <c r="CQP30" s="57"/>
      <c r="CQQ30" s="57"/>
      <c r="CQR30" s="57"/>
      <c r="CQS30" s="57"/>
      <c r="CQT30" s="57"/>
      <c r="CQU30" s="57"/>
      <c r="CQV30" s="57"/>
      <c r="CQW30" s="57"/>
      <c r="CQX30" s="57"/>
      <c r="CQY30" s="57"/>
      <c r="CQZ30" s="57"/>
      <c r="CRA30" s="57"/>
      <c r="CRB30" s="57"/>
      <c r="CRC30" s="57"/>
      <c r="CRD30" s="57"/>
      <c r="CRE30" s="57"/>
      <c r="CRF30" s="57"/>
      <c r="CRG30" s="57"/>
      <c r="CRH30" s="57"/>
      <c r="CRI30" s="57"/>
      <c r="CRJ30" s="57"/>
      <c r="CRK30" s="57"/>
      <c r="CRL30" s="57"/>
      <c r="CRM30" s="57"/>
      <c r="CRN30" s="58"/>
      <c r="CRO30" s="56"/>
      <c r="CRP30" s="57"/>
      <c r="CRQ30" s="57"/>
      <c r="CRR30" s="57"/>
      <c r="CRS30" s="57"/>
      <c r="CRT30" s="57"/>
      <c r="CRU30" s="56"/>
      <c r="CRV30" s="57"/>
      <c r="CRW30" s="57"/>
      <c r="CRX30" s="56"/>
      <c r="CRY30" s="57"/>
      <c r="CRZ30" s="58"/>
      <c r="CSA30" s="56"/>
      <c r="CSB30" s="57"/>
      <c r="CSC30" s="57"/>
      <c r="CSD30" s="57"/>
      <c r="CSE30" s="56"/>
      <c r="CSF30" s="57"/>
      <c r="CSG30" s="57"/>
      <c r="CSH30" s="56"/>
      <c r="CSI30" s="57"/>
      <c r="CSJ30" s="58"/>
      <c r="CSK30" s="56"/>
      <c r="CSL30" s="57"/>
      <c r="CSM30" s="57"/>
      <c r="CSN30" s="57"/>
      <c r="CSO30" s="56"/>
      <c r="CSP30" s="57"/>
      <c r="CSQ30" s="57"/>
      <c r="CSR30" s="56"/>
      <c r="CSS30" s="57"/>
      <c r="CST30" s="58"/>
      <c r="CSU30" s="56"/>
      <c r="CSV30" s="57"/>
      <c r="CSW30" s="57"/>
      <c r="CSX30" s="57"/>
      <c r="CSY30" s="56"/>
      <c r="CSZ30" s="57"/>
      <c r="CTA30" s="57"/>
      <c r="CTB30" s="56"/>
      <c r="CTC30" s="57"/>
      <c r="CTD30" s="58"/>
      <c r="CTE30" s="56"/>
      <c r="CTF30" s="58"/>
      <c r="CTG30" s="57"/>
      <c r="CTH30" s="56"/>
      <c r="CTI30" s="57"/>
      <c r="CTJ30" s="56"/>
      <c r="CTK30" s="56"/>
      <c r="CTL30" s="56"/>
      <c r="CTM30" s="57"/>
      <c r="CTN30" s="387"/>
      <c r="CTO30" s="57"/>
      <c r="CTP30" s="387"/>
      <c r="CTQ30" s="57"/>
      <c r="CTR30" s="387"/>
      <c r="CTS30" s="57"/>
      <c r="CTT30" s="57"/>
      <c r="CTU30" s="57"/>
      <c r="CTV30" s="57"/>
      <c r="CTW30" s="57"/>
      <c r="CTX30" s="57"/>
      <c r="CTY30" s="57"/>
      <c r="CTZ30" s="57"/>
      <c r="CUA30" s="57"/>
      <c r="CUB30" s="57"/>
      <c r="CUC30" s="57"/>
      <c r="CUD30" s="57"/>
      <c r="CUE30" s="57"/>
      <c r="CUF30" s="57"/>
      <c r="CUG30" s="57"/>
      <c r="CUH30" s="57"/>
      <c r="CUI30" s="57"/>
      <c r="CUJ30" s="57"/>
      <c r="CUK30" s="57"/>
      <c r="CUL30" s="57"/>
      <c r="CUM30" s="57"/>
      <c r="CUN30" s="57"/>
      <c r="CUO30" s="57"/>
      <c r="CUP30" s="57"/>
      <c r="CUQ30" s="57"/>
      <c r="CUR30" s="57"/>
      <c r="CUS30" s="57"/>
      <c r="CUT30" s="57"/>
      <c r="CUU30" s="57"/>
      <c r="CUV30" s="57"/>
      <c r="CUW30" s="57"/>
      <c r="CUX30" s="58"/>
      <c r="CUY30" s="56"/>
      <c r="CUZ30" s="57"/>
      <c r="CVA30" s="57"/>
      <c r="CVB30" s="57"/>
      <c r="CVC30" s="57"/>
      <c r="CVD30" s="57"/>
      <c r="CVE30" s="56"/>
      <c r="CVF30" s="57"/>
      <c r="CVG30" s="57"/>
      <c r="CVH30" s="56"/>
      <c r="CVI30" s="57"/>
      <c r="CVJ30" s="58"/>
      <c r="CVK30" s="56"/>
      <c r="CVL30" s="57"/>
      <c r="CVM30" s="57"/>
      <c r="CVN30" s="57"/>
      <c r="CVO30" s="56"/>
      <c r="CVP30" s="57"/>
      <c r="CVQ30" s="57"/>
      <c r="CVR30" s="56"/>
      <c r="CVS30" s="57"/>
      <c r="CVT30" s="58"/>
      <c r="CVU30" s="56"/>
      <c r="CVV30" s="57"/>
      <c r="CVW30" s="57"/>
      <c r="CVX30" s="57"/>
      <c r="CVY30" s="56"/>
      <c r="CVZ30" s="57"/>
      <c r="CWA30" s="57"/>
      <c r="CWB30" s="56"/>
      <c r="CWC30" s="57"/>
      <c r="CWD30" s="58"/>
      <c r="CWE30" s="56"/>
      <c r="CWF30" s="57"/>
      <c r="CWG30" s="57"/>
      <c r="CWH30" s="57"/>
      <c r="CWI30" s="56"/>
      <c r="CWJ30" s="57"/>
      <c r="CWK30" s="57"/>
      <c r="CWL30" s="56"/>
      <c r="CWM30" s="57"/>
      <c r="CWN30" s="58"/>
      <c r="CWO30" s="56"/>
      <c r="CWP30" s="58"/>
      <c r="CWQ30" s="57"/>
      <c r="CWR30" s="56"/>
      <c r="CWS30" s="57"/>
      <c r="CWT30" s="56"/>
      <c r="CWU30" s="56"/>
      <c r="CWV30" s="56"/>
      <c r="CWW30" s="57"/>
      <c r="CWX30" s="387"/>
      <c r="CWY30" s="57"/>
      <c r="CWZ30" s="387"/>
      <c r="CXA30" s="57"/>
      <c r="CXB30" s="387"/>
      <c r="CXC30" s="57"/>
      <c r="CXD30" s="57"/>
      <c r="CXE30" s="57"/>
      <c r="CXF30" s="57"/>
      <c r="CXG30" s="57"/>
      <c r="CXH30" s="57"/>
      <c r="CXI30" s="57"/>
      <c r="CXJ30" s="57"/>
      <c r="CXK30" s="57"/>
      <c r="CXL30" s="57"/>
      <c r="CXM30" s="57"/>
      <c r="CXN30" s="57"/>
      <c r="CXO30" s="57"/>
      <c r="CXP30" s="57"/>
      <c r="CXQ30" s="57"/>
      <c r="CXR30" s="57"/>
      <c r="CXS30" s="57"/>
      <c r="CXT30" s="57"/>
      <c r="CXU30" s="57"/>
      <c r="CXV30" s="57"/>
      <c r="CXW30" s="57"/>
      <c r="CXX30" s="57"/>
      <c r="CXY30" s="57"/>
      <c r="CXZ30" s="57"/>
      <c r="CYA30" s="57"/>
      <c r="CYB30" s="57"/>
      <c r="CYC30" s="57"/>
      <c r="CYD30" s="57"/>
      <c r="CYE30" s="57"/>
      <c r="CYF30" s="57"/>
      <c r="CYG30" s="57"/>
      <c r="CYH30" s="58"/>
      <c r="CYI30" s="56"/>
      <c r="CYJ30" s="57"/>
      <c r="CYK30" s="57"/>
      <c r="CYL30" s="57"/>
      <c r="CYM30" s="57"/>
      <c r="CYN30" s="57"/>
      <c r="CYO30" s="56"/>
      <c r="CYP30" s="57"/>
      <c r="CYQ30" s="57"/>
      <c r="CYR30" s="56"/>
      <c r="CYS30" s="57"/>
      <c r="CYT30" s="58"/>
      <c r="CYU30" s="56"/>
      <c r="CYV30" s="57"/>
      <c r="CYW30" s="57"/>
      <c r="CYX30" s="57"/>
      <c r="CYY30" s="56"/>
      <c r="CYZ30" s="57"/>
      <c r="CZA30" s="57"/>
      <c r="CZB30" s="56"/>
      <c r="CZC30" s="57"/>
      <c r="CZD30" s="58"/>
      <c r="CZE30" s="56"/>
      <c r="CZF30" s="57"/>
      <c r="CZG30" s="57"/>
      <c r="CZH30" s="57"/>
      <c r="CZI30" s="56"/>
      <c r="CZJ30" s="57"/>
      <c r="CZK30" s="57"/>
      <c r="CZL30" s="56"/>
      <c r="CZM30" s="57"/>
      <c r="CZN30" s="58"/>
      <c r="CZO30" s="56"/>
      <c r="CZP30" s="57"/>
      <c r="CZQ30" s="57"/>
      <c r="CZR30" s="57"/>
      <c r="CZS30" s="56"/>
      <c r="CZT30" s="57"/>
      <c r="CZU30" s="57"/>
      <c r="CZV30" s="56"/>
      <c r="CZW30" s="57"/>
      <c r="CZX30" s="58"/>
      <c r="CZY30" s="56"/>
      <c r="CZZ30" s="58"/>
      <c r="DAA30" s="57"/>
      <c r="DAB30" s="56"/>
      <c r="DAC30" s="57"/>
      <c r="DAD30" s="56"/>
      <c r="DAE30" s="56"/>
      <c r="DAF30" s="56"/>
      <c r="DAG30" s="57"/>
      <c r="DAH30" s="387"/>
      <c r="DAI30" s="57"/>
      <c r="DAJ30" s="387"/>
      <c r="DAK30" s="57"/>
      <c r="DAL30" s="387"/>
      <c r="DAM30" s="57"/>
      <c r="DAN30" s="57"/>
      <c r="DAO30" s="57"/>
      <c r="DAP30" s="57"/>
      <c r="DAQ30" s="57"/>
      <c r="DAR30" s="57"/>
      <c r="DAS30" s="57"/>
      <c r="DAT30" s="57"/>
      <c r="DAU30" s="57"/>
      <c r="DAV30" s="57"/>
      <c r="DAW30" s="57"/>
      <c r="DAX30" s="57"/>
      <c r="DAY30" s="57"/>
      <c r="DAZ30" s="57"/>
      <c r="DBA30" s="57"/>
      <c r="DBB30" s="57"/>
      <c r="DBC30" s="57"/>
      <c r="DBD30" s="57"/>
      <c r="DBE30" s="57"/>
      <c r="DBF30" s="57"/>
      <c r="DBG30" s="57"/>
      <c r="DBH30" s="57"/>
      <c r="DBI30" s="57"/>
      <c r="DBJ30" s="57"/>
      <c r="DBK30" s="57"/>
      <c r="DBL30" s="57"/>
      <c r="DBM30" s="57"/>
      <c r="DBN30" s="57"/>
      <c r="DBO30" s="57"/>
      <c r="DBP30" s="57"/>
      <c r="DBQ30" s="57"/>
      <c r="DBR30" s="58"/>
      <c r="DBS30" s="56"/>
      <c r="DBT30" s="57"/>
      <c r="DBU30" s="57"/>
      <c r="DBV30" s="57"/>
      <c r="DBW30" s="57"/>
      <c r="DBX30" s="57"/>
      <c r="DBY30" s="56"/>
      <c r="DBZ30" s="57"/>
      <c r="DCA30" s="57"/>
      <c r="DCB30" s="56"/>
      <c r="DCC30" s="57"/>
      <c r="DCD30" s="58"/>
      <c r="DCE30" s="56"/>
      <c r="DCF30" s="57"/>
      <c r="DCG30" s="57"/>
      <c r="DCH30" s="57"/>
      <c r="DCI30" s="56"/>
      <c r="DCJ30" s="57"/>
      <c r="DCK30" s="57"/>
      <c r="DCL30" s="56"/>
      <c r="DCM30" s="57"/>
      <c r="DCN30" s="58"/>
      <c r="DCO30" s="56"/>
      <c r="DCP30" s="57"/>
      <c r="DCQ30" s="57"/>
      <c r="DCR30" s="57"/>
      <c r="DCS30" s="56"/>
      <c r="DCT30" s="57"/>
      <c r="DCU30" s="57"/>
      <c r="DCV30" s="56"/>
      <c r="DCW30" s="57"/>
      <c r="DCX30" s="58"/>
      <c r="DCY30" s="56"/>
      <c r="DCZ30" s="57"/>
      <c r="DDA30" s="57"/>
      <c r="DDB30" s="57"/>
      <c r="DDC30" s="56"/>
      <c r="DDD30" s="57"/>
      <c r="DDE30" s="57"/>
      <c r="DDF30" s="56"/>
      <c r="DDG30" s="57"/>
      <c r="DDH30" s="58"/>
      <c r="DDI30" s="56"/>
      <c r="DDJ30" s="58"/>
      <c r="DDK30" s="57"/>
      <c r="DDL30" s="56"/>
      <c r="DDM30" s="57"/>
      <c r="DDN30" s="56"/>
      <c r="DDO30" s="56"/>
      <c r="DDP30" s="56"/>
      <c r="DDQ30" s="57"/>
      <c r="DDR30" s="387"/>
      <c r="DDS30" s="57"/>
      <c r="DDT30" s="387"/>
      <c r="DDU30" s="57"/>
      <c r="DDV30" s="387"/>
      <c r="DDW30" s="57"/>
      <c r="DDX30" s="57"/>
      <c r="DDY30" s="57"/>
      <c r="DDZ30" s="57"/>
      <c r="DEA30" s="57"/>
      <c r="DEB30" s="57"/>
      <c r="DEC30" s="57"/>
      <c r="DED30" s="57"/>
      <c r="DEE30" s="57"/>
      <c r="DEF30" s="57"/>
      <c r="DEG30" s="57"/>
      <c r="DEH30" s="57"/>
      <c r="DEI30" s="57"/>
      <c r="DEJ30" s="57"/>
      <c r="DEK30" s="57"/>
      <c r="DEL30" s="57"/>
      <c r="DEM30" s="57"/>
      <c r="DEN30" s="57"/>
      <c r="DEO30" s="57"/>
      <c r="DEP30" s="57"/>
      <c r="DEQ30" s="57"/>
      <c r="DER30" s="57"/>
      <c r="DES30" s="57"/>
      <c r="DET30" s="57"/>
      <c r="DEU30" s="57"/>
      <c r="DEV30" s="57"/>
      <c r="DEW30" s="57"/>
      <c r="DEX30" s="57"/>
      <c r="DEY30" s="57"/>
      <c r="DEZ30" s="57"/>
      <c r="DFA30" s="57"/>
      <c r="DFB30" s="58"/>
      <c r="DFC30" s="56"/>
      <c r="DFD30" s="57"/>
      <c r="DFE30" s="57"/>
      <c r="DFF30" s="57"/>
      <c r="DFG30" s="57"/>
      <c r="DFH30" s="57"/>
      <c r="DFI30" s="56"/>
      <c r="DFJ30" s="57"/>
      <c r="DFK30" s="57"/>
      <c r="DFL30" s="56"/>
      <c r="DFM30" s="57"/>
      <c r="DFN30" s="58"/>
      <c r="DFO30" s="56"/>
      <c r="DFP30" s="57"/>
      <c r="DFQ30" s="57"/>
      <c r="DFR30" s="57"/>
      <c r="DFS30" s="56"/>
      <c r="DFT30" s="57"/>
      <c r="DFU30" s="57"/>
      <c r="DFV30" s="56"/>
      <c r="DFW30" s="57"/>
      <c r="DFX30" s="58"/>
      <c r="DFY30" s="56"/>
      <c r="DFZ30" s="57"/>
      <c r="DGA30" s="57"/>
      <c r="DGB30" s="57"/>
      <c r="DGC30" s="56"/>
      <c r="DGD30" s="57"/>
      <c r="DGE30" s="57"/>
      <c r="DGF30" s="56"/>
      <c r="DGG30" s="57"/>
      <c r="DGH30" s="58"/>
      <c r="DGI30" s="56"/>
      <c r="DGJ30" s="57"/>
      <c r="DGK30" s="57"/>
      <c r="DGL30" s="57"/>
      <c r="DGM30" s="56"/>
      <c r="DGN30" s="57"/>
      <c r="DGO30" s="57"/>
      <c r="DGP30" s="56"/>
      <c r="DGQ30" s="57"/>
      <c r="DGR30" s="58"/>
      <c r="DGS30" s="56"/>
      <c r="DGT30" s="58"/>
      <c r="DGU30" s="57"/>
      <c r="DGV30" s="56"/>
      <c r="DGW30" s="57"/>
      <c r="DGX30" s="56"/>
      <c r="DGY30" s="56"/>
      <c r="DGZ30" s="56"/>
      <c r="DHA30" s="57"/>
      <c r="DHB30" s="387"/>
      <c r="DHC30" s="57"/>
      <c r="DHD30" s="387"/>
      <c r="DHE30" s="57"/>
      <c r="DHF30" s="387"/>
      <c r="DHG30" s="57"/>
      <c r="DHH30" s="57"/>
      <c r="DHI30" s="57"/>
      <c r="DHJ30" s="57"/>
      <c r="DHK30" s="57"/>
      <c r="DHL30" s="57"/>
      <c r="DHM30" s="57"/>
      <c r="DHN30" s="57"/>
      <c r="DHO30" s="57"/>
      <c r="DHP30" s="57"/>
      <c r="DHQ30" s="57"/>
      <c r="DHR30" s="57"/>
      <c r="DHS30" s="57"/>
      <c r="DHT30" s="57"/>
      <c r="DHU30" s="57"/>
      <c r="DHV30" s="57"/>
      <c r="DHW30" s="57"/>
      <c r="DHX30" s="57"/>
      <c r="DHY30" s="57"/>
      <c r="DHZ30" s="57"/>
      <c r="DIA30" s="57"/>
      <c r="DIB30" s="57"/>
      <c r="DIC30" s="57"/>
      <c r="DID30" s="57"/>
      <c r="DIE30" s="57"/>
      <c r="DIF30" s="57"/>
      <c r="DIG30" s="57"/>
      <c r="DIH30" s="57"/>
      <c r="DII30" s="57"/>
      <c r="DIJ30" s="57"/>
      <c r="DIK30" s="57"/>
      <c r="DIL30" s="58"/>
      <c r="DIM30" s="56"/>
      <c r="DIN30" s="57"/>
      <c r="DIO30" s="57"/>
      <c r="DIP30" s="57"/>
      <c r="DIQ30" s="57"/>
      <c r="DIR30" s="57"/>
      <c r="DIS30" s="56"/>
      <c r="DIT30" s="57"/>
      <c r="DIU30" s="57"/>
      <c r="DIV30" s="56"/>
      <c r="DIW30" s="57"/>
      <c r="DIX30" s="58"/>
      <c r="DIY30" s="56"/>
      <c r="DIZ30" s="57"/>
      <c r="DJA30" s="57"/>
      <c r="DJB30" s="57"/>
      <c r="DJC30" s="56"/>
      <c r="DJD30" s="57"/>
      <c r="DJE30" s="57"/>
      <c r="DJF30" s="56"/>
      <c r="DJG30" s="57"/>
      <c r="DJH30" s="58"/>
      <c r="DJI30" s="56"/>
      <c r="DJJ30" s="57"/>
      <c r="DJK30" s="57"/>
      <c r="DJL30" s="57"/>
      <c r="DJM30" s="56"/>
      <c r="DJN30" s="57"/>
      <c r="DJO30" s="57"/>
      <c r="DJP30" s="56"/>
      <c r="DJQ30" s="57"/>
      <c r="DJR30" s="58"/>
      <c r="DJS30" s="56"/>
      <c r="DJT30" s="57"/>
      <c r="DJU30" s="57"/>
      <c r="DJV30" s="57"/>
      <c r="DJW30" s="56"/>
      <c r="DJX30" s="57"/>
      <c r="DJY30" s="57"/>
      <c r="DJZ30" s="56"/>
      <c r="DKA30" s="57"/>
      <c r="DKB30" s="58"/>
      <c r="DKC30" s="56"/>
      <c r="DKD30" s="58"/>
      <c r="DKE30" s="57"/>
      <c r="DKF30" s="56"/>
      <c r="DKG30" s="57"/>
      <c r="DKH30" s="56"/>
      <c r="DKI30" s="56"/>
      <c r="DKJ30" s="56"/>
      <c r="DKK30" s="57"/>
      <c r="DKL30" s="387"/>
      <c r="DKM30" s="57"/>
      <c r="DKN30" s="387"/>
      <c r="DKO30" s="57"/>
      <c r="DKP30" s="387"/>
      <c r="DKQ30" s="57"/>
      <c r="DKR30" s="57"/>
      <c r="DKS30" s="57"/>
      <c r="DKT30" s="57"/>
      <c r="DKU30" s="57"/>
      <c r="DKV30" s="57"/>
      <c r="DKW30" s="57"/>
      <c r="DKX30" s="57"/>
      <c r="DKY30" s="57"/>
      <c r="DKZ30" s="57"/>
      <c r="DLA30" s="57"/>
      <c r="DLB30" s="57"/>
      <c r="DLC30" s="57"/>
      <c r="DLD30" s="57"/>
      <c r="DLE30" s="57"/>
      <c r="DLF30" s="57"/>
      <c r="DLG30" s="57"/>
      <c r="DLH30" s="57"/>
      <c r="DLI30" s="57"/>
      <c r="DLJ30" s="57"/>
      <c r="DLK30" s="57"/>
      <c r="DLL30" s="57"/>
      <c r="DLM30" s="57"/>
      <c r="DLN30" s="57"/>
      <c r="DLO30" s="57"/>
      <c r="DLP30" s="57"/>
      <c r="DLQ30" s="57"/>
      <c r="DLR30" s="57"/>
      <c r="DLS30" s="57"/>
      <c r="DLT30" s="57"/>
      <c r="DLU30" s="57"/>
      <c r="DLV30" s="58"/>
      <c r="DLW30" s="56"/>
      <c r="DLX30" s="57"/>
      <c r="DLY30" s="57"/>
      <c r="DLZ30" s="57"/>
      <c r="DMA30" s="57"/>
      <c r="DMB30" s="57"/>
      <c r="DMC30" s="56"/>
      <c r="DMD30" s="57"/>
      <c r="DME30" s="57"/>
      <c r="DMF30" s="56"/>
      <c r="DMG30" s="57"/>
      <c r="DMH30" s="58"/>
      <c r="DMI30" s="56"/>
      <c r="DMJ30" s="57"/>
      <c r="DMK30" s="57"/>
      <c r="DML30" s="57"/>
      <c r="DMM30" s="56"/>
      <c r="DMN30" s="57"/>
      <c r="DMO30" s="57"/>
      <c r="DMP30" s="56"/>
      <c r="DMQ30" s="57"/>
      <c r="DMR30" s="58"/>
      <c r="DMS30" s="56"/>
      <c r="DMT30" s="57"/>
      <c r="DMU30" s="57"/>
      <c r="DMV30" s="57"/>
      <c r="DMW30" s="56"/>
      <c r="DMX30" s="57"/>
      <c r="DMY30" s="57"/>
      <c r="DMZ30" s="56"/>
      <c r="DNA30" s="57"/>
      <c r="DNB30" s="58"/>
      <c r="DNC30" s="56"/>
      <c r="DND30" s="57"/>
      <c r="DNE30" s="57"/>
      <c r="DNF30" s="57"/>
      <c r="DNG30" s="56"/>
      <c r="DNH30" s="57"/>
      <c r="DNI30" s="57"/>
      <c r="DNJ30" s="56"/>
      <c r="DNK30" s="57"/>
      <c r="DNL30" s="58"/>
      <c r="DNM30" s="56"/>
      <c r="DNN30" s="58"/>
      <c r="DNO30" s="57"/>
      <c r="DNP30" s="56"/>
      <c r="DNQ30" s="57"/>
      <c r="DNR30" s="56"/>
      <c r="DNS30" s="56"/>
      <c r="DNT30" s="56"/>
      <c r="DNU30" s="57"/>
      <c r="DNV30" s="387"/>
      <c r="DNW30" s="57"/>
      <c r="DNX30" s="387"/>
      <c r="DNY30" s="57"/>
      <c r="DNZ30" s="387"/>
      <c r="DOA30" s="57"/>
      <c r="DOB30" s="57"/>
      <c r="DOC30" s="57"/>
      <c r="DOD30" s="57"/>
      <c r="DOE30" s="57"/>
      <c r="DOF30" s="57"/>
      <c r="DOG30" s="57"/>
      <c r="DOH30" s="57"/>
      <c r="DOI30" s="57"/>
      <c r="DOJ30" s="57"/>
      <c r="DOK30" s="57"/>
      <c r="DOL30" s="57"/>
      <c r="DOM30" s="57"/>
      <c r="DON30" s="57"/>
      <c r="DOO30" s="57"/>
      <c r="DOP30" s="57"/>
      <c r="DOQ30" s="57"/>
      <c r="DOR30" s="57"/>
      <c r="DOS30" s="57"/>
      <c r="DOT30" s="57"/>
      <c r="DOU30" s="57"/>
      <c r="DOV30" s="57"/>
      <c r="DOW30" s="57"/>
      <c r="DOX30" s="57"/>
      <c r="DOY30" s="57"/>
      <c r="DOZ30" s="57"/>
      <c r="DPA30" s="57"/>
      <c r="DPB30" s="57"/>
      <c r="DPC30" s="57"/>
      <c r="DPD30" s="57"/>
      <c r="DPE30" s="57"/>
      <c r="DPF30" s="58"/>
      <c r="DPG30" s="56"/>
      <c r="DPH30" s="57"/>
      <c r="DPI30" s="57"/>
      <c r="DPJ30" s="57"/>
      <c r="DPK30" s="57"/>
      <c r="DPL30" s="57"/>
      <c r="DPM30" s="56"/>
      <c r="DPN30" s="57"/>
      <c r="DPO30" s="57"/>
      <c r="DPP30" s="56"/>
      <c r="DPQ30" s="57"/>
      <c r="DPR30" s="58"/>
      <c r="DPS30" s="56"/>
      <c r="DPT30" s="57"/>
      <c r="DPU30" s="57"/>
      <c r="DPV30" s="57"/>
      <c r="DPW30" s="56"/>
      <c r="DPX30" s="57"/>
      <c r="DPY30" s="57"/>
      <c r="DPZ30" s="56"/>
      <c r="DQA30" s="57"/>
      <c r="DQB30" s="58"/>
      <c r="DQC30" s="56"/>
      <c r="DQD30" s="57"/>
      <c r="DQE30" s="57"/>
      <c r="DQF30" s="57"/>
      <c r="DQG30" s="56"/>
      <c r="DQH30" s="57"/>
      <c r="DQI30" s="57"/>
      <c r="DQJ30" s="56"/>
      <c r="DQK30" s="57"/>
      <c r="DQL30" s="58"/>
      <c r="DQM30" s="56"/>
      <c r="DQN30" s="57"/>
      <c r="DQO30" s="57"/>
      <c r="DQP30" s="57"/>
      <c r="DQQ30" s="56"/>
      <c r="DQR30" s="57"/>
      <c r="DQS30" s="57"/>
      <c r="DQT30" s="56"/>
      <c r="DQU30" s="57"/>
      <c r="DQV30" s="58"/>
      <c r="DQW30" s="56"/>
      <c r="DQX30" s="58"/>
      <c r="DQY30" s="57"/>
      <c r="DQZ30" s="56"/>
      <c r="DRA30" s="57"/>
      <c r="DRB30" s="56"/>
      <c r="DRC30" s="56"/>
      <c r="DRD30" s="56"/>
      <c r="DRE30" s="57"/>
      <c r="DRF30" s="387"/>
      <c r="DRG30" s="57"/>
      <c r="DRH30" s="387"/>
      <c r="DRI30" s="57"/>
      <c r="DRJ30" s="387"/>
      <c r="DRK30" s="57"/>
      <c r="DRL30" s="57"/>
      <c r="DRM30" s="57"/>
      <c r="DRN30" s="57"/>
      <c r="DRO30" s="57"/>
      <c r="DRP30" s="57"/>
      <c r="DRQ30" s="57"/>
      <c r="DRR30" s="57"/>
      <c r="DRS30" s="57"/>
      <c r="DRT30" s="57"/>
      <c r="DRU30" s="57"/>
      <c r="DRV30" s="57"/>
      <c r="DRW30" s="57"/>
      <c r="DRX30" s="57"/>
      <c r="DRY30" s="57"/>
      <c r="DRZ30" s="57"/>
      <c r="DSA30" s="57"/>
      <c r="DSB30" s="57"/>
      <c r="DSC30" s="57"/>
      <c r="DSD30" s="57"/>
      <c r="DSE30" s="57"/>
      <c r="DSF30" s="57"/>
      <c r="DSG30" s="57"/>
      <c r="DSH30" s="57"/>
      <c r="DSI30" s="57"/>
      <c r="DSJ30" s="57"/>
      <c r="DSK30" s="57"/>
      <c r="DSL30" s="57"/>
      <c r="DSM30" s="57"/>
      <c r="DSN30" s="57"/>
      <c r="DSO30" s="57"/>
      <c r="DSP30" s="58"/>
      <c r="DSQ30" s="56"/>
      <c r="DSR30" s="57"/>
      <c r="DSS30" s="57"/>
      <c r="DST30" s="57"/>
      <c r="DSU30" s="57"/>
      <c r="DSV30" s="57"/>
      <c r="DSW30" s="56"/>
      <c r="DSX30" s="57"/>
      <c r="DSY30" s="57"/>
      <c r="DSZ30" s="56"/>
      <c r="DTA30" s="57"/>
      <c r="DTB30" s="58"/>
      <c r="DTC30" s="56"/>
      <c r="DTD30" s="57"/>
      <c r="DTE30" s="57"/>
      <c r="DTF30" s="57"/>
      <c r="DTG30" s="56"/>
      <c r="DTH30" s="57"/>
      <c r="DTI30" s="57"/>
      <c r="DTJ30" s="56"/>
      <c r="DTK30" s="57"/>
      <c r="DTL30" s="58"/>
      <c r="DTM30" s="56"/>
      <c r="DTN30" s="57"/>
      <c r="DTO30" s="57"/>
      <c r="DTP30" s="57"/>
      <c r="DTQ30" s="56"/>
      <c r="DTR30" s="57"/>
      <c r="DTS30" s="57"/>
      <c r="DTT30" s="56"/>
      <c r="DTU30" s="57"/>
      <c r="DTV30" s="58"/>
      <c r="DTW30" s="56"/>
      <c r="DTX30" s="57"/>
      <c r="DTY30" s="57"/>
      <c r="DTZ30" s="57"/>
      <c r="DUA30" s="56"/>
      <c r="DUB30" s="57"/>
      <c r="DUC30" s="57"/>
      <c r="DUD30" s="56"/>
      <c r="DUE30" s="57"/>
      <c r="DUF30" s="58"/>
      <c r="DUG30" s="56"/>
      <c r="DUH30" s="58"/>
      <c r="DUI30" s="57"/>
      <c r="DUJ30" s="56"/>
      <c r="DUK30" s="57"/>
      <c r="DUL30" s="56"/>
      <c r="DUM30" s="56"/>
      <c r="DUN30" s="56"/>
      <c r="DUO30" s="57"/>
      <c r="DUP30" s="387"/>
      <c r="DUQ30" s="57"/>
      <c r="DUR30" s="387"/>
      <c r="DUS30" s="57"/>
      <c r="DUT30" s="387"/>
      <c r="DUU30" s="57"/>
      <c r="DUV30" s="57"/>
      <c r="DUW30" s="57"/>
      <c r="DUX30" s="57"/>
      <c r="DUY30" s="57"/>
      <c r="DUZ30" s="57"/>
      <c r="DVA30" s="57"/>
      <c r="DVB30" s="57"/>
      <c r="DVC30" s="57"/>
      <c r="DVD30" s="57"/>
      <c r="DVE30" s="57"/>
      <c r="DVF30" s="57"/>
      <c r="DVG30" s="57"/>
      <c r="DVH30" s="57"/>
      <c r="DVI30" s="57"/>
      <c r="DVJ30" s="57"/>
      <c r="DVK30" s="57"/>
      <c r="DVL30" s="57"/>
      <c r="DVM30" s="57"/>
      <c r="DVN30" s="57"/>
      <c r="DVO30" s="57"/>
      <c r="DVP30" s="57"/>
      <c r="DVQ30" s="57"/>
      <c r="DVR30" s="57"/>
      <c r="DVS30" s="57"/>
      <c r="DVT30" s="57"/>
      <c r="DVU30" s="57"/>
      <c r="DVV30" s="57"/>
      <c r="DVW30" s="57"/>
      <c r="DVX30" s="57"/>
      <c r="DVY30" s="57"/>
      <c r="DVZ30" s="58"/>
      <c r="DWA30" s="56"/>
      <c r="DWB30" s="57"/>
      <c r="DWC30" s="57"/>
      <c r="DWD30" s="57"/>
      <c r="DWE30" s="57"/>
      <c r="DWF30" s="57"/>
      <c r="DWG30" s="56"/>
      <c r="DWH30" s="57"/>
      <c r="DWI30" s="57"/>
      <c r="DWJ30" s="56"/>
      <c r="DWK30" s="57"/>
      <c r="DWL30" s="58"/>
      <c r="DWM30" s="56"/>
      <c r="DWN30" s="57"/>
      <c r="DWO30" s="57"/>
      <c r="DWP30" s="57"/>
      <c r="DWQ30" s="56"/>
      <c r="DWR30" s="57"/>
      <c r="DWS30" s="57"/>
      <c r="DWT30" s="56"/>
      <c r="DWU30" s="57"/>
      <c r="DWV30" s="58"/>
      <c r="DWW30" s="56"/>
      <c r="DWX30" s="57"/>
      <c r="DWY30" s="57"/>
      <c r="DWZ30" s="57"/>
      <c r="DXA30" s="56"/>
      <c r="DXB30" s="57"/>
      <c r="DXC30" s="57"/>
      <c r="DXD30" s="56"/>
      <c r="DXE30" s="57"/>
      <c r="DXF30" s="58"/>
      <c r="DXG30" s="56"/>
      <c r="DXH30" s="57"/>
      <c r="DXI30" s="57"/>
      <c r="DXJ30" s="57"/>
      <c r="DXK30" s="56"/>
      <c r="DXL30" s="57"/>
      <c r="DXM30" s="57"/>
      <c r="DXN30" s="56"/>
      <c r="DXO30" s="57"/>
      <c r="DXP30" s="58"/>
      <c r="DXQ30" s="56"/>
      <c r="DXR30" s="58"/>
      <c r="DXS30" s="57"/>
      <c r="DXT30" s="56"/>
      <c r="DXU30" s="57"/>
      <c r="DXV30" s="56"/>
      <c r="DXW30" s="56"/>
      <c r="DXX30" s="56"/>
      <c r="DXY30" s="57"/>
      <c r="DXZ30" s="387"/>
      <c r="DYA30" s="57"/>
      <c r="DYB30" s="387"/>
      <c r="DYC30" s="57"/>
      <c r="DYD30" s="387"/>
      <c r="DYE30" s="57"/>
      <c r="DYF30" s="57"/>
      <c r="DYG30" s="57"/>
      <c r="DYH30" s="57"/>
      <c r="DYI30" s="57"/>
      <c r="DYJ30" s="57"/>
      <c r="DYK30" s="57"/>
      <c r="DYL30" s="57"/>
      <c r="DYM30" s="57"/>
      <c r="DYN30" s="57"/>
      <c r="DYO30" s="57"/>
      <c r="DYP30" s="57"/>
      <c r="DYQ30" s="57"/>
      <c r="DYR30" s="57"/>
      <c r="DYS30" s="57"/>
      <c r="DYT30" s="57"/>
      <c r="DYU30" s="57"/>
      <c r="DYV30" s="57"/>
      <c r="DYW30" s="57"/>
      <c r="DYX30" s="57"/>
      <c r="DYY30" s="57"/>
      <c r="DYZ30" s="57"/>
      <c r="DZA30" s="57"/>
      <c r="DZB30" s="57"/>
      <c r="DZC30" s="57"/>
      <c r="DZD30" s="57"/>
      <c r="DZE30" s="57"/>
      <c r="DZF30" s="57"/>
      <c r="DZG30" s="57"/>
      <c r="DZH30" s="57"/>
      <c r="DZI30" s="57"/>
      <c r="DZJ30" s="58"/>
      <c r="DZK30" s="56"/>
      <c r="DZL30" s="57"/>
      <c r="DZM30" s="57"/>
      <c r="DZN30" s="57"/>
      <c r="DZO30" s="57"/>
      <c r="DZP30" s="57"/>
      <c r="DZQ30" s="56"/>
      <c r="DZR30" s="57"/>
      <c r="DZS30" s="57"/>
      <c r="DZT30" s="56"/>
      <c r="DZU30" s="57"/>
      <c r="DZV30" s="58"/>
      <c r="DZW30" s="56"/>
      <c r="DZX30" s="57"/>
      <c r="DZY30" s="57"/>
      <c r="DZZ30" s="57"/>
      <c r="EAA30" s="56"/>
      <c r="EAB30" s="57"/>
      <c r="EAC30" s="57"/>
      <c r="EAD30" s="56"/>
      <c r="EAE30" s="57"/>
      <c r="EAF30" s="58"/>
      <c r="EAG30" s="56"/>
      <c r="EAH30" s="57"/>
      <c r="EAI30" s="57"/>
      <c r="EAJ30" s="57"/>
      <c r="EAK30" s="56"/>
      <c r="EAL30" s="57"/>
      <c r="EAM30" s="57"/>
      <c r="EAN30" s="56"/>
      <c r="EAO30" s="57"/>
      <c r="EAP30" s="58"/>
      <c r="EAQ30" s="56"/>
      <c r="EAR30" s="57"/>
      <c r="EAS30" s="57"/>
      <c r="EAT30" s="57"/>
      <c r="EAU30" s="56"/>
      <c r="EAV30" s="57"/>
      <c r="EAW30" s="57"/>
      <c r="EAX30" s="56"/>
      <c r="EAY30" s="57"/>
      <c r="EAZ30" s="58"/>
      <c r="EBA30" s="56"/>
      <c r="EBB30" s="58"/>
      <c r="EBC30" s="57"/>
      <c r="EBD30" s="56"/>
      <c r="EBE30" s="57"/>
      <c r="EBF30" s="56"/>
      <c r="EBG30" s="56"/>
      <c r="EBH30" s="56"/>
      <c r="EBI30" s="57"/>
      <c r="EBJ30" s="387"/>
      <c r="EBK30" s="57"/>
      <c r="EBL30" s="387"/>
      <c r="EBM30" s="57"/>
      <c r="EBN30" s="387"/>
      <c r="EBO30" s="57"/>
      <c r="EBP30" s="57"/>
      <c r="EBQ30" s="57"/>
      <c r="EBR30" s="57"/>
      <c r="EBS30" s="57"/>
      <c r="EBT30" s="57"/>
      <c r="EBU30" s="57"/>
      <c r="EBV30" s="57"/>
      <c r="EBW30" s="57"/>
      <c r="EBX30" s="57"/>
      <c r="EBY30" s="57"/>
      <c r="EBZ30" s="57"/>
      <c r="ECA30" s="57"/>
      <c r="ECB30" s="57"/>
      <c r="ECC30" s="57"/>
      <c r="ECD30" s="57"/>
      <c r="ECE30" s="57"/>
      <c r="ECF30" s="57"/>
      <c r="ECG30" s="57"/>
      <c r="ECH30" s="57"/>
      <c r="ECI30" s="57"/>
      <c r="ECJ30" s="57"/>
      <c r="ECK30" s="57"/>
      <c r="ECL30" s="57"/>
      <c r="ECM30" s="57"/>
      <c r="ECN30" s="57"/>
      <c r="ECO30" s="57"/>
      <c r="ECP30" s="57"/>
      <c r="ECQ30" s="57"/>
      <c r="ECR30" s="57"/>
      <c r="ECS30" s="57"/>
      <c r="ECT30" s="58"/>
      <c r="ECU30" s="56"/>
      <c r="ECV30" s="57"/>
      <c r="ECW30" s="57"/>
      <c r="ECX30" s="57"/>
      <c r="ECY30" s="57"/>
      <c r="ECZ30" s="57"/>
      <c r="EDA30" s="56"/>
      <c r="EDB30" s="57"/>
      <c r="EDC30" s="57"/>
      <c r="EDD30" s="56"/>
      <c r="EDE30" s="57"/>
      <c r="EDF30" s="58"/>
      <c r="EDG30" s="56"/>
      <c r="EDH30" s="57"/>
      <c r="EDI30" s="57"/>
      <c r="EDJ30" s="57"/>
      <c r="EDK30" s="56"/>
      <c r="EDL30" s="57"/>
      <c r="EDM30" s="57"/>
      <c r="EDN30" s="56"/>
      <c r="EDO30" s="57"/>
      <c r="EDP30" s="58"/>
      <c r="EDQ30" s="56"/>
      <c r="EDR30" s="57"/>
      <c r="EDS30" s="57"/>
      <c r="EDT30" s="57"/>
      <c r="EDU30" s="56"/>
      <c r="EDV30" s="57"/>
      <c r="EDW30" s="57"/>
      <c r="EDX30" s="56"/>
      <c r="EDY30" s="57"/>
      <c r="EDZ30" s="58"/>
      <c r="EEA30" s="56"/>
      <c r="EEB30" s="57"/>
      <c r="EEC30" s="57"/>
      <c r="EED30" s="57"/>
      <c r="EEE30" s="56"/>
      <c r="EEF30" s="57"/>
      <c r="EEG30" s="57"/>
      <c r="EEH30" s="56"/>
      <c r="EEI30" s="57"/>
      <c r="EEJ30" s="58"/>
      <c r="EEK30" s="56"/>
      <c r="EEL30" s="58"/>
      <c r="EEM30" s="57"/>
      <c r="EEN30" s="56"/>
      <c r="EEO30" s="57"/>
      <c r="EEP30" s="56"/>
      <c r="EEQ30" s="56"/>
      <c r="EER30" s="56"/>
      <c r="EES30" s="57"/>
      <c r="EET30" s="387"/>
      <c r="EEU30" s="57"/>
      <c r="EEV30" s="387"/>
      <c r="EEW30" s="57"/>
      <c r="EEX30" s="387"/>
      <c r="EEY30" s="57"/>
      <c r="EEZ30" s="57"/>
      <c r="EFA30" s="57"/>
      <c r="EFB30" s="57"/>
      <c r="EFC30" s="57"/>
      <c r="EFD30" s="57"/>
      <c r="EFE30" s="57"/>
      <c r="EFF30" s="57"/>
      <c r="EFG30" s="57"/>
      <c r="EFH30" s="57"/>
      <c r="EFI30" s="57"/>
      <c r="EFJ30" s="57"/>
      <c r="EFK30" s="57"/>
      <c r="EFL30" s="57"/>
      <c r="EFM30" s="57"/>
      <c r="EFN30" s="57"/>
      <c r="EFO30" s="57"/>
      <c r="EFP30" s="57"/>
      <c r="EFQ30" s="57"/>
      <c r="EFR30" s="57"/>
      <c r="EFS30" s="57"/>
      <c r="EFT30" s="57"/>
      <c r="EFU30" s="57"/>
      <c r="EFV30" s="57"/>
      <c r="EFW30" s="57"/>
      <c r="EFX30" s="57"/>
      <c r="EFY30" s="57"/>
      <c r="EFZ30" s="57"/>
      <c r="EGA30" s="57"/>
      <c r="EGB30" s="57"/>
      <c r="EGC30" s="57"/>
      <c r="EGD30" s="58"/>
      <c r="EGE30" s="56"/>
      <c r="EGF30" s="57"/>
      <c r="EGG30" s="57"/>
      <c r="EGH30" s="57"/>
      <c r="EGI30" s="57"/>
      <c r="EGJ30" s="57"/>
      <c r="EGK30" s="56"/>
      <c r="EGL30" s="57"/>
      <c r="EGM30" s="57"/>
      <c r="EGN30" s="56"/>
      <c r="EGO30" s="57"/>
      <c r="EGP30" s="58"/>
      <c r="EGQ30" s="56"/>
      <c r="EGR30" s="57"/>
      <c r="EGS30" s="57"/>
      <c r="EGT30" s="57"/>
      <c r="EGU30" s="56"/>
      <c r="EGV30" s="57"/>
      <c r="EGW30" s="57"/>
      <c r="EGX30" s="56"/>
      <c r="EGY30" s="57"/>
      <c r="EGZ30" s="58"/>
      <c r="EHA30" s="56"/>
      <c r="EHB30" s="57"/>
      <c r="EHC30" s="57"/>
      <c r="EHD30" s="57"/>
      <c r="EHE30" s="56"/>
      <c r="EHF30" s="57"/>
      <c r="EHG30" s="57"/>
      <c r="EHH30" s="56"/>
      <c r="EHI30" s="57"/>
      <c r="EHJ30" s="58"/>
      <c r="EHK30" s="56"/>
      <c r="EHL30" s="57"/>
      <c r="EHM30" s="57"/>
      <c r="EHN30" s="57"/>
      <c r="EHO30" s="56"/>
      <c r="EHP30" s="57"/>
      <c r="EHQ30" s="57"/>
      <c r="EHR30" s="56"/>
      <c r="EHS30" s="57"/>
      <c r="EHT30" s="58"/>
      <c r="EHU30" s="56"/>
      <c r="EHV30" s="58"/>
      <c r="EHW30" s="57"/>
      <c r="EHX30" s="56"/>
      <c r="EHY30" s="57"/>
      <c r="EHZ30" s="56"/>
      <c r="EIA30" s="56"/>
      <c r="EIB30" s="56"/>
      <c r="EIC30" s="57"/>
      <c r="EID30" s="387"/>
      <c r="EIE30" s="57"/>
      <c r="EIF30" s="387"/>
      <c r="EIG30" s="57"/>
      <c r="EIH30" s="387"/>
      <c r="EII30" s="57"/>
      <c r="EIJ30" s="57"/>
      <c r="EIK30" s="57"/>
      <c r="EIL30" s="57"/>
      <c r="EIM30" s="57"/>
      <c r="EIN30" s="57"/>
      <c r="EIO30" s="57"/>
      <c r="EIP30" s="57"/>
      <c r="EIQ30" s="57"/>
      <c r="EIR30" s="57"/>
      <c r="EIS30" s="57"/>
      <c r="EIT30" s="57"/>
      <c r="EIU30" s="57"/>
      <c r="EIV30" s="57"/>
      <c r="EIW30" s="57"/>
      <c r="EIX30" s="57"/>
      <c r="EIY30" s="57"/>
      <c r="EIZ30" s="57"/>
      <c r="EJA30" s="57"/>
      <c r="EJB30" s="57"/>
      <c r="EJC30" s="57"/>
      <c r="EJD30" s="57"/>
      <c r="EJE30" s="57"/>
      <c r="EJF30" s="57"/>
      <c r="EJG30" s="57"/>
      <c r="EJH30" s="57"/>
      <c r="EJI30" s="57"/>
      <c r="EJJ30" s="57"/>
      <c r="EJK30" s="57"/>
      <c r="EJL30" s="57"/>
      <c r="EJM30" s="57"/>
      <c r="EJN30" s="58"/>
      <c r="EJO30" s="56"/>
      <c r="EJP30" s="57"/>
      <c r="EJQ30" s="57"/>
      <c r="EJR30" s="57"/>
      <c r="EJS30" s="57"/>
      <c r="EJT30" s="57"/>
      <c r="EJU30" s="56"/>
      <c r="EJV30" s="57"/>
      <c r="EJW30" s="57"/>
      <c r="EJX30" s="56"/>
      <c r="EJY30" s="57"/>
      <c r="EJZ30" s="58"/>
      <c r="EKA30" s="56"/>
      <c r="EKB30" s="57"/>
      <c r="EKC30" s="57"/>
      <c r="EKD30" s="57"/>
      <c r="EKE30" s="56"/>
      <c r="EKF30" s="57"/>
      <c r="EKG30" s="57"/>
      <c r="EKH30" s="56"/>
      <c r="EKI30" s="57"/>
      <c r="EKJ30" s="58"/>
      <c r="EKK30" s="56"/>
      <c r="EKL30" s="57"/>
      <c r="EKM30" s="57"/>
      <c r="EKN30" s="57"/>
      <c r="EKO30" s="56"/>
      <c r="EKP30" s="57"/>
      <c r="EKQ30" s="57"/>
      <c r="EKR30" s="56"/>
      <c r="EKS30" s="57"/>
      <c r="EKT30" s="58"/>
      <c r="EKU30" s="56"/>
      <c r="EKV30" s="57"/>
      <c r="EKW30" s="57"/>
      <c r="EKX30" s="57"/>
      <c r="EKY30" s="56"/>
      <c r="EKZ30" s="57"/>
      <c r="ELA30" s="57"/>
      <c r="ELB30" s="56"/>
      <c r="ELC30" s="57"/>
      <c r="ELD30" s="58"/>
      <c r="ELE30" s="56"/>
      <c r="ELF30" s="58"/>
      <c r="ELG30" s="57"/>
      <c r="ELH30" s="56"/>
      <c r="ELI30" s="57"/>
      <c r="ELJ30" s="56"/>
      <c r="ELK30" s="56"/>
      <c r="ELL30" s="56"/>
      <c r="ELM30" s="57"/>
      <c r="ELN30" s="387"/>
      <c r="ELO30" s="57"/>
      <c r="ELP30" s="387"/>
      <c r="ELQ30" s="57"/>
      <c r="ELR30" s="387"/>
      <c r="ELS30" s="57"/>
      <c r="ELT30" s="57"/>
      <c r="ELU30" s="57"/>
      <c r="ELV30" s="57"/>
      <c r="ELW30" s="57"/>
      <c r="ELX30" s="57"/>
      <c r="ELY30" s="57"/>
      <c r="ELZ30" s="57"/>
      <c r="EMA30" s="57"/>
      <c r="EMB30" s="57"/>
      <c r="EMC30" s="57"/>
      <c r="EMD30" s="57"/>
      <c r="EME30" s="57"/>
      <c r="EMF30" s="57"/>
      <c r="EMG30" s="57"/>
      <c r="EMH30" s="57"/>
      <c r="EMI30" s="57"/>
      <c r="EMJ30" s="57"/>
      <c r="EMK30" s="57"/>
      <c r="EML30" s="57"/>
      <c r="EMM30" s="57"/>
      <c r="EMN30" s="57"/>
      <c r="EMO30" s="57"/>
      <c r="EMP30" s="57"/>
      <c r="EMQ30" s="57"/>
      <c r="EMR30" s="57"/>
      <c r="EMS30" s="57"/>
      <c r="EMT30" s="57"/>
      <c r="EMU30" s="57"/>
      <c r="EMV30" s="57"/>
      <c r="EMW30" s="57"/>
      <c r="EMX30" s="58"/>
      <c r="EMY30" s="56"/>
      <c r="EMZ30" s="57"/>
      <c r="ENA30" s="57"/>
      <c r="ENB30" s="57"/>
      <c r="ENC30" s="57"/>
      <c r="END30" s="57"/>
      <c r="ENE30" s="56"/>
      <c r="ENF30" s="57"/>
      <c r="ENG30" s="57"/>
      <c r="ENH30" s="56"/>
      <c r="ENI30" s="57"/>
      <c r="ENJ30" s="58"/>
      <c r="ENK30" s="56"/>
      <c r="ENL30" s="57"/>
      <c r="ENM30" s="57"/>
      <c r="ENN30" s="57"/>
      <c r="ENO30" s="56"/>
      <c r="ENP30" s="57"/>
      <c r="ENQ30" s="57"/>
      <c r="ENR30" s="56"/>
      <c r="ENS30" s="57"/>
      <c r="ENT30" s="58"/>
      <c r="ENU30" s="56"/>
      <c r="ENV30" s="57"/>
      <c r="ENW30" s="57"/>
      <c r="ENX30" s="57"/>
      <c r="ENY30" s="56"/>
      <c r="ENZ30" s="57"/>
      <c r="EOA30" s="57"/>
      <c r="EOB30" s="56"/>
      <c r="EOC30" s="57"/>
      <c r="EOD30" s="58"/>
      <c r="EOE30" s="56"/>
      <c r="EOF30" s="57"/>
      <c r="EOG30" s="57"/>
      <c r="EOH30" s="57"/>
      <c r="EOI30" s="56"/>
      <c r="EOJ30" s="57"/>
      <c r="EOK30" s="57"/>
      <c r="EOL30" s="56"/>
      <c r="EOM30" s="57"/>
      <c r="EON30" s="58"/>
      <c r="EOO30" s="56" t="str">
        <f t="shared" si="75"/>
        <v xml:space="preserve"> </v>
      </c>
    </row>
    <row r="31" spans="1:3785" x14ac:dyDescent="0.3">
      <c r="A31" s="393" t="s">
        <v>192</v>
      </c>
      <c r="B31" s="30" t="s">
        <v>3738</v>
      </c>
      <c r="C31" s="29"/>
      <c r="D31" s="28" t="str">
        <f t="shared" si="61"/>
        <v xml:space="preserve"> </v>
      </c>
      <c r="E31" s="29"/>
      <c r="F31" s="28"/>
      <c r="G31" s="31">
        <v>45313</v>
      </c>
      <c r="H31" s="31">
        <f>+G31+365</f>
        <v>45678</v>
      </c>
      <c r="I31" s="29" t="s">
        <v>1372</v>
      </c>
      <c r="J31" s="29" t="s">
        <v>1373</v>
      </c>
      <c r="K31" s="29" t="s">
        <v>1372</v>
      </c>
      <c r="L31" s="29" t="s">
        <v>1373</v>
      </c>
      <c r="M31" s="29" t="s">
        <v>1461</v>
      </c>
      <c r="N31" s="388" t="s">
        <v>3739</v>
      </c>
      <c r="O31" s="29"/>
      <c r="P31" s="29" t="s">
        <v>1372</v>
      </c>
      <c r="Q31" s="29" t="s">
        <v>1372</v>
      </c>
      <c r="R31" s="29" t="s">
        <v>1372</v>
      </c>
      <c r="S31" s="29" t="s">
        <v>1372</v>
      </c>
      <c r="T31" s="29" t="s">
        <v>1372</v>
      </c>
      <c r="U31" s="29" t="s">
        <v>1372</v>
      </c>
      <c r="V31" s="29" t="s">
        <v>1372</v>
      </c>
      <c r="W31" s="29"/>
      <c r="X31" s="29"/>
      <c r="Y31" s="29"/>
      <c r="Z31" s="29" t="s">
        <v>1372</v>
      </c>
      <c r="AA31" s="29"/>
      <c r="AB31" s="29"/>
      <c r="AC31" s="29"/>
      <c r="AD31" s="29"/>
      <c r="AE31" s="29"/>
      <c r="AF31" s="29" t="s">
        <v>1372</v>
      </c>
      <c r="AG31" s="29" t="s">
        <v>1372</v>
      </c>
      <c r="AH31" s="29"/>
      <c r="AI31" s="29"/>
      <c r="AJ31" s="29"/>
      <c r="AK31" s="29"/>
      <c r="AL31" s="29" t="s">
        <v>1372</v>
      </c>
      <c r="AM31" s="29" t="s">
        <v>1372</v>
      </c>
      <c r="AN31" s="29"/>
      <c r="AO31" s="29"/>
      <c r="AP31" s="29" t="s">
        <v>1372</v>
      </c>
      <c r="AQ31" s="29"/>
      <c r="AR31" s="29" t="s">
        <v>1768</v>
      </c>
      <c r="AS31" s="29"/>
      <c r="AT31" s="30" t="s">
        <v>3695</v>
      </c>
      <c r="AU31" s="29" t="s">
        <v>1371</v>
      </c>
      <c r="AV31" s="28" t="str">
        <f t="shared" si="143"/>
        <v xml:space="preserve"> </v>
      </c>
      <c r="AW31" s="29"/>
      <c r="AX31" s="28"/>
      <c r="AY31" s="31">
        <v>45313</v>
      </c>
      <c r="AZ31" s="31">
        <f>+AY31+365</f>
        <v>45678</v>
      </c>
      <c r="BA31" s="29" t="s">
        <v>1372</v>
      </c>
      <c r="BB31" s="29" t="s">
        <v>1373</v>
      </c>
      <c r="BC31" s="29" t="s">
        <v>1372</v>
      </c>
      <c r="BD31" s="29" t="s">
        <v>1373</v>
      </c>
      <c r="BE31" s="29" t="s">
        <v>1461</v>
      </c>
      <c r="BF31" s="388" t="s">
        <v>3696</v>
      </c>
      <c r="BG31" s="29" t="s">
        <v>2582</v>
      </c>
      <c r="BH31" s="29"/>
      <c r="BI31" s="29" t="s">
        <v>1372</v>
      </c>
      <c r="BJ31" s="29" t="s">
        <v>1372</v>
      </c>
      <c r="BK31" s="29" t="s">
        <v>1372</v>
      </c>
      <c r="BL31" s="29" t="s">
        <v>1372</v>
      </c>
      <c r="BM31" s="29" t="s">
        <v>1372</v>
      </c>
      <c r="BN31" s="29" t="s">
        <v>1372</v>
      </c>
      <c r="BO31" s="29"/>
      <c r="BP31" s="29"/>
      <c r="BQ31" s="29"/>
      <c r="BR31" s="29" t="s">
        <v>1372</v>
      </c>
      <c r="BS31" s="29"/>
      <c r="BT31" s="29"/>
      <c r="BU31" s="29"/>
      <c r="BV31" s="29"/>
      <c r="BW31" s="29"/>
      <c r="BX31" s="29" t="s">
        <v>1372</v>
      </c>
      <c r="BY31" s="29"/>
      <c r="BZ31" s="29"/>
      <c r="CA31" s="29"/>
      <c r="CB31" s="29"/>
      <c r="CC31" s="29"/>
      <c r="CD31" s="29"/>
      <c r="CE31" s="29"/>
      <c r="CF31" s="29"/>
      <c r="CG31" s="29"/>
      <c r="CH31" s="29"/>
      <c r="CI31" s="29"/>
      <c r="CJ31" s="29"/>
      <c r="CK31" s="29" t="s">
        <v>1783</v>
      </c>
      <c r="CL31" s="29"/>
      <c r="CM31" s="29"/>
      <c r="CN31" s="29"/>
      <c r="CO31" s="31"/>
      <c r="CP31" s="32"/>
      <c r="CQ31" s="32"/>
      <c r="CR31" s="28"/>
      <c r="CS31" s="29"/>
      <c r="CT31" s="30"/>
      <c r="CU31" s="28"/>
      <c r="CV31" s="29"/>
      <c r="CW31" s="29"/>
      <c r="CX31" s="29"/>
      <c r="CY31" s="31"/>
      <c r="CZ31" s="32"/>
      <c r="DA31" s="32"/>
      <c r="DB31" s="28"/>
      <c r="DC31" s="29"/>
      <c r="DD31" s="30"/>
      <c r="DE31" s="28"/>
      <c r="DF31" s="29"/>
      <c r="DG31" s="29"/>
      <c r="DH31" s="29"/>
      <c r="DI31" s="31"/>
      <c r="DJ31" s="32"/>
      <c r="DK31" s="32"/>
      <c r="DL31" s="28"/>
      <c r="DM31" s="29"/>
      <c r="DN31" s="30"/>
      <c r="DO31" s="28"/>
      <c r="DP31" s="29"/>
      <c r="DQ31" s="29"/>
      <c r="DR31" s="29"/>
      <c r="DS31" s="31"/>
      <c r="DT31" s="32"/>
      <c r="DU31" s="32"/>
      <c r="DV31" s="28"/>
      <c r="DW31" s="29"/>
      <c r="DX31" s="30"/>
      <c r="DY31" s="28"/>
      <c r="DZ31" s="29"/>
      <c r="EA31" s="29"/>
      <c r="EB31" s="29"/>
      <c r="EC31" s="31"/>
      <c r="ED31" s="32"/>
      <c r="EE31" s="28"/>
      <c r="EF31" s="28"/>
      <c r="EG31" s="29"/>
      <c r="EH31" s="30"/>
      <c r="EI31" s="28"/>
      <c r="EJ31" s="29"/>
      <c r="EK31" s="29"/>
      <c r="EL31" s="29"/>
      <c r="EM31" s="31"/>
      <c r="EN31" s="32"/>
      <c r="EO31" s="33"/>
      <c r="EP31" s="28"/>
      <c r="EQ31" s="29"/>
      <c r="ER31" s="30"/>
      <c r="ES31" s="28"/>
      <c r="ET31" s="29"/>
      <c r="EU31" s="29"/>
      <c r="EV31" s="29"/>
      <c r="EW31" s="31"/>
      <c r="EX31" s="32"/>
      <c r="EY31" s="32"/>
      <c r="EZ31" s="28"/>
      <c r="FA31" s="29"/>
      <c r="FB31" s="30"/>
      <c r="FC31" s="28"/>
      <c r="FD31" s="29"/>
      <c r="FE31" s="29"/>
      <c r="FF31" s="29"/>
      <c r="FG31" s="31"/>
      <c r="FH31" s="32"/>
      <c r="FI31" s="32"/>
      <c r="FJ31" s="28"/>
      <c r="FK31" s="29"/>
      <c r="FL31" s="30"/>
      <c r="FM31" s="28"/>
      <c r="FN31" s="29"/>
      <c r="FO31" s="29"/>
      <c r="FP31" s="29"/>
      <c r="FQ31" s="31"/>
      <c r="FR31" s="32"/>
      <c r="FS31" s="32"/>
      <c r="FT31" s="28"/>
      <c r="FU31" s="29"/>
      <c r="FV31" s="30"/>
      <c r="FW31" s="28"/>
      <c r="FX31" s="29"/>
      <c r="FY31" s="29"/>
      <c r="FZ31" s="29"/>
      <c r="GA31" s="31"/>
      <c r="GB31" s="32"/>
      <c r="GC31" s="32"/>
      <c r="GD31" s="28"/>
      <c r="GE31" s="29"/>
      <c r="GF31" s="30"/>
      <c r="GG31" s="28"/>
      <c r="GH31" s="29"/>
      <c r="GI31" s="29"/>
      <c r="GJ31" s="29"/>
      <c r="GK31" s="31"/>
      <c r="GL31" s="32"/>
      <c r="GM31" s="32"/>
      <c r="GN31" s="28"/>
      <c r="GO31" s="29"/>
      <c r="GP31" s="30"/>
      <c r="GQ31" s="28"/>
      <c r="GR31" s="29"/>
      <c r="GS31" s="29"/>
      <c r="GT31" s="29"/>
      <c r="GU31" s="31"/>
      <c r="GV31" s="32"/>
      <c r="GW31" s="32"/>
      <c r="GX31" s="28"/>
      <c r="GY31" s="29"/>
      <c r="GZ31" s="30"/>
      <c r="HA31" s="28"/>
      <c r="HB31" s="29"/>
      <c r="HC31" s="29"/>
      <c r="HD31" s="29"/>
      <c r="HE31" s="31"/>
      <c r="HF31" s="32"/>
      <c r="HG31" s="32"/>
      <c r="HH31" s="28"/>
      <c r="HI31" s="29"/>
      <c r="HJ31" s="30"/>
      <c r="HK31" s="28"/>
      <c r="HL31" s="29"/>
      <c r="HM31" s="29"/>
      <c r="HN31" s="29"/>
      <c r="HO31" s="31"/>
      <c r="HP31" s="32"/>
      <c r="HQ31" s="32"/>
      <c r="HR31" s="28"/>
      <c r="HS31" s="29"/>
      <c r="HT31" s="30"/>
      <c r="HU31" s="28"/>
      <c r="HV31" s="29"/>
      <c r="HW31" s="29"/>
      <c r="HX31" s="29"/>
      <c r="HY31" s="31"/>
      <c r="HZ31" s="32"/>
      <c r="IA31" s="32"/>
      <c r="IB31" s="28"/>
      <c r="IC31" s="29"/>
      <c r="ID31" s="30"/>
      <c r="IE31" s="28"/>
      <c r="IF31" s="29"/>
      <c r="IG31" s="29"/>
      <c r="IH31" s="29"/>
      <c r="II31" s="31"/>
      <c r="IJ31" s="32"/>
      <c r="IK31" s="32"/>
      <c r="IL31" s="28"/>
      <c r="IM31" s="29"/>
      <c r="IN31" s="30"/>
      <c r="IO31" s="28"/>
      <c r="IP31" s="29"/>
      <c r="IQ31" s="29"/>
      <c r="IR31" s="29"/>
      <c r="IS31" s="31"/>
      <c r="IT31" s="32"/>
      <c r="IU31" s="32"/>
      <c r="IV31" s="28"/>
      <c r="IW31" s="29"/>
      <c r="IX31" s="30"/>
      <c r="IY31" s="28"/>
      <c r="IZ31" s="29"/>
      <c r="JA31" s="29"/>
      <c r="JB31" s="29"/>
      <c r="JC31" s="31"/>
      <c r="JD31" s="32"/>
      <c r="JE31" s="32"/>
      <c r="JF31" s="28"/>
      <c r="JG31" s="29"/>
      <c r="JH31" s="30"/>
      <c r="JI31" s="28"/>
      <c r="JJ31" s="29"/>
      <c r="JK31" s="29"/>
      <c r="JL31" s="29"/>
      <c r="JM31" s="31"/>
      <c r="JN31" s="32"/>
      <c r="JO31" s="32"/>
      <c r="JP31" s="28"/>
      <c r="JQ31" s="29"/>
      <c r="JR31" s="30"/>
      <c r="JS31" s="28"/>
      <c r="JT31" s="29"/>
      <c r="JU31" s="29"/>
      <c r="JV31" s="29"/>
      <c r="JW31" s="31"/>
      <c r="JX31" s="32"/>
      <c r="JY31" s="32"/>
      <c r="JZ31" s="28"/>
      <c r="KA31" s="29"/>
      <c r="KB31" s="30"/>
      <c r="KC31" s="28"/>
      <c r="KD31" s="29"/>
      <c r="KE31" s="29"/>
      <c r="KF31" s="29"/>
      <c r="KG31" s="31"/>
      <c r="KH31" s="32"/>
      <c r="KI31" s="32"/>
      <c r="KJ31" s="28"/>
      <c r="KK31" s="29"/>
      <c r="KL31" s="30"/>
      <c r="KM31" s="28"/>
      <c r="KN31" s="29"/>
      <c r="KO31" s="29"/>
      <c r="KP31" s="29"/>
      <c r="KQ31" s="31"/>
      <c r="KR31" s="32"/>
      <c r="KS31" s="32"/>
      <c r="KT31" s="28"/>
      <c r="KU31" s="29"/>
      <c r="KV31" s="30"/>
      <c r="KW31" s="28"/>
      <c r="KX31" s="29"/>
      <c r="KY31" s="29"/>
      <c r="KZ31" s="29"/>
      <c r="LA31" s="31"/>
      <c r="LB31" s="32"/>
      <c r="LC31" s="32"/>
      <c r="LD31" s="28"/>
      <c r="LE31" s="29"/>
      <c r="LF31" s="30"/>
      <c r="LG31" s="28"/>
      <c r="LH31" s="29"/>
      <c r="LI31" s="29"/>
      <c r="LJ31" s="29"/>
      <c r="LK31" s="31"/>
      <c r="LL31" s="32"/>
      <c r="LM31" s="32"/>
      <c r="LN31" s="28"/>
      <c r="LO31" s="29"/>
      <c r="LP31" s="30"/>
      <c r="LQ31" s="28"/>
      <c r="LR31" s="29"/>
      <c r="LS31" s="29"/>
      <c r="LT31" s="29"/>
      <c r="LU31" s="31"/>
      <c r="LV31" s="32"/>
      <c r="LW31" s="32"/>
      <c r="LX31" s="28"/>
      <c r="LY31" s="29"/>
      <c r="LZ31" s="30"/>
      <c r="MA31" s="28"/>
      <c r="MB31" s="29"/>
      <c r="MC31" s="29"/>
      <c r="MD31" s="29"/>
      <c r="ME31" s="31"/>
      <c r="MF31" s="32"/>
      <c r="MG31" s="32"/>
      <c r="MH31" s="28"/>
      <c r="MI31" s="29"/>
      <c r="MJ31" s="30"/>
      <c r="MK31" s="28"/>
      <c r="ML31" s="29"/>
      <c r="MM31" s="29"/>
      <c r="MN31" s="29"/>
      <c r="MO31" s="31"/>
      <c r="MP31" s="32"/>
      <c r="MQ31" s="32"/>
      <c r="MR31" s="28"/>
      <c r="MS31" s="29"/>
      <c r="MT31" s="30"/>
      <c r="MU31" s="28"/>
      <c r="MV31" s="29"/>
      <c r="MW31" s="29"/>
      <c r="MX31" s="29"/>
      <c r="MY31" s="31"/>
      <c r="MZ31" s="32"/>
      <c r="NA31" s="32"/>
      <c r="NB31" s="28"/>
      <c r="NC31" s="29"/>
      <c r="ND31" s="30"/>
      <c r="NE31" s="28"/>
      <c r="NF31" s="29"/>
      <c r="NG31" s="29"/>
      <c r="NH31" s="29"/>
      <c r="NI31" s="31"/>
      <c r="NJ31" s="32"/>
      <c r="NK31" s="32"/>
      <c r="NL31" s="28"/>
      <c r="NM31" s="29"/>
      <c r="NN31" s="30"/>
      <c r="NO31" s="28"/>
      <c r="NP31" s="29"/>
      <c r="NQ31" s="29"/>
      <c r="NR31" s="29"/>
      <c r="NS31" s="31"/>
      <c r="NT31" s="32"/>
      <c r="NU31" s="32"/>
      <c r="NV31" s="28"/>
      <c r="NW31" s="29"/>
      <c r="NX31" s="30"/>
      <c r="NY31" s="28"/>
      <c r="NZ31" s="29"/>
      <c r="OA31" s="29"/>
      <c r="OB31" s="29"/>
      <c r="OC31" s="31"/>
      <c r="OD31" s="32"/>
      <c r="OE31" s="32"/>
      <c r="OF31" s="28"/>
      <c r="OG31" s="29"/>
      <c r="OH31" s="30"/>
      <c r="OI31" s="28"/>
      <c r="OJ31" s="29"/>
      <c r="OK31" s="29"/>
      <c r="OL31" s="29"/>
      <c r="OM31" s="31"/>
      <c r="ON31" s="32"/>
      <c r="OO31" s="32"/>
      <c r="OP31" s="28"/>
      <c r="OQ31" s="29"/>
      <c r="OR31" s="30"/>
      <c r="OS31" s="28"/>
      <c r="OT31" s="29"/>
      <c r="OU31" s="29"/>
      <c r="OV31" s="29"/>
      <c r="OW31" s="31"/>
      <c r="OX31" s="32"/>
      <c r="OY31" s="32"/>
      <c r="OZ31" s="28"/>
      <c r="PA31" s="29"/>
      <c r="PB31" s="30"/>
      <c r="PC31" s="28"/>
      <c r="PD31" s="29"/>
      <c r="PE31" s="29"/>
      <c r="PF31" s="29"/>
      <c r="PG31" s="31"/>
      <c r="PH31" s="32"/>
      <c r="PI31" s="32"/>
      <c r="PJ31" s="28"/>
      <c r="PK31" s="29"/>
      <c r="PL31" s="30"/>
      <c r="PM31" s="28"/>
      <c r="PN31" s="29"/>
      <c r="PO31" s="29"/>
      <c r="PP31" s="29"/>
      <c r="PQ31" s="31"/>
      <c r="PR31" s="32"/>
      <c r="PS31" s="32"/>
      <c r="PT31" s="28"/>
      <c r="PU31" s="29"/>
      <c r="PV31" s="30"/>
      <c r="PW31" s="28"/>
      <c r="PX31" s="29"/>
      <c r="PY31" s="29"/>
      <c r="PZ31" s="29"/>
      <c r="QA31" s="28"/>
      <c r="QB31" s="29"/>
      <c r="QC31" s="29"/>
      <c r="QD31" s="28"/>
      <c r="QE31" s="29"/>
      <c r="QF31" s="30"/>
      <c r="QG31" s="28"/>
      <c r="QH31" s="29"/>
      <c r="QI31" s="29"/>
      <c r="QJ31" s="29"/>
      <c r="QK31" s="28"/>
      <c r="QL31" s="29"/>
      <c r="QM31" s="29"/>
      <c r="QN31" s="28"/>
      <c r="QO31" s="29"/>
      <c r="QP31" s="30"/>
      <c r="QQ31" s="28"/>
      <c r="QR31" s="29"/>
      <c r="QS31" s="29"/>
      <c r="QT31" s="29"/>
      <c r="QU31" s="28"/>
      <c r="QV31" s="29"/>
      <c r="QW31" s="29"/>
      <c r="QX31" s="28"/>
      <c r="QY31" s="29"/>
      <c r="QZ31" s="30"/>
      <c r="RA31" s="28"/>
      <c r="RB31" s="29"/>
      <c r="RC31" s="29"/>
      <c r="RD31" s="29"/>
      <c r="RE31" s="28"/>
      <c r="RF31" s="29"/>
      <c r="RG31" s="29"/>
      <c r="RH31" s="28"/>
      <c r="RI31" s="29"/>
      <c r="RJ31" s="30"/>
      <c r="RK31" s="28"/>
      <c r="RL31" s="29"/>
      <c r="RM31" s="29"/>
      <c r="RN31" s="29"/>
      <c r="RO31" s="28"/>
      <c r="RP31" s="29"/>
      <c r="RQ31" s="29"/>
      <c r="RR31" s="28"/>
      <c r="RS31" s="29"/>
      <c r="RT31" s="30"/>
      <c r="RU31" s="28"/>
      <c r="RV31" s="29"/>
      <c r="RW31" s="29"/>
      <c r="RX31" s="29"/>
      <c r="RY31" s="28"/>
      <c r="RZ31" s="29"/>
      <c r="SA31" s="29"/>
      <c r="SB31" s="28"/>
      <c r="SC31" s="29"/>
      <c r="SD31" s="30"/>
      <c r="SE31" s="28"/>
      <c r="SF31" s="29"/>
      <c r="SG31" s="29"/>
      <c r="SH31" s="29"/>
      <c r="SI31" s="28"/>
      <c r="SJ31" s="29"/>
      <c r="SK31" s="29"/>
      <c r="SL31" s="28"/>
      <c r="SM31" s="29"/>
      <c r="SN31" s="30"/>
      <c r="SO31" s="28"/>
      <c r="SP31" s="29"/>
      <c r="SQ31" s="29"/>
      <c r="SR31" s="29"/>
      <c r="SS31" s="28"/>
      <c r="ST31" s="29"/>
      <c r="SU31" s="29"/>
      <c r="SV31" s="28"/>
      <c r="SW31" s="29"/>
      <c r="SX31" s="30"/>
      <c r="SY31" s="28"/>
      <c r="SZ31" s="29"/>
      <c r="TA31" s="29"/>
      <c r="TB31" s="29"/>
      <c r="TC31" s="28"/>
      <c r="TD31" s="29"/>
      <c r="TE31" s="29"/>
      <c r="TF31" s="28"/>
      <c r="TG31" s="29"/>
      <c r="TH31" s="30"/>
      <c r="TI31" s="28"/>
      <c r="TJ31" s="29"/>
      <c r="TK31" s="29"/>
      <c r="TL31" s="29"/>
      <c r="TM31" s="28"/>
      <c r="TN31" s="29"/>
      <c r="TO31" s="29"/>
      <c r="TP31" s="28"/>
      <c r="TQ31" s="29"/>
      <c r="TR31" s="30"/>
      <c r="TS31" s="28"/>
      <c r="TT31" s="29"/>
      <c r="TU31" s="29"/>
      <c r="TV31" s="29"/>
      <c r="TW31" s="28"/>
      <c r="TX31" s="29"/>
      <c r="TY31" s="29"/>
      <c r="TZ31" s="28"/>
      <c r="UA31" s="29"/>
      <c r="UB31" s="30"/>
      <c r="UC31" s="28"/>
      <c r="UD31" s="29"/>
      <c r="UE31" s="29"/>
      <c r="UF31" s="29"/>
      <c r="UG31" s="28"/>
      <c r="UH31" s="29"/>
      <c r="UI31" s="29"/>
      <c r="UJ31" s="28"/>
      <c r="UK31" s="29"/>
      <c r="UL31" s="30"/>
      <c r="UM31" s="28"/>
      <c r="UN31" s="29"/>
      <c r="UO31" s="29"/>
      <c r="UP31" s="29"/>
      <c r="UQ31" s="28"/>
      <c r="UR31" s="29"/>
      <c r="US31" s="29"/>
      <c r="UT31" s="28"/>
      <c r="UU31" s="29"/>
      <c r="UV31" s="30"/>
      <c r="UW31" s="28"/>
      <c r="UX31" s="29"/>
      <c r="UY31" s="29"/>
      <c r="UZ31" s="29"/>
      <c r="VA31" s="28"/>
      <c r="VB31" s="29"/>
      <c r="VC31" s="29"/>
      <c r="VD31" s="28"/>
      <c r="VE31" s="29"/>
      <c r="VF31" s="30"/>
      <c r="VG31" s="28"/>
      <c r="VH31" s="29"/>
      <c r="VI31" s="29"/>
      <c r="VJ31" s="29"/>
      <c r="VK31" s="28"/>
      <c r="VL31" s="29"/>
      <c r="VM31" s="29"/>
      <c r="VN31" s="28"/>
      <c r="VO31" s="29"/>
      <c r="VP31" s="30"/>
      <c r="VQ31" s="28"/>
      <c r="VR31" s="29"/>
      <c r="VS31" s="29"/>
      <c r="VT31" s="29"/>
      <c r="VU31" s="28"/>
      <c r="VV31" s="29"/>
      <c r="VW31" s="29"/>
      <c r="VX31" s="28"/>
      <c r="VY31" s="29"/>
      <c r="VZ31" s="30"/>
      <c r="WA31" s="28"/>
      <c r="WB31" s="29"/>
      <c r="WC31" s="29"/>
      <c r="WD31" s="29"/>
      <c r="WE31" s="28"/>
      <c r="WF31" s="29"/>
      <c r="WG31" s="29"/>
      <c r="WH31" s="28"/>
      <c r="WI31" s="29"/>
      <c r="WJ31" s="30"/>
      <c r="WK31" s="28"/>
      <c r="WL31" s="29"/>
      <c r="WM31" s="29"/>
      <c r="WN31" s="29"/>
      <c r="WO31" s="28"/>
      <c r="WP31" s="29"/>
      <c r="WQ31" s="29"/>
      <c r="WR31" s="28"/>
      <c r="WS31" s="29"/>
      <c r="WT31" s="30"/>
      <c r="WU31" s="28"/>
      <c r="WV31" s="29"/>
      <c r="WW31" s="29"/>
      <c r="WX31" s="29"/>
      <c r="WY31" s="28"/>
      <c r="WZ31" s="29"/>
      <c r="XA31" s="29"/>
      <c r="XB31" s="28"/>
      <c r="XC31" s="29"/>
      <c r="XD31" s="30"/>
      <c r="XE31" s="28"/>
      <c r="XF31" s="29"/>
      <c r="XG31" s="29"/>
      <c r="XH31" s="29"/>
      <c r="XI31" s="28"/>
      <c r="XJ31" s="29"/>
      <c r="XK31" s="29"/>
      <c r="XL31" s="28"/>
      <c r="XM31" s="29"/>
      <c r="XN31" s="30"/>
      <c r="XO31" s="28"/>
      <c r="XP31" s="29"/>
      <c r="XQ31" s="29"/>
      <c r="XR31" s="29"/>
      <c r="XS31" s="28"/>
      <c r="XT31" s="29"/>
      <c r="XU31" s="29"/>
      <c r="XV31" s="28"/>
      <c r="XW31" s="29"/>
      <c r="XX31" s="30"/>
      <c r="XY31" s="28"/>
      <c r="XZ31" s="29"/>
      <c r="YA31" s="29"/>
      <c r="YB31" s="29"/>
      <c r="YC31" s="28"/>
      <c r="YD31" s="29"/>
      <c r="YE31" s="29"/>
      <c r="YF31" s="28"/>
      <c r="YG31" s="29"/>
      <c r="YH31" s="30"/>
      <c r="YI31" s="28"/>
      <c r="YJ31" s="29"/>
      <c r="YK31" s="29"/>
      <c r="YL31" s="29"/>
      <c r="YM31" s="28"/>
      <c r="YN31" s="29"/>
      <c r="YO31" s="29"/>
      <c r="YP31" s="28"/>
      <c r="YQ31" s="29"/>
      <c r="YR31" s="30"/>
      <c r="YS31" s="28"/>
      <c r="YT31" s="29"/>
      <c r="YU31" s="29"/>
      <c r="YV31" s="29"/>
      <c r="YW31" s="28"/>
      <c r="YX31" s="29"/>
      <c r="YY31" s="29"/>
      <c r="YZ31" s="28"/>
      <c r="ZA31" s="29"/>
      <c r="ZB31" s="30"/>
      <c r="ZC31" s="28"/>
      <c r="ZD31" s="29"/>
      <c r="ZE31" s="29"/>
      <c r="ZF31" s="29"/>
      <c r="ZG31" s="28"/>
      <c r="ZH31" s="29"/>
      <c r="ZI31" s="29"/>
      <c r="ZJ31" s="28"/>
      <c r="ZK31" s="29"/>
      <c r="ZL31" s="30"/>
      <c r="ZM31" s="28"/>
      <c r="ZN31" s="29"/>
      <c r="ZO31" s="29"/>
      <c r="ZP31" s="29"/>
      <c r="ZQ31" s="28"/>
      <c r="ZR31" s="29"/>
      <c r="ZS31" s="29"/>
      <c r="ZT31" s="28"/>
      <c r="ZU31" s="29"/>
      <c r="ZV31" s="30"/>
      <c r="ZW31" s="28"/>
      <c r="ZX31" s="29"/>
      <c r="ZY31" s="29"/>
      <c r="ZZ31" s="29"/>
      <c r="AAA31" s="28"/>
      <c r="AAB31" s="29"/>
      <c r="AAC31" s="29"/>
      <c r="AAD31" s="28"/>
      <c r="AAE31" s="29"/>
      <c r="AAF31" s="30"/>
      <c r="AAG31" s="28"/>
      <c r="AAH31" s="29"/>
      <c r="AAI31" s="29"/>
      <c r="AAJ31" s="29"/>
      <c r="AAK31" s="28"/>
      <c r="AAL31" s="29"/>
      <c r="AAM31" s="29"/>
      <c r="AAN31" s="28"/>
      <c r="AAO31" s="29"/>
      <c r="AAP31" s="30"/>
      <c r="AAQ31" s="28"/>
      <c r="AAR31" s="29"/>
      <c r="AAS31" s="29"/>
      <c r="AAT31" s="29"/>
      <c r="AAU31" s="28"/>
      <c r="AAV31" s="29"/>
      <c r="AAW31" s="29"/>
      <c r="AAX31" s="28"/>
      <c r="AAY31" s="29"/>
      <c r="AAZ31" s="30"/>
      <c r="ABA31" s="28"/>
      <c r="ABB31" s="29"/>
      <c r="ABC31" s="29"/>
      <c r="ABD31" s="29"/>
      <c r="ABE31" s="28"/>
      <c r="ABF31" s="29"/>
      <c r="ABG31" s="29"/>
      <c r="ABH31" s="28"/>
      <c r="ABI31" s="29"/>
      <c r="ABJ31" s="30"/>
      <c r="ABK31" s="28"/>
      <c r="ABL31" s="29"/>
      <c r="ABM31" s="29"/>
      <c r="ABN31" s="29"/>
      <c r="ABO31" s="28"/>
      <c r="ABP31" s="29"/>
      <c r="ABQ31" s="29"/>
      <c r="ABR31" s="28"/>
      <c r="ABS31" s="29"/>
      <c r="ABT31" s="30"/>
      <c r="ABU31" s="28"/>
      <c r="ABV31" s="29"/>
      <c r="ABW31" s="29"/>
      <c r="ABX31" s="29"/>
      <c r="ABY31" s="28"/>
      <c r="ABZ31" s="29"/>
      <c r="ACA31" s="29"/>
      <c r="ACB31" s="28"/>
      <c r="ACC31" s="29"/>
      <c r="ACD31" s="30"/>
      <c r="ACE31" s="28"/>
      <c r="ACF31" s="29"/>
      <c r="ACG31" s="29"/>
      <c r="ACH31" s="29"/>
      <c r="ACI31" s="28"/>
      <c r="ACJ31" s="29"/>
      <c r="ACK31" s="29"/>
      <c r="ACL31" s="28"/>
      <c r="ACM31" s="29"/>
      <c r="ACN31" s="30"/>
      <c r="ACO31" s="28"/>
      <c r="ACP31" s="29"/>
      <c r="ACQ31" s="29"/>
      <c r="ACR31" s="29"/>
      <c r="ACS31" s="28"/>
      <c r="ACT31" s="29"/>
      <c r="ACU31" s="29"/>
      <c r="ACV31" s="28"/>
      <c r="ACW31" s="29"/>
      <c r="ACX31" s="30"/>
      <c r="ACY31" s="28"/>
      <c r="ACZ31" s="29"/>
      <c r="ADA31" s="29"/>
      <c r="ADB31" s="29"/>
      <c r="ADC31" s="28"/>
      <c r="ADD31" s="29"/>
      <c r="ADE31" s="29"/>
      <c r="ADF31" s="28"/>
      <c r="ADG31" s="29"/>
      <c r="ADH31" s="30"/>
      <c r="ADI31" s="28"/>
      <c r="ADJ31" s="29"/>
      <c r="ADK31" s="29"/>
      <c r="ADL31" s="29"/>
      <c r="ADM31" s="28"/>
      <c r="ADN31" s="29"/>
      <c r="ADO31" s="29"/>
      <c r="ADP31" s="28"/>
      <c r="ADQ31" s="29"/>
      <c r="ADR31" s="30"/>
      <c r="ADS31" s="28"/>
      <c r="ADT31" s="29"/>
      <c r="ADU31" s="29"/>
      <c r="ADV31" s="29"/>
      <c r="ADW31" s="28"/>
      <c r="ADX31" s="29"/>
      <c r="ADY31" s="29"/>
      <c r="ADZ31" s="28"/>
      <c r="AEA31" s="29"/>
      <c r="AEB31" s="30"/>
      <c r="AEC31" s="28"/>
      <c r="AED31" s="29"/>
      <c r="AEE31" s="29"/>
      <c r="AEF31" s="29"/>
      <c r="AEG31" s="28"/>
      <c r="AEH31" s="29"/>
      <c r="AEI31" s="29"/>
      <c r="AEJ31" s="28"/>
      <c r="AEK31" s="29"/>
      <c r="AEL31" s="30"/>
      <c r="AEM31" s="28"/>
      <c r="AEN31" s="29"/>
      <c r="AEO31" s="29"/>
      <c r="AEP31" s="29"/>
      <c r="AEQ31" s="28"/>
      <c r="AER31" s="29"/>
      <c r="AES31" s="29"/>
      <c r="AET31" s="28"/>
      <c r="AEU31" s="29"/>
      <c r="AEV31" s="30"/>
      <c r="AEW31" s="28"/>
      <c r="AEX31" s="29"/>
      <c r="AEY31" s="29"/>
      <c r="AEZ31" s="29"/>
      <c r="AFA31" s="28"/>
      <c r="AFB31" s="29"/>
      <c r="AFC31" s="29"/>
      <c r="AFD31" s="28"/>
      <c r="AFE31" s="29"/>
      <c r="AFF31" s="30"/>
      <c r="AFG31" s="28"/>
      <c r="AFH31" s="29"/>
      <c r="AFI31" s="29"/>
      <c r="AFJ31" s="29"/>
      <c r="AFK31" s="28"/>
      <c r="AFL31" s="29"/>
      <c r="AFM31" s="29"/>
      <c r="AFN31" s="28"/>
      <c r="AFO31" s="29"/>
      <c r="AFP31" s="30"/>
      <c r="AFQ31" s="28"/>
      <c r="AFR31" s="29"/>
      <c r="AFS31" s="29"/>
      <c r="AFT31" s="29"/>
      <c r="AFU31" s="28"/>
      <c r="AFV31" s="29"/>
      <c r="AFW31" s="29"/>
      <c r="AFX31" s="28"/>
      <c r="AFY31" s="29"/>
      <c r="AFZ31" s="30"/>
      <c r="AGA31" s="28"/>
      <c r="AGB31" s="29"/>
      <c r="AGC31" s="29"/>
      <c r="AGD31" s="29"/>
      <c r="AGE31" s="28"/>
      <c r="AGF31" s="29"/>
      <c r="AGG31" s="29"/>
      <c r="AGH31" s="28"/>
      <c r="AGI31" s="29"/>
      <c r="AGJ31" s="30"/>
      <c r="AGK31" s="28"/>
      <c r="AGL31" s="29"/>
      <c r="AGM31" s="29"/>
      <c r="AGN31" s="29"/>
      <c r="AGO31" s="28"/>
      <c r="AGP31" s="29"/>
      <c r="AGQ31" s="29"/>
      <c r="AGR31" s="28"/>
      <c r="AGS31" s="29"/>
      <c r="AGT31" s="30"/>
      <c r="AGU31" s="28"/>
      <c r="AGV31" s="29"/>
      <c r="AGW31" s="29"/>
      <c r="AGX31" s="29"/>
      <c r="AGY31" s="28"/>
      <c r="AGZ31" s="29"/>
      <c r="AHA31" s="29"/>
      <c r="AHB31" s="28"/>
      <c r="AHC31" s="29"/>
      <c r="AHD31" s="30"/>
      <c r="AHE31" s="28"/>
      <c r="AHF31" s="29"/>
      <c r="AHG31" s="29"/>
      <c r="AHH31" s="29"/>
      <c r="AHI31" s="28"/>
      <c r="AHJ31" s="29"/>
      <c r="AHK31" s="29"/>
      <c r="AHL31" s="28"/>
      <c r="AHM31" s="29"/>
      <c r="AHN31" s="30"/>
      <c r="AHO31" s="28"/>
      <c r="AHP31" s="29"/>
      <c r="AHQ31" s="29"/>
      <c r="AHR31" s="29"/>
      <c r="AHS31" s="28"/>
      <c r="AHT31" s="29"/>
      <c r="AHU31" s="29"/>
      <c r="AHV31" s="28"/>
      <c r="AHW31" s="29"/>
      <c r="AHX31" s="30"/>
      <c r="AHY31" s="28"/>
      <c r="AHZ31" s="29"/>
      <c r="AIA31" s="29"/>
      <c r="AIB31" s="29"/>
      <c r="AIC31" s="28"/>
      <c r="AID31" s="29"/>
      <c r="AIE31" s="29"/>
      <c r="AIF31" s="28"/>
      <c r="AIG31" s="29"/>
      <c r="AIH31" s="30"/>
      <c r="AII31" s="28"/>
      <c r="AIJ31" s="29"/>
      <c r="AIK31" s="29"/>
      <c r="AIL31" s="29"/>
      <c r="AIM31" s="28"/>
      <c r="AIN31" s="29"/>
      <c r="AIO31" s="29"/>
      <c r="AIP31" s="28"/>
      <c r="AIQ31" s="29"/>
      <c r="AIR31" s="30"/>
      <c r="AIS31" s="28"/>
      <c r="AIT31" s="29"/>
      <c r="AIU31" s="29"/>
      <c r="AIV31" s="29"/>
      <c r="AIW31" s="28"/>
      <c r="AIX31" s="29"/>
      <c r="AIY31" s="29"/>
      <c r="AIZ31" s="28"/>
      <c r="AJA31" s="29"/>
      <c r="AJB31" s="30"/>
      <c r="AJC31" s="28"/>
      <c r="AJD31" s="29"/>
      <c r="AJE31" s="29"/>
      <c r="AJF31" s="29"/>
      <c r="AJG31" s="28"/>
      <c r="AJH31" s="29"/>
      <c r="AJI31" s="29"/>
      <c r="AJJ31" s="28"/>
      <c r="AJK31" s="29"/>
      <c r="AJL31" s="30"/>
      <c r="AJM31" s="28"/>
      <c r="AJN31" s="29"/>
      <c r="AJO31" s="29"/>
      <c r="AJP31" s="29"/>
      <c r="AJQ31" s="28"/>
      <c r="AJR31" s="29"/>
      <c r="AJS31" s="29"/>
      <c r="AJT31" s="28"/>
      <c r="AJU31" s="29"/>
      <c r="AJV31" s="30"/>
      <c r="AJW31" s="28"/>
      <c r="AJX31" s="29"/>
      <c r="AJY31" s="29"/>
      <c r="AJZ31" s="29"/>
      <c r="AKA31" s="28"/>
      <c r="AKB31" s="29"/>
      <c r="AKC31" s="29"/>
      <c r="AKD31" s="28"/>
      <c r="AKE31" s="29"/>
      <c r="AKF31" s="30"/>
      <c r="AKG31" s="28"/>
      <c r="AKH31" s="29"/>
      <c r="AKI31" s="29"/>
      <c r="AKJ31" s="29"/>
      <c r="AKK31" s="28"/>
      <c r="AKL31" s="29"/>
      <c r="AKM31" s="29"/>
      <c r="AKN31" s="28"/>
      <c r="AKO31" s="29"/>
      <c r="AKP31" s="30"/>
      <c r="AKQ31" s="28"/>
      <c r="AKR31" s="29"/>
      <c r="AKS31" s="29"/>
      <c r="AKT31" s="29"/>
      <c r="AKU31" s="28"/>
      <c r="AKV31" s="29"/>
      <c r="AKW31" s="29"/>
      <c r="AKX31" s="28"/>
      <c r="AKY31" s="29"/>
      <c r="AKZ31" s="30"/>
      <c r="ALA31" s="28"/>
      <c r="ALB31" s="29"/>
      <c r="ALC31" s="29"/>
      <c r="ALD31" s="29"/>
      <c r="ALE31" s="28"/>
      <c r="ALF31" s="29"/>
      <c r="ALG31" s="29"/>
      <c r="ALH31" s="29"/>
      <c r="ALI31" s="29"/>
      <c r="ALJ31" s="29"/>
      <c r="ALK31" s="28"/>
      <c r="ALL31" s="29"/>
      <c r="ALM31" s="29"/>
      <c r="ALN31" s="28"/>
      <c r="ALO31" s="29"/>
      <c r="ALP31" s="30"/>
      <c r="ALQ31" s="28"/>
      <c r="ALR31" s="29"/>
      <c r="ALS31" s="29"/>
      <c r="ALT31" s="29"/>
      <c r="ALU31" s="28"/>
      <c r="ALV31" s="29"/>
      <c r="ALW31" s="29"/>
      <c r="ALX31" s="28"/>
      <c r="ALY31" s="29"/>
      <c r="ALZ31" s="30"/>
      <c r="AMA31" s="28"/>
      <c r="AMB31" s="29"/>
      <c r="AMC31" s="29"/>
      <c r="AMD31" s="29"/>
      <c r="AME31" s="28"/>
      <c r="AMF31" s="29"/>
      <c r="AMG31" s="29"/>
      <c r="AMH31" s="29"/>
      <c r="AMI31" s="29"/>
      <c r="AMJ31" s="29"/>
      <c r="AMK31" s="28"/>
      <c r="AML31" s="29"/>
      <c r="AMM31" s="29"/>
      <c r="AMN31" s="28"/>
      <c r="AMO31" s="29"/>
      <c r="AMP31" s="30"/>
      <c r="AMQ31" s="28"/>
      <c r="AMR31" s="29"/>
      <c r="AMS31" s="29"/>
      <c r="AMT31" s="29"/>
      <c r="AMU31" s="28"/>
      <c r="AMV31" s="29"/>
      <c r="AMW31" s="29"/>
      <c r="AMX31" s="28"/>
      <c r="AMY31" s="29"/>
      <c r="AMZ31" s="30"/>
      <c r="ANA31" s="28"/>
      <c r="ANB31" s="29"/>
      <c r="ANC31" s="29"/>
      <c r="AND31" s="29"/>
      <c r="ANE31" s="28"/>
      <c r="ANF31" s="29"/>
      <c r="ANG31" s="29"/>
      <c r="ANH31" s="29"/>
      <c r="ANI31" s="29"/>
      <c r="ANJ31" s="29"/>
      <c r="ANK31" s="28"/>
      <c r="ANL31" s="29"/>
      <c r="ANM31" s="29"/>
      <c r="ANN31" s="28"/>
      <c r="ANO31" s="29"/>
      <c r="ANP31" s="30"/>
      <c r="ANQ31" s="28"/>
      <c r="ANR31" s="29"/>
      <c r="ANS31" s="29"/>
      <c r="ANT31" s="29"/>
      <c r="ANU31" s="28"/>
      <c r="ANV31" s="29"/>
      <c r="ANW31" s="29"/>
      <c r="ANX31" s="28"/>
      <c r="ANY31" s="29"/>
      <c r="ANZ31" s="30"/>
      <c r="AOA31" s="28"/>
      <c r="AOB31" s="29"/>
      <c r="AOC31" s="29"/>
      <c r="AOD31" s="29"/>
      <c r="AOE31" s="28"/>
      <c r="AOF31" s="29"/>
      <c r="AOG31" s="29"/>
      <c r="AOH31" s="29"/>
      <c r="AOI31" s="29"/>
      <c r="AOJ31" s="29"/>
      <c r="AOK31" s="28"/>
      <c r="AOL31" s="29"/>
      <c r="AOM31" s="29"/>
      <c r="AON31" s="28"/>
      <c r="AOO31" s="29"/>
      <c r="AOP31" s="30"/>
      <c r="AOQ31" s="28"/>
      <c r="AOR31" s="29"/>
      <c r="AOS31" s="29"/>
      <c r="AOT31" s="29"/>
      <c r="AOU31" s="28"/>
      <c r="AOV31" s="29"/>
      <c r="AOW31" s="29"/>
      <c r="AOX31" s="28"/>
      <c r="AOY31" s="29"/>
      <c r="AOZ31" s="30"/>
      <c r="APA31" s="28"/>
      <c r="APB31" s="29"/>
      <c r="APC31" s="29"/>
      <c r="APD31" s="29"/>
      <c r="APE31" s="28"/>
      <c r="APF31" s="29"/>
      <c r="APG31" s="29"/>
      <c r="APH31" s="29"/>
      <c r="API31" s="29"/>
      <c r="APJ31" s="29"/>
      <c r="APK31" s="28"/>
      <c r="APL31" s="29"/>
      <c r="APM31" s="29"/>
      <c r="APN31" s="28"/>
      <c r="APO31" s="29"/>
      <c r="APP31" s="30"/>
      <c r="APQ31" s="28"/>
      <c r="APR31" s="29"/>
      <c r="APS31" s="29"/>
      <c r="APT31" s="29"/>
      <c r="APU31" s="28"/>
      <c r="APV31" s="29"/>
      <c r="APW31" s="29"/>
      <c r="APX31" s="28"/>
      <c r="APY31" s="29"/>
      <c r="APZ31" s="30"/>
      <c r="AQA31" s="28"/>
      <c r="AQB31" s="29"/>
      <c r="AQC31" s="29"/>
      <c r="AQD31" s="29"/>
      <c r="AQE31" s="28"/>
      <c r="AQF31" s="29"/>
      <c r="AQG31" s="29"/>
      <c r="AQH31" s="29"/>
      <c r="AQI31" s="29"/>
      <c r="AQJ31" s="29"/>
      <c r="AQK31" s="28"/>
      <c r="AQL31" s="29"/>
      <c r="AQM31" s="29"/>
      <c r="AQN31" s="28"/>
      <c r="AQO31" s="29"/>
      <c r="AQP31" s="30"/>
      <c r="AQQ31" s="28"/>
      <c r="AQR31" s="29"/>
      <c r="AQS31" s="29"/>
      <c r="AQT31" s="29"/>
      <c r="AQU31" s="28"/>
      <c r="AQV31" s="29"/>
      <c r="AQW31" s="29"/>
      <c r="AQX31" s="28"/>
      <c r="AQY31" s="29"/>
      <c r="AQZ31" s="30"/>
      <c r="ARA31" s="28"/>
      <c r="ARB31" s="29"/>
      <c r="ARC31" s="29"/>
      <c r="ARD31" s="29"/>
      <c r="ARE31" s="28"/>
      <c r="ARF31" s="29"/>
      <c r="ARG31" s="29"/>
      <c r="ARH31" s="29"/>
      <c r="ARI31" s="29"/>
      <c r="ARJ31" s="29"/>
      <c r="ARK31" s="28"/>
      <c r="ARL31" s="29"/>
      <c r="ARM31" s="29"/>
      <c r="ARN31" s="28"/>
      <c r="ARO31" s="29"/>
      <c r="ARP31" s="30"/>
      <c r="ARQ31" s="28"/>
      <c r="ARR31" s="29"/>
      <c r="ARS31" s="29"/>
      <c r="ART31" s="29"/>
      <c r="ARU31" s="28"/>
      <c r="ARV31" s="29"/>
      <c r="ARW31" s="29"/>
      <c r="ARX31" s="28"/>
      <c r="ARY31" s="29"/>
      <c r="ARZ31" s="30"/>
      <c r="ASA31" s="28"/>
      <c r="ASB31" s="29"/>
      <c r="ASC31" s="29"/>
      <c r="ASD31" s="29"/>
      <c r="ASE31" s="28"/>
      <c r="ASF31" s="29"/>
      <c r="ASG31" s="29"/>
      <c r="ASH31" s="29"/>
      <c r="ASI31" s="29"/>
      <c r="ASJ31" s="29"/>
      <c r="ASK31" s="28"/>
      <c r="ASL31" s="29"/>
      <c r="ASM31" s="29"/>
      <c r="ASN31" s="28"/>
      <c r="ASO31" s="29"/>
      <c r="ASP31" s="30"/>
      <c r="ASQ31" s="28"/>
      <c r="ASR31" s="29"/>
      <c r="ASS31" s="29"/>
      <c r="AST31" s="29"/>
      <c r="ASU31" s="28"/>
      <c r="ASV31" s="29"/>
      <c r="ASW31" s="29"/>
      <c r="ASX31" s="28"/>
      <c r="ASY31" s="29"/>
      <c r="ASZ31" s="30"/>
      <c r="ATA31" s="28"/>
      <c r="ATB31" s="29"/>
      <c r="ATC31" s="29"/>
      <c r="ATD31" s="29"/>
      <c r="ATE31" s="28"/>
      <c r="ATF31" s="29"/>
      <c r="ATG31" s="29"/>
      <c r="ATH31" s="29"/>
      <c r="ATI31" s="29"/>
      <c r="ATJ31" s="29"/>
      <c r="ATK31" s="28"/>
      <c r="ATL31" s="29"/>
      <c r="ATM31" s="29"/>
      <c r="ATN31" s="28"/>
      <c r="ATO31" s="29"/>
      <c r="ATP31" s="30"/>
      <c r="ATQ31" s="28"/>
      <c r="ATR31" s="29"/>
      <c r="ATS31" s="29"/>
      <c r="ATT31" s="29"/>
      <c r="ATU31" s="28"/>
      <c r="ATV31" s="29"/>
      <c r="ATW31" s="29"/>
      <c r="ATX31" s="28"/>
      <c r="ATY31" s="29"/>
      <c r="ATZ31" s="30"/>
      <c r="AUA31" s="28"/>
      <c r="AUB31" s="29"/>
      <c r="AUC31" s="29"/>
      <c r="AUD31" s="29"/>
      <c r="AUE31" s="28"/>
      <c r="AUF31" s="29"/>
      <c r="AUG31" s="29"/>
      <c r="AUH31" s="29"/>
      <c r="AUI31" s="29"/>
      <c r="AUJ31" s="29"/>
      <c r="AUK31" s="28"/>
      <c r="AUL31" s="29"/>
      <c r="AUM31" s="29"/>
      <c r="AUN31" s="28"/>
      <c r="AUO31" s="29"/>
      <c r="AUP31" s="30"/>
      <c r="AUQ31" s="28"/>
      <c r="AUR31" s="29"/>
      <c r="AUS31" s="29"/>
      <c r="AUT31" s="29"/>
      <c r="AUU31" s="28"/>
      <c r="AUV31" s="29"/>
      <c r="AUW31" s="29"/>
      <c r="AUX31" s="28"/>
      <c r="AUY31" s="29"/>
      <c r="AUZ31" s="30"/>
      <c r="AVA31" s="28"/>
      <c r="AVB31" s="29"/>
      <c r="AVC31" s="29"/>
      <c r="AVD31" s="29"/>
      <c r="AVE31" s="28"/>
      <c r="AVF31" s="29"/>
      <c r="AVG31" s="29"/>
      <c r="AVH31" s="29"/>
      <c r="AVI31" s="29"/>
      <c r="AVJ31" s="29"/>
      <c r="AVK31" s="28"/>
      <c r="AVL31" s="29"/>
      <c r="AVM31" s="29"/>
      <c r="AVN31" s="28"/>
      <c r="AVO31" s="29"/>
      <c r="AVP31" s="30"/>
      <c r="AVQ31" s="28"/>
      <c r="AVR31" s="29"/>
      <c r="AVS31" s="29"/>
      <c r="AVT31" s="29"/>
      <c r="AVU31" s="28"/>
      <c r="AVV31" s="29"/>
      <c r="AVW31" s="29"/>
      <c r="AVX31" s="28"/>
      <c r="AVY31" s="29"/>
      <c r="AVZ31" s="30"/>
      <c r="AWA31" s="28"/>
      <c r="AWB31" s="29"/>
      <c r="AWC31" s="29"/>
      <c r="AWD31" s="29"/>
      <c r="AWE31" s="28"/>
      <c r="AWF31" s="29"/>
      <c r="AWG31" s="29"/>
      <c r="AWH31" s="29"/>
      <c r="AWI31" s="29"/>
      <c r="AWJ31" s="29"/>
      <c r="AWK31" s="28"/>
      <c r="AWL31" s="29"/>
      <c r="AWM31" s="29"/>
      <c r="AWN31" s="28"/>
      <c r="AWO31" s="29"/>
      <c r="AWP31" s="30"/>
      <c r="AWQ31" s="28"/>
      <c r="AWR31" s="29"/>
      <c r="AWS31" s="29"/>
      <c r="AWT31" s="29"/>
      <c r="AWU31" s="28"/>
      <c r="AWV31" s="29"/>
      <c r="AWW31" s="29"/>
      <c r="AWX31" s="28"/>
      <c r="AWY31" s="29"/>
      <c r="AWZ31" s="30"/>
      <c r="AXA31" s="28"/>
      <c r="AXB31" s="29"/>
      <c r="AXC31" s="29"/>
      <c r="AXD31" s="29"/>
      <c r="AXE31" s="28"/>
      <c r="AXF31" s="29"/>
      <c r="AXG31" s="29"/>
      <c r="AXH31" s="29"/>
      <c r="AXI31" s="29"/>
      <c r="AXJ31" s="29"/>
      <c r="AXK31" s="28"/>
      <c r="AXL31" s="29"/>
      <c r="AXM31" s="29"/>
      <c r="AXN31" s="28"/>
      <c r="AXO31" s="29"/>
      <c r="AXP31" s="30"/>
      <c r="AXQ31" s="28"/>
      <c r="AXR31" s="29"/>
      <c r="AXS31" s="29"/>
      <c r="AXT31" s="29"/>
      <c r="AXU31" s="28"/>
      <c r="AXV31" s="29"/>
      <c r="AXW31" s="29"/>
      <c r="AXX31" s="28"/>
      <c r="AXY31" s="29"/>
      <c r="AXZ31" s="30"/>
      <c r="AYA31" s="28"/>
      <c r="AYB31" s="29"/>
      <c r="AYC31" s="29"/>
      <c r="AYD31" s="29"/>
      <c r="AYE31" s="28"/>
      <c r="AYF31" s="29"/>
      <c r="AYG31" s="29"/>
      <c r="AYH31" s="29"/>
      <c r="AYI31" s="29"/>
      <c r="AYJ31" s="29"/>
      <c r="AYK31" s="28"/>
      <c r="AYL31" s="29"/>
      <c r="AYM31" s="29"/>
      <c r="AYN31" s="28"/>
      <c r="AYO31" s="29"/>
      <c r="AYP31" s="30"/>
      <c r="AYQ31" s="28"/>
      <c r="AYR31" s="29"/>
      <c r="AYS31" s="29"/>
      <c r="AYT31" s="29"/>
      <c r="AYU31" s="28"/>
      <c r="AYV31" s="29"/>
      <c r="AYW31" s="29"/>
      <c r="AYX31" s="28"/>
      <c r="AYY31" s="29"/>
      <c r="AYZ31" s="30"/>
      <c r="AZA31" s="28"/>
      <c r="AZB31" s="29"/>
      <c r="AZC31" s="29"/>
      <c r="AZD31" s="29"/>
      <c r="AZE31" s="28"/>
      <c r="AZF31" s="29"/>
      <c r="AZG31" s="29"/>
      <c r="AZH31" s="29"/>
      <c r="AZI31" s="29"/>
      <c r="AZJ31" s="29"/>
      <c r="AZK31" s="28"/>
      <c r="AZL31" s="29"/>
      <c r="AZM31" s="29"/>
      <c r="AZN31" s="28"/>
      <c r="AZO31" s="29"/>
      <c r="AZP31" s="30"/>
      <c r="AZQ31" s="28"/>
      <c r="AZR31" s="29"/>
      <c r="AZS31" s="29"/>
      <c r="AZT31" s="29"/>
      <c r="AZU31" s="28"/>
      <c r="AZV31" s="29"/>
      <c r="AZW31" s="29"/>
      <c r="AZX31" s="28"/>
      <c r="AZY31" s="29"/>
      <c r="AZZ31" s="30"/>
      <c r="BAA31" s="28"/>
      <c r="BAB31" s="29"/>
      <c r="BAC31" s="29"/>
      <c r="BAD31" s="29"/>
      <c r="BAE31" s="28"/>
      <c r="BAF31" s="29"/>
      <c r="BAG31" s="29"/>
      <c r="BAH31" s="29"/>
      <c r="BAI31" s="29"/>
      <c r="BAJ31" s="29"/>
      <c r="BAK31" s="28"/>
      <c r="BAL31" s="29"/>
      <c r="BAM31" s="29"/>
      <c r="BAN31" s="28"/>
      <c r="BAO31" s="29"/>
      <c r="BAP31" s="30"/>
      <c r="BAQ31" s="28"/>
      <c r="BAR31" s="29"/>
      <c r="BAS31" s="29"/>
      <c r="BAT31" s="29"/>
      <c r="BAU31" s="28"/>
      <c r="BAV31" s="29"/>
      <c r="BAW31" s="29"/>
      <c r="BAX31" s="28"/>
      <c r="BAY31" s="29"/>
      <c r="BAZ31" s="30"/>
      <c r="BBA31" s="28"/>
      <c r="BBB31" s="29"/>
      <c r="BBC31" s="29"/>
      <c r="BBD31" s="29"/>
      <c r="BBE31" s="28"/>
      <c r="BBF31" s="29"/>
      <c r="BBG31" s="29"/>
      <c r="BBH31" s="29"/>
      <c r="BBI31" s="29"/>
      <c r="BBJ31" s="29"/>
      <c r="BBK31" s="28"/>
      <c r="BBL31" s="29"/>
      <c r="BBM31" s="29"/>
      <c r="BBN31" s="28"/>
      <c r="BBO31" s="29"/>
      <c r="BBP31" s="30"/>
      <c r="BBQ31" s="28"/>
      <c r="BBR31" s="29"/>
      <c r="BBS31" s="29"/>
      <c r="BBT31" s="29"/>
      <c r="BBU31" s="28"/>
      <c r="BBV31" s="29"/>
      <c r="BBW31" s="29"/>
      <c r="BBX31" s="28"/>
      <c r="BBY31" s="29"/>
      <c r="BBZ31" s="30"/>
      <c r="BCA31" s="28"/>
      <c r="BCB31" s="29"/>
      <c r="BCC31" s="29"/>
      <c r="BCD31" s="29"/>
      <c r="BCE31" s="28"/>
      <c r="BCF31" s="29"/>
      <c r="BCG31" s="29"/>
      <c r="BCH31" s="29"/>
      <c r="BCI31" s="29"/>
      <c r="BCJ31" s="29"/>
      <c r="BCK31" s="28"/>
      <c r="BCL31" s="29"/>
      <c r="BCM31" s="29"/>
      <c r="BCN31" s="28"/>
      <c r="BCO31" s="29"/>
      <c r="BCP31" s="30"/>
      <c r="BCQ31" s="28"/>
      <c r="BCR31" s="29"/>
      <c r="BCS31" s="29"/>
      <c r="BCT31" s="29"/>
      <c r="BCU31" s="28"/>
      <c r="BCV31" s="29"/>
      <c r="BCW31" s="29"/>
      <c r="BCX31" s="28"/>
      <c r="BCY31" s="29"/>
      <c r="BCZ31" s="30"/>
      <c r="BDA31" s="28"/>
      <c r="BDB31" s="29"/>
      <c r="BDC31" s="29"/>
      <c r="BDD31" s="29"/>
      <c r="BDE31" s="28"/>
      <c r="BDF31" s="29"/>
      <c r="BDG31" s="29"/>
      <c r="BDH31" s="29"/>
      <c r="BDI31" s="29"/>
      <c r="BDJ31" s="29"/>
      <c r="BDK31" s="28"/>
      <c r="BDL31" s="29"/>
      <c r="BDM31" s="29"/>
      <c r="BDN31" s="28"/>
      <c r="BDO31" s="29"/>
      <c r="BDP31" s="30"/>
      <c r="BDQ31" s="28"/>
      <c r="BDR31" s="29"/>
      <c r="BDS31" s="29"/>
      <c r="BDT31" s="29"/>
      <c r="BDU31" s="28"/>
      <c r="BDV31" s="29"/>
      <c r="BDW31" s="29"/>
      <c r="BDX31" s="28"/>
      <c r="BDY31" s="29"/>
      <c r="BDZ31" s="30"/>
      <c r="BEA31" s="28"/>
      <c r="BEB31" s="29"/>
      <c r="BEC31" s="29"/>
      <c r="BED31" s="29"/>
      <c r="BEE31" s="28"/>
      <c r="BEF31" s="29"/>
      <c r="BEG31" s="29"/>
      <c r="BEH31" s="29"/>
      <c r="BEI31" s="29"/>
      <c r="BEJ31" s="29"/>
      <c r="BEK31" s="28"/>
      <c r="BEL31" s="29"/>
      <c r="BEM31" s="29"/>
      <c r="BEN31" s="28"/>
      <c r="BEO31" s="29"/>
      <c r="BEP31" s="30"/>
      <c r="BEQ31" s="28"/>
      <c r="BER31" s="29"/>
      <c r="BES31" s="29"/>
      <c r="BET31" s="29"/>
      <c r="BEU31" s="28"/>
      <c r="BEV31" s="29"/>
      <c r="BEW31" s="29"/>
      <c r="BEX31" s="28"/>
      <c r="BEY31" s="29"/>
      <c r="BEZ31" s="30"/>
      <c r="BFA31" s="28"/>
      <c r="BFB31" s="29"/>
      <c r="BFC31" s="29"/>
      <c r="BFD31" s="29"/>
      <c r="BFE31" s="28"/>
      <c r="BFF31" s="29"/>
      <c r="BFG31" s="29"/>
      <c r="BFH31" s="29"/>
      <c r="BFI31" s="29"/>
      <c r="BFJ31" s="29"/>
      <c r="BFK31" s="28"/>
      <c r="BFL31" s="29"/>
      <c r="BFM31" s="29"/>
      <c r="BFN31" s="28"/>
      <c r="BFO31" s="29"/>
      <c r="BFP31" s="30"/>
      <c r="BFQ31" s="28"/>
      <c r="BFR31" s="29"/>
      <c r="BFS31" s="29"/>
      <c r="BFT31" s="29"/>
      <c r="BFU31" s="28"/>
      <c r="BFV31" s="29"/>
      <c r="BFW31" s="29"/>
      <c r="BFX31" s="28"/>
      <c r="BFY31" s="29"/>
      <c r="BFZ31" s="30"/>
      <c r="BGA31" s="28"/>
      <c r="BGB31" s="29"/>
      <c r="BGC31" s="29"/>
      <c r="BGD31" s="29"/>
      <c r="BGE31" s="28"/>
      <c r="BGF31" s="29"/>
      <c r="BGG31" s="29"/>
      <c r="BGH31" s="29"/>
      <c r="BGI31" s="29"/>
      <c r="BGJ31" s="29"/>
      <c r="BGK31" s="28"/>
      <c r="BGL31" s="29"/>
      <c r="BGM31" s="29"/>
      <c r="BGN31" s="28"/>
      <c r="BGO31" s="29"/>
      <c r="BGP31" s="30"/>
      <c r="BGQ31" s="28"/>
      <c r="BGR31" s="29"/>
      <c r="BGS31" s="29"/>
      <c r="BGT31" s="29"/>
      <c r="BGU31" s="28"/>
      <c r="BGV31" s="29"/>
      <c r="BGW31" s="29"/>
      <c r="BGX31" s="28"/>
      <c r="BGY31" s="29"/>
      <c r="BGZ31" s="30"/>
      <c r="BHA31" s="28"/>
      <c r="BHB31" s="29"/>
      <c r="BHC31" s="29"/>
      <c r="BHD31" s="29"/>
      <c r="BHE31" s="28"/>
      <c r="BHF31" s="29"/>
      <c r="BHG31" s="29"/>
      <c r="BHH31" s="29"/>
      <c r="BHI31" s="29"/>
      <c r="BHJ31" s="29"/>
      <c r="BHK31" s="28"/>
      <c r="BHL31" s="29"/>
      <c r="BHM31" s="29"/>
      <c r="BHN31" s="28"/>
      <c r="BHO31" s="29"/>
      <c r="BHP31" s="30"/>
      <c r="BHQ31" s="28"/>
      <c r="BHR31" s="29"/>
      <c r="BHS31" s="29"/>
      <c r="BHT31" s="29"/>
      <c r="BHU31" s="28"/>
      <c r="BHV31" s="29"/>
      <c r="BHW31" s="29"/>
      <c r="BHX31" s="28"/>
      <c r="BHY31" s="29"/>
      <c r="BHZ31" s="30"/>
      <c r="BIA31" s="28"/>
      <c r="BIB31" s="29"/>
      <c r="BIC31" s="29"/>
      <c r="BID31" s="29"/>
      <c r="BIE31" s="28"/>
      <c r="BIF31" s="29"/>
      <c r="BIG31" s="29"/>
      <c r="BIH31" s="29"/>
      <c r="BII31" s="29"/>
      <c r="BIJ31" s="29"/>
      <c r="BIK31" s="28"/>
      <c r="BIL31" s="29"/>
      <c r="BIM31" s="29"/>
      <c r="BIN31" s="28"/>
      <c r="BIO31" s="29"/>
      <c r="BIP31" s="30"/>
      <c r="BIQ31" s="28"/>
      <c r="BIR31" s="29"/>
      <c r="BIS31" s="29"/>
      <c r="BIT31" s="29"/>
      <c r="BIU31" s="28"/>
      <c r="BIV31" s="29"/>
      <c r="BIW31" s="29"/>
      <c r="BIX31" s="28"/>
      <c r="BIY31" s="29"/>
      <c r="BIZ31" s="30"/>
      <c r="BJA31" s="28"/>
      <c r="BJB31" s="29"/>
      <c r="BJC31" s="29"/>
      <c r="BJD31" s="29"/>
      <c r="BJE31" s="28"/>
      <c r="BJF31" s="29"/>
      <c r="BJG31" s="29"/>
      <c r="BJH31" s="29"/>
      <c r="BJI31" s="29"/>
      <c r="BJJ31" s="29"/>
      <c r="BJK31" s="28"/>
      <c r="BJL31" s="29"/>
      <c r="BJM31" s="29"/>
      <c r="BJN31" s="28"/>
      <c r="BJO31" s="29"/>
      <c r="BJP31" s="30"/>
      <c r="BJQ31" s="28"/>
      <c r="BJR31" s="29"/>
      <c r="BJS31" s="29"/>
      <c r="BJT31" s="29"/>
      <c r="BJU31" s="28"/>
      <c r="BJV31" s="29"/>
      <c r="BJW31" s="29"/>
      <c r="BJX31" s="28"/>
      <c r="BJY31" s="29"/>
      <c r="BJZ31" s="30"/>
      <c r="BKA31" s="28"/>
      <c r="BKB31" s="29"/>
      <c r="BKC31" s="29"/>
      <c r="BKD31" s="29"/>
      <c r="BKE31" s="28"/>
      <c r="BKF31" s="29"/>
      <c r="BKG31" s="29"/>
      <c r="BKH31" s="29"/>
      <c r="BKI31" s="29"/>
      <c r="BKJ31" s="29"/>
      <c r="BKK31" s="28"/>
      <c r="BKL31" s="29"/>
      <c r="BKM31" s="29"/>
      <c r="BKN31" s="28"/>
      <c r="BKO31" s="29"/>
      <c r="BKP31" s="30"/>
      <c r="BKQ31" s="28"/>
      <c r="BKR31" s="29"/>
      <c r="BKS31" s="29"/>
      <c r="BKT31" s="29"/>
      <c r="BKU31" s="28"/>
      <c r="BKV31" s="29"/>
      <c r="BKW31" s="29"/>
      <c r="BKX31" s="28"/>
      <c r="BKY31" s="29"/>
      <c r="BKZ31" s="30"/>
      <c r="BLA31" s="28"/>
      <c r="BLB31" s="29"/>
      <c r="BLC31" s="29"/>
      <c r="BLD31" s="29"/>
      <c r="BLE31" s="28"/>
      <c r="BLF31" s="29"/>
      <c r="BLG31" s="29"/>
      <c r="BLH31" s="29"/>
      <c r="BLI31" s="29"/>
      <c r="BLJ31" s="29"/>
      <c r="BLK31" s="28"/>
      <c r="BLL31" s="29"/>
      <c r="BLM31" s="29"/>
      <c r="BLN31" s="28"/>
      <c r="BLO31" s="29"/>
      <c r="BLP31" s="30"/>
      <c r="BLQ31" s="28"/>
      <c r="BLR31" s="29"/>
      <c r="BLS31" s="29"/>
      <c r="BLT31" s="29"/>
      <c r="BLU31" s="28"/>
      <c r="BLV31" s="29"/>
      <c r="BLW31" s="29"/>
      <c r="BLX31" s="28"/>
      <c r="BLY31" s="29"/>
      <c r="BLZ31" s="30"/>
      <c r="BMA31" s="28"/>
      <c r="BMB31" s="29"/>
      <c r="BMC31" s="29"/>
      <c r="BMD31" s="29"/>
      <c r="BME31" s="28"/>
      <c r="BMF31" s="29"/>
      <c r="BMG31" s="29"/>
      <c r="BMH31" s="29"/>
      <c r="BMI31" s="29"/>
      <c r="BMJ31" s="29"/>
      <c r="BMK31" s="28"/>
      <c r="BML31" s="29"/>
      <c r="BMM31" s="29"/>
      <c r="BMN31" s="28"/>
      <c r="BMO31" s="29"/>
      <c r="BMP31" s="30"/>
      <c r="BMQ31" s="28"/>
      <c r="BMR31" s="29"/>
      <c r="BMS31" s="29"/>
      <c r="BMT31" s="29"/>
      <c r="BMU31" s="28"/>
      <c r="BMV31" s="29"/>
      <c r="BMW31" s="29"/>
      <c r="BMX31" s="28"/>
      <c r="BMY31" s="29"/>
      <c r="BMZ31" s="30"/>
      <c r="BNA31" s="28"/>
      <c r="BNB31" s="29"/>
      <c r="BNC31" s="29"/>
      <c r="BND31" s="29"/>
      <c r="BNE31" s="28"/>
      <c r="BNF31" s="29"/>
      <c r="BNG31" s="29"/>
      <c r="BNH31" s="29"/>
      <c r="BNI31" s="29"/>
      <c r="BNJ31" s="29"/>
      <c r="BNK31" s="28"/>
      <c r="BNL31" s="29"/>
      <c r="BNM31" s="29"/>
      <c r="BNN31" s="28"/>
      <c r="BNO31" s="29"/>
      <c r="BNP31" s="30"/>
      <c r="BNQ31" s="28"/>
      <c r="BNR31" s="29"/>
      <c r="BNS31" s="29"/>
      <c r="BNT31" s="29"/>
      <c r="BNU31" s="28"/>
      <c r="BNV31" s="29"/>
      <c r="BNW31" s="29"/>
      <c r="BNX31" s="28"/>
      <c r="BNY31" s="29"/>
      <c r="BNZ31" s="30"/>
      <c r="BOA31" s="28"/>
      <c r="BOB31" s="29"/>
      <c r="BOC31" s="29"/>
      <c r="BOD31" s="29"/>
      <c r="BOE31" s="28"/>
      <c r="BOF31" s="29"/>
      <c r="BOG31" s="29"/>
      <c r="BOH31" s="29"/>
      <c r="BOI31" s="29"/>
      <c r="BOJ31" s="29"/>
      <c r="BOK31" s="28"/>
      <c r="BOL31" s="29"/>
      <c r="BOM31" s="29"/>
      <c r="BON31" s="28"/>
      <c r="BOO31" s="29"/>
      <c r="BOP31" s="30"/>
      <c r="BOQ31" s="28"/>
      <c r="BOR31" s="29"/>
      <c r="BOS31" s="29"/>
      <c r="BOT31" s="29"/>
      <c r="BOU31" s="28"/>
      <c r="BOV31" s="29"/>
      <c r="BOW31" s="29"/>
      <c r="BOX31" s="28"/>
      <c r="BOY31" s="29"/>
      <c r="BOZ31" s="30"/>
      <c r="BPA31" s="28"/>
      <c r="BPB31" s="29"/>
      <c r="BPC31" s="29"/>
      <c r="BPD31" s="29"/>
      <c r="BPE31" s="28"/>
      <c r="BPF31" s="29"/>
      <c r="BPG31" s="29"/>
      <c r="BPH31" s="29"/>
      <c r="BPI31" s="29"/>
      <c r="BPJ31" s="29"/>
      <c r="BPK31" s="28"/>
      <c r="BPL31" s="29"/>
      <c r="BPM31" s="29"/>
      <c r="BPN31" s="28"/>
      <c r="BPO31" s="29"/>
      <c r="BPP31" s="30"/>
      <c r="BPQ31" s="28"/>
      <c r="BPR31" s="29"/>
      <c r="BPS31" s="29"/>
      <c r="BPT31" s="29"/>
      <c r="BPU31" s="28"/>
      <c r="BPV31" s="29"/>
      <c r="BPW31" s="29"/>
      <c r="BPX31" s="28"/>
      <c r="BPY31" s="29"/>
      <c r="BPZ31" s="30"/>
      <c r="BQA31" s="28"/>
      <c r="BQB31" s="29"/>
      <c r="BQC31" s="29"/>
      <c r="BQD31" s="29"/>
      <c r="BQE31" s="28"/>
      <c r="BQF31" s="29"/>
      <c r="BQG31" s="29"/>
      <c r="BQH31" s="29"/>
      <c r="BQI31" s="29"/>
      <c r="BQJ31" s="29"/>
      <c r="BQK31" s="28"/>
      <c r="BQL31" s="29"/>
      <c r="BQM31" s="29"/>
      <c r="BQN31" s="28"/>
      <c r="BQO31" s="29"/>
      <c r="BQP31" s="30"/>
      <c r="BQQ31" s="28"/>
      <c r="BQR31" s="29"/>
      <c r="BQS31" s="29"/>
      <c r="BQT31" s="29"/>
      <c r="BQU31" s="28"/>
      <c r="BQV31" s="29"/>
      <c r="BQW31" s="29"/>
      <c r="BQX31" s="28"/>
      <c r="BQY31" s="29"/>
      <c r="BQZ31" s="30"/>
      <c r="BRA31" s="28"/>
      <c r="BRB31" s="29"/>
      <c r="BRC31" s="29"/>
      <c r="BRD31" s="29"/>
      <c r="BRE31" s="28"/>
      <c r="BRF31" s="29"/>
      <c r="BRG31" s="29"/>
      <c r="BRH31" s="29"/>
      <c r="BRI31" s="29"/>
      <c r="BRJ31" s="29"/>
      <c r="BRK31" s="28"/>
      <c r="BRL31" s="29"/>
      <c r="BRM31" s="29"/>
      <c r="BRN31" s="28"/>
      <c r="BRO31" s="29"/>
      <c r="BRP31" s="30"/>
      <c r="BRQ31" s="28"/>
      <c r="BRR31" s="29"/>
      <c r="BRS31" s="29"/>
      <c r="BRT31" s="29"/>
      <c r="BRU31" s="28"/>
      <c r="BRV31" s="29"/>
      <c r="BRW31" s="29"/>
      <c r="BRX31" s="28"/>
      <c r="BRY31" s="29"/>
      <c r="BRZ31" s="30"/>
      <c r="BSA31" s="28"/>
      <c r="BSB31" s="29"/>
      <c r="BSC31" s="29"/>
      <c r="BSD31" s="29"/>
      <c r="BSE31" s="28"/>
      <c r="BSF31" s="29"/>
      <c r="BSG31" s="29"/>
      <c r="BSH31" s="29"/>
      <c r="BSI31" s="29"/>
      <c r="BSJ31" s="29"/>
      <c r="BSK31" s="28"/>
      <c r="BSL31" s="29"/>
      <c r="BSM31" s="29"/>
      <c r="BSN31" s="28"/>
      <c r="BSO31" s="29"/>
      <c r="BSP31" s="30"/>
      <c r="BSQ31" s="28"/>
      <c r="BSR31" s="29"/>
      <c r="BSS31" s="29"/>
      <c r="BST31" s="29"/>
      <c r="BSU31" s="28"/>
      <c r="BSV31" s="29"/>
      <c r="BSW31" s="29"/>
      <c r="BSX31" s="28"/>
      <c r="BSY31" s="29"/>
      <c r="BSZ31" s="30"/>
      <c r="BTA31" s="28"/>
      <c r="BTB31" s="29"/>
      <c r="BTC31" s="29"/>
      <c r="BTD31" s="29"/>
      <c r="BTE31" s="28"/>
      <c r="BTF31" s="29"/>
      <c r="BTG31" s="29"/>
      <c r="BTH31" s="29"/>
      <c r="BTI31" s="29"/>
      <c r="BTJ31" s="29"/>
      <c r="BTK31" s="28"/>
      <c r="BTL31" s="29"/>
      <c r="BTM31" s="29"/>
      <c r="BTN31" s="28"/>
      <c r="BTO31" s="29"/>
      <c r="BTP31" s="30"/>
      <c r="BTQ31" s="28"/>
      <c r="BTR31" s="29"/>
      <c r="BTS31" s="29"/>
      <c r="BTT31" s="29"/>
      <c r="BTU31" s="28"/>
      <c r="BTV31" s="29"/>
      <c r="BTW31" s="29"/>
      <c r="BTX31" s="28"/>
      <c r="BTY31" s="29"/>
      <c r="BTZ31" s="30"/>
      <c r="BUA31" s="28"/>
      <c r="BUB31" s="29"/>
      <c r="BUC31" s="29"/>
      <c r="BUD31" s="29"/>
      <c r="BUE31" s="28"/>
      <c r="BUF31" s="29"/>
      <c r="BUG31" s="29"/>
      <c r="BUH31" s="29"/>
      <c r="BUI31" s="29"/>
      <c r="BUJ31" s="29"/>
      <c r="BUK31" s="28"/>
      <c r="BUL31" s="29"/>
      <c r="BUM31" s="29"/>
      <c r="BUN31" s="28"/>
      <c r="BUO31" s="29"/>
      <c r="BUP31" s="30"/>
      <c r="BUQ31" s="28"/>
      <c r="BUR31" s="29"/>
      <c r="BUS31" s="29"/>
      <c r="BUT31" s="29"/>
      <c r="BUU31" s="28"/>
      <c r="BUV31" s="29"/>
      <c r="BUW31" s="29"/>
      <c r="BUX31" s="28"/>
      <c r="BUY31" s="29"/>
      <c r="BUZ31" s="30"/>
      <c r="BVA31" s="28"/>
      <c r="BVB31" s="29"/>
      <c r="BVC31" s="29"/>
      <c r="BVD31" s="29"/>
      <c r="BVE31" s="28"/>
      <c r="BVF31" s="29"/>
      <c r="BVG31" s="29"/>
      <c r="BVH31" s="29"/>
      <c r="BVI31" s="29"/>
      <c r="BVJ31" s="29"/>
      <c r="BVK31" s="28"/>
      <c r="BVL31" s="29"/>
      <c r="BVM31" s="29"/>
      <c r="BVN31" s="28"/>
      <c r="BVO31" s="29"/>
      <c r="BVP31" s="30"/>
      <c r="BVQ31" s="28"/>
      <c r="BVR31" s="29"/>
      <c r="BVS31" s="29"/>
      <c r="BVT31" s="29"/>
      <c r="BVU31" s="28"/>
      <c r="BVV31" s="29"/>
      <c r="BVW31" s="29"/>
      <c r="BVX31" s="28"/>
      <c r="BVY31" s="29"/>
      <c r="BVZ31" s="30"/>
      <c r="BWA31" s="28"/>
      <c r="BWB31" s="29"/>
      <c r="BWC31" s="29"/>
      <c r="BWD31" s="29"/>
      <c r="BWE31" s="28"/>
      <c r="BWF31" s="29"/>
      <c r="BWG31" s="29"/>
      <c r="BWH31" s="29"/>
      <c r="BWI31" s="29"/>
      <c r="BWJ31" s="29"/>
      <c r="BWK31" s="28"/>
      <c r="BWL31" s="29"/>
      <c r="BWM31" s="29"/>
      <c r="BWN31" s="28"/>
      <c r="BWO31" s="29"/>
      <c r="BWP31" s="30"/>
      <c r="BWQ31" s="28"/>
      <c r="BWR31" s="29"/>
      <c r="BWS31" s="29"/>
      <c r="BWT31" s="29"/>
      <c r="BWU31" s="28"/>
      <c r="BWV31" s="29"/>
      <c r="BWW31" s="29"/>
      <c r="BWX31" s="28"/>
      <c r="BWY31" s="29"/>
      <c r="BWZ31" s="30"/>
      <c r="BXA31" s="28"/>
      <c r="BXB31" s="29"/>
      <c r="BXC31" s="29"/>
      <c r="BXD31" s="29"/>
      <c r="BXE31" s="28"/>
      <c r="BXF31" s="29"/>
      <c r="BXG31" s="29"/>
      <c r="BXH31" s="29"/>
      <c r="BXI31" s="29"/>
      <c r="BXJ31" s="29"/>
      <c r="BXK31" s="28"/>
      <c r="BXL31" s="29"/>
      <c r="BXM31" s="29"/>
      <c r="BXN31" s="28"/>
      <c r="BXO31" s="29"/>
      <c r="BXP31" s="30"/>
      <c r="BXQ31" s="28"/>
      <c r="BXR31" s="29"/>
      <c r="BXS31" s="29"/>
      <c r="BXT31" s="29"/>
      <c r="BXU31" s="28"/>
      <c r="BXV31" s="29"/>
      <c r="BXW31" s="29"/>
      <c r="BXX31" s="28"/>
      <c r="BXY31" s="29"/>
      <c r="BXZ31" s="30"/>
      <c r="BYA31" s="28"/>
      <c r="BYB31" s="29"/>
      <c r="BYC31" s="29"/>
      <c r="BYD31" s="29"/>
      <c r="BYE31" s="28"/>
      <c r="BYF31" s="29"/>
      <c r="BYG31" s="29"/>
      <c r="BYH31" s="29"/>
      <c r="BYI31" s="29"/>
      <c r="BYJ31" s="29"/>
      <c r="BYK31" s="28"/>
      <c r="BYL31" s="29"/>
      <c r="BYM31" s="29"/>
      <c r="BYN31" s="28"/>
      <c r="BYO31" s="29"/>
      <c r="BYP31" s="30"/>
      <c r="BYQ31" s="28"/>
      <c r="BYR31" s="29"/>
      <c r="BYS31" s="29"/>
      <c r="BYT31" s="29"/>
      <c r="BYU31" s="28"/>
      <c r="BYV31" s="29"/>
      <c r="BYW31" s="29"/>
      <c r="BYX31" s="30"/>
      <c r="BYY31" s="29"/>
      <c r="BYZ31" s="28"/>
      <c r="BZA31" s="29"/>
      <c r="BZB31" s="28"/>
      <c r="BZC31" s="28"/>
      <c r="BZD31" s="28"/>
      <c r="BZE31" s="29"/>
      <c r="BZF31" s="385"/>
      <c r="BZG31" s="29"/>
      <c r="BZH31" s="385"/>
      <c r="BZI31" s="29"/>
      <c r="BZJ31" s="385"/>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30"/>
      <c r="CAQ31" s="28"/>
      <c r="CAR31" s="29"/>
      <c r="CAS31" s="29"/>
      <c r="CAT31" s="29"/>
      <c r="CAU31" s="29"/>
      <c r="CAV31" s="29"/>
      <c r="CAW31" s="31"/>
      <c r="CAX31" s="32"/>
      <c r="CAY31" s="32"/>
      <c r="CAZ31" s="28"/>
      <c r="CBA31" s="29"/>
      <c r="CBB31" s="30"/>
      <c r="CBC31" s="28"/>
      <c r="CBD31" s="29"/>
      <c r="CBE31" s="29"/>
      <c r="CBF31" s="29"/>
      <c r="CBG31" s="31"/>
      <c r="CBH31" s="32"/>
      <c r="CBI31" s="32"/>
      <c r="CBJ31" s="28"/>
      <c r="CBK31" s="29"/>
      <c r="CBL31" s="30"/>
      <c r="CBM31" s="28"/>
      <c r="CBN31" s="29"/>
      <c r="CBO31" s="29"/>
      <c r="CBP31" s="29"/>
      <c r="CBQ31" s="31"/>
      <c r="CBR31" s="32"/>
      <c r="CBS31" s="32"/>
      <c r="CBT31" s="28"/>
      <c r="CBU31" s="29"/>
      <c r="CBV31" s="30"/>
      <c r="CBW31" s="28"/>
      <c r="CBX31" s="29"/>
      <c r="CBY31" s="29"/>
      <c r="CBZ31" s="29"/>
      <c r="CCA31" s="31"/>
      <c r="CCB31" s="32"/>
      <c r="CCC31" s="32"/>
      <c r="CCD31" s="28"/>
      <c r="CCE31" s="29"/>
      <c r="CCF31" s="30"/>
      <c r="CCG31" s="28"/>
      <c r="CCH31" s="30"/>
      <c r="CCI31" s="29"/>
      <c r="CCJ31" s="28"/>
      <c r="CCK31" s="29"/>
      <c r="CCL31" s="28"/>
      <c r="CCM31" s="28"/>
      <c r="CCN31" s="28"/>
      <c r="CCO31" s="29"/>
      <c r="CCP31" s="385"/>
      <c r="CCQ31" s="29"/>
      <c r="CCR31" s="385"/>
      <c r="CCS31" s="29"/>
      <c r="CCT31" s="385"/>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30"/>
      <c r="CEA31" s="28"/>
      <c r="CEB31" s="29"/>
      <c r="CEC31" s="29"/>
      <c r="CED31" s="29"/>
      <c r="CEE31" s="29"/>
      <c r="CEF31" s="29"/>
      <c r="CEG31" s="31"/>
      <c r="CEH31" s="32"/>
      <c r="CEI31" s="32"/>
      <c r="CEJ31" s="28"/>
      <c r="CEK31" s="29"/>
      <c r="CEL31" s="30"/>
      <c r="CEM31" s="28"/>
      <c r="CEN31" s="29"/>
      <c r="CEO31" s="29"/>
      <c r="CEP31" s="29"/>
      <c r="CEQ31" s="31"/>
      <c r="CER31" s="32"/>
      <c r="CES31" s="32"/>
      <c r="CET31" s="28"/>
      <c r="CEU31" s="29"/>
      <c r="CEV31" s="30"/>
      <c r="CEW31" s="28"/>
      <c r="CEX31" s="29"/>
      <c r="CEY31" s="29"/>
      <c r="CEZ31" s="29"/>
      <c r="CFA31" s="31"/>
      <c r="CFB31" s="32"/>
      <c r="CFC31" s="32"/>
      <c r="CFD31" s="28"/>
      <c r="CFE31" s="29"/>
      <c r="CFF31" s="30"/>
      <c r="CFG31" s="28"/>
      <c r="CFH31" s="29"/>
      <c r="CFI31" s="29"/>
      <c r="CFJ31" s="29"/>
      <c r="CFK31" s="31"/>
      <c r="CFL31" s="32"/>
      <c r="CFM31" s="32"/>
      <c r="CFN31" s="28"/>
      <c r="CFO31" s="29"/>
      <c r="CFP31" s="30"/>
      <c r="CFQ31" s="28"/>
      <c r="CFR31" s="30"/>
      <c r="CFS31" s="29"/>
      <c r="CFT31" s="28"/>
      <c r="CFU31" s="29"/>
      <c r="CFV31" s="28"/>
      <c r="CFW31" s="28"/>
      <c r="CFX31" s="28"/>
      <c r="CFY31" s="29"/>
      <c r="CFZ31" s="385"/>
      <c r="CGA31" s="29"/>
      <c r="CGB31" s="385"/>
      <c r="CGC31" s="29"/>
      <c r="CGD31" s="385"/>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30"/>
      <c r="CHK31" s="28"/>
      <c r="CHL31" s="29"/>
      <c r="CHM31" s="29"/>
      <c r="CHN31" s="29"/>
      <c r="CHO31" s="29"/>
      <c r="CHP31" s="29"/>
      <c r="CHQ31" s="31"/>
      <c r="CHR31" s="32"/>
      <c r="CHS31" s="32"/>
      <c r="CHT31" s="28"/>
      <c r="CHU31" s="29"/>
      <c r="CHV31" s="30"/>
      <c r="CHW31" s="28"/>
      <c r="CHX31" s="29"/>
      <c r="CHY31" s="29"/>
      <c r="CHZ31" s="29"/>
      <c r="CIA31" s="31"/>
      <c r="CIB31" s="32"/>
      <c r="CIC31" s="32"/>
      <c r="CID31" s="28"/>
      <c r="CIE31" s="29"/>
      <c r="CIF31" s="30"/>
      <c r="CIG31" s="28"/>
      <c r="CIH31" s="29"/>
      <c r="CII31" s="29"/>
      <c r="CIJ31" s="29"/>
      <c r="CIK31" s="31"/>
      <c r="CIL31" s="32"/>
      <c r="CIM31" s="32"/>
      <c r="CIN31" s="28"/>
      <c r="CIO31" s="29"/>
      <c r="CIP31" s="30"/>
      <c r="CIQ31" s="28"/>
      <c r="CIR31" s="29"/>
      <c r="CIS31" s="29"/>
      <c r="CIT31" s="29"/>
      <c r="CIU31" s="31"/>
      <c r="CIV31" s="32"/>
      <c r="CIW31" s="32"/>
      <c r="CIX31" s="28"/>
      <c r="CIY31" s="29"/>
      <c r="CIZ31" s="30"/>
      <c r="CJA31" s="28"/>
      <c r="CJB31" s="30"/>
      <c r="CJC31" s="29"/>
      <c r="CJD31" s="28"/>
      <c r="CJE31" s="29"/>
      <c r="CJF31" s="28"/>
      <c r="CJG31" s="28"/>
      <c r="CJH31" s="28"/>
      <c r="CJI31" s="29"/>
      <c r="CJJ31" s="385"/>
      <c r="CJK31" s="29"/>
      <c r="CJL31" s="385"/>
      <c r="CJM31" s="29"/>
      <c r="CJN31" s="385"/>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30"/>
      <c r="CKU31" s="28"/>
      <c r="CKV31" s="29"/>
      <c r="CKW31" s="29"/>
      <c r="CKX31" s="29"/>
      <c r="CKY31" s="29"/>
      <c r="CKZ31" s="29"/>
      <c r="CLA31" s="31"/>
      <c r="CLB31" s="32"/>
      <c r="CLC31" s="32"/>
      <c r="CLD31" s="28"/>
      <c r="CLE31" s="29"/>
      <c r="CLF31" s="30"/>
      <c r="CLG31" s="28"/>
      <c r="CLH31" s="29"/>
      <c r="CLI31" s="29"/>
      <c r="CLJ31" s="29"/>
      <c r="CLK31" s="31"/>
      <c r="CLL31" s="32"/>
      <c r="CLM31" s="32"/>
      <c r="CLN31" s="28"/>
      <c r="CLO31" s="29"/>
      <c r="CLP31" s="30"/>
      <c r="CLQ31" s="28"/>
      <c r="CLR31" s="29"/>
      <c r="CLS31" s="29"/>
      <c r="CLT31" s="29"/>
      <c r="CLU31" s="31"/>
      <c r="CLV31" s="32"/>
      <c r="CLW31" s="32"/>
      <c r="CLX31" s="28"/>
      <c r="CLY31" s="29"/>
      <c r="CLZ31" s="30"/>
      <c r="CMA31" s="28"/>
      <c r="CMB31" s="29"/>
      <c r="CMC31" s="29"/>
      <c r="CMD31" s="29"/>
      <c r="CME31" s="31"/>
      <c r="CMF31" s="32"/>
      <c r="CMG31" s="32"/>
      <c r="CMH31" s="28"/>
      <c r="CMI31" s="29"/>
      <c r="CMJ31" s="30"/>
      <c r="CMK31" s="28"/>
      <c r="CML31" s="30"/>
      <c r="CMM31" s="29"/>
      <c r="CMN31" s="28"/>
      <c r="CMO31" s="29"/>
      <c r="CMP31" s="28"/>
      <c r="CMQ31" s="28"/>
      <c r="CMR31" s="28"/>
      <c r="CMS31" s="29"/>
      <c r="CMT31" s="385"/>
      <c r="CMU31" s="29"/>
      <c r="CMV31" s="385"/>
      <c r="CMW31" s="29"/>
      <c r="CMX31" s="385"/>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30"/>
      <c r="COE31" s="28"/>
      <c r="COF31" s="29"/>
      <c r="COG31" s="29"/>
      <c r="COH31" s="29"/>
      <c r="COI31" s="29"/>
      <c r="COJ31" s="29"/>
      <c r="COK31" s="31"/>
      <c r="COL31" s="32"/>
      <c r="COM31" s="32"/>
      <c r="CON31" s="28"/>
      <c r="COO31" s="29"/>
      <c r="COP31" s="30"/>
      <c r="COQ31" s="28"/>
      <c r="COR31" s="29"/>
      <c r="COS31" s="29"/>
      <c r="COT31" s="29"/>
      <c r="COU31" s="31"/>
      <c r="COV31" s="32"/>
      <c r="COW31" s="32"/>
      <c r="COX31" s="28"/>
      <c r="COY31" s="29"/>
      <c r="COZ31" s="30"/>
      <c r="CPA31" s="28"/>
      <c r="CPB31" s="29"/>
      <c r="CPC31" s="29"/>
      <c r="CPD31" s="29"/>
      <c r="CPE31" s="31"/>
      <c r="CPF31" s="32"/>
      <c r="CPG31" s="32"/>
      <c r="CPH31" s="28"/>
      <c r="CPI31" s="29"/>
      <c r="CPJ31" s="30"/>
      <c r="CPK31" s="28"/>
      <c r="CPL31" s="29"/>
      <c r="CPM31" s="29"/>
      <c r="CPN31" s="29"/>
      <c r="CPO31" s="31"/>
      <c r="CPP31" s="32"/>
      <c r="CPQ31" s="32"/>
      <c r="CPR31" s="28"/>
      <c r="CPS31" s="29"/>
      <c r="CPT31" s="30"/>
      <c r="CPU31" s="28"/>
      <c r="CPV31" s="30"/>
      <c r="CPW31" s="29"/>
      <c r="CPX31" s="28"/>
      <c r="CPY31" s="29"/>
      <c r="CPZ31" s="28"/>
      <c r="CQA31" s="28"/>
      <c r="CQB31" s="28"/>
      <c r="CQC31" s="29"/>
      <c r="CQD31" s="385"/>
      <c r="CQE31" s="29"/>
      <c r="CQF31" s="385"/>
      <c r="CQG31" s="29"/>
      <c r="CQH31" s="385"/>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30"/>
      <c r="CRO31" s="28"/>
      <c r="CRP31" s="29"/>
      <c r="CRQ31" s="29"/>
      <c r="CRR31" s="29"/>
      <c r="CRS31" s="29"/>
      <c r="CRT31" s="29"/>
      <c r="CRU31" s="31"/>
      <c r="CRV31" s="32"/>
      <c r="CRW31" s="32"/>
      <c r="CRX31" s="28"/>
      <c r="CRY31" s="29"/>
      <c r="CRZ31" s="30"/>
      <c r="CSA31" s="28"/>
      <c r="CSB31" s="29"/>
      <c r="CSC31" s="29"/>
      <c r="CSD31" s="29"/>
      <c r="CSE31" s="31"/>
      <c r="CSF31" s="32"/>
      <c r="CSG31" s="32"/>
      <c r="CSH31" s="28"/>
      <c r="CSI31" s="29"/>
      <c r="CSJ31" s="30"/>
      <c r="CSK31" s="28"/>
      <c r="CSL31" s="29"/>
      <c r="CSM31" s="29"/>
      <c r="CSN31" s="29"/>
      <c r="CSO31" s="31"/>
      <c r="CSP31" s="32"/>
      <c r="CSQ31" s="32"/>
      <c r="CSR31" s="28"/>
      <c r="CSS31" s="29"/>
      <c r="CST31" s="30"/>
      <c r="CSU31" s="28"/>
      <c r="CSV31" s="29"/>
      <c r="CSW31" s="29"/>
      <c r="CSX31" s="29"/>
      <c r="CSY31" s="31"/>
      <c r="CSZ31" s="32"/>
      <c r="CTA31" s="32"/>
      <c r="CTB31" s="28"/>
      <c r="CTC31" s="29"/>
      <c r="CTD31" s="30"/>
      <c r="CTE31" s="28"/>
      <c r="CTF31" s="30"/>
      <c r="CTG31" s="29"/>
      <c r="CTH31" s="28"/>
      <c r="CTI31" s="29"/>
      <c r="CTJ31" s="28"/>
      <c r="CTK31" s="28"/>
      <c r="CTL31" s="28"/>
      <c r="CTM31" s="29"/>
      <c r="CTN31" s="385"/>
      <c r="CTO31" s="29"/>
      <c r="CTP31" s="385"/>
      <c r="CTQ31" s="29"/>
      <c r="CTR31" s="385"/>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30"/>
      <c r="CUY31" s="28"/>
      <c r="CUZ31" s="29"/>
      <c r="CVA31" s="29"/>
      <c r="CVB31" s="29"/>
      <c r="CVC31" s="29"/>
      <c r="CVD31" s="29"/>
      <c r="CVE31" s="31"/>
      <c r="CVF31" s="32"/>
      <c r="CVG31" s="32"/>
      <c r="CVH31" s="28"/>
      <c r="CVI31" s="29"/>
      <c r="CVJ31" s="30"/>
      <c r="CVK31" s="28"/>
      <c r="CVL31" s="29"/>
      <c r="CVM31" s="29"/>
      <c r="CVN31" s="29"/>
      <c r="CVO31" s="31"/>
      <c r="CVP31" s="32"/>
      <c r="CVQ31" s="32"/>
      <c r="CVR31" s="28"/>
      <c r="CVS31" s="29"/>
      <c r="CVT31" s="30"/>
      <c r="CVU31" s="28"/>
      <c r="CVV31" s="29"/>
      <c r="CVW31" s="29"/>
      <c r="CVX31" s="29"/>
      <c r="CVY31" s="31"/>
      <c r="CVZ31" s="32"/>
      <c r="CWA31" s="32"/>
      <c r="CWB31" s="28"/>
      <c r="CWC31" s="29"/>
      <c r="CWD31" s="30"/>
      <c r="CWE31" s="28"/>
      <c r="CWF31" s="29"/>
      <c r="CWG31" s="29"/>
      <c r="CWH31" s="29"/>
      <c r="CWI31" s="31"/>
      <c r="CWJ31" s="32"/>
      <c r="CWK31" s="32"/>
      <c r="CWL31" s="28"/>
      <c r="CWM31" s="29"/>
      <c r="CWN31" s="30"/>
      <c r="CWO31" s="28"/>
      <c r="CWP31" s="30"/>
      <c r="CWQ31" s="29"/>
      <c r="CWR31" s="28"/>
      <c r="CWS31" s="29"/>
      <c r="CWT31" s="28"/>
      <c r="CWU31" s="28"/>
      <c r="CWV31" s="28"/>
      <c r="CWW31" s="29"/>
      <c r="CWX31" s="385"/>
      <c r="CWY31" s="29"/>
      <c r="CWZ31" s="385"/>
      <c r="CXA31" s="29"/>
      <c r="CXB31" s="385"/>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30"/>
      <c r="CYI31" s="28"/>
      <c r="CYJ31" s="29"/>
      <c r="CYK31" s="29"/>
      <c r="CYL31" s="29"/>
      <c r="CYM31" s="29"/>
      <c r="CYN31" s="29"/>
      <c r="CYO31" s="31"/>
      <c r="CYP31" s="32"/>
      <c r="CYQ31" s="32"/>
      <c r="CYR31" s="28"/>
      <c r="CYS31" s="29"/>
      <c r="CYT31" s="30"/>
      <c r="CYU31" s="28"/>
      <c r="CYV31" s="29"/>
      <c r="CYW31" s="29"/>
      <c r="CYX31" s="29"/>
      <c r="CYY31" s="31"/>
      <c r="CYZ31" s="32"/>
      <c r="CZA31" s="32"/>
      <c r="CZB31" s="28"/>
      <c r="CZC31" s="29"/>
      <c r="CZD31" s="30"/>
      <c r="CZE31" s="28"/>
      <c r="CZF31" s="29"/>
      <c r="CZG31" s="29"/>
      <c r="CZH31" s="29"/>
      <c r="CZI31" s="31"/>
      <c r="CZJ31" s="32"/>
      <c r="CZK31" s="32"/>
      <c r="CZL31" s="28"/>
      <c r="CZM31" s="29"/>
      <c r="CZN31" s="30"/>
      <c r="CZO31" s="28"/>
      <c r="CZP31" s="29"/>
      <c r="CZQ31" s="29"/>
      <c r="CZR31" s="29"/>
      <c r="CZS31" s="31"/>
      <c r="CZT31" s="32"/>
      <c r="CZU31" s="32"/>
      <c r="CZV31" s="28"/>
      <c r="CZW31" s="29"/>
      <c r="CZX31" s="30"/>
      <c r="CZY31" s="28"/>
      <c r="CZZ31" s="30"/>
      <c r="DAA31" s="29"/>
      <c r="DAB31" s="28"/>
      <c r="DAC31" s="29"/>
      <c r="DAD31" s="28"/>
      <c r="DAE31" s="28"/>
      <c r="DAF31" s="28"/>
      <c r="DAG31" s="29"/>
      <c r="DAH31" s="385"/>
      <c r="DAI31" s="29"/>
      <c r="DAJ31" s="385"/>
      <c r="DAK31" s="29"/>
      <c r="DAL31" s="385"/>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30"/>
      <c r="DBS31" s="28"/>
      <c r="DBT31" s="29"/>
      <c r="DBU31" s="29"/>
      <c r="DBV31" s="29"/>
      <c r="DBW31" s="29"/>
      <c r="DBX31" s="29"/>
      <c r="DBY31" s="31"/>
      <c r="DBZ31" s="32"/>
      <c r="DCA31" s="32"/>
      <c r="DCB31" s="28"/>
      <c r="DCC31" s="29"/>
      <c r="DCD31" s="30"/>
      <c r="DCE31" s="28"/>
      <c r="DCF31" s="29"/>
      <c r="DCG31" s="29"/>
      <c r="DCH31" s="29"/>
      <c r="DCI31" s="31"/>
      <c r="DCJ31" s="32"/>
      <c r="DCK31" s="32"/>
      <c r="DCL31" s="28"/>
      <c r="DCM31" s="29"/>
      <c r="DCN31" s="30"/>
      <c r="DCO31" s="28"/>
      <c r="DCP31" s="29"/>
      <c r="DCQ31" s="29"/>
      <c r="DCR31" s="29"/>
      <c r="DCS31" s="31"/>
      <c r="DCT31" s="32"/>
      <c r="DCU31" s="32"/>
      <c r="DCV31" s="28"/>
      <c r="DCW31" s="29"/>
      <c r="DCX31" s="30"/>
      <c r="DCY31" s="28"/>
      <c r="DCZ31" s="29"/>
      <c r="DDA31" s="29"/>
      <c r="DDB31" s="29"/>
      <c r="DDC31" s="31"/>
      <c r="DDD31" s="32"/>
      <c r="DDE31" s="32"/>
      <c r="DDF31" s="28"/>
      <c r="DDG31" s="29"/>
      <c r="DDH31" s="30"/>
      <c r="DDI31" s="28"/>
      <c r="DDJ31" s="30"/>
      <c r="DDK31" s="29"/>
      <c r="DDL31" s="28"/>
      <c r="DDM31" s="29"/>
      <c r="DDN31" s="28"/>
      <c r="DDO31" s="28"/>
      <c r="DDP31" s="28"/>
      <c r="DDQ31" s="29"/>
      <c r="DDR31" s="385"/>
      <c r="DDS31" s="29"/>
      <c r="DDT31" s="385"/>
      <c r="DDU31" s="29"/>
      <c r="DDV31" s="385"/>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30"/>
      <c r="DFC31" s="28"/>
      <c r="DFD31" s="29"/>
      <c r="DFE31" s="29"/>
      <c r="DFF31" s="29"/>
      <c r="DFG31" s="29"/>
      <c r="DFH31" s="29"/>
      <c r="DFI31" s="31"/>
      <c r="DFJ31" s="32"/>
      <c r="DFK31" s="32"/>
      <c r="DFL31" s="28"/>
      <c r="DFM31" s="29"/>
      <c r="DFN31" s="30"/>
      <c r="DFO31" s="28"/>
      <c r="DFP31" s="29"/>
      <c r="DFQ31" s="29"/>
      <c r="DFR31" s="29"/>
      <c r="DFS31" s="31"/>
      <c r="DFT31" s="32"/>
      <c r="DFU31" s="32"/>
      <c r="DFV31" s="28"/>
      <c r="DFW31" s="29"/>
      <c r="DFX31" s="30"/>
      <c r="DFY31" s="28"/>
      <c r="DFZ31" s="29"/>
      <c r="DGA31" s="29"/>
      <c r="DGB31" s="29"/>
      <c r="DGC31" s="31"/>
      <c r="DGD31" s="32"/>
      <c r="DGE31" s="32"/>
      <c r="DGF31" s="28"/>
      <c r="DGG31" s="29"/>
      <c r="DGH31" s="30"/>
      <c r="DGI31" s="28"/>
      <c r="DGJ31" s="29"/>
      <c r="DGK31" s="29"/>
      <c r="DGL31" s="29"/>
      <c r="DGM31" s="31"/>
      <c r="DGN31" s="32"/>
      <c r="DGO31" s="32"/>
      <c r="DGP31" s="28"/>
      <c r="DGQ31" s="29"/>
      <c r="DGR31" s="30"/>
      <c r="DGS31" s="28"/>
      <c r="DGT31" s="30"/>
      <c r="DGU31" s="29"/>
      <c r="DGV31" s="28"/>
      <c r="DGW31" s="29"/>
      <c r="DGX31" s="28"/>
      <c r="DGY31" s="28"/>
      <c r="DGZ31" s="28"/>
      <c r="DHA31" s="29"/>
      <c r="DHB31" s="385"/>
      <c r="DHC31" s="29"/>
      <c r="DHD31" s="385"/>
      <c r="DHE31" s="29"/>
      <c r="DHF31" s="385"/>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30"/>
      <c r="DIM31" s="28"/>
      <c r="DIN31" s="29"/>
      <c r="DIO31" s="29"/>
      <c r="DIP31" s="29"/>
      <c r="DIQ31" s="29"/>
      <c r="DIR31" s="29"/>
      <c r="DIS31" s="31"/>
      <c r="DIT31" s="32"/>
      <c r="DIU31" s="32"/>
      <c r="DIV31" s="28"/>
      <c r="DIW31" s="29"/>
      <c r="DIX31" s="30"/>
      <c r="DIY31" s="28"/>
      <c r="DIZ31" s="29"/>
      <c r="DJA31" s="29"/>
      <c r="DJB31" s="29"/>
      <c r="DJC31" s="31"/>
      <c r="DJD31" s="32"/>
      <c r="DJE31" s="32"/>
      <c r="DJF31" s="28"/>
      <c r="DJG31" s="29"/>
      <c r="DJH31" s="30"/>
      <c r="DJI31" s="28"/>
      <c r="DJJ31" s="29"/>
      <c r="DJK31" s="29"/>
      <c r="DJL31" s="29"/>
      <c r="DJM31" s="31"/>
      <c r="DJN31" s="32"/>
      <c r="DJO31" s="32"/>
      <c r="DJP31" s="28"/>
      <c r="DJQ31" s="29"/>
      <c r="DJR31" s="30"/>
      <c r="DJS31" s="28"/>
      <c r="DJT31" s="29"/>
      <c r="DJU31" s="29"/>
      <c r="DJV31" s="29"/>
      <c r="DJW31" s="31"/>
      <c r="DJX31" s="32"/>
      <c r="DJY31" s="32"/>
      <c r="DJZ31" s="28"/>
      <c r="DKA31" s="29"/>
      <c r="DKB31" s="30"/>
      <c r="DKC31" s="28"/>
      <c r="DKD31" s="30"/>
      <c r="DKE31" s="29"/>
      <c r="DKF31" s="28"/>
      <c r="DKG31" s="29"/>
      <c r="DKH31" s="28"/>
      <c r="DKI31" s="28"/>
      <c r="DKJ31" s="28"/>
      <c r="DKK31" s="29"/>
      <c r="DKL31" s="385"/>
      <c r="DKM31" s="29"/>
      <c r="DKN31" s="385"/>
      <c r="DKO31" s="29"/>
      <c r="DKP31" s="385"/>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30"/>
      <c r="DLW31" s="28"/>
      <c r="DLX31" s="29"/>
      <c r="DLY31" s="29"/>
      <c r="DLZ31" s="29"/>
      <c r="DMA31" s="29"/>
      <c r="DMB31" s="29"/>
      <c r="DMC31" s="31"/>
      <c r="DMD31" s="32"/>
      <c r="DME31" s="32"/>
      <c r="DMF31" s="28"/>
      <c r="DMG31" s="29"/>
      <c r="DMH31" s="30"/>
      <c r="DMI31" s="28"/>
      <c r="DMJ31" s="29"/>
      <c r="DMK31" s="29"/>
      <c r="DML31" s="29"/>
      <c r="DMM31" s="31"/>
      <c r="DMN31" s="32"/>
      <c r="DMO31" s="32"/>
      <c r="DMP31" s="28"/>
      <c r="DMQ31" s="29"/>
      <c r="DMR31" s="30"/>
      <c r="DMS31" s="28"/>
      <c r="DMT31" s="29"/>
      <c r="DMU31" s="29"/>
      <c r="DMV31" s="29"/>
      <c r="DMW31" s="31"/>
      <c r="DMX31" s="32"/>
      <c r="DMY31" s="32"/>
      <c r="DMZ31" s="28"/>
      <c r="DNA31" s="29"/>
      <c r="DNB31" s="30"/>
      <c r="DNC31" s="28"/>
      <c r="DND31" s="29"/>
      <c r="DNE31" s="29"/>
      <c r="DNF31" s="29"/>
      <c r="DNG31" s="31"/>
      <c r="DNH31" s="32"/>
      <c r="DNI31" s="32"/>
      <c r="DNJ31" s="28"/>
      <c r="DNK31" s="29"/>
      <c r="DNL31" s="30"/>
      <c r="DNM31" s="28"/>
      <c r="DNN31" s="30"/>
      <c r="DNO31" s="29"/>
      <c r="DNP31" s="28"/>
      <c r="DNQ31" s="29"/>
      <c r="DNR31" s="28"/>
      <c r="DNS31" s="28"/>
      <c r="DNT31" s="28"/>
      <c r="DNU31" s="29"/>
      <c r="DNV31" s="385"/>
      <c r="DNW31" s="29"/>
      <c r="DNX31" s="385"/>
      <c r="DNY31" s="29"/>
      <c r="DNZ31" s="385"/>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30"/>
      <c r="DPG31" s="28"/>
      <c r="DPH31" s="29"/>
      <c r="DPI31" s="29"/>
      <c r="DPJ31" s="29"/>
      <c r="DPK31" s="29"/>
      <c r="DPL31" s="29"/>
      <c r="DPM31" s="31"/>
      <c r="DPN31" s="32"/>
      <c r="DPO31" s="32"/>
      <c r="DPP31" s="28"/>
      <c r="DPQ31" s="29"/>
      <c r="DPR31" s="30"/>
      <c r="DPS31" s="28"/>
      <c r="DPT31" s="29"/>
      <c r="DPU31" s="29"/>
      <c r="DPV31" s="29"/>
      <c r="DPW31" s="31"/>
      <c r="DPX31" s="32"/>
      <c r="DPY31" s="32"/>
      <c r="DPZ31" s="28"/>
      <c r="DQA31" s="29"/>
      <c r="DQB31" s="30"/>
      <c r="DQC31" s="28"/>
      <c r="DQD31" s="29"/>
      <c r="DQE31" s="29"/>
      <c r="DQF31" s="29"/>
      <c r="DQG31" s="31"/>
      <c r="DQH31" s="32"/>
      <c r="DQI31" s="32"/>
      <c r="DQJ31" s="28"/>
      <c r="DQK31" s="29"/>
      <c r="DQL31" s="30"/>
      <c r="DQM31" s="28"/>
      <c r="DQN31" s="29"/>
      <c r="DQO31" s="29"/>
      <c r="DQP31" s="29"/>
      <c r="DQQ31" s="31"/>
      <c r="DQR31" s="32"/>
      <c r="DQS31" s="32"/>
      <c r="DQT31" s="28"/>
      <c r="DQU31" s="29"/>
      <c r="DQV31" s="30"/>
      <c r="DQW31" s="28"/>
      <c r="DQX31" s="30"/>
      <c r="DQY31" s="29"/>
      <c r="DQZ31" s="28"/>
      <c r="DRA31" s="29"/>
      <c r="DRB31" s="28"/>
      <c r="DRC31" s="28"/>
      <c r="DRD31" s="28"/>
      <c r="DRE31" s="29"/>
      <c r="DRF31" s="385"/>
      <c r="DRG31" s="29"/>
      <c r="DRH31" s="385"/>
      <c r="DRI31" s="29"/>
      <c r="DRJ31" s="385"/>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30"/>
      <c r="DSQ31" s="28"/>
      <c r="DSR31" s="29"/>
      <c r="DSS31" s="29"/>
      <c r="DST31" s="29"/>
      <c r="DSU31" s="29"/>
      <c r="DSV31" s="29"/>
      <c r="DSW31" s="31"/>
      <c r="DSX31" s="32"/>
      <c r="DSY31" s="32"/>
      <c r="DSZ31" s="28"/>
      <c r="DTA31" s="29"/>
      <c r="DTB31" s="30"/>
      <c r="DTC31" s="28"/>
      <c r="DTD31" s="29"/>
      <c r="DTE31" s="29"/>
      <c r="DTF31" s="29"/>
      <c r="DTG31" s="31"/>
      <c r="DTH31" s="32"/>
      <c r="DTI31" s="32"/>
      <c r="DTJ31" s="28"/>
      <c r="DTK31" s="29"/>
      <c r="DTL31" s="30"/>
      <c r="DTM31" s="28"/>
      <c r="DTN31" s="29"/>
      <c r="DTO31" s="29"/>
      <c r="DTP31" s="29"/>
      <c r="DTQ31" s="31"/>
      <c r="DTR31" s="32"/>
      <c r="DTS31" s="32"/>
      <c r="DTT31" s="28"/>
      <c r="DTU31" s="29"/>
      <c r="DTV31" s="30"/>
      <c r="DTW31" s="28"/>
      <c r="DTX31" s="29"/>
      <c r="DTY31" s="29"/>
      <c r="DTZ31" s="29"/>
      <c r="DUA31" s="31"/>
      <c r="DUB31" s="32"/>
      <c r="DUC31" s="32"/>
      <c r="DUD31" s="28"/>
      <c r="DUE31" s="29"/>
      <c r="DUF31" s="30"/>
      <c r="DUG31" s="28"/>
      <c r="DUH31" s="30"/>
      <c r="DUI31" s="29"/>
      <c r="DUJ31" s="28"/>
      <c r="DUK31" s="29"/>
      <c r="DUL31" s="28"/>
      <c r="DUM31" s="28"/>
      <c r="DUN31" s="28"/>
      <c r="DUO31" s="29"/>
      <c r="DUP31" s="385"/>
      <c r="DUQ31" s="29"/>
      <c r="DUR31" s="385"/>
      <c r="DUS31" s="29"/>
      <c r="DUT31" s="385"/>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30"/>
      <c r="DWA31" s="28"/>
      <c r="DWB31" s="29"/>
      <c r="DWC31" s="29"/>
      <c r="DWD31" s="29"/>
      <c r="DWE31" s="29"/>
      <c r="DWF31" s="29"/>
      <c r="DWG31" s="31"/>
      <c r="DWH31" s="32"/>
      <c r="DWI31" s="32"/>
      <c r="DWJ31" s="28"/>
      <c r="DWK31" s="29"/>
      <c r="DWL31" s="30"/>
      <c r="DWM31" s="28"/>
      <c r="DWN31" s="29"/>
      <c r="DWO31" s="29"/>
      <c r="DWP31" s="29"/>
      <c r="DWQ31" s="31"/>
      <c r="DWR31" s="32"/>
      <c r="DWS31" s="32"/>
      <c r="DWT31" s="28"/>
      <c r="DWU31" s="29"/>
      <c r="DWV31" s="30"/>
      <c r="DWW31" s="28"/>
      <c r="DWX31" s="29"/>
      <c r="DWY31" s="29"/>
      <c r="DWZ31" s="29"/>
      <c r="DXA31" s="31"/>
      <c r="DXB31" s="32"/>
      <c r="DXC31" s="32"/>
      <c r="DXD31" s="28"/>
      <c r="DXE31" s="29"/>
      <c r="DXF31" s="30"/>
      <c r="DXG31" s="28"/>
      <c r="DXH31" s="29"/>
      <c r="DXI31" s="29"/>
      <c r="DXJ31" s="29"/>
      <c r="DXK31" s="31"/>
      <c r="DXL31" s="32"/>
      <c r="DXM31" s="32"/>
      <c r="DXN31" s="28"/>
      <c r="DXO31" s="29"/>
      <c r="DXP31" s="30"/>
      <c r="DXQ31" s="28"/>
      <c r="DXR31" s="30"/>
      <c r="DXS31" s="29"/>
      <c r="DXT31" s="28"/>
      <c r="DXU31" s="29"/>
      <c r="DXV31" s="28"/>
      <c r="DXW31" s="28"/>
      <c r="DXX31" s="28"/>
      <c r="DXY31" s="29"/>
      <c r="DXZ31" s="385"/>
      <c r="DYA31" s="29"/>
      <c r="DYB31" s="385"/>
      <c r="DYC31" s="29"/>
      <c r="DYD31" s="385"/>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30"/>
      <c r="DZK31" s="28"/>
      <c r="DZL31" s="29"/>
      <c r="DZM31" s="29"/>
      <c r="DZN31" s="29"/>
      <c r="DZO31" s="29"/>
      <c r="DZP31" s="29"/>
      <c r="DZQ31" s="31"/>
      <c r="DZR31" s="32"/>
      <c r="DZS31" s="32"/>
      <c r="DZT31" s="28"/>
      <c r="DZU31" s="29"/>
      <c r="DZV31" s="30"/>
      <c r="DZW31" s="28"/>
      <c r="DZX31" s="29"/>
      <c r="DZY31" s="29"/>
      <c r="DZZ31" s="29"/>
      <c r="EAA31" s="31"/>
      <c r="EAB31" s="32"/>
      <c r="EAC31" s="32"/>
      <c r="EAD31" s="28"/>
      <c r="EAE31" s="29"/>
      <c r="EAF31" s="30"/>
      <c r="EAG31" s="28"/>
      <c r="EAH31" s="29"/>
      <c r="EAI31" s="29"/>
      <c r="EAJ31" s="29"/>
      <c r="EAK31" s="31"/>
      <c r="EAL31" s="32"/>
      <c r="EAM31" s="32"/>
      <c r="EAN31" s="28"/>
      <c r="EAO31" s="29"/>
      <c r="EAP31" s="30"/>
      <c r="EAQ31" s="28"/>
      <c r="EAR31" s="29"/>
      <c r="EAS31" s="29"/>
      <c r="EAT31" s="29"/>
      <c r="EAU31" s="31"/>
      <c r="EAV31" s="32"/>
      <c r="EAW31" s="32"/>
      <c r="EAX31" s="28"/>
      <c r="EAY31" s="29"/>
      <c r="EAZ31" s="30"/>
      <c r="EBA31" s="28"/>
      <c r="EBB31" s="30"/>
      <c r="EBC31" s="29"/>
      <c r="EBD31" s="28"/>
      <c r="EBE31" s="29"/>
      <c r="EBF31" s="28"/>
      <c r="EBG31" s="28"/>
      <c r="EBH31" s="28"/>
      <c r="EBI31" s="29"/>
      <c r="EBJ31" s="385"/>
      <c r="EBK31" s="29"/>
      <c r="EBL31" s="385"/>
      <c r="EBM31" s="29"/>
      <c r="EBN31" s="385"/>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30"/>
      <c r="ECU31" s="28"/>
      <c r="ECV31" s="29"/>
      <c r="ECW31" s="29"/>
      <c r="ECX31" s="29"/>
      <c r="ECY31" s="29"/>
      <c r="ECZ31" s="29"/>
      <c r="EDA31" s="31"/>
      <c r="EDB31" s="32"/>
      <c r="EDC31" s="32"/>
      <c r="EDD31" s="28"/>
      <c r="EDE31" s="29"/>
      <c r="EDF31" s="30"/>
      <c r="EDG31" s="28"/>
      <c r="EDH31" s="29"/>
      <c r="EDI31" s="29"/>
      <c r="EDJ31" s="29"/>
      <c r="EDK31" s="31"/>
      <c r="EDL31" s="32"/>
      <c r="EDM31" s="32"/>
      <c r="EDN31" s="28"/>
      <c r="EDO31" s="29"/>
      <c r="EDP31" s="30"/>
      <c r="EDQ31" s="28"/>
      <c r="EDR31" s="29"/>
      <c r="EDS31" s="29"/>
      <c r="EDT31" s="29"/>
      <c r="EDU31" s="31"/>
      <c r="EDV31" s="32"/>
      <c r="EDW31" s="32"/>
      <c r="EDX31" s="28"/>
      <c r="EDY31" s="29"/>
      <c r="EDZ31" s="30"/>
      <c r="EEA31" s="28"/>
      <c r="EEB31" s="29"/>
      <c r="EEC31" s="29"/>
      <c r="EED31" s="29"/>
      <c r="EEE31" s="31"/>
      <c r="EEF31" s="32"/>
      <c r="EEG31" s="32"/>
      <c r="EEH31" s="28"/>
      <c r="EEI31" s="29"/>
      <c r="EEJ31" s="30"/>
      <c r="EEK31" s="28"/>
      <c r="EEL31" s="30"/>
      <c r="EEM31" s="29"/>
      <c r="EEN31" s="28"/>
      <c r="EEO31" s="29"/>
      <c r="EEP31" s="28"/>
      <c r="EEQ31" s="28"/>
      <c r="EER31" s="28"/>
      <c r="EES31" s="29"/>
      <c r="EET31" s="385"/>
      <c r="EEU31" s="29"/>
      <c r="EEV31" s="385"/>
      <c r="EEW31" s="29"/>
      <c r="EEX31" s="385"/>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30"/>
      <c r="EGE31" s="28"/>
      <c r="EGF31" s="29"/>
      <c r="EGG31" s="29"/>
      <c r="EGH31" s="29"/>
      <c r="EGI31" s="29"/>
      <c r="EGJ31" s="29"/>
      <c r="EGK31" s="31"/>
      <c r="EGL31" s="32"/>
      <c r="EGM31" s="32"/>
      <c r="EGN31" s="28"/>
      <c r="EGO31" s="29"/>
      <c r="EGP31" s="30"/>
      <c r="EGQ31" s="28"/>
      <c r="EGR31" s="29"/>
      <c r="EGS31" s="29"/>
      <c r="EGT31" s="29"/>
      <c r="EGU31" s="31"/>
      <c r="EGV31" s="32"/>
      <c r="EGW31" s="32"/>
      <c r="EGX31" s="28"/>
      <c r="EGY31" s="29"/>
      <c r="EGZ31" s="30"/>
      <c r="EHA31" s="28"/>
      <c r="EHB31" s="29"/>
      <c r="EHC31" s="29"/>
      <c r="EHD31" s="29"/>
      <c r="EHE31" s="31"/>
      <c r="EHF31" s="32"/>
      <c r="EHG31" s="32"/>
      <c r="EHH31" s="28"/>
      <c r="EHI31" s="29"/>
      <c r="EHJ31" s="30"/>
      <c r="EHK31" s="28"/>
      <c r="EHL31" s="29"/>
      <c r="EHM31" s="29"/>
      <c r="EHN31" s="29"/>
      <c r="EHO31" s="31"/>
      <c r="EHP31" s="32"/>
      <c r="EHQ31" s="32"/>
      <c r="EHR31" s="28"/>
      <c r="EHS31" s="29"/>
      <c r="EHT31" s="30"/>
      <c r="EHU31" s="28"/>
      <c r="EHV31" s="30"/>
      <c r="EHW31" s="29"/>
      <c r="EHX31" s="28"/>
      <c r="EHY31" s="29"/>
      <c r="EHZ31" s="28"/>
      <c r="EIA31" s="28"/>
      <c r="EIB31" s="28"/>
      <c r="EIC31" s="29"/>
      <c r="EID31" s="385"/>
      <c r="EIE31" s="29"/>
      <c r="EIF31" s="385"/>
      <c r="EIG31" s="29"/>
      <c r="EIH31" s="385"/>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30"/>
      <c r="EJO31" s="28"/>
      <c r="EJP31" s="29"/>
      <c r="EJQ31" s="29"/>
      <c r="EJR31" s="29"/>
      <c r="EJS31" s="29"/>
      <c r="EJT31" s="29"/>
      <c r="EJU31" s="31"/>
      <c r="EJV31" s="32"/>
      <c r="EJW31" s="32"/>
      <c r="EJX31" s="28"/>
      <c r="EJY31" s="29"/>
      <c r="EJZ31" s="30"/>
      <c r="EKA31" s="28"/>
      <c r="EKB31" s="29"/>
      <c r="EKC31" s="29"/>
      <c r="EKD31" s="29"/>
      <c r="EKE31" s="31"/>
      <c r="EKF31" s="32"/>
      <c r="EKG31" s="32"/>
      <c r="EKH31" s="28"/>
      <c r="EKI31" s="29"/>
      <c r="EKJ31" s="30"/>
      <c r="EKK31" s="28"/>
      <c r="EKL31" s="29"/>
      <c r="EKM31" s="29"/>
      <c r="EKN31" s="29"/>
      <c r="EKO31" s="31"/>
      <c r="EKP31" s="32"/>
      <c r="EKQ31" s="32"/>
      <c r="EKR31" s="28"/>
      <c r="EKS31" s="29"/>
      <c r="EKT31" s="30"/>
      <c r="EKU31" s="28"/>
      <c r="EKV31" s="29"/>
      <c r="EKW31" s="29"/>
      <c r="EKX31" s="29"/>
      <c r="EKY31" s="31"/>
      <c r="EKZ31" s="32"/>
      <c r="ELA31" s="32"/>
      <c r="ELB31" s="28"/>
      <c r="ELC31" s="29"/>
      <c r="ELD31" s="30"/>
      <c r="ELE31" s="28"/>
      <c r="ELF31" s="30"/>
      <c r="ELG31" s="29"/>
      <c r="ELH31" s="28"/>
      <c r="ELI31" s="29"/>
      <c r="ELJ31" s="28"/>
      <c r="ELK31" s="28"/>
      <c r="ELL31" s="28"/>
      <c r="ELM31" s="29"/>
      <c r="ELN31" s="385"/>
      <c r="ELO31" s="29"/>
      <c r="ELP31" s="385"/>
      <c r="ELQ31" s="29"/>
      <c r="ELR31" s="385"/>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30"/>
      <c r="EMY31" s="28"/>
      <c r="EMZ31" s="29"/>
      <c r="ENA31" s="29"/>
      <c r="ENB31" s="29"/>
      <c r="ENC31" s="29"/>
      <c r="END31" s="29"/>
      <c r="ENE31" s="31"/>
      <c r="ENF31" s="32"/>
      <c r="ENG31" s="32"/>
      <c r="ENH31" s="28"/>
      <c r="ENI31" s="29"/>
      <c r="ENJ31" s="30"/>
      <c r="ENK31" s="28"/>
      <c r="ENL31" s="29"/>
      <c r="ENM31" s="29"/>
      <c r="ENN31" s="29"/>
      <c r="ENO31" s="31"/>
      <c r="ENP31" s="32"/>
      <c r="ENQ31" s="32"/>
      <c r="ENR31" s="28"/>
      <c r="ENS31" s="29"/>
      <c r="ENT31" s="30"/>
      <c r="ENU31" s="28"/>
      <c r="ENV31" s="29"/>
      <c r="ENW31" s="29"/>
      <c r="ENX31" s="29"/>
      <c r="ENY31" s="31"/>
      <c r="ENZ31" s="32"/>
      <c r="EOA31" s="32"/>
      <c r="EOB31" s="28"/>
      <c r="EOC31" s="29"/>
      <c r="EOD31" s="30"/>
      <c r="EOE31" s="28"/>
      <c r="EOF31" s="29"/>
      <c r="EOG31" s="29"/>
      <c r="EOH31" s="29"/>
      <c r="EOI31" s="31"/>
      <c r="EOJ31" s="32"/>
      <c r="EOK31" s="32"/>
      <c r="EOL31" s="28"/>
      <c r="EOM31" s="29"/>
      <c r="EON31" s="30" t="s">
        <v>3695</v>
      </c>
      <c r="EOO31" s="28" t="str">
        <f t="shared" si="75"/>
        <v xml:space="preserve"> </v>
      </c>
    </row>
    <row r="32" spans="1:3785" x14ac:dyDescent="0.3">
      <c r="A32" s="55" t="s">
        <v>188</v>
      </c>
      <c r="B32" s="58"/>
      <c r="C32" s="57"/>
      <c r="D32" s="56" t="str">
        <f t="shared" si="61"/>
        <v xml:space="preserve"> </v>
      </c>
      <c r="E32" s="57"/>
      <c r="F32" s="56"/>
      <c r="G32" s="56"/>
      <c r="H32" s="56"/>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8"/>
      <c r="AU32" s="56"/>
      <c r="AV32" s="57"/>
      <c r="AW32" s="57"/>
      <c r="AX32" s="57"/>
      <c r="AY32" s="57"/>
      <c r="AZ32" s="57"/>
      <c r="BA32" s="56"/>
      <c r="BB32" s="57"/>
      <c r="BC32" s="57"/>
      <c r="BD32" s="56"/>
      <c r="BE32" s="57"/>
      <c r="BF32" s="58"/>
      <c r="BG32" s="56"/>
      <c r="BH32" s="57"/>
      <c r="BI32" s="57"/>
      <c r="BJ32" s="57"/>
      <c r="BK32" s="56"/>
      <c r="BL32" s="57"/>
      <c r="BM32" s="57"/>
      <c r="BN32" s="56"/>
      <c r="BO32" s="57"/>
      <c r="BP32" s="58"/>
      <c r="BQ32" s="56"/>
      <c r="BR32" s="57"/>
      <c r="BS32" s="57"/>
      <c r="BT32" s="57"/>
      <c r="BU32" s="56"/>
      <c r="BV32" s="57"/>
      <c r="BW32" s="57"/>
      <c r="BX32" s="56"/>
      <c r="BY32" s="57"/>
      <c r="BZ32" s="58"/>
      <c r="CA32" s="56"/>
      <c r="CB32" s="57"/>
      <c r="CC32" s="57"/>
      <c r="CD32" s="57"/>
      <c r="CE32" s="56"/>
      <c r="CF32" s="57"/>
      <c r="CG32" s="57"/>
      <c r="CH32" s="56"/>
      <c r="CI32" s="57"/>
      <c r="CJ32" s="58"/>
      <c r="CK32" s="56"/>
      <c r="CL32" s="57"/>
      <c r="CM32" s="57"/>
      <c r="CN32" s="57"/>
      <c r="CO32" s="59"/>
      <c r="CP32" s="177"/>
      <c r="CQ32" s="177"/>
      <c r="CR32" s="56"/>
      <c r="CS32" s="57"/>
      <c r="CT32" s="58"/>
      <c r="CU32" s="56"/>
      <c r="CV32" s="57"/>
      <c r="CW32" s="57"/>
      <c r="CX32" s="57"/>
      <c r="CY32" s="56"/>
      <c r="CZ32" s="57"/>
      <c r="DA32" s="57"/>
      <c r="DB32" s="56"/>
      <c r="DC32" s="57"/>
      <c r="DD32" s="58"/>
      <c r="DE32" s="56"/>
      <c r="DF32" s="57"/>
      <c r="DG32" s="57"/>
      <c r="DH32" s="57"/>
      <c r="DI32" s="56"/>
      <c r="DJ32" s="57"/>
      <c r="DK32" s="57"/>
      <c r="DL32" s="56"/>
      <c r="DM32" s="57"/>
      <c r="DN32" s="58"/>
      <c r="DO32" s="56"/>
      <c r="DP32" s="57"/>
      <c r="DQ32" s="57"/>
      <c r="DR32" s="57"/>
      <c r="DS32" s="56"/>
      <c r="DT32" s="57"/>
      <c r="DU32" s="57"/>
      <c r="DV32" s="56"/>
      <c r="DW32" s="57"/>
      <c r="DX32" s="58"/>
      <c r="DY32" s="56"/>
      <c r="DZ32" s="57"/>
      <c r="EA32" s="57"/>
      <c r="EB32" s="57"/>
      <c r="EC32" s="56"/>
      <c r="ED32" s="57"/>
      <c r="EE32" s="56"/>
      <c r="EF32" s="56"/>
      <c r="EG32" s="57"/>
      <c r="EH32" s="58"/>
      <c r="EI32" s="56"/>
      <c r="EJ32" s="57"/>
      <c r="EK32" s="57"/>
      <c r="EL32" s="57"/>
      <c r="EM32" s="56"/>
      <c r="EN32" s="57"/>
      <c r="EO32" s="57"/>
      <c r="EP32" s="56"/>
      <c r="EQ32" s="57"/>
      <c r="ER32" s="58"/>
      <c r="ES32" s="56"/>
      <c r="ET32" s="57"/>
      <c r="EU32" s="57"/>
      <c r="EV32" s="57"/>
      <c r="EW32" s="56"/>
      <c r="EX32" s="57"/>
      <c r="EY32" s="57"/>
      <c r="EZ32" s="56"/>
      <c r="FA32" s="57"/>
      <c r="FB32" s="58"/>
      <c r="FC32" s="56"/>
      <c r="FD32" s="57"/>
      <c r="FE32" s="57"/>
      <c r="FF32" s="57"/>
      <c r="FG32" s="56"/>
      <c r="FH32" s="57"/>
      <c r="FI32" s="57"/>
      <c r="FJ32" s="56"/>
      <c r="FK32" s="57"/>
      <c r="FL32" s="58"/>
      <c r="FM32" s="56"/>
      <c r="FN32" s="57"/>
      <c r="FO32" s="57"/>
      <c r="FP32" s="57"/>
      <c r="FQ32" s="56"/>
      <c r="FR32" s="57"/>
      <c r="FS32" s="57"/>
      <c r="FT32" s="56"/>
      <c r="FU32" s="57"/>
      <c r="FV32" s="58"/>
      <c r="FW32" s="56"/>
      <c r="FX32" s="57"/>
      <c r="FY32" s="57"/>
      <c r="FZ32" s="57"/>
      <c r="GA32" s="56"/>
      <c r="GB32" s="57"/>
      <c r="GC32" s="57"/>
      <c r="GD32" s="56"/>
      <c r="GE32" s="57"/>
      <c r="GF32" s="58"/>
      <c r="GG32" s="56"/>
      <c r="GH32" s="57"/>
      <c r="GI32" s="57"/>
      <c r="GJ32" s="57"/>
      <c r="GK32" s="56"/>
      <c r="GL32" s="57"/>
      <c r="GM32" s="57"/>
      <c r="GN32" s="56"/>
      <c r="GO32" s="57"/>
      <c r="GP32" s="58"/>
      <c r="GQ32" s="56"/>
      <c r="GR32" s="57"/>
      <c r="GS32" s="57"/>
      <c r="GT32" s="57"/>
      <c r="GU32" s="56"/>
      <c r="GV32" s="57"/>
      <c r="GW32" s="57"/>
      <c r="GX32" s="56"/>
      <c r="GY32" s="57"/>
      <c r="GZ32" s="58"/>
      <c r="HA32" s="56"/>
      <c r="HB32" s="57"/>
      <c r="HC32" s="57"/>
      <c r="HD32" s="57"/>
      <c r="HE32" s="56"/>
      <c r="HF32" s="57"/>
      <c r="HG32" s="57"/>
      <c r="HH32" s="56"/>
      <c r="HI32" s="57"/>
      <c r="HJ32" s="58"/>
      <c r="HK32" s="56"/>
      <c r="HL32" s="57"/>
      <c r="HM32" s="57"/>
      <c r="HN32" s="57"/>
      <c r="HO32" s="56"/>
      <c r="HP32" s="57"/>
      <c r="HQ32" s="57"/>
      <c r="HR32" s="56"/>
      <c r="HS32" s="57"/>
      <c r="HT32" s="58"/>
      <c r="HU32" s="56"/>
      <c r="HV32" s="57"/>
      <c r="HW32" s="57"/>
      <c r="HX32" s="57"/>
      <c r="HY32" s="56"/>
      <c r="HZ32" s="57"/>
      <c r="IA32" s="57"/>
      <c r="IB32" s="56"/>
      <c r="IC32" s="57"/>
      <c r="ID32" s="58"/>
      <c r="IE32" s="56"/>
      <c r="IF32" s="57"/>
      <c r="IG32" s="57"/>
      <c r="IH32" s="57"/>
      <c r="II32" s="56"/>
      <c r="IJ32" s="57"/>
      <c r="IK32" s="57"/>
      <c r="IL32" s="56"/>
      <c r="IM32" s="57"/>
      <c r="IN32" s="58"/>
      <c r="IO32" s="56"/>
      <c r="IP32" s="57"/>
      <c r="IQ32" s="57"/>
      <c r="IR32" s="57"/>
      <c r="IS32" s="56"/>
      <c r="IT32" s="57"/>
      <c r="IU32" s="57"/>
      <c r="IV32" s="56"/>
      <c r="IW32" s="57"/>
      <c r="IX32" s="58"/>
      <c r="IY32" s="56"/>
      <c r="IZ32" s="57"/>
      <c r="JA32" s="57"/>
      <c r="JB32" s="57"/>
      <c r="JC32" s="56"/>
      <c r="JD32" s="57"/>
      <c r="JE32" s="57"/>
      <c r="JF32" s="56"/>
      <c r="JG32" s="57"/>
      <c r="JH32" s="58"/>
      <c r="JI32" s="56"/>
      <c r="JJ32" s="57"/>
      <c r="JK32" s="57"/>
      <c r="JL32" s="57"/>
      <c r="JM32" s="56"/>
      <c r="JN32" s="57"/>
      <c r="JO32" s="57"/>
      <c r="JP32" s="56"/>
      <c r="JQ32" s="57"/>
      <c r="JR32" s="58"/>
      <c r="JS32" s="56"/>
      <c r="JT32" s="57"/>
      <c r="JU32" s="57"/>
      <c r="JV32" s="57"/>
      <c r="JW32" s="56"/>
      <c r="JX32" s="57"/>
      <c r="JY32" s="57"/>
      <c r="JZ32" s="56"/>
      <c r="KA32" s="57"/>
      <c r="KB32" s="58"/>
      <c r="KC32" s="56"/>
      <c r="KD32" s="57"/>
      <c r="KE32" s="57"/>
      <c r="KF32" s="57"/>
      <c r="KG32" s="56"/>
      <c r="KH32" s="57"/>
      <c r="KI32" s="57"/>
      <c r="KJ32" s="56"/>
      <c r="KK32" s="57"/>
      <c r="KL32" s="58"/>
      <c r="KM32" s="56"/>
      <c r="KN32" s="57"/>
      <c r="KO32" s="57"/>
      <c r="KP32" s="57"/>
      <c r="KQ32" s="56"/>
      <c r="KR32" s="57"/>
      <c r="KS32" s="57"/>
      <c r="KT32" s="56"/>
      <c r="KU32" s="57"/>
      <c r="KV32" s="58"/>
      <c r="KW32" s="56"/>
      <c r="KX32" s="57"/>
      <c r="KY32" s="57"/>
      <c r="KZ32" s="57"/>
      <c r="LA32" s="56"/>
      <c r="LB32" s="57"/>
      <c r="LC32" s="57"/>
      <c r="LD32" s="56"/>
      <c r="LE32" s="57"/>
      <c r="LF32" s="58"/>
      <c r="LG32" s="56"/>
      <c r="LH32" s="57"/>
      <c r="LI32" s="57"/>
      <c r="LJ32" s="57"/>
      <c r="LK32" s="56"/>
      <c r="LL32" s="57"/>
      <c r="LM32" s="57"/>
      <c r="LN32" s="56"/>
      <c r="LO32" s="57"/>
      <c r="LP32" s="58"/>
      <c r="LQ32" s="56"/>
      <c r="LR32" s="57"/>
      <c r="LS32" s="57"/>
      <c r="LT32" s="57"/>
      <c r="LU32" s="56"/>
      <c r="LV32" s="57"/>
      <c r="LW32" s="57"/>
      <c r="LX32" s="56"/>
      <c r="LY32" s="57"/>
      <c r="LZ32" s="58"/>
      <c r="MA32" s="56"/>
      <c r="MB32" s="57"/>
      <c r="MC32" s="57"/>
      <c r="MD32" s="57"/>
      <c r="ME32" s="56"/>
      <c r="MF32" s="57"/>
      <c r="MG32" s="57"/>
      <c r="MH32" s="56"/>
      <c r="MI32" s="57"/>
      <c r="MJ32" s="58"/>
      <c r="MK32" s="56"/>
      <c r="ML32" s="57"/>
      <c r="MM32" s="57"/>
      <c r="MN32" s="57"/>
      <c r="MO32" s="56"/>
      <c r="MP32" s="57"/>
      <c r="MQ32" s="57"/>
      <c r="MR32" s="56"/>
      <c r="MS32" s="57"/>
      <c r="MT32" s="58"/>
      <c r="MU32" s="56"/>
      <c r="MV32" s="57"/>
      <c r="MW32" s="57"/>
      <c r="MX32" s="57"/>
      <c r="MY32" s="56"/>
      <c r="MZ32" s="57"/>
      <c r="NA32" s="57"/>
      <c r="NB32" s="56"/>
      <c r="NC32" s="57"/>
      <c r="ND32" s="58"/>
      <c r="NE32" s="56"/>
      <c r="NF32" s="57"/>
      <c r="NG32" s="57"/>
      <c r="NH32" s="57"/>
      <c r="NI32" s="56"/>
      <c r="NJ32" s="57"/>
      <c r="NK32" s="57"/>
      <c r="NL32" s="56"/>
      <c r="NM32" s="57"/>
      <c r="NN32" s="58"/>
      <c r="NO32" s="56"/>
      <c r="NP32" s="57"/>
      <c r="NQ32" s="57"/>
      <c r="NR32" s="57"/>
      <c r="NS32" s="56"/>
      <c r="NT32" s="57"/>
      <c r="NU32" s="57"/>
      <c r="NV32" s="56"/>
      <c r="NW32" s="57"/>
      <c r="NX32" s="58"/>
      <c r="NY32" s="56"/>
      <c r="NZ32" s="57"/>
      <c r="OA32" s="57"/>
      <c r="OB32" s="57"/>
      <c r="OC32" s="56"/>
      <c r="OD32" s="57"/>
      <c r="OE32" s="57"/>
      <c r="OF32" s="58"/>
      <c r="OG32" s="58"/>
      <c r="OH32" s="58"/>
      <c r="OI32" s="56"/>
      <c r="OJ32" s="58"/>
      <c r="OK32" s="58"/>
      <c r="OL32" s="58"/>
      <c r="OM32" s="58"/>
      <c r="ON32" s="58"/>
      <c r="OO32" s="58"/>
      <c r="OP32" s="56"/>
      <c r="OQ32" s="57"/>
      <c r="OR32" s="58"/>
      <c r="OS32" s="56"/>
      <c r="OT32" s="57"/>
      <c r="OU32" s="57"/>
      <c r="OV32" s="57"/>
      <c r="OW32" s="56"/>
      <c r="OX32" s="57"/>
      <c r="OY32" s="57"/>
      <c r="OZ32" s="56"/>
      <c r="PA32" s="57"/>
      <c r="PB32" s="58"/>
      <c r="PC32" s="56"/>
      <c r="PD32" s="57"/>
      <c r="PE32" s="57"/>
      <c r="PF32" s="57"/>
      <c r="PG32" s="56"/>
      <c r="PH32" s="57"/>
      <c r="PI32" s="57"/>
      <c r="PJ32" s="56"/>
      <c r="PK32" s="57"/>
      <c r="PL32" s="58"/>
      <c r="PM32" s="56"/>
      <c r="PN32" s="57"/>
      <c r="PO32" s="57"/>
      <c r="PP32" s="57"/>
      <c r="PQ32" s="56"/>
      <c r="PR32" s="57"/>
      <c r="PS32" s="57"/>
      <c r="PT32" s="56"/>
      <c r="PU32" s="57"/>
      <c r="PV32" s="58"/>
      <c r="PW32" s="56"/>
      <c r="PX32" s="57"/>
      <c r="PY32" s="57"/>
      <c r="PZ32" s="57"/>
      <c r="QA32" s="56"/>
      <c r="QB32" s="57"/>
      <c r="QC32" s="57"/>
      <c r="QD32" s="56"/>
      <c r="QE32" s="57"/>
      <c r="QF32" s="58"/>
      <c r="QG32" s="56"/>
      <c r="QH32" s="57"/>
      <c r="QI32" s="57"/>
      <c r="QJ32" s="57"/>
      <c r="QK32" s="56"/>
      <c r="QL32" s="57"/>
      <c r="QM32" s="57"/>
      <c r="QN32" s="56"/>
      <c r="QO32" s="57"/>
      <c r="QP32" s="58"/>
      <c r="QQ32" s="56"/>
      <c r="QR32" s="57"/>
      <c r="QS32" s="57"/>
      <c r="QT32" s="57"/>
      <c r="QU32" s="56"/>
      <c r="QV32" s="57"/>
      <c r="QW32" s="57"/>
      <c r="QX32" s="56"/>
      <c r="QY32" s="57"/>
      <c r="QZ32" s="58"/>
      <c r="RA32" s="56"/>
      <c r="RB32" s="57"/>
      <c r="RC32" s="57"/>
      <c r="RD32" s="57"/>
      <c r="RE32" s="56"/>
      <c r="RF32" s="57"/>
      <c r="RG32" s="57"/>
      <c r="RH32" s="56"/>
      <c r="RI32" s="57"/>
      <c r="RJ32" s="58"/>
      <c r="RK32" s="56"/>
      <c r="RL32" s="57"/>
      <c r="RM32" s="57"/>
      <c r="RN32" s="57"/>
      <c r="RO32" s="56"/>
      <c r="RP32" s="57"/>
      <c r="RQ32" s="57"/>
      <c r="RR32" s="56"/>
      <c r="RS32" s="57"/>
      <c r="RT32" s="58"/>
      <c r="RU32" s="56"/>
      <c r="RV32" s="57"/>
      <c r="RW32" s="57"/>
      <c r="RX32" s="57"/>
      <c r="RY32" s="56"/>
      <c r="RZ32" s="57"/>
      <c r="SA32" s="57"/>
      <c r="SB32" s="56"/>
      <c r="SC32" s="57"/>
      <c r="SD32" s="58"/>
      <c r="SE32" s="56"/>
      <c r="SF32" s="57"/>
      <c r="SG32" s="57"/>
      <c r="SH32" s="57"/>
      <c r="SI32" s="56"/>
      <c r="SJ32" s="57"/>
      <c r="SK32" s="57"/>
      <c r="SL32" s="56"/>
      <c r="SM32" s="57"/>
      <c r="SN32" s="58"/>
      <c r="SO32" s="56"/>
      <c r="SP32" s="57"/>
      <c r="SQ32" s="57"/>
      <c r="SR32" s="57"/>
      <c r="SS32" s="56"/>
      <c r="ST32" s="57"/>
      <c r="SU32" s="57"/>
      <c r="SV32" s="56"/>
      <c r="SW32" s="57"/>
      <c r="SX32" s="58"/>
      <c r="SY32" s="56"/>
      <c r="SZ32" s="57"/>
      <c r="TA32" s="57"/>
      <c r="TB32" s="57"/>
      <c r="TC32" s="56"/>
      <c r="TD32" s="57"/>
      <c r="TE32" s="57"/>
      <c r="TF32" s="56"/>
      <c r="TG32" s="57"/>
      <c r="TH32" s="58"/>
      <c r="TI32" s="56"/>
      <c r="TJ32" s="57"/>
      <c r="TK32" s="57"/>
      <c r="TL32" s="57"/>
      <c r="TM32" s="56"/>
      <c r="TN32" s="57"/>
      <c r="TO32" s="57"/>
      <c r="TP32" s="56"/>
      <c r="TQ32" s="57"/>
      <c r="TR32" s="58"/>
      <c r="TS32" s="56"/>
      <c r="TT32" s="57"/>
      <c r="TU32" s="57"/>
      <c r="TV32" s="57"/>
      <c r="TW32" s="56"/>
      <c r="TX32" s="57"/>
      <c r="TY32" s="57"/>
      <c r="TZ32" s="56"/>
      <c r="UA32" s="57"/>
      <c r="UB32" s="58"/>
      <c r="UC32" s="56"/>
      <c r="UD32" s="57"/>
      <c r="UE32" s="57"/>
      <c r="UF32" s="57"/>
      <c r="UG32" s="56"/>
      <c r="UH32" s="57"/>
      <c r="UI32" s="57"/>
      <c r="UJ32" s="56"/>
      <c r="UK32" s="57"/>
      <c r="UL32" s="58"/>
      <c r="UM32" s="56"/>
      <c r="UN32" s="57"/>
      <c r="UO32" s="57"/>
      <c r="UP32" s="57"/>
      <c r="UQ32" s="56"/>
      <c r="UR32" s="57"/>
      <c r="US32" s="57"/>
      <c r="UT32" s="56"/>
      <c r="UU32" s="57"/>
      <c r="UV32" s="58"/>
      <c r="UW32" s="56"/>
      <c r="UX32" s="57"/>
      <c r="UY32" s="57"/>
      <c r="UZ32" s="57"/>
      <c r="VA32" s="56"/>
      <c r="VB32" s="57"/>
      <c r="VC32" s="57"/>
      <c r="VD32" s="56"/>
      <c r="VE32" s="57"/>
      <c r="VF32" s="58"/>
      <c r="VG32" s="56"/>
      <c r="VH32" s="57"/>
      <c r="VI32" s="57"/>
      <c r="VJ32" s="57"/>
      <c r="VK32" s="56"/>
      <c r="VL32" s="57"/>
      <c r="VM32" s="57"/>
      <c r="VN32" s="56"/>
      <c r="VO32" s="57"/>
      <c r="VP32" s="58"/>
      <c r="VQ32" s="56"/>
      <c r="VR32" s="57"/>
      <c r="VS32" s="57"/>
      <c r="VT32" s="57"/>
      <c r="VU32" s="56"/>
      <c r="VV32" s="57"/>
      <c r="VW32" s="57"/>
      <c r="VX32" s="56"/>
      <c r="VY32" s="57"/>
      <c r="VZ32" s="58"/>
      <c r="WA32" s="56"/>
      <c r="WB32" s="57"/>
      <c r="WC32" s="57"/>
      <c r="WD32" s="57"/>
      <c r="WE32" s="56"/>
      <c r="WF32" s="57"/>
      <c r="WG32" s="57"/>
      <c r="WH32" s="56"/>
      <c r="WI32" s="57"/>
      <c r="WJ32" s="58"/>
      <c r="WK32" s="56"/>
      <c r="WL32" s="57"/>
      <c r="WM32" s="57"/>
      <c r="WN32" s="57"/>
      <c r="WO32" s="56"/>
      <c r="WP32" s="57"/>
      <c r="WQ32" s="57"/>
      <c r="WR32" s="56"/>
      <c r="WS32" s="57"/>
      <c r="WT32" s="58"/>
      <c r="WU32" s="56"/>
      <c r="WV32" s="57"/>
      <c r="WW32" s="57"/>
      <c r="WX32" s="57"/>
      <c r="WY32" s="56"/>
      <c r="WZ32" s="57"/>
      <c r="XA32" s="57"/>
      <c r="XB32" s="56"/>
      <c r="XC32" s="57"/>
      <c r="XD32" s="58"/>
      <c r="XE32" s="56"/>
      <c r="XF32" s="57"/>
      <c r="XG32" s="57"/>
      <c r="XH32" s="57"/>
      <c r="XI32" s="56"/>
      <c r="XJ32" s="57"/>
      <c r="XK32" s="57"/>
      <c r="XL32" s="56"/>
      <c r="XM32" s="57"/>
      <c r="XN32" s="58"/>
      <c r="XO32" s="56"/>
      <c r="XP32" s="57"/>
      <c r="XQ32" s="57"/>
      <c r="XR32" s="57"/>
      <c r="XS32" s="56"/>
      <c r="XT32" s="57"/>
      <c r="XU32" s="57"/>
      <c r="XV32" s="56"/>
      <c r="XW32" s="57"/>
      <c r="XX32" s="58"/>
      <c r="XY32" s="56"/>
      <c r="XZ32" s="57"/>
      <c r="YA32" s="57"/>
      <c r="YB32" s="57"/>
      <c r="YC32" s="56"/>
      <c r="YD32" s="57"/>
      <c r="YE32" s="57"/>
      <c r="YF32" s="56"/>
      <c r="YG32" s="57"/>
      <c r="YH32" s="58"/>
      <c r="YI32" s="56"/>
      <c r="YJ32" s="57"/>
      <c r="YK32" s="57"/>
      <c r="YL32" s="57"/>
      <c r="YM32" s="56"/>
      <c r="YN32" s="57"/>
      <c r="YO32" s="57"/>
      <c r="YP32" s="56"/>
      <c r="YQ32" s="57"/>
      <c r="YR32" s="58"/>
      <c r="YS32" s="56"/>
      <c r="YT32" s="57"/>
      <c r="YU32" s="57"/>
      <c r="YV32" s="57"/>
      <c r="YW32" s="56"/>
      <c r="YX32" s="57"/>
      <c r="YY32" s="57"/>
      <c r="YZ32" s="56"/>
      <c r="ZA32" s="57"/>
      <c r="ZB32" s="58"/>
      <c r="ZC32" s="56"/>
      <c r="ZD32" s="57"/>
      <c r="ZE32" s="57"/>
      <c r="ZF32" s="57"/>
      <c r="ZG32" s="56"/>
      <c r="ZH32" s="57"/>
      <c r="ZI32" s="57"/>
      <c r="ZJ32" s="56"/>
      <c r="ZK32" s="57"/>
      <c r="ZL32" s="58"/>
      <c r="ZM32" s="56"/>
      <c r="ZN32" s="57"/>
      <c r="ZO32" s="57"/>
      <c r="ZP32" s="57"/>
      <c r="ZQ32" s="56"/>
      <c r="ZR32" s="57"/>
      <c r="ZS32" s="57"/>
      <c r="ZT32" s="56"/>
      <c r="ZU32" s="57"/>
      <c r="ZV32" s="58"/>
      <c r="ZW32" s="56"/>
      <c r="ZX32" s="57"/>
      <c r="ZY32" s="57"/>
      <c r="ZZ32" s="57"/>
      <c r="AAA32" s="56"/>
      <c r="AAB32" s="57"/>
      <c r="AAC32" s="57"/>
      <c r="AAD32" s="56"/>
      <c r="AAE32" s="57"/>
      <c r="AAF32" s="58"/>
      <c r="AAG32" s="56"/>
      <c r="AAH32" s="57"/>
      <c r="AAI32" s="57"/>
      <c r="AAJ32" s="57"/>
      <c r="AAK32" s="56"/>
      <c r="AAL32" s="57"/>
      <c r="AAM32" s="57"/>
      <c r="AAN32" s="56"/>
      <c r="AAO32" s="57"/>
      <c r="AAP32" s="58"/>
      <c r="AAQ32" s="56"/>
      <c r="AAR32" s="57"/>
      <c r="AAS32" s="57"/>
      <c r="AAT32" s="57"/>
      <c r="AAU32" s="56"/>
      <c r="AAV32" s="57"/>
      <c r="AAW32" s="57"/>
      <c r="AAX32" s="58"/>
      <c r="AAY32" s="58"/>
      <c r="AAZ32" s="58"/>
      <c r="ABA32" s="56"/>
      <c r="ABB32" s="58"/>
      <c r="ABC32" s="58"/>
      <c r="ABD32" s="58"/>
      <c r="ABE32" s="58"/>
      <c r="ABF32" s="58"/>
      <c r="ABG32" s="57"/>
      <c r="ABH32" s="56"/>
      <c r="ABI32" s="57"/>
      <c r="ABJ32" s="58"/>
      <c r="ABK32" s="56"/>
      <c r="ABL32" s="57"/>
      <c r="ABM32" s="57"/>
      <c r="ABN32" s="57"/>
      <c r="ABO32" s="56"/>
      <c r="ABP32" s="57"/>
      <c r="ABQ32" s="57"/>
      <c r="ABR32" s="56"/>
      <c r="ABS32" s="57"/>
      <c r="ABT32" s="58"/>
      <c r="ABU32" s="56"/>
      <c r="ABV32" s="57"/>
      <c r="ABW32" s="57"/>
      <c r="ABX32" s="57"/>
      <c r="ABY32" s="56"/>
      <c r="ABZ32" s="57"/>
      <c r="ACA32" s="57"/>
      <c r="ACB32" s="56"/>
      <c r="ACC32" s="57"/>
      <c r="ACD32" s="58"/>
      <c r="ACE32" s="56"/>
      <c r="ACF32" s="57"/>
      <c r="ACG32" s="57"/>
      <c r="ACH32" s="57"/>
      <c r="ACI32" s="56"/>
      <c r="ACJ32" s="57"/>
      <c r="ACK32" s="57"/>
      <c r="ACL32" s="56"/>
      <c r="ACM32" s="57"/>
      <c r="ACN32" s="58"/>
      <c r="ACO32" s="56"/>
      <c r="ACP32" s="57"/>
      <c r="ACQ32" s="57"/>
      <c r="ACR32" s="57"/>
      <c r="ACS32" s="56"/>
      <c r="ACT32" s="57"/>
      <c r="ACU32" s="57"/>
      <c r="ACV32" s="56"/>
      <c r="ACW32" s="57"/>
      <c r="ACX32" s="58"/>
      <c r="ACY32" s="56"/>
      <c r="ACZ32" s="57"/>
      <c r="ADA32" s="57"/>
      <c r="ADB32" s="57"/>
      <c r="ADC32" s="56"/>
      <c r="ADD32" s="57"/>
      <c r="ADE32" s="57"/>
      <c r="ADF32" s="56"/>
      <c r="ADG32" s="57"/>
      <c r="ADH32" s="58"/>
      <c r="ADI32" s="56"/>
      <c r="ADJ32" s="57"/>
      <c r="ADK32" s="57"/>
      <c r="ADL32" s="57"/>
      <c r="ADM32" s="56"/>
      <c r="ADN32" s="57"/>
      <c r="ADO32" s="57"/>
      <c r="ADP32" s="56"/>
      <c r="ADQ32" s="57"/>
      <c r="ADR32" s="58"/>
      <c r="ADS32" s="56"/>
      <c r="ADT32" s="57"/>
      <c r="ADU32" s="57"/>
      <c r="ADV32" s="57"/>
      <c r="ADW32" s="56"/>
      <c r="ADX32" s="57"/>
      <c r="ADY32" s="57"/>
      <c r="ADZ32" s="56"/>
      <c r="AEA32" s="57"/>
      <c r="AEB32" s="58"/>
      <c r="AEC32" s="56"/>
      <c r="AED32" s="57"/>
      <c r="AEE32" s="57"/>
      <c r="AEF32" s="57"/>
      <c r="AEG32" s="56"/>
      <c r="AEH32" s="57"/>
      <c r="AEI32" s="57"/>
      <c r="AEJ32" s="56"/>
      <c r="AEK32" s="57"/>
      <c r="AEL32" s="58"/>
      <c r="AEM32" s="56"/>
      <c r="AEN32" s="57"/>
      <c r="AEO32" s="57"/>
      <c r="AEP32" s="57"/>
      <c r="AEQ32" s="56"/>
      <c r="AER32" s="57"/>
      <c r="AES32" s="57"/>
      <c r="AET32" s="56"/>
      <c r="AEU32" s="57"/>
      <c r="AEV32" s="58"/>
      <c r="AEW32" s="56"/>
      <c r="AEX32" s="57"/>
      <c r="AEY32" s="57"/>
      <c r="AEZ32" s="57"/>
      <c r="AFA32" s="56"/>
      <c r="AFB32" s="57"/>
      <c r="AFC32" s="57"/>
      <c r="AFD32" s="56"/>
      <c r="AFE32" s="57"/>
      <c r="AFF32" s="58"/>
      <c r="AFG32" s="56"/>
      <c r="AFH32" s="57"/>
      <c r="AFI32" s="57"/>
      <c r="AFJ32" s="57"/>
      <c r="AFK32" s="56"/>
      <c r="AFL32" s="57"/>
      <c r="AFM32" s="57"/>
      <c r="AFN32" s="56"/>
      <c r="AFO32" s="57"/>
      <c r="AFP32" s="58"/>
      <c r="AFQ32" s="56"/>
      <c r="AFR32" s="57"/>
      <c r="AFS32" s="57"/>
      <c r="AFT32" s="57"/>
      <c r="AFU32" s="56"/>
      <c r="AFV32" s="57"/>
      <c r="AFW32" s="57"/>
      <c r="AFX32" s="56"/>
      <c r="AFY32" s="57"/>
      <c r="AFZ32" s="58"/>
      <c r="AGA32" s="56"/>
      <c r="AGB32" s="57"/>
      <c r="AGC32" s="57"/>
      <c r="AGD32" s="57"/>
      <c r="AGE32" s="56"/>
      <c r="AGF32" s="57"/>
      <c r="AGG32" s="57"/>
      <c r="AGH32" s="56"/>
      <c r="AGI32" s="57"/>
      <c r="AGJ32" s="58"/>
      <c r="AGK32" s="56"/>
      <c r="AGL32" s="57"/>
      <c r="AGM32" s="57"/>
      <c r="AGN32" s="57"/>
      <c r="AGO32" s="56"/>
      <c r="AGP32" s="57"/>
      <c r="AGQ32" s="57"/>
      <c r="AGR32" s="56"/>
      <c r="AGS32" s="57"/>
      <c r="AGT32" s="58"/>
      <c r="AGU32" s="56"/>
      <c r="AGV32" s="57"/>
      <c r="AGW32" s="57"/>
      <c r="AGX32" s="57"/>
      <c r="AGY32" s="56"/>
      <c r="AGZ32" s="57"/>
      <c r="AHA32" s="57"/>
      <c r="AHB32" s="56"/>
      <c r="AHC32" s="57"/>
      <c r="AHD32" s="58"/>
      <c r="AHE32" s="56"/>
      <c r="AHF32" s="57"/>
      <c r="AHG32" s="57"/>
      <c r="AHH32" s="57"/>
      <c r="AHI32" s="56"/>
      <c r="AHJ32" s="57"/>
      <c r="AHK32" s="57"/>
      <c r="AHL32" s="56"/>
      <c r="AHM32" s="57"/>
      <c r="AHN32" s="58"/>
      <c r="AHO32" s="56"/>
      <c r="AHP32" s="57"/>
      <c r="AHQ32" s="57"/>
      <c r="AHR32" s="57"/>
      <c r="AHS32" s="56"/>
      <c r="AHT32" s="57"/>
      <c r="AHU32" s="57"/>
      <c r="AHV32" s="56"/>
      <c r="AHW32" s="57"/>
      <c r="AHX32" s="58"/>
      <c r="AHY32" s="56"/>
      <c r="AHZ32" s="57"/>
      <c r="AIA32" s="57"/>
      <c r="AIB32" s="57"/>
      <c r="AIC32" s="56"/>
      <c r="AID32" s="57"/>
      <c r="AIE32" s="57"/>
      <c r="AIF32" s="56"/>
      <c r="AIG32" s="57"/>
      <c r="AIH32" s="58"/>
      <c r="AII32" s="56"/>
      <c r="AIJ32" s="57"/>
      <c r="AIK32" s="57"/>
      <c r="AIL32" s="57"/>
      <c r="AIM32" s="56"/>
      <c r="AIN32" s="57"/>
      <c r="AIO32" s="57"/>
      <c r="AIP32" s="56"/>
      <c r="AIQ32" s="57"/>
      <c r="AIR32" s="58"/>
      <c r="AIS32" s="56"/>
      <c r="AIT32" s="57"/>
      <c r="AIU32" s="57"/>
      <c r="AIV32" s="57"/>
      <c r="AIW32" s="56"/>
      <c r="AIX32" s="57"/>
      <c r="AIY32" s="57"/>
      <c r="AIZ32" s="56"/>
      <c r="AJA32" s="57"/>
      <c r="AJB32" s="58"/>
      <c r="AJC32" s="56"/>
      <c r="AJD32" s="57"/>
      <c r="AJE32" s="57"/>
      <c r="AJF32" s="57"/>
      <c r="AJG32" s="56"/>
      <c r="AJH32" s="57"/>
      <c r="AJI32" s="57"/>
      <c r="AJJ32" s="56"/>
      <c r="AJK32" s="57"/>
      <c r="AJL32" s="58"/>
      <c r="AJM32" s="56"/>
      <c r="AJN32" s="57"/>
      <c r="AJO32" s="57"/>
      <c r="AJP32" s="57"/>
      <c r="AJQ32" s="56"/>
      <c r="AJR32" s="57"/>
      <c r="AJS32" s="57"/>
      <c r="AJT32" s="56"/>
      <c r="AJU32" s="57"/>
      <c r="AJV32" s="58"/>
      <c r="AJW32" s="56"/>
      <c r="AJX32" s="57"/>
      <c r="AJY32" s="57"/>
      <c r="AJZ32" s="57"/>
      <c r="AKA32" s="56"/>
      <c r="AKB32" s="57"/>
      <c r="AKC32" s="57"/>
      <c r="AKD32" s="56"/>
      <c r="AKE32" s="57"/>
      <c r="AKF32" s="58"/>
      <c r="AKG32" s="56"/>
      <c r="AKH32" s="57"/>
      <c r="AKI32" s="57"/>
      <c r="AKJ32" s="57"/>
      <c r="AKK32" s="56"/>
      <c r="AKL32" s="57"/>
      <c r="AKM32" s="57"/>
      <c r="AKN32" s="56"/>
      <c r="AKO32" s="57"/>
      <c r="AKP32" s="58"/>
      <c r="AKQ32" s="56"/>
      <c r="AKR32" s="57"/>
      <c r="AKS32" s="57"/>
      <c r="AKT32" s="57"/>
      <c r="AKU32" s="56"/>
      <c r="AKV32" s="57"/>
      <c r="AKW32" s="57"/>
      <c r="AKX32" s="56"/>
      <c r="AKY32" s="57"/>
      <c r="AKZ32" s="58"/>
      <c r="ALA32" s="56"/>
      <c r="ALB32" s="57"/>
      <c r="ALC32" s="57"/>
      <c r="ALD32" s="57"/>
      <c r="ALE32" s="56"/>
      <c r="ALF32" s="57"/>
      <c r="ALG32" s="57"/>
      <c r="ALH32" s="57"/>
      <c r="ALI32" s="57"/>
      <c r="ALJ32" s="57"/>
      <c r="ALK32" s="56"/>
      <c r="ALL32" s="57"/>
      <c r="ALM32" s="57"/>
      <c r="ALN32" s="56"/>
      <c r="ALO32" s="57"/>
      <c r="ALP32" s="58"/>
      <c r="ALQ32" s="56"/>
      <c r="ALR32" s="57"/>
      <c r="ALS32" s="57"/>
      <c r="ALT32" s="57"/>
      <c r="ALU32" s="56"/>
      <c r="ALV32" s="57"/>
      <c r="ALW32" s="57"/>
      <c r="ALX32" s="56"/>
      <c r="ALY32" s="57"/>
      <c r="ALZ32" s="58"/>
      <c r="AMA32" s="56"/>
      <c r="AMB32" s="57"/>
      <c r="AMC32" s="57"/>
      <c r="AMD32" s="57"/>
      <c r="AME32" s="56"/>
      <c r="AMF32" s="57"/>
      <c r="AMG32" s="57"/>
      <c r="AMH32" s="57"/>
      <c r="AMI32" s="57"/>
      <c r="AMJ32" s="57"/>
      <c r="AMK32" s="56"/>
      <c r="AML32" s="57"/>
      <c r="AMM32" s="57"/>
      <c r="AMN32" s="56"/>
      <c r="AMO32" s="57"/>
      <c r="AMP32" s="58"/>
      <c r="AMQ32" s="56"/>
      <c r="AMR32" s="57"/>
      <c r="AMS32" s="57"/>
      <c r="AMT32" s="57"/>
      <c r="AMU32" s="56"/>
      <c r="AMV32" s="57"/>
      <c r="AMW32" s="57"/>
      <c r="AMX32" s="56"/>
      <c r="AMY32" s="57"/>
      <c r="AMZ32" s="58"/>
      <c r="ANA32" s="56"/>
      <c r="ANB32" s="57"/>
      <c r="ANC32" s="57"/>
      <c r="AND32" s="57"/>
      <c r="ANE32" s="56"/>
      <c r="ANF32" s="57"/>
      <c r="ANG32" s="57"/>
      <c r="ANH32" s="57"/>
      <c r="ANI32" s="57"/>
      <c r="ANJ32" s="57"/>
      <c r="ANK32" s="56"/>
      <c r="ANL32" s="57"/>
      <c r="ANM32" s="57"/>
      <c r="ANN32" s="56"/>
      <c r="ANO32" s="57"/>
      <c r="ANP32" s="58"/>
      <c r="ANQ32" s="56"/>
      <c r="ANR32" s="57"/>
      <c r="ANS32" s="57"/>
      <c r="ANT32" s="57"/>
      <c r="ANU32" s="56"/>
      <c r="ANV32" s="57"/>
      <c r="ANW32" s="57"/>
      <c r="ANX32" s="56"/>
      <c r="ANY32" s="57"/>
      <c r="ANZ32" s="58"/>
      <c r="AOA32" s="56"/>
      <c r="AOB32" s="57"/>
      <c r="AOC32" s="57"/>
      <c r="AOD32" s="57"/>
      <c r="AOE32" s="56"/>
      <c r="AOF32" s="57"/>
      <c r="AOG32" s="57"/>
      <c r="AOH32" s="57"/>
      <c r="AOI32" s="57"/>
      <c r="AOJ32" s="57"/>
      <c r="AOK32" s="56"/>
      <c r="AOL32" s="57"/>
      <c r="AOM32" s="57"/>
      <c r="AON32" s="56"/>
      <c r="AOO32" s="57"/>
      <c r="AOP32" s="58"/>
      <c r="AOQ32" s="56"/>
      <c r="AOR32" s="57"/>
      <c r="AOS32" s="57"/>
      <c r="AOT32" s="57"/>
      <c r="AOU32" s="56"/>
      <c r="AOV32" s="57"/>
      <c r="AOW32" s="57"/>
      <c r="AOX32" s="56"/>
      <c r="AOY32" s="57"/>
      <c r="AOZ32" s="58"/>
      <c r="APA32" s="56"/>
      <c r="APB32" s="57"/>
      <c r="APC32" s="57"/>
      <c r="APD32" s="57"/>
      <c r="APE32" s="56"/>
      <c r="APF32" s="57"/>
      <c r="APG32" s="57"/>
      <c r="APH32" s="57"/>
      <c r="API32" s="57"/>
      <c r="APJ32" s="57"/>
      <c r="APK32" s="56"/>
      <c r="APL32" s="57"/>
      <c r="APM32" s="57"/>
      <c r="APN32" s="56"/>
      <c r="APO32" s="57"/>
      <c r="APP32" s="58"/>
      <c r="APQ32" s="56"/>
      <c r="APR32" s="57"/>
      <c r="APS32" s="57"/>
      <c r="APT32" s="57"/>
      <c r="APU32" s="56"/>
      <c r="APV32" s="57"/>
      <c r="APW32" s="57"/>
      <c r="APX32" s="56"/>
      <c r="APY32" s="57"/>
      <c r="APZ32" s="58"/>
      <c r="AQA32" s="56"/>
      <c r="AQB32" s="57"/>
      <c r="AQC32" s="57"/>
      <c r="AQD32" s="57"/>
      <c r="AQE32" s="56"/>
      <c r="AQF32" s="57"/>
      <c r="AQG32" s="57"/>
      <c r="AQH32" s="57"/>
      <c r="AQI32" s="57"/>
      <c r="AQJ32" s="57"/>
      <c r="AQK32" s="56"/>
      <c r="AQL32" s="57"/>
      <c r="AQM32" s="57"/>
      <c r="AQN32" s="56"/>
      <c r="AQO32" s="57"/>
      <c r="AQP32" s="58"/>
      <c r="AQQ32" s="56"/>
      <c r="AQR32" s="57"/>
      <c r="AQS32" s="57"/>
      <c r="AQT32" s="57"/>
      <c r="AQU32" s="56"/>
      <c r="AQV32" s="57"/>
      <c r="AQW32" s="57"/>
      <c r="AQX32" s="56"/>
      <c r="AQY32" s="57"/>
      <c r="AQZ32" s="58"/>
      <c r="ARA32" s="56"/>
      <c r="ARB32" s="57"/>
      <c r="ARC32" s="57"/>
      <c r="ARD32" s="57"/>
      <c r="ARE32" s="56"/>
      <c r="ARF32" s="57"/>
      <c r="ARG32" s="57"/>
      <c r="ARH32" s="57"/>
      <c r="ARI32" s="57"/>
      <c r="ARJ32" s="57"/>
      <c r="ARK32" s="56"/>
      <c r="ARL32" s="57"/>
      <c r="ARM32" s="57"/>
      <c r="ARN32" s="56"/>
      <c r="ARO32" s="57"/>
      <c r="ARP32" s="58"/>
      <c r="ARQ32" s="56"/>
      <c r="ARR32" s="57"/>
      <c r="ARS32" s="57"/>
      <c r="ART32" s="57"/>
      <c r="ARU32" s="56"/>
      <c r="ARV32" s="57"/>
      <c r="ARW32" s="57"/>
      <c r="ARX32" s="56"/>
      <c r="ARY32" s="57"/>
      <c r="ARZ32" s="58"/>
      <c r="ASA32" s="56"/>
      <c r="ASB32" s="57"/>
      <c r="ASC32" s="57"/>
      <c r="ASD32" s="57"/>
      <c r="ASE32" s="56"/>
      <c r="ASF32" s="57"/>
      <c r="ASG32" s="57"/>
      <c r="ASH32" s="57"/>
      <c r="ASI32" s="57"/>
      <c r="ASJ32" s="57"/>
      <c r="ASK32" s="56"/>
      <c r="ASL32" s="57"/>
      <c r="ASM32" s="57"/>
      <c r="ASN32" s="56"/>
      <c r="ASO32" s="57"/>
      <c r="ASP32" s="58"/>
      <c r="ASQ32" s="56"/>
      <c r="ASR32" s="57"/>
      <c r="ASS32" s="57"/>
      <c r="AST32" s="57"/>
      <c r="ASU32" s="56"/>
      <c r="ASV32" s="57"/>
      <c r="ASW32" s="57"/>
      <c r="ASX32" s="56"/>
      <c r="ASY32" s="57"/>
      <c r="ASZ32" s="58"/>
      <c r="ATA32" s="56"/>
      <c r="ATB32" s="57"/>
      <c r="ATC32" s="57"/>
      <c r="ATD32" s="57"/>
      <c r="ATE32" s="56"/>
      <c r="ATF32" s="57"/>
      <c r="ATG32" s="57"/>
      <c r="ATH32" s="57"/>
      <c r="ATI32" s="57"/>
      <c r="ATJ32" s="57"/>
      <c r="ATK32" s="56"/>
      <c r="ATL32" s="57"/>
      <c r="ATM32" s="57"/>
      <c r="ATN32" s="56"/>
      <c r="ATO32" s="57"/>
      <c r="ATP32" s="58"/>
      <c r="ATQ32" s="56"/>
      <c r="ATR32" s="57"/>
      <c r="ATS32" s="57"/>
      <c r="ATT32" s="57"/>
      <c r="ATU32" s="56"/>
      <c r="ATV32" s="57"/>
      <c r="ATW32" s="57"/>
      <c r="ATX32" s="56"/>
      <c r="ATY32" s="57"/>
      <c r="ATZ32" s="58"/>
      <c r="AUA32" s="56"/>
      <c r="AUB32" s="57"/>
      <c r="AUC32" s="57"/>
      <c r="AUD32" s="57"/>
      <c r="AUE32" s="56"/>
      <c r="AUF32" s="57"/>
      <c r="AUG32" s="57"/>
      <c r="AUH32" s="57"/>
      <c r="AUI32" s="57"/>
      <c r="AUJ32" s="57"/>
      <c r="AUK32" s="56"/>
      <c r="AUL32" s="57"/>
      <c r="AUM32" s="57"/>
      <c r="AUN32" s="56"/>
      <c r="AUO32" s="57"/>
      <c r="AUP32" s="58"/>
      <c r="AUQ32" s="56"/>
      <c r="AUR32" s="57"/>
      <c r="AUS32" s="57"/>
      <c r="AUT32" s="57"/>
      <c r="AUU32" s="56"/>
      <c r="AUV32" s="57"/>
      <c r="AUW32" s="57"/>
      <c r="AUX32" s="56"/>
      <c r="AUY32" s="57"/>
      <c r="AUZ32" s="58"/>
      <c r="AVA32" s="56"/>
      <c r="AVB32" s="57"/>
      <c r="AVC32" s="57"/>
      <c r="AVD32" s="57"/>
      <c r="AVE32" s="56"/>
      <c r="AVF32" s="57"/>
      <c r="AVG32" s="57"/>
      <c r="AVH32" s="57"/>
      <c r="AVI32" s="57"/>
      <c r="AVJ32" s="57"/>
      <c r="AVK32" s="56"/>
      <c r="AVL32" s="57"/>
      <c r="AVM32" s="57"/>
      <c r="AVN32" s="56"/>
      <c r="AVO32" s="57"/>
      <c r="AVP32" s="58"/>
      <c r="AVQ32" s="56"/>
      <c r="AVR32" s="57"/>
      <c r="AVS32" s="57"/>
      <c r="AVT32" s="57"/>
      <c r="AVU32" s="56"/>
      <c r="AVV32" s="57"/>
      <c r="AVW32" s="57"/>
      <c r="AVX32" s="56"/>
      <c r="AVY32" s="57"/>
      <c r="AVZ32" s="58"/>
      <c r="AWA32" s="56"/>
      <c r="AWB32" s="57"/>
      <c r="AWC32" s="57"/>
      <c r="AWD32" s="57"/>
      <c r="AWE32" s="56"/>
      <c r="AWF32" s="57"/>
      <c r="AWG32" s="57"/>
      <c r="AWH32" s="57"/>
      <c r="AWI32" s="57"/>
      <c r="AWJ32" s="57"/>
      <c r="AWK32" s="56"/>
      <c r="AWL32" s="57"/>
      <c r="AWM32" s="57"/>
      <c r="AWN32" s="56"/>
      <c r="AWO32" s="57"/>
      <c r="AWP32" s="58"/>
      <c r="AWQ32" s="56"/>
      <c r="AWR32" s="57"/>
      <c r="AWS32" s="57"/>
      <c r="AWT32" s="57"/>
      <c r="AWU32" s="56"/>
      <c r="AWV32" s="57"/>
      <c r="AWW32" s="57"/>
      <c r="AWX32" s="56"/>
      <c r="AWY32" s="57"/>
      <c r="AWZ32" s="58"/>
      <c r="AXA32" s="56"/>
      <c r="AXB32" s="57"/>
      <c r="AXC32" s="57"/>
      <c r="AXD32" s="57"/>
      <c r="AXE32" s="56"/>
      <c r="AXF32" s="57"/>
      <c r="AXG32" s="57"/>
      <c r="AXH32" s="57"/>
      <c r="AXI32" s="57"/>
      <c r="AXJ32" s="57"/>
      <c r="AXK32" s="56"/>
      <c r="AXL32" s="57"/>
      <c r="AXM32" s="57"/>
      <c r="AXN32" s="56"/>
      <c r="AXO32" s="57"/>
      <c r="AXP32" s="58"/>
      <c r="AXQ32" s="56"/>
      <c r="AXR32" s="57"/>
      <c r="AXS32" s="57"/>
      <c r="AXT32" s="57"/>
      <c r="AXU32" s="56"/>
      <c r="AXV32" s="57"/>
      <c r="AXW32" s="57"/>
      <c r="AXX32" s="56"/>
      <c r="AXY32" s="57"/>
      <c r="AXZ32" s="58"/>
      <c r="AYA32" s="56"/>
      <c r="AYB32" s="57"/>
      <c r="AYC32" s="57"/>
      <c r="AYD32" s="57"/>
      <c r="AYE32" s="56"/>
      <c r="AYF32" s="57"/>
      <c r="AYG32" s="57"/>
      <c r="AYH32" s="57"/>
      <c r="AYI32" s="57"/>
      <c r="AYJ32" s="57"/>
      <c r="AYK32" s="56"/>
      <c r="AYL32" s="57"/>
      <c r="AYM32" s="57"/>
      <c r="AYN32" s="56"/>
      <c r="AYO32" s="57"/>
      <c r="AYP32" s="58"/>
      <c r="AYQ32" s="56"/>
      <c r="AYR32" s="57"/>
      <c r="AYS32" s="57"/>
      <c r="AYT32" s="57"/>
      <c r="AYU32" s="56"/>
      <c r="AYV32" s="57"/>
      <c r="AYW32" s="57"/>
      <c r="AYX32" s="56"/>
      <c r="AYY32" s="57"/>
      <c r="AYZ32" s="58"/>
      <c r="AZA32" s="56"/>
      <c r="AZB32" s="57"/>
      <c r="AZC32" s="57"/>
      <c r="AZD32" s="57"/>
      <c r="AZE32" s="56"/>
      <c r="AZF32" s="57"/>
      <c r="AZG32" s="57"/>
      <c r="AZH32" s="57"/>
      <c r="AZI32" s="57"/>
      <c r="AZJ32" s="57"/>
      <c r="AZK32" s="56"/>
      <c r="AZL32" s="57"/>
      <c r="AZM32" s="57"/>
      <c r="AZN32" s="56"/>
      <c r="AZO32" s="57"/>
      <c r="AZP32" s="58"/>
      <c r="AZQ32" s="56"/>
      <c r="AZR32" s="57"/>
      <c r="AZS32" s="57"/>
      <c r="AZT32" s="57"/>
      <c r="AZU32" s="56"/>
      <c r="AZV32" s="57"/>
      <c r="AZW32" s="57"/>
      <c r="AZX32" s="56"/>
      <c r="AZY32" s="57"/>
      <c r="AZZ32" s="58"/>
      <c r="BAA32" s="56"/>
      <c r="BAB32" s="57"/>
      <c r="BAC32" s="57"/>
      <c r="BAD32" s="57"/>
      <c r="BAE32" s="56"/>
      <c r="BAF32" s="57"/>
      <c r="BAG32" s="57"/>
      <c r="BAH32" s="57"/>
      <c r="BAI32" s="57"/>
      <c r="BAJ32" s="57"/>
      <c r="BAK32" s="56"/>
      <c r="BAL32" s="57"/>
      <c r="BAM32" s="57"/>
      <c r="BAN32" s="56"/>
      <c r="BAO32" s="57"/>
      <c r="BAP32" s="58"/>
      <c r="BAQ32" s="56"/>
      <c r="BAR32" s="57"/>
      <c r="BAS32" s="57"/>
      <c r="BAT32" s="57"/>
      <c r="BAU32" s="56"/>
      <c r="BAV32" s="57"/>
      <c r="BAW32" s="57"/>
      <c r="BAX32" s="56"/>
      <c r="BAY32" s="57"/>
      <c r="BAZ32" s="58"/>
      <c r="BBA32" s="56"/>
      <c r="BBB32" s="57"/>
      <c r="BBC32" s="57"/>
      <c r="BBD32" s="57"/>
      <c r="BBE32" s="56"/>
      <c r="BBF32" s="57"/>
      <c r="BBG32" s="57"/>
      <c r="BBH32" s="57"/>
      <c r="BBI32" s="57"/>
      <c r="BBJ32" s="57"/>
      <c r="BBK32" s="56"/>
      <c r="BBL32" s="57"/>
      <c r="BBM32" s="57"/>
      <c r="BBN32" s="56"/>
      <c r="BBO32" s="57"/>
      <c r="BBP32" s="58"/>
      <c r="BBQ32" s="56"/>
      <c r="BBR32" s="57"/>
      <c r="BBS32" s="57"/>
      <c r="BBT32" s="57"/>
      <c r="BBU32" s="56"/>
      <c r="BBV32" s="57"/>
      <c r="BBW32" s="57"/>
      <c r="BBX32" s="56"/>
      <c r="BBY32" s="57"/>
      <c r="BBZ32" s="58"/>
      <c r="BCA32" s="56"/>
      <c r="BCB32" s="57"/>
      <c r="BCC32" s="57"/>
      <c r="BCD32" s="57"/>
      <c r="BCE32" s="56"/>
      <c r="BCF32" s="57"/>
      <c r="BCG32" s="57"/>
      <c r="BCH32" s="57"/>
      <c r="BCI32" s="57"/>
      <c r="BCJ32" s="57"/>
      <c r="BCK32" s="56"/>
      <c r="BCL32" s="57"/>
      <c r="BCM32" s="57"/>
      <c r="BCN32" s="56"/>
      <c r="BCO32" s="57"/>
      <c r="BCP32" s="58"/>
      <c r="BCQ32" s="56"/>
      <c r="BCR32" s="57"/>
      <c r="BCS32" s="57"/>
      <c r="BCT32" s="57"/>
      <c r="BCU32" s="56"/>
      <c r="BCV32" s="57"/>
      <c r="BCW32" s="57"/>
      <c r="BCX32" s="56"/>
      <c r="BCY32" s="57"/>
      <c r="BCZ32" s="58"/>
      <c r="BDA32" s="56"/>
      <c r="BDB32" s="57"/>
      <c r="BDC32" s="57"/>
      <c r="BDD32" s="57"/>
      <c r="BDE32" s="56"/>
      <c r="BDF32" s="57"/>
      <c r="BDG32" s="57"/>
      <c r="BDH32" s="57"/>
      <c r="BDI32" s="57"/>
      <c r="BDJ32" s="57"/>
      <c r="BDK32" s="56"/>
      <c r="BDL32" s="57"/>
      <c r="BDM32" s="57"/>
      <c r="BDN32" s="56"/>
      <c r="BDO32" s="57"/>
      <c r="BDP32" s="58"/>
      <c r="BDQ32" s="56"/>
      <c r="BDR32" s="57"/>
      <c r="BDS32" s="57"/>
      <c r="BDT32" s="57"/>
      <c r="BDU32" s="56"/>
      <c r="BDV32" s="57"/>
      <c r="BDW32" s="57"/>
      <c r="BDX32" s="56"/>
      <c r="BDY32" s="57"/>
      <c r="BDZ32" s="58"/>
      <c r="BEA32" s="56"/>
      <c r="BEB32" s="57"/>
      <c r="BEC32" s="57"/>
      <c r="BED32" s="57"/>
      <c r="BEE32" s="56"/>
      <c r="BEF32" s="57"/>
      <c r="BEG32" s="57"/>
      <c r="BEH32" s="57"/>
      <c r="BEI32" s="57"/>
      <c r="BEJ32" s="57"/>
      <c r="BEK32" s="56"/>
      <c r="BEL32" s="57"/>
      <c r="BEM32" s="57"/>
      <c r="BEN32" s="56"/>
      <c r="BEO32" s="57"/>
      <c r="BEP32" s="58"/>
      <c r="BEQ32" s="56"/>
      <c r="BER32" s="57"/>
      <c r="BES32" s="57"/>
      <c r="BET32" s="57"/>
      <c r="BEU32" s="56"/>
      <c r="BEV32" s="57"/>
      <c r="BEW32" s="57"/>
      <c r="BEX32" s="56"/>
      <c r="BEY32" s="57"/>
      <c r="BEZ32" s="58"/>
      <c r="BFA32" s="56"/>
      <c r="BFB32" s="57"/>
      <c r="BFC32" s="57"/>
      <c r="BFD32" s="57"/>
      <c r="BFE32" s="56"/>
      <c r="BFF32" s="57"/>
      <c r="BFG32" s="57"/>
      <c r="BFH32" s="57"/>
      <c r="BFI32" s="57"/>
      <c r="BFJ32" s="57"/>
      <c r="BFK32" s="56"/>
      <c r="BFL32" s="57"/>
      <c r="BFM32" s="57"/>
      <c r="BFN32" s="56"/>
      <c r="BFO32" s="57"/>
      <c r="BFP32" s="58"/>
      <c r="BFQ32" s="56"/>
      <c r="BFR32" s="57"/>
      <c r="BFS32" s="57"/>
      <c r="BFT32" s="57"/>
      <c r="BFU32" s="56"/>
      <c r="BFV32" s="57"/>
      <c r="BFW32" s="57"/>
      <c r="BFX32" s="56"/>
      <c r="BFY32" s="57"/>
      <c r="BFZ32" s="58"/>
      <c r="BGA32" s="56"/>
      <c r="BGB32" s="57"/>
      <c r="BGC32" s="57"/>
      <c r="BGD32" s="57"/>
      <c r="BGE32" s="56"/>
      <c r="BGF32" s="57"/>
      <c r="BGG32" s="57"/>
      <c r="BGH32" s="57"/>
      <c r="BGI32" s="57"/>
      <c r="BGJ32" s="57"/>
      <c r="BGK32" s="56"/>
      <c r="BGL32" s="57"/>
      <c r="BGM32" s="57"/>
      <c r="BGN32" s="56"/>
      <c r="BGO32" s="57"/>
      <c r="BGP32" s="58"/>
      <c r="BGQ32" s="56"/>
      <c r="BGR32" s="57"/>
      <c r="BGS32" s="57"/>
      <c r="BGT32" s="57"/>
      <c r="BGU32" s="56"/>
      <c r="BGV32" s="57"/>
      <c r="BGW32" s="57"/>
      <c r="BGX32" s="56"/>
      <c r="BGY32" s="57"/>
      <c r="BGZ32" s="58"/>
      <c r="BHA32" s="56"/>
      <c r="BHB32" s="57"/>
      <c r="BHC32" s="57"/>
      <c r="BHD32" s="57"/>
      <c r="BHE32" s="56"/>
      <c r="BHF32" s="57"/>
      <c r="BHG32" s="57"/>
      <c r="BHH32" s="57"/>
      <c r="BHI32" s="57"/>
      <c r="BHJ32" s="57"/>
      <c r="BHK32" s="56"/>
      <c r="BHL32" s="57"/>
      <c r="BHM32" s="57"/>
      <c r="BHN32" s="56"/>
      <c r="BHO32" s="57"/>
      <c r="BHP32" s="58"/>
      <c r="BHQ32" s="56"/>
      <c r="BHR32" s="57"/>
      <c r="BHS32" s="57"/>
      <c r="BHT32" s="57"/>
      <c r="BHU32" s="56"/>
      <c r="BHV32" s="57"/>
      <c r="BHW32" s="57"/>
      <c r="BHX32" s="56"/>
      <c r="BHY32" s="57"/>
      <c r="BHZ32" s="58"/>
      <c r="BIA32" s="56"/>
      <c r="BIB32" s="57"/>
      <c r="BIC32" s="57"/>
      <c r="BID32" s="57"/>
      <c r="BIE32" s="56"/>
      <c r="BIF32" s="57"/>
      <c r="BIG32" s="57"/>
      <c r="BIH32" s="57"/>
      <c r="BII32" s="57"/>
      <c r="BIJ32" s="57"/>
      <c r="BIK32" s="56"/>
      <c r="BIL32" s="57"/>
      <c r="BIM32" s="57"/>
      <c r="BIN32" s="56"/>
      <c r="BIO32" s="57"/>
      <c r="BIP32" s="58"/>
      <c r="BIQ32" s="56"/>
      <c r="BIR32" s="57"/>
      <c r="BIS32" s="57"/>
      <c r="BIT32" s="57"/>
      <c r="BIU32" s="56"/>
      <c r="BIV32" s="57"/>
      <c r="BIW32" s="57"/>
      <c r="BIX32" s="56"/>
      <c r="BIY32" s="57"/>
      <c r="BIZ32" s="58"/>
      <c r="BJA32" s="56"/>
      <c r="BJB32" s="57"/>
      <c r="BJC32" s="57"/>
      <c r="BJD32" s="57"/>
      <c r="BJE32" s="56"/>
      <c r="BJF32" s="57"/>
      <c r="BJG32" s="57"/>
      <c r="BJH32" s="57"/>
      <c r="BJI32" s="57"/>
      <c r="BJJ32" s="57"/>
      <c r="BJK32" s="56"/>
      <c r="BJL32" s="57"/>
      <c r="BJM32" s="57"/>
      <c r="BJN32" s="56"/>
      <c r="BJO32" s="57"/>
      <c r="BJP32" s="58"/>
      <c r="BJQ32" s="56"/>
      <c r="BJR32" s="57"/>
      <c r="BJS32" s="57"/>
      <c r="BJT32" s="57"/>
      <c r="BJU32" s="56"/>
      <c r="BJV32" s="57"/>
      <c r="BJW32" s="57"/>
      <c r="BJX32" s="56"/>
      <c r="BJY32" s="57"/>
      <c r="BJZ32" s="58"/>
      <c r="BKA32" s="56"/>
      <c r="BKB32" s="57"/>
      <c r="BKC32" s="57"/>
      <c r="BKD32" s="57"/>
      <c r="BKE32" s="56"/>
      <c r="BKF32" s="57"/>
      <c r="BKG32" s="57"/>
      <c r="BKH32" s="57"/>
      <c r="BKI32" s="57"/>
      <c r="BKJ32" s="57"/>
      <c r="BKK32" s="56"/>
      <c r="BKL32" s="57"/>
      <c r="BKM32" s="57"/>
      <c r="BKN32" s="56"/>
      <c r="BKO32" s="57"/>
      <c r="BKP32" s="58"/>
      <c r="BKQ32" s="56"/>
      <c r="BKR32" s="57"/>
      <c r="BKS32" s="57"/>
      <c r="BKT32" s="57"/>
      <c r="BKU32" s="56"/>
      <c r="BKV32" s="57"/>
      <c r="BKW32" s="57"/>
      <c r="BKX32" s="56"/>
      <c r="BKY32" s="57"/>
      <c r="BKZ32" s="58"/>
      <c r="BLA32" s="56"/>
      <c r="BLB32" s="57"/>
      <c r="BLC32" s="57"/>
      <c r="BLD32" s="57"/>
      <c r="BLE32" s="56"/>
      <c r="BLF32" s="57"/>
      <c r="BLG32" s="57"/>
      <c r="BLH32" s="57"/>
      <c r="BLI32" s="57"/>
      <c r="BLJ32" s="57"/>
      <c r="BLK32" s="56"/>
      <c r="BLL32" s="57"/>
      <c r="BLM32" s="57"/>
      <c r="BLN32" s="56"/>
      <c r="BLO32" s="57"/>
      <c r="BLP32" s="58"/>
      <c r="BLQ32" s="56"/>
      <c r="BLR32" s="57"/>
      <c r="BLS32" s="57"/>
      <c r="BLT32" s="57"/>
      <c r="BLU32" s="56"/>
      <c r="BLV32" s="57"/>
      <c r="BLW32" s="57"/>
      <c r="BLX32" s="56"/>
      <c r="BLY32" s="57"/>
      <c r="BLZ32" s="58"/>
      <c r="BMA32" s="56"/>
      <c r="BMB32" s="57"/>
      <c r="BMC32" s="57"/>
      <c r="BMD32" s="57"/>
      <c r="BME32" s="56"/>
      <c r="BMF32" s="57"/>
      <c r="BMG32" s="57"/>
      <c r="BMH32" s="57"/>
      <c r="BMI32" s="57"/>
      <c r="BMJ32" s="57"/>
      <c r="BMK32" s="56"/>
      <c r="BML32" s="57"/>
      <c r="BMM32" s="57"/>
      <c r="BMN32" s="56"/>
      <c r="BMO32" s="57"/>
      <c r="BMP32" s="58"/>
      <c r="BMQ32" s="56"/>
      <c r="BMR32" s="57"/>
      <c r="BMS32" s="57"/>
      <c r="BMT32" s="57"/>
      <c r="BMU32" s="56"/>
      <c r="BMV32" s="57"/>
      <c r="BMW32" s="57"/>
      <c r="BMX32" s="56"/>
      <c r="BMY32" s="57"/>
      <c r="BMZ32" s="58"/>
      <c r="BNA32" s="56"/>
      <c r="BNB32" s="57"/>
      <c r="BNC32" s="57"/>
      <c r="BND32" s="57"/>
      <c r="BNE32" s="56"/>
      <c r="BNF32" s="57"/>
      <c r="BNG32" s="57"/>
      <c r="BNH32" s="57"/>
      <c r="BNI32" s="57"/>
      <c r="BNJ32" s="57"/>
      <c r="BNK32" s="56"/>
      <c r="BNL32" s="57"/>
      <c r="BNM32" s="57"/>
      <c r="BNN32" s="56"/>
      <c r="BNO32" s="57"/>
      <c r="BNP32" s="58"/>
      <c r="BNQ32" s="56"/>
      <c r="BNR32" s="57"/>
      <c r="BNS32" s="57"/>
      <c r="BNT32" s="57"/>
      <c r="BNU32" s="56"/>
      <c r="BNV32" s="57"/>
      <c r="BNW32" s="57"/>
      <c r="BNX32" s="56"/>
      <c r="BNY32" s="57"/>
      <c r="BNZ32" s="58"/>
      <c r="BOA32" s="56"/>
      <c r="BOB32" s="57"/>
      <c r="BOC32" s="57"/>
      <c r="BOD32" s="57"/>
      <c r="BOE32" s="56"/>
      <c r="BOF32" s="57"/>
      <c r="BOG32" s="57"/>
      <c r="BOH32" s="57"/>
      <c r="BOI32" s="57"/>
      <c r="BOJ32" s="57"/>
      <c r="BOK32" s="56"/>
      <c r="BOL32" s="57"/>
      <c r="BOM32" s="57"/>
      <c r="BON32" s="56"/>
      <c r="BOO32" s="57"/>
      <c r="BOP32" s="58"/>
      <c r="BOQ32" s="56"/>
      <c r="BOR32" s="57"/>
      <c r="BOS32" s="57"/>
      <c r="BOT32" s="57"/>
      <c r="BOU32" s="56"/>
      <c r="BOV32" s="57"/>
      <c r="BOW32" s="57"/>
      <c r="BOX32" s="56"/>
      <c r="BOY32" s="57"/>
      <c r="BOZ32" s="58"/>
      <c r="BPA32" s="56"/>
      <c r="BPB32" s="57"/>
      <c r="BPC32" s="57"/>
      <c r="BPD32" s="57"/>
      <c r="BPE32" s="56"/>
      <c r="BPF32" s="57"/>
      <c r="BPG32" s="57"/>
      <c r="BPH32" s="57"/>
      <c r="BPI32" s="57"/>
      <c r="BPJ32" s="57"/>
      <c r="BPK32" s="56"/>
      <c r="BPL32" s="57"/>
      <c r="BPM32" s="57"/>
      <c r="BPN32" s="56"/>
      <c r="BPO32" s="57"/>
      <c r="BPP32" s="58"/>
      <c r="BPQ32" s="56"/>
      <c r="BPR32" s="57"/>
      <c r="BPS32" s="57"/>
      <c r="BPT32" s="57"/>
      <c r="BPU32" s="56"/>
      <c r="BPV32" s="57"/>
      <c r="BPW32" s="57"/>
      <c r="BPX32" s="56"/>
      <c r="BPY32" s="57"/>
      <c r="BPZ32" s="58"/>
      <c r="BQA32" s="56"/>
      <c r="BQB32" s="57"/>
      <c r="BQC32" s="57"/>
      <c r="BQD32" s="57"/>
      <c r="BQE32" s="56"/>
      <c r="BQF32" s="57"/>
      <c r="BQG32" s="57"/>
      <c r="BQH32" s="57"/>
      <c r="BQI32" s="57"/>
      <c r="BQJ32" s="57"/>
      <c r="BQK32" s="56"/>
      <c r="BQL32" s="57"/>
      <c r="BQM32" s="57"/>
      <c r="BQN32" s="56"/>
      <c r="BQO32" s="57"/>
      <c r="BQP32" s="58"/>
      <c r="BQQ32" s="56"/>
      <c r="BQR32" s="57"/>
      <c r="BQS32" s="57"/>
      <c r="BQT32" s="57"/>
      <c r="BQU32" s="56"/>
      <c r="BQV32" s="57"/>
      <c r="BQW32" s="57"/>
      <c r="BQX32" s="56"/>
      <c r="BQY32" s="57"/>
      <c r="BQZ32" s="58"/>
      <c r="BRA32" s="56"/>
      <c r="BRB32" s="57"/>
      <c r="BRC32" s="57"/>
      <c r="BRD32" s="57"/>
      <c r="BRE32" s="56"/>
      <c r="BRF32" s="57"/>
      <c r="BRG32" s="57"/>
      <c r="BRH32" s="57"/>
      <c r="BRI32" s="57"/>
      <c r="BRJ32" s="57"/>
      <c r="BRK32" s="56"/>
      <c r="BRL32" s="57"/>
      <c r="BRM32" s="57"/>
      <c r="BRN32" s="56"/>
      <c r="BRO32" s="57"/>
      <c r="BRP32" s="58"/>
      <c r="BRQ32" s="56"/>
      <c r="BRR32" s="57"/>
      <c r="BRS32" s="57"/>
      <c r="BRT32" s="57"/>
      <c r="BRU32" s="56"/>
      <c r="BRV32" s="57"/>
      <c r="BRW32" s="57"/>
      <c r="BRX32" s="56"/>
      <c r="BRY32" s="57"/>
      <c r="BRZ32" s="58"/>
      <c r="BSA32" s="56"/>
      <c r="BSB32" s="57"/>
      <c r="BSC32" s="57"/>
      <c r="BSD32" s="57"/>
      <c r="BSE32" s="56"/>
      <c r="BSF32" s="57"/>
      <c r="BSG32" s="57"/>
      <c r="BSH32" s="57"/>
      <c r="BSI32" s="57"/>
      <c r="BSJ32" s="57"/>
      <c r="BSK32" s="56"/>
      <c r="BSL32" s="57"/>
      <c r="BSM32" s="57"/>
      <c r="BSN32" s="56"/>
      <c r="BSO32" s="57"/>
      <c r="BSP32" s="58"/>
      <c r="BSQ32" s="56"/>
      <c r="BSR32" s="57"/>
      <c r="BSS32" s="57"/>
      <c r="BST32" s="57"/>
      <c r="BSU32" s="56"/>
      <c r="BSV32" s="57"/>
      <c r="BSW32" s="57"/>
      <c r="BSX32" s="56"/>
      <c r="BSY32" s="57"/>
      <c r="BSZ32" s="58"/>
      <c r="BTA32" s="56"/>
      <c r="BTB32" s="57"/>
      <c r="BTC32" s="57"/>
      <c r="BTD32" s="57"/>
      <c r="BTE32" s="56"/>
      <c r="BTF32" s="57"/>
      <c r="BTG32" s="57"/>
      <c r="BTH32" s="57"/>
      <c r="BTI32" s="57"/>
      <c r="BTJ32" s="57"/>
      <c r="BTK32" s="56"/>
      <c r="BTL32" s="57"/>
      <c r="BTM32" s="57"/>
      <c r="BTN32" s="56"/>
      <c r="BTO32" s="57"/>
      <c r="BTP32" s="58"/>
      <c r="BTQ32" s="56"/>
      <c r="BTR32" s="57"/>
      <c r="BTS32" s="57"/>
      <c r="BTT32" s="57"/>
      <c r="BTU32" s="56"/>
      <c r="BTV32" s="57"/>
      <c r="BTW32" s="57"/>
      <c r="BTX32" s="56"/>
      <c r="BTY32" s="57"/>
      <c r="BTZ32" s="58"/>
      <c r="BUA32" s="56"/>
      <c r="BUB32" s="57"/>
      <c r="BUC32" s="57"/>
      <c r="BUD32" s="57"/>
      <c r="BUE32" s="56"/>
      <c r="BUF32" s="57"/>
      <c r="BUG32" s="57"/>
      <c r="BUH32" s="57"/>
      <c r="BUI32" s="57"/>
      <c r="BUJ32" s="57"/>
      <c r="BUK32" s="56"/>
      <c r="BUL32" s="57"/>
      <c r="BUM32" s="57"/>
      <c r="BUN32" s="56"/>
      <c r="BUO32" s="57"/>
      <c r="BUP32" s="58"/>
      <c r="BUQ32" s="56"/>
      <c r="BUR32" s="57"/>
      <c r="BUS32" s="57"/>
      <c r="BUT32" s="57"/>
      <c r="BUU32" s="56"/>
      <c r="BUV32" s="57"/>
      <c r="BUW32" s="57"/>
      <c r="BUX32" s="56"/>
      <c r="BUY32" s="57"/>
      <c r="BUZ32" s="58"/>
      <c r="BVA32" s="56"/>
      <c r="BVB32" s="57"/>
      <c r="BVC32" s="57"/>
      <c r="BVD32" s="57"/>
      <c r="BVE32" s="56"/>
      <c r="BVF32" s="57"/>
      <c r="BVG32" s="57"/>
      <c r="BVH32" s="57"/>
      <c r="BVI32" s="57"/>
      <c r="BVJ32" s="57"/>
      <c r="BVK32" s="56"/>
      <c r="BVL32" s="57"/>
      <c r="BVM32" s="57"/>
      <c r="BVN32" s="56"/>
      <c r="BVO32" s="57"/>
      <c r="BVP32" s="58"/>
      <c r="BVQ32" s="56"/>
      <c r="BVR32" s="57"/>
      <c r="BVS32" s="57"/>
      <c r="BVT32" s="57"/>
      <c r="BVU32" s="56"/>
      <c r="BVV32" s="57"/>
      <c r="BVW32" s="57"/>
      <c r="BVX32" s="56"/>
      <c r="BVY32" s="57"/>
      <c r="BVZ32" s="58"/>
      <c r="BWA32" s="56"/>
      <c r="BWB32" s="57"/>
      <c r="BWC32" s="57"/>
      <c r="BWD32" s="57"/>
      <c r="BWE32" s="56"/>
      <c r="BWF32" s="57"/>
      <c r="BWG32" s="57"/>
      <c r="BWH32" s="57"/>
      <c r="BWI32" s="57"/>
      <c r="BWJ32" s="57"/>
      <c r="BWK32" s="56"/>
      <c r="BWL32" s="57"/>
      <c r="BWM32" s="57"/>
      <c r="BWN32" s="56"/>
      <c r="BWO32" s="57"/>
      <c r="BWP32" s="58"/>
      <c r="BWQ32" s="56"/>
      <c r="BWR32" s="57"/>
      <c r="BWS32" s="57"/>
      <c r="BWT32" s="57"/>
      <c r="BWU32" s="56"/>
      <c r="BWV32" s="57"/>
      <c r="BWW32" s="57"/>
      <c r="BWX32" s="56"/>
      <c r="BWY32" s="57"/>
      <c r="BWZ32" s="58"/>
      <c r="BXA32" s="56"/>
      <c r="BXB32" s="57"/>
      <c r="BXC32" s="57"/>
      <c r="BXD32" s="57"/>
      <c r="BXE32" s="56"/>
      <c r="BXF32" s="57"/>
      <c r="BXG32" s="57"/>
      <c r="BXH32" s="57"/>
      <c r="BXI32" s="57"/>
      <c r="BXJ32" s="57"/>
      <c r="BXK32" s="56"/>
      <c r="BXL32" s="57"/>
      <c r="BXM32" s="57"/>
      <c r="BXN32" s="56"/>
      <c r="BXO32" s="57"/>
      <c r="BXP32" s="58"/>
      <c r="BXQ32" s="56"/>
      <c r="BXR32" s="57"/>
      <c r="BXS32" s="57"/>
      <c r="BXT32" s="57"/>
      <c r="BXU32" s="56"/>
      <c r="BXV32" s="57"/>
      <c r="BXW32" s="57"/>
      <c r="BXX32" s="56"/>
      <c r="BXY32" s="57"/>
      <c r="BXZ32" s="58"/>
      <c r="BYA32" s="56"/>
      <c r="BYB32" s="57"/>
      <c r="BYC32" s="57"/>
      <c r="BYD32" s="57"/>
      <c r="BYE32" s="56"/>
      <c r="BYF32" s="57"/>
      <c r="BYG32" s="57"/>
      <c r="BYH32" s="57"/>
      <c r="BYI32" s="57"/>
      <c r="BYJ32" s="57"/>
      <c r="BYK32" s="56"/>
      <c r="BYL32" s="57"/>
      <c r="BYM32" s="57"/>
      <c r="BYN32" s="56"/>
      <c r="BYO32" s="57"/>
      <c r="BYP32" s="58"/>
      <c r="BYQ32" s="56"/>
      <c r="BYR32" s="57"/>
      <c r="BYS32" s="57"/>
      <c r="BYT32" s="57"/>
      <c r="BYU32" s="56"/>
      <c r="BYV32" s="57"/>
      <c r="BYW32" s="57"/>
      <c r="BYX32" s="58"/>
      <c r="BYY32" s="57"/>
      <c r="BYZ32" s="56"/>
      <c r="BZA32" s="57"/>
      <c r="BZB32" s="56"/>
      <c r="BZC32" s="56"/>
      <c r="BZD32" s="56"/>
      <c r="BZE32" s="57"/>
      <c r="BZF32" s="57"/>
      <c r="BZG32" s="57"/>
      <c r="BZH32" s="57"/>
      <c r="BZI32" s="57"/>
      <c r="BZJ32" s="57"/>
      <c r="BZK32" s="57"/>
      <c r="BZL32" s="57"/>
      <c r="BZM32" s="57"/>
      <c r="BZN32" s="57"/>
      <c r="BZO32" s="57"/>
      <c r="BZP32" s="57"/>
      <c r="BZQ32" s="57"/>
      <c r="BZR32" s="57"/>
      <c r="BZS32" s="57"/>
      <c r="BZT32" s="57"/>
      <c r="BZU32" s="57"/>
      <c r="BZV32" s="57"/>
      <c r="BZW32" s="57"/>
      <c r="BZX32" s="57"/>
      <c r="BZY32" s="57"/>
      <c r="BZZ32" s="57"/>
      <c r="CAA32" s="57"/>
      <c r="CAB32" s="57"/>
      <c r="CAC32" s="57"/>
      <c r="CAD32" s="57"/>
      <c r="CAE32" s="57"/>
      <c r="CAF32" s="57"/>
      <c r="CAG32" s="57"/>
      <c r="CAH32" s="57"/>
      <c r="CAI32" s="57"/>
      <c r="CAJ32" s="57"/>
      <c r="CAK32" s="57"/>
      <c r="CAL32" s="57"/>
      <c r="CAM32" s="57"/>
      <c r="CAN32" s="57"/>
      <c r="CAO32" s="57"/>
      <c r="CAP32" s="58"/>
      <c r="CAQ32" s="56"/>
      <c r="CAR32" s="57"/>
      <c r="CAS32" s="57"/>
      <c r="CAT32" s="57"/>
      <c r="CAU32" s="57"/>
      <c r="CAV32" s="57"/>
      <c r="CAW32" s="56"/>
      <c r="CAX32" s="57"/>
      <c r="CAY32" s="57"/>
      <c r="CAZ32" s="56"/>
      <c r="CBA32" s="57"/>
      <c r="CBB32" s="58"/>
      <c r="CBC32" s="56"/>
      <c r="CBD32" s="57"/>
      <c r="CBE32" s="57"/>
      <c r="CBF32" s="57"/>
      <c r="CBG32" s="56"/>
      <c r="CBH32" s="57"/>
      <c r="CBI32" s="57"/>
      <c r="CBJ32" s="56"/>
      <c r="CBK32" s="57"/>
      <c r="CBL32" s="58"/>
      <c r="CBM32" s="56"/>
      <c r="CBN32" s="57"/>
      <c r="CBO32" s="57"/>
      <c r="CBP32" s="57"/>
      <c r="CBQ32" s="56"/>
      <c r="CBR32" s="57"/>
      <c r="CBS32" s="57"/>
      <c r="CBT32" s="56"/>
      <c r="CBU32" s="57"/>
      <c r="CBV32" s="58"/>
      <c r="CBW32" s="56"/>
      <c r="CBX32" s="57"/>
      <c r="CBY32" s="57"/>
      <c r="CBZ32" s="57"/>
      <c r="CCA32" s="56"/>
      <c r="CCB32" s="57"/>
      <c r="CCC32" s="57"/>
      <c r="CCD32" s="56"/>
      <c r="CCE32" s="57"/>
      <c r="CCF32" s="58"/>
      <c r="CCG32" s="56"/>
      <c r="CCH32" s="58"/>
      <c r="CCI32" s="57"/>
      <c r="CCJ32" s="56"/>
      <c r="CCK32" s="57"/>
      <c r="CCL32" s="56"/>
      <c r="CCM32" s="56"/>
      <c r="CCN32" s="56"/>
      <c r="CCO32" s="57"/>
      <c r="CCP32" s="57"/>
      <c r="CCQ32" s="57"/>
      <c r="CCR32" s="57"/>
      <c r="CCS32" s="57"/>
      <c r="CCT32" s="57"/>
      <c r="CCU32" s="57"/>
      <c r="CCV32" s="57"/>
      <c r="CCW32" s="57"/>
      <c r="CCX32" s="57"/>
      <c r="CCY32" s="57"/>
      <c r="CCZ32" s="57"/>
      <c r="CDA32" s="57"/>
      <c r="CDB32" s="57"/>
      <c r="CDC32" s="57"/>
      <c r="CDD32" s="57"/>
      <c r="CDE32" s="57"/>
      <c r="CDF32" s="57"/>
      <c r="CDG32" s="57"/>
      <c r="CDH32" s="57"/>
      <c r="CDI32" s="57"/>
      <c r="CDJ32" s="57"/>
      <c r="CDK32" s="57"/>
      <c r="CDL32" s="57"/>
      <c r="CDM32" s="57"/>
      <c r="CDN32" s="57"/>
      <c r="CDO32" s="57"/>
      <c r="CDP32" s="57"/>
      <c r="CDQ32" s="57"/>
      <c r="CDR32" s="57"/>
      <c r="CDS32" s="57"/>
      <c r="CDT32" s="57"/>
      <c r="CDU32" s="57"/>
      <c r="CDV32" s="57"/>
      <c r="CDW32" s="57"/>
      <c r="CDX32" s="57"/>
      <c r="CDY32" s="57"/>
      <c r="CDZ32" s="58"/>
      <c r="CEA32" s="56"/>
      <c r="CEB32" s="57"/>
      <c r="CEC32" s="57"/>
      <c r="CED32" s="57"/>
      <c r="CEE32" s="57"/>
      <c r="CEF32" s="57"/>
      <c r="CEG32" s="56"/>
      <c r="CEH32" s="57"/>
      <c r="CEI32" s="57"/>
      <c r="CEJ32" s="56"/>
      <c r="CEK32" s="57"/>
      <c r="CEL32" s="58"/>
      <c r="CEM32" s="56"/>
      <c r="CEN32" s="57"/>
      <c r="CEO32" s="57"/>
      <c r="CEP32" s="57"/>
      <c r="CEQ32" s="56"/>
      <c r="CER32" s="57"/>
      <c r="CES32" s="57"/>
      <c r="CET32" s="56"/>
      <c r="CEU32" s="57"/>
      <c r="CEV32" s="58"/>
      <c r="CEW32" s="56"/>
      <c r="CEX32" s="57"/>
      <c r="CEY32" s="57"/>
      <c r="CEZ32" s="57"/>
      <c r="CFA32" s="56"/>
      <c r="CFB32" s="57"/>
      <c r="CFC32" s="57"/>
      <c r="CFD32" s="56"/>
      <c r="CFE32" s="57"/>
      <c r="CFF32" s="58"/>
      <c r="CFG32" s="56"/>
      <c r="CFH32" s="57"/>
      <c r="CFI32" s="57"/>
      <c r="CFJ32" s="57"/>
      <c r="CFK32" s="56"/>
      <c r="CFL32" s="57"/>
      <c r="CFM32" s="57"/>
      <c r="CFN32" s="56"/>
      <c r="CFO32" s="57"/>
      <c r="CFP32" s="58"/>
      <c r="CFQ32" s="56"/>
      <c r="CFR32" s="58"/>
      <c r="CFS32" s="57"/>
      <c r="CFT32" s="56"/>
      <c r="CFU32" s="57"/>
      <c r="CFV32" s="56"/>
      <c r="CFW32" s="56"/>
      <c r="CFX32" s="56"/>
      <c r="CFY32" s="57"/>
      <c r="CFZ32" s="57"/>
      <c r="CGA32" s="57"/>
      <c r="CGB32" s="57"/>
      <c r="CGC32" s="57"/>
      <c r="CGD32" s="57"/>
      <c r="CGE32" s="57"/>
      <c r="CGF32" s="57"/>
      <c r="CGG32" s="57"/>
      <c r="CGH32" s="57"/>
      <c r="CGI32" s="57"/>
      <c r="CGJ32" s="57"/>
      <c r="CGK32" s="57"/>
      <c r="CGL32" s="57"/>
      <c r="CGM32" s="57"/>
      <c r="CGN32" s="57"/>
      <c r="CGO32" s="57"/>
      <c r="CGP32" s="57"/>
      <c r="CGQ32" s="57"/>
      <c r="CGR32" s="57"/>
      <c r="CGS32" s="57"/>
      <c r="CGT32" s="57"/>
      <c r="CGU32" s="57"/>
      <c r="CGV32" s="57"/>
      <c r="CGW32" s="57"/>
      <c r="CGX32" s="57"/>
      <c r="CGY32" s="57"/>
      <c r="CGZ32" s="57"/>
      <c r="CHA32" s="57"/>
      <c r="CHB32" s="57"/>
      <c r="CHC32" s="57"/>
      <c r="CHD32" s="57"/>
      <c r="CHE32" s="57"/>
      <c r="CHF32" s="57"/>
      <c r="CHG32" s="57"/>
      <c r="CHH32" s="57"/>
      <c r="CHI32" s="57"/>
      <c r="CHJ32" s="58"/>
      <c r="CHK32" s="56"/>
      <c r="CHL32" s="57"/>
      <c r="CHM32" s="57"/>
      <c r="CHN32" s="57"/>
      <c r="CHO32" s="57"/>
      <c r="CHP32" s="57"/>
      <c r="CHQ32" s="56"/>
      <c r="CHR32" s="57"/>
      <c r="CHS32" s="57"/>
      <c r="CHT32" s="56"/>
      <c r="CHU32" s="57"/>
      <c r="CHV32" s="58"/>
      <c r="CHW32" s="56"/>
      <c r="CHX32" s="57"/>
      <c r="CHY32" s="57"/>
      <c r="CHZ32" s="57"/>
      <c r="CIA32" s="56"/>
      <c r="CIB32" s="57"/>
      <c r="CIC32" s="57"/>
      <c r="CID32" s="56"/>
      <c r="CIE32" s="57"/>
      <c r="CIF32" s="58"/>
      <c r="CIG32" s="56"/>
      <c r="CIH32" s="57"/>
      <c r="CII32" s="57"/>
      <c r="CIJ32" s="57"/>
      <c r="CIK32" s="56"/>
      <c r="CIL32" s="57"/>
      <c r="CIM32" s="57"/>
      <c r="CIN32" s="56"/>
      <c r="CIO32" s="57"/>
      <c r="CIP32" s="58"/>
      <c r="CIQ32" s="56"/>
      <c r="CIR32" s="57"/>
      <c r="CIS32" s="57"/>
      <c r="CIT32" s="57"/>
      <c r="CIU32" s="56"/>
      <c r="CIV32" s="57"/>
      <c r="CIW32" s="57"/>
      <c r="CIX32" s="56"/>
      <c r="CIY32" s="57"/>
      <c r="CIZ32" s="58"/>
      <c r="CJA32" s="56"/>
      <c r="CJB32" s="58"/>
      <c r="CJC32" s="57"/>
      <c r="CJD32" s="56"/>
      <c r="CJE32" s="57"/>
      <c r="CJF32" s="56"/>
      <c r="CJG32" s="56"/>
      <c r="CJH32" s="56"/>
      <c r="CJI32" s="57"/>
      <c r="CJJ32" s="57"/>
      <c r="CJK32" s="57"/>
      <c r="CJL32" s="57"/>
      <c r="CJM32" s="57"/>
      <c r="CJN32" s="57"/>
      <c r="CJO32" s="57"/>
      <c r="CJP32" s="57"/>
      <c r="CJQ32" s="57"/>
      <c r="CJR32" s="57"/>
      <c r="CJS32" s="57"/>
      <c r="CJT32" s="57"/>
      <c r="CJU32" s="57"/>
      <c r="CJV32" s="57"/>
      <c r="CJW32" s="57"/>
      <c r="CJX32" s="57"/>
      <c r="CJY32" s="57"/>
      <c r="CJZ32" s="57"/>
      <c r="CKA32" s="57"/>
      <c r="CKB32" s="57"/>
      <c r="CKC32" s="57"/>
      <c r="CKD32" s="57"/>
      <c r="CKE32" s="57"/>
      <c r="CKF32" s="57"/>
      <c r="CKG32" s="57"/>
      <c r="CKH32" s="57"/>
      <c r="CKI32" s="57"/>
      <c r="CKJ32" s="57"/>
      <c r="CKK32" s="57"/>
      <c r="CKL32" s="57"/>
      <c r="CKM32" s="57"/>
      <c r="CKN32" s="57"/>
      <c r="CKO32" s="57"/>
      <c r="CKP32" s="57"/>
      <c r="CKQ32" s="57"/>
      <c r="CKR32" s="57"/>
      <c r="CKS32" s="57"/>
      <c r="CKT32" s="58"/>
      <c r="CKU32" s="56"/>
      <c r="CKV32" s="57"/>
      <c r="CKW32" s="57"/>
      <c r="CKX32" s="57"/>
      <c r="CKY32" s="57"/>
      <c r="CKZ32" s="57"/>
      <c r="CLA32" s="56"/>
      <c r="CLB32" s="57"/>
      <c r="CLC32" s="57"/>
      <c r="CLD32" s="56"/>
      <c r="CLE32" s="57"/>
      <c r="CLF32" s="58"/>
      <c r="CLG32" s="56"/>
      <c r="CLH32" s="57"/>
      <c r="CLI32" s="57"/>
      <c r="CLJ32" s="57"/>
      <c r="CLK32" s="56"/>
      <c r="CLL32" s="57"/>
      <c r="CLM32" s="57"/>
      <c r="CLN32" s="56"/>
      <c r="CLO32" s="57"/>
      <c r="CLP32" s="58"/>
      <c r="CLQ32" s="56"/>
      <c r="CLR32" s="57"/>
      <c r="CLS32" s="57"/>
      <c r="CLT32" s="57"/>
      <c r="CLU32" s="56"/>
      <c r="CLV32" s="57"/>
      <c r="CLW32" s="57"/>
      <c r="CLX32" s="56"/>
      <c r="CLY32" s="57"/>
      <c r="CLZ32" s="58"/>
      <c r="CMA32" s="56"/>
      <c r="CMB32" s="57"/>
      <c r="CMC32" s="57"/>
      <c r="CMD32" s="57"/>
      <c r="CME32" s="56"/>
      <c r="CMF32" s="57"/>
      <c r="CMG32" s="57"/>
      <c r="CMH32" s="56"/>
      <c r="CMI32" s="57"/>
      <c r="CMJ32" s="58"/>
      <c r="CMK32" s="56"/>
      <c r="CML32" s="58"/>
      <c r="CMM32" s="57"/>
      <c r="CMN32" s="56"/>
      <c r="CMO32" s="57"/>
      <c r="CMP32" s="56"/>
      <c r="CMQ32" s="56"/>
      <c r="CMR32" s="56"/>
      <c r="CMS32" s="57"/>
      <c r="CMT32" s="57"/>
      <c r="CMU32" s="57"/>
      <c r="CMV32" s="57"/>
      <c r="CMW32" s="57"/>
      <c r="CMX32" s="57"/>
      <c r="CMY32" s="57"/>
      <c r="CMZ32" s="57"/>
      <c r="CNA32" s="57"/>
      <c r="CNB32" s="57"/>
      <c r="CNC32" s="57"/>
      <c r="CND32" s="57"/>
      <c r="CNE32" s="57"/>
      <c r="CNF32" s="57"/>
      <c r="CNG32" s="57"/>
      <c r="CNH32" s="57"/>
      <c r="CNI32" s="57"/>
      <c r="CNJ32" s="57"/>
      <c r="CNK32" s="57"/>
      <c r="CNL32" s="57"/>
      <c r="CNM32" s="57"/>
      <c r="CNN32" s="57"/>
      <c r="CNO32" s="57"/>
      <c r="CNP32" s="57"/>
      <c r="CNQ32" s="57"/>
      <c r="CNR32" s="57"/>
      <c r="CNS32" s="57"/>
      <c r="CNT32" s="57"/>
      <c r="CNU32" s="57"/>
      <c r="CNV32" s="57"/>
      <c r="CNW32" s="57"/>
      <c r="CNX32" s="57"/>
      <c r="CNY32" s="57"/>
      <c r="CNZ32" s="57"/>
      <c r="COA32" s="57"/>
      <c r="COB32" s="57"/>
      <c r="COC32" s="57"/>
      <c r="COD32" s="58"/>
      <c r="COE32" s="56"/>
      <c r="COF32" s="57"/>
      <c r="COG32" s="57"/>
      <c r="COH32" s="57"/>
      <c r="COI32" s="57"/>
      <c r="COJ32" s="57"/>
      <c r="COK32" s="56"/>
      <c r="COL32" s="57"/>
      <c r="COM32" s="57"/>
      <c r="CON32" s="56"/>
      <c r="COO32" s="57"/>
      <c r="COP32" s="58"/>
      <c r="COQ32" s="56"/>
      <c r="COR32" s="57"/>
      <c r="COS32" s="57"/>
      <c r="COT32" s="57"/>
      <c r="COU32" s="56"/>
      <c r="COV32" s="57"/>
      <c r="COW32" s="57"/>
      <c r="COX32" s="56"/>
      <c r="COY32" s="57"/>
      <c r="COZ32" s="58"/>
      <c r="CPA32" s="56"/>
      <c r="CPB32" s="57"/>
      <c r="CPC32" s="57"/>
      <c r="CPD32" s="57"/>
      <c r="CPE32" s="56"/>
      <c r="CPF32" s="57"/>
      <c r="CPG32" s="57"/>
      <c r="CPH32" s="56"/>
      <c r="CPI32" s="57"/>
      <c r="CPJ32" s="58"/>
      <c r="CPK32" s="56"/>
      <c r="CPL32" s="57"/>
      <c r="CPM32" s="57"/>
      <c r="CPN32" s="57"/>
      <c r="CPO32" s="56"/>
      <c r="CPP32" s="57"/>
      <c r="CPQ32" s="57"/>
      <c r="CPR32" s="56"/>
      <c r="CPS32" s="57"/>
      <c r="CPT32" s="58"/>
      <c r="CPU32" s="56"/>
      <c r="CPV32" s="58"/>
      <c r="CPW32" s="57"/>
      <c r="CPX32" s="56"/>
      <c r="CPY32" s="57"/>
      <c r="CPZ32" s="56"/>
      <c r="CQA32" s="56"/>
      <c r="CQB32" s="56"/>
      <c r="CQC32" s="57"/>
      <c r="CQD32" s="57"/>
      <c r="CQE32" s="57"/>
      <c r="CQF32" s="57"/>
      <c r="CQG32" s="57"/>
      <c r="CQH32" s="57"/>
      <c r="CQI32" s="57"/>
      <c r="CQJ32" s="57"/>
      <c r="CQK32" s="57"/>
      <c r="CQL32" s="57"/>
      <c r="CQM32" s="57"/>
      <c r="CQN32" s="57"/>
      <c r="CQO32" s="57"/>
      <c r="CQP32" s="57"/>
      <c r="CQQ32" s="57"/>
      <c r="CQR32" s="57"/>
      <c r="CQS32" s="57"/>
      <c r="CQT32" s="57"/>
      <c r="CQU32" s="57"/>
      <c r="CQV32" s="57"/>
      <c r="CQW32" s="57"/>
      <c r="CQX32" s="57"/>
      <c r="CQY32" s="57"/>
      <c r="CQZ32" s="57"/>
      <c r="CRA32" s="57"/>
      <c r="CRB32" s="57"/>
      <c r="CRC32" s="57"/>
      <c r="CRD32" s="57"/>
      <c r="CRE32" s="57"/>
      <c r="CRF32" s="57"/>
      <c r="CRG32" s="57"/>
      <c r="CRH32" s="57"/>
      <c r="CRI32" s="57"/>
      <c r="CRJ32" s="57"/>
      <c r="CRK32" s="57"/>
      <c r="CRL32" s="57"/>
      <c r="CRM32" s="57"/>
      <c r="CRN32" s="58"/>
      <c r="CRO32" s="56"/>
      <c r="CRP32" s="57"/>
      <c r="CRQ32" s="57"/>
      <c r="CRR32" s="57"/>
      <c r="CRS32" s="57"/>
      <c r="CRT32" s="57"/>
      <c r="CRU32" s="56"/>
      <c r="CRV32" s="57"/>
      <c r="CRW32" s="57"/>
      <c r="CRX32" s="56"/>
      <c r="CRY32" s="57"/>
      <c r="CRZ32" s="58"/>
      <c r="CSA32" s="56"/>
      <c r="CSB32" s="57"/>
      <c r="CSC32" s="57"/>
      <c r="CSD32" s="57"/>
      <c r="CSE32" s="56"/>
      <c r="CSF32" s="57"/>
      <c r="CSG32" s="57"/>
      <c r="CSH32" s="56"/>
      <c r="CSI32" s="57"/>
      <c r="CSJ32" s="58"/>
      <c r="CSK32" s="56"/>
      <c r="CSL32" s="57"/>
      <c r="CSM32" s="57"/>
      <c r="CSN32" s="57"/>
      <c r="CSO32" s="56"/>
      <c r="CSP32" s="57"/>
      <c r="CSQ32" s="57"/>
      <c r="CSR32" s="56"/>
      <c r="CSS32" s="57"/>
      <c r="CST32" s="58"/>
      <c r="CSU32" s="56"/>
      <c r="CSV32" s="57"/>
      <c r="CSW32" s="57"/>
      <c r="CSX32" s="57"/>
      <c r="CSY32" s="56"/>
      <c r="CSZ32" s="57"/>
      <c r="CTA32" s="57"/>
      <c r="CTB32" s="56"/>
      <c r="CTC32" s="57"/>
      <c r="CTD32" s="58"/>
      <c r="CTE32" s="56"/>
      <c r="CTF32" s="58"/>
      <c r="CTG32" s="57"/>
      <c r="CTH32" s="56"/>
      <c r="CTI32" s="57"/>
      <c r="CTJ32" s="56"/>
      <c r="CTK32" s="56"/>
      <c r="CTL32" s="56"/>
      <c r="CTM32" s="57"/>
      <c r="CTN32" s="57"/>
      <c r="CTO32" s="57"/>
      <c r="CTP32" s="57"/>
      <c r="CTQ32" s="57"/>
      <c r="CTR32" s="57"/>
      <c r="CTS32" s="57"/>
      <c r="CTT32" s="57"/>
      <c r="CTU32" s="57"/>
      <c r="CTV32" s="57"/>
      <c r="CTW32" s="57"/>
      <c r="CTX32" s="57"/>
      <c r="CTY32" s="57"/>
      <c r="CTZ32" s="57"/>
      <c r="CUA32" s="57"/>
      <c r="CUB32" s="57"/>
      <c r="CUC32" s="57"/>
      <c r="CUD32" s="57"/>
      <c r="CUE32" s="57"/>
      <c r="CUF32" s="57"/>
      <c r="CUG32" s="57"/>
      <c r="CUH32" s="57"/>
      <c r="CUI32" s="57"/>
      <c r="CUJ32" s="57"/>
      <c r="CUK32" s="57"/>
      <c r="CUL32" s="57"/>
      <c r="CUM32" s="57"/>
      <c r="CUN32" s="57"/>
      <c r="CUO32" s="57"/>
      <c r="CUP32" s="57"/>
      <c r="CUQ32" s="57"/>
      <c r="CUR32" s="57"/>
      <c r="CUS32" s="57"/>
      <c r="CUT32" s="57"/>
      <c r="CUU32" s="57"/>
      <c r="CUV32" s="57"/>
      <c r="CUW32" s="57"/>
      <c r="CUX32" s="58"/>
      <c r="CUY32" s="56"/>
      <c r="CUZ32" s="57"/>
      <c r="CVA32" s="57"/>
      <c r="CVB32" s="57"/>
      <c r="CVC32" s="57"/>
      <c r="CVD32" s="57"/>
      <c r="CVE32" s="56"/>
      <c r="CVF32" s="57"/>
      <c r="CVG32" s="57"/>
      <c r="CVH32" s="56"/>
      <c r="CVI32" s="57"/>
      <c r="CVJ32" s="58"/>
      <c r="CVK32" s="56"/>
      <c r="CVL32" s="57"/>
      <c r="CVM32" s="57"/>
      <c r="CVN32" s="57"/>
      <c r="CVO32" s="56"/>
      <c r="CVP32" s="57"/>
      <c r="CVQ32" s="57"/>
      <c r="CVR32" s="56"/>
      <c r="CVS32" s="57"/>
      <c r="CVT32" s="58"/>
      <c r="CVU32" s="56"/>
      <c r="CVV32" s="57"/>
      <c r="CVW32" s="57"/>
      <c r="CVX32" s="57"/>
      <c r="CVY32" s="56"/>
      <c r="CVZ32" s="57"/>
      <c r="CWA32" s="57"/>
      <c r="CWB32" s="56"/>
      <c r="CWC32" s="57"/>
      <c r="CWD32" s="58"/>
      <c r="CWE32" s="56"/>
      <c r="CWF32" s="57"/>
      <c r="CWG32" s="57"/>
      <c r="CWH32" s="57"/>
      <c r="CWI32" s="56"/>
      <c r="CWJ32" s="57"/>
      <c r="CWK32" s="57"/>
      <c r="CWL32" s="56"/>
      <c r="CWM32" s="57"/>
      <c r="CWN32" s="58"/>
      <c r="CWO32" s="56"/>
      <c r="CWP32" s="58"/>
      <c r="CWQ32" s="57"/>
      <c r="CWR32" s="56"/>
      <c r="CWS32" s="57"/>
      <c r="CWT32" s="56"/>
      <c r="CWU32" s="56"/>
      <c r="CWV32" s="56"/>
      <c r="CWW32" s="57"/>
      <c r="CWX32" s="57"/>
      <c r="CWY32" s="57"/>
      <c r="CWZ32" s="57"/>
      <c r="CXA32" s="57"/>
      <c r="CXB32" s="57"/>
      <c r="CXC32" s="57"/>
      <c r="CXD32" s="57"/>
      <c r="CXE32" s="57"/>
      <c r="CXF32" s="57"/>
      <c r="CXG32" s="57"/>
      <c r="CXH32" s="57"/>
      <c r="CXI32" s="57"/>
      <c r="CXJ32" s="57"/>
      <c r="CXK32" s="57"/>
      <c r="CXL32" s="57"/>
      <c r="CXM32" s="57"/>
      <c r="CXN32" s="57"/>
      <c r="CXO32" s="57"/>
      <c r="CXP32" s="57"/>
      <c r="CXQ32" s="57"/>
      <c r="CXR32" s="57"/>
      <c r="CXS32" s="57"/>
      <c r="CXT32" s="57"/>
      <c r="CXU32" s="57"/>
      <c r="CXV32" s="57"/>
      <c r="CXW32" s="57"/>
      <c r="CXX32" s="57"/>
      <c r="CXY32" s="57"/>
      <c r="CXZ32" s="57"/>
      <c r="CYA32" s="57"/>
      <c r="CYB32" s="57"/>
      <c r="CYC32" s="57"/>
      <c r="CYD32" s="57"/>
      <c r="CYE32" s="57"/>
      <c r="CYF32" s="57"/>
      <c r="CYG32" s="57"/>
      <c r="CYH32" s="58"/>
      <c r="CYI32" s="56"/>
      <c r="CYJ32" s="57"/>
      <c r="CYK32" s="57"/>
      <c r="CYL32" s="57"/>
      <c r="CYM32" s="57"/>
      <c r="CYN32" s="57"/>
      <c r="CYO32" s="56"/>
      <c r="CYP32" s="57"/>
      <c r="CYQ32" s="57"/>
      <c r="CYR32" s="56"/>
      <c r="CYS32" s="57"/>
      <c r="CYT32" s="58"/>
      <c r="CYU32" s="56"/>
      <c r="CYV32" s="57"/>
      <c r="CYW32" s="57"/>
      <c r="CYX32" s="57"/>
      <c r="CYY32" s="56"/>
      <c r="CYZ32" s="57"/>
      <c r="CZA32" s="57"/>
      <c r="CZB32" s="56"/>
      <c r="CZC32" s="57"/>
      <c r="CZD32" s="58"/>
      <c r="CZE32" s="56"/>
      <c r="CZF32" s="57"/>
      <c r="CZG32" s="57"/>
      <c r="CZH32" s="57"/>
      <c r="CZI32" s="56"/>
      <c r="CZJ32" s="57"/>
      <c r="CZK32" s="57"/>
      <c r="CZL32" s="56"/>
      <c r="CZM32" s="57"/>
      <c r="CZN32" s="58"/>
      <c r="CZO32" s="56"/>
      <c r="CZP32" s="57"/>
      <c r="CZQ32" s="57"/>
      <c r="CZR32" s="57"/>
      <c r="CZS32" s="56"/>
      <c r="CZT32" s="57"/>
      <c r="CZU32" s="57"/>
      <c r="CZV32" s="56"/>
      <c r="CZW32" s="57"/>
      <c r="CZX32" s="58"/>
      <c r="CZY32" s="56"/>
      <c r="CZZ32" s="58"/>
      <c r="DAA32" s="57"/>
      <c r="DAB32" s="56"/>
      <c r="DAC32" s="57"/>
      <c r="DAD32" s="56"/>
      <c r="DAE32" s="56"/>
      <c r="DAF32" s="56"/>
      <c r="DAG32" s="57"/>
      <c r="DAH32" s="57"/>
      <c r="DAI32" s="57"/>
      <c r="DAJ32" s="57"/>
      <c r="DAK32" s="57"/>
      <c r="DAL32" s="57"/>
      <c r="DAM32" s="57"/>
      <c r="DAN32" s="57"/>
      <c r="DAO32" s="57"/>
      <c r="DAP32" s="57"/>
      <c r="DAQ32" s="57"/>
      <c r="DAR32" s="57"/>
      <c r="DAS32" s="57"/>
      <c r="DAT32" s="57"/>
      <c r="DAU32" s="57"/>
      <c r="DAV32" s="57"/>
      <c r="DAW32" s="57"/>
      <c r="DAX32" s="57"/>
      <c r="DAY32" s="57"/>
      <c r="DAZ32" s="57"/>
      <c r="DBA32" s="57"/>
      <c r="DBB32" s="57"/>
      <c r="DBC32" s="57"/>
      <c r="DBD32" s="57"/>
      <c r="DBE32" s="57"/>
      <c r="DBF32" s="57"/>
      <c r="DBG32" s="57"/>
      <c r="DBH32" s="57"/>
      <c r="DBI32" s="57"/>
      <c r="DBJ32" s="57"/>
      <c r="DBK32" s="57"/>
      <c r="DBL32" s="57"/>
      <c r="DBM32" s="57"/>
      <c r="DBN32" s="57"/>
      <c r="DBO32" s="57"/>
      <c r="DBP32" s="57"/>
      <c r="DBQ32" s="57"/>
      <c r="DBR32" s="58"/>
      <c r="DBS32" s="56"/>
      <c r="DBT32" s="57"/>
      <c r="DBU32" s="57"/>
      <c r="DBV32" s="57"/>
      <c r="DBW32" s="57"/>
      <c r="DBX32" s="57"/>
      <c r="DBY32" s="56"/>
      <c r="DBZ32" s="57"/>
      <c r="DCA32" s="57"/>
      <c r="DCB32" s="56"/>
      <c r="DCC32" s="57"/>
      <c r="DCD32" s="58"/>
      <c r="DCE32" s="56"/>
      <c r="DCF32" s="57"/>
      <c r="DCG32" s="57"/>
      <c r="DCH32" s="57"/>
      <c r="DCI32" s="56"/>
      <c r="DCJ32" s="57"/>
      <c r="DCK32" s="57"/>
      <c r="DCL32" s="56"/>
      <c r="DCM32" s="57"/>
      <c r="DCN32" s="58"/>
      <c r="DCO32" s="56"/>
      <c r="DCP32" s="57"/>
      <c r="DCQ32" s="57"/>
      <c r="DCR32" s="57"/>
      <c r="DCS32" s="56"/>
      <c r="DCT32" s="57"/>
      <c r="DCU32" s="57"/>
      <c r="DCV32" s="56"/>
      <c r="DCW32" s="57"/>
      <c r="DCX32" s="58"/>
      <c r="DCY32" s="56"/>
      <c r="DCZ32" s="57"/>
      <c r="DDA32" s="57"/>
      <c r="DDB32" s="57"/>
      <c r="DDC32" s="56"/>
      <c r="DDD32" s="57"/>
      <c r="DDE32" s="57"/>
      <c r="DDF32" s="56"/>
      <c r="DDG32" s="57"/>
      <c r="DDH32" s="58"/>
      <c r="DDI32" s="56"/>
      <c r="DDJ32" s="58"/>
      <c r="DDK32" s="57"/>
      <c r="DDL32" s="56"/>
      <c r="DDM32" s="57"/>
      <c r="DDN32" s="56"/>
      <c r="DDO32" s="56"/>
      <c r="DDP32" s="56"/>
      <c r="DDQ32" s="57"/>
      <c r="DDR32" s="57"/>
      <c r="DDS32" s="57"/>
      <c r="DDT32" s="57"/>
      <c r="DDU32" s="57"/>
      <c r="DDV32" s="57"/>
      <c r="DDW32" s="57"/>
      <c r="DDX32" s="57"/>
      <c r="DDY32" s="57"/>
      <c r="DDZ32" s="57"/>
      <c r="DEA32" s="57"/>
      <c r="DEB32" s="57"/>
      <c r="DEC32" s="57"/>
      <c r="DED32" s="57"/>
      <c r="DEE32" s="57"/>
      <c r="DEF32" s="57"/>
      <c r="DEG32" s="57"/>
      <c r="DEH32" s="57"/>
      <c r="DEI32" s="57"/>
      <c r="DEJ32" s="57"/>
      <c r="DEK32" s="57"/>
      <c r="DEL32" s="57"/>
      <c r="DEM32" s="57"/>
      <c r="DEN32" s="57"/>
      <c r="DEO32" s="57"/>
      <c r="DEP32" s="57"/>
      <c r="DEQ32" s="57"/>
      <c r="DER32" s="57"/>
      <c r="DES32" s="57"/>
      <c r="DET32" s="57"/>
      <c r="DEU32" s="57"/>
      <c r="DEV32" s="57"/>
      <c r="DEW32" s="57"/>
      <c r="DEX32" s="57"/>
      <c r="DEY32" s="57"/>
      <c r="DEZ32" s="57"/>
      <c r="DFA32" s="57"/>
      <c r="DFB32" s="58"/>
      <c r="DFC32" s="56"/>
      <c r="DFD32" s="57"/>
      <c r="DFE32" s="57"/>
      <c r="DFF32" s="57"/>
      <c r="DFG32" s="57"/>
      <c r="DFH32" s="57"/>
      <c r="DFI32" s="56"/>
      <c r="DFJ32" s="57"/>
      <c r="DFK32" s="57"/>
      <c r="DFL32" s="56"/>
      <c r="DFM32" s="57"/>
      <c r="DFN32" s="58"/>
      <c r="DFO32" s="56"/>
      <c r="DFP32" s="57"/>
      <c r="DFQ32" s="57"/>
      <c r="DFR32" s="57"/>
      <c r="DFS32" s="56"/>
      <c r="DFT32" s="57"/>
      <c r="DFU32" s="57"/>
      <c r="DFV32" s="56"/>
      <c r="DFW32" s="57"/>
      <c r="DFX32" s="58"/>
      <c r="DFY32" s="56"/>
      <c r="DFZ32" s="57"/>
      <c r="DGA32" s="57"/>
      <c r="DGB32" s="57"/>
      <c r="DGC32" s="56"/>
      <c r="DGD32" s="57"/>
      <c r="DGE32" s="57"/>
      <c r="DGF32" s="56"/>
      <c r="DGG32" s="57"/>
      <c r="DGH32" s="58"/>
      <c r="DGI32" s="56"/>
      <c r="DGJ32" s="57"/>
      <c r="DGK32" s="57"/>
      <c r="DGL32" s="57"/>
      <c r="DGM32" s="56"/>
      <c r="DGN32" s="57"/>
      <c r="DGO32" s="57"/>
      <c r="DGP32" s="56"/>
      <c r="DGQ32" s="57"/>
      <c r="DGR32" s="58"/>
      <c r="DGS32" s="56"/>
      <c r="DGT32" s="58"/>
      <c r="DGU32" s="57"/>
      <c r="DGV32" s="56"/>
      <c r="DGW32" s="57"/>
      <c r="DGX32" s="56"/>
      <c r="DGY32" s="56"/>
      <c r="DGZ32" s="56"/>
      <c r="DHA32" s="57"/>
      <c r="DHB32" s="57"/>
      <c r="DHC32" s="57"/>
      <c r="DHD32" s="57"/>
      <c r="DHE32" s="57"/>
      <c r="DHF32" s="57"/>
      <c r="DHG32" s="57"/>
      <c r="DHH32" s="57"/>
      <c r="DHI32" s="57"/>
      <c r="DHJ32" s="57"/>
      <c r="DHK32" s="57"/>
      <c r="DHL32" s="57"/>
      <c r="DHM32" s="57"/>
      <c r="DHN32" s="57"/>
      <c r="DHO32" s="57"/>
      <c r="DHP32" s="57"/>
      <c r="DHQ32" s="57"/>
      <c r="DHR32" s="57"/>
      <c r="DHS32" s="57"/>
      <c r="DHT32" s="57"/>
      <c r="DHU32" s="57"/>
      <c r="DHV32" s="57"/>
      <c r="DHW32" s="57"/>
      <c r="DHX32" s="57"/>
      <c r="DHY32" s="57"/>
      <c r="DHZ32" s="57"/>
      <c r="DIA32" s="57"/>
      <c r="DIB32" s="57"/>
      <c r="DIC32" s="57"/>
      <c r="DID32" s="57"/>
      <c r="DIE32" s="57"/>
      <c r="DIF32" s="57"/>
      <c r="DIG32" s="57"/>
      <c r="DIH32" s="57"/>
      <c r="DII32" s="57"/>
      <c r="DIJ32" s="57"/>
      <c r="DIK32" s="57"/>
      <c r="DIL32" s="58"/>
      <c r="DIM32" s="56"/>
      <c r="DIN32" s="57"/>
      <c r="DIO32" s="57"/>
      <c r="DIP32" s="57"/>
      <c r="DIQ32" s="57"/>
      <c r="DIR32" s="57"/>
      <c r="DIS32" s="56"/>
      <c r="DIT32" s="57"/>
      <c r="DIU32" s="57"/>
      <c r="DIV32" s="56"/>
      <c r="DIW32" s="57"/>
      <c r="DIX32" s="58"/>
      <c r="DIY32" s="56"/>
      <c r="DIZ32" s="57"/>
      <c r="DJA32" s="57"/>
      <c r="DJB32" s="57"/>
      <c r="DJC32" s="56"/>
      <c r="DJD32" s="57"/>
      <c r="DJE32" s="57"/>
      <c r="DJF32" s="56"/>
      <c r="DJG32" s="57"/>
      <c r="DJH32" s="58"/>
      <c r="DJI32" s="56"/>
      <c r="DJJ32" s="57"/>
      <c r="DJK32" s="57"/>
      <c r="DJL32" s="57"/>
      <c r="DJM32" s="56"/>
      <c r="DJN32" s="57"/>
      <c r="DJO32" s="57"/>
      <c r="DJP32" s="56"/>
      <c r="DJQ32" s="57"/>
      <c r="DJR32" s="58"/>
      <c r="DJS32" s="56"/>
      <c r="DJT32" s="57"/>
      <c r="DJU32" s="57"/>
      <c r="DJV32" s="57"/>
      <c r="DJW32" s="56"/>
      <c r="DJX32" s="57"/>
      <c r="DJY32" s="57"/>
      <c r="DJZ32" s="56"/>
      <c r="DKA32" s="57"/>
      <c r="DKB32" s="58"/>
      <c r="DKC32" s="56"/>
      <c r="DKD32" s="58"/>
      <c r="DKE32" s="57"/>
      <c r="DKF32" s="56"/>
      <c r="DKG32" s="57"/>
      <c r="DKH32" s="56"/>
      <c r="DKI32" s="56"/>
      <c r="DKJ32" s="56"/>
      <c r="DKK32" s="57"/>
      <c r="DKL32" s="57"/>
      <c r="DKM32" s="57"/>
      <c r="DKN32" s="57"/>
      <c r="DKO32" s="57"/>
      <c r="DKP32" s="57"/>
      <c r="DKQ32" s="57"/>
      <c r="DKR32" s="57"/>
      <c r="DKS32" s="57"/>
      <c r="DKT32" s="57"/>
      <c r="DKU32" s="57"/>
      <c r="DKV32" s="57"/>
      <c r="DKW32" s="57"/>
      <c r="DKX32" s="57"/>
      <c r="DKY32" s="57"/>
      <c r="DKZ32" s="57"/>
      <c r="DLA32" s="57"/>
      <c r="DLB32" s="57"/>
      <c r="DLC32" s="57"/>
      <c r="DLD32" s="57"/>
      <c r="DLE32" s="57"/>
      <c r="DLF32" s="57"/>
      <c r="DLG32" s="57"/>
      <c r="DLH32" s="57"/>
      <c r="DLI32" s="57"/>
      <c r="DLJ32" s="57"/>
      <c r="DLK32" s="57"/>
      <c r="DLL32" s="57"/>
      <c r="DLM32" s="57"/>
      <c r="DLN32" s="57"/>
      <c r="DLO32" s="57"/>
      <c r="DLP32" s="57"/>
      <c r="DLQ32" s="57"/>
      <c r="DLR32" s="57"/>
      <c r="DLS32" s="57"/>
      <c r="DLT32" s="57"/>
      <c r="DLU32" s="57"/>
      <c r="DLV32" s="58"/>
      <c r="DLW32" s="56"/>
      <c r="DLX32" s="57"/>
      <c r="DLY32" s="57"/>
      <c r="DLZ32" s="57"/>
      <c r="DMA32" s="57"/>
      <c r="DMB32" s="57"/>
      <c r="DMC32" s="56"/>
      <c r="DMD32" s="57"/>
      <c r="DME32" s="57"/>
      <c r="DMF32" s="56"/>
      <c r="DMG32" s="57"/>
      <c r="DMH32" s="58"/>
      <c r="DMI32" s="56"/>
      <c r="DMJ32" s="57"/>
      <c r="DMK32" s="57"/>
      <c r="DML32" s="57"/>
      <c r="DMM32" s="56"/>
      <c r="DMN32" s="57"/>
      <c r="DMO32" s="57"/>
      <c r="DMP32" s="56"/>
      <c r="DMQ32" s="57"/>
      <c r="DMR32" s="58"/>
      <c r="DMS32" s="56"/>
      <c r="DMT32" s="57"/>
      <c r="DMU32" s="57"/>
      <c r="DMV32" s="57"/>
      <c r="DMW32" s="56"/>
      <c r="DMX32" s="57"/>
      <c r="DMY32" s="57"/>
      <c r="DMZ32" s="56"/>
      <c r="DNA32" s="57"/>
      <c r="DNB32" s="58"/>
      <c r="DNC32" s="56"/>
      <c r="DND32" s="57"/>
      <c r="DNE32" s="57"/>
      <c r="DNF32" s="57"/>
      <c r="DNG32" s="56"/>
      <c r="DNH32" s="57"/>
      <c r="DNI32" s="57"/>
      <c r="DNJ32" s="56"/>
      <c r="DNK32" s="57"/>
      <c r="DNL32" s="58"/>
      <c r="DNM32" s="56"/>
      <c r="DNN32" s="58"/>
      <c r="DNO32" s="57"/>
      <c r="DNP32" s="56"/>
      <c r="DNQ32" s="57"/>
      <c r="DNR32" s="56"/>
      <c r="DNS32" s="56"/>
      <c r="DNT32" s="56"/>
      <c r="DNU32" s="57"/>
      <c r="DNV32" s="57"/>
      <c r="DNW32" s="57"/>
      <c r="DNX32" s="57"/>
      <c r="DNY32" s="57"/>
      <c r="DNZ32" s="57"/>
      <c r="DOA32" s="57"/>
      <c r="DOB32" s="57"/>
      <c r="DOC32" s="57"/>
      <c r="DOD32" s="57"/>
      <c r="DOE32" s="57"/>
      <c r="DOF32" s="57"/>
      <c r="DOG32" s="57"/>
      <c r="DOH32" s="57"/>
      <c r="DOI32" s="57"/>
      <c r="DOJ32" s="57"/>
      <c r="DOK32" s="57"/>
      <c r="DOL32" s="57"/>
      <c r="DOM32" s="57"/>
      <c r="DON32" s="57"/>
      <c r="DOO32" s="57"/>
      <c r="DOP32" s="57"/>
      <c r="DOQ32" s="57"/>
      <c r="DOR32" s="57"/>
      <c r="DOS32" s="57"/>
      <c r="DOT32" s="57"/>
      <c r="DOU32" s="57"/>
      <c r="DOV32" s="57"/>
      <c r="DOW32" s="57"/>
      <c r="DOX32" s="57"/>
      <c r="DOY32" s="57"/>
      <c r="DOZ32" s="57"/>
      <c r="DPA32" s="57"/>
      <c r="DPB32" s="57"/>
      <c r="DPC32" s="57"/>
      <c r="DPD32" s="57"/>
      <c r="DPE32" s="57"/>
      <c r="DPF32" s="58"/>
      <c r="DPG32" s="56"/>
      <c r="DPH32" s="57"/>
      <c r="DPI32" s="57"/>
      <c r="DPJ32" s="57"/>
      <c r="DPK32" s="57"/>
      <c r="DPL32" s="57"/>
      <c r="DPM32" s="56"/>
      <c r="DPN32" s="57"/>
      <c r="DPO32" s="57"/>
      <c r="DPP32" s="56"/>
      <c r="DPQ32" s="57"/>
      <c r="DPR32" s="58"/>
      <c r="DPS32" s="56"/>
      <c r="DPT32" s="57"/>
      <c r="DPU32" s="57"/>
      <c r="DPV32" s="57"/>
      <c r="DPW32" s="56"/>
      <c r="DPX32" s="57"/>
      <c r="DPY32" s="57"/>
      <c r="DPZ32" s="56"/>
      <c r="DQA32" s="57"/>
      <c r="DQB32" s="58"/>
      <c r="DQC32" s="56"/>
      <c r="DQD32" s="57"/>
      <c r="DQE32" s="57"/>
      <c r="DQF32" s="57"/>
      <c r="DQG32" s="56"/>
      <c r="DQH32" s="57"/>
      <c r="DQI32" s="57"/>
      <c r="DQJ32" s="56"/>
      <c r="DQK32" s="57"/>
      <c r="DQL32" s="58"/>
      <c r="DQM32" s="56"/>
      <c r="DQN32" s="57"/>
      <c r="DQO32" s="57"/>
      <c r="DQP32" s="57"/>
      <c r="DQQ32" s="56"/>
      <c r="DQR32" s="57"/>
      <c r="DQS32" s="57"/>
      <c r="DQT32" s="56"/>
      <c r="DQU32" s="57"/>
      <c r="DQV32" s="58"/>
      <c r="DQW32" s="56"/>
      <c r="DQX32" s="58"/>
      <c r="DQY32" s="57"/>
      <c r="DQZ32" s="56"/>
      <c r="DRA32" s="57"/>
      <c r="DRB32" s="56"/>
      <c r="DRC32" s="56"/>
      <c r="DRD32" s="56"/>
      <c r="DRE32" s="57"/>
      <c r="DRF32" s="57"/>
      <c r="DRG32" s="57"/>
      <c r="DRH32" s="57"/>
      <c r="DRI32" s="57"/>
      <c r="DRJ32" s="57"/>
      <c r="DRK32" s="57"/>
      <c r="DRL32" s="57"/>
      <c r="DRM32" s="57"/>
      <c r="DRN32" s="57"/>
      <c r="DRO32" s="57"/>
      <c r="DRP32" s="57"/>
      <c r="DRQ32" s="57"/>
      <c r="DRR32" s="57"/>
      <c r="DRS32" s="57"/>
      <c r="DRT32" s="57"/>
      <c r="DRU32" s="57"/>
      <c r="DRV32" s="57"/>
      <c r="DRW32" s="57"/>
      <c r="DRX32" s="57"/>
      <c r="DRY32" s="57"/>
      <c r="DRZ32" s="57"/>
      <c r="DSA32" s="57"/>
      <c r="DSB32" s="57"/>
      <c r="DSC32" s="57"/>
      <c r="DSD32" s="57"/>
      <c r="DSE32" s="57"/>
      <c r="DSF32" s="57"/>
      <c r="DSG32" s="57"/>
      <c r="DSH32" s="57"/>
      <c r="DSI32" s="57"/>
      <c r="DSJ32" s="57"/>
      <c r="DSK32" s="57"/>
      <c r="DSL32" s="57"/>
      <c r="DSM32" s="57"/>
      <c r="DSN32" s="57"/>
      <c r="DSO32" s="57"/>
      <c r="DSP32" s="58"/>
      <c r="DSQ32" s="56"/>
      <c r="DSR32" s="57"/>
      <c r="DSS32" s="57"/>
      <c r="DST32" s="57"/>
      <c r="DSU32" s="57"/>
      <c r="DSV32" s="57"/>
      <c r="DSW32" s="56"/>
      <c r="DSX32" s="57"/>
      <c r="DSY32" s="57"/>
      <c r="DSZ32" s="56"/>
      <c r="DTA32" s="57"/>
      <c r="DTB32" s="58"/>
      <c r="DTC32" s="56"/>
      <c r="DTD32" s="57"/>
      <c r="DTE32" s="57"/>
      <c r="DTF32" s="57"/>
      <c r="DTG32" s="56"/>
      <c r="DTH32" s="57"/>
      <c r="DTI32" s="57"/>
      <c r="DTJ32" s="56"/>
      <c r="DTK32" s="57"/>
      <c r="DTL32" s="58"/>
      <c r="DTM32" s="56"/>
      <c r="DTN32" s="57"/>
      <c r="DTO32" s="57"/>
      <c r="DTP32" s="57"/>
      <c r="DTQ32" s="56"/>
      <c r="DTR32" s="57"/>
      <c r="DTS32" s="57"/>
      <c r="DTT32" s="56"/>
      <c r="DTU32" s="57"/>
      <c r="DTV32" s="58"/>
      <c r="DTW32" s="56"/>
      <c r="DTX32" s="57"/>
      <c r="DTY32" s="57"/>
      <c r="DTZ32" s="57"/>
      <c r="DUA32" s="56"/>
      <c r="DUB32" s="57"/>
      <c r="DUC32" s="57"/>
      <c r="DUD32" s="56"/>
      <c r="DUE32" s="57"/>
      <c r="DUF32" s="58"/>
      <c r="DUG32" s="56"/>
      <c r="DUH32" s="58"/>
      <c r="DUI32" s="57"/>
      <c r="DUJ32" s="56"/>
      <c r="DUK32" s="57"/>
      <c r="DUL32" s="56"/>
      <c r="DUM32" s="56"/>
      <c r="DUN32" s="56"/>
      <c r="DUO32" s="57"/>
      <c r="DUP32" s="57"/>
      <c r="DUQ32" s="57"/>
      <c r="DUR32" s="57"/>
      <c r="DUS32" s="57"/>
      <c r="DUT32" s="57"/>
      <c r="DUU32" s="57"/>
      <c r="DUV32" s="57"/>
      <c r="DUW32" s="57"/>
      <c r="DUX32" s="57"/>
      <c r="DUY32" s="57"/>
      <c r="DUZ32" s="57"/>
      <c r="DVA32" s="57"/>
      <c r="DVB32" s="57"/>
      <c r="DVC32" s="57"/>
      <c r="DVD32" s="57"/>
      <c r="DVE32" s="57"/>
      <c r="DVF32" s="57"/>
      <c r="DVG32" s="57"/>
      <c r="DVH32" s="57"/>
      <c r="DVI32" s="57"/>
      <c r="DVJ32" s="57"/>
      <c r="DVK32" s="57"/>
      <c r="DVL32" s="57"/>
      <c r="DVM32" s="57"/>
      <c r="DVN32" s="57"/>
      <c r="DVO32" s="57"/>
      <c r="DVP32" s="57"/>
      <c r="DVQ32" s="57"/>
      <c r="DVR32" s="57"/>
      <c r="DVS32" s="57"/>
      <c r="DVT32" s="57"/>
      <c r="DVU32" s="57"/>
      <c r="DVV32" s="57"/>
      <c r="DVW32" s="57"/>
      <c r="DVX32" s="57"/>
      <c r="DVY32" s="57"/>
      <c r="DVZ32" s="58"/>
      <c r="DWA32" s="56"/>
      <c r="DWB32" s="57"/>
      <c r="DWC32" s="57"/>
      <c r="DWD32" s="57"/>
      <c r="DWE32" s="57"/>
      <c r="DWF32" s="57"/>
      <c r="DWG32" s="56"/>
      <c r="DWH32" s="57"/>
      <c r="DWI32" s="57"/>
      <c r="DWJ32" s="56"/>
      <c r="DWK32" s="57"/>
      <c r="DWL32" s="58"/>
      <c r="DWM32" s="56"/>
      <c r="DWN32" s="57"/>
      <c r="DWO32" s="57"/>
      <c r="DWP32" s="57"/>
      <c r="DWQ32" s="56"/>
      <c r="DWR32" s="57"/>
      <c r="DWS32" s="57"/>
      <c r="DWT32" s="56"/>
      <c r="DWU32" s="57"/>
      <c r="DWV32" s="58"/>
      <c r="DWW32" s="56"/>
      <c r="DWX32" s="57"/>
      <c r="DWY32" s="57"/>
      <c r="DWZ32" s="57"/>
      <c r="DXA32" s="56"/>
      <c r="DXB32" s="57"/>
      <c r="DXC32" s="57"/>
      <c r="DXD32" s="56"/>
      <c r="DXE32" s="57"/>
      <c r="DXF32" s="58"/>
      <c r="DXG32" s="56"/>
      <c r="DXH32" s="57"/>
      <c r="DXI32" s="57"/>
      <c r="DXJ32" s="57"/>
      <c r="DXK32" s="56"/>
      <c r="DXL32" s="57"/>
      <c r="DXM32" s="57"/>
      <c r="DXN32" s="56"/>
      <c r="DXO32" s="57"/>
      <c r="DXP32" s="58"/>
      <c r="DXQ32" s="56"/>
      <c r="DXR32" s="58"/>
      <c r="DXS32" s="57"/>
      <c r="DXT32" s="56"/>
      <c r="DXU32" s="57"/>
      <c r="DXV32" s="56"/>
      <c r="DXW32" s="56"/>
      <c r="DXX32" s="56"/>
      <c r="DXY32" s="57"/>
      <c r="DXZ32" s="57"/>
      <c r="DYA32" s="57"/>
      <c r="DYB32" s="57"/>
      <c r="DYC32" s="57"/>
      <c r="DYD32" s="57"/>
      <c r="DYE32" s="57"/>
      <c r="DYF32" s="57"/>
      <c r="DYG32" s="57"/>
      <c r="DYH32" s="57"/>
      <c r="DYI32" s="57"/>
      <c r="DYJ32" s="57"/>
      <c r="DYK32" s="57"/>
      <c r="DYL32" s="57"/>
      <c r="DYM32" s="57"/>
      <c r="DYN32" s="57"/>
      <c r="DYO32" s="57"/>
      <c r="DYP32" s="57"/>
      <c r="DYQ32" s="57"/>
      <c r="DYR32" s="57"/>
      <c r="DYS32" s="57"/>
      <c r="DYT32" s="57"/>
      <c r="DYU32" s="57"/>
      <c r="DYV32" s="57"/>
      <c r="DYW32" s="57"/>
      <c r="DYX32" s="57"/>
      <c r="DYY32" s="57"/>
      <c r="DYZ32" s="57"/>
      <c r="DZA32" s="57"/>
      <c r="DZB32" s="57"/>
      <c r="DZC32" s="57"/>
      <c r="DZD32" s="57"/>
      <c r="DZE32" s="57"/>
      <c r="DZF32" s="57"/>
      <c r="DZG32" s="57"/>
      <c r="DZH32" s="57"/>
      <c r="DZI32" s="57"/>
      <c r="DZJ32" s="58"/>
      <c r="DZK32" s="56"/>
      <c r="DZL32" s="57"/>
      <c r="DZM32" s="57"/>
      <c r="DZN32" s="57"/>
      <c r="DZO32" s="57"/>
      <c r="DZP32" s="57"/>
      <c r="DZQ32" s="56"/>
      <c r="DZR32" s="57"/>
      <c r="DZS32" s="57"/>
      <c r="DZT32" s="56"/>
      <c r="DZU32" s="57"/>
      <c r="DZV32" s="58"/>
      <c r="DZW32" s="56"/>
      <c r="DZX32" s="57"/>
      <c r="DZY32" s="57"/>
      <c r="DZZ32" s="57"/>
      <c r="EAA32" s="56"/>
      <c r="EAB32" s="57"/>
      <c r="EAC32" s="57"/>
      <c r="EAD32" s="56"/>
      <c r="EAE32" s="57"/>
      <c r="EAF32" s="58"/>
      <c r="EAG32" s="56"/>
      <c r="EAH32" s="57"/>
      <c r="EAI32" s="57"/>
      <c r="EAJ32" s="57"/>
      <c r="EAK32" s="56"/>
      <c r="EAL32" s="57"/>
      <c r="EAM32" s="57"/>
      <c r="EAN32" s="56"/>
      <c r="EAO32" s="57"/>
      <c r="EAP32" s="58"/>
      <c r="EAQ32" s="56"/>
      <c r="EAR32" s="57"/>
      <c r="EAS32" s="57"/>
      <c r="EAT32" s="57"/>
      <c r="EAU32" s="56"/>
      <c r="EAV32" s="57"/>
      <c r="EAW32" s="57"/>
      <c r="EAX32" s="56"/>
      <c r="EAY32" s="57"/>
      <c r="EAZ32" s="58"/>
      <c r="EBA32" s="56"/>
      <c r="EBB32" s="58"/>
      <c r="EBC32" s="57"/>
      <c r="EBD32" s="56"/>
      <c r="EBE32" s="57"/>
      <c r="EBF32" s="56"/>
      <c r="EBG32" s="56"/>
      <c r="EBH32" s="56"/>
      <c r="EBI32" s="57"/>
      <c r="EBJ32" s="57"/>
      <c r="EBK32" s="57"/>
      <c r="EBL32" s="57"/>
      <c r="EBM32" s="57"/>
      <c r="EBN32" s="57"/>
      <c r="EBO32" s="57"/>
      <c r="EBP32" s="57"/>
      <c r="EBQ32" s="57"/>
      <c r="EBR32" s="57"/>
      <c r="EBS32" s="57"/>
      <c r="EBT32" s="57"/>
      <c r="EBU32" s="57"/>
      <c r="EBV32" s="57"/>
      <c r="EBW32" s="57"/>
      <c r="EBX32" s="57"/>
      <c r="EBY32" s="57"/>
      <c r="EBZ32" s="57"/>
      <c r="ECA32" s="57"/>
      <c r="ECB32" s="57"/>
      <c r="ECC32" s="57"/>
      <c r="ECD32" s="57"/>
      <c r="ECE32" s="57"/>
      <c r="ECF32" s="57"/>
      <c r="ECG32" s="57"/>
      <c r="ECH32" s="57"/>
      <c r="ECI32" s="57"/>
      <c r="ECJ32" s="57"/>
      <c r="ECK32" s="57"/>
      <c r="ECL32" s="57"/>
      <c r="ECM32" s="57"/>
      <c r="ECN32" s="57"/>
      <c r="ECO32" s="57"/>
      <c r="ECP32" s="57"/>
      <c r="ECQ32" s="57"/>
      <c r="ECR32" s="57"/>
      <c r="ECS32" s="57"/>
      <c r="ECT32" s="58"/>
      <c r="ECU32" s="56"/>
      <c r="ECV32" s="57"/>
      <c r="ECW32" s="57"/>
      <c r="ECX32" s="57"/>
      <c r="ECY32" s="57"/>
      <c r="ECZ32" s="57"/>
      <c r="EDA32" s="56"/>
      <c r="EDB32" s="57"/>
      <c r="EDC32" s="57"/>
      <c r="EDD32" s="56"/>
      <c r="EDE32" s="57"/>
      <c r="EDF32" s="58"/>
      <c r="EDG32" s="56"/>
      <c r="EDH32" s="57"/>
      <c r="EDI32" s="57"/>
      <c r="EDJ32" s="57"/>
      <c r="EDK32" s="56"/>
      <c r="EDL32" s="57"/>
      <c r="EDM32" s="57"/>
      <c r="EDN32" s="56"/>
      <c r="EDO32" s="57"/>
      <c r="EDP32" s="58"/>
      <c r="EDQ32" s="56"/>
      <c r="EDR32" s="57"/>
      <c r="EDS32" s="57"/>
      <c r="EDT32" s="57"/>
      <c r="EDU32" s="56"/>
      <c r="EDV32" s="57"/>
      <c r="EDW32" s="57"/>
      <c r="EDX32" s="56"/>
      <c r="EDY32" s="57"/>
      <c r="EDZ32" s="58"/>
      <c r="EEA32" s="56"/>
      <c r="EEB32" s="57"/>
      <c r="EEC32" s="57"/>
      <c r="EED32" s="57"/>
      <c r="EEE32" s="56"/>
      <c r="EEF32" s="57"/>
      <c r="EEG32" s="57"/>
      <c r="EEH32" s="56"/>
      <c r="EEI32" s="57"/>
      <c r="EEJ32" s="58"/>
      <c r="EEK32" s="56"/>
      <c r="EEL32" s="58"/>
      <c r="EEM32" s="57"/>
      <c r="EEN32" s="56"/>
      <c r="EEO32" s="57"/>
      <c r="EEP32" s="56"/>
      <c r="EEQ32" s="56"/>
      <c r="EER32" s="56"/>
      <c r="EES32" s="57"/>
      <c r="EET32" s="57"/>
      <c r="EEU32" s="57"/>
      <c r="EEV32" s="57"/>
      <c r="EEW32" s="57"/>
      <c r="EEX32" s="57"/>
      <c r="EEY32" s="57"/>
      <c r="EEZ32" s="57"/>
      <c r="EFA32" s="57"/>
      <c r="EFB32" s="57"/>
      <c r="EFC32" s="57"/>
      <c r="EFD32" s="57"/>
      <c r="EFE32" s="57"/>
      <c r="EFF32" s="57"/>
      <c r="EFG32" s="57"/>
      <c r="EFH32" s="57"/>
      <c r="EFI32" s="57"/>
      <c r="EFJ32" s="57"/>
      <c r="EFK32" s="57"/>
      <c r="EFL32" s="57"/>
      <c r="EFM32" s="57"/>
      <c r="EFN32" s="57"/>
      <c r="EFO32" s="57"/>
      <c r="EFP32" s="57"/>
      <c r="EFQ32" s="57"/>
      <c r="EFR32" s="57"/>
      <c r="EFS32" s="57"/>
      <c r="EFT32" s="57"/>
      <c r="EFU32" s="57"/>
      <c r="EFV32" s="57"/>
      <c r="EFW32" s="57"/>
      <c r="EFX32" s="57"/>
      <c r="EFY32" s="57"/>
      <c r="EFZ32" s="57"/>
      <c r="EGA32" s="57"/>
      <c r="EGB32" s="57"/>
      <c r="EGC32" s="57"/>
      <c r="EGD32" s="58"/>
      <c r="EGE32" s="56"/>
      <c r="EGF32" s="57"/>
      <c r="EGG32" s="57"/>
      <c r="EGH32" s="57"/>
      <c r="EGI32" s="57"/>
      <c r="EGJ32" s="57"/>
      <c r="EGK32" s="56"/>
      <c r="EGL32" s="57"/>
      <c r="EGM32" s="57"/>
      <c r="EGN32" s="56"/>
      <c r="EGO32" s="57"/>
      <c r="EGP32" s="58"/>
      <c r="EGQ32" s="56"/>
      <c r="EGR32" s="57"/>
      <c r="EGS32" s="57"/>
      <c r="EGT32" s="57"/>
      <c r="EGU32" s="56"/>
      <c r="EGV32" s="57"/>
      <c r="EGW32" s="57"/>
      <c r="EGX32" s="56"/>
      <c r="EGY32" s="57"/>
      <c r="EGZ32" s="58"/>
      <c r="EHA32" s="56"/>
      <c r="EHB32" s="57"/>
      <c r="EHC32" s="57"/>
      <c r="EHD32" s="57"/>
      <c r="EHE32" s="56"/>
      <c r="EHF32" s="57"/>
      <c r="EHG32" s="57"/>
      <c r="EHH32" s="56"/>
      <c r="EHI32" s="57"/>
      <c r="EHJ32" s="58"/>
      <c r="EHK32" s="56"/>
      <c r="EHL32" s="57"/>
      <c r="EHM32" s="57"/>
      <c r="EHN32" s="57"/>
      <c r="EHO32" s="56"/>
      <c r="EHP32" s="57"/>
      <c r="EHQ32" s="57"/>
      <c r="EHR32" s="56"/>
      <c r="EHS32" s="57"/>
      <c r="EHT32" s="58"/>
      <c r="EHU32" s="56"/>
      <c r="EHV32" s="58"/>
      <c r="EHW32" s="57"/>
      <c r="EHX32" s="56"/>
      <c r="EHY32" s="57"/>
      <c r="EHZ32" s="56"/>
      <c r="EIA32" s="56"/>
      <c r="EIB32" s="56"/>
      <c r="EIC32" s="57"/>
      <c r="EID32" s="57"/>
      <c r="EIE32" s="57"/>
      <c r="EIF32" s="57"/>
      <c r="EIG32" s="57"/>
      <c r="EIH32" s="57"/>
      <c r="EII32" s="57"/>
      <c r="EIJ32" s="57"/>
      <c r="EIK32" s="57"/>
      <c r="EIL32" s="57"/>
      <c r="EIM32" s="57"/>
      <c r="EIN32" s="57"/>
      <c r="EIO32" s="57"/>
      <c r="EIP32" s="57"/>
      <c r="EIQ32" s="57"/>
      <c r="EIR32" s="57"/>
      <c r="EIS32" s="57"/>
      <c r="EIT32" s="57"/>
      <c r="EIU32" s="57"/>
      <c r="EIV32" s="57"/>
      <c r="EIW32" s="57"/>
      <c r="EIX32" s="57"/>
      <c r="EIY32" s="57"/>
      <c r="EIZ32" s="57"/>
      <c r="EJA32" s="57"/>
      <c r="EJB32" s="57"/>
      <c r="EJC32" s="57"/>
      <c r="EJD32" s="57"/>
      <c r="EJE32" s="57"/>
      <c r="EJF32" s="57"/>
      <c r="EJG32" s="57"/>
      <c r="EJH32" s="57"/>
      <c r="EJI32" s="57"/>
      <c r="EJJ32" s="57"/>
      <c r="EJK32" s="57"/>
      <c r="EJL32" s="57"/>
      <c r="EJM32" s="57"/>
      <c r="EJN32" s="58"/>
      <c r="EJO32" s="56"/>
      <c r="EJP32" s="57"/>
      <c r="EJQ32" s="57"/>
      <c r="EJR32" s="57"/>
      <c r="EJS32" s="57"/>
      <c r="EJT32" s="57"/>
      <c r="EJU32" s="56"/>
      <c r="EJV32" s="57"/>
      <c r="EJW32" s="57"/>
      <c r="EJX32" s="56"/>
      <c r="EJY32" s="57"/>
      <c r="EJZ32" s="58"/>
      <c r="EKA32" s="56"/>
      <c r="EKB32" s="57"/>
      <c r="EKC32" s="57"/>
      <c r="EKD32" s="57"/>
      <c r="EKE32" s="56"/>
      <c r="EKF32" s="57"/>
      <c r="EKG32" s="57"/>
      <c r="EKH32" s="56"/>
      <c r="EKI32" s="57"/>
      <c r="EKJ32" s="58"/>
      <c r="EKK32" s="56"/>
      <c r="EKL32" s="57"/>
      <c r="EKM32" s="57"/>
      <c r="EKN32" s="57"/>
      <c r="EKO32" s="56"/>
      <c r="EKP32" s="57"/>
      <c r="EKQ32" s="57"/>
      <c r="EKR32" s="56"/>
      <c r="EKS32" s="57"/>
      <c r="EKT32" s="58"/>
      <c r="EKU32" s="56"/>
      <c r="EKV32" s="57"/>
      <c r="EKW32" s="57"/>
      <c r="EKX32" s="57"/>
      <c r="EKY32" s="56"/>
      <c r="EKZ32" s="57"/>
      <c r="ELA32" s="57"/>
      <c r="ELB32" s="56"/>
      <c r="ELC32" s="57"/>
      <c r="ELD32" s="58"/>
      <c r="ELE32" s="56"/>
      <c r="ELF32" s="58"/>
      <c r="ELG32" s="57"/>
      <c r="ELH32" s="56"/>
      <c r="ELI32" s="57"/>
      <c r="ELJ32" s="56"/>
      <c r="ELK32" s="56"/>
      <c r="ELL32" s="56"/>
      <c r="ELM32" s="57"/>
      <c r="ELN32" s="57"/>
      <c r="ELO32" s="57"/>
      <c r="ELP32" s="57"/>
      <c r="ELQ32" s="57"/>
      <c r="ELR32" s="57"/>
      <c r="ELS32" s="57"/>
      <c r="ELT32" s="57"/>
      <c r="ELU32" s="57"/>
      <c r="ELV32" s="57"/>
      <c r="ELW32" s="57"/>
      <c r="ELX32" s="57"/>
      <c r="ELY32" s="57"/>
      <c r="ELZ32" s="57"/>
      <c r="EMA32" s="57"/>
      <c r="EMB32" s="57"/>
      <c r="EMC32" s="57"/>
      <c r="EMD32" s="57"/>
      <c r="EME32" s="57"/>
      <c r="EMF32" s="57"/>
      <c r="EMG32" s="57"/>
      <c r="EMH32" s="57"/>
      <c r="EMI32" s="57"/>
      <c r="EMJ32" s="57"/>
      <c r="EMK32" s="57"/>
      <c r="EML32" s="57"/>
      <c r="EMM32" s="57"/>
      <c r="EMN32" s="57"/>
      <c r="EMO32" s="57"/>
      <c r="EMP32" s="57"/>
      <c r="EMQ32" s="57"/>
      <c r="EMR32" s="57"/>
      <c r="EMS32" s="57"/>
      <c r="EMT32" s="57"/>
      <c r="EMU32" s="57"/>
      <c r="EMV32" s="57"/>
      <c r="EMW32" s="57"/>
      <c r="EMX32" s="58"/>
      <c r="EMY32" s="56"/>
      <c r="EMZ32" s="57"/>
      <c r="ENA32" s="57"/>
      <c r="ENB32" s="57"/>
      <c r="ENC32" s="57"/>
      <c r="END32" s="57"/>
      <c r="ENE32" s="56"/>
      <c r="ENF32" s="57"/>
      <c r="ENG32" s="57"/>
      <c r="ENH32" s="56"/>
      <c r="ENI32" s="57"/>
      <c r="ENJ32" s="58"/>
      <c r="ENK32" s="56"/>
      <c r="ENL32" s="57"/>
      <c r="ENM32" s="57"/>
      <c r="ENN32" s="57"/>
      <c r="ENO32" s="56"/>
      <c r="ENP32" s="57"/>
      <c r="ENQ32" s="57"/>
      <c r="ENR32" s="56"/>
      <c r="ENS32" s="57"/>
      <c r="ENT32" s="58"/>
      <c r="ENU32" s="56"/>
      <c r="ENV32" s="57"/>
      <c r="ENW32" s="57"/>
      <c r="ENX32" s="57"/>
      <c r="ENY32" s="56"/>
      <c r="ENZ32" s="57"/>
      <c r="EOA32" s="57"/>
      <c r="EOB32" s="56"/>
      <c r="EOC32" s="57"/>
      <c r="EOD32" s="58"/>
      <c r="EOE32" s="56"/>
      <c r="EOF32" s="57"/>
      <c r="EOG32" s="57"/>
      <c r="EOH32" s="57"/>
      <c r="EOI32" s="56"/>
      <c r="EOJ32" s="57"/>
      <c r="EOK32" s="57"/>
      <c r="EOL32" s="56"/>
      <c r="EOM32" s="57">
        <v>38529</v>
      </c>
      <c r="EON32" s="58" t="s">
        <v>5578</v>
      </c>
      <c r="EOO32" s="56" t="str">
        <f t="shared" si="75"/>
        <v xml:space="preserve"> </v>
      </c>
    </row>
    <row r="33" spans="1:3785" x14ac:dyDescent="0.3">
      <c r="A33" s="27" t="s">
        <v>211</v>
      </c>
      <c r="B33" s="30"/>
      <c r="C33" s="29"/>
      <c r="D33" s="28" t="str">
        <f t="shared" si="61"/>
        <v xml:space="preserve"> </v>
      </c>
      <c r="E33" s="29"/>
      <c r="F33" s="28"/>
      <c r="G33" s="28"/>
      <c r="H33" s="28"/>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30"/>
      <c r="AU33" s="28"/>
      <c r="AV33" s="29"/>
      <c r="AW33" s="29"/>
      <c r="AX33" s="29"/>
      <c r="AY33" s="29"/>
      <c r="AZ33" s="29"/>
      <c r="BA33" s="28"/>
      <c r="BB33" s="29"/>
      <c r="BC33" s="29"/>
      <c r="BD33" s="28"/>
      <c r="BE33" s="29"/>
      <c r="BF33" s="30"/>
      <c r="BG33" s="28"/>
      <c r="BH33" s="29"/>
      <c r="BI33" s="29"/>
      <c r="BJ33" s="29"/>
      <c r="BK33" s="28"/>
      <c r="BL33" s="29"/>
      <c r="BM33" s="29"/>
      <c r="BN33" s="28"/>
      <c r="BO33" s="29"/>
      <c r="BP33" s="30"/>
      <c r="BQ33" s="28"/>
      <c r="BR33" s="29"/>
      <c r="BS33" s="29"/>
      <c r="BT33" s="29"/>
      <c r="BU33" s="28"/>
      <c r="BV33" s="29"/>
      <c r="BW33" s="29"/>
      <c r="BX33" s="28"/>
      <c r="BY33" s="29"/>
      <c r="BZ33" s="30"/>
      <c r="CA33" s="28"/>
      <c r="CB33" s="29"/>
      <c r="CC33" s="29"/>
      <c r="CD33" s="29"/>
      <c r="CE33" s="28"/>
      <c r="CF33" s="29"/>
      <c r="CG33" s="29"/>
      <c r="CH33" s="28"/>
      <c r="CI33" s="29"/>
      <c r="CJ33" s="30"/>
      <c r="CK33" s="28"/>
      <c r="CL33" s="29"/>
      <c r="CM33" s="29"/>
      <c r="CN33" s="29"/>
      <c r="CO33" s="28"/>
      <c r="CP33" s="29"/>
      <c r="CQ33" s="29"/>
      <c r="CR33" s="28"/>
      <c r="CS33" s="29"/>
      <c r="CT33" s="30"/>
      <c r="CU33" s="28"/>
      <c r="CV33" s="29"/>
      <c r="CW33" s="29"/>
      <c r="CX33" s="29"/>
      <c r="CY33" s="28"/>
      <c r="CZ33" s="29"/>
      <c r="DA33" s="29"/>
      <c r="DB33" s="28"/>
      <c r="DC33" s="29"/>
      <c r="DD33" s="30"/>
      <c r="DE33" s="28"/>
      <c r="DF33" s="29"/>
      <c r="DG33" s="29"/>
      <c r="DH33" s="29"/>
      <c r="DI33" s="28"/>
      <c r="DJ33" s="29"/>
      <c r="DK33" s="29"/>
      <c r="DL33" s="28"/>
      <c r="DM33" s="29"/>
      <c r="DN33" s="30"/>
      <c r="DO33" s="28"/>
      <c r="DP33" s="29"/>
      <c r="DQ33" s="29"/>
      <c r="DR33" s="29"/>
      <c r="DS33" s="28"/>
      <c r="DT33" s="29"/>
      <c r="DU33" s="29"/>
      <c r="DV33" s="28"/>
      <c r="DW33" s="29"/>
      <c r="DX33" s="30"/>
      <c r="DY33" s="28"/>
      <c r="DZ33" s="29"/>
      <c r="EA33" s="29"/>
      <c r="EB33" s="29"/>
      <c r="EC33" s="28"/>
      <c r="ED33" s="29"/>
      <c r="EE33" s="28"/>
      <c r="EF33" s="28"/>
      <c r="EG33" s="29"/>
      <c r="EH33" s="30"/>
      <c r="EI33" s="28"/>
      <c r="EJ33" s="29"/>
      <c r="EK33" s="29"/>
      <c r="EL33" s="29"/>
      <c r="EM33" s="28"/>
      <c r="EN33" s="29"/>
      <c r="EO33" s="33"/>
      <c r="EP33" s="28"/>
      <c r="EQ33" s="29"/>
      <c r="ER33" s="30"/>
      <c r="ES33" s="28"/>
      <c r="ET33" s="29"/>
      <c r="EU33" s="29"/>
      <c r="EV33" s="29"/>
      <c r="EW33" s="28"/>
      <c r="EX33" s="29"/>
      <c r="EY33" s="29"/>
      <c r="EZ33" s="28"/>
      <c r="FA33" s="29"/>
      <c r="FB33" s="30"/>
      <c r="FC33" s="28"/>
      <c r="FD33" s="29"/>
      <c r="FE33" s="29"/>
      <c r="FF33" s="29"/>
      <c r="FG33" s="28"/>
      <c r="FH33" s="29"/>
      <c r="FI33" s="29"/>
      <c r="FJ33" s="28"/>
      <c r="FK33" s="29"/>
      <c r="FL33" s="30"/>
      <c r="FM33" s="28"/>
      <c r="FN33" s="29"/>
      <c r="FO33" s="29"/>
      <c r="FP33" s="29"/>
      <c r="FQ33" s="28"/>
      <c r="FR33" s="29"/>
      <c r="FS33" s="29"/>
      <c r="FT33" s="28"/>
      <c r="FU33" s="29"/>
      <c r="FV33" s="30"/>
      <c r="FW33" s="28"/>
      <c r="FX33" s="29"/>
      <c r="FY33" s="29"/>
      <c r="FZ33" s="29"/>
      <c r="GA33" s="28"/>
      <c r="GB33" s="29"/>
      <c r="GC33" s="29"/>
      <c r="GD33" s="28"/>
      <c r="GE33" s="29"/>
      <c r="GF33" s="30"/>
      <c r="GG33" s="28"/>
      <c r="GH33" s="29"/>
      <c r="GI33" s="29"/>
      <c r="GJ33" s="29"/>
      <c r="GK33" s="28"/>
      <c r="GL33" s="29"/>
      <c r="GM33" s="29"/>
      <c r="GN33" s="28"/>
      <c r="GO33" s="29"/>
      <c r="GP33" s="30"/>
      <c r="GQ33" s="28"/>
      <c r="GR33" s="29"/>
      <c r="GS33" s="29"/>
      <c r="GT33" s="29"/>
      <c r="GU33" s="28"/>
      <c r="GV33" s="29"/>
      <c r="GW33" s="29"/>
      <c r="GX33" s="28"/>
      <c r="GY33" s="29"/>
      <c r="GZ33" s="30"/>
      <c r="HA33" s="28"/>
      <c r="HB33" s="29"/>
      <c r="HC33" s="29"/>
      <c r="HD33" s="29"/>
      <c r="HE33" s="28"/>
      <c r="HF33" s="29"/>
      <c r="HG33" s="29"/>
      <c r="HH33" s="28"/>
      <c r="HI33" s="29"/>
      <c r="HJ33" s="30"/>
      <c r="HK33" s="28"/>
      <c r="HL33" s="29"/>
      <c r="HM33" s="29"/>
      <c r="HN33" s="29"/>
      <c r="HO33" s="28"/>
      <c r="HP33" s="29"/>
      <c r="HQ33" s="29"/>
      <c r="HR33" s="28"/>
      <c r="HS33" s="29"/>
      <c r="HT33" s="30"/>
      <c r="HU33" s="28"/>
      <c r="HV33" s="29"/>
      <c r="HW33" s="29"/>
      <c r="HX33" s="29"/>
      <c r="HY33" s="28"/>
      <c r="HZ33" s="29"/>
      <c r="IA33" s="29"/>
      <c r="IB33" s="28"/>
      <c r="IC33" s="29"/>
      <c r="ID33" s="30"/>
      <c r="IE33" s="28"/>
      <c r="IF33" s="29"/>
      <c r="IG33" s="29"/>
      <c r="IH33" s="29"/>
      <c r="II33" s="28"/>
      <c r="IJ33" s="29"/>
      <c r="IK33" s="29"/>
      <c r="IL33" s="28"/>
      <c r="IM33" s="29"/>
      <c r="IN33" s="30"/>
      <c r="IO33" s="28"/>
      <c r="IP33" s="29"/>
      <c r="IQ33" s="29"/>
      <c r="IR33" s="29"/>
      <c r="IS33" s="28"/>
      <c r="IT33" s="29"/>
      <c r="IU33" s="29"/>
      <c r="IV33" s="28"/>
      <c r="IW33" s="29"/>
      <c r="IX33" s="30"/>
      <c r="IY33" s="28"/>
      <c r="IZ33" s="29"/>
      <c r="JA33" s="29"/>
      <c r="JB33" s="29"/>
      <c r="JC33" s="28"/>
      <c r="JD33" s="29"/>
      <c r="JE33" s="29"/>
      <c r="JF33" s="28"/>
      <c r="JG33" s="29"/>
      <c r="JH33" s="30"/>
      <c r="JI33" s="28"/>
      <c r="JJ33" s="29"/>
      <c r="JK33" s="29"/>
      <c r="JL33" s="29"/>
      <c r="JM33" s="28"/>
      <c r="JN33" s="29"/>
      <c r="JO33" s="29"/>
      <c r="JP33" s="28"/>
      <c r="JQ33" s="29"/>
      <c r="JR33" s="30"/>
      <c r="JS33" s="28"/>
      <c r="JT33" s="29"/>
      <c r="JU33" s="29"/>
      <c r="JV33" s="29"/>
      <c r="JW33" s="28"/>
      <c r="JX33" s="29"/>
      <c r="JY33" s="29"/>
      <c r="JZ33" s="28"/>
      <c r="KA33" s="29"/>
      <c r="KB33" s="30"/>
      <c r="KC33" s="28"/>
      <c r="KD33" s="29"/>
      <c r="KE33" s="29"/>
      <c r="KF33" s="29"/>
      <c r="KG33" s="28"/>
      <c r="KH33" s="29"/>
      <c r="KI33" s="29"/>
      <c r="KJ33" s="28"/>
      <c r="KK33" s="29"/>
      <c r="KL33" s="30"/>
      <c r="KM33" s="28"/>
      <c r="KN33" s="29"/>
      <c r="KO33" s="29"/>
      <c r="KP33" s="29"/>
      <c r="KQ33" s="28"/>
      <c r="KR33" s="29"/>
      <c r="KS33" s="29"/>
      <c r="KT33" s="28"/>
      <c r="KU33" s="29"/>
      <c r="KV33" s="30"/>
      <c r="KW33" s="28"/>
      <c r="KX33" s="29"/>
      <c r="KY33" s="29"/>
      <c r="KZ33" s="29"/>
      <c r="LA33" s="28"/>
      <c r="LB33" s="29"/>
      <c r="LC33" s="29"/>
      <c r="LD33" s="28"/>
      <c r="LE33" s="29"/>
      <c r="LF33" s="30"/>
      <c r="LG33" s="28"/>
      <c r="LH33" s="29"/>
      <c r="LI33" s="29"/>
      <c r="LJ33" s="29"/>
      <c r="LK33" s="28"/>
      <c r="LL33" s="29"/>
      <c r="LM33" s="29"/>
      <c r="LN33" s="28"/>
      <c r="LO33" s="29"/>
      <c r="LP33" s="30"/>
      <c r="LQ33" s="28"/>
      <c r="LR33" s="29"/>
      <c r="LS33" s="29"/>
      <c r="LT33" s="29"/>
      <c r="LU33" s="28"/>
      <c r="LV33" s="29"/>
      <c r="LW33" s="29"/>
      <c r="LX33" s="28"/>
      <c r="LY33" s="29"/>
      <c r="LZ33" s="30"/>
      <c r="MA33" s="28"/>
      <c r="MB33" s="29"/>
      <c r="MC33" s="29"/>
      <c r="MD33" s="29"/>
      <c r="ME33" s="28"/>
      <c r="MF33" s="29"/>
      <c r="MG33" s="29"/>
      <c r="MH33" s="28"/>
      <c r="MI33" s="29"/>
      <c r="MJ33" s="30"/>
      <c r="MK33" s="28"/>
      <c r="ML33" s="29"/>
      <c r="MM33" s="29"/>
      <c r="MN33" s="29"/>
      <c r="MO33" s="28"/>
      <c r="MP33" s="29"/>
      <c r="MQ33" s="29"/>
      <c r="MR33" s="28"/>
      <c r="MS33" s="29"/>
      <c r="MT33" s="30"/>
      <c r="MU33" s="28"/>
      <c r="MV33" s="29"/>
      <c r="MW33" s="29"/>
      <c r="MX33" s="29"/>
      <c r="MY33" s="28"/>
      <c r="MZ33" s="29"/>
      <c r="NA33" s="29"/>
      <c r="NB33" s="28"/>
      <c r="NC33" s="29"/>
      <c r="ND33" s="30"/>
      <c r="NE33" s="28"/>
      <c r="NF33" s="29"/>
      <c r="NG33" s="29"/>
      <c r="NH33" s="29"/>
      <c r="NI33" s="28"/>
      <c r="NJ33" s="29"/>
      <c r="NK33" s="29"/>
      <c r="NL33" s="28"/>
      <c r="NM33" s="29"/>
      <c r="NN33" s="30"/>
      <c r="NO33" s="28"/>
      <c r="NP33" s="29"/>
      <c r="NQ33" s="29"/>
      <c r="NR33" s="29"/>
      <c r="NS33" s="28"/>
      <c r="NT33" s="29"/>
      <c r="NU33" s="29"/>
      <c r="NV33" s="28"/>
      <c r="NW33" s="29"/>
      <c r="NX33" s="30"/>
      <c r="NY33" s="28"/>
      <c r="NZ33" s="29"/>
      <c r="OA33" s="29"/>
      <c r="OB33" s="29"/>
      <c r="OC33" s="28"/>
      <c r="OD33" s="29"/>
      <c r="OE33" s="29"/>
      <c r="OF33" s="30"/>
      <c r="OG33" s="30"/>
      <c r="OH33" s="30"/>
      <c r="OI33" s="28"/>
      <c r="OJ33" s="30"/>
      <c r="OK33" s="30"/>
      <c r="OL33" s="30"/>
      <c r="OM33" s="30"/>
      <c r="ON33" s="30"/>
      <c r="OO33" s="30"/>
      <c r="OP33" s="28"/>
      <c r="OQ33" s="29"/>
      <c r="OR33" s="30"/>
      <c r="OS33" s="28"/>
      <c r="OT33" s="29"/>
      <c r="OU33" s="29"/>
      <c r="OV33" s="29"/>
      <c r="OW33" s="28"/>
      <c r="OX33" s="29"/>
      <c r="OY33" s="29"/>
      <c r="OZ33" s="28"/>
      <c r="PA33" s="29"/>
      <c r="PB33" s="30"/>
      <c r="PC33" s="28"/>
      <c r="PD33" s="29"/>
      <c r="PE33" s="29"/>
      <c r="PF33" s="29"/>
      <c r="PG33" s="28"/>
      <c r="PH33" s="29"/>
      <c r="PI33" s="29"/>
      <c r="PJ33" s="28"/>
      <c r="PK33" s="29"/>
      <c r="PL33" s="30"/>
      <c r="PM33" s="28"/>
      <c r="PN33" s="29"/>
      <c r="PO33" s="29"/>
      <c r="PP33" s="29"/>
      <c r="PQ33" s="28"/>
      <c r="PR33" s="29"/>
      <c r="PS33" s="29"/>
      <c r="PT33" s="28"/>
      <c r="PU33" s="29"/>
      <c r="PV33" s="30"/>
      <c r="PW33" s="28"/>
      <c r="PX33" s="29"/>
      <c r="PY33" s="29"/>
      <c r="PZ33" s="29"/>
      <c r="QA33" s="28"/>
      <c r="QB33" s="29"/>
      <c r="QC33" s="29"/>
      <c r="QD33" s="28"/>
      <c r="QE33" s="29"/>
      <c r="QF33" s="30"/>
      <c r="QG33" s="28"/>
      <c r="QH33" s="29"/>
      <c r="QI33" s="29"/>
      <c r="QJ33" s="29"/>
      <c r="QK33" s="28"/>
      <c r="QL33" s="29"/>
      <c r="QM33" s="29"/>
      <c r="QN33" s="28"/>
      <c r="QO33" s="29"/>
      <c r="QP33" s="30"/>
      <c r="QQ33" s="28"/>
      <c r="QR33" s="29"/>
      <c r="QS33" s="29"/>
      <c r="QT33" s="29"/>
      <c r="QU33" s="28"/>
      <c r="QV33" s="29"/>
      <c r="QW33" s="29"/>
      <c r="QX33" s="28"/>
      <c r="QY33" s="29"/>
      <c r="QZ33" s="30"/>
      <c r="RA33" s="28"/>
      <c r="RB33" s="29"/>
      <c r="RC33" s="29"/>
      <c r="RD33" s="29"/>
      <c r="RE33" s="28"/>
      <c r="RF33" s="29"/>
      <c r="RG33" s="29"/>
      <c r="RH33" s="28"/>
      <c r="RI33" s="29"/>
      <c r="RJ33" s="30"/>
      <c r="RK33" s="28"/>
      <c r="RL33" s="29"/>
      <c r="RM33" s="29"/>
      <c r="RN33" s="29"/>
      <c r="RO33" s="28"/>
      <c r="RP33" s="29"/>
      <c r="RQ33" s="29"/>
      <c r="RR33" s="28"/>
      <c r="RS33" s="29"/>
      <c r="RT33" s="30"/>
      <c r="RU33" s="28"/>
      <c r="RV33" s="29"/>
      <c r="RW33" s="29"/>
      <c r="RX33" s="29"/>
      <c r="RY33" s="28"/>
      <c r="RZ33" s="29"/>
      <c r="SA33" s="29"/>
      <c r="SB33" s="28"/>
      <c r="SC33" s="29"/>
      <c r="SD33" s="30"/>
      <c r="SE33" s="28"/>
      <c r="SF33" s="29"/>
      <c r="SG33" s="29"/>
      <c r="SH33" s="29"/>
      <c r="SI33" s="28"/>
      <c r="SJ33" s="29"/>
      <c r="SK33" s="29"/>
      <c r="SL33" s="28"/>
      <c r="SM33" s="29"/>
      <c r="SN33" s="30"/>
      <c r="SO33" s="28"/>
      <c r="SP33" s="29"/>
      <c r="SQ33" s="29"/>
      <c r="SR33" s="29"/>
      <c r="SS33" s="28"/>
      <c r="ST33" s="29"/>
      <c r="SU33" s="29"/>
      <c r="SV33" s="28"/>
      <c r="SW33" s="29"/>
      <c r="SX33" s="30"/>
      <c r="SY33" s="28"/>
      <c r="SZ33" s="29"/>
      <c r="TA33" s="29"/>
      <c r="TB33" s="29"/>
      <c r="TC33" s="28"/>
      <c r="TD33" s="29"/>
      <c r="TE33" s="29"/>
      <c r="TF33" s="28"/>
      <c r="TG33" s="29"/>
      <c r="TH33" s="30"/>
      <c r="TI33" s="28"/>
      <c r="TJ33" s="29"/>
      <c r="TK33" s="29"/>
      <c r="TL33" s="29"/>
      <c r="TM33" s="28"/>
      <c r="TN33" s="29"/>
      <c r="TO33" s="29"/>
      <c r="TP33" s="28"/>
      <c r="TQ33" s="29"/>
      <c r="TR33" s="30"/>
      <c r="TS33" s="28"/>
      <c r="TT33" s="29"/>
      <c r="TU33" s="29"/>
      <c r="TV33" s="29"/>
      <c r="TW33" s="28"/>
      <c r="TX33" s="29"/>
      <c r="TY33" s="29"/>
      <c r="TZ33" s="28"/>
      <c r="UA33" s="29"/>
      <c r="UB33" s="30"/>
      <c r="UC33" s="28"/>
      <c r="UD33" s="29"/>
      <c r="UE33" s="29"/>
      <c r="UF33" s="29"/>
      <c r="UG33" s="28"/>
      <c r="UH33" s="29"/>
      <c r="UI33" s="29"/>
      <c r="UJ33" s="28"/>
      <c r="UK33" s="29"/>
      <c r="UL33" s="30"/>
      <c r="UM33" s="28"/>
      <c r="UN33" s="29"/>
      <c r="UO33" s="29"/>
      <c r="UP33" s="29"/>
      <c r="UQ33" s="28"/>
      <c r="UR33" s="29"/>
      <c r="US33" s="29"/>
      <c r="UT33" s="28"/>
      <c r="UU33" s="29"/>
      <c r="UV33" s="30"/>
      <c r="UW33" s="28"/>
      <c r="UX33" s="29"/>
      <c r="UY33" s="29"/>
      <c r="UZ33" s="29"/>
      <c r="VA33" s="28"/>
      <c r="VB33" s="29"/>
      <c r="VC33" s="29"/>
      <c r="VD33" s="28"/>
      <c r="VE33" s="29"/>
      <c r="VF33" s="30"/>
      <c r="VG33" s="28"/>
      <c r="VH33" s="29"/>
      <c r="VI33" s="29"/>
      <c r="VJ33" s="29"/>
      <c r="VK33" s="28"/>
      <c r="VL33" s="29"/>
      <c r="VM33" s="29"/>
      <c r="VN33" s="28"/>
      <c r="VO33" s="29"/>
      <c r="VP33" s="30"/>
      <c r="VQ33" s="28"/>
      <c r="VR33" s="29"/>
      <c r="VS33" s="29"/>
      <c r="VT33" s="29"/>
      <c r="VU33" s="28"/>
      <c r="VV33" s="29"/>
      <c r="VW33" s="29"/>
      <c r="VX33" s="28"/>
      <c r="VY33" s="29"/>
      <c r="VZ33" s="30"/>
      <c r="WA33" s="28"/>
      <c r="WB33" s="29"/>
      <c r="WC33" s="29"/>
      <c r="WD33" s="29"/>
      <c r="WE33" s="28"/>
      <c r="WF33" s="29"/>
      <c r="WG33" s="29"/>
      <c r="WH33" s="28"/>
      <c r="WI33" s="29"/>
      <c r="WJ33" s="30"/>
      <c r="WK33" s="28"/>
      <c r="WL33" s="29"/>
      <c r="WM33" s="29"/>
      <c r="WN33" s="29"/>
      <c r="WO33" s="28"/>
      <c r="WP33" s="29"/>
      <c r="WQ33" s="29"/>
      <c r="WR33" s="28"/>
      <c r="WS33" s="29"/>
      <c r="WT33" s="30"/>
      <c r="WU33" s="28"/>
      <c r="WV33" s="29"/>
      <c r="WW33" s="29"/>
      <c r="WX33" s="29"/>
      <c r="WY33" s="28"/>
      <c r="WZ33" s="29"/>
      <c r="XA33" s="29"/>
      <c r="XB33" s="28"/>
      <c r="XC33" s="29"/>
      <c r="XD33" s="30"/>
      <c r="XE33" s="28"/>
      <c r="XF33" s="29"/>
      <c r="XG33" s="29"/>
      <c r="XH33" s="29"/>
      <c r="XI33" s="28"/>
      <c r="XJ33" s="29"/>
      <c r="XK33" s="29"/>
      <c r="XL33" s="28"/>
      <c r="XM33" s="29"/>
      <c r="XN33" s="30"/>
      <c r="XO33" s="28"/>
      <c r="XP33" s="29"/>
      <c r="XQ33" s="29"/>
      <c r="XR33" s="29"/>
      <c r="XS33" s="28"/>
      <c r="XT33" s="29"/>
      <c r="XU33" s="29"/>
      <c r="XV33" s="28"/>
      <c r="XW33" s="29"/>
      <c r="XX33" s="30"/>
      <c r="XY33" s="28"/>
      <c r="XZ33" s="29"/>
      <c r="YA33" s="29"/>
      <c r="YB33" s="29"/>
      <c r="YC33" s="28"/>
      <c r="YD33" s="29"/>
      <c r="YE33" s="29"/>
      <c r="YF33" s="28"/>
      <c r="YG33" s="29"/>
      <c r="YH33" s="30"/>
      <c r="YI33" s="28"/>
      <c r="YJ33" s="29"/>
      <c r="YK33" s="29"/>
      <c r="YL33" s="29"/>
      <c r="YM33" s="28"/>
      <c r="YN33" s="29"/>
      <c r="YO33" s="29"/>
      <c r="YP33" s="28"/>
      <c r="YQ33" s="29"/>
      <c r="YR33" s="30"/>
      <c r="YS33" s="28"/>
      <c r="YT33" s="29"/>
      <c r="YU33" s="29"/>
      <c r="YV33" s="29"/>
      <c r="YW33" s="28"/>
      <c r="YX33" s="29"/>
      <c r="YY33" s="29"/>
      <c r="YZ33" s="28"/>
      <c r="ZA33" s="29"/>
      <c r="ZB33" s="30"/>
      <c r="ZC33" s="28"/>
      <c r="ZD33" s="29"/>
      <c r="ZE33" s="29"/>
      <c r="ZF33" s="29"/>
      <c r="ZG33" s="28"/>
      <c r="ZH33" s="29"/>
      <c r="ZI33" s="29"/>
      <c r="ZJ33" s="28"/>
      <c r="ZK33" s="29"/>
      <c r="ZL33" s="30"/>
      <c r="ZM33" s="28"/>
      <c r="ZN33" s="29"/>
      <c r="ZO33" s="29"/>
      <c r="ZP33" s="29"/>
      <c r="ZQ33" s="28"/>
      <c r="ZR33" s="29"/>
      <c r="ZS33" s="29"/>
      <c r="ZT33" s="28"/>
      <c r="ZU33" s="29"/>
      <c r="ZV33" s="30"/>
      <c r="ZW33" s="28"/>
      <c r="ZX33" s="29"/>
      <c r="ZY33" s="29"/>
      <c r="ZZ33" s="29"/>
      <c r="AAA33" s="28"/>
      <c r="AAB33" s="29"/>
      <c r="AAC33" s="29"/>
      <c r="AAD33" s="28"/>
      <c r="AAE33" s="29"/>
      <c r="AAF33" s="30"/>
      <c r="AAG33" s="28"/>
      <c r="AAH33" s="29"/>
      <c r="AAI33" s="29"/>
      <c r="AAJ33" s="29"/>
      <c r="AAK33" s="28"/>
      <c r="AAL33" s="29"/>
      <c r="AAM33" s="29"/>
      <c r="AAN33" s="28"/>
      <c r="AAO33" s="29"/>
      <c r="AAP33" s="30"/>
      <c r="AAQ33" s="28"/>
      <c r="AAR33" s="29"/>
      <c r="AAS33" s="29"/>
      <c r="AAT33" s="29"/>
      <c r="AAU33" s="28"/>
      <c r="AAV33" s="29"/>
      <c r="AAW33" s="29"/>
      <c r="AAX33" s="28"/>
      <c r="AAY33" s="29"/>
      <c r="AAZ33" s="30"/>
      <c r="ABA33" s="28"/>
      <c r="ABB33" s="29"/>
      <c r="ABC33" s="29"/>
      <c r="ABD33" s="29"/>
      <c r="ABE33" s="28"/>
      <c r="ABF33" s="29"/>
      <c r="ABG33" s="29"/>
      <c r="ABH33" s="28"/>
      <c r="ABI33" s="29"/>
      <c r="ABJ33" s="30"/>
      <c r="ABK33" s="28"/>
      <c r="ABL33" s="29"/>
      <c r="ABM33" s="29"/>
      <c r="ABN33" s="29"/>
      <c r="ABO33" s="28"/>
      <c r="ABP33" s="29"/>
      <c r="ABQ33" s="29"/>
      <c r="ABR33" s="28"/>
      <c r="ABS33" s="29"/>
      <c r="ABT33" s="30"/>
      <c r="ABU33" s="28"/>
      <c r="ABV33" s="29"/>
      <c r="ABW33" s="29"/>
      <c r="ABX33" s="29"/>
      <c r="ABY33" s="28"/>
      <c r="ABZ33" s="29"/>
      <c r="ACA33" s="29"/>
      <c r="ACB33" s="28"/>
      <c r="ACC33" s="29"/>
      <c r="ACD33" s="30"/>
      <c r="ACE33" s="28"/>
      <c r="ACF33" s="29"/>
      <c r="ACG33" s="29"/>
      <c r="ACH33" s="29"/>
      <c r="ACI33" s="28"/>
      <c r="ACJ33" s="29"/>
      <c r="ACK33" s="29"/>
      <c r="ACL33" s="28"/>
      <c r="ACM33" s="29"/>
      <c r="ACN33" s="30"/>
      <c r="ACO33" s="28"/>
      <c r="ACP33" s="29"/>
      <c r="ACQ33" s="29"/>
      <c r="ACR33" s="29"/>
      <c r="ACS33" s="28"/>
      <c r="ACT33" s="29"/>
      <c r="ACU33" s="29"/>
      <c r="ACV33" s="28"/>
      <c r="ACW33" s="29"/>
      <c r="ACX33" s="30"/>
      <c r="ACY33" s="28"/>
      <c r="ACZ33" s="29"/>
      <c r="ADA33" s="29"/>
      <c r="ADB33" s="29"/>
      <c r="ADC33" s="28"/>
      <c r="ADD33" s="29"/>
      <c r="ADE33" s="29"/>
      <c r="ADF33" s="28"/>
      <c r="ADG33" s="29"/>
      <c r="ADH33" s="30"/>
      <c r="ADI33" s="28"/>
      <c r="ADJ33" s="29"/>
      <c r="ADK33" s="29"/>
      <c r="ADL33" s="29"/>
      <c r="ADM33" s="28"/>
      <c r="ADN33" s="29"/>
      <c r="ADO33" s="29"/>
      <c r="ADP33" s="28"/>
      <c r="ADQ33" s="29"/>
      <c r="ADR33" s="30"/>
      <c r="ADS33" s="28"/>
      <c r="ADT33" s="29"/>
      <c r="ADU33" s="29"/>
      <c r="ADV33" s="29"/>
      <c r="ADW33" s="28"/>
      <c r="ADX33" s="29"/>
      <c r="ADY33" s="29"/>
      <c r="ADZ33" s="28"/>
      <c r="AEA33" s="29"/>
      <c r="AEB33" s="30"/>
      <c r="AEC33" s="28"/>
      <c r="AED33" s="29"/>
      <c r="AEE33" s="29"/>
      <c r="AEF33" s="29"/>
      <c r="AEG33" s="28"/>
      <c r="AEH33" s="29"/>
      <c r="AEI33" s="29"/>
      <c r="AEJ33" s="28"/>
      <c r="AEK33" s="29"/>
      <c r="AEL33" s="30"/>
      <c r="AEM33" s="28"/>
      <c r="AEN33" s="29"/>
      <c r="AEO33" s="29"/>
      <c r="AEP33" s="29"/>
      <c r="AEQ33" s="28"/>
      <c r="AER33" s="29"/>
      <c r="AES33" s="29"/>
      <c r="AET33" s="28"/>
      <c r="AEU33" s="29"/>
      <c r="AEV33" s="30"/>
      <c r="AEW33" s="28"/>
      <c r="AEX33" s="29"/>
      <c r="AEY33" s="29"/>
      <c r="AEZ33" s="29"/>
      <c r="AFA33" s="28"/>
      <c r="AFB33" s="29"/>
      <c r="AFC33" s="29"/>
      <c r="AFD33" s="28"/>
      <c r="AFE33" s="29"/>
      <c r="AFF33" s="30"/>
      <c r="AFG33" s="28"/>
      <c r="AFH33" s="29"/>
      <c r="AFI33" s="29"/>
      <c r="AFJ33" s="29"/>
      <c r="AFK33" s="28"/>
      <c r="AFL33" s="29"/>
      <c r="AFM33" s="29"/>
      <c r="AFN33" s="28"/>
      <c r="AFO33" s="29"/>
      <c r="AFP33" s="30"/>
      <c r="AFQ33" s="28"/>
      <c r="AFR33" s="29"/>
      <c r="AFS33" s="29"/>
      <c r="AFT33" s="29"/>
      <c r="AFU33" s="28"/>
      <c r="AFV33" s="29"/>
      <c r="AFW33" s="29"/>
      <c r="AFX33" s="28"/>
      <c r="AFY33" s="29"/>
      <c r="AFZ33" s="30"/>
      <c r="AGA33" s="28"/>
      <c r="AGB33" s="29"/>
      <c r="AGC33" s="29"/>
      <c r="AGD33" s="29"/>
      <c r="AGE33" s="28"/>
      <c r="AGF33" s="29"/>
      <c r="AGG33" s="29"/>
      <c r="AGH33" s="28"/>
      <c r="AGI33" s="29"/>
      <c r="AGJ33" s="30"/>
      <c r="AGK33" s="28"/>
      <c r="AGL33" s="29"/>
      <c r="AGM33" s="29"/>
      <c r="AGN33" s="29"/>
      <c r="AGO33" s="28"/>
      <c r="AGP33" s="29"/>
      <c r="AGQ33" s="29"/>
      <c r="AGR33" s="28"/>
      <c r="AGS33" s="29"/>
      <c r="AGT33" s="30"/>
      <c r="AGU33" s="28"/>
      <c r="AGV33" s="29"/>
      <c r="AGW33" s="29"/>
      <c r="AGX33" s="29"/>
      <c r="AGY33" s="28"/>
      <c r="AGZ33" s="29"/>
      <c r="AHA33" s="29"/>
      <c r="AHB33" s="28"/>
      <c r="AHC33" s="29"/>
      <c r="AHD33" s="30"/>
      <c r="AHE33" s="28"/>
      <c r="AHF33" s="29"/>
      <c r="AHG33" s="29"/>
      <c r="AHH33" s="29"/>
      <c r="AHI33" s="28"/>
      <c r="AHJ33" s="29"/>
      <c r="AHK33" s="29"/>
      <c r="AHL33" s="28"/>
      <c r="AHM33" s="29"/>
      <c r="AHN33" s="30"/>
      <c r="AHO33" s="28"/>
      <c r="AHP33" s="29"/>
      <c r="AHQ33" s="29"/>
      <c r="AHR33" s="29"/>
      <c r="AHS33" s="28"/>
      <c r="AHT33" s="29"/>
      <c r="AHU33" s="29"/>
      <c r="AHV33" s="28"/>
      <c r="AHW33" s="29"/>
      <c r="AHX33" s="30"/>
      <c r="AHY33" s="28"/>
      <c r="AHZ33" s="29"/>
      <c r="AIA33" s="29"/>
      <c r="AIB33" s="29"/>
      <c r="AIC33" s="28"/>
      <c r="AID33" s="29"/>
      <c r="AIE33" s="29"/>
      <c r="AIF33" s="28"/>
      <c r="AIG33" s="29"/>
      <c r="AIH33" s="30"/>
      <c r="AII33" s="28"/>
      <c r="AIJ33" s="29"/>
      <c r="AIK33" s="29"/>
      <c r="AIL33" s="29"/>
      <c r="AIM33" s="28"/>
      <c r="AIN33" s="29"/>
      <c r="AIO33" s="29"/>
      <c r="AIP33" s="28"/>
      <c r="AIQ33" s="29"/>
      <c r="AIR33" s="30"/>
      <c r="AIS33" s="28"/>
      <c r="AIT33" s="29"/>
      <c r="AIU33" s="29"/>
      <c r="AIV33" s="29"/>
      <c r="AIW33" s="28"/>
      <c r="AIX33" s="29"/>
      <c r="AIY33" s="29"/>
      <c r="AIZ33" s="28"/>
      <c r="AJA33" s="29"/>
      <c r="AJB33" s="30"/>
      <c r="AJC33" s="28"/>
      <c r="AJD33" s="29"/>
      <c r="AJE33" s="29"/>
      <c r="AJF33" s="29"/>
      <c r="AJG33" s="28"/>
      <c r="AJH33" s="29"/>
      <c r="AJI33" s="29"/>
      <c r="AJJ33" s="28"/>
      <c r="AJK33" s="29"/>
      <c r="AJL33" s="30"/>
      <c r="AJM33" s="28"/>
      <c r="AJN33" s="29"/>
      <c r="AJO33" s="29"/>
      <c r="AJP33" s="29"/>
      <c r="AJQ33" s="28"/>
      <c r="AJR33" s="29"/>
      <c r="AJS33" s="29"/>
      <c r="AJT33" s="28"/>
      <c r="AJU33" s="29"/>
      <c r="AJV33" s="30"/>
      <c r="AJW33" s="28"/>
      <c r="AJX33" s="29"/>
      <c r="AJY33" s="29"/>
      <c r="AJZ33" s="29"/>
      <c r="AKA33" s="28"/>
      <c r="AKB33" s="29"/>
      <c r="AKC33" s="29"/>
      <c r="AKD33" s="28"/>
      <c r="AKE33" s="29"/>
      <c r="AKF33" s="30"/>
      <c r="AKG33" s="28"/>
      <c r="AKH33" s="29"/>
      <c r="AKI33" s="29"/>
      <c r="AKJ33" s="29"/>
      <c r="AKK33" s="28"/>
      <c r="AKL33" s="29"/>
      <c r="AKM33" s="29"/>
      <c r="AKN33" s="28"/>
      <c r="AKO33" s="29"/>
      <c r="AKP33" s="30"/>
      <c r="AKQ33" s="28"/>
      <c r="AKR33" s="29"/>
      <c r="AKS33" s="29"/>
      <c r="AKT33" s="29"/>
      <c r="AKU33" s="28"/>
      <c r="AKV33" s="29"/>
      <c r="AKW33" s="29"/>
      <c r="AKX33" s="28"/>
      <c r="AKY33" s="29"/>
      <c r="AKZ33" s="30"/>
      <c r="ALA33" s="28"/>
      <c r="ALB33" s="29"/>
      <c r="ALC33" s="29"/>
      <c r="ALD33" s="29"/>
      <c r="ALE33" s="28"/>
      <c r="ALF33" s="29"/>
      <c r="ALG33" s="29"/>
      <c r="ALH33" s="29"/>
      <c r="ALI33" s="29"/>
      <c r="ALJ33" s="29"/>
      <c r="ALK33" s="28"/>
      <c r="ALL33" s="29"/>
      <c r="ALM33" s="29"/>
      <c r="ALN33" s="28"/>
      <c r="ALO33" s="29"/>
      <c r="ALP33" s="30"/>
      <c r="ALQ33" s="28"/>
      <c r="ALR33" s="29"/>
      <c r="ALS33" s="29"/>
      <c r="ALT33" s="29"/>
      <c r="ALU33" s="28"/>
      <c r="ALV33" s="29"/>
      <c r="ALW33" s="29"/>
      <c r="ALX33" s="28"/>
      <c r="ALY33" s="29"/>
      <c r="ALZ33" s="30"/>
      <c r="AMA33" s="28"/>
      <c r="AMB33" s="29"/>
      <c r="AMC33" s="29"/>
      <c r="AMD33" s="29"/>
      <c r="AME33" s="28"/>
      <c r="AMF33" s="29"/>
      <c r="AMG33" s="29"/>
      <c r="AMH33" s="29"/>
      <c r="AMI33" s="29"/>
      <c r="AMJ33" s="29"/>
      <c r="AMK33" s="28"/>
      <c r="AML33" s="29"/>
      <c r="AMM33" s="29"/>
      <c r="AMN33" s="28"/>
      <c r="AMO33" s="29"/>
      <c r="AMP33" s="30"/>
      <c r="AMQ33" s="28"/>
      <c r="AMR33" s="29"/>
      <c r="AMS33" s="29"/>
      <c r="AMT33" s="29"/>
      <c r="AMU33" s="28"/>
      <c r="AMV33" s="29"/>
      <c r="AMW33" s="29"/>
      <c r="AMX33" s="28"/>
      <c r="AMY33" s="29"/>
      <c r="AMZ33" s="30"/>
      <c r="ANA33" s="28"/>
      <c r="ANB33" s="29"/>
      <c r="ANC33" s="29"/>
      <c r="AND33" s="29"/>
      <c r="ANE33" s="28"/>
      <c r="ANF33" s="29"/>
      <c r="ANG33" s="29"/>
      <c r="ANH33" s="29"/>
      <c r="ANI33" s="29"/>
      <c r="ANJ33" s="29"/>
      <c r="ANK33" s="28"/>
      <c r="ANL33" s="29"/>
      <c r="ANM33" s="29"/>
      <c r="ANN33" s="28"/>
      <c r="ANO33" s="29"/>
      <c r="ANP33" s="30"/>
      <c r="ANQ33" s="28"/>
      <c r="ANR33" s="29"/>
      <c r="ANS33" s="29"/>
      <c r="ANT33" s="29"/>
      <c r="ANU33" s="28"/>
      <c r="ANV33" s="29"/>
      <c r="ANW33" s="29"/>
      <c r="ANX33" s="28"/>
      <c r="ANY33" s="29"/>
      <c r="ANZ33" s="30"/>
      <c r="AOA33" s="28"/>
      <c r="AOB33" s="29"/>
      <c r="AOC33" s="29"/>
      <c r="AOD33" s="29"/>
      <c r="AOE33" s="28"/>
      <c r="AOF33" s="29"/>
      <c r="AOG33" s="29"/>
      <c r="AOH33" s="29"/>
      <c r="AOI33" s="29"/>
      <c r="AOJ33" s="29"/>
      <c r="AOK33" s="28"/>
      <c r="AOL33" s="29"/>
      <c r="AOM33" s="29"/>
      <c r="AON33" s="28"/>
      <c r="AOO33" s="29"/>
      <c r="AOP33" s="30"/>
      <c r="AOQ33" s="28"/>
      <c r="AOR33" s="29"/>
      <c r="AOS33" s="29"/>
      <c r="AOT33" s="29"/>
      <c r="AOU33" s="28"/>
      <c r="AOV33" s="29"/>
      <c r="AOW33" s="29"/>
      <c r="AOX33" s="28"/>
      <c r="AOY33" s="29"/>
      <c r="AOZ33" s="30"/>
      <c r="APA33" s="28"/>
      <c r="APB33" s="29"/>
      <c r="APC33" s="29"/>
      <c r="APD33" s="29"/>
      <c r="APE33" s="28"/>
      <c r="APF33" s="29"/>
      <c r="APG33" s="29"/>
      <c r="APH33" s="29"/>
      <c r="API33" s="29"/>
      <c r="APJ33" s="29"/>
      <c r="APK33" s="28"/>
      <c r="APL33" s="29"/>
      <c r="APM33" s="29"/>
      <c r="APN33" s="28"/>
      <c r="APO33" s="29"/>
      <c r="APP33" s="30"/>
      <c r="APQ33" s="28"/>
      <c r="APR33" s="29"/>
      <c r="APS33" s="29"/>
      <c r="APT33" s="29"/>
      <c r="APU33" s="28"/>
      <c r="APV33" s="29"/>
      <c r="APW33" s="29"/>
      <c r="APX33" s="28"/>
      <c r="APY33" s="29"/>
      <c r="APZ33" s="30"/>
      <c r="AQA33" s="28"/>
      <c r="AQB33" s="29"/>
      <c r="AQC33" s="29"/>
      <c r="AQD33" s="29"/>
      <c r="AQE33" s="28"/>
      <c r="AQF33" s="29"/>
      <c r="AQG33" s="29"/>
      <c r="AQH33" s="29"/>
      <c r="AQI33" s="29"/>
      <c r="AQJ33" s="29"/>
      <c r="AQK33" s="28"/>
      <c r="AQL33" s="29"/>
      <c r="AQM33" s="29"/>
      <c r="AQN33" s="28"/>
      <c r="AQO33" s="29"/>
      <c r="AQP33" s="30"/>
      <c r="AQQ33" s="28"/>
      <c r="AQR33" s="29"/>
      <c r="AQS33" s="29"/>
      <c r="AQT33" s="29"/>
      <c r="AQU33" s="28"/>
      <c r="AQV33" s="29"/>
      <c r="AQW33" s="29"/>
      <c r="AQX33" s="28"/>
      <c r="AQY33" s="29"/>
      <c r="AQZ33" s="30"/>
      <c r="ARA33" s="28"/>
      <c r="ARB33" s="29"/>
      <c r="ARC33" s="29"/>
      <c r="ARD33" s="29"/>
      <c r="ARE33" s="28"/>
      <c r="ARF33" s="29"/>
      <c r="ARG33" s="29"/>
      <c r="ARH33" s="29"/>
      <c r="ARI33" s="29"/>
      <c r="ARJ33" s="29"/>
      <c r="ARK33" s="28"/>
      <c r="ARL33" s="29"/>
      <c r="ARM33" s="29"/>
      <c r="ARN33" s="28"/>
      <c r="ARO33" s="29"/>
      <c r="ARP33" s="30"/>
      <c r="ARQ33" s="28"/>
      <c r="ARR33" s="29"/>
      <c r="ARS33" s="29"/>
      <c r="ART33" s="29"/>
      <c r="ARU33" s="28"/>
      <c r="ARV33" s="29"/>
      <c r="ARW33" s="29"/>
      <c r="ARX33" s="28"/>
      <c r="ARY33" s="29"/>
      <c r="ARZ33" s="30"/>
      <c r="ASA33" s="28"/>
      <c r="ASB33" s="29"/>
      <c r="ASC33" s="29"/>
      <c r="ASD33" s="29"/>
      <c r="ASE33" s="28"/>
      <c r="ASF33" s="29"/>
      <c r="ASG33" s="29"/>
      <c r="ASH33" s="29"/>
      <c r="ASI33" s="29"/>
      <c r="ASJ33" s="29"/>
      <c r="ASK33" s="28"/>
      <c r="ASL33" s="29"/>
      <c r="ASM33" s="29"/>
      <c r="ASN33" s="28"/>
      <c r="ASO33" s="29"/>
      <c r="ASP33" s="30"/>
      <c r="ASQ33" s="28"/>
      <c r="ASR33" s="29"/>
      <c r="ASS33" s="29"/>
      <c r="AST33" s="29"/>
      <c r="ASU33" s="28"/>
      <c r="ASV33" s="29"/>
      <c r="ASW33" s="29"/>
      <c r="ASX33" s="28"/>
      <c r="ASY33" s="29"/>
      <c r="ASZ33" s="30"/>
      <c r="ATA33" s="28"/>
      <c r="ATB33" s="29"/>
      <c r="ATC33" s="29"/>
      <c r="ATD33" s="29"/>
      <c r="ATE33" s="28"/>
      <c r="ATF33" s="29"/>
      <c r="ATG33" s="29"/>
      <c r="ATH33" s="29"/>
      <c r="ATI33" s="29"/>
      <c r="ATJ33" s="29"/>
      <c r="ATK33" s="28"/>
      <c r="ATL33" s="29"/>
      <c r="ATM33" s="29"/>
      <c r="ATN33" s="28"/>
      <c r="ATO33" s="29"/>
      <c r="ATP33" s="30"/>
      <c r="ATQ33" s="28"/>
      <c r="ATR33" s="29"/>
      <c r="ATS33" s="29"/>
      <c r="ATT33" s="29"/>
      <c r="ATU33" s="28"/>
      <c r="ATV33" s="29"/>
      <c r="ATW33" s="29"/>
      <c r="ATX33" s="28"/>
      <c r="ATY33" s="29"/>
      <c r="ATZ33" s="30"/>
      <c r="AUA33" s="28"/>
      <c r="AUB33" s="29"/>
      <c r="AUC33" s="29"/>
      <c r="AUD33" s="29"/>
      <c r="AUE33" s="28"/>
      <c r="AUF33" s="29"/>
      <c r="AUG33" s="29"/>
      <c r="AUH33" s="29"/>
      <c r="AUI33" s="29"/>
      <c r="AUJ33" s="29"/>
      <c r="AUK33" s="28"/>
      <c r="AUL33" s="29"/>
      <c r="AUM33" s="29"/>
      <c r="AUN33" s="28"/>
      <c r="AUO33" s="29"/>
      <c r="AUP33" s="30"/>
      <c r="AUQ33" s="28"/>
      <c r="AUR33" s="29"/>
      <c r="AUS33" s="29"/>
      <c r="AUT33" s="29"/>
      <c r="AUU33" s="28"/>
      <c r="AUV33" s="29"/>
      <c r="AUW33" s="29"/>
      <c r="AUX33" s="28"/>
      <c r="AUY33" s="29"/>
      <c r="AUZ33" s="30"/>
      <c r="AVA33" s="28"/>
      <c r="AVB33" s="29"/>
      <c r="AVC33" s="29"/>
      <c r="AVD33" s="29"/>
      <c r="AVE33" s="28"/>
      <c r="AVF33" s="29"/>
      <c r="AVG33" s="29"/>
      <c r="AVH33" s="29"/>
      <c r="AVI33" s="29"/>
      <c r="AVJ33" s="29"/>
      <c r="AVK33" s="28"/>
      <c r="AVL33" s="29"/>
      <c r="AVM33" s="29"/>
      <c r="AVN33" s="28"/>
      <c r="AVO33" s="29"/>
      <c r="AVP33" s="30"/>
      <c r="AVQ33" s="28"/>
      <c r="AVR33" s="29"/>
      <c r="AVS33" s="29"/>
      <c r="AVT33" s="29"/>
      <c r="AVU33" s="28"/>
      <c r="AVV33" s="29"/>
      <c r="AVW33" s="29"/>
      <c r="AVX33" s="28"/>
      <c r="AVY33" s="29"/>
      <c r="AVZ33" s="30"/>
      <c r="AWA33" s="28"/>
      <c r="AWB33" s="29"/>
      <c r="AWC33" s="29"/>
      <c r="AWD33" s="29"/>
      <c r="AWE33" s="28"/>
      <c r="AWF33" s="29"/>
      <c r="AWG33" s="29"/>
      <c r="AWH33" s="29"/>
      <c r="AWI33" s="29"/>
      <c r="AWJ33" s="29"/>
      <c r="AWK33" s="28"/>
      <c r="AWL33" s="29"/>
      <c r="AWM33" s="29"/>
      <c r="AWN33" s="28"/>
      <c r="AWO33" s="29"/>
      <c r="AWP33" s="30"/>
      <c r="AWQ33" s="28"/>
      <c r="AWR33" s="29"/>
      <c r="AWS33" s="29"/>
      <c r="AWT33" s="29"/>
      <c r="AWU33" s="28"/>
      <c r="AWV33" s="29"/>
      <c r="AWW33" s="29"/>
      <c r="AWX33" s="28"/>
      <c r="AWY33" s="29"/>
      <c r="AWZ33" s="30"/>
      <c r="AXA33" s="28"/>
      <c r="AXB33" s="29"/>
      <c r="AXC33" s="29"/>
      <c r="AXD33" s="29"/>
      <c r="AXE33" s="28"/>
      <c r="AXF33" s="29"/>
      <c r="AXG33" s="29"/>
      <c r="AXH33" s="29"/>
      <c r="AXI33" s="29"/>
      <c r="AXJ33" s="29"/>
      <c r="AXK33" s="28"/>
      <c r="AXL33" s="29"/>
      <c r="AXM33" s="29"/>
      <c r="AXN33" s="28"/>
      <c r="AXO33" s="29"/>
      <c r="AXP33" s="30"/>
      <c r="AXQ33" s="28"/>
      <c r="AXR33" s="29"/>
      <c r="AXS33" s="29"/>
      <c r="AXT33" s="29"/>
      <c r="AXU33" s="28"/>
      <c r="AXV33" s="29"/>
      <c r="AXW33" s="29"/>
      <c r="AXX33" s="28"/>
      <c r="AXY33" s="29"/>
      <c r="AXZ33" s="30"/>
      <c r="AYA33" s="28"/>
      <c r="AYB33" s="29"/>
      <c r="AYC33" s="29"/>
      <c r="AYD33" s="29"/>
      <c r="AYE33" s="28"/>
      <c r="AYF33" s="29"/>
      <c r="AYG33" s="29"/>
      <c r="AYH33" s="29"/>
      <c r="AYI33" s="29"/>
      <c r="AYJ33" s="29"/>
      <c r="AYK33" s="28"/>
      <c r="AYL33" s="29"/>
      <c r="AYM33" s="29"/>
      <c r="AYN33" s="28"/>
      <c r="AYO33" s="29"/>
      <c r="AYP33" s="30"/>
      <c r="AYQ33" s="28"/>
      <c r="AYR33" s="29"/>
      <c r="AYS33" s="29"/>
      <c r="AYT33" s="29"/>
      <c r="AYU33" s="28"/>
      <c r="AYV33" s="29"/>
      <c r="AYW33" s="29"/>
      <c r="AYX33" s="28"/>
      <c r="AYY33" s="29"/>
      <c r="AYZ33" s="30"/>
      <c r="AZA33" s="28"/>
      <c r="AZB33" s="29"/>
      <c r="AZC33" s="29"/>
      <c r="AZD33" s="29"/>
      <c r="AZE33" s="28"/>
      <c r="AZF33" s="29"/>
      <c r="AZG33" s="29"/>
      <c r="AZH33" s="29"/>
      <c r="AZI33" s="29"/>
      <c r="AZJ33" s="29"/>
      <c r="AZK33" s="28"/>
      <c r="AZL33" s="29"/>
      <c r="AZM33" s="29"/>
      <c r="AZN33" s="28"/>
      <c r="AZO33" s="29"/>
      <c r="AZP33" s="30"/>
      <c r="AZQ33" s="28"/>
      <c r="AZR33" s="29"/>
      <c r="AZS33" s="29"/>
      <c r="AZT33" s="29"/>
      <c r="AZU33" s="28"/>
      <c r="AZV33" s="29"/>
      <c r="AZW33" s="29"/>
      <c r="AZX33" s="28"/>
      <c r="AZY33" s="29"/>
      <c r="AZZ33" s="30"/>
      <c r="BAA33" s="28"/>
      <c r="BAB33" s="29"/>
      <c r="BAC33" s="29"/>
      <c r="BAD33" s="29"/>
      <c r="BAE33" s="28"/>
      <c r="BAF33" s="29"/>
      <c r="BAG33" s="29"/>
      <c r="BAH33" s="29"/>
      <c r="BAI33" s="29"/>
      <c r="BAJ33" s="29"/>
      <c r="BAK33" s="28"/>
      <c r="BAL33" s="29"/>
      <c r="BAM33" s="29"/>
      <c r="BAN33" s="28"/>
      <c r="BAO33" s="29"/>
      <c r="BAP33" s="30"/>
      <c r="BAQ33" s="28"/>
      <c r="BAR33" s="29"/>
      <c r="BAS33" s="29"/>
      <c r="BAT33" s="29"/>
      <c r="BAU33" s="28"/>
      <c r="BAV33" s="29"/>
      <c r="BAW33" s="29"/>
      <c r="BAX33" s="28"/>
      <c r="BAY33" s="29"/>
      <c r="BAZ33" s="30"/>
      <c r="BBA33" s="28"/>
      <c r="BBB33" s="29"/>
      <c r="BBC33" s="29"/>
      <c r="BBD33" s="29"/>
      <c r="BBE33" s="28"/>
      <c r="BBF33" s="29"/>
      <c r="BBG33" s="29"/>
      <c r="BBH33" s="29"/>
      <c r="BBI33" s="29"/>
      <c r="BBJ33" s="29"/>
      <c r="BBK33" s="28"/>
      <c r="BBL33" s="29"/>
      <c r="BBM33" s="29"/>
      <c r="BBN33" s="28"/>
      <c r="BBO33" s="29"/>
      <c r="BBP33" s="30"/>
      <c r="BBQ33" s="28"/>
      <c r="BBR33" s="29"/>
      <c r="BBS33" s="29"/>
      <c r="BBT33" s="29"/>
      <c r="BBU33" s="28"/>
      <c r="BBV33" s="29"/>
      <c r="BBW33" s="29"/>
      <c r="BBX33" s="28"/>
      <c r="BBY33" s="29"/>
      <c r="BBZ33" s="30"/>
      <c r="BCA33" s="28"/>
      <c r="BCB33" s="29"/>
      <c r="BCC33" s="29"/>
      <c r="BCD33" s="29"/>
      <c r="BCE33" s="28"/>
      <c r="BCF33" s="29"/>
      <c r="BCG33" s="29"/>
      <c r="BCH33" s="29"/>
      <c r="BCI33" s="29"/>
      <c r="BCJ33" s="29"/>
      <c r="BCK33" s="28"/>
      <c r="BCL33" s="29"/>
      <c r="BCM33" s="29"/>
      <c r="BCN33" s="28"/>
      <c r="BCO33" s="29"/>
      <c r="BCP33" s="30"/>
      <c r="BCQ33" s="28"/>
      <c r="BCR33" s="29"/>
      <c r="BCS33" s="29"/>
      <c r="BCT33" s="29"/>
      <c r="BCU33" s="28"/>
      <c r="BCV33" s="29"/>
      <c r="BCW33" s="29"/>
      <c r="BCX33" s="28"/>
      <c r="BCY33" s="29"/>
      <c r="BCZ33" s="30"/>
      <c r="BDA33" s="28"/>
      <c r="BDB33" s="29"/>
      <c r="BDC33" s="29"/>
      <c r="BDD33" s="29"/>
      <c r="BDE33" s="28"/>
      <c r="BDF33" s="29"/>
      <c r="BDG33" s="29"/>
      <c r="BDH33" s="29"/>
      <c r="BDI33" s="29"/>
      <c r="BDJ33" s="29"/>
      <c r="BDK33" s="28"/>
      <c r="BDL33" s="29"/>
      <c r="BDM33" s="29"/>
      <c r="BDN33" s="28"/>
      <c r="BDO33" s="29"/>
      <c r="BDP33" s="30"/>
      <c r="BDQ33" s="28"/>
      <c r="BDR33" s="29"/>
      <c r="BDS33" s="29"/>
      <c r="BDT33" s="29"/>
      <c r="BDU33" s="28"/>
      <c r="BDV33" s="29"/>
      <c r="BDW33" s="29"/>
      <c r="BDX33" s="28"/>
      <c r="BDY33" s="29"/>
      <c r="BDZ33" s="30"/>
      <c r="BEA33" s="28"/>
      <c r="BEB33" s="29"/>
      <c r="BEC33" s="29"/>
      <c r="BED33" s="29"/>
      <c r="BEE33" s="28"/>
      <c r="BEF33" s="29"/>
      <c r="BEG33" s="29"/>
      <c r="BEH33" s="29"/>
      <c r="BEI33" s="29"/>
      <c r="BEJ33" s="29"/>
      <c r="BEK33" s="28"/>
      <c r="BEL33" s="29"/>
      <c r="BEM33" s="29"/>
      <c r="BEN33" s="28"/>
      <c r="BEO33" s="29"/>
      <c r="BEP33" s="30"/>
      <c r="BEQ33" s="28"/>
      <c r="BER33" s="29"/>
      <c r="BES33" s="29"/>
      <c r="BET33" s="29"/>
      <c r="BEU33" s="28"/>
      <c r="BEV33" s="29"/>
      <c r="BEW33" s="29"/>
      <c r="BEX33" s="28"/>
      <c r="BEY33" s="29"/>
      <c r="BEZ33" s="30"/>
      <c r="BFA33" s="28"/>
      <c r="BFB33" s="29"/>
      <c r="BFC33" s="29"/>
      <c r="BFD33" s="29"/>
      <c r="BFE33" s="28"/>
      <c r="BFF33" s="29"/>
      <c r="BFG33" s="29"/>
      <c r="BFH33" s="29"/>
      <c r="BFI33" s="29"/>
      <c r="BFJ33" s="29"/>
      <c r="BFK33" s="28"/>
      <c r="BFL33" s="29"/>
      <c r="BFM33" s="29"/>
      <c r="BFN33" s="28"/>
      <c r="BFO33" s="29"/>
      <c r="BFP33" s="30"/>
      <c r="BFQ33" s="28"/>
      <c r="BFR33" s="29"/>
      <c r="BFS33" s="29"/>
      <c r="BFT33" s="29"/>
      <c r="BFU33" s="28"/>
      <c r="BFV33" s="29"/>
      <c r="BFW33" s="29"/>
      <c r="BFX33" s="28"/>
      <c r="BFY33" s="29"/>
      <c r="BFZ33" s="30"/>
      <c r="BGA33" s="28"/>
      <c r="BGB33" s="29"/>
      <c r="BGC33" s="29"/>
      <c r="BGD33" s="29"/>
      <c r="BGE33" s="28"/>
      <c r="BGF33" s="29"/>
      <c r="BGG33" s="29"/>
      <c r="BGH33" s="29"/>
      <c r="BGI33" s="29"/>
      <c r="BGJ33" s="29"/>
      <c r="BGK33" s="28"/>
      <c r="BGL33" s="29"/>
      <c r="BGM33" s="29"/>
      <c r="BGN33" s="28"/>
      <c r="BGO33" s="29"/>
      <c r="BGP33" s="30"/>
      <c r="BGQ33" s="28"/>
      <c r="BGR33" s="29"/>
      <c r="BGS33" s="29"/>
      <c r="BGT33" s="29"/>
      <c r="BGU33" s="28"/>
      <c r="BGV33" s="29"/>
      <c r="BGW33" s="29"/>
      <c r="BGX33" s="28"/>
      <c r="BGY33" s="29"/>
      <c r="BGZ33" s="30"/>
      <c r="BHA33" s="28"/>
      <c r="BHB33" s="29"/>
      <c r="BHC33" s="29"/>
      <c r="BHD33" s="29"/>
      <c r="BHE33" s="28"/>
      <c r="BHF33" s="29"/>
      <c r="BHG33" s="29"/>
      <c r="BHH33" s="29"/>
      <c r="BHI33" s="29"/>
      <c r="BHJ33" s="29"/>
      <c r="BHK33" s="28"/>
      <c r="BHL33" s="29"/>
      <c r="BHM33" s="29"/>
      <c r="BHN33" s="28"/>
      <c r="BHO33" s="29"/>
      <c r="BHP33" s="30"/>
      <c r="BHQ33" s="28"/>
      <c r="BHR33" s="29"/>
      <c r="BHS33" s="29"/>
      <c r="BHT33" s="29"/>
      <c r="BHU33" s="28"/>
      <c r="BHV33" s="29"/>
      <c r="BHW33" s="29"/>
      <c r="BHX33" s="28"/>
      <c r="BHY33" s="29"/>
      <c r="BHZ33" s="30"/>
      <c r="BIA33" s="28"/>
      <c r="BIB33" s="29"/>
      <c r="BIC33" s="29"/>
      <c r="BID33" s="29"/>
      <c r="BIE33" s="28"/>
      <c r="BIF33" s="29"/>
      <c r="BIG33" s="29"/>
      <c r="BIH33" s="29"/>
      <c r="BII33" s="29"/>
      <c r="BIJ33" s="29"/>
      <c r="BIK33" s="28"/>
      <c r="BIL33" s="29"/>
      <c r="BIM33" s="29"/>
      <c r="BIN33" s="28"/>
      <c r="BIO33" s="29"/>
      <c r="BIP33" s="30"/>
      <c r="BIQ33" s="28"/>
      <c r="BIR33" s="29"/>
      <c r="BIS33" s="29"/>
      <c r="BIT33" s="29"/>
      <c r="BIU33" s="28"/>
      <c r="BIV33" s="29"/>
      <c r="BIW33" s="29"/>
      <c r="BIX33" s="28"/>
      <c r="BIY33" s="29"/>
      <c r="BIZ33" s="30"/>
      <c r="BJA33" s="28"/>
      <c r="BJB33" s="29"/>
      <c r="BJC33" s="29"/>
      <c r="BJD33" s="29"/>
      <c r="BJE33" s="28"/>
      <c r="BJF33" s="29"/>
      <c r="BJG33" s="29"/>
      <c r="BJH33" s="29"/>
      <c r="BJI33" s="29"/>
      <c r="BJJ33" s="29"/>
      <c r="BJK33" s="28"/>
      <c r="BJL33" s="29"/>
      <c r="BJM33" s="29"/>
      <c r="BJN33" s="28"/>
      <c r="BJO33" s="29"/>
      <c r="BJP33" s="30"/>
      <c r="BJQ33" s="28"/>
      <c r="BJR33" s="29"/>
      <c r="BJS33" s="29"/>
      <c r="BJT33" s="29"/>
      <c r="BJU33" s="28"/>
      <c r="BJV33" s="29"/>
      <c r="BJW33" s="29"/>
      <c r="BJX33" s="28"/>
      <c r="BJY33" s="29"/>
      <c r="BJZ33" s="30"/>
      <c r="BKA33" s="28"/>
      <c r="BKB33" s="29"/>
      <c r="BKC33" s="29"/>
      <c r="BKD33" s="29"/>
      <c r="BKE33" s="28"/>
      <c r="BKF33" s="29"/>
      <c r="BKG33" s="29"/>
      <c r="BKH33" s="29"/>
      <c r="BKI33" s="29"/>
      <c r="BKJ33" s="29"/>
      <c r="BKK33" s="28"/>
      <c r="BKL33" s="29"/>
      <c r="BKM33" s="29"/>
      <c r="BKN33" s="28"/>
      <c r="BKO33" s="29"/>
      <c r="BKP33" s="30"/>
      <c r="BKQ33" s="28"/>
      <c r="BKR33" s="29"/>
      <c r="BKS33" s="29"/>
      <c r="BKT33" s="29"/>
      <c r="BKU33" s="28"/>
      <c r="BKV33" s="29"/>
      <c r="BKW33" s="29"/>
      <c r="BKX33" s="28"/>
      <c r="BKY33" s="29"/>
      <c r="BKZ33" s="30"/>
      <c r="BLA33" s="28"/>
      <c r="BLB33" s="29"/>
      <c r="BLC33" s="29"/>
      <c r="BLD33" s="29"/>
      <c r="BLE33" s="28"/>
      <c r="BLF33" s="29"/>
      <c r="BLG33" s="29"/>
      <c r="BLH33" s="29"/>
      <c r="BLI33" s="29"/>
      <c r="BLJ33" s="29"/>
      <c r="BLK33" s="28"/>
      <c r="BLL33" s="29"/>
      <c r="BLM33" s="29"/>
      <c r="BLN33" s="28"/>
      <c r="BLO33" s="29"/>
      <c r="BLP33" s="30"/>
      <c r="BLQ33" s="28"/>
      <c r="BLR33" s="29"/>
      <c r="BLS33" s="29"/>
      <c r="BLT33" s="29"/>
      <c r="BLU33" s="28"/>
      <c r="BLV33" s="29"/>
      <c r="BLW33" s="29"/>
      <c r="BLX33" s="28"/>
      <c r="BLY33" s="29"/>
      <c r="BLZ33" s="30"/>
      <c r="BMA33" s="28"/>
      <c r="BMB33" s="29"/>
      <c r="BMC33" s="29"/>
      <c r="BMD33" s="29"/>
      <c r="BME33" s="28"/>
      <c r="BMF33" s="29"/>
      <c r="BMG33" s="29"/>
      <c r="BMH33" s="29"/>
      <c r="BMI33" s="29"/>
      <c r="BMJ33" s="29"/>
      <c r="BMK33" s="28"/>
      <c r="BML33" s="29"/>
      <c r="BMM33" s="29"/>
      <c r="BMN33" s="28"/>
      <c r="BMO33" s="29"/>
      <c r="BMP33" s="30"/>
      <c r="BMQ33" s="28"/>
      <c r="BMR33" s="29"/>
      <c r="BMS33" s="29"/>
      <c r="BMT33" s="29"/>
      <c r="BMU33" s="28"/>
      <c r="BMV33" s="29"/>
      <c r="BMW33" s="29"/>
      <c r="BMX33" s="28"/>
      <c r="BMY33" s="29"/>
      <c r="BMZ33" s="30"/>
      <c r="BNA33" s="28"/>
      <c r="BNB33" s="29"/>
      <c r="BNC33" s="29"/>
      <c r="BND33" s="29"/>
      <c r="BNE33" s="28"/>
      <c r="BNF33" s="29"/>
      <c r="BNG33" s="29"/>
      <c r="BNH33" s="29"/>
      <c r="BNI33" s="29"/>
      <c r="BNJ33" s="29"/>
      <c r="BNK33" s="28"/>
      <c r="BNL33" s="29"/>
      <c r="BNM33" s="29"/>
      <c r="BNN33" s="28"/>
      <c r="BNO33" s="29"/>
      <c r="BNP33" s="30"/>
      <c r="BNQ33" s="28"/>
      <c r="BNR33" s="29"/>
      <c r="BNS33" s="29"/>
      <c r="BNT33" s="29"/>
      <c r="BNU33" s="28"/>
      <c r="BNV33" s="29"/>
      <c r="BNW33" s="29"/>
      <c r="BNX33" s="28"/>
      <c r="BNY33" s="29"/>
      <c r="BNZ33" s="30"/>
      <c r="BOA33" s="28"/>
      <c r="BOB33" s="29"/>
      <c r="BOC33" s="29"/>
      <c r="BOD33" s="29"/>
      <c r="BOE33" s="28"/>
      <c r="BOF33" s="29"/>
      <c r="BOG33" s="29"/>
      <c r="BOH33" s="29"/>
      <c r="BOI33" s="29"/>
      <c r="BOJ33" s="29"/>
      <c r="BOK33" s="28"/>
      <c r="BOL33" s="29"/>
      <c r="BOM33" s="29"/>
      <c r="BON33" s="28"/>
      <c r="BOO33" s="29"/>
      <c r="BOP33" s="30"/>
      <c r="BOQ33" s="28"/>
      <c r="BOR33" s="29"/>
      <c r="BOS33" s="29"/>
      <c r="BOT33" s="29"/>
      <c r="BOU33" s="28"/>
      <c r="BOV33" s="29"/>
      <c r="BOW33" s="29"/>
      <c r="BOX33" s="28"/>
      <c r="BOY33" s="29"/>
      <c r="BOZ33" s="30"/>
      <c r="BPA33" s="28"/>
      <c r="BPB33" s="29"/>
      <c r="BPC33" s="29"/>
      <c r="BPD33" s="29"/>
      <c r="BPE33" s="28"/>
      <c r="BPF33" s="29"/>
      <c r="BPG33" s="29"/>
      <c r="BPH33" s="29"/>
      <c r="BPI33" s="29"/>
      <c r="BPJ33" s="29"/>
      <c r="BPK33" s="28"/>
      <c r="BPL33" s="29"/>
      <c r="BPM33" s="29"/>
      <c r="BPN33" s="28"/>
      <c r="BPO33" s="29"/>
      <c r="BPP33" s="30"/>
      <c r="BPQ33" s="28"/>
      <c r="BPR33" s="29"/>
      <c r="BPS33" s="29"/>
      <c r="BPT33" s="29"/>
      <c r="BPU33" s="28"/>
      <c r="BPV33" s="29"/>
      <c r="BPW33" s="29"/>
      <c r="BPX33" s="28"/>
      <c r="BPY33" s="29"/>
      <c r="BPZ33" s="30"/>
      <c r="BQA33" s="28"/>
      <c r="BQB33" s="29"/>
      <c r="BQC33" s="29"/>
      <c r="BQD33" s="29"/>
      <c r="BQE33" s="28"/>
      <c r="BQF33" s="29"/>
      <c r="BQG33" s="29"/>
      <c r="BQH33" s="29"/>
      <c r="BQI33" s="29"/>
      <c r="BQJ33" s="29"/>
      <c r="BQK33" s="28"/>
      <c r="BQL33" s="29"/>
      <c r="BQM33" s="29"/>
      <c r="BQN33" s="28"/>
      <c r="BQO33" s="29"/>
      <c r="BQP33" s="30"/>
      <c r="BQQ33" s="28"/>
      <c r="BQR33" s="29"/>
      <c r="BQS33" s="29"/>
      <c r="BQT33" s="29"/>
      <c r="BQU33" s="28"/>
      <c r="BQV33" s="29"/>
      <c r="BQW33" s="29"/>
      <c r="BQX33" s="28"/>
      <c r="BQY33" s="29"/>
      <c r="BQZ33" s="30"/>
      <c r="BRA33" s="28"/>
      <c r="BRB33" s="29"/>
      <c r="BRC33" s="29"/>
      <c r="BRD33" s="29"/>
      <c r="BRE33" s="28"/>
      <c r="BRF33" s="29"/>
      <c r="BRG33" s="29"/>
      <c r="BRH33" s="29"/>
      <c r="BRI33" s="29"/>
      <c r="BRJ33" s="29"/>
      <c r="BRK33" s="28"/>
      <c r="BRL33" s="29"/>
      <c r="BRM33" s="29"/>
      <c r="BRN33" s="28"/>
      <c r="BRO33" s="29"/>
      <c r="BRP33" s="30"/>
      <c r="BRQ33" s="28"/>
      <c r="BRR33" s="29"/>
      <c r="BRS33" s="29"/>
      <c r="BRT33" s="29"/>
      <c r="BRU33" s="28"/>
      <c r="BRV33" s="29"/>
      <c r="BRW33" s="29"/>
      <c r="BRX33" s="28"/>
      <c r="BRY33" s="29"/>
      <c r="BRZ33" s="30"/>
      <c r="BSA33" s="28"/>
      <c r="BSB33" s="29"/>
      <c r="BSC33" s="29"/>
      <c r="BSD33" s="29"/>
      <c r="BSE33" s="28"/>
      <c r="BSF33" s="29"/>
      <c r="BSG33" s="29"/>
      <c r="BSH33" s="29"/>
      <c r="BSI33" s="29"/>
      <c r="BSJ33" s="29"/>
      <c r="BSK33" s="28"/>
      <c r="BSL33" s="29"/>
      <c r="BSM33" s="29"/>
      <c r="BSN33" s="28"/>
      <c r="BSO33" s="29"/>
      <c r="BSP33" s="30"/>
      <c r="BSQ33" s="28"/>
      <c r="BSR33" s="29"/>
      <c r="BSS33" s="29"/>
      <c r="BST33" s="29"/>
      <c r="BSU33" s="28"/>
      <c r="BSV33" s="29"/>
      <c r="BSW33" s="29"/>
      <c r="BSX33" s="28"/>
      <c r="BSY33" s="29"/>
      <c r="BSZ33" s="30"/>
      <c r="BTA33" s="28"/>
      <c r="BTB33" s="29"/>
      <c r="BTC33" s="29"/>
      <c r="BTD33" s="29"/>
      <c r="BTE33" s="28"/>
      <c r="BTF33" s="29"/>
      <c r="BTG33" s="29"/>
      <c r="BTH33" s="29"/>
      <c r="BTI33" s="29"/>
      <c r="BTJ33" s="29"/>
      <c r="BTK33" s="28"/>
      <c r="BTL33" s="29"/>
      <c r="BTM33" s="29"/>
      <c r="BTN33" s="28"/>
      <c r="BTO33" s="29"/>
      <c r="BTP33" s="30"/>
      <c r="BTQ33" s="28"/>
      <c r="BTR33" s="29"/>
      <c r="BTS33" s="29"/>
      <c r="BTT33" s="29"/>
      <c r="BTU33" s="28"/>
      <c r="BTV33" s="29"/>
      <c r="BTW33" s="29"/>
      <c r="BTX33" s="28"/>
      <c r="BTY33" s="29"/>
      <c r="BTZ33" s="30"/>
      <c r="BUA33" s="28"/>
      <c r="BUB33" s="29"/>
      <c r="BUC33" s="29"/>
      <c r="BUD33" s="29"/>
      <c r="BUE33" s="28"/>
      <c r="BUF33" s="29"/>
      <c r="BUG33" s="29"/>
      <c r="BUH33" s="29"/>
      <c r="BUI33" s="29"/>
      <c r="BUJ33" s="29"/>
      <c r="BUK33" s="28"/>
      <c r="BUL33" s="29"/>
      <c r="BUM33" s="29"/>
      <c r="BUN33" s="28"/>
      <c r="BUO33" s="29"/>
      <c r="BUP33" s="30"/>
      <c r="BUQ33" s="28"/>
      <c r="BUR33" s="29"/>
      <c r="BUS33" s="29"/>
      <c r="BUT33" s="29"/>
      <c r="BUU33" s="28"/>
      <c r="BUV33" s="29"/>
      <c r="BUW33" s="29"/>
      <c r="BUX33" s="28"/>
      <c r="BUY33" s="29"/>
      <c r="BUZ33" s="30"/>
      <c r="BVA33" s="28"/>
      <c r="BVB33" s="29"/>
      <c r="BVC33" s="29"/>
      <c r="BVD33" s="29"/>
      <c r="BVE33" s="28"/>
      <c r="BVF33" s="29"/>
      <c r="BVG33" s="29"/>
      <c r="BVH33" s="29"/>
      <c r="BVI33" s="29"/>
      <c r="BVJ33" s="29"/>
      <c r="BVK33" s="28"/>
      <c r="BVL33" s="29"/>
      <c r="BVM33" s="29"/>
      <c r="BVN33" s="28"/>
      <c r="BVO33" s="29"/>
      <c r="BVP33" s="30"/>
      <c r="BVQ33" s="28"/>
      <c r="BVR33" s="29"/>
      <c r="BVS33" s="29"/>
      <c r="BVT33" s="29"/>
      <c r="BVU33" s="28"/>
      <c r="BVV33" s="29"/>
      <c r="BVW33" s="29"/>
      <c r="BVX33" s="28"/>
      <c r="BVY33" s="29"/>
      <c r="BVZ33" s="30"/>
      <c r="BWA33" s="28"/>
      <c r="BWB33" s="29"/>
      <c r="BWC33" s="29"/>
      <c r="BWD33" s="29"/>
      <c r="BWE33" s="28"/>
      <c r="BWF33" s="29"/>
      <c r="BWG33" s="29"/>
      <c r="BWH33" s="29"/>
      <c r="BWI33" s="29"/>
      <c r="BWJ33" s="29"/>
      <c r="BWK33" s="28"/>
      <c r="BWL33" s="29"/>
      <c r="BWM33" s="29"/>
      <c r="BWN33" s="28"/>
      <c r="BWO33" s="29"/>
      <c r="BWP33" s="30"/>
      <c r="BWQ33" s="28"/>
      <c r="BWR33" s="29"/>
      <c r="BWS33" s="29"/>
      <c r="BWT33" s="29"/>
      <c r="BWU33" s="28"/>
      <c r="BWV33" s="29"/>
      <c r="BWW33" s="29"/>
      <c r="BWX33" s="28"/>
      <c r="BWY33" s="29"/>
      <c r="BWZ33" s="30"/>
      <c r="BXA33" s="28"/>
      <c r="BXB33" s="29"/>
      <c r="BXC33" s="29"/>
      <c r="BXD33" s="29"/>
      <c r="BXE33" s="28"/>
      <c r="BXF33" s="29"/>
      <c r="BXG33" s="29"/>
      <c r="BXH33" s="29"/>
      <c r="BXI33" s="29"/>
      <c r="BXJ33" s="29"/>
      <c r="BXK33" s="28"/>
      <c r="BXL33" s="29"/>
      <c r="BXM33" s="29"/>
      <c r="BXN33" s="28"/>
      <c r="BXO33" s="29"/>
      <c r="BXP33" s="30"/>
      <c r="BXQ33" s="28"/>
      <c r="BXR33" s="29"/>
      <c r="BXS33" s="29"/>
      <c r="BXT33" s="29"/>
      <c r="BXU33" s="28"/>
      <c r="BXV33" s="29"/>
      <c r="BXW33" s="29"/>
      <c r="BXX33" s="28"/>
      <c r="BXY33" s="29"/>
      <c r="BXZ33" s="30"/>
      <c r="BYA33" s="28"/>
      <c r="BYB33" s="29"/>
      <c r="BYC33" s="29"/>
      <c r="BYD33" s="29"/>
      <c r="BYE33" s="28"/>
      <c r="BYF33" s="29"/>
      <c r="BYG33" s="29"/>
      <c r="BYH33" s="29"/>
      <c r="BYI33" s="29"/>
      <c r="BYJ33" s="29"/>
      <c r="BYK33" s="28"/>
      <c r="BYL33" s="29"/>
      <c r="BYM33" s="29"/>
      <c r="BYN33" s="28"/>
      <c r="BYO33" s="29"/>
      <c r="BYP33" s="30"/>
      <c r="BYQ33" s="28"/>
      <c r="BYR33" s="29"/>
      <c r="BYS33" s="29"/>
      <c r="BYT33" s="29"/>
      <c r="BYU33" s="28"/>
      <c r="BYV33" s="29"/>
      <c r="BYW33" s="29"/>
      <c r="BYX33" s="30"/>
      <c r="BYY33" s="29"/>
      <c r="BYZ33" s="28"/>
      <c r="BZA33" s="29"/>
      <c r="BZB33" s="28"/>
      <c r="BZC33" s="28"/>
      <c r="BZD33" s="28"/>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30"/>
      <c r="CAQ33" s="28"/>
      <c r="CAR33" s="29"/>
      <c r="CAS33" s="29"/>
      <c r="CAT33" s="29"/>
      <c r="CAU33" s="29"/>
      <c r="CAV33" s="29"/>
      <c r="CAW33" s="28"/>
      <c r="CAX33" s="29"/>
      <c r="CAY33" s="29"/>
      <c r="CAZ33" s="28"/>
      <c r="CBA33" s="29"/>
      <c r="CBB33" s="30"/>
      <c r="CBC33" s="28"/>
      <c r="CBD33" s="29"/>
      <c r="CBE33" s="29"/>
      <c r="CBF33" s="29"/>
      <c r="CBG33" s="28"/>
      <c r="CBH33" s="29"/>
      <c r="CBI33" s="29"/>
      <c r="CBJ33" s="28"/>
      <c r="CBK33" s="29"/>
      <c r="CBL33" s="30"/>
      <c r="CBM33" s="28"/>
      <c r="CBN33" s="29"/>
      <c r="CBO33" s="29"/>
      <c r="CBP33" s="29"/>
      <c r="CBQ33" s="28"/>
      <c r="CBR33" s="29"/>
      <c r="CBS33" s="29"/>
      <c r="CBT33" s="28"/>
      <c r="CBU33" s="29"/>
      <c r="CBV33" s="30"/>
      <c r="CBW33" s="28"/>
      <c r="CBX33" s="29"/>
      <c r="CBY33" s="29"/>
      <c r="CBZ33" s="29"/>
      <c r="CCA33" s="28"/>
      <c r="CCB33" s="29"/>
      <c r="CCC33" s="29"/>
      <c r="CCD33" s="28"/>
      <c r="CCE33" s="29"/>
      <c r="CCF33" s="30"/>
      <c r="CCG33" s="28"/>
      <c r="CCH33" s="30"/>
      <c r="CCI33" s="29"/>
      <c r="CCJ33" s="28"/>
      <c r="CCK33" s="29"/>
      <c r="CCL33" s="28"/>
      <c r="CCM33" s="28"/>
      <c r="CCN33" s="28"/>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30"/>
      <c r="CEA33" s="28"/>
      <c r="CEB33" s="29"/>
      <c r="CEC33" s="29"/>
      <c r="CED33" s="29"/>
      <c r="CEE33" s="29"/>
      <c r="CEF33" s="29"/>
      <c r="CEG33" s="28"/>
      <c r="CEH33" s="29"/>
      <c r="CEI33" s="29"/>
      <c r="CEJ33" s="28"/>
      <c r="CEK33" s="29"/>
      <c r="CEL33" s="30"/>
      <c r="CEM33" s="28"/>
      <c r="CEN33" s="29"/>
      <c r="CEO33" s="29"/>
      <c r="CEP33" s="29"/>
      <c r="CEQ33" s="28"/>
      <c r="CER33" s="29"/>
      <c r="CES33" s="29"/>
      <c r="CET33" s="28"/>
      <c r="CEU33" s="29"/>
      <c r="CEV33" s="30"/>
      <c r="CEW33" s="28"/>
      <c r="CEX33" s="29"/>
      <c r="CEY33" s="29"/>
      <c r="CEZ33" s="29"/>
      <c r="CFA33" s="28"/>
      <c r="CFB33" s="29"/>
      <c r="CFC33" s="29"/>
      <c r="CFD33" s="28"/>
      <c r="CFE33" s="29"/>
      <c r="CFF33" s="30"/>
      <c r="CFG33" s="28"/>
      <c r="CFH33" s="29"/>
      <c r="CFI33" s="29"/>
      <c r="CFJ33" s="29"/>
      <c r="CFK33" s="28"/>
      <c r="CFL33" s="29"/>
      <c r="CFM33" s="29"/>
      <c r="CFN33" s="28"/>
      <c r="CFO33" s="29"/>
      <c r="CFP33" s="30"/>
      <c r="CFQ33" s="28"/>
      <c r="CFR33" s="30"/>
      <c r="CFS33" s="29"/>
      <c r="CFT33" s="28"/>
      <c r="CFU33" s="29"/>
      <c r="CFV33" s="28"/>
      <c r="CFW33" s="28"/>
      <c r="CFX33" s="28"/>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30"/>
      <c r="CHK33" s="28"/>
      <c r="CHL33" s="29"/>
      <c r="CHM33" s="29"/>
      <c r="CHN33" s="29"/>
      <c r="CHO33" s="29"/>
      <c r="CHP33" s="29"/>
      <c r="CHQ33" s="28"/>
      <c r="CHR33" s="29"/>
      <c r="CHS33" s="29"/>
      <c r="CHT33" s="28"/>
      <c r="CHU33" s="29"/>
      <c r="CHV33" s="30"/>
      <c r="CHW33" s="28"/>
      <c r="CHX33" s="29"/>
      <c r="CHY33" s="29"/>
      <c r="CHZ33" s="29"/>
      <c r="CIA33" s="28"/>
      <c r="CIB33" s="29"/>
      <c r="CIC33" s="29"/>
      <c r="CID33" s="28"/>
      <c r="CIE33" s="29"/>
      <c r="CIF33" s="30"/>
      <c r="CIG33" s="28"/>
      <c r="CIH33" s="29"/>
      <c r="CII33" s="29"/>
      <c r="CIJ33" s="29"/>
      <c r="CIK33" s="28"/>
      <c r="CIL33" s="29"/>
      <c r="CIM33" s="29"/>
      <c r="CIN33" s="28"/>
      <c r="CIO33" s="29"/>
      <c r="CIP33" s="30"/>
      <c r="CIQ33" s="28"/>
      <c r="CIR33" s="29"/>
      <c r="CIS33" s="29"/>
      <c r="CIT33" s="29"/>
      <c r="CIU33" s="28"/>
      <c r="CIV33" s="29"/>
      <c r="CIW33" s="29"/>
      <c r="CIX33" s="28"/>
      <c r="CIY33" s="29"/>
      <c r="CIZ33" s="30"/>
      <c r="CJA33" s="28"/>
      <c r="CJB33" s="30"/>
      <c r="CJC33" s="29"/>
      <c r="CJD33" s="28"/>
      <c r="CJE33" s="29"/>
      <c r="CJF33" s="28"/>
      <c r="CJG33" s="28"/>
      <c r="CJH33" s="28"/>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30"/>
      <c r="CKU33" s="28"/>
      <c r="CKV33" s="29"/>
      <c r="CKW33" s="29"/>
      <c r="CKX33" s="29"/>
      <c r="CKY33" s="29"/>
      <c r="CKZ33" s="29"/>
      <c r="CLA33" s="28"/>
      <c r="CLB33" s="29"/>
      <c r="CLC33" s="29"/>
      <c r="CLD33" s="28"/>
      <c r="CLE33" s="29"/>
      <c r="CLF33" s="30"/>
      <c r="CLG33" s="28"/>
      <c r="CLH33" s="29"/>
      <c r="CLI33" s="29"/>
      <c r="CLJ33" s="29"/>
      <c r="CLK33" s="28"/>
      <c r="CLL33" s="29"/>
      <c r="CLM33" s="29"/>
      <c r="CLN33" s="28"/>
      <c r="CLO33" s="29"/>
      <c r="CLP33" s="30"/>
      <c r="CLQ33" s="28"/>
      <c r="CLR33" s="29"/>
      <c r="CLS33" s="29"/>
      <c r="CLT33" s="29"/>
      <c r="CLU33" s="28"/>
      <c r="CLV33" s="29"/>
      <c r="CLW33" s="29"/>
      <c r="CLX33" s="28"/>
      <c r="CLY33" s="29"/>
      <c r="CLZ33" s="30"/>
      <c r="CMA33" s="28"/>
      <c r="CMB33" s="29"/>
      <c r="CMC33" s="29"/>
      <c r="CMD33" s="29"/>
      <c r="CME33" s="28"/>
      <c r="CMF33" s="29"/>
      <c r="CMG33" s="29"/>
      <c r="CMH33" s="28"/>
      <c r="CMI33" s="29"/>
      <c r="CMJ33" s="30"/>
      <c r="CMK33" s="28"/>
      <c r="CML33" s="30"/>
      <c r="CMM33" s="29"/>
      <c r="CMN33" s="28"/>
      <c r="CMO33" s="29"/>
      <c r="CMP33" s="28"/>
      <c r="CMQ33" s="28"/>
      <c r="CMR33" s="28"/>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30"/>
      <c r="COE33" s="28"/>
      <c r="COF33" s="29"/>
      <c r="COG33" s="29"/>
      <c r="COH33" s="29"/>
      <c r="COI33" s="29"/>
      <c r="COJ33" s="29"/>
      <c r="COK33" s="28"/>
      <c r="COL33" s="29"/>
      <c r="COM33" s="29"/>
      <c r="CON33" s="28"/>
      <c r="COO33" s="29"/>
      <c r="COP33" s="30"/>
      <c r="COQ33" s="28"/>
      <c r="COR33" s="29"/>
      <c r="COS33" s="29"/>
      <c r="COT33" s="29"/>
      <c r="COU33" s="28"/>
      <c r="COV33" s="29"/>
      <c r="COW33" s="29"/>
      <c r="COX33" s="28"/>
      <c r="COY33" s="29"/>
      <c r="COZ33" s="30"/>
      <c r="CPA33" s="28"/>
      <c r="CPB33" s="29"/>
      <c r="CPC33" s="29"/>
      <c r="CPD33" s="29"/>
      <c r="CPE33" s="28"/>
      <c r="CPF33" s="29"/>
      <c r="CPG33" s="29"/>
      <c r="CPH33" s="28"/>
      <c r="CPI33" s="29"/>
      <c r="CPJ33" s="30"/>
      <c r="CPK33" s="28"/>
      <c r="CPL33" s="29"/>
      <c r="CPM33" s="29"/>
      <c r="CPN33" s="29"/>
      <c r="CPO33" s="28"/>
      <c r="CPP33" s="29"/>
      <c r="CPQ33" s="29"/>
      <c r="CPR33" s="28"/>
      <c r="CPS33" s="29"/>
      <c r="CPT33" s="30"/>
      <c r="CPU33" s="28"/>
      <c r="CPV33" s="30"/>
      <c r="CPW33" s="29"/>
      <c r="CPX33" s="28"/>
      <c r="CPY33" s="29"/>
      <c r="CPZ33" s="28"/>
      <c r="CQA33" s="28"/>
      <c r="CQB33" s="28"/>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30"/>
      <c r="CRO33" s="28"/>
      <c r="CRP33" s="29"/>
      <c r="CRQ33" s="29"/>
      <c r="CRR33" s="29"/>
      <c r="CRS33" s="29"/>
      <c r="CRT33" s="29"/>
      <c r="CRU33" s="28"/>
      <c r="CRV33" s="29"/>
      <c r="CRW33" s="29"/>
      <c r="CRX33" s="28"/>
      <c r="CRY33" s="29"/>
      <c r="CRZ33" s="30"/>
      <c r="CSA33" s="28"/>
      <c r="CSB33" s="29"/>
      <c r="CSC33" s="29"/>
      <c r="CSD33" s="29"/>
      <c r="CSE33" s="28"/>
      <c r="CSF33" s="29"/>
      <c r="CSG33" s="29"/>
      <c r="CSH33" s="28"/>
      <c r="CSI33" s="29"/>
      <c r="CSJ33" s="30"/>
      <c r="CSK33" s="28"/>
      <c r="CSL33" s="29"/>
      <c r="CSM33" s="29"/>
      <c r="CSN33" s="29"/>
      <c r="CSO33" s="28"/>
      <c r="CSP33" s="29"/>
      <c r="CSQ33" s="29"/>
      <c r="CSR33" s="28"/>
      <c r="CSS33" s="29"/>
      <c r="CST33" s="30"/>
      <c r="CSU33" s="28"/>
      <c r="CSV33" s="29"/>
      <c r="CSW33" s="29"/>
      <c r="CSX33" s="29"/>
      <c r="CSY33" s="28"/>
      <c r="CSZ33" s="29"/>
      <c r="CTA33" s="29"/>
      <c r="CTB33" s="28"/>
      <c r="CTC33" s="29"/>
      <c r="CTD33" s="30"/>
      <c r="CTE33" s="28"/>
      <c r="CTF33" s="30"/>
      <c r="CTG33" s="29"/>
      <c r="CTH33" s="28"/>
      <c r="CTI33" s="29"/>
      <c r="CTJ33" s="28"/>
      <c r="CTK33" s="28"/>
      <c r="CTL33" s="28"/>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30"/>
      <c r="CUY33" s="28"/>
      <c r="CUZ33" s="29"/>
      <c r="CVA33" s="29"/>
      <c r="CVB33" s="29"/>
      <c r="CVC33" s="29"/>
      <c r="CVD33" s="29"/>
      <c r="CVE33" s="28"/>
      <c r="CVF33" s="29"/>
      <c r="CVG33" s="29"/>
      <c r="CVH33" s="28"/>
      <c r="CVI33" s="29"/>
      <c r="CVJ33" s="30"/>
      <c r="CVK33" s="28"/>
      <c r="CVL33" s="29"/>
      <c r="CVM33" s="29"/>
      <c r="CVN33" s="29"/>
      <c r="CVO33" s="28"/>
      <c r="CVP33" s="29"/>
      <c r="CVQ33" s="29"/>
      <c r="CVR33" s="28"/>
      <c r="CVS33" s="29"/>
      <c r="CVT33" s="30"/>
      <c r="CVU33" s="28"/>
      <c r="CVV33" s="29"/>
      <c r="CVW33" s="29"/>
      <c r="CVX33" s="29"/>
      <c r="CVY33" s="28"/>
      <c r="CVZ33" s="29"/>
      <c r="CWA33" s="29"/>
      <c r="CWB33" s="28"/>
      <c r="CWC33" s="29"/>
      <c r="CWD33" s="30"/>
      <c r="CWE33" s="28"/>
      <c r="CWF33" s="29"/>
      <c r="CWG33" s="29"/>
      <c r="CWH33" s="29"/>
      <c r="CWI33" s="28"/>
      <c r="CWJ33" s="29"/>
      <c r="CWK33" s="29"/>
      <c r="CWL33" s="28"/>
      <c r="CWM33" s="29"/>
      <c r="CWN33" s="30"/>
      <c r="CWO33" s="28"/>
      <c r="CWP33" s="30"/>
      <c r="CWQ33" s="29"/>
      <c r="CWR33" s="28"/>
      <c r="CWS33" s="29"/>
      <c r="CWT33" s="28"/>
      <c r="CWU33" s="28"/>
      <c r="CWV33" s="28"/>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30"/>
      <c r="CYI33" s="28"/>
      <c r="CYJ33" s="29"/>
      <c r="CYK33" s="29"/>
      <c r="CYL33" s="29"/>
      <c r="CYM33" s="29"/>
      <c r="CYN33" s="29"/>
      <c r="CYO33" s="28"/>
      <c r="CYP33" s="29"/>
      <c r="CYQ33" s="29"/>
      <c r="CYR33" s="28"/>
      <c r="CYS33" s="29"/>
      <c r="CYT33" s="30"/>
      <c r="CYU33" s="28"/>
      <c r="CYV33" s="29"/>
      <c r="CYW33" s="29"/>
      <c r="CYX33" s="29"/>
      <c r="CYY33" s="28"/>
      <c r="CYZ33" s="29"/>
      <c r="CZA33" s="29"/>
      <c r="CZB33" s="28"/>
      <c r="CZC33" s="29"/>
      <c r="CZD33" s="30"/>
      <c r="CZE33" s="28"/>
      <c r="CZF33" s="29"/>
      <c r="CZG33" s="29"/>
      <c r="CZH33" s="29"/>
      <c r="CZI33" s="28"/>
      <c r="CZJ33" s="29"/>
      <c r="CZK33" s="29"/>
      <c r="CZL33" s="28"/>
      <c r="CZM33" s="29"/>
      <c r="CZN33" s="30"/>
      <c r="CZO33" s="28"/>
      <c r="CZP33" s="29"/>
      <c r="CZQ33" s="29"/>
      <c r="CZR33" s="29"/>
      <c r="CZS33" s="28"/>
      <c r="CZT33" s="29"/>
      <c r="CZU33" s="29"/>
      <c r="CZV33" s="28"/>
      <c r="CZW33" s="29"/>
      <c r="CZX33" s="30"/>
      <c r="CZY33" s="28"/>
      <c r="CZZ33" s="30"/>
      <c r="DAA33" s="29"/>
      <c r="DAB33" s="28"/>
      <c r="DAC33" s="29"/>
      <c r="DAD33" s="28"/>
      <c r="DAE33" s="28"/>
      <c r="DAF33" s="28"/>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30"/>
      <c r="DBS33" s="28"/>
      <c r="DBT33" s="29"/>
      <c r="DBU33" s="29"/>
      <c r="DBV33" s="29"/>
      <c r="DBW33" s="29"/>
      <c r="DBX33" s="29"/>
      <c r="DBY33" s="28"/>
      <c r="DBZ33" s="29"/>
      <c r="DCA33" s="29"/>
      <c r="DCB33" s="28"/>
      <c r="DCC33" s="29"/>
      <c r="DCD33" s="30"/>
      <c r="DCE33" s="28"/>
      <c r="DCF33" s="29"/>
      <c r="DCG33" s="29"/>
      <c r="DCH33" s="29"/>
      <c r="DCI33" s="28"/>
      <c r="DCJ33" s="29"/>
      <c r="DCK33" s="29"/>
      <c r="DCL33" s="28"/>
      <c r="DCM33" s="29"/>
      <c r="DCN33" s="30"/>
      <c r="DCO33" s="28"/>
      <c r="DCP33" s="29"/>
      <c r="DCQ33" s="29"/>
      <c r="DCR33" s="29"/>
      <c r="DCS33" s="28"/>
      <c r="DCT33" s="29"/>
      <c r="DCU33" s="29"/>
      <c r="DCV33" s="28"/>
      <c r="DCW33" s="29"/>
      <c r="DCX33" s="30"/>
      <c r="DCY33" s="28"/>
      <c r="DCZ33" s="29"/>
      <c r="DDA33" s="29"/>
      <c r="DDB33" s="29"/>
      <c r="DDC33" s="28"/>
      <c r="DDD33" s="29"/>
      <c r="DDE33" s="29"/>
      <c r="DDF33" s="28"/>
      <c r="DDG33" s="29"/>
      <c r="DDH33" s="30"/>
      <c r="DDI33" s="28"/>
      <c r="DDJ33" s="30"/>
      <c r="DDK33" s="29"/>
      <c r="DDL33" s="28"/>
      <c r="DDM33" s="29"/>
      <c r="DDN33" s="28"/>
      <c r="DDO33" s="28"/>
      <c r="DDP33" s="28"/>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30"/>
      <c r="DFC33" s="28"/>
      <c r="DFD33" s="29"/>
      <c r="DFE33" s="29"/>
      <c r="DFF33" s="29"/>
      <c r="DFG33" s="29"/>
      <c r="DFH33" s="29"/>
      <c r="DFI33" s="28"/>
      <c r="DFJ33" s="29"/>
      <c r="DFK33" s="29"/>
      <c r="DFL33" s="28"/>
      <c r="DFM33" s="29"/>
      <c r="DFN33" s="30"/>
      <c r="DFO33" s="28"/>
      <c r="DFP33" s="29"/>
      <c r="DFQ33" s="29"/>
      <c r="DFR33" s="29"/>
      <c r="DFS33" s="28"/>
      <c r="DFT33" s="29"/>
      <c r="DFU33" s="29"/>
      <c r="DFV33" s="28"/>
      <c r="DFW33" s="29"/>
      <c r="DFX33" s="30"/>
      <c r="DFY33" s="28"/>
      <c r="DFZ33" s="29"/>
      <c r="DGA33" s="29"/>
      <c r="DGB33" s="29"/>
      <c r="DGC33" s="28"/>
      <c r="DGD33" s="29"/>
      <c r="DGE33" s="29"/>
      <c r="DGF33" s="28"/>
      <c r="DGG33" s="29"/>
      <c r="DGH33" s="30"/>
      <c r="DGI33" s="28"/>
      <c r="DGJ33" s="29"/>
      <c r="DGK33" s="29"/>
      <c r="DGL33" s="29"/>
      <c r="DGM33" s="28"/>
      <c r="DGN33" s="29"/>
      <c r="DGO33" s="29"/>
      <c r="DGP33" s="28"/>
      <c r="DGQ33" s="29"/>
      <c r="DGR33" s="30"/>
      <c r="DGS33" s="28"/>
      <c r="DGT33" s="30"/>
      <c r="DGU33" s="29"/>
      <c r="DGV33" s="28"/>
      <c r="DGW33" s="29"/>
      <c r="DGX33" s="28"/>
      <c r="DGY33" s="28"/>
      <c r="DGZ33" s="28"/>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30"/>
      <c r="DIM33" s="28"/>
      <c r="DIN33" s="29"/>
      <c r="DIO33" s="29"/>
      <c r="DIP33" s="29"/>
      <c r="DIQ33" s="29"/>
      <c r="DIR33" s="29"/>
      <c r="DIS33" s="28"/>
      <c r="DIT33" s="29"/>
      <c r="DIU33" s="29"/>
      <c r="DIV33" s="28"/>
      <c r="DIW33" s="29"/>
      <c r="DIX33" s="30"/>
      <c r="DIY33" s="28"/>
      <c r="DIZ33" s="29"/>
      <c r="DJA33" s="29"/>
      <c r="DJB33" s="29"/>
      <c r="DJC33" s="28"/>
      <c r="DJD33" s="29"/>
      <c r="DJE33" s="29"/>
      <c r="DJF33" s="28"/>
      <c r="DJG33" s="29"/>
      <c r="DJH33" s="30"/>
      <c r="DJI33" s="28"/>
      <c r="DJJ33" s="29"/>
      <c r="DJK33" s="29"/>
      <c r="DJL33" s="29"/>
      <c r="DJM33" s="28"/>
      <c r="DJN33" s="29"/>
      <c r="DJO33" s="29"/>
      <c r="DJP33" s="28"/>
      <c r="DJQ33" s="29"/>
      <c r="DJR33" s="30"/>
      <c r="DJS33" s="28"/>
      <c r="DJT33" s="29"/>
      <c r="DJU33" s="29"/>
      <c r="DJV33" s="29"/>
      <c r="DJW33" s="28"/>
      <c r="DJX33" s="29"/>
      <c r="DJY33" s="29"/>
      <c r="DJZ33" s="28"/>
      <c r="DKA33" s="29"/>
      <c r="DKB33" s="30"/>
      <c r="DKC33" s="28"/>
      <c r="DKD33" s="30"/>
      <c r="DKE33" s="29"/>
      <c r="DKF33" s="28"/>
      <c r="DKG33" s="29"/>
      <c r="DKH33" s="28"/>
      <c r="DKI33" s="28"/>
      <c r="DKJ33" s="28"/>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30"/>
      <c r="DLW33" s="28"/>
      <c r="DLX33" s="29"/>
      <c r="DLY33" s="29"/>
      <c r="DLZ33" s="29"/>
      <c r="DMA33" s="29"/>
      <c r="DMB33" s="29"/>
      <c r="DMC33" s="28"/>
      <c r="DMD33" s="29"/>
      <c r="DME33" s="29"/>
      <c r="DMF33" s="28"/>
      <c r="DMG33" s="29"/>
      <c r="DMH33" s="30"/>
      <c r="DMI33" s="28"/>
      <c r="DMJ33" s="29"/>
      <c r="DMK33" s="29"/>
      <c r="DML33" s="29"/>
      <c r="DMM33" s="28"/>
      <c r="DMN33" s="29"/>
      <c r="DMO33" s="29"/>
      <c r="DMP33" s="28"/>
      <c r="DMQ33" s="29"/>
      <c r="DMR33" s="30"/>
      <c r="DMS33" s="28"/>
      <c r="DMT33" s="29"/>
      <c r="DMU33" s="29"/>
      <c r="DMV33" s="29"/>
      <c r="DMW33" s="28"/>
      <c r="DMX33" s="29"/>
      <c r="DMY33" s="29"/>
      <c r="DMZ33" s="28"/>
      <c r="DNA33" s="29"/>
      <c r="DNB33" s="30"/>
      <c r="DNC33" s="28"/>
      <c r="DND33" s="29"/>
      <c r="DNE33" s="29"/>
      <c r="DNF33" s="29"/>
      <c r="DNG33" s="28"/>
      <c r="DNH33" s="29"/>
      <c r="DNI33" s="29"/>
      <c r="DNJ33" s="28"/>
      <c r="DNK33" s="29"/>
      <c r="DNL33" s="30"/>
      <c r="DNM33" s="28"/>
      <c r="DNN33" s="30"/>
      <c r="DNO33" s="29"/>
      <c r="DNP33" s="28"/>
      <c r="DNQ33" s="29"/>
      <c r="DNR33" s="28"/>
      <c r="DNS33" s="28"/>
      <c r="DNT33" s="28"/>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30"/>
      <c r="DPG33" s="28"/>
      <c r="DPH33" s="29"/>
      <c r="DPI33" s="29"/>
      <c r="DPJ33" s="29"/>
      <c r="DPK33" s="29"/>
      <c r="DPL33" s="29"/>
      <c r="DPM33" s="28"/>
      <c r="DPN33" s="29"/>
      <c r="DPO33" s="29"/>
      <c r="DPP33" s="28"/>
      <c r="DPQ33" s="29"/>
      <c r="DPR33" s="30"/>
      <c r="DPS33" s="28"/>
      <c r="DPT33" s="29"/>
      <c r="DPU33" s="29"/>
      <c r="DPV33" s="29"/>
      <c r="DPW33" s="28"/>
      <c r="DPX33" s="29"/>
      <c r="DPY33" s="29"/>
      <c r="DPZ33" s="28"/>
      <c r="DQA33" s="29"/>
      <c r="DQB33" s="30"/>
      <c r="DQC33" s="28"/>
      <c r="DQD33" s="29"/>
      <c r="DQE33" s="29"/>
      <c r="DQF33" s="29"/>
      <c r="DQG33" s="28"/>
      <c r="DQH33" s="29"/>
      <c r="DQI33" s="29"/>
      <c r="DQJ33" s="28"/>
      <c r="DQK33" s="29"/>
      <c r="DQL33" s="30"/>
      <c r="DQM33" s="28"/>
      <c r="DQN33" s="29"/>
      <c r="DQO33" s="29"/>
      <c r="DQP33" s="29"/>
      <c r="DQQ33" s="28"/>
      <c r="DQR33" s="29"/>
      <c r="DQS33" s="29"/>
      <c r="DQT33" s="28"/>
      <c r="DQU33" s="29"/>
      <c r="DQV33" s="30"/>
      <c r="DQW33" s="28"/>
      <c r="DQX33" s="30"/>
      <c r="DQY33" s="29"/>
      <c r="DQZ33" s="28"/>
      <c r="DRA33" s="29"/>
      <c r="DRB33" s="28"/>
      <c r="DRC33" s="28"/>
      <c r="DRD33" s="28"/>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30"/>
      <c r="DSQ33" s="28"/>
      <c r="DSR33" s="29"/>
      <c r="DSS33" s="29"/>
      <c r="DST33" s="29"/>
      <c r="DSU33" s="29"/>
      <c r="DSV33" s="29"/>
      <c r="DSW33" s="28"/>
      <c r="DSX33" s="29"/>
      <c r="DSY33" s="29"/>
      <c r="DSZ33" s="28"/>
      <c r="DTA33" s="29"/>
      <c r="DTB33" s="30"/>
      <c r="DTC33" s="28"/>
      <c r="DTD33" s="29"/>
      <c r="DTE33" s="29"/>
      <c r="DTF33" s="29"/>
      <c r="DTG33" s="28"/>
      <c r="DTH33" s="29"/>
      <c r="DTI33" s="29"/>
      <c r="DTJ33" s="28"/>
      <c r="DTK33" s="29"/>
      <c r="DTL33" s="30"/>
      <c r="DTM33" s="28"/>
      <c r="DTN33" s="29"/>
      <c r="DTO33" s="29"/>
      <c r="DTP33" s="29"/>
      <c r="DTQ33" s="28"/>
      <c r="DTR33" s="29"/>
      <c r="DTS33" s="29"/>
      <c r="DTT33" s="28"/>
      <c r="DTU33" s="29"/>
      <c r="DTV33" s="30"/>
      <c r="DTW33" s="28"/>
      <c r="DTX33" s="29"/>
      <c r="DTY33" s="29"/>
      <c r="DTZ33" s="29"/>
      <c r="DUA33" s="28"/>
      <c r="DUB33" s="29"/>
      <c r="DUC33" s="29"/>
      <c r="DUD33" s="28"/>
      <c r="DUE33" s="29"/>
      <c r="DUF33" s="30"/>
      <c r="DUG33" s="28"/>
      <c r="DUH33" s="30"/>
      <c r="DUI33" s="29"/>
      <c r="DUJ33" s="28"/>
      <c r="DUK33" s="29"/>
      <c r="DUL33" s="28"/>
      <c r="DUM33" s="28"/>
      <c r="DUN33" s="28"/>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30"/>
      <c r="DWA33" s="28"/>
      <c r="DWB33" s="29"/>
      <c r="DWC33" s="29"/>
      <c r="DWD33" s="29"/>
      <c r="DWE33" s="29"/>
      <c r="DWF33" s="29"/>
      <c r="DWG33" s="28"/>
      <c r="DWH33" s="29"/>
      <c r="DWI33" s="29"/>
      <c r="DWJ33" s="28"/>
      <c r="DWK33" s="29"/>
      <c r="DWL33" s="30"/>
      <c r="DWM33" s="28"/>
      <c r="DWN33" s="29"/>
      <c r="DWO33" s="29"/>
      <c r="DWP33" s="29"/>
      <c r="DWQ33" s="28"/>
      <c r="DWR33" s="29"/>
      <c r="DWS33" s="29"/>
      <c r="DWT33" s="28"/>
      <c r="DWU33" s="29"/>
      <c r="DWV33" s="30"/>
      <c r="DWW33" s="28"/>
      <c r="DWX33" s="29"/>
      <c r="DWY33" s="29"/>
      <c r="DWZ33" s="29"/>
      <c r="DXA33" s="28"/>
      <c r="DXB33" s="29"/>
      <c r="DXC33" s="29"/>
      <c r="DXD33" s="28"/>
      <c r="DXE33" s="29"/>
      <c r="DXF33" s="30"/>
      <c r="DXG33" s="28"/>
      <c r="DXH33" s="29"/>
      <c r="DXI33" s="29"/>
      <c r="DXJ33" s="29"/>
      <c r="DXK33" s="28"/>
      <c r="DXL33" s="29"/>
      <c r="DXM33" s="29"/>
      <c r="DXN33" s="28"/>
      <c r="DXO33" s="29"/>
      <c r="DXP33" s="30"/>
      <c r="DXQ33" s="28"/>
      <c r="DXR33" s="30"/>
      <c r="DXS33" s="29"/>
      <c r="DXT33" s="28"/>
      <c r="DXU33" s="29"/>
      <c r="DXV33" s="28"/>
      <c r="DXW33" s="28"/>
      <c r="DXX33" s="28"/>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30"/>
      <c r="DZK33" s="28"/>
      <c r="DZL33" s="29"/>
      <c r="DZM33" s="29"/>
      <c r="DZN33" s="29"/>
      <c r="DZO33" s="29"/>
      <c r="DZP33" s="29"/>
      <c r="DZQ33" s="28"/>
      <c r="DZR33" s="29"/>
      <c r="DZS33" s="29"/>
      <c r="DZT33" s="28"/>
      <c r="DZU33" s="29"/>
      <c r="DZV33" s="30"/>
      <c r="DZW33" s="28"/>
      <c r="DZX33" s="29"/>
      <c r="DZY33" s="29"/>
      <c r="DZZ33" s="29"/>
      <c r="EAA33" s="28"/>
      <c r="EAB33" s="29"/>
      <c r="EAC33" s="29"/>
      <c r="EAD33" s="28"/>
      <c r="EAE33" s="29"/>
      <c r="EAF33" s="30"/>
      <c r="EAG33" s="28"/>
      <c r="EAH33" s="29"/>
      <c r="EAI33" s="29"/>
      <c r="EAJ33" s="29"/>
      <c r="EAK33" s="28"/>
      <c r="EAL33" s="29"/>
      <c r="EAM33" s="29"/>
      <c r="EAN33" s="28"/>
      <c r="EAO33" s="29"/>
      <c r="EAP33" s="30"/>
      <c r="EAQ33" s="28"/>
      <c r="EAR33" s="29"/>
      <c r="EAS33" s="29"/>
      <c r="EAT33" s="29"/>
      <c r="EAU33" s="28"/>
      <c r="EAV33" s="29"/>
      <c r="EAW33" s="29"/>
      <c r="EAX33" s="28"/>
      <c r="EAY33" s="29"/>
      <c r="EAZ33" s="30"/>
      <c r="EBA33" s="28"/>
      <c r="EBB33" s="30"/>
      <c r="EBC33" s="29"/>
      <c r="EBD33" s="28"/>
      <c r="EBE33" s="29"/>
      <c r="EBF33" s="28"/>
      <c r="EBG33" s="28"/>
      <c r="EBH33" s="28"/>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30"/>
      <c r="ECU33" s="28"/>
      <c r="ECV33" s="29"/>
      <c r="ECW33" s="29"/>
      <c r="ECX33" s="29"/>
      <c r="ECY33" s="29"/>
      <c r="ECZ33" s="29"/>
      <c r="EDA33" s="28"/>
      <c r="EDB33" s="29"/>
      <c r="EDC33" s="29"/>
      <c r="EDD33" s="28"/>
      <c r="EDE33" s="29"/>
      <c r="EDF33" s="30"/>
      <c r="EDG33" s="28"/>
      <c r="EDH33" s="29"/>
      <c r="EDI33" s="29"/>
      <c r="EDJ33" s="29"/>
      <c r="EDK33" s="28"/>
      <c r="EDL33" s="29"/>
      <c r="EDM33" s="29"/>
      <c r="EDN33" s="28"/>
      <c r="EDO33" s="29"/>
      <c r="EDP33" s="30"/>
      <c r="EDQ33" s="28"/>
      <c r="EDR33" s="29"/>
      <c r="EDS33" s="29"/>
      <c r="EDT33" s="29"/>
      <c r="EDU33" s="28"/>
      <c r="EDV33" s="29"/>
      <c r="EDW33" s="29"/>
      <c r="EDX33" s="28"/>
      <c r="EDY33" s="29"/>
      <c r="EDZ33" s="30"/>
      <c r="EEA33" s="28"/>
      <c r="EEB33" s="29"/>
      <c r="EEC33" s="29"/>
      <c r="EED33" s="29"/>
      <c r="EEE33" s="28"/>
      <c r="EEF33" s="29"/>
      <c r="EEG33" s="29"/>
      <c r="EEH33" s="28"/>
      <c r="EEI33" s="29"/>
      <c r="EEJ33" s="30"/>
      <c r="EEK33" s="28"/>
      <c r="EEL33" s="30"/>
      <c r="EEM33" s="29"/>
      <c r="EEN33" s="28"/>
      <c r="EEO33" s="29"/>
      <c r="EEP33" s="28"/>
      <c r="EEQ33" s="28"/>
      <c r="EER33" s="28"/>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30"/>
      <c r="EGE33" s="28"/>
      <c r="EGF33" s="29"/>
      <c r="EGG33" s="29"/>
      <c r="EGH33" s="29"/>
      <c r="EGI33" s="29"/>
      <c r="EGJ33" s="29"/>
      <c r="EGK33" s="28"/>
      <c r="EGL33" s="29"/>
      <c r="EGM33" s="29"/>
      <c r="EGN33" s="28"/>
      <c r="EGO33" s="29"/>
      <c r="EGP33" s="30"/>
      <c r="EGQ33" s="28"/>
      <c r="EGR33" s="29"/>
      <c r="EGS33" s="29"/>
      <c r="EGT33" s="29"/>
      <c r="EGU33" s="28"/>
      <c r="EGV33" s="29"/>
      <c r="EGW33" s="29"/>
      <c r="EGX33" s="28"/>
      <c r="EGY33" s="29"/>
      <c r="EGZ33" s="30"/>
      <c r="EHA33" s="28"/>
      <c r="EHB33" s="29"/>
      <c r="EHC33" s="29"/>
      <c r="EHD33" s="29"/>
      <c r="EHE33" s="28"/>
      <c r="EHF33" s="29"/>
      <c r="EHG33" s="29"/>
      <c r="EHH33" s="28"/>
      <c r="EHI33" s="29"/>
      <c r="EHJ33" s="30"/>
      <c r="EHK33" s="28"/>
      <c r="EHL33" s="29"/>
      <c r="EHM33" s="29"/>
      <c r="EHN33" s="29"/>
      <c r="EHO33" s="28"/>
      <c r="EHP33" s="29"/>
      <c r="EHQ33" s="29"/>
      <c r="EHR33" s="28"/>
      <c r="EHS33" s="29"/>
      <c r="EHT33" s="30"/>
      <c r="EHU33" s="28"/>
      <c r="EHV33" s="30"/>
      <c r="EHW33" s="29"/>
      <c r="EHX33" s="28"/>
      <c r="EHY33" s="29"/>
      <c r="EHZ33" s="28"/>
      <c r="EIA33" s="28"/>
      <c r="EIB33" s="28"/>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30"/>
      <c r="EJO33" s="28"/>
      <c r="EJP33" s="29"/>
      <c r="EJQ33" s="29"/>
      <c r="EJR33" s="29"/>
      <c r="EJS33" s="29"/>
      <c r="EJT33" s="29"/>
      <c r="EJU33" s="28"/>
      <c r="EJV33" s="29"/>
      <c r="EJW33" s="29"/>
      <c r="EJX33" s="28"/>
      <c r="EJY33" s="29"/>
      <c r="EJZ33" s="30"/>
      <c r="EKA33" s="28"/>
      <c r="EKB33" s="29"/>
      <c r="EKC33" s="29"/>
      <c r="EKD33" s="29"/>
      <c r="EKE33" s="28"/>
      <c r="EKF33" s="29"/>
      <c r="EKG33" s="29"/>
      <c r="EKH33" s="28"/>
      <c r="EKI33" s="29"/>
      <c r="EKJ33" s="30"/>
      <c r="EKK33" s="28"/>
      <c r="EKL33" s="29"/>
      <c r="EKM33" s="29"/>
      <c r="EKN33" s="29"/>
      <c r="EKO33" s="28"/>
      <c r="EKP33" s="29"/>
      <c r="EKQ33" s="29"/>
      <c r="EKR33" s="28"/>
      <c r="EKS33" s="29"/>
      <c r="EKT33" s="30"/>
      <c r="EKU33" s="28"/>
      <c r="EKV33" s="29"/>
      <c r="EKW33" s="29"/>
      <c r="EKX33" s="29"/>
      <c r="EKY33" s="28"/>
      <c r="EKZ33" s="29"/>
      <c r="ELA33" s="29"/>
      <c r="ELB33" s="28"/>
      <c r="ELC33" s="29"/>
      <c r="ELD33" s="30"/>
      <c r="ELE33" s="28"/>
      <c r="ELF33" s="30"/>
      <c r="ELG33" s="29"/>
      <c r="ELH33" s="28"/>
      <c r="ELI33" s="29"/>
      <c r="ELJ33" s="28"/>
      <c r="ELK33" s="28"/>
      <c r="ELL33" s="28"/>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30"/>
      <c r="EMY33" s="28"/>
      <c r="EMZ33" s="29"/>
      <c r="ENA33" s="29"/>
      <c r="ENB33" s="29"/>
      <c r="ENC33" s="29"/>
      <c r="END33" s="29"/>
      <c r="ENE33" s="28"/>
      <c r="ENF33" s="29"/>
      <c r="ENG33" s="29"/>
      <c r="ENH33" s="28"/>
      <c r="ENI33" s="29"/>
      <c r="ENJ33" s="30"/>
      <c r="ENK33" s="28"/>
      <c r="ENL33" s="29"/>
      <c r="ENM33" s="29"/>
      <c r="ENN33" s="29"/>
      <c r="ENO33" s="28"/>
      <c r="ENP33" s="29"/>
      <c r="ENQ33" s="29"/>
      <c r="ENR33" s="28"/>
      <c r="ENS33" s="29"/>
      <c r="ENT33" s="30"/>
      <c r="ENU33" s="28"/>
      <c r="ENV33" s="29"/>
      <c r="ENW33" s="29"/>
      <c r="ENX33" s="29"/>
      <c r="ENY33" s="28"/>
      <c r="ENZ33" s="29"/>
      <c r="EOA33" s="29"/>
      <c r="EOB33" s="28"/>
      <c r="EOC33" s="29"/>
      <c r="EOD33" s="30"/>
      <c r="EOE33" s="28"/>
      <c r="EOF33" s="29"/>
      <c r="EOG33" s="29"/>
      <c r="EOH33" s="29"/>
      <c r="EOI33" s="28"/>
      <c r="EOJ33" s="29"/>
      <c r="EOK33" s="29"/>
      <c r="EOL33" s="28"/>
      <c r="EOM33" s="29"/>
      <c r="EON33" s="30"/>
      <c r="EOO33" s="28" t="str">
        <f t="shared" si="75"/>
        <v xml:space="preserve"> </v>
      </c>
    </row>
    <row r="34" spans="1:3785" x14ac:dyDescent="0.3">
      <c r="A34" s="55" t="s">
        <v>209</v>
      </c>
      <c r="B34" s="58"/>
      <c r="C34" s="57"/>
      <c r="D34" s="56" t="str">
        <f t="shared" si="61"/>
        <v xml:space="preserve"> </v>
      </c>
      <c r="E34" s="57"/>
      <c r="F34" s="56"/>
      <c r="G34" s="56"/>
      <c r="H34" s="56"/>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8"/>
      <c r="AU34" s="56"/>
      <c r="AV34" s="57"/>
      <c r="AW34" s="57"/>
      <c r="AX34" s="57"/>
      <c r="AY34" s="57"/>
      <c r="AZ34" s="57"/>
      <c r="BA34" s="56"/>
      <c r="BB34" s="57"/>
      <c r="BC34" s="57"/>
      <c r="BD34" s="56"/>
      <c r="BE34" s="57"/>
      <c r="BF34" s="58"/>
      <c r="BG34" s="56"/>
      <c r="BH34" s="57"/>
      <c r="BI34" s="57"/>
      <c r="BJ34" s="57"/>
      <c r="BK34" s="56"/>
      <c r="BL34" s="57"/>
      <c r="BM34" s="57"/>
      <c r="BN34" s="56"/>
      <c r="BO34" s="57"/>
      <c r="BP34" s="58"/>
      <c r="BQ34" s="56"/>
      <c r="BR34" s="57"/>
      <c r="BS34" s="57"/>
      <c r="BT34" s="57"/>
      <c r="BU34" s="56"/>
      <c r="BV34" s="57"/>
      <c r="BW34" s="57"/>
      <c r="BX34" s="56"/>
      <c r="BY34" s="57"/>
      <c r="BZ34" s="58"/>
      <c r="CA34" s="56"/>
      <c r="CB34" s="57"/>
      <c r="CC34" s="57"/>
      <c r="CD34" s="57"/>
      <c r="CE34" s="56"/>
      <c r="CF34" s="57"/>
      <c r="CG34" s="57"/>
      <c r="CH34" s="56"/>
      <c r="CI34" s="57"/>
      <c r="CJ34" s="58"/>
      <c r="CK34" s="56"/>
      <c r="CL34" s="57"/>
      <c r="CM34" s="57"/>
      <c r="CN34" s="57"/>
      <c r="CO34" s="56"/>
      <c r="CP34" s="57"/>
      <c r="CQ34" s="57"/>
      <c r="CR34" s="56"/>
      <c r="CS34" s="57"/>
      <c r="CT34" s="58"/>
      <c r="CU34" s="56"/>
      <c r="CV34" s="57"/>
      <c r="CW34" s="57"/>
      <c r="CX34" s="57"/>
      <c r="CY34" s="56"/>
      <c r="CZ34" s="57"/>
      <c r="DA34" s="57"/>
      <c r="DB34" s="56"/>
      <c r="DC34" s="57"/>
      <c r="DD34" s="58"/>
      <c r="DE34" s="56"/>
      <c r="DF34" s="57"/>
      <c r="DG34" s="57"/>
      <c r="DH34" s="57"/>
      <c r="DI34" s="56"/>
      <c r="DJ34" s="57"/>
      <c r="DK34" s="57"/>
      <c r="DL34" s="56"/>
      <c r="DM34" s="57"/>
      <c r="DN34" s="58"/>
      <c r="DO34" s="56"/>
      <c r="DP34" s="57"/>
      <c r="DQ34" s="57"/>
      <c r="DR34" s="57"/>
      <c r="DS34" s="56"/>
      <c r="DT34" s="57"/>
      <c r="DU34" s="57"/>
      <c r="DV34" s="56"/>
      <c r="DW34" s="57"/>
      <c r="DX34" s="58"/>
      <c r="DY34" s="56"/>
      <c r="DZ34" s="57"/>
      <c r="EA34" s="57"/>
      <c r="EB34" s="57"/>
      <c r="EC34" s="56"/>
      <c r="ED34" s="57"/>
      <c r="EE34" s="56"/>
      <c r="EF34" s="56"/>
      <c r="EG34" s="57"/>
      <c r="EH34" s="58"/>
      <c r="EI34" s="56"/>
      <c r="EJ34" s="57"/>
      <c r="EK34" s="57"/>
      <c r="EL34" s="57"/>
      <c r="EM34" s="56"/>
      <c r="EN34" s="57"/>
      <c r="EO34" s="57"/>
      <c r="EP34" s="56"/>
      <c r="EQ34" s="57"/>
      <c r="ER34" s="58"/>
      <c r="ES34" s="56"/>
      <c r="ET34" s="57"/>
      <c r="EU34" s="57"/>
      <c r="EV34" s="57"/>
      <c r="EW34" s="56"/>
      <c r="EX34" s="57"/>
      <c r="EY34" s="57"/>
      <c r="EZ34" s="56"/>
      <c r="FA34" s="57"/>
      <c r="FB34" s="58"/>
      <c r="FC34" s="56"/>
      <c r="FD34" s="57"/>
      <c r="FE34" s="57"/>
      <c r="FF34" s="57"/>
      <c r="FG34" s="56"/>
      <c r="FH34" s="57"/>
      <c r="FI34" s="57"/>
      <c r="FJ34" s="56"/>
      <c r="FK34" s="57"/>
      <c r="FL34" s="58"/>
      <c r="FM34" s="56"/>
      <c r="FN34" s="57"/>
      <c r="FO34" s="57"/>
      <c r="FP34" s="57"/>
      <c r="FQ34" s="56"/>
      <c r="FR34" s="57"/>
      <c r="FS34" s="57"/>
      <c r="FT34" s="56"/>
      <c r="FU34" s="57"/>
      <c r="FV34" s="58"/>
      <c r="FW34" s="56"/>
      <c r="FX34" s="57"/>
      <c r="FY34" s="57"/>
      <c r="FZ34" s="57"/>
      <c r="GA34" s="56"/>
      <c r="GB34" s="57"/>
      <c r="GC34" s="57"/>
      <c r="GD34" s="56"/>
      <c r="GE34" s="57"/>
      <c r="GF34" s="58"/>
      <c r="GG34" s="56"/>
      <c r="GH34" s="57"/>
      <c r="GI34" s="57"/>
      <c r="GJ34" s="57"/>
      <c r="GK34" s="56"/>
      <c r="GL34" s="57"/>
      <c r="GM34" s="57"/>
      <c r="GN34" s="56"/>
      <c r="GO34" s="57"/>
      <c r="GP34" s="58"/>
      <c r="GQ34" s="56"/>
      <c r="GR34" s="57"/>
      <c r="GS34" s="57"/>
      <c r="GT34" s="57"/>
      <c r="GU34" s="56"/>
      <c r="GV34" s="57"/>
      <c r="GW34" s="57"/>
      <c r="GX34" s="56"/>
      <c r="GY34" s="57"/>
      <c r="GZ34" s="58"/>
      <c r="HA34" s="56"/>
      <c r="HB34" s="57"/>
      <c r="HC34" s="57"/>
      <c r="HD34" s="57"/>
      <c r="HE34" s="56"/>
      <c r="HF34" s="57"/>
      <c r="HG34" s="57"/>
      <c r="HH34" s="56"/>
      <c r="HI34" s="57"/>
      <c r="HJ34" s="58"/>
      <c r="HK34" s="56"/>
      <c r="HL34" s="57"/>
      <c r="HM34" s="57"/>
      <c r="HN34" s="57"/>
      <c r="HO34" s="56"/>
      <c r="HP34" s="57"/>
      <c r="HQ34" s="57"/>
      <c r="HR34" s="56"/>
      <c r="HS34" s="57"/>
      <c r="HT34" s="58"/>
      <c r="HU34" s="56"/>
      <c r="HV34" s="57"/>
      <c r="HW34" s="57"/>
      <c r="HX34" s="57"/>
      <c r="HY34" s="56"/>
      <c r="HZ34" s="57"/>
      <c r="IA34" s="57"/>
      <c r="IB34" s="56"/>
      <c r="IC34" s="57"/>
      <c r="ID34" s="58"/>
      <c r="IE34" s="56"/>
      <c r="IF34" s="57"/>
      <c r="IG34" s="57"/>
      <c r="IH34" s="57"/>
      <c r="II34" s="56"/>
      <c r="IJ34" s="57"/>
      <c r="IK34" s="57"/>
      <c r="IL34" s="56"/>
      <c r="IM34" s="57"/>
      <c r="IN34" s="58"/>
      <c r="IO34" s="56"/>
      <c r="IP34" s="57"/>
      <c r="IQ34" s="57"/>
      <c r="IR34" s="57"/>
      <c r="IS34" s="56"/>
      <c r="IT34" s="57"/>
      <c r="IU34" s="57"/>
      <c r="IV34" s="56"/>
      <c r="IW34" s="57"/>
      <c r="IX34" s="58"/>
      <c r="IY34" s="56"/>
      <c r="IZ34" s="57"/>
      <c r="JA34" s="57"/>
      <c r="JB34" s="57"/>
      <c r="JC34" s="56"/>
      <c r="JD34" s="57"/>
      <c r="JE34" s="57"/>
      <c r="JF34" s="56"/>
      <c r="JG34" s="57"/>
      <c r="JH34" s="58"/>
      <c r="JI34" s="56"/>
      <c r="JJ34" s="57"/>
      <c r="JK34" s="57"/>
      <c r="JL34" s="57"/>
      <c r="JM34" s="56"/>
      <c r="JN34" s="57"/>
      <c r="JO34" s="57"/>
      <c r="JP34" s="56"/>
      <c r="JQ34" s="57"/>
      <c r="JR34" s="58"/>
      <c r="JS34" s="56"/>
      <c r="JT34" s="57"/>
      <c r="JU34" s="57"/>
      <c r="JV34" s="57"/>
      <c r="JW34" s="56"/>
      <c r="JX34" s="57"/>
      <c r="JY34" s="57"/>
      <c r="JZ34" s="56"/>
      <c r="KA34" s="57"/>
      <c r="KB34" s="58"/>
      <c r="KC34" s="56"/>
      <c r="KD34" s="57"/>
      <c r="KE34" s="57"/>
      <c r="KF34" s="57"/>
      <c r="KG34" s="56"/>
      <c r="KH34" s="57"/>
      <c r="KI34" s="57"/>
      <c r="KJ34" s="56"/>
      <c r="KK34" s="57"/>
      <c r="KL34" s="58"/>
      <c r="KM34" s="56"/>
      <c r="KN34" s="57"/>
      <c r="KO34" s="57"/>
      <c r="KP34" s="57"/>
      <c r="KQ34" s="56"/>
      <c r="KR34" s="57"/>
      <c r="KS34" s="57"/>
      <c r="KT34" s="56"/>
      <c r="KU34" s="57"/>
      <c r="KV34" s="58"/>
      <c r="KW34" s="56"/>
      <c r="KX34" s="57"/>
      <c r="KY34" s="57"/>
      <c r="KZ34" s="57"/>
      <c r="LA34" s="56"/>
      <c r="LB34" s="57"/>
      <c r="LC34" s="57"/>
      <c r="LD34" s="56"/>
      <c r="LE34" s="57"/>
      <c r="LF34" s="58"/>
      <c r="LG34" s="56"/>
      <c r="LH34" s="57"/>
      <c r="LI34" s="57"/>
      <c r="LJ34" s="57"/>
      <c r="LK34" s="56"/>
      <c r="LL34" s="57"/>
      <c r="LM34" s="57"/>
      <c r="LN34" s="56"/>
      <c r="LO34" s="57"/>
      <c r="LP34" s="58"/>
      <c r="LQ34" s="56"/>
      <c r="LR34" s="57"/>
      <c r="LS34" s="57"/>
      <c r="LT34" s="57"/>
      <c r="LU34" s="56"/>
      <c r="LV34" s="57"/>
      <c r="LW34" s="57"/>
      <c r="LX34" s="56"/>
      <c r="LY34" s="57"/>
      <c r="LZ34" s="58"/>
      <c r="MA34" s="56"/>
      <c r="MB34" s="57"/>
      <c r="MC34" s="57"/>
      <c r="MD34" s="57"/>
      <c r="ME34" s="56"/>
      <c r="MF34" s="57"/>
      <c r="MG34" s="57"/>
      <c r="MH34" s="56"/>
      <c r="MI34" s="57"/>
      <c r="MJ34" s="58"/>
      <c r="MK34" s="56"/>
      <c r="ML34" s="57"/>
      <c r="MM34" s="57"/>
      <c r="MN34" s="57"/>
      <c r="MO34" s="56"/>
      <c r="MP34" s="57"/>
      <c r="MQ34" s="57"/>
      <c r="MR34" s="56"/>
      <c r="MS34" s="57"/>
      <c r="MT34" s="58"/>
      <c r="MU34" s="56"/>
      <c r="MV34" s="57"/>
      <c r="MW34" s="57"/>
      <c r="MX34" s="57"/>
      <c r="MY34" s="56"/>
      <c r="MZ34" s="57"/>
      <c r="NA34" s="57"/>
      <c r="NB34" s="56"/>
      <c r="NC34" s="57"/>
      <c r="ND34" s="58"/>
      <c r="NE34" s="56"/>
      <c r="NF34" s="57"/>
      <c r="NG34" s="57"/>
      <c r="NH34" s="57"/>
      <c r="NI34" s="56"/>
      <c r="NJ34" s="57"/>
      <c r="NK34" s="57"/>
      <c r="NL34" s="56"/>
      <c r="NM34" s="57"/>
      <c r="NN34" s="58"/>
      <c r="NO34" s="56"/>
      <c r="NP34" s="57"/>
      <c r="NQ34" s="57"/>
      <c r="NR34" s="57"/>
      <c r="NS34" s="56"/>
      <c r="NT34" s="57"/>
      <c r="NU34" s="57"/>
      <c r="NV34" s="56"/>
      <c r="NW34" s="57"/>
      <c r="NX34" s="58"/>
      <c r="NY34" s="56"/>
      <c r="NZ34" s="57"/>
      <c r="OA34" s="57"/>
      <c r="OB34" s="57"/>
      <c r="OC34" s="56"/>
      <c r="OD34" s="57"/>
      <c r="OE34" s="57"/>
      <c r="OF34" s="58"/>
      <c r="OG34" s="58"/>
      <c r="OH34" s="58"/>
      <c r="OI34" s="56"/>
      <c r="OJ34" s="58"/>
      <c r="OK34" s="58"/>
      <c r="OL34" s="58"/>
      <c r="OM34" s="58"/>
      <c r="ON34" s="58"/>
      <c r="OO34" s="58"/>
      <c r="OP34" s="56"/>
      <c r="OQ34" s="57"/>
      <c r="OR34" s="58"/>
      <c r="OS34" s="56"/>
      <c r="OT34" s="57"/>
      <c r="OU34" s="57"/>
      <c r="OV34" s="57"/>
      <c r="OW34" s="56"/>
      <c r="OX34" s="57"/>
      <c r="OY34" s="57"/>
      <c r="OZ34" s="56"/>
      <c r="PA34" s="57"/>
      <c r="PB34" s="58"/>
      <c r="PC34" s="56"/>
      <c r="PD34" s="57"/>
      <c r="PE34" s="57"/>
      <c r="PF34" s="57"/>
      <c r="PG34" s="56"/>
      <c r="PH34" s="57"/>
      <c r="PI34" s="57"/>
      <c r="PJ34" s="56"/>
      <c r="PK34" s="57"/>
      <c r="PL34" s="58"/>
      <c r="PM34" s="56"/>
      <c r="PN34" s="57"/>
      <c r="PO34" s="57"/>
      <c r="PP34" s="57"/>
      <c r="PQ34" s="56"/>
      <c r="PR34" s="57"/>
      <c r="PS34" s="57"/>
      <c r="PT34" s="56"/>
      <c r="PU34" s="57"/>
      <c r="PV34" s="58"/>
      <c r="PW34" s="56"/>
      <c r="PX34" s="57"/>
      <c r="PY34" s="57"/>
      <c r="PZ34" s="57"/>
      <c r="QA34" s="56"/>
      <c r="QB34" s="57"/>
      <c r="QC34" s="57"/>
      <c r="QD34" s="56"/>
      <c r="QE34" s="57"/>
      <c r="QF34" s="58"/>
      <c r="QG34" s="56"/>
      <c r="QH34" s="57"/>
      <c r="QI34" s="57"/>
      <c r="QJ34" s="57"/>
      <c r="QK34" s="56"/>
      <c r="QL34" s="57"/>
      <c r="QM34" s="57"/>
      <c r="QN34" s="56"/>
      <c r="QO34" s="57"/>
      <c r="QP34" s="58"/>
      <c r="QQ34" s="56"/>
      <c r="QR34" s="57"/>
      <c r="QS34" s="57"/>
      <c r="QT34" s="57"/>
      <c r="QU34" s="56"/>
      <c r="QV34" s="57"/>
      <c r="QW34" s="57"/>
      <c r="QX34" s="56"/>
      <c r="QY34" s="57"/>
      <c r="QZ34" s="58"/>
      <c r="RA34" s="56"/>
      <c r="RB34" s="57"/>
      <c r="RC34" s="57"/>
      <c r="RD34" s="57"/>
      <c r="RE34" s="56"/>
      <c r="RF34" s="57"/>
      <c r="RG34" s="57"/>
      <c r="RH34" s="56"/>
      <c r="RI34" s="57"/>
      <c r="RJ34" s="58"/>
      <c r="RK34" s="56"/>
      <c r="RL34" s="57"/>
      <c r="RM34" s="57"/>
      <c r="RN34" s="57"/>
      <c r="RO34" s="56"/>
      <c r="RP34" s="57"/>
      <c r="RQ34" s="57"/>
      <c r="RR34" s="56"/>
      <c r="RS34" s="57"/>
      <c r="RT34" s="58"/>
      <c r="RU34" s="56"/>
      <c r="RV34" s="57"/>
      <c r="RW34" s="57"/>
      <c r="RX34" s="57"/>
      <c r="RY34" s="56"/>
      <c r="RZ34" s="57"/>
      <c r="SA34" s="57"/>
      <c r="SB34" s="56"/>
      <c r="SC34" s="57"/>
      <c r="SD34" s="58"/>
      <c r="SE34" s="56"/>
      <c r="SF34" s="57"/>
      <c r="SG34" s="57"/>
      <c r="SH34" s="57"/>
      <c r="SI34" s="56"/>
      <c r="SJ34" s="57"/>
      <c r="SK34" s="57"/>
      <c r="SL34" s="56"/>
      <c r="SM34" s="57"/>
      <c r="SN34" s="58"/>
      <c r="SO34" s="56"/>
      <c r="SP34" s="57"/>
      <c r="SQ34" s="57"/>
      <c r="SR34" s="57"/>
      <c r="SS34" s="56"/>
      <c r="ST34" s="57"/>
      <c r="SU34" s="57"/>
      <c r="SV34" s="56"/>
      <c r="SW34" s="57"/>
      <c r="SX34" s="58"/>
      <c r="SY34" s="56"/>
      <c r="SZ34" s="57"/>
      <c r="TA34" s="57"/>
      <c r="TB34" s="57"/>
      <c r="TC34" s="56"/>
      <c r="TD34" s="57"/>
      <c r="TE34" s="57"/>
      <c r="TF34" s="56"/>
      <c r="TG34" s="57"/>
      <c r="TH34" s="58"/>
      <c r="TI34" s="56"/>
      <c r="TJ34" s="57"/>
      <c r="TK34" s="57"/>
      <c r="TL34" s="57"/>
      <c r="TM34" s="56"/>
      <c r="TN34" s="57"/>
      <c r="TO34" s="57"/>
      <c r="TP34" s="56"/>
      <c r="TQ34" s="57"/>
      <c r="TR34" s="58"/>
      <c r="TS34" s="56"/>
      <c r="TT34" s="57"/>
      <c r="TU34" s="57"/>
      <c r="TV34" s="57"/>
      <c r="TW34" s="56"/>
      <c r="TX34" s="57"/>
      <c r="TY34" s="57"/>
      <c r="TZ34" s="56"/>
      <c r="UA34" s="57"/>
      <c r="UB34" s="58"/>
      <c r="UC34" s="56"/>
      <c r="UD34" s="57"/>
      <c r="UE34" s="57"/>
      <c r="UF34" s="57"/>
      <c r="UG34" s="56"/>
      <c r="UH34" s="57"/>
      <c r="UI34" s="57"/>
      <c r="UJ34" s="56"/>
      <c r="UK34" s="57"/>
      <c r="UL34" s="58"/>
      <c r="UM34" s="56"/>
      <c r="UN34" s="57"/>
      <c r="UO34" s="57"/>
      <c r="UP34" s="57"/>
      <c r="UQ34" s="56"/>
      <c r="UR34" s="57"/>
      <c r="US34" s="57"/>
      <c r="UT34" s="56"/>
      <c r="UU34" s="57"/>
      <c r="UV34" s="58"/>
      <c r="UW34" s="56"/>
      <c r="UX34" s="57"/>
      <c r="UY34" s="57"/>
      <c r="UZ34" s="57"/>
      <c r="VA34" s="56"/>
      <c r="VB34" s="57"/>
      <c r="VC34" s="57"/>
      <c r="VD34" s="56"/>
      <c r="VE34" s="57"/>
      <c r="VF34" s="58"/>
      <c r="VG34" s="56"/>
      <c r="VH34" s="57"/>
      <c r="VI34" s="57"/>
      <c r="VJ34" s="57"/>
      <c r="VK34" s="56"/>
      <c r="VL34" s="57"/>
      <c r="VM34" s="57"/>
      <c r="VN34" s="56"/>
      <c r="VO34" s="57"/>
      <c r="VP34" s="58"/>
      <c r="VQ34" s="56"/>
      <c r="VR34" s="57"/>
      <c r="VS34" s="57"/>
      <c r="VT34" s="57"/>
      <c r="VU34" s="56"/>
      <c r="VV34" s="57"/>
      <c r="VW34" s="57"/>
      <c r="VX34" s="56"/>
      <c r="VY34" s="57"/>
      <c r="VZ34" s="58"/>
      <c r="WA34" s="56"/>
      <c r="WB34" s="57"/>
      <c r="WC34" s="57"/>
      <c r="WD34" s="57"/>
      <c r="WE34" s="56"/>
      <c r="WF34" s="57"/>
      <c r="WG34" s="57"/>
      <c r="WH34" s="56"/>
      <c r="WI34" s="57"/>
      <c r="WJ34" s="58"/>
      <c r="WK34" s="56"/>
      <c r="WL34" s="57"/>
      <c r="WM34" s="57"/>
      <c r="WN34" s="57"/>
      <c r="WO34" s="56"/>
      <c r="WP34" s="57"/>
      <c r="WQ34" s="57"/>
      <c r="WR34" s="56"/>
      <c r="WS34" s="57"/>
      <c r="WT34" s="58"/>
      <c r="WU34" s="56"/>
      <c r="WV34" s="57"/>
      <c r="WW34" s="57"/>
      <c r="WX34" s="57"/>
      <c r="WY34" s="56"/>
      <c r="WZ34" s="57"/>
      <c r="XA34" s="57"/>
      <c r="XB34" s="56"/>
      <c r="XC34" s="57"/>
      <c r="XD34" s="58"/>
      <c r="XE34" s="56"/>
      <c r="XF34" s="57"/>
      <c r="XG34" s="57"/>
      <c r="XH34" s="57"/>
      <c r="XI34" s="56"/>
      <c r="XJ34" s="57"/>
      <c r="XK34" s="57"/>
      <c r="XL34" s="56"/>
      <c r="XM34" s="57"/>
      <c r="XN34" s="58"/>
      <c r="XO34" s="56"/>
      <c r="XP34" s="57"/>
      <c r="XQ34" s="57"/>
      <c r="XR34" s="57"/>
      <c r="XS34" s="56"/>
      <c r="XT34" s="57"/>
      <c r="XU34" s="57"/>
      <c r="XV34" s="56"/>
      <c r="XW34" s="57"/>
      <c r="XX34" s="58"/>
      <c r="XY34" s="56"/>
      <c r="XZ34" s="57"/>
      <c r="YA34" s="57"/>
      <c r="YB34" s="57"/>
      <c r="YC34" s="56"/>
      <c r="YD34" s="57"/>
      <c r="YE34" s="57"/>
      <c r="YF34" s="56"/>
      <c r="YG34" s="57"/>
      <c r="YH34" s="58"/>
      <c r="YI34" s="56"/>
      <c r="YJ34" s="57"/>
      <c r="YK34" s="57"/>
      <c r="YL34" s="57"/>
      <c r="YM34" s="56"/>
      <c r="YN34" s="57"/>
      <c r="YO34" s="57"/>
      <c r="YP34" s="56"/>
      <c r="YQ34" s="57"/>
      <c r="YR34" s="58"/>
      <c r="YS34" s="56"/>
      <c r="YT34" s="57"/>
      <c r="YU34" s="57"/>
      <c r="YV34" s="57"/>
      <c r="YW34" s="56"/>
      <c r="YX34" s="57"/>
      <c r="YY34" s="57"/>
      <c r="YZ34" s="56"/>
      <c r="ZA34" s="57"/>
      <c r="ZB34" s="58"/>
      <c r="ZC34" s="56"/>
      <c r="ZD34" s="57"/>
      <c r="ZE34" s="57"/>
      <c r="ZF34" s="57"/>
      <c r="ZG34" s="56"/>
      <c r="ZH34" s="57"/>
      <c r="ZI34" s="57"/>
      <c r="ZJ34" s="56"/>
      <c r="ZK34" s="57"/>
      <c r="ZL34" s="58"/>
      <c r="ZM34" s="56"/>
      <c r="ZN34" s="57"/>
      <c r="ZO34" s="57"/>
      <c r="ZP34" s="57"/>
      <c r="ZQ34" s="56"/>
      <c r="ZR34" s="57"/>
      <c r="ZS34" s="57"/>
      <c r="ZT34" s="56"/>
      <c r="ZU34" s="57"/>
      <c r="ZV34" s="58"/>
      <c r="ZW34" s="56"/>
      <c r="ZX34" s="57"/>
      <c r="ZY34" s="57"/>
      <c r="ZZ34" s="57"/>
      <c r="AAA34" s="56"/>
      <c r="AAB34" s="57"/>
      <c r="AAC34" s="57"/>
      <c r="AAD34" s="56"/>
      <c r="AAE34" s="57"/>
      <c r="AAF34" s="58"/>
      <c r="AAG34" s="56"/>
      <c r="AAH34" s="57"/>
      <c r="AAI34" s="57"/>
      <c r="AAJ34" s="57"/>
      <c r="AAK34" s="56"/>
      <c r="AAL34" s="57"/>
      <c r="AAM34" s="57"/>
      <c r="AAN34" s="56"/>
      <c r="AAO34" s="57"/>
      <c r="AAP34" s="58"/>
      <c r="AAQ34" s="56"/>
      <c r="AAR34" s="57"/>
      <c r="AAS34" s="57"/>
      <c r="AAT34" s="57"/>
      <c r="AAU34" s="56"/>
      <c r="AAV34" s="57"/>
      <c r="AAW34" s="57"/>
      <c r="AAX34" s="58"/>
      <c r="AAY34" s="58"/>
      <c r="AAZ34" s="58"/>
      <c r="ABA34" s="56"/>
      <c r="ABB34" s="58"/>
      <c r="ABC34" s="58"/>
      <c r="ABD34" s="58"/>
      <c r="ABE34" s="58"/>
      <c r="ABF34" s="58"/>
      <c r="ABG34" s="57"/>
      <c r="ABH34" s="56"/>
      <c r="ABI34" s="57"/>
      <c r="ABJ34" s="58"/>
      <c r="ABK34" s="56"/>
      <c r="ABL34" s="57"/>
      <c r="ABM34" s="57"/>
      <c r="ABN34" s="57"/>
      <c r="ABO34" s="56"/>
      <c r="ABP34" s="57"/>
      <c r="ABQ34" s="57"/>
      <c r="ABR34" s="56"/>
      <c r="ABS34" s="57"/>
      <c r="ABT34" s="58"/>
      <c r="ABU34" s="56"/>
      <c r="ABV34" s="57"/>
      <c r="ABW34" s="57"/>
      <c r="ABX34" s="57"/>
      <c r="ABY34" s="56"/>
      <c r="ABZ34" s="57"/>
      <c r="ACA34" s="57"/>
      <c r="ACB34" s="56"/>
      <c r="ACC34" s="57"/>
      <c r="ACD34" s="58"/>
      <c r="ACE34" s="56"/>
      <c r="ACF34" s="57"/>
      <c r="ACG34" s="57"/>
      <c r="ACH34" s="57"/>
      <c r="ACI34" s="56"/>
      <c r="ACJ34" s="57"/>
      <c r="ACK34" s="57"/>
      <c r="ACL34" s="56"/>
      <c r="ACM34" s="57"/>
      <c r="ACN34" s="58"/>
      <c r="ACO34" s="56"/>
      <c r="ACP34" s="57"/>
      <c r="ACQ34" s="57"/>
      <c r="ACR34" s="57"/>
      <c r="ACS34" s="56"/>
      <c r="ACT34" s="57"/>
      <c r="ACU34" s="57"/>
      <c r="ACV34" s="56"/>
      <c r="ACW34" s="57"/>
      <c r="ACX34" s="58"/>
      <c r="ACY34" s="56"/>
      <c r="ACZ34" s="57"/>
      <c r="ADA34" s="57"/>
      <c r="ADB34" s="57"/>
      <c r="ADC34" s="56"/>
      <c r="ADD34" s="57"/>
      <c r="ADE34" s="57"/>
      <c r="ADF34" s="56"/>
      <c r="ADG34" s="57"/>
      <c r="ADH34" s="58"/>
      <c r="ADI34" s="56"/>
      <c r="ADJ34" s="57"/>
      <c r="ADK34" s="57"/>
      <c r="ADL34" s="57"/>
      <c r="ADM34" s="56"/>
      <c r="ADN34" s="57"/>
      <c r="ADO34" s="57"/>
      <c r="ADP34" s="56"/>
      <c r="ADQ34" s="57"/>
      <c r="ADR34" s="58"/>
      <c r="ADS34" s="56"/>
      <c r="ADT34" s="57"/>
      <c r="ADU34" s="57"/>
      <c r="ADV34" s="57"/>
      <c r="ADW34" s="56"/>
      <c r="ADX34" s="57"/>
      <c r="ADY34" s="57"/>
      <c r="ADZ34" s="56"/>
      <c r="AEA34" s="57"/>
      <c r="AEB34" s="58"/>
      <c r="AEC34" s="56"/>
      <c r="AED34" s="57"/>
      <c r="AEE34" s="57"/>
      <c r="AEF34" s="57"/>
      <c r="AEG34" s="56"/>
      <c r="AEH34" s="57"/>
      <c r="AEI34" s="57"/>
      <c r="AEJ34" s="56"/>
      <c r="AEK34" s="57"/>
      <c r="AEL34" s="58"/>
      <c r="AEM34" s="56"/>
      <c r="AEN34" s="57"/>
      <c r="AEO34" s="57"/>
      <c r="AEP34" s="57"/>
      <c r="AEQ34" s="56"/>
      <c r="AER34" s="57"/>
      <c r="AES34" s="57"/>
      <c r="AET34" s="56"/>
      <c r="AEU34" s="57"/>
      <c r="AEV34" s="58"/>
      <c r="AEW34" s="56"/>
      <c r="AEX34" s="57"/>
      <c r="AEY34" s="57"/>
      <c r="AEZ34" s="57"/>
      <c r="AFA34" s="56"/>
      <c r="AFB34" s="57"/>
      <c r="AFC34" s="57"/>
      <c r="AFD34" s="56"/>
      <c r="AFE34" s="57"/>
      <c r="AFF34" s="58"/>
      <c r="AFG34" s="56"/>
      <c r="AFH34" s="57"/>
      <c r="AFI34" s="57"/>
      <c r="AFJ34" s="57"/>
      <c r="AFK34" s="56"/>
      <c r="AFL34" s="57"/>
      <c r="AFM34" s="57"/>
      <c r="AFN34" s="56"/>
      <c r="AFO34" s="57"/>
      <c r="AFP34" s="58"/>
      <c r="AFQ34" s="56"/>
      <c r="AFR34" s="57"/>
      <c r="AFS34" s="57"/>
      <c r="AFT34" s="57"/>
      <c r="AFU34" s="56"/>
      <c r="AFV34" s="57"/>
      <c r="AFW34" s="57"/>
      <c r="AFX34" s="56"/>
      <c r="AFY34" s="57"/>
      <c r="AFZ34" s="58"/>
      <c r="AGA34" s="56"/>
      <c r="AGB34" s="57"/>
      <c r="AGC34" s="57"/>
      <c r="AGD34" s="57"/>
      <c r="AGE34" s="56"/>
      <c r="AGF34" s="57"/>
      <c r="AGG34" s="57"/>
      <c r="AGH34" s="56"/>
      <c r="AGI34" s="57"/>
      <c r="AGJ34" s="58"/>
      <c r="AGK34" s="56"/>
      <c r="AGL34" s="57"/>
      <c r="AGM34" s="57"/>
      <c r="AGN34" s="57"/>
      <c r="AGO34" s="56"/>
      <c r="AGP34" s="57"/>
      <c r="AGQ34" s="57"/>
      <c r="AGR34" s="56"/>
      <c r="AGS34" s="57"/>
      <c r="AGT34" s="58"/>
      <c r="AGU34" s="56"/>
      <c r="AGV34" s="57"/>
      <c r="AGW34" s="57"/>
      <c r="AGX34" s="57"/>
      <c r="AGY34" s="56"/>
      <c r="AGZ34" s="57"/>
      <c r="AHA34" s="57"/>
      <c r="AHB34" s="56"/>
      <c r="AHC34" s="57"/>
      <c r="AHD34" s="58"/>
      <c r="AHE34" s="56"/>
      <c r="AHF34" s="57"/>
      <c r="AHG34" s="57"/>
      <c r="AHH34" s="57"/>
      <c r="AHI34" s="56"/>
      <c r="AHJ34" s="57"/>
      <c r="AHK34" s="57"/>
      <c r="AHL34" s="56"/>
      <c r="AHM34" s="57"/>
      <c r="AHN34" s="58"/>
      <c r="AHO34" s="56"/>
      <c r="AHP34" s="57"/>
      <c r="AHQ34" s="57"/>
      <c r="AHR34" s="57"/>
      <c r="AHS34" s="56"/>
      <c r="AHT34" s="57"/>
      <c r="AHU34" s="57"/>
      <c r="AHV34" s="56"/>
      <c r="AHW34" s="57"/>
      <c r="AHX34" s="58"/>
      <c r="AHY34" s="56"/>
      <c r="AHZ34" s="57"/>
      <c r="AIA34" s="57"/>
      <c r="AIB34" s="57"/>
      <c r="AIC34" s="56"/>
      <c r="AID34" s="57"/>
      <c r="AIE34" s="57"/>
      <c r="AIF34" s="56"/>
      <c r="AIG34" s="57"/>
      <c r="AIH34" s="58"/>
      <c r="AII34" s="56"/>
      <c r="AIJ34" s="57"/>
      <c r="AIK34" s="57"/>
      <c r="AIL34" s="57"/>
      <c r="AIM34" s="56"/>
      <c r="AIN34" s="57"/>
      <c r="AIO34" s="57"/>
      <c r="AIP34" s="56"/>
      <c r="AIQ34" s="57"/>
      <c r="AIR34" s="58"/>
      <c r="AIS34" s="56"/>
      <c r="AIT34" s="57"/>
      <c r="AIU34" s="57"/>
      <c r="AIV34" s="57"/>
      <c r="AIW34" s="56"/>
      <c r="AIX34" s="57"/>
      <c r="AIY34" s="57"/>
      <c r="AIZ34" s="56"/>
      <c r="AJA34" s="57"/>
      <c r="AJB34" s="58"/>
      <c r="AJC34" s="56"/>
      <c r="AJD34" s="57"/>
      <c r="AJE34" s="57"/>
      <c r="AJF34" s="57"/>
      <c r="AJG34" s="56"/>
      <c r="AJH34" s="57"/>
      <c r="AJI34" s="57"/>
      <c r="AJJ34" s="56"/>
      <c r="AJK34" s="57"/>
      <c r="AJL34" s="58"/>
      <c r="AJM34" s="56"/>
      <c r="AJN34" s="57"/>
      <c r="AJO34" s="57"/>
      <c r="AJP34" s="57"/>
      <c r="AJQ34" s="56"/>
      <c r="AJR34" s="57"/>
      <c r="AJS34" s="57"/>
      <c r="AJT34" s="56"/>
      <c r="AJU34" s="57"/>
      <c r="AJV34" s="58"/>
      <c r="AJW34" s="56"/>
      <c r="AJX34" s="57"/>
      <c r="AJY34" s="57"/>
      <c r="AJZ34" s="57"/>
      <c r="AKA34" s="56"/>
      <c r="AKB34" s="57"/>
      <c r="AKC34" s="57"/>
      <c r="AKD34" s="56"/>
      <c r="AKE34" s="57"/>
      <c r="AKF34" s="58"/>
      <c r="AKG34" s="56"/>
      <c r="AKH34" s="57"/>
      <c r="AKI34" s="57"/>
      <c r="AKJ34" s="57"/>
      <c r="AKK34" s="56"/>
      <c r="AKL34" s="57"/>
      <c r="AKM34" s="57"/>
      <c r="AKN34" s="56"/>
      <c r="AKO34" s="57"/>
      <c r="AKP34" s="58"/>
      <c r="AKQ34" s="56"/>
      <c r="AKR34" s="57"/>
      <c r="AKS34" s="57"/>
      <c r="AKT34" s="57"/>
      <c r="AKU34" s="56"/>
      <c r="AKV34" s="57"/>
      <c r="AKW34" s="57"/>
      <c r="AKX34" s="56"/>
      <c r="AKY34" s="57"/>
      <c r="AKZ34" s="58"/>
      <c r="ALA34" s="56"/>
      <c r="ALB34" s="57"/>
      <c r="ALC34" s="57"/>
      <c r="ALD34" s="57"/>
      <c r="ALE34" s="56"/>
      <c r="ALF34" s="57"/>
      <c r="ALG34" s="57"/>
      <c r="ALH34" s="57"/>
      <c r="ALI34" s="57"/>
      <c r="ALJ34" s="57"/>
      <c r="ALK34" s="56"/>
      <c r="ALL34" s="57"/>
      <c r="ALM34" s="57"/>
      <c r="ALN34" s="56"/>
      <c r="ALO34" s="57"/>
      <c r="ALP34" s="58"/>
      <c r="ALQ34" s="56"/>
      <c r="ALR34" s="57"/>
      <c r="ALS34" s="57"/>
      <c r="ALT34" s="57"/>
      <c r="ALU34" s="56"/>
      <c r="ALV34" s="57"/>
      <c r="ALW34" s="57"/>
      <c r="ALX34" s="56"/>
      <c r="ALY34" s="57"/>
      <c r="ALZ34" s="58"/>
      <c r="AMA34" s="56"/>
      <c r="AMB34" s="57"/>
      <c r="AMC34" s="57"/>
      <c r="AMD34" s="57"/>
      <c r="AME34" s="56"/>
      <c r="AMF34" s="57"/>
      <c r="AMG34" s="57"/>
      <c r="AMH34" s="57"/>
      <c r="AMI34" s="57"/>
      <c r="AMJ34" s="57"/>
      <c r="AMK34" s="56"/>
      <c r="AML34" s="57"/>
      <c r="AMM34" s="57"/>
      <c r="AMN34" s="56"/>
      <c r="AMO34" s="57"/>
      <c r="AMP34" s="58"/>
      <c r="AMQ34" s="56"/>
      <c r="AMR34" s="57"/>
      <c r="AMS34" s="57"/>
      <c r="AMT34" s="57"/>
      <c r="AMU34" s="56"/>
      <c r="AMV34" s="57"/>
      <c r="AMW34" s="57"/>
      <c r="AMX34" s="56"/>
      <c r="AMY34" s="57"/>
      <c r="AMZ34" s="58"/>
      <c r="ANA34" s="56"/>
      <c r="ANB34" s="57"/>
      <c r="ANC34" s="57"/>
      <c r="AND34" s="57"/>
      <c r="ANE34" s="56"/>
      <c r="ANF34" s="57"/>
      <c r="ANG34" s="57"/>
      <c r="ANH34" s="57"/>
      <c r="ANI34" s="57"/>
      <c r="ANJ34" s="57"/>
      <c r="ANK34" s="56"/>
      <c r="ANL34" s="57"/>
      <c r="ANM34" s="57"/>
      <c r="ANN34" s="56"/>
      <c r="ANO34" s="57"/>
      <c r="ANP34" s="58"/>
      <c r="ANQ34" s="56"/>
      <c r="ANR34" s="57"/>
      <c r="ANS34" s="57"/>
      <c r="ANT34" s="57"/>
      <c r="ANU34" s="56"/>
      <c r="ANV34" s="57"/>
      <c r="ANW34" s="57"/>
      <c r="ANX34" s="56"/>
      <c r="ANY34" s="57"/>
      <c r="ANZ34" s="58"/>
      <c r="AOA34" s="56"/>
      <c r="AOB34" s="57"/>
      <c r="AOC34" s="57"/>
      <c r="AOD34" s="57"/>
      <c r="AOE34" s="56"/>
      <c r="AOF34" s="57"/>
      <c r="AOG34" s="57"/>
      <c r="AOH34" s="57"/>
      <c r="AOI34" s="57"/>
      <c r="AOJ34" s="57"/>
      <c r="AOK34" s="56"/>
      <c r="AOL34" s="57"/>
      <c r="AOM34" s="57"/>
      <c r="AON34" s="56"/>
      <c r="AOO34" s="57"/>
      <c r="AOP34" s="58"/>
      <c r="AOQ34" s="56"/>
      <c r="AOR34" s="57"/>
      <c r="AOS34" s="57"/>
      <c r="AOT34" s="57"/>
      <c r="AOU34" s="56"/>
      <c r="AOV34" s="57"/>
      <c r="AOW34" s="57"/>
      <c r="AOX34" s="56"/>
      <c r="AOY34" s="57"/>
      <c r="AOZ34" s="58"/>
      <c r="APA34" s="56"/>
      <c r="APB34" s="57"/>
      <c r="APC34" s="57"/>
      <c r="APD34" s="57"/>
      <c r="APE34" s="56"/>
      <c r="APF34" s="57"/>
      <c r="APG34" s="57"/>
      <c r="APH34" s="57"/>
      <c r="API34" s="57"/>
      <c r="APJ34" s="57"/>
      <c r="APK34" s="56"/>
      <c r="APL34" s="57"/>
      <c r="APM34" s="57"/>
      <c r="APN34" s="56"/>
      <c r="APO34" s="57"/>
      <c r="APP34" s="58"/>
      <c r="APQ34" s="56"/>
      <c r="APR34" s="57"/>
      <c r="APS34" s="57"/>
      <c r="APT34" s="57"/>
      <c r="APU34" s="56"/>
      <c r="APV34" s="57"/>
      <c r="APW34" s="57"/>
      <c r="APX34" s="56"/>
      <c r="APY34" s="57"/>
      <c r="APZ34" s="58"/>
      <c r="AQA34" s="56"/>
      <c r="AQB34" s="57"/>
      <c r="AQC34" s="57"/>
      <c r="AQD34" s="57"/>
      <c r="AQE34" s="56"/>
      <c r="AQF34" s="57"/>
      <c r="AQG34" s="57"/>
      <c r="AQH34" s="57"/>
      <c r="AQI34" s="57"/>
      <c r="AQJ34" s="57"/>
      <c r="AQK34" s="56"/>
      <c r="AQL34" s="57"/>
      <c r="AQM34" s="57"/>
      <c r="AQN34" s="56"/>
      <c r="AQO34" s="57"/>
      <c r="AQP34" s="58"/>
      <c r="AQQ34" s="56"/>
      <c r="AQR34" s="57"/>
      <c r="AQS34" s="57"/>
      <c r="AQT34" s="57"/>
      <c r="AQU34" s="56"/>
      <c r="AQV34" s="57"/>
      <c r="AQW34" s="57"/>
      <c r="AQX34" s="56"/>
      <c r="AQY34" s="57"/>
      <c r="AQZ34" s="58"/>
      <c r="ARA34" s="56"/>
      <c r="ARB34" s="57"/>
      <c r="ARC34" s="57"/>
      <c r="ARD34" s="57"/>
      <c r="ARE34" s="56"/>
      <c r="ARF34" s="57"/>
      <c r="ARG34" s="57"/>
      <c r="ARH34" s="57"/>
      <c r="ARI34" s="57"/>
      <c r="ARJ34" s="57"/>
      <c r="ARK34" s="56"/>
      <c r="ARL34" s="57"/>
      <c r="ARM34" s="57"/>
      <c r="ARN34" s="56"/>
      <c r="ARO34" s="57"/>
      <c r="ARP34" s="58"/>
      <c r="ARQ34" s="56"/>
      <c r="ARR34" s="57"/>
      <c r="ARS34" s="57"/>
      <c r="ART34" s="57"/>
      <c r="ARU34" s="56"/>
      <c r="ARV34" s="57"/>
      <c r="ARW34" s="57"/>
      <c r="ARX34" s="56"/>
      <c r="ARY34" s="57"/>
      <c r="ARZ34" s="58"/>
      <c r="ASA34" s="56"/>
      <c r="ASB34" s="57"/>
      <c r="ASC34" s="57"/>
      <c r="ASD34" s="57"/>
      <c r="ASE34" s="56"/>
      <c r="ASF34" s="57"/>
      <c r="ASG34" s="57"/>
      <c r="ASH34" s="57"/>
      <c r="ASI34" s="57"/>
      <c r="ASJ34" s="57"/>
      <c r="ASK34" s="56"/>
      <c r="ASL34" s="57"/>
      <c r="ASM34" s="57"/>
      <c r="ASN34" s="56"/>
      <c r="ASO34" s="57"/>
      <c r="ASP34" s="58"/>
      <c r="ASQ34" s="56"/>
      <c r="ASR34" s="57"/>
      <c r="ASS34" s="57"/>
      <c r="AST34" s="57"/>
      <c r="ASU34" s="56"/>
      <c r="ASV34" s="57"/>
      <c r="ASW34" s="57"/>
      <c r="ASX34" s="56"/>
      <c r="ASY34" s="57"/>
      <c r="ASZ34" s="58"/>
      <c r="ATA34" s="56"/>
      <c r="ATB34" s="57"/>
      <c r="ATC34" s="57"/>
      <c r="ATD34" s="57"/>
      <c r="ATE34" s="56"/>
      <c r="ATF34" s="57"/>
      <c r="ATG34" s="57"/>
      <c r="ATH34" s="57"/>
      <c r="ATI34" s="57"/>
      <c r="ATJ34" s="57"/>
      <c r="ATK34" s="56"/>
      <c r="ATL34" s="57"/>
      <c r="ATM34" s="57"/>
      <c r="ATN34" s="56"/>
      <c r="ATO34" s="57"/>
      <c r="ATP34" s="58"/>
      <c r="ATQ34" s="56"/>
      <c r="ATR34" s="57"/>
      <c r="ATS34" s="57"/>
      <c r="ATT34" s="57"/>
      <c r="ATU34" s="56"/>
      <c r="ATV34" s="57"/>
      <c r="ATW34" s="57"/>
      <c r="ATX34" s="56"/>
      <c r="ATY34" s="57"/>
      <c r="ATZ34" s="58"/>
      <c r="AUA34" s="56"/>
      <c r="AUB34" s="57"/>
      <c r="AUC34" s="57"/>
      <c r="AUD34" s="57"/>
      <c r="AUE34" s="56"/>
      <c r="AUF34" s="57"/>
      <c r="AUG34" s="57"/>
      <c r="AUH34" s="57"/>
      <c r="AUI34" s="57"/>
      <c r="AUJ34" s="57"/>
      <c r="AUK34" s="56"/>
      <c r="AUL34" s="57"/>
      <c r="AUM34" s="57"/>
      <c r="AUN34" s="56"/>
      <c r="AUO34" s="57"/>
      <c r="AUP34" s="58"/>
      <c r="AUQ34" s="56"/>
      <c r="AUR34" s="57"/>
      <c r="AUS34" s="57"/>
      <c r="AUT34" s="57"/>
      <c r="AUU34" s="56"/>
      <c r="AUV34" s="57"/>
      <c r="AUW34" s="57"/>
      <c r="AUX34" s="56"/>
      <c r="AUY34" s="57"/>
      <c r="AUZ34" s="58"/>
      <c r="AVA34" s="56"/>
      <c r="AVB34" s="57"/>
      <c r="AVC34" s="57"/>
      <c r="AVD34" s="57"/>
      <c r="AVE34" s="56"/>
      <c r="AVF34" s="57"/>
      <c r="AVG34" s="57"/>
      <c r="AVH34" s="57"/>
      <c r="AVI34" s="57"/>
      <c r="AVJ34" s="57"/>
      <c r="AVK34" s="56"/>
      <c r="AVL34" s="57"/>
      <c r="AVM34" s="57"/>
      <c r="AVN34" s="56"/>
      <c r="AVO34" s="57"/>
      <c r="AVP34" s="58"/>
      <c r="AVQ34" s="56"/>
      <c r="AVR34" s="57"/>
      <c r="AVS34" s="57"/>
      <c r="AVT34" s="57"/>
      <c r="AVU34" s="56"/>
      <c r="AVV34" s="57"/>
      <c r="AVW34" s="57"/>
      <c r="AVX34" s="56"/>
      <c r="AVY34" s="57"/>
      <c r="AVZ34" s="58"/>
      <c r="AWA34" s="56"/>
      <c r="AWB34" s="57"/>
      <c r="AWC34" s="57"/>
      <c r="AWD34" s="57"/>
      <c r="AWE34" s="56"/>
      <c r="AWF34" s="57"/>
      <c r="AWG34" s="57"/>
      <c r="AWH34" s="57"/>
      <c r="AWI34" s="57"/>
      <c r="AWJ34" s="57"/>
      <c r="AWK34" s="56"/>
      <c r="AWL34" s="57"/>
      <c r="AWM34" s="57"/>
      <c r="AWN34" s="56"/>
      <c r="AWO34" s="57"/>
      <c r="AWP34" s="58"/>
      <c r="AWQ34" s="56"/>
      <c r="AWR34" s="57"/>
      <c r="AWS34" s="57"/>
      <c r="AWT34" s="57"/>
      <c r="AWU34" s="56"/>
      <c r="AWV34" s="57"/>
      <c r="AWW34" s="57"/>
      <c r="AWX34" s="56"/>
      <c r="AWY34" s="57"/>
      <c r="AWZ34" s="58"/>
      <c r="AXA34" s="56"/>
      <c r="AXB34" s="57"/>
      <c r="AXC34" s="57"/>
      <c r="AXD34" s="57"/>
      <c r="AXE34" s="56"/>
      <c r="AXF34" s="57"/>
      <c r="AXG34" s="57"/>
      <c r="AXH34" s="57"/>
      <c r="AXI34" s="57"/>
      <c r="AXJ34" s="57"/>
      <c r="AXK34" s="56"/>
      <c r="AXL34" s="57"/>
      <c r="AXM34" s="57"/>
      <c r="AXN34" s="56"/>
      <c r="AXO34" s="57"/>
      <c r="AXP34" s="58"/>
      <c r="AXQ34" s="56"/>
      <c r="AXR34" s="57"/>
      <c r="AXS34" s="57"/>
      <c r="AXT34" s="57"/>
      <c r="AXU34" s="56"/>
      <c r="AXV34" s="57"/>
      <c r="AXW34" s="57"/>
      <c r="AXX34" s="56"/>
      <c r="AXY34" s="57"/>
      <c r="AXZ34" s="58"/>
      <c r="AYA34" s="56"/>
      <c r="AYB34" s="57"/>
      <c r="AYC34" s="57"/>
      <c r="AYD34" s="57"/>
      <c r="AYE34" s="56"/>
      <c r="AYF34" s="57"/>
      <c r="AYG34" s="57"/>
      <c r="AYH34" s="57"/>
      <c r="AYI34" s="57"/>
      <c r="AYJ34" s="57"/>
      <c r="AYK34" s="56"/>
      <c r="AYL34" s="57"/>
      <c r="AYM34" s="57"/>
      <c r="AYN34" s="56"/>
      <c r="AYO34" s="57"/>
      <c r="AYP34" s="58"/>
      <c r="AYQ34" s="56"/>
      <c r="AYR34" s="57"/>
      <c r="AYS34" s="57"/>
      <c r="AYT34" s="57"/>
      <c r="AYU34" s="56"/>
      <c r="AYV34" s="57"/>
      <c r="AYW34" s="57"/>
      <c r="AYX34" s="56"/>
      <c r="AYY34" s="57"/>
      <c r="AYZ34" s="58"/>
      <c r="AZA34" s="56"/>
      <c r="AZB34" s="57"/>
      <c r="AZC34" s="57"/>
      <c r="AZD34" s="57"/>
      <c r="AZE34" s="56"/>
      <c r="AZF34" s="57"/>
      <c r="AZG34" s="57"/>
      <c r="AZH34" s="57"/>
      <c r="AZI34" s="57"/>
      <c r="AZJ34" s="57"/>
      <c r="AZK34" s="56"/>
      <c r="AZL34" s="57"/>
      <c r="AZM34" s="57"/>
      <c r="AZN34" s="56"/>
      <c r="AZO34" s="57"/>
      <c r="AZP34" s="58"/>
      <c r="AZQ34" s="56"/>
      <c r="AZR34" s="57"/>
      <c r="AZS34" s="57"/>
      <c r="AZT34" s="57"/>
      <c r="AZU34" s="56"/>
      <c r="AZV34" s="57"/>
      <c r="AZW34" s="57"/>
      <c r="AZX34" s="56"/>
      <c r="AZY34" s="57"/>
      <c r="AZZ34" s="58"/>
      <c r="BAA34" s="56"/>
      <c r="BAB34" s="57"/>
      <c r="BAC34" s="57"/>
      <c r="BAD34" s="57"/>
      <c r="BAE34" s="56"/>
      <c r="BAF34" s="57"/>
      <c r="BAG34" s="57"/>
      <c r="BAH34" s="57"/>
      <c r="BAI34" s="57"/>
      <c r="BAJ34" s="57"/>
      <c r="BAK34" s="56"/>
      <c r="BAL34" s="57"/>
      <c r="BAM34" s="57"/>
      <c r="BAN34" s="56"/>
      <c r="BAO34" s="57"/>
      <c r="BAP34" s="58"/>
      <c r="BAQ34" s="56"/>
      <c r="BAR34" s="57"/>
      <c r="BAS34" s="57"/>
      <c r="BAT34" s="57"/>
      <c r="BAU34" s="56"/>
      <c r="BAV34" s="57"/>
      <c r="BAW34" s="57"/>
      <c r="BAX34" s="56"/>
      <c r="BAY34" s="57"/>
      <c r="BAZ34" s="58"/>
      <c r="BBA34" s="56"/>
      <c r="BBB34" s="57"/>
      <c r="BBC34" s="57"/>
      <c r="BBD34" s="57"/>
      <c r="BBE34" s="56"/>
      <c r="BBF34" s="57"/>
      <c r="BBG34" s="57"/>
      <c r="BBH34" s="57"/>
      <c r="BBI34" s="57"/>
      <c r="BBJ34" s="57"/>
      <c r="BBK34" s="56"/>
      <c r="BBL34" s="57"/>
      <c r="BBM34" s="57"/>
      <c r="BBN34" s="56"/>
      <c r="BBO34" s="57"/>
      <c r="BBP34" s="58"/>
      <c r="BBQ34" s="56"/>
      <c r="BBR34" s="57"/>
      <c r="BBS34" s="57"/>
      <c r="BBT34" s="57"/>
      <c r="BBU34" s="56"/>
      <c r="BBV34" s="57"/>
      <c r="BBW34" s="57"/>
      <c r="BBX34" s="56"/>
      <c r="BBY34" s="57"/>
      <c r="BBZ34" s="58"/>
      <c r="BCA34" s="56"/>
      <c r="BCB34" s="57"/>
      <c r="BCC34" s="57"/>
      <c r="BCD34" s="57"/>
      <c r="BCE34" s="56"/>
      <c r="BCF34" s="57"/>
      <c r="BCG34" s="57"/>
      <c r="BCH34" s="57"/>
      <c r="BCI34" s="57"/>
      <c r="BCJ34" s="57"/>
      <c r="BCK34" s="56"/>
      <c r="BCL34" s="57"/>
      <c r="BCM34" s="57"/>
      <c r="BCN34" s="56"/>
      <c r="BCO34" s="57"/>
      <c r="BCP34" s="58"/>
      <c r="BCQ34" s="56"/>
      <c r="BCR34" s="57"/>
      <c r="BCS34" s="57"/>
      <c r="BCT34" s="57"/>
      <c r="BCU34" s="56"/>
      <c r="BCV34" s="57"/>
      <c r="BCW34" s="57"/>
      <c r="BCX34" s="56"/>
      <c r="BCY34" s="57"/>
      <c r="BCZ34" s="58"/>
      <c r="BDA34" s="56"/>
      <c r="BDB34" s="57"/>
      <c r="BDC34" s="57"/>
      <c r="BDD34" s="57"/>
      <c r="BDE34" s="56"/>
      <c r="BDF34" s="57"/>
      <c r="BDG34" s="57"/>
      <c r="BDH34" s="57"/>
      <c r="BDI34" s="57"/>
      <c r="BDJ34" s="57"/>
      <c r="BDK34" s="56"/>
      <c r="BDL34" s="57"/>
      <c r="BDM34" s="57"/>
      <c r="BDN34" s="56"/>
      <c r="BDO34" s="57"/>
      <c r="BDP34" s="58"/>
      <c r="BDQ34" s="56"/>
      <c r="BDR34" s="57"/>
      <c r="BDS34" s="57"/>
      <c r="BDT34" s="57"/>
      <c r="BDU34" s="56"/>
      <c r="BDV34" s="57"/>
      <c r="BDW34" s="57"/>
      <c r="BDX34" s="56"/>
      <c r="BDY34" s="57"/>
      <c r="BDZ34" s="58"/>
      <c r="BEA34" s="56"/>
      <c r="BEB34" s="57"/>
      <c r="BEC34" s="57"/>
      <c r="BED34" s="57"/>
      <c r="BEE34" s="56"/>
      <c r="BEF34" s="57"/>
      <c r="BEG34" s="57"/>
      <c r="BEH34" s="57"/>
      <c r="BEI34" s="57"/>
      <c r="BEJ34" s="57"/>
      <c r="BEK34" s="56"/>
      <c r="BEL34" s="57"/>
      <c r="BEM34" s="57"/>
      <c r="BEN34" s="56"/>
      <c r="BEO34" s="57"/>
      <c r="BEP34" s="58"/>
      <c r="BEQ34" s="56"/>
      <c r="BER34" s="57"/>
      <c r="BES34" s="57"/>
      <c r="BET34" s="57"/>
      <c r="BEU34" s="56"/>
      <c r="BEV34" s="57"/>
      <c r="BEW34" s="57"/>
      <c r="BEX34" s="56"/>
      <c r="BEY34" s="57"/>
      <c r="BEZ34" s="58"/>
      <c r="BFA34" s="56"/>
      <c r="BFB34" s="57"/>
      <c r="BFC34" s="57"/>
      <c r="BFD34" s="57"/>
      <c r="BFE34" s="56"/>
      <c r="BFF34" s="57"/>
      <c r="BFG34" s="57"/>
      <c r="BFH34" s="57"/>
      <c r="BFI34" s="57"/>
      <c r="BFJ34" s="57"/>
      <c r="BFK34" s="56"/>
      <c r="BFL34" s="57"/>
      <c r="BFM34" s="57"/>
      <c r="BFN34" s="56"/>
      <c r="BFO34" s="57"/>
      <c r="BFP34" s="58"/>
      <c r="BFQ34" s="56"/>
      <c r="BFR34" s="57"/>
      <c r="BFS34" s="57"/>
      <c r="BFT34" s="57"/>
      <c r="BFU34" s="56"/>
      <c r="BFV34" s="57"/>
      <c r="BFW34" s="57"/>
      <c r="BFX34" s="56"/>
      <c r="BFY34" s="57"/>
      <c r="BFZ34" s="58"/>
      <c r="BGA34" s="56"/>
      <c r="BGB34" s="57"/>
      <c r="BGC34" s="57"/>
      <c r="BGD34" s="57"/>
      <c r="BGE34" s="56"/>
      <c r="BGF34" s="57"/>
      <c r="BGG34" s="57"/>
      <c r="BGH34" s="57"/>
      <c r="BGI34" s="57"/>
      <c r="BGJ34" s="57"/>
      <c r="BGK34" s="56"/>
      <c r="BGL34" s="57"/>
      <c r="BGM34" s="57"/>
      <c r="BGN34" s="56"/>
      <c r="BGO34" s="57"/>
      <c r="BGP34" s="58"/>
      <c r="BGQ34" s="56"/>
      <c r="BGR34" s="57"/>
      <c r="BGS34" s="57"/>
      <c r="BGT34" s="57"/>
      <c r="BGU34" s="56"/>
      <c r="BGV34" s="57"/>
      <c r="BGW34" s="57"/>
      <c r="BGX34" s="56"/>
      <c r="BGY34" s="57"/>
      <c r="BGZ34" s="58"/>
      <c r="BHA34" s="56"/>
      <c r="BHB34" s="57"/>
      <c r="BHC34" s="57"/>
      <c r="BHD34" s="57"/>
      <c r="BHE34" s="56"/>
      <c r="BHF34" s="57"/>
      <c r="BHG34" s="57"/>
      <c r="BHH34" s="57"/>
      <c r="BHI34" s="57"/>
      <c r="BHJ34" s="57"/>
      <c r="BHK34" s="56"/>
      <c r="BHL34" s="57"/>
      <c r="BHM34" s="57"/>
      <c r="BHN34" s="56"/>
      <c r="BHO34" s="57"/>
      <c r="BHP34" s="58"/>
      <c r="BHQ34" s="56"/>
      <c r="BHR34" s="57"/>
      <c r="BHS34" s="57"/>
      <c r="BHT34" s="57"/>
      <c r="BHU34" s="56"/>
      <c r="BHV34" s="57"/>
      <c r="BHW34" s="57"/>
      <c r="BHX34" s="56"/>
      <c r="BHY34" s="57"/>
      <c r="BHZ34" s="58"/>
      <c r="BIA34" s="56"/>
      <c r="BIB34" s="57"/>
      <c r="BIC34" s="57"/>
      <c r="BID34" s="57"/>
      <c r="BIE34" s="56"/>
      <c r="BIF34" s="57"/>
      <c r="BIG34" s="57"/>
      <c r="BIH34" s="57"/>
      <c r="BII34" s="57"/>
      <c r="BIJ34" s="57"/>
      <c r="BIK34" s="56"/>
      <c r="BIL34" s="57"/>
      <c r="BIM34" s="57"/>
      <c r="BIN34" s="56"/>
      <c r="BIO34" s="57"/>
      <c r="BIP34" s="58"/>
      <c r="BIQ34" s="56"/>
      <c r="BIR34" s="57"/>
      <c r="BIS34" s="57"/>
      <c r="BIT34" s="57"/>
      <c r="BIU34" s="56"/>
      <c r="BIV34" s="57"/>
      <c r="BIW34" s="57"/>
      <c r="BIX34" s="56"/>
      <c r="BIY34" s="57"/>
      <c r="BIZ34" s="58"/>
      <c r="BJA34" s="56"/>
      <c r="BJB34" s="57"/>
      <c r="BJC34" s="57"/>
      <c r="BJD34" s="57"/>
      <c r="BJE34" s="56"/>
      <c r="BJF34" s="57"/>
      <c r="BJG34" s="57"/>
      <c r="BJH34" s="57"/>
      <c r="BJI34" s="57"/>
      <c r="BJJ34" s="57"/>
      <c r="BJK34" s="56"/>
      <c r="BJL34" s="57"/>
      <c r="BJM34" s="57"/>
      <c r="BJN34" s="56"/>
      <c r="BJO34" s="57"/>
      <c r="BJP34" s="58"/>
      <c r="BJQ34" s="56"/>
      <c r="BJR34" s="57"/>
      <c r="BJS34" s="57"/>
      <c r="BJT34" s="57"/>
      <c r="BJU34" s="56"/>
      <c r="BJV34" s="57"/>
      <c r="BJW34" s="57"/>
      <c r="BJX34" s="56"/>
      <c r="BJY34" s="57"/>
      <c r="BJZ34" s="58"/>
      <c r="BKA34" s="56"/>
      <c r="BKB34" s="57"/>
      <c r="BKC34" s="57"/>
      <c r="BKD34" s="57"/>
      <c r="BKE34" s="56"/>
      <c r="BKF34" s="57"/>
      <c r="BKG34" s="57"/>
      <c r="BKH34" s="57"/>
      <c r="BKI34" s="57"/>
      <c r="BKJ34" s="57"/>
      <c r="BKK34" s="56"/>
      <c r="BKL34" s="57"/>
      <c r="BKM34" s="57"/>
      <c r="BKN34" s="56"/>
      <c r="BKO34" s="57"/>
      <c r="BKP34" s="58"/>
      <c r="BKQ34" s="56"/>
      <c r="BKR34" s="57"/>
      <c r="BKS34" s="57"/>
      <c r="BKT34" s="57"/>
      <c r="BKU34" s="56"/>
      <c r="BKV34" s="57"/>
      <c r="BKW34" s="57"/>
      <c r="BKX34" s="56"/>
      <c r="BKY34" s="57"/>
      <c r="BKZ34" s="58"/>
      <c r="BLA34" s="56"/>
      <c r="BLB34" s="57"/>
      <c r="BLC34" s="57"/>
      <c r="BLD34" s="57"/>
      <c r="BLE34" s="56"/>
      <c r="BLF34" s="57"/>
      <c r="BLG34" s="57"/>
      <c r="BLH34" s="57"/>
      <c r="BLI34" s="57"/>
      <c r="BLJ34" s="57"/>
      <c r="BLK34" s="56"/>
      <c r="BLL34" s="57"/>
      <c r="BLM34" s="57"/>
      <c r="BLN34" s="56"/>
      <c r="BLO34" s="57"/>
      <c r="BLP34" s="58"/>
      <c r="BLQ34" s="56"/>
      <c r="BLR34" s="57"/>
      <c r="BLS34" s="57"/>
      <c r="BLT34" s="57"/>
      <c r="BLU34" s="56"/>
      <c r="BLV34" s="57"/>
      <c r="BLW34" s="57"/>
      <c r="BLX34" s="56"/>
      <c r="BLY34" s="57"/>
      <c r="BLZ34" s="58"/>
      <c r="BMA34" s="56"/>
      <c r="BMB34" s="57"/>
      <c r="BMC34" s="57"/>
      <c r="BMD34" s="57"/>
      <c r="BME34" s="56"/>
      <c r="BMF34" s="57"/>
      <c r="BMG34" s="57"/>
      <c r="BMH34" s="57"/>
      <c r="BMI34" s="57"/>
      <c r="BMJ34" s="57"/>
      <c r="BMK34" s="56"/>
      <c r="BML34" s="57"/>
      <c r="BMM34" s="57"/>
      <c r="BMN34" s="56"/>
      <c r="BMO34" s="57"/>
      <c r="BMP34" s="58"/>
      <c r="BMQ34" s="56"/>
      <c r="BMR34" s="57"/>
      <c r="BMS34" s="57"/>
      <c r="BMT34" s="57"/>
      <c r="BMU34" s="56"/>
      <c r="BMV34" s="57"/>
      <c r="BMW34" s="57"/>
      <c r="BMX34" s="56"/>
      <c r="BMY34" s="57"/>
      <c r="BMZ34" s="58"/>
      <c r="BNA34" s="56"/>
      <c r="BNB34" s="57"/>
      <c r="BNC34" s="57"/>
      <c r="BND34" s="57"/>
      <c r="BNE34" s="56"/>
      <c r="BNF34" s="57"/>
      <c r="BNG34" s="57"/>
      <c r="BNH34" s="57"/>
      <c r="BNI34" s="57"/>
      <c r="BNJ34" s="57"/>
      <c r="BNK34" s="56"/>
      <c r="BNL34" s="57"/>
      <c r="BNM34" s="57"/>
      <c r="BNN34" s="56"/>
      <c r="BNO34" s="57"/>
      <c r="BNP34" s="58"/>
      <c r="BNQ34" s="56"/>
      <c r="BNR34" s="57"/>
      <c r="BNS34" s="57"/>
      <c r="BNT34" s="57"/>
      <c r="BNU34" s="56"/>
      <c r="BNV34" s="57"/>
      <c r="BNW34" s="57"/>
      <c r="BNX34" s="56"/>
      <c r="BNY34" s="57"/>
      <c r="BNZ34" s="58"/>
      <c r="BOA34" s="56"/>
      <c r="BOB34" s="57"/>
      <c r="BOC34" s="57"/>
      <c r="BOD34" s="57"/>
      <c r="BOE34" s="56"/>
      <c r="BOF34" s="57"/>
      <c r="BOG34" s="57"/>
      <c r="BOH34" s="57"/>
      <c r="BOI34" s="57"/>
      <c r="BOJ34" s="57"/>
      <c r="BOK34" s="56"/>
      <c r="BOL34" s="57"/>
      <c r="BOM34" s="57"/>
      <c r="BON34" s="56"/>
      <c r="BOO34" s="57"/>
      <c r="BOP34" s="58"/>
      <c r="BOQ34" s="56"/>
      <c r="BOR34" s="57"/>
      <c r="BOS34" s="57"/>
      <c r="BOT34" s="57"/>
      <c r="BOU34" s="56"/>
      <c r="BOV34" s="57"/>
      <c r="BOW34" s="57"/>
      <c r="BOX34" s="56"/>
      <c r="BOY34" s="57"/>
      <c r="BOZ34" s="58"/>
      <c r="BPA34" s="56"/>
      <c r="BPB34" s="57"/>
      <c r="BPC34" s="57"/>
      <c r="BPD34" s="57"/>
      <c r="BPE34" s="56"/>
      <c r="BPF34" s="57"/>
      <c r="BPG34" s="57"/>
      <c r="BPH34" s="57"/>
      <c r="BPI34" s="57"/>
      <c r="BPJ34" s="57"/>
      <c r="BPK34" s="56"/>
      <c r="BPL34" s="57"/>
      <c r="BPM34" s="57"/>
      <c r="BPN34" s="56"/>
      <c r="BPO34" s="57"/>
      <c r="BPP34" s="58"/>
      <c r="BPQ34" s="56"/>
      <c r="BPR34" s="57"/>
      <c r="BPS34" s="57"/>
      <c r="BPT34" s="57"/>
      <c r="BPU34" s="56"/>
      <c r="BPV34" s="57"/>
      <c r="BPW34" s="57"/>
      <c r="BPX34" s="56"/>
      <c r="BPY34" s="57"/>
      <c r="BPZ34" s="58"/>
      <c r="BQA34" s="56"/>
      <c r="BQB34" s="57"/>
      <c r="BQC34" s="57"/>
      <c r="BQD34" s="57"/>
      <c r="BQE34" s="56"/>
      <c r="BQF34" s="57"/>
      <c r="BQG34" s="57"/>
      <c r="BQH34" s="57"/>
      <c r="BQI34" s="57"/>
      <c r="BQJ34" s="57"/>
      <c r="BQK34" s="56"/>
      <c r="BQL34" s="57"/>
      <c r="BQM34" s="57"/>
      <c r="BQN34" s="56"/>
      <c r="BQO34" s="57"/>
      <c r="BQP34" s="58"/>
      <c r="BQQ34" s="56"/>
      <c r="BQR34" s="57"/>
      <c r="BQS34" s="57"/>
      <c r="BQT34" s="57"/>
      <c r="BQU34" s="56"/>
      <c r="BQV34" s="57"/>
      <c r="BQW34" s="57"/>
      <c r="BQX34" s="56"/>
      <c r="BQY34" s="57"/>
      <c r="BQZ34" s="58"/>
      <c r="BRA34" s="56"/>
      <c r="BRB34" s="57"/>
      <c r="BRC34" s="57"/>
      <c r="BRD34" s="57"/>
      <c r="BRE34" s="56"/>
      <c r="BRF34" s="57"/>
      <c r="BRG34" s="57"/>
      <c r="BRH34" s="57"/>
      <c r="BRI34" s="57"/>
      <c r="BRJ34" s="57"/>
      <c r="BRK34" s="56"/>
      <c r="BRL34" s="57"/>
      <c r="BRM34" s="57"/>
      <c r="BRN34" s="56"/>
      <c r="BRO34" s="57"/>
      <c r="BRP34" s="58"/>
      <c r="BRQ34" s="56"/>
      <c r="BRR34" s="57"/>
      <c r="BRS34" s="57"/>
      <c r="BRT34" s="57"/>
      <c r="BRU34" s="56"/>
      <c r="BRV34" s="57"/>
      <c r="BRW34" s="57"/>
      <c r="BRX34" s="56"/>
      <c r="BRY34" s="57"/>
      <c r="BRZ34" s="58"/>
      <c r="BSA34" s="56"/>
      <c r="BSB34" s="57"/>
      <c r="BSC34" s="57"/>
      <c r="BSD34" s="57"/>
      <c r="BSE34" s="56"/>
      <c r="BSF34" s="57"/>
      <c r="BSG34" s="57"/>
      <c r="BSH34" s="57"/>
      <c r="BSI34" s="57"/>
      <c r="BSJ34" s="57"/>
      <c r="BSK34" s="56"/>
      <c r="BSL34" s="57"/>
      <c r="BSM34" s="57"/>
      <c r="BSN34" s="56"/>
      <c r="BSO34" s="57"/>
      <c r="BSP34" s="58"/>
      <c r="BSQ34" s="56"/>
      <c r="BSR34" s="57"/>
      <c r="BSS34" s="57"/>
      <c r="BST34" s="57"/>
      <c r="BSU34" s="56"/>
      <c r="BSV34" s="57"/>
      <c r="BSW34" s="57"/>
      <c r="BSX34" s="56"/>
      <c r="BSY34" s="57"/>
      <c r="BSZ34" s="58"/>
      <c r="BTA34" s="56"/>
      <c r="BTB34" s="57"/>
      <c r="BTC34" s="57"/>
      <c r="BTD34" s="57"/>
      <c r="BTE34" s="56"/>
      <c r="BTF34" s="57"/>
      <c r="BTG34" s="57"/>
      <c r="BTH34" s="57"/>
      <c r="BTI34" s="57"/>
      <c r="BTJ34" s="57"/>
      <c r="BTK34" s="56"/>
      <c r="BTL34" s="57"/>
      <c r="BTM34" s="57"/>
      <c r="BTN34" s="56"/>
      <c r="BTO34" s="57"/>
      <c r="BTP34" s="58"/>
      <c r="BTQ34" s="56"/>
      <c r="BTR34" s="57"/>
      <c r="BTS34" s="57"/>
      <c r="BTT34" s="57"/>
      <c r="BTU34" s="56"/>
      <c r="BTV34" s="57"/>
      <c r="BTW34" s="57"/>
      <c r="BTX34" s="56"/>
      <c r="BTY34" s="57"/>
      <c r="BTZ34" s="58"/>
      <c r="BUA34" s="56"/>
      <c r="BUB34" s="57"/>
      <c r="BUC34" s="57"/>
      <c r="BUD34" s="57"/>
      <c r="BUE34" s="56"/>
      <c r="BUF34" s="57"/>
      <c r="BUG34" s="57"/>
      <c r="BUH34" s="57"/>
      <c r="BUI34" s="57"/>
      <c r="BUJ34" s="57"/>
      <c r="BUK34" s="56"/>
      <c r="BUL34" s="57"/>
      <c r="BUM34" s="57"/>
      <c r="BUN34" s="56"/>
      <c r="BUO34" s="57"/>
      <c r="BUP34" s="58"/>
      <c r="BUQ34" s="56"/>
      <c r="BUR34" s="57"/>
      <c r="BUS34" s="57"/>
      <c r="BUT34" s="57"/>
      <c r="BUU34" s="56"/>
      <c r="BUV34" s="57"/>
      <c r="BUW34" s="57"/>
      <c r="BUX34" s="56"/>
      <c r="BUY34" s="57"/>
      <c r="BUZ34" s="58"/>
      <c r="BVA34" s="56"/>
      <c r="BVB34" s="57"/>
      <c r="BVC34" s="57"/>
      <c r="BVD34" s="57"/>
      <c r="BVE34" s="56"/>
      <c r="BVF34" s="57"/>
      <c r="BVG34" s="57"/>
      <c r="BVH34" s="57"/>
      <c r="BVI34" s="57"/>
      <c r="BVJ34" s="57"/>
      <c r="BVK34" s="56"/>
      <c r="BVL34" s="57"/>
      <c r="BVM34" s="57"/>
      <c r="BVN34" s="56"/>
      <c r="BVO34" s="57"/>
      <c r="BVP34" s="58"/>
      <c r="BVQ34" s="56"/>
      <c r="BVR34" s="57"/>
      <c r="BVS34" s="57"/>
      <c r="BVT34" s="57"/>
      <c r="BVU34" s="56"/>
      <c r="BVV34" s="57"/>
      <c r="BVW34" s="57"/>
      <c r="BVX34" s="56"/>
      <c r="BVY34" s="57"/>
      <c r="BVZ34" s="58"/>
      <c r="BWA34" s="56"/>
      <c r="BWB34" s="57"/>
      <c r="BWC34" s="57"/>
      <c r="BWD34" s="57"/>
      <c r="BWE34" s="56"/>
      <c r="BWF34" s="57"/>
      <c r="BWG34" s="57"/>
      <c r="BWH34" s="57"/>
      <c r="BWI34" s="57"/>
      <c r="BWJ34" s="57"/>
      <c r="BWK34" s="56"/>
      <c r="BWL34" s="57"/>
      <c r="BWM34" s="57"/>
      <c r="BWN34" s="56"/>
      <c r="BWO34" s="57"/>
      <c r="BWP34" s="58"/>
      <c r="BWQ34" s="56"/>
      <c r="BWR34" s="57"/>
      <c r="BWS34" s="57"/>
      <c r="BWT34" s="57"/>
      <c r="BWU34" s="56"/>
      <c r="BWV34" s="57"/>
      <c r="BWW34" s="57"/>
      <c r="BWX34" s="56"/>
      <c r="BWY34" s="57"/>
      <c r="BWZ34" s="58"/>
      <c r="BXA34" s="56"/>
      <c r="BXB34" s="57"/>
      <c r="BXC34" s="57"/>
      <c r="BXD34" s="57"/>
      <c r="BXE34" s="56"/>
      <c r="BXF34" s="57"/>
      <c r="BXG34" s="57"/>
      <c r="BXH34" s="57"/>
      <c r="BXI34" s="57"/>
      <c r="BXJ34" s="57"/>
      <c r="BXK34" s="56"/>
      <c r="BXL34" s="57"/>
      <c r="BXM34" s="57"/>
      <c r="BXN34" s="56"/>
      <c r="BXO34" s="57"/>
      <c r="BXP34" s="58"/>
      <c r="BXQ34" s="56"/>
      <c r="BXR34" s="57"/>
      <c r="BXS34" s="57"/>
      <c r="BXT34" s="57"/>
      <c r="BXU34" s="56"/>
      <c r="BXV34" s="57"/>
      <c r="BXW34" s="57"/>
      <c r="BXX34" s="56"/>
      <c r="BXY34" s="57"/>
      <c r="BXZ34" s="58"/>
      <c r="BYA34" s="56"/>
      <c r="BYB34" s="57"/>
      <c r="BYC34" s="57"/>
      <c r="BYD34" s="57"/>
      <c r="BYE34" s="56"/>
      <c r="BYF34" s="57"/>
      <c r="BYG34" s="57"/>
      <c r="BYH34" s="57"/>
      <c r="BYI34" s="57"/>
      <c r="BYJ34" s="57"/>
      <c r="BYK34" s="56"/>
      <c r="BYL34" s="57"/>
      <c r="BYM34" s="57"/>
      <c r="BYN34" s="56"/>
      <c r="BYO34" s="57"/>
      <c r="BYP34" s="58"/>
      <c r="BYQ34" s="56"/>
      <c r="BYR34" s="57"/>
      <c r="BYS34" s="57"/>
      <c r="BYT34" s="57"/>
      <c r="BYU34" s="56"/>
      <c r="BYV34" s="57"/>
      <c r="BYW34" s="57"/>
      <c r="BYX34" s="58"/>
      <c r="BYY34" s="57"/>
      <c r="BYZ34" s="56"/>
      <c r="BZA34" s="57"/>
      <c r="BZB34" s="56"/>
      <c r="BZC34" s="56"/>
      <c r="BZD34" s="56"/>
      <c r="BZE34" s="57"/>
      <c r="BZF34" s="57"/>
      <c r="BZG34" s="57"/>
      <c r="BZH34" s="57"/>
      <c r="BZI34" s="57"/>
      <c r="BZJ34" s="57"/>
      <c r="BZK34" s="57"/>
      <c r="BZL34" s="57"/>
      <c r="BZM34" s="57"/>
      <c r="BZN34" s="57"/>
      <c r="BZO34" s="57"/>
      <c r="BZP34" s="57"/>
      <c r="BZQ34" s="57"/>
      <c r="BZR34" s="57"/>
      <c r="BZS34" s="57"/>
      <c r="BZT34" s="57"/>
      <c r="BZU34" s="57"/>
      <c r="BZV34" s="57"/>
      <c r="BZW34" s="57"/>
      <c r="BZX34" s="57"/>
      <c r="BZY34" s="57"/>
      <c r="BZZ34" s="57"/>
      <c r="CAA34" s="57"/>
      <c r="CAB34" s="57"/>
      <c r="CAC34" s="57"/>
      <c r="CAD34" s="57"/>
      <c r="CAE34" s="57"/>
      <c r="CAF34" s="57"/>
      <c r="CAG34" s="57"/>
      <c r="CAH34" s="57"/>
      <c r="CAI34" s="57"/>
      <c r="CAJ34" s="57"/>
      <c r="CAK34" s="57"/>
      <c r="CAL34" s="57"/>
      <c r="CAM34" s="57"/>
      <c r="CAN34" s="57"/>
      <c r="CAO34" s="57"/>
      <c r="CAP34" s="58"/>
      <c r="CAQ34" s="56"/>
      <c r="CAR34" s="57"/>
      <c r="CAS34" s="57"/>
      <c r="CAT34" s="57"/>
      <c r="CAU34" s="57"/>
      <c r="CAV34" s="57"/>
      <c r="CAW34" s="56"/>
      <c r="CAX34" s="57"/>
      <c r="CAY34" s="57"/>
      <c r="CAZ34" s="56"/>
      <c r="CBA34" s="57"/>
      <c r="CBB34" s="58"/>
      <c r="CBC34" s="56"/>
      <c r="CBD34" s="57"/>
      <c r="CBE34" s="57"/>
      <c r="CBF34" s="57"/>
      <c r="CBG34" s="56"/>
      <c r="CBH34" s="57"/>
      <c r="CBI34" s="57"/>
      <c r="CBJ34" s="56"/>
      <c r="CBK34" s="57"/>
      <c r="CBL34" s="58"/>
      <c r="CBM34" s="56"/>
      <c r="CBN34" s="57"/>
      <c r="CBO34" s="57"/>
      <c r="CBP34" s="57"/>
      <c r="CBQ34" s="56"/>
      <c r="CBR34" s="57"/>
      <c r="CBS34" s="57"/>
      <c r="CBT34" s="56"/>
      <c r="CBU34" s="57"/>
      <c r="CBV34" s="58"/>
      <c r="CBW34" s="56"/>
      <c r="CBX34" s="57"/>
      <c r="CBY34" s="57"/>
      <c r="CBZ34" s="57"/>
      <c r="CCA34" s="56"/>
      <c r="CCB34" s="57"/>
      <c r="CCC34" s="57"/>
      <c r="CCD34" s="56"/>
      <c r="CCE34" s="57"/>
      <c r="CCF34" s="58"/>
      <c r="CCG34" s="56"/>
      <c r="CCH34" s="58"/>
      <c r="CCI34" s="57"/>
      <c r="CCJ34" s="56"/>
      <c r="CCK34" s="57"/>
      <c r="CCL34" s="56"/>
      <c r="CCM34" s="56"/>
      <c r="CCN34" s="56"/>
      <c r="CCO34" s="57"/>
      <c r="CCP34" s="57"/>
      <c r="CCQ34" s="57"/>
      <c r="CCR34" s="57"/>
      <c r="CCS34" s="57"/>
      <c r="CCT34" s="57"/>
      <c r="CCU34" s="57"/>
      <c r="CCV34" s="57"/>
      <c r="CCW34" s="57"/>
      <c r="CCX34" s="57"/>
      <c r="CCY34" s="57"/>
      <c r="CCZ34" s="57"/>
      <c r="CDA34" s="57"/>
      <c r="CDB34" s="57"/>
      <c r="CDC34" s="57"/>
      <c r="CDD34" s="57"/>
      <c r="CDE34" s="57"/>
      <c r="CDF34" s="57"/>
      <c r="CDG34" s="57"/>
      <c r="CDH34" s="57"/>
      <c r="CDI34" s="57"/>
      <c r="CDJ34" s="57"/>
      <c r="CDK34" s="57"/>
      <c r="CDL34" s="57"/>
      <c r="CDM34" s="57"/>
      <c r="CDN34" s="57"/>
      <c r="CDO34" s="57"/>
      <c r="CDP34" s="57"/>
      <c r="CDQ34" s="57"/>
      <c r="CDR34" s="57"/>
      <c r="CDS34" s="57"/>
      <c r="CDT34" s="57"/>
      <c r="CDU34" s="57"/>
      <c r="CDV34" s="57"/>
      <c r="CDW34" s="57"/>
      <c r="CDX34" s="57"/>
      <c r="CDY34" s="57"/>
      <c r="CDZ34" s="58"/>
      <c r="CEA34" s="56"/>
      <c r="CEB34" s="57"/>
      <c r="CEC34" s="57"/>
      <c r="CED34" s="57"/>
      <c r="CEE34" s="57"/>
      <c r="CEF34" s="57"/>
      <c r="CEG34" s="56"/>
      <c r="CEH34" s="57"/>
      <c r="CEI34" s="57"/>
      <c r="CEJ34" s="56"/>
      <c r="CEK34" s="57"/>
      <c r="CEL34" s="58"/>
      <c r="CEM34" s="56"/>
      <c r="CEN34" s="57"/>
      <c r="CEO34" s="57"/>
      <c r="CEP34" s="57"/>
      <c r="CEQ34" s="56"/>
      <c r="CER34" s="57"/>
      <c r="CES34" s="57"/>
      <c r="CET34" s="56"/>
      <c r="CEU34" s="57"/>
      <c r="CEV34" s="58"/>
      <c r="CEW34" s="56"/>
      <c r="CEX34" s="57"/>
      <c r="CEY34" s="57"/>
      <c r="CEZ34" s="57"/>
      <c r="CFA34" s="56"/>
      <c r="CFB34" s="57"/>
      <c r="CFC34" s="57"/>
      <c r="CFD34" s="56"/>
      <c r="CFE34" s="57"/>
      <c r="CFF34" s="58"/>
      <c r="CFG34" s="56"/>
      <c r="CFH34" s="57"/>
      <c r="CFI34" s="57"/>
      <c r="CFJ34" s="57"/>
      <c r="CFK34" s="56"/>
      <c r="CFL34" s="57"/>
      <c r="CFM34" s="57"/>
      <c r="CFN34" s="56"/>
      <c r="CFO34" s="57"/>
      <c r="CFP34" s="58"/>
      <c r="CFQ34" s="56"/>
      <c r="CFR34" s="58"/>
      <c r="CFS34" s="57"/>
      <c r="CFT34" s="56"/>
      <c r="CFU34" s="57"/>
      <c r="CFV34" s="56"/>
      <c r="CFW34" s="56"/>
      <c r="CFX34" s="56"/>
      <c r="CFY34" s="57"/>
      <c r="CFZ34" s="57"/>
      <c r="CGA34" s="57"/>
      <c r="CGB34" s="57"/>
      <c r="CGC34" s="57"/>
      <c r="CGD34" s="57"/>
      <c r="CGE34" s="57"/>
      <c r="CGF34" s="57"/>
      <c r="CGG34" s="57"/>
      <c r="CGH34" s="57"/>
      <c r="CGI34" s="57"/>
      <c r="CGJ34" s="57"/>
      <c r="CGK34" s="57"/>
      <c r="CGL34" s="57"/>
      <c r="CGM34" s="57"/>
      <c r="CGN34" s="57"/>
      <c r="CGO34" s="57"/>
      <c r="CGP34" s="57"/>
      <c r="CGQ34" s="57"/>
      <c r="CGR34" s="57"/>
      <c r="CGS34" s="57"/>
      <c r="CGT34" s="57"/>
      <c r="CGU34" s="57"/>
      <c r="CGV34" s="57"/>
      <c r="CGW34" s="57"/>
      <c r="CGX34" s="57"/>
      <c r="CGY34" s="57"/>
      <c r="CGZ34" s="57"/>
      <c r="CHA34" s="57"/>
      <c r="CHB34" s="57"/>
      <c r="CHC34" s="57"/>
      <c r="CHD34" s="57"/>
      <c r="CHE34" s="57"/>
      <c r="CHF34" s="57"/>
      <c r="CHG34" s="57"/>
      <c r="CHH34" s="57"/>
      <c r="CHI34" s="57"/>
      <c r="CHJ34" s="58"/>
      <c r="CHK34" s="56"/>
      <c r="CHL34" s="57"/>
      <c r="CHM34" s="57"/>
      <c r="CHN34" s="57"/>
      <c r="CHO34" s="57"/>
      <c r="CHP34" s="57"/>
      <c r="CHQ34" s="56"/>
      <c r="CHR34" s="57"/>
      <c r="CHS34" s="57"/>
      <c r="CHT34" s="56"/>
      <c r="CHU34" s="57"/>
      <c r="CHV34" s="58"/>
      <c r="CHW34" s="56"/>
      <c r="CHX34" s="57"/>
      <c r="CHY34" s="57"/>
      <c r="CHZ34" s="57"/>
      <c r="CIA34" s="56"/>
      <c r="CIB34" s="57"/>
      <c r="CIC34" s="57"/>
      <c r="CID34" s="56"/>
      <c r="CIE34" s="57"/>
      <c r="CIF34" s="58"/>
      <c r="CIG34" s="56"/>
      <c r="CIH34" s="57"/>
      <c r="CII34" s="57"/>
      <c r="CIJ34" s="57"/>
      <c r="CIK34" s="56"/>
      <c r="CIL34" s="57"/>
      <c r="CIM34" s="57"/>
      <c r="CIN34" s="56"/>
      <c r="CIO34" s="57"/>
      <c r="CIP34" s="58"/>
      <c r="CIQ34" s="56"/>
      <c r="CIR34" s="57"/>
      <c r="CIS34" s="57"/>
      <c r="CIT34" s="57"/>
      <c r="CIU34" s="56"/>
      <c r="CIV34" s="57"/>
      <c r="CIW34" s="57"/>
      <c r="CIX34" s="56"/>
      <c r="CIY34" s="57"/>
      <c r="CIZ34" s="58"/>
      <c r="CJA34" s="56"/>
      <c r="CJB34" s="58"/>
      <c r="CJC34" s="57"/>
      <c r="CJD34" s="56"/>
      <c r="CJE34" s="57"/>
      <c r="CJF34" s="56"/>
      <c r="CJG34" s="56"/>
      <c r="CJH34" s="56"/>
      <c r="CJI34" s="57"/>
      <c r="CJJ34" s="57"/>
      <c r="CJK34" s="57"/>
      <c r="CJL34" s="57"/>
      <c r="CJM34" s="57"/>
      <c r="CJN34" s="57"/>
      <c r="CJO34" s="57"/>
      <c r="CJP34" s="57"/>
      <c r="CJQ34" s="57"/>
      <c r="CJR34" s="57"/>
      <c r="CJS34" s="57"/>
      <c r="CJT34" s="57"/>
      <c r="CJU34" s="57"/>
      <c r="CJV34" s="57"/>
      <c r="CJW34" s="57"/>
      <c r="CJX34" s="57"/>
      <c r="CJY34" s="57"/>
      <c r="CJZ34" s="57"/>
      <c r="CKA34" s="57"/>
      <c r="CKB34" s="57"/>
      <c r="CKC34" s="57"/>
      <c r="CKD34" s="57"/>
      <c r="CKE34" s="57"/>
      <c r="CKF34" s="57"/>
      <c r="CKG34" s="57"/>
      <c r="CKH34" s="57"/>
      <c r="CKI34" s="57"/>
      <c r="CKJ34" s="57"/>
      <c r="CKK34" s="57"/>
      <c r="CKL34" s="57"/>
      <c r="CKM34" s="57"/>
      <c r="CKN34" s="57"/>
      <c r="CKO34" s="57"/>
      <c r="CKP34" s="57"/>
      <c r="CKQ34" s="57"/>
      <c r="CKR34" s="57"/>
      <c r="CKS34" s="57"/>
      <c r="CKT34" s="58"/>
      <c r="CKU34" s="56"/>
      <c r="CKV34" s="57"/>
      <c r="CKW34" s="57"/>
      <c r="CKX34" s="57"/>
      <c r="CKY34" s="57"/>
      <c r="CKZ34" s="57"/>
      <c r="CLA34" s="56"/>
      <c r="CLB34" s="57"/>
      <c r="CLC34" s="57"/>
      <c r="CLD34" s="56"/>
      <c r="CLE34" s="57"/>
      <c r="CLF34" s="58"/>
      <c r="CLG34" s="56"/>
      <c r="CLH34" s="57"/>
      <c r="CLI34" s="57"/>
      <c r="CLJ34" s="57"/>
      <c r="CLK34" s="56"/>
      <c r="CLL34" s="57"/>
      <c r="CLM34" s="57"/>
      <c r="CLN34" s="56"/>
      <c r="CLO34" s="57"/>
      <c r="CLP34" s="58"/>
      <c r="CLQ34" s="56"/>
      <c r="CLR34" s="57"/>
      <c r="CLS34" s="57"/>
      <c r="CLT34" s="57"/>
      <c r="CLU34" s="56"/>
      <c r="CLV34" s="57"/>
      <c r="CLW34" s="57"/>
      <c r="CLX34" s="56"/>
      <c r="CLY34" s="57"/>
      <c r="CLZ34" s="58"/>
      <c r="CMA34" s="56"/>
      <c r="CMB34" s="57"/>
      <c r="CMC34" s="57"/>
      <c r="CMD34" s="57"/>
      <c r="CME34" s="56"/>
      <c r="CMF34" s="57"/>
      <c r="CMG34" s="57"/>
      <c r="CMH34" s="56"/>
      <c r="CMI34" s="57"/>
      <c r="CMJ34" s="58"/>
      <c r="CMK34" s="56"/>
      <c r="CML34" s="58"/>
      <c r="CMM34" s="57"/>
      <c r="CMN34" s="56"/>
      <c r="CMO34" s="57"/>
      <c r="CMP34" s="56"/>
      <c r="CMQ34" s="56"/>
      <c r="CMR34" s="56"/>
      <c r="CMS34" s="57"/>
      <c r="CMT34" s="57"/>
      <c r="CMU34" s="57"/>
      <c r="CMV34" s="57"/>
      <c r="CMW34" s="57"/>
      <c r="CMX34" s="57"/>
      <c r="CMY34" s="57"/>
      <c r="CMZ34" s="57"/>
      <c r="CNA34" s="57"/>
      <c r="CNB34" s="57"/>
      <c r="CNC34" s="57"/>
      <c r="CND34" s="57"/>
      <c r="CNE34" s="57"/>
      <c r="CNF34" s="57"/>
      <c r="CNG34" s="57"/>
      <c r="CNH34" s="57"/>
      <c r="CNI34" s="57"/>
      <c r="CNJ34" s="57"/>
      <c r="CNK34" s="57"/>
      <c r="CNL34" s="57"/>
      <c r="CNM34" s="57"/>
      <c r="CNN34" s="57"/>
      <c r="CNO34" s="57"/>
      <c r="CNP34" s="57"/>
      <c r="CNQ34" s="57"/>
      <c r="CNR34" s="57"/>
      <c r="CNS34" s="57"/>
      <c r="CNT34" s="57"/>
      <c r="CNU34" s="57"/>
      <c r="CNV34" s="57"/>
      <c r="CNW34" s="57"/>
      <c r="CNX34" s="57"/>
      <c r="CNY34" s="57"/>
      <c r="CNZ34" s="57"/>
      <c r="COA34" s="57"/>
      <c r="COB34" s="57"/>
      <c r="COC34" s="57"/>
      <c r="COD34" s="58"/>
      <c r="COE34" s="56"/>
      <c r="COF34" s="57"/>
      <c r="COG34" s="57"/>
      <c r="COH34" s="57"/>
      <c r="COI34" s="57"/>
      <c r="COJ34" s="57"/>
      <c r="COK34" s="56"/>
      <c r="COL34" s="57"/>
      <c r="COM34" s="57"/>
      <c r="CON34" s="56"/>
      <c r="COO34" s="57"/>
      <c r="COP34" s="58"/>
      <c r="COQ34" s="56"/>
      <c r="COR34" s="57"/>
      <c r="COS34" s="57"/>
      <c r="COT34" s="57"/>
      <c r="COU34" s="56"/>
      <c r="COV34" s="57"/>
      <c r="COW34" s="57"/>
      <c r="COX34" s="56"/>
      <c r="COY34" s="57"/>
      <c r="COZ34" s="58"/>
      <c r="CPA34" s="56"/>
      <c r="CPB34" s="57"/>
      <c r="CPC34" s="57"/>
      <c r="CPD34" s="57"/>
      <c r="CPE34" s="56"/>
      <c r="CPF34" s="57"/>
      <c r="CPG34" s="57"/>
      <c r="CPH34" s="56"/>
      <c r="CPI34" s="57"/>
      <c r="CPJ34" s="58"/>
      <c r="CPK34" s="56"/>
      <c r="CPL34" s="57"/>
      <c r="CPM34" s="57"/>
      <c r="CPN34" s="57"/>
      <c r="CPO34" s="56"/>
      <c r="CPP34" s="57"/>
      <c r="CPQ34" s="57"/>
      <c r="CPR34" s="56"/>
      <c r="CPS34" s="57"/>
      <c r="CPT34" s="58"/>
      <c r="CPU34" s="56"/>
      <c r="CPV34" s="58"/>
      <c r="CPW34" s="57"/>
      <c r="CPX34" s="56"/>
      <c r="CPY34" s="57"/>
      <c r="CPZ34" s="56"/>
      <c r="CQA34" s="56"/>
      <c r="CQB34" s="56"/>
      <c r="CQC34" s="57"/>
      <c r="CQD34" s="57"/>
      <c r="CQE34" s="57"/>
      <c r="CQF34" s="57"/>
      <c r="CQG34" s="57"/>
      <c r="CQH34" s="57"/>
      <c r="CQI34" s="57"/>
      <c r="CQJ34" s="57"/>
      <c r="CQK34" s="57"/>
      <c r="CQL34" s="57"/>
      <c r="CQM34" s="57"/>
      <c r="CQN34" s="57"/>
      <c r="CQO34" s="57"/>
      <c r="CQP34" s="57"/>
      <c r="CQQ34" s="57"/>
      <c r="CQR34" s="57"/>
      <c r="CQS34" s="57"/>
      <c r="CQT34" s="57"/>
      <c r="CQU34" s="57"/>
      <c r="CQV34" s="57"/>
      <c r="CQW34" s="57"/>
      <c r="CQX34" s="57"/>
      <c r="CQY34" s="57"/>
      <c r="CQZ34" s="57"/>
      <c r="CRA34" s="57"/>
      <c r="CRB34" s="57"/>
      <c r="CRC34" s="57"/>
      <c r="CRD34" s="57"/>
      <c r="CRE34" s="57"/>
      <c r="CRF34" s="57"/>
      <c r="CRG34" s="57"/>
      <c r="CRH34" s="57"/>
      <c r="CRI34" s="57"/>
      <c r="CRJ34" s="57"/>
      <c r="CRK34" s="57"/>
      <c r="CRL34" s="57"/>
      <c r="CRM34" s="57"/>
      <c r="CRN34" s="58"/>
      <c r="CRO34" s="56"/>
      <c r="CRP34" s="57"/>
      <c r="CRQ34" s="57"/>
      <c r="CRR34" s="57"/>
      <c r="CRS34" s="57"/>
      <c r="CRT34" s="57"/>
      <c r="CRU34" s="56"/>
      <c r="CRV34" s="57"/>
      <c r="CRW34" s="57"/>
      <c r="CRX34" s="56"/>
      <c r="CRY34" s="57"/>
      <c r="CRZ34" s="58"/>
      <c r="CSA34" s="56"/>
      <c r="CSB34" s="57"/>
      <c r="CSC34" s="57"/>
      <c r="CSD34" s="57"/>
      <c r="CSE34" s="56"/>
      <c r="CSF34" s="57"/>
      <c r="CSG34" s="57"/>
      <c r="CSH34" s="56"/>
      <c r="CSI34" s="57"/>
      <c r="CSJ34" s="58"/>
      <c r="CSK34" s="56"/>
      <c r="CSL34" s="57"/>
      <c r="CSM34" s="57"/>
      <c r="CSN34" s="57"/>
      <c r="CSO34" s="56"/>
      <c r="CSP34" s="57"/>
      <c r="CSQ34" s="57"/>
      <c r="CSR34" s="56"/>
      <c r="CSS34" s="57"/>
      <c r="CST34" s="58"/>
      <c r="CSU34" s="56"/>
      <c r="CSV34" s="57"/>
      <c r="CSW34" s="57"/>
      <c r="CSX34" s="57"/>
      <c r="CSY34" s="56"/>
      <c r="CSZ34" s="57"/>
      <c r="CTA34" s="57"/>
      <c r="CTB34" s="56"/>
      <c r="CTC34" s="57"/>
      <c r="CTD34" s="58"/>
      <c r="CTE34" s="56"/>
      <c r="CTF34" s="58"/>
      <c r="CTG34" s="57"/>
      <c r="CTH34" s="56"/>
      <c r="CTI34" s="57"/>
      <c r="CTJ34" s="56"/>
      <c r="CTK34" s="56"/>
      <c r="CTL34" s="56"/>
      <c r="CTM34" s="57"/>
      <c r="CTN34" s="57"/>
      <c r="CTO34" s="57"/>
      <c r="CTP34" s="57"/>
      <c r="CTQ34" s="57"/>
      <c r="CTR34" s="57"/>
      <c r="CTS34" s="57"/>
      <c r="CTT34" s="57"/>
      <c r="CTU34" s="57"/>
      <c r="CTV34" s="57"/>
      <c r="CTW34" s="57"/>
      <c r="CTX34" s="57"/>
      <c r="CTY34" s="57"/>
      <c r="CTZ34" s="57"/>
      <c r="CUA34" s="57"/>
      <c r="CUB34" s="57"/>
      <c r="CUC34" s="57"/>
      <c r="CUD34" s="57"/>
      <c r="CUE34" s="57"/>
      <c r="CUF34" s="57"/>
      <c r="CUG34" s="57"/>
      <c r="CUH34" s="57"/>
      <c r="CUI34" s="57"/>
      <c r="CUJ34" s="57"/>
      <c r="CUK34" s="57"/>
      <c r="CUL34" s="57"/>
      <c r="CUM34" s="57"/>
      <c r="CUN34" s="57"/>
      <c r="CUO34" s="57"/>
      <c r="CUP34" s="57"/>
      <c r="CUQ34" s="57"/>
      <c r="CUR34" s="57"/>
      <c r="CUS34" s="57"/>
      <c r="CUT34" s="57"/>
      <c r="CUU34" s="57"/>
      <c r="CUV34" s="57"/>
      <c r="CUW34" s="57"/>
      <c r="CUX34" s="58"/>
      <c r="CUY34" s="56"/>
      <c r="CUZ34" s="57"/>
      <c r="CVA34" s="57"/>
      <c r="CVB34" s="57"/>
      <c r="CVC34" s="57"/>
      <c r="CVD34" s="57"/>
      <c r="CVE34" s="56"/>
      <c r="CVF34" s="57"/>
      <c r="CVG34" s="57"/>
      <c r="CVH34" s="56"/>
      <c r="CVI34" s="57"/>
      <c r="CVJ34" s="58"/>
      <c r="CVK34" s="56"/>
      <c r="CVL34" s="57"/>
      <c r="CVM34" s="57"/>
      <c r="CVN34" s="57"/>
      <c r="CVO34" s="56"/>
      <c r="CVP34" s="57"/>
      <c r="CVQ34" s="57"/>
      <c r="CVR34" s="56"/>
      <c r="CVS34" s="57"/>
      <c r="CVT34" s="58"/>
      <c r="CVU34" s="56"/>
      <c r="CVV34" s="57"/>
      <c r="CVW34" s="57"/>
      <c r="CVX34" s="57"/>
      <c r="CVY34" s="56"/>
      <c r="CVZ34" s="57"/>
      <c r="CWA34" s="57"/>
      <c r="CWB34" s="56"/>
      <c r="CWC34" s="57"/>
      <c r="CWD34" s="58"/>
      <c r="CWE34" s="56"/>
      <c r="CWF34" s="57"/>
      <c r="CWG34" s="57"/>
      <c r="CWH34" s="57"/>
      <c r="CWI34" s="56"/>
      <c r="CWJ34" s="57"/>
      <c r="CWK34" s="57"/>
      <c r="CWL34" s="56"/>
      <c r="CWM34" s="57"/>
      <c r="CWN34" s="58"/>
      <c r="CWO34" s="56"/>
      <c r="CWP34" s="58"/>
      <c r="CWQ34" s="57"/>
      <c r="CWR34" s="56"/>
      <c r="CWS34" s="57"/>
      <c r="CWT34" s="56"/>
      <c r="CWU34" s="56"/>
      <c r="CWV34" s="56"/>
      <c r="CWW34" s="57"/>
      <c r="CWX34" s="57"/>
      <c r="CWY34" s="57"/>
      <c r="CWZ34" s="57"/>
      <c r="CXA34" s="57"/>
      <c r="CXB34" s="57"/>
      <c r="CXC34" s="57"/>
      <c r="CXD34" s="57"/>
      <c r="CXE34" s="57"/>
      <c r="CXF34" s="57"/>
      <c r="CXG34" s="57"/>
      <c r="CXH34" s="57"/>
      <c r="CXI34" s="57"/>
      <c r="CXJ34" s="57"/>
      <c r="CXK34" s="57"/>
      <c r="CXL34" s="57"/>
      <c r="CXM34" s="57"/>
      <c r="CXN34" s="57"/>
      <c r="CXO34" s="57"/>
      <c r="CXP34" s="57"/>
      <c r="CXQ34" s="57"/>
      <c r="CXR34" s="57"/>
      <c r="CXS34" s="57"/>
      <c r="CXT34" s="57"/>
      <c r="CXU34" s="57"/>
      <c r="CXV34" s="57"/>
      <c r="CXW34" s="57"/>
      <c r="CXX34" s="57"/>
      <c r="CXY34" s="57"/>
      <c r="CXZ34" s="57"/>
      <c r="CYA34" s="57"/>
      <c r="CYB34" s="57"/>
      <c r="CYC34" s="57"/>
      <c r="CYD34" s="57"/>
      <c r="CYE34" s="57"/>
      <c r="CYF34" s="57"/>
      <c r="CYG34" s="57"/>
      <c r="CYH34" s="58"/>
      <c r="CYI34" s="56"/>
      <c r="CYJ34" s="57"/>
      <c r="CYK34" s="57"/>
      <c r="CYL34" s="57"/>
      <c r="CYM34" s="57"/>
      <c r="CYN34" s="57"/>
      <c r="CYO34" s="56"/>
      <c r="CYP34" s="57"/>
      <c r="CYQ34" s="57"/>
      <c r="CYR34" s="56"/>
      <c r="CYS34" s="57"/>
      <c r="CYT34" s="58"/>
      <c r="CYU34" s="56"/>
      <c r="CYV34" s="57"/>
      <c r="CYW34" s="57"/>
      <c r="CYX34" s="57"/>
      <c r="CYY34" s="56"/>
      <c r="CYZ34" s="57"/>
      <c r="CZA34" s="57"/>
      <c r="CZB34" s="56"/>
      <c r="CZC34" s="57"/>
      <c r="CZD34" s="58"/>
      <c r="CZE34" s="56"/>
      <c r="CZF34" s="57"/>
      <c r="CZG34" s="57"/>
      <c r="CZH34" s="57"/>
      <c r="CZI34" s="56"/>
      <c r="CZJ34" s="57"/>
      <c r="CZK34" s="57"/>
      <c r="CZL34" s="56"/>
      <c r="CZM34" s="57"/>
      <c r="CZN34" s="58"/>
      <c r="CZO34" s="56"/>
      <c r="CZP34" s="57"/>
      <c r="CZQ34" s="57"/>
      <c r="CZR34" s="57"/>
      <c r="CZS34" s="56"/>
      <c r="CZT34" s="57"/>
      <c r="CZU34" s="57"/>
      <c r="CZV34" s="56"/>
      <c r="CZW34" s="57"/>
      <c r="CZX34" s="58"/>
      <c r="CZY34" s="56"/>
      <c r="CZZ34" s="58"/>
      <c r="DAA34" s="57"/>
      <c r="DAB34" s="56"/>
      <c r="DAC34" s="57"/>
      <c r="DAD34" s="56"/>
      <c r="DAE34" s="56"/>
      <c r="DAF34" s="56"/>
      <c r="DAG34" s="57"/>
      <c r="DAH34" s="57"/>
      <c r="DAI34" s="57"/>
      <c r="DAJ34" s="57"/>
      <c r="DAK34" s="57"/>
      <c r="DAL34" s="57"/>
      <c r="DAM34" s="57"/>
      <c r="DAN34" s="57"/>
      <c r="DAO34" s="57"/>
      <c r="DAP34" s="57"/>
      <c r="DAQ34" s="57"/>
      <c r="DAR34" s="57"/>
      <c r="DAS34" s="57"/>
      <c r="DAT34" s="57"/>
      <c r="DAU34" s="57"/>
      <c r="DAV34" s="57"/>
      <c r="DAW34" s="57"/>
      <c r="DAX34" s="57"/>
      <c r="DAY34" s="57"/>
      <c r="DAZ34" s="57"/>
      <c r="DBA34" s="57"/>
      <c r="DBB34" s="57"/>
      <c r="DBC34" s="57"/>
      <c r="DBD34" s="57"/>
      <c r="DBE34" s="57"/>
      <c r="DBF34" s="57"/>
      <c r="DBG34" s="57"/>
      <c r="DBH34" s="57"/>
      <c r="DBI34" s="57"/>
      <c r="DBJ34" s="57"/>
      <c r="DBK34" s="57"/>
      <c r="DBL34" s="57"/>
      <c r="DBM34" s="57"/>
      <c r="DBN34" s="57"/>
      <c r="DBO34" s="57"/>
      <c r="DBP34" s="57"/>
      <c r="DBQ34" s="57"/>
      <c r="DBR34" s="58"/>
      <c r="DBS34" s="56"/>
      <c r="DBT34" s="57"/>
      <c r="DBU34" s="57"/>
      <c r="DBV34" s="57"/>
      <c r="DBW34" s="57"/>
      <c r="DBX34" s="57"/>
      <c r="DBY34" s="56"/>
      <c r="DBZ34" s="57"/>
      <c r="DCA34" s="57"/>
      <c r="DCB34" s="56"/>
      <c r="DCC34" s="57"/>
      <c r="DCD34" s="58"/>
      <c r="DCE34" s="56"/>
      <c r="DCF34" s="57"/>
      <c r="DCG34" s="57"/>
      <c r="DCH34" s="57"/>
      <c r="DCI34" s="56"/>
      <c r="DCJ34" s="57"/>
      <c r="DCK34" s="57"/>
      <c r="DCL34" s="56"/>
      <c r="DCM34" s="57"/>
      <c r="DCN34" s="58"/>
      <c r="DCO34" s="56"/>
      <c r="DCP34" s="57"/>
      <c r="DCQ34" s="57"/>
      <c r="DCR34" s="57"/>
      <c r="DCS34" s="56"/>
      <c r="DCT34" s="57"/>
      <c r="DCU34" s="57"/>
      <c r="DCV34" s="56"/>
      <c r="DCW34" s="57"/>
      <c r="DCX34" s="58"/>
      <c r="DCY34" s="56"/>
      <c r="DCZ34" s="57"/>
      <c r="DDA34" s="57"/>
      <c r="DDB34" s="57"/>
      <c r="DDC34" s="56"/>
      <c r="DDD34" s="57"/>
      <c r="DDE34" s="57"/>
      <c r="DDF34" s="56"/>
      <c r="DDG34" s="57"/>
      <c r="DDH34" s="58"/>
      <c r="DDI34" s="56"/>
      <c r="DDJ34" s="58"/>
      <c r="DDK34" s="57"/>
      <c r="DDL34" s="56"/>
      <c r="DDM34" s="57"/>
      <c r="DDN34" s="56"/>
      <c r="DDO34" s="56"/>
      <c r="DDP34" s="56"/>
      <c r="DDQ34" s="57"/>
      <c r="DDR34" s="57"/>
      <c r="DDS34" s="57"/>
      <c r="DDT34" s="57"/>
      <c r="DDU34" s="57"/>
      <c r="DDV34" s="57"/>
      <c r="DDW34" s="57"/>
      <c r="DDX34" s="57"/>
      <c r="DDY34" s="57"/>
      <c r="DDZ34" s="57"/>
      <c r="DEA34" s="57"/>
      <c r="DEB34" s="57"/>
      <c r="DEC34" s="57"/>
      <c r="DED34" s="57"/>
      <c r="DEE34" s="57"/>
      <c r="DEF34" s="57"/>
      <c r="DEG34" s="57"/>
      <c r="DEH34" s="57"/>
      <c r="DEI34" s="57"/>
      <c r="DEJ34" s="57"/>
      <c r="DEK34" s="57"/>
      <c r="DEL34" s="57"/>
      <c r="DEM34" s="57"/>
      <c r="DEN34" s="57"/>
      <c r="DEO34" s="57"/>
      <c r="DEP34" s="57"/>
      <c r="DEQ34" s="57"/>
      <c r="DER34" s="57"/>
      <c r="DES34" s="57"/>
      <c r="DET34" s="57"/>
      <c r="DEU34" s="57"/>
      <c r="DEV34" s="57"/>
      <c r="DEW34" s="57"/>
      <c r="DEX34" s="57"/>
      <c r="DEY34" s="57"/>
      <c r="DEZ34" s="57"/>
      <c r="DFA34" s="57"/>
      <c r="DFB34" s="58"/>
      <c r="DFC34" s="56"/>
      <c r="DFD34" s="57"/>
      <c r="DFE34" s="57"/>
      <c r="DFF34" s="57"/>
      <c r="DFG34" s="57"/>
      <c r="DFH34" s="57"/>
      <c r="DFI34" s="56"/>
      <c r="DFJ34" s="57"/>
      <c r="DFK34" s="57"/>
      <c r="DFL34" s="56"/>
      <c r="DFM34" s="57"/>
      <c r="DFN34" s="58"/>
      <c r="DFO34" s="56"/>
      <c r="DFP34" s="57"/>
      <c r="DFQ34" s="57"/>
      <c r="DFR34" s="57"/>
      <c r="DFS34" s="56"/>
      <c r="DFT34" s="57"/>
      <c r="DFU34" s="57"/>
      <c r="DFV34" s="56"/>
      <c r="DFW34" s="57"/>
      <c r="DFX34" s="58"/>
      <c r="DFY34" s="56"/>
      <c r="DFZ34" s="57"/>
      <c r="DGA34" s="57"/>
      <c r="DGB34" s="57"/>
      <c r="DGC34" s="56"/>
      <c r="DGD34" s="57"/>
      <c r="DGE34" s="57"/>
      <c r="DGF34" s="56"/>
      <c r="DGG34" s="57"/>
      <c r="DGH34" s="58"/>
      <c r="DGI34" s="56"/>
      <c r="DGJ34" s="57"/>
      <c r="DGK34" s="57"/>
      <c r="DGL34" s="57"/>
      <c r="DGM34" s="56"/>
      <c r="DGN34" s="57"/>
      <c r="DGO34" s="57"/>
      <c r="DGP34" s="56"/>
      <c r="DGQ34" s="57"/>
      <c r="DGR34" s="58"/>
      <c r="DGS34" s="56"/>
      <c r="DGT34" s="58"/>
      <c r="DGU34" s="57"/>
      <c r="DGV34" s="56"/>
      <c r="DGW34" s="57"/>
      <c r="DGX34" s="56"/>
      <c r="DGY34" s="56"/>
      <c r="DGZ34" s="56"/>
      <c r="DHA34" s="57"/>
      <c r="DHB34" s="57"/>
      <c r="DHC34" s="57"/>
      <c r="DHD34" s="57"/>
      <c r="DHE34" s="57"/>
      <c r="DHF34" s="57"/>
      <c r="DHG34" s="57"/>
      <c r="DHH34" s="57"/>
      <c r="DHI34" s="57"/>
      <c r="DHJ34" s="57"/>
      <c r="DHK34" s="57"/>
      <c r="DHL34" s="57"/>
      <c r="DHM34" s="57"/>
      <c r="DHN34" s="57"/>
      <c r="DHO34" s="57"/>
      <c r="DHP34" s="57"/>
      <c r="DHQ34" s="57"/>
      <c r="DHR34" s="57"/>
      <c r="DHS34" s="57"/>
      <c r="DHT34" s="57"/>
      <c r="DHU34" s="57"/>
      <c r="DHV34" s="57"/>
      <c r="DHW34" s="57"/>
      <c r="DHX34" s="57"/>
      <c r="DHY34" s="57"/>
      <c r="DHZ34" s="57"/>
      <c r="DIA34" s="57"/>
      <c r="DIB34" s="57"/>
      <c r="DIC34" s="57"/>
      <c r="DID34" s="57"/>
      <c r="DIE34" s="57"/>
      <c r="DIF34" s="57"/>
      <c r="DIG34" s="57"/>
      <c r="DIH34" s="57"/>
      <c r="DII34" s="57"/>
      <c r="DIJ34" s="57"/>
      <c r="DIK34" s="57"/>
      <c r="DIL34" s="58"/>
      <c r="DIM34" s="56"/>
      <c r="DIN34" s="57"/>
      <c r="DIO34" s="57"/>
      <c r="DIP34" s="57"/>
      <c r="DIQ34" s="57"/>
      <c r="DIR34" s="57"/>
      <c r="DIS34" s="56"/>
      <c r="DIT34" s="57"/>
      <c r="DIU34" s="57"/>
      <c r="DIV34" s="56"/>
      <c r="DIW34" s="57"/>
      <c r="DIX34" s="58"/>
      <c r="DIY34" s="56"/>
      <c r="DIZ34" s="57"/>
      <c r="DJA34" s="57"/>
      <c r="DJB34" s="57"/>
      <c r="DJC34" s="56"/>
      <c r="DJD34" s="57"/>
      <c r="DJE34" s="57"/>
      <c r="DJF34" s="56"/>
      <c r="DJG34" s="57"/>
      <c r="DJH34" s="58"/>
      <c r="DJI34" s="56"/>
      <c r="DJJ34" s="57"/>
      <c r="DJK34" s="57"/>
      <c r="DJL34" s="57"/>
      <c r="DJM34" s="56"/>
      <c r="DJN34" s="57"/>
      <c r="DJO34" s="57"/>
      <c r="DJP34" s="56"/>
      <c r="DJQ34" s="57"/>
      <c r="DJR34" s="58"/>
      <c r="DJS34" s="56"/>
      <c r="DJT34" s="57"/>
      <c r="DJU34" s="57"/>
      <c r="DJV34" s="57"/>
      <c r="DJW34" s="56"/>
      <c r="DJX34" s="57"/>
      <c r="DJY34" s="57"/>
      <c r="DJZ34" s="56"/>
      <c r="DKA34" s="57"/>
      <c r="DKB34" s="58"/>
      <c r="DKC34" s="56"/>
      <c r="DKD34" s="58"/>
      <c r="DKE34" s="57"/>
      <c r="DKF34" s="56"/>
      <c r="DKG34" s="57"/>
      <c r="DKH34" s="56"/>
      <c r="DKI34" s="56"/>
      <c r="DKJ34" s="56"/>
      <c r="DKK34" s="57"/>
      <c r="DKL34" s="57"/>
      <c r="DKM34" s="57"/>
      <c r="DKN34" s="57"/>
      <c r="DKO34" s="57"/>
      <c r="DKP34" s="57"/>
      <c r="DKQ34" s="57"/>
      <c r="DKR34" s="57"/>
      <c r="DKS34" s="57"/>
      <c r="DKT34" s="57"/>
      <c r="DKU34" s="57"/>
      <c r="DKV34" s="57"/>
      <c r="DKW34" s="57"/>
      <c r="DKX34" s="57"/>
      <c r="DKY34" s="57"/>
      <c r="DKZ34" s="57"/>
      <c r="DLA34" s="57"/>
      <c r="DLB34" s="57"/>
      <c r="DLC34" s="57"/>
      <c r="DLD34" s="57"/>
      <c r="DLE34" s="57"/>
      <c r="DLF34" s="57"/>
      <c r="DLG34" s="57"/>
      <c r="DLH34" s="57"/>
      <c r="DLI34" s="57"/>
      <c r="DLJ34" s="57"/>
      <c r="DLK34" s="57"/>
      <c r="DLL34" s="57"/>
      <c r="DLM34" s="57"/>
      <c r="DLN34" s="57"/>
      <c r="DLO34" s="57"/>
      <c r="DLP34" s="57"/>
      <c r="DLQ34" s="57"/>
      <c r="DLR34" s="57"/>
      <c r="DLS34" s="57"/>
      <c r="DLT34" s="57"/>
      <c r="DLU34" s="57"/>
      <c r="DLV34" s="58"/>
      <c r="DLW34" s="56"/>
      <c r="DLX34" s="57"/>
      <c r="DLY34" s="57"/>
      <c r="DLZ34" s="57"/>
      <c r="DMA34" s="57"/>
      <c r="DMB34" s="57"/>
      <c r="DMC34" s="56"/>
      <c r="DMD34" s="57"/>
      <c r="DME34" s="57"/>
      <c r="DMF34" s="56"/>
      <c r="DMG34" s="57"/>
      <c r="DMH34" s="58"/>
      <c r="DMI34" s="56"/>
      <c r="DMJ34" s="57"/>
      <c r="DMK34" s="57"/>
      <c r="DML34" s="57"/>
      <c r="DMM34" s="56"/>
      <c r="DMN34" s="57"/>
      <c r="DMO34" s="57"/>
      <c r="DMP34" s="56"/>
      <c r="DMQ34" s="57"/>
      <c r="DMR34" s="58"/>
      <c r="DMS34" s="56"/>
      <c r="DMT34" s="57"/>
      <c r="DMU34" s="57"/>
      <c r="DMV34" s="57"/>
      <c r="DMW34" s="56"/>
      <c r="DMX34" s="57"/>
      <c r="DMY34" s="57"/>
      <c r="DMZ34" s="56"/>
      <c r="DNA34" s="57"/>
      <c r="DNB34" s="58"/>
      <c r="DNC34" s="56"/>
      <c r="DND34" s="57"/>
      <c r="DNE34" s="57"/>
      <c r="DNF34" s="57"/>
      <c r="DNG34" s="56"/>
      <c r="DNH34" s="57"/>
      <c r="DNI34" s="57"/>
      <c r="DNJ34" s="56"/>
      <c r="DNK34" s="57"/>
      <c r="DNL34" s="58"/>
      <c r="DNM34" s="56"/>
      <c r="DNN34" s="58"/>
      <c r="DNO34" s="57"/>
      <c r="DNP34" s="56"/>
      <c r="DNQ34" s="57"/>
      <c r="DNR34" s="56"/>
      <c r="DNS34" s="56"/>
      <c r="DNT34" s="56"/>
      <c r="DNU34" s="57"/>
      <c r="DNV34" s="57"/>
      <c r="DNW34" s="57"/>
      <c r="DNX34" s="57"/>
      <c r="DNY34" s="57"/>
      <c r="DNZ34" s="57"/>
      <c r="DOA34" s="57"/>
      <c r="DOB34" s="57"/>
      <c r="DOC34" s="57"/>
      <c r="DOD34" s="57"/>
      <c r="DOE34" s="57"/>
      <c r="DOF34" s="57"/>
      <c r="DOG34" s="57"/>
      <c r="DOH34" s="57"/>
      <c r="DOI34" s="57"/>
      <c r="DOJ34" s="57"/>
      <c r="DOK34" s="57"/>
      <c r="DOL34" s="57"/>
      <c r="DOM34" s="57"/>
      <c r="DON34" s="57"/>
      <c r="DOO34" s="57"/>
      <c r="DOP34" s="57"/>
      <c r="DOQ34" s="57"/>
      <c r="DOR34" s="57"/>
      <c r="DOS34" s="57"/>
      <c r="DOT34" s="57"/>
      <c r="DOU34" s="57"/>
      <c r="DOV34" s="57"/>
      <c r="DOW34" s="57"/>
      <c r="DOX34" s="57"/>
      <c r="DOY34" s="57"/>
      <c r="DOZ34" s="57"/>
      <c r="DPA34" s="57"/>
      <c r="DPB34" s="57"/>
      <c r="DPC34" s="57"/>
      <c r="DPD34" s="57"/>
      <c r="DPE34" s="57"/>
      <c r="DPF34" s="58"/>
      <c r="DPG34" s="56"/>
      <c r="DPH34" s="57"/>
      <c r="DPI34" s="57"/>
      <c r="DPJ34" s="57"/>
      <c r="DPK34" s="57"/>
      <c r="DPL34" s="57"/>
      <c r="DPM34" s="56"/>
      <c r="DPN34" s="57"/>
      <c r="DPO34" s="57"/>
      <c r="DPP34" s="56"/>
      <c r="DPQ34" s="57"/>
      <c r="DPR34" s="58"/>
      <c r="DPS34" s="56"/>
      <c r="DPT34" s="57"/>
      <c r="DPU34" s="57"/>
      <c r="DPV34" s="57"/>
      <c r="DPW34" s="56"/>
      <c r="DPX34" s="57"/>
      <c r="DPY34" s="57"/>
      <c r="DPZ34" s="56"/>
      <c r="DQA34" s="57"/>
      <c r="DQB34" s="58"/>
      <c r="DQC34" s="56"/>
      <c r="DQD34" s="57"/>
      <c r="DQE34" s="57"/>
      <c r="DQF34" s="57"/>
      <c r="DQG34" s="56"/>
      <c r="DQH34" s="57"/>
      <c r="DQI34" s="57"/>
      <c r="DQJ34" s="56"/>
      <c r="DQK34" s="57"/>
      <c r="DQL34" s="58"/>
      <c r="DQM34" s="56"/>
      <c r="DQN34" s="57"/>
      <c r="DQO34" s="57"/>
      <c r="DQP34" s="57"/>
      <c r="DQQ34" s="56"/>
      <c r="DQR34" s="57"/>
      <c r="DQS34" s="57"/>
      <c r="DQT34" s="56"/>
      <c r="DQU34" s="57"/>
      <c r="DQV34" s="58"/>
      <c r="DQW34" s="56"/>
      <c r="DQX34" s="58"/>
      <c r="DQY34" s="57"/>
      <c r="DQZ34" s="56"/>
      <c r="DRA34" s="57"/>
      <c r="DRB34" s="56"/>
      <c r="DRC34" s="56"/>
      <c r="DRD34" s="56"/>
      <c r="DRE34" s="57"/>
      <c r="DRF34" s="57"/>
      <c r="DRG34" s="57"/>
      <c r="DRH34" s="57"/>
      <c r="DRI34" s="57"/>
      <c r="DRJ34" s="57"/>
      <c r="DRK34" s="57"/>
      <c r="DRL34" s="57"/>
      <c r="DRM34" s="57"/>
      <c r="DRN34" s="57"/>
      <c r="DRO34" s="57"/>
      <c r="DRP34" s="57"/>
      <c r="DRQ34" s="57"/>
      <c r="DRR34" s="57"/>
      <c r="DRS34" s="57"/>
      <c r="DRT34" s="57"/>
      <c r="DRU34" s="57"/>
      <c r="DRV34" s="57"/>
      <c r="DRW34" s="57"/>
      <c r="DRX34" s="57"/>
      <c r="DRY34" s="57"/>
      <c r="DRZ34" s="57"/>
      <c r="DSA34" s="57"/>
      <c r="DSB34" s="57"/>
      <c r="DSC34" s="57"/>
      <c r="DSD34" s="57"/>
      <c r="DSE34" s="57"/>
      <c r="DSF34" s="57"/>
      <c r="DSG34" s="57"/>
      <c r="DSH34" s="57"/>
      <c r="DSI34" s="57"/>
      <c r="DSJ34" s="57"/>
      <c r="DSK34" s="57"/>
      <c r="DSL34" s="57"/>
      <c r="DSM34" s="57"/>
      <c r="DSN34" s="57"/>
      <c r="DSO34" s="57"/>
      <c r="DSP34" s="58"/>
      <c r="DSQ34" s="56"/>
      <c r="DSR34" s="57"/>
      <c r="DSS34" s="57"/>
      <c r="DST34" s="57"/>
      <c r="DSU34" s="57"/>
      <c r="DSV34" s="57"/>
      <c r="DSW34" s="56"/>
      <c r="DSX34" s="57"/>
      <c r="DSY34" s="57"/>
      <c r="DSZ34" s="56"/>
      <c r="DTA34" s="57"/>
      <c r="DTB34" s="58"/>
      <c r="DTC34" s="56"/>
      <c r="DTD34" s="57"/>
      <c r="DTE34" s="57"/>
      <c r="DTF34" s="57"/>
      <c r="DTG34" s="56"/>
      <c r="DTH34" s="57"/>
      <c r="DTI34" s="57"/>
      <c r="DTJ34" s="56"/>
      <c r="DTK34" s="57"/>
      <c r="DTL34" s="58"/>
      <c r="DTM34" s="56"/>
      <c r="DTN34" s="57"/>
      <c r="DTO34" s="57"/>
      <c r="DTP34" s="57"/>
      <c r="DTQ34" s="56"/>
      <c r="DTR34" s="57"/>
      <c r="DTS34" s="57"/>
      <c r="DTT34" s="56"/>
      <c r="DTU34" s="57"/>
      <c r="DTV34" s="58"/>
      <c r="DTW34" s="56"/>
      <c r="DTX34" s="57"/>
      <c r="DTY34" s="57"/>
      <c r="DTZ34" s="57"/>
      <c r="DUA34" s="56"/>
      <c r="DUB34" s="57"/>
      <c r="DUC34" s="57"/>
      <c r="DUD34" s="56"/>
      <c r="DUE34" s="57"/>
      <c r="DUF34" s="58"/>
      <c r="DUG34" s="56"/>
      <c r="DUH34" s="58"/>
      <c r="DUI34" s="57"/>
      <c r="DUJ34" s="56"/>
      <c r="DUK34" s="57"/>
      <c r="DUL34" s="56"/>
      <c r="DUM34" s="56"/>
      <c r="DUN34" s="56"/>
      <c r="DUO34" s="57"/>
      <c r="DUP34" s="57"/>
      <c r="DUQ34" s="57"/>
      <c r="DUR34" s="57"/>
      <c r="DUS34" s="57"/>
      <c r="DUT34" s="57"/>
      <c r="DUU34" s="57"/>
      <c r="DUV34" s="57"/>
      <c r="DUW34" s="57"/>
      <c r="DUX34" s="57"/>
      <c r="DUY34" s="57"/>
      <c r="DUZ34" s="57"/>
      <c r="DVA34" s="57"/>
      <c r="DVB34" s="57"/>
      <c r="DVC34" s="57"/>
      <c r="DVD34" s="57"/>
      <c r="DVE34" s="57"/>
      <c r="DVF34" s="57"/>
      <c r="DVG34" s="57"/>
      <c r="DVH34" s="57"/>
      <c r="DVI34" s="57"/>
      <c r="DVJ34" s="57"/>
      <c r="DVK34" s="57"/>
      <c r="DVL34" s="57"/>
      <c r="DVM34" s="57"/>
      <c r="DVN34" s="57"/>
      <c r="DVO34" s="57"/>
      <c r="DVP34" s="57"/>
      <c r="DVQ34" s="57"/>
      <c r="DVR34" s="57"/>
      <c r="DVS34" s="57"/>
      <c r="DVT34" s="57"/>
      <c r="DVU34" s="57"/>
      <c r="DVV34" s="57"/>
      <c r="DVW34" s="57"/>
      <c r="DVX34" s="57"/>
      <c r="DVY34" s="57"/>
      <c r="DVZ34" s="58"/>
      <c r="DWA34" s="56"/>
      <c r="DWB34" s="57"/>
      <c r="DWC34" s="57"/>
      <c r="DWD34" s="57"/>
      <c r="DWE34" s="57"/>
      <c r="DWF34" s="57"/>
      <c r="DWG34" s="56"/>
      <c r="DWH34" s="57"/>
      <c r="DWI34" s="57"/>
      <c r="DWJ34" s="56"/>
      <c r="DWK34" s="57"/>
      <c r="DWL34" s="58"/>
      <c r="DWM34" s="56"/>
      <c r="DWN34" s="57"/>
      <c r="DWO34" s="57"/>
      <c r="DWP34" s="57"/>
      <c r="DWQ34" s="56"/>
      <c r="DWR34" s="57"/>
      <c r="DWS34" s="57"/>
      <c r="DWT34" s="56"/>
      <c r="DWU34" s="57"/>
      <c r="DWV34" s="58"/>
      <c r="DWW34" s="56"/>
      <c r="DWX34" s="57"/>
      <c r="DWY34" s="57"/>
      <c r="DWZ34" s="57"/>
      <c r="DXA34" s="56"/>
      <c r="DXB34" s="57"/>
      <c r="DXC34" s="57"/>
      <c r="DXD34" s="56"/>
      <c r="DXE34" s="57"/>
      <c r="DXF34" s="58"/>
      <c r="DXG34" s="56"/>
      <c r="DXH34" s="57"/>
      <c r="DXI34" s="57"/>
      <c r="DXJ34" s="57"/>
      <c r="DXK34" s="56"/>
      <c r="DXL34" s="57"/>
      <c r="DXM34" s="57"/>
      <c r="DXN34" s="56"/>
      <c r="DXO34" s="57"/>
      <c r="DXP34" s="58"/>
      <c r="DXQ34" s="56"/>
      <c r="DXR34" s="58"/>
      <c r="DXS34" s="57"/>
      <c r="DXT34" s="56"/>
      <c r="DXU34" s="57"/>
      <c r="DXV34" s="56"/>
      <c r="DXW34" s="56"/>
      <c r="DXX34" s="56"/>
      <c r="DXY34" s="57"/>
      <c r="DXZ34" s="57"/>
      <c r="DYA34" s="57"/>
      <c r="DYB34" s="57"/>
      <c r="DYC34" s="57"/>
      <c r="DYD34" s="57"/>
      <c r="DYE34" s="57"/>
      <c r="DYF34" s="57"/>
      <c r="DYG34" s="57"/>
      <c r="DYH34" s="57"/>
      <c r="DYI34" s="57"/>
      <c r="DYJ34" s="57"/>
      <c r="DYK34" s="57"/>
      <c r="DYL34" s="57"/>
      <c r="DYM34" s="57"/>
      <c r="DYN34" s="57"/>
      <c r="DYO34" s="57"/>
      <c r="DYP34" s="57"/>
      <c r="DYQ34" s="57"/>
      <c r="DYR34" s="57"/>
      <c r="DYS34" s="57"/>
      <c r="DYT34" s="57"/>
      <c r="DYU34" s="57"/>
      <c r="DYV34" s="57"/>
      <c r="DYW34" s="57"/>
      <c r="DYX34" s="57"/>
      <c r="DYY34" s="57"/>
      <c r="DYZ34" s="57"/>
      <c r="DZA34" s="57"/>
      <c r="DZB34" s="57"/>
      <c r="DZC34" s="57"/>
      <c r="DZD34" s="57"/>
      <c r="DZE34" s="57"/>
      <c r="DZF34" s="57"/>
      <c r="DZG34" s="57"/>
      <c r="DZH34" s="57"/>
      <c r="DZI34" s="57"/>
      <c r="DZJ34" s="58"/>
      <c r="DZK34" s="56"/>
      <c r="DZL34" s="57"/>
      <c r="DZM34" s="57"/>
      <c r="DZN34" s="57"/>
      <c r="DZO34" s="57"/>
      <c r="DZP34" s="57"/>
      <c r="DZQ34" s="56"/>
      <c r="DZR34" s="57"/>
      <c r="DZS34" s="57"/>
      <c r="DZT34" s="56"/>
      <c r="DZU34" s="57"/>
      <c r="DZV34" s="58"/>
      <c r="DZW34" s="56"/>
      <c r="DZX34" s="57"/>
      <c r="DZY34" s="57"/>
      <c r="DZZ34" s="57"/>
      <c r="EAA34" s="56"/>
      <c r="EAB34" s="57"/>
      <c r="EAC34" s="57"/>
      <c r="EAD34" s="56"/>
      <c r="EAE34" s="57"/>
      <c r="EAF34" s="58"/>
      <c r="EAG34" s="56"/>
      <c r="EAH34" s="57"/>
      <c r="EAI34" s="57"/>
      <c r="EAJ34" s="57"/>
      <c r="EAK34" s="56"/>
      <c r="EAL34" s="57"/>
      <c r="EAM34" s="57"/>
      <c r="EAN34" s="56"/>
      <c r="EAO34" s="57"/>
      <c r="EAP34" s="58"/>
      <c r="EAQ34" s="56"/>
      <c r="EAR34" s="57"/>
      <c r="EAS34" s="57"/>
      <c r="EAT34" s="57"/>
      <c r="EAU34" s="56"/>
      <c r="EAV34" s="57"/>
      <c r="EAW34" s="57"/>
      <c r="EAX34" s="56"/>
      <c r="EAY34" s="57"/>
      <c r="EAZ34" s="58"/>
      <c r="EBA34" s="56"/>
      <c r="EBB34" s="58"/>
      <c r="EBC34" s="57"/>
      <c r="EBD34" s="56"/>
      <c r="EBE34" s="57"/>
      <c r="EBF34" s="56"/>
      <c r="EBG34" s="56"/>
      <c r="EBH34" s="56"/>
      <c r="EBI34" s="57"/>
      <c r="EBJ34" s="57"/>
      <c r="EBK34" s="57"/>
      <c r="EBL34" s="57"/>
      <c r="EBM34" s="57"/>
      <c r="EBN34" s="57"/>
      <c r="EBO34" s="57"/>
      <c r="EBP34" s="57"/>
      <c r="EBQ34" s="57"/>
      <c r="EBR34" s="57"/>
      <c r="EBS34" s="57"/>
      <c r="EBT34" s="57"/>
      <c r="EBU34" s="57"/>
      <c r="EBV34" s="57"/>
      <c r="EBW34" s="57"/>
      <c r="EBX34" s="57"/>
      <c r="EBY34" s="57"/>
      <c r="EBZ34" s="57"/>
      <c r="ECA34" s="57"/>
      <c r="ECB34" s="57"/>
      <c r="ECC34" s="57"/>
      <c r="ECD34" s="57"/>
      <c r="ECE34" s="57"/>
      <c r="ECF34" s="57"/>
      <c r="ECG34" s="57"/>
      <c r="ECH34" s="57"/>
      <c r="ECI34" s="57"/>
      <c r="ECJ34" s="57"/>
      <c r="ECK34" s="57"/>
      <c r="ECL34" s="57"/>
      <c r="ECM34" s="57"/>
      <c r="ECN34" s="57"/>
      <c r="ECO34" s="57"/>
      <c r="ECP34" s="57"/>
      <c r="ECQ34" s="57"/>
      <c r="ECR34" s="57"/>
      <c r="ECS34" s="57"/>
      <c r="ECT34" s="58"/>
      <c r="ECU34" s="56"/>
      <c r="ECV34" s="57"/>
      <c r="ECW34" s="57"/>
      <c r="ECX34" s="57"/>
      <c r="ECY34" s="57"/>
      <c r="ECZ34" s="57"/>
      <c r="EDA34" s="56"/>
      <c r="EDB34" s="57"/>
      <c r="EDC34" s="57"/>
      <c r="EDD34" s="56"/>
      <c r="EDE34" s="57"/>
      <c r="EDF34" s="58"/>
      <c r="EDG34" s="56"/>
      <c r="EDH34" s="57"/>
      <c r="EDI34" s="57"/>
      <c r="EDJ34" s="57"/>
      <c r="EDK34" s="56"/>
      <c r="EDL34" s="57"/>
      <c r="EDM34" s="57"/>
      <c r="EDN34" s="56"/>
      <c r="EDO34" s="57"/>
      <c r="EDP34" s="58"/>
      <c r="EDQ34" s="56"/>
      <c r="EDR34" s="57"/>
      <c r="EDS34" s="57"/>
      <c r="EDT34" s="57"/>
      <c r="EDU34" s="56"/>
      <c r="EDV34" s="57"/>
      <c r="EDW34" s="57"/>
      <c r="EDX34" s="56"/>
      <c r="EDY34" s="57"/>
      <c r="EDZ34" s="58"/>
      <c r="EEA34" s="56"/>
      <c r="EEB34" s="57"/>
      <c r="EEC34" s="57"/>
      <c r="EED34" s="57"/>
      <c r="EEE34" s="56"/>
      <c r="EEF34" s="57"/>
      <c r="EEG34" s="57"/>
      <c r="EEH34" s="56"/>
      <c r="EEI34" s="57"/>
      <c r="EEJ34" s="58"/>
      <c r="EEK34" s="56"/>
      <c r="EEL34" s="58"/>
      <c r="EEM34" s="57"/>
      <c r="EEN34" s="56"/>
      <c r="EEO34" s="57"/>
      <c r="EEP34" s="56"/>
      <c r="EEQ34" s="56"/>
      <c r="EER34" s="56"/>
      <c r="EES34" s="57"/>
      <c r="EET34" s="57"/>
      <c r="EEU34" s="57"/>
      <c r="EEV34" s="57"/>
      <c r="EEW34" s="57"/>
      <c r="EEX34" s="57"/>
      <c r="EEY34" s="57"/>
      <c r="EEZ34" s="57"/>
      <c r="EFA34" s="57"/>
      <c r="EFB34" s="57"/>
      <c r="EFC34" s="57"/>
      <c r="EFD34" s="57"/>
      <c r="EFE34" s="57"/>
      <c r="EFF34" s="57"/>
      <c r="EFG34" s="57"/>
      <c r="EFH34" s="57"/>
      <c r="EFI34" s="57"/>
      <c r="EFJ34" s="57"/>
      <c r="EFK34" s="57"/>
      <c r="EFL34" s="57"/>
      <c r="EFM34" s="57"/>
      <c r="EFN34" s="57"/>
      <c r="EFO34" s="57"/>
      <c r="EFP34" s="57"/>
      <c r="EFQ34" s="57"/>
      <c r="EFR34" s="57"/>
      <c r="EFS34" s="57"/>
      <c r="EFT34" s="57"/>
      <c r="EFU34" s="57"/>
      <c r="EFV34" s="57"/>
      <c r="EFW34" s="57"/>
      <c r="EFX34" s="57"/>
      <c r="EFY34" s="57"/>
      <c r="EFZ34" s="57"/>
      <c r="EGA34" s="57"/>
      <c r="EGB34" s="57"/>
      <c r="EGC34" s="57"/>
      <c r="EGD34" s="58"/>
      <c r="EGE34" s="56"/>
      <c r="EGF34" s="57"/>
      <c r="EGG34" s="57"/>
      <c r="EGH34" s="57"/>
      <c r="EGI34" s="57"/>
      <c r="EGJ34" s="57"/>
      <c r="EGK34" s="56"/>
      <c r="EGL34" s="57"/>
      <c r="EGM34" s="57"/>
      <c r="EGN34" s="56"/>
      <c r="EGO34" s="57"/>
      <c r="EGP34" s="58"/>
      <c r="EGQ34" s="56"/>
      <c r="EGR34" s="57"/>
      <c r="EGS34" s="57"/>
      <c r="EGT34" s="57"/>
      <c r="EGU34" s="56"/>
      <c r="EGV34" s="57"/>
      <c r="EGW34" s="57"/>
      <c r="EGX34" s="56"/>
      <c r="EGY34" s="57"/>
      <c r="EGZ34" s="58"/>
      <c r="EHA34" s="56"/>
      <c r="EHB34" s="57"/>
      <c r="EHC34" s="57"/>
      <c r="EHD34" s="57"/>
      <c r="EHE34" s="56"/>
      <c r="EHF34" s="57"/>
      <c r="EHG34" s="57"/>
      <c r="EHH34" s="56"/>
      <c r="EHI34" s="57"/>
      <c r="EHJ34" s="58"/>
      <c r="EHK34" s="56"/>
      <c r="EHL34" s="57"/>
      <c r="EHM34" s="57"/>
      <c r="EHN34" s="57"/>
      <c r="EHO34" s="56"/>
      <c r="EHP34" s="57"/>
      <c r="EHQ34" s="57"/>
      <c r="EHR34" s="56"/>
      <c r="EHS34" s="57"/>
      <c r="EHT34" s="58"/>
      <c r="EHU34" s="56"/>
      <c r="EHV34" s="58"/>
      <c r="EHW34" s="57"/>
      <c r="EHX34" s="56"/>
      <c r="EHY34" s="57"/>
      <c r="EHZ34" s="56"/>
      <c r="EIA34" s="56"/>
      <c r="EIB34" s="56"/>
      <c r="EIC34" s="57"/>
      <c r="EID34" s="57"/>
      <c r="EIE34" s="57"/>
      <c r="EIF34" s="57"/>
      <c r="EIG34" s="57"/>
      <c r="EIH34" s="57"/>
      <c r="EII34" s="57"/>
      <c r="EIJ34" s="57"/>
      <c r="EIK34" s="57"/>
      <c r="EIL34" s="57"/>
      <c r="EIM34" s="57"/>
      <c r="EIN34" s="57"/>
      <c r="EIO34" s="57"/>
      <c r="EIP34" s="57"/>
      <c r="EIQ34" s="57"/>
      <c r="EIR34" s="57"/>
      <c r="EIS34" s="57"/>
      <c r="EIT34" s="57"/>
      <c r="EIU34" s="57"/>
      <c r="EIV34" s="57"/>
      <c r="EIW34" s="57"/>
      <c r="EIX34" s="57"/>
      <c r="EIY34" s="57"/>
      <c r="EIZ34" s="57"/>
      <c r="EJA34" s="57"/>
      <c r="EJB34" s="57"/>
      <c r="EJC34" s="57"/>
      <c r="EJD34" s="57"/>
      <c r="EJE34" s="57"/>
      <c r="EJF34" s="57"/>
      <c r="EJG34" s="57"/>
      <c r="EJH34" s="57"/>
      <c r="EJI34" s="57"/>
      <c r="EJJ34" s="57"/>
      <c r="EJK34" s="57"/>
      <c r="EJL34" s="57"/>
      <c r="EJM34" s="57"/>
      <c r="EJN34" s="58"/>
      <c r="EJO34" s="56"/>
      <c r="EJP34" s="57"/>
      <c r="EJQ34" s="57"/>
      <c r="EJR34" s="57"/>
      <c r="EJS34" s="57"/>
      <c r="EJT34" s="57"/>
      <c r="EJU34" s="56"/>
      <c r="EJV34" s="57"/>
      <c r="EJW34" s="57"/>
      <c r="EJX34" s="56"/>
      <c r="EJY34" s="57"/>
      <c r="EJZ34" s="58"/>
      <c r="EKA34" s="56"/>
      <c r="EKB34" s="57"/>
      <c r="EKC34" s="57"/>
      <c r="EKD34" s="57"/>
      <c r="EKE34" s="56"/>
      <c r="EKF34" s="57"/>
      <c r="EKG34" s="57"/>
      <c r="EKH34" s="56"/>
      <c r="EKI34" s="57"/>
      <c r="EKJ34" s="58"/>
      <c r="EKK34" s="56"/>
      <c r="EKL34" s="57"/>
      <c r="EKM34" s="57"/>
      <c r="EKN34" s="57"/>
      <c r="EKO34" s="56"/>
      <c r="EKP34" s="57"/>
      <c r="EKQ34" s="57"/>
      <c r="EKR34" s="56"/>
      <c r="EKS34" s="57"/>
      <c r="EKT34" s="58"/>
      <c r="EKU34" s="56"/>
      <c r="EKV34" s="57"/>
      <c r="EKW34" s="57"/>
      <c r="EKX34" s="57"/>
      <c r="EKY34" s="56"/>
      <c r="EKZ34" s="57"/>
      <c r="ELA34" s="57"/>
      <c r="ELB34" s="56"/>
      <c r="ELC34" s="57"/>
      <c r="ELD34" s="58"/>
      <c r="ELE34" s="56"/>
      <c r="ELF34" s="58"/>
      <c r="ELG34" s="57"/>
      <c r="ELH34" s="56"/>
      <c r="ELI34" s="57"/>
      <c r="ELJ34" s="56"/>
      <c r="ELK34" s="56"/>
      <c r="ELL34" s="56"/>
      <c r="ELM34" s="57"/>
      <c r="ELN34" s="57"/>
      <c r="ELO34" s="57"/>
      <c r="ELP34" s="57"/>
      <c r="ELQ34" s="57"/>
      <c r="ELR34" s="57"/>
      <c r="ELS34" s="57"/>
      <c r="ELT34" s="57"/>
      <c r="ELU34" s="57"/>
      <c r="ELV34" s="57"/>
      <c r="ELW34" s="57"/>
      <c r="ELX34" s="57"/>
      <c r="ELY34" s="57"/>
      <c r="ELZ34" s="57"/>
      <c r="EMA34" s="57"/>
      <c r="EMB34" s="57"/>
      <c r="EMC34" s="57"/>
      <c r="EMD34" s="57"/>
      <c r="EME34" s="57"/>
      <c r="EMF34" s="57"/>
      <c r="EMG34" s="57"/>
      <c r="EMH34" s="57"/>
      <c r="EMI34" s="57"/>
      <c r="EMJ34" s="57"/>
      <c r="EMK34" s="57"/>
      <c r="EML34" s="57"/>
      <c r="EMM34" s="57"/>
      <c r="EMN34" s="57"/>
      <c r="EMO34" s="57"/>
      <c r="EMP34" s="57"/>
      <c r="EMQ34" s="57"/>
      <c r="EMR34" s="57"/>
      <c r="EMS34" s="57"/>
      <c r="EMT34" s="57"/>
      <c r="EMU34" s="57"/>
      <c r="EMV34" s="57"/>
      <c r="EMW34" s="57"/>
      <c r="EMX34" s="58"/>
      <c r="EMY34" s="56"/>
      <c r="EMZ34" s="57"/>
      <c r="ENA34" s="57"/>
      <c r="ENB34" s="57"/>
      <c r="ENC34" s="57"/>
      <c r="END34" s="57"/>
      <c r="ENE34" s="56"/>
      <c r="ENF34" s="57"/>
      <c r="ENG34" s="57"/>
      <c r="ENH34" s="56"/>
      <c r="ENI34" s="57"/>
      <c r="ENJ34" s="58"/>
      <c r="ENK34" s="56"/>
      <c r="ENL34" s="57"/>
      <c r="ENM34" s="57"/>
      <c r="ENN34" s="57"/>
      <c r="ENO34" s="56"/>
      <c r="ENP34" s="57"/>
      <c r="ENQ34" s="57"/>
      <c r="ENR34" s="56"/>
      <c r="ENS34" s="57"/>
      <c r="ENT34" s="58"/>
      <c r="ENU34" s="56"/>
      <c r="ENV34" s="57"/>
      <c r="ENW34" s="57"/>
      <c r="ENX34" s="57"/>
      <c r="ENY34" s="56"/>
      <c r="ENZ34" s="57"/>
      <c r="EOA34" s="57"/>
      <c r="EOB34" s="56"/>
      <c r="EOC34" s="57"/>
      <c r="EOD34" s="58"/>
      <c r="EOE34" s="56"/>
      <c r="EOF34" s="57"/>
      <c r="EOG34" s="57"/>
      <c r="EOH34" s="57"/>
      <c r="EOI34" s="56"/>
      <c r="EOJ34" s="57"/>
      <c r="EOK34" s="57"/>
      <c r="EOL34" s="56"/>
      <c r="EOM34" s="57"/>
      <c r="EON34" s="58" t="s">
        <v>5579</v>
      </c>
      <c r="EOO34" s="56" t="str">
        <f t="shared" si="75"/>
        <v xml:space="preserve"> </v>
      </c>
    </row>
    <row r="35" spans="1:3785" x14ac:dyDescent="0.3">
      <c r="A35" s="393" t="s">
        <v>204</v>
      </c>
      <c r="B35" s="30" t="s">
        <v>4349</v>
      </c>
      <c r="C35" s="29"/>
      <c r="D35" s="28" t="str">
        <f t="shared" si="61"/>
        <v xml:space="preserve"> </v>
      </c>
      <c r="E35" s="29"/>
      <c r="F35" s="28"/>
      <c r="G35" s="31">
        <v>45274</v>
      </c>
      <c r="H35" s="31">
        <f>+G35+365</f>
        <v>45639</v>
      </c>
      <c r="I35" s="29" t="s">
        <v>1372</v>
      </c>
      <c r="J35" s="29" t="s">
        <v>1373</v>
      </c>
      <c r="K35" s="29" t="s">
        <v>1372</v>
      </c>
      <c r="L35" s="29" t="s">
        <v>1373</v>
      </c>
      <c r="M35" s="29" t="s">
        <v>1372</v>
      </c>
      <c r="N35" s="388" t="s">
        <v>3895</v>
      </c>
      <c r="O35" s="29" t="s">
        <v>1372</v>
      </c>
      <c r="P35" s="29"/>
      <c r="Q35" s="29" t="s">
        <v>1372</v>
      </c>
      <c r="R35" s="29" t="s">
        <v>1372</v>
      </c>
      <c r="S35" s="29" t="s">
        <v>1372</v>
      </c>
      <c r="T35" s="29" t="s">
        <v>1461</v>
      </c>
      <c r="U35" s="29" t="s">
        <v>1461</v>
      </c>
      <c r="V35" s="29" t="s">
        <v>1372</v>
      </c>
      <c r="W35" s="29"/>
      <c r="X35" s="29"/>
      <c r="Y35" s="29"/>
      <c r="Z35" s="29" t="s">
        <v>1372</v>
      </c>
      <c r="AA35" s="29"/>
      <c r="AB35" s="29"/>
      <c r="AC35" s="29"/>
      <c r="AD35" s="29"/>
      <c r="AE35" s="29"/>
      <c r="AF35" s="29" t="s">
        <v>1372</v>
      </c>
      <c r="AG35" s="29"/>
      <c r="AH35" s="29"/>
      <c r="AI35" s="29"/>
      <c r="AJ35" s="29"/>
      <c r="AK35" s="29"/>
      <c r="AL35" s="29" t="s">
        <v>1372</v>
      </c>
      <c r="AM35" s="29" t="s">
        <v>1372</v>
      </c>
      <c r="AN35" s="29"/>
      <c r="AO35" s="29"/>
      <c r="AP35" s="29"/>
      <c r="AQ35" s="29"/>
      <c r="AR35" s="29" t="s">
        <v>1768</v>
      </c>
      <c r="AS35" s="29"/>
      <c r="AT35" s="30" t="s">
        <v>4329</v>
      </c>
      <c r="AU35" s="29" t="s">
        <v>1371</v>
      </c>
      <c r="AV35" s="28" t="str">
        <f t="shared" ref="AV35" si="164">IFERROR(VLOOKUP(AT35,BASEPOE1,2,FALSE)," ")</f>
        <v xml:space="preserve"> </v>
      </c>
      <c r="AW35" s="29"/>
      <c r="AX35" s="28"/>
      <c r="AY35" s="31">
        <v>45271</v>
      </c>
      <c r="AZ35" s="31">
        <f>+AY35+365</f>
        <v>45636</v>
      </c>
      <c r="BA35" s="29" t="s">
        <v>1372</v>
      </c>
      <c r="BB35" s="29" t="s">
        <v>1373</v>
      </c>
      <c r="BC35" s="29" t="s">
        <v>1372</v>
      </c>
      <c r="BD35" s="29" t="s">
        <v>1373</v>
      </c>
      <c r="BE35" s="29" t="s">
        <v>1461</v>
      </c>
      <c r="BF35" s="388" t="s">
        <v>3895</v>
      </c>
      <c r="BG35" s="29"/>
      <c r="BH35" s="29"/>
      <c r="BI35" s="29" t="s">
        <v>1372</v>
      </c>
      <c r="BJ35" s="29" t="s">
        <v>1372</v>
      </c>
      <c r="BK35" s="29" t="s">
        <v>1372</v>
      </c>
      <c r="BL35" s="29" t="s">
        <v>1461</v>
      </c>
      <c r="BM35" s="29" t="s">
        <v>1461</v>
      </c>
      <c r="BN35" s="29" t="s">
        <v>1372</v>
      </c>
      <c r="BO35" s="29"/>
      <c r="BP35" s="29"/>
      <c r="BQ35" s="29"/>
      <c r="BR35" s="29" t="s">
        <v>1372</v>
      </c>
      <c r="BS35" s="29"/>
      <c r="BT35" s="29"/>
      <c r="BU35" s="29"/>
      <c r="BV35" s="29"/>
      <c r="BW35" s="29"/>
      <c r="BX35" s="29" t="s">
        <v>1372</v>
      </c>
      <c r="BY35" s="29"/>
      <c r="BZ35" s="29"/>
      <c r="CA35" s="29"/>
      <c r="CB35" s="29"/>
      <c r="CC35" s="29"/>
      <c r="CD35" s="29" t="s">
        <v>1372</v>
      </c>
      <c r="CE35" s="29" t="s">
        <v>1372</v>
      </c>
      <c r="CF35" s="29"/>
      <c r="CG35" s="29"/>
      <c r="CH35" s="29"/>
      <c r="CI35" s="29"/>
      <c r="CJ35" s="29"/>
      <c r="CK35" s="29"/>
      <c r="CL35" s="30" t="s">
        <v>4345</v>
      </c>
      <c r="CM35" s="29" t="s">
        <v>1371</v>
      </c>
      <c r="CN35" s="28" t="str">
        <f t="shared" ref="CN35" si="165">IFERROR(VLOOKUP(CL35,BASEPOE1,2,FALSE)," ")</f>
        <v xml:space="preserve"> </v>
      </c>
      <c r="CO35" s="29"/>
      <c r="CP35" s="28"/>
      <c r="CQ35" s="31">
        <v>45268</v>
      </c>
      <c r="CR35" s="31">
        <f>+CQ35+365</f>
        <v>45633</v>
      </c>
      <c r="CS35" s="29" t="s">
        <v>1372</v>
      </c>
      <c r="CT35" s="29" t="s">
        <v>1373</v>
      </c>
      <c r="CU35" s="29" t="s">
        <v>1372</v>
      </c>
      <c r="CV35" s="29" t="s">
        <v>1373</v>
      </c>
      <c r="CW35" s="29" t="s">
        <v>1461</v>
      </c>
      <c r="CX35" s="388" t="s">
        <v>4347</v>
      </c>
      <c r="CY35" s="29" t="s">
        <v>1372</v>
      </c>
      <c r="CZ35" s="29"/>
      <c r="DA35" s="29" t="s">
        <v>1372</v>
      </c>
      <c r="DB35" s="29" t="s">
        <v>1372</v>
      </c>
      <c r="DC35" s="29" t="s">
        <v>1372</v>
      </c>
      <c r="DD35" s="29" t="s">
        <v>1461</v>
      </c>
      <c r="DE35" s="29" t="s">
        <v>1461</v>
      </c>
      <c r="DF35" s="29" t="s">
        <v>1372</v>
      </c>
      <c r="DG35" s="29"/>
      <c r="DH35" s="29"/>
      <c r="DI35" s="29"/>
      <c r="DJ35" s="29" t="s">
        <v>1372</v>
      </c>
      <c r="DK35" s="29"/>
      <c r="DL35" s="29"/>
      <c r="DM35" s="29"/>
      <c r="DN35" s="29"/>
      <c r="DO35" s="29"/>
      <c r="DP35" s="29" t="s">
        <v>1372</v>
      </c>
      <c r="DQ35" s="29"/>
      <c r="DR35" s="29"/>
      <c r="DS35" s="29"/>
      <c r="DT35" s="29"/>
      <c r="DU35" s="29"/>
      <c r="DV35" s="29"/>
      <c r="DW35" s="29" t="s">
        <v>1372</v>
      </c>
      <c r="DX35" s="29"/>
      <c r="DY35" s="29"/>
      <c r="DZ35" s="29"/>
      <c r="EA35" s="29"/>
      <c r="EB35" s="29" t="s">
        <v>1768</v>
      </c>
      <c r="EC35" s="29"/>
      <c r="ED35" s="30" t="s">
        <v>4372</v>
      </c>
      <c r="EE35" s="29" t="s">
        <v>1371</v>
      </c>
      <c r="EF35" s="28" t="str">
        <f t="shared" ref="EF35" si="166">IFERROR(VLOOKUP(ED35,BASEPOE1,2,FALSE)," ")</f>
        <v xml:space="preserve"> </v>
      </c>
      <c r="EG35" s="29"/>
      <c r="EH35" s="28"/>
      <c r="EI35" s="31">
        <v>45275</v>
      </c>
      <c r="EJ35" s="31">
        <f>+EI35+365</f>
        <v>45640</v>
      </c>
      <c r="EK35" s="29" t="s">
        <v>1372</v>
      </c>
      <c r="EL35" s="29" t="s">
        <v>1373</v>
      </c>
      <c r="EM35" s="29" t="s">
        <v>1372</v>
      </c>
      <c r="EN35" s="29" t="s">
        <v>1373</v>
      </c>
      <c r="EO35" s="29" t="s">
        <v>1461</v>
      </c>
      <c r="EP35" s="388" t="s">
        <v>4347</v>
      </c>
      <c r="EQ35" s="29" t="s">
        <v>1372</v>
      </c>
      <c r="ER35" s="29"/>
      <c r="ES35" s="29" t="s">
        <v>1372</v>
      </c>
      <c r="ET35" s="29" t="s">
        <v>1372</v>
      </c>
      <c r="EU35" s="29"/>
      <c r="EV35" s="29"/>
      <c r="EW35" s="29"/>
      <c r="EX35" s="29" t="s">
        <v>1372</v>
      </c>
      <c r="EY35" s="29"/>
      <c r="EZ35" s="29"/>
      <c r="FA35" s="29"/>
      <c r="FB35" s="29" t="s">
        <v>1372</v>
      </c>
      <c r="FC35" s="29"/>
      <c r="FD35" s="29"/>
      <c r="FE35" s="29"/>
      <c r="FF35" s="29"/>
      <c r="FG35" s="29"/>
      <c r="FH35" s="29" t="s">
        <v>1372</v>
      </c>
      <c r="FI35" s="29"/>
      <c r="FJ35" s="29"/>
      <c r="FK35" s="29"/>
      <c r="FL35" s="29"/>
      <c r="FM35" s="29"/>
      <c r="FN35" s="29" t="s">
        <v>1372</v>
      </c>
      <c r="FO35" s="29" t="s">
        <v>1372</v>
      </c>
      <c r="FP35" s="29"/>
      <c r="FQ35" s="29"/>
      <c r="FR35" s="29"/>
      <c r="FS35" s="29"/>
      <c r="FT35" s="29"/>
      <c r="FU35" s="29"/>
      <c r="FV35" s="30" t="s">
        <v>4356</v>
      </c>
      <c r="FW35" s="29"/>
      <c r="FX35" s="28" t="str">
        <f t="shared" ref="FX35" si="167">IFERROR(VLOOKUP(FV35,BASEPOE1,2,FALSE)," ")</f>
        <v xml:space="preserve"> </v>
      </c>
      <c r="FY35" s="29"/>
      <c r="FZ35" s="28"/>
      <c r="GA35" s="31">
        <v>45049</v>
      </c>
      <c r="GB35" s="31" t="s">
        <v>1774</v>
      </c>
      <c r="GC35" s="29" t="s">
        <v>1372</v>
      </c>
      <c r="GD35" s="29" t="s">
        <v>1774</v>
      </c>
      <c r="GE35" s="29" t="s">
        <v>1372</v>
      </c>
      <c r="GF35" s="29" t="s">
        <v>1774</v>
      </c>
      <c r="GG35" s="29" t="s">
        <v>1461</v>
      </c>
      <c r="GH35" s="388" t="s">
        <v>4358</v>
      </c>
      <c r="GI35" s="29"/>
      <c r="GJ35" s="29" t="s">
        <v>1372</v>
      </c>
      <c r="GK35" s="29" t="s">
        <v>1372</v>
      </c>
      <c r="GL35" s="29" t="s">
        <v>1372</v>
      </c>
      <c r="GM35" s="29" t="s">
        <v>1372</v>
      </c>
      <c r="GN35" s="29" t="s">
        <v>1461</v>
      </c>
      <c r="GO35" s="29" t="s">
        <v>1461</v>
      </c>
      <c r="GP35" s="29"/>
      <c r="GQ35" s="29" t="s">
        <v>1382</v>
      </c>
      <c r="GR35" s="29"/>
      <c r="GS35" s="29"/>
      <c r="GT35" s="29" t="s">
        <v>1372</v>
      </c>
      <c r="GU35" s="29"/>
      <c r="GV35" s="29"/>
      <c r="GW35" s="29"/>
      <c r="GX35" s="29"/>
      <c r="GY35" s="29"/>
      <c r="GZ35" s="29" t="s">
        <v>1372</v>
      </c>
      <c r="HA35" s="29"/>
      <c r="HB35" s="29"/>
      <c r="HC35" s="29"/>
      <c r="HD35" s="29"/>
      <c r="HE35" s="29"/>
      <c r="HF35" s="29" t="s">
        <v>1372</v>
      </c>
      <c r="HG35" s="29" t="s">
        <v>1372</v>
      </c>
      <c r="HH35" s="29"/>
      <c r="HI35" s="29"/>
      <c r="HJ35" s="29"/>
      <c r="HK35" s="29"/>
      <c r="HL35" s="29" t="s">
        <v>1768</v>
      </c>
      <c r="HM35" s="29"/>
      <c r="HN35" s="30" t="s">
        <v>4325</v>
      </c>
      <c r="HO35" s="29" t="s">
        <v>1371</v>
      </c>
      <c r="HP35" s="28" t="str">
        <f t="shared" ref="HP35" si="168">IFERROR(VLOOKUP(HN35,BASEPOE1,2,FALSE)," ")</f>
        <v xml:space="preserve"> </v>
      </c>
      <c r="HQ35" s="29"/>
      <c r="HR35" s="28"/>
      <c r="HS35" s="31">
        <v>45267</v>
      </c>
      <c r="HT35" s="31">
        <f>+HS35+365</f>
        <v>45632</v>
      </c>
      <c r="HU35" s="29" t="s">
        <v>1372</v>
      </c>
      <c r="HV35" s="29" t="s">
        <v>1373</v>
      </c>
      <c r="HW35" s="29" t="s">
        <v>1372</v>
      </c>
      <c r="HX35" s="29" t="s">
        <v>1373</v>
      </c>
      <c r="HY35" s="29" t="s">
        <v>1461</v>
      </c>
      <c r="HZ35" s="388" t="s">
        <v>4327</v>
      </c>
      <c r="IA35" s="29" t="s">
        <v>2582</v>
      </c>
      <c r="IB35" s="29"/>
      <c r="IC35" s="29" t="s">
        <v>1372</v>
      </c>
      <c r="ID35" s="29" t="s">
        <v>1372</v>
      </c>
      <c r="IE35" s="29" t="s">
        <v>1372</v>
      </c>
      <c r="IF35" s="29" t="s">
        <v>1461</v>
      </c>
      <c r="IG35" s="29" t="s">
        <v>1461</v>
      </c>
      <c r="IH35" s="29" t="s">
        <v>1372</v>
      </c>
      <c r="II35" s="29"/>
      <c r="IJ35" s="29"/>
      <c r="IK35" s="29"/>
      <c r="IL35" s="29" t="s">
        <v>1372</v>
      </c>
      <c r="IM35" s="29"/>
      <c r="IN35" s="29"/>
      <c r="IO35" s="29"/>
      <c r="IP35" s="29"/>
      <c r="IQ35" s="29"/>
      <c r="IR35" s="29" t="s">
        <v>1372</v>
      </c>
      <c r="IS35" s="29"/>
      <c r="IT35" s="29"/>
      <c r="IU35" s="29"/>
      <c r="IV35" s="29"/>
      <c r="IW35" s="29"/>
      <c r="IX35" s="29" t="s">
        <v>1372</v>
      </c>
      <c r="IY35" s="29" t="s">
        <v>1372</v>
      </c>
      <c r="IZ35" s="29"/>
      <c r="JA35" s="29"/>
      <c r="JB35" s="29"/>
      <c r="JC35" s="29"/>
      <c r="JD35" s="29"/>
      <c r="JE35" s="29"/>
      <c r="JF35" s="30" t="s">
        <v>4362</v>
      </c>
      <c r="JG35" s="29" t="s">
        <v>1371</v>
      </c>
      <c r="JH35" s="28" t="str">
        <f t="shared" ref="JH35" si="169">IFERROR(VLOOKUP(JF35,BASEPOE1,2,FALSE)," ")</f>
        <v xml:space="preserve"> </v>
      </c>
      <c r="JI35" s="29"/>
      <c r="JJ35" s="28"/>
      <c r="JK35" s="31">
        <v>45274</v>
      </c>
      <c r="JL35" s="31">
        <f>+JK35+365</f>
        <v>45639</v>
      </c>
      <c r="JM35" s="29" t="s">
        <v>1372</v>
      </c>
      <c r="JN35" s="29" t="s">
        <v>1373</v>
      </c>
      <c r="JO35" s="29" t="s">
        <v>1372</v>
      </c>
      <c r="JP35" s="29" t="s">
        <v>1373</v>
      </c>
      <c r="JQ35" s="29" t="s">
        <v>1461</v>
      </c>
      <c r="JR35" s="388" t="s">
        <v>4327</v>
      </c>
      <c r="JS35" s="29" t="s">
        <v>1372</v>
      </c>
      <c r="JT35" s="29"/>
      <c r="JU35" s="29" t="s">
        <v>1372</v>
      </c>
      <c r="JV35" s="29" t="s">
        <v>1372</v>
      </c>
      <c r="JW35" s="29" t="s">
        <v>1372</v>
      </c>
      <c r="JX35" s="29" t="s">
        <v>1461</v>
      </c>
      <c r="JY35" s="29" t="s">
        <v>1461</v>
      </c>
      <c r="JZ35" s="29" t="s">
        <v>1372</v>
      </c>
      <c r="KA35" s="29"/>
      <c r="KB35" s="29"/>
      <c r="KC35" s="29"/>
      <c r="KD35" s="29" t="s">
        <v>1372</v>
      </c>
      <c r="KE35" s="29"/>
      <c r="KF35" s="29"/>
      <c r="KG35" s="29"/>
      <c r="KH35" s="29"/>
      <c r="KI35" s="29"/>
      <c r="KJ35" s="29" t="s">
        <v>1372</v>
      </c>
      <c r="KK35" s="29"/>
      <c r="KL35" s="29"/>
      <c r="KM35" s="29"/>
      <c r="KN35" s="29"/>
      <c r="KO35" s="29"/>
      <c r="KP35" s="29" t="s">
        <v>1372</v>
      </c>
      <c r="KQ35" s="29" t="s">
        <v>1372</v>
      </c>
      <c r="KR35" s="29"/>
      <c r="KS35" s="29"/>
      <c r="KT35" s="29"/>
      <c r="KU35" s="29"/>
      <c r="KV35" s="29" t="s">
        <v>1768</v>
      </c>
      <c r="KW35" s="29"/>
      <c r="KX35" s="30" t="s">
        <v>4369</v>
      </c>
      <c r="KY35" s="29" t="s">
        <v>1371</v>
      </c>
      <c r="KZ35" s="28" t="str">
        <f t="shared" ref="KZ35" si="170">IFERROR(VLOOKUP(KX35,BASEPOE1,2,FALSE)," ")</f>
        <v xml:space="preserve"> </v>
      </c>
      <c r="LA35" s="29"/>
      <c r="LB35" s="28"/>
      <c r="LC35" s="31">
        <v>45275</v>
      </c>
      <c r="LD35" s="31">
        <f>+LC35+365</f>
        <v>45640</v>
      </c>
      <c r="LE35" s="29" t="s">
        <v>1372</v>
      </c>
      <c r="LF35" s="29" t="s">
        <v>1373</v>
      </c>
      <c r="LG35" s="29" t="s">
        <v>1372</v>
      </c>
      <c r="LH35" s="29" t="s">
        <v>1373</v>
      </c>
      <c r="LI35" s="29" t="s">
        <v>1461</v>
      </c>
      <c r="LJ35" s="388" t="s">
        <v>4327</v>
      </c>
      <c r="LK35" s="29" t="s">
        <v>1372</v>
      </c>
      <c r="LL35" s="29"/>
      <c r="LM35" s="29" t="s">
        <v>1372</v>
      </c>
      <c r="LN35" s="29" t="s">
        <v>1372</v>
      </c>
      <c r="LO35" s="29" t="s">
        <v>1372</v>
      </c>
      <c r="LP35" s="29" t="s">
        <v>1461</v>
      </c>
      <c r="LQ35" s="29" t="s">
        <v>1461</v>
      </c>
      <c r="LR35" s="29" t="s">
        <v>1372</v>
      </c>
      <c r="LS35" s="29"/>
      <c r="LT35" s="29"/>
      <c r="LU35" s="29"/>
      <c r="LV35" s="29" t="s">
        <v>1372</v>
      </c>
      <c r="LW35" s="29"/>
      <c r="LX35" s="29"/>
      <c r="LY35" s="29"/>
      <c r="LZ35" s="29"/>
      <c r="MA35" s="29"/>
      <c r="MB35" s="29" t="s">
        <v>1372</v>
      </c>
      <c r="MC35" s="29"/>
      <c r="MD35" s="29"/>
      <c r="ME35" s="29"/>
      <c r="MF35" s="29"/>
      <c r="MG35" s="29"/>
      <c r="MH35" s="29" t="s">
        <v>1372</v>
      </c>
      <c r="MI35" s="29" t="s">
        <v>1372</v>
      </c>
      <c r="MJ35" s="29"/>
      <c r="MK35" s="29"/>
      <c r="ML35" s="29"/>
      <c r="MM35" s="29"/>
      <c r="MN35" s="29"/>
      <c r="MO35" s="29"/>
      <c r="MP35" s="30" t="s">
        <v>4338</v>
      </c>
      <c r="MQ35" s="29" t="s">
        <v>1371</v>
      </c>
      <c r="MR35" s="28" t="str">
        <f t="shared" ref="MR35" si="171">IFERROR(VLOOKUP(MP35,BASEPOE1,2,FALSE)," ")</f>
        <v xml:space="preserve"> </v>
      </c>
      <c r="MS35" s="29"/>
      <c r="MT35" s="28"/>
      <c r="MU35" s="31" t="s">
        <v>4340</v>
      </c>
      <c r="MV35" s="31" t="s">
        <v>4340</v>
      </c>
      <c r="MW35" s="29" t="s">
        <v>1372</v>
      </c>
      <c r="MX35" s="29" t="s">
        <v>1373</v>
      </c>
      <c r="MY35" s="29" t="s">
        <v>1372</v>
      </c>
      <c r="MZ35" s="29" t="s">
        <v>1373</v>
      </c>
      <c r="NA35" s="29" t="s">
        <v>1461</v>
      </c>
      <c r="NB35" s="388" t="s">
        <v>4341</v>
      </c>
      <c r="NC35" s="29" t="s">
        <v>1372</v>
      </c>
      <c r="ND35" s="29"/>
      <c r="NE35" s="29" t="s">
        <v>1372</v>
      </c>
      <c r="NF35" s="29" t="s">
        <v>1461</v>
      </c>
      <c r="NG35" s="29" t="s">
        <v>1372</v>
      </c>
      <c r="NH35" s="29" t="s">
        <v>1461</v>
      </c>
      <c r="NI35" s="29" t="s">
        <v>1461</v>
      </c>
      <c r="NJ35" s="29" t="s">
        <v>1372</v>
      </c>
      <c r="NK35" s="29"/>
      <c r="NL35" s="29"/>
      <c r="NM35" s="29"/>
      <c r="NN35" s="29" t="s">
        <v>1372</v>
      </c>
      <c r="NO35" s="29"/>
      <c r="NP35" s="29"/>
      <c r="NQ35" s="29"/>
      <c r="NR35" s="29"/>
      <c r="NS35" s="29"/>
      <c r="NT35" s="29" t="s">
        <v>1372</v>
      </c>
      <c r="NU35" s="29"/>
      <c r="NV35" s="29"/>
      <c r="NW35" s="29"/>
      <c r="NX35" s="29"/>
      <c r="NY35" s="29"/>
      <c r="NZ35" s="29" t="s">
        <v>1372</v>
      </c>
      <c r="OA35" s="29" t="s">
        <v>1372</v>
      </c>
      <c r="OB35" s="29"/>
      <c r="OC35" s="29"/>
      <c r="OD35" s="29"/>
      <c r="OE35" s="29"/>
      <c r="OF35" s="29" t="s">
        <v>1768</v>
      </c>
      <c r="OG35" s="29"/>
      <c r="OH35" s="30"/>
      <c r="OI35" s="29"/>
      <c r="OJ35" s="28" t="str">
        <f t="shared" ref="OJ35" si="172">IFERROR(VLOOKUP(OH35,BASEPOE1,2,FALSE)," ")</f>
        <v xml:space="preserve"> </v>
      </c>
      <c r="OK35" s="29"/>
      <c r="OL35" s="28"/>
      <c r="OM35" s="31"/>
      <c r="ON35" s="31">
        <f>+OM35+365</f>
        <v>365</v>
      </c>
      <c r="OO35" s="29"/>
      <c r="OP35" s="29"/>
      <c r="OQ35" s="29"/>
      <c r="OR35" s="29"/>
      <c r="OS35" s="29"/>
      <c r="OT35" s="388"/>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30"/>
      <c r="QA35" s="29"/>
      <c r="QB35" s="28" t="str">
        <f t="shared" ref="QB35" si="173">IFERROR(VLOOKUP(PZ35,BASEPOE1,2,FALSE)," ")</f>
        <v xml:space="preserve"> </v>
      </c>
      <c r="QC35" s="29"/>
      <c r="QD35" s="28"/>
      <c r="QE35" s="31"/>
      <c r="QF35" s="31">
        <f>+QE35+365</f>
        <v>365</v>
      </c>
      <c r="QG35" s="29"/>
      <c r="QH35" s="29"/>
      <c r="QI35" s="29"/>
      <c r="QJ35" s="29"/>
      <c r="QK35" s="29"/>
      <c r="QL35" s="388"/>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30"/>
      <c r="RS35" s="29"/>
      <c r="RT35" s="28" t="str">
        <f t="shared" ref="RT35" si="174">IFERROR(VLOOKUP(RR35,BASEPOE1,2,FALSE)," ")</f>
        <v xml:space="preserve"> </v>
      </c>
      <c r="RU35" s="29"/>
      <c r="RV35" s="28"/>
      <c r="RW35" s="31"/>
      <c r="RX35" s="31">
        <f>+RW35+365</f>
        <v>365</v>
      </c>
      <c r="RY35" s="29"/>
      <c r="RZ35" s="29"/>
      <c r="SA35" s="29"/>
      <c r="SB35" s="29"/>
      <c r="SC35" s="29"/>
      <c r="SD35" s="388"/>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30"/>
      <c r="TK35" s="29"/>
      <c r="TL35" s="28" t="str">
        <f t="shared" ref="TL35" si="175">IFERROR(VLOOKUP(TJ35,BASEPOE1,2,FALSE)," ")</f>
        <v xml:space="preserve"> </v>
      </c>
      <c r="TM35" s="29"/>
      <c r="TN35" s="28"/>
      <c r="TO35" s="31"/>
      <c r="TP35" s="31">
        <f>+TO35+365</f>
        <v>365</v>
      </c>
      <c r="TQ35" s="29"/>
      <c r="TR35" s="29"/>
      <c r="TS35" s="29"/>
      <c r="TT35" s="29"/>
      <c r="TU35" s="29"/>
      <c r="TV35" s="388"/>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30"/>
      <c r="VC35" s="29"/>
      <c r="VD35" s="28" t="str">
        <f t="shared" ref="VD35" si="176">IFERROR(VLOOKUP(VB35,BASEPOE1,2,FALSE)," ")</f>
        <v xml:space="preserve"> </v>
      </c>
      <c r="VE35" s="29"/>
      <c r="VF35" s="28"/>
      <c r="VG35" s="31"/>
      <c r="VH35" s="31">
        <f>+VG35+365</f>
        <v>365</v>
      </c>
      <c r="VI35" s="29"/>
      <c r="VJ35" s="29"/>
      <c r="VK35" s="29"/>
      <c r="VL35" s="29"/>
      <c r="VM35" s="29"/>
      <c r="VN35" s="388"/>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30"/>
      <c r="WU35" s="29"/>
      <c r="WV35" s="28" t="str">
        <f t="shared" ref="WV35" si="177">IFERROR(VLOOKUP(WT35,BASEPOE1,2,FALSE)," ")</f>
        <v xml:space="preserve"> </v>
      </c>
      <c r="WW35" s="29"/>
      <c r="WX35" s="28"/>
      <c r="WY35" s="31"/>
      <c r="WZ35" s="31">
        <f>+WY35+365</f>
        <v>365</v>
      </c>
      <c r="XA35" s="29"/>
      <c r="XB35" s="29"/>
      <c r="XC35" s="29"/>
      <c r="XD35" s="29"/>
      <c r="XE35" s="29"/>
      <c r="XF35" s="388"/>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30"/>
      <c r="YM35" s="29"/>
      <c r="YN35" s="28" t="str">
        <f t="shared" ref="YN35" si="178">IFERROR(VLOOKUP(YL35,BASEPOE1,2,FALSE)," ")</f>
        <v xml:space="preserve"> </v>
      </c>
      <c r="YO35" s="29"/>
      <c r="YP35" s="28"/>
      <c r="YQ35" s="31"/>
      <c r="YR35" s="31">
        <f>+YQ35+365</f>
        <v>365</v>
      </c>
      <c r="YS35" s="29"/>
      <c r="YT35" s="29"/>
      <c r="YU35" s="29"/>
      <c r="YV35" s="29"/>
      <c r="YW35" s="29"/>
      <c r="YX35" s="388"/>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30"/>
      <c r="AAE35" s="29"/>
      <c r="AAF35" s="28" t="str">
        <f t="shared" ref="AAF35" si="179">IFERROR(VLOOKUP(AAD35,BASEPOE1,2,FALSE)," ")</f>
        <v xml:space="preserve"> </v>
      </c>
      <c r="AAG35" s="29"/>
      <c r="AAH35" s="28"/>
      <c r="AAI35" s="31"/>
      <c r="AAJ35" s="31">
        <f>+AAI35+365</f>
        <v>365</v>
      </c>
      <c r="AAK35" s="29"/>
      <c r="AAL35" s="29"/>
      <c r="AAM35" s="29"/>
      <c r="AAN35" s="29"/>
      <c r="AAO35" s="29"/>
      <c r="AAP35" s="388"/>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30"/>
      <c r="ABW35" s="29"/>
      <c r="ABX35" s="28" t="str">
        <f t="shared" ref="ABX35" si="180">IFERROR(VLOOKUP(ABV35,BASEPOE1,2,FALSE)," ")</f>
        <v xml:space="preserve"> </v>
      </c>
      <c r="ABY35" s="29"/>
      <c r="ABZ35" s="28"/>
      <c r="ACA35" s="31"/>
      <c r="ACB35" s="31">
        <f>+ACA35+365</f>
        <v>365</v>
      </c>
      <c r="ACC35" s="29"/>
      <c r="ACD35" s="29"/>
      <c r="ACE35" s="29"/>
      <c r="ACF35" s="29"/>
      <c r="ACG35" s="29"/>
      <c r="ACH35" s="388"/>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30"/>
      <c r="ADO35" s="29"/>
      <c r="ADP35" s="28" t="str">
        <f t="shared" ref="ADP35" si="181">IFERROR(VLOOKUP(ADN35,BASEPOE1,2,FALSE)," ")</f>
        <v xml:space="preserve"> </v>
      </c>
      <c r="ADQ35" s="29"/>
      <c r="ADR35" s="28"/>
      <c r="ADS35" s="31"/>
      <c r="ADT35" s="31">
        <f>+ADS35+365</f>
        <v>365</v>
      </c>
      <c r="ADU35" s="29"/>
      <c r="ADV35" s="29"/>
      <c r="ADW35" s="29"/>
      <c r="ADX35" s="29"/>
      <c r="ADY35" s="29"/>
      <c r="ADZ35" s="388"/>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30"/>
      <c r="AFG35" s="29"/>
      <c r="AFH35" s="28" t="str">
        <f t="shared" ref="AFH35" si="182">IFERROR(VLOOKUP(AFF35,BASEPOE1,2,FALSE)," ")</f>
        <v xml:space="preserve"> </v>
      </c>
      <c r="AFI35" s="29"/>
      <c r="AFJ35" s="28"/>
      <c r="AFK35" s="31"/>
      <c r="AFL35" s="31">
        <f>+AFK35+365</f>
        <v>365</v>
      </c>
      <c r="AFM35" s="29"/>
      <c r="AFN35" s="29"/>
      <c r="AFO35" s="29"/>
      <c r="AFP35" s="29"/>
      <c r="AFQ35" s="29"/>
      <c r="AFR35" s="388"/>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30"/>
      <c r="AGY35" s="29"/>
      <c r="AGZ35" s="28" t="str">
        <f t="shared" ref="AGZ35" si="183">IFERROR(VLOOKUP(AGX35,BASEPOE1,2,FALSE)," ")</f>
        <v xml:space="preserve"> </v>
      </c>
      <c r="AHA35" s="29"/>
      <c r="AHB35" s="28"/>
      <c r="AHC35" s="31"/>
      <c r="AHD35" s="31">
        <f>+AHC35+365</f>
        <v>365</v>
      </c>
      <c r="AHE35" s="29"/>
      <c r="AHF35" s="29"/>
      <c r="AHG35" s="29"/>
      <c r="AHH35" s="29"/>
      <c r="AHI35" s="29"/>
      <c r="AHJ35" s="388"/>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30"/>
      <c r="AIQ35" s="29"/>
      <c r="AIR35" s="28" t="str">
        <f t="shared" ref="AIR35" si="184">IFERROR(VLOOKUP(AIP35,BASEPOE1,2,FALSE)," ")</f>
        <v xml:space="preserve"> </v>
      </c>
      <c r="AIS35" s="29"/>
      <c r="AIT35" s="28"/>
      <c r="AIU35" s="31"/>
      <c r="AIV35" s="31">
        <f>+AIU35+365</f>
        <v>365</v>
      </c>
      <c r="AIW35" s="29"/>
      <c r="AIX35" s="29"/>
      <c r="AIY35" s="29"/>
      <c r="AIZ35" s="29"/>
      <c r="AJA35" s="29"/>
      <c r="AJB35" s="388"/>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8"/>
      <c r="AKL35" s="29"/>
      <c r="AKM35" s="29"/>
      <c r="AKN35" s="28"/>
      <c r="AKO35" s="29"/>
      <c r="AKP35" s="30"/>
      <c r="AKQ35" s="28"/>
      <c r="AKR35" s="29"/>
      <c r="AKS35" s="29"/>
      <c r="AKT35" s="29"/>
      <c r="AKU35" s="28"/>
      <c r="AKV35" s="29"/>
      <c r="AKW35" s="29"/>
      <c r="AKX35" s="28"/>
      <c r="AKY35" s="29"/>
      <c r="AKZ35" s="30"/>
      <c r="ALA35" s="28"/>
      <c r="ALB35" s="29"/>
      <c r="ALC35" s="29"/>
      <c r="ALD35" s="29"/>
      <c r="ALE35" s="28"/>
      <c r="ALF35" s="29"/>
      <c r="ALG35" s="29"/>
      <c r="ALH35" s="29"/>
      <c r="ALI35" s="29"/>
      <c r="ALJ35" s="29"/>
      <c r="ALK35" s="28"/>
      <c r="ALL35" s="29"/>
      <c r="ALM35" s="29"/>
      <c r="ALN35" s="28"/>
      <c r="ALO35" s="29"/>
      <c r="ALP35" s="30"/>
      <c r="ALQ35" s="28"/>
      <c r="ALR35" s="29"/>
      <c r="ALS35" s="29"/>
      <c r="ALT35" s="29"/>
      <c r="ALU35" s="28"/>
      <c r="ALV35" s="29"/>
      <c r="ALW35" s="29"/>
      <c r="ALX35" s="28"/>
      <c r="ALY35" s="29"/>
      <c r="ALZ35" s="30"/>
      <c r="AMA35" s="28"/>
      <c r="AMB35" s="29"/>
      <c r="AMC35" s="29"/>
      <c r="AMD35" s="29"/>
      <c r="AME35" s="28"/>
      <c r="AMF35" s="29"/>
      <c r="AMG35" s="29"/>
      <c r="AMH35" s="29"/>
      <c r="AMI35" s="29"/>
      <c r="AMJ35" s="29"/>
      <c r="AMK35" s="28"/>
      <c r="AML35" s="29"/>
      <c r="AMM35" s="29"/>
      <c r="AMN35" s="28"/>
      <c r="AMO35" s="29"/>
      <c r="AMP35" s="30"/>
      <c r="AMQ35" s="28"/>
      <c r="AMR35" s="29"/>
      <c r="AMS35" s="29"/>
      <c r="AMT35" s="29"/>
      <c r="AMU35" s="28"/>
      <c r="AMV35" s="29"/>
      <c r="AMW35" s="29"/>
      <c r="AMX35" s="28"/>
      <c r="AMY35" s="29"/>
      <c r="AMZ35" s="30"/>
      <c r="ANA35" s="28"/>
      <c r="ANB35" s="29"/>
      <c r="ANC35" s="29"/>
      <c r="AND35" s="29"/>
      <c r="ANE35" s="28"/>
      <c r="ANF35" s="29"/>
      <c r="ANG35" s="29"/>
      <c r="ANH35" s="29"/>
      <c r="ANI35" s="29"/>
      <c r="ANJ35" s="29"/>
      <c r="ANK35" s="28"/>
      <c r="ANL35" s="29"/>
      <c r="ANM35" s="29"/>
      <c r="ANN35" s="28"/>
      <c r="ANO35" s="29"/>
      <c r="ANP35" s="30"/>
      <c r="ANQ35" s="28"/>
      <c r="ANR35" s="29"/>
      <c r="ANS35" s="29"/>
      <c r="ANT35" s="29"/>
      <c r="ANU35" s="28"/>
      <c r="ANV35" s="29"/>
      <c r="ANW35" s="29"/>
      <c r="ANX35" s="28"/>
      <c r="ANY35" s="29"/>
      <c r="ANZ35" s="30"/>
      <c r="AOA35" s="28"/>
      <c r="AOB35" s="29"/>
      <c r="AOC35" s="29"/>
      <c r="AOD35" s="29"/>
      <c r="AOE35" s="28"/>
      <c r="AOF35" s="29"/>
      <c r="AOG35" s="29"/>
      <c r="AOH35" s="29"/>
      <c r="AOI35" s="29"/>
      <c r="AOJ35" s="29"/>
      <c r="AOK35" s="28"/>
      <c r="AOL35" s="29"/>
      <c r="AOM35" s="29"/>
      <c r="AON35" s="28"/>
      <c r="AOO35" s="29"/>
      <c r="AOP35" s="30"/>
      <c r="AOQ35" s="28"/>
      <c r="AOR35" s="29"/>
      <c r="AOS35" s="29"/>
      <c r="AOT35" s="29"/>
      <c r="AOU35" s="28"/>
      <c r="AOV35" s="29"/>
      <c r="AOW35" s="29"/>
      <c r="AOX35" s="28"/>
      <c r="AOY35" s="29"/>
      <c r="AOZ35" s="30"/>
      <c r="APA35" s="28"/>
      <c r="APB35" s="29"/>
      <c r="APC35" s="29"/>
      <c r="APD35" s="29"/>
      <c r="APE35" s="28"/>
      <c r="APF35" s="29"/>
      <c r="APG35" s="29"/>
      <c r="APH35" s="29"/>
      <c r="API35" s="29"/>
      <c r="APJ35" s="29"/>
      <c r="APK35" s="28"/>
      <c r="APL35" s="29"/>
      <c r="APM35" s="29"/>
      <c r="APN35" s="28"/>
      <c r="APO35" s="29"/>
      <c r="APP35" s="30"/>
      <c r="APQ35" s="28"/>
      <c r="APR35" s="29"/>
      <c r="APS35" s="29"/>
      <c r="APT35" s="29"/>
      <c r="APU35" s="28"/>
      <c r="APV35" s="29"/>
      <c r="APW35" s="29"/>
      <c r="APX35" s="28"/>
      <c r="APY35" s="29"/>
      <c r="APZ35" s="30"/>
      <c r="AQA35" s="28"/>
      <c r="AQB35" s="29"/>
      <c r="AQC35" s="29"/>
      <c r="AQD35" s="29"/>
      <c r="AQE35" s="28"/>
      <c r="AQF35" s="29"/>
      <c r="AQG35" s="29"/>
      <c r="AQH35" s="29"/>
      <c r="AQI35" s="29"/>
      <c r="AQJ35" s="29"/>
      <c r="AQK35" s="28"/>
      <c r="AQL35" s="29"/>
      <c r="AQM35" s="29"/>
      <c r="AQN35" s="28"/>
      <c r="AQO35" s="29"/>
      <c r="AQP35" s="30"/>
      <c r="AQQ35" s="28"/>
      <c r="AQR35" s="29"/>
      <c r="AQS35" s="29"/>
      <c r="AQT35" s="29"/>
      <c r="AQU35" s="28"/>
      <c r="AQV35" s="29"/>
      <c r="AQW35" s="29"/>
      <c r="AQX35" s="28"/>
      <c r="AQY35" s="29"/>
      <c r="AQZ35" s="30"/>
      <c r="ARA35" s="28"/>
      <c r="ARB35" s="29"/>
      <c r="ARC35" s="29"/>
      <c r="ARD35" s="29"/>
      <c r="ARE35" s="28"/>
      <c r="ARF35" s="29"/>
      <c r="ARG35" s="29"/>
      <c r="ARH35" s="29"/>
      <c r="ARI35" s="29"/>
      <c r="ARJ35" s="29"/>
      <c r="ARK35" s="28"/>
      <c r="ARL35" s="29"/>
      <c r="ARM35" s="29"/>
      <c r="ARN35" s="28"/>
      <c r="ARO35" s="29"/>
      <c r="ARP35" s="30"/>
      <c r="ARQ35" s="28"/>
      <c r="ARR35" s="29"/>
      <c r="ARS35" s="29"/>
      <c r="ART35" s="29"/>
      <c r="ARU35" s="28"/>
      <c r="ARV35" s="29"/>
      <c r="ARW35" s="29"/>
      <c r="ARX35" s="28"/>
      <c r="ARY35" s="29"/>
      <c r="ARZ35" s="30"/>
      <c r="ASA35" s="28"/>
      <c r="ASB35" s="29"/>
      <c r="ASC35" s="29"/>
      <c r="ASD35" s="29"/>
      <c r="ASE35" s="28"/>
      <c r="ASF35" s="29"/>
      <c r="ASG35" s="29"/>
      <c r="ASH35" s="29"/>
      <c r="ASI35" s="29"/>
      <c r="ASJ35" s="29"/>
      <c r="ASK35" s="28"/>
      <c r="ASL35" s="29"/>
      <c r="ASM35" s="29"/>
      <c r="ASN35" s="28"/>
      <c r="ASO35" s="29"/>
      <c r="ASP35" s="30"/>
      <c r="ASQ35" s="28"/>
      <c r="ASR35" s="29"/>
      <c r="ASS35" s="29"/>
      <c r="AST35" s="29"/>
      <c r="ASU35" s="28"/>
      <c r="ASV35" s="29"/>
      <c r="ASW35" s="29"/>
      <c r="ASX35" s="28"/>
      <c r="ASY35" s="29"/>
      <c r="ASZ35" s="30"/>
      <c r="ATA35" s="28"/>
      <c r="ATB35" s="29"/>
      <c r="ATC35" s="29"/>
      <c r="ATD35" s="29"/>
      <c r="ATE35" s="28"/>
      <c r="ATF35" s="29"/>
      <c r="ATG35" s="29"/>
      <c r="ATH35" s="29"/>
      <c r="ATI35" s="29"/>
      <c r="ATJ35" s="29"/>
      <c r="ATK35" s="28"/>
      <c r="ATL35" s="29"/>
      <c r="ATM35" s="29"/>
      <c r="ATN35" s="28"/>
      <c r="ATO35" s="29"/>
      <c r="ATP35" s="30"/>
      <c r="ATQ35" s="28"/>
      <c r="ATR35" s="29"/>
      <c r="ATS35" s="29"/>
      <c r="ATT35" s="29"/>
      <c r="ATU35" s="28"/>
      <c r="ATV35" s="29"/>
      <c r="ATW35" s="29"/>
      <c r="ATX35" s="28"/>
      <c r="ATY35" s="29"/>
      <c r="ATZ35" s="30"/>
      <c r="AUA35" s="28"/>
      <c r="AUB35" s="29"/>
      <c r="AUC35" s="29"/>
      <c r="AUD35" s="29"/>
      <c r="AUE35" s="28"/>
      <c r="AUF35" s="29"/>
      <c r="AUG35" s="29"/>
      <c r="AUH35" s="29"/>
      <c r="AUI35" s="29"/>
      <c r="AUJ35" s="29"/>
      <c r="AUK35" s="28"/>
      <c r="AUL35" s="29"/>
      <c r="AUM35" s="29"/>
      <c r="AUN35" s="28"/>
      <c r="AUO35" s="29"/>
      <c r="AUP35" s="30"/>
      <c r="AUQ35" s="28"/>
      <c r="AUR35" s="29"/>
      <c r="AUS35" s="29"/>
      <c r="AUT35" s="29"/>
      <c r="AUU35" s="28"/>
      <c r="AUV35" s="29"/>
      <c r="AUW35" s="29"/>
      <c r="AUX35" s="28"/>
      <c r="AUY35" s="29"/>
      <c r="AUZ35" s="30"/>
      <c r="AVA35" s="28"/>
      <c r="AVB35" s="29"/>
      <c r="AVC35" s="29"/>
      <c r="AVD35" s="29"/>
      <c r="AVE35" s="28"/>
      <c r="AVF35" s="29"/>
      <c r="AVG35" s="29"/>
      <c r="AVH35" s="29"/>
      <c r="AVI35" s="29"/>
      <c r="AVJ35" s="29"/>
      <c r="AVK35" s="28"/>
      <c r="AVL35" s="29"/>
      <c r="AVM35" s="29"/>
      <c r="AVN35" s="28"/>
      <c r="AVO35" s="29"/>
      <c r="AVP35" s="30"/>
      <c r="AVQ35" s="28"/>
      <c r="AVR35" s="29"/>
      <c r="AVS35" s="29"/>
      <c r="AVT35" s="29"/>
      <c r="AVU35" s="28"/>
      <c r="AVV35" s="29"/>
      <c r="AVW35" s="29"/>
      <c r="AVX35" s="28"/>
      <c r="AVY35" s="29"/>
      <c r="AVZ35" s="30"/>
      <c r="AWA35" s="28"/>
      <c r="AWB35" s="29"/>
      <c r="AWC35" s="29"/>
      <c r="AWD35" s="29"/>
      <c r="AWE35" s="28"/>
      <c r="AWF35" s="29"/>
      <c r="AWG35" s="29"/>
      <c r="AWH35" s="29"/>
      <c r="AWI35" s="29"/>
      <c r="AWJ35" s="29"/>
      <c r="AWK35" s="28"/>
      <c r="AWL35" s="29"/>
      <c r="AWM35" s="29"/>
      <c r="AWN35" s="28"/>
      <c r="AWO35" s="29"/>
      <c r="AWP35" s="30"/>
      <c r="AWQ35" s="28"/>
      <c r="AWR35" s="29"/>
      <c r="AWS35" s="29"/>
      <c r="AWT35" s="29"/>
      <c r="AWU35" s="28"/>
      <c r="AWV35" s="29"/>
      <c r="AWW35" s="29"/>
      <c r="AWX35" s="28"/>
      <c r="AWY35" s="29"/>
      <c r="AWZ35" s="30"/>
      <c r="AXA35" s="28"/>
      <c r="AXB35" s="29"/>
      <c r="AXC35" s="29"/>
      <c r="AXD35" s="29"/>
      <c r="AXE35" s="28"/>
      <c r="AXF35" s="29"/>
      <c r="AXG35" s="29"/>
      <c r="AXH35" s="29"/>
      <c r="AXI35" s="29"/>
      <c r="AXJ35" s="29"/>
      <c r="AXK35" s="28"/>
      <c r="AXL35" s="29"/>
      <c r="AXM35" s="29"/>
      <c r="AXN35" s="28"/>
      <c r="AXO35" s="29"/>
      <c r="AXP35" s="30"/>
      <c r="AXQ35" s="28"/>
      <c r="AXR35" s="29"/>
      <c r="AXS35" s="29"/>
      <c r="AXT35" s="29"/>
      <c r="AXU35" s="28"/>
      <c r="AXV35" s="29"/>
      <c r="AXW35" s="29"/>
      <c r="AXX35" s="28"/>
      <c r="AXY35" s="29"/>
      <c r="AXZ35" s="30"/>
      <c r="AYA35" s="28"/>
      <c r="AYB35" s="29"/>
      <c r="AYC35" s="29"/>
      <c r="AYD35" s="29"/>
      <c r="AYE35" s="28"/>
      <c r="AYF35" s="29"/>
      <c r="AYG35" s="29"/>
      <c r="AYH35" s="29"/>
      <c r="AYI35" s="29"/>
      <c r="AYJ35" s="29"/>
      <c r="AYK35" s="28"/>
      <c r="AYL35" s="29"/>
      <c r="AYM35" s="29"/>
      <c r="AYN35" s="28"/>
      <c r="AYO35" s="29"/>
      <c r="AYP35" s="30"/>
      <c r="AYQ35" s="28"/>
      <c r="AYR35" s="29"/>
      <c r="AYS35" s="29"/>
      <c r="AYT35" s="29"/>
      <c r="AYU35" s="28"/>
      <c r="AYV35" s="29"/>
      <c r="AYW35" s="29"/>
      <c r="AYX35" s="28"/>
      <c r="AYY35" s="29"/>
      <c r="AYZ35" s="30"/>
      <c r="AZA35" s="28"/>
      <c r="AZB35" s="29"/>
      <c r="AZC35" s="29"/>
      <c r="AZD35" s="29"/>
      <c r="AZE35" s="28"/>
      <c r="AZF35" s="29"/>
      <c r="AZG35" s="29"/>
      <c r="AZH35" s="29"/>
      <c r="AZI35" s="29"/>
      <c r="AZJ35" s="29"/>
      <c r="AZK35" s="28"/>
      <c r="AZL35" s="29"/>
      <c r="AZM35" s="29"/>
      <c r="AZN35" s="28"/>
      <c r="AZO35" s="29"/>
      <c r="AZP35" s="30"/>
      <c r="AZQ35" s="28"/>
      <c r="AZR35" s="29"/>
      <c r="AZS35" s="29"/>
      <c r="AZT35" s="29"/>
      <c r="AZU35" s="28"/>
      <c r="AZV35" s="29"/>
      <c r="AZW35" s="29"/>
      <c r="AZX35" s="28"/>
      <c r="AZY35" s="29"/>
      <c r="AZZ35" s="30"/>
      <c r="BAA35" s="28"/>
      <c r="BAB35" s="29"/>
      <c r="BAC35" s="29"/>
      <c r="BAD35" s="29"/>
      <c r="BAE35" s="28"/>
      <c r="BAF35" s="29"/>
      <c r="BAG35" s="29"/>
      <c r="BAH35" s="29"/>
      <c r="BAI35" s="29"/>
      <c r="BAJ35" s="29"/>
      <c r="BAK35" s="28"/>
      <c r="BAL35" s="29"/>
      <c r="BAM35" s="29"/>
      <c r="BAN35" s="28"/>
      <c r="BAO35" s="29"/>
      <c r="BAP35" s="30"/>
      <c r="BAQ35" s="28"/>
      <c r="BAR35" s="29"/>
      <c r="BAS35" s="29"/>
      <c r="BAT35" s="29"/>
      <c r="BAU35" s="28"/>
      <c r="BAV35" s="29"/>
      <c r="BAW35" s="29"/>
      <c r="BAX35" s="28"/>
      <c r="BAY35" s="29"/>
      <c r="BAZ35" s="30"/>
      <c r="BBA35" s="28"/>
      <c r="BBB35" s="29"/>
      <c r="BBC35" s="29"/>
      <c r="BBD35" s="29"/>
      <c r="BBE35" s="28"/>
      <c r="BBF35" s="29"/>
      <c r="BBG35" s="29"/>
      <c r="BBH35" s="29"/>
      <c r="BBI35" s="29"/>
      <c r="BBJ35" s="29"/>
      <c r="BBK35" s="28"/>
      <c r="BBL35" s="29"/>
      <c r="BBM35" s="29"/>
      <c r="BBN35" s="28"/>
      <c r="BBO35" s="29"/>
      <c r="BBP35" s="30"/>
      <c r="BBQ35" s="28"/>
      <c r="BBR35" s="29"/>
      <c r="BBS35" s="29"/>
      <c r="BBT35" s="29"/>
      <c r="BBU35" s="28"/>
      <c r="BBV35" s="29"/>
      <c r="BBW35" s="29"/>
      <c r="BBX35" s="28"/>
      <c r="BBY35" s="29"/>
      <c r="BBZ35" s="30"/>
      <c r="BCA35" s="28"/>
      <c r="BCB35" s="29"/>
      <c r="BCC35" s="29"/>
      <c r="BCD35" s="29"/>
      <c r="BCE35" s="28"/>
      <c r="BCF35" s="29"/>
      <c r="BCG35" s="29"/>
      <c r="BCH35" s="29"/>
      <c r="BCI35" s="29"/>
      <c r="BCJ35" s="29"/>
      <c r="BCK35" s="28"/>
      <c r="BCL35" s="29"/>
      <c r="BCM35" s="29"/>
      <c r="BCN35" s="28"/>
      <c r="BCO35" s="29"/>
      <c r="BCP35" s="30"/>
      <c r="BCQ35" s="28"/>
      <c r="BCR35" s="29"/>
      <c r="BCS35" s="29"/>
      <c r="BCT35" s="29"/>
      <c r="BCU35" s="28"/>
      <c r="BCV35" s="29"/>
      <c r="BCW35" s="29"/>
      <c r="BCX35" s="28"/>
      <c r="BCY35" s="29"/>
      <c r="BCZ35" s="30"/>
      <c r="BDA35" s="28"/>
      <c r="BDB35" s="29"/>
      <c r="BDC35" s="29"/>
      <c r="BDD35" s="29"/>
      <c r="BDE35" s="28"/>
      <c r="BDF35" s="29"/>
      <c r="BDG35" s="29"/>
      <c r="BDH35" s="29"/>
      <c r="BDI35" s="29"/>
      <c r="BDJ35" s="29"/>
      <c r="BDK35" s="28"/>
      <c r="BDL35" s="29"/>
      <c r="BDM35" s="29"/>
      <c r="BDN35" s="28"/>
      <c r="BDO35" s="29"/>
      <c r="BDP35" s="30"/>
      <c r="BDQ35" s="28"/>
      <c r="BDR35" s="29"/>
      <c r="BDS35" s="29"/>
      <c r="BDT35" s="29"/>
      <c r="BDU35" s="28"/>
      <c r="BDV35" s="29"/>
      <c r="BDW35" s="29"/>
      <c r="BDX35" s="28"/>
      <c r="BDY35" s="29"/>
      <c r="BDZ35" s="30"/>
      <c r="BEA35" s="28"/>
      <c r="BEB35" s="29"/>
      <c r="BEC35" s="29"/>
      <c r="BED35" s="29"/>
      <c r="BEE35" s="28"/>
      <c r="BEF35" s="29"/>
      <c r="BEG35" s="29"/>
      <c r="BEH35" s="29"/>
      <c r="BEI35" s="29"/>
      <c r="BEJ35" s="29"/>
      <c r="BEK35" s="28"/>
      <c r="BEL35" s="29"/>
      <c r="BEM35" s="29"/>
      <c r="BEN35" s="28"/>
      <c r="BEO35" s="29"/>
      <c r="BEP35" s="30"/>
      <c r="BEQ35" s="28"/>
      <c r="BER35" s="29"/>
      <c r="BES35" s="29"/>
      <c r="BET35" s="29"/>
      <c r="BEU35" s="28"/>
      <c r="BEV35" s="29"/>
      <c r="BEW35" s="29"/>
      <c r="BEX35" s="28"/>
      <c r="BEY35" s="29"/>
      <c r="BEZ35" s="30"/>
      <c r="BFA35" s="28"/>
      <c r="BFB35" s="29"/>
      <c r="BFC35" s="29"/>
      <c r="BFD35" s="29"/>
      <c r="BFE35" s="28"/>
      <c r="BFF35" s="29"/>
      <c r="BFG35" s="29"/>
      <c r="BFH35" s="29"/>
      <c r="BFI35" s="29"/>
      <c r="BFJ35" s="29"/>
      <c r="BFK35" s="28"/>
      <c r="BFL35" s="29"/>
      <c r="BFM35" s="29"/>
      <c r="BFN35" s="28"/>
      <c r="BFO35" s="29"/>
      <c r="BFP35" s="30"/>
      <c r="BFQ35" s="28"/>
      <c r="BFR35" s="29"/>
      <c r="BFS35" s="29"/>
      <c r="BFT35" s="29"/>
      <c r="BFU35" s="28"/>
      <c r="BFV35" s="29"/>
      <c r="BFW35" s="29"/>
      <c r="BFX35" s="28"/>
      <c r="BFY35" s="29"/>
      <c r="BFZ35" s="30"/>
      <c r="BGA35" s="28"/>
      <c r="BGB35" s="29"/>
      <c r="BGC35" s="29"/>
      <c r="BGD35" s="29"/>
      <c r="BGE35" s="28"/>
      <c r="BGF35" s="29"/>
      <c r="BGG35" s="29"/>
      <c r="BGH35" s="29"/>
      <c r="BGI35" s="29"/>
      <c r="BGJ35" s="29"/>
      <c r="BGK35" s="28"/>
      <c r="BGL35" s="29"/>
      <c r="BGM35" s="29"/>
      <c r="BGN35" s="28"/>
      <c r="BGO35" s="29"/>
      <c r="BGP35" s="30"/>
      <c r="BGQ35" s="28"/>
      <c r="BGR35" s="29"/>
      <c r="BGS35" s="29"/>
      <c r="BGT35" s="29"/>
      <c r="BGU35" s="28"/>
      <c r="BGV35" s="29"/>
      <c r="BGW35" s="29"/>
      <c r="BGX35" s="28"/>
      <c r="BGY35" s="29"/>
      <c r="BGZ35" s="30"/>
      <c r="BHA35" s="28"/>
      <c r="BHB35" s="29"/>
      <c r="BHC35" s="29"/>
      <c r="BHD35" s="29"/>
      <c r="BHE35" s="28"/>
      <c r="BHF35" s="29"/>
      <c r="BHG35" s="29"/>
      <c r="BHH35" s="29"/>
      <c r="BHI35" s="29"/>
      <c r="BHJ35" s="29"/>
      <c r="BHK35" s="28"/>
      <c r="BHL35" s="29"/>
      <c r="BHM35" s="29"/>
      <c r="BHN35" s="28"/>
      <c r="BHO35" s="29"/>
      <c r="BHP35" s="30"/>
      <c r="BHQ35" s="28"/>
      <c r="BHR35" s="29"/>
      <c r="BHS35" s="29"/>
      <c r="BHT35" s="29"/>
      <c r="BHU35" s="28"/>
      <c r="BHV35" s="29"/>
      <c r="BHW35" s="29"/>
      <c r="BHX35" s="28"/>
      <c r="BHY35" s="29"/>
      <c r="BHZ35" s="30"/>
      <c r="BIA35" s="28"/>
      <c r="BIB35" s="29"/>
      <c r="BIC35" s="29"/>
      <c r="BID35" s="29"/>
      <c r="BIE35" s="28"/>
      <c r="BIF35" s="29"/>
      <c r="BIG35" s="29"/>
      <c r="BIH35" s="29"/>
      <c r="BII35" s="29"/>
      <c r="BIJ35" s="29"/>
      <c r="BIK35" s="28"/>
      <c r="BIL35" s="29"/>
      <c r="BIM35" s="29"/>
      <c r="BIN35" s="28"/>
      <c r="BIO35" s="29"/>
      <c r="BIP35" s="30"/>
      <c r="BIQ35" s="28"/>
      <c r="BIR35" s="29"/>
      <c r="BIS35" s="29"/>
      <c r="BIT35" s="29"/>
      <c r="BIU35" s="28"/>
      <c r="BIV35" s="29"/>
      <c r="BIW35" s="29"/>
      <c r="BIX35" s="28"/>
      <c r="BIY35" s="29"/>
      <c r="BIZ35" s="30"/>
      <c r="BJA35" s="28"/>
      <c r="BJB35" s="29"/>
      <c r="BJC35" s="29"/>
      <c r="BJD35" s="29"/>
      <c r="BJE35" s="28"/>
      <c r="BJF35" s="29"/>
      <c r="BJG35" s="29"/>
      <c r="BJH35" s="29"/>
      <c r="BJI35" s="29"/>
      <c r="BJJ35" s="29"/>
      <c r="BJK35" s="28"/>
      <c r="BJL35" s="29"/>
      <c r="BJM35" s="29"/>
      <c r="BJN35" s="28"/>
      <c r="BJO35" s="29"/>
      <c r="BJP35" s="30"/>
      <c r="BJQ35" s="28"/>
      <c r="BJR35" s="29"/>
      <c r="BJS35" s="29"/>
      <c r="BJT35" s="29"/>
      <c r="BJU35" s="28"/>
      <c r="BJV35" s="29"/>
      <c r="BJW35" s="29"/>
      <c r="BJX35" s="28"/>
      <c r="BJY35" s="29"/>
      <c r="BJZ35" s="30"/>
      <c r="BKA35" s="28"/>
      <c r="BKB35" s="29"/>
      <c r="BKC35" s="29"/>
      <c r="BKD35" s="29"/>
      <c r="BKE35" s="28"/>
      <c r="BKF35" s="29"/>
      <c r="BKG35" s="29"/>
      <c r="BKH35" s="29"/>
      <c r="BKI35" s="29"/>
      <c r="BKJ35" s="29"/>
      <c r="BKK35" s="28"/>
      <c r="BKL35" s="29"/>
      <c r="BKM35" s="29"/>
      <c r="BKN35" s="28"/>
      <c r="BKO35" s="29"/>
      <c r="BKP35" s="30"/>
      <c r="BKQ35" s="28"/>
      <c r="BKR35" s="29"/>
      <c r="BKS35" s="29"/>
      <c r="BKT35" s="29"/>
      <c r="BKU35" s="28"/>
      <c r="BKV35" s="29"/>
      <c r="BKW35" s="29"/>
      <c r="BKX35" s="28"/>
      <c r="BKY35" s="29"/>
      <c r="BKZ35" s="30"/>
      <c r="BLA35" s="28"/>
      <c r="BLB35" s="29"/>
      <c r="BLC35" s="29"/>
      <c r="BLD35" s="29"/>
      <c r="BLE35" s="28"/>
      <c r="BLF35" s="29"/>
      <c r="BLG35" s="29"/>
      <c r="BLH35" s="29"/>
      <c r="BLI35" s="29"/>
      <c r="BLJ35" s="29"/>
      <c r="BLK35" s="28"/>
      <c r="BLL35" s="29"/>
      <c r="BLM35" s="29"/>
      <c r="BLN35" s="28"/>
      <c r="BLO35" s="29"/>
      <c r="BLP35" s="30"/>
      <c r="BLQ35" s="28"/>
      <c r="BLR35" s="29"/>
      <c r="BLS35" s="29"/>
      <c r="BLT35" s="29"/>
      <c r="BLU35" s="28"/>
      <c r="BLV35" s="29"/>
      <c r="BLW35" s="29"/>
      <c r="BLX35" s="28"/>
      <c r="BLY35" s="29"/>
      <c r="BLZ35" s="30"/>
      <c r="BMA35" s="28"/>
      <c r="BMB35" s="29"/>
      <c r="BMC35" s="29"/>
      <c r="BMD35" s="29"/>
      <c r="BME35" s="28"/>
      <c r="BMF35" s="29"/>
      <c r="BMG35" s="29"/>
      <c r="BMH35" s="29"/>
      <c r="BMI35" s="29"/>
      <c r="BMJ35" s="29"/>
      <c r="BMK35" s="28"/>
      <c r="BML35" s="29"/>
      <c r="BMM35" s="29"/>
      <c r="BMN35" s="28"/>
      <c r="BMO35" s="29"/>
      <c r="BMP35" s="30"/>
      <c r="BMQ35" s="28"/>
      <c r="BMR35" s="29"/>
      <c r="BMS35" s="29"/>
      <c r="BMT35" s="29"/>
      <c r="BMU35" s="28"/>
      <c r="BMV35" s="29"/>
      <c r="BMW35" s="29"/>
      <c r="BMX35" s="28"/>
      <c r="BMY35" s="29"/>
      <c r="BMZ35" s="30"/>
      <c r="BNA35" s="28"/>
      <c r="BNB35" s="29"/>
      <c r="BNC35" s="29"/>
      <c r="BND35" s="29"/>
      <c r="BNE35" s="28"/>
      <c r="BNF35" s="29"/>
      <c r="BNG35" s="29"/>
      <c r="BNH35" s="29"/>
      <c r="BNI35" s="29"/>
      <c r="BNJ35" s="29"/>
      <c r="BNK35" s="28"/>
      <c r="BNL35" s="29"/>
      <c r="BNM35" s="29"/>
      <c r="BNN35" s="28"/>
      <c r="BNO35" s="29"/>
      <c r="BNP35" s="30"/>
      <c r="BNQ35" s="28"/>
      <c r="BNR35" s="29"/>
      <c r="BNS35" s="29"/>
      <c r="BNT35" s="29"/>
      <c r="BNU35" s="28"/>
      <c r="BNV35" s="29"/>
      <c r="BNW35" s="29"/>
      <c r="BNX35" s="28"/>
      <c r="BNY35" s="29"/>
      <c r="BNZ35" s="30"/>
      <c r="BOA35" s="28"/>
      <c r="BOB35" s="29"/>
      <c r="BOC35" s="29"/>
      <c r="BOD35" s="29"/>
      <c r="BOE35" s="28"/>
      <c r="BOF35" s="29"/>
      <c r="BOG35" s="29"/>
      <c r="BOH35" s="29"/>
      <c r="BOI35" s="29"/>
      <c r="BOJ35" s="29"/>
      <c r="BOK35" s="28"/>
      <c r="BOL35" s="29"/>
      <c r="BOM35" s="29"/>
      <c r="BON35" s="28"/>
      <c r="BOO35" s="29"/>
      <c r="BOP35" s="30"/>
      <c r="BOQ35" s="28"/>
      <c r="BOR35" s="29"/>
      <c r="BOS35" s="29"/>
      <c r="BOT35" s="29"/>
      <c r="BOU35" s="28"/>
      <c r="BOV35" s="29"/>
      <c r="BOW35" s="29"/>
      <c r="BOX35" s="28"/>
      <c r="BOY35" s="29"/>
      <c r="BOZ35" s="30"/>
      <c r="BPA35" s="28"/>
      <c r="BPB35" s="29"/>
      <c r="BPC35" s="29"/>
      <c r="BPD35" s="29"/>
      <c r="BPE35" s="28"/>
      <c r="BPF35" s="29"/>
      <c r="BPG35" s="29"/>
      <c r="BPH35" s="29"/>
      <c r="BPI35" s="29"/>
      <c r="BPJ35" s="29"/>
      <c r="BPK35" s="28"/>
      <c r="BPL35" s="29"/>
      <c r="BPM35" s="29"/>
      <c r="BPN35" s="28"/>
      <c r="BPO35" s="29"/>
      <c r="BPP35" s="30"/>
      <c r="BPQ35" s="28"/>
      <c r="BPR35" s="29"/>
      <c r="BPS35" s="29"/>
      <c r="BPT35" s="29"/>
      <c r="BPU35" s="28"/>
      <c r="BPV35" s="29"/>
      <c r="BPW35" s="29"/>
      <c r="BPX35" s="28"/>
      <c r="BPY35" s="29"/>
      <c r="BPZ35" s="30"/>
      <c r="BQA35" s="28"/>
      <c r="BQB35" s="29"/>
      <c r="BQC35" s="29"/>
      <c r="BQD35" s="29"/>
      <c r="BQE35" s="28"/>
      <c r="BQF35" s="29"/>
      <c r="BQG35" s="29"/>
      <c r="BQH35" s="29"/>
      <c r="BQI35" s="29"/>
      <c r="BQJ35" s="29"/>
      <c r="BQK35" s="28"/>
      <c r="BQL35" s="29"/>
      <c r="BQM35" s="29"/>
      <c r="BQN35" s="28"/>
      <c r="BQO35" s="29"/>
      <c r="BQP35" s="30"/>
      <c r="BQQ35" s="28"/>
      <c r="BQR35" s="29"/>
      <c r="BQS35" s="29"/>
      <c r="BQT35" s="29"/>
      <c r="BQU35" s="28"/>
      <c r="BQV35" s="29"/>
      <c r="BQW35" s="29"/>
      <c r="BQX35" s="28"/>
      <c r="BQY35" s="29"/>
      <c r="BQZ35" s="30"/>
      <c r="BRA35" s="28"/>
      <c r="BRB35" s="29"/>
      <c r="BRC35" s="29"/>
      <c r="BRD35" s="29"/>
      <c r="BRE35" s="28"/>
      <c r="BRF35" s="29"/>
      <c r="BRG35" s="29"/>
      <c r="BRH35" s="29"/>
      <c r="BRI35" s="29"/>
      <c r="BRJ35" s="29"/>
      <c r="BRK35" s="28"/>
      <c r="BRL35" s="29"/>
      <c r="BRM35" s="29"/>
      <c r="BRN35" s="28"/>
      <c r="BRO35" s="29"/>
      <c r="BRP35" s="30"/>
      <c r="BRQ35" s="28"/>
      <c r="BRR35" s="29"/>
      <c r="BRS35" s="29"/>
      <c r="BRT35" s="29"/>
      <c r="BRU35" s="28"/>
      <c r="BRV35" s="29"/>
      <c r="BRW35" s="29"/>
      <c r="BRX35" s="28"/>
      <c r="BRY35" s="29"/>
      <c r="BRZ35" s="30"/>
      <c r="BSA35" s="28"/>
      <c r="BSB35" s="29"/>
      <c r="BSC35" s="29"/>
      <c r="BSD35" s="29"/>
      <c r="BSE35" s="28"/>
      <c r="BSF35" s="29"/>
      <c r="BSG35" s="29"/>
      <c r="BSH35" s="29"/>
      <c r="BSI35" s="29"/>
      <c r="BSJ35" s="29"/>
      <c r="BSK35" s="28"/>
      <c r="BSL35" s="29"/>
      <c r="BSM35" s="29"/>
      <c r="BSN35" s="28"/>
      <c r="BSO35" s="29"/>
      <c r="BSP35" s="30"/>
      <c r="BSQ35" s="28"/>
      <c r="BSR35" s="29"/>
      <c r="BSS35" s="29"/>
      <c r="BST35" s="29"/>
      <c r="BSU35" s="28"/>
      <c r="BSV35" s="29"/>
      <c r="BSW35" s="29"/>
      <c r="BSX35" s="28"/>
      <c r="BSY35" s="29"/>
      <c r="BSZ35" s="30"/>
      <c r="BTA35" s="28"/>
      <c r="BTB35" s="29"/>
      <c r="BTC35" s="29"/>
      <c r="BTD35" s="29"/>
      <c r="BTE35" s="28"/>
      <c r="BTF35" s="29"/>
      <c r="BTG35" s="29"/>
      <c r="BTH35" s="29"/>
      <c r="BTI35" s="29"/>
      <c r="BTJ35" s="29"/>
      <c r="BTK35" s="28"/>
      <c r="BTL35" s="29"/>
      <c r="BTM35" s="29"/>
      <c r="BTN35" s="28"/>
      <c r="BTO35" s="29"/>
      <c r="BTP35" s="30"/>
      <c r="BTQ35" s="28"/>
      <c r="BTR35" s="29"/>
      <c r="BTS35" s="29"/>
      <c r="BTT35" s="29"/>
      <c r="BTU35" s="28"/>
      <c r="BTV35" s="29"/>
      <c r="BTW35" s="29"/>
      <c r="BTX35" s="28"/>
      <c r="BTY35" s="29"/>
      <c r="BTZ35" s="30"/>
      <c r="BUA35" s="28"/>
      <c r="BUB35" s="29"/>
      <c r="BUC35" s="29"/>
      <c r="BUD35" s="29"/>
      <c r="BUE35" s="28"/>
      <c r="BUF35" s="29"/>
      <c r="BUG35" s="29"/>
      <c r="BUH35" s="29"/>
      <c r="BUI35" s="29"/>
      <c r="BUJ35" s="29"/>
      <c r="BUK35" s="28"/>
      <c r="BUL35" s="29"/>
      <c r="BUM35" s="29"/>
      <c r="BUN35" s="28"/>
      <c r="BUO35" s="29"/>
      <c r="BUP35" s="30"/>
      <c r="BUQ35" s="28"/>
      <c r="BUR35" s="29"/>
      <c r="BUS35" s="29"/>
      <c r="BUT35" s="29"/>
      <c r="BUU35" s="28"/>
      <c r="BUV35" s="29"/>
      <c r="BUW35" s="29"/>
      <c r="BUX35" s="28"/>
      <c r="BUY35" s="29"/>
      <c r="BUZ35" s="30"/>
      <c r="BVA35" s="28"/>
      <c r="BVB35" s="29"/>
      <c r="BVC35" s="29"/>
      <c r="BVD35" s="29"/>
      <c r="BVE35" s="28"/>
      <c r="BVF35" s="29"/>
      <c r="BVG35" s="29"/>
      <c r="BVH35" s="29"/>
      <c r="BVI35" s="29"/>
      <c r="BVJ35" s="29"/>
      <c r="BVK35" s="28"/>
      <c r="BVL35" s="29"/>
      <c r="BVM35" s="29"/>
      <c r="BVN35" s="28"/>
      <c r="BVO35" s="29"/>
      <c r="BVP35" s="30"/>
      <c r="BVQ35" s="28"/>
      <c r="BVR35" s="29"/>
      <c r="BVS35" s="29"/>
      <c r="BVT35" s="29"/>
      <c r="BVU35" s="28"/>
      <c r="BVV35" s="29"/>
      <c r="BVW35" s="29"/>
      <c r="BVX35" s="28"/>
      <c r="BVY35" s="29"/>
      <c r="BVZ35" s="30"/>
      <c r="BWA35" s="28"/>
      <c r="BWB35" s="29"/>
      <c r="BWC35" s="29"/>
      <c r="BWD35" s="29"/>
      <c r="BWE35" s="28"/>
      <c r="BWF35" s="29"/>
      <c r="BWG35" s="29"/>
      <c r="BWH35" s="29"/>
      <c r="BWI35" s="29"/>
      <c r="BWJ35" s="29"/>
      <c r="BWK35" s="28"/>
      <c r="BWL35" s="29"/>
      <c r="BWM35" s="29"/>
      <c r="BWN35" s="28"/>
      <c r="BWO35" s="29"/>
      <c r="BWP35" s="30"/>
      <c r="BWQ35" s="28"/>
      <c r="BWR35" s="29"/>
      <c r="BWS35" s="29"/>
      <c r="BWT35" s="29"/>
      <c r="BWU35" s="28"/>
      <c r="BWV35" s="29"/>
      <c r="BWW35" s="29"/>
      <c r="BWX35" s="28"/>
      <c r="BWY35" s="29"/>
      <c r="BWZ35" s="30"/>
      <c r="BXA35" s="28"/>
      <c r="BXB35" s="29"/>
      <c r="BXC35" s="29"/>
      <c r="BXD35" s="29"/>
      <c r="BXE35" s="28"/>
      <c r="BXF35" s="29"/>
      <c r="BXG35" s="29"/>
      <c r="BXH35" s="29"/>
      <c r="BXI35" s="29"/>
      <c r="BXJ35" s="29"/>
      <c r="BXK35" s="28"/>
      <c r="BXL35" s="29"/>
      <c r="BXM35" s="29"/>
      <c r="BXN35" s="28"/>
      <c r="BXO35" s="29"/>
      <c r="BXP35" s="30"/>
      <c r="BXQ35" s="28"/>
      <c r="BXR35" s="29"/>
      <c r="BXS35" s="29"/>
      <c r="BXT35" s="29"/>
      <c r="BXU35" s="28"/>
      <c r="BXV35" s="29"/>
      <c r="BXW35" s="29"/>
      <c r="BXX35" s="28"/>
      <c r="BXY35" s="29"/>
      <c r="BXZ35" s="30"/>
      <c r="BYA35" s="28"/>
      <c r="BYB35" s="29"/>
      <c r="BYC35" s="29"/>
      <c r="BYD35" s="29"/>
      <c r="BYE35" s="28"/>
      <c r="BYF35" s="29"/>
      <c r="BYG35" s="29"/>
      <c r="BYH35" s="29"/>
      <c r="BYI35" s="29"/>
      <c r="BYJ35" s="29"/>
      <c r="BYK35" s="28"/>
      <c r="BYL35" s="29"/>
      <c r="BYM35" s="29"/>
      <c r="BYN35" s="28"/>
      <c r="BYO35" s="29"/>
      <c r="BYP35" s="30"/>
      <c r="BYQ35" s="28"/>
      <c r="BYR35" s="29"/>
      <c r="BYS35" s="29"/>
      <c r="BYT35" s="29"/>
      <c r="BYU35" s="28"/>
      <c r="BYV35" s="29"/>
      <c r="BYW35" s="29"/>
      <c r="BYX35" s="30"/>
      <c r="BYY35" s="29"/>
      <c r="BYZ35" s="28"/>
      <c r="BZA35" s="29"/>
      <c r="BZB35" s="28"/>
      <c r="BZC35" s="28"/>
      <c r="BZD35" s="28"/>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30"/>
      <c r="CAQ35" s="28"/>
      <c r="CAR35" s="29"/>
      <c r="CAS35" s="30"/>
      <c r="CAT35" s="29"/>
      <c r="CAU35" s="29"/>
      <c r="CAV35" s="29"/>
      <c r="CAW35" s="28"/>
      <c r="CAX35" s="29"/>
      <c r="CAY35" s="29"/>
      <c r="CAZ35" s="28"/>
      <c r="CBA35" s="29"/>
      <c r="CBB35" s="30"/>
      <c r="CBC35" s="28"/>
      <c r="CBD35" s="29"/>
      <c r="CBE35" s="30"/>
      <c r="CBF35" s="29"/>
      <c r="CBG35" s="28"/>
      <c r="CBH35" s="29"/>
      <c r="CBI35" s="29"/>
      <c r="CBJ35" s="28"/>
      <c r="CBK35" s="29"/>
      <c r="CBL35" s="30"/>
      <c r="CBM35" s="28"/>
      <c r="CBN35" s="29"/>
      <c r="CBO35" s="30"/>
      <c r="CBP35" s="29"/>
      <c r="CBQ35" s="28"/>
      <c r="CBR35" s="29"/>
      <c r="CBS35" s="29"/>
      <c r="CBT35" s="28"/>
      <c r="CBU35" s="29"/>
      <c r="CBV35" s="30"/>
      <c r="CBW35" s="28"/>
      <c r="CBX35" s="29"/>
      <c r="CBY35" s="30"/>
      <c r="CBZ35" s="29"/>
      <c r="CCA35" s="28"/>
      <c r="CCB35" s="29"/>
      <c r="CCC35" s="29"/>
      <c r="CCD35" s="28"/>
      <c r="CCE35" s="29"/>
      <c r="CCF35" s="30"/>
      <c r="CCG35" s="28"/>
      <c r="CCH35" s="30"/>
      <c r="CCI35" s="29"/>
      <c r="CCJ35" s="28"/>
      <c r="CCK35" s="29"/>
      <c r="CCL35" s="28"/>
      <c r="CCM35" s="28"/>
      <c r="CCN35" s="28"/>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30"/>
      <c r="CEA35" s="28"/>
      <c r="CEB35" s="29"/>
      <c r="CEC35" s="30"/>
      <c r="CED35" s="29"/>
      <c r="CEE35" s="29"/>
      <c r="CEF35" s="29"/>
      <c r="CEG35" s="28"/>
      <c r="CEH35" s="29"/>
      <c r="CEI35" s="29"/>
      <c r="CEJ35" s="28"/>
      <c r="CEK35" s="29"/>
      <c r="CEL35" s="30"/>
      <c r="CEM35" s="28"/>
      <c r="CEN35" s="29"/>
      <c r="CEO35" s="30"/>
      <c r="CEP35" s="29"/>
      <c r="CEQ35" s="28"/>
      <c r="CER35" s="29"/>
      <c r="CES35" s="29"/>
      <c r="CET35" s="28"/>
      <c r="CEU35" s="29"/>
      <c r="CEV35" s="30"/>
      <c r="CEW35" s="28"/>
      <c r="CEX35" s="29"/>
      <c r="CEY35" s="30"/>
      <c r="CEZ35" s="29"/>
      <c r="CFA35" s="28"/>
      <c r="CFB35" s="29"/>
      <c r="CFC35" s="29"/>
      <c r="CFD35" s="28"/>
      <c r="CFE35" s="29"/>
      <c r="CFF35" s="30"/>
      <c r="CFG35" s="28"/>
      <c r="CFH35" s="29"/>
      <c r="CFI35" s="30"/>
      <c r="CFJ35" s="29"/>
      <c r="CFK35" s="28"/>
      <c r="CFL35" s="29"/>
      <c r="CFM35" s="29"/>
      <c r="CFN35" s="28"/>
      <c r="CFO35" s="29"/>
      <c r="CFP35" s="30"/>
      <c r="CFQ35" s="28"/>
      <c r="CFR35" s="30"/>
      <c r="CFS35" s="29"/>
      <c r="CFT35" s="28"/>
      <c r="CFU35" s="29"/>
      <c r="CFV35" s="28"/>
      <c r="CFW35" s="28"/>
      <c r="CFX35" s="28"/>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30"/>
      <c r="CHK35" s="28"/>
      <c r="CHL35" s="29"/>
      <c r="CHM35" s="30"/>
      <c r="CHN35" s="29"/>
      <c r="CHO35" s="29"/>
      <c r="CHP35" s="29"/>
      <c r="CHQ35" s="28"/>
      <c r="CHR35" s="29"/>
      <c r="CHS35" s="29"/>
      <c r="CHT35" s="28"/>
      <c r="CHU35" s="29"/>
      <c r="CHV35" s="30"/>
      <c r="CHW35" s="28"/>
      <c r="CHX35" s="29"/>
      <c r="CHY35" s="30"/>
      <c r="CHZ35" s="29"/>
      <c r="CIA35" s="28"/>
      <c r="CIB35" s="29"/>
      <c r="CIC35" s="29"/>
      <c r="CID35" s="28"/>
      <c r="CIE35" s="29"/>
      <c r="CIF35" s="30"/>
      <c r="CIG35" s="28"/>
      <c r="CIH35" s="29"/>
      <c r="CII35" s="30"/>
      <c r="CIJ35" s="29"/>
      <c r="CIK35" s="28"/>
      <c r="CIL35" s="29"/>
      <c r="CIM35" s="29"/>
      <c r="CIN35" s="28"/>
      <c r="CIO35" s="29"/>
      <c r="CIP35" s="30"/>
      <c r="CIQ35" s="28"/>
      <c r="CIR35" s="29"/>
      <c r="CIS35" s="30"/>
      <c r="CIT35" s="29"/>
      <c r="CIU35" s="28"/>
      <c r="CIV35" s="29"/>
      <c r="CIW35" s="29"/>
      <c r="CIX35" s="28"/>
      <c r="CIY35" s="29"/>
      <c r="CIZ35" s="30"/>
      <c r="CJA35" s="28"/>
      <c r="CJB35" s="30"/>
      <c r="CJC35" s="29"/>
      <c r="CJD35" s="28"/>
      <c r="CJE35" s="29"/>
      <c r="CJF35" s="28"/>
      <c r="CJG35" s="28"/>
      <c r="CJH35" s="28"/>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30"/>
      <c r="CKU35" s="28"/>
      <c r="CKV35" s="29"/>
      <c r="CKW35" s="30"/>
      <c r="CKX35" s="29"/>
      <c r="CKY35" s="29"/>
      <c r="CKZ35" s="29"/>
      <c r="CLA35" s="28"/>
      <c r="CLB35" s="29"/>
      <c r="CLC35" s="29"/>
      <c r="CLD35" s="28"/>
      <c r="CLE35" s="29"/>
      <c r="CLF35" s="30"/>
      <c r="CLG35" s="28"/>
      <c r="CLH35" s="29"/>
      <c r="CLI35" s="30"/>
      <c r="CLJ35" s="29"/>
      <c r="CLK35" s="28"/>
      <c r="CLL35" s="29"/>
      <c r="CLM35" s="29"/>
      <c r="CLN35" s="28"/>
      <c r="CLO35" s="29"/>
      <c r="CLP35" s="30"/>
      <c r="CLQ35" s="28"/>
      <c r="CLR35" s="29"/>
      <c r="CLS35" s="30"/>
      <c r="CLT35" s="29"/>
      <c r="CLU35" s="28"/>
      <c r="CLV35" s="29"/>
      <c r="CLW35" s="29"/>
      <c r="CLX35" s="28"/>
      <c r="CLY35" s="29"/>
      <c r="CLZ35" s="30"/>
      <c r="CMA35" s="28"/>
      <c r="CMB35" s="29"/>
      <c r="CMC35" s="30"/>
      <c r="CMD35" s="29"/>
      <c r="CME35" s="28"/>
      <c r="CMF35" s="29"/>
      <c r="CMG35" s="29"/>
      <c r="CMH35" s="28"/>
      <c r="CMI35" s="29"/>
      <c r="CMJ35" s="30"/>
      <c r="CMK35" s="28"/>
      <c r="CML35" s="30"/>
      <c r="CMM35" s="29"/>
      <c r="CMN35" s="28"/>
      <c r="CMO35" s="29"/>
      <c r="CMP35" s="28"/>
      <c r="CMQ35" s="28"/>
      <c r="CMR35" s="28"/>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30"/>
      <c r="COE35" s="28"/>
      <c r="COF35" s="29"/>
      <c r="COG35" s="30"/>
      <c r="COH35" s="29"/>
      <c r="COI35" s="29"/>
      <c r="COJ35" s="29"/>
      <c r="COK35" s="28"/>
      <c r="COL35" s="29"/>
      <c r="COM35" s="29"/>
      <c r="CON35" s="28"/>
      <c r="COO35" s="29"/>
      <c r="COP35" s="30"/>
      <c r="COQ35" s="28"/>
      <c r="COR35" s="29"/>
      <c r="COS35" s="30"/>
      <c r="COT35" s="29"/>
      <c r="COU35" s="28"/>
      <c r="COV35" s="29"/>
      <c r="COW35" s="29"/>
      <c r="COX35" s="28"/>
      <c r="COY35" s="29"/>
      <c r="COZ35" s="30"/>
      <c r="CPA35" s="28"/>
      <c r="CPB35" s="29"/>
      <c r="CPC35" s="30"/>
      <c r="CPD35" s="29"/>
      <c r="CPE35" s="28"/>
      <c r="CPF35" s="29"/>
      <c r="CPG35" s="29"/>
      <c r="CPH35" s="28"/>
      <c r="CPI35" s="29"/>
      <c r="CPJ35" s="30"/>
      <c r="CPK35" s="28"/>
      <c r="CPL35" s="29"/>
      <c r="CPM35" s="30"/>
      <c r="CPN35" s="29"/>
      <c r="CPO35" s="28"/>
      <c r="CPP35" s="29"/>
      <c r="CPQ35" s="29"/>
      <c r="CPR35" s="28"/>
      <c r="CPS35" s="29"/>
      <c r="CPT35" s="30"/>
      <c r="CPU35" s="28"/>
      <c r="CPV35" s="30"/>
      <c r="CPW35" s="29"/>
      <c r="CPX35" s="28"/>
      <c r="CPY35" s="29"/>
      <c r="CPZ35" s="28"/>
      <c r="CQA35" s="28"/>
      <c r="CQB35" s="28"/>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30"/>
      <c r="CRO35" s="28"/>
      <c r="CRP35" s="29"/>
      <c r="CRQ35" s="30"/>
      <c r="CRR35" s="29"/>
      <c r="CRS35" s="29"/>
      <c r="CRT35" s="29"/>
      <c r="CRU35" s="28"/>
      <c r="CRV35" s="29"/>
      <c r="CRW35" s="29"/>
      <c r="CRX35" s="28"/>
      <c r="CRY35" s="29"/>
      <c r="CRZ35" s="30"/>
      <c r="CSA35" s="28"/>
      <c r="CSB35" s="29"/>
      <c r="CSC35" s="30"/>
      <c r="CSD35" s="29"/>
      <c r="CSE35" s="28"/>
      <c r="CSF35" s="29"/>
      <c r="CSG35" s="29"/>
      <c r="CSH35" s="28"/>
      <c r="CSI35" s="29"/>
      <c r="CSJ35" s="30"/>
      <c r="CSK35" s="28"/>
      <c r="CSL35" s="29"/>
      <c r="CSM35" s="30"/>
      <c r="CSN35" s="29"/>
      <c r="CSO35" s="28"/>
      <c r="CSP35" s="29"/>
      <c r="CSQ35" s="29"/>
      <c r="CSR35" s="28"/>
      <c r="CSS35" s="29"/>
      <c r="CST35" s="30"/>
      <c r="CSU35" s="28"/>
      <c r="CSV35" s="29"/>
      <c r="CSW35" s="30"/>
      <c r="CSX35" s="29"/>
      <c r="CSY35" s="28"/>
      <c r="CSZ35" s="29"/>
      <c r="CTA35" s="29"/>
      <c r="CTB35" s="28"/>
      <c r="CTC35" s="29"/>
      <c r="CTD35" s="30"/>
      <c r="CTE35" s="28"/>
      <c r="CTF35" s="30"/>
      <c r="CTG35" s="29"/>
      <c r="CTH35" s="28"/>
      <c r="CTI35" s="29"/>
      <c r="CTJ35" s="28"/>
      <c r="CTK35" s="28"/>
      <c r="CTL35" s="28"/>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30"/>
      <c r="CUY35" s="28"/>
      <c r="CUZ35" s="29"/>
      <c r="CVA35" s="30"/>
      <c r="CVB35" s="29"/>
      <c r="CVC35" s="29"/>
      <c r="CVD35" s="29"/>
      <c r="CVE35" s="28"/>
      <c r="CVF35" s="29"/>
      <c r="CVG35" s="29"/>
      <c r="CVH35" s="28"/>
      <c r="CVI35" s="29"/>
      <c r="CVJ35" s="30"/>
      <c r="CVK35" s="28"/>
      <c r="CVL35" s="29"/>
      <c r="CVM35" s="30"/>
      <c r="CVN35" s="29"/>
      <c r="CVO35" s="28"/>
      <c r="CVP35" s="29"/>
      <c r="CVQ35" s="29"/>
      <c r="CVR35" s="28"/>
      <c r="CVS35" s="29"/>
      <c r="CVT35" s="30"/>
      <c r="CVU35" s="28"/>
      <c r="CVV35" s="29"/>
      <c r="CVW35" s="30"/>
      <c r="CVX35" s="29"/>
      <c r="CVY35" s="28"/>
      <c r="CVZ35" s="29"/>
      <c r="CWA35" s="29"/>
      <c r="CWB35" s="28"/>
      <c r="CWC35" s="29"/>
      <c r="CWD35" s="30"/>
      <c r="CWE35" s="28"/>
      <c r="CWF35" s="29"/>
      <c r="CWG35" s="30"/>
      <c r="CWH35" s="29"/>
      <c r="CWI35" s="28"/>
      <c r="CWJ35" s="29"/>
      <c r="CWK35" s="29"/>
      <c r="CWL35" s="28"/>
      <c r="CWM35" s="29"/>
      <c r="CWN35" s="30"/>
      <c r="CWO35" s="28"/>
      <c r="CWP35" s="30"/>
      <c r="CWQ35" s="29"/>
      <c r="CWR35" s="28"/>
      <c r="CWS35" s="29"/>
      <c r="CWT35" s="28"/>
      <c r="CWU35" s="28"/>
      <c r="CWV35" s="28"/>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30"/>
      <c r="CYI35" s="28"/>
      <c r="CYJ35" s="29"/>
      <c r="CYK35" s="30"/>
      <c r="CYL35" s="29"/>
      <c r="CYM35" s="29"/>
      <c r="CYN35" s="29"/>
      <c r="CYO35" s="28"/>
      <c r="CYP35" s="29"/>
      <c r="CYQ35" s="29"/>
      <c r="CYR35" s="28"/>
      <c r="CYS35" s="29"/>
      <c r="CYT35" s="30"/>
      <c r="CYU35" s="28"/>
      <c r="CYV35" s="29"/>
      <c r="CYW35" s="30"/>
      <c r="CYX35" s="29"/>
      <c r="CYY35" s="28"/>
      <c r="CYZ35" s="29"/>
      <c r="CZA35" s="29"/>
      <c r="CZB35" s="28"/>
      <c r="CZC35" s="29"/>
      <c r="CZD35" s="30"/>
      <c r="CZE35" s="28"/>
      <c r="CZF35" s="29"/>
      <c r="CZG35" s="30"/>
      <c r="CZH35" s="29"/>
      <c r="CZI35" s="28"/>
      <c r="CZJ35" s="29"/>
      <c r="CZK35" s="29"/>
      <c r="CZL35" s="28"/>
      <c r="CZM35" s="29"/>
      <c r="CZN35" s="30"/>
      <c r="CZO35" s="28"/>
      <c r="CZP35" s="29"/>
      <c r="CZQ35" s="30"/>
      <c r="CZR35" s="29"/>
      <c r="CZS35" s="28"/>
      <c r="CZT35" s="29"/>
      <c r="CZU35" s="29"/>
      <c r="CZV35" s="28"/>
      <c r="CZW35" s="29"/>
      <c r="CZX35" s="30"/>
      <c r="CZY35" s="28"/>
      <c r="CZZ35" s="30"/>
      <c r="DAA35" s="29"/>
      <c r="DAB35" s="28"/>
      <c r="DAC35" s="29"/>
      <c r="DAD35" s="28"/>
      <c r="DAE35" s="28"/>
      <c r="DAF35" s="28"/>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30"/>
      <c r="DBS35" s="28"/>
      <c r="DBT35" s="29"/>
      <c r="DBU35" s="30"/>
      <c r="DBV35" s="29"/>
      <c r="DBW35" s="29"/>
      <c r="DBX35" s="29"/>
      <c r="DBY35" s="28"/>
      <c r="DBZ35" s="29"/>
      <c r="DCA35" s="29"/>
      <c r="DCB35" s="28"/>
      <c r="DCC35" s="29"/>
      <c r="DCD35" s="30"/>
      <c r="DCE35" s="28"/>
      <c r="DCF35" s="29"/>
      <c r="DCG35" s="30"/>
      <c r="DCH35" s="29"/>
      <c r="DCI35" s="28"/>
      <c r="DCJ35" s="29"/>
      <c r="DCK35" s="29"/>
      <c r="DCL35" s="28"/>
      <c r="DCM35" s="29"/>
      <c r="DCN35" s="30"/>
      <c r="DCO35" s="28"/>
      <c r="DCP35" s="29"/>
      <c r="DCQ35" s="30"/>
      <c r="DCR35" s="29"/>
      <c r="DCS35" s="28"/>
      <c r="DCT35" s="29"/>
      <c r="DCU35" s="29"/>
      <c r="DCV35" s="28"/>
      <c r="DCW35" s="29"/>
      <c r="DCX35" s="30"/>
      <c r="DCY35" s="28"/>
      <c r="DCZ35" s="29"/>
      <c r="DDA35" s="30"/>
      <c r="DDB35" s="29"/>
      <c r="DDC35" s="28"/>
      <c r="DDD35" s="29"/>
      <c r="DDE35" s="29"/>
      <c r="DDF35" s="28"/>
      <c r="DDG35" s="29"/>
      <c r="DDH35" s="30"/>
      <c r="DDI35" s="28"/>
      <c r="DDJ35" s="30"/>
      <c r="DDK35" s="29"/>
      <c r="DDL35" s="28"/>
      <c r="DDM35" s="29"/>
      <c r="DDN35" s="28"/>
      <c r="DDO35" s="28"/>
      <c r="DDP35" s="28"/>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30"/>
      <c r="DFC35" s="28"/>
      <c r="DFD35" s="29"/>
      <c r="DFE35" s="30"/>
      <c r="DFF35" s="29"/>
      <c r="DFG35" s="29"/>
      <c r="DFH35" s="29"/>
      <c r="DFI35" s="28"/>
      <c r="DFJ35" s="29"/>
      <c r="DFK35" s="29"/>
      <c r="DFL35" s="28"/>
      <c r="DFM35" s="29"/>
      <c r="DFN35" s="30"/>
      <c r="DFO35" s="28"/>
      <c r="DFP35" s="29"/>
      <c r="DFQ35" s="30"/>
      <c r="DFR35" s="29"/>
      <c r="DFS35" s="28"/>
      <c r="DFT35" s="29"/>
      <c r="DFU35" s="29"/>
      <c r="DFV35" s="28"/>
      <c r="DFW35" s="29"/>
      <c r="DFX35" s="30"/>
      <c r="DFY35" s="28"/>
      <c r="DFZ35" s="29"/>
      <c r="DGA35" s="30"/>
      <c r="DGB35" s="29"/>
      <c r="DGC35" s="28"/>
      <c r="DGD35" s="29"/>
      <c r="DGE35" s="29"/>
      <c r="DGF35" s="28"/>
      <c r="DGG35" s="29"/>
      <c r="DGH35" s="30"/>
      <c r="DGI35" s="28"/>
      <c r="DGJ35" s="29"/>
      <c r="DGK35" s="30"/>
      <c r="DGL35" s="29"/>
      <c r="DGM35" s="28"/>
      <c r="DGN35" s="29"/>
      <c r="DGO35" s="29"/>
      <c r="DGP35" s="28"/>
      <c r="DGQ35" s="29"/>
      <c r="DGR35" s="30"/>
      <c r="DGS35" s="28"/>
      <c r="DGT35" s="30"/>
      <c r="DGU35" s="29"/>
      <c r="DGV35" s="28"/>
      <c r="DGW35" s="29"/>
      <c r="DGX35" s="28"/>
      <c r="DGY35" s="28"/>
      <c r="DGZ35" s="28"/>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30"/>
      <c r="DIM35" s="28"/>
      <c r="DIN35" s="29"/>
      <c r="DIO35" s="30"/>
      <c r="DIP35" s="29"/>
      <c r="DIQ35" s="29"/>
      <c r="DIR35" s="29"/>
      <c r="DIS35" s="28"/>
      <c r="DIT35" s="29"/>
      <c r="DIU35" s="29"/>
      <c r="DIV35" s="28"/>
      <c r="DIW35" s="29"/>
      <c r="DIX35" s="30"/>
      <c r="DIY35" s="28"/>
      <c r="DIZ35" s="29"/>
      <c r="DJA35" s="30"/>
      <c r="DJB35" s="29"/>
      <c r="DJC35" s="28"/>
      <c r="DJD35" s="29"/>
      <c r="DJE35" s="29"/>
      <c r="DJF35" s="28"/>
      <c r="DJG35" s="29"/>
      <c r="DJH35" s="30"/>
      <c r="DJI35" s="28"/>
      <c r="DJJ35" s="29"/>
      <c r="DJK35" s="30"/>
      <c r="DJL35" s="29"/>
      <c r="DJM35" s="28"/>
      <c r="DJN35" s="29"/>
      <c r="DJO35" s="29"/>
      <c r="DJP35" s="28"/>
      <c r="DJQ35" s="29"/>
      <c r="DJR35" s="30"/>
      <c r="DJS35" s="28"/>
      <c r="DJT35" s="29"/>
      <c r="DJU35" s="30"/>
      <c r="DJV35" s="29"/>
      <c r="DJW35" s="28"/>
      <c r="DJX35" s="29"/>
      <c r="DJY35" s="29"/>
      <c r="DJZ35" s="28"/>
      <c r="DKA35" s="29"/>
      <c r="DKB35" s="30"/>
      <c r="DKC35" s="28"/>
      <c r="DKD35" s="30"/>
      <c r="DKE35" s="29"/>
      <c r="DKF35" s="28"/>
      <c r="DKG35" s="29"/>
      <c r="DKH35" s="28"/>
      <c r="DKI35" s="28"/>
      <c r="DKJ35" s="28"/>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30"/>
      <c r="DLW35" s="28"/>
      <c r="DLX35" s="29"/>
      <c r="DLY35" s="30"/>
      <c r="DLZ35" s="29"/>
      <c r="DMA35" s="29"/>
      <c r="DMB35" s="29"/>
      <c r="DMC35" s="28"/>
      <c r="DMD35" s="29"/>
      <c r="DME35" s="29"/>
      <c r="DMF35" s="28"/>
      <c r="DMG35" s="29"/>
      <c r="DMH35" s="30"/>
      <c r="DMI35" s="28"/>
      <c r="DMJ35" s="29"/>
      <c r="DMK35" s="30"/>
      <c r="DML35" s="29"/>
      <c r="DMM35" s="28"/>
      <c r="DMN35" s="29"/>
      <c r="DMO35" s="29"/>
      <c r="DMP35" s="28"/>
      <c r="DMQ35" s="29"/>
      <c r="DMR35" s="30"/>
      <c r="DMS35" s="28"/>
      <c r="DMT35" s="29"/>
      <c r="DMU35" s="30"/>
      <c r="DMV35" s="29"/>
      <c r="DMW35" s="28"/>
      <c r="DMX35" s="29"/>
      <c r="DMY35" s="29"/>
      <c r="DMZ35" s="28"/>
      <c r="DNA35" s="29"/>
      <c r="DNB35" s="30"/>
      <c r="DNC35" s="28"/>
      <c r="DND35" s="29"/>
      <c r="DNE35" s="30"/>
      <c r="DNF35" s="29"/>
      <c r="DNG35" s="28"/>
      <c r="DNH35" s="29"/>
      <c r="DNI35" s="29"/>
      <c r="DNJ35" s="28"/>
      <c r="DNK35" s="29"/>
      <c r="DNL35" s="30"/>
      <c r="DNM35" s="28"/>
      <c r="DNN35" s="30"/>
      <c r="DNO35" s="29"/>
      <c r="DNP35" s="28"/>
      <c r="DNQ35" s="29"/>
      <c r="DNR35" s="28"/>
      <c r="DNS35" s="28"/>
      <c r="DNT35" s="28"/>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30"/>
      <c r="DPG35" s="28"/>
      <c r="DPH35" s="29"/>
      <c r="DPI35" s="30"/>
      <c r="DPJ35" s="29"/>
      <c r="DPK35" s="29"/>
      <c r="DPL35" s="29"/>
      <c r="DPM35" s="28"/>
      <c r="DPN35" s="29"/>
      <c r="DPO35" s="29"/>
      <c r="DPP35" s="28"/>
      <c r="DPQ35" s="29"/>
      <c r="DPR35" s="30"/>
      <c r="DPS35" s="28"/>
      <c r="DPT35" s="29"/>
      <c r="DPU35" s="30"/>
      <c r="DPV35" s="29"/>
      <c r="DPW35" s="28"/>
      <c r="DPX35" s="29"/>
      <c r="DPY35" s="29"/>
      <c r="DPZ35" s="28"/>
      <c r="DQA35" s="29"/>
      <c r="DQB35" s="30"/>
      <c r="DQC35" s="28"/>
      <c r="DQD35" s="29"/>
      <c r="DQE35" s="30"/>
      <c r="DQF35" s="29"/>
      <c r="DQG35" s="28"/>
      <c r="DQH35" s="29"/>
      <c r="DQI35" s="29"/>
      <c r="DQJ35" s="28"/>
      <c r="DQK35" s="29"/>
      <c r="DQL35" s="30"/>
      <c r="DQM35" s="28"/>
      <c r="DQN35" s="29"/>
      <c r="DQO35" s="30"/>
      <c r="DQP35" s="29"/>
      <c r="DQQ35" s="28"/>
      <c r="DQR35" s="29"/>
      <c r="DQS35" s="29"/>
      <c r="DQT35" s="28"/>
      <c r="DQU35" s="29"/>
      <c r="DQV35" s="30"/>
      <c r="DQW35" s="28"/>
      <c r="DQX35" s="30"/>
      <c r="DQY35" s="29"/>
      <c r="DQZ35" s="28"/>
      <c r="DRA35" s="29"/>
      <c r="DRB35" s="28"/>
      <c r="DRC35" s="28"/>
      <c r="DRD35" s="28"/>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30"/>
      <c r="DSQ35" s="28"/>
      <c r="DSR35" s="29"/>
      <c r="DSS35" s="30"/>
      <c r="DST35" s="29"/>
      <c r="DSU35" s="29"/>
      <c r="DSV35" s="29"/>
      <c r="DSW35" s="28"/>
      <c r="DSX35" s="29"/>
      <c r="DSY35" s="29"/>
      <c r="DSZ35" s="28"/>
      <c r="DTA35" s="29"/>
      <c r="DTB35" s="30"/>
      <c r="DTC35" s="28"/>
      <c r="DTD35" s="29"/>
      <c r="DTE35" s="30"/>
      <c r="DTF35" s="29"/>
      <c r="DTG35" s="28"/>
      <c r="DTH35" s="29"/>
      <c r="DTI35" s="29"/>
      <c r="DTJ35" s="28"/>
      <c r="DTK35" s="29"/>
      <c r="DTL35" s="30"/>
      <c r="DTM35" s="28"/>
      <c r="DTN35" s="29"/>
      <c r="DTO35" s="30"/>
      <c r="DTP35" s="29"/>
      <c r="DTQ35" s="28"/>
      <c r="DTR35" s="29"/>
      <c r="DTS35" s="29"/>
      <c r="DTT35" s="28"/>
      <c r="DTU35" s="29"/>
      <c r="DTV35" s="30"/>
      <c r="DTW35" s="28"/>
      <c r="DTX35" s="29"/>
      <c r="DTY35" s="30"/>
      <c r="DTZ35" s="29"/>
      <c r="DUA35" s="28"/>
      <c r="DUB35" s="29"/>
      <c r="DUC35" s="29"/>
      <c r="DUD35" s="28"/>
      <c r="DUE35" s="29"/>
      <c r="DUF35" s="30"/>
      <c r="DUG35" s="28"/>
      <c r="DUH35" s="30"/>
      <c r="DUI35" s="29"/>
      <c r="DUJ35" s="28"/>
      <c r="DUK35" s="29"/>
      <c r="DUL35" s="28"/>
      <c r="DUM35" s="28"/>
      <c r="DUN35" s="28"/>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30"/>
      <c r="DWA35" s="28"/>
      <c r="DWB35" s="29"/>
      <c r="DWC35" s="30"/>
      <c r="DWD35" s="29"/>
      <c r="DWE35" s="29"/>
      <c r="DWF35" s="29"/>
      <c r="DWG35" s="28"/>
      <c r="DWH35" s="29"/>
      <c r="DWI35" s="29"/>
      <c r="DWJ35" s="28"/>
      <c r="DWK35" s="29"/>
      <c r="DWL35" s="30"/>
      <c r="DWM35" s="28"/>
      <c r="DWN35" s="29"/>
      <c r="DWO35" s="30"/>
      <c r="DWP35" s="29"/>
      <c r="DWQ35" s="28"/>
      <c r="DWR35" s="29"/>
      <c r="DWS35" s="29"/>
      <c r="DWT35" s="28"/>
      <c r="DWU35" s="29"/>
      <c r="DWV35" s="30"/>
      <c r="DWW35" s="28"/>
      <c r="DWX35" s="29"/>
      <c r="DWY35" s="30"/>
      <c r="DWZ35" s="29"/>
      <c r="DXA35" s="28"/>
      <c r="DXB35" s="29"/>
      <c r="DXC35" s="29"/>
      <c r="DXD35" s="28"/>
      <c r="DXE35" s="29"/>
      <c r="DXF35" s="30"/>
      <c r="DXG35" s="28"/>
      <c r="DXH35" s="29"/>
      <c r="DXI35" s="30"/>
      <c r="DXJ35" s="29"/>
      <c r="DXK35" s="28"/>
      <c r="DXL35" s="29"/>
      <c r="DXM35" s="29"/>
      <c r="DXN35" s="28"/>
      <c r="DXO35" s="29"/>
      <c r="DXP35" s="30"/>
      <c r="DXQ35" s="28"/>
      <c r="DXR35" s="30"/>
      <c r="DXS35" s="29"/>
      <c r="DXT35" s="28"/>
      <c r="DXU35" s="29"/>
      <c r="DXV35" s="28"/>
      <c r="DXW35" s="28"/>
      <c r="DXX35" s="28"/>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30"/>
      <c r="DZK35" s="28"/>
      <c r="DZL35" s="29"/>
      <c r="DZM35" s="30"/>
      <c r="DZN35" s="29"/>
      <c r="DZO35" s="29"/>
      <c r="DZP35" s="29"/>
      <c r="DZQ35" s="28"/>
      <c r="DZR35" s="29"/>
      <c r="DZS35" s="29"/>
      <c r="DZT35" s="28"/>
      <c r="DZU35" s="29"/>
      <c r="DZV35" s="30"/>
      <c r="DZW35" s="28"/>
      <c r="DZX35" s="29"/>
      <c r="DZY35" s="30"/>
      <c r="DZZ35" s="29"/>
      <c r="EAA35" s="28"/>
      <c r="EAB35" s="29"/>
      <c r="EAC35" s="29"/>
      <c r="EAD35" s="28"/>
      <c r="EAE35" s="29"/>
      <c r="EAF35" s="30"/>
      <c r="EAG35" s="28"/>
      <c r="EAH35" s="29"/>
      <c r="EAI35" s="30"/>
      <c r="EAJ35" s="29"/>
      <c r="EAK35" s="28"/>
      <c r="EAL35" s="29"/>
      <c r="EAM35" s="29"/>
      <c r="EAN35" s="28"/>
      <c r="EAO35" s="29"/>
      <c r="EAP35" s="30"/>
      <c r="EAQ35" s="28"/>
      <c r="EAR35" s="29"/>
      <c r="EAS35" s="30"/>
      <c r="EAT35" s="29"/>
      <c r="EAU35" s="28"/>
      <c r="EAV35" s="29"/>
      <c r="EAW35" s="29"/>
      <c r="EAX35" s="28"/>
      <c r="EAY35" s="29"/>
      <c r="EAZ35" s="30"/>
      <c r="EBA35" s="28"/>
      <c r="EBB35" s="30"/>
      <c r="EBC35" s="29"/>
      <c r="EBD35" s="28"/>
      <c r="EBE35" s="29"/>
      <c r="EBF35" s="28"/>
      <c r="EBG35" s="28"/>
      <c r="EBH35" s="28"/>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30"/>
      <c r="ECU35" s="28"/>
      <c r="ECV35" s="29"/>
      <c r="ECW35" s="30"/>
      <c r="ECX35" s="29"/>
      <c r="ECY35" s="29"/>
      <c r="ECZ35" s="29"/>
      <c r="EDA35" s="28"/>
      <c r="EDB35" s="29"/>
      <c r="EDC35" s="29"/>
      <c r="EDD35" s="28"/>
      <c r="EDE35" s="29"/>
      <c r="EDF35" s="30"/>
      <c r="EDG35" s="28"/>
      <c r="EDH35" s="29"/>
      <c r="EDI35" s="30"/>
      <c r="EDJ35" s="29"/>
      <c r="EDK35" s="28"/>
      <c r="EDL35" s="29"/>
      <c r="EDM35" s="29"/>
      <c r="EDN35" s="28"/>
      <c r="EDO35" s="29"/>
      <c r="EDP35" s="30"/>
      <c r="EDQ35" s="28"/>
      <c r="EDR35" s="29"/>
      <c r="EDS35" s="30"/>
      <c r="EDT35" s="29"/>
      <c r="EDU35" s="28"/>
      <c r="EDV35" s="29"/>
      <c r="EDW35" s="29"/>
      <c r="EDX35" s="28"/>
      <c r="EDY35" s="29"/>
      <c r="EDZ35" s="30"/>
      <c r="EEA35" s="28"/>
      <c r="EEB35" s="29"/>
      <c r="EEC35" s="30"/>
      <c r="EED35" s="29"/>
      <c r="EEE35" s="28"/>
      <c r="EEF35" s="29"/>
      <c r="EEG35" s="29"/>
      <c r="EEH35" s="28"/>
      <c r="EEI35" s="29"/>
      <c r="EEJ35" s="30"/>
      <c r="EEK35" s="28"/>
      <c r="EEL35" s="30"/>
      <c r="EEM35" s="29"/>
      <c r="EEN35" s="28"/>
      <c r="EEO35" s="29"/>
      <c r="EEP35" s="28"/>
      <c r="EEQ35" s="28"/>
      <c r="EER35" s="28"/>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30"/>
      <c r="EGE35" s="28"/>
      <c r="EGF35" s="29"/>
      <c r="EGG35" s="30"/>
      <c r="EGH35" s="29"/>
      <c r="EGI35" s="29"/>
      <c r="EGJ35" s="29"/>
      <c r="EGK35" s="28"/>
      <c r="EGL35" s="29"/>
      <c r="EGM35" s="29"/>
      <c r="EGN35" s="28"/>
      <c r="EGO35" s="29"/>
      <c r="EGP35" s="30"/>
      <c r="EGQ35" s="28"/>
      <c r="EGR35" s="29"/>
      <c r="EGS35" s="30"/>
      <c r="EGT35" s="29"/>
      <c r="EGU35" s="28"/>
      <c r="EGV35" s="29"/>
      <c r="EGW35" s="29"/>
      <c r="EGX35" s="28"/>
      <c r="EGY35" s="29"/>
      <c r="EGZ35" s="30"/>
      <c r="EHA35" s="28"/>
      <c r="EHB35" s="29"/>
      <c r="EHC35" s="30"/>
      <c r="EHD35" s="29"/>
      <c r="EHE35" s="28"/>
      <c r="EHF35" s="29"/>
      <c r="EHG35" s="29"/>
      <c r="EHH35" s="28"/>
      <c r="EHI35" s="29"/>
      <c r="EHJ35" s="30"/>
      <c r="EHK35" s="28"/>
      <c r="EHL35" s="29"/>
      <c r="EHM35" s="30"/>
      <c r="EHN35" s="29"/>
      <c r="EHO35" s="28"/>
      <c r="EHP35" s="29"/>
      <c r="EHQ35" s="29"/>
      <c r="EHR35" s="28"/>
      <c r="EHS35" s="29"/>
      <c r="EHT35" s="30"/>
      <c r="EHU35" s="28"/>
      <c r="EHV35" s="30"/>
      <c r="EHW35" s="29"/>
      <c r="EHX35" s="28"/>
      <c r="EHY35" s="29"/>
      <c r="EHZ35" s="28"/>
      <c r="EIA35" s="28"/>
      <c r="EIB35" s="28"/>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30"/>
      <c r="EJO35" s="28"/>
      <c r="EJP35" s="29"/>
      <c r="EJQ35" s="30"/>
      <c r="EJR35" s="29"/>
      <c r="EJS35" s="29"/>
      <c r="EJT35" s="29"/>
      <c r="EJU35" s="28"/>
      <c r="EJV35" s="29"/>
      <c r="EJW35" s="29"/>
      <c r="EJX35" s="28"/>
      <c r="EJY35" s="29"/>
      <c r="EJZ35" s="30"/>
      <c r="EKA35" s="28"/>
      <c r="EKB35" s="29"/>
      <c r="EKC35" s="30"/>
      <c r="EKD35" s="29"/>
      <c r="EKE35" s="28"/>
      <c r="EKF35" s="29"/>
      <c r="EKG35" s="29"/>
      <c r="EKH35" s="28"/>
      <c r="EKI35" s="29"/>
      <c r="EKJ35" s="30"/>
      <c r="EKK35" s="28"/>
      <c r="EKL35" s="29"/>
      <c r="EKM35" s="30"/>
      <c r="EKN35" s="29"/>
      <c r="EKO35" s="28"/>
      <c r="EKP35" s="29"/>
      <c r="EKQ35" s="29"/>
      <c r="EKR35" s="28"/>
      <c r="EKS35" s="29"/>
      <c r="EKT35" s="30"/>
      <c r="EKU35" s="28"/>
      <c r="EKV35" s="29"/>
      <c r="EKW35" s="30"/>
      <c r="EKX35" s="29"/>
      <c r="EKY35" s="28"/>
      <c r="EKZ35" s="29"/>
      <c r="ELA35" s="29"/>
      <c r="ELB35" s="28"/>
      <c r="ELC35" s="29"/>
      <c r="ELD35" s="30"/>
      <c r="ELE35" s="28"/>
      <c r="ELF35" s="30"/>
      <c r="ELG35" s="29"/>
      <c r="ELH35" s="28"/>
      <c r="ELI35" s="29"/>
      <c r="ELJ35" s="28"/>
      <c r="ELK35" s="28"/>
      <c r="ELL35" s="28"/>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30"/>
      <c r="EMY35" s="28"/>
      <c r="EMZ35" s="29"/>
      <c r="ENA35" s="30"/>
      <c r="ENB35" s="29"/>
      <c r="ENC35" s="29"/>
      <c r="END35" s="29"/>
      <c r="ENE35" s="28"/>
      <c r="ENF35" s="29"/>
      <c r="ENG35" s="29"/>
      <c r="ENH35" s="28"/>
      <c r="ENI35" s="29"/>
      <c r="ENJ35" s="30"/>
      <c r="ENK35" s="28"/>
      <c r="ENL35" s="29"/>
      <c r="ENM35" s="30"/>
      <c r="ENN35" s="29"/>
      <c r="ENO35" s="28"/>
      <c r="ENP35" s="29"/>
      <c r="ENQ35" s="29"/>
      <c r="ENR35" s="28"/>
      <c r="ENS35" s="29"/>
      <c r="ENT35" s="30"/>
      <c r="ENU35" s="28"/>
      <c r="ENV35" s="29"/>
      <c r="ENW35" s="30"/>
      <c r="ENX35" s="29"/>
      <c r="ENY35" s="28"/>
      <c r="ENZ35" s="29"/>
      <c r="EOA35" s="29"/>
      <c r="EOB35" s="28"/>
      <c r="EOC35" s="29"/>
      <c r="EOD35" s="30"/>
      <c r="EOE35" s="28"/>
      <c r="EOF35" s="29"/>
      <c r="EOG35" s="30"/>
      <c r="EOH35" s="29"/>
      <c r="EOI35" s="28"/>
      <c r="EOJ35" s="29"/>
      <c r="EOK35" s="29"/>
      <c r="EOL35" s="28"/>
      <c r="EOM35" s="29"/>
      <c r="EON35" s="30" t="s">
        <v>5580</v>
      </c>
      <c r="EOO35" s="28" t="str">
        <f t="shared" si="75"/>
        <v xml:space="preserve"> </v>
      </c>
    </row>
    <row r="36" spans="1:3785" x14ac:dyDescent="0.3">
      <c r="A36" s="55" t="s">
        <v>212</v>
      </c>
      <c r="B36" s="58"/>
      <c r="C36" s="57"/>
      <c r="D36" s="56" t="str">
        <f t="shared" si="61"/>
        <v xml:space="preserve"> </v>
      </c>
      <c r="E36" s="57"/>
      <c r="F36" s="56"/>
      <c r="G36" s="56"/>
      <c r="H36" s="56"/>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8"/>
      <c r="AU36" s="56"/>
      <c r="AV36" s="57"/>
      <c r="AW36" s="57"/>
      <c r="AX36" s="57"/>
      <c r="AY36" s="57"/>
      <c r="AZ36" s="57"/>
      <c r="BA36" s="56"/>
      <c r="BB36" s="57"/>
      <c r="BC36" s="57"/>
      <c r="BD36" s="56"/>
      <c r="BE36" s="57"/>
      <c r="BF36" s="58"/>
      <c r="BG36" s="56"/>
      <c r="BH36" s="57"/>
      <c r="BI36" s="57"/>
      <c r="BJ36" s="57"/>
      <c r="BK36" s="56"/>
      <c r="BL36" s="57"/>
      <c r="BM36" s="57"/>
      <c r="BN36" s="56"/>
      <c r="BO36" s="57"/>
      <c r="BP36" s="58"/>
      <c r="BQ36" s="56"/>
      <c r="BR36" s="57"/>
      <c r="BS36" s="57"/>
      <c r="BT36" s="57"/>
      <c r="BU36" s="56"/>
      <c r="BV36" s="57"/>
      <c r="BW36" s="57"/>
      <c r="BX36" s="56"/>
      <c r="BY36" s="57"/>
      <c r="BZ36" s="58"/>
      <c r="CA36" s="56"/>
      <c r="CB36" s="57"/>
      <c r="CC36" s="57"/>
      <c r="CD36" s="57"/>
      <c r="CE36" s="56"/>
      <c r="CF36" s="57"/>
      <c r="CG36" s="57"/>
      <c r="CH36" s="56"/>
      <c r="CI36" s="57"/>
      <c r="CJ36" s="58"/>
      <c r="CK36" s="56"/>
      <c r="CL36" s="57"/>
      <c r="CM36" s="57"/>
      <c r="CN36" s="57"/>
      <c r="CO36" s="56"/>
      <c r="CP36" s="57"/>
      <c r="CQ36" s="57"/>
      <c r="CR36" s="56"/>
      <c r="CS36" s="57"/>
      <c r="CT36" s="58"/>
      <c r="CU36" s="56"/>
      <c r="CV36" s="57"/>
      <c r="CW36" s="57"/>
      <c r="CX36" s="57"/>
      <c r="CY36" s="56"/>
      <c r="CZ36" s="57"/>
      <c r="DA36" s="57"/>
      <c r="DB36" s="56"/>
      <c r="DC36" s="57"/>
      <c r="DD36" s="58"/>
      <c r="DE36" s="56"/>
      <c r="DF36" s="57"/>
      <c r="DG36" s="57"/>
      <c r="DH36" s="57"/>
      <c r="DI36" s="56"/>
      <c r="DJ36" s="57"/>
      <c r="DK36" s="57"/>
      <c r="DL36" s="56"/>
      <c r="DM36" s="57"/>
      <c r="DN36" s="58"/>
      <c r="DO36" s="56"/>
      <c r="DP36" s="57"/>
      <c r="DQ36" s="57"/>
      <c r="DR36" s="57"/>
      <c r="DS36" s="56"/>
      <c r="DT36" s="57"/>
      <c r="DU36" s="57"/>
      <c r="DV36" s="56"/>
      <c r="DW36" s="57"/>
      <c r="DX36" s="58"/>
      <c r="DY36" s="56"/>
      <c r="DZ36" s="57"/>
      <c r="EA36" s="57"/>
      <c r="EB36" s="57"/>
      <c r="EC36" s="56"/>
      <c r="ED36" s="57"/>
      <c r="EE36" s="56"/>
      <c r="EF36" s="56"/>
      <c r="EG36" s="57"/>
      <c r="EH36" s="58"/>
      <c r="EI36" s="56"/>
      <c r="EJ36" s="57"/>
      <c r="EK36" s="57"/>
      <c r="EL36" s="57"/>
      <c r="EM36" s="56"/>
      <c r="EN36" s="57"/>
      <c r="EO36" s="57"/>
      <c r="EP36" s="56"/>
      <c r="EQ36" s="57"/>
      <c r="ER36" s="58"/>
      <c r="ES36" s="56"/>
      <c r="ET36" s="57"/>
      <c r="EU36" s="57"/>
      <c r="EV36" s="57"/>
      <c r="EW36" s="56"/>
      <c r="EX36" s="57"/>
      <c r="EY36" s="57"/>
      <c r="EZ36" s="56"/>
      <c r="FA36" s="57"/>
      <c r="FB36" s="58"/>
      <c r="FC36" s="56"/>
      <c r="FD36" s="57"/>
      <c r="FE36" s="57"/>
      <c r="FF36" s="57"/>
      <c r="FG36" s="56"/>
      <c r="FH36" s="57"/>
      <c r="FI36" s="57"/>
      <c r="FJ36" s="56"/>
      <c r="FK36" s="57"/>
      <c r="FL36" s="58"/>
      <c r="FM36" s="56"/>
      <c r="FN36" s="57"/>
      <c r="FO36" s="57"/>
      <c r="FP36" s="57"/>
      <c r="FQ36" s="56"/>
      <c r="FR36" s="57"/>
      <c r="FS36" s="57"/>
      <c r="FT36" s="56"/>
      <c r="FU36" s="57"/>
      <c r="FV36" s="58"/>
      <c r="FW36" s="56"/>
      <c r="FX36" s="57"/>
      <c r="FY36" s="57"/>
      <c r="FZ36" s="57"/>
      <c r="GA36" s="56"/>
      <c r="GB36" s="57"/>
      <c r="GC36" s="57"/>
      <c r="GD36" s="56"/>
      <c r="GE36" s="57"/>
      <c r="GF36" s="58"/>
      <c r="GG36" s="56"/>
      <c r="GH36" s="57"/>
      <c r="GI36" s="57"/>
      <c r="GJ36" s="57"/>
      <c r="GK36" s="56"/>
      <c r="GL36" s="57"/>
      <c r="GM36" s="57"/>
      <c r="GN36" s="56"/>
      <c r="GO36" s="57"/>
      <c r="GP36" s="58"/>
      <c r="GQ36" s="56"/>
      <c r="GR36" s="57"/>
      <c r="GS36" s="57"/>
      <c r="GT36" s="57"/>
      <c r="GU36" s="56"/>
      <c r="GV36" s="57"/>
      <c r="GW36" s="57"/>
      <c r="GX36" s="56"/>
      <c r="GY36" s="57"/>
      <c r="GZ36" s="58"/>
      <c r="HA36" s="56"/>
      <c r="HB36" s="57"/>
      <c r="HC36" s="57"/>
      <c r="HD36" s="57"/>
      <c r="HE36" s="56"/>
      <c r="HF36" s="57"/>
      <c r="HG36" s="57"/>
      <c r="HH36" s="56"/>
      <c r="HI36" s="57"/>
      <c r="HJ36" s="58"/>
      <c r="HK36" s="56"/>
      <c r="HL36" s="57"/>
      <c r="HM36" s="57"/>
      <c r="HN36" s="57"/>
      <c r="HO36" s="56"/>
      <c r="HP36" s="57"/>
      <c r="HQ36" s="57"/>
      <c r="HR36" s="56"/>
      <c r="HS36" s="57"/>
      <c r="HT36" s="58"/>
      <c r="HU36" s="56"/>
      <c r="HV36" s="57"/>
      <c r="HW36" s="57"/>
      <c r="HX36" s="57"/>
      <c r="HY36" s="56"/>
      <c r="HZ36" s="57"/>
      <c r="IA36" s="57"/>
      <c r="IB36" s="56"/>
      <c r="IC36" s="57"/>
      <c r="ID36" s="58"/>
      <c r="IE36" s="56"/>
      <c r="IF36" s="57"/>
      <c r="IG36" s="57"/>
      <c r="IH36" s="57"/>
      <c r="II36" s="56"/>
      <c r="IJ36" s="57"/>
      <c r="IK36" s="57"/>
      <c r="IL36" s="56"/>
      <c r="IM36" s="57"/>
      <c r="IN36" s="58"/>
      <c r="IO36" s="56"/>
      <c r="IP36" s="57"/>
      <c r="IQ36" s="57"/>
      <c r="IR36" s="57"/>
      <c r="IS36" s="56"/>
      <c r="IT36" s="57"/>
      <c r="IU36" s="57"/>
      <c r="IV36" s="56"/>
      <c r="IW36" s="57"/>
      <c r="IX36" s="58"/>
      <c r="IY36" s="56"/>
      <c r="IZ36" s="57"/>
      <c r="JA36" s="57"/>
      <c r="JB36" s="57"/>
      <c r="JC36" s="56"/>
      <c r="JD36" s="57"/>
      <c r="JE36" s="57"/>
      <c r="JF36" s="56"/>
      <c r="JG36" s="57"/>
      <c r="JH36" s="58"/>
      <c r="JI36" s="56"/>
      <c r="JJ36" s="57"/>
      <c r="JK36" s="57"/>
      <c r="JL36" s="57"/>
      <c r="JM36" s="56"/>
      <c r="JN36" s="57"/>
      <c r="JO36" s="57"/>
      <c r="JP36" s="56"/>
      <c r="JQ36" s="57"/>
      <c r="JR36" s="58"/>
      <c r="JS36" s="56"/>
      <c r="JT36" s="57"/>
      <c r="JU36" s="57"/>
      <c r="JV36" s="57"/>
      <c r="JW36" s="56"/>
      <c r="JX36" s="57"/>
      <c r="JY36" s="57"/>
      <c r="JZ36" s="56"/>
      <c r="KA36" s="57"/>
      <c r="KB36" s="58"/>
      <c r="KC36" s="56"/>
      <c r="KD36" s="57"/>
      <c r="KE36" s="57"/>
      <c r="KF36" s="57"/>
      <c r="KG36" s="56"/>
      <c r="KH36" s="57"/>
      <c r="KI36" s="57"/>
      <c r="KJ36" s="56"/>
      <c r="KK36" s="57"/>
      <c r="KL36" s="58"/>
      <c r="KM36" s="56"/>
      <c r="KN36" s="57"/>
      <c r="KO36" s="57"/>
      <c r="KP36" s="57"/>
      <c r="KQ36" s="56"/>
      <c r="KR36" s="57"/>
      <c r="KS36" s="57"/>
      <c r="KT36" s="56"/>
      <c r="KU36" s="57"/>
      <c r="KV36" s="58"/>
      <c r="KW36" s="56"/>
      <c r="KX36" s="57"/>
      <c r="KY36" s="57"/>
      <c r="KZ36" s="57"/>
      <c r="LA36" s="56"/>
      <c r="LB36" s="57"/>
      <c r="LC36" s="57"/>
      <c r="LD36" s="56"/>
      <c r="LE36" s="57"/>
      <c r="LF36" s="58"/>
      <c r="LG36" s="56"/>
      <c r="LH36" s="57"/>
      <c r="LI36" s="57"/>
      <c r="LJ36" s="57"/>
      <c r="LK36" s="56"/>
      <c r="LL36" s="57"/>
      <c r="LM36" s="57"/>
      <c r="LN36" s="56"/>
      <c r="LO36" s="57"/>
      <c r="LP36" s="58"/>
      <c r="LQ36" s="56"/>
      <c r="LR36" s="57"/>
      <c r="LS36" s="57"/>
      <c r="LT36" s="57"/>
      <c r="LU36" s="56"/>
      <c r="LV36" s="57"/>
      <c r="LW36" s="57"/>
      <c r="LX36" s="56"/>
      <c r="LY36" s="57"/>
      <c r="LZ36" s="58"/>
      <c r="MA36" s="56"/>
      <c r="MB36" s="57"/>
      <c r="MC36" s="57"/>
      <c r="MD36" s="57"/>
      <c r="ME36" s="56"/>
      <c r="MF36" s="57"/>
      <c r="MG36" s="57"/>
      <c r="MH36" s="56"/>
      <c r="MI36" s="57"/>
      <c r="MJ36" s="58"/>
      <c r="MK36" s="56"/>
      <c r="ML36" s="57"/>
      <c r="MM36" s="57"/>
      <c r="MN36" s="57"/>
      <c r="MO36" s="56"/>
      <c r="MP36" s="57"/>
      <c r="MQ36" s="57"/>
      <c r="MR36" s="56"/>
      <c r="MS36" s="57"/>
      <c r="MT36" s="58"/>
      <c r="MU36" s="56"/>
      <c r="MV36" s="57"/>
      <c r="MW36" s="57"/>
      <c r="MX36" s="57"/>
      <c r="MY36" s="56"/>
      <c r="MZ36" s="57"/>
      <c r="NA36" s="57"/>
      <c r="NB36" s="56"/>
      <c r="NC36" s="57"/>
      <c r="ND36" s="58"/>
      <c r="NE36" s="56"/>
      <c r="NF36" s="57"/>
      <c r="NG36" s="57"/>
      <c r="NH36" s="57"/>
      <c r="NI36" s="56"/>
      <c r="NJ36" s="57"/>
      <c r="NK36" s="57"/>
      <c r="NL36" s="56"/>
      <c r="NM36" s="57"/>
      <c r="NN36" s="58"/>
      <c r="NO36" s="56"/>
      <c r="NP36" s="57"/>
      <c r="NQ36" s="57"/>
      <c r="NR36" s="57"/>
      <c r="NS36" s="56"/>
      <c r="NT36" s="57"/>
      <c r="NU36" s="57"/>
      <c r="NV36" s="56"/>
      <c r="NW36" s="57"/>
      <c r="NX36" s="58"/>
      <c r="NY36" s="56"/>
      <c r="NZ36" s="57"/>
      <c r="OA36" s="57"/>
      <c r="OB36" s="57"/>
      <c r="OC36" s="56"/>
      <c r="OD36" s="57"/>
      <c r="OE36" s="57"/>
      <c r="OF36" s="58"/>
      <c r="OG36" s="58"/>
      <c r="OH36" s="58"/>
      <c r="OI36" s="56"/>
      <c r="OJ36" s="58"/>
      <c r="OK36" s="58"/>
      <c r="OL36" s="58"/>
      <c r="OM36" s="58"/>
      <c r="ON36" s="58"/>
      <c r="OO36" s="58"/>
      <c r="OP36" s="56"/>
      <c r="OQ36" s="57"/>
      <c r="OR36" s="58"/>
      <c r="OS36" s="56"/>
      <c r="OT36" s="57"/>
      <c r="OU36" s="57"/>
      <c r="OV36" s="57"/>
      <c r="OW36" s="56"/>
      <c r="OX36" s="57"/>
      <c r="OY36" s="57"/>
      <c r="OZ36" s="56"/>
      <c r="PA36" s="57"/>
      <c r="PB36" s="58"/>
      <c r="PC36" s="56"/>
      <c r="PD36" s="57"/>
      <c r="PE36" s="57"/>
      <c r="PF36" s="57"/>
      <c r="PG36" s="56"/>
      <c r="PH36" s="57"/>
      <c r="PI36" s="57"/>
      <c r="PJ36" s="56"/>
      <c r="PK36" s="57"/>
      <c r="PL36" s="58"/>
      <c r="PM36" s="56"/>
      <c r="PN36" s="57"/>
      <c r="PO36" s="57"/>
      <c r="PP36" s="57"/>
      <c r="PQ36" s="56"/>
      <c r="PR36" s="57"/>
      <c r="PS36" s="57"/>
      <c r="PT36" s="56"/>
      <c r="PU36" s="57"/>
      <c r="PV36" s="58"/>
      <c r="PW36" s="56"/>
      <c r="PX36" s="57"/>
      <c r="PY36" s="57"/>
      <c r="PZ36" s="57"/>
      <c r="QA36" s="56"/>
      <c r="QB36" s="57"/>
      <c r="QC36" s="57"/>
      <c r="QD36" s="56"/>
      <c r="QE36" s="57"/>
      <c r="QF36" s="58"/>
      <c r="QG36" s="56"/>
      <c r="QH36" s="57"/>
      <c r="QI36" s="57"/>
      <c r="QJ36" s="57"/>
      <c r="QK36" s="56"/>
      <c r="QL36" s="57"/>
      <c r="QM36" s="57"/>
      <c r="QN36" s="56"/>
      <c r="QO36" s="57"/>
      <c r="QP36" s="58"/>
      <c r="QQ36" s="56"/>
      <c r="QR36" s="57"/>
      <c r="QS36" s="57"/>
      <c r="QT36" s="57"/>
      <c r="QU36" s="56"/>
      <c r="QV36" s="57"/>
      <c r="QW36" s="57"/>
      <c r="QX36" s="56"/>
      <c r="QY36" s="57"/>
      <c r="QZ36" s="58"/>
      <c r="RA36" s="56"/>
      <c r="RB36" s="57"/>
      <c r="RC36" s="57"/>
      <c r="RD36" s="57"/>
      <c r="RE36" s="56"/>
      <c r="RF36" s="57"/>
      <c r="RG36" s="57"/>
      <c r="RH36" s="56"/>
      <c r="RI36" s="57"/>
      <c r="RJ36" s="58"/>
      <c r="RK36" s="56"/>
      <c r="RL36" s="57"/>
      <c r="RM36" s="57"/>
      <c r="RN36" s="57"/>
      <c r="RO36" s="56"/>
      <c r="RP36" s="57"/>
      <c r="RQ36" s="57"/>
      <c r="RR36" s="56"/>
      <c r="RS36" s="57"/>
      <c r="RT36" s="58"/>
      <c r="RU36" s="56"/>
      <c r="RV36" s="57"/>
      <c r="RW36" s="57"/>
      <c r="RX36" s="57"/>
      <c r="RY36" s="56"/>
      <c r="RZ36" s="57"/>
      <c r="SA36" s="57"/>
      <c r="SB36" s="56"/>
      <c r="SC36" s="57"/>
      <c r="SD36" s="58"/>
      <c r="SE36" s="56"/>
      <c r="SF36" s="57"/>
      <c r="SG36" s="57"/>
      <c r="SH36" s="57"/>
      <c r="SI36" s="56"/>
      <c r="SJ36" s="57"/>
      <c r="SK36" s="57"/>
      <c r="SL36" s="56"/>
      <c r="SM36" s="57"/>
      <c r="SN36" s="58"/>
      <c r="SO36" s="56"/>
      <c r="SP36" s="57"/>
      <c r="SQ36" s="57"/>
      <c r="SR36" s="57"/>
      <c r="SS36" s="56"/>
      <c r="ST36" s="57"/>
      <c r="SU36" s="57"/>
      <c r="SV36" s="56"/>
      <c r="SW36" s="57"/>
      <c r="SX36" s="58"/>
      <c r="SY36" s="56"/>
      <c r="SZ36" s="57"/>
      <c r="TA36" s="57"/>
      <c r="TB36" s="57"/>
      <c r="TC36" s="56"/>
      <c r="TD36" s="57"/>
      <c r="TE36" s="57"/>
      <c r="TF36" s="56"/>
      <c r="TG36" s="57"/>
      <c r="TH36" s="58"/>
      <c r="TI36" s="56"/>
      <c r="TJ36" s="57"/>
      <c r="TK36" s="57"/>
      <c r="TL36" s="57"/>
      <c r="TM36" s="56"/>
      <c r="TN36" s="57"/>
      <c r="TO36" s="57"/>
      <c r="TP36" s="56"/>
      <c r="TQ36" s="57"/>
      <c r="TR36" s="58"/>
      <c r="TS36" s="56"/>
      <c r="TT36" s="57"/>
      <c r="TU36" s="57"/>
      <c r="TV36" s="57"/>
      <c r="TW36" s="56"/>
      <c r="TX36" s="57"/>
      <c r="TY36" s="57"/>
      <c r="TZ36" s="56"/>
      <c r="UA36" s="57"/>
      <c r="UB36" s="58"/>
      <c r="UC36" s="56"/>
      <c r="UD36" s="57"/>
      <c r="UE36" s="57"/>
      <c r="UF36" s="57"/>
      <c r="UG36" s="56"/>
      <c r="UH36" s="57"/>
      <c r="UI36" s="57"/>
      <c r="UJ36" s="56"/>
      <c r="UK36" s="57"/>
      <c r="UL36" s="58"/>
      <c r="UM36" s="56"/>
      <c r="UN36" s="57"/>
      <c r="UO36" s="57"/>
      <c r="UP36" s="57"/>
      <c r="UQ36" s="56"/>
      <c r="UR36" s="57"/>
      <c r="US36" s="57"/>
      <c r="UT36" s="56"/>
      <c r="UU36" s="57"/>
      <c r="UV36" s="58"/>
      <c r="UW36" s="56"/>
      <c r="UX36" s="57"/>
      <c r="UY36" s="57"/>
      <c r="UZ36" s="57"/>
      <c r="VA36" s="56"/>
      <c r="VB36" s="57"/>
      <c r="VC36" s="57"/>
      <c r="VD36" s="56"/>
      <c r="VE36" s="57"/>
      <c r="VF36" s="58"/>
      <c r="VG36" s="56"/>
      <c r="VH36" s="57"/>
      <c r="VI36" s="57"/>
      <c r="VJ36" s="57"/>
      <c r="VK36" s="56"/>
      <c r="VL36" s="57"/>
      <c r="VM36" s="57"/>
      <c r="VN36" s="56"/>
      <c r="VO36" s="57"/>
      <c r="VP36" s="58"/>
      <c r="VQ36" s="56"/>
      <c r="VR36" s="57"/>
      <c r="VS36" s="57"/>
      <c r="VT36" s="57"/>
      <c r="VU36" s="56"/>
      <c r="VV36" s="57"/>
      <c r="VW36" s="57"/>
      <c r="VX36" s="56"/>
      <c r="VY36" s="57"/>
      <c r="VZ36" s="58"/>
      <c r="WA36" s="56"/>
      <c r="WB36" s="57"/>
      <c r="WC36" s="57"/>
      <c r="WD36" s="57"/>
      <c r="WE36" s="56"/>
      <c r="WF36" s="57"/>
      <c r="WG36" s="57"/>
      <c r="WH36" s="56"/>
      <c r="WI36" s="57"/>
      <c r="WJ36" s="58"/>
      <c r="WK36" s="56"/>
      <c r="WL36" s="57"/>
      <c r="WM36" s="57"/>
      <c r="WN36" s="57"/>
      <c r="WO36" s="56"/>
      <c r="WP36" s="57"/>
      <c r="WQ36" s="57"/>
      <c r="WR36" s="56"/>
      <c r="WS36" s="57"/>
      <c r="WT36" s="58"/>
      <c r="WU36" s="56"/>
      <c r="WV36" s="57"/>
      <c r="WW36" s="57"/>
      <c r="WX36" s="57"/>
      <c r="WY36" s="56"/>
      <c r="WZ36" s="57"/>
      <c r="XA36" s="57"/>
      <c r="XB36" s="56"/>
      <c r="XC36" s="57"/>
      <c r="XD36" s="58"/>
      <c r="XE36" s="56"/>
      <c r="XF36" s="57"/>
      <c r="XG36" s="57"/>
      <c r="XH36" s="57"/>
      <c r="XI36" s="56"/>
      <c r="XJ36" s="57"/>
      <c r="XK36" s="57"/>
      <c r="XL36" s="56"/>
      <c r="XM36" s="57"/>
      <c r="XN36" s="58"/>
      <c r="XO36" s="56"/>
      <c r="XP36" s="57"/>
      <c r="XQ36" s="57"/>
      <c r="XR36" s="57"/>
      <c r="XS36" s="56"/>
      <c r="XT36" s="57"/>
      <c r="XU36" s="57"/>
      <c r="XV36" s="56"/>
      <c r="XW36" s="57"/>
      <c r="XX36" s="58"/>
      <c r="XY36" s="56"/>
      <c r="XZ36" s="57"/>
      <c r="YA36" s="57"/>
      <c r="YB36" s="57"/>
      <c r="YC36" s="56"/>
      <c r="YD36" s="57"/>
      <c r="YE36" s="57"/>
      <c r="YF36" s="56"/>
      <c r="YG36" s="57"/>
      <c r="YH36" s="58"/>
      <c r="YI36" s="56"/>
      <c r="YJ36" s="57"/>
      <c r="YK36" s="57"/>
      <c r="YL36" s="57"/>
      <c r="YM36" s="56"/>
      <c r="YN36" s="57"/>
      <c r="YO36" s="57"/>
      <c r="YP36" s="56"/>
      <c r="YQ36" s="57"/>
      <c r="YR36" s="58"/>
      <c r="YS36" s="56"/>
      <c r="YT36" s="57"/>
      <c r="YU36" s="57"/>
      <c r="YV36" s="57"/>
      <c r="YW36" s="56"/>
      <c r="YX36" s="57"/>
      <c r="YY36" s="57"/>
      <c r="YZ36" s="56"/>
      <c r="ZA36" s="57"/>
      <c r="ZB36" s="58"/>
      <c r="ZC36" s="56"/>
      <c r="ZD36" s="57"/>
      <c r="ZE36" s="57"/>
      <c r="ZF36" s="57"/>
      <c r="ZG36" s="56"/>
      <c r="ZH36" s="57"/>
      <c r="ZI36" s="57"/>
      <c r="ZJ36" s="56"/>
      <c r="ZK36" s="57"/>
      <c r="ZL36" s="58"/>
      <c r="ZM36" s="56"/>
      <c r="ZN36" s="57"/>
      <c r="ZO36" s="57"/>
      <c r="ZP36" s="57"/>
      <c r="ZQ36" s="56"/>
      <c r="ZR36" s="57"/>
      <c r="ZS36" s="57"/>
      <c r="ZT36" s="56"/>
      <c r="ZU36" s="57"/>
      <c r="ZV36" s="58"/>
      <c r="ZW36" s="56"/>
      <c r="ZX36" s="57"/>
      <c r="ZY36" s="57"/>
      <c r="ZZ36" s="57"/>
      <c r="AAA36" s="56"/>
      <c r="AAB36" s="57"/>
      <c r="AAC36" s="57"/>
      <c r="AAD36" s="56"/>
      <c r="AAE36" s="57"/>
      <c r="AAF36" s="58"/>
      <c r="AAG36" s="56"/>
      <c r="AAH36" s="57"/>
      <c r="AAI36" s="57"/>
      <c r="AAJ36" s="57"/>
      <c r="AAK36" s="56"/>
      <c r="AAL36" s="57"/>
      <c r="AAM36" s="57"/>
      <c r="AAN36" s="56"/>
      <c r="AAO36" s="57"/>
      <c r="AAP36" s="58"/>
      <c r="AAQ36" s="56"/>
      <c r="AAR36" s="57"/>
      <c r="AAS36" s="57"/>
      <c r="AAT36" s="57"/>
      <c r="AAU36" s="56"/>
      <c r="AAV36" s="57"/>
      <c r="AAW36" s="57"/>
      <c r="AAX36" s="58"/>
      <c r="AAY36" s="58"/>
      <c r="AAZ36" s="58"/>
      <c r="ABA36" s="56"/>
      <c r="ABB36" s="58"/>
      <c r="ABC36" s="58"/>
      <c r="ABD36" s="58"/>
      <c r="ABE36" s="58"/>
      <c r="ABF36" s="58"/>
      <c r="ABG36" s="57"/>
      <c r="ABH36" s="56"/>
      <c r="ABI36" s="57"/>
      <c r="ABJ36" s="58"/>
      <c r="ABK36" s="56"/>
      <c r="ABL36" s="57"/>
      <c r="ABM36" s="57"/>
      <c r="ABN36" s="57"/>
      <c r="ABO36" s="56"/>
      <c r="ABP36" s="57"/>
      <c r="ABQ36" s="57"/>
      <c r="ABR36" s="56"/>
      <c r="ABS36" s="57"/>
      <c r="ABT36" s="58"/>
      <c r="ABU36" s="56"/>
      <c r="ABV36" s="57"/>
      <c r="ABW36" s="57"/>
      <c r="ABX36" s="57"/>
      <c r="ABY36" s="56"/>
      <c r="ABZ36" s="57"/>
      <c r="ACA36" s="57"/>
      <c r="ACB36" s="56"/>
      <c r="ACC36" s="57"/>
      <c r="ACD36" s="58"/>
      <c r="ACE36" s="56"/>
      <c r="ACF36" s="57"/>
      <c r="ACG36" s="57"/>
      <c r="ACH36" s="57"/>
      <c r="ACI36" s="56"/>
      <c r="ACJ36" s="57"/>
      <c r="ACK36" s="57"/>
      <c r="ACL36" s="56"/>
      <c r="ACM36" s="57"/>
      <c r="ACN36" s="58"/>
      <c r="ACO36" s="56"/>
      <c r="ACP36" s="57"/>
      <c r="ACQ36" s="57"/>
      <c r="ACR36" s="57"/>
      <c r="ACS36" s="56"/>
      <c r="ACT36" s="57"/>
      <c r="ACU36" s="57"/>
      <c r="ACV36" s="56"/>
      <c r="ACW36" s="57"/>
      <c r="ACX36" s="58"/>
      <c r="ACY36" s="56"/>
      <c r="ACZ36" s="57"/>
      <c r="ADA36" s="57"/>
      <c r="ADB36" s="57"/>
      <c r="ADC36" s="56"/>
      <c r="ADD36" s="57"/>
      <c r="ADE36" s="57"/>
      <c r="ADF36" s="56"/>
      <c r="ADG36" s="57"/>
      <c r="ADH36" s="58"/>
      <c r="ADI36" s="56"/>
      <c r="ADJ36" s="57"/>
      <c r="ADK36" s="57"/>
      <c r="ADL36" s="57"/>
      <c r="ADM36" s="56"/>
      <c r="ADN36" s="57"/>
      <c r="ADO36" s="57"/>
      <c r="ADP36" s="56"/>
      <c r="ADQ36" s="57"/>
      <c r="ADR36" s="58"/>
      <c r="ADS36" s="56"/>
      <c r="ADT36" s="57"/>
      <c r="ADU36" s="57"/>
      <c r="ADV36" s="57"/>
      <c r="ADW36" s="56"/>
      <c r="ADX36" s="57"/>
      <c r="ADY36" s="57"/>
      <c r="ADZ36" s="56"/>
      <c r="AEA36" s="57"/>
      <c r="AEB36" s="58"/>
      <c r="AEC36" s="56"/>
      <c r="AED36" s="57"/>
      <c r="AEE36" s="57"/>
      <c r="AEF36" s="57"/>
      <c r="AEG36" s="56"/>
      <c r="AEH36" s="57"/>
      <c r="AEI36" s="57"/>
      <c r="AEJ36" s="56"/>
      <c r="AEK36" s="57"/>
      <c r="AEL36" s="58"/>
      <c r="AEM36" s="56"/>
      <c r="AEN36" s="57"/>
      <c r="AEO36" s="57"/>
      <c r="AEP36" s="57"/>
      <c r="AEQ36" s="56"/>
      <c r="AER36" s="57"/>
      <c r="AES36" s="57"/>
      <c r="AET36" s="56"/>
      <c r="AEU36" s="57"/>
      <c r="AEV36" s="58"/>
      <c r="AEW36" s="56"/>
      <c r="AEX36" s="57"/>
      <c r="AEY36" s="57"/>
      <c r="AEZ36" s="57"/>
      <c r="AFA36" s="56"/>
      <c r="AFB36" s="57"/>
      <c r="AFC36" s="57"/>
      <c r="AFD36" s="56"/>
      <c r="AFE36" s="57"/>
      <c r="AFF36" s="58"/>
      <c r="AFG36" s="56"/>
      <c r="AFH36" s="57"/>
      <c r="AFI36" s="57"/>
      <c r="AFJ36" s="57"/>
      <c r="AFK36" s="56"/>
      <c r="AFL36" s="57"/>
      <c r="AFM36" s="57"/>
      <c r="AFN36" s="56"/>
      <c r="AFO36" s="57"/>
      <c r="AFP36" s="58"/>
      <c r="AFQ36" s="56"/>
      <c r="AFR36" s="57"/>
      <c r="AFS36" s="57"/>
      <c r="AFT36" s="57"/>
      <c r="AFU36" s="56"/>
      <c r="AFV36" s="57"/>
      <c r="AFW36" s="57"/>
      <c r="AFX36" s="56"/>
      <c r="AFY36" s="57"/>
      <c r="AFZ36" s="58"/>
      <c r="AGA36" s="56"/>
      <c r="AGB36" s="57"/>
      <c r="AGC36" s="57"/>
      <c r="AGD36" s="57"/>
      <c r="AGE36" s="56"/>
      <c r="AGF36" s="57"/>
      <c r="AGG36" s="57"/>
      <c r="AGH36" s="56"/>
      <c r="AGI36" s="57"/>
      <c r="AGJ36" s="58"/>
      <c r="AGK36" s="56"/>
      <c r="AGL36" s="57"/>
      <c r="AGM36" s="57"/>
      <c r="AGN36" s="57"/>
      <c r="AGO36" s="56"/>
      <c r="AGP36" s="57"/>
      <c r="AGQ36" s="57"/>
      <c r="AGR36" s="56"/>
      <c r="AGS36" s="57"/>
      <c r="AGT36" s="58"/>
      <c r="AGU36" s="56"/>
      <c r="AGV36" s="57"/>
      <c r="AGW36" s="57"/>
      <c r="AGX36" s="57"/>
      <c r="AGY36" s="56"/>
      <c r="AGZ36" s="57"/>
      <c r="AHA36" s="57"/>
      <c r="AHB36" s="56"/>
      <c r="AHC36" s="57"/>
      <c r="AHD36" s="58"/>
      <c r="AHE36" s="56"/>
      <c r="AHF36" s="57"/>
      <c r="AHG36" s="57"/>
      <c r="AHH36" s="57"/>
      <c r="AHI36" s="56"/>
      <c r="AHJ36" s="57"/>
      <c r="AHK36" s="57"/>
      <c r="AHL36" s="56"/>
      <c r="AHM36" s="57"/>
      <c r="AHN36" s="58"/>
      <c r="AHO36" s="56"/>
      <c r="AHP36" s="57"/>
      <c r="AHQ36" s="57"/>
      <c r="AHR36" s="57"/>
      <c r="AHS36" s="56"/>
      <c r="AHT36" s="57"/>
      <c r="AHU36" s="57"/>
      <c r="AHV36" s="56"/>
      <c r="AHW36" s="57"/>
      <c r="AHX36" s="58"/>
      <c r="AHY36" s="56"/>
      <c r="AHZ36" s="57"/>
      <c r="AIA36" s="57"/>
      <c r="AIB36" s="57"/>
      <c r="AIC36" s="56"/>
      <c r="AID36" s="57"/>
      <c r="AIE36" s="57"/>
      <c r="AIF36" s="56"/>
      <c r="AIG36" s="57"/>
      <c r="AIH36" s="58"/>
      <c r="AII36" s="56"/>
      <c r="AIJ36" s="57"/>
      <c r="AIK36" s="57"/>
      <c r="AIL36" s="57"/>
      <c r="AIM36" s="56"/>
      <c r="AIN36" s="57"/>
      <c r="AIO36" s="57"/>
      <c r="AIP36" s="56"/>
      <c r="AIQ36" s="57"/>
      <c r="AIR36" s="58"/>
      <c r="AIS36" s="56"/>
      <c r="AIT36" s="57"/>
      <c r="AIU36" s="57"/>
      <c r="AIV36" s="57"/>
      <c r="AIW36" s="56"/>
      <c r="AIX36" s="57"/>
      <c r="AIY36" s="57"/>
      <c r="AIZ36" s="56"/>
      <c r="AJA36" s="57"/>
      <c r="AJB36" s="58"/>
      <c r="AJC36" s="56"/>
      <c r="AJD36" s="57"/>
      <c r="AJE36" s="57"/>
      <c r="AJF36" s="57"/>
      <c r="AJG36" s="56"/>
      <c r="AJH36" s="57"/>
      <c r="AJI36" s="57"/>
      <c r="AJJ36" s="56"/>
      <c r="AJK36" s="57"/>
      <c r="AJL36" s="58"/>
      <c r="AJM36" s="56"/>
      <c r="AJN36" s="57"/>
      <c r="AJO36" s="57"/>
      <c r="AJP36" s="57"/>
      <c r="AJQ36" s="56"/>
      <c r="AJR36" s="57"/>
      <c r="AJS36" s="57"/>
      <c r="AJT36" s="56"/>
      <c r="AJU36" s="57"/>
      <c r="AJV36" s="58"/>
      <c r="AJW36" s="56"/>
      <c r="AJX36" s="57"/>
      <c r="AJY36" s="57"/>
      <c r="AJZ36" s="57"/>
      <c r="AKA36" s="56"/>
      <c r="AKB36" s="57"/>
      <c r="AKC36" s="57"/>
      <c r="AKD36" s="56"/>
      <c r="AKE36" s="57"/>
      <c r="AKF36" s="58"/>
      <c r="AKG36" s="56"/>
      <c r="AKH36" s="57"/>
      <c r="AKI36" s="57"/>
      <c r="AKJ36" s="57"/>
      <c r="AKK36" s="56"/>
      <c r="AKL36" s="57"/>
      <c r="AKM36" s="57"/>
      <c r="AKN36" s="56"/>
      <c r="AKO36" s="57"/>
      <c r="AKP36" s="58"/>
      <c r="AKQ36" s="56"/>
      <c r="AKR36" s="57"/>
      <c r="AKS36" s="57"/>
      <c r="AKT36" s="57"/>
      <c r="AKU36" s="56"/>
      <c r="AKV36" s="57"/>
      <c r="AKW36" s="57"/>
      <c r="AKX36" s="56"/>
      <c r="AKY36" s="57"/>
      <c r="AKZ36" s="58"/>
      <c r="ALA36" s="56"/>
      <c r="ALB36" s="57"/>
      <c r="ALC36" s="57"/>
      <c r="ALD36" s="57"/>
      <c r="ALE36" s="56"/>
      <c r="ALF36" s="57"/>
      <c r="ALG36" s="57"/>
      <c r="ALH36" s="57"/>
      <c r="ALI36" s="57"/>
      <c r="ALJ36" s="57"/>
      <c r="ALK36" s="56"/>
      <c r="ALL36" s="57"/>
      <c r="ALM36" s="57"/>
      <c r="ALN36" s="56"/>
      <c r="ALO36" s="57"/>
      <c r="ALP36" s="58"/>
      <c r="ALQ36" s="56"/>
      <c r="ALR36" s="57"/>
      <c r="ALS36" s="57"/>
      <c r="ALT36" s="57"/>
      <c r="ALU36" s="56"/>
      <c r="ALV36" s="57"/>
      <c r="ALW36" s="57"/>
      <c r="ALX36" s="56"/>
      <c r="ALY36" s="57"/>
      <c r="ALZ36" s="58"/>
      <c r="AMA36" s="56"/>
      <c r="AMB36" s="57"/>
      <c r="AMC36" s="57"/>
      <c r="AMD36" s="57"/>
      <c r="AME36" s="56"/>
      <c r="AMF36" s="57"/>
      <c r="AMG36" s="57"/>
      <c r="AMH36" s="57"/>
      <c r="AMI36" s="57"/>
      <c r="AMJ36" s="57"/>
      <c r="AMK36" s="56"/>
      <c r="AML36" s="57"/>
      <c r="AMM36" s="57"/>
      <c r="AMN36" s="56"/>
      <c r="AMO36" s="57"/>
      <c r="AMP36" s="58"/>
      <c r="AMQ36" s="56"/>
      <c r="AMR36" s="57"/>
      <c r="AMS36" s="57"/>
      <c r="AMT36" s="57"/>
      <c r="AMU36" s="56"/>
      <c r="AMV36" s="57"/>
      <c r="AMW36" s="57"/>
      <c r="AMX36" s="56"/>
      <c r="AMY36" s="57"/>
      <c r="AMZ36" s="58"/>
      <c r="ANA36" s="56"/>
      <c r="ANB36" s="57"/>
      <c r="ANC36" s="57"/>
      <c r="AND36" s="57"/>
      <c r="ANE36" s="56"/>
      <c r="ANF36" s="57"/>
      <c r="ANG36" s="57"/>
      <c r="ANH36" s="57"/>
      <c r="ANI36" s="57"/>
      <c r="ANJ36" s="57"/>
      <c r="ANK36" s="56"/>
      <c r="ANL36" s="57"/>
      <c r="ANM36" s="57"/>
      <c r="ANN36" s="56"/>
      <c r="ANO36" s="57"/>
      <c r="ANP36" s="58"/>
      <c r="ANQ36" s="56"/>
      <c r="ANR36" s="57"/>
      <c r="ANS36" s="57"/>
      <c r="ANT36" s="57"/>
      <c r="ANU36" s="56"/>
      <c r="ANV36" s="57"/>
      <c r="ANW36" s="57"/>
      <c r="ANX36" s="56"/>
      <c r="ANY36" s="57"/>
      <c r="ANZ36" s="58"/>
      <c r="AOA36" s="56"/>
      <c r="AOB36" s="57"/>
      <c r="AOC36" s="57"/>
      <c r="AOD36" s="57"/>
      <c r="AOE36" s="56"/>
      <c r="AOF36" s="57"/>
      <c r="AOG36" s="57"/>
      <c r="AOH36" s="57"/>
      <c r="AOI36" s="57"/>
      <c r="AOJ36" s="57"/>
      <c r="AOK36" s="56"/>
      <c r="AOL36" s="57"/>
      <c r="AOM36" s="57"/>
      <c r="AON36" s="56"/>
      <c r="AOO36" s="57"/>
      <c r="AOP36" s="58"/>
      <c r="AOQ36" s="56"/>
      <c r="AOR36" s="57"/>
      <c r="AOS36" s="57"/>
      <c r="AOT36" s="57"/>
      <c r="AOU36" s="56"/>
      <c r="AOV36" s="57"/>
      <c r="AOW36" s="57"/>
      <c r="AOX36" s="56"/>
      <c r="AOY36" s="57"/>
      <c r="AOZ36" s="58"/>
      <c r="APA36" s="56"/>
      <c r="APB36" s="57"/>
      <c r="APC36" s="57"/>
      <c r="APD36" s="57"/>
      <c r="APE36" s="56"/>
      <c r="APF36" s="57"/>
      <c r="APG36" s="57"/>
      <c r="APH36" s="57"/>
      <c r="API36" s="57"/>
      <c r="APJ36" s="57"/>
      <c r="APK36" s="56"/>
      <c r="APL36" s="57"/>
      <c r="APM36" s="57"/>
      <c r="APN36" s="56"/>
      <c r="APO36" s="57"/>
      <c r="APP36" s="58"/>
      <c r="APQ36" s="56"/>
      <c r="APR36" s="57"/>
      <c r="APS36" s="57"/>
      <c r="APT36" s="57"/>
      <c r="APU36" s="56"/>
      <c r="APV36" s="57"/>
      <c r="APW36" s="57"/>
      <c r="APX36" s="56"/>
      <c r="APY36" s="57"/>
      <c r="APZ36" s="58"/>
      <c r="AQA36" s="56"/>
      <c r="AQB36" s="57"/>
      <c r="AQC36" s="57"/>
      <c r="AQD36" s="57"/>
      <c r="AQE36" s="56"/>
      <c r="AQF36" s="57"/>
      <c r="AQG36" s="57"/>
      <c r="AQH36" s="57"/>
      <c r="AQI36" s="57"/>
      <c r="AQJ36" s="57"/>
      <c r="AQK36" s="56"/>
      <c r="AQL36" s="57"/>
      <c r="AQM36" s="57"/>
      <c r="AQN36" s="56"/>
      <c r="AQO36" s="57"/>
      <c r="AQP36" s="58"/>
      <c r="AQQ36" s="56"/>
      <c r="AQR36" s="57"/>
      <c r="AQS36" s="57"/>
      <c r="AQT36" s="57"/>
      <c r="AQU36" s="56"/>
      <c r="AQV36" s="57"/>
      <c r="AQW36" s="57"/>
      <c r="AQX36" s="56"/>
      <c r="AQY36" s="57"/>
      <c r="AQZ36" s="58"/>
      <c r="ARA36" s="56"/>
      <c r="ARB36" s="57"/>
      <c r="ARC36" s="57"/>
      <c r="ARD36" s="57"/>
      <c r="ARE36" s="56"/>
      <c r="ARF36" s="57"/>
      <c r="ARG36" s="57"/>
      <c r="ARH36" s="57"/>
      <c r="ARI36" s="57"/>
      <c r="ARJ36" s="57"/>
      <c r="ARK36" s="56"/>
      <c r="ARL36" s="57"/>
      <c r="ARM36" s="57"/>
      <c r="ARN36" s="56"/>
      <c r="ARO36" s="57"/>
      <c r="ARP36" s="58"/>
      <c r="ARQ36" s="56"/>
      <c r="ARR36" s="57"/>
      <c r="ARS36" s="57"/>
      <c r="ART36" s="57"/>
      <c r="ARU36" s="56"/>
      <c r="ARV36" s="57"/>
      <c r="ARW36" s="57"/>
      <c r="ARX36" s="56"/>
      <c r="ARY36" s="57"/>
      <c r="ARZ36" s="58"/>
      <c r="ASA36" s="56"/>
      <c r="ASB36" s="57"/>
      <c r="ASC36" s="57"/>
      <c r="ASD36" s="57"/>
      <c r="ASE36" s="56"/>
      <c r="ASF36" s="57"/>
      <c r="ASG36" s="57"/>
      <c r="ASH36" s="57"/>
      <c r="ASI36" s="57"/>
      <c r="ASJ36" s="57"/>
      <c r="ASK36" s="56"/>
      <c r="ASL36" s="57"/>
      <c r="ASM36" s="57"/>
      <c r="ASN36" s="56"/>
      <c r="ASO36" s="57"/>
      <c r="ASP36" s="58"/>
      <c r="ASQ36" s="56"/>
      <c r="ASR36" s="57"/>
      <c r="ASS36" s="57"/>
      <c r="AST36" s="57"/>
      <c r="ASU36" s="56"/>
      <c r="ASV36" s="57"/>
      <c r="ASW36" s="57"/>
      <c r="ASX36" s="56"/>
      <c r="ASY36" s="57"/>
      <c r="ASZ36" s="58"/>
      <c r="ATA36" s="56"/>
      <c r="ATB36" s="57"/>
      <c r="ATC36" s="57"/>
      <c r="ATD36" s="57"/>
      <c r="ATE36" s="56"/>
      <c r="ATF36" s="57"/>
      <c r="ATG36" s="57"/>
      <c r="ATH36" s="57"/>
      <c r="ATI36" s="57"/>
      <c r="ATJ36" s="57"/>
      <c r="ATK36" s="56"/>
      <c r="ATL36" s="57"/>
      <c r="ATM36" s="57"/>
      <c r="ATN36" s="56"/>
      <c r="ATO36" s="57"/>
      <c r="ATP36" s="58"/>
      <c r="ATQ36" s="56"/>
      <c r="ATR36" s="57"/>
      <c r="ATS36" s="57"/>
      <c r="ATT36" s="57"/>
      <c r="ATU36" s="56"/>
      <c r="ATV36" s="57"/>
      <c r="ATW36" s="57"/>
      <c r="ATX36" s="56"/>
      <c r="ATY36" s="57"/>
      <c r="ATZ36" s="58"/>
      <c r="AUA36" s="56"/>
      <c r="AUB36" s="57"/>
      <c r="AUC36" s="57"/>
      <c r="AUD36" s="57"/>
      <c r="AUE36" s="56"/>
      <c r="AUF36" s="57"/>
      <c r="AUG36" s="57"/>
      <c r="AUH36" s="57"/>
      <c r="AUI36" s="57"/>
      <c r="AUJ36" s="57"/>
      <c r="AUK36" s="56"/>
      <c r="AUL36" s="57"/>
      <c r="AUM36" s="57"/>
      <c r="AUN36" s="56"/>
      <c r="AUO36" s="57"/>
      <c r="AUP36" s="58"/>
      <c r="AUQ36" s="56"/>
      <c r="AUR36" s="57"/>
      <c r="AUS36" s="57"/>
      <c r="AUT36" s="57"/>
      <c r="AUU36" s="56"/>
      <c r="AUV36" s="57"/>
      <c r="AUW36" s="57"/>
      <c r="AUX36" s="56"/>
      <c r="AUY36" s="57"/>
      <c r="AUZ36" s="58"/>
      <c r="AVA36" s="56"/>
      <c r="AVB36" s="57"/>
      <c r="AVC36" s="57"/>
      <c r="AVD36" s="57"/>
      <c r="AVE36" s="56"/>
      <c r="AVF36" s="57"/>
      <c r="AVG36" s="57"/>
      <c r="AVH36" s="57"/>
      <c r="AVI36" s="57"/>
      <c r="AVJ36" s="57"/>
      <c r="AVK36" s="56"/>
      <c r="AVL36" s="57"/>
      <c r="AVM36" s="57"/>
      <c r="AVN36" s="56"/>
      <c r="AVO36" s="57"/>
      <c r="AVP36" s="58"/>
      <c r="AVQ36" s="56"/>
      <c r="AVR36" s="57"/>
      <c r="AVS36" s="57"/>
      <c r="AVT36" s="57"/>
      <c r="AVU36" s="56"/>
      <c r="AVV36" s="57"/>
      <c r="AVW36" s="57"/>
      <c r="AVX36" s="56"/>
      <c r="AVY36" s="57"/>
      <c r="AVZ36" s="58"/>
      <c r="AWA36" s="56"/>
      <c r="AWB36" s="57"/>
      <c r="AWC36" s="57"/>
      <c r="AWD36" s="57"/>
      <c r="AWE36" s="56"/>
      <c r="AWF36" s="57"/>
      <c r="AWG36" s="57"/>
      <c r="AWH36" s="57"/>
      <c r="AWI36" s="57"/>
      <c r="AWJ36" s="57"/>
      <c r="AWK36" s="56"/>
      <c r="AWL36" s="57"/>
      <c r="AWM36" s="57"/>
      <c r="AWN36" s="56"/>
      <c r="AWO36" s="57"/>
      <c r="AWP36" s="58"/>
      <c r="AWQ36" s="56"/>
      <c r="AWR36" s="57"/>
      <c r="AWS36" s="57"/>
      <c r="AWT36" s="57"/>
      <c r="AWU36" s="56"/>
      <c r="AWV36" s="57"/>
      <c r="AWW36" s="57"/>
      <c r="AWX36" s="56"/>
      <c r="AWY36" s="57"/>
      <c r="AWZ36" s="58"/>
      <c r="AXA36" s="56"/>
      <c r="AXB36" s="57"/>
      <c r="AXC36" s="57"/>
      <c r="AXD36" s="57"/>
      <c r="AXE36" s="56"/>
      <c r="AXF36" s="57"/>
      <c r="AXG36" s="57"/>
      <c r="AXH36" s="57"/>
      <c r="AXI36" s="57"/>
      <c r="AXJ36" s="57"/>
      <c r="AXK36" s="56"/>
      <c r="AXL36" s="57"/>
      <c r="AXM36" s="57"/>
      <c r="AXN36" s="56"/>
      <c r="AXO36" s="57"/>
      <c r="AXP36" s="58"/>
      <c r="AXQ36" s="56"/>
      <c r="AXR36" s="57"/>
      <c r="AXS36" s="57"/>
      <c r="AXT36" s="57"/>
      <c r="AXU36" s="56"/>
      <c r="AXV36" s="57"/>
      <c r="AXW36" s="57"/>
      <c r="AXX36" s="56"/>
      <c r="AXY36" s="57"/>
      <c r="AXZ36" s="58"/>
      <c r="AYA36" s="56"/>
      <c r="AYB36" s="57"/>
      <c r="AYC36" s="57"/>
      <c r="AYD36" s="57"/>
      <c r="AYE36" s="56"/>
      <c r="AYF36" s="57"/>
      <c r="AYG36" s="57"/>
      <c r="AYH36" s="57"/>
      <c r="AYI36" s="57"/>
      <c r="AYJ36" s="57"/>
      <c r="AYK36" s="56"/>
      <c r="AYL36" s="57"/>
      <c r="AYM36" s="57"/>
      <c r="AYN36" s="56"/>
      <c r="AYO36" s="57"/>
      <c r="AYP36" s="58"/>
      <c r="AYQ36" s="56"/>
      <c r="AYR36" s="57"/>
      <c r="AYS36" s="57"/>
      <c r="AYT36" s="57"/>
      <c r="AYU36" s="56"/>
      <c r="AYV36" s="57"/>
      <c r="AYW36" s="57"/>
      <c r="AYX36" s="56"/>
      <c r="AYY36" s="57"/>
      <c r="AYZ36" s="58"/>
      <c r="AZA36" s="56"/>
      <c r="AZB36" s="57"/>
      <c r="AZC36" s="57"/>
      <c r="AZD36" s="57"/>
      <c r="AZE36" s="56"/>
      <c r="AZF36" s="57"/>
      <c r="AZG36" s="57"/>
      <c r="AZH36" s="57"/>
      <c r="AZI36" s="57"/>
      <c r="AZJ36" s="57"/>
      <c r="AZK36" s="56"/>
      <c r="AZL36" s="57"/>
      <c r="AZM36" s="57"/>
      <c r="AZN36" s="56"/>
      <c r="AZO36" s="57"/>
      <c r="AZP36" s="58"/>
      <c r="AZQ36" s="56"/>
      <c r="AZR36" s="57"/>
      <c r="AZS36" s="57"/>
      <c r="AZT36" s="57"/>
      <c r="AZU36" s="56"/>
      <c r="AZV36" s="57"/>
      <c r="AZW36" s="57"/>
      <c r="AZX36" s="56"/>
      <c r="AZY36" s="57"/>
      <c r="AZZ36" s="58"/>
      <c r="BAA36" s="56"/>
      <c r="BAB36" s="57"/>
      <c r="BAC36" s="57"/>
      <c r="BAD36" s="57"/>
      <c r="BAE36" s="56"/>
      <c r="BAF36" s="57"/>
      <c r="BAG36" s="57"/>
      <c r="BAH36" s="57"/>
      <c r="BAI36" s="57"/>
      <c r="BAJ36" s="57"/>
      <c r="BAK36" s="56"/>
      <c r="BAL36" s="57"/>
      <c r="BAM36" s="57"/>
      <c r="BAN36" s="56"/>
      <c r="BAO36" s="57"/>
      <c r="BAP36" s="58"/>
      <c r="BAQ36" s="56"/>
      <c r="BAR36" s="57"/>
      <c r="BAS36" s="57"/>
      <c r="BAT36" s="57"/>
      <c r="BAU36" s="56"/>
      <c r="BAV36" s="57"/>
      <c r="BAW36" s="57"/>
      <c r="BAX36" s="56"/>
      <c r="BAY36" s="57"/>
      <c r="BAZ36" s="58"/>
      <c r="BBA36" s="56"/>
      <c r="BBB36" s="57"/>
      <c r="BBC36" s="57"/>
      <c r="BBD36" s="57"/>
      <c r="BBE36" s="56"/>
      <c r="BBF36" s="57"/>
      <c r="BBG36" s="57"/>
      <c r="BBH36" s="57"/>
      <c r="BBI36" s="57"/>
      <c r="BBJ36" s="57"/>
      <c r="BBK36" s="56"/>
      <c r="BBL36" s="57"/>
      <c r="BBM36" s="57"/>
      <c r="BBN36" s="56"/>
      <c r="BBO36" s="57"/>
      <c r="BBP36" s="58"/>
      <c r="BBQ36" s="56"/>
      <c r="BBR36" s="57"/>
      <c r="BBS36" s="57"/>
      <c r="BBT36" s="57"/>
      <c r="BBU36" s="56"/>
      <c r="BBV36" s="57"/>
      <c r="BBW36" s="57"/>
      <c r="BBX36" s="56"/>
      <c r="BBY36" s="57"/>
      <c r="BBZ36" s="58"/>
      <c r="BCA36" s="56"/>
      <c r="BCB36" s="57"/>
      <c r="BCC36" s="57"/>
      <c r="BCD36" s="57"/>
      <c r="BCE36" s="56"/>
      <c r="BCF36" s="57"/>
      <c r="BCG36" s="57"/>
      <c r="BCH36" s="57"/>
      <c r="BCI36" s="57"/>
      <c r="BCJ36" s="57"/>
      <c r="BCK36" s="56"/>
      <c r="BCL36" s="57"/>
      <c r="BCM36" s="57"/>
      <c r="BCN36" s="56"/>
      <c r="BCO36" s="57"/>
      <c r="BCP36" s="58"/>
      <c r="BCQ36" s="56"/>
      <c r="BCR36" s="57"/>
      <c r="BCS36" s="57"/>
      <c r="BCT36" s="57"/>
      <c r="BCU36" s="56"/>
      <c r="BCV36" s="57"/>
      <c r="BCW36" s="57"/>
      <c r="BCX36" s="56"/>
      <c r="BCY36" s="57"/>
      <c r="BCZ36" s="58"/>
      <c r="BDA36" s="56"/>
      <c r="BDB36" s="57"/>
      <c r="BDC36" s="57"/>
      <c r="BDD36" s="57"/>
      <c r="BDE36" s="56"/>
      <c r="BDF36" s="57"/>
      <c r="BDG36" s="57"/>
      <c r="BDH36" s="57"/>
      <c r="BDI36" s="57"/>
      <c r="BDJ36" s="57"/>
      <c r="BDK36" s="56"/>
      <c r="BDL36" s="57"/>
      <c r="BDM36" s="57"/>
      <c r="BDN36" s="56"/>
      <c r="BDO36" s="57"/>
      <c r="BDP36" s="58"/>
      <c r="BDQ36" s="56"/>
      <c r="BDR36" s="57"/>
      <c r="BDS36" s="57"/>
      <c r="BDT36" s="57"/>
      <c r="BDU36" s="56"/>
      <c r="BDV36" s="57"/>
      <c r="BDW36" s="57"/>
      <c r="BDX36" s="56"/>
      <c r="BDY36" s="57"/>
      <c r="BDZ36" s="58"/>
      <c r="BEA36" s="56"/>
      <c r="BEB36" s="57"/>
      <c r="BEC36" s="57"/>
      <c r="BED36" s="57"/>
      <c r="BEE36" s="56"/>
      <c r="BEF36" s="57"/>
      <c r="BEG36" s="57"/>
      <c r="BEH36" s="57"/>
      <c r="BEI36" s="57"/>
      <c r="BEJ36" s="57"/>
      <c r="BEK36" s="56"/>
      <c r="BEL36" s="57"/>
      <c r="BEM36" s="57"/>
      <c r="BEN36" s="56"/>
      <c r="BEO36" s="57"/>
      <c r="BEP36" s="58"/>
      <c r="BEQ36" s="56"/>
      <c r="BER36" s="57"/>
      <c r="BES36" s="57"/>
      <c r="BET36" s="57"/>
      <c r="BEU36" s="56"/>
      <c r="BEV36" s="57"/>
      <c r="BEW36" s="57"/>
      <c r="BEX36" s="56"/>
      <c r="BEY36" s="57"/>
      <c r="BEZ36" s="58"/>
      <c r="BFA36" s="56"/>
      <c r="BFB36" s="57"/>
      <c r="BFC36" s="57"/>
      <c r="BFD36" s="57"/>
      <c r="BFE36" s="56"/>
      <c r="BFF36" s="57"/>
      <c r="BFG36" s="57"/>
      <c r="BFH36" s="57"/>
      <c r="BFI36" s="57"/>
      <c r="BFJ36" s="57"/>
      <c r="BFK36" s="56"/>
      <c r="BFL36" s="57"/>
      <c r="BFM36" s="57"/>
      <c r="BFN36" s="56"/>
      <c r="BFO36" s="57"/>
      <c r="BFP36" s="58"/>
      <c r="BFQ36" s="56"/>
      <c r="BFR36" s="57"/>
      <c r="BFS36" s="57"/>
      <c r="BFT36" s="57"/>
      <c r="BFU36" s="56"/>
      <c r="BFV36" s="57"/>
      <c r="BFW36" s="57"/>
      <c r="BFX36" s="56"/>
      <c r="BFY36" s="57"/>
      <c r="BFZ36" s="58"/>
      <c r="BGA36" s="56"/>
      <c r="BGB36" s="57"/>
      <c r="BGC36" s="57"/>
      <c r="BGD36" s="57"/>
      <c r="BGE36" s="56"/>
      <c r="BGF36" s="57"/>
      <c r="BGG36" s="57"/>
      <c r="BGH36" s="57"/>
      <c r="BGI36" s="57"/>
      <c r="BGJ36" s="57"/>
      <c r="BGK36" s="56"/>
      <c r="BGL36" s="57"/>
      <c r="BGM36" s="57"/>
      <c r="BGN36" s="56"/>
      <c r="BGO36" s="57"/>
      <c r="BGP36" s="58"/>
      <c r="BGQ36" s="56"/>
      <c r="BGR36" s="57"/>
      <c r="BGS36" s="57"/>
      <c r="BGT36" s="57"/>
      <c r="BGU36" s="56"/>
      <c r="BGV36" s="57"/>
      <c r="BGW36" s="57"/>
      <c r="BGX36" s="56"/>
      <c r="BGY36" s="57"/>
      <c r="BGZ36" s="58"/>
      <c r="BHA36" s="56"/>
      <c r="BHB36" s="57"/>
      <c r="BHC36" s="57"/>
      <c r="BHD36" s="57"/>
      <c r="BHE36" s="56"/>
      <c r="BHF36" s="57"/>
      <c r="BHG36" s="57"/>
      <c r="BHH36" s="57"/>
      <c r="BHI36" s="57"/>
      <c r="BHJ36" s="57"/>
      <c r="BHK36" s="56"/>
      <c r="BHL36" s="57"/>
      <c r="BHM36" s="57"/>
      <c r="BHN36" s="56"/>
      <c r="BHO36" s="57"/>
      <c r="BHP36" s="58"/>
      <c r="BHQ36" s="56"/>
      <c r="BHR36" s="57"/>
      <c r="BHS36" s="57"/>
      <c r="BHT36" s="57"/>
      <c r="BHU36" s="56"/>
      <c r="BHV36" s="57"/>
      <c r="BHW36" s="57"/>
      <c r="BHX36" s="56"/>
      <c r="BHY36" s="57"/>
      <c r="BHZ36" s="58"/>
      <c r="BIA36" s="56"/>
      <c r="BIB36" s="57"/>
      <c r="BIC36" s="57"/>
      <c r="BID36" s="57"/>
      <c r="BIE36" s="56"/>
      <c r="BIF36" s="57"/>
      <c r="BIG36" s="57"/>
      <c r="BIH36" s="57"/>
      <c r="BII36" s="57"/>
      <c r="BIJ36" s="57"/>
      <c r="BIK36" s="56"/>
      <c r="BIL36" s="57"/>
      <c r="BIM36" s="57"/>
      <c r="BIN36" s="56"/>
      <c r="BIO36" s="57"/>
      <c r="BIP36" s="58"/>
      <c r="BIQ36" s="56"/>
      <c r="BIR36" s="57"/>
      <c r="BIS36" s="57"/>
      <c r="BIT36" s="57"/>
      <c r="BIU36" s="56"/>
      <c r="BIV36" s="57"/>
      <c r="BIW36" s="57"/>
      <c r="BIX36" s="56"/>
      <c r="BIY36" s="57"/>
      <c r="BIZ36" s="58"/>
      <c r="BJA36" s="56"/>
      <c r="BJB36" s="57"/>
      <c r="BJC36" s="57"/>
      <c r="BJD36" s="57"/>
      <c r="BJE36" s="56"/>
      <c r="BJF36" s="57"/>
      <c r="BJG36" s="57"/>
      <c r="BJH36" s="57"/>
      <c r="BJI36" s="57"/>
      <c r="BJJ36" s="57"/>
      <c r="BJK36" s="56"/>
      <c r="BJL36" s="57"/>
      <c r="BJM36" s="57"/>
      <c r="BJN36" s="56"/>
      <c r="BJO36" s="57"/>
      <c r="BJP36" s="58"/>
      <c r="BJQ36" s="56"/>
      <c r="BJR36" s="57"/>
      <c r="BJS36" s="57"/>
      <c r="BJT36" s="57"/>
      <c r="BJU36" s="56"/>
      <c r="BJV36" s="57"/>
      <c r="BJW36" s="57"/>
      <c r="BJX36" s="56"/>
      <c r="BJY36" s="57"/>
      <c r="BJZ36" s="58"/>
      <c r="BKA36" s="56"/>
      <c r="BKB36" s="57"/>
      <c r="BKC36" s="57"/>
      <c r="BKD36" s="57"/>
      <c r="BKE36" s="56"/>
      <c r="BKF36" s="57"/>
      <c r="BKG36" s="57"/>
      <c r="BKH36" s="57"/>
      <c r="BKI36" s="57"/>
      <c r="BKJ36" s="57"/>
      <c r="BKK36" s="56"/>
      <c r="BKL36" s="57"/>
      <c r="BKM36" s="57"/>
      <c r="BKN36" s="56"/>
      <c r="BKO36" s="57"/>
      <c r="BKP36" s="58"/>
      <c r="BKQ36" s="56"/>
      <c r="BKR36" s="57"/>
      <c r="BKS36" s="57"/>
      <c r="BKT36" s="57"/>
      <c r="BKU36" s="56"/>
      <c r="BKV36" s="57"/>
      <c r="BKW36" s="57"/>
      <c r="BKX36" s="56"/>
      <c r="BKY36" s="57"/>
      <c r="BKZ36" s="58"/>
      <c r="BLA36" s="56"/>
      <c r="BLB36" s="57"/>
      <c r="BLC36" s="57"/>
      <c r="BLD36" s="57"/>
      <c r="BLE36" s="56"/>
      <c r="BLF36" s="57"/>
      <c r="BLG36" s="57"/>
      <c r="BLH36" s="57"/>
      <c r="BLI36" s="57"/>
      <c r="BLJ36" s="57"/>
      <c r="BLK36" s="56"/>
      <c r="BLL36" s="57"/>
      <c r="BLM36" s="57"/>
      <c r="BLN36" s="56"/>
      <c r="BLO36" s="57"/>
      <c r="BLP36" s="58"/>
      <c r="BLQ36" s="56"/>
      <c r="BLR36" s="57"/>
      <c r="BLS36" s="57"/>
      <c r="BLT36" s="57"/>
      <c r="BLU36" s="56"/>
      <c r="BLV36" s="57"/>
      <c r="BLW36" s="57"/>
      <c r="BLX36" s="56"/>
      <c r="BLY36" s="57"/>
      <c r="BLZ36" s="58"/>
      <c r="BMA36" s="56"/>
      <c r="BMB36" s="57"/>
      <c r="BMC36" s="57"/>
      <c r="BMD36" s="57"/>
      <c r="BME36" s="56"/>
      <c r="BMF36" s="57"/>
      <c r="BMG36" s="57"/>
      <c r="BMH36" s="57"/>
      <c r="BMI36" s="57"/>
      <c r="BMJ36" s="57"/>
      <c r="BMK36" s="56"/>
      <c r="BML36" s="57"/>
      <c r="BMM36" s="57"/>
      <c r="BMN36" s="56"/>
      <c r="BMO36" s="57"/>
      <c r="BMP36" s="58"/>
      <c r="BMQ36" s="56"/>
      <c r="BMR36" s="57"/>
      <c r="BMS36" s="57"/>
      <c r="BMT36" s="57"/>
      <c r="BMU36" s="56"/>
      <c r="BMV36" s="57"/>
      <c r="BMW36" s="57"/>
      <c r="BMX36" s="56"/>
      <c r="BMY36" s="57"/>
      <c r="BMZ36" s="58"/>
      <c r="BNA36" s="56"/>
      <c r="BNB36" s="57"/>
      <c r="BNC36" s="57"/>
      <c r="BND36" s="57"/>
      <c r="BNE36" s="56"/>
      <c r="BNF36" s="57"/>
      <c r="BNG36" s="57"/>
      <c r="BNH36" s="57"/>
      <c r="BNI36" s="57"/>
      <c r="BNJ36" s="57"/>
      <c r="BNK36" s="56"/>
      <c r="BNL36" s="57"/>
      <c r="BNM36" s="57"/>
      <c r="BNN36" s="56"/>
      <c r="BNO36" s="57"/>
      <c r="BNP36" s="58"/>
      <c r="BNQ36" s="56"/>
      <c r="BNR36" s="57"/>
      <c r="BNS36" s="57"/>
      <c r="BNT36" s="57"/>
      <c r="BNU36" s="56"/>
      <c r="BNV36" s="57"/>
      <c r="BNW36" s="57"/>
      <c r="BNX36" s="56"/>
      <c r="BNY36" s="57"/>
      <c r="BNZ36" s="58"/>
      <c r="BOA36" s="56"/>
      <c r="BOB36" s="57"/>
      <c r="BOC36" s="57"/>
      <c r="BOD36" s="57"/>
      <c r="BOE36" s="56"/>
      <c r="BOF36" s="57"/>
      <c r="BOG36" s="57"/>
      <c r="BOH36" s="57"/>
      <c r="BOI36" s="57"/>
      <c r="BOJ36" s="57"/>
      <c r="BOK36" s="56"/>
      <c r="BOL36" s="57"/>
      <c r="BOM36" s="57"/>
      <c r="BON36" s="56"/>
      <c r="BOO36" s="57"/>
      <c r="BOP36" s="58"/>
      <c r="BOQ36" s="56"/>
      <c r="BOR36" s="57"/>
      <c r="BOS36" s="57"/>
      <c r="BOT36" s="57"/>
      <c r="BOU36" s="56"/>
      <c r="BOV36" s="57"/>
      <c r="BOW36" s="57"/>
      <c r="BOX36" s="56"/>
      <c r="BOY36" s="57"/>
      <c r="BOZ36" s="58"/>
      <c r="BPA36" s="56"/>
      <c r="BPB36" s="57"/>
      <c r="BPC36" s="57"/>
      <c r="BPD36" s="57"/>
      <c r="BPE36" s="56"/>
      <c r="BPF36" s="57"/>
      <c r="BPG36" s="57"/>
      <c r="BPH36" s="57"/>
      <c r="BPI36" s="57"/>
      <c r="BPJ36" s="57"/>
      <c r="BPK36" s="56"/>
      <c r="BPL36" s="57"/>
      <c r="BPM36" s="57"/>
      <c r="BPN36" s="56"/>
      <c r="BPO36" s="57"/>
      <c r="BPP36" s="58"/>
      <c r="BPQ36" s="56"/>
      <c r="BPR36" s="57"/>
      <c r="BPS36" s="57"/>
      <c r="BPT36" s="57"/>
      <c r="BPU36" s="56"/>
      <c r="BPV36" s="57"/>
      <c r="BPW36" s="57"/>
      <c r="BPX36" s="56"/>
      <c r="BPY36" s="57"/>
      <c r="BPZ36" s="58"/>
      <c r="BQA36" s="56"/>
      <c r="BQB36" s="57"/>
      <c r="BQC36" s="57"/>
      <c r="BQD36" s="57"/>
      <c r="BQE36" s="56"/>
      <c r="BQF36" s="57"/>
      <c r="BQG36" s="57"/>
      <c r="BQH36" s="57"/>
      <c r="BQI36" s="57"/>
      <c r="BQJ36" s="57"/>
      <c r="BQK36" s="56"/>
      <c r="BQL36" s="57"/>
      <c r="BQM36" s="57"/>
      <c r="BQN36" s="56"/>
      <c r="BQO36" s="57"/>
      <c r="BQP36" s="58"/>
      <c r="BQQ36" s="56"/>
      <c r="BQR36" s="57"/>
      <c r="BQS36" s="57"/>
      <c r="BQT36" s="57"/>
      <c r="BQU36" s="56"/>
      <c r="BQV36" s="57"/>
      <c r="BQW36" s="57"/>
      <c r="BQX36" s="56"/>
      <c r="BQY36" s="57"/>
      <c r="BQZ36" s="58"/>
      <c r="BRA36" s="56"/>
      <c r="BRB36" s="57"/>
      <c r="BRC36" s="57"/>
      <c r="BRD36" s="57"/>
      <c r="BRE36" s="56"/>
      <c r="BRF36" s="57"/>
      <c r="BRG36" s="57"/>
      <c r="BRH36" s="57"/>
      <c r="BRI36" s="57"/>
      <c r="BRJ36" s="57"/>
      <c r="BRK36" s="56"/>
      <c r="BRL36" s="57"/>
      <c r="BRM36" s="57"/>
      <c r="BRN36" s="56"/>
      <c r="BRO36" s="57"/>
      <c r="BRP36" s="58"/>
      <c r="BRQ36" s="56"/>
      <c r="BRR36" s="57"/>
      <c r="BRS36" s="57"/>
      <c r="BRT36" s="57"/>
      <c r="BRU36" s="56"/>
      <c r="BRV36" s="57"/>
      <c r="BRW36" s="57"/>
      <c r="BRX36" s="56"/>
      <c r="BRY36" s="57"/>
      <c r="BRZ36" s="58"/>
      <c r="BSA36" s="56"/>
      <c r="BSB36" s="57"/>
      <c r="BSC36" s="57"/>
      <c r="BSD36" s="57"/>
      <c r="BSE36" s="56"/>
      <c r="BSF36" s="57"/>
      <c r="BSG36" s="57"/>
      <c r="BSH36" s="57"/>
      <c r="BSI36" s="57"/>
      <c r="BSJ36" s="57"/>
      <c r="BSK36" s="56"/>
      <c r="BSL36" s="57"/>
      <c r="BSM36" s="57"/>
      <c r="BSN36" s="56"/>
      <c r="BSO36" s="57"/>
      <c r="BSP36" s="58"/>
      <c r="BSQ36" s="56"/>
      <c r="BSR36" s="57"/>
      <c r="BSS36" s="57"/>
      <c r="BST36" s="57"/>
      <c r="BSU36" s="56"/>
      <c r="BSV36" s="57"/>
      <c r="BSW36" s="57"/>
      <c r="BSX36" s="56"/>
      <c r="BSY36" s="57"/>
      <c r="BSZ36" s="58"/>
      <c r="BTA36" s="56"/>
      <c r="BTB36" s="57"/>
      <c r="BTC36" s="57"/>
      <c r="BTD36" s="57"/>
      <c r="BTE36" s="56"/>
      <c r="BTF36" s="57"/>
      <c r="BTG36" s="57"/>
      <c r="BTH36" s="57"/>
      <c r="BTI36" s="57"/>
      <c r="BTJ36" s="57"/>
      <c r="BTK36" s="56"/>
      <c r="BTL36" s="57"/>
      <c r="BTM36" s="57"/>
      <c r="BTN36" s="56"/>
      <c r="BTO36" s="57"/>
      <c r="BTP36" s="58"/>
      <c r="BTQ36" s="56"/>
      <c r="BTR36" s="57"/>
      <c r="BTS36" s="57"/>
      <c r="BTT36" s="57"/>
      <c r="BTU36" s="56"/>
      <c r="BTV36" s="57"/>
      <c r="BTW36" s="57"/>
      <c r="BTX36" s="56"/>
      <c r="BTY36" s="57"/>
      <c r="BTZ36" s="58"/>
      <c r="BUA36" s="56"/>
      <c r="BUB36" s="57"/>
      <c r="BUC36" s="57"/>
      <c r="BUD36" s="57"/>
      <c r="BUE36" s="56"/>
      <c r="BUF36" s="57"/>
      <c r="BUG36" s="57"/>
      <c r="BUH36" s="57"/>
      <c r="BUI36" s="57"/>
      <c r="BUJ36" s="57"/>
      <c r="BUK36" s="56"/>
      <c r="BUL36" s="57"/>
      <c r="BUM36" s="57"/>
      <c r="BUN36" s="56"/>
      <c r="BUO36" s="57"/>
      <c r="BUP36" s="58"/>
      <c r="BUQ36" s="56"/>
      <c r="BUR36" s="57"/>
      <c r="BUS36" s="57"/>
      <c r="BUT36" s="57"/>
      <c r="BUU36" s="56"/>
      <c r="BUV36" s="57"/>
      <c r="BUW36" s="57"/>
      <c r="BUX36" s="56"/>
      <c r="BUY36" s="57"/>
      <c r="BUZ36" s="58"/>
      <c r="BVA36" s="56"/>
      <c r="BVB36" s="57"/>
      <c r="BVC36" s="57"/>
      <c r="BVD36" s="57"/>
      <c r="BVE36" s="56"/>
      <c r="BVF36" s="57"/>
      <c r="BVG36" s="57"/>
      <c r="BVH36" s="57"/>
      <c r="BVI36" s="57"/>
      <c r="BVJ36" s="57"/>
      <c r="BVK36" s="56"/>
      <c r="BVL36" s="57"/>
      <c r="BVM36" s="57"/>
      <c r="BVN36" s="56"/>
      <c r="BVO36" s="57"/>
      <c r="BVP36" s="58"/>
      <c r="BVQ36" s="56"/>
      <c r="BVR36" s="57"/>
      <c r="BVS36" s="57"/>
      <c r="BVT36" s="57"/>
      <c r="BVU36" s="56"/>
      <c r="BVV36" s="57"/>
      <c r="BVW36" s="57"/>
      <c r="BVX36" s="56"/>
      <c r="BVY36" s="57"/>
      <c r="BVZ36" s="58"/>
      <c r="BWA36" s="56"/>
      <c r="BWB36" s="57"/>
      <c r="BWC36" s="57"/>
      <c r="BWD36" s="57"/>
      <c r="BWE36" s="56"/>
      <c r="BWF36" s="57"/>
      <c r="BWG36" s="57"/>
      <c r="BWH36" s="57"/>
      <c r="BWI36" s="57"/>
      <c r="BWJ36" s="57"/>
      <c r="BWK36" s="56"/>
      <c r="BWL36" s="57"/>
      <c r="BWM36" s="57"/>
      <c r="BWN36" s="56"/>
      <c r="BWO36" s="57"/>
      <c r="BWP36" s="58"/>
      <c r="BWQ36" s="56"/>
      <c r="BWR36" s="57"/>
      <c r="BWS36" s="57"/>
      <c r="BWT36" s="57"/>
      <c r="BWU36" s="56"/>
      <c r="BWV36" s="57"/>
      <c r="BWW36" s="57"/>
      <c r="BWX36" s="56"/>
      <c r="BWY36" s="57"/>
      <c r="BWZ36" s="58"/>
      <c r="BXA36" s="56"/>
      <c r="BXB36" s="57"/>
      <c r="BXC36" s="57"/>
      <c r="BXD36" s="57"/>
      <c r="BXE36" s="56"/>
      <c r="BXF36" s="57"/>
      <c r="BXG36" s="57"/>
      <c r="BXH36" s="57"/>
      <c r="BXI36" s="57"/>
      <c r="BXJ36" s="57"/>
      <c r="BXK36" s="56"/>
      <c r="BXL36" s="57"/>
      <c r="BXM36" s="57"/>
      <c r="BXN36" s="56"/>
      <c r="BXO36" s="57"/>
      <c r="BXP36" s="58"/>
      <c r="BXQ36" s="56"/>
      <c r="BXR36" s="57"/>
      <c r="BXS36" s="57"/>
      <c r="BXT36" s="57"/>
      <c r="BXU36" s="56"/>
      <c r="BXV36" s="57"/>
      <c r="BXW36" s="57"/>
      <c r="BXX36" s="56"/>
      <c r="BXY36" s="57"/>
      <c r="BXZ36" s="58"/>
      <c r="BYA36" s="56"/>
      <c r="BYB36" s="57"/>
      <c r="BYC36" s="57"/>
      <c r="BYD36" s="57"/>
      <c r="BYE36" s="56"/>
      <c r="BYF36" s="57"/>
      <c r="BYG36" s="57"/>
      <c r="BYH36" s="57"/>
      <c r="BYI36" s="57"/>
      <c r="BYJ36" s="57"/>
      <c r="BYK36" s="56"/>
      <c r="BYL36" s="57"/>
      <c r="BYM36" s="57"/>
      <c r="BYN36" s="56"/>
      <c r="BYO36" s="57"/>
      <c r="BYP36" s="58"/>
      <c r="BYQ36" s="56"/>
      <c r="BYR36" s="57"/>
      <c r="BYS36" s="57"/>
      <c r="BYT36" s="57"/>
      <c r="BYU36" s="56"/>
      <c r="BYV36" s="57"/>
      <c r="BYW36" s="57"/>
      <c r="BYX36" s="58"/>
      <c r="BYY36" s="57"/>
      <c r="BYZ36" s="56"/>
      <c r="BZA36" s="57"/>
      <c r="BZB36" s="56"/>
      <c r="BZC36" s="56"/>
      <c r="BZD36" s="56"/>
      <c r="BZE36" s="57"/>
      <c r="BZF36" s="57"/>
      <c r="BZG36" s="57"/>
      <c r="BZH36" s="57"/>
      <c r="BZI36" s="57"/>
      <c r="BZJ36" s="57"/>
      <c r="BZK36" s="57"/>
      <c r="BZL36" s="57"/>
      <c r="BZM36" s="57"/>
      <c r="BZN36" s="57"/>
      <c r="BZO36" s="57"/>
      <c r="BZP36" s="57"/>
      <c r="BZQ36" s="57"/>
      <c r="BZR36" s="57"/>
      <c r="BZS36" s="57"/>
      <c r="BZT36" s="57"/>
      <c r="BZU36" s="57"/>
      <c r="BZV36" s="57"/>
      <c r="BZW36" s="57"/>
      <c r="BZX36" s="57"/>
      <c r="BZY36" s="57"/>
      <c r="BZZ36" s="57"/>
      <c r="CAA36" s="57"/>
      <c r="CAB36" s="57"/>
      <c r="CAC36" s="57"/>
      <c r="CAD36" s="57"/>
      <c r="CAE36" s="57"/>
      <c r="CAF36" s="57"/>
      <c r="CAG36" s="57"/>
      <c r="CAH36" s="57"/>
      <c r="CAI36" s="57"/>
      <c r="CAJ36" s="57"/>
      <c r="CAK36" s="57"/>
      <c r="CAL36" s="57"/>
      <c r="CAM36" s="57"/>
      <c r="CAN36" s="57"/>
      <c r="CAO36" s="57"/>
      <c r="CAP36" s="58"/>
      <c r="CAQ36" s="56"/>
      <c r="CAR36" s="57"/>
      <c r="CAS36" s="57"/>
      <c r="CAT36" s="57"/>
      <c r="CAU36" s="57"/>
      <c r="CAV36" s="57"/>
      <c r="CAW36" s="56"/>
      <c r="CAX36" s="57"/>
      <c r="CAY36" s="57"/>
      <c r="CAZ36" s="56"/>
      <c r="CBA36" s="57"/>
      <c r="CBB36" s="58"/>
      <c r="CBC36" s="56"/>
      <c r="CBD36" s="57"/>
      <c r="CBE36" s="57"/>
      <c r="CBF36" s="57"/>
      <c r="CBG36" s="56"/>
      <c r="CBH36" s="57"/>
      <c r="CBI36" s="57"/>
      <c r="CBJ36" s="56"/>
      <c r="CBK36" s="57"/>
      <c r="CBL36" s="58"/>
      <c r="CBM36" s="56"/>
      <c r="CBN36" s="57"/>
      <c r="CBO36" s="57"/>
      <c r="CBP36" s="57"/>
      <c r="CBQ36" s="56"/>
      <c r="CBR36" s="57"/>
      <c r="CBS36" s="57"/>
      <c r="CBT36" s="56"/>
      <c r="CBU36" s="57"/>
      <c r="CBV36" s="58"/>
      <c r="CBW36" s="56"/>
      <c r="CBX36" s="57"/>
      <c r="CBY36" s="57"/>
      <c r="CBZ36" s="57"/>
      <c r="CCA36" s="56"/>
      <c r="CCB36" s="57"/>
      <c r="CCC36" s="57"/>
      <c r="CCD36" s="56"/>
      <c r="CCE36" s="57"/>
      <c r="CCF36" s="58"/>
      <c r="CCG36" s="56"/>
      <c r="CCH36" s="58"/>
      <c r="CCI36" s="57"/>
      <c r="CCJ36" s="56"/>
      <c r="CCK36" s="57"/>
      <c r="CCL36" s="56"/>
      <c r="CCM36" s="56"/>
      <c r="CCN36" s="56"/>
      <c r="CCO36" s="57"/>
      <c r="CCP36" s="57"/>
      <c r="CCQ36" s="57"/>
      <c r="CCR36" s="57"/>
      <c r="CCS36" s="57"/>
      <c r="CCT36" s="57"/>
      <c r="CCU36" s="57"/>
      <c r="CCV36" s="57"/>
      <c r="CCW36" s="57"/>
      <c r="CCX36" s="57"/>
      <c r="CCY36" s="57"/>
      <c r="CCZ36" s="57"/>
      <c r="CDA36" s="57"/>
      <c r="CDB36" s="57"/>
      <c r="CDC36" s="57"/>
      <c r="CDD36" s="57"/>
      <c r="CDE36" s="57"/>
      <c r="CDF36" s="57"/>
      <c r="CDG36" s="57"/>
      <c r="CDH36" s="57"/>
      <c r="CDI36" s="57"/>
      <c r="CDJ36" s="57"/>
      <c r="CDK36" s="57"/>
      <c r="CDL36" s="57"/>
      <c r="CDM36" s="57"/>
      <c r="CDN36" s="57"/>
      <c r="CDO36" s="57"/>
      <c r="CDP36" s="57"/>
      <c r="CDQ36" s="57"/>
      <c r="CDR36" s="57"/>
      <c r="CDS36" s="57"/>
      <c r="CDT36" s="57"/>
      <c r="CDU36" s="57"/>
      <c r="CDV36" s="57"/>
      <c r="CDW36" s="57"/>
      <c r="CDX36" s="57"/>
      <c r="CDY36" s="57"/>
      <c r="CDZ36" s="58"/>
      <c r="CEA36" s="56"/>
      <c r="CEB36" s="57"/>
      <c r="CEC36" s="57"/>
      <c r="CED36" s="57"/>
      <c r="CEE36" s="57"/>
      <c r="CEF36" s="57"/>
      <c r="CEG36" s="56"/>
      <c r="CEH36" s="57"/>
      <c r="CEI36" s="57"/>
      <c r="CEJ36" s="56"/>
      <c r="CEK36" s="57"/>
      <c r="CEL36" s="58"/>
      <c r="CEM36" s="56"/>
      <c r="CEN36" s="57"/>
      <c r="CEO36" s="57"/>
      <c r="CEP36" s="57"/>
      <c r="CEQ36" s="56"/>
      <c r="CER36" s="57"/>
      <c r="CES36" s="57"/>
      <c r="CET36" s="56"/>
      <c r="CEU36" s="57"/>
      <c r="CEV36" s="58"/>
      <c r="CEW36" s="56"/>
      <c r="CEX36" s="57"/>
      <c r="CEY36" s="57"/>
      <c r="CEZ36" s="57"/>
      <c r="CFA36" s="56"/>
      <c r="CFB36" s="57"/>
      <c r="CFC36" s="57"/>
      <c r="CFD36" s="56"/>
      <c r="CFE36" s="57"/>
      <c r="CFF36" s="58"/>
      <c r="CFG36" s="56"/>
      <c r="CFH36" s="57"/>
      <c r="CFI36" s="57"/>
      <c r="CFJ36" s="57"/>
      <c r="CFK36" s="56"/>
      <c r="CFL36" s="57"/>
      <c r="CFM36" s="57"/>
      <c r="CFN36" s="56"/>
      <c r="CFO36" s="57"/>
      <c r="CFP36" s="58"/>
      <c r="CFQ36" s="56"/>
      <c r="CFR36" s="58"/>
      <c r="CFS36" s="57"/>
      <c r="CFT36" s="56"/>
      <c r="CFU36" s="57"/>
      <c r="CFV36" s="56"/>
      <c r="CFW36" s="56"/>
      <c r="CFX36" s="56"/>
      <c r="CFY36" s="57"/>
      <c r="CFZ36" s="57"/>
      <c r="CGA36" s="57"/>
      <c r="CGB36" s="57"/>
      <c r="CGC36" s="57"/>
      <c r="CGD36" s="57"/>
      <c r="CGE36" s="57"/>
      <c r="CGF36" s="57"/>
      <c r="CGG36" s="57"/>
      <c r="CGH36" s="57"/>
      <c r="CGI36" s="57"/>
      <c r="CGJ36" s="57"/>
      <c r="CGK36" s="57"/>
      <c r="CGL36" s="57"/>
      <c r="CGM36" s="57"/>
      <c r="CGN36" s="57"/>
      <c r="CGO36" s="57"/>
      <c r="CGP36" s="57"/>
      <c r="CGQ36" s="57"/>
      <c r="CGR36" s="57"/>
      <c r="CGS36" s="57"/>
      <c r="CGT36" s="57"/>
      <c r="CGU36" s="57"/>
      <c r="CGV36" s="57"/>
      <c r="CGW36" s="57"/>
      <c r="CGX36" s="57"/>
      <c r="CGY36" s="57"/>
      <c r="CGZ36" s="57"/>
      <c r="CHA36" s="57"/>
      <c r="CHB36" s="57"/>
      <c r="CHC36" s="57"/>
      <c r="CHD36" s="57"/>
      <c r="CHE36" s="57"/>
      <c r="CHF36" s="57"/>
      <c r="CHG36" s="57"/>
      <c r="CHH36" s="57"/>
      <c r="CHI36" s="57"/>
      <c r="CHJ36" s="58"/>
      <c r="CHK36" s="56"/>
      <c r="CHL36" s="57"/>
      <c r="CHM36" s="57"/>
      <c r="CHN36" s="57"/>
      <c r="CHO36" s="57"/>
      <c r="CHP36" s="57"/>
      <c r="CHQ36" s="56"/>
      <c r="CHR36" s="57"/>
      <c r="CHS36" s="57"/>
      <c r="CHT36" s="56"/>
      <c r="CHU36" s="57"/>
      <c r="CHV36" s="58"/>
      <c r="CHW36" s="56"/>
      <c r="CHX36" s="57"/>
      <c r="CHY36" s="57"/>
      <c r="CHZ36" s="57"/>
      <c r="CIA36" s="56"/>
      <c r="CIB36" s="57"/>
      <c r="CIC36" s="57"/>
      <c r="CID36" s="56"/>
      <c r="CIE36" s="57"/>
      <c r="CIF36" s="58"/>
      <c r="CIG36" s="56"/>
      <c r="CIH36" s="57"/>
      <c r="CII36" s="57"/>
      <c r="CIJ36" s="57"/>
      <c r="CIK36" s="56"/>
      <c r="CIL36" s="57"/>
      <c r="CIM36" s="57"/>
      <c r="CIN36" s="56"/>
      <c r="CIO36" s="57"/>
      <c r="CIP36" s="58"/>
      <c r="CIQ36" s="56"/>
      <c r="CIR36" s="57"/>
      <c r="CIS36" s="57"/>
      <c r="CIT36" s="57"/>
      <c r="CIU36" s="56"/>
      <c r="CIV36" s="57"/>
      <c r="CIW36" s="57"/>
      <c r="CIX36" s="56"/>
      <c r="CIY36" s="57"/>
      <c r="CIZ36" s="58"/>
      <c r="CJA36" s="56"/>
      <c r="CJB36" s="58"/>
      <c r="CJC36" s="57"/>
      <c r="CJD36" s="56"/>
      <c r="CJE36" s="57"/>
      <c r="CJF36" s="56"/>
      <c r="CJG36" s="56"/>
      <c r="CJH36" s="56"/>
      <c r="CJI36" s="57"/>
      <c r="CJJ36" s="57"/>
      <c r="CJK36" s="57"/>
      <c r="CJL36" s="57"/>
      <c r="CJM36" s="57"/>
      <c r="CJN36" s="57"/>
      <c r="CJO36" s="57"/>
      <c r="CJP36" s="57"/>
      <c r="CJQ36" s="57"/>
      <c r="CJR36" s="57"/>
      <c r="CJS36" s="57"/>
      <c r="CJT36" s="57"/>
      <c r="CJU36" s="57"/>
      <c r="CJV36" s="57"/>
      <c r="CJW36" s="57"/>
      <c r="CJX36" s="57"/>
      <c r="CJY36" s="57"/>
      <c r="CJZ36" s="57"/>
      <c r="CKA36" s="57"/>
      <c r="CKB36" s="57"/>
      <c r="CKC36" s="57"/>
      <c r="CKD36" s="57"/>
      <c r="CKE36" s="57"/>
      <c r="CKF36" s="57"/>
      <c r="CKG36" s="57"/>
      <c r="CKH36" s="57"/>
      <c r="CKI36" s="57"/>
      <c r="CKJ36" s="57"/>
      <c r="CKK36" s="57"/>
      <c r="CKL36" s="57"/>
      <c r="CKM36" s="57"/>
      <c r="CKN36" s="57"/>
      <c r="CKO36" s="57"/>
      <c r="CKP36" s="57"/>
      <c r="CKQ36" s="57"/>
      <c r="CKR36" s="57"/>
      <c r="CKS36" s="57"/>
      <c r="CKT36" s="58"/>
      <c r="CKU36" s="56"/>
      <c r="CKV36" s="57"/>
      <c r="CKW36" s="57"/>
      <c r="CKX36" s="57"/>
      <c r="CKY36" s="57"/>
      <c r="CKZ36" s="57"/>
      <c r="CLA36" s="56"/>
      <c r="CLB36" s="57"/>
      <c r="CLC36" s="57"/>
      <c r="CLD36" s="56"/>
      <c r="CLE36" s="57"/>
      <c r="CLF36" s="58"/>
      <c r="CLG36" s="56"/>
      <c r="CLH36" s="57"/>
      <c r="CLI36" s="57"/>
      <c r="CLJ36" s="57"/>
      <c r="CLK36" s="56"/>
      <c r="CLL36" s="57"/>
      <c r="CLM36" s="57"/>
      <c r="CLN36" s="56"/>
      <c r="CLO36" s="57"/>
      <c r="CLP36" s="58"/>
      <c r="CLQ36" s="56"/>
      <c r="CLR36" s="57"/>
      <c r="CLS36" s="57"/>
      <c r="CLT36" s="57"/>
      <c r="CLU36" s="56"/>
      <c r="CLV36" s="57"/>
      <c r="CLW36" s="57"/>
      <c r="CLX36" s="56"/>
      <c r="CLY36" s="57"/>
      <c r="CLZ36" s="58"/>
      <c r="CMA36" s="56"/>
      <c r="CMB36" s="57"/>
      <c r="CMC36" s="57"/>
      <c r="CMD36" s="57"/>
      <c r="CME36" s="56"/>
      <c r="CMF36" s="57"/>
      <c r="CMG36" s="57"/>
      <c r="CMH36" s="56"/>
      <c r="CMI36" s="57"/>
      <c r="CMJ36" s="58"/>
      <c r="CMK36" s="56"/>
      <c r="CML36" s="58"/>
      <c r="CMM36" s="57"/>
      <c r="CMN36" s="56"/>
      <c r="CMO36" s="57"/>
      <c r="CMP36" s="56"/>
      <c r="CMQ36" s="56"/>
      <c r="CMR36" s="56"/>
      <c r="CMS36" s="57"/>
      <c r="CMT36" s="57"/>
      <c r="CMU36" s="57"/>
      <c r="CMV36" s="57"/>
      <c r="CMW36" s="57"/>
      <c r="CMX36" s="57"/>
      <c r="CMY36" s="57"/>
      <c r="CMZ36" s="57"/>
      <c r="CNA36" s="57"/>
      <c r="CNB36" s="57"/>
      <c r="CNC36" s="57"/>
      <c r="CND36" s="57"/>
      <c r="CNE36" s="57"/>
      <c r="CNF36" s="57"/>
      <c r="CNG36" s="57"/>
      <c r="CNH36" s="57"/>
      <c r="CNI36" s="57"/>
      <c r="CNJ36" s="57"/>
      <c r="CNK36" s="57"/>
      <c r="CNL36" s="57"/>
      <c r="CNM36" s="57"/>
      <c r="CNN36" s="57"/>
      <c r="CNO36" s="57"/>
      <c r="CNP36" s="57"/>
      <c r="CNQ36" s="57"/>
      <c r="CNR36" s="57"/>
      <c r="CNS36" s="57"/>
      <c r="CNT36" s="57"/>
      <c r="CNU36" s="57"/>
      <c r="CNV36" s="57"/>
      <c r="CNW36" s="57"/>
      <c r="CNX36" s="57"/>
      <c r="CNY36" s="57"/>
      <c r="CNZ36" s="57"/>
      <c r="COA36" s="57"/>
      <c r="COB36" s="57"/>
      <c r="COC36" s="57"/>
      <c r="COD36" s="58"/>
      <c r="COE36" s="56"/>
      <c r="COF36" s="57"/>
      <c r="COG36" s="57"/>
      <c r="COH36" s="57"/>
      <c r="COI36" s="57"/>
      <c r="COJ36" s="57"/>
      <c r="COK36" s="56"/>
      <c r="COL36" s="57"/>
      <c r="COM36" s="57"/>
      <c r="CON36" s="56"/>
      <c r="COO36" s="57"/>
      <c r="COP36" s="58"/>
      <c r="COQ36" s="56"/>
      <c r="COR36" s="57"/>
      <c r="COS36" s="57"/>
      <c r="COT36" s="57"/>
      <c r="COU36" s="56"/>
      <c r="COV36" s="57"/>
      <c r="COW36" s="57"/>
      <c r="COX36" s="56"/>
      <c r="COY36" s="57"/>
      <c r="COZ36" s="58"/>
      <c r="CPA36" s="56"/>
      <c r="CPB36" s="57"/>
      <c r="CPC36" s="57"/>
      <c r="CPD36" s="57"/>
      <c r="CPE36" s="56"/>
      <c r="CPF36" s="57"/>
      <c r="CPG36" s="57"/>
      <c r="CPH36" s="56"/>
      <c r="CPI36" s="57"/>
      <c r="CPJ36" s="58"/>
      <c r="CPK36" s="56"/>
      <c r="CPL36" s="57"/>
      <c r="CPM36" s="57"/>
      <c r="CPN36" s="57"/>
      <c r="CPO36" s="56"/>
      <c r="CPP36" s="57"/>
      <c r="CPQ36" s="57"/>
      <c r="CPR36" s="56"/>
      <c r="CPS36" s="57"/>
      <c r="CPT36" s="58"/>
      <c r="CPU36" s="56"/>
      <c r="CPV36" s="58"/>
      <c r="CPW36" s="57"/>
      <c r="CPX36" s="56"/>
      <c r="CPY36" s="57"/>
      <c r="CPZ36" s="56"/>
      <c r="CQA36" s="56"/>
      <c r="CQB36" s="56"/>
      <c r="CQC36" s="57"/>
      <c r="CQD36" s="57"/>
      <c r="CQE36" s="57"/>
      <c r="CQF36" s="57"/>
      <c r="CQG36" s="57"/>
      <c r="CQH36" s="57"/>
      <c r="CQI36" s="57"/>
      <c r="CQJ36" s="57"/>
      <c r="CQK36" s="57"/>
      <c r="CQL36" s="57"/>
      <c r="CQM36" s="57"/>
      <c r="CQN36" s="57"/>
      <c r="CQO36" s="57"/>
      <c r="CQP36" s="57"/>
      <c r="CQQ36" s="57"/>
      <c r="CQR36" s="57"/>
      <c r="CQS36" s="57"/>
      <c r="CQT36" s="57"/>
      <c r="CQU36" s="57"/>
      <c r="CQV36" s="57"/>
      <c r="CQW36" s="57"/>
      <c r="CQX36" s="57"/>
      <c r="CQY36" s="57"/>
      <c r="CQZ36" s="57"/>
      <c r="CRA36" s="57"/>
      <c r="CRB36" s="57"/>
      <c r="CRC36" s="57"/>
      <c r="CRD36" s="57"/>
      <c r="CRE36" s="57"/>
      <c r="CRF36" s="57"/>
      <c r="CRG36" s="57"/>
      <c r="CRH36" s="57"/>
      <c r="CRI36" s="57"/>
      <c r="CRJ36" s="57"/>
      <c r="CRK36" s="57"/>
      <c r="CRL36" s="57"/>
      <c r="CRM36" s="57"/>
      <c r="CRN36" s="58"/>
      <c r="CRO36" s="56"/>
      <c r="CRP36" s="57"/>
      <c r="CRQ36" s="57"/>
      <c r="CRR36" s="57"/>
      <c r="CRS36" s="57"/>
      <c r="CRT36" s="57"/>
      <c r="CRU36" s="56"/>
      <c r="CRV36" s="57"/>
      <c r="CRW36" s="57"/>
      <c r="CRX36" s="56"/>
      <c r="CRY36" s="57"/>
      <c r="CRZ36" s="58"/>
      <c r="CSA36" s="56"/>
      <c r="CSB36" s="57"/>
      <c r="CSC36" s="57"/>
      <c r="CSD36" s="57"/>
      <c r="CSE36" s="56"/>
      <c r="CSF36" s="57"/>
      <c r="CSG36" s="57"/>
      <c r="CSH36" s="56"/>
      <c r="CSI36" s="57"/>
      <c r="CSJ36" s="58"/>
      <c r="CSK36" s="56"/>
      <c r="CSL36" s="57"/>
      <c r="CSM36" s="57"/>
      <c r="CSN36" s="57"/>
      <c r="CSO36" s="56"/>
      <c r="CSP36" s="57"/>
      <c r="CSQ36" s="57"/>
      <c r="CSR36" s="56"/>
      <c r="CSS36" s="57"/>
      <c r="CST36" s="58"/>
      <c r="CSU36" s="56"/>
      <c r="CSV36" s="57"/>
      <c r="CSW36" s="57"/>
      <c r="CSX36" s="57"/>
      <c r="CSY36" s="56"/>
      <c r="CSZ36" s="57"/>
      <c r="CTA36" s="57"/>
      <c r="CTB36" s="56"/>
      <c r="CTC36" s="57"/>
      <c r="CTD36" s="58"/>
      <c r="CTE36" s="56"/>
      <c r="CTF36" s="58"/>
      <c r="CTG36" s="57"/>
      <c r="CTH36" s="56"/>
      <c r="CTI36" s="57"/>
      <c r="CTJ36" s="56"/>
      <c r="CTK36" s="56"/>
      <c r="CTL36" s="56"/>
      <c r="CTM36" s="57"/>
      <c r="CTN36" s="57"/>
      <c r="CTO36" s="57"/>
      <c r="CTP36" s="57"/>
      <c r="CTQ36" s="57"/>
      <c r="CTR36" s="57"/>
      <c r="CTS36" s="57"/>
      <c r="CTT36" s="57"/>
      <c r="CTU36" s="57"/>
      <c r="CTV36" s="57"/>
      <c r="CTW36" s="57"/>
      <c r="CTX36" s="57"/>
      <c r="CTY36" s="57"/>
      <c r="CTZ36" s="57"/>
      <c r="CUA36" s="57"/>
      <c r="CUB36" s="57"/>
      <c r="CUC36" s="57"/>
      <c r="CUD36" s="57"/>
      <c r="CUE36" s="57"/>
      <c r="CUF36" s="57"/>
      <c r="CUG36" s="57"/>
      <c r="CUH36" s="57"/>
      <c r="CUI36" s="57"/>
      <c r="CUJ36" s="57"/>
      <c r="CUK36" s="57"/>
      <c r="CUL36" s="57"/>
      <c r="CUM36" s="57"/>
      <c r="CUN36" s="57"/>
      <c r="CUO36" s="57"/>
      <c r="CUP36" s="57"/>
      <c r="CUQ36" s="57"/>
      <c r="CUR36" s="57"/>
      <c r="CUS36" s="57"/>
      <c r="CUT36" s="57"/>
      <c r="CUU36" s="57"/>
      <c r="CUV36" s="57"/>
      <c r="CUW36" s="57"/>
      <c r="CUX36" s="58"/>
      <c r="CUY36" s="56"/>
      <c r="CUZ36" s="57"/>
      <c r="CVA36" s="57"/>
      <c r="CVB36" s="57"/>
      <c r="CVC36" s="57"/>
      <c r="CVD36" s="57"/>
      <c r="CVE36" s="56"/>
      <c r="CVF36" s="57"/>
      <c r="CVG36" s="57"/>
      <c r="CVH36" s="56"/>
      <c r="CVI36" s="57"/>
      <c r="CVJ36" s="58"/>
      <c r="CVK36" s="56"/>
      <c r="CVL36" s="57"/>
      <c r="CVM36" s="57"/>
      <c r="CVN36" s="57"/>
      <c r="CVO36" s="56"/>
      <c r="CVP36" s="57"/>
      <c r="CVQ36" s="57"/>
      <c r="CVR36" s="56"/>
      <c r="CVS36" s="57"/>
      <c r="CVT36" s="58"/>
      <c r="CVU36" s="56"/>
      <c r="CVV36" s="57"/>
      <c r="CVW36" s="57"/>
      <c r="CVX36" s="57"/>
      <c r="CVY36" s="56"/>
      <c r="CVZ36" s="57"/>
      <c r="CWA36" s="57"/>
      <c r="CWB36" s="56"/>
      <c r="CWC36" s="57"/>
      <c r="CWD36" s="58"/>
      <c r="CWE36" s="56"/>
      <c r="CWF36" s="57"/>
      <c r="CWG36" s="57"/>
      <c r="CWH36" s="57"/>
      <c r="CWI36" s="56"/>
      <c r="CWJ36" s="57"/>
      <c r="CWK36" s="57"/>
      <c r="CWL36" s="56"/>
      <c r="CWM36" s="57"/>
      <c r="CWN36" s="58"/>
      <c r="CWO36" s="56"/>
      <c r="CWP36" s="58"/>
      <c r="CWQ36" s="57"/>
      <c r="CWR36" s="56"/>
      <c r="CWS36" s="57"/>
      <c r="CWT36" s="56"/>
      <c r="CWU36" s="56"/>
      <c r="CWV36" s="56"/>
      <c r="CWW36" s="57"/>
      <c r="CWX36" s="57"/>
      <c r="CWY36" s="57"/>
      <c r="CWZ36" s="57"/>
      <c r="CXA36" s="57"/>
      <c r="CXB36" s="57"/>
      <c r="CXC36" s="57"/>
      <c r="CXD36" s="57"/>
      <c r="CXE36" s="57"/>
      <c r="CXF36" s="57"/>
      <c r="CXG36" s="57"/>
      <c r="CXH36" s="57"/>
      <c r="CXI36" s="57"/>
      <c r="CXJ36" s="57"/>
      <c r="CXK36" s="57"/>
      <c r="CXL36" s="57"/>
      <c r="CXM36" s="57"/>
      <c r="CXN36" s="57"/>
      <c r="CXO36" s="57"/>
      <c r="CXP36" s="57"/>
      <c r="CXQ36" s="57"/>
      <c r="CXR36" s="57"/>
      <c r="CXS36" s="57"/>
      <c r="CXT36" s="57"/>
      <c r="CXU36" s="57"/>
      <c r="CXV36" s="57"/>
      <c r="CXW36" s="57"/>
      <c r="CXX36" s="57"/>
      <c r="CXY36" s="57"/>
      <c r="CXZ36" s="57"/>
      <c r="CYA36" s="57"/>
      <c r="CYB36" s="57"/>
      <c r="CYC36" s="57"/>
      <c r="CYD36" s="57"/>
      <c r="CYE36" s="57"/>
      <c r="CYF36" s="57"/>
      <c r="CYG36" s="57"/>
      <c r="CYH36" s="58"/>
      <c r="CYI36" s="56"/>
      <c r="CYJ36" s="57"/>
      <c r="CYK36" s="57"/>
      <c r="CYL36" s="57"/>
      <c r="CYM36" s="57"/>
      <c r="CYN36" s="57"/>
      <c r="CYO36" s="56"/>
      <c r="CYP36" s="57"/>
      <c r="CYQ36" s="57"/>
      <c r="CYR36" s="56"/>
      <c r="CYS36" s="57"/>
      <c r="CYT36" s="58"/>
      <c r="CYU36" s="56"/>
      <c r="CYV36" s="57"/>
      <c r="CYW36" s="57"/>
      <c r="CYX36" s="57"/>
      <c r="CYY36" s="56"/>
      <c r="CYZ36" s="57"/>
      <c r="CZA36" s="57"/>
      <c r="CZB36" s="56"/>
      <c r="CZC36" s="57"/>
      <c r="CZD36" s="58"/>
      <c r="CZE36" s="56"/>
      <c r="CZF36" s="57"/>
      <c r="CZG36" s="57"/>
      <c r="CZH36" s="57"/>
      <c r="CZI36" s="56"/>
      <c r="CZJ36" s="57"/>
      <c r="CZK36" s="57"/>
      <c r="CZL36" s="56"/>
      <c r="CZM36" s="57"/>
      <c r="CZN36" s="58"/>
      <c r="CZO36" s="56"/>
      <c r="CZP36" s="57"/>
      <c r="CZQ36" s="57"/>
      <c r="CZR36" s="57"/>
      <c r="CZS36" s="56"/>
      <c r="CZT36" s="57"/>
      <c r="CZU36" s="57"/>
      <c r="CZV36" s="56"/>
      <c r="CZW36" s="57"/>
      <c r="CZX36" s="58"/>
      <c r="CZY36" s="56"/>
      <c r="CZZ36" s="58"/>
      <c r="DAA36" s="57"/>
      <c r="DAB36" s="56"/>
      <c r="DAC36" s="57"/>
      <c r="DAD36" s="56"/>
      <c r="DAE36" s="56"/>
      <c r="DAF36" s="56"/>
      <c r="DAG36" s="57"/>
      <c r="DAH36" s="57"/>
      <c r="DAI36" s="57"/>
      <c r="DAJ36" s="57"/>
      <c r="DAK36" s="57"/>
      <c r="DAL36" s="57"/>
      <c r="DAM36" s="57"/>
      <c r="DAN36" s="57"/>
      <c r="DAO36" s="57"/>
      <c r="DAP36" s="57"/>
      <c r="DAQ36" s="57"/>
      <c r="DAR36" s="57"/>
      <c r="DAS36" s="57"/>
      <c r="DAT36" s="57"/>
      <c r="DAU36" s="57"/>
      <c r="DAV36" s="57"/>
      <c r="DAW36" s="57"/>
      <c r="DAX36" s="57"/>
      <c r="DAY36" s="57"/>
      <c r="DAZ36" s="57"/>
      <c r="DBA36" s="57"/>
      <c r="DBB36" s="57"/>
      <c r="DBC36" s="57"/>
      <c r="DBD36" s="57"/>
      <c r="DBE36" s="57"/>
      <c r="DBF36" s="57"/>
      <c r="DBG36" s="57"/>
      <c r="DBH36" s="57"/>
      <c r="DBI36" s="57"/>
      <c r="DBJ36" s="57"/>
      <c r="DBK36" s="57"/>
      <c r="DBL36" s="57"/>
      <c r="DBM36" s="57"/>
      <c r="DBN36" s="57"/>
      <c r="DBO36" s="57"/>
      <c r="DBP36" s="57"/>
      <c r="DBQ36" s="57"/>
      <c r="DBR36" s="58"/>
      <c r="DBS36" s="56"/>
      <c r="DBT36" s="57"/>
      <c r="DBU36" s="57"/>
      <c r="DBV36" s="57"/>
      <c r="DBW36" s="57"/>
      <c r="DBX36" s="57"/>
      <c r="DBY36" s="56"/>
      <c r="DBZ36" s="57"/>
      <c r="DCA36" s="57"/>
      <c r="DCB36" s="56"/>
      <c r="DCC36" s="57"/>
      <c r="DCD36" s="58"/>
      <c r="DCE36" s="56"/>
      <c r="DCF36" s="57"/>
      <c r="DCG36" s="57"/>
      <c r="DCH36" s="57"/>
      <c r="DCI36" s="56"/>
      <c r="DCJ36" s="57"/>
      <c r="DCK36" s="57"/>
      <c r="DCL36" s="56"/>
      <c r="DCM36" s="57"/>
      <c r="DCN36" s="58"/>
      <c r="DCO36" s="56"/>
      <c r="DCP36" s="57"/>
      <c r="DCQ36" s="57"/>
      <c r="DCR36" s="57"/>
      <c r="DCS36" s="56"/>
      <c r="DCT36" s="57"/>
      <c r="DCU36" s="57"/>
      <c r="DCV36" s="56"/>
      <c r="DCW36" s="57"/>
      <c r="DCX36" s="58"/>
      <c r="DCY36" s="56"/>
      <c r="DCZ36" s="57"/>
      <c r="DDA36" s="57"/>
      <c r="DDB36" s="57"/>
      <c r="DDC36" s="56"/>
      <c r="DDD36" s="57"/>
      <c r="DDE36" s="57"/>
      <c r="DDF36" s="56"/>
      <c r="DDG36" s="57"/>
      <c r="DDH36" s="58"/>
      <c r="DDI36" s="56"/>
      <c r="DDJ36" s="58"/>
      <c r="DDK36" s="57"/>
      <c r="DDL36" s="56"/>
      <c r="DDM36" s="57"/>
      <c r="DDN36" s="56"/>
      <c r="DDO36" s="56"/>
      <c r="DDP36" s="56"/>
      <c r="DDQ36" s="57"/>
      <c r="DDR36" s="57"/>
      <c r="DDS36" s="57"/>
      <c r="DDT36" s="57"/>
      <c r="DDU36" s="57"/>
      <c r="DDV36" s="57"/>
      <c r="DDW36" s="57"/>
      <c r="DDX36" s="57"/>
      <c r="DDY36" s="57"/>
      <c r="DDZ36" s="57"/>
      <c r="DEA36" s="57"/>
      <c r="DEB36" s="57"/>
      <c r="DEC36" s="57"/>
      <c r="DED36" s="57"/>
      <c r="DEE36" s="57"/>
      <c r="DEF36" s="57"/>
      <c r="DEG36" s="57"/>
      <c r="DEH36" s="57"/>
      <c r="DEI36" s="57"/>
      <c r="DEJ36" s="57"/>
      <c r="DEK36" s="57"/>
      <c r="DEL36" s="57"/>
      <c r="DEM36" s="57"/>
      <c r="DEN36" s="57"/>
      <c r="DEO36" s="57"/>
      <c r="DEP36" s="57"/>
      <c r="DEQ36" s="57"/>
      <c r="DER36" s="57"/>
      <c r="DES36" s="57"/>
      <c r="DET36" s="57"/>
      <c r="DEU36" s="57"/>
      <c r="DEV36" s="57"/>
      <c r="DEW36" s="57"/>
      <c r="DEX36" s="57"/>
      <c r="DEY36" s="57"/>
      <c r="DEZ36" s="57"/>
      <c r="DFA36" s="57"/>
      <c r="DFB36" s="58"/>
      <c r="DFC36" s="56"/>
      <c r="DFD36" s="57"/>
      <c r="DFE36" s="57"/>
      <c r="DFF36" s="57"/>
      <c r="DFG36" s="57"/>
      <c r="DFH36" s="57"/>
      <c r="DFI36" s="56"/>
      <c r="DFJ36" s="57"/>
      <c r="DFK36" s="57"/>
      <c r="DFL36" s="56"/>
      <c r="DFM36" s="57"/>
      <c r="DFN36" s="58"/>
      <c r="DFO36" s="56"/>
      <c r="DFP36" s="57"/>
      <c r="DFQ36" s="57"/>
      <c r="DFR36" s="57"/>
      <c r="DFS36" s="56"/>
      <c r="DFT36" s="57"/>
      <c r="DFU36" s="57"/>
      <c r="DFV36" s="56"/>
      <c r="DFW36" s="57"/>
      <c r="DFX36" s="58"/>
      <c r="DFY36" s="56"/>
      <c r="DFZ36" s="57"/>
      <c r="DGA36" s="57"/>
      <c r="DGB36" s="57"/>
      <c r="DGC36" s="56"/>
      <c r="DGD36" s="57"/>
      <c r="DGE36" s="57"/>
      <c r="DGF36" s="56"/>
      <c r="DGG36" s="57"/>
      <c r="DGH36" s="58"/>
      <c r="DGI36" s="56"/>
      <c r="DGJ36" s="57"/>
      <c r="DGK36" s="57"/>
      <c r="DGL36" s="57"/>
      <c r="DGM36" s="56"/>
      <c r="DGN36" s="57"/>
      <c r="DGO36" s="57"/>
      <c r="DGP36" s="56"/>
      <c r="DGQ36" s="57"/>
      <c r="DGR36" s="58"/>
      <c r="DGS36" s="56"/>
      <c r="DGT36" s="58"/>
      <c r="DGU36" s="57"/>
      <c r="DGV36" s="56"/>
      <c r="DGW36" s="57"/>
      <c r="DGX36" s="56"/>
      <c r="DGY36" s="56"/>
      <c r="DGZ36" s="56"/>
      <c r="DHA36" s="57"/>
      <c r="DHB36" s="57"/>
      <c r="DHC36" s="57"/>
      <c r="DHD36" s="57"/>
      <c r="DHE36" s="57"/>
      <c r="DHF36" s="57"/>
      <c r="DHG36" s="57"/>
      <c r="DHH36" s="57"/>
      <c r="DHI36" s="57"/>
      <c r="DHJ36" s="57"/>
      <c r="DHK36" s="57"/>
      <c r="DHL36" s="57"/>
      <c r="DHM36" s="57"/>
      <c r="DHN36" s="57"/>
      <c r="DHO36" s="57"/>
      <c r="DHP36" s="57"/>
      <c r="DHQ36" s="57"/>
      <c r="DHR36" s="57"/>
      <c r="DHS36" s="57"/>
      <c r="DHT36" s="57"/>
      <c r="DHU36" s="57"/>
      <c r="DHV36" s="57"/>
      <c r="DHW36" s="57"/>
      <c r="DHX36" s="57"/>
      <c r="DHY36" s="57"/>
      <c r="DHZ36" s="57"/>
      <c r="DIA36" s="57"/>
      <c r="DIB36" s="57"/>
      <c r="DIC36" s="57"/>
      <c r="DID36" s="57"/>
      <c r="DIE36" s="57"/>
      <c r="DIF36" s="57"/>
      <c r="DIG36" s="57"/>
      <c r="DIH36" s="57"/>
      <c r="DII36" s="57"/>
      <c r="DIJ36" s="57"/>
      <c r="DIK36" s="57"/>
      <c r="DIL36" s="58"/>
      <c r="DIM36" s="56"/>
      <c r="DIN36" s="57"/>
      <c r="DIO36" s="57"/>
      <c r="DIP36" s="57"/>
      <c r="DIQ36" s="57"/>
      <c r="DIR36" s="57"/>
      <c r="DIS36" s="56"/>
      <c r="DIT36" s="57"/>
      <c r="DIU36" s="57"/>
      <c r="DIV36" s="56"/>
      <c r="DIW36" s="57"/>
      <c r="DIX36" s="58"/>
      <c r="DIY36" s="56"/>
      <c r="DIZ36" s="57"/>
      <c r="DJA36" s="57"/>
      <c r="DJB36" s="57"/>
      <c r="DJC36" s="56"/>
      <c r="DJD36" s="57"/>
      <c r="DJE36" s="57"/>
      <c r="DJF36" s="56"/>
      <c r="DJG36" s="57"/>
      <c r="DJH36" s="58"/>
      <c r="DJI36" s="56"/>
      <c r="DJJ36" s="57"/>
      <c r="DJK36" s="57"/>
      <c r="DJL36" s="57"/>
      <c r="DJM36" s="56"/>
      <c r="DJN36" s="57"/>
      <c r="DJO36" s="57"/>
      <c r="DJP36" s="56"/>
      <c r="DJQ36" s="57"/>
      <c r="DJR36" s="58"/>
      <c r="DJS36" s="56"/>
      <c r="DJT36" s="57"/>
      <c r="DJU36" s="57"/>
      <c r="DJV36" s="57"/>
      <c r="DJW36" s="56"/>
      <c r="DJX36" s="57"/>
      <c r="DJY36" s="57"/>
      <c r="DJZ36" s="56"/>
      <c r="DKA36" s="57"/>
      <c r="DKB36" s="58"/>
      <c r="DKC36" s="56"/>
      <c r="DKD36" s="58"/>
      <c r="DKE36" s="57"/>
      <c r="DKF36" s="56"/>
      <c r="DKG36" s="57"/>
      <c r="DKH36" s="56"/>
      <c r="DKI36" s="56"/>
      <c r="DKJ36" s="56"/>
      <c r="DKK36" s="57"/>
      <c r="DKL36" s="57"/>
      <c r="DKM36" s="57"/>
      <c r="DKN36" s="57"/>
      <c r="DKO36" s="57"/>
      <c r="DKP36" s="57"/>
      <c r="DKQ36" s="57"/>
      <c r="DKR36" s="57"/>
      <c r="DKS36" s="57"/>
      <c r="DKT36" s="57"/>
      <c r="DKU36" s="57"/>
      <c r="DKV36" s="57"/>
      <c r="DKW36" s="57"/>
      <c r="DKX36" s="57"/>
      <c r="DKY36" s="57"/>
      <c r="DKZ36" s="57"/>
      <c r="DLA36" s="57"/>
      <c r="DLB36" s="57"/>
      <c r="DLC36" s="57"/>
      <c r="DLD36" s="57"/>
      <c r="DLE36" s="57"/>
      <c r="DLF36" s="57"/>
      <c r="DLG36" s="57"/>
      <c r="DLH36" s="57"/>
      <c r="DLI36" s="57"/>
      <c r="DLJ36" s="57"/>
      <c r="DLK36" s="57"/>
      <c r="DLL36" s="57"/>
      <c r="DLM36" s="57"/>
      <c r="DLN36" s="57"/>
      <c r="DLO36" s="57"/>
      <c r="DLP36" s="57"/>
      <c r="DLQ36" s="57"/>
      <c r="DLR36" s="57"/>
      <c r="DLS36" s="57"/>
      <c r="DLT36" s="57"/>
      <c r="DLU36" s="57"/>
      <c r="DLV36" s="58"/>
      <c r="DLW36" s="56"/>
      <c r="DLX36" s="57"/>
      <c r="DLY36" s="57"/>
      <c r="DLZ36" s="57"/>
      <c r="DMA36" s="57"/>
      <c r="DMB36" s="57"/>
      <c r="DMC36" s="56"/>
      <c r="DMD36" s="57"/>
      <c r="DME36" s="57"/>
      <c r="DMF36" s="56"/>
      <c r="DMG36" s="57"/>
      <c r="DMH36" s="58"/>
      <c r="DMI36" s="56"/>
      <c r="DMJ36" s="57"/>
      <c r="DMK36" s="57"/>
      <c r="DML36" s="57"/>
      <c r="DMM36" s="56"/>
      <c r="DMN36" s="57"/>
      <c r="DMO36" s="57"/>
      <c r="DMP36" s="56"/>
      <c r="DMQ36" s="57"/>
      <c r="DMR36" s="58"/>
      <c r="DMS36" s="56"/>
      <c r="DMT36" s="57"/>
      <c r="DMU36" s="57"/>
      <c r="DMV36" s="57"/>
      <c r="DMW36" s="56"/>
      <c r="DMX36" s="57"/>
      <c r="DMY36" s="57"/>
      <c r="DMZ36" s="56"/>
      <c r="DNA36" s="57"/>
      <c r="DNB36" s="58"/>
      <c r="DNC36" s="56"/>
      <c r="DND36" s="57"/>
      <c r="DNE36" s="57"/>
      <c r="DNF36" s="57"/>
      <c r="DNG36" s="56"/>
      <c r="DNH36" s="57"/>
      <c r="DNI36" s="57"/>
      <c r="DNJ36" s="56"/>
      <c r="DNK36" s="57"/>
      <c r="DNL36" s="58"/>
      <c r="DNM36" s="56"/>
      <c r="DNN36" s="58"/>
      <c r="DNO36" s="57"/>
      <c r="DNP36" s="56"/>
      <c r="DNQ36" s="57"/>
      <c r="DNR36" s="56"/>
      <c r="DNS36" s="56"/>
      <c r="DNT36" s="56"/>
      <c r="DNU36" s="57"/>
      <c r="DNV36" s="57"/>
      <c r="DNW36" s="57"/>
      <c r="DNX36" s="57"/>
      <c r="DNY36" s="57"/>
      <c r="DNZ36" s="57"/>
      <c r="DOA36" s="57"/>
      <c r="DOB36" s="57"/>
      <c r="DOC36" s="57"/>
      <c r="DOD36" s="57"/>
      <c r="DOE36" s="57"/>
      <c r="DOF36" s="57"/>
      <c r="DOG36" s="57"/>
      <c r="DOH36" s="57"/>
      <c r="DOI36" s="57"/>
      <c r="DOJ36" s="57"/>
      <c r="DOK36" s="57"/>
      <c r="DOL36" s="57"/>
      <c r="DOM36" s="57"/>
      <c r="DON36" s="57"/>
      <c r="DOO36" s="57"/>
      <c r="DOP36" s="57"/>
      <c r="DOQ36" s="57"/>
      <c r="DOR36" s="57"/>
      <c r="DOS36" s="57"/>
      <c r="DOT36" s="57"/>
      <c r="DOU36" s="57"/>
      <c r="DOV36" s="57"/>
      <c r="DOW36" s="57"/>
      <c r="DOX36" s="57"/>
      <c r="DOY36" s="57"/>
      <c r="DOZ36" s="57"/>
      <c r="DPA36" s="57"/>
      <c r="DPB36" s="57"/>
      <c r="DPC36" s="57"/>
      <c r="DPD36" s="57"/>
      <c r="DPE36" s="57"/>
      <c r="DPF36" s="58"/>
      <c r="DPG36" s="56"/>
      <c r="DPH36" s="57"/>
      <c r="DPI36" s="57"/>
      <c r="DPJ36" s="57"/>
      <c r="DPK36" s="57"/>
      <c r="DPL36" s="57"/>
      <c r="DPM36" s="56"/>
      <c r="DPN36" s="57"/>
      <c r="DPO36" s="57"/>
      <c r="DPP36" s="56"/>
      <c r="DPQ36" s="57"/>
      <c r="DPR36" s="58"/>
      <c r="DPS36" s="56"/>
      <c r="DPT36" s="57"/>
      <c r="DPU36" s="57"/>
      <c r="DPV36" s="57"/>
      <c r="DPW36" s="56"/>
      <c r="DPX36" s="57"/>
      <c r="DPY36" s="57"/>
      <c r="DPZ36" s="56"/>
      <c r="DQA36" s="57"/>
      <c r="DQB36" s="58"/>
      <c r="DQC36" s="56"/>
      <c r="DQD36" s="57"/>
      <c r="DQE36" s="57"/>
      <c r="DQF36" s="57"/>
      <c r="DQG36" s="56"/>
      <c r="DQH36" s="57"/>
      <c r="DQI36" s="57"/>
      <c r="DQJ36" s="56"/>
      <c r="DQK36" s="57"/>
      <c r="DQL36" s="58"/>
      <c r="DQM36" s="56"/>
      <c r="DQN36" s="57"/>
      <c r="DQO36" s="57"/>
      <c r="DQP36" s="57"/>
      <c r="DQQ36" s="56"/>
      <c r="DQR36" s="57"/>
      <c r="DQS36" s="57"/>
      <c r="DQT36" s="56"/>
      <c r="DQU36" s="57"/>
      <c r="DQV36" s="58"/>
      <c r="DQW36" s="56"/>
      <c r="DQX36" s="58"/>
      <c r="DQY36" s="57"/>
      <c r="DQZ36" s="56"/>
      <c r="DRA36" s="57"/>
      <c r="DRB36" s="56"/>
      <c r="DRC36" s="56"/>
      <c r="DRD36" s="56"/>
      <c r="DRE36" s="57"/>
      <c r="DRF36" s="57"/>
      <c r="DRG36" s="57"/>
      <c r="DRH36" s="57"/>
      <c r="DRI36" s="57"/>
      <c r="DRJ36" s="57"/>
      <c r="DRK36" s="57"/>
      <c r="DRL36" s="57"/>
      <c r="DRM36" s="57"/>
      <c r="DRN36" s="57"/>
      <c r="DRO36" s="57"/>
      <c r="DRP36" s="57"/>
      <c r="DRQ36" s="57"/>
      <c r="DRR36" s="57"/>
      <c r="DRS36" s="57"/>
      <c r="DRT36" s="57"/>
      <c r="DRU36" s="57"/>
      <c r="DRV36" s="57"/>
      <c r="DRW36" s="57"/>
      <c r="DRX36" s="57"/>
      <c r="DRY36" s="57"/>
      <c r="DRZ36" s="57"/>
      <c r="DSA36" s="57"/>
      <c r="DSB36" s="57"/>
      <c r="DSC36" s="57"/>
      <c r="DSD36" s="57"/>
      <c r="DSE36" s="57"/>
      <c r="DSF36" s="57"/>
      <c r="DSG36" s="57"/>
      <c r="DSH36" s="57"/>
      <c r="DSI36" s="57"/>
      <c r="DSJ36" s="57"/>
      <c r="DSK36" s="57"/>
      <c r="DSL36" s="57"/>
      <c r="DSM36" s="57"/>
      <c r="DSN36" s="57"/>
      <c r="DSO36" s="57"/>
      <c r="DSP36" s="58"/>
      <c r="DSQ36" s="56"/>
      <c r="DSR36" s="57"/>
      <c r="DSS36" s="57"/>
      <c r="DST36" s="57"/>
      <c r="DSU36" s="57"/>
      <c r="DSV36" s="57"/>
      <c r="DSW36" s="56"/>
      <c r="DSX36" s="57"/>
      <c r="DSY36" s="57"/>
      <c r="DSZ36" s="56"/>
      <c r="DTA36" s="57"/>
      <c r="DTB36" s="58"/>
      <c r="DTC36" s="56"/>
      <c r="DTD36" s="57"/>
      <c r="DTE36" s="57"/>
      <c r="DTF36" s="57"/>
      <c r="DTG36" s="56"/>
      <c r="DTH36" s="57"/>
      <c r="DTI36" s="57"/>
      <c r="DTJ36" s="56"/>
      <c r="DTK36" s="57"/>
      <c r="DTL36" s="58"/>
      <c r="DTM36" s="56"/>
      <c r="DTN36" s="57"/>
      <c r="DTO36" s="57"/>
      <c r="DTP36" s="57"/>
      <c r="DTQ36" s="56"/>
      <c r="DTR36" s="57"/>
      <c r="DTS36" s="57"/>
      <c r="DTT36" s="56"/>
      <c r="DTU36" s="57"/>
      <c r="DTV36" s="58"/>
      <c r="DTW36" s="56"/>
      <c r="DTX36" s="57"/>
      <c r="DTY36" s="57"/>
      <c r="DTZ36" s="57"/>
      <c r="DUA36" s="56"/>
      <c r="DUB36" s="57"/>
      <c r="DUC36" s="57"/>
      <c r="DUD36" s="56"/>
      <c r="DUE36" s="57"/>
      <c r="DUF36" s="58"/>
      <c r="DUG36" s="56"/>
      <c r="DUH36" s="58"/>
      <c r="DUI36" s="57"/>
      <c r="DUJ36" s="56"/>
      <c r="DUK36" s="57"/>
      <c r="DUL36" s="56"/>
      <c r="DUM36" s="56"/>
      <c r="DUN36" s="56"/>
      <c r="DUO36" s="57"/>
      <c r="DUP36" s="57"/>
      <c r="DUQ36" s="57"/>
      <c r="DUR36" s="57"/>
      <c r="DUS36" s="57"/>
      <c r="DUT36" s="57"/>
      <c r="DUU36" s="57"/>
      <c r="DUV36" s="57"/>
      <c r="DUW36" s="57"/>
      <c r="DUX36" s="57"/>
      <c r="DUY36" s="57"/>
      <c r="DUZ36" s="57"/>
      <c r="DVA36" s="57"/>
      <c r="DVB36" s="57"/>
      <c r="DVC36" s="57"/>
      <c r="DVD36" s="57"/>
      <c r="DVE36" s="57"/>
      <c r="DVF36" s="57"/>
      <c r="DVG36" s="57"/>
      <c r="DVH36" s="57"/>
      <c r="DVI36" s="57"/>
      <c r="DVJ36" s="57"/>
      <c r="DVK36" s="57"/>
      <c r="DVL36" s="57"/>
      <c r="DVM36" s="57"/>
      <c r="DVN36" s="57"/>
      <c r="DVO36" s="57"/>
      <c r="DVP36" s="57"/>
      <c r="DVQ36" s="57"/>
      <c r="DVR36" s="57"/>
      <c r="DVS36" s="57"/>
      <c r="DVT36" s="57"/>
      <c r="DVU36" s="57"/>
      <c r="DVV36" s="57"/>
      <c r="DVW36" s="57"/>
      <c r="DVX36" s="57"/>
      <c r="DVY36" s="57"/>
      <c r="DVZ36" s="58"/>
      <c r="DWA36" s="56"/>
      <c r="DWB36" s="57"/>
      <c r="DWC36" s="57"/>
      <c r="DWD36" s="57"/>
      <c r="DWE36" s="57"/>
      <c r="DWF36" s="57"/>
      <c r="DWG36" s="56"/>
      <c r="DWH36" s="57"/>
      <c r="DWI36" s="57"/>
      <c r="DWJ36" s="56"/>
      <c r="DWK36" s="57"/>
      <c r="DWL36" s="58"/>
      <c r="DWM36" s="56"/>
      <c r="DWN36" s="57"/>
      <c r="DWO36" s="57"/>
      <c r="DWP36" s="57"/>
      <c r="DWQ36" s="56"/>
      <c r="DWR36" s="57"/>
      <c r="DWS36" s="57"/>
      <c r="DWT36" s="56"/>
      <c r="DWU36" s="57"/>
      <c r="DWV36" s="58"/>
      <c r="DWW36" s="56"/>
      <c r="DWX36" s="57"/>
      <c r="DWY36" s="57"/>
      <c r="DWZ36" s="57"/>
      <c r="DXA36" s="56"/>
      <c r="DXB36" s="57"/>
      <c r="DXC36" s="57"/>
      <c r="DXD36" s="56"/>
      <c r="DXE36" s="57"/>
      <c r="DXF36" s="58"/>
      <c r="DXG36" s="56"/>
      <c r="DXH36" s="57"/>
      <c r="DXI36" s="57"/>
      <c r="DXJ36" s="57"/>
      <c r="DXK36" s="56"/>
      <c r="DXL36" s="57"/>
      <c r="DXM36" s="57"/>
      <c r="DXN36" s="56"/>
      <c r="DXO36" s="57"/>
      <c r="DXP36" s="58"/>
      <c r="DXQ36" s="56"/>
      <c r="DXR36" s="58"/>
      <c r="DXS36" s="57"/>
      <c r="DXT36" s="56"/>
      <c r="DXU36" s="57"/>
      <c r="DXV36" s="56"/>
      <c r="DXW36" s="56"/>
      <c r="DXX36" s="56"/>
      <c r="DXY36" s="57"/>
      <c r="DXZ36" s="57"/>
      <c r="DYA36" s="57"/>
      <c r="DYB36" s="57"/>
      <c r="DYC36" s="57"/>
      <c r="DYD36" s="57"/>
      <c r="DYE36" s="57"/>
      <c r="DYF36" s="57"/>
      <c r="DYG36" s="57"/>
      <c r="DYH36" s="57"/>
      <c r="DYI36" s="57"/>
      <c r="DYJ36" s="57"/>
      <c r="DYK36" s="57"/>
      <c r="DYL36" s="57"/>
      <c r="DYM36" s="57"/>
      <c r="DYN36" s="57"/>
      <c r="DYO36" s="57"/>
      <c r="DYP36" s="57"/>
      <c r="DYQ36" s="57"/>
      <c r="DYR36" s="57"/>
      <c r="DYS36" s="57"/>
      <c r="DYT36" s="57"/>
      <c r="DYU36" s="57"/>
      <c r="DYV36" s="57"/>
      <c r="DYW36" s="57"/>
      <c r="DYX36" s="57"/>
      <c r="DYY36" s="57"/>
      <c r="DYZ36" s="57"/>
      <c r="DZA36" s="57"/>
      <c r="DZB36" s="57"/>
      <c r="DZC36" s="57"/>
      <c r="DZD36" s="57"/>
      <c r="DZE36" s="57"/>
      <c r="DZF36" s="57"/>
      <c r="DZG36" s="57"/>
      <c r="DZH36" s="57"/>
      <c r="DZI36" s="57"/>
      <c r="DZJ36" s="58"/>
      <c r="DZK36" s="56"/>
      <c r="DZL36" s="57"/>
      <c r="DZM36" s="57"/>
      <c r="DZN36" s="57"/>
      <c r="DZO36" s="57"/>
      <c r="DZP36" s="57"/>
      <c r="DZQ36" s="56"/>
      <c r="DZR36" s="57"/>
      <c r="DZS36" s="57"/>
      <c r="DZT36" s="56"/>
      <c r="DZU36" s="57"/>
      <c r="DZV36" s="58"/>
      <c r="DZW36" s="56"/>
      <c r="DZX36" s="57"/>
      <c r="DZY36" s="57"/>
      <c r="DZZ36" s="57"/>
      <c r="EAA36" s="56"/>
      <c r="EAB36" s="57"/>
      <c r="EAC36" s="57"/>
      <c r="EAD36" s="56"/>
      <c r="EAE36" s="57"/>
      <c r="EAF36" s="58"/>
      <c r="EAG36" s="56"/>
      <c r="EAH36" s="57"/>
      <c r="EAI36" s="57"/>
      <c r="EAJ36" s="57"/>
      <c r="EAK36" s="56"/>
      <c r="EAL36" s="57"/>
      <c r="EAM36" s="57"/>
      <c r="EAN36" s="56"/>
      <c r="EAO36" s="57"/>
      <c r="EAP36" s="58"/>
      <c r="EAQ36" s="56"/>
      <c r="EAR36" s="57"/>
      <c r="EAS36" s="57"/>
      <c r="EAT36" s="57"/>
      <c r="EAU36" s="56"/>
      <c r="EAV36" s="57"/>
      <c r="EAW36" s="57"/>
      <c r="EAX36" s="56"/>
      <c r="EAY36" s="57"/>
      <c r="EAZ36" s="58"/>
      <c r="EBA36" s="56"/>
      <c r="EBB36" s="58"/>
      <c r="EBC36" s="57"/>
      <c r="EBD36" s="56"/>
      <c r="EBE36" s="57"/>
      <c r="EBF36" s="56"/>
      <c r="EBG36" s="56"/>
      <c r="EBH36" s="56"/>
      <c r="EBI36" s="57"/>
      <c r="EBJ36" s="57"/>
      <c r="EBK36" s="57"/>
      <c r="EBL36" s="57"/>
      <c r="EBM36" s="57"/>
      <c r="EBN36" s="57"/>
      <c r="EBO36" s="57"/>
      <c r="EBP36" s="57"/>
      <c r="EBQ36" s="57"/>
      <c r="EBR36" s="57"/>
      <c r="EBS36" s="57"/>
      <c r="EBT36" s="57"/>
      <c r="EBU36" s="57"/>
      <c r="EBV36" s="57"/>
      <c r="EBW36" s="57"/>
      <c r="EBX36" s="57"/>
      <c r="EBY36" s="57"/>
      <c r="EBZ36" s="57"/>
      <c r="ECA36" s="57"/>
      <c r="ECB36" s="57"/>
      <c r="ECC36" s="57"/>
      <c r="ECD36" s="57"/>
      <c r="ECE36" s="57"/>
      <c r="ECF36" s="57"/>
      <c r="ECG36" s="57"/>
      <c r="ECH36" s="57"/>
      <c r="ECI36" s="57"/>
      <c r="ECJ36" s="57"/>
      <c r="ECK36" s="57"/>
      <c r="ECL36" s="57"/>
      <c r="ECM36" s="57"/>
      <c r="ECN36" s="57"/>
      <c r="ECO36" s="57"/>
      <c r="ECP36" s="57"/>
      <c r="ECQ36" s="57"/>
      <c r="ECR36" s="57"/>
      <c r="ECS36" s="57"/>
      <c r="ECT36" s="58"/>
      <c r="ECU36" s="56"/>
      <c r="ECV36" s="57"/>
      <c r="ECW36" s="57"/>
      <c r="ECX36" s="57"/>
      <c r="ECY36" s="57"/>
      <c r="ECZ36" s="57"/>
      <c r="EDA36" s="56"/>
      <c r="EDB36" s="57"/>
      <c r="EDC36" s="57"/>
      <c r="EDD36" s="56"/>
      <c r="EDE36" s="57"/>
      <c r="EDF36" s="58"/>
      <c r="EDG36" s="56"/>
      <c r="EDH36" s="57"/>
      <c r="EDI36" s="57"/>
      <c r="EDJ36" s="57"/>
      <c r="EDK36" s="56"/>
      <c r="EDL36" s="57"/>
      <c r="EDM36" s="57"/>
      <c r="EDN36" s="56"/>
      <c r="EDO36" s="57"/>
      <c r="EDP36" s="58"/>
      <c r="EDQ36" s="56"/>
      <c r="EDR36" s="57"/>
      <c r="EDS36" s="57"/>
      <c r="EDT36" s="57"/>
      <c r="EDU36" s="56"/>
      <c r="EDV36" s="57"/>
      <c r="EDW36" s="57"/>
      <c r="EDX36" s="56"/>
      <c r="EDY36" s="57"/>
      <c r="EDZ36" s="58"/>
      <c r="EEA36" s="56"/>
      <c r="EEB36" s="57"/>
      <c r="EEC36" s="57"/>
      <c r="EED36" s="57"/>
      <c r="EEE36" s="56"/>
      <c r="EEF36" s="57"/>
      <c r="EEG36" s="57"/>
      <c r="EEH36" s="56"/>
      <c r="EEI36" s="57"/>
      <c r="EEJ36" s="58"/>
      <c r="EEK36" s="56"/>
      <c r="EEL36" s="58"/>
      <c r="EEM36" s="57"/>
      <c r="EEN36" s="56"/>
      <c r="EEO36" s="57"/>
      <c r="EEP36" s="56"/>
      <c r="EEQ36" s="56"/>
      <c r="EER36" s="56"/>
      <c r="EES36" s="57"/>
      <c r="EET36" s="57"/>
      <c r="EEU36" s="57"/>
      <c r="EEV36" s="57"/>
      <c r="EEW36" s="57"/>
      <c r="EEX36" s="57"/>
      <c r="EEY36" s="57"/>
      <c r="EEZ36" s="57"/>
      <c r="EFA36" s="57"/>
      <c r="EFB36" s="57"/>
      <c r="EFC36" s="57"/>
      <c r="EFD36" s="57"/>
      <c r="EFE36" s="57"/>
      <c r="EFF36" s="57"/>
      <c r="EFG36" s="57"/>
      <c r="EFH36" s="57"/>
      <c r="EFI36" s="57"/>
      <c r="EFJ36" s="57"/>
      <c r="EFK36" s="57"/>
      <c r="EFL36" s="57"/>
      <c r="EFM36" s="57"/>
      <c r="EFN36" s="57"/>
      <c r="EFO36" s="57"/>
      <c r="EFP36" s="57"/>
      <c r="EFQ36" s="57"/>
      <c r="EFR36" s="57"/>
      <c r="EFS36" s="57"/>
      <c r="EFT36" s="57"/>
      <c r="EFU36" s="57"/>
      <c r="EFV36" s="57"/>
      <c r="EFW36" s="57"/>
      <c r="EFX36" s="57"/>
      <c r="EFY36" s="57"/>
      <c r="EFZ36" s="57"/>
      <c r="EGA36" s="57"/>
      <c r="EGB36" s="57"/>
      <c r="EGC36" s="57"/>
      <c r="EGD36" s="58"/>
      <c r="EGE36" s="56"/>
      <c r="EGF36" s="57"/>
      <c r="EGG36" s="57"/>
      <c r="EGH36" s="57"/>
      <c r="EGI36" s="57"/>
      <c r="EGJ36" s="57"/>
      <c r="EGK36" s="56"/>
      <c r="EGL36" s="57"/>
      <c r="EGM36" s="57"/>
      <c r="EGN36" s="56"/>
      <c r="EGO36" s="57"/>
      <c r="EGP36" s="58"/>
      <c r="EGQ36" s="56"/>
      <c r="EGR36" s="57"/>
      <c r="EGS36" s="57"/>
      <c r="EGT36" s="57"/>
      <c r="EGU36" s="56"/>
      <c r="EGV36" s="57"/>
      <c r="EGW36" s="57"/>
      <c r="EGX36" s="56"/>
      <c r="EGY36" s="57"/>
      <c r="EGZ36" s="58"/>
      <c r="EHA36" s="56"/>
      <c r="EHB36" s="57"/>
      <c r="EHC36" s="57"/>
      <c r="EHD36" s="57"/>
      <c r="EHE36" s="56"/>
      <c r="EHF36" s="57"/>
      <c r="EHG36" s="57"/>
      <c r="EHH36" s="56"/>
      <c r="EHI36" s="57"/>
      <c r="EHJ36" s="58"/>
      <c r="EHK36" s="56"/>
      <c r="EHL36" s="57"/>
      <c r="EHM36" s="57"/>
      <c r="EHN36" s="57"/>
      <c r="EHO36" s="56"/>
      <c r="EHP36" s="57"/>
      <c r="EHQ36" s="57"/>
      <c r="EHR36" s="56"/>
      <c r="EHS36" s="57"/>
      <c r="EHT36" s="58"/>
      <c r="EHU36" s="56"/>
      <c r="EHV36" s="58"/>
      <c r="EHW36" s="57"/>
      <c r="EHX36" s="56"/>
      <c r="EHY36" s="57"/>
      <c r="EHZ36" s="56"/>
      <c r="EIA36" s="56"/>
      <c r="EIB36" s="56"/>
      <c r="EIC36" s="57"/>
      <c r="EID36" s="57"/>
      <c r="EIE36" s="57"/>
      <c r="EIF36" s="57"/>
      <c r="EIG36" s="57"/>
      <c r="EIH36" s="57"/>
      <c r="EII36" s="57"/>
      <c r="EIJ36" s="57"/>
      <c r="EIK36" s="57"/>
      <c r="EIL36" s="57"/>
      <c r="EIM36" s="57"/>
      <c r="EIN36" s="57"/>
      <c r="EIO36" s="57"/>
      <c r="EIP36" s="57"/>
      <c r="EIQ36" s="57"/>
      <c r="EIR36" s="57"/>
      <c r="EIS36" s="57"/>
      <c r="EIT36" s="57"/>
      <c r="EIU36" s="57"/>
      <c r="EIV36" s="57"/>
      <c r="EIW36" s="57"/>
      <c r="EIX36" s="57"/>
      <c r="EIY36" s="57"/>
      <c r="EIZ36" s="57"/>
      <c r="EJA36" s="57"/>
      <c r="EJB36" s="57"/>
      <c r="EJC36" s="57"/>
      <c r="EJD36" s="57"/>
      <c r="EJE36" s="57"/>
      <c r="EJF36" s="57"/>
      <c r="EJG36" s="57"/>
      <c r="EJH36" s="57"/>
      <c r="EJI36" s="57"/>
      <c r="EJJ36" s="57"/>
      <c r="EJK36" s="57"/>
      <c r="EJL36" s="57"/>
      <c r="EJM36" s="57"/>
      <c r="EJN36" s="58"/>
      <c r="EJO36" s="56"/>
      <c r="EJP36" s="57"/>
      <c r="EJQ36" s="57"/>
      <c r="EJR36" s="57"/>
      <c r="EJS36" s="57"/>
      <c r="EJT36" s="57"/>
      <c r="EJU36" s="56"/>
      <c r="EJV36" s="57"/>
      <c r="EJW36" s="57"/>
      <c r="EJX36" s="56"/>
      <c r="EJY36" s="57"/>
      <c r="EJZ36" s="58"/>
      <c r="EKA36" s="56"/>
      <c r="EKB36" s="57"/>
      <c r="EKC36" s="57"/>
      <c r="EKD36" s="57"/>
      <c r="EKE36" s="56"/>
      <c r="EKF36" s="57"/>
      <c r="EKG36" s="57"/>
      <c r="EKH36" s="56"/>
      <c r="EKI36" s="57"/>
      <c r="EKJ36" s="58"/>
      <c r="EKK36" s="56"/>
      <c r="EKL36" s="57"/>
      <c r="EKM36" s="57"/>
      <c r="EKN36" s="57"/>
      <c r="EKO36" s="56"/>
      <c r="EKP36" s="57"/>
      <c r="EKQ36" s="57"/>
      <c r="EKR36" s="56"/>
      <c r="EKS36" s="57"/>
      <c r="EKT36" s="58"/>
      <c r="EKU36" s="56"/>
      <c r="EKV36" s="57"/>
      <c r="EKW36" s="57"/>
      <c r="EKX36" s="57"/>
      <c r="EKY36" s="56"/>
      <c r="EKZ36" s="57"/>
      <c r="ELA36" s="57"/>
      <c r="ELB36" s="56"/>
      <c r="ELC36" s="57"/>
      <c r="ELD36" s="58"/>
      <c r="ELE36" s="56"/>
      <c r="ELF36" s="58"/>
      <c r="ELG36" s="57"/>
      <c r="ELH36" s="56"/>
      <c r="ELI36" s="57"/>
      <c r="ELJ36" s="56"/>
      <c r="ELK36" s="56"/>
      <c r="ELL36" s="56"/>
      <c r="ELM36" s="57"/>
      <c r="ELN36" s="57"/>
      <c r="ELO36" s="57"/>
      <c r="ELP36" s="57"/>
      <c r="ELQ36" s="57"/>
      <c r="ELR36" s="57"/>
      <c r="ELS36" s="57"/>
      <c r="ELT36" s="57"/>
      <c r="ELU36" s="57"/>
      <c r="ELV36" s="57"/>
      <c r="ELW36" s="57"/>
      <c r="ELX36" s="57"/>
      <c r="ELY36" s="57"/>
      <c r="ELZ36" s="57"/>
      <c r="EMA36" s="57"/>
      <c r="EMB36" s="57"/>
      <c r="EMC36" s="57"/>
      <c r="EMD36" s="57"/>
      <c r="EME36" s="57"/>
      <c r="EMF36" s="57"/>
      <c r="EMG36" s="57"/>
      <c r="EMH36" s="57"/>
      <c r="EMI36" s="57"/>
      <c r="EMJ36" s="57"/>
      <c r="EMK36" s="57"/>
      <c r="EML36" s="57"/>
      <c r="EMM36" s="57"/>
      <c r="EMN36" s="57"/>
      <c r="EMO36" s="57"/>
      <c r="EMP36" s="57"/>
      <c r="EMQ36" s="57"/>
      <c r="EMR36" s="57"/>
      <c r="EMS36" s="57"/>
      <c r="EMT36" s="57"/>
      <c r="EMU36" s="57"/>
      <c r="EMV36" s="57"/>
      <c r="EMW36" s="57"/>
      <c r="EMX36" s="58"/>
      <c r="EMY36" s="56"/>
      <c r="EMZ36" s="57"/>
      <c r="ENA36" s="57"/>
      <c r="ENB36" s="57"/>
      <c r="ENC36" s="57"/>
      <c r="END36" s="57"/>
      <c r="ENE36" s="56"/>
      <c r="ENF36" s="57"/>
      <c r="ENG36" s="57"/>
      <c r="ENH36" s="56"/>
      <c r="ENI36" s="57"/>
      <c r="ENJ36" s="58"/>
      <c r="ENK36" s="56"/>
      <c r="ENL36" s="57"/>
      <c r="ENM36" s="57"/>
      <c r="ENN36" s="57"/>
      <c r="ENO36" s="56"/>
      <c r="ENP36" s="57"/>
      <c r="ENQ36" s="57"/>
      <c r="ENR36" s="56"/>
      <c r="ENS36" s="57"/>
      <c r="ENT36" s="58"/>
      <c r="ENU36" s="56"/>
      <c r="ENV36" s="57"/>
      <c r="ENW36" s="57"/>
      <c r="ENX36" s="57"/>
      <c r="ENY36" s="56"/>
      <c r="ENZ36" s="57"/>
      <c r="EOA36" s="57"/>
      <c r="EOB36" s="56"/>
      <c r="EOC36" s="57"/>
      <c r="EOD36" s="58"/>
      <c r="EOE36" s="56"/>
      <c r="EOF36" s="57"/>
      <c r="EOG36" s="57"/>
      <c r="EOH36" s="57"/>
      <c r="EOI36" s="56"/>
      <c r="EOJ36" s="57"/>
      <c r="EOK36" s="57"/>
      <c r="EOL36" s="56"/>
      <c r="EOM36" s="57"/>
      <c r="EON36" s="58"/>
      <c r="EOO36" s="56" t="str">
        <f t="shared" si="75"/>
        <v xml:space="preserve"> </v>
      </c>
    </row>
    <row r="37" spans="1:3785" x14ac:dyDescent="0.3">
      <c r="A37" s="27" t="s">
        <v>216</v>
      </c>
      <c r="B37" s="30"/>
      <c r="C37" s="29"/>
      <c r="D37" s="28" t="str">
        <f t="shared" si="61"/>
        <v xml:space="preserve"> </v>
      </c>
      <c r="E37" s="29"/>
      <c r="F37" s="28"/>
      <c r="G37" s="28"/>
      <c r="H37" s="28"/>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30"/>
      <c r="AU37" s="28"/>
      <c r="AV37" s="29"/>
      <c r="AW37" s="30"/>
      <c r="AX37" s="29"/>
      <c r="AY37" s="29"/>
      <c r="AZ37" s="29"/>
      <c r="BA37" s="28"/>
      <c r="BB37" s="29"/>
      <c r="BC37" s="29"/>
      <c r="BD37" s="28"/>
      <c r="BE37" s="29"/>
      <c r="BF37" s="30"/>
      <c r="BG37" s="28"/>
      <c r="BH37" s="29"/>
      <c r="BI37" s="30"/>
      <c r="BJ37" s="29"/>
      <c r="BK37" s="28"/>
      <c r="BL37" s="29"/>
      <c r="BM37" s="29"/>
      <c r="BN37" s="28"/>
      <c r="BO37" s="29"/>
      <c r="BP37" s="30"/>
      <c r="BQ37" s="28"/>
      <c r="BR37" s="29"/>
      <c r="BS37" s="30"/>
      <c r="BT37" s="29"/>
      <c r="BU37" s="28"/>
      <c r="BV37" s="29"/>
      <c r="BW37" s="29"/>
      <c r="BX37" s="28"/>
      <c r="BY37" s="29"/>
      <c r="BZ37" s="30"/>
      <c r="CA37" s="28"/>
      <c r="CB37" s="29"/>
      <c r="CC37" s="30"/>
      <c r="CD37" s="29"/>
      <c r="CE37" s="28"/>
      <c r="CF37" s="29"/>
      <c r="CG37" s="29"/>
      <c r="CH37" s="28"/>
      <c r="CI37" s="29"/>
      <c r="CJ37" s="30"/>
      <c r="CK37" s="28"/>
      <c r="CL37" s="29"/>
      <c r="CM37" s="30"/>
      <c r="CN37" s="29"/>
      <c r="CO37" s="28"/>
      <c r="CP37" s="29"/>
      <c r="CQ37" s="29"/>
      <c r="CR37" s="28"/>
      <c r="CS37" s="29"/>
      <c r="CT37" s="30"/>
      <c r="CU37" s="28"/>
      <c r="CV37" s="29"/>
      <c r="CW37" s="30"/>
      <c r="CX37" s="29"/>
      <c r="CY37" s="28"/>
      <c r="CZ37" s="29"/>
      <c r="DA37" s="29"/>
      <c r="DB37" s="28"/>
      <c r="DC37" s="29"/>
      <c r="DD37" s="30"/>
      <c r="DE37" s="28"/>
      <c r="DF37" s="29"/>
      <c r="DG37" s="30"/>
      <c r="DH37" s="29"/>
      <c r="DI37" s="28"/>
      <c r="DJ37" s="29"/>
      <c r="DK37" s="29"/>
      <c r="DL37" s="28"/>
      <c r="DM37" s="29"/>
      <c r="DN37" s="30"/>
      <c r="DO37" s="28"/>
      <c r="DP37" s="29"/>
      <c r="DQ37" s="30"/>
      <c r="DR37" s="29"/>
      <c r="DS37" s="28"/>
      <c r="DT37" s="29"/>
      <c r="DU37" s="29"/>
      <c r="DV37" s="28"/>
      <c r="DW37" s="29"/>
      <c r="DX37" s="30"/>
      <c r="DY37" s="28"/>
      <c r="DZ37" s="29"/>
      <c r="EA37" s="30"/>
      <c r="EB37" s="29"/>
      <c r="EC37" s="28"/>
      <c r="ED37" s="29"/>
      <c r="EE37" s="28"/>
      <c r="EF37" s="28"/>
      <c r="EG37" s="29"/>
      <c r="EH37" s="30"/>
      <c r="EI37" s="28"/>
      <c r="EJ37" s="29"/>
      <c r="EK37" s="30"/>
      <c r="EL37" s="29"/>
      <c r="EM37" s="28"/>
      <c r="EN37" s="29"/>
      <c r="EO37" s="33"/>
      <c r="EP37" s="28"/>
      <c r="EQ37" s="29"/>
      <c r="ER37" s="30"/>
      <c r="ES37" s="28"/>
      <c r="ET37" s="29"/>
      <c r="EU37" s="29"/>
      <c r="EV37" s="29"/>
      <c r="EW37" s="28"/>
      <c r="EX37" s="29"/>
      <c r="EY37" s="29"/>
      <c r="EZ37" s="28"/>
      <c r="FA37" s="29"/>
      <c r="FB37" s="30"/>
      <c r="FC37" s="28"/>
      <c r="FD37" s="29"/>
      <c r="FE37" s="29"/>
      <c r="FF37" s="29"/>
      <c r="FG37" s="28"/>
      <c r="FH37" s="29"/>
      <c r="FI37" s="29"/>
      <c r="FJ37" s="28"/>
      <c r="FK37" s="29"/>
      <c r="FL37" s="30"/>
      <c r="FM37" s="28"/>
      <c r="FN37" s="29"/>
      <c r="FO37" s="29"/>
      <c r="FP37" s="29"/>
      <c r="FQ37" s="28"/>
      <c r="FR37" s="29"/>
      <c r="FS37" s="29"/>
      <c r="FT37" s="28"/>
      <c r="FU37" s="29"/>
      <c r="FV37" s="30"/>
      <c r="FW37" s="28"/>
      <c r="FX37" s="29"/>
      <c r="FY37" s="29"/>
      <c r="FZ37" s="29"/>
      <c r="GA37" s="28"/>
      <c r="GB37" s="29"/>
      <c r="GC37" s="29"/>
      <c r="GD37" s="28"/>
      <c r="GE37" s="29"/>
      <c r="GF37" s="30"/>
      <c r="GG37" s="28"/>
      <c r="GH37" s="29"/>
      <c r="GI37" s="29"/>
      <c r="GJ37" s="29"/>
      <c r="GK37" s="28"/>
      <c r="GL37" s="29"/>
      <c r="GM37" s="29"/>
      <c r="GN37" s="28"/>
      <c r="GO37" s="29"/>
      <c r="GP37" s="30"/>
      <c r="GQ37" s="28"/>
      <c r="GR37" s="29"/>
      <c r="GS37" s="29"/>
      <c r="GT37" s="29"/>
      <c r="GU37" s="28"/>
      <c r="GV37" s="29"/>
      <c r="GW37" s="29"/>
      <c r="GX37" s="28"/>
      <c r="GY37" s="29"/>
      <c r="GZ37" s="30"/>
      <c r="HA37" s="28"/>
      <c r="HB37" s="29"/>
      <c r="HC37" s="29"/>
      <c r="HD37" s="29"/>
      <c r="HE37" s="28"/>
      <c r="HF37" s="29"/>
      <c r="HG37" s="29"/>
      <c r="HH37" s="28"/>
      <c r="HI37" s="29"/>
      <c r="HJ37" s="30"/>
      <c r="HK37" s="28"/>
      <c r="HL37" s="29"/>
      <c r="HM37" s="29"/>
      <c r="HN37" s="29"/>
      <c r="HO37" s="28"/>
      <c r="HP37" s="29"/>
      <c r="HQ37" s="29"/>
      <c r="HR37" s="28"/>
      <c r="HS37" s="29"/>
      <c r="HT37" s="30"/>
      <c r="HU37" s="28"/>
      <c r="HV37" s="29"/>
      <c r="HW37" s="29"/>
      <c r="HX37" s="29"/>
      <c r="HY37" s="28"/>
      <c r="HZ37" s="29"/>
      <c r="IA37" s="29"/>
      <c r="IB37" s="28"/>
      <c r="IC37" s="29"/>
      <c r="ID37" s="30"/>
      <c r="IE37" s="28"/>
      <c r="IF37" s="29"/>
      <c r="IG37" s="29"/>
      <c r="IH37" s="29"/>
      <c r="II37" s="28"/>
      <c r="IJ37" s="29"/>
      <c r="IK37" s="29"/>
      <c r="IL37" s="28"/>
      <c r="IM37" s="29"/>
      <c r="IN37" s="30"/>
      <c r="IO37" s="28"/>
      <c r="IP37" s="29"/>
      <c r="IQ37" s="29"/>
      <c r="IR37" s="29"/>
      <c r="IS37" s="28"/>
      <c r="IT37" s="29"/>
      <c r="IU37" s="29"/>
      <c r="IV37" s="28"/>
      <c r="IW37" s="29"/>
      <c r="IX37" s="30"/>
      <c r="IY37" s="28"/>
      <c r="IZ37" s="29"/>
      <c r="JA37" s="29"/>
      <c r="JB37" s="29"/>
      <c r="JC37" s="28"/>
      <c r="JD37" s="29"/>
      <c r="JE37" s="29"/>
      <c r="JF37" s="28"/>
      <c r="JG37" s="29"/>
      <c r="JH37" s="30"/>
      <c r="JI37" s="28"/>
      <c r="JJ37" s="29"/>
      <c r="JK37" s="29"/>
      <c r="JL37" s="29"/>
      <c r="JM37" s="28"/>
      <c r="JN37" s="29"/>
      <c r="JO37" s="29"/>
      <c r="JP37" s="28"/>
      <c r="JQ37" s="29"/>
      <c r="JR37" s="30"/>
      <c r="JS37" s="28"/>
      <c r="JT37" s="29"/>
      <c r="JU37" s="29"/>
      <c r="JV37" s="29"/>
      <c r="JW37" s="28"/>
      <c r="JX37" s="29"/>
      <c r="JY37" s="29"/>
      <c r="JZ37" s="28"/>
      <c r="KA37" s="29"/>
      <c r="KB37" s="30"/>
      <c r="KC37" s="28"/>
      <c r="KD37" s="29"/>
      <c r="KE37" s="29"/>
      <c r="KF37" s="29"/>
      <c r="KG37" s="28"/>
      <c r="KH37" s="29"/>
      <c r="KI37" s="29"/>
      <c r="KJ37" s="28"/>
      <c r="KK37" s="29"/>
      <c r="KL37" s="30"/>
      <c r="KM37" s="28"/>
      <c r="KN37" s="29"/>
      <c r="KO37" s="29"/>
      <c r="KP37" s="29"/>
      <c r="KQ37" s="28"/>
      <c r="KR37" s="29"/>
      <c r="KS37" s="29"/>
      <c r="KT37" s="28"/>
      <c r="KU37" s="29"/>
      <c r="KV37" s="30"/>
      <c r="KW37" s="28"/>
      <c r="KX37" s="29"/>
      <c r="KY37" s="29"/>
      <c r="KZ37" s="29"/>
      <c r="LA37" s="28"/>
      <c r="LB37" s="29"/>
      <c r="LC37" s="29"/>
      <c r="LD37" s="28"/>
      <c r="LE37" s="29"/>
      <c r="LF37" s="30"/>
      <c r="LG37" s="28"/>
      <c r="LH37" s="29"/>
      <c r="LI37" s="29"/>
      <c r="LJ37" s="29"/>
      <c r="LK37" s="28"/>
      <c r="LL37" s="29"/>
      <c r="LM37" s="29"/>
      <c r="LN37" s="28"/>
      <c r="LO37" s="29"/>
      <c r="LP37" s="30"/>
      <c r="LQ37" s="28"/>
      <c r="LR37" s="29"/>
      <c r="LS37" s="29"/>
      <c r="LT37" s="29"/>
      <c r="LU37" s="28"/>
      <c r="LV37" s="29"/>
      <c r="LW37" s="29"/>
      <c r="LX37" s="28"/>
      <c r="LY37" s="29"/>
      <c r="LZ37" s="30"/>
      <c r="MA37" s="28"/>
      <c r="MB37" s="29"/>
      <c r="MC37" s="29"/>
      <c r="MD37" s="29"/>
      <c r="ME37" s="28"/>
      <c r="MF37" s="29"/>
      <c r="MG37" s="29"/>
      <c r="MH37" s="28"/>
      <c r="MI37" s="29"/>
      <c r="MJ37" s="30"/>
      <c r="MK37" s="28"/>
      <c r="ML37" s="29"/>
      <c r="MM37" s="29"/>
      <c r="MN37" s="29"/>
      <c r="MO37" s="28"/>
      <c r="MP37" s="29"/>
      <c r="MQ37" s="29"/>
      <c r="MR37" s="28"/>
      <c r="MS37" s="29"/>
      <c r="MT37" s="30"/>
      <c r="MU37" s="28"/>
      <c r="MV37" s="29"/>
      <c r="MW37" s="29"/>
      <c r="MX37" s="29"/>
      <c r="MY37" s="28"/>
      <c r="MZ37" s="29"/>
      <c r="NA37" s="29"/>
      <c r="NB37" s="28"/>
      <c r="NC37" s="29"/>
      <c r="ND37" s="30"/>
      <c r="NE37" s="28"/>
      <c r="NF37" s="29"/>
      <c r="NG37" s="29"/>
      <c r="NH37" s="29"/>
      <c r="NI37" s="28"/>
      <c r="NJ37" s="29"/>
      <c r="NK37" s="29"/>
      <c r="NL37" s="28"/>
      <c r="NM37" s="29"/>
      <c r="NN37" s="30"/>
      <c r="NO37" s="28"/>
      <c r="NP37" s="29"/>
      <c r="NQ37" s="29"/>
      <c r="NR37" s="29"/>
      <c r="NS37" s="28"/>
      <c r="NT37" s="29"/>
      <c r="NU37" s="29"/>
      <c r="NV37" s="28"/>
      <c r="NW37" s="29"/>
      <c r="NX37" s="30"/>
      <c r="NY37" s="28"/>
      <c r="NZ37" s="29"/>
      <c r="OA37" s="29"/>
      <c r="OB37" s="29"/>
      <c r="OC37" s="28"/>
      <c r="OD37" s="29"/>
      <c r="OE37" s="29"/>
      <c r="OF37" s="30"/>
      <c r="OG37" s="30"/>
      <c r="OH37" s="30"/>
      <c r="OI37" s="28"/>
      <c r="OJ37" s="30"/>
      <c r="OK37" s="30"/>
      <c r="OL37" s="30"/>
      <c r="OM37" s="30"/>
      <c r="ON37" s="30"/>
      <c r="OO37" s="30"/>
      <c r="OP37" s="28"/>
      <c r="OQ37" s="29"/>
      <c r="OR37" s="30"/>
      <c r="OS37" s="28"/>
      <c r="OT37" s="29"/>
      <c r="OU37" s="29"/>
      <c r="OV37" s="29"/>
      <c r="OW37" s="28"/>
      <c r="OX37" s="29"/>
      <c r="OY37" s="29"/>
      <c r="OZ37" s="28"/>
      <c r="PA37" s="29"/>
      <c r="PB37" s="30"/>
      <c r="PC37" s="28"/>
      <c r="PD37" s="29"/>
      <c r="PE37" s="29"/>
      <c r="PF37" s="29"/>
      <c r="PG37" s="28"/>
      <c r="PH37" s="29"/>
      <c r="PI37" s="29"/>
      <c r="PJ37" s="28"/>
      <c r="PK37" s="29"/>
      <c r="PL37" s="30"/>
      <c r="PM37" s="28"/>
      <c r="PN37" s="29"/>
      <c r="PO37" s="29"/>
      <c r="PP37" s="29"/>
      <c r="PQ37" s="28"/>
      <c r="PR37" s="29"/>
      <c r="PS37" s="29"/>
      <c r="PT37" s="28"/>
      <c r="PU37" s="29"/>
      <c r="PV37" s="30"/>
      <c r="PW37" s="28"/>
      <c r="PX37" s="29"/>
      <c r="PY37" s="29"/>
      <c r="PZ37" s="29"/>
      <c r="QA37" s="28"/>
      <c r="QB37" s="29"/>
      <c r="QC37" s="29"/>
      <c r="QD37" s="28"/>
      <c r="QE37" s="29"/>
      <c r="QF37" s="30"/>
      <c r="QG37" s="28"/>
      <c r="QH37" s="29"/>
      <c r="QI37" s="29"/>
      <c r="QJ37" s="29"/>
      <c r="QK37" s="28"/>
      <c r="QL37" s="29"/>
      <c r="QM37" s="29"/>
      <c r="QN37" s="28"/>
      <c r="QO37" s="29"/>
      <c r="QP37" s="30"/>
      <c r="QQ37" s="28"/>
      <c r="QR37" s="29"/>
      <c r="QS37" s="29"/>
      <c r="QT37" s="29"/>
      <c r="QU37" s="28"/>
      <c r="QV37" s="29"/>
      <c r="QW37" s="29"/>
      <c r="QX37" s="28"/>
      <c r="QY37" s="29"/>
      <c r="QZ37" s="30"/>
      <c r="RA37" s="28"/>
      <c r="RB37" s="29"/>
      <c r="RC37" s="29"/>
      <c r="RD37" s="29"/>
      <c r="RE37" s="28"/>
      <c r="RF37" s="29"/>
      <c r="RG37" s="29"/>
      <c r="RH37" s="28"/>
      <c r="RI37" s="29"/>
      <c r="RJ37" s="30"/>
      <c r="RK37" s="28"/>
      <c r="RL37" s="29"/>
      <c r="RM37" s="29"/>
      <c r="RN37" s="29"/>
      <c r="RO37" s="28"/>
      <c r="RP37" s="29"/>
      <c r="RQ37" s="29"/>
      <c r="RR37" s="28"/>
      <c r="RS37" s="29"/>
      <c r="RT37" s="30"/>
      <c r="RU37" s="28"/>
      <c r="RV37" s="29"/>
      <c r="RW37" s="29"/>
      <c r="RX37" s="29"/>
      <c r="RY37" s="28"/>
      <c r="RZ37" s="29"/>
      <c r="SA37" s="29"/>
      <c r="SB37" s="28"/>
      <c r="SC37" s="29"/>
      <c r="SD37" s="30"/>
      <c r="SE37" s="28"/>
      <c r="SF37" s="29"/>
      <c r="SG37" s="29"/>
      <c r="SH37" s="29"/>
      <c r="SI37" s="28"/>
      <c r="SJ37" s="29"/>
      <c r="SK37" s="29"/>
      <c r="SL37" s="28"/>
      <c r="SM37" s="29"/>
      <c r="SN37" s="30"/>
      <c r="SO37" s="28"/>
      <c r="SP37" s="29"/>
      <c r="SQ37" s="29"/>
      <c r="SR37" s="29"/>
      <c r="SS37" s="28"/>
      <c r="ST37" s="29"/>
      <c r="SU37" s="29"/>
      <c r="SV37" s="28"/>
      <c r="SW37" s="29"/>
      <c r="SX37" s="30"/>
      <c r="SY37" s="28"/>
      <c r="SZ37" s="29"/>
      <c r="TA37" s="29"/>
      <c r="TB37" s="29"/>
      <c r="TC37" s="28"/>
      <c r="TD37" s="29"/>
      <c r="TE37" s="29"/>
      <c r="TF37" s="28"/>
      <c r="TG37" s="29"/>
      <c r="TH37" s="30"/>
      <c r="TI37" s="28"/>
      <c r="TJ37" s="29"/>
      <c r="TK37" s="29"/>
      <c r="TL37" s="29"/>
      <c r="TM37" s="28"/>
      <c r="TN37" s="29"/>
      <c r="TO37" s="29"/>
      <c r="TP37" s="28"/>
      <c r="TQ37" s="29"/>
      <c r="TR37" s="30"/>
      <c r="TS37" s="28"/>
      <c r="TT37" s="29"/>
      <c r="TU37" s="29"/>
      <c r="TV37" s="29"/>
      <c r="TW37" s="28"/>
      <c r="TX37" s="29"/>
      <c r="TY37" s="29"/>
      <c r="TZ37" s="28"/>
      <c r="UA37" s="29"/>
      <c r="UB37" s="30"/>
      <c r="UC37" s="28"/>
      <c r="UD37" s="29"/>
      <c r="UE37" s="29"/>
      <c r="UF37" s="29"/>
      <c r="UG37" s="28"/>
      <c r="UH37" s="29"/>
      <c r="UI37" s="29"/>
      <c r="UJ37" s="28"/>
      <c r="UK37" s="29"/>
      <c r="UL37" s="30"/>
      <c r="UM37" s="28"/>
      <c r="UN37" s="29"/>
      <c r="UO37" s="29"/>
      <c r="UP37" s="29"/>
      <c r="UQ37" s="28"/>
      <c r="UR37" s="29"/>
      <c r="US37" s="29"/>
      <c r="UT37" s="28"/>
      <c r="UU37" s="29"/>
      <c r="UV37" s="30"/>
      <c r="UW37" s="28"/>
      <c r="UX37" s="29"/>
      <c r="UY37" s="29"/>
      <c r="UZ37" s="29"/>
      <c r="VA37" s="28"/>
      <c r="VB37" s="29"/>
      <c r="VC37" s="29"/>
      <c r="VD37" s="28"/>
      <c r="VE37" s="29"/>
      <c r="VF37" s="30"/>
      <c r="VG37" s="28"/>
      <c r="VH37" s="29"/>
      <c r="VI37" s="29"/>
      <c r="VJ37" s="29"/>
      <c r="VK37" s="28"/>
      <c r="VL37" s="29"/>
      <c r="VM37" s="29"/>
      <c r="VN37" s="28"/>
      <c r="VO37" s="29"/>
      <c r="VP37" s="30"/>
      <c r="VQ37" s="28"/>
      <c r="VR37" s="29"/>
      <c r="VS37" s="29"/>
      <c r="VT37" s="29"/>
      <c r="VU37" s="28"/>
      <c r="VV37" s="29"/>
      <c r="VW37" s="29"/>
      <c r="VX37" s="28"/>
      <c r="VY37" s="29"/>
      <c r="VZ37" s="30"/>
      <c r="WA37" s="28"/>
      <c r="WB37" s="29"/>
      <c r="WC37" s="29"/>
      <c r="WD37" s="29"/>
      <c r="WE37" s="28"/>
      <c r="WF37" s="29"/>
      <c r="WG37" s="29"/>
      <c r="WH37" s="28"/>
      <c r="WI37" s="29"/>
      <c r="WJ37" s="30"/>
      <c r="WK37" s="28"/>
      <c r="WL37" s="29"/>
      <c r="WM37" s="29"/>
      <c r="WN37" s="29"/>
      <c r="WO37" s="28"/>
      <c r="WP37" s="29"/>
      <c r="WQ37" s="29"/>
      <c r="WR37" s="28"/>
      <c r="WS37" s="29"/>
      <c r="WT37" s="30"/>
      <c r="WU37" s="28"/>
      <c r="WV37" s="29"/>
      <c r="WW37" s="29"/>
      <c r="WX37" s="29"/>
      <c r="WY37" s="28"/>
      <c r="WZ37" s="29"/>
      <c r="XA37" s="29"/>
      <c r="XB37" s="28"/>
      <c r="XC37" s="29"/>
      <c r="XD37" s="30"/>
      <c r="XE37" s="28"/>
      <c r="XF37" s="29"/>
      <c r="XG37" s="29"/>
      <c r="XH37" s="29"/>
      <c r="XI37" s="28"/>
      <c r="XJ37" s="29"/>
      <c r="XK37" s="29"/>
      <c r="XL37" s="28"/>
      <c r="XM37" s="29"/>
      <c r="XN37" s="30"/>
      <c r="XO37" s="28"/>
      <c r="XP37" s="29"/>
      <c r="XQ37" s="29"/>
      <c r="XR37" s="29"/>
      <c r="XS37" s="28"/>
      <c r="XT37" s="29"/>
      <c r="XU37" s="29"/>
      <c r="XV37" s="28"/>
      <c r="XW37" s="29"/>
      <c r="XX37" s="30"/>
      <c r="XY37" s="28"/>
      <c r="XZ37" s="29"/>
      <c r="YA37" s="29"/>
      <c r="YB37" s="29"/>
      <c r="YC37" s="28"/>
      <c r="YD37" s="29"/>
      <c r="YE37" s="29"/>
      <c r="YF37" s="28"/>
      <c r="YG37" s="29"/>
      <c r="YH37" s="30"/>
      <c r="YI37" s="28"/>
      <c r="YJ37" s="29"/>
      <c r="YK37" s="29"/>
      <c r="YL37" s="29"/>
      <c r="YM37" s="28"/>
      <c r="YN37" s="29"/>
      <c r="YO37" s="29"/>
      <c r="YP37" s="28"/>
      <c r="YQ37" s="29"/>
      <c r="YR37" s="30"/>
      <c r="YS37" s="28"/>
      <c r="YT37" s="29"/>
      <c r="YU37" s="29"/>
      <c r="YV37" s="29"/>
      <c r="YW37" s="28"/>
      <c r="YX37" s="29"/>
      <c r="YY37" s="29"/>
      <c r="YZ37" s="28"/>
      <c r="ZA37" s="29"/>
      <c r="ZB37" s="30"/>
      <c r="ZC37" s="28"/>
      <c r="ZD37" s="29"/>
      <c r="ZE37" s="29"/>
      <c r="ZF37" s="29"/>
      <c r="ZG37" s="28"/>
      <c r="ZH37" s="29"/>
      <c r="ZI37" s="29"/>
      <c r="ZJ37" s="28"/>
      <c r="ZK37" s="29"/>
      <c r="ZL37" s="30"/>
      <c r="ZM37" s="28"/>
      <c r="ZN37" s="29"/>
      <c r="ZO37" s="29"/>
      <c r="ZP37" s="29"/>
      <c r="ZQ37" s="28"/>
      <c r="ZR37" s="29"/>
      <c r="ZS37" s="29"/>
      <c r="ZT37" s="28"/>
      <c r="ZU37" s="29"/>
      <c r="ZV37" s="30"/>
      <c r="ZW37" s="28"/>
      <c r="ZX37" s="29"/>
      <c r="ZY37" s="29"/>
      <c r="ZZ37" s="29"/>
      <c r="AAA37" s="28"/>
      <c r="AAB37" s="29"/>
      <c r="AAC37" s="29"/>
      <c r="AAD37" s="28"/>
      <c r="AAE37" s="29"/>
      <c r="AAF37" s="30"/>
      <c r="AAG37" s="28"/>
      <c r="AAH37" s="29"/>
      <c r="AAI37" s="29"/>
      <c r="AAJ37" s="29"/>
      <c r="AAK37" s="28"/>
      <c r="AAL37" s="29"/>
      <c r="AAM37" s="29"/>
      <c r="AAN37" s="28"/>
      <c r="AAO37" s="29"/>
      <c r="AAP37" s="30"/>
      <c r="AAQ37" s="28"/>
      <c r="AAR37" s="29"/>
      <c r="AAS37" s="29"/>
      <c r="AAT37" s="29"/>
      <c r="AAU37" s="28"/>
      <c r="AAV37" s="29"/>
      <c r="AAW37" s="29"/>
      <c r="AAX37" s="28"/>
      <c r="AAY37" s="29"/>
      <c r="AAZ37" s="30"/>
      <c r="ABA37" s="28"/>
      <c r="ABB37" s="29"/>
      <c r="ABC37" s="29"/>
      <c r="ABD37" s="29"/>
      <c r="ABE37" s="28"/>
      <c r="ABF37" s="29"/>
      <c r="ABG37" s="29"/>
      <c r="ABH37" s="28"/>
      <c r="ABI37" s="29"/>
      <c r="ABJ37" s="30"/>
      <c r="ABK37" s="28"/>
      <c r="ABL37" s="29"/>
      <c r="ABM37" s="29"/>
      <c r="ABN37" s="29"/>
      <c r="ABO37" s="28"/>
      <c r="ABP37" s="29"/>
      <c r="ABQ37" s="29"/>
      <c r="ABR37" s="28"/>
      <c r="ABS37" s="29"/>
      <c r="ABT37" s="30"/>
      <c r="ABU37" s="28"/>
      <c r="ABV37" s="29"/>
      <c r="ABW37" s="29"/>
      <c r="ABX37" s="29"/>
      <c r="ABY37" s="28"/>
      <c r="ABZ37" s="29"/>
      <c r="ACA37" s="29"/>
      <c r="ACB37" s="28"/>
      <c r="ACC37" s="29"/>
      <c r="ACD37" s="30"/>
      <c r="ACE37" s="28"/>
      <c r="ACF37" s="29"/>
      <c r="ACG37" s="29"/>
      <c r="ACH37" s="29"/>
      <c r="ACI37" s="28"/>
      <c r="ACJ37" s="29"/>
      <c r="ACK37" s="29"/>
      <c r="ACL37" s="28"/>
      <c r="ACM37" s="29"/>
      <c r="ACN37" s="30"/>
      <c r="ACO37" s="28"/>
      <c r="ACP37" s="29"/>
      <c r="ACQ37" s="29"/>
      <c r="ACR37" s="29"/>
      <c r="ACS37" s="28"/>
      <c r="ACT37" s="29"/>
      <c r="ACU37" s="29"/>
      <c r="ACV37" s="28"/>
      <c r="ACW37" s="29"/>
      <c r="ACX37" s="30"/>
      <c r="ACY37" s="28"/>
      <c r="ACZ37" s="29"/>
      <c r="ADA37" s="29"/>
      <c r="ADB37" s="29"/>
      <c r="ADC37" s="28"/>
      <c r="ADD37" s="29"/>
      <c r="ADE37" s="29"/>
      <c r="ADF37" s="28"/>
      <c r="ADG37" s="29"/>
      <c r="ADH37" s="30"/>
      <c r="ADI37" s="28"/>
      <c r="ADJ37" s="29"/>
      <c r="ADK37" s="29"/>
      <c r="ADL37" s="29"/>
      <c r="ADM37" s="28"/>
      <c r="ADN37" s="29"/>
      <c r="ADO37" s="29"/>
      <c r="ADP37" s="28"/>
      <c r="ADQ37" s="29"/>
      <c r="ADR37" s="30"/>
      <c r="ADS37" s="28"/>
      <c r="ADT37" s="29"/>
      <c r="ADU37" s="29"/>
      <c r="ADV37" s="29"/>
      <c r="ADW37" s="28"/>
      <c r="ADX37" s="29"/>
      <c r="ADY37" s="29"/>
      <c r="ADZ37" s="28"/>
      <c r="AEA37" s="29"/>
      <c r="AEB37" s="30"/>
      <c r="AEC37" s="28"/>
      <c r="AED37" s="29"/>
      <c r="AEE37" s="29"/>
      <c r="AEF37" s="29"/>
      <c r="AEG37" s="28"/>
      <c r="AEH37" s="29"/>
      <c r="AEI37" s="29"/>
      <c r="AEJ37" s="28"/>
      <c r="AEK37" s="29"/>
      <c r="AEL37" s="30"/>
      <c r="AEM37" s="28"/>
      <c r="AEN37" s="29"/>
      <c r="AEO37" s="29"/>
      <c r="AEP37" s="29"/>
      <c r="AEQ37" s="28"/>
      <c r="AER37" s="29"/>
      <c r="AES37" s="29"/>
      <c r="AET37" s="28"/>
      <c r="AEU37" s="29"/>
      <c r="AEV37" s="30"/>
      <c r="AEW37" s="28"/>
      <c r="AEX37" s="29"/>
      <c r="AEY37" s="29"/>
      <c r="AEZ37" s="29"/>
      <c r="AFA37" s="28"/>
      <c r="AFB37" s="29"/>
      <c r="AFC37" s="29"/>
      <c r="AFD37" s="28"/>
      <c r="AFE37" s="29"/>
      <c r="AFF37" s="30"/>
      <c r="AFG37" s="28"/>
      <c r="AFH37" s="29"/>
      <c r="AFI37" s="29"/>
      <c r="AFJ37" s="29"/>
      <c r="AFK37" s="28"/>
      <c r="AFL37" s="29"/>
      <c r="AFM37" s="29"/>
      <c r="AFN37" s="28"/>
      <c r="AFO37" s="29"/>
      <c r="AFP37" s="30"/>
      <c r="AFQ37" s="28"/>
      <c r="AFR37" s="29"/>
      <c r="AFS37" s="29"/>
      <c r="AFT37" s="29"/>
      <c r="AFU37" s="28"/>
      <c r="AFV37" s="29"/>
      <c r="AFW37" s="29"/>
      <c r="AFX37" s="28"/>
      <c r="AFY37" s="29"/>
      <c r="AFZ37" s="30"/>
      <c r="AGA37" s="28"/>
      <c r="AGB37" s="29"/>
      <c r="AGC37" s="29"/>
      <c r="AGD37" s="29"/>
      <c r="AGE37" s="28"/>
      <c r="AGF37" s="29"/>
      <c r="AGG37" s="29"/>
      <c r="AGH37" s="28"/>
      <c r="AGI37" s="29"/>
      <c r="AGJ37" s="30"/>
      <c r="AGK37" s="28"/>
      <c r="AGL37" s="29"/>
      <c r="AGM37" s="29"/>
      <c r="AGN37" s="29"/>
      <c r="AGO37" s="28"/>
      <c r="AGP37" s="29"/>
      <c r="AGQ37" s="29"/>
      <c r="AGR37" s="28"/>
      <c r="AGS37" s="29"/>
      <c r="AGT37" s="30"/>
      <c r="AGU37" s="28"/>
      <c r="AGV37" s="29"/>
      <c r="AGW37" s="29"/>
      <c r="AGX37" s="29"/>
      <c r="AGY37" s="28"/>
      <c r="AGZ37" s="29"/>
      <c r="AHA37" s="29"/>
      <c r="AHB37" s="28"/>
      <c r="AHC37" s="29"/>
      <c r="AHD37" s="30"/>
      <c r="AHE37" s="28"/>
      <c r="AHF37" s="29"/>
      <c r="AHG37" s="29"/>
      <c r="AHH37" s="29"/>
      <c r="AHI37" s="28"/>
      <c r="AHJ37" s="29"/>
      <c r="AHK37" s="29"/>
      <c r="AHL37" s="28"/>
      <c r="AHM37" s="29"/>
      <c r="AHN37" s="30"/>
      <c r="AHO37" s="28"/>
      <c r="AHP37" s="29"/>
      <c r="AHQ37" s="29"/>
      <c r="AHR37" s="29"/>
      <c r="AHS37" s="28"/>
      <c r="AHT37" s="29"/>
      <c r="AHU37" s="29"/>
      <c r="AHV37" s="28"/>
      <c r="AHW37" s="29"/>
      <c r="AHX37" s="30"/>
      <c r="AHY37" s="28"/>
      <c r="AHZ37" s="29"/>
      <c r="AIA37" s="29"/>
      <c r="AIB37" s="29"/>
      <c r="AIC37" s="28"/>
      <c r="AID37" s="29"/>
      <c r="AIE37" s="29"/>
      <c r="AIF37" s="28"/>
      <c r="AIG37" s="29"/>
      <c r="AIH37" s="30"/>
      <c r="AII37" s="28"/>
      <c r="AIJ37" s="29"/>
      <c r="AIK37" s="29"/>
      <c r="AIL37" s="29"/>
      <c r="AIM37" s="28"/>
      <c r="AIN37" s="29"/>
      <c r="AIO37" s="29"/>
      <c r="AIP37" s="28"/>
      <c r="AIQ37" s="29"/>
      <c r="AIR37" s="30"/>
      <c r="AIS37" s="28"/>
      <c r="AIT37" s="29"/>
      <c r="AIU37" s="29"/>
      <c r="AIV37" s="29"/>
      <c r="AIW37" s="28"/>
      <c r="AIX37" s="29"/>
      <c r="AIY37" s="29"/>
      <c r="AIZ37" s="28"/>
      <c r="AJA37" s="29"/>
      <c r="AJB37" s="30"/>
      <c r="AJC37" s="28"/>
      <c r="AJD37" s="29"/>
      <c r="AJE37" s="29"/>
      <c r="AJF37" s="29"/>
      <c r="AJG37" s="28"/>
      <c r="AJH37" s="29"/>
      <c r="AJI37" s="29"/>
      <c r="AJJ37" s="28"/>
      <c r="AJK37" s="29"/>
      <c r="AJL37" s="30"/>
      <c r="AJM37" s="28"/>
      <c r="AJN37" s="29"/>
      <c r="AJO37" s="29"/>
      <c r="AJP37" s="29"/>
      <c r="AJQ37" s="28"/>
      <c r="AJR37" s="29"/>
      <c r="AJS37" s="29"/>
      <c r="AJT37" s="28"/>
      <c r="AJU37" s="29"/>
      <c r="AJV37" s="30"/>
      <c r="AJW37" s="28"/>
      <c r="AJX37" s="29"/>
      <c r="AJY37" s="29"/>
      <c r="AJZ37" s="29"/>
      <c r="AKA37" s="28"/>
      <c r="AKB37" s="29"/>
      <c r="AKC37" s="29"/>
      <c r="AKD37" s="28"/>
      <c r="AKE37" s="29"/>
      <c r="AKF37" s="30"/>
      <c r="AKG37" s="28"/>
      <c r="AKH37" s="29"/>
      <c r="AKI37" s="29"/>
      <c r="AKJ37" s="29"/>
      <c r="AKK37" s="28"/>
      <c r="AKL37" s="29"/>
      <c r="AKM37" s="29"/>
      <c r="AKN37" s="28"/>
      <c r="AKO37" s="29"/>
      <c r="AKP37" s="30"/>
      <c r="AKQ37" s="28"/>
      <c r="AKR37" s="29"/>
      <c r="AKS37" s="29"/>
      <c r="AKT37" s="29"/>
      <c r="AKU37" s="28"/>
      <c r="AKV37" s="29"/>
      <c r="AKW37" s="29"/>
      <c r="AKX37" s="28"/>
      <c r="AKY37" s="29"/>
      <c r="AKZ37" s="30"/>
      <c r="ALA37" s="28"/>
      <c r="ALB37" s="29"/>
      <c r="ALC37" s="29"/>
      <c r="ALD37" s="29"/>
      <c r="ALE37" s="28"/>
      <c r="ALF37" s="29"/>
      <c r="ALG37" s="29"/>
      <c r="ALH37" s="29"/>
      <c r="ALI37" s="29"/>
      <c r="ALJ37" s="29"/>
      <c r="ALK37" s="28"/>
      <c r="ALL37" s="29"/>
      <c r="ALM37" s="29"/>
      <c r="ALN37" s="28"/>
      <c r="ALO37" s="29"/>
      <c r="ALP37" s="30"/>
      <c r="ALQ37" s="28"/>
      <c r="ALR37" s="29"/>
      <c r="ALS37" s="29"/>
      <c r="ALT37" s="29"/>
      <c r="ALU37" s="28"/>
      <c r="ALV37" s="29"/>
      <c r="ALW37" s="29"/>
      <c r="ALX37" s="28"/>
      <c r="ALY37" s="29"/>
      <c r="ALZ37" s="30"/>
      <c r="AMA37" s="28"/>
      <c r="AMB37" s="29"/>
      <c r="AMC37" s="29"/>
      <c r="AMD37" s="29"/>
      <c r="AME37" s="28"/>
      <c r="AMF37" s="29"/>
      <c r="AMG37" s="29"/>
      <c r="AMH37" s="29"/>
      <c r="AMI37" s="29"/>
      <c r="AMJ37" s="29"/>
      <c r="AMK37" s="28"/>
      <c r="AML37" s="29"/>
      <c r="AMM37" s="29"/>
      <c r="AMN37" s="28"/>
      <c r="AMO37" s="29"/>
      <c r="AMP37" s="30"/>
      <c r="AMQ37" s="28"/>
      <c r="AMR37" s="29"/>
      <c r="AMS37" s="29"/>
      <c r="AMT37" s="29"/>
      <c r="AMU37" s="28"/>
      <c r="AMV37" s="29"/>
      <c r="AMW37" s="29"/>
      <c r="AMX37" s="28"/>
      <c r="AMY37" s="29"/>
      <c r="AMZ37" s="30"/>
      <c r="ANA37" s="28"/>
      <c r="ANB37" s="29"/>
      <c r="ANC37" s="29"/>
      <c r="AND37" s="29"/>
      <c r="ANE37" s="28"/>
      <c r="ANF37" s="29"/>
      <c r="ANG37" s="29"/>
      <c r="ANH37" s="29"/>
      <c r="ANI37" s="29"/>
      <c r="ANJ37" s="29"/>
      <c r="ANK37" s="28"/>
      <c r="ANL37" s="29"/>
      <c r="ANM37" s="29"/>
      <c r="ANN37" s="28"/>
      <c r="ANO37" s="29"/>
      <c r="ANP37" s="30"/>
      <c r="ANQ37" s="28"/>
      <c r="ANR37" s="29"/>
      <c r="ANS37" s="29"/>
      <c r="ANT37" s="29"/>
      <c r="ANU37" s="28"/>
      <c r="ANV37" s="29"/>
      <c r="ANW37" s="29"/>
      <c r="ANX37" s="28"/>
      <c r="ANY37" s="29"/>
      <c r="ANZ37" s="30"/>
      <c r="AOA37" s="28"/>
      <c r="AOB37" s="29"/>
      <c r="AOC37" s="29"/>
      <c r="AOD37" s="29"/>
      <c r="AOE37" s="28"/>
      <c r="AOF37" s="29"/>
      <c r="AOG37" s="29"/>
      <c r="AOH37" s="29"/>
      <c r="AOI37" s="29"/>
      <c r="AOJ37" s="29"/>
      <c r="AOK37" s="28"/>
      <c r="AOL37" s="29"/>
      <c r="AOM37" s="29"/>
      <c r="AON37" s="28"/>
      <c r="AOO37" s="29"/>
      <c r="AOP37" s="30"/>
      <c r="AOQ37" s="28"/>
      <c r="AOR37" s="29"/>
      <c r="AOS37" s="29"/>
      <c r="AOT37" s="29"/>
      <c r="AOU37" s="28"/>
      <c r="AOV37" s="29"/>
      <c r="AOW37" s="29"/>
      <c r="AOX37" s="28"/>
      <c r="AOY37" s="29"/>
      <c r="AOZ37" s="30"/>
      <c r="APA37" s="28"/>
      <c r="APB37" s="29"/>
      <c r="APC37" s="29"/>
      <c r="APD37" s="29"/>
      <c r="APE37" s="28"/>
      <c r="APF37" s="29"/>
      <c r="APG37" s="29"/>
      <c r="APH37" s="29"/>
      <c r="API37" s="29"/>
      <c r="APJ37" s="29"/>
      <c r="APK37" s="28"/>
      <c r="APL37" s="29"/>
      <c r="APM37" s="29"/>
      <c r="APN37" s="28"/>
      <c r="APO37" s="29"/>
      <c r="APP37" s="30"/>
      <c r="APQ37" s="28"/>
      <c r="APR37" s="29"/>
      <c r="APS37" s="29"/>
      <c r="APT37" s="29"/>
      <c r="APU37" s="28"/>
      <c r="APV37" s="29"/>
      <c r="APW37" s="29"/>
      <c r="APX37" s="28"/>
      <c r="APY37" s="29"/>
      <c r="APZ37" s="30"/>
      <c r="AQA37" s="28"/>
      <c r="AQB37" s="29"/>
      <c r="AQC37" s="29"/>
      <c r="AQD37" s="29"/>
      <c r="AQE37" s="28"/>
      <c r="AQF37" s="29"/>
      <c r="AQG37" s="29"/>
      <c r="AQH37" s="29"/>
      <c r="AQI37" s="29"/>
      <c r="AQJ37" s="29"/>
      <c r="AQK37" s="28"/>
      <c r="AQL37" s="29"/>
      <c r="AQM37" s="29"/>
      <c r="AQN37" s="28"/>
      <c r="AQO37" s="29"/>
      <c r="AQP37" s="30"/>
      <c r="AQQ37" s="28"/>
      <c r="AQR37" s="29"/>
      <c r="AQS37" s="29"/>
      <c r="AQT37" s="29"/>
      <c r="AQU37" s="28"/>
      <c r="AQV37" s="29"/>
      <c r="AQW37" s="29"/>
      <c r="AQX37" s="28"/>
      <c r="AQY37" s="29"/>
      <c r="AQZ37" s="30"/>
      <c r="ARA37" s="28"/>
      <c r="ARB37" s="29"/>
      <c r="ARC37" s="29"/>
      <c r="ARD37" s="29"/>
      <c r="ARE37" s="28"/>
      <c r="ARF37" s="29"/>
      <c r="ARG37" s="29"/>
      <c r="ARH37" s="29"/>
      <c r="ARI37" s="29"/>
      <c r="ARJ37" s="29"/>
      <c r="ARK37" s="28"/>
      <c r="ARL37" s="29"/>
      <c r="ARM37" s="29"/>
      <c r="ARN37" s="28"/>
      <c r="ARO37" s="29"/>
      <c r="ARP37" s="30"/>
      <c r="ARQ37" s="28"/>
      <c r="ARR37" s="29"/>
      <c r="ARS37" s="29"/>
      <c r="ART37" s="29"/>
      <c r="ARU37" s="28"/>
      <c r="ARV37" s="29"/>
      <c r="ARW37" s="29"/>
      <c r="ARX37" s="28"/>
      <c r="ARY37" s="29"/>
      <c r="ARZ37" s="30"/>
      <c r="ASA37" s="28"/>
      <c r="ASB37" s="29"/>
      <c r="ASC37" s="29"/>
      <c r="ASD37" s="29"/>
      <c r="ASE37" s="28"/>
      <c r="ASF37" s="29"/>
      <c r="ASG37" s="29"/>
      <c r="ASH37" s="29"/>
      <c r="ASI37" s="29"/>
      <c r="ASJ37" s="29"/>
      <c r="ASK37" s="28"/>
      <c r="ASL37" s="29"/>
      <c r="ASM37" s="29"/>
      <c r="ASN37" s="28"/>
      <c r="ASO37" s="29"/>
      <c r="ASP37" s="30"/>
      <c r="ASQ37" s="28"/>
      <c r="ASR37" s="29"/>
      <c r="ASS37" s="29"/>
      <c r="AST37" s="29"/>
      <c r="ASU37" s="28"/>
      <c r="ASV37" s="29"/>
      <c r="ASW37" s="29"/>
      <c r="ASX37" s="28"/>
      <c r="ASY37" s="29"/>
      <c r="ASZ37" s="30"/>
      <c r="ATA37" s="28"/>
      <c r="ATB37" s="29"/>
      <c r="ATC37" s="29"/>
      <c r="ATD37" s="29"/>
      <c r="ATE37" s="28"/>
      <c r="ATF37" s="29"/>
      <c r="ATG37" s="29"/>
      <c r="ATH37" s="29"/>
      <c r="ATI37" s="29"/>
      <c r="ATJ37" s="29"/>
      <c r="ATK37" s="28"/>
      <c r="ATL37" s="29"/>
      <c r="ATM37" s="29"/>
      <c r="ATN37" s="28"/>
      <c r="ATO37" s="29"/>
      <c r="ATP37" s="30"/>
      <c r="ATQ37" s="28"/>
      <c r="ATR37" s="29"/>
      <c r="ATS37" s="29"/>
      <c r="ATT37" s="29"/>
      <c r="ATU37" s="28"/>
      <c r="ATV37" s="29"/>
      <c r="ATW37" s="29"/>
      <c r="ATX37" s="28"/>
      <c r="ATY37" s="29"/>
      <c r="ATZ37" s="30"/>
      <c r="AUA37" s="28"/>
      <c r="AUB37" s="29"/>
      <c r="AUC37" s="29"/>
      <c r="AUD37" s="29"/>
      <c r="AUE37" s="28"/>
      <c r="AUF37" s="29"/>
      <c r="AUG37" s="29"/>
      <c r="AUH37" s="29"/>
      <c r="AUI37" s="29"/>
      <c r="AUJ37" s="29"/>
      <c r="AUK37" s="28"/>
      <c r="AUL37" s="29"/>
      <c r="AUM37" s="29"/>
      <c r="AUN37" s="28"/>
      <c r="AUO37" s="29"/>
      <c r="AUP37" s="30"/>
      <c r="AUQ37" s="28"/>
      <c r="AUR37" s="29"/>
      <c r="AUS37" s="29"/>
      <c r="AUT37" s="29"/>
      <c r="AUU37" s="28"/>
      <c r="AUV37" s="29"/>
      <c r="AUW37" s="29"/>
      <c r="AUX37" s="28"/>
      <c r="AUY37" s="29"/>
      <c r="AUZ37" s="30"/>
      <c r="AVA37" s="28"/>
      <c r="AVB37" s="29"/>
      <c r="AVC37" s="29"/>
      <c r="AVD37" s="29"/>
      <c r="AVE37" s="28"/>
      <c r="AVF37" s="29"/>
      <c r="AVG37" s="29"/>
      <c r="AVH37" s="29"/>
      <c r="AVI37" s="29"/>
      <c r="AVJ37" s="29"/>
      <c r="AVK37" s="28"/>
      <c r="AVL37" s="29"/>
      <c r="AVM37" s="29"/>
      <c r="AVN37" s="28"/>
      <c r="AVO37" s="29"/>
      <c r="AVP37" s="30"/>
      <c r="AVQ37" s="28"/>
      <c r="AVR37" s="29"/>
      <c r="AVS37" s="29"/>
      <c r="AVT37" s="29"/>
      <c r="AVU37" s="28"/>
      <c r="AVV37" s="29"/>
      <c r="AVW37" s="29"/>
      <c r="AVX37" s="28"/>
      <c r="AVY37" s="29"/>
      <c r="AVZ37" s="30"/>
      <c r="AWA37" s="28"/>
      <c r="AWB37" s="29"/>
      <c r="AWC37" s="29"/>
      <c r="AWD37" s="29"/>
      <c r="AWE37" s="28"/>
      <c r="AWF37" s="29"/>
      <c r="AWG37" s="29"/>
      <c r="AWH37" s="29"/>
      <c r="AWI37" s="29"/>
      <c r="AWJ37" s="29"/>
      <c r="AWK37" s="28"/>
      <c r="AWL37" s="29"/>
      <c r="AWM37" s="29"/>
      <c r="AWN37" s="28"/>
      <c r="AWO37" s="29"/>
      <c r="AWP37" s="30"/>
      <c r="AWQ37" s="28"/>
      <c r="AWR37" s="29"/>
      <c r="AWS37" s="29"/>
      <c r="AWT37" s="29"/>
      <c r="AWU37" s="28"/>
      <c r="AWV37" s="29"/>
      <c r="AWW37" s="29"/>
      <c r="AWX37" s="28"/>
      <c r="AWY37" s="29"/>
      <c r="AWZ37" s="30"/>
      <c r="AXA37" s="28"/>
      <c r="AXB37" s="29"/>
      <c r="AXC37" s="29"/>
      <c r="AXD37" s="29"/>
      <c r="AXE37" s="28"/>
      <c r="AXF37" s="29"/>
      <c r="AXG37" s="29"/>
      <c r="AXH37" s="29"/>
      <c r="AXI37" s="29"/>
      <c r="AXJ37" s="29"/>
      <c r="AXK37" s="28"/>
      <c r="AXL37" s="29"/>
      <c r="AXM37" s="29"/>
      <c r="AXN37" s="28"/>
      <c r="AXO37" s="29"/>
      <c r="AXP37" s="30"/>
      <c r="AXQ37" s="28"/>
      <c r="AXR37" s="29"/>
      <c r="AXS37" s="29"/>
      <c r="AXT37" s="29"/>
      <c r="AXU37" s="28"/>
      <c r="AXV37" s="29"/>
      <c r="AXW37" s="29"/>
      <c r="AXX37" s="28"/>
      <c r="AXY37" s="29"/>
      <c r="AXZ37" s="30"/>
      <c r="AYA37" s="28"/>
      <c r="AYB37" s="29"/>
      <c r="AYC37" s="29"/>
      <c r="AYD37" s="29"/>
      <c r="AYE37" s="28"/>
      <c r="AYF37" s="29"/>
      <c r="AYG37" s="29"/>
      <c r="AYH37" s="29"/>
      <c r="AYI37" s="29"/>
      <c r="AYJ37" s="29"/>
      <c r="AYK37" s="28"/>
      <c r="AYL37" s="29"/>
      <c r="AYM37" s="29"/>
      <c r="AYN37" s="28"/>
      <c r="AYO37" s="29"/>
      <c r="AYP37" s="30"/>
      <c r="AYQ37" s="28"/>
      <c r="AYR37" s="29"/>
      <c r="AYS37" s="29"/>
      <c r="AYT37" s="29"/>
      <c r="AYU37" s="28"/>
      <c r="AYV37" s="29"/>
      <c r="AYW37" s="29"/>
      <c r="AYX37" s="28"/>
      <c r="AYY37" s="29"/>
      <c r="AYZ37" s="30"/>
      <c r="AZA37" s="28"/>
      <c r="AZB37" s="29"/>
      <c r="AZC37" s="29"/>
      <c r="AZD37" s="29"/>
      <c r="AZE37" s="28"/>
      <c r="AZF37" s="29"/>
      <c r="AZG37" s="29"/>
      <c r="AZH37" s="29"/>
      <c r="AZI37" s="29"/>
      <c r="AZJ37" s="29"/>
      <c r="AZK37" s="28"/>
      <c r="AZL37" s="29"/>
      <c r="AZM37" s="29"/>
      <c r="AZN37" s="28"/>
      <c r="AZO37" s="29"/>
      <c r="AZP37" s="30"/>
      <c r="AZQ37" s="28"/>
      <c r="AZR37" s="29"/>
      <c r="AZS37" s="29"/>
      <c r="AZT37" s="29"/>
      <c r="AZU37" s="28"/>
      <c r="AZV37" s="29"/>
      <c r="AZW37" s="29"/>
      <c r="AZX37" s="28"/>
      <c r="AZY37" s="29"/>
      <c r="AZZ37" s="30"/>
      <c r="BAA37" s="28"/>
      <c r="BAB37" s="29"/>
      <c r="BAC37" s="29"/>
      <c r="BAD37" s="29"/>
      <c r="BAE37" s="28"/>
      <c r="BAF37" s="29"/>
      <c r="BAG37" s="29"/>
      <c r="BAH37" s="29"/>
      <c r="BAI37" s="29"/>
      <c r="BAJ37" s="29"/>
      <c r="BAK37" s="28"/>
      <c r="BAL37" s="29"/>
      <c r="BAM37" s="29"/>
      <c r="BAN37" s="28"/>
      <c r="BAO37" s="29"/>
      <c r="BAP37" s="30"/>
      <c r="BAQ37" s="28"/>
      <c r="BAR37" s="29"/>
      <c r="BAS37" s="29"/>
      <c r="BAT37" s="29"/>
      <c r="BAU37" s="28"/>
      <c r="BAV37" s="29"/>
      <c r="BAW37" s="29"/>
      <c r="BAX37" s="28"/>
      <c r="BAY37" s="29"/>
      <c r="BAZ37" s="30"/>
      <c r="BBA37" s="28"/>
      <c r="BBB37" s="29"/>
      <c r="BBC37" s="29"/>
      <c r="BBD37" s="29"/>
      <c r="BBE37" s="28"/>
      <c r="BBF37" s="29"/>
      <c r="BBG37" s="29"/>
      <c r="BBH37" s="29"/>
      <c r="BBI37" s="29"/>
      <c r="BBJ37" s="29"/>
      <c r="BBK37" s="28"/>
      <c r="BBL37" s="29"/>
      <c r="BBM37" s="29"/>
      <c r="BBN37" s="28"/>
      <c r="BBO37" s="29"/>
      <c r="BBP37" s="30"/>
      <c r="BBQ37" s="28"/>
      <c r="BBR37" s="29"/>
      <c r="BBS37" s="29"/>
      <c r="BBT37" s="29"/>
      <c r="BBU37" s="28"/>
      <c r="BBV37" s="29"/>
      <c r="BBW37" s="29"/>
      <c r="BBX37" s="28"/>
      <c r="BBY37" s="29"/>
      <c r="BBZ37" s="30"/>
      <c r="BCA37" s="28"/>
      <c r="BCB37" s="29"/>
      <c r="BCC37" s="29"/>
      <c r="BCD37" s="29"/>
      <c r="BCE37" s="28"/>
      <c r="BCF37" s="29"/>
      <c r="BCG37" s="29"/>
      <c r="BCH37" s="29"/>
      <c r="BCI37" s="29"/>
      <c r="BCJ37" s="29"/>
      <c r="BCK37" s="28"/>
      <c r="BCL37" s="29"/>
      <c r="BCM37" s="29"/>
      <c r="BCN37" s="28"/>
      <c r="BCO37" s="29"/>
      <c r="BCP37" s="30"/>
      <c r="BCQ37" s="28"/>
      <c r="BCR37" s="29"/>
      <c r="BCS37" s="29"/>
      <c r="BCT37" s="29"/>
      <c r="BCU37" s="28"/>
      <c r="BCV37" s="29"/>
      <c r="BCW37" s="29"/>
      <c r="BCX37" s="28"/>
      <c r="BCY37" s="29"/>
      <c r="BCZ37" s="30"/>
      <c r="BDA37" s="28"/>
      <c r="BDB37" s="29"/>
      <c r="BDC37" s="29"/>
      <c r="BDD37" s="29"/>
      <c r="BDE37" s="28"/>
      <c r="BDF37" s="29"/>
      <c r="BDG37" s="29"/>
      <c r="BDH37" s="29"/>
      <c r="BDI37" s="29"/>
      <c r="BDJ37" s="29"/>
      <c r="BDK37" s="28"/>
      <c r="BDL37" s="29"/>
      <c r="BDM37" s="29"/>
      <c r="BDN37" s="28"/>
      <c r="BDO37" s="29"/>
      <c r="BDP37" s="30"/>
      <c r="BDQ37" s="28"/>
      <c r="BDR37" s="29"/>
      <c r="BDS37" s="29"/>
      <c r="BDT37" s="29"/>
      <c r="BDU37" s="28"/>
      <c r="BDV37" s="29"/>
      <c r="BDW37" s="29"/>
      <c r="BDX37" s="28"/>
      <c r="BDY37" s="29"/>
      <c r="BDZ37" s="30"/>
      <c r="BEA37" s="28"/>
      <c r="BEB37" s="29"/>
      <c r="BEC37" s="29"/>
      <c r="BED37" s="29"/>
      <c r="BEE37" s="28"/>
      <c r="BEF37" s="29"/>
      <c r="BEG37" s="29"/>
      <c r="BEH37" s="29"/>
      <c r="BEI37" s="29"/>
      <c r="BEJ37" s="29"/>
      <c r="BEK37" s="28"/>
      <c r="BEL37" s="29"/>
      <c r="BEM37" s="29"/>
      <c r="BEN37" s="28"/>
      <c r="BEO37" s="29"/>
      <c r="BEP37" s="30"/>
      <c r="BEQ37" s="28"/>
      <c r="BER37" s="29"/>
      <c r="BES37" s="29"/>
      <c r="BET37" s="29"/>
      <c r="BEU37" s="28"/>
      <c r="BEV37" s="29"/>
      <c r="BEW37" s="29"/>
      <c r="BEX37" s="28"/>
      <c r="BEY37" s="29"/>
      <c r="BEZ37" s="30"/>
      <c r="BFA37" s="28"/>
      <c r="BFB37" s="29"/>
      <c r="BFC37" s="29"/>
      <c r="BFD37" s="29"/>
      <c r="BFE37" s="28"/>
      <c r="BFF37" s="29"/>
      <c r="BFG37" s="29"/>
      <c r="BFH37" s="29"/>
      <c r="BFI37" s="29"/>
      <c r="BFJ37" s="29"/>
      <c r="BFK37" s="28"/>
      <c r="BFL37" s="29"/>
      <c r="BFM37" s="29"/>
      <c r="BFN37" s="28"/>
      <c r="BFO37" s="29"/>
      <c r="BFP37" s="30"/>
      <c r="BFQ37" s="28"/>
      <c r="BFR37" s="29"/>
      <c r="BFS37" s="29"/>
      <c r="BFT37" s="29"/>
      <c r="BFU37" s="28"/>
      <c r="BFV37" s="29"/>
      <c r="BFW37" s="29"/>
      <c r="BFX37" s="28"/>
      <c r="BFY37" s="29"/>
      <c r="BFZ37" s="30"/>
      <c r="BGA37" s="28"/>
      <c r="BGB37" s="29"/>
      <c r="BGC37" s="29"/>
      <c r="BGD37" s="29"/>
      <c r="BGE37" s="28"/>
      <c r="BGF37" s="29"/>
      <c r="BGG37" s="29"/>
      <c r="BGH37" s="29"/>
      <c r="BGI37" s="29"/>
      <c r="BGJ37" s="29"/>
      <c r="BGK37" s="28"/>
      <c r="BGL37" s="29"/>
      <c r="BGM37" s="29"/>
      <c r="BGN37" s="28"/>
      <c r="BGO37" s="29"/>
      <c r="BGP37" s="30"/>
      <c r="BGQ37" s="28"/>
      <c r="BGR37" s="29"/>
      <c r="BGS37" s="29"/>
      <c r="BGT37" s="29"/>
      <c r="BGU37" s="28"/>
      <c r="BGV37" s="29"/>
      <c r="BGW37" s="29"/>
      <c r="BGX37" s="28"/>
      <c r="BGY37" s="29"/>
      <c r="BGZ37" s="30"/>
      <c r="BHA37" s="28"/>
      <c r="BHB37" s="29"/>
      <c r="BHC37" s="29"/>
      <c r="BHD37" s="29"/>
      <c r="BHE37" s="28"/>
      <c r="BHF37" s="29"/>
      <c r="BHG37" s="29"/>
      <c r="BHH37" s="29"/>
      <c r="BHI37" s="29"/>
      <c r="BHJ37" s="29"/>
      <c r="BHK37" s="28"/>
      <c r="BHL37" s="29"/>
      <c r="BHM37" s="29"/>
      <c r="BHN37" s="28"/>
      <c r="BHO37" s="29"/>
      <c r="BHP37" s="30"/>
      <c r="BHQ37" s="28"/>
      <c r="BHR37" s="29"/>
      <c r="BHS37" s="29"/>
      <c r="BHT37" s="29"/>
      <c r="BHU37" s="28"/>
      <c r="BHV37" s="29"/>
      <c r="BHW37" s="29"/>
      <c r="BHX37" s="28"/>
      <c r="BHY37" s="29"/>
      <c r="BHZ37" s="30"/>
      <c r="BIA37" s="28"/>
      <c r="BIB37" s="29"/>
      <c r="BIC37" s="29"/>
      <c r="BID37" s="29"/>
      <c r="BIE37" s="28"/>
      <c r="BIF37" s="29"/>
      <c r="BIG37" s="29"/>
      <c r="BIH37" s="29"/>
      <c r="BII37" s="29"/>
      <c r="BIJ37" s="29"/>
      <c r="BIK37" s="28"/>
      <c r="BIL37" s="29"/>
      <c r="BIM37" s="29"/>
      <c r="BIN37" s="28"/>
      <c r="BIO37" s="29"/>
      <c r="BIP37" s="30"/>
      <c r="BIQ37" s="28"/>
      <c r="BIR37" s="29"/>
      <c r="BIS37" s="29"/>
      <c r="BIT37" s="29"/>
      <c r="BIU37" s="28"/>
      <c r="BIV37" s="29"/>
      <c r="BIW37" s="29"/>
      <c r="BIX37" s="28"/>
      <c r="BIY37" s="29"/>
      <c r="BIZ37" s="30"/>
      <c r="BJA37" s="28"/>
      <c r="BJB37" s="29"/>
      <c r="BJC37" s="29"/>
      <c r="BJD37" s="29"/>
      <c r="BJE37" s="28"/>
      <c r="BJF37" s="29"/>
      <c r="BJG37" s="29"/>
      <c r="BJH37" s="29"/>
      <c r="BJI37" s="29"/>
      <c r="BJJ37" s="29"/>
      <c r="BJK37" s="28"/>
      <c r="BJL37" s="29"/>
      <c r="BJM37" s="29"/>
      <c r="BJN37" s="28"/>
      <c r="BJO37" s="29"/>
      <c r="BJP37" s="30"/>
      <c r="BJQ37" s="28"/>
      <c r="BJR37" s="29"/>
      <c r="BJS37" s="29"/>
      <c r="BJT37" s="29"/>
      <c r="BJU37" s="28"/>
      <c r="BJV37" s="29"/>
      <c r="BJW37" s="29"/>
      <c r="BJX37" s="28"/>
      <c r="BJY37" s="29"/>
      <c r="BJZ37" s="30"/>
      <c r="BKA37" s="28"/>
      <c r="BKB37" s="29"/>
      <c r="BKC37" s="29"/>
      <c r="BKD37" s="29"/>
      <c r="BKE37" s="28"/>
      <c r="BKF37" s="29"/>
      <c r="BKG37" s="29"/>
      <c r="BKH37" s="29"/>
      <c r="BKI37" s="29"/>
      <c r="BKJ37" s="29"/>
      <c r="BKK37" s="28"/>
      <c r="BKL37" s="29"/>
      <c r="BKM37" s="29"/>
      <c r="BKN37" s="28"/>
      <c r="BKO37" s="29"/>
      <c r="BKP37" s="30"/>
      <c r="BKQ37" s="28"/>
      <c r="BKR37" s="29"/>
      <c r="BKS37" s="29"/>
      <c r="BKT37" s="29"/>
      <c r="BKU37" s="28"/>
      <c r="BKV37" s="29"/>
      <c r="BKW37" s="29"/>
      <c r="BKX37" s="28"/>
      <c r="BKY37" s="29"/>
      <c r="BKZ37" s="30"/>
      <c r="BLA37" s="28"/>
      <c r="BLB37" s="29"/>
      <c r="BLC37" s="29"/>
      <c r="BLD37" s="29"/>
      <c r="BLE37" s="28"/>
      <c r="BLF37" s="29"/>
      <c r="BLG37" s="29"/>
      <c r="BLH37" s="29"/>
      <c r="BLI37" s="29"/>
      <c r="BLJ37" s="29"/>
      <c r="BLK37" s="28"/>
      <c r="BLL37" s="29"/>
      <c r="BLM37" s="29"/>
      <c r="BLN37" s="28"/>
      <c r="BLO37" s="29"/>
      <c r="BLP37" s="30"/>
      <c r="BLQ37" s="28"/>
      <c r="BLR37" s="29"/>
      <c r="BLS37" s="29"/>
      <c r="BLT37" s="29"/>
      <c r="BLU37" s="28"/>
      <c r="BLV37" s="29"/>
      <c r="BLW37" s="29"/>
      <c r="BLX37" s="28"/>
      <c r="BLY37" s="29"/>
      <c r="BLZ37" s="30"/>
      <c r="BMA37" s="28"/>
      <c r="BMB37" s="29"/>
      <c r="BMC37" s="29"/>
      <c r="BMD37" s="29"/>
      <c r="BME37" s="28"/>
      <c r="BMF37" s="29"/>
      <c r="BMG37" s="29"/>
      <c r="BMH37" s="29"/>
      <c r="BMI37" s="29"/>
      <c r="BMJ37" s="29"/>
      <c r="BMK37" s="28"/>
      <c r="BML37" s="29"/>
      <c r="BMM37" s="29"/>
      <c r="BMN37" s="28"/>
      <c r="BMO37" s="29"/>
      <c r="BMP37" s="30"/>
      <c r="BMQ37" s="28"/>
      <c r="BMR37" s="29"/>
      <c r="BMS37" s="29"/>
      <c r="BMT37" s="29"/>
      <c r="BMU37" s="28"/>
      <c r="BMV37" s="29"/>
      <c r="BMW37" s="29"/>
      <c r="BMX37" s="28"/>
      <c r="BMY37" s="29"/>
      <c r="BMZ37" s="30"/>
      <c r="BNA37" s="28"/>
      <c r="BNB37" s="29"/>
      <c r="BNC37" s="29"/>
      <c r="BND37" s="29"/>
      <c r="BNE37" s="28"/>
      <c r="BNF37" s="29"/>
      <c r="BNG37" s="29"/>
      <c r="BNH37" s="29"/>
      <c r="BNI37" s="29"/>
      <c r="BNJ37" s="29"/>
      <c r="BNK37" s="28"/>
      <c r="BNL37" s="29"/>
      <c r="BNM37" s="29"/>
      <c r="BNN37" s="28"/>
      <c r="BNO37" s="29"/>
      <c r="BNP37" s="30"/>
      <c r="BNQ37" s="28"/>
      <c r="BNR37" s="29"/>
      <c r="BNS37" s="29"/>
      <c r="BNT37" s="29"/>
      <c r="BNU37" s="28"/>
      <c r="BNV37" s="29"/>
      <c r="BNW37" s="29"/>
      <c r="BNX37" s="28"/>
      <c r="BNY37" s="29"/>
      <c r="BNZ37" s="30"/>
      <c r="BOA37" s="28"/>
      <c r="BOB37" s="29"/>
      <c r="BOC37" s="29"/>
      <c r="BOD37" s="29"/>
      <c r="BOE37" s="28"/>
      <c r="BOF37" s="29"/>
      <c r="BOG37" s="29"/>
      <c r="BOH37" s="29"/>
      <c r="BOI37" s="29"/>
      <c r="BOJ37" s="29"/>
      <c r="BOK37" s="28"/>
      <c r="BOL37" s="29"/>
      <c r="BOM37" s="29"/>
      <c r="BON37" s="28"/>
      <c r="BOO37" s="29"/>
      <c r="BOP37" s="30"/>
      <c r="BOQ37" s="28"/>
      <c r="BOR37" s="29"/>
      <c r="BOS37" s="29"/>
      <c r="BOT37" s="29"/>
      <c r="BOU37" s="28"/>
      <c r="BOV37" s="29"/>
      <c r="BOW37" s="29"/>
      <c r="BOX37" s="28"/>
      <c r="BOY37" s="29"/>
      <c r="BOZ37" s="30"/>
      <c r="BPA37" s="28"/>
      <c r="BPB37" s="29"/>
      <c r="BPC37" s="29"/>
      <c r="BPD37" s="29"/>
      <c r="BPE37" s="28"/>
      <c r="BPF37" s="29"/>
      <c r="BPG37" s="29"/>
      <c r="BPH37" s="29"/>
      <c r="BPI37" s="29"/>
      <c r="BPJ37" s="29"/>
      <c r="BPK37" s="28"/>
      <c r="BPL37" s="29"/>
      <c r="BPM37" s="29"/>
      <c r="BPN37" s="28"/>
      <c r="BPO37" s="29"/>
      <c r="BPP37" s="30"/>
      <c r="BPQ37" s="28"/>
      <c r="BPR37" s="29"/>
      <c r="BPS37" s="29"/>
      <c r="BPT37" s="29"/>
      <c r="BPU37" s="28"/>
      <c r="BPV37" s="29"/>
      <c r="BPW37" s="29"/>
      <c r="BPX37" s="28"/>
      <c r="BPY37" s="29"/>
      <c r="BPZ37" s="30"/>
      <c r="BQA37" s="28"/>
      <c r="BQB37" s="29"/>
      <c r="BQC37" s="29"/>
      <c r="BQD37" s="29"/>
      <c r="BQE37" s="28"/>
      <c r="BQF37" s="29"/>
      <c r="BQG37" s="29"/>
      <c r="BQH37" s="29"/>
      <c r="BQI37" s="29"/>
      <c r="BQJ37" s="29"/>
      <c r="BQK37" s="28"/>
      <c r="BQL37" s="29"/>
      <c r="BQM37" s="29"/>
      <c r="BQN37" s="28"/>
      <c r="BQO37" s="29"/>
      <c r="BQP37" s="30"/>
      <c r="BQQ37" s="28"/>
      <c r="BQR37" s="29"/>
      <c r="BQS37" s="29"/>
      <c r="BQT37" s="29"/>
      <c r="BQU37" s="28"/>
      <c r="BQV37" s="29"/>
      <c r="BQW37" s="29"/>
      <c r="BQX37" s="28"/>
      <c r="BQY37" s="29"/>
      <c r="BQZ37" s="30"/>
      <c r="BRA37" s="28"/>
      <c r="BRB37" s="29"/>
      <c r="BRC37" s="29"/>
      <c r="BRD37" s="29"/>
      <c r="BRE37" s="28"/>
      <c r="BRF37" s="29"/>
      <c r="BRG37" s="29"/>
      <c r="BRH37" s="29"/>
      <c r="BRI37" s="29"/>
      <c r="BRJ37" s="29"/>
      <c r="BRK37" s="28"/>
      <c r="BRL37" s="29"/>
      <c r="BRM37" s="29"/>
      <c r="BRN37" s="28"/>
      <c r="BRO37" s="29"/>
      <c r="BRP37" s="30"/>
      <c r="BRQ37" s="28"/>
      <c r="BRR37" s="29"/>
      <c r="BRS37" s="29"/>
      <c r="BRT37" s="29"/>
      <c r="BRU37" s="28"/>
      <c r="BRV37" s="29"/>
      <c r="BRW37" s="29"/>
      <c r="BRX37" s="28"/>
      <c r="BRY37" s="29"/>
      <c r="BRZ37" s="30"/>
      <c r="BSA37" s="28"/>
      <c r="BSB37" s="29"/>
      <c r="BSC37" s="29"/>
      <c r="BSD37" s="29"/>
      <c r="BSE37" s="28"/>
      <c r="BSF37" s="29"/>
      <c r="BSG37" s="29"/>
      <c r="BSH37" s="29"/>
      <c r="BSI37" s="29"/>
      <c r="BSJ37" s="29"/>
      <c r="BSK37" s="28"/>
      <c r="BSL37" s="29"/>
      <c r="BSM37" s="29"/>
      <c r="BSN37" s="28"/>
      <c r="BSO37" s="29"/>
      <c r="BSP37" s="30"/>
      <c r="BSQ37" s="28"/>
      <c r="BSR37" s="29"/>
      <c r="BSS37" s="29"/>
      <c r="BST37" s="29"/>
      <c r="BSU37" s="28"/>
      <c r="BSV37" s="29"/>
      <c r="BSW37" s="29"/>
      <c r="BSX37" s="28"/>
      <c r="BSY37" s="29"/>
      <c r="BSZ37" s="30"/>
      <c r="BTA37" s="28"/>
      <c r="BTB37" s="29"/>
      <c r="BTC37" s="29"/>
      <c r="BTD37" s="29"/>
      <c r="BTE37" s="28"/>
      <c r="BTF37" s="29"/>
      <c r="BTG37" s="29"/>
      <c r="BTH37" s="29"/>
      <c r="BTI37" s="29"/>
      <c r="BTJ37" s="29"/>
      <c r="BTK37" s="28"/>
      <c r="BTL37" s="29"/>
      <c r="BTM37" s="29"/>
      <c r="BTN37" s="28"/>
      <c r="BTO37" s="29"/>
      <c r="BTP37" s="30"/>
      <c r="BTQ37" s="28"/>
      <c r="BTR37" s="29"/>
      <c r="BTS37" s="29"/>
      <c r="BTT37" s="29"/>
      <c r="BTU37" s="28"/>
      <c r="BTV37" s="29"/>
      <c r="BTW37" s="29"/>
      <c r="BTX37" s="28"/>
      <c r="BTY37" s="29"/>
      <c r="BTZ37" s="30"/>
      <c r="BUA37" s="28"/>
      <c r="BUB37" s="29"/>
      <c r="BUC37" s="29"/>
      <c r="BUD37" s="29"/>
      <c r="BUE37" s="28"/>
      <c r="BUF37" s="29"/>
      <c r="BUG37" s="29"/>
      <c r="BUH37" s="29"/>
      <c r="BUI37" s="29"/>
      <c r="BUJ37" s="29"/>
      <c r="BUK37" s="28"/>
      <c r="BUL37" s="29"/>
      <c r="BUM37" s="29"/>
      <c r="BUN37" s="28"/>
      <c r="BUO37" s="29"/>
      <c r="BUP37" s="30"/>
      <c r="BUQ37" s="28"/>
      <c r="BUR37" s="29"/>
      <c r="BUS37" s="29"/>
      <c r="BUT37" s="29"/>
      <c r="BUU37" s="28"/>
      <c r="BUV37" s="29"/>
      <c r="BUW37" s="29"/>
      <c r="BUX37" s="28"/>
      <c r="BUY37" s="29"/>
      <c r="BUZ37" s="30"/>
      <c r="BVA37" s="28"/>
      <c r="BVB37" s="29"/>
      <c r="BVC37" s="29"/>
      <c r="BVD37" s="29"/>
      <c r="BVE37" s="28"/>
      <c r="BVF37" s="29"/>
      <c r="BVG37" s="29"/>
      <c r="BVH37" s="29"/>
      <c r="BVI37" s="29"/>
      <c r="BVJ37" s="29"/>
      <c r="BVK37" s="28"/>
      <c r="BVL37" s="29"/>
      <c r="BVM37" s="29"/>
      <c r="BVN37" s="28"/>
      <c r="BVO37" s="29"/>
      <c r="BVP37" s="30"/>
      <c r="BVQ37" s="28"/>
      <c r="BVR37" s="29"/>
      <c r="BVS37" s="29"/>
      <c r="BVT37" s="29"/>
      <c r="BVU37" s="28"/>
      <c r="BVV37" s="29"/>
      <c r="BVW37" s="29"/>
      <c r="BVX37" s="28"/>
      <c r="BVY37" s="29"/>
      <c r="BVZ37" s="30"/>
      <c r="BWA37" s="28"/>
      <c r="BWB37" s="29"/>
      <c r="BWC37" s="29"/>
      <c r="BWD37" s="29"/>
      <c r="BWE37" s="28"/>
      <c r="BWF37" s="29"/>
      <c r="BWG37" s="29"/>
      <c r="BWH37" s="29"/>
      <c r="BWI37" s="29"/>
      <c r="BWJ37" s="29"/>
      <c r="BWK37" s="28"/>
      <c r="BWL37" s="29"/>
      <c r="BWM37" s="29"/>
      <c r="BWN37" s="28"/>
      <c r="BWO37" s="29"/>
      <c r="BWP37" s="30"/>
      <c r="BWQ37" s="28"/>
      <c r="BWR37" s="29"/>
      <c r="BWS37" s="29"/>
      <c r="BWT37" s="29"/>
      <c r="BWU37" s="28"/>
      <c r="BWV37" s="29"/>
      <c r="BWW37" s="29"/>
      <c r="BWX37" s="28"/>
      <c r="BWY37" s="29"/>
      <c r="BWZ37" s="30"/>
      <c r="BXA37" s="28"/>
      <c r="BXB37" s="29"/>
      <c r="BXC37" s="29"/>
      <c r="BXD37" s="29"/>
      <c r="BXE37" s="28"/>
      <c r="BXF37" s="29"/>
      <c r="BXG37" s="29"/>
      <c r="BXH37" s="29"/>
      <c r="BXI37" s="29"/>
      <c r="BXJ37" s="29"/>
      <c r="BXK37" s="28"/>
      <c r="BXL37" s="29"/>
      <c r="BXM37" s="29"/>
      <c r="BXN37" s="28"/>
      <c r="BXO37" s="29"/>
      <c r="BXP37" s="30"/>
      <c r="BXQ37" s="28"/>
      <c r="BXR37" s="29"/>
      <c r="BXS37" s="29"/>
      <c r="BXT37" s="29"/>
      <c r="BXU37" s="28"/>
      <c r="BXV37" s="29"/>
      <c r="BXW37" s="29"/>
      <c r="BXX37" s="28"/>
      <c r="BXY37" s="29"/>
      <c r="BXZ37" s="30"/>
      <c r="BYA37" s="28"/>
      <c r="BYB37" s="29"/>
      <c r="BYC37" s="29"/>
      <c r="BYD37" s="29"/>
      <c r="BYE37" s="28"/>
      <c r="BYF37" s="29"/>
      <c r="BYG37" s="29"/>
      <c r="BYH37" s="29"/>
      <c r="BYI37" s="29"/>
      <c r="BYJ37" s="29"/>
      <c r="BYK37" s="28"/>
      <c r="BYL37" s="29"/>
      <c r="BYM37" s="29"/>
      <c r="BYN37" s="28"/>
      <c r="BYO37" s="29"/>
      <c r="BYP37" s="30"/>
      <c r="BYQ37" s="28"/>
      <c r="BYR37" s="29"/>
      <c r="BYS37" s="29"/>
      <c r="BYT37" s="29"/>
      <c r="BYU37" s="28"/>
      <c r="BYV37" s="29"/>
      <c r="BYW37" s="29"/>
      <c r="BYX37" s="30"/>
      <c r="BYY37" s="29"/>
      <c r="BYZ37" s="28"/>
      <c r="BZA37" s="29"/>
      <c r="BZB37" s="28"/>
      <c r="BZC37" s="28"/>
      <c r="BZD37" s="28"/>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30"/>
      <c r="CAQ37" s="28"/>
      <c r="CAR37" s="29"/>
      <c r="CAS37" s="30"/>
      <c r="CAT37" s="29"/>
      <c r="CAU37" s="29"/>
      <c r="CAV37" s="29"/>
      <c r="CAW37" s="28"/>
      <c r="CAX37" s="29"/>
      <c r="CAY37" s="29"/>
      <c r="CAZ37" s="28"/>
      <c r="CBA37" s="29"/>
      <c r="CBB37" s="30"/>
      <c r="CBC37" s="28"/>
      <c r="CBD37" s="29"/>
      <c r="CBE37" s="30"/>
      <c r="CBF37" s="29"/>
      <c r="CBG37" s="28"/>
      <c r="CBH37" s="29"/>
      <c r="CBI37" s="29"/>
      <c r="CBJ37" s="28"/>
      <c r="CBK37" s="29"/>
      <c r="CBL37" s="30"/>
      <c r="CBM37" s="28"/>
      <c r="CBN37" s="29"/>
      <c r="CBO37" s="30"/>
      <c r="CBP37" s="29"/>
      <c r="CBQ37" s="28"/>
      <c r="CBR37" s="29"/>
      <c r="CBS37" s="29"/>
      <c r="CBT37" s="28"/>
      <c r="CBU37" s="29"/>
      <c r="CBV37" s="30"/>
      <c r="CBW37" s="28"/>
      <c r="CBX37" s="29"/>
      <c r="CBY37" s="30"/>
      <c r="CBZ37" s="29"/>
      <c r="CCA37" s="28"/>
      <c r="CCB37" s="29"/>
      <c r="CCC37" s="29"/>
      <c r="CCD37" s="28"/>
      <c r="CCE37" s="29"/>
      <c r="CCF37" s="30"/>
      <c r="CCG37" s="28"/>
      <c r="CCH37" s="30"/>
      <c r="CCI37" s="29"/>
      <c r="CCJ37" s="28"/>
      <c r="CCK37" s="29"/>
      <c r="CCL37" s="28"/>
      <c r="CCM37" s="28"/>
      <c r="CCN37" s="28"/>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30"/>
      <c r="CEA37" s="28"/>
      <c r="CEB37" s="29"/>
      <c r="CEC37" s="30"/>
      <c r="CED37" s="29"/>
      <c r="CEE37" s="29"/>
      <c r="CEF37" s="29"/>
      <c r="CEG37" s="28"/>
      <c r="CEH37" s="29"/>
      <c r="CEI37" s="29"/>
      <c r="CEJ37" s="28"/>
      <c r="CEK37" s="29"/>
      <c r="CEL37" s="30"/>
      <c r="CEM37" s="28"/>
      <c r="CEN37" s="29"/>
      <c r="CEO37" s="30"/>
      <c r="CEP37" s="29"/>
      <c r="CEQ37" s="28"/>
      <c r="CER37" s="29"/>
      <c r="CES37" s="29"/>
      <c r="CET37" s="28"/>
      <c r="CEU37" s="29"/>
      <c r="CEV37" s="30"/>
      <c r="CEW37" s="28"/>
      <c r="CEX37" s="29"/>
      <c r="CEY37" s="30"/>
      <c r="CEZ37" s="29"/>
      <c r="CFA37" s="28"/>
      <c r="CFB37" s="29"/>
      <c r="CFC37" s="29"/>
      <c r="CFD37" s="28"/>
      <c r="CFE37" s="29"/>
      <c r="CFF37" s="30"/>
      <c r="CFG37" s="28"/>
      <c r="CFH37" s="29"/>
      <c r="CFI37" s="30"/>
      <c r="CFJ37" s="29"/>
      <c r="CFK37" s="28"/>
      <c r="CFL37" s="29"/>
      <c r="CFM37" s="29"/>
      <c r="CFN37" s="28"/>
      <c r="CFO37" s="29"/>
      <c r="CFP37" s="30"/>
      <c r="CFQ37" s="28"/>
      <c r="CFR37" s="30"/>
      <c r="CFS37" s="29"/>
      <c r="CFT37" s="28"/>
      <c r="CFU37" s="29"/>
      <c r="CFV37" s="28"/>
      <c r="CFW37" s="28"/>
      <c r="CFX37" s="28"/>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30"/>
      <c r="CHK37" s="28"/>
      <c r="CHL37" s="29"/>
      <c r="CHM37" s="30"/>
      <c r="CHN37" s="29"/>
      <c r="CHO37" s="29"/>
      <c r="CHP37" s="29"/>
      <c r="CHQ37" s="28"/>
      <c r="CHR37" s="29"/>
      <c r="CHS37" s="29"/>
      <c r="CHT37" s="28"/>
      <c r="CHU37" s="29"/>
      <c r="CHV37" s="30"/>
      <c r="CHW37" s="28"/>
      <c r="CHX37" s="29"/>
      <c r="CHY37" s="30"/>
      <c r="CHZ37" s="29"/>
      <c r="CIA37" s="28"/>
      <c r="CIB37" s="29"/>
      <c r="CIC37" s="29"/>
      <c r="CID37" s="28"/>
      <c r="CIE37" s="29"/>
      <c r="CIF37" s="30"/>
      <c r="CIG37" s="28"/>
      <c r="CIH37" s="29"/>
      <c r="CII37" s="30"/>
      <c r="CIJ37" s="29"/>
      <c r="CIK37" s="28"/>
      <c r="CIL37" s="29"/>
      <c r="CIM37" s="29"/>
      <c r="CIN37" s="28"/>
      <c r="CIO37" s="29"/>
      <c r="CIP37" s="30"/>
      <c r="CIQ37" s="28"/>
      <c r="CIR37" s="29"/>
      <c r="CIS37" s="30"/>
      <c r="CIT37" s="29"/>
      <c r="CIU37" s="28"/>
      <c r="CIV37" s="29"/>
      <c r="CIW37" s="29"/>
      <c r="CIX37" s="28"/>
      <c r="CIY37" s="29"/>
      <c r="CIZ37" s="30"/>
      <c r="CJA37" s="28"/>
      <c r="CJB37" s="30"/>
      <c r="CJC37" s="29"/>
      <c r="CJD37" s="28"/>
      <c r="CJE37" s="29"/>
      <c r="CJF37" s="28"/>
      <c r="CJG37" s="28"/>
      <c r="CJH37" s="28"/>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30"/>
      <c r="CKU37" s="28"/>
      <c r="CKV37" s="29"/>
      <c r="CKW37" s="30"/>
      <c r="CKX37" s="29"/>
      <c r="CKY37" s="29"/>
      <c r="CKZ37" s="29"/>
      <c r="CLA37" s="28"/>
      <c r="CLB37" s="29"/>
      <c r="CLC37" s="29"/>
      <c r="CLD37" s="28"/>
      <c r="CLE37" s="29"/>
      <c r="CLF37" s="30"/>
      <c r="CLG37" s="28"/>
      <c r="CLH37" s="29"/>
      <c r="CLI37" s="30"/>
      <c r="CLJ37" s="29"/>
      <c r="CLK37" s="28"/>
      <c r="CLL37" s="29"/>
      <c r="CLM37" s="29"/>
      <c r="CLN37" s="28"/>
      <c r="CLO37" s="29"/>
      <c r="CLP37" s="30"/>
      <c r="CLQ37" s="28"/>
      <c r="CLR37" s="29"/>
      <c r="CLS37" s="30"/>
      <c r="CLT37" s="29"/>
      <c r="CLU37" s="28"/>
      <c r="CLV37" s="29"/>
      <c r="CLW37" s="29"/>
      <c r="CLX37" s="28"/>
      <c r="CLY37" s="29"/>
      <c r="CLZ37" s="30"/>
      <c r="CMA37" s="28"/>
      <c r="CMB37" s="29"/>
      <c r="CMC37" s="30"/>
      <c r="CMD37" s="29"/>
      <c r="CME37" s="28"/>
      <c r="CMF37" s="29"/>
      <c r="CMG37" s="29"/>
      <c r="CMH37" s="28"/>
      <c r="CMI37" s="29"/>
      <c r="CMJ37" s="30"/>
      <c r="CMK37" s="28"/>
      <c r="CML37" s="30"/>
      <c r="CMM37" s="29"/>
      <c r="CMN37" s="28"/>
      <c r="CMO37" s="29"/>
      <c r="CMP37" s="28"/>
      <c r="CMQ37" s="28"/>
      <c r="CMR37" s="28"/>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30"/>
      <c r="COE37" s="28"/>
      <c r="COF37" s="29"/>
      <c r="COG37" s="30"/>
      <c r="COH37" s="29"/>
      <c r="COI37" s="29"/>
      <c r="COJ37" s="29"/>
      <c r="COK37" s="28"/>
      <c r="COL37" s="29"/>
      <c r="COM37" s="29"/>
      <c r="CON37" s="28"/>
      <c r="COO37" s="29"/>
      <c r="COP37" s="30"/>
      <c r="COQ37" s="28"/>
      <c r="COR37" s="29"/>
      <c r="COS37" s="30"/>
      <c r="COT37" s="29"/>
      <c r="COU37" s="28"/>
      <c r="COV37" s="29"/>
      <c r="COW37" s="29"/>
      <c r="COX37" s="28"/>
      <c r="COY37" s="29"/>
      <c r="COZ37" s="30"/>
      <c r="CPA37" s="28"/>
      <c r="CPB37" s="29"/>
      <c r="CPC37" s="30"/>
      <c r="CPD37" s="29"/>
      <c r="CPE37" s="28"/>
      <c r="CPF37" s="29"/>
      <c r="CPG37" s="29"/>
      <c r="CPH37" s="28"/>
      <c r="CPI37" s="29"/>
      <c r="CPJ37" s="30"/>
      <c r="CPK37" s="28"/>
      <c r="CPL37" s="29"/>
      <c r="CPM37" s="30"/>
      <c r="CPN37" s="29"/>
      <c r="CPO37" s="28"/>
      <c r="CPP37" s="29"/>
      <c r="CPQ37" s="29"/>
      <c r="CPR37" s="28"/>
      <c r="CPS37" s="29"/>
      <c r="CPT37" s="30"/>
      <c r="CPU37" s="28"/>
      <c r="CPV37" s="30"/>
      <c r="CPW37" s="29"/>
      <c r="CPX37" s="28"/>
      <c r="CPY37" s="29"/>
      <c r="CPZ37" s="28"/>
      <c r="CQA37" s="28"/>
      <c r="CQB37" s="28"/>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30"/>
      <c r="CRO37" s="28"/>
      <c r="CRP37" s="29"/>
      <c r="CRQ37" s="30"/>
      <c r="CRR37" s="29"/>
      <c r="CRS37" s="29"/>
      <c r="CRT37" s="29"/>
      <c r="CRU37" s="28"/>
      <c r="CRV37" s="29"/>
      <c r="CRW37" s="29"/>
      <c r="CRX37" s="28"/>
      <c r="CRY37" s="29"/>
      <c r="CRZ37" s="30"/>
      <c r="CSA37" s="28"/>
      <c r="CSB37" s="29"/>
      <c r="CSC37" s="30"/>
      <c r="CSD37" s="29"/>
      <c r="CSE37" s="28"/>
      <c r="CSF37" s="29"/>
      <c r="CSG37" s="29"/>
      <c r="CSH37" s="28"/>
      <c r="CSI37" s="29"/>
      <c r="CSJ37" s="30"/>
      <c r="CSK37" s="28"/>
      <c r="CSL37" s="29"/>
      <c r="CSM37" s="30"/>
      <c r="CSN37" s="29"/>
      <c r="CSO37" s="28"/>
      <c r="CSP37" s="29"/>
      <c r="CSQ37" s="29"/>
      <c r="CSR37" s="28"/>
      <c r="CSS37" s="29"/>
      <c r="CST37" s="30"/>
      <c r="CSU37" s="28"/>
      <c r="CSV37" s="29"/>
      <c r="CSW37" s="30"/>
      <c r="CSX37" s="29"/>
      <c r="CSY37" s="28"/>
      <c r="CSZ37" s="29"/>
      <c r="CTA37" s="29"/>
      <c r="CTB37" s="28"/>
      <c r="CTC37" s="29"/>
      <c r="CTD37" s="30"/>
      <c r="CTE37" s="28"/>
      <c r="CTF37" s="30"/>
      <c r="CTG37" s="29"/>
      <c r="CTH37" s="28"/>
      <c r="CTI37" s="29"/>
      <c r="CTJ37" s="28"/>
      <c r="CTK37" s="28"/>
      <c r="CTL37" s="28"/>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30"/>
      <c r="CUY37" s="28"/>
      <c r="CUZ37" s="29"/>
      <c r="CVA37" s="30"/>
      <c r="CVB37" s="29"/>
      <c r="CVC37" s="29"/>
      <c r="CVD37" s="29"/>
      <c r="CVE37" s="28"/>
      <c r="CVF37" s="29"/>
      <c r="CVG37" s="29"/>
      <c r="CVH37" s="28"/>
      <c r="CVI37" s="29"/>
      <c r="CVJ37" s="30"/>
      <c r="CVK37" s="28"/>
      <c r="CVL37" s="29"/>
      <c r="CVM37" s="30"/>
      <c r="CVN37" s="29"/>
      <c r="CVO37" s="28"/>
      <c r="CVP37" s="29"/>
      <c r="CVQ37" s="29"/>
      <c r="CVR37" s="28"/>
      <c r="CVS37" s="29"/>
      <c r="CVT37" s="30"/>
      <c r="CVU37" s="28"/>
      <c r="CVV37" s="29"/>
      <c r="CVW37" s="30"/>
      <c r="CVX37" s="29"/>
      <c r="CVY37" s="28"/>
      <c r="CVZ37" s="29"/>
      <c r="CWA37" s="29"/>
      <c r="CWB37" s="28"/>
      <c r="CWC37" s="29"/>
      <c r="CWD37" s="30"/>
      <c r="CWE37" s="28"/>
      <c r="CWF37" s="29"/>
      <c r="CWG37" s="30"/>
      <c r="CWH37" s="29"/>
      <c r="CWI37" s="28"/>
      <c r="CWJ37" s="29"/>
      <c r="CWK37" s="29"/>
      <c r="CWL37" s="28"/>
      <c r="CWM37" s="29"/>
      <c r="CWN37" s="30"/>
      <c r="CWO37" s="28"/>
      <c r="CWP37" s="30"/>
      <c r="CWQ37" s="29"/>
      <c r="CWR37" s="28"/>
      <c r="CWS37" s="29"/>
      <c r="CWT37" s="28"/>
      <c r="CWU37" s="28"/>
      <c r="CWV37" s="28"/>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30"/>
      <c r="CYI37" s="28"/>
      <c r="CYJ37" s="29"/>
      <c r="CYK37" s="30"/>
      <c r="CYL37" s="29"/>
      <c r="CYM37" s="29"/>
      <c r="CYN37" s="29"/>
      <c r="CYO37" s="28"/>
      <c r="CYP37" s="29"/>
      <c r="CYQ37" s="29"/>
      <c r="CYR37" s="28"/>
      <c r="CYS37" s="29"/>
      <c r="CYT37" s="30"/>
      <c r="CYU37" s="28"/>
      <c r="CYV37" s="29"/>
      <c r="CYW37" s="30"/>
      <c r="CYX37" s="29"/>
      <c r="CYY37" s="28"/>
      <c r="CYZ37" s="29"/>
      <c r="CZA37" s="29"/>
      <c r="CZB37" s="28"/>
      <c r="CZC37" s="29"/>
      <c r="CZD37" s="30"/>
      <c r="CZE37" s="28"/>
      <c r="CZF37" s="29"/>
      <c r="CZG37" s="30"/>
      <c r="CZH37" s="29"/>
      <c r="CZI37" s="28"/>
      <c r="CZJ37" s="29"/>
      <c r="CZK37" s="29"/>
      <c r="CZL37" s="28"/>
      <c r="CZM37" s="29"/>
      <c r="CZN37" s="30"/>
      <c r="CZO37" s="28"/>
      <c r="CZP37" s="29"/>
      <c r="CZQ37" s="30"/>
      <c r="CZR37" s="29"/>
      <c r="CZS37" s="28"/>
      <c r="CZT37" s="29"/>
      <c r="CZU37" s="29"/>
      <c r="CZV37" s="28"/>
      <c r="CZW37" s="29"/>
      <c r="CZX37" s="30"/>
      <c r="CZY37" s="28"/>
      <c r="CZZ37" s="30"/>
      <c r="DAA37" s="29"/>
      <c r="DAB37" s="28"/>
      <c r="DAC37" s="29"/>
      <c r="DAD37" s="28"/>
      <c r="DAE37" s="28"/>
      <c r="DAF37" s="28"/>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30"/>
      <c r="DBS37" s="28"/>
      <c r="DBT37" s="29"/>
      <c r="DBU37" s="30"/>
      <c r="DBV37" s="29"/>
      <c r="DBW37" s="29"/>
      <c r="DBX37" s="29"/>
      <c r="DBY37" s="28"/>
      <c r="DBZ37" s="29"/>
      <c r="DCA37" s="29"/>
      <c r="DCB37" s="28"/>
      <c r="DCC37" s="29"/>
      <c r="DCD37" s="30"/>
      <c r="DCE37" s="28"/>
      <c r="DCF37" s="29"/>
      <c r="DCG37" s="30"/>
      <c r="DCH37" s="29"/>
      <c r="DCI37" s="28"/>
      <c r="DCJ37" s="29"/>
      <c r="DCK37" s="29"/>
      <c r="DCL37" s="28"/>
      <c r="DCM37" s="29"/>
      <c r="DCN37" s="30"/>
      <c r="DCO37" s="28"/>
      <c r="DCP37" s="29"/>
      <c r="DCQ37" s="30"/>
      <c r="DCR37" s="29"/>
      <c r="DCS37" s="28"/>
      <c r="DCT37" s="29"/>
      <c r="DCU37" s="29"/>
      <c r="DCV37" s="28"/>
      <c r="DCW37" s="29"/>
      <c r="DCX37" s="30"/>
      <c r="DCY37" s="28"/>
      <c r="DCZ37" s="29"/>
      <c r="DDA37" s="30"/>
      <c r="DDB37" s="29"/>
      <c r="DDC37" s="28"/>
      <c r="DDD37" s="29"/>
      <c r="DDE37" s="29"/>
      <c r="DDF37" s="28"/>
      <c r="DDG37" s="29"/>
      <c r="DDH37" s="30"/>
      <c r="DDI37" s="28"/>
      <c r="DDJ37" s="30"/>
      <c r="DDK37" s="29"/>
      <c r="DDL37" s="28"/>
      <c r="DDM37" s="29"/>
      <c r="DDN37" s="28"/>
      <c r="DDO37" s="28"/>
      <c r="DDP37" s="28"/>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30"/>
      <c r="DFC37" s="28"/>
      <c r="DFD37" s="29"/>
      <c r="DFE37" s="30"/>
      <c r="DFF37" s="29"/>
      <c r="DFG37" s="29"/>
      <c r="DFH37" s="29"/>
      <c r="DFI37" s="28"/>
      <c r="DFJ37" s="29"/>
      <c r="DFK37" s="29"/>
      <c r="DFL37" s="28"/>
      <c r="DFM37" s="29"/>
      <c r="DFN37" s="30"/>
      <c r="DFO37" s="28"/>
      <c r="DFP37" s="29"/>
      <c r="DFQ37" s="30"/>
      <c r="DFR37" s="29"/>
      <c r="DFS37" s="28"/>
      <c r="DFT37" s="29"/>
      <c r="DFU37" s="29"/>
      <c r="DFV37" s="28"/>
      <c r="DFW37" s="29"/>
      <c r="DFX37" s="30"/>
      <c r="DFY37" s="28"/>
      <c r="DFZ37" s="29"/>
      <c r="DGA37" s="30"/>
      <c r="DGB37" s="29"/>
      <c r="DGC37" s="28"/>
      <c r="DGD37" s="29"/>
      <c r="DGE37" s="29"/>
      <c r="DGF37" s="28"/>
      <c r="DGG37" s="29"/>
      <c r="DGH37" s="30"/>
      <c r="DGI37" s="28"/>
      <c r="DGJ37" s="29"/>
      <c r="DGK37" s="30"/>
      <c r="DGL37" s="29"/>
      <c r="DGM37" s="28"/>
      <c r="DGN37" s="29"/>
      <c r="DGO37" s="29"/>
      <c r="DGP37" s="28"/>
      <c r="DGQ37" s="29"/>
      <c r="DGR37" s="30"/>
      <c r="DGS37" s="28"/>
      <c r="DGT37" s="30"/>
      <c r="DGU37" s="29"/>
      <c r="DGV37" s="28"/>
      <c r="DGW37" s="29"/>
      <c r="DGX37" s="28"/>
      <c r="DGY37" s="28"/>
      <c r="DGZ37" s="28"/>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30"/>
      <c r="DIM37" s="28"/>
      <c r="DIN37" s="29"/>
      <c r="DIO37" s="30"/>
      <c r="DIP37" s="29"/>
      <c r="DIQ37" s="29"/>
      <c r="DIR37" s="29"/>
      <c r="DIS37" s="28"/>
      <c r="DIT37" s="29"/>
      <c r="DIU37" s="29"/>
      <c r="DIV37" s="28"/>
      <c r="DIW37" s="29"/>
      <c r="DIX37" s="30"/>
      <c r="DIY37" s="28"/>
      <c r="DIZ37" s="29"/>
      <c r="DJA37" s="30"/>
      <c r="DJB37" s="29"/>
      <c r="DJC37" s="28"/>
      <c r="DJD37" s="29"/>
      <c r="DJE37" s="29"/>
      <c r="DJF37" s="28"/>
      <c r="DJG37" s="29"/>
      <c r="DJH37" s="30"/>
      <c r="DJI37" s="28"/>
      <c r="DJJ37" s="29"/>
      <c r="DJK37" s="30"/>
      <c r="DJL37" s="29"/>
      <c r="DJM37" s="28"/>
      <c r="DJN37" s="29"/>
      <c r="DJO37" s="29"/>
      <c r="DJP37" s="28"/>
      <c r="DJQ37" s="29"/>
      <c r="DJR37" s="30"/>
      <c r="DJS37" s="28"/>
      <c r="DJT37" s="29"/>
      <c r="DJU37" s="30"/>
      <c r="DJV37" s="29"/>
      <c r="DJW37" s="28"/>
      <c r="DJX37" s="29"/>
      <c r="DJY37" s="29"/>
      <c r="DJZ37" s="28"/>
      <c r="DKA37" s="29"/>
      <c r="DKB37" s="30"/>
      <c r="DKC37" s="28"/>
      <c r="DKD37" s="30"/>
      <c r="DKE37" s="29"/>
      <c r="DKF37" s="28"/>
      <c r="DKG37" s="29"/>
      <c r="DKH37" s="28"/>
      <c r="DKI37" s="28"/>
      <c r="DKJ37" s="28"/>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30"/>
      <c r="DLW37" s="28"/>
      <c r="DLX37" s="29"/>
      <c r="DLY37" s="30"/>
      <c r="DLZ37" s="29"/>
      <c r="DMA37" s="29"/>
      <c r="DMB37" s="29"/>
      <c r="DMC37" s="28"/>
      <c r="DMD37" s="29"/>
      <c r="DME37" s="29"/>
      <c r="DMF37" s="28"/>
      <c r="DMG37" s="29"/>
      <c r="DMH37" s="30"/>
      <c r="DMI37" s="28"/>
      <c r="DMJ37" s="29"/>
      <c r="DMK37" s="30"/>
      <c r="DML37" s="29"/>
      <c r="DMM37" s="28"/>
      <c r="DMN37" s="29"/>
      <c r="DMO37" s="29"/>
      <c r="DMP37" s="28"/>
      <c r="DMQ37" s="29"/>
      <c r="DMR37" s="30"/>
      <c r="DMS37" s="28"/>
      <c r="DMT37" s="29"/>
      <c r="DMU37" s="30"/>
      <c r="DMV37" s="29"/>
      <c r="DMW37" s="28"/>
      <c r="DMX37" s="29"/>
      <c r="DMY37" s="29"/>
      <c r="DMZ37" s="28"/>
      <c r="DNA37" s="29"/>
      <c r="DNB37" s="30"/>
      <c r="DNC37" s="28"/>
      <c r="DND37" s="29"/>
      <c r="DNE37" s="30"/>
      <c r="DNF37" s="29"/>
      <c r="DNG37" s="28"/>
      <c r="DNH37" s="29"/>
      <c r="DNI37" s="29"/>
      <c r="DNJ37" s="28"/>
      <c r="DNK37" s="29"/>
      <c r="DNL37" s="30"/>
      <c r="DNM37" s="28"/>
      <c r="DNN37" s="30"/>
      <c r="DNO37" s="29"/>
      <c r="DNP37" s="28"/>
      <c r="DNQ37" s="29"/>
      <c r="DNR37" s="28"/>
      <c r="DNS37" s="28"/>
      <c r="DNT37" s="28"/>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30"/>
      <c r="DPG37" s="28"/>
      <c r="DPH37" s="29"/>
      <c r="DPI37" s="30"/>
      <c r="DPJ37" s="29"/>
      <c r="DPK37" s="29"/>
      <c r="DPL37" s="29"/>
      <c r="DPM37" s="28"/>
      <c r="DPN37" s="29"/>
      <c r="DPO37" s="29"/>
      <c r="DPP37" s="28"/>
      <c r="DPQ37" s="29"/>
      <c r="DPR37" s="30"/>
      <c r="DPS37" s="28"/>
      <c r="DPT37" s="29"/>
      <c r="DPU37" s="30"/>
      <c r="DPV37" s="29"/>
      <c r="DPW37" s="28"/>
      <c r="DPX37" s="29"/>
      <c r="DPY37" s="29"/>
      <c r="DPZ37" s="28"/>
      <c r="DQA37" s="29"/>
      <c r="DQB37" s="30"/>
      <c r="DQC37" s="28"/>
      <c r="DQD37" s="29"/>
      <c r="DQE37" s="30"/>
      <c r="DQF37" s="29"/>
      <c r="DQG37" s="28"/>
      <c r="DQH37" s="29"/>
      <c r="DQI37" s="29"/>
      <c r="DQJ37" s="28"/>
      <c r="DQK37" s="29"/>
      <c r="DQL37" s="30"/>
      <c r="DQM37" s="28"/>
      <c r="DQN37" s="29"/>
      <c r="DQO37" s="30"/>
      <c r="DQP37" s="29"/>
      <c r="DQQ37" s="28"/>
      <c r="DQR37" s="29"/>
      <c r="DQS37" s="29"/>
      <c r="DQT37" s="28"/>
      <c r="DQU37" s="29"/>
      <c r="DQV37" s="30"/>
      <c r="DQW37" s="28"/>
      <c r="DQX37" s="30"/>
      <c r="DQY37" s="29"/>
      <c r="DQZ37" s="28"/>
      <c r="DRA37" s="29"/>
      <c r="DRB37" s="28"/>
      <c r="DRC37" s="28"/>
      <c r="DRD37" s="28"/>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30"/>
      <c r="DSQ37" s="28"/>
      <c r="DSR37" s="29"/>
      <c r="DSS37" s="30"/>
      <c r="DST37" s="29"/>
      <c r="DSU37" s="29"/>
      <c r="DSV37" s="29"/>
      <c r="DSW37" s="28"/>
      <c r="DSX37" s="29"/>
      <c r="DSY37" s="29"/>
      <c r="DSZ37" s="28"/>
      <c r="DTA37" s="29"/>
      <c r="DTB37" s="30"/>
      <c r="DTC37" s="28"/>
      <c r="DTD37" s="29"/>
      <c r="DTE37" s="30"/>
      <c r="DTF37" s="29"/>
      <c r="DTG37" s="28"/>
      <c r="DTH37" s="29"/>
      <c r="DTI37" s="29"/>
      <c r="DTJ37" s="28"/>
      <c r="DTK37" s="29"/>
      <c r="DTL37" s="30"/>
      <c r="DTM37" s="28"/>
      <c r="DTN37" s="29"/>
      <c r="DTO37" s="30"/>
      <c r="DTP37" s="29"/>
      <c r="DTQ37" s="28"/>
      <c r="DTR37" s="29"/>
      <c r="DTS37" s="29"/>
      <c r="DTT37" s="28"/>
      <c r="DTU37" s="29"/>
      <c r="DTV37" s="30"/>
      <c r="DTW37" s="28"/>
      <c r="DTX37" s="29"/>
      <c r="DTY37" s="30"/>
      <c r="DTZ37" s="29"/>
      <c r="DUA37" s="28"/>
      <c r="DUB37" s="29"/>
      <c r="DUC37" s="29"/>
      <c r="DUD37" s="28"/>
      <c r="DUE37" s="29"/>
      <c r="DUF37" s="30"/>
      <c r="DUG37" s="28"/>
      <c r="DUH37" s="30"/>
      <c r="DUI37" s="29"/>
      <c r="DUJ37" s="28"/>
      <c r="DUK37" s="29"/>
      <c r="DUL37" s="28"/>
      <c r="DUM37" s="28"/>
      <c r="DUN37" s="28"/>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30"/>
      <c r="DWA37" s="28"/>
      <c r="DWB37" s="29"/>
      <c r="DWC37" s="30"/>
      <c r="DWD37" s="29"/>
      <c r="DWE37" s="29"/>
      <c r="DWF37" s="29"/>
      <c r="DWG37" s="28"/>
      <c r="DWH37" s="29"/>
      <c r="DWI37" s="29"/>
      <c r="DWJ37" s="28"/>
      <c r="DWK37" s="29"/>
      <c r="DWL37" s="30"/>
      <c r="DWM37" s="28"/>
      <c r="DWN37" s="29"/>
      <c r="DWO37" s="30"/>
      <c r="DWP37" s="29"/>
      <c r="DWQ37" s="28"/>
      <c r="DWR37" s="29"/>
      <c r="DWS37" s="29"/>
      <c r="DWT37" s="28"/>
      <c r="DWU37" s="29"/>
      <c r="DWV37" s="30"/>
      <c r="DWW37" s="28"/>
      <c r="DWX37" s="29"/>
      <c r="DWY37" s="30"/>
      <c r="DWZ37" s="29"/>
      <c r="DXA37" s="28"/>
      <c r="DXB37" s="29"/>
      <c r="DXC37" s="29"/>
      <c r="DXD37" s="28"/>
      <c r="DXE37" s="29"/>
      <c r="DXF37" s="30"/>
      <c r="DXG37" s="28"/>
      <c r="DXH37" s="29"/>
      <c r="DXI37" s="30"/>
      <c r="DXJ37" s="29"/>
      <c r="DXK37" s="28"/>
      <c r="DXL37" s="29"/>
      <c r="DXM37" s="29"/>
      <c r="DXN37" s="28"/>
      <c r="DXO37" s="29"/>
      <c r="DXP37" s="30"/>
      <c r="DXQ37" s="28"/>
      <c r="DXR37" s="30"/>
      <c r="DXS37" s="29"/>
      <c r="DXT37" s="28"/>
      <c r="DXU37" s="29"/>
      <c r="DXV37" s="28"/>
      <c r="DXW37" s="28"/>
      <c r="DXX37" s="28"/>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30"/>
      <c r="DZK37" s="28"/>
      <c r="DZL37" s="29"/>
      <c r="DZM37" s="30"/>
      <c r="DZN37" s="29"/>
      <c r="DZO37" s="29"/>
      <c r="DZP37" s="29"/>
      <c r="DZQ37" s="28"/>
      <c r="DZR37" s="29"/>
      <c r="DZS37" s="29"/>
      <c r="DZT37" s="28"/>
      <c r="DZU37" s="29"/>
      <c r="DZV37" s="30"/>
      <c r="DZW37" s="28"/>
      <c r="DZX37" s="29"/>
      <c r="DZY37" s="30"/>
      <c r="DZZ37" s="29"/>
      <c r="EAA37" s="28"/>
      <c r="EAB37" s="29"/>
      <c r="EAC37" s="29"/>
      <c r="EAD37" s="28"/>
      <c r="EAE37" s="29"/>
      <c r="EAF37" s="30"/>
      <c r="EAG37" s="28"/>
      <c r="EAH37" s="29"/>
      <c r="EAI37" s="30"/>
      <c r="EAJ37" s="29"/>
      <c r="EAK37" s="28"/>
      <c r="EAL37" s="29"/>
      <c r="EAM37" s="29"/>
      <c r="EAN37" s="28"/>
      <c r="EAO37" s="29"/>
      <c r="EAP37" s="30"/>
      <c r="EAQ37" s="28"/>
      <c r="EAR37" s="29"/>
      <c r="EAS37" s="30"/>
      <c r="EAT37" s="29"/>
      <c r="EAU37" s="28"/>
      <c r="EAV37" s="29"/>
      <c r="EAW37" s="29"/>
      <c r="EAX37" s="28"/>
      <c r="EAY37" s="29"/>
      <c r="EAZ37" s="30"/>
      <c r="EBA37" s="28"/>
      <c r="EBB37" s="30"/>
      <c r="EBC37" s="29"/>
      <c r="EBD37" s="28"/>
      <c r="EBE37" s="29"/>
      <c r="EBF37" s="28"/>
      <c r="EBG37" s="28"/>
      <c r="EBH37" s="28"/>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30"/>
      <c r="ECU37" s="28"/>
      <c r="ECV37" s="29"/>
      <c r="ECW37" s="30"/>
      <c r="ECX37" s="29"/>
      <c r="ECY37" s="29"/>
      <c r="ECZ37" s="29"/>
      <c r="EDA37" s="28"/>
      <c r="EDB37" s="29"/>
      <c r="EDC37" s="29"/>
      <c r="EDD37" s="28"/>
      <c r="EDE37" s="29"/>
      <c r="EDF37" s="30"/>
      <c r="EDG37" s="28"/>
      <c r="EDH37" s="29"/>
      <c r="EDI37" s="30"/>
      <c r="EDJ37" s="29"/>
      <c r="EDK37" s="28"/>
      <c r="EDL37" s="29"/>
      <c r="EDM37" s="29"/>
      <c r="EDN37" s="28"/>
      <c r="EDO37" s="29"/>
      <c r="EDP37" s="30"/>
      <c r="EDQ37" s="28"/>
      <c r="EDR37" s="29"/>
      <c r="EDS37" s="30"/>
      <c r="EDT37" s="29"/>
      <c r="EDU37" s="28"/>
      <c r="EDV37" s="29"/>
      <c r="EDW37" s="29"/>
      <c r="EDX37" s="28"/>
      <c r="EDY37" s="29"/>
      <c r="EDZ37" s="30"/>
      <c r="EEA37" s="28"/>
      <c r="EEB37" s="29"/>
      <c r="EEC37" s="30"/>
      <c r="EED37" s="29"/>
      <c r="EEE37" s="28"/>
      <c r="EEF37" s="29"/>
      <c r="EEG37" s="29"/>
      <c r="EEH37" s="28"/>
      <c r="EEI37" s="29"/>
      <c r="EEJ37" s="30"/>
      <c r="EEK37" s="28"/>
      <c r="EEL37" s="30"/>
      <c r="EEM37" s="29"/>
      <c r="EEN37" s="28"/>
      <c r="EEO37" s="29"/>
      <c r="EEP37" s="28"/>
      <c r="EEQ37" s="28"/>
      <c r="EER37" s="28"/>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30"/>
      <c r="EGE37" s="28"/>
      <c r="EGF37" s="29"/>
      <c r="EGG37" s="30"/>
      <c r="EGH37" s="29"/>
      <c r="EGI37" s="29"/>
      <c r="EGJ37" s="29"/>
      <c r="EGK37" s="28"/>
      <c r="EGL37" s="29"/>
      <c r="EGM37" s="29"/>
      <c r="EGN37" s="28"/>
      <c r="EGO37" s="29"/>
      <c r="EGP37" s="30"/>
      <c r="EGQ37" s="28"/>
      <c r="EGR37" s="29"/>
      <c r="EGS37" s="30"/>
      <c r="EGT37" s="29"/>
      <c r="EGU37" s="28"/>
      <c r="EGV37" s="29"/>
      <c r="EGW37" s="29"/>
      <c r="EGX37" s="28"/>
      <c r="EGY37" s="29"/>
      <c r="EGZ37" s="30"/>
      <c r="EHA37" s="28"/>
      <c r="EHB37" s="29"/>
      <c r="EHC37" s="30"/>
      <c r="EHD37" s="29"/>
      <c r="EHE37" s="28"/>
      <c r="EHF37" s="29"/>
      <c r="EHG37" s="29"/>
      <c r="EHH37" s="28"/>
      <c r="EHI37" s="29"/>
      <c r="EHJ37" s="30"/>
      <c r="EHK37" s="28"/>
      <c r="EHL37" s="29"/>
      <c r="EHM37" s="30"/>
      <c r="EHN37" s="29"/>
      <c r="EHO37" s="28"/>
      <c r="EHP37" s="29"/>
      <c r="EHQ37" s="29"/>
      <c r="EHR37" s="28"/>
      <c r="EHS37" s="29"/>
      <c r="EHT37" s="30"/>
      <c r="EHU37" s="28"/>
      <c r="EHV37" s="30"/>
      <c r="EHW37" s="29"/>
      <c r="EHX37" s="28"/>
      <c r="EHY37" s="29"/>
      <c r="EHZ37" s="28"/>
      <c r="EIA37" s="28"/>
      <c r="EIB37" s="28"/>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30"/>
      <c r="EJO37" s="28"/>
      <c r="EJP37" s="29"/>
      <c r="EJQ37" s="30"/>
      <c r="EJR37" s="29"/>
      <c r="EJS37" s="29"/>
      <c r="EJT37" s="29"/>
      <c r="EJU37" s="28"/>
      <c r="EJV37" s="29"/>
      <c r="EJW37" s="29"/>
      <c r="EJX37" s="28"/>
      <c r="EJY37" s="29"/>
      <c r="EJZ37" s="30"/>
      <c r="EKA37" s="28"/>
      <c r="EKB37" s="29"/>
      <c r="EKC37" s="30"/>
      <c r="EKD37" s="29"/>
      <c r="EKE37" s="28"/>
      <c r="EKF37" s="29"/>
      <c r="EKG37" s="29"/>
      <c r="EKH37" s="28"/>
      <c r="EKI37" s="29"/>
      <c r="EKJ37" s="30"/>
      <c r="EKK37" s="28"/>
      <c r="EKL37" s="29"/>
      <c r="EKM37" s="30"/>
      <c r="EKN37" s="29"/>
      <c r="EKO37" s="28"/>
      <c r="EKP37" s="29"/>
      <c r="EKQ37" s="29"/>
      <c r="EKR37" s="28"/>
      <c r="EKS37" s="29"/>
      <c r="EKT37" s="30"/>
      <c r="EKU37" s="28"/>
      <c r="EKV37" s="29"/>
      <c r="EKW37" s="30"/>
      <c r="EKX37" s="29"/>
      <c r="EKY37" s="28"/>
      <c r="EKZ37" s="29"/>
      <c r="ELA37" s="29"/>
      <c r="ELB37" s="28"/>
      <c r="ELC37" s="29"/>
      <c r="ELD37" s="30"/>
      <c r="ELE37" s="28"/>
      <c r="ELF37" s="30"/>
      <c r="ELG37" s="29"/>
      <c r="ELH37" s="28"/>
      <c r="ELI37" s="29"/>
      <c r="ELJ37" s="28"/>
      <c r="ELK37" s="28"/>
      <c r="ELL37" s="28"/>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30"/>
      <c r="EMY37" s="28"/>
      <c r="EMZ37" s="29"/>
      <c r="ENA37" s="30"/>
      <c r="ENB37" s="29"/>
      <c r="ENC37" s="29"/>
      <c r="END37" s="29"/>
      <c r="ENE37" s="28"/>
      <c r="ENF37" s="29"/>
      <c r="ENG37" s="29"/>
      <c r="ENH37" s="28"/>
      <c r="ENI37" s="29"/>
      <c r="ENJ37" s="30"/>
      <c r="ENK37" s="28"/>
      <c r="ENL37" s="29"/>
      <c r="ENM37" s="30"/>
      <c r="ENN37" s="29"/>
      <c r="ENO37" s="28"/>
      <c r="ENP37" s="29"/>
      <c r="ENQ37" s="29"/>
      <c r="ENR37" s="28"/>
      <c r="ENS37" s="29"/>
      <c r="ENT37" s="30"/>
      <c r="ENU37" s="28"/>
      <c r="ENV37" s="29"/>
      <c r="ENW37" s="30"/>
      <c r="ENX37" s="29"/>
      <c r="ENY37" s="28"/>
      <c r="ENZ37" s="29"/>
      <c r="EOA37" s="29"/>
      <c r="EOB37" s="28"/>
      <c r="EOC37" s="29"/>
      <c r="EOD37" s="30"/>
      <c r="EOE37" s="28"/>
      <c r="EOF37" s="29"/>
      <c r="EOG37" s="30"/>
      <c r="EOH37" s="29"/>
      <c r="EOI37" s="28"/>
      <c r="EOJ37" s="29"/>
      <c r="EOK37" s="29"/>
      <c r="EOL37" s="28"/>
      <c r="EOM37" s="29"/>
      <c r="EON37" s="30" t="s">
        <v>5581</v>
      </c>
      <c r="EOO37" s="28" t="str">
        <f t="shared" si="75"/>
        <v xml:space="preserve"> </v>
      </c>
    </row>
    <row r="38" spans="1:3785" x14ac:dyDescent="0.3">
      <c r="A38" s="392" t="s">
        <v>221</v>
      </c>
      <c r="B38" s="58" t="s">
        <v>4613</v>
      </c>
      <c r="C38" s="57"/>
      <c r="D38" s="56" t="str">
        <f t="shared" si="61"/>
        <v xml:space="preserve"> </v>
      </c>
      <c r="E38" s="57"/>
      <c r="F38" s="56"/>
      <c r="G38" s="59">
        <v>45425</v>
      </c>
      <c r="H38" s="59">
        <f>+G38+365</f>
        <v>45790</v>
      </c>
      <c r="I38" s="57" t="s">
        <v>1372</v>
      </c>
      <c r="J38" s="57" t="s">
        <v>1373</v>
      </c>
      <c r="K38" s="57" t="s">
        <v>1372</v>
      </c>
      <c r="L38" s="57" t="s">
        <v>1373</v>
      </c>
      <c r="M38" s="57" t="s">
        <v>1461</v>
      </c>
      <c r="N38" s="57" t="s">
        <v>4614</v>
      </c>
      <c r="O38" s="57" t="s">
        <v>1372</v>
      </c>
      <c r="P38" s="57" t="s">
        <v>1372</v>
      </c>
      <c r="Q38" s="57" t="s">
        <v>1372</v>
      </c>
      <c r="R38" s="57" t="s">
        <v>1372</v>
      </c>
      <c r="S38" s="57" t="s">
        <v>1372</v>
      </c>
      <c r="T38" s="57" t="s">
        <v>1372</v>
      </c>
      <c r="U38" s="57" t="s">
        <v>1372</v>
      </c>
      <c r="V38" s="57" t="s">
        <v>1372</v>
      </c>
      <c r="W38" s="57"/>
      <c r="X38" s="57"/>
      <c r="Y38" s="57"/>
      <c r="Z38" s="57" t="s">
        <v>1372</v>
      </c>
      <c r="AA38" s="57"/>
      <c r="AB38" s="57"/>
      <c r="AC38" s="57"/>
      <c r="AD38" s="57"/>
      <c r="AE38" s="57"/>
      <c r="AF38" s="57"/>
      <c r="AG38" s="57" t="s">
        <v>1372</v>
      </c>
      <c r="AH38" s="57"/>
      <c r="AI38" s="57"/>
      <c r="AJ38" s="57"/>
      <c r="AK38" s="57"/>
      <c r="AL38" s="57"/>
      <c r="AM38" s="57"/>
      <c r="AN38" s="57"/>
      <c r="AO38" s="57"/>
      <c r="AP38" s="57"/>
      <c r="AQ38" s="57"/>
      <c r="AR38" s="57"/>
      <c r="AS38" s="57"/>
      <c r="AT38" s="58" t="s">
        <v>4622</v>
      </c>
      <c r="AU38" s="57"/>
      <c r="AV38" s="56" t="str">
        <f t="shared" ref="AV38" si="185">IFERROR(VLOOKUP(AT38,BASEPOE1,2,FALSE)," ")</f>
        <v xml:space="preserve"> </v>
      </c>
      <c r="AW38" s="57"/>
      <c r="AX38" s="56"/>
      <c r="AY38" s="59">
        <v>45392</v>
      </c>
      <c r="AZ38" s="59">
        <f>+AY38+365</f>
        <v>45757</v>
      </c>
      <c r="BA38" s="57" t="s">
        <v>1372</v>
      </c>
      <c r="BB38" s="57" t="s">
        <v>1373</v>
      </c>
      <c r="BC38" s="57" t="s">
        <v>1372</v>
      </c>
      <c r="BD38" s="57" t="s">
        <v>1373</v>
      </c>
      <c r="BE38" s="57" t="s">
        <v>1461</v>
      </c>
      <c r="BF38" s="57" t="s">
        <v>4623</v>
      </c>
      <c r="BG38" s="57" t="s">
        <v>1372</v>
      </c>
      <c r="BH38" s="57"/>
      <c r="BI38" s="57" t="s">
        <v>1372</v>
      </c>
      <c r="BJ38" s="57" t="s">
        <v>1372</v>
      </c>
      <c r="BK38" s="57" t="s">
        <v>1372</v>
      </c>
      <c r="BL38" s="57" t="s">
        <v>1372</v>
      </c>
      <c r="BM38" s="57" t="s">
        <v>1372</v>
      </c>
      <c r="BN38" s="57" t="s">
        <v>1372</v>
      </c>
      <c r="BO38" s="57"/>
      <c r="BP38" s="57"/>
      <c r="BQ38" s="57"/>
      <c r="BR38" s="57" t="s">
        <v>1372</v>
      </c>
      <c r="BS38" s="57"/>
      <c r="BT38" s="57"/>
      <c r="BU38" s="57"/>
      <c r="BV38" s="57"/>
      <c r="BW38" s="57"/>
      <c r="BX38" s="57"/>
      <c r="BY38" s="57" t="s">
        <v>1372</v>
      </c>
      <c r="BZ38" s="57"/>
      <c r="CA38" s="57"/>
      <c r="CB38" s="57"/>
      <c r="CC38" s="57"/>
      <c r="CD38" s="57"/>
      <c r="CE38" s="57"/>
      <c r="CF38" s="57"/>
      <c r="CG38" s="57"/>
      <c r="CH38" s="57"/>
      <c r="CI38" s="57"/>
      <c r="CJ38" s="57"/>
      <c r="CK38" s="57"/>
      <c r="CL38" s="58"/>
      <c r="CM38" s="57"/>
      <c r="CN38" s="56" t="str">
        <f t="shared" ref="CN38" si="186">IFERROR(VLOOKUP(CL38,BASEPOE1,2,FALSE)," ")</f>
        <v xml:space="preserve"> </v>
      </c>
      <c r="CO38" s="57"/>
      <c r="CP38" s="56"/>
      <c r="CQ38" s="59"/>
      <c r="CR38" s="59">
        <f>+CQ38+365</f>
        <v>365</v>
      </c>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6"/>
      <c r="EF38" s="56"/>
      <c r="EG38" s="57"/>
      <c r="EH38" s="58"/>
      <c r="EI38" s="56"/>
      <c r="EJ38" s="57"/>
      <c r="EK38" s="57"/>
      <c r="EL38" s="57"/>
      <c r="EM38" s="56"/>
      <c r="EN38" s="57"/>
      <c r="EO38" s="57"/>
      <c r="EP38" s="56"/>
      <c r="EQ38" s="57"/>
      <c r="ER38" s="58"/>
      <c r="ES38" s="56"/>
      <c r="ET38" s="57"/>
      <c r="EU38" s="57"/>
      <c r="EV38" s="57"/>
      <c r="EW38" s="56"/>
      <c r="EX38" s="57"/>
      <c r="EY38" s="57"/>
      <c r="EZ38" s="56"/>
      <c r="FA38" s="57"/>
      <c r="FB38" s="58"/>
      <c r="FC38" s="56"/>
      <c r="FD38" s="57"/>
      <c r="FE38" s="57"/>
      <c r="FF38" s="57"/>
      <c r="FG38" s="56"/>
      <c r="FH38" s="57"/>
      <c r="FI38" s="57"/>
      <c r="FJ38" s="56"/>
      <c r="FK38" s="57"/>
      <c r="FL38" s="58"/>
      <c r="FM38" s="56"/>
      <c r="FN38" s="57"/>
      <c r="FO38" s="57"/>
      <c r="FP38" s="57"/>
      <c r="FQ38" s="56"/>
      <c r="FR38" s="57"/>
      <c r="FS38" s="57"/>
      <c r="FT38" s="56"/>
      <c r="FU38" s="57"/>
      <c r="FV38" s="58"/>
      <c r="FW38" s="56"/>
      <c r="FX38" s="57"/>
      <c r="FY38" s="57"/>
      <c r="FZ38" s="57"/>
      <c r="GA38" s="56"/>
      <c r="GB38" s="57"/>
      <c r="GC38" s="57"/>
      <c r="GD38" s="56"/>
      <c r="GE38" s="57"/>
      <c r="GF38" s="58"/>
      <c r="GG38" s="56"/>
      <c r="GH38" s="57"/>
      <c r="GI38" s="57"/>
      <c r="GJ38" s="57"/>
      <c r="GK38" s="56"/>
      <c r="GL38" s="57"/>
      <c r="GM38" s="57"/>
      <c r="GN38" s="56"/>
      <c r="GO38" s="57"/>
      <c r="GP38" s="58"/>
      <c r="GQ38" s="56"/>
      <c r="GR38" s="57"/>
      <c r="GS38" s="57"/>
      <c r="GT38" s="57"/>
      <c r="GU38" s="56"/>
      <c r="GV38" s="57"/>
      <c r="GW38" s="57"/>
      <c r="GX38" s="56"/>
      <c r="GY38" s="57"/>
      <c r="GZ38" s="58"/>
      <c r="HA38" s="56"/>
      <c r="HB38" s="57"/>
      <c r="HC38" s="57"/>
      <c r="HD38" s="57"/>
      <c r="HE38" s="56"/>
      <c r="HF38" s="57"/>
      <c r="HG38" s="57"/>
      <c r="HH38" s="56"/>
      <c r="HI38" s="57"/>
      <c r="HJ38" s="58"/>
      <c r="HK38" s="56"/>
      <c r="HL38" s="57"/>
      <c r="HM38" s="57"/>
      <c r="HN38" s="57"/>
      <c r="HO38" s="56"/>
      <c r="HP38" s="57"/>
      <c r="HQ38" s="57"/>
      <c r="HR38" s="56"/>
      <c r="HS38" s="57"/>
      <c r="HT38" s="58"/>
      <c r="HU38" s="56"/>
      <c r="HV38" s="57"/>
      <c r="HW38" s="57"/>
      <c r="HX38" s="57"/>
      <c r="HY38" s="56"/>
      <c r="HZ38" s="57"/>
      <c r="IA38" s="57"/>
      <c r="IB38" s="56"/>
      <c r="IC38" s="57"/>
      <c r="ID38" s="58"/>
      <c r="IE38" s="56"/>
      <c r="IF38" s="57"/>
      <c r="IG38" s="57"/>
      <c r="IH38" s="57"/>
      <c r="II38" s="56"/>
      <c r="IJ38" s="57"/>
      <c r="IK38" s="57"/>
      <c r="IL38" s="56"/>
      <c r="IM38" s="57"/>
      <c r="IN38" s="58"/>
      <c r="IO38" s="56"/>
      <c r="IP38" s="57"/>
      <c r="IQ38" s="57"/>
      <c r="IR38" s="57"/>
      <c r="IS38" s="56"/>
      <c r="IT38" s="57"/>
      <c r="IU38" s="57"/>
      <c r="IV38" s="56"/>
      <c r="IW38" s="57"/>
      <c r="IX38" s="58"/>
      <c r="IY38" s="56"/>
      <c r="IZ38" s="57"/>
      <c r="JA38" s="57"/>
      <c r="JB38" s="57"/>
      <c r="JC38" s="56"/>
      <c r="JD38" s="57"/>
      <c r="JE38" s="57"/>
      <c r="JF38" s="56"/>
      <c r="JG38" s="57"/>
      <c r="JH38" s="58"/>
      <c r="JI38" s="56"/>
      <c r="JJ38" s="57"/>
      <c r="JK38" s="57"/>
      <c r="JL38" s="57"/>
      <c r="JM38" s="56"/>
      <c r="JN38" s="57"/>
      <c r="JO38" s="57"/>
      <c r="JP38" s="56"/>
      <c r="JQ38" s="57"/>
      <c r="JR38" s="58"/>
      <c r="JS38" s="56"/>
      <c r="JT38" s="57"/>
      <c r="JU38" s="57"/>
      <c r="JV38" s="57"/>
      <c r="JW38" s="56"/>
      <c r="JX38" s="57"/>
      <c r="JY38" s="57"/>
      <c r="JZ38" s="56"/>
      <c r="KA38" s="57"/>
      <c r="KB38" s="58"/>
      <c r="KC38" s="56"/>
      <c r="KD38" s="57"/>
      <c r="KE38" s="57"/>
      <c r="KF38" s="57"/>
      <c r="KG38" s="56"/>
      <c r="KH38" s="57"/>
      <c r="KI38" s="57"/>
      <c r="KJ38" s="56"/>
      <c r="KK38" s="57"/>
      <c r="KL38" s="58"/>
      <c r="KM38" s="56"/>
      <c r="KN38" s="57"/>
      <c r="KO38" s="57"/>
      <c r="KP38" s="57"/>
      <c r="KQ38" s="56"/>
      <c r="KR38" s="57"/>
      <c r="KS38" s="57"/>
      <c r="KT38" s="56"/>
      <c r="KU38" s="57"/>
      <c r="KV38" s="58"/>
      <c r="KW38" s="56"/>
      <c r="KX38" s="57"/>
      <c r="KY38" s="57"/>
      <c r="KZ38" s="57"/>
      <c r="LA38" s="56"/>
      <c r="LB38" s="57"/>
      <c r="LC38" s="57"/>
      <c r="LD38" s="56"/>
      <c r="LE38" s="57"/>
      <c r="LF38" s="58"/>
      <c r="LG38" s="56"/>
      <c r="LH38" s="57"/>
      <c r="LI38" s="57"/>
      <c r="LJ38" s="57"/>
      <c r="LK38" s="56"/>
      <c r="LL38" s="57"/>
      <c r="LM38" s="57"/>
      <c r="LN38" s="56"/>
      <c r="LO38" s="57"/>
      <c r="LP38" s="58"/>
      <c r="LQ38" s="56"/>
      <c r="LR38" s="57"/>
      <c r="LS38" s="57"/>
      <c r="LT38" s="57"/>
      <c r="LU38" s="56"/>
      <c r="LV38" s="57"/>
      <c r="LW38" s="57"/>
      <c r="LX38" s="56"/>
      <c r="LY38" s="57"/>
      <c r="LZ38" s="58"/>
      <c r="MA38" s="56"/>
      <c r="MB38" s="57"/>
      <c r="MC38" s="57"/>
      <c r="MD38" s="57"/>
      <c r="ME38" s="56"/>
      <c r="MF38" s="57"/>
      <c r="MG38" s="57"/>
      <c r="MH38" s="56"/>
      <c r="MI38" s="57"/>
      <c r="MJ38" s="58"/>
      <c r="MK38" s="56"/>
      <c r="ML38" s="57"/>
      <c r="MM38" s="57"/>
      <c r="MN38" s="57"/>
      <c r="MO38" s="56"/>
      <c r="MP38" s="57"/>
      <c r="MQ38" s="57"/>
      <c r="MR38" s="56"/>
      <c r="MS38" s="57"/>
      <c r="MT38" s="58"/>
      <c r="MU38" s="56"/>
      <c r="MV38" s="57"/>
      <c r="MW38" s="57"/>
      <c r="MX38" s="57"/>
      <c r="MY38" s="56"/>
      <c r="MZ38" s="57"/>
      <c r="NA38" s="57"/>
      <c r="NB38" s="56"/>
      <c r="NC38" s="57"/>
      <c r="ND38" s="58"/>
      <c r="NE38" s="56"/>
      <c r="NF38" s="57"/>
      <c r="NG38" s="57"/>
      <c r="NH38" s="57"/>
      <c r="NI38" s="56"/>
      <c r="NJ38" s="57"/>
      <c r="NK38" s="57"/>
      <c r="NL38" s="56"/>
      <c r="NM38" s="57"/>
      <c r="NN38" s="58"/>
      <c r="NO38" s="56"/>
      <c r="NP38" s="57"/>
      <c r="NQ38" s="57"/>
      <c r="NR38" s="57"/>
      <c r="NS38" s="56"/>
      <c r="NT38" s="57"/>
      <c r="NU38" s="57"/>
      <c r="NV38" s="56"/>
      <c r="NW38" s="57"/>
      <c r="NX38" s="58"/>
      <c r="NY38" s="56"/>
      <c r="NZ38" s="57"/>
      <c r="OA38" s="57"/>
      <c r="OB38" s="57"/>
      <c r="OC38" s="56"/>
      <c r="OD38" s="57"/>
      <c r="OE38" s="57"/>
      <c r="OF38" s="58"/>
      <c r="OG38" s="58"/>
      <c r="OH38" s="58"/>
      <c r="OI38" s="56"/>
      <c r="OJ38" s="58"/>
      <c r="OK38" s="58"/>
      <c r="OL38" s="58"/>
      <c r="OM38" s="58"/>
      <c r="ON38" s="58"/>
      <c r="OO38" s="58"/>
      <c r="OP38" s="56"/>
      <c r="OQ38" s="57"/>
      <c r="OR38" s="58"/>
      <c r="OS38" s="56"/>
      <c r="OT38" s="57"/>
      <c r="OU38" s="57"/>
      <c r="OV38" s="57"/>
      <c r="OW38" s="56"/>
      <c r="OX38" s="57"/>
      <c r="OY38" s="57"/>
      <c r="OZ38" s="56"/>
      <c r="PA38" s="57"/>
      <c r="PB38" s="58"/>
      <c r="PC38" s="56"/>
      <c r="PD38" s="57"/>
      <c r="PE38" s="57"/>
      <c r="PF38" s="57"/>
      <c r="PG38" s="56"/>
      <c r="PH38" s="57"/>
      <c r="PI38" s="57"/>
      <c r="PJ38" s="56"/>
      <c r="PK38" s="57"/>
      <c r="PL38" s="58"/>
      <c r="PM38" s="56"/>
      <c r="PN38" s="57"/>
      <c r="PO38" s="57"/>
      <c r="PP38" s="57"/>
      <c r="PQ38" s="56"/>
      <c r="PR38" s="57"/>
      <c r="PS38" s="57"/>
      <c r="PT38" s="56"/>
      <c r="PU38" s="57"/>
      <c r="PV38" s="58"/>
      <c r="PW38" s="56"/>
      <c r="PX38" s="57"/>
      <c r="PY38" s="57"/>
      <c r="PZ38" s="57"/>
      <c r="QA38" s="56"/>
      <c r="QB38" s="57"/>
      <c r="QC38" s="57"/>
      <c r="QD38" s="56"/>
      <c r="QE38" s="57"/>
      <c r="QF38" s="58"/>
      <c r="QG38" s="56"/>
      <c r="QH38" s="57"/>
      <c r="QI38" s="57"/>
      <c r="QJ38" s="57"/>
      <c r="QK38" s="56"/>
      <c r="QL38" s="57"/>
      <c r="QM38" s="57"/>
      <c r="QN38" s="56"/>
      <c r="QO38" s="57"/>
      <c r="QP38" s="58"/>
      <c r="QQ38" s="56"/>
      <c r="QR38" s="57"/>
      <c r="QS38" s="57"/>
      <c r="QT38" s="57"/>
      <c r="QU38" s="56"/>
      <c r="QV38" s="57"/>
      <c r="QW38" s="57"/>
      <c r="QX38" s="56"/>
      <c r="QY38" s="57"/>
      <c r="QZ38" s="58"/>
      <c r="RA38" s="56"/>
      <c r="RB38" s="57"/>
      <c r="RC38" s="57"/>
      <c r="RD38" s="57"/>
      <c r="RE38" s="56"/>
      <c r="RF38" s="57"/>
      <c r="RG38" s="57"/>
      <c r="RH38" s="56"/>
      <c r="RI38" s="57"/>
      <c r="RJ38" s="58"/>
      <c r="RK38" s="56"/>
      <c r="RL38" s="57"/>
      <c r="RM38" s="57"/>
      <c r="RN38" s="57"/>
      <c r="RO38" s="56"/>
      <c r="RP38" s="57"/>
      <c r="RQ38" s="57"/>
      <c r="RR38" s="56"/>
      <c r="RS38" s="57"/>
      <c r="RT38" s="58"/>
      <c r="RU38" s="56"/>
      <c r="RV38" s="57"/>
      <c r="RW38" s="57"/>
      <c r="RX38" s="57"/>
      <c r="RY38" s="56"/>
      <c r="RZ38" s="57"/>
      <c r="SA38" s="57"/>
      <c r="SB38" s="56"/>
      <c r="SC38" s="57"/>
      <c r="SD38" s="58"/>
      <c r="SE38" s="56"/>
      <c r="SF38" s="57"/>
      <c r="SG38" s="57"/>
      <c r="SH38" s="57"/>
      <c r="SI38" s="56"/>
      <c r="SJ38" s="57"/>
      <c r="SK38" s="57"/>
      <c r="SL38" s="56"/>
      <c r="SM38" s="57"/>
      <c r="SN38" s="58"/>
      <c r="SO38" s="56"/>
      <c r="SP38" s="57"/>
      <c r="SQ38" s="57"/>
      <c r="SR38" s="57"/>
      <c r="SS38" s="56"/>
      <c r="ST38" s="57"/>
      <c r="SU38" s="57"/>
      <c r="SV38" s="56"/>
      <c r="SW38" s="57"/>
      <c r="SX38" s="58"/>
      <c r="SY38" s="56"/>
      <c r="SZ38" s="57"/>
      <c r="TA38" s="57"/>
      <c r="TB38" s="57"/>
      <c r="TC38" s="56"/>
      <c r="TD38" s="57"/>
      <c r="TE38" s="57"/>
      <c r="TF38" s="56"/>
      <c r="TG38" s="57"/>
      <c r="TH38" s="58"/>
      <c r="TI38" s="56"/>
      <c r="TJ38" s="57"/>
      <c r="TK38" s="57"/>
      <c r="TL38" s="57"/>
      <c r="TM38" s="56"/>
      <c r="TN38" s="57"/>
      <c r="TO38" s="57"/>
      <c r="TP38" s="56"/>
      <c r="TQ38" s="57"/>
      <c r="TR38" s="58"/>
      <c r="TS38" s="56"/>
      <c r="TT38" s="57"/>
      <c r="TU38" s="57"/>
      <c r="TV38" s="57"/>
      <c r="TW38" s="56"/>
      <c r="TX38" s="57"/>
      <c r="TY38" s="57"/>
      <c r="TZ38" s="56"/>
      <c r="UA38" s="57"/>
      <c r="UB38" s="58"/>
      <c r="UC38" s="56"/>
      <c r="UD38" s="57"/>
      <c r="UE38" s="57"/>
      <c r="UF38" s="57"/>
      <c r="UG38" s="56"/>
      <c r="UH38" s="57"/>
      <c r="UI38" s="57"/>
      <c r="UJ38" s="56"/>
      <c r="UK38" s="57"/>
      <c r="UL38" s="58"/>
      <c r="UM38" s="56"/>
      <c r="UN38" s="57"/>
      <c r="UO38" s="57"/>
      <c r="UP38" s="57"/>
      <c r="UQ38" s="56"/>
      <c r="UR38" s="57"/>
      <c r="US38" s="57"/>
      <c r="UT38" s="56"/>
      <c r="UU38" s="57"/>
      <c r="UV38" s="58"/>
      <c r="UW38" s="56"/>
      <c r="UX38" s="57"/>
      <c r="UY38" s="57"/>
      <c r="UZ38" s="57"/>
      <c r="VA38" s="56"/>
      <c r="VB38" s="57"/>
      <c r="VC38" s="57"/>
      <c r="VD38" s="56"/>
      <c r="VE38" s="57"/>
      <c r="VF38" s="58"/>
      <c r="VG38" s="56"/>
      <c r="VH38" s="57"/>
      <c r="VI38" s="57"/>
      <c r="VJ38" s="57"/>
      <c r="VK38" s="56"/>
      <c r="VL38" s="57"/>
      <c r="VM38" s="57"/>
      <c r="VN38" s="56"/>
      <c r="VO38" s="57"/>
      <c r="VP38" s="58"/>
      <c r="VQ38" s="56"/>
      <c r="VR38" s="57"/>
      <c r="VS38" s="57"/>
      <c r="VT38" s="57"/>
      <c r="VU38" s="56"/>
      <c r="VV38" s="57"/>
      <c r="VW38" s="57"/>
      <c r="VX38" s="56"/>
      <c r="VY38" s="57"/>
      <c r="VZ38" s="58"/>
      <c r="WA38" s="56"/>
      <c r="WB38" s="57"/>
      <c r="WC38" s="57"/>
      <c r="WD38" s="57"/>
      <c r="WE38" s="56"/>
      <c r="WF38" s="57"/>
      <c r="WG38" s="57"/>
      <c r="WH38" s="56"/>
      <c r="WI38" s="57"/>
      <c r="WJ38" s="58"/>
      <c r="WK38" s="56"/>
      <c r="WL38" s="57"/>
      <c r="WM38" s="57"/>
      <c r="WN38" s="57"/>
      <c r="WO38" s="56"/>
      <c r="WP38" s="57"/>
      <c r="WQ38" s="57"/>
      <c r="WR38" s="56"/>
      <c r="WS38" s="57"/>
      <c r="WT38" s="58"/>
      <c r="WU38" s="56"/>
      <c r="WV38" s="57"/>
      <c r="WW38" s="57"/>
      <c r="WX38" s="57"/>
      <c r="WY38" s="56"/>
      <c r="WZ38" s="57"/>
      <c r="XA38" s="57"/>
      <c r="XB38" s="56"/>
      <c r="XC38" s="57"/>
      <c r="XD38" s="58"/>
      <c r="XE38" s="56"/>
      <c r="XF38" s="57"/>
      <c r="XG38" s="57"/>
      <c r="XH38" s="57"/>
      <c r="XI38" s="56"/>
      <c r="XJ38" s="57"/>
      <c r="XK38" s="57"/>
      <c r="XL38" s="56"/>
      <c r="XM38" s="57"/>
      <c r="XN38" s="58"/>
      <c r="XO38" s="56"/>
      <c r="XP38" s="57"/>
      <c r="XQ38" s="57"/>
      <c r="XR38" s="57"/>
      <c r="XS38" s="56"/>
      <c r="XT38" s="57"/>
      <c r="XU38" s="57"/>
      <c r="XV38" s="56"/>
      <c r="XW38" s="57"/>
      <c r="XX38" s="58"/>
      <c r="XY38" s="56"/>
      <c r="XZ38" s="57"/>
      <c r="YA38" s="57"/>
      <c r="YB38" s="57"/>
      <c r="YC38" s="56"/>
      <c r="YD38" s="57"/>
      <c r="YE38" s="57"/>
      <c r="YF38" s="56"/>
      <c r="YG38" s="57"/>
      <c r="YH38" s="58"/>
      <c r="YI38" s="56"/>
      <c r="YJ38" s="57"/>
      <c r="YK38" s="57"/>
      <c r="YL38" s="57"/>
      <c r="YM38" s="56"/>
      <c r="YN38" s="57"/>
      <c r="YO38" s="57"/>
      <c r="YP38" s="56"/>
      <c r="YQ38" s="57"/>
      <c r="YR38" s="58"/>
      <c r="YS38" s="56"/>
      <c r="YT38" s="57"/>
      <c r="YU38" s="57"/>
      <c r="YV38" s="57"/>
      <c r="YW38" s="56"/>
      <c r="YX38" s="57"/>
      <c r="YY38" s="57"/>
      <c r="YZ38" s="56"/>
      <c r="ZA38" s="57"/>
      <c r="ZB38" s="58"/>
      <c r="ZC38" s="56"/>
      <c r="ZD38" s="57"/>
      <c r="ZE38" s="57"/>
      <c r="ZF38" s="57"/>
      <c r="ZG38" s="56"/>
      <c r="ZH38" s="57"/>
      <c r="ZI38" s="57"/>
      <c r="ZJ38" s="56"/>
      <c r="ZK38" s="57"/>
      <c r="ZL38" s="58"/>
      <c r="ZM38" s="56"/>
      <c r="ZN38" s="57"/>
      <c r="ZO38" s="57"/>
      <c r="ZP38" s="57"/>
      <c r="ZQ38" s="56"/>
      <c r="ZR38" s="57"/>
      <c r="ZS38" s="57"/>
      <c r="ZT38" s="56"/>
      <c r="ZU38" s="57"/>
      <c r="ZV38" s="58"/>
      <c r="ZW38" s="56"/>
      <c r="ZX38" s="57"/>
      <c r="ZY38" s="57"/>
      <c r="ZZ38" s="57"/>
      <c r="AAA38" s="56"/>
      <c r="AAB38" s="57"/>
      <c r="AAC38" s="57"/>
      <c r="AAD38" s="56"/>
      <c r="AAE38" s="57"/>
      <c r="AAF38" s="58"/>
      <c r="AAG38" s="56"/>
      <c r="AAH38" s="57"/>
      <c r="AAI38" s="57"/>
      <c r="AAJ38" s="57"/>
      <c r="AAK38" s="56"/>
      <c r="AAL38" s="57"/>
      <c r="AAM38" s="57"/>
      <c r="AAN38" s="56"/>
      <c r="AAO38" s="57"/>
      <c r="AAP38" s="58"/>
      <c r="AAQ38" s="56"/>
      <c r="AAR38" s="57"/>
      <c r="AAS38" s="57"/>
      <c r="AAT38" s="57"/>
      <c r="AAU38" s="56"/>
      <c r="AAV38" s="57"/>
      <c r="AAW38" s="57"/>
      <c r="AAX38" s="58"/>
      <c r="AAY38" s="58"/>
      <c r="AAZ38" s="58"/>
      <c r="ABA38" s="56"/>
      <c r="ABB38" s="58"/>
      <c r="ABC38" s="58"/>
      <c r="ABD38" s="58"/>
      <c r="ABE38" s="58"/>
      <c r="ABF38" s="58"/>
      <c r="ABG38" s="57"/>
      <c r="ABH38" s="56"/>
      <c r="ABI38" s="57"/>
      <c r="ABJ38" s="58"/>
      <c r="ABK38" s="56"/>
      <c r="ABL38" s="57"/>
      <c r="ABM38" s="57"/>
      <c r="ABN38" s="57"/>
      <c r="ABO38" s="56"/>
      <c r="ABP38" s="57"/>
      <c r="ABQ38" s="57"/>
      <c r="ABR38" s="56"/>
      <c r="ABS38" s="57"/>
      <c r="ABT38" s="58"/>
      <c r="ABU38" s="56"/>
      <c r="ABV38" s="57"/>
      <c r="ABW38" s="57"/>
      <c r="ABX38" s="57"/>
      <c r="ABY38" s="56"/>
      <c r="ABZ38" s="57"/>
      <c r="ACA38" s="57"/>
      <c r="ACB38" s="56"/>
      <c r="ACC38" s="57"/>
      <c r="ACD38" s="58"/>
      <c r="ACE38" s="56"/>
      <c r="ACF38" s="57"/>
      <c r="ACG38" s="57"/>
      <c r="ACH38" s="57"/>
      <c r="ACI38" s="56"/>
      <c r="ACJ38" s="57"/>
      <c r="ACK38" s="57"/>
      <c r="ACL38" s="56"/>
      <c r="ACM38" s="57"/>
      <c r="ACN38" s="58"/>
      <c r="ACO38" s="56"/>
      <c r="ACP38" s="57"/>
      <c r="ACQ38" s="57"/>
      <c r="ACR38" s="57"/>
      <c r="ACS38" s="56"/>
      <c r="ACT38" s="57"/>
      <c r="ACU38" s="57"/>
      <c r="ACV38" s="56"/>
      <c r="ACW38" s="57"/>
      <c r="ACX38" s="58"/>
      <c r="ACY38" s="56"/>
      <c r="ACZ38" s="57"/>
      <c r="ADA38" s="57"/>
      <c r="ADB38" s="57"/>
      <c r="ADC38" s="56"/>
      <c r="ADD38" s="57"/>
      <c r="ADE38" s="57"/>
      <c r="ADF38" s="56"/>
      <c r="ADG38" s="57"/>
      <c r="ADH38" s="58"/>
      <c r="ADI38" s="56"/>
      <c r="ADJ38" s="57"/>
      <c r="ADK38" s="57"/>
      <c r="ADL38" s="57"/>
      <c r="ADM38" s="56"/>
      <c r="ADN38" s="57"/>
      <c r="ADO38" s="57"/>
      <c r="ADP38" s="56"/>
      <c r="ADQ38" s="57"/>
      <c r="ADR38" s="58"/>
      <c r="ADS38" s="56"/>
      <c r="ADT38" s="57"/>
      <c r="ADU38" s="57"/>
      <c r="ADV38" s="57"/>
      <c r="ADW38" s="56"/>
      <c r="ADX38" s="57"/>
      <c r="ADY38" s="57"/>
      <c r="ADZ38" s="56"/>
      <c r="AEA38" s="57"/>
      <c r="AEB38" s="58"/>
      <c r="AEC38" s="56"/>
      <c r="AED38" s="57"/>
      <c r="AEE38" s="57"/>
      <c r="AEF38" s="57"/>
      <c r="AEG38" s="56"/>
      <c r="AEH38" s="57"/>
      <c r="AEI38" s="57"/>
      <c r="AEJ38" s="56"/>
      <c r="AEK38" s="57"/>
      <c r="AEL38" s="58"/>
      <c r="AEM38" s="56"/>
      <c r="AEN38" s="57"/>
      <c r="AEO38" s="57"/>
      <c r="AEP38" s="57"/>
      <c r="AEQ38" s="56"/>
      <c r="AER38" s="57"/>
      <c r="AES38" s="57"/>
      <c r="AET38" s="56"/>
      <c r="AEU38" s="57"/>
      <c r="AEV38" s="58"/>
      <c r="AEW38" s="56"/>
      <c r="AEX38" s="57"/>
      <c r="AEY38" s="57"/>
      <c r="AEZ38" s="57"/>
      <c r="AFA38" s="56"/>
      <c r="AFB38" s="57"/>
      <c r="AFC38" s="57"/>
      <c r="AFD38" s="56"/>
      <c r="AFE38" s="57"/>
      <c r="AFF38" s="58"/>
      <c r="AFG38" s="56"/>
      <c r="AFH38" s="57"/>
      <c r="AFI38" s="57"/>
      <c r="AFJ38" s="57"/>
      <c r="AFK38" s="56"/>
      <c r="AFL38" s="57"/>
      <c r="AFM38" s="57"/>
      <c r="AFN38" s="56"/>
      <c r="AFO38" s="57"/>
      <c r="AFP38" s="58"/>
      <c r="AFQ38" s="56"/>
      <c r="AFR38" s="57"/>
      <c r="AFS38" s="57"/>
      <c r="AFT38" s="57"/>
      <c r="AFU38" s="56"/>
      <c r="AFV38" s="57"/>
      <c r="AFW38" s="57"/>
      <c r="AFX38" s="56"/>
      <c r="AFY38" s="57"/>
      <c r="AFZ38" s="58"/>
      <c r="AGA38" s="56"/>
      <c r="AGB38" s="57"/>
      <c r="AGC38" s="57"/>
      <c r="AGD38" s="57"/>
      <c r="AGE38" s="56"/>
      <c r="AGF38" s="57"/>
      <c r="AGG38" s="57"/>
      <c r="AGH38" s="56"/>
      <c r="AGI38" s="57"/>
      <c r="AGJ38" s="58"/>
      <c r="AGK38" s="56"/>
      <c r="AGL38" s="57"/>
      <c r="AGM38" s="57"/>
      <c r="AGN38" s="57"/>
      <c r="AGO38" s="56"/>
      <c r="AGP38" s="57"/>
      <c r="AGQ38" s="57"/>
      <c r="AGR38" s="56"/>
      <c r="AGS38" s="57"/>
      <c r="AGT38" s="58"/>
      <c r="AGU38" s="56"/>
      <c r="AGV38" s="57"/>
      <c r="AGW38" s="57"/>
      <c r="AGX38" s="57"/>
      <c r="AGY38" s="56"/>
      <c r="AGZ38" s="57"/>
      <c r="AHA38" s="57"/>
      <c r="AHB38" s="56"/>
      <c r="AHC38" s="57"/>
      <c r="AHD38" s="58"/>
      <c r="AHE38" s="56"/>
      <c r="AHF38" s="57"/>
      <c r="AHG38" s="57"/>
      <c r="AHH38" s="57"/>
      <c r="AHI38" s="56"/>
      <c r="AHJ38" s="57"/>
      <c r="AHK38" s="57"/>
      <c r="AHL38" s="56"/>
      <c r="AHM38" s="57"/>
      <c r="AHN38" s="58"/>
      <c r="AHO38" s="56"/>
      <c r="AHP38" s="57"/>
      <c r="AHQ38" s="57"/>
      <c r="AHR38" s="57"/>
      <c r="AHS38" s="56"/>
      <c r="AHT38" s="57"/>
      <c r="AHU38" s="57"/>
      <c r="AHV38" s="56"/>
      <c r="AHW38" s="57"/>
      <c r="AHX38" s="58"/>
      <c r="AHY38" s="56"/>
      <c r="AHZ38" s="57"/>
      <c r="AIA38" s="57"/>
      <c r="AIB38" s="57"/>
      <c r="AIC38" s="56"/>
      <c r="AID38" s="57"/>
      <c r="AIE38" s="57"/>
      <c r="AIF38" s="56"/>
      <c r="AIG38" s="57"/>
      <c r="AIH38" s="58"/>
      <c r="AII38" s="56"/>
      <c r="AIJ38" s="57"/>
      <c r="AIK38" s="57"/>
      <c r="AIL38" s="57"/>
      <c r="AIM38" s="56"/>
      <c r="AIN38" s="57"/>
      <c r="AIO38" s="57"/>
      <c r="AIP38" s="56"/>
      <c r="AIQ38" s="57"/>
      <c r="AIR38" s="58"/>
      <c r="AIS38" s="56"/>
      <c r="AIT38" s="57"/>
      <c r="AIU38" s="57"/>
      <c r="AIV38" s="57"/>
      <c r="AIW38" s="56"/>
      <c r="AIX38" s="57"/>
      <c r="AIY38" s="57"/>
      <c r="AIZ38" s="56"/>
      <c r="AJA38" s="57"/>
      <c r="AJB38" s="58"/>
      <c r="AJC38" s="56"/>
      <c r="AJD38" s="57"/>
      <c r="AJE38" s="57"/>
      <c r="AJF38" s="57"/>
      <c r="AJG38" s="56"/>
      <c r="AJH38" s="57"/>
      <c r="AJI38" s="57"/>
      <c r="AJJ38" s="56"/>
      <c r="AJK38" s="57"/>
      <c r="AJL38" s="58"/>
      <c r="AJM38" s="56"/>
      <c r="AJN38" s="57"/>
      <c r="AJO38" s="57"/>
      <c r="AJP38" s="57"/>
      <c r="AJQ38" s="56"/>
      <c r="AJR38" s="57"/>
      <c r="AJS38" s="57"/>
      <c r="AJT38" s="56"/>
      <c r="AJU38" s="57"/>
      <c r="AJV38" s="58"/>
      <c r="AJW38" s="56"/>
      <c r="AJX38" s="57"/>
      <c r="AJY38" s="57"/>
      <c r="AJZ38" s="57"/>
      <c r="AKA38" s="56"/>
      <c r="AKB38" s="57"/>
      <c r="AKC38" s="57"/>
      <c r="AKD38" s="56"/>
      <c r="AKE38" s="57"/>
      <c r="AKF38" s="58"/>
      <c r="AKG38" s="56"/>
      <c r="AKH38" s="57"/>
      <c r="AKI38" s="57"/>
      <c r="AKJ38" s="57"/>
      <c r="AKK38" s="56"/>
      <c r="AKL38" s="57"/>
      <c r="AKM38" s="57"/>
      <c r="AKN38" s="56"/>
      <c r="AKO38" s="57"/>
      <c r="AKP38" s="58"/>
      <c r="AKQ38" s="56"/>
      <c r="AKR38" s="57"/>
      <c r="AKS38" s="57"/>
      <c r="AKT38" s="57"/>
      <c r="AKU38" s="56"/>
      <c r="AKV38" s="57"/>
      <c r="AKW38" s="57"/>
      <c r="AKX38" s="56"/>
      <c r="AKY38" s="57"/>
      <c r="AKZ38" s="58"/>
      <c r="ALA38" s="56"/>
      <c r="ALB38" s="57"/>
      <c r="ALC38" s="57"/>
      <c r="ALD38" s="57"/>
      <c r="ALE38" s="56"/>
      <c r="ALF38" s="57"/>
      <c r="ALG38" s="57"/>
      <c r="ALH38" s="57"/>
      <c r="ALI38" s="57"/>
      <c r="ALJ38" s="57"/>
      <c r="ALK38" s="56"/>
      <c r="ALL38" s="57"/>
      <c r="ALM38" s="57"/>
      <c r="ALN38" s="56"/>
      <c r="ALO38" s="57"/>
      <c r="ALP38" s="58"/>
      <c r="ALQ38" s="56"/>
      <c r="ALR38" s="57"/>
      <c r="ALS38" s="57"/>
      <c r="ALT38" s="57"/>
      <c r="ALU38" s="56"/>
      <c r="ALV38" s="57"/>
      <c r="ALW38" s="57"/>
      <c r="ALX38" s="56"/>
      <c r="ALY38" s="57"/>
      <c r="ALZ38" s="58"/>
      <c r="AMA38" s="56"/>
      <c r="AMB38" s="57"/>
      <c r="AMC38" s="57"/>
      <c r="AMD38" s="57"/>
      <c r="AME38" s="56"/>
      <c r="AMF38" s="57"/>
      <c r="AMG38" s="57"/>
      <c r="AMH38" s="57"/>
      <c r="AMI38" s="57"/>
      <c r="AMJ38" s="57"/>
      <c r="AMK38" s="56"/>
      <c r="AML38" s="57"/>
      <c r="AMM38" s="57"/>
      <c r="AMN38" s="56"/>
      <c r="AMO38" s="57"/>
      <c r="AMP38" s="58"/>
      <c r="AMQ38" s="56"/>
      <c r="AMR38" s="57"/>
      <c r="AMS38" s="57"/>
      <c r="AMT38" s="57"/>
      <c r="AMU38" s="56"/>
      <c r="AMV38" s="57"/>
      <c r="AMW38" s="57"/>
      <c r="AMX38" s="56"/>
      <c r="AMY38" s="57"/>
      <c r="AMZ38" s="58"/>
      <c r="ANA38" s="56"/>
      <c r="ANB38" s="57"/>
      <c r="ANC38" s="57"/>
      <c r="AND38" s="57"/>
      <c r="ANE38" s="56"/>
      <c r="ANF38" s="57"/>
      <c r="ANG38" s="57"/>
      <c r="ANH38" s="57"/>
      <c r="ANI38" s="57"/>
      <c r="ANJ38" s="57"/>
      <c r="ANK38" s="56"/>
      <c r="ANL38" s="57"/>
      <c r="ANM38" s="57"/>
      <c r="ANN38" s="56"/>
      <c r="ANO38" s="57"/>
      <c r="ANP38" s="58"/>
      <c r="ANQ38" s="56"/>
      <c r="ANR38" s="57"/>
      <c r="ANS38" s="57"/>
      <c r="ANT38" s="57"/>
      <c r="ANU38" s="56"/>
      <c r="ANV38" s="57"/>
      <c r="ANW38" s="57"/>
      <c r="ANX38" s="56"/>
      <c r="ANY38" s="57"/>
      <c r="ANZ38" s="58"/>
      <c r="AOA38" s="56"/>
      <c r="AOB38" s="57"/>
      <c r="AOC38" s="57"/>
      <c r="AOD38" s="57"/>
      <c r="AOE38" s="56"/>
      <c r="AOF38" s="57"/>
      <c r="AOG38" s="57"/>
      <c r="AOH38" s="57"/>
      <c r="AOI38" s="57"/>
      <c r="AOJ38" s="57"/>
      <c r="AOK38" s="56"/>
      <c r="AOL38" s="57"/>
      <c r="AOM38" s="57"/>
      <c r="AON38" s="56"/>
      <c r="AOO38" s="57"/>
      <c r="AOP38" s="58"/>
      <c r="AOQ38" s="56"/>
      <c r="AOR38" s="57"/>
      <c r="AOS38" s="57"/>
      <c r="AOT38" s="57"/>
      <c r="AOU38" s="56"/>
      <c r="AOV38" s="57"/>
      <c r="AOW38" s="57"/>
      <c r="AOX38" s="56"/>
      <c r="AOY38" s="57"/>
      <c r="AOZ38" s="58"/>
      <c r="APA38" s="56"/>
      <c r="APB38" s="57"/>
      <c r="APC38" s="57"/>
      <c r="APD38" s="57"/>
      <c r="APE38" s="56"/>
      <c r="APF38" s="57"/>
      <c r="APG38" s="57"/>
      <c r="APH38" s="57"/>
      <c r="API38" s="57"/>
      <c r="APJ38" s="57"/>
      <c r="APK38" s="56"/>
      <c r="APL38" s="57"/>
      <c r="APM38" s="57"/>
      <c r="APN38" s="56"/>
      <c r="APO38" s="57"/>
      <c r="APP38" s="58"/>
      <c r="APQ38" s="56"/>
      <c r="APR38" s="57"/>
      <c r="APS38" s="57"/>
      <c r="APT38" s="57"/>
      <c r="APU38" s="56"/>
      <c r="APV38" s="57"/>
      <c r="APW38" s="57"/>
      <c r="APX38" s="56"/>
      <c r="APY38" s="57"/>
      <c r="APZ38" s="58"/>
      <c r="AQA38" s="56"/>
      <c r="AQB38" s="57"/>
      <c r="AQC38" s="57"/>
      <c r="AQD38" s="57"/>
      <c r="AQE38" s="56"/>
      <c r="AQF38" s="57"/>
      <c r="AQG38" s="57"/>
      <c r="AQH38" s="57"/>
      <c r="AQI38" s="57"/>
      <c r="AQJ38" s="57"/>
      <c r="AQK38" s="56"/>
      <c r="AQL38" s="57"/>
      <c r="AQM38" s="57"/>
      <c r="AQN38" s="56"/>
      <c r="AQO38" s="57"/>
      <c r="AQP38" s="58"/>
      <c r="AQQ38" s="56"/>
      <c r="AQR38" s="57"/>
      <c r="AQS38" s="57"/>
      <c r="AQT38" s="57"/>
      <c r="AQU38" s="56"/>
      <c r="AQV38" s="57"/>
      <c r="AQW38" s="57"/>
      <c r="AQX38" s="56"/>
      <c r="AQY38" s="57"/>
      <c r="AQZ38" s="58"/>
      <c r="ARA38" s="56"/>
      <c r="ARB38" s="57"/>
      <c r="ARC38" s="57"/>
      <c r="ARD38" s="57"/>
      <c r="ARE38" s="56"/>
      <c r="ARF38" s="57"/>
      <c r="ARG38" s="57"/>
      <c r="ARH38" s="57"/>
      <c r="ARI38" s="57"/>
      <c r="ARJ38" s="57"/>
      <c r="ARK38" s="56"/>
      <c r="ARL38" s="57"/>
      <c r="ARM38" s="57"/>
      <c r="ARN38" s="56"/>
      <c r="ARO38" s="57"/>
      <c r="ARP38" s="58"/>
      <c r="ARQ38" s="56"/>
      <c r="ARR38" s="57"/>
      <c r="ARS38" s="57"/>
      <c r="ART38" s="57"/>
      <c r="ARU38" s="56"/>
      <c r="ARV38" s="57"/>
      <c r="ARW38" s="57"/>
      <c r="ARX38" s="56"/>
      <c r="ARY38" s="57"/>
      <c r="ARZ38" s="58"/>
      <c r="ASA38" s="56"/>
      <c r="ASB38" s="57"/>
      <c r="ASC38" s="57"/>
      <c r="ASD38" s="57"/>
      <c r="ASE38" s="56"/>
      <c r="ASF38" s="57"/>
      <c r="ASG38" s="57"/>
      <c r="ASH38" s="57"/>
      <c r="ASI38" s="57"/>
      <c r="ASJ38" s="57"/>
      <c r="ASK38" s="56"/>
      <c r="ASL38" s="57"/>
      <c r="ASM38" s="57"/>
      <c r="ASN38" s="56"/>
      <c r="ASO38" s="57"/>
      <c r="ASP38" s="58"/>
      <c r="ASQ38" s="56"/>
      <c r="ASR38" s="57"/>
      <c r="ASS38" s="57"/>
      <c r="AST38" s="57"/>
      <c r="ASU38" s="56"/>
      <c r="ASV38" s="57"/>
      <c r="ASW38" s="57"/>
      <c r="ASX38" s="56"/>
      <c r="ASY38" s="57"/>
      <c r="ASZ38" s="58"/>
      <c r="ATA38" s="56"/>
      <c r="ATB38" s="57"/>
      <c r="ATC38" s="57"/>
      <c r="ATD38" s="57"/>
      <c r="ATE38" s="56"/>
      <c r="ATF38" s="57"/>
      <c r="ATG38" s="57"/>
      <c r="ATH38" s="57"/>
      <c r="ATI38" s="57"/>
      <c r="ATJ38" s="57"/>
      <c r="ATK38" s="56"/>
      <c r="ATL38" s="57"/>
      <c r="ATM38" s="57"/>
      <c r="ATN38" s="56"/>
      <c r="ATO38" s="57"/>
      <c r="ATP38" s="58"/>
      <c r="ATQ38" s="56"/>
      <c r="ATR38" s="57"/>
      <c r="ATS38" s="57"/>
      <c r="ATT38" s="57"/>
      <c r="ATU38" s="56"/>
      <c r="ATV38" s="57"/>
      <c r="ATW38" s="57"/>
      <c r="ATX38" s="56"/>
      <c r="ATY38" s="57"/>
      <c r="ATZ38" s="58"/>
      <c r="AUA38" s="56"/>
      <c r="AUB38" s="57"/>
      <c r="AUC38" s="57"/>
      <c r="AUD38" s="57"/>
      <c r="AUE38" s="56"/>
      <c r="AUF38" s="57"/>
      <c r="AUG38" s="57"/>
      <c r="AUH38" s="57"/>
      <c r="AUI38" s="57"/>
      <c r="AUJ38" s="57"/>
      <c r="AUK38" s="56"/>
      <c r="AUL38" s="57"/>
      <c r="AUM38" s="57"/>
      <c r="AUN38" s="56"/>
      <c r="AUO38" s="57"/>
      <c r="AUP38" s="58"/>
      <c r="AUQ38" s="56"/>
      <c r="AUR38" s="57"/>
      <c r="AUS38" s="57"/>
      <c r="AUT38" s="57"/>
      <c r="AUU38" s="56"/>
      <c r="AUV38" s="57"/>
      <c r="AUW38" s="57"/>
      <c r="AUX38" s="56"/>
      <c r="AUY38" s="57"/>
      <c r="AUZ38" s="58"/>
      <c r="AVA38" s="56"/>
      <c r="AVB38" s="57"/>
      <c r="AVC38" s="57"/>
      <c r="AVD38" s="57"/>
      <c r="AVE38" s="56"/>
      <c r="AVF38" s="57"/>
      <c r="AVG38" s="57"/>
      <c r="AVH38" s="57"/>
      <c r="AVI38" s="57"/>
      <c r="AVJ38" s="57"/>
      <c r="AVK38" s="56"/>
      <c r="AVL38" s="57"/>
      <c r="AVM38" s="57"/>
      <c r="AVN38" s="56"/>
      <c r="AVO38" s="57"/>
      <c r="AVP38" s="58"/>
      <c r="AVQ38" s="56"/>
      <c r="AVR38" s="57"/>
      <c r="AVS38" s="57"/>
      <c r="AVT38" s="57"/>
      <c r="AVU38" s="56"/>
      <c r="AVV38" s="57"/>
      <c r="AVW38" s="57"/>
      <c r="AVX38" s="56"/>
      <c r="AVY38" s="57"/>
      <c r="AVZ38" s="58"/>
      <c r="AWA38" s="56"/>
      <c r="AWB38" s="57"/>
      <c r="AWC38" s="57"/>
      <c r="AWD38" s="57"/>
      <c r="AWE38" s="56"/>
      <c r="AWF38" s="57"/>
      <c r="AWG38" s="57"/>
      <c r="AWH38" s="57"/>
      <c r="AWI38" s="57"/>
      <c r="AWJ38" s="57"/>
      <c r="AWK38" s="56"/>
      <c r="AWL38" s="57"/>
      <c r="AWM38" s="57"/>
      <c r="AWN38" s="56"/>
      <c r="AWO38" s="57"/>
      <c r="AWP38" s="58"/>
      <c r="AWQ38" s="56"/>
      <c r="AWR38" s="57"/>
      <c r="AWS38" s="57"/>
      <c r="AWT38" s="57"/>
      <c r="AWU38" s="56"/>
      <c r="AWV38" s="57"/>
      <c r="AWW38" s="57"/>
      <c r="AWX38" s="56"/>
      <c r="AWY38" s="57"/>
      <c r="AWZ38" s="58"/>
      <c r="AXA38" s="56"/>
      <c r="AXB38" s="57"/>
      <c r="AXC38" s="57"/>
      <c r="AXD38" s="57"/>
      <c r="AXE38" s="56"/>
      <c r="AXF38" s="57"/>
      <c r="AXG38" s="57"/>
      <c r="AXH38" s="57"/>
      <c r="AXI38" s="57"/>
      <c r="AXJ38" s="57"/>
      <c r="AXK38" s="56"/>
      <c r="AXL38" s="57"/>
      <c r="AXM38" s="57"/>
      <c r="AXN38" s="56"/>
      <c r="AXO38" s="57"/>
      <c r="AXP38" s="58"/>
      <c r="AXQ38" s="56"/>
      <c r="AXR38" s="57"/>
      <c r="AXS38" s="57"/>
      <c r="AXT38" s="57"/>
      <c r="AXU38" s="56"/>
      <c r="AXV38" s="57"/>
      <c r="AXW38" s="57"/>
      <c r="AXX38" s="56"/>
      <c r="AXY38" s="57"/>
      <c r="AXZ38" s="58"/>
      <c r="AYA38" s="56"/>
      <c r="AYB38" s="57"/>
      <c r="AYC38" s="57"/>
      <c r="AYD38" s="57"/>
      <c r="AYE38" s="56"/>
      <c r="AYF38" s="57"/>
      <c r="AYG38" s="57"/>
      <c r="AYH38" s="57"/>
      <c r="AYI38" s="57"/>
      <c r="AYJ38" s="57"/>
      <c r="AYK38" s="56"/>
      <c r="AYL38" s="57"/>
      <c r="AYM38" s="57"/>
      <c r="AYN38" s="56"/>
      <c r="AYO38" s="57"/>
      <c r="AYP38" s="58"/>
      <c r="AYQ38" s="56"/>
      <c r="AYR38" s="57"/>
      <c r="AYS38" s="57"/>
      <c r="AYT38" s="57"/>
      <c r="AYU38" s="56"/>
      <c r="AYV38" s="57"/>
      <c r="AYW38" s="57"/>
      <c r="AYX38" s="56"/>
      <c r="AYY38" s="57"/>
      <c r="AYZ38" s="58"/>
      <c r="AZA38" s="56"/>
      <c r="AZB38" s="57"/>
      <c r="AZC38" s="57"/>
      <c r="AZD38" s="57"/>
      <c r="AZE38" s="56"/>
      <c r="AZF38" s="57"/>
      <c r="AZG38" s="57"/>
      <c r="AZH38" s="57"/>
      <c r="AZI38" s="57"/>
      <c r="AZJ38" s="57"/>
      <c r="AZK38" s="56"/>
      <c r="AZL38" s="57"/>
      <c r="AZM38" s="57"/>
      <c r="AZN38" s="56"/>
      <c r="AZO38" s="57"/>
      <c r="AZP38" s="58"/>
      <c r="AZQ38" s="56"/>
      <c r="AZR38" s="57"/>
      <c r="AZS38" s="57"/>
      <c r="AZT38" s="57"/>
      <c r="AZU38" s="56"/>
      <c r="AZV38" s="57"/>
      <c r="AZW38" s="57"/>
      <c r="AZX38" s="56"/>
      <c r="AZY38" s="57"/>
      <c r="AZZ38" s="58"/>
      <c r="BAA38" s="56"/>
      <c r="BAB38" s="57"/>
      <c r="BAC38" s="57"/>
      <c r="BAD38" s="57"/>
      <c r="BAE38" s="56"/>
      <c r="BAF38" s="57"/>
      <c r="BAG38" s="57"/>
      <c r="BAH38" s="57"/>
      <c r="BAI38" s="57"/>
      <c r="BAJ38" s="57"/>
      <c r="BAK38" s="56"/>
      <c r="BAL38" s="57"/>
      <c r="BAM38" s="57"/>
      <c r="BAN38" s="56"/>
      <c r="BAO38" s="57"/>
      <c r="BAP38" s="58"/>
      <c r="BAQ38" s="56"/>
      <c r="BAR38" s="57"/>
      <c r="BAS38" s="57"/>
      <c r="BAT38" s="57"/>
      <c r="BAU38" s="56"/>
      <c r="BAV38" s="57"/>
      <c r="BAW38" s="57"/>
      <c r="BAX38" s="56"/>
      <c r="BAY38" s="57"/>
      <c r="BAZ38" s="58"/>
      <c r="BBA38" s="56"/>
      <c r="BBB38" s="57"/>
      <c r="BBC38" s="57"/>
      <c r="BBD38" s="57"/>
      <c r="BBE38" s="56"/>
      <c r="BBF38" s="57"/>
      <c r="BBG38" s="57"/>
      <c r="BBH38" s="57"/>
      <c r="BBI38" s="57"/>
      <c r="BBJ38" s="57"/>
      <c r="BBK38" s="56"/>
      <c r="BBL38" s="57"/>
      <c r="BBM38" s="57"/>
      <c r="BBN38" s="56"/>
      <c r="BBO38" s="57"/>
      <c r="BBP38" s="58"/>
      <c r="BBQ38" s="56"/>
      <c r="BBR38" s="57"/>
      <c r="BBS38" s="57"/>
      <c r="BBT38" s="57"/>
      <c r="BBU38" s="56"/>
      <c r="BBV38" s="57"/>
      <c r="BBW38" s="57"/>
      <c r="BBX38" s="56"/>
      <c r="BBY38" s="57"/>
      <c r="BBZ38" s="58"/>
      <c r="BCA38" s="56"/>
      <c r="BCB38" s="57"/>
      <c r="BCC38" s="57"/>
      <c r="BCD38" s="57"/>
      <c r="BCE38" s="56"/>
      <c r="BCF38" s="57"/>
      <c r="BCG38" s="57"/>
      <c r="BCH38" s="57"/>
      <c r="BCI38" s="57"/>
      <c r="BCJ38" s="57"/>
      <c r="BCK38" s="56"/>
      <c r="BCL38" s="57"/>
      <c r="BCM38" s="57"/>
      <c r="BCN38" s="56"/>
      <c r="BCO38" s="57"/>
      <c r="BCP38" s="58"/>
      <c r="BCQ38" s="56"/>
      <c r="BCR38" s="57"/>
      <c r="BCS38" s="57"/>
      <c r="BCT38" s="57"/>
      <c r="BCU38" s="56"/>
      <c r="BCV38" s="57"/>
      <c r="BCW38" s="57"/>
      <c r="BCX38" s="56"/>
      <c r="BCY38" s="57"/>
      <c r="BCZ38" s="58"/>
      <c r="BDA38" s="56"/>
      <c r="BDB38" s="57"/>
      <c r="BDC38" s="57"/>
      <c r="BDD38" s="57"/>
      <c r="BDE38" s="56"/>
      <c r="BDF38" s="57"/>
      <c r="BDG38" s="57"/>
      <c r="BDH38" s="57"/>
      <c r="BDI38" s="57"/>
      <c r="BDJ38" s="57"/>
      <c r="BDK38" s="56"/>
      <c r="BDL38" s="57"/>
      <c r="BDM38" s="57"/>
      <c r="BDN38" s="56"/>
      <c r="BDO38" s="57"/>
      <c r="BDP38" s="58"/>
      <c r="BDQ38" s="56"/>
      <c r="BDR38" s="57"/>
      <c r="BDS38" s="57"/>
      <c r="BDT38" s="57"/>
      <c r="BDU38" s="56"/>
      <c r="BDV38" s="57"/>
      <c r="BDW38" s="57"/>
      <c r="BDX38" s="56"/>
      <c r="BDY38" s="57"/>
      <c r="BDZ38" s="58"/>
      <c r="BEA38" s="56"/>
      <c r="BEB38" s="57"/>
      <c r="BEC38" s="57"/>
      <c r="BED38" s="57"/>
      <c r="BEE38" s="56"/>
      <c r="BEF38" s="57"/>
      <c r="BEG38" s="57"/>
      <c r="BEH38" s="57"/>
      <c r="BEI38" s="57"/>
      <c r="BEJ38" s="57"/>
      <c r="BEK38" s="56"/>
      <c r="BEL38" s="57"/>
      <c r="BEM38" s="57"/>
      <c r="BEN38" s="56"/>
      <c r="BEO38" s="57"/>
      <c r="BEP38" s="58"/>
      <c r="BEQ38" s="56"/>
      <c r="BER38" s="57"/>
      <c r="BES38" s="57"/>
      <c r="BET38" s="57"/>
      <c r="BEU38" s="56"/>
      <c r="BEV38" s="57"/>
      <c r="BEW38" s="57"/>
      <c r="BEX38" s="56"/>
      <c r="BEY38" s="57"/>
      <c r="BEZ38" s="58"/>
      <c r="BFA38" s="56"/>
      <c r="BFB38" s="57"/>
      <c r="BFC38" s="57"/>
      <c r="BFD38" s="57"/>
      <c r="BFE38" s="56"/>
      <c r="BFF38" s="57"/>
      <c r="BFG38" s="57"/>
      <c r="BFH38" s="57"/>
      <c r="BFI38" s="57"/>
      <c r="BFJ38" s="57"/>
      <c r="BFK38" s="56"/>
      <c r="BFL38" s="57"/>
      <c r="BFM38" s="57"/>
      <c r="BFN38" s="56"/>
      <c r="BFO38" s="57"/>
      <c r="BFP38" s="58"/>
      <c r="BFQ38" s="56"/>
      <c r="BFR38" s="57"/>
      <c r="BFS38" s="57"/>
      <c r="BFT38" s="57"/>
      <c r="BFU38" s="56"/>
      <c r="BFV38" s="57"/>
      <c r="BFW38" s="57"/>
      <c r="BFX38" s="56"/>
      <c r="BFY38" s="57"/>
      <c r="BFZ38" s="58"/>
      <c r="BGA38" s="56"/>
      <c r="BGB38" s="57"/>
      <c r="BGC38" s="57"/>
      <c r="BGD38" s="57"/>
      <c r="BGE38" s="56"/>
      <c r="BGF38" s="57"/>
      <c r="BGG38" s="57"/>
      <c r="BGH38" s="57"/>
      <c r="BGI38" s="57"/>
      <c r="BGJ38" s="57"/>
      <c r="BGK38" s="56"/>
      <c r="BGL38" s="57"/>
      <c r="BGM38" s="57"/>
      <c r="BGN38" s="56"/>
      <c r="BGO38" s="57"/>
      <c r="BGP38" s="58"/>
      <c r="BGQ38" s="56"/>
      <c r="BGR38" s="57"/>
      <c r="BGS38" s="57"/>
      <c r="BGT38" s="57"/>
      <c r="BGU38" s="56"/>
      <c r="BGV38" s="57"/>
      <c r="BGW38" s="57"/>
      <c r="BGX38" s="56"/>
      <c r="BGY38" s="57"/>
      <c r="BGZ38" s="58"/>
      <c r="BHA38" s="56"/>
      <c r="BHB38" s="57"/>
      <c r="BHC38" s="57"/>
      <c r="BHD38" s="57"/>
      <c r="BHE38" s="56"/>
      <c r="BHF38" s="57"/>
      <c r="BHG38" s="57"/>
      <c r="BHH38" s="57"/>
      <c r="BHI38" s="57"/>
      <c r="BHJ38" s="57"/>
      <c r="BHK38" s="56"/>
      <c r="BHL38" s="57"/>
      <c r="BHM38" s="57"/>
      <c r="BHN38" s="56"/>
      <c r="BHO38" s="57"/>
      <c r="BHP38" s="58"/>
      <c r="BHQ38" s="56"/>
      <c r="BHR38" s="57"/>
      <c r="BHS38" s="57"/>
      <c r="BHT38" s="57"/>
      <c r="BHU38" s="56"/>
      <c r="BHV38" s="57"/>
      <c r="BHW38" s="57"/>
      <c r="BHX38" s="56"/>
      <c r="BHY38" s="57"/>
      <c r="BHZ38" s="58"/>
      <c r="BIA38" s="56"/>
      <c r="BIB38" s="57"/>
      <c r="BIC38" s="57"/>
      <c r="BID38" s="57"/>
      <c r="BIE38" s="56"/>
      <c r="BIF38" s="57"/>
      <c r="BIG38" s="57"/>
      <c r="BIH38" s="57"/>
      <c r="BII38" s="57"/>
      <c r="BIJ38" s="57"/>
      <c r="BIK38" s="56"/>
      <c r="BIL38" s="57"/>
      <c r="BIM38" s="57"/>
      <c r="BIN38" s="56"/>
      <c r="BIO38" s="57"/>
      <c r="BIP38" s="58"/>
      <c r="BIQ38" s="56"/>
      <c r="BIR38" s="57"/>
      <c r="BIS38" s="57"/>
      <c r="BIT38" s="57"/>
      <c r="BIU38" s="56"/>
      <c r="BIV38" s="57"/>
      <c r="BIW38" s="57"/>
      <c r="BIX38" s="56"/>
      <c r="BIY38" s="57"/>
      <c r="BIZ38" s="58"/>
      <c r="BJA38" s="56"/>
      <c r="BJB38" s="57"/>
      <c r="BJC38" s="57"/>
      <c r="BJD38" s="57"/>
      <c r="BJE38" s="56"/>
      <c r="BJF38" s="57"/>
      <c r="BJG38" s="57"/>
      <c r="BJH38" s="57"/>
      <c r="BJI38" s="57"/>
      <c r="BJJ38" s="57"/>
      <c r="BJK38" s="56"/>
      <c r="BJL38" s="57"/>
      <c r="BJM38" s="57"/>
      <c r="BJN38" s="56"/>
      <c r="BJO38" s="57"/>
      <c r="BJP38" s="58"/>
      <c r="BJQ38" s="56"/>
      <c r="BJR38" s="57"/>
      <c r="BJS38" s="57"/>
      <c r="BJT38" s="57"/>
      <c r="BJU38" s="56"/>
      <c r="BJV38" s="57"/>
      <c r="BJW38" s="57"/>
      <c r="BJX38" s="56"/>
      <c r="BJY38" s="57"/>
      <c r="BJZ38" s="58"/>
      <c r="BKA38" s="56"/>
      <c r="BKB38" s="57"/>
      <c r="BKC38" s="57"/>
      <c r="BKD38" s="57"/>
      <c r="BKE38" s="56"/>
      <c r="BKF38" s="57"/>
      <c r="BKG38" s="57"/>
      <c r="BKH38" s="57"/>
      <c r="BKI38" s="57"/>
      <c r="BKJ38" s="57"/>
      <c r="BKK38" s="56"/>
      <c r="BKL38" s="57"/>
      <c r="BKM38" s="57"/>
      <c r="BKN38" s="56"/>
      <c r="BKO38" s="57"/>
      <c r="BKP38" s="58"/>
      <c r="BKQ38" s="56"/>
      <c r="BKR38" s="57"/>
      <c r="BKS38" s="57"/>
      <c r="BKT38" s="57"/>
      <c r="BKU38" s="56"/>
      <c r="BKV38" s="57"/>
      <c r="BKW38" s="57"/>
      <c r="BKX38" s="56"/>
      <c r="BKY38" s="57"/>
      <c r="BKZ38" s="58"/>
      <c r="BLA38" s="56"/>
      <c r="BLB38" s="57"/>
      <c r="BLC38" s="57"/>
      <c r="BLD38" s="57"/>
      <c r="BLE38" s="56"/>
      <c r="BLF38" s="57"/>
      <c r="BLG38" s="57"/>
      <c r="BLH38" s="57"/>
      <c r="BLI38" s="57"/>
      <c r="BLJ38" s="57"/>
      <c r="BLK38" s="56"/>
      <c r="BLL38" s="57"/>
      <c r="BLM38" s="57"/>
      <c r="BLN38" s="56"/>
      <c r="BLO38" s="57"/>
      <c r="BLP38" s="58"/>
      <c r="BLQ38" s="56"/>
      <c r="BLR38" s="57"/>
      <c r="BLS38" s="57"/>
      <c r="BLT38" s="57"/>
      <c r="BLU38" s="56"/>
      <c r="BLV38" s="57"/>
      <c r="BLW38" s="57"/>
      <c r="BLX38" s="56"/>
      <c r="BLY38" s="57"/>
      <c r="BLZ38" s="58"/>
      <c r="BMA38" s="56"/>
      <c r="BMB38" s="57"/>
      <c r="BMC38" s="57"/>
      <c r="BMD38" s="57"/>
      <c r="BME38" s="56"/>
      <c r="BMF38" s="57"/>
      <c r="BMG38" s="57"/>
      <c r="BMH38" s="57"/>
      <c r="BMI38" s="57"/>
      <c r="BMJ38" s="57"/>
      <c r="BMK38" s="56"/>
      <c r="BML38" s="57"/>
      <c r="BMM38" s="57"/>
      <c r="BMN38" s="56"/>
      <c r="BMO38" s="57"/>
      <c r="BMP38" s="58"/>
      <c r="BMQ38" s="56"/>
      <c r="BMR38" s="57"/>
      <c r="BMS38" s="57"/>
      <c r="BMT38" s="57"/>
      <c r="BMU38" s="56"/>
      <c r="BMV38" s="57"/>
      <c r="BMW38" s="57"/>
      <c r="BMX38" s="56"/>
      <c r="BMY38" s="57"/>
      <c r="BMZ38" s="58"/>
      <c r="BNA38" s="56"/>
      <c r="BNB38" s="57"/>
      <c r="BNC38" s="57"/>
      <c r="BND38" s="57"/>
      <c r="BNE38" s="56"/>
      <c r="BNF38" s="57"/>
      <c r="BNG38" s="57"/>
      <c r="BNH38" s="57"/>
      <c r="BNI38" s="57"/>
      <c r="BNJ38" s="57"/>
      <c r="BNK38" s="56"/>
      <c r="BNL38" s="57"/>
      <c r="BNM38" s="57"/>
      <c r="BNN38" s="56"/>
      <c r="BNO38" s="57"/>
      <c r="BNP38" s="58"/>
      <c r="BNQ38" s="56"/>
      <c r="BNR38" s="57"/>
      <c r="BNS38" s="57"/>
      <c r="BNT38" s="57"/>
      <c r="BNU38" s="56"/>
      <c r="BNV38" s="57"/>
      <c r="BNW38" s="57"/>
      <c r="BNX38" s="56"/>
      <c r="BNY38" s="57"/>
      <c r="BNZ38" s="58"/>
      <c r="BOA38" s="56"/>
      <c r="BOB38" s="57"/>
      <c r="BOC38" s="57"/>
      <c r="BOD38" s="57"/>
      <c r="BOE38" s="56"/>
      <c r="BOF38" s="57"/>
      <c r="BOG38" s="57"/>
      <c r="BOH38" s="57"/>
      <c r="BOI38" s="57"/>
      <c r="BOJ38" s="57"/>
      <c r="BOK38" s="56"/>
      <c r="BOL38" s="57"/>
      <c r="BOM38" s="57"/>
      <c r="BON38" s="56"/>
      <c r="BOO38" s="57"/>
      <c r="BOP38" s="58"/>
      <c r="BOQ38" s="56"/>
      <c r="BOR38" s="57"/>
      <c r="BOS38" s="57"/>
      <c r="BOT38" s="57"/>
      <c r="BOU38" s="56"/>
      <c r="BOV38" s="57"/>
      <c r="BOW38" s="57"/>
      <c r="BOX38" s="56"/>
      <c r="BOY38" s="57"/>
      <c r="BOZ38" s="58"/>
      <c r="BPA38" s="56"/>
      <c r="BPB38" s="57"/>
      <c r="BPC38" s="57"/>
      <c r="BPD38" s="57"/>
      <c r="BPE38" s="56"/>
      <c r="BPF38" s="57"/>
      <c r="BPG38" s="57"/>
      <c r="BPH38" s="57"/>
      <c r="BPI38" s="57"/>
      <c r="BPJ38" s="57"/>
      <c r="BPK38" s="56"/>
      <c r="BPL38" s="57"/>
      <c r="BPM38" s="57"/>
      <c r="BPN38" s="56"/>
      <c r="BPO38" s="57"/>
      <c r="BPP38" s="58"/>
      <c r="BPQ38" s="56"/>
      <c r="BPR38" s="57"/>
      <c r="BPS38" s="57"/>
      <c r="BPT38" s="57"/>
      <c r="BPU38" s="56"/>
      <c r="BPV38" s="57"/>
      <c r="BPW38" s="57"/>
      <c r="BPX38" s="56"/>
      <c r="BPY38" s="57"/>
      <c r="BPZ38" s="58"/>
      <c r="BQA38" s="56"/>
      <c r="BQB38" s="57"/>
      <c r="BQC38" s="57"/>
      <c r="BQD38" s="57"/>
      <c r="BQE38" s="56"/>
      <c r="BQF38" s="57"/>
      <c r="BQG38" s="57"/>
      <c r="BQH38" s="57"/>
      <c r="BQI38" s="57"/>
      <c r="BQJ38" s="57"/>
      <c r="BQK38" s="56"/>
      <c r="BQL38" s="57"/>
      <c r="BQM38" s="57"/>
      <c r="BQN38" s="56"/>
      <c r="BQO38" s="57"/>
      <c r="BQP38" s="58"/>
      <c r="BQQ38" s="56"/>
      <c r="BQR38" s="57"/>
      <c r="BQS38" s="57"/>
      <c r="BQT38" s="57"/>
      <c r="BQU38" s="56"/>
      <c r="BQV38" s="57"/>
      <c r="BQW38" s="57"/>
      <c r="BQX38" s="56"/>
      <c r="BQY38" s="57"/>
      <c r="BQZ38" s="58"/>
      <c r="BRA38" s="56"/>
      <c r="BRB38" s="57"/>
      <c r="BRC38" s="57"/>
      <c r="BRD38" s="57"/>
      <c r="BRE38" s="56"/>
      <c r="BRF38" s="57"/>
      <c r="BRG38" s="57"/>
      <c r="BRH38" s="57"/>
      <c r="BRI38" s="57"/>
      <c r="BRJ38" s="57"/>
      <c r="BRK38" s="56"/>
      <c r="BRL38" s="57"/>
      <c r="BRM38" s="57"/>
      <c r="BRN38" s="56"/>
      <c r="BRO38" s="57"/>
      <c r="BRP38" s="58"/>
      <c r="BRQ38" s="56"/>
      <c r="BRR38" s="57"/>
      <c r="BRS38" s="57"/>
      <c r="BRT38" s="57"/>
      <c r="BRU38" s="56"/>
      <c r="BRV38" s="57"/>
      <c r="BRW38" s="57"/>
      <c r="BRX38" s="56"/>
      <c r="BRY38" s="57"/>
      <c r="BRZ38" s="58"/>
      <c r="BSA38" s="56"/>
      <c r="BSB38" s="57"/>
      <c r="BSC38" s="57"/>
      <c r="BSD38" s="57"/>
      <c r="BSE38" s="56"/>
      <c r="BSF38" s="57"/>
      <c r="BSG38" s="57"/>
      <c r="BSH38" s="57"/>
      <c r="BSI38" s="57"/>
      <c r="BSJ38" s="57"/>
      <c r="BSK38" s="56"/>
      <c r="BSL38" s="57"/>
      <c r="BSM38" s="57"/>
      <c r="BSN38" s="56"/>
      <c r="BSO38" s="57"/>
      <c r="BSP38" s="58"/>
      <c r="BSQ38" s="56"/>
      <c r="BSR38" s="57"/>
      <c r="BSS38" s="57"/>
      <c r="BST38" s="57"/>
      <c r="BSU38" s="56"/>
      <c r="BSV38" s="57"/>
      <c r="BSW38" s="57"/>
      <c r="BSX38" s="56"/>
      <c r="BSY38" s="57"/>
      <c r="BSZ38" s="58"/>
      <c r="BTA38" s="56"/>
      <c r="BTB38" s="57"/>
      <c r="BTC38" s="57"/>
      <c r="BTD38" s="57"/>
      <c r="BTE38" s="56"/>
      <c r="BTF38" s="57"/>
      <c r="BTG38" s="57"/>
      <c r="BTH38" s="57"/>
      <c r="BTI38" s="57"/>
      <c r="BTJ38" s="57"/>
      <c r="BTK38" s="56"/>
      <c r="BTL38" s="57"/>
      <c r="BTM38" s="57"/>
      <c r="BTN38" s="56"/>
      <c r="BTO38" s="57"/>
      <c r="BTP38" s="58"/>
      <c r="BTQ38" s="56"/>
      <c r="BTR38" s="57"/>
      <c r="BTS38" s="57"/>
      <c r="BTT38" s="57"/>
      <c r="BTU38" s="56"/>
      <c r="BTV38" s="57"/>
      <c r="BTW38" s="57"/>
      <c r="BTX38" s="56"/>
      <c r="BTY38" s="57"/>
      <c r="BTZ38" s="58"/>
      <c r="BUA38" s="56"/>
      <c r="BUB38" s="57"/>
      <c r="BUC38" s="57"/>
      <c r="BUD38" s="57"/>
      <c r="BUE38" s="56"/>
      <c r="BUF38" s="57"/>
      <c r="BUG38" s="57"/>
      <c r="BUH38" s="57"/>
      <c r="BUI38" s="57"/>
      <c r="BUJ38" s="57"/>
      <c r="BUK38" s="56"/>
      <c r="BUL38" s="57"/>
      <c r="BUM38" s="57"/>
      <c r="BUN38" s="56"/>
      <c r="BUO38" s="57"/>
      <c r="BUP38" s="58"/>
      <c r="BUQ38" s="56"/>
      <c r="BUR38" s="57"/>
      <c r="BUS38" s="57"/>
      <c r="BUT38" s="57"/>
      <c r="BUU38" s="56"/>
      <c r="BUV38" s="57"/>
      <c r="BUW38" s="57"/>
      <c r="BUX38" s="56"/>
      <c r="BUY38" s="57"/>
      <c r="BUZ38" s="58"/>
      <c r="BVA38" s="56"/>
      <c r="BVB38" s="57"/>
      <c r="BVC38" s="57"/>
      <c r="BVD38" s="57"/>
      <c r="BVE38" s="56"/>
      <c r="BVF38" s="57"/>
      <c r="BVG38" s="57"/>
      <c r="BVH38" s="57"/>
      <c r="BVI38" s="57"/>
      <c r="BVJ38" s="57"/>
      <c r="BVK38" s="56"/>
      <c r="BVL38" s="57"/>
      <c r="BVM38" s="57"/>
      <c r="BVN38" s="56"/>
      <c r="BVO38" s="57"/>
      <c r="BVP38" s="58"/>
      <c r="BVQ38" s="56"/>
      <c r="BVR38" s="57"/>
      <c r="BVS38" s="57"/>
      <c r="BVT38" s="57"/>
      <c r="BVU38" s="56"/>
      <c r="BVV38" s="57"/>
      <c r="BVW38" s="57"/>
      <c r="BVX38" s="56"/>
      <c r="BVY38" s="57"/>
      <c r="BVZ38" s="58"/>
      <c r="BWA38" s="56"/>
      <c r="BWB38" s="57"/>
      <c r="BWC38" s="57"/>
      <c r="BWD38" s="57"/>
      <c r="BWE38" s="56"/>
      <c r="BWF38" s="57"/>
      <c r="BWG38" s="57"/>
      <c r="BWH38" s="57"/>
      <c r="BWI38" s="57"/>
      <c r="BWJ38" s="57"/>
      <c r="BWK38" s="56"/>
      <c r="BWL38" s="57"/>
      <c r="BWM38" s="57"/>
      <c r="BWN38" s="56"/>
      <c r="BWO38" s="57"/>
      <c r="BWP38" s="58"/>
      <c r="BWQ38" s="56"/>
      <c r="BWR38" s="57"/>
      <c r="BWS38" s="57"/>
      <c r="BWT38" s="57"/>
      <c r="BWU38" s="56"/>
      <c r="BWV38" s="57"/>
      <c r="BWW38" s="57"/>
      <c r="BWX38" s="56"/>
      <c r="BWY38" s="57"/>
      <c r="BWZ38" s="58"/>
      <c r="BXA38" s="56"/>
      <c r="BXB38" s="57"/>
      <c r="BXC38" s="57"/>
      <c r="BXD38" s="57"/>
      <c r="BXE38" s="56"/>
      <c r="BXF38" s="57"/>
      <c r="BXG38" s="57"/>
      <c r="BXH38" s="57"/>
      <c r="BXI38" s="57"/>
      <c r="BXJ38" s="57"/>
      <c r="BXK38" s="56"/>
      <c r="BXL38" s="57"/>
      <c r="BXM38" s="57"/>
      <c r="BXN38" s="56"/>
      <c r="BXO38" s="57"/>
      <c r="BXP38" s="58"/>
      <c r="BXQ38" s="56"/>
      <c r="BXR38" s="57"/>
      <c r="BXS38" s="57"/>
      <c r="BXT38" s="57"/>
      <c r="BXU38" s="56"/>
      <c r="BXV38" s="57"/>
      <c r="BXW38" s="57"/>
      <c r="BXX38" s="56"/>
      <c r="BXY38" s="57"/>
      <c r="BXZ38" s="58"/>
      <c r="BYA38" s="56"/>
      <c r="BYB38" s="57"/>
      <c r="BYC38" s="57"/>
      <c r="BYD38" s="57"/>
      <c r="BYE38" s="56"/>
      <c r="BYF38" s="57"/>
      <c r="BYG38" s="57"/>
      <c r="BYH38" s="57"/>
      <c r="BYI38" s="57"/>
      <c r="BYJ38" s="57"/>
      <c r="BYK38" s="56"/>
      <c r="BYL38" s="57"/>
      <c r="BYM38" s="57"/>
      <c r="BYN38" s="56"/>
      <c r="BYO38" s="57"/>
      <c r="BYP38" s="58"/>
      <c r="BYQ38" s="56"/>
      <c r="BYR38" s="57"/>
      <c r="BYS38" s="57"/>
      <c r="BYT38" s="57"/>
      <c r="BYU38" s="56"/>
      <c r="BYV38" s="57"/>
      <c r="BYW38" s="57"/>
      <c r="BYX38" s="58"/>
      <c r="BYY38" s="57"/>
      <c r="BYZ38" s="56"/>
      <c r="BZA38" s="57"/>
      <c r="BZB38" s="56"/>
      <c r="BZC38" s="56"/>
      <c r="BZD38" s="56"/>
      <c r="BZE38" s="57"/>
      <c r="BZF38" s="57"/>
      <c r="BZG38" s="57"/>
      <c r="BZH38" s="57"/>
      <c r="BZI38" s="57"/>
      <c r="BZJ38" s="57"/>
      <c r="BZK38" s="57"/>
      <c r="BZL38" s="57"/>
      <c r="BZM38" s="57"/>
      <c r="BZN38" s="57"/>
      <c r="BZO38" s="57"/>
      <c r="BZP38" s="57"/>
      <c r="BZQ38" s="57"/>
      <c r="BZR38" s="57"/>
      <c r="BZS38" s="57"/>
      <c r="BZT38" s="57"/>
      <c r="BZU38" s="57"/>
      <c r="BZV38" s="57"/>
      <c r="BZW38" s="57"/>
      <c r="BZX38" s="57"/>
      <c r="BZY38" s="57"/>
      <c r="BZZ38" s="57"/>
      <c r="CAA38" s="57"/>
      <c r="CAB38" s="57"/>
      <c r="CAC38" s="57"/>
      <c r="CAD38" s="57"/>
      <c r="CAE38" s="57"/>
      <c r="CAF38" s="57"/>
      <c r="CAG38" s="57"/>
      <c r="CAH38" s="57"/>
      <c r="CAI38" s="57"/>
      <c r="CAJ38" s="57"/>
      <c r="CAK38" s="57"/>
      <c r="CAL38" s="57"/>
      <c r="CAM38" s="57"/>
      <c r="CAN38" s="57"/>
      <c r="CAO38" s="57"/>
      <c r="CAP38" s="58"/>
      <c r="CAQ38" s="56"/>
      <c r="CAR38" s="57"/>
      <c r="CAS38" s="57"/>
      <c r="CAT38" s="57"/>
      <c r="CAU38" s="57"/>
      <c r="CAV38" s="57"/>
      <c r="CAW38" s="56"/>
      <c r="CAX38" s="57"/>
      <c r="CAY38" s="57"/>
      <c r="CAZ38" s="56"/>
      <c r="CBA38" s="57"/>
      <c r="CBB38" s="58"/>
      <c r="CBC38" s="56"/>
      <c r="CBD38" s="57"/>
      <c r="CBE38" s="57"/>
      <c r="CBF38" s="57"/>
      <c r="CBG38" s="56"/>
      <c r="CBH38" s="57"/>
      <c r="CBI38" s="57"/>
      <c r="CBJ38" s="56"/>
      <c r="CBK38" s="57"/>
      <c r="CBL38" s="58"/>
      <c r="CBM38" s="56"/>
      <c r="CBN38" s="57"/>
      <c r="CBO38" s="57"/>
      <c r="CBP38" s="57"/>
      <c r="CBQ38" s="56"/>
      <c r="CBR38" s="57"/>
      <c r="CBS38" s="57"/>
      <c r="CBT38" s="56"/>
      <c r="CBU38" s="57"/>
      <c r="CBV38" s="58"/>
      <c r="CBW38" s="56"/>
      <c r="CBX38" s="57"/>
      <c r="CBY38" s="57"/>
      <c r="CBZ38" s="57"/>
      <c r="CCA38" s="56"/>
      <c r="CCB38" s="57"/>
      <c r="CCC38" s="57"/>
      <c r="CCD38" s="56"/>
      <c r="CCE38" s="57"/>
      <c r="CCF38" s="58"/>
      <c r="CCG38" s="56"/>
      <c r="CCH38" s="58"/>
      <c r="CCI38" s="57"/>
      <c r="CCJ38" s="56"/>
      <c r="CCK38" s="57"/>
      <c r="CCL38" s="56"/>
      <c r="CCM38" s="56"/>
      <c r="CCN38" s="56"/>
      <c r="CCO38" s="57"/>
      <c r="CCP38" s="57"/>
      <c r="CCQ38" s="57"/>
      <c r="CCR38" s="57"/>
      <c r="CCS38" s="57"/>
      <c r="CCT38" s="57"/>
      <c r="CCU38" s="57"/>
      <c r="CCV38" s="57"/>
      <c r="CCW38" s="57"/>
      <c r="CCX38" s="57"/>
      <c r="CCY38" s="57"/>
      <c r="CCZ38" s="57"/>
      <c r="CDA38" s="57"/>
      <c r="CDB38" s="57"/>
      <c r="CDC38" s="57"/>
      <c r="CDD38" s="57"/>
      <c r="CDE38" s="57"/>
      <c r="CDF38" s="57"/>
      <c r="CDG38" s="57"/>
      <c r="CDH38" s="57"/>
      <c r="CDI38" s="57"/>
      <c r="CDJ38" s="57"/>
      <c r="CDK38" s="57"/>
      <c r="CDL38" s="57"/>
      <c r="CDM38" s="57"/>
      <c r="CDN38" s="57"/>
      <c r="CDO38" s="57"/>
      <c r="CDP38" s="57"/>
      <c r="CDQ38" s="57"/>
      <c r="CDR38" s="57"/>
      <c r="CDS38" s="57"/>
      <c r="CDT38" s="57"/>
      <c r="CDU38" s="57"/>
      <c r="CDV38" s="57"/>
      <c r="CDW38" s="57"/>
      <c r="CDX38" s="57"/>
      <c r="CDY38" s="57"/>
      <c r="CDZ38" s="58"/>
      <c r="CEA38" s="56"/>
      <c r="CEB38" s="57"/>
      <c r="CEC38" s="57"/>
      <c r="CED38" s="57"/>
      <c r="CEE38" s="57"/>
      <c r="CEF38" s="57"/>
      <c r="CEG38" s="56"/>
      <c r="CEH38" s="57"/>
      <c r="CEI38" s="57"/>
      <c r="CEJ38" s="56"/>
      <c r="CEK38" s="57"/>
      <c r="CEL38" s="58"/>
      <c r="CEM38" s="56"/>
      <c r="CEN38" s="57"/>
      <c r="CEO38" s="57"/>
      <c r="CEP38" s="57"/>
      <c r="CEQ38" s="56"/>
      <c r="CER38" s="57"/>
      <c r="CES38" s="57"/>
      <c r="CET38" s="56"/>
      <c r="CEU38" s="57"/>
      <c r="CEV38" s="58"/>
      <c r="CEW38" s="56"/>
      <c r="CEX38" s="57"/>
      <c r="CEY38" s="57"/>
      <c r="CEZ38" s="57"/>
      <c r="CFA38" s="56"/>
      <c r="CFB38" s="57"/>
      <c r="CFC38" s="57"/>
      <c r="CFD38" s="56"/>
      <c r="CFE38" s="57"/>
      <c r="CFF38" s="58"/>
      <c r="CFG38" s="56"/>
      <c r="CFH38" s="57"/>
      <c r="CFI38" s="57"/>
      <c r="CFJ38" s="57"/>
      <c r="CFK38" s="56"/>
      <c r="CFL38" s="57"/>
      <c r="CFM38" s="57"/>
      <c r="CFN38" s="56"/>
      <c r="CFO38" s="57"/>
      <c r="CFP38" s="58"/>
      <c r="CFQ38" s="56"/>
      <c r="CFR38" s="58"/>
      <c r="CFS38" s="57"/>
      <c r="CFT38" s="56"/>
      <c r="CFU38" s="57"/>
      <c r="CFV38" s="56"/>
      <c r="CFW38" s="56"/>
      <c r="CFX38" s="56"/>
      <c r="CFY38" s="57"/>
      <c r="CFZ38" s="57"/>
      <c r="CGA38" s="57"/>
      <c r="CGB38" s="57"/>
      <c r="CGC38" s="57"/>
      <c r="CGD38" s="57"/>
      <c r="CGE38" s="57"/>
      <c r="CGF38" s="57"/>
      <c r="CGG38" s="57"/>
      <c r="CGH38" s="57"/>
      <c r="CGI38" s="57"/>
      <c r="CGJ38" s="57"/>
      <c r="CGK38" s="57"/>
      <c r="CGL38" s="57"/>
      <c r="CGM38" s="57"/>
      <c r="CGN38" s="57"/>
      <c r="CGO38" s="57"/>
      <c r="CGP38" s="57"/>
      <c r="CGQ38" s="57"/>
      <c r="CGR38" s="57"/>
      <c r="CGS38" s="57"/>
      <c r="CGT38" s="57"/>
      <c r="CGU38" s="57"/>
      <c r="CGV38" s="57"/>
      <c r="CGW38" s="57"/>
      <c r="CGX38" s="57"/>
      <c r="CGY38" s="57"/>
      <c r="CGZ38" s="57"/>
      <c r="CHA38" s="57"/>
      <c r="CHB38" s="57"/>
      <c r="CHC38" s="57"/>
      <c r="CHD38" s="57"/>
      <c r="CHE38" s="57"/>
      <c r="CHF38" s="57"/>
      <c r="CHG38" s="57"/>
      <c r="CHH38" s="57"/>
      <c r="CHI38" s="57"/>
      <c r="CHJ38" s="58"/>
      <c r="CHK38" s="56"/>
      <c r="CHL38" s="57"/>
      <c r="CHM38" s="57"/>
      <c r="CHN38" s="57"/>
      <c r="CHO38" s="57"/>
      <c r="CHP38" s="57"/>
      <c r="CHQ38" s="56"/>
      <c r="CHR38" s="57"/>
      <c r="CHS38" s="57"/>
      <c r="CHT38" s="56"/>
      <c r="CHU38" s="57"/>
      <c r="CHV38" s="58"/>
      <c r="CHW38" s="56"/>
      <c r="CHX38" s="57"/>
      <c r="CHY38" s="57"/>
      <c r="CHZ38" s="57"/>
      <c r="CIA38" s="56"/>
      <c r="CIB38" s="57"/>
      <c r="CIC38" s="57"/>
      <c r="CID38" s="56"/>
      <c r="CIE38" s="57"/>
      <c r="CIF38" s="58"/>
      <c r="CIG38" s="56"/>
      <c r="CIH38" s="57"/>
      <c r="CII38" s="57"/>
      <c r="CIJ38" s="57"/>
      <c r="CIK38" s="56"/>
      <c r="CIL38" s="57"/>
      <c r="CIM38" s="57"/>
      <c r="CIN38" s="56"/>
      <c r="CIO38" s="57"/>
      <c r="CIP38" s="58"/>
      <c r="CIQ38" s="56"/>
      <c r="CIR38" s="57"/>
      <c r="CIS38" s="57"/>
      <c r="CIT38" s="57"/>
      <c r="CIU38" s="56"/>
      <c r="CIV38" s="57"/>
      <c r="CIW38" s="57"/>
      <c r="CIX38" s="56"/>
      <c r="CIY38" s="57"/>
      <c r="CIZ38" s="58"/>
      <c r="CJA38" s="56"/>
      <c r="CJB38" s="58"/>
      <c r="CJC38" s="57"/>
      <c r="CJD38" s="56"/>
      <c r="CJE38" s="57"/>
      <c r="CJF38" s="56"/>
      <c r="CJG38" s="56"/>
      <c r="CJH38" s="56"/>
      <c r="CJI38" s="57"/>
      <c r="CJJ38" s="57"/>
      <c r="CJK38" s="57"/>
      <c r="CJL38" s="57"/>
      <c r="CJM38" s="57"/>
      <c r="CJN38" s="57"/>
      <c r="CJO38" s="57"/>
      <c r="CJP38" s="57"/>
      <c r="CJQ38" s="57"/>
      <c r="CJR38" s="57"/>
      <c r="CJS38" s="57"/>
      <c r="CJT38" s="57"/>
      <c r="CJU38" s="57"/>
      <c r="CJV38" s="57"/>
      <c r="CJW38" s="57"/>
      <c r="CJX38" s="57"/>
      <c r="CJY38" s="57"/>
      <c r="CJZ38" s="57"/>
      <c r="CKA38" s="57"/>
      <c r="CKB38" s="57"/>
      <c r="CKC38" s="57"/>
      <c r="CKD38" s="57"/>
      <c r="CKE38" s="57"/>
      <c r="CKF38" s="57"/>
      <c r="CKG38" s="57"/>
      <c r="CKH38" s="57"/>
      <c r="CKI38" s="57"/>
      <c r="CKJ38" s="57"/>
      <c r="CKK38" s="57"/>
      <c r="CKL38" s="57"/>
      <c r="CKM38" s="57"/>
      <c r="CKN38" s="57"/>
      <c r="CKO38" s="57"/>
      <c r="CKP38" s="57"/>
      <c r="CKQ38" s="57"/>
      <c r="CKR38" s="57"/>
      <c r="CKS38" s="57"/>
      <c r="CKT38" s="58"/>
      <c r="CKU38" s="56"/>
      <c r="CKV38" s="57"/>
      <c r="CKW38" s="57"/>
      <c r="CKX38" s="57"/>
      <c r="CKY38" s="57"/>
      <c r="CKZ38" s="57"/>
      <c r="CLA38" s="56"/>
      <c r="CLB38" s="57"/>
      <c r="CLC38" s="57"/>
      <c r="CLD38" s="56"/>
      <c r="CLE38" s="57"/>
      <c r="CLF38" s="58"/>
      <c r="CLG38" s="56"/>
      <c r="CLH38" s="57"/>
      <c r="CLI38" s="57"/>
      <c r="CLJ38" s="57"/>
      <c r="CLK38" s="56"/>
      <c r="CLL38" s="57"/>
      <c r="CLM38" s="57"/>
      <c r="CLN38" s="56"/>
      <c r="CLO38" s="57"/>
      <c r="CLP38" s="58"/>
      <c r="CLQ38" s="56"/>
      <c r="CLR38" s="57"/>
      <c r="CLS38" s="57"/>
      <c r="CLT38" s="57"/>
      <c r="CLU38" s="56"/>
      <c r="CLV38" s="57"/>
      <c r="CLW38" s="57"/>
      <c r="CLX38" s="56"/>
      <c r="CLY38" s="57"/>
      <c r="CLZ38" s="58"/>
      <c r="CMA38" s="56"/>
      <c r="CMB38" s="57"/>
      <c r="CMC38" s="57"/>
      <c r="CMD38" s="57"/>
      <c r="CME38" s="56"/>
      <c r="CMF38" s="57"/>
      <c r="CMG38" s="57"/>
      <c r="CMH38" s="56"/>
      <c r="CMI38" s="57"/>
      <c r="CMJ38" s="58"/>
      <c r="CMK38" s="56"/>
      <c r="CML38" s="58"/>
      <c r="CMM38" s="57"/>
      <c r="CMN38" s="56"/>
      <c r="CMO38" s="57"/>
      <c r="CMP38" s="56"/>
      <c r="CMQ38" s="56"/>
      <c r="CMR38" s="56"/>
      <c r="CMS38" s="57"/>
      <c r="CMT38" s="57"/>
      <c r="CMU38" s="57"/>
      <c r="CMV38" s="57"/>
      <c r="CMW38" s="57"/>
      <c r="CMX38" s="57"/>
      <c r="CMY38" s="57"/>
      <c r="CMZ38" s="57"/>
      <c r="CNA38" s="57"/>
      <c r="CNB38" s="57"/>
      <c r="CNC38" s="57"/>
      <c r="CND38" s="57"/>
      <c r="CNE38" s="57"/>
      <c r="CNF38" s="57"/>
      <c r="CNG38" s="57"/>
      <c r="CNH38" s="57"/>
      <c r="CNI38" s="57"/>
      <c r="CNJ38" s="57"/>
      <c r="CNK38" s="57"/>
      <c r="CNL38" s="57"/>
      <c r="CNM38" s="57"/>
      <c r="CNN38" s="57"/>
      <c r="CNO38" s="57"/>
      <c r="CNP38" s="57"/>
      <c r="CNQ38" s="57"/>
      <c r="CNR38" s="57"/>
      <c r="CNS38" s="57"/>
      <c r="CNT38" s="57"/>
      <c r="CNU38" s="57"/>
      <c r="CNV38" s="57"/>
      <c r="CNW38" s="57"/>
      <c r="CNX38" s="57"/>
      <c r="CNY38" s="57"/>
      <c r="CNZ38" s="57"/>
      <c r="COA38" s="57"/>
      <c r="COB38" s="57"/>
      <c r="COC38" s="57"/>
      <c r="COD38" s="58"/>
      <c r="COE38" s="56"/>
      <c r="COF38" s="57"/>
      <c r="COG38" s="57"/>
      <c r="COH38" s="57"/>
      <c r="COI38" s="57"/>
      <c r="COJ38" s="57"/>
      <c r="COK38" s="56"/>
      <c r="COL38" s="57"/>
      <c r="COM38" s="57"/>
      <c r="CON38" s="56"/>
      <c r="COO38" s="57"/>
      <c r="COP38" s="58"/>
      <c r="COQ38" s="56"/>
      <c r="COR38" s="57"/>
      <c r="COS38" s="57"/>
      <c r="COT38" s="57"/>
      <c r="COU38" s="56"/>
      <c r="COV38" s="57"/>
      <c r="COW38" s="57"/>
      <c r="COX38" s="56"/>
      <c r="COY38" s="57"/>
      <c r="COZ38" s="58"/>
      <c r="CPA38" s="56"/>
      <c r="CPB38" s="57"/>
      <c r="CPC38" s="57"/>
      <c r="CPD38" s="57"/>
      <c r="CPE38" s="56"/>
      <c r="CPF38" s="57"/>
      <c r="CPG38" s="57"/>
      <c r="CPH38" s="56"/>
      <c r="CPI38" s="57"/>
      <c r="CPJ38" s="58"/>
      <c r="CPK38" s="56"/>
      <c r="CPL38" s="57"/>
      <c r="CPM38" s="57"/>
      <c r="CPN38" s="57"/>
      <c r="CPO38" s="56"/>
      <c r="CPP38" s="57"/>
      <c r="CPQ38" s="57"/>
      <c r="CPR38" s="56"/>
      <c r="CPS38" s="57"/>
      <c r="CPT38" s="58"/>
      <c r="CPU38" s="56"/>
      <c r="CPV38" s="58"/>
      <c r="CPW38" s="57"/>
      <c r="CPX38" s="56"/>
      <c r="CPY38" s="57"/>
      <c r="CPZ38" s="56"/>
      <c r="CQA38" s="56"/>
      <c r="CQB38" s="56"/>
      <c r="CQC38" s="57"/>
      <c r="CQD38" s="57"/>
      <c r="CQE38" s="57"/>
      <c r="CQF38" s="57"/>
      <c r="CQG38" s="57"/>
      <c r="CQH38" s="57"/>
      <c r="CQI38" s="57"/>
      <c r="CQJ38" s="57"/>
      <c r="CQK38" s="57"/>
      <c r="CQL38" s="57"/>
      <c r="CQM38" s="57"/>
      <c r="CQN38" s="57"/>
      <c r="CQO38" s="57"/>
      <c r="CQP38" s="57"/>
      <c r="CQQ38" s="57"/>
      <c r="CQR38" s="57"/>
      <c r="CQS38" s="57"/>
      <c r="CQT38" s="57"/>
      <c r="CQU38" s="57"/>
      <c r="CQV38" s="57"/>
      <c r="CQW38" s="57"/>
      <c r="CQX38" s="57"/>
      <c r="CQY38" s="57"/>
      <c r="CQZ38" s="57"/>
      <c r="CRA38" s="57"/>
      <c r="CRB38" s="57"/>
      <c r="CRC38" s="57"/>
      <c r="CRD38" s="57"/>
      <c r="CRE38" s="57"/>
      <c r="CRF38" s="57"/>
      <c r="CRG38" s="57"/>
      <c r="CRH38" s="57"/>
      <c r="CRI38" s="57"/>
      <c r="CRJ38" s="57"/>
      <c r="CRK38" s="57"/>
      <c r="CRL38" s="57"/>
      <c r="CRM38" s="57"/>
      <c r="CRN38" s="58"/>
      <c r="CRO38" s="56"/>
      <c r="CRP38" s="57"/>
      <c r="CRQ38" s="57"/>
      <c r="CRR38" s="57"/>
      <c r="CRS38" s="57"/>
      <c r="CRT38" s="57"/>
      <c r="CRU38" s="56"/>
      <c r="CRV38" s="57"/>
      <c r="CRW38" s="57"/>
      <c r="CRX38" s="56"/>
      <c r="CRY38" s="57"/>
      <c r="CRZ38" s="58"/>
      <c r="CSA38" s="56"/>
      <c r="CSB38" s="57"/>
      <c r="CSC38" s="57"/>
      <c r="CSD38" s="57"/>
      <c r="CSE38" s="56"/>
      <c r="CSF38" s="57"/>
      <c r="CSG38" s="57"/>
      <c r="CSH38" s="56"/>
      <c r="CSI38" s="57"/>
      <c r="CSJ38" s="58"/>
      <c r="CSK38" s="56"/>
      <c r="CSL38" s="57"/>
      <c r="CSM38" s="57"/>
      <c r="CSN38" s="57"/>
      <c r="CSO38" s="56"/>
      <c r="CSP38" s="57"/>
      <c r="CSQ38" s="57"/>
      <c r="CSR38" s="56"/>
      <c r="CSS38" s="57"/>
      <c r="CST38" s="58"/>
      <c r="CSU38" s="56"/>
      <c r="CSV38" s="57"/>
      <c r="CSW38" s="57"/>
      <c r="CSX38" s="57"/>
      <c r="CSY38" s="56"/>
      <c r="CSZ38" s="57"/>
      <c r="CTA38" s="57"/>
      <c r="CTB38" s="56"/>
      <c r="CTC38" s="57"/>
      <c r="CTD38" s="58"/>
      <c r="CTE38" s="56"/>
      <c r="CTF38" s="58"/>
      <c r="CTG38" s="57"/>
      <c r="CTH38" s="56"/>
      <c r="CTI38" s="57"/>
      <c r="CTJ38" s="56"/>
      <c r="CTK38" s="56"/>
      <c r="CTL38" s="56"/>
      <c r="CTM38" s="57"/>
      <c r="CTN38" s="57"/>
      <c r="CTO38" s="57"/>
      <c r="CTP38" s="57"/>
      <c r="CTQ38" s="57"/>
      <c r="CTR38" s="57"/>
      <c r="CTS38" s="57"/>
      <c r="CTT38" s="57"/>
      <c r="CTU38" s="57"/>
      <c r="CTV38" s="57"/>
      <c r="CTW38" s="57"/>
      <c r="CTX38" s="57"/>
      <c r="CTY38" s="57"/>
      <c r="CTZ38" s="57"/>
      <c r="CUA38" s="57"/>
      <c r="CUB38" s="57"/>
      <c r="CUC38" s="57"/>
      <c r="CUD38" s="57"/>
      <c r="CUE38" s="57"/>
      <c r="CUF38" s="57"/>
      <c r="CUG38" s="57"/>
      <c r="CUH38" s="57"/>
      <c r="CUI38" s="57"/>
      <c r="CUJ38" s="57"/>
      <c r="CUK38" s="57"/>
      <c r="CUL38" s="57"/>
      <c r="CUM38" s="57"/>
      <c r="CUN38" s="57"/>
      <c r="CUO38" s="57"/>
      <c r="CUP38" s="57"/>
      <c r="CUQ38" s="57"/>
      <c r="CUR38" s="57"/>
      <c r="CUS38" s="57"/>
      <c r="CUT38" s="57"/>
      <c r="CUU38" s="57"/>
      <c r="CUV38" s="57"/>
      <c r="CUW38" s="57"/>
      <c r="CUX38" s="58"/>
      <c r="CUY38" s="56"/>
      <c r="CUZ38" s="57"/>
      <c r="CVA38" s="57"/>
      <c r="CVB38" s="57"/>
      <c r="CVC38" s="57"/>
      <c r="CVD38" s="57"/>
      <c r="CVE38" s="56"/>
      <c r="CVF38" s="57"/>
      <c r="CVG38" s="57"/>
      <c r="CVH38" s="56"/>
      <c r="CVI38" s="57"/>
      <c r="CVJ38" s="58"/>
      <c r="CVK38" s="56"/>
      <c r="CVL38" s="57"/>
      <c r="CVM38" s="57"/>
      <c r="CVN38" s="57"/>
      <c r="CVO38" s="56"/>
      <c r="CVP38" s="57"/>
      <c r="CVQ38" s="57"/>
      <c r="CVR38" s="56"/>
      <c r="CVS38" s="57"/>
      <c r="CVT38" s="58"/>
      <c r="CVU38" s="56"/>
      <c r="CVV38" s="57"/>
      <c r="CVW38" s="57"/>
      <c r="CVX38" s="57"/>
      <c r="CVY38" s="56"/>
      <c r="CVZ38" s="57"/>
      <c r="CWA38" s="57"/>
      <c r="CWB38" s="56"/>
      <c r="CWC38" s="57"/>
      <c r="CWD38" s="58"/>
      <c r="CWE38" s="56"/>
      <c r="CWF38" s="57"/>
      <c r="CWG38" s="57"/>
      <c r="CWH38" s="57"/>
      <c r="CWI38" s="56"/>
      <c r="CWJ38" s="57"/>
      <c r="CWK38" s="57"/>
      <c r="CWL38" s="56"/>
      <c r="CWM38" s="57"/>
      <c r="CWN38" s="58"/>
      <c r="CWO38" s="56"/>
      <c r="CWP38" s="58"/>
      <c r="CWQ38" s="57"/>
      <c r="CWR38" s="56"/>
      <c r="CWS38" s="57"/>
      <c r="CWT38" s="56"/>
      <c r="CWU38" s="56"/>
      <c r="CWV38" s="56"/>
      <c r="CWW38" s="57"/>
      <c r="CWX38" s="57"/>
      <c r="CWY38" s="57"/>
      <c r="CWZ38" s="57"/>
      <c r="CXA38" s="57"/>
      <c r="CXB38" s="57"/>
      <c r="CXC38" s="57"/>
      <c r="CXD38" s="57"/>
      <c r="CXE38" s="57"/>
      <c r="CXF38" s="57"/>
      <c r="CXG38" s="57"/>
      <c r="CXH38" s="57"/>
      <c r="CXI38" s="57"/>
      <c r="CXJ38" s="57"/>
      <c r="CXK38" s="57"/>
      <c r="CXL38" s="57"/>
      <c r="CXM38" s="57"/>
      <c r="CXN38" s="57"/>
      <c r="CXO38" s="57"/>
      <c r="CXP38" s="57"/>
      <c r="CXQ38" s="57"/>
      <c r="CXR38" s="57"/>
      <c r="CXS38" s="57"/>
      <c r="CXT38" s="57"/>
      <c r="CXU38" s="57"/>
      <c r="CXV38" s="57"/>
      <c r="CXW38" s="57"/>
      <c r="CXX38" s="57"/>
      <c r="CXY38" s="57"/>
      <c r="CXZ38" s="57"/>
      <c r="CYA38" s="57"/>
      <c r="CYB38" s="57"/>
      <c r="CYC38" s="57"/>
      <c r="CYD38" s="57"/>
      <c r="CYE38" s="57"/>
      <c r="CYF38" s="57"/>
      <c r="CYG38" s="57"/>
      <c r="CYH38" s="58"/>
      <c r="CYI38" s="56"/>
      <c r="CYJ38" s="57"/>
      <c r="CYK38" s="57"/>
      <c r="CYL38" s="57"/>
      <c r="CYM38" s="57"/>
      <c r="CYN38" s="57"/>
      <c r="CYO38" s="56"/>
      <c r="CYP38" s="57"/>
      <c r="CYQ38" s="57"/>
      <c r="CYR38" s="56"/>
      <c r="CYS38" s="57"/>
      <c r="CYT38" s="58"/>
      <c r="CYU38" s="56"/>
      <c r="CYV38" s="57"/>
      <c r="CYW38" s="57"/>
      <c r="CYX38" s="57"/>
      <c r="CYY38" s="56"/>
      <c r="CYZ38" s="57"/>
      <c r="CZA38" s="57"/>
      <c r="CZB38" s="56"/>
      <c r="CZC38" s="57"/>
      <c r="CZD38" s="58"/>
      <c r="CZE38" s="56"/>
      <c r="CZF38" s="57"/>
      <c r="CZG38" s="57"/>
      <c r="CZH38" s="57"/>
      <c r="CZI38" s="56"/>
      <c r="CZJ38" s="57"/>
      <c r="CZK38" s="57"/>
      <c r="CZL38" s="56"/>
      <c r="CZM38" s="57"/>
      <c r="CZN38" s="58"/>
      <c r="CZO38" s="56"/>
      <c r="CZP38" s="57"/>
      <c r="CZQ38" s="57"/>
      <c r="CZR38" s="57"/>
      <c r="CZS38" s="56"/>
      <c r="CZT38" s="57"/>
      <c r="CZU38" s="57"/>
      <c r="CZV38" s="56"/>
      <c r="CZW38" s="57"/>
      <c r="CZX38" s="58"/>
      <c r="CZY38" s="56"/>
      <c r="CZZ38" s="58"/>
      <c r="DAA38" s="57"/>
      <c r="DAB38" s="56"/>
      <c r="DAC38" s="57"/>
      <c r="DAD38" s="56"/>
      <c r="DAE38" s="56"/>
      <c r="DAF38" s="56"/>
      <c r="DAG38" s="57"/>
      <c r="DAH38" s="57"/>
      <c r="DAI38" s="57"/>
      <c r="DAJ38" s="57"/>
      <c r="DAK38" s="57"/>
      <c r="DAL38" s="57"/>
      <c r="DAM38" s="57"/>
      <c r="DAN38" s="57"/>
      <c r="DAO38" s="57"/>
      <c r="DAP38" s="57"/>
      <c r="DAQ38" s="57"/>
      <c r="DAR38" s="57"/>
      <c r="DAS38" s="57"/>
      <c r="DAT38" s="57"/>
      <c r="DAU38" s="57"/>
      <c r="DAV38" s="57"/>
      <c r="DAW38" s="57"/>
      <c r="DAX38" s="57"/>
      <c r="DAY38" s="57"/>
      <c r="DAZ38" s="57"/>
      <c r="DBA38" s="57"/>
      <c r="DBB38" s="57"/>
      <c r="DBC38" s="57"/>
      <c r="DBD38" s="57"/>
      <c r="DBE38" s="57"/>
      <c r="DBF38" s="57"/>
      <c r="DBG38" s="57"/>
      <c r="DBH38" s="57"/>
      <c r="DBI38" s="57"/>
      <c r="DBJ38" s="57"/>
      <c r="DBK38" s="57"/>
      <c r="DBL38" s="57"/>
      <c r="DBM38" s="57"/>
      <c r="DBN38" s="57"/>
      <c r="DBO38" s="57"/>
      <c r="DBP38" s="57"/>
      <c r="DBQ38" s="57"/>
      <c r="DBR38" s="58"/>
      <c r="DBS38" s="56"/>
      <c r="DBT38" s="57"/>
      <c r="DBU38" s="57"/>
      <c r="DBV38" s="57"/>
      <c r="DBW38" s="57"/>
      <c r="DBX38" s="57"/>
      <c r="DBY38" s="56"/>
      <c r="DBZ38" s="57"/>
      <c r="DCA38" s="57"/>
      <c r="DCB38" s="56"/>
      <c r="DCC38" s="57"/>
      <c r="DCD38" s="58"/>
      <c r="DCE38" s="56"/>
      <c r="DCF38" s="57"/>
      <c r="DCG38" s="57"/>
      <c r="DCH38" s="57"/>
      <c r="DCI38" s="56"/>
      <c r="DCJ38" s="57"/>
      <c r="DCK38" s="57"/>
      <c r="DCL38" s="56"/>
      <c r="DCM38" s="57"/>
      <c r="DCN38" s="58"/>
      <c r="DCO38" s="56"/>
      <c r="DCP38" s="57"/>
      <c r="DCQ38" s="57"/>
      <c r="DCR38" s="57"/>
      <c r="DCS38" s="56"/>
      <c r="DCT38" s="57"/>
      <c r="DCU38" s="57"/>
      <c r="DCV38" s="56"/>
      <c r="DCW38" s="57"/>
      <c r="DCX38" s="58"/>
      <c r="DCY38" s="56"/>
      <c r="DCZ38" s="57"/>
      <c r="DDA38" s="57"/>
      <c r="DDB38" s="57"/>
      <c r="DDC38" s="56"/>
      <c r="DDD38" s="57"/>
      <c r="DDE38" s="57"/>
      <c r="DDF38" s="56"/>
      <c r="DDG38" s="57"/>
      <c r="DDH38" s="58"/>
      <c r="DDI38" s="56"/>
      <c r="DDJ38" s="58"/>
      <c r="DDK38" s="57"/>
      <c r="DDL38" s="56"/>
      <c r="DDM38" s="57"/>
      <c r="DDN38" s="56"/>
      <c r="DDO38" s="56"/>
      <c r="DDP38" s="56"/>
      <c r="DDQ38" s="57"/>
      <c r="DDR38" s="57"/>
      <c r="DDS38" s="57"/>
      <c r="DDT38" s="57"/>
      <c r="DDU38" s="57"/>
      <c r="DDV38" s="57"/>
      <c r="DDW38" s="57"/>
      <c r="DDX38" s="57"/>
      <c r="DDY38" s="57"/>
      <c r="DDZ38" s="57"/>
      <c r="DEA38" s="57"/>
      <c r="DEB38" s="57"/>
      <c r="DEC38" s="57"/>
      <c r="DED38" s="57"/>
      <c r="DEE38" s="57"/>
      <c r="DEF38" s="57"/>
      <c r="DEG38" s="57"/>
      <c r="DEH38" s="57"/>
      <c r="DEI38" s="57"/>
      <c r="DEJ38" s="57"/>
      <c r="DEK38" s="57"/>
      <c r="DEL38" s="57"/>
      <c r="DEM38" s="57"/>
      <c r="DEN38" s="57"/>
      <c r="DEO38" s="57"/>
      <c r="DEP38" s="57"/>
      <c r="DEQ38" s="57"/>
      <c r="DER38" s="57"/>
      <c r="DES38" s="57"/>
      <c r="DET38" s="57"/>
      <c r="DEU38" s="57"/>
      <c r="DEV38" s="57"/>
      <c r="DEW38" s="57"/>
      <c r="DEX38" s="57"/>
      <c r="DEY38" s="57"/>
      <c r="DEZ38" s="57"/>
      <c r="DFA38" s="57"/>
      <c r="DFB38" s="58"/>
      <c r="DFC38" s="56"/>
      <c r="DFD38" s="57"/>
      <c r="DFE38" s="57"/>
      <c r="DFF38" s="57"/>
      <c r="DFG38" s="57"/>
      <c r="DFH38" s="57"/>
      <c r="DFI38" s="56"/>
      <c r="DFJ38" s="57"/>
      <c r="DFK38" s="57"/>
      <c r="DFL38" s="56"/>
      <c r="DFM38" s="57"/>
      <c r="DFN38" s="58"/>
      <c r="DFO38" s="56"/>
      <c r="DFP38" s="57"/>
      <c r="DFQ38" s="57"/>
      <c r="DFR38" s="57"/>
      <c r="DFS38" s="56"/>
      <c r="DFT38" s="57"/>
      <c r="DFU38" s="57"/>
      <c r="DFV38" s="56"/>
      <c r="DFW38" s="57"/>
      <c r="DFX38" s="58"/>
      <c r="DFY38" s="56"/>
      <c r="DFZ38" s="57"/>
      <c r="DGA38" s="57"/>
      <c r="DGB38" s="57"/>
      <c r="DGC38" s="56"/>
      <c r="DGD38" s="57"/>
      <c r="DGE38" s="57"/>
      <c r="DGF38" s="56"/>
      <c r="DGG38" s="57"/>
      <c r="DGH38" s="58"/>
      <c r="DGI38" s="56"/>
      <c r="DGJ38" s="57"/>
      <c r="DGK38" s="57"/>
      <c r="DGL38" s="57"/>
      <c r="DGM38" s="56"/>
      <c r="DGN38" s="57"/>
      <c r="DGO38" s="57"/>
      <c r="DGP38" s="56"/>
      <c r="DGQ38" s="57"/>
      <c r="DGR38" s="58"/>
      <c r="DGS38" s="56"/>
      <c r="DGT38" s="58"/>
      <c r="DGU38" s="57"/>
      <c r="DGV38" s="56"/>
      <c r="DGW38" s="57"/>
      <c r="DGX38" s="56"/>
      <c r="DGY38" s="56"/>
      <c r="DGZ38" s="56"/>
      <c r="DHA38" s="57"/>
      <c r="DHB38" s="57"/>
      <c r="DHC38" s="57"/>
      <c r="DHD38" s="57"/>
      <c r="DHE38" s="57"/>
      <c r="DHF38" s="57"/>
      <c r="DHG38" s="57"/>
      <c r="DHH38" s="57"/>
      <c r="DHI38" s="57"/>
      <c r="DHJ38" s="57"/>
      <c r="DHK38" s="57"/>
      <c r="DHL38" s="57"/>
      <c r="DHM38" s="57"/>
      <c r="DHN38" s="57"/>
      <c r="DHO38" s="57"/>
      <c r="DHP38" s="57"/>
      <c r="DHQ38" s="57"/>
      <c r="DHR38" s="57"/>
      <c r="DHS38" s="57"/>
      <c r="DHT38" s="57"/>
      <c r="DHU38" s="57"/>
      <c r="DHV38" s="57"/>
      <c r="DHW38" s="57"/>
      <c r="DHX38" s="57"/>
      <c r="DHY38" s="57"/>
      <c r="DHZ38" s="57"/>
      <c r="DIA38" s="57"/>
      <c r="DIB38" s="57"/>
      <c r="DIC38" s="57"/>
      <c r="DID38" s="57"/>
      <c r="DIE38" s="57"/>
      <c r="DIF38" s="57"/>
      <c r="DIG38" s="57"/>
      <c r="DIH38" s="57"/>
      <c r="DII38" s="57"/>
      <c r="DIJ38" s="57"/>
      <c r="DIK38" s="57"/>
      <c r="DIL38" s="58"/>
      <c r="DIM38" s="56"/>
      <c r="DIN38" s="57"/>
      <c r="DIO38" s="57"/>
      <c r="DIP38" s="57"/>
      <c r="DIQ38" s="57"/>
      <c r="DIR38" s="57"/>
      <c r="DIS38" s="56"/>
      <c r="DIT38" s="57"/>
      <c r="DIU38" s="57"/>
      <c r="DIV38" s="56"/>
      <c r="DIW38" s="57"/>
      <c r="DIX38" s="58"/>
      <c r="DIY38" s="56"/>
      <c r="DIZ38" s="57"/>
      <c r="DJA38" s="57"/>
      <c r="DJB38" s="57"/>
      <c r="DJC38" s="56"/>
      <c r="DJD38" s="57"/>
      <c r="DJE38" s="57"/>
      <c r="DJF38" s="56"/>
      <c r="DJG38" s="57"/>
      <c r="DJH38" s="58"/>
      <c r="DJI38" s="56"/>
      <c r="DJJ38" s="57"/>
      <c r="DJK38" s="57"/>
      <c r="DJL38" s="57"/>
      <c r="DJM38" s="56"/>
      <c r="DJN38" s="57"/>
      <c r="DJO38" s="57"/>
      <c r="DJP38" s="56"/>
      <c r="DJQ38" s="57"/>
      <c r="DJR38" s="58"/>
      <c r="DJS38" s="56"/>
      <c r="DJT38" s="57"/>
      <c r="DJU38" s="57"/>
      <c r="DJV38" s="57"/>
      <c r="DJW38" s="56"/>
      <c r="DJX38" s="57"/>
      <c r="DJY38" s="57"/>
      <c r="DJZ38" s="56"/>
      <c r="DKA38" s="57"/>
      <c r="DKB38" s="58"/>
      <c r="DKC38" s="56"/>
      <c r="DKD38" s="58"/>
      <c r="DKE38" s="57"/>
      <c r="DKF38" s="56"/>
      <c r="DKG38" s="57"/>
      <c r="DKH38" s="56"/>
      <c r="DKI38" s="56"/>
      <c r="DKJ38" s="56"/>
      <c r="DKK38" s="57"/>
      <c r="DKL38" s="57"/>
      <c r="DKM38" s="57"/>
      <c r="DKN38" s="57"/>
      <c r="DKO38" s="57"/>
      <c r="DKP38" s="57"/>
      <c r="DKQ38" s="57"/>
      <c r="DKR38" s="57"/>
      <c r="DKS38" s="57"/>
      <c r="DKT38" s="57"/>
      <c r="DKU38" s="57"/>
      <c r="DKV38" s="57"/>
      <c r="DKW38" s="57"/>
      <c r="DKX38" s="57"/>
      <c r="DKY38" s="57"/>
      <c r="DKZ38" s="57"/>
      <c r="DLA38" s="57"/>
      <c r="DLB38" s="57"/>
      <c r="DLC38" s="57"/>
      <c r="DLD38" s="57"/>
      <c r="DLE38" s="57"/>
      <c r="DLF38" s="57"/>
      <c r="DLG38" s="57"/>
      <c r="DLH38" s="57"/>
      <c r="DLI38" s="57"/>
      <c r="DLJ38" s="57"/>
      <c r="DLK38" s="57"/>
      <c r="DLL38" s="57"/>
      <c r="DLM38" s="57"/>
      <c r="DLN38" s="57"/>
      <c r="DLO38" s="57"/>
      <c r="DLP38" s="57"/>
      <c r="DLQ38" s="57"/>
      <c r="DLR38" s="57"/>
      <c r="DLS38" s="57"/>
      <c r="DLT38" s="57"/>
      <c r="DLU38" s="57"/>
      <c r="DLV38" s="58"/>
      <c r="DLW38" s="56"/>
      <c r="DLX38" s="57"/>
      <c r="DLY38" s="57"/>
      <c r="DLZ38" s="57"/>
      <c r="DMA38" s="57"/>
      <c r="DMB38" s="57"/>
      <c r="DMC38" s="56"/>
      <c r="DMD38" s="57"/>
      <c r="DME38" s="57"/>
      <c r="DMF38" s="56"/>
      <c r="DMG38" s="57"/>
      <c r="DMH38" s="58"/>
      <c r="DMI38" s="56"/>
      <c r="DMJ38" s="57"/>
      <c r="DMK38" s="57"/>
      <c r="DML38" s="57"/>
      <c r="DMM38" s="56"/>
      <c r="DMN38" s="57"/>
      <c r="DMO38" s="57"/>
      <c r="DMP38" s="56"/>
      <c r="DMQ38" s="57"/>
      <c r="DMR38" s="58"/>
      <c r="DMS38" s="56"/>
      <c r="DMT38" s="57"/>
      <c r="DMU38" s="57"/>
      <c r="DMV38" s="57"/>
      <c r="DMW38" s="56"/>
      <c r="DMX38" s="57"/>
      <c r="DMY38" s="57"/>
      <c r="DMZ38" s="56"/>
      <c r="DNA38" s="57"/>
      <c r="DNB38" s="58"/>
      <c r="DNC38" s="56"/>
      <c r="DND38" s="57"/>
      <c r="DNE38" s="57"/>
      <c r="DNF38" s="57"/>
      <c r="DNG38" s="56"/>
      <c r="DNH38" s="57"/>
      <c r="DNI38" s="57"/>
      <c r="DNJ38" s="56"/>
      <c r="DNK38" s="57"/>
      <c r="DNL38" s="58"/>
      <c r="DNM38" s="56"/>
      <c r="DNN38" s="58"/>
      <c r="DNO38" s="57"/>
      <c r="DNP38" s="56"/>
      <c r="DNQ38" s="57"/>
      <c r="DNR38" s="56"/>
      <c r="DNS38" s="56"/>
      <c r="DNT38" s="56"/>
      <c r="DNU38" s="57"/>
      <c r="DNV38" s="57"/>
      <c r="DNW38" s="57"/>
      <c r="DNX38" s="57"/>
      <c r="DNY38" s="57"/>
      <c r="DNZ38" s="57"/>
      <c r="DOA38" s="57"/>
      <c r="DOB38" s="57"/>
      <c r="DOC38" s="57"/>
      <c r="DOD38" s="57"/>
      <c r="DOE38" s="57"/>
      <c r="DOF38" s="57"/>
      <c r="DOG38" s="57"/>
      <c r="DOH38" s="57"/>
      <c r="DOI38" s="57"/>
      <c r="DOJ38" s="57"/>
      <c r="DOK38" s="57"/>
      <c r="DOL38" s="57"/>
      <c r="DOM38" s="57"/>
      <c r="DON38" s="57"/>
      <c r="DOO38" s="57"/>
      <c r="DOP38" s="57"/>
      <c r="DOQ38" s="57"/>
      <c r="DOR38" s="57"/>
      <c r="DOS38" s="57"/>
      <c r="DOT38" s="57"/>
      <c r="DOU38" s="57"/>
      <c r="DOV38" s="57"/>
      <c r="DOW38" s="57"/>
      <c r="DOX38" s="57"/>
      <c r="DOY38" s="57"/>
      <c r="DOZ38" s="57"/>
      <c r="DPA38" s="57"/>
      <c r="DPB38" s="57"/>
      <c r="DPC38" s="57"/>
      <c r="DPD38" s="57"/>
      <c r="DPE38" s="57"/>
      <c r="DPF38" s="58"/>
      <c r="DPG38" s="56"/>
      <c r="DPH38" s="57"/>
      <c r="DPI38" s="57"/>
      <c r="DPJ38" s="57"/>
      <c r="DPK38" s="57"/>
      <c r="DPL38" s="57"/>
      <c r="DPM38" s="56"/>
      <c r="DPN38" s="57"/>
      <c r="DPO38" s="57"/>
      <c r="DPP38" s="56"/>
      <c r="DPQ38" s="57"/>
      <c r="DPR38" s="58"/>
      <c r="DPS38" s="56"/>
      <c r="DPT38" s="57"/>
      <c r="DPU38" s="57"/>
      <c r="DPV38" s="57"/>
      <c r="DPW38" s="56"/>
      <c r="DPX38" s="57"/>
      <c r="DPY38" s="57"/>
      <c r="DPZ38" s="56"/>
      <c r="DQA38" s="57"/>
      <c r="DQB38" s="58"/>
      <c r="DQC38" s="56"/>
      <c r="DQD38" s="57"/>
      <c r="DQE38" s="57"/>
      <c r="DQF38" s="57"/>
      <c r="DQG38" s="56"/>
      <c r="DQH38" s="57"/>
      <c r="DQI38" s="57"/>
      <c r="DQJ38" s="56"/>
      <c r="DQK38" s="57"/>
      <c r="DQL38" s="58"/>
      <c r="DQM38" s="56"/>
      <c r="DQN38" s="57"/>
      <c r="DQO38" s="57"/>
      <c r="DQP38" s="57"/>
      <c r="DQQ38" s="56"/>
      <c r="DQR38" s="57"/>
      <c r="DQS38" s="57"/>
      <c r="DQT38" s="56"/>
      <c r="DQU38" s="57"/>
      <c r="DQV38" s="58"/>
      <c r="DQW38" s="56"/>
      <c r="DQX38" s="58"/>
      <c r="DQY38" s="57"/>
      <c r="DQZ38" s="56"/>
      <c r="DRA38" s="57"/>
      <c r="DRB38" s="56"/>
      <c r="DRC38" s="56"/>
      <c r="DRD38" s="56"/>
      <c r="DRE38" s="57"/>
      <c r="DRF38" s="57"/>
      <c r="DRG38" s="57"/>
      <c r="DRH38" s="57"/>
      <c r="DRI38" s="57"/>
      <c r="DRJ38" s="57"/>
      <c r="DRK38" s="57"/>
      <c r="DRL38" s="57"/>
      <c r="DRM38" s="57"/>
      <c r="DRN38" s="57"/>
      <c r="DRO38" s="57"/>
      <c r="DRP38" s="57"/>
      <c r="DRQ38" s="57"/>
      <c r="DRR38" s="57"/>
      <c r="DRS38" s="57"/>
      <c r="DRT38" s="57"/>
      <c r="DRU38" s="57"/>
      <c r="DRV38" s="57"/>
      <c r="DRW38" s="57"/>
      <c r="DRX38" s="57"/>
      <c r="DRY38" s="57"/>
      <c r="DRZ38" s="57"/>
      <c r="DSA38" s="57"/>
      <c r="DSB38" s="57"/>
      <c r="DSC38" s="57"/>
      <c r="DSD38" s="57"/>
      <c r="DSE38" s="57"/>
      <c r="DSF38" s="57"/>
      <c r="DSG38" s="57"/>
      <c r="DSH38" s="57"/>
      <c r="DSI38" s="57"/>
      <c r="DSJ38" s="57"/>
      <c r="DSK38" s="57"/>
      <c r="DSL38" s="57"/>
      <c r="DSM38" s="57"/>
      <c r="DSN38" s="57"/>
      <c r="DSO38" s="57"/>
      <c r="DSP38" s="58"/>
      <c r="DSQ38" s="56"/>
      <c r="DSR38" s="57"/>
      <c r="DSS38" s="57"/>
      <c r="DST38" s="57"/>
      <c r="DSU38" s="57"/>
      <c r="DSV38" s="57"/>
      <c r="DSW38" s="56"/>
      <c r="DSX38" s="57"/>
      <c r="DSY38" s="57"/>
      <c r="DSZ38" s="56"/>
      <c r="DTA38" s="57"/>
      <c r="DTB38" s="58"/>
      <c r="DTC38" s="56"/>
      <c r="DTD38" s="57"/>
      <c r="DTE38" s="57"/>
      <c r="DTF38" s="57"/>
      <c r="DTG38" s="56"/>
      <c r="DTH38" s="57"/>
      <c r="DTI38" s="57"/>
      <c r="DTJ38" s="56"/>
      <c r="DTK38" s="57"/>
      <c r="DTL38" s="58"/>
      <c r="DTM38" s="56"/>
      <c r="DTN38" s="57"/>
      <c r="DTO38" s="57"/>
      <c r="DTP38" s="57"/>
      <c r="DTQ38" s="56"/>
      <c r="DTR38" s="57"/>
      <c r="DTS38" s="57"/>
      <c r="DTT38" s="56"/>
      <c r="DTU38" s="57"/>
      <c r="DTV38" s="58"/>
      <c r="DTW38" s="56"/>
      <c r="DTX38" s="57"/>
      <c r="DTY38" s="57"/>
      <c r="DTZ38" s="57"/>
      <c r="DUA38" s="56"/>
      <c r="DUB38" s="57"/>
      <c r="DUC38" s="57"/>
      <c r="DUD38" s="56"/>
      <c r="DUE38" s="57"/>
      <c r="DUF38" s="58"/>
      <c r="DUG38" s="56"/>
      <c r="DUH38" s="58"/>
      <c r="DUI38" s="57"/>
      <c r="DUJ38" s="56"/>
      <c r="DUK38" s="57"/>
      <c r="DUL38" s="56"/>
      <c r="DUM38" s="56"/>
      <c r="DUN38" s="56"/>
      <c r="DUO38" s="57"/>
      <c r="DUP38" s="57"/>
      <c r="DUQ38" s="57"/>
      <c r="DUR38" s="57"/>
      <c r="DUS38" s="57"/>
      <c r="DUT38" s="57"/>
      <c r="DUU38" s="57"/>
      <c r="DUV38" s="57"/>
      <c r="DUW38" s="57"/>
      <c r="DUX38" s="57"/>
      <c r="DUY38" s="57"/>
      <c r="DUZ38" s="57"/>
      <c r="DVA38" s="57"/>
      <c r="DVB38" s="57"/>
      <c r="DVC38" s="57"/>
      <c r="DVD38" s="57"/>
      <c r="DVE38" s="57"/>
      <c r="DVF38" s="57"/>
      <c r="DVG38" s="57"/>
      <c r="DVH38" s="57"/>
      <c r="DVI38" s="57"/>
      <c r="DVJ38" s="57"/>
      <c r="DVK38" s="57"/>
      <c r="DVL38" s="57"/>
      <c r="DVM38" s="57"/>
      <c r="DVN38" s="57"/>
      <c r="DVO38" s="57"/>
      <c r="DVP38" s="57"/>
      <c r="DVQ38" s="57"/>
      <c r="DVR38" s="57"/>
      <c r="DVS38" s="57"/>
      <c r="DVT38" s="57"/>
      <c r="DVU38" s="57"/>
      <c r="DVV38" s="57"/>
      <c r="DVW38" s="57"/>
      <c r="DVX38" s="57"/>
      <c r="DVY38" s="57"/>
      <c r="DVZ38" s="58"/>
      <c r="DWA38" s="56"/>
      <c r="DWB38" s="57"/>
      <c r="DWC38" s="57"/>
      <c r="DWD38" s="57"/>
      <c r="DWE38" s="57"/>
      <c r="DWF38" s="57"/>
      <c r="DWG38" s="56"/>
      <c r="DWH38" s="57"/>
      <c r="DWI38" s="57"/>
      <c r="DWJ38" s="56"/>
      <c r="DWK38" s="57"/>
      <c r="DWL38" s="58"/>
      <c r="DWM38" s="56"/>
      <c r="DWN38" s="57"/>
      <c r="DWO38" s="57"/>
      <c r="DWP38" s="57"/>
      <c r="DWQ38" s="56"/>
      <c r="DWR38" s="57"/>
      <c r="DWS38" s="57"/>
      <c r="DWT38" s="56"/>
      <c r="DWU38" s="57"/>
      <c r="DWV38" s="58"/>
      <c r="DWW38" s="56"/>
      <c r="DWX38" s="57"/>
      <c r="DWY38" s="57"/>
      <c r="DWZ38" s="57"/>
      <c r="DXA38" s="56"/>
      <c r="DXB38" s="57"/>
      <c r="DXC38" s="57"/>
      <c r="DXD38" s="56"/>
      <c r="DXE38" s="57"/>
      <c r="DXF38" s="58"/>
      <c r="DXG38" s="56"/>
      <c r="DXH38" s="57"/>
      <c r="DXI38" s="57"/>
      <c r="DXJ38" s="57"/>
      <c r="DXK38" s="56"/>
      <c r="DXL38" s="57"/>
      <c r="DXM38" s="57"/>
      <c r="DXN38" s="56"/>
      <c r="DXO38" s="57"/>
      <c r="DXP38" s="58"/>
      <c r="DXQ38" s="56"/>
      <c r="DXR38" s="58"/>
      <c r="DXS38" s="57"/>
      <c r="DXT38" s="56"/>
      <c r="DXU38" s="57"/>
      <c r="DXV38" s="56"/>
      <c r="DXW38" s="56"/>
      <c r="DXX38" s="56"/>
      <c r="DXY38" s="57"/>
      <c r="DXZ38" s="57"/>
      <c r="DYA38" s="57"/>
      <c r="DYB38" s="57"/>
      <c r="DYC38" s="57"/>
      <c r="DYD38" s="57"/>
      <c r="DYE38" s="57"/>
      <c r="DYF38" s="57"/>
      <c r="DYG38" s="57"/>
      <c r="DYH38" s="57"/>
      <c r="DYI38" s="57"/>
      <c r="DYJ38" s="57"/>
      <c r="DYK38" s="57"/>
      <c r="DYL38" s="57"/>
      <c r="DYM38" s="57"/>
      <c r="DYN38" s="57"/>
      <c r="DYO38" s="57"/>
      <c r="DYP38" s="57"/>
      <c r="DYQ38" s="57"/>
      <c r="DYR38" s="57"/>
      <c r="DYS38" s="57"/>
      <c r="DYT38" s="57"/>
      <c r="DYU38" s="57"/>
      <c r="DYV38" s="57"/>
      <c r="DYW38" s="57"/>
      <c r="DYX38" s="57"/>
      <c r="DYY38" s="57"/>
      <c r="DYZ38" s="57"/>
      <c r="DZA38" s="57"/>
      <c r="DZB38" s="57"/>
      <c r="DZC38" s="57"/>
      <c r="DZD38" s="57"/>
      <c r="DZE38" s="57"/>
      <c r="DZF38" s="57"/>
      <c r="DZG38" s="57"/>
      <c r="DZH38" s="57"/>
      <c r="DZI38" s="57"/>
      <c r="DZJ38" s="58"/>
      <c r="DZK38" s="56"/>
      <c r="DZL38" s="57"/>
      <c r="DZM38" s="57"/>
      <c r="DZN38" s="57"/>
      <c r="DZO38" s="57"/>
      <c r="DZP38" s="57"/>
      <c r="DZQ38" s="56"/>
      <c r="DZR38" s="57"/>
      <c r="DZS38" s="57"/>
      <c r="DZT38" s="56"/>
      <c r="DZU38" s="57"/>
      <c r="DZV38" s="58"/>
      <c r="DZW38" s="56"/>
      <c r="DZX38" s="57"/>
      <c r="DZY38" s="57"/>
      <c r="DZZ38" s="57"/>
      <c r="EAA38" s="56"/>
      <c r="EAB38" s="57"/>
      <c r="EAC38" s="57"/>
      <c r="EAD38" s="56"/>
      <c r="EAE38" s="57"/>
      <c r="EAF38" s="58"/>
      <c r="EAG38" s="56"/>
      <c r="EAH38" s="57"/>
      <c r="EAI38" s="57"/>
      <c r="EAJ38" s="57"/>
      <c r="EAK38" s="56"/>
      <c r="EAL38" s="57"/>
      <c r="EAM38" s="57"/>
      <c r="EAN38" s="56"/>
      <c r="EAO38" s="57"/>
      <c r="EAP38" s="58"/>
      <c r="EAQ38" s="56"/>
      <c r="EAR38" s="57"/>
      <c r="EAS38" s="57"/>
      <c r="EAT38" s="57"/>
      <c r="EAU38" s="56"/>
      <c r="EAV38" s="57"/>
      <c r="EAW38" s="57"/>
      <c r="EAX38" s="56"/>
      <c r="EAY38" s="57"/>
      <c r="EAZ38" s="58"/>
      <c r="EBA38" s="56"/>
      <c r="EBB38" s="58"/>
      <c r="EBC38" s="57"/>
      <c r="EBD38" s="56"/>
      <c r="EBE38" s="57"/>
      <c r="EBF38" s="56"/>
      <c r="EBG38" s="56"/>
      <c r="EBH38" s="56"/>
      <c r="EBI38" s="57"/>
      <c r="EBJ38" s="57"/>
      <c r="EBK38" s="57"/>
      <c r="EBL38" s="57"/>
      <c r="EBM38" s="57"/>
      <c r="EBN38" s="57"/>
      <c r="EBO38" s="57"/>
      <c r="EBP38" s="57"/>
      <c r="EBQ38" s="57"/>
      <c r="EBR38" s="57"/>
      <c r="EBS38" s="57"/>
      <c r="EBT38" s="57"/>
      <c r="EBU38" s="57"/>
      <c r="EBV38" s="57"/>
      <c r="EBW38" s="57"/>
      <c r="EBX38" s="57"/>
      <c r="EBY38" s="57"/>
      <c r="EBZ38" s="57"/>
      <c r="ECA38" s="57"/>
      <c r="ECB38" s="57"/>
      <c r="ECC38" s="57"/>
      <c r="ECD38" s="57"/>
      <c r="ECE38" s="57"/>
      <c r="ECF38" s="57"/>
      <c r="ECG38" s="57"/>
      <c r="ECH38" s="57"/>
      <c r="ECI38" s="57"/>
      <c r="ECJ38" s="57"/>
      <c r="ECK38" s="57"/>
      <c r="ECL38" s="57"/>
      <c r="ECM38" s="57"/>
      <c r="ECN38" s="57"/>
      <c r="ECO38" s="57"/>
      <c r="ECP38" s="57"/>
      <c r="ECQ38" s="57"/>
      <c r="ECR38" s="57"/>
      <c r="ECS38" s="57"/>
      <c r="ECT38" s="58"/>
      <c r="ECU38" s="56"/>
      <c r="ECV38" s="57"/>
      <c r="ECW38" s="57"/>
      <c r="ECX38" s="57"/>
      <c r="ECY38" s="57"/>
      <c r="ECZ38" s="57"/>
      <c r="EDA38" s="56"/>
      <c r="EDB38" s="57"/>
      <c r="EDC38" s="57"/>
      <c r="EDD38" s="56"/>
      <c r="EDE38" s="57"/>
      <c r="EDF38" s="58"/>
      <c r="EDG38" s="56"/>
      <c r="EDH38" s="57"/>
      <c r="EDI38" s="57"/>
      <c r="EDJ38" s="57"/>
      <c r="EDK38" s="56"/>
      <c r="EDL38" s="57"/>
      <c r="EDM38" s="57"/>
      <c r="EDN38" s="56"/>
      <c r="EDO38" s="57"/>
      <c r="EDP38" s="58"/>
      <c r="EDQ38" s="56"/>
      <c r="EDR38" s="57"/>
      <c r="EDS38" s="57"/>
      <c r="EDT38" s="57"/>
      <c r="EDU38" s="56"/>
      <c r="EDV38" s="57"/>
      <c r="EDW38" s="57"/>
      <c r="EDX38" s="56"/>
      <c r="EDY38" s="57"/>
      <c r="EDZ38" s="58"/>
      <c r="EEA38" s="56"/>
      <c r="EEB38" s="57"/>
      <c r="EEC38" s="57"/>
      <c r="EED38" s="57"/>
      <c r="EEE38" s="56"/>
      <c r="EEF38" s="57"/>
      <c r="EEG38" s="57"/>
      <c r="EEH38" s="56"/>
      <c r="EEI38" s="57"/>
      <c r="EEJ38" s="58"/>
      <c r="EEK38" s="56"/>
      <c r="EEL38" s="58"/>
      <c r="EEM38" s="57"/>
      <c r="EEN38" s="56"/>
      <c r="EEO38" s="57"/>
      <c r="EEP38" s="56"/>
      <c r="EEQ38" s="56"/>
      <c r="EER38" s="56"/>
      <c r="EES38" s="57"/>
      <c r="EET38" s="57"/>
      <c r="EEU38" s="57"/>
      <c r="EEV38" s="57"/>
      <c r="EEW38" s="57"/>
      <c r="EEX38" s="57"/>
      <c r="EEY38" s="57"/>
      <c r="EEZ38" s="57"/>
      <c r="EFA38" s="57"/>
      <c r="EFB38" s="57"/>
      <c r="EFC38" s="57"/>
      <c r="EFD38" s="57"/>
      <c r="EFE38" s="57"/>
      <c r="EFF38" s="57"/>
      <c r="EFG38" s="57"/>
      <c r="EFH38" s="57"/>
      <c r="EFI38" s="57"/>
      <c r="EFJ38" s="57"/>
      <c r="EFK38" s="57"/>
      <c r="EFL38" s="57"/>
      <c r="EFM38" s="57"/>
      <c r="EFN38" s="57"/>
      <c r="EFO38" s="57"/>
      <c r="EFP38" s="57"/>
      <c r="EFQ38" s="57"/>
      <c r="EFR38" s="57"/>
      <c r="EFS38" s="57"/>
      <c r="EFT38" s="57"/>
      <c r="EFU38" s="57"/>
      <c r="EFV38" s="57"/>
      <c r="EFW38" s="57"/>
      <c r="EFX38" s="57"/>
      <c r="EFY38" s="57"/>
      <c r="EFZ38" s="57"/>
      <c r="EGA38" s="57"/>
      <c r="EGB38" s="57"/>
      <c r="EGC38" s="57"/>
      <c r="EGD38" s="58"/>
      <c r="EGE38" s="56"/>
      <c r="EGF38" s="57"/>
      <c r="EGG38" s="57"/>
      <c r="EGH38" s="57"/>
      <c r="EGI38" s="57"/>
      <c r="EGJ38" s="57"/>
      <c r="EGK38" s="56"/>
      <c r="EGL38" s="57"/>
      <c r="EGM38" s="57"/>
      <c r="EGN38" s="56"/>
      <c r="EGO38" s="57"/>
      <c r="EGP38" s="58"/>
      <c r="EGQ38" s="56"/>
      <c r="EGR38" s="57"/>
      <c r="EGS38" s="57"/>
      <c r="EGT38" s="57"/>
      <c r="EGU38" s="56"/>
      <c r="EGV38" s="57"/>
      <c r="EGW38" s="57"/>
      <c r="EGX38" s="56"/>
      <c r="EGY38" s="57"/>
      <c r="EGZ38" s="58"/>
      <c r="EHA38" s="56"/>
      <c r="EHB38" s="57"/>
      <c r="EHC38" s="57"/>
      <c r="EHD38" s="57"/>
      <c r="EHE38" s="56"/>
      <c r="EHF38" s="57"/>
      <c r="EHG38" s="57"/>
      <c r="EHH38" s="56"/>
      <c r="EHI38" s="57"/>
      <c r="EHJ38" s="58"/>
      <c r="EHK38" s="56"/>
      <c r="EHL38" s="57"/>
      <c r="EHM38" s="57"/>
      <c r="EHN38" s="57"/>
      <c r="EHO38" s="56"/>
      <c r="EHP38" s="57"/>
      <c r="EHQ38" s="57"/>
      <c r="EHR38" s="56"/>
      <c r="EHS38" s="57"/>
      <c r="EHT38" s="58"/>
      <c r="EHU38" s="56"/>
      <c r="EHV38" s="58"/>
      <c r="EHW38" s="57"/>
      <c r="EHX38" s="56"/>
      <c r="EHY38" s="57"/>
      <c r="EHZ38" s="56"/>
      <c r="EIA38" s="56"/>
      <c r="EIB38" s="56"/>
      <c r="EIC38" s="57"/>
      <c r="EID38" s="57"/>
      <c r="EIE38" s="57"/>
      <c r="EIF38" s="57"/>
      <c r="EIG38" s="57"/>
      <c r="EIH38" s="57"/>
      <c r="EII38" s="57"/>
      <c r="EIJ38" s="57"/>
      <c r="EIK38" s="57"/>
      <c r="EIL38" s="57"/>
      <c r="EIM38" s="57"/>
      <c r="EIN38" s="57"/>
      <c r="EIO38" s="57"/>
      <c r="EIP38" s="57"/>
      <c r="EIQ38" s="57"/>
      <c r="EIR38" s="57"/>
      <c r="EIS38" s="57"/>
      <c r="EIT38" s="57"/>
      <c r="EIU38" s="57"/>
      <c r="EIV38" s="57"/>
      <c r="EIW38" s="57"/>
      <c r="EIX38" s="57"/>
      <c r="EIY38" s="57"/>
      <c r="EIZ38" s="57"/>
      <c r="EJA38" s="57"/>
      <c r="EJB38" s="57"/>
      <c r="EJC38" s="57"/>
      <c r="EJD38" s="57"/>
      <c r="EJE38" s="57"/>
      <c r="EJF38" s="57"/>
      <c r="EJG38" s="57"/>
      <c r="EJH38" s="57"/>
      <c r="EJI38" s="57"/>
      <c r="EJJ38" s="57"/>
      <c r="EJK38" s="57"/>
      <c r="EJL38" s="57"/>
      <c r="EJM38" s="57"/>
      <c r="EJN38" s="58"/>
      <c r="EJO38" s="56"/>
      <c r="EJP38" s="57"/>
      <c r="EJQ38" s="57"/>
      <c r="EJR38" s="57"/>
      <c r="EJS38" s="57"/>
      <c r="EJT38" s="57"/>
      <c r="EJU38" s="56"/>
      <c r="EJV38" s="57"/>
      <c r="EJW38" s="57"/>
      <c r="EJX38" s="56"/>
      <c r="EJY38" s="57"/>
      <c r="EJZ38" s="58"/>
      <c r="EKA38" s="56"/>
      <c r="EKB38" s="57"/>
      <c r="EKC38" s="57"/>
      <c r="EKD38" s="57"/>
      <c r="EKE38" s="56"/>
      <c r="EKF38" s="57"/>
      <c r="EKG38" s="57"/>
      <c r="EKH38" s="56"/>
      <c r="EKI38" s="57"/>
      <c r="EKJ38" s="58"/>
      <c r="EKK38" s="56"/>
      <c r="EKL38" s="57"/>
      <c r="EKM38" s="57"/>
      <c r="EKN38" s="57"/>
      <c r="EKO38" s="56"/>
      <c r="EKP38" s="57"/>
      <c r="EKQ38" s="57"/>
      <c r="EKR38" s="56"/>
      <c r="EKS38" s="57"/>
      <c r="EKT38" s="58"/>
      <c r="EKU38" s="56"/>
      <c r="EKV38" s="57"/>
      <c r="EKW38" s="57"/>
      <c r="EKX38" s="57"/>
      <c r="EKY38" s="56"/>
      <c r="EKZ38" s="57"/>
      <c r="ELA38" s="57"/>
      <c r="ELB38" s="56"/>
      <c r="ELC38" s="57"/>
      <c r="ELD38" s="58"/>
      <c r="ELE38" s="56"/>
      <c r="ELF38" s="58"/>
      <c r="ELG38" s="57"/>
      <c r="ELH38" s="56"/>
      <c r="ELI38" s="57"/>
      <c r="ELJ38" s="56"/>
      <c r="ELK38" s="56"/>
      <c r="ELL38" s="56"/>
      <c r="ELM38" s="57"/>
      <c r="ELN38" s="57"/>
      <c r="ELO38" s="57"/>
      <c r="ELP38" s="57"/>
      <c r="ELQ38" s="57"/>
      <c r="ELR38" s="57"/>
      <c r="ELS38" s="57"/>
      <c r="ELT38" s="57"/>
      <c r="ELU38" s="57"/>
      <c r="ELV38" s="57"/>
      <c r="ELW38" s="57"/>
      <c r="ELX38" s="57"/>
      <c r="ELY38" s="57"/>
      <c r="ELZ38" s="57"/>
      <c r="EMA38" s="57"/>
      <c r="EMB38" s="57"/>
      <c r="EMC38" s="57"/>
      <c r="EMD38" s="57"/>
      <c r="EME38" s="57"/>
      <c r="EMF38" s="57"/>
      <c r="EMG38" s="57"/>
      <c r="EMH38" s="57"/>
      <c r="EMI38" s="57"/>
      <c r="EMJ38" s="57"/>
      <c r="EMK38" s="57"/>
      <c r="EML38" s="57"/>
      <c r="EMM38" s="57"/>
      <c r="EMN38" s="57"/>
      <c r="EMO38" s="57"/>
      <c r="EMP38" s="57"/>
      <c r="EMQ38" s="57"/>
      <c r="EMR38" s="57"/>
      <c r="EMS38" s="57"/>
      <c r="EMT38" s="57"/>
      <c r="EMU38" s="57"/>
      <c r="EMV38" s="57"/>
      <c r="EMW38" s="57"/>
      <c r="EMX38" s="58"/>
      <c r="EMY38" s="56"/>
      <c r="EMZ38" s="57"/>
      <c r="ENA38" s="57"/>
      <c r="ENB38" s="57"/>
      <c r="ENC38" s="57"/>
      <c r="END38" s="57"/>
      <c r="ENE38" s="56"/>
      <c r="ENF38" s="57"/>
      <c r="ENG38" s="57"/>
      <c r="ENH38" s="56"/>
      <c r="ENI38" s="57"/>
      <c r="ENJ38" s="58"/>
      <c r="ENK38" s="56"/>
      <c r="ENL38" s="57"/>
      <c r="ENM38" s="57"/>
      <c r="ENN38" s="57"/>
      <c r="ENO38" s="56"/>
      <c r="ENP38" s="57"/>
      <c r="ENQ38" s="57"/>
      <c r="ENR38" s="56"/>
      <c r="ENS38" s="57"/>
      <c r="ENT38" s="58"/>
      <c r="ENU38" s="56"/>
      <c r="ENV38" s="57"/>
      <c r="ENW38" s="57"/>
      <c r="ENX38" s="57"/>
      <c r="ENY38" s="56"/>
      <c r="ENZ38" s="57"/>
      <c r="EOA38" s="57"/>
      <c r="EOB38" s="56"/>
      <c r="EOC38" s="57"/>
      <c r="EOD38" s="58"/>
      <c r="EOE38" s="56"/>
      <c r="EOF38" s="57"/>
      <c r="EOG38" s="57"/>
      <c r="EOH38" s="57"/>
      <c r="EOI38" s="56"/>
      <c r="EOJ38" s="57"/>
      <c r="EOK38" s="57"/>
      <c r="EOL38" s="56"/>
      <c r="EOM38" s="57"/>
      <c r="EON38" s="58"/>
      <c r="EOO38" s="56" t="str">
        <f t="shared" si="75"/>
        <v xml:space="preserve"> </v>
      </c>
    </row>
    <row r="39" spans="1:3785" x14ac:dyDescent="0.3">
      <c r="A39" s="27" t="s">
        <v>225</v>
      </c>
      <c r="B39" s="30"/>
      <c r="C39" s="29"/>
      <c r="D39" s="28" t="str">
        <f t="shared" si="61"/>
        <v xml:space="preserve"> </v>
      </c>
      <c r="E39" s="29"/>
      <c r="F39" s="28"/>
      <c r="G39" s="28"/>
      <c r="H39" s="28"/>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30"/>
      <c r="AU39" s="28"/>
      <c r="AV39" s="29"/>
      <c r="AW39" s="29"/>
      <c r="AX39" s="29"/>
      <c r="AY39" s="29"/>
      <c r="AZ39" s="29"/>
      <c r="BA39" s="28"/>
      <c r="BB39" s="29"/>
      <c r="BC39" s="29"/>
      <c r="BD39" s="28"/>
      <c r="BE39" s="29"/>
      <c r="BF39" s="30"/>
      <c r="BG39" s="28"/>
      <c r="BH39" s="29"/>
      <c r="BI39" s="29"/>
      <c r="BJ39" s="29"/>
      <c r="BK39" s="28"/>
      <c r="BL39" s="29"/>
      <c r="BM39" s="29"/>
      <c r="BN39" s="28"/>
      <c r="BO39" s="29"/>
      <c r="BP39" s="30"/>
      <c r="BQ39" s="28"/>
      <c r="BR39" s="29"/>
      <c r="BS39" s="29"/>
      <c r="BT39" s="29"/>
      <c r="BU39" s="28"/>
      <c r="BV39" s="29"/>
      <c r="BW39" s="29"/>
      <c r="BX39" s="28"/>
      <c r="BY39" s="29"/>
      <c r="BZ39" s="30"/>
      <c r="CA39" s="28"/>
      <c r="CB39" s="29"/>
      <c r="CC39" s="29"/>
      <c r="CD39" s="29"/>
      <c r="CE39" s="28"/>
      <c r="CF39" s="29"/>
      <c r="CG39" s="29"/>
      <c r="CH39" s="28"/>
      <c r="CI39" s="29"/>
      <c r="CJ39" s="30"/>
      <c r="CK39" s="28"/>
      <c r="CL39" s="29"/>
      <c r="CM39" s="29"/>
      <c r="CN39" s="29"/>
      <c r="CO39" s="28"/>
      <c r="CP39" s="29"/>
      <c r="CQ39" s="29"/>
      <c r="CR39" s="28"/>
      <c r="CS39" s="29"/>
      <c r="CT39" s="30"/>
      <c r="CU39" s="28"/>
      <c r="CV39" s="29"/>
      <c r="CW39" s="29"/>
      <c r="CX39" s="29"/>
      <c r="CY39" s="28"/>
      <c r="CZ39" s="29"/>
      <c r="DA39" s="29"/>
      <c r="DB39" s="28"/>
      <c r="DC39" s="29"/>
      <c r="DD39" s="30"/>
      <c r="DE39" s="28"/>
      <c r="DF39" s="29"/>
      <c r="DG39" s="29"/>
      <c r="DH39" s="29"/>
      <c r="DI39" s="28"/>
      <c r="DJ39" s="29"/>
      <c r="DK39" s="29"/>
      <c r="DL39" s="28"/>
      <c r="DM39" s="29"/>
      <c r="DN39" s="30"/>
      <c r="DO39" s="28"/>
      <c r="DP39" s="29"/>
      <c r="DQ39" s="29"/>
      <c r="DR39" s="29"/>
      <c r="DS39" s="28"/>
      <c r="DT39" s="29"/>
      <c r="DU39" s="29"/>
      <c r="DV39" s="28"/>
      <c r="DW39" s="29"/>
      <c r="DX39" s="30"/>
      <c r="DY39" s="28"/>
      <c r="DZ39" s="29"/>
      <c r="EA39" s="29"/>
      <c r="EB39" s="29"/>
      <c r="EC39" s="28"/>
      <c r="ED39" s="29"/>
      <c r="EE39" s="28"/>
      <c r="EF39" s="28"/>
      <c r="EG39" s="29"/>
      <c r="EH39" s="30"/>
      <c r="EI39" s="28"/>
      <c r="EJ39" s="29"/>
      <c r="EK39" s="29"/>
      <c r="EL39" s="29"/>
      <c r="EM39" s="28"/>
      <c r="EN39" s="29"/>
      <c r="EO39" s="33"/>
      <c r="EP39" s="28"/>
      <c r="EQ39" s="29"/>
      <c r="ER39" s="30"/>
      <c r="ES39" s="28"/>
      <c r="ET39" s="29"/>
      <c r="EU39" s="29"/>
      <c r="EV39" s="29"/>
      <c r="EW39" s="28"/>
      <c r="EX39" s="29"/>
      <c r="EY39" s="29"/>
      <c r="EZ39" s="28"/>
      <c r="FA39" s="29"/>
      <c r="FB39" s="30"/>
      <c r="FC39" s="28"/>
      <c r="FD39" s="29"/>
      <c r="FE39" s="29"/>
      <c r="FF39" s="29"/>
      <c r="FG39" s="28"/>
      <c r="FH39" s="29"/>
      <c r="FI39" s="29"/>
      <c r="FJ39" s="28"/>
      <c r="FK39" s="29"/>
      <c r="FL39" s="30"/>
      <c r="FM39" s="28"/>
      <c r="FN39" s="29"/>
      <c r="FO39" s="29"/>
      <c r="FP39" s="29"/>
      <c r="FQ39" s="28"/>
      <c r="FR39" s="29"/>
      <c r="FS39" s="29"/>
      <c r="FT39" s="28"/>
      <c r="FU39" s="29"/>
      <c r="FV39" s="30"/>
      <c r="FW39" s="28"/>
      <c r="FX39" s="29"/>
      <c r="FY39" s="29"/>
      <c r="FZ39" s="29"/>
      <c r="GA39" s="28"/>
      <c r="GB39" s="29"/>
      <c r="GC39" s="29"/>
      <c r="GD39" s="28"/>
      <c r="GE39" s="29"/>
      <c r="GF39" s="30"/>
      <c r="GG39" s="28"/>
      <c r="GH39" s="29"/>
      <c r="GI39" s="29"/>
      <c r="GJ39" s="29"/>
      <c r="GK39" s="28"/>
      <c r="GL39" s="29"/>
      <c r="GM39" s="29"/>
      <c r="GN39" s="28"/>
      <c r="GO39" s="29"/>
      <c r="GP39" s="30"/>
      <c r="GQ39" s="28"/>
      <c r="GR39" s="29"/>
      <c r="GS39" s="29"/>
      <c r="GT39" s="29"/>
      <c r="GU39" s="28"/>
      <c r="GV39" s="29"/>
      <c r="GW39" s="29"/>
      <c r="GX39" s="28"/>
      <c r="GY39" s="29"/>
      <c r="GZ39" s="30"/>
      <c r="HA39" s="28"/>
      <c r="HB39" s="29"/>
      <c r="HC39" s="29"/>
      <c r="HD39" s="29"/>
      <c r="HE39" s="28"/>
      <c r="HF39" s="29"/>
      <c r="HG39" s="29"/>
      <c r="HH39" s="28"/>
      <c r="HI39" s="29"/>
      <c r="HJ39" s="30"/>
      <c r="HK39" s="28"/>
      <c r="HL39" s="29"/>
      <c r="HM39" s="29"/>
      <c r="HN39" s="29"/>
      <c r="HO39" s="28"/>
      <c r="HP39" s="29"/>
      <c r="HQ39" s="29"/>
      <c r="HR39" s="28"/>
      <c r="HS39" s="29"/>
      <c r="HT39" s="30"/>
      <c r="HU39" s="28"/>
      <c r="HV39" s="29"/>
      <c r="HW39" s="29"/>
      <c r="HX39" s="29"/>
      <c r="HY39" s="28"/>
      <c r="HZ39" s="29"/>
      <c r="IA39" s="29"/>
      <c r="IB39" s="28"/>
      <c r="IC39" s="29"/>
      <c r="ID39" s="30"/>
      <c r="IE39" s="28"/>
      <c r="IF39" s="29"/>
      <c r="IG39" s="29"/>
      <c r="IH39" s="29"/>
      <c r="II39" s="28"/>
      <c r="IJ39" s="29"/>
      <c r="IK39" s="29"/>
      <c r="IL39" s="28"/>
      <c r="IM39" s="29"/>
      <c r="IN39" s="30"/>
      <c r="IO39" s="28"/>
      <c r="IP39" s="29"/>
      <c r="IQ39" s="29"/>
      <c r="IR39" s="29"/>
      <c r="IS39" s="28"/>
      <c r="IT39" s="29"/>
      <c r="IU39" s="29"/>
      <c r="IV39" s="28"/>
      <c r="IW39" s="29"/>
      <c r="IX39" s="30"/>
      <c r="IY39" s="28"/>
      <c r="IZ39" s="29"/>
      <c r="JA39" s="29"/>
      <c r="JB39" s="29"/>
      <c r="JC39" s="28"/>
      <c r="JD39" s="29"/>
      <c r="JE39" s="29"/>
      <c r="JF39" s="28"/>
      <c r="JG39" s="29"/>
      <c r="JH39" s="30"/>
      <c r="JI39" s="28"/>
      <c r="JJ39" s="29"/>
      <c r="JK39" s="29"/>
      <c r="JL39" s="29"/>
      <c r="JM39" s="28"/>
      <c r="JN39" s="29"/>
      <c r="JO39" s="29"/>
      <c r="JP39" s="28"/>
      <c r="JQ39" s="29"/>
      <c r="JR39" s="30"/>
      <c r="JS39" s="28"/>
      <c r="JT39" s="29"/>
      <c r="JU39" s="29"/>
      <c r="JV39" s="29"/>
      <c r="JW39" s="28"/>
      <c r="JX39" s="29"/>
      <c r="JY39" s="29"/>
      <c r="JZ39" s="28"/>
      <c r="KA39" s="29"/>
      <c r="KB39" s="30"/>
      <c r="KC39" s="28"/>
      <c r="KD39" s="29"/>
      <c r="KE39" s="29"/>
      <c r="KF39" s="29"/>
      <c r="KG39" s="28"/>
      <c r="KH39" s="29"/>
      <c r="KI39" s="29"/>
      <c r="KJ39" s="28"/>
      <c r="KK39" s="29"/>
      <c r="KL39" s="30"/>
      <c r="KM39" s="28"/>
      <c r="KN39" s="29"/>
      <c r="KO39" s="29"/>
      <c r="KP39" s="29"/>
      <c r="KQ39" s="28"/>
      <c r="KR39" s="29"/>
      <c r="KS39" s="29"/>
      <c r="KT39" s="28"/>
      <c r="KU39" s="29"/>
      <c r="KV39" s="30"/>
      <c r="KW39" s="28"/>
      <c r="KX39" s="29"/>
      <c r="KY39" s="29"/>
      <c r="KZ39" s="29"/>
      <c r="LA39" s="28"/>
      <c r="LB39" s="29"/>
      <c r="LC39" s="29"/>
      <c r="LD39" s="28"/>
      <c r="LE39" s="29"/>
      <c r="LF39" s="30"/>
      <c r="LG39" s="28"/>
      <c r="LH39" s="29"/>
      <c r="LI39" s="29"/>
      <c r="LJ39" s="29"/>
      <c r="LK39" s="28"/>
      <c r="LL39" s="29"/>
      <c r="LM39" s="29"/>
      <c r="LN39" s="28"/>
      <c r="LO39" s="29"/>
      <c r="LP39" s="30"/>
      <c r="LQ39" s="28"/>
      <c r="LR39" s="29"/>
      <c r="LS39" s="29"/>
      <c r="LT39" s="29"/>
      <c r="LU39" s="28"/>
      <c r="LV39" s="29"/>
      <c r="LW39" s="29"/>
      <c r="LX39" s="28"/>
      <c r="LY39" s="29"/>
      <c r="LZ39" s="30"/>
      <c r="MA39" s="28"/>
      <c r="MB39" s="29"/>
      <c r="MC39" s="29"/>
      <c r="MD39" s="29"/>
      <c r="ME39" s="28"/>
      <c r="MF39" s="29"/>
      <c r="MG39" s="29"/>
      <c r="MH39" s="28"/>
      <c r="MI39" s="29"/>
      <c r="MJ39" s="30"/>
      <c r="MK39" s="28"/>
      <c r="ML39" s="29"/>
      <c r="MM39" s="29"/>
      <c r="MN39" s="29"/>
      <c r="MO39" s="28"/>
      <c r="MP39" s="29"/>
      <c r="MQ39" s="29"/>
      <c r="MR39" s="28"/>
      <c r="MS39" s="29"/>
      <c r="MT39" s="30"/>
      <c r="MU39" s="28"/>
      <c r="MV39" s="29"/>
      <c r="MW39" s="29"/>
      <c r="MX39" s="29"/>
      <c r="MY39" s="28"/>
      <c r="MZ39" s="29"/>
      <c r="NA39" s="29"/>
      <c r="NB39" s="28"/>
      <c r="NC39" s="29"/>
      <c r="ND39" s="30"/>
      <c r="NE39" s="28"/>
      <c r="NF39" s="29"/>
      <c r="NG39" s="29"/>
      <c r="NH39" s="29"/>
      <c r="NI39" s="28"/>
      <c r="NJ39" s="29"/>
      <c r="NK39" s="29"/>
      <c r="NL39" s="28"/>
      <c r="NM39" s="29"/>
      <c r="NN39" s="30"/>
      <c r="NO39" s="28"/>
      <c r="NP39" s="29"/>
      <c r="NQ39" s="29"/>
      <c r="NR39" s="29"/>
      <c r="NS39" s="28"/>
      <c r="NT39" s="29"/>
      <c r="NU39" s="29"/>
      <c r="NV39" s="28"/>
      <c r="NW39" s="29"/>
      <c r="NX39" s="30"/>
      <c r="NY39" s="28"/>
      <c r="NZ39" s="29"/>
      <c r="OA39" s="29"/>
      <c r="OB39" s="29"/>
      <c r="OC39" s="28"/>
      <c r="OD39" s="29"/>
      <c r="OE39" s="29"/>
      <c r="OF39" s="30"/>
      <c r="OG39" s="30"/>
      <c r="OH39" s="30"/>
      <c r="OI39" s="28"/>
      <c r="OJ39" s="30"/>
      <c r="OK39" s="30"/>
      <c r="OL39" s="30"/>
      <c r="OM39" s="30"/>
      <c r="ON39" s="30"/>
      <c r="OO39" s="30"/>
      <c r="OP39" s="28"/>
      <c r="OQ39" s="29"/>
      <c r="OR39" s="30"/>
      <c r="OS39" s="28"/>
      <c r="OT39" s="29"/>
      <c r="OU39" s="29"/>
      <c r="OV39" s="29"/>
      <c r="OW39" s="28"/>
      <c r="OX39" s="29"/>
      <c r="OY39" s="29"/>
      <c r="OZ39" s="28"/>
      <c r="PA39" s="29"/>
      <c r="PB39" s="30"/>
      <c r="PC39" s="28"/>
      <c r="PD39" s="29"/>
      <c r="PE39" s="29"/>
      <c r="PF39" s="29"/>
      <c r="PG39" s="28"/>
      <c r="PH39" s="29"/>
      <c r="PI39" s="29"/>
      <c r="PJ39" s="28"/>
      <c r="PK39" s="29"/>
      <c r="PL39" s="30"/>
      <c r="PM39" s="28"/>
      <c r="PN39" s="29"/>
      <c r="PO39" s="29"/>
      <c r="PP39" s="29"/>
      <c r="PQ39" s="28"/>
      <c r="PR39" s="29"/>
      <c r="PS39" s="29"/>
      <c r="PT39" s="28"/>
      <c r="PU39" s="29"/>
      <c r="PV39" s="30"/>
      <c r="PW39" s="28"/>
      <c r="PX39" s="29"/>
      <c r="PY39" s="29"/>
      <c r="PZ39" s="29"/>
      <c r="QA39" s="28"/>
      <c r="QB39" s="29"/>
      <c r="QC39" s="29"/>
      <c r="QD39" s="28"/>
      <c r="QE39" s="29"/>
      <c r="QF39" s="30"/>
      <c r="QG39" s="28"/>
      <c r="QH39" s="29"/>
      <c r="QI39" s="29"/>
      <c r="QJ39" s="29"/>
      <c r="QK39" s="28"/>
      <c r="QL39" s="29"/>
      <c r="QM39" s="29"/>
      <c r="QN39" s="28"/>
      <c r="QO39" s="29"/>
      <c r="QP39" s="30"/>
      <c r="QQ39" s="28"/>
      <c r="QR39" s="29"/>
      <c r="QS39" s="29"/>
      <c r="QT39" s="29"/>
      <c r="QU39" s="28"/>
      <c r="QV39" s="29"/>
      <c r="QW39" s="29"/>
      <c r="QX39" s="28"/>
      <c r="QY39" s="29"/>
      <c r="QZ39" s="30"/>
      <c r="RA39" s="28"/>
      <c r="RB39" s="29"/>
      <c r="RC39" s="29"/>
      <c r="RD39" s="29"/>
      <c r="RE39" s="28"/>
      <c r="RF39" s="29"/>
      <c r="RG39" s="29"/>
      <c r="RH39" s="28"/>
      <c r="RI39" s="29"/>
      <c r="RJ39" s="30"/>
      <c r="RK39" s="28"/>
      <c r="RL39" s="29"/>
      <c r="RM39" s="29"/>
      <c r="RN39" s="29"/>
      <c r="RO39" s="28"/>
      <c r="RP39" s="29"/>
      <c r="RQ39" s="29"/>
      <c r="RR39" s="28"/>
      <c r="RS39" s="29"/>
      <c r="RT39" s="30"/>
      <c r="RU39" s="28"/>
      <c r="RV39" s="29"/>
      <c r="RW39" s="29"/>
      <c r="RX39" s="29"/>
      <c r="RY39" s="28"/>
      <c r="RZ39" s="29"/>
      <c r="SA39" s="29"/>
      <c r="SB39" s="28"/>
      <c r="SC39" s="29"/>
      <c r="SD39" s="30"/>
      <c r="SE39" s="28"/>
      <c r="SF39" s="29"/>
      <c r="SG39" s="29"/>
      <c r="SH39" s="29"/>
      <c r="SI39" s="28"/>
      <c r="SJ39" s="29"/>
      <c r="SK39" s="29"/>
      <c r="SL39" s="28"/>
      <c r="SM39" s="29"/>
      <c r="SN39" s="30"/>
      <c r="SO39" s="28"/>
      <c r="SP39" s="29"/>
      <c r="SQ39" s="29"/>
      <c r="SR39" s="29"/>
      <c r="SS39" s="28"/>
      <c r="ST39" s="29"/>
      <c r="SU39" s="29"/>
      <c r="SV39" s="28"/>
      <c r="SW39" s="29"/>
      <c r="SX39" s="30"/>
      <c r="SY39" s="28"/>
      <c r="SZ39" s="29"/>
      <c r="TA39" s="29"/>
      <c r="TB39" s="29"/>
      <c r="TC39" s="28"/>
      <c r="TD39" s="29"/>
      <c r="TE39" s="29"/>
      <c r="TF39" s="28"/>
      <c r="TG39" s="29"/>
      <c r="TH39" s="30"/>
      <c r="TI39" s="28"/>
      <c r="TJ39" s="29"/>
      <c r="TK39" s="29"/>
      <c r="TL39" s="29"/>
      <c r="TM39" s="28"/>
      <c r="TN39" s="29"/>
      <c r="TO39" s="29"/>
      <c r="TP39" s="28"/>
      <c r="TQ39" s="29"/>
      <c r="TR39" s="30"/>
      <c r="TS39" s="28"/>
      <c r="TT39" s="29"/>
      <c r="TU39" s="29"/>
      <c r="TV39" s="29"/>
      <c r="TW39" s="28"/>
      <c r="TX39" s="29"/>
      <c r="TY39" s="29"/>
      <c r="TZ39" s="28"/>
      <c r="UA39" s="29"/>
      <c r="UB39" s="30"/>
      <c r="UC39" s="28"/>
      <c r="UD39" s="29"/>
      <c r="UE39" s="29"/>
      <c r="UF39" s="29"/>
      <c r="UG39" s="28"/>
      <c r="UH39" s="29"/>
      <c r="UI39" s="29"/>
      <c r="UJ39" s="28"/>
      <c r="UK39" s="29"/>
      <c r="UL39" s="30"/>
      <c r="UM39" s="28"/>
      <c r="UN39" s="29"/>
      <c r="UO39" s="29"/>
      <c r="UP39" s="29"/>
      <c r="UQ39" s="28"/>
      <c r="UR39" s="29"/>
      <c r="US39" s="29"/>
      <c r="UT39" s="28"/>
      <c r="UU39" s="29"/>
      <c r="UV39" s="30"/>
      <c r="UW39" s="28"/>
      <c r="UX39" s="29"/>
      <c r="UY39" s="29"/>
      <c r="UZ39" s="29"/>
      <c r="VA39" s="28"/>
      <c r="VB39" s="29"/>
      <c r="VC39" s="29"/>
      <c r="VD39" s="28"/>
      <c r="VE39" s="29"/>
      <c r="VF39" s="30"/>
      <c r="VG39" s="28"/>
      <c r="VH39" s="29"/>
      <c r="VI39" s="29"/>
      <c r="VJ39" s="29"/>
      <c r="VK39" s="28"/>
      <c r="VL39" s="29"/>
      <c r="VM39" s="29"/>
      <c r="VN39" s="28"/>
      <c r="VO39" s="29"/>
      <c r="VP39" s="30"/>
      <c r="VQ39" s="28"/>
      <c r="VR39" s="29"/>
      <c r="VS39" s="29"/>
      <c r="VT39" s="29"/>
      <c r="VU39" s="28"/>
      <c r="VV39" s="29"/>
      <c r="VW39" s="29"/>
      <c r="VX39" s="28"/>
      <c r="VY39" s="29"/>
      <c r="VZ39" s="30"/>
      <c r="WA39" s="28"/>
      <c r="WB39" s="29"/>
      <c r="WC39" s="29"/>
      <c r="WD39" s="29"/>
      <c r="WE39" s="28"/>
      <c r="WF39" s="29"/>
      <c r="WG39" s="29"/>
      <c r="WH39" s="28"/>
      <c r="WI39" s="29"/>
      <c r="WJ39" s="30"/>
      <c r="WK39" s="28"/>
      <c r="WL39" s="29"/>
      <c r="WM39" s="29"/>
      <c r="WN39" s="29"/>
      <c r="WO39" s="28"/>
      <c r="WP39" s="29"/>
      <c r="WQ39" s="29"/>
      <c r="WR39" s="28"/>
      <c r="WS39" s="29"/>
      <c r="WT39" s="30"/>
      <c r="WU39" s="28"/>
      <c r="WV39" s="29"/>
      <c r="WW39" s="29"/>
      <c r="WX39" s="29"/>
      <c r="WY39" s="28"/>
      <c r="WZ39" s="29"/>
      <c r="XA39" s="29"/>
      <c r="XB39" s="28"/>
      <c r="XC39" s="29"/>
      <c r="XD39" s="30"/>
      <c r="XE39" s="28"/>
      <c r="XF39" s="29"/>
      <c r="XG39" s="29"/>
      <c r="XH39" s="29"/>
      <c r="XI39" s="28"/>
      <c r="XJ39" s="29"/>
      <c r="XK39" s="29"/>
      <c r="XL39" s="28"/>
      <c r="XM39" s="29"/>
      <c r="XN39" s="30"/>
      <c r="XO39" s="28"/>
      <c r="XP39" s="29"/>
      <c r="XQ39" s="29"/>
      <c r="XR39" s="29"/>
      <c r="XS39" s="28"/>
      <c r="XT39" s="29"/>
      <c r="XU39" s="29"/>
      <c r="XV39" s="28"/>
      <c r="XW39" s="29"/>
      <c r="XX39" s="30"/>
      <c r="XY39" s="28"/>
      <c r="XZ39" s="29"/>
      <c r="YA39" s="29"/>
      <c r="YB39" s="29"/>
      <c r="YC39" s="28"/>
      <c r="YD39" s="29"/>
      <c r="YE39" s="29"/>
      <c r="YF39" s="28"/>
      <c r="YG39" s="29"/>
      <c r="YH39" s="30"/>
      <c r="YI39" s="28"/>
      <c r="YJ39" s="29"/>
      <c r="YK39" s="29"/>
      <c r="YL39" s="29"/>
      <c r="YM39" s="28"/>
      <c r="YN39" s="29"/>
      <c r="YO39" s="29"/>
      <c r="YP39" s="28"/>
      <c r="YQ39" s="29"/>
      <c r="YR39" s="30"/>
      <c r="YS39" s="28"/>
      <c r="YT39" s="29"/>
      <c r="YU39" s="29"/>
      <c r="YV39" s="29"/>
      <c r="YW39" s="28"/>
      <c r="YX39" s="29"/>
      <c r="YY39" s="29"/>
      <c r="YZ39" s="28"/>
      <c r="ZA39" s="29"/>
      <c r="ZB39" s="30"/>
      <c r="ZC39" s="28"/>
      <c r="ZD39" s="29"/>
      <c r="ZE39" s="29"/>
      <c r="ZF39" s="29"/>
      <c r="ZG39" s="28"/>
      <c r="ZH39" s="29"/>
      <c r="ZI39" s="29"/>
      <c r="ZJ39" s="28"/>
      <c r="ZK39" s="29"/>
      <c r="ZL39" s="30"/>
      <c r="ZM39" s="28"/>
      <c r="ZN39" s="29"/>
      <c r="ZO39" s="29"/>
      <c r="ZP39" s="29"/>
      <c r="ZQ39" s="28"/>
      <c r="ZR39" s="29"/>
      <c r="ZS39" s="29"/>
      <c r="ZT39" s="28"/>
      <c r="ZU39" s="29"/>
      <c r="ZV39" s="30"/>
      <c r="ZW39" s="28"/>
      <c r="ZX39" s="29"/>
      <c r="ZY39" s="29"/>
      <c r="ZZ39" s="29"/>
      <c r="AAA39" s="28"/>
      <c r="AAB39" s="29"/>
      <c r="AAC39" s="29"/>
      <c r="AAD39" s="28"/>
      <c r="AAE39" s="29"/>
      <c r="AAF39" s="30"/>
      <c r="AAG39" s="28"/>
      <c r="AAH39" s="29"/>
      <c r="AAI39" s="29"/>
      <c r="AAJ39" s="29"/>
      <c r="AAK39" s="28"/>
      <c r="AAL39" s="29"/>
      <c r="AAM39" s="29"/>
      <c r="AAN39" s="28"/>
      <c r="AAO39" s="29"/>
      <c r="AAP39" s="30"/>
      <c r="AAQ39" s="28"/>
      <c r="AAR39" s="29"/>
      <c r="AAS39" s="29"/>
      <c r="AAT39" s="29"/>
      <c r="AAU39" s="28"/>
      <c r="AAV39" s="29"/>
      <c r="AAW39" s="29"/>
      <c r="AAX39" s="28"/>
      <c r="AAY39" s="29"/>
      <c r="AAZ39" s="30"/>
      <c r="ABA39" s="28"/>
      <c r="ABB39" s="29"/>
      <c r="ABC39" s="29"/>
      <c r="ABD39" s="29"/>
      <c r="ABE39" s="28"/>
      <c r="ABF39" s="29"/>
      <c r="ABG39" s="29"/>
      <c r="ABH39" s="28"/>
      <c r="ABI39" s="29"/>
      <c r="ABJ39" s="30"/>
      <c r="ABK39" s="28"/>
      <c r="ABL39" s="29"/>
      <c r="ABM39" s="29"/>
      <c r="ABN39" s="29"/>
      <c r="ABO39" s="28"/>
      <c r="ABP39" s="29"/>
      <c r="ABQ39" s="29"/>
      <c r="ABR39" s="28"/>
      <c r="ABS39" s="29"/>
      <c r="ABT39" s="30"/>
      <c r="ABU39" s="28"/>
      <c r="ABV39" s="29"/>
      <c r="ABW39" s="29"/>
      <c r="ABX39" s="29"/>
      <c r="ABY39" s="28"/>
      <c r="ABZ39" s="29"/>
      <c r="ACA39" s="29"/>
      <c r="ACB39" s="28"/>
      <c r="ACC39" s="29"/>
      <c r="ACD39" s="30"/>
      <c r="ACE39" s="28"/>
      <c r="ACF39" s="29"/>
      <c r="ACG39" s="29"/>
      <c r="ACH39" s="29"/>
      <c r="ACI39" s="28"/>
      <c r="ACJ39" s="29"/>
      <c r="ACK39" s="29"/>
      <c r="ACL39" s="28"/>
      <c r="ACM39" s="29"/>
      <c r="ACN39" s="30"/>
      <c r="ACO39" s="28"/>
      <c r="ACP39" s="29"/>
      <c r="ACQ39" s="29"/>
      <c r="ACR39" s="29"/>
      <c r="ACS39" s="28"/>
      <c r="ACT39" s="29"/>
      <c r="ACU39" s="29"/>
      <c r="ACV39" s="28"/>
      <c r="ACW39" s="29"/>
      <c r="ACX39" s="30"/>
      <c r="ACY39" s="28"/>
      <c r="ACZ39" s="29"/>
      <c r="ADA39" s="29"/>
      <c r="ADB39" s="29"/>
      <c r="ADC39" s="28"/>
      <c r="ADD39" s="29"/>
      <c r="ADE39" s="29"/>
      <c r="ADF39" s="28"/>
      <c r="ADG39" s="29"/>
      <c r="ADH39" s="30"/>
      <c r="ADI39" s="28"/>
      <c r="ADJ39" s="29"/>
      <c r="ADK39" s="29"/>
      <c r="ADL39" s="29"/>
      <c r="ADM39" s="28"/>
      <c r="ADN39" s="29"/>
      <c r="ADO39" s="29"/>
      <c r="ADP39" s="28"/>
      <c r="ADQ39" s="29"/>
      <c r="ADR39" s="30"/>
      <c r="ADS39" s="28"/>
      <c r="ADT39" s="29"/>
      <c r="ADU39" s="29"/>
      <c r="ADV39" s="29"/>
      <c r="ADW39" s="28"/>
      <c r="ADX39" s="29"/>
      <c r="ADY39" s="29"/>
      <c r="ADZ39" s="28"/>
      <c r="AEA39" s="29"/>
      <c r="AEB39" s="30"/>
      <c r="AEC39" s="28"/>
      <c r="AED39" s="29"/>
      <c r="AEE39" s="29"/>
      <c r="AEF39" s="29"/>
      <c r="AEG39" s="28"/>
      <c r="AEH39" s="29"/>
      <c r="AEI39" s="29"/>
      <c r="AEJ39" s="28"/>
      <c r="AEK39" s="29"/>
      <c r="AEL39" s="30"/>
      <c r="AEM39" s="28"/>
      <c r="AEN39" s="29"/>
      <c r="AEO39" s="29"/>
      <c r="AEP39" s="29"/>
      <c r="AEQ39" s="28"/>
      <c r="AER39" s="29"/>
      <c r="AES39" s="29"/>
      <c r="AET39" s="28"/>
      <c r="AEU39" s="29"/>
      <c r="AEV39" s="30"/>
      <c r="AEW39" s="28"/>
      <c r="AEX39" s="29"/>
      <c r="AEY39" s="29"/>
      <c r="AEZ39" s="29"/>
      <c r="AFA39" s="28"/>
      <c r="AFB39" s="29"/>
      <c r="AFC39" s="29"/>
      <c r="AFD39" s="28"/>
      <c r="AFE39" s="29"/>
      <c r="AFF39" s="30"/>
      <c r="AFG39" s="28"/>
      <c r="AFH39" s="29"/>
      <c r="AFI39" s="29"/>
      <c r="AFJ39" s="29"/>
      <c r="AFK39" s="28"/>
      <c r="AFL39" s="29"/>
      <c r="AFM39" s="29"/>
      <c r="AFN39" s="28"/>
      <c r="AFO39" s="29"/>
      <c r="AFP39" s="30"/>
      <c r="AFQ39" s="28"/>
      <c r="AFR39" s="29"/>
      <c r="AFS39" s="29"/>
      <c r="AFT39" s="29"/>
      <c r="AFU39" s="28"/>
      <c r="AFV39" s="29"/>
      <c r="AFW39" s="29"/>
      <c r="AFX39" s="28"/>
      <c r="AFY39" s="29"/>
      <c r="AFZ39" s="30"/>
      <c r="AGA39" s="28"/>
      <c r="AGB39" s="29"/>
      <c r="AGC39" s="29"/>
      <c r="AGD39" s="29"/>
      <c r="AGE39" s="28"/>
      <c r="AGF39" s="29"/>
      <c r="AGG39" s="29"/>
      <c r="AGH39" s="28"/>
      <c r="AGI39" s="29"/>
      <c r="AGJ39" s="30"/>
      <c r="AGK39" s="28"/>
      <c r="AGL39" s="29"/>
      <c r="AGM39" s="29"/>
      <c r="AGN39" s="29"/>
      <c r="AGO39" s="28"/>
      <c r="AGP39" s="29"/>
      <c r="AGQ39" s="29"/>
      <c r="AGR39" s="28"/>
      <c r="AGS39" s="29"/>
      <c r="AGT39" s="30"/>
      <c r="AGU39" s="28"/>
      <c r="AGV39" s="29"/>
      <c r="AGW39" s="29"/>
      <c r="AGX39" s="29"/>
      <c r="AGY39" s="28"/>
      <c r="AGZ39" s="29"/>
      <c r="AHA39" s="29"/>
      <c r="AHB39" s="28"/>
      <c r="AHC39" s="29"/>
      <c r="AHD39" s="30"/>
      <c r="AHE39" s="28"/>
      <c r="AHF39" s="29"/>
      <c r="AHG39" s="29"/>
      <c r="AHH39" s="29"/>
      <c r="AHI39" s="28"/>
      <c r="AHJ39" s="29"/>
      <c r="AHK39" s="29"/>
      <c r="AHL39" s="28"/>
      <c r="AHM39" s="29"/>
      <c r="AHN39" s="30"/>
      <c r="AHO39" s="28"/>
      <c r="AHP39" s="29"/>
      <c r="AHQ39" s="29"/>
      <c r="AHR39" s="29"/>
      <c r="AHS39" s="28"/>
      <c r="AHT39" s="29"/>
      <c r="AHU39" s="29"/>
      <c r="AHV39" s="28"/>
      <c r="AHW39" s="29"/>
      <c r="AHX39" s="30"/>
      <c r="AHY39" s="28"/>
      <c r="AHZ39" s="29"/>
      <c r="AIA39" s="29"/>
      <c r="AIB39" s="29"/>
      <c r="AIC39" s="28"/>
      <c r="AID39" s="29"/>
      <c r="AIE39" s="29"/>
      <c r="AIF39" s="28"/>
      <c r="AIG39" s="29"/>
      <c r="AIH39" s="30"/>
      <c r="AII39" s="28"/>
      <c r="AIJ39" s="29"/>
      <c r="AIK39" s="29"/>
      <c r="AIL39" s="29"/>
      <c r="AIM39" s="28"/>
      <c r="AIN39" s="29"/>
      <c r="AIO39" s="29"/>
      <c r="AIP39" s="28"/>
      <c r="AIQ39" s="29"/>
      <c r="AIR39" s="30"/>
      <c r="AIS39" s="28"/>
      <c r="AIT39" s="29"/>
      <c r="AIU39" s="29"/>
      <c r="AIV39" s="29"/>
      <c r="AIW39" s="28"/>
      <c r="AIX39" s="29"/>
      <c r="AIY39" s="29"/>
      <c r="AIZ39" s="28"/>
      <c r="AJA39" s="29"/>
      <c r="AJB39" s="30"/>
      <c r="AJC39" s="28"/>
      <c r="AJD39" s="29"/>
      <c r="AJE39" s="29"/>
      <c r="AJF39" s="29"/>
      <c r="AJG39" s="28"/>
      <c r="AJH39" s="29"/>
      <c r="AJI39" s="29"/>
      <c r="AJJ39" s="28"/>
      <c r="AJK39" s="29"/>
      <c r="AJL39" s="30"/>
      <c r="AJM39" s="28"/>
      <c r="AJN39" s="29"/>
      <c r="AJO39" s="29"/>
      <c r="AJP39" s="29"/>
      <c r="AJQ39" s="28"/>
      <c r="AJR39" s="29"/>
      <c r="AJS39" s="29"/>
      <c r="AJT39" s="28"/>
      <c r="AJU39" s="29"/>
      <c r="AJV39" s="30"/>
      <c r="AJW39" s="28"/>
      <c r="AJX39" s="29"/>
      <c r="AJY39" s="29"/>
      <c r="AJZ39" s="29"/>
      <c r="AKA39" s="28"/>
      <c r="AKB39" s="29"/>
      <c r="AKC39" s="29"/>
      <c r="AKD39" s="28"/>
      <c r="AKE39" s="29"/>
      <c r="AKF39" s="30"/>
      <c r="AKG39" s="28"/>
      <c r="AKH39" s="29"/>
      <c r="AKI39" s="29"/>
      <c r="AKJ39" s="29"/>
      <c r="AKK39" s="28"/>
      <c r="AKL39" s="29"/>
      <c r="AKM39" s="29"/>
      <c r="AKN39" s="28"/>
      <c r="AKO39" s="29"/>
      <c r="AKP39" s="30"/>
      <c r="AKQ39" s="28"/>
      <c r="AKR39" s="29"/>
      <c r="AKS39" s="29"/>
      <c r="AKT39" s="29"/>
      <c r="AKU39" s="28"/>
      <c r="AKV39" s="29"/>
      <c r="AKW39" s="29"/>
      <c r="AKX39" s="28"/>
      <c r="AKY39" s="29"/>
      <c r="AKZ39" s="30"/>
      <c r="ALA39" s="28"/>
      <c r="ALB39" s="29"/>
      <c r="ALC39" s="29"/>
      <c r="ALD39" s="29"/>
      <c r="ALE39" s="28"/>
      <c r="ALF39" s="29"/>
      <c r="ALG39" s="29"/>
      <c r="ALH39" s="29"/>
      <c r="ALI39" s="29"/>
      <c r="ALJ39" s="29"/>
      <c r="ALK39" s="28"/>
      <c r="ALL39" s="29"/>
      <c r="ALM39" s="29"/>
      <c r="ALN39" s="28"/>
      <c r="ALO39" s="29"/>
      <c r="ALP39" s="30"/>
      <c r="ALQ39" s="28"/>
      <c r="ALR39" s="29"/>
      <c r="ALS39" s="29"/>
      <c r="ALT39" s="29"/>
      <c r="ALU39" s="28"/>
      <c r="ALV39" s="29"/>
      <c r="ALW39" s="29"/>
      <c r="ALX39" s="28"/>
      <c r="ALY39" s="29"/>
      <c r="ALZ39" s="30"/>
      <c r="AMA39" s="28"/>
      <c r="AMB39" s="29"/>
      <c r="AMC39" s="29"/>
      <c r="AMD39" s="29"/>
      <c r="AME39" s="28"/>
      <c r="AMF39" s="29"/>
      <c r="AMG39" s="29"/>
      <c r="AMH39" s="29"/>
      <c r="AMI39" s="29"/>
      <c r="AMJ39" s="29"/>
      <c r="AMK39" s="28"/>
      <c r="AML39" s="29"/>
      <c r="AMM39" s="29"/>
      <c r="AMN39" s="28"/>
      <c r="AMO39" s="29"/>
      <c r="AMP39" s="30"/>
      <c r="AMQ39" s="28"/>
      <c r="AMR39" s="29"/>
      <c r="AMS39" s="29"/>
      <c r="AMT39" s="29"/>
      <c r="AMU39" s="28"/>
      <c r="AMV39" s="29"/>
      <c r="AMW39" s="29"/>
      <c r="AMX39" s="28"/>
      <c r="AMY39" s="29"/>
      <c r="AMZ39" s="30"/>
      <c r="ANA39" s="28"/>
      <c r="ANB39" s="29"/>
      <c r="ANC39" s="29"/>
      <c r="AND39" s="29"/>
      <c r="ANE39" s="28"/>
      <c r="ANF39" s="29"/>
      <c r="ANG39" s="29"/>
      <c r="ANH39" s="29"/>
      <c r="ANI39" s="29"/>
      <c r="ANJ39" s="29"/>
      <c r="ANK39" s="28"/>
      <c r="ANL39" s="29"/>
      <c r="ANM39" s="29"/>
      <c r="ANN39" s="28"/>
      <c r="ANO39" s="29"/>
      <c r="ANP39" s="30"/>
      <c r="ANQ39" s="28"/>
      <c r="ANR39" s="29"/>
      <c r="ANS39" s="29"/>
      <c r="ANT39" s="29"/>
      <c r="ANU39" s="28"/>
      <c r="ANV39" s="29"/>
      <c r="ANW39" s="29"/>
      <c r="ANX39" s="28"/>
      <c r="ANY39" s="29"/>
      <c r="ANZ39" s="30"/>
      <c r="AOA39" s="28"/>
      <c r="AOB39" s="29"/>
      <c r="AOC39" s="29"/>
      <c r="AOD39" s="29"/>
      <c r="AOE39" s="28"/>
      <c r="AOF39" s="29"/>
      <c r="AOG39" s="29"/>
      <c r="AOH39" s="29"/>
      <c r="AOI39" s="29"/>
      <c r="AOJ39" s="29"/>
      <c r="AOK39" s="28"/>
      <c r="AOL39" s="29"/>
      <c r="AOM39" s="29"/>
      <c r="AON39" s="28"/>
      <c r="AOO39" s="29"/>
      <c r="AOP39" s="30"/>
      <c r="AOQ39" s="28"/>
      <c r="AOR39" s="29"/>
      <c r="AOS39" s="29"/>
      <c r="AOT39" s="29"/>
      <c r="AOU39" s="28"/>
      <c r="AOV39" s="29"/>
      <c r="AOW39" s="29"/>
      <c r="AOX39" s="28"/>
      <c r="AOY39" s="29"/>
      <c r="AOZ39" s="30"/>
      <c r="APA39" s="28"/>
      <c r="APB39" s="29"/>
      <c r="APC39" s="29"/>
      <c r="APD39" s="29"/>
      <c r="APE39" s="28"/>
      <c r="APF39" s="29"/>
      <c r="APG39" s="29"/>
      <c r="APH39" s="29"/>
      <c r="API39" s="29"/>
      <c r="APJ39" s="29"/>
      <c r="APK39" s="28"/>
      <c r="APL39" s="29"/>
      <c r="APM39" s="29"/>
      <c r="APN39" s="28"/>
      <c r="APO39" s="29"/>
      <c r="APP39" s="30"/>
      <c r="APQ39" s="28"/>
      <c r="APR39" s="29"/>
      <c r="APS39" s="29"/>
      <c r="APT39" s="29"/>
      <c r="APU39" s="28"/>
      <c r="APV39" s="29"/>
      <c r="APW39" s="29"/>
      <c r="APX39" s="28"/>
      <c r="APY39" s="29"/>
      <c r="APZ39" s="30"/>
      <c r="AQA39" s="28"/>
      <c r="AQB39" s="29"/>
      <c r="AQC39" s="29"/>
      <c r="AQD39" s="29"/>
      <c r="AQE39" s="28"/>
      <c r="AQF39" s="29"/>
      <c r="AQG39" s="29"/>
      <c r="AQH39" s="29"/>
      <c r="AQI39" s="29"/>
      <c r="AQJ39" s="29"/>
      <c r="AQK39" s="28"/>
      <c r="AQL39" s="29"/>
      <c r="AQM39" s="29"/>
      <c r="AQN39" s="28"/>
      <c r="AQO39" s="29"/>
      <c r="AQP39" s="30"/>
      <c r="AQQ39" s="28"/>
      <c r="AQR39" s="29"/>
      <c r="AQS39" s="29"/>
      <c r="AQT39" s="29"/>
      <c r="AQU39" s="28"/>
      <c r="AQV39" s="29"/>
      <c r="AQW39" s="29"/>
      <c r="AQX39" s="28"/>
      <c r="AQY39" s="29"/>
      <c r="AQZ39" s="30"/>
      <c r="ARA39" s="28"/>
      <c r="ARB39" s="29"/>
      <c r="ARC39" s="29"/>
      <c r="ARD39" s="29"/>
      <c r="ARE39" s="28"/>
      <c r="ARF39" s="29"/>
      <c r="ARG39" s="29"/>
      <c r="ARH39" s="29"/>
      <c r="ARI39" s="29"/>
      <c r="ARJ39" s="29"/>
      <c r="ARK39" s="28"/>
      <c r="ARL39" s="29"/>
      <c r="ARM39" s="29"/>
      <c r="ARN39" s="28"/>
      <c r="ARO39" s="29"/>
      <c r="ARP39" s="30"/>
      <c r="ARQ39" s="28"/>
      <c r="ARR39" s="29"/>
      <c r="ARS39" s="29"/>
      <c r="ART39" s="29"/>
      <c r="ARU39" s="28"/>
      <c r="ARV39" s="29"/>
      <c r="ARW39" s="29"/>
      <c r="ARX39" s="28"/>
      <c r="ARY39" s="29"/>
      <c r="ARZ39" s="30"/>
      <c r="ASA39" s="28"/>
      <c r="ASB39" s="29"/>
      <c r="ASC39" s="29"/>
      <c r="ASD39" s="29"/>
      <c r="ASE39" s="28"/>
      <c r="ASF39" s="29"/>
      <c r="ASG39" s="29"/>
      <c r="ASH39" s="29"/>
      <c r="ASI39" s="29"/>
      <c r="ASJ39" s="29"/>
      <c r="ASK39" s="28"/>
      <c r="ASL39" s="29"/>
      <c r="ASM39" s="29"/>
      <c r="ASN39" s="28"/>
      <c r="ASO39" s="29"/>
      <c r="ASP39" s="30"/>
      <c r="ASQ39" s="28"/>
      <c r="ASR39" s="29"/>
      <c r="ASS39" s="29"/>
      <c r="AST39" s="29"/>
      <c r="ASU39" s="28"/>
      <c r="ASV39" s="29"/>
      <c r="ASW39" s="29"/>
      <c r="ASX39" s="28"/>
      <c r="ASY39" s="29"/>
      <c r="ASZ39" s="30"/>
      <c r="ATA39" s="28"/>
      <c r="ATB39" s="29"/>
      <c r="ATC39" s="29"/>
      <c r="ATD39" s="29"/>
      <c r="ATE39" s="28"/>
      <c r="ATF39" s="29"/>
      <c r="ATG39" s="29"/>
      <c r="ATH39" s="29"/>
      <c r="ATI39" s="29"/>
      <c r="ATJ39" s="29"/>
      <c r="ATK39" s="28"/>
      <c r="ATL39" s="29"/>
      <c r="ATM39" s="29"/>
      <c r="ATN39" s="28"/>
      <c r="ATO39" s="29"/>
      <c r="ATP39" s="30"/>
      <c r="ATQ39" s="28"/>
      <c r="ATR39" s="29"/>
      <c r="ATS39" s="29"/>
      <c r="ATT39" s="29"/>
      <c r="ATU39" s="28"/>
      <c r="ATV39" s="29"/>
      <c r="ATW39" s="29"/>
      <c r="ATX39" s="28"/>
      <c r="ATY39" s="29"/>
      <c r="ATZ39" s="30"/>
      <c r="AUA39" s="28"/>
      <c r="AUB39" s="29"/>
      <c r="AUC39" s="29"/>
      <c r="AUD39" s="29"/>
      <c r="AUE39" s="28"/>
      <c r="AUF39" s="29"/>
      <c r="AUG39" s="29"/>
      <c r="AUH39" s="29"/>
      <c r="AUI39" s="29"/>
      <c r="AUJ39" s="29"/>
      <c r="AUK39" s="28"/>
      <c r="AUL39" s="29"/>
      <c r="AUM39" s="29"/>
      <c r="AUN39" s="28"/>
      <c r="AUO39" s="29"/>
      <c r="AUP39" s="30"/>
      <c r="AUQ39" s="28"/>
      <c r="AUR39" s="29"/>
      <c r="AUS39" s="29"/>
      <c r="AUT39" s="29"/>
      <c r="AUU39" s="28"/>
      <c r="AUV39" s="29"/>
      <c r="AUW39" s="29"/>
      <c r="AUX39" s="28"/>
      <c r="AUY39" s="29"/>
      <c r="AUZ39" s="30"/>
      <c r="AVA39" s="28"/>
      <c r="AVB39" s="29"/>
      <c r="AVC39" s="29"/>
      <c r="AVD39" s="29"/>
      <c r="AVE39" s="28"/>
      <c r="AVF39" s="29"/>
      <c r="AVG39" s="29"/>
      <c r="AVH39" s="29"/>
      <c r="AVI39" s="29"/>
      <c r="AVJ39" s="29"/>
      <c r="AVK39" s="28"/>
      <c r="AVL39" s="29"/>
      <c r="AVM39" s="29"/>
      <c r="AVN39" s="28"/>
      <c r="AVO39" s="29"/>
      <c r="AVP39" s="30"/>
      <c r="AVQ39" s="28"/>
      <c r="AVR39" s="29"/>
      <c r="AVS39" s="29"/>
      <c r="AVT39" s="29"/>
      <c r="AVU39" s="28"/>
      <c r="AVV39" s="29"/>
      <c r="AVW39" s="29"/>
      <c r="AVX39" s="28"/>
      <c r="AVY39" s="29"/>
      <c r="AVZ39" s="30"/>
      <c r="AWA39" s="28"/>
      <c r="AWB39" s="29"/>
      <c r="AWC39" s="29"/>
      <c r="AWD39" s="29"/>
      <c r="AWE39" s="28"/>
      <c r="AWF39" s="29"/>
      <c r="AWG39" s="29"/>
      <c r="AWH39" s="29"/>
      <c r="AWI39" s="29"/>
      <c r="AWJ39" s="29"/>
      <c r="AWK39" s="28"/>
      <c r="AWL39" s="29"/>
      <c r="AWM39" s="29"/>
      <c r="AWN39" s="28"/>
      <c r="AWO39" s="29"/>
      <c r="AWP39" s="30"/>
      <c r="AWQ39" s="28"/>
      <c r="AWR39" s="29"/>
      <c r="AWS39" s="29"/>
      <c r="AWT39" s="29"/>
      <c r="AWU39" s="28"/>
      <c r="AWV39" s="29"/>
      <c r="AWW39" s="29"/>
      <c r="AWX39" s="28"/>
      <c r="AWY39" s="29"/>
      <c r="AWZ39" s="30"/>
      <c r="AXA39" s="28"/>
      <c r="AXB39" s="29"/>
      <c r="AXC39" s="29"/>
      <c r="AXD39" s="29"/>
      <c r="AXE39" s="28"/>
      <c r="AXF39" s="29"/>
      <c r="AXG39" s="29"/>
      <c r="AXH39" s="29"/>
      <c r="AXI39" s="29"/>
      <c r="AXJ39" s="29"/>
      <c r="AXK39" s="28"/>
      <c r="AXL39" s="29"/>
      <c r="AXM39" s="29"/>
      <c r="AXN39" s="28"/>
      <c r="AXO39" s="29"/>
      <c r="AXP39" s="30"/>
      <c r="AXQ39" s="28"/>
      <c r="AXR39" s="29"/>
      <c r="AXS39" s="29"/>
      <c r="AXT39" s="29"/>
      <c r="AXU39" s="28"/>
      <c r="AXV39" s="29"/>
      <c r="AXW39" s="29"/>
      <c r="AXX39" s="28"/>
      <c r="AXY39" s="29"/>
      <c r="AXZ39" s="30"/>
      <c r="AYA39" s="28"/>
      <c r="AYB39" s="29"/>
      <c r="AYC39" s="29"/>
      <c r="AYD39" s="29"/>
      <c r="AYE39" s="28"/>
      <c r="AYF39" s="29"/>
      <c r="AYG39" s="29"/>
      <c r="AYH39" s="29"/>
      <c r="AYI39" s="29"/>
      <c r="AYJ39" s="29"/>
      <c r="AYK39" s="28"/>
      <c r="AYL39" s="29"/>
      <c r="AYM39" s="29"/>
      <c r="AYN39" s="28"/>
      <c r="AYO39" s="29"/>
      <c r="AYP39" s="30"/>
      <c r="AYQ39" s="28"/>
      <c r="AYR39" s="29"/>
      <c r="AYS39" s="29"/>
      <c r="AYT39" s="29"/>
      <c r="AYU39" s="28"/>
      <c r="AYV39" s="29"/>
      <c r="AYW39" s="29"/>
      <c r="AYX39" s="28"/>
      <c r="AYY39" s="29"/>
      <c r="AYZ39" s="30"/>
      <c r="AZA39" s="28"/>
      <c r="AZB39" s="29"/>
      <c r="AZC39" s="29"/>
      <c r="AZD39" s="29"/>
      <c r="AZE39" s="28"/>
      <c r="AZF39" s="29"/>
      <c r="AZG39" s="29"/>
      <c r="AZH39" s="29"/>
      <c r="AZI39" s="29"/>
      <c r="AZJ39" s="29"/>
      <c r="AZK39" s="28"/>
      <c r="AZL39" s="29"/>
      <c r="AZM39" s="29"/>
      <c r="AZN39" s="28"/>
      <c r="AZO39" s="29"/>
      <c r="AZP39" s="30"/>
      <c r="AZQ39" s="28"/>
      <c r="AZR39" s="29"/>
      <c r="AZS39" s="29"/>
      <c r="AZT39" s="29"/>
      <c r="AZU39" s="28"/>
      <c r="AZV39" s="29"/>
      <c r="AZW39" s="29"/>
      <c r="AZX39" s="28"/>
      <c r="AZY39" s="29"/>
      <c r="AZZ39" s="30"/>
      <c r="BAA39" s="28"/>
      <c r="BAB39" s="29"/>
      <c r="BAC39" s="29"/>
      <c r="BAD39" s="29"/>
      <c r="BAE39" s="28"/>
      <c r="BAF39" s="29"/>
      <c r="BAG39" s="29"/>
      <c r="BAH39" s="29"/>
      <c r="BAI39" s="29"/>
      <c r="BAJ39" s="29"/>
      <c r="BAK39" s="28"/>
      <c r="BAL39" s="29"/>
      <c r="BAM39" s="29"/>
      <c r="BAN39" s="28"/>
      <c r="BAO39" s="29"/>
      <c r="BAP39" s="30"/>
      <c r="BAQ39" s="28"/>
      <c r="BAR39" s="29"/>
      <c r="BAS39" s="29"/>
      <c r="BAT39" s="29"/>
      <c r="BAU39" s="28"/>
      <c r="BAV39" s="29"/>
      <c r="BAW39" s="29"/>
      <c r="BAX39" s="28"/>
      <c r="BAY39" s="29"/>
      <c r="BAZ39" s="30"/>
      <c r="BBA39" s="28"/>
      <c r="BBB39" s="29"/>
      <c r="BBC39" s="29"/>
      <c r="BBD39" s="29"/>
      <c r="BBE39" s="28"/>
      <c r="BBF39" s="29"/>
      <c r="BBG39" s="29"/>
      <c r="BBH39" s="29"/>
      <c r="BBI39" s="29"/>
      <c r="BBJ39" s="29"/>
      <c r="BBK39" s="28"/>
      <c r="BBL39" s="29"/>
      <c r="BBM39" s="29"/>
      <c r="BBN39" s="28"/>
      <c r="BBO39" s="29"/>
      <c r="BBP39" s="30"/>
      <c r="BBQ39" s="28"/>
      <c r="BBR39" s="29"/>
      <c r="BBS39" s="29"/>
      <c r="BBT39" s="29"/>
      <c r="BBU39" s="28"/>
      <c r="BBV39" s="29"/>
      <c r="BBW39" s="29"/>
      <c r="BBX39" s="28"/>
      <c r="BBY39" s="29"/>
      <c r="BBZ39" s="30"/>
      <c r="BCA39" s="28"/>
      <c r="BCB39" s="29"/>
      <c r="BCC39" s="29"/>
      <c r="BCD39" s="29"/>
      <c r="BCE39" s="28"/>
      <c r="BCF39" s="29"/>
      <c r="BCG39" s="29"/>
      <c r="BCH39" s="29"/>
      <c r="BCI39" s="29"/>
      <c r="BCJ39" s="29"/>
      <c r="BCK39" s="28"/>
      <c r="BCL39" s="29"/>
      <c r="BCM39" s="29"/>
      <c r="BCN39" s="28"/>
      <c r="BCO39" s="29"/>
      <c r="BCP39" s="30"/>
      <c r="BCQ39" s="28"/>
      <c r="BCR39" s="29"/>
      <c r="BCS39" s="29"/>
      <c r="BCT39" s="29"/>
      <c r="BCU39" s="28"/>
      <c r="BCV39" s="29"/>
      <c r="BCW39" s="29"/>
      <c r="BCX39" s="28"/>
      <c r="BCY39" s="29"/>
      <c r="BCZ39" s="30"/>
      <c r="BDA39" s="28"/>
      <c r="BDB39" s="29"/>
      <c r="BDC39" s="29"/>
      <c r="BDD39" s="29"/>
      <c r="BDE39" s="28"/>
      <c r="BDF39" s="29"/>
      <c r="BDG39" s="29"/>
      <c r="BDH39" s="29"/>
      <c r="BDI39" s="29"/>
      <c r="BDJ39" s="29"/>
      <c r="BDK39" s="28"/>
      <c r="BDL39" s="29"/>
      <c r="BDM39" s="29"/>
      <c r="BDN39" s="28"/>
      <c r="BDO39" s="29"/>
      <c r="BDP39" s="30"/>
      <c r="BDQ39" s="28"/>
      <c r="BDR39" s="29"/>
      <c r="BDS39" s="29"/>
      <c r="BDT39" s="29"/>
      <c r="BDU39" s="28"/>
      <c r="BDV39" s="29"/>
      <c r="BDW39" s="29"/>
      <c r="BDX39" s="28"/>
      <c r="BDY39" s="29"/>
      <c r="BDZ39" s="30"/>
      <c r="BEA39" s="28"/>
      <c r="BEB39" s="29"/>
      <c r="BEC39" s="29"/>
      <c r="BED39" s="29"/>
      <c r="BEE39" s="28"/>
      <c r="BEF39" s="29"/>
      <c r="BEG39" s="29"/>
      <c r="BEH39" s="29"/>
      <c r="BEI39" s="29"/>
      <c r="BEJ39" s="29"/>
      <c r="BEK39" s="28"/>
      <c r="BEL39" s="29"/>
      <c r="BEM39" s="29"/>
      <c r="BEN39" s="28"/>
      <c r="BEO39" s="29"/>
      <c r="BEP39" s="30"/>
      <c r="BEQ39" s="28"/>
      <c r="BER39" s="29"/>
      <c r="BES39" s="29"/>
      <c r="BET39" s="29"/>
      <c r="BEU39" s="28"/>
      <c r="BEV39" s="29"/>
      <c r="BEW39" s="29"/>
      <c r="BEX39" s="28"/>
      <c r="BEY39" s="29"/>
      <c r="BEZ39" s="30"/>
      <c r="BFA39" s="28"/>
      <c r="BFB39" s="29"/>
      <c r="BFC39" s="29"/>
      <c r="BFD39" s="29"/>
      <c r="BFE39" s="28"/>
      <c r="BFF39" s="29"/>
      <c r="BFG39" s="29"/>
      <c r="BFH39" s="29"/>
      <c r="BFI39" s="29"/>
      <c r="BFJ39" s="29"/>
      <c r="BFK39" s="28"/>
      <c r="BFL39" s="29"/>
      <c r="BFM39" s="29"/>
      <c r="BFN39" s="28"/>
      <c r="BFO39" s="29"/>
      <c r="BFP39" s="30"/>
      <c r="BFQ39" s="28"/>
      <c r="BFR39" s="29"/>
      <c r="BFS39" s="29"/>
      <c r="BFT39" s="29"/>
      <c r="BFU39" s="28"/>
      <c r="BFV39" s="29"/>
      <c r="BFW39" s="29"/>
      <c r="BFX39" s="28"/>
      <c r="BFY39" s="29"/>
      <c r="BFZ39" s="30"/>
      <c r="BGA39" s="28"/>
      <c r="BGB39" s="29"/>
      <c r="BGC39" s="29"/>
      <c r="BGD39" s="29"/>
      <c r="BGE39" s="28"/>
      <c r="BGF39" s="29"/>
      <c r="BGG39" s="29"/>
      <c r="BGH39" s="29"/>
      <c r="BGI39" s="29"/>
      <c r="BGJ39" s="29"/>
      <c r="BGK39" s="28"/>
      <c r="BGL39" s="29"/>
      <c r="BGM39" s="29"/>
      <c r="BGN39" s="28"/>
      <c r="BGO39" s="29"/>
      <c r="BGP39" s="30"/>
      <c r="BGQ39" s="28"/>
      <c r="BGR39" s="29"/>
      <c r="BGS39" s="29"/>
      <c r="BGT39" s="29"/>
      <c r="BGU39" s="28"/>
      <c r="BGV39" s="29"/>
      <c r="BGW39" s="29"/>
      <c r="BGX39" s="28"/>
      <c r="BGY39" s="29"/>
      <c r="BGZ39" s="30"/>
      <c r="BHA39" s="28"/>
      <c r="BHB39" s="29"/>
      <c r="BHC39" s="29"/>
      <c r="BHD39" s="29"/>
      <c r="BHE39" s="28"/>
      <c r="BHF39" s="29"/>
      <c r="BHG39" s="29"/>
      <c r="BHH39" s="29"/>
      <c r="BHI39" s="29"/>
      <c r="BHJ39" s="29"/>
      <c r="BHK39" s="28"/>
      <c r="BHL39" s="29"/>
      <c r="BHM39" s="29"/>
      <c r="BHN39" s="28"/>
      <c r="BHO39" s="29"/>
      <c r="BHP39" s="30"/>
      <c r="BHQ39" s="28"/>
      <c r="BHR39" s="29"/>
      <c r="BHS39" s="29"/>
      <c r="BHT39" s="29"/>
      <c r="BHU39" s="28"/>
      <c r="BHV39" s="29"/>
      <c r="BHW39" s="29"/>
      <c r="BHX39" s="28"/>
      <c r="BHY39" s="29"/>
      <c r="BHZ39" s="30"/>
      <c r="BIA39" s="28"/>
      <c r="BIB39" s="29"/>
      <c r="BIC39" s="29"/>
      <c r="BID39" s="29"/>
      <c r="BIE39" s="28"/>
      <c r="BIF39" s="29"/>
      <c r="BIG39" s="29"/>
      <c r="BIH39" s="29"/>
      <c r="BII39" s="29"/>
      <c r="BIJ39" s="29"/>
      <c r="BIK39" s="28"/>
      <c r="BIL39" s="29"/>
      <c r="BIM39" s="29"/>
      <c r="BIN39" s="28"/>
      <c r="BIO39" s="29"/>
      <c r="BIP39" s="30"/>
      <c r="BIQ39" s="28"/>
      <c r="BIR39" s="29"/>
      <c r="BIS39" s="29"/>
      <c r="BIT39" s="29"/>
      <c r="BIU39" s="28"/>
      <c r="BIV39" s="29"/>
      <c r="BIW39" s="29"/>
      <c r="BIX39" s="28"/>
      <c r="BIY39" s="29"/>
      <c r="BIZ39" s="30"/>
      <c r="BJA39" s="28"/>
      <c r="BJB39" s="29"/>
      <c r="BJC39" s="29"/>
      <c r="BJD39" s="29"/>
      <c r="BJE39" s="28"/>
      <c r="BJF39" s="29"/>
      <c r="BJG39" s="29"/>
      <c r="BJH39" s="29"/>
      <c r="BJI39" s="29"/>
      <c r="BJJ39" s="29"/>
      <c r="BJK39" s="28"/>
      <c r="BJL39" s="29"/>
      <c r="BJM39" s="29"/>
      <c r="BJN39" s="28"/>
      <c r="BJO39" s="29"/>
      <c r="BJP39" s="30"/>
      <c r="BJQ39" s="28"/>
      <c r="BJR39" s="29"/>
      <c r="BJS39" s="29"/>
      <c r="BJT39" s="29"/>
      <c r="BJU39" s="28"/>
      <c r="BJV39" s="29"/>
      <c r="BJW39" s="29"/>
      <c r="BJX39" s="28"/>
      <c r="BJY39" s="29"/>
      <c r="BJZ39" s="30"/>
      <c r="BKA39" s="28"/>
      <c r="BKB39" s="29"/>
      <c r="BKC39" s="29"/>
      <c r="BKD39" s="29"/>
      <c r="BKE39" s="28"/>
      <c r="BKF39" s="29"/>
      <c r="BKG39" s="29"/>
      <c r="BKH39" s="29"/>
      <c r="BKI39" s="29"/>
      <c r="BKJ39" s="29"/>
      <c r="BKK39" s="28"/>
      <c r="BKL39" s="29"/>
      <c r="BKM39" s="29"/>
      <c r="BKN39" s="28"/>
      <c r="BKO39" s="29"/>
      <c r="BKP39" s="30"/>
      <c r="BKQ39" s="28"/>
      <c r="BKR39" s="29"/>
      <c r="BKS39" s="29"/>
      <c r="BKT39" s="29"/>
      <c r="BKU39" s="28"/>
      <c r="BKV39" s="29"/>
      <c r="BKW39" s="29"/>
      <c r="BKX39" s="28"/>
      <c r="BKY39" s="29"/>
      <c r="BKZ39" s="30"/>
      <c r="BLA39" s="28"/>
      <c r="BLB39" s="29"/>
      <c r="BLC39" s="29"/>
      <c r="BLD39" s="29"/>
      <c r="BLE39" s="28"/>
      <c r="BLF39" s="29"/>
      <c r="BLG39" s="29"/>
      <c r="BLH39" s="29"/>
      <c r="BLI39" s="29"/>
      <c r="BLJ39" s="29"/>
      <c r="BLK39" s="28"/>
      <c r="BLL39" s="29"/>
      <c r="BLM39" s="29"/>
      <c r="BLN39" s="28"/>
      <c r="BLO39" s="29"/>
      <c r="BLP39" s="30"/>
      <c r="BLQ39" s="28"/>
      <c r="BLR39" s="29"/>
      <c r="BLS39" s="29"/>
      <c r="BLT39" s="29"/>
      <c r="BLU39" s="28"/>
      <c r="BLV39" s="29"/>
      <c r="BLW39" s="29"/>
      <c r="BLX39" s="28"/>
      <c r="BLY39" s="29"/>
      <c r="BLZ39" s="30"/>
      <c r="BMA39" s="28"/>
      <c r="BMB39" s="29"/>
      <c r="BMC39" s="29"/>
      <c r="BMD39" s="29"/>
      <c r="BME39" s="28"/>
      <c r="BMF39" s="29"/>
      <c r="BMG39" s="29"/>
      <c r="BMH39" s="29"/>
      <c r="BMI39" s="29"/>
      <c r="BMJ39" s="29"/>
      <c r="BMK39" s="28"/>
      <c r="BML39" s="29"/>
      <c r="BMM39" s="29"/>
      <c r="BMN39" s="28"/>
      <c r="BMO39" s="29"/>
      <c r="BMP39" s="30"/>
      <c r="BMQ39" s="28"/>
      <c r="BMR39" s="29"/>
      <c r="BMS39" s="29"/>
      <c r="BMT39" s="29"/>
      <c r="BMU39" s="28"/>
      <c r="BMV39" s="29"/>
      <c r="BMW39" s="29"/>
      <c r="BMX39" s="28"/>
      <c r="BMY39" s="29"/>
      <c r="BMZ39" s="30"/>
      <c r="BNA39" s="28"/>
      <c r="BNB39" s="29"/>
      <c r="BNC39" s="29"/>
      <c r="BND39" s="29"/>
      <c r="BNE39" s="28"/>
      <c r="BNF39" s="29"/>
      <c r="BNG39" s="29"/>
      <c r="BNH39" s="29"/>
      <c r="BNI39" s="29"/>
      <c r="BNJ39" s="29"/>
      <c r="BNK39" s="28"/>
      <c r="BNL39" s="29"/>
      <c r="BNM39" s="29"/>
      <c r="BNN39" s="28"/>
      <c r="BNO39" s="29"/>
      <c r="BNP39" s="30"/>
      <c r="BNQ39" s="28"/>
      <c r="BNR39" s="29"/>
      <c r="BNS39" s="29"/>
      <c r="BNT39" s="29"/>
      <c r="BNU39" s="28"/>
      <c r="BNV39" s="29"/>
      <c r="BNW39" s="29"/>
      <c r="BNX39" s="28"/>
      <c r="BNY39" s="29"/>
      <c r="BNZ39" s="30"/>
      <c r="BOA39" s="28"/>
      <c r="BOB39" s="29"/>
      <c r="BOC39" s="29"/>
      <c r="BOD39" s="29"/>
      <c r="BOE39" s="28"/>
      <c r="BOF39" s="29"/>
      <c r="BOG39" s="29"/>
      <c r="BOH39" s="29"/>
      <c r="BOI39" s="29"/>
      <c r="BOJ39" s="29"/>
      <c r="BOK39" s="28"/>
      <c r="BOL39" s="29"/>
      <c r="BOM39" s="29"/>
      <c r="BON39" s="28"/>
      <c r="BOO39" s="29"/>
      <c r="BOP39" s="30"/>
      <c r="BOQ39" s="28"/>
      <c r="BOR39" s="29"/>
      <c r="BOS39" s="29"/>
      <c r="BOT39" s="29"/>
      <c r="BOU39" s="28"/>
      <c r="BOV39" s="29"/>
      <c r="BOW39" s="29"/>
      <c r="BOX39" s="28"/>
      <c r="BOY39" s="29"/>
      <c r="BOZ39" s="30"/>
      <c r="BPA39" s="28"/>
      <c r="BPB39" s="29"/>
      <c r="BPC39" s="29"/>
      <c r="BPD39" s="29"/>
      <c r="BPE39" s="28"/>
      <c r="BPF39" s="29"/>
      <c r="BPG39" s="29"/>
      <c r="BPH39" s="29"/>
      <c r="BPI39" s="29"/>
      <c r="BPJ39" s="29"/>
      <c r="BPK39" s="28"/>
      <c r="BPL39" s="29"/>
      <c r="BPM39" s="29"/>
      <c r="BPN39" s="28"/>
      <c r="BPO39" s="29"/>
      <c r="BPP39" s="30"/>
      <c r="BPQ39" s="28"/>
      <c r="BPR39" s="29"/>
      <c r="BPS39" s="29"/>
      <c r="BPT39" s="29"/>
      <c r="BPU39" s="28"/>
      <c r="BPV39" s="29"/>
      <c r="BPW39" s="29"/>
      <c r="BPX39" s="28"/>
      <c r="BPY39" s="29"/>
      <c r="BPZ39" s="30"/>
      <c r="BQA39" s="28"/>
      <c r="BQB39" s="29"/>
      <c r="BQC39" s="29"/>
      <c r="BQD39" s="29"/>
      <c r="BQE39" s="28"/>
      <c r="BQF39" s="29"/>
      <c r="BQG39" s="29"/>
      <c r="BQH39" s="29"/>
      <c r="BQI39" s="29"/>
      <c r="BQJ39" s="29"/>
      <c r="BQK39" s="28"/>
      <c r="BQL39" s="29"/>
      <c r="BQM39" s="29"/>
      <c r="BQN39" s="28"/>
      <c r="BQO39" s="29"/>
      <c r="BQP39" s="30"/>
      <c r="BQQ39" s="28"/>
      <c r="BQR39" s="29"/>
      <c r="BQS39" s="29"/>
      <c r="BQT39" s="29"/>
      <c r="BQU39" s="28"/>
      <c r="BQV39" s="29"/>
      <c r="BQW39" s="29"/>
      <c r="BQX39" s="28"/>
      <c r="BQY39" s="29"/>
      <c r="BQZ39" s="30"/>
      <c r="BRA39" s="28"/>
      <c r="BRB39" s="29"/>
      <c r="BRC39" s="29"/>
      <c r="BRD39" s="29"/>
      <c r="BRE39" s="28"/>
      <c r="BRF39" s="29"/>
      <c r="BRG39" s="29"/>
      <c r="BRH39" s="29"/>
      <c r="BRI39" s="29"/>
      <c r="BRJ39" s="29"/>
      <c r="BRK39" s="28"/>
      <c r="BRL39" s="29"/>
      <c r="BRM39" s="29"/>
      <c r="BRN39" s="28"/>
      <c r="BRO39" s="29"/>
      <c r="BRP39" s="30"/>
      <c r="BRQ39" s="28"/>
      <c r="BRR39" s="29"/>
      <c r="BRS39" s="29"/>
      <c r="BRT39" s="29"/>
      <c r="BRU39" s="28"/>
      <c r="BRV39" s="29"/>
      <c r="BRW39" s="29"/>
      <c r="BRX39" s="28"/>
      <c r="BRY39" s="29"/>
      <c r="BRZ39" s="30"/>
      <c r="BSA39" s="28"/>
      <c r="BSB39" s="29"/>
      <c r="BSC39" s="29"/>
      <c r="BSD39" s="29"/>
      <c r="BSE39" s="28"/>
      <c r="BSF39" s="29"/>
      <c r="BSG39" s="29"/>
      <c r="BSH39" s="29"/>
      <c r="BSI39" s="29"/>
      <c r="BSJ39" s="29"/>
      <c r="BSK39" s="28"/>
      <c r="BSL39" s="29"/>
      <c r="BSM39" s="29"/>
      <c r="BSN39" s="28"/>
      <c r="BSO39" s="29"/>
      <c r="BSP39" s="30"/>
      <c r="BSQ39" s="28"/>
      <c r="BSR39" s="29"/>
      <c r="BSS39" s="29"/>
      <c r="BST39" s="29"/>
      <c r="BSU39" s="28"/>
      <c r="BSV39" s="29"/>
      <c r="BSW39" s="29"/>
      <c r="BSX39" s="28"/>
      <c r="BSY39" s="29"/>
      <c r="BSZ39" s="30"/>
      <c r="BTA39" s="28"/>
      <c r="BTB39" s="29"/>
      <c r="BTC39" s="29"/>
      <c r="BTD39" s="29"/>
      <c r="BTE39" s="28"/>
      <c r="BTF39" s="29"/>
      <c r="BTG39" s="29"/>
      <c r="BTH39" s="29"/>
      <c r="BTI39" s="29"/>
      <c r="BTJ39" s="29"/>
      <c r="BTK39" s="28"/>
      <c r="BTL39" s="29"/>
      <c r="BTM39" s="29"/>
      <c r="BTN39" s="28"/>
      <c r="BTO39" s="29"/>
      <c r="BTP39" s="30"/>
      <c r="BTQ39" s="28"/>
      <c r="BTR39" s="29"/>
      <c r="BTS39" s="29"/>
      <c r="BTT39" s="29"/>
      <c r="BTU39" s="28"/>
      <c r="BTV39" s="29"/>
      <c r="BTW39" s="29"/>
      <c r="BTX39" s="28"/>
      <c r="BTY39" s="29"/>
      <c r="BTZ39" s="30"/>
      <c r="BUA39" s="28"/>
      <c r="BUB39" s="29"/>
      <c r="BUC39" s="29"/>
      <c r="BUD39" s="29"/>
      <c r="BUE39" s="28"/>
      <c r="BUF39" s="29"/>
      <c r="BUG39" s="29"/>
      <c r="BUH39" s="29"/>
      <c r="BUI39" s="29"/>
      <c r="BUJ39" s="29"/>
      <c r="BUK39" s="28"/>
      <c r="BUL39" s="29"/>
      <c r="BUM39" s="29"/>
      <c r="BUN39" s="28"/>
      <c r="BUO39" s="29"/>
      <c r="BUP39" s="30"/>
      <c r="BUQ39" s="28"/>
      <c r="BUR39" s="29"/>
      <c r="BUS39" s="29"/>
      <c r="BUT39" s="29"/>
      <c r="BUU39" s="28"/>
      <c r="BUV39" s="29"/>
      <c r="BUW39" s="29"/>
      <c r="BUX39" s="28"/>
      <c r="BUY39" s="29"/>
      <c r="BUZ39" s="30"/>
      <c r="BVA39" s="28"/>
      <c r="BVB39" s="29"/>
      <c r="BVC39" s="29"/>
      <c r="BVD39" s="29"/>
      <c r="BVE39" s="28"/>
      <c r="BVF39" s="29"/>
      <c r="BVG39" s="29"/>
      <c r="BVH39" s="29"/>
      <c r="BVI39" s="29"/>
      <c r="BVJ39" s="29"/>
      <c r="BVK39" s="28"/>
      <c r="BVL39" s="29"/>
      <c r="BVM39" s="29"/>
      <c r="BVN39" s="28"/>
      <c r="BVO39" s="29"/>
      <c r="BVP39" s="30"/>
      <c r="BVQ39" s="28"/>
      <c r="BVR39" s="29"/>
      <c r="BVS39" s="29"/>
      <c r="BVT39" s="29"/>
      <c r="BVU39" s="28"/>
      <c r="BVV39" s="29"/>
      <c r="BVW39" s="29"/>
      <c r="BVX39" s="28"/>
      <c r="BVY39" s="29"/>
      <c r="BVZ39" s="30"/>
      <c r="BWA39" s="28"/>
      <c r="BWB39" s="29"/>
      <c r="BWC39" s="29"/>
      <c r="BWD39" s="29"/>
      <c r="BWE39" s="28"/>
      <c r="BWF39" s="29"/>
      <c r="BWG39" s="29"/>
      <c r="BWH39" s="29"/>
      <c r="BWI39" s="29"/>
      <c r="BWJ39" s="29"/>
      <c r="BWK39" s="28"/>
      <c r="BWL39" s="29"/>
      <c r="BWM39" s="29"/>
      <c r="BWN39" s="28"/>
      <c r="BWO39" s="29"/>
      <c r="BWP39" s="30"/>
      <c r="BWQ39" s="28"/>
      <c r="BWR39" s="29"/>
      <c r="BWS39" s="29"/>
      <c r="BWT39" s="29"/>
      <c r="BWU39" s="28"/>
      <c r="BWV39" s="29"/>
      <c r="BWW39" s="29"/>
      <c r="BWX39" s="28"/>
      <c r="BWY39" s="29"/>
      <c r="BWZ39" s="30"/>
      <c r="BXA39" s="28"/>
      <c r="BXB39" s="29"/>
      <c r="BXC39" s="29"/>
      <c r="BXD39" s="29"/>
      <c r="BXE39" s="28"/>
      <c r="BXF39" s="29"/>
      <c r="BXG39" s="29"/>
      <c r="BXH39" s="29"/>
      <c r="BXI39" s="29"/>
      <c r="BXJ39" s="29"/>
      <c r="BXK39" s="28"/>
      <c r="BXL39" s="29"/>
      <c r="BXM39" s="29"/>
      <c r="BXN39" s="28"/>
      <c r="BXO39" s="29"/>
      <c r="BXP39" s="30"/>
      <c r="BXQ39" s="28"/>
      <c r="BXR39" s="29"/>
      <c r="BXS39" s="29"/>
      <c r="BXT39" s="29"/>
      <c r="BXU39" s="28"/>
      <c r="BXV39" s="29"/>
      <c r="BXW39" s="29"/>
      <c r="BXX39" s="28"/>
      <c r="BXY39" s="29"/>
      <c r="BXZ39" s="30"/>
      <c r="BYA39" s="28"/>
      <c r="BYB39" s="29"/>
      <c r="BYC39" s="29"/>
      <c r="BYD39" s="29"/>
      <c r="BYE39" s="28"/>
      <c r="BYF39" s="29"/>
      <c r="BYG39" s="29"/>
      <c r="BYH39" s="29"/>
      <c r="BYI39" s="29"/>
      <c r="BYJ39" s="29"/>
      <c r="BYK39" s="28"/>
      <c r="BYL39" s="29"/>
      <c r="BYM39" s="29"/>
      <c r="BYN39" s="28"/>
      <c r="BYO39" s="29"/>
      <c r="BYP39" s="30"/>
      <c r="BYQ39" s="28"/>
      <c r="BYR39" s="29"/>
      <c r="BYS39" s="29"/>
      <c r="BYT39" s="29"/>
      <c r="BYU39" s="28"/>
      <c r="BYV39" s="29"/>
      <c r="BYW39" s="29"/>
      <c r="BYX39" s="30"/>
      <c r="BYY39" s="29"/>
      <c r="BYZ39" s="28"/>
      <c r="BZA39" s="29"/>
      <c r="BZB39" s="28"/>
      <c r="BZC39" s="28"/>
      <c r="BZD39" s="28"/>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30"/>
      <c r="CAQ39" s="28"/>
      <c r="CAR39" s="29"/>
      <c r="CAS39" s="29"/>
      <c r="CAT39" s="29"/>
      <c r="CAU39" s="29"/>
      <c r="CAV39" s="29"/>
      <c r="CAW39" s="28"/>
      <c r="CAX39" s="29"/>
      <c r="CAY39" s="29"/>
      <c r="CAZ39" s="28"/>
      <c r="CBA39" s="29"/>
      <c r="CBB39" s="30"/>
      <c r="CBC39" s="28"/>
      <c r="CBD39" s="29"/>
      <c r="CBE39" s="29"/>
      <c r="CBF39" s="29"/>
      <c r="CBG39" s="28"/>
      <c r="CBH39" s="29"/>
      <c r="CBI39" s="29"/>
      <c r="CBJ39" s="28"/>
      <c r="CBK39" s="29"/>
      <c r="CBL39" s="30"/>
      <c r="CBM39" s="28"/>
      <c r="CBN39" s="29"/>
      <c r="CBO39" s="29"/>
      <c r="CBP39" s="29"/>
      <c r="CBQ39" s="28"/>
      <c r="CBR39" s="29"/>
      <c r="CBS39" s="29"/>
      <c r="CBT39" s="28"/>
      <c r="CBU39" s="29"/>
      <c r="CBV39" s="30"/>
      <c r="CBW39" s="28"/>
      <c r="CBX39" s="29"/>
      <c r="CBY39" s="29"/>
      <c r="CBZ39" s="29"/>
      <c r="CCA39" s="28"/>
      <c r="CCB39" s="29"/>
      <c r="CCC39" s="29"/>
      <c r="CCD39" s="28"/>
      <c r="CCE39" s="29"/>
      <c r="CCF39" s="30"/>
      <c r="CCG39" s="28"/>
      <c r="CCH39" s="30"/>
      <c r="CCI39" s="29"/>
      <c r="CCJ39" s="28"/>
      <c r="CCK39" s="29"/>
      <c r="CCL39" s="28"/>
      <c r="CCM39" s="28"/>
      <c r="CCN39" s="28"/>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30"/>
      <c r="CEA39" s="28"/>
      <c r="CEB39" s="29"/>
      <c r="CEC39" s="29"/>
      <c r="CED39" s="29"/>
      <c r="CEE39" s="29"/>
      <c r="CEF39" s="29"/>
      <c r="CEG39" s="28"/>
      <c r="CEH39" s="29"/>
      <c r="CEI39" s="29"/>
      <c r="CEJ39" s="28"/>
      <c r="CEK39" s="29"/>
      <c r="CEL39" s="30"/>
      <c r="CEM39" s="28"/>
      <c r="CEN39" s="29"/>
      <c r="CEO39" s="29"/>
      <c r="CEP39" s="29"/>
      <c r="CEQ39" s="28"/>
      <c r="CER39" s="29"/>
      <c r="CES39" s="29"/>
      <c r="CET39" s="28"/>
      <c r="CEU39" s="29"/>
      <c r="CEV39" s="30"/>
      <c r="CEW39" s="28"/>
      <c r="CEX39" s="29"/>
      <c r="CEY39" s="29"/>
      <c r="CEZ39" s="29"/>
      <c r="CFA39" s="28"/>
      <c r="CFB39" s="29"/>
      <c r="CFC39" s="29"/>
      <c r="CFD39" s="28"/>
      <c r="CFE39" s="29"/>
      <c r="CFF39" s="30"/>
      <c r="CFG39" s="28"/>
      <c r="CFH39" s="29"/>
      <c r="CFI39" s="29"/>
      <c r="CFJ39" s="29"/>
      <c r="CFK39" s="28"/>
      <c r="CFL39" s="29"/>
      <c r="CFM39" s="29"/>
      <c r="CFN39" s="28"/>
      <c r="CFO39" s="29"/>
      <c r="CFP39" s="30"/>
      <c r="CFQ39" s="28"/>
      <c r="CFR39" s="30"/>
      <c r="CFS39" s="29"/>
      <c r="CFT39" s="28"/>
      <c r="CFU39" s="29"/>
      <c r="CFV39" s="28"/>
      <c r="CFW39" s="28"/>
      <c r="CFX39" s="28"/>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30"/>
      <c r="CHK39" s="28"/>
      <c r="CHL39" s="29"/>
      <c r="CHM39" s="29"/>
      <c r="CHN39" s="29"/>
      <c r="CHO39" s="29"/>
      <c r="CHP39" s="29"/>
      <c r="CHQ39" s="28"/>
      <c r="CHR39" s="29"/>
      <c r="CHS39" s="29"/>
      <c r="CHT39" s="28"/>
      <c r="CHU39" s="29"/>
      <c r="CHV39" s="30"/>
      <c r="CHW39" s="28"/>
      <c r="CHX39" s="29"/>
      <c r="CHY39" s="29"/>
      <c r="CHZ39" s="29"/>
      <c r="CIA39" s="28"/>
      <c r="CIB39" s="29"/>
      <c r="CIC39" s="29"/>
      <c r="CID39" s="28"/>
      <c r="CIE39" s="29"/>
      <c r="CIF39" s="30"/>
      <c r="CIG39" s="28"/>
      <c r="CIH39" s="29"/>
      <c r="CII39" s="29"/>
      <c r="CIJ39" s="29"/>
      <c r="CIK39" s="28"/>
      <c r="CIL39" s="29"/>
      <c r="CIM39" s="29"/>
      <c r="CIN39" s="28"/>
      <c r="CIO39" s="29"/>
      <c r="CIP39" s="30"/>
      <c r="CIQ39" s="28"/>
      <c r="CIR39" s="29"/>
      <c r="CIS39" s="29"/>
      <c r="CIT39" s="29"/>
      <c r="CIU39" s="28"/>
      <c r="CIV39" s="29"/>
      <c r="CIW39" s="29"/>
      <c r="CIX39" s="28"/>
      <c r="CIY39" s="29"/>
      <c r="CIZ39" s="30"/>
      <c r="CJA39" s="28"/>
      <c r="CJB39" s="30"/>
      <c r="CJC39" s="29"/>
      <c r="CJD39" s="28"/>
      <c r="CJE39" s="29"/>
      <c r="CJF39" s="28"/>
      <c r="CJG39" s="28"/>
      <c r="CJH39" s="28"/>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30"/>
      <c r="CKU39" s="28"/>
      <c r="CKV39" s="29"/>
      <c r="CKW39" s="29"/>
      <c r="CKX39" s="29"/>
      <c r="CKY39" s="29"/>
      <c r="CKZ39" s="29"/>
      <c r="CLA39" s="28"/>
      <c r="CLB39" s="29"/>
      <c r="CLC39" s="29"/>
      <c r="CLD39" s="28"/>
      <c r="CLE39" s="29"/>
      <c r="CLF39" s="30"/>
      <c r="CLG39" s="28"/>
      <c r="CLH39" s="29"/>
      <c r="CLI39" s="29"/>
      <c r="CLJ39" s="29"/>
      <c r="CLK39" s="28"/>
      <c r="CLL39" s="29"/>
      <c r="CLM39" s="29"/>
      <c r="CLN39" s="28"/>
      <c r="CLO39" s="29"/>
      <c r="CLP39" s="30"/>
      <c r="CLQ39" s="28"/>
      <c r="CLR39" s="29"/>
      <c r="CLS39" s="29"/>
      <c r="CLT39" s="29"/>
      <c r="CLU39" s="28"/>
      <c r="CLV39" s="29"/>
      <c r="CLW39" s="29"/>
      <c r="CLX39" s="28"/>
      <c r="CLY39" s="29"/>
      <c r="CLZ39" s="30"/>
      <c r="CMA39" s="28"/>
      <c r="CMB39" s="29"/>
      <c r="CMC39" s="29"/>
      <c r="CMD39" s="29"/>
      <c r="CME39" s="28"/>
      <c r="CMF39" s="29"/>
      <c r="CMG39" s="29"/>
      <c r="CMH39" s="28"/>
      <c r="CMI39" s="29"/>
      <c r="CMJ39" s="30"/>
      <c r="CMK39" s="28"/>
      <c r="CML39" s="30"/>
      <c r="CMM39" s="29"/>
      <c r="CMN39" s="28"/>
      <c r="CMO39" s="29"/>
      <c r="CMP39" s="28"/>
      <c r="CMQ39" s="28"/>
      <c r="CMR39" s="28"/>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30"/>
      <c r="COE39" s="28"/>
      <c r="COF39" s="29"/>
      <c r="COG39" s="29"/>
      <c r="COH39" s="29"/>
      <c r="COI39" s="29"/>
      <c r="COJ39" s="29"/>
      <c r="COK39" s="28"/>
      <c r="COL39" s="29"/>
      <c r="COM39" s="29"/>
      <c r="CON39" s="28"/>
      <c r="COO39" s="29"/>
      <c r="COP39" s="30"/>
      <c r="COQ39" s="28"/>
      <c r="COR39" s="29"/>
      <c r="COS39" s="29"/>
      <c r="COT39" s="29"/>
      <c r="COU39" s="28"/>
      <c r="COV39" s="29"/>
      <c r="COW39" s="29"/>
      <c r="COX39" s="28"/>
      <c r="COY39" s="29"/>
      <c r="COZ39" s="30"/>
      <c r="CPA39" s="28"/>
      <c r="CPB39" s="29"/>
      <c r="CPC39" s="29"/>
      <c r="CPD39" s="29"/>
      <c r="CPE39" s="28"/>
      <c r="CPF39" s="29"/>
      <c r="CPG39" s="29"/>
      <c r="CPH39" s="28"/>
      <c r="CPI39" s="29"/>
      <c r="CPJ39" s="30"/>
      <c r="CPK39" s="28"/>
      <c r="CPL39" s="29"/>
      <c r="CPM39" s="29"/>
      <c r="CPN39" s="29"/>
      <c r="CPO39" s="28"/>
      <c r="CPP39" s="29"/>
      <c r="CPQ39" s="29"/>
      <c r="CPR39" s="28"/>
      <c r="CPS39" s="29"/>
      <c r="CPT39" s="30"/>
      <c r="CPU39" s="28"/>
      <c r="CPV39" s="30"/>
      <c r="CPW39" s="29"/>
      <c r="CPX39" s="28"/>
      <c r="CPY39" s="29"/>
      <c r="CPZ39" s="28"/>
      <c r="CQA39" s="28"/>
      <c r="CQB39" s="28"/>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30"/>
      <c r="CRO39" s="28"/>
      <c r="CRP39" s="29"/>
      <c r="CRQ39" s="29"/>
      <c r="CRR39" s="29"/>
      <c r="CRS39" s="29"/>
      <c r="CRT39" s="29"/>
      <c r="CRU39" s="28"/>
      <c r="CRV39" s="29"/>
      <c r="CRW39" s="29"/>
      <c r="CRX39" s="28"/>
      <c r="CRY39" s="29"/>
      <c r="CRZ39" s="30"/>
      <c r="CSA39" s="28"/>
      <c r="CSB39" s="29"/>
      <c r="CSC39" s="29"/>
      <c r="CSD39" s="29"/>
      <c r="CSE39" s="28"/>
      <c r="CSF39" s="29"/>
      <c r="CSG39" s="29"/>
      <c r="CSH39" s="28"/>
      <c r="CSI39" s="29"/>
      <c r="CSJ39" s="30"/>
      <c r="CSK39" s="28"/>
      <c r="CSL39" s="29"/>
      <c r="CSM39" s="29"/>
      <c r="CSN39" s="29"/>
      <c r="CSO39" s="28"/>
      <c r="CSP39" s="29"/>
      <c r="CSQ39" s="29"/>
      <c r="CSR39" s="28"/>
      <c r="CSS39" s="29"/>
      <c r="CST39" s="30"/>
      <c r="CSU39" s="28"/>
      <c r="CSV39" s="29"/>
      <c r="CSW39" s="29"/>
      <c r="CSX39" s="29"/>
      <c r="CSY39" s="28"/>
      <c r="CSZ39" s="29"/>
      <c r="CTA39" s="29"/>
      <c r="CTB39" s="28"/>
      <c r="CTC39" s="29"/>
      <c r="CTD39" s="30"/>
      <c r="CTE39" s="28"/>
      <c r="CTF39" s="30"/>
      <c r="CTG39" s="29"/>
      <c r="CTH39" s="28"/>
      <c r="CTI39" s="29"/>
      <c r="CTJ39" s="28"/>
      <c r="CTK39" s="28"/>
      <c r="CTL39" s="28"/>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30"/>
      <c r="CUY39" s="28"/>
      <c r="CUZ39" s="29"/>
      <c r="CVA39" s="29"/>
      <c r="CVB39" s="29"/>
      <c r="CVC39" s="29"/>
      <c r="CVD39" s="29"/>
      <c r="CVE39" s="28"/>
      <c r="CVF39" s="29"/>
      <c r="CVG39" s="29"/>
      <c r="CVH39" s="28"/>
      <c r="CVI39" s="29"/>
      <c r="CVJ39" s="30"/>
      <c r="CVK39" s="28"/>
      <c r="CVL39" s="29"/>
      <c r="CVM39" s="29"/>
      <c r="CVN39" s="29"/>
      <c r="CVO39" s="28"/>
      <c r="CVP39" s="29"/>
      <c r="CVQ39" s="29"/>
      <c r="CVR39" s="28"/>
      <c r="CVS39" s="29"/>
      <c r="CVT39" s="30"/>
      <c r="CVU39" s="28"/>
      <c r="CVV39" s="29"/>
      <c r="CVW39" s="29"/>
      <c r="CVX39" s="29"/>
      <c r="CVY39" s="28"/>
      <c r="CVZ39" s="29"/>
      <c r="CWA39" s="29"/>
      <c r="CWB39" s="28"/>
      <c r="CWC39" s="29"/>
      <c r="CWD39" s="30"/>
      <c r="CWE39" s="28"/>
      <c r="CWF39" s="29"/>
      <c r="CWG39" s="29"/>
      <c r="CWH39" s="29"/>
      <c r="CWI39" s="28"/>
      <c r="CWJ39" s="29"/>
      <c r="CWK39" s="29"/>
      <c r="CWL39" s="28"/>
      <c r="CWM39" s="29"/>
      <c r="CWN39" s="30"/>
      <c r="CWO39" s="28"/>
      <c r="CWP39" s="30"/>
      <c r="CWQ39" s="29"/>
      <c r="CWR39" s="28"/>
      <c r="CWS39" s="29"/>
      <c r="CWT39" s="28"/>
      <c r="CWU39" s="28"/>
      <c r="CWV39" s="28"/>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30"/>
      <c r="CYI39" s="28"/>
      <c r="CYJ39" s="29"/>
      <c r="CYK39" s="29"/>
      <c r="CYL39" s="29"/>
      <c r="CYM39" s="29"/>
      <c r="CYN39" s="29"/>
      <c r="CYO39" s="28"/>
      <c r="CYP39" s="29"/>
      <c r="CYQ39" s="29"/>
      <c r="CYR39" s="28"/>
      <c r="CYS39" s="29"/>
      <c r="CYT39" s="30"/>
      <c r="CYU39" s="28"/>
      <c r="CYV39" s="29"/>
      <c r="CYW39" s="29"/>
      <c r="CYX39" s="29"/>
      <c r="CYY39" s="28"/>
      <c r="CYZ39" s="29"/>
      <c r="CZA39" s="29"/>
      <c r="CZB39" s="28"/>
      <c r="CZC39" s="29"/>
      <c r="CZD39" s="30"/>
      <c r="CZE39" s="28"/>
      <c r="CZF39" s="29"/>
      <c r="CZG39" s="29"/>
      <c r="CZH39" s="29"/>
      <c r="CZI39" s="28"/>
      <c r="CZJ39" s="29"/>
      <c r="CZK39" s="29"/>
      <c r="CZL39" s="28"/>
      <c r="CZM39" s="29"/>
      <c r="CZN39" s="30"/>
      <c r="CZO39" s="28"/>
      <c r="CZP39" s="29"/>
      <c r="CZQ39" s="29"/>
      <c r="CZR39" s="29"/>
      <c r="CZS39" s="28"/>
      <c r="CZT39" s="29"/>
      <c r="CZU39" s="29"/>
      <c r="CZV39" s="28"/>
      <c r="CZW39" s="29"/>
      <c r="CZX39" s="30"/>
      <c r="CZY39" s="28"/>
      <c r="CZZ39" s="30"/>
      <c r="DAA39" s="29"/>
      <c r="DAB39" s="28"/>
      <c r="DAC39" s="29"/>
      <c r="DAD39" s="28"/>
      <c r="DAE39" s="28"/>
      <c r="DAF39" s="28"/>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30"/>
      <c r="DBS39" s="28"/>
      <c r="DBT39" s="29"/>
      <c r="DBU39" s="29"/>
      <c r="DBV39" s="29"/>
      <c r="DBW39" s="29"/>
      <c r="DBX39" s="29"/>
      <c r="DBY39" s="28"/>
      <c r="DBZ39" s="29"/>
      <c r="DCA39" s="29"/>
      <c r="DCB39" s="28"/>
      <c r="DCC39" s="29"/>
      <c r="DCD39" s="30"/>
      <c r="DCE39" s="28"/>
      <c r="DCF39" s="29"/>
      <c r="DCG39" s="29"/>
      <c r="DCH39" s="29"/>
      <c r="DCI39" s="28"/>
      <c r="DCJ39" s="29"/>
      <c r="DCK39" s="29"/>
      <c r="DCL39" s="28"/>
      <c r="DCM39" s="29"/>
      <c r="DCN39" s="30"/>
      <c r="DCO39" s="28"/>
      <c r="DCP39" s="29"/>
      <c r="DCQ39" s="29"/>
      <c r="DCR39" s="29"/>
      <c r="DCS39" s="28"/>
      <c r="DCT39" s="29"/>
      <c r="DCU39" s="29"/>
      <c r="DCV39" s="28"/>
      <c r="DCW39" s="29"/>
      <c r="DCX39" s="30"/>
      <c r="DCY39" s="28"/>
      <c r="DCZ39" s="29"/>
      <c r="DDA39" s="29"/>
      <c r="DDB39" s="29"/>
      <c r="DDC39" s="28"/>
      <c r="DDD39" s="29"/>
      <c r="DDE39" s="29"/>
      <c r="DDF39" s="28"/>
      <c r="DDG39" s="29"/>
      <c r="DDH39" s="30"/>
      <c r="DDI39" s="28"/>
      <c r="DDJ39" s="30"/>
      <c r="DDK39" s="29"/>
      <c r="DDL39" s="28"/>
      <c r="DDM39" s="29"/>
      <c r="DDN39" s="28"/>
      <c r="DDO39" s="28"/>
      <c r="DDP39" s="28"/>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30"/>
      <c r="DFC39" s="28"/>
      <c r="DFD39" s="29"/>
      <c r="DFE39" s="29"/>
      <c r="DFF39" s="29"/>
      <c r="DFG39" s="29"/>
      <c r="DFH39" s="29"/>
      <c r="DFI39" s="28"/>
      <c r="DFJ39" s="29"/>
      <c r="DFK39" s="29"/>
      <c r="DFL39" s="28"/>
      <c r="DFM39" s="29"/>
      <c r="DFN39" s="30"/>
      <c r="DFO39" s="28"/>
      <c r="DFP39" s="29"/>
      <c r="DFQ39" s="29"/>
      <c r="DFR39" s="29"/>
      <c r="DFS39" s="28"/>
      <c r="DFT39" s="29"/>
      <c r="DFU39" s="29"/>
      <c r="DFV39" s="28"/>
      <c r="DFW39" s="29"/>
      <c r="DFX39" s="30"/>
      <c r="DFY39" s="28"/>
      <c r="DFZ39" s="29"/>
      <c r="DGA39" s="29"/>
      <c r="DGB39" s="29"/>
      <c r="DGC39" s="28"/>
      <c r="DGD39" s="29"/>
      <c r="DGE39" s="29"/>
      <c r="DGF39" s="28"/>
      <c r="DGG39" s="29"/>
      <c r="DGH39" s="30"/>
      <c r="DGI39" s="28"/>
      <c r="DGJ39" s="29"/>
      <c r="DGK39" s="29"/>
      <c r="DGL39" s="29"/>
      <c r="DGM39" s="28"/>
      <c r="DGN39" s="29"/>
      <c r="DGO39" s="29"/>
      <c r="DGP39" s="28"/>
      <c r="DGQ39" s="29"/>
      <c r="DGR39" s="30"/>
      <c r="DGS39" s="28"/>
      <c r="DGT39" s="30"/>
      <c r="DGU39" s="29"/>
      <c r="DGV39" s="28"/>
      <c r="DGW39" s="29"/>
      <c r="DGX39" s="28"/>
      <c r="DGY39" s="28"/>
      <c r="DGZ39" s="28"/>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30"/>
      <c r="DIM39" s="28"/>
      <c r="DIN39" s="29"/>
      <c r="DIO39" s="29"/>
      <c r="DIP39" s="29"/>
      <c r="DIQ39" s="29"/>
      <c r="DIR39" s="29"/>
      <c r="DIS39" s="28"/>
      <c r="DIT39" s="29"/>
      <c r="DIU39" s="29"/>
      <c r="DIV39" s="28"/>
      <c r="DIW39" s="29"/>
      <c r="DIX39" s="30"/>
      <c r="DIY39" s="28"/>
      <c r="DIZ39" s="29"/>
      <c r="DJA39" s="29"/>
      <c r="DJB39" s="29"/>
      <c r="DJC39" s="28"/>
      <c r="DJD39" s="29"/>
      <c r="DJE39" s="29"/>
      <c r="DJF39" s="28"/>
      <c r="DJG39" s="29"/>
      <c r="DJH39" s="30"/>
      <c r="DJI39" s="28"/>
      <c r="DJJ39" s="29"/>
      <c r="DJK39" s="29"/>
      <c r="DJL39" s="29"/>
      <c r="DJM39" s="28"/>
      <c r="DJN39" s="29"/>
      <c r="DJO39" s="29"/>
      <c r="DJP39" s="28"/>
      <c r="DJQ39" s="29"/>
      <c r="DJR39" s="30"/>
      <c r="DJS39" s="28"/>
      <c r="DJT39" s="29"/>
      <c r="DJU39" s="29"/>
      <c r="DJV39" s="29"/>
      <c r="DJW39" s="28"/>
      <c r="DJX39" s="29"/>
      <c r="DJY39" s="29"/>
      <c r="DJZ39" s="28"/>
      <c r="DKA39" s="29"/>
      <c r="DKB39" s="30"/>
      <c r="DKC39" s="28"/>
      <c r="DKD39" s="30"/>
      <c r="DKE39" s="29"/>
      <c r="DKF39" s="28"/>
      <c r="DKG39" s="29"/>
      <c r="DKH39" s="28"/>
      <c r="DKI39" s="28"/>
      <c r="DKJ39" s="28"/>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30"/>
      <c r="DLW39" s="28"/>
      <c r="DLX39" s="29"/>
      <c r="DLY39" s="29"/>
      <c r="DLZ39" s="29"/>
      <c r="DMA39" s="29"/>
      <c r="DMB39" s="29"/>
      <c r="DMC39" s="28"/>
      <c r="DMD39" s="29"/>
      <c r="DME39" s="29"/>
      <c r="DMF39" s="28"/>
      <c r="DMG39" s="29"/>
      <c r="DMH39" s="30"/>
      <c r="DMI39" s="28"/>
      <c r="DMJ39" s="29"/>
      <c r="DMK39" s="29"/>
      <c r="DML39" s="29"/>
      <c r="DMM39" s="28"/>
      <c r="DMN39" s="29"/>
      <c r="DMO39" s="29"/>
      <c r="DMP39" s="28"/>
      <c r="DMQ39" s="29"/>
      <c r="DMR39" s="30"/>
      <c r="DMS39" s="28"/>
      <c r="DMT39" s="29"/>
      <c r="DMU39" s="29"/>
      <c r="DMV39" s="29"/>
      <c r="DMW39" s="28"/>
      <c r="DMX39" s="29"/>
      <c r="DMY39" s="29"/>
      <c r="DMZ39" s="28"/>
      <c r="DNA39" s="29"/>
      <c r="DNB39" s="30"/>
      <c r="DNC39" s="28"/>
      <c r="DND39" s="29"/>
      <c r="DNE39" s="29"/>
      <c r="DNF39" s="29"/>
      <c r="DNG39" s="28"/>
      <c r="DNH39" s="29"/>
      <c r="DNI39" s="29"/>
      <c r="DNJ39" s="28"/>
      <c r="DNK39" s="29"/>
      <c r="DNL39" s="30"/>
      <c r="DNM39" s="28"/>
      <c r="DNN39" s="30"/>
      <c r="DNO39" s="29"/>
      <c r="DNP39" s="28"/>
      <c r="DNQ39" s="29"/>
      <c r="DNR39" s="28"/>
      <c r="DNS39" s="28"/>
      <c r="DNT39" s="28"/>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30"/>
      <c r="DPG39" s="28"/>
      <c r="DPH39" s="29"/>
      <c r="DPI39" s="29"/>
      <c r="DPJ39" s="29"/>
      <c r="DPK39" s="29"/>
      <c r="DPL39" s="29"/>
      <c r="DPM39" s="28"/>
      <c r="DPN39" s="29"/>
      <c r="DPO39" s="29"/>
      <c r="DPP39" s="28"/>
      <c r="DPQ39" s="29"/>
      <c r="DPR39" s="30"/>
      <c r="DPS39" s="28"/>
      <c r="DPT39" s="29"/>
      <c r="DPU39" s="29"/>
      <c r="DPV39" s="29"/>
      <c r="DPW39" s="28"/>
      <c r="DPX39" s="29"/>
      <c r="DPY39" s="29"/>
      <c r="DPZ39" s="28"/>
      <c r="DQA39" s="29"/>
      <c r="DQB39" s="30"/>
      <c r="DQC39" s="28"/>
      <c r="DQD39" s="29"/>
      <c r="DQE39" s="29"/>
      <c r="DQF39" s="29"/>
      <c r="DQG39" s="28"/>
      <c r="DQH39" s="29"/>
      <c r="DQI39" s="29"/>
      <c r="DQJ39" s="28"/>
      <c r="DQK39" s="29"/>
      <c r="DQL39" s="30"/>
      <c r="DQM39" s="28"/>
      <c r="DQN39" s="29"/>
      <c r="DQO39" s="29"/>
      <c r="DQP39" s="29"/>
      <c r="DQQ39" s="28"/>
      <c r="DQR39" s="29"/>
      <c r="DQS39" s="29"/>
      <c r="DQT39" s="28"/>
      <c r="DQU39" s="29"/>
      <c r="DQV39" s="30"/>
      <c r="DQW39" s="28"/>
      <c r="DQX39" s="30"/>
      <c r="DQY39" s="29"/>
      <c r="DQZ39" s="28"/>
      <c r="DRA39" s="29"/>
      <c r="DRB39" s="28"/>
      <c r="DRC39" s="28"/>
      <c r="DRD39" s="28"/>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30"/>
      <c r="DSQ39" s="28"/>
      <c r="DSR39" s="29"/>
      <c r="DSS39" s="29"/>
      <c r="DST39" s="29"/>
      <c r="DSU39" s="29"/>
      <c r="DSV39" s="29"/>
      <c r="DSW39" s="28"/>
      <c r="DSX39" s="29"/>
      <c r="DSY39" s="29"/>
      <c r="DSZ39" s="28"/>
      <c r="DTA39" s="29"/>
      <c r="DTB39" s="30"/>
      <c r="DTC39" s="28"/>
      <c r="DTD39" s="29"/>
      <c r="DTE39" s="29"/>
      <c r="DTF39" s="29"/>
      <c r="DTG39" s="28"/>
      <c r="DTH39" s="29"/>
      <c r="DTI39" s="29"/>
      <c r="DTJ39" s="28"/>
      <c r="DTK39" s="29"/>
      <c r="DTL39" s="30"/>
      <c r="DTM39" s="28"/>
      <c r="DTN39" s="29"/>
      <c r="DTO39" s="29"/>
      <c r="DTP39" s="29"/>
      <c r="DTQ39" s="28"/>
      <c r="DTR39" s="29"/>
      <c r="DTS39" s="29"/>
      <c r="DTT39" s="28"/>
      <c r="DTU39" s="29"/>
      <c r="DTV39" s="30"/>
      <c r="DTW39" s="28"/>
      <c r="DTX39" s="29"/>
      <c r="DTY39" s="29"/>
      <c r="DTZ39" s="29"/>
      <c r="DUA39" s="28"/>
      <c r="DUB39" s="29"/>
      <c r="DUC39" s="29"/>
      <c r="DUD39" s="28"/>
      <c r="DUE39" s="29"/>
      <c r="DUF39" s="30"/>
      <c r="DUG39" s="28"/>
      <c r="DUH39" s="30"/>
      <c r="DUI39" s="29"/>
      <c r="DUJ39" s="28"/>
      <c r="DUK39" s="29"/>
      <c r="DUL39" s="28"/>
      <c r="DUM39" s="28"/>
      <c r="DUN39" s="28"/>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30"/>
      <c r="DWA39" s="28"/>
      <c r="DWB39" s="29"/>
      <c r="DWC39" s="29"/>
      <c r="DWD39" s="29"/>
      <c r="DWE39" s="29"/>
      <c r="DWF39" s="29"/>
      <c r="DWG39" s="28"/>
      <c r="DWH39" s="29"/>
      <c r="DWI39" s="29"/>
      <c r="DWJ39" s="28"/>
      <c r="DWK39" s="29"/>
      <c r="DWL39" s="30"/>
      <c r="DWM39" s="28"/>
      <c r="DWN39" s="29"/>
      <c r="DWO39" s="29"/>
      <c r="DWP39" s="29"/>
      <c r="DWQ39" s="28"/>
      <c r="DWR39" s="29"/>
      <c r="DWS39" s="29"/>
      <c r="DWT39" s="28"/>
      <c r="DWU39" s="29"/>
      <c r="DWV39" s="30"/>
      <c r="DWW39" s="28"/>
      <c r="DWX39" s="29"/>
      <c r="DWY39" s="29"/>
      <c r="DWZ39" s="29"/>
      <c r="DXA39" s="28"/>
      <c r="DXB39" s="29"/>
      <c r="DXC39" s="29"/>
      <c r="DXD39" s="28"/>
      <c r="DXE39" s="29"/>
      <c r="DXF39" s="30"/>
      <c r="DXG39" s="28"/>
      <c r="DXH39" s="29"/>
      <c r="DXI39" s="29"/>
      <c r="DXJ39" s="29"/>
      <c r="DXK39" s="28"/>
      <c r="DXL39" s="29"/>
      <c r="DXM39" s="29"/>
      <c r="DXN39" s="28"/>
      <c r="DXO39" s="29"/>
      <c r="DXP39" s="30"/>
      <c r="DXQ39" s="28"/>
      <c r="DXR39" s="30"/>
      <c r="DXS39" s="29"/>
      <c r="DXT39" s="28"/>
      <c r="DXU39" s="29"/>
      <c r="DXV39" s="28"/>
      <c r="DXW39" s="28"/>
      <c r="DXX39" s="28"/>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30"/>
      <c r="DZK39" s="28"/>
      <c r="DZL39" s="29"/>
      <c r="DZM39" s="29"/>
      <c r="DZN39" s="29"/>
      <c r="DZO39" s="29"/>
      <c r="DZP39" s="29"/>
      <c r="DZQ39" s="28"/>
      <c r="DZR39" s="29"/>
      <c r="DZS39" s="29"/>
      <c r="DZT39" s="28"/>
      <c r="DZU39" s="29"/>
      <c r="DZV39" s="30"/>
      <c r="DZW39" s="28"/>
      <c r="DZX39" s="29"/>
      <c r="DZY39" s="29"/>
      <c r="DZZ39" s="29"/>
      <c r="EAA39" s="28"/>
      <c r="EAB39" s="29"/>
      <c r="EAC39" s="29"/>
      <c r="EAD39" s="28"/>
      <c r="EAE39" s="29"/>
      <c r="EAF39" s="30"/>
      <c r="EAG39" s="28"/>
      <c r="EAH39" s="29"/>
      <c r="EAI39" s="29"/>
      <c r="EAJ39" s="29"/>
      <c r="EAK39" s="28"/>
      <c r="EAL39" s="29"/>
      <c r="EAM39" s="29"/>
      <c r="EAN39" s="28"/>
      <c r="EAO39" s="29"/>
      <c r="EAP39" s="30"/>
      <c r="EAQ39" s="28"/>
      <c r="EAR39" s="29"/>
      <c r="EAS39" s="29"/>
      <c r="EAT39" s="29"/>
      <c r="EAU39" s="28"/>
      <c r="EAV39" s="29"/>
      <c r="EAW39" s="29"/>
      <c r="EAX39" s="28"/>
      <c r="EAY39" s="29"/>
      <c r="EAZ39" s="30"/>
      <c r="EBA39" s="28"/>
      <c r="EBB39" s="30"/>
      <c r="EBC39" s="29"/>
      <c r="EBD39" s="28"/>
      <c r="EBE39" s="29"/>
      <c r="EBF39" s="28"/>
      <c r="EBG39" s="28"/>
      <c r="EBH39" s="28"/>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30"/>
      <c r="ECU39" s="28"/>
      <c r="ECV39" s="29"/>
      <c r="ECW39" s="29"/>
      <c r="ECX39" s="29"/>
      <c r="ECY39" s="29"/>
      <c r="ECZ39" s="29"/>
      <c r="EDA39" s="28"/>
      <c r="EDB39" s="29"/>
      <c r="EDC39" s="29"/>
      <c r="EDD39" s="28"/>
      <c r="EDE39" s="29"/>
      <c r="EDF39" s="30"/>
      <c r="EDG39" s="28"/>
      <c r="EDH39" s="29"/>
      <c r="EDI39" s="29"/>
      <c r="EDJ39" s="29"/>
      <c r="EDK39" s="28"/>
      <c r="EDL39" s="29"/>
      <c r="EDM39" s="29"/>
      <c r="EDN39" s="28"/>
      <c r="EDO39" s="29"/>
      <c r="EDP39" s="30"/>
      <c r="EDQ39" s="28"/>
      <c r="EDR39" s="29"/>
      <c r="EDS39" s="29"/>
      <c r="EDT39" s="29"/>
      <c r="EDU39" s="28"/>
      <c r="EDV39" s="29"/>
      <c r="EDW39" s="29"/>
      <c r="EDX39" s="28"/>
      <c r="EDY39" s="29"/>
      <c r="EDZ39" s="30"/>
      <c r="EEA39" s="28"/>
      <c r="EEB39" s="29"/>
      <c r="EEC39" s="29"/>
      <c r="EED39" s="29"/>
      <c r="EEE39" s="28"/>
      <c r="EEF39" s="29"/>
      <c r="EEG39" s="29"/>
      <c r="EEH39" s="28"/>
      <c r="EEI39" s="29"/>
      <c r="EEJ39" s="30"/>
      <c r="EEK39" s="28"/>
      <c r="EEL39" s="30"/>
      <c r="EEM39" s="29"/>
      <c r="EEN39" s="28"/>
      <c r="EEO39" s="29"/>
      <c r="EEP39" s="28"/>
      <c r="EEQ39" s="28"/>
      <c r="EER39" s="28"/>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30"/>
      <c r="EGE39" s="28"/>
      <c r="EGF39" s="29"/>
      <c r="EGG39" s="29"/>
      <c r="EGH39" s="29"/>
      <c r="EGI39" s="29"/>
      <c r="EGJ39" s="29"/>
      <c r="EGK39" s="28"/>
      <c r="EGL39" s="29"/>
      <c r="EGM39" s="29"/>
      <c r="EGN39" s="28"/>
      <c r="EGO39" s="29"/>
      <c r="EGP39" s="30"/>
      <c r="EGQ39" s="28"/>
      <c r="EGR39" s="29"/>
      <c r="EGS39" s="29"/>
      <c r="EGT39" s="29"/>
      <c r="EGU39" s="28"/>
      <c r="EGV39" s="29"/>
      <c r="EGW39" s="29"/>
      <c r="EGX39" s="28"/>
      <c r="EGY39" s="29"/>
      <c r="EGZ39" s="30"/>
      <c r="EHA39" s="28"/>
      <c r="EHB39" s="29"/>
      <c r="EHC39" s="29"/>
      <c r="EHD39" s="29"/>
      <c r="EHE39" s="28"/>
      <c r="EHF39" s="29"/>
      <c r="EHG39" s="29"/>
      <c r="EHH39" s="28"/>
      <c r="EHI39" s="29"/>
      <c r="EHJ39" s="30"/>
      <c r="EHK39" s="28"/>
      <c r="EHL39" s="29"/>
      <c r="EHM39" s="29"/>
      <c r="EHN39" s="29"/>
      <c r="EHO39" s="28"/>
      <c r="EHP39" s="29"/>
      <c r="EHQ39" s="29"/>
      <c r="EHR39" s="28"/>
      <c r="EHS39" s="29"/>
      <c r="EHT39" s="30"/>
      <c r="EHU39" s="28"/>
      <c r="EHV39" s="30"/>
      <c r="EHW39" s="29"/>
      <c r="EHX39" s="28"/>
      <c r="EHY39" s="29"/>
      <c r="EHZ39" s="28"/>
      <c r="EIA39" s="28"/>
      <c r="EIB39" s="28"/>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30"/>
      <c r="EJO39" s="28"/>
      <c r="EJP39" s="29"/>
      <c r="EJQ39" s="29"/>
      <c r="EJR39" s="29"/>
      <c r="EJS39" s="29"/>
      <c r="EJT39" s="29"/>
      <c r="EJU39" s="28"/>
      <c r="EJV39" s="29"/>
      <c r="EJW39" s="29"/>
      <c r="EJX39" s="28"/>
      <c r="EJY39" s="29"/>
      <c r="EJZ39" s="30"/>
      <c r="EKA39" s="28"/>
      <c r="EKB39" s="29"/>
      <c r="EKC39" s="29"/>
      <c r="EKD39" s="29"/>
      <c r="EKE39" s="28"/>
      <c r="EKF39" s="29"/>
      <c r="EKG39" s="29"/>
      <c r="EKH39" s="28"/>
      <c r="EKI39" s="29"/>
      <c r="EKJ39" s="30"/>
      <c r="EKK39" s="28"/>
      <c r="EKL39" s="29"/>
      <c r="EKM39" s="29"/>
      <c r="EKN39" s="29"/>
      <c r="EKO39" s="28"/>
      <c r="EKP39" s="29"/>
      <c r="EKQ39" s="29"/>
      <c r="EKR39" s="28"/>
      <c r="EKS39" s="29"/>
      <c r="EKT39" s="30"/>
      <c r="EKU39" s="28"/>
      <c r="EKV39" s="29"/>
      <c r="EKW39" s="29"/>
      <c r="EKX39" s="29"/>
      <c r="EKY39" s="28"/>
      <c r="EKZ39" s="29"/>
      <c r="ELA39" s="29"/>
      <c r="ELB39" s="28"/>
      <c r="ELC39" s="29"/>
      <c r="ELD39" s="30"/>
      <c r="ELE39" s="28"/>
      <c r="ELF39" s="30"/>
      <c r="ELG39" s="29"/>
      <c r="ELH39" s="28"/>
      <c r="ELI39" s="29"/>
      <c r="ELJ39" s="28"/>
      <c r="ELK39" s="28"/>
      <c r="ELL39" s="28"/>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30"/>
      <c r="EMY39" s="28"/>
      <c r="EMZ39" s="29"/>
      <c r="ENA39" s="29"/>
      <c r="ENB39" s="29"/>
      <c r="ENC39" s="29"/>
      <c r="END39" s="29"/>
      <c r="ENE39" s="28"/>
      <c r="ENF39" s="29"/>
      <c r="ENG39" s="29"/>
      <c r="ENH39" s="28"/>
      <c r="ENI39" s="29"/>
      <c r="ENJ39" s="30"/>
      <c r="ENK39" s="28"/>
      <c r="ENL39" s="29"/>
      <c r="ENM39" s="29"/>
      <c r="ENN39" s="29"/>
      <c r="ENO39" s="28"/>
      <c r="ENP39" s="29"/>
      <c r="ENQ39" s="29"/>
      <c r="ENR39" s="28"/>
      <c r="ENS39" s="29"/>
      <c r="ENT39" s="30"/>
      <c r="ENU39" s="28"/>
      <c r="ENV39" s="29"/>
      <c r="ENW39" s="29"/>
      <c r="ENX39" s="29"/>
      <c r="ENY39" s="28"/>
      <c r="ENZ39" s="29"/>
      <c r="EOA39" s="29"/>
      <c r="EOB39" s="28"/>
      <c r="EOC39" s="29"/>
      <c r="EOD39" s="30"/>
      <c r="EOE39" s="28"/>
      <c r="EOF39" s="29"/>
      <c r="EOG39" s="29"/>
      <c r="EOH39" s="29"/>
      <c r="EOI39" s="28"/>
      <c r="EOJ39" s="29"/>
      <c r="EOK39" s="29"/>
      <c r="EOL39" s="28"/>
      <c r="EOM39" s="29"/>
      <c r="EON39" s="30"/>
      <c r="EOO39" s="28" t="str">
        <f t="shared" si="75"/>
        <v xml:space="preserve"> </v>
      </c>
    </row>
    <row r="40" spans="1:3785" x14ac:dyDescent="0.3">
      <c r="A40" s="392" t="s">
        <v>229</v>
      </c>
      <c r="B40" s="58" t="s">
        <v>5582</v>
      </c>
      <c r="C40" s="57"/>
      <c r="D40" s="56" t="str">
        <f t="shared" si="61"/>
        <v xml:space="preserve"> </v>
      </c>
      <c r="E40" s="57"/>
      <c r="F40" s="56"/>
      <c r="G40" s="59">
        <v>45161</v>
      </c>
      <c r="H40" s="396" t="s">
        <v>1774</v>
      </c>
      <c r="I40" s="57" t="s">
        <v>1372</v>
      </c>
      <c r="J40" s="57" t="s">
        <v>1373</v>
      </c>
      <c r="K40" s="57" t="s">
        <v>1372</v>
      </c>
      <c r="L40" s="57" t="s">
        <v>1373</v>
      </c>
      <c r="M40" s="57" t="s">
        <v>1461</v>
      </c>
      <c r="N40" s="57" t="s">
        <v>1774</v>
      </c>
      <c r="O40" s="57" t="s">
        <v>1372</v>
      </c>
      <c r="P40" s="57" t="s">
        <v>1372</v>
      </c>
      <c r="Q40" s="57" t="s">
        <v>1372</v>
      </c>
      <c r="R40" s="57" t="s">
        <v>1372</v>
      </c>
      <c r="S40" s="57" t="s">
        <v>1372</v>
      </c>
      <c r="T40" s="57" t="s">
        <v>1372</v>
      </c>
      <c r="U40" s="57" t="s">
        <v>1461</v>
      </c>
      <c r="V40" s="57"/>
      <c r="W40" s="57" t="s">
        <v>1382</v>
      </c>
      <c r="X40" s="57"/>
      <c r="Y40" s="57"/>
      <c r="Z40" s="57" t="s">
        <v>1372</v>
      </c>
      <c r="AA40" s="57"/>
      <c r="AB40" s="57"/>
      <c r="AC40" s="57"/>
      <c r="AD40" s="57"/>
      <c r="AE40" s="57"/>
      <c r="AF40" s="57"/>
      <c r="AG40" s="57" t="s">
        <v>1372</v>
      </c>
      <c r="AH40" s="57"/>
      <c r="AI40" s="57"/>
      <c r="AJ40" s="57"/>
      <c r="AK40" s="57"/>
      <c r="AL40" s="57"/>
      <c r="AM40" s="57"/>
      <c r="AN40" s="57"/>
      <c r="AO40" s="57"/>
      <c r="AP40" s="57"/>
      <c r="AQ40" s="57"/>
      <c r="AR40" s="57"/>
      <c r="AS40" s="57"/>
      <c r="AT40" s="58"/>
      <c r="AU40" s="57"/>
      <c r="AV40" s="56" t="str">
        <f t="shared" ref="AV40" si="187">IFERROR(VLOOKUP(AT40,BASEPOE1,2,FALSE)," ")</f>
        <v xml:space="preserve"> </v>
      </c>
      <c r="AW40" s="57"/>
      <c r="AX40" s="56"/>
      <c r="AY40" s="59"/>
      <c r="AZ40" s="59">
        <f>+AY40+365</f>
        <v>365</v>
      </c>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8"/>
      <c r="CM40" s="57"/>
      <c r="CN40" s="56" t="str">
        <f t="shared" ref="CN40" si="188">IFERROR(VLOOKUP(CL40,BASEPOE1,2,FALSE)," ")</f>
        <v xml:space="preserve"> </v>
      </c>
      <c r="CO40" s="57"/>
      <c r="CP40" s="56"/>
      <c r="CQ40" s="59"/>
      <c r="CR40" s="59">
        <f>+CQ40+365</f>
        <v>365</v>
      </c>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6"/>
      <c r="EF40" s="56"/>
      <c r="EG40" s="57"/>
      <c r="EH40" s="58"/>
      <c r="EI40" s="56"/>
      <c r="EJ40" s="57"/>
      <c r="EK40" s="57"/>
      <c r="EL40" s="57"/>
      <c r="EM40" s="56"/>
      <c r="EN40" s="57"/>
      <c r="EO40" s="57"/>
      <c r="EP40" s="56"/>
      <c r="EQ40" s="57"/>
      <c r="ER40" s="58"/>
      <c r="ES40" s="56"/>
      <c r="ET40" s="57"/>
      <c r="EU40" s="57"/>
      <c r="EV40" s="57"/>
      <c r="EW40" s="56"/>
      <c r="EX40" s="57"/>
      <c r="EY40" s="57"/>
      <c r="EZ40" s="56"/>
      <c r="FA40" s="57"/>
      <c r="FB40" s="58"/>
      <c r="FC40" s="56"/>
      <c r="FD40" s="57"/>
      <c r="FE40" s="57"/>
      <c r="FF40" s="57"/>
      <c r="FG40" s="56"/>
      <c r="FH40" s="57"/>
      <c r="FI40" s="57"/>
      <c r="FJ40" s="56"/>
      <c r="FK40" s="57"/>
      <c r="FL40" s="58"/>
      <c r="FM40" s="56"/>
      <c r="FN40" s="57"/>
      <c r="FO40" s="57"/>
      <c r="FP40" s="57"/>
      <c r="FQ40" s="56"/>
      <c r="FR40" s="57"/>
      <c r="FS40" s="57"/>
      <c r="FT40" s="56"/>
      <c r="FU40" s="57"/>
      <c r="FV40" s="58"/>
      <c r="FW40" s="56"/>
      <c r="FX40" s="57"/>
      <c r="FY40" s="57"/>
      <c r="FZ40" s="57"/>
      <c r="GA40" s="56"/>
      <c r="GB40" s="57"/>
      <c r="GC40" s="57"/>
      <c r="GD40" s="56"/>
      <c r="GE40" s="57"/>
      <c r="GF40" s="58"/>
      <c r="GG40" s="56"/>
      <c r="GH40" s="57"/>
      <c r="GI40" s="57"/>
      <c r="GJ40" s="57"/>
      <c r="GK40" s="56"/>
      <c r="GL40" s="57"/>
      <c r="GM40" s="57"/>
      <c r="GN40" s="56"/>
      <c r="GO40" s="57"/>
      <c r="GP40" s="58"/>
      <c r="GQ40" s="56"/>
      <c r="GR40" s="57"/>
      <c r="GS40" s="57"/>
      <c r="GT40" s="57"/>
      <c r="GU40" s="56"/>
      <c r="GV40" s="57"/>
      <c r="GW40" s="57"/>
      <c r="GX40" s="56"/>
      <c r="GY40" s="57"/>
      <c r="GZ40" s="58"/>
      <c r="HA40" s="56"/>
      <c r="HB40" s="57"/>
      <c r="HC40" s="57"/>
      <c r="HD40" s="57"/>
      <c r="HE40" s="56"/>
      <c r="HF40" s="57"/>
      <c r="HG40" s="57"/>
      <c r="HH40" s="56"/>
      <c r="HI40" s="57"/>
      <c r="HJ40" s="58"/>
      <c r="HK40" s="56"/>
      <c r="HL40" s="57"/>
      <c r="HM40" s="57"/>
      <c r="HN40" s="57"/>
      <c r="HO40" s="56"/>
      <c r="HP40" s="57"/>
      <c r="HQ40" s="57"/>
      <c r="HR40" s="56"/>
      <c r="HS40" s="57"/>
      <c r="HT40" s="58"/>
      <c r="HU40" s="56"/>
      <c r="HV40" s="57"/>
      <c r="HW40" s="57"/>
      <c r="HX40" s="57"/>
      <c r="HY40" s="56"/>
      <c r="HZ40" s="57"/>
      <c r="IA40" s="57"/>
      <c r="IB40" s="56"/>
      <c r="IC40" s="57"/>
      <c r="ID40" s="58"/>
      <c r="IE40" s="56"/>
      <c r="IF40" s="57"/>
      <c r="IG40" s="57"/>
      <c r="IH40" s="57"/>
      <c r="II40" s="56"/>
      <c r="IJ40" s="57"/>
      <c r="IK40" s="57"/>
      <c r="IL40" s="56"/>
      <c r="IM40" s="57"/>
      <c r="IN40" s="58"/>
      <c r="IO40" s="56"/>
      <c r="IP40" s="57"/>
      <c r="IQ40" s="57"/>
      <c r="IR40" s="57"/>
      <c r="IS40" s="56"/>
      <c r="IT40" s="57"/>
      <c r="IU40" s="57"/>
      <c r="IV40" s="56"/>
      <c r="IW40" s="57"/>
      <c r="IX40" s="58"/>
      <c r="IY40" s="56"/>
      <c r="IZ40" s="57"/>
      <c r="JA40" s="57"/>
      <c r="JB40" s="57"/>
      <c r="JC40" s="56"/>
      <c r="JD40" s="57"/>
      <c r="JE40" s="57"/>
      <c r="JF40" s="56"/>
      <c r="JG40" s="57"/>
      <c r="JH40" s="58"/>
      <c r="JI40" s="56"/>
      <c r="JJ40" s="57"/>
      <c r="JK40" s="57"/>
      <c r="JL40" s="57"/>
      <c r="JM40" s="56"/>
      <c r="JN40" s="57"/>
      <c r="JO40" s="57"/>
      <c r="JP40" s="56"/>
      <c r="JQ40" s="57"/>
      <c r="JR40" s="58"/>
      <c r="JS40" s="56"/>
      <c r="JT40" s="57"/>
      <c r="JU40" s="57"/>
      <c r="JV40" s="57"/>
      <c r="JW40" s="56"/>
      <c r="JX40" s="57"/>
      <c r="JY40" s="57"/>
      <c r="JZ40" s="56"/>
      <c r="KA40" s="57"/>
      <c r="KB40" s="58"/>
      <c r="KC40" s="56"/>
      <c r="KD40" s="57"/>
      <c r="KE40" s="57"/>
      <c r="KF40" s="57"/>
      <c r="KG40" s="56"/>
      <c r="KH40" s="57"/>
      <c r="KI40" s="57"/>
      <c r="KJ40" s="56"/>
      <c r="KK40" s="57"/>
      <c r="KL40" s="58"/>
      <c r="KM40" s="56"/>
      <c r="KN40" s="57"/>
      <c r="KO40" s="57"/>
      <c r="KP40" s="57"/>
      <c r="KQ40" s="56"/>
      <c r="KR40" s="57"/>
      <c r="KS40" s="57"/>
      <c r="KT40" s="56"/>
      <c r="KU40" s="57"/>
      <c r="KV40" s="58"/>
      <c r="KW40" s="56"/>
      <c r="KX40" s="57"/>
      <c r="KY40" s="57"/>
      <c r="KZ40" s="57"/>
      <c r="LA40" s="56"/>
      <c r="LB40" s="57"/>
      <c r="LC40" s="57"/>
      <c r="LD40" s="56"/>
      <c r="LE40" s="57"/>
      <c r="LF40" s="58"/>
      <c r="LG40" s="56"/>
      <c r="LH40" s="57"/>
      <c r="LI40" s="57"/>
      <c r="LJ40" s="57"/>
      <c r="LK40" s="56"/>
      <c r="LL40" s="57"/>
      <c r="LM40" s="57"/>
      <c r="LN40" s="56"/>
      <c r="LO40" s="57"/>
      <c r="LP40" s="58"/>
      <c r="LQ40" s="56"/>
      <c r="LR40" s="57"/>
      <c r="LS40" s="57"/>
      <c r="LT40" s="57"/>
      <c r="LU40" s="56"/>
      <c r="LV40" s="57"/>
      <c r="LW40" s="57"/>
      <c r="LX40" s="56"/>
      <c r="LY40" s="57"/>
      <c r="LZ40" s="58"/>
      <c r="MA40" s="56"/>
      <c r="MB40" s="57"/>
      <c r="MC40" s="57"/>
      <c r="MD40" s="57"/>
      <c r="ME40" s="56"/>
      <c r="MF40" s="57"/>
      <c r="MG40" s="57"/>
      <c r="MH40" s="56"/>
      <c r="MI40" s="57"/>
      <c r="MJ40" s="58"/>
      <c r="MK40" s="56"/>
      <c r="ML40" s="57"/>
      <c r="MM40" s="57"/>
      <c r="MN40" s="57"/>
      <c r="MO40" s="56"/>
      <c r="MP40" s="57"/>
      <c r="MQ40" s="57"/>
      <c r="MR40" s="56"/>
      <c r="MS40" s="57"/>
      <c r="MT40" s="58"/>
      <c r="MU40" s="56"/>
      <c r="MV40" s="57"/>
      <c r="MW40" s="57"/>
      <c r="MX40" s="57"/>
      <c r="MY40" s="56"/>
      <c r="MZ40" s="57"/>
      <c r="NA40" s="57"/>
      <c r="NB40" s="56"/>
      <c r="NC40" s="57"/>
      <c r="ND40" s="58"/>
      <c r="NE40" s="56"/>
      <c r="NF40" s="57"/>
      <c r="NG40" s="57"/>
      <c r="NH40" s="57"/>
      <c r="NI40" s="56"/>
      <c r="NJ40" s="57"/>
      <c r="NK40" s="57"/>
      <c r="NL40" s="56"/>
      <c r="NM40" s="57"/>
      <c r="NN40" s="58"/>
      <c r="NO40" s="56"/>
      <c r="NP40" s="57"/>
      <c r="NQ40" s="57"/>
      <c r="NR40" s="57"/>
      <c r="NS40" s="56"/>
      <c r="NT40" s="57"/>
      <c r="NU40" s="57"/>
      <c r="NV40" s="56"/>
      <c r="NW40" s="57"/>
      <c r="NX40" s="58"/>
      <c r="NY40" s="56"/>
      <c r="NZ40" s="57"/>
      <c r="OA40" s="57"/>
      <c r="OB40" s="57"/>
      <c r="OC40" s="56"/>
      <c r="OD40" s="57"/>
      <c r="OE40" s="57"/>
      <c r="OF40" s="58"/>
      <c r="OG40" s="58"/>
      <c r="OH40" s="58"/>
      <c r="OI40" s="56"/>
      <c r="OJ40" s="58"/>
      <c r="OK40" s="58"/>
      <c r="OL40" s="58"/>
      <c r="OM40" s="58"/>
      <c r="ON40" s="58"/>
      <c r="OO40" s="58"/>
      <c r="OP40" s="56"/>
      <c r="OQ40" s="57"/>
      <c r="OR40" s="58"/>
      <c r="OS40" s="56"/>
      <c r="OT40" s="57"/>
      <c r="OU40" s="57"/>
      <c r="OV40" s="57"/>
      <c r="OW40" s="56"/>
      <c r="OX40" s="57"/>
      <c r="OY40" s="57"/>
      <c r="OZ40" s="56"/>
      <c r="PA40" s="57"/>
      <c r="PB40" s="58"/>
      <c r="PC40" s="56"/>
      <c r="PD40" s="57"/>
      <c r="PE40" s="57"/>
      <c r="PF40" s="57"/>
      <c r="PG40" s="56"/>
      <c r="PH40" s="57"/>
      <c r="PI40" s="57"/>
      <c r="PJ40" s="56"/>
      <c r="PK40" s="57"/>
      <c r="PL40" s="58"/>
      <c r="PM40" s="56"/>
      <c r="PN40" s="57"/>
      <c r="PO40" s="57"/>
      <c r="PP40" s="57"/>
      <c r="PQ40" s="56"/>
      <c r="PR40" s="57"/>
      <c r="PS40" s="57"/>
      <c r="PT40" s="56"/>
      <c r="PU40" s="57"/>
      <c r="PV40" s="58"/>
      <c r="PW40" s="56"/>
      <c r="PX40" s="57"/>
      <c r="PY40" s="57"/>
      <c r="PZ40" s="57"/>
      <c r="QA40" s="56"/>
      <c r="QB40" s="57"/>
      <c r="QC40" s="57"/>
      <c r="QD40" s="56"/>
      <c r="QE40" s="57"/>
      <c r="QF40" s="58"/>
      <c r="QG40" s="56"/>
      <c r="QH40" s="57"/>
      <c r="QI40" s="57"/>
      <c r="QJ40" s="57"/>
      <c r="QK40" s="56"/>
      <c r="QL40" s="57"/>
      <c r="QM40" s="57"/>
      <c r="QN40" s="56"/>
      <c r="QO40" s="57"/>
      <c r="QP40" s="58"/>
      <c r="QQ40" s="56"/>
      <c r="QR40" s="57"/>
      <c r="QS40" s="57"/>
      <c r="QT40" s="57"/>
      <c r="QU40" s="56"/>
      <c r="QV40" s="57"/>
      <c r="QW40" s="57"/>
      <c r="QX40" s="56"/>
      <c r="QY40" s="57"/>
      <c r="QZ40" s="58"/>
      <c r="RA40" s="56"/>
      <c r="RB40" s="57"/>
      <c r="RC40" s="57"/>
      <c r="RD40" s="57"/>
      <c r="RE40" s="56"/>
      <c r="RF40" s="57"/>
      <c r="RG40" s="57"/>
      <c r="RH40" s="56"/>
      <c r="RI40" s="57"/>
      <c r="RJ40" s="58"/>
      <c r="RK40" s="56"/>
      <c r="RL40" s="57"/>
      <c r="RM40" s="57"/>
      <c r="RN40" s="57"/>
      <c r="RO40" s="56"/>
      <c r="RP40" s="57"/>
      <c r="RQ40" s="57"/>
      <c r="RR40" s="56"/>
      <c r="RS40" s="57"/>
      <c r="RT40" s="58"/>
      <c r="RU40" s="56"/>
      <c r="RV40" s="57"/>
      <c r="RW40" s="57"/>
      <c r="RX40" s="57"/>
      <c r="RY40" s="56"/>
      <c r="RZ40" s="57"/>
      <c r="SA40" s="57"/>
      <c r="SB40" s="56"/>
      <c r="SC40" s="57"/>
      <c r="SD40" s="58"/>
      <c r="SE40" s="56"/>
      <c r="SF40" s="57"/>
      <c r="SG40" s="57"/>
      <c r="SH40" s="57"/>
      <c r="SI40" s="56"/>
      <c r="SJ40" s="57"/>
      <c r="SK40" s="57"/>
      <c r="SL40" s="56"/>
      <c r="SM40" s="57"/>
      <c r="SN40" s="58"/>
      <c r="SO40" s="56"/>
      <c r="SP40" s="57"/>
      <c r="SQ40" s="57"/>
      <c r="SR40" s="57"/>
      <c r="SS40" s="56"/>
      <c r="ST40" s="57"/>
      <c r="SU40" s="57"/>
      <c r="SV40" s="56"/>
      <c r="SW40" s="57"/>
      <c r="SX40" s="58"/>
      <c r="SY40" s="56"/>
      <c r="SZ40" s="57"/>
      <c r="TA40" s="57"/>
      <c r="TB40" s="57"/>
      <c r="TC40" s="56"/>
      <c r="TD40" s="57"/>
      <c r="TE40" s="57"/>
      <c r="TF40" s="56"/>
      <c r="TG40" s="57"/>
      <c r="TH40" s="58"/>
      <c r="TI40" s="56"/>
      <c r="TJ40" s="57"/>
      <c r="TK40" s="57"/>
      <c r="TL40" s="57"/>
      <c r="TM40" s="56"/>
      <c r="TN40" s="57"/>
      <c r="TO40" s="57"/>
      <c r="TP40" s="56"/>
      <c r="TQ40" s="57"/>
      <c r="TR40" s="58"/>
      <c r="TS40" s="56"/>
      <c r="TT40" s="57"/>
      <c r="TU40" s="57"/>
      <c r="TV40" s="57"/>
      <c r="TW40" s="56"/>
      <c r="TX40" s="57"/>
      <c r="TY40" s="57"/>
      <c r="TZ40" s="56"/>
      <c r="UA40" s="57"/>
      <c r="UB40" s="58"/>
      <c r="UC40" s="56"/>
      <c r="UD40" s="57"/>
      <c r="UE40" s="57"/>
      <c r="UF40" s="57"/>
      <c r="UG40" s="56"/>
      <c r="UH40" s="57"/>
      <c r="UI40" s="57"/>
      <c r="UJ40" s="56"/>
      <c r="UK40" s="57"/>
      <c r="UL40" s="58"/>
      <c r="UM40" s="56"/>
      <c r="UN40" s="57"/>
      <c r="UO40" s="57"/>
      <c r="UP40" s="57"/>
      <c r="UQ40" s="56"/>
      <c r="UR40" s="57"/>
      <c r="US40" s="57"/>
      <c r="UT40" s="56"/>
      <c r="UU40" s="57"/>
      <c r="UV40" s="58"/>
      <c r="UW40" s="56"/>
      <c r="UX40" s="57"/>
      <c r="UY40" s="57"/>
      <c r="UZ40" s="57"/>
      <c r="VA40" s="56"/>
      <c r="VB40" s="57"/>
      <c r="VC40" s="57"/>
      <c r="VD40" s="56"/>
      <c r="VE40" s="57"/>
      <c r="VF40" s="58"/>
      <c r="VG40" s="56"/>
      <c r="VH40" s="57"/>
      <c r="VI40" s="57"/>
      <c r="VJ40" s="57"/>
      <c r="VK40" s="56"/>
      <c r="VL40" s="57"/>
      <c r="VM40" s="57"/>
      <c r="VN40" s="56"/>
      <c r="VO40" s="57"/>
      <c r="VP40" s="58"/>
      <c r="VQ40" s="56"/>
      <c r="VR40" s="57"/>
      <c r="VS40" s="57"/>
      <c r="VT40" s="57"/>
      <c r="VU40" s="56"/>
      <c r="VV40" s="57"/>
      <c r="VW40" s="57"/>
      <c r="VX40" s="56"/>
      <c r="VY40" s="57"/>
      <c r="VZ40" s="58"/>
      <c r="WA40" s="56"/>
      <c r="WB40" s="57"/>
      <c r="WC40" s="57"/>
      <c r="WD40" s="57"/>
      <c r="WE40" s="56"/>
      <c r="WF40" s="57"/>
      <c r="WG40" s="57"/>
      <c r="WH40" s="56"/>
      <c r="WI40" s="57"/>
      <c r="WJ40" s="58"/>
      <c r="WK40" s="56"/>
      <c r="WL40" s="57"/>
      <c r="WM40" s="57"/>
      <c r="WN40" s="57"/>
      <c r="WO40" s="56"/>
      <c r="WP40" s="57"/>
      <c r="WQ40" s="57"/>
      <c r="WR40" s="56"/>
      <c r="WS40" s="57"/>
      <c r="WT40" s="58"/>
      <c r="WU40" s="56"/>
      <c r="WV40" s="57"/>
      <c r="WW40" s="57"/>
      <c r="WX40" s="57"/>
      <c r="WY40" s="56"/>
      <c r="WZ40" s="57"/>
      <c r="XA40" s="57"/>
      <c r="XB40" s="56"/>
      <c r="XC40" s="57"/>
      <c r="XD40" s="58"/>
      <c r="XE40" s="56"/>
      <c r="XF40" s="57"/>
      <c r="XG40" s="57"/>
      <c r="XH40" s="57"/>
      <c r="XI40" s="56"/>
      <c r="XJ40" s="57"/>
      <c r="XK40" s="57"/>
      <c r="XL40" s="56"/>
      <c r="XM40" s="57"/>
      <c r="XN40" s="58"/>
      <c r="XO40" s="56"/>
      <c r="XP40" s="57"/>
      <c r="XQ40" s="57"/>
      <c r="XR40" s="57"/>
      <c r="XS40" s="56"/>
      <c r="XT40" s="57"/>
      <c r="XU40" s="57"/>
      <c r="XV40" s="56"/>
      <c r="XW40" s="57"/>
      <c r="XX40" s="58"/>
      <c r="XY40" s="56"/>
      <c r="XZ40" s="57"/>
      <c r="YA40" s="57"/>
      <c r="YB40" s="57"/>
      <c r="YC40" s="56"/>
      <c r="YD40" s="57"/>
      <c r="YE40" s="57"/>
      <c r="YF40" s="56"/>
      <c r="YG40" s="57"/>
      <c r="YH40" s="58"/>
      <c r="YI40" s="56"/>
      <c r="YJ40" s="57"/>
      <c r="YK40" s="57"/>
      <c r="YL40" s="57"/>
      <c r="YM40" s="56"/>
      <c r="YN40" s="57"/>
      <c r="YO40" s="57"/>
      <c r="YP40" s="56"/>
      <c r="YQ40" s="57"/>
      <c r="YR40" s="58"/>
      <c r="YS40" s="56"/>
      <c r="YT40" s="57"/>
      <c r="YU40" s="57"/>
      <c r="YV40" s="57"/>
      <c r="YW40" s="56"/>
      <c r="YX40" s="57"/>
      <c r="YY40" s="57"/>
      <c r="YZ40" s="56"/>
      <c r="ZA40" s="57"/>
      <c r="ZB40" s="58"/>
      <c r="ZC40" s="56"/>
      <c r="ZD40" s="57"/>
      <c r="ZE40" s="57"/>
      <c r="ZF40" s="57"/>
      <c r="ZG40" s="56"/>
      <c r="ZH40" s="57"/>
      <c r="ZI40" s="57"/>
      <c r="ZJ40" s="56"/>
      <c r="ZK40" s="57"/>
      <c r="ZL40" s="58"/>
      <c r="ZM40" s="56"/>
      <c r="ZN40" s="57"/>
      <c r="ZO40" s="57"/>
      <c r="ZP40" s="57"/>
      <c r="ZQ40" s="56"/>
      <c r="ZR40" s="57"/>
      <c r="ZS40" s="57"/>
      <c r="ZT40" s="56"/>
      <c r="ZU40" s="57"/>
      <c r="ZV40" s="58"/>
      <c r="ZW40" s="56"/>
      <c r="ZX40" s="57"/>
      <c r="ZY40" s="57"/>
      <c r="ZZ40" s="57"/>
      <c r="AAA40" s="56"/>
      <c r="AAB40" s="57"/>
      <c r="AAC40" s="57"/>
      <c r="AAD40" s="56"/>
      <c r="AAE40" s="57"/>
      <c r="AAF40" s="58"/>
      <c r="AAG40" s="56"/>
      <c r="AAH40" s="57"/>
      <c r="AAI40" s="57"/>
      <c r="AAJ40" s="57"/>
      <c r="AAK40" s="56"/>
      <c r="AAL40" s="57"/>
      <c r="AAM40" s="57"/>
      <c r="AAN40" s="56"/>
      <c r="AAO40" s="57"/>
      <c r="AAP40" s="58"/>
      <c r="AAQ40" s="56"/>
      <c r="AAR40" s="57"/>
      <c r="AAS40" s="57"/>
      <c r="AAT40" s="57"/>
      <c r="AAU40" s="56"/>
      <c r="AAV40" s="57"/>
      <c r="AAW40" s="57"/>
      <c r="AAX40" s="58"/>
      <c r="AAY40" s="58"/>
      <c r="AAZ40" s="58"/>
      <c r="ABA40" s="56"/>
      <c r="ABB40" s="58"/>
      <c r="ABC40" s="58"/>
      <c r="ABD40" s="58"/>
      <c r="ABE40" s="58"/>
      <c r="ABF40" s="58"/>
      <c r="ABG40" s="57"/>
      <c r="ABH40" s="56"/>
      <c r="ABI40" s="57"/>
      <c r="ABJ40" s="58"/>
      <c r="ABK40" s="56"/>
      <c r="ABL40" s="57"/>
      <c r="ABM40" s="57"/>
      <c r="ABN40" s="57"/>
      <c r="ABO40" s="56"/>
      <c r="ABP40" s="57"/>
      <c r="ABQ40" s="57"/>
      <c r="ABR40" s="56"/>
      <c r="ABS40" s="57"/>
      <c r="ABT40" s="58"/>
      <c r="ABU40" s="56"/>
      <c r="ABV40" s="57"/>
      <c r="ABW40" s="57"/>
      <c r="ABX40" s="57"/>
      <c r="ABY40" s="56"/>
      <c r="ABZ40" s="57"/>
      <c r="ACA40" s="57"/>
      <c r="ACB40" s="56"/>
      <c r="ACC40" s="57"/>
      <c r="ACD40" s="58"/>
      <c r="ACE40" s="56"/>
      <c r="ACF40" s="57"/>
      <c r="ACG40" s="57"/>
      <c r="ACH40" s="57"/>
      <c r="ACI40" s="56"/>
      <c r="ACJ40" s="57"/>
      <c r="ACK40" s="57"/>
      <c r="ACL40" s="56"/>
      <c r="ACM40" s="57"/>
      <c r="ACN40" s="58"/>
      <c r="ACO40" s="56"/>
      <c r="ACP40" s="57"/>
      <c r="ACQ40" s="57"/>
      <c r="ACR40" s="57"/>
      <c r="ACS40" s="56"/>
      <c r="ACT40" s="57"/>
      <c r="ACU40" s="57"/>
      <c r="ACV40" s="56"/>
      <c r="ACW40" s="57"/>
      <c r="ACX40" s="58"/>
      <c r="ACY40" s="56"/>
      <c r="ACZ40" s="57"/>
      <c r="ADA40" s="57"/>
      <c r="ADB40" s="57"/>
      <c r="ADC40" s="56"/>
      <c r="ADD40" s="57"/>
      <c r="ADE40" s="57"/>
      <c r="ADF40" s="56"/>
      <c r="ADG40" s="57"/>
      <c r="ADH40" s="58"/>
      <c r="ADI40" s="56"/>
      <c r="ADJ40" s="57"/>
      <c r="ADK40" s="57"/>
      <c r="ADL40" s="57"/>
      <c r="ADM40" s="56"/>
      <c r="ADN40" s="57"/>
      <c r="ADO40" s="57"/>
      <c r="ADP40" s="56"/>
      <c r="ADQ40" s="57"/>
      <c r="ADR40" s="58"/>
      <c r="ADS40" s="56"/>
      <c r="ADT40" s="57"/>
      <c r="ADU40" s="57"/>
      <c r="ADV40" s="57"/>
      <c r="ADW40" s="56"/>
      <c r="ADX40" s="57"/>
      <c r="ADY40" s="57"/>
      <c r="ADZ40" s="56"/>
      <c r="AEA40" s="57"/>
      <c r="AEB40" s="58"/>
      <c r="AEC40" s="56"/>
      <c r="AED40" s="57"/>
      <c r="AEE40" s="57"/>
      <c r="AEF40" s="57"/>
      <c r="AEG40" s="56"/>
      <c r="AEH40" s="57"/>
      <c r="AEI40" s="57"/>
      <c r="AEJ40" s="56"/>
      <c r="AEK40" s="57"/>
      <c r="AEL40" s="58"/>
      <c r="AEM40" s="56"/>
      <c r="AEN40" s="57"/>
      <c r="AEO40" s="57"/>
      <c r="AEP40" s="57"/>
      <c r="AEQ40" s="56"/>
      <c r="AER40" s="57"/>
      <c r="AES40" s="57"/>
      <c r="AET40" s="56"/>
      <c r="AEU40" s="57"/>
      <c r="AEV40" s="58"/>
      <c r="AEW40" s="56"/>
      <c r="AEX40" s="57"/>
      <c r="AEY40" s="57"/>
      <c r="AEZ40" s="57"/>
      <c r="AFA40" s="56"/>
      <c r="AFB40" s="57"/>
      <c r="AFC40" s="57"/>
      <c r="AFD40" s="56"/>
      <c r="AFE40" s="57"/>
      <c r="AFF40" s="58"/>
      <c r="AFG40" s="56"/>
      <c r="AFH40" s="57"/>
      <c r="AFI40" s="57"/>
      <c r="AFJ40" s="57"/>
      <c r="AFK40" s="56"/>
      <c r="AFL40" s="57"/>
      <c r="AFM40" s="57"/>
      <c r="AFN40" s="56"/>
      <c r="AFO40" s="57"/>
      <c r="AFP40" s="58"/>
      <c r="AFQ40" s="56"/>
      <c r="AFR40" s="57"/>
      <c r="AFS40" s="57"/>
      <c r="AFT40" s="57"/>
      <c r="AFU40" s="56"/>
      <c r="AFV40" s="57"/>
      <c r="AFW40" s="57"/>
      <c r="AFX40" s="56"/>
      <c r="AFY40" s="57"/>
      <c r="AFZ40" s="58"/>
      <c r="AGA40" s="56"/>
      <c r="AGB40" s="57"/>
      <c r="AGC40" s="57"/>
      <c r="AGD40" s="57"/>
      <c r="AGE40" s="56"/>
      <c r="AGF40" s="57"/>
      <c r="AGG40" s="57"/>
      <c r="AGH40" s="56"/>
      <c r="AGI40" s="57"/>
      <c r="AGJ40" s="58"/>
      <c r="AGK40" s="56"/>
      <c r="AGL40" s="57"/>
      <c r="AGM40" s="57"/>
      <c r="AGN40" s="57"/>
      <c r="AGO40" s="56"/>
      <c r="AGP40" s="57"/>
      <c r="AGQ40" s="57"/>
      <c r="AGR40" s="56"/>
      <c r="AGS40" s="57"/>
      <c r="AGT40" s="58"/>
      <c r="AGU40" s="56"/>
      <c r="AGV40" s="57"/>
      <c r="AGW40" s="57"/>
      <c r="AGX40" s="57"/>
      <c r="AGY40" s="56"/>
      <c r="AGZ40" s="57"/>
      <c r="AHA40" s="57"/>
      <c r="AHB40" s="56"/>
      <c r="AHC40" s="57"/>
      <c r="AHD40" s="58"/>
      <c r="AHE40" s="56"/>
      <c r="AHF40" s="57"/>
      <c r="AHG40" s="57"/>
      <c r="AHH40" s="57"/>
      <c r="AHI40" s="56"/>
      <c r="AHJ40" s="57"/>
      <c r="AHK40" s="57"/>
      <c r="AHL40" s="56"/>
      <c r="AHM40" s="57"/>
      <c r="AHN40" s="58"/>
      <c r="AHO40" s="56"/>
      <c r="AHP40" s="57"/>
      <c r="AHQ40" s="57"/>
      <c r="AHR40" s="57"/>
      <c r="AHS40" s="56"/>
      <c r="AHT40" s="57"/>
      <c r="AHU40" s="57"/>
      <c r="AHV40" s="56"/>
      <c r="AHW40" s="57"/>
      <c r="AHX40" s="58"/>
      <c r="AHY40" s="56"/>
      <c r="AHZ40" s="57"/>
      <c r="AIA40" s="57"/>
      <c r="AIB40" s="57"/>
      <c r="AIC40" s="56"/>
      <c r="AID40" s="57"/>
      <c r="AIE40" s="57"/>
      <c r="AIF40" s="56"/>
      <c r="AIG40" s="57"/>
      <c r="AIH40" s="58"/>
      <c r="AII40" s="56"/>
      <c r="AIJ40" s="57"/>
      <c r="AIK40" s="57"/>
      <c r="AIL40" s="57"/>
      <c r="AIM40" s="56"/>
      <c r="AIN40" s="57"/>
      <c r="AIO40" s="57"/>
      <c r="AIP40" s="56"/>
      <c r="AIQ40" s="57"/>
      <c r="AIR40" s="58"/>
      <c r="AIS40" s="56"/>
      <c r="AIT40" s="57"/>
      <c r="AIU40" s="57"/>
      <c r="AIV40" s="57"/>
      <c r="AIW40" s="56"/>
      <c r="AIX40" s="57"/>
      <c r="AIY40" s="57"/>
      <c r="AIZ40" s="56"/>
      <c r="AJA40" s="57"/>
      <c r="AJB40" s="58"/>
      <c r="AJC40" s="56"/>
      <c r="AJD40" s="57"/>
      <c r="AJE40" s="57"/>
      <c r="AJF40" s="57"/>
      <c r="AJG40" s="56"/>
      <c r="AJH40" s="57"/>
      <c r="AJI40" s="57"/>
      <c r="AJJ40" s="56"/>
      <c r="AJK40" s="57"/>
      <c r="AJL40" s="58"/>
      <c r="AJM40" s="56"/>
      <c r="AJN40" s="57"/>
      <c r="AJO40" s="57"/>
      <c r="AJP40" s="57"/>
      <c r="AJQ40" s="56"/>
      <c r="AJR40" s="57"/>
      <c r="AJS40" s="57"/>
      <c r="AJT40" s="56"/>
      <c r="AJU40" s="57"/>
      <c r="AJV40" s="58"/>
      <c r="AJW40" s="56"/>
      <c r="AJX40" s="57"/>
      <c r="AJY40" s="57"/>
      <c r="AJZ40" s="57"/>
      <c r="AKA40" s="56"/>
      <c r="AKB40" s="57"/>
      <c r="AKC40" s="57"/>
      <c r="AKD40" s="56"/>
      <c r="AKE40" s="57"/>
      <c r="AKF40" s="58"/>
      <c r="AKG40" s="56"/>
      <c r="AKH40" s="57"/>
      <c r="AKI40" s="57"/>
      <c r="AKJ40" s="57"/>
      <c r="AKK40" s="56"/>
      <c r="AKL40" s="57"/>
      <c r="AKM40" s="57"/>
      <c r="AKN40" s="56"/>
      <c r="AKO40" s="57"/>
      <c r="AKP40" s="58"/>
      <c r="AKQ40" s="56"/>
      <c r="AKR40" s="57"/>
      <c r="AKS40" s="57"/>
      <c r="AKT40" s="57"/>
      <c r="AKU40" s="56"/>
      <c r="AKV40" s="57"/>
      <c r="AKW40" s="57"/>
      <c r="AKX40" s="56"/>
      <c r="AKY40" s="57"/>
      <c r="AKZ40" s="58"/>
      <c r="ALA40" s="56"/>
      <c r="ALB40" s="57"/>
      <c r="ALC40" s="57"/>
      <c r="ALD40" s="57"/>
      <c r="ALE40" s="56"/>
      <c r="ALF40" s="57"/>
      <c r="ALG40" s="57"/>
      <c r="ALH40" s="57"/>
      <c r="ALI40" s="57"/>
      <c r="ALJ40" s="57"/>
      <c r="ALK40" s="56"/>
      <c r="ALL40" s="57"/>
      <c r="ALM40" s="57"/>
      <c r="ALN40" s="56"/>
      <c r="ALO40" s="57"/>
      <c r="ALP40" s="58"/>
      <c r="ALQ40" s="56"/>
      <c r="ALR40" s="57"/>
      <c r="ALS40" s="57"/>
      <c r="ALT40" s="57"/>
      <c r="ALU40" s="56"/>
      <c r="ALV40" s="57"/>
      <c r="ALW40" s="57"/>
      <c r="ALX40" s="56"/>
      <c r="ALY40" s="57"/>
      <c r="ALZ40" s="58"/>
      <c r="AMA40" s="56"/>
      <c r="AMB40" s="57"/>
      <c r="AMC40" s="57"/>
      <c r="AMD40" s="57"/>
      <c r="AME40" s="56"/>
      <c r="AMF40" s="57"/>
      <c r="AMG40" s="57"/>
      <c r="AMH40" s="57"/>
      <c r="AMI40" s="57"/>
      <c r="AMJ40" s="57"/>
      <c r="AMK40" s="56"/>
      <c r="AML40" s="57"/>
      <c r="AMM40" s="57"/>
      <c r="AMN40" s="56"/>
      <c r="AMO40" s="57"/>
      <c r="AMP40" s="58"/>
      <c r="AMQ40" s="56"/>
      <c r="AMR40" s="57"/>
      <c r="AMS40" s="57"/>
      <c r="AMT40" s="57"/>
      <c r="AMU40" s="56"/>
      <c r="AMV40" s="57"/>
      <c r="AMW40" s="57"/>
      <c r="AMX40" s="56"/>
      <c r="AMY40" s="57"/>
      <c r="AMZ40" s="58"/>
      <c r="ANA40" s="56"/>
      <c r="ANB40" s="57"/>
      <c r="ANC40" s="57"/>
      <c r="AND40" s="57"/>
      <c r="ANE40" s="56"/>
      <c r="ANF40" s="57"/>
      <c r="ANG40" s="57"/>
      <c r="ANH40" s="57"/>
      <c r="ANI40" s="57"/>
      <c r="ANJ40" s="57"/>
      <c r="ANK40" s="56"/>
      <c r="ANL40" s="57"/>
      <c r="ANM40" s="57"/>
      <c r="ANN40" s="56"/>
      <c r="ANO40" s="57"/>
      <c r="ANP40" s="58"/>
      <c r="ANQ40" s="56"/>
      <c r="ANR40" s="57"/>
      <c r="ANS40" s="57"/>
      <c r="ANT40" s="57"/>
      <c r="ANU40" s="56"/>
      <c r="ANV40" s="57"/>
      <c r="ANW40" s="57"/>
      <c r="ANX40" s="56"/>
      <c r="ANY40" s="57"/>
      <c r="ANZ40" s="58"/>
      <c r="AOA40" s="56"/>
      <c r="AOB40" s="57"/>
      <c r="AOC40" s="57"/>
      <c r="AOD40" s="57"/>
      <c r="AOE40" s="56"/>
      <c r="AOF40" s="57"/>
      <c r="AOG40" s="57"/>
      <c r="AOH40" s="57"/>
      <c r="AOI40" s="57"/>
      <c r="AOJ40" s="57"/>
      <c r="AOK40" s="56"/>
      <c r="AOL40" s="57"/>
      <c r="AOM40" s="57"/>
      <c r="AON40" s="56"/>
      <c r="AOO40" s="57"/>
      <c r="AOP40" s="58"/>
      <c r="AOQ40" s="56"/>
      <c r="AOR40" s="57"/>
      <c r="AOS40" s="57"/>
      <c r="AOT40" s="57"/>
      <c r="AOU40" s="56"/>
      <c r="AOV40" s="57"/>
      <c r="AOW40" s="57"/>
      <c r="AOX40" s="56"/>
      <c r="AOY40" s="57"/>
      <c r="AOZ40" s="58"/>
      <c r="APA40" s="56"/>
      <c r="APB40" s="57"/>
      <c r="APC40" s="57"/>
      <c r="APD40" s="57"/>
      <c r="APE40" s="56"/>
      <c r="APF40" s="57"/>
      <c r="APG40" s="57"/>
      <c r="APH40" s="57"/>
      <c r="API40" s="57"/>
      <c r="APJ40" s="57"/>
      <c r="APK40" s="56"/>
      <c r="APL40" s="57"/>
      <c r="APM40" s="57"/>
      <c r="APN40" s="56"/>
      <c r="APO40" s="57"/>
      <c r="APP40" s="58"/>
      <c r="APQ40" s="56"/>
      <c r="APR40" s="57"/>
      <c r="APS40" s="57"/>
      <c r="APT40" s="57"/>
      <c r="APU40" s="56"/>
      <c r="APV40" s="57"/>
      <c r="APW40" s="57"/>
      <c r="APX40" s="56"/>
      <c r="APY40" s="57"/>
      <c r="APZ40" s="58"/>
      <c r="AQA40" s="56"/>
      <c r="AQB40" s="57"/>
      <c r="AQC40" s="57"/>
      <c r="AQD40" s="57"/>
      <c r="AQE40" s="56"/>
      <c r="AQF40" s="57"/>
      <c r="AQG40" s="57"/>
      <c r="AQH40" s="57"/>
      <c r="AQI40" s="57"/>
      <c r="AQJ40" s="57"/>
      <c r="AQK40" s="56"/>
      <c r="AQL40" s="57"/>
      <c r="AQM40" s="57"/>
      <c r="AQN40" s="56"/>
      <c r="AQO40" s="57"/>
      <c r="AQP40" s="58"/>
      <c r="AQQ40" s="56"/>
      <c r="AQR40" s="57"/>
      <c r="AQS40" s="57"/>
      <c r="AQT40" s="57"/>
      <c r="AQU40" s="56"/>
      <c r="AQV40" s="57"/>
      <c r="AQW40" s="57"/>
      <c r="AQX40" s="56"/>
      <c r="AQY40" s="57"/>
      <c r="AQZ40" s="58"/>
      <c r="ARA40" s="56"/>
      <c r="ARB40" s="57"/>
      <c r="ARC40" s="57"/>
      <c r="ARD40" s="57"/>
      <c r="ARE40" s="56"/>
      <c r="ARF40" s="57"/>
      <c r="ARG40" s="57"/>
      <c r="ARH40" s="57"/>
      <c r="ARI40" s="57"/>
      <c r="ARJ40" s="57"/>
      <c r="ARK40" s="56"/>
      <c r="ARL40" s="57"/>
      <c r="ARM40" s="57"/>
      <c r="ARN40" s="56"/>
      <c r="ARO40" s="57"/>
      <c r="ARP40" s="58"/>
      <c r="ARQ40" s="56"/>
      <c r="ARR40" s="57"/>
      <c r="ARS40" s="57"/>
      <c r="ART40" s="57"/>
      <c r="ARU40" s="56"/>
      <c r="ARV40" s="57"/>
      <c r="ARW40" s="57"/>
      <c r="ARX40" s="56"/>
      <c r="ARY40" s="57"/>
      <c r="ARZ40" s="58"/>
      <c r="ASA40" s="56"/>
      <c r="ASB40" s="57"/>
      <c r="ASC40" s="57"/>
      <c r="ASD40" s="57"/>
      <c r="ASE40" s="56"/>
      <c r="ASF40" s="57"/>
      <c r="ASG40" s="57"/>
      <c r="ASH40" s="57"/>
      <c r="ASI40" s="57"/>
      <c r="ASJ40" s="57"/>
      <c r="ASK40" s="56"/>
      <c r="ASL40" s="57"/>
      <c r="ASM40" s="57"/>
      <c r="ASN40" s="56"/>
      <c r="ASO40" s="57"/>
      <c r="ASP40" s="58"/>
      <c r="ASQ40" s="56"/>
      <c r="ASR40" s="57"/>
      <c r="ASS40" s="57"/>
      <c r="AST40" s="57"/>
      <c r="ASU40" s="56"/>
      <c r="ASV40" s="57"/>
      <c r="ASW40" s="57"/>
      <c r="ASX40" s="56"/>
      <c r="ASY40" s="57"/>
      <c r="ASZ40" s="58"/>
      <c r="ATA40" s="56"/>
      <c r="ATB40" s="57"/>
      <c r="ATC40" s="57"/>
      <c r="ATD40" s="57"/>
      <c r="ATE40" s="56"/>
      <c r="ATF40" s="57"/>
      <c r="ATG40" s="57"/>
      <c r="ATH40" s="57"/>
      <c r="ATI40" s="57"/>
      <c r="ATJ40" s="57"/>
      <c r="ATK40" s="56"/>
      <c r="ATL40" s="57"/>
      <c r="ATM40" s="57"/>
      <c r="ATN40" s="56"/>
      <c r="ATO40" s="57"/>
      <c r="ATP40" s="58"/>
      <c r="ATQ40" s="56"/>
      <c r="ATR40" s="57"/>
      <c r="ATS40" s="57"/>
      <c r="ATT40" s="57"/>
      <c r="ATU40" s="56"/>
      <c r="ATV40" s="57"/>
      <c r="ATW40" s="57"/>
      <c r="ATX40" s="56"/>
      <c r="ATY40" s="57"/>
      <c r="ATZ40" s="58"/>
      <c r="AUA40" s="56"/>
      <c r="AUB40" s="57"/>
      <c r="AUC40" s="57"/>
      <c r="AUD40" s="57"/>
      <c r="AUE40" s="56"/>
      <c r="AUF40" s="57"/>
      <c r="AUG40" s="57"/>
      <c r="AUH40" s="57"/>
      <c r="AUI40" s="57"/>
      <c r="AUJ40" s="57"/>
      <c r="AUK40" s="56"/>
      <c r="AUL40" s="57"/>
      <c r="AUM40" s="57"/>
      <c r="AUN40" s="56"/>
      <c r="AUO40" s="57"/>
      <c r="AUP40" s="58"/>
      <c r="AUQ40" s="56"/>
      <c r="AUR40" s="57"/>
      <c r="AUS40" s="57"/>
      <c r="AUT40" s="57"/>
      <c r="AUU40" s="56"/>
      <c r="AUV40" s="57"/>
      <c r="AUW40" s="57"/>
      <c r="AUX40" s="56"/>
      <c r="AUY40" s="57"/>
      <c r="AUZ40" s="58"/>
      <c r="AVA40" s="56"/>
      <c r="AVB40" s="57"/>
      <c r="AVC40" s="57"/>
      <c r="AVD40" s="57"/>
      <c r="AVE40" s="56"/>
      <c r="AVF40" s="57"/>
      <c r="AVG40" s="57"/>
      <c r="AVH40" s="57"/>
      <c r="AVI40" s="57"/>
      <c r="AVJ40" s="57"/>
      <c r="AVK40" s="56"/>
      <c r="AVL40" s="57"/>
      <c r="AVM40" s="57"/>
      <c r="AVN40" s="56"/>
      <c r="AVO40" s="57"/>
      <c r="AVP40" s="58"/>
      <c r="AVQ40" s="56"/>
      <c r="AVR40" s="57"/>
      <c r="AVS40" s="57"/>
      <c r="AVT40" s="57"/>
      <c r="AVU40" s="56"/>
      <c r="AVV40" s="57"/>
      <c r="AVW40" s="57"/>
      <c r="AVX40" s="56"/>
      <c r="AVY40" s="57"/>
      <c r="AVZ40" s="58"/>
      <c r="AWA40" s="56"/>
      <c r="AWB40" s="57"/>
      <c r="AWC40" s="57"/>
      <c r="AWD40" s="57"/>
      <c r="AWE40" s="56"/>
      <c r="AWF40" s="57"/>
      <c r="AWG40" s="57"/>
      <c r="AWH40" s="57"/>
      <c r="AWI40" s="57"/>
      <c r="AWJ40" s="57"/>
      <c r="AWK40" s="56"/>
      <c r="AWL40" s="57"/>
      <c r="AWM40" s="57"/>
      <c r="AWN40" s="56"/>
      <c r="AWO40" s="57"/>
      <c r="AWP40" s="58"/>
      <c r="AWQ40" s="56"/>
      <c r="AWR40" s="57"/>
      <c r="AWS40" s="57"/>
      <c r="AWT40" s="57"/>
      <c r="AWU40" s="56"/>
      <c r="AWV40" s="57"/>
      <c r="AWW40" s="57"/>
      <c r="AWX40" s="56"/>
      <c r="AWY40" s="57"/>
      <c r="AWZ40" s="58"/>
      <c r="AXA40" s="56"/>
      <c r="AXB40" s="57"/>
      <c r="AXC40" s="57"/>
      <c r="AXD40" s="57"/>
      <c r="AXE40" s="56"/>
      <c r="AXF40" s="57"/>
      <c r="AXG40" s="57"/>
      <c r="AXH40" s="57"/>
      <c r="AXI40" s="57"/>
      <c r="AXJ40" s="57"/>
      <c r="AXK40" s="56"/>
      <c r="AXL40" s="57"/>
      <c r="AXM40" s="57"/>
      <c r="AXN40" s="56"/>
      <c r="AXO40" s="57"/>
      <c r="AXP40" s="58"/>
      <c r="AXQ40" s="56"/>
      <c r="AXR40" s="57"/>
      <c r="AXS40" s="57"/>
      <c r="AXT40" s="57"/>
      <c r="AXU40" s="56"/>
      <c r="AXV40" s="57"/>
      <c r="AXW40" s="57"/>
      <c r="AXX40" s="56"/>
      <c r="AXY40" s="57"/>
      <c r="AXZ40" s="58"/>
      <c r="AYA40" s="56"/>
      <c r="AYB40" s="57"/>
      <c r="AYC40" s="57"/>
      <c r="AYD40" s="57"/>
      <c r="AYE40" s="56"/>
      <c r="AYF40" s="57"/>
      <c r="AYG40" s="57"/>
      <c r="AYH40" s="57"/>
      <c r="AYI40" s="57"/>
      <c r="AYJ40" s="57"/>
      <c r="AYK40" s="56"/>
      <c r="AYL40" s="57"/>
      <c r="AYM40" s="57"/>
      <c r="AYN40" s="56"/>
      <c r="AYO40" s="57"/>
      <c r="AYP40" s="58"/>
      <c r="AYQ40" s="56"/>
      <c r="AYR40" s="57"/>
      <c r="AYS40" s="57"/>
      <c r="AYT40" s="57"/>
      <c r="AYU40" s="56"/>
      <c r="AYV40" s="57"/>
      <c r="AYW40" s="57"/>
      <c r="AYX40" s="56"/>
      <c r="AYY40" s="57"/>
      <c r="AYZ40" s="58"/>
      <c r="AZA40" s="56"/>
      <c r="AZB40" s="57"/>
      <c r="AZC40" s="57"/>
      <c r="AZD40" s="57"/>
      <c r="AZE40" s="56"/>
      <c r="AZF40" s="57"/>
      <c r="AZG40" s="57"/>
      <c r="AZH40" s="57"/>
      <c r="AZI40" s="57"/>
      <c r="AZJ40" s="57"/>
      <c r="AZK40" s="56"/>
      <c r="AZL40" s="57"/>
      <c r="AZM40" s="57"/>
      <c r="AZN40" s="56"/>
      <c r="AZO40" s="57"/>
      <c r="AZP40" s="58"/>
      <c r="AZQ40" s="56"/>
      <c r="AZR40" s="57"/>
      <c r="AZS40" s="57"/>
      <c r="AZT40" s="57"/>
      <c r="AZU40" s="56"/>
      <c r="AZV40" s="57"/>
      <c r="AZW40" s="57"/>
      <c r="AZX40" s="56"/>
      <c r="AZY40" s="57"/>
      <c r="AZZ40" s="58"/>
      <c r="BAA40" s="56"/>
      <c r="BAB40" s="57"/>
      <c r="BAC40" s="57"/>
      <c r="BAD40" s="57"/>
      <c r="BAE40" s="56"/>
      <c r="BAF40" s="57"/>
      <c r="BAG40" s="57"/>
      <c r="BAH40" s="57"/>
      <c r="BAI40" s="57"/>
      <c r="BAJ40" s="57"/>
      <c r="BAK40" s="56"/>
      <c r="BAL40" s="57"/>
      <c r="BAM40" s="57"/>
      <c r="BAN40" s="56"/>
      <c r="BAO40" s="57"/>
      <c r="BAP40" s="58"/>
      <c r="BAQ40" s="56"/>
      <c r="BAR40" s="57"/>
      <c r="BAS40" s="57"/>
      <c r="BAT40" s="57"/>
      <c r="BAU40" s="56"/>
      <c r="BAV40" s="57"/>
      <c r="BAW40" s="57"/>
      <c r="BAX40" s="56"/>
      <c r="BAY40" s="57"/>
      <c r="BAZ40" s="58"/>
      <c r="BBA40" s="56"/>
      <c r="BBB40" s="57"/>
      <c r="BBC40" s="57"/>
      <c r="BBD40" s="57"/>
      <c r="BBE40" s="56"/>
      <c r="BBF40" s="57"/>
      <c r="BBG40" s="57"/>
      <c r="BBH40" s="57"/>
      <c r="BBI40" s="57"/>
      <c r="BBJ40" s="57"/>
      <c r="BBK40" s="56"/>
      <c r="BBL40" s="57"/>
      <c r="BBM40" s="57"/>
      <c r="BBN40" s="56"/>
      <c r="BBO40" s="57"/>
      <c r="BBP40" s="58"/>
      <c r="BBQ40" s="56"/>
      <c r="BBR40" s="57"/>
      <c r="BBS40" s="57"/>
      <c r="BBT40" s="57"/>
      <c r="BBU40" s="56"/>
      <c r="BBV40" s="57"/>
      <c r="BBW40" s="57"/>
      <c r="BBX40" s="56"/>
      <c r="BBY40" s="57"/>
      <c r="BBZ40" s="58"/>
      <c r="BCA40" s="56"/>
      <c r="BCB40" s="57"/>
      <c r="BCC40" s="57"/>
      <c r="BCD40" s="57"/>
      <c r="BCE40" s="56"/>
      <c r="BCF40" s="57"/>
      <c r="BCG40" s="57"/>
      <c r="BCH40" s="57"/>
      <c r="BCI40" s="57"/>
      <c r="BCJ40" s="57"/>
      <c r="BCK40" s="56"/>
      <c r="BCL40" s="57"/>
      <c r="BCM40" s="57"/>
      <c r="BCN40" s="56"/>
      <c r="BCO40" s="57"/>
      <c r="BCP40" s="58"/>
      <c r="BCQ40" s="56"/>
      <c r="BCR40" s="57"/>
      <c r="BCS40" s="57"/>
      <c r="BCT40" s="57"/>
      <c r="BCU40" s="56"/>
      <c r="BCV40" s="57"/>
      <c r="BCW40" s="57"/>
      <c r="BCX40" s="56"/>
      <c r="BCY40" s="57"/>
      <c r="BCZ40" s="58"/>
      <c r="BDA40" s="56"/>
      <c r="BDB40" s="57"/>
      <c r="BDC40" s="57"/>
      <c r="BDD40" s="57"/>
      <c r="BDE40" s="56"/>
      <c r="BDF40" s="57"/>
      <c r="BDG40" s="57"/>
      <c r="BDH40" s="57"/>
      <c r="BDI40" s="57"/>
      <c r="BDJ40" s="57"/>
      <c r="BDK40" s="56"/>
      <c r="BDL40" s="57"/>
      <c r="BDM40" s="57"/>
      <c r="BDN40" s="56"/>
      <c r="BDO40" s="57"/>
      <c r="BDP40" s="58"/>
      <c r="BDQ40" s="56"/>
      <c r="BDR40" s="57"/>
      <c r="BDS40" s="57"/>
      <c r="BDT40" s="57"/>
      <c r="BDU40" s="56"/>
      <c r="BDV40" s="57"/>
      <c r="BDW40" s="57"/>
      <c r="BDX40" s="56"/>
      <c r="BDY40" s="57"/>
      <c r="BDZ40" s="58"/>
      <c r="BEA40" s="56"/>
      <c r="BEB40" s="57"/>
      <c r="BEC40" s="57"/>
      <c r="BED40" s="57"/>
      <c r="BEE40" s="56"/>
      <c r="BEF40" s="57"/>
      <c r="BEG40" s="57"/>
      <c r="BEH40" s="57"/>
      <c r="BEI40" s="57"/>
      <c r="BEJ40" s="57"/>
      <c r="BEK40" s="56"/>
      <c r="BEL40" s="57"/>
      <c r="BEM40" s="57"/>
      <c r="BEN40" s="56"/>
      <c r="BEO40" s="57"/>
      <c r="BEP40" s="58"/>
      <c r="BEQ40" s="56"/>
      <c r="BER40" s="57"/>
      <c r="BES40" s="57"/>
      <c r="BET40" s="57"/>
      <c r="BEU40" s="56"/>
      <c r="BEV40" s="57"/>
      <c r="BEW40" s="57"/>
      <c r="BEX40" s="56"/>
      <c r="BEY40" s="57"/>
      <c r="BEZ40" s="58"/>
      <c r="BFA40" s="56"/>
      <c r="BFB40" s="57"/>
      <c r="BFC40" s="57"/>
      <c r="BFD40" s="57"/>
      <c r="BFE40" s="56"/>
      <c r="BFF40" s="57"/>
      <c r="BFG40" s="57"/>
      <c r="BFH40" s="57"/>
      <c r="BFI40" s="57"/>
      <c r="BFJ40" s="57"/>
      <c r="BFK40" s="56"/>
      <c r="BFL40" s="57"/>
      <c r="BFM40" s="57"/>
      <c r="BFN40" s="56"/>
      <c r="BFO40" s="57"/>
      <c r="BFP40" s="58"/>
      <c r="BFQ40" s="56"/>
      <c r="BFR40" s="57"/>
      <c r="BFS40" s="57"/>
      <c r="BFT40" s="57"/>
      <c r="BFU40" s="56"/>
      <c r="BFV40" s="57"/>
      <c r="BFW40" s="57"/>
      <c r="BFX40" s="56"/>
      <c r="BFY40" s="57"/>
      <c r="BFZ40" s="58"/>
      <c r="BGA40" s="56"/>
      <c r="BGB40" s="57"/>
      <c r="BGC40" s="57"/>
      <c r="BGD40" s="57"/>
      <c r="BGE40" s="56"/>
      <c r="BGF40" s="57"/>
      <c r="BGG40" s="57"/>
      <c r="BGH40" s="57"/>
      <c r="BGI40" s="57"/>
      <c r="BGJ40" s="57"/>
      <c r="BGK40" s="56"/>
      <c r="BGL40" s="57"/>
      <c r="BGM40" s="57"/>
      <c r="BGN40" s="56"/>
      <c r="BGO40" s="57"/>
      <c r="BGP40" s="58"/>
      <c r="BGQ40" s="56"/>
      <c r="BGR40" s="57"/>
      <c r="BGS40" s="57"/>
      <c r="BGT40" s="57"/>
      <c r="BGU40" s="56"/>
      <c r="BGV40" s="57"/>
      <c r="BGW40" s="57"/>
      <c r="BGX40" s="56"/>
      <c r="BGY40" s="57"/>
      <c r="BGZ40" s="58"/>
      <c r="BHA40" s="56"/>
      <c r="BHB40" s="57"/>
      <c r="BHC40" s="57"/>
      <c r="BHD40" s="57"/>
      <c r="BHE40" s="56"/>
      <c r="BHF40" s="57"/>
      <c r="BHG40" s="57"/>
      <c r="BHH40" s="57"/>
      <c r="BHI40" s="57"/>
      <c r="BHJ40" s="57"/>
      <c r="BHK40" s="56"/>
      <c r="BHL40" s="57"/>
      <c r="BHM40" s="57"/>
      <c r="BHN40" s="56"/>
      <c r="BHO40" s="57"/>
      <c r="BHP40" s="58"/>
      <c r="BHQ40" s="56"/>
      <c r="BHR40" s="57"/>
      <c r="BHS40" s="57"/>
      <c r="BHT40" s="57"/>
      <c r="BHU40" s="56"/>
      <c r="BHV40" s="57"/>
      <c r="BHW40" s="57"/>
      <c r="BHX40" s="56"/>
      <c r="BHY40" s="57"/>
      <c r="BHZ40" s="58"/>
      <c r="BIA40" s="56"/>
      <c r="BIB40" s="57"/>
      <c r="BIC40" s="57"/>
      <c r="BID40" s="57"/>
      <c r="BIE40" s="56"/>
      <c r="BIF40" s="57"/>
      <c r="BIG40" s="57"/>
      <c r="BIH40" s="57"/>
      <c r="BII40" s="57"/>
      <c r="BIJ40" s="57"/>
      <c r="BIK40" s="56"/>
      <c r="BIL40" s="57"/>
      <c r="BIM40" s="57"/>
      <c r="BIN40" s="56"/>
      <c r="BIO40" s="57"/>
      <c r="BIP40" s="58"/>
      <c r="BIQ40" s="56"/>
      <c r="BIR40" s="57"/>
      <c r="BIS40" s="57"/>
      <c r="BIT40" s="57"/>
      <c r="BIU40" s="56"/>
      <c r="BIV40" s="57"/>
      <c r="BIW40" s="57"/>
      <c r="BIX40" s="56"/>
      <c r="BIY40" s="57"/>
      <c r="BIZ40" s="58"/>
      <c r="BJA40" s="56"/>
      <c r="BJB40" s="57"/>
      <c r="BJC40" s="57"/>
      <c r="BJD40" s="57"/>
      <c r="BJE40" s="56"/>
      <c r="BJF40" s="57"/>
      <c r="BJG40" s="57"/>
      <c r="BJH40" s="57"/>
      <c r="BJI40" s="57"/>
      <c r="BJJ40" s="57"/>
      <c r="BJK40" s="56"/>
      <c r="BJL40" s="57"/>
      <c r="BJM40" s="57"/>
      <c r="BJN40" s="56"/>
      <c r="BJO40" s="57"/>
      <c r="BJP40" s="58"/>
      <c r="BJQ40" s="56"/>
      <c r="BJR40" s="57"/>
      <c r="BJS40" s="57"/>
      <c r="BJT40" s="57"/>
      <c r="BJU40" s="56"/>
      <c r="BJV40" s="57"/>
      <c r="BJW40" s="57"/>
      <c r="BJX40" s="56"/>
      <c r="BJY40" s="57"/>
      <c r="BJZ40" s="58"/>
      <c r="BKA40" s="56"/>
      <c r="BKB40" s="57"/>
      <c r="BKC40" s="57"/>
      <c r="BKD40" s="57"/>
      <c r="BKE40" s="56"/>
      <c r="BKF40" s="57"/>
      <c r="BKG40" s="57"/>
      <c r="BKH40" s="57"/>
      <c r="BKI40" s="57"/>
      <c r="BKJ40" s="57"/>
      <c r="BKK40" s="56"/>
      <c r="BKL40" s="57"/>
      <c r="BKM40" s="57"/>
      <c r="BKN40" s="56"/>
      <c r="BKO40" s="57"/>
      <c r="BKP40" s="58"/>
      <c r="BKQ40" s="56"/>
      <c r="BKR40" s="57"/>
      <c r="BKS40" s="57"/>
      <c r="BKT40" s="57"/>
      <c r="BKU40" s="56"/>
      <c r="BKV40" s="57"/>
      <c r="BKW40" s="57"/>
      <c r="BKX40" s="56"/>
      <c r="BKY40" s="57"/>
      <c r="BKZ40" s="58"/>
      <c r="BLA40" s="56"/>
      <c r="BLB40" s="57"/>
      <c r="BLC40" s="57"/>
      <c r="BLD40" s="57"/>
      <c r="BLE40" s="56"/>
      <c r="BLF40" s="57"/>
      <c r="BLG40" s="57"/>
      <c r="BLH40" s="57"/>
      <c r="BLI40" s="57"/>
      <c r="BLJ40" s="57"/>
      <c r="BLK40" s="56"/>
      <c r="BLL40" s="57"/>
      <c r="BLM40" s="57"/>
      <c r="BLN40" s="56"/>
      <c r="BLO40" s="57"/>
      <c r="BLP40" s="58"/>
      <c r="BLQ40" s="56"/>
      <c r="BLR40" s="57"/>
      <c r="BLS40" s="57"/>
      <c r="BLT40" s="57"/>
      <c r="BLU40" s="56"/>
      <c r="BLV40" s="57"/>
      <c r="BLW40" s="57"/>
      <c r="BLX40" s="56"/>
      <c r="BLY40" s="57"/>
      <c r="BLZ40" s="58"/>
      <c r="BMA40" s="56"/>
      <c r="BMB40" s="57"/>
      <c r="BMC40" s="57"/>
      <c r="BMD40" s="57"/>
      <c r="BME40" s="56"/>
      <c r="BMF40" s="57"/>
      <c r="BMG40" s="57"/>
      <c r="BMH40" s="57"/>
      <c r="BMI40" s="57"/>
      <c r="BMJ40" s="57"/>
      <c r="BMK40" s="56"/>
      <c r="BML40" s="57"/>
      <c r="BMM40" s="57"/>
      <c r="BMN40" s="56"/>
      <c r="BMO40" s="57"/>
      <c r="BMP40" s="58"/>
      <c r="BMQ40" s="56"/>
      <c r="BMR40" s="57"/>
      <c r="BMS40" s="57"/>
      <c r="BMT40" s="57"/>
      <c r="BMU40" s="56"/>
      <c r="BMV40" s="57"/>
      <c r="BMW40" s="57"/>
      <c r="BMX40" s="56"/>
      <c r="BMY40" s="57"/>
      <c r="BMZ40" s="58"/>
      <c r="BNA40" s="56"/>
      <c r="BNB40" s="57"/>
      <c r="BNC40" s="57"/>
      <c r="BND40" s="57"/>
      <c r="BNE40" s="56"/>
      <c r="BNF40" s="57"/>
      <c r="BNG40" s="57"/>
      <c r="BNH40" s="57"/>
      <c r="BNI40" s="57"/>
      <c r="BNJ40" s="57"/>
      <c r="BNK40" s="56"/>
      <c r="BNL40" s="57"/>
      <c r="BNM40" s="57"/>
      <c r="BNN40" s="56"/>
      <c r="BNO40" s="57"/>
      <c r="BNP40" s="58"/>
      <c r="BNQ40" s="56"/>
      <c r="BNR40" s="57"/>
      <c r="BNS40" s="57"/>
      <c r="BNT40" s="57"/>
      <c r="BNU40" s="56"/>
      <c r="BNV40" s="57"/>
      <c r="BNW40" s="57"/>
      <c r="BNX40" s="56"/>
      <c r="BNY40" s="57"/>
      <c r="BNZ40" s="58"/>
      <c r="BOA40" s="56"/>
      <c r="BOB40" s="57"/>
      <c r="BOC40" s="57"/>
      <c r="BOD40" s="57"/>
      <c r="BOE40" s="56"/>
      <c r="BOF40" s="57"/>
      <c r="BOG40" s="57"/>
      <c r="BOH40" s="57"/>
      <c r="BOI40" s="57"/>
      <c r="BOJ40" s="57"/>
      <c r="BOK40" s="56"/>
      <c r="BOL40" s="57"/>
      <c r="BOM40" s="57"/>
      <c r="BON40" s="56"/>
      <c r="BOO40" s="57"/>
      <c r="BOP40" s="58"/>
      <c r="BOQ40" s="56"/>
      <c r="BOR40" s="57"/>
      <c r="BOS40" s="57"/>
      <c r="BOT40" s="57"/>
      <c r="BOU40" s="56"/>
      <c r="BOV40" s="57"/>
      <c r="BOW40" s="57"/>
      <c r="BOX40" s="56"/>
      <c r="BOY40" s="57"/>
      <c r="BOZ40" s="58"/>
      <c r="BPA40" s="56"/>
      <c r="BPB40" s="57"/>
      <c r="BPC40" s="57"/>
      <c r="BPD40" s="57"/>
      <c r="BPE40" s="56"/>
      <c r="BPF40" s="57"/>
      <c r="BPG40" s="57"/>
      <c r="BPH40" s="57"/>
      <c r="BPI40" s="57"/>
      <c r="BPJ40" s="57"/>
      <c r="BPK40" s="56"/>
      <c r="BPL40" s="57"/>
      <c r="BPM40" s="57"/>
      <c r="BPN40" s="56"/>
      <c r="BPO40" s="57"/>
      <c r="BPP40" s="58"/>
      <c r="BPQ40" s="56"/>
      <c r="BPR40" s="57"/>
      <c r="BPS40" s="57"/>
      <c r="BPT40" s="57"/>
      <c r="BPU40" s="56"/>
      <c r="BPV40" s="57"/>
      <c r="BPW40" s="57"/>
      <c r="BPX40" s="56"/>
      <c r="BPY40" s="57"/>
      <c r="BPZ40" s="58"/>
      <c r="BQA40" s="56"/>
      <c r="BQB40" s="57"/>
      <c r="BQC40" s="57"/>
      <c r="BQD40" s="57"/>
      <c r="BQE40" s="56"/>
      <c r="BQF40" s="57"/>
      <c r="BQG40" s="57"/>
      <c r="BQH40" s="57"/>
      <c r="BQI40" s="57"/>
      <c r="BQJ40" s="57"/>
      <c r="BQK40" s="56"/>
      <c r="BQL40" s="57"/>
      <c r="BQM40" s="57"/>
      <c r="BQN40" s="56"/>
      <c r="BQO40" s="57"/>
      <c r="BQP40" s="58"/>
      <c r="BQQ40" s="56"/>
      <c r="BQR40" s="57"/>
      <c r="BQS40" s="57"/>
      <c r="BQT40" s="57"/>
      <c r="BQU40" s="56"/>
      <c r="BQV40" s="57"/>
      <c r="BQW40" s="57"/>
      <c r="BQX40" s="56"/>
      <c r="BQY40" s="57"/>
      <c r="BQZ40" s="58"/>
      <c r="BRA40" s="56"/>
      <c r="BRB40" s="57"/>
      <c r="BRC40" s="57"/>
      <c r="BRD40" s="57"/>
      <c r="BRE40" s="56"/>
      <c r="BRF40" s="57"/>
      <c r="BRG40" s="57"/>
      <c r="BRH40" s="57"/>
      <c r="BRI40" s="57"/>
      <c r="BRJ40" s="57"/>
      <c r="BRK40" s="56"/>
      <c r="BRL40" s="57"/>
      <c r="BRM40" s="57"/>
      <c r="BRN40" s="56"/>
      <c r="BRO40" s="57"/>
      <c r="BRP40" s="58"/>
      <c r="BRQ40" s="56"/>
      <c r="BRR40" s="57"/>
      <c r="BRS40" s="57"/>
      <c r="BRT40" s="57"/>
      <c r="BRU40" s="56"/>
      <c r="BRV40" s="57"/>
      <c r="BRW40" s="57"/>
      <c r="BRX40" s="56"/>
      <c r="BRY40" s="57"/>
      <c r="BRZ40" s="58"/>
      <c r="BSA40" s="56"/>
      <c r="BSB40" s="57"/>
      <c r="BSC40" s="57"/>
      <c r="BSD40" s="57"/>
      <c r="BSE40" s="56"/>
      <c r="BSF40" s="57"/>
      <c r="BSG40" s="57"/>
      <c r="BSH40" s="57"/>
      <c r="BSI40" s="57"/>
      <c r="BSJ40" s="57"/>
      <c r="BSK40" s="56"/>
      <c r="BSL40" s="57"/>
      <c r="BSM40" s="57"/>
      <c r="BSN40" s="56"/>
      <c r="BSO40" s="57"/>
      <c r="BSP40" s="58"/>
      <c r="BSQ40" s="56"/>
      <c r="BSR40" s="57"/>
      <c r="BSS40" s="57"/>
      <c r="BST40" s="57"/>
      <c r="BSU40" s="56"/>
      <c r="BSV40" s="57"/>
      <c r="BSW40" s="57"/>
      <c r="BSX40" s="56"/>
      <c r="BSY40" s="57"/>
      <c r="BSZ40" s="58"/>
      <c r="BTA40" s="56"/>
      <c r="BTB40" s="57"/>
      <c r="BTC40" s="57"/>
      <c r="BTD40" s="57"/>
      <c r="BTE40" s="56"/>
      <c r="BTF40" s="57"/>
      <c r="BTG40" s="57"/>
      <c r="BTH40" s="57"/>
      <c r="BTI40" s="57"/>
      <c r="BTJ40" s="57"/>
      <c r="BTK40" s="56"/>
      <c r="BTL40" s="57"/>
      <c r="BTM40" s="57"/>
      <c r="BTN40" s="56"/>
      <c r="BTO40" s="57"/>
      <c r="BTP40" s="58"/>
      <c r="BTQ40" s="56"/>
      <c r="BTR40" s="57"/>
      <c r="BTS40" s="57"/>
      <c r="BTT40" s="57"/>
      <c r="BTU40" s="56"/>
      <c r="BTV40" s="57"/>
      <c r="BTW40" s="57"/>
      <c r="BTX40" s="56"/>
      <c r="BTY40" s="57"/>
      <c r="BTZ40" s="58"/>
      <c r="BUA40" s="56"/>
      <c r="BUB40" s="57"/>
      <c r="BUC40" s="57"/>
      <c r="BUD40" s="57"/>
      <c r="BUE40" s="56"/>
      <c r="BUF40" s="57"/>
      <c r="BUG40" s="57"/>
      <c r="BUH40" s="57"/>
      <c r="BUI40" s="57"/>
      <c r="BUJ40" s="57"/>
      <c r="BUK40" s="56"/>
      <c r="BUL40" s="57"/>
      <c r="BUM40" s="57"/>
      <c r="BUN40" s="56"/>
      <c r="BUO40" s="57"/>
      <c r="BUP40" s="58"/>
      <c r="BUQ40" s="56"/>
      <c r="BUR40" s="57"/>
      <c r="BUS40" s="57"/>
      <c r="BUT40" s="57"/>
      <c r="BUU40" s="56"/>
      <c r="BUV40" s="57"/>
      <c r="BUW40" s="57"/>
      <c r="BUX40" s="56"/>
      <c r="BUY40" s="57"/>
      <c r="BUZ40" s="58"/>
      <c r="BVA40" s="56"/>
      <c r="BVB40" s="57"/>
      <c r="BVC40" s="57"/>
      <c r="BVD40" s="57"/>
      <c r="BVE40" s="56"/>
      <c r="BVF40" s="57"/>
      <c r="BVG40" s="57"/>
      <c r="BVH40" s="57"/>
      <c r="BVI40" s="57"/>
      <c r="BVJ40" s="57"/>
      <c r="BVK40" s="56"/>
      <c r="BVL40" s="57"/>
      <c r="BVM40" s="57"/>
      <c r="BVN40" s="56"/>
      <c r="BVO40" s="57"/>
      <c r="BVP40" s="58"/>
      <c r="BVQ40" s="56"/>
      <c r="BVR40" s="57"/>
      <c r="BVS40" s="57"/>
      <c r="BVT40" s="57"/>
      <c r="BVU40" s="56"/>
      <c r="BVV40" s="57"/>
      <c r="BVW40" s="57"/>
      <c r="BVX40" s="56"/>
      <c r="BVY40" s="57"/>
      <c r="BVZ40" s="58"/>
      <c r="BWA40" s="56"/>
      <c r="BWB40" s="57"/>
      <c r="BWC40" s="57"/>
      <c r="BWD40" s="57"/>
      <c r="BWE40" s="56"/>
      <c r="BWF40" s="57"/>
      <c r="BWG40" s="57"/>
      <c r="BWH40" s="57"/>
      <c r="BWI40" s="57"/>
      <c r="BWJ40" s="57"/>
      <c r="BWK40" s="56"/>
      <c r="BWL40" s="57"/>
      <c r="BWM40" s="57"/>
      <c r="BWN40" s="56"/>
      <c r="BWO40" s="57"/>
      <c r="BWP40" s="58"/>
      <c r="BWQ40" s="56"/>
      <c r="BWR40" s="57"/>
      <c r="BWS40" s="57"/>
      <c r="BWT40" s="57"/>
      <c r="BWU40" s="56"/>
      <c r="BWV40" s="57"/>
      <c r="BWW40" s="57"/>
      <c r="BWX40" s="56"/>
      <c r="BWY40" s="57"/>
      <c r="BWZ40" s="58"/>
      <c r="BXA40" s="56"/>
      <c r="BXB40" s="57"/>
      <c r="BXC40" s="57"/>
      <c r="BXD40" s="57"/>
      <c r="BXE40" s="56"/>
      <c r="BXF40" s="57"/>
      <c r="BXG40" s="57"/>
      <c r="BXH40" s="57"/>
      <c r="BXI40" s="57"/>
      <c r="BXJ40" s="57"/>
      <c r="BXK40" s="56"/>
      <c r="BXL40" s="57"/>
      <c r="BXM40" s="57"/>
      <c r="BXN40" s="56"/>
      <c r="BXO40" s="57"/>
      <c r="BXP40" s="58"/>
      <c r="BXQ40" s="56"/>
      <c r="BXR40" s="57"/>
      <c r="BXS40" s="57"/>
      <c r="BXT40" s="57"/>
      <c r="BXU40" s="56"/>
      <c r="BXV40" s="57"/>
      <c r="BXW40" s="57"/>
      <c r="BXX40" s="56"/>
      <c r="BXY40" s="57"/>
      <c r="BXZ40" s="58"/>
      <c r="BYA40" s="56"/>
      <c r="BYB40" s="57"/>
      <c r="BYC40" s="57"/>
      <c r="BYD40" s="57"/>
      <c r="BYE40" s="56"/>
      <c r="BYF40" s="57"/>
      <c r="BYG40" s="57"/>
      <c r="BYH40" s="57"/>
      <c r="BYI40" s="57"/>
      <c r="BYJ40" s="57"/>
      <c r="BYK40" s="56"/>
      <c r="BYL40" s="57"/>
      <c r="BYM40" s="57"/>
      <c r="BYN40" s="56"/>
      <c r="BYO40" s="57"/>
      <c r="BYP40" s="58"/>
      <c r="BYQ40" s="56"/>
      <c r="BYR40" s="57"/>
      <c r="BYS40" s="57"/>
      <c r="BYT40" s="57"/>
      <c r="BYU40" s="56"/>
      <c r="BYV40" s="57"/>
      <c r="BYW40" s="57"/>
      <c r="BYX40" s="58"/>
      <c r="BYY40" s="57"/>
      <c r="BYZ40" s="56"/>
      <c r="BZA40" s="57"/>
      <c r="BZB40" s="56"/>
      <c r="BZC40" s="56"/>
      <c r="BZD40" s="56"/>
      <c r="BZE40" s="57"/>
      <c r="BZF40" s="57"/>
      <c r="BZG40" s="57"/>
      <c r="BZH40" s="57"/>
      <c r="BZI40" s="57"/>
      <c r="BZJ40" s="57"/>
      <c r="BZK40" s="57"/>
      <c r="BZL40" s="57"/>
      <c r="BZM40" s="57"/>
      <c r="BZN40" s="57"/>
      <c r="BZO40" s="57"/>
      <c r="BZP40" s="57"/>
      <c r="BZQ40" s="57"/>
      <c r="BZR40" s="57"/>
      <c r="BZS40" s="57"/>
      <c r="BZT40" s="57"/>
      <c r="BZU40" s="57"/>
      <c r="BZV40" s="57"/>
      <c r="BZW40" s="57"/>
      <c r="BZX40" s="57"/>
      <c r="BZY40" s="57"/>
      <c r="BZZ40" s="57"/>
      <c r="CAA40" s="57"/>
      <c r="CAB40" s="57"/>
      <c r="CAC40" s="57"/>
      <c r="CAD40" s="57"/>
      <c r="CAE40" s="57"/>
      <c r="CAF40" s="57"/>
      <c r="CAG40" s="57"/>
      <c r="CAH40" s="57"/>
      <c r="CAI40" s="57"/>
      <c r="CAJ40" s="57"/>
      <c r="CAK40" s="57"/>
      <c r="CAL40" s="57"/>
      <c r="CAM40" s="57"/>
      <c r="CAN40" s="57"/>
      <c r="CAO40" s="57"/>
      <c r="CAP40" s="58"/>
      <c r="CAQ40" s="56"/>
      <c r="CAR40" s="57"/>
      <c r="CAS40" s="57"/>
      <c r="CAT40" s="57"/>
      <c r="CAU40" s="57"/>
      <c r="CAV40" s="57"/>
      <c r="CAW40" s="56"/>
      <c r="CAX40" s="57"/>
      <c r="CAY40" s="57"/>
      <c r="CAZ40" s="56"/>
      <c r="CBA40" s="57"/>
      <c r="CBB40" s="58"/>
      <c r="CBC40" s="56"/>
      <c r="CBD40" s="57"/>
      <c r="CBE40" s="57"/>
      <c r="CBF40" s="57"/>
      <c r="CBG40" s="56"/>
      <c r="CBH40" s="57"/>
      <c r="CBI40" s="57"/>
      <c r="CBJ40" s="56"/>
      <c r="CBK40" s="57"/>
      <c r="CBL40" s="58"/>
      <c r="CBM40" s="56"/>
      <c r="CBN40" s="57"/>
      <c r="CBO40" s="57"/>
      <c r="CBP40" s="57"/>
      <c r="CBQ40" s="56"/>
      <c r="CBR40" s="57"/>
      <c r="CBS40" s="57"/>
      <c r="CBT40" s="56"/>
      <c r="CBU40" s="57"/>
      <c r="CBV40" s="58"/>
      <c r="CBW40" s="56"/>
      <c r="CBX40" s="57"/>
      <c r="CBY40" s="57"/>
      <c r="CBZ40" s="57"/>
      <c r="CCA40" s="56"/>
      <c r="CCB40" s="57"/>
      <c r="CCC40" s="57"/>
      <c r="CCD40" s="56"/>
      <c r="CCE40" s="57"/>
      <c r="CCF40" s="58"/>
      <c r="CCG40" s="56"/>
      <c r="CCH40" s="58"/>
      <c r="CCI40" s="57"/>
      <c r="CCJ40" s="56"/>
      <c r="CCK40" s="57"/>
      <c r="CCL40" s="56"/>
      <c r="CCM40" s="56"/>
      <c r="CCN40" s="56"/>
      <c r="CCO40" s="57"/>
      <c r="CCP40" s="57"/>
      <c r="CCQ40" s="57"/>
      <c r="CCR40" s="57"/>
      <c r="CCS40" s="57"/>
      <c r="CCT40" s="57"/>
      <c r="CCU40" s="57"/>
      <c r="CCV40" s="57"/>
      <c r="CCW40" s="57"/>
      <c r="CCX40" s="57"/>
      <c r="CCY40" s="57"/>
      <c r="CCZ40" s="57"/>
      <c r="CDA40" s="57"/>
      <c r="CDB40" s="57"/>
      <c r="CDC40" s="57"/>
      <c r="CDD40" s="57"/>
      <c r="CDE40" s="57"/>
      <c r="CDF40" s="57"/>
      <c r="CDG40" s="57"/>
      <c r="CDH40" s="57"/>
      <c r="CDI40" s="57"/>
      <c r="CDJ40" s="57"/>
      <c r="CDK40" s="57"/>
      <c r="CDL40" s="57"/>
      <c r="CDM40" s="57"/>
      <c r="CDN40" s="57"/>
      <c r="CDO40" s="57"/>
      <c r="CDP40" s="57"/>
      <c r="CDQ40" s="57"/>
      <c r="CDR40" s="57"/>
      <c r="CDS40" s="57"/>
      <c r="CDT40" s="57"/>
      <c r="CDU40" s="57"/>
      <c r="CDV40" s="57"/>
      <c r="CDW40" s="57"/>
      <c r="CDX40" s="57"/>
      <c r="CDY40" s="57"/>
      <c r="CDZ40" s="58"/>
      <c r="CEA40" s="56"/>
      <c r="CEB40" s="57"/>
      <c r="CEC40" s="57"/>
      <c r="CED40" s="57"/>
      <c r="CEE40" s="57"/>
      <c r="CEF40" s="57"/>
      <c r="CEG40" s="56"/>
      <c r="CEH40" s="57"/>
      <c r="CEI40" s="57"/>
      <c r="CEJ40" s="56"/>
      <c r="CEK40" s="57"/>
      <c r="CEL40" s="58"/>
      <c r="CEM40" s="56"/>
      <c r="CEN40" s="57"/>
      <c r="CEO40" s="57"/>
      <c r="CEP40" s="57"/>
      <c r="CEQ40" s="56"/>
      <c r="CER40" s="57"/>
      <c r="CES40" s="57"/>
      <c r="CET40" s="56"/>
      <c r="CEU40" s="57"/>
      <c r="CEV40" s="58"/>
      <c r="CEW40" s="56"/>
      <c r="CEX40" s="57"/>
      <c r="CEY40" s="57"/>
      <c r="CEZ40" s="57"/>
      <c r="CFA40" s="56"/>
      <c r="CFB40" s="57"/>
      <c r="CFC40" s="57"/>
      <c r="CFD40" s="56"/>
      <c r="CFE40" s="57"/>
      <c r="CFF40" s="58"/>
      <c r="CFG40" s="56"/>
      <c r="CFH40" s="57"/>
      <c r="CFI40" s="57"/>
      <c r="CFJ40" s="57"/>
      <c r="CFK40" s="56"/>
      <c r="CFL40" s="57"/>
      <c r="CFM40" s="57"/>
      <c r="CFN40" s="56"/>
      <c r="CFO40" s="57"/>
      <c r="CFP40" s="58"/>
      <c r="CFQ40" s="56"/>
      <c r="CFR40" s="58"/>
      <c r="CFS40" s="57"/>
      <c r="CFT40" s="56"/>
      <c r="CFU40" s="57"/>
      <c r="CFV40" s="56"/>
      <c r="CFW40" s="56"/>
      <c r="CFX40" s="56"/>
      <c r="CFY40" s="57"/>
      <c r="CFZ40" s="57"/>
      <c r="CGA40" s="57"/>
      <c r="CGB40" s="57"/>
      <c r="CGC40" s="57"/>
      <c r="CGD40" s="57"/>
      <c r="CGE40" s="57"/>
      <c r="CGF40" s="57"/>
      <c r="CGG40" s="57"/>
      <c r="CGH40" s="57"/>
      <c r="CGI40" s="57"/>
      <c r="CGJ40" s="57"/>
      <c r="CGK40" s="57"/>
      <c r="CGL40" s="57"/>
      <c r="CGM40" s="57"/>
      <c r="CGN40" s="57"/>
      <c r="CGO40" s="57"/>
      <c r="CGP40" s="57"/>
      <c r="CGQ40" s="57"/>
      <c r="CGR40" s="57"/>
      <c r="CGS40" s="57"/>
      <c r="CGT40" s="57"/>
      <c r="CGU40" s="57"/>
      <c r="CGV40" s="57"/>
      <c r="CGW40" s="57"/>
      <c r="CGX40" s="57"/>
      <c r="CGY40" s="57"/>
      <c r="CGZ40" s="57"/>
      <c r="CHA40" s="57"/>
      <c r="CHB40" s="57"/>
      <c r="CHC40" s="57"/>
      <c r="CHD40" s="57"/>
      <c r="CHE40" s="57"/>
      <c r="CHF40" s="57"/>
      <c r="CHG40" s="57"/>
      <c r="CHH40" s="57"/>
      <c r="CHI40" s="57"/>
      <c r="CHJ40" s="58"/>
      <c r="CHK40" s="56"/>
      <c r="CHL40" s="57"/>
      <c r="CHM40" s="57"/>
      <c r="CHN40" s="57"/>
      <c r="CHO40" s="57"/>
      <c r="CHP40" s="57"/>
      <c r="CHQ40" s="56"/>
      <c r="CHR40" s="57"/>
      <c r="CHS40" s="57"/>
      <c r="CHT40" s="56"/>
      <c r="CHU40" s="57"/>
      <c r="CHV40" s="58"/>
      <c r="CHW40" s="56"/>
      <c r="CHX40" s="57"/>
      <c r="CHY40" s="57"/>
      <c r="CHZ40" s="57"/>
      <c r="CIA40" s="56"/>
      <c r="CIB40" s="57"/>
      <c r="CIC40" s="57"/>
      <c r="CID40" s="56"/>
      <c r="CIE40" s="57"/>
      <c r="CIF40" s="58"/>
      <c r="CIG40" s="56"/>
      <c r="CIH40" s="57"/>
      <c r="CII40" s="57"/>
      <c r="CIJ40" s="57"/>
      <c r="CIK40" s="56"/>
      <c r="CIL40" s="57"/>
      <c r="CIM40" s="57"/>
      <c r="CIN40" s="56"/>
      <c r="CIO40" s="57"/>
      <c r="CIP40" s="58"/>
      <c r="CIQ40" s="56"/>
      <c r="CIR40" s="57"/>
      <c r="CIS40" s="57"/>
      <c r="CIT40" s="57"/>
      <c r="CIU40" s="56"/>
      <c r="CIV40" s="57"/>
      <c r="CIW40" s="57"/>
      <c r="CIX40" s="56"/>
      <c r="CIY40" s="57"/>
      <c r="CIZ40" s="58"/>
      <c r="CJA40" s="56"/>
      <c r="CJB40" s="58"/>
      <c r="CJC40" s="57"/>
      <c r="CJD40" s="56"/>
      <c r="CJE40" s="57"/>
      <c r="CJF40" s="56"/>
      <c r="CJG40" s="56"/>
      <c r="CJH40" s="56"/>
      <c r="CJI40" s="57"/>
      <c r="CJJ40" s="57"/>
      <c r="CJK40" s="57"/>
      <c r="CJL40" s="57"/>
      <c r="CJM40" s="57"/>
      <c r="CJN40" s="57"/>
      <c r="CJO40" s="57"/>
      <c r="CJP40" s="57"/>
      <c r="CJQ40" s="57"/>
      <c r="CJR40" s="57"/>
      <c r="CJS40" s="57"/>
      <c r="CJT40" s="57"/>
      <c r="CJU40" s="57"/>
      <c r="CJV40" s="57"/>
      <c r="CJW40" s="57"/>
      <c r="CJX40" s="57"/>
      <c r="CJY40" s="57"/>
      <c r="CJZ40" s="57"/>
      <c r="CKA40" s="57"/>
      <c r="CKB40" s="57"/>
      <c r="CKC40" s="57"/>
      <c r="CKD40" s="57"/>
      <c r="CKE40" s="57"/>
      <c r="CKF40" s="57"/>
      <c r="CKG40" s="57"/>
      <c r="CKH40" s="57"/>
      <c r="CKI40" s="57"/>
      <c r="CKJ40" s="57"/>
      <c r="CKK40" s="57"/>
      <c r="CKL40" s="57"/>
      <c r="CKM40" s="57"/>
      <c r="CKN40" s="57"/>
      <c r="CKO40" s="57"/>
      <c r="CKP40" s="57"/>
      <c r="CKQ40" s="57"/>
      <c r="CKR40" s="57"/>
      <c r="CKS40" s="57"/>
      <c r="CKT40" s="58"/>
      <c r="CKU40" s="56"/>
      <c r="CKV40" s="57"/>
      <c r="CKW40" s="57"/>
      <c r="CKX40" s="57"/>
      <c r="CKY40" s="57"/>
      <c r="CKZ40" s="57"/>
      <c r="CLA40" s="56"/>
      <c r="CLB40" s="57"/>
      <c r="CLC40" s="57"/>
      <c r="CLD40" s="56"/>
      <c r="CLE40" s="57"/>
      <c r="CLF40" s="58"/>
      <c r="CLG40" s="56"/>
      <c r="CLH40" s="57"/>
      <c r="CLI40" s="57"/>
      <c r="CLJ40" s="57"/>
      <c r="CLK40" s="56"/>
      <c r="CLL40" s="57"/>
      <c r="CLM40" s="57"/>
      <c r="CLN40" s="56"/>
      <c r="CLO40" s="57"/>
      <c r="CLP40" s="58"/>
      <c r="CLQ40" s="56"/>
      <c r="CLR40" s="57"/>
      <c r="CLS40" s="57"/>
      <c r="CLT40" s="57"/>
      <c r="CLU40" s="56"/>
      <c r="CLV40" s="57"/>
      <c r="CLW40" s="57"/>
      <c r="CLX40" s="56"/>
      <c r="CLY40" s="57"/>
      <c r="CLZ40" s="58"/>
      <c r="CMA40" s="56"/>
      <c r="CMB40" s="57"/>
      <c r="CMC40" s="57"/>
      <c r="CMD40" s="57"/>
      <c r="CME40" s="56"/>
      <c r="CMF40" s="57"/>
      <c r="CMG40" s="57"/>
      <c r="CMH40" s="56"/>
      <c r="CMI40" s="57"/>
      <c r="CMJ40" s="58"/>
      <c r="CMK40" s="56"/>
      <c r="CML40" s="58"/>
      <c r="CMM40" s="57"/>
      <c r="CMN40" s="56"/>
      <c r="CMO40" s="57"/>
      <c r="CMP40" s="56"/>
      <c r="CMQ40" s="56"/>
      <c r="CMR40" s="56"/>
      <c r="CMS40" s="57"/>
      <c r="CMT40" s="57"/>
      <c r="CMU40" s="57"/>
      <c r="CMV40" s="57"/>
      <c r="CMW40" s="57"/>
      <c r="CMX40" s="57"/>
      <c r="CMY40" s="57"/>
      <c r="CMZ40" s="57"/>
      <c r="CNA40" s="57"/>
      <c r="CNB40" s="57"/>
      <c r="CNC40" s="57"/>
      <c r="CND40" s="57"/>
      <c r="CNE40" s="57"/>
      <c r="CNF40" s="57"/>
      <c r="CNG40" s="57"/>
      <c r="CNH40" s="57"/>
      <c r="CNI40" s="57"/>
      <c r="CNJ40" s="57"/>
      <c r="CNK40" s="57"/>
      <c r="CNL40" s="57"/>
      <c r="CNM40" s="57"/>
      <c r="CNN40" s="57"/>
      <c r="CNO40" s="57"/>
      <c r="CNP40" s="57"/>
      <c r="CNQ40" s="57"/>
      <c r="CNR40" s="57"/>
      <c r="CNS40" s="57"/>
      <c r="CNT40" s="57"/>
      <c r="CNU40" s="57"/>
      <c r="CNV40" s="57"/>
      <c r="CNW40" s="57"/>
      <c r="CNX40" s="57"/>
      <c r="CNY40" s="57"/>
      <c r="CNZ40" s="57"/>
      <c r="COA40" s="57"/>
      <c r="COB40" s="57"/>
      <c r="COC40" s="57"/>
      <c r="COD40" s="58"/>
      <c r="COE40" s="56"/>
      <c r="COF40" s="57"/>
      <c r="COG40" s="57"/>
      <c r="COH40" s="57"/>
      <c r="COI40" s="57"/>
      <c r="COJ40" s="57"/>
      <c r="COK40" s="56"/>
      <c r="COL40" s="57"/>
      <c r="COM40" s="57"/>
      <c r="CON40" s="56"/>
      <c r="COO40" s="57"/>
      <c r="COP40" s="58"/>
      <c r="COQ40" s="56"/>
      <c r="COR40" s="57"/>
      <c r="COS40" s="57"/>
      <c r="COT40" s="57"/>
      <c r="COU40" s="56"/>
      <c r="COV40" s="57"/>
      <c r="COW40" s="57"/>
      <c r="COX40" s="56"/>
      <c r="COY40" s="57"/>
      <c r="COZ40" s="58"/>
      <c r="CPA40" s="56"/>
      <c r="CPB40" s="57"/>
      <c r="CPC40" s="57"/>
      <c r="CPD40" s="57"/>
      <c r="CPE40" s="56"/>
      <c r="CPF40" s="57"/>
      <c r="CPG40" s="57"/>
      <c r="CPH40" s="56"/>
      <c r="CPI40" s="57"/>
      <c r="CPJ40" s="58"/>
      <c r="CPK40" s="56"/>
      <c r="CPL40" s="57"/>
      <c r="CPM40" s="57"/>
      <c r="CPN40" s="57"/>
      <c r="CPO40" s="56"/>
      <c r="CPP40" s="57"/>
      <c r="CPQ40" s="57"/>
      <c r="CPR40" s="56"/>
      <c r="CPS40" s="57"/>
      <c r="CPT40" s="58"/>
      <c r="CPU40" s="56"/>
      <c r="CPV40" s="58"/>
      <c r="CPW40" s="57"/>
      <c r="CPX40" s="56"/>
      <c r="CPY40" s="57"/>
      <c r="CPZ40" s="56"/>
      <c r="CQA40" s="56"/>
      <c r="CQB40" s="56"/>
      <c r="CQC40" s="57"/>
      <c r="CQD40" s="57"/>
      <c r="CQE40" s="57"/>
      <c r="CQF40" s="57"/>
      <c r="CQG40" s="57"/>
      <c r="CQH40" s="57"/>
      <c r="CQI40" s="57"/>
      <c r="CQJ40" s="57"/>
      <c r="CQK40" s="57"/>
      <c r="CQL40" s="57"/>
      <c r="CQM40" s="57"/>
      <c r="CQN40" s="57"/>
      <c r="CQO40" s="57"/>
      <c r="CQP40" s="57"/>
      <c r="CQQ40" s="57"/>
      <c r="CQR40" s="57"/>
      <c r="CQS40" s="57"/>
      <c r="CQT40" s="57"/>
      <c r="CQU40" s="57"/>
      <c r="CQV40" s="57"/>
      <c r="CQW40" s="57"/>
      <c r="CQX40" s="57"/>
      <c r="CQY40" s="57"/>
      <c r="CQZ40" s="57"/>
      <c r="CRA40" s="57"/>
      <c r="CRB40" s="57"/>
      <c r="CRC40" s="57"/>
      <c r="CRD40" s="57"/>
      <c r="CRE40" s="57"/>
      <c r="CRF40" s="57"/>
      <c r="CRG40" s="57"/>
      <c r="CRH40" s="57"/>
      <c r="CRI40" s="57"/>
      <c r="CRJ40" s="57"/>
      <c r="CRK40" s="57"/>
      <c r="CRL40" s="57"/>
      <c r="CRM40" s="57"/>
      <c r="CRN40" s="58"/>
      <c r="CRO40" s="56"/>
      <c r="CRP40" s="57"/>
      <c r="CRQ40" s="57"/>
      <c r="CRR40" s="57"/>
      <c r="CRS40" s="57"/>
      <c r="CRT40" s="57"/>
      <c r="CRU40" s="56"/>
      <c r="CRV40" s="57"/>
      <c r="CRW40" s="57"/>
      <c r="CRX40" s="56"/>
      <c r="CRY40" s="57"/>
      <c r="CRZ40" s="58"/>
      <c r="CSA40" s="56"/>
      <c r="CSB40" s="57"/>
      <c r="CSC40" s="57"/>
      <c r="CSD40" s="57"/>
      <c r="CSE40" s="56"/>
      <c r="CSF40" s="57"/>
      <c r="CSG40" s="57"/>
      <c r="CSH40" s="56"/>
      <c r="CSI40" s="57"/>
      <c r="CSJ40" s="58"/>
      <c r="CSK40" s="56"/>
      <c r="CSL40" s="57"/>
      <c r="CSM40" s="57"/>
      <c r="CSN40" s="57"/>
      <c r="CSO40" s="56"/>
      <c r="CSP40" s="57"/>
      <c r="CSQ40" s="57"/>
      <c r="CSR40" s="56"/>
      <c r="CSS40" s="57"/>
      <c r="CST40" s="58"/>
      <c r="CSU40" s="56"/>
      <c r="CSV40" s="57"/>
      <c r="CSW40" s="57"/>
      <c r="CSX40" s="57"/>
      <c r="CSY40" s="56"/>
      <c r="CSZ40" s="57"/>
      <c r="CTA40" s="57"/>
      <c r="CTB40" s="56"/>
      <c r="CTC40" s="57"/>
      <c r="CTD40" s="58"/>
      <c r="CTE40" s="56"/>
      <c r="CTF40" s="58"/>
      <c r="CTG40" s="57"/>
      <c r="CTH40" s="56"/>
      <c r="CTI40" s="57"/>
      <c r="CTJ40" s="56"/>
      <c r="CTK40" s="56"/>
      <c r="CTL40" s="56"/>
      <c r="CTM40" s="57"/>
      <c r="CTN40" s="57"/>
      <c r="CTO40" s="57"/>
      <c r="CTP40" s="57"/>
      <c r="CTQ40" s="57"/>
      <c r="CTR40" s="57"/>
      <c r="CTS40" s="57"/>
      <c r="CTT40" s="57"/>
      <c r="CTU40" s="57"/>
      <c r="CTV40" s="57"/>
      <c r="CTW40" s="57"/>
      <c r="CTX40" s="57"/>
      <c r="CTY40" s="57"/>
      <c r="CTZ40" s="57"/>
      <c r="CUA40" s="57"/>
      <c r="CUB40" s="57"/>
      <c r="CUC40" s="57"/>
      <c r="CUD40" s="57"/>
      <c r="CUE40" s="57"/>
      <c r="CUF40" s="57"/>
      <c r="CUG40" s="57"/>
      <c r="CUH40" s="57"/>
      <c r="CUI40" s="57"/>
      <c r="CUJ40" s="57"/>
      <c r="CUK40" s="57"/>
      <c r="CUL40" s="57"/>
      <c r="CUM40" s="57"/>
      <c r="CUN40" s="57"/>
      <c r="CUO40" s="57"/>
      <c r="CUP40" s="57"/>
      <c r="CUQ40" s="57"/>
      <c r="CUR40" s="57"/>
      <c r="CUS40" s="57"/>
      <c r="CUT40" s="57"/>
      <c r="CUU40" s="57"/>
      <c r="CUV40" s="57"/>
      <c r="CUW40" s="57"/>
      <c r="CUX40" s="58"/>
      <c r="CUY40" s="56"/>
      <c r="CUZ40" s="57"/>
      <c r="CVA40" s="57"/>
      <c r="CVB40" s="57"/>
      <c r="CVC40" s="57"/>
      <c r="CVD40" s="57"/>
      <c r="CVE40" s="56"/>
      <c r="CVF40" s="57"/>
      <c r="CVG40" s="57"/>
      <c r="CVH40" s="56"/>
      <c r="CVI40" s="57"/>
      <c r="CVJ40" s="58"/>
      <c r="CVK40" s="56"/>
      <c r="CVL40" s="57"/>
      <c r="CVM40" s="57"/>
      <c r="CVN40" s="57"/>
      <c r="CVO40" s="56"/>
      <c r="CVP40" s="57"/>
      <c r="CVQ40" s="57"/>
      <c r="CVR40" s="56"/>
      <c r="CVS40" s="57"/>
      <c r="CVT40" s="58"/>
      <c r="CVU40" s="56"/>
      <c r="CVV40" s="57"/>
      <c r="CVW40" s="57"/>
      <c r="CVX40" s="57"/>
      <c r="CVY40" s="56"/>
      <c r="CVZ40" s="57"/>
      <c r="CWA40" s="57"/>
      <c r="CWB40" s="56"/>
      <c r="CWC40" s="57"/>
      <c r="CWD40" s="58"/>
      <c r="CWE40" s="56"/>
      <c r="CWF40" s="57"/>
      <c r="CWG40" s="57"/>
      <c r="CWH40" s="57"/>
      <c r="CWI40" s="56"/>
      <c r="CWJ40" s="57"/>
      <c r="CWK40" s="57"/>
      <c r="CWL40" s="56"/>
      <c r="CWM40" s="57"/>
      <c r="CWN40" s="58"/>
      <c r="CWO40" s="56"/>
      <c r="CWP40" s="58"/>
      <c r="CWQ40" s="57"/>
      <c r="CWR40" s="56"/>
      <c r="CWS40" s="57"/>
      <c r="CWT40" s="56"/>
      <c r="CWU40" s="56"/>
      <c r="CWV40" s="56"/>
      <c r="CWW40" s="57"/>
      <c r="CWX40" s="57"/>
      <c r="CWY40" s="57"/>
      <c r="CWZ40" s="57"/>
      <c r="CXA40" s="57"/>
      <c r="CXB40" s="57"/>
      <c r="CXC40" s="57"/>
      <c r="CXD40" s="57"/>
      <c r="CXE40" s="57"/>
      <c r="CXF40" s="57"/>
      <c r="CXG40" s="57"/>
      <c r="CXH40" s="57"/>
      <c r="CXI40" s="57"/>
      <c r="CXJ40" s="57"/>
      <c r="CXK40" s="57"/>
      <c r="CXL40" s="57"/>
      <c r="CXM40" s="57"/>
      <c r="CXN40" s="57"/>
      <c r="CXO40" s="57"/>
      <c r="CXP40" s="57"/>
      <c r="CXQ40" s="57"/>
      <c r="CXR40" s="57"/>
      <c r="CXS40" s="57"/>
      <c r="CXT40" s="57"/>
      <c r="CXU40" s="57"/>
      <c r="CXV40" s="57"/>
      <c r="CXW40" s="57"/>
      <c r="CXX40" s="57"/>
      <c r="CXY40" s="57"/>
      <c r="CXZ40" s="57"/>
      <c r="CYA40" s="57"/>
      <c r="CYB40" s="57"/>
      <c r="CYC40" s="57"/>
      <c r="CYD40" s="57"/>
      <c r="CYE40" s="57"/>
      <c r="CYF40" s="57"/>
      <c r="CYG40" s="57"/>
      <c r="CYH40" s="58"/>
      <c r="CYI40" s="56"/>
      <c r="CYJ40" s="57"/>
      <c r="CYK40" s="57"/>
      <c r="CYL40" s="57"/>
      <c r="CYM40" s="57"/>
      <c r="CYN40" s="57"/>
      <c r="CYO40" s="56"/>
      <c r="CYP40" s="57"/>
      <c r="CYQ40" s="57"/>
      <c r="CYR40" s="56"/>
      <c r="CYS40" s="57"/>
      <c r="CYT40" s="58"/>
      <c r="CYU40" s="56"/>
      <c r="CYV40" s="57"/>
      <c r="CYW40" s="57"/>
      <c r="CYX40" s="57"/>
      <c r="CYY40" s="56"/>
      <c r="CYZ40" s="57"/>
      <c r="CZA40" s="57"/>
      <c r="CZB40" s="56"/>
      <c r="CZC40" s="57"/>
      <c r="CZD40" s="58"/>
      <c r="CZE40" s="56"/>
      <c r="CZF40" s="57"/>
      <c r="CZG40" s="57"/>
      <c r="CZH40" s="57"/>
      <c r="CZI40" s="56"/>
      <c r="CZJ40" s="57"/>
      <c r="CZK40" s="57"/>
      <c r="CZL40" s="56"/>
      <c r="CZM40" s="57"/>
      <c r="CZN40" s="58"/>
      <c r="CZO40" s="56"/>
      <c r="CZP40" s="57"/>
      <c r="CZQ40" s="57"/>
      <c r="CZR40" s="57"/>
      <c r="CZS40" s="56"/>
      <c r="CZT40" s="57"/>
      <c r="CZU40" s="57"/>
      <c r="CZV40" s="56"/>
      <c r="CZW40" s="57"/>
      <c r="CZX40" s="58"/>
      <c r="CZY40" s="56"/>
      <c r="CZZ40" s="58"/>
      <c r="DAA40" s="57"/>
      <c r="DAB40" s="56"/>
      <c r="DAC40" s="57"/>
      <c r="DAD40" s="56"/>
      <c r="DAE40" s="56"/>
      <c r="DAF40" s="56"/>
      <c r="DAG40" s="57"/>
      <c r="DAH40" s="57"/>
      <c r="DAI40" s="57"/>
      <c r="DAJ40" s="57"/>
      <c r="DAK40" s="57"/>
      <c r="DAL40" s="57"/>
      <c r="DAM40" s="57"/>
      <c r="DAN40" s="57"/>
      <c r="DAO40" s="57"/>
      <c r="DAP40" s="57"/>
      <c r="DAQ40" s="57"/>
      <c r="DAR40" s="57"/>
      <c r="DAS40" s="57"/>
      <c r="DAT40" s="57"/>
      <c r="DAU40" s="57"/>
      <c r="DAV40" s="57"/>
      <c r="DAW40" s="57"/>
      <c r="DAX40" s="57"/>
      <c r="DAY40" s="57"/>
      <c r="DAZ40" s="57"/>
      <c r="DBA40" s="57"/>
      <c r="DBB40" s="57"/>
      <c r="DBC40" s="57"/>
      <c r="DBD40" s="57"/>
      <c r="DBE40" s="57"/>
      <c r="DBF40" s="57"/>
      <c r="DBG40" s="57"/>
      <c r="DBH40" s="57"/>
      <c r="DBI40" s="57"/>
      <c r="DBJ40" s="57"/>
      <c r="DBK40" s="57"/>
      <c r="DBL40" s="57"/>
      <c r="DBM40" s="57"/>
      <c r="DBN40" s="57"/>
      <c r="DBO40" s="57"/>
      <c r="DBP40" s="57"/>
      <c r="DBQ40" s="57"/>
      <c r="DBR40" s="58"/>
      <c r="DBS40" s="56"/>
      <c r="DBT40" s="57"/>
      <c r="DBU40" s="57"/>
      <c r="DBV40" s="57"/>
      <c r="DBW40" s="57"/>
      <c r="DBX40" s="57"/>
      <c r="DBY40" s="56"/>
      <c r="DBZ40" s="57"/>
      <c r="DCA40" s="57"/>
      <c r="DCB40" s="56"/>
      <c r="DCC40" s="57"/>
      <c r="DCD40" s="58"/>
      <c r="DCE40" s="56"/>
      <c r="DCF40" s="57"/>
      <c r="DCG40" s="57"/>
      <c r="DCH40" s="57"/>
      <c r="DCI40" s="56"/>
      <c r="DCJ40" s="57"/>
      <c r="DCK40" s="57"/>
      <c r="DCL40" s="56"/>
      <c r="DCM40" s="57"/>
      <c r="DCN40" s="58"/>
      <c r="DCO40" s="56"/>
      <c r="DCP40" s="57"/>
      <c r="DCQ40" s="57"/>
      <c r="DCR40" s="57"/>
      <c r="DCS40" s="56"/>
      <c r="DCT40" s="57"/>
      <c r="DCU40" s="57"/>
      <c r="DCV40" s="56"/>
      <c r="DCW40" s="57"/>
      <c r="DCX40" s="58"/>
      <c r="DCY40" s="56"/>
      <c r="DCZ40" s="57"/>
      <c r="DDA40" s="57"/>
      <c r="DDB40" s="57"/>
      <c r="DDC40" s="56"/>
      <c r="DDD40" s="57"/>
      <c r="DDE40" s="57"/>
      <c r="DDF40" s="56"/>
      <c r="DDG40" s="57"/>
      <c r="DDH40" s="58"/>
      <c r="DDI40" s="56"/>
      <c r="DDJ40" s="58"/>
      <c r="DDK40" s="57"/>
      <c r="DDL40" s="56"/>
      <c r="DDM40" s="57"/>
      <c r="DDN40" s="56"/>
      <c r="DDO40" s="56"/>
      <c r="DDP40" s="56"/>
      <c r="DDQ40" s="57"/>
      <c r="DDR40" s="57"/>
      <c r="DDS40" s="57"/>
      <c r="DDT40" s="57"/>
      <c r="DDU40" s="57"/>
      <c r="DDV40" s="57"/>
      <c r="DDW40" s="57"/>
      <c r="DDX40" s="57"/>
      <c r="DDY40" s="57"/>
      <c r="DDZ40" s="57"/>
      <c r="DEA40" s="57"/>
      <c r="DEB40" s="57"/>
      <c r="DEC40" s="57"/>
      <c r="DED40" s="57"/>
      <c r="DEE40" s="57"/>
      <c r="DEF40" s="57"/>
      <c r="DEG40" s="57"/>
      <c r="DEH40" s="57"/>
      <c r="DEI40" s="57"/>
      <c r="DEJ40" s="57"/>
      <c r="DEK40" s="57"/>
      <c r="DEL40" s="57"/>
      <c r="DEM40" s="57"/>
      <c r="DEN40" s="57"/>
      <c r="DEO40" s="57"/>
      <c r="DEP40" s="57"/>
      <c r="DEQ40" s="57"/>
      <c r="DER40" s="57"/>
      <c r="DES40" s="57"/>
      <c r="DET40" s="57"/>
      <c r="DEU40" s="57"/>
      <c r="DEV40" s="57"/>
      <c r="DEW40" s="57"/>
      <c r="DEX40" s="57"/>
      <c r="DEY40" s="57"/>
      <c r="DEZ40" s="57"/>
      <c r="DFA40" s="57"/>
      <c r="DFB40" s="58"/>
      <c r="DFC40" s="56"/>
      <c r="DFD40" s="57"/>
      <c r="DFE40" s="57"/>
      <c r="DFF40" s="57"/>
      <c r="DFG40" s="57"/>
      <c r="DFH40" s="57"/>
      <c r="DFI40" s="56"/>
      <c r="DFJ40" s="57"/>
      <c r="DFK40" s="57"/>
      <c r="DFL40" s="56"/>
      <c r="DFM40" s="57"/>
      <c r="DFN40" s="58"/>
      <c r="DFO40" s="56"/>
      <c r="DFP40" s="57"/>
      <c r="DFQ40" s="57"/>
      <c r="DFR40" s="57"/>
      <c r="DFS40" s="56"/>
      <c r="DFT40" s="57"/>
      <c r="DFU40" s="57"/>
      <c r="DFV40" s="56"/>
      <c r="DFW40" s="57"/>
      <c r="DFX40" s="58"/>
      <c r="DFY40" s="56"/>
      <c r="DFZ40" s="57"/>
      <c r="DGA40" s="57"/>
      <c r="DGB40" s="57"/>
      <c r="DGC40" s="56"/>
      <c r="DGD40" s="57"/>
      <c r="DGE40" s="57"/>
      <c r="DGF40" s="56"/>
      <c r="DGG40" s="57"/>
      <c r="DGH40" s="58"/>
      <c r="DGI40" s="56"/>
      <c r="DGJ40" s="57"/>
      <c r="DGK40" s="57"/>
      <c r="DGL40" s="57"/>
      <c r="DGM40" s="56"/>
      <c r="DGN40" s="57"/>
      <c r="DGO40" s="57"/>
      <c r="DGP40" s="56"/>
      <c r="DGQ40" s="57"/>
      <c r="DGR40" s="58"/>
      <c r="DGS40" s="56"/>
      <c r="DGT40" s="58"/>
      <c r="DGU40" s="57"/>
      <c r="DGV40" s="56"/>
      <c r="DGW40" s="57"/>
      <c r="DGX40" s="56"/>
      <c r="DGY40" s="56"/>
      <c r="DGZ40" s="56"/>
      <c r="DHA40" s="57"/>
      <c r="DHB40" s="57"/>
      <c r="DHC40" s="57"/>
      <c r="DHD40" s="57"/>
      <c r="DHE40" s="57"/>
      <c r="DHF40" s="57"/>
      <c r="DHG40" s="57"/>
      <c r="DHH40" s="57"/>
      <c r="DHI40" s="57"/>
      <c r="DHJ40" s="57"/>
      <c r="DHK40" s="57"/>
      <c r="DHL40" s="57"/>
      <c r="DHM40" s="57"/>
      <c r="DHN40" s="57"/>
      <c r="DHO40" s="57"/>
      <c r="DHP40" s="57"/>
      <c r="DHQ40" s="57"/>
      <c r="DHR40" s="57"/>
      <c r="DHS40" s="57"/>
      <c r="DHT40" s="57"/>
      <c r="DHU40" s="57"/>
      <c r="DHV40" s="57"/>
      <c r="DHW40" s="57"/>
      <c r="DHX40" s="57"/>
      <c r="DHY40" s="57"/>
      <c r="DHZ40" s="57"/>
      <c r="DIA40" s="57"/>
      <c r="DIB40" s="57"/>
      <c r="DIC40" s="57"/>
      <c r="DID40" s="57"/>
      <c r="DIE40" s="57"/>
      <c r="DIF40" s="57"/>
      <c r="DIG40" s="57"/>
      <c r="DIH40" s="57"/>
      <c r="DII40" s="57"/>
      <c r="DIJ40" s="57"/>
      <c r="DIK40" s="57"/>
      <c r="DIL40" s="58"/>
      <c r="DIM40" s="56"/>
      <c r="DIN40" s="57"/>
      <c r="DIO40" s="57"/>
      <c r="DIP40" s="57"/>
      <c r="DIQ40" s="57"/>
      <c r="DIR40" s="57"/>
      <c r="DIS40" s="56"/>
      <c r="DIT40" s="57"/>
      <c r="DIU40" s="57"/>
      <c r="DIV40" s="56"/>
      <c r="DIW40" s="57"/>
      <c r="DIX40" s="58"/>
      <c r="DIY40" s="56"/>
      <c r="DIZ40" s="57"/>
      <c r="DJA40" s="57"/>
      <c r="DJB40" s="57"/>
      <c r="DJC40" s="56"/>
      <c r="DJD40" s="57"/>
      <c r="DJE40" s="57"/>
      <c r="DJF40" s="56"/>
      <c r="DJG40" s="57"/>
      <c r="DJH40" s="58"/>
      <c r="DJI40" s="56"/>
      <c r="DJJ40" s="57"/>
      <c r="DJK40" s="57"/>
      <c r="DJL40" s="57"/>
      <c r="DJM40" s="56"/>
      <c r="DJN40" s="57"/>
      <c r="DJO40" s="57"/>
      <c r="DJP40" s="56"/>
      <c r="DJQ40" s="57"/>
      <c r="DJR40" s="58"/>
      <c r="DJS40" s="56"/>
      <c r="DJT40" s="57"/>
      <c r="DJU40" s="57"/>
      <c r="DJV40" s="57"/>
      <c r="DJW40" s="56"/>
      <c r="DJX40" s="57"/>
      <c r="DJY40" s="57"/>
      <c r="DJZ40" s="56"/>
      <c r="DKA40" s="57"/>
      <c r="DKB40" s="58"/>
      <c r="DKC40" s="56"/>
      <c r="DKD40" s="58"/>
      <c r="DKE40" s="57"/>
      <c r="DKF40" s="56"/>
      <c r="DKG40" s="57"/>
      <c r="DKH40" s="56"/>
      <c r="DKI40" s="56"/>
      <c r="DKJ40" s="56"/>
      <c r="DKK40" s="57"/>
      <c r="DKL40" s="57"/>
      <c r="DKM40" s="57"/>
      <c r="DKN40" s="57"/>
      <c r="DKO40" s="57"/>
      <c r="DKP40" s="57"/>
      <c r="DKQ40" s="57"/>
      <c r="DKR40" s="57"/>
      <c r="DKS40" s="57"/>
      <c r="DKT40" s="57"/>
      <c r="DKU40" s="57"/>
      <c r="DKV40" s="57"/>
      <c r="DKW40" s="57"/>
      <c r="DKX40" s="57"/>
      <c r="DKY40" s="57"/>
      <c r="DKZ40" s="57"/>
      <c r="DLA40" s="57"/>
      <c r="DLB40" s="57"/>
      <c r="DLC40" s="57"/>
      <c r="DLD40" s="57"/>
      <c r="DLE40" s="57"/>
      <c r="DLF40" s="57"/>
      <c r="DLG40" s="57"/>
      <c r="DLH40" s="57"/>
      <c r="DLI40" s="57"/>
      <c r="DLJ40" s="57"/>
      <c r="DLK40" s="57"/>
      <c r="DLL40" s="57"/>
      <c r="DLM40" s="57"/>
      <c r="DLN40" s="57"/>
      <c r="DLO40" s="57"/>
      <c r="DLP40" s="57"/>
      <c r="DLQ40" s="57"/>
      <c r="DLR40" s="57"/>
      <c r="DLS40" s="57"/>
      <c r="DLT40" s="57"/>
      <c r="DLU40" s="57"/>
      <c r="DLV40" s="58"/>
      <c r="DLW40" s="56"/>
      <c r="DLX40" s="57"/>
      <c r="DLY40" s="57"/>
      <c r="DLZ40" s="57"/>
      <c r="DMA40" s="57"/>
      <c r="DMB40" s="57"/>
      <c r="DMC40" s="56"/>
      <c r="DMD40" s="57"/>
      <c r="DME40" s="57"/>
      <c r="DMF40" s="56"/>
      <c r="DMG40" s="57"/>
      <c r="DMH40" s="58"/>
      <c r="DMI40" s="56"/>
      <c r="DMJ40" s="57"/>
      <c r="DMK40" s="57"/>
      <c r="DML40" s="57"/>
      <c r="DMM40" s="56"/>
      <c r="DMN40" s="57"/>
      <c r="DMO40" s="57"/>
      <c r="DMP40" s="56"/>
      <c r="DMQ40" s="57"/>
      <c r="DMR40" s="58"/>
      <c r="DMS40" s="56"/>
      <c r="DMT40" s="57"/>
      <c r="DMU40" s="57"/>
      <c r="DMV40" s="57"/>
      <c r="DMW40" s="56"/>
      <c r="DMX40" s="57"/>
      <c r="DMY40" s="57"/>
      <c r="DMZ40" s="56"/>
      <c r="DNA40" s="57"/>
      <c r="DNB40" s="58"/>
      <c r="DNC40" s="56"/>
      <c r="DND40" s="57"/>
      <c r="DNE40" s="57"/>
      <c r="DNF40" s="57"/>
      <c r="DNG40" s="56"/>
      <c r="DNH40" s="57"/>
      <c r="DNI40" s="57"/>
      <c r="DNJ40" s="56"/>
      <c r="DNK40" s="57"/>
      <c r="DNL40" s="58"/>
      <c r="DNM40" s="56"/>
      <c r="DNN40" s="58"/>
      <c r="DNO40" s="57"/>
      <c r="DNP40" s="56"/>
      <c r="DNQ40" s="57"/>
      <c r="DNR40" s="56"/>
      <c r="DNS40" s="56"/>
      <c r="DNT40" s="56"/>
      <c r="DNU40" s="57"/>
      <c r="DNV40" s="57"/>
      <c r="DNW40" s="57"/>
      <c r="DNX40" s="57"/>
      <c r="DNY40" s="57"/>
      <c r="DNZ40" s="57"/>
      <c r="DOA40" s="57"/>
      <c r="DOB40" s="57"/>
      <c r="DOC40" s="57"/>
      <c r="DOD40" s="57"/>
      <c r="DOE40" s="57"/>
      <c r="DOF40" s="57"/>
      <c r="DOG40" s="57"/>
      <c r="DOH40" s="57"/>
      <c r="DOI40" s="57"/>
      <c r="DOJ40" s="57"/>
      <c r="DOK40" s="57"/>
      <c r="DOL40" s="57"/>
      <c r="DOM40" s="57"/>
      <c r="DON40" s="57"/>
      <c r="DOO40" s="57"/>
      <c r="DOP40" s="57"/>
      <c r="DOQ40" s="57"/>
      <c r="DOR40" s="57"/>
      <c r="DOS40" s="57"/>
      <c r="DOT40" s="57"/>
      <c r="DOU40" s="57"/>
      <c r="DOV40" s="57"/>
      <c r="DOW40" s="57"/>
      <c r="DOX40" s="57"/>
      <c r="DOY40" s="57"/>
      <c r="DOZ40" s="57"/>
      <c r="DPA40" s="57"/>
      <c r="DPB40" s="57"/>
      <c r="DPC40" s="57"/>
      <c r="DPD40" s="57"/>
      <c r="DPE40" s="57"/>
      <c r="DPF40" s="58"/>
      <c r="DPG40" s="56"/>
      <c r="DPH40" s="57"/>
      <c r="DPI40" s="57"/>
      <c r="DPJ40" s="57"/>
      <c r="DPK40" s="57"/>
      <c r="DPL40" s="57"/>
      <c r="DPM40" s="56"/>
      <c r="DPN40" s="57"/>
      <c r="DPO40" s="57"/>
      <c r="DPP40" s="56"/>
      <c r="DPQ40" s="57"/>
      <c r="DPR40" s="58"/>
      <c r="DPS40" s="56"/>
      <c r="DPT40" s="57"/>
      <c r="DPU40" s="57"/>
      <c r="DPV40" s="57"/>
      <c r="DPW40" s="56"/>
      <c r="DPX40" s="57"/>
      <c r="DPY40" s="57"/>
      <c r="DPZ40" s="56"/>
      <c r="DQA40" s="57"/>
      <c r="DQB40" s="58"/>
      <c r="DQC40" s="56"/>
      <c r="DQD40" s="57"/>
      <c r="DQE40" s="57"/>
      <c r="DQF40" s="57"/>
      <c r="DQG40" s="56"/>
      <c r="DQH40" s="57"/>
      <c r="DQI40" s="57"/>
      <c r="DQJ40" s="56"/>
      <c r="DQK40" s="57"/>
      <c r="DQL40" s="58"/>
      <c r="DQM40" s="56"/>
      <c r="DQN40" s="57"/>
      <c r="DQO40" s="57"/>
      <c r="DQP40" s="57"/>
      <c r="DQQ40" s="56"/>
      <c r="DQR40" s="57"/>
      <c r="DQS40" s="57"/>
      <c r="DQT40" s="56"/>
      <c r="DQU40" s="57"/>
      <c r="DQV40" s="58"/>
      <c r="DQW40" s="56"/>
      <c r="DQX40" s="58"/>
      <c r="DQY40" s="57"/>
      <c r="DQZ40" s="56"/>
      <c r="DRA40" s="57"/>
      <c r="DRB40" s="56"/>
      <c r="DRC40" s="56"/>
      <c r="DRD40" s="56"/>
      <c r="DRE40" s="57"/>
      <c r="DRF40" s="57"/>
      <c r="DRG40" s="57"/>
      <c r="DRH40" s="57"/>
      <c r="DRI40" s="57"/>
      <c r="DRJ40" s="57"/>
      <c r="DRK40" s="57"/>
      <c r="DRL40" s="57"/>
      <c r="DRM40" s="57"/>
      <c r="DRN40" s="57"/>
      <c r="DRO40" s="57"/>
      <c r="DRP40" s="57"/>
      <c r="DRQ40" s="57"/>
      <c r="DRR40" s="57"/>
      <c r="DRS40" s="57"/>
      <c r="DRT40" s="57"/>
      <c r="DRU40" s="57"/>
      <c r="DRV40" s="57"/>
      <c r="DRW40" s="57"/>
      <c r="DRX40" s="57"/>
      <c r="DRY40" s="57"/>
      <c r="DRZ40" s="57"/>
      <c r="DSA40" s="57"/>
      <c r="DSB40" s="57"/>
      <c r="DSC40" s="57"/>
      <c r="DSD40" s="57"/>
      <c r="DSE40" s="57"/>
      <c r="DSF40" s="57"/>
      <c r="DSG40" s="57"/>
      <c r="DSH40" s="57"/>
      <c r="DSI40" s="57"/>
      <c r="DSJ40" s="57"/>
      <c r="DSK40" s="57"/>
      <c r="DSL40" s="57"/>
      <c r="DSM40" s="57"/>
      <c r="DSN40" s="57"/>
      <c r="DSO40" s="57"/>
      <c r="DSP40" s="58"/>
      <c r="DSQ40" s="56"/>
      <c r="DSR40" s="57"/>
      <c r="DSS40" s="57"/>
      <c r="DST40" s="57"/>
      <c r="DSU40" s="57"/>
      <c r="DSV40" s="57"/>
      <c r="DSW40" s="56"/>
      <c r="DSX40" s="57"/>
      <c r="DSY40" s="57"/>
      <c r="DSZ40" s="56"/>
      <c r="DTA40" s="57"/>
      <c r="DTB40" s="58"/>
      <c r="DTC40" s="56"/>
      <c r="DTD40" s="57"/>
      <c r="DTE40" s="57"/>
      <c r="DTF40" s="57"/>
      <c r="DTG40" s="56"/>
      <c r="DTH40" s="57"/>
      <c r="DTI40" s="57"/>
      <c r="DTJ40" s="56"/>
      <c r="DTK40" s="57"/>
      <c r="DTL40" s="58"/>
      <c r="DTM40" s="56"/>
      <c r="DTN40" s="57"/>
      <c r="DTO40" s="57"/>
      <c r="DTP40" s="57"/>
      <c r="DTQ40" s="56"/>
      <c r="DTR40" s="57"/>
      <c r="DTS40" s="57"/>
      <c r="DTT40" s="56"/>
      <c r="DTU40" s="57"/>
      <c r="DTV40" s="58"/>
      <c r="DTW40" s="56"/>
      <c r="DTX40" s="57"/>
      <c r="DTY40" s="57"/>
      <c r="DTZ40" s="57"/>
      <c r="DUA40" s="56"/>
      <c r="DUB40" s="57"/>
      <c r="DUC40" s="57"/>
      <c r="DUD40" s="56"/>
      <c r="DUE40" s="57"/>
      <c r="DUF40" s="58"/>
      <c r="DUG40" s="56"/>
      <c r="DUH40" s="58"/>
      <c r="DUI40" s="57"/>
      <c r="DUJ40" s="56"/>
      <c r="DUK40" s="57"/>
      <c r="DUL40" s="56"/>
      <c r="DUM40" s="56"/>
      <c r="DUN40" s="56"/>
      <c r="DUO40" s="57"/>
      <c r="DUP40" s="57"/>
      <c r="DUQ40" s="57"/>
      <c r="DUR40" s="57"/>
      <c r="DUS40" s="57"/>
      <c r="DUT40" s="57"/>
      <c r="DUU40" s="57"/>
      <c r="DUV40" s="57"/>
      <c r="DUW40" s="57"/>
      <c r="DUX40" s="57"/>
      <c r="DUY40" s="57"/>
      <c r="DUZ40" s="57"/>
      <c r="DVA40" s="57"/>
      <c r="DVB40" s="57"/>
      <c r="DVC40" s="57"/>
      <c r="DVD40" s="57"/>
      <c r="DVE40" s="57"/>
      <c r="DVF40" s="57"/>
      <c r="DVG40" s="57"/>
      <c r="DVH40" s="57"/>
      <c r="DVI40" s="57"/>
      <c r="DVJ40" s="57"/>
      <c r="DVK40" s="57"/>
      <c r="DVL40" s="57"/>
      <c r="DVM40" s="57"/>
      <c r="DVN40" s="57"/>
      <c r="DVO40" s="57"/>
      <c r="DVP40" s="57"/>
      <c r="DVQ40" s="57"/>
      <c r="DVR40" s="57"/>
      <c r="DVS40" s="57"/>
      <c r="DVT40" s="57"/>
      <c r="DVU40" s="57"/>
      <c r="DVV40" s="57"/>
      <c r="DVW40" s="57"/>
      <c r="DVX40" s="57"/>
      <c r="DVY40" s="57"/>
      <c r="DVZ40" s="58"/>
      <c r="DWA40" s="56"/>
      <c r="DWB40" s="57"/>
      <c r="DWC40" s="57"/>
      <c r="DWD40" s="57"/>
      <c r="DWE40" s="57"/>
      <c r="DWF40" s="57"/>
      <c r="DWG40" s="56"/>
      <c r="DWH40" s="57"/>
      <c r="DWI40" s="57"/>
      <c r="DWJ40" s="56"/>
      <c r="DWK40" s="57"/>
      <c r="DWL40" s="58"/>
      <c r="DWM40" s="56"/>
      <c r="DWN40" s="57"/>
      <c r="DWO40" s="57"/>
      <c r="DWP40" s="57"/>
      <c r="DWQ40" s="56"/>
      <c r="DWR40" s="57"/>
      <c r="DWS40" s="57"/>
      <c r="DWT40" s="56"/>
      <c r="DWU40" s="57"/>
      <c r="DWV40" s="58"/>
      <c r="DWW40" s="56"/>
      <c r="DWX40" s="57"/>
      <c r="DWY40" s="57"/>
      <c r="DWZ40" s="57"/>
      <c r="DXA40" s="56"/>
      <c r="DXB40" s="57"/>
      <c r="DXC40" s="57"/>
      <c r="DXD40" s="56"/>
      <c r="DXE40" s="57"/>
      <c r="DXF40" s="58"/>
      <c r="DXG40" s="56"/>
      <c r="DXH40" s="57"/>
      <c r="DXI40" s="57"/>
      <c r="DXJ40" s="57"/>
      <c r="DXK40" s="56"/>
      <c r="DXL40" s="57"/>
      <c r="DXM40" s="57"/>
      <c r="DXN40" s="56"/>
      <c r="DXO40" s="57"/>
      <c r="DXP40" s="58"/>
      <c r="DXQ40" s="56"/>
      <c r="DXR40" s="58"/>
      <c r="DXS40" s="57"/>
      <c r="DXT40" s="56"/>
      <c r="DXU40" s="57"/>
      <c r="DXV40" s="56"/>
      <c r="DXW40" s="56"/>
      <c r="DXX40" s="56"/>
      <c r="DXY40" s="57"/>
      <c r="DXZ40" s="57"/>
      <c r="DYA40" s="57"/>
      <c r="DYB40" s="57"/>
      <c r="DYC40" s="57"/>
      <c r="DYD40" s="57"/>
      <c r="DYE40" s="57"/>
      <c r="DYF40" s="57"/>
      <c r="DYG40" s="57"/>
      <c r="DYH40" s="57"/>
      <c r="DYI40" s="57"/>
      <c r="DYJ40" s="57"/>
      <c r="DYK40" s="57"/>
      <c r="DYL40" s="57"/>
      <c r="DYM40" s="57"/>
      <c r="DYN40" s="57"/>
      <c r="DYO40" s="57"/>
      <c r="DYP40" s="57"/>
      <c r="DYQ40" s="57"/>
      <c r="DYR40" s="57"/>
      <c r="DYS40" s="57"/>
      <c r="DYT40" s="57"/>
      <c r="DYU40" s="57"/>
      <c r="DYV40" s="57"/>
      <c r="DYW40" s="57"/>
      <c r="DYX40" s="57"/>
      <c r="DYY40" s="57"/>
      <c r="DYZ40" s="57"/>
      <c r="DZA40" s="57"/>
      <c r="DZB40" s="57"/>
      <c r="DZC40" s="57"/>
      <c r="DZD40" s="57"/>
      <c r="DZE40" s="57"/>
      <c r="DZF40" s="57"/>
      <c r="DZG40" s="57"/>
      <c r="DZH40" s="57"/>
      <c r="DZI40" s="57"/>
      <c r="DZJ40" s="58"/>
      <c r="DZK40" s="56"/>
      <c r="DZL40" s="57"/>
      <c r="DZM40" s="57"/>
      <c r="DZN40" s="57"/>
      <c r="DZO40" s="57"/>
      <c r="DZP40" s="57"/>
      <c r="DZQ40" s="56"/>
      <c r="DZR40" s="57"/>
      <c r="DZS40" s="57"/>
      <c r="DZT40" s="56"/>
      <c r="DZU40" s="57"/>
      <c r="DZV40" s="58"/>
      <c r="DZW40" s="56"/>
      <c r="DZX40" s="57"/>
      <c r="DZY40" s="57"/>
      <c r="DZZ40" s="57"/>
      <c r="EAA40" s="56"/>
      <c r="EAB40" s="57"/>
      <c r="EAC40" s="57"/>
      <c r="EAD40" s="56"/>
      <c r="EAE40" s="57"/>
      <c r="EAF40" s="58"/>
      <c r="EAG40" s="56"/>
      <c r="EAH40" s="57"/>
      <c r="EAI40" s="57"/>
      <c r="EAJ40" s="57"/>
      <c r="EAK40" s="56"/>
      <c r="EAL40" s="57"/>
      <c r="EAM40" s="57"/>
      <c r="EAN40" s="56"/>
      <c r="EAO40" s="57"/>
      <c r="EAP40" s="58"/>
      <c r="EAQ40" s="56"/>
      <c r="EAR40" s="57"/>
      <c r="EAS40" s="57"/>
      <c r="EAT40" s="57"/>
      <c r="EAU40" s="56"/>
      <c r="EAV40" s="57"/>
      <c r="EAW40" s="57"/>
      <c r="EAX40" s="56"/>
      <c r="EAY40" s="57"/>
      <c r="EAZ40" s="58"/>
      <c r="EBA40" s="56"/>
      <c r="EBB40" s="58"/>
      <c r="EBC40" s="57"/>
      <c r="EBD40" s="56"/>
      <c r="EBE40" s="57"/>
      <c r="EBF40" s="56"/>
      <c r="EBG40" s="56"/>
      <c r="EBH40" s="56"/>
      <c r="EBI40" s="57"/>
      <c r="EBJ40" s="57"/>
      <c r="EBK40" s="57"/>
      <c r="EBL40" s="57"/>
      <c r="EBM40" s="57"/>
      <c r="EBN40" s="57"/>
      <c r="EBO40" s="57"/>
      <c r="EBP40" s="57"/>
      <c r="EBQ40" s="57"/>
      <c r="EBR40" s="57"/>
      <c r="EBS40" s="57"/>
      <c r="EBT40" s="57"/>
      <c r="EBU40" s="57"/>
      <c r="EBV40" s="57"/>
      <c r="EBW40" s="57"/>
      <c r="EBX40" s="57"/>
      <c r="EBY40" s="57"/>
      <c r="EBZ40" s="57"/>
      <c r="ECA40" s="57"/>
      <c r="ECB40" s="57"/>
      <c r="ECC40" s="57"/>
      <c r="ECD40" s="57"/>
      <c r="ECE40" s="57"/>
      <c r="ECF40" s="57"/>
      <c r="ECG40" s="57"/>
      <c r="ECH40" s="57"/>
      <c r="ECI40" s="57"/>
      <c r="ECJ40" s="57"/>
      <c r="ECK40" s="57"/>
      <c r="ECL40" s="57"/>
      <c r="ECM40" s="57"/>
      <c r="ECN40" s="57"/>
      <c r="ECO40" s="57"/>
      <c r="ECP40" s="57"/>
      <c r="ECQ40" s="57"/>
      <c r="ECR40" s="57"/>
      <c r="ECS40" s="57"/>
      <c r="ECT40" s="58"/>
      <c r="ECU40" s="56"/>
      <c r="ECV40" s="57"/>
      <c r="ECW40" s="57"/>
      <c r="ECX40" s="57"/>
      <c r="ECY40" s="57"/>
      <c r="ECZ40" s="57"/>
      <c r="EDA40" s="56"/>
      <c r="EDB40" s="57"/>
      <c r="EDC40" s="57"/>
      <c r="EDD40" s="56"/>
      <c r="EDE40" s="57"/>
      <c r="EDF40" s="58"/>
      <c r="EDG40" s="56"/>
      <c r="EDH40" s="57"/>
      <c r="EDI40" s="57"/>
      <c r="EDJ40" s="57"/>
      <c r="EDK40" s="56"/>
      <c r="EDL40" s="57"/>
      <c r="EDM40" s="57"/>
      <c r="EDN40" s="56"/>
      <c r="EDO40" s="57"/>
      <c r="EDP40" s="58"/>
      <c r="EDQ40" s="56"/>
      <c r="EDR40" s="57"/>
      <c r="EDS40" s="57"/>
      <c r="EDT40" s="57"/>
      <c r="EDU40" s="56"/>
      <c r="EDV40" s="57"/>
      <c r="EDW40" s="57"/>
      <c r="EDX40" s="56"/>
      <c r="EDY40" s="57"/>
      <c r="EDZ40" s="58"/>
      <c r="EEA40" s="56"/>
      <c r="EEB40" s="57"/>
      <c r="EEC40" s="57"/>
      <c r="EED40" s="57"/>
      <c r="EEE40" s="56"/>
      <c r="EEF40" s="57"/>
      <c r="EEG40" s="57"/>
      <c r="EEH40" s="56"/>
      <c r="EEI40" s="57"/>
      <c r="EEJ40" s="58"/>
      <c r="EEK40" s="56"/>
      <c r="EEL40" s="58"/>
      <c r="EEM40" s="57"/>
      <c r="EEN40" s="56"/>
      <c r="EEO40" s="57"/>
      <c r="EEP40" s="56"/>
      <c r="EEQ40" s="56"/>
      <c r="EER40" s="56"/>
      <c r="EES40" s="57"/>
      <c r="EET40" s="57"/>
      <c r="EEU40" s="57"/>
      <c r="EEV40" s="57"/>
      <c r="EEW40" s="57"/>
      <c r="EEX40" s="57"/>
      <c r="EEY40" s="57"/>
      <c r="EEZ40" s="57"/>
      <c r="EFA40" s="57"/>
      <c r="EFB40" s="57"/>
      <c r="EFC40" s="57"/>
      <c r="EFD40" s="57"/>
      <c r="EFE40" s="57"/>
      <c r="EFF40" s="57"/>
      <c r="EFG40" s="57"/>
      <c r="EFH40" s="57"/>
      <c r="EFI40" s="57"/>
      <c r="EFJ40" s="57"/>
      <c r="EFK40" s="57"/>
      <c r="EFL40" s="57"/>
      <c r="EFM40" s="57"/>
      <c r="EFN40" s="57"/>
      <c r="EFO40" s="57"/>
      <c r="EFP40" s="57"/>
      <c r="EFQ40" s="57"/>
      <c r="EFR40" s="57"/>
      <c r="EFS40" s="57"/>
      <c r="EFT40" s="57"/>
      <c r="EFU40" s="57"/>
      <c r="EFV40" s="57"/>
      <c r="EFW40" s="57"/>
      <c r="EFX40" s="57"/>
      <c r="EFY40" s="57"/>
      <c r="EFZ40" s="57"/>
      <c r="EGA40" s="57"/>
      <c r="EGB40" s="57"/>
      <c r="EGC40" s="57"/>
      <c r="EGD40" s="58"/>
      <c r="EGE40" s="56"/>
      <c r="EGF40" s="57"/>
      <c r="EGG40" s="57"/>
      <c r="EGH40" s="57"/>
      <c r="EGI40" s="57"/>
      <c r="EGJ40" s="57"/>
      <c r="EGK40" s="56"/>
      <c r="EGL40" s="57"/>
      <c r="EGM40" s="57"/>
      <c r="EGN40" s="56"/>
      <c r="EGO40" s="57"/>
      <c r="EGP40" s="58"/>
      <c r="EGQ40" s="56"/>
      <c r="EGR40" s="57"/>
      <c r="EGS40" s="57"/>
      <c r="EGT40" s="57"/>
      <c r="EGU40" s="56"/>
      <c r="EGV40" s="57"/>
      <c r="EGW40" s="57"/>
      <c r="EGX40" s="56"/>
      <c r="EGY40" s="57"/>
      <c r="EGZ40" s="58"/>
      <c r="EHA40" s="56"/>
      <c r="EHB40" s="57"/>
      <c r="EHC40" s="57"/>
      <c r="EHD40" s="57"/>
      <c r="EHE40" s="56"/>
      <c r="EHF40" s="57"/>
      <c r="EHG40" s="57"/>
      <c r="EHH40" s="56"/>
      <c r="EHI40" s="57"/>
      <c r="EHJ40" s="58"/>
      <c r="EHK40" s="56"/>
      <c r="EHL40" s="57"/>
      <c r="EHM40" s="57"/>
      <c r="EHN40" s="57"/>
      <c r="EHO40" s="56"/>
      <c r="EHP40" s="57"/>
      <c r="EHQ40" s="57"/>
      <c r="EHR40" s="56"/>
      <c r="EHS40" s="57"/>
      <c r="EHT40" s="58"/>
      <c r="EHU40" s="56"/>
      <c r="EHV40" s="58"/>
      <c r="EHW40" s="57"/>
      <c r="EHX40" s="56"/>
      <c r="EHY40" s="57"/>
      <c r="EHZ40" s="56"/>
      <c r="EIA40" s="56"/>
      <c r="EIB40" s="56"/>
      <c r="EIC40" s="57"/>
      <c r="EID40" s="57"/>
      <c r="EIE40" s="57"/>
      <c r="EIF40" s="57"/>
      <c r="EIG40" s="57"/>
      <c r="EIH40" s="57"/>
      <c r="EII40" s="57"/>
      <c r="EIJ40" s="57"/>
      <c r="EIK40" s="57"/>
      <c r="EIL40" s="57"/>
      <c r="EIM40" s="57"/>
      <c r="EIN40" s="57"/>
      <c r="EIO40" s="57"/>
      <c r="EIP40" s="57"/>
      <c r="EIQ40" s="57"/>
      <c r="EIR40" s="57"/>
      <c r="EIS40" s="57"/>
      <c r="EIT40" s="57"/>
      <c r="EIU40" s="57"/>
      <c r="EIV40" s="57"/>
      <c r="EIW40" s="57"/>
      <c r="EIX40" s="57"/>
      <c r="EIY40" s="57"/>
      <c r="EIZ40" s="57"/>
      <c r="EJA40" s="57"/>
      <c r="EJB40" s="57"/>
      <c r="EJC40" s="57"/>
      <c r="EJD40" s="57"/>
      <c r="EJE40" s="57"/>
      <c r="EJF40" s="57"/>
      <c r="EJG40" s="57"/>
      <c r="EJH40" s="57"/>
      <c r="EJI40" s="57"/>
      <c r="EJJ40" s="57"/>
      <c r="EJK40" s="57"/>
      <c r="EJL40" s="57"/>
      <c r="EJM40" s="57"/>
      <c r="EJN40" s="58"/>
      <c r="EJO40" s="56"/>
      <c r="EJP40" s="57"/>
      <c r="EJQ40" s="57"/>
      <c r="EJR40" s="57"/>
      <c r="EJS40" s="57"/>
      <c r="EJT40" s="57"/>
      <c r="EJU40" s="56"/>
      <c r="EJV40" s="57"/>
      <c r="EJW40" s="57"/>
      <c r="EJX40" s="56"/>
      <c r="EJY40" s="57"/>
      <c r="EJZ40" s="58"/>
      <c r="EKA40" s="56"/>
      <c r="EKB40" s="57"/>
      <c r="EKC40" s="57"/>
      <c r="EKD40" s="57"/>
      <c r="EKE40" s="56"/>
      <c r="EKF40" s="57"/>
      <c r="EKG40" s="57"/>
      <c r="EKH40" s="56"/>
      <c r="EKI40" s="57"/>
      <c r="EKJ40" s="58"/>
      <c r="EKK40" s="56"/>
      <c r="EKL40" s="57"/>
      <c r="EKM40" s="57"/>
      <c r="EKN40" s="57"/>
      <c r="EKO40" s="56"/>
      <c r="EKP40" s="57"/>
      <c r="EKQ40" s="57"/>
      <c r="EKR40" s="56"/>
      <c r="EKS40" s="57"/>
      <c r="EKT40" s="58"/>
      <c r="EKU40" s="56"/>
      <c r="EKV40" s="57"/>
      <c r="EKW40" s="57"/>
      <c r="EKX40" s="57"/>
      <c r="EKY40" s="56"/>
      <c r="EKZ40" s="57"/>
      <c r="ELA40" s="57"/>
      <c r="ELB40" s="56"/>
      <c r="ELC40" s="57"/>
      <c r="ELD40" s="58"/>
      <c r="ELE40" s="56"/>
      <c r="ELF40" s="58"/>
      <c r="ELG40" s="57"/>
      <c r="ELH40" s="56"/>
      <c r="ELI40" s="57"/>
      <c r="ELJ40" s="56"/>
      <c r="ELK40" s="56"/>
      <c r="ELL40" s="56"/>
      <c r="ELM40" s="57"/>
      <c r="ELN40" s="57"/>
      <c r="ELO40" s="57"/>
      <c r="ELP40" s="57"/>
      <c r="ELQ40" s="57"/>
      <c r="ELR40" s="57"/>
      <c r="ELS40" s="57"/>
      <c r="ELT40" s="57"/>
      <c r="ELU40" s="57"/>
      <c r="ELV40" s="57"/>
      <c r="ELW40" s="57"/>
      <c r="ELX40" s="57"/>
      <c r="ELY40" s="57"/>
      <c r="ELZ40" s="57"/>
      <c r="EMA40" s="57"/>
      <c r="EMB40" s="57"/>
      <c r="EMC40" s="57"/>
      <c r="EMD40" s="57"/>
      <c r="EME40" s="57"/>
      <c r="EMF40" s="57"/>
      <c r="EMG40" s="57"/>
      <c r="EMH40" s="57"/>
      <c r="EMI40" s="57"/>
      <c r="EMJ40" s="57"/>
      <c r="EMK40" s="57"/>
      <c r="EML40" s="57"/>
      <c r="EMM40" s="57"/>
      <c r="EMN40" s="57"/>
      <c r="EMO40" s="57"/>
      <c r="EMP40" s="57"/>
      <c r="EMQ40" s="57"/>
      <c r="EMR40" s="57"/>
      <c r="EMS40" s="57"/>
      <c r="EMT40" s="57"/>
      <c r="EMU40" s="57"/>
      <c r="EMV40" s="57"/>
      <c r="EMW40" s="57"/>
      <c r="EMX40" s="58"/>
      <c r="EMY40" s="56"/>
      <c r="EMZ40" s="57"/>
      <c r="ENA40" s="57"/>
      <c r="ENB40" s="57"/>
      <c r="ENC40" s="57"/>
      <c r="END40" s="57"/>
      <c r="ENE40" s="56"/>
      <c r="ENF40" s="57"/>
      <c r="ENG40" s="57"/>
      <c r="ENH40" s="56"/>
      <c r="ENI40" s="57"/>
      <c r="ENJ40" s="58"/>
      <c r="ENK40" s="56"/>
      <c r="ENL40" s="57"/>
      <c r="ENM40" s="57"/>
      <c r="ENN40" s="57"/>
      <c r="ENO40" s="56"/>
      <c r="ENP40" s="57"/>
      <c r="ENQ40" s="57"/>
      <c r="ENR40" s="56"/>
      <c r="ENS40" s="57"/>
      <c r="ENT40" s="58"/>
      <c r="ENU40" s="56"/>
      <c r="ENV40" s="57"/>
      <c r="ENW40" s="57"/>
      <c r="ENX40" s="57"/>
      <c r="ENY40" s="56"/>
      <c r="ENZ40" s="57"/>
      <c r="EOA40" s="57"/>
      <c r="EOB40" s="56"/>
      <c r="EOC40" s="57"/>
      <c r="EOD40" s="58"/>
      <c r="EOE40" s="56"/>
      <c r="EOF40" s="57"/>
      <c r="EOG40" s="57"/>
      <c r="EOH40" s="57"/>
      <c r="EOI40" s="56"/>
      <c r="EOJ40" s="57"/>
      <c r="EOK40" s="57"/>
      <c r="EOL40" s="56"/>
      <c r="EOM40" s="57"/>
      <c r="EON40" s="58"/>
      <c r="EOO40" s="56" t="str">
        <f t="shared" si="75"/>
        <v xml:space="preserve"> </v>
      </c>
    </row>
    <row r="41" spans="1:3785" x14ac:dyDescent="0.3">
      <c r="A41" s="27" t="s">
        <v>233</v>
      </c>
      <c r="B41" s="30"/>
      <c r="C41" s="29"/>
      <c r="D41" s="28" t="str">
        <f t="shared" si="61"/>
        <v xml:space="preserve"> </v>
      </c>
      <c r="E41" s="29"/>
      <c r="F41" s="28"/>
      <c r="G41" s="28"/>
      <c r="H41" s="28"/>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30"/>
      <c r="AU41" s="28"/>
      <c r="AV41" s="29"/>
      <c r="AW41" s="29"/>
      <c r="AX41" s="29"/>
      <c r="AY41" s="29"/>
      <c r="AZ41" s="29"/>
      <c r="BA41" s="28"/>
      <c r="BB41" s="29"/>
      <c r="BC41" s="29"/>
      <c r="BD41" s="28"/>
      <c r="BE41" s="29"/>
      <c r="BF41" s="30"/>
      <c r="BG41" s="28"/>
      <c r="BH41" s="29"/>
      <c r="BI41" s="29"/>
      <c r="BJ41" s="29"/>
      <c r="BK41" s="28"/>
      <c r="BL41" s="29"/>
      <c r="BM41" s="29"/>
      <c r="BN41" s="28"/>
      <c r="BO41" s="29"/>
      <c r="BP41" s="30"/>
      <c r="BQ41" s="28"/>
      <c r="BR41" s="29"/>
      <c r="BS41" s="29"/>
      <c r="BT41" s="29"/>
      <c r="BU41" s="28"/>
      <c r="BV41" s="29"/>
      <c r="BW41" s="29"/>
      <c r="BX41" s="28"/>
      <c r="BY41" s="29"/>
      <c r="BZ41" s="30"/>
      <c r="CA41" s="28"/>
      <c r="CB41" s="29"/>
      <c r="CC41" s="29"/>
      <c r="CD41" s="29"/>
      <c r="CE41" s="28"/>
      <c r="CF41" s="29"/>
      <c r="CG41" s="29"/>
      <c r="CH41" s="28"/>
      <c r="CI41" s="29"/>
      <c r="CJ41" s="30"/>
      <c r="CK41" s="28"/>
      <c r="CL41" s="29"/>
      <c r="CM41" s="29"/>
      <c r="CN41" s="29"/>
      <c r="CO41" s="28"/>
      <c r="CP41" s="29"/>
      <c r="CQ41" s="29"/>
      <c r="CR41" s="28"/>
      <c r="CS41" s="29"/>
      <c r="CT41" s="30"/>
      <c r="CU41" s="28"/>
      <c r="CV41" s="29"/>
      <c r="CW41" s="29"/>
      <c r="CX41" s="29"/>
      <c r="CY41" s="28"/>
      <c r="CZ41" s="29"/>
      <c r="DA41" s="29"/>
      <c r="DB41" s="28"/>
      <c r="DC41" s="29"/>
      <c r="DD41" s="30"/>
      <c r="DE41" s="28"/>
      <c r="DF41" s="29"/>
      <c r="DG41" s="29"/>
      <c r="DH41" s="29"/>
      <c r="DI41" s="28"/>
      <c r="DJ41" s="29"/>
      <c r="DK41" s="29"/>
      <c r="DL41" s="28"/>
      <c r="DM41" s="29"/>
      <c r="DN41" s="30"/>
      <c r="DO41" s="28"/>
      <c r="DP41" s="29"/>
      <c r="DQ41" s="29"/>
      <c r="DR41" s="29"/>
      <c r="DS41" s="28"/>
      <c r="DT41" s="29"/>
      <c r="DU41" s="29"/>
      <c r="DV41" s="28"/>
      <c r="DW41" s="29"/>
      <c r="DX41" s="30"/>
      <c r="DY41" s="28"/>
      <c r="DZ41" s="29"/>
      <c r="EA41" s="29"/>
      <c r="EB41" s="29"/>
      <c r="EC41" s="28"/>
      <c r="ED41" s="29"/>
      <c r="EE41" s="28"/>
      <c r="EF41" s="28"/>
      <c r="EG41" s="29"/>
      <c r="EH41" s="30"/>
      <c r="EI41" s="28"/>
      <c r="EJ41" s="29"/>
      <c r="EK41" s="29"/>
      <c r="EL41" s="29"/>
      <c r="EM41" s="28"/>
      <c r="EN41" s="29"/>
      <c r="EO41" s="33"/>
      <c r="EP41" s="28"/>
      <c r="EQ41" s="29"/>
      <c r="ER41" s="30"/>
      <c r="ES41" s="28"/>
      <c r="ET41" s="29"/>
      <c r="EU41" s="29"/>
      <c r="EV41" s="29"/>
      <c r="EW41" s="28"/>
      <c r="EX41" s="29"/>
      <c r="EY41" s="29"/>
      <c r="EZ41" s="28"/>
      <c r="FA41" s="29"/>
      <c r="FB41" s="30"/>
      <c r="FC41" s="28"/>
      <c r="FD41" s="29"/>
      <c r="FE41" s="29"/>
      <c r="FF41" s="29"/>
      <c r="FG41" s="28"/>
      <c r="FH41" s="29"/>
      <c r="FI41" s="29"/>
      <c r="FJ41" s="28"/>
      <c r="FK41" s="29"/>
      <c r="FL41" s="30"/>
      <c r="FM41" s="28"/>
      <c r="FN41" s="29"/>
      <c r="FO41" s="29"/>
      <c r="FP41" s="29"/>
      <c r="FQ41" s="28"/>
      <c r="FR41" s="29"/>
      <c r="FS41" s="29"/>
      <c r="FT41" s="28"/>
      <c r="FU41" s="29"/>
      <c r="FV41" s="30"/>
      <c r="FW41" s="28"/>
      <c r="FX41" s="29"/>
      <c r="FY41" s="29"/>
      <c r="FZ41" s="29"/>
      <c r="GA41" s="28"/>
      <c r="GB41" s="29"/>
      <c r="GC41" s="29"/>
      <c r="GD41" s="28"/>
      <c r="GE41" s="29"/>
      <c r="GF41" s="30"/>
      <c r="GG41" s="28"/>
      <c r="GH41" s="29"/>
      <c r="GI41" s="29"/>
      <c r="GJ41" s="29"/>
      <c r="GK41" s="28"/>
      <c r="GL41" s="29"/>
      <c r="GM41" s="29"/>
      <c r="GN41" s="28"/>
      <c r="GO41" s="29"/>
      <c r="GP41" s="30"/>
      <c r="GQ41" s="28"/>
      <c r="GR41" s="29"/>
      <c r="GS41" s="29"/>
      <c r="GT41" s="29"/>
      <c r="GU41" s="28"/>
      <c r="GV41" s="29"/>
      <c r="GW41" s="29"/>
      <c r="GX41" s="28"/>
      <c r="GY41" s="29"/>
      <c r="GZ41" s="30"/>
      <c r="HA41" s="28"/>
      <c r="HB41" s="29"/>
      <c r="HC41" s="29"/>
      <c r="HD41" s="29"/>
      <c r="HE41" s="28"/>
      <c r="HF41" s="29"/>
      <c r="HG41" s="29"/>
      <c r="HH41" s="28"/>
      <c r="HI41" s="29"/>
      <c r="HJ41" s="30"/>
      <c r="HK41" s="28"/>
      <c r="HL41" s="29"/>
      <c r="HM41" s="29"/>
      <c r="HN41" s="29"/>
      <c r="HO41" s="28"/>
      <c r="HP41" s="29"/>
      <c r="HQ41" s="29"/>
      <c r="HR41" s="28"/>
      <c r="HS41" s="29"/>
      <c r="HT41" s="30"/>
      <c r="HU41" s="28"/>
      <c r="HV41" s="29"/>
      <c r="HW41" s="29"/>
      <c r="HX41" s="29"/>
      <c r="HY41" s="28"/>
      <c r="HZ41" s="29"/>
      <c r="IA41" s="29"/>
      <c r="IB41" s="28"/>
      <c r="IC41" s="29"/>
      <c r="ID41" s="30"/>
      <c r="IE41" s="28"/>
      <c r="IF41" s="29"/>
      <c r="IG41" s="29"/>
      <c r="IH41" s="29"/>
      <c r="II41" s="28"/>
      <c r="IJ41" s="29"/>
      <c r="IK41" s="29"/>
      <c r="IL41" s="28"/>
      <c r="IM41" s="29"/>
      <c r="IN41" s="30"/>
      <c r="IO41" s="28"/>
      <c r="IP41" s="29"/>
      <c r="IQ41" s="29"/>
      <c r="IR41" s="29"/>
      <c r="IS41" s="28"/>
      <c r="IT41" s="29"/>
      <c r="IU41" s="29"/>
      <c r="IV41" s="28"/>
      <c r="IW41" s="29"/>
      <c r="IX41" s="30"/>
      <c r="IY41" s="28"/>
      <c r="IZ41" s="29"/>
      <c r="JA41" s="29"/>
      <c r="JB41" s="29"/>
      <c r="JC41" s="28"/>
      <c r="JD41" s="29"/>
      <c r="JE41" s="29"/>
      <c r="JF41" s="28"/>
      <c r="JG41" s="29"/>
      <c r="JH41" s="30"/>
      <c r="JI41" s="28"/>
      <c r="JJ41" s="29"/>
      <c r="JK41" s="29"/>
      <c r="JL41" s="29"/>
      <c r="JM41" s="28"/>
      <c r="JN41" s="29"/>
      <c r="JO41" s="29"/>
      <c r="JP41" s="28"/>
      <c r="JQ41" s="29"/>
      <c r="JR41" s="30"/>
      <c r="JS41" s="28"/>
      <c r="JT41" s="29"/>
      <c r="JU41" s="29"/>
      <c r="JV41" s="29"/>
      <c r="JW41" s="28"/>
      <c r="JX41" s="29"/>
      <c r="JY41" s="29"/>
      <c r="JZ41" s="28"/>
      <c r="KA41" s="29"/>
      <c r="KB41" s="30"/>
      <c r="KC41" s="28"/>
      <c r="KD41" s="29"/>
      <c r="KE41" s="29"/>
      <c r="KF41" s="29"/>
      <c r="KG41" s="28"/>
      <c r="KH41" s="29"/>
      <c r="KI41" s="29"/>
      <c r="KJ41" s="28"/>
      <c r="KK41" s="29"/>
      <c r="KL41" s="30"/>
      <c r="KM41" s="28"/>
      <c r="KN41" s="29"/>
      <c r="KO41" s="29"/>
      <c r="KP41" s="29"/>
      <c r="KQ41" s="28"/>
      <c r="KR41" s="29"/>
      <c r="KS41" s="29"/>
      <c r="KT41" s="28"/>
      <c r="KU41" s="29"/>
      <c r="KV41" s="30"/>
      <c r="KW41" s="28"/>
      <c r="KX41" s="29"/>
      <c r="KY41" s="29"/>
      <c r="KZ41" s="29"/>
      <c r="LA41" s="28"/>
      <c r="LB41" s="29"/>
      <c r="LC41" s="29"/>
      <c r="LD41" s="28"/>
      <c r="LE41" s="29"/>
      <c r="LF41" s="30"/>
      <c r="LG41" s="28"/>
      <c r="LH41" s="29"/>
      <c r="LI41" s="29"/>
      <c r="LJ41" s="29"/>
      <c r="LK41" s="28"/>
      <c r="LL41" s="29"/>
      <c r="LM41" s="29"/>
      <c r="LN41" s="28"/>
      <c r="LO41" s="29"/>
      <c r="LP41" s="30"/>
      <c r="LQ41" s="28"/>
      <c r="LR41" s="29"/>
      <c r="LS41" s="29"/>
      <c r="LT41" s="29"/>
      <c r="LU41" s="28"/>
      <c r="LV41" s="29"/>
      <c r="LW41" s="29"/>
      <c r="LX41" s="28"/>
      <c r="LY41" s="29"/>
      <c r="LZ41" s="30"/>
      <c r="MA41" s="28"/>
      <c r="MB41" s="29"/>
      <c r="MC41" s="29"/>
      <c r="MD41" s="29"/>
      <c r="ME41" s="28"/>
      <c r="MF41" s="29"/>
      <c r="MG41" s="29"/>
      <c r="MH41" s="28"/>
      <c r="MI41" s="29"/>
      <c r="MJ41" s="30"/>
      <c r="MK41" s="28"/>
      <c r="ML41" s="29"/>
      <c r="MM41" s="29"/>
      <c r="MN41" s="29"/>
      <c r="MO41" s="28"/>
      <c r="MP41" s="29"/>
      <c r="MQ41" s="29"/>
      <c r="MR41" s="28"/>
      <c r="MS41" s="29"/>
      <c r="MT41" s="30"/>
      <c r="MU41" s="28"/>
      <c r="MV41" s="29"/>
      <c r="MW41" s="29"/>
      <c r="MX41" s="29"/>
      <c r="MY41" s="28"/>
      <c r="MZ41" s="29"/>
      <c r="NA41" s="29"/>
      <c r="NB41" s="28"/>
      <c r="NC41" s="29"/>
      <c r="ND41" s="30"/>
      <c r="NE41" s="28"/>
      <c r="NF41" s="29"/>
      <c r="NG41" s="29"/>
      <c r="NH41" s="29"/>
      <c r="NI41" s="28"/>
      <c r="NJ41" s="29"/>
      <c r="NK41" s="29"/>
      <c r="NL41" s="28"/>
      <c r="NM41" s="29"/>
      <c r="NN41" s="30"/>
      <c r="NO41" s="28"/>
      <c r="NP41" s="29"/>
      <c r="NQ41" s="29"/>
      <c r="NR41" s="29"/>
      <c r="NS41" s="28"/>
      <c r="NT41" s="29"/>
      <c r="NU41" s="29"/>
      <c r="NV41" s="28"/>
      <c r="NW41" s="29"/>
      <c r="NX41" s="30"/>
      <c r="NY41" s="28"/>
      <c r="NZ41" s="29"/>
      <c r="OA41" s="29"/>
      <c r="OB41" s="29"/>
      <c r="OC41" s="28"/>
      <c r="OD41" s="29"/>
      <c r="OE41" s="29"/>
      <c r="OF41" s="30"/>
      <c r="OG41" s="30"/>
      <c r="OH41" s="30"/>
      <c r="OI41" s="28"/>
      <c r="OJ41" s="30"/>
      <c r="OK41" s="30"/>
      <c r="OL41" s="30"/>
      <c r="OM41" s="30"/>
      <c r="ON41" s="30"/>
      <c r="OO41" s="30"/>
      <c r="OP41" s="28"/>
      <c r="OQ41" s="29"/>
      <c r="OR41" s="30"/>
      <c r="OS41" s="28"/>
      <c r="OT41" s="29"/>
      <c r="OU41" s="29"/>
      <c r="OV41" s="29"/>
      <c r="OW41" s="28"/>
      <c r="OX41" s="29"/>
      <c r="OY41" s="29"/>
      <c r="OZ41" s="28"/>
      <c r="PA41" s="29"/>
      <c r="PB41" s="30"/>
      <c r="PC41" s="28"/>
      <c r="PD41" s="29"/>
      <c r="PE41" s="29"/>
      <c r="PF41" s="29"/>
      <c r="PG41" s="28"/>
      <c r="PH41" s="29"/>
      <c r="PI41" s="29"/>
      <c r="PJ41" s="28"/>
      <c r="PK41" s="29"/>
      <c r="PL41" s="30"/>
      <c r="PM41" s="28"/>
      <c r="PN41" s="29"/>
      <c r="PO41" s="29"/>
      <c r="PP41" s="29"/>
      <c r="PQ41" s="28"/>
      <c r="PR41" s="29"/>
      <c r="PS41" s="29"/>
      <c r="PT41" s="28"/>
      <c r="PU41" s="29"/>
      <c r="PV41" s="30"/>
      <c r="PW41" s="28"/>
      <c r="PX41" s="29"/>
      <c r="PY41" s="29"/>
      <c r="PZ41" s="29"/>
      <c r="QA41" s="28"/>
      <c r="QB41" s="29"/>
      <c r="QC41" s="29"/>
      <c r="QD41" s="28"/>
      <c r="QE41" s="29"/>
      <c r="QF41" s="30"/>
      <c r="QG41" s="28"/>
      <c r="QH41" s="29"/>
      <c r="QI41" s="29"/>
      <c r="QJ41" s="29"/>
      <c r="QK41" s="28"/>
      <c r="QL41" s="29"/>
      <c r="QM41" s="29"/>
      <c r="QN41" s="28"/>
      <c r="QO41" s="29"/>
      <c r="QP41" s="30"/>
      <c r="QQ41" s="28"/>
      <c r="QR41" s="29"/>
      <c r="QS41" s="29"/>
      <c r="QT41" s="29"/>
      <c r="QU41" s="28"/>
      <c r="QV41" s="29"/>
      <c r="QW41" s="29"/>
      <c r="QX41" s="28"/>
      <c r="QY41" s="29"/>
      <c r="QZ41" s="30"/>
      <c r="RA41" s="28"/>
      <c r="RB41" s="29"/>
      <c r="RC41" s="29"/>
      <c r="RD41" s="29"/>
      <c r="RE41" s="28"/>
      <c r="RF41" s="29"/>
      <c r="RG41" s="29"/>
      <c r="RH41" s="28"/>
      <c r="RI41" s="29"/>
      <c r="RJ41" s="30"/>
      <c r="RK41" s="28"/>
      <c r="RL41" s="29"/>
      <c r="RM41" s="29"/>
      <c r="RN41" s="29"/>
      <c r="RO41" s="28"/>
      <c r="RP41" s="29"/>
      <c r="RQ41" s="29"/>
      <c r="RR41" s="28"/>
      <c r="RS41" s="29"/>
      <c r="RT41" s="30"/>
      <c r="RU41" s="28"/>
      <c r="RV41" s="29"/>
      <c r="RW41" s="29"/>
      <c r="RX41" s="29"/>
      <c r="RY41" s="28"/>
      <c r="RZ41" s="29"/>
      <c r="SA41" s="29"/>
      <c r="SB41" s="28"/>
      <c r="SC41" s="29"/>
      <c r="SD41" s="30"/>
      <c r="SE41" s="28"/>
      <c r="SF41" s="29"/>
      <c r="SG41" s="29"/>
      <c r="SH41" s="29"/>
      <c r="SI41" s="28"/>
      <c r="SJ41" s="29"/>
      <c r="SK41" s="29"/>
      <c r="SL41" s="28"/>
      <c r="SM41" s="29"/>
      <c r="SN41" s="30"/>
      <c r="SO41" s="28"/>
      <c r="SP41" s="29"/>
      <c r="SQ41" s="29"/>
      <c r="SR41" s="29"/>
      <c r="SS41" s="28"/>
      <c r="ST41" s="29"/>
      <c r="SU41" s="29"/>
      <c r="SV41" s="28"/>
      <c r="SW41" s="29"/>
      <c r="SX41" s="30"/>
      <c r="SY41" s="28"/>
      <c r="SZ41" s="29"/>
      <c r="TA41" s="29"/>
      <c r="TB41" s="29"/>
      <c r="TC41" s="28"/>
      <c r="TD41" s="29"/>
      <c r="TE41" s="29"/>
      <c r="TF41" s="28"/>
      <c r="TG41" s="29"/>
      <c r="TH41" s="30"/>
      <c r="TI41" s="28"/>
      <c r="TJ41" s="29"/>
      <c r="TK41" s="29"/>
      <c r="TL41" s="29"/>
      <c r="TM41" s="28"/>
      <c r="TN41" s="29"/>
      <c r="TO41" s="29"/>
      <c r="TP41" s="28"/>
      <c r="TQ41" s="29"/>
      <c r="TR41" s="30"/>
      <c r="TS41" s="28"/>
      <c r="TT41" s="29"/>
      <c r="TU41" s="29"/>
      <c r="TV41" s="29"/>
      <c r="TW41" s="28"/>
      <c r="TX41" s="29"/>
      <c r="TY41" s="29"/>
      <c r="TZ41" s="28"/>
      <c r="UA41" s="29"/>
      <c r="UB41" s="30"/>
      <c r="UC41" s="28"/>
      <c r="UD41" s="29"/>
      <c r="UE41" s="29"/>
      <c r="UF41" s="29"/>
      <c r="UG41" s="28"/>
      <c r="UH41" s="29"/>
      <c r="UI41" s="29"/>
      <c r="UJ41" s="28"/>
      <c r="UK41" s="29"/>
      <c r="UL41" s="30"/>
      <c r="UM41" s="28"/>
      <c r="UN41" s="29"/>
      <c r="UO41" s="29"/>
      <c r="UP41" s="29"/>
      <c r="UQ41" s="28"/>
      <c r="UR41" s="29"/>
      <c r="US41" s="29"/>
      <c r="UT41" s="28"/>
      <c r="UU41" s="29"/>
      <c r="UV41" s="30"/>
      <c r="UW41" s="28"/>
      <c r="UX41" s="29"/>
      <c r="UY41" s="29"/>
      <c r="UZ41" s="29"/>
      <c r="VA41" s="28"/>
      <c r="VB41" s="29"/>
      <c r="VC41" s="29"/>
      <c r="VD41" s="28"/>
      <c r="VE41" s="29"/>
      <c r="VF41" s="30"/>
      <c r="VG41" s="28"/>
      <c r="VH41" s="29"/>
      <c r="VI41" s="29"/>
      <c r="VJ41" s="29"/>
      <c r="VK41" s="28"/>
      <c r="VL41" s="29"/>
      <c r="VM41" s="29"/>
      <c r="VN41" s="28"/>
      <c r="VO41" s="29"/>
      <c r="VP41" s="30"/>
      <c r="VQ41" s="28"/>
      <c r="VR41" s="29"/>
      <c r="VS41" s="29"/>
      <c r="VT41" s="29"/>
      <c r="VU41" s="28"/>
      <c r="VV41" s="29"/>
      <c r="VW41" s="29"/>
      <c r="VX41" s="28"/>
      <c r="VY41" s="29"/>
      <c r="VZ41" s="30"/>
      <c r="WA41" s="28"/>
      <c r="WB41" s="29"/>
      <c r="WC41" s="29"/>
      <c r="WD41" s="29"/>
      <c r="WE41" s="28"/>
      <c r="WF41" s="29"/>
      <c r="WG41" s="29"/>
      <c r="WH41" s="28"/>
      <c r="WI41" s="29"/>
      <c r="WJ41" s="30"/>
      <c r="WK41" s="28"/>
      <c r="WL41" s="29"/>
      <c r="WM41" s="29"/>
      <c r="WN41" s="29"/>
      <c r="WO41" s="28"/>
      <c r="WP41" s="29"/>
      <c r="WQ41" s="29"/>
      <c r="WR41" s="28"/>
      <c r="WS41" s="29"/>
      <c r="WT41" s="30"/>
      <c r="WU41" s="28"/>
      <c r="WV41" s="29"/>
      <c r="WW41" s="29"/>
      <c r="WX41" s="29"/>
      <c r="WY41" s="28"/>
      <c r="WZ41" s="29"/>
      <c r="XA41" s="29"/>
      <c r="XB41" s="28"/>
      <c r="XC41" s="29"/>
      <c r="XD41" s="30"/>
      <c r="XE41" s="28"/>
      <c r="XF41" s="29"/>
      <c r="XG41" s="29"/>
      <c r="XH41" s="29"/>
      <c r="XI41" s="28"/>
      <c r="XJ41" s="29"/>
      <c r="XK41" s="29"/>
      <c r="XL41" s="28"/>
      <c r="XM41" s="29"/>
      <c r="XN41" s="30"/>
      <c r="XO41" s="28"/>
      <c r="XP41" s="29"/>
      <c r="XQ41" s="29"/>
      <c r="XR41" s="29"/>
      <c r="XS41" s="28"/>
      <c r="XT41" s="29"/>
      <c r="XU41" s="29"/>
      <c r="XV41" s="28"/>
      <c r="XW41" s="29"/>
      <c r="XX41" s="30"/>
      <c r="XY41" s="28"/>
      <c r="XZ41" s="29"/>
      <c r="YA41" s="29"/>
      <c r="YB41" s="29"/>
      <c r="YC41" s="28"/>
      <c r="YD41" s="29"/>
      <c r="YE41" s="29"/>
      <c r="YF41" s="28"/>
      <c r="YG41" s="29"/>
      <c r="YH41" s="30"/>
      <c r="YI41" s="28"/>
      <c r="YJ41" s="29"/>
      <c r="YK41" s="29"/>
      <c r="YL41" s="29"/>
      <c r="YM41" s="28"/>
      <c r="YN41" s="29"/>
      <c r="YO41" s="29"/>
      <c r="YP41" s="28"/>
      <c r="YQ41" s="29"/>
      <c r="YR41" s="30"/>
      <c r="YS41" s="28"/>
      <c r="YT41" s="29"/>
      <c r="YU41" s="29"/>
      <c r="YV41" s="29"/>
      <c r="YW41" s="28"/>
      <c r="YX41" s="29"/>
      <c r="YY41" s="29"/>
      <c r="YZ41" s="28"/>
      <c r="ZA41" s="29"/>
      <c r="ZB41" s="30"/>
      <c r="ZC41" s="28"/>
      <c r="ZD41" s="29"/>
      <c r="ZE41" s="29"/>
      <c r="ZF41" s="29"/>
      <c r="ZG41" s="28"/>
      <c r="ZH41" s="29"/>
      <c r="ZI41" s="29"/>
      <c r="ZJ41" s="28"/>
      <c r="ZK41" s="29"/>
      <c r="ZL41" s="30"/>
      <c r="ZM41" s="28"/>
      <c r="ZN41" s="29"/>
      <c r="ZO41" s="29"/>
      <c r="ZP41" s="29"/>
      <c r="ZQ41" s="28"/>
      <c r="ZR41" s="29"/>
      <c r="ZS41" s="29"/>
      <c r="ZT41" s="28"/>
      <c r="ZU41" s="29"/>
      <c r="ZV41" s="30"/>
      <c r="ZW41" s="28"/>
      <c r="ZX41" s="29"/>
      <c r="ZY41" s="29"/>
      <c r="ZZ41" s="29"/>
      <c r="AAA41" s="28"/>
      <c r="AAB41" s="29"/>
      <c r="AAC41" s="29"/>
      <c r="AAD41" s="28"/>
      <c r="AAE41" s="29"/>
      <c r="AAF41" s="30"/>
      <c r="AAG41" s="28"/>
      <c r="AAH41" s="29"/>
      <c r="AAI41" s="29"/>
      <c r="AAJ41" s="29"/>
      <c r="AAK41" s="28"/>
      <c r="AAL41" s="29"/>
      <c r="AAM41" s="29"/>
      <c r="AAN41" s="28"/>
      <c r="AAO41" s="29"/>
      <c r="AAP41" s="30"/>
      <c r="AAQ41" s="28"/>
      <c r="AAR41" s="29"/>
      <c r="AAS41" s="29"/>
      <c r="AAT41" s="29"/>
      <c r="AAU41" s="28"/>
      <c r="AAV41" s="29"/>
      <c r="AAW41" s="29"/>
      <c r="AAX41" s="28"/>
      <c r="AAY41" s="29"/>
      <c r="AAZ41" s="30"/>
      <c r="ABA41" s="28"/>
      <c r="ABB41" s="29"/>
      <c r="ABC41" s="29"/>
      <c r="ABD41" s="29"/>
      <c r="ABE41" s="28"/>
      <c r="ABF41" s="29"/>
      <c r="ABG41" s="29"/>
      <c r="ABH41" s="28"/>
      <c r="ABI41" s="29"/>
      <c r="ABJ41" s="30"/>
      <c r="ABK41" s="28"/>
      <c r="ABL41" s="29"/>
      <c r="ABM41" s="29"/>
      <c r="ABN41" s="29"/>
      <c r="ABO41" s="28"/>
      <c r="ABP41" s="29"/>
      <c r="ABQ41" s="29"/>
      <c r="ABR41" s="28"/>
      <c r="ABS41" s="29"/>
      <c r="ABT41" s="30"/>
      <c r="ABU41" s="28"/>
      <c r="ABV41" s="29"/>
      <c r="ABW41" s="29"/>
      <c r="ABX41" s="29"/>
      <c r="ABY41" s="28"/>
      <c r="ABZ41" s="29"/>
      <c r="ACA41" s="29"/>
      <c r="ACB41" s="28"/>
      <c r="ACC41" s="29"/>
      <c r="ACD41" s="30"/>
      <c r="ACE41" s="28"/>
      <c r="ACF41" s="29"/>
      <c r="ACG41" s="29"/>
      <c r="ACH41" s="29"/>
      <c r="ACI41" s="28"/>
      <c r="ACJ41" s="29"/>
      <c r="ACK41" s="29"/>
      <c r="ACL41" s="28"/>
      <c r="ACM41" s="29"/>
      <c r="ACN41" s="30"/>
      <c r="ACO41" s="28"/>
      <c r="ACP41" s="29"/>
      <c r="ACQ41" s="29"/>
      <c r="ACR41" s="29"/>
      <c r="ACS41" s="28"/>
      <c r="ACT41" s="29"/>
      <c r="ACU41" s="29"/>
      <c r="ACV41" s="28"/>
      <c r="ACW41" s="29"/>
      <c r="ACX41" s="30"/>
      <c r="ACY41" s="28"/>
      <c r="ACZ41" s="29"/>
      <c r="ADA41" s="29"/>
      <c r="ADB41" s="29"/>
      <c r="ADC41" s="28"/>
      <c r="ADD41" s="29"/>
      <c r="ADE41" s="29"/>
      <c r="ADF41" s="28"/>
      <c r="ADG41" s="29"/>
      <c r="ADH41" s="30"/>
      <c r="ADI41" s="28"/>
      <c r="ADJ41" s="29"/>
      <c r="ADK41" s="29"/>
      <c r="ADL41" s="29"/>
      <c r="ADM41" s="28"/>
      <c r="ADN41" s="29"/>
      <c r="ADO41" s="29"/>
      <c r="ADP41" s="28"/>
      <c r="ADQ41" s="29"/>
      <c r="ADR41" s="30"/>
      <c r="ADS41" s="28"/>
      <c r="ADT41" s="29"/>
      <c r="ADU41" s="29"/>
      <c r="ADV41" s="29"/>
      <c r="ADW41" s="28"/>
      <c r="ADX41" s="29"/>
      <c r="ADY41" s="29"/>
      <c r="ADZ41" s="28"/>
      <c r="AEA41" s="29"/>
      <c r="AEB41" s="30"/>
      <c r="AEC41" s="28"/>
      <c r="AED41" s="29"/>
      <c r="AEE41" s="29"/>
      <c r="AEF41" s="29"/>
      <c r="AEG41" s="28"/>
      <c r="AEH41" s="29"/>
      <c r="AEI41" s="29"/>
      <c r="AEJ41" s="28"/>
      <c r="AEK41" s="29"/>
      <c r="AEL41" s="30"/>
      <c r="AEM41" s="28"/>
      <c r="AEN41" s="29"/>
      <c r="AEO41" s="29"/>
      <c r="AEP41" s="29"/>
      <c r="AEQ41" s="28"/>
      <c r="AER41" s="29"/>
      <c r="AES41" s="29"/>
      <c r="AET41" s="28"/>
      <c r="AEU41" s="29"/>
      <c r="AEV41" s="30"/>
      <c r="AEW41" s="28"/>
      <c r="AEX41" s="29"/>
      <c r="AEY41" s="29"/>
      <c r="AEZ41" s="29"/>
      <c r="AFA41" s="28"/>
      <c r="AFB41" s="29"/>
      <c r="AFC41" s="29"/>
      <c r="AFD41" s="28"/>
      <c r="AFE41" s="29"/>
      <c r="AFF41" s="30"/>
      <c r="AFG41" s="28"/>
      <c r="AFH41" s="29"/>
      <c r="AFI41" s="29"/>
      <c r="AFJ41" s="29"/>
      <c r="AFK41" s="28"/>
      <c r="AFL41" s="29"/>
      <c r="AFM41" s="29"/>
      <c r="AFN41" s="28"/>
      <c r="AFO41" s="29"/>
      <c r="AFP41" s="30"/>
      <c r="AFQ41" s="28"/>
      <c r="AFR41" s="29"/>
      <c r="AFS41" s="29"/>
      <c r="AFT41" s="29"/>
      <c r="AFU41" s="28"/>
      <c r="AFV41" s="29"/>
      <c r="AFW41" s="29"/>
      <c r="AFX41" s="28"/>
      <c r="AFY41" s="29"/>
      <c r="AFZ41" s="30"/>
      <c r="AGA41" s="28"/>
      <c r="AGB41" s="29"/>
      <c r="AGC41" s="29"/>
      <c r="AGD41" s="29"/>
      <c r="AGE41" s="28"/>
      <c r="AGF41" s="29"/>
      <c r="AGG41" s="29"/>
      <c r="AGH41" s="28"/>
      <c r="AGI41" s="29"/>
      <c r="AGJ41" s="30"/>
      <c r="AGK41" s="28"/>
      <c r="AGL41" s="29"/>
      <c r="AGM41" s="29"/>
      <c r="AGN41" s="29"/>
      <c r="AGO41" s="28"/>
      <c r="AGP41" s="29"/>
      <c r="AGQ41" s="29"/>
      <c r="AGR41" s="28"/>
      <c r="AGS41" s="29"/>
      <c r="AGT41" s="30"/>
      <c r="AGU41" s="28"/>
      <c r="AGV41" s="29"/>
      <c r="AGW41" s="29"/>
      <c r="AGX41" s="29"/>
      <c r="AGY41" s="28"/>
      <c r="AGZ41" s="29"/>
      <c r="AHA41" s="29"/>
      <c r="AHB41" s="28"/>
      <c r="AHC41" s="29"/>
      <c r="AHD41" s="30"/>
      <c r="AHE41" s="28"/>
      <c r="AHF41" s="29"/>
      <c r="AHG41" s="29"/>
      <c r="AHH41" s="29"/>
      <c r="AHI41" s="28"/>
      <c r="AHJ41" s="29"/>
      <c r="AHK41" s="29"/>
      <c r="AHL41" s="28"/>
      <c r="AHM41" s="29"/>
      <c r="AHN41" s="30"/>
      <c r="AHO41" s="28"/>
      <c r="AHP41" s="29"/>
      <c r="AHQ41" s="29"/>
      <c r="AHR41" s="29"/>
      <c r="AHS41" s="28"/>
      <c r="AHT41" s="29"/>
      <c r="AHU41" s="29"/>
      <c r="AHV41" s="28"/>
      <c r="AHW41" s="29"/>
      <c r="AHX41" s="30"/>
      <c r="AHY41" s="28"/>
      <c r="AHZ41" s="29"/>
      <c r="AIA41" s="29"/>
      <c r="AIB41" s="29"/>
      <c r="AIC41" s="28"/>
      <c r="AID41" s="29"/>
      <c r="AIE41" s="29"/>
      <c r="AIF41" s="28"/>
      <c r="AIG41" s="29"/>
      <c r="AIH41" s="30"/>
      <c r="AII41" s="28"/>
      <c r="AIJ41" s="29"/>
      <c r="AIK41" s="29"/>
      <c r="AIL41" s="29"/>
      <c r="AIM41" s="28"/>
      <c r="AIN41" s="29"/>
      <c r="AIO41" s="29"/>
      <c r="AIP41" s="28"/>
      <c r="AIQ41" s="29"/>
      <c r="AIR41" s="30"/>
      <c r="AIS41" s="28"/>
      <c r="AIT41" s="29"/>
      <c r="AIU41" s="29"/>
      <c r="AIV41" s="29"/>
      <c r="AIW41" s="28"/>
      <c r="AIX41" s="29"/>
      <c r="AIY41" s="29"/>
      <c r="AIZ41" s="28"/>
      <c r="AJA41" s="29"/>
      <c r="AJB41" s="30"/>
      <c r="AJC41" s="28"/>
      <c r="AJD41" s="29"/>
      <c r="AJE41" s="29"/>
      <c r="AJF41" s="29"/>
      <c r="AJG41" s="28"/>
      <c r="AJH41" s="29"/>
      <c r="AJI41" s="29"/>
      <c r="AJJ41" s="28"/>
      <c r="AJK41" s="29"/>
      <c r="AJL41" s="30"/>
      <c r="AJM41" s="28"/>
      <c r="AJN41" s="29"/>
      <c r="AJO41" s="29"/>
      <c r="AJP41" s="29"/>
      <c r="AJQ41" s="28"/>
      <c r="AJR41" s="29"/>
      <c r="AJS41" s="29"/>
      <c r="AJT41" s="28"/>
      <c r="AJU41" s="29"/>
      <c r="AJV41" s="30"/>
      <c r="AJW41" s="28"/>
      <c r="AJX41" s="29"/>
      <c r="AJY41" s="29"/>
      <c r="AJZ41" s="29"/>
      <c r="AKA41" s="28"/>
      <c r="AKB41" s="29"/>
      <c r="AKC41" s="29"/>
      <c r="AKD41" s="28"/>
      <c r="AKE41" s="29"/>
      <c r="AKF41" s="30"/>
      <c r="AKG41" s="28"/>
      <c r="AKH41" s="29"/>
      <c r="AKI41" s="29"/>
      <c r="AKJ41" s="29"/>
      <c r="AKK41" s="28"/>
      <c r="AKL41" s="29"/>
      <c r="AKM41" s="29"/>
      <c r="AKN41" s="28"/>
      <c r="AKO41" s="29"/>
      <c r="AKP41" s="30"/>
      <c r="AKQ41" s="28"/>
      <c r="AKR41" s="29"/>
      <c r="AKS41" s="29"/>
      <c r="AKT41" s="29"/>
      <c r="AKU41" s="28"/>
      <c r="AKV41" s="29"/>
      <c r="AKW41" s="29"/>
      <c r="AKX41" s="28"/>
      <c r="AKY41" s="29"/>
      <c r="AKZ41" s="30"/>
      <c r="ALA41" s="28"/>
      <c r="ALB41" s="29"/>
      <c r="ALC41" s="29"/>
      <c r="ALD41" s="29"/>
      <c r="ALE41" s="28"/>
      <c r="ALF41" s="29"/>
      <c r="ALG41" s="29"/>
      <c r="ALH41" s="29"/>
      <c r="ALI41" s="29"/>
      <c r="ALJ41" s="29"/>
      <c r="ALK41" s="28"/>
      <c r="ALL41" s="29"/>
      <c r="ALM41" s="29"/>
      <c r="ALN41" s="28"/>
      <c r="ALO41" s="29"/>
      <c r="ALP41" s="30"/>
      <c r="ALQ41" s="28"/>
      <c r="ALR41" s="29"/>
      <c r="ALS41" s="29"/>
      <c r="ALT41" s="29"/>
      <c r="ALU41" s="28"/>
      <c r="ALV41" s="29"/>
      <c r="ALW41" s="29"/>
      <c r="ALX41" s="28"/>
      <c r="ALY41" s="29"/>
      <c r="ALZ41" s="30"/>
      <c r="AMA41" s="28"/>
      <c r="AMB41" s="29"/>
      <c r="AMC41" s="29"/>
      <c r="AMD41" s="29"/>
      <c r="AME41" s="28"/>
      <c r="AMF41" s="29"/>
      <c r="AMG41" s="29"/>
      <c r="AMH41" s="29"/>
      <c r="AMI41" s="29"/>
      <c r="AMJ41" s="29"/>
      <c r="AMK41" s="28"/>
      <c r="AML41" s="29"/>
      <c r="AMM41" s="29"/>
      <c r="AMN41" s="28"/>
      <c r="AMO41" s="29"/>
      <c r="AMP41" s="30"/>
      <c r="AMQ41" s="28"/>
      <c r="AMR41" s="29"/>
      <c r="AMS41" s="29"/>
      <c r="AMT41" s="29"/>
      <c r="AMU41" s="28"/>
      <c r="AMV41" s="29"/>
      <c r="AMW41" s="29"/>
      <c r="AMX41" s="28"/>
      <c r="AMY41" s="29"/>
      <c r="AMZ41" s="30"/>
      <c r="ANA41" s="28"/>
      <c r="ANB41" s="29"/>
      <c r="ANC41" s="29"/>
      <c r="AND41" s="29"/>
      <c r="ANE41" s="28"/>
      <c r="ANF41" s="29"/>
      <c r="ANG41" s="29"/>
      <c r="ANH41" s="29"/>
      <c r="ANI41" s="29"/>
      <c r="ANJ41" s="29"/>
      <c r="ANK41" s="28"/>
      <c r="ANL41" s="29"/>
      <c r="ANM41" s="29"/>
      <c r="ANN41" s="28"/>
      <c r="ANO41" s="29"/>
      <c r="ANP41" s="30"/>
      <c r="ANQ41" s="28"/>
      <c r="ANR41" s="29"/>
      <c r="ANS41" s="29"/>
      <c r="ANT41" s="29"/>
      <c r="ANU41" s="28"/>
      <c r="ANV41" s="29"/>
      <c r="ANW41" s="29"/>
      <c r="ANX41" s="28"/>
      <c r="ANY41" s="29"/>
      <c r="ANZ41" s="30"/>
      <c r="AOA41" s="28"/>
      <c r="AOB41" s="29"/>
      <c r="AOC41" s="29"/>
      <c r="AOD41" s="29"/>
      <c r="AOE41" s="28"/>
      <c r="AOF41" s="29"/>
      <c r="AOG41" s="29"/>
      <c r="AOH41" s="29"/>
      <c r="AOI41" s="29"/>
      <c r="AOJ41" s="29"/>
      <c r="AOK41" s="28"/>
      <c r="AOL41" s="29"/>
      <c r="AOM41" s="29"/>
      <c r="AON41" s="28"/>
      <c r="AOO41" s="29"/>
      <c r="AOP41" s="30"/>
      <c r="AOQ41" s="28"/>
      <c r="AOR41" s="29"/>
      <c r="AOS41" s="29"/>
      <c r="AOT41" s="29"/>
      <c r="AOU41" s="28"/>
      <c r="AOV41" s="29"/>
      <c r="AOW41" s="29"/>
      <c r="AOX41" s="28"/>
      <c r="AOY41" s="29"/>
      <c r="AOZ41" s="30"/>
      <c r="APA41" s="28"/>
      <c r="APB41" s="29"/>
      <c r="APC41" s="29"/>
      <c r="APD41" s="29"/>
      <c r="APE41" s="28"/>
      <c r="APF41" s="29"/>
      <c r="APG41" s="29"/>
      <c r="APH41" s="29"/>
      <c r="API41" s="29"/>
      <c r="APJ41" s="29"/>
      <c r="APK41" s="28"/>
      <c r="APL41" s="29"/>
      <c r="APM41" s="29"/>
      <c r="APN41" s="28"/>
      <c r="APO41" s="29"/>
      <c r="APP41" s="30"/>
      <c r="APQ41" s="28"/>
      <c r="APR41" s="29"/>
      <c r="APS41" s="29"/>
      <c r="APT41" s="29"/>
      <c r="APU41" s="28"/>
      <c r="APV41" s="29"/>
      <c r="APW41" s="29"/>
      <c r="APX41" s="28"/>
      <c r="APY41" s="29"/>
      <c r="APZ41" s="30"/>
      <c r="AQA41" s="28"/>
      <c r="AQB41" s="29"/>
      <c r="AQC41" s="29"/>
      <c r="AQD41" s="29"/>
      <c r="AQE41" s="28"/>
      <c r="AQF41" s="29"/>
      <c r="AQG41" s="29"/>
      <c r="AQH41" s="29"/>
      <c r="AQI41" s="29"/>
      <c r="AQJ41" s="29"/>
      <c r="AQK41" s="28"/>
      <c r="AQL41" s="29"/>
      <c r="AQM41" s="29"/>
      <c r="AQN41" s="28"/>
      <c r="AQO41" s="29"/>
      <c r="AQP41" s="30"/>
      <c r="AQQ41" s="28"/>
      <c r="AQR41" s="29"/>
      <c r="AQS41" s="29"/>
      <c r="AQT41" s="29"/>
      <c r="AQU41" s="28"/>
      <c r="AQV41" s="29"/>
      <c r="AQW41" s="29"/>
      <c r="AQX41" s="28"/>
      <c r="AQY41" s="29"/>
      <c r="AQZ41" s="30"/>
      <c r="ARA41" s="28"/>
      <c r="ARB41" s="29"/>
      <c r="ARC41" s="29"/>
      <c r="ARD41" s="29"/>
      <c r="ARE41" s="28"/>
      <c r="ARF41" s="29"/>
      <c r="ARG41" s="29"/>
      <c r="ARH41" s="29"/>
      <c r="ARI41" s="29"/>
      <c r="ARJ41" s="29"/>
      <c r="ARK41" s="28"/>
      <c r="ARL41" s="29"/>
      <c r="ARM41" s="29"/>
      <c r="ARN41" s="28"/>
      <c r="ARO41" s="29"/>
      <c r="ARP41" s="30"/>
      <c r="ARQ41" s="28"/>
      <c r="ARR41" s="29"/>
      <c r="ARS41" s="29"/>
      <c r="ART41" s="29"/>
      <c r="ARU41" s="28"/>
      <c r="ARV41" s="29"/>
      <c r="ARW41" s="29"/>
      <c r="ARX41" s="28"/>
      <c r="ARY41" s="29"/>
      <c r="ARZ41" s="30"/>
      <c r="ASA41" s="28"/>
      <c r="ASB41" s="29"/>
      <c r="ASC41" s="29"/>
      <c r="ASD41" s="29"/>
      <c r="ASE41" s="28"/>
      <c r="ASF41" s="29"/>
      <c r="ASG41" s="29"/>
      <c r="ASH41" s="29"/>
      <c r="ASI41" s="29"/>
      <c r="ASJ41" s="29"/>
      <c r="ASK41" s="28"/>
      <c r="ASL41" s="29"/>
      <c r="ASM41" s="29"/>
      <c r="ASN41" s="28"/>
      <c r="ASO41" s="29"/>
      <c r="ASP41" s="30"/>
      <c r="ASQ41" s="28"/>
      <c r="ASR41" s="29"/>
      <c r="ASS41" s="29"/>
      <c r="AST41" s="29"/>
      <c r="ASU41" s="28"/>
      <c r="ASV41" s="29"/>
      <c r="ASW41" s="29"/>
      <c r="ASX41" s="28"/>
      <c r="ASY41" s="29"/>
      <c r="ASZ41" s="30"/>
      <c r="ATA41" s="28"/>
      <c r="ATB41" s="29"/>
      <c r="ATC41" s="29"/>
      <c r="ATD41" s="29"/>
      <c r="ATE41" s="28"/>
      <c r="ATF41" s="29"/>
      <c r="ATG41" s="29"/>
      <c r="ATH41" s="29"/>
      <c r="ATI41" s="29"/>
      <c r="ATJ41" s="29"/>
      <c r="ATK41" s="28"/>
      <c r="ATL41" s="29"/>
      <c r="ATM41" s="29"/>
      <c r="ATN41" s="28"/>
      <c r="ATO41" s="29"/>
      <c r="ATP41" s="30"/>
      <c r="ATQ41" s="28"/>
      <c r="ATR41" s="29"/>
      <c r="ATS41" s="29"/>
      <c r="ATT41" s="29"/>
      <c r="ATU41" s="28"/>
      <c r="ATV41" s="29"/>
      <c r="ATW41" s="29"/>
      <c r="ATX41" s="28"/>
      <c r="ATY41" s="29"/>
      <c r="ATZ41" s="30"/>
      <c r="AUA41" s="28"/>
      <c r="AUB41" s="29"/>
      <c r="AUC41" s="29"/>
      <c r="AUD41" s="29"/>
      <c r="AUE41" s="28"/>
      <c r="AUF41" s="29"/>
      <c r="AUG41" s="29"/>
      <c r="AUH41" s="29"/>
      <c r="AUI41" s="29"/>
      <c r="AUJ41" s="29"/>
      <c r="AUK41" s="28"/>
      <c r="AUL41" s="29"/>
      <c r="AUM41" s="29"/>
      <c r="AUN41" s="28"/>
      <c r="AUO41" s="29"/>
      <c r="AUP41" s="30"/>
      <c r="AUQ41" s="28"/>
      <c r="AUR41" s="29"/>
      <c r="AUS41" s="29"/>
      <c r="AUT41" s="29"/>
      <c r="AUU41" s="28"/>
      <c r="AUV41" s="29"/>
      <c r="AUW41" s="29"/>
      <c r="AUX41" s="28"/>
      <c r="AUY41" s="29"/>
      <c r="AUZ41" s="30"/>
      <c r="AVA41" s="28"/>
      <c r="AVB41" s="29"/>
      <c r="AVC41" s="29"/>
      <c r="AVD41" s="29"/>
      <c r="AVE41" s="28"/>
      <c r="AVF41" s="29"/>
      <c r="AVG41" s="29"/>
      <c r="AVH41" s="29"/>
      <c r="AVI41" s="29"/>
      <c r="AVJ41" s="29"/>
      <c r="AVK41" s="28"/>
      <c r="AVL41" s="29"/>
      <c r="AVM41" s="29"/>
      <c r="AVN41" s="28"/>
      <c r="AVO41" s="29"/>
      <c r="AVP41" s="30"/>
      <c r="AVQ41" s="28"/>
      <c r="AVR41" s="29"/>
      <c r="AVS41" s="29"/>
      <c r="AVT41" s="29"/>
      <c r="AVU41" s="28"/>
      <c r="AVV41" s="29"/>
      <c r="AVW41" s="29"/>
      <c r="AVX41" s="28"/>
      <c r="AVY41" s="29"/>
      <c r="AVZ41" s="30"/>
      <c r="AWA41" s="28"/>
      <c r="AWB41" s="29"/>
      <c r="AWC41" s="29"/>
      <c r="AWD41" s="29"/>
      <c r="AWE41" s="28"/>
      <c r="AWF41" s="29"/>
      <c r="AWG41" s="29"/>
      <c r="AWH41" s="29"/>
      <c r="AWI41" s="29"/>
      <c r="AWJ41" s="29"/>
      <c r="AWK41" s="28"/>
      <c r="AWL41" s="29"/>
      <c r="AWM41" s="29"/>
      <c r="AWN41" s="28"/>
      <c r="AWO41" s="29"/>
      <c r="AWP41" s="30"/>
      <c r="AWQ41" s="28"/>
      <c r="AWR41" s="29"/>
      <c r="AWS41" s="29"/>
      <c r="AWT41" s="29"/>
      <c r="AWU41" s="28"/>
      <c r="AWV41" s="29"/>
      <c r="AWW41" s="29"/>
      <c r="AWX41" s="28"/>
      <c r="AWY41" s="29"/>
      <c r="AWZ41" s="30"/>
      <c r="AXA41" s="28"/>
      <c r="AXB41" s="29"/>
      <c r="AXC41" s="29"/>
      <c r="AXD41" s="29"/>
      <c r="AXE41" s="28"/>
      <c r="AXF41" s="29"/>
      <c r="AXG41" s="29"/>
      <c r="AXH41" s="29"/>
      <c r="AXI41" s="29"/>
      <c r="AXJ41" s="29"/>
      <c r="AXK41" s="28"/>
      <c r="AXL41" s="29"/>
      <c r="AXM41" s="29"/>
      <c r="AXN41" s="28"/>
      <c r="AXO41" s="29"/>
      <c r="AXP41" s="30"/>
      <c r="AXQ41" s="28"/>
      <c r="AXR41" s="29"/>
      <c r="AXS41" s="29"/>
      <c r="AXT41" s="29"/>
      <c r="AXU41" s="28"/>
      <c r="AXV41" s="29"/>
      <c r="AXW41" s="29"/>
      <c r="AXX41" s="28"/>
      <c r="AXY41" s="29"/>
      <c r="AXZ41" s="30"/>
      <c r="AYA41" s="28"/>
      <c r="AYB41" s="29"/>
      <c r="AYC41" s="29"/>
      <c r="AYD41" s="29"/>
      <c r="AYE41" s="28"/>
      <c r="AYF41" s="29"/>
      <c r="AYG41" s="29"/>
      <c r="AYH41" s="29"/>
      <c r="AYI41" s="29"/>
      <c r="AYJ41" s="29"/>
      <c r="AYK41" s="28"/>
      <c r="AYL41" s="29"/>
      <c r="AYM41" s="29"/>
      <c r="AYN41" s="28"/>
      <c r="AYO41" s="29"/>
      <c r="AYP41" s="30"/>
      <c r="AYQ41" s="28"/>
      <c r="AYR41" s="29"/>
      <c r="AYS41" s="29"/>
      <c r="AYT41" s="29"/>
      <c r="AYU41" s="28"/>
      <c r="AYV41" s="29"/>
      <c r="AYW41" s="29"/>
      <c r="AYX41" s="28"/>
      <c r="AYY41" s="29"/>
      <c r="AYZ41" s="30"/>
      <c r="AZA41" s="28"/>
      <c r="AZB41" s="29"/>
      <c r="AZC41" s="29"/>
      <c r="AZD41" s="29"/>
      <c r="AZE41" s="28"/>
      <c r="AZF41" s="29"/>
      <c r="AZG41" s="29"/>
      <c r="AZH41" s="29"/>
      <c r="AZI41" s="29"/>
      <c r="AZJ41" s="29"/>
      <c r="AZK41" s="28"/>
      <c r="AZL41" s="29"/>
      <c r="AZM41" s="29"/>
      <c r="AZN41" s="28"/>
      <c r="AZO41" s="29"/>
      <c r="AZP41" s="30"/>
      <c r="AZQ41" s="28"/>
      <c r="AZR41" s="29"/>
      <c r="AZS41" s="29"/>
      <c r="AZT41" s="29"/>
      <c r="AZU41" s="28"/>
      <c r="AZV41" s="29"/>
      <c r="AZW41" s="29"/>
      <c r="AZX41" s="28"/>
      <c r="AZY41" s="29"/>
      <c r="AZZ41" s="30"/>
      <c r="BAA41" s="28"/>
      <c r="BAB41" s="29"/>
      <c r="BAC41" s="29"/>
      <c r="BAD41" s="29"/>
      <c r="BAE41" s="28"/>
      <c r="BAF41" s="29"/>
      <c r="BAG41" s="29"/>
      <c r="BAH41" s="29"/>
      <c r="BAI41" s="29"/>
      <c r="BAJ41" s="29"/>
      <c r="BAK41" s="28"/>
      <c r="BAL41" s="29"/>
      <c r="BAM41" s="29"/>
      <c r="BAN41" s="28"/>
      <c r="BAO41" s="29"/>
      <c r="BAP41" s="30"/>
      <c r="BAQ41" s="28"/>
      <c r="BAR41" s="29"/>
      <c r="BAS41" s="29"/>
      <c r="BAT41" s="29"/>
      <c r="BAU41" s="28"/>
      <c r="BAV41" s="29"/>
      <c r="BAW41" s="29"/>
      <c r="BAX41" s="28"/>
      <c r="BAY41" s="29"/>
      <c r="BAZ41" s="30"/>
      <c r="BBA41" s="28"/>
      <c r="BBB41" s="29"/>
      <c r="BBC41" s="29"/>
      <c r="BBD41" s="29"/>
      <c r="BBE41" s="28"/>
      <c r="BBF41" s="29"/>
      <c r="BBG41" s="29"/>
      <c r="BBH41" s="29"/>
      <c r="BBI41" s="29"/>
      <c r="BBJ41" s="29"/>
      <c r="BBK41" s="28"/>
      <c r="BBL41" s="29"/>
      <c r="BBM41" s="29"/>
      <c r="BBN41" s="28"/>
      <c r="BBO41" s="29"/>
      <c r="BBP41" s="30"/>
      <c r="BBQ41" s="28"/>
      <c r="BBR41" s="29"/>
      <c r="BBS41" s="29"/>
      <c r="BBT41" s="29"/>
      <c r="BBU41" s="28"/>
      <c r="BBV41" s="29"/>
      <c r="BBW41" s="29"/>
      <c r="BBX41" s="28"/>
      <c r="BBY41" s="29"/>
      <c r="BBZ41" s="30"/>
      <c r="BCA41" s="28"/>
      <c r="BCB41" s="29"/>
      <c r="BCC41" s="29"/>
      <c r="BCD41" s="29"/>
      <c r="BCE41" s="28"/>
      <c r="BCF41" s="29"/>
      <c r="BCG41" s="29"/>
      <c r="BCH41" s="29"/>
      <c r="BCI41" s="29"/>
      <c r="BCJ41" s="29"/>
      <c r="BCK41" s="28"/>
      <c r="BCL41" s="29"/>
      <c r="BCM41" s="29"/>
      <c r="BCN41" s="28"/>
      <c r="BCO41" s="29"/>
      <c r="BCP41" s="30"/>
      <c r="BCQ41" s="28"/>
      <c r="BCR41" s="29"/>
      <c r="BCS41" s="29"/>
      <c r="BCT41" s="29"/>
      <c r="BCU41" s="28"/>
      <c r="BCV41" s="29"/>
      <c r="BCW41" s="29"/>
      <c r="BCX41" s="28"/>
      <c r="BCY41" s="29"/>
      <c r="BCZ41" s="30"/>
      <c r="BDA41" s="28"/>
      <c r="BDB41" s="29"/>
      <c r="BDC41" s="29"/>
      <c r="BDD41" s="29"/>
      <c r="BDE41" s="28"/>
      <c r="BDF41" s="29"/>
      <c r="BDG41" s="29"/>
      <c r="BDH41" s="29"/>
      <c r="BDI41" s="29"/>
      <c r="BDJ41" s="29"/>
      <c r="BDK41" s="28"/>
      <c r="BDL41" s="29"/>
      <c r="BDM41" s="29"/>
      <c r="BDN41" s="28"/>
      <c r="BDO41" s="29"/>
      <c r="BDP41" s="30"/>
      <c r="BDQ41" s="28"/>
      <c r="BDR41" s="29"/>
      <c r="BDS41" s="29"/>
      <c r="BDT41" s="29"/>
      <c r="BDU41" s="28"/>
      <c r="BDV41" s="29"/>
      <c r="BDW41" s="29"/>
      <c r="BDX41" s="28"/>
      <c r="BDY41" s="29"/>
      <c r="BDZ41" s="30"/>
      <c r="BEA41" s="28"/>
      <c r="BEB41" s="29"/>
      <c r="BEC41" s="29"/>
      <c r="BED41" s="29"/>
      <c r="BEE41" s="28"/>
      <c r="BEF41" s="29"/>
      <c r="BEG41" s="29"/>
      <c r="BEH41" s="29"/>
      <c r="BEI41" s="29"/>
      <c r="BEJ41" s="29"/>
      <c r="BEK41" s="28"/>
      <c r="BEL41" s="29"/>
      <c r="BEM41" s="29"/>
      <c r="BEN41" s="28"/>
      <c r="BEO41" s="29"/>
      <c r="BEP41" s="30"/>
      <c r="BEQ41" s="28"/>
      <c r="BER41" s="29"/>
      <c r="BES41" s="29"/>
      <c r="BET41" s="29"/>
      <c r="BEU41" s="28"/>
      <c r="BEV41" s="29"/>
      <c r="BEW41" s="29"/>
      <c r="BEX41" s="28"/>
      <c r="BEY41" s="29"/>
      <c r="BEZ41" s="30"/>
      <c r="BFA41" s="28"/>
      <c r="BFB41" s="29"/>
      <c r="BFC41" s="29"/>
      <c r="BFD41" s="29"/>
      <c r="BFE41" s="28"/>
      <c r="BFF41" s="29"/>
      <c r="BFG41" s="29"/>
      <c r="BFH41" s="29"/>
      <c r="BFI41" s="29"/>
      <c r="BFJ41" s="29"/>
      <c r="BFK41" s="28"/>
      <c r="BFL41" s="29"/>
      <c r="BFM41" s="29"/>
      <c r="BFN41" s="28"/>
      <c r="BFO41" s="29"/>
      <c r="BFP41" s="30"/>
      <c r="BFQ41" s="28"/>
      <c r="BFR41" s="29"/>
      <c r="BFS41" s="29"/>
      <c r="BFT41" s="29"/>
      <c r="BFU41" s="28"/>
      <c r="BFV41" s="29"/>
      <c r="BFW41" s="29"/>
      <c r="BFX41" s="28"/>
      <c r="BFY41" s="29"/>
      <c r="BFZ41" s="30"/>
      <c r="BGA41" s="28"/>
      <c r="BGB41" s="29"/>
      <c r="BGC41" s="29"/>
      <c r="BGD41" s="29"/>
      <c r="BGE41" s="28"/>
      <c r="BGF41" s="29"/>
      <c r="BGG41" s="29"/>
      <c r="BGH41" s="29"/>
      <c r="BGI41" s="29"/>
      <c r="BGJ41" s="29"/>
      <c r="BGK41" s="28"/>
      <c r="BGL41" s="29"/>
      <c r="BGM41" s="29"/>
      <c r="BGN41" s="28"/>
      <c r="BGO41" s="29"/>
      <c r="BGP41" s="30"/>
      <c r="BGQ41" s="28"/>
      <c r="BGR41" s="29"/>
      <c r="BGS41" s="29"/>
      <c r="BGT41" s="29"/>
      <c r="BGU41" s="28"/>
      <c r="BGV41" s="29"/>
      <c r="BGW41" s="29"/>
      <c r="BGX41" s="28"/>
      <c r="BGY41" s="29"/>
      <c r="BGZ41" s="30"/>
      <c r="BHA41" s="28"/>
      <c r="BHB41" s="29"/>
      <c r="BHC41" s="29"/>
      <c r="BHD41" s="29"/>
      <c r="BHE41" s="28"/>
      <c r="BHF41" s="29"/>
      <c r="BHG41" s="29"/>
      <c r="BHH41" s="29"/>
      <c r="BHI41" s="29"/>
      <c r="BHJ41" s="29"/>
      <c r="BHK41" s="28"/>
      <c r="BHL41" s="29"/>
      <c r="BHM41" s="29"/>
      <c r="BHN41" s="28"/>
      <c r="BHO41" s="29"/>
      <c r="BHP41" s="30"/>
      <c r="BHQ41" s="28"/>
      <c r="BHR41" s="29"/>
      <c r="BHS41" s="29"/>
      <c r="BHT41" s="29"/>
      <c r="BHU41" s="28"/>
      <c r="BHV41" s="29"/>
      <c r="BHW41" s="29"/>
      <c r="BHX41" s="28"/>
      <c r="BHY41" s="29"/>
      <c r="BHZ41" s="30"/>
      <c r="BIA41" s="28"/>
      <c r="BIB41" s="29"/>
      <c r="BIC41" s="29"/>
      <c r="BID41" s="29"/>
      <c r="BIE41" s="28"/>
      <c r="BIF41" s="29"/>
      <c r="BIG41" s="29"/>
      <c r="BIH41" s="29"/>
      <c r="BII41" s="29"/>
      <c r="BIJ41" s="29"/>
      <c r="BIK41" s="28"/>
      <c r="BIL41" s="29"/>
      <c r="BIM41" s="29"/>
      <c r="BIN41" s="28"/>
      <c r="BIO41" s="29"/>
      <c r="BIP41" s="30"/>
      <c r="BIQ41" s="28"/>
      <c r="BIR41" s="29"/>
      <c r="BIS41" s="29"/>
      <c r="BIT41" s="29"/>
      <c r="BIU41" s="28"/>
      <c r="BIV41" s="29"/>
      <c r="BIW41" s="29"/>
      <c r="BIX41" s="28"/>
      <c r="BIY41" s="29"/>
      <c r="BIZ41" s="30"/>
      <c r="BJA41" s="28"/>
      <c r="BJB41" s="29"/>
      <c r="BJC41" s="29"/>
      <c r="BJD41" s="29"/>
      <c r="BJE41" s="28"/>
      <c r="BJF41" s="29"/>
      <c r="BJG41" s="29"/>
      <c r="BJH41" s="29"/>
      <c r="BJI41" s="29"/>
      <c r="BJJ41" s="29"/>
      <c r="BJK41" s="28"/>
      <c r="BJL41" s="29"/>
      <c r="BJM41" s="29"/>
      <c r="BJN41" s="28"/>
      <c r="BJO41" s="29"/>
      <c r="BJP41" s="30"/>
      <c r="BJQ41" s="28"/>
      <c r="BJR41" s="29"/>
      <c r="BJS41" s="29"/>
      <c r="BJT41" s="29"/>
      <c r="BJU41" s="28"/>
      <c r="BJV41" s="29"/>
      <c r="BJW41" s="29"/>
      <c r="BJX41" s="28"/>
      <c r="BJY41" s="29"/>
      <c r="BJZ41" s="30"/>
      <c r="BKA41" s="28"/>
      <c r="BKB41" s="29"/>
      <c r="BKC41" s="29"/>
      <c r="BKD41" s="29"/>
      <c r="BKE41" s="28"/>
      <c r="BKF41" s="29"/>
      <c r="BKG41" s="29"/>
      <c r="BKH41" s="29"/>
      <c r="BKI41" s="29"/>
      <c r="BKJ41" s="29"/>
      <c r="BKK41" s="28"/>
      <c r="BKL41" s="29"/>
      <c r="BKM41" s="29"/>
      <c r="BKN41" s="28"/>
      <c r="BKO41" s="29"/>
      <c r="BKP41" s="30"/>
      <c r="BKQ41" s="28"/>
      <c r="BKR41" s="29"/>
      <c r="BKS41" s="29"/>
      <c r="BKT41" s="29"/>
      <c r="BKU41" s="28"/>
      <c r="BKV41" s="29"/>
      <c r="BKW41" s="29"/>
      <c r="BKX41" s="28"/>
      <c r="BKY41" s="29"/>
      <c r="BKZ41" s="30"/>
      <c r="BLA41" s="28"/>
      <c r="BLB41" s="29"/>
      <c r="BLC41" s="29"/>
      <c r="BLD41" s="29"/>
      <c r="BLE41" s="28"/>
      <c r="BLF41" s="29"/>
      <c r="BLG41" s="29"/>
      <c r="BLH41" s="29"/>
      <c r="BLI41" s="29"/>
      <c r="BLJ41" s="29"/>
      <c r="BLK41" s="28"/>
      <c r="BLL41" s="29"/>
      <c r="BLM41" s="29"/>
      <c r="BLN41" s="28"/>
      <c r="BLO41" s="29"/>
      <c r="BLP41" s="30"/>
      <c r="BLQ41" s="28"/>
      <c r="BLR41" s="29"/>
      <c r="BLS41" s="29"/>
      <c r="BLT41" s="29"/>
      <c r="BLU41" s="28"/>
      <c r="BLV41" s="29"/>
      <c r="BLW41" s="29"/>
      <c r="BLX41" s="28"/>
      <c r="BLY41" s="29"/>
      <c r="BLZ41" s="30"/>
      <c r="BMA41" s="28"/>
      <c r="BMB41" s="29"/>
      <c r="BMC41" s="29"/>
      <c r="BMD41" s="29"/>
      <c r="BME41" s="28"/>
      <c r="BMF41" s="29"/>
      <c r="BMG41" s="29"/>
      <c r="BMH41" s="29"/>
      <c r="BMI41" s="29"/>
      <c r="BMJ41" s="29"/>
      <c r="BMK41" s="28"/>
      <c r="BML41" s="29"/>
      <c r="BMM41" s="29"/>
      <c r="BMN41" s="28"/>
      <c r="BMO41" s="29"/>
      <c r="BMP41" s="30"/>
      <c r="BMQ41" s="28"/>
      <c r="BMR41" s="29"/>
      <c r="BMS41" s="29"/>
      <c r="BMT41" s="29"/>
      <c r="BMU41" s="28"/>
      <c r="BMV41" s="29"/>
      <c r="BMW41" s="29"/>
      <c r="BMX41" s="28"/>
      <c r="BMY41" s="29"/>
      <c r="BMZ41" s="30"/>
      <c r="BNA41" s="28"/>
      <c r="BNB41" s="29"/>
      <c r="BNC41" s="29"/>
      <c r="BND41" s="29"/>
      <c r="BNE41" s="28"/>
      <c r="BNF41" s="29"/>
      <c r="BNG41" s="29"/>
      <c r="BNH41" s="29"/>
      <c r="BNI41" s="29"/>
      <c r="BNJ41" s="29"/>
      <c r="BNK41" s="28"/>
      <c r="BNL41" s="29"/>
      <c r="BNM41" s="29"/>
      <c r="BNN41" s="28"/>
      <c r="BNO41" s="29"/>
      <c r="BNP41" s="30"/>
      <c r="BNQ41" s="28"/>
      <c r="BNR41" s="29"/>
      <c r="BNS41" s="29"/>
      <c r="BNT41" s="29"/>
      <c r="BNU41" s="28"/>
      <c r="BNV41" s="29"/>
      <c r="BNW41" s="29"/>
      <c r="BNX41" s="28"/>
      <c r="BNY41" s="29"/>
      <c r="BNZ41" s="30"/>
      <c r="BOA41" s="28"/>
      <c r="BOB41" s="29"/>
      <c r="BOC41" s="29"/>
      <c r="BOD41" s="29"/>
      <c r="BOE41" s="28"/>
      <c r="BOF41" s="29"/>
      <c r="BOG41" s="29"/>
      <c r="BOH41" s="29"/>
      <c r="BOI41" s="29"/>
      <c r="BOJ41" s="29"/>
      <c r="BOK41" s="28"/>
      <c r="BOL41" s="29"/>
      <c r="BOM41" s="29"/>
      <c r="BON41" s="28"/>
      <c r="BOO41" s="29"/>
      <c r="BOP41" s="30"/>
      <c r="BOQ41" s="28"/>
      <c r="BOR41" s="29"/>
      <c r="BOS41" s="29"/>
      <c r="BOT41" s="29"/>
      <c r="BOU41" s="28"/>
      <c r="BOV41" s="29"/>
      <c r="BOW41" s="29"/>
      <c r="BOX41" s="28"/>
      <c r="BOY41" s="29"/>
      <c r="BOZ41" s="30"/>
      <c r="BPA41" s="28"/>
      <c r="BPB41" s="29"/>
      <c r="BPC41" s="29"/>
      <c r="BPD41" s="29"/>
      <c r="BPE41" s="28"/>
      <c r="BPF41" s="29"/>
      <c r="BPG41" s="29"/>
      <c r="BPH41" s="29"/>
      <c r="BPI41" s="29"/>
      <c r="BPJ41" s="29"/>
      <c r="BPK41" s="28"/>
      <c r="BPL41" s="29"/>
      <c r="BPM41" s="29"/>
      <c r="BPN41" s="28"/>
      <c r="BPO41" s="29"/>
      <c r="BPP41" s="30"/>
      <c r="BPQ41" s="28"/>
      <c r="BPR41" s="29"/>
      <c r="BPS41" s="29"/>
      <c r="BPT41" s="29"/>
      <c r="BPU41" s="28"/>
      <c r="BPV41" s="29"/>
      <c r="BPW41" s="29"/>
      <c r="BPX41" s="28"/>
      <c r="BPY41" s="29"/>
      <c r="BPZ41" s="30"/>
      <c r="BQA41" s="28"/>
      <c r="BQB41" s="29"/>
      <c r="BQC41" s="29"/>
      <c r="BQD41" s="29"/>
      <c r="BQE41" s="28"/>
      <c r="BQF41" s="29"/>
      <c r="BQG41" s="29"/>
      <c r="BQH41" s="29"/>
      <c r="BQI41" s="29"/>
      <c r="BQJ41" s="29"/>
      <c r="BQK41" s="28"/>
      <c r="BQL41" s="29"/>
      <c r="BQM41" s="29"/>
      <c r="BQN41" s="28"/>
      <c r="BQO41" s="29"/>
      <c r="BQP41" s="30"/>
      <c r="BQQ41" s="28"/>
      <c r="BQR41" s="29"/>
      <c r="BQS41" s="29"/>
      <c r="BQT41" s="29"/>
      <c r="BQU41" s="28"/>
      <c r="BQV41" s="29"/>
      <c r="BQW41" s="29"/>
      <c r="BQX41" s="28"/>
      <c r="BQY41" s="29"/>
      <c r="BQZ41" s="30"/>
      <c r="BRA41" s="28"/>
      <c r="BRB41" s="29"/>
      <c r="BRC41" s="29"/>
      <c r="BRD41" s="29"/>
      <c r="BRE41" s="28"/>
      <c r="BRF41" s="29"/>
      <c r="BRG41" s="29"/>
      <c r="BRH41" s="29"/>
      <c r="BRI41" s="29"/>
      <c r="BRJ41" s="29"/>
      <c r="BRK41" s="28"/>
      <c r="BRL41" s="29"/>
      <c r="BRM41" s="29"/>
      <c r="BRN41" s="28"/>
      <c r="BRO41" s="29"/>
      <c r="BRP41" s="30"/>
      <c r="BRQ41" s="28"/>
      <c r="BRR41" s="29"/>
      <c r="BRS41" s="29"/>
      <c r="BRT41" s="29"/>
      <c r="BRU41" s="28"/>
      <c r="BRV41" s="29"/>
      <c r="BRW41" s="29"/>
      <c r="BRX41" s="28"/>
      <c r="BRY41" s="29"/>
      <c r="BRZ41" s="30"/>
      <c r="BSA41" s="28"/>
      <c r="BSB41" s="29"/>
      <c r="BSC41" s="29"/>
      <c r="BSD41" s="29"/>
      <c r="BSE41" s="28"/>
      <c r="BSF41" s="29"/>
      <c r="BSG41" s="29"/>
      <c r="BSH41" s="29"/>
      <c r="BSI41" s="29"/>
      <c r="BSJ41" s="29"/>
      <c r="BSK41" s="28"/>
      <c r="BSL41" s="29"/>
      <c r="BSM41" s="29"/>
      <c r="BSN41" s="28"/>
      <c r="BSO41" s="29"/>
      <c r="BSP41" s="30"/>
      <c r="BSQ41" s="28"/>
      <c r="BSR41" s="29"/>
      <c r="BSS41" s="29"/>
      <c r="BST41" s="29"/>
      <c r="BSU41" s="28"/>
      <c r="BSV41" s="29"/>
      <c r="BSW41" s="29"/>
      <c r="BSX41" s="28"/>
      <c r="BSY41" s="29"/>
      <c r="BSZ41" s="30"/>
      <c r="BTA41" s="28"/>
      <c r="BTB41" s="29"/>
      <c r="BTC41" s="29"/>
      <c r="BTD41" s="29"/>
      <c r="BTE41" s="28"/>
      <c r="BTF41" s="29"/>
      <c r="BTG41" s="29"/>
      <c r="BTH41" s="29"/>
      <c r="BTI41" s="29"/>
      <c r="BTJ41" s="29"/>
      <c r="BTK41" s="28"/>
      <c r="BTL41" s="29"/>
      <c r="BTM41" s="29"/>
      <c r="BTN41" s="28"/>
      <c r="BTO41" s="29"/>
      <c r="BTP41" s="30"/>
      <c r="BTQ41" s="28"/>
      <c r="BTR41" s="29"/>
      <c r="BTS41" s="29"/>
      <c r="BTT41" s="29"/>
      <c r="BTU41" s="28"/>
      <c r="BTV41" s="29"/>
      <c r="BTW41" s="29"/>
      <c r="BTX41" s="28"/>
      <c r="BTY41" s="29"/>
      <c r="BTZ41" s="30"/>
      <c r="BUA41" s="28"/>
      <c r="BUB41" s="29"/>
      <c r="BUC41" s="29"/>
      <c r="BUD41" s="29"/>
      <c r="BUE41" s="28"/>
      <c r="BUF41" s="29"/>
      <c r="BUG41" s="29"/>
      <c r="BUH41" s="29"/>
      <c r="BUI41" s="29"/>
      <c r="BUJ41" s="29"/>
      <c r="BUK41" s="28"/>
      <c r="BUL41" s="29"/>
      <c r="BUM41" s="29"/>
      <c r="BUN41" s="28"/>
      <c r="BUO41" s="29"/>
      <c r="BUP41" s="30"/>
      <c r="BUQ41" s="28"/>
      <c r="BUR41" s="29"/>
      <c r="BUS41" s="29"/>
      <c r="BUT41" s="29"/>
      <c r="BUU41" s="28"/>
      <c r="BUV41" s="29"/>
      <c r="BUW41" s="29"/>
      <c r="BUX41" s="28"/>
      <c r="BUY41" s="29"/>
      <c r="BUZ41" s="30"/>
      <c r="BVA41" s="28"/>
      <c r="BVB41" s="29"/>
      <c r="BVC41" s="29"/>
      <c r="BVD41" s="29"/>
      <c r="BVE41" s="28"/>
      <c r="BVF41" s="29"/>
      <c r="BVG41" s="29"/>
      <c r="BVH41" s="29"/>
      <c r="BVI41" s="29"/>
      <c r="BVJ41" s="29"/>
      <c r="BVK41" s="28"/>
      <c r="BVL41" s="29"/>
      <c r="BVM41" s="29"/>
      <c r="BVN41" s="28"/>
      <c r="BVO41" s="29"/>
      <c r="BVP41" s="30"/>
      <c r="BVQ41" s="28"/>
      <c r="BVR41" s="29"/>
      <c r="BVS41" s="29"/>
      <c r="BVT41" s="29"/>
      <c r="BVU41" s="28"/>
      <c r="BVV41" s="29"/>
      <c r="BVW41" s="29"/>
      <c r="BVX41" s="28"/>
      <c r="BVY41" s="29"/>
      <c r="BVZ41" s="30"/>
      <c r="BWA41" s="28"/>
      <c r="BWB41" s="29"/>
      <c r="BWC41" s="29"/>
      <c r="BWD41" s="29"/>
      <c r="BWE41" s="28"/>
      <c r="BWF41" s="29"/>
      <c r="BWG41" s="29"/>
      <c r="BWH41" s="29"/>
      <c r="BWI41" s="29"/>
      <c r="BWJ41" s="29"/>
      <c r="BWK41" s="28"/>
      <c r="BWL41" s="29"/>
      <c r="BWM41" s="29"/>
      <c r="BWN41" s="28"/>
      <c r="BWO41" s="29"/>
      <c r="BWP41" s="30"/>
      <c r="BWQ41" s="28"/>
      <c r="BWR41" s="29"/>
      <c r="BWS41" s="29"/>
      <c r="BWT41" s="29"/>
      <c r="BWU41" s="28"/>
      <c r="BWV41" s="29"/>
      <c r="BWW41" s="29"/>
      <c r="BWX41" s="28"/>
      <c r="BWY41" s="29"/>
      <c r="BWZ41" s="30"/>
      <c r="BXA41" s="28"/>
      <c r="BXB41" s="29"/>
      <c r="BXC41" s="29"/>
      <c r="BXD41" s="29"/>
      <c r="BXE41" s="28"/>
      <c r="BXF41" s="29"/>
      <c r="BXG41" s="29"/>
      <c r="BXH41" s="29"/>
      <c r="BXI41" s="29"/>
      <c r="BXJ41" s="29"/>
      <c r="BXK41" s="28"/>
      <c r="BXL41" s="29"/>
      <c r="BXM41" s="29"/>
      <c r="BXN41" s="28"/>
      <c r="BXO41" s="29"/>
      <c r="BXP41" s="30"/>
      <c r="BXQ41" s="28"/>
      <c r="BXR41" s="29"/>
      <c r="BXS41" s="29"/>
      <c r="BXT41" s="29"/>
      <c r="BXU41" s="28"/>
      <c r="BXV41" s="29"/>
      <c r="BXW41" s="29"/>
      <c r="BXX41" s="28"/>
      <c r="BXY41" s="29"/>
      <c r="BXZ41" s="30"/>
      <c r="BYA41" s="28"/>
      <c r="BYB41" s="29"/>
      <c r="BYC41" s="29"/>
      <c r="BYD41" s="29"/>
      <c r="BYE41" s="28"/>
      <c r="BYF41" s="29"/>
      <c r="BYG41" s="29"/>
      <c r="BYH41" s="29"/>
      <c r="BYI41" s="29"/>
      <c r="BYJ41" s="29"/>
      <c r="BYK41" s="28"/>
      <c r="BYL41" s="29"/>
      <c r="BYM41" s="29"/>
      <c r="BYN41" s="28"/>
      <c r="BYO41" s="29"/>
      <c r="BYP41" s="30"/>
      <c r="BYQ41" s="28"/>
      <c r="BYR41" s="29"/>
      <c r="BYS41" s="29"/>
      <c r="BYT41" s="29"/>
      <c r="BYU41" s="28"/>
      <c r="BYV41" s="29"/>
      <c r="BYW41" s="29"/>
      <c r="BYX41" s="30"/>
      <c r="BYY41" s="29"/>
      <c r="BYZ41" s="28"/>
      <c r="BZA41" s="29"/>
      <c r="BZB41" s="28"/>
      <c r="BZC41" s="28"/>
      <c r="BZD41" s="28"/>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30"/>
      <c r="CAQ41" s="28"/>
      <c r="CAR41" s="29"/>
      <c r="CAS41" s="29"/>
      <c r="CAT41" s="29"/>
      <c r="CAU41" s="29"/>
      <c r="CAV41" s="29"/>
      <c r="CAW41" s="28"/>
      <c r="CAX41" s="29"/>
      <c r="CAY41" s="29"/>
      <c r="CAZ41" s="28"/>
      <c r="CBA41" s="29"/>
      <c r="CBB41" s="30"/>
      <c r="CBC41" s="28"/>
      <c r="CBD41" s="29"/>
      <c r="CBE41" s="29"/>
      <c r="CBF41" s="29"/>
      <c r="CBG41" s="28"/>
      <c r="CBH41" s="29"/>
      <c r="CBI41" s="29"/>
      <c r="CBJ41" s="28"/>
      <c r="CBK41" s="29"/>
      <c r="CBL41" s="30"/>
      <c r="CBM41" s="28"/>
      <c r="CBN41" s="29"/>
      <c r="CBO41" s="29"/>
      <c r="CBP41" s="29"/>
      <c r="CBQ41" s="28"/>
      <c r="CBR41" s="29"/>
      <c r="CBS41" s="29"/>
      <c r="CBT41" s="28"/>
      <c r="CBU41" s="29"/>
      <c r="CBV41" s="30"/>
      <c r="CBW41" s="28"/>
      <c r="CBX41" s="29"/>
      <c r="CBY41" s="29"/>
      <c r="CBZ41" s="29"/>
      <c r="CCA41" s="28"/>
      <c r="CCB41" s="29"/>
      <c r="CCC41" s="29"/>
      <c r="CCD41" s="28"/>
      <c r="CCE41" s="29"/>
      <c r="CCF41" s="30"/>
      <c r="CCG41" s="28"/>
      <c r="CCH41" s="30"/>
      <c r="CCI41" s="29"/>
      <c r="CCJ41" s="28"/>
      <c r="CCK41" s="29"/>
      <c r="CCL41" s="28"/>
      <c r="CCM41" s="28"/>
      <c r="CCN41" s="28"/>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30"/>
      <c r="CEA41" s="28"/>
      <c r="CEB41" s="29"/>
      <c r="CEC41" s="29"/>
      <c r="CED41" s="29"/>
      <c r="CEE41" s="29"/>
      <c r="CEF41" s="29"/>
      <c r="CEG41" s="28"/>
      <c r="CEH41" s="29"/>
      <c r="CEI41" s="29"/>
      <c r="CEJ41" s="28"/>
      <c r="CEK41" s="29"/>
      <c r="CEL41" s="30"/>
      <c r="CEM41" s="28"/>
      <c r="CEN41" s="29"/>
      <c r="CEO41" s="29"/>
      <c r="CEP41" s="29"/>
      <c r="CEQ41" s="28"/>
      <c r="CER41" s="29"/>
      <c r="CES41" s="29"/>
      <c r="CET41" s="28"/>
      <c r="CEU41" s="29"/>
      <c r="CEV41" s="30"/>
      <c r="CEW41" s="28"/>
      <c r="CEX41" s="29"/>
      <c r="CEY41" s="29"/>
      <c r="CEZ41" s="29"/>
      <c r="CFA41" s="28"/>
      <c r="CFB41" s="29"/>
      <c r="CFC41" s="29"/>
      <c r="CFD41" s="28"/>
      <c r="CFE41" s="29"/>
      <c r="CFF41" s="30"/>
      <c r="CFG41" s="28"/>
      <c r="CFH41" s="29"/>
      <c r="CFI41" s="29"/>
      <c r="CFJ41" s="29"/>
      <c r="CFK41" s="28"/>
      <c r="CFL41" s="29"/>
      <c r="CFM41" s="29"/>
      <c r="CFN41" s="28"/>
      <c r="CFO41" s="29"/>
      <c r="CFP41" s="30"/>
      <c r="CFQ41" s="28"/>
      <c r="CFR41" s="30"/>
      <c r="CFS41" s="29"/>
      <c r="CFT41" s="28"/>
      <c r="CFU41" s="29"/>
      <c r="CFV41" s="28"/>
      <c r="CFW41" s="28"/>
      <c r="CFX41" s="28"/>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30"/>
      <c r="CHK41" s="28"/>
      <c r="CHL41" s="29"/>
      <c r="CHM41" s="29"/>
      <c r="CHN41" s="29"/>
      <c r="CHO41" s="29"/>
      <c r="CHP41" s="29"/>
      <c r="CHQ41" s="28"/>
      <c r="CHR41" s="29"/>
      <c r="CHS41" s="29"/>
      <c r="CHT41" s="28"/>
      <c r="CHU41" s="29"/>
      <c r="CHV41" s="30"/>
      <c r="CHW41" s="28"/>
      <c r="CHX41" s="29"/>
      <c r="CHY41" s="29"/>
      <c r="CHZ41" s="29"/>
      <c r="CIA41" s="28"/>
      <c r="CIB41" s="29"/>
      <c r="CIC41" s="29"/>
      <c r="CID41" s="28"/>
      <c r="CIE41" s="29"/>
      <c r="CIF41" s="30"/>
      <c r="CIG41" s="28"/>
      <c r="CIH41" s="29"/>
      <c r="CII41" s="29"/>
      <c r="CIJ41" s="29"/>
      <c r="CIK41" s="28"/>
      <c r="CIL41" s="29"/>
      <c r="CIM41" s="29"/>
      <c r="CIN41" s="28"/>
      <c r="CIO41" s="29"/>
      <c r="CIP41" s="30"/>
      <c r="CIQ41" s="28"/>
      <c r="CIR41" s="29"/>
      <c r="CIS41" s="29"/>
      <c r="CIT41" s="29"/>
      <c r="CIU41" s="28"/>
      <c r="CIV41" s="29"/>
      <c r="CIW41" s="29"/>
      <c r="CIX41" s="28"/>
      <c r="CIY41" s="29"/>
      <c r="CIZ41" s="30"/>
      <c r="CJA41" s="28"/>
      <c r="CJB41" s="30"/>
      <c r="CJC41" s="29"/>
      <c r="CJD41" s="28"/>
      <c r="CJE41" s="29"/>
      <c r="CJF41" s="28"/>
      <c r="CJG41" s="28"/>
      <c r="CJH41" s="28"/>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30"/>
      <c r="CKU41" s="28"/>
      <c r="CKV41" s="29"/>
      <c r="CKW41" s="29"/>
      <c r="CKX41" s="29"/>
      <c r="CKY41" s="29"/>
      <c r="CKZ41" s="29"/>
      <c r="CLA41" s="28"/>
      <c r="CLB41" s="29"/>
      <c r="CLC41" s="29"/>
      <c r="CLD41" s="28"/>
      <c r="CLE41" s="29"/>
      <c r="CLF41" s="30"/>
      <c r="CLG41" s="28"/>
      <c r="CLH41" s="29"/>
      <c r="CLI41" s="29"/>
      <c r="CLJ41" s="29"/>
      <c r="CLK41" s="28"/>
      <c r="CLL41" s="29"/>
      <c r="CLM41" s="29"/>
      <c r="CLN41" s="28"/>
      <c r="CLO41" s="29"/>
      <c r="CLP41" s="30"/>
      <c r="CLQ41" s="28"/>
      <c r="CLR41" s="29"/>
      <c r="CLS41" s="29"/>
      <c r="CLT41" s="29"/>
      <c r="CLU41" s="28"/>
      <c r="CLV41" s="29"/>
      <c r="CLW41" s="29"/>
      <c r="CLX41" s="28"/>
      <c r="CLY41" s="29"/>
      <c r="CLZ41" s="30"/>
      <c r="CMA41" s="28"/>
      <c r="CMB41" s="29"/>
      <c r="CMC41" s="29"/>
      <c r="CMD41" s="29"/>
      <c r="CME41" s="28"/>
      <c r="CMF41" s="29"/>
      <c r="CMG41" s="29"/>
      <c r="CMH41" s="28"/>
      <c r="CMI41" s="29"/>
      <c r="CMJ41" s="30"/>
      <c r="CMK41" s="28"/>
      <c r="CML41" s="30"/>
      <c r="CMM41" s="29"/>
      <c r="CMN41" s="28"/>
      <c r="CMO41" s="29"/>
      <c r="CMP41" s="28"/>
      <c r="CMQ41" s="28"/>
      <c r="CMR41" s="28"/>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30"/>
      <c r="COE41" s="28"/>
      <c r="COF41" s="29"/>
      <c r="COG41" s="29"/>
      <c r="COH41" s="29"/>
      <c r="COI41" s="29"/>
      <c r="COJ41" s="29"/>
      <c r="COK41" s="28"/>
      <c r="COL41" s="29"/>
      <c r="COM41" s="29"/>
      <c r="CON41" s="28"/>
      <c r="COO41" s="29"/>
      <c r="COP41" s="30"/>
      <c r="COQ41" s="28"/>
      <c r="COR41" s="29"/>
      <c r="COS41" s="29"/>
      <c r="COT41" s="29"/>
      <c r="COU41" s="28"/>
      <c r="COV41" s="29"/>
      <c r="COW41" s="29"/>
      <c r="COX41" s="28"/>
      <c r="COY41" s="29"/>
      <c r="COZ41" s="30"/>
      <c r="CPA41" s="28"/>
      <c r="CPB41" s="29"/>
      <c r="CPC41" s="29"/>
      <c r="CPD41" s="29"/>
      <c r="CPE41" s="28"/>
      <c r="CPF41" s="29"/>
      <c r="CPG41" s="29"/>
      <c r="CPH41" s="28"/>
      <c r="CPI41" s="29"/>
      <c r="CPJ41" s="30"/>
      <c r="CPK41" s="28"/>
      <c r="CPL41" s="29"/>
      <c r="CPM41" s="29"/>
      <c r="CPN41" s="29"/>
      <c r="CPO41" s="28"/>
      <c r="CPP41" s="29"/>
      <c r="CPQ41" s="29"/>
      <c r="CPR41" s="28"/>
      <c r="CPS41" s="29"/>
      <c r="CPT41" s="30"/>
      <c r="CPU41" s="28"/>
      <c r="CPV41" s="30"/>
      <c r="CPW41" s="29"/>
      <c r="CPX41" s="28"/>
      <c r="CPY41" s="29"/>
      <c r="CPZ41" s="28"/>
      <c r="CQA41" s="28"/>
      <c r="CQB41" s="28"/>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30"/>
      <c r="CRO41" s="28"/>
      <c r="CRP41" s="29"/>
      <c r="CRQ41" s="29"/>
      <c r="CRR41" s="29"/>
      <c r="CRS41" s="29"/>
      <c r="CRT41" s="29"/>
      <c r="CRU41" s="28"/>
      <c r="CRV41" s="29"/>
      <c r="CRW41" s="29"/>
      <c r="CRX41" s="28"/>
      <c r="CRY41" s="29"/>
      <c r="CRZ41" s="30"/>
      <c r="CSA41" s="28"/>
      <c r="CSB41" s="29"/>
      <c r="CSC41" s="29"/>
      <c r="CSD41" s="29"/>
      <c r="CSE41" s="28"/>
      <c r="CSF41" s="29"/>
      <c r="CSG41" s="29"/>
      <c r="CSH41" s="28"/>
      <c r="CSI41" s="29"/>
      <c r="CSJ41" s="30"/>
      <c r="CSK41" s="28"/>
      <c r="CSL41" s="29"/>
      <c r="CSM41" s="29"/>
      <c r="CSN41" s="29"/>
      <c r="CSO41" s="28"/>
      <c r="CSP41" s="29"/>
      <c r="CSQ41" s="29"/>
      <c r="CSR41" s="28"/>
      <c r="CSS41" s="29"/>
      <c r="CST41" s="30"/>
      <c r="CSU41" s="28"/>
      <c r="CSV41" s="29"/>
      <c r="CSW41" s="29"/>
      <c r="CSX41" s="29"/>
      <c r="CSY41" s="28"/>
      <c r="CSZ41" s="29"/>
      <c r="CTA41" s="29"/>
      <c r="CTB41" s="28"/>
      <c r="CTC41" s="29"/>
      <c r="CTD41" s="30"/>
      <c r="CTE41" s="28"/>
      <c r="CTF41" s="30"/>
      <c r="CTG41" s="29"/>
      <c r="CTH41" s="28"/>
      <c r="CTI41" s="29"/>
      <c r="CTJ41" s="28"/>
      <c r="CTK41" s="28"/>
      <c r="CTL41" s="28"/>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30"/>
      <c r="CUY41" s="28"/>
      <c r="CUZ41" s="29"/>
      <c r="CVA41" s="29"/>
      <c r="CVB41" s="29"/>
      <c r="CVC41" s="29"/>
      <c r="CVD41" s="29"/>
      <c r="CVE41" s="28"/>
      <c r="CVF41" s="29"/>
      <c r="CVG41" s="29"/>
      <c r="CVH41" s="28"/>
      <c r="CVI41" s="29"/>
      <c r="CVJ41" s="30"/>
      <c r="CVK41" s="28"/>
      <c r="CVL41" s="29"/>
      <c r="CVM41" s="29"/>
      <c r="CVN41" s="29"/>
      <c r="CVO41" s="28"/>
      <c r="CVP41" s="29"/>
      <c r="CVQ41" s="29"/>
      <c r="CVR41" s="28"/>
      <c r="CVS41" s="29"/>
      <c r="CVT41" s="30"/>
      <c r="CVU41" s="28"/>
      <c r="CVV41" s="29"/>
      <c r="CVW41" s="29"/>
      <c r="CVX41" s="29"/>
      <c r="CVY41" s="28"/>
      <c r="CVZ41" s="29"/>
      <c r="CWA41" s="29"/>
      <c r="CWB41" s="28"/>
      <c r="CWC41" s="29"/>
      <c r="CWD41" s="30"/>
      <c r="CWE41" s="28"/>
      <c r="CWF41" s="29"/>
      <c r="CWG41" s="29"/>
      <c r="CWH41" s="29"/>
      <c r="CWI41" s="28"/>
      <c r="CWJ41" s="29"/>
      <c r="CWK41" s="29"/>
      <c r="CWL41" s="28"/>
      <c r="CWM41" s="29"/>
      <c r="CWN41" s="30"/>
      <c r="CWO41" s="28"/>
      <c r="CWP41" s="30"/>
      <c r="CWQ41" s="29"/>
      <c r="CWR41" s="28"/>
      <c r="CWS41" s="29"/>
      <c r="CWT41" s="28"/>
      <c r="CWU41" s="28"/>
      <c r="CWV41" s="28"/>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30"/>
      <c r="CYI41" s="28"/>
      <c r="CYJ41" s="29"/>
      <c r="CYK41" s="29"/>
      <c r="CYL41" s="29"/>
      <c r="CYM41" s="29"/>
      <c r="CYN41" s="29"/>
      <c r="CYO41" s="28"/>
      <c r="CYP41" s="29"/>
      <c r="CYQ41" s="29"/>
      <c r="CYR41" s="28"/>
      <c r="CYS41" s="29"/>
      <c r="CYT41" s="30"/>
      <c r="CYU41" s="28"/>
      <c r="CYV41" s="29"/>
      <c r="CYW41" s="29"/>
      <c r="CYX41" s="29"/>
      <c r="CYY41" s="28"/>
      <c r="CYZ41" s="29"/>
      <c r="CZA41" s="29"/>
      <c r="CZB41" s="28"/>
      <c r="CZC41" s="29"/>
      <c r="CZD41" s="30"/>
      <c r="CZE41" s="28"/>
      <c r="CZF41" s="29"/>
      <c r="CZG41" s="29"/>
      <c r="CZH41" s="29"/>
      <c r="CZI41" s="28"/>
      <c r="CZJ41" s="29"/>
      <c r="CZK41" s="29"/>
      <c r="CZL41" s="28"/>
      <c r="CZM41" s="29"/>
      <c r="CZN41" s="30"/>
      <c r="CZO41" s="28"/>
      <c r="CZP41" s="29"/>
      <c r="CZQ41" s="29"/>
      <c r="CZR41" s="29"/>
      <c r="CZS41" s="28"/>
      <c r="CZT41" s="29"/>
      <c r="CZU41" s="29"/>
      <c r="CZV41" s="28"/>
      <c r="CZW41" s="29"/>
      <c r="CZX41" s="30"/>
      <c r="CZY41" s="28"/>
      <c r="CZZ41" s="30"/>
      <c r="DAA41" s="29"/>
      <c r="DAB41" s="28"/>
      <c r="DAC41" s="29"/>
      <c r="DAD41" s="28"/>
      <c r="DAE41" s="28"/>
      <c r="DAF41" s="28"/>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30"/>
      <c r="DBS41" s="28"/>
      <c r="DBT41" s="29"/>
      <c r="DBU41" s="29"/>
      <c r="DBV41" s="29"/>
      <c r="DBW41" s="29"/>
      <c r="DBX41" s="29"/>
      <c r="DBY41" s="28"/>
      <c r="DBZ41" s="29"/>
      <c r="DCA41" s="29"/>
      <c r="DCB41" s="28"/>
      <c r="DCC41" s="29"/>
      <c r="DCD41" s="30"/>
      <c r="DCE41" s="28"/>
      <c r="DCF41" s="29"/>
      <c r="DCG41" s="29"/>
      <c r="DCH41" s="29"/>
      <c r="DCI41" s="28"/>
      <c r="DCJ41" s="29"/>
      <c r="DCK41" s="29"/>
      <c r="DCL41" s="28"/>
      <c r="DCM41" s="29"/>
      <c r="DCN41" s="30"/>
      <c r="DCO41" s="28"/>
      <c r="DCP41" s="29"/>
      <c r="DCQ41" s="29"/>
      <c r="DCR41" s="29"/>
      <c r="DCS41" s="28"/>
      <c r="DCT41" s="29"/>
      <c r="DCU41" s="29"/>
      <c r="DCV41" s="28"/>
      <c r="DCW41" s="29"/>
      <c r="DCX41" s="30"/>
      <c r="DCY41" s="28"/>
      <c r="DCZ41" s="29"/>
      <c r="DDA41" s="29"/>
      <c r="DDB41" s="29"/>
      <c r="DDC41" s="28"/>
      <c r="DDD41" s="29"/>
      <c r="DDE41" s="29"/>
      <c r="DDF41" s="28"/>
      <c r="DDG41" s="29"/>
      <c r="DDH41" s="30"/>
      <c r="DDI41" s="28"/>
      <c r="DDJ41" s="30"/>
      <c r="DDK41" s="29"/>
      <c r="DDL41" s="28"/>
      <c r="DDM41" s="29"/>
      <c r="DDN41" s="28"/>
      <c r="DDO41" s="28"/>
      <c r="DDP41" s="28"/>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30"/>
      <c r="DFC41" s="28"/>
      <c r="DFD41" s="29"/>
      <c r="DFE41" s="29"/>
      <c r="DFF41" s="29"/>
      <c r="DFG41" s="29"/>
      <c r="DFH41" s="29"/>
      <c r="DFI41" s="28"/>
      <c r="DFJ41" s="29"/>
      <c r="DFK41" s="29"/>
      <c r="DFL41" s="28"/>
      <c r="DFM41" s="29"/>
      <c r="DFN41" s="30"/>
      <c r="DFO41" s="28"/>
      <c r="DFP41" s="29"/>
      <c r="DFQ41" s="29"/>
      <c r="DFR41" s="29"/>
      <c r="DFS41" s="28"/>
      <c r="DFT41" s="29"/>
      <c r="DFU41" s="29"/>
      <c r="DFV41" s="28"/>
      <c r="DFW41" s="29"/>
      <c r="DFX41" s="30"/>
      <c r="DFY41" s="28"/>
      <c r="DFZ41" s="29"/>
      <c r="DGA41" s="29"/>
      <c r="DGB41" s="29"/>
      <c r="DGC41" s="28"/>
      <c r="DGD41" s="29"/>
      <c r="DGE41" s="29"/>
      <c r="DGF41" s="28"/>
      <c r="DGG41" s="29"/>
      <c r="DGH41" s="30"/>
      <c r="DGI41" s="28"/>
      <c r="DGJ41" s="29"/>
      <c r="DGK41" s="29"/>
      <c r="DGL41" s="29"/>
      <c r="DGM41" s="28"/>
      <c r="DGN41" s="29"/>
      <c r="DGO41" s="29"/>
      <c r="DGP41" s="28"/>
      <c r="DGQ41" s="29"/>
      <c r="DGR41" s="30"/>
      <c r="DGS41" s="28"/>
      <c r="DGT41" s="30"/>
      <c r="DGU41" s="29"/>
      <c r="DGV41" s="28"/>
      <c r="DGW41" s="29"/>
      <c r="DGX41" s="28"/>
      <c r="DGY41" s="28"/>
      <c r="DGZ41" s="28"/>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30"/>
      <c r="DIM41" s="28"/>
      <c r="DIN41" s="29"/>
      <c r="DIO41" s="29"/>
      <c r="DIP41" s="29"/>
      <c r="DIQ41" s="29"/>
      <c r="DIR41" s="29"/>
      <c r="DIS41" s="28"/>
      <c r="DIT41" s="29"/>
      <c r="DIU41" s="29"/>
      <c r="DIV41" s="28"/>
      <c r="DIW41" s="29"/>
      <c r="DIX41" s="30"/>
      <c r="DIY41" s="28"/>
      <c r="DIZ41" s="29"/>
      <c r="DJA41" s="29"/>
      <c r="DJB41" s="29"/>
      <c r="DJC41" s="28"/>
      <c r="DJD41" s="29"/>
      <c r="DJE41" s="29"/>
      <c r="DJF41" s="28"/>
      <c r="DJG41" s="29"/>
      <c r="DJH41" s="30"/>
      <c r="DJI41" s="28"/>
      <c r="DJJ41" s="29"/>
      <c r="DJK41" s="29"/>
      <c r="DJL41" s="29"/>
      <c r="DJM41" s="28"/>
      <c r="DJN41" s="29"/>
      <c r="DJO41" s="29"/>
      <c r="DJP41" s="28"/>
      <c r="DJQ41" s="29"/>
      <c r="DJR41" s="30"/>
      <c r="DJS41" s="28"/>
      <c r="DJT41" s="29"/>
      <c r="DJU41" s="29"/>
      <c r="DJV41" s="29"/>
      <c r="DJW41" s="28"/>
      <c r="DJX41" s="29"/>
      <c r="DJY41" s="29"/>
      <c r="DJZ41" s="28"/>
      <c r="DKA41" s="29"/>
      <c r="DKB41" s="30"/>
      <c r="DKC41" s="28"/>
      <c r="DKD41" s="30"/>
      <c r="DKE41" s="29"/>
      <c r="DKF41" s="28"/>
      <c r="DKG41" s="29"/>
      <c r="DKH41" s="28"/>
      <c r="DKI41" s="28"/>
      <c r="DKJ41" s="28"/>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30"/>
      <c r="DLW41" s="28"/>
      <c r="DLX41" s="29"/>
      <c r="DLY41" s="29"/>
      <c r="DLZ41" s="29"/>
      <c r="DMA41" s="29"/>
      <c r="DMB41" s="29"/>
      <c r="DMC41" s="28"/>
      <c r="DMD41" s="29"/>
      <c r="DME41" s="29"/>
      <c r="DMF41" s="28"/>
      <c r="DMG41" s="29"/>
      <c r="DMH41" s="30"/>
      <c r="DMI41" s="28"/>
      <c r="DMJ41" s="29"/>
      <c r="DMK41" s="29"/>
      <c r="DML41" s="29"/>
      <c r="DMM41" s="28"/>
      <c r="DMN41" s="29"/>
      <c r="DMO41" s="29"/>
      <c r="DMP41" s="28"/>
      <c r="DMQ41" s="29"/>
      <c r="DMR41" s="30"/>
      <c r="DMS41" s="28"/>
      <c r="DMT41" s="29"/>
      <c r="DMU41" s="29"/>
      <c r="DMV41" s="29"/>
      <c r="DMW41" s="28"/>
      <c r="DMX41" s="29"/>
      <c r="DMY41" s="29"/>
      <c r="DMZ41" s="28"/>
      <c r="DNA41" s="29"/>
      <c r="DNB41" s="30"/>
      <c r="DNC41" s="28"/>
      <c r="DND41" s="29"/>
      <c r="DNE41" s="29"/>
      <c r="DNF41" s="29"/>
      <c r="DNG41" s="28"/>
      <c r="DNH41" s="29"/>
      <c r="DNI41" s="29"/>
      <c r="DNJ41" s="28"/>
      <c r="DNK41" s="29"/>
      <c r="DNL41" s="30"/>
      <c r="DNM41" s="28"/>
      <c r="DNN41" s="30"/>
      <c r="DNO41" s="29"/>
      <c r="DNP41" s="28"/>
      <c r="DNQ41" s="29"/>
      <c r="DNR41" s="28"/>
      <c r="DNS41" s="28"/>
      <c r="DNT41" s="28"/>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30"/>
      <c r="DPG41" s="28"/>
      <c r="DPH41" s="29"/>
      <c r="DPI41" s="29"/>
      <c r="DPJ41" s="29"/>
      <c r="DPK41" s="29"/>
      <c r="DPL41" s="29"/>
      <c r="DPM41" s="28"/>
      <c r="DPN41" s="29"/>
      <c r="DPO41" s="29"/>
      <c r="DPP41" s="28"/>
      <c r="DPQ41" s="29"/>
      <c r="DPR41" s="30"/>
      <c r="DPS41" s="28"/>
      <c r="DPT41" s="29"/>
      <c r="DPU41" s="29"/>
      <c r="DPV41" s="29"/>
      <c r="DPW41" s="28"/>
      <c r="DPX41" s="29"/>
      <c r="DPY41" s="29"/>
      <c r="DPZ41" s="28"/>
      <c r="DQA41" s="29"/>
      <c r="DQB41" s="30"/>
      <c r="DQC41" s="28"/>
      <c r="DQD41" s="29"/>
      <c r="DQE41" s="29"/>
      <c r="DQF41" s="29"/>
      <c r="DQG41" s="28"/>
      <c r="DQH41" s="29"/>
      <c r="DQI41" s="29"/>
      <c r="DQJ41" s="28"/>
      <c r="DQK41" s="29"/>
      <c r="DQL41" s="30"/>
      <c r="DQM41" s="28"/>
      <c r="DQN41" s="29"/>
      <c r="DQO41" s="29"/>
      <c r="DQP41" s="29"/>
      <c r="DQQ41" s="28"/>
      <c r="DQR41" s="29"/>
      <c r="DQS41" s="29"/>
      <c r="DQT41" s="28"/>
      <c r="DQU41" s="29"/>
      <c r="DQV41" s="30"/>
      <c r="DQW41" s="28"/>
      <c r="DQX41" s="30"/>
      <c r="DQY41" s="29"/>
      <c r="DQZ41" s="28"/>
      <c r="DRA41" s="29"/>
      <c r="DRB41" s="28"/>
      <c r="DRC41" s="28"/>
      <c r="DRD41" s="28"/>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30"/>
      <c r="DSQ41" s="28"/>
      <c r="DSR41" s="29"/>
      <c r="DSS41" s="29"/>
      <c r="DST41" s="29"/>
      <c r="DSU41" s="29"/>
      <c r="DSV41" s="29"/>
      <c r="DSW41" s="28"/>
      <c r="DSX41" s="29"/>
      <c r="DSY41" s="29"/>
      <c r="DSZ41" s="28"/>
      <c r="DTA41" s="29"/>
      <c r="DTB41" s="30"/>
      <c r="DTC41" s="28"/>
      <c r="DTD41" s="29"/>
      <c r="DTE41" s="29"/>
      <c r="DTF41" s="29"/>
      <c r="DTG41" s="28"/>
      <c r="DTH41" s="29"/>
      <c r="DTI41" s="29"/>
      <c r="DTJ41" s="28"/>
      <c r="DTK41" s="29"/>
      <c r="DTL41" s="30"/>
      <c r="DTM41" s="28"/>
      <c r="DTN41" s="29"/>
      <c r="DTO41" s="29"/>
      <c r="DTP41" s="29"/>
      <c r="DTQ41" s="28"/>
      <c r="DTR41" s="29"/>
      <c r="DTS41" s="29"/>
      <c r="DTT41" s="28"/>
      <c r="DTU41" s="29"/>
      <c r="DTV41" s="30"/>
      <c r="DTW41" s="28"/>
      <c r="DTX41" s="29"/>
      <c r="DTY41" s="29"/>
      <c r="DTZ41" s="29"/>
      <c r="DUA41" s="28"/>
      <c r="DUB41" s="29"/>
      <c r="DUC41" s="29"/>
      <c r="DUD41" s="28"/>
      <c r="DUE41" s="29"/>
      <c r="DUF41" s="30"/>
      <c r="DUG41" s="28"/>
      <c r="DUH41" s="30"/>
      <c r="DUI41" s="29"/>
      <c r="DUJ41" s="28"/>
      <c r="DUK41" s="29"/>
      <c r="DUL41" s="28"/>
      <c r="DUM41" s="28"/>
      <c r="DUN41" s="28"/>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30"/>
      <c r="DWA41" s="28"/>
      <c r="DWB41" s="29"/>
      <c r="DWC41" s="29"/>
      <c r="DWD41" s="29"/>
      <c r="DWE41" s="29"/>
      <c r="DWF41" s="29"/>
      <c r="DWG41" s="28"/>
      <c r="DWH41" s="29"/>
      <c r="DWI41" s="29"/>
      <c r="DWJ41" s="28"/>
      <c r="DWK41" s="29"/>
      <c r="DWL41" s="30"/>
      <c r="DWM41" s="28"/>
      <c r="DWN41" s="29"/>
      <c r="DWO41" s="29"/>
      <c r="DWP41" s="29"/>
      <c r="DWQ41" s="28"/>
      <c r="DWR41" s="29"/>
      <c r="DWS41" s="29"/>
      <c r="DWT41" s="28"/>
      <c r="DWU41" s="29"/>
      <c r="DWV41" s="30"/>
      <c r="DWW41" s="28"/>
      <c r="DWX41" s="29"/>
      <c r="DWY41" s="29"/>
      <c r="DWZ41" s="29"/>
      <c r="DXA41" s="28"/>
      <c r="DXB41" s="29"/>
      <c r="DXC41" s="29"/>
      <c r="DXD41" s="28"/>
      <c r="DXE41" s="29"/>
      <c r="DXF41" s="30"/>
      <c r="DXG41" s="28"/>
      <c r="DXH41" s="29"/>
      <c r="DXI41" s="29"/>
      <c r="DXJ41" s="29"/>
      <c r="DXK41" s="28"/>
      <c r="DXL41" s="29"/>
      <c r="DXM41" s="29"/>
      <c r="DXN41" s="28"/>
      <c r="DXO41" s="29"/>
      <c r="DXP41" s="30"/>
      <c r="DXQ41" s="28"/>
      <c r="DXR41" s="30"/>
      <c r="DXS41" s="29"/>
      <c r="DXT41" s="28"/>
      <c r="DXU41" s="29"/>
      <c r="DXV41" s="28"/>
      <c r="DXW41" s="28"/>
      <c r="DXX41" s="28"/>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30"/>
      <c r="DZK41" s="28"/>
      <c r="DZL41" s="29"/>
      <c r="DZM41" s="29"/>
      <c r="DZN41" s="29"/>
      <c r="DZO41" s="29"/>
      <c r="DZP41" s="29"/>
      <c r="DZQ41" s="28"/>
      <c r="DZR41" s="29"/>
      <c r="DZS41" s="29"/>
      <c r="DZT41" s="28"/>
      <c r="DZU41" s="29"/>
      <c r="DZV41" s="30"/>
      <c r="DZW41" s="28"/>
      <c r="DZX41" s="29"/>
      <c r="DZY41" s="29"/>
      <c r="DZZ41" s="29"/>
      <c r="EAA41" s="28"/>
      <c r="EAB41" s="29"/>
      <c r="EAC41" s="29"/>
      <c r="EAD41" s="28"/>
      <c r="EAE41" s="29"/>
      <c r="EAF41" s="30"/>
      <c r="EAG41" s="28"/>
      <c r="EAH41" s="29"/>
      <c r="EAI41" s="29"/>
      <c r="EAJ41" s="29"/>
      <c r="EAK41" s="28"/>
      <c r="EAL41" s="29"/>
      <c r="EAM41" s="29"/>
      <c r="EAN41" s="28"/>
      <c r="EAO41" s="29"/>
      <c r="EAP41" s="30"/>
      <c r="EAQ41" s="28"/>
      <c r="EAR41" s="29"/>
      <c r="EAS41" s="29"/>
      <c r="EAT41" s="29"/>
      <c r="EAU41" s="28"/>
      <c r="EAV41" s="29"/>
      <c r="EAW41" s="29"/>
      <c r="EAX41" s="28"/>
      <c r="EAY41" s="29"/>
      <c r="EAZ41" s="30"/>
      <c r="EBA41" s="28"/>
      <c r="EBB41" s="30"/>
      <c r="EBC41" s="29"/>
      <c r="EBD41" s="28"/>
      <c r="EBE41" s="29"/>
      <c r="EBF41" s="28"/>
      <c r="EBG41" s="28"/>
      <c r="EBH41" s="28"/>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30"/>
      <c r="ECU41" s="28"/>
      <c r="ECV41" s="29"/>
      <c r="ECW41" s="29"/>
      <c r="ECX41" s="29"/>
      <c r="ECY41" s="29"/>
      <c r="ECZ41" s="29"/>
      <c r="EDA41" s="28"/>
      <c r="EDB41" s="29"/>
      <c r="EDC41" s="29"/>
      <c r="EDD41" s="28"/>
      <c r="EDE41" s="29"/>
      <c r="EDF41" s="30"/>
      <c r="EDG41" s="28"/>
      <c r="EDH41" s="29"/>
      <c r="EDI41" s="29"/>
      <c r="EDJ41" s="29"/>
      <c r="EDK41" s="28"/>
      <c r="EDL41" s="29"/>
      <c r="EDM41" s="29"/>
      <c r="EDN41" s="28"/>
      <c r="EDO41" s="29"/>
      <c r="EDP41" s="30"/>
      <c r="EDQ41" s="28"/>
      <c r="EDR41" s="29"/>
      <c r="EDS41" s="29"/>
      <c r="EDT41" s="29"/>
      <c r="EDU41" s="28"/>
      <c r="EDV41" s="29"/>
      <c r="EDW41" s="29"/>
      <c r="EDX41" s="28"/>
      <c r="EDY41" s="29"/>
      <c r="EDZ41" s="30"/>
      <c r="EEA41" s="28"/>
      <c r="EEB41" s="29"/>
      <c r="EEC41" s="29"/>
      <c r="EED41" s="29"/>
      <c r="EEE41" s="28"/>
      <c r="EEF41" s="29"/>
      <c r="EEG41" s="29"/>
      <c r="EEH41" s="28"/>
      <c r="EEI41" s="29"/>
      <c r="EEJ41" s="30"/>
      <c r="EEK41" s="28"/>
      <c r="EEL41" s="30"/>
      <c r="EEM41" s="29"/>
      <c r="EEN41" s="28"/>
      <c r="EEO41" s="29"/>
      <c r="EEP41" s="28"/>
      <c r="EEQ41" s="28"/>
      <c r="EER41" s="28"/>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30"/>
      <c r="EGE41" s="28"/>
      <c r="EGF41" s="29"/>
      <c r="EGG41" s="29"/>
      <c r="EGH41" s="29"/>
      <c r="EGI41" s="29"/>
      <c r="EGJ41" s="29"/>
      <c r="EGK41" s="28"/>
      <c r="EGL41" s="29"/>
      <c r="EGM41" s="29"/>
      <c r="EGN41" s="28"/>
      <c r="EGO41" s="29"/>
      <c r="EGP41" s="30"/>
      <c r="EGQ41" s="28"/>
      <c r="EGR41" s="29"/>
      <c r="EGS41" s="29"/>
      <c r="EGT41" s="29"/>
      <c r="EGU41" s="28"/>
      <c r="EGV41" s="29"/>
      <c r="EGW41" s="29"/>
      <c r="EGX41" s="28"/>
      <c r="EGY41" s="29"/>
      <c r="EGZ41" s="30"/>
      <c r="EHA41" s="28"/>
      <c r="EHB41" s="29"/>
      <c r="EHC41" s="29"/>
      <c r="EHD41" s="29"/>
      <c r="EHE41" s="28"/>
      <c r="EHF41" s="29"/>
      <c r="EHG41" s="29"/>
      <c r="EHH41" s="28"/>
      <c r="EHI41" s="29"/>
      <c r="EHJ41" s="30"/>
      <c r="EHK41" s="28"/>
      <c r="EHL41" s="29"/>
      <c r="EHM41" s="29"/>
      <c r="EHN41" s="29"/>
      <c r="EHO41" s="28"/>
      <c r="EHP41" s="29"/>
      <c r="EHQ41" s="29"/>
      <c r="EHR41" s="28"/>
      <c r="EHS41" s="29"/>
      <c r="EHT41" s="30"/>
      <c r="EHU41" s="28"/>
      <c r="EHV41" s="30"/>
      <c r="EHW41" s="29"/>
      <c r="EHX41" s="28"/>
      <c r="EHY41" s="29"/>
      <c r="EHZ41" s="28"/>
      <c r="EIA41" s="28"/>
      <c r="EIB41" s="28"/>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30"/>
      <c r="EJO41" s="28"/>
      <c r="EJP41" s="29"/>
      <c r="EJQ41" s="29"/>
      <c r="EJR41" s="29"/>
      <c r="EJS41" s="29"/>
      <c r="EJT41" s="29"/>
      <c r="EJU41" s="28"/>
      <c r="EJV41" s="29"/>
      <c r="EJW41" s="29"/>
      <c r="EJX41" s="28"/>
      <c r="EJY41" s="29"/>
      <c r="EJZ41" s="30"/>
      <c r="EKA41" s="28"/>
      <c r="EKB41" s="29"/>
      <c r="EKC41" s="29"/>
      <c r="EKD41" s="29"/>
      <c r="EKE41" s="28"/>
      <c r="EKF41" s="29"/>
      <c r="EKG41" s="29"/>
      <c r="EKH41" s="28"/>
      <c r="EKI41" s="29"/>
      <c r="EKJ41" s="30"/>
      <c r="EKK41" s="28"/>
      <c r="EKL41" s="29"/>
      <c r="EKM41" s="29"/>
      <c r="EKN41" s="29"/>
      <c r="EKO41" s="28"/>
      <c r="EKP41" s="29"/>
      <c r="EKQ41" s="29"/>
      <c r="EKR41" s="28"/>
      <c r="EKS41" s="29"/>
      <c r="EKT41" s="30"/>
      <c r="EKU41" s="28"/>
      <c r="EKV41" s="29"/>
      <c r="EKW41" s="29"/>
      <c r="EKX41" s="29"/>
      <c r="EKY41" s="28"/>
      <c r="EKZ41" s="29"/>
      <c r="ELA41" s="29"/>
      <c r="ELB41" s="28"/>
      <c r="ELC41" s="29"/>
      <c r="ELD41" s="30"/>
      <c r="ELE41" s="28"/>
      <c r="ELF41" s="30"/>
      <c r="ELG41" s="29"/>
      <c r="ELH41" s="28"/>
      <c r="ELI41" s="29"/>
      <c r="ELJ41" s="28"/>
      <c r="ELK41" s="28"/>
      <c r="ELL41" s="28"/>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30"/>
      <c r="EMY41" s="28"/>
      <c r="EMZ41" s="29"/>
      <c r="ENA41" s="29"/>
      <c r="ENB41" s="29"/>
      <c r="ENC41" s="29"/>
      <c r="END41" s="29"/>
      <c r="ENE41" s="28"/>
      <c r="ENF41" s="29"/>
      <c r="ENG41" s="29"/>
      <c r="ENH41" s="28"/>
      <c r="ENI41" s="29"/>
      <c r="ENJ41" s="30"/>
      <c r="ENK41" s="28"/>
      <c r="ENL41" s="29"/>
      <c r="ENM41" s="29"/>
      <c r="ENN41" s="29"/>
      <c r="ENO41" s="28"/>
      <c r="ENP41" s="29"/>
      <c r="ENQ41" s="29"/>
      <c r="ENR41" s="28"/>
      <c r="ENS41" s="29"/>
      <c r="ENT41" s="30"/>
      <c r="ENU41" s="28"/>
      <c r="ENV41" s="29"/>
      <c r="ENW41" s="29"/>
      <c r="ENX41" s="29"/>
      <c r="ENY41" s="28"/>
      <c r="ENZ41" s="29"/>
      <c r="EOA41" s="29"/>
      <c r="EOB41" s="28"/>
      <c r="EOC41" s="29"/>
      <c r="EOD41" s="30"/>
      <c r="EOE41" s="28"/>
      <c r="EOF41" s="29"/>
      <c r="EOG41" s="29"/>
      <c r="EOH41" s="29"/>
      <c r="EOI41" s="28"/>
      <c r="EOJ41" s="29"/>
      <c r="EOK41" s="29"/>
      <c r="EOL41" s="28"/>
      <c r="EOM41" s="29"/>
      <c r="EON41" s="30"/>
      <c r="EOO41" s="28" t="str">
        <f t="shared" si="75"/>
        <v xml:space="preserve"> </v>
      </c>
    </row>
    <row r="42" spans="1:3785" x14ac:dyDescent="0.3">
      <c r="A42" s="392" t="s">
        <v>237</v>
      </c>
      <c r="B42" s="58" t="s">
        <v>4969</v>
      </c>
      <c r="C42" s="57" t="s">
        <v>1381</v>
      </c>
      <c r="D42" s="56" t="str">
        <f t="shared" si="61"/>
        <v xml:space="preserve"> </v>
      </c>
      <c r="E42" s="57"/>
      <c r="F42" s="56"/>
      <c r="G42" s="59">
        <v>45435</v>
      </c>
      <c r="H42" s="397">
        <f>+G42+365</f>
        <v>45800</v>
      </c>
      <c r="I42" s="57" t="s">
        <v>1372</v>
      </c>
      <c r="J42" s="57" t="s">
        <v>1373</v>
      </c>
      <c r="K42" s="57" t="s">
        <v>1372</v>
      </c>
      <c r="L42" s="57" t="s">
        <v>1373</v>
      </c>
      <c r="M42" s="57" t="s">
        <v>1461</v>
      </c>
      <c r="N42" s="57" t="s">
        <v>4327</v>
      </c>
      <c r="O42" s="57" t="s">
        <v>1372</v>
      </c>
      <c r="P42" s="57"/>
      <c r="Q42" s="57" t="s">
        <v>1372</v>
      </c>
      <c r="R42" s="57" t="s">
        <v>1372</v>
      </c>
      <c r="S42" s="57" t="s">
        <v>1372</v>
      </c>
      <c r="T42" s="57" t="s">
        <v>1372</v>
      </c>
      <c r="U42" s="57" t="s">
        <v>1372</v>
      </c>
      <c r="V42" s="57" t="s">
        <v>1372</v>
      </c>
      <c r="W42" s="57"/>
      <c r="X42" s="57"/>
      <c r="Y42" s="57"/>
      <c r="Z42" s="57" t="s">
        <v>1372</v>
      </c>
      <c r="AA42" s="57"/>
      <c r="AB42" s="57"/>
      <c r="AC42" s="57"/>
      <c r="AD42" s="57"/>
      <c r="AE42" s="57"/>
      <c r="AF42" s="57" t="s">
        <v>1372</v>
      </c>
      <c r="AG42" s="57"/>
      <c r="AH42" s="57"/>
      <c r="AI42" s="57"/>
      <c r="AJ42" s="57"/>
      <c r="AK42" s="57"/>
      <c r="AL42" s="57"/>
      <c r="AM42" s="57"/>
      <c r="AN42" s="57"/>
      <c r="AO42" s="57"/>
      <c r="AP42" s="57" t="s">
        <v>1372</v>
      </c>
      <c r="AQ42" s="57"/>
      <c r="AR42" s="57" t="s">
        <v>1783</v>
      </c>
      <c r="AS42" s="57"/>
      <c r="AT42" s="58" t="s">
        <v>4964</v>
      </c>
      <c r="AU42" s="57" t="s">
        <v>4070</v>
      </c>
      <c r="AV42" s="56" t="str">
        <f t="shared" ref="AV42" si="189">IFERROR(VLOOKUP(AT42,BASEPOE1,2,FALSE)," ")</f>
        <v xml:space="preserve"> </v>
      </c>
      <c r="AW42" s="57"/>
      <c r="AX42" s="56"/>
      <c r="AY42" s="59">
        <v>45355</v>
      </c>
      <c r="AZ42" s="397">
        <f>+AY42+365</f>
        <v>45720</v>
      </c>
      <c r="BA42" s="57" t="s">
        <v>1372</v>
      </c>
      <c r="BB42" s="57" t="s">
        <v>1373</v>
      </c>
      <c r="BC42" s="57" t="s">
        <v>1372</v>
      </c>
      <c r="BD42" s="57" t="s">
        <v>1373</v>
      </c>
      <c r="BE42" s="57" t="s">
        <v>1461</v>
      </c>
      <c r="BF42" s="57" t="s">
        <v>4327</v>
      </c>
      <c r="BG42" s="57"/>
      <c r="BH42" s="57"/>
      <c r="BI42" s="57"/>
      <c r="BJ42" s="57" t="s">
        <v>4965</v>
      </c>
      <c r="BK42" s="57" t="s">
        <v>1372</v>
      </c>
      <c r="BL42" s="57" t="s">
        <v>1372</v>
      </c>
      <c r="BM42" s="57" t="s">
        <v>1372</v>
      </c>
      <c r="BN42" s="57" t="s">
        <v>1372</v>
      </c>
      <c r="BO42" s="57"/>
      <c r="BP42" s="57"/>
      <c r="BQ42" s="57"/>
      <c r="BR42" s="57" t="s">
        <v>1372</v>
      </c>
      <c r="BS42" s="57"/>
      <c r="BT42" s="57"/>
      <c r="BU42" s="57"/>
      <c r="BV42" s="57"/>
      <c r="BW42" s="57"/>
      <c r="BX42" s="57" t="s">
        <v>1372</v>
      </c>
      <c r="BY42" s="57"/>
      <c r="BZ42" s="57"/>
      <c r="CA42" s="57"/>
      <c r="CB42" s="57"/>
      <c r="CC42" s="57"/>
      <c r="CD42" s="57"/>
      <c r="CE42" s="57"/>
      <c r="CF42" s="57"/>
      <c r="CG42" s="57"/>
      <c r="CH42" s="57"/>
      <c r="CI42" s="57"/>
      <c r="CJ42" s="57" t="s">
        <v>1783</v>
      </c>
      <c r="CK42" s="57"/>
      <c r="CL42" s="394" t="s">
        <v>4977</v>
      </c>
      <c r="CM42" s="57" t="s">
        <v>1371</v>
      </c>
      <c r="CN42" s="56" t="str">
        <f t="shared" ref="CN42" si="190">IFERROR(VLOOKUP(CL42,BASEPOE1,2,FALSE)," ")</f>
        <v xml:space="preserve"> </v>
      </c>
      <c r="CO42" s="57"/>
      <c r="CP42" s="56"/>
      <c r="CQ42" s="59">
        <v>45345</v>
      </c>
      <c r="CR42" s="397">
        <f>+CQ42+365</f>
        <v>45710</v>
      </c>
      <c r="CS42" s="57" t="s">
        <v>1372</v>
      </c>
      <c r="CT42" s="57" t="s">
        <v>1373</v>
      </c>
      <c r="CU42" s="57" t="s">
        <v>1372</v>
      </c>
      <c r="CV42" s="57" t="s">
        <v>1373</v>
      </c>
      <c r="CW42" s="57" t="s">
        <v>1461</v>
      </c>
      <c r="CX42" s="57" t="s">
        <v>4974</v>
      </c>
      <c r="CY42" s="57" t="s">
        <v>1372</v>
      </c>
      <c r="CZ42" s="57"/>
      <c r="DA42" s="57" t="s">
        <v>1372</v>
      </c>
      <c r="DB42" s="57" t="s">
        <v>1372</v>
      </c>
      <c r="DC42" s="57" t="s">
        <v>1372</v>
      </c>
      <c r="DD42" s="57" t="s">
        <v>1372</v>
      </c>
      <c r="DE42" s="57" t="s">
        <v>1372</v>
      </c>
      <c r="DF42" s="57" t="s">
        <v>1372</v>
      </c>
      <c r="DG42" s="57"/>
      <c r="DH42" s="57"/>
      <c r="DI42" s="57"/>
      <c r="DJ42" s="57" t="s">
        <v>1372</v>
      </c>
      <c r="DK42" s="57"/>
      <c r="DL42" s="57"/>
      <c r="DM42" s="57"/>
      <c r="DN42" s="57"/>
      <c r="DO42" s="57"/>
      <c r="DP42" s="57" t="s">
        <v>1372</v>
      </c>
      <c r="DQ42" s="57"/>
      <c r="DR42" s="57"/>
      <c r="DS42" s="57"/>
      <c r="DT42" s="57"/>
      <c r="DU42" s="57"/>
      <c r="DV42" s="57"/>
      <c r="DW42" s="57"/>
      <c r="DX42" s="57"/>
      <c r="DY42" s="57"/>
      <c r="DZ42" s="57"/>
      <c r="EA42" s="57"/>
      <c r="EB42" s="57" t="s">
        <v>1783</v>
      </c>
      <c r="EC42" s="57"/>
      <c r="ED42" s="58" t="s">
        <v>4973</v>
      </c>
      <c r="EE42" s="57" t="s">
        <v>1371</v>
      </c>
      <c r="EF42" s="56" t="str">
        <f t="shared" ref="EF42" si="191">IFERROR(VLOOKUP(ED42,BASEPOE1,2,FALSE)," ")</f>
        <v xml:space="preserve"> </v>
      </c>
      <c r="EG42" s="57"/>
      <c r="EH42" s="56"/>
      <c r="EI42" s="59">
        <v>45345</v>
      </c>
      <c r="EJ42" s="397">
        <f>+EI42+365</f>
        <v>45710</v>
      </c>
      <c r="EK42" s="57" t="s">
        <v>1372</v>
      </c>
      <c r="EL42" s="57" t="s">
        <v>1373</v>
      </c>
      <c r="EM42" s="57" t="s">
        <v>1372</v>
      </c>
      <c r="EN42" s="57" t="s">
        <v>1373</v>
      </c>
      <c r="EO42" s="57" t="s">
        <v>1461</v>
      </c>
      <c r="EP42" s="57" t="s">
        <v>4974</v>
      </c>
      <c r="EQ42" s="57" t="s">
        <v>2582</v>
      </c>
      <c r="ER42" s="57"/>
      <c r="ES42" s="57" t="s">
        <v>1372</v>
      </c>
      <c r="ET42" s="57"/>
      <c r="EU42" s="57" t="s">
        <v>4975</v>
      </c>
      <c r="EV42" s="57" t="s">
        <v>1461</v>
      </c>
      <c r="EW42" s="57" t="s">
        <v>1461</v>
      </c>
      <c r="EX42" s="57" t="s">
        <v>1372</v>
      </c>
      <c r="EY42" s="57"/>
      <c r="EZ42" s="57"/>
      <c r="FA42" s="57"/>
      <c r="FB42" s="57" t="s">
        <v>1372</v>
      </c>
      <c r="FC42" s="57"/>
      <c r="FD42" s="57"/>
      <c r="FE42" s="57"/>
      <c r="FF42" s="57"/>
      <c r="FG42" s="57"/>
      <c r="FH42" s="57" t="s">
        <v>1372</v>
      </c>
      <c r="FI42" s="57"/>
      <c r="FJ42" s="57"/>
      <c r="FK42" s="57"/>
      <c r="FL42" s="57"/>
      <c r="FM42" s="57"/>
      <c r="FN42" s="57"/>
      <c r="FO42" s="57"/>
      <c r="FP42" s="57"/>
      <c r="FQ42" s="57"/>
      <c r="FR42" s="57"/>
      <c r="FS42" s="57"/>
      <c r="FT42" s="57" t="s">
        <v>1783</v>
      </c>
      <c r="FU42" s="57"/>
      <c r="FV42" s="58" t="s">
        <v>5583</v>
      </c>
      <c r="FW42" s="57"/>
      <c r="FX42" s="56" t="str">
        <f t="shared" ref="FX42" si="192">IFERROR(VLOOKUP(FV42,BASEPOE1,2,FALSE)," ")</f>
        <v xml:space="preserve"> </v>
      </c>
      <c r="FY42" s="57"/>
      <c r="FZ42" s="56"/>
      <c r="GA42" s="59">
        <v>45345</v>
      </c>
      <c r="GB42" s="397">
        <f>+GA42+365</f>
        <v>45710</v>
      </c>
      <c r="GC42" s="57" t="s">
        <v>1372</v>
      </c>
      <c r="GD42" s="57" t="s">
        <v>1373</v>
      </c>
      <c r="GE42" s="57" t="s">
        <v>1372</v>
      </c>
      <c r="GF42" s="57" t="s">
        <v>1373</v>
      </c>
      <c r="GG42" s="57" t="s">
        <v>1461</v>
      </c>
      <c r="GH42" s="57" t="s">
        <v>4962</v>
      </c>
      <c r="GI42" s="57"/>
      <c r="GJ42" s="57"/>
      <c r="GK42" s="57"/>
      <c r="GL42" s="57"/>
      <c r="GM42" s="57" t="s">
        <v>1372</v>
      </c>
      <c r="GN42" s="57" t="s">
        <v>1372</v>
      </c>
      <c r="GO42" s="57" t="s">
        <v>1372</v>
      </c>
      <c r="GP42" s="57" t="s">
        <v>1372</v>
      </c>
      <c r="GQ42" s="57"/>
      <c r="GR42" s="57"/>
      <c r="GS42" s="57"/>
      <c r="GT42" s="57" t="s">
        <v>1372</v>
      </c>
      <c r="GU42" s="57"/>
      <c r="GV42" s="57"/>
      <c r="GW42" s="57"/>
      <c r="GX42" s="57"/>
      <c r="GY42" s="57"/>
      <c r="GZ42" s="57" t="s">
        <v>1372</v>
      </c>
      <c r="HA42" s="57" t="s">
        <v>1372</v>
      </c>
      <c r="HB42" s="57"/>
      <c r="HC42" s="57"/>
      <c r="HD42" s="57"/>
      <c r="HE42" s="57"/>
      <c r="HF42" s="57"/>
      <c r="HG42" s="57"/>
      <c r="HH42" s="57"/>
      <c r="HI42" s="57"/>
      <c r="HJ42" s="57"/>
      <c r="HK42" s="57"/>
      <c r="HL42" s="57"/>
      <c r="HM42" s="57"/>
      <c r="HN42" s="58" t="s">
        <v>5584</v>
      </c>
      <c r="HO42" s="57"/>
      <c r="HP42" s="56" t="str">
        <f t="shared" ref="HP42" si="193">IFERROR(VLOOKUP(HN42,BASEPOE1,2,FALSE)," ")</f>
        <v xml:space="preserve"> </v>
      </c>
      <c r="HQ42" s="57"/>
      <c r="HR42" s="56"/>
      <c r="HS42" s="59">
        <v>45345</v>
      </c>
      <c r="HT42" s="397">
        <f>+HS42+365</f>
        <v>45710</v>
      </c>
      <c r="HU42" s="57" t="s">
        <v>1372</v>
      </c>
      <c r="HV42" s="57" t="s">
        <v>1373</v>
      </c>
      <c r="HW42" s="57" t="s">
        <v>1372</v>
      </c>
      <c r="HX42" s="57" t="s">
        <v>1373</v>
      </c>
      <c r="HY42" s="57" t="s">
        <v>1461</v>
      </c>
      <c r="HZ42" s="57" t="s">
        <v>4962</v>
      </c>
      <c r="IA42" s="57" t="s">
        <v>1372</v>
      </c>
      <c r="IB42" s="57" t="s">
        <v>1372</v>
      </c>
      <c r="IC42" s="57"/>
      <c r="ID42" s="57" t="s">
        <v>1372</v>
      </c>
      <c r="IE42" s="57" t="s">
        <v>1372</v>
      </c>
      <c r="IF42" s="57" t="s">
        <v>1372</v>
      </c>
      <c r="IG42" s="57" t="s">
        <v>1372</v>
      </c>
      <c r="IH42" s="57" t="s">
        <v>1372</v>
      </c>
      <c r="II42" s="57"/>
      <c r="IJ42" s="57"/>
      <c r="IK42" s="57"/>
      <c r="IL42" s="57" t="s">
        <v>1372</v>
      </c>
      <c r="IM42" s="57"/>
      <c r="IN42" s="57"/>
      <c r="IO42" s="57"/>
      <c r="IP42" s="57"/>
      <c r="IQ42" s="57"/>
      <c r="IR42" s="57" t="s">
        <v>1372</v>
      </c>
      <c r="IS42" s="57" t="s">
        <v>1372</v>
      </c>
      <c r="IT42" s="57"/>
      <c r="IU42" s="57"/>
      <c r="IV42" s="57"/>
      <c r="IW42" s="57"/>
      <c r="IX42" s="57"/>
      <c r="IY42" s="57"/>
      <c r="IZ42" s="57"/>
      <c r="JA42" s="57"/>
      <c r="JB42" s="57"/>
      <c r="JC42" s="57"/>
      <c r="JD42" s="57"/>
      <c r="JE42" s="57"/>
      <c r="JF42" s="58"/>
      <c r="JG42" s="57"/>
      <c r="JH42" s="56" t="str">
        <f t="shared" ref="JH42" si="194">IFERROR(VLOOKUP(JF42,BASEPOE1,2,FALSE)," ")</f>
        <v xml:space="preserve"> </v>
      </c>
      <c r="JI42" s="57"/>
      <c r="JJ42" s="56"/>
      <c r="JK42" s="59"/>
      <c r="JL42" s="397">
        <f>+JK42+365</f>
        <v>365</v>
      </c>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8"/>
      <c r="KY42" s="57"/>
      <c r="KZ42" s="56" t="str">
        <f t="shared" ref="KZ42" si="195">IFERROR(VLOOKUP(KX42,BASEPOE1,2,FALSE)," ")</f>
        <v xml:space="preserve"> </v>
      </c>
      <c r="LA42" s="57"/>
      <c r="LB42" s="56"/>
      <c r="LC42" s="59"/>
      <c r="LD42" s="397">
        <f>+LC42+365</f>
        <v>365</v>
      </c>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8"/>
      <c r="MQ42" s="57"/>
      <c r="MR42" s="56" t="str">
        <f t="shared" ref="MR42" si="196">IFERROR(VLOOKUP(MP42,BASEPOE1,2,FALSE)," ")</f>
        <v xml:space="preserve"> </v>
      </c>
      <c r="MS42" s="57"/>
      <c r="MT42" s="56"/>
      <c r="MU42" s="59"/>
      <c r="MV42" s="397">
        <f>+MU42+365</f>
        <v>365</v>
      </c>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8"/>
      <c r="OI42" s="57"/>
      <c r="OJ42" s="56" t="str">
        <f t="shared" ref="OJ42" si="197">IFERROR(VLOOKUP(OH42,BASEPOE1,2,FALSE)," ")</f>
        <v xml:space="preserve"> </v>
      </c>
      <c r="OK42" s="57"/>
      <c r="OL42" s="56"/>
      <c r="OM42" s="59"/>
      <c r="ON42" s="397">
        <f>+OM42+365</f>
        <v>365</v>
      </c>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8"/>
      <c r="QA42" s="57"/>
      <c r="QB42" s="56" t="str">
        <f t="shared" ref="QB42" si="198">IFERROR(VLOOKUP(PZ42,BASEPOE1,2,FALSE)," ")</f>
        <v xml:space="preserve"> </v>
      </c>
      <c r="QC42" s="57"/>
      <c r="QD42" s="56"/>
      <c r="QE42" s="59"/>
      <c r="QF42" s="397">
        <f>+QE42+365</f>
        <v>365</v>
      </c>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8"/>
      <c r="RS42" s="57"/>
      <c r="RT42" s="56" t="str">
        <f t="shared" ref="RT42" si="199">IFERROR(VLOOKUP(RR42,BASEPOE1,2,FALSE)," ")</f>
        <v xml:space="preserve"> </v>
      </c>
      <c r="RU42" s="57"/>
      <c r="RV42" s="56"/>
      <c r="RW42" s="59"/>
      <c r="RX42" s="397">
        <f>+RW42+365</f>
        <v>365</v>
      </c>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8"/>
      <c r="TK42" s="57"/>
      <c r="TL42" s="56" t="str">
        <f t="shared" ref="TL42" si="200">IFERROR(VLOOKUP(TJ42,BASEPOE1,2,FALSE)," ")</f>
        <v xml:space="preserve"> </v>
      </c>
      <c r="TM42" s="57"/>
      <c r="TN42" s="56"/>
      <c r="TO42" s="59"/>
      <c r="TP42" s="397">
        <f>+TO42+365</f>
        <v>365</v>
      </c>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8"/>
      <c r="VC42" s="57"/>
      <c r="VD42" s="56" t="str">
        <f t="shared" ref="VD42" si="201">IFERROR(VLOOKUP(VB42,BASEPOE1,2,FALSE)," ")</f>
        <v xml:space="preserve"> </v>
      </c>
      <c r="VE42" s="57"/>
      <c r="VF42" s="56"/>
      <c r="VG42" s="59"/>
      <c r="VH42" s="397">
        <f>+VG42+365</f>
        <v>365</v>
      </c>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8"/>
      <c r="WU42" s="57"/>
      <c r="WV42" s="56" t="str">
        <f t="shared" ref="WV42" si="202">IFERROR(VLOOKUP(WT42,BASEPOE1,2,FALSE)," ")</f>
        <v xml:space="preserve"> </v>
      </c>
      <c r="WW42" s="57"/>
      <c r="WX42" s="56"/>
      <c r="WY42" s="59"/>
      <c r="WZ42" s="397">
        <f>+WY42+365</f>
        <v>365</v>
      </c>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8"/>
      <c r="YM42" s="57"/>
      <c r="YN42" s="56" t="str">
        <f t="shared" ref="YN42" si="203">IFERROR(VLOOKUP(YL42,BASEPOE1,2,FALSE)," ")</f>
        <v xml:space="preserve"> </v>
      </c>
      <c r="YO42" s="57"/>
      <c r="YP42" s="56"/>
      <c r="YQ42" s="59"/>
      <c r="YR42" s="397">
        <f>+YQ42+365</f>
        <v>365</v>
      </c>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6"/>
      <c r="AAE42" s="57"/>
      <c r="AAF42" s="58"/>
      <c r="AAG42" s="56"/>
      <c r="AAH42" s="57"/>
      <c r="AAI42" s="57"/>
      <c r="AAJ42" s="57"/>
      <c r="AAK42" s="56"/>
      <c r="AAL42" s="57"/>
      <c r="AAM42" s="57"/>
      <c r="AAN42" s="56"/>
      <c r="AAO42" s="57"/>
      <c r="AAP42" s="58"/>
      <c r="AAQ42" s="56"/>
      <c r="AAR42" s="57"/>
      <c r="AAS42" s="57"/>
      <c r="AAT42" s="57"/>
      <c r="AAU42" s="56"/>
      <c r="AAV42" s="57"/>
      <c r="AAW42" s="57"/>
      <c r="AAX42" s="58"/>
      <c r="AAY42" s="58"/>
      <c r="AAZ42" s="58"/>
      <c r="ABA42" s="56"/>
      <c r="ABB42" s="58"/>
      <c r="ABC42" s="58"/>
      <c r="ABD42" s="58"/>
      <c r="ABE42" s="58"/>
      <c r="ABF42" s="58"/>
      <c r="ABG42" s="57"/>
      <c r="ABH42" s="56"/>
      <c r="ABI42" s="57"/>
      <c r="ABJ42" s="58"/>
      <c r="ABK42" s="56"/>
      <c r="ABL42" s="57"/>
      <c r="ABM42" s="57"/>
      <c r="ABN42" s="57"/>
      <c r="ABO42" s="56"/>
      <c r="ABP42" s="57"/>
      <c r="ABQ42" s="57"/>
      <c r="ABR42" s="56"/>
      <c r="ABS42" s="57"/>
      <c r="ABT42" s="58"/>
      <c r="ABU42" s="56"/>
      <c r="ABV42" s="57"/>
      <c r="ABW42" s="57"/>
      <c r="ABX42" s="57"/>
      <c r="ABY42" s="56"/>
      <c r="ABZ42" s="57"/>
      <c r="ACA42" s="57"/>
      <c r="ACB42" s="56"/>
      <c r="ACC42" s="57"/>
      <c r="ACD42" s="58"/>
      <c r="ACE42" s="56"/>
      <c r="ACF42" s="57"/>
      <c r="ACG42" s="57"/>
      <c r="ACH42" s="57"/>
      <c r="ACI42" s="56"/>
      <c r="ACJ42" s="57"/>
      <c r="ACK42" s="57"/>
      <c r="ACL42" s="56"/>
      <c r="ACM42" s="57"/>
      <c r="ACN42" s="58"/>
      <c r="ACO42" s="56"/>
      <c r="ACP42" s="57"/>
      <c r="ACQ42" s="57"/>
      <c r="ACR42" s="57"/>
      <c r="ACS42" s="56"/>
      <c r="ACT42" s="57"/>
      <c r="ACU42" s="57"/>
      <c r="ACV42" s="56"/>
      <c r="ACW42" s="57"/>
      <c r="ACX42" s="58"/>
      <c r="ACY42" s="56"/>
      <c r="ACZ42" s="57"/>
      <c r="ADA42" s="57"/>
      <c r="ADB42" s="57"/>
      <c r="ADC42" s="56"/>
      <c r="ADD42" s="57"/>
      <c r="ADE42" s="57"/>
      <c r="ADF42" s="56"/>
      <c r="ADG42" s="57"/>
      <c r="ADH42" s="58"/>
      <c r="ADI42" s="56"/>
      <c r="ADJ42" s="57"/>
      <c r="ADK42" s="57"/>
      <c r="ADL42" s="57"/>
      <c r="ADM42" s="56"/>
      <c r="ADN42" s="57"/>
      <c r="ADO42" s="57"/>
      <c r="ADP42" s="56"/>
      <c r="ADQ42" s="57"/>
      <c r="ADR42" s="58"/>
      <c r="ADS42" s="56"/>
      <c r="ADT42" s="57"/>
      <c r="ADU42" s="57"/>
      <c r="ADV42" s="57"/>
      <c r="ADW42" s="56"/>
      <c r="ADX42" s="57"/>
      <c r="ADY42" s="57"/>
      <c r="ADZ42" s="56"/>
      <c r="AEA42" s="57"/>
      <c r="AEB42" s="58"/>
      <c r="AEC42" s="56"/>
      <c r="AED42" s="57"/>
      <c r="AEE42" s="57"/>
      <c r="AEF42" s="57"/>
      <c r="AEG42" s="56"/>
      <c r="AEH42" s="57"/>
      <c r="AEI42" s="57"/>
      <c r="AEJ42" s="56"/>
      <c r="AEK42" s="57"/>
      <c r="AEL42" s="58"/>
      <c r="AEM42" s="56"/>
      <c r="AEN42" s="57"/>
      <c r="AEO42" s="57"/>
      <c r="AEP42" s="57"/>
      <c r="AEQ42" s="56"/>
      <c r="AER42" s="57"/>
      <c r="AES42" s="57"/>
      <c r="AET42" s="56"/>
      <c r="AEU42" s="57"/>
      <c r="AEV42" s="58"/>
      <c r="AEW42" s="56"/>
      <c r="AEX42" s="57"/>
      <c r="AEY42" s="57"/>
      <c r="AEZ42" s="57"/>
      <c r="AFA42" s="56"/>
      <c r="AFB42" s="57"/>
      <c r="AFC42" s="57"/>
      <c r="AFD42" s="56"/>
      <c r="AFE42" s="57"/>
      <c r="AFF42" s="58"/>
      <c r="AFG42" s="56"/>
      <c r="AFH42" s="57"/>
      <c r="AFI42" s="57"/>
      <c r="AFJ42" s="57"/>
      <c r="AFK42" s="56"/>
      <c r="AFL42" s="57"/>
      <c r="AFM42" s="57"/>
      <c r="AFN42" s="56"/>
      <c r="AFO42" s="57"/>
      <c r="AFP42" s="58"/>
      <c r="AFQ42" s="56"/>
      <c r="AFR42" s="57"/>
      <c r="AFS42" s="57"/>
      <c r="AFT42" s="57"/>
      <c r="AFU42" s="56"/>
      <c r="AFV42" s="57"/>
      <c r="AFW42" s="57"/>
      <c r="AFX42" s="56"/>
      <c r="AFY42" s="57"/>
      <c r="AFZ42" s="58"/>
      <c r="AGA42" s="56"/>
      <c r="AGB42" s="57"/>
      <c r="AGC42" s="57"/>
      <c r="AGD42" s="57"/>
      <c r="AGE42" s="56"/>
      <c r="AGF42" s="57"/>
      <c r="AGG42" s="57"/>
      <c r="AGH42" s="56"/>
      <c r="AGI42" s="57"/>
      <c r="AGJ42" s="58"/>
      <c r="AGK42" s="56"/>
      <c r="AGL42" s="57"/>
      <c r="AGM42" s="57"/>
      <c r="AGN42" s="57"/>
      <c r="AGO42" s="56"/>
      <c r="AGP42" s="57"/>
      <c r="AGQ42" s="57"/>
      <c r="AGR42" s="56"/>
      <c r="AGS42" s="57"/>
      <c r="AGT42" s="58"/>
      <c r="AGU42" s="56"/>
      <c r="AGV42" s="57"/>
      <c r="AGW42" s="57"/>
      <c r="AGX42" s="57"/>
      <c r="AGY42" s="56"/>
      <c r="AGZ42" s="57"/>
      <c r="AHA42" s="57"/>
      <c r="AHB42" s="56"/>
      <c r="AHC42" s="57"/>
      <c r="AHD42" s="58"/>
      <c r="AHE42" s="56"/>
      <c r="AHF42" s="57"/>
      <c r="AHG42" s="57"/>
      <c r="AHH42" s="57"/>
      <c r="AHI42" s="56"/>
      <c r="AHJ42" s="57"/>
      <c r="AHK42" s="57"/>
      <c r="AHL42" s="56"/>
      <c r="AHM42" s="57"/>
      <c r="AHN42" s="58"/>
      <c r="AHO42" s="56"/>
      <c r="AHP42" s="57"/>
      <c r="AHQ42" s="57"/>
      <c r="AHR42" s="57"/>
      <c r="AHS42" s="56"/>
      <c r="AHT42" s="57"/>
      <c r="AHU42" s="57"/>
      <c r="AHV42" s="56"/>
      <c r="AHW42" s="57"/>
      <c r="AHX42" s="58"/>
      <c r="AHY42" s="56"/>
      <c r="AHZ42" s="57"/>
      <c r="AIA42" s="57"/>
      <c r="AIB42" s="57"/>
      <c r="AIC42" s="56"/>
      <c r="AID42" s="57"/>
      <c r="AIE42" s="57"/>
      <c r="AIF42" s="56"/>
      <c r="AIG42" s="57"/>
      <c r="AIH42" s="58"/>
      <c r="AII42" s="56"/>
      <c r="AIJ42" s="57"/>
      <c r="AIK42" s="57"/>
      <c r="AIL42" s="57"/>
      <c r="AIM42" s="56"/>
      <c r="AIN42" s="57"/>
      <c r="AIO42" s="57"/>
      <c r="AIP42" s="56"/>
      <c r="AIQ42" s="57"/>
      <c r="AIR42" s="58"/>
      <c r="AIS42" s="56"/>
      <c r="AIT42" s="57"/>
      <c r="AIU42" s="57"/>
      <c r="AIV42" s="57"/>
      <c r="AIW42" s="56"/>
      <c r="AIX42" s="57"/>
      <c r="AIY42" s="57"/>
      <c r="AIZ42" s="56"/>
      <c r="AJA42" s="57"/>
      <c r="AJB42" s="58"/>
      <c r="AJC42" s="56"/>
      <c r="AJD42" s="57"/>
      <c r="AJE42" s="57"/>
      <c r="AJF42" s="57"/>
      <c r="AJG42" s="56"/>
      <c r="AJH42" s="57"/>
      <c r="AJI42" s="57"/>
      <c r="AJJ42" s="56"/>
      <c r="AJK42" s="57"/>
      <c r="AJL42" s="58"/>
      <c r="AJM42" s="56"/>
      <c r="AJN42" s="57"/>
      <c r="AJO42" s="57"/>
      <c r="AJP42" s="57"/>
      <c r="AJQ42" s="56"/>
      <c r="AJR42" s="57"/>
      <c r="AJS42" s="57"/>
      <c r="AJT42" s="56"/>
      <c r="AJU42" s="57"/>
      <c r="AJV42" s="58"/>
      <c r="AJW42" s="56"/>
      <c r="AJX42" s="57"/>
      <c r="AJY42" s="57"/>
      <c r="AJZ42" s="57"/>
      <c r="AKA42" s="56"/>
      <c r="AKB42" s="57"/>
      <c r="AKC42" s="57"/>
      <c r="AKD42" s="56"/>
      <c r="AKE42" s="57"/>
      <c r="AKF42" s="58"/>
      <c r="AKG42" s="56"/>
      <c r="AKH42" s="57"/>
      <c r="AKI42" s="57"/>
      <c r="AKJ42" s="57"/>
      <c r="AKK42" s="56"/>
      <c r="AKL42" s="57"/>
      <c r="AKM42" s="57"/>
      <c r="AKN42" s="56"/>
      <c r="AKO42" s="57"/>
      <c r="AKP42" s="58"/>
      <c r="AKQ42" s="56"/>
      <c r="AKR42" s="57"/>
      <c r="AKS42" s="57"/>
      <c r="AKT42" s="57"/>
      <c r="AKU42" s="56"/>
      <c r="AKV42" s="57"/>
      <c r="AKW42" s="57"/>
      <c r="AKX42" s="56"/>
      <c r="AKY42" s="57"/>
      <c r="AKZ42" s="58"/>
      <c r="ALA42" s="56"/>
      <c r="ALB42" s="57"/>
      <c r="ALC42" s="57"/>
      <c r="ALD42" s="57"/>
      <c r="ALE42" s="56"/>
      <c r="ALF42" s="57"/>
      <c r="ALG42" s="57"/>
      <c r="ALH42" s="57"/>
      <c r="ALI42" s="57"/>
      <c r="ALJ42" s="57"/>
      <c r="ALK42" s="56"/>
      <c r="ALL42" s="57"/>
      <c r="ALM42" s="57"/>
      <c r="ALN42" s="56"/>
      <c r="ALO42" s="57"/>
      <c r="ALP42" s="58"/>
      <c r="ALQ42" s="56"/>
      <c r="ALR42" s="57"/>
      <c r="ALS42" s="57"/>
      <c r="ALT42" s="57"/>
      <c r="ALU42" s="56"/>
      <c r="ALV42" s="57"/>
      <c r="ALW42" s="57"/>
      <c r="ALX42" s="56"/>
      <c r="ALY42" s="57"/>
      <c r="ALZ42" s="58"/>
      <c r="AMA42" s="56"/>
      <c r="AMB42" s="57"/>
      <c r="AMC42" s="57"/>
      <c r="AMD42" s="57"/>
      <c r="AME42" s="56"/>
      <c r="AMF42" s="57"/>
      <c r="AMG42" s="57"/>
      <c r="AMH42" s="57"/>
      <c r="AMI42" s="57"/>
      <c r="AMJ42" s="57"/>
      <c r="AMK42" s="56"/>
      <c r="AML42" s="57"/>
      <c r="AMM42" s="57"/>
      <c r="AMN42" s="56"/>
      <c r="AMO42" s="57"/>
      <c r="AMP42" s="58"/>
      <c r="AMQ42" s="56"/>
      <c r="AMR42" s="57"/>
      <c r="AMS42" s="57"/>
      <c r="AMT42" s="57"/>
      <c r="AMU42" s="56"/>
      <c r="AMV42" s="57"/>
      <c r="AMW42" s="57"/>
      <c r="AMX42" s="56"/>
      <c r="AMY42" s="57"/>
      <c r="AMZ42" s="58"/>
      <c r="ANA42" s="56"/>
      <c r="ANB42" s="57"/>
      <c r="ANC42" s="57"/>
      <c r="AND42" s="57"/>
      <c r="ANE42" s="56"/>
      <c r="ANF42" s="57"/>
      <c r="ANG42" s="57"/>
      <c r="ANH42" s="57"/>
      <c r="ANI42" s="57"/>
      <c r="ANJ42" s="57"/>
      <c r="ANK42" s="56"/>
      <c r="ANL42" s="57"/>
      <c r="ANM42" s="57"/>
      <c r="ANN42" s="56"/>
      <c r="ANO42" s="57"/>
      <c r="ANP42" s="58"/>
      <c r="ANQ42" s="56"/>
      <c r="ANR42" s="57"/>
      <c r="ANS42" s="57"/>
      <c r="ANT42" s="57"/>
      <c r="ANU42" s="56"/>
      <c r="ANV42" s="57"/>
      <c r="ANW42" s="57"/>
      <c r="ANX42" s="56"/>
      <c r="ANY42" s="57"/>
      <c r="ANZ42" s="58"/>
      <c r="AOA42" s="56"/>
      <c r="AOB42" s="57"/>
      <c r="AOC42" s="57"/>
      <c r="AOD42" s="57"/>
      <c r="AOE42" s="56"/>
      <c r="AOF42" s="57"/>
      <c r="AOG42" s="57"/>
      <c r="AOH42" s="57"/>
      <c r="AOI42" s="57"/>
      <c r="AOJ42" s="57"/>
      <c r="AOK42" s="56"/>
      <c r="AOL42" s="57"/>
      <c r="AOM42" s="57"/>
      <c r="AON42" s="56"/>
      <c r="AOO42" s="57"/>
      <c r="AOP42" s="58"/>
      <c r="AOQ42" s="56"/>
      <c r="AOR42" s="57"/>
      <c r="AOS42" s="57"/>
      <c r="AOT42" s="57"/>
      <c r="AOU42" s="56"/>
      <c r="AOV42" s="57"/>
      <c r="AOW42" s="57"/>
      <c r="AOX42" s="56"/>
      <c r="AOY42" s="57"/>
      <c r="AOZ42" s="58"/>
      <c r="APA42" s="56"/>
      <c r="APB42" s="57"/>
      <c r="APC42" s="57"/>
      <c r="APD42" s="57"/>
      <c r="APE42" s="56"/>
      <c r="APF42" s="57"/>
      <c r="APG42" s="57"/>
      <c r="APH42" s="57"/>
      <c r="API42" s="57"/>
      <c r="APJ42" s="57"/>
      <c r="APK42" s="56"/>
      <c r="APL42" s="57"/>
      <c r="APM42" s="57"/>
      <c r="APN42" s="56"/>
      <c r="APO42" s="57"/>
      <c r="APP42" s="58"/>
      <c r="APQ42" s="56"/>
      <c r="APR42" s="57"/>
      <c r="APS42" s="57"/>
      <c r="APT42" s="57"/>
      <c r="APU42" s="56"/>
      <c r="APV42" s="57"/>
      <c r="APW42" s="57"/>
      <c r="APX42" s="56"/>
      <c r="APY42" s="57"/>
      <c r="APZ42" s="58"/>
      <c r="AQA42" s="56"/>
      <c r="AQB42" s="57"/>
      <c r="AQC42" s="57"/>
      <c r="AQD42" s="57"/>
      <c r="AQE42" s="56"/>
      <c r="AQF42" s="57"/>
      <c r="AQG42" s="57"/>
      <c r="AQH42" s="57"/>
      <c r="AQI42" s="57"/>
      <c r="AQJ42" s="57"/>
      <c r="AQK42" s="56"/>
      <c r="AQL42" s="57"/>
      <c r="AQM42" s="57"/>
      <c r="AQN42" s="56"/>
      <c r="AQO42" s="57"/>
      <c r="AQP42" s="58"/>
      <c r="AQQ42" s="56"/>
      <c r="AQR42" s="57"/>
      <c r="AQS42" s="57"/>
      <c r="AQT42" s="57"/>
      <c r="AQU42" s="56"/>
      <c r="AQV42" s="57"/>
      <c r="AQW42" s="57"/>
      <c r="AQX42" s="56"/>
      <c r="AQY42" s="57"/>
      <c r="AQZ42" s="58"/>
      <c r="ARA42" s="56"/>
      <c r="ARB42" s="57"/>
      <c r="ARC42" s="57"/>
      <c r="ARD42" s="57"/>
      <c r="ARE42" s="56"/>
      <c r="ARF42" s="57"/>
      <c r="ARG42" s="57"/>
      <c r="ARH42" s="57"/>
      <c r="ARI42" s="57"/>
      <c r="ARJ42" s="57"/>
      <c r="ARK42" s="56"/>
      <c r="ARL42" s="57"/>
      <c r="ARM42" s="57"/>
      <c r="ARN42" s="56"/>
      <c r="ARO42" s="57"/>
      <c r="ARP42" s="58"/>
      <c r="ARQ42" s="56"/>
      <c r="ARR42" s="57"/>
      <c r="ARS42" s="57"/>
      <c r="ART42" s="57"/>
      <c r="ARU42" s="56"/>
      <c r="ARV42" s="57"/>
      <c r="ARW42" s="57"/>
      <c r="ARX42" s="56"/>
      <c r="ARY42" s="57"/>
      <c r="ARZ42" s="58"/>
      <c r="ASA42" s="56"/>
      <c r="ASB42" s="57"/>
      <c r="ASC42" s="57"/>
      <c r="ASD42" s="57"/>
      <c r="ASE42" s="56"/>
      <c r="ASF42" s="57"/>
      <c r="ASG42" s="57"/>
      <c r="ASH42" s="57"/>
      <c r="ASI42" s="57"/>
      <c r="ASJ42" s="57"/>
      <c r="ASK42" s="56"/>
      <c r="ASL42" s="57"/>
      <c r="ASM42" s="57"/>
      <c r="ASN42" s="56"/>
      <c r="ASO42" s="57"/>
      <c r="ASP42" s="58"/>
      <c r="ASQ42" s="56"/>
      <c r="ASR42" s="57"/>
      <c r="ASS42" s="57"/>
      <c r="AST42" s="57"/>
      <c r="ASU42" s="56"/>
      <c r="ASV42" s="57"/>
      <c r="ASW42" s="57"/>
      <c r="ASX42" s="56"/>
      <c r="ASY42" s="57"/>
      <c r="ASZ42" s="58"/>
      <c r="ATA42" s="56"/>
      <c r="ATB42" s="57"/>
      <c r="ATC42" s="57"/>
      <c r="ATD42" s="57"/>
      <c r="ATE42" s="56"/>
      <c r="ATF42" s="57"/>
      <c r="ATG42" s="57"/>
      <c r="ATH42" s="57"/>
      <c r="ATI42" s="57"/>
      <c r="ATJ42" s="57"/>
      <c r="ATK42" s="56"/>
      <c r="ATL42" s="57"/>
      <c r="ATM42" s="57"/>
      <c r="ATN42" s="56"/>
      <c r="ATO42" s="57"/>
      <c r="ATP42" s="58"/>
      <c r="ATQ42" s="56"/>
      <c r="ATR42" s="57"/>
      <c r="ATS42" s="57"/>
      <c r="ATT42" s="57"/>
      <c r="ATU42" s="56"/>
      <c r="ATV42" s="57"/>
      <c r="ATW42" s="57"/>
      <c r="ATX42" s="56"/>
      <c r="ATY42" s="57"/>
      <c r="ATZ42" s="58"/>
      <c r="AUA42" s="56"/>
      <c r="AUB42" s="57"/>
      <c r="AUC42" s="57"/>
      <c r="AUD42" s="57"/>
      <c r="AUE42" s="56"/>
      <c r="AUF42" s="57"/>
      <c r="AUG42" s="57"/>
      <c r="AUH42" s="57"/>
      <c r="AUI42" s="57"/>
      <c r="AUJ42" s="57"/>
      <c r="AUK42" s="56"/>
      <c r="AUL42" s="57"/>
      <c r="AUM42" s="57"/>
      <c r="AUN42" s="56"/>
      <c r="AUO42" s="57"/>
      <c r="AUP42" s="58"/>
      <c r="AUQ42" s="56"/>
      <c r="AUR42" s="57"/>
      <c r="AUS42" s="57"/>
      <c r="AUT42" s="57"/>
      <c r="AUU42" s="56"/>
      <c r="AUV42" s="57"/>
      <c r="AUW42" s="57"/>
      <c r="AUX42" s="56"/>
      <c r="AUY42" s="57"/>
      <c r="AUZ42" s="58"/>
      <c r="AVA42" s="56"/>
      <c r="AVB42" s="57"/>
      <c r="AVC42" s="57"/>
      <c r="AVD42" s="57"/>
      <c r="AVE42" s="56"/>
      <c r="AVF42" s="57"/>
      <c r="AVG42" s="57"/>
      <c r="AVH42" s="57"/>
      <c r="AVI42" s="57"/>
      <c r="AVJ42" s="57"/>
      <c r="AVK42" s="56"/>
      <c r="AVL42" s="57"/>
      <c r="AVM42" s="57"/>
      <c r="AVN42" s="56"/>
      <c r="AVO42" s="57"/>
      <c r="AVP42" s="58"/>
      <c r="AVQ42" s="56"/>
      <c r="AVR42" s="57"/>
      <c r="AVS42" s="57"/>
      <c r="AVT42" s="57"/>
      <c r="AVU42" s="56"/>
      <c r="AVV42" s="57"/>
      <c r="AVW42" s="57"/>
      <c r="AVX42" s="56"/>
      <c r="AVY42" s="57"/>
      <c r="AVZ42" s="58"/>
      <c r="AWA42" s="56"/>
      <c r="AWB42" s="57"/>
      <c r="AWC42" s="57"/>
      <c r="AWD42" s="57"/>
      <c r="AWE42" s="56"/>
      <c r="AWF42" s="57"/>
      <c r="AWG42" s="57"/>
      <c r="AWH42" s="57"/>
      <c r="AWI42" s="57"/>
      <c r="AWJ42" s="57"/>
      <c r="AWK42" s="56"/>
      <c r="AWL42" s="57"/>
      <c r="AWM42" s="57"/>
      <c r="AWN42" s="56"/>
      <c r="AWO42" s="57"/>
      <c r="AWP42" s="58"/>
      <c r="AWQ42" s="56"/>
      <c r="AWR42" s="57"/>
      <c r="AWS42" s="57"/>
      <c r="AWT42" s="57"/>
      <c r="AWU42" s="56"/>
      <c r="AWV42" s="57"/>
      <c r="AWW42" s="57"/>
      <c r="AWX42" s="56"/>
      <c r="AWY42" s="57"/>
      <c r="AWZ42" s="58"/>
      <c r="AXA42" s="56"/>
      <c r="AXB42" s="57"/>
      <c r="AXC42" s="57"/>
      <c r="AXD42" s="57"/>
      <c r="AXE42" s="56"/>
      <c r="AXF42" s="57"/>
      <c r="AXG42" s="57"/>
      <c r="AXH42" s="57"/>
      <c r="AXI42" s="57"/>
      <c r="AXJ42" s="57"/>
      <c r="AXK42" s="56"/>
      <c r="AXL42" s="57"/>
      <c r="AXM42" s="57"/>
      <c r="AXN42" s="56"/>
      <c r="AXO42" s="57"/>
      <c r="AXP42" s="58"/>
      <c r="AXQ42" s="56"/>
      <c r="AXR42" s="57"/>
      <c r="AXS42" s="57"/>
      <c r="AXT42" s="57"/>
      <c r="AXU42" s="56"/>
      <c r="AXV42" s="57"/>
      <c r="AXW42" s="57"/>
      <c r="AXX42" s="56"/>
      <c r="AXY42" s="57"/>
      <c r="AXZ42" s="58"/>
      <c r="AYA42" s="56"/>
      <c r="AYB42" s="57"/>
      <c r="AYC42" s="57"/>
      <c r="AYD42" s="57"/>
      <c r="AYE42" s="56"/>
      <c r="AYF42" s="57"/>
      <c r="AYG42" s="57"/>
      <c r="AYH42" s="57"/>
      <c r="AYI42" s="57"/>
      <c r="AYJ42" s="57"/>
      <c r="AYK42" s="56"/>
      <c r="AYL42" s="57"/>
      <c r="AYM42" s="57"/>
      <c r="AYN42" s="56"/>
      <c r="AYO42" s="57"/>
      <c r="AYP42" s="58"/>
      <c r="AYQ42" s="56"/>
      <c r="AYR42" s="57"/>
      <c r="AYS42" s="57"/>
      <c r="AYT42" s="57"/>
      <c r="AYU42" s="56"/>
      <c r="AYV42" s="57"/>
      <c r="AYW42" s="57"/>
      <c r="AYX42" s="56"/>
      <c r="AYY42" s="57"/>
      <c r="AYZ42" s="58"/>
      <c r="AZA42" s="56"/>
      <c r="AZB42" s="57"/>
      <c r="AZC42" s="57"/>
      <c r="AZD42" s="57"/>
      <c r="AZE42" s="56"/>
      <c r="AZF42" s="57"/>
      <c r="AZG42" s="57"/>
      <c r="AZH42" s="57"/>
      <c r="AZI42" s="57"/>
      <c r="AZJ42" s="57"/>
      <c r="AZK42" s="56"/>
      <c r="AZL42" s="57"/>
      <c r="AZM42" s="57"/>
      <c r="AZN42" s="56"/>
      <c r="AZO42" s="57"/>
      <c r="AZP42" s="58"/>
      <c r="AZQ42" s="56"/>
      <c r="AZR42" s="57"/>
      <c r="AZS42" s="57"/>
      <c r="AZT42" s="57"/>
      <c r="AZU42" s="56"/>
      <c r="AZV42" s="57"/>
      <c r="AZW42" s="57"/>
      <c r="AZX42" s="56"/>
      <c r="AZY42" s="57"/>
      <c r="AZZ42" s="58"/>
      <c r="BAA42" s="56"/>
      <c r="BAB42" s="57"/>
      <c r="BAC42" s="57"/>
      <c r="BAD42" s="57"/>
      <c r="BAE42" s="56"/>
      <c r="BAF42" s="57"/>
      <c r="BAG42" s="57"/>
      <c r="BAH42" s="57"/>
      <c r="BAI42" s="57"/>
      <c r="BAJ42" s="57"/>
      <c r="BAK42" s="56"/>
      <c r="BAL42" s="57"/>
      <c r="BAM42" s="57"/>
      <c r="BAN42" s="56"/>
      <c r="BAO42" s="57"/>
      <c r="BAP42" s="58"/>
      <c r="BAQ42" s="56"/>
      <c r="BAR42" s="57"/>
      <c r="BAS42" s="57"/>
      <c r="BAT42" s="57"/>
      <c r="BAU42" s="56"/>
      <c r="BAV42" s="57"/>
      <c r="BAW42" s="57"/>
      <c r="BAX42" s="56"/>
      <c r="BAY42" s="57"/>
      <c r="BAZ42" s="58"/>
      <c r="BBA42" s="56"/>
      <c r="BBB42" s="57"/>
      <c r="BBC42" s="57"/>
      <c r="BBD42" s="57"/>
      <c r="BBE42" s="56"/>
      <c r="BBF42" s="57"/>
      <c r="BBG42" s="57"/>
      <c r="BBH42" s="57"/>
      <c r="BBI42" s="57"/>
      <c r="BBJ42" s="57"/>
      <c r="BBK42" s="56"/>
      <c r="BBL42" s="57"/>
      <c r="BBM42" s="57"/>
      <c r="BBN42" s="56"/>
      <c r="BBO42" s="57"/>
      <c r="BBP42" s="58"/>
      <c r="BBQ42" s="56"/>
      <c r="BBR42" s="57"/>
      <c r="BBS42" s="57"/>
      <c r="BBT42" s="57"/>
      <c r="BBU42" s="56"/>
      <c r="BBV42" s="57"/>
      <c r="BBW42" s="57"/>
      <c r="BBX42" s="56"/>
      <c r="BBY42" s="57"/>
      <c r="BBZ42" s="58"/>
      <c r="BCA42" s="56"/>
      <c r="BCB42" s="57"/>
      <c r="BCC42" s="57"/>
      <c r="BCD42" s="57"/>
      <c r="BCE42" s="56"/>
      <c r="BCF42" s="57"/>
      <c r="BCG42" s="57"/>
      <c r="BCH42" s="57"/>
      <c r="BCI42" s="57"/>
      <c r="BCJ42" s="57"/>
      <c r="BCK42" s="56"/>
      <c r="BCL42" s="57"/>
      <c r="BCM42" s="57"/>
      <c r="BCN42" s="56"/>
      <c r="BCO42" s="57"/>
      <c r="BCP42" s="58"/>
      <c r="BCQ42" s="56"/>
      <c r="BCR42" s="57"/>
      <c r="BCS42" s="57"/>
      <c r="BCT42" s="57"/>
      <c r="BCU42" s="56"/>
      <c r="BCV42" s="57"/>
      <c r="BCW42" s="57"/>
      <c r="BCX42" s="56"/>
      <c r="BCY42" s="57"/>
      <c r="BCZ42" s="58"/>
      <c r="BDA42" s="56"/>
      <c r="BDB42" s="57"/>
      <c r="BDC42" s="57"/>
      <c r="BDD42" s="57"/>
      <c r="BDE42" s="56"/>
      <c r="BDF42" s="57"/>
      <c r="BDG42" s="57"/>
      <c r="BDH42" s="57"/>
      <c r="BDI42" s="57"/>
      <c r="BDJ42" s="57"/>
      <c r="BDK42" s="56"/>
      <c r="BDL42" s="57"/>
      <c r="BDM42" s="57"/>
      <c r="BDN42" s="56"/>
      <c r="BDO42" s="57"/>
      <c r="BDP42" s="58"/>
      <c r="BDQ42" s="56"/>
      <c r="BDR42" s="57"/>
      <c r="BDS42" s="57"/>
      <c r="BDT42" s="57"/>
      <c r="BDU42" s="56"/>
      <c r="BDV42" s="57"/>
      <c r="BDW42" s="57"/>
      <c r="BDX42" s="56"/>
      <c r="BDY42" s="57"/>
      <c r="BDZ42" s="58"/>
      <c r="BEA42" s="56"/>
      <c r="BEB42" s="57"/>
      <c r="BEC42" s="57"/>
      <c r="BED42" s="57"/>
      <c r="BEE42" s="56"/>
      <c r="BEF42" s="57"/>
      <c r="BEG42" s="57"/>
      <c r="BEH42" s="57"/>
      <c r="BEI42" s="57"/>
      <c r="BEJ42" s="57"/>
      <c r="BEK42" s="56"/>
      <c r="BEL42" s="57"/>
      <c r="BEM42" s="57"/>
      <c r="BEN42" s="56"/>
      <c r="BEO42" s="57"/>
      <c r="BEP42" s="58"/>
      <c r="BEQ42" s="56"/>
      <c r="BER42" s="57"/>
      <c r="BES42" s="57"/>
      <c r="BET42" s="57"/>
      <c r="BEU42" s="56"/>
      <c r="BEV42" s="57"/>
      <c r="BEW42" s="57"/>
      <c r="BEX42" s="56"/>
      <c r="BEY42" s="57"/>
      <c r="BEZ42" s="58"/>
      <c r="BFA42" s="56"/>
      <c r="BFB42" s="57"/>
      <c r="BFC42" s="57"/>
      <c r="BFD42" s="57"/>
      <c r="BFE42" s="56"/>
      <c r="BFF42" s="57"/>
      <c r="BFG42" s="57"/>
      <c r="BFH42" s="57"/>
      <c r="BFI42" s="57"/>
      <c r="BFJ42" s="57"/>
      <c r="BFK42" s="56"/>
      <c r="BFL42" s="57"/>
      <c r="BFM42" s="57"/>
      <c r="BFN42" s="56"/>
      <c r="BFO42" s="57"/>
      <c r="BFP42" s="58"/>
      <c r="BFQ42" s="56"/>
      <c r="BFR42" s="57"/>
      <c r="BFS42" s="57"/>
      <c r="BFT42" s="57"/>
      <c r="BFU42" s="56"/>
      <c r="BFV42" s="57"/>
      <c r="BFW42" s="57"/>
      <c r="BFX42" s="56"/>
      <c r="BFY42" s="57"/>
      <c r="BFZ42" s="58"/>
      <c r="BGA42" s="56"/>
      <c r="BGB42" s="57"/>
      <c r="BGC42" s="57"/>
      <c r="BGD42" s="57"/>
      <c r="BGE42" s="56"/>
      <c r="BGF42" s="57"/>
      <c r="BGG42" s="57"/>
      <c r="BGH42" s="57"/>
      <c r="BGI42" s="57"/>
      <c r="BGJ42" s="57"/>
      <c r="BGK42" s="56"/>
      <c r="BGL42" s="57"/>
      <c r="BGM42" s="57"/>
      <c r="BGN42" s="56"/>
      <c r="BGO42" s="57"/>
      <c r="BGP42" s="58"/>
      <c r="BGQ42" s="56"/>
      <c r="BGR42" s="57"/>
      <c r="BGS42" s="57"/>
      <c r="BGT42" s="57"/>
      <c r="BGU42" s="56"/>
      <c r="BGV42" s="57"/>
      <c r="BGW42" s="57"/>
      <c r="BGX42" s="56"/>
      <c r="BGY42" s="57"/>
      <c r="BGZ42" s="58"/>
      <c r="BHA42" s="56"/>
      <c r="BHB42" s="57"/>
      <c r="BHC42" s="57"/>
      <c r="BHD42" s="57"/>
      <c r="BHE42" s="56"/>
      <c r="BHF42" s="57"/>
      <c r="BHG42" s="57"/>
      <c r="BHH42" s="57"/>
      <c r="BHI42" s="57"/>
      <c r="BHJ42" s="57"/>
      <c r="BHK42" s="56"/>
      <c r="BHL42" s="57"/>
      <c r="BHM42" s="57"/>
      <c r="BHN42" s="56"/>
      <c r="BHO42" s="57"/>
      <c r="BHP42" s="58"/>
      <c r="BHQ42" s="56"/>
      <c r="BHR42" s="57"/>
      <c r="BHS42" s="57"/>
      <c r="BHT42" s="57"/>
      <c r="BHU42" s="56"/>
      <c r="BHV42" s="57"/>
      <c r="BHW42" s="57"/>
      <c r="BHX42" s="56"/>
      <c r="BHY42" s="57"/>
      <c r="BHZ42" s="58"/>
      <c r="BIA42" s="56"/>
      <c r="BIB42" s="57"/>
      <c r="BIC42" s="57"/>
      <c r="BID42" s="57"/>
      <c r="BIE42" s="56"/>
      <c r="BIF42" s="57"/>
      <c r="BIG42" s="57"/>
      <c r="BIH42" s="57"/>
      <c r="BII42" s="57"/>
      <c r="BIJ42" s="57"/>
      <c r="BIK42" s="56"/>
      <c r="BIL42" s="57"/>
      <c r="BIM42" s="57"/>
      <c r="BIN42" s="56"/>
      <c r="BIO42" s="57"/>
      <c r="BIP42" s="58"/>
      <c r="BIQ42" s="56"/>
      <c r="BIR42" s="57"/>
      <c r="BIS42" s="57"/>
      <c r="BIT42" s="57"/>
      <c r="BIU42" s="56"/>
      <c r="BIV42" s="57"/>
      <c r="BIW42" s="57"/>
      <c r="BIX42" s="56"/>
      <c r="BIY42" s="57"/>
      <c r="BIZ42" s="58"/>
      <c r="BJA42" s="56"/>
      <c r="BJB42" s="57"/>
      <c r="BJC42" s="57"/>
      <c r="BJD42" s="57"/>
      <c r="BJE42" s="56"/>
      <c r="BJF42" s="57"/>
      <c r="BJG42" s="57"/>
      <c r="BJH42" s="57"/>
      <c r="BJI42" s="57"/>
      <c r="BJJ42" s="57"/>
      <c r="BJK42" s="56"/>
      <c r="BJL42" s="57"/>
      <c r="BJM42" s="57"/>
      <c r="BJN42" s="56"/>
      <c r="BJO42" s="57"/>
      <c r="BJP42" s="58"/>
      <c r="BJQ42" s="56"/>
      <c r="BJR42" s="57"/>
      <c r="BJS42" s="57"/>
      <c r="BJT42" s="57"/>
      <c r="BJU42" s="56"/>
      <c r="BJV42" s="57"/>
      <c r="BJW42" s="57"/>
      <c r="BJX42" s="56"/>
      <c r="BJY42" s="57"/>
      <c r="BJZ42" s="58"/>
      <c r="BKA42" s="56"/>
      <c r="BKB42" s="57"/>
      <c r="BKC42" s="57"/>
      <c r="BKD42" s="57"/>
      <c r="BKE42" s="56"/>
      <c r="BKF42" s="57"/>
      <c r="BKG42" s="57"/>
      <c r="BKH42" s="57"/>
      <c r="BKI42" s="57"/>
      <c r="BKJ42" s="57"/>
      <c r="BKK42" s="56"/>
      <c r="BKL42" s="57"/>
      <c r="BKM42" s="57"/>
      <c r="BKN42" s="56"/>
      <c r="BKO42" s="57"/>
      <c r="BKP42" s="58"/>
      <c r="BKQ42" s="56"/>
      <c r="BKR42" s="57"/>
      <c r="BKS42" s="57"/>
      <c r="BKT42" s="57"/>
      <c r="BKU42" s="56"/>
      <c r="BKV42" s="57"/>
      <c r="BKW42" s="57"/>
      <c r="BKX42" s="56"/>
      <c r="BKY42" s="57"/>
      <c r="BKZ42" s="58"/>
      <c r="BLA42" s="56"/>
      <c r="BLB42" s="57"/>
      <c r="BLC42" s="57"/>
      <c r="BLD42" s="57"/>
      <c r="BLE42" s="56"/>
      <c r="BLF42" s="57"/>
      <c r="BLG42" s="57"/>
      <c r="BLH42" s="57"/>
      <c r="BLI42" s="57"/>
      <c r="BLJ42" s="57"/>
      <c r="BLK42" s="56"/>
      <c r="BLL42" s="57"/>
      <c r="BLM42" s="57"/>
      <c r="BLN42" s="56"/>
      <c r="BLO42" s="57"/>
      <c r="BLP42" s="58"/>
      <c r="BLQ42" s="56"/>
      <c r="BLR42" s="57"/>
      <c r="BLS42" s="57"/>
      <c r="BLT42" s="57"/>
      <c r="BLU42" s="56"/>
      <c r="BLV42" s="57"/>
      <c r="BLW42" s="57"/>
      <c r="BLX42" s="56"/>
      <c r="BLY42" s="57"/>
      <c r="BLZ42" s="58"/>
      <c r="BMA42" s="56"/>
      <c r="BMB42" s="57"/>
      <c r="BMC42" s="57"/>
      <c r="BMD42" s="57"/>
      <c r="BME42" s="56"/>
      <c r="BMF42" s="57"/>
      <c r="BMG42" s="57"/>
      <c r="BMH42" s="57"/>
      <c r="BMI42" s="57"/>
      <c r="BMJ42" s="57"/>
      <c r="BMK42" s="56"/>
      <c r="BML42" s="57"/>
      <c r="BMM42" s="57"/>
      <c r="BMN42" s="56"/>
      <c r="BMO42" s="57"/>
      <c r="BMP42" s="58"/>
      <c r="BMQ42" s="56"/>
      <c r="BMR42" s="57"/>
      <c r="BMS42" s="57"/>
      <c r="BMT42" s="57"/>
      <c r="BMU42" s="56"/>
      <c r="BMV42" s="57"/>
      <c r="BMW42" s="57"/>
      <c r="BMX42" s="56"/>
      <c r="BMY42" s="57"/>
      <c r="BMZ42" s="58"/>
      <c r="BNA42" s="56"/>
      <c r="BNB42" s="57"/>
      <c r="BNC42" s="57"/>
      <c r="BND42" s="57"/>
      <c r="BNE42" s="56"/>
      <c r="BNF42" s="57"/>
      <c r="BNG42" s="57"/>
      <c r="BNH42" s="57"/>
      <c r="BNI42" s="57"/>
      <c r="BNJ42" s="57"/>
      <c r="BNK42" s="56"/>
      <c r="BNL42" s="57"/>
      <c r="BNM42" s="57"/>
      <c r="BNN42" s="56"/>
      <c r="BNO42" s="57"/>
      <c r="BNP42" s="58"/>
      <c r="BNQ42" s="56"/>
      <c r="BNR42" s="57"/>
      <c r="BNS42" s="57"/>
      <c r="BNT42" s="57"/>
      <c r="BNU42" s="56"/>
      <c r="BNV42" s="57"/>
      <c r="BNW42" s="57"/>
      <c r="BNX42" s="56"/>
      <c r="BNY42" s="57"/>
      <c r="BNZ42" s="58"/>
      <c r="BOA42" s="56"/>
      <c r="BOB42" s="57"/>
      <c r="BOC42" s="57"/>
      <c r="BOD42" s="57"/>
      <c r="BOE42" s="56"/>
      <c r="BOF42" s="57"/>
      <c r="BOG42" s="57"/>
      <c r="BOH42" s="57"/>
      <c r="BOI42" s="57"/>
      <c r="BOJ42" s="57"/>
      <c r="BOK42" s="56"/>
      <c r="BOL42" s="57"/>
      <c r="BOM42" s="57"/>
      <c r="BON42" s="56"/>
      <c r="BOO42" s="57"/>
      <c r="BOP42" s="58"/>
      <c r="BOQ42" s="56"/>
      <c r="BOR42" s="57"/>
      <c r="BOS42" s="57"/>
      <c r="BOT42" s="57"/>
      <c r="BOU42" s="56"/>
      <c r="BOV42" s="57"/>
      <c r="BOW42" s="57"/>
      <c r="BOX42" s="56"/>
      <c r="BOY42" s="57"/>
      <c r="BOZ42" s="58"/>
      <c r="BPA42" s="56"/>
      <c r="BPB42" s="57"/>
      <c r="BPC42" s="57"/>
      <c r="BPD42" s="57"/>
      <c r="BPE42" s="56"/>
      <c r="BPF42" s="57"/>
      <c r="BPG42" s="57"/>
      <c r="BPH42" s="57"/>
      <c r="BPI42" s="57"/>
      <c r="BPJ42" s="57"/>
      <c r="BPK42" s="56"/>
      <c r="BPL42" s="57"/>
      <c r="BPM42" s="57"/>
      <c r="BPN42" s="56"/>
      <c r="BPO42" s="57"/>
      <c r="BPP42" s="58"/>
      <c r="BPQ42" s="56"/>
      <c r="BPR42" s="57"/>
      <c r="BPS42" s="57"/>
      <c r="BPT42" s="57"/>
      <c r="BPU42" s="56"/>
      <c r="BPV42" s="57"/>
      <c r="BPW42" s="57"/>
      <c r="BPX42" s="56"/>
      <c r="BPY42" s="57"/>
      <c r="BPZ42" s="58"/>
      <c r="BQA42" s="56"/>
      <c r="BQB42" s="57"/>
      <c r="BQC42" s="57"/>
      <c r="BQD42" s="57"/>
      <c r="BQE42" s="56"/>
      <c r="BQF42" s="57"/>
      <c r="BQG42" s="57"/>
      <c r="BQH42" s="57"/>
      <c r="BQI42" s="57"/>
      <c r="BQJ42" s="57"/>
      <c r="BQK42" s="56"/>
      <c r="BQL42" s="57"/>
      <c r="BQM42" s="57"/>
      <c r="BQN42" s="56"/>
      <c r="BQO42" s="57"/>
      <c r="BQP42" s="58"/>
      <c r="BQQ42" s="56"/>
      <c r="BQR42" s="57"/>
      <c r="BQS42" s="57"/>
      <c r="BQT42" s="57"/>
      <c r="BQU42" s="56"/>
      <c r="BQV42" s="57"/>
      <c r="BQW42" s="57"/>
      <c r="BQX42" s="56"/>
      <c r="BQY42" s="57"/>
      <c r="BQZ42" s="58"/>
      <c r="BRA42" s="56"/>
      <c r="BRB42" s="57"/>
      <c r="BRC42" s="57"/>
      <c r="BRD42" s="57"/>
      <c r="BRE42" s="56"/>
      <c r="BRF42" s="57"/>
      <c r="BRG42" s="57"/>
      <c r="BRH42" s="57"/>
      <c r="BRI42" s="57"/>
      <c r="BRJ42" s="57"/>
      <c r="BRK42" s="56"/>
      <c r="BRL42" s="57"/>
      <c r="BRM42" s="57"/>
      <c r="BRN42" s="56"/>
      <c r="BRO42" s="57"/>
      <c r="BRP42" s="58"/>
      <c r="BRQ42" s="56"/>
      <c r="BRR42" s="57"/>
      <c r="BRS42" s="57"/>
      <c r="BRT42" s="57"/>
      <c r="BRU42" s="56"/>
      <c r="BRV42" s="57"/>
      <c r="BRW42" s="57"/>
      <c r="BRX42" s="56"/>
      <c r="BRY42" s="57"/>
      <c r="BRZ42" s="58"/>
      <c r="BSA42" s="56"/>
      <c r="BSB42" s="57"/>
      <c r="BSC42" s="57"/>
      <c r="BSD42" s="57"/>
      <c r="BSE42" s="56"/>
      <c r="BSF42" s="57"/>
      <c r="BSG42" s="57"/>
      <c r="BSH42" s="57"/>
      <c r="BSI42" s="57"/>
      <c r="BSJ42" s="57"/>
      <c r="BSK42" s="56"/>
      <c r="BSL42" s="57"/>
      <c r="BSM42" s="57"/>
      <c r="BSN42" s="56"/>
      <c r="BSO42" s="57"/>
      <c r="BSP42" s="58"/>
      <c r="BSQ42" s="56"/>
      <c r="BSR42" s="57"/>
      <c r="BSS42" s="57"/>
      <c r="BST42" s="57"/>
      <c r="BSU42" s="56"/>
      <c r="BSV42" s="57"/>
      <c r="BSW42" s="57"/>
      <c r="BSX42" s="56"/>
      <c r="BSY42" s="57"/>
      <c r="BSZ42" s="58"/>
      <c r="BTA42" s="56"/>
      <c r="BTB42" s="57"/>
      <c r="BTC42" s="57"/>
      <c r="BTD42" s="57"/>
      <c r="BTE42" s="56"/>
      <c r="BTF42" s="57"/>
      <c r="BTG42" s="57"/>
      <c r="BTH42" s="57"/>
      <c r="BTI42" s="57"/>
      <c r="BTJ42" s="57"/>
      <c r="BTK42" s="56"/>
      <c r="BTL42" s="57"/>
      <c r="BTM42" s="57"/>
      <c r="BTN42" s="56"/>
      <c r="BTO42" s="57"/>
      <c r="BTP42" s="58"/>
      <c r="BTQ42" s="56"/>
      <c r="BTR42" s="57"/>
      <c r="BTS42" s="57"/>
      <c r="BTT42" s="57"/>
      <c r="BTU42" s="56"/>
      <c r="BTV42" s="57"/>
      <c r="BTW42" s="57"/>
      <c r="BTX42" s="56"/>
      <c r="BTY42" s="57"/>
      <c r="BTZ42" s="58"/>
      <c r="BUA42" s="56"/>
      <c r="BUB42" s="57"/>
      <c r="BUC42" s="57"/>
      <c r="BUD42" s="57"/>
      <c r="BUE42" s="56"/>
      <c r="BUF42" s="57"/>
      <c r="BUG42" s="57"/>
      <c r="BUH42" s="57"/>
      <c r="BUI42" s="57"/>
      <c r="BUJ42" s="57"/>
      <c r="BUK42" s="56"/>
      <c r="BUL42" s="57"/>
      <c r="BUM42" s="57"/>
      <c r="BUN42" s="56"/>
      <c r="BUO42" s="57"/>
      <c r="BUP42" s="58"/>
      <c r="BUQ42" s="56"/>
      <c r="BUR42" s="57"/>
      <c r="BUS42" s="57"/>
      <c r="BUT42" s="57"/>
      <c r="BUU42" s="56"/>
      <c r="BUV42" s="57"/>
      <c r="BUW42" s="57"/>
      <c r="BUX42" s="56"/>
      <c r="BUY42" s="57"/>
      <c r="BUZ42" s="58"/>
      <c r="BVA42" s="56"/>
      <c r="BVB42" s="57"/>
      <c r="BVC42" s="57"/>
      <c r="BVD42" s="57"/>
      <c r="BVE42" s="56"/>
      <c r="BVF42" s="57"/>
      <c r="BVG42" s="57"/>
      <c r="BVH42" s="57"/>
      <c r="BVI42" s="57"/>
      <c r="BVJ42" s="57"/>
      <c r="BVK42" s="56"/>
      <c r="BVL42" s="57"/>
      <c r="BVM42" s="57"/>
      <c r="BVN42" s="56"/>
      <c r="BVO42" s="57"/>
      <c r="BVP42" s="58"/>
      <c r="BVQ42" s="56"/>
      <c r="BVR42" s="57"/>
      <c r="BVS42" s="57"/>
      <c r="BVT42" s="57"/>
      <c r="BVU42" s="56"/>
      <c r="BVV42" s="57"/>
      <c r="BVW42" s="57"/>
      <c r="BVX42" s="56"/>
      <c r="BVY42" s="57"/>
      <c r="BVZ42" s="58"/>
      <c r="BWA42" s="56"/>
      <c r="BWB42" s="57"/>
      <c r="BWC42" s="57"/>
      <c r="BWD42" s="57"/>
      <c r="BWE42" s="56"/>
      <c r="BWF42" s="57"/>
      <c r="BWG42" s="57"/>
      <c r="BWH42" s="57"/>
      <c r="BWI42" s="57"/>
      <c r="BWJ42" s="57"/>
      <c r="BWK42" s="56"/>
      <c r="BWL42" s="57"/>
      <c r="BWM42" s="57"/>
      <c r="BWN42" s="56"/>
      <c r="BWO42" s="57"/>
      <c r="BWP42" s="58"/>
      <c r="BWQ42" s="56"/>
      <c r="BWR42" s="57"/>
      <c r="BWS42" s="57"/>
      <c r="BWT42" s="57"/>
      <c r="BWU42" s="56"/>
      <c r="BWV42" s="57"/>
      <c r="BWW42" s="57"/>
      <c r="BWX42" s="56"/>
      <c r="BWY42" s="57"/>
      <c r="BWZ42" s="58"/>
      <c r="BXA42" s="56"/>
      <c r="BXB42" s="57"/>
      <c r="BXC42" s="57"/>
      <c r="BXD42" s="57"/>
      <c r="BXE42" s="56"/>
      <c r="BXF42" s="57"/>
      <c r="BXG42" s="57"/>
      <c r="BXH42" s="57"/>
      <c r="BXI42" s="57"/>
      <c r="BXJ42" s="57"/>
      <c r="BXK42" s="56"/>
      <c r="BXL42" s="57"/>
      <c r="BXM42" s="57"/>
      <c r="BXN42" s="56"/>
      <c r="BXO42" s="57"/>
      <c r="BXP42" s="58"/>
      <c r="BXQ42" s="56"/>
      <c r="BXR42" s="57"/>
      <c r="BXS42" s="57"/>
      <c r="BXT42" s="57"/>
      <c r="BXU42" s="56"/>
      <c r="BXV42" s="57"/>
      <c r="BXW42" s="57"/>
      <c r="BXX42" s="56"/>
      <c r="BXY42" s="57"/>
      <c r="BXZ42" s="58"/>
      <c r="BYA42" s="56"/>
      <c r="BYB42" s="57"/>
      <c r="BYC42" s="57"/>
      <c r="BYD42" s="57"/>
      <c r="BYE42" s="56"/>
      <c r="BYF42" s="57"/>
      <c r="BYG42" s="57"/>
      <c r="BYH42" s="57"/>
      <c r="BYI42" s="57"/>
      <c r="BYJ42" s="57"/>
      <c r="BYK42" s="56"/>
      <c r="BYL42" s="57"/>
      <c r="BYM42" s="57"/>
      <c r="BYN42" s="56"/>
      <c r="BYO42" s="57"/>
      <c r="BYP42" s="58"/>
      <c r="BYQ42" s="56"/>
      <c r="BYR42" s="57"/>
      <c r="BYS42" s="57"/>
      <c r="BYT42" s="57"/>
      <c r="BYU42" s="56"/>
      <c r="BYV42" s="57"/>
      <c r="BYW42" s="57"/>
      <c r="BYX42" s="58"/>
      <c r="BYY42" s="57"/>
      <c r="BYZ42" s="56"/>
      <c r="BZA42" s="57"/>
      <c r="BZB42" s="56"/>
      <c r="BZC42" s="56"/>
      <c r="BZD42" s="56"/>
      <c r="BZE42" s="57"/>
      <c r="BZF42" s="57"/>
      <c r="BZG42" s="57"/>
      <c r="BZH42" s="57"/>
      <c r="BZI42" s="57"/>
      <c r="BZJ42" s="57"/>
      <c r="BZK42" s="57"/>
      <c r="BZL42" s="57"/>
      <c r="BZM42" s="57"/>
      <c r="BZN42" s="57"/>
      <c r="BZO42" s="57"/>
      <c r="BZP42" s="57"/>
      <c r="BZQ42" s="57"/>
      <c r="BZR42" s="57"/>
      <c r="BZS42" s="57"/>
      <c r="BZT42" s="57"/>
      <c r="BZU42" s="57"/>
      <c r="BZV42" s="57"/>
      <c r="BZW42" s="57"/>
      <c r="BZX42" s="57"/>
      <c r="BZY42" s="57"/>
      <c r="BZZ42" s="57"/>
      <c r="CAA42" s="57"/>
      <c r="CAB42" s="57"/>
      <c r="CAC42" s="57"/>
      <c r="CAD42" s="57"/>
      <c r="CAE42" s="57"/>
      <c r="CAF42" s="57"/>
      <c r="CAG42" s="57"/>
      <c r="CAH42" s="57"/>
      <c r="CAI42" s="57"/>
      <c r="CAJ42" s="57"/>
      <c r="CAK42" s="57"/>
      <c r="CAL42" s="57"/>
      <c r="CAM42" s="57"/>
      <c r="CAN42" s="57"/>
      <c r="CAO42" s="57"/>
      <c r="CAP42" s="58"/>
      <c r="CAQ42" s="56"/>
      <c r="CAR42" s="57"/>
      <c r="CAS42" s="57"/>
      <c r="CAT42" s="57"/>
      <c r="CAU42" s="57"/>
      <c r="CAV42" s="57"/>
      <c r="CAW42" s="56"/>
      <c r="CAX42" s="57"/>
      <c r="CAY42" s="57"/>
      <c r="CAZ42" s="56"/>
      <c r="CBA42" s="57"/>
      <c r="CBB42" s="58"/>
      <c r="CBC42" s="56"/>
      <c r="CBD42" s="57"/>
      <c r="CBE42" s="57"/>
      <c r="CBF42" s="57"/>
      <c r="CBG42" s="56"/>
      <c r="CBH42" s="57"/>
      <c r="CBI42" s="57"/>
      <c r="CBJ42" s="56"/>
      <c r="CBK42" s="57"/>
      <c r="CBL42" s="58"/>
      <c r="CBM42" s="56"/>
      <c r="CBN42" s="57"/>
      <c r="CBO42" s="57"/>
      <c r="CBP42" s="57"/>
      <c r="CBQ42" s="56"/>
      <c r="CBR42" s="57"/>
      <c r="CBS42" s="57"/>
      <c r="CBT42" s="56"/>
      <c r="CBU42" s="57"/>
      <c r="CBV42" s="58"/>
      <c r="CBW42" s="56"/>
      <c r="CBX42" s="57"/>
      <c r="CBY42" s="57"/>
      <c r="CBZ42" s="57"/>
      <c r="CCA42" s="56"/>
      <c r="CCB42" s="57"/>
      <c r="CCC42" s="57"/>
      <c r="CCD42" s="56"/>
      <c r="CCE42" s="57"/>
      <c r="CCF42" s="58"/>
      <c r="CCG42" s="56"/>
      <c r="CCH42" s="58"/>
      <c r="CCI42" s="57"/>
      <c r="CCJ42" s="56"/>
      <c r="CCK42" s="57"/>
      <c r="CCL42" s="56"/>
      <c r="CCM42" s="56"/>
      <c r="CCN42" s="56"/>
      <c r="CCO42" s="57"/>
      <c r="CCP42" s="57"/>
      <c r="CCQ42" s="57"/>
      <c r="CCR42" s="57"/>
      <c r="CCS42" s="57"/>
      <c r="CCT42" s="57"/>
      <c r="CCU42" s="57"/>
      <c r="CCV42" s="57"/>
      <c r="CCW42" s="57"/>
      <c r="CCX42" s="57"/>
      <c r="CCY42" s="57"/>
      <c r="CCZ42" s="57"/>
      <c r="CDA42" s="57"/>
      <c r="CDB42" s="57"/>
      <c r="CDC42" s="57"/>
      <c r="CDD42" s="57"/>
      <c r="CDE42" s="57"/>
      <c r="CDF42" s="57"/>
      <c r="CDG42" s="57"/>
      <c r="CDH42" s="57"/>
      <c r="CDI42" s="57"/>
      <c r="CDJ42" s="57"/>
      <c r="CDK42" s="57"/>
      <c r="CDL42" s="57"/>
      <c r="CDM42" s="57"/>
      <c r="CDN42" s="57"/>
      <c r="CDO42" s="57"/>
      <c r="CDP42" s="57"/>
      <c r="CDQ42" s="57"/>
      <c r="CDR42" s="57"/>
      <c r="CDS42" s="57"/>
      <c r="CDT42" s="57"/>
      <c r="CDU42" s="57"/>
      <c r="CDV42" s="57"/>
      <c r="CDW42" s="57"/>
      <c r="CDX42" s="57"/>
      <c r="CDY42" s="57"/>
      <c r="CDZ42" s="58"/>
      <c r="CEA42" s="56"/>
      <c r="CEB42" s="57"/>
      <c r="CEC42" s="57"/>
      <c r="CED42" s="57"/>
      <c r="CEE42" s="57"/>
      <c r="CEF42" s="57"/>
      <c r="CEG42" s="56"/>
      <c r="CEH42" s="57"/>
      <c r="CEI42" s="57"/>
      <c r="CEJ42" s="56"/>
      <c r="CEK42" s="57"/>
      <c r="CEL42" s="58"/>
      <c r="CEM42" s="56"/>
      <c r="CEN42" s="57"/>
      <c r="CEO42" s="57"/>
      <c r="CEP42" s="57"/>
      <c r="CEQ42" s="56"/>
      <c r="CER42" s="57"/>
      <c r="CES42" s="57"/>
      <c r="CET42" s="56"/>
      <c r="CEU42" s="57"/>
      <c r="CEV42" s="58"/>
      <c r="CEW42" s="56"/>
      <c r="CEX42" s="57"/>
      <c r="CEY42" s="57"/>
      <c r="CEZ42" s="57"/>
      <c r="CFA42" s="56"/>
      <c r="CFB42" s="57"/>
      <c r="CFC42" s="57"/>
      <c r="CFD42" s="56"/>
      <c r="CFE42" s="57"/>
      <c r="CFF42" s="58"/>
      <c r="CFG42" s="56"/>
      <c r="CFH42" s="57"/>
      <c r="CFI42" s="57"/>
      <c r="CFJ42" s="57"/>
      <c r="CFK42" s="56"/>
      <c r="CFL42" s="57"/>
      <c r="CFM42" s="57"/>
      <c r="CFN42" s="56"/>
      <c r="CFO42" s="57"/>
      <c r="CFP42" s="58"/>
      <c r="CFQ42" s="56"/>
      <c r="CFR42" s="58"/>
      <c r="CFS42" s="57"/>
      <c r="CFT42" s="56"/>
      <c r="CFU42" s="57"/>
      <c r="CFV42" s="56"/>
      <c r="CFW42" s="56"/>
      <c r="CFX42" s="56"/>
      <c r="CFY42" s="57"/>
      <c r="CFZ42" s="57"/>
      <c r="CGA42" s="57"/>
      <c r="CGB42" s="57"/>
      <c r="CGC42" s="57"/>
      <c r="CGD42" s="57"/>
      <c r="CGE42" s="57"/>
      <c r="CGF42" s="57"/>
      <c r="CGG42" s="57"/>
      <c r="CGH42" s="57"/>
      <c r="CGI42" s="57"/>
      <c r="CGJ42" s="57"/>
      <c r="CGK42" s="57"/>
      <c r="CGL42" s="57"/>
      <c r="CGM42" s="57"/>
      <c r="CGN42" s="57"/>
      <c r="CGO42" s="57"/>
      <c r="CGP42" s="57"/>
      <c r="CGQ42" s="57"/>
      <c r="CGR42" s="57"/>
      <c r="CGS42" s="57"/>
      <c r="CGT42" s="57"/>
      <c r="CGU42" s="57"/>
      <c r="CGV42" s="57"/>
      <c r="CGW42" s="57"/>
      <c r="CGX42" s="57"/>
      <c r="CGY42" s="57"/>
      <c r="CGZ42" s="57"/>
      <c r="CHA42" s="57"/>
      <c r="CHB42" s="57"/>
      <c r="CHC42" s="57"/>
      <c r="CHD42" s="57"/>
      <c r="CHE42" s="57"/>
      <c r="CHF42" s="57"/>
      <c r="CHG42" s="57"/>
      <c r="CHH42" s="57"/>
      <c r="CHI42" s="57"/>
      <c r="CHJ42" s="58"/>
      <c r="CHK42" s="56"/>
      <c r="CHL42" s="57"/>
      <c r="CHM42" s="57"/>
      <c r="CHN42" s="57"/>
      <c r="CHO42" s="57"/>
      <c r="CHP42" s="57"/>
      <c r="CHQ42" s="56"/>
      <c r="CHR42" s="57"/>
      <c r="CHS42" s="57"/>
      <c r="CHT42" s="56"/>
      <c r="CHU42" s="57"/>
      <c r="CHV42" s="58"/>
      <c r="CHW42" s="56"/>
      <c r="CHX42" s="57"/>
      <c r="CHY42" s="57"/>
      <c r="CHZ42" s="57"/>
      <c r="CIA42" s="56"/>
      <c r="CIB42" s="57"/>
      <c r="CIC42" s="57"/>
      <c r="CID42" s="56"/>
      <c r="CIE42" s="57"/>
      <c r="CIF42" s="58"/>
      <c r="CIG42" s="56"/>
      <c r="CIH42" s="57"/>
      <c r="CII42" s="57"/>
      <c r="CIJ42" s="57"/>
      <c r="CIK42" s="56"/>
      <c r="CIL42" s="57"/>
      <c r="CIM42" s="57"/>
      <c r="CIN42" s="56"/>
      <c r="CIO42" s="57"/>
      <c r="CIP42" s="58"/>
      <c r="CIQ42" s="56"/>
      <c r="CIR42" s="57"/>
      <c r="CIS42" s="57"/>
      <c r="CIT42" s="57"/>
      <c r="CIU42" s="56"/>
      <c r="CIV42" s="57"/>
      <c r="CIW42" s="57"/>
      <c r="CIX42" s="56"/>
      <c r="CIY42" s="57"/>
      <c r="CIZ42" s="58"/>
      <c r="CJA42" s="56"/>
      <c r="CJB42" s="58"/>
      <c r="CJC42" s="57"/>
      <c r="CJD42" s="56"/>
      <c r="CJE42" s="57"/>
      <c r="CJF42" s="56"/>
      <c r="CJG42" s="56"/>
      <c r="CJH42" s="56"/>
      <c r="CJI42" s="57"/>
      <c r="CJJ42" s="57"/>
      <c r="CJK42" s="57"/>
      <c r="CJL42" s="57"/>
      <c r="CJM42" s="57"/>
      <c r="CJN42" s="57"/>
      <c r="CJO42" s="57"/>
      <c r="CJP42" s="57"/>
      <c r="CJQ42" s="57"/>
      <c r="CJR42" s="57"/>
      <c r="CJS42" s="57"/>
      <c r="CJT42" s="57"/>
      <c r="CJU42" s="57"/>
      <c r="CJV42" s="57"/>
      <c r="CJW42" s="57"/>
      <c r="CJX42" s="57"/>
      <c r="CJY42" s="57"/>
      <c r="CJZ42" s="57"/>
      <c r="CKA42" s="57"/>
      <c r="CKB42" s="57"/>
      <c r="CKC42" s="57"/>
      <c r="CKD42" s="57"/>
      <c r="CKE42" s="57"/>
      <c r="CKF42" s="57"/>
      <c r="CKG42" s="57"/>
      <c r="CKH42" s="57"/>
      <c r="CKI42" s="57"/>
      <c r="CKJ42" s="57"/>
      <c r="CKK42" s="57"/>
      <c r="CKL42" s="57"/>
      <c r="CKM42" s="57"/>
      <c r="CKN42" s="57"/>
      <c r="CKO42" s="57"/>
      <c r="CKP42" s="57"/>
      <c r="CKQ42" s="57"/>
      <c r="CKR42" s="57"/>
      <c r="CKS42" s="57"/>
      <c r="CKT42" s="58"/>
      <c r="CKU42" s="56"/>
      <c r="CKV42" s="57"/>
      <c r="CKW42" s="57"/>
      <c r="CKX42" s="57"/>
      <c r="CKY42" s="57"/>
      <c r="CKZ42" s="57"/>
      <c r="CLA42" s="56"/>
      <c r="CLB42" s="57"/>
      <c r="CLC42" s="57"/>
      <c r="CLD42" s="56"/>
      <c r="CLE42" s="57"/>
      <c r="CLF42" s="58"/>
      <c r="CLG42" s="56"/>
      <c r="CLH42" s="57"/>
      <c r="CLI42" s="57"/>
      <c r="CLJ42" s="57"/>
      <c r="CLK42" s="56"/>
      <c r="CLL42" s="57"/>
      <c r="CLM42" s="57"/>
      <c r="CLN42" s="56"/>
      <c r="CLO42" s="57"/>
      <c r="CLP42" s="58"/>
      <c r="CLQ42" s="56"/>
      <c r="CLR42" s="57"/>
      <c r="CLS42" s="57"/>
      <c r="CLT42" s="57"/>
      <c r="CLU42" s="56"/>
      <c r="CLV42" s="57"/>
      <c r="CLW42" s="57"/>
      <c r="CLX42" s="56"/>
      <c r="CLY42" s="57"/>
      <c r="CLZ42" s="58"/>
      <c r="CMA42" s="56"/>
      <c r="CMB42" s="57"/>
      <c r="CMC42" s="57"/>
      <c r="CMD42" s="57"/>
      <c r="CME42" s="56"/>
      <c r="CMF42" s="57"/>
      <c r="CMG42" s="57"/>
      <c r="CMH42" s="56"/>
      <c r="CMI42" s="57"/>
      <c r="CMJ42" s="58"/>
      <c r="CMK42" s="56"/>
      <c r="CML42" s="58"/>
      <c r="CMM42" s="57"/>
      <c r="CMN42" s="56"/>
      <c r="CMO42" s="57"/>
      <c r="CMP42" s="56"/>
      <c r="CMQ42" s="56"/>
      <c r="CMR42" s="56"/>
      <c r="CMS42" s="57"/>
      <c r="CMT42" s="57"/>
      <c r="CMU42" s="57"/>
      <c r="CMV42" s="57"/>
      <c r="CMW42" s="57"/>
      <c r="CMX42" s="57"/>
      <c r="CMY42" s="57"/>
      <c r="CMZ42" s="57"/>
      <c r="CNA42" s="57"/>
      <c r="CNB42" s="57"/>
      <c r="CNC42" s="57"/>
      <c r="CND42" s="57"/>
      <c r="CNE42" s="57"/>
      <c r="CNF42" s="57"/>
      <c r="CNG42" s="57"/>
      <c r="CNH42" s="57"/>
      <c r="CNI42" s="57"/>
      <c r="CNJ42" s="57"/>
      <c r="CNK42" s="57"/>
      <c r="CNL42" s="57"/>
      <c r="CNM42" s="57"/>
      <c r="CNN42" s="57"/>
      <c r="CNO42" s="57"/>
      <c r="CNP42" s="57"/>
      <c r="CNQ42" s="57"/>
      <c r="CNR42" s="57"/>
      <c r="CNS42" s="57"/>
      <c r="CNT42" s="57"/>
      <c r="CNU42" s="57"/>
      <c r="CNV42" s="57"/>
      <c r="CNW42" s="57"/>
      <c r="CNX42" s="57"/>
      <c r="CNY42" s="57"/>
      <c r="CNZ42" s="57"/>
      <c r="COA42" s="57"/>
      <c r="COB42" s="57"/>
      <c r="COC42" s="57"/>
      <c r="COD42" s="58"/>
      <c r="COE42" s="56"/>
      <c r="COF42" s="57"/>
      <c r="COG42" s="57"/>
      <c r="COH42" s="57"/>
      <c r="COI42" s="57"/>
      <c r="COJ42" s="57"/>
      <c r="COK42" s="56"/>
      <c r="COL42" s="57"/>
      <c r="COM42" s="57"/>
      <c r="CON42" s="56"/>
      <c r="COO42" s="57"/>
      <c r="COP42" s="58"/>
      <c r="COQ42" s="56"/>
      <c r="COR42" s="57"/>
      <c r="COS42" s="57"/>
      <c r="COT42" s="57"/>
      <c r="COU42" s="56"/>
      <c r="COV42" s="57"/>
      <c r="COW42" s="57"/>
      <c r="COX42" s="56"/>
      <c r="COY42" s="57"/>
      <c r="COZ42" s="58"/>
      <c r="CPA42" s="56"/>
      <c r="CPB42" s="57"/>
      <c r="CPC42" s="57"/>
      <c r="CPD42" s="57"/>
      <c r="CPE42" s="56"/>
      <c r="CPF42" s="57"/>
      <c r="CPG42" s="57"/>
      <c r="CPH42" s="56"/>
      <c r="CPI42" s="57"/>
      <c r="CPJ42" s="58"/>
      <c r="CPK42" s="56"/>
      <c r="CPL42" s="57"/>
      <c r="CPM42" s="57"/>
      <c r="CPN42" s="57"/>
      <c r="CPO42" s="56"/>
      <c r="CPP42" s="57"/>
      <c r="CPQ42" s="57"/>
      <c r="CPR42" s="56"/>
      <c r="CPS42" s="57"/>
      <c r="CPT42" s="58"/>
      <c r="CPU42" s="56"/>
      <c r="CPV42" s="58"/>
      <c r="CPW42" s="57"/>
      <c r="CPX42" s="56"/>
      <c r="CPY42" s="57"/>
      <c r="CPZ42" s="56"/>
      <c r="CQA42" s="56"/>
      <c r="CQB42" s="56"/>
      <c r="CQC42" s="57"/>
      <c r="CQD42" s="57"/>
      <c r="CQE42" s="57"/>
      <c r="CQF42" s="57"/>
      <c r="CQG42" s="57"/>
      <c r="CQH42" s="57"/>
      <c r="CQI42" s="57"/>
      <c r="CQJ42" s="57"/>
      <c r="CQK42" s="57"/>
      <c r="CQL42" s="57"/>
      <c r="CQM42" s="57"/>
      <c r="CQN42" s="57"/>
      <c r="CQO42" s="57"/>
      <c r="CQP42" s="57"/>
      <c r="CQQ42" s="57"/>
      <c r="CQR42" s="57"/>
      <c r="CQS42" s="57"/>
      <c r="CQT42" s="57"/>
      <c r="CQU42" s="57"/>
      <c r="CQV42" s="57"/>
      <c r="CQW42" s="57"/>
      <c r="CQX42" s="57"/>
      <c r="CQY42" s="57"/>
      <c r="CQZ42" s="57"/>
      <c r="CRA42" s="57"/>
      <c r="CRB42" s="57"/>
      <c r="CRC42" s="57"/>
      <c r="CRD42" s="57"/>
      <c r="CRE42" s="57"/>
      <c r="CRF42" s="57"/>
      <c r="CRG42" s="57"/>
      <c r="CRH42" s="57"/>
      <c r="CRI42" s="57"/>
      <c r="CRJ42" s="57"/>
      <c r="CRK42" s="57"/>
      <c r="CRL42" s="57"/>
      <c r="CRM42" s="57"/>
      <c r="CRN42" s="58"/>
      <c r="CRO42" s="56"/>
      <c r="CRP42" s="57"/>
      <c r="CRQ42" s="57"/>
      <c r="CRR42" s="57"/>
      <c r="CRS42" s="57"/>
      <c r="CRT42" s="57"/>
      <c r="CRU42" s="56"/>
      <c r="CRV42" s="57"/>
      <c r="CRW42" s="57"/>
      <c r="CRX42" s="56"/>
      <c r="CRY42" s="57"/>
      <c r="CRZ42" s="58"/>
      <c r="CSA42" s="56"/>
      <c r="CSB42" s="57"/>
      <c r="CSC42" s="57"/>
      <c r="CSD42" s="57"/>
      <c r="CSE42" s="56"/>
      <c r="CSF42" s="57"/>
      <c r="CSG42" s="57"/>
      <c r="CSH42" s="56"/>
      <c r="CSI42" s="57"/>
      <c r="CSJ42" s="58"/>
      <c r="CSK42" s="56"/>
      <c r="CSL42" s="57"/>
      <c r="CSM42" s="57"/>
      <c r="CSN42" s="57"/>
      <c r="CSO42" s="56"/>
      <c r="CSP42" s="57"/>
      <c r="CSQ42" s="57"/>
      <c r="CSR42" s="56"/>
      <c r="CSS42" s="57"/>
      <c r="CST42" s="58"/>
      <c r="CSU42" s="56"/>
      <c r="CSV42" s="57"/>
      <c r="CSW42" s="57"/>
      <c r="CSX42" s="57"/>
      <c r="CSY42" s="56"/>
      <c r="CSZ42" s="57"/>
      <c r="CTA42" s="57"/>
      <c r="CTB42" s="56"/>
      <c r="CTC42" s="57"/>
      <c r="CTD42" s="58"/>
      <c r="CTE42" s="56"/>
      <c r="CTF42" s="58"/>
      <c r="CTG42" s="57"/>
      <c r="CTH42" s="56"/>
      <c r="CTI42" s="57"/>
      <c r="CTJ42" s="56"/>
      <c r="CTK42" s="56"/>
      <c r="CTL42" s="56"/>
      <c r="CTM42" s="57"/>
      <c r="CTN42" s="57"/>
      <c r="CTO42" s="57"/>
      <c r="CTP42" s="57"/>
      <c r="CTQ42" s="57"/>
      <c r="CTR42" s="57"/>
      <c r="CTS42" s="57"/>
      <c r="CTT42" s="57"/>
      <c r="CTU42" s="57"/>
      <c r="CTV42" s="57"/>
      <c r="CTW42" s="57"/>
      <c r="CTX42" s="57"/>
      <c r="CTY42" s="57"/>
      <c r="CTZ42" s="57"/>
      <c r="CUA42" s="57"/>
      <c r="CUB42" s="57"/>
      <c r="CUC42" s="57"/>
      <c r="CUD42" s="57"/>
      <c r="CUE42" s="57"/>
      <c r="CUF42" s="57"/>
      <c r="CUG42" s="57"/>
      <c r="CUH42" s="57"/>
      <c r="CUI42" s="57"/>
      <c r="CUJ42" s="57"/>
      <c r="CUK42" s="57"/>
      <c r="CUL42" s="57"/>
      <c r="CUM42" s="57"/>
      <c r="CUN42" s="57"/>
      <c r="CUO42" s="57"/>
      <c r="CUP42" s="57"/>
      <c r="CUQ42" s="57"/>
      <c r="CUR42" s="57"/>
      <c r="CUS42" s="57"/>
      <c r="CUT42" s="57"/>
      <c r="CUU42" s="57"/>
      <c r="CUV42" s="57"/>
      <c r="CUW42" s="57"/>
      <c r="CUX42" s="58"/>
      <c r="CUY42" s="56"/>
      <c r="CUZ42" s="57"/>
      <c r="CVA42" s="57"/>
      <c r="CVB42" s="57"/>
      <c r="CVC42" s="57"/>
      <c r="CVD42" s="57"/>
      <c r="CVE42" s="56"/>
      <c r="CVF42" s="57"/>
      <c r="CVG42" s="57"/>
      <c r="CVH42" s="56"/>
      <c r="CVI42" s="57"/>
      <c r="CVJ42" s="58"/>
      <c r="CVK42" s="56"/>
      <c r="CVL42" s="57"/>
      <c r="CVM42" s="57"/>
      <c r="CVN42" s="57"/>
      <c r="CVO42" s="56"/>
      <c r="CVP42" s="57"/>
      <c r="CVQ42" s="57"/>
      <c r="CVR42" s="56"/>
      <c r="CVS42" s="57"/>
      <c r="CVT42" s="58"/>
      <c r="CVU42" s="56"/>
      <c r="CVV42" s="57"/>
      <c r="CVW42" s="57"/>
      <c r="CVX42" s="57"/>
      <c r="CVY42" s="56"/>
      <c r="CVZ42" s="57"/>
      <c r="CWA42" s="57"/>
      <c r="CWB42" s="56"/>
      <c r="CWC42" s="57"/>
      <c r="CWD42" s="58"/>
      <c r="CWE42" s="56"/>
      <c r="CWF42" s="57"/>
      <c r="CWG42" s="57"/>
      <c r="CWH42" s="57"/>
      <c r="CWI42" s="56"/>
      <c r="CWJ42" s="57"/>
      <c r="CWK42" s="57"/>
      <c r="CWL42" s="56"/>
      <c r="CWM42" s="57"/>
      <c r="CWN42" s="58"/>
      <c r="CWO42" s="56"/>
      <c r="CWP42" s="58"/>
      <c r="CWQ42" s="57"/>
      <c r="CWR42" s="56"/>
      <c r="CWS42" s="57"/>
      <c r="CWT42" s="56"/>
      <c r="CWU42" s="56"/>
      <c r="CWV42" s="56"/>
      <c r="CWW42" s="57"/>
      <c r="CWX42" s="57"/>
      <c r="CWY42" s="57"/>
      <c r="CWZ42" s="57"/>
      <c r="CXA42" s="57"/>
      <c r="CXB42" s="57"/>
      <c r="CXC42" s="57"/>
      <c r="CXD42" s="57"/>
      <c r="CXE42" s="57"/>
      <c r="CXF42" s="57"/>
      <c r="CXG42" s="57"/>
      <c r="CXH42" s="57"/>
      <c r="CXI42" s="57"/>
      <c r="CXJ42" s="57"/>
      <c r="CXK42" s="57"/>
      <c r="CXL42" s="57"/>
      <c r="CXM42" s="57"/>
      <c r="CXN42" s="57"/>
      <c r="CXO42" s="57"/>
      <c r="CXP42" s="57"/>
      <c r="CXQ42" s="57"/>
      <c r="CXR42" s="57"/>
      <c r="CXS42" s="57"/>
      <c r="CXT42" s="57"/>
      <c r="CXU42" s="57"/>
      <c r="CXV42" s="57"/>
      <c r="CXW42" s="57"/>
      <c r="CXX42" s="57"/>
      <c r="CXY42" s="57"/>
      <c r="CXZ42" s="57"/>
      <c r="CYA42" s="57"/>
      <c r="CYB42" s="57"/>
      <c r="CYC42" s="57"/>
      <c r="CYD42" s="57"/>
      <c r="CYE42" s="57"/>
      <c r="CYF42" s="57"/>
      <c r="CYG42" s="57"/>
      <c r="CYH42" s="58"/>
      <c r="CYI42" s="56"/>
      <c r="CYJ42" s="57"/>
      <c r="CYK42" s="57"/>
      <c r="CYL42" s="57"/>
      <c r="CYM42" s="57"/>
      <c r="CYN42" s="57"/>
      <c r="CYO42" s="56"/>
      <c r="CYP42" s="57"/>
      <c r="CYQ42" s="57"/>
      <c r="CYR42" s="56"/>
      <c r="CYS42" s="57"/>
      <c r="CYT42" s="58"/>
      <c r="CYU42" s="56"/>
      <c r="CYV42" s="57"/>
      <c r="CYW42" s="57"/>
      <c r="CYX42" s="57"/>
      <c r="CYY42" s="56"/>
      <c r="CYZ42" s="57"/>
      <c r="CZA42" s="57"/>
      <c r="CZB42" s="56"/>
      <c r="CZC42" s="57"/>
      <c r="CZD42" s="58"/>
      <c r="CZE42" s="56"/>
      <c r="CZF42" s="57"/>
      <c r="CZG42" s="57"/>
      <c r="CZH42" s="57"/>
      <c r="CZI42" s="56"/>
      <c r="CZJ42" s="57"/>
      <c r="CZK42" s="57"/>
      <c r="CZL42" s="56"/>
      <c r="CZM42" s="57"/>
      <c r="CZN42" s="58"/>
      <c r="CZO42" s="56"/>
      <c r="CZP42" s="57"/>
      <c r="CZQ42" s="57"/>
      <c r="CZR42" s="57"/>
      <c r="CZS42" s="56"/>
      <c r="CZT42" s="57"/>
      <c r="CZU42" s="57"/>
      <c r="CZV42" s="56"/>
      <c r="CZW42" s="57"/>
      <c r="CZX42" s="58"/>
      <c r="CZY42" s="56"/>
      <c r="CZZ42" s="58"/>
      <c r="DAA42" s="57"/>
      <c r="DAB42" s="56"/>
      <c r="DAC42" s="57"/>
      <c r="DAD42" s="56"/>
      <c r="DAE42" s="56"/>
      <c r="DAF42" s="56"/>
      <c r="DAG42" s="57"/>
      <c r="DAH42" s="57"/>
      <c r="DAI42" s="57"/>
      <c r="DAJ42" s="57"/>
      <c r="DAK42" s="57"/>
      <c r="DAL42" s="57"/>
      <c r="DAM42" s="57"/>
      <c r="DAN42" s="57"/>
      <c r="DAO42" s="57"/>
      <c r="DAP42" s="57"/>
      <c r="DAQ42" s="57"/>
      <c r="DAR42" s="57"/>
      <c r="DAS42" s="57"/>
      <c r="DAT42" s="57"/>
      <c r="DAU42" s="57"/>
      <c r="DAV42" s="57"/>
      <c r="DAW42" s="57"/>
      <c r="DAX42" s="57"/>
      <c r="DAY42" s="57"/>
      <c r="DAZ42" s="57"/>
      <c r="DBA42" s="57"/>
      <c r="DBB42" s="57"/>
      <c r="DBC42" s="57"/>
      <c r="DBD42" s="57"/>
      <c r="DBE42" s="57"/>
      <c r="DBF42" s="57"/>
      <c r="DBG42" s="57"/>
      <c r="DBH42" s="57"/>
      <c r="DBI42" s="57"/>
      <c r="DBJ42" s="57"/>
      <c r="DBK42" s="57"/>
      <c r="DBL42" s="57"/>
      <c r="DBM42" s="57"/>
      <c r="DBN42" s="57"/>
      <c r="DBO42" s="57"/>
      <c r="DBP42" s="57"/>
      <c r="DBQ42" s="57"/>
      <c r="DBR42" s="58"/>
      <c r="DBS42" s="56"/>
      <c r="DBT42" s="57"/>
      <c r="DBU42" s="57"/>
      <c r="DBV42" s="57"/>
      <c r="DBW42" s="57"/>
      <c r="DBX42" s="57"/>
      <c r="DBY42" s="56"/>
      <c r="DBZ42" s="57"/>
      <c r="DCA42" s="57"/>
      <c r="DCB42" s="56"/>
      <c r="DCC42" s="57"/>
      <c r="DCD42" s="58"/>
      <c r="DCE42" s="56"/>
      <c r="DCF42" s="57"/>
      <c r="DCG42" s="57"/>
      <c r="DCH42" s="57"/>
      <c r="DCI42" s="56"/>
      <c r="DCJ42" s="57"/>
      <c r="DCK42" s="57"/>
      <c r="DCL42" s="56"/>
      <c r="DCM42" s="57"/>
      <c r="DCN42" s="58"/>
      <c r="DCO42" s="56"/>
      <c r="DCP42" s="57"/>
      <c r="DCQ42" s="57"/>
      <c r="DCR42" s="57"/>
      <c r="DCS42" s="56"/>
      <c r="DCT42" s="57"/>
      <c r="DCU42" s="57"/>
      <c r="DCV42" s="56"/>
      <c r="DCW42" s="57"/>
      <c r="DCX42" s="58"/>
      <c r="DCY42" s="56"/>
      <c r="DCZ42" s="57"/>
      <c r="DDA42" s="57"/>
      <c r="DDB42" s="57"/>
      <c r="DDC42" s="56"/>
      <c r="DDD42" s="57"/>
      <c r="DDE42" s="57"/>
      <c r="DDF42" s="56"/>
      <c r="DDG42" s="57"/>
      <c r="DDH42" s="58"/>
      <c r="DDI42" s="56"/>
      <c r="DDJ42" s="58"/>
      <c r="DDK42" s="57"/>
      <c r="DDL42" s="56"/>
      <c r="DDM42" s="57"/>
      <c r="DDN42" s="56"/>
      <c r="DDO42" s="56"/>
      <c r="DDP42" s="56"/>
      <c r="DDQ42" s="57"/>
      <c r="DDR42" s="57"/>
      <c r="DDS42" s="57"/>
      <c r="DDT42" s="57"/>
      <c r="DDU42" s="57"/>
      <c r="DDV42" s="57"/>
      <c r="DDW42" s="57"/>
      <c r="DDX42" s="57"/>
      <c r="DDY42" s="57"/>
      <c r="DDZ42" s="57"/>
      <c r="DEA42" s="57"/>
      <c r="DEB42" s="57"/>
      <c r="DEC42" s="57"/>
      <c r="DED42" s="57"/>
      <c r="DEE42" s="57"/>
      <c r="DEF42" s="57"/>
      <c r="DEG42" s="57"/>
      <c r="DEH42" s="57"/>
      <c r="DEI42" s="57"/>
      <c r="DEJ42" s="57"/>
      <c r="DEK42" s="57"/>
      <c r="DEL42" s="57"/>
      <c r="DEM42" s="57"/>
      <c r="DEN42" s="57"/>
      <c r="DEO42" s="57"/>
      <c r="DEP42" s="57"/>
      <c r="DEQ42" s="57"/>
      <c r="DER42" s="57"/>
      <c r="DES42" s="57"/>
      <c r="DET42" s="57"/>
      <c r="DEU42" s="57"/>
      <c r="DEV42" s="57"/>
      <c r="DEW42" s="57"/>
      <c r="DEX42" s="57"/>
      <c r="DEY42" s="57"/>
      <c r="DEZ42" s="57"/>
      <c r="DFA42" s="57"/>
      <c r="DFB42" s="58"/>
      <c r="DFC42" s="56"/>
      <c r="DFD42" s="57"/>
      <c r="DFE42" s="57"/>
      <c r="DFF42" s="57"/>
      <c r="DFG42" s="57"/>
      <c r="DFH42" s="57"/>
      <c r="DFI42" s="56"/>
      <c r="DFJ42" s="57"/>
      <c r="DFK42" s="57"/>
      <c r="DFL42" s="56"/>
      <c r="DFM42" s="57"/>
      <c r="DFN42" s="58"/>
      <c r="DFO42" s="56"/>
      <c r="DFP42" s="57"/>
      <c r="DFQ42" s="57"/>
      <c r="DFR42" s="57"/>
      <c r="DFS42" s="56"/>
      <c r="DFT42" s="57"/>
      <c r="DFU42" s="57"/>
      <c r="DFV42" s="56"/>
      <c r="DFW42" s="57"/>
      <c r="DFX42" s="58"/>
      <c r="DFY42" s="56"/>
      <c r="DFZ42" s="57"/>
      <c r="DGA42" s="57"/>
      <c r="DGB42" s="57"/>
      <c r="DGC42" s="56"/>
      <c r="DGD42" s="57"/>
      <c r="DGE42" s="57"/>
      <c r="DGF42" s="56"/>
      <c r="DGG42" s="57"/>
      <c r="DGH42" s="58"/>
      <c r="DGI42" s="56"/>
      <c r="DGJ42" s="57"/>
      <c r="DGK42" s="57"/>
      <c r="DGL42" s="57"/>
      <c r="DGM42" s="56"/>
      <c r="DGN42" s="57"/>
      <c r="DGO42" s="57"/>
      <c r="DGP42" s="56"/>
      <c r="DGQ42" s="57"/>
      <c r="DGR42" s="58"/>
      <c r="DGS42" s="56"/>
      <c r="DGT42" s="58"/>
      <c r="DGU42" s="57"/>
      <c r="DGV42" s="56"/>
      <c r="DGW42" s="57"/>
      <c r="DGX42" s="56"/>
      <c r="DGY42" s="56"/>
      <c r="DGZ42" s="56"/>
      <c r="DHA42" s="57"/>
      <c r="DHB42" s="57"/>
      <c r="DHC42" s="57"/>
      <c r="DHD42" s="57"/>
      <c r="DHE42" s="57"/>
      <c r="DHF42" s="57"/>
      <c r="DHG42" s="57"/>
      <c r="DHH42" s="57"/>
      <c r="DHI42" s="57"/>
      <c r="DHJ42" s="57"/>
      <c r="DHK42" s="57"/>
      <c r="DHL42" s="57"/>
      <c r="DHM42" s="57"/>
      <c r="DHN42" s="57"/>
      <c r="DHO42" s="57"/>
      <c r="DHP42" s="57"/>
      <c r="DHQ42" s="57"/>
      <c r="DHR42" s="57"/>
      <c r="DHS42" s="57"/>
      <c r="DHT42" s="57"/>
      <c r="DHU42" s="57"/>
      <c r="DHV42" s="57"/>
      <c r="DHW42" s="57"/>
      <c r="DHX42" s="57"/>
      <c r="DHY42" s="57"/>
      <c r="DHZ42" s="57"/>
      <c r="DIA42" s="57"/>
      <c r="DIB42" s="57"/>
      <c r="DIC42" s="57"/>
      <c r="DID42" s="57"/>
      <c r="DIE42" s="57"/>
      <c r="DIF42" s="57"/>
      <c r="DIG42" s="57"/>
      <c r="DIH42" s="57"/>
      <c r="DII42" s="57"/>
      <c r="DIJ42" s="57"/>
      <c r="DIK42" s="57"/>
      <c r="DIL42" s="58"/>
      <c r="DIM42" s="56"/>
      <c r="DIN42" s="57"/>
      <c r="DIO42" s="57"/>
      <c r="DIP42" s="57"/>
      <c r="DIQ42" s="57"/>
      <c r="DIR42" s="57"/>
      <c r="DIS42" s="56"/>
      <c r="DIT42" s="57"/>
      <c r="DIU42" s="57"/>
      <c r="DIV42" s="56"/>
      <c r="DIW42" s="57"/>
      <c r="DIX42" s="58"/>
      <c r="DIY42" s="56"/>
      <c r="DIZ42" s="57"/>
      <c r="DJA42" s="57"/>
      <c r="DJB42" s="57"/>
      <c r="DJC42" s="56"/>
      <c r="DJD42" s="57"/>
      <c r="DJE42" s="57"/>
      <c r="DJF42" s="56"/>
      <c r="DJG42" s="57"/>
      <c r="DJH42" s="58"/>
      <c r="DJI42" s="56"/>
      <c r="DJJ42" s="57"/>
      <c r="DJK42" s="57"/>
      <c r="DJL42" s="57"/>
      <c r="DJM42" s="56"/>
      <c r="DJN42" s="57"/>
      <c r="DJO42" s="57"/>
      <c r="DJP42" s="56"/>
      <c r="DJQ42" s="57"/>
      <c r="DJR42" s="58"/>
      <c r="DJS42" s="56"/>
      <c r="DJT42" s="57"/>
      <c r="DJU42" s="57"/>
      <c r="DJV42" s="57"/>
      <c r="DJW42" s="56"/>
      <c r="DJX42" s="57"/>
      <c r="DJY42" s="57"/>
      <c r="DJZ42" s="56"/>
      <c r="DKA42" s="57"/>
      <c r="DKB42" s="58"/>
      <c r="DKC42" s="56"/>
      <c r="DKD42" s="58"/>
      <c r="DKE42" s="57"/>
      <c r="DKF42" s="56"/>
      <c r="DKG42" s="57"/>
      <c r="DKH42" s="56"/>
      <c r="DKI42" s="56"/>
      <c r="DKJ42" s="56"/>
      <c r="DKK42" s="57"/>
      <c r="DKL42" s="57"/>
      <c r="DKM42" s="57"/>
      <c r="DKN42" s="57"/>
      <c r="DKO42" s="57"/>
      <c r="DKP42" s="57"/>
      <c r="DKQ42" s="57"/>
      <c r="DKR42" s="57"/>
      <c r="DKS42" s="57"/>
      <c r="DKT42" s="57"/>
      <c r="DKU42" s="57"/>
      <c r="DKV42" s="57"/>
      <c r="DKW42" s="57"/>
      <c r="DKX42" s="57"/>
      <c r="DKY42" s="57"/>
      <c r="DKZ42" s="57"/>
      <c r="DLA42" s="57"/>
      <c r="DLB42" s="57"/>
      <c r="DLC42" s="57"/>
      <c r="DLD42" s="57"/>
      <c r="DLE42" s="57"/>
      <c r="DLF42" s="57"/>
      <c r="DLG42" s="57"/>
      <c r="DLH42" s="57"/>
      <c r="DLI42" s="57"/>
      <c r="DLJ42" s="57"/>
      <c r="DLK42" s="57"/>
      <c r="DLL42" s="57"/>
      <c r="DLM42" s="57"/>
      <c r="DLN42" s="57"/>
      <c r="DLO42" s="57"/>
      <c r="DLP42" s="57"/>
      <c r="DLQ42" s="57"/>
      <c r="DLR42" s="57"/>
      <c r="DLS42" s="57"/>
      <c r="DLT42" s="57"/>
      <c r="DLU42" s="57"/>
      <c r="DLV42" s="58"/>
      <c r="DLW42" s="56"/>
      <c r="DLX42" s="57"/>
      <c r="DLY42" s="57"/>
      <c r="DLZ42" s="57"/>
      <c r="DMA42" s="57"/>
      <c r="DMB42" s="57"/>
      <c r="DMC42" s="56"/>
      <c r="DMD42" s="57"/>
      <c r="DME42" s="57"/>
      <c r="DMF42" s="56"/>
      <c r="DMG42" s="57"/>
      <c r="DMH42" s="58"/>
      <c r="DMI42" s="56"/>
      <c r="DMJ42" s="57"/>
      <c r="DMK42" s="57"/>
      <c r="DML42" s="57"/>
      <c r="DMM42" s="56"/>
      <c r="DMN42" s="57"/>
      <c r="DMO42" s="57"/>
      <c r="DMP42" s="56"/>
      <c r="DMQ42" s="57"/>
      <c r="DMR42" s="58"/>
      <c r="DMS42" s="56"/>
      <c r="DMT42" s="57"/>
      <c r="DMU42" s="57"/>
      <c r="DMV42" s="57"/>
      <c r="DMW42" s="56"/>
      <c r="DMX42" s="57"/>
      <c r="DMY42" s="57"/>
      <c r="DMZ42" s="56"/>
      <c r="DNA42" s="57"/>
      <c r="DNB42" s="58"/>
      <c r="DNC42" s="56"/>
      <c r="DND42" s="57"/>
      <c r="DNE42" s="57"/>
      <c r="DNF42" s="57"/>
      <c r="DNG42" s="56"/>
      <c r="DNH42" s="57"/>
      <c r="DNI42" s="57"/>
      <c r="DNJ42" s="56"/>
      <c r="DNK42" s="57"/>
      <c r="DNL42" s="58"/>
      <c r="DNM42" s="56"/>
      <c r="DNN42" s="58"/>
      <c r="DNO42" s="57"/>
      <c r="DNP42" s="56"/>
      <c r="DNQ42" s="57"/>
      <c r="DNR42" s="56"/>
      <c r="DNS42" s="56"/>
      <c r="DNT42" s="56"/>
      <c r="DNU42" s="57"/>
      <c r="DNV42" s="57"/>
      <c r="DNW42" s="57"/>
      <c r="DNX42" s="57"/>
      <c r="DNY42" s="57"/>
      <c r="DNZ42" s="57"/>
      <c r="DOA42" s="57"/>
      <c r="DOB42" s="57"/>
      <c r="DOC42" s="57"/>
      <c r="DOD42" s="57"/>
      <c r="DOE42" s="57"/>
      <c r="DOF42" s="57"/>
      <c r="DOG42" s="57"/>
      <c r="DOH42" s="57"/>
      <c r="DOI42" s="57"/>
      <c r="DOJ42" s="57"/>
      <c r="DOK42" s="57"/>
      <c r="DOL42" s="57"/>
      <c r="DOM42" s="57"/>
      <c r="DON42" s="57"/>
      <c r="DOO42" s="57"/>
      <c r="DOP42" s="57"/>
      <c r="DOQ42" s="57"/>
      <c r="DOR42" s="57"/>
      <c r="DOS42" s="57"/>
      <c r="DOT42" s="57"/>
      <c r="DOU42" s="57"/>
      <c r="DOV42" s="57"/>
      <c r="DOW42" s="57"/>
      <c r="DOX42" s="57"/>
      <c r="DOY42" s="57"/>
      <c r="DOZ42" s="57"/>
      <c r="DPA42" s="57"/>
      <c r="DPB42" s="57"/>
      <c r="DPC42" s="57"/>
      <c r="DPD42" s="57"/>
      <c r="DPE42" s="57"/>
      <c r="DPF42" s="58"/>
      <c r="DPG42" s="56"/>
      <c r="DPH42" s="57"/>
      <c r="DPI42" s="57"/>
      <c r="DPJ42" s="57"/>
      <c r="DPK42" s="57"/>
      <c r="DPL42" s="57"/>
      <c r="DPM42" s="56"/>
      <c r="DPN42" s="57"/>
      <c r="DPO42" s="57"/>
      <c r="DPP42" s="56"/>
      <c r="DPQ42" s="57"/>
      <c r="DPR42" s="58"/>
      <c r="DPS42" s="56"/>
      <c r="DPT42" s="57"/>
      <c r="DPU42" s="57"/>
      <c r="DPV42" s="57"/>
      <c r="DPW42" s="56"/>
      <c r="DPX42" s="57"/>
      <c r="DPY42" s="57"/>
      <c r="DPZ42" s="56"/>
      <c r="DQA42" s="57"/>
      <c r="DQB42" s="58"/>
      <c r="DQC42" s="56"/>
      <c r="DQD42" s="57"/>
      <c r="DQE42" s="57"/>
      <c r="DQF42" s="57"/>
      <c r="DQG42" s="56"/>
      <c r="DQH42" s="57"/>
      <c r="DQI42" s="57"/>
      <c r="DQJ42" s="56"/>
      <c r="DQK42" s="57"/>
      <c r="DQL42" s="58"/>
      <c r="DQM42" s="56"/>
      <c r="DQN42" s="57"/>
      <c r="DQO42" s="57"/>
      <c r="DQP42" s="57"/>
      <c r="DQQ42" s="56"/>
      <c r="DQR42" s="57"/>
      <c r="DQS42" s="57"/>
      <c r="DQT42" s="56"/>
      <c r="DQU42" s="57"/>
      <c r="DQV42" s="58"/>
      <c r="DQW42" s="56"/>
      <c r="DQX42" s="58"/>
      <c r="DQY42" s="57"/>
      <c r="DQZ42" s="56"/>
      <c r="DRA42" s="57"/>
      <c r="DRB42" s="56"/>
      <c r="DRC42" s="56"/>
      <c r="DRD42" s="56"/>
      <c r="DRE42" s="57"/>
      <c r="DRF42" s="57"/>
      <c r="DRG42" s="57"/>
      <c r="DRH42" s="57"/>
      <c r="DRI42" s="57"/>
      <c r="DRJ42" s="57"/>
      <c r="DRK42" s="57"/>
      <c r="DRL42" s="57"/>
      <c r="DRM42" s="57"/>
      <c r="DRN42" s="57"/>
      <c r="DRO42" s="57"/>
      <c r="DRP42" s="57"/>
      <c r="DRQ42" s="57"/>
      <c r="DRR42" s="57"/>
      <c r="DRS42" s="57"/>
      <c r="DRT42" s="57"/>
      <c r="DRU42" s="57"/>
      <c r="DRV42" s="57"/>
      <c r="DRW42" s="57"/>
      <c r="DRX42" s="57"/>
      <c r="DRY42" s="57"/>
      <c r="DRZ42" s="57"/>
      <c r="DSA42" s="57"/>
      <c r="DSB42" s="57"/>
      <c r="DSC42" s="57"/>
      <c r="DSD42" s="57"/>
      <c r="DSE42" s="57"/>
      <c r="DSF42" s="57"/>
      <c r="DSG42" s="57"/>
      <c r="DSH42" s="57"/>
      <c r="DSI42" s="57"/>
      <c r="DSJ42" s="57"/>
      <c r="DSK42" s="57"/>
      <c r="DSL42" s="57"/>
      <c r="DSM42" s="57"/>
      <c r="DSN42" s="57"/>
      <c r="DSO42" s="57"/>
      <c r="DSP42" s="58"/>
      <c r="DSQ42" s="56"/>
      <c r="DSR42" s="57"/>
      <c r="DSS42" s="57"/>
      <c r="DST42" s="57"/>
      <c r="DSU42" s="57"/>
      <c r="DSV42" s="57"/>
      <c r="DSW42" s="56"/>
      <c r="DSX42" s="57"/>
      <c r="DSY42" s="57"/>
      <c r="DSZ42" s="56"/>
      <c r="DTA42" s="57"/>
      <c r="DTB42" s="58"/>
      <c r="DTC42" s="56"/>
      <c r="DTD42" s="57"/>
      <c r="DTE42" s="57"/>
      <c r="DTF42" s="57"/>
      <c r="DTG42" s="56"/>
      <c r="DTH42" s="57"/>
      <c r="DTI42" s="57"/>
      <c r="DTJ42" s="56"/>
      <c r="DTK42" s="57"/>
      <c r="DTL42" s="58"/>
      <c r="DTM42" s="56"/>
      <c r="DTN42" s="57"/>
      <c r="DTO42" s="57"/>
      <c r="DTP42" s="57"/>
      <c r="DTQ42" s="56"/>
      <c r="DTR42" s="57"/>
      <c r="DTS42" s="57"/>
      <c r="DTT42" s="56"/>
      <c r="DTU42" s="57"/>
      <c r="DTV42" s="58"/>
      <c r="DTW42" s="56"/>
      <c r="DTX42" s="57"/>
      <c r="DTY42" s="57"/>
      <c r="DTZ42" s="57"/>
      <c r="DUA42" s="56"/>
      <c r="DUB42" s="57"/>
      <c r="DUC42" s="57"/>
      <c r="DUD42" s="56"/>
      <c r="DUE42" s="57"/>
      <c r="DUF42" s="58"/>
      <c r="DUG42" s="56"/>
      <c r="DUH42" s="58"/>
      <c r="DUI42" s="57"/>
      <c r="DUJ42" s="56"/>
      <c r="DUK42" s="57"/>
      <c r="DUL42" s="56"/>
      <c r="DUM42" s="56"/>
      <c r="DUN42" s="56"/>
      <c r="DUO42" s="57"/>
      <c r="DUP42" s="57"/>
      <c r="DUQ42" s="57"/>
      <c r="DUR42" s="57"/>
      <c r="DUS42" s="57"/>
      <c r="DUT42" s="57"/>
      <c r="DUU42" s="57"/>
      <c r="DUV42" s="57"/>
      <c r="DUW42" s="57"/>
      <c r="DUX42" s="57"/>
      <c r="DUY42" s="57"/>
      <c r="DUZ42" s="57"/>
      <c r="DVA42" s="57"/>
      <c r="DVB42" s="57"/>
      <c r="DVC42" s="57"/>
      <c r="DVD42" s="57"/>
      <c r="DVE42" s="57"/>
      <c r="DVF42" s="57"/>
      <c r="DVG42" s="57"/>
      <c r="DVH42" s="57"/>
      <c r="DVI42" s="57"/>
      <c r="DVJ42" s="57"/>
      <c r="DVK42" s="57"/>
      <c r="DVL42" s="57"/>
      <c r="DVM42" s="57"/>
      <c r="DVN42" s="57"/>
      <c r="DVO42" s="57"/>
      <c r="DVP42" s="57"/>
      <c r="DVQ42" s="57"/>
      <c r="DVR42" s="57"/>
      <c r="DVS42" s="57"/>
      <c r="DVT42" s="57"/>
      <c r="DVU42" s="57"/>
      <c r="DVV42" s="57"/>
      <c r="DVW42" s="57"/>
      <c r="DVX42" s="57"/>
      <c r="DVY42" s="57"/>
      <c r="DVZ42" s="58"/>
      <c r="DWA42" s="56"/>
      <c r="DWB42" s="57"/>
      <c r="DWC42" s="57"/>
      <c r="DWD42" s="57"/>
      <c r="DWE42" s="57"/>
      <c r="DWF42" s="57"/>
      <c r="DWG42" s="56"/>
      <c r="DWH42" s="57"/>
      <c r="DWI42" s="57"/>
      <c r="DWJ42" s="56"/>
      <c r="DWK42" s="57"/>
      <c r="DWL42" s="58"/>
      <c r="DWM42" s="56"/>
      <c r="DWN42" s="57"/>
      <c r="DWO42" s="57"/>
      <c r="DWP42" s="57"/>
      <c r="DWQ42" s="56"/>
      <c r="DWR42" s="57"/>
      <c r="DWS42" s="57"/>
      <c r="DWT42" s="56"/>
      <c r="DWU42" s="57"/>
      <c r="DWV42" s="58"/>
      <c r="DWW42" s="56"/>
      <c r="DWX42" s="57"/>
      <c r="DWY42" s="57"/>
      <c r="DWZ42" s="57"/>
      <c r="DXA42" s="56"/>
      <c r="DXB42" s="57"/>
      <c r="DXC42" s="57"/>
      <c r="DXD42" s="56"/>
      <c r="DXE42" s="57"/>
      <c r="DXF42" s="58"/>
      <c r="DXG42" s="56"/>
      <c r="DXH42" s="57"/>
      <c r="DXI42" s="57"/>
      <c r="DXJ42" s="57"/>
      <c r="DXK42" s="56"/>
      <c r="DXL42" s="57"/>
      <c r="DXM42" s="57"/>
      <c r="DXN42" s="56"/>
      <c r="DXO42" s="57"/>
      <c r="DXP42" s="58"/>
      <c r="DXQ42" s="56"/>
      <c r="DXR42" s="58"/>
      <c r="DXS42" s="57"/>
      <c r="DXT42" s="56"/>
      <c r="DXU42" s="57"/>
      <c r="DXV42" s="56"/>
      <c r="DXW42" s="56"/>
      <c r="DXX42" s="56"/>
      <c r="DXY42" s="57"/>
      <c r="DXZ42" s="57"/>
      <c r="DYA42" s="57"/>
      <c r="DYB42" s="57"/>
      <c r="DYC42" s="57"/>
      <c r="DYD42" s="57"/>
      <c r="DYE42" s="57"/>
      <c r="DYF42" s="57"/>
      <c r="DYG42" s="57"/>
      <c r="DYH42" s="57"/>
      <c r="DYI42" s="57"/>
      <c r="DYJ42" s="57"/>
      <c r="DYK42" s="57"/>
      <c r="DYL42" s="57"/>
      <c r="DYM42" s="57"/>
      <c r="DYN42" s="57"/>
      <c r="DYO42" s="57"/>
      <c r="DYP42" s="57"/>
      <c r="DYQ42" s="57"/>
      <c r="DYR42" s="57"/>
      <c r="DYS42" s="57"/>
      <c r="DYT42" s="57"/>
      <c r="DYU42" s="57"/>
      <c r="DYV42" s="57"/>
      <c r="DYW42" s="57"/>
      <c r="DYX42" s="57"/>
      <c r="DYY42" s="57"/>
      <c r="DYZ42" s="57"/>
      <c r="DZA42" s="57"/>
      <c r="DZB42" s="57"/>
      <c r="DZC42" s="57"/>
      <c r="DZD42" s="57"/>
      <c r="DZE42" s="57"/>
      <c r="DZF42" s="57"/>
      <c r="DZG42" s="57"/>
      <c r="DZH42" s="57"/>
      <c r="DZI42" s="57"/>
      <c r="DZJ42" s="58"/>
      <c r="DZK42" s="56"/>
      <c r="DZL42" s="57"/>
      <c r="DZM42" s="57"/>
      <c r="DZN42" s="57"/>
      <c r="DZO42" s="57"/>
      <c r="DZP42" s="57"/>
      <c r="DZQ42" s="56"/>
      <c r="DZR42" s="57"/>
      <c r="DZS42" s="57"/>
      <c r="DZT42" s="56"/>
      <c r="DZU42" s="57"/>
      <c r="DZV42" s="58"/>
      <c r="DZW42" s="56"/>
      <c r="DZX42" s="57"/>
      <c r="DZY42" s="57"/>
      <c r="DZZ42" s="57"/>
      <c r="EAA42" s="56"/>
      <c r="EAB42" s="57"/>
      <c r="EAC42" s="57"/>
      <c r="EAD42" s="56"/>
      <c r="EAE42" s="57"/>
      <c r="EAF42" s="58"/>
      <c r="EAG42" s="56"/>
      <c r="EAH42" s="57"/>
      <c r="EAI42" s="57"/>
      <c r="EAJ42" s="57"/>
      <c r="EAK42" s="56"/>
      <c r="EAL42" s="57"/>
      <c r="EAM42" s="57"/>
      <c r="EAN42" s="56"/>
      <c r="EAO42" s="57"/>
      <c r="EAP42" s="58"/>
      <c r="EAQ42" s="56"/>
      <c r="EAR42" s="57"/>
      <c r="EAS42" s="57"/>
      <c r="EAT42" s="57"/>
      <c r="EAU42" s="56"/>
      <c r="EAV42" s="57"/>
      <c r="EAW42" s="57"/>
      <c r="EAX42" s="56"/>
      <c r="EAY42" s="57"/>
      <c r="EAZ42" s="58"/>
      <c r="EBA42" s="56"/>
      <c r="EBB42" s="58"/>
      <c r="EBC42" s="57"/>
      <c r="EBD42" s="56"/>
      <c r="EBE42" s="57"/>
      <c r="EBF42" s="56"/>
      <c r="EBG42" s="56"/>
      <c r="EBH42" s="56"/>
      <c r="EBI42" s="57"/>
      <c r="EBJ42" s="57"/>
      <c r="EBK42" s="57"/>
      <c r="EBL42" s="57"/>
      <c r="EBM42" s="57"/>
      <c r="EBN42" s="57"/>
      <c r="EBO42" s="57"/>
      <c r="EBP42" s="57"/>
      <c r="EBQ42" s="57"/>
      <c r="EBR42" s="57"/>
      <c r="EBS42" s="57"/>
      <c r="EBT42" s="57"/>
      <c r="EBU42" s="57"/>
      <c r="EBV42" s="57"/>
      <c r="EBW42" s="57"/>
      <c r="EBX42" s="57"/>
      <c r="EBY42" s="57"/>
      <c r="EBZ42" s="57"/>
      <c r="ECA42" s="57"/>
      <c r="ECB42" s="57"/>
      <c r="ECC42" s="57"/>
      <c r="ECD42" s="57"/>
      <c r="ECE42" s="57"/>
      <c r="ECF42" s="57"/>
      <c r="ECG42" s="57"/>
      <c r="ECH42" s="57"/>
      <c r="ECI42" s="57"/>
      <c r="ECJ42" s="57"/>
      <c r="ECK42" s="57"/>
      <c r="ECL42" s="57"/>
      <c r="ECM42" s="57"/>
      <c r="ECN42" s="57"/>
      <c r="ECO42" s="57"/>
      <c r="ECP42" s="57"/>
      <c r="ECQ42" s="57"/>
      <c r="ECR42" s="57"/>
      <c r="ECS42" s="57"/>
      <c r="ECT42" s="58"/>
      <c r="ECU42" s="56"/>
      <c r="ECV42" s="57"/>
      <c r="ECW42" s="57"/>
      <c r="ECX42" s="57"/>
      <c r="ECY42" s="57"/>
      <c r="ECZ42" s="57"/>
      <c r="EDA42" s="56"/>
      <c r="EDB42" s="57"/>
      <c r="EDC42" s="57"/>
      <c r="EDD42" s="56"/>
      <c r="EDE42" s="57"/>
      <c r="EDF42" s="58"/>
      <c r="EDG42" s="56"/>
      <c r="EDH42" s="57"/>
      <c r="EDI42" s="57"/>
      <c r="EDJ42" s="57"/>
      <c r="EDK42" s="56"/>
      <c r="EDL42" s="57"/>
      <c r="EDM42" s="57"/>
      <c r="EDN42" s="56"/>
      <c r="EDO42" s="57"/>
      <c r="EDP42" s="58"/>
      <c r="EDQ42" s="56"/>
      <c r="EDR42" s="57"/>
      <c r="EDS42" s="57"/>
      <c r="EDT42" s="57"/>
      <c r="EDU42" s="56"/>
      <c r="EDV42" s="57"/>
      <c r="EDW42" s="57"/>
      <c r="EDX42" s="56"/>
      <c r="EDY42" s="57"/>
      <c r="EDZ42" s="58"/>
      <c r="EEA42" s="56"/>
      <c r="EEB42" s="57"/>
      <c r="EEC42" s="57"/>
      <c r="EED42" s="57"/>
      <c r="EEE42" s="56"/>
      <c r="EEF42" s="57"/>
      <c r="EEG42" s="57"/>
      <c r="EEH42" s="56"/>
      <c r="EEI42" s="57"/>
      <c r="EEJ42" s="58"/>
      <c r="EEK42" s="56"/>
      <c r="EEL42" s="58"/>
      <c r="EEM42" s="57"/>
      <c r="EEN42" s="56"/>
      <c r="EEO42" s="57"/>
      <c r="EEP42" s="56"/>
      <c r="EEQ42" s="56"/>
      <c r="EER42" s="56"/>
      <c r="EES42" s="57"/>
      <c r="EET42" s="57"/>
      <c r="EEU42" s="57"/>
      <c r="EEV42" s="57"/>
      <c r="EEW42" s="57"/>
      <c r="EEX42" s="57"/>
      <c r="EEY42" s="57"/>
      <c r="EEZ42" s="57"/>
      <c r="EFA42" s="57"/>
      <c r="EFB42" s="57"/>
      <c r="EFC42" s="57"/>
      <c r="EFD42" s="57"/>
      <c r="EFE42" s="57"/>
      <c r="EFF42" s="57"/>
      <c r="EFG42" s="57"/>
      <c r="EFH42" s="57"/>
      <c r="EFI42" s="57"/>
      <c r="EFJ42" s="57"/>
      <c r="EFK42" s="57"/>
      <c r="EFL42" s="57"/>
      <c r="EFM42" s="57"/>
      <c r="EFN42" s="57"/>
      <c r="EFO42" s="57"/>
      <c r="EFP42" s="57"/>
      <c r="EFQ42" s="57"/>
      <c r="EFR42" s="57"/>
      <c r="EFS42" s="57"/>
      <c r="EFT42" s="57"/>
      <c r="EFU42" s="57"/>
      <c r="EFV42" s="57"/>
      <c r="EFW42" s="57"/>
      <c r="EFX42" s="57"/>
      <c r="EFY42" s="57"/>
      <c r="EFZ42" s="57"/>
      <c r="EGA42" s="57"/>
      <c r="EGB42" s="57"/>
      <c r="EGC42" s="57"/>
      <c r="EGD42" s="58"/>
      <c r="EGE42" s="56"/>
      <c r="EGF42" s="57"/>
      <c r="EGG42" s="57"/>
      <c r="EGH42" s="57"/>
      <c r="EGI42" s="57"/>
      <c r="EGJ42" s="57"/>
      <c r="EGK42" s="56"/>
      <c r="EGL42" s="57"/>
      <c r="EGM42" s="57"/>
      <c r="EGN42" s="56"/>
      <c r="EGO42" s="57"/>
      <c r="EGP42" s="58"/>
      <c r="EGQ42" s="56"/>
      <c r="EGR42" s="57"/>
      <c r="EGS42" s="57"/>
      <c r="EGT42" s="57"/>
      <c r="EGU42" s="56"/>
      <c r="EGV42" s="57"/>
      <c r="EGW42" s="57"/>
      <c r="EGX42" s="56"/>
      <c r="EGY42" s="57"/>
      <c r="EGZ42" s="58"/>
      <c r="EHA42" s="56"/>
      <c r="EHB42" s="57"/>
      <c r="EHC42" s="57"/>
      <c r="EHD42" s="57"/>
      <c r="EHE42" s="56"/>
      <c r="EHF42" s="57"/>
      <c r="EHG42" s="57"/>
      <c r="EHH42" s="56"/>
      <c r="EHI42" s="57"/>
      <c r="EHJ42" s="58"/>
      <c r="EHK42" s="56"/>
      <c r="EHL42" s="57"/>
      <c r="EHM42" s="57"/>
      <c r="EHN42" s="57"/>
      <c r="EHO42" s="56"/>
      <c r="EHP42" s="57"/>
      <c r="EHQ42" s="57"/>
      <c r="EHR42" s="56"/>
      <c r="EHS42" s="57"/>
      <c r="EHT42" s="58"/>
      <c r="EHU42" s="56"/>
      <c r="EHV42" s="58"/>
      <c r="EHW42" s="57"/>
      <c r="EHX42" s="56"/>
      <c r="EHY42" s="57"/>
      <c r="EHZ42" s="56"/>
      <c r="EIA42" s="56"/>
      <c r="EIB42" s="56"/>
      <c r="EIC42" s="57"/>
      <c r="EID42" s="57"/>
      <c r="EIE42" s="57"/>
      <c r="EIF42" s="57"/>
      <c r="EIG42" s="57"/>
      <c r="EIH42" s="57"/>
      <c r="EII42" s="57"/>
      <c r="EIJ42" s="57"/>
      <c r="EIK42" s="57"/>
      <c r="EIL42" s="57"/>
      <c r="EIM42" s="57"/>
      <c r="EIN42" s="57"/>
      <c r="EIO42" s="57"/>
      <c r="EIP42" s="57"/>
      <c r="EIQ42" s="57"/>
      <c r="EIR42" s="57"/>
      <c r="EIS42" s="57"/>
      <c r="EIT42" s="57"/>
      <c r="EIU42" s="57"/>
      <c r="EIV42" s="57"/>
      <c r="EIW42" s="57"/>
      <c r="EIX42" s="57"/>
      <c r="EIY42" s="57"/>
      <c r="EIZ42" s="57"/>
      <c r="EJA42" s="57"/>
      <c r="EJB42" s="57"/>
      <c r="EJC42" s="57"/>
      <c r="EJD42" s="57"/>
      <c r="EJE42" s="57"/>
      <c r="EJF42" s="57"/>
      <c r="EJG42" s="57"/>
      <c r="EJH42" s="57"/>
      <c r="EJI42" s="57"/>
      <c r="EJJ42" s="57"/>
      <c r="EJK42" s="57"/>
      <c r="EJL42" s="57"/>
      <c r="EJM42" s="57"/>
      <c r="EJN42" s="58"/>
      <c r="EJO42" s="56"/>
      <c r="EJP42" s="57"/>
      <c r="EJQ42" s="57"/>
      <c r="EJR42" s="57"/>
      <c r="EJS42" s="57"/>
      <c r="EJT42" s="57"/>
      <c r="EJU42" s="56"/>
      <c r="EJV42" s="57"/>
      <c r="EJW42" s="57"/>
      <c r="EJX42" s="56"/>
      <c r="EJY42" s="57"/>
      <c r="EJZ42" s="58"/>
      <c r="EKA42" s="56"/>
      <c r="EKB42" s="57"/>
      <c r="EKC42" s="57"/>
      <c r="EKD42" s="57"/>
      <c r="EKE42" s="56"/>
      <c r="EKF42" s="57"/>
      <c r="EKG42" s="57"/>
      <c r="EKH42" s="56"/>
      <c r="EKI42" s="57"/>
      <c r="EKJ42" s="58"/>
      <c r="EKK42" s="56"/>
      <c r="EKL42" s="57"/>
      <c r="EKM42" s="57"/>
      <c r="EKN42" s="57"/>
      <c r="EKO42" s="56"/>
      <c r="EKP42" s="57"/>
      <c r="EKQ42" s="57"/>
      <c r="EKR42" s="56"/>
      <c r="EKS42" s="57"/>
      <c r="EKT42" s="58"/>
      <c r="EKU42" s="56"/>
      <c r="EKV42" s="57"/>
      <c r="EKW42" s="57"/>
      <c r="EKX42" s="57"/>
      <c r="EKY42" s="56"/>
      <c r="EKZ42" s="57"/>
      <c r="ELA42" s="57"/>
      <c r="ELB42" s="56"/>
      <c r="ELC42" s="57"/>
      <c r="ELD42" s="58"/>
      <c r="ELE42" s="56"/>
      <c r="ELF42" s="58"/>
      <c r="ELG42" s="57"/>
      <c r="ELH42" s="56"/>
      <c r="ELI42" s="57"/>
      <c r="ELJ42" s="56"/>
      <c r="ELK42" s="56"/>
      <c r="ELL42" s="56"/>
      <c r="ELM42" s="57"/>
      <c r="ELN42" s="57"/>
      <c r="ELO42" s="57"/>
      <c r="ELP42" s="57"/>
      <c r="ELQ42" s="57"/>
      <c r="ELR42" s="57"/>
      <c r="ELS42" s="57"/>
      <c r="ELT42" s="57"/>
      <c r="ELU42" s="57"/>
      <c r="ELV42" s="57"/>
      <c r="ELW42" s="57"/>
      <c r="ELX42" s="57"/>
      <c r="ELY42" s="57"/>
      <c r="ELZ42" s="57"/>
      <c r="EMA42" s="57"/>
      <c r="EMB42" s="57"/>
      <c r="EMC42" s="57"/>
      <c r="EMD42" s="57"/>
      <c r="EME42" s="57"/>
      <c r="EMF42" s="57"/>
      <c r="EMG42" s="57"/>
      <c r="EMH42" s="57"/>
      <c r="EMI42" s="57"/>
      <c r="EMJ42" s="57"/>
      <c r="EMK42" s="57"/>
      <c r="EML42" s="57"/>
      <c r="EMM42" s="57"/>
      <c r="EMN42" s="57"/>
      <c r="EMO42" s="57"/>
      <c r="EMP42" s="57"/>
      <c r="EMQ42" s="57"/>
      <c r="EMR42" s="57"/>
      <c r="EMS42" s="57"/>
      <c r="EMT42" s="57"/>
      <c r="EMU42" s="57"/>
      <c r="EMV42" s="57"/>
      <c r="EMW42" s="57"/>
      <c r="EMX42" s="58"/>
      <c r="EMY42" s="56"/>
      <c r="EMZ42" s="57"/>
      <c r="ENA42" s="57"/>
      <c r="ENB42" s="57"/>
      <c r="ENC42" s="57"/>
      <c r="END42" s="57"/>
      <c r="ENE42" s="56"/>
      <c r="ENF42" s="57"/>
      <c r="ENG42" s="57"/>
      <c r="ENH42" s="56"/>
      <c r="ENI42" s="57"/>
      <c r="ENJ42" s="58"/>
      <c r="ENK42" s="56"/>
      <c r="ENL42" s="57"/>
      <c r="ENM42" s="57"/>
      <c r="ENN42" s="57"/>
      <c r="ENO42" s="56"/>
      <c r="ENP42" s="57"/>
      <c r="ENQ42" s="57"/>
      <c r="ENR42" s="56"/>
      <c r="ENS42" s="57"/>
      <c r="ENT42" s="58"/>
      <c r="ENU42" s="56"/>
      <c r="ENV42" s="57"/>
      <c r="ENW42" s="57"/>
      <c r="ENX42" s="57"/>
      <c r="ENY42" s="56"/>
      <c r="ENZ42" s="57"/>
      <c r="EOA42" s="57"/>
      <c r="EOB42" s="56"/>
      <c r="EOC42" s="57"/>
      <c r="EOD42" s="58"/>
      <c r="EOE42" s="56"/>
      <c r="EOF42" s="57"/>
      <c r="EOG42" s="57"/>
      <c r="EOH42" s="57"/>
      <c r="EOI42" s="56"/>
      <c r="EOJ42" s="57"/>
      <c r="EOK42" s="57"/>
      <c r="EOL42" s="56"/>
      <c r="EOM42" s="57"/>
      <c r="EON42" s="58"/>
      <c r="EOO42" s="56" t="str">
        <f t="shared" si="75"/>
        <v xml:space="preserve"> </v>
      </c>
    </row>
    <row r="43" spans="1:3785" x14ac:dyDescent="0.3">
      <c r="A43" s="27" t="s">
        <v>241</v>
      </c>
      <c r="B43" s="30"/>
      <c r="C43" s="29"/>
      <c r="D43" s="28" t="str">
        <f t="shared" si="61"/>
        <v xml:space="preserve"> </v>
      </c>
      <c r="E43" s="29"/>
      <c r="F43" s="28"/>
      <c r="G43" s="28"/>
      <c r="H43" s="28"/>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30"/>
      <c r="AU43" s="28"/>
      <c r="AV43" s="29"/>
      <c r="AW43" s="29"/>
      <c r="AX43" s="29"/>
      <c r="AY43" s="29"/>
      <c r="AZ43" s="29"/>
      <c r="BA43" s="28"/>
      <c r="BB43" s="29"/>
      <c r="BC43" s="29"/>
      <c r="BD43" s="28"/>
      <c r="BE43" s="29"/>
      <c r="BF43" s="30"/>
      <c r="BG43" s="28"/>
      <c r="BH43" s="29"/>
      <c r="BI43" s="29"/>
      <c r="BJ43" s="29"/>
      <c r="BK43" s="28"/>
      <c r="BL43" s="29"/>
      <c r="BM43" s="29"/>
      <c r="BN43" s="28"/>
      <c r="BO43" s="29"/>
      <c r="BP43" s="30"/>
      <c r="BQ43" s="28"/>
      <c r="BR43" s="29"/>
      <c r="BS43" s="29"/>
      <c r="BT43" s="29"/>
      <c r="BU43" s="28"/>
      <c r="BV43" s="29"/>
      <c r="BW43" s="29"/>
      <c r="BX43" s="28"/>
      <c r="BY43" s="29"/>
      <c r="BZ43" s="30"/>
      <c r="CA43" s="28"/>
      <c r="CB43" s="29"/>
      <c r="CC43" s="29"/>
      <c r="CD43" s="29"/>
      <c r="CE43" s="28"/>
      <c r="CF43" s="29"/>
      <c r="CG43" s="29"/>
      <c r="CH43" s="28"/>
      <c r="CI43" s="29"/>
      <c r="CJ43" s="30"/>
      <c r="CK43" s="28"/>
      <c r="CL43" s="29"/>
      <c r="CM43" s="29"/>
      <c r="CN43" s="29"/>
      <c r="CO43" s="28"/>
      <c r="CP43" s="29"/>
      <c r="CQ43" s="29"/>
      <c r="CR43" s="28"/>
      <c r="CS43" s="29"/>
      <c r="CT43" s="30"/>
      <c r="CU43" s="28"/>
      <c r="CV43" s="29"/>
      <c r="CW43" s="29"/>
      <c r="CX43" s="29"/>
      <c r="CY43" s="28"/>
      <c r="CZ43" s="29"/>
      <c r="DA43" s="29"/>
      <c r="DB43" s="28"/>
      <c r="DC43" s="29"/>
      <c r="DD43" s="30"/>
      <c r="DE43" s="28"/>
      <c r="DF43" s="29"/>
      <c r="DG43" s="29"/>
      <c r="DH43" s="29"/>
      <c r="DI43" s="28"/>
      <c r="DJ43" s="29"/>
      <c r="DK43" s="29"/>
      <c r="DL43" s="28"/>
      <c r="DM43" s="29"/>
      <c r="DN43" s="30"/>
      <c r="DO43" s="28"/>
      <c r="DP43" s="29"/>
      <c r="DQ43" s="29"/>
      <c r="DR43" s="29"/>
      <c r="DS43" s="28"/>
      <c r="DT43" s="29"/>
      <c r="DU43" s="29"/>
      <c r="DV43" s="28"/>
      <c r="DW43" s="29"/>
      <c r="DX43" s="30"/>
      <c r="DY43" s="28"/>
      <c r="DZ43" s="29"/>
      <c r="EA43" s="29"/>
      <c r="EB43" s="29"/>
      <c r="EC43" s="28"/>
      <c r="ED43" s="29"/>
      <c r="EE43" s="28"/>
      <c r="EF43" s="28"/>
      <c r="EG43" s="29"/>
      <c r="EH43" s="30"/>
      <c r="EI43" s="28"/>
      <c r="EJ43" s="29"/>
      <c r="EK43" s="29"/>
      <c r="EL43" s="29"/>
      <c r="EM43" s="28"/>
      <c r="EN43" s="29"/>
      <c r="EO43" s="33"/>
      <c r="EP43" s="28"/>
      <c r="EQ43" s="29"/>
      <c r="ER43" s="30"/>
      <c r="ES43" s="28"/>
      <c r="ET43" s="29"/>
      <c r="EU43" s="29"/>
      <c r="EV43" s="29"/>
      <c r="EW43" s="28"/>
      <c r="EX43" s="29"/>
      <c r="EY43" s="29"/>
      <c r="EZ43" s="28"/>
      <c r="FA43" s="29"/>
      <c r="FB43" s="30"/>
      <c r="FC43" s="28"/>
      <c r="FD43" s="29"/>
      <c r="FE43" s="29"/>
      <c r="FF43" s="29"/>
      <c r="FG43" s="28"/>
      <c r="FH43" s="29"/>
      <c r="FI43" s="29"/>
      <c r="FJ43" s="28"/>
      <c r="FK43" s="29"/>
      <c r="FL43" s="30"/>
      <c r="FM43" s="28"/>
      <c r="FN43" s="29"/>
      <c r="FO43" s="29"/>
      <c r="FP43" s="29"/>
      <c r="FQ43" s="28"/>
      <c r="FR43" s="29"/>
      <c r="FS43" s="29"/>
      <c r="FT43" s="28"/>
      <c r="FU43" s="29"/>
      <c r="FV43" s="30"/>
      <c r="FW43" s="28"/>
      <c r="FX43" s="29"/>
      <c r="FY43" s="29"/>
      <c r="FZ43" s="29"/>
      <c r="GA43" s="28"/>
      <c r="GB43" s="29"/>
      <c r="GC43" s="29"/>
      <c r="GD43" s="28"/>
      <c r="GE43" s="29"/>
      <c r="GF43" s="30"/>
      <c r="GG43" s="28"/>
      <c r="GH43" s="29"/>
      <c r="GI43" s="29"/>
      <c r="GJ43" s="29"/>
      <c r="GK43" s="28"/>
      <c r="GL43" s="29"/>
      <c r="GM43" s="29"/>
      <c r="GN43" s="28"/>
      <c r="GO43" s="29"/>
      <c r="GP43" s="30"/>
      <c r="GQ43" s="28"/>
      <c r="GR43" s="29"/>
      <c r="GS43" s="29"/>
      <c r="GT43" s="29"/>
      <c r="GU43" s="28"/>
      <c r="GV43" s="29"/>
      <c r="GW43" s="29"/>
      <c r="GX43" s="28"/>
      <c r="GY43" s="29"/>
      <c r="GZ43" s="30"/>
      <c r="HA43" s="28"/>
      <c r="HB43" s="29"/>
      <c r="HC43" s="29"/>
      <c r="HD43" s="29"/>
      <c r="HE43" s="28"/>
      <c r="HF43" s="29"/>
      <c r="HG43" s="29"/>
      <c r="HH43" s="28"/>
      <c r="HI43" s="29"/>
      <c r="HJ43" s="30"/>
      <c r="HK43" s="28"/>
      <c r="HL43" s="29"/>
      <c r="HM43" s="29"/>
      <c r="HN43" s="29"/>
      <c r="HO43" s="28"/>
      <c r="HP43" s="29"/>
      <c r="HQ43" s="29"/>
      <c r="HR43" s="28"/>
      <c r="HS43" s="29"/>
      <c r="HT43" s="30"/>
      <c r="HU43" s="28"/>
      <c r="HV43" s="29"/>
      <c r="HW43" s="29"/>
      <c r="HX43" s="29"/>
      <c r="HY43" s="28"/>
      <c r="HZ43" s="29"/>
      <c r="IA43" s="29"/>
      <c r="IB43" s="28"/>
      <c r="IC43" s="29"/>
      <c r="ID43" s="30"/>
      <c r="IE43" s="28"/>
      <c r="IF43" s="29"/>
      <c r="IG43" s="29"/>
      <c r="IH43" s="29"/>
      <c r="II43" s="28"/>
      <c r="IJ43" s="29"/>
      <c r="IK43" s="29"/>
      <c r="IL43" s="28"/>
      <c r="IM43" s="29"/>
      <c r="IN43" s="30"/>
      <c r="IO43" s="28"/>
      <c r="IP43" s="29"/>
      <c r="IQ43" s="29"/>
      <c r="IR43" s="29"/>
      <c r="IS43" s="28"/>
      <c r="IT43" s="29"/>
      <c r="IU43" s="29"/>
      <c r="IV43" s="28"/>
      <c r="IW43" s="29"/>
      <c r="IX43" s="30"/>
      <c r="IY43" s="28"/>
      <c r="IZ43" s="29"/>
      <c r="JA43" s="29"/>
      <c r="JB43" s="29"/>
      <c r="JC43" s="28"/>
      <c r="JD43" s="29"/>
      <c r="JE43" s="29"/>
      <c r="JF43" s="28"/>
      <c r="JG43" s="29"/>
      <c r="JH43" s="30"/>
      <c r="JI43" s="28"/>
      <c r="JJ43" s="29"/>
      <c r="JK43" s="29"/>
      <c r="JL43" s="29"/>
      <c r="JM43" s="28"/>
      <c r="JN43" s="29"/>
      <c r="JO43" s="29"/>
      <c r="JP43" s="28"/>
      <c r="JQ43" s="29"/>
      <c r="JR43" s="30"/>
      <c r="JS43" s="28"/>
      <c r="JT43" s="29"/>
      <c r="JU43" s="29"/>
      <c r="JV43" s="29"/>
      <c r="JW43" s="28"/>
      <c r="JX43" s="29"/>
      <c r="JY43" s="29"/>
      <c r="JZ43" s="28"/>
      <c r="KA43" s="29"/>
      <c r="KB43" s="30"/>
      <c r="KC43" s="28"/>
      <c r="KD43" s="29"/>
      <c r="KE43" s="29"/>
      <c r="KF43" s="29"/>
      <c r="KG43" s="28"/>
      <c r="KH43" s="29"/>
      <c r="KI43" s="29"/>
      <c r="KJ43" s="28"/>
      <c r="KK43" s="29"/>
      <c r="KL43" s="30"/>
      <c r="KM43" s="28"/>
      <c r="KN43" s="29"/>
      <c r="KO43" s="29"/>
      <c r="KP43" s="29"/>
      <c r="KQ43" s="28"/>
      <c r="KR43" s="29"/>
      <c r="KS43" s="29"/>
      <c r="KT43" s="28"/>
      <c r="KU43" s="29"/>
      <c r="KV43" s="30"/>
      <c r="KW43" s="28"/>
      <c r="KX43" s="29"/>
      <c r="KY43" s="29"/>
      <c r="KZ43" s="29"/>
      <c r="LA43" s="28"/>
      <c r="LB43" s="29"/>
      <c r="LC43" s="29"/>
      <c r="LD43" s="28"/>
      <c r="LE43" s="29"/>
      <c r="LF43" s="30"/>
      <c r="LG43" s="28"/>
      <c r="LH43" s="29"/>
      <c r="LI43" s="29"/>
      <c r="LJ43" s="29"/>
      <c r="LK43" s="28"/>
      <c r="LL43" s="29"/>
      <c r="LM43" s="29"/>
      <c r="LN43" s="28"/>
      <c r="LO43" s="29"/>
      <c r="LP43" s="30"/>
      <c r="LQ43" s="28"/>
      <c r="LR43" s="29"/>
      <c r="LS43" s="29"/>
      <c r="LT43" s="29"/>
      <c r="LU43" s="28"/>
      <c r="LV43" s="29"/>
      <c r="LW43" s="29"/>
      <c r="LX43" s="28"/>
      <c r="LY43" s="29"/>
      <c r="LZ43" s="30"/>
      <c r="MA43" s="28"/>
      <c r="MB43" s="29"/>
      <c r="MC43" s="29"/>
      <c r="MD43" s="29"/>
      <c r="ME43" s="28"/>
      <c r="MF43" s="29"/>
      <c r="MG43" s="29"/>
      <c r="MH43" s="28"/>
      <c r="MI43" s="29"/>
      <c r="MJ43" s="30"/>
      <c r="MK43" s="28"/>
      <c r="ML43" s="29"/>
      <c r="MM43" s="29"/>
      <c r="MN43" s="29"/>
      <c r="MO43" s="28"/>
      <c r="MP43" s="29"/>
      <c r="MQ43" s="29"/>
      <c r="MR43" s="28"/>
      <c r="MS43" s="29"/>
      <c r="MT43" s="30"/>
      <c r="MU43" s="28"/>
      <c r="MV43" s="29"/>
      <c r="MW43" s="29"/>
      <c r="MX43" s="29"/>
      <c r="MY43" s="28"/>
      <c r="MZ43" s="29"/>
      <c r="NA43" s="29"/>
      <c r="NB43" s="28"/>
      <c r="NC43" s="29"/>
      <c r="ND43" s="30"/>
      <c r="NE43" s="28"/>
      <c r="NF43" s="29"/>
      <c r="NG43" s="29"/>
      <c r="NH43" s="29"/>
      <c r="NI43" s="28"/>
      <c r="NJ43" s="29"/>
      <c r="NK43" s="29"/>
      <c r="NL43" s="28"/>
      <c r="NM43" s="29"/>
      <c r="NN43" s="30"/>
      <c r="NO43" s="28"/>
      <c r="NP43" s="29"/>
      <c r="NQ43" s="29"/>
      <c r="NR43" s="29"/>
      <c r="NS43" s="28"/>
      <c r="NT43" s="29"/>
      <c r="NU43" s="29"/>
      <c r="NV43" s="28"/>
      <c r="NW43" s="29"/>
      <c r="NX43" s="30"/>
      <c r="NY43" s="28"/>
      <c r="NZ43" s="29"/>
      <c r="OA43" s="29"/>
      <c r="OB43" s="29"/>
      <c r="OC43" s="28"/>
      <c r="OD43" s="29"/>
      <c r="OE43" s="29"/>
      <c r="OF43" s="30"/>
      <c r="OG43" s="30"/>
      <c r="OH43" s="30"/>
      <c r="OI43" s="28"/>
      <c r="OJ43" s="30"/>
      <c r="OK43" s="30"/>
      <c r="OL43" s="30"/>
      <c r="OM43" s="30"/>
      <c r="ON43" s="30"/>
      <c r="OO43" s="30"/>
      <c r="OP43" s="28"/>
      <c r="OQ43" s="29"/>
      <c r="OR43" s="30"/>
      <c r="OS43" s="28"/>
      <c r="OT43" s="29"/>
      <c r="OU43" s="29"/>
      <c r="OV43" s="29"/>
      <c r="OW43" s="28"/>
      <c r="OX43" s="29"/>
      <c r="OY43" s="29"/>
      <c r="OZ43" s="28"/>
      <c r="PA43" s="29"/>
      <c r="PB43" s="30"/>
      <c r="PC43" s="28"/>
      <c r="PD43" s="29"/>
      <c r="PE43" s="29"/>
      <c r="PF43" s="29"/>
      <c r="PG43" s="28"/>
      <c r="PH43" s="29"/>
      <c r="PI43" s="29"/>
      <c r="PJ43" s="28"/>
      <c r="PK43" s="29"/>
      <c r="PL43" s="30"/>
      <c r="PM43" s="28"/>
      <c r="PN43" s="29"/>
      <c r="PO43" s="29"/>
      <c r="PP43" s="29"/>
      <c r="PQ43" s="28"/>
      <c r="PR43" s="29"/>
      <c r="PS43" s="29"/>
      <c r="PT43" s="28"/>
      <c r="PU43" s="29"/>
      <c r="PV43" s="30"/>
      <c r="PW43" s="28"/>
      <c r="PX43" s="29"/>
      <c r="PY43" s="29"/>
      <c r="PZ43" s="29"/>
      <c r="QA43" s="28"/>
      <c r="QB43" s="29"/>
      <c r="QC43" s="29"/>
      <c r="QD43" s="28"/>
      <c r="QE43" s="29"/>
      <c r="QF43" s="30"/>
      <c r="QG43" s="28"/>
      <c r="QH43" s="29"/>
      <c r="QI43" s="29"/>
      <c r="QJ43" s="29"/>
      <c r="QK43" s="28"/>
      <c r="QL43" s="29"/>
      <c r="QM43" s="29"/>
      <c r="QN43" s="28"/>
      <c r="QO43" s="29"/>
      <c r="QP43" s="30"/>
      <c r="QQ43" s="28"/>
      <c r="QR43" s="29"/>
      <c r="QS43" s="29"/>
      <c r="QT43" s="29"/>
      <c r="QU43" s="28"/>
      <c r="QV43" s="29"/>
      <c r="QW43" s="29"/>
      <c r="QX43" s="28"/>
      <c r="QY43" s="29"/>
      <c r="QZ43" s="30"/>
      <c r="RA43" s="28"/>
      <c r="RB43" s="29"/>
      <c r="RC43" s="29"/>
      <c r="RD43" s="29"/>
      <c r="RE43" s="28"/>
      <c r="RF43" s="29"/>
      <c r="RG43" s="29"/>
      <c r="RH43" s="28"/>
      <c r="RI43" s="29"/>
      <c r="RJ43" s="30"/>
      <c r="RK43" s="28"/>
      <c r="RL43" s="29"/>
      <c r="RM43" s="29"/>
      <c r="RN43" s="29"/>
      <c r="RO43" s="28"/>
      <c r="RP43" s="29"/>
      <c r="RQ43" s="29"/>
      <c r="RR43" s="28"/>
      <c r="RS43" s="29"/>
      <c r="RT43" s="30"/>
      <c r="RU43" s="28"/>
      <c r="RV43" s="29"/>
      <c r="RW43" s="29"/>
      <c r="RX43" s="29"/>
      <c r="RY43" s="28"/>
      <c r="RZ43" s="29"/>
      <c r="SA43" s="29"/>
      <c r="SB43" s="28"/>
      <c r="SC43" s="29"/>
      <c r="SD43" s="30"/>
      <c r="SE43" s="28"/>
      <c r="SF43" s="29"/>
      <c r="SG43" s="29"/>
      <c r="SH43" s="29"/>
      <c r="SI43" s="28"/>
      <c r="SJ43" s="29"/>
      <c r="SK43" s="29"/>
      <c r="SL43" s="28"/>
      <c r="SM43" s="29"/>
      <c r="SN43" s="30"/>
      <c r="SO43" s="28"/>
      <c r="SP43" s="29"/>
      <c r="SQ43" s="29"/>
      <c r="SR43" s="29"/>
      <c r="SS43" s="28"/>
      <c r="ST43" s="29"/>
      <c r="SU43" s="29"/>
      <c r="SV43" s="28"/>
      <c r="SW43" s="29"/>
      <c r="SX43" s="30"/>
      <c r="SY43" s="28"/>
      <c r="SZ43" s="29"/>
      <c r="TA43" s="29"/>
      <c r="TB43" s="29"/>
      <c r="TC43" s="28"/>
      <c r="TD43" s="29"/>
      <c r="TE43" s="29"/>
      <c r="TF43" s="28"/>
      <c r="TG43" s="29"/>
      <c r="TH43" s="30"/>
      <c r="TI43" s="28"/>
      <c r="TJ43" s="29"/>
      <c r="TK43" s="29"/>
      <c r="TL43" s="29"/>
      <c r="TM43" s="28"/>
      <c r="TN43" s="29"/>
      <c r="TO43" s="29"/>
      <c r="TP43" s="28"/>
      <c r="TQ43" s="29"/>
      <c r="TR43" s="30"/>
      <c r="TS43" s="28"/>
      <c r="TT43" s="29"/>
      <c r="TU43" s="29"/>
      <c r="TV43" s="29"/>
      <c r="TW43" s="28"/>
      <c r="TX43" s="29"/>
      <c r="TY43" s="29"/>
      <c r="TZ43" s="28"/>
      <c r="UA43" s="29"/>
      <c r="UB43" s="30"/>
      <c r="UC43" s="28"/>
      <c r="UD43" s="29"/>
      <c r="UE43" s="29"/>
      <c r="UF43" s="29"/>
      <c r="UG43" s="28"/>
      <c r="UH43" s="29"/>
      <c r="UI43" s="29"/>
      <c r="UJ43" s="28"/>
      <c r="UK43" s="29"/>
      <c r="UL43" s="30"/>
      <c r="UM43" s="28"/>
      <c r="UN43" s="29"/>
      <c r="UO43" s="29"/>
      <c r="UP43" s="29"/>
      <c r="UQ43" s="28"/>
      <c r="UR43" s="29"/>
      <c r="US43" s="29"/>
      <c r="UT43" s="28"/>
      <c r="UU43" s="29"/>
      <c r="UV43" s="30"/>
      <c r="UW43" s="28"/>
      <c r="UX43" s="29"/>
      <c r="UY43" s="29"/>
      <c r="UZ43" s="29"/>
      <c r="VA43" s="28"/>
      <c r="VB43" s="29"/>
      <c r="VC43" s="29"/>
      <c r="VD43" s="28"/>
      <c r="VE43" s="29"/>
      <c r="VF43" s="30"/>
      <c r="VG43" s="28"/>
      <c r="VH43" s="29"/>
      <c r="VI43" s="29"/>
      <c r="VJ43" s="29"/>
      <c r="VK43" s="28"/>
      <c r="VL43" s="29"/>
      <c r="VM43" s="29"/>
      <c r="VN43" s="28"/>
      <c r="VO43" s="29"/>
      <c r="VP43" s="30"/>
      <c r="VQ43" s="28"/>
      <c r="VR43" s="29"/>
      <c r="VS43" s="29"/>
      <c r="VT43" s="29"/>
      <c r="VU43" s="28"/>
      <c r="VV43" s="29"/>
      <c r="VW43" s="29"/>
      <c r="VX43" s="28"/>
      <c r="VY43" s="29"/>
      <c r="VZ43" s="30"/>
      <c r="WA43" s="28"/>
      <c r="WB43" s="29"/>
      <c r="WC43" s="29"/>
      <c r="WD43" s="29"/>
      <c r="WE43" s="28"/>
      <c r="WF43" s="29"/>
      <c r="WG43" s="29"/>
      <c r="WH43" s="28"/>
      <c r="WI43" s="29"/>
      <c r="WJ43" s="30"/>
      <c r="WK43" s="28"/>
      <c r="WL43" s="29"/>
      <c r="WM43" s="29"/>
      <c r="WN43" s="29"/>
      <c r="WO43" s="28"/>
      <c r="WP43" s="29"/>
      <c r="WQ43" s="29"/>
      <c r="WR43" s="28"/>
      <c r="WS43" s="29"/>
      <c r="WT43" s="30"/>
      <c r="WU43" s="28"/>
      <c r="WV43" s="29"/>
      <c r="WW43" s="29"/>
      <c r="WX43" s="29"/>
      <c r="WY43" s="28"/>
      <c r="WZ43" s="29"/>
      <c r="XA43" s="29"/>
      <c r="XB43" s="28"/>
      <c r="XC43" s="29"/>
      <c r="XD43" s="30"/>
      <c r="XE43" s="28"/>
      <c r="XF43" s="29"/>
      <c r="XG43" s="29"/>
      <c r="XH43" s="29"/>
      <c r="XI43" s="28"/>
      <c r="XJ43" s="29"/>
      <c r="XK43" s="29"/>
      <c r="XL43" s="28"/>
      <c r="XM43" s="29"/>
      <c r="XN43" s="30"/>
      <c r="XO43" s="28"/>
      <c r="XP43" s="29"/>
      <c r="XQ43" s="29"/>
      <c r="XR43" s="29"/>
      <c r="XS43" s="28"/>
      <c r="XT43" s="29"/>
      <c r="XU43" s="29"/>
      <c r="XV43" s="28"/>
      <c r="XW43" s="29"/>
      <c r="XX43" s="30"/>
      <c r="XY43" s="28"/>
      <c r="XZ43" s="29"/>
      <c r="YA43" s="29"/>
      <c r="YB43" s="29"/>
      <c r="YC43" s="28"/>
      <c r="YD43" s="29"/>
      <c r="YE43" s="29"/>
      <c r="YF43" s="28"/>
      <c r="YG43" s="29"/>
      <c r="YH43" s="30"/>
      <c r="YI43" s="28"/>
      <c r="YJ43" s="29"/>
      <c r="YK43" s="29"/>
      <c r="YL43" s="29"/>
      <c r="YM43" s="28"/>
      <c r="YN43" s="29"/>
      <c r="YO43" s="29"/>
      <c r="YP43" s="28"/>
      <c r="YQ43" s="29"/>
      <c r="YR43" s="30"/>
      <c r="YS43" s="28"/>
      <c r="YT43" s="29"/>
      <c r="YU43" s="29"/>
      <c r="YV43" s="29"/>
      <c r="YW43" s="28"/>
      <c r="YX43" s="29"/>
      <c r="YY43" s="29"/>
      <c r="YZ43" s="28"/>
      <c r="ZA43" s="29"/>
      <c r="ZB43" s="30"/>
      <c r="ZC43" s="28"/>
      <c r="ZD43" s="29"/>
      <c r="ZE43" s="29"/>
      <c r="ZF43" s="29"/>
      <c r="ZG43" s="28"/>
      <c r="ZH43" s="29"/>
      <c r="ZI43" s="29"/>
      <c r="ZJ43" s="28"/>
      <c r="ZK43" s="29"/>
      <c r="ZL43" s="30"/>
      <c r="ZM43" s="28"/>
      <c r="ZN43" s="29"/>
      <c r="ZO43" s="29"/>
      <c r="ZP43" s="29"/>
      <c r="ZQ43" s="28"/>
      <c r="ZR43" s="29"/>
      <c r="ZS43" s="29"/>
      <c r="ZT43" s="28"/>
      <c r="ZU43" s="29"/>
      <c r="ZV43" s="30"/>
      <c r="ZW43" s="28"/>
      <c r="ZX43" s="29"/>
      <c r="ZY43" s="29"/>
      <c r="ZZ43" s="29"/>
      <c r="AAA43" s="28"/>
      <c r="AAB43" s="29"/>
      <c r="AAC43" s="29"/>
      <c r="AAD43" s="28"/>
      <c r="AAE43" s="29"/>
      <c r="AAF43" s="30"/>
      <c r="AAG43" s="28"/>
      <c r="AAH43" s="29"/>
      <c r="AAI43" s="29"/>
      <c r="AAJ43" s="29"/>
      <c r="AAK43" s="28"/>
      <c r="AAL43" s="29"/>
      <c r="AAM43" s="29"/>
      <c r="AAN43" s="28"/>
      <c r="AAO43" s="29"/>
      <c r="AAP43" s="30"/>
      <c r="AAQ43" s="28"/>
      <c r="AAR43" s="29"/>
      <c r="AAS43" s="29"/>
      <c r="AAT43" s="29"/>
      <c r="AAU43" s="28"/>
      <c r="AAV43" s="29"/>
      <c r="AAW43" s="29"/>
      <c r="AAX43" s="28"/>
      <c r="AAY43" s="29"/>
      <c r="AAZ43" s="30"/>
      <c r="ABA43" s="28"/>
      <c r="ABB43" s="29"/>
      <c r="ABC43" s="29"/>
      <c r="ABD43" s="29"/>
      <c r="ABE43" s="28"/>
      <c r="ABF43" s="29"/>
      <c r="ABG43" s="29"/>
      <c r="ABH43" s="28"/>
      <c r="ABI43" s="29"/>
      <c r="ABJ43" s="30"/>
      <c r="ABK43" s="28"/>
      <c r="ABL43" s="29"/>
      <c r="ABM43" s="29"/>
      <c r="ABN43" s="29"/>
      <c r="ABO43" s="28"/>
      <c r="ABP43" s="29"/>
      <c r="ABQ43" s="29"/>
      <c r="ABR43" s="28"/>
      <c r="ABS43" s="29"/>
      <c r="ABT43" s="30"/>
      <c r="ABU43" s="28"/>
      <c r="ABV43" s="29"/>
      <c r="ABW43" s="29"/>
      <c r="ABX43" s="29"/>
      <c r="ABY43" s="28"/>
      <c r="ABZ43" s="29"/>
      <c r="ACA43" s="29"/>
      <c r="ACB43" s="28"/>
      <c r="ACC43" s="29"/>
      <c r="ACD43" s="30"/>
      <c r="ACE43" s="28"/>
      <c r="ACF43" s="29"/>
      <c r="ACG43" s="29"/>
      <c r="ACH43" s="29"/>
      <c r="ACI43" s="28"/>
      <c r="ACJ43" s="29"/>
      <c r="ACK43" s="29"/>
      <c r="ACL43" s="28"/>
      <c r="ACM43" s="29"/>
      <c r="ACN43" s="30"/>
      <c r="ACO43" s="28"/>
      <c r="ACP43" s="29"/>
      <c r="ACQ43" s="29"/>
      <c r="ACR43" s="29"/>
      <c r="ACS43" s="28"/>
      <c r="ACT43" s="29"/>
      <c r="ACU43" s="29"/>
      <c r="ACV43" s="28"/>
      <c r="ACW43" s="29"/>
      <c r="ACX43" s="30"/>
      <c r="ACY43" s="28"/>
      <c r="ACZ43" s="29"/>
      <c r="ADA43" s="29"/>
      <c r="ADB43" s="29"/>
      <c r="ADC43" s="28"/>
      <c r="ADD43" s="29"/>
      <c r="ADE43" s="29"/>
      <c r="ADF43" s="28"/>
      <c r="ADG43" s="29"/>
      <c r="ADH43" s="30"/>
      <c r="ADI43" s="28"/>
      <c r="ADJ43" s="29"/>
      <c r="ADK43" s="29"/>
      <c r="ADL43" s="29"/>
      <c r="ADM43" s="28"/>
      <c r="ADN43" s="29"/>
      <c r="ADO43" s="29"/>
      <c r="ADP43" s="28"/>
      <c r="ADQ43" s="29"/>
      <c r="ADR43" s="30"/>
      <c r="ADS43" s="28"/>
      <c r="ADT43" s="29"/>
      <c r="ADU43" s="29"/>
      <c r="ADV43" s="29"/>
      <c r="ADW43" s="28"/>
      <c r="ADX43" s="29"/>
      <c r="ADY43" s="29"/>
      <c r="ADZ43" s="28"/>
      <c r="AEA43" s="29"/>
      <c r="AEB43" s="30"/>
      <c r="AEC43" s="28"/>
      <c r="AED43" s="29"/>
      <c r="AEE43" s="29"/>
      <c r="AEF43" s="29"/>
      <c r="AEG43" s="28"/>
      <c r="AEH43" s="29"/>
      <c r="AEI43" s="29"/>
      <c r="AEJ43" s="28"/>
      <c r="AEK43" s="29"/>
      <c r="AEL43" s="30"/>
      <c r="AEM43" s="28"/>
      <c r="AEN43" s="29"/>
      <c r="AEO43" s="29"/>
      <c r="AEP43" s="29"/>
      <c r="AEQ43" s="28"/>
      <c r="AER43" s="29"/>
      <c r="AES43" s="29"/>
      <c r="AET43" s="28"/>
      <c r="AEU43" s="29"/>
      <c r="AEV43" s="30"/>
      <c r="AEW43" s="28"/>
      <c r="AEX43" s="29"/>
      <c r="AEY43" s="29"/>
      <c r="AEZ43" s="29"/>
      <c r="AFA43" s="28"/>
      <c r="AFB43" s="29"/>
      <c r="AFC43" s="29"/>
      <c r="AFD43" s="28"/>
      <c r="AFE43" s="29"/>
      <c r="AFF43" s="30"/>
      <c r="AFG43" s="28"/>
      <c r="AFH43" s="29"/>
      <c r="AFI43" s="29"/>
      <c r="AFJ43" s="29"/>
      <c r="AFK43" s="28"/>
      <c r="AFL43" s="29"/>
      <c r="AFM43" s="29"/>
      <c r="AFN43" s="28"/>
      <c r="AFO43" s="29"/>
      <c r="AFP43" s="30"/>
      <c r="AFQ43" s="28"/>
      <c r="AFR43" s="29"/>
      <c r="AFS43" s="29"/>
      <c r="AFT43" s="29"/>
      <c r="AFU43" s="28"/>
      <c r="AFV43" s="29"/>
      <c r="AFW43" s="29"/>
      <c r="AFX43" s="28"/>
      <c r="AFY43" s="29"/>
      <c r="AFZ43" s="30"/>
      <c r="AGA43" s="28"/>
      <c r="AGB43" s="29"/>
      <c r="AGC43" s="29"/>
      <c r="AGD43" s="29"/>
      <c r="AGE43" s="28"/>
      <c r="AGF43" s="29"/>
      <c r="AGG43" s="29"/>
      <c r="AGH43" s="28"/>
      <c r="AGI43" s="29"/>
      <c r="AGJ43" s="30"/>
      <c r="AGK43" s="28"/>
      <c r="AGL43" s="29"/>
      <c r="AGM43" s="29"/>
      <c r="AGN43" s="29"/>
      <c r="AGO43" s="28"/>
      <c r="AGP43" s="29"/>
      <c r="AGQ43" s="29"/>
      <c r="AGR43" s="28"/>
      <c r="AGS43" s="29"/>
      <c r="AGT43" s="30"/>
      <c r="AGU43" s="28"/>
      <c r="AGV43" s="29"/>
      <c r="AGW43" s="29"/>
      <c r="AGX43" s="29"/>
      <c r="AGY43" s="28"/>
      <c r="AGZ43" s="29"/>
      <c r="AHA43" s="29"/>
      <c r="AHB43" s="28"/>
      <c r="AHC43" s="29"/>
      <c r="AHD43" s="30"/>
      <c r="AHE43" s="28"/>
      <c r="AHF43" s="29"/>
      <c r="AHG43" s="29"/>
      <c r="AHH43" s="29"/>
      <c r="AHI43" s="28"/>
      <c r="AHJ43" s="29"/>
      <c r="AHK43" s="29"/>
      <c r="AHL43" s="28"/>
      <c r="AHM43" s="29"/>
      <c r="AHN43" s="30"/>
      <c r="AHO43" s="28"/>
      <c r="AHP43" s="29"/>
      <c r="AHQ43" s="29"/>
      <c r="AHR43" s="29"/>
      <c r="AHS43" s="28"/>
      <c r="AHT43" s="29"/>
      <c r="AHU43" s="29"/>
      <c r="AHV43" s="28"/>
      <c r="AHW43" s="29"/>
      <c r="AHX43" s="30"/>
      <c r="AHY43" s="28"/>
      <c r="AHZ43" s="29"/>
      <c r="AIA43" s="29"/>
      <c r="AIB43" s="29"/>
      <c r="AIC43" s="28"/>
      <c r="AID43" s="29"/>
      <c r="AIE43" s="29"/>
      <c r="AIF43" s="28"/>
      <c r="AIG43" s="29"/>
      <c r="AIH43" s="30"/>
      <c r="AII43" s="28"/>
      <c r="AIJ43" s="29"/>
      <c r="AIK43" s="29"/>
      <c r="AIL43" s="29"/>
      <c r="AIM43" s="28"/>
      <c r="AIN43" s="29"/>
      <c r="AIO43" s="29"/>
      <c r="AIP43" s="28"/>
      <c r="AIQ43" s="29"/>
      <c r="AIR43" s="30"/>
      <c r="AIS43" s="28"/>
      <c r="AIT43" s="29"/>
      <c r="AIU43" s="29"/>
      <c r="AIV43" s="29"/>
      <c r="AIW43" s="28"/>
      <c r="AIX43" s="29"/>
      <c r="AIY43" s="29"/>
      <c r="AIZ43" s="28"/>
      <c r="AJA43" s="29"/>
      <c r="AJB43" s="30"/>
      <c r="AJC43" s="28"/>
      <c r="AJD43" s="29"/>
      <c r="AJE43" s="29"/>
      <c r="AJF43" s="29"/>
      <c r="AJG43" s="28"/>
      <c r="AJH43" s="29"/>
      <c r="AJI43" s="29"/>
      <c r="AJJ43" s="28"/>
      <c r="AJK43" s="29"/>
      <c r="AJL43" s="30"/>
      <c r="AJM43" s="28"/>
      <c r="AJN43" s="29"/>
      <c r="AJO43" s="29"/>
      <c r="AJP43" s="29"/>
      <c r="AJQ43" s="28"/>
      <c r="AJR43" s="29"/>
      <c r="AJS43" s="29"/>
      <c r="AJT43" s="28"/>
      <c r="AJU43" s="29"/>
      <c r="AJV43" s="30"/>
      <c r="AJW43" s="28"/>
      <c r="AJX43" s="29"/>
      <c r="AJY43" s="29"/>
      <c r="AJZ43" s="29"/>
      <c r="AKA43" s="28"/>
      <c r="AKB43" s="29"/>
      <c r="AKC43" s="29"/>
      <c r="AKD43" s="28"/>
      <c r="AKE43" s="29"/>
      <c r="AKF43" s="30"/>
      <c r="AKG43" s="28"/>
      <c r="AKH43" s="29"/>
      <c r="AKI43" s="29"/>
      <c r="AKJ43" s="29"/>
      <c r="AKK43" s="28"/>
      <c r="AKL43" s="29"/>
      <c r="AKM43" s="29"/>
      <c r="AKN43" s="28"/>
      <c r="AKO43" s="29"/>
      <c r="AKP43" s="30"/>
      <c r="AKQ43" s="28"/>
      <c r="AKR43" s="29"/>
      <c r="AKS43" s="29"/>
      <c r="AKT43" s="29"/>
      <c r="AKU43" s="28"/>
      <c r="AKV43" s="29"/>
      <c r="AKW43" s="29"/>
      <c r="AKX43" s="28"/>
      <c r="AKY43" s="29"/>
      <c r="AKZ43" s="30"/>
      <c r="ALA43" s="28"/>
      <c r="ALB43" s="29"/>
      <c r="ALC43" s="29"/>
      <c r="ALD43" s="29"/>
      <c r="ALE43" s="28"/>
      <c r="ALF43" s="29"/>
      <c r="ALG43" s="29"/>
      <c r="ALH43" s="29"/>
      <c r="ALI43" s="29"/>
      <c r="ALJ43" s="29"/>
      <c r="ALK43" s="28"/>
      <c r="ALL43" s="29"/>
      <c r="ALM43" s="29"/>
      <c r="ALN43" s="28"/>
      <c r="ALO43" s="29"/>
      <c r="ALP43" s="30"/>
      <c r="ALQ43" s="28"/>
      <c r="ALR43" s="29"/>
      <c r="ALS43" s="29"/>
      <c r="ALT43" s="29"/>
      <c r="ALU43" s="28"/>
      <c r="ALV43" s="29"/>
      <c r="ALW43" s="29"/>
      <c r="ALX43" s="28"/>
      <c r="ALY43" s="29"/>
      <c r="ALZ43" s="30"/>
      <c r="AMA43" s="28"/>
      <c r="AMB43" s="29"/>
      <c r="AMC43" s="29"/>
      <c r="AMD43" s="29"/>
      <c r="AME43" s="28"/>
      <c r="AMF43" s="29"/>
      <c r="AMG43" s="29"/>
      <c r="AMH43" s="29"/>
      <c r="AMI43" s="29"/>
      <c r="AMJ43" s="29"/>
      <c r="AMK43" s="28"/>
      <c r="AML43" s="29"/>
      <c r="AMM43" s="29"/>
      <c r="AMN43" s="28"/>
      <c r="AMO43" s="29"/>
      <c r="AMP43" s="30"/>
      <c r="AMQ43" s="28"/>
      <c r="AMR43" s="29"/>
      <c r="AMS43" s="29"/>
      <c r="AMT43" s="29"/>
      <c r="AMU43" s="28"/>
      <c r="AMV43" s="29"/>
      <c r="AMW43" s="29"/>
      <c r="AMX43" s="28"/>
      <c r="AMY43" s="29"/>
      <c r="AMZ43" s="30"/>
      <c r="ANA43" s="28"/>
      <c r="ANB43" s="29"/>
      <c r="ANC43" s="29"/>
      <c r="AND43" s="29"/>
      <c r="ANE43" s="28"/>
      <c r="ANF43" s="29"/>
      <c r="ANG43" s="29"/>
      <c r="ANH43" s="29"/>
      <c r="ANI43" s="29"/>
      <c r="ANJ43" s="29"/>
      <c r="ANK43" s="28"/>
      <c r="ANL43" s="29"/>
      <c r="ANM43" s="29"/>
      <c r="ANN43" s="28"/>
      <c r="ANO43" s="29"/>
      <c r="ANP43" s="30"/>
      <c r="ANQ43" s="28"/>
      <c r="ANR43" s="29"/>
      <c r="ANS43" s="29"/>
      <c r="ANT43" s="29"/>
      <c r="ANU43" s="28"/>
      <c r="ANV43" s="29"/>
      <c r="ANW43" s="29"/>
      <c r="ANX43" s="28"/>
      <c r="ANY43" s="29"/>
      <c r="ANZ43" s="30"/>
      <c r="AOA43" s="28"/>
      <c r="AOB43" s="29"/>
      <c r="AOC43" s="29"/>
      <c r="AOD43" s="29"/>
      <c r="AOE43" s="28"/>
      <c r="AOF43" s="29"/>
      <c r="AOG43" s="29"/>
      <c r="AOH43" s="29"/>
      <c r="AOI43" s="29"/>
      <c r="AOJ43" s="29"/>
      <c r="AOK43" s="28"/>
      <c r="AOL43" s="29"/>
      <c r="AOM43" s="29"/>
      <c r="AON43" s="28"/>
      <c r="AOO43" s="29"/>
      <c r="AOP43" s="30"/>
      <c r="AOQ43" s="28"/>
      <c r="AOR43" s="29"/>
      <c r="AOS43" s="29"/>
      <c r="AOT43" s="29"/>
      <c r="AOU43" s="28"/>
      <c r="AOV43" s="29"/>
      <c r="AOW43" s="29"/>
      <c r="AOX43" s="28"/>
      <c r="AOY43" s="29"/>
      <c r="AOZ43" s="30"/>
      <c r="APA43" s="28"/>
      <c r="APB43" s="29"/>
      <c r="APC43" s="29"/>
      <c r="APD43" s="29"/>
      <c r="APE43" s="28"/>
      <c r="APF43" s="29"/>
      <c r="APG43" s="29"/>
      <c r="APH43" s="29"/>
      <c r="API43" s="29"/>
      <c r="APJ43" s="29"/>
      <c r="APK43" s="28"/>
      <c r="APL43" s="29"/>
      <c r="APM43" s="29"/>
      <c r="APN43" s="28"/>
      <c r="APO43" s="29"/>
      <c r="APP43" s="30"/>
      <c r="APQ43" s="28"/>
      <c r="APR43" s="29"/>
      <c r="APS43" s="29"/>
      <c r="APT43" s="29"/>
      <c r="APU43" s="28"/>
      <c r="APV43" s="29"/>
      <c r="APW43" s="29"/>
      <c r="APX43" s="28"/>
      <c r="APY43" s="29"/>
      <c r="APZ43" s="30"/>
      <c r="AQA43" s="28"/>
      <c r="AQB43" s="29"/>
      <c r="AQC43" s="29"/>
      <c r="AQD43" s="29"/>
      <c r="AQE43" s="28"/>
      <c r="AQF43" s="29"/>
      <c r="AQG43" s="29"/>
      <c r="AQH43" s="29"/>
      <c r="AQI43" s="29"/>
      <c r="AQJ43" s="29"/>
      <c r="AQK43" s="28"/>
      <c r="AQL43" s="29"/>
      <c r="AQM43" s="29"/>
      <c r="AQN43" s="28"/>
      <c r="AQO43" s="29"/>
      <c r="AQP43" s="30"/>
      <c r="AQQ43" s="28"/>
      <c r="AQR43" s="29"/>
      <c r="AQS43" s="29"/>
      <c r="AQT43" s="29"/>
      <c r="AQU43" s="28"/>
      <c r="AQV43" s="29"/>
      <c r="AQW43" s="29"/>
      <c r="AQX43" s="28"/>
      <c r="AQY43" s="29"/>
      <c r="AQZ43" s="30"/>
      <c r="ARA43" s="28"/>
      <c r="ARB43" s="29"/>
      <c r="ARC43" s="29"/>
      <c r="ARD43" s="29"/>
      <c r="ARE43" s="28"/>
      <c r="ARF43" s="29"/>
      <c r="ARG43" s="29"/>
      <c r="ARH43" s="29"/>
      <c r="ARI43" s="29"/>
      <c r="ARJ43" s="29"/>
      <c r="ARK43" s="28"/>
      <c r="ARL43" s="29"/>
      <c r="ARM43" s="29"/>
      <c r="ARN43" s="28"/>
      <c r="ARO43" s="29"/>
      <c r="ARP43" s="30"/>
      <c r="ARQ43" s="28"/>
      <c r="ARR43" s="29"/>
      <c r="ARS43" s="29"/>
      <c r="ART43" s="29"/>
      <c r="ARU43" s="28"/>
      <c r="ARV43" s="29"/>
      <c r="ARW43" s="29"/>
      <c r="ARX43" s="28"/>
      <c r="ARY43" s="29"/>
      <c r="ARZ43" s="30"/>
      <c r="ASA43" s="28"/>
      <c r="ASB43" s="29"/>
      <c r="ASC43" s="29"/>
      <c r="ASD43" s="29"/>
      <c r="ASE43" s="28"/>
      <c r="ASF43" s="29"/>
      <c r="ASG43" s="29"/>
      <c r="ASH43" s="29"/>
      <c r="ASI43" s="29"/>
      <c r="ASJ43" s="29"/>
      <c r="ASK43" s="28"/>
      <c r="ASL43" s="29"/>
      <c r="ASM43" s="29"/>
      <c r="ASN43" s="28"/>
      <c r="ASO43" s="29"/>
      <c r="ASP43" s="30"/>
      <c r="ASQ43" s="28"/>
      <c r="ASR43" s="29"/>
      <c r="ASS43" s="29"/>
      <c r="AST43" s="29"/>
      <c r="ASU43" s="28"/>
      <c r="ASV43" s="29"/>
      <c r="ASW43" s="29"/>
      <c r="ASX43" s="28"/>
      <c r="ASY43" s="29"/>
      <c r="ASZ43" s="30"/>
      <c r="ATA43" s="28"/>
      <c r="ATB43" s="29"/>
      <c r="ATC43" s="29"/>
      <c r="ATD43" s="29"/>
      <c r="ATE43" s="28"/>
      <c r="ATF43" s="29"/>
      <c r="ATG43" s="29"/>
      <c r="ATH43" s="29"/>
      <c r="ATI43" s="29"/>
      <c r="ATJ43" s="29"/>
      <c r="ATK43" s="28"/>
      <c r="ATL43" s="29"/>
      <c r="ATM43" s="29"/>
      <c r="ATN43" s="28"/>
      <c r="ATO43" s="29"/>
      <c r="ATP43" s="30"/>
      <c r="ATQ43" s="28"/>
      <c r="ATR43" s="29"/>
      <c r="ATS43" s="29"/>
      <c r="ATT43" s="29"/>
      <c r="ATU43" s="28"/>
      <c r="ATV43" s="29"/>
      <c r="ATW43" s="29"/>
      <c r="ATX43" s="28"/>
      <c r="ATY43" s="29"/>
      <c r="ATZ43" s="30"/>
      <c r="AUA43" s="28"/>
      <c r="AUB43" s="29"/>
      <c r="AUC43" s="29"/>
      <c r="AUD43" s="29"/>
      <c r="AUE43" s="28"/>
      <c r="AUF43" s="29"/>
      <c r="AUG43" s="29"/>
      <c r="AUH43" s="29"/>
      <c r="AUI43" s="29"/>
      <c r="AUJ43" s="29"/>
      <c r="AUK43" s="28"/>
      <c r="AUL43" s="29"/>
      <c r="AUM43" s="29"/>
      <c r="AUN43" s="28"/>
      <c r="AUO43" s="29"/>
      <c r="AUP43" s="30"/>
      <c r="AUQ43" s="28"/>
      <c r="AUR43" s="29"/>
      <c r="AUS43" s="29"/>
      <c r="AUT43" s="29"/>
      <c r="AUU43" s="28"/>
      <c r="AUV43" s="29"/>
      <c r="AUW43" s="29"/>
      <c r="AUX43" s="28"/>
      <c r="AUY43" s="29"/>
      <c r="AUZ43" s="30"/>
      <c r="AVA43" s="28"/>
      <c r="AVB43" s="29"/>
      <c r="AVC43" s="29"/>
      <c r="AVD43" s="29"/>
      <c r="AVE43" s="28"/>
      <c r="AVF43" s="29"/>
      <c r="AVG43" s="29"/>
      <c r="AVH43" s="29"/>
      <c r="AVI43" s="29"/>
      <c r="AVJ43" s="29"/>
      <c r="AVK43" s="28"/>
      <c r="AVL43" s="29"/>
      <c r="AVM43" s="29"/>
      <c r="AVN43" s="28"/>
      <c r="AVO43" s="29"/>
      <c r="AVP43" s="30"/>
      <c r="AVQ43" s="28"/>
      <c r="AVR43" s="29"/>
      <c r="AVS43" s="29"/>
      <c r="AVT43" s="29"/>
      <c r="AVU43" s="28"/>
      <c r="AVV43" s="29"/>
      <c r="AVW43" s="29"/>
      <c r="AVX43" s="28"/>
      <c r="AVY43" s="29"/>
      <c r="AVZ43" s="30"/>
      <c r="AWA43" s="28"/>
      <c r="AWB43" s="29"/>
      <c r="AWC43" s="29"/>
      <c r="AWD43" s="29"/>
      <c r="AWE43" s="28"/>
      <c r="AWF43" s="29"/>
      <c r="AWG43" s="29"/>
      <c r="AWH43" s="29"/>
      <c r="AWI43" s="29"/>
      <c r="AWJ43" s="29"/>
      <c r="AWK43" s="28"/>
      <c r="AWL43" s="29"/>
      <c r="AWM43" s="29"/>
      <c r="AWN43" s="28"/>
      <c r="AWO43" s="29"/>
      <c r="AWP43" s="30"/>
      <c r="AWQ43" s="28"/>
      <c r="AWR43" s="29"/>
      <c r="AWS43" s="29"/>
      <c r="AWT43" s="29"/>
      <c r="AWU43" s="28"/>
      <c r="AWV43" s="29"/>
      <c r="AWW43" s="29"/>
      <c r="AWX43" s="28"/>
      <c r="AWY43" s="29"/>
      <c r="AWZ43" s="30"/>
      <c r="AXA43" s="28"/>
      <c r="AXB43" s="29"/>
      <c r="AXC43" s="29"/>
      <c r="AXD43" s="29"/>
      <c r="AXE43" s="28"/>
      <c r="AXF43" s="29"/>
      <c r="AXG43" s="29"/>
      <c r="AXH43" s="29"/>
      <c r="AXI43" s="29"/>
      <c r="AXJ43" s="29"/>
      <c r="AXK43" s="28"/>
      <c r="AXL43" s="29"/>
      <c r="AXM43" s="29"/>
      <c r="AXN43" s="28"/>
      <c r="AXO43" s="29"/>
      <c r="AXP43" s="30"/>
      <c r="AXQ43" s="28"/>
      <c r="AXR43" s="29"/>
      <c r="AXS43" s="29"/>
      <c r="AXT43" s="29"/>
      <c r="AXU43" s="28"/>
      <c r="AXV43" s="29"/>
      <c r="AXW43" s="29"/>
      <c r="AXX43" s="28"/>
      <c r="AXY43" s="29"/>
      <c r="AXZ43" s="30"/>
      <c r="AYA43" s="28"/>
      <c r="AYB43" s="29"/>
      <c r="AYC43" s="29"/>
      <c r="AYD43" s="29"/>
      <c r="AYE43" s="28"/>
      <c r="AYF43" s="29"/>
      <c r="AYG43" s="29"/>
      <c r="AYH43" s="29"/>
      <c r="AYI43" s="29"/>
      <c r="AYJ43" s="29"/>
      <c r="AYK43" s="28"/>
      <c r="AYL43" s="29"/>
      <c r="AYM43" s="29"/>
      <c r="AYN43" s="28"/>
      <c r="AYO43" s="29"/>
      <c r="AYP43" s="30"/>
      <c r="AYQ43" s="28"/>
      <c r="AYR43" s="29"/>
      <c r="AYS43" s="29"/>
      <c r="AYT43" s="29"/>
      <c r="AYU43" s="28"/>
      <c r="AYV43" s="29"/>
      <c r="AYW43" s="29"/>
      <c r="AYX43" s="28"/>
      <c r="AYY43" s="29"/>
      <c r="AYZ43" s="30"/>
      <c r="AZA43" s="28"/>
      <c r="AZB43" s="29"/>
      <c r="AZC43" s="29"/>
      <c r="AZD43" s="29"/>
      <c r="AZE43" s="28"/>
      <c r="AZF43" s="29"/>
      <c r="AZG43" s="29"/>
      <c r="AZH43" s="29"/>
      <c r="AZI43" s="29"/>
      <c r="AZJ43" s="29"/>
      <c r="AZK43" s="28"/>
      <c r="AZL43" s="29"/>
      <c r="AZM43" s="29"/>
      <c r="AZN43" s="28"/>
      <c r="AZO43" s="29"/>
      <c r="AZP43" s="30"/>
      <c r="AZQ43" s="28"/>
      <c r="AZR43" s="29"/>
      <c r="AZS43" s="29"/>
      <c r="AZT43" s="29"/>
      <c r="AZU43" s="28"/>
      <c r="AZV43" s="29"/>
      <c r="AZW43" s="29"/>
      <c r="AZX43" s="28"/>
      <c r="AZY43" s="29"/>
      <c r="AZZ43" s="30"/>
      <c r="BAA43" s="28"/>
      <c r="BAB43" s="29"/>
      <c r="BAC43" s="29"/>
      <c r="BAD43" s="29"/>
      <c r="BAE43" s="28"/>
      <c r="BAF43" s="29"/>
      <c r="BAG43" s="29"/>
      <c r="BAH43" s="29"/>
      <c r="BAI43" s="29"/>
      <c r="BAJ43" s="29"/>
      <c r="BAK43" s="28"/>
      <c r="BAL43" s="29"/>
      <c r="BAM43" s="29"/>
      <c r="BAN43" s="28"/>
      <c r="BAO43" s="29"/>
      <c r="BAP43" s="30"/>
      <c r="BAQ43" s="28"/>
      <c r="BAR43" s="29"/>
      <c r="BAS43" s="29"/>
      <c r="BAT43" s="29"/>
      <c r="BAU43" s="28"/>
      <c r="BAV43" s="29"/>
      <c r="BAW43" s="29"/>
      <c r="BAX43" s="28"/>
      <c r="BAY43" s="29"/>
      <c r="BAZ43" s="30"/>
      <c r="BBA43" s="28"/>
      <c r="BBB43" s="29"/>
      <c r="BBC43" s="29"/>
      <c r="BBD43" s="29"/>
      <c r="BBE43" s="28"/>
      <c r="BBF43" s="29"/>
      <c r="BBG43" s="29"/>
      <c r="BBH43" s="29"/>
      <c r="BBI43" s="29"/>
      <c r="BBJ43" s="29"/>
      <c r="BBK43" s="28"/>
      <c r="BBL43" s="29"/>
      <c r="BBM43" s="29"/>
      <c r="BBN43" s="28"/>
      <c r="BBO43" s="29"/>
      <c r="BBP43" s="30"/>
      <c r="BBQ43" s="28"/>
      <c r="BBR43" s="29"/>
      <c r="BBS43" s="29"/>
      <c r="BBT43" s="29"/>
      <c r="BBU43" s="28"/>
      <c r="BBV43" s="29"/>
      <c r="BBW43" s="29"/>
      <c r="BBX43" s="28"/>
      <c r="BBY43" s="29"/>
      <c r="BBZ43" s="30"/>
      <c r="BCA43" s="28"/>
      <c r="BCB43" s="29"/>
      <c r="BCC43" s="29"/>
      <c r="BCD43" s="29"/>
      <c r="BCE43" s="28"/>
      <c r="BCF43" s="29"/>
      <c r="BCG43" s="29"/>
      <c r="BCH43" s="29"/>
      <c r="BCI43" s="29"/>
      <c r="BCJ43" s="29"/>
      <c r="BCK43" s="28"/>
      <c r="BCL43" s="29"/>
      <c r="BCM43" s="29"/>
      <c r="BCN43" s="28"/>
      <c r="BCO43" s="29"/>
      <c r="BCP43" s="30"/>
      <c r="BCQ43" s="28"/>
      <c r="BCR43" s="29"/>
      <c r="BCS43" s="29"/>
      <c r="BCT43" s="29"/>
      <c r="BCU43" s="28"/>
      <c r="BCV43" s="29"/>
      <c r="BCW43" s="29"/>
      <c r="BCX43" s="28"/>
      <c r="BCY43" s="29"/>
      <c r="BCZ43" s="30"/>
      <c r="BDA43" s="28"/>
      <c r="BDB43" s="29"/>
      <c r="BDC43" s="29"/>
      <c r="BDD43" s="29"/>
      <c r="BDE43" s="28"/>
      <c r="BDF43" s="29"/>
      <c r="BDG43" s="29"/>
      <c r="BDH43" s="29"/>
      <c r="BDI43" s="29"/>
      <c r="BDJ43" s="29"/>
      <c r="BDK43" s="28"/>
      <c r="BDL43" s="29"/>
      <c r="BDM43" s="29"/>
      <c r="BDN43" s="28"/>
      <c r="BDO43" s="29"/>
      <c r="BDP43" s="30"/>
      <c r="BDQ43" s="28"/>
      <c r="BDR43" s="29"/>
      <c r="BDS43" s="29"/>
      <c r="BDT43" s="29"/>
      <c r="BDU43" s="28"/>
      <c r="BDV43" s="29"/>
      <c r="BDW43" s="29"/>
      <c r="BDX43" s="28"/>
      <c r="BDY43" s="29"/>
      <c r="BDZ43" s="30"/>
      <c r="BEA43" s="28"/>
      <c r="BEB43" s="29"/>
      <c r="BEC43" s="29"/>
      <c r="BED43" s="29"/>
      <c r="BEE43" s="28"/>
      <c r="BEF43" s="29"/>
      <c r="BEG43" s="29"/>
      <c r="BEH43" s="29"/>
      <c r="BEI43" s="29"/>
      <c r="BEJ43" s="29"/>
      <c r="BEK43" s="28"/>
      <c r="BEL43" s="29"/>
      <c r="BEM43" s="29"/>
      <c r="BEN43" s="28"/>
      <c r="BEO43" s="29"/>
      <c r="BEP43" s="30"/>
      <c r="BEQ43" s="28"/>
      <c r="BER43" s="29"/>
      <c r="BES43" s="29"/>
      <c r="BET43" s="29"/>
      <c r="BEU43" s="28"/>
      <c r="BEV43" s="29"/>
      <c r="BEW43" s="29"/>
      <c r="BEX43" s="28"/>
      <c r="BEY43" s="29"/>
      <c r="BEZ43" s="30"/>
      <c r="BFA43" s="28"/>
      <c r="BFB43" s="29"/>
      <c r="BFC43" s="29"/>
      <c r="BFD43" s="29"/>
      <c r="BFE43" s="28"/>
      <c r="BFF43" s="29"/>
      <c r="BFG43" s="29"/>
      <c r="BFH43" s="29"/>
      <c r="BFI43" s="29"/>
      <c r="BFJ43" s="29"/>
      <c r="BFK43" s="28"/>
      <c r="BFL43" s="29"/>
      <c r="BFM43" s="29"/>
      <c r="BFN43" s="28"/>
      <c r="BFO43" s="29"/>
      <c r="BFP43" s="30"/>
      <c r="BFQ43" s="28"/>
      <c r="BFR43" s="29"/>
      <c r="BFS43" s="29"/>
      <c r="BFT43" s="29"/>
      <c r="BFU43" s="28"/>
      <c r="BFV43" s="29"/>
      <c r="BFW43" s="29"/>
      <c r="BFX43" s="28"/>
      <c r="BFY43" s="29"/>
      <c r="BFZ43" s="30"/>
      <c r="BGA43" s="28"/>
      <c r="BGB43" s="29"/>
      <c r="BGC43" s="29"/>
      <c r="BGD43" s="29"/>
      <c r="BGE43" s="28"/>
      <c r="BGF43" s="29"/>
      <c r="BGG43" s="29"/>
      <c r="BGH43" s="29"/>
      <c r="BGI43" s="29"/>
      <c r="BGJ43" s="29"/>
      <c r="BGK43" s="28"/>
      <c r="BGL43" s="29"/>
      <c r="BGM43" s="29"/>
      <c r="BGN43" s="28"/>
      <c r="BGO43" s="29"/>
      <c r="BGP43" s="30"/>
      <c r="BGQ43" s="28"/>
      <c r="BGR43" s="29"/>
      <c r="BGS43" s="29"/>
      <c r="BGT43" s="29"/>
      <c r="BGU43" s="28"/>
      <c r="BGV43" s="29"/>
      <c r="BGW43" s="29"/>
      <c r="BGX43" s="28"/>
      <c r="BGY43" s="29"/>
      <c r="BGZ43" s="30"/>
      <c r="BHA43" s="28"/>
      <c r="BHB43" s="29"/>
      <c r="BHC43" s="29"/>
      <c r="BHD43" s="29"/>
      <c r="BHE43" s="28"/>
      <c r="BHF43" s="29"/>
      <c r="BHG43" s="29"/>
      <c r="BHH43" s="29"/>
      <c r="BHI43" s="29"/>
      <c r="BHJ43" s="29"/>
      <c r="BHK43" s="28"/>
      <c r="BHL43" s="29"/>
      <c r="BHM43" s="29"/>
      <c r="BHN43" s="28"/>
      <c r="BHO43" s="29"/>
      <c r="BHP43" s="30"/>
      <c r="BHQ43" s="28"/>
      <c r="BHR43" s="29"/>
      <c r="BHS43" s="29"/>
      <c r="BHT43" s="29"/>
      <c r="BHU43" s="28"/>
      <c r="BHV43" s="29"/>
      <c r="BHW43" s="29"/>
      <c r="BHX43" s="28"/>
      <c r="BHY43" s="29"/>
      <c r="BHZ43" s="30"/>
      <c r="BIA43" s="28"/>
      <c r="BIB43" s="29"/>
      <c r="BIC43" s="29"/>
      <c r="BID43" s="29"/>
      <c r="BIE43" s="28"/>
      <c r="BIF43" s="29"/>
      <c r="BIG43" s="29"/>
      <c r="BIH43" s="29"/>
      <c r="BII43" s="29"/>
      <c r="BIJ43" s="29"/>
      <c r="BIK43" s="28"/>
      <c r="BIL43" s="29"/>
      <c r="BIM43" s="29"/>
      <c r="BIN43" s="28"/>
      <c r="BIO43" s="29"/>
      <c r="BIP43" s="30"/>
      <c r="BIQ43" s="28"/>
      <c r="BIR43" s="29"/>
      <c r="BIS43" s="29"/>
      <c r="BIT43" s="29"/>
      <c r="BIU43" s="28"/>
      <c r="BIV43" s="29"/>
      <c r="BIW43" s="29"/>
      <c r="BIX43" s="28"/>
      <c r="BIY43" s="29"/>
      <c r="BIZ43" s="30"/>
      <c r="BJA43" s="28"/>
      <c r="BJB43" s="29"/>
      <c r="BJC43" s="29"/>
      <c r="BJD43" s="29"/>
      <c r="BJE43" s="28"/>
      <c r="BJF43" s="29"/>
      <c r="BJG43" s="29"/>
      <c r="BJH43" s="29"/>
      <c r="BJI43" s="29"/>
      <c r="BJJ43" s="29"/>
      <c r="BJK43" s="28"/>
      <c r="BJL43" s="29"/>
      <c r="BJM43" s="29"/>
      <c r="BJN43" s="28"/>
      <c r="BJO43" s="29"/>
      <c r="BJP43" s="30"/>
      <c r="BJQ43" s="28"/>
      <c r="BJR43" s="29"/>
      <c r="BJS43" s="29"/>
      <c r="BJT43" s="29"/>
      <c r="BJU43" s="28"/>
      <c r="BJV43" s="29"/>
      <c r="BJW43" s="29"/>
      <c r="BJX43" s="28"/>
      <c r="BJY43" s="29"/>
      <c r="BJZ43" s="30"/>
      <c r="BKA43" s="28"/>
      <c r="BKB43" s="29"/>
      <c r="BKC43" s="29"/>
      <c r="BKD43" s="29"/>
      <c r="BKE43" s="28"/>
      <c r="BKF43" s="29"/>
      <c r="BKG43" s="29"/>
      <c r="BKH43" s="29"/>
      <c r="BKI43" s="29"/>
      <c r="BKJ43" s="29"/>
      <c r="BKK43" s="28"/>
      <c r="BKL43" s="29"/>
      <c r="BKM43" s="29"/>
      <c r="BKN43" s="28"/>
      <c r="BKO43" s="29"/>
      <c r="BKP43" s="30"/>
      <c r="BKQ43" s="28"/>
      <c r="BKR43" s="29"/>
      <c r="BKS43" s="29"/>
      <c r="BKT43" s="29"/>
      <c r="BKU43" s="28"/>
      <c r="BKV43" s="29"/>
      <c r="BKW43" s="29"/>
      <c r="BKX43" s="28"/>
      <c r="BKY43" s="29"/>
      <c r="BKZ43" s="30"/>
      <c r="BLA43" s="28"/>
      <c r="BLB43" s="29"/>
      <c r="BLC43" s="29"/>
      <c r="BLD43" s="29"/>
      <c r="BLE43" s="28"/>
      <c r="BLF43" s="29"/>
      <c r="BLG43" s="29"/>
      <c r="BLH43" s="29"/>
      <c r="BLI43" s="29"/>
      <c r="BLJ43" s="29"/>
      <c r="BLK43" s="28"/>
      <c r="BLL43" s="29"/>
      <c r="BLM43" s="29"/>
      <c r="BLN43" s="28"/>
      <c r="BLO43" s="29"/>
      <c r="BLP43" s="30"/>
      <c r="BLQ43" s="28"/>
      <c r="BLR43" s="29"/>
      <c r="BLS43" s="29"/>
      <c r="BLT43" s="29"/>
      <c r="BLU43" s="28"/>
      <c r="BLV43" s="29"/>
      <c r="BLW43" s="29"/>
      <c r="BLX43" s="28"/>
      <c r="BLY43" s="29"/>
      <c r="BLZ43" s="30"/>
      <c r="BMA43" s="28"/>
      <c r="BMB43" s="29"/>
      <c r="BMC43" s="29"/>
      <c r="BMD43" s="29"/>
      <c r="BME43" s="28"/>
      <c r="BMF43" s="29"/>
      <c r="BMG43" s="29"/>
      <c r="BMH43" s="29"/>
      <c r="BMI43" s="29"/>
      <c r="BMJ43" s="29"/>
      <c r="BMK43" s="28"/>
      <c r="BML43" s="29"/>
      <c r="BMM43" s="29"/>
      <c r="BMN43" s="28"/>
      <c r="BMO43" s="29"/>
      <c r="BMP43" s="30"/>
      <c r="BMQ43" s="28"/>
      <c r="BMR43" s="29"/>
      <c r="BMS43" s="29"/>
      <c r="BMT43" s="29"/>
      <c r="BMU43" s="28"/>
      <c r="BMV43" s="29"/>
      <c r="BMW43" s="29"/>
      <c r="BMX43" s="28"/>
      <c r="BMY43" s="29"/>
      <c r="BMZ43" s="30"/>
      <c r="BNA43" s="28"/>
      <c r="BNB43" s="29"/>
      <c r="BNC43" s="29"/>
      <c r="BND43" s="29"/>
      <c r="BNE43" s="28"/>
      <c r="BNF43" s="29"/>
      <c r="BNG43" s="29"/>
      <c r="BNH43" s="29"/>
      <c r="BNI43" s="29"/>
      <c r="BNJ43" s="29"/>
      <c r="BNK43" s="28"/>
      <c r="BNL43" s="29"/>
      <c r="BNM43" s="29"/>
      <c r="BNN43" s="28"/>
      <c r="BNO43" s="29"/>
      <c r="BNP43" s="30"/>
      <c r="BNQ43" s="28"/>
      <c r="BNR43" s="29"/>
      <c r="BNS43" s="29"/>
      <c r="BNT43" s="29"/>
      <c r="BNU43" s="28"/>
      <c r="BNV43" s="29"/>
      <c r="BNW43" s="29"/>
      <c r="BNX43" s="28"/>
      <c r="BNY43" s="29"/>
      <c r="BNZ43" s="30"/>
      <c r="BOA43" s="28"/>
      <c r="BOB43" s="29"/>
      <c r="BOC43" s="29"/>
      <c r="BOD43" s="29"/>
      <c r="BOE43" s="28"/>
      <c r="BOF43" s="29"/>
      <c r="BOG43" s="29"/>
      <c r="BOH43" s="29"/>
      <c r="BOI43" s="29"/>
      <c r="BOJ43" s="29"/>
      <c r="BOK43" s="28"/>
      <c r="BOL43" s="29"/>
      <c r="BOM43" s="29"/>
      <c r="BON43" s="28"/>
      <c r="BOO43" s="29"/>
      <c r="BOP43" s="30"/>
      <c r="BOQ43" s="28"/>
      <c r="BOR43" s="29"/>
      <c r="BOS43" s="29"/>
      <c r="BOT43" s="29"/>
      <c r="BOU43" s="28"/>
      <c r="BOV43" s="29"/>
      <c r="BOW43" s="29"/>
      <c r="BOX43" s="28"/>
      <c r="BOY43" s="29"/>
      <c r="BOZ43" s="30"/>
      <c r="BPA43" s="28"/>
      <c r="BPB43" s="29"/>
      <c r="BPC43" s="29"/>
      <c r="BPD43" s="29"/>
      <c r="BPE43" s="28"/>
      <c r="BPF43" s="29"/>
      <c r="BPG43" s="29"/>
      <c r="BPH43" s="29"/>
      <c r="BPI43" s="29"/>
      <c r="BPJ43" s="29"/>
      <c r="BPK43" s="28"/>
      <c r="BPL43" s="29"/>
      <c r="BPM43" s="29"/>
      <c r="BPN43" s="28"/>
      <c r="BPO43" s="29"/>
      <c r="BPP43" s="30"/>
      <c r="BPQ43" s="28"/>
      <c r="BPR43" s="29"/>
      <c r="BPS43" s="29"/>
      <c r="BPT43" s="29"/>
      <c r="BPU43" s="28"/>
      <c r="BPV43" s="29"/>
      <c r="BPW43" s="29"/>
      <c r="BPX43" s="28"/>
      <c r="BPY43" s="29"/>
      <c r="BPZ43" s="30"/>
      <c r="BQA43" s="28"/>
      <c r="BQB43" s="29"/>
      <c r="BQC43" s="29"/>
      <c r="BQD43" s="29"/>
      <c r="BQE43" s="28"/>
      <c r="BQF43" s="29"/>
      <c r="BQG43" s="29"/>
      <c r="BQH43" s="29"/>
      <c r="BQI43" s="29"/>
      <c r="BQJ43" s="29"/>
      <c r="BQK43" s="28"/>
      <c r="BQL43" s="29"/>
      <c r="BQM43" s="29"/>
      <c r="BQN43" s="28"/>
      <c r="BQO43" s="29"/>
      <c r="BQP43" s="30"/>
      <c r="BQQ43" s="28"/>
      <c r="BQR43" s="29"/>
      <c r="BQS43" s="29"/>
      <c r="BQT43" s="29"/>
      <c r="BQU43" s="28"/>
      <c r="BQV43" s="29"/>
      <c r="BQW43" s="29"/>
      <c r="BQX43" s="28"/>
      <c r="BQY43" s="29"/>
      <c r="BQZ43" s="30"/>
      <c r="BRA43" s="28"/>
      <c r="BRB43" s="29"/>
      <c r="BRC43" s="29"/>
      <c r="BRD43" s="29"/>
      <c r="BRE43" s="28"/>
      <c r="BRF43" s="29"/>
      <c r="BRG43" s="29"/>
      <c r="BRH43" s="29"/>
      <c r="BRI43" s="29"/>
      <c r="BRJ43" s="29"/>
      <c r="BRK43" s="28"/>
      <c r="BRL43" s="29"/>
      <c r="BRM43" s="29"/>
      <c r="BRN43" s="28"/>
      <c r="BRO43" s="29"/>
      <c r="BRP43" s="30"/>
      <c r="BRQ43" s="28"/>
      <c r="BRR43" s="29"/>
      <c r="BRS43" s="29"/>
      <c r="BRT43" s="29"/>
      <c r="BRU43" s="28"/>
      <c r="BRV43" s="29"/>
      <c r="BRW43" s="29"/>
      <c r="BRX43" s="28"/>
      <c r="BRY43" s="29"/>
      <c r="BRZ43" s="30"/>
      <c r="BSA43" s="28"/>
      <c r="BSB43" s="29"/>
      <c r="BSC43" s="29"/>
      <c r="BSD43" s="29"/>
      <c r="BSE43" s="28"/>
      <c r="BSF43" s="29"/>
      <c r="BSG43" s="29"/>
      <c r="BSH43" s="29"/>
      <c r="BSI43" s="29"/>
      <c r="BSJ43" s="29"/>
      <c r="BSK43" s="28"/>
      <c r="BSL43" s="29"/>
      <c r="BSM43" s="29"/>
      <c r="BSN43" s="28"/>
      <c r="BSO43" s="29"/>
      <c r="BSP43" s="30"/>
      <c r="BSQ43" s="28"/>
      <c r="BSR43" s="29"/>
      <c r="BSS43" s="29"/>
      <c r="BST43" s="29"/>
      <c r="BSU43" s="28"/>
      <c r="BSV43" s="29"/>
      <c r="BSW43" s="29"/>
      <c r="BSX43" s="28"/>
      <c r="BSY43" s="29"/>
      <c r="BSZ43" s="30"/>
      <c r="BTA43" s="28"/>
      <c r="BTB43" s="29"/>
      <c r="BTC43" s="29"/>
      <c r="BTD43" s="29"/>
      <c r="BTE43" s="28"/>
      <c r="BTF43" s="29"/>
      <c r="BTG43" s="29"/>
      <c r="BTH43" s="29"/>
      <c r="BTI43" s="29"/>
      <c r="BTJ43" s="29"/>
      <c r="BTK43" s="28"/>
      <c r="BTL43" s="29"/>
      <c r="BTM43" s="29"/>
      <c r="BTN43" s="28"/>
      <c r="BTO43" s="29"/>
      <c r="BTP43" s="30"/>
      <c r="BTQ43" s="28"/>
      <c r="BTR43" s="29"/>
      <c r="BTS43" s="29"/>
      <c r="BTT43" s="29"/>
      <c r="BTU43" s="28"/>
      <c r="BTV43" s="29"/>
      <c r="BTW43" s="29"/>
      <c r="BTX43" s="28"/>
      <c r="BTY43" s="29"/>
      <c r="BTZ43" s="30"/>
      <c r="BUA43" s="28"/>
      <c r="BUB43" s="29"/>
      <c r="BUC43" s="29"/>
      <c r="BUD43" s="29"/>
      <c r="BUE43" s="28"/>
      <c r="BUF43" s="29"/>
      <c r="BUG43" s="29"/>
      <c r="BUH43" s="29"/>
      <c r="BUI43" s="29"/>
      <c r="BUJ43" s="29"/>
      <c r="BUK43" s="28"/>
      <c r="BUL43" s="29"/>
      <c r="BUM43" s="29"/>
      <c r="BUN43" s="28"/>
      <c r="BUO43" s="29"/>
      <c r="BUP43" s="30"/>
      <c r="BUQ43" s="28"/>
      <c r="BUR43" s="29"/>
      <c r="BUS43" s="29"/>
      <c r="BUT43" s="29"/>
      <c r="BUU43" s="28"/>
      <c r="BUV43" s="29"/>
      <c r="BUW43" s="29"/>
      <c r="BUX43" s="28"/>
      <c r="BUY43" s="29"/>
      <c r="BUZ43" s="30"/>
      <c r="BVA43" s="28"/>
      <c r="BVB43" s="29"/>
      <c r="BVC43" s="29"/>
      <c r="BVD43" s="29"/>
      <c r="BVE43" s="28"/>
      <c r="BVF43" s="29"/>
      <c r="BVG43" s="29"/>
      <c r="BVH43" s="29"/>
      <c r="BVI43" s="29"/>
      <c r="BVJ43" s="29"/>
      <c r="BVK43" s="28"/>
      <c r="BVL43" s="29"/>
      <c r="BVM43" s="29"/>
      <c r="BVN43" s="28"/>
      <c r="BVO43" s="29"/>
      <c r="BVP43" s="30"/>
      <c r="BVQ43" s="28"/>
      <c r="BVR43" s="29"/>
      <c r="BVS43" s="29"/>
      <c r="BVT43" s="29"/>
      <c r="BVU43" s="28"/>
      <c r="BVV43" s="29"/>
      <c r="BVW43" s="29"/>
      <c r="BVX43" s="28"/>
      <c r="BVY43" s="29"/>
      <c r="BVZ43" s="30"/>
      <c r="BWA43" s="28"/>
      <c r="BWB43" s="29"/>
      <c r="BWC43" s="29"/>
      <c r="BWD43" s="29"/>
      <c r="BWE43" s="28"/>
      <c r="BWF43" s="29"/>
      <c r="BWG43" s="29"/>
      <c r="BWH43" s="29"/>
      <c r="BWI43" s="29"/>
      <c r="BWJ43" s="29"/>
      <c r="BWK43" s="28"/>
      <c r="BWL43" s="29"/>
      <c r="BWM43" s="29"/>
      <c r="BWN43" s="28"/>
      <c r="BWO43" s="29"/>
      <c r="BWP43" s="30"/>
      <c r="BWQ43" s="28"/>
      <c r="BWR43" s="29"/>
      <c r="BWS43" s="29"/>
      <c r="BWT43" s="29"/>
      <c r="BWU43" s="28"/>
      <c r="BWV43" s="29"/>
      <c r="BWW43" s="29"/>
      <c r="BWX43" s="28"/>
      <c r="BWY43" s="29"/>
      <c r="BWZ43" s="30"/>
      <c r="BXA43" s="28"/>
      <c r="BXB43" s="29"/>
      <c r="BXC43" s="29"/>
      <c r="BXD43" s="29"/>
      <c r="BXE43" s="28"/>
      <c r="BXF43" s="29"/>
      <c r="BXG43" s="29"/>
      <c r="BXH43" s="29"/>
      <c r="BXI43" s="29"/>
      <c r="BXJ43" s="29"/>
      <c r="BXK43" s="28"/>
      <c r="BXL43" s="29"/>
      <c r="BXM43" s="29"/>
      <c r="BXN43" s="28"/>
      <c r="BXO43" s="29"/>
      <c r="BXP43" s="30"/>
      <c r="BXQ43" s="28"/>
      <c r="BXR43" s="29"/>
      <c r="BXS43" s="29"/>
      <c r="BXT43" s="29"/>
      <c r="BXU43" s="28"/>
      <c r="BXV43" s="29"/>
      <c r="BXW43" s="29"/>
      <c r="BXX43" s="28"/>
      <c r="BXY43" s="29"/>
      <c r="BXZ43" s="30"/>
      <c r="BYA43" s="28"/>
      <c r="BYB43" s="29"/>
      <c r="BYC43" s="29"/>
      <c r="BYD43" s="29"/>
      <c r="BYE43" s="28"/>
      <c r="BYF43" s="29"/>
      <c r="BYG43" s="29"/>
      <c r="BYH43" s="29"/>
      <c r="BYI43" s="29"/>
      <c r="BYJ43" s="29"/>
      <c r="BYK43" s="28"/>
      <c r="BYL43" s="29"/>
      <c r="BYM43" s="29"/>
      <c r="BYN43" s="28"/>
      <c r="BYO43" s="29"/>
      <c r="BYP43" s="30"/>
      <c r="BYQ43" s="28"/>
      <c r="BYR43" s="29"/>
      <c r="BYS43" s="29"/>
      <c r="BYT43" s="29"/>
      <c r="BYU43" s="28"/>
      <c r="BYV43" s="29"/>
      <c r="BYW43" s="29"/>
      <c r="BYX43" s="30"/>
      <c r="BYY43" s="29"/>
      <c r="BYZ43" s="28"/>
      <c r="BZA43" s="29"/>
      <c r="BZB43" s="28"/>
      <c r="BZC43" s="28"/>
      <c r="BZD43" s="28"/>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30"/>
      <c r="CAQ43" s="28"/>
      <c r="CAR43" s="29"/>
      <c r="CAS43" s="29"/>
      <c r="CAT43" s="29"/>
      <c r="CAU43" s="29"/>
      <c r="CAV43" s="29"/>
      <c r="CAW43" s="28"/>
      <c r="CAX43" s="29"/>
      <c r="CAY43" s="29"/>
      <c r="CAZ43" s="28"/>
      <c r="CBA43" s="29"/>
      <c r="CBB43" s="30"/>
      <c r="CBC43" s="28"/>
      <c r="CBD43" s="29"/>
      <c r="CBE43" s="29"/>
      <c r="CBF43" s="29"/>
      <c r="CBG43" s="28"/>
      <c r="CBH43" s="29"/>
      <c r="CBI43" s="29"/>
      <c r="CBJ43" s="28"/>
      <c r="CBK43" s="29"/>
      <c r="CBL43" s="30"/>
      <c r="CBM43" s="28"/>
      <c r="CBN43" s="29"/>
      <c r="CBO43" s="29"/>
      <c r="CBP43" s="29"/>
      <c r="CBQ43" s="28"/>
      <c r="CBR43" s="29"/>
      <c r="CBS43" s="29"/>
      <c r="CBT43" s="28"/>
      <c r="CBU43" s="29"/>
      <c r="CBV43" s="30"/>
      <c r="CBW43" s="28"/>
      <c r="CBX43" s="29"/>
      <c r="CBY43" s="29"/>
      <c r="CBZ43" s="29"/>
      <c r="CCA43" s="28"/>
      <c r="CCB43" s="29"/>
      <c r="CCC43" s="29"/>
      <c r="CCD43" s="28"/>
      <c r="CCE43" s="29"/>
      <c r="CCF43" s="30"/>
      <c r="CCG43" s="28"/>
      <c r="CCH43" s="30"/>
      <c r="CCI43" s="29"/>
      <c r="CCJ43" s="28"/>
      <c r="CCK43" s="29"/>
      <c r="CCL43" s="28"/>
      <c r="CCM43" s="28"/>
      <c r="CCN43" s="28"/>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30"/>
      <c r="CEA43" s="28"/>
      <c r="CEB43" s="29"/>
      <c r="CEC43" s="29"/>
      <c r="CED43" s="29"/>
      <c r="CEE43" s="29"/>
      <c r="CEF43" s="29"/>
      <c r="CEG43" s="28"/>
      <c r="CEH43" s="29"/>
      <c r="CEI43" s="29"/>
      <c r="CEJ43" s="28"/>
      <c r="CEK43" s="29"/>
      <c r="CEL43" s="30"/>
      <c r="CEM43" s="28"/>
      <c r="CEN43" s="29"/>
      <c r="CEO43" s="29"/>
      <c r="CEP43" s="29"/>
      <c r="CEQ43" s="28"/>
      <c r="CER43" s="29"/>
      <c r="CES43" s="29"/>
      <c r="CET43" s="28"/>
      <c r="CEU43" s="29"/>
      <c r="CEV43" s="30"/>
      <c r="CEW43" s="28"/>
      <c r="CEX43" s="29"/>
      <c r="CEY43" s="29"/>
      <c r="CEZ43" s="29"/>
      <c r="CFA43" s="28"/>
      <c r="CFB43" s="29"/>
      <c r="CFC43" s="29"/>
      <c r="CFD43" s="28"/>
      <c r="CFE43" s="29"/>
      <c r="CFF43" s="30"/>
      <c r="CFG43" s="28"/>
      <c r="CFH43" s="29"/>
      <c r="CFI43" s="29"/>
      <c r="CFJ43" s="29"/>
      <c r="CFK43" s="28"/>
      <c r="CFL43" s="29"/>
      <c r="CFM43" s="29"/>
      <c r="CFN43" s="28"/>
      <c r="CFO43" s="29"/>
      <c r="CFP43" s="30"/>
      <c r="CFQ43" s="28"/>
      <c r="CFR43" s="30"/>
      <c r="CFS43" s="29"/>
      <c r="CFT43" s="28"/>
      <c r="CFU43" s="29"/>
      <c r="CFV43" s="28"/>
      <c r="CFW43" s="28"/>
      <c r="CFX43" s="28"/>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30"/>
      <c r="CHK43" s="28"/>
      <c r="CHL43" s="29"/>
      <c r="CHM43" s="29"/>
      <c r="CHN43" s="29"/>
      <c r="CHO43" s="29"/>
      <c r="CHP43" s="29"/>
      <c r="CHQ43" s="28"/>
      <c r="CHR43" s="29"/>
      <c r="CHS43" s="29"/>
      <c r="CHT43" s="28"/>
      <c r="CHU43" s="29"/>
      <c r="CHV43" s="30"/>
      <c r="CHW43" s="28"/>
      <c r="CHX43" s="29"/>
      <c r="CHY43" s="29"/>
      <c r="CHZ43" s="29"/>
      <c r="CIA43" s="28"/>
      <c r="CIB43" s="29"/>
      <c r="CIC43" s="29"/>
      <c r="CID43" s="28"/>
      <c r="CIE43" s="29"/>
      <c r="CIF43" s="30"/>
      <c r="CIG43" s="28"/>
      <c r="CIH43" s="29"/>
      <c r="CII43" s="29"/>
      <c r="CIJ43" s="29"/>
      <c r="CIK43" s="28"/>
      <c r="CIL43" s="29"/>
      <c r="CIM43" s="29"/>
      <c r="CIN43" s="28"/>
      <c r="CIO43" s="29"/>
      <c r="CIP43" s="30"/>
      <c r="CIQ43" s="28"/>
      <c r="CIR43" s="29"/>
      <c r="CIS43" s="29"/>
      <c r="CIT43" s="29"/>
      <c r="CIU43" s="28"/>
      <c r="CIV43" s="29"/>
      <c r="CIW43" s="29"/>
      <c r="CIX43" s="28"/>
      <c r="CIY43" s="29"/>
      <c r="CIZ43" s="30"/>
      <c r="CJA43" s="28"/>
      <c r="CJB43" s="30"/>
      <c r="CJC43" s="29"/>
      <c r="CJD43" s="28"/>
      <c r="CJE43" s="29"/>
      <c r="CJF43" s="28"/>
      <c r="CJG43" s="28"/>
      <c r="CJH43" s="28"/>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30"/>
      <c r="CKU43" s="28"/>
      <c r="CKV43" s="29"/>
      <c r="CKW43" s="29"/>
      <c r="CKX43" s="29"/>
      <c r="CKY43" s="29"/>
      <c r="CKZ43" s="29"/>
      <c r="CLA43" s="28"/>
      <c r="CLB43" s="29"/>
      <c r="CLC43" s="29"/>
      <c r="CLD43" s="28"/>
      <c r="CLE43" s="29"/>
      <c r="CLF43" s="30"/>
      <c r="CLG43" s="28"/>
      <c r="CLH43" s="29"/>
      <c r="CLI43" s="29"/>
      <c r="CLJ43" s="29"/>
      <c r="CLK43" s="28"/>
      <c r="CLL43" s="29"/>
      <c r="CLM43" s="29"/>
      <c r="CLN43" s="28"/>
      <c r="CLO43" s="29"/>
      <c r="CLP43" s="30"/>
      <c r="CLQ43" s="28"/>
      <c r="CLR43" s="29"/>
      <c r="CLS43" s="29"/>
      <c r="CLT43" s="29"/>
      <c r="CLU43" s="28"/>
      <c r="CLV43" s="29"/>
      <c r="CLW43" s="29"/>
      <c r="CLX43" s="28"/>
      <c r="CLY43" s="29"/>
      <c r="CLZ43" s="30"/>
      <c r="CMA43" s="28"/>
      <c r="CMB43" s="29"/>
      <c r="CMC43" s="29"/>
      <c r="CMD43" s="29"/>
      <c r="CME43" s="28"/>
      <c r="CMF43" s="29"/>
      <c r="CMG43" s="29"/>
      <c r="CMH43" s="28"/>
      <c r="CMI43" s="29"/>
      <c r="CMJ43" s="30"/>
      <c r="CMK43" s="28"/>
      <c r="CML43" s="30"/>
      <c r="CMM43" s="29"/>
      <c r="CMN43" s="28"/>
      <c r="CMO43" s="29"/>
      <c r="CMP43" s="28"/>
      <c r="CMQ43" s="28"/>
      <c r="CMR43" s="28"/>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30"/>
      <c r="COE43" s="28"/>
      <c r="COF43" s="29"/>
      <c r="COG43" s="29"/>
      <c r="COH43" s="29"/>
      <c r="COI43" s="29"/>
      <c r="COJ43" s="29"/>
      <c r="COK43" s="28"/>
      <c r="COL43" s="29"/>
      <c r="COM43" s="29"/>
      <c r="CON43" s="28"/>
      <c r="COO43" s="29"/>
      <c r="COP43" s="30"/>
      <c r="COQ43" s="28"/>
      <c r="COR43" s="29"/>
      <c r="COS43" s="29"/>
      <c r="COT43" s="29"/>
      <c r="COU43" s="28"/>
      <c r="COV43" s="29"/>
      <c r="COW43" s="29"/>
      <c r="COX43" s="28"/>
      <c r="COY43" s="29"/>
      <c r="COZ43" s="30"/>
      <c r="CPA43" s="28"/>
      <c r="CPB43" s="29"/>
      <c r="CPC43" s="29"/>
      <c r="CPD43" s="29"/>
      <c r="CPE43" s="28"/>
      <c r="CPF43" s="29"/>
      <c r="CPG43" s="29"/>
      <c r="CPH43" s="28"/>
      <c r="CPI43" s="29"/>
      <c r="CPJ43" s="30"/>
      <c r="CPK43" s="28"/>
      <c r="CPL43" s="29"/>
      <c r="CPM43" s="29"/>
      <c r="CPN43" s="29"/>
      <c r="CPO43" s="28"/>
      <c r="CPP43" s="29"/>
      <c r="CPQ43" s="29"/>
      <c r="CPR43" s="28"/>
      <c r="CPS43" s="29"/>
      <c r="CPT43" s="30"/>
      <c r="CPU43" s="28"/>
      <c r="CPV43" s="30"/>
      <c r="CPW43" s="29"/>
      <c r="CPX43" s="28"/>
      <c r="CPY43" s="29"/>
      <c r="CPZ43" s="28"/>
      <c r="CQA43" s="28"/>
      <c r="CQB43" s="28"/>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30"/>
      <c r="CRO43" s="28"/>
      <c r="CRP43" s="29"/>
      <c r="CRQ43" s="29"/>
      <c r="CRR43" s="29"/>
      <c r="CRS43" s="29"/>
      <c r="CRT43" s="29"/>
      <c r="CRU43" s="28"/>
      <c r="CRV43" s="29"/>
      <c r="CRW43" s="29"/>
      <c r="CRX43" s="28"/>
      <c r="CRY43" s="29"/>
      <c r="CRZ43" s="30"/>
      <c r="CSA43" s="28"/>
      <c r="CSB43" s="29"/>
      <c r="CSC43" s="29"/>
      <c r="CSD43" s="29"/>
      <c r="CSE43" s="28"/>
      <c r="CSF43" s="29"/>
      <c r="CSG43" s="29"/>
      <c r="CSH43" s="28"/>
      <c r="CSI43" s="29"/>
      <c r="CSJ43" s="30"/>
      <c r="CSK43" s="28"/>
      <c r="CSL43" s="29"/>
      <c r="CSM43" s="29"/>
      <c r="CSN43" s="29"/>
      <c r="CSO43" s="28"/>
      <c r="CSP43" s="29"/>
      <c r="CSQ43" s="29"/>
      <c r="CSR43" s="28"/>
      <c r="CSS43" s="29"/>
      <c r="CST43" s="30"/>
      <c r="CSU43" s="28"/>
      <c r="CSV43" s="29"/>
      <c r="CSW43" s="29"/>
      <c r="CSX43" s="29"/>
      <c r="CSY43" s="28"/>
      <c r="CSZ43" s="29"/>
      <c r="CTA43" s="29"/>
      <c r="CTB43" s="28"/>
      <c r="CTC43" s="29"/>
      <c r="CTD43" s="30"/>
      <c r="CTE43" s="28"/>
      <c r="CTF43" s="30"/>
      <c r="CTG43" s="29"/>
      <c r="CTH43" s="28"/>
      <c r="CTI43" s="29"/>
      <c r="CTJ43" s="28"/>
      <c r="CTK43" s="28"/>
      <c r="CTL43" s="28"/>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30"/>
      <c r="CUY43" s="28"/>
      <c r="CUZ43" s="29"/>
      <c r="CVA43" s="29"/>
      <c r="CVB43" s="29"/>
      <c r="CVC43" s="29"/>
      <c r="CVD43" s="29"/>
      <c r="CVE43" s="28"/>
      <c r="CVF43" s="29"/>
      <c r="CVG43" s="29"/>
      <c r="CVH43" s="28"/>
      <c r="CVI43" s="29"/>
      <c r="CVJ43" s="30"/>
      <c r="CVK43" s="28"/>
      <c r="CVL43" s="29"/>
      <c r="CVM43" s="29"/>
      <c r="CVN43" s="29"/>
      <c r="CVO43" s="28"/>
      <c r="CVP43" s="29"/>
      <c r="CVQ43" s="29"/>
      <c r="CVR43" s="28"/>
      <c r="CVS43" s="29"/>
      <c r="CVT43" s="30"/>
      <c r="CVU43" s="28"/>
      <c r="CVV43" s="29"/>
      <c r="CVW43" s="29"/>
      <c r="CVX43" s="29"/>
      <c r="CVY43" s="28"/>
      <c r="CVZ43" s="29"/>
      <c r="CWA43" s="29"/>
      <c r="CWB43" s="28"/>
      <c r="CWC43" s="29"/>
      <c r="CWD43" s="30"/>
      <c r="CWE43" s="28"/>
      <c r="CWF43" s="29"/>
      <c r="CWG43" s="29"/>
      <c r="CWH43" s="29"/>
      <c r="CWI43" s="28"/>
      <c r="CWJ43" s="29"/>
      <c r="CWK43" s="29"/>
      <c r="CWL43" s="28"/>
      <c r="CWM43" s="29"/>
      <c r="CWN43" s="30"/>
      <c r="CWO43" s="28"/>
      <c r="CWP43" s="30"/>
      <c r="CWQ43" s="29"/>
      <c r="CWR43" s="28"/>
      <c r="CWS43" s="29"/>
      <c r="CWT43" s="28"/>
      <c r="CWU43" s="28"/>
      <c r="CWV43" s="28"/>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30"/>
      <c r="CYI43" s="28"/>
      <c r="CYJ43" s="29"/>
      <c r="CYK43" s="29"/>
      <c r="CYL43" s="29"/>
      <c r="CYM43" s="29"/>
      <c r="CYN43" s="29"/>
      <c r="CYO43" s="28"/>
      <c r="CYP43" s="29"/>
      <c r="CYQ43" s="29"/>
      <c r="CYR43" s="28"/>
      <c r="CYS43" s="29"/>
      <c r="CYT43" s="30"/>
      <c r="CYU43" s="28"/>
      <c r="CYV43" s="29"/>
      <c r="CYW43" s="29"/>
      <c r="CYX43" s="29"/>
      <c r="CYY43" s="28"/>
      <c r="CYZ43" s="29"/>
      <c r="CZA43" s="29"/>
      <c r="CZB43" s="28"/>
      <c r="CZC43" s="29"/>
      <c r="CZD43" s="30"/>
      <c r="CZE43" s="28"/>
      <c r="CZF43" s="29"/>
      <c r="CZG43" s="29"/>
      <c r="CZH43" s="29"/>
      <c r="CZI43" s="28"/>
      <c r="CZJ43" s="29"/>
      <c r="CZK43" s="29"/>
      <c r="CZL43" s="28"/>
      <c r="CZM43" s="29"/>
      <c r="CZN43" s="30"/>
      <c r="CZO43" s="28"/>
      <c r="CZP43" s="29"/>
      <c r="CZQ43" s="29"/>
      <c r="CZR43" s="29"/>
      <c r="CZS43" s="28"/>
      <c r="CZT43" s="29"/>
      <c r="CZU43" s="29"/>
      <c r="CZV43" s="28"/>
      <c r="CZW43" s="29"/>
      <c r="CZX43" s="30"/>
      <c r="CZY43" s="28"/>
      <c r="CZZ43" s="30"/>
      <c r="DAA43" s="29"/>
      <c r="DAB43" s="28"/>
      <c r="DAC43" s="29"/>
      <c r="DAD43" s="28"/>
      <c r="DAE43" s="28"/>
      <c r="DAF43" s="28"/>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30"/>
      <c r="DBS43" s="28"/>
      <c r="DBT43" s="29"/>
      <c r="DBU43" s="29"/>
      <c r="DBV43" s="29"/>
      <c r="DBW43" s="29"/>
      <c r="DBX43" s="29"/>
      <c r="DBY43" s="28"/>
      <c r="DBZ43" s="29"/>
      <c r="DCA43" s="29"/>
      <c r="DCB43" s="28"/>
      <c r="DCC43" s="29"/>
      <c r="DCD43" s="30"/>
      <c r="DCE43" s="28"/>
      <c r="DCF43" s="29"/>
      <c r="DCG43" s="29"/>
      <c r="DCH43" s="29"/>
      <c r="DCI43" s="28"/>
      <c r="DCJ43" s="29"/>
      <c r="DCK43" s="29"/>
      <c r="DCL43" s="28"/>
      <c r="DCM43" s="29"/>
      <c r="DCN43" s="30"/>
      <c r="DCO43" s="28"/>
      <c r="DCP43" s="29"/>
      <c r="DCQ43" s="29"/>
      <c r="DCR43" s="29"/>
      <c r="DCS43" s="28"/>
      <c r="DCT43" s="29"/>
      <c r="DCU43" s="29"/>
      <c r="DCV43" s="28"/>
      <c r="DCW43" s="29"/>
      <c r="DCX43" s="30"/>
      <c r="DCY43" s="28"/>
      <c r="DCZ43" s="29"/>
      <c r="DDA43" s="29"/>
      <c r="DDB43" s="29"/>
      <c r="DDC43" s="28"/>
      <c r="DDD43" s="29"/>
      <c r="DDE43" s="29"/>
      <c r="DDF43" s="28"/>
      <c r="DDG43" s="29"/>
      <c r="DDH43" s="30"/>
      <c r="DDI43" s="28"/>
      <c r="DDJ43" s="30"/>
      <c r="DDK43" s="29"/>
      <c r="DDL43" s="28"/>
      <c r="DDM43" s="29"/>
      <c r="DDN43" s="28"/>
      <c r="DDO43" s="28"/>
      <c r="DDP43" s="28"/>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30"/>
      <c r="DFC43" s="28"/>
      <c r="DFD43" s="29"/>
      <c r="DFE43" s="29"/>
      <c r="DFF43" s="29"/>
      <c r="DFG43" s="29"/>
      <c r="DFH43" s="29"/>
      <c r="DFI43" s="28"/>
      <c r="DFJ43" s="29"/>
      <c r="DFK43" s="29"/>
      <c r="DFL43" s="28"/>
      <c r="DFM43" s="29"/>
      <c r="DFN43" s="30"/>
      <c r="DFO43" s="28"/>
      <c r="DFP43" s="29"/>
      <c r="DFQ43" s="29"/>
      <c r="DFR43" s="29"/>
      <c r="DFS43" s="28"/>
      <c r="DFT43" s="29"/>
      <c r="DFU43" s="29"/>
      <c r="DFV43" s="28"/>
      <c r="DFW43" s="29"/>
      <c r="DFX43" s="30"/>
      <c r="DFY43" s="28"/>
      <c r="DFZ43" s="29"/>
      <c r="DGA43" s="29"/>
      <c r="DGB43" s="29"/>
      <c r="DGC43" s="28"/>
      <c r="DGD43" s="29"/>
      <c r="DGE43" s="29"/>
      <c r="DGF43" s="28"/>
      <c r="DGG43" s="29"/>
      <c r="DGH43" s="30"/>
      <c r="DGI43" s="28"/>
      <c r="DGJ43" s="29"/>
      <c r="DGK43" s="29"/>
      <c r="DGL43" s="29"/>
      <c r="DGM43" s="28"/>
      <c r="DGN43" s="29"/>
      <c r="DGO43" s="29"/>
      <c r="DGP43" s="28"/>
      <c r="DGQ43" s="29"/>
      <c r="DGR43" s="30"/>
      <c r="DGS43" s="28"/>
      <c r="DGT43" s="30"/>
      <c r="DGU43" s="29"/>
      <c r="DGV43" s="28"/>
      <c r="DGW43" s="29"/>
      <c r="DGX43" s="28"/>
      <c r="DGY43" s="28"/>
      <c r="DGZ43" s="28"/>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30"/>
      <c r="DIM43" s="28"/>
      <c r="DIN43" s="29"/>
      <c r="DIO43" s="29"/>
      <c r="DIP43" s="29"/>
      <c r="DIQ43" s="29"/>
      <c r="DIR43" s="29"/>
      <c r="DIS43" s="28"/>
      <c r="DIT43" s="29"/>
      <c r="DIU43" s="29"/>
      <c r="DIV43" s="28"/>
      <c r="DIW43" s="29"/>
      <c r="DIX43" s="30"/>
      <c r="DIY43" s="28"/>
      <c r="DIZ43" s="29"/>
      <c r="DJA43" s="29"/>
      <c r="DJB43" s="29"/>
      <c r="DJC43" s="28"/>
      <c r="DJD43" s="29"/>
      <c r="DJE43" s="29"/>
      <c r="DJF43" s="28"/>
      <c r="DJG43" s="29"/>
      <c r="DJH43" s="30"/>
      <c r="DJI43" s="28"/>
      <c r="DJJ43" s="29"/>
      <c r="DJK43" s="29"/>
      <c r="DJL43" s="29"/>
      <c r="DJM43" s="28"/>
      <c r="DJN43" s="29"/>
      <c r="DJO43" s="29"/>
      <c r="DJP43" s="28"/>
      <c r="DJQ43" s="29"/>
      <c r="DJR43" s="30"/>
      <c r="DJS43" s="28"/>
      <c r="DJT43" s="29"/>
      <c r="DJU43" s="29"/>
      <c r="DJV43" s="29"/>
      <c r="DJW43" s="28"/>
      <c r="DJX43" s="29"/>
      <c r="DJY43" s="29"/>
      <c r="DJZ43" s="28"/>
      <c r="DKA43" s="29"/>
      <c r="DKB43" s="30"/>
      <c r="DKC43" s="28"/>
      <c r="DKD43" s="30"/>
      <c r="DKE43" s="29"/>
      <c r="DKF43" s="28"/>
      <c r="DKG43" s="29"/>
      <c r="DKH43" s="28"/>
      <c r="DKI43" s="28"/>
      <c r="DKJ43" s="28"/>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30"/>
      <c r="DLW43" s="28"/>
      <c r="DLX43" s="29"/>
      <c r="DLY43" s="29"/>
      <c r="DLZ43" s="29"/>
      <c r="DMA43" s="29"/>
      <c r="DMB43" s="29"/>
      <c r="DMC43" s="28"/>
      <c r="DMD43" s="29"/>
      <c r="DME43" s="29"/>
      <c r="DMF43" s="28"/>
      <c r="DMG43" s="29"/>
      <c r="DMH43" s="30"/>
      <c r="DMI43" s="28"/>
      <c r="DMJ43" s="29"/>
      <c r="DMK43" s="29"/>
      <c r="DML43" s="29"/>
      <c r="DMM43" s="28"/>
      <c r="DMN43" s="29"/>
      <c r="DMO43" s="29"/>
      <c r="DMP43" s="28"/>
      <c r="DMQ43" s="29"/>
      <c r="DMR43" s="30"/>
      <c r="DMS43" s="28"/>
      <c r="DMT43" s="29"/>
      <c r="DMU43" s="29"/>
      <c r="DMV43" s="29"/>
      <c r="DMW43" s="28"/>
      <c r="DMX43" s="29"/>
      <c r="DMY43" s="29"/>
      <c r="DMZ43" s="28"/>
      <c r="DNA43" s="29"/>
      <c r="DNB43" s="30"/>
      <c r="DNC43" s="28"/>
      <c r="DND43" s="29"/>
      <c r="DNE43" s="29"/>
      <c r="DNF43" s="29"/>
      <c r="DNG43" s="28"/>
      <c r="DNH43" s="29"/>
      <c r="DNI43" s="29"/>
      <c r="DNJ43" s="28"/>
      <c r="DNK43" s="29"/>
      <c r="DNL43" s="30"/>
      <c r="DNM43" s="28"/>
      <c r="DNN43" s="30"/>
      <c r="DNO43" s="29"/>
      <c r="DNP43" s="28"/>
      <c r="DNQ43" s="29"/>
      <c r="DNR43" s="28"/>
      <c r="DNS43" s="28"/>
      <c r="DNT43" s="28"/>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30"/>
      <c r="DPG43" s="28"/>
      <c r="DPH43" s="29"/>
      <c r="DPI43" s="29"/>
      <c r="DPJ43" s="29"/>
      <c r="DPK43" s="29"/>
      <c r="DPL43" s="29"/>
      <c r="DPM43" s="28"/>
      <c r="DPN43" s="29"/>
      <c r="DPO43" s="29"/>
      <c r="DPP43" s="28"/>
      <c r="DPQ43" s="29"/>
      <c r="DPR43" s="30"/>
      <c r="DPS43" s="28"/>
      <c r="DPT43" s="29"/>
      <c r="DPU43" s="29"/>
      <c r="DPV43" s="29"/>
      <c r="DPW43" s="28"/>
      <c r="DPX43" s="29"/>
      <c r="DPY43" s="29"/>
      <c r="DPZ43" s="28"/>
      <c r="DQA43" s="29"/>
      <c r="DQB43" s="30"/>
      <c r="DQC43" s="28"/>
      <c r="DQD43" s="29"/>
      <c r="DQE43" s="29"/>
      <c r="DQF43" s="29"/>
      <c r="DQG43" s="28"/>
      <c r="DQH43" s="29"/>
      <c r="DQI43" s="29"/>
      <c r="DQJ43" s="28"/>
      <c r="DQK43" s="29"/>
      <c r="DQL43" s="30"/>
      <c r="DQM43" s="28"/>
      <c r="DQN43" s="29"/>
      <c r="DQO43" s="29"/>
      <c r="DQP43" s="29"/>
      <c r="DQQ43" s="28"/>
      <c r="DQR43" s="29"/>
      <c r="DQS43" s="29"/>
      <c r="DQT43" s="28"/>
      <c r="DQU43" s="29"/>
      <c r="DQV43" s="30"/>
      <c r="DQW43" s="28"/>
      <c r="DQX43" s="30"/>
      <c r="DQY43" s="29"/>
      <c r="DQZ43" s="28"/>
      <c r="DRA43" s="29"/>
      <c r="DRB43" s="28"/>
      <c r="DRC43" s="28"/>
      <c r="DRD43" s="28"/>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30"/>
      <c r="DSQ43" s="28"/>
      <c r="DSR43" s="29"/>
      <c r="DSS43" s="29"/>
      <c r="DST43" s="29"/>
      <c r="DSU43" s="29"/>
      <c r="DSV43" s="29"/>
      <c r="DSW43" s="28"/>
      <c r="DSX43" s="29"/>
      <c r="DSY43" s="29"/>
      <c r="DSZ43" s="28"/>
      <c r="DTA43" s="29"/>
      <c r="DTB43" s="30"/>
      <c r="DTC43" s="28"/>
      <c r="DTD43" s="29"/>
      <c r="DTE43" s="29"/>
      <c r="DTF43" s="29"/>
      <c r="DTG43" s="28"/>
      <c r="DTH43" s="29"/>
      <c r="DTI43" s="29"/>
      <c r="DTJ43" s="28"/>
      <c r="DTK43" s="29"/>
      <c r="DTL43" s="30"/>
      <c r="DTM43" s="28"/>
      <c r="DTN43" s="29"/>
      <c r="DTO43" s="29"/>
      <c r="DTP43" s="29"/>
      <c r="DTQ43" s="28"/>
      <c r="DTR43" s="29"/>
      <c r="DTS43" s="29"/>
      <c r="DTT43" s="28"/>
      <c r="DTU43" s="29"/>
      <c r="DTV43" s="30"/>
      <c r="DTW43" s="28"/>
      <c r="DTX43" s="29"/>
      <c r="DTY43" s="29"/>
      <c r="DTZ43" s="29"/>
      <c r="DUA43" s="28"/>
      <c r="DUB43" s="29"/>
      <c r="DUC43" s="29"/>
      <c r="DUD43" s="28"/>
      <c r="DUE43" s="29"/>
      <c r="DUF43" s="30"/>
      <c r="DUG43" s="28"/>
      <c r="DUH43" s="30"/>
      <c r="DUI43" s="29"/>
      <c r="DUJ43" s="28"/>
      <c r="DUK43" s="29"/>
      <c r="DUL43" s="28"/>
      <c r="DUM43" s="28"/>
      <c r="DUN43" s="28"/>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30"/>
      <c r="DWA43" s="28"/>
      <c r="DWB43" s="29"/>
      <c r="DWC43" s="29"/>
      <c r="DWD43" s="29"/>
      <c r="DWE43" s="29"/>
      <c r="DWF43" s="29"/>
      <c r="DWG43" s="28"/>
      <c r="DWH43" s="29"/>
      <c r="DWI43" s="29"/>
      <c r="DWJ43" s="28"/>
      <c r="DWK43" s="29"/>
      <c r="DWL43" s="30"/>
      <c r="DWM43" s="28"/>
      <c r="DWN43" s="29"/>
      <c r="DWO43" s="29"/>
      <c r="DWP43" s="29"/>
      <c r="DWQ43" s="28"/>
      <c r="DWR43" s="29"/>
      <c r="DWS43" s="29"/>
      <c r="DWT43" s="28"/>
      <c r="DWU43" s="29"/>
      <c r="DWV43" s="30"/>
      <c r="DWW43" s="28"/>
      <c r="DWX43" s="29"/>
      <c r="DWY43" s="29"/>
      <c r="DWZ43" s="29"/>
      <c r="DXA43" s="28"/>
      <c r="DXB43" s="29"/>
      <c r="DXC43" s="29"/>
      <c r="DXD43" s="28"/>
      <c r="DXE43" s="29"/>
      <c r="DXF43" s="30"/>
      <c r="DXG43" s="28"/>
      <c r="DXH43" s="29"/>
      <c r="DXI43" s="29"/>
      <c r="DXJ43" s="29"/>
      <c r="DXK43" s="28"/>
      <c r="DXL43" s="29"/>
      <c r="DXM43" s="29"/>
      <c r="DXN43" s="28"/>
      <c r="DXO43" s="29"/>
      <c r="DXP43" s="30"/>
      <c r="DXQ43" s="28"/>
      <c r="DXR43" s="30"/>
      <c r="DXS43" s="29"/>
      <c r="DXT43" s="28"/>
      <c r="DXU43" s="29"/>
      <c r="DXV43" s="28"/>
      <c r="DXW43" s="28"/>
      <c r="DXX43" s="28"/>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30"/>
      <c r="DZK43" s="28"/>
      <c r="DZL43" s="29"/>
      <c r="DZM43" s="29"/>
      <c r="DZN43" s="29"/>
      <c r="DZO43" s="29"/>
      <c r="DZP43" s="29"/>
      <c r="DZQ43" s="28"/>
      <c r="DZR43" s="29"/>
      <c r="DZS43" s="29"/>
      <c r="DZT43" s="28"/>
      <c r="DZU43" s="29"/>
      <c r="DZV43" s="30"/>
      <c r="DZW43" s="28"/>
      <c r="DZX43" s="29"/>
      <c r="DZY43" s="29"/>
      <c r="DZZ43" s="29"/>
      <c r="EAA43" s="28"/>
      <c r="EAB43" s="29"/>
      <c r="EAC43" s="29"/>
      <c r="EAD43" s="28"/>
      <c r="EAE43" s="29"/>
      <c r="EAF43" s="30"/>
      <c r="EAG43" s="28"/>
      <c r="EAH43" s="29"/>
      <c r="EAI43" s="29"/>
      <c r="EAJ43" s="29"/>
      <c r="EAK43" s="28"/>
      <c r="EAL43" s="29"/>
      <c r="EAM43" s="29"/>
      <c r="EAN43" s="28"/>
      <c r="EAO43" s="29"/>
      <c r="EAP43" s="30"/>
      <c r="EAQ43" s="28"/>
      <c r="EAR43" s="29"/>
      <c r="EAS43" s="29"/>
      <c r="EAT43" s="29"/>
      <c r="EAU43" s="28"/>
      <c r="EAV43" s="29"/>
      <c r="EAW43" s="29"/>
      <c r="EAX43" s="28"/>
      <c r="EAY43" s="29"/>
      <c r="EAZ43" s="30"/>
      <c r="EBA43" s="28"/>
      <c r="EBB43" s="30"/>
      <c r="EBC43" s="29"/>
      <c r="EBD43" s="28"/>
      <c r="EBE43" s="29"/>
      <c r="EBF43" s="28"/>
      <c r="EBG43" s="28"/>
      <c r="EBH43" s="28"/>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30"/>
      <c r="ECU43" s="28"/>
      <c r="ECV43" s="29"/>
      <c r="ECW43" s="29"/>
      <c r="ECX43" s="29"/>
      <c r="ECY43" s="29"/>
      <c r="ECZ43" s="29"/>
      <c r="EDA43" s="28"/>
      <c r="EDB43" s="29"/>
      <c r="EDC43" s="29"/>
      <c r="EDD43" s="28"/>
      <c r="EDE43" s="29"/>
      <c r="EDF43" s="30"/>
      <c r="EDG43" s="28"/>
      <c r="EDH43" s="29"/>
      <c r="EDI43" s="29"/>
      <c r="EDJ43" s="29"/>
      <c r="EDK43" s="28"/>
      <c r="EDL43" s="29"/>
      <c r="EDM43" s="29"/>
      <c r="EDN43" s="28"/>
      <c r="EDO43" s="29"/>
      <c r="EDP43" s="30"/>
      <c r="EDQ43" s="28"/>
      <c r="EDR43" s="29"/>
      <c r="EDS43" s="29"/>
      <c r="EDT43" s="29"/>
      <c r="EDU43" s="28"/>
      <c r="EDV43" s="29"/>
      <c r="EDW43" s="29"/>
      <c r="EDX43" s="28"/>
      <c r="EDY43" s="29"/>
      <c r="EDZ43" s="30"/>
      <c r="EEA43" s="28"/>
      <c r="EEB43" s="29"/>
      <c r="EEC43" s="29"/>
      <c r="EED43" s="29"/>
      <c r="EEE43" s="28"/>
      <c r="EEF43" s="29"/>
      <c r="EEG43" s="29"/>
      <c r="EEH43" s="28"/>
      <c r="EEI43" s="29"/>
      <c r="EEJ43" s="30"/>
      <c r="EEK43" s="28"/>
      <c r="EEL43" s="30"/>
      <c r="EEM43" s="29"/>
      <c r="EEN43" s="28"/>
      <c r="EEO43" s="29"/>
      <c r="EEP43" s="28"/>
      <c r="EEQ43" s="28"/>
      <c r="EER43" s="28"/>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30"/>
      <c r="EGE43" s="28"/>
      <c r="EGF43" s="29"/>
      <c r="EGG43" s="29"/>
      <c r="EGH43" s="29"/>
      <c r="EGI43" s="29"/>
      <c r="EGJ43" s="29"/>
      <c r="EGK43" s="28"/>
      <c r="EGL43" s="29"/>
      <c r="EGM43" s="29"/>
      <c r="EGN43" s="28"/>
      <c r="EGO43" s="29"/>
      <c r="EGP43" s="30"/>
      <c r="EGQ43" s="28"/>
      <c r="EGR43" s="29"/>
      <c r="EGS43" s="29"/>
      <c r="EGT43" s="29"/>
      <c r="EGU43" s="28"/>
      <c r="EGV43" s="29"/>
      <c r="EGW43" s="29"/>
      <c r="EGX43" s="28"/>
      <c r="EGY43" s="29"/>
      <c r="EGZ43" s="30"/>
      <c r="EHA43" s="28"/>
      <c r="EHB43" s="29"/>
      <c r="EHC43" s="29"/>
      <c r="EHD43" s="29"/>
      <c r="EHE43" s="28"/>
      <c r="EHF43" s="29"/>
      <c r="EHG43" s="29"/>
      <c r="EHH43" s="28"/>
      <c r="EHI43" s="29"/>
      <c r="EHJ43" s="30"/>
      <c r="EHK43" s="28"/>
      <c r="EHL43" s="29"/>
      <c r="EHM43" s="29"/>
      <c r="EHN43" s="29"/>
      <c r="EHO43" s="28"/>
      <c r="EHP43" s="29"/>
      <c r="EHQ43" s="29"/>
      <c r="EHR43" s="28"/>
      <c r="EHS43" s="29"/>
      <c r="EHT43" s="30"/>
      <c r="EHU43" s="28"/>
      <c r="EHV43" s="30"/>
      <c r="EHW43" s="29"/>
      <c r="EHX43" s="28"/>
      <c r="EHY43" s="29"/>
      <c r="EHZ43" s="28"/>
      <c r="EIA43" s="28"/>
      <c r="EIB43" s="28"/>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30"/>
      <c r="EJO43" s="28"/>
      <c r="EJP43" s="29"/>
      <c r="EJQ43" s="29"/>
      <c r="EJR43" s="29"/>
      <c r="EJS43" s="29"/>
      <c r="EJT43" s="29"/>
      <c r="EJU43" s="28"/>
      <c r="EJV43" s="29"/>
      <c r="EJW43" s="29"/>
      <c r="EJX43" s="28"/>
      <c r="EJY43" s="29"/>
      <c r="EJZ43" s="30"/>
      <c r="EKA43" s="28"/>
      <c r="EKB43" s="29"/>
      <c r="EKC43" s="29"/>
      <c r="EKD43" s="29"/>
      <c r="EKE43" s="28"/>
      <c r="EKF43" s="29"/>
      <c r="EKG43" s="29"/>
      <c r="EKH43" s="28"/>
      <c r="EKI43" s="29"/>
      <c r="EKJ43" s="30"/>
      <c r="EKK43" s="28"/>
      <c r="EKL43" s="29"/>
      <c r="EKM43" s="29"/>
      <c r="EKN43" s="29"/>
      <c r="EKO43" s="28"/>
      <c r="EKP43" s="29"/>
      <c r="EKQ43" s="29"/>
      <c r="EKR43" s="28"/>
      <c r="EKS43" s="29"/>
      <c r="EKT43" s="30"/>
      <c r="EKU43" s="28"/>
      <c r="EKV43" s="29"/>
      <c r="EKW43" s="29"/>
      <c r="EKX43" s="29"/>
      <c r="EKY43" s="28"/>
      <c r="EKZ43" s="29"/>
      <c r="ELA43" s="29"/>
      <c r="ELB43" s="28"/>
      <c r="ELC43" s="29"/>
      <c r="ELD43" s="30"/>
      <c r="ELE43" s="28"/>
      <c r="ELF43" s="30"/>
      <c r="ELG43" s="29"/>
      <c r="ELH43" s="28"/>
      <c r="ELI43" s="29"/>
      <c r="ELJ43" s="28"/>
      <c r="ELK43" s="28"/>
      <c r="ELL43" s="28"/>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30"/>
      <c r="EMY43" s="28"/>
      <c r="EMZ43" s="29"/>
      <c r="ENA43" s="29"/>
      <c r="ENB43" s="29"/>
      <c r="ENC43" s="29"/>
      <c r="END43" s="29"/>
      <c r="ENE43" s="28"/>
      <c r="ENF43" s="29"/>
      <c r="ENG43" s="29"/>
      <c r="ENH43" s="28"/>
      <c r="ENI43" s="29"/>
      <c r="ENJ43" s="30"/>
      <c r="ENK43" s="28"/>
      <c r="ENL43" s="29"/>
      <c r="ENM43" s="29"/>
      <c r="ENN43" s="29"/>
      <c r="ENO43" s="28"/>
      <c r="ENP43" s="29"/>
      <c r="ENQ43" s="29"/>
      <c r="ENR43" s="28"/>
      <c r="ENS43" s="29"/>
      <c r="ENT43" s="30"/>
      <c r="ENU43" s="28"/>
      <c r="ENV43" s="29"/>
      <c r="ENW43" s="29"/>
      <c r="ENX43" s="29"/>
      <c r="ENY43" s="28"/>
      <c r="ENZ43" s="29"/>
      <c r="EOA43" s="29"/>
      <c r="EOB43" s="28"/>
      <c r="EOC43" s="29"/>
      <c r="EOD43" s="30"/>
      <c r="EOE43" s="28"/>
      <c r="EOF43" s="29"/>
      <c r="EOG43" s="29"/>
      <c r="EOH43" s="29"/>
      <c r="EOI43" s="28"/>
      <c r="EOJ43" s="29"/>
      <c r="EOK43" s="29"/>
      <c r="EOL43" s="28"/>
      <c r="EOM43" s="29"/>
      <c r="EON43" s="30"/>
      <c r="EOO43" s="28" t="str">
        <f t="shared" si="75"/>
        <v xml:space="preserve"> </v>
      </c>
    </row>
    <row r="44" spans="1:3785" x14ac:dyDescent="0.3">
      <c r="A44" s="55" t="s">
        <v>245</v>
      </c>
      <c r="B44" s="58" t="s">
        <v>5162</v>
      </c>
      <c r="C44" s="57"/>
      <c r="D44" s="56" t="str">
        <f t="shared" si="61"/>
        <v xml:space="preserve"> </v>
      </c>
      <c r="E44" s="57"/>
      <c r="F44" s="56"/>
      <c r="G44" s="59">
        <v>45355</v>
      </c>
      <c r="H44" s="397">
        <f>+G44+365</f>
        <v>45720</v>
      </c>
      <c r="I44" s="57" t="s">
        <v>1372</v>
      </c>
      <c r="J44" s="57" t="s">
        <v>1373</v>
      </c>
      <c r="K44" s="57" t="s">
        <v>1372</v>
      </c>
      <c r="L44" s="57" t="s">
        <v>1373</v>
      </c>
      <c r="M44" s="57" t="s">
        <v>1372</v>
      </c>
      <c r="N44" s="57" t="s">
        <v>4347</v>
      </c>
      <c r="O44" s="57"/>
      <c r="P44" s="57" t="s">
        <v>1372</v>
      </c>
      <c r="Q44" s="57" t="s">
        <v>1372</v>
      </c>
      <c r="R44" s="57" t="s">
        <v>1372</v>
      </c>
      <c r="S44" s="57" t="s">
        <v>1372</v>
      </c>
      <c r="T44" s="57" t="s">
        <v>1372</v>
      </c>
      <c r="U44" s="57" t="s">
        <v>1372</v>
      </c>
      <c r="V44" s="57" t="s">
        <v>1372</v>
      </c>
      <c r="W44" s="57"/>
      <c r="X44" s="57"/>
      <c r="Y44" s="57"/>
      <c r="Z44" s="57" t="s">
        <v>5143</v>
      </c>
      <c r="AA44" s="57"/>
      <c r="AB44" s="57"/>
      <c r="AC44" s="57"/>
      <c r="AD44" s="57"/>
      <c r="AE44" s="57"/>
      <c r="AF44" s="57" t="s">
        <v>1372</v>
      </c>
      <c r="AG44" s="57" t="s">
        <v>1372</v>
      </c>
      <c r="AH44" s="57"/>
      <c r="AI44" s="57"/>
      <c r="AJ44" s="57"/>
      <c r="AK44" s="57"/>
      <c r="AL44" s="57"/>
      <c r="AM44" s="57" t="s">
        <v>1372</v>
      </c>
      <c r="AN44" s="57"/>
      <c r="AO44" s="57"/>
      <c r="AP44" s="57"/>
      <c r="AQ44" s="57"/>
      <c r="AR44" s="57"/>
      <c r="AS44" s="57"/>
      <c r="AT44" s="58" t="s">
        <v>5180</v>
      </c>
      <c r="AU44" s="57"/>
      <c r="AV44" s="56" t="str">
        <f t="shared" ref="AV44" si="204">IFERROR(VLOOKUP(AT44,BASEPOE1,2,FALSE)," ")</f>
        <v xml:space="preserve"> </v>
      </c>
      <c r="AW44" s="57"/>
      <c r="AX44" s="56"/>
      <c r="AY44" s="59">
        <v>45360</v>
      </c>
      <c r="AZ44" s="397">
        <f>+AY44+365</f>
        <v>45725</v>
      </c>
      <c r="BA44" s="57" t="s">
        <v>1372</v>
      </c>
      <c r="BB44" s="57" t="s">
        <v>1373</v>
      </c>
      <c r="BC44" s="57" t="s">
        <v>1372</v>
      </c>
      <c r="BD44" s="57" t="s">
        <v>1373</v>
      </c>
      <c r="BE44" s="57" t="s">
        <v>1461</v>
      </c>
      <c r="BF44" s="57" t="s">
        <v>4327</v>
      </c>
      <c r="BG44" s="57" t="s">
        <v>2582</v>
      </c>
      <c r="BH44" s="57"/>
      <c r="BI44" s="57" t="s">
        <v>1372</v>
      </c>
      <c r="BJ44" s="57" t="s">
        <v>1372</v>
      </c>
      <c r="BK44" s="57" t="s">
        <v>1372</v>
      </c>
      <c r="BL44" s="57" t="s">
        <v>1461</v>
      </c>
      <c r="BM44" s="57" t="s">
        <v>1461</v>
      </c>
      <c r="BN44" s="57" t="s">
        <v>1372</v>
      </c>
      <c r="BO44" s="57"/>
      <c r="BP44" s="57"/>
      <c r="BQ44" s="57"/>
      <c r="BR44" s="57" t="s">
        <v>5143</v>
      </c>
      <c r="BS44" s="57"/>
      <c r="BT44" s="57"/>
      <c r="BU44" s="57"/>
      <c r="BV44" s="57"/>
      <c r="BW44" s="57"/>
      <c r="BX44" s="57"/>
      <c r="BY44" s="57"/>
      <c r="BZ44" s="57"/>
      <c r="CA44" s="57"/>
      <c r="CB44" s="57"/>
      <c r="CC44" s="57"/>
      <c r="CD44" s="57"/>
      <c r="CE44" s="57"/>
      <c r="CF44" s="57"/>
      <c r="CG44" s="57"/>
      <c r="CH44" s="57"/>
      <c r="CI44" s="57"/>
      <c r="CJ44" s="57"/>
      <c r="CK44" s="57"/>
      <c r="CL44" s="58" t="s">
        <v>5145</v>
      </c>
      <c r="CM44" s="57"/>
      <c r="CN44" s="56" t="str">
        <f t="shared" ref="CN44" si="205">IFERROR(VLOOKUP(CL44,BASEPOE1,2,FALSE)," ")</f>
        <v xml:space="preserve"> </v>
      </c>
      <c r="CO44" s="57"/>
      <c r="CP44" s="56"/>
      <c r="CQ44" s="59">
        <v>45351</v>
      </c>
      <c r="CR44" s="397">
        <f>+CQ44+365</f>
        <v>45716</v>
      </c>
      <c r="CS44" s="57" t="s">
        <v>1372</v>
      </c>
      <c r="CT44" s="57" t="s">
        <v>1373</v>
      </c>
      <c r="CU44" s="57" t="s">
        <v>1372</v>
      </c>
      <c r="CV44" s="57" t="s">
        <v>1373</v>
      </c>
      <c r="CW44" s="57" t="s">
        <v>1461</v>
      </c>
      <c r="CX44" s="57" t="s">
        <v>4327</v>
      </c>
      <c r="CY44" s="57"/>
      <c r="CZ44" s="57" t="s">
        <v>1372</v>
      </c>
      <c r="DA44" s="57" t="s">
        <v>1372</v>
      </c>
      <c r="DB44" s="57" t="s">
        <v>1372</v>
      </c>
      <c r="DC44" s="57" t="s">
        <v>1372</v>
      </c>
      <c r="DD44" s="57" t="s">
        <v>1372</v>
      </c>
      <c r="DE44" s="57" t="s">
        <v>1372</v>
      </c>
      <c r="DF44" s="57" t="s">
        <v>1372</v>
      </c>
      <c r="DG44" s="57"/>
      <c r="DH44" s="57"/>
      <c r="DI44" s="57"/>
      <c r="DJ44" s="57" t="s">
        <v>5143</v>
      </c>
      <c r="DK44" s="57"/>
      <c r="DL44" s="57"/>
      <c r="DM44" s="57"/>
      <c r="DN44" s="57"/>
      <c r="DO44" s="57"/>
      <c r="DP44" s="57" t="s">
        <v>1372</v>
      </c>
      <c r="DQ44" s="57" t="s">
        <v>1372</v>
      </c>
      <c r="DR44" s="57"/>
      <c r="DS44" s="57"/>
      <c r="DT44" s="57"/>
      <c r="DU44" s="57"/>
      <c r="DV44" s="57"/>
      <c r="DW44" s="57" t="s">
        <v>1372</v>
      </c>
      <c r="DX44" s="57"/>
      <c r="DY44" s="57"/>
      <c r="DZ44" s="57"/>
      <c r="EA44" s="57"/>
      <c r="EB44" s="57" t="s">
        <v>1768</v>
      </c>
      <c r="EC44" s="57"/>
      <c r="ED44" s="58" t="s">
        <v>5142</v>
      </c>
      <c r="EE44" s="57"/>
      <c r="EF44" s="56" t="str">
        <f t="shared" ref="EF44" si="206">IFERROR(VLOOKUP(ED44,BASEPOE1,2,FALSE)," ")</f>
        <v xml:space="preserve"> </v>
      </c>
      <c r="EG44" s="57"/>
      <c r="EH44" s="56"/>
      <c r="EI44" s="59">
        <v>45351</v>
      </c>
      <c r="EJ44" s="397">
        <f>+EI44+365</f>
        <v>45716</v>
      </c>
      <c r="EK44" s="57" t="s">
        <v>1372</v>
      </c>
      <c r="EL44" s="57" t="s">
        <v>1373</v>
      </c>
      <c r="EM44" s="57" t="s">
        <v>1372</v>
      </c>
      <c r="EN44" s="57" t="s">
        <v>1373</v>
      </c>
      <c r="EO44" s="57" t="s">
        <v>1461</v>
      </c>
      <c r="EP44" s="57" t="s">
        <v>4327</v>
      </c>
      <c r="EQ44" s="57" t="s">
        <v>2582</v>
      </c>
      <c r="ER44" s="57"/>
      <c r="ES44" s="57" t="s">
        <v>1372</v>
      </c>
      <c r="ET44" s="57" t="s">
        <v>1372</v>
      </c>
      <c r="EU44" s="57" t="s">
        <v>1372</v>
      </c>
      <c r="EV44" s="57" t="s">
        <v>1372</v>
      </c>
      <c r="EW44" s="57" t="s">
        <v>1461</v>
      </c>
      <c r="EX44" s="57" t="s">
        <v>1372</v>
      </c>
      <c r="EY44" s="57"/>
      <c r="EZ44" s="57"/>
      <c r="FA44" s="57"/>
      <c r="FB44" s="57" t="s">
        <v>5143</v>
      </c>
      <c r="FC44" s="57"/>
      <c r="FD44" s="57"/>
      <c r="FE44" s="57"/>
      <c r="FF44" s="57"/>
      <c r="FG44" s="57"/>
      <c r="FH44" s="57"/>
      <c r="FI44" s="57" t="s">
        <v>1372</v>
      </c>
      <c r="FJ44" s="57"/>
      <c r="FK44" s="57"/>
      <c r="FL44" s="57"/>
      <c r="FM44" s="57"/>
      <c r="FN44" s="57"/>
      <c r="FO44" s="57" t="s">
        <v>1372</v>
      </c>
      <c r="FP44" s="57"/>
      <c r="FQ44" s="57"/>
      <c r="FR44" s="57"/>
      <c r="FS44" s="57"/>
      <c r="FT44" s="57"/>
      <c r="FU44" s="57"/>
      <c r="FV44" s="58" t="s">
        <v>5159</v>
      </c>
      <c r="FW44" s="57"/>
      <c r="FX44" s="56" t="str">
        <f t="shared" ref="FX44" si="207">IFERROR(VLOOKUP(FV44,BASEPOE1,2,FALSE)," ")</f>
        <v xml:space="preserve"> </v>
      </c>
      <c r="FY44" s="57"/>
      <c r="FZ44" s="56"/>
      <c r="GA44" s="59">
        <v>45351</v>
      </c>
      <c r="GB44" s="397">
        <f>+GA44+365</f>
        <v>45716</v>
      </c>
      <c r="GC44" s="57" t="s">
        <v>1372</v>
      </c>
      <c r="GD44" s="57" t="s">
        <v>1373</v>
      </c>
      <c r="GE44" s="57" t="s">
        <v>1372</v>
      </c>
      <c r="GF44" s="57" t="s">
        <v>1373</v>
      </c>
      <c r="GG44" s="57" t="s">
        <v>1461</v>
      </c>
      <c r="GH44" s="57" t="s">
        <v>4327</v>
      </c>
      <c r="GI44" s="57" t="s">
        <v>5160</v>
      </c>
      <c r="GJ44" s="57"/>
      <c r="GK44" s="57" t="s">
        <v>1372</v>
      </c>
      <c r="GL44" s="57" t="s">
        <v>1372</v>
      </c>
      <c r="GM44" s="57" t="s">
        <v>1372</v>
      </c>
      <c r="GN44" s="57" t="s">
        <v>1461</v>
      </c>
      <c r="GO44" s="57" t="s">
        <v>1461</v>
      </c>
      <c r="GP44" s="57" t="s">
        <v>1372</v>
      </c>
      <c r="GQ44" s="57"/>
      <c r="GR44" s="57"/>
      <c r="GS44" s="57"/>
      <c r="GT44" s="57" t="s">
        <v>5143</v>
      </c>
      <c r="GU44" s="57"/>
      <c r="GV44" s="57"/>
      <c r="GW44" s="57"/>
      <c r="GX44" s="57"/>
      <c r="GY44" s="57"/>
      <c r="GZ44" s="57"/>
      <c r="HA44" s="57" t="s">
        <v>1372</v>
      </c>
      <c r="HB44" s="57"/>
      <c r="HC44" s="57"/>
      <c r="HD44" s="57"/>
      <c r="HE44" s="57"/>
      <c r="HF44" s="57"/>
      <c r="HG44" s="57"/>
      <c r="HH44" s="57"/>
      <c r="HI44" s="57"/>
      <c r="HJ44" s="57"/>
      <c r="HK44" s="57"/>
      <c r="HL44" s="57"/>
      <c r="HM44" s="57"/>
      <c r="HN44" s="58" t="s">
        <v>5147</v>
      </c>
      <c r="HO44" s="57"/>
      <c r="HP44" s="56" t="str">
        <f t="shared" ref="HP44" si="208">IFERROR(VLOOKUP(HN44,BASEPOE1,2,FALSE)," ")</f>
        <v xml:space="preserve"> </v>
      </c>
      <c r="HQ44" s="57"/>
      <c r="HR44" s="56"/>
      <c r="HS44" s="59"/>
      <c r="HT44" s="397">
        <f>+HS44+365</f>
        <v>365</v>
      </c>
      <c r="HU44" s="57" t="s">
        <v>1372</v>
      </c>
      <c r="HV44" s="57" t="s">
        <v>1373</v>
      </c>
      <c r="HW44" s="57" t="s">
        <v>1372</v>
      </c>
      <c r="HX44" s="57" t="s">
        <v>1373</v>
      </c>
      <c r="HY44" s="57" t="s">
        <v>1461</v>
      </c>
      <c r="HZ44" s="57" t="s">
        <v>4327</v>
      </c>
      <c r="IA44" s="57"/>
      <c r="IB44" s="57" t="s">
        <v>1372</v>
      </c>
      <c r="IC44" s="57" t="s">
        <v>1372</v>
      </c>
      <c r="ID44" s="57" t="s">
        <v>1372</v>
      </c>
      <c r="IE44" s="57" t="s">
        <v>1372</v>
      </c>
      <c r="IF44" s="57" t="s">
        <v>1372</v>
      </c>
      <c r="IG44" s="57" t="s">
        <v>1372</v>
      </c>
      <c r="IH44" s="57" t="s">
        <v>1372</v>
      </c>
      <c r="II44" s="57"/>
      <c r="IJ44" s="57"/>
      <c r="IK44" s="57"/>
      <c r="IL44" s="57" t="s">
        <v>5143</v>
      </c>
      <c r="IM44" s="57"/>
      <c r="IN44" s="57"/>
      <c r="IO44" s="57"/>
      <c r="IP44" s="57"/>
      <c r="IQ44" s="57"/>
      <c r="IR44" s="57" t="s">
        <v>1372</v>
      </c>
      <c r="IS44" s="57"/>
      <c r="IT44" s="57"/>
      <c r="IU44" s="57"/>
      <c r="IV44" s="57"/>
      <c r="IW44" s="57"/>
      <c r="IX44" s="57"/>
      <c r="IY44" s="57" t="s">
        <v>1372</v>
      </c>
      <c r="IZ44" s="57"/>
      <c r="JA44" s="57"/>
      <c r="JB44" s="57"/>
      <c r="JC44" s="57"/>
      <c r="JD44" s="57"/>
      <c r="JE44" s="57"/>
      <c r="JF44" s="58" t="s">
        <v>5182</v>
      </c>
      <c r="JG44" s="57"/>
      <c r="JH44" s="56" t="str">
        <f t="shared" ref="JH44" si="209">IFERROR(VLOOKUP(JF44,BASEPOE1,2,FALSE)," ")</f>
        <v xml:space="preserve"> </v>
      </c>
      <c r="JI44" s="57"/>
      <c r="JJ44" s="56"/>
      <c r="JK44" s="59">
        <v>45355</v>
      </c>
      <c r="JL44" s="397">
        <f>+JK44+365</f>
        <v>45720</v>
      </c>
      <c r="JM44" s="57" t="s">
        <v>1372</v>
      </c>
      <c r="JN44" s="57" t="s">
        <v>1373</v>
      </c>
      <c r="JO44" s="57" t="s">
        <v>1372</v>
      </c>
      <c r="JP44" s="57" t="s">
        <v>1373</v>
      </c>
      <c r="JQ44" s="57" t="s">
        <v>1461</v>
      </c>
      <c r="JR44" s="57" t="s">
        <v>4327</v>
      </c>
      <c r="JS44" s="57" t="s">
        <v>1372</v>
      </c>
      <c r="JT44" s="57"/>
      <c r="JU44" s="57" t="s">
        <v>1372</v>
      </c>
      <c r="JV44" s="57" t="s">
        <v>1372</v>
      </c>
      <c r="JW44" s="57" t="s">
        <v>1372</v>
      </c>
      <c r="JX44" s="57" t="s">
        <v>1372</v>
      </c>
      <c r="JY44" s="57" t="s">
        <v>1461</v>
      </c>
      <c r="JZ44" s="57" t="s">
        <v>1372</v>
      </c>
      <c r="KA44" s="57"/>
      <c r="KB44" s="57"/>
      <c r="KC44" s="57"/>
      <c r="KD44" s="57" t="s">
        <v>5143</v>
      </c>
      <c r="KE44" s="57"/>
      <c r="KF44" s="57"/>
      <c r="KG44" s="57"/>
      <c r="KH44" s="57"/>
      <c r="KI44" s="57"/>
      <c r="KJ44" s="57"/>
      <c r="KK44" s="57" t="s">
        <v>1372</v>
      </c>
      <c r="KL44" s="57"/>
      <c r="KM44" s="57"/>
      <c r="KN44" s="57"/>
      <c r="KO44" s="57"/>
      <c r="KP44" s="57"/>
      <c r="KQ44" s="57" t="s">
        <v>1372</v>
      </c>
      <c r="KR44" s="57"/>
      <c r="KS44" s="57"/>
      <c r="KT44" s="57"/>
      <c r="KU44" s="57"/>
      <c r="KV44" s="57"/>
      <c r="KW44" s="57"/>
      <c r="KX44" s="58"/>
      <c r="KY44" s="57"/>
      <c r="KZ44" s="56" t="str">
        <f t="shared" ref="KZ44" si="210">IFERROR(VLOOKUP(KX44,BASEPOE1,2,FALSE)," ")</f>
        <v xml:space="preserve"> </v>
      </c>
      <c r="LA44" s="57"/>
      <c r="LB44" s="56"/>
      <c r="LC44" s="59"/>
      <c r="LD44" s="397">
        <f>+LC44+365</f>
        <v>365</v>
      </c>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8"/>
      <c r="MQ44" s="57"/>
      <c r="MR44" s="56" t="str">
        <f t="shared" ref="MR44" si="211">IFERROR(VLOOKUP(MP44,BASEPOE1,2,FALSE)," ")</f>
        <v xml:space="preserve"> </v>
      </c>
      <c r="MS44" s="57"/>
      <c r="MT44" s="56"/>
      <c r="MU44" s="59"/>
      <c r="MV44" s="397">
        <f>+MU44+365</f>
        <v>365</v>
      </c>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8"/>
      <c r="OI44" s="57"/>
      <c r="OJ44" s="56" t="str">
        <f t="shared" ref="OJ44" si="212">IFERROR(VLOOKUP(OH44,BASEPOE1,2,FALSE)," ")</f>
        <v xml:space="preserve"> </v>
      </c>
      <c r="OK44" s="57"/>
      <c r="OL44" s="56"/>
      <c r="OM44" s="59"/>
      <c r="ON44" s="397">
        <f>+OM44+365</f>
        <v>365</v>
      </c>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8"/>
      <c r="QA44" s="57"/>
      <c r="QB44" s="56" t="str">
        <f t="shared" ref="QB44" si="213">IFERROR(VLOOKUP(PZ44,BASEPOE1,2,FALSE)," ")</f>
        <v xml:space="preserve"> </v>
      </c>
      <c r="QC44" s="57"/>
      <c r="QD44" s="56"/>
      <c r="QE44" s="59"/>
      <c r="QF44" s="397">
        <f>+QE44+365</f>
        <v>365</v>
      </c>
      <c r="QG44" s="57"/>
      <c r="QH44" s="57"/>
      <c r="QI44" s="57"/>
      <c r="QJ44" s="57"/>
      <c r="QK44" s="57"/>
      <c r="QL44" s="57"/>
      <c r="QM44" s="57"/>
      <c r="QN44" s="57"/>
      <c r="QO44" s="57"/>
      <c r="QP44" s="57"/>
      <c r="QQ44" s="57"/>
      <c r="QR44" s="57"/>
      <c r="QS44" s="57"/>
      <c r="QT44" s="57"/>
      <c r="QU44" s="57"/>
      <c r="QV44" s="57"/>
      <c r="QW44" s="57"/>
      <c r="QX44" s="57"/>
      <c r="QY44" s="57"/>
      <c r="QZ44" s="57"/>
      <c r="RA44" s="57"/>
      <c r="RB44" s="57"/>
      <c r="RC44" s="57"/>
      <c r="RD44" s="57"/>
      <c r="RE44" s="57"/>
      <c r="RF44" s="57"/>
      <c r="RG44" s="57"/>
      <c r="RH44" s="57"/>
      <c r="RI44" s="57"/>
      <c r="RJ44" s="57"/>
      <c r="RK44" s="57"/>
      <c r="RL44" s="57"/>
      <c r="RM44" s="57"/>
      <c r="RN44" s="57"/>
      <c r="RO44" s="57"/>
      <c r="RP44" s="57"/>
      <c r="RQ44" s="57"/>
      <c r="RR44" s="58"/>
      <c r="RS44" s="57"/>
      <c r="RT44" s="56" t="str">
        <f t="shared" ref="RT44" si="214">IFERROR(VLOOKUP(RR44,BASEPOE1,2,FALSE)," ")</f>
        <v xml:space="preserve"> </v>
      </c>
      <c r="RU44" s="57"/>
      <c r="RV44" s="56"/>
      <c r="RW44" s="59"/>
      <c r="RX44" s="397">
        <f>+RW44+365</f>
        <v>365</v>
      </c>
      <c r="RY44" s="57"/>
      <c r="RZ44" s="57"/>
      <c r="SA44" s="57"/>
      <c r="SB44" s="57"/>
      <c r="SC44" s="57"/>
      <c r="SD44" s="57"/>
      <c r="SE44" s="57"/>
      <c r="SF44" s="57"/>
      <c r="SG44" s="57"/>
      <c r="SH44" s="57"/>
      <c r="SI44" s="57"/>
      <c r="SJ44" s="57"/>
      <c r="SK44" s="57"/>
      <c r="SL44" s="57"/>
      <c r="SM44" s="57"/>
      <c r="SN44" s="57"/>
      <c r="SO44" s="57"/>
      <c r="SP44" s="57"/>
      <c r="SQ44" s="57"/>
      <c r="SR44" s="57"/>
      <c r="SS44" s="57"/>
      <c r="ST44" s="57"/>
      <c r="SU44" s="57"/>
      <c r="SV44" s="57"/>
      <c r="SW44" s="57"/>
      <c r="SX44" s="57"/>
      <c r="SY44" s="57"/>
      <c r="SZ44" s="57"/>
      <c r="TA44" s="57"/>
      <c r="TB44" s="57"/>
      <c r="TC44" s="57"/>
      <c r="TD44" s="57"/>
      <c r="TE44" s="57"/>
      <c r="TF44" s="57"/>
      <c r="TG44" s="57"/>
      <c r="TH44" s="57"/>
      <c r="TI44" s="57"/>
      <c r="TJ44" s="58"/>
      <c r="TK44" s="57"/>
      <c r="TL44" s="56" t="str">
        <f t="shared" ref="TL44" si="215">IFERROR(VLOOKUP(TJ44,BASEPOE1,2,FALSE)," ")</f>
        <v xml:space="preserve"> </v>
      </c>
      <c r="TM44" s="57"/>
      <c r="TN44" s="56"/>
      <c r="TO44" s="59"/>
      <c r="TP44" s="397">
        <f>+TO44+365</f>
        <v>365</v>
      </c>
      <c r="TQ44" s="57"/>
      <c r="TR44" s="57"/>
      <c r="TS44" s="57"/>
      <c r="TT44" s="57"/>
      <c r="TU44" s="57"/>
      <c r="TV44" s="57"/>
      <c r="TW44" s="57"/>
      <c r="TX44" s="57"/>
      <c r="TY44" s="57"/>
      <c r="TZ44" s="57"/>
      <c r="UA44" s="57"/>
      <c r="UB44" s="57"/>
      <c r="UC44" s="57"/>
      <c r="UD44" s="57"/>
      <c r="UE44" s="57"/>
      <c r="UF44" s="57"/>
      <c r="UG44" s="57"/>
      <c r="UH44" s="57"/>
      <c r="UI44" s="57"/>
      <c r="UJ44" s="57"/>
      <c r="UK44" s="57"/>
      <c r="UL44" s="57"/>
      <c r="UM44" s="57"/>
      <c r="UN44" s="57"/>
      <c r="UO44" s="57"/>
      <c r="UP44" s="57"/>
      <c r="UQ44" s="57"/>
      <c r="UR44" s="57"/>
      <c r="US44" s="57"/>
      <c r="UT44" s="57"/>
      <c r="UU44" s="57"/>
      <c r="UV44" s="57"/>
      <c r="UW44" s="57"/>
      <c r="UX44" s="57"/>
      <c r="UY44" s="57"/>
      <c r="UZ44" s="57"/>
      <c r="VA44" s="57"/>
      <c r="VB44" s="58"/>
      <c r="VC44" s="57"/>
      <c r="VD44" s="56" t="str">
        <f t="shared" ref="VD44" si="216">IFERROR(VLOOKUP(VB44,BASEPOE1,2,FALSE)," ")</f>
        <v xml:space="preserve"> </v>
      </c>
      <c r="VE44" s="57"/>
      <c r="VF44" s="56"/>
      <c r="VG44" s="59"/>
      <c r="VH44" s="397">
        <f>+VG44+365</f>
        <v>365</v>
      </c>
      <c r="VI44" s="57"/>
      <c r="VJ44" s="57"/>
      <c r="VK44" s="57"/>
      <c r="VL44" s="57"/>
      <c r="VM44" s="57"/>
      <c r="VN44" s="57"/>
      <c r="VO44" s="57"/>
      <c r="VP44" s="57"/>
      <c r="VQ44" s="57"/>
      <c r="VR44" s="57"/>
      <c r="VS44" s="57"/>
      <c r="VT44" s="57"/>
      <c r="VU44" s="57"/>
      <c r="VV44" s="57"/>
      <c r="VW44" s="57"/>
      <c r="VX44" s="57"/>
      <c r="VY44" s="57"/>
      <c r="VZ44" s="57"/>
      <c r="WA44" s="57"/>
      <c r="WB44" s="57"/>
      <c r="WC44" s="57"/>
      <c r="WD44" s="57"/>
      <c r="WE44" s="57"/>
      <c r="WF44" s="57"/>
      <c r="WG44" s="57"/>
      <c r="WH44" s="57"/>
      <c r="WI44" s="57"/>
      <c r="WJ44" s="57"/>
      <c r="WK44" s="57"/>
      <c r="WL44" s="57"/>
      <c r="WM44" s="57"/>
      <c r="WN44" s="57"/>
      <c r="WO44" s="57"/>
      <c r="WP44" s="57"/>
      <c r="WQ44" s="57"/>
      <c r="WR44" s="57"/>
      <c r="WS44" s="57"/>
      <c r="WT44" s="58"/>
      <c r="WU44" s="57"/>
      <c r="WV44" s="56" t="str">
        <f t="shared" ref="WV44" si="217">IFERROR(VLOOKUP(WT44,BASEPOE1,2,FALSE)," ")</f>
        <v xml:space="preserve"> </v>
      </c>
      <c r="WW44" s="57"/>
      <c r="WX44" s="56"/>
      <c r="WY44" s="59"/>
      <c r="WZ44" s="397">
        <f>+WY44+365</f>
        <v>365</v>
      </c>
      <c r="XA44" s="57"/>
      <c r="XB44" s="57"/>
      <c r="XC44" s="57"/>
      <c r="XD44" s="57"/>
      <c r="XE44" s="57"/>
      <c r="XF44" s="57"/>
      <c r="XG44" s="57"/>
      <c r="XH44" s="57"/>
      <c r="XI44" s="57"/>
      <c r="XJ44" s="57"/>
      <c r="XK44" s="57"/>
      <c r="XL44" s="57"/>
      <c r="XM44" s="57"/>
      <c r="XN44" s="57"/>
      <c r="XO44" s="57"/>
      <c r="XP44" s="57"/>
      <c r="XQ44" s="57"/>
      <c r="XR44" s="57"/>
      <c r="XS44" s="57"/>
      <c r="XT44" s="57"/>
      <c r="XU44" s="57"/>
      <c r="XV44" s="57"/>
      <c r="XW44" s="57"/>
      <c r="XX44" s="57"/>
      <c r="XY44" s="57"/>
      <c r="XZ44" s="57"/>
      <c r="YA44" s="57"/>
      <c r="YB44" s="57"/>
      <c r="YC44" s="57"/>
      <c r="YD44" s="57"/>
      <c r="YE44" s="57"/>
      <c r="YF44" s="57"/>
      <c r="YG44" s="57"/>
      <c r="YH44" s="57"/>
      <c r="YI44" s="57"/>
      <c r="YJ44" s="57"/>
      <c r="YK44" s="57"/>
      <c r="YL44" s="58"/>
      <c r="YM44" s="57"/>
      <c r="YN44" s="56" t="str">
        <f t="shared" ref="YN44" si="218">IFERROR(VLOOKUP(YL44,BASEPOE1,2,FALSE)," ")</f>
        <v xml:space="preserve"> </v>
      </c>
      <c r="YO44" s="57"/>
      <c r="YP44" s="56"/>
      <c r="YQ44" s="59"/>
      <c r="YR44" s="397">
        <f>+YQ44+365</f>
        <v>365</v>
      </c>
      <c r="YS44" s="57"/>
      <c r="YT44" s="57"/>
      <c r="YU44" s="57"/>
      <c r="YV44" s="57"/>
      <c r="YW44" s="57"/>
      <c r="YX44" s="57"/>
      <c r="YY44" s="57"/>
      <c r="YZ44" s="57"/>
      <c r="ZA44" s="57"/>
      <c r="ZB44" s="57"/>
      <c r="ZC44" s="57"/>
      <c r="ZD44" s="57"/>
      <c r="ZE44" s="57"/>
      <c r="ZF44" s="57"/>
      <c r="ZG44" s="57"/>
      <c r="ZH44" s="57"/>
      <c r="ZI44" s="57"/>
      <c r="ZJ44" s="57"/>
      <c r="ZK44" s="57"/>
      <c r="ZL44" s="57"/>
      <c r="ZM44" s="57"/>
      <c r="ZN44" s="57"/>
      <c r="ZO44" s="57"/>
      <c r="ZP44" s="57"/>
      <c r="ZQ44" s="57"/>
      <c r="ZR44" s="57"/>
      <c r="ZS44" s="57"/>
      <c r="ZT44" s="57"/>
      <c r="ZU44" s="57"/>
      <c r="ZV44" s="57"/>
      <c r="ZW44" s="57"/>
      <c r="ZX44" s="57"/>
      <c r="ZY44" s="57"/>
      <c r="ZZ44" s="57"/>
      <c r="AAA44" s="57"/>
      <c r="AAB44" s="57"/>
      <c r="AAC44" s="57"/>
      <c r="AAD44" s="58"/>
      <c r="AAE44" s="57"/>
      <c r="AAF44" s="56" t="str">
        <f t="shared" ref="AAF44" si="219">IFERROR(VLOOKUP(AAD44,BASEPOE1,2,FALSE)," ")</f>
        <v xml:space="preserve"> </v>
      </c>
      <c r="AAG44" s="57"/>
      <c r="AAH44" s="56"/>
      <c r="AAI44" s="59"/>
      <c r="AAJ44" s="397">
        <f>+AAI44+365</f>
        <v>365</v>
      </c>
      <c r="AAK44" s="57"/>
      <c r="AAL44" s="57"/>
      <c r="AAM44" s="57"/>
      <c r="AAN44" s="57"/>
      <c r="AAO44" s="57"/>
      <c r="AAP44" s="57"/>
      <c r="AAQ44" s="57"/>
      <c r="AAR44" s="57"/>
      <c r="AAS44" s="57"/>
      <c r="AAT44" s="57"/>
      <c r="AAU44" s="57"/>
      <c r="AAV44" s="57"/>
      <c r="AAW44" s="57"/>
      <c r="AAX44" s="57"/>
      <c r="AAY44" s="57"/>
      <c r="AAZ44" s="57"/>
      <c r="ABA44" s="57"/>
      <c r="ABB44" s="57"/>
      <c r="ABC44" s="57"/>
      <c r="ABD44" s="57"/>
      <c r="ABE44" s="57"/>
      <c r="ABF44" s="57"/>
      <c r="ABG44" s="57"/>
      <c r="ABH44" s="57"/>
      <c r="ABI44" s="57"/>
      <c r="ABJ44" s="57"/>
      <c r="ABK44" s="57"/>
      <c r="ABL44" s="57"/>
      <c r="ABM44" s="57"/>
      <c r="ABN44" s="57"/>
      <c r="ABO44" s="57"/>
      <c r="ABP44" s="57"/>
      <c r="ABQ44" s="57"/>
      <c r="ABR44" s="57"/>
      <c r="ABS44" s="57"/>
      <c r="ABT44" s="57"/>
      <c r="ABU44" s="57"/>
      <c r="ABV44" s="58"/>
      <c r="ABW44" s="57"/>
      <c r="ABX44" s="56" t="str">
        <f t="shared" ref="ABX44" si="220">IFERROR(VLOOKUP(ABV44,BASEPOE1,2,FALSE)," ")</f>
        <v xml:space="preserve"> </v>
      </c>
      <c r="ABY44" s="57"/>
      <c r="ABZ44" s="56"/>
      <c r="ACA44" s="59"/>
      <c r="ACB44" s="397">
        <f>+ACA44+365</f>
        <v>365</v>
      </c>
      <c r="ACC44" s="57"/>
      <c r="ACD44" s="57"/>
      <c r="ACE44" s="57"/>
      <c r="ACF44" s="57"/>
      <c r="ACG44" s="57"/>
      <c r="ACH44" s="57"/>
      <c r="ACI44" s="57"/>
      <c r="ACJ44" s="57"/>
      <c r="ACK44" s="57"/>
      <c r="ACL44" s="57"/>
      <c r="ACM44" s="57"/>
      <c r="ACN44" s="57"/>
      <c r="ACO44" s="57"/>
      <c r="ACP44" s="57"/>
      <c r="ACQ44" s="57"/>
      <c r="ACR44" s="57"/>
      <c r="ACS44" s="57"/>
      <c r="ACT44" s="57"/>
      <c r="ACU44" s="57"/>
      <c r="ACV44" s="57"/>
      <c r="ACW44" s="57"/>
      <c r="ACX44" s="57"/>
      <c r="ACY44" s="57"/>
      <c r="ACZ44" s="57"/>
      <c r="ADA44" s="57"/>
      <c r="ADB44" s="57"/>
      <c r="ADC44" s="57"/>
      <c r="ADD44" s="57"/>
      <c r="ADE44" s="57"/>
      <c r="ADF44" s="57"/>
      <c r="ADG44" s="57"/>
      <c r="ADH44" s="57"/>
      <c r="ADI44" s="57"/>
      <c r="ADJ44" s="57"/>
      <c r="ADK44" s="57"/>
      <c r="ADL44" s="57"/>
      <c r="ADM44" s="57"/>
      <c r="ADN44" s="58"/>
      <c r="ADO44" s="57"/>
      <c r="ADP44" s="56" t="str">
        <f t="shared" ref="ADP44" si="221">IFERROR(VLOOKUP(ADN44,BASEPOE1,2,FALSE)," ")</f>
        <v xml:space="preserve"> </v>
      </c>
      <c r="ADQ44" s="57"/>
      <c r="ADR44" s="56"/>
      <c r="ADS44" s="59"/>
      <c r="ADT44" s="397">
        <f>+ADS44+365</f>
        <v>365</v>
      </c>
      <c r="ADU44" s="57"/>
      <c r="ADV44" s="57"/>
      <c r="ADW44" s="57"/>
      <c r="ADX44" s="57"/>
      <c r="ADY44" s="57"/>
      <c r="ADZ44" s="57"/>
      <c r="AEA44" s="57"/>
      <c r="AEB44" s="57"/>
      <c r="AEC44" s="57"/>
      <c r="AED44" s="57"/>
      <c r="AEE44" s="57"/>
      <c r="AEF44" s="57"/>
      <c r="AEG44" s="57"/>
      <c r="AEH44" s="57"/>
      <c r="AEI44" s="57"/>
      <c r="AEJ44" s="57"/>
      <c r="AEK44" s="57"/>
      <c r="AEL44" s="57"/>
      <c r="AEM44" s="57"/>
      <c r="AEN44" s="57"/>
      <c r="AEO44" s="57"/>
      <c r="AEP44" s="57"/>
      <c r="AEQ44" s="57"/>
      <c r="AER44" s="57"/>
      <c r="AES44" s="57"/>
      <c r="AET44" s="57"/>
      <c r="AEU44" s="57"/>
      <c r="AEV44" s="57"/>
      <c r="AEW44" s="57"/>
      <c r="AEX44" s="57"/>
      <c r="AEY44" s="57"/>
      <c r="AEZ44" s="57"/>
      <c r="AFA44" s="57"/>
      <c r="AFB44" s="57"/>
      <c r="AFC44" s="57"/>
      <c r="AFD44" s="57"/>
      <c r="AFE44" s="57"/>
      <c r="AFF44" s="58"/>
      <c r="AFG44" s="57"/>
      <c r="AFH44" s="56" t="str">
        <f t="shared" ref="AFH44" si="222">IFERROR(VLOOKUP(AFF44,BASEPOE1,2,FALSE)," ")</f>
        <v xml:space="preserve"> </v>
      </c>
      <c r="AFI44" s="57"/>
      <c r="AFJ44" s="56"/>
      <c r="AFK44" s="59"/>
      <c r="AFL44" s="397">
        <f>+AFK44+365</f>
        <v>365</v>
      </c>
      <c r="AFM44" s="57"/>
      <c r="AFN44" s="57"/>
      <c r="AFO44" s="57"/>
      <c r="AFP44" s="57"/>
      <c r="AFQ44" s="57"/>
      <c r="AFR44" s="57"/>
      <c r="AFS44" s="57"/>
      <c r="AFT44" s="57"/>
      <c r="AFU44" s="57"/>
      <c r="AFV44" s="57"/>
      <c r="AFW44" s="57"/>
      <c r="AFX44" s="57"/>
      <c r="AFY44" s="57"/>
      <c r="AFZ44" s="57"/>
      <c r="AGA44" s="57"/>
      <c r="AGB44" s="57"/>
      <c r="AGC44" s="57"/>
      <c r="AGD44" s="57"/>
      <c r="AGE44" s="57"/>
      <c r="AGF44" s="57"/>
      <c r="AGG44" s="57"/>
      <c r="AGH44" s="57"/>
      <c r="AGI44" s="57"/>
      <c r="AGJ44" s="57"/>
      <c r="AGK44" s="57"/>
      <c r="AGL44" s="57"/>
      <c r="AGM44" s="57"/>
      <c r="AGN44" s="57"/>
      <c r="AGO44" s="57"/>
      <c r="AGP44" s="57"/>
      <c r="AGQ44" s="57"/>
      <c r="AGR44" s="57"/>
      <c r="AGS44" s="57"/>
      <c r="AGT44" s="57"/>
      <c r="AGU44" s="57"/>
      <c r="AGV44" s="57"/>
      <c r="AGW44" s="57"/>
      <c r="AGX44" s="58"/>
      <c r="AGY44" s="57"/>
      <c r="AGZ44" s="56" t="str">
        <f t="shared" ref="AGZ44" si="223">IFERROR(VLOOKUP(AGX44,BASEPOE1,2,FALSE)," ")</f>
        <v xml:space="preserve"> </v>
      </c>
      <c r="AHA44" s="57"/>
      <c r="AHB44" s="56"/>
      <c r="AHC44" s="59"/>
      <c r="AHD44" s="397">
        <f>+AHC44+365</f>
        <v>365</v>
      </c>
      <c r="AHE44" s="57"/>
      <c r="AHF44" s="57"/>
      <c r="AHG44" s="57"/>
      <c r="AHH44" s="57"/>
      <c r="AHI44" s="57"/>
      <c r="AHJ44" s="57"/>
      <c r="AHK44" s="57"/>
      <c r="AHL44" s="57"/>
      <c r="AHM44" s="57"/>
      <c r="AHN44" s="57"/>
      <c r="AHO44" s="57"/>
      <c r="AHP44" s="57"/>
      <c r="AHQ44" s="57"/>
      <c r="AHR44" s="57"/>
      <c r="AHS44" s="57"/>
      <c r="AHT44" s="57"/>
      <c r="AHU44" s="57"/>
      <c r="AHV44" s="57"/>
      <c r="AHW44" s="57"/>
      <c r="AHX44" s="57"/>
      <c r="AHY44" s="57"/>
      <c r="AHZ44" s="57"/>
      <c r="AIA44" s="57"/>
      <c r="AIB44" s="57"/>
      <c r="AIC44" s="57"/>
      <c r="AID44" s="57"/>
      <c r="AIE44" s="57"/>
      <c r="AIF44" s="57"/>
      <c r="AIG44" s="57"/>
      <c r="AIH44" s="57"/>
      <c r="AII44" s="57"/>
      <c r="AIJ44" s="57"/>
      <c r="AIK44" s="57"/>
      <c r="AIL44" s="57"/>
      <c r="AIM44" s="57"/>
      <c r="AIN44" s="57"/>
      <c r="AIO44" s="57"/>
      <c r="AIP44" s="56"/>
      <c r="AIQ44" s="57"/>
      <c r="AIR44" s="58"/>
      <c r="AIS44" s="56"/>
      <c r="AIT44" s="57"/>
      <c r="AIU44" s="57"/>
      <c r="AIV44" s="57"/>
      <c r="AIW44" s="56"/>
      <c r="AIX44" s="57"/>
      <c r="AIY44" s="57"/>
      <c r="AIZ44" s="56"/>
      <c r="AJA44" s="57"/>
      <c r="AJB44" s="58"/>
      <c r="AJC44" s="56"/>
      <c r="AJD44" s="57"/>
      <c r="AJE44" s="57"/>
      <c r="AJF44" s="57"/>
      <c r="AJG44" s="56"/>
      <c r="AJH44" s="57"/>
      <c r="AJI44" s="57"/>
      <c r="AJJ44" s="56"/>
      <c r="AJK44" s="57"/>
      <c r="AJL44" s="58"/>
      <c r="AJM44" s="56"/>
      <c r="AJN44" s="57"/>
      <c r="AJO44" s="57"/>
      <c r="AJP44" s="57"/>
      <c r="AJQ44" s="56"/>
      <c r="AJR44" s="57"/>
      <c r="AJS44" s="57"/>
      <c r="AJT44" s="56"/>
      <c r="AJU44" s="57"/>
      <c r="AJV44" s="58"/>
      <c r="AJW44" s="56"/>
      <c r="AJX44" s="57"/>
      <c r="AJY44" s="57"/>
      <c r="AJZ44" s="57"/>
      <c r="AKA44" s="56"/>
      <c r="AKB44" s="57"/>
      <c r="AKC44" s="57"/>
      <c r="AKD44" s="56"/>
      <c r="AKE44" s="57"/>
      <c r="AKF44" s="58"/>
      <c r="AKG44" s="56"/>
      <c r="AKH44" s="57"/>
      <c r="AKI44" s="57"/>
      <c r="AKJ44" s="57"/>
      <c r="AKK44" s="56"/>
      <c r="AKL44" s="57"/>
      <c r="AKM44" s="57"/>
      <c r="AKN44" s="56"/>
      <c r="AKO44" s="57"/>
      <c r="AKP44" s="58"/>
      <c r="AKQ44" s="56"/>
      <c r="AKR44" s="57"/>
      <c r="AKS44" s="57"/>
      <c r="AKT44" s="57"/>
      <c r="AKU44" s="56"/>
      <c r="AKV44" s="57"/>
      <c r="AKW44" s="57"/>
      <c r="AKX44" s="56"/>
      <c r="AKY44" s="57"/>
      <c r="AKZ44" s="58"/>
      <c r="ALA44" s="56"/>
      <c r="ALB44" s="57"/>
      <c r="ALC44" s="57"/>
      <c r="ALD44" s="57"/>
      <c r="ALE44" s="56"/>
      <c r="ALF44" s="57"/>
      <c r="ALG44" s="57"/>
      <c r="ALH44" s="57"/>
      <c r="ALI44" s="57"/>
      <c r="ALJ44" s="57"/>
      <c r="ALK44" s="56"/>
      <c r="ALL44" s="57"/>
      <c r="ALM44" s="57"/>
      <c r="ALN44" s="56"/>
      <c r="ALO44" s="57"/>
      <c r="ALP44" s="58"/>
      <c r="ALQ44" s="56"/>
      <c r="ALR44" s="57"/>
      <c r="ALS44" s="57"/>
      <c r="ALT44" s="57"/>
      <c r="ALU44" s="56"/>
      <c r="ALV44" s="57"/>
      <c r="ALW44" s="57"/>
      <c r="ALX44" s="56"/>
      <c r="ALY44" s="57"/>
      <c r="ALZ44" s="58"/>
      <c r="AMA44" s="56"/>
      <c r="AMB44" s="57"/>
      <c r="AMC44" s="57"/>
      <c r="AMD44" s="57"/>
      <c r="AME44" s="56"/>
      <c r="AMF44" s="57"/>
      <c r="AMG44" s="57"/>
      <c r="AMH44" s="57"/>
      <c r="AMI44" s="57"/>
      <c r="AMJ44" s="57"/>
      <c r="AMK44" s="56"/>
      <c r="AML44" s="57"/>
      <c r="AMM44" s="57"/>
      <c r="AMN44" s="56"/>
      <c r="AMO44" s="57"/>
      <c r="AMP44" s="58"/>
      <c r="AMQ44" s="56"/>
      <c r="AMR44" s="57"/>
      <c r="AMS44" s="57"/>
      <c r="AMT44" s="57"/>
      <c r="AMU44" s="56"/>
      <c r="AMV44" s="57"/>
      <c r="AMW44" s="57"/>
      <c r="AMX44" s="56"/>
      <c r="AMY44" s="57"/>
      <c r="AMZ44" s="58"/>
      <c r="ANA44" s="56"/>
      <c r="ANB44" s="57"/>
      <c r="ANC44" s="57"/>
      <c r="AND44" s="57"/>
      <c r="ANE44" s="56"/>
      <c r="ANF44" s="57"/>
      <c r="ANG44" s="57"/>
      <c r="ANH44" s="57"/>
      <c r="ANI44" s="57"/>
      <c r="ANJ44" s="57"/>
      <c r="ANK44" s="56"/>
      <c r="ANL44" s="57"/>
      <c r="ANM44" s="57"/>
      <c r="ANN44" s="56"/>
      <c r="ANO44" s="57"/>
      <c r="ANP44" s="58"/>
      <c r="ANQ44" s="56"/>
      <c r="ANR44" s="57"/>
      <c r="ANS44" s="57"/>
      <c r="ANT44" s="57"/>
      <c r="ANU44" s="56"/>
      <c r="ANV44" s="57"/>
      <c r="ANW44" s="57"/>
      <c r="ANX44" s="56"/>
      <c r="ANY44" s="57"/>
      <c r="ANZ44" s="58"/>
      <c r="AOA44" s="56"/>
      <c r="AOB44" s="57"/>
      <c r="AOC44" s="57"/>
      <c r="AOD44" s="57"/>
      <c r="AOE44" s="56"/>
      <c r="AOF44" s="57"/>
      <c r="AOG44" s="57"/>
      <c r="AOH44" s="57"/>
      <c r="AOI44" s="57"/>
      <c r="AOJ44" s="57"/>
      <c r="AOK44" s="56"/>
      <c r="AOL44" s="57"/>
      <c r="AOM44" s="57"/>
      <c r="AON44" s="56"/>
      <c r="AOO44" s="57"/>
      <c r="AOP44" s="58"/>
      <c r="AOQ44" s="56"/>
      <c r="AOR44" s="57"/>
      <c r="AOS44" s="57"/>
      <c r="AOT44" s="57"/>
      <c r="AOU44" s="56"/>
      <c r="AOV44" s="57"/>
      <c r="AOW44" s="57"/>
      <c r="AOX44" s="56"/>
      <c r="AOY44" s="57"/>
      <c r="AOZ44" s="58"/>
      <c r="APA44" s="56"/>
      <c r="APB44" s="57"/>
      <c r="APC44" s="57"/>
      <c r="APD44" s="57"/>
      <c r="APE44" s="56"/>
      <c r="APF44" s="57"/>
      <c r="APG44" s="57"/>
      <c r="APH44" s="57"/>
      <c r="API44" s="57"/>
      <c r="APJ44" s="57"/>
      <c r="APK44" s="56"/>
      <c r="APL44" s="57"/>
      <c r="APM44" s="57"/>
      <c r="APN44" s="56"/>
      <c r="APO44" s="57"/>
      <c r="APP44" s="58"/>
      <c r="APQ44" s="56"/>
      <c r="APR44" s="57"/>
      <c r="APS44" s="57"/>
      <c r="APT44" s="57"/>
      <c r="APU44" s="56"/>
      <c r="APV44" s="57"/>
      <c r="APW44" s="57"/>
      <c r="APX44" s="56"/>
      <c r="APY44" s="57"/>
      <c r="APZ44" s="58"/>
      <c r="AQA44" s="56"/>
      <c r="AQB44" s="57"/>
      <c r="AQC44" s="57"/>
      <c r="AQD44" s="57"/>
      <c r="AQE44" s="56"/>
      <c r="AQF44" s="57"/>
      <c r="AQG44" s="57"/>
      <c r="AQH44" s="57"/>
      <c r="AQI44" s="57"/>
      <c r="AQJ44" s="57"/>
      <c r="AQK44" s="56"/>
      <c r="AQL44" s="57"/>
      <c r="AQM44" s="57"/>
      <c r="AQN44" s="56"/>
      <c r="AQO44" s="57"/>
      <c r="AQP44" s="58"/>
      <c r="AQQ44" s="56"/>
      <c r="AQR44" s="57"/>
      <c r="AQS44" s="57"/>
      <c r="AQT44" s="57"/>
      <c r="AQU44" s="56"/>
      <c r="AQV44" s="57"/>
      <c r="AQW44" s="57"/>
      <c r="AQX44" s="56"/>
      <c r="AQY44" s="57"/>
      <c r="AQZ44" s="58"/>
      <c r="ARA44" s="56"/>
      <c r="ARB44" s="57"/>
      <c r="ARC44" s="57"/>
      <c r="ARD44" s="57"/>
      <c r="ARE44" s="56"/>
      <c r="ARF44" s="57"/>
      <c r="ARG44" s="57"/>
      <c r="ARH44" s="57"/>
      <c r="ARI44" s="57"/>
      <c r="ARJ44" s="57"/>
      <c r="ARK44" s="56"/>
      <c r="ARL44" s="57"/>
      <c r="ARM44" s="57"/>
      <c r="ARN44" s="56"/>
      <c r="ARO44" s="57"/>
      <c r="ARP44" s="58"/>
      <c r="ARQ44" s="56"/>
      <c r="ARR44" s="57"/>
      <c r="ARS44" s="57"/>
      <c r="ART44" s="57"/>
      <c r="ARU44" s="56"/>
      <c r="ARV44" s="57"/>
      <c r="ARW44" s="57"/>
      <c r="ARX44" s="56"/>
      <c r="ARY44" s="57"/>
      <c r="ARZ44" s="58"/>
      <c r="ASA44" s="56"/>
      <c r="ASB44" s="57"/>
      <c r="ASC44" s="57"/>
      <c r="ASD44" s="57"/>
      <c r="ASE44" s="56"/>
      <c r="ASF44" s="57"/>
      <c r="ASG44" s="57"/>
      <c r="ASH44" s="57"/>
      <c r="ASI44" s="57"/>
      <c r="ASJ44" s="57"/>
      <c r="ASK44" s="56"/>
      <c r="ASL44" s="57"/>
      <c r="ASM44" s="57"/>
      <c r="ASN44" s="56"/>
      <c r="ASO44" s="57"/>
      <c r="ASP44" s="58"/>
      <c r="ASQ44" s="56"/>
      <c r="ASR44" s="57"/>
      <c r="ASS44" s="57"/>
      <c r="AST44" s="57"/>
      <c r="ASU44" s="56"/>
      <c r="ASV44" s="57"/>
      <c r="ASW44" s="57"/>
      <c r="ASX44" s="56"/>
      <c r="ASY44" s="57"/>
      <c r="ASZ44" s="58"/>
      <c r="ATA44" s="56"/>
      <c r="ATB44" s="57"/>
      <c r="ATC44" s="57"/>
      <c r="ATD44" s="57"/>
      <c r="ATE44" s="56"/>
      <c r="ATF44" s="57"/>
      <c r="ATG44" s="57"/>
      <c r="ATH44" s="57"/>
      <c r="ATI44" s="57"/>
      <c r="ATJ44" s="57"/>
      <c r="ATK44" s="56"/>
      <c r="ATL44" s="57"/>
      <c r="ATM44" s="57"/>
      <c r="ATN44" s="56"/>
      <c r="ATO44" s="57"/>
      <c r="ATP44" s="58"/>
      <c r="ATQ44" s="56"/>
      <c r="ATR44" s="57"/>
      <c r="ATS44" s="57"/>
      <c r="ATT44" s="57"/>
      <c r="ATU44" s="56"/>
      <c r="ATV44" s="57"/>
      <c r="ATW44" s="57"/>
      <c r="ATX44" s="56"/>
      <c r="ATY44" s="57"/>
      <c r="ATZ44" s="58"/>
      <c r="AUA44" s="56"/>
      <c r="AUB44" s="57"/>
      <c r="AUC44" s="57"/>
      <c r="AUD44" s="57"/>
      <c r="AUE44" s="56"/>
      <c r="AUF44" s="57"/>
      <c r="AUG44" s="57"/>
      <c r="AUH44" s="57"/>
      <c r="AUI44" s="57"/>
      <c r="AUJ44" s="57"/>
      <c r="AUK44" s="56"/>
      <c r="AUL44" s="57"/>
      <c r="AUM44" s="57"/>
      <c r="AUN44" s="56"/>
      <c r="AUO44" s="57"/>
      <c r="AUP44" s="58"/>
      <c r="AUQ44" s="56"/>
      <c r="AUR44" s="57"/>
      <c r="AUS44" s="57"/>
      <c r="AUT44" s="57"/>
      <c r="AUU44" s="56"/>
      <c r="AUV44" s="57"/>
      <c r="AUW44" s="57"/>
      <c r="AUX44" s="56"/>
      <c r="AUY44" s="57"/>
      <c r="AUZ44" s="58"/>
      <c r="AVA44" s="56"/>
      <c r="AVB44" s="57"/>
      <c r="AVC44" s="57"/>
      <c r="AVD44" s="57"/>
      <c r="AVE44" s="56"/>
      <c r="AVF44" s="57"/>
      <c r="AVG44" s="57"/>
      <c r="AVH44" s="57"/>
      <c r="AVI44" s="57"/>
      <c r="AVJ44" s="57"/>
      <c r="AVK44" s="56"/>
      <c r="AVL44" s="57"/>
      <c r="AVM44" s="57"/>
      <c r="AVN44" s="56"/>
      <c r="AVO44" s="57"/>
      <c r="AVP44" s="58"/>
      <c r="AVQ44" s="56"/>
      <c r="AVR44" s="57"/>
      <c r="AVS44" s="57"/>
      <c r="AVT44" s="57"/>
      <c r="AVU44" s="56"/>
      <c r="AVV44" s="57"/>
      <c r="AVW44" s="57"/>
      <c r="AVX44" s="56"/>
      <c r="AVY44" s="57"/>
      <c r="AVZ44" s="58"/>
      <c r="AWA44" s="56"/>
      <c r="AWB44" s="57"/>
      <c r="AWC44" s="57"/>
      <c r="AWD44" s="57"/>
      <c r="AWE44" s="56"/>
      <c r="AWF44" s="57"/>
      <c r="AWG44" s="57"/>
      <c r="AWH44" s="57"/>
      <c r="AWI44" s="57"/>
      <c r="AWJ44" s="57"/>
      <c r="AWK44" s="56"/>
      <c r="AWL44" s="57"/>
      <c r="AWM44" s="57"/>
      <c r="AWN44" s="56"/>
      <c r="AWO44" s="57"/>
      <c r="AWP44" s="58"/>
      <c r="AWQ44" s="56"/>
      <c r="AWR44" s="57"/>
      <c r="AWS44" s="57"/>
      <c r="AWT44" s="57"/>
      <c r="AWU44" s="56"/>
      <c r="AWV44" s="57"/>
      <c r="AWW44" s="57"/>
      <c r="AWX44" s="56"/>
      <c r="AWY44" s="57"/>
      <c r="AWZ44" s="58"/>
      <c r="AXA44" s="56"/>
      <c r="AXB44" s="57"/>
      <c r="AXC44" s="57"/>
      <c r="AXD44" s="57"/>
      <c r="AXE44" s="56"/>
      <c r="AXF44" s="57"/>
      <c r="AXG44" s="57"/>
      <c r="AXH44" s="57"/>
      <c r="AXI44" s="57"/>
      <c r="AXJ44" s="57"/>
      <c r="AXK44" s="56"/>
      <c r="AXL44" s="57"/>
      <c r="AXM44" s="57"/>
      <c r="AXN44" s="56"/>
      <c r="AXO44" s="57"/>
      <c r="AXP44" s="58"/>
      <c r="AXQ44" s="56"/>
      <c r="AXR44" s="57"/>
      <c r="AXS44" s="57"/>
      <c r="AXT44" s="57"/>
      <c r="AXU44" s="56"/>
      <c r="AXV44" s="57"/>
      <c r="AXW44" s="57"/>
      <c r="AXX44" s="56"/>
      <c r="AXY44" s="57"/>
      <c r="AXZ44" s="58"/>
      <c r="AYA44" s="56"/>
      <c r="AYB44" s="57"/>
      <c r="AYC44" s="57"/>
      <c r="AYD44" s="57"/>
      <c r="AYE44" s="56"/>
      <c r="AYF44" s="57"/>
      <c r="AYG44" s="57"/>
      <c r="AYH44" s="57"/>
      <c r="AYI44" s="57"/>
      <c r="AYJ44" s="57"/>
      <c r="AYK44" s="56"/>
      <c r="AYL44" s="57"/>
      <c r="AYM44" s="57"/>
      <c r="AYN44" s="56"/>
      <c r="AYO44" s="57"/>
      <c r="AYP44" s="58"/>
      <c r="AYQ44" s="56"/>
      <c r="AYR44" s="57"/>
      <c r="AYS44" s="57"/>
      <c r="AYT44" s="57"/>
      <c r="AYU44" s="56"/>
      <c r="AYV44" s="57"/>
      <c r="AYW44" s="57"/>
      <c r="AYX44" s="56"/>
      <c r="AYY44" s="57"/>
      <c r="AYZ44" s="58"/>
      <c r="AZA44" s="56"/>
      <c r="AZB44" s="57"/>
      <c r="AZC44" s="57"/>
      <c r="AZD44" s="57"/>
      <c r="AZE44" s="56"/>
      <c r="AZF44" s="57"/>
      <c r="AZG44" s="57"/>
      <c r="AZH44" s="57"/>
      <c r="AZI44" s="57"/>
      <c r="AZJ44" s="57"/>
      <c r="AZK44" s="56"/>
      <c r="AZL44" s="57"/>
      <c r="AZM44" s="57"/>
      <c r="AZN44" s="56"/>
      <c r="AZO44" s="57"/>
      <c r="AZP44" s="58"/>
      <c r="AZQ44" s="56"/>
      <c r="AZR44" s="57"/>
      <c r="AZS44" s="57"/>
      <c r="AZT44" s="57"/>
      <c r="AZU44" s="56"/>
      <c r="AZV44" s="57"/>
      <c r="AZW44" s="57"/>
      <c r="AZX44" s="56"/>
      <c r="AZY44" s="57"/>
      <c r="AZZ44" s="58"/>
      <c r="BAA44" s="56"/>
      <c r="BAB44" s="57"/>
      <c r="BAC44" s="57"/>
      <c r="BAD44" s="57"/>
      <c r="BAE44" s="56"/>
      <c r="BAF44" s="57"/>
      <c r="BAG44" s="57"/>
      <c r="BAH44" s="57"/>
      <c r="BAI44" s="57"/>
      <c r="BAJ44" s="57"/>
      <c r="BAK44" s="56"/>
      <c r="BAL44" s="57"/>
      <c r="BAM44" s="57"/>
      <c r="BAN44" s="56"/>
      <c r="BAO44" s="57"/>
      <c r="BAP44" s="58"/>
      <c r="BAQ44" s="56"/>
      <c r="BAR44" s="57"/>
      <c r="BAS44" s="57"/>
      <c r="BAT44" s="57"/>
      <c r="BAU44" s="56"/>
      <c r="BAV44" s="57"/>
      <c r="BAW44" s="57"/>
      <c r="BAX44" s="56"/>
      <c r="BAY44" s="57"/>
      <c r="BAZ44" s="58"/>
      <c r="BBA44" s="56"/>
      <c r="BBB44" s="57"/>
      <c r="BBC44" s="57"/>
      <c r="BBD44" s="57"/>
      <c r="BBE44" s="56"/>
      <c r="BBF44" s="57"/>
      <c r="BBG44" s="57"/>
      <c r="BBH44" s="57"/>
      <c r="BBI44" s="57"/>
      <c r="BBJ44" s="57"/>
      <c r="BBK44" s="56"/>
      <c r="BBL44" s="57"/>
      <c r="BBM44" s="57"/>
      <c r="BBN44" s="56"/>
      <c r="BBO44" s="57"/>
      <c r="BBP44" s="58"/>
      <c r="BBQ44" s="56"/>
      <c r="BBR44" s="57"/>
      <c r="BBS44" s="57"/>
      <c r="BBT44" s="57"/>
      <c r="BBU44" s="56"/>
      <c r="BBV44" s="57"/>
      <c r="BBW44" s="57"/>
      <c r="BBX44" s="56"/>
      <c r="BBY44" s="57"/>
      <c r="BBZ44" s="58"/>
      <c r="BCA44" s="56"/>
      <c r="BCB44" s="57"/>
      <c r="BCC44" s="57"/>
      <c r="BCD44" s="57"/>
      <c r="BCE44" s="56"/>
      <c r="BCF44" s="57"/>
      <c r="BCG44" s="57"/>
      <c r="BCH44" s="57"/>
      <c r="BCI44" s="57"/>
      <c r="BCJ44" s="57"/>
      <c r="BCK44" s="56"/>
      <c r="BCL44" s="57"/>
      <c r="BCM44" s="57"/>
      <c r="BCN44" s="56"/>
      <c r="BCO44" s="57"/>
      <c r="BCP44" s="58"/>
      <c r="BCQ44" s="56"/>
      <c r="BCR44" s="57"/>
      <c r="BCS44" s="57"/>
      <c r="BCT44" s="57"/>
      <c r="BCU44" s="56"/>
      <c r="BCV44" s="57"/>
      <c r="BCW44" s="57"/>
      <c r="BCX44" s="56"/>
      <c r="BCY44" s="57"/>
      <c r="BCZ44" s="58"/>
      <c r="BDA44" s="56"/>
      <c r="BDB44" s="57"/>
      <c r="BDC44" s="57"/>
      <c r="BDD44" s="57"/>
      <c r="BDE44" s="56"/>
      <c r="BDF44" s="57"/>
      <c r="BDG44" s="57"/>
      <c r="BDH44" s="57"/>
      <c r="BDI44" s="57"/>
      <c r="BDJ44" s="57"/>
      <c r="BDK44" s="56"/>
      <c r="BDL44" s="57"/>
      <c r="BDM44" s="57"/>
      <c r="BDN44" s="56"/>
      <c r="BDO44" s="57"/>
      <c r="BDP44" s="58"/>
      <c r="BDQ44" s="56"/>
      <c r="BDR44" s="57"/>
      <c r="BDS44" s="57"/>
      <c r="BDT44" s="57"/>
      <c r="BDU44" s="56"/>
      <c r="BDV44" s="57"/>
      <c r="BDW44" s="57"/>
      <c r="BDX44" s="56"/>
      <c r="BDY44" s="57"/>
      <c r="BDZ44" s="58"/>
      <c r="BEA44" s="56"/>
      <c r="BEB44" s="57"/>
      <c r="BEC44" s="57"/>
      <c r="BED44" s="57"/>
      <c r="BEE44" s="56"/>
      <c r="BEF44" s="57"/>
      <c r="BEG44" s="57"/>
      <c r="BEH44" s="57"/>
      <c r="BEI44" s="57"/>
      <c r="BEJ44" s="57"/>
      <c r="BEK44" s="56"/>
      <c r="BEL44" s="57"/>
      <c r="BEM44" s="57"/>
      <c r="BEN44" s="56"/>
      <c r="BEO44" s="57"/>
      <c r="BEP44" s="58"/>
      <c r="BEQ44" s="56"/>
      <c r="BER44" s="57"/>
      <c r="BES44" s="57"/>
      <c r="BET44" s="57"/>
      <c r="BEU44" s="56"/>
      <c r="BEV44" s="57"/>
      <c r="BEW44" s="57"/>
      <c r="BEX44" s="56"/>
      <c r="BEY44" s="57"/>
      <c r="BEZ44" s="58"/>
      <c r="BFA44" s="56"/>
      <c r="BFB44" s="57"/>
      <c r="BFC44" s="57"/>
      <c r="BFD44" s="57"/>
      <c r="BFE44" s="56"/>
      <c r="BFF44" s="57"/>
      <c r="BFG44" s="57"/>
      <c r="BFH44" s="57"/>
      <c r="BFI44" s="57"/>
      <c r="BFJ44" s="57"/>
      <c r="BFK44" s="56"/>
      <c r="BFL44" s="57"/>
      <c r="BFM44" s="57"/>
      <c r="BFN44" s="56"/>
      <c r="BFO44" s="57"/>
      <c r="BFP44" s="58"/>
      <c r="BFQ44" s="56"/>
      <c r="BFR44" s="57"/>
      <c r="BFS44" s="57"/>
      <c r="BFT44" s="57"/>
      <c r="BFU44" s="56"/>
      <c r="BFV44" s="57"/>
      <c r="BFW44" s="57"/>
      <c r="BFX44" s="56"/>
      <c r="BFY44" s="57"/>
      <c r="BFZ44" s="58"/>
      <c r="BGA44" s="56"/>
      <c r="BGB44" s="57"/>
      <c r="BGC44" s="57"/>
      <c r="BGD44" s="57"/>
      <c r="BGE44" s="56"/>
      <c r="BGF44" s="57"/>
      <c r="BGG44" s="57"/>
      <c r="BGH44" s="57"/>
      <c r="BGI44" s="57"/>
      <c r="BGJ44" s="57"/>
      <c r="BGK44" s="56"/>
      <c r="BGL44" s="57"/>
      <c r="BGM44" s="57"/>
      <c r="BGN44" s="56"/>
      <c r="BGO44" s="57"/>
      <c r="BGP44" s="58"/>
      <c r="BGQ44" s="56"/>
      <c r="BGR44" s="57"/>
      <c r="BGS44" s="57"/>
      <c r="BGT44" s="57"/>
      <c r="BGU44" s="56"/>
      <c r="BGV44" s="57"/>
      <c r="BGW44" s="57"/>
      <c r="BGX44" s="56"/>
      <c r="BGY44" s="57"/>
      <c r="BGZ44" s="58"/>
      <c r="BHA44" s="56"/>
      <c r="BHB44" s="57"/>
      <c r="BHC44" s="57"/>
      <c r="BHD44" s="57"/>
      <c r="BHE44" s="56"/>
      <c r="BHF44" s="57"/>
      <c r="BHG44" s="57"/>
      <c r="BHH44" s="57"/>
      <c r="BHI44" s="57"/>
      <c r="BHJ44" s="57"/>
      <c r="BHK44" s="56"/>
      <c r="BHL44" s="57"/>
      <c r="BHM44" s="57"/>
      <c r="BHN44" s="56"/>
      <c r="BHO44" s="57"/>
      <c r="BHP44" s="58"/>
      <c r="BHQ44" s="56"/>
      <c r="BHR44" s="57"/>
      <c r="BHS44" s="57"/>
      <c r="BHT44" s="57"/>
      <c r="BHU44" s="56"/>
      <c r="BHV44" s="57"/>
      <c r="BHW44" s="57"/>
      <c r="BHX44" s="56"/>
      <c r="BHY44" s="57"/>
      <c r="BHZ44" s="58"/>
      <c r="BIA44" s="56"/>
      <c r="BIB44" s="57"/>
      <c r="BIC44" s="57"/>
      <c r="BID44" s="57"/>
      <c r="BIE44" s="56"/>
      <c r="BIF44" s="57"/>
      <c r="BIG44" s="57"/>
      <c r="BIH44" s="57"/>
      <c r="BII44" s="57"/>
      <c r="BIJ44" s="57"/>
      <c r="BIK44" s="56"/>
      <c r="BIL44" s="57"/>
      <c r="BIM44" s="57"/>
      <c r="BIN44" s="56"/>
      <c r="BIO44" s="57"/>
      <c r="BIP44" s="58"/>
      <c r="BIQ44" s="56"/>
      <c r="BIR44" s="57"/>
      <c r="BIS44" s="57"/>
      <c r="BIT44" s="57"/>
      <c r="BIU44" s="56"/>
      <c r="BIV44" s="57"/>
      <c r="BIW44" s="57"/>
      <c r="BIX44" s="56"/>
      <c r="BIY44" s="57"/>
      <c r="BIZ44" s="58"/>
      <c r="BJA44" s="56"/>
      <c r="BJB44" s="57"/>
      <c r="BJC44" s="57"/>
      <c r="BJD44" s="57"/>
      <c r="BJE44" s="56"/>
      <c r="BJF44" s="57"/>
      <c r="BJG44" s="57"/>
      <c r="BJH44" s="57"/>
      <c r="BJI44" s="57"/>
      <c r="BJJ44" s="57"/>
      <c r="BJK44" s="56"/>
      <c r="BJL44" s="57"/>
      <c r="BJM44" s="57"/>
      <c r="BJN44" s="56"/>
      <c r="BJO44" s="57"/>
      <c r="BJP44" s="58"/>
      <c r="BJQ44" s="56"/>
      <c r="BJR44" s="57"/>
      <c r="BJS44" s="57"/>
      <c r="BJT44" s="57"/>
      <c r="BJU44" s="56"/>
      <c r="BJV44" s="57"/>
      <c r="BJW44" s="57"/>
      <c r="BJX44" s="56"/>
      <c r="BJY44" s="57"/>
      <c r="BJZ44" s="58"/>
      <c r="BKA44" s="56"/>
      <c r="BKB44" s="57"/>
      <c r="BKC44" s="57"/>
      <c r="BKD44" s="57"/>
      <c r="BKE44" s="56"/>
      <c r="BKF44" s="57"/>
      <c r="BKG44" s="57"/>
      <c r="BKH44" s="57"/>
      <c r="BKI44" s="57"/>
      <c r="BKJ44" s="57"/>
      <c r="BKK44" s="56"/>
      <c r="BKL44" s="57"/>
      <c r="BKM44" s="57"/>
      <c r="BKN44" s="56"/>
      <c r="BKO44" s="57"/>
      <c r="BKP44" s="58"/>
      <c r="BKQ44" s="56"/>
      <c r="BKR44" s="57"/>
      <c r="BKS44" s="57"/>
      <c r="BKT44" s="57"/>
      <c r="BKU44" s="56"/>
      <c r="BKV44" s="57"/>
      <c r="BKW44" s="57"/>
      <c r="BKX44" s="56"/>
      <c r="BKY44" s="57"/>
      <c r="BKZ44" s="58"/>
      <c r="BLA44" s="56"/>
      <c r="BLB44" s="57"/>
      <c r="BLC44" s="57"/>
      <c r="BLD44" s="57"/>
      <c r="BLE44" s="56"/>
      <c r="BLF44" s="57"/>
      <c r="BLG44" s="57"/>
      <c r="BLH44" s="57"/>
      <c r="BLI44" s="57"/>
      <c r="BLJ44" s="57"/>
      <c r="BLK44" s="56"/>
      <c r="BLL44" s="57"/>
      <c r="BLM44" s="57"/>
      <c r="BLN44" s="56"/>
      <c r="BLO44" s="57"/>
      <c r="BLP44" s="58"/>
      <c r="BLQ44" s="56"/>
      <c r="BLR44" s="57"/>
      <c r="BLS44" s="57"/>
      <c r="BLT44" s="57"/>
      <c r="BLU44" s="56"/>
      <c r="BLV44" s="57"/>
      <c r="BLW44" s="57"/>
      <c r="BLX44" s="56"/>
      <c r="BLY44" s="57"/>
      <c r="BLZ44" s="58"/>
      <c r="BMA44" s="56"/>
      <c r="BMB44" s="57"/>
      <c r="BMC44" s="57"/>
      <c r="BMD44" s="57"/>
      <c r="BME44" s="56"/>
      <c r="BMF44" s="57"/>
      <c r="BMG44" s="57"/>
      <c r="BMH44" s="57"/>
      <c r="BMI44" s="57"/>
      <c r="BMJ44" s="57"/>
      <c r="BMK44" s="56"/>
      <c r="BML44" s="57"/>
      <c r="BMM44" s="57"/>
      <c r="BMN44" s="56"/>
      <c r="BMO44" s="57"/>
      <c r="BMP44" s="58"/>
      <c r="BMQ44" s="56"/>
      <c r="BMR44" s="57"/>
      <c r="BMS44" s="57"/>
      <c r="BMT44" s="57"/>
      <c r="BMU44" s="56"/>
      <c r="BMV44" s="57"/>
      <c r="BMW44" s="57"/>
      <c r="BMX44" s="56"/>
      <c r="BMY44" s="57"/>
      <c r="BMZ44" s="58"/>
      <c r="BNA44" s="56"/>
      <c r="BNB44" s="57"/>
      <c r="BNC44" s="57"/>
      <c r="BND44" s="57"/>
      <c r="BNE44" s="56"/>
      <c r="BNF44" s="57"/>
      <c r="BNG44" s="57"/>
      <c r="BNH44" s="57"/>
      <c r="BNI44" s="57"/>
      <c r="BNJ44" s="57"/>
      <c r="BNK44" s="56"/>
      <c r="BNL44" s="57"/>
      <c r="BNM44" s="57"/>
      <c r="BNN44" s="56"/>
      <c r="BNO44" s="57"/>
      <c r="BNP44" s="58"/>
      <c r="BNQ44" s="56"/>
      <c r="BNR44" s="57"/>
      <c r="BNS44" s="57"/>
      <c r="BNT44" s="57"/>
      <c r="BNU44" s="56"/>
      <c r="BNV44" s="57"/>
      <c r="BNW44" s="57"/>
      <c r="BNX44" s="56"/>
      <c r="BNY44" s="57"/>
      <c r="BNZ44" s="58"/>
      <c r="BOA44" s="56"/>
      <c r="BOB44" s="57"/>
      <c r="BOC44" s="57"/>
      <c r="BOD44" s="57"/>
      <c r="BOE44" s="56"/>
      <c r="BOF44" s="57"/>
      <c r="BOG44" s="57"/>
      <c r="BOH44" s="57"/>
      <c r="BOI44" s="57"/>
      <c r="BOJ44" s="57"/>
      <c r="BOK44" s="56"/>
      <c r="BOL44" s="57"/>
      <c r="BOM44" s="57"/>
      <c r="BON44" s="56"/>
      <c r="BOO44" s="57"/>
      <c r="BOP44" s="58"/>
      <c r="BOQ44" s="56"/>
      <c r="BOR44" s="57"/>
      <c r="BOS44" s="57"/>
      <c r="BOT44" s="57"/>
      <c r="BOU44" s="56"/>
      <c r="BOV44" s="57"/>
      <c r="BOW44" s="57"/>
      <c r="BOX44" s="56"/>
      <c r="BOY44" s="57"/>
      <c r="BOZ44" s="58"/>
      <c r="BPA44" s="56"/>
      <c r="BPB44" s="57"/>
      <c r="BPC44" s="57"/>
      <c r="BPD44" s="57"/>
      <c r="BPE44" s="56"/>
      <c r="BPF44" s="57"/>
      <c r="BPG44" s="57"/>
      <c r="BPH44" s="57"/>
      <c r="BPI44" s="57"/>
      <c r="BPJ44" s="57"/>
      <c r="BPK44" s="56"/>
      <c r="BPL44" s="57"/>
      <c r="BPM44" s="57"/>
      <c r="BPN44" s="56"/>
      <c r="BPO44" s="57"/>
      <c r="BPP44" s="58"/>
      <c r="BPQ44" s="56"/>
      <c r="BPR44" s="57"/>
      <c r="BPS44" s="57"/>
      <c r="BPT44" s="57"/>
      <c r="BPU44" s="56"/>
      <c r="BPV44" s="57"/>
      <c r="BPW44" s="57"/>
      <c r="BPX44" s="56"/>
      <c r="BPY44" s="57"/>
      <c r="BPZ44" s="58"/>
      <c r="BQA44" s="56"/>
      <c r="BQB44" s="57"/>
      <c r="BQC44" s="57"/>
      <c r="BQD44" s="57"/>
      <c r="BQE44" s="56"/>
      <c r="BQF44" s="57"/>
      <c r="BQG44" s="57"/>
      <c r="BQH44" s="57"/>
      <c r="BQI44" s="57"/>
      <c r="BQJ44" s="57"/>
      <c r="BQK44" s="56"/>
      <c r="BQL44" s="57"/>
      <c r="BQM44" s="57"/>
      <c r="BQN44" s="56"/>
      <c r="BQO44" s="57"/>
      <c r="BQP44" s="58"/>
      <c r="BQQ44" s="56"/>
      <c r="BQR44" s="57"/>
      <c r="BQS44" s="57"/>
      <c r="BQT44" s="57"/>
      <c r="BQU44" s="56"/>
      <c r="BQV44" s="57"/>
      <c r="BQW44" s="57"/>
      <c r="BQX44" s="56"/>
      <c r="BQY44" s="57"/>
      <c r="BQZ44" s="58"/>
      <c r="BRA44" s="56"/>
      <c r="BRB44" s="57"/>
      <c r="BRC44" s="57"/>
      <c r="BRD44" s="57"/>
      <c r="BRE44" s="56"/>
      <c r="BRF44" s="57"/>
      <c r="BRG44" s="57"/>
      <c r="BRH44" s="57"/>
      <c r="BRI44" s="57"/>
      <c r="BRJ44" s="57"/>
      <c r="BRK44" s="56"/>
      <c r="BRL44" s="57"/>
      <c r="BRM44" s="57"/>
      <c r="BRN44" s="56"/>
      <c r="BRO44" s="57"/>
      <c r="BRP44" s="58"/>
      <c r="BRQ44" s="56"/>
      <c r="BRR44" s="57"/>
      <c r="BRS44" s="57"/>
      <c r="BRT44" s="57"/>
      <c r="BRU44" s="56"/>
      <c r="BRV44" s="57"/>
      <c r="BRW44" s="57"/>
      <c r="BRX44" s="56"/>
      <c r="BRY44" s="57"/>
      <c r="BRZ44" s="58"/>
      <c r="BSA44" s="56"/>
      <c r="BSB44" s="57"/>
      <c r="BSC44" s="57"/>
      <c r="BSD44" s="57"/>
      <c r="BSE44" s="56"/>
      <c r="BSF44" s="57"/>
      <c r="BSG44" s="57"/>
      <c r="BSH44" s="57"/>
      <c r="BSI44" s="57"/>
      <c r="BSJ44" s="57"/>
      <c r="BSK44" s="56"/>
      <c r="BSL44" s="57"/>
      <c r="BSM44" s="57"/>
      <c r="BSN44" s="56"/>
      <c r="BSO44" s="57"/>
      <c r="BSP44" s="58"/>
      <c r="BSQ44" s="56"/>
      <c r="BSR44" s="57"/>
      <c r="BSS44" s="57"/>
      <c r="BST44" s="57"/>
      <c r="BSU44" s="56"/>
      <c r="BSV44" s="57"/>
      <c r="BSW44" s="57"/>
      <c r="BSX44" s="56"/>
      <c r="BSY44" s="57"/>
      <c r="BSZ44" s="58"/>
      <c r="BTA44" s="56"/>
      <c r="BTB44" s="57"/>
      <c r="BTC44" s="57"/>
      <c r="BTD44" s="57"/>
      <c r="BTE44" s="56"/>
      <c r="BTF44" s="57"/>
      <c r="BTG44" s="57"/>
      <c r="BTH44" s="57"/>
      <c r="BTI44" s="57"/>
      <c r="BTJ44" s="57"/>
      <c r="BTK44" s="56"/>
      <c r="BTL44" s="57"/>
      <c r="BTM44" s="57"/>
      <c r="BTN44" s="56"/>
      <c r="BTO44" s="57"/>
      <c r="BTP44" s="58"/>
      <c r="BTQ44" s="56"/>
      <c r="BTR44" s="57"/>
      <c r="BTS44" s="57"/>
      <c r="BTT44" s="57"/>
      <c r="BTU44" s="56"/>
      <c r="BTV44" s="57"/>
      <c r="BTW44" s="57"/>
      <c r="BTX44" s="56"/>
      <c r="BTY44" s="57"/>
      <c r="BTZ44" s="58"/>
      <c r="BUA44" s="56"/>
      <c r="BUB44" s="57"/>
      <c r="BUC44" s="57"/>
      <c r="BUD44" s="57"/>
      <c r="BUE44" s="56"/>
      <c r="BUF44" s="57"/>
      <c r="BUG44" s="57"/>
      <c r="BUH44" s="57"/>
      <c r="BUI44" s="57"/>
      <c r="BUJ44" s="57"/>
      <c r="BUK44" s="56"/>
      <c r="BUL44" s="57"/>
      <c r="BUM44" s="57"/>
      <c r="BUN44" s="56"/>
      <c r="BUO44" s="57"/>
      <c r="BUP44" s="58"/>
      <c r="BUQ44" s="56"/>
      <c r="BUR44" s="57"/>
      <c r="BUS44" s="57"/>
      <c r="BUT44" s="57"/>
      <c r="BUU44" s="56"/>
      <c r="BUV44" s="57"/>
      <c r="BUW44" s="57"/>
      <c r="BUX44" s="56"/>
      <c r="BUY44" s="57"/>
      <c r="BUZ44" s="58"/>
      <c r="BVA44" s="56"/>
      <c r="BVB44" s="57"/>
      <c r="BVC44" s="57"/>
      <c r="BVD44" s="57"/>
      <c r="BVE44" s="56"/>
      <c r="BVF44" s="57"/>
      <c r="BVG44" s="57"/>
      <c r="BVH44" s="57"/>
      <c r="BVI44" s="57"/>
      <c r="BVJ44" s="57"/>
      <c r="BVK44" s="56"/>
      <c r="BVL44" s="57"/>
      <c r="BVM44" s="57"/>
      <c r="BVN44" s="56"/>
      <c r="BVO44" s="57"/>
      <c r="BVP44" s="58"/>
      <c r="BVQ44" s="56"/>
      <c r="BVR44" s="57"/>
      <c r="BVS44" s="57"/>
      <c r="BVT44" s="57"/>
      <c r="BVU44" s="56"/>
      <c r="BVV44" s="57"/>
      <c r="BVW44" s="57"/>
      <c r="BVX44" s="56"/>
      <c r="BVY44" s="57"/>
      <c r="BVZ44" s="58"/>
      <c r="BWA44" s="56"/>
      <c r="BWB44" s="57"/>
      <c r="BWC44" s="57"/>
      <c r="BWD44" s="57"/>
      <c r="BWE44" s="56"/>
      <c r="BWF44" s="57"/>
      <c r="BWG44" s="57"/>
      <c r="BWH44" s="57"/>
      <c r="BWI44" s="57"/>
      <c r="BWJ44" s="57"/>
      <c r="BWK44" s="56"/>
      <c r="BWL44" s="57"/>
      <c r="BWM44" s="57"/>
      <c r="BWN44" s="56"/>
      <c r="BWO44" s="57"/>
      <c r="BWP44" s="58"/>
      <c r="BWQ44" s="56"/>
      <c r="BWR44" s="57"/>
      <c r="BWS44" s="57"/>
      <c r="BWT44" s="57"/>
      <c r="BWU44" s="56"/>
      <c r="BWV44" s="57"/>
      <c r="BWW44" s="57"/>
      <c r="BWX44" s="56"/>
      <c r="BWY44" s="57"/>
      <c r="BWZ44" s="58"/>
      <c r="BXA44" s="56"/>
      <c r="BXB44" s="57"/>
      <c r="BXC44" s="57"/>
      <c r="BXD44" s="57"/>
      <c r="BXE44" s="56"/>
      <c r="BXF44" s="57"/>
      <c r="BXG44" s="57"/>
      <c r="BXH44" s="57"/>
      <c r="BXI44" s="57"/>
      <c r="BXJ44" s="57"/>
      <c r="BXK44" s="56"/>
      <c r="BXL44" s="57"/>
      <c r="BXM44" s="57"/>
      <c r="BXN44" s="56"/>
      <c r="BXO44" s="57"/>
      <c r="BXP44" s="58"/>
      <c r="BXQ44" s="56"/>
      <c r="BXR44" s="57"/>
      <c r="BXS44" s="57"/>
      <c r="BXT44" s="57"/>
      <c r="BXU44" s="56"/>
      <c r="BXV44" s="57"/>
      <c r="BXW44" s="57"/>
      <c r="BXX44" s="56"/>
      <c r="BXY44" s="57"/>
      <c r="BXZ44" s="58"/>
      <c r="BYA44" s="56"/>
      <c r="BYB44" s="57"/>
      <c r="BYC44" s="57"/>
      <c r="BYD44" s="57"/>
      <c r="BYE44" s="56"/>
      <c r="BYF44" s="57"/>
      <c r="BYG44" s="57"/>
      <c r="BYH44" s="57"/>
      <c r="BYI44" s="57"/>
      <c r="BYJ44" s="57"/>
      <c r="BYK44" s="56"/>
      <c r="BYL44" s="57"/>
      <c r="BYM44" s="57"/>
      <c r="BYN44" s="56"/>
      <c r="BYO44" s="57"/>
      <c r="BYP44" s="58"/>
      <c r="BYQ44" s="56"/>
      <c r="BYR44" s="57"/>
      <c r="BYS44" s="57"/>
      <c r="BYT44" s="57"/>
      <c r="BYU44" s="56"/>
      <c r="BYV44" s="57"/>
      <c r="BYW44" s="57"/>
      <c r="BYX44" s="58"/>
      <c r="BYY44" s="57"/>
      <c r="BYZ44" s="56"/>
      <c r="BZA44" s="57"/>
      <c r="BZB44" s="56"/>
      <c r="BZC44" s="56"/>
      <c r="BZD44" s="56"/>
      <c r="BZE44" s="57"/>
      <c r="BZF44" s="57"/>
      <c r="BZG44" s="57"/>
      <c r="BZH44" s="57"/>
      <c r="BZI44" s="57"/>
      <c r="BZJ44" s="57"/>
      <c r="BZK44" s="57"/>
      <c r="BZL44" s="57"/>
      <c r="BZM44" s="57"/>
      <c r="BZN44" s="57"/>
      <c r="BZO44" s="57"/>
      <c r="BZP44" s="57"/>
      <c r="BZQ44" s="57"/>
      <c r="BZR44" s="57"/>
      <c r="BZS44" s="57"/>
      <c r="BZT44" s="57"/>
      <c r="BZU44" s="57"/>
      <c r="BZV44" s="57"/>
      <c r="BZW44" s="57"/>
      <c r="BZX44" s="57"/>
      <c r="BZY44" s="57"/>
      <c r="BZZ44" s="57"/>
      <c r="CAA44" s="57"/>
      <c r="CAB44" s="57"/>
      <c r="CAC44" s="57"/>
      <c r="CAD44" s="57"/>
      <c r="CAE44" s="57"/>
      <c r="CAF44" s="57"/>
      <c r="CAG44" s="57"/>
      <c r="CAH44" s="57"/>
      <c r="CAI44" s="57"/>
      <c r="CAJ44" s="57"/>
      <c r="CAK44" s="57"/>
      <c r="CAL44" s="57"/>
      <c r="CAM44" s="57"/>
      <c r="CAN44" s="57"/>
      <c r="CAO44" s="57"/>
      <c r="CAP44" s="58"/>
      <c r="CAQ44" s="56"/>
      <c r="CAR44" s="57"/>
      <c r="CAS44" s="57"/>
      <c r="CAT44" s="57"/>
      <c r="CAU44" s="57"/>
      <c r="CAV44" s="57"/>
      <c r="CAW44" s="56"/>
      <c r="CAX44" s="57"/>
      <c r="CAY44" s="57"/>
      <c r="CAZ44" s="56"/>
      <c r="CBA44" s="57"/>
      <c r="CBB44" s="58"/>
      <c r="CBC44" s="56"/>
      <c r="CBD44" s="57"/>
      <c r="CBE44" s="57"/>
      <c r="CBF44" s="57"/>
      <c r="CBG44" s="56"/>
      <c r="CBH44" s="57"/>
      <c r="CBI44" s="57"/>
      <c r="CBJ44" s="56"/>
      <c r="CBK44" s="57"/>
      <c r="CBL44" s="58"/>
      <c r="CBM44" s="56"/>
      <c r="CBN44" s="57"/>
      <c r="CBO44" s="57"/>
      <c r="CBP44" s="57"/>
      <c r="CBQ44" s="56"/>
      <c r="CBR44" s="57"/>
      <c r="CBS44" s="57"/>
      <c r="CBT44" s="56"/>
      <c r="CBU44" s="57"/>
      <c r="CBV44" s="58"/>
      <c r="CBW44" s="56"/>
      <c r="CBX44" s="57"/>
      <c r="CBY44" s="57"/>
      <c r="CBZ44" s="57"/>
      <c r="CCA44" s="56"/>
      <c r="CCB44" s="57"/>
      <c r="CCC44" s="57"/>
      <c r="CCD44" s="56"/>
      <c r="CCE44" s="57"/>
      <c r="CCF44" s="58"/>
      <c r="CCG44" s="56"/>
      <c r="CCH44" s="58"/>
      <c r="CCI44" s="57"/>
      <c r="CCJ44" s="56"/>
      <c r="CCK44" s="57"/>
      <c r="CCL44" s="56"/>
      <c r="CCM44" s="56"/>
      <c r="CCN44" s="56"/>
      <c r="CCO44" s="57"/>
      <c r="CCP44" s="57"/>
      <c r="CCQ44" s="57"/>
      <c r="CCR44" s="57"/>
      <c r="CCS44" s="57"/>
      <c r="CCT44" s="57"/>
      <c r="CCU44" s="57"/>
      <c r="CCV44" s="57"/>
      <c r="CCW44" s="57"/>
      <c r="CCX44" s="57"/>
      <c r="CCY44" s="57"/>
      <c r="CCZ44" s="57"/>
      <c r="CDA44" s="57"/>
      <c r="CDB44" s="57"/>
      <c r="CDC44" s="57"/>
      <c r="CDD44" s="57"/>
      <c r="CDE44" s="57"/>
      <c r="CDF44" s="57"/>
      <c r="CDG44" s="57"/>
      <c r="CDH44" s="57"/>
      <c r="CDI44" s="57"/>
      <c r="CDJ44" s="57"/>
      <c r="CDK44" s="57"/>
      <c r="CDL44" s="57"/>
      <c r="CDM44" s="57"/>
      <c r="CDN44" s="57"/>
      <c r="CDO44" s="57"/>
      <c r="CDP44" s="57"/>
      <c r="CDQ44" s="57"/>
      <c r="CDR44" s="57"/>
      <c r="CDS44" s="57"/>
      <c r="CDT44" s="57"/>
      <c r="CDU44" s="57"/>
      <c r="CDV44" s="57"/>
      <c r="CDW44" s="57"/>
      <c r="CDX44" s="57"/>
      <c r="CDY44" s="57"/>
      <c r="CDZ44" s="58"/>
      <c r="CEA44" s="56"/>
      <c r="CEB44" s="57"/>
      <c r="CEC44" s="57"/>
      <c r="CED44" s="57"/>
      <c r="CEE44" s="57"/>
      <c r="CEF44" s="57"/>
      <c r="CEG44" s="56"/>
      <c r="CEH44" s="57"/>
      <c r="CEI44" s="57"/>
      <c r="CEJ44" s="56"/>
      <c r="CEK44" s="57"/>
      <c r="CEL44" s="58"/>
      <c r="CEM44" s="56"/>
      <c r="CEN44" s="57"/>
      <c r="CEO44" s="57"/>
      <c r="CEP44" s="57"/>
      <c r="CEQ44" s="56"/>
      <c r="CER44" s="57"/>
      <c r="CES44" s="57"/>
      <c r="CET44" s="56"/>
      <c r="CEU44" s="57"/>
      <c r="CEV44" s="58"/>
      <c r="CEW44" s="56"/>
      <c r="CEX44" s="57"/>
      <c r="CEY44" s="57"/>
      <c r="CEZ44" s="57"/>
      <c r="CFA44" s="56"/>
      <c r="CFB44" s="57"/>
      <c r="CFC44" s="57"/>
      <c r="CFD44" s="56"/>
      <c r="CFE44" s="57"/>
      <c r="CFF44" s="58"/>
      <c r="CFG44" s="56"/>
      <c r="CFH44" s="57"/>
      <c r="CFI44" s="57"/>
      <c r="CFJ44" s="57"/>
      <c r="CFK44" s="56"/>
      <c r="CFL44" s="57"/>
      <c r="CFM44" s="57"/>
      <c r="CFN44" s="56"/>
      <c r="CFO44" s="57"/>
      <c r="CFP44" s="58"/>
      <c r="CFQ44" s="56"/>
      <c r="CFR44" s="58"/>
      <c r="CFS44" s="57"/>
      <c r="CFT44" s="56"/>
      <c r="CFU44" s="57"/>
      <c r="CFV44" s="56"/>
      <c r="CFW44" s="56"/>
      <c r="CFX44" s="56"/>
      <c r="CFY44" s="57"/>
      <c r="CFZ44" s="57"/>
      <c r="CGA44" s="57"/>
      <c r="CGB44" s="57"/>
      <c r="CGC44" s="57"/>
      <c r="CGD44" s="57"/>
      <c r="CGE44" s="57"/>
      <c r="CGF44" s="57"/>
      <c r="CGG44" s="57"/>
      <c r="CGH44" s="57"/>
      <c r="CGI44" s="57"/>
      <c r="CGJ44" s="57"/>
      <c r="CGK44" s="57"/>
      <c r="CGL44" s="57"/>
      <c r="CGM44" s="57"/>
      <c r="CGN44" s="57"/>
      <c r="CGO44" s="57"/>
      <c r="CGP44" s="57"/>
      <c r="CGQ44" s="57"/>
      <c r="CGR44" s="57"/>
      <c r="CGS44" s="57"/>
      <c r="CGT44" s="57"/>
      <c r="CGU44" s="57"/>
      <c r="CGV44" s="57"/>
      <c r="CGW44" s="57"/>
      <c r="CGX44" s="57"/>
      <c r="CGY44" s="57"/>
      <c r="CGZ44" s="57"/>
      <c r="CHA44" s="57"/>
      <c r="CHB44" s="57"/>
      <c r="CHC44" s="57"/>
      <c r="CHD44" s="57"/>
      <c r="CHE44" s="57"/>
      <c r="CHF44" s="57"/>
      <c r="CHG44" s="57"/>
      <c r="CHH44" s="57"/>
      <c r="CHI44" s="57"/>
      <c r="CHJ44" s="58"/>
      <c r="CHK44" s="56"/>
      <c r="CHL44" s="57"/>
      <c r="CHM44" s="57"/>
      <c r="CHN44" s="57"/>
      <c r="CHO44" s="57"/>
      <c r="CHP44" s="57"/>
      <c r="CHQ44" s="56"/>
      <c r="CHR44" s="57"/>
      <c r="CHS44" s="57"/>
      <c r="CHT44" s="56"/>
      <c r="CHU44" s="57"/>
      <c r="CHV44" s="58"/>
      <c r="CHW44" s="56"/>
      <c r="CHX44" s="57"/>
      <c r="CHY44" s="57"/>
      <c r="CHZ44" s="57"/>
      <c r="CIA44" s="56"/>
      <c r="CIB44" s="57"/>
      <c r="CIC44" s="57"/>
      <c r="CID44" s="56"/>
      <c r="CIE44" s="57"/>
      <c r="CIF44" s="58"/>
      <c r="CIG44" s="56"/>
      <c r="CIH44" s="57"/>
      <c r="CII44" s="57"/>
      <c r="CIJ44" s="57"/>
      <c r="CIK44" s="56"/>
      <c r="CIL44" s="57"/>
      <c r="CIM44" s="57"/>
      <c r="CIN44" s="56"/>
      <c r="CIO44" s="57"/>
      <c r="CIP44" s="58"/>
      <c r="CIQ44" s="56"/>
      <c r="CIR44" s="57"/>
      <c r="CIS44" s="57"/>
      <c r="CIT44" s="57"/>
      <c r="CIU44" s="56"/>
      <c r="CIV44" s="57"/>
      <c r="CIW44" s="57"/>
      <c r="CIX44" s="56"/>
      <c r="CIY44" s="57"/>
      <c r="CIZ44" s="58"/>
      <c r="CJA44" s="56"/>
      <c r="CJB44" s="58"/>
      <c r="CJC44" s="57"/>
      <c r="CJD44" s="56"/>
      <c r="CJE44" s="57"/>
      <c r="CJF44" s="56"/>
      <c r="CJG44" s="56"/>
      <c r="CJH44" s="56"/>
      <c r="CJI44" s="57"/>
      <c r="CJJ44" s="57"/>
      <c r="CJK44" s="57"/>
      <c r="CJL44" s="57"/>
      <c r="CJM44" s="57"/>
      <c r="CJN44" s="57"/>
      <c r="CJO44" s="57"/>
      <c r="CJP44" s="57"/>
      <c r="CJQ44" s="57"/>
      <c r="CJR44" s="57"/>
      <c r="CJS44" s="57"/>
      <c r="CJT44" s="57"/>
      <c r="CJU44" s="57"/>
      <c r="CJV44" s="57"/>
      <c r="CJW44" s="57"/>
      <c r="CJX44" s="57"/>
      <c r="CJY44" s="57"/>
      <c r="CJZ44" s="57"/>
      <c r="CKA44" s="57"/>
      <c r="CKB44" s="57"/>
      <c r="CKC44" s="57"/>
      <c r="CKD44" s="57"/>
      <c r="CKE44" s="57"/>
      <c r="CKF44" s="57"/>
      <c r="CKG44" s="57"/>
      <c r="CKH44" s="57"/>
      <c r="CKI44" s="57"/>
      <c r="CKJ44" s="57"/>
      <c r="CKK44" s="57"/>
      <c r="CKL44" s="57"/>
      <c r="CKM44" s="57"/>
      <c r="CKN44" s="57"/>
      <c r="CKO44" s="57"/>
      <c r="CKP44" s="57"/>
      <c r="CKQ44" s="57"/>
      <c r="CKR44" s="57"/>
      <c r="CKS44" s="57"/>
      <c r="CKT44" s="58"/>
      <c r="CKU44" s="56"/>
      <c r="CKV44" s="57"/>
      <c r="CKW44" s="57"/>
      <c r="CKX44" s="57"/>
      <c r="CKY44" s="57"/>
      <c r="CKZ44" s="57"/>
      <c r="CLA44" s="56"/>
      <c r="CLB44" s="57"/>
      <c r="CLC44" s="57"/>
      <c r="CLD44" s="56"/>
      <c r="CLE44" s="57"/>
      <c r="CLF44" s="58"/>
      <c r="CLG44" s="56"/>
      <c r="CLH44" s="57"/>
      <c r="CLI44" s="57"/>
      <c r="CLJ44" s="57"/>
      <c r="CLK44" s="56"/>
      <c r="CLL44" s="57"/>
      <c r="CLM44" s="57"/>
      <c r="CLN44" s="56"/>
      <c r="CLO44" s="57"/>
      <c r="CLP44" s="58"/>
      <c r="CLQ44" s="56"/>
      <c r="CLR44" s="57"/>
      <c r="CLS44" s="57"/>
      <c r="CLT44" s="57"/>
      <c r="CLU44" s="56"/>
      <c r="CLV44" s="57"/>
      <c r="CLW44" s="57"/>
      <c r="CLX44" s="56"/>
      <c r="CLY44" s="57"/>
      <c r="CLZ44" s="58"/>
      <c r="CMA44" s="56"/>
      <c r="CMB44" s="57"/>
      <c r="CMC44" s="57"/>
      <c r="CMD44" s="57"/>
      <c r="CME44" s="56"/>
      <c r="CMF44" s="57"/>
      <c r="CMG44" s="57"/>
      <c r="CMH44" s="56"/>
      <c r="CMI44" s="57"/>
      <c r="CMJ44" s="58"/>
      <c r="CMK44" s="56"/>
      <c r="CML44" s="58"/>
      <c r="CMM44" s="57"/>
      <c r="CMN44" s="56"/>
      <c r="CMO44" s="57"/>
      <c r="CMP44" s="56"/>
      <c r="CMQ44" s="56"/>
      <c r="CMR44" s="56"/>
      <c r="CMS44" s="57"/>
      <c r="CMT44" s="57"/>
      <c r="CMU44" s="57"/>
      <c r="CMV44" s="57"/>
      <c r="CMW44" s="57"/>
      <c r="CMX44" s="57"/>
      <c r="CMY44" s="57"/>
      <c r="CMZ44" s="57"/>
      <c r="CNA44" s="57"/>
      <c r="CNB44" s="57"/>
      <c r="CNC44" s="57"/>
      <c r="CND44" s="57"/>
      <c r="CNE44" s="57"/>
      <c r="CNF44" s="57"/>
      <c r="CNG44" s="57"/>
      <c r="CNH44" s="57"/>
      <c r="CNI44" s="57"/>
      <c r="CNJ44" s="57"/>
      <c r="CNK44" s="57"/>
      <c r="CNL44" s="57"/>
      <c r="CNM44" s="57"/>
      <c r="CNN44" s="57"/>
      <c r="CNO44" s="57"/>
      <c r="CNP44" s="57"/>
      <c r="CNQ44" s="57"/>
      <c r="CNR44" s="57"/>
      <c r="CNS44" s="57"/>
      <c r="CNT44" s="57"/>
      <c r="CNU44" s="57"/>
      <c r="CNV44" s="57"/>
      <c r="CNW44" s="57"/>
      <c r="CNX44" s="57"/>
      <c r="CNY44" s="57"/>
      <c r="CNZ44" s="57"/>
      <c r="COA44" s="57"/>
      <c r="COB44" s="57"/>
      <c r="COC44" s="57"/>
      <c r="COD44" s="58"/>
      <c r="COE44" s="56"/>
      <c r="COF44" s="57"/>
      <c r="COG44" s="57"/>
      <c r="COH44" s="57"/>
      <c r="COI44" s="57"/>
      <c r="COJ44" s="57"/>
      <c r="COK44" s="56"/>
      <c r="COL44" s="57"/>
      <c r="COM44" s="57"/>
      <c r="CON44" s="56"/>
      <c r="COO44" s="57"/>
      <c r="COP44" s="58"/>
      <c r="COQ44" s="56"/>
      <c r="COR44" s="57"/>
      <c r="COS44" s="57"/>
      <c r="COT44" s="57"/>
      <c r="COU44" s="56"/>
      <c r="COV44" s="57"/>
      <c r="COW44" s="57"/>
      <c r="COX44" s="56"/>
      <c r="COY44" s="57"/>
      <c r="COZ44" s="58"/>
      <c r="CPA44" s="56"/>
      <c r="CPB44" s="57"/>
      <c r="CPC44" s="57"/>
      <c r="CPD44" s="57"/>
      <c r="CPE44" s="56"/>
      <c r="CPF44" s="57"/>
      <c r="CPG44" s="57"/>
      <c r="CPH44" s="56"/>
      <c r="CPI44" s="57"/>
      <c r="CPJ44" s="58"/>
      <c r="CPK44" s="56"/>
      <c r="CPL44" s="57"/>
      <c r="CPM44" s="57"/>
      <c r="CPN44" s="57"/>
      <c r="CPO44" s="56"/>
      <c r="CPP44" s="57"/>
      <c r="CPQ44" s="57"/>
      <c r="CPR44" s="56"/>
      <c r="CPS44" s="57"/>
      <c r="CPT44" s="58"/>
      <c r="CPU44" s="56"/>
      <c r="CPV44" s="58"/>
      <c r="CPW44" s="57"/>
      <c r="CPX44" s="56"/>
      <c r="CPY44" s="57"/>
      <c r="CPZ44" s="56"/>
      <c r="CQA44" s="56"/>
      <c r="CQB44" s="56"/>
      <c r="CQC44" s="57"/>
      <c r="CQD44" s="57"/>
      <c r="CQE44" s="57"/>
      <c r="CQF44" s="57"/>
      <c r="CQG44" s="57"/>
      <c r="CQH44" s="57"/>
      <c r="CQI44" s="57"/>
      <c r="CQJ44" s="57"/>
      <c r="CQK44" s="57"/>
      <c r="CQL44" s="57"/>
      <c r="CQM44" s="57"/>
      <c r="CQN44" s="57"/>
      <c r="CQO44" s="57"/>
      <c r="CQP44" s="57"/>
      <c r="CQQ44" s="57"/>
      <c r="CQR44" s="57"/>
      <c r="CQS44" s="57"/>
      <c r="CQT44" s="57"/>
      <c r="CQU44" s="57"/>
      <c r="CQV44" s="57"/>
      <c r="CQW44" s="57"/>
      <c r="CQX44" s="57"/>
      <c r="CQY44" s="57"/>
      <c r="CQZ44" s="57"/>
      <c r="CRA44" s="57"/>
      <c r="CRB44" s="57"/>
      <c r="CRC44" s="57"/>
      <c r="CRD44" s="57"/>
      <c r="CRE44" s="57"/>
      <c r="CRF44" s="57"/>
      <c r="CRG44" s="57"/>
      <c r="CRH44" s="57"/>
      <c r="CRI44" s="57"/>
      <c r="CRJ44" s="57"/>
      <c r="CRK44" s="57"/>
      <c r="CRL44" s="57"/>
      <c r="CRM44" s="57"/>
      <c r="CRN44" s="58"/>
      <c r="CRO44" s="56"/>
      <c r="CRP44" s="57"/>
      <c r="CRQ44" s="57"/>
      <c r="CRR44" s="57"/>
      <c r="CRS44" s="57"/>
      <c r="CRT44" s="57"/>
      <c r="CRU44" s="56"/>
      <c r="CRV44" s="57"/>
      <c r="CRW44" s="57"/>
      <c r="CRX44" s="56"/>
      <c r="CRY44" s="57"/>
      <c r="CRZ44" s="58"/>
      <c r="CSA44" s="56"/>
      <c r="CSB44" s="57"/>
      <c r="CSC44" s="57"/>
      <c r="CSD44" s="57"/>
      <c r="CSE44" s="56"/>
      <c r="CSF44" s="57"/>
      <c r="CSG44" s="57"/>
      <c r="CSH44" s="56"/>
      <c r="CSI44" s="57"/>
      <c r="CSJ44" s="58"/>
      <c r="CSK44" s="56"/>
      <c r="CSL44" s="57"/>
      <c r="CSM44" s="57"/>
      <c r="CSN44" s="57"/>
      <c r="CSO44" s="56"/>
      <c r="CSP44" s="57"/>
      <c r="CSQ44" s="57"/>
      <c r="CSR44" s="56"/>
      <c r="CSS44" s="57"/>
      <c r="CST44" s="58"/>
      <c r="CSU44" s="56"/>
      <c r="CSV44" s="57"/>
      <c r="CSW44" s="57"/>
      <c r="CSX44" s="57"/>
      <c r="CSY44" s="56"/>
      <c r="CSZ44" s="57"/>
      <c r="CTA44" s="57"/>
      <c r="CTB44" s="56"/>
      <c r="CTC44" s="57"/>
      <c r="CTD44" s="58"/>
      <c r="CTE44" s="56"/>
      <c r="CTF44" s="58"/>
      <c r="CTG44" s="57"/>
      <c r="CTH44" s="56"/>
      <c r="CTI44" s="57"/>
      <c r="CTJ44" s="56"/>
      <c r="CTK44" s="56"/>
      <c r="CTL44" s="56"/>
      <c r="CTM44" s="57"/>
      <c r="CTN44" s="57"/>
      <c r="CTO44" s="57"/>
      <c r="CTP44" s="57"/>
      <c r="CTQ44" s="57"/>
      <c r="CTR44" s="57"/>
      <c r="CTS44" s="57"/>
      <c r="CTT44" s="57"/>
      <c r="CTU44" s="57"/>
      <c r="CTV44" s="57"/>
      <c r="CTW44" s="57"/>
      <c r="CTX44" s="57"/>
      <c r="CTY44" s="57"/>
      <c r="CTZ44" s="57"/>
      <c r="CUA44" s="57"/>
      <c r="CUB44" s="57"/>
      <c r="CUC44" s="57"/>
      <c r="CUD44" s="57"/>
      <c r="CUE44" s="57"/>
      <c r="CUF44" s="57"/>
      <c r="CUG44" s="57"/>
      <c r="CUH44" s="57"/>
      <c r="CUI44" s="57"/>
      <c r="CUJ44" s="57"/>
      <c r="CUK44" s="57"/>
      <c r="CUL44" s="57"/>
      <c r="CUM44" s="57"/>
      <c r="CUN44" s="57"/>
      <c r="CUO44" s="57"/>
      <c r="CUP44" s="57"/>
      <c r="CUQ44" s="57"/>
      <c r="CUR44" s="57"/>
      <c r="CUS44" s="57"/>
      <c r="CUT44" s="57"/>
      <c r="CUU44" s="57"/>
      <c r="CUV44" s="57"/>
      <c r="CUW44" s="57"/>
      <c r="CUX44" s="58"/>
      <c r="CUY44" s="56"/>
      <c r="CUZ44" s="57"/>
      <c r="CVA44" s="57"/>
      <c r="CVB44" s="57"/>
      <c r="CVC44" s="57"/>
      <c r="CVD44" s="57"/>
      <c r="CVE44" s="56"/>
      <c r="CVF44" s="57"/>
      <c r="CVG44" s="57"/>
      <c r="CVH44" s="56"/>
      <c r="CVI44" s="57"/>
      <c r="CVJ44" s="58"/>
      <c r="CVK44" s="56"/>
      <c r="CVL44" s="57"/>
      <c r="CVM44" s="57"/>
      <c r="CVN44" s="57"/>
      <c r="CVO44" s="56"/>
      <c r="CVP44" s="57"/>
      <c r="CVQ44" s="57"/>
      <c r="CVR44" s="56"/>
      <c r="CVS44" s="57"/>
      <c r="CVT44" s="58"/>
      <c r="CVU44" s="56"/>
      <c r="CVV44" s="57"/>
      <c r="CVW44" s="57"/>
      <c r="CVX44" s="57"/>
      <c r="CVY44" s="56"/>
      <c r="CVZ44" s="57"/>
      <c r="CWA44" s="57"/>
      <c r="CWB44" s="56"/>
      <c r="CWC44" s="57"/>
      <c r="CWD44" s="58"/>
      <c r="CWE44" s="56"/>
      <c r="CWF44" s="57"/>
      <c r="CWG44" s="57"/>
      <c r="CWH44" s="57"/>
      <c r="CWI44" s="56"/>
      <c r="CWJ44" s="57"/>
      <c r="CWK44" s="57"/>
      <c r="CWL44" s="56"/>
      <c r="CWM44" s="57"/>
      <c r="CWN44" s="58"/>
      <c r="CWO44" s="56"/>
      <c r="CWP44" s="58"/>
      <c r="CWQ44" s="57"/>
      <c r="CWR44" s="56"/>
      <c r="CWS44" s="57"/>
      <c r="CWT44" s="56"/>
      <c r="CWU44" s="56"/>
      <c r="CWV44" s="56"/>
      <c r="CWW44" s="57"/>
      <c r="CWX44" s="57"/>
      <c r="CWY44" s="57"/>
      <c r="CWZ44" s="57"/>
      <c r="CXA44" s="57"/>
      <c r="CXB44" s="57"/>
      <c r="CXC44" s="57"/>
      <c r="CXD44" s="57"/>
      <c r="CXE44" s="57"/>
      <c r="CXF44" s="57"/>
      <c r="CXG44" s="57"/>
      <c r="CXH44" s="57"/>
      <c r="CXI44" s="57"/>
      <c r="CXJ44" s="57"/>
      <c r="CXK44" s="57"/>
      <c r="CXL44" s="57"/>
      <c r="CXM44" s="57"/>
      <c r="CXN44" s="57"/>
      <c r="CXO44" s="57"/>
      <c r="CXP44" s="57"/>
      <c r="CXQ44" s="57"/>
      <c r="CXR44" s="57"/>
      <c r="CXS44" s="57"/>
      <c r="CXT44" s="57"/>
      <c r="CXU44" s="57"/>
      <c r="CXV44" s="57"/>
      <c r="CXW44" s="57"/>
      <c r="CXX44" s="57"/>
      <c r="CXY44" s="57"/>
      <c r="CXZ44" s="57"/>
      <c r="CYA44" s="57"/>
      <c r="CYB44" s="57"/>
      <c r="CYC44" s="57"/>
      <c r="CYD44" s="57"/>
      <c r="CYE44" s="57"/>
      <c r="CYF44" s="57"/>
      <c r="CYG44" s="57"/>
      <c r="CYH44" s="58"/>
      <c r="CYI44" s="56"/>
      <c r="CYJ44" s="57"/>
      <c r="CYK44" s="57"/>
      <c r="CYL44" s="57"/>
      <c r="CYM44" s="57"/>
      <c r="CYN44" s="57"/>
      <c r="CYO44" s="56"/>
      <c r="CYP44" s="57"/>
      <c r="CYQ44" s="57"/>
      <c r="CYR44" s="56"/>
      <c r="CYS44" s="57"/>
      <c r="CYT44" s="58"/>
      <c r="CYU44" s="56"/>
      <c r="CYV44" s="57"/>
      <c r="CYW44" s="57"/>
      <c r="CYX44" s="57"/>
      <c r="CYY44" s="56"/>
      <c r="CYZ44" s="57"/>
      <c r="CZA44" s="57"/>
      <c r="CZB44" s="56"/>
      <c r="CZC44" s="57"/>
      <c r="CZD44" s="58"/>
      <c r="CZE44" s="56"/>
      <c r="CZF44" s="57"/>
      <c r="CZG44" s="57"/>
      <c r="CZH44" s="57"/>
      <c r="CZI44" s="56"/>
      <c r="CZJ44" s="57"/>
      <c r="CZK44" s="57"/>
      <c r="CZL44" s="56"/>
      <c r="CZM44" s="57"/>
      <c r="CZN44" s="58"/>
      <c r="CZO44" s="56"/>
      <c r="CZP44" s="57"/>
      <c r="CZQ44" s="57"/>
      <c r="CZR44" s="57"/>
      <c r="CZS44" s="56"/>
      <c r="CZT44" s="57"/>
      <c r="CZU44" s="57"/>
      <c r="CZV44" s="56"/>
      <c r="CZW44" s="57"/>
      <c r="CZX44" s="58"/>
      <c r="CZY44" s="56"/>
      <c r="CZZ44" s="58"/>
      <c r="DAA44" s="57"/>
      <c r="DAB44" s="56"/>
      <c r="DAC44" s="57"/>
      <c r="DAD44" s="56"/>
      <c r="DAE44" s="56"/>
      <c r="DAF44" s="56"/>
      <c r="DAG44" s="57"/>
      <c r="DAH44" s="57"/>
      <c r="DAI44" s="57"/>
      <c r="DAJ44" s="57"/>
      <c r="DAK44" s="57"/>
      <c r="DAL44" s="57"/>
      <c r="DAM44" s="57"/>
      <c r="DAN44" s="57"/>
      <c r="DAO44" s="57"/>
      <c r="DAP44" s="57"/>
      <c r="DAQ44" s="57"/>
      <c r="DAR44" s="57"/>
      <c r="DAS44" s="57"/>
      <c r="DAT44" s="57"/>
      <c r="DAU44" s="57"/>
      <c r="DAV44" s="57"/>
      <c r="DAW44" s="57"/>
      <c r="DAX44" s="57"/>
      <c r="DAY44" s="57"/>
      <c r="DAZ44" s="57"/>
      <c r="DBA44" s="57"/>
      <c r="DBB44" s="57"/>
      <c r="DBC44" s="57"/>
      <c r="DBD44" s="57"/>
      <c r="DBE44" s="57"/>
      <c r="DBF44" s="57"/>
      <c r="DBG44" s="57"/>
      <c r="DBH44" s="57"/>
      <c r="DBI44" s="57"/>
      <c r="DBJ44" s="57"/>
      <c r="DBK44" s="57"/>
      <c r="DBL44" s="57"/>
      <c r="DBM44" s="57"/>
      <c r="DBN44" s="57"/>
      <c r="DBO44" s="57"/>
      <c r="DBP44" s="57"/>
      <c r="DBQ44" s="57"/>
      <c r="DBR44" s="58"/>
      <c r="DBS44" s="56"/>
      <c r="DBT44" s="57"/>
      <c r="DBU44" s="57"/>
      <c r="DBV44" s="57"/>
      <c r="DBW44" s="57"/>
      <c r="DBX44" s="57"/>
      <c r="DBY44" s="56"/>
      <c r="DBZ44" s="57"/>
      <c r="DCA44" s="57"/>
      <c r="DCB44" s="56"/>
      <c r="DCC44" s="57"/>
      <c r="DCD44" s="58"/>
      <c r="DCE44" s="56"/>
      <c r="DCF44" s="57"/>
      <c r="DCG44" s="57"/>
      <c r="DCH44" s="57"/>
      <c r="DCI44" s="56"/>
      <c r="DCJ44" s="57"/>
      <c r="DCK44" s="57"/>
      <c r="DCL44" s="56"/>
      <c r="DCM44" s="57"/>
      <c r="DCN44" s="58"/>
      <c r="DCO44" s="56"/>
      <c r="DCP44" s="57"/>
      <c r="DCQ44" s="57"/>
      <c r="DCR44" s="57"/>
      <c r="DCS44" s="56"/>
      <c r="DCT44" s="57"/>
      <c r="DCU44" s="57"/>
      <c r="DCV44" s="56"/>
      <c r="DCW44" s="57"/>
      <c r="DCX44" s="58"/>
      <c r="DCY44" s="56"/>
      <c r="DCZ44" s="57"/>
      <c r="DDA44" s="57"/>
      <c r="DDB44" s="57"/>
      <c r="DDC44" s="56"/>
      <c r="DDD44" s="57"/>
      <c r="DDE44" s="57"/>
      <c r="DDF44" s="56"/>
      <c r="DDG44" s="57"/>
      <c r="DDH44" s="58"/>
      <c r="DDI44" s="56"/>
      <c r="DDJ44" s="58"/>
      <c r="DDK44" s="57"/>
      <c r="DDL44" s="56"/>
      <c r="DDM44" s="57"/>
      <c r="DDN44" s="56"/>
      <c r="DDO44" s="56"/>
      <c r="DDP44" s="56"/>
      <c r="DDQ44" s="57"/>
      <c r="DDR44" s="57"/>
      <c r="DDS44" s="57"/>
      <c r="DDT44" s="57"/>
      <c r="DDU44" s="57"/>
      <c r="DDV44" s="57"/>
      <c r="DDW44" s="57"/>
      <c r="DDX44" s="57"/>
      <c r="DDY44" s="57"/>
      <c r="DDZ44" s="57"/>
      <c r="DEA44" s="57"/>
      <c r="DEB44" s="57"/>
      <c r="DEC44" s="57"/>
      <c r="DED44" s="57"/>
      <c r="DEE44" s="57"/>
      <c r="DEF44" s="57"/>
      <c r="DEG44" s="57"/>
      <c r="DEH44" s="57"/>
      <c r="DEI44" s="57"/>
      <c r="DEJ44" s="57"/>
      <c r="DEK44" s="57"/>
      <c r="DEL44" s="57"/>
      <c r="DEM44" s="57"/>
      <c r="DEN44" s="57"/>
      <c r="DEO44" s="57"/>
      <c r="DEP44" s="57"/>
      <c r="DEQ44" s="57"/>
      <c r="DER44" s="57"/>
      <c r="DES44" s="57"/>
      <c r="DET44" s="57"/>
      <c r="DEU44" s="57"/>
      <c r="DEV44" s="57"/>
      <c r="DEW44" s="57"/>
      <c r="DEX44" s="57"/>
      <c r="DEY44" s="57"/>
      <c r="DEZ44" s="57"/>
      <c r="DFA44" s="57"/>
      <c r="DFB44" s="58"/>
      <c r="DFC44" s="56"/>
      <c r="DFD44" s="57"/>
      <c r="DFE44" s="57"/>
      <c r="DFF44" s="57"/>
      <c r="DFG44" s="57"/>
      <c r="DFH44" s="57"/>
      <c r="DFI44" s="56"/>
      <c r="DFJ44" s="57"/>
      <c r="DFK44" s="57"/>
      <c r="DFL44" s="56"/>
      <c r="DFM44" s="57"/>
      <c r="DFN44" s="58"/>
      <c r="DFO44" s="56"/>
      <c r="DFP44" s="57"/>
      <c r="DFQ44" s="57"/>
      <c r="DFR44" s="57"/>
      <c r="DFS44" s="56"/>
      <c r="DFT44" s="57"/>
      <c r="DFU44" s="57"/>
      <c r="DFV44" s="56"/>
      <c r="DFW44" s="57"/>
      <c r="DFX44" s="58"/>
      <c r="DFY44" s="56"/>
      <c r="DFZ44" s="57"/>
      <c r="DGA44" s="57"/>
      <c r="DGB44" s="57"/>
      <c r="DGC44" s="56"/>
      <c r="DGD44" s="57"/>
      <c r="DGE44" s="57"/>
      <c r="DGF44" s="56"/>
      <c r="DGG44" s="57"/>
      <c r="DGH44" s="58"/>
      <c r="DGI44" s="56"/>
      <c r="DGJ44" s="57"/>
      <c r="DGK44" s="57"/>
      <c r="DGL44" s="57"/>
      <c r="DGM44" s="56"/>
      <c r="DGN44" s="57"/>
      <c r="DGO44" s="57"/>
      <c r="DGP44" s="56"/>
      <c r="DGQ44" s="57"/>
      <c r="DGR44" s="58"/>
      <c r="DGS44" s="56"/>
      <c r="DGT44" s="58"/>
      <c r="DGU44" s="57"/>
      <c r="DGV44" s="56"/>
      <c r="DGW44" s="57"/>
      <c r="DGX44" s="56"/>
      <c r="DGY44" s="56"/>
      <c r="DGZ44" s="56"/>
      <c r="DHA44" s="57"/>
      <c r="DHB44" s="57"/>
      <c r="DHC44" s="57"/>
      <c r="DHD44" s="57"/>
      <c r="DHE44" s="57"/>
      <c r="DHF44" s="57"/>
      <c r="DHG44" s="57"/>
      <c r="DHH44" s="57"/>
      <c r="DHI44" s="57"/>
      <c r="DHJ44" s="57"/>
      <c r="DHK44" s="57"/>
      <c r="DHL44" s="57"/>
      <c r="DHM44" s="57"/>
      <c r="DHN44" s="57"/>
      <c r="DHO44" s="57"/>
      <c r="DHP44" s="57"/>
      <c r="DHQ44" s="57"/>
      <c r="DHR44" s="57"/>
      <c r="DHS44" s="57"/>
      <c r="DHT44" s="57"/>
      <c r="DHU44" s="57"/>
      <c r="DHV44" s="57"/>
      <c r="DHW44" s="57"/>
      <c r="DHX44" s="57"/>
      <c r="DHY44" s="57"/>
      <c r="DHZ44" s="57"/>
      <c r="DIA44" s="57"/>
      <c r="DIB44" s="57"/>
      <c r="DIC44" s="57"/>
      <c r="DID44" s="57"/>
      <c r="DIE44" s="57"/>
      <c r="DIF44" s="57"/>
      <c r="DIG44" s="57"/>
      <c r="DIH44" s="57"/>
      <c r="DII44" s="57"/>
      <c r="DIJ44" s="57"/>
      <c r="DIK44" s="57"/>
      <c r="DIL44" s="58"/>
      <c r="DIM44" s="56"/>
      <c r="DIN44" s="57"/>
      <c r="DIO44" s="57"/>
      <c r="DIP44" s="57"/>
      <c r="DIQ44" s="57"/>
      <c r="DIR44" s="57"/>
      <c r="DIS44" s="56"/>
      <c r="DIT44" s="57"/>
      <c r="DIU44" s="57"/>
      <c r="DIV44" s="56"/>
      <c r="DIW44" s="57"/>
      <c r="DIX44" s="58"/>
      <c r="DIY44" s="56"/>
      <c r="DIZ44" s="57"/>
      <c r="DJA44" s="57"/>
      <c r="DJB44" s="57"/>
      <c r="DJC44" s="56"/>
      <c r="DJD44" s="57"/>
      <c r="DJE44" s="57"/>
      <c r="DJF44" s="56"/>
      <c r="DJG44" s="57"/>
      <c r="DJH44" s="58"/>
      <c r="DJI44" s="56"/>
      <c r="DJJ44" s="57"/>
      <c r="DJK44" s="57"/>
      <c r="DJL44" s="57"/>
      <c r="DJM44" s="56"/>
      <c r="DJN44" s="57"/>
      <c r="DJO44" s="57"/>
      <c r="DJP44" s="56"/>
      <c r="DJQ44" s="57"/>
      <c r="DJR44" s="58"/>
      <c r="DJS44" s="56"/>
      <c r="DJT44" s="57"/>
      <c r="DJU44" s="57"/>
      <c r="DJV44" s="57"/>
      <c r="DJW44" s="56"/>
      <c r="DJX44" s="57"/>
      <c r="DJY44" s="57"/>
      <c r="DJZ44" s="56"/>
      <c r="DKA44" s="57"/>
      <c r="DKB44" s="58"/>
      <c r="DKC44" s="56"/>
      <c r="DKD44" s="58"/>
      <c r="DKE44" s="57"/>
      <c r="DKF44" s="56"/>
      <c r="DKG44" s="57"/>
      <c r="DKH44" s="56"/>
      <c r="DKI44" s="56"/>
      <c r="DKJ44" s="56"/>
      <c r="DKK44" s="57"/>
      <c r="DKL44" s="57"/>
      <c r="DKM44" s="57"/>
      <c r="DKN44" s="57"/>
      <c r="DKO44" s="57"/>
      <c r="DKP44" s="57"/>
      <c r="DKQ44" s="57"/>
      <c r="DKR44" s="57"/>
      <c r="DKS44" s="57"/>
      <c r="DKT44" s="57"/>
      <c r="DKU44" s="57"/>
      <c r="DKV44" s="57"/>
      <c r="DKW44" s="57"/>
      <c r="DKX44" s="57"/>
      <c r="DKY44" s="57"/>
      <c r="DKZ44" s="57"/>
      <c r="DLA44" s="57"/>
      <c r="DLB44" s="57"/>
      <c r="DLC44" s="57"/>
      <c r="DLD44" s="57"/>
      <c r="DLE44" s="57"/>
      <c r="DLF44" s="57"/>
      <c r="DLG44" s="57"/>
      <c r="DLH44" s="57"/>
      <c r="DLI44" s="57"/>
      <c r="DLJ44" s="57"/>
      <c r="DLK44" s="57"/>
      <c r="DLL44" s="57"/>
      <c r="DLM44" s="57"/>
      <c r="DLN44" s="57"/>
      <c r="DLO44" s="57"/>
      <c r="DLP44" s="57"/>
      <c r="DLQ44" s="57"/>
      <c r="DLR44" s="57"/>
      <c r="DLS44" s="57"/>
      <c r="DLT44" s="57"/>
      <c r="DLU44" s="57"/>
      <c r="DLV44" s="58"/>
      <c r="DLW44" s="56"/>
      <c r="DLX44" s="57"/>
      <c r="DLY44" s="57"/>
      <c r="DLZ44" s="57"/>
      <c r="DMA44" s="57"/>
      <c r="DMB44" s="57"/>
      <c r="DMC44" s="56"/>
      <c r="DMD44" s="57"/>
      <c r="DME44" s="57"/>
      <c r="DMF44" s="56"/>
      <c r="DMG44" s="57"/>
      <c r="DMH44" s="58"/>
      <c r="DMI44" s="56"/>
      <c r="DMJ44" s="57"/>
      <c r="DMK44" s="57"/>
      <c r="DML44" s="57"/>
      <c r="DMM44" s="56"/>
      <c r="DMN44" s="57"/>
      <c r="DMO44" s="57"/>
      <c r="DMP44" s="56"/>
      <c r="DMQ44" s="57"/>
      <c r="DMR44" s="58"/>
      <c r="DMS44" s="56"/>
      <c r="DMT44" s="57"/>
      <c r="DMU44" s="57"/>
      <c r="DMV44" s="57"/>
      <c r="DMW44" s="56"/>
      <c r="DMX44" s="57"/>
      <c r="DMY44" s="57"/>
      <c r="DMZ44" s="56"/>
      <c r="DNA44" s="57"/>
      <c r="DNB44" s="58"/>
      <c r="DNC44" s="56"/>
      <c r="DND44" s="57"/>
      <c r="DNE44" s="57"/>
      <c r="DNF44" s="57"/>
      <c r="DNG44" s="56"/>
      <c r="DNH44" s="57"/>
      <c r="DNI44" s="57"/>
      <c r="DNJ44" s="56"/>
      <c r="DNK44" s="57"/>
      <c r="DNL44" s="58"/>
      <c r="DNM44" s="56"/>
      <c r="DNN44" s="58"/>
      <c r="DNO44" s="57"/>
      <c r="DNP44" s="56"/>
      <c r="DNQ44" s="57"/>
      <c r="DNR44" s="56"/>
      <c r="DNS44" s="56"/>
      <c r="DNT44" s="56"/>
      <c r="DNU44" s="57"/>
      <c r="DNV44" s="57"/>
      <c r="DNW44" s="57"/>
      <c r="DNX44" s="57"/>
      <c r="DNY44" s="57"/>
      <c r="DNZ44" s="57"/>
      <c r="DOA44" s="57"/>
      <c r="DOB44" s="57"/>
      <c r="DOC44" s="57"/>
      <c r="DOD44" s="57"/>
      <c r="DOE44" s="57"/>
      <c r="DOF44" s="57"/>
      <c r="DOG44" s="57"/>
      <c r="DOH44" s="57"/>
      <c r="DOI44" s="57"/>
      <c r="DOJ44" s="57"/>
      <c r="DOK44" s="57"/>
      <c r="DOL44" s="57"/>
      <c r="DOM44" s="57"/>
      <c r="DON44" s="57"/>
      <c r="DOO44" s="57"/>
      <c r="DOP44" s="57"/>
      <c r="DOQ44" s="57"/>
      <c r="DOR44" s="57"/>
      <c r="DOS44" s="57"/>
      <c r="DOT44" s="57"/>
      <c r="DOU44" s="57"/>
      <c r="DOV44" s="57"/>
      <c r="DOW44" s="57"/>
      <c r="DOX44" s="57"/>
      <c r="DOY44" s="57"/>
      <c r="DOZ44" s="57"/>
      <c r="DPA44" s="57"/>
      <c r="DPB44" s="57"/>
      <c r="DPC44" s="57"/>
      <c r="DPD44" s="57"/>
      <c r="DPE44" s="57"/>
      <c r="DPF44" s="58"/>
      <c r="DPG44" s="56"/>
      <c r="DPH44" s="57"/>
      <c r="DPI44" s="57"/>
      <c r="DPJ44" s="57"/>
      <c r="DPK44" s="57"/>
      <c r="DPL44" s="57"/>
      <c r="DPM44" s="56"/>
      <c r="DPN44" s="57"/>
      <c r="DPO44" s="57"/>
      <c r="DPP44" s="56"/>
      <c r="DPQ44" s="57"/>
      <c r="DPR44" s="58"/>
      <c r="DPS44" s="56"/>
      <c r="DPT44" s="57"/>
      <c r="DPU44" s="57"/>
      <c r="DPV44" s="57"/>
      <c r="DPW44" s="56"/>
      <c r="DPX44" s="57"/>
      <c r="DPY44" s="57"/>
      <c r="DPZ44" s="56"/>
      <c r="DQA44" s="57"/>
      <c r="DQB44" s="58"/>
      <c r="DQC44" s="56"/>
      <c r="DQD44" s="57"/>
      <c r="DQE44" s="57"/>
      <c r="DQF44" s="57"/>
      <c r="DQG44" s="56"/>
      <c r="DQH44" s="57"/>
      <c r="DQI44" s="57"/>
      <c r="DQJ44" s="56"/>
      <c r="DQK44" s="57"/>
      <c r="DQL44" s="58"/>
      <c r="DQM44" s="56"/>
      <c r="DQN44" s="57"/>
      <c r="DQO44" s="57"/>
      <c r="DQP44" s="57"/>
      <c r="DQQ44" s="56"/>
      <c r="DQR44" s="57"/>
      <c r="DQS44" s="57"/>
      <c r="DQT44" s="56"/>
      <c r="DQU44" s="57"/>
      <c r="DQV44" s="58"/>
      <c r="DQW44" s="56"/>
      <c r="DQX44" s="58"/>
      <c r="DQY44" s="57"/>
      <c r="DQZ44" s="56"/>
      <c r="DRA44" s="57"/>
      <c r="DRB44" s="56"/>
      <c r="DRC44" s="56"/>
      <c r="DRD44" s="56"/>
      <c r="DRE44" s="57"/>
      <c r="DRF44" s="57"/>
      <c r="DRG44" s="57"/>
      <c r="DRH44" s="57"/>
      <c r="DRI44" s="57"/>
      <c r="DRJ44" s="57"/>
      <c r="DRK44" s="57"/>
      <c r="DRL44" s="57"/>
      <c r="DRM44" s="57"/>
      <c r="DRN44" s="57"/>
      <c r="DRO44" s="57"/>
      <c r="DRP44" s="57"/>
      <c r="DRQ44" s="57"/>
      <c r="DRR44" s="57"/>
      <c r="DRS44" s="57"/>
      <c r="DRT44" s="57"/>
      <c r="DRU44" s="57"/>
      <c r="DRV44" s="57"/>
      <c r="DRW44" s="57"/>
      <c r="DRX44" s="57"/>
      <c r="DRY44" s="57"/>
      <c r="DRZ44" s="57"/>
      <c r="DSA44" s="57"/>
      <c r="DSB44" s="57"/>
      <c r="DSC44" s="57"/>
      <c r="DSD44" s="57"/>
      <c r="DSE44" s="57"/>
      <c r="DSF44" s="57"/>
      <c r="DSG44" s="57"/>
      <c r="DSH44" s="57"/>
      <c r="DSI44" s="57"/>
      <c r="DSJ44" s="57"/>
      <c r="DSK44" s="57"/>
      <c r="DSL44" s="57"/>
      <c r="DSM44" s="57"/>
      <c r="DSN44" s="57"/>
      <c r="DSO44" s="57"/>
      <c r="DSP44" s="58"/>
      <c r="DSQ44" s="56"/>
      <c r="DSR44" s="57"/>
      <c r="DSS44" s="57"/>
      <c r="DST44" s="57"/>
      <c r="DSU44" s="57"/>
      <c r="DSV44" s="57"/>
      <c r="DSW44" s="56"/>
      <c r="DSX44" s="57"/>
      <c r="DSY44" s="57"/>
      <c r="DSZ44" s="56"/>
      <c r="DTA44" s="57"/>
      <c r="DTB44" s="58"/>
      <c r="DTC44" s="56"/>
      <c r="DTD44" s="57"/>
      <c r="DTE44" s="57"/>
      <c r="DTF44" s="57"/>
      <c r="DTG44" s="56"/>
      <c r="DTH44" s="57"/>
      <c r="DTI44" s="57"/>
      <c r="DTJ44" s="56"/>
      <c r="DTK44" s="57"/>
      <c r="DTL44" s="58"/>
      <c r="DTM44" s="56"/>
      <c r="DTN44" s="57"/>
      <c r="DTO44" s="57"/>
      <c r="DTP44" s="57"/>
      <c r="DTQ44" s="56"/>
      <c r="DTR44" s="57"/>
      <c r="DTS44" s="57"/>
      <c r="DTT44" s="56"/>
      <c r="DTU44" s="57"/>
      <c r="DTV44" s="58"/>
      <c r="DTW44" s="56"/>
      <c r="DTX44" s="57"/>
      <c r="DTY44" s="57"/>
      <c r="DTZ44" s="57"/>
      <c r="DUA44" s="56"/>
      <c r="DUB44" s="57"/>
      <c r="DUC44" s="57"/>
      <c r="DUD44" s="56"/>
      <c r="DUE44" s="57"/>
      <c r="DUF44" s="58"/>
      <c r="DUG44" s="56"/>
      <c r="DUH44" s="58"/>
      <c r="DUI44" s="57"/>
      <c r="DUJ44" s="56"/>
      <c r="DUK44" s="57"/>
      <c r="DUL44" s="56"/>
      <c r="DUM44" s="56"/>
      <c r="DUN44" s="56"/>
      <c r="DUO44" s="57"/>
      <c r="DUP44" s="57"/>
      <c r="DUQ44" s="57"/>
      <c r="DUR44" s="57"/>
      <c r="DUS44" s="57"/>
      <c r="DUT44" s="57"/>
      <c r="DUU44" s="57"/>
      <c r="DUV44" s="57"/>
      <c r="DUW44" s="57"/>
      <c r="DUX44" s="57"/>
      <c r="DUY44" s="57"/>
      <c r="DUZ44" s="57"/>
      <c r="DVA44" s="57"/>
      <c r="DVB44" s="57"/>
      <c r="DVC44" s="57"/>
      <c r="DVD44" s="57"/>
      <c r="DVE44" s="57"/>
      <c r="DVF44" s="57"/>
      <c r="DVG44" s="57"/>
      <c r="DVH44" s="57"/>
      <c r="DVI44" s="57"/>
      <c r="DVJ44" s="57"/>
      <c r="DVK44" s="57"/>
      <c r="DVL44" s="57"/>
      <c r="DVM44" s="57"/>
      <c r="DVN44" s="57"/>
      <c r="DVO44" s="57"/>
      <c r="DVP44" s="57"/>
      <c r="DVQ44" s="57"/>
      <c r="DVR44" s="57"/>
      <c r="DVS44" s="57"/>
      <c r="DVT44" s="57"/>
      <c r="DVU44" s="57"/>
      <c r="DVV44" s="57"/>
      <c r="DVW44" s="57"/>
      <c r="DVX44" s="57"/>
      <c r="DVY44" s="57"/>
      <c r="DVZ44" s="58"/>
      <c r="DWA44" s="56"/>
      <c r="DWB44" s="57"/>
      <c r="DWC44" s="57"/>
      <c r="DWD44" s="57"/>
      <c r="DWE44" s="57"/>
      <c r="DWF44" s="57"/>
      <c r="DWG44" s="56"/>
      <c r="DWH44" s="57"/>
      <c r="DWI44" s="57"/>
      <c r="DWJ44" s="56"/>
      <c r="DWK44" s="57"/>
      <c r="DWL44" s="58"/>
      <c r="DWM44" s="56"/>
      <c r="DWN44" s="57"/>
      <c r="DWO44" s="57"/>
      <c r="DWP44" s="57"/>
      <c r="DWQ44" s="56"/>
      <c r="DWR44" s="57"/>
      <c r="DWS44" s="57"/>
      <c r="DWT44" s="56"/>
      <c r="DWU44" s="57"/>
      <c r="DWV44" s="58"/>
      <c r="DWW44" s="56"/>
      <c r="DWX44" s="57"/>
      <c r="DWY44" s="57"/>
      <c r="DWZ44" s="57"/>
      <c r="DXA44" s="56"/>
      <c r="DXB44" s="57"/>
      <c r="DXC44" s="57"/>
      <c r="DXD44" s="56"/>
      <c r="DXE44" s="57"/>
      <c r="DXF44" s="58"/>
      <c r="DXG44" s="56"/>
      <c r="DXH44" s="57"/>
      <c r="DXI44" s="57"/>
      <c r="DXJ44" s="57"/>
      <c r="DXK44" s="56"/>
      <c r="DXL44" s="57"/>
      <c r="DXM44" s="57"/>
      <c r="DXN44" s="56"/>
      <c r="DXO44" s="57"/>
      <c r="DXP44" s="58"/>
      <c r="DXQ44" s="56"/>
      <c r="DXR44" s="58"/>
      <c r="DXS44" s="57"/>
      <c r="DXT44" s="56"/>
      <c r="DXU44" s="57"/>
      <c r="DXV44" s="56"/>
      <c r="DXW44" s="56"/>
      <c r="DXX44" s="56"/>
      <c r="DXY44" s="57"/>
      <c r="DXZ44" s="57"/>
      <c r="DYA44" s="57"/>
      <c r="DYB44" s="57"/>
      <c r="DYC44" s="57"/>
      <c r="DYD44" s="57"/>
      <c r="DYE44" s="57"/>
      <c r="DYF44" s="57"/>
      <c r="DYG44" s="57"/>
      <c r="DYH44" s="57"/>
      <c r="DYI44" s="57"/>
      <c r="DYJ44" s="57"/>
      <c r="DYK44" s="57"/>
      <c r="DYL44" s="57"/>
      <c r="DYM44" s="57"/>
      <c r="DYN44" s="57"/>
      <c r="DYO44" s="57"/>
      <c r="DYP44" s="57"/>
      <c r="DYQ44" s="57"/>
      <c r="DYR44" s="57"/>
      <c r="DYS44" s="57"/>
      <c r="DYT44" s="57"/>
      <c r="DYU44" s="57"/>
      <c r="DYV44" s="57"/>
      <c r="DYW44" s="57"/>
      <c r="DYX44" s="57"/>
      <c r="DYY44" s="57"/>
      <c r="DYZ44" s="57"/>
      <c r="DZA44" s="57"/>
      <c r="DZB44" s="57"/>
      <c r="DZC44" s="57"/>
      <c r="DZD44" s="57"/>
      <c r="DZE44" s="57"/>
      <c r="DZF44" s="57"/>
      <c r="DZG44" s="57"/>
      <c r="DZH44" s="57"/>
      <c r="DZI44" s="57"/>
      <c r="DZJ44" s="58"/>
      <c r="DZK44" s="56"/>
      <c r="DZL44" s="57"/>
      <c r="DZM44" s="57"/>
      <c r="DZN44" s="57"/>
      <c r="DZO44" s="57"/>
      <c r="DZP44" s="57"/>
      <c r="DZQ44" s="56"/>
      <c r="DZR44" s="57"/>
      <c r="DZS44" s="57"/>
      <c r="DZT44" s="56"/>
      <c r="DZU44" s="57"/>
      <c r="DZV44" s="58"/>
      <c r="DZW44" s="56"/>
      <c r="DZX44" s="57"/>
      <c r="DZY44" s="57"/>
      <c r="DZZ44" s="57"/>
      <c r="EAA44" s="56"/>
      <c r="EAB44" s="57"/>
      <c r="EAC44" s="57"/>
      <c r="EAD44" s="56"/>
      <c r="EAE44" s="57"/>
      <c r="EAF44" s="58"/>
      <c r="EAG44" s="56"/>
      <c r="EAH44" s="57"/>
      <c r="EAI44" s="57"/>
      <c r="EAJ44" s="57"/>
      <c r="EAK44" s="56"/>
      <c r="EAL44" s="57"/>
      <c r="EAM44" s="57"/>
      <c r="EAN44" s="56"/>
      <c r="EAO44" s="57"/>
      <c r="EAP44" s="58"/>
      <c r="EAQ44" s="56"/>
      <c r="EAR44" s="57"/>
      <c r="EAS44" s="57"/>
      <c r="EAT44" s="57"/>
      <c r="EAU44" s="56"/>
      <c r="EAV44" s="57"/>
      <c r="EAW44" s="57"/>
      <c r="EAX44" s="56"/>
      <c r="EAY44" s="57"/>
      <c r="EAZ44" s="58"/>
      <c r="EBA44" s="56"/>
      <c r="EBB44" s="58"/>
      <c r="EBC44" s="57"/>
      <c r="EBD44" s="56"/>
      <c r="EBE44" s="57"/>
      <c r="EBF44" s="56"/>
      <c r="EBG44" s="56"/>
      <c r="EBH44" s="56"/>
      <c r="EBI44" s="57"/>
      <c r="EBJ44" s="57"/>
      <c r="EBK44" s="57"/>
      <c r="EBL44" s="57"/>
      <c r="EBM44" s="57"/>
      <c r="EBN44" s="57"/>
      <c r="EBO44" s="57"/>
      <c r="EBP44" s="57"/>
      <c r="EBQ44" s="57"/>
      <c r="EBR44" s="57"/>
      <c r="EBS44" s="57"/>
      <c r="EBT44" s="57"/>
      <c r="EBU44" s="57"/>
      <c r="EBV44" s="57"/>
      <c r="EBW44" s="57"/>
      <c r="EBX44" s="57"/>
      <c r="EBY44" s="57"/>
      <c r="EBZ44" s="57"/>
      <c r="ECA44" s="57"/>
      <c r="ECB44" s="57"/>
      <c r="ECC44" s="57"/>
      <c r="ECD44" s="57"/>
      <c r="ECE44" s="57"/>
      <c r="ECF44" s="57"/>
      <c r="ECG44" s="57"/>
      <c r="ECH44" s="57"/>
      <c r="ECI44" s="57"/>
      <c r="ECJ44" s="57"/>
      <c r="ECK44" s="57"/>
      <c r="ECL44" s="57"/>
      <c r="ECM44" s="57"/>
      <c r="ECN44" s="57"/>
      <c r="ECO44" s="57"/>
      <c r="ECP44" s="57"/>
      <c r="ECQ44" s="57"/>
      <c r="ECR44" s="57"/>
      <c r="ECS44" s="57"/>
      <c r="ECT44" s="58"/>
      <c r="ECU44" s="56"/>
      <c r="ECV44" s="57"/>
      <c r="ECW44" s="57"/>
      <c r="ECX44" s="57"/>
      <c r="ECY44" s="57"/>
      <c r="ECZ44" s="57"/>
      <c r="EDA44" s="56"/>
      <c r="EDB44" s="57"/>
      <c r="EDC44" s="57"/>
      <c r="EDD44" s="56"/>
      <c r="EDE44" s="57"/>
      <c r="EDF44" s="58"/>
      <c r="EDG44" s="56"/>
      <c r="EDH44" s="57"/>
      <c r="EDI44" s="57"/>
      <c r="EDJ44" s="57"/>
      <c r="EDK44" s="56"/>
      <c r="EDL44" s="57"/>
      <c r="EDM44" s="57"/>
      <c r="EDN44" s="56"/>
      <c r="EDO44" s="57"/>
      <c r="EDP44" s="58"/>
      <c r="EDQ44" s="56"/>
      <c r="EDR44" s="57"/>
      <c r="EDS44" s="57"/>
      <c r="EDT44" s="57"/>
      <c r="EDU44" s="56"/>
      <c r="EDV44" s="57"/>
      <c r="EDW44" s="57"/>
      <c r="EDX44" s="56"/>
      <c r="EDY44" s="57"/>
      <c r="EDZ44" s="58"/>
      <c r="EEA44" s="56"/>
      <c r="EEB44" s="57"/>
      <c r="EEC44" s="57"/>
      <c r="EED44" s="57"/>
      <c r="EEE44" s="56"/>
      <c r="EEF44" s="57"/>
      <c r="EEG44" s="57"/>
      <c r="EEH44" s="56"/>
      <c r="EEI44" s="57"/>
      <c r="EEJ44" s="58"/>
      <c r="EEK44" s="56"/>
      <c r="EEL44" s="58"/>
      <c r="EEM44" s="57"/>
      <c r="EEN44" s="56"/>
      <c r="EEO44" s="57"/>
      <c r="EEP44" s="56"/>
      <c r="EEQ44" s="56"/>
      <c r="EER44" s="56"/>
      <c r="EES44" s="57"/>
      <c r="EET44" s="57"/>
      <c r="EEU44" s="57"/>
      <c r="EEV44" s="57"/>
      <c r="EEW44" s="57"/>
      <c r="EEX44" s="57"/>
      <c r="EEY44" s="57"/>
      <c r="EEZ44" s="57"/>
      <c r="EFA44" s="57"/>
      <c r="EFB44" s="57"/>
      <c r="EFC44" s="57"/>
      <c r="EFD44" s="57"/>
      <c r="EFE44" s="57"/>
      <c r="EFF44" s="57"/>
      <c r="EFG44" s="57"/>
      <c r="EFH44" s="57"/>
      <c r="EFI44" s="57"/>
      <c r="EFJ44" s="57"/>
      <c r="EFK44" s="57"/>
      <c r="EFL44" s="57"/>
      <c r="EFM44" s="57"/>
      <c r="EFN44" s="57"/>
      <c r="EFO44" s="57"/>
      <c r="EFP44" s="57"/>
      <c r="EFQ44" s="57"/>
      <c r="EFR44" s="57"/>
      <c r="EFS44" s="57"/>
      <c r="EFT44" s="57"/>
      <c r="EFU44" s="57"/>
      <c r="EFV44" s="57"/>
      <c r="EFW44" s="57"/>
      <c r="EFX44" s="57"/>
      <c r="EFY44" s="57"/>
      <c r="EFZ44" s="57"/>
      <c r="EGA44" s="57"/>
      <c r="EGB44" s="57"/>
      <c r="EGC44" s="57"/>
      <c r="EGD44" s="58"/>
      <c r="EGE44" s="56"/>
      <c r="EGF44" s="57"/>
      <c r="EGG44" s="57"/>
      <c r="EGH44" s="57"/>
      <c r="EGI44" s="57"/>
      <c r="EGJ44" s="57"/>
      <c r="EGK44" s="56"/>
      <c r="EGL44" s="57"/>
      <c r="EGM44" s="57"/>
      <c r="EGN44" s="56"/>
      <c r="EGO44" s="57"/>
      <c r="EGP44" s="58"/>
      <c r="EGQ44" s="56"/>
      <c r="EGR44" s="57"/>
      <c r="EGS44" s="57"/>
      <c r="EGT44" s="57"/>
      <c r="EGU44" s="56"/>
      <c r="EGV44" s="57"/>
      <c r="EGW44" s="57"/>
      <c r="EGX44" s="56"/>
      <c r="EGY44" s="57"/>
      <c r="EGZ44" s="58"/>
      <c r="EHA44" s="56"/>
      <c r="EHB44" s="57"/>
      <c r="EHC44" s="57"/>
      <c r="EHD44" s="57"/>
      <c r="EHE44" s="56"/>
      <c r="EHF44" s="57"/>
      <c r="EHG44" s="57"/>
      <c r="EHH44" s="56"/>
      <c r="EHI44" s="57"/>
      <c r="EHJ44" s="58"/>
      <c r="EHK44" s="56"/>
      <c r="EHL44" s="57"/>
      <c r="EHM44" s="57"/>
      <c r="EHN44" s="57"/>
      <c r="EHO44" s="56"/>
      <c r="EHP44" s="57"/>
      <c r="EHQ44" s="57"/>
      <c r="EHR44" s="56"/>
      <c r="EHS44" s="57"/>
      <c r="EHT44" s="58"/>
      <c r="EHU44" s="56"/>
      <c r="EHV44" s="58"/>
      <c r="EHW44" s="57"/>
      <c r="EHX44" s="56"/>
      <c r="EHY44" s="57"/>
      <c r="EHZ44" s="56"/>
      <c r="EIA44" s="56"/>
      <c r="EIB44" s="56"/>
      <c r="EIC44" s="57"/>
      <c r="EID44" s="57"/>
      <c r="EIE44" s="57"/>
      <c r="EIF44" s="57"/>
      <c r="EIG44" s="57"/>
      <c r="EIH44" s="57"/>
      <c r="EII44" s="57"/>
      <c r="EIJ44" s="57"/>
      <c r="EIK44" s="57"/>
      <c r="EIL44" s="57"/>
      <c r="EIM44" s="57"/>
      <c r="EIN44" s="57"/>
      <c r="EIO44" s="57"/>
      <c r="EIP44" s="57"/>
      <c r="EIQ44" s="57"/>
      <c r="EIR44" s="57"/>
      <c r="EIS44" s="57"/>
      <c r="EIT44" s="57"/>
      <c r="EIU44" s="57"/>
      <c r="EIV44" s="57"/>
      <c r="EIW44" s="57"/>
      <c r="EIX44" s="57"/>
      <c r="EIY44" s="57"/>
      <c r="EIZ44" s="57"/>
      <c r="EJA44" s="57"/>
      <c r="EJB44" s="57"/>
      <c r="EJC44" s="57"/>
      <c r="EJD44" s="57"/>
      <c r="EJE44" s="57"/>
      <c r="EJF44" s="57"/>
      <c r="EJG44" s="57"/>
      <c r="EJH44" s="57"/>
      <c r="EJI44" s="57"/>
      <c r="EJJ44" s="57"/>
      <c r="EJK44" s="57"/>
      <c r="EJL44" s="57"/>
      <c r="EJM44" s="57"/>
      <c r="EJN44" s="58"/>
      <c r="EJO44" s="56"/>
      <c r="EJP44" s="57"/>
      <c r="EJQ44" s="57"/>
      <c r="EJR44" s="57"/>
      <c r="EJS44" s="57"/>
      <c r="EJT44" s="57"/>
      <c r="EJU44" s="56"/>
      <c r="EJV44" s="57"/>
      <c r="EJW44" s="57"/>
      <c r="EJX44" s="56"/>
      <c r="EJY44" s="57"/>
      <c r="EJZ44" s="58"/>
      <c r="EKA44" s="56"/>
      <c r="EKB44" s="57"/>
      <c r="EKC44" s="57"/>
      <c r="EKD44" s="57"/>
      <c r="EKE44" s="56"/>
      <c r="EKF44" s="57"/>
      <c r="EKG44" s="57"/>
      <c r="EKH44" s="56"/>
      <c r="EKI44" s="57"/>
      <c r="EKJ44" s="58"/>
      <c r="EKK44" s="56"/>
      <c r="EKL44" s="57"/>
      <c r="EKM44" s="57"/>
      <c r="EKN44" s="57"/>
      <c r="EKO44" s="56"/>
      <c r="EKP44" s="57"/>
      <c r="EKQ44" s="57"/>
      <c r="EKR44" s="56"/>
      <c r="EKS44" s="57"/>
      <c r="EKT44" s="58"/>
      <c r="EKU44" s="56"/>
      <c r="EKV44" s="57"/>
      <c r="EKW44" s="57"/>
      <c r="EKX44" s="57"/>
      <c r="EKY44" s="56"/>
      <c r="EKZ44" s="57"/>
      <c r="ELA44" s="57"/>
      <c r="ELB44" s="56"/>
      <c r="ELC44" s="57"/>
      <c r="ELD44" s="58"/>
      <c r="ELE44" s="56"/>
      <c r="ELF44" s="58"/>
      <c r="ELG44" s="57"/>
      <c r="ELH44" s="56"/>
      <c r="ELI44" s="57"/>
      <c r="ELJ44" s="56"/>
      <c r="ELK44" s="56"/>
      <c r="ELL44" s="56"/>
      <c r="ELM44" s="57"/>
      <c r="ELN44" s="57"/>
      <c r="ELO44" s="57"/>
      <c r="ELP44" s="57"/>
      <c r="ELQ44" s="57"/>
      <c r="ELR44" s="57"/>
      <c r="ELS44" s="57"/>
      <c r="ELT44" s="57"/>
      <c r="ELU44" s="57"/>
      <c r="ELV44" s="57"/>
      <c r="ELW44" s="57"/>
      <c r="ELX44" s="57"/>
      <c r="ELY44" s="57"/>
      <c r="ELZ44" s="57"/>
      <c r="EMA44" s="57"/>
      <c r="EMB44" s="57"/>
      <c r="EMC44" s="57"/>
      <c r="EMD44" s="57"/>
      <c r="EME44" s="57"/>
      <c r="EMF44" s="57"/>
      <c r="EMG44" s="57"/>
      <c r="EMH44" s="57"/>
      <c r="EMI44" s="57"/>
      <c r="EMJ44" s="57"/>
      <c r="EMK44" s="57"/>
      <c r="EML44" s="57"/>
      <c r="EMM44" s="57"/>
      <c r="EMN44" s="57"/>
      <c r="EMO44" s="57"/>
      <c r="EMP44" s="57"/>
      <c r="EMQ44" s="57"/>
      <c r="EMR44" s="57"/>
      <c r="EMS44" s="57"/>
      <c r="EMT44" s="57"/>
      <c r="EMU44" s="57"/>
      <c r="EMV44" s="57"/>
      <c r="EMW44" s="57"/>
      <c r="EMX44" s="58"/>
      <c r="EMY44" s="56"/>
      <c r="EMZ44" s="57"/>
      <c r="ENA44" s="57"/>
      <c r="ENB44" s="57"/>
      <c r="ENC44" s="57"/>
      <c r="END44" s="57"/>
      <c r="ENE44" s="56"/>
      <c r="ENF44" s="57"/>
      <c r="ENG44" s="57"/>
      <c r="ENH44" s="56"/>
      <c r="ENI44" s="57"/>
      <c r="ENJ44" s="58"/>
      <c r="ENK44" s="56"/>
      <c r="ENL44" s="57"/>
      <c r="ENM44" s="57"/>
      <c r="ENN44" s="57"/>
      <c r="ENO44" s="56"/>
      <c r="ENP44" s="57"/>
      <c r="ENQ44" s="57"/>
      <c r="ENR44" s="56"/>
      <c r="ENS44" s="57"/>
      <c r="ENT44" s="58"/>
      <c r="ENU44" s="56"/>
      <c r="ENV44" s="57"/>
      <c r="ENW44" s="57"/>
      <c r="ENX44" s="57"/>
      <c r="ENY44" s="56"/>
      <c r="ENZ44" s="57"/>
      <c r="EOA44" s="57"/>
      <c r="EOB44" s="56"/>
      <c r="EOC44" s="57"/>
      <c r="EOD44" s="58"/>
      <c r="EOE44" s="56"/>
      <c r="EOF44" s="57"/>
      <c r="EOG44" s="57"/>
      <c r="EOH44" s="57"/>
      <c r="EOI44" s="56"/>
      <c r="EOJ44" s="57"/>
      <c r="EOK44" s="57"/>
      <c r="EOL44" s="56"/>
      <c r="EOM44" s="57"/>
      <c r="EON44" s="58" t="s">
        <v>5585</v>
      </c>
      <c r="EOO44" s="56" t="str">
        <f t="shared" si="75"/>
        <v xml:space="preserve"> </v>
      </c>
    </row>
    <row r="45" spans="1:3785" x14ac:dyDescent="0.3">
      <c r="A45" s="27" t="s">
        <v>249</v>
      </c>
      <c r="B45" s="30"/>
      <c r="C45" s="29"/>
      <c r="D45" s="28" t="str">
        <f t="shared" si="61"/>
        <v xml:space="preserve"> </v>
      </c>
      <c r="E45" s="29"/>
      <c r="F45" s="28"/>
      <c r="G45" s="28"/>
      <c r="H45" s="28"/>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30"/>
      <c r="AU45" s="28"/>
      <c r="AV45" s="29"/>
      <c r="AW45" s="29"/>
      <c r="AX45" s="29"/>
      <c r="AY45" s="29"/>
      <c r="AZ45" s="29"/>
      <c r="BA45" s="28"/>
      <c r="BB45" s="29"/>
      <c r="BC45" s="29"/>
      <c r="BD45" s="28"/>
      <c r="BE45" s="29"/>
      <c r="BF45" s="30"/>
      <c r="BG45" s="28"/>
      <c r="BH45" s="29"/>
      <c r="BI45" s="29"/>
      <c r="BJ45" s="29"/>
      <c r="BK45" s="28"/>
      <c r="BL45" s="29"/>
      <c r="BM45" s="29"/>
      <c r="BN45" s="28"/>
      <c r="BO45" s="29"/>
      <c r="BP45" s="30"/>
      <c r="BQ45" s="28"/>
      <c r="BR45" s="29"/>
      <c r="BS45" s="29"/>
      <c r="BT45" s="29"/>
      <c r="BU45" s="28"/>
      <c r="BV45" s="29"/>
      <c r="BW45" s="29"/>
      <c r="BX45" s="28"/>
      <c r="BY45" s="29"/>
      <c r="BZ45" s="30"/>
      <c r="CA45" s="28"/>
      <c r="CB45" s="29"/>
      <c r="CC45" s="29"/>
      <c r="CD45" s="29"/>
      <c r="CE45" s="28"/>
      <c r="CF45" s="29"/>
      <c r="CG45" s="29"/>
      <c r="CH45" s="28"/>
      <c r="CI45" s="29"/>
      <c r="CJ45" s="30"/>
      <c r="CK45" s="28"/>
      <c r="CL45" s="29"/>
      <c r="CM45" s="29"/>
      <c r="CN45" s="29"/>
      <c r="CO45" s="28"/>
      <c r="CP45" s="29"/>
      <c r="CQ45" s="29"/>
      <c r="CR45" s="28"/>
      <c r="CS45" s="29"/>
      <c r="CT45" s="30"/>
      <c r="CU45" s="28"/>
      <c r="CV45" s="29"/>
      <c r="CW45" s="29"/>
      <c r="CX45" s="29"/>
      <c r="CY45" s="28"/>
      <c r="CZ45" s="29"/>
      <c r="DA45" s="29"/>
      <c r="DB45" s="28"/>
      <c r="DC45" s="29"/>
      <c r="DD45" s="30"/>
      <c r="DE45" s="28"/>
      <c r="DF45" s="29"/>
      <c r="DG45" s="29"/>
      <c r="DH45" s="29"/>
      <c r="DI45" s="28"/>
      <c r="DJ45" s="29"/>
      <c r="DK45" s="29"/>
      <c r="DL45" s="28"/>
      <c r="DM45" s="29"/>
      <c r="DN45" s="30"/>
      <c r="DO45" s="28"/>
      <c r="DP45" s="29"/>
      <c r="DQ45" s="29"/>
      <c r="DR45" s="29"/>
      <c r="DS45" s="28"/>
      <c r="DT45" s="29"/>
      <c r="DU45" s="29"/>
      <c r="DV45" s="28"/>
      <c r="DW45" s="29"/>
      <c r="DX45" s="30"/>
      <c r="DY45" s="28"/>
      <c r="DZ45" s="29"/>
      <c r="EA45" s="29"/>
      <c r="EB45" s="29"/>
      <c r="EC45" s="28"/>
      <c r="ED45" s="29"/>
      <c r="EE45" s="28"/>
      <c r="EF45" s="28"/>
      <c r="EG45" s="29"/>
      <c r="EH45" s="30"/>
      <c r="EI45" s="28"/>
      <c r="EJ45" s="29"/>
      <c r="EK45" s="29"/>
      <c r="EL45" s="29"/>
      <c r="EM45" s="28"/>
      <c r="EN45" s="29"/>
      <c r="EO45" s="33"/>
      <c r="EP45" s="28"/>
      <c r="EQ45" s="29"/>
      <c r="ER45" s="30"/>
      <c r="ES45" s="28"/>
      <c r="ET45" s="29"/>
      <c r="EU45" s="29"/>
      <c r="EV45" s="29"/>
      <c r="EW45" s="28"/>
      <c r="EX45" s="29"/>
      <c r="EY45" s="29"/>
      <c r="EZ45" s="28"/>
      <c r="FA45" s="29"/>
      <c r="FB45" s="30"/>
      <c r="FC45" s="28"/>
      <c r="FD45" s="29"/>
      <c r="FE45" s="29"/>
      <c r="FF45" s="29"/>
      <c r="FG45" s="28"/>
      <c r="FH45" s="29"/>
      <c r="FI45" s="29"/>
      <c r="FJ45" s="28"/>
      <c r="FK45" s="29"/>
      <c r="FL45" s="30"/>
      <c r="FM45" s="28"/>
      <c r="FN45" s="29"/>
      <c r="FO45" s="29"/>
      <c r="FP45" s="29"/>
      <c r="FQ45" s="28"/>
      <c r="FR45" s="29"/>
      <c r="FS45" s="29"/>
      <c r="FT45" s="28"/>
      <c r="FU45" s="29"/>
      <c r="FV45" s="30"/>
      <c r="FW45" s="28"/>
      <c r="FX45" s="29"/>
      <c r="FY45" s="29"/>
      <c r="FZ45" s="29"/>
      <c r="GA45" s="28"/>
      <c r="GB45" s="29"/>
      <c r="GC45" s="29"/>
      <c r="GD45" s="28"/>
      <c r="GE45" s="29"/>
      <c r="GF45" s="30"/>
      <c r="GG45" s="28"/>
      <c r="GH45" s="29"/>
      <c r="GI45" s="29"/>
      <c r="GJ45" s="29"/>
      <c r="GK45" s="28"/>
      <c r="GL45" s="29"/>
      <c r="GM45" s="29"/>
      <c r="GN45" s="28"/>
      <c r="GO45" s="29"/>
      <c r="GP45" s="30"/>
      <c r="GQ45" s="28"/>
      <c r="GR45" s="29"/>
      <c r="GS45" s="29"/>
      <c r="GT45" s="29"/>
      <c r="GU45" s="28"/>
      <c r="GV45" s="29"/>
      <c r="GW45" s="29"/>
      <c r="GX45" s="28"/>
      <c r="GY45" s="29"/>
      <c r="GZ45" s="30"/>
      <c r="HA45" s="28"/>
      <c r="HB45" s="29"/>
      <c r="HC45" s="29"/>
      <c r="HD45" s="29"/>
      <c r="HE45" s="28"/>
      <c r="HF45" s="29"/>
      <c r="HG45" s="29"/>
      <c r="HH45" s="28"/>
      <c r="HI45" s="29"/>
      <c r="HJ45" s="30"/>
      <c r="HK45" s="28"/>
      <c r="HL45" s="29"/>
      <c r="HM45" s="29"/>
      <c r="HN45" s="29"/>
      <c r="HO45" s="28"/>
      <c r="HP45" s="29"/>
      <c r="HQ45" s="29"/>
      <c r="HR45" s="28"/>
      <c r="HS45" s="29"/>
      <c r="HT45" s="30"/>
      <c r="HU45" s="28"/>
      <c r="HV45" s="29"/>
      <c r="HW45" s="29"/>
      <c r="HX45" s="29"/>
      <c r="HY45" s="28"/>
      <c r="HZ45" s="29"/>
      <c r="IA45" s="29"/>
      <c r="IB45" s="28"/>
      <c r="IC45" s="29"/>
      <c r="ID45" s="30"/>
      <c r="IE45" s="28"/>
      <c r="IF45" s="29"/>
      <c r="IG45" s="29"/>
      <c r="IH45" s="29"/>
      <c r="II45" s="28"/>
      <c r="IJ45" s="29"/>
      <c r="IK45" s="29"/>
      <c r="IL45" s="28"/>
      <c r="IM45" s="29"/>
      <c r="IN45" s="30"/>
      <c r="IO45" s="28"/>
      <c r="IP45" s="29"/>
      <c r="IQ45" s="29"/>
      <c r="IR45" s="29"/>
      <c r="IS45" s="28"/>
      <c r="IT45" s="29"/>
      <c r="IU45" s="29"/>
      <c r="IV45" s="28"/>
      <c r="IW45" s="29"/>
      <c r="IX45" s="30"/>
      <c r="IY45" s="28"/>
      <c r="IZ45" s="29"/>
      <c r="JA45" s="29"/>
      <c r="JB45" s="29"/>
      <c r="JC45" s="28"/>
      <c r="JD45" s="29"/>
      <c r="JE45" s="29"/>
      <c r="JF45" s="28"/>
      <c r="JG45" s="29"/>
      <c r="JH45" s="30"/>
      <c r="JI45" s="28"/>
      <c r="JJ45" s="29"/>
      <c r="JK45" s="29"/>
      <c r="JL45" s="29"/>
      <c r="JM45" s="28"/>
      <c r="JN45" s="29"/>
      <c r="JO45" s="29"/>
      <c r="JP45" s="28"/>
      <c r="JQ45" s="29"/>
      <c r="JR45" s="30"/>
      <c r="JS45" s="28"/>
      <c r="JT45" s="29"/>
      <c r="JU45" s="29"/>
      <c r="JV45" s="29"/>
      <c r="JW45" s="28"/>
      <c r="JX45" s="29"/>
      <c r="JY45" s="29"/>
      <c r="JZ45" s="28"/>
      <c r="KA45" s="29"/>
      <c r="KB45" s="30"/>
      <c r="KC45" s="28"/>
      <c r="KD45" s="29"/>
      <c r="KE45" s="29"/>
      <c r="KF45" s="29"/>
      <c r="KG45" s="28"/>
      <c r="KH45" s="29"/>
      <c r="KI45" s="29"/>
      <c r="KJ45" s="28"/>
      <c r="KK45" s="29"/>
      <c r="KL45" s="30"/>
      <c r="KM45" s="28"/>
      <c r="KN45" s="29"/>
      <c r="KO45" s="29"/>
      <c r="KP45" s="29"/>
      <c r="KQ45" s="28"/>
      <c r="KR45" s="29"/>
      <c r="KS45" s="29"/>
      <c r="KT45" s="28"/>
      <c r="KU45" s="29"/>
      <c r="KV45" s="30"/>
      <c r="KW45" s="28"/>
      <c r="KX45" s="29"/>
      <c r="KY45" s="29"/>
      <c r="KZ45" s="29"/>
      <c r="LA45" s="28"/>
      <c r="LB45" s="29"/>
      <c r="LC45" s="29"/>
      <c r="LD45" s="28"/>
      <c r="LE45" s="29"/>
      <c r="LF45" s="30"/>
      <c r="LG45" s="28"/>
      <c r="LH45" s="29"/>
      <c r="LI45" s="29"/>
      <c r="LJ45" s="29"/>
      <c r="LK45" s="28"/>
      <c r="LL45" s="29"/>
      <c r="LM45" s="29"/>
      <c r="LN45" s="28"/>
      <c r="LO45" s="29"/>
      <c r="LP45" s="30"/>
      <c r="LQ45" s="28"/>
      <c r="LR45" s="29"/>
      <c r="LS45" s="29"/>
      <c r="LT45" s="29"/>
      <c r="LU45" s="28"/>
      <c r="LV45" s="29"/>
      <c r="LW45" s="29"/>
      <c r="LX45" s="28"/>
      <c r="LY45" s="29"/>
      <c r="LZ45" s="30"/>
      <c r="MA45" s="28"/>
      <c r="MB45" s="29"/>
      <c r="MC45" s="29"/>
      <c r="MD45" s="29"/>
      <c r="ME45" s="28"/>
      <c r="MF45" s="29"/>
      <c r="MG45" s="29"/>
      <c r="MH45" s="28"/>
      <c r="MI45" s="29"/>
      <c r="MJ45" s="30"/>
      <c r="MK45" s="28"/>
      <c r="ML45" s="29"/>
      <c r="MM45" s="29"/>
      <c r="MN45" s="29"/>
      <c r="MO45" s="28"/>
      <c r="MP45" s="29"/>
      <c r="MQ45" s="29"/>
      <c r="MR45" s="28"/>
      <c r="MS45" s="29"/>
      <c r="MT45" s="30"/>
      <c r="MU45" s="28"/>
      <c r="MV45" s="29"/>
      <c r="MW45" s="29"/>
      <c r="MX45" s="29"/>
      <c r="MY45" s="28"/>
      <c r="MZ45" s="29"/>
      <c r="NA45" s="29"/>
      <c r="NB45" s="28"/>
      <c r="NC45" s="29"/>
      <c r="ND45" s="30"/>
      <c r="NE45" s="28"/>
      <c r="NF45" s="29"/>
      <c r="NG45" s="29"/>
      <c r="NH45" s="29"/>
      <c r="NI45" s="28"/>
      <c r="NJ45" s="29"/>
      <c r="NK45" s="29"/>
      <c r="NL45" s="28"/>
      <c r="NM45" s="29"/>
      <c r="NN45" s="30"/>
      <c r="NO45" s="28"/>
      <c r="NP45" s="29"/>
      <c r="NQ45" s="29"/>
      <c r="NR45" s="29"/>
      <c r="NS45" s="28"/>
      <c r="NT45" s="29"/>
      <c r="NU45" s="29"/>
      <c r="NV45" s="28"/>
      <c r="NW45" s="29"/>
      <c r="NX45" s="30"/>
      <c r="NY45" s="28"/>
      <c r="NZ45" s="29"/>
      <c r="OA45" s="29"/>
      <c r="OB45" s="29"/>
      <c r="OC45" s="28"/>
      <c r="OD45" s="29"/>
      <c r="OE45" s="29"/>
      <c r="OF45" s="30"/>
      <c r="OG45" s="30"/>
      <c r="OH45" s="30"/>
      <c r="OI45" s="28"/>
      <c r="OJ45" s="30"/>
      <c r="OK45" s="30"/>
      <c r="OL45" s="30"/>
      <c r="OM45" s="30"/>
      <c r="ON45" s="30"/>
      <c r="OO45" s="30"/>
      <c r="OP45" s="28"/>
      <c r="OQ45" s="29"/>
      <c r="OR45" s="30"/>
      <c r="OS45" s="28"/>
      <c r="OT45" s="29"/>
      <c r="OU45" s="29"/>
      <c r="OV45" s="29"/>
      <c r="OW45" s="28"/>
      <c r="OX45" s="29"/>
      <c r="OY45" s="29"/>
      <c r="OZ45" s="28"/>
      <c r="PA45" s="29"/>
      <c r="PB45" s="30"/>
      <c r="PC45" s="28"/>
      <c r="PD45" s="29"/>
      <c r="PE45" s="29"/>
      <c r="PF45" s="29"/>
      <c r="PG45" s="28"/>
      <c r="PH45" s="29"/>
      <c r="PI45" s="29"/>
      <c r="PJ45" s="28"/>
      <c r="PK45" s="29"/>
      <c r="PL45" s="30"/>
      <c r="PM45" s="28"/>
      <c r="PN45" s="29"/>
      <c r="PO45" s="29"/>
      <c r="PP45" s="29"/>
      <c r="PQ45" s="28"/>
      <c r="PR45" s="29"/>
      <c r="PS45" s="29"/>
      <c r="PT45" s="28"/>
      <c r="PU45" s="29"/>
      <c r="PV45" s="30"/>
      <c r="PW45" s="28"/>
      <c r="PX45" s="29"/>
      <c r="PY45" s="29"/>
      <c r="PZ45" s="29"/>
      <c r="QA45" s="28"/>
      <c r="QB45" s="29"/>
      <c r="QC45" s="29"/>
      <c r="QD45" s="28"/>
      <c r="QE45" s="29"/>
      <c r="QF45" s="30"/>
      <c r="QG45" s="28"/>
      <c r="QH45" s="29"/>
      <c r="QI45" s="29"/>
      <c r="QJ45" s="29"/>
      <c r="QK45" s="28"/>
      <c r="QL45" s="29"/>
      <c r="QM45" s="29"/>
      <c r="QN45" s="28"/>
      <c r="QO45" s="29"/>
      <c r="QP45" s="30"/>
      <c r="QQ45" s="28"/>
      <c r="QR45" s="29"/>
      <c r="QS45" s="29"/>
      <c r="QT45" s="29"/>
      <c r="QU45" s="28"/>
      <c r="QV45" s="29"/>
      <c r="QW45" s="29"/>
      <c r="QX45" s="28"/>
      <c r="QY45" s="29"/>
      <c r="QZ45" s="30"/>
      <c r="RA45" s="28"/>
      <c r="RB45" s="29"/>
      <c r="RC45" s="29"/>
      <c r="RD45" s="29"/>
      <c r="RE45" s="28"/>
      <c r="RF45" s="29"/>
      <c r="RG45" s="29"/>
      <c r="RH45" s="28"/>
      <c r="RI45" s="29"/>
      <c r="RJ45" s="30"/>
      <c r="RK45" s="28"/>
      <c r="RL45" s="29"/>
      <c r="RM45" s="29"/>
      <c r="RN45" s="29"/>
      <c r="RO45" s="28"/>
      <c r="RP45" s="29"/>
      <c r="RQ45" s="29"/>
      <c r="RR45" s="28"/>
      <c r="RS45" s="29"/>
      <c r="RT45" s="30"/>
      <c r="RU45" s="28"/>
      <c r="RV45" s="29"/>
      <c r="RW45" s="29"/>
      <c r="RX45" s="29"/>
      <c r="RY45" s="28"/>
      <c r="RZ45" s="29"/>
      <c r="SA45" s="29"/>
      <c r="SB45" s="28"/>
      <c r="SC45" s="29"/>
      <c r="SD45" s="30"/>
      <c r="SE45" s="28"/>
      <c r="SF45" s="29"/>
      <c r="SG45" s="29"/>
      <c r="SH45" s="29"/>
      <c r="SI45" s="28"/>
      <c r="SJ45" s="29"/>
      <c r="SK45" s="29"/>
      <c r="SL45" s="28"/>
      <c r="SM45" s="29"/>
      <c r="SN45" s="30"/>
      <c r="SO45" s="28"/>
      <c r="SP45" s="29"/>
      <c r="SQ45" s="29"/>
      <c r="SR45" s="29"/>
      <c r="SS45" s="28"/>
      <c r="ST45" s="29"/>
      <c r="SU45" s="29"/>
      <c r="SV45" s="28"/>
      <c r="SW45" s="29"/>
      <c r="SX45" s="30"/>
      <c r="SY45" s="28"/>
      <c r="SZ45" s="29"/>
      <c r="TA45" s="29"/>
      <c r="TB45" s="29"/>
      <c r="TC45" s="28"/>
      <c r="TD45" s="29"/>
      <c r="TE45" s="29"/>
      <c r="TF45" s="28"/>
      <c r="TG45" s="29"/>
      <c r="TH45" s="30"/>
      <c r="TI45" s="28"/>
      <c r="TJ45" s="29"/>
      <c r="TK45" s="29"/>
      <c r="TL45" s="29"/>
      <c r="TM45" s="28"/>
      <c r="TN45" s="29"/>
      <c r="TO45" s="29"/>
      <c r="TP45" s="28"/>
      <c r="TQ45" s="29"/>
      <c r="TR45" s="30"/>
      <c r="TS45" s="28"/>
      <c r="TT45" s="29"/>
      <c r="TU45" s="29"/>
      <c r="TV45" s="29"/>
      <c r="TW45" s="28"/>
      <c r="TX45" s="29"/>
      <c r="TY45" s="29"/>
      <c r="TZ45" s="28"/>
      <c r="UA45" s="29"/>
      <c r="UB45" s="30"/>
      <c r="UC45" s="28"/>
      <c r="UD45" s="29"/>
      <c r="UE45" s="29"/>
      <c r="UF45" s="29"/>
      <c r="UG45" s="28"/>
      <c r="UH45" s="29"/>
      <c r="UI45" s="29"/>
      <c r="UJ45" s="28"/>
      <c r="UK45" s="29"/>
      <c r="UL45" s="30"/>
      <c r="UM45" s="28"/>
      <c r="UN45" s="29"/>
      <c r="UO45" s="29"/>
      <c r="UP45" s="29"/>
      <c r="UQ45" s="28"/>
      <c r="UR45" s="29"/>
      <c r="US45" s="29"/>
      <c r="UT45" s="28"/>
      <c r="UU45" s="29"/>
      <c r="UV45" s="30"/>
      <c r="UW45" s="28"/>
      <c r="UX45" s="29"/>
      <c r="UY45" s="29"/>
      <c r="UZ45" s="29"/>
      <c r="VA45" s="28"/>
      <c r="VB45" s="29"/>
      <c r="VC45" s="29"/>
      <c r="VD45" s="28"/>
      <c r="VE45" s="29"/>
      <c r="VF45" s="30"/>
      <c r="VG45" s="28"/>
      <c r="VH45" s="29"/>
      <c r="VI45" s="29"/>
      <c r="VJ45" s="29"/>
      <c r="VK45" s="28"/>
      <c r="VL45" s="29"/>
      <c r="VM45" s="29"/>
      <c r="VN45" s="28"/>
      <c r="VO45" s="29"/>
      <c r="VP45" s="30"/>
      <c r="VQ45" s="28"/>
      <c r="VR45" s="29"/>
      <c r="VS45" s="29"/>
      <c r="VT45" s="29"/>
      <c r="VU45" s="28"/>
      <c r="VV45" s="29"/>
      <c r="VW45" s="29"/>
      <c r="VX45" s="28"/>
      <c r="VY45" s="29"/>
      <c r="VZ45" s="30"/>
      <c r="WA45" s="28"/>
      <c r="WB45" s="29"/>
      <c r="WC45" s="29"/>
      <c r="WD45" s="29"/>
      <c r="WE45" s="28"/>
      <c r="WF45" s="29"/>
      <c r="WG45" s="29"/>
      <c r="WH45" s="28"/>
      <c r="WI45" s="29"/>
      <c r="WJ45" s="30"/>
      <c r="WK45" s="28"/>
      <c r="WL45" s="29"/>
      <c r="WM45" s="29"/>
      <c r="WN45" s="29"/>
      <c r="WO45" s="28"/>
      <c r="WP45" s="29"/>
      <c r="WQ45" s="29"/>
      <c r="WR45" s="28"/>
      <c r="WS45" s="29"/>
      <c r="WT45" s="30"/>
      <c r="WU45" s="28"/>
      <c r="WV45" s="29"/>
      <c r="WW45" s="29"/>
      <c r="WX45" s="29"/>
      <c r="WY45" s="28"/>
      <c r="WZ45" s="29"/>
      <c r="XA45" s="29"/>
      <c r="XB45" s="28"/>
      <c r="XC45" s="29"/>
      <c r="XD45" s="30"/>
      <c r="XE45" s="28"/>
      <c r="XF45" s="29"/>
      <c r="XG45" s="29"/>
      <c r="XH45" s="29"/>
      <c r="XI45" s="28"/>
      <c r="XJ45" s="29"/>
      <c r="XK45" s="29"/>
      <c r="XL45" s="28"/>
      <c r="XM45" s="29"/>
      <c r="XN45" s="30"/>
      <c r="XO45" s="28"/>
      <c r="XP45" s="29"/>
      <c r="XQ45" s="29"/>
      <c r="XR45" s="29"/>
      <c r="XS45" s="28"/>
      <c r="XT45" s="29"/>
      <c r="XU45" s="29"/>
      <c r="XV45" s="28"/>
      <c r="XW45" s="29"/>
      <c r="XX45" s="30"/>
      <c r="XY45" s="28"/>
      <c r="XZ45" s="29"/>
      <c r="YA45" s="29"/>
      <c r="YB45" s="29"/>
      <c r="YC45" s="28"/>
      <c r="YD45" s="29"/>
      <c r="YE45" s="29"/>
      <c r="YF45" s="28"/>
      <c r="YG45" s="29"/>
      <c r="YH45" s="30"/>
      <c r="YI45" s="28"/>
      <c r="YJ45" s="29"/>
      <c r="YK45" s="29"/>
      <c r="YL45" s="29"/>
      <c r="YM45" s="28"/>
      <c r="YN45" s="29"/>
      <c r="YO45" s="29"/>
      <c r="YP45" s="28"/>
      <c r="YQ45" s="29"/>
      <c r="YR45" s="30"/>
      <c r="YS45" s="28"/>
      <c r="YT45" s="29"/>
      <c r="YU45" s="29"/>
      <c r="YV45" s="29"/>
      <c r="YW45" s="28"/>
      <c r="YX45" s="29"/>
      <c r="YY45" s="29"/>
      <c r="YZ45" s="28"/>
      <c r="ZA45" s="29"/>
      <c r="ZB45" s="30"/>
      <c r="ZC45" s="28"/>
      <c r="ZD45" s="29"/>
      <c r="ZE45" s="29"/>
      <c r="ZF45" s="29"/>
      <c r="ZG45" s="28"/>
      <c r="ZH45" s="29"/>
      <c r="ZI45" s="29"/>
      <c r="ZJ45" s="28"/>
      <c r="ZK45" s="29"/>
      <c r="ZL45" s="30"/>
      <c r="ZM45" s="28"/>
      <c r="ZN45" s="29"/>
      <c r="ZO45" s="29"/>
      <c r="ZP45" s="29"/>
      <c r="ZQ45" s="28"/>
      <c r="ZR45" s="29"/>
      <c r="ZS45" s="29"/>
      <c r="ZT45" s="28"/>
      <c r="ZU45" s="29"/>
      <c r="ZV45" s="30"/>
      <c r="ZW45" s="28"/>
      <c r="ZX45" s="29"/>
      <c r="ZY45" s="29"/>
      <c r="ZZ45" s="29"/>
      <c r="AAA45" s="28"/>
      <c r="AAB45" s="29"/>
      <c r="AAC45" s="29"/>
      <c r="AAD45" s="28"/>
      <c r="AAE45" s="29"/>
      <c r="AAF45" s="30"/>
      <c r="AAG45" s="28"/>
      <c r="AAH45" s="29"/>
      <c r="AAI45" s="29"/>
      <c r="AAJ45" s="29"/>
      <c r="AAK45" s="28"/>
      <c r="AAL45" s="29"/>
      <c r="AAM45" s="29"/>
      <c r="AAN45" s="28"/>
      <c r="AAO45" s="29"/>
      <c r="AAP45" s="30"/>
      <c r="AAQ45" s="28"/>
      <c r="AAR45" s="29"/>
      <c r="AAS45" s="29"/>
      <c r="AAT45" s="29"/>
      <c r="AAU45" s="28"/>
      <c r="AAV45" s="29"/>
      <c r="AAW45" s="29"/>
      <c r="AAX45" s="28"/>
      <c r="AAY45" s="29"/>
      <c r="AAZ45" s="30"/>
      <c r="ABA45" s="28"/>
      <c r="ABB45" s="29"/>
      <c r="ABC45" s="29"/>
      <c r="ABD45" s="29"/>
      <c r="ABE45" s="28"/>
      <c r="ABF45" s="29"/>
      <c r="ABG45" s="29"/>
      <c r="ABH45" s="28"/>
      <c r="ABI45" s="29"/>
      <c r="ABJ45" s="30"/>
      <c r="ABK45" s="28"/>
      <c r="ABL45" s="29"/>
      <c r="ABM45" s="29"/>
      <c r="ABN45" s="29"/>
      <c r="ABO45" s="28"/>
      <c r="ABP45" s="29"/>
      <c r="ABQ45" s="29"/>
      <c r="ABR45" s="28"/>
      <c r="ABS45" s="29"/>
      <c r="ABT45" s="30"/>
      <c r="ABU45" s="28"/>
      <c r="ABV45" s="29"/>
      <c r="ABW45" s="29"/>
      <c r="ABX45" s="29"/>
      <c r="ABY45" s="28"/>
      <c r="ABZ45" s="29"/>
      <c r="ACA45" s="29"/>
      <c r="ACB45" s="28"/>
      <c r="ACC45" s="29"/>
      <c r="ACD45" s="30"/>
      <c r="ACE45" s="28"/>
      <c r="ACF45" s="29"/>
      <c r="ACG45" s="29"/>
      <c r="ACH45" s="29"/>
      <c r="ACI45" s="28"/>
      <c r="ACJ45" s="29"/>
      <c r="ACK45" s="29"/>
      <c r="ACL45" s="28"/>
      <c r="ACM45" s="29"/>
      <c r="ACN45" s="30"/>
      <c r="ACO45" s="28"/>
      <c r="ACP45" s="29"/>
      <c r="ACQ45" s="29"/>
      <c r="ACR45" s="29"/>
      <c r="ACS45" s="28"/>
      <c r="ACT45" s="29"/>
      <c r="ACU45" s="29"/>
      <c r="ACV45" s="28"/>
      <c r="ACW45" s="29"/>
      <c r="ACX45" s="30"/>
      <c r="ACY45" s="28"/>
      <c r="ACZ45" s="29"/>
      <c r="ADA45" s="29"/>
      <c r="ADB45" s="29"/>
      <c r="ADC45" s="28"/>
      <c r="ADD45" s="29"/>
      <c r="ADE45" s="29"/>
      <c r="ADF45" s="28"/>
      <c r="ADG45" s="29"/>
      <c r="ADH45" s="30"/>
      <c r="ADI45" s="28"/>
      <c r="ADJ45" s="29"/>
      <c r="ADK45" s="29"/>
      <c r="ADL45" s="29"/>
      <c r="ADM45" s="28"/>
      <c r="ADN45" s="29"/>
      <c r="ADO45" s="29"/>
      <c r="ADP45" s="28"/>
      <c r="ADQ45" s="29"/>
      <c r="ADR45" s="30"/>
      <c r="ADS45" s="28"/>
      <c r="ADT45" s="29"/>
      <c r="ADU45" s="29"/>
      <c r="ADV45" s="29"/>
      <c r="ADW45" s="28"/>
      <c r="ADX45" s="29"/>
      <c r="ADY45" s="29"/>
      <c r="ADZ45" s="28"/>
      <c r="AEA45" s="29"/>
      <c r="AEB45" s="30"/>
      <c r="AEC45" s="28"/>
      <c r="AED45" s="29"/>
      <c r="AEE45" s="29"/>
      <c r="AEF45" s="29"/>
      <c r="AEG45" s="28"/>
      <c r="AEH45" s="29"/>
      <c r="AEI45" s="29"/>
      <c r="AEJ45" s="28"/>
      <c r="AEK45" s="29"/>
      <c r="AEL45" s="30"/>
      <c r="AEM45" s="28"/>
      <c r="AEN45" s="29"/>
      <c r="AEO45" s="29"/>
      <c r="AEP45" s="29"/>
      <c r="AEQ45" s="28"/>
      <c r="AER45" s="29"/>
      <c r="AES45" s="29"/>
      <c r="AET45" s="28"/>
      <c r="AEU45" s="29"/>
      <c r="AEV45" s="30"/>
      <c r="AEW45" s="28"/>
      <c r="AEX45" s="29"/>
      <c r="AEY45" s="29"/>
      <c r="AEZ45" s="29"/>
      <c r="AFA45" s="28"/>
      <c r="AFB45" s="29"/>
      <c r="AFC45" s="29"/>
      <c r="AFD45" s="28"/>
      <c r="AFE45" s="29"/>
      <c r="AFF45" s="30"/>
      <c r="AFG45" s="28"/>
      <c r="AFH45" s="29"/>
      <c r="AFI45" s="29"/>
      <c r="AFJ45" s="29"/>
      <c r="AFK45" s="28"/>
      <c r="AFL45" s="29"/>
      <c r="AFM45" s="29"/>
      <c r="AFN45" s="28"/>
      <c r="AFO45" s="29"/>
      <c r="AFP45" s="30"/>
      <c r="AFQ45" s="28"/>
      <c r="AFR45" s="29"/>
      <c r="AFS45" s="29"/>
      <c r="AFT45" s="29"/>
      <c r="AFU45" s="28"/>
      <c r="AFV45" s="29"/>
      <c r="AFW45" s="29"/>
      <c r="AFX45" s="28"/>
      <c r="AFY45" s="29"/>
      <c r="AFZ45" s="30"/>
      <c r="AGA45" s="28"/>
      <c r="AGB45" s="29"/>
      <c r="AGC45" s="29"/>
      <c r="AGD45" s="29"/>
      <c r="AGE45" s="28"/>
      <c r="AGF45" s="29"/>
      <c r="AGG45" s="29"/>
      <c r="AGH45" s="28"/>
      <c r="AGI45" s="29"/>
      <c r="AGJ45" s="30"/>
      <c r="AGK45" s="28"/>
      <c r="AGL45" s="29"/>
      <c r="AGM45" s="29"/>
      <c r="AGN45" s="29"/>
      <c r="AGO45" s="28"/>
      <c r="AGP45" s="29"/>
      <c r="AGQ45" s="29"/>
      <c r="AGR45" s="28"/>
      <c r="AGS45" s="29"/>
      <c r="AGT45" s="30"/>
      <c r="AGU45" s="28"/>
      <c r="AGV45" s="29"/>
      <c r="AGW45" s="29"/>
      <c r="AGX45" s="29"/>
      <c r="AGY45" s="28"/>
      <c r="AGZ45" s="29"/>
      <c r="AHA45" s="29"/>
      <c r="AHB45" s="28"/>
      <c r="AHC45" s="29"/>
      <c r="AHD45" s="30"/>
      <c r="AHE45" s="28"/>
      <c r="AHF45" s="29"/>
      <c r="AHG45" s="29"/>
      <c r="AHH45" s="29"/>
      <c r="AHI45" s="28"/>
      <c r="AHJ45" s="29"/>
      <c r="AHK45" s="29"/>
      <c r="AHL45" s="28"/>
      <c r="AHM45" s="29"/>
      <c r="AHN45" s="30"/>
      <c r="AHO45" s="28"/>
      <c r="AHP45" s="29"/>
      <c r="AHQ45" s="29"/>
      <c r="AHR45" s="29"/>
      <c r="AHS45" s="28"/>
      <c r="AHT45" s="29"/>
      <c r="AHU45" s="29"/>
      <c r="AHV45" s="28"/>
      <c r="AHW45" s="29"/>
      <c r="AHX45" s="30"/>
      <c r="AHY45" s="28"/>
      <c r="AHZ45" s="29"/>
      <c r="AIA45" s="29"/>
      <c r="AIB45" s="29"/>
      <c r="AIC45" s="28"/>
      <c r="AID45" s="29"/>
      <c r="AIE45" s="29"/>
      <c r="AIF45" s="28"/>
      <c r="AIG45" s="29"/>
      <c r="AIH45" s="30"/>
      <c r="AII45" s="28"/>
      <c r="AIJ45" s="29"/>
      <c r="AIK45" s="29"/>
      <c r="AIL45" s="29"/>
      <c r="AIM45" s="28"/>
      <c r="AIN45" s="29"/>
      <c r="AIO45" s="29"/>
      <c r="AIP45" s="28"/>
      <c r="AIQ45" s="29"/>
      <c r="AIR45" s="30"/>
      <c r="AIS45" s="28"/>
      <c r="AIT45" s="29"/>
      <c r="AIU45" s="29"/>
      <c r="AIV45" s="29"/>
      <c r="AIW45" s="28"/>
      <c r="AIX45" s="29"/>
      <c r="AIY45" s="29"/>
      <c r="AIZ45" s="28"/>
      <c r="AJA45" s="29"/>
      <c r="AJB45" s="30"/>
      <c r="AJC45" s="28"/>
      <c r="AJD45" s="29"/>
      <c r="AJE45" s="29"/>
      <c r="AJF45" s="29"/>
      <c r="AJG45" s="28"/>
      <c r="AJH45" s="29"/>
      <c r="AJI45" s="29"/>
      <c r="AJJ45" s="28"/>
      <c r="AJK45" s="29"/>
      <c r="AJL45" s="30"/>
      <c r="AJM45" s="28"/>
      <c r="AJN45" s="29"/>
      <c r="AJO45" s="29"/>
      <c r="AJP45" s="29"/>
      <c r="AJQ45" s="28"/>
      <c r="AJR45" s="29"/>
      <c r="AJS45" s="29"/>
      <c r="AJT45" s="28"/>
      <c r="AJU45" s="29"/>
      <c r="AJV45" s="30"/>
      <c r="AJW45" s="28"/>
      <c r="AJX45" s="29"/>
      <c r="AJY45" s="29"/>
      <c r="AJZ45" s="29"/>
      <c r="AKA45" s="28"/>
      <c r="AKB45" s="29"/>
      <c r="AKC45" s="29"/>
      <c r="AKD45" s="28"/>
      <c r="AKE45" s="29"/>
      <c r="AKF45" s="30"/>
      <c r="AKG45" s="28"/>
      <c r="AKH45" s="29"/>
      <c r="AKI45" s="29"/>
      <c r="AKJ45" s="29"/>
      <c r="AKK45" s="28"/>
      <c r="AKL45" s="29"/>
      <c r="AKM45" s="29"/>
      <c r="AKN45" s="28"/>
      <c r="AKO45" s="29"/>
      <c r="AKP45" s="30"/>
      <c r="AKQ45" s="28"/>
      <c r="AKR45" s="29"/>
      <c r="AKS45" s="29"/>
      <c r="AKT45" s="29"/>
      <c r="AKU45" s="28"/>
      <c r="AKV45" s="29"/>
      <c r="AKW45" s="29"/>
      <c r="AKX45" s="28"/>
      <c r="AKY45" s="29"/>
      <c r="AKZ45" s="30"/>
      <c r="ALA45" s="28"/>
      <c r="ALB45" s="29"/>
      <c r="ALC45" s="29"/>
      <c r="ALD45" s="29"/>
      <c r="ALE45" s="28"/>
      <c r="ALF45" s="29"/>
      <c r="ALG45" s="29"/>
      <c r="ALH45" s="29"/>
      <c r="ALI45" s="29"/>
      <c r="ALJ45" s="29"/>
      <c r="ALK45" s="28"/>
      <c r="ALL45" s="29"/>
      <c r="ALM45" s="29"/>
      <c r="ALN45" s="28"/>
      <c r="ALO45" s="29"/>
      <c r="ALP45" s="30"/>
      <c r="ALQ45" s="28"/>
      <c r="ALR45" s="29"/>
      <c r="ALS45" s="29"/>
      <c r="ALT45" s="29"/>
      <c r="ALU45" s="28"/>
      <c r="ALV45" s="29"/>
      <c r="ALW45" s="29"/>
      <c r="ALX45" s="28"/>
      <c r="ALY45" s="29"/>
      <c r="ALZ45" s="30"/>
      <c r="AMA45" s="28"/>
      <c r="AMB45" s="29"/>
      <c r="AMC45" s="29"/>
      <c r="AMD45" s="29"/>
      <c r="AME45" s="28"/>
      <c r="AMF45" s="29"/>
      <c r="AMG45" s="29"/>
      <c r="AMH45" s="29"/>
      <c r="AMI45" s="29"/>
      <c r="AMJ45" s="29"/>
      <c r="AMK45" s="28"/>
      <c r="AML45" s="29"/>
      <c r="AMM45" s="29"/>
      <c r="AMN45" s="28"/>
      <c r="AMO45" s="29"/>
      <c r="AMP45" s="30"/>
      <c r="AMQ45" s="28"/>
      <c r="AMR45" s="29"/>
      <c r="AMS45" s="29"/>
      <c r="AMT45" s="29"/>
      <c r="AMU45" s="28"/>
      <c r="AMV45" s="29"/>
      <c r="AMW45" s="29"/>
      <c r="AMX45" s="28"/>
      <c r="AMY45" s="29"/>
      <c r="AMZ45" s="30"/>
      <c r="ANA45" s="28"/>
      <c r="ANB45" s="29"/>
      <c r="ANC45" s="29"/>
      <c r="AND45" s="29"/>
      <c r="ANE45" s="28"/>
      <c r="ANF45" s="29"/>
      <c r="ANG45" s="29"/>
      <c r="ANH45" s="29"/>
      <c r="ANI45" s="29"/>
      <c r="ANJ45" s="29"/>
      <c r="ANK45" s="28"/>
      <c r="ANL45" s="29"/>
      <c r="ANM45" s="29"/>
      <c r="ANN45" s="28"/>
      <c r="ANO45" s="29"/>
      <c r="ANP45" s="30"/>
      <c r="ANQ45" s="28"/>
      <c r="ANR45" s="29"/>
      <c r="ANS45" s="29"/>
      <c r="ANT45" s="29"/>
      <c r="ANU45" s="28"/>
      <c r="ANV45" s="29"/>
      <c r="ANW45" s="29"/>
      <c r="ANX45" s="28"/>
      <c r="ANY45" s="29"/>
      <c r="ANZ45" s="30"/>
      <c r="AOA45" s="28"/>
      <c r="AOB45" s="29"/>
      <c r="AOC45" s="29"/>
      <c r="AOD45" s="29"/>
      <c r="AOE45" s="28"/>
      <c r="AOF45" s="29"/>
      <c r="AOG45" s="29"/>
      <c r="AOH45" s="29"/>
      <c r="AOI45" s="29"/>
      <c r="AOJ45" s="29"/>
      <c r="AOK45" s="28"/>
      <c r="AOL45" s="29"/>
      <c r="AOM45" s="29"/>
      <c r="AON45" s="28"/>
      <c r="AOO45" s="29"/>
      <c r="AOP45" s="30"/>
      <c r="AOQ45" s="28"/>
      <c r="AOR45" s="29"/>
      <c r="AOS45" s="29"/>
      <c r="AOT45" s="29"/>
      <c r="AOU45" s="28"/>
      <c r="AOV45" s="29"/>
      <c r="AOW45" s="29"/>
      <c r="AOX45" s="28"/>
      <c r="AOY45" s="29"/>
      <c r="AOZ45" s="30"/>
      <c r="APA45" s="28"/>
      <c r="APB45" s="29"/>
      <c r="APC45" s="29"/>
      <c r="APD45" s="29"/>
      <c r="APE45" s="28"/>
      <c r="APF45" s="29"/>
      <c r="APG45" s="29"/>
      <c r="APH45" s="29"/>
      <c r="API45" s="29"/>
      <c r="APJ45" s="29"/>
      <c r="APK45" s="28"/>
      <c r="APL45" s="29"/>
      <c r="APM45" s="29"/>
      <c r="APN45" s="28"/>
      <c r="APO45" s="29"/>
      <c r="APP45" s="30"/>
      <c r="APQ45" s="28"/>
      <c r="APR45" s="29"/>
      <c r="APS45" s="29"/>
      <c r="APT45" s="29"/>
      <c r="APU45" s="28"/>
      <c r="APV45" s="29"/>
      <c r="APW45" s="29"/>
      <c r="APX45" s="28"/>
      <c r="APY45" s="29"/>
      <c r="APZ45" s="30"/>
      <c r="AQA45" s="28"/>
      <c r="AQB45" s="29"/>
      <c r="AQC45" s="29"/>
      <c r="AQD45" s="29"/>
      <c r="AQE45" s="28"/>
      <c r="AQF45" s="29"/>
      <c r="AQG45" s="29"/>
      <c r="AQH45" s="29"/>
      <c r="AQI45" s="29"/>
      <c r="AQJ45" s="29"/>
      <c r="AQK45" s="28"/>
      <c r="AQL45" s="29"/>
      <c r="AQM45" s="29"/>
      <c r="AQN45" s="28"/>
      <c r="AQO45" s="29"/>
      <c r="AQP45" s="30"/>
      <c r="AQQ45" s="28"/>
      <c r="AQR45" s="29"/>
      <c r="AQS45" s="29"/>
      <c r="AQT45" s="29"/>
      <c r="AQU45" s="28"/>
      <c r="AQV45" s="29"/>
      <c r="AQW45" s="29"/>
      <c r="AQX45" s="28"/>
      <c r="AQY45" s="29"/>
      <c r="AQZ45" s="30"/>
      <c r="ARA45" s="28"/>
      <c r="ARB45" s="29"/>
      <c r="ARC45" s="29"/>
      <c r="ARD45" s="29"/>
      <c r="ARE45" s="28"/>
      <c r="ARF45" s="29"/>
      <c r="ARG45" s="29"/>
      <c r="ARH45" s="29"/>
      <c r="ARI45" s="29"/>
      <c r="ARJ45" s="29"/>
      <c r="ARK45" s="28"/>
      <c r="ARL45" s="29"/>
      <c r="ARM45" s="29"/>
      <c r="ARN45" s="28"/>
      <c r="ARO45" s="29"/>
      <c r="ARP45" s="30"/>
      <c r="ARQ45" s="28"/>
      <c r="ARR45" s="29"/>
      <c r="ARS45" s="29"/>
      <c r="ART45" s="29"/>
      <c r="ARU45" s="28"/>
      <c r="ARV45" s="29"/>
      <c r="ARW45" s="29"/>
      <c r="ARX45" s="28"/>
      <c r="ARY45" s="29"/>
      <c r="ARZ45" s="30"/>
      <c r="ASA45" s="28"/>
      <c r="ASB45" s="29"/>
      <c r="ASC45" s="29"/>
      <c r="ASD45" s="29"/>
      <c r="ASE45" s="28"/>
      <c r="ASF45" s="29"/>
      <c r="ASG45" s="29"/>
      <c r="ASH45" s="29"/>
      <c r="ASI45" s="29"/>
      <c r="ASJ45" s="29"/>
      <c r="ASK45" s="28"/>
      <c r="ASL45" s="29"/>
      <c r="ASM45" s="29"/>
      <c r="ASN45" s="28"/>
      <c r="ASO45" s="29"/>
      <c r="ASP45" s="30"/>
      <c r="ASQ45" s="28"/>
      <c r="ASR45" s="29"/>
      <c r="ASS45" s="29"/>
      <c r="AST45" s="29"/>
      <c r="ASU45" s="28"/>
      <c r="ASV45" s="29"/>
      <c r="ASW45" s="29"/>
      <c r="ASX45" s="28"/>
      <c r="ASY45" s="29"/>
      <c r="ASZ45" s="30"/>
      <c r="ATA45" s="28"/>
      <c r="ATB45" s="29"/>
      <c r="ATC45" s="29"/>
      <c r="ATD45" s="29"/>
      <c r="ATE45" s="28"/>
      <c r="ATF45" s="29"/>
      <c r="ATG45" s="29"/>
      <c r="ATH45" s="29"/>
      <c r="ATI45" s="29"/>
      <c r="ATJ45" s="29"/>
      <c r="ATK45" s="28"/>
      <c r="ATL45" s="29"/>
      <c r="ATM45" s="29"/>
      <c r="ATN45" s="28"/>
      <c r="ATO45" s="29"/>
      <c r="ATP45" s="30"/>
      <c r="ATQ45" s="28"/>
      <c r="ATR45" s="29"/>
      <c r="ATS45" s="29"/>
      <c r="ATT45" s="29"/>
      <c r="ATU45" s="28"/>
      <c r="ATV45" s="29"/>
      <c r="ATW45" s="29"/>
      <c r="ATX45" s="28"/>
      <c r="ATY45" s="29"/>
      <c r="ATZ45" s="30"/>
      <c r="AUA45" s="28"/>
      <c r="AUB45" s="29"/>
      <c r="AUC45" s="29"/>
      <c r="AUD45" s="29"/>
      <c r="AUE45" s="28"/>
      <c r="AUF45" s="29"/>
      <c r="AUG45" s="29"/>
      <c r="AUH45" s="29"/>
      <c r="AUI45" s="29"/>
      <c r="AUJ45" s="29"/>
      <c r="AUK45" s="28"/>
      <c r="AUL45" s="29"/>
      <c r="AUM45" s="29"/>
      <c r="AUN45" s="28"/>
      <c r="AUO45" s="29"/>
      <c r="AUP45" s="30"/>
      <c r="AUQ45" s="28"/>
      <c r="AUR45" s="29"/>
      <c r="AUS45" s="29"/>
      <c r="AUT45" s="29"/>
      <c r="AUU45" s="28"/>
      <c r="AUV45" s="29"/>
      <c r="AUW45" s="29"/>
      <c r="AUX45" s="28"/>
      <c r="AUY45" s="29"/>
      <c r="AUZ45" s="30"/>
      <c r="AVA45" s="28"/>
      <c r="AVB45" s="29"/>
      <c r="AVC45" s="29"/>
      <c r="AVD45" s="29"/>
      <c r="AVE45" s="28"/>
      <c r="AVF45" s="29"/>
      <c r="AVG45" s="29"/>
      <c r="AVH45" s="29"/>
      <c r="AVI45" s="29"/>
      <c r="AVJ45" s="29"/>
      <c r="AVK45" s="28"/>
      <c r="AVL45" s="29"/>
      <c r="AVM45" s="29"/>
      <c r="AVN45" s="28"/>
      <c r="AVO45" s="29"/>
      <c r="AVP45" s="30"/>
      <c r="AVQ45" s="28"/>
      <c r="AVR45" s="29"/>
      <c r="AVS45" s="29"/>
      <c r="AVT45" s="29"/>
      <c r="AVU45" s="28"/>
      <c r="AVV45" s="29"/>
      <c r="AVW45" s="29"/>
      <c r="AVX45" s="28"/>
      <c r="AVY45" s="29"/>
      <c r="AVZ45" s="30"/>
      <c r="AWA45" s="28"/>
      <c r="AWB45" s="29"/>
      <c r="AWC45" s="29"/>
      <c r="AWD45" s="29"/>
      <c r="AWE45" s="28"/>
      <c r="AWF45" s="29"/>
      <c r="AWG45" s="29"/>
      <c r="AWH45" s="29"/>
      <c r="AWI45" s="29"/>
      <c r="AWJ45" s="29"/>
      <c r="AWK45" s="28"/>
      <c r="AWL45" s="29"/>
      <c r="AWM45" s="29"/>
      <c r="AWN45" s="28"/>
      <c r="AWO45" s="29"/>
      <c r="AWP45" s="30"/>
      <c r="AWQ45" s="28"/>
      <c r="AWR45" s="29"/>
      <c r="AWS45" s="29"/>
      <c r="AWT45" s="29"/>
      <c r="AWU45" s="28"/>
      <c r="AWV45" s="29"/>
      <c r="AWW45" s="29"/>
      <c r="AWX45" s="28"/>
      <c r="AWY45" s="29"/>
      <c r="AWZ45" s="30"/>
      <c r="AXA45" s="28"/>
      <c r="AXB45" s="29"/>
      <c r="AXC45" s="29"/>
      <c r="AXD45" s="29"/>
      <c r="AXE45" s="28"/>
      <c r="AXF45" s="29"/>
      <c r="AXG45" s="29"/>
      <c r="AXH45" s="29"/>
      <c r="AXI45" s="29"/>
      <c r="AXJ45" s="29"/>
      <c r="AXK45" s="28"/>
      <c r="AXL45" s="29"/>
      <c r="AXM45" s="29"/>
      <c r="AXN45" s="28"/>
      <c r="AXO45" s="29"/>
      <c r="AXP45" s="30"/>
      <c r="AXQ45" s="28"/>
      <c r="AXR45" s="29"/>
      <c r="AXS45" s="29"/>
      <c r="AXT45" s="29"/>
      <c r="AXU45" s="28"/>
      <c r="AXV45" s="29"/>
      <c r="AXW45" s="29"/>
      <c r="AXX45" s="28"/>
      <c r="AXY45" s="29"/>
      <c r="AXZ45" s="30"/>
      <c r="AYA45" s="28"/>
      <c r="AYB45" s="29"/>
      <c r="AYC45" s="29"/>
      <c r="AYD45" s="29"/>
      <c r="AYE45" s="28"/>
      <c r="AYF45" s="29"/>
      <c r="AYG45" s="29"/>
      <c r="AYH45" s="29"/>
      <c r="AYI45" s="29"/>
      <c r="AYJ45" s="29"/>
      <c r="AYK45" s="28"/>
      <c r="AYL45" s="29"/>
      <c r="AYM45" s="29"/>
      <c r="AYN45" s="28"/>
      <c r="AYO45" s="29"/>
      <c r="AYP45" s="30"/>
      <c r="AYQ45" s="28"/>
      <c r="AYR45" s="29"/>
      <c r="AYS45" s="29"/>
      <c r="AYT45" s="29"/>
      <c r="AYU45" s="28"/>
      <c r="AYV45" s="29"/>
      <c r="AYW45" s="29"/>
      <c r="AYX45" s="28"/>
      <c r="AYY45" s="29"/>
      <c r="AYZ45" s="30"/>
      <c r="AZA45" s="28"/>
      <c r="AZB45" s="29"/>
      <c r="AZC45" s="29"/>
      <c r="AZD45" s="29"/>
      <c r="AZE45" s="28"/>
      <c r="AZF45" s="29"/>
      <c r="AZG45" s="29"/>
      <c r="AZH45" s="29"/>
      <c r="AZI45" s="29"/>
      <c r="AZJ45" s="29"/>
      <c r="AZK45" s="28"/>
      <c r="AZL45" s="29"/>
      <c r="AZM45" s="29"/>
      <c r="AZN45" s="28"/>
      <c r="AZO45" s="29"/>
      <c r="AZP45" s="30"/>
      <c r="AZQ45" s="28"/>
      <c r="AZR45" s="29"/>
      <c r="AZS45" s="29"/>
      <c r="AZT45" s="29"/>
      <c r="AZU45" s="28"/>
      <c r="AZV45" s="29"/>
      <c r="AZW45" s="29"/>
      <c r="AZX45" s="28"/>
      <c r="AZY45" s="29"/>
      <c r="AZZ45" s="30"/>
      <c r="BAA45" s="28"/>
      <c r="BAB45" s="29"/>
      <c r="BAC45" s="29"/>
      <c r="BAD45" s="29"/>
      <c r="BAE45" s="28"/>
      <c r="BAF45" s="29"/>
      <c r="BAG45" s="29"/>
      <c r="BAH45" s="29"/>
      <c r="BAI45" s="29"/>
      <c r="BAJ45" s="29"/>
      <c r="BAK45" s="28"/>
      <c r="BAL45" s="29"/>
      <c r="BAM45" s="29"/>
      <c r="BAN45" s="28"/>
      <c r="BAO45" s="29"/>
      <c r="BAP45" s="30"/>
      <c r="BAQ45" s="28"/>
      <c r="BAR45" s="29"/>
      <c r="BAS45" s="29"/>
      <c r="BAT45" s="29"/>
      <c r="BAU45" s="28"/>
      <c r="BAV45" s="29"/>
      <c r="BAW45" s="29"/>
      <c r="BAX45" s="28"/>
      <c r="BAY45" s="29"/>
      <c r="BAZ45" s="30"/>
      <c r="BBA45" s="28"/>
      <c r="BBB45" s="29"/>
      <c r="BBC45" s="29"/>
      <c r="BBD45" s="29"/>
      <c r="BBE45" s="28"/>
      <c r="BBF45" s="29"/>
      <c r="BBG45" s="29"/>
      <c r="BBH45" s="29"/>
      <c r="BBI45" s="29"/>
      <c r="BBJ45" s="29"/>
      <c r="BBK45" s="28"/>
      <c r="BBL45" s="29"/>
      <c r="BBM45" s="29"/>
      <c r="BBN45" s="28"/>
      <c r="BBO45" s="29"/>
      <c r="BBP45" s="30"/>
      <c r="BBQ45" s="28"/>
      <c r="BBR45" s="29"/>
      <c r="BBS45" s="29"/>
      <c r="BBT45" s="29"/>
      <c r="BBU45" s="28"/>
      <c r="BBV45" s="29"/>
      <c r="BBW45" s="29"/>
      <c r="BBX45" s="28"/>
      <c r="BBY45" s="29"/>
      <c r="BBZ45" s="30"/>
      <c r="BCA45" s="28"/>
      <c r="BCB45" s="29"/>
      <c r="BCC45" s="29"/>
      <c r="BCD45" s="29"/>
      <c r="BCE45" s="28"/>
      <c r="BCF45" s="29"/>
      <c r="BCG45" s="29"/>
      <c r="BCH45" s="29"/>
      <c r="BCI45" s="29"/>
      <c r="BCJ45" s="29"/>
      <c r="BCK45" s="28"/>
      <c r="BCL45" s="29"/>
      <c r="BCM45" s="29"/>
      <c r="BCN45" s="28"/>
      <c r="BCO45" s="29"/>
      <c r="BCP45" s="30"/>
      <c r="BCQ45" s="28"/>
      <c r="BCR45" s="29"/>
      <c r="BCS45" s="29"/>
      <c r="BCT45" s="29"/>
      <c r="BCU45" s="28"/>
      <c r="BCV45" s="29"/>
      <c r="BCW45" s="29"/>
      <c r="BCX45" s="28"/>
      <c r="BCY45" s="29"/>
      <c r="BCZ45" s="30"/>
      <c r="BDA45" s="28"/>
      <c r="BDB45" s="29"/>
      <c r="BDC45" s="29"/>
      <c r="BDD45" s="29"/>
      <c r="BDE45" s="28"/>
      <c r="BDF45" s="29"/>
      <c r="BDG45" s="29"/>
      <c r="BDH45" s="29"/>
      <c r="BDI45" s="29"/>
      <c r="BDJ45" s="29"/>
      <c r="BDK45" s="28"/>
      <c r="BDL45" s="29"/>
      <c r="BDM45" s="29"/>
      <c r="BDN45" s="28"/>
      <c r="BDO45" s="29"/>
      <c r="BDP45" s="30"/>
      <c r="BDQ45" s="28"/>
      <c r="BDR45" s="29"/>
      <c r="BDS45" s="29"/>
      <c r="BDT45" s="29"/>
      <c r="BDU45" s="28"/>
      <c r="BDV45" s="29"/>
      <c r="BDW45" s="29"/>
      <c r="BDX45" s="28"/>
      <c r="BDY45" s="29"/>
      <c r="BDZ45" s="30"/>
      <c r="BEA45" s="28"/>
      <c r="BEB45" s="29"/>
      <c r="BEC45" s="29"/>
      <c r="BED45" s="29"/>
      <c r="BEE45" s="28"/>
      <c r="BEF45" s="29"/>
      <c r="BEG45" s="29"/>
      <c r="BEH45" s="29"/>
      <c r="BEI45" s="29"/>
      <c r="BEJ45" s="29"/>
      <c r="BEK45" s="28"/>
      <c r="BEL45" s="29"/>
      <c r="BEM45" s="29"/>
      <c r="BEN45" s="28"/>
      <c r="BEO45" s="29"/>
      <c r="BEP45" s="30"/>
      <c r="BEQ45" s="28"/>
      <c r="BER45" s="29"/>
      <c r="BES45" s="29"/>
      <c r="BET45" s="29"/>
      <c r="BEU45" s="28"/>
      <c r="BEV45" s="29"/>
      <c r="BEW45" s="29"/>
      <c r="BEX45" s="28"/>
      <c r="BEY45" s="29"/>
      <c r="BEZ45" s="30"/>
      <c r="BFA45" s="28"/>
      <c r="BFB45" s="29"/>
      <c r="BFC45" s="29"/>
      <c r="BFD45" s="29"/>
      <c r="BFE45" s="28"/>
      <c r="BFF45" s="29"/>
      <c r="BFG45" s="29"/>
      <c r="BFH45" s="29"/>
      <c r="BFI45" s="29"/>
      <c r="BFJ45" s="29"/>
      <c r="BFK45" s="28"/>
      <c r="BFL45" s="29"/>
      <c r="BFM45" s="29"/>
      <c r="BFN45" s="28"/>
      <c r="BFO45" s="29"/>
      <c r="BFP45" s="30"/>
      <c r="BFQ45" s="28"/>
      <c r="BFR45" s="29"/>
      <c r="BFS45" s="29"/>
      <c r="BFT45" s="29"/>
      <c r="BFU45" s="28"/>
      <c r="BFV45" s="29"/>
      <c r="BFW45" s="29"/>
      <c r="BFX45" s="28"/>
      <c r="BFY45" s="29"/>
      <c r="BFZ45" s="30"/>
      <c r="BGA45" s="28"/>
      <c r="BGB45" s="29"/>
      <c r="BGC45" s="29"/>
      <c r="BGD45" s="29"/>
      <c r="BGE45" s="28"/>
      <c r="BGF45" s="29"/>
      <c r="BGG45" s="29"/>
      <c r="BGH45" s="29"/>
      <c r="BGI45" s="29"/>
      <c r="BGJ45" s="29"/>
      <c r="BGK45" s="28"/>
      <c r="BGL45" s="29"/>
      <c r="BGM45" s="29"/>
      <c r="BGN45" s="28"/>
      <c r="BGO45" s="29"/>
      <c r="BGP45" s="30"/>
      <c r="BGQ45" s="28"/>
      <c r="BGR45" s="29"/>
      <c r="BGS45" s="29"/>
      <c r="BGT45" s="29"/>
      <c r="BGU45" s="28"/>
      <c r="BGV45" s="29"/>
      <c r="BGW45" s="29"/>
      <c r="BGX45" s="28"/>
      <c r="BGY45" s="29"/>
      <c r="BGZ45" s="30"/>
      <c r="BHA45" s="28"/>
      <c r="BHB45" s="29"/>
      <c r="BHC45" s="29"/>
      <c r="BHD45" s="29"/>
      <c r="BHE45" s="28"/>
      <c r="BHF45" s="29"/>
      <c r="BHG45" s="29"/>
      <c r="BHH45" s="29"/>
      <c r="BHI45" s="29"/>
      <c r="BHJ45" s="29"/>
      <c r="BHK45" s="28"/>
      <c r="BHL45" s="29"/>
      <c r="BHM45" s="29"/>
      <c r="BHN45" s="28"/>
      <c r="BHO45" s="29"/>
      <c r="BHP45" s="30"/>
      <c r="BHQ45" s="28"/>
      <c r="BHR45" s="29"/>
      <c r="BHS45" s="29"/>
      <c r="BHT45" s="29"/>
      <c r="BHU45" s="28"/>
      <c r="BHV45" s="29"/>
      <c r="BHW45" s="29"/>
      <c r="BHX45" s="28"/>
      <c r="BHY45" s="29"/>
      <c r="BHZ45" s="30"/>
      <c r="BIA45" s="28"/>
      <c r="BIB45" s="29"/>
      <c r="BIC45" s="29"/>
      <c r="BID45" s="29"/>
      <c r="BIE45" s="28"/>
      <c r="BIF45" s="29"/>
      <c r="BIG45" s="29"/>
      <c r="BIH45" s="29"/>
      <c r="BII45" s="29"/>
      <c r="BIJ45" s="29"/>
      <c r="BIK45" s="28"/>
      <c r="BIL45" s="29"/>
      <c r="BIM45" s="29"/>
      <c r="BIN45" s="28"/>
      <c r="BIO45" s="29"/>
      <c r="BIP45" s="30"/>
      <c r="BIQ45" s="28"/>
      <c r="BIR45" s="29"/>
      <c r="BIS45" s="29"/>
      <c r="BIT45" s="29"/>
      <c r="BIU45" s="28"/>
      <c r="BIV45" s="29"/>
      <c r="BIW45" s="29"/>
      <c r="BIX45" s="28"/>
      <c r="BIY45" s="29"/>
      <c r="BIZ45" s="30"/>
      <c r="BJA45" s="28"/>
      <c r="BJB45" s="29"/>
      <c r="BJC45" s="29"/>
      <c r="BJD45" s="29"/>
      <c r="BJE45" s="28"/>
      <c r="BJF45" s="29"/>
      <c r="BJG45" s="29"/>
      <c r="BJH45" s="29"/>
      <c r="BJI45" s="29"/>
      <c r="BJJ45" s="29"/>
      <c r="BJK45" s="28"/>
      <c r="BJL45" s="29"/>
      <c r="BJM45" s="29"/>
      <c r="BJN45" s="28"/>
      <c r="BJO45" s="29"/>
      <c r="BJP45" s="30"/>
      <c r="BJQ45" s="28"/>
      <c r="BJR45" s="29"/>
      <c r="BJS45" s="29"/>
      <c r="BJT45" s="29"/>
      <c r="BJU45" s="28"/>
      <c r="BJV45" s="29"/>
      <c r="BJW45" s="29"/>
      <c r="BJX45" s="28"/>
      <c r="BJY45" s="29"/>
      <c r="BJZ45" s="30"/>
      <c r="BKA45" s="28"/>
      <c r="BKB45" s="29"/>
      <c r="BKC45" s="29"/>
      <c r="BKD45" s="29"/>
      <c r="BKE45" s="28"/>
      <c r="BKF45" s="29"/>
      <c r="BKG45" s="29"/>
      <c r="BKH45" s="29"/>
      <c r="BKI45" s="29"/>
      <c r="BKJ45" s="29"/>
      <c r="BKK45" s="28"/>
      <c r="BKL45" s="29"/>
      <c r="BKM45" s="29"/>
      <c r="BKN45" s="28"/>
      <c r="BKO45" s="29"/>
      <c r="BKP45" s="30"/>
      <c r="BKQ45" s="28"/>
      <c r="BKR45" s="29"/>
      <c r="BKS45" s="29"/>
      <c r="BKT45" s="29"/>
      <c r="BKU45" s="28"/>
      <c r="BKV45" s="29"/>
      <c r="BKW45" s="29"/>
      <c r="BKX45" s="28"/>
      <c r="BKY45" s="29"/>
      <c r="BKZ45" s="30"/>
      <c r="BLA45" s="28"/>
      <c r="BLB45" s="29"/>
      <c r="BLC45" s="29"/>
      <c r="BLD45" s="29"/>
      <c r="BLE45" s="28"/>
      <c r="BLF45" s="29"/>
      <c r="BLG45" s="29"/>
      <c r="BLH45" s="29"/>
      <c r="BLI45" s="29"/>
      <c r="BLJ45" s="29"/>
      <c r="BLK45" s="28"/>
      <c r="BLL45" s="29"/>
      <c r="BLM45" s="29"/>
      <c r="BLN45" s="28"/>
      <c r="BLO45" s="29"/>
      <c r="BLP45" s="30"/>
      <c r="BLQ45" s="28"/>
      <c r="BLR45" s="29"/>
      <c r="BLS45" s="29"/>
      <c r="BLT45" s="29"/>
      <c r="BLU45" s="28"/>
      <c r="BLV45" s="29"/>
      <c r="BLW45" s="29"/>
      <c r="BLX45" s="28"/>
      <c r="BLY45" s="29"/>
      <c r="BLZ45" s="30"/>
      <c r="BMA45" s="28"/>
      <c r="BMB45" s="29"/>
      <c r="BMC45" s="29"/>
      <c r="BMD45" s="29"/>
      <c r="BME45" s="28"/>
      <c r="BMF45" s="29"/>
      <c r="BMG45" s="29"/>
      <c r="BMH45" s="29"/>
      <c r="BMI45" s="29"/>
      <c r="BMJ45" s="29"/>
      <c r="BMK45" s="28"/>
      <c r="BML45" s="29"/>
      <c r="BMM45" s="29"/>
      <c r="BMN45" s="28"/>
      <c r="BMO45" s="29"/>
      <c r="BMP45" s="30"/>
      <c r="BMQ45" s="28"/>
      <c r="BMR45" s="29"/>
      <c r="BMS45" s="29"/>
      <c r="BMT45" s="29"/>
      <c r="BMU45" s="28"/>
      <c r="BMV45" s="29"/>
      <c r="BMW45" s="29"/>
      <c r="BMX45" s="28"/>
      <c r="BMY45" s="29"/>
      <c r="BMZ45" s="30"/>
      <c r="BNA45" s="28"/>
      <c r="BNB45" s="29"/>
      <c r="BNC45" s="29"/>
      <c r="BND45" s="29"/>
      <c r="BNE45" s="28"/>
      <c r="BNF45" s="29"/>
      <c r="BNG45" s="29"/>
      <c r="BNH45" s="29"/>
      <c r="BNI45" s="29"/>
      <c r="BNJ45" s="29"/>
      <c r="BNK45" s="28"/>
      <c r="BNL45" s="29"/>
      <c r="BNM45" s="29"/>
      <c r="BNN45" s="28"/>
      <c r="BNO45" s="29"/>
      <c r="BNP45" s="30"/>
      <c r="BNQ45" s="28"/>
      <c r="BNR45" s="29"/>
      <c r="BNS45" s="29"/>
      <c r="BNT45" s="29"/>
      <c r="BNU45" s="28"/>
      <c r="BNV45" s="29"/>
      <c r="BNW45" s="29"/>
      <c r="BNX45" s="28"/>
      <c r="BNY45" s="29"/>
      <c r="BNZ45" s="30"/>
      <c r="BOA45" s="28"/>
      <c r="BOB45" s="29"/>
      <c r="BOC45" s="29"/>
      <c r="BOD45" s="29"/>
      <c r="BOE45" s="28"/>
      <c r="BOF45" s="29"/>
      <c r="BOG45" s="29"/>
      <c r="BOH45" s="29"/>
      <c r="BOI45" s="29"/>
      <c r="BOJ45" s="29"/>
      <c r="BOK45" s="28"/>
      <c r="BOL45" s="29"/>
      <c r="BOM45" s="29"/>
      <c r="BON45" s="28"/>
      <c r="BOO45" s="29"/>
      <c r="BOP45" s="30"/>
      <c r="BOQ45" s="28"/>
      <c r="BOR45" s="29"/>
      <c r="BOS45" s="29"/>
      <c r="BOT45" s="29"/>
      <c r="BOU45" s="28"/>
      <c r="BOV45" s="29"/>
      <c r="BOW45" s="29"/>
      <c r="BOX45" s="28"/>
      <c r="BOY45" s="29"/>
      <c r="BOZ45" s="30"/>
      <c r="BPA45" s="28"/>
      <c r="BPB45" s="29"/>
      <c r="BPC45" s="29"/>
      <c r="BPD45" s="29"/>
      <c r="BPE45" s="28"/>
      <c r="BPF45" s="29"/>
      <c r="BPG45" s="29"/>
      <c r="BPH45" s="29"/>
      <c r="BPI45" s="29"/>
      <c r="BPJ45" s="29"/>
      <c r="BPK45" s="28"/>
      <c r="BPL45" s="29"/>
      <c r="BPM45" s="29"/>
      <c r="BPN45" s="28"/>
      <c r="BPO45" s="29"/>
      <c r="BPP45" s="30"/>
      <c r="BPQ45" s="28"/>
      <c r="BPR45" s="29"/>
      <c r="BPS45" s="29"/>
      <c r="BPT45" s="29"/>
      <c r="BPU45" s="28"/>
      <c r="BPV45" s="29"/>
      <c r="BPW45" s="29"/>
      <c r="BPX45" s="28"/>
      <c r="BPY45" s="29"/>
      <c r="BPZ45" s="30"/>
      <c r="BQA45" s="28"/>
      <c r="BQB45" s="29"/>
      <c r="BQC45" s="29"/>
      <c r="BQD45" s="29"/>
      <c r="BQE45" s="28"/>
      <c r="BQF45" s="29"/>
      <c r="BQG45" s="29"/>
      <c r="BQH45" s="29"/>
      <c r="BQI45" s="29"/>
      <c r="BQJ45" s="29"/>
      <c r="BQK45" s="28"/>
      <c r="BQL45" s="29"/>
      <c r="BQM45" s="29"/>
      <c r="BQN45" s="28"/>
      <c r="BQO45" s="29"/>
      <c r="BQP45" s="30"/>
      <c r="BQQ45" s="28"/>
      <c r="BQR45" s="29"/>
      <c r="BQS45" s="29"/>
      <c r="BQT45" s="29"/>
      <c r="BQU45" s="28"/>
      <c r="BQV45" s="29"/>
      <c r="BQW45" s="29"/>
      <c r="BQX45" s="28"/>
      <c r="BQY45" s="29"/>
      <c r="BQZ45" s="30"/>
      <c r="BRA45" s="28"/>
      <c r="BRB45" s="29"/>
      <c r="BRC45" s="29"/>
      <c r="BRD45" s="29"/>
      <c r="BRE45" s="28"/>
      <c r="BRF45" s="29"/>
      <c r="BRG45" s="29"/>
      <c r="BRH45" s="29"/>
      <c r="BRI45" s="29"/>
      <c r="BRJ45" s="29"/>
      <c r="BRK45" s="28"/>
      <c r="BRL45" s="29"/>
      <c r="BRM45" s="29"/>
      <c r="BRN45" s="28"/>
      <c r="BRO45" s="29"/>
      <c r="BRP45" s="30"/>
      <c r="BRQ45" s="28"/>
      <c r="BRR45" s="29"/>
      <c r="BRS45" s="29"/>
      <c r="BRT45" s="29"/>
      <c r="BRU45" s="28"/>
      <c r="BRV45" s="29"/>
      <c r="BRW45" s="29"/>
      <c r="BRX45" s="28"/>
      <c r="BRY45" s="29"/>
      <c r="BRZ45" s="30"/>
      <c r="BSA45" s="28"/>
      <c r="BSB45" s="29"/>
      <c r="BSC45" s="29"/>
      <c r="BSD45" s="29"/>
      <c r="BSE45" s="28"/>
      <c r="BSF45" s="29"/>
      <c r="BSG45" s="29"/>
      <c r="BSH45" s="29"/>
      <c r="BSI45" s="29"/>
      <c r="BSJ45" s="29"/>
      <c r="BSK45" s="28"/>
      <c r="BSL45" s="29"/>
      <c r="BSM45" s="29"/>
      <c r="BSN45" s="28"/>
      <c r="BSO45" s="29"/>
      <c r="BSP45" s="30"/>
      <c r="BSQ45" s="28"/>
      <c r="BSR45" s="29"/>
      <c r="BSS45" s="29"/>
      <c r="BST45" s="29"/>
      <c r="BSU45" s="28"/>
      <c r="BSV45" s="29"/>
      <c r="BSW45" s="29"/>
      <c r="BSX45" s="28"/>
      <c r="BSY45" s="29"/>
      <c r="BSZ45" s="30"/>
      <c r="BTA45" s="28"/>
      <c r="BTB45" s="29"/>
      <c r="BTC45" s="29"/>
      <c r="BTD45" s="29"/>
      <c r="BTE45" s="28"/>
      <c r="BTF45" s="29"/>
      <c r="BTG45" s="29"/>
      <c r="BTH45" s="29"/>
      <c r="BTI45" s="29"/>
      <c r="BTJ45" s="29"/>
      <c r="BTK45" s="28"/>
      <c r="BTL45" s="29"/>
      <c r="BTM45" s="29"/>
      <c r="BTN45" s="28"/>
      <c r="BTO45" s="29"/>
      <c r="BTP45" s="30"/>
      <c r="BTQ45" s="28"/>
      <c r="BTR45" s="29"/>
      <c r="BTS45" s="29"/>
      <c r="BTT45" s="29"/>
      <c r="BTU45" s="28"/>
      <c r="BTV45" s="29"/>
      <c r="BTW45" s="29"/>
      <c r="BTX45" s="28"/>
      <c r="BTY45" s="29"/>
      <c r="BTZ45" s="30"/>
      <c r="BUA45" s="28"/>
      <c r="BUB45" s="29"/>
      <c r="BUC45" s="29"/>
      <c r="BUD45" s="29"/>
      <c r="BUE45" s="28"/>
      <c r="BUF45" s="29"/>
      <c r="BUG45" s="29"/>
      <c r="BUH45" s="29"/>
      <c r="BUI45" s="29"/>
      <c r="BUJ45" s="29"/>
      <c r="BUK45" s="28"/>
      <c r="BUL45" s="29"/>
      <c r="BUM45" s="29"/>
      <c r="BUN45" s="28"/>
      <c r="BUO45" s="29"/>
      <c r="BUP45" s="30"/>
      <c r="BUQ45" s="28"/>
      <c r="BUR45" s="29"/>
      <c r="BUS45" s="29"/>
      <c r="BUT45" s="29"/>
      <c r="BUU45" s="28"/>
      <c r="BUV45" s="29"/>
      <c r="BUW45" s="29"/>
      <c r="BUX45" s="28"/>
      <c r="BUY45" s="29"/>
      <c r="BUZ45" s="30"/>
      <c r="BVA45" s="28"/>
      <c r="BVB45" s="29"/>
      <c r="BVC45" s="29"/>
      <c r="BVD45" s="29"/>
      <c r="BVE45" s="28"/>
      <c r="BVF45" s="29"/>
      <c r="BVG45" s="29"/>
      <c r="BVH45" s="29"/>
      <c r="BVI45" s="29"/>
      <c r="BVJ45" s="29"/>
      <c r="BVK45" s="28"/>
      <c r="BVL45" s="29"/>
      <c r="BVM45" s="29"/>
      <c r="BVN45" s="28"/>
      <c r="BVO45" s="29"/>
      <c r="BVP45" s="30"/>
      <c r="BVQ45" s="28"/>
      <c r="BVR45" s="29"/>
      <c r="BVS45" s="29"/>
      <c r="BVT45" s="29"/>
      <c r="BVU45" s="28"/>
      <c r="BVV45" s="29"/>
      <c r="BVW45" s="29"/>
      <c r="BVX45" s="28"/>
      <c r="BVY45" s="29"/>
      <c r="BVZ45" s="30"/>
      <c r="BWA45" s="28"/>
      <c r="BWB45" s="29"/>
      <c r="BWC45" s="29"/>
      <c r="BWD45" s="29"/>
      <c r="BWE45" s="28"/>
      <c r="BWF45" s="29"/>
      <c r="BWG45" s="29"/>
      <c r="BWH45" s="29"/>
      <c r="BWI45" s="29"/>
      <c r="BWJ45" s="29"/>
      <c r="BWK45" s="28"/>
      <c r="BWL45" s="29"/>
      <c r="BWM45" s="29"/>
      <c r="BWN45" s="28"/>
      <c r="BWO45" s="29"/>
      <c r="BWP45" s="30"/>
      <c r="BWQ45" s="28"/>
      <c r="BWR45" s="29"/>
      <c r="BWS45" s="29"/>
      <c r="BWT45" s="29"/>
      <c r="BWU45" s="28"/>
      <c r="BWV45" s="29"/>
      <c r="BWW45" s="29"/>
      <c r="BWX45" s="28"/>
      <c r="BWY45" s="29"/>
      <c r="BWZ45" s="30"/>
      <c r="BXA45" s="28"/>
      <c r="BXB45" s="29"/>
      <c r="BXC45" s="29"/>
      <c r="BXD45" s="29"/>
      <c r="BXE45" s="28"/>
      <c r="BXF45" s="29"/>
      <c r="BXG45" s="29"/>
      <c r="BXH45" s="29"/>
      <c r="BXI45" s="29"/>
      <c r="BXJ45" s="29"/>
      <c r="BXK45" s="28"/>
      <c r="BXL45" s="29"/>
      <c r="BXM45" s="29"/>
      <c r="BXN45" s="28"/>
      <c r="BXO45" s="29"/>
      <c r="BXP45" s="30"/>
      <c r="BXQ45" s="28"/>
      <c r="BXR45" s="29"/>
      <c r="BXS45" s="29"/>
      <c r="BXT45" s="29"/>
      <c r="BXU45" s="28"/>
      <c r="BXV45" s="29"/>
      <c r="BXW45" s="29"/>
      <c r="BXX45" s="28"/>
      <c r="BXY45" s="29"/>
      <c r="BXZ45" s="30"/>
      <c r="BYA45" s="28"/>
      <c r="BYB45" s="29"/>
      <c r="BYC45" s="29"/>
      <c r="BYD45" s="29"/>
      <c r="BYE45" s="28"/>
      <c r="BYF45" s="29"/>
      <c r="BYG45" s="29"/>
      <c r="BYH45" s="29"/>
      <c r="BYI45" s="29"/>
      <c r="BYJ45" s="29"/>
      <c r="BYK45" s="28"/>
      <c r="BYL45" s="29"/>
      <c r="BYM45" s="29"/>
      <c r="BYN45" s="28"/>
      <c r="BYO45" s="29"/>
      <c r="BYP45" s="30"/>
      <c r="BYQ45" s="28"/>
      <c r="BYR45" s="29"/>
      <c r="BYS45" s="29"/>
      <c r="BYT45" s="29"/>
      <c r="BYU45" s="28"/>
      <c r="BYV45" s="29"/>
      <c r="BYW45" s="29"/>
      <c r="BYX45" s="30"/>
      <c r="BYY45" s="29"/>
      <c r="BYZ45" s="28"/>
      <c r="BZA45" s="29"/>
      <c r="BZB45" s="28"/>
      <c r="BZC45" s="28"/>
      <c r="BZD45" s="28"/>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30"/>
      <c r="CAQ45" s="28"/>
      <c r="CAR45" s="29"/>
      <c r="CAS45" s="29"/>
      <c r="CAT45" s="29"/>
      <c r="CAU45" s="29"/>
      <c r="CAV45" s="29"/>
      <c r="CAW45" s="28"/>
      <c r="CAX45" s="29"/>
      <c r="CAY45" s="29"/>
      <c r="CAZ45" s="28"/>
      <c r="CBA45" s="29"/>
      <c r="CBB45" s="30"/>
      <c r="CBC45" s="28"/>
      <c r="CBD45" s="29"/>
      <c r="CBE45" s="29"/>
      <c r="CBF45" s="29"/>
      <c r="CBG45" s="28"/>
      <c r="CBH45" s="29"/>
      <c r="CBI45" s="29"/>
      <c r="CBJ45" s="28"/>
      <c r="CBK45" s="29"/>
      <c r="CBL45" s="30"/>
      <c r="CBM45" s="28"/>
      <c r="CBN45" s="29"/>
      <c r="CBO45" s="29"/>
      <c r="CBP45" s="29"/>
      <c r="CBQ45" s="28"/>
      <c r="CBR45" s="29"/>
      <c r="CBS45" s="29"/>
      <c r="CBT45" s="28"/>
      <c r="CBU45" s="29"/>
      <c r="CBV45" s="30"/>
      <c r="CBW45" s="28"/>
      <c r="CBX45" s="29"/>
      <c r="CBY45" s="29"/>
      <c r="CBZ45" s="29"/>
      <c r="CCA45" s="28"/>
      <c r="CCB45" s="29"/>
      <c r="CCC45" s="29"/>
      <c r="CCD45" s="28"/>
      <c r="CCE45" s="29"/>
      <c r="CCF45" s="30"/>
      <c r="CCG45" s="28"/>
      <c r="CCH45" s="30"/>
      <c r="CCI45" s="29"/>
      <c r="CCJ45" s="28"/>
      <c r="CCK45" s="29"/>
      <c r="CCL45" s="28"/>
      <c r="CCM45" s="28"/>
      <c r="CCN45" s="28"/>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30"/>
      <c r="CEA45" s="28"/>
      <c r="CEB45" s="29"/>
      <c r="CEC45" s="29"/>
      <c r="CED45" s="29"/>
      <c r="CEE45" s="29"/>
      <c r="CEF45" s="29"/>
      <c r="CEG45" s="28"/>
      <c r="CEH45" s="29"/>
      <c r="CEI45" s="29"/>
      <c r="CEJ45" s="28"/>
      <c r="CEK45" s="29"/>
      <c r="CEL45" s="30"/>
      <c r="CEM45" s="28"/>
      <c r="CEN45" s="29"/>
      <c r="CEO45" s="29"/>
      <c r="CEP45" s="29"/>
      <c r="CEQ45" s="28"/>
      <c r="CER45" s="29"/>
      <c r="CES45" s="29"/>
      <c r="CET45" s="28"/>
      <c r="CEU45" s="29"/>
      <c r="CEV45" s="30"/>
      <c r="CEW45" s="28"/>
      <c r="CEX45" s="29"/>
      <c r="CEY45" s="29"/>
      <c r="CEZ45" s="29"/>
      <c r="CFA45" s="28"/>
      <c r="CFB45" s="29"/>
      <c r="CFC45" s="29"/>
      <c r="CFD45" s="28"/>
      <c r="CFE45" s="29"/>
      <c r="CFF45" s="30"/>
      <c r="CFG45" s="28"/>
      <c r="CFH45" s="29"/>
      <c r="CFI45" s="29"/>
      <c r="CFJ45" s="29"/>
      <c r="CFK45" s="28"/>
      <c r="CFL45" s="29"/>
      <c r="CFM45" s="29"/>
      <c r="CFN45" s="28"/>
      <c r="CFO45" s="29"/>
      <c r="CFP45" s="30"/>
      <c r="CFQ45" s="28"/>
      <c r="CFR45" s="30"/>
      <c r="CFS45" s="29"/>
      <c r="CFT45" s="28"/>
      <c r="CFU45" s="29"/>
      <c r="CFV45" s="28"/>
      <c r="CFW45" s="28"/>
      <c r="CFX45" s="28"/>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30"/>
      <c r="CHK45" s="28"/>
      <c r="CHL45" s="29"/>
      <c r="CHM45" s="29"/>
      <c r="CHN45" s="29"/>
      <c r="CHO45" s="29"/>
      <c r="CHP45" s="29"/>
      <c r="CHQ45" s="28"/>
      <c r="CHR45" s="29"/>
      <c r="CHS45" s="29"/>
      <c r="CHT45" s="28"/>
      <c r="CHU45" s="29"/>
      <c r="CHV45" s="30"/>
      <c r="CHW45" s="28"/>
      <c r="CHX45" s="29"/>
      <c r="CHY45" s="29"/>
      <c r="CHZ45" s="29"/>
      <c r="CIA45" s="28"/>
      <c r="CIB45" s="29"/>
      <c r="CIC45" s="29"/>
      <c r="CID45" s="28"/>
      <c r="CIE45" s="29"/>
      <c r="CIF45" s="30"/>
      <c r="CIG45" s="28"/>
      <c r="CIH45" s="29"/>
      <c r="CII45" s="29"/>
      <c r="CIJ45" s="29"/>
      <c r="CIK45" s="28"/>
      <c r="CIL45" s="29"/>
      <c r="CIM45" s="29"/>
      <c r="CIN45" s="28"/>
      <c r="CIO45" s="29"/>
      <c r="CIP45" s="30"/>
      <c r="CIQ45" s="28"/>
      <c r="CIR45" s="29"/>
      <c r="CIS45" s="29"/>
      <c r="CIT45" s="29"/>
      <c r="CIU45" s="28"/>
      <c r="CIV45" s="29"/>
      <c r="CIW45" s="29"/>
      <c r="CIX45" s="28"/>
      <c r="CIY45" s="29"/>
      <c r="CIZ45" s="30"/>
      <c r="CJA45" s="28"/>
      <c r="CJB45" s="30"/>
      <c r="CJC45" s="29"/>
      <c r="CJD45" s="28"/>
      <c r="CJE45" s="29"/>
      <c r="CJF45" s="28"/>
      <c r="CJG45" s="28"/>
      <c r="CJH45" s="28"/>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30"/>
      <c r="CKU45" s="28"/>
      <c r="CKV45" s="29"/>
      <c r="CKW45" s="29"/>
      <c r="CKX45" s="29"/>
      <c r="CKY45" s="29"/>
      <c r="CKZ45" s="29"/>
      <c r="CLA45" s="28"/>
      <c r="CLB45" s="29"/>
      <c r="CLC45" s="29"/>
      <c r="CLD45" s="28"/>
      <c r="CLE45" s="29"/>
      <c r="CLF45" s="30"/>
      <c r="CLG45" s="28"/>
      <c r="CLH45" s="29"/>
      <c r="CLI45" s="29"/>
      <c r="CLJ45" s="29"/>
      <c r="CLK45" s="28"/>
      <c r="CLL45" s="29"/>
      <c r="CLM45" s="29"/>
      <c r="CLN45" s="28"/>
      <c r="CLO45" s="29"/>
      <c r="CLP45" s="30"/>
      <c r="CLQ45" s="28"/>
      <c r="CLR45" s="29"/>
      <c r="CLS45" s="29"/>
      <c r="CLT45" s="29"/>
      <c r="CLU45" s="28"/>
      <c r="CLV45" s="29"/>
      <c r="CLW45" s="29"/>
      <c r="CLX45" s="28"/>
      <c r="CLY45" s="29"/>
      <c r="CLZ45" s="30"/>
      <c r="CMA45" s="28"/>
      <c r="CMB45" s="29"/>
      <c r="CMC45" s="29"/>
      <c r="CMD45" s="29"/>
      <c r="CME45" s="28"/>
      <c r="CMF45" s="29"/>
      <c r="CMG45" s="29"/>
      <c r="CMH45" s="28"/>
      <c r="CMI45" s="29"/>
      <c r="CMJ45" s="30"/>
      <c r="CMK45" s="28"/>
      <c r="CML45" s="30"/>
      <c r="CMM45" s="29"/>
      <c r="CMN45" s="28"/>
      <c r="CMO45" s="29"/>
      <c r="CMP45" s="28"/>
      <c r="CMQ45" s="28"/>
      <c r="CMR45" s="28"/>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30"/>
      <c r="COE45" s="28"/>
      <c r="COF45" s="29"/>
      <c r="COG45" s="29"/>
      <c r="COH45" s="29"/>
      <c r="COI45" s="29"/>
      <c r="COJ45" s="29"/>
      <c r="COK45" s="28"/>
      <c r="COL45" s="29"/>
      <c r="COM45" s="29"/>
      <c r="CON45" s="28"/>
      <c r="COO45" s="29"/>
      <c r="COP45" s="30"/>
      <c r="COQ45" s="28"/>
      <c r="COR45" s="29"/>
      <c r="COS45" s="29"/>
      <c r="COT45" s="29"/>
      <c r="COU45" s="28"/>
      <c r="COV45" s="29"/>
      <c r="COW45" s="29"/>
      <c r="COX45" s="28"/>
      <c r="COY45" s="29"/>
      <c r="COZ45" s="30"/>
      <c r="CPA45" s="28"/>
      <c r="CPB45" s="29"/>
      <c r="CPC45" s="29"/>
      <c r="CPD45" s="29"/>
      <c r="CPE45" s="28"/>
      <c r="CPF45" s="29"/>
      <c r="CPG45" s="29"/>
      <c r="CPH45" s="28"/>
      <c r="CPI45" s="29"/>
      <c r="CPJ45" s="30"/>
      <c r="CPK45" s="28"/>
      <c r="CPL45" s="29"/>
      <c r="CPM45" s="29"/>
      <c r="CPN45" s="29"/>
      <c r="CPO45" s="28"/>
      <c r="CPP45" s="29"/>
      <c r="CPQ45" s="29"/>
      <c r="CPR45" s="28"/>
      <c r="CPS45" s="29"/>
      <c r="CPT45" s="30"/>
      <c r="CPU45" s="28"/>
      <c r="CPV45" s="30"/>
      <c r="CPW45" s="29"/>
      <c r="CPX45" s="28"/>
      <c r="CPY45" s="29"/>
      <c r="CPZ45" s="28"/>
      <c r="CQA45" s="28"/>
      <c r="CQB45" s="28"/>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30"/>
      <c r="CRO45" s="28"/>
      <c r="CRP45" s="29"/>
      <c r="CRQ45" s="29"/>
      <c r="CRR45" s="29"/>
      <c r="CRS45" s="29"/>
      <c r="CRT45" s="29"/>
      <c r="CRU45" s="28"/>
      <c r="CRV45" s="29"/>
      <c r="CRW45" s="29"/>
      <c r="CRX45" s="28"/>
      <c r="CRY45" s="29"/>
      <c r="CRZ45" s="30"/>
      <c r="CSA45" s="28"/>
      <c r="CSB45" s="29"/>
      <c r="CSC45" s="29"/>
      <c r="CSD45" s="29"/>
      <c r="CSE45" s="28"/>
      <c r="CSF45" s="29"/>
      <c r="CSG45" s="29"/>
      <c r="CSH45" s="28"/>
      <c r="CSI45" s="29"/>
      <c r="CSJ45" s="30"/>
      <c r="CSK45" s="28"/>
      <c r="CSL45" s="29"/>
      <c r="CSM45" s="29"/>
      <c r="CSN45" s="29"/>
      <c r="CSO45" s="28"/>
      <c r="CSP45" s="29"/>
      <c r="CSQ45" s="29"/>
      <c r="CSR45" s="28"/>
      <c r="CSS45" s="29"/>
      <c r="CST45" s="30"/>
      <c r="CSU45" s="28"/>
      <c r="CSV45" s="29"/>
      <c r="CSW45" s="29"/>
      <c r="CSX45" s="29"/>
      <c r="CSY45" s="28"/>
      <c r="CSZ45" s="29"/>
      <c r="CTA45" s="29"/>
      <c r="CTB45" s="28"/>
      <c r="CTC45" s="29"/>
      <c r="CTD45" s="30"/>
      <c r="CTE45" s="28"/>
      <c r="CTF45" s="30"/>
      <c r="CTG45" s="29"/>
      <c r="CTH45" s="28"/>
      <c r="CTI45" s="29"/>
      <c r="CTJ45" s="28"/>
      <c r="CTK45" s="28"/>
      <c r="CTL45" s="28"/>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30"/>
      <c r="CUY45" s="28"/>
      <c r="CUZ45" s="29"/>
      <c r="CVA45" s="29"/>
      <c r="CVB45" s="29"/>
      <c r="CVC45" s="29"/>
      <c r="CVD45" s="29"/>
      <c r="CVE45" s="28"/>
      <c r="CVF45" s="29"/>
      <c r="CVG45" s="29"/>
      <c r="CVH45" s="28"/>
      <c r="CVI45" s="29"/>
      <c r="CVJ45" s="30"/>
      <c r="CVK45" s="28"/>
      <c r="CVL45" s="29"/>
      <c r="CVM45" s="29"/>
      <c r="CVN45" s="29"/>
      <c r="CVO45" s="28"/>
      <c r="CVP45" s="29"/>
      <c r="CVQ45" s="29"/>
      <c r="CVR45" s="28"/>
      <c r="CVS45" s="29"/>
      <c r="CVT45" s="30"/>
      <c r="CVU45" s="28"/>
      <c r="CVV45" s="29"/>
      <c r="CVW45" s="29"/>
      <c r="CVX45" s="29"/>
      <c r="CVY45" s="28"/>
      <c r="CVZ45" s="29"/>
      <c r="CWA45" s="29"/>
      <c r="CWB45" s="28"/>
      <c r="CWC45" s="29"/>
      <c r="CWD45" s="30"/>
      <c r="CWE45" s="28"/>
      <c r="CWF45" s="29"/>
      <c r="CWG45" s="29"/>
      <c r="CWH45" s="29"/>
      <c r="CWI45" s="28"/>
      <c r="CWJ45" s="29"/>
      <c r="CWK45" s="29"/>
      <c r="CWL45" s="28"/>
      <c r="CWM45" s="29"/>
      <c r="CWN45" s="30"/>
      <c r="CWO45" s="28"/>
      <c r="CWP45" s="30"/>
      <c r="CWQ45" s="29"/>
      <c r="CWR45" s="28"/>
      <c r="CWS45" s="29"/>
      <c r="CWT45" s="28"/>
      <c r="CWU45" s="28"/>
      <c r="CWV45" s="28"/>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30"/>
      <c r="CYI45" s="28"/>
      <c r="CYJ45" s="29"/>
      <c r="CYK45" s="29"/>
      <c r="CYL45" s="29"/>
      <c r="CYM45" s="29"/>
      <c r="CYN45" s="29"/>
      <c r="CYO45" s="28"/>
      <c r="CYP45" s="29"/>
      <c r="CYQ45" s="29"/>
      <c r="CYR45" s="28"/>
      <c r="CYS45" s="29"/>
      <c r="CYT45" s="30"/>
      <c r="CYU45" s="28"/>
      <c r="CYV45" s="29"/>
      <c r="CYW45" s="29"/>
      <c r="CYX45" s="29"/>
      <c r="CYY45" s="28"/>
      <c r="CYZ45" s="29"/>
      <c r="CZA45" s="29"/>
      <c r="CZB45" s="28"/>
      <c r="CZC45" s="29"/>
      <c r="CZD45" s="30"/>
      <c r="CZE45" s="28"/>
      <c r="CZF45" s="29"/>
      <c r="CZG45" s="29"/>
      <c r="CZH45" s="29"/>
      <c r="CZI45" s="28"/>
      <c r="CZJ45" s="29"/>
      <c r="CZK45" s="29"/>
      <c r="CZL45" s="28"/>
      <c r="CZM45" s="29"/>
      <c r="CZN45" s="30"/>
      <c r="CZO45" s="28"/>
      <c r="CZP45" s="29"/>
      <c r="CZQ45" s="29"/>
      <c r="CZR45" s="29"/>
      <c r="CZS45" s="28"/>
      <c r="CZT45" s="29"/>
      <c r="CZU45" s="29"/>
      <c r="CZV45" s="28"/>
      <c r="CZW45" s="29"/>
      <c r="CZX45" s="30"/>
      <c r="CZY45" s="28"/>
      <c r="CZZ45" s="30"/>
      <c r="DAA45" s="29"/>
      <c r="DAB45" s="28"/>
      <c r="DAC45" s="29"/>
      <c r="DAD45" s="28"/>
      <c r="DAE45" s="28"/>
      <c r="DAF45" s="28"/>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30"/>
      <c r="DBS45" s="28"/>
      <c r="DBT45" s="29"/>
      <c r="DBU45" s="29"/>
      <c r="DBV45" s="29"/>
      <c r="DBW45" s="29"/>
      <c r="DBX45" s="29"/>
      <c r="DBY45" s="28"/>
      <c r="DBZ45" s="29"/>
      <c r="DCA45" s="29"/>
      <c r="DCB45" s="28"/>
      <c r="DCC45" s="29"/>
      <c r="DCD45" s="30"/>
      <c r="DCE45" s="28"/>
      <c r="DCF45" s="29"/>
      <c r="DCG45" s="29"/>
      <c r="DCH45" s="29"/>
      <c r="DCI45" s="28"/>
      <c r="DCJ45" s="29"/>
      <c r="DCK45" s="29"/>
      <c r="DCL45" s="28"/>
      <c r="DCM45" s="29"/>
      <c r="DCN45" s="30"/>
      <c r="DCO45" s="28"/>
      <c r="DCP45" s="29"/>
      <c r="DCQ45" s="29"/>
      <c r="DCR45" s="29"/>
      <c r="DCS45" s="28"/>
      <c r="DCT45" s="29"/>
      <c r="DCU45" s="29"/>
      <c r="DCV45" s="28"/>
      <c r="DCW45" s="29"/>
      <c r="DCX45" s="30"/>
      <c r="DCY45" s="28"/>
      <c r="DCZ45" s="29"/>
      <c r="DDA45" s="29"/>
      <c r="DDB45" s="29"/>
      <c r="DDC45" s="28"/>
      <c r="DDD45" s="29"/>
      <c r="DDE45" s="29"/>
      <c r="DDF45" s="28"/>
      <c r="DDG45" s="29"/>
      <c r="DDH45" s="30"/>
      <c r="DDI45" s="28"/>
      <c r="DDJ45" s="30"/>
      <c r="DDK45" s="29"/>
      <c r="DDL45" s="28"/>
      <c r="DDM45" s="29"/>
      <c r="DDN45" s="28"/>
      <c r="DDO45" s="28"/>
      <c r="DDP45" s="28"/>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30"/>
      <c r="DFC45" s="28"/>
      <c r="DFD45" s="29"/>
      <c r="DFE45" s="29"/>
      <c r="DFF45" s="29"/>
      <c r="DFG45" s="29"/>
      <c r="DFH45" s="29"/>
      <c r="DFI45" s="28"/>
      <c r="DFJ45" s="29"/>
      <c r="DFK45" s="29"/>
      <c r="DFL45" s="28"/>
      <c r="DFM45" s="29"/>
      <c r="DFN45" s="30"/>
      <c r="DFO45" s="28"/>
      <c r="DFP45" s="29"/>
      <c r="DFQ45" s="29"/>
      <c r="DFR45" s="29"/>
      <c r="DFS45" s="28"/>
      <c r="DFT45" s="29"/>
      <c r="DFU45" s="29"/>
      <c r="DFV45" s="28"/>
      <c r="DFW45" s="29"/>
      <c r="DFX45" s="30"/>
      <c r="DFY45" s="28"/>
      <c r="DFZ45" s="29"/>
      <c r="DGA45" s="29"/>
      <c r="DGB45" s="29"/>
      <c r="DGC45" s="28"/>
      <c r="DGD45" s="29"/>
      <c r="DGE45" s="29"/>
      <c r="DGF45" s="28"/>
      <c r="DGG45" s="29"/>
      <c r="DGH45" s="30"/>
      <c r="DGI45" s="28"/>
      <c r="DGJ45" s="29"/>
      <c r="DGK45" s="29"/>
      <c r="DGL45" s="29"/>
      <c r="DGM45" s="28"/>
      <c r="DGN45" s="29"/>
      <c r="DGO45" s="29"/>
      <c r="DGP45" s="28"/>
      <c r="DGQ45" s="29"/>
      <c r="DGR45" s="30"/>
      <c r="DGS45" s="28"/>
      <c r="DGT45" s="30"/>
      <c r="DGU45" s="29"/>
      <c r="DGV45" s="28"/>
      <c r="DGW45" s="29"/>
      <c r="DGX45" s="28"/>
      <c r="DGY45" s="28"/>
      <c r="DGZ45" s="28"/>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30"/>
      <c r="DIM45" s="28"/>
      <c r="DIN45" s="29"/>
      <c r="DIO45" s="29"/>
      <c r="DIP45" s="29"/>
      <c r="DIQ45" s="29"/>
      <c r="DIR45" s="29"/>
      <c r="DIS45" s="28"/>
      <c r="DIT45" s="29"/>
      <c r="DIU45" s="29"/>
      <c r="DIV45" s="28"/>
      <c r="DIW45" s="29"/>
      <c r="DIX45" s="30"/>
      <c r="DIY45" s="28"/>
      <c r="DIZ45" s="29"/>
      <c r="DJA45" s="29"/>
      <c r="DJB45" s="29"/>
      <c r="DJC45" s="28"/>
      <c r="DJD45" s="29"/>
      <c r="DJE45" s="29"/>
      <c r="DJF45" s="28"/>
      <c r="DJG45" s="29"/>
      <c r="DJH45" s="30"/>
      <c r="DJI45" s="28"/>
      <c r="DJJ45" s="29"/>
      <c r="DJK45" s="29"/>
      <c r="DJL45" s="29"/>
      <c r="DJM45" s="28"/>
      <c r="DJN45" s="29"/>
      <c r="DJO45" s="29"/>
      <c r="DJP45" s="28"/>
      <c r="DJQ45" s="29"/>
      <c r="DJR45" s="30"/>
      <c r="DJS45" s="28"/>
      <c r="DJT45" s="29"/>
      <c r="DJU45" s="29"/>
      <c r="DJV45" s="29"/>
      <c r="DJW45" s="28"/>
      <c r="DJX45" s="29"/>
      <c r="DJY45" s="29"/>
      <c r="DJZ45" s="28"/>
      <c r="DKA45" s="29"/>
      <c r="DKB45" s="30"/>
      <c r="DKC45" s="28"/>
      <c r="DKD45" s="30"/>
      <c r="DKE45" s="29"/>
      <c r="DKF45" s="28"/>
      <c r="DKG45" s="29"/>
      <c r="DKH45" s="28"/>
      <c r="DKI45" s="28"/>
      <c r="DKJ45" s="28"/>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30"/>
      <c r="DLW45" s="28"/>
      <c r="DLX45" s="29"/>
      <c r="DLY45" s="29"/>
      <c r="DLZ45" s="29"/>
      <c r="DMA45" s="29"/>
      <c r="DMB45" s="29"/>
      <c r="DMC45" s="28"/>
      <c r="DMD45" s="29"/>
      <c r="DME45" s="29"/>
      <c r="DMF45" s="28"/>
      <c r="DMG45" s="29"/>
      <c r="DMH45" s="30"/>
      <c r="DMI45" s="28"/>
      <c r="DMJ45" s="29"/>
      <c r="DMK45" s="29"/>
      <c r="DML45" s="29"/>
      <c r="DMM45" s="28"/>
      <c r="DMN45" s="29"/>
      <c r="DMO45" s="29"/>
      <c r="DMP45" s="28"/>
      <c r="DMQ45" s="29"/>
      <c r="DMR45" s="30"/>
      <c r="DMS45" s="28"/>
      <c r="DMT45" s="29"/>
      <c r="DMU45" s="29"/>
      <c r="DMV45" s="29"/>
      <c r="DMW45" s="28"/>
      <c r="DMX45" s="29"/>
      <c r="DMY45" s="29"/>
      <c r="DMZ45" s="28"/>
      <c r="DNA45" s="29"/>
      <c r="DNB45" s="30"/>
      <c r="DNC45" s="28"/>
      <c r="DND45" s="29"/>
      <c r="DNE45" s="29"/>
      <c r="DNF45" s="29"/>
      <c r="DNG45" s="28"/>
      <c r="DNH45" s="29"/>
      <c r="DNI45" s="29"/>
      <c r="DNJ45" s="28"/>
      <c r="DNK45" s="29"/>
      <c r="DNL45" s="30"/>
      <c r="DNM45" s="28"/>
      <c r="DNN45" s="30"/>
      <c r="DNO45" s="29"/>
      <c r="DNP45" s="28"/>
      <c r="DNQ45" s="29"/>
      <c r="DNR45" s="28"/>
      <c r="DNS45" s="28"/>
      <c r="DNT45" s="28"/>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30"/>
      <c r="DPG45" s="28"/>
      <c r="DPH45" s="29"/>
      <c r="DPI45" s="29"/>
      <c r="DPJ45" s="29"/>
      <c r="DPK45" s="29"/>
      <c r="DPL45" s="29"/>
      <c r="DPM45" s="28"/>
      <c r="DPN45" s="29"/>
      <c r="DPO45" s="29"/>
      <c r="DPP45" s="28"/>
      <c r="DPQ45" s="29"/>
      <c r="DPR45" s="30"/>
      <c r="DPS45" s="28"/>
      <c r="DPT45" s="29"/>
      <c r="DPU45" s="29"/>
      <c r="DPV45" s="29"/>
      <c r="DPW45" s="28"/>
      <c r="DPX45" s="29"/>
      <c r="DPY45" s="29"/>
      <c r="DPZ45" s="28"/>
      <c r="DQA45" s="29"/>
      <c r="DQB45" s="30"/>
      <c r="DQC45" s="28"/>
      <c r="DQD45" s="29"/>
      <c r="DQE45" s="29"/>
      <c r="DQF45" s="29"/>
      <c r="DQG45" s="28"/>
      <c r="DQH45" s="29"/>
      <c r="DQI45" s="29"/>
      <c r="DQJ45" s="28"/>
      <c r="DQK45" s="29"/>
      <c r="DQL45" s="30"/>
      <c r="DQM45" s="28"/>
      <c r="DQN45" s="29"/>
      <c r="DQO45" s="29"/>
      <c r="DQP45" s="29"/>
      <c r="DQQ45" s="28"/>
      <c r="DQR45" s="29"/>
      <c r="DQS45" s="29"/>
      <c r="DQT45" s="28"/>
      <c r="DQU45" s="29"/>
      <c r="DQV45" s="30"/>
      <c r="DQW45" s="28"/>
      <c r="DQX45" s="30"/>
      <c r="DQY45" s="29"/>
      <c r="DQZ45" s="28"/>
      <c r="DRA45" s="29"/>
      <c r="DRB45" s="28"/>
      <c r="DRC45" s="28"/>
      <c r="DRD45" s="28"/>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30"/>
      <c r="DSQ45" s="28"/>
      <c r="DSR45" s="29"/>
      <c r="DSS45" s="29"/>
      <c r="DST45" s="29"/>
      <c r="DSU45" s="29"/>
      <c r="DSV45" s="29"/>
      <c r="DSW45" s="28"/>
      <c r="DSX45" s="29"/>
      <c r="DSY45" s="29"/>
      <c r="DSZ45" s="28"/>
      <c r="DTA45" s="29"/>
      <c r="DTB45" s="30"/>
      <c r="DTC45" s="28"/>
      <c r="DTD45" s="29"/>
      <c r="DTE45" s="29"/>
      <c r="DTF45" s="29"/>
      <c r="DTG45" s="28"/>
      <c r="DTH45" s="29"/>
      <c r="DTI45" s="29"/>
      <c r="DTJ45" s="28"/>
      <c r="DTK45" s="29"/>
      <c r="DTL45" s="30"/>
      <c r="DTM45" s="28"/>
      <c r="DTN45" s="29"/>
      <c r="DTO45" s="29"/>
      <c r="DTP45" s="29"/>
      <c r="DTQ45" s="28"/>
      <c r="DTR45" s="29"/>
      <c r="DTS45" s="29"/>
      <c r="DTT45" s="28"/>
      <c r="DTU45" s="29"/>
      <c r="DTV45" s="30"/>
      <c r="DTW45" s="28"/>
      <c r="DTX45" s="29"/>
      <c r="DTY45" s="29"/>
      <c r="DTZ45" s="29"/>
      <c r="DUA45" s="28"/>
      <c r="DUB45" s="29"/>
      <c r="DUC45" s="29"/>
      <c r="DUD45" s="28"/>
      <c r="DUE45" s="29"/>
      <c r="DUF45" s="30"/>
      <c r="DUG45" s="28"/>
      <c r="DUH45" s="30"/>
      <c r="DUI45" s="29"/>
      <c r="DUJ45" s="28"/>
      <c r="DUK45" s="29"/>
      <c r="DUL45" s="28"/>
      <c r="DUM45" s="28"/>
      <c r="DUN45" s="28"/>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30"/>
      <c r="DWA45" s="28"/>
      <c r="DWB45" s="29"/>
      <c r="DWC45" s="29"/>
      <c r="DWD45" s="29"/>
      <c r="DWE45" s="29"/>
      <c r="DWF45" s="29"/>
      <c r="DWG45" s="28"/>
      <c r="DWH45" s="29"/>
      <c r="DWI45" s="29"/>
      <c r="DWJ45" s="28"/>
      <c r="DWK45" s="29"/>
      <c r="DWL45" s="30"/>
      <c r="DWM45" s="28"/>
      <c r="DWN45" s="29"/>
      <c r="DWO45" s="29"/>
      <c r="DWP45" s="29"/>
      <c r="DWQ45" s="28"/>
      <c r="DWR45" s="29"/>
      <c r="DWS45" s="29"/>
      <c r="DWT45" s="28"/>
      <c r="DWU45" s="29"/>
      <c r="DWV45" s="30"/>
      <c r="DWW45" s="28"/>
      <c r="DWX45" s="29"/>
      <c r="DWY45" s="29"/>
      <c r="DWZ45" s="29"/>
      <c r="DXA45" s="28"/>
      <c r="DXB45" s="29"/>
      <c r="DXC45" s="29"/>
      <c r="DXD45" s="28"/>
      <c r="DXE45" s="29"/>
      <c r="DXF45" s="30"/>
      <c r="DXG45" s="28"/>
      <c r="DXH45" s="29"/>
      <c r="DXI45" s="29"/>
      <c r="DXJ45" s="29"/>
      <c r="DXK45" s="28"/>
      <c r="DXL45" s="29"/>
      <c r="DXM45" s="29"/>
      <c r="DXN45" s="28"/>
      <c r="DXO45" s="29"/>
      <c r="DXP45" s="30"/>
      <c r="DXQ45" s="28"/>
      <c r="DXR45" s="30"/>
      <c r="DXS45" s="29"/>
      <c r="DXT45" s="28"/>
      <c r="DXU45" s="29"/>
      <c r="DXV45" s="28"/>
      <c r="DXW45" s="28"/>
      <c r="DXX45" s="28"/>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30"/>
      <c r="DZK45" s="28"/>
      <c r="DZL45" s="29"/>
      <c r="DZM45" s="29"/>
      <c r="DZN45" s="29"/>
      <c r="DZO45" s="29"/>
      <c r="DZP45" s="29"/>
      <c r="DZQ45" s="28"/>
      <c r="DZR45" s="29"/>
      <c r="DZS45" s="29"/>
      <c r="DZT45" s="28"/>
      <c r="DZU45" s="29"/>
      <c r="DZV45" s="30"/>
      <c r="DZW45" s="28"/>
      <c r="DZX45" s="29"/>
      <c r="DZY45" s="29"/>
      <c r="DZZ45" s="29"/>
      <c r="EAA45" s="28"/>
      <c r="EAB45" s="29"/>
      <c r="EAC45" s="29"/>
      <c r="EAD45" s="28"/>
      <c r="EAE45" s="29"/>
      <c r="EAF45" s="30"/>
      <c r="EAG45" s="28"/>
      <c r="EAH45" s="29"/>
      <c r="EAI45" s="29"/>
      <c r="EAJ45" s="29"/>
      <c r="EAK45" s="28"/>
      <c r="EAL45" s="29"/>
      <c r="EAM45" s="29"/>
      <c r="EAN45" s="28"/>
      <c r="EAO45" s="29"/>
      <c r="EAP45" s="30"/>
      <c r="EAQ45" s="28"/>
      <c r="EAR45" s="29"/>
      <c r="EAS45" s="29"/>
      <c r="EAT45" s="29"/>
      <c r="EAU45" s="28"/>
      <c r="EAV45" s="29"/>
      <c r="EAW45" s="29"/>
      <c r="EAX45" s="28"/>
      <c r="EAY45" s="29"/>
      <c r="EAZ45" s="30"/>
      <c r="EBA45" s="28"/>
      <c r="EBB45" s="30"/>
      <c r="EBC45" s="29"/>
      <c r="EBD45" s="28"/>
      <c r="EBE45" s="29"/>
      <c r="EBF45" s="28"/>
      <c r="EBG45" s="28"/>
      <c r="EBH45" s="28"/>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30"/>
      <c r="ECU45" s="28"/>
      <c r="ECV45" s="29"/>
      <c r="ECW45" s="29"/>
      <c r="ECX45" s="29"/>
      <c r="ECY45" s="29"/>
      <c r="ECZ45" s="29"/>
      <c r="EDA45" s="28"/>
      <c r="EDB45" s="29"/>
      <c r="EDC45" s="29"/>
      <c r="EDD45" s="28"/>
      <c r="EDE45" s="29"/>
      <c r="EDF45" s="30"/>
      <c r="EDG45" s="28"/>
      <c r="EDH45" s="29"/>
      <c r="EDI45" s="29"/>
      <c r="EDJ45" s="29"/>
      <c r="EDK45" s="28"/>
      <c r="EDL45" s="29"/>
      <c r="EDM45" s="29"/>
      <c r="EDN45" s="28"/>
      <c r="EDO45" s="29"/>
      <c r="EDP45" s="30"/>
      <c r="EDQ45" s="28"/>
      <c r="EDR45" s="29"/>
      <c r="EDS45" s="29"/>
      <c r="EDT45" s="29"/>
      <c r="EDU45" s="28"/>
      <c r="EDV45" s="29"/>
      <c r="EDW45" s="29"/>
      <c r="EDX45" s="28"/>
      <c r="EDY45" s="29"/>
      <c r="EDZ45" s="30"/>
      <c r="EEA45" s="28"/>
      <c r="EEB45" s="29"/>
      <c r="EEC45" s="29"/>
      <c r="EED45" s="29"/>
      <c r="EEE45" s="28"/>
      <c r="EEF45" s="29"/>
      <c r="EEG45" s="29"/>
      <c r="EEH45" s="28"/>
      <c r="EEI45" s="29"/>
      <c r="EEJ45" s="30"/>
      <c r="EEK45" s="28"/>
      <c r="EEL45" s="30"/>
      <c r="EEM45" s="29"/>
      <c r="EEN45" s="28"/>
      <c r="EEO45" s="29"/>
      <c r="EEP45" s="28"/>
      <c r="EEQ45" s="28"/>
      <c r="EER45" s="28"/>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30"/>
      <c r="EGE45" s="28"/>
      <c r="EGF45" s="29"/>
      <c r="EGG45" s="29"/>
      <c r="EGH45" s="29"/>
      <c r="EGI45" s="29"/>
      <c r="EGJ45" s="29"/>
      <c r="EGK45" s="28"/>
      <c r="EGL45" s="29"/>
      <c r="EGM45" s="29"/>
      <c r="EGN45" s="28"/>
      <c r="EGO45" s="29"/>
      <c r="EGP45" s="30"/>
      <c r="EGQ45" s="28"/>
      <c r="EGR45" s="29"/>
      <c r="EGS45" s="29"/>
      <c r="EGT45" s="29"/>
      <c r="EGU45" s="28"/>
      <c r="EGV45" s="29"/>
      <c r="EGW45" s="29"/>
      <c r="EGX45" s="28"/>
      <c r="EGY45" s="29"/>
      <c r="EGZ45" s="30"/>
      <c r="EHA45" s="28"/>
      <c r="EHB45" s="29"/>
      <c r="EHC45" s="29"/>
      <c r="EHD45" s="29"/>
      <c r="EHE45" s="28"/>
      <c r="EHF45" s="29"/>
      <c r="EHG45" s="29"/>
      <c r="EHH45" s="28"/>
      <c r="EHI45" s="29"/>
      <c r="EHJ45" s="30"/>
      <c r="EHK45" s="28"/>
      <c r="EHL45" s="29"/>
      <c r="EHM45" s="29"/>
      <c r="EHN45" s="29"/>
      <c r="EHO45" s="28"/>
      <c r="EHP45" s="29"/>
      <c r="EHQ45" s="29"/>
      <c r="EHR45" s="28"/>
      <c r="EHS45" s="29"/>
      <c r="EHT45" s="30"/>
      <c r="EHU45" s="28"/>
      <c r="EHV45" s="30"/>
      <c r="EHW45" s="29"/>
      <c r="EHX45" s="28"/>
      <c r="EHY45" s="29"/>
      <c r="EHZ45" s="28"/>
      <c r="EIA45" s="28"/>
      <c r="EIB45" s="28"/>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30"/>
      <c r="EJO45" s="28"/>
      <c r="EJP45" s="29"/>
      <c r="EJQ45" s="29"/>
      <c r="EJR45" s="29"/>
      <c r="EJS45" s="29"/>
      <c r="EJT45" s="29"/>
      <c r="EJU45" s="28"/>
      <c r="EJV45" s="29"/>
      <c r="EJW45" s="29"/>
      <c r="EJX45" s="28"/>
      <c r="EJY45" s="29"/>
      <c r="EJZ45" s="30"/>
      <c r="EKA45" s="28"/>
      <c r="EKB45" s="29"/>
      <c r="EKC45" s="29"/>
      <c r="EKD45" s="29"/>
      <c r="EKE45" s="28"/>
      <c r="EKF45" s="29"/>
      <c r="EKG45" s="29"/>
      <c r="EKH45" s="28"/>
      <c r="EKI45" s="29"/>
      <c r="EKJ45" s="30"/>
      <c r="EKK45" s="28"/>
      <c r="EKL45" s="29"/>
      <c r="EKM45" s="29"/>
      <c r="EKN45" s="29"/>
      <c r="EKO45" s="28"/>
      <c r="EKP45" s="29"/>
      <c r="EKQ45" s="29"/>
      <c r="EKR45" s="28"/>
      <c r="EKS45" s="29"/>
      <c r="EKT45" s="30"/>
      <c r="EKU45" s="28"/>
      <c r="EKV45" s="29"/>
      <c r="EKW45" s="29"/>
      <c r="EKX45" s="29"/>
      <c r="EKY45" s="28"/>
      <c r="EKZ45" s="29"/>
      <c r="ELA45" s="29"/>
      <c r="ELB45" s="28"/>
      <c r="ELC45" s="29"/>
      <c r="ELD45" s="30"/>
      <c r="ELE45" s="28"/>
      <c r="ELF45" s="30"/>
      <c r="ELG45" s="29"/>
      <c r="ELH45" s="28"/>
      <c r="ELI45" s="29"/>
      <c r="ELJ45" s="28"/>
      <c r="ELK45" s="28"/>
      <c r="ELL45" s="28"/>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30"/>
      <c r="EMY45" s="28"/>
      <c r="EMZ45" s="29"/>
      <c r="ENA45" s="29"/>
      <c r="ENB45" s="29"/>
      <c r="ENC45" s="29"/>
      <c r="END45" s="29"/>
      <c r="ENE45" s="28"/>
      <c r="ENF45" s="29"/>
      <c r="ENG45" s="29"/>
      <c r="ENH45" s="28"/>
      <c r="ENI45" s="29"/>
      <c r="ENJ45" s="30"/>
      <c r="ENK45" s="28"/>
      <c r="ENL45" s="29"/>
      <c r="ENM45" s="29"/>
      <c r="ENN45" s="29"/>
      <c r="ENO45" s="28"/>
      <c r="ENP45" s="29"/>
      <c r="ENQ45" s="29"/>
      <c r="ENR45" s="28"/>
      <c r="ENS45" s="29"/>
      <c r="ENT45" s="30"/>
      <c r="ENU45" s="28"/>
      <c r="ENV45" s="29"/>
      <c r="ENW45" s="29"/>
      <c r="ENX45" s="29"/>
      <c r="ENY45" s="28"/>
      <c r="ENZ45" s="29"/>
      <c r="EOA45" s="29"/>
      <c r="EOB45" s="28"/>
      <c r="EOC45" s="29"/>
      <c r="EOD45" s="30"/>
      <c r="EOE45" s="28"/>
      <c r="EOF45" s="29"/>
      <c r="EOG45" s="29"/>
      <c r="EOH45" s="29"/>
      <c r="EOI45" s="28"/>
      <c r="EOJ45" s="29"/>
      <c r="EOK45" s="29"/>
      <c r="EOL45" s="28"/>
      <c r="EOM45" s="29"/>
      <c r="EON45" s="30"/>
      <c r="EOO45" s="28" t="str">
        <f t="shared" si="75"/>
        <v xml:space="preserve"> </v>
      </c>
    </row>
    <row r="46" spans="1:3785" x14ac:dyDescent="0.3">
      <c r="A46" s="55" t="s">
        <v>253</v>
      </c>
      <c r="B46" s="58"/>
      <c r="C46" s="57"/>
      <c r="D46" s="56" t="str">
        <f t="shared" si="61"/>
        <v xml:space="preserve"> </v>
      </c>
      <c r="E46" s="57"/>
      <c r="F46" s="56"/>
      <c r="G46" s="56"/>
      <c r="H46" s="56"/>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8"/>
      <c r="AU46" s="56"/>
      <c r="AV46" s="57"/>
      <c r="AW46" s="57"/>
      <c r="AX46" s="57"/>
      <c r="AY46" s="57"/>
      <c r="AZ46" s="57"/>
      <c r="BA46" s="56"/>
      <c r="BB46" s="57"/>
      <c r="BC46" s="57"/>
      <c r="BD46" s="56"/>
      <c r="BE46" s="57"/>
      <c r="BF46" s="58"/>
      <c r="BG46" s="56"/>
      <c r="BH46" s="57"/>
      <c r="BI46" s="57"/>
      <c r="BJ46" s="57"/>
      <c r="BK46" s="56"/>
      <c r="BL46" s="57"/>
      <c r="BM46" s="57"/>
      <c r="BN46" s="56"/>
      <c r="BO46" s="57"/>
      <c r="BP46" s="58"/>
      <c r="BQ46" s="56"/>
      <c r="BR46" s="57"/>
      <c r="BS46" s="57"/>
      <c r="BT46" s="57"/>
      <c r="BU46" s="56"/>
      <c r="BV46" s="57"/>
      <c r="BW46" s="57"/>
      <c r="BX46" s="56"/>
      <c r="BY46" s="57"/>
      <c r="BZ46" s="58"/>
      <c r="CA46" s="56"/>
      <c r="CB46" s="57"/>
      <c r="CC46" s="57"/>
      <c r="CD46" s="57"/>
      <c r="CE46" s="56"/>
      <c r="CF46" s="57"/>
      <c r="CG46" s="57"/>
      <c r="CH46" s="56"/>
      <c r="CI46" s="57"/>
      <c r="CJ46" s="58"/>
      <c r="CK46" s="56"/>
      <c r="CL46" s="57"/>
      <c r="CM46" s="57"/>
      <c r="CN46" s="57"/>
      <c r="CO46" s="56"/>
      <c r="CP46" s="57"/>
      <c r="CQ46" s="57"/>
      <c r="CR46" s="56"/>
      <c r="CS46" s="57"/>
      <c r="CT46" s="58"/>
      <c r="CU46" s="56"/>
      <c r="CV46" s="57"/>
      <c r="CW46" s="57"/>
      <c r="CX46" s="57"/>
      <c r="CY46" s="56"/>
      <c r="CZ46" s="57"/>
      <c r="DA46" s="57"/>
      <c r="DB46" s="56"/>
      <c r="DC46" s="57"/>
      <c r="DD46" s="58"/>
      <c r="DE46" s="56"/>
      <c r="DF46" s="57"/>
      <c r="DG46" s="57"/>
      <c r="DH46" s="57"/>
      <c r="DI46" s="56"/>
      <c r="DJ46" s="57"/>
      <c r="DK46" s="57"/>
      <c r="DL46" s="56"/>
      <c r="DM46" s="57"/>
      <c r="DN46" s="58"/>
      <c r="DO46" s="56"/>
      <c r="DP46" s="57"/>
      <c r="DQ46" s="57"/>
      <c r="DR46" s="57"/>
      <c r="DS46" s="56"/>
      <c r="DT46" s="57"/>
      <c r="DU46" s="57"/>
      <c r="DV46" s="56"/>
      <c r="DW46" s="57"/>
      <c r="DX46" s="58"/>
      <c r="DY46" s="56"/>
      <c r="DZ46" s="57"/>
      <c r="EA46" s="57"/>
      <c r="EB46" s="57"/>
      <c r="EC46" s="56"/>
      <c r="ED46" s="57"/>
      <c r="EE46" s="56"/>
      <c r="EF46" s="56"/>
      <c r="EG46" s="57"/>
      <c r="EH46" s="58"/>
      <c r="EI46" s="56"/>
      <c r="EJ46" s="57"/>
      <c r="EK46" s="57"/>
      <c r="EL46" s="57"/>
      <c r="EM46" s="56"/>
      <c r="EN46" s="57"/>
      <c r="EO46" s="57"/>
      <c r="EP46" s="56"/>
      <c r="EQ46" s="57"/>
      <c r="ER46" s="58"/>
      <c r="ES46" s="56"/>
      <c r="ET46" s="57"/>
      <c r="EU46" s="57"/>
      <c r="EV46" s="57"/>
      <c r="EW46" s="56"/>
      <c r="EX46" s="57"/>
      <c r="EY46" s="57"/>
      <c r="EZ46" s="56"/>
      <c r="FA46" s="57"/>
      <c r="FB46" s="58"/>
      <c r="FC46" s="56"/>
      <c r="FD46" s="57"/>
      <c r="FE46" s="57"/>
      <c r="FF46" s="57"/>
      <c r="FG46" s="56"/>
      <c r="FH46" s="57"/>
      <c r="FI46" s="57"/>
      <c r="FJ46" s="56"/>
      <c r="FK46" s="57"/>
      <c r="FL46" s="58"/>
      <c r="FM46" s="56"/>
      <c r="FN46" s="57"/>
      <c r="FO46" s="57"/>
      <c r="FP46" s="57"/>
      <c r="FQ46" s="56"/>
      <c r="FR46" s="57"/>
      <c r="FS46" s="57"/>
      <c r="FT46" s="56"/>
      <c r="FU46" s="57"/>
      <c r="FV46" s="58"/>
      <c r="FW46" s="56"/>
      <c r="FX46" s="57"/>
      <c r="FY46" s="57"/>
      <c r="FZ46" s="57"/>
      <c r="GA46" s="56"/>
      <c r="GB46" s="57"/>
      <c r="GC46" s="57"/>
      <c r="GD46" s="56"/>
      <c r="GE46" s="57"/>
      <c r="GF46" s="58"/>
      <c r="GG46" s="56"/>
      <c r="GH46" s="57"/>
      <c r="GI46" s="57"/>
      <c r="GJ46" s="57"/>
      <c r="GK46" s="56"/>
      <c r="GL46" s="57"/>
      <c r="GM46" s="57"/>
      <c r="GN46" s="56"/>
      <c r="GO46" s="57"/>
      <c r="GP46" s="58"/>
      <c r="GQ46" s="56"/>
      <c r="GR46" s="57"/>
      <c r="GS46" s="57"/>
      <c r="GT46" s="57"/>
      <c r="GU46" s="56"/>
      <c r="GV46" s="57"/>
      <c r="GW46" s="57"/>
      <c r="GX46" s="56"/>
      <c r="GY46" s="57"/>
      <c r="GZ46" s="58"/>
      <c r="HA46" s="56"/>
      <c r="HB46" s="57"/>
      <c r="HC46" s="57"/>
      <c r="HD46" s="57"/>
      <c r="HE46" s="56"/>
      <c r="HF46" s="57"/>
      <c r="HG46" s="57"/>
      <c r="HH46" s="56"/>
      <c r="HI46" s="57"/>
      <c r="HJ46" s="58"/>
      <c r="HK46" s="56"/>
      <c r="HL46" s="57"/>
      <c r="HM46" s="57"/>
      <c r="HN46" s="57"/>
      <c r="HO46" s="56"/>
      <c r="HP46" s="57"/>
      <c r="HQ46" s="57"/>
      <c r="HR46" s="56"/>
      <c r="HS46" s="57"/>
      <c r="HT46" s="58"/>
      <c r="HU46" s="56"/>
      <c r="HV46" s="57"/>
      <c r="HW46" s="57"/>
      <c r="HX46" s="57"/>
      <c r="HY46" s="56"/>
      <c r="HZ46" s="57"/>
      <c r="IA46" s="57"/>
      <c r="IB46" s="56"/>
      <c r="IC46" s="57"/>
      <c r="ID46" s="58"/>
      <c r="IE46" s="56"/>
      <c r="IF46" s="57"/>
      <c r="IG46" s="57"/>
      <c r="IH46" s="57"/>
      <c r="II46" s="56"/>
      <c r="IJ46" s="57"/>
      <c r="IK46" s="57"/>
      <c r="IL46" s="56"/>
      <c r="IM46" s="57"/>
      <c r="IN46" s="58"/>
      <c r="IO46" s="56"/>
      <c r="IP46" s="57"/>
      <c r="IQ46" s="57"/>
      <c r="IR46" s="57"/>
      <c r="IS46" s="56"/>
      <c r="IT46" s="57"/>
      <c r="IU46" s="57"/>
      <c r="IV46" s="56"/>
      <c r="IW46" s="57"/>
      <c r="IX46" s="58"/>
      <c r="IY46" s="56"/>
      <c r="IZ46" s="57"/>
      <c r="JA46" s="57"/>
      <c r="JB46" s="57"/>
      <c r="JC46" s="56"/>
      <c r="JD46" s="57"/>
      <c r="JE46" s="57"/>
      <c r="JF46" s="56"/>
      <c r="JG46" s="57"/>
      <c r="JH46" s="58"/>
      <c r="JI46" s="56"/>
      <c r="JJ46" s="57"/>
      <c r="JK46" s="57"/>
      <c r="JL46" s="57"/>
      <c r="JM46" s="56"/>
      <c r="JN46" s="57"/>
      <c r="JO46" s="57"/>
      <c r="JP46" s="56"/>
      <c r="JQ46" s="57"/>
      <c r="JR46" s="58"/>
      <c r="JS46" s="56"/>
      <c r="JT46" s="57"/>
      <c r="JU46" s="57"/>
      <c r="JV46" s="57"/>
      <c r="JW46" s="56"/>
      <c r="JX46" s="57"/>
      <c r="JY46" s="57"/>
      <c r="JZ46" s="56"/>
      <c r="KA46" s="57"/>
      <c r="KB46" s="58"/>
      <c r="KC46" s="56"/>
      <c r="KD46" s="57"/>
      <c r="KE46" s="57"/>
      <c r="KF46" s="57"/>
      <c r="KG46" s="56"/>
      <c r="KH46" s="57"/>
      <c r="KI46" s="57"/>
      <c r="KJ46" s="56"/>
      <c r="KK46" s="57"/>
      <c r="KL46" s="58"/>
      <c r="KM46" s="56"/>
      <c r="KN46" s="57"/>
      <c r="KO46" s="57"/>
      <c r="KP46" s="57"/>
      <c r="KQ46" s="56"/>
      <c r="KR46" s="57"/>
      <c r="KS46" s="57"/>
      <c r="KT46" s="56"/>
      <c r="KU46" s="57"/>
      <c r="KV46" s="58"/>
      <c r="KW46" s="56"/>
      <c r="KX46" s="57"/>
      <c r="KY46" s="57"/>
      <c r="KZ46" s="57"/>
      <c r="LA46" s="56"/>
      <c r="LB46" s="57"/>
      <c r="LC46" s="57"/>
      <c r="LD46" s="56"/>
      <c r="LE46" s="57"/>
      <c r="LF46" s="58"/>
      <c r="LG46" s="56"/>
      <c r="LH46" s="57"/>
      <c r="LI46" s="57"/>
      <c r="LJ46" s="57"/>
      <c r="LK46" s="56"/>
      <c r="LL46" s="57"/>
      <c r="LM46" s="57"/>
      <c r="LN46" s="56"/>
      <c r="LO46" s="57"/>
      <c r="LP46" s="58"/>
      <c r="LQ46" s="56"/>
      <c r="LR46" s="57"/>
      <c r="LS46" s="57"/>
      <c r="LT46" s="57"/>
      <c r="LU46" s="56"/>
      <c r="LV46" s="57"/>
      <c r="LW46" s="57"/>
      <c r="LX46" s="56"/>
      <c r="LY46" s="57"/>
      <c r="LZ46" s="58"/>
      <c r="MA46" s="56"/>
      <c r="MB46" s="57"/>
      <c r="MC46" s="57"/>
      <c r="MD46" s="57"/>
      <c r="ME46" s="56"/>
      <c r="MF46" s="57"/>
      <c r="MG46" s="57"/>
      <c r="MH46" s="56"/>
      <c r="MI46" s="57"/>
      <c r="MJ46" s="58"/>
      <c r="MK46" s="56"/>
      <c r="ML46" s="57"/>
      <c r="MM46" s="57"/>
      <c r="MN46" s="57"/>
      <c r="MO46" s="56"/>
      <c r="MP46" s="57"/>
      <c r="MQ46" s="57"/>
      <c r="MR46" s="56"/>
      <c r="MS46" s="57"/>
      <c r="MT46" s="58"/>
      <c r="MU46" s="56"/>
      <c r="MV46" s="57"/>
      <c r="MW46" s="57"/>
      <c r="MX46" s="57"/>
      <c r="MY46" s="56"/>
      <c r="MZ46" s="57"/>
      <c r="NA46" s="57"/>
      <c r="NB46" s="56"/>
      <c r="NC46" s="57"/>
      <c r="ND46" s="58"/>
      <c r="NE46" s="56"/>
      <c r="NF46" s="57"/>
      <c r="NG46" s="57"/>
      <c r="NH46" s="57"/>
      <c r="NI46" s="56"/>
      <c r="NJ46" s="57"/>
      <c r="NK46" s="57"/>
      <c r="NL46" s="56"/>
      <c r="NM46" s="57"/>
      <c r="NN46" s="58"/>
      <c r="NO46" s="56"/>
      <c r="NP46" s="57"/>
      <c r="NQ46" s="57"/>
      <c r="NR46" s="57"/>
      <c r="NS46" s="56"/>
      <c r="NT46" s="57"/>
      <c r="NU46" s="57"/>
      <c r="NV46" s="56"/>
      <c r="NW46" s="57"/>
      <c r="NX46" s="58"/>
      <c r="NY46" s="56"/>
      <c r="NZ46" s="57"/>
      <c r="OA46" s="57"/>
      <c r="OB46" s="57"/>
      <c r="OC46" s="56"/>
      <c r="OD46" s="57"/>
      <c r="OE46" s="57"/>
      <c r="OF46" s="58"/>
      <c r="OG46" s="58"/>
      <c r="OH46" s="58"/>
      <c r="OI46" s="56"/>
      <c r="OJ46" s="58"/>
      <c r="OK46" s="58"/>
      <c r="OL46" s="58"/>
      <c r="OM46" s="58"/>
      <c r="ON46" s="58"/>
      <c r="OO46" s="58"/>
      <c r="OP46" s="56"/>
      <c r="OQ46" s="57"/>
      <c r="OR46" s="58"/>
      <c r="OS46" s="56"/>
      <c r="OT46" s="57"/>
      <c r="OU46" s="57"/>
      <c r="OV46" s="57"/>
      <c r="OW46" s="56"/>
      <c r="OX46" s="57"/>
      <c r="OY46" s="57"/>
      <c r="OZ46" s="56"/>
      <c r="PA46" s="57"/>
      <c r="PB46" s="58"/>
      <c r="PC46" s="56"/>
      <c r="PD46" s="57"/>
      <c r="PE46" s="57"/>
      <c r="PF46" s="57"/>
      <c r="PG46" s="56"/>
      <c r="PH46" s="57"/>
      <c r="PI46" s="57"/>
      <c r="PJ46" s="56"/>
      <c r="PK46" s="57"/>
      <c r="PL46" s="58"/>
      <c r="PM46" s="56"/>
      <c r="PN46" s="57"/>
      <c r="PO46" s="57"/>
      <c r="PP46" s="57"/>
      <c r="PQ46" s="56"/>
      <c r="PR46" s="57"/>
      <c r="PS46" s="57"/>
      <c r="PT46" s="56"/>
      <c r="PU46" s="57"/>
      <c r="PV46" s="58"/>
      <c r="PW46" s="56"/>
      <c r="PX46" s="57"/>
      <c r="PY46" s="57"/>
      <c r="PZ46" s="57"/>
      <c r="QA46" s="56"/>
      <c r="QB46" s="57"/>
      <c r="QC46" s="57"/>
      <c r="QD46" s="56"/>
      <c r="QE46" s="57"/>
      <c r="QF46" s="58"/>
      <c r="QG46" s="56"/>
      <c r="QH46" s="57"/>
      <c r="QI46" s="57"/>
      <c r="QJ46" s="57"/>
      <c r="QK46" s="56"/>
      <c r="QL46" s="57"/>
      <c r="QM46" s="57"/>
      <c r="QN46" s="56"/>
      <c r="QO46" s="57"/>
      <c r="QP46" s="58"/>
      <c r="QQ46" s="56"/>
      <c r="QR46" s="57"/>
      <c r="QS46" s="57"/>
      <c r="QT46" s="57"/>
      <c r="QU46" s="56"/>
      <c r="QV46" s="57"/>
      <c r="QW46" s="57"/>
      <c r="QX46" s="56"/>
      <c r="QY46" s="57"/>
      <c r="QZ46" s="58"/>
      <c r="RA46" s="56"/>
      <c r="RB46" s="57"/>
      <c r="RC46" s="57"/>
      <c r="RD46" s="57"/>
      <c r="RE46" s="56"/>
      <c r="RF46" s="57"/>
      <c r="RG46" s="57"/>
      <c r="RH46" s="56"/>
      <c r="RI46" s="57"/>
      <c r="RJ46" s="58"/>
      <c r="RK46" s="56"/>
      <c r="RL46" s="57"/>
      <c r="RM46" s="57"/>
      <c r="RN46" s="57"/>
      <c r="RO46" s="56"/>
      <c r="RP46" s="57"/>
      <c r="RQ46" s="57"/>
      <c r="RR46" s="56"/>
      <c r="RS46" s="57"/>
      <c r="RT46" s="58"/>
      <c r="RU46" s="56"/>
      <c r="RV46" s="57"/>
      <c r="RW46" s="57"/>
      <c r="RX46" s="57"/>
      <c r="RY46" s="56"/>
      <c r="RZ46" s="57"/>
      <c r="SA46" s="57"/>
      <c r="SB46" s="56"/>
      <c r="SC46" s="57"/>
      <c r="SD46" s="58"/>
      <c r="SE46" s="56"/>
      <c r="SF46" s="57"/>
      <c r="SG46" s="57"/>
      <c r="SH46" s="57"/>
      <c r="SI46" s="56"/>
      <c r="SJ46" s="57"/>
      <c r="SK46" s="57"/>
      <c r="SL46" s="56"/>
      <c r="SM46" s="57"/>
      <c r="SN46" s="58"/>
      <c r="SO46" s="56"/>
      <c r="SP46" s="57"/>
      <c r="SQ46" s="57"/>
      <c r="SR46" s="57"/>
      <c r="SS46" s="56"/>
      <c r="ST46" s="57"/>
      <c r="SU46" s="57"/>
      <c r="SV46" s="56"/>
      <c r="SW46" s="57"/>
      <c r="SX46" s="58"/>
      <c r="SY46" s="56"/>
      <c r="SZ46" s="57"/>
      <c r="TA46" s="57"/>
      <c r="TB46" s="57"/>
      <c r="TC46" s="56"/>
      <c r="TD46" s="57"/>
      <c r="TE46" s="57"/>
      <c r="TF46" s="56"/>
      <c r="TG46" s="57"/>
      <c r="TH46" s="58"/>
      <c r="TI46" s="56"/>
      <c r="TJ46" s="57"/>
      <c r="TK46" s="57"/>
      <c r="TL46" s="57"/>
      <c r="TM46" s="56"/>
      <c r="TN46" s="57"/>
      <c r="TO46" s="57"/>
      <c r="TP46" s="56"/>
      <c r="TQ46" s="57"/>
      <c r="TR46" s="58"/>
      <c r="TS46" s="56"/>
      <c r="TT46" s="57"/>
      <c r="TU46" s="57"/>
      <c r="TV46" s="57"/>
      <c r="TW46" s="56"/>
      <c r="TX46" s="57"/>
      <c r="TY46" s="57"/>
      <c r="TZ46" s="56"/>
      <c r="UA46" s="57"/>
      <c r="UB46" s="58"/>
      <c r="UC46" s="56"/>
      <c r="UD46" s="57"/>
      <c r="UE46" s="57"/>
      <c r="UF46" s="57"/>
      <c r="UG46" s="56"/>
      <c r="UH46" s="57"/>
      <c r="UI46" s="57"/>
      <c r="UJ46" s="56"/>
      <c r="UK46" s="57"/>
      <c r="UL46" s="58"/>
      <c r="UM46" s="56"/>
      <c r="UN46" s="57"/>
      <c r="UO46" s="57"/>
      <c r="UP46" s="57"/>
      <c r="UQ46" s="56"/>
      <c r="UR46" s="57"/>
      <c r="US46" s="57"/>
      <c r="UT46" s="56"/>
      <c r="UU46" s="57"/>
      <c r="UV46" s="58"/>
      <c r="UW46" s="56"/>
      <c r="UX46" s="57"/>
      <c r="UY46" s="57"/>
      <c r="UZ46" s="57"/>
      <c r="VA46" s="56"/>
      <c r="VB46" s="57"/>
      <c r="VC46" s="57"/>
      <c r="VD46" s="56"/>
      <c r="VE46" s="57"/>
      <c r="VF46" s="58"/>
      <c r="VG46" s="56"/>
      <c r="VH46" s="57"/>
      <c r="VI46" s="57"/>
      <c r="VJ46" s="57"/>
      <c r="VK46" s="56"/>
      <c r="VL46" s="57"/>
      <c r="VM46" s="57"/>
      <c r="VN46" s="56"/>
      <c r="VO46" s="57"/>
      <c r="VP46" s="58"/>
      <c r="VQ46" s="56"/>
      <c r="VR46" s="57"/>
      <c r="VS46" s="57"/>
      <c r="VT46" s="57"/>
      <c r="VU46" s="56"/>
      <c r="VV46" s="57"/>
      <c r="VW46" s="57"/>
      <c r="VX46" s="56"/>
      <c r="VY46" s="57"/>
      <c r="VZ46" s="58"/>
      <c r="WA46" s="56"/>
      <c r="WB46" s="57"/>
      <c r="WC46" s="57"/>
      <c r="WD46" s="57"/>
      <c r="WE46" s="56"/>
      <c r="WF46" s="57"/>
      <c r="WG46" s="57"/>
      <c r="WH46" s="56"/>
      <c r="WI46" s="57"/>
      <c r="WJ46" s="58"/>
      <c r="WK46" s="56"/>
      <c r="WL46" s="57"/>
      <c r="WM46" s="57"/>
      <c r="WN46" s="57"/>
      <c r="WO46" s="56"/>
      <c r="WP46" s="57"/>
      <c r="WQ46" s="57"/>
      <c r="WR46" s="56"/>
      <c r="WS46" s="57"/>
      <c r="WT46" s="58"/>
      <c r="WU46" s="56"/>
      <c r="WV46" s="57"/>
      <c r="WW46" s="57"/>
      <c r="WX46" s="57"/>
      <c r="WY46" s="56"/>
      <c r="WZ46" s="57"/>
      <c r="XA46" s="57"/>
      <c r="XB46" s="56"/>
      <c r="XC46" s="57"/>
      <c r="XD46" s="58"/>
      <c r="XE46" s="56"/>
      <c r="XF46" s="57"/>
      <c r="XG46" s="57"/>
      <c r="XH46" s="57"/>
      <c r="XI46" s="56"/>
      <c r="XJ46" s="57"/>
      <c r="XK46" s="57"/>
      <c r="XL46" s="56"/>
      <c r="XM46" s="57"/>
      <c r="XN46" s="58"/>
      <c r="XO46" s="56"/>
      <c r="XP46" s="57"/>
      <c r="XQ46" s="57"/>
      <c r="XR46" s="57"/>
      <c r="XS46" s="56"/>
      <c r="XT46" s="57"/>
      <c r="XU46" s="57"/>
      <c r="XV46" s="56"/>
      <c r="XW46" s="57"/>
      <c r="XX46" s="58"/>
      <c r="XY46" s="56"/>
      <c r="XZ46" s="57"/>
      <c r="YA46" s="57"/>
      <c r="YB46" s="57"/>
      <c r="YC46" s="56"/>
      <c r="YD46" s="57"/>
      <c r="YE46" s="57"/>
      <c r="YF46" s="56"/>
      <c r="YG46" s="57"/>
      <c r="YH46" s="58"/>
      <c r="YI46" s="56"/>
      <c r="YJ46" s="57"/>
      <c r="YK46" s="57"/>
      <c r="YL46" s="57"/>
      <c r="YM46" s="56"/>
      <c r="YN46" s="57"/>
      <c r="YO46" s="57"/>
      <c r="YP46" s="56"/>
      <c r="YQ46" s="57"/>
      <c r="YR46" s="58"/>
      <c r="YS46" s="56"/>
      <c r="YT46" s="57"/>
      <c r="YU46" s="57"/>
      <c r="YV46" s="57"/>
      <c r="YW46" s="56"/>
      <c r="YX46" s="57"/>
      <c r="YY46" s="57"/>
      <c r="YZ46" s="56"/>
      <c r="ZA46" s="57"/>
      <c r="ZB46" s="58"/>
      <c r="ZC46" s="56"/>
      <c r="ZD46" s="57"/>
      <c r="ZE46" s="57"/>
      <c r="ZF46" s="57"/>
      <c r="ZG46" s="56"/>
      <c r="ZH46" s="57"/>
      <c r="ZI46" s="57"/>
      <c r="ZJ46" s="56"/>
      <c r="ZK46" s="57"/>
      <c r="ZL46" s="58"/>
      <c r="ZM46" s="56"/>
      <c r="ZN46" s="57"/>
      <c r="ZO46" s="57"/>
      <c r="ZP46" s="57"/>
      <c r="ZQ46" s="56"/>
      <c r="ZR46" s="57"/>
      <c r="ZS46" s="57"/>
      <c r="ZT46" s="56"/>
      <c r="ZU46" s="57"/>
      <c r="ZV46" s="58"/>
      <c r="ZW46" s="56"/>
      <c r="ZX46" s="57"/>
      <c r="ZY46" s="57"/>
      <c r="ZZ46" s="57"/>
      <c r="AAA46" s="56"/>
      <c r="AAB46" s="57"/>
      <c r="AAC46" s="57"/>
      <c r="AAD46" s="56"/>
      <c r="AAE46" s="57"/>
      <c r="AAF46" s="58"/>
      <c r="AAG46" s="56"/>
      <c r="AAH46" s="57"/>
      <c r="AAI46" s="57"/>
      <c r="AAJ46" s="57"/>
      <c r="AAK46" s="56"/>
      <c r="AAL46" s="57"/>
      <c r="AAM46" s="57"/>
      <c r="AAN46" s="56"/>
      <c r="AAO46" s="57"/>
      <c r="AAP46" s="58"/>
      <c r="AAQ46" s="56"/>
      <c r="AAR46" s="57"/>
      <c r="AAS46" s="57"/>
      <c r="AAT46" s="57"/>
      <c r="AAU46" s="56"/>
      <c r="AAV46" s="57"/>
      <c r="AAW46" s="57"/>
      <c r="AAX46" s="58"/>
      <c r="AAY46" s="58"/>
      <c r="AAZ46" s="58"/>
      <c r="ABA46" s="56"/>
      <c r="ABB46" s="58"/>
      <c r="ABC46" s="58"/>
      <c r="ABD46" s="58"/>
      <c r="ABE46" s="58"/>
      <c r="ABF46" s="58"/>
      <c r="ABG46" s="57"/>
      <c r="ABH46" s="56"/>
      <c r="ABI46" s="57"/>
      <c r="ABJ46" s="58"/>
      <c r="ABK46" s="56"/>
      <c r="ABL46" s="57"/>
      <c r="ABM46" s="57"/>
      <c r="ABN46" s="57"/>
      <c r="ABO46" s="56"/>
      <c r="ABP46" s="57"/>
      <c r="ABQ46" s="57"/>
      <c r="ABR46" s="56"/>
      <c r="ABS46" s="57"/>
      <c r="ABT46" s="58"/>
      <c r="ABU46" s="56"/>
      <c r="ABV46" s="57"/>
      <c r="ABW46" s="57"/>
      <c r="ABX46" s="57"/>
      <c r="ABY46" s="56"/>
      <c r="ABZ46" s="57"/>
      <c r="ACA46" s="57"/>
      <c r="ACB46" s="56"/>
      <c r="ACC46" s="57"/>
      <c r="ACD46" s="58"/>
      <c r="ACE46" s="56"/>
      <c r="ACF46" s="57"/>
      <c r="ACG46" s="57"/>
      <c r="ACH46" s="57"/>
      <c r="ACI46" s="56"/>
      <c r="ACJ46" s="57"/>
      <c r="ACK46" s="57"/>
      <c r="ACL46" s="56"/>
      <c r="ACM46" s="57"/>
      <c r="ACN46" s="58"/>
      <c r="ACO46" s="56"/>
      <c r="ACP46" s="57"/>
      <c r="ACQ46" s="57"/>
      <c r="ACR46" s="57"/>
      <c r="ACS46" s="56"/>
      <c r="ACT46" s="57"/>
      <c r="ACU46" s="57"/>
      <c r="ACV46" s="56"/>
      <c r="ACW46" s="57"/>
      <c r="ACX46" s="58"/>
      <c r="ACY46" s="56"/>
      <c r="ACZ46" s="57"/>
      <c r="ADA46" s="57"/>
      <c r="ADB46" s="57"/>
      <c r="ADC46" s="56"/>
      <c r="ADD46" s="57"/>
      <c r="ADE46" s="57"/>
      <c r="ADF46" s="56"/>
      <c r="ADG46" s="57"/>
      <c r="ADH46" s="58"/>
      <c r="ADI46" s="56"/>
      <c r="ADJ46" s="57"/>
      <c r="ADK46" s="57"/>
      <c r="ADL46" s="57"/>
      <c r="ADM46" s="56"/>
      <c r="ADN46" s="57"/>
      <c r="ADO46" s="57"/>
      <c r="ADP46" s="56"/>
      <c r="ADQ46" s="57"/>
      <c r="ADR46" s="58"/>
      <c r="ADS46" s="56"/>
      <c r="ADT46" s="57"/>
      <c r="ADU46" s="57"/>
      <c r="ADV46" s="57"/>
      <c r="ADW46" s="56"/>
      <c r="ADX46" s="57"/>
      <c r="ADY46" s="57"/>
      <c r="ADZ46" s="56"/>
      <c r="AEA46" s="57"/>
      <c r="AEB46" s="58"/>
      <c r="AEC46" s="56"/>
      <c r="AED46" s="57"/>
      <c r="AEE46" s="57"/>
      <c r="AEF46" s="57"/>
      <c r="AEG46" s="56"/>
      <c r="AEH46" s="57"/>
      <c r="AEI46" s="57"/>
      <c r="AEJ46" s="56"/>
      <c r="AEK46" s="57"/>
      <c r="AEL46" s="58"/>
      <c r="AEM46" s="56"/>
      <c r="AEN46" s="57"/>
      <c r="AEO46" s="57"/>
      <c r="AEP46" s="57"/>
      <c r="AEQ46" s="56"/>
      <c r="AER46" s="57"/>
      <c r="AES46" s="57"/>
      <c r="AET46" s="56"/>
      <c r="AEU46" s="57"/>
      <c r="AEV46" s="58"/>
      <c r="AEW46" s="56"/>
      <c r="AEX46" s="57"/>
      <c r="AEY46" s="57"/>
      <c r="AEZ46" s="57"/>
      <c r="AFA46" s="56"/>
      <c r="AFB46" s="57"/>
      <c r="AFC46" s="57"/>
      <c r="AFD46" s="56"/>
      <c r="AFE46" s="57"/>
      <c r="AFF46" s="58"/>
      <c r="AFG46" s="56"/>
      <c r="AFH46" s="57"/>
      <c r="AFI46" s="57"/>
      <c r="AFJ46" s="57"/>
      <c r="AFK46" s="56"/>
      <c r="AFL46" s="57"/>
      <c r="AFM46" s="57"/>
      <c r="AFN46" s="56"/>
      <c r="AFO46" s="57"/>
      <c r="AFP46" s="58"/>
      <c r="AFQ46" s="56"/>
      <c r="AFR46" s="57"/>
      <c r="AFS46" s="57"/>
      <c r="AFT46" s="57"/>
      <c r="AFU46" s="56"/>
      <c r="AFV46" s="57"/>
      <c r="AFW46" s="57"/>
      <c r="AFX46" s="56"/>
      <c r="AFY46" s="57"/>
      <c r="AFZ46" s="58"/>
      <c r="AGA46" s="56"/>
      <c r="AGB46" s="57"/>
      <c r="AGC46" s="57"/>
      <c r="AGD46" s="57"/>
      <c r="AGE46" s="56"/>
      <c r="AGF46" s="57"/>
      <c r="AGG46" s="57"/>
      <c r="AGH46" s="56"/>
      <c r="AGI46" s="57"/>
      <c r="AGJ46" s="58"/>
      <c r="AGK46" s="56"/>
      <c r="AGL46" s="57"/>
      <c r="AGM46" s="57"/>
      <c r="AGN46" s="57"/>
      <c r="AGO46" s="56"/>
      <c r="AGP46" s="57"/>
      <c r="AGQ46" s="57"/>
      <c r="AGR46" s="56"/>
      <c r="AGS46" s="57"/>
      <c r="AGT46" s="58"/>
      <c r="AGU46" s="56"/>
      <c r="AGV46" s="57"/>
      <c r="AGW46" s="57"/>
      <c r="AGX46" s="57"/>
      <c r="AGY46" s="56"/>
      <c r="AGZ46" s="57"/>
      <c r="AHA46" s="57"/>
      <c r="AHB46" s="56"/>
      <c r="AHC46" s="57"/>
      <c r="AHD46" s="58"/>
      <c r="AHE46" s="56"/>
      <c r="AHF46" s="57"/>
      <c r="AHG46" s="57"/>
      <c r="AHH46" s="57"/>
      <c r="AHI46" s="56"/>
      <c r="AHJ46" s="57"/>
      <c r="AHK46" s="57"/>
      <c r="AHL46" s="56"/>
      <c r="AHM46" s="57"/>
      <c r="AHN46" s="58"/>
      <c r="AHO46" s="56"/>
      <c r="AHP46" s="57"/>
      <c r="AHQ46" s="57"/>
      <c r="AHR46" s="57"/>
      <c r="AHS46" s="56"/>
      <c r="AHT46" s="57"/>
      <c r="AHU46" s="57"/>
      <c r="AHV46" s="56"/>
      <c r="AHW46" s="57"/>
      <c r="AHX46" s="58"/>
      <c r="AHY46" s="56"/>
      <c r="AHZ46" s="57"/>
      <c r="AIA46" s="57"/>
      <c r="AIB46" s="57"/>
      <c r="AIC46" s="56"/>
      <c r="AID46" s="57"/>
      <c r="AIE46" s="57"/>
      <c r="AIF46" s="56"/>
      <c r="AIG46" s="57"/>
      <c r="AIH46" s="58"/>
      <c r="AII46" s="56"/>
      <c r="AIJ46" s="57"/>
      <c r="AIK46" s="57"/>
      <c r="AIL46" s="57"/>
      <c r="AIM46" s="56"/>
      <c r="AIN46" s="57"/>
      <c r="AIO46" s="57"/>
      <c r="AIP46" s="56"/>
      <c r="AIQ46" s="57"/>
      <c r="AIR46" s="58"/>
      <c r="AIS46" s="56"/>
      <c r="AIT46" s="57"/>
      <c r="AIU46" s="57"/>
      <c r="AIV46" s="57"/>
      <c r="AIW46" s="56"/>
      <c r="AIX46" s="57"/>
      <c r="AIY46" s="57"/>
      <c r="AIZ46" s="56"/>
      <c r="AJA46" s="57"/>
      <c r="AJB46" s="58"/>
      <c r="AJC46" s="56"/>
      <c r="AJD46" s="57"/>
      <c r="AJE46" s="57"/>
      <c r="AJF46" s="57"/>
      <c r="AJG46" s="56"/>
      <c r="AJH46" s="57"/>
      <c r="AJI46" s="57"/>
      <c r="AJJ46" s="56"/>
      <c r="AJK46" s="57"/>
      <c r="AJL46" s="58"/>
      <c r="AJM46" s="56"/>
      <c r="AJN46" s="57"/>
      <c r="AJO46" s="57"/>
      <c r="AJP46" s="57"/>
      <c r="AJQ46" s="56"/>
      <c r="AJR46" s="57"/>
      <c r="AJS46" s="57"/>
      <c r="AJT46" s="56"/>
      <c r="AJU46" s="57"/>
      <c r="AJV46" s="58"/>
      <c r="AJW46" s="56"/>
      <c r="AJX46" s="57"/>
      <c r="AJY46" s="57"/>
      <c r="AJZ46" s="57"/>
      <c r="AKA46" s="56"/>
      <c r="AKB46" s="57"/>
      <c r="AKC46" s="57"/>
      <c r="AKD46" s="56"/>
      <c r="AKE46" s="57"/>
      <c r="AKF46" s="58"/>
      <c r="AKG46" s="56"/>
      <c r="AKH46" s="57"/>
      <c r="AKI46" s="57"/>
      <c r="AKJ46" s="57"/>
      <c r="AKK46" s="56"/>
      <c r="AKL46" s="57"/>
      <c r="AKM46" s="57"/>
      <c r="AKN46" s="56"/>
      <c r="AKO46" s="57"/>
      <c r="AKP46" s="58"/>
      <c r="AKQ46" s="56"/>
      <c r="AKR46" s="57"/>
      <c r="AKS46" s="57"/>
      <c r="AKT46" s="57"/>
      <c r="AKU46" s="56"/>
      <c r="AKV46" s="57"/>
      <c r="AKW46" s="57"/>
      <c r="AKX46" s="56"/>
      <c r="AKY46" s="57"/>
      <c r="AKZ46" s="58"/>
      <c r="ALA46" s="56"/>
      <c r="ALB46" s="57"/>
      <c r="ALC46" s="57"/>
      <c r="ALD46" s="57"/>
      <c r="ALE46" s="56"/>
      <c r="ALF46" s="57"/>
      <c r="ALG46" s="57"/>
      <c r="ALH46" s="57"/>
      <c r="ALI46" s="57"/>
      <c r="ALJ46" s="57"/>
      <c r="ALK46" s="56"/>
      <c r="ALL46" s="57"/>
      <c r="ALM46" s="57"/>
      <c r="ALN46" s="56"/>
      <c r="ALO46" s="57"/>
      <c r="ALP46" s="58"/>
      <c r="ALQ46" s="56"/>
      <c r="ALR46" s="57"/>
      <c r="ALS46" s="57"/>
      <c r="ALT46" s="57"/>
      <c r="ALU46" s="56"/>
      <c r="ALV46" s="57"/>
      <c r="ALW46" s="57"/>
      <c r="ALX46" s="56"/>
      <c r="ALY46" s="57"/>
      <c r="ALZ46" s="58"/>
      <c r="AMA46" s="56"/>
      <c r="AMB46" s="57"/>
      <c r="AMC46" s="57"/>
      <c r="AMD46" s="57"/>
      <c r="AME46" s="56"/>
      <c r="AMF46" s="57"/>
      <c r="AMG46" s="57"/>
      <c r="AMH46" s="57"/>
      <c r="AMI46" s="57"/>
      <c r="AMJ46" s="57"/>
      <c r="AMK46" s="56"/>
      <c r="AML46" s="57"/>
      <c r="AMM46" s="57"/>
      <c r="AMN46" s="56"/>
      <c r="AMO46" s="57"/>
      <c r="AMP46" s="58"/>
      <c r="AMQ46" s="56"/>
      <c r="AMR46" s="57"/>
      <c r="AMS46" s="57"/>
      <c r="AMT46" s="57"/>
      <c r="AMU46" s="56"/>
      <c r="AMV46" s="57"/>
      <c r="AMW46" s="57"/>
      <c r="AMX46" s="56"/>
      <c r="AMY46" s="57"/>
      <c r="AMZ46" s="58"/>
      <c r="ANA46" s="56"/>
      <c r="ANB46" s="57"/>
      <c r="ANC46" s="57"/>
      <c r="AND46" s="57"/>
      <c r="ANE46" s="56"/>
      <c r="ANF46" s="57"/>
      <c r="ANG46" s="57"/>
      <c r="ANH46" s="57"/>
      <c r="ANI46" s="57"/>
      <c r="ANJ46" s="57"/>
      <c r="ANK46" s="56"/>
      <c r="ANL46" s="57"/>
      <c r="ANM46" s="57"/>
      <c r="ANN46" s="56"/>
      <c r="ANO46" s="57"/>
      <c r="ANP46" s="58"/>
      <c r="ANQ46" s="56"/>
      <c r="ANR46" s="57"/>
      <c r="ANS46" s="57"/>
      <c r="ANT46" s="57"/>
      <c r="ANU46" s="56"/>
      <c r="ANV46" s="57"/>
      <c r="ANW46" s="57"/>
      <c r="ANX46" s="56"/>
      <c r="ANY46" s="57"/>
      <c r="ANZ46" s="58"/>
      <c r="AOA46" s="56"/>
      <c r="AOB46" s="57"/>
      <c r="AOC46" s="57"/>
      <c r="AOD46" s="57"/>
      <c r="AOE46" s="56"/>
      <c r="AOF46" s="57"/>
      <c r="AOG46" s="57"/>
      <c r="AOH46" s="57"/>
      <c r="AOI46" s="57"/>
      <c r="AOJ46" s="57"/>
      <c r="AOK46" s="56"/>
      <c r="AOL46" s="57"/>
      <c r="AOM46" s="57"/>
      <c r="AON46" s="56"/>
      <c r="AOO46" s="57"/>
      <c r="AOP46" s="58"/>
      <c r="AOQ46" s="56"/>
      <c r="AOR46" s="57"/>
      <c r="AOS46" s="57"/>
      <c r="AOT46" s="57"/>
      <c r="AOU46" s="56"/>
      <c r="AOV46" s="57"/>
      <c r="AOW46" s="57"/>
      <c r="AOX46" s="56"/>
      <c r="AOY46" s="57"/>
      <c r="AOZ46" s="58"/>
      <c r="APA46" s="56"/>
      <c r="APB46" s="57"/>
      <c r="APC46" s="57"/>
      <c r="APD46" s="57"/>
      <c r="APE46" s="56"/>
      <c r="APF46" s="57"/>
      <c r="APG46" s="57"/>
      <c r="APH46" s="57"/>
      <c r="API46" s="57"/>
      <c r="APJ46" s="57"/>
      <c r="APK46" s="56"/>
      <c r="APL46" s="57"/>
      <c r="APM46" s="57"/>
      <c r="APN46" s="56"/>
      <c r="APO46" s="57"/>
      <c r="APP46" s="58"/>
      <c r="APQ46" s="56"/>
      <c r="APR46" s="57"/>
      <c r="APS46" s="57"/>
      <c r="APT46" s="57"/>
      <c r="APU46" s="56"/>
      <c r="APV46" s="57"/>
      <c r="APW46" s="57"/>
      <c r="APX46" s="56"/>
      <c r="APY46" s="57"/>
      <c r="APZ46" s="58"/>
      <c r="AQA46" s="56"/>
      <c r="AQB46" s="57"/>
      <c r="AQC46" s="57"/>
      <c r="AQD46" s="57"/>
      <c r="AQE46" s="56"/>
      <c r="AQF46" s="57"/>
      <c r="AQG46" s="57"/>
      <c r="AQH46" s="57"/>
      <c r="AQI46" s="57"/>
      <c r="AQJ46" s="57"/>
      <c r="AQK46" s="56"/>
      <c r="AQL46" s="57"/>
      <c r="AQM46" s="57"/>
      <c r="AQN46" s="56"/>
      <c r="AQO46" s="57"/>
      <c r="AQP46" s="58"/>
      <c r="AQQ46" s="56"/>
      <c r="AQR46" s="57"/>
      <c r="AQS46" s="57"/>
      <c r="AQT46" s="57"/>
      <c r="AQU46" s="56"/>
      <c r="AQV46" s="57"/>
      <c r="AQW46" s="57"/>
      <c r="AQX46" s="56"/>
      <c r="AQY46" s="57"/>
      <c r="AQZ46" s="58"/>
      <c r="ARA46" s="56"/>
      <c r="ARB46" s="57"/>
      <c r="ARC46" s="57"/>
      <c r="ARD46" s="57"/>
      <c r="ARE46" s="56"/>
      <c r="ARF46" s="57"/>
      <c r="ARG46" s="57"/>
      <c r="ARH46" s="57"/>
      <c r="ARI46" s="57"/>
      <c r="ARJ46" s="57"/>
      <c r="ARK46" s="56"/>
      <c r="ARL46" s="57"/>
      <c r="ARM46" s="57"/>
      <c r="ARN46" s="56"/>
      <c r="ARO46" s="57"/>
      <c r="ARP46" s="58"/>
      <c r="ARQ46" s="56"/>
      <c r="ARR46" s="57"/>
      <c r="ARS46" s="57"/>
      <c r="ART46" s="57"/>
      <c r="ARU46" s="56"/>
      <c r="ARV46" s="57"/>
      <c r="ARW46" s="57"/>
      <c r="ARX46" s="56"/>
      <c r="ARY46" s="57"/>
      <c r="ARZ46" s="58"/>
      <c r="ASA46" s="56"/>
      <c r="ASB46" s="57"/>
      <c r="ASC46" s="57"/>
      <c r="ASD46" s="57"/>
      <c r="ASE46" s="56"/>
      <c r="ASF46" s="57"/>
      <c r="ASG46" s="57"/>
      <c r="ASH46" s="57"/>
      <c r="ASI46" s="57"/>
      <c r="ASJ46" s="57"/>
      <c r="ASK46" s="56"/>
      <c r="ASL46" s="57"/>
      <c r="ASM46" s="57"/>
      <c r="ASN46" s="56"/>
      <c r="ASO46" s="57"/>
      <c r="ASP46" s="58"/>
      <c r="ASQ46" s="56"/>
      <c r="ASR46" s="57"/>
      <c r="ASS46" s="57"/>
      <c r="AST46" s="57"/>
      <c r="ASU46" s="56"/>
      <c r="ASV46" s="57"/>
      <c r="ASW46" s="57"/>
      <c r="ASX46" s="56"/>
      <c r="ASY46" s="57"/>
      <c r="ASZ46" s="58"/>
      <c r="ATA46" s="56"/>
      <c r="ATB46" s="57"/>
      <c r="ATC46" s="57"/>
      <c r="ATD46" s="57"/>
      <c r="ATE46" s="56"/>
      <c r="ATF46" s="57"/>
      <c r="ATG46" s="57"/>
      <c r="ATH46" s="57"/>
      <c r="ATI46" s="57"/>
      <c r="ATJ46" s="57"/>
      <c r="ATK46" s="56"/>
      <c r="ATL46" s="57"/>
      <c r="ATM46" s="57"/>
      <c r="ATN46" s="56"/>
      <c r="ATO46" s="57"/>
      <c r="ATP46" s="58"/>
      <c r="ATQ46" s="56"/>
      <c r="ATR46" s="57"/>
      <c r="ATS46" s="57"/>
      <c r="ATT46" s="57"/>
      <c r="ATU46" s="56"/>
      <c r="ATV46" s="57"/>
      <c r="ATW46" s="57"/>
      <c r="ATX46" s="56"/>
      <c r="ATY46" s="57"/>
      <c r="ATZ46" s="58"/>
      <c r="AUA46" s="56"/>
      <c r="AUB46" s="57"/>
      <c r="AUC46" s="57"/>
      <c r="AUD46" s="57"/>
      <c r="AUE46" s="56"/>
      <c r="AUF46" s="57"/>
      <c r="AUG46" s="57"/>
      <c r="AUH46" s="57"/>
      <c r="AUI46" s="57"/>
      <c r="AUJ46" s="57"/>
      <c r="AUK46" s="56"/>
      <c r="AUL46" s="57"/>
      <c r="AUM46" s="57"/>
      <c r="AUN46" s="56"/>
      <c r="AUO46" s="57"/>
      <c r="AUP46" s="58"/>
      <c r="AUQ46" s="56"/>
      <c r="AUR46" s="57"/>
      <c r="AUS46" s="57"/>
      <c r="AUT46" s="57"/>
      <c r="AUU46" s="56"/>
      <c r="AUV46" s="57"/>
      <c r="AUW46" s="57"/>
      <c r="AUX46" s="56"/>
      <c r="AUY46" s="57"/>
      <c r="AUZ46" s="58"/>
      <c r="AVA46" s="56"/>
      <c r="AVB46" s="57"/>
      <c r="AVC46" s="57"/>
      <c r="AVD46" s="57"/>
      <c r="AVE46" s="56"/>
      <c r="AVF46" s="57"/>
      <c r="AVG46" s="57"/>
      <c r="AVH46" s="57"/>
      <c r="AVI46" s="57"/>
      <c r="AVJ46" s="57"/>
      <c r="AVK46" s="56"/>
      <c r="AVL46" s="57"/>
      <c r="AVM46" s="57"/>
      <c r="AVN46" s="56"/>
      <c r="AVO46" s="57"/>
      <c r="AVP46" s="58"/>
      <c r="AVQ46" s="56"/>
      <c r="AVR46" s="57"/>
      <c r="AVS46" s="57"/>
      <c r="AVT46" s="57"/>
      <c r="AVU46" s="56"/>
      <c r="AVV46" s="57"/>
      <c r="AVW46" s="57"/>
      <c r="AVX46" s="56"/>
      <c r="AVY46" s="57"/>
      <c r="AVZ46" s="58"/>
      <c r="AWA46" s="56"/>
      <c r="AWB46" s="57"/>
      <c r="AWC46" s="57"/>
      <c r="AWD46" s="57"/>
      <c r="AWE46" s="56"/>
      <c r="AWF46" s="57"/>
      <c r="AWG46" s="57"/>
      <c r="AWH46" s="57"/>
      <c r="AWI46" s="57"/>
      <c r="AWJ46" s="57"/>
      <c r="AWK46" s="56"/>
      <c r="AWL46" s="57"/>
      <c r="AWM46" s="57"/>
      <c r="AWN46" s="56"/>
      <c r="AWO46" s="57"/>
      <c r="AWP46" s="58"/>
      <c r="AWQ46" s="56"/>
      <c r="AWR46" s="57"/>
      <c r="AWS46" s="57"/>
      <c r="AWT46" s="57"/>
      <c r="AWU46" s="56"/>
      <c r="AWV46" s="57"/>
      <c r="AWW46" s="57"/>
      <c r="AWX46" s="56"/>
      <c r="AWY46" s="57"/>
      <c r="AWZ46" s="58"/>
      <c r="AXA46" s="56"/>
      <c r="AXB46" s="57"/>
      <c r="AXC46" s="57"/>
      <c r="AXD46" s="57"/>
      <c r="AXE46" s="56"/>
      <c r="AXF46" s="57"/>
      <c r="AXG46" s="57"/>
      <c r="AXH46" s="57"/>
      <c r="AXI46" s="57"/>
      <c r="AXJ46" s="57"/>
      <c r="AXK46" s="56"/>
      <c r="AXL46" s="57"/>
      <c r="AXM46" s="57"/>
      <c r="AXN46" s="56"/>
      <c r="AXO46" s="57"/>
      <c r="AXP46" s="58"/>
      <c r="AXQ46" s="56"/>
      <c r="AXR46" s="57"/>
      <c r="AXS46" s="57"/>
      <c r="AXT46" s="57"/>
      <c r="AXU46" s="56"/>
      <c r="AXV46" s="57"/>
      <c r="AXW46" s="57"/>
      <c r="AXX46" s="56"/>
      <c r="AXY46" s="57"/>
      <c r="AXZ46" s="58"/>
      <c r="AYA46" s="56"/>
      <c r="AYB46" s="57"/>
      <c r="AYC46" s="57"/>
      <c r="AYD46" s="57"/>
      <c r="AYE46" s="56"/>
      <c r="AYF46" s="57"/>
      <c r="AYG46" s="57"/>
      <c r="AYH46" s="57"/>
      <c r="AYI46" s="57"/>
      <c r="AYJ46" s="57"/>
      <c r="AYK46" s="56"/>
      <c r="AYL46" s="57"/>
      <c r="AYM46" s="57"/>
      <c r="AYN46" s="56"/>
      <c r="AYO46" s="57"/>
      <c r="AYP46" s="58"/>
      <c r="AYQ46" s="56"/>
      <c r="AYR46" s="57"/>
      <c r="AYS46" s="57"/>
      <c r="AYT46" s="57"/>
      <c r="AYU46" s="56"/>
      <c r="AYV46" s="57"/>
      <c r="AYW46" s="57"/>
      <c r="AYX46" s="56"/>
      <c r="AYY46" s="57"/>
      <c r="AYZ46" s="58"/>
      <c r="AZA46" s="56"/>
      <c r="AZB46" s="57"/>
      <c r="AZC46" s="57"/>
      <c r="AZD46" s="57"/>
      <c r="AZE46" s="56"/>
      <c r="AZF46" s="57"/>
      <c r="AZG46" s="57"/>
      <c r="AZH46" s="57"/>
      <c r="AZI46" s="57"/>
      <c r="AZJ46" s="57"/>
      <c r="AZK46" s="56"/>
      <c r="AZL46" s="57"/>
      <c r="AZM46" s="57"/>
      <c r="AZN46" s="56"/>
      <c r="AZO46" s="57"/>
      <c r="AZP46" s="58"/>
      <c r="AZQ46" s="56"/>
      <c r="AZR46" s="57"/>
      <c r="AZS46" s="57"/>
      <c r="AZT46" s="57"/>
      <c r="AZU46" s="56"/>
      <c r="AZV46" s="57"/>
      <c r="AZW46" s="57"/>
      <c r="AZX46" s="56"/>
      <c r="AZY46" s="57"/>
      <c r="AZZ46" s="58"/>
      <c r="BAA46" s="56"/>
      <c r="BAB46" s="57"/>
      <c r="BAC46" s="57"/>
      <c r="BAD46" s="57"/>
      <c r="BAE46" s="56"/>
      <c r="BAF46" s="57"/>
      <c r="BAG46" s="57"/>
      <c r="BAH46" s="57"/>
      <c r="BAI46" s="57"/>
      <c r="BAJ46" s="57"/>
      <c r="BAK46" s="56"/>
      <c r="BAL46" s="57"/>
      <c r="BAM46" s="57"/>
      <c r="BAN46" s="56"/>
      <c r="BAO46" s="57"/>
      <c r="BAP46" s="58"/>
      <c r="BAQ46" s="56"/>
      <c r="BAR46" s="57"/>
      <c r="BAS46" s="57"/>
      <c r="BAT46" s="57"/>
      <c r="BAU46" s="56"/>
      <c r="BAV46" s="57"/>
      <c r="BAW46" s="57"/>
      <c r="BAX46" s="56"/>
      <c r="BAY46" s="57"/>
      <c r="BAZ46" s="58"/>
      <c r="BBA46" s="56"/>
      <c r="BBB46" s="57"/>
      <c r="BBC46" s="57"/>
      <c r="BBD46" s="57"/>
      <c r="BBE46" s="56"/>
      <c r="BBF46" s="57"/>
      <c r="BBG46" s="57"/>
      <c r="BBH46" s="57"/>
      <c r="BBI46" s="57"/>
      <c r="BBJ46" s="57"/>
      <c r="BBK46" s="56"/>
      <c r="BBL46" s="57"/>
      <c r="BBM46" s="57"/>
      <c r="BBN46" s="56"/>
      <c r="BBO46" s="57"/>
      <c r="BBP46" s="58"/>
      <c r="BBQ46" s="56"/>
      <c r="BBR46" s="57"/>
      <c r="BBS46" s="57"/>
      <c r="BBT46" s="57"/>
      <c r="BBU46" s="56"/>
      <c r="BBV46" s="57"/>
      <c r="BBW46" s="57"/>
      <c r="BBX46" s="56"/>
      <c r="BBY46" s="57"/>
      <c r="BBZ46" s="58"/>
      <c r="BCA46" s="56"/>
      <c r="BCB46" s="57"/>
      <c r="BCC46" s="57"/>
      <c r="BCD46" s="57"/>
      <c r="BCE46" s="56"/>
      <c r="BCF46" s="57"/>
      <c r="BCG46" s="57"/>
      <c r="BCH46" s="57"/>
      <c r="BCI46" s="57"/>
      <c r="BCJ46" s="57"/>
      <c r="BCK46" s="56"/>
      <c r="BCL46" s="57"/>
      <c r="BCM46" s="57"/>
      <c r="BCN46" s="56"/>
      <c r="BCO46" s="57"/>
      <c r="BCP46" s="58"/>
      <c r="BCQ46" s="56"/>
      <c r="BCR46" s="57"/>
      <c r="BCS46" s="57"/>
      <c r="BCT46" s="57"/>
      <c r="BCU46" s="56"/>
      <c r="BCV46" s="57"/>
      <c r="BCW46" s="57"/>
      <c r="BCX46" s="56"/>
      <c r="BCY46" s="57"/>
      <c r="BCZ46" s="58"/>
      <c r="BDA46" s="56"/>
      <c r="BDB46" s="57"/>
      <c r="BDC46" s="57"/>
      <c r="BDD46" s="57"/>
      <c r="BDE46" s="56"/>
      <c r="BDF46" s="57"/>
      <c r="BDG46" s="57"/>
      <c r="BDH46" s="57"/>
      <c r="BDI46" s="57"/>
      <c r="BDJ46" s="57"/>
      <c r="BDK46" s="56"/>
      <c r="BDL46" s="57"/>
      <c r="BDM46" s="57"/>
      <c r="BDN46" s="56"/>
      <c r="BDO46" s="57"/>
      <c r="BDP46" s="58"/>
      <c r="BDQ46" s="56"/>
      <c r="BDR46" s="57"/>
      <c r="BDS46" s="57"/>
      <c r="BDT46" s="57"/>
      <c r="BDU46" s="56"/>
      <c r="BDV46" s="57"/>
      <c r="BDW46" s="57"/>
      <c r="BDX46" s="56"/>
      <c r="BDY46" s="57"/>
      <c r="BDZ46" s="58"/>
      <c r="BEA46" s="56"/>
      <c r="BEB46" s="57"/>
      <c r="BEC46" s="57"/>
      <c r="BED46" s="57"/>
      <c r="BEE46" s="56"/>
      <c r="BEF46" s="57"/>
      <c r="BEG46" s="57"/>
      <c r="BEH46" s="57"/>
      <c r="BEI46" s="57"/>
      <c r="BEJ46" s="57"/>
      <c r="BEK46" s="56"/>
      <c r="BEL46" s="57"/>
      <c r="BEM46" s="57"/>
      <c r="BEN46" s="56"/>
      <c r="BEO46" s="57"/>
      <c r="BEP46" s="58"/>
      <c r="BEQ46" s="56"/>
      <c r="BER46" s="57"/>
      <c r="BES46" s="57"/>
      <c r="BET46" s="57"/>
      <c r="BEU46" s="56"/>
      <c r="BEV46" s="57"/>
      <c r="BEW46" s="57"/>
      <c r="BEX46" s="56"/>
      <c r="BEY46" s="57"/>
      <c r="BEZ46" s="58"/>
      <c r="BFA46" s="56"/>
      <c r="BFB46" s="57"/>
      <c r="BFC46" s="57"/>
      <c r="BFD46" s="57"/>
      <c r="BFE46" s="56"/>
      <c r="BFF46" s="57"/>
      <c r="BFG46" s="57"/>
      <c r="BFH46" s="57"/>
      <c r="BFI46" s="57"/>
      <c r="BFJ46" s="57"/>
      <c r="BFK46" s="56"/>
      <c r="BFL46" s="57"/>
      <c r="BFM46" s="57"/>
      <c r="BFN46" s="56"/>
      <c r="BFO46" s="57"/>
      <c r="BFP46" s="58"/>
      <c r="BFQ46" s="56"/>
      <c r="BFR46" s="57"/>
      <c r="BFS46" s="57"/>
      <c r="BFT46" s="57"/>
      <c r="BFU46" s="56"/>
      <c r="BFV46" s="57"/>
      <c r="BFW46" s="57"/>
      <c r="BFX46" s="56"/>
      <c r="BFY46" s="57"/>
      <c r="BFZ46" s="58"/>
      <c r="BGA46" s="56"/>
      <c r="BGB46" s="57"/>
      <c r="BGC46" s="57"/>
      <c r="BGD46" s="57"/>
      <c r="BGE46" s="56"/>
      <c r="BGF46" s="57"/>
      <c r="BGG46" s="57"/>
      <c r="BGH46" s="57"/>
      <c r="BGI46" s="57"/>
      <c r="BGJ46" s="57"/>
      <c r="BGK46" s="56"/>
      <c r="BGL46" s="57"/>
      <c r="BGM46" s="57"/>
      <c r="BGN46" s="56"/>
      <c r="BGO46" s="57"/>
      <c r="BGP46" s="58"/>
      <c r="BGQ46" s="56"/>
      <c r="BGR46" s="57"/>
      <c r="BGS46" s="57"/>
      <c r="BGT46" s="57"/>
      <c r="BGU46" s="56"/>
      <c r="BGV46" s="57"/>
      <c r="BGW46" s="57"/>
      <c r="BGX46" s="56"/>
      <c r="BGY46" s="57"/>
      <c r="BGZ46" s="58"/>
      <c r="BHA46" s="56"/>
      <c r="BHB46" s="57"/>
      <c r="BHC46" s="57"/>
      <c r="BHD46" s="57"/>
      <c r="BHE46" s="56"/>
      <c r="BHF46" s="57"/>
      <c r="BHG46" s="57"/>
      <c r="BHH46" s="57"/>
      <c r="BHI46" s="57"/>
      <c r="BHJ46" s="57"/>
      <c r="BHK46" s="56"/>
      <c r="BHL46" s="57"/>
      <c r="BHM46" s="57"/>
      <c r="BHN46" s="56"/>
      <c r="BHO46" s="57"/>
      <c r="BHP46" s="58"/>
      <c r="BHQ46" s="56"/>
      <c r="BHR46" s="57"/>
      <c r="BHS46" s="57"/>
      <c r="BHT46" s="57"/>
      <c r="BHU46" s="56"/>
      <c r="BHV46" s="57"/>
      <c r="BHW46" s="57"/>
      <c r="BHX46" s="56"/>
      <c r="BHY46" s="57"/>
      <c r="BHZ46" s="58"/>
      <c r="BIA46" s="56"/>
      <c r="BIB46" s="57"/>
      <c r="BIC46" s="57"/>
      <c r="BID46" s="57"/>
      <c r="BIE46" s="56"/>
      <c r="BIF46" s="57"/>
      <c r="BIG46" s="57"/>
      <c r="BIH46" s="57"/>
      <c r="BII46" s="57"/>
      <c r="BIJ46" s="57"/>
      <c r="BIK46" s="56"/>
      <c r="BIL46" s="57"/>
      <c r="BIM46" s="57"/>
      <c r="BIN46" s="56"/>
      <c r="BIO46" s="57"/>
      <c r="BIP46" s="58"/>
      <c r="BIQ46" s="56"/>
      <c r="BIR46" s="57"/>
      <c r="BIS46" s="57"/>
      <c r="BIT46" s="57"/>
      <c r="BIU46" s="56"/>
      <c r="BIV46" s="57"/>
      <c r="BIW46" s="57"/>
      <c r="BIX46" s="56"/>
      <c r="BIY46" s="57"/>
      <c r="BIZ46" s="58"/>
      <c r="BJA46" s="56"/>
      <c r="BJB46" s="57"/>
      <c r="BJC46" s="57"/>
      <c r="BJD46" s="57"/>
      <c r="BJE46" s="56"/>
      <c r="BJF46" s="57"/>
      <c r="BJG46" s="57"/>
      <c r="BJH46" s="57"/>
      <c r="BJI46" s="57"/>
      <c r="BJJ46" s="57"/>
      <c r="BJK46" s="56"/>
      <c r="BJL46" s="57"/>
      <c r="BJM46" s="57"/>
      <c r="BJN46" s="56"/>
      <c r="BJO46" s="57"/>
      <c r="BJP46" s="58"/>
      <c r="BJQ46" s="56"/>
      <c r="BJR46" s="57"/>
      <c r="BJS46" s="57"/>
      <c r="BJT46" s="57"/>
      <c r="BJU46" s="56"/>
      <c r="BJV46" s="57"/>
      <c r="BJW46" s="57"/>
      <c r="BJX46" s="56"/>
      <c r="BJY46" s="57"/>
      <c r="BJZ46" s="58"/>
      <c r="BKA46" s="56"/>
      <c r="BKB46" s="57"/>
      <c r="BKC46" s="57"/>
      <c r="BKD46" s="57"/>
      <c r="BKE46" s="56"/>
      <c r="BKF46" s="57"/>
      <c r="BKG46" s="57"/>
      <c r="BKH46" s="57"/>
      <c r="BKI46" s="57"/>
      <c r="BKJ46" s="57"/>
      <c r="BKK46" s="56"/>
      <c r="BKL46" s="57"/>
      <c r="BKM46" s="57"/>
      <c r="BKN46" s="56"/>
      <c r="BKO46" s="57"/>
      <c r="BKP46" s="58"/>
      <c r="BKQ46" s="56"/>
      <c r="BKR46" s="57"/>
      <c r="BKS46" s="57"/>
      <c r="BKT46" s="57"/>
      <c r="BKU46" s="56"/>
      <c r="BKV46" s="57"/>
      <c r="BKW46" s="57"/>
      <c r="BKX46" s="56"/>
      <c r="BKY46" s="57"/>
      <c r="BKZ46" s="58"/>
      <c r="BLA46" s="56"/>
      <c r="BLB46" s="57"/>
      <c r="BLC46" s="57"/>
      <c r="BLD46" s="57"/>
      <c r="BLE46" s="56"/>
      <c r="BLF46" s="57"/>
      <c r="BLG46" s="57"/>
      <c r="BLH46" s="57"/>
      <c r="BLI46" s="57"/>
      <c r="BLJ46" s="57"/>
      <c r="BLK46" s="56"/>
      <c r="BLL46" s="57"/>
      <c r="BLM46" s="57"/>
      <c r="BLN46" s="56"/>
      <c r="BLO46" s="57"/>
      <c r="BLP46" s="58"/>
      <c r="BLQ46" s="56"/>
      <c r="BLR46" s="57"/>
      <c r="BLS46" s="57"/>
      <c r="BLT46" s="57"/>
      <c r="BLU46" s="56"/>
      <c r="BLV46" s="57"/>
      <c r="BLW46" s="57"/>
      <c r="BLX46" s="56"/>
      <c r="BLY46" s="57"/>
      <c r="BLZ46" s="58"/>
      <c r="BMA46" s="56"/>
      <c r="BMB46" s="57"/>
      <c r="BMC46" s="57"/>
      <c r="BMD46" s="57"/>
      <c r="BME46" s="56"/>
      <c r="BMF46" s="57"/>
      <c r="BMG46" s="57"/>
      <c r="BMH46" s="57"/>
      <c r="BMI46" s="57"/>
      <c r="BMJ46" s="57"/>
      <c r="BMK46" s="56"/>
      <c r="BML46" s="57"/>
      <c r="BMM46" s="57"/>
      <c r="BMN46" s="56"/>
      <c r="BMO46" s="57"/>
      <c r="BMP46" s="58"/>
      <c r="BMQ46" s="56"/>
      <c r="BMR46" s="57"/>
      <c r="BMS46" s="57"/>
      <c r="BMT46" s="57"/>
      <c r="BMU46" s="56"/>
      <c r="BMV46" s="57"/>
      <c r="BMW46" s="57"/>
      <c r="BMX46" s="56"/>
      <c r="BMY46" s="57"/>
      <c r="BMZ46" s="58"/>
      <c r="BNA46" s="56"/>
      <c r="BNB46" s="57"/>
      <c r="BNC46" s="57"/>
      <c r="BND46" s="57"/>
      <c r="BNE46" s="56"/>
      <c r="BNF46" s="57"/>
      <c r="BNG46" s="57"/>
      <c r="BNH46" s="57"/>
      <c r="BNI46" s="57"/>
      <c r="BNJ46" s="57"/>
      <c r="BNK46" s="56"/>
      <c r="BNL46" s="57"/>
      <c r="BNM46" s="57"/>
      <c r="BNN46" s="56"/>
      <c r="BNO46" s="57"/>
      <c r="BNP46" s="58"/>
      <c r="BNQ46" s="56"/>
      <c r="BNR46" s="57"/>
      <c r="BNS46" s="57"/>
      <c r="BNT46" s="57"/>
      <c r="BNU46" s="56"/>
      <c r="BNV46" s="57"/>
      <c r="BNW46" s="57"/>
      <c r="BNX46" s="56"/>
      <c r="BNY46" s="57"/>
      <c r="BNZ46" s="58"/>
      <c r="BOA46" s="56"/>
      <c r="BOB46" s="57"/>
      <c r="BOC46" s="57"/>
      <c r="BOD46" s="57"/>
      <c r="BOE46" s="56"/>
      <c r="BOF46" s="57"/>
      <c r="BOG46" s="57"/>
      <c r="BOH46" s="57"/>
      <c r="BOI46" s="57"/>
      <c r="BOJ46" s="57"/>
      <c r="BOK46" s="56"/>
      <c r="BOL46" s="57"/>
      <c r="BOM46" s="57"/>
      <c r="BON46" s="56"/>
      <c r="BOO46" s="57"/>
      <c r="BOP46" s="58"/>
      <c r="BOQ46" s="56"/>
      <c r="BOR46" s="57"/>
      <c r="BOS46" s="57"/>
      <c r="BOT46" s="57"/>
      <c r="BOU46" s="56"/>
      <c r="BOV46" s="57"/>
      <c r="BOW46" s="57"/>
      <c r="BOX46" s="56"/>
      <c r="BOY46" s="57"/>
      <c r="BOZ46" s="58"/>
      <c r="BPA46" s="56"/>
      <c r="BPB46" s="57"/>
      <c r="BPC46" s="57"/>
      <c r="BPD46" s="57"/>
      <c r="BPE46" s="56"/>
      <c r="BPF46" s="57"/>
      <c r="BPG46" s="57"/>
      <c r="BPH46" s="57"/>
      <c r="BPI46" s="57"/>
      <c r="BPJ46" s="57"/>
      <c r="BPK46" s="56"/>
      <c r="BPL46" s="57"/>
      <c r="BPM46" s="57"/>
      <c r="BPN46" s="56"/>
      <c r="BPO46" s="57"/>
      <c r="BPP46" s="58"/>
      <c r="BPQ46" s="56"/>
      <c r="BPR46" s="57"/>
      <c r="BPS46" s="57"/>
      <c r="BPT46" s="57"/>
      <c r="BPU46" s="56"/>
      <c r="BPV46" s="57"/>
      <c r="BPW46" s="57"/>
      <c r="BPX46" s="56"/>
      <c r="BPY46" s="57"/>
      <c r="BPZ46" s="58"/>
      <c r="BQA46" s="56"/>
      <c r="BQB46" s="57"/>
      <c r="BQC46" s="57"/>
      <c r="BQD46" s="57"/>
      <c r="BQE46" s="56"/>
      <c r="BQF46" s="57"/>
      <c r="BQG46" s="57"/>
      <c r="BQH46" s="57"/>
      <c r="BQI46" s="57"/>
      <c r="BQJ46" s="57"/>
      <c r="BQK46" s="56"/>
      <c r="BQL46" s="57"/>
      <c r="BQM46" s="57"/>
      <c r="BQN46" s="56"/>
      <c r="BQO46" s="57"/>
      <c r="BQP46" s="58"/>
      <c r="BQQ46" s="56"/>
      <c r="BQR46" s="57"/>
      <c r="BQS46" s="57"/>
      <c r="BQT46" s="57"/>
      <c r="BQU46" s="56"/>
      <c r="BQV46" s="57"/>
      <c r="BQW46" s="57"/>
      <c r="BQX46" s="56"/>
      <c r="BQY46" s="57"/>
      <c r="BQZ46" s="58"/>
      <c r="BRA46" s="56"/>
      <c r="BRB46" s="57"/>
      <c r="BRC46" s="57"/>
      <c r="BRD46" s="57"/>
      <c r="BRE46" s="56"/>
      <c r="BRF46" s="57"/>
      <c r="BRG46" s="57"/>
      <c r="BRH46" s="57"/>
      <c r="BRI46" s="57"/>
      <c r="BRJ46" s="57"/>
      <c r="BRK46" s="56"/>
      <c r="BRL46" s="57"/>
      <c r="BRM46" s="57"/>
      <c r="BRN46" s="56"/>
      <c r="BRO46" s="57"/>
      <c r="BRP46" s="58"/>
      <c r="BRQ46" s="56"/>
      <c r="BRR46" s="57"/>
      <c r="BRS46" s="57"/>
      <c r="BRT46" s="57"/>
      <c r="BRU46" s="56"/>
      <c r="BRV46" s="57"/>
      <c r="BRW46" s="57"/>
      <c r="BRX46" s="56"/>
      <c r="BRY46" s="57"/>
      <c r="BRZ46" s="58"/>
      <c r="BSA46" s="56"/>
      <c r="BSB46" s="57"/>
      <c r="BSC46" s="57"/>
      <c r="BSD46" s="57"/>
      <c r="BSE46" s="56"/>
      <c r="BSF46" s="57"/>
      <c r="BSG46" s="57"/>
      <c r="BSH46" s="57"/>
      <c r="BSI46" s="57"/>
      <c r="BSJ46" s="57"/>
      <c r="BSK46" s="56"/>
      <c r="BSL46" s="57"/>
      <c r="BSM46" s="57"/>
      <c r="BSN46" s="56"/>
      <c r="BSO46" s="57"/>
      <c r="BSP46" s="58"/>
      <c r="BSQ46" s="56"/>
      <c r="BSR46" s="57"/>
      <c r="BSS46" s="57"/>
      <c r="BST46" s="57"/>
      <c r="BSU46" s="56"/>
      <c r="BSV46" s="57"/>
      <c r="BSW46" s="57"/>
      <c r="BSX46" s="56"/>
      <c r="BSY46" s="57"/>
      <c r="BSZ46" s="58"/>
      <c r="BTA46" s="56"/>
      <c r="BTB46" s="57"/>
      <c r="BTC46" s="57"/>
      <c r="BTD46" s="57"/>
      <c r="BTE46" s="56"/>
      <c r="BTF46" s="57"/>
      <c r="BTG46" s="57"/>
      <c r="BTH46" s="57"/>
      <c r="BTI46" s="57"/>
      <c r="BTJ46" s="57"/>
      <c r="BTK46" s="56"/>
      <c r="BTL46" s="57"/>
      <c r="BTM46" s="57"/>
      <c r="BTN46" s="56"/>
      <c r="BTO46" s="57"/>
      <c r="BTP46" s="58"/>
      <c r="BTQ46" s="56"/>
      <c r="BTR46" s="57"/>
      <c r="BTS46" s="57"/>
      <c r="BTT46" s="57"/>
      <c r="BTU46" s="56"/>
      <c r="BTV46" s="57"/>
      <c r="BTW46" s="57"/>
      <c r="BTX46" s="56"/>
      <c r="BTY46" s="57"/>
      <c r="BTZ46" s="58"/>
      <c r="BUA46" s="56"/>
      <c r="BUB46" s="57"/>
      <c r="BUC46" s="57"/>
      <c r="BUD46" s="57"/>
      <c r="BUE46" s="56"/>
      <c r="BUF46" s="57"/>
      <c r="BUG46" s="57"/>
      <c r="BUH46" s="57"/>
      <c r="BUI46" s="57"/>
      <c r="BUJ46" s="57"/>
      <c r="BUK46" s="56"/>
      <c r="BUL46" s="57"/>
      <c r="BUM46" s="57"/>
      <c r="BUN46" s="56"/>
      <c r="BUO46" s="57"/>
      <c r="BUP46" s="58"/>
      <c r="BUQ46" s="56"/>
      <c r="BUR46" s="57"/>
      <c r="BUS46" s="57"/>
      <c r="BUT46" s="57"/>
      <c r="BUU46" s="56"/>
      <c r="BUV46" s="57"/>
      <c r="BUW46" s="57"/>
      <c r="BUX46" s="56"/>
      <c r="BUY46" s="57"/>
      <c r="BUZ46" s="58"/>
      <c r="BVA46" s="56"/>
      <c r="BVB46" s="57"/>
      <c r="BVC46" s="57"/>
      <c r="BVD46" s="57"/>
      <c r="BVE46" s="56"/>
      <c r="BVF46" s="57"/>
      <c r="BVG46" s="57"/>
      <c r="BVH46" s="57"/>
      <c r="BVI46" s="57"/>
      <c r="BVJ46" s="57"/>
      <c r="BVK46" s="56"/>
      <c r="BVL46" s="57"/>
      <c r="BVM46" s="57"/>
      <c r="BVN46" s="56"/>
      <c r="BVO46" s="57"/>
      <c r="BVP46" s="58"/>
      <c r="BVQ46" s="56"/>
      <c r="BVR46" s="57"/>
      <c r="BVS46" s="57"/>
      <c r="BVT46" s="57"/>
      <c r="BVU46" s="56"/>
      <c r="BVV46" s="57"/>
      <c r="BVW46" s="57"/>
      <c r="BVX46" s="56"/>
      <c r="BVY46" s="57"/>
      <c r="BVZ46" s="58"/>
      <c r="BWA46" s="56"/>
      <c r="BWB46" s="57"/>
      <c r="BWC46" s="57"/>
      <c r="BWD46" s="57"/>
      <c r="BWE46" s="56"/>
      <c r="BWF46" s="57"/>
      <c r="BWG46" s="57"/>
      <c r="BWH46" s="57"/>
      <c r="BWI46" s="57"/>
      <c r="BWJ46" s="57"/>
      <c r="BWK46" s="56"/>
      <c r="BWL46" s="57"/>
      <c r="BWM46" s="57"/>
      <c r="BWN46" s="56"/>
      <c r="BWO46" s="57"/>
      <c r="BWP46" s="58"/>
      <c r="BWQ46" s="56"/>
      <c r="BWR46" s="57"/>
      <c r="BWS46" s="57"/>
      <c r="BWT46" s="57"/>
      <c r="BWU46" s="56"/>
      <c r="BWV46" s="57"/>
      <c r="BWW46" s="57"/>
      <c r="BWX46" s="56"/>
      <c r="BWY46" s="57"/>
      <c r="BWZ46" s="58"/>
      <c r="BXA46" s="56"/>
      <c r="BXB46" s="57"/>
      <c r="BXC46" s="57"/>
      <c r="BXD46" s="57"/>
      <c r="BXE46" s="56"/>
      <c r="BXF46" s="57"/>
      <c r="BXG46" s="57"/>
      <c r="BXH46" s="57"/>
      <c r="BXI46" s="57"/>
      <c r="BXJ46" s="57"/>
      <c r="BXK46" s="56"/>
      <c r="BXL46" s="57"/>
      <c r="BXM46" s="57"/>
      <c r="BXN46" s="56"/>
      <c r="BXO46" s="57"/>
      <c r="BXP46" s="58"/>
      <c r="BXQ46" s="56"/>
      <c r="BXR46" s="57"/>
      <c r="BXS46" s="57"/>
      <c r="BXT46" s="57"/>
      <c r="BXU46" s="56"/>
      <c r="BXV46" s="57"/>
      <c r="BXW46" s="57"/>
      <c r="BXX46" s="56"/>
      <c r="BXY46" s="57"/>
      <c r="BXZ46" s="58"/>
      <c r="BYA46" s="56"/>
      <c r="BYB46" s="57"/>
      <c r="BYC46" s="57"/>
      <c r="BYD46" s="57"/>
      <c r="BYE46" s="56"/>
      <c r="BYF46" s="57"/>
      <c r="BYG46" s="57"/>
      <c r="BYH46" s="57"/>
      <c r="BYI46" s="57"/>
      <c r="BYJ46" s="57"/>
      <c r="BYK46" s="56"/>
      <c r="BYL46" s="57"/>
      <c r="BYM46" s="57"/>
      <c r="BYN46" s="56"/>
      <c r="BYO46" s="57"/>
      <c r="BYP46" s="58"/>
      <c r="BYQ46" s="56"/>
      <c r="BYR46" s="57"/>
      <c r="BYS46" s="57"/>
      <c r="BYT46" s="57"/>
      <c r="BYU46" s="56"/>
      <c r="BYV46" s="57"/>
      <c r="BYW46" s="57"/>
      <c r="BYX46" s="58"/>
      <c r="BYY46" s="57"/>
      <c r="BYZ46" s="56"/>
      <c r="BZA46" s="57"/>
      <c r="BZB46" s="56"/>
      <c r="BZC46" s="56"/>
      <c r="BZD46" s="56"/>
      <c r="BZE46" s="57"/>
      <c r="BZF46" s="57"/>
      <c r="BZG46" s="57"/>
      <c r="BZH46" s="57"/>
      <c r="BZI46" s="57"/>
      <c r="BZJ46" s="57"/>
      <c r="BZK46" s="57"/>
      <c r="BZL46" s="57"/>
      <c r="BZM46" s="57"/>
      <c r="BZN46" s="57"/>
      <c r="BZO46" s="57"/>
      <c r="BZP46" s="57"/>
      <c r="BZQ46" s="57"/>
      <c r="BZR46" s="57"/>
      <c r="BZS46" s="57"/>
      <c r="BZT46" s="57"/>
      <c r="BZU46" s="57"/>
      <c r="BZV46" s="57"/>
      <c r="BZW46" s="57"/>
      <c r="BZX46" s="57"/>
      <c r="BZY46" s="57"/>
      <c r="BZZ46" s="57"/>
      <c r="CAA46" s="57"/>
      <c r="CAB46" s="57"/>
      <c r="CAC46" s="57"/>
      <c r="CAD46" s="57"/>
      <c r="CAE46" s="57"/>
      <c r="CAF46" s="57"/>
      <c r="CAG46" s="57"/>
      <c r="CAH46" s="57"/>
      <c r="CAI46" s="57"/>
      <c r="CAJ46" s="57"/>
      <c r="CAK46" s="57"/>
      <c r="CAL46" s="57"/>
      <c r="CAM46" s="57"/>
      <c r="CAN46" s="57"/>
      <c r="CAO46" s="57"/>
      <c r="CAP46" s="58"/>
      <c r="CAQ46" s="56"/>
      <c r="CAR46" s="57"/>
      <c r="CAS46" s="57"/>
      <c r="CAT46" s="57"/>
      <c r="CAU46" s="57"/>
      <c r="CAV46" s="57"/>
      <c r="CAW46" s="56"/>
      <c r="CAX46" s="57"/>
      <c r="CAY46" s="57"/>
      <c r="CAZ46" s="56"/>
      <c r="CBA46" s="57"/>
      <c r="CBB46" s="58"/>
      <c r="CBC46" s="56"/>
      <c r="CBD46" s="57"/>
      <c r="CBE46" s="57"/>
      <c r="CBF46" s="57"/>
      <c r="CBG46" s="56"/>
      <c r="CBH46" s="57"/>
      <c r="CBI46" s="57"/>
      <c r="CBJ46" s="56"/>
      <c r="CBK46" s="57"/>
      <c r="CBL46" s="58"/>
      <c r="CBM46" s="56"/>
      <c r="CBN46" s="57"/>
      <c r="CBO46" s="57"/>
      <c r="CBP46" s="57"/>
      <c r="CBQ46" s="56"/>
      <c r="CBR46" s="57"/>
      <c r="CBS46" s="57"/>
      <c r="CBT46" s="56"/>
      <c r="CBU46" s="57"/>
      <c r="CBV46" s="58"/>
      <c r="CBW46" s="56"/>
      <c r="CBX46" s="57"/>
      <c r="CBY46" s="57"/>
      <c r="CBZ46" s="57"/>
      <c r="CCA46" s="56"/>
      <c r="CCB46" s="57"/>
      <c r="CCC46" s="57"/>
      <c r="CCD46" s="56"/>
      <c r="CCE46" s="57"/>
      <c r="CCF46" s="58"/>
      <c r="CCG46" s="56"/>
      <c r="CCH46" s="58"/>
      <c r="CCI46" s="57"/>
      <c r="CCJ46" s="56"/>
      <c r="CCK46" s="57"/>
      <c r="CCL46" s="56"/>
      <c r="CCM46" s="56"/>
      <c r="CCN46" s="56"/>
      <c r="CCO46" s="57"/>
      <c r="CCP46" s="57"/>
      <c r="CCQ46" s="57"/>
      <c r="CCR46" s="57"/>
      <c r="CCS46" s="57"/>
      <c r="CCT46" s="57"/>
      <c r="CCU46" s="57"/>
      <c r="CCV46" s="57"/>
      <c r="CCW46" s="57"/>
      <c r="CCX46" s="57"/>
      <c r="CCY46" s="57"/>
      <c r="CCZ46" s="57"/>
      <c r="CDA46" s="57"/>
      <c r="CDB46" s="57"/>
      <c r="CDC46" s="57"/>
      <c r="CDD46" s="57"/>
      <c r="CDE46" s="57"/>
      <c r="CDF46" s="57"/>
      <c r="CDG46" s="57"/>
      <c r="CDH46" s="57"/>
      <c r="CDI46" s="57"/>
      <c r="CDJ46" s="57"/>
      <c r="CDK46" s="57"/>
      <c r="CDL46" s="57"/>
      <c r="CDM46" s="57"/>
      <c r="CDN46" s="57"/>
      <c r="CDO46" s="57"/>
      <c r="CDP46" s="57"/>
      <c r="CDQ46" s="57"/>
      <c r="CDR46" s="57"/>
      <c r="CDS46" s="57"/>
      <c r="CDT46" s="57"/>
      <c r="CDU46" s="57"/>
      <c r="CDV46" s="57"/>
      <c r="CDW46" s="57"/>
      <c r="CDX46" s="57"/>
      <c r="CDY46" s="57"/>
      <c r="CDZ46" s="58"/>
      <c r="CEA46" s="56"/>
      <c r="CEB46" s="57"/>
      <c r="CEC46" s="57"/>
      <c r="CED46" s="57"/>
      <c r="CEE46" s="57"/>
      <c r="CEF46" s="57"/>
      <c r="CEG46" s="56"/>
      <c r="CEH46" s="57"/>
      <c r="CEI46" s="57"/>
      <c r="CEJ46" s="56"/>
      <c r="CEK46" s="57"/>
      <c r="CEL46" s="58"/>
      <c r="CEM46" s="56"/>
      <c r="CEN46" s="57"/>
      <c r="CEO46" s="57"/>
      <c r="CEP46" s="57"/>
      <c r="CEQ46" s="56"/>
      <c r="CER46" s="57"/>
      <c r="CES46" s="57"/>
      <c r="CET46" s="56"/>
      <c r="CEU46" s="57"/>
      <c r="CEV46" s="58"/>
      <c r="CEW46" s="56"/>
      <c r="CEX46" s="57"/>
      <c r="CEY46" s="57"/>
      <c r="CEZ46" s="57"/>
      <c r="CFA46" s="56"/>
      <c r="CFB46" s="57"/>
      <c r="CFC46" s="57"/>
      <c r="CFD46" s="56"/>
      <c r="CFE46" s="57"/>
      <c r="CFF46" s="58"/>
      <c r="CFG46" s="56"/>
      <c r="CFH46" s="57"/>
      <c r="CFI46" s="57"/>
      <c r="CFJ46" s="57"/>
      <c r="CFK46" s="56"/>
      <c r="CFL46" s="57"/>
      <c r="CFM46" s="57"/>
      <c r="CFN46" s="56"/>
      <c r="CFO46" s="57"/>
      <c r="CFP46" s="58"/>
      <c r="CFQ46" s="56"/>
      <c r="CFR46" s="58"/>
      <c r="CFS46" s="57"/>
      <c r="CFT46" s="56"/>
      <c r="CFU46" s="57"/>
      <c r="CFV46" s="56"/>
      <c r="CFW46" s="56"/>
      <c r="CFX46" s="56"/>
      <c r="CFY46" s="57"/>
      <c r="CFZ46" s="57"/>
      <c r="CGA46" s="57"/>
      <c r="CGB46" s="57"/>
      <c r="CGC46" s="57"/>
      <c r="CGD46" s="57"/>
      <c r="CGE46" s="57"/>
      <c r="CGF46" s="57"/>
      <c r="CGG46" s="57"/>
      <c r="CGH46" s="57"/>
      <c r="CGI46" s="57"/>
      <c r="CGJ46" s="57"/>
      <c r="CGK46" s="57"/>
      <c r="CGL46" s="57"/>
      <c r="CGM46" s="57"/>
      <c r="CGN46" s="57"/>
      <c r="CGO46" s="57"/>
      <c r="CGP46" s="57"/>
      <c r="CGQ46" s="57"/>
      <c r="CGR46" s="57"/>
      <c r="CGS46" s="57"/>
      <c r="CGT46" s="57"/>
      <c r="CGU46" s="57"/>
      <c r="CGV46" s="57"/>
      <c r="CGW46" s="57"/>
      <c r="CGX46" s="57"/>
      <c r="CGY46" s="57"/>
      <c r="CGZ46" s="57"/>
      <c r="CHA46" s="57"/>
      <c r="CHB46" s="57"/>
      <c r="CHC46" s="57"/>
      <c r="CHD46" s="57"/>
      <c r="CHE46" s="57"/>
      <c r="CHF46" s="57"/>
      <c r="CHG46" s="57"/>
      <c r="CHH46" s="57"/>
      <c r="CHI46" s="57"/>
      <c r="CHJ46" s="58"/>
      <c r="CHK46" s="56"/>
      <c r="CHL46" s="57"/>
      <c r="CHM46" s="57"/>
      <c r="CHN46" s="57"/>
      <c r="CHO46" s="57"/>
      <c r="CHP46" s="57"/>
      <c r="CHQ46" s="56"/>
      <c r="CHR46" s="57"/>
      <c r="CHS46" s="57"/>
      <c r="CHT46" s="56"/>
      <c r="CHU46" s="57"/>
      <c r="CHV46" s="58"/>
      <c r="CHW46" s="56"/>
      <c r="CHX46" s="57"/>
      <c r="CHY46" s="57"/>
      <c r="CHZ46" s="57"/>
      <c r="CIA46" s="56"/>
      <c r="CIB46" s="57"/>
      <c r="CIC46" s="57"/>
      <c r="CID46" s="56"/>
      <c r="CIE46" s="57"/>
      <c r="CIF46" s="58"/>
      <c r="CIG46" s="56"/>
      <c r="CIH46" s="57"/>
      <c r="CII46" s="57"/>
      <c r="CIJ46" s="57"/>
      <c r="CIK46" s="56"/>
      <c r="CIL46" s="57"/>
      <c r="CIM46" s="57"/>
      <c r="CIN46" s="56"/>
      <c r="CIO46" s="57"/>
      <c r="CIP46" s="58"/>
      <c r="CIQ46" s="56"/>
      <c r="CIR46" s="57"/>
      <c r="CIS46" s="57"/>
      <c r="CIT46" s="57"/>
      <c r="CIU46" s="56"/>
      <c r="CIV46" s="57"/>
      <c r="CIW46" s="57"/>
      <c r="CIX46" s="56"/>
      <c r="CIY46" s="57"/>
      <c r="CIZ46" s="58"/>
      <c r="CJA46" s="56"/>
      <c r="CJB46" s="58"/>
      <c r="CJC46" s="57"/>
      <c r="CJD46" s="56"/>
      <c r="CJE46" s="57"/>
      <c r="CJF46" s="56"/>
      <c r="CJG46" s="56"/>
      <c r="CJH46" s="56"/>
      <c r="CJI46" s="57"/>
      <c r="CJJ46" s="57"/>
      <c r="CJK46" s="57"/>
      <c r="CJL46" s="57"/>
      <c r="CJM46" s="57"/>
      <c r="CJN46" s="57"/>
      <c r="CJO46" s="57"/>
      <c r="CJP46" s="57"/>
      <c r="CJQ46" s="57"/>
      <c r="CJR46" s="57"/>
      <c r="CJS46" s="57"/>
      <c r="CJT46" s="57"/>
      <c r="CJU46" s="57"/>
      <c r="CJV46" s="57"/>
      <c r="CJW46" s="57"/>
      <c r="CJX46" s="57"/>
      <c r="CJY46" s="57"/>
      <c r="CJZ46" s="57"/>
      <c r="CKA46" s="57"/>
      <c r="CKB46" s="57"/>
      <c r="CKC46" s="57"/>
      <c r="CKD46" s="57"/>
      <c r="CKE46" s="57"/>
      <c r="CKF46" s="57"/>
      <c r="CKG46" s="57"/>
      <c r="CKH46" s="57"/>
      <c r="CKI46" s="57"/>
      <c r="CKJ46" s="57"/>
      <c r="CKK46" s="57"/>
      <c r="CKL46" s="57"/>
      <c r="CKM46" s="57"/>
      <c r="CKN46" s="57"/>
      <c r="CKO46" s="57"/>
      <c r="CKP46" s="57"/>
      <c r="CKQ46" s="57"/>
      <c r="CKR46" s="57"/>
      <c r="CKS46" s="57"/>
      <c r="CKT46" s="58"/>
      <c r="CKU46" s="56"/>
      <c r="CKV46" s="57"/>
      <c r="CKW46" s="57"/>
      <c r="CKX46" s="57"/>
      <c r="CKY46" s="57"/>
      <c r="CKZ46" s="57"/>
      <c r="CLA46" s="56"/>
      <c r="CLB46" s="57"/>
      <c r="CLC46" s="57"/>
      <c r="CLD46" s="56"/>
      <c r="CLE46" s="57"/>
      <c r="CLF46" s="58"/>
      <c r="CLG46" s="56"/>
      <c r="CLH46" s="57"/>
      <c r="CLI46" s="57"/>
      <c r="CLJ46" s="57"/>
      <c r="CLK46" s="56"/>
      <c r="CLL46" s="57"/>
      <c r="CLM46" s="57"/>
      <c r="CLN46" s="56"/>
      <c r="CLO46" s="57"/>
      <c r="CLP46" s="58"/>
      <c r="CLQ46" s="56"/>
      <c r="CLR46" s="57"/>
      <c r="CLS46" s="57"/>
      <c r="CLT46" s="57"/>
      <c r="CLU46" s="56"/>
      <c r="CLV46" s="57"/>
      <c r="CLW46" s="57"/>
      <c r="CLX46" s="56"/>
      <c r="CLY46" s="57"/>
      <c r="CLZ46" s="58"/>
      <c r="CMA46" s="56"/>
      <c r="CMB46" s="57"/>
      <c r="CMC46" s="57"/>
      <c r="CMD46" s="57"/>
      <c r="CME46" s="56"/>
      <c r="CMF46" s="57"/>
      <c r="CMG46" s="57"/>
      <c r="CMH46" s="56"/>
      <c r="CMI46" s="57"/>
      <c r="CMJ46" s="58"/>
      <c r="CMK46" s="56"/>
      <c r="CML46" s="58"/>
      <c r="CMM46" s="57"/>
      <c r="CMN46" s="56"/>
      <c r="CMO46" s="57"/>
      <c r="CMP46" s="56"/>
      <c r="CMQ46" s="56"/>
      <c r="CMR46" s="56"/>
      <c r="CMS46" s="57"/>
      <c r="CMT46" s="57"/>
      <c r="CMU46" s="57"/>
      <c r="CMV46" s="57"/>
      <c r="CMW46" s="57"/>
      <c r="CMX46" s="57"/>
      <c r="CMY46" s="57"/>
      <c r="CMZ46" s="57"/>
      <c r="CNA46" s="57"/>
      <c r="CNB46" s="57"/>
      <c r="CNC46" s="57"/>
      <c r="CND46" s="57"/>
      <c r="CNE46" s="57"/>
      <c r="CNF46" s="57"/>
      <c r="CNG46" s="57"/>
      <c r="CNH46" s="57"/>
      <c r="CNI46" s="57"/>
      <c r="CNJ46" s="57"/>
      <c r="CNK46" s="57"/>
      <c r="CNL46" s="57"/>
      <c r="CNM46" s="57"/>
      <c r="CNN46" s="57"/>
      <c r="CNO46" s="57"/>
      <c r="CNP46" s="57"/>
      <c r="CNQ46" s="57"/>
      <c r="CNR46" s="57"/>
      <c r="CNS46" s="57"/>
      <c r="CNT46" s="57"/>
      <c r="CNU46" s="57"/>
      <c r="CNV46" s="57"/>
      <c r="CNW46" s="57"/>
      <c r="CNX46" s="57"/>
      <c r="CNY46" s="57"/>
      <c r="CNZ46" s="57"/>
      <c r="COA46" s="57"/>
      <c r="COB46" s="57"/>
      <c r="COC46" s="57"/>
      <c r="COD46" s="58"/>
      <c r="COE46" s="56"/>
      <c r="COF46" s="57"/>
      <c r="COG46" s="57"/>
      <c r="COH46" s="57"/>
      <c r="COI46" s="57"/>
      <c r="COJ46" s="57"/>
      <c r="COK46" s="56"/>
      <c r="COL46" s="57"/>
      <c r="COM46" s="57"/>
      <c r="CON46" s="56"/>
      <c r="COO46" s="57"/>
      <c r="COP46" s="58"/>
      <c r="COQ46" s="56"/>
      <c r="COR46" s="57"/>
      <c r="COS46" s="57"/>
      <c r="COT46" s="57"/>
      <c r="COU46" s="56"/>
      <c r="COV46" s="57"/>
      <c r="COW46" s="57"/>
      <c r="COX46" s="56"/>
      <c r="COY46" s="57"/>
      <c r="COZ46" s="58"/>
      <c r="CPA46" s="56"/>
      <c r="CPB46" s="57"/>
      <c r="CPC46" s="57"/>
      <c r="CPD46" s="57"/>
      <c r="CPE46" s="56"/>
      <c r="CPF46" s="57"/>
      <c r="CPG46" s="57"/>
      <c r="CPH46" s="56"/>
      <c r="CPI46" s="57"/>
      <c r="CPJ46" s="58"/>
      <c r="CPK46" s="56"/>
      <c r="CPL46" s="57"/>
      <c r="CPM46" s="57"/>
      <c r="CPN46" s="57"/>
      <c r="CPO46" s="56"/>
      <c r="CPP46" s="57"/>
      <c r="CPQ46" s="57"/>
      <c r="CPR46" s="56"/>
      <c r="CPS46" s="57"/>
      <c r="CPT46" s="58"/>
      <c r="CPU46" s="56"/>
      <c r="CPV46" s="58"/>
      <c r="CPW46" s="57"/>
      <c r="CPX46" s="56"/>
      <c r="CPY46" s="57"/>
      <c r="CPZ46" s="56"/>
      <c r="CQA46" s="56"/>
      <c r="CQB46" s="56"/>
      <c r="CQC46" s="57"/>
      <c r="CQD46" s="57"/>
      <c r="CQE46" s="57"/>
      <c r="CQF46" s="57"/>
      <c r="CQG46" s="57"/>
      <c r="CQH46" s="57"/>
      <c r="CQI46" s="57"/>
      <c r="CQJ46" s="57"/>
      <c r="CQK46" s="57"/>
      <c r="CQL46" s="57"/>
      <c r="CQM46" s="57"/>
      <c r="CQN46" s="57"/>
      <c r="CQO46" s="57"/>
      <c r="CQP46" s="57"/>
      <c r="CQQ46" s="57"/>
      <c r="CQR46" s="57"/>
      <c r="CQS46" s="57"/>
      <c r="CQT46" s="57"/>
      <c r="CQU46" s="57"/>
      <c r="CQV46" s="57"/>
      <c r="CQW46" s="57"/>
      <c r="CQX46" s="57"/>
      <c r="CQY46" s="57"/>
      <c r="CQZ46" s="57"/>
      <c r="CRA46" s="57"/>
      <c r="CRB46" s="57"/>
      <c r="CRC46" s="57"/>
      <c r="CRD46" s="57"/>
      <c r="CRE46" s="57"/>
      <c r="CRF46" s="57"/>
      <c r="CRG46" s="57"/>
      <c r="CRH46" s="57"/>
      <c r="CRI46" s="57"/>
      <c r="CRJ46" s="57"/>
      <c r="CRK46" s="57"/>
      <c r="CRL46" s="57"/>
      <c r="CRM46" s="57"/>
      <c r="CRN46" s="58"/>
      <c r="CRO46" s="56"/>
      <c r="CRP46" s="57"/>
      <c r="CRQ46" s="57"/>
      <c r="CRR46" s="57"/>
      <c r="CRS46" s="57"/>
      <c r="CRT46" s="57"/>
      <c r="CRU46" s="56"/>
      <c r="CRV46" s="57"/>
      <c r="CRW46" s="57"/>
      <c r="CRX46" s="56"/>
      <c r="CRY46" s="57"/>
      <c r="CRZ46" s="58"/>
      <c r="CSA46" s="56"/>
      <c r="CSB46" s="57"/>
      <c r="CSC46" s="57"/>
      <c r="CSD46" s="57"/>
      <c r="CSE46" s="56"/>
      <c r="CSF46" s="57"/>
      <c r="CSG46" s="57"/>
      <c r="CSH46" s="56"/>
      <c r="CSI46" s="57"/>
      <c r="CSJ46" s="58"/>
      <c r="CSK46" s="56"/>
      <c r="CSL46" s="57"/>
      <c r="CSM46" s="57"/>
      <c r="CSN46" s="57"/>
      <c r="CSO46" s="56"/>
      <c r="CSP46" s="57"/>
      <c r="CSQ46" s="57"/>
      <c r="CSR46" s="56"/>
      <c r="CSS46" s="57"/>
      <c r="CST46" s="58"/>
      <c r="CSU46" s="56"/>
      <c r="CSV46" s="57"/>
      <c r="CSW46" s="57"/>
      <c r="CSX46" s="57"/>
      <c r="CSY46" s="56"/>
      <c r="CSZ46" s="57"/>
      <c r="CTA46" s="57"/>
      <c r="CTB46" s="56"/>
      <c r="CTC46" s="57"/>
      <c r="CTD46" s="58"/>
      <c r="CTE46" s="56"/>
      <c r="CTF46" s="58"/>
      <c r="CTG46" s="57"/>
      <c r="CTH46" s="56"/>
      <c r="CTI46" s="57"/>
      <c r="CTJ46" s="56"/>
      <c r="CTK46" s="56"/>
      <c r="CTL46" s="56"/>
      <c r="CTM46" s="57"/>
      <c r="CTN46" s="57"/>
      <c r="CTO46" s="57"/>
      <c r="CTP46" s="57"/>
      <c r="CTQ46" s="57"/>
      <c r="CTR46" s="57"/>
      <c r="CTS46" s="57"/>
      <c r="CTT46" s="57"/>
      <c r="CTU46" s="57"/>
      <c r="CTV46" s="57"/>
      <c r="CTW46" s="57"/>
      <c r="CTX46" s="57"/>
      <c r="CTY46" s="57"/>
      <c r="CTZ46" s="57"/>
      <c r="CUA46" s="57"/>
      <c r="CUB46" s="57"/>
      <c r="CUC46" s="57"/>
      <c r="CUD46" s="57"/>
      <c r="CUE46" s="57"/>
      <c r="CUF46" s="57"/>
      <c r="CUG46" s="57"/>
      <c r="CUH46" s="57"/>
      <c r="CUI46" s="57"/>
      <c r="CUJ46" s="57"/>
      <c r="CUK46" s="57"/>
      <c r="CUL46" s="57"/>
      <c r="CUM46" s="57"/>
      <c r="CUN46" s="57"/>
      <c r="CUO46" s="57"/>
      <c r="CUP46" s="57"/>
      <c r="CUQ46" s="57"/>
      <c r="CUR46" s="57"/>
      <c r="CUS46" s="57"/>
      <c r="CUT46" s="57"/>
      <c r="CUU46" s="57"/>
      <c r="CUV46" s="57"/>
      <c r="CUW46" s="57"/>
      <c r="CUX46" s="58"/>
      <c r="CUY46" s="56"/>
      <c r="CUZ46" s="57"/>
      <c r="CVA46" s="57"/>
      <c r="CVB46" s="57"/>
      <c r="CVC46" s="57"/>
      <c r="CVD46" s="57"/>
      <c r="CVE46" s="56"/>
      <c r="CVF46" s="57"/>
      <c r="CVG46" s="57"/>
      <c r="CVH46" s="56"/>
      <c r="CVI46" s="57"/>
      <c r="CVJ46" s="58"/>
      <c r="CVK46" s="56"/>
      <c r="CVL46" s="57"/>
      <c r="CVM46" s="57"/>
      <c r="CVN46" s="57"/>
      <c r="CVO46" s="56"/>
      <c r="CVP46" s="57"/>
      <c r="CVQ46" s="57"/>
      <c r="CVR46" s="56"/>
      <c r="CVS46" s="57"/>
      <c r="CVT46" s="58"/>
      <c r="CVU46" s="56"/>
      <c r="CVV46" s="57"/>
      <c r="CVW46" s="57"/>
      <c r="CVX46" s="57"/>
      <c r="CVY46" s="56"/>
      <c r="CVZ46" s="57"/>
      <c r="CWA46" s="57"/>
      <c r="CWB46" s="56"/>
      <c r="CWC46" s="57"/>
      <c r="CWD46" s="58"/>
      <c r="CWE46" s="56"/>
      <c r="CWF46" s="57"/>
      <c r="CWG46" s="57"/>
      <c r="CWH46" s="57"/>
      <c r="CWI46" s="56"/>
      <c r="CWJ46" s="57"/>
      <c r="CWK46" s="57"/>
      <c r="CWL46" s="56"/>
      <c r="CWM46" s="57"/>
      <c r="CWN46" s="58"/>
      <c r="CWO46" s="56"/>
      <c r="CWP46" s="58"/>
      <c r="CWQ46" s="57"/>
      <c r="CWR46" s="56"/>
      <c r="CWS46" s="57"/>
      <c r="CWT46" s="56"/>
      <c r="CWU46" s="56"/>
      <c r="CWV46" s="56"/>
      <c r="CWW46" s="57"/>
      <c r="CWX46" s="57"/>
      <c r="CWY46" s="57"/>
      <c r="CWZ46" s="57"/>
      <c r="CXA46" s="57"/>
      <c r="CXB46" s="57"/>
      <c r="CXC46" s="57"/>
      <c r="CXD46" s="57"/>
      <c r="CXE46" s="57"/>
      <c r="CXF46" s="57"/>
      <c r="CXG46" s="57"/>
      <c r="CXH46" s="57"/>
      <c r="CXI46" s="57"/>
      <c r="CXJ46" s="57"/>
      <c r="CXK46" s="57"/>
      <c r="CXL46" s="57"/>
      <c r="CXM46" s="57"/>
      <c r="CXN46" s="57"/>
      <c r="CXO46" s="57"/>
      <c r="CXP46" s="57"/>
      <c r="CXQ46" s="57"/>
      <c r="CXR46" s="57"/>
      <c r="CXS46" s="57"/>
      <c r="CXT46" s="57"/>
      <c r="CXU46" s="57"/>
      <c r="CXV46" s="57"/>
      <c r="CXW46" s="57"/>
      <c r="CXX46" s="57"/>
      <c r="CXY46" s="57"/>
      <c r="CXZ46" s="57"/>
      <c r="CYA46" s="57"/>
      <c r="CYB46" s="57"/>
      <c r="CYC46" s="57"/>
      <c r="CYD46" s="57"/>
      <c r="CYE46" s="57"/>
      <c r="CYF46" s="57"/>
      <c r="CYG46" s="57"/>
      <c r="CYH46" s="58"/>
      <c r="CYI46" s="56"/>
      <c r="CYJ46" s="57"/>
      <c r="CYK46" s="57"/>
      <c r="CYL46" s="57"/>
      <c r="CYM46" s="57"/>
      <c r="CYN46" s="57"/>
      <c r="CYO46" s="56"/>
      <c r="CYP46" s="57"/>
      <c r="CYQ46" s="57"/>
      <c r="CYR46" s="56"/>
      <c r="CYS46" s="57"/>
      <c r="CYT46" s="58"/>
      <c r="CYU46" s="56"/>
      <c r="CYV46" s="57"/>
      <c r="CYW46" s="57"/>
      <c r="CYX46" s="57"/>
      <c r="CYY46" s="56"/>
      <c r="CYZ46" s="57"/>
      <c r="CZA46" s="57"/>
      <c r="CZB46" s="56"/>
      <c r="CZC46" s="57"/>
      <c r="CZD46" s="58"/>
      <c r="CZE46" s="56"/>
      <c r="CZF46" s="57"/>
      <c r="CZG46" s="57"/>
      <c r="CZH46" s="57"/>
      <c r="CZI46" s="56"/>
      <c r="CZJ46" s="57"/>
      <c r="CZK46" s="57"/>
      <c r="CZL46" s="56"/>
      <c r="CZM46" s="57"/>
      <c r="CZN46" s="58"/>
      <c r="CZO46" s="56"/>
      <c r="CZP46" s="57"/>
      <c r="CZQ46" s="57"/>
      <c r="CZR46" s="57"/>
      <c r="CZS46" s="56"/>
      <c r="CZT46" s="57"/>
      <c r="CZU46" s="57"/>
      <c r="CZV46" s="56"/>
      <c r="CZW46" s="57"/>
      <c r="CZX46" s="58"/>
      <c r="CZY46" s="56"/>
      <c r="CZZ46" s="58"/>
      <c r="DAA46" s="57"/>
      <c r="DAB46" s="56"/>
      <c r="DAC46" s="57"/>
      <c r="DAD46" s="56"/>
      <c r="DAE46" s="56"/>
      <c r="DAF46" s="56"/>
      <c r="DAG46" s="57"/>
      <c r="DAH46" s="57"/>
      <c r="DAI46" s="57"/>
      <c r="DAJ46" s="57"/>
      <c r="DAK46" s="57"/>
      <c r="DAL46" s="57"/>
      <c r="DAM46" s="57"/>
      <c r="DAN46" s="57"/>
      <c r="DAO46" s="57"/>
      <c r="DAP46" s="57"/>
      <c r="DAQ46" s="57"/>
      <c r="DAR46" s="57"/>
      <c r="DAS46" s="57"/>
      <c r="DAT46" s="57"/>
      <c r="DAU46" s="57"/>
      <c r="DAV46" s="57"/>
      <c r="DAW46" s="57"/>
      <c r="DAX46" s="57"/>
      <c r="DAY46" s="57"/>
      <c r="DAZ46" s="57"/>
      <c r="DBA46" s="57"/>
      <c r="DBB46" s="57"/>
      <c r="DBC46" s="57"/>
      <c r="DBD46" s="57"/>
      <c r="DBE46" s="57"/>
      <c r="DBF46" s="57"/>
      <c r="DBG46" s="57"/>
      <c r="DBH46" s="57"/>
      <c r="DBI46" s="57"/>
      <c r="DBJ46" s="57"/>
      <c r="DBK46" s="57"/>
      <c r="DBL46" s="57"/>
      <c r="DBM46" s="57"/>
      <c r="DBN46" s="57"/>
      <c r="DBO46" s="57"/>
      <c r="DBP46" s="57"/>
      <c r="DBQ46" s="57"/>
      <c r="DBR46" s="58"/>
      <c r="DBS46" s="56"/>
      <c r="DBT46" s="57"/>
      <c r="DBU46" s="57"/>
      <c r="DBV46" s="57"/>
      <c r="DBW46" s="57"/>
      <c r="DBX46" s="57"/>
      <c r="DBY46" s="56"/>
      <c r="DBZ46" s="57"/>
      <c r="DCA46" s="57"/>
      <c r="DCB46" s="56"/>
      <c r="DCC46" s="57"/>
      <c r="DCD46" s="58"/>
      <c r="DCE46" s="56"/>
      <c r="DCF46" s="57"/>
      <c r="DCG46" s="57"/>
      <c r="DCH46" s="57"/>
      <c r="DCI46" s="56"/>
      <c r="DCJ46" s="57"/>
      <c r="DCK46" s="57"/>
      <c r="DCL46" s="56"/>
      <c r="DCM46" s="57"/>
      <c r="DCN46" s="58"/>
      <c r="DCO46" s="56"/>
      <c r="DCP46" s="57"/>
      <c r="DCQ46" s="57"/>
      <c r="DCR46" s="57"/>
      <c r="DCS46" s="56"/>
      <c r="DCT46" s="57"/>
      <c r="DCU46" s="57"/>
      <c r="DCV46" s="56"/>
      <c r="DCW46" s="57"/>
      <c r="DCX46" s="58"/>
      <c r="DCY46" s="56"/>
      <c r="DCZ46" s="57"/>
      <c r="DDA46" s="57"/>
      <c r="DDB46" s="57"/>
      <c r="DDC46" s="56"/>
      <c r="DDD46" s="57"/>
      <c r="DDE46" s="57"/>
      <c r="DDF46" s="56"/>
      <c r="DDG46" s="57"/>
      <c r="DDH46" s="58"/>
      <c r="DDI46" s="56"/>
      <c r="DDJ46" s="58"/>
      <c r="DDK46" s="57"/>
      <c r="DDL46" s="56"/>
      <c r="DDM46" s="57"/>
      <c r="DDN46" s="56"/>
      <c r="DDO46" s="56"/>
      <c r="DDP46" s="56"/>
      <c r="DDQ46" s="57"/>
      <c r="DDR46" s="57"/>
      <c r="DDS46" s="57"/>
      <c r="DDT46" s="57"/>
      <c r="DDU46" s="57"/>
      <c r="DDV46" s="57"/>
      <c r="DDW46" s="57"/>
      <c r="DDX46" s="57"/>
      <c r="DDY46" s="57"/>
      <c r="DDZ46" s="57"/>
      <c r="DEA46" s="57"/>
      <c r="DEB46" s="57"/>
      <c r="DEC46" s="57"/>
      <c r="DED46" s="57"/>
      <c r="DEE46" s="57"/>
      <c r="DEF46" s="57"/>
      <c r="DEG46" s="57"/>
      <c r="DEH46" s="57"/>
      <c r="DEI46" s="57"/>
      <c r="DEJ46" s="57"/>
      <c r="DEK46" s="57"/>
      <c r="DEL46" s="57"/>
      <c r="DEM46" s="57"/>
      <c r="DEN46" s="57"/>
      <c r="DEO46" s="57"/>
      <c r="DEP46" s="57"/>
      <c r="DEQ46" s="57"/>
      <c r="DER46" s="57"/>
      <c r="DES46" s="57"/>
      <c r="DET46" s="57"/>
      <c r="DEU46" s="57"/>
      <c r="DEV46" s="57"/>
      <c r="DEW46" s="57"/>
      <c r="DEX46" s="57"/>
      <c r="DEY46" s="57"/>
      <c r="DEZ46" s="57"/>
      <c r="DFA46" s="57"/>
      <c r="DFB46" s="58"/>
      <c r="DFC46" s="56"/>
      <c r="DFD46" s="57"/>
      <c r="DFE46" s="57"/>
      <c r="DFF46" s="57"/>
      <c r="DFG46" s="57"/>
      <c r="DFH46" s="57"/>
      <c r="DFI46" s="56"/>
      <c r="DFJ46" s="57"/>
      <c r="DFK46" s="57"/>
      <c r="DFL46" s="56"/>
      <c r="DFM46" s="57"/>
      <c r="DFN46" s="58"/>
      <c r="DFO46" s="56"/>
      <c r="DFP46" s="57"/>
      <c r="DFQ46" s="57"/>
      <c r="DFR46" s="57"/>
      <c r="DFS46" s="56"/>
      <c r="DFT46" s="57"/>
      <c r="DFU46" s="57"/>
      <c r="DFV46" s="56"/>
      <c r="DFW46" s="57"/>
      <c r="DFX46" s="58"/>
      <c r="DFY46" s="56"/>
      <c r="DFZ46" s="57"/>
      <c r="DGA46" s="57"/>
      <c r="DGB46" s="57"/>
      <c r="DGC46" s="56"/>
      <c r="DGD46" s="57"/>
      <c r="DGE46" s="57"/>
      <c r="DGF46" s="56"/>
      <c r="DGG46" s="57"/>
      <c r="DGH46" s="58"/>
      <c r="DGI46" s="56"/>
      <c r="DGJ46" s="57"/>
      <c r="DGK46" s="57"/>
      <c r="DGL46" s="57"/>
      <c r="DGM46" s="56"/>
      <c r="DGN46" s="57"/>
      <c r="DGO46" s="57"/>
      <c r="DGP46" s="56"/>
      <c r="DGQ46" s="57"/>
      <c r="DGR46" s="58"/>
      <c r="DGS46" s="56"/>
      <c r="DGT46" s="58"/>
      <c r="DGU46" s="57"/>
      <c r="DGV46" s="56"/>
      <c r="DGW46" s="57"/>
      <c r="DGX46" s="56"/>
      <c r="DGY46" s="56"/>
      <c r="DGZ46" s="56"/>
      <c r="DHA46" s="57"/>
      <c r="DHB46" s="57"/>
      <c r="DHC46" s="57"/>
      <c r="DHD46" s="57"/>
      <c r="DHE46" s="57"/>
      <c r="DHF46" s="57"/>
      <c r="DHG46" s="57"/>
      <c r="DHH46" s="57"/>
      <c r="DHI46" s="57"/>
      <c r="DHJ46" s="57"/>
      <c r="DHK46" s="57"/>
      <c r="DHL46" s="57"/>
      <c r="DHM46" s="57"/>
      <c r="DHN46" s="57"/>
      <c r="DHO46" s="57"/>
      <c r="DHP46" s="57"/>
      <c r="DHQ46" s="57"/>
      <c r="DHR46" s="57"/>
      <c r="DHS46" s="57"/>
      <c r="DHT46" s="57"/>
      <c r="DHU46" s="57"/>
      <c r="DHV46" s="57"/>
      <c r="DHW46" s="57"/>
      <c r="DHX46" s="57"/>
      <c r="DHY46" s="57"/>
      <c r="DHZ46" s="57"/>
      <c r="DIA46" s="57"/>
      <c r="DIB46" s="57"/>
      <c r="DIC46" s="57"/>
      <c r="DID46" s="57"/>
      <c r="DIE46" s="57"/>
      <c r="DIF46" s="57"/>
      <c r="DIG46" s="57"/>
      <c r="DIH46" s="57"/>
      <c r="DII46" s="57"/>
      <c r="DIJ46" s="57"/>
      <c r="DIK46" s="57"/>
      <c r="DIL46" s="58"/>
      <c r="DIM46" s="56"/>
      <c r="DIN46" s="57"/>
      <c r="DIO46" s="57"/>
      <c r="DIP46" s="57"/>
      <c r="DIQ46" s="57"/>
      <c r="DIR46" s="57"/>
      <c r="DIS46" s="56"/>
      <c r="DIT46" s="57"/>
      <c r="DIU46" s="57"/>
      <c r="DIV46" s="56"/>
      <c r="DIW46" s="57"/>
      <c r="DIX46" s="58"/>
      <c r="DIY46" s="56"/>
      <c r="DIZ46" s="57"/>
      <c r="DJA46" s="57"/>
      <c r="DJB46" s="57"/>
      <c r="DJC46" s="56"/>
      <c r="DJD46" s="57"/>
      <c r="DJE46" s="57"/>
      <c r="DJF46" s="56"/>
      <c r="DJG46" s="57"/>
      <c r="DJH46" s="58"/>
      <c r="DJI46" s="56"/>
      <c r="DJJ46" s="57"/>
      <c r="DJK46" s="57"/>
      <c r="DJL46" s="57"/>
      <c r="DJM46" s="56"/>
      <c r="DJN46" s="57"/>
      <c r="DJO46" s="57"/>
      <c r="DJP46" s="56"/>
      <c r="DJQ46" s="57"/>
      <c r="DJR46" s="58"/>
      <c r="DJS46" s="56"/>
      <c r="DJT46" s="57"/>
      <c r="DJU46" s="57"/>
      <c r="DJV46" s="57"/>
      <c r="DJW46" s="56"/>
      <c r="DJX46" s="57"/>
      <c r="DJY46" s="57"/>
      <c r="DJZ46" s="56"/>
      <c r="DKA46" s="57"/>
      <c r="DKB46" s="58"/>
      <c r="DKC46" s="56"/>
      <c r="DKD46" s="58"/>
      <c r="DKE46" s="57"/>
      <c r="DKF46" s="56"/>
      <c r="DKG46" s="57"/>
      <c r="DKH46" s="56"/>
      <c r="DKI46" s="56"/>
      <c r="DKJ46" s="56"/>
      <c r="DKK46" s="57"/>
      <c r="DKL46" s="57"/>
      <c r="DKM46" s="57"/>
      <c r="DKN46" s="57"/>
      <c r="DKO46" s="57"/>
      <c r="DKP46" s="57"/>
      <c r="DKQ46" s="57"/>
      <c r="DKR46" s="57"/>
      <c r="DKS46" s="57"/>
      <c r="DKT46" s="57"/>
      <c r="DKU46" s="57"/>
      <c r="DKV46" s="57"/>
      <c r="DKW46" s="57"/>
      <c r="DKX46" s="57"/>
      <c r="DKY46" s="57"/>
      <c r="DKZ46" s="57"/>
      <c r="DLA46" s="57"/>
      <c r="DLB46" s="57"/>
      <c r="DLC46" s="57"/>
      <c r="DLD46" s="57"/>
      <c r="DLE46" s="57"/>
      <c r="DLF46" s="57"/>
      <c r="DLG46" s="57"/>
      <c r="DLH46" s="57"/>
      <c r="DLI46" s="57"/>
      <c r="DLJ46" s="57"/>
      <c r="DLK46" s="57"/>
      <c r="DLL46" s="57"/>
      <c r="DLM46" s="57"/>
      <c r="DLN46" s="57"/>
      <c r="DLO46" s="57"/>
      <c r="DLP46" s="57"/>
      <c r="DLQ46" s="57"/>
      <c r="DLR46" s="57"/>
      <c r="DLS46" s="57"/>
      <c r="DLT46" s="57"/>
      <c r="DLU46" s="57"/>
      <c r="DLV46" s="58"/>
      <c r="DLW46" s="56"/>
      <c r="DLX46" s="57"/>
      <c r="DLY46" s="57"/>
      <c r="DLZ46" s="57"/>
      <c r="DMA46" s="57"/>
      <c r="DMB46" s="57"/>
      <c r="DMC46" s="56"/>
      <c r="DMD46" s="57"/>
      <c r="DME46" s="57"/>
      <c r="DMF46" s="56"/>
      <c r="DMG46" s="57"/>
      <c r="DMH46" s="58"/>
      <c r="DMI46" s="56"/>
      <c r="DMJ46" s="57"/>
      <c r="DMK46" s="57"/>
      <c r="DML46" s="57"/>
      <c r="DMM46" s="56"/>
      <c r="DMN46" s="57"/>
      <c r="DMO46" s="57"/>
      <c r="DMP46" s="56"/>
      <c r="DMQ46" s="57"/>
      <c r="DMR46" s="58"/>
      <c r="DMS46" s="56"/>
      <c r="DMT46" s="57"/>
      <c r="DMU46" s="57"/>
      <c r="DMV46" s="57"/>
      <c r="DMW46" s="56"/>
      <c r="DMX46" s="57"/>
      <c r="DMY46" s="57"/>
      <c r="DMZ46" s="56"/>
      <c r="DNA46" s="57"/>
      <c r="DNB46" s="58"/>
      <c r="DNC46" s="56"/>
      <c r="DND46" s="57"/>
      <c r="DNE46" s="57"/>
      <c r="DNF46" s="57"/>
      <c r="DNG46" s="56"/>
      <c r="DNH46" s="57"/>
      <c r="DNI46" s="57"/>
      <c r="DNJ46" s="56"/>
      <c r="DNK46" s="57"/>
      <c r="DNL46" s="58"/>
      <c r="DNM46" s="56"/>
      <c r="DNN46" s="58"/>
      <c r="DNO46" s="57"/>
      <c r="DNP46" s="56"/>
      <c r="DNQ46" s="57"/>
      <c r="DNR46" s="56"/>
      <c r="DNS46" s="56"/>
      <c r="DNT46" s="56"/>
      <c r="DNU46" s="57"/>
      <c r="DNV46" s="57"/>
      <c r="DNW46" s="57"/>
      <c r="DNX46" s="57"/>
      <c r="DNY46" s="57"/>
      <c r="DNZ46" s="57"/>
      <c r="DOA46" s="57"/>
      <c r="DOB46" s="57"/>
      <c r="DOC46" s="57"/>
      <c r="DOD46" s="57"/>
      <c r="DOE46" s="57"/>
      <c r="DOF46" s="57"/>
      <c r="DOG46" s="57"/>
      <c r="DOH46" s="57"/>
      <c r="DOI46" s="57"/>
      <c r="DOJ46" s="57"/>
      <c r="DOK46" s="57"/>
      <c r="DOL46" s="57"/>
      <c r="DOM46" s="57"/>
      <c r="DON46" s="57"/>
      <c r="DOO46" s="57"/>
      <c r="DOP46" s="57"/>
      <c r="DOQ46" s="57"/>
      <c r="DOR46" s="57"/>
      <c r="DOS46" s="57"/>
      <c r="DOT46" s="57"/>
      <c r="DOU46" s="57"/>
      <c r="DOV46" s="57"/>
      <c r="DOW46" s="57"/>
      <c r="DOX46" s="57"/>
      <c r="DOY46" s="57"/>
      <c r="DOZ46" s="57"/>
      <c r="DPA46" s="57"/>
      <c r="DPB46" s="57"/>
      <c r="DPC46" s="57"/>
      <c r="DPD46" s="57"/>
      <c r="DPE46" s="57"/>
      <c r="DPF46" s="58"/>
      <c r="DPG46" s="56"/>
      <c r="DPH46" s="57"/>
      <c r="DPI46" s="57"/>
      <c r="DPJ46" s="57"/>
      <c r="DPK46" s="57"/>
      <c r="DPL46" s="57"/>
      <c r="DPM46" s="56"/>
      <c r="DPN46" s="57"/>
      <c r="DPO46" s="57"/>
      <c r="DPP46" s="56"/>
      <c r="DPQ46" s="57"/>
      <c r="DPR46" s="58"/>
      <c r="DPS46" s="56"/>
      <c r="DPT46" s="57"/>
      <c r="DPU46" s="57"/>
      <c r="DPV46" s="57"/>
      <c r="DPW46" s="56"/>
      <c r="DPX46" s="57"/>
      <c r="DPY46" s="57"/>
      <c r="DPZ46" s="56"/>
      <c r="DQA46" s="57"/>
      <c r="DQB46" s="58"/>
      <c r="DQC46" s="56"/>
      <c r="DQD46" s="57"/>
      <c r="DQE46" s="57"/>
      <c r="DQF46" s="57"/>
      <c r="DQG46" s="56"/>
      <c r="DQH46" s="57"/>
      <c r="DQI46" s="57"/>
      <c r="DQJ46" s="56"/>
      <c r="DQK46" s="57"/>
      <c r="DQL46" s="58"/>
      <c r="DQM46" s="56"/>
      <c r="DQN46" s="57"/>
      <c r="DQO46" s="57"/>
      <c r="DQP46" s="57"/>
      <c r="DQQ46" s="56"/>
      <c r="DQR46" s="57"/>
      <c r="DQS46" s="57"/>
      <c r="DQT46" s="56"/>
      <c r="DQU46" s="57"/>
      <c r="DQV46" s="58"/>
      <c r="DQW46" s="56"/>
      <c r="DQX46" s="58"/>
      <c r="DQY46" s="57"/>
      <c r="DQZ46" s="56"/>
      <c r="DRA46" s="57"/>
      <c r="DRB46" s="56"/>
      <c r="DRC46" s="56"/>
      <c r="DRD46" s="56"/>
      <c r="DRE46" s="57"/>
      <c r="DRF46" s="57"/>
      <c r="DRG46" s="57"/>
      <c r="DRH46" s="57"/>
      <c r="DRI46" s="57"/>
      <c r="DRJ46" s="57"/>
      <c r="DRK46" s="57"/>
      <c r="DRL46" s="57"/>
      <c r="DRM46" s="57"/>
      <c r="DRN46" s="57"/>
      <c r="DRO46" s="57"/>
      <c r="DRP46" s="57"/>
      <c r="DRQ46" s="57"/>
      <c r="DRR46" s="57"/>
      <c r="DRS46" s="57"/>
      <c r="DRT46" s="57"/>
      <c r="DRU46" s="57"/>
      <c r="DRV46" s="57"/>
      <c r="DRW46" s="57"/>
      <c r="DRX46" s="57"/>
      <c r="DRY46" s="57"/>
      <c r="DRZ46" s="57"/>
      <c r="DSA46" s="57"/>
      <c r="DSB46" s="57"/>
      <c r="DSC46" s="57"/>
      <c r="DSD46" s="57"/>
      <c r="DSE46" s="57"/>
      <c r="DSF46" s="57"/>
      <c r="DSG46" s="57"/>
      <c r="DSH46" s="57"/>
      <c r="DSI46" s="57"/>
      <c r="DSJ46" s="57"/>
      <c r="DSK46" s="57"/>
      <c r="DSL46" s="57"/>
      <c r="DSM46" s="57"/>
      <c r="DSN46" s="57"/>
      <c r="DSO46" s="57"/>
      <c r="DSP46" s="58"/>
      <c r="DSQ46" s="56"/>
      <c r="DSR46" s="57"/>
      <c r="DSS46" s="57"/>
      <c r="DST46" s="57"/>
      <c r="DSU46" s="57"/>
      <c r="DSV46" s="57"/>
      <c r="DSW46" s="56"/>
      <c r="DSX46" s="57"/>
      <c r="DSY46" s="57"/>
      <c r="DSZ46" s="56"/>
      <c r="DTA46" s="57"/>
      <c r="DTB46" s="58"/>
      <c r="DTC46" s="56"/>
      <c r="DTD46" s="57"/>
      <c r="DTE46" s="57"/>
      <c r="DTF46" s="57"/>
      <c r="DTG46" s="56"/>
      <c r="DTH46" s="57"/>
      <c r="DTI46" s="57"/>
      <c r="DTJ46" s="56"/>
      <c r="DTK46" s="57"/>
      <c r="DTL46" s="58"/>
      <c r="DTM46" s="56"/>
      <c r="DTN46" s="57"/>
      <c r="DTO46" s="57"/>
      <c r="DTP46" s="57"/>
      <c r="DTQ46" s="56"/>
      <c r="DTR46" s="57"/>
      <c r="DTS46" s="57"/>
      <c r="DTT46" s="56"/>
      <c r="DTU46" s="57"/>
      <c r="DTV46" s="58"/>
      <c r="DTW46" s="56"/>
      <c r="DTX46" s="57"/>
      <c r="DTY46" s="57"/>
      <c r="DTZ46" s="57"/>
      <c r="DUA46" s="56"/>
      <c r="DUB46" s="57"/>
      <c r="DUC46" s="57"/>
      <c r="DUD46" s="56"/>
      <c r="DUE46" s="57"/>
      <c r="DUF46" s="58"/>
      <c r="DUG46" s="56"/>
      <c r="DUH46" s="58"/>
      <c r="DUI46" s="57"/>
      <c r="DUJ46" s="56"/>
      <c r="DUK46" s="57"/>
      <c r="DUL46" s="56"/>
      <c r="DUM46" s="56"/>
      <c r="DUN46" s="56"/>
      <c r="DUO46" s="57"/>
      <c r="DUP46" s="57"/>
      <c r="DUQ46" s="57"/>
      <c r="DUR46" s="57"/>
      <c r="DUS46" s="57"/>
      <c r="DUT46" s="57"/>
      <c r="DUU46" s="57"/>
      <c r="DUV46" s="57"/>
      <c r="DUW46" s="57"/>
      <c r="DUX46" s="57"/>
      <c r="DUY46" s="57"/>
      <c r="DUZ46" s="57"/>
      <c r="DVA46" s="57"/>
      <c r="DVB46" s="57"/>
      <c r="DVC46" s="57"/>
      <c r="DVD46" s="57"/>
      <c r="DVE46" s="57"/>
      <c r="DVF46" s="57"/>
      <c r="DVG46" s="57"/>
      <c r="DVH46" s="57"/>
      <c r="DVI46" s="57"/>
      <c r="DVJ46" s="57"/>
      <c r="DVK46" s="57"/>
      <c r="DVL46" s="57"/>
      <c r="DVM46" s="57"/>
      <c r="DVN46" s="57"/>
      <c r="DVO46" s="57"/>
      <c r="DVP46" s="57"/>
      <c r="DVQ46" s="57"/>
      <c r="DVR46" s="57"/>
      <c r="DVS46" s="57"/>
      <c r="DVT46" s="57"/>
      <c r="DVU46" s="57"/>
      <c r="DVV46" s="57"/>
      <c r="DVW46" s="57"/>
      <c r="DVX46" s="57"/>
      <c r="DVY46" s="57"/>
      <c r="DVZ46" s="58"/>
      <c r="DWA46" s="56"/>
      <c r="DWB46" s="57"/>
      <c r="DWC46" s="57"/>
      <c r="DWD46" s="57"/>
      <c r="DWE46" s="57"/>
      <c r="DWF46" s="57"/>
      <c r="DWG46" s="56"/>
      <c r="DWH46" s="57"/>
      <c r="DWI46" s="57"/>
      <c r="DWJ46" s="56"/>
      <c r="DWK46" s="57"/>
      <c r="DWL46" s="58"/>
      <c r="DWM46" s="56"/>
      <c r="DWN46" s="57"/>
      <c r="DWO46" s="57"/>
      <c r="DWP46" s="57"/>
      <c r="DWQ46" s="56"/>
      <c r="DWR46" s="57"/>
      <c r="DWS46" s="57"/>
      <c r="DWT46" s="56"/>
      <c r="DWU46" s="57"/>
      <c r="DWV46" s="58"/>
      <c r="DWW46" s="56"/>
      <c r="DWX46" s="57"/>
      <c r="DWY46" s="57"/>
      <c r="DWZ46" s="57"/>
      <c r="DXA46" s="56"/>
      <c r="DXB46" s="57"/>
      <c r="DXC46" s="57"/>
      <c r="DXD46" s="56"/>
      <c r="DXE46" s="57"/>
      <c r="DXF46" s="58"/>
      <c r="DXG46" s="56"/>
      <c r="DXH46" s="57"/>
      <c r="DXI46" s="57"/>
      <c r="DXJ46" s="57"/>
      <c r="DXK46" s="56"/>
      <c r="DXL46" s="57"/>
      <c r="DXM46" s="57"/>
      <c r="DXN46" s="56"/>
      <c r="DXO46" s="57"/>
      <c r="DXP46" s="58"/>
      <c r="DXQ46" s="56"/>
      <c r="DXR46" s="58"/>
      <c r="DXS46" s="57"/>
      <c r="DXT46" s="56"/>
      <c r="DXU46" s="57"/>
      <c r="DXV46" s="56"/>
      <c r="DXW46" s="56"/>
      <c r="DXX46" s="56"/>
      <c r="DXY46" s="57"/>
      <c r="DXZ46" s="57"/>
      <c r="DYA46" s="57"/>
      <c r="DYB46" s="57"/>
      <c r="DYC46" s="57"/>
      <c r="DYD46" s="57"/>
      <c r="DYE46" s="57"/>
      <c r="DYF46" s="57"/>
      <c r="DYG46" s="57"/>
      <c r="DYH46" s="57"/>
      <c r="DYI46" s="57"/>
      <c r="DYJ46" s="57"/>
      <c r="DYK46" s="57"/>
      <c r="DYL46" s="57"/>
      <c r="DYM46" s="57"/>
      <c r="DYN46" s="57"/>
      <c r="DYO46" s="57"/>
      <c r="DYP46" s="57"/>
      <c r="DYQ46" s="57"/>
      <c r="DYR46" s="57"/>
      <c r="DYS46" s="57"/>
      <c r="DYT46" s="57"/>
      <c r="DYU46" s="57"/>
      <c r="DYV46" s="57"/>
      <c r="DYW46" s="57"/>
      <c r="DYX46" s="57"/>
      <c r="DYY46" s="57"/>
      <c r="DYZ46" s="57"/>
      <c r="DZA46" s="57"/>
      <c r="DZB46" s="57"/>
      <c r="DZC46" s="57"/>
      <c r="DZD46" s="57"/>
      <c r="DZE46" s="57"/>
      <c r="DZF46" s="57"/>
      <c r="DZG46" s="57"/>
      <c r="DZH46" s="57"/>
      <c r="DZI46" s="57"/>
      <c r="DZJ46" s="58"/>
      <c r="DZK46" s="56"/>
      <c r="DZL46" s="57"/>
      <c r="DZM46" s="57"/>
      <c r="DZN46" s="57"/>
      <c r="DZO46" s="57"/>
      <c r="DZP46" s="57"/>
      <c r="DZQ46" s="56"/>
      <c r="DZR46" s="57"/>
      <c r="DZS46" s="57"/>
      <c r="DZT46" s="56"/>
      <c r="DZU46" s="57"/>
      <c r="DZV46" s="58"/>
      <c r="DZW46" s="56"/>
      <c r="DZX46" s="57"/>
      <c r="DZY46" s="57"/>
      <c r="DZZ46" s="57"/>
      <c r="EAA46" s="56"/>
      <c r="EAB46" s="57"/>
      <c r="EAC46" s="57"/>
      <c r="EAD46" s="56"/>
      <c r="EAE46" s="57"/>
      <c r="EAF46" s="58"/>
      <c r="EAG46" s="56"/>
      <c r="EAH46" s="57"/>
      <c r="EAI46" s="57"/>
      <c r="EAJ46" s="57"/>
      <c r="EAK46" s="56"/>
      <c r="EAL46" s="57"/>
      <c r="EAM46" s="57"/>
      <c r="EAN46" s="56"/>
      <c r="EAO46" s="57"/>
      <c r="EAP46" s="58"/>
      <c r="EAQ46" s="56"/>
      <c r="EAR46" s="57"/>
      <c r="EAS46" s="57"/>
      <c r="EAT46" s="57"/>
      <c r="EAU46" s="56"/>
      <c r="EAV46" s="57"/>
      <c r="EAW46" s="57"/>
      <c r="EAX46" s="56"/>
      <c r="EAY46" s="57"/>
      <c r="EAZ46" s="58"/>
      <c r="EBA46" s="56"/>
      <c r="EBB46" s="58"/>
      <c r="EBC46" s="57"/>
      <c r="EBD46" s="56"/>
      <c r="EBE46" s="57"/>
      <c r="EBF46" s="56"/>
      <c r="EBG46" s="56"/>
      <c r="EBH46" s="56"/>
      <c r="EBI46" s="57"/>
      <c r="EBJ46" s="57"/>
      <c r="EBK46" s="57"/>
      <c r="EBL46" s="57"/>
      <c r="EBM46" s="57"/>
      <c r="EBN46" s="57"/>
      <c r="EBO46" s="57"/>
      <c r="EBP46" s="57"/>
      <c r="EBQ46" s="57"/>
      <c r="EBR46" s="57"/>
      <c r="EBS46" s="57"/>
      <c r="EBT46" s="57"/>
      <c r="EBU46" s="57"/>
      <c r="EBV46" s="57"/>
      <c r="EBW46" s="57"/>
      <c r="EBX46" s="57"/>
      <c r="EBY46" s="57"/>
      <c r="EBZ46" s="57"/>
      <c r="ECA46" s="57"/>
      <c r="ECB46" s="57"/>
      <c r="ECC46" s="57"/>
      <c r="ECD46" s="57"/>
      <c r="ECE46" s="57"/>
      <c r="ECF46" s="57"/>
      <c r="ECG46" s="57"/>
      <c r="ECH46" s="57"/>
      <c r="ECI46" s="57"/>
      <c r="ECJ46" s="57"/>
      <c r="ECK46" s="57"/>
      <c r="ECL46" s="57"/>
      <c r="ECM46" s="57"/>
      <c r="ECN46" s="57"/>
      <c r="ECO46" s="57"/>
      <c r="ECP46" s="57"/>
      <c r="ECQ46" s="57"/>
      <c r="ECR46" s="57"/>
      <c r="ECS46" s="57"/>
      <c r="ECT46" s="58"/>
      <c r="ECU46" s="56"/>
      <c r="ECV46" s="57"/>
      <c r="ECW46" s="57"/>
      <c r="ECX46" s="57"/>
      <c r="ECY46" s="57"/>
      <c r="ECZ46" s="57"/>
      <c r="EDA46" s="56"/>
      <c r="EDB46" s="57"/>
      <c r="EDC46" s="57"/>
      <c r="EDD46" s="56"/>
      <c r="EDE46" s="57"/>
      <c r="EDF46" s="58"/>
      <c r="EDG46" s="56"/>
      <c r="EDH46" s="57"/>
      <c r="EDI46" s="57"/>
      <c r="EDJ46" s="57"/>
      <c r="EDK46" s="56"/>
      <c r="EDL46" s="57"/>
      <c r="EDM46" s="57"/>
      <c r="EDN46" s="56"/>
      <c r="EDO46" s="57"/>
      <c r="EDP46" s="58"/>
      <c r="EDQ46" s="56"/>
      <c r="EDR46" s="57"/>
      <c r="EDS46" s="57"/>
      <c r="EDT46" s="57"/>
      <c r="EDU46" s="56"/>
      <c r="EDV46" s="57"/>
      <c r="EDW46" s="57"/>
      <c r="EDX46" s="56"/>
      <c r="EDY46" s="57"/>
      <c r="EDZ46" s="58"/>
      <c r="EEA46" s="56"/>
      <c r="EEB46" s="57"/>
      <c r="EEC46" s="57"/>
      <c r="EED46" s="57"/>
      <c r="EEE46" s="56"/>
      <c r="EEF46" s="57"/>
      <c r="EEG46" s="57"/>
      <c r="EEH46" s="56"/>
      <c r="EEI46" s="57"/>
      <c r="EEJ46" s="58"/>
      <c r="EEK46" s="56"/>
      <c r="EEL46" s="58"/>
      <c r="EEM46" s="57"/>
      <c r="EEN46" s="56"/>
      <c r="EEO46" s="57"/>
      <c r="EEP46" s="56"/>
      <c r="EEQ46" s="56"/>
      <c r="EER46" s="56"/>
      <c r="EES46" s="57"/>
      <c r="EET46" s="57"/>
      <c r="EEU46" s="57"/>
      <c r="EEV46" s="57"/>
      <c r="EEW46" s="57"/>
      <c r="EEX46" s="57"/>
      <c r="EEY46" s="57"/>
      <c r="EEZ46" s="57"/>
      <c r="EFA46" s="57"/>
      <c r="EFB46" s="57"/>
      <c r="EFC46" s="57"/>
      <c r="EFD46" s="57"/>
      <c r="EFE46" s="57"/>
      <c r="EFF46" s="57"/>
      <c r="EFG46" s="57"/>
      <c r="EFH46" s="57"/>
      <c r="EFI46" s="57"/>
      <c r="EFJ46" s="57"/>
      <c r="EFK46" s="57"/>
      <c r="EFL46" s="57"/>
      <c r="EFM46" s="57"/>
      <c r="EFN46" s="57"/>
      <c r="EFO46" s="57"/>
      <c r="EFP46" s="57"/>
      <c r="EFQ46" s="57"/>
      <c r="EFR46" s="57"/>
      <c r="EFS46" s="57"/>
      <c r="EFT46" s="57"/>
      <c r="EFU46" s="57"/>
      <c r="EFV46" s="57"/>
      <c r="EFW46" s="57"/>
      <c r="EFX46" s="57"/>
      <c r="EFY46" s="57"/>
      <c r="EFZ46" s="57"/>
      <c r="EGA46" s="57"/>
      <c r="EGB46" s="57"/>
      <c r="EGC46" s="57"/>
      <c r="EGD46" s="58"/>
      <c r="EGE46" s="56"/>
      <c r="EGF46" s="57"/>
      <c r="EGG46" s="57"/>
      <c r="EGH46" s="57"/>
      <c r="EGI46" s="57"/>
      <c r="EGJ46" s="57"/>
      <c r="EGK46" s="56"/>
      <c r="EGL46" s="57"/>
      <c r="EGM46" s="57"/>
      <c r="EGN46" s="56"/>
      <c r="EGO46" s="57"/>
      <c r="EGP46" s="58"/>
      <c r="EGQ46" s="56"/>
      <c r="EGR46" s="57"/>
      <c r="EGS46" s="57"/>
      <c r="EGT46" s="57"/>
      <c r="EGU46" s="56"/>
      <c r="EGV46" s="57"/>
      <c r="EGW46" s="57"/>
      <c r="EGX46" s="56"/>
      <c r="EGY46" s="57"/>
      <c r="EGZ46" s="58"/>
      <c r="EHA46" s="56"/>
      <c r="EHB46" s="57"/>
      <c r="EHC46" s="57"/>
      <c r="EHD46" s="57"/>
      <c r="EHE46" s="56"/>
      <c r="EHF46" s="57"/>
      <c r="EHG46" s="57"/>
      <c r="EHH46" s="56"/>
      <c r="EHI46" s="57"/>
      <c r="EHJ46" s="58"/>
      <c r="EHK46" s="56"/>
      <c r="EHL46" s="57"/>
      <c r="EHM46" s="57"/>
      <c r="EHN46" s="57"/>
      <c r="EHO46" s="56"/>
      <c r="EHP46" s="57"/>
      <c r="EHQ46" s="57"/>
      <c r="EHR46" s="56"/>
      <c r="EHS46" s="57"/>
      <c r="EHT46" s="58"/>
      <c r="EHU46" s="56"/>
      <c r="EHV46" s="58"/>
      <c r="EHW46" s="57"/>
      <c r="EHX46" s="56"/>
      <c r="EHY46" s="57"/>
      <c r="EHZ46" s="56"/>
      <c r="EIA46" s="56"/>
      <c r="EIB46" s="56"/>
      <c r="EIC46" s="57"/>
      <c r="EID46" s="57"/>
      <c r="EIE46" s="57"/>
      <c r="EIF46" s="57"/>
      <c r="EIG46" s="57"/>
      <c r="EIH46" s="57"/>
      <c r="EII46" s="57"/>
      <c r="EIJ46" s="57"/>
      <c r="EIK46" s="57"/>
      <c r="EIL46" s="57"/>
      <c r="EIM46" s="57"/>
      <c r="EIN46" s="57"/>
      <c r="EIO46" s="57"/>
      <c r="EIP46" s="57"/>
      <c r="EIQ46" s="57"/>
      <c r="EIR46" s="57"/>
      <c r="EIS46" s="57"/>
      <c r="EIT46" s="57"/>
      <c r="EIU46" s="57"/>
      <c r="EIV46" s="57"/>
      <c r="EIW46" s="57"/>
      <c r="EIX46" s="57"/>
      <c r="EIY46" s="57"/>
      <c r="EIZ46" s="57"/>
      <c r="EJA46" s="57"/>
      <c r="EJB46" s="57"/>
      <c r="EJC46" s="57"/>
      <c r="EJD46" s="57"/>
      <c r="EJE46" s="57"/>
      <c r="EJF46" s="57"/>
      <c r="EJG46" s="57"/>
      <c r="EJH46" s="57"/>
      <c r="EJI46" s="57"/>
      <c r="EJJ46" s="57"/>
      <c r="EJK46" s="57"/>
      <c r="EJL46" s="57"/>
      <c r="EJM46" s="57"/>
      <c r="EJN46" s="58"/>
      <c r="EJO46" s="56"/>
      <c r="EJP46" s="57"/>
      <c r="EJQ46" s="57"/>
      <c r="EJR46" s="57"/>
      <c r="EJS46" s="57"/>
      <c r="EJT46" s="57"/>
      <c r="EJU46" s="56"/>
      <c r="EJV46" s="57"/>
      <c r="EJW46" s="57"/>
      <c r="EJX46" s="56"/>
      <c r="EJY46" s="57"/>
      <c r="EJZ46" s="58"/>
      <c r="EKA46" s="56"/>
      <c r="EKB46" s="57"/>
      <c r="EKC46" s="57"/>
      <c r="EKD46" s="57"/>
      <c r="EKE46" s="56"/>
      <c r="EKF46" s="57"/>
      <c r="EKG46" s="57"/>
      <c r="EKH46" s="56"/>
      <c r="EKI46" s="57"/>
      <c r="EKJ46" s="58"/>
      <c r="EKK46" s="56"/>
      <c r="EKL46" s="57"/>
      <c r="EKM46" s="57"/>
      <c r="EKN46" s="57"/>
      <c r="EKO46" s="56"/>
      <c r="EKP46" s="57"/>
      <c r="EKQ46" s="57"/>
      <c r="EKR46" s="56"/>
      <c r="EKS46" s="57"/>
      <c r="EKT46" s="58"/>
      <c r="EKU46" s="56"/>
      <c r="EKV46" s="57"/>
      <c r="EKW46" s="57"/>
      <c r="EKX46" s="57"/>
      <c r="EKY46" s="56"/>
      <c r="EKZ46" s="57"/>
      <c r="ELA46" s="57"/>
      <c r="ELB46" s="56"/>
      <c r="ELC46" s="57"/>
      <c r="ELD46" s="58"/>
      <c r="ELE46" s="56"/>
      <c r="ELF46" s="58"/>
      <c r="ELG46" s="57"/>
      <c r="ELH46" s="56"/>
      <c r="ELI46" s="57"/>
      <c r="ELJ46" s="56"/>
      <c r="ELK46" s="56"/>
      <c r="ELL46" s="56"/>
      <c r="ELM46" s="57"/>
      <c r="ELN46" s="57"/>
      <c r="ELO46" s="57"/>
      <c r="ELP46" s="57"/>
      <c r="ELQ46" s="57"/>
      <c r="ELR46" s="57"/>
      <c r="ELS46" s="57"/>
      <c r="ELT46" s="57"/>
      <c r="ELU46" s="57"/>
      <c r="ELV46" s="57"/>
      <c r="ELW46" s="57"/>
      <c r="ELX46" s="57"/>
      <c r="ELY46" s="57"/>
      <c r="ELZ46" s="57"/>
      <c r="EMA46" s="57"/>
      <c r="EMB46" s="57"/>
      <c r="EMC46" s="57"/>
      <c r="EMD46" s="57"/>
      <c r="EME46" s="57"/>
      <c r="EMF46" s="57"/>
      <c r="EMG46" s="57"/>
      <c r="EMH46" s="57"/>
      <c r="EMI46" s="57"/>
      <c r="EMJ46" s="57"/>
      <c r="EMK46" s="57"/>
      <c r="EML46" s="57"/>
      <c r="EMM46" s="57"/>
      <c r="EMN46" s="57"/>
      <c r="EMO46" s="57"/>
      <c r="EMP46" s="57"/>
      <c r="EMQ46" s="57"/>
      <c r="EMR46" s="57"/>
      <c r="EMS46" s="57"/>
      <c r="EMT46" s="57"/>
      <c r="EMU46" s="57"/>
      <c r="EMV46" s="57"/>
      <c r="EMW46" s="57"/>
      <c r="EMX46" s="58"/>
      <c r="EMY46" s="56"/>
      <c r="EMZ46" s="57"/>
      <c r="ENA46" s="57"/>
      <c r="ENB46" s="57"/>
      <c r="ENC46" s="57"/>
      <c r="END46" s="57"/>
      <c r="ENE46" s="56"/>
      <c r="ENF46" s="57"/>
      <c r="ENG46" s="57"/>
      <c r="ENH46" s="56"/>
      <c r="ENI46" s="57"/>
      <c r="ENJ46" s="58"/>
      <c r="ENK46" s="56"/>
      <c r="ENL46" s="57"/>
      <c r="ENM46" s="57"/>
      <c r="ENN46" s="57"/>
      <c r="ENO46" s="56"/>
      <c r="ENP46" s="57"/>
      <c r="ENQ46" s="57"/>
      <c r="ENR46" s="56"/>
      <c r="ENS46" s="57"/>
      <c r="ENT46" s="58"/>
      <c r="ENU46" s="56"/>
      <c r="ENV46" s="57"/>
      <c r="ENW46" s="57"/>
      <c r="ENX46" s="57"/>
      <c r="ENY46" s="56"/>
      <c r="ENZ46" s="57"/>
      <c r="EOA46" s="57"/>
      <c r="EOB46" s="56"/>
      <c r="EOC46" s="57"/>
      <c r="EOD46" s="58"/>
      <c r="EOE46" s="56"/>
      <c r="EOF46" s="57"/>
      <c r="EOG46" s="57"/>
      <c r="EOH46" s="57"/>
      <c r="EOI46" s="56"/>
      <c r="EOJ46" s="57"/>
      <c r="EOK46" s="57"/>
      <c r="EOL46" s="56"/>
      <c r="EOM46" s="57"/>
      <c r="EON46" s="58"/>
      <c r="EOO46" s="56" t="str">
        <f t="shared" si="75"/>
        <v xml:space="preserve"> </v>
      </c>
    </row>
    <row r="47" spans="1:3785" x14ac:dyDescent="0.3">
      <c r="A47" s="27" t="s">
        <v>254</v>
      </c>
      <c r="B47" s="30"/>
      <c r="C47" s="29"/>
      <c r="D47" s="28" t="str">
        <f t="shared" si="61"/>
        <v xml:space="preserve"> </v>
      </c>
      <c r="E47" s="29"/>
      <c r="F47" s="28"/>
      <c r="G47" s="28"/>
      <c r="H47" s="28"/>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30"/>
      <c r="AU47" s="28"/>
      <c r="AV47" s="29"/>
      <c r="AW47" s="29"/>
      <c r="AX47" s="29"/>
      <c r="AY47" s="29"/>
      <c r="AZ47" s="29"/>
      <c r="BA47" s="28"/>
      <c r="BB47" s="29"/>
      <c r="BC47" s="29"/>
      <c r="BD47" s="28"/>
      <c r="BE47" s="29"/>
      <c r="BF47" s="30"/>
      <c r="BG47" s="28"/>
      <c r="BH47" s="29"/>
      <c r="BI47" s="29"/>
      <c r="BJ47" s="29"/>
      <c r="BK47" s="28"/>
      <c r="BL47" s="29"/>
      <c r="BM47" s="29"/>
      <c r="BN47" s="28"/>
      <c r="BO47" s="29"/>
      <c r="BP47" s="30"/>
      <c r="BQ47" s="28"/>
      <c r="BR47" s="29"/>
      <c r="BS47" s="29"/>
      <c r="BT47" s="29"/>
      <c r="BU47" s="28"/>
      <c r="BV47" s="29"/>
      <c r="BW47" s="29"/>
      <c r="BX47" s="28"/>
      <c r="BY47" s="29"/>
      <c r="BZ47" s="30"/>
      <c r="CA47" s="28"/>
      <c r="CB47" s="29"/>
      <c r="CC47" s="29"/>
      <c r="CD47" s="29"/>
      <c r="CE47" s="28"/>
      <c r="CF47" s="29"/>
      <c r="CG47" s="29"/>
      <c r="CH47" s="28"/>
      <c r="CI47" s="29"/>
      <c r="CJ47" s="30"/>
      <c r="CK47" s="28"/>
      <c r="CL47" s="29"/>
      <c r="CM47" s="29"/>
      <c r="CN47" s="29"/>
      <c r="CO47" s="28"/>
      <c r="CP47" s="29"/>
      <c r="CQ47" s="29"/>
      <c r="CR47" s="28"/>
      <c r="CS47" s="29"/>
      <c r="CT47" s="30"/>
      <c r="CU47" s="28"/>
      <c r="CV47" s="29"/>
      <c r="CW47" s="29"/>
      <c r="CX47" s="29"/>
      <c r="CY47" s="28"/>
      <c r="CZ47" s="29"/>
      <c r="DA47" s="29"/>
      <c r="DB47" s="28"/>
      <c r="DC47" s="29"/>
      <c r="DD47" s="30"/>
      <c r="DE47" s="28"/>
      <c r="DF47" s="29"/>
      <c r="DG47" s="29"/>
      <c r="DH47" s="29"/>
      <c r="DI47" s="28"/>
      <c r="DJ47" s="29"/>
      <c r="DK47" s="29"/>
      <c r="DL47" s="28"/>
      <c r="DM47" s="29"/>
      <c r="DN47" s="30"/>
      <c r="DO47" s="28"/>
      <c r="DP47" s="29"/>
      <c r="DQ47" s="29"/>
      <c r="DR47" s="29"/>
      <c r="DS47" s="28"/>
      <c r="DT47" s="29"/>
      <c r="DU47" s="29"/>
      <c r="DV47" s="28"/>
      <c r="DW47" s="29"/>
      <c r="DX47" s="30"/>
      <c r="DY47" s="28"/>
      <c r="DZ47" s="29"/>
      <c r="EA47" s="29"/>
      <c r="EB47" s="29"/>
      <c r="EC47" s="28"/>
      <c r="ED47" s="29"/>
      <c r="EE47" s="28"/>
      <c r="EF47" s="28"/>
      <c r="EG47" s="29"/>
      <c r="EH47" s="30"/>
      <c r="EI47" s="28"/>
      <c r="EJ47" s="29"/>
      <c r="EK47" s="29"/>
      <c r="EL47" s="29"/>
      <c r="EM47" s="28"/>
      <c r="EN47" s="29"/>
      <c r="EO47" s="33"/>
      <c r="EP47" s="28"/>
      <c r="EQ47" s="29"/>
      <c r="ER47" s="30"/>
      <c r="ES47" s="28"/>
      <c r="ET47" s="29"/>
      <c r="EU47" s="29"/>
      <c r="EV47" s="29"/>
      <c r="EW47" s="28"/>
      <c r="EX47" s="29"/>
      <c r="EY47" s="29"/>
      <c r="EZ47" s="28"/>
      <c r="FA47" s="29"/>
      <c r="FB47" s="30"/>
      <c r="FC47" s="28"/>
      <c r="FD47" s="29"/>
      <c r="FE47" s="29"/>
      <c r="FF47" s="29"/>
      <c r="FG47" s="28"/>
      <c r="FH47" s="29"/>
      <c r="FI47" s="29"/>
      <c r="FJ47" s="28"/>
      <c r="FK47" s="29"/>
      <c r="FL47" s="30"/>
      <c r="FM47" s="28"/>
      <c r="FN47" s="29"/>
      <c r="FO47" s="29"/>
      <c r="FP47" s="29"/>
      <c r="FQ47" s="28"/>
      <c r="FR47" s="29"/>
      <c r="FS47" s="29"/>
      <c r="FT47" s="28"/>
      <c r="FU47" s="29"/>
      <c r="FV47" s="30"/>
      <c r="FW47" s="28"/>
      <c r="FX47" s="29"/>
      <c r="FY47" s="29"/>
      <c r="FZ47" s="29"/>
      <c r="GA47" s="28"/>
      <c r="GB47" s="29"/>
      <c r="GC47" s="29"/>
      <c r="GD47" s="28"/>
      <c r="GE47" s="29"/>
      <c r="GF47" s="30"/>
      <c r="GG47" s="28"/>
      <c r="GH47" s="29"/>
      <c r="GI47" s="29"/>
      <c r="GJ47" s="29"/>
      <c r="GK47" s="28"/>
      <c r="GL47" s="29"/>
      <c r="GM47" s="29"/>
      <c r="GN47" s="28"/>
      <c r="GO47" s="29"/>
      <c r="GP47" s="30"/>
      <c r="GQ47" s="28"/>
      <c r="GR47" s="29"/>
      <c r="GS47" s="29"/>
      <c r="GT47" s="29"/>
      <c r="GU47" s="28"/>
      <c r="GV47" s="29"/>
      <c r="GW47" s="29"/>
      <c r="GX47" s="28"/>
      <c r="GY47" s="29"/>
      <c r="GZ47" s="30"/>
      <c r="HA47" s="28"/>
      <c r="HB47" s="29"/>
      <c r="HC47" s="29"/>
      <c r="HD47" s="29"/>
      <c r="HE47" s="28"/>
      <c r="HF47" s="29"/>
      <c r="HG47" s="29"/>
      <c r="HH47" s="28"/>
      <c r="HI47" s="29"/>
      <c r="HJ47" s="30"/>
      <c r="HK47" s="28"/>
      <c r="HL47" s="29"/>
      <c r="HM47" s="29"/>
      <c r="HN47" s="29"/>
      <c r="HO47" s="28"/>
      <c r="HP47" s="29"/>
      <c r="HQ47" s="29"/>
      <c r="HR47" s="28"/>
      <c r="HS47" s="29"/>
      <c r="HT47" s="30"/>
      <c r="HU47" s="28"/>
      <c r="HV47" s="29"/>
      <c r="HW47" s="29"/>
      <c r="HX47" s="29"/>
      <c r="HY47" s="28"/>
      <c r="HZ47" s="29"/>
      <c r="IA47" s="29"/>
      <c r="IB47" s="28"/>
      <c r="IC47" s="29"/>
      <c r="ID47" s="30"/>
      <c r="IE47" s="28"/>
      <c r="IF47" s="29"/>
      <c r="IG47" s="29"/>
      <c r="IH47" s="29"/>
      <c r="II47" s="28"/>
      <c r="IJ47" s="29"/>
      <c r="IK47" s="29"/>
      <c r="IL47" s="28"/>
      <c r="IM47" s="29"/>
      <c r="IN47" s="30"/>
      <c r="IO47" s="28"/>
      <c r="IP47" s="29"/>
      <c r="IQ47" s="29"/>
      <c r="IR47" s="29"/>
      <c r="IS47" s="28"/>
      <c r="IT47" s="29"/>
      <c r="IU47" s="29"/>
      <c r="IV47" s="28"/>
      <c r="IW47" s="29"/>
      <c r="IX47" s="30"/>
      <c r="IY47" s="28"/>
      <c r="IZ47" s="29"/>
      <c r="JA47" s="29"/>
      <c r="JB47" s="29"/>
      <c r="JC47" s="28"/>
      <c r="JD47" s="29"/>
      <c r="JE47" s="29"/>
      <c r="JF47" s="28"/>
      <c r="JG47" s="29"/>
      <c r="JH47" s="30"/>
      <c r="JI47" s="28"/>
      <c r="JJ47" s="29"/>
      <c r="JK47" s="29"/>
      <c r="JL47" s="29"/>
      <c r="JM47" s="28"/>
      <c r="JN47" s="29"/>
      <c r="JO47" s="29"/>
      <c r="JP47" s="28"/>
      <c r="JQ47" s="29"/>
      <c r="JR47" s="30"/>
      <c r="JS47" s="28"/>
      <c r="JT47" s="29"/>
      <c r="JU47" s="29"/>
      <c r="JV47" s="29"/>
      <c r="JW47" s="28"/>
      <c r="JX47" s="29"/>
      <c r="JY47" s="29"/>
      <c r="JZ47" s="28"/>
      <c r="KA47" s="29"/>
      <c r="KB47" s="30"/>
      <c r="KC47" s="28"/>
      <c r="KD47" s="29"/>
      <c r="KE47" s="29"/>
      <c r="KF47" s="29"/>
      <c r="KG47" s="28"/>
      <c r="KH47" s="29"/>
      <c r="KI47" s="29"/>
      <c r="KJ47" s="28"/>
      <c r="KK47" s="29"/>
      <c r="KL47" s="30"/>
      <c r="KM47" s="28"/>
      <c r="KN47" s="29"/>
      <c r="KO47" s="29"/>
      <c r="KP47" s="29"/>
      <c r="KQ47" s="28"/>
      <c r="KR47" s="29"/>
      <c r="KS47" s="29"/>
      <c r="KT47" s="28"/>
      <c r="KU47" s="29"/>
      <c r="KV47" s="30"/>
      <c r="KW47" s="28"/>
      <c r="KX47" s="29"/>
      <c r="KY47" s="29"/>
      <c r="KZ47" s="29"/>
      <c r="LA47" s="28"/>
      <c r="LB47" s="29"/>
      <c r="LC47" s="29"/>
      <c r="LD47" s="28"/>
      <c r="LE47" s="29"/>
      <c r="LF47" s="30"/>
      <c r="LG47" s="28"/>
      <c r="LH47" s="29"/>
      <c r="LI47" s="29"/>
      <c r="LJ47" s="29"/>
      <c r="LK47" s="28"/>
      <c r="LL47" s="29"/>
      <c r="LM47" s="29"/>
      <c r="LN47" s="28"/>
      <c r="LO47" s="29"/>
      <c r="LP47" s="30"/>
      <c r="LQ47" s="28"/>
      <c r="LR47" s="29"/>
      <c r="LS47" s="29"/>
      <c r="LT47" s="29"/>
      <c r="LU47" s="28"/>
      <c r="LV47" s="29"/>
      <c r="LW47" s="29"/>
      <c r="LX47" s="28"/>
      <c r="LY47" s="29"/>
      <c r="LZ47" s="30"/>
      <c r="MA47" s="28"/>
      <c r="MB47" s="29"/>
      <c r="MC47" s="29"/>
      <c r="MD47" s="29"/>
      <c r="ME47" s="28"/>
      <c r="MF47" s="29"/>
      <c r="MG47" s="29"/>
      <c r="MH47" s="28"/>
      <c r="MI47" s="29"/>
      <c r="MJ47" s="30"/>
      <c r="MK47" s="28"/>
      <c r="ML47" s="29"/>
      <c r="MM47" s="29"/>
      <c r="MN47" s="29"/>
      <c r="MO47" s="28"/>
      <c r="MP47" s="29"/>
      <c r="MQ47" s="29"/>
      <c r="MR47" s="28"/>
      <c r="MS47" s="29"/>
      <c r="MT47" s="30"/>
      <c r="MU47" s="28"/>
      <c r="MV47" s="29"/>
      <c r="MW47" s="29"/>
      <c r="MX47" s="29"/>
      <c r="MY47" s="28"/>
      <c r="MZ47" s="29"/>
      <c r="NA47" s="29"/>
      <c r="NB47" s="28"/>
      <c r="NC47" s="29"/>
      <c r="ND47" s="30"/>
      <c r="NE47" s="28"/>
      <c r="NF47" s="29"/>
      <c r="NG47" s="29"/>
      <c r="NH47" s="29"/>
      <c r="NI47" s="28"/>
      <c r="NJ47" s="29"/>
      <c r="NK47" s="29"/>
      <c r="NL47" s="28"/>
      <c r="NM47" s="29"/>
      <c r="NN47" s="30"/>
      <c r="NO47" s="28"/>
      <c r="NP47" s="29"/>
      <c r="NQ47" s="29"/>
      <c r="NR47" s="29"/>
      <c r="NS47" s="28"/>
      <c r="NT47" s="29"/>
      <c r="NU47" s="29"/>
      <c r="NV47" s="28"/>
      <c r="NW47" s="29"/>
      <c r="NX47" s="30"/>
      <c r="NY47" s="28"/>
      <c r="NZ47" s="29"/>
      <c r="OA47" s="29"/>
      <c r="OB47" s="29"/>
      <c r="OC47" s="28"/>
      <c r="OD47" s="29"/>
      <c r="OE47" s="29"/>
      <c r="OF47" s="30"/>
      <c r="OG47" s="30"/>
      <c r="OH47" s="30"/>
      <c r="OI47" s="28"/>
      <c r="OJ47" s="30"/>
      <c r="OK47" s="30"/>
      <c r="OL47" s="30"/>
      <c r="OM47" s="30"/>
      <c r="ON47" s="30"/>
      <c r="OO47" s="30"/>
      <c r="OP47" s="28"/>
      <c r="OQ47" s="29"/>
      <c r="OR47" s="30"/>
      <c r="OS47" s="28"/>
      <c r="OT47" s="29"/>
      <c r="OU47" s="29"/>
      <c r="OV47" s="29"/>
      <c r="OW47" s="28"/>
      <c r="OX47" s="29"/>
      <c r="OY47" s="29"/>
      <c r="OZ47" s="28"/>
      <c r="PA47" s="29"/>
      <c r="PB47" s="30"/>
      <c r="PC47" s="28"/>
      <c r="PD47" s="29"/>
      <c r="PE47" s="29"/>
      <c r="PF47" s="29"/>
      <c r="PG47" s="28"/>
      <c r="PH47" s="29"/>
      <c r="PI47" s="29"/>
      <c r="PJ47" s="28"/>
      <c r="PK47" s="29"/>
      <c r="PL47" s="30"/>
      <c r="PM47" s="28"/>
      <c r="PN47" s="29"/>
      <c r="PO47" s="29"/>
      <c r="PP47" s="29"/>
      <c r="PQ47" s="28"/>
      <c r="PR47" s="29"/>
      <c r="PS47" s="29"/>
      <c r="PT47" s="28"/>
      <c r="PU47" s="29"/>
      <c r="PV47" s="30"/>
      <c r="PW47" s="28"/>
      <c r="PX47" s="29"/>
      <c r="PY47" s="29"/>
      <c r="PZ47" s="29"/>
      <c r="QA47" s="28"/>
      <c r="QB47" s="29"/>
      <c r="QC47" s="29"/>
      <c r="QD47" s="28"/>
      <c r="QE47" s="29"/>
      <c r="QF47" s="30"/>
      <c r="QG47" s="28"/>
      <c r="QH47" s="29"/>
      <c r="QI47" s="29"/>
      <c r="QJ47" s="29"/>
      <c r="QK47" s="28"/>
      <c r="QL47" s="29"/>
      <c r="QM47" s="29"/>
      <c r="QN47" s="28"/>
      <c r="QO47" s="29"/>
      <c r="QP47" s="30"/>
      <c r="QQ47" s="28"/>
      <c r="QR47" s="29"/>
      <c r="QS47" s="29"/>
      <c r="QT47" s="29"/>
      <c r="QU47" s="28"/>
      <c r="QV47" s="29"/>
      <c r="QW47" s="29"/>
      <c r="QX47" s="28"/>
      <c r="QY47" s="29"/>
      <c r="QZ47" s="30"/>
      <c r="RA47" s="28"/>
      <c r="RB47" s="29"/>
      <c r="RC47" s="29"/>
      <c r="RD47" s="29"/>
      <c r="RE47" s="28"/>
      <c r="RF47" s="29"/>
      <c r="RG47" s="29"/>
      <c r="RH47" s="28"/>
      <c r="RI47" s="29"/>
      <c r="RJ47" s="30"/>
      <c r="RK47" s="28"/>
      <c r="RL47" s="29"/>
      <c r="RM47" s="29"/>
      <c r="RN47" s="29"/>
      <c r="RO47" s="28"/>
      <c r="RP47" s="29"/>
      <c r="RQ47" s="29"/>
      <c r="RR47" s="28"/>
      <c r="RS47" s="29"/>
      <c r="RT47" s="30"/>
      <c r="RU47" s="28"/>
      <c r="RV47" s="29"/>
      <c r="RW47" s="29"/>
      <c r="RX47" s="29"/>
      <c r="RY47" s="28"/>
      <c r="RZ47" s="29"/>
      <c r="SA47" s="29"/>
      <c r="SB47" s="28"/>
      <c r="SC47" s="29"/>
      <c r="SD47" s="30"/>
      <c r="SE47" s="28"/>
      <c r="SF47" s="29"/>
      <c r="SG47" s="29"/>
      <c r="SH47" s="29"/>
      <c r="SI47" s="28"/>
      <c r="SJ47" s="29"/>
      <c r="SK47" s="29"/>
      <c r="SL47" s="28"/>
      <c r="SM47" s="29"/>
      <c r="SN47" s="30"/>
      <c r="SO47" s="28"/>
      <c r="SP47" s="29"/>
      <c r="SQ47" s="29"/>
      <c r="SR47" s="29"/>
      <c r="SS47" s="28"/>
      <c r="ST47" s="29"/>
      <c r="SU47" s="29"/>
      <c r="SV47" s="28"/>
      <c r="SW47" s="29"/>
      <c r="SX47" s="30"/>
      <c r="SY47" s="28"/>
      <c r="SZ47" s="29"/>
      <c r="TA47" s="29"/>
      <c r="TB47" s="29"/>
      <c r="TC47" s="28"/>
      <c r="TD47" s="29"/>
      <c r="TE47" s="29"/>
      <c r="TF47" s="28"/>
      <c r="TG47" s="29"/>
      <c r="TH47" s="30"/>
      <c r="TI47" s="28"/>
      <c r="TJ47" s="29"/>
      <c r="TK47" s="29"/>
      <c r="TL47" s="29"/>
      <c r="TM47" s="28"/>
      <c r="TN47" s="29"/>
      <c r="TO47" s="29"/>
      <c r="TP47" s="28"/>
      <c r="TQ47" s="29"/>
      <c r="TR47" s="30"/>
      <c r="TS47" s="28"/>
      <c r="TT47" s="29"/>
      <c r="TU47" s="29"/>
      <c r="TV47" s="29"/>
      <c r="TW47" s="28"/>
      <c r="TX47" s="29"/>
      <c r="TY47" s="29"/>
      <c r="TZ47" s="28"/>
      <c r="UA47" s="29"/>
      <c r="UB47" s="30"/>
      <c r="UC47" s="28"/>
      <c r="UD47" s="29"/>
      <c r="UE47" s="29"/>
      <c r="UF47" s="29"/>
      <c r="UG47" s="28"/>
      <c r="UH47" s="29"/>
      <c r="UI47" s="29"/>
      <c r="UJ47" s="28"/>
      <c r="UK47" s="29"/>
      <c r="UL47" s="30"/>
      <c r="UM47" s="28"/>
      <c r="UN47" s="29"/>
      <c r="UO47" s="29"/>
      <c r="UP47" s="29"/>
      <c r="UQ47" s="28"/>
      <c r="UR47" s="29"/>
      <c r="US47" s="29"/>
      <c r="UT47" s="28"/>
      <c r="UU47" s="29"/>
      <c r="UV47" s="30"/>
      <c r="UW47" s="28"/>
      <c r="UX47" s="29"/>
      <c r="UY47" s="29"/>
      <c r="UZ47" s="29"/>
      <c r="VA47" s="28"/>
      <c r="VB47" s="29"/>
      <c r="VC47" s="29"/>
      <c r="VD47" s="28"/>
      <c r="VE47" s="29"/>
      <c r="VF47" s="30"/>
      <c r="VG47" s="28"/>
      <c r="VH47" s="29"/>
      <c r="VI47" s="29"/>
      <c r="VJ47" s="29"/>
      <c r="VK47" s="28"/>
      <c r="VL47" s="29"/>
      <c r="VM47" s="29"/>
      <c r="VN47" s="28"/>
      <c r="VO47" s="29"/>
      <c r="VP47" s="30"/>
      <c r="VQ47" s="28"/>
      <c r="VR47" s="29"/>
      <c r="VS47" s="29"/>
      <c r="VT47" s="29"/>
      <c r="VU47" s="28"/>
      <c r="VV47" s="29"/>
      <c r="VW47" s="29"/>
      <c r="VX47" s="28"/>
      <c r="VY47" s="29"/>
      <c r="VZ47" s="30"/>
      <c r="WA47" s="28"/>
      <c r="WB47" s="29"/>
      <c r="WC47" s="29"/>
      <c r="WD47" s="29"/>
      <c r="WE47" s="28"/>
      <c r="WF47" s="29"/>
      <c r="WG47" s="29"/>
      <c r="WH47" s="28"/>
      <c r="WI47" s="29"/>
      <c r="WJ47" s="30"/>
      <c r="WK47" s="28"/>
      <c r="WL47" s="29"/>
      <c r="WM47" s="29"/>
      <c r="WN47" s="29"/>
      <c r="WO47" s="28"/>
      <c r="WP47" s="29"/>
      <c r="WQ47" s="29"/>
      <c r="WR47" s="28"/>
      <c r="WS47" s="29"/>
      <c r="WT47" s="30"/>
      <c r="WU47" s="28"/>
      <c r="WV47" s="29"/>
      <c r="WW47" s="29"/>
      <c r="WX47" s="29"/>
      <c r="WY47" s="28"/>
      <c r="WZ47" s="29"/>
      <c r="XA47" s="29"/>
      <c r="XB47" s="28"/>
      <c r="XC47" s="29"/>
      <c r="XD47" s="30"/>
      <c r="XE47" s="28"/>
      <c r="XF47" s="29"/>
      <c r="XG47" s="29"/>
      <c r="XH47" s="29"/>
      <c r="XI47" s="28"/>
      <c r="XJ47" s="29"/>
      <c r="XK47" s="29"/>
      <c r="XL47" s="28"/>
      <c r="XM47" s="29"/>
      <c r="XN47" s="30"/>
      <c r="XO47" s="28"/>
      <c r="XP47" s="29"/>
      <c r="XQ47" s="29"/>
      <c r="XR47" s="29"/>
      <c r="XS47" s="28"/>
      <c r="XT47" s="29"/>
      <c r="XU47" s="29"/>
      <c r="XV47" s="28"/>
      <c r="XW47" s="29"/>
      <c r="XX47" s="30"/>
      <c r="XY47" s="28"/>
      <c r="XZ47" s="29"/>
      <c r="YA47" s="29"/>
      <c r="YB47" s="29"/>
      <c r="YC47" s="28"/>
      <c r="YD47" s="29"/>
      <c r="YE47" s="29"/>
      <c r="YF47" s="28"/>
      <c r="YG47" s="29"/>
      <c r="YH47" s="30"/>
      <c r="YI47" s="28"/>
      <c r="YJ47" s="29"/>
      <c r="YK47" s="29"/>
      <c r="YL47" s="29"/>
      <c r="YM47" s="28"/>
      <c r="YN47" s="29"/>
      <c r="YO47" s="29"/>
      <c r="YP47" s="28"/>
      <c r="YQ47" s="29"/>
      <c r="YR47" s="30"/>
      <c r="YS47" s="28"/>
      <c r="YT47" s="29"/>
      <c r="YU47" s="29"/>
      <c r="YV47" s="29"/>
      <c r="YW47" s="28"/>
      <c r="YX47" s="29"/>
      <c r="YY47" s="29"/>
      <c r="YZ47" s="28"/>
      <c r="ZA47" s="29"/>
      <c r="ZB47" s="30"/>
      <c r="ZC47" s="28"/>
      <c r="ZD47" s="29"/>
      <c r="ZE47" s="29"/>
      <c r="ZF47" s="29"/>
      <c r="ZG47" s="28"/>
      <c r="ZH47" s="29"/>
      <c r="ZI47" s="29"/>
      <c r="ZJ47" s="28"/>
      <c r="ZK47" s="29"/>
      <c r="ZL47" s="30"/>
      <c r="ZM47" s="28"/>
      <c r="ZN47" s="29"/>
      <c r="ZO47" s="29"/>
      <c r="ZP47" s="29"/>
      <c r="ZQ47" s="28"/>
      <c r="ZR47" s="29"/>
      <c r="ZS47" s="29"/>
      <c r="ZT47" s="28"/>
      <c r="ZU47" s="29"/>
      <c r="ZV47" s="30"/>
      <c r="ZW47" s="28"/>
      <c r="ZX47" s="29"/>
      <c r="ZY47" s="29"/>
      <c r="ZZ47" s="29"/>
      <c r="AAA47" s="28"/>
      <c r="AAB47" s="29"/>
      <c r="AAC47" s="29"/>
      <c r="AAD47" s="28"/>
      <c r="AAE47" s="29"/>
      <c r="AAF47" s="30"/>
      <c r="AAG47" s="28"/>
      <c r="AAH47" s="29"/>
      <c r="AAI47" s="29"/>
      <c r="AAJ47" s="29"/>
      <c r="AAK47" s="28"/>
      <c r="AAL47" s="29"/>
      <c r="AAM47" s="29"/>
      <c r="AAN47" s="28"/>
      <c r="AAO47" s="29"/>
      <c r="AAP47" s="30"/>
      <c r="AAQ47" s="28"/>
      <c r="AAR47" s="29"/>
      <c r="AAS47" s="29"/>
      <c r="AAT47" s="29"/>
      <c r="AAU47" s="28"/>
      <c r="AAV47" s="29"/>
      <c r="AAW47" s="29"/>
      <c r="AAX47" s="28"/>
      <c r="AAY47" s="29"/>
      <c r="AAZ47" s="30"/>
      <c r="ABA47" s="28"/>
      <c r="ABB47" s="29"/>
      <c r="ABC47" s="29"/>
      <c r="ABD47" s="29"/>
      <c r="ABE47" s="28"/>
      <c r="ABF47" s="29"/>
      <c r="ABG47" s="29"/>
      <c r="ABH47" s="28"/>
      <c r="ABI47" s="29"/>
      <c r="ABJ47" s="30"/>
      <c r="ABK47" s="28"/>
      <c r="ABL47" s="29"/>
      <c r="ABM47" s="29"/>
      <c r="ABN47" s="29"/>
      <c r="ABO47" s="28"/>
      <c r="ABP47" s="29"/>
      <c r="ABQ47" s="29"/>
      <c r="ABR47" s="28"/>
      <c r="ABS47" s="29"/>
      <c r="ABT47" s="30"/>
      <c r="ABU47" s="28"/>
      <c r="ABV47" s="29"/>
      <c r="ABW47" s="29"/>
      <c r="ABX47" s="29"/>
      <c r="ABY47" s="28"/>
      <c r="ABZ47" s="29"/>
      <c r="ACA47" s="29"/>
      <c r="ACB47" s="28"/>
      <c r="ACC47" s="29"/>
      <c r="ACD47" s="30"/>
      <c r="ACE47" s="28"/>
      <c r="ACF47" s="29"/>
      <c r="ACG47" s="29"/>
      <c r="ACH47" s="29"/>
      <c r="ACI47" s="28"/>
      <c r="ACJ47" s="29"/>
      <c r="ACK47" s="29"/>
      <c r="ACL47" s="28"/>
      <c r="ACM47" s="29"/>
      <c r="ACN47" s="30"/>
      <c r="ACO47" s="28"/>
      <c r="ACP47" s="29"/>
      <c r="ACQ47" s="29"/>
      <c r="ACR47" s="29"/>
      <c r="ACS47" s="28"/>
      <c r="ACT47" s="29"/>
      <c r="ACU47" s="29"/>
      <c r="ACV47" s="28"/>
      <c r="ACW47" s="29"/>
      <c r="ACX47" s="30"/>
      <c r="ACY47" s="28"/>
      <c r="ACZ47" s="29"/>
      <c r="ADA47" s="29"/>
      <c r="ADB47" s="29"/>
      <c r="ADC47" s="28"/>
      <c r="ADD47" s="29"/>
      <c r="ADE47" s="29"/>
      <c r="ADF47" s="28"/>
      <c r="ADG47" s="29"/>
      <c r="ADH47" s="30"/>
      <c r="ADI47" s="28"/>
      <c r="ADJ47" s="29"/>
      <c r="ADK47" s="29"/>
      <c r="ADL47" s="29"/>
      <c r="ADM47" s="28"/>
      <c r="ADN47" s="29"/>
      <c r="ADO47" s="29"/>
      <c r="ADP47" s="28"/>
      <c r="ADQ47" s="29"/>
      <c r="ADR47" s="30"/>
      <c r="ADS47" s="28"/>
      <c r="ADT47" s="29"/>
      <c r="ADU47" s="29"/>
      <c r="ADV47" s="29"/>
      <c r="ADW47" s="28"/>
      <c r="ADX47" s="29"/>
      <c r="ADY47" s="29"/>
      <c r="ADZ47" s="28"/>
      <c r="AEA47" s="29"/>
      <c r="AEB47" s="30"/>
      <c r="AEC47" s="28"/>
      <c r="AED47" s="29"/>
      <c r="AEE47" s="29"/>
      <c r="AEF47" s="29"/>
      <c r="AEG47" s="28"/>
      <c r="AEH47" s="29"/>
      <c r="AEI47" s="29"/>
      <c r="AEJ47" s="28"/>
      <c r="AEK47" s="29"/>
      <c r="AEL47" s="30"/>
      <c r="AEM47" s="28"/>
      <c r="AEN47" s="29"/>
      <c r="AEO47" s="29"/>
      <c r="AEP47" s="29"/>
      <c r="AEQ47" s="28"/>
      <c r="AER47" s="29"/>
      <c r="AES47" s="29"/>
      <c r="AET47" s="28"/>
      <c r="AEU47" s="29"/>
      <c r="AEV47" s="30"/>
      <c r="AEW47" s="28"/>
      <c r="AEX47" s="29"/>
      <c r="AEY47" s="29"/>
      <c r="AEZ47" s="29"/>
      <c r="AFA47" s="28"/>
      <c r="AFB47" s="29"/>
      <c r="AFC47" s="29"/>
      <c r="AFD47" s="28"/>
      <c r="AFE47" s="29"/>
      <c r="AFF47" s="30"/>
      <c r="AFG47" s="28"/>
      <c r="AFH47" s="29"/>
      <c r="AFI47" s="29"/>
      <c r="AFJ47" s="29"/>
      <c r="AFK47" s="28"/>
      <c r="AFL47" s="29"/>
      <c r="AFM47" s="29"/>
      <c r="AFN47" s="28"/>
      <c r="AFO47" s="29"/>
      <c r="AFP47" s="30"/>
      <c r="AFQ47" s="28"/>
      <c r="AFR47" s="29"/>
      <c r="AFS47" s="29"/>
      <c r="AFT47" s="29"/>
      <c r="AFU47" s="28"/>
      <c r="AFV47" s="29"/>
      <c r="AFW47" s="29"/>
      <c r="AFX47" s="28"/>
      <c r="AFY47" s="29"/>
      <c r="AFZ47" s="30"/>
      <c r="AGA47" s="28"/>
      <c r="AGB47" s="29"/>
      <c r="AGC47" s="29"/>
      <c r="AGD47" s="29"/>
      <c r="AGE47" s="28"/>
      <c r="AGF47" s="29"/>
      <c r="AGG47" s="29"/>
      <c r="AGH47" s="28"/>
      <c r="AGI47" s="29"/>
      <c r="AGJ47" s="30"/>
      <c r="AGK47" s="28"/>
      <c r="AGL47" s="29"/>
      <c r="AGM47" s="29"/>
      <c r="AGN47" s="29"/>
      <c r="AGO47" s="28"/>
      <c r="AGP47" s="29"/>
      <c r="AGQ47" s="29"/>
      <c r="AGR47" s="28"/>
      <c r="AGS47" s="29"/>
      <c r="AGT47" s="30"/>
      <c r="AGU47" s="28"/>
      <c r="AGV47" s="29"/>
      <c r="AGW47" s="29"/>
      <c r="AGX47" s="29"/>
      <c r="AGY47" s="28"/>
      <c r="AGZ47" s="29"/>
      <c r="AHA47" s="29"/>
      <c r="AHB47" s="28"/>
      <c r="AHC47" s="29"/>
      <c r="AHD47" s="30"/>
      <c r="AHE47" s="28"/>
      <c r="AHF47" s="29"/>
      <c r="AHG47" s="29"/>
      <c r="AHH47" s="29"/>
      <c r="AHI47" s="28"/>
      <c r="AHJ47" s="29"/>
      <c r="AHK47" s="29"/>
      <c r="AHL47" s="28"/>
      <c r="AHM47" s="29"/>
      <c r="AHN47" s="30"/>
      <c r="AHO47" s="28"/>
      <c r="AHP47" s="29"/>
      <c r="AHQ47" s="29"/>
      <c r="AHR47" s="29"/>
      <c r="AHS47" s="28"/>
      <c r="AHT47" s="29"/>
      <c r="AHU47" s="29"/>
      <c r="AHV47" s="28"/>
      <c r="AHW47" s="29"/>
      <c r="AHX47" s="30"/>
      <c r="AHY47" s="28"/>
      <c r="AHZ47" s="29"/>
      <c r="AIA47" s="29"/>
      <c r="AIB47" s="29"/>
      <c r="AIC47" s="28"/>
      <c r="AID47" s="29"/>
      <c r="AIE47" s="29"/>
      <c r="AIF47" s="28"/>
      <c r="AIG47" s="29"/>
      <c r="AIH47" s="30"/>
      <c r="AII47" s="28"/>
      <c r="AIJ47" s="29"/>
      <c r="AIK47" s="29"/>
      <c r="AIL47" s="29"/>
      <c r="AIM47" s="28"/>
      <c r="AIN47" s="29"/>
      <c r="AIO47" s="29"/>
      <c r="AIP47" s="28"/>
      <c r="AIQ47" s="29"/>
      <c r="AIR47" s="30"/>
      <c r="AIS47" s="28"/>
      <c r="AIT47" s="29"/>
      <c r="AIU47" s="29"/>
      <c r="AIV47" s="29"/>
      <c r="AIW47" s="28"/>
      <c r="AIX47" s="29"/>
      <c r="AIY47" s="29"/>
      <c r="AIZ47" s="28"/>
      <c r="AJA47" s="29"/>
      <c r="AJB47" s="30"/>
      <c r="AJC47" s="28"/>
      <c r="AJD47" s="29"/>
      <c r="AJE47" s="29"/>
      <c r="AJF47" s="29"/>
      <c r="AJG47" s="28"/>
      <c r="AJH47" s="29"/>
      <c r="AJI47" s="29"/>
      <c r="AJJ47" s="28"/>
      <c r="AJK47" s="29"/>
      <c r="AJL47" s="30"/>
      <c r="AJM47" s="28"/>
      <c r="AJN47" s="29"/>
      <c r="AJO47" s="29"/>
      <c r="AJP47" s="29"/>
      <c r="AJQ47" s="28"/>
      <c r="AJR47" s="29"/>
      <c r="AJS47" s="29"/>
      <c r="AJT47" s="28"/>
      <c r="AJU47" s="29"/>
      <c r="AJV47" s="30"/>
      <c r="AJW47" s="28"/>
      <c r="AJX47" s="29"/>
      <c r="AJY47" s="29"/>
      <c r="AJZ47" s="29"/>
      <c r="AKA47" s="28"/>
      <c r="AKB47" s="29"/>
      <c r="AKC47" s="29"/>
      <c r="AKD47" s="28"/>
      <c r="AKE47" s="29"/>
      <c r="AKF47" s="30"/>
      <c r="AKG47" s="28"/>
      <c r="AKH47" s="29"/>
      <c r="AKI47" s="29"/>
      <c r="AKJ47" s="29"/>
      <c r="AKK47" s="28"/>
      <c r="AKL47" s="29"/>
      <c r="AKM47" s="29"/>
      <c r="AKN47" s="28"/>
      <c r="AKO47" s="29"/>
      <c r="AKP47" s="30"/>
      <c r="AKQ47" s="28"/>
      <c r="AKR47" s="29"/>
      <c r="AKS47" s="29"/>
      <c r="AKT47" s="29"/>
      <c r="AKU47" s="28"/>
      <c r="AKV47" s="29"/>
      <c r="AKW47" s="29"/>
      <c r="AKX47" s="28"/>
      <c r="AKY47" s="29"/>
      <c r="AKZ47" s="30"/>
      <c r="ALA47" s="28"/>
      <c r="ALB47" s="29"/>
      <c r="ALC47" s="29"/>
      <c r="ALD47" s="29"/>
      <c r="ALE47" s="28"/>
      <c r="ALF47" s="29"/>
      <c r="ALG47" s="29"/>
      <c r="ALH47" s="29"/>
      <c r="ALI47" s="29"/>
      <c r="ALJ47" s="29"/>
      <c r="ALK47" s="28"/>
      <c r="ALL47" s="29"/>
      <c r="ALM47" s="29"/>
      <c r="ALN47" s="28"/>
      <c r="ALO47" s="29"/>
      <c r="ALP47" s="30"/>
      <c r="ALQ47" s="28"/>
      <c r="ALR47" s="29"/>
      <c r="ALS47" s="29"/>
      <c r="ALT47" s="29"/>
      <c r="ALU47" s="28"/>
      <c r="ALV47" s="29"/>
      <c r="ALW47" s="29"/>
      <c r="ALX47" s="28"/>
      <c r="ALY47" s="29"/>
      <c r="ALZ47" s="30"/>
      <c r="AMA47" s="28"/>
      <c r="AMB47" s="29"/>
      <c r="AMC47" s="29"/>
      <c r="AMD47" s="29"/>
      <c r="AME47" s="28"/>
      <c r="AMF47" s="29"/>
      <c r="AMG47" s="29"/>
      <c r="AMH47" s="29"/>
      <c r="AMI47" s="29"/>
      <c r="AMJ47" s="29"/>
      <c r="AMK47" s="28"/>
      <c r="AML47" s="29"/>
      <c r="AMM47" s="29"/>
      <c r="AMN47" s="28"/>
      <c r="AMO47" s="29"/>
      <c r="AMP47" s="30"/>
      <c r="AMQ47" s="28"/>
      <c r="AMR47" s="29"/>
      <c r="AMS47" s="29"/>
      <c r="AMT47" s="29"/>
      <c r="AMU47" s="28"/>
      <c r="AMV47" s="29"/>
      <c r="AMW47" s="29"/>
      <c r="AMX47" s="28"/>
      <c r="AMY47" s="29"/>
      <c r="AMZ47" s="30"/>
      <c r="ANA47" s="28"/>
      <c r="ANB47" s="29"/>
      <c r="ANC47" s="29"/>
      <c r="AND47" s="29"/>
      <c r="ANE47" s="28"/>
      <c r="ANF47" s="29"/>
      <c r="ANG47" s="29"/>
      <c r="ANH47" s="29"/>
      <c r="ANI47" s="29"/>
      <c r="ANJ47" s="29"/>
      <c r="ANK47" s="28"/>
      <c r="ANL47" s="29"/>
      <c r="ANM47" s="29"/>
      <c r="ANN47" s="28"/>
      <c r="ANO47" s="29"/>
      <c r="ANP47" s="30"/>
      <c r="ANQ47" s="28"/>
      <c r="ANR47" s="29"/>
      <c r="ANS47" s="29"/>
      <c r="ANT47" s="29"/>
      <c r="ANU47" s="28"/>
      <c r="ANV47" s="29"/>
      <c r="ANW47" s="29"/>
      <c r="ANX47" s="28"/>
      <c r="ANY47" s="29"/>
      <c r="ANZ47" s="30"/>
      <c r="AOA47" s="28"/>
      <c r="AOB47" s="29"/>
      <c r="AOC47" s="29"/>
      <c r="AOD47" s="29"/>
      <c r="AOE47" s="28"/>
      <c r="AOF47" s="29"/>
      <c r="AOG47" s="29"/>
      <c r="AOH47" s="29"/>
      <c r="AOI47" s="29"/>
      <c r="AOJ47" s="29"/>
      <c r="AOK47" s="28"/>
      <c r="AOL47" s="29"/>
      <c r="AOM47" s="29"/>
      <c r="AON47" s="28"/>
      <c r="AOO47" s="29"/>
      <c r="AOP47" s="30"/>
      <c r="AOQ47" s="28"/>
      <c r="AOR47" s="29"/>
      <c r="AOS47" s="29"/>
      <c r="AOT47" s="29"/>
      <c r="AOU47" s="28"/>
      <c r="AOV47" s="29"/>
      <c r="AOW47" s="29"/>
      <c r="AOX47" s="28"/>
      <c r="AOY47" s="29"/>
      <c r="AOZ47" s="30"/>
      <c r="APA47" s="28"/>
      <c r="APB47" s="29"/>
      <c r="APC47" s="29"/>
      <c r="APD47" s="29"/>
      <c r="APE47" s="28"/>
      <c r="APF47" s="29"/>
      <c r="APG47" s="29"/>
      <c r="APH47" s="29"/>
      <c r="API47" s="29"/>
      <c r="APJ47" s="29"/>
      <c r="APK47" s="28"/>
      <c r="APL47" s="29"/>
      <c r="APM47" s="29"/>
      <c r="APN47" s="28"/>
      <c r="APO47" s="29"/>
      <c r="APP47" s="30"/>
      <c r="APQ47" s="28"/>
      <c r="APR47" s="29"/>
      <c r="APS47" s="29"/>
      <c r="APT47" s="29"/>
      <c r="APU47" s="28"/>
      <c r="APV47" s="29"/>
      <c r="APW47" s="29"/>
      <c r="APX47" s="28"/>
      <c r="APY47" s="29"/>
      <c r="APZ47" s="30"/>
      <c r="AQA47" s="28"/>
      <c r="AQB47" s="29"/>
      <c r="AQC47" s="29"/>
      <c r="AQD47" s="29"/>
      <c r="AQE47" s="28"/>
      <c r="AQF47" s="29"/>
      <c r="AQG47" s="29"/>
      <c r="AQH47" s="29"/>
      <c r="AQI47" s="29"/>
      <c r="AQJ47" s="29"/>
      <c r="AQK47" s="28"/>
      <c r="AQL47" s="29"/>
      <c r="AQM47" s="29"/>
      <c r="AQN47" s="28"/>
      <c r="AQO47" s="29"/>
      <c r="AQP47" s="30"/>
      <c r="AQQ47" s="28"/>
      <c r="AQR47" s="29"/>
      <c r="AQS47" s="29"/>
      <c r="AQT47" s="29"/>
      <c r="AQU47" s="28"/>
      <c r="AQV47" s="29"/>
      <c r="AQW47" s="29"/>
      <c r="AQX47" s="28"/>
      <c r="AQY47" s="29"/>
      <c r="AQZ47" s="30"/>
      <c r="ARA47" s="28"/>
      <c r="ARB47" s="29"/>
      <c r="ARC47" s="29"/>
      <c r="ARD47" s="29"/>
      <c r="ARE47" s="28"/>
      <c r="ARF47" s="29"/>
      <c r="ARG47" s="29"/>
      <c r="ARH47" s="29"/>
      <c r="ARI47" s="29"/>
      <c r="ARJ47" s="29"/>
      <c r="ARK47" s="28"/>
      <c r="ARL47" s="29"/>
      <c r="ARM47" s="29"/>
      <c r="ARN47" s="28"/>
      <c r="ARO47" s="29"/>
      <c r="ARP47" s="30"/>
      <c r="ARQ47" s="28"/>
      <c r="ARR47" s="29"/>
      <c r="ARS47" s="29"/>
      <c r="ART47" s="29"/>
      <c r="ARU47" s="28"/>
      <c r="ARV47" s="29"/>
      <c r="ARW47" s="29"/>
      <c r="ARX47" s="28"/>
      <c r="ARY47" s="29"/>
      <c r="ARZ47" s="30"/>
      <c r="ASA47" s="28"/>
      <c r="ASB47" s="29"/>
      <c r="ASC47" s="29"/>
      <c r="ASD47" s="29"/>
      <c r="ASE47" s="28"/>
      <c r="ASF47" s="29"/>
      <c r="ASG47" s="29"/>
      <c r="ASH47" s="29"/>
      <c r="ASI47" s="29"/>
      <c r="ASJ47" s="29"/>
      <c r="ASK47" s="28"/>
      <c r="ASL47" s="29"/>
      <c r="ASM47" s="29"/>
      <c r="ASN47" s="28"/>
      <c r="ASO47" s="29"/>
      <c r="ASP47" s="30"/>
      <c r="ASQ47" s="28"/>
      <c r="ASR47" s="29"/>
      <c r="ASS47" s="29"/>
      <c r="AST47" s="29"/>
      <c r="ASU47" s="28"/>
      <c r="ASV47" s="29"/>
      <c r="ASW47" s="29"/>
      <c r="ASX47" s="28"/>
      <c r="ASY47" s="29"/>
      <c r="ASZ47" s="30"/>
      <c r="ATA47" s="28"/>
      <c r="ATB47" s="29"/>
      <c r="ATC47" s="29"/>
      <c r="ATD47" s="29"/>
      <c r="ATE47" s="28"/>
      <c r="ATF47" s="29"/>
      <c r="ATG47" s="29"/>
      <c r="ATH47" s="29"/>
      <c r="ATI47" s="29"/>
      <c r="ATJ47" s="29"/>
      <c r="ATK47" s="28"/>
      <c r="ATL47" s="29"/>
      <c r="ATM47" s="29"/>
      <c r="ATN47" s="28"/>
      <c r="ATO47" s="29"/>
      <c r="ATP47" s="30"/>
      <c r="ATQ47" s="28"/>
      <c r="ATR47" s="29"/>
      <c r="ATS47" s="29"/>
      <c r="ATT47" s="29"/>
      <c r="ATU47" s="28"/>
      <c r="ATV47" s="29"/>
      <c r="ATW47" s="29"/>
      <c r="ATX47" s="28"/>
      <c r="ATY47" s="29"/>
      <c r="ATZ47" s="30"/>
      <c r="AUA47" s="28"/>
      <c r="AUB47" s="29"/>
      <c r="AUC47" s="29"/>
      <c r="AUD47" s="29"/>
      <c r="AUE47" s="28"/>
      <c r="AUF47" s="29"/>
      <c r="AUG47" s="29"/>
      <c r="AUH47" s="29"/>
      <c r="AUI47" s="29"/>
      <c r="AUJ47" s="29"/>
      <c r="AUK47" s="28"/>
      <c r="AUL47" s="29"/>
      <c r="AUM47" s="29"/>
      <c r="AUN47" s="28"/>
      <c r="AUO47" s="29"/>
      <c r="AUP47" s="30"/>
      <c r="AUQ47" s="28"/>
      <c r="AUR47" s="29"/>
      <c r="AUS47" s="29"/>
      <c r="AUT47" s="29"/>
      <c r="AUU47" s="28"/>
      <c r="AUV47" s="29"/>
      <c r="AUW47" s="29"/>
      <c r="AUX47" s="28"/>
      <c r="AUY47" s="29"/>
      <c r="AUZ47" s="30"/>
      <c r="AVA47" s="28"/>
      <c r="AVB47" s="29"/>
      <c r="AVC47" s="29"/>
      <c r="AVD47" s="29"/>
      <c r="AVE47" s="28"/>
      <c r="AVF47" s="29"/>
      <c r="AVG47" s="29"/>
      <c r="AVH47" s="29"/>
      <c r="AVI47" s="29"/>
      <c r="AVJ47" s="29"/>
      <c r="AVK47" s="28"/>
      <c r="AVL47" s="29"/>
      <c r="AVM47" s="29"/>
      <c r="AVN47" s="28"/>
      <c r="AVO47" s="29"/>
      <c r="AVP47" s="30"/>
      <c r="AVQ47" s="28"/>
      <c r="AVR47" s="29"/>
      <c r="AVS47" s="29"/>
      <c r="AVT47" s="29"/>
      <c r="AVU47" s="28"/>
      <c r="AVV47" s="29"/>
      <c r="AVW47" s="29"/>
      <c r="AVX47" s="28"/>
      <c r="AVY47" s="29"/>
      <c r="AVZ47" s="30"/>
      <c r="AWA47" s="28"/>
      <c r="AWB47" s="29"/>
      <c r="AWC47" s="29"/>
      <c r="AWD47" s="29"/>
      <c r="AWE47" s="28"/>
      <c r="AWF47" s="29"/>
      <c r="AWG47" s="29"/>
      <c r="AWH47" s="29"/>
      <c r="AWI47" s="29"/>
      <c r="AWJ47" s="29"/>
      <c r="AWK47" s="28"/>
      <c r="AWL47" s="29"/>
      <c r="AWM47" s="29"/>
      <c r="AWN47" s="28"/>
      <c r="AWO47" s="29"/>
      <c r="AWP47" s="30"/>
      <c r="AWQ47" s="28"/>
      <c r="AWR47" s="29"/>
      <c r="AWS47" s="29"/>
      <c r="AWT47" s="29"/>
      <c r="AWU47" s="28"/>
      <c r="AWV47" s="29"/>
      <c r="AWW47" s="29"/>
      <c r="AWX47" s="28"/>
      <c r="AWY47" s="29"/>
      <c r="AWZ47" s="30"/>
      <c r="AXA47" s="28"/>
      <c r="AXB47" s="29"/>
      <c r="AXC47" s="29"/>
      <c r="AXD47" s="29"/>
      <c r="AXE47" s="28"/>
      <c r="AXF47" s="29"/>
      <c r="AXG47" s="29"/>
      <c r="AXH47" s="29"/>
      <c r="AXI47" s="29"/>
      <c r="AXJ47" s="29"/>
      <c r="AXK47" s="28"/>
      <c r="AXL47" s="29"/>
      <c r="AXM47" s="29"/>
      <c r="AXN47" s="28"/>
      <c r="AXO47" s="29"/>
      <c r="AXP47" s="30"/>
      <c r="AXQ47" s="28"/>
      <c r="AXR47" s="29"/>
      <c r="AXS47" s="29"/>
      <c r="AXT47" s="29"/>
      <c r="AXU47" s="28"/>
      <c r="AXV47" s="29"/>
      <c r="AXW47" s="29"/>
      <c r="AXX47" s="28"/>
      <c r="AXY47" s="29"/>
      <c r="AXZ47" s="30"/>
      <c r="AYA47" s="28"/>
      <c r="AYB47" s="29"/>
      <c r="AYC47" s="29"/>
      <c r="AYD47" s="29"/>
      <c r="AYE47" s="28"/>
      <c r="AYF47" s="29"/>
      <c r="AYG47" s="29"/>
      <c r="AYH47" s="29"/>
      <c r="AYI47" s="29"/>
      <c r="AYJ47" s="29"/>
      <c r="AYK47" s="28"/>
      <c r="AYL47" s="29"/>
      <c r="AYM47" s="29"/>
      <c r="AYN47" s="28"/>
      <c r="AYO47" s="29"/>
      <c r="AYP47" s="30"/>
      <c r="AYQ47" s="28"/>
      <c r="AYR47" s="29"/>
      <c r="AYS47" s="29"/>
      <c r="AYT47" s="29"/>
      <c r="AYU47" s="28"/>
      <c r="AYV47" s="29"/>
      <c r="AYW47" s="29"/>
      <c r="AYX47" s="28"/>
      <c r="AYY47" s="29"/>
      <c r="AYZ47" s="30"/>
      <c r="AZA47" s="28"/>
      <c r="AZB47" s="29"/>
      <c r="AZC47" s="29"/>
      <c r="AZD47" s="29"/>
      <c r="AZE47" s="28"/>
      <c r="AZF47" s="29"/>
      <c r="AZG47" s="29"/>
      <c r="AZH47" s="29"/>
      <c r="AZI47" s="29"/>
      <c r="AZJ47" s="29"/>
      <c r="AZK47" s="28"/>
      <c r="AZL47" s="29"/>
      <c r="AZM47" s="29"/>
      <c r="AZN47" s="28"/>
      <c r="AZO47" s="29"/>
      <c r="AZP47" s="30"/>
      <c r="AZQ47" s="28"/>
      <c r="AZR47" s="29"/>
      <c r="AZS47" s="29"/>
      <c r="AZT47" s="29"/>
      <c r="AZU47" s="28"/>
      <c r="AZV47" s="29"/>
      <c r="AZW47" s="29"/>
      <c r="AZX47" s="28"/>
      <c r="AZY47" s="29"/>
      <c r="AZZ47" s="30"/>
      <c r="BAA47" s="28"/>
      <c r="BAB47" s="29"/>
      <c r="BAC47" s="29"/>
      <c r="BAD47" s="29"/>
      <c r="BAE47" s="28"/>
      <c r="BAF47" s="29"/>
      <c r="BAG47" s="29"/>
      <c r="BAH47" s="29"/>
      <c r="BAI47" s="29"/>
      <c r="BAJ47" s="29"/>
      <c r="BAK47" s="28"/>
      <c r="BAL47" s="29"/>
      <c r="BAM47" s="29"/>
      <c r="BAN47" s="28"/>
      <c r="BAO47" s="29"/>
      <c r="BAP47" s="30"/>
      <c r="BAQ47" s="28"/>
      <c r="BAR47" s="29"/>
      <c r="BAS47" s="29"/>
      <c r="BAT47" s="29"/>
      <c r="BAU47" s="28"/>
      <c r="BAV47" s="29"/>
      <c r="BAW47" s="29"/>
      <c r="BAX47" s="28"/>
      <c r="BAY47" s="29"/>
      <c r="BAZ47" s="30"/>
      <c r="BBA47" s="28"/>
      <c r="BBB47" s="29"/>
      <c r="BBC47" s="29"/>
      <c r="BBD47" s="29"/>
      <c r="BBE47" s="28"/>
      <c r="BBF47" s="29"/>
      <c r="BBG47" s="29"/>
      <c r="BBH47" s="29"/>
      <c r="BBI47" s="29"/>
      <c r="BBJ47" s="29"/>
      <c r="BBK47" s="28"/>
      <c r="BBL47" s="29"/>
      <c r="BBM47" s="29"/>
      <c r="BBN47" s="28"/>
      <c r="BBO47" s="29"/>
      <c r="BBP47" s="30"/>
      <c r="BBQ47" s="28"/>
      <c r="BBR47" s="29"/>
      <c r="BBS47" s="29"/>
      <c r="BBT47" s="29"/>
      <c r="BBU47" s="28"/>
      <c r="BBV47" s="29"/>
      <c r="BBW47" s="29"/>
      <c r="BBX47" s="28"/>
      <c r="BBY47" s="29"/>
      <c r="BBZ47" s="30"/>
      <c r="BCA47" s="28"/>
      <c r="BCB47" s="29"/>
      <c r="BCC47" s="29"/>
      <c r="BCD47" s="29"/>
      <c r="BCE47" s="28"/>
      <c r="BCF47" s="29"/>
      <c r="BCG47" s="29"/>
      <c r="BCH47" s="29"/>
      <c r="BCI47" s="29"/>
      <c r="BCJ47" s="29"/>
      <c r="BCK47" s="28"/>
      <c r="BCL47" s="29"/>
      <c r="BCM47" s="29"/>
      <c r="BCN47" s="28"/>
      <c r="BCO47" s="29"/>
      <c r="BCP47" s="30"/>
      <c r="BCQ47" s="28"/>
      <c r="BCR47" s="29"/>
      <c r="BCS47" s="29"/>
      <c r="BCT47" s="29"/>
      <c r="BCU47" s="28"/>
      <c r="BCV47" s="29"/>
      <c r="BCW47" s="29"/>
      <c r="BCX47" s="28"/>
      <c r="BCY47" s="29"/>
      <c r="BCZ47" s="30"/>
      <c r="BDA47" s="28"/>
      <c r="BDB47" s="29"/>
      <c r="BDC47" s="29"/>
      <c r="BDD47" s="29"/>
      <c r="BDE47" s="28"/>
      <c r="BDF47" s="29"/>
      <c r="BDG47" s="29"/>
      <c r="BDH47" s="29"/>
      <c r="BDI47" s="29"/>
      <c r="BDJ47" s="29"/>
      <c r="BDK47" s="28"/>
      <c r="BDL47" s="29"/>
      <c r="BDM47" s="29"/>
      <c r="BDN47" s="28"/>
      <c r="BDO47" s="29"/>
      <c r="BDP47" s="30"/>
      <c r="BDQ47" s="28"/>
      <c r="BDR47" s="29"/>
      <c r="BDS47" s="29"/>
      <c r="BDT47" s="29"/>
      <c r="BDU47" s="28"/>
      <c r="BDV47" s="29"/>
      <c r="BDW47" s="29"/>
      <c r="BDX47" s="28"/>
      <c r="BDY47" s="29"/>
      <c r="BDZ47" s="30"/>
      <c r="BEA47" s="28"/>
      <c r="BEB47" s="29"/>
      <c r="BEC47" s="29"/>
      <c r="BED47" s="29"/>
      <c r="BEE47" s="28"/>
      <c r="BEF47" s="29"/>
      <c r="BEG47" s="29"/>
      <c r="BEH47" s="29"/>
      <c r="BEI47" s="29"/>
      <c r="BEJ47" s="29"/>
      <c r="BEK47" s="28"/>
      <c r="BEL47" s="29"/>
      <c r="BEM47" s="29"/>
      <c r="BEN47" s="28"/>
      <c r="BEO47" s="29"/>
      <c r="BEP47" s="30"/>
      <c r="BEQ47" s="28"/>
      <c r="BER47" s="29"/>
      <c r="BES47" s="29"/>
      <c r="BET47" s="29"/>
      <c r="BEU47" s="28"/>
      <c r="BEV47" s="29"/>
      <c r="BEW47" s="29"/>
      <c r="BEX47" s="28"/>
      <c r="BEY47" s="29"/>
      <c r="BEZ47" s="30"/>
      <c r="BFA47" s="28"/>
      <c r="BFB47" s="29"/>
      <c r="BFC47" s="29"/>
      <c r="BFD47" s="29"/>
      <c r="BFE47" s="28"/>
      <c r="BFF47" s="29"/>
      <c r="BFG47" s="29"/>
      <c r="BFH47" s="29"/>
      <c r="BFI47" s="29"/>
      <c r="BFJ47" s="29"/>
      <c r="BFK47" s="28"/>
      <c r="BFL47" s="29"/>
      <c r="BFM47" s="29"/>
      <c r="BFN47" s="28"/>
      <c r="BFO47" s="29"/>
      <c r="BFP47" s="30"/>
      <c r="BFQ47" s="28"/>
      <c r="BFR47" s="29"/>
      <c r="BFS47" s="29"/>
      <c r="BFT47" s="29"/>
      <c r="BFU47" s="28"/>
      <c r="BFV47" s="29"/>
      <c r="BFW47" s="29"/>
      <c r="BFX47" s="28"/>
      <c r="BFY47" s="29"/>
      <c r="BFZ47" s="30"/>
      <c r="BGA47" s="28"/>
      <c r="BGB47" s="29"/>
      <c r="BGC47" s="29"/>
      <c r="BGD47" s="29"/>
      <c r="BGE47" s="28"/>
      <c r="BGF47" s="29"/>
      <c r="BGG47" s="29"/>
      <c r="BGH47" s="29"/>
      <c r="BGI47" s="29"/>
      <c r="BGJ47" s="29"/>
      <c r="BGK47" s="28"/>
      <c r="BGL47" s="29"/>
      <c r="BGM47" s="29"/>
      <c r="BGN47" s="28"/>
      <c r="BGO47" s="29"/>
      <c r="BGP47" s="30"/>
      <c r="BGQ47" s="28"/>
      <c r="BGR47" s="29"/>
      <c r="BGS47" s="29"/>
      <c r="BGT47" s="29"/>
      <c r="BGU47" s="28"/>
      <c r="BGV47" s="29"/>
      <c r="BGW47" s="29"/>
      <c r="BGX47" s="28"/>
      <c r="BGY47" s="29"/>
      <c r="BGZ47" s="30"/>
      <c r="BHA47" s="28"/>
      <c r="BHB47" s="29"/>
      <c r="BHC47" s="29"/>
      <c r="BHD47" s="29"/>
      <c r="BHE47" s="28"/>
      <c r="BHF47" s="29"/>
      <c r="BHG47" s="29"/>
      <c r="BHH47" s="29"/>
      <c r="BHI47" s="29"/>
      <c r="BHJ47" s="29"/>
      <c r="BHK47" s="28"/>
      <c r="BHL47" s="29"/>
      <c r="BHM47" s="29"/>
      <c r="BHN47" s="28"/>
      <c r="BHO47" s="29"/>
      <c r="BHP47" s="30"/>
      <c r="BHQ47" s="28"/>
      <c r="BHR47" s="29"/>
      <c r="BHS47" s="29"/>
      <c r="BHT47" s="29"/>
      <c r="BHU47" s="28"/>
      <c r="BHV47" s="29"/>
      <c r="BHW47" s="29"/>
      <c r="BHX47" s="28"/>
      <c r="BHY47" s="29"/>
      <c r="BHZ47" s="30"/>
      <c r="BIA47" s="28"/>
      <c r="BIB47" s="29"/>
      <c r="BIC47" s="29"/>
      <c r="BID47" s="29"/>
      <c r="BIE47" s="28"/>
      <c r="BIF47" s="29"/>
      <c r="BIG47" s="29"/>
      <c r="BIH47" s="29"/>
      <c r="BII47" s="29"/>
      <c r="BIJ47" s="29"/>
      <c r="BIK47" s="28"/>
      <c r="BIL47" s="29"/>
      <c r="BIM47" s="29"/>
      <c r="BIN47" s="28"/>
      <c r="BIO47" s="29"/>
      <c r="BIP47" s="30"/>
      <c r="BIQ47" s="28"/>
      <c r="BIR47" s="29"/>
      <c r="BIS47" s="29"/>
      <c r="BIT47" s="29"/>
      <c r="BIU47" s="28"/>
      <c r="BIV47" s="29"/>
      <c r="BIW47" s="29"/>
      <c r="BIX47" s="28"/>
      <c r="BIY47" s="29"/>
      <c r="BIZ47" s="30"/>
      <c r="BJA47" s="28"/>
      <c r="BJB47" s="29"/>
      <c r="BJC47" s="29"/>
      <c r="BJD47" s="29"/>
      <c r="BJE47" s="28"/>
      <c r="BJF47" s="29"/>
      <c r="BJG47" s="29"/>
      <c r="BJH47" s="29"/>
      <c r="BJI47" s="29"/>
      <c r="BJJ47" s="29"/>
      <c r="BJK47" s="28"/>
      <c r="BJL47" s="29"/>
      <c r="BJM47" s="29"/>
      <c r="BJN47" s="28"/>
      <c r="BJO47" s="29"/>
      <c r="BJP47" s="30"/>
      <c r="BJQ47" s="28"/>
      <c r="BJR47" s="29"/>
      <c r="BJS47" s="29"/>
      <c r="BJT47" s="29"/>
      <c r="BJU47" s="28"/>
      <c r="BJV47" s="29"/>
      <c r="BJW47" s="29"/>
      <c r="BJX47" s="28"/>
      <c r="BJY47" s="29"/>
      <c r="BJZ47" s="30"/>
      <c r="BKA47" s="28"/>
      <c r="BKB47" s="29"/>
      <c r="BKC47" s="29"/>
      <c r="BKD47" s="29"/>
      <c r="BKE47" s="28"/>
      <c r="BKF47" s="29"/>
      <c r="BKG47" s="29"/>
      <c r="BKH47" s="29"/>
      <c r="BKI47" s="29"/>
      <c r="BKJ47" s="29"/>
      <c r="BKK47" s="28"/>
      <c r="BKL47" s="29"/>
      <c r="BKM47" s="29"/>
      <c r="BKN47" s="28"/>
      <c r="BKO47" s="29"/>
      <c r="BKP47" s="30"/>
      <c r="BKQ47" s="28"/>
      <c r="BKR47" s="29"/>
      <c r="BKS47" s="29"/>
      <c r="BKT47" s="29"/>
      <c r="BKU47" s="28"/>
      <c r="BKV47" s="29"/>
      <c r="BKW47" s="29"/>
      <c r="BKX47" s="28"/>
      <c r="BKY47" s="29"/>
      <c r="BKZ47" s="30"/>
      <c r="BLA47" s="28"/>
      <c r="BLB47" s="29"/>
      <c r="BLC47" s="29"/>
      <c r="BLD47" s="29"/>
      <c r="BLE47" s="28"/>
      <c r="BLF47" s="29"/>
      <c r="BLG47" s="29"/>
      <c r="BLH47" s="29"/>
      <c r="BLI47" s="29"/>
      <c r="BLJ47" s="29"/>
      <c r="BLK47" s="28"/>
      <c r="BLL47" s="29"/>
      <c r="BLM47" s="29"/>
      <c r="BLN47" s="28"/>
      <c r="BLO47" s="29"/>
      <c r="BLP47" s="30"/>
      <c r="BLQ47" s="28"/>
      <c r="BLR47" s="29"/>
      <c r="BLS47" s="29"/>
      <c r="BLT47" s="29"/>
      <c r="BLU47" s="28"/>
      <c r="BLV47" s="29"/>
      <c r="BLW47" s="29"/>
      <c r="BLX47" s="28"/>
      <c r="BLY47" s="29"/>
      <c r="BLZ47" s="30"/>
      <c r="BMA47" s="28"/>
      <c r="BMB47" s="29"/>
      <c r="BMC47" s="29"/>
      <c r="BMD47" s="29"/>
      <c r="BME47" s="28"/>
      <c r="BMF47" s="29"/>
      <c r="BMG47" s="29"/>
      <c r="BMH47" s="29"/>
      <c r="BMI47" s="29"/>
      <c r="BMJ47" s="29"/>
      <c r="BMK47" s="28"/>
      <c r="BML47" s="29"/>
      <c r="BMM47" s="29"/>
      <c r="BMN47" s="28"/>
      <c r="BMO47" s="29"/>
      <c r="BMP47" s="30"/>
      <c r="BMQ47" s="28"/>
      <c r="BMR47" s="29"/>
      <c r="BMS47" s="29"/>
      <c r="BMT47" s="29"/>
      <c r="BMU47" s="28"/>
      <c r="BMV47" s="29"/>
      <c r="BMW47" s="29"/>
      <c r="BMX47" s="28"/>
      <c r="BMY47" s="29"/>
      <c r="BMZ47" s="30"/>
      <c r="BNA47" s="28"/>
      <c r="BNB47" s="29"/>
      <c r="BNC47" s="29"/>
      <c r="BND47" s="29"/>
      <c r="BNE47" s="28"/>
      <c r="BNF47" s="29"/>
      <c r="BNG47" s="29"/>
      <c r="BNH47" s="29"/>
      <c r="BNI47" s="29"/>
      <c r="BNJ47" s="29"/>
      <c r="BNK47" s="28"/>
      <c r="BNL47" s="29"/>
      <c r="BNM47" s="29"/>
      <c r="BNN47" s="28"/>
      <c r="BNO47" s="29"/>
      <c r="BNP47" s="30"/>
      <c r="BNQ47" s="28"/>
      <c r="BNR47" s="29"/>
      <c r="BNS47" s="29"/>
      <c r="BNT47" s="29"/>
      <c r="BNU47" s="28"/>
      <c r="BNV47" s="29"/>
      <c r="BNW47" s="29"/>
      <c r="BNX47" s="28"/>
      <c r="BNY47" s="29"/>
      <c r="BNZ47" s="30"/>
      <c r="BOA47" s="28"/>
      <c r="BOB47" s="29"/>
      <c r="BOC47" s="29"/>
      <c r="BOD47" s="29"/>
      <c r="BOE47" s="28"/>
      <c r="BOF47" s="29"/>
      <c r="BOG47" s="29"/>
      <c r="BOH47" s="29"/>
      <c r="BOI47" s="29"/>
      <c r="BOJ47" s="29"/>
      <c r="BOK47" s="28"/>
      <c r="BOL47" s="29"/>
      <c r="BOM47" s="29"/>
      <c r="BON47" s="28"/>
      <c r="BOO47" s="29"/>
      <c r="BOP47" s="30"/>
      <c r="BOQ47" s="28"/>
      <c r="BOR47" s="29"/>
      <c r="BOS47" s="29"/>
      <c r="BOT47" s="29"/>
      <c r="BOU47" s="28"/>
      <c r="BOV47" s="29"/>
      <c r="BOW47" s="29"/>
      <c r="BOX47" s="28"/>
      <c r="BOY47" s="29"/>
      <c r="BOZ47" s="30"/>
      <c r="BPA47" s="28"/>
      <c r="BPB47" s="29"/>
      <c r="BPC47" s="29"/>
      <c r="BPD47" s="29"/>
      <c r="BPE47" s="28"/>
      <c r="BPF47" s="29"/>
      <c r="BPG47" s="29"/>
      <c r="BPH47" s="29"/>
      <c r="BPI47" s="29"/>
      <c r="BPJ47" s="29"/>
      <c r="BPK47" s="28"/>
      <c r="BPL47" s="29"/>
      <c r="BPM47" s="29"/>
      <c r="BPN47" s="28"/>
      <c r="BPO47" s="29"/>
      <c r="BPP47" s="30"/>
      <c r="BPQ47" s="28"/>
      <c r="BPR47" s="29"/>
      <c r="BPS47" s="29"/>
      <c r="BPT47" s="29"/>
      <c r="BPU47" s="28"/>
      <c r="BPV47" s="29"/>
      <c r="BPW47" s="29"/>
      <c r="BPX47" s="28"/>
      <c r="BPY47" s="29"/>
      <c r="BPZ47" s="30"/>
      <c r="BQA47" s="28"/>
      <c r="BQB47" s="29"/>
      <c r="BQC47" s="29"/>
      <c r="BQD47" s="29"/>
      <c r="BQE47" s="28"/>
      <c r="BQF47" s="29"/>
      <c r="BQG47" s="29"/>
      <c r="BQH47" s="29"/>
      <c r="BQI47" s="29"/>
      <c r="BQJ47" s="29"/>
      <c r="BQK47" s="28"/>
      <c r="BQL47" s="29"/>
      <c r="BQM47" s="29"/>
      <c r="BQN47" s="28"/>
      <c r="BQO47" s="29"/>
      <c r="BQP47" s="30"/>
      <c r="BQQ47" s="28"/>
      <c r="BQR47" s="29"/>
      <c r="BQS47" s="29"/>
      <c r="BQT47" s="29"/>
      <c r="BQU47" s="28"/>
      <c r="BQV47" s="29"/>
      <c r="BQW47" s="29"/>
      <c r="BQX47" s="28"/>
      <c r="BQY47" s="29"/>
      <c r="BQZ47" s="30"/>
      <c r="BRA47" s="28"/>
      <c r="BRB47" s="29"/>
      <c r="BRC47" s="29"/>
      <c r="BRD47" s="29"/>
      <c r="BRE47" s="28"/>
      <c r="BRF47" s="29"/>
      <c r="BRG47" s="29"/>
      <c r="BRH47" s="29"/>
      <c r="BRI47" s="29"/>
      <c r="BRJ47" s="29"/>
      <c r="BRK47" s="28"/>
      <c r="BRL47" s="29"/>
      <c r="BRM47" s="29"/>
      <c r="BRN47" s="28"/>
      <c r="BRO47" s="29"/>
      <c r="BRP47" s="30"/>
      <c r="BRQ47" s="28"/>
      <c r="BRR47" s="29"/>
      <c r="BRS47" s="29"/>
      <c r="BRT47" s="29"/>
      <c r="BRU47" s="28"/>
      <c r="BRV47" s="29"/>
      <c r="BRW47" s="29"/>
      <c r="BRX47" s="28"/>
      <c r="BRY47" s="29"/>
      <c r="BRZ47" s="30"/>
      <c r="BSA47" s="28"/>
      <c r="BSB47" s="29"/>
      <c r="BSC47" s="29"/>
      <c r="BSD47" s="29"/>
      <c r="BSE47" s="28"/>
      <c r="BSF47" s="29"/>
      <c r="BSG47" s="29"/>
      <c r="BSH47" s="29"/>
      <c r="BSI47" s="29"/>
      <c r="BSJ47" s="29"/>
      <c r="BSK47" s="28"/>
      <c r="BSL47" s="29"/>
      <c r="BSM47" s="29"/>
      <c r="BSN47" s="28"/>
      <c r="BSO47" s="29"/>
      <c r="BSP47" s="30"/>
      <c r="BSQ47" s="28"/>
      <c r="BSR47" s="29"/>
      <c r="BSS47" s="29"/>
      <c r="BST47" s="29"/>
      <c r="BSU47" s="28"/>
      <c r="BSV47" s="29"/>
      <c r="BSW47" s="29"/>
      <c r="BSX47" s="28"/>
      <c r="BSY47" s="29"/>
      <c r="BSZ47" s="30"/>
      <c r="BTA47" s="28"/>
      <c r="BTB47" s="29"/>
      <c r="BTC47" s="29"/>
      <c r="BTD47" s="29"/>
      <c r="BTE47" s="28"/>
      <c r="BTF47" s="29"/>
      <c r="BTG47" s="29"/>
      <c r="BTH47" s="29"/>
      <c r="BTI47" s="29"/>
      <c r="BTJ47" s="29"/>
      <c r="BTK47" s="28"/>
      <c r="BTL47" s="29"/>
      <c r="BTM47" s="29"/>
      <c r="BTN47" s="28"/>
      <c r="BTO47" s="29"/>
      <c r="BTP47" s="30"/>
      <c r="BTQ47" s="28"/>
      <c r="BTR47" s="29"/>
      <c r="BTS47" s="29"/>
      <c r="BTT47" s="29"/>
      <c r="BTU47" s="28"/>
      <c r="BTV47" s="29"/>
      <c r="BTW47" s="29"/>
      <c r="BTX47" s="28"/>
      <c r="BTY47" s="29"/>
      <c r="BTZ47" s="30"/>
      <c r="BUA47" s="28"/>
      <c r="BUB47" s="29"/>
      <c r="BUC47" s="29"/>
      <c r="BUD47" s="29"/>
      <c r="BUE47" s="28"/>
      <c r="BUF47" s="29"/>
      <c r="BUG47" s="29"/>
      <c r="BUH47" s="29"/>
      <c r="BUI47" s="29"/>
      <c r="BUJ47" s="29"/>
      <c r="BUK47" s="28"/>
      <c r="BUL47" s="29"/>
      <c r="BUM47" s="29"/>
      <c r="BUN47" s="28"/>
      <c r="BUO47" s="29"/>
      <c r="BUP47" s="30"/>
      <c r="BUQ47" s="28"/>
      <c r="BUR47" s="29"/>
      <c r="BUS47" s="29"/>
      <c r="BUT47" s="29"/>
      <c r="BUU47" s="28"/>
      <c r="BUV47" s="29"/>
      <c r="BUW47" s="29"/>
      <c r="BUX47" s="28"/>
      <c r="BUY47" s="29"/>
      <c r="BUZ47" s="30"/>
      <c r="BVA47" s="28"/>
      <c r="BVB47" s="29"/>
      <c r="BVC47" s="29"/>
      <c r="BVD47" s="29"/>
      <c r="BVE47" s="28"/>
      <c r="BVF47" s="29"/>
      <c r="BVG47" s="29"/>
      <c r="BVH47" s="29"/>
      <c r="BVI47" s="29"/>
      <c r="BVJ47" s="29"/>
      <c r="BVK47" s="28"/>
      <c r="BVL47" s="29"/>
      <c r="BVM47" s="29"/>
      <c r="BVN47" s="28"/>
      <c r="BVO47" s="29"/>
      <c r="BVP47" s="30"/>
      <c r="BVQ47" s="28"/>
      <c r="BVR47" s="29"/>
      <c r="BVS47" s="29"/>
      <c r="BVT47" s="29"/>
      <c r="BVU47" s="28"/>
      <c r="BVV47" s="29"/>
      <c r="BVW47" s="29"/>
      <c r="BVX47" s="28"/>
      <c r="BVY47" s="29"/>
      <c r="BVZ47" s="30"/>
      <c r="BWA47" s="28"/>
      <c r="BWB47" s="29"/>
      <c r="BWC47" s="29"/>
      <c r="BWD47" s="29"/>
      <c r="BWE47" s="28"/>
      <c r="BWF47" s="29"/>
      <c r="BWG47" s="29"/>
      <c r="BWH47" s="29"/>
      <c r="BWI47" s="29"/>
      <c r="BWJ47" s="29"/>
      <c r="BWK47" s="28"/>
      <c r="BWL47" s="29"/>
      <c r="BWM47" s="29"/>
      <c r="BWN47" s="28"/>
      <c r="BWO47" s="29"/>
      <c r="BWP47" s="30"/>
      <c r="BWQ47" s="28"/>
      <c r="BWR47" s="29"/>
      <c r="BWS47" s="29"/>
      <c r="BWT47" s="29"/>
      <c r="BWU47" s="28"/>
      <c r="BWV47" s="29"/>
      <c r="BWW47" s="29"/>
      <c r="BWX47" s="28"/>
      <c r="BWY47" s="29"/>
      <c r="BWZ47" s="30"/>
      <c r="BXA47" s="28"/>
      <c r="BXB47" s="29"/>
      <c r="BXC47" s="29"/>
      <c r="BXD47" s="29"/>
      <c r="BXE47" s="28"/>
      <c r="BXF47" s="29"/>
      <c r="BXG47" s="29"/>
      <c r="BXH47" s="29"/>
      <c r="BXI47" s="29"/>
      <c r="BXJ47" s="29"/>
      <c r="BXK47" s="28"/>
      <c r="BXL47" s="29"/>
      <c r="BXM47" s="29"/>
      <c r="BXN47" s="28"/>
      <c r="BXO47" s="29"/>
      <c r="BXP47" s="30"/>
      <c r="BXQ47" s="28"/>
      <c r="BXR47" s="29"/>
      <c r="BXS47" s="29"/>
      <c r="BXT47" s="29"/>
      <c r="BXU47" s="28"/>
      <c r="BXV47" s="29"/>
      <c r="BXW47" s="29"/>
      <c r="BXX47" s="28"/>
      <c r="BXY47" s="29"/>
      <c r="BXZ47" s="30"/>
      <c r="BYA47" s="28"/>
      <c r="BYB47" s="29"/>
      <c r="BYC47" s="29"/>
      <c r="BYD47" s="29"/>
      <c r="BYE47" s="28"/>
      <c r="BYF47" s="29"/>
      <c r="BYG47" s="29"/>
      <c r="BYH47" s="29"/>
      <c r="BYI47" s="29"/>
      <c r="BYJ47" s="29"/>
      <c r="BYK47" s="28"/>
      <c r="BYL47" s="29"/>
      <c r="BYM47" s="29"/>
      <c r="BYN47" s="28"/>
      <c r="BYO47" s="29"/>
      <c r="BYP47" s="30"/>
      <c r="BYQ47" s="28"/>
      <c r="BYR47" s="29"/>
      <c r="BYS47" s="29"/>
      <c r="BYT47" s="29"/>
      <c r="BYU47" s="28"/>
      <c r="BYV47" s="29"/>
      <c r="BYW47" s="29"/>
      <c r="BYX47" s="30"/>
      <c r="BYY47" s="29"/>
      <c r="BYZ47" s="28"/>
      <c r="BZA47" s="29"/>
      <c r="BZB47" s="28"/>
      <c r="BZC47" s="28"/>
      <c r="BZD47" s="28"/>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30"/>
      <c r="CAQ47" s="28"/>
      <c r="CAR47" s="29"/>
      <c r="CAS47" s="29"/>
      <c r="CAT47" s="29"/>
      <c r="CAU47" s="29"/>
      <c r="CAV47" s="29"/>
      <c r="CAW47" s="28"/>
      <c r="CAX47" s="29"/>
      <c r="CAY47" s="29"/>
      <c r="CAZ47" s="28"/>
      <c r="CBA47" s="29"/>
      <c r="CBB47" s="30"/>
      <c r="CBC47" s="28"/>
      <c r="CBD47" s="29"/>
      <c r="CBE47" s="29"/>
      <c r="CBF47" s="29"/>
      <c r="CBG47" s="28"/>
      <c r="CBH47" s="29"/>
      <c r="CBI47" s="29"/>
      <c r="CBJ47" s="28"/>
      <c r="CBK47" s="29"/>
      <c r="CBL47" s="30"/>
      <c r="CBM47" s="28"/>
      <c r="CBN47" s="29"/>
      <c r="CBO47" s="29"/>
      <c r="CBP47" s="29"/>
      <c r="CBQ47" s="28"/>
      <c r="CBR47" s="29"/>
      <c r="CBS47" s="29"/>
      <c r="CBT47" s="28"/>
      <c r="CBU47" s="29"/>
      <c r="CBV47" s="30"/>
      <c r="CBW47" s="28"/>
      <c r="CBX47" s="29"/>
      <c r="CBY47" s="29"/>
      <c r="CBZ47" s="29"/>
      <c r="CCA47" s="28"/>
      <c r="CCB47" s="29"/>
      <c r="CCC47" s="29"/>
      <c r="CCD47" s="28"/>
      <c r="CCE47" s="29"/>
      <c r="CCF47" s="30"/>
      <c r="CCG47" s="28"/>
      <c r="CCH47" s="30"/>
      <c r="CCI47" s="29"/>
      <c r="CCJ47" s="28"/>
      <c r="CCK47" s="29"/>
      <c r="CCL47" s="28"/>
      <c r="CCM47" s="28"/>
      <c r="CCN47" s="28"/>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30"/>
      <c r="CEA47" s="28"/>
      <c r="CEB47" s="29"/>
      <c r="CEC47" s="29"/>
      <c r="CED47" s="29"/>
      <c r="CEE47" s="29"/>
      <c r="CEF47" s="29"/>
      <c r="CEG47" s="28"/>
      <c r="CEH47" s="29"/>
      <c r="CEI47" s="29"/>
      <c r="CEJ47" s="28"/>
      <c r="CEK47" s="29"/>
      <c r="CEL47" s="30"/>
      <c r="CEM47" s="28"/>
      <c r="CEN47" s="29"/>
      <c r="CEO47" s="29"/>
      <c r="CEP47" s="29"/>
      <c r="CEQ47" s="28"/>
      <c r="CER47" s="29"/>
      <c r="CES47" s="29"/>
      <c r="CET47" s="28"/>
      <c r="CEU47" s="29"/>
      <c r="CEV47" s="30"/>
      <c r="CEW47" s="28"/>
      <c r="CEX47" s="29"/>
      <c r="CEY47" s="29"/>
      <c r="CEZ47" s="29"/>
      <c r="CFA47" s="28"/>
      <c r="CFB47" s="29"/>
      <c r="CFC47" s="29"/>
      <c r="CFD47" s="28"/>
      <c r="CFE47" s="29"/>
      <c r="CFF47" s="30"/>
      <c r="CFG47" s="28"/>
      <c r="CFH47" s="29"/>
      <c r="CFI47" s="29"/>
      <c r="CFJ47" s="29"/>
      <c r="CFK47" s="28"/>
      <c r="CFL47" s="29"/>
      <c r="CFM47" s="29"/>
      <c r="CFN47" s="28"/>
      <c r="CFO47" s="29"/>
      <c r="CFP47" s="30"/>
      <c r="CFQ47" s="28"/>
      <c r="CFR47" s="30"/>
      <c r="CFS47" s="29"/>
      <c r="CFT47" s="28"/>
      <c r="CFU47" s="29"/>
      <c r="CFV47" s="28"/>
      <c r="CFW47" s="28"/>
      <c r="CFX47" s="28"/>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30"/>
      <c r="CHK47" s="28"/>
      <c r="CHL47" s="29"/>
      <c r="CHM47" s="29"/>
      <c r="CHN47" s="29"/>
      <c r="CHO47" s="29"/>
      <c r="CHP47" s="29"/>
      <c r="CHQ47" s="28"/>
      <c r="CHR47" s="29"/>
      <c r="CHS47" s="29"/>
      <c r="CHT47" s="28"/>
      <c r="CHU47" s="29"/>
      <c r="CHV47" s="30"/>
      <c r="CHW47" s="28"/>
      <c r="CHX47" s="29"/>
      <c r="CHY47" s="29"/>
      <c r="CHZ47" s="29"/>
      <c r="CIA47" s="28"/>
      <c r="CIB47" s="29"/>
      <c r="CIC47" s="29"/>
      <c r="CID47" s="28"/>
      <c r="CIE47" s="29"/>
      <c r="CIF47" s="30"/>
      <c r="CIG47" s="28"/>
      <c r="CIH47" s="29"/>
      <c r="CII47" s="29"/>
      <c r="CIJ47" s="29"/>
      <c r="CIK47" s="28"/>
      <c r="CIL47" s="29"/>
      <c r="CIM47" s="29"/>
      <c r="CIN47" s="28"/>
      <c r="CIO47" s="29"/>
      <c r="CIP47" s="30"/>
      <c r="CIQ47" s="28"/>
      <c r="CIR47" s="29"/>
      <c r="CIS47" s="29"/>
      <c r="CIT47" s="29"/>
      <c r="CIU47" s="28"/>
      <c r="CIV47" s="29"/>
      <c r="CIW47" s="29"/>
      <c r="CIX47" s="28"/>
      <c r="CIY47" s="29"/>
      <c r="CIZ47" s="30"/>
      <c r="CJA47" s="28"/>
      <c r="CJB47" s="30"/>
      <c r="CJC47" s="29"/>
      <c r="CJD47" s="28"/>
      <c r="CJE47" s="29"/>
      <c r="CJF47" s="28"/>
      <c r="CJG47" s="28"/>
      <c r="CJH47" s="28"/>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30"/>
      <c r="CKU47" s="28"/>
      <c r="CKV47" s="29"/>
      <c r="CKW47" s="29"/>
      <c r="CKX47" s="29"/>
      <c r="CKY47" s="29"/>
      <c r="CKZ47" s="29"/>
      <c r="CLA47" s="28"/>
      <c r="CLB47" s="29"/>
      <c r="CLC47" s="29"/>
      <c r="CLD47" s="28"/>
      <c r="CLE47" s="29"/>
      <c r="CLF47" s="30"/>
      <c r="CLG47" s="28"/>
      <c r="CLH47" s="29"/>
      <c r="CLI47" s="29"/>
      <c r="CLJ47" s="29"/>
      <c r="CLK47" s="28"/>
      <c r="CLL47" s="29"/>
      <c r="CLM47" s="29"/>
      <c r="CLN47" s="28"/>
      <c r="CLO47" s="29"/>
      <c r="CLP47" s="30"/>
      <c r="CLQ47" s="28"/>
      <c r="CLR47" s="29"/>
      <c r="CLS47" s="29"/>
      <c r="CLT47" s="29"/>
      <c r="CLU47" s="28"/>
      <c r="CLV47" s="29"/>
      <c r="CLW47" s="29"/>
      <c r="CLX47" s="28"/>
      <c r="CLY47" s="29"/>
      <c r="CLZ47" s="30"/>
      <c r="CMA47" s="28"/>
      <c r="CMB47" s="29"/>
      <c r="CMC47" s="29"/>
      <c r="CMD47" s="29"/>
      <c r="CME47" s="28"/>
      <c r="CMF47" s="29"/>
      <c r="CMG47" s="29"/>
      <c r="CMH47" s="28"/>
      <c r="CMI47" s="29"/>
      <c r="CMJ47" s="30"/>
      <c r="CMK47" s="28"/>
      <c r="CML47" s="30"/>
      <c r="CMM47" s="29"/>
      <c r="CMN47" s="28"/>
      <c r="CMO47" s="29"/>
      <c r="CMP47" s="28"/>
      <c r="CMQ47" s="28"/>
      <c r="CMR47" s="28"/>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30"/>
      <c r="COE47" s="28"/>
      <c r="COF47" s="29"/>
      <c r="COG47" s="29"/>
      <c r="COH47" s="29"/>
      <c r="COI47" s="29"/>
      <c r="COJ47" s="29"/>
      <c r="COK47" s="28"/>
      <c r="COL47" s="29"/>
      <c r="COM47" s="29"/>
      <c r="CON47" s="28"/>
      <c r="COO47" s="29"/>
      <c r="COP47" s="30"/>
      <c r="COQ47" s="28"/>
      <c r="COR47" s="29"/>
      <c r="COS47" s="29"/>
      <c r="COT47" s="29"/>
      <c r="COU47" s="28"/>
      <c r="COV47" s="29"/>
      <c r="COW47" s="29"/>
      <c r="COX47" s="28"/>
      <c r="COY47" s="29"/>
      <c r="COZ47" s="30"/>
      <c r="CPA47" s="28"/>
      <c r="CPB47" s="29"/>
      <c r="CPC47" s="29"/>
      <c r="CPD47" s="29"/>
      <c r="CPE47" s="28"/>
      <c r="CPF47" s="29"/>
      <c r="CPG47" s="29"/>
      <c r="CPH47" s="28"/>
      <c r="CPI47" s="29"/>
      <c r="CPJ47" s="30"/>
      <c r="CPK47" s="28"/>
      <c r="CPL47" s="29"/>
      <c r="CPM47" s="29"/>
      <c r="CPN47" s="29"/>
      <c r="CPO47" s="28"/>
      <c r="CPP47" s="29"/>
      <c r="CPQ47" s="29"/>
      <c r="CPR47" s="28"/>
      <c r="CPS47" s="29"/>
      <c r="CPT47" s="30"/>
      <c r="CPU47" s="28"/>
      <c r="CPV47" s="30"/>
      <c r="CPW47" s="29"/>
      <c r="CPX47" s="28"/>
      <c r="CPY47" s="29"/>
      <c r="CPZ47" s="28"/>
      <c r="CQA47" s="28"/>
      <c r="CQB47" s="28"/>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30"/>
      <c r="CRO47" s="28"/>
      <c r="CRP47" s="29"/>
      <c r="CRQ47" s="29"/>
      <c r="CRR47" s="29"/>
      <c r="CRS47" s="29"/>
      <c r="CRT47" s="29"/>
      <c r="CRU47" s="28"/>
      <c r="CRV47" s="29"/>
      <c r="CRW47" s="29"/>
      <c r="CRX47" s="28"/>
      <c r="CRY47" s="29"/>
      <c r="CRZ47" s="30"/>
      <c r="CSA47" s="28"/>
      <c r="CSB47" s="29"/>
      <c r="CSC47" s="29"/>
      <c r="CSD47" s="29"/>
      <c r="CSE47" s="28"/>
      <c r="CSF47" s="29"/>
      <c r="CSG47" s="29"/>
      <c r="CSH47" s="28"/>
      <c r="CSI47" s="29"/>
      <c r="CSJ47" s="30"/>
      <c r="CSK47" s="28"/>
      <c r="CSL47" s="29"/>
      <c r="CSM47" s="29"/>
      <c r="CSN47" s="29"/>
      <c r="CSO47" s="28"/>
      <c r="CSP47" s="29"/>
      <c r="CSQ47" s="29"/>
      <c r="CSR47" s="28"/>
      <c r="CSS47" s="29"/>
      <c r="CST47" s="30"/>
      <c r="CSU47" s="28"/>
      <c r="CSV47" s="29"/>
      <c r="CSW47" s="29"/>
      <c r="CSX47" s="29"/>
      <c r="CSY47" s="28"/>
      <c r="CSZ47" s="29"/>
      <c r="CTA47" s="29"/>
      <c r="CTB47" s="28"/>
      <c r="CTC47" s="29"/>
      <c r="CTD47" s="30"/>
      <c r="CTE47" s="28"/>
      <c r="CTF47" s="30"/>
      <c r="CTG47" s="29"/>
      <c r="CTH47" s="28"/>
      <c r="CTI47" s="29"/>
      <c r="CTJ47" s="28"/>
      <c r="CTK47" s="28"/>
      <c r="CTL47" s="28"/>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30"/>
      <c r="CUY47" s="28"/>
      <c r="CUZ47" s="29"/>
      <c r="CVA47" s="29"/>
      <c r="CVB47" s="29"/>
      <c r="CVC47" s="29"/>
      <c r="CVD47" s="29"/>
      <c r="CVE47" s="28"/>
      <c r="CVF47" s="29"/>
      <c r="CVG47" s="29"/>
      <c r="CVH47" s="28"/>
      <c r="CVI47" s="29"/>
      <c r="CVJ47" s="30"/>
      <c r="CVK47" s="28"/>
      <c r="CVL47" s="29"/>
      <c r="CVM47" s="29"/>
      <c r="CVN47" s="29"/>
      <c r="CVO47" s="28"/>
      <c r="CVP47" s="29"/>
      <c r="CVQ47" s="29"/>
      <c r="CVR47" s="28"/>
      <c r="CVS47" s="29"/>
      <c r="CVT47" s="30"/>
      <c r="CVU47" s="28"/>
      <c r="CVV47" s="29"/>
      <c r="CVW47" s="29"/>
      <c r="CVX47" s="29"/>
      <c r="CVY47" s="28"/>
      <c r="CVZ47" s="29"/>
      <c r="CWA47" s="29"/>
      <c r="CWB47" s="28"/>
      <c r="CWC47" s="29"/>
      <c r="CWD47" s="30"/>
      <c r="CWE47" s="28"/>
      <c r="CWF47" s="29"/>
      <c r="CWG47" s="29"/>
      <c r="CWH47" s="29"/>
      <c r="CWI47" s="28"/>
      <c r="CWJ47" s="29"/>
      <c r="CWK47" s="29"/>
      <c r="CWL47" s="28"/>
      <c r="CWM47" s="29"/>
      <c r="CWN47" s="30"/>
      <c r="CWO47" s="28"/>
      <c r="CWP47" s="30"/>
      <c r="CWQ47" s="29"/>
      <c r="CWR47" s="28"/>
      <c r="CWS47" s="29"/>
      <c r="CWT47" s="28"/>
      <c r="CWU47" s="28"/>
      <c r="CWV47" s="28"/>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30"/>
      <c r="CYI47" s="28"/>
      <c r="CYJ47" s="29"/>
      <c r="CYK47" s="29"/>
      <c r="CYL47" s="29"/>
      <c r="CYM47" s="29"/>
      <c r="CYN47" s="29"/>
      <c r="CYO47" s="28"/>
      <c r="CYP47" s="29"/>
      <c r="CYQ47" s="29"/>
      <c r="CYR47" s="28"/>
      <c r="CYS47" s="29"/>
      <c r="CYT47" s="30"/>
      <c r="CYU47" s="28"/>
      <c r="CYV47" s="29"/>
      <c r="CYW47" s="29"/>
      <c r="CYX47" s="29"/>
      <c r="CYY47" s="28"/>
      <c r="CYZ47" s="29"/>
      <c r="CZA47" s="29"/>
      <c r="CZB47" s="28"/>
      <c r="CZC47" s="29"/>
      <c r="CZD47" s="30"/>
      <c r="CZE47" s="28"/>
      <c r="CZF47" s="29"/>
      <c r="CZG47" s="29"/>
      <c r="CZH47" s="29"/>
      <c r="CZI47" s="28"/>
      <c r="CZJ47" s="29"/>
      <c r="CZK47" s="29"/>
      <c r="CZL47" s="28"/>
      <c r="CZM47" s="29"/>
      <c r="CZN47" s="30"/>
      <c r="CZO47" s="28"/>
      <c r="CZP47" s="29"/>
      <c r="CZQ47" s="29"/>
      <c r="CZR47" s="29"/>
      <c r="CZS47" s="28"/>
      <c r="CZT47" s="29"/>
      <c r="CZU47" s="29"/>
      <c r="CZV47" s="28"/>
      <c r="CZW47" s="29"/>
      <c r="CZX47" s="30"/>
      <c r="CZY47" s="28"/>
      <c r="CZZ47" s="30"/>
      <c r="DAA47" s="29"/>
      <c r="DAB47" s="28"/>
      <c r="DAC47" s="29"/>
      <c r="DAD47" s="28"/>
      <c r="DAE47" s="28"/>
      <c r="DAF47" s="28"/>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30"/>
      <c r="DBS47" s="28"/>
      <c r="DBT47" s="29"/>
      <c r="DBU47" s="29"/>
      <c r="DBV47" s="29"/>
      <c r="DBW47" s="29"/>
      <c r="DBX47" s="29"/>
      <c r="DBY47" s="28"/>
      <c r="DBZ47" s="29"/>
      <c r="DCA47" s="29"/>
      <c r="DCB47" s="28"/>
      <c r="DCC47" s="29"/>
      <c r="DCD47" s="30"/>
      <c r="DCE47" s="28"/>
      <c r="DCF47" s="29"/>
      <c r="DCG47" s="29"/>
      <c r="DCH47" s="29"/>
      <c r="DCI47" s="28"/>
      <c r="DCJ47" s="29"/>
      <c r="DCK47" s="29"/>
      <c r="DCL47" s="28"/>
      <c r="DCM47" s="29"/>
      <c r="DCN47" s="30"/>
      <c r="DCO47" s="28"/>
      <c r="DCP47" s="29"/>
      <c r="DCQ47" s="29"/>
      <c r="DCR47" s="29"/>
      <c r="DCS47" s="28"/>
      <c r="DCT47" s="29"/>
      <c r="DCU47" s="29"/>
      <c r="DCV47" s="28"/>
      <c r="DCW47" s="29"/>
      <c r="DCX47" s="30"/>
      <c r="DCY47" s="28"/>
      <c r="DCZ47" s="29"/>
      <c r="DDA47" s="29"/>
      <c r="DDB47" s="29"/>
      <c r="DDC47" s="28"/>
      <c r="DDD47" s="29"/>
      <c r="DDE47" s="29"/>
      <c r="DDF47" s="28"/>
      <c r="DDG47" s="29"/>
      <c r="DDH47" s="30"/>
      <c r="DDI47" s="28"/>
      <c r="DDJ47" s="30"/>
      <c r="DDK47" s="29"/>
      <c r="DDL47" s="28"/>
      <c r="DDM47" s="29"/>
      <c r="DDN47" s="28"/>
      <c r="DDO47" s="28"/>
      <c r="DDP47" s="28"/>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30"/>
      <c r="DFC47" s="28"/>
      <c r="DFD47" s="29"/>
      <c r="DFE47" s="29"/>
      <c r="DFF47" s="29"/>
      <c r="DFG47" s="29"/>
      <c r="DFH47" s="29"/>
      <c r="DFI47" s="28"/>
      <c r="DFJ47" s="29"/>
      <c r="DFK47" s="29"/>
      <c r="DFL47" s="28"/>
      <c r="DFM47" s="29"/>
      <c r="DFN47" s="30"/>
      <c r="DFO47" s="28"/>
      <c r="DFP47" s="29"/>
      <c r="DFQ47" s="29"/>
      <c r="DFR47" s="29"/>
      <c r="DFS47" s="28"/>
      <c r="DFT47" s="29"/>
      <c r="DFU47" s="29"/>
      <c r="DFV47" s="28"/>
      <c r="DFW47" s="29"/>
      <c r="DFX47" s="30"/>
      <c r="DFY47" s="28"/>
      <c r="DFZ47" s="29"/>
      <c r="DGA47" s="29"/>
      <c r="DGB47" s="29"/>
      <c r="DGC47" s="28"/>
      <c r="DGD47" s="29"/>
      <c r="DGE47" s="29"/>
      <c r="DGF47" s="28"/>
      <c r="DGG47" s="29"/>
      <c r="DGH47" s="30"/>
      <c r="DGI47" s="28"/>
      <c r="DGJ47" s="29"/>
      <c r="DGK47" s="29"/>
      <c r="DGL47" s="29"/>
      <c r="DGM47" s="28"/>
      <c r="DGN47" s="29"/>
      <c r="DGO47" s="29"/>
      <c r="DGP47" s="28"/>
      <c r="DGQ47" s="29"/>
      <c r="DGR47" s="30"/>
      <c r="DGS47" s="28"/>
      <c r="DGT47" s="30"/>
      <c r="DGU47" s="29"/>
      <c r="DGV47" s="28"/>
      <c r="DGW47" s="29"/>
      <c r="DGX47" s="28"/>
      <c r="DGY47" s="28"/>
      <c r="DGZ47" s="28"/>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30"/>
      <c r="DIM47" s="28"/>
      <c r="DIN47" s="29"/>
      <c r="DIO47" s="29"/>
      <c r="DIP47" s="29"/>
      <c r="DIQ47" s="29"/>
      <c r="DIR47" s="29"/>
      <c r="DIS47" s="28"/>
      <c r="DIT47" s="29"/>
      <c r="DIU47" s="29"/>
      <c r="DIV47" s="28"/>
      <c r="DIW47" s="29"/>
      <c r="DIX47" s="30"/>
      <c r="DIY47" s="28"/>
      <c r="DIZ47" s="29"/>
      <c r="DJA47" s="29"/>
      <c r="DJB47" s="29"/>
      <c r="DJC47" s="28"/>
      <c r="DJD47" s="29"/>
      <c r="DJE47" s="29"/>
      <c r="DJF47" s="28"/>
      <c r="DJG47" s="29"/>
      <c r="DJH47" s="30"/>
      <c r="DJI47" s="28"/>
      <c r="DJJ47" s="29"/>
      <c r="DJK47" s="29"/>
      <c r="DJL47" s="29"/>
      <c r="DJM47" s="28"/>
      <c r="DJN47" s="29"/>
      <c r="DJO47" s="29"/>
      <c r="DJP47" s="28"/>
      <c r="DJQ47" s="29"/>
      <c r="DJR47" s="30"/>
      <c r="DJS47" s="28"/>
      <c r="DJT47" s="29"/>
      <c r="DJU47" s="29"/>
      <c r="DJV47" s="29"/>
      <c r="DJW47" s="28"/>
      <c r="DJX47" s="29"/>
      <c r="DJY47" s="29"/>
      <c r="DJZ47" s="28"/>
      <c r="DKA47" s="29"/>
      <c r="DKB47" s="30"/>
      <c r="DKC47" s="28"/>
      <c r="DKD47" s="30"/>
      <c r="DKE47" s="29"/>
      <c r="DKF47" s="28"/>
      <c r="DKG47" s="29"/>
      <c r="DKH47" s="28"/>
      <c r="DKI47" s="28"/>
      <c r="DKJ47" s="28"/>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30"/>
      <c r="DLW47" s="28"/>
      <c r="DLX47" s="29"/>
      <c r="DLY47" s="29"/>
      <c r="DLZ47" s="29"/>
      <c r="DMA47" s="29"/>
      <c r="DMB47" s="29"/>
      <c r="DMC47" s="28"/>
      <c r="DMD47" s="29"/>
      <c r="DME47" s="29"/>
      <c r="DMF47" s="28"/>
      <c r="DMG47" s="29"/>
      <c r="DMH47" s="30"/>
      <c r="DMI47" s="28"/>
      <c r="DMJ47" s="29"/>
      <c r="DMK47" s="29"/>
      <c r="DML47" s="29"/>
      <c r="DMM47" s="28"/>
      <c r="DMN47" s="29"/>
      <c r="DMO47" s="29"/>
      <c r="DMP47" s="28"/>
      <c r="DMQ47" s="29"/>
      <c r="DMR47" s="30"/>
      <c r="DMS47" s="28"/>
      <c r="DMT47" s="29"/>
      <c r="DMU47" s="29"/>
      <c r="DMV47" s="29"/>
      <c r="DMW47" s="28"/>
      <c r="DMX47" s="29"/>
      <c r="DMY47" s="29"/>
      <c r="DMZ47" s="28"/>
      <c r="DNA47" s="29"/>
      <c r="DNB47" s="30"/>
      <c r="DNC47" s="28"/>
      <c r="DND47" s="29"/>
      <c r="DNE47" s="29"/>
      <c r="DNF47" s="29"/>
      <c r="DNG47" s="28"/>
      <c r="DNH47" s="29"/>
      <c r="DNI47" s="29"/>
      <c r="DNJ47" s="28"/>
      <c r="DNK47" s="29"/>
      <c r="DNL47" s="30"/>
      <c r="DNM47" s="28"/>
      <c r="DNN47" s="30"/>
      <c r="DNO47" s="29"/>
      <c r="DNP47" s="28"/>
      <c r="DNQ47" s="29"/>
      <c r="DNR47" s="28"/>
      <c r="DNS47" s="28"/>
      <c r="DNT47" s="28"/>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30"/>
      <c r="DPG47" s="28"/>
      <c r="DPH47" s="29"/>
      <c r="DPI47" s="29"/>
      <c r="DPJ47" s="29"/>
      <c r="DPK47" s="29"/>
      <c r="DPL47" s="29"/>
      <c r="DPM47" s="28"/>
      <c r="DPN47" s="29"/>
      <c r="DPO47" s="29"/>
      <c r="DPP47" s="28"/>
      <c r="DPQ47" s="29"/>
      <c r="DPR47" s="30"/>
      <c r="DPS47" s="28"/>
      <c r="DPT47" s="29"/>
      <c r="DPU47" s="29"/>
      <c r="DPV47" s="29"/>
      <c r="DPW47" s="28"/>
      <c r="DPX47" s="29"/>
      <c r="DPY47" s="29"/>
      <c r="DPZ47" s="28"/>
      <c r="DQA47" s="29"/>
      <c r="DQB47" s="30"/>
      <c r="DQC47" s="28"/>
      <c r="DQD47" s="29"/>
      <c r="DQE47" s="29"/>
      <c r="DQF47" s="29"/>
      <c r="DQG47" s="28"/>
      <c r="DQH47" s="29"/>
      <c r="DQI47" s="29"/>
      <c r="DQJ47" s="28"/>
      <c r="DQK47" s="29"/>
      <c r="DQL47" s="30"/>
      <c r="DQM47" s="28"/>
      <c r="DQN47" s="29"/>
      <c r="DQO47" s="29"/>
      <c r="DQP47" s="29"/>
      <c r="DQQ47" s="28"/>
      <c r="DQR47" s="29"/>
      <c r="DQS47" s="29"/>
      <c r="DQT47" s="28"/>
      <c r="DQU47" s="29"/>
      <c r="DQV47" s="30"/>
      <c r="DQW47" s="28"/>
      <c r="DQX47" s="30"/>
      <c r="DQY47" s="29"/>
      <c r="DQZ47" s="28"/>
      <c r="DRA47" s="29"/>
      <c r="DRB47" s="28"/>
      <c r="DRC47" s="28"/>
      <c r="DRD47" s="28"/>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30"/>
      <c r="DSQ47" s="28"/>
      <c r="DSR47" s="29"/>
      <c r="DSS47" s="29"/>
      <c r="DST47" s="29"/>
      <c r="DSU47" s="29"/>
      <c r="DSV47" s="29"/>
      <c r="DSW47" s="28"/>
      <c r="DSX47" s="29"/>
      <c r="DSY47" s="29"/>
      <c r="DSZ47" s="28"/>
      <c r="DTA47" s="29"/>
      <c r="DTB47" s="30"/>
      <c r="DTC47" s="28"/>
      <c r="DTD47" s="29"/>
      <c r="DTE47" s="29"/>
      <c r="DTF47" s="29"/>
      <c r="DTG47" s="28"/>
      <c r="DTH47" s="29"/>
      <c r="DTI47" s="29"/>
      <c r="DTJ47" s="28"/>
      <c r="DTK47" s="29"/>
      <c r="DTL47" s="30"/>
      <c r="DTM47" s="28"/>
      <c r="DTN47" s="29"/>
      <c r="DTO47" s="29"/>
      <c r="DTP47" s="29"/>
      <c r="DTQ47" s="28"/>
      <c r="DTR47" s="29"/>
      <c r="DTS47" s="29"/>
      <c r="DTT47" s="28"/>
      <c r="DTU47" s="29"/>
      <c r="DTV47" s="30"/>
      <c r="DTW47" s="28"/>
      <c r="DTX47" s="29"/>
      <c r="DTY47" s="29"/>
      <c r="DTZ47" s="29"/>
      <c r="DUA47" s="28"/>
      <c r="DUB47" s="29"/>
      <c r="DUC47" s="29"/>
      <c r="DUD47" s="28"/>
      <c r="DUE47" s="29"/>
      <c r="DUF47" s="30"/>
      <c r="DUG47" s="28"/>
      <c r="DUH47" s="30"/>
      <c r="DUI47" s="29"/>
      <c r="DUJ47" s="28"/>
      <c r="DUK47" s="29"/>
      <c r="DUL47" s="28"/>
      <c r="DUM47" s="28"/>
      <c r="DUN47" s="28"/>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30"/>
      <c r="DWA47" s="28"/>
      <c r="DWB47" s="29"/>
      <c r="DWC47" s="29"/>
      <c r="DWD47" s="29"/>
      <c r="DWE47" s="29"/>
      <c r="DWF47" s="29"/>
      <c r="DWG47" s="28"/>
      <c r="DWH47" s="29"/>
      <c r="DWI47" s="29"/>
      <c r="DWJ47" s="28"/>
      <c r="DWK47" s="29"/>
      <c r="DWL47" s="30"/>
      <c r="DWM47" s="28"/>
      <c r="DWN47" s="29"/>
      <c r="DWO47" s="29"/>
      <c r="DWP47" s="29"/>
      <c r="DWQ47" s="28"/>
      <c r="DWR47" s="29"/>
      <c r="DWS47" s="29"/>
      <c r="DWT47" s="28"/>
      <c r="DWU47" s="29"/>
      <c r="DWV47" s="30"/>
      <c r="DWW47" s="28"/>
      <c r="DWX47" s="29"/>
      <c r="DWY47" s="29"/>
      <c r="DWZ47" s="29"/>
      <c r="DXA47" s="28"/>
      <c r="DXB47" s="29"/>
      <c r="DXC47" s="29"/>
      <c r="DXD47" s="28"/>
      <c r="DXE47" s="29"/>
      <c r="DXF47" s="30"/>
      <c r="DXG47" s="28"/>
      <c r="DXH47" s="29"/>
      <c r="DXI47" s="29"/>
      <c r="DXJ47" s="29"/>
      <c r="DXK47" s="28"/>
      <c r="DXL47" s="29"/>
      <c r="DXM47" s="29"/>
      <c r="DXN47" s="28"/>
      <c r="DXO47" s="29"/>
      <c r="DXP47" s="30"/>
      <c r="DXQ47" s="28"/>
      <c r="DXR47" s="30"/>
      <c r="DXS47" s="29"/>
      <c r="DXT47" s="28"/>
      <c r="DXU47" s="29"/>
      <c r="DXV47" s="28"/>
      <c r="DXW47" s="28"/>
      <c r="DXX47" s="28"/>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30"/>
      <c r="DZK47" s="28"/>
      <c r="DZL47" s="29"/>
      <c r="DZM47" s="29"/>
      <c r="DZN47" s="29"/>
      <c r="DZO47" s="29"/>
      <c r="DZP47" s="29"/>
      <c r="DZQ47" s="28"/>
      <c r="DZR47" s="29"/>
      <c r="DZS47" s="29"/>
      <c r="DZT47" s="28"/>
      <c r="DZU47" s="29"/>
      <c r="DZV47" s="30"/>
      <c r="DZW47" s="28"/>
      <c r="DZX47" s="29"/>
      <c r="DZY47" s="29"/>
      <c r="DZZ47" s="29"/>
      <c r="EAA47" s="28"/>
      <c r="EAB47" s="29"/>
      <c r="EAC47" s="29"/>
      <c r="EAD47" s="28"/>
      <c r="EAE47" s="29"/>
      <c r="EAF47" s="30"/>
      <c r="EAG47" s="28"/>
      <c r="EAH47" s="29"/>
      <c r="EAI47" s="29"/>
      <c r="EAJ47" s="29"/>
      <c r="EAK47" s="28"/>
      <c r="EAL47" s="29"/>
      <c r="EAM47" s="29"/>
      <c r="EAN47" s="28"/>
      <c r="EAO47" s="29"/>
      <c r="EAP47" s="30"/>
      <c r="EAQ47" s="28"/>
      <c r="EAR47" s="29"/>
      <c r="EAS47" s="29"/>
      <c r="EAT47" s="29"/>
      <c r="EAU47" s="28"/>
      <c r="EAV47" s="29"/>
      <c r="EAW47" s="29"/>
      <c r="EAX47" s="28"/>
      <c r="EAY47" s="29"/>
      <c r="EAZ47" s="30"/>
      <c r="EBA47" s="28"/>
      <c r="EBB47" s="30"/>
      <c r="EBC47" s="29"/>
      <c r="EBD47" s="28"/>
      <c r="EBE47" s="29"/>
      <c r="EBF47" s="28"/>
      <c r="EBG47" s="28"/>
      <c r="EBH47" s="28"/>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30"/>
      <c r="ECU47" s="28"/>
      <c r="ECV47" s="29"/>
      <c r="ECW47" s="29"/>
      <c r="ECX47" s="29"/>
      <c r="ECY47" s="29"/>
      <c r="ECZ47" s="29"/>
      <c r="EDA47" s="28"/>
      <c r="EDB47" s="29"/>
      <c r="EDC47" s="29"/>
      <c r="EDD47" s="28"/>
      <c r="EDE47" s="29"/>
      <c r="EDF47" s="30"/>
      <c r="EDG47" s="28"/>
      <c r="EDH47" s="29"/>
      <c r="EDI47" s="29"/>
      <c r="EDJ47" s="29"/>
      <c r="EDK47" s="28"/>
      <c r="EDL47" s="29"/>
      <c r="EDM47" s="29"/>
      <c r="EDN47" s="28"/>
      <c r="EDO47" s="29"/>
      <c r="EDP47" s="30"/>
      <c r="EDQ47" s="28"/>
      <c r="EDR47" s="29"/>
      <c r="EDS47" s="29"/>
      <c r="EDT47" s="29"/>
      <c r="EDU47" s="28"/>
      <c r="EDV47" s="29"/>
      <c r="EDW47" s="29"/>
      <c r="EDX47" s="28"/>
      <c r="EDY47" s="29"/>
      <c r="EDZ47" s="30"/>
      <c r="EEA47" s="28"/>
      <c r="EEB47" s="29"/>
      <c r="EEC47" s="29"/>
      <c r="EED47" s="29"/>
      <c r="EEE47" s="28"/>
      <c r="EEF47" s="29"/>
      <c r="EEG47" s="29"/>
      <c r="EEH47" s="28"/>
      <c r="EEI47" s="29"/>
      <c r="EEJ47" s="30"/>
      <c r="EEK47" s="28"/>
      <c r="EEL47" s="30"/>
      <c r="EEM47" s="29"/>
      <c r="EEN47" s="28"/>
      <c r="EEO47" s="29"/>
      <c r="EEP47" s="28"/>
      <c r="EEQ47" s="28"/>
      <c r="EER47" s="28"/>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30"/>
      <c r="EGE47" s="28"/>
      <c r="EGF47" s="29"/>
      <c r="EGG47" s="29"/>
      <c r="EGH47" s="29"/>
      <c r="EGI47" s="29"/>
      <c r="EGJ47" s="29"/>
      <c r="EGK47" s="28"/>
      <c r="EGL47" s="29"/>
      <c r="EGM47" s="29"/>
      <c r="EGN47" s="28"/>
      <c r="EGO47" s="29"/>
      <c r="EGP47" s="30"/>
      <c r="EGQ47" s="28"/>
      <c r="EGR47" s="29"/>
      <c r="EGS47" s="29"/>
      <c r="EGT47" s="29"/>
      <c r="EGU47" s="28"/>
      <c r="EGV47" s="29"/>
      <c r="EGW47" s="29"/>
      <c r="EGX47" s="28"/>
      <c r="EGY47" s="29"/>
      <c r="EGZ47" s="30"/>
      <c r="EHA47" s="28"/>
      <c r="EHB47" s="29"/>
      <c r="EHC47" s="29"/>
      <c r="EHD47" s="29"/>
      <c r="EHE47" s="28"/>
      <c r="EHF47" s="29"/>
      <c r="EHG47" s="29"/>
      <c r="EHH47" s="28"/>
      <c r="EHI47" s="29"/>
      <c r="EHJ47" s="30"/>
      <c r="EHK47" s="28"/>
      <c r="EHL47" s="29"/>
      <c r="EHM47" s="29"/>
      <c r="EHN47" s="29"/>
      <c r="EHO47" s="28"/>
      <c r="EHP47" s="29"/>
      <c r="EHQ47" s="29"/>
      <c r="EHR47" s="28"/>
      <c r="EHS47" s="29"/>
      <c r="EHT47" s="30"/>
      <c r="EHU47" s="28"/>
      <c r="EHV47" s="30"/>
      <c r="EHW47" s="29"/>
      <c r="EHX47" s="28"/>
      <c r="EHY47" s="29"/>
      <c r="EHZ47" s="28"/>
      <c r="EIA47" s="28"/>
      <c r="EIB47" s="28"/>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30"/>
      <c r="EJO47" s="28"/>
      <c r="EJP47" s="29"/>
      <c r="EJQ47" s="29"/>
      <c r="EJR47" s="29"/>
      <c r="EJS47" s="29"/>
      <c r="EJT47" s="29"/>
      <c r="EJU47" s="28"/>
      <c r="EJV47" s="29"/>
      <c r="EJW47" s="29"/>
      <c r="EJX47" s="28"/>
      <c r="EJY47" s="29"/>
      <c r="EJZ47" s="30"/>
      <c r="EKA47" s="28"/>
      <c r="EKB47" s="29"/>
      <c r="EKC47" s="29"/>
      <c r="EKD47" s="29"/>
      <c r="EKE47" s="28"/>
      <c r="EKF47" s="29"/>
      <c r="EKG47" s="29"/>
      <c r="EKH47" s="28"/>
      <c r="EKI47" s="29"/>
      <c r="EKJ47" s="30"/>
      <c r="EKK47" s="28"/>
      <c r="EKL47" s="29"/>
      <c r="EKM47" s="29"/>
      <c r="EKN47" s="29"/>
      <c r="EKO47" s="28"/>
      <c r="EKP47" s="29"/>
      <c r="EKQ47" s="29"/>
      <c r="EKR47" s="28"/>
      <c r="EKS47" s="29"/>
      <c r="EKT47" s="30"/>
      <c r="EKU47" s="28"/>
      <c r="EKV47" s="29"/>
      <c r="EKW47" s="29"/>
      <c r="EKX47" s="29"/>
      <c r="EKY47" s="28"/>
      <c r="EKZ47" s="29"/>
      <c r="ELA47" s="29"/>
      <c r="ELB47" s="28"/>
      <c r="ELC47" s="29"/>
      <c r="ELD47" s="30"/>
      <c r="ELE47" s="28"/>
      <c r="ELF47" s="30"/>
      <c r="ELG47" s="29"/>
      <c r="ELH47" s="28"/>
      <c r="ELI47" s="29"/>
      <c r="ELJ47" s="28"/>
      <c r="ELK47" s="28"/>
      <c r="ELL47" s="28"/>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30"/>
      <c r="EMY47" s="28"/>
      <c r="EMZ47" s="29"/>
      <c r="ENA47" s="29"/>
      <c r="ENB47" s="29"/>
      <c r="ENC47" s="29"/>
      <c r="END47" s="29"/>
      <c r="ENE47" s="28"/>
      <c r="ENF47" s="29"/>
      <c r="ENG47" s="29"/>
      <c r="ENH47" s="28"/>
      <c r="ENI47" s="29"/>
      <c r="ENJ47" s="30"/>
      <c r="ENK47" s="28"/>
      <c r="ENL47" s="29"/>
      <c r="ENM47" s="29"/>
      <c r="ENN47" s="29"/>
      <c r="ENO47" s="28"/>
      <c r="ENP47" s="29"/>
      <c r="ENQ47" s="29"/>
      <c r="ENR47" s="28"/>
      <c r="ENS47" s="29"/>
      <c r="ENT47" s="30"/>
      <c r="ENU47" s="28"/>
      <c r="ENV47" s="29"/>
      <c r="ENW47" s="29"/>
      <c r="ENX47" s="29"/>
      <c r="ENY47" s="28"/>
      <c r="ENZ47" s="29"/>
      <c r="EOA47" s="29"/>
      <c r="EOB47" s="28"/>
      <c r="EOC47" s="29"/>
      <c r="EOD47" s="30"/>
      <c r="EOE47" s="28"/>
      <c r="EOF47" s="29"/>
      <c r="EOG47" s="29"/>
      <c r="EOH47" s="29"/>
      <c r="EOI47" s="28"/>
      <c r="EOJ47" s="29"/>
      <c r="EOK47" s="29"/>
      <c r="EOL47" s="28"/>
      <c r="EOM47" s="29"/>
      <c r="EON47" s="30"/>
      <c r="EOO47" s="28" t="str">
        <f t="shared" si="75"/>
        <v xml:space="preserve"> </v>
      </c>
    </row>
    <row r="48" spans="1:3785" x14ac:dyDescent="0.3">
      <c r="A48" s="392" t="s">
        <v>3</v>
      </c>
      <c r="B48" s="58" t="s">
        <v>5476</v>
      </c>
      <c r="C48" s="57" t="s">
        <v>5425</v>
      </c>
      <c r="D48" s="56" t="str">
        <f t="shared" si="61"/>
        <v xml:space="preserve"> </v>
      </c>
      <c r="E48" s="57"/>
      <c r="F48" s="56"/>
      <c r="G48" s="59">
        <v>45374</v>
      </c>
      <c r="H48" s="59">
        <v>45742</v>
      </c>
      <c r="I48" s="57" t="s">
        <v>1372</v>
      </c>
      <c r="J48" s="57" t="s">
        <v>1373</v>
      </c>
      <c r="K48" s="57" t="s">
        <v>1372</v>
      </c>
      <c r="L48" s="57" t="s">
        <v>1373</v>
      </c>
      <c r="M48" s="57" t="s">
        <v>1372</v>
      </c>
      <c r="N48" s="57" t="s">
        <v>1462</v>
      </c>
      <c r="O48" s="57" t="s">
        <v>1372</v>
      </c>
      <c r="P48" s="57"/>
      <c r="Q48" s="57" t="s">
        <v>1372</v>
      </c>
      <c r="R48" s="57" t="s">
        <v>1372</v>
      </c>
      <c r="S48" s="57" t="s">
        <v>1372</v>
      </c>
      <c r="T48" s="57" t="s">
        <v>1461</v>
      </c>
      <c r="U48" s="57" t="s">
        <v>1461</v>
      </c>
      <c r="V48" s="57" t="s">
        <v>1372</v>
      </c>
      <c r="W48" s="57"/>
      <c r="X48" s="57"/>
      <c r="Y48" s="57"/>
      <c r="Z48" s="57" t="s">
        <v>1372</v>
      </c>
      <c r="AA48" s="57"/>
      <c r="AB48" s="57" t="s">
        <v>1372</v>
      </c>
      <c r="AC48" s="57"/>
      <c r="AD48" s="57" t="s">
        <v>1372</v>
      </c>
      <c r="AE48" s="57"/>
      <c r="AF48" s="57" t="s">
        <v>1372</v>
      </c>
      <c r="AG48" s="57" t="s">
        <v>1372</v>
      </c>
      <c r="AH48" s="57"/>
      <c r="AI48" s="57"/>
      <c r="AJ48" s="57"/>
      <c r="AK48" s="57"/>
      <c r="AL48" s="57"/>
      <c r="AM48" s="57"/>
      <c r="AN48" s="57"/>
      <c r="AO48" s="57"/>
      <c r="AP48" s="57"/>
      <c r="AQ48" s="57"/>
      <c r="AR48" s="57"/>
      <c r="AS48" s="57"/>
      <c r="AT48" s="58" t="s">
        <v>5424</v>
      </c>
      <c r="AU48" s="56" t="s">
        <v>5425</v>
      </c>
      <c r="AV48" s="56" t="str">
        <f t="shared" ref="AV48" si="224">IFERROR(VLOOKUP(AT48,BASEPOE1,2,FALSE)," ")</f>
        <v xml:space="preserve"> </v>
      </c>
      <c r="AW48" s="57"/>
      <c r="AX48" s="57"/>
      <c r="AY48" s="390">
        <v>45377</v>
      </c>
      <c r="AZ48" s="390">
        <f>+AY48+365</f>
        <v>45742</v>
      </c>
      <c r="BA48" s="57" t="s">
        <v>1372</v>
      </c>
      <c r="BB48" s="57" t="s">
        <v>1373</v>
      </c>
      <c r="BC48" s="57" t="s">
        <v>1372</v>
      </c>
      <c r="BD48" s="57" t="s">
        <v>1373</v>
      </c>
      <c r="BE48" s="57" t="s">
        <v>1372</v>
      </c>
      <c r="BF48" s="57"/>
      <c r="BG48" s="57" t="s">
        <v>5426</v>
      </c>
      <c r="BH48" s="57"/>
      <c r="BI48" s="57" t="s">
        <v>1372</v>
      </c>
      <c r="BJ48" s="57"/>
      <c r="BK48" s="57" t="s">
        <v>1372</v>
      </c>
      <c r="BL48" s="57" t="s">
        <v>1372</v>
      </c>
      <c r="BM48" s="57" t="s">
        <v>1372</v>
      </c>
      <c r="BN48" s="57" t="s">
        <v>1372</v>
      </c>
      <c r="BO48" s="57"/>
      <c r="BP48" s="57"/>
      <c r="BQ48" s="57"/>
      <c r="BR48" s="57" t="s">
        <v>1372</v>
      </c>
      <c r="BS48" s="57"/>
      <c r="BT48" s="57"/>
      <c r="BU48" s="57"/>
      <c r="BV48" s="57"/>
      <c r="BW48" s="57"/>
      <c r="BX48" s="57" t="s">
        <v>1372</v>
      </c>
      <c r="BY48" s="57" t="s">
        <v>1372</v>
      </c>
      <c r="BZ48" s="57"/>
      <c r="CA48" s="57"/>
      <c r="CB48" s="57"/>
      <c r="CC48" s="57"/>
      <c r="CD48" s="57"/>
      <c r="CE48" s="57"/>
      <c r="CF48" s="57"/>
      <c r="CG48" s="57" t="s">
        <v>1372</v>
      </c>
      <c r="CH48" s="57"/>
      <c r="CI48" s="57"/>
      <c r="CJ48" s="57"/>
      <c r="CK48" s="57"/>
      <c r="CL48" s="57" t="s">
        <v>5510</v>
      </c>
      <c r="CM48" s="57" t="s">
        <v>5425</v>
      </c>
      <c r="CN48" s="56" t="str">
        <f t="shared" ref="CN48" si="225">IFERROR(VLOOKUP(CL48,BASEPOE1,2,FALSE)," ")</f>
        <v xml:space="preserve"> </v>
      </c>
      <c r="CO48" s="56"/>
      <c r="CP48" s="57"/>
      <c r="CQ48" s="390">
        <v>45378</v>
      </c>
      <c r="CR48" s="59">
        <f>+CQ48+365</f>
        <v>45743</v>
      </c>
      <c r="CS48" s="57" t="s">
        <v>1372</v>
      </c>
      <c r="CT48" s="57" t="s">
        <v>1373</v>
      </c>
      <c r="CU48" s="57" t="s">
        <v>1372</v>
      </c>
      <c r="CV48" s="57" t="s">
        <v>1373</v>
      </c>
      <c r="CW48" s="57" t="s">
        <v>1372</v>
      </c>
      <c r="CX48" s="57" t="s">
        <v>1462</v>
      </c>
      <c r="CY48" s="57"/>
      <c r="CZ48" s="57" t="s">
        <v>1372</v>
      </c>
      <c r="DA48" s="57" t="s">
        <v>1372</v>
      </c>
      <c r="DB48" s="57" t="s">
        <v>1372</v>
      </c>
      <c r="DC48" s="57" t="s">
        <v>1372</v>
      </c>
      <c r="DD48" s="57" t="s">
        <v>1461</v>
      </c>
      <c r="DE48" s="57" t="s">
        <v>1461</v>
      </c>
      <c r="DF48" s="57" t="s">
        <v>1372</v>
      </c>
      <c r="DG48" s="57"/>
      <c r="DH48" s="57"/>
      <c r="DI48" s="57"/>
      <c r="DJ48" s="57" t="s">
        <v>1372</v>
      </c>
      <c r="DK48" s="57"/>
      <c r="DL48" s="57"/>
      <c r="DM48" s="57"/>
      <c r="DN48" s="57"/>
      <c r="DO48" s="57"/>
      <c r="DP48" s="57" t="s">
        <v>1372</v>
      </c>
      <c r="DQ48" s="57" t="s">
        <v>1372</v>
      </c>
      <c r="DR48" s="57"/>
      <c r="DS48" s="57"/>
      <c r="DT48" s="57"/>
      <c r="DU48" s="57"/>
      <c r="DV48" s="57"/>
      <c r="DW48" s="57"/>
      <c r="DX48" s="57"/>
      <c r="DY48" s="57" t="s">
        <v>1372</v>
      </c>
      <c r="DZ48" s="57"/>
      <c r="EA48" s="57"/>
      <c r="EB48" s="57" t="s">
        <v>5511</v>
      </c>
      <c r="EC48" s="57"/>
      <c r="ED48" s="57" t="s">
        <v>5497</v>
      </c>
      <c r="EE48" s="56" t="s">
        <v>5425</v>
      </c>
      <c r="EF48" s="56" t="str">
        <f t="shared" ref="EF48" si="226">IFERROR(VLOOKUP(ED48,BASEPOE1,2,FALSE)," ")</f>
        <v xml:space="preserve"> </v>
      </c>
      <c r="EG48" s="57"/>
      <c r="EH48" s="58"/>
      <c r="EI48" s="59">
        <v>45377</v>
      </c>
      <c r="EJ48" s="390">
        <f>+EI48+365</f>
        <v>45742</v>
      </c>
      <c r="EK48" s="57" t="s">
        <v>1372</v>
      </c>
      <c r="EL48" s="57"/>
      <c r="EM48" s="57" t="s">
        <v>1372</v>
      </c>
      <c r="EN48" s="57"/>
      <c r="EO48" s="57" t="s">
        <v>1372</v>
      </c>
      <c r="EP48" s="57" t="s">
        <v>1462</v>
      </c>
      <c r="EQ48" s="57" t="s">
        <v>5143</v>
      </c>
      <c r="ER48" s="57"/>
      <c r="ES48" s="57" t="s">
        <v>1372</v>
      </c>
      <c r="ET48" s="57" t="s">
        <v>1372</v>
      </c>
      <c r="EU48" s="57" t="s">
        <v>1372</v>
      </c>
      <c r="EV48" s="57" t="s">
        <v>1461</v>
      </c>
      <c r="EW48" s="57" t="s">
        <v>1461</v>
      </c>
      <c r="EX48" s="57" t="s">
        <v>1372</v>
      </c>
      <c r="EY48" s="57"/>
      <c r="EZ48" s="57"/>
      <c r="FA48" s="57"/>
      <c r="FB48" s="57" t="s">
        <v>1372</v>
      </c>
      <c r="FC48" s="57"/>
      <c r="FD48" s="57"/>
      <c r="FE48" s="57"/>
      <c r="FF48" s="57"/>
      <c r="FG48" s="57"/>
      <c r="FH48" s="57"/>
      <c r="FI48" s="57"/>
      <c r="FJ48" s="57"/>
      <c r="FK48" s="57"/>
      <c r="FL48" s="57"/>
      <c r="FM48" s="57"/>
      <c r="FN48" s="57"/>
      <c r="FO48" s="57"/>
      <c r="FP48" s="57"/>
      <c r="FQ48" s="57"/>
      <c r="FR48" s="57"/>
      <c r="FS48" s="57"/>
      <c r="FT48" s="57"/>
      <c r="FU48" s="57"/>
      <c r="FV48" s="58" t="s">
        <v>5436</v>
      </c>
      <c r="FW48" s="56" t="s">
        <v>1381</v>
      </c>
      <c r="FX48" s="56" t="str">
        <f t="shared" ref="FX48" si="227">IFERROR(VLOOKUP(FV48,BASEPOE1,2,FALSE)," ")</f>
        <v xml:space="preserve"> </v>
      </c>
      <c r="FY48" s="57"/>
      <c r="FZ48" s="57"/>
      <c r="GA48" s="59">
        <v>45377</v>
      </c>
      <c r="GB48" s="390">
        <f>+GA48+365</f>
        <v>45742</v>
      </c>
      <c r="GC48" s="57" t="s">
        <v>1372</v>
      </c>
      <c r="GD48" s="57" t="s">
        <v>1373</v>
      </c>
      <c r="GE48" s="57" t="s">
        <v>1372</v>
      </c>
      <c r="GF48" s="57" t="s">
        <v>1373</v>
      </c>
      <c r="GG48" s="57" t="s">
        <v>1462</v>
      </c>
      <c r="GH48" s="57"/>
      <c r="GI48" s="57" t="s">
        <v>1372</v>
      </c>
      <c r="GJ48" s="57" t="s">
        <v>1372</v>
      </c>
      <c r="GK48" s="57" t="s">
        <v>1372</v>
      </c>
      <c r="GL48" s="57" t="s">
        <v>1372</v>
      </c>
      <c r="GM48" s="57" t="s">
        <v>1372</v>
      </c>
      <c r="GN48" s="57" t="s">
        <v>1461</v>
      </c>
      <c r="GO48" s="57" t="s">
        <v>1461</v>
      </c>
      <c r="GP48" s="57" t="s">
        <v>1372</v>
      </c>
      <c r="GQ48" s="57" t="s">
        <v>1382</v>
      </c>
      <c r="GR48" s="57"/>
      <c r="GS48" s="57"/>
      <c r="GT48" s="57"/>
      <c r="GU48" s="57"/>
      <c r="GV48" s="57"/>
      <c r="GW48" s="57"/>
      <c r="GX48" s="57"/>
      <c r="GY48" s="57"/>
      <c r="GZ48" s="57" t="s">
        <v>1372</v>
      </c>
      <c r="HA48" s="57" t="s">
        <v>1372</v>
      </c>
      <c r="HB48" s="57"/>
      <c r="HC48" s="57"/>
      <c r="HD48" s="57"/>
      <c r="HE48" s="57"/>
      <c r="HF48" s="57" t="s">
        <v>1372</v>
      </c>
      <c r="HG48" s="57"/>
      <c r="HH48" s="57"/>
      <c r="HI48" s="57" t="s">
        <v>1372</v>
      </c>
      <c r="HJ48" s="57"/>
      <c r="HK48" s="57"/>
      <c r="HL48" s="57" t="s">
        <v>5437</v>
      </c>
      <c r="HM48" s="57" t="s">
        <v>1768</v>
      </c>
      <c r="HN48" s="57" t="s">
        <v>5542</v>
      </c>
      <c r="HO48" s="56" t="s">
        <v>5425</v>
      </c>
      <c r="HP48" s="56" t="str">
        <f t="shared" ref="HP48" si="228">IFERROR(VLOOKUP(HN48,BASEPOE1,2,FALSE)," ")</f>
        <v xml:space="preserve"> </v>
      </c>
      <c r="HQ48" s="57"/>
      <c r="HR48" s="56"/>
      <c r="HS48" s="390">
        <v>45378</v>
      </c>
      <c r="HT48" s="391">
        <f>+HS48+365</f>
        <v>45743</v>
      </c>
      <c r="HU48" s="57" t="s">
        <v>1372</v>
      </c>
      <c r="HV48" s="57" t="s">
        <v>1373</v>
      </c>
      <c r="HW48" s="57" t="s">
        <v>1372</v>
      </c>
      <c r="HX48" s="57" t="s">
        <v>1373</v>
      </c>
      <c r="HY48" s="57" t="s">
        <v>1461</v>
      </c>
      <c r="HZ48" s="57" t="s">
        <v>1462</v>
      </c>
      <c r="IA48" s="57" t="s">
        <v>1372</v>
      </c>
      <c r="IB48" s="57"/>
      <c r="IC48" s="57" t="s">
        <v>1372</v>
      </c>
      <c r="ID48" s="57" t="s">
        <v>1372</v>
      </c>
      <c r="IE48" s="57" t="s">
        <v>1372</v>
      </c>
      <c r="IF48" s="57" t="s">
        <v>1461</v>
      </c>
      <c r="IG48" s="57" t="s">
        <v>1461</v>
      </c>
      <c r="IH48" s="57" t="s">
        <v>1372</v>
      </c>
      <c r="II48" s="57"/>
      <c r="IJ48" s="57"/>
      <c r="IK48" s="57"/>
      <c r="IL48" s="57" t="s">
        <v>1372</v>
      </c>
      <c r="IM48" s="57"/>
      <c r="IN48" s="57"/>
      <c r="IO48" s="57"/>
      <c r="IP48" s="57"/>
      <c r="IQ48" s="57"/>
      <c r="IR48" s="57" t="s">
        <v>1372</v>
      </c>
      <c r="IS48" s="57" t="s">
        <v>1372</v>
      </c>
      <c r="IT48" s="57"/>
      <c r="IU48" s="57"/>
      <c r="IV48" s="57"/>
      <c r="IW48" s="57"/>
      <c r="IX48" s="57"/>
      <c r="IY48" s="57"/>
      <c r="IZ48" s="57"/>
      <c r="JA48" s="57"/>
      <c r="JB48" s="57"/>
      <c r="JC48" s="57"/>
      <c r="JD48" s="57" t="s">
        <v>5511</v>
      </c>
      <c r="JE48" s="57"/>
      <c r="JF48" s="56" t="s">
        <v>5513</v>
      </c>
      <c r="JG48" s="57" t="s">
        <v>5418</v>
      </c>
      <c r="JH48" s="56" t="str">
        <f t="shared" ref="JH48" si="229">IFERROR(VLOOKUP(JF48,BASEPOE1,2,FALSE)," ")</f>
        <v xml:space="preserve"> </v>
      </c>
      <c r="JI48" s="56"/>
      <c r="JJ48" s="57"/>
      <c r="JK48" s="390">
        <v>45376</v>
      </c>
      <c r="JL48" s="390">
        <f>+JK48+365</f>
        <v>45741</v>
      </c>
      <c r="JM48" s="57" t="s">
        <v>1372</v>
      </c>
      <c r="JN48" s="57" t="s">
        <v>1373</v>
      </c>
      <c r="JO48" s="57" t="s">
        <v>1372</v>
      </c>
      <c r="JP48" s="57" t="s">
        <v>1373</v>
      </c>
      <c r="JQ48" s="57" t="s">
        <v>1461</v>
      </c>
      <c r="JR48" s="57" t="s">
        <v>1462</v>
      </c>
      <c r="JS48" s="57" t="s">
        <v>1372</v>
      </c>
      <c r="JT48" s="57"/>
      <c r="JU48" s="57" t="s">
        <v>1372</v>
      </c>
      <c r="JV48" s="57" t="s">
        <v>1372</v>
      </c>
      <c r="JW48" s="57" t="s">
        <v>1372</v>
      </c>
      <c r="JX48" s="57" t="s">
        <v>1461</v>
      </c>
      <c r="JY48" s="57" t="s">
        <v>1461</v>
      </c>
      <c r="JZ48" s="57" t="s">
        <v>1372</v>
      </c>
      <c r="KA48" s="57"/>
      <c r="KB48" s="57"/>
      <c r="KC48" s="57"/>
      <c r="KD48" s="57" t="s">
        <v>1372</v>
      </c>
      <c r="KE48" s="57"/>
      <c r="KF48" s="57"/>
      <c r="KG48" s="57"/>
      <c r="KH48" s="57"/>
      <c r="KI48" s="57"/>
      <c r="KJ48" s="57"/>
      <c r="KK48" s="57"/>
      <c r="KL48" s="57"/>
      <c r="KM48" s="57"/>
      <c r="KN48" s="57"/>
      <c r="KO48" s="57"/>
      <c r="KP48" s="57" t="s">
        <v>1372</v>
      </c>
      <c r="KQ48" s="57" t="s">
        <v>1372</v>
      </c>
      <c r="KR48" s="57"/>
      <c r="KS48" s="57"/>
      <c r="KT48" s="57"/>
      <c r="KU48" s="57"/>
      <c r="KV48" s="57" t="s">
        <v>1768</v>
      </c>
      <c r="KW48" s="57"/>
      <c r="KX48" s="57" t="s">
        <v>5441</v>
      </c>
      <c r="KY48" s="57" t="s">
        <v>5418</v>
      </c>
      <c r="KZ48" s="56" t="str">
        <f t="shared" ref="KZ48" si="230">IFERROR(VLOOKUP(KX48,BASEPOE1,2,FALSE)," ")</f>
        <v xml:space="preserve"> </v>
      </c>
      <c r="LA48" s="56"/>
      <c r="LB48" s="57"/>
      <c r="LC48" s="390">
        <v>45383</v>
      </c>
      <c r="LD48" s="390">
        <f>+LC48+365</f>
        <v>45748</v>
      </c>
      <c r="LE48" s="57" t="s">
        <v>1372</v>
      </c>
      <c r="LF48" s="57" t="s">
        <v>1373</v>
      </c>
      <c r="LG48" s="57" t="s">
        <v>1372</v>
      </c>
      <c r="LH48" s="57" t="s">
        <v>1373</v>
      </c>
      <c r="LI48" s="57" t="s">
        <v>1461</v>
      </c>
      <c r="LJ48" s="57" t="s">
        <v>1462</v>
      </c>
      <c r="LK48" s="57" t="s">
        <v>1372</v>
      </c>
      <c r="LL48" s="57"/>
      <c r="LM48" s="57" t="s">
        <v>1372</v>
      </c>
      <c r="LN48" s="57" t="s">
        <v>1372</v>
      </c>
      <c r="LO48" s="57" t="s">
        <v>1372</v>
      </c>
      <c r="LP48" s="57" t="s">
        <v>1461</v>
      </c>
      <c r="LQ48" s="57" t="s">
        <v>1461</v>
      </c>
      <c r="LR48" s="57" t="s">
        <v>1372</v>
      </c>
      <c r="LS48" s="57"/>
      <c r="LT48" s="57"/>
      <c r="LU48" s="57"/>
      <c r="LV48" s="57" t="s">
        <v>1372</v>
      </c>
      <c r="LW48" s="57"/>
      <c r="LX48" s="57"/>
      <c r="LY48" s="57"/>
      <c r="LZ48" s="57"/>
      <c r="MA48" s="57"/>
      <c r="MB48" s="57"/>
      <c r="MC48" s="57"/>
      <c r="MD48" s="57"/>
      <c r="ME48" s="57"/>
      <c r="MF48" s="57"/>
      <c r="MG48" s="57"/>
      <c r="MH48" s="57" t="s">
        <v>1372</v>
      </c>
      <c r="MI48" s="57"/>
      <c r="MJ48" s="57"/>
      <c r="MK48" s="57"/>
      <c r="ML48" s="57"/>
      <c r="MM48" s="57"/>
      <c r="MN48" s="57" t="s">
        <v>1768</v>
      </c>
      <c r="MO48" s="57"/>
      <c r="MP48" s="57" t="s">
        <v>5450</v>
      </c>
      <c r="MQ48" s="57" t="s">
        <v>5418</v>
      </c>
      <c r="MR48" s="56" t="str">
        <f t="shared" ref="MR48" si="231">IFERROR(VLOOKUP(MP48,BASEPOE1,2,FALSE)," ")</f>
        <v xml:space="preserve"> </v>
      </c>
      <c r="MS48" s="56"/>
      <c r="MT48" s="57"/>
      <c r="MU48" s="390">
        <v>45376</v>
      </c>
      <c r="MV48" s="390">
        <f>+MU48+365</f>
        <v>45741</v>
      </c>
      <c r="MW48" s="57" t="s">
        <v>1372</v>
      </c>
      <c r="MX48" s="57" t="s">
        <v>1373</v>
      </c>
      <c r="MY48" s="57" t="s">
        <v>1372</v>
      </c>
      <c r="MZ48" s="57" t="s">
        <v>1373</v>
      </c>
      <c r="NA48" s="57" t="s">
        <v>1461</v>
      </c>
      <c r="NB48" s="57" t="s">
        <v>1462</v>
      </c>
      <c r="NC48" s="57" t="s">
        <v>1372</v>
      </c>
      <c r="ND48" s="57" t="s">
        <v>1372</v>
      </c>
      <c r="NE48" s="57" t="s">
        <v>1372</v>
      </c>
      <c r="NF48" s="57" t="s">
        <v>1372</v>
      </c>
      <c r="NG48" s="57" t="s">
        <v>1372</v>
      </c>
      <c r="NH48" s="57" t="s">
        <v>1461</v>
      </c>
      <c r="NI48" s="57" t="s">
        <v>1461</v>
      </c>
      <c r="NJ48" s="57" t="s">
        <v>1372</v>
      </c>
      <c r="NK48" s="57" t="s">
        <v>1382</v>
      </c>
      <c r="NL48" s="57"/>
      <c r="NM48" s="57"/>
      <c r="NN48" s="57" t="s">
        <v>1372</v>
      </c>
      <c r="NO48" s="57"/>
      <c r="NP48" s="57"/>
      <c r="NQ48" s="57"/>
      <c r="NR48" s="57"/>
      <c r="NS48" s="57"/>
      <c r="NT48" s="57" t="s">
        <v>1372</v>
      </c>
      <c r="NU48" s="57"/>
      <c r="NV48" s="57"/>
      <c r="NW48" s="57"/>
      <c r="NX48" s="57"/>
      <c r="NY48" s="57"/>
      <c r="NZ48" s="57" t="s">
        <v>1372</v>
      </c>
      <c r="OA48" s="57"/>
      <c r="OB48" s="57"/>
      <c r="OC48" s="57"/>
      <c r="OD48" s="57"/>
      <c r="OE48" s="57"/>
      <c r="OF48" s="57" t="s">
        <v>1768</v>
      </c>
      <c r="OG48" s="57" t="s">
        <v>5451</v>
      </c>
      <c r="OH48" s="58" t="s">
        <v>5499</v>
      </c>
      <c r="OI48" s="56" t="s">
        <v>5500</v>
      </c>
      <c r="OJ48" s="56" t="str">
        <f t="shared" ref="OJ48" si="232">IFERROR(VLOOKUP(OH48,BASEPOE1,2,FALSE)," ")</f>
        <v xml:space="preserve"> </v>
      </c>
      <c r="OK48" s="56"/>
      <c r="OL48" s="57"/>
      <c r="OM48" s="390">
        <v>45383</v>
      </c>
      <c r="ON48" s="390">
        <f>+OM48+365</f>
        <v>45748</v>
      </c>
      <c r="OO48" s="57" t="s">
        <v>1372</v>
      </c>
      <c r="OP48" s="57" t="s">
        <v>1373</v>
      </c>
      <c r="OQ48" s="57" t="s">
        <v>1372</v>
      </c>
      <c r="OR48" s="57" t="s">
        <v>1373</v>
      </c>
      <c r="OS48" s="57" t="s">
        <v>1461</v>
      </c>
      <c r="OT48" s="57" t="s">
        <v>1462</v>
      </c>
      <c r="OU48" s="57" t="s">
        <v>1372</v>
      </c>
      <c r="OV48" s="57"/>
      <c r="OW48" s="57" t="s">
        <v>1372</v>
      </c>
      <c r="OX48" s="57" t="s">
        <v>1372</v>
      </c>
      <c r="OY48" s="57" t="s">
        <v>1372</v>
      </c>
      <c r="OZ48" s="57" t="s">
        <v>1461</v>
      </c>
      <c r="PA48" s="57" t="s">
        <v>1461</v>
      </c>
      <c r="PB48" s="57" t="s">
        <v>1372</v>
      </c>
      <c r="PC48" s="57"/>
      <c r="PD48" s="57"/>
      <c r="PE48" s="57"/>
      <c r="PF48" s="57" t="s">
        <v>1372</v>
      </c>
      <c r="PG48" s="57"/>
      <c r="PH48" s="57"/>
      <c r="PI48" s="57"/>
      <c r="PJ48" s="57"/>
      <c r="PK48" s="57"/>
      <c r="PL48" s="57"/>
      <c r="PM48" s="57"/>
      <c r="PN48" s="57"/>
      <c r="PO48" s="57"/>
      <c r="PP48" s="57"/>
      <c r="PQ48" s="57"/>
      <c r="PR48" s="57"/>
      <c r="PS48" s="57" t="s">
        <v>1372</v>
      </c>
      <c r="PT48" s="57"/>
      <c r="PU48" s="57"/>
      <c r="PV48" s="57"/>
      <c r="PW48" s="57"/>
      <c r="PX48" s="57" t="s">
        <v>1768</v>
      </c>
      <c r="PY48" s="57" t="s">
        <v>1783</v>
      </c>
      <c r="PZ48" s="57" t="s">
        <v>5445</v>
      </c>
      <c r="QA48" s="56" t="s">
        <v>5418</v>
      </c>
      <c r="QB48" s="56" t="str">
        <f t="shared" ref="QB48" si="233">IFERROR(VLOOKUP(PZ48,BASEPOE1,2,FALSE)," ")</f>
        <v xml:space="preserve"> </v>
      </c>
      <c r="QC48" s="56"/>
      <c r="QD48" s="57"/>
      <c r="QE48" s="390">
        <v>45378</v>
      </c>
      <c r="QF48" s="390">
        <f>+QE48+365</f>
        <v>45743</v>
      </c>
      <c r="QG48" s="57" t="s">
        <v>1372</v>
      </c>
      <c r="QH48" s="57" t="s">
        <v>1373</v>
      </c>
      <c r="QI48" s="57" t="s">
        <v>1372</v>
      </c>
      <c r="QJ48" s="57" t="s">
        <v>1373</v>
      </c>
      <c r="QK48" s="57" t="s">
        <v>1461</v>
      </c>
      <c r="QL48" s="57" t="s">
        <v>1462</v>
      </c>
      <c r="QM48" s="57" t="s">
        <v>5446</v>
      </c>
      <c r="QN48" s="57"/>
      <c r="QO48" s="57" t="s">
        <v>1372</v>
      </c>
      <c r="QP48" s="57" t="s">
        <v>1372</v>
      </c>
      <c r="QQ48" s="57" t="s">
        <v>1372</v>
      </c>
      <c r="QR48" s="57" t="s">
        <v>1461</v>
      </c>
      <c r="QS48" s="57" t="s">
        <v>1461</v>
      </c>
      <c r="QT48" s="57" t="s">
        <v>1372</v>
      </c>
      <c r="QU48" s="57"/>
      <c r="QV48" s="57"/>
      <c r="QW48" s="57"/>
      <c r="QX48" s="57" t="s">
        <v>1372</v>
      </c>
      <c r="QY48" s="57"/>
      <c r="QZ48" s="57"/>
      <c r="RA48" s="57"/>
      <c r="RB48" s="57"/>
      <c r="RC48" s="57"/>
      <c r="RD48" s="57"/>
      <c r="RE48" s="57"/>
      <c r="RF48" s="57"/>
      <c r="RG48" s="57"/>
      <c r="RH48" s="57"/>
      <c r="RI48" s="57"/>
      <c r="RJ48" s="57"/>
      <c r="RK48" s="57"/>
      <c r="RL48" s="57"/>
      <c r="RM48" s="57"/>
      <c r="RN48" s="57"/>
      <c r="RO48" s="57"/>
      <c r="RP48" s="57"/>
      <c r="RQ48" s="57"/>
      <c r="RR48" s="56" t="s">
        <v>5488</v>
      </c>
      <c r="RS48" s="57" t="s">
        <v>5418</v>
      </c>
      <c r="RT48" s="56" t="str">
        <f t="shared" ref="RT48" si="234">IFERROR(VLOOKUP(RR48,BASEPOE1,2,FALSE)," ")</f>
        <v xml:space="preserve"> </v>
      </c>
      <c r="RU48" s="56"/>
      <c r="RV48" s="57"/>
      <c r="RW48" s="390">
        <v>45377</v>
      </c>
      <c r="RX48" s="390">
        <f>+RW48+365</f>
        <v>45742</v>
      </c>
      <c r="RY48" s="57" t="s">
        <v>1372</v>
      </c>
      <c r="RZ48" s="57" t="s">
        <v>1373</v>
      </c>
      <c r="SA48" s="57" t="s">
        <v>1372</v>
      </c>
      <c r="SB48" s="57" t="s">
        <v>1373</v>
      </c>
      <c r="SC48" s="57" t="s">
        <v>1461</v>
      </c>
      <c r="SD48" s="57" t="s">
        <v>1462</v>
      </c>
      <c r="SE48" s="57" t="s">
        <v>1372</v>
      </c>
      <c r="SF48" s="57"/>
      <c r="SG48" s="57" t="s">
        <v>1372</v>
      </c>
      <c r="SH48" s="57" t="s">
        <v>1372</v>
      </c>
      <c r="SI48" s="57" t="s">
        <v>1372</v>
      </c>
      <c r="SJ48" s="57" t="s">
        <v>1461</v>
      </c>
      <c r="SK48" s="57" t="s">
        <v>1461</v>
      </c>
      <c r="SL48" s="57"/>
      <c r="SM48" s="57" t="s">
        <v>1382</v>
      </c>
      <c r="SN48" s="57"/>
      <c r="SO48" s="57"/>
      <c r="SP48" s="57" t="s">
        <v>1372</v>
      </c>
      <c r="SQ48" s="57"/>
      <c r="SR48" s="57"/>
      <c r="SS48" s="57"/>
      <c r="ST48" s="57"/>
      <c r="SU48" s="57"/>
      <c r="SV48" s="57" t="s">
        <v>1372</v>
      </c>
      <c r="SW48" s="57"/>
      <c r="SX48" s="57"/>
      <c r="SY48" s="57"/>
      <c r="SZ48" s="57"/>
      <c r="TA48" s="57"/>
      <c r="TB48" s="57"/>
      <c r="TC48" s="57"/>
      <c r="TD48" s="57"/>
      <c r="TE48" s="57"/>
      <c r="TF48" s="57"/>
      <c r="TG48" s="57"/>
      <c r="TH48" s="57"/>
      <c r="TI48" s="57"/>
      <c r="TJ48" s="57" t="s">
        <v>5439</v>
      </c>
      <c r="TK48" s="57" t="s">
        <v>5418</v>
      </c>
      <c r="TL48" s="56" t="str">
        <f t="shared" ref="TL48" si="235">IFERROR(VLOOKUP(TJ48,BASEPOE1,2,FALSE)," ")</f>
        <v xml:space="preserve"> </v>
      </c>
      <c r="TM48" s="56"/>
      <c r="TN48" s="57"/>
      <c r="TO48" s="390">
        <v>45378</v>
      </c>
      <c r="TP48" s="390">
        <f>+TO48+365</f>
        <v>45743</v>
      </c>
      <c r="TQ48" s="57" t="s">
        <v>1372</v>
      </c>
      <c r="TR48" s="57" t="s">
        <v>1373</v>
      </c>
      <c r="TS48" s="57" t="s">
        <v>1372</v>
      </c>
      <c r="TT48" s="57" t="s">
        <v>1373</v>
      </c>
      <c r="TU48" s="57" t="s">
        <v>1461</v>
      </c>
      <c r="TV48" s="57" t="s">
        <v>1462</v>
      </c>
      <c r="TW48" s="57" t="s">
        <v>1372</v>
      </c>
      <c r="TX48" s="57" t="s">
        <v>1372</v>
      </c>
      <c r="TY48" s="57" t="s">
        <v>1372</v>
      </c>
      <c r="TZ48" s="57" t="s">
        <v>1461</v>
      </c>
      <c r="UA48" s="57" t="s">
        <v>1372</v>
      </c>
      <c r="UB48" s="57" t="s">
        <v>1461</v>
      </c>
      <c r="UC48" s="57" t="s">
        <v>1461</v>
      </c>
      <c r="UD48" s="57" t="s">
        <v>1372</v>
      </c>
      <c r="UE48" s="57"/>
      <c r="UF48" s="57"/>
      <c r="UG48" s="57"/>
      <c r="UH48" s="57" t="s">
        <v>1372</v>
      </c>
      <c r="UI48" s="57"/>
      <c r="UJ48" s="57"/>
      <c r="UK48" s="57"/>
      <c r="UL48" s="57"/>
      <c r="UM48" s="57"/>
      <c r="UN48" s="57"/>
      <c r="UO48" s="57"/>
      <c r="UP48" s="57"/>
      <c r="UQ48" s="57"/>
      <c r="UR48" s="57"/>
      <c r="US48" s="57"/>
      <c r="UT48" s="57"/>
      <c r="UU48" s="57" t="s">
        <v>1372</v>
      </c>
      <c r="UV48" s="57"/>
      <c r="UW48" s="57"/>
      <c r="UX48" s="57"/>
      <c r="UY48" s="57"/>
      <c r="UZ48" s="57"/>
      <c r="VA48" s="57"/>
      <c r="VB48" s="57" t="s">
        <v>5443</v>
      </c>
      <c r="VC48" s="57" t="s">
        <v>5418</v>
      </c>
      <c r="VD48" s="56" t="str">
        <f t="shared" ref="VD48" si="236">IFERROR(VLOOKUP(VB48,BASEPOE1,2,FALSE)," ")</f>
        <v xml:space="preserve"> </v>
      </c>
      <c r="VE48" s="57"/>
      <c r="VF48" s="58"/>
      <c r="VG48" s="59">
        <v>45377</v>
      </c>
      <c r="VH48" s="390">
        <f>+VG48+365</f>
        <v>45742</v>
      </c>
      <c r="VI48" s="57" t="s">
        <v>1372</v>
      </c>
      <c r="VJ48" s="57" t="s">
        <v>1373</v>
      </c>
      <c r="VK48" s="57" t="s">
        <v>1372</v>
      </c>
      <c r="VL48" s="57" t="s">
        <v>1373</v>
      </c>
      <c r="VM48" s="57" t="s">
        <v>1461</v>
      </c>
      <c r="VN48" s="57" t="s">
        <v>1462</v>
      </c>
      <c r="VO48" s="57"/>
      <c r="VP48" s="57" t="s">
        <v>1372</v>
      </c>
      <c r="VQ48" s="57" t="s">
        <v>1372</v>
      </c>
      <c r="VR48" s="57" t="s">
        <v>1372</v>
      </c>
      <c r="VS48" s="57" t="s">
        <v>1372</v>
      </c>
      <c r="VT48" s="57" t="s">
        <v>1461</v>
      </c>
      <c r="VU48" s="57" t="s">
        <v>1461</v>
      </c>
      <c r="VV48" s="57" t="s">
        <v>1372</v>
      </c>
      <c r="VW48" s="57"/>
      <c r="VX48" s="57"/>
      <c r="VY48" s="57"/>
      <c r="VZ48" s="57" t="s">
        <v>1372</v>
      </c>
      <c r="WA48" s="57"/>
      <c r="WB48" s="57"/>
      <c r="WC48" s="57"/>
      <c r="WD48" s="57"/>
      <c r="WE48" s="57"/>
      <c r="WF48" s="57"/>
      <c r="WG48" s="57"/>
      <c r="WH48" s="57"/>
      <c r="WI48" s="57"/>
      <c r="WJ48" s="57"/>
      <c r="WK48" s="57"/>
      <c r="WL48" s="57"/>
      <c r="WM48" s="57" t="s">
        <v>1372</v>
      </c>
      <c r="WN48" s="57"/>
      <c r="WO48" s="57"/>
      <c r="WP48" s="57"/>
      <c r="WQ48" s="57"/>
      <c r="WR48" s="57"/>
      <c r="WS48" s="57"/>
      <c r="WT48" s="58" t="s">
        <v>5462</v>
      </c>
      <c r="WU48" s="56" t="s">
        <v>5418</v>
      </c>
      <c r="WV48" s="56" t="str">
        <f t="shared" ref="WV48" si="237">IFERROR(VLOOKUP(WT48,BASEPOE1,2,FALSE)," ")</f>
        <v xml:space="preserve"> </v>
      </c>
      <c r="WW48" s="56"/>
      <c r="WX48" s="57"/>
      <c r="WY48" s="390">
        <v>45376</v>
      </c>
      <c r="WZ48" s="390">
        <f>+WY48+365</f>
        <v>45741</v>
      </c>
      <c r="XA48" s="57" t="s">
        <v>1372</v>
      </c>
      <c r="XB48" s="57" t="s">
        <v>1373</v>
      </c>
      <c r="XC48" s="57" t="s">
        <v>1372</v>
      </c>
      <c r="XD48" s="57" t="s">
        <v>1373</v>
      </c>
      <c r="XE48" s="57" t="s">
        <v>1461</v>
      </c>
      <c r="XF48" s="57" t="s">
        <v>1462</v>
      </c>
      <c r="XG48" s="57"/>
      <c r="XH48" s="57" t="s">
        <v>1372</v>
      </c>
      <c r="XI48" s="57" t="s">
        <v>1372</v>
      </c>
      <c r="XJ48" s="57" t="s">
        <v>1372</v>
      </c>
      <c r="XK48" s="57" t="s">
        <v>1372</v>
      </c>
      <c r="XL48" s="57" t="s">
        <v>1461</v>
      </c>
      <c r="XM48" s="57" t="s">
        <v>1461</v>
      </c>
      <c r="XN48" s="57" t="s">
        <v>1372</v>
      </c>
      <c r="XO48" s="57"/>
      <c r="XP48" s="57"/>
      <c r="XQ48" s="57"/>
      <c r="XR48" s="57" t="s">
        <v>1372</v>
      </c>
      <c r="XS48" s="57"/>
      <c r="XT48" s="57"/>
      <c r="XU48" s="57"/>
      <c r="XV48" s="57"/>
      <c r="XW48" s="57"/>
      <c r="XX48" s="57" t="s">
        <v>1372</v>
      </c>
      <c r="XY48" s="57" t="s">
        <v>1372</v>
      </c>
      <c r="XZ48" s="57"/>
      <c r="YA48" s="57"/>
      <c r="YB48" s="57"/>
      <c r="YC48" s="57"/>
      <c r="YD48" s="57"/>
      <c r="YE48" s="57"/>
      <c r="YF48" s="57"/>
      <c r="YG48" s="57" t="s">
        <v>1372</v>
      </c>
      <c r="YH48" s="57"/>
      <c r="YI48" s="57"/>
      <c r="YJ48" s="57" t="s">
        <v>1768</v>
      </c>
      <c r="YK48" s="57"/>
      <c r="YL48" s="57" t="s">
        <v>5448</v>
      </c>
      <c r="YM48" s="56" t="s">
        <v>5418</v>
      </c>
      <c r="YN48" s="56" t="str">
        <f t="shared" ref="YN48" si="238">IFERROR(VLOOKUP(YL48,BASEPOE1,2,FALSE)," ")</f>
        <v xml:space="preserve"> </v>
      </c>
      <c r="YO48" s="56"/>
      <c r="YP48" s="57"/>
      <c r="YQ48" s="390">
        <v>45377</v>
      </c>
      <c r="YR48" s="390">
        <f>+YQ48+365</f>
        <v>45742</v>
      </c>
      <c r="YS48" s="57" t="s">
        <v>1372</v>
      </c>
      <c r="YT48" s="57" t="s">
        <v>1373</v>
      </c>
      <c r="YU48" s="57" t="s">
        <v>1372</v>
      </c>
      <c r="YV48" s="57" t="s">
        <v>1373</v>
      </c>
      <c r="YW48" s="57" t="s">
        <v>1461</v>
      </c>
      <c r="YX48" s="57" t="s">
        <v>1462</v>
      </c>
      <c r="YY48" s="57" t="s">
        <v>1372</v>
      </c>
      <c r="YZ48" s="57" t="s">
        <v>1372</v>
      </c>
      <c r="ZA48" s="57" t="s">
        <v>1372</v>
      </c>
      <c r="ZB48" s="57" t="s">
        <v>1372</v>
      </c>
      <c r="ZC48" s="57" t="s">
        <v>1372</v>
      </c>
      <c r="ZD48" s="57" t="s">
        <v>1461</v>
      </c>
      <c r="ZE48" s="57" t="s">
        <v>1461</v>
      </c>
      <c r="ZF48" s="57" t="s">
        <v>1372</v>
      </c>
      <c r="ZG48" s="57"/>
      <c r="ZH48" s="57"/>
      <c r="ZI48" s="57"/>
      <c r="ZJ48" s="57" t="s">
        <v>1372</v>
      </c>
      <c r="ZK48" s="57"/>
      <c r="ZL48" s="57"/>
      <c r="ZM48" s="57"/>
      <c r="ZN48" s="57"/>
      <c r="ZO48" s="57"/>
      <c r="ZP48" s="57" t="s">
        <v>1372</v>
      </c>
      <c r="ZQ48" s="57"/>
      <c r="ZR48" s="57"/>
      <c r="ZS48" s="57"/>
      <c r="ZT48" s="57"/>
      <c r="ZU48" s="57"/>
      <c r="ZV48" s="57" t="s">
        <v>1372</v>
      </c>
      <c r="ZW48" s="57" t="s">
        <v>1372</v>
      </c>
      <c r="ZX48" s="57"/>
      <c r="ZY48" s="57" t="s">
        <v>1372</v>
      </c>
      <c r="ZZ48" s="57"/>
      <c r="AAA48" s="57"/>
      <c r="AAB48" s="57" t="s">
        <v>1768</v>
      </c>
      <c r="AAC48" s="57"/>
      <c r="AAD48" s="56" t="s">
        <v>5432</v>
      </c>
      <c r="AAE48" s="57" t="s">
        <v>5418</v>
      </c>
      <c r="AAF48" s="56" t="str">
        <f t="shared" ref="AAF48" si="239">IFERROR(VLOOKUP(AAD48,BASEPOE1,2,FALSE)," ")</f>
        <v xml:space="preserve"> </v>
      </c>
      <c r="AAG48" s="56"/>
      <c r="AAH48" s="57"/>
      <c r="AAI48" s="390">
        <v>45377</v>
      </c>
      <c r="AAJ48" s="390">
        <f>+AAI48+365</f>
        <v>45742</v>
      </c>
      <c r="AAK48" s="57" t="s">
        <v>1372</v>
      </c>
      <c r="AAL48" s="57" t="s">
        <v>1373</v>
      </c>
      <c r="AAM48" s="57" t="s">
        <v>1372</v>
      </c>
      <c r="AAN48" s="57" t="s">
        <v>1373</v>
      </c>
      <c r="AAO48" s="57" t="s">
        <v>1461</v>
      </c>
      <c r="AAP48" s="57" t="s">
        <v>1462</v>
      </c>
      <c r="AAQ48" s="57"/>
      <c r="AAR48" s="57" t="s">
        <v>1372</v>
      </c>
      <c r="AAS48" s="57" t="s">
        <v>1372</v>
      </c>
      <c r="AAT48" s="57" t="s">
        <v>1372</v>
      </c>
      <c r="AAU48" s="57" t="s">
        <v>1372</v>
      </c>
      <c r="AAV48" s="57" t="s">
        <v>1461</v>
      </c>
      <c r="AAW48" s="57" t="s">
        <v>1461</v>
      </c>
      <c r="AAX48" s="57" t="s">
        <v>1372</v>
      </c>
      <c r="AAY48" s="57"/>
      <c r="AAZ48" s="57"/>
      <c r="ABA48" s="57"/>
      <c r="ABB48" s="57" t="s">
        <v>1372</v>
      </c>
      <c r="ABC48" s="57"/>
      <c r="ABD48" s="57"/>
      <c r="ABE48" s="57"/>
      <c r="ABF48" s="57"/>
      <c r="ABG48" s="57"/>
      <c r="ABH48" s="57"/>
      <c r="ABI48" s="57"/>
      <c r="ABJ48" s="57"/>
      <c r="ABK48" s="57"/>
      <c r="ABL48" s="57"/>
      <c r="ABM48" s="57"/>
      <c r="ABN48" s="57"/>
      <c r="ABO48" s="57" t="s">
        <v>1372</v>
      </c>
      <c r="ABP48" s="57"/>
      <c r="ABQ48" s="57"/>
      <c r="ABR48" s="57"/>
      <c r="ABS48" s="57"/>
      <c r="ABT48" s="57"/>
      <c r="ABU48" s="57"/>
      <c r="ABV48" s="57" t="s">
        <v>5434</v>
      </c>
      <c r="ABW48" s="57" t="s">
        <v>5418</v>
      </c>
      <c r="ABX48" s="56" t="str">
        <f t="shared" ref="ABX48" si="240">IFERROR(VLOOKUP(ABV48,BASEPOE1,2,FALSE)," ")</f>
        <v xml:space="preserve"> </v>
      </c>
      <c r="ABY48" s="56"/>
      <c r="ABZ48" s="57"/>
      <c r="ACA48" s="390">
        <v>45376</v>
      </c>
      <c r="ACB48" s="390">
        <f>+ACA48+365</f>
        <v>45741</v>
      </c>
      <c r="ACC48" s="57" t="s">
        <v>1372</v>
      </c>
      <c r="ACD48" s="57" t="s">
        <v>1373</v>
      </c>
      <c r="ACE48" s="57" t="s">
        <v>1372</v>
      </c>
      <c r="ACF48" s="57" t="s">
        <v>1373</v>
      </c>
      <c r="ACG48" s="57" t="s">
        <v>1461</v>
      </c>
      <c r="ACH48" s="57" t="s">
        <v>1462</v>
      </c>
      <c r="ACI48" s="57" t="s">
        <v>1372</v>
      </c>
      <c r="ACJ48" s="57"/>
      <c r="ACK48" s="57" t="s">
        <v>1372</v>
      </c>
      <c r="ACL48" s="57" t="s">
        <v>1372</v>
      </c>
      <c r="ACM48" s="57" t="s">
        <v>1372</v>
      </c>
      <c r="ACN48" s="57" t="s">
        <v>1461</v>
      </c>
      <c r="ACO48" s="57" t="s">
        <v>1461</v>
      </c>
      <c r="ACP48" s="57" t="s">
        <v>1372</v>
      </c>
      <c r="ACQ48" s="57"/>
      <c r="ACR48" s="57"/>
      <c r="ACS48" s="57"/>
      <c r="ACT48" s="57" t="s">
        <v>1372</v>
      </c>
      <c r="ACU48" s="57"/>
      <c r="ACV48" s="57"/>
      <c r="ACW48" s="57"/>
      <c r="ACX48" s="57"/>
      <c r="ACY48" s="57"/>
      <c r="ACZ48" s="57"/>
      <c r="ADA48" s="57" t="s">
        <v>1372</v>
      </c>
      <c r="ADB48" s="57"/>
      <c r="ADC48" s="57"/>
      <c r="ADD48" s="57"/>
      <c r="ADE48" s="57"/>
      <c r="ADF48" s="57" t="s">
        <v>1372</v>
      </c>
      <c r="ADG48" s="57" t="s">
        <v>1372</v>
      </c>
      <c r="ADH48" s="57"/>
      <c r="ADI48" s="57"/>
      <c r="ADJ48" s="57"/>
      <c r="ADK48" s="57"/>
      <c r="ADL48" s="57" t="s">
        <v>1768</v>
      </c>
      <c r="ADM48" s="57"/>
      <c r="ADN48" s="57" t="s">
        <v>5535</v>
      </c>
      <c r="ADO48" s="57" t="s">
        <v>5418</v>
      </c>
      <c r="ADP48" s="56" t="str">
        <f t="shared" ref="ADP48" si="241">IFERROR(VLOOKUP(ADN48,BASEPOE1,2,FALSE)," ")</f>
        <v xml:space="preserve"> </v>
      </c>
      <c r="ADQ48" s="56"/>
      <c r="ADR48" s="57"/>
      <c r="ADS48" s="390">
        <v>45383</v>
      </c>
      <c r="ADT48" s="390">
        <f>+ADS48+365</f>
        <v>45748</v>
      </c>
      <c r="ADU48" s="57" t="s">
        <v>1461</v>
      </c>
      <c r="ADV48" s="57"/>
      <c r="ADW48" s="57" t="s">
        <v>1461</v>
      </c>
      <c r="ADX48" s="57"/>
      <c r="ADY48" s="57" t="s">
        <v>1461</v>
      </c>
      <c r="ADZ48" s="57" t="s">
        <v>1462</v>
      </c>
      <c r="AEA48" s="57" t="s">
        <v>5536</v>
      </c>
      <c r="AEB48" s="57"/>
      <c r="AEC48" s="57" t="s">
        <v>1372</v>
      </c>
      <c r="AED48" s="57" t="s">
        <v>1372</v>
      </c>
      <c r="AEE48" s="57" t="s">
        <v>1372</v>
      </c>
      <c r="AEF48" s="57" t="s">
        <v>1461</v>
      </c>
      <c r="AEG48" s="57" t="s">
        <v>1461</v>
      </c>
      <c r="AEH48" s="57" t="s">
        <v>1372</v>
      </c>
      <c r="AEI48" s="57"/>
      <c r="AEJ48" s="57"/>
      <c r="AEK48" s="57"/>
      <c r="AEL48" s="57" t="s">
        <v>1372</v>
      </c>
      <c r="AEM48" s="57"/>
      <c r="AEN48" s="57"/>
      <c r="AEO48" s="57"/>
      <c r="AEP48" s="57"/>
      <c r="AEQ48" s="57"/>
      <c r="AER48" s="57"/>
      <c r="AES48" s="57"/>
      <c r="AET48" s="57"/>
      <c r="AEU48" s="57"/>
      <c r="AEV48" s="57"/>
      <c r="AEW48" s="57"/>
      <c r="AEX48" s="57" t="s">
        <v>1372</v>
      </c>
      <c r="AEY48" s="57" t="s">
        <v>1372</v>
      </c>
      <c r="AEZ48" s="57"/>
      <c r="AFA48" s="57"/>
      <c r="AFB48" s="57"/>
      <c r="AFC48" s="57"/>
      <c r="AFD48" s="57" t="s">
        <v>1768</v>
      </c>
      <c r="AFE48" s="57"/>
      <c r="AFF48" s="58" t="s">
        <v>5420</v>
      </c>
      <c r="AFG48" s="56" t="s">
        <v>5418</v>
      </c>
      <c r="AFH48" s="56" t="str">
        <f t="shared" ref="AFH48" si="242">IFERROR(VLOOKUP(AFF48,BASEPOE1,2,FALSE)," ")</f>
        <v xml:space="preserve"> </v>
      </c>
      <c r="AFI48" s="56"/>
      <c r="AFJ48" s="57"/>
      <c r="AFK48" s="390">
        <v>45376</v>
      </c>
      <c r="AFL48" s="390">
        <f>+AFK48+365</f>
        <v>45741</v>
      </c>
      <c r="AFM48" s="57" t="s">
        <v>1372</v>
      </c>
      <c r="AFN48" s="57" t="s">
        <v>1373</v>
      </c>
      <c r="AFO48" s="57" t="s">
        <v>1372</v>
      </c>
      <c r="AFP48" s="57" t="s">
        <v>1373</v>
      </c>
      <c r="AFQ48" s="57" t="s">
        <v>1461</v>
      </c>
      <c r="AFR48" s="57" t="s">
        <v>1462</v>
      </c>
      <c r="AFS48" s="57"/>
      <c r="AFT48" s="57" t="s">
        <v>1372</v>
      </c>
      <c r="AFU48" s="57" t="s">
        <v>1372</v>
      </c>
      <c r="AFV48" s="57" t="s">
        <v>1372</v>
      </c>
      <c r="AFW48" s="57" t="s">
        <v>1372</v>
      </c>
      <c r="AFX48" s="57" t="s">
        <v>1461</v>
      </c>
      <c r="AFY48" s="57" t="s">
        <v>1461</v>
      </c>
      <c r="AFZ48" s="57" t="s">
        <v>1372</v>
      </c>
      <c r="AGA48" s="57"/>
      <c r="AGB48" s="57"/>
      <c r="AGC48" s="57"/>
      <c r="AGD48" s="57" t="s">
        <v>1372</v>
      </c>
      <c r="AGE48" s="57"/>
      <c r="AGF48" s="57"/>
      <c r="AGG48" s="57"/>
      <c r="AGH48" s="57"/>
      <c r="AGI48" s="57"/>
      <c r="AGJ48" s="57"/>
      <c r="AGK48" s="57"/>
      <c r="AGL48" s="57"/>
      <c r="AGM48" s="57"/>
      <c r="AGN48" s="57"/>
      <c r="AGO48" s="57"/>
      <c r="AGP48" s="57" t="s">
        <v>1372</v>
      </c>
      <c r="AGQ48" s="57" t="s">
        <v>1372</v>
      </c>
      <c r="AGR48" s="57"/>
      <c r="AGS48" s="57"/>
      <c r="AGT48" s="57"/>
      <c r="AGU48" s="57"/>
      <c r="AGV48" s="57" t="s">
        <v>1768</v>
      </c>
      <c r="AGW48" s="57"/>
      <c r="AGX48" s="57" t="s">
        <v>5532</v>
      </c>
      <c r="AGY48" s="56" t="s">
        <v>5418</v>
      </c>
      <c r="AGZ48" s="56" t="str">
        <f t="shared" ref="AGZ48" si="243">IFERROR(VLOOKUP(AGX48,BASEPOE1,2,FALSE)," ")</f>
        <v xml:space="preserve"> </v>
      </c>
      <c r="AHA48" s="56"/>
      <c r="AHB48" s="57"/>
      <c r="AHC48" s="390">
        <v>45377</v>
      </c>
      <c r="AHD48" s="390">
        <f>+AHC48+365</f>
        <v>45742</v>
      </c>
      <c r="AHE48" s="57" t="s">
        <v>1372</v>
      </c>
      <c r="AHF48" s="57" t="s">
        <v>1373</v>
      </c>
      <c r="AHG48" s="57" t="s">
        <v>1372</v>
      </c>
      <c r="AHH48" s="57" t="s">
        <v>1373</v>
      </c>
      <c r="AHI48" s="57" t="s">
        <v>1461</v>
      </c>
      <c r="AHJ48" s="57" t="s">
        <v>1462</v>
      </c>
      <c r="AHK48" s="57" t="s">
        <v>5533</v>
      </c>
      <c r="AHL48" s="57"/>
      <c r="AHM48" s="57" t="s">
        <v>1372</v>
      </c>
      <c r="AHN48" s="57" t="s">
        <v>1372</v>
      </c>
      <c r="AHO48" s="57" t="s">
        <v>1372</v>
      </c>
      <c r="AHP48" s="57" t="s">
        <v>1461</v>
      </c>
      <c r="AHQ48" s="57" t="s">
        <v>1461</v>
      </c>
      <c r="AHR48" s="57" t="s">
        <v>1372</v>
      </c>
      <c r="AHS48" s="57"/>
      <c r="AHT48" s="57"/>
      <c r="AHU48" s="57"/>
      <c r="AHV48" s="57" t="s">
        <v>1372</v>
      </c>
      <c r="AHW48" s="57"/>
      <c r="AHX48" s="57"/>
      <c r="AHY48" s="57"/>
      <c r="AHZ48" s="57"/>
      <c r="AIA48" s="57"/>
      <c r="AIB48" s="57"/>
      <c r="AIC48" s="57"/>
      <c r="AID48" s="57"/>
      <c r="AIE48" s="57"/>
      <c r="AIF48" s="57"/>
      <c r="AIG48" s="57"/>
      <c r="AIH48" s="57"/>
      <c r="AII48" s="57"/>
      <c r="AIJ48" s="57"/>
      <c r="AIK48" s="57"/>
      <c r="AIL48" s="57"/>
      <c r="AIM48" s="57"/>
      <c r="AIN48" s="57"/>
      <c r="AIO48" s="57"/>
      <c r="AIP48" s="56" t="s">
        <v>5544</v>
      </c>
      <c r="AIQ48" s="57"/>
      <c r="AIR48" s="56" t="str">
        <f t="shared" ref="AIR48" si="244">IFERROR(VLOOKUP(AIP48,BASEPOE1,2,FALSE)," ")</f>
        <v xml:space="preserve"> </v>
      </c>
      <c r="AIS48" s="56"/>
      <c r="AIT48" s="57"/>
      <c r="AIU48" s="390">
        <v>45376</v>
      </c>
      <c r="AIV48" s="390">
        <f>+AIU48+365</f>
        <v>45741</v>
      </c>
      <c r="AIW48" s="57" t="s">
        <v>1372</v>
      </c>
      <c r="AIX48" s="57" t="s">
        <v>1373</v>
      </c>
      <c r="AIY48" s="57" t="s">
        <v>1372</v>
      </c>
      <c r="AIZ48" s="57" t="s">
        <v>1373</v>
      </c>
      <c r="AJA48" s="57" t="s">
        <v>1461</v>
      </c>
      <c r="AJB48" s="57" t="s">
        <v>1462</v>
      </c>
      <c r="AJC48" s="57" t="s">
        <v>5545</v>
      </c>
      <c r="AJD48" s="57"/>
      <c r="AJE48" s="57" t="s">
        <v>1372</v>
      </c>
      <c r="AJF48" s="57" t="s">
        <v>1372</v>
      </c>
      <c r="AJG48" s="57" t="s">
        <v>1372</v>
      </c>
      <c r="AJH48" s="57" t="s">
        <v>1461</v>
      </c>
      <c r="AJI48" s="57" t="s">
        <v>1461</v>
      </c>
      <c r="AJJ48" s="57" t="s">
        <v>1372</v>
      </c>
      <c r="AJK48" s="57"/>
      <c r="AJL48" s="57"/>
      <c r="AJM48" s="57"/>
      <c r="AJN48" s="57" t="s">
        <v>1372</v>
      </c>
      <c r="AJO48" s="57"/>
      <c r="AJP48" s="57"/>
      <c r="AJQ48" s="57"/>
      <c r="AJR48" s="57"/>
      <c r="AJS48" s="57"/>
      <c r="AJT48" s="57"/>
      <c r="AJU48" s="57"/>
      <c r="AJV48" s="57"/>
      <c r="AJW48" s="57"/>
      <c r="AJX48" s="57"/>
      <c r="AJY48" s="57"/>
      <c r="AJZ48" s="57" t="s">
        <v>1372</v>
      </c>
      <c r="AKA48" s="57" t="s">
        <v>1372</v>
      </c>
      <c r="AKB48" s="57"/>
      <c r="AKC48" s="57"/>
      <c r="AKD48" s="57"/>
      <c r="AKE48" s="57"/>
      <c r="AKF48" s="57"/>
      <c r="AKG48" s="57"/>
      <c r="AKH48" s="57" t="s">
        <v>5457</v>
      </c>
      <c r="AKI48" s="57" t="s">
        <v>5418</v>
      </c>
      <c r="AKJ48" s="56" t="str">
        <f t="shared" ref="AKJ48" si="245">IFERROR(VLOOKUP(AKH48,BASEPOE1,2,FALSE)," ")</f>
        <v xml:space="preserve"> </v>
      </c>
      <c r="AKK48" s="56"/>
      <c r="AKL48" s="57"/>
      <c r="AKM48" s="390">
        <v>45383</v>
      </c>
      <c r="AKN48" s="390">
        <f>+AKM48+365</f>
        <v>45748</v>
      </c>
      <c r="AKO48" s="57" t="s">
        <v>1372</v>
      </c>
      <c r="AKP48" s="57" t="s">
        <v>1373</v>
      </c>
      <c r="AKQ48" s="57" t="s">
        <v>1372</v>
      </c>
      <c r="AKR48" s="57" t="s">
        <v>1373</v>
      </c>
      <c r="AKS48" s="57" t="s">
        <v>1461</v>
      </c>
      <c r="AKT48" s="57" t="s">
        <v>1462</v>
      </c>
      <c r="AKU48" s="57" t="s">
        <v>1372</v>
      </c>
      <c r="AKV48" s="57"/>
      <c r="AKW48" s="57" t="s">
        <v>1372</v>
      </c>
      <c r="AKX48" s="57" t="s">
        <v>1372</v>
      </c>
      <c r="AKY48" s="57" t="s">
        <v>1372</v>
      </c>
      <c r="AKZ48" s="57" t="s">
        <v>1461</v>
      </c>
      <c r="ALA48" s="57" t="s">
        <v>1461</v>
      </c>
      <c r="ALB48" s="57" t="s">
        <v>1372</v>
      </c>
      <c r="ALC48" s="57"/>
      <c r="ALD48" s="57"/>
      <c r="ALE48" s="57"/>
      <c r="ALF48" s="57" t="s">
        <v>1372</v>
      </c>
      <c r="ALG48" s="57"/>
      <c r="ALH48" s="57"/>
      <c r="ALI48" s="57"/>
      <c r="ALJ48" s="57"/>
      <c r="ALK48" s="57"/>
      <c r="ALL48" s="57"/>
      <c r="ALM48" s="57" t="s">
        <v>1372</v>
      </c>
      <c r="ALN48" s="57"/>
      <c r="ALO48" s="57"/>
      <c r="ALP48" s="57"/>
      <c r="ALQ48" s="57"/>
      <c r="ALR48" s="57" t="s">
        <v>1372</v>
      </c>
      <c r="ALS48" s="57"/>
      <c r="ALT48" s="57"/>
      <c r="ALU48" s="57"/>
      <c r="ALV48" s="57"/>
      <c r="ALW48" s="57"/>
      <c r="ALX48" s="57" t="s">
        <v>1768</v>
      </c>
      <c r="ALY48" s="57"/>
      <c r="ALZ48" s="58" t="s">
        <v>5525</v>
      </c>
      <c r="AMA48" s="56" t="s">
        <v>5418</v>
      </c>
      <c r="AMB48" s="56" t="str">
        <f t="shared" ref="AMB48" si="246">IFERROR(VLOOKUP(ALZ48,BASEPOE1,2,FALSE)," ")</f>
        <v xml:space="preserve"> </v>
      </c>
      <c r="AMC48" s="56"/>
      <c r="AMD48" s="57"/>
      <c r="AME48" s="390">
        <v>45375</v>
      </c>
      <c r="AMF48" s="390">
        <f>+AME48+365</f>
        <v>45740</v>
      </c>
      <c r="AMG48" s="57" t="s">
        <v>1372</v>
      </c>
      <c r="AMH48" s="57" t="s">
        <v>1373</v>
      </c>
      <c r="AMI48" s="57" t="s">
        <v>1372</v>
      </c>
      <c r="AMJ48" s="57" t="s">
        <v>1373</v>
      </c>
      <c r="AMK48" s="57" t="s">
        <v>1461</v>
      </c>
      <c r="AML48" s="57" t="s">
        <v>1462</v>
      </c>
      <c r="AMM48" s="57" t="s">
        <v>1786</v>
      </c>
      <c r="AMN48" s="57"/>
      <c r="AMO48" s="57" t="s">
        <v>1372</v>
      </c>
      <c r="AMP48" s="57" t="s">
        <v>1372</v>
      </c>
      <c r="AMQ48" s="57" t="s">
        <v>1372</v>
      </c>
      <c r="AMR48" s="57" t="s">
        <v>1372</v>
      </c>
      <c r="AMS48" s="57" t="s">
        <v>1461</v>
      </c>
      <c r="AMT48" s="57" t="s">
        <v>1372</v>
      </c>
      <c r="AMU48" s="57"/>
      <c r="AMV48" s="57"/>
      <c r="AMW48" s="57"/>
      <c r="AMX48" s="57" t="s">
        <v>1372</v>
      </c>
      <c r="AMY48" s="57"/>
      <c r="AMZ48" s="57"/>
      <c r="ANA48" s="57"/>
      <c r="ANB48" s="57"/>
      <c r="ANC48" s="57"/>
      <c r="AND48" s="57"/>
      <c r="ANE48" s="57"/>
      <c r="ANF48" s="57"/>
      <c r="ANG48" s="57"/>
      <c r="ANH48" s="57"/>
      <c r="ANI48" s="57"/>
      <c r="ANJ48" s="57" t="s">
        <v>1372</v>
      </c>
      <c r="ANK48" s="57"/>
      <c r="ANL48" s="57"/>
      <c r="ANM48" s="57"/>
      <c r="ANN48" s="57"/>
      <c r="ANO48" s="57"/>
      <c r="ANP48" s="57" t="s">
        <v>1768</v>
      </c>
      <c r="ANQ48" s="57"/>
      <c r="ANR48" s="57" t="s">
        <v>5540</v>
      </c>
      <c r="ANS48" s="57" t="s">
        <v>5418</v>
      </c>
      <c r="ANT48" s="56" t="str">
        <f t="shared" ref="ANT48" si="247">IFERROR(VLOOKUP(ANR48,BASEPOE1,2,FALSE)," ")</f>
        <v xml:space="preserve"> </v>
      </c>
      <c r="ANU48" s="56"/>
      <c r="ANV48" s="57"/>
      <c r="ANW48" s="390">
        <v>45377</v>
      </c>
      <c r="ANX48" s="390">
        <f>+ANW48+365</f>
        <v>45742</v>
      </c>
      <c r="ANY48" s="57" t="s">
        <v>1372</v>
      </c>
      <c r="ANZ48" s="57" t="s">
        <v>1373</v>
      </c>
      <c r="AOA48" s="57" t="s">
        <v>1372</v>
      </c>
      <c r="AOB48" s="57" t="s">
        <v>1373</v>
      </c>
      <c r="AOC48" s="57" t="s">
        <v>1461</v>
      </c>
      <c r="AOD48" s="57" t="s">
        <v>1462</v>
      </c>
      <c r="AOE48" s="57" t="s">
        <v>1782</v>
      </c>
      <c r="AOF48" s="57"/>
      <c r="AOG48" s="57" t="s">
        <v>1372</v>
      </c>
      <c r="AOH48" s="57" t="s">
        <v>1372</v>
      </c>
      <c r="AOI48" s="57" t="s">
        <v>1372</v>
      </c>
      <c r="AOJ48" s="57" t="s">
        <v>1461</v>
      </c>
      <c r="AOK48" s="57" t="s">
        <v>1461</v>
      </c>
      <c r="AOL48" s="57" t="s">
        <v>1372</v>
      </c>
      <c r="AOM48" s="57"/>
      <c r="AON48" s="57"/>
      <c r="AOO48" s="57"/>
      <c r="AOP48" s="57"/>
      <c r="AOQ48" s="57"/>
      <c r="AOR48" s="57"/>
      <c r="AOS48" s="57"/>
      <c r="AOT48" s="57"/>
      <c r="AOU48" s="57"/>
      <c r="AOV48" s="57" t="s">
        <v>1372</v>
      </c>
      <c r="AOW48" s="57"/>
      <c r="AOX48" s="57"/>
      <c r="AOY48" s="57"/>
      <c r="AOZ48" s="57"/>
      <c r="APA48" s="57"/>
      <c r="APB48" s="57" t="s">
        <v>1372</v>
      </c>
      <c r="APC48" s="57"/>
      <c r="APD48" s="57"/>
      <c r="APE48" s="57" t="s">
        <v>1372</v>
      </c>
      <c r="APF48" s="57"/>
      <c r="APG48" s="57"/>
      <c r="APH48" s="57" t="s">
        <v>1768</v>
      </c>
      <c r="API48" s="57"/>
      <c r="APJ48" s="57" t="s">
        <v>5417</v>
      </c>
      <c r="APK48" s="56" t="s">
        <v>5418</v>
      </c>
      <c r="APL48" s="56" t="str">
        <f t="shared" ref="APL48" si="248">IFERROR(VLOOKUP(APJ48,BASEPOE1,2,FALSE)," ")</f>
        <v xml:space="preserve"> </v>
      </c>
      <c r="APM48" s="56"/>
      <c r="APN48" s="57"/>
      <c r="APO48" s="390">
        <v>45377</v>
      </c>
      <c r="APP48" s="390">
        <f>+APO48+365</f>
        <v>45742</v>
      </c>
      <c r="APQ48" s="57" t="s">
        <v>1372</v>
      </c>
      <c r="APR48" s="57" t="s">
        <v>1373</v>
      </c>
      <c r="APS48" s="57" t="s">
        <v>1372</v>
      </c>
      <c r="APT48" s="57" t="s">
        <v>1373</v>
      </c>
      <c r="APU48" s="57" t="s">
        <v>1461</v>
      </c>
      <c r="APV48" s="57" t="s">
        <v>1462</v>
      </c>
      <c r="APW48" s="57" t="s">
        <v>1372</v>
      </c>
      <c r="APX48" s="57"/>
      <c r="APY48" s="57" t="s">
        <v>1372</v>
      </c>
      <c r="APZ48" s="57" t="s">
        <v>1372</v>
      </c>
      <c r="AQA48" s="57" t="s">
        <v>1372</v>
      </c>
      <c r="AQB48" s="57" t="s">
        <v>1461</v>
      </c>
      <c r="AQC48" s="57" t="s">
        <v>1461</v>
      </c>
      <c r="AQD48" s="57" t="s">
        <v>1372</v>
      </c>
      <c r="AQE48" s="57"/>
      <c r="AQF48" s="57"/>
      <c r="AQG48" s="57"/>
      <c r="AQH48" s="57" t="s">
        <v>1372</v>
      </c>
      <c r="AQI48" s="57"/>
      <c r="AQJ48" s="57"/>
      <c r="AQK48" s="57"/>
      <c r="AQL48" s="57"/>
      <c r="AQM48" s="57"/>
      <c r="AQN48" s="57" t="s">
        <v>1372</v>
      </c>
      <c r="AQO48" s="57"/>
      <c r="AQP48" s="57"/>
      <c r="AQQ48" s="57"/>
      <c r="AQR48" s="57"/>
      <c r="AQS48" s="57"/>
      <c r="AQT48" s="57" t="s">
        <v>1372</v>
      </c>
      <c r="AQU48" s="57" t="s">
        <v>1372</v>
      </c>
      <c r="AQV48" s="57"/>
      <c r="AQW48" s="57"/>
      <c r="AQX48" s="57"/>
      <c r="AQY48" s="57"/>
      <c r="AQZ48" s="57" t="s">
        <v>1768</v>
      </c>
      <c r="ARA48" s="57"/>
      <c r="ARB48" s="57" t="s">
        <v>5453</v>
      </c>
      <c r="ARC48" s="57" t="s">
        <v>5418</v>
      </c>
      <c r="ARD48" s="56" t="str">
        <f t="shared" ref="ARD48" si="249">IFERROR(VLOOKUP(ARB48,BASEPOE1,2,FALSE)," ")</f>
        <v xml:space="preserve"> </v>
      </c>
      <c r="ARE48" s="56"/>
      <c r="ARF48" s="57"/>
      <c r="ARG48" s="390">
        <v>45376</v>
      </c>
      <c r="ARH48" s="390">
        <f>+ARG48+365</f>
        <v>45741</v>
      </c>
      <c r="ARI48" s="57" t="s">
        <v>1372</v>
      </c>
      <c r="ARJ48" s="57" t="s">
        <v>1373</v>
      </c>
      <c r="ARK48" s="57" t="s">
        <v>1372</v>
      </c>
      <c r="ARL48" s="57" t="s">
        <v>1373</v>
      </c>
      <c r="ARM48" s="57" t="s">
        <v>1461</v>
      </c>
      <c r="ARN48" s="57" t="s">
        <v>1462</v>
      </c>
      <c r="ARO48" s="57" t="s">
        <v>1782</v>
      </c>
      <c r="ARP48" s="57"/>
      <c r="ARQ48" s="57" t="s">
        <v>1372</v>
      </c>
      <c r="ARR48" s="57" t="s">
        <v>1372</v>
      </c>
      <c r="ARS48" s="57" t="s">
        <v>1372</v>
      </c>
      <c r="ART48" s="57" t="s">
        <v>1372</v>
      </c>
      <c r="ARU48" s="57" t="s">
        <v>1372</v>
      </c>
      <c r="ARV48" s="57" t="s">
        <v>1372</v>
      </c>
      <c r="ARW48" s="57"/>
      <c r="ARX48" s="57"/>
      <c r="ARY48" s="57"/>
      <c r="ARZ48" s="57" t="s">
        <v>1372</v>
      </c>
      <c r="ASA48" s="57"/>
      <c r="ASB48" s="57"/>
      <c r="ASC48" s="57"/>
      <c r="ASD48" s="57"/>
      <c r="ASE48" s="57"/>
      <c r="ASF48" s="57"/>
      <c r="ASG48" s="57"/>
      <c r="ASH48" s="57"/>
      <c r="ASI48" s="57"/>
      <c r="ASJ48" s="57"/>
      <c r="ASK48" s="57"/>
      <c r="ASL48" s="57" t="s">
        <v>1372</v>
      </c>
      <c r="ASM48" s="57" t="s">
        <v>1372</v>
      </c>
      <c r="ASN48" s="57"/>
      <c r="ASO48" s="57" t="s">
        <v>1372</v>
      </c>
      <c r="ASP48" s="57"/>
      <c r="ASQ48" s="57"/>
      <c r="ASR48" s="57" t="s">
        <v>1768</v>
      </c>
      <c r="ASS48" s="57"/>
      <c r="AST48" s="57" t="s">
        <v>5538</v>
      </c>
      <c r="ASU48" s="56" t="s">
        <v>5418</v>
      </c>
      <c r="ASV48" s="56" t="str">
        <f t="shared" ref="ASV48" si="250">IFERROR(VLOOKUP(AST48,BASEPOE1,2,FALSE)," ")</f>
        <v xml:space="preserve"> </v>
      </c>
      <c r="ASW48" s="56"/>
      <c r="ASX48" s="57"/>
      <c r="ASY48" s="390">
        <v>45378</v>
      </c>
      <c r="ASZ48" s="390">
        <f>+ASY48+365</f>
        <v>45743</v>
      </c>
      <c r="ATA48" s="57" t="s">
        <v>1372</v>
      </c>
      <c r="ATB48" s="57" t="s">
        <v>1373</v>
      </c>
      <c r="ATC48" s="57" t="s">
        <v>1372</v>
      </c>
      <c r="ATD48" s="57" t="s">
        <v>1373</v>
      </c>
      <c r="ATE48" s="57" t="s">
        <v>1461</v>
      </c>
      <c r="ATF48" s="57" t="s">
        <v>1462</v>
      </c>
      <c r="ATG48" s="57" t="s">
        <v>1372</v>
      </c>
      <c r="ATH48" s="57" t="s">
        <v>1372</v>
      </c>
      <c r="ATI48" s="57" t="s">
        <v>1372</v>
      </c>
      <c r="ATJ48" s="57" t="s">
        <v>1372</v>
      </c>
      <c r="ATK48" s="57" t="s">
        <v>1372</v>
      </c>
      <c r="ATL48" s="57" t="s">
        <v>1461</v>
      </c>
      <c r="ATM48" s="57" t="s">
        <v>1461</v>
      </c>
      <c r="ATN48" s="57" t="s">
        <v>1372</v>
      </c>
      <c r="ATO48" s="57"/>
      <c r="ATP48" s="57"/>
      <c r="ATQ48" s="57"/>
      <c r="ATR48" s="57" t="s">
        <v>1372</v>
      </c>
      <c r="ATS48" s="57"/>
      <c r="ATT48" s="57"/>
      <c r="ATU48" s="57"/>
      <c r="ATV48" s="57"/>
      <c r="ATW48" s="57"/>
      <c r="ATX48" s="57"/>
      <c r="ATY48" s="57"/>
      <c r="ATZ48" s="57"/>
      <c r="AUA48" s="57"/>
      <c r="AUB48" s="57"/>
      <c r="AUC48" s="57"/>
      <c r="AUD48" s="57" t="s">
        <v>1372</v>
      </c>
      <c r="AUE48" s="57"/>
      <c r="AUF48" s="57"/>
      <c r="AUG48" s="57"/>
      <c r="AUH48" s="57"/>
      <c r="AUI48" s="57"/>
      <c r="AUJ48" s="57" t="s">
        <v>1768</v>
      </c>
      <c r="AUK48" s="57"/>
      <c r="AUL48" s="57" t="s">
        <v>5495</v>
      </c>
      <c r="AUM48" s="57" t="s">
        <v>5418</v>
      </c>
      <c r="AUN48" s="56" t="str">
        <f t="shared" ref="AUN48" si="251">IFERROR(VLOOKUP(AUL48,BASEPOE1,2,FALSE)," ")</f>
        <v xml:space="preserve"> </v>
      </c>
      <c r="AUO48" s="56"/>
      <c r="AUP48" s="57"/>
      <c r="AUQ48" s="390">
        <v>45383</v>
      </c>
      <c r="AUR48" s="390">
        <f>+AUQ48+365</f>
        <v>45748</v>
      </c>
      <c r="AUS48" s="57" t="s">
        <v>1372</v>
      </c>
      <c r="AUT48" s="57" t="s">
        <v>1373</v>
      </c>
      <c r="AUU48" s="57" t="s">
        <v>1372</v>
      </c>
      <c r="AUV48" s="57" t="s">
        <v>1373</v>
      </c>
      <c r="AUW48" s="57" t="s">
        <v>1461</v>
      </c>
      <c r="AUX48" s="57" t="s">
        <v>1462</v>
      </c>
      <c r="AUY48" s="57" t="s">
        <v>1372</v>
      </c>
      <c r="AUZ48" s="57"/>
      <c r="AVA48" s="57" t="s">
        <v>1372</v>
      </c>
      <c r="AVB48" s="57" t="s">
        <v>1372</v>
      </c>
      <c r="AVC48" s="57" t="s">
        <v>1372</v>
      </c>
      <c r="AVD48" s="57" t="s">
        <v>1461</v>
      </c>
      <c r="AVE48" s="57" t="s">
        <v>1461</v>
      </c>
      <c r="AVF48" s="57" t="s">
        <v>1372</v>
      </c>
      <c r="AVG48" s="57" t="s">
        <v>1382</v>
      </c>
      <c r="AVH48" s="57"/>
      <c r="AVI48" s="57"/>
      <c r="AVJ48" s="57" t="s">
        <v>1372</v>
      </c>
      <c r="AVK48" s="57"/>
      <c r="AVL48" s="57"/>
      <c r="AVM48" s="57"/>
      <c r="AVN48" s="57"/>
      <c r="AVO48" s="57"/>
      <c r="AVP48" s="57"/>
      <c r="AVQ48" s="57"/>
      <c r="AVR48" s="57"/>
      <c r="AVS48" s="57"/>
      <c r="AVT48" s="57"/>
      <c r="AVU48" s="57"/>
      <c r="AVV48" s="57"/>
      <c r="AVW48" s="57"/>
      <c r="AVX48" s="57"/>
      <c r="AVY48" s="57"/>
      <c r="AVZ48" s="57"/>
      <c r="AWA48" s="57"/>
      <c r="AWB48" s="57"/>
      <c r="AWC48" s="57"/>
      <c r="AWD48" s="57" t="s">
        <v>5430</v>
      </c>
      <c r="AWE48" s="57" t="s">
        <v>5418</v>
      </c>
      <c r="AWF48" s="56" t="str">
        <f t="shared" ref="AWF48" si="252">IFERROR(VLOOKUP(AWD48,BASEPOE1,2,FALSE)," ")</f>
        <v xml:space="preserve"> </v>
      </c>
      <c r="AWG48" s="56"/>
      <c r="AWH48" s="57"/>
      <c r="AWI48" s="390">
        <v>45352</v>
      </c>
      <c r="AWJ48" s="390">
        <f>+AWI48+365</f>
        <v>45717</v>
      </c>
      <c r="AWK48" s="57" t="s">
        <v>1372</v>
      </c>
      <c r="AWL48" s="57" t="s">
        <v>1373</v>
      </c>
      <c r="AWM48" s="57" t="s">
        <v>1372</v>
      </c>
      <c r="AWN48" s="57" t="s">
        <v>1373</v>
      </c>
      <c r="AWO48" s="57" t="s">
        <v>1461</v>
      </c>
      <c r="AWP48" s="57" t="s">
        <v>1462</v>
      </c>
      <c r="AWQ48" s="57"/>
      <c r="AWR48" s="57" t="s">
        <v>1372</v>
      </c>
      <c r="AWS48" s="57" t="s">
        <v>1372</v>
      </c>
      <c r="AWT48" s="57" t="s">
        <v>1372</v>
      </c>
      <c r="AWU48" s="57" t="s">
        <v>1372</v>
      </c>
      <c r="AWV48" s="57" t="s">
        <v>1461</v>
      </c>
      <c r="AWW48" s="57" t="s">
        <v>1461</v>
      </c>
      <c r="AWX48" s="57" t="s">
        <v>1372</v>
      </c>
      <c r="AWY48" s="57"/>
      <c r="AWZ48" s="57"/>
      <c r="AXA48" s="57"/>
      <c r="AXB48" s="57" t="s">
        <v>1372</v>
      </c>
      <c r="AXC48" s="57"/>
      <c r="AXD48" s="57"/>
      <c r="AXE48" s="57"/>
      <c r="AXF48" s="57"/>
      <c r="AXG48" s="57"/>
      <c r="AXH48" s="57"/>
      <c r="AXI48" s="57"/>
      <c r="AXJ48" s="57"/>
      <c r="AXK48" s="57"/>
      <c r="AXL48" s="57"/>
      <c r="AXM48" s="57"/>
      <c r="AXN48" s="57" t="s">
        <v>1372</v>
      </c>
      <c r="AXO48" s="57" t="s">
        <v>1372</v>
      </c>
      <c r="AXP48" s="57"/>
      <c r="AXQ48" s="57"/>
      <c r="AXR48" s="57"/>
      <c r="AXS48" s="57"/>
      <c r="AXT48" s="57"/>
      <c r="AXU48" s="57"/>
      <c r="AXV48" s="57" t="s">
        <v>5490</v>
      </c>
      <c r="AXW48" s="57" t="s">
        <v>5418</v>
      </c>
      <c r="AXX48" s="56" t="str">
        <f t="shared" ref="AXX48" si="253">IFERROR(VLOOKUP(AXV48,BASEPOE1,2,FALSE)," ")</f>
        <v xml:space="preserve"> </v>
      </c>
      <c r="AXY48" s="56"/>
      <c r="AXZ48" s="57"/>
      <c r="AYA48" s="390">
        <v>45376</v>
      </c>
      <c r="AYB48" s="390">
        <f>+AYA48+365</f>
        <v>45741</v>
      </c>
      <c r="AYC48" s="57" t="s">
        <v>1372</v>
      </c>
      <c r="AYD48" s="57" t="s">
        <v>1373</v>
      </c>
      <c r="AYE48" s="57" t="s">
        <v>1372</v>
      </c>
      <c r="AYF48" s="57" t="s">
        <v>1373</v>
      </c>
      <c r="AYG48" s="57" t="s">
        <v>1461</v>
      </c>
      <c r="AYH48" s="57" t="s">
        <v>5491</v>
      </c>
      <c r="AYI48" s="57" t="s">
        <v>1782</v>
      </c>
      <c r="AYJ48" s="57"/>
      <c r="AYK48" s="57" t="s">
        <v>1372</v>
      </c>
      <c r="AYL48" s="57" t="s">
        <v>1372</v>
      </c>
      <c r="AYM48" s="57" t="s">
        <v>1372</v>
      </c>
      <c r="AYN48" s="57" t="s">
        <v>1461</v>
      </c>
      <c r="AYO48" s="57" t="s">
        <v>1461</v>
      </c>
      <c r="AYP48" s="57" t="s">
        <v>1372</v>
      </c>
      <c r="AYQ48" s="57"/>
      <c r="AYR48" s="57"/>
      <c r="AYS48" s="57"/>
      <c r="AYT48" s="57" t="s">
        <v>1372</v>
      </c>
      <c r="AYU48" s="57"/>
      <c r="AYV48" s="57"/>
      <c r="AYW48" s="57"/>
      <c r="AYX48" s="57"/>
      <c r="AYY48" s="57"/>
      <c r="AYZ48" s="57"/>
      <c r="AZA48" s="57"/>
      <c r="AZB48" s="57"/>
      <c r="AZC48" s="57"/>
      <c r="AZD48" s="57"/>
      <c r="AZE48" s="57"/>
      <c r="AZF48" s="57"/>
      <c r="AZG48" s="57"/>
      <c r="AZH48" s="57"/>
      <c r="AZI48" s="57"/>
      <c r="AZJ48" s="57"/>
      <c r="AZK48" s="57"/>
      <c r="AZL48" s="57" t="s">
        <v>1768</v>
      </c>
      <c r="AZM48" s="57"/>
      <c r="AZN48" s="57" t="s">
        <v>5480</v>
      </c>
      <c r="AZO48" s="57" t="s">
        <v>5418</v>
      </c>
      <c r="AZP48" s="56" t="str">
        <f t="shared" ref="AZP48" si="254">IFERROR(VLOOKUP(AZN48,BASEPOE1,2,FALSE)," ")</f>
        <v xml:space="preserve"> </v>
      </c>
      <c r="AZQ48" s="56"/>
      <c r="AZR48" s="57"/>
      <c r="AZS48" s="390">
        <v>45376</v>
      </c>
      <c r="AZT48" s="390">
        <f>+AZS48+365</f>
        <v>45741</v>
      </c>
      <c r="AZU48" s="57" t="s">
        <v>1372</v>
      </c>
      <c r="AZV48" s="57" t="s">
        <v>1373</v>
      </c>
      <c r="AZW48" s="57" t="s">
        <v>1372</v>
      </c>
      <c r="AZX48" s="57" t="s">
        <v>1373</v>
      </c>
      <c r="AZY48" s="57" t="s">
        <v>1461</v>
      </c>
      <c r="AZZ48" s="57" t="s">
        <v>1462</v>
      </c>
      <c r="BAA48" s="57" t="s">
        <v>2582</v>
      </c>
      <c r="BAB48" s="57"/>
      <c r="BAC48" s="57" t="s">
        <v>1372</v>
      </c>
      <c r="BAD48" s="57" t="s">
        <v>1372</v>
      </c>
      <c r="BAE48" s="57" t="s">
        <v>1372</v>
      </c>
      <c r="BAF48" s="57" t="s">
        <v>1461</v>
      </c>
      <c r="BAG48" s="57" t="s">
        <v>1461</v>
      </c>
      <c r="BAH48" s="57" t="s">
        <v>1372</v>
      </c>
      <c r="BAI48" s="57"/>
      <c r="BAJ48" s="57"/>
      <c r="BAK48" s="57"/>
      <c r="BAL48" s="57" t="s">
        <v>1372</v>
      </c>
      <c r="BAM48" s="57"/>
      <c r="BAN48" s="57"/>
      <c r="BAO48" s="57"/>
      <c r="BAP48" s="57"/>
      <c r="BAQ48" s="57"/>
      <c r="BAR48" s="57"/>
      <c r="BAS48" s="57"/>
      <c r="BAT48" s="57"/>
      <c r="BAU48" s="57"/>
      <c r="BAV48" s="57"/>
      <c r="BAW48" s="57"/>
      <c r="BAX48" s="57" t="s">
        <v>1372</v>
      </c>
      <c r="BAY48" s="57" t="s">
        <v>1372</v>
      </c>
      <c r="BAZ48" s="57"/>
      <c r="BBA48" s="57"/>
      <c r="BBB48" s="57"/>
      <c r="BBC48" s="57"/>
      <c r="BBD48" s="57" t="s">
        <v>1768</v>
      </c>
      <c r="BBE48" s="57"/>
      <c r="BBF48" s="57" t="s">
        <v>5474</v>
      </c>
      <c r="BBG48" s="57" t="s">
        <v>5418</v>
      </c>
      <c r="BBH48" s="56" t="str">
        <f t="shared" ref="BBH48" si="255">IFERROR(VLOOKUP(BBF48,BASEPOE1,2,FALSE)," ")</f>
        <v xml:space="preserve"> </v>
      </c>
      <c r="BBI48" s="56"/>
      <c r="BBJ48" s="57"/>
      <c r="BBK48" s="390">
        <v>45377</v>
      </c>
      <c r="BBL48" s="390">
        <f>+BBK48+365</f>
        <v>45742</v>
      </c>
      <c r="BBM48" s="57" t="s">
        <v>1372</v>
      </c>
      <c r="BBN48" s="57" t="s">
        <v>1373</v>
      </c>
      <c r="BBO48" s="57" t="s">
        <v>1372</v>
      </c>
      <c r="BBP48" s="57" t="s">
        <v>1373</v>
      </c>
      <c r="BBQ48" s="57" t="s">
        <v>1461</v>
      </c>
      <c r="BBR48" s="57" t="s">
        <v>1462</v>
      </c>
      <c r="BBS48" s="57" t="s">
        <v>1372</v>
      </c>
      <c r="BBT48" s="57"/>
      <c r="BBU48" s="57" t="s">
        <v>1372</v>
      </c>
      <c r="BBV48" s="57" t="s">
        <v>1372</v>
      </c>
      <c r="BBW48" s="57" t="s">
        <v>1372</v>
      </c>
      <c r="BBX48" s="57" t="s">
        <v>1461</v>
      </c>
      <c r="BBY48" s="57" t="s">
        <v>1461</v>
      </c>
      <c r="BBZ48" s="57" t="s">
        <v>1372</v>
      </c>
      <c r="BCA48" s="57"/>
      <c r="BCB48" s="57"/>
      <c r="BCC48" s="57"/>
      <c r="BCD48" s="57" t="s">
        <v>1372</v>
      </c>
      <c r="BCE48" s="57"/>
      <c r="BCF48" s="57"/>
      <c r="BCG48" s="57"/>
      <c r="BCH48" s="57"/>
      <c r="BCI48" s="57"/>
      <c r="BCJ48" s="57"/>
      <c r="BCK48" s="57"/>
      <c r="BCL48" s="57"/>
      <c r="BCM48" s="57"/>
      <c r="BCN48" s="57"/>
      <c r="BCO48" s="57"/>
      <c r="BCP48" s="57"/>
      <c r="BCQ48" s="57"/>
      <c r="BCR48" s="57"/>
      <c r="BCS48" s="57"/>
      <c r="BCT48" s="57"/>
      <c r="BCU48" s="57"/>
      <c r="BCV48" s="57"/>
      <c r="BCW48" s="57"/>
      <c r="BCX48" s="57" t="s">
        <v>5522</v>
      </c>
      <c r="BCY48" s="57" t="s">
        <v>5418</v>
      </c>
      <c r="BCZ48" s="56" t="str">
        <f t="shared" ref="BCZ48" si="256">IFERROR(VLOOKUP(BCX48,BASEPOE1,2,FALSE)," ")</f>
        <v xml:space="preserve"> </v>
      </c>
      <c r="BDA48" s="56"/>
      <c r="BDB48" s="57"/>
      <c r="BDC48" s="390">
        <v>45376</v>
      </c>
      <c r="BDD48" s="390">
        <f>+BDC48+365</f>
        <v>45741</v>
      </c>
      <c r="BDE48" s="57" t="s">
        <v>1372</v>
      </c>
      <c r="BDF48" s="57" t="s">
        <v>1373</v>
      </c>
      <c r="BDG48" s="57" t="s">
        <v>1372</v>
      </c>
      <c r="BDH48" s="57" t="s">
        <v>1373</v>
      </c>
      <c r="BDI48" s="57" t="s">
        <v>1461</v>
      </c>
      <c r="BDJ48" s="57" t="s">
        <v>1462</v>
      </c>
      <c r="BDK48" s="57" t="s">
        <v>1372</v>
      </c>
      <c r="BDL48" s="57"/>
      <c r="BDM48" s="57" t="s">
        <v>1372</v>
      </c>
      <c r="BDN48" s="57" t="s">
        <v>5523</v>
      </c>
      <c r="BDO48" s="57" t="s">
        <v>1372</v>
      </c>
      <c r="BDP48" s="57" t="s">
        <v>1461</v>
      </c>
      <c r="BDQ48" s="57" t="s">
        <v>1461</v>
      </c>
      <c r="BDR48" s="57" t="s">
        <v>1372</v>
      </c>
      <c r="BDS48" s="57"/>
      <c r="BDT48" s="57"/>
      <c r="BDU48" s="57"/>
      <c r="BDV48" s="57" t="s">
        <v>1372</v>
      </c>
      <c r="BDW48" s="57"/>
      <c r="BDX48" s="57"/>
      <c r="BDY48" s="57"/>
      <c r="BDZ48" s="57"/>
      <c r="BEA48" s="57"/>
      <c r="BEB48" s="57" t="s">
        <v>1372</v>
      </c>
      <c r="BEC48" s="57"/>
      <c r="BED48" s="57"/>
      <c r="BEE48" s="57"/>
      <c r="BEF48" s="57"/>
      <c r="BEG48" s="57"/>
      <c r="BEH48" s="57" t="s">
        <v>1372</v>
      </c>
      <c r="BEI48" s="57" t="s">
        <v>1372</v>
      </c>
      <c r="BEJ48" s="57"/>
      <c r="BEK48" s="57" t="s">
        <v>1372</v>
      </c>
      <c r="BEL48" s="57"/>
      <c r="BEM48" s="57"/>
      <c r="BEN48" s="57" t="s">
        <v>1783</v>
      </c>
      <c r="BEO48" s="57" t="s">
        <v>1768</v>
      </c>
      <c r="BEP48" s="57" t="s">
        <v>5422</v>
      </c>
      <c r="BEQ48" s="57" t="s">
        <v>5418</v>
      </c>
      <c r="BER48" s="56" t="str">
        <f t="shared" ref="BER48" si="257">IFERROR(VLOOKUP(BEP48,BASEPOE1,2,FALSE)," ")</f>
        <v xml:space="preserve"> </v>
      </c>
      <c r="BES48" s="56"/>
      <c r="BET48" s="57"/>
      <c r="BEU48" s="390">
        <v>45377</v>
      </c>
      <c r="BEV48" s="390">
        <f>+BEU48+365</f>
        <v>45742</v>
      </c>
      <c r="BEW48" s="57" t="s">
        <v>1372</v>
      </c>
      <c r="BEX48" s="57" t="s">
        <v>1373</v>
      </c>
      <c r="BEY48" s="57" t="s">
        <v>1372</v>
      </c>
      <c r="BEZ48" s="57" t="s">
        <v>1373</v>
      </c>
      <c r="BFA48" s="57" t="s">
        <v>1461</v>
      </c>
      <c r="BFB48" s="57" t="s">
        <v>1462</v>
      </c>
      <c r="BFC48" s="57" t="s">
        <v>1372</v>
      </c>
      <c r="BFD48" s="57"/>
      <c r="BFE48" s="57" t="s">
        <v>1372</v>
      </c>
      <c r="BFF48" s="57" t="s">
        <v>1372</v>
      </c>
      <c r="BFG48" s="57" t="s">
        <v>1372</v>
      </c>
      <c r="BFH48" s="57" t="s">
        <v>1461</v>
      </c>
      <c r="BFI48" s="57" t="s">
        <v>1461</v>
      </c>
      <c r="BFJ48" s="57" t="s">
        <v>1372</v>
      </c>
      <c r="BFK48" s="57"/>
      <c r="BFL48" s="57"/>
      <c r="BFM48" s="57"/>
      <c r="BFN48" s="57" t="s">
        <v>1372</v>
      </c>
      <c r="BFO48" s="57"/>
      <c r="BFP48" s="57"/>
      <c r="BFQ48" s="57"/>
      <c r="BFR48" s="57"/>
      <c r="BFS48" s="57"/>
      <c r="BFT48" s="57"/>
      <c r="BFU48" s="57" t="s">
        <v>1372</v>
      </c>
      <c r="BFV48" s="57"/>
      <c r="BFW48" s="57"/>
      <c r="BFX48" s="57"/>
      <c r="BFY48" s="57"/>
      <c r="BFZ48" s="57" t="s">
        <v>1372</v>
      </c>
      <c r="BGA48" s="57"/>
      <c r="BGB48" s="57"/>
      <c r="BGC48" s="57"/>
      <c r="BGD48" s="57"/>
      <c r="BGE48" s="57"/>
      <c r="BGF48" s="57" t="s">
        <v>1768</v>
      </c>
      <c r="BGG48" s="57"/>
      <c r="BGH48" s="57" t="s">
        <v>5459</v>
      </c>
      <c r="BGI48" s="57" t="s">
        <v>5418</v>
      </c>
      <c r="BGJ48" s="56" t="str">
        <f t="shared" ref="BGJ48" si="258">IFERROR(VLOOKUP(BGH48,BASEPOE1,2,FALSE)," ")</f>
        <v xml:space="preserve"> </v>
      </c>
      <c r="BGK48" s="56"/>
      <c r="BGL48" s="57"/>
      <c r="BGM48" s="390">
        <v>45376</v>
      </c>
      <c r="BGN48" s="390">
        <f>+BGM48+365</f>
        <v>45741</v>
      </c>
      <c r="BGO48" s="57" t="s">
        <v>1372</v>
      </c>
      <c r="BGP48" s="57" t="s">
        <v>1373</v>
      </c>
      <c r="BGQ48" s="57" t="s">
        <v>1372</v>
      </c>
      <c r="BGR48" s="57" t="s">
        <v>1373</v>
      </c>
      <c r="BGS48" s="57" t="s">
        <v>1461</v>
      </c>
      <c r="BGT48" s="57" t="s">
        <v>1462</v>
      </c>
      <c r="BGU48" s="57" t="s">
        <v>5460</v>
      </c>
      <c r="BGV48" s="57"/>
      <c r="BGW48" s="57"/>
      <c r="BGX48" s="57" t="s">
        <v>1821</v>
      </c>
      <c r="BGY48" s="57" t="s">
        <v>1372</v>
      </c>
      <c r="BGZ48" s="57" t="s">
        <v>1461</v>
      </c>
      <c r="BHA48" s="57" t="s">
        <v>1461</v>
      </c>
      <c r="BHB48" s="57"/>
      <c r="BHC48" s="57"/>
      <c r="BHD48" s="57"/>
      <c r="BHE48" s="57"/>
      <c r="BHF48" s="57" t="s">
        <v>1372</v>
      </c>
      <c r="BHG48" s="57"/>
      <c r="BHH48" s="57"/>
      <c r="BHI48" s="57"/>
      <c r="BHJ48" s="57"/>
      <c r="BHK48" s="57"/>
      <c r="BHL48" s="57"/>
      <c r="BHM48" s="57"/>
      <c r="BHN48" s="57"/>
      <c r="BHO48" s="57"/>
      <c r="BHP48" s="57"/>
      <c r="BHQ48" s="57"/>
      <c r="BHR48" s="57" t="s">
        <v>1372</v>
      </c>
      <c r="BHS48" s="57"/>
      <c r="BHT48" s="57"/>
      <c r="BHU48" s="57"/>
      <c r="BHV48" s="57"/>
      <c r="BHW48" s="57"/>
      <c r="BHX48" s="57" t="s">
        <v>1768</v>
      </c>
      <c r="BHY48" s="57"/>
      <c r="BHZ48" s="57" t="s">
        <v>5517</v>
      </c>
      <c r="BIA48" s="57" t="s">
        <v>5418</v>
      </c>
      <c r="BIB48" s="56" t="str">
        <f t="shared" ref="BIB48" si="259">IFERROR(VLOOKUP(BHZ48,BASEPOE1,2,FALSE)," ")</f>
        <v xml:space="preserve"> </v>
      </c>
      <c r="BIC48" s="56"/>
      <c r="BID48" s="57"/>
      <c r="BIE48" s="390">
        <v>45376</v>
      </c>
      <c r="BIF48" s="390">
        <f>+BIE48+365</f>
        <v>45741</v>
      </c>
      <c r="BIG48" s="57" t="s">
        <v>1372</v>
      </c>
      <c r="BIH48" s="57" t="s">
        <v>5518</v>
      </c>
      <c r="BII48" s="57" t="s">
        <v>1372</v>
      </c>
      <c r="BIJ48" s="57" t="s">
        <v>5518</v>
      </c>
      <c r="BIK48" s="57" t="s">
        <v>1461</v>
      </c>
      <c r="BIL48" s="57" t="s">
        <v>1462</v>
      </c>
      <c r="BIM48" s="57" t="s">
        <v>1372</v>
      </c>
      <c r="BIN48" s="57"/>
      <c r="BIO48" s="57" t="s">
        <v>1372</v>
      </c>
      <c r="BIP48" s="57" t="s">
        <v>1372</v>
      </c>
      <c r="BIQ48" s="57" t="s">
        <v>1372</v>
      </c>
      <c r="BIR48" s="57" t="s">
        <v>1461</v>
      </c>
      <c r="BIS48" s="57" t="s">
        <v>1461</v>
      </c>
      <c r="BIT48" s="57" t="s">
        <v>1372</v>
      </c>
      <c r="BIU48" s="57"/>
      <c r="BIV48" s="57"/>
      <c r="BIW48" s="57"/>
      <c r="BIX48" s="57" t="s">
        <v>1372</v>
      </c>
      <c r="BIY48" s="57"/>
      <c r="BIZ48" s="57"/>
      <c r="BJA48" s="57"/>
      <c r="BJB48" s="57"/>
      <c r="BJC48" s="57"/>
      <c r="BJD48" s="57"/>
      <c r="BJE48" s="57"/>
      <c r="BJF48" s="57"/>
      <c r="BJG48" s="57"/>
      <c r="BJH48" s="57"/>
      <c r="BJI48" s="57"/>
      <c r="BJJ48" s="57"/>
      <c r="BJK48" s="57" t="s">
        <v>1372</v>
      </c>
      <c r="BJL48" s="57"/>
      <c r="BJM48" s="57"/>
      <c r="BJN48" s="57"/>
      <c r="BJO48" s="57"/>
      <c r="BJP48" s="57"/>
      <c r="BJQ48" s="57"/>
      <c r="BJR48" s="57" t="s">
        <v>5529</v>
      </c>
      <c r="BJS48" s="57" t="s">
        <v>5418</v>
      </c>
      <c r="BJT48" s="56" t="str">
        <f t="shared" ref="BJT48" si="260">IFERROR(VLOOKUP(BJR48,BASEPOE1,2,FALSE)," ")</f>
        <v xml:space="preserve"> </v>
      </c>
      <c r="BJU48" s="56"/>
      <c r="BJV48" s="57"/>
      <c r="BJW48" s="390">
        <v>45383</v>
      </c>
      <c r="BJX48" s="390">
        <f>+BJW48+365</f>
        <v>45748</v>
      </c>
      <c r="BJY48" s="57" t="s">
        <v>1372</v>
      </c>
      <c r="BJZ48" s="57" t="s">
        <v>1373</v>
      </c>
      <c r="BKA48" s="57" t="s">
        <v>1372</v>
      </c>
      <c r="BKB48" s="57" t="s">
        <v>1373</v>
      </c>
      <c r="BKC48" s="57" t="s">
        <v>1461</v>
      </c>
      <c r="BKD48" s="57" t="s">
        <v>1462</v>
      </c>
      <c r="BKE48" s="57" t="s">
        <v>5530</v>
      </c>
      <c r="BKF48" s="57"/>
      <c r="BKG48" s="57" t="s">
        <v>1372</v>
      </c>
      <c r="BKH48" s="57" t="s">
        <v>1372</v>
      </c>
      <c r="BKI48" s="57" t="s">
        <v>1372</v>
      </c>
      <c r="BKJ48" s="57" t="s">
        <v>1461</v>
      </c>
      <c r="BKK48" s="57" t="s">
        <v>1461</v>
      </c>
      <c r="BKL48" s="57" t="s">
        <v>1372</v>
      </c>
      <c r="BKM48" s="57"/>
      <c r="BKN48" s="57"/>
      <c r="BKO48" s="57"/>
      <c r="BKP48" s="57" t="s">
        <v>1372</v>
      </c>
      <c r="BKQ48" s="57"/>
      <c r="BKR48" s="57"/>
      <c r="BKS48" s="57"/>
      <c r="BKT48" s="57"/>
      <c r="BKU48" s="57"/>
      <c r="BKV48" s="57" t="s">
        <v>1372</v>
      </c>
      <c r="BKW48" s="57"/>
      <c r="BKX48" s="57"/>
      <c r="BKY48" s="57"/>
      <c r="BKZ48" s="57"/>
      <c r="BLA48" s="57"/>
      <c r="BLB48" s="57"/>
      <c r="BLC48" s="57"/>
      <c r="BLD48" s="57"/>
      <c r="BLE48" s="57" t="s">
        <v>1372</v>
      </c>
      <c r="BLF48" s="57"/>
      <c r="BLG48" s="57"/>
      <c r="BLH48" s="57" t="s">
        <v>1768</v>
      </c>
      <c r="BLI48" s="57" t="s">
        <v>1783</v>
      </c>
      <c r="BLJ48" s="57" t="s">
        <v>5549</v>
      </c>
      <c r="BLK48" s="57" t="s">
        <v>5418</v>
      </c>
      <c r="BLL48" s="56" t="str">
        <f t="shared" ref="BLL48" si="261">IFERROR(VLOOKUP(BLJ48,BASEPOE1,2,FALSE)," ")</f>
        <v xml:space="preserve"> </v>
      </c>
      <c r="BLM48" s="56"/>
      <c r="BLN48" s="57"/>
      <c r="BLO48" s="390"/>
      <c r="BLP48" s="390">
        <f>+BLO48+365</f>
        <v>365</v>
      </c>
      <c r="BLQ48" s="57"/>
      <c r="BLR48" s="57"/>
      <c r="BLS48" s="57"/>
      <c r="BLT48" s="57"/>
      <c r="BLU48" s="57"/>
      <c r="BLV48" s="57"/>
      <c r="BLW48" s="57" t="s">
        <v>1372</v>
      </c>
      <c r="BLX48" s="57" t="s">
        <v>1372</v>
      </c>
      <c r="BLY48" s="57" t="s">
        <v>1372</v>
      </c>
      <c r="BLZ48" s="57" t="s">
        <v>1372</v>
      </c>
      <c r="BMA48" s="57" t="s">
        <v>1372</v>
      </c>
      <c r="BMB48" s="57" t="s">
        <v>1461</v>
      </c>
      <c r="BMC48" s="57" t="s">
        <v>1461</v>
      </c>
      <c r="BMD48" s="57" t="s">
        <v>1372</v>
      </c>
      <c r="BME48" s="57"/>
      <c r="BMF48" s="57"/>
      <c r="BMG48" s="57"/>
      <c r="BMH48" s="57" t="s">
        <v>1372</v>
      </c>
      <c r="BMI48" s="57"/>
      <c r="BMJ48" s="57"/>
      <c r="BMK48" s="57"/>
      <c r="BML48" s="57"/>
      <c r="BMM48" s="57"/>
      <c r="BMN48" s="57" t="s">
        <v>1372</v>
      </c>
      <c r="BMO48" s="57"/>
      <c r="BMP48" s="57"/>
      <c r="BMQ48" s="57"/>
      <c r="BMR48" s="57"/>
      <c r="BMS48" s="57"/>
      <c r="BMT48" s="57"/>
      <c r="BMU48" s="57"/>
      <c r="BMV48" s="57"/>
      <c r="BMW48" s="57"/>
      <c r="BMX48" s="57"/>
      <c r="BMY48" s="57"/>
      <c r="BMZ48" s="57"/>
      <c r="BNA48" s="57"/>
      <c r="BNB48" s="57"/>
      <c r="BNC48" s="57"/>
      <c r="BND48" s="56" t="str">
        <f t="shared" ref="BND48" si="262">IFERROR(VLOOKUP(BNB48,BASEPOE1,2,FALSE)," ")</f>
        <v xml:space="preserve"> </v>
      </c>
      <c r="BNE48" s="56"/>
      <c r="BNF48" s="57"/>
      <c r="BNG48" s="390"/>
      <c r="BNH48" s="390">
        <f>+BNG48+365</f>
        <v>365</v>
      </c>
      <c r="BNI48" s="57"/>
      <c r="BNJ48" s="57"/>
      <c r="BNK48" s="57"/>
      <c r="BNL48" s="57"/>
      <c r="BNM48" s="57"/>
      <c r="BNN48" s="57"/>
      <c r="BNO48" s="57"/>
      <c r="BNP48" s="57"/>
      <c r="BNQ48" s="57"/>
      <c r="BNR48" s="57"/>
      <c r="BNS48" s="57"/>
      <c r="BNT48" s="57"/>
      <c r="BNU48" s="57"/>
      <c r="BNV48" s="57"/>
      <c r="BNW48" s="57"/>
      <c r="BNX48" s="57"/>
      <c r="BNY48" s="57"/>
      <c r="BNZ48" s="57"/>
      <c r="BOA48" s="57"/>
      <c r="BOB48" s="57"/>
      <c r="BOC48" s="57"/>
      <c r="BOD48" s="57"/>
      <c r="BOE48" s="57"/>
      <c r="BOF48" s="57"/>
      <c r="BOG48" s="57"/>
      <c r="BOH48" s="57"/>
      <c r="BOI48" s="57"/>
      <c r="BOJ48" s="57"/>
      <c r="BOK48" s="57"/>
      <c r="BOL48" s="57"/>
      <c r="BOM48" s="57"/>
      <c r="BON48" s="57"/>
      <c r="BOO48" s="57"/>
      <c r="BOP48" s="57"/>
      <c r="BOQ48" s="57"/>
      <c r="BOR48" s="57"/>
      <c r="BOS48" s="57"/>
      <c r="BOT48" s="57"/>
      <c r="BOU48" s="57"/>
      <c r="BOV48" s="56" t="str">
        <f t="shared" ref="BOV48" si="263">IFERROR(VLOOKUP(BOT48,BASEPOE1,2,FALSE)," ")</f>
        <v xml:space="preserve"> </v>
      </c>
      <c r="BOW48" s="56"/>
      <c r="BOX48" s="57"/>
      <c r="BOY48" s="390"/>
      <c r="BOZ48" s="390">
        <f>+BOY48+365</f>
        <v>365</v>
      </c>
      <c r="BPA48" s="57"/>
      <c r="BPB48" s="57"/>
      <c r="BPC48" s="57"/>
      <c r="BPD48" s="57"/>
      <c r="BPE48" s="57"/>
      <c r="BPF48" s="57"/>
      <c r="BPG48" s="57"/>
      <c r="BPH48" s="57"/>
      <c r="BPI48" s="57"/>
      <c r="BPJ48" s="57"/>
      <c r="BPK48" s="57"/>
      <c r="BPL48" s="57"/>
      <c r="BPM48" s="57"/>
      <c r="BPN48" s="57"/>
      <c r="BPO48" s="57"/>
      <c r="BPP48" s="57"/>
      <c r="BPQ48" s="57"/>
      <c r="BPR48" s="57"/>
      <c r="BPS48" s="57"/>
      <c r="BPT48" s="57"/>
      <c r="BPU48" s="57"/>
      <c r="BPV48" s="57"/>
      <c r="BPW48" s="57"/>
      <c r="BPX48" s="57"/>
      <c r="BPY48" s="57"/>
      <c r="BPZ48" s="57"/>
      <c r="BQA48" s="57"/>
      <c r="BQB48" s="57"/>
      <c r="BQC48" s="57"/>
      <c r="BQD48" s="57"/>
      <c r="BQE48" s="57"/>
      <c r="BQF48" s="57"/>
      <c r="BQG48" s="57"/>
      <c r="BQH48" s="57"/>
      <c r="BQI48" s="57"/>
      <c r="BQJ48" s="57"/>
      <c r="BQK48" s="57"/>
      <c r="BQL48" s="57"/>
      <c r="BQM48" s="57"/>
      <c r="BQN48" s="56" t="str">
        <f t="shared" ref="BQN48" si="264">IFERROR(VLOOKUP(BQL48,BASEPOE1,2,FALSE)," ")</f>
        <v xml:space="preserve"> </v>
      </c>
      <c r="BQO48" s="56"/>
      <c r="BQP48" s="57"/>
      <c r="BQQ48" s="390"/>
      <c r="BQR48" s="390">
        <f>+BQQ48+365</f>
        <v>365</v>
      </c>
      <c r="BQS48" s="57"/>
      <c r="BQT48" s="57"/>
      <c r="BQU48" s="57"/>
      <c r="BQV48" s="57"/>
      <c r="BQW48" s="57"/>
      <c r="BQX48" s="57"/>
      <c r="BQY48" s="57"/>
      <c r="BQZ48" s="57"/>
      <c r="BRA48" s="57"/>
      <c r="BRB48" s="57"/>
      <c r="BRC48" s="57"/>
      <c r="BRD48" s="57"/>
      <c r="BRE48" s="57"/>
      <c r="BRF48" s="57"/>
      <c r="BRG48" s="57"/>
      <c r="BRH48" s="57"/>
      <c r="BRI48" s="57"/>
      <c r="BRJ48" s="57"/>
      <c r="BRK48" s="57"/>
      <c r="BRL48" s="57"/>
      <c r="BRM48" s="57"/>
      <c r="BRN48" s="57"/>
      <c r="BRO48" s="57"/>
      <c r="BRP48" s="57"/>
      <c r="BRQ48" s="57"/>
      <c r="BRR48" s="57"/>
      <c r="BRS48" s="57"/>
      <c r="BRT48" s="57"/>
      <c r="BRU48" s="57"/>
      <c r="BRV48" s="57"/>
      <c r="BRW48" s="57"/>
      <c r="BRX48" s="57"/>
      <c r="BRY48" s="57"/>
      <c r="BRZ48" s="57"/>
      <c r="BSA48" s="57"/>
      <c r="BSB48" s="57"/>
      <c r="BSC48" s="57"/>
      <c r="BSD48" s="57"/>
      <c r="BSE48" s="57"/>
      <c r="BSF48" s="56" t="str">
        <f t="shared" ref="BSF48" si="265">IFERROR(VLOOKUP(BSD48,BASEPOE1,2,FALSE)," ")</f>
        <v xml:space="preserve"> </v>
      </c>
      <c r="BSG48" s="56"/>
      <c r="BSH48" s="57"/>
      <c r="BSI48" s="390"/>
      <c r="BSJ48" s="390">
        <f>+BSI48+365</f>
        <v>365</v>
      </c>
      <c r="BSK48" s="57"/>
      <c r="BSL48" s="57"/>
      <c r="BSM48" s="57"/>
      <c r="BSN48" s="57"/>
      <c r="BSO48" s="57"/>
      <c r="BSP48" s="57"/>
      <c r="BSQ48" s="57"/>
      <c r="BSR48" s="57"/>
      <c r="BSS48" s="57"/>
      <c r="BST48" s="57"/>
      <c r="BSU48" s="57"/>
      <c r="BSV48" s="57"/>
      <c r="BSW48" s="57"/>
      <c r="BSX48" s="57"/>
      <c r="BSY48" s="57"/>
      <c r="BSZ48" s="57"/>
      <c r="BTA48" s="57"/>
      <c r="BTB48" s="57"/>
      <c r="BTC48" s="57"/>
      <c r="BTD48" s="57"/>
      <c r="BTE48" s="57"/>
      <c r="BTF48" s="57"/>
      <c r="BTG48" s="57"/>
      <c r="BTH48" s="57"/>
      <c r="BTI48" s="57"/>
      <c r="BTJ48" s="57"/>
      <c r="BTK48" s="57"/>
      <c r="BTL48" s="57"/>
      <c r="BTM48" s="57"/>
      <c r="BTN48" s="57"/>
      <c r="BTO48" s="57"/>
      <c r="BTP48" s="57"/>
      <c r="BTQ48" s="57"/>
      <c r="BTR48" s="57"/>
      <c r="BTS48" s="57"/>
      <c r="BTT48" s="57"/>
      <c r="BTU48" s="57"/>
      <c r="BTV48" s="57"/>
      <c r="BTW48" s="57"/>
      <c r="BTX48" s="56" t="str">
        <f t="shared" ref="BTX48" si="266">IFERROR(VLOOKUP(BTV48,BASEPOE1,2,FALSE)," ")</f>
        <v xml:space="preserve"> </v>
      </c>
      <c r="BTY48" s="56"/>
      <c r="BTZ48" s="57"/>
      <c r="BUA48" s="390"/>
      <c r="BUB48" s="390">
        <f>+BUA48+365</f>
        <v>365</v>
      </c>
      <c r="BUC48" s="57"/>
      <c r="BUD48" s="57"/>
      <c r="BUE48" s="57"/>
      <c r="BUF48" s="57"/>
      <c r="BUG48" s="57"/>
      <c r="BUH48" s="57"/>
      <c r="BUI48" s="57"/>
      <c r="BUJ48" s="57"/>
      <c r="BUK48" s="57"/>
      <c r="BUL48" s="57"/>
      <c r="BUM48" s="57"/>
      <c r="BUN48" s="57"/>
      <c r="BUO48" s="57"/>
      <c r="BUP48" s="57"/>
      <c r="BUQ48" s="57"/>
      <c r="BUR48" s="57"/>
      <c r="BUS48" s="57"/>
      <c r="BUT48" s="57"/>
      <c r="BUU48" s="57"/>
      <c r="BUV48" s="57"/>
      <c r="BUW48" s="57"/>
      <c r="BUX48" s="57"/>
      <c r="BUY48" s="57"/>
      <c r="BUZ48" s="57"/>
      <c r="BVA48" s="57"/>
      <c r="BVB48" s="57"/>
      <c r="BVC48" s="57"/>
      <c r="BVD48" s="57"/>
      <c r="BVE48" s="57"/>
      <c r="BVF48" s="57"/>
      <c r="BVG48" s="57"/>
      <c r="BVH48" s="57"/>
      <c r="BVI48" s="57"/>
      <c r="BVJ48" s="57"/>
      <c r="BVK48" s="57"/>
      <c r="BVL48" s="57"/>
      <c r="BVM48" s="57"/>
      <c r="BVN48" s="57"/>
      <c r="BVO48" s="57"/>
      <c r="BVP48" s="56" t="str">
        <f t="shared" ref="BVP48" si="267">IFERROR(VLOOKUP(BVN48,BASEPOE1,2,FALSE)," ")</f>
        <v xml:space="preserve"> </v>
      </c>
      <c r="BVQ48" s="56"/>
      <c r="BVR48" s="57"/>
      <c r="BVS48" s="390"/>
      <c r="BVT48" s="390">
        <f>+BVS48+365</f>
        <v>365</v>
      </c>
      <c r="BVU48" s="57"/>
      <c r="BVV48" s="57"/>
      <c r="BVW48" s="57"/>
      <c r="BVX48" s="57"/>
      <c r="BVY48" s="57"/>
      <c r="BVZ48" s="57"/>
      <c r="BWA48" s="57"/>
      <c r="BWB48" s="57"/>
      <c r="BWC48" s="57"/>
      <c r="BWD48" s="57"/>
      <c r="BWE48" s="57"/>
      <c r="BWF48" s="57"/>
      <c r="BWG48" s="57"/>
      <c r="BWH48" s="57"/>
      <c r="BWI48" s="57"/>
      <c r="BWJ48" s="57"/>
      <c r="BWK48" s="57"/>
      <c r="BWL48" s="57"/>
      <c r="BWM48" s="57"/>
      <c r="BWN48" s="57"/>
      <c r="BWO48" s="57"/>
      <c r="BWP48" s="57"/>
      <c r="BWQ48" s="57"/>
      <c r="BWR48" s="57"/>
      <c r="BWS48" s="57"/>
      <c r="BWT48" s="57"/>
      <c r="BWU48" s="57"/>
      <c r="BWV48" s="57"/>
      <c r="BWW48" s="57"/>
      <c r="BWX48" s="57"/>
      <c r="BWY48" s="57"/>
      <c r="BWZ48" s="57"/>
      <c r="BXA48" s="57"/>
      <c r="BXB48" s="57"/>
      <c r="BXC48" s="57"/>
      <c r="BXD48" s="57"/>
      <c r="BXE48" s="57"/>
      <c r="BXF48" s="57"/>
      <c r="BXG48" s="57"/>
      <c r="BXH48" s="56" t="str">
        <f t="shared" ref="BXH48" si="268">IFERROR(VLOOKUP(BXF48,BASEPOE1,2,FALSE)," ")</f>
        <v xml:space="preserve"> </v>
      </c>
      <c r="BXI48" s="56"/>
      <c r="BXJ48" s="57"/>
      <c r="BXK48" s="390"/>
      <c r="BXL48" s="390">
        <f>+BXK48+365</f>
        <v>365</v>
      </c>
      <c r="BXM48" s="57"/>
      <c r="BXN48" s="57"/>
      <c r="BXO48" s="57"/>
      <c r="BXP48" s="57"/>
      <c r="BXQ48" s="57"/>
      <c r="BXR48" s="57"/>
      <c r="BXS48" s="57"/>
      <c r="BXT48" s="57"/>
      <c r="BXU48" s="57"/>
      <c r="BXV48" s="57"/>
      <c r="BXW48" s="57"/>
      <c r="BXX48" s="57"/>
      <c r="BXY48" s="57"/>
      <c r="BXZ48" s="57"/>
      <c r="BYA48" s="57"/>
      <c r="BYB48" s="57"/>
      <c r="BYC48" s="57"/>
      <c r="BYD48" s="57"/>
      <c r="BYE48" s="57"/>
      <c r="BYF48" s="57"/>
      <c r="BYG48" s="57"/>
      <c r="BYH48" s="57"/>
      <c r="BYI48" s="57"/>
      <c r="BYJ48" s="57"/>
      <c r="BYK48" s="57"/>
      <c r="BYL48" s="57"/>
      <c r="BYM48" s="57"/>
      <c r="BYN48" s="57"/>
      <c r="BYO48" s="57"/>
      <c r="BYP48" s="57"/>
      <c r="BYQ48" s="57"/>
      <c r="BYR48" s="57"/>
      <c r="BYS48" s="57"/>
      <c r="BYT48" s="57"/>
      <c r="BYU48" s="57"/>
      <c r="BYV48" s="57"/>
      <c r="BYW48" s="57"/>
      <c r="BYX48" s="57"/>
      <c r="BYY48" s="57"/>
      <c r="BYZ48" s="56" t="str">
        <f t="shared" ref="BYZ48" si="269">IFERROR(VLOOKUP(BYX48,BASEPOE1,2,FALSE)," ")</f>
        <v xml:space="preserve"> </v>
      </c>
      <c r="BZA48" s="56"/>
      <c r="BZB48" s="57"/>
      <c r="BZC48" s="390"/>
      <c r="BZD48" s="390">
        <f>+BZC48+365</f>
        <v>365</v>
      </c>
      <c r="BZE48" s="57"/>
      <c r="BZF48" s="57"/>
      <c r="BZG48" s="57"/>
      <c r="BZH48" s="57"/>
      <c r="BZI48" s="57"/>
      <c r="BZJ48" s="57"/>
      <c r="BZK48" s="57"/>
      <c r="BZL48" s="57"/>
      <c r="BZM48" s="57"/>
      <c r="BZN48" s="57"/>
      <c r="BZO48" s="57"/>
      <c r="BZP48" s="57"/>
      <c r="BZQ48" s="57"/>
      <c r="BZR48" s="57"/>
      <c r="BZS48" s="57"/>
      <c r="BZT48" s="57"/>
      <c r="BZU48" s="57"/>
      <c r="BZV48" s="57"/>
      <c r="BZW48" s="57"/>
      <c r="BZX48" s="57"/>
      <c r="BZY48" s="57"/>
      <c r="BZZ48" s="57"/>
      <c r="CAA48" s="57"/>
      <c r="CAB48" s="57"/>
      <c r="CAC48" s="57"/>
      <c r="CAD48" s="57"/>
      <c r="CAE48" s="57"/>
      <c r="CAF48" s="57"/>
      <c r="CAG48" s="57"/>
      <c r="CAH48" s="57"/>
      <c r="CAI48" s="57"/>
      <c r="CAJ48" s="57"/>
      <c r="CAK48" s="57"/>
      <c r="CAL48" s="57"/>
      <c r="CAM48" s="57"/>
      <c r="CAN48" s="57"/>
      <c r="CAO48" s="57"/>
      <c r="CAP48" s="57"/>
      <c r="CAQ48" s="57"/>
      <c r="CAR48" s="56" t="str">
        <f t="shared" ref="CAR48" si="270">IFERROR(VLOOKUP(CAP48,BASEPOE1,2,FALSE)," ")</f>
        <v xml:space="preserve"> </v>
      </c>
      <c r="CAS48" s="56"/>
      <c r="CAT48" s="57"/>
      <c r="CAU48" s="390"/>
      <c r="CAV48" s="390">
        <f>+CAU48+365</f>
        <v>365</v>
      </c>
      <c r="CAW48" s="57"/>
      <c r="CAX48" s="57"/>
      <c r="CAY48" s="57"/>
      <c r="CAZ48" s="57"/>
      <c r="CBA48" s="57"/>
      <c r="CBB48" s="57"/>
      <c r="CBC48" s="57"/>
      <c r="CBD48" s="57"/>
      <c r="CBE48" s="57"/>
      <c r="CBF48" s="57"/>
      <c r="CBG48" s="57"/>
      <c r="CBH48" s="57"/>
      <c r="CBI48" s="57"/>
      <c r="CBJ48" s="57"/>
      <c r="CBK48" s="57"/>
      <c r="CBL48" s="57"/>
      <c r="CBM48" s="57"/>
      <c r="CBN48" s="57"/>
      <c r="CBO48" s="57"/>
      <c r="CBP48" s="57"/>
      <c r="CBQ48" s="57"/>
      <c r="CBR48" s="57"/>
      <c r="CBS48" s="57"/>
      <c r="CBT48" s="57"/>
      <c r="CBU48" s="57"/>
      <c r="CBV48" s="57"/>
      <c r="CBW48" s="57"/>
      <c r="CBX48" s="57"/>
      <c r="CBY48" s="57"/>
      <c r="CBZ48" s="57"/>
      <c r="CCA48" s="57"/>
      <c r="CCB48" s="57"/>
      <c r="CCC48" s="57"/>
      <c r="CCD48" s="57"/>
      <c r="CCE48" s="57"/>
      <c r="CCF48" s="57"/>
      <c r="CCG48" s="57"/>
      <c r="CCH48" s="57"/>
      <c r="CCI48" s="57"/>
      <c r="CCJ48" s="56" t="str">
        <f t="shared" ref="CCJ48" si="271">IFERROR(VLOOKUP(CCH48,BASEPOE1,2,FALSE)," ")</f>
        <v xml:space="preserve"> </v>
      </c>
      <c r="CCK48" s="56"/>
      <c r="CCL48" s="57"/>
      <c r="CCM48" s="390"/>
      <c r="CCN48" s="390">
        <f>+CCM48+365</f>
        <v>365</v>
      </c>
      <c r="CCO48" s="57"/>
      <c r="CCP48" s="57"/>
      <c r="CCQ48" s="57"/>
      <c r="CCR48" s="57"/>
      <c r="CCS48" s="57"/>
      <c r="CCT48" s="57"/>
      <c r="CCU48" s="57"/>
      <c r="CCV48" s="57"/>
      <c r="CCW48" s="57"/>
      <c r="CCX48" s="57"/>
      <c r="CCY48" s="57"/>
      <c r="CCZ48" s="57"/>
      <c r="CDA48" s="57"/>
      <c r="CDB48" s="57"/>
      <c r="CDC48" s="57"/>
      <c r="CDD48" s="57"/>
      <c r="CDE48" s="57"/>
      <c r="CDF48" s="57"/>
      <c r="CDG48" s="57"/>
      <c r="CDH48" s="57"/>
      <c r="CDI48" s="57"/>
      <c r="CDJ48" s="57"/>
      <c r="CDK48" s="57"/>
      <c r="CDL48" s="57"/>
      <c r="CDM48" s="57"/>
      <c r="CDN48" s="57"/>
      <c r="CDO48" s="57"/>
      <c r="CDP48" s="57"/>
      <c r="CDQ48" s="57"/>
      <c r="CDR48" s="57"/>
      <c r="CDS48" s="57"/>
      <c r="CDT48" s="57"/>
      <c r="CDU48" s="57"/>
      <c r="CDV48" s="57"/>
      <c r="CDW48" s="57"/>
      <c r="CDX48" s="57"/>
      <c r="CDY48" s="57"/>
      <c r="CDZ48" s="57"/>
      <c r="CEA48" s="57"/>
      <c r="CEB48" s="56" t="str">
        <f t="shared" ref="CEB48" si="272">IFERROR(VLOOKUP(CDZ48,BASEPOE1,2,FALSE)," ")</f>
        <v xml:space="preserve"> </v>
      </c>
      <c r="CEC48" s="56"/>
      <c r="CED48" s="57"/>
      <c r="CEE48" s="390"/>
      <c r="CEF48" s="390">
        <f>+CEE48+365</f>
        <v>365</v>
      </c>
      <c r="CEG48" s="57"/>
      <c r="CEH48" s="57"/>
      <c r="CEI48" s="57"/>
      <c r="CEJ48" s="57"/>
      <c r="CEK48" s="57"/>
      <c r="CEL48" s="57"/>
      <c r="CEM48" s="57"/>
      <c r="CEN48" s="57"/>
      <c r="CEO48" s="57"/>
      <c r="CEP48" s="57"/>
      <c r="CEQ48" s="57"/>
      <c r="CER48" s="57"/>
      <c r="CES48" s="57"/>
      <c r="CET48" s="57"/>
      <c r="CEU48" s="57"/>
      <c r="CEV48" s="57"/>
      <c r="CEW48" s="57"/>
      <c r="CEX48" s="57"/>
      <c r="CEY48" s="57"/>
      <c r="CEZ48" s="57"/>
      <c r="CFA48" s="57"/>
      <c r="CFB48" s="57"/>
      <c r="CFC48" s="57"/>
      <c r="CFD48" s="57"/>
      <c r="CFE48" s="57"/>
      <c r="CFF48" s="57"/>
      <c r="CFG48" s="57"/>
      <c r="CFH48" s="57"/>
      <c r="CFI48" s="57"/>
      <c r="CFJ48" s="57"/>
      <c r="CFK48" s="57"/>
      <c r="CFL48" s="57"/>
      <c r="CFM48" s="57"/>
      <c r="CFN48" s="57"/>
      <c r="CFO48" s="57"/>
      <c r="CFP48" s="57"/>
      <c r="CFQ48" s="57"/>
      <c r="CFR48" s="57"/>
      <c r="CFS48" s="57"/>
      <c r="CFT48" s="56" t="str">
        <f t="shared" ref="CFT48" si="273">IFERROR(VLOOKUP(CFR48,BASEPOE1,2,FALSE)," ")</f>
        <v xml:space="preserve"> </v>
      </c>
      <c r="CFU48" s="56"/>
      <c r="CFV48" s="57"/>
      <c r="CFW48" s="390"/>
      <c r="CFX48" s="390">
        <f>+CFW48+365</f>
        <v>365</v>
      </c>
      <c r="CFY48" s="57"/>
      <c r="CFZ48" s="57"/>
      <c r="CGA48" s="57"/>
      <c r="CGB48" s="57"/>
      <c r="CGC48" s="57"/>
      <c r="CGD48" s="57"/>
      <c r="CGE48" s="57"/>
      <c r="CGF48" s="57"/>
      <c r="CGG48" s="57"/>
      <c r="CGH48" s="57"/>
      <c r="CGI48" s="57"/>
      <c r="CGJ48" s="57"/>
      <c r="CGK48" s="57"/>
      <c r="CGL48" s="57"/>
      <c r="CGM48" s="57"/>
      <c r="CGN48" s="57"/>
      <c r="CGO48" s="57"/>
      <c r="CGP48" s="57"/>
      <c r="CGQ48" s="57"/>
      <c r="CGR48" s="57"/>
      <c r="CGS48" s="57"/>
      <c r="CGT48" s="57"/>
      <c r="CGU48" s="57"/>
      <c r="CGV48" s="57"/>
      <c r="CGW48" s="57"/>
      <c r="CGX48" s="57"/>
      <c r="CGY48" s="57"/>
      <c r="CGZ48" s="57"/>
      <c r="CHA48" s="57"/>
      <c r="CHB48" s="57"/>
      <c r="CHC48" s="57"/>
      <c r="CHD48" s="57"/>
      <c r="CHE48" s="57"/>
      <c r="CHF48" s="57"/>
      <c r="CHG48" s="57"/>
      <c r="CHH48" s="57"/>
      <c r="CHI48" s="57"/>
      <c r="CHJ48" s="57"/>
      <c r="CHK48" s="57"/>
      <c r="CHL48" s="56" t="str">
        <f t="shared" ref="CHL48" si="274">IFERROR(VLOOKUP(CHJ48,BASEPOE1,2,FALSE)," ")</f>
        <v xml:space="preserve"> </v>
      </c>
      <c r="CHM48" s="56"/>
      <c r="CHN48" s="57"/>
      <c r="CHO48" s="390"/>
      <c r="CHP48" s="390">
        <f>+CHO48+365</f>
        <v>365</v>
      </c>
      <c r="CHQ48" s="57"/>
      <c r="CHR48" s="57"/>
      <c r="CHS48" s="57"/>
      <c r="CHT48" s="57"/>
      <c r="CHU48" s="57"/>
      <c r="CHV48" s="57"/>
      <c r="CHW48" s="57"/>
      <c r="CHX48" s="57"/>
      <c r="CHY48" s="57"/>
      <c r="CHZ48" s="57"/>
      <c r="CIA48" s="57"/>
      <c r="CIB48" s="57"/>
      <c r="CIC48" s="57"/>
      <c r="CID48" s="57"/>
      <c r="CIE48" s="57"/>
      <c r="CIF48" s="57"/>
      <c r="CIG48" s="57"/>
      <c r="CIH48" s="57"/>
      <c r="CII48" s="57"/>
      <c r="CIJ48" s="57"/>
      <c r="CIK48" s="57"/>
      <c r="CIL48" s="57"/>
      <c r="CIM48" s="57"/>
      <c r="CIN48" s="57"/>
      <c r="CIO48" s="57"/>
      <c r="CIP48" s="57"/>
      <c r="CIQ48" s="57"/>
      <c r="CIR48" s="57"/>
      <c r="CIS48" s="57"/>
      <c r="CIT48" s="57"/>
      <c r="CIU48" s="57"/>
      <c r="CIV48" s="57"/>
      <c r="CIW48" s="57"/>
      <c r="CIX48" s="57"/>
      <c r="CIY48" s="57"/>
      <c r="CIZ48" s="57"/>
      <c r="CJA48" s="57"/>
      <c r="CJB48" s="57"/>
      <c r="CJC48" s="57"/>
      <c r="CJD48" s="56" t="str">
        <f t="shared" ref="CJD48" si="275">IFERROR(VLOOKUP(CJB48,BASEPOE1,2,FALSE)," ")</f>
        <v xml:space="preserve"> </v>
      </c>
      <c r="CJE48" s="56"/>
      <c r="CJF48" s="57"/>
      <c r="CJG48" s="390"/>
      <c r="CJH48" s="390">
        <f>+CJG48+365</f>
        <v>365</v>
      </c>
      <c r="CJI48" s="57"/>
      <c r="CJJ48" s="57"/>
      <c r="CJK48" s="57"/>
      <c r="CJL48" s="57"/>
      <c r="CJM48" s="57"/>
      <c r="CJN48" s="57"/>
      <c r="CJO48" s="57"/>
      <c r="CJP48" s="57"/>
      <c r="CJQ48" s="57"/>
      <c r="CJR48" s="57"/>
      <c r="CJS48" s="57"/>
      <c r="CJT48" s="57"/>
      <c r="CJU48" s="57"/>
      <c r="CJV48" s="57"/>
      <c r="CJW48" s="57"/>
      <c r="CJX48" s="57"/>
      <c r="CJY48" s="57"/>
      <c r="CJZ48" s="57"/>
      <c r="CKA48" s="57"/>
      <c r="CKB48" s="57"/>
      <c r="CKC48" s="57"/>
      <c r="CKD48" s="57"/>
      <c r="CKE48" s="57"/>
      <c r="CKF48" s="57"/>
      <c r="CKG48" s="57"/>
      <c r="CKH48" s="57"/>
      <c r="CKI48" s="57"/>
      <c r="CKJ48" s="57"/>
      <c r="CKK48" s="57"/>
      <c r="CKL48" s="57"/>
      <c r="CKM48" s="57"/>
      <c r="CKN48" s="57"/>
      <c r="CKO48" s="57"/>
      <c r="CKP48" s="57"/>
      <c r="CKQ48" s="57"/>
      <c r="CKR48" s="57"/>
      <c r="CKS48" s="57"/>
      <c r="CKT48" s="57"/>
      <c r="CKU48" s="57"/>
      <c r="CKV48" s="56" t="str">
        <f t="shared" ref="CKV48" si="276">IFERROR(VLOOKUP(CKT48,BASEPOE1,2,FALSE)," ")</f>
        <v xml:space="preserve"> </v>
      </c>
      <c r="CKW48" s="56"/>
      <c r="CKX48" s="57"/>
      <c r="CKY48" s="390"/>
      <c r="CKZ48" s="390">
        <f>+CKY48+365</f>
        <v>365</v>
      </c>
      <c r="CLA48" s="57"/>
      <c r="CLB48" s="57"/>
      <c r="CLC48" s="57"/>
      <c r="CLD48" s="57"/>
      <c r="CLE48" s="57"/>
      <c r="CLF48" s="57"/>
      <c r="CLG48" s="57"/>
      <c r="CLH48" s="57"/>
      <c r="CLI48" s="57"/>
      <c r="CLJ48" s="57"/>
      <c r="CLK48" s="57"/>
      <c r="CLL48" s="57"/>
      <c r="CLM48" s="57"/>
      <c r="CLN48" s="57"/>
      <c r="CLO48" s="57"/>
      <c r="CLP48" s="57"/>
      <c r="CLQ48" s="57"/>
      <c r="CLR48" s="57"/>
      <c r="CLS48" s="57"/>
      <c r="CLT48" s="57"/>
      <c r="CLU48" s="57"/>
      <c r="CLV48" s="57"/>
      <c r="CLW48" s="57"/>
      <c r="CLX48" s="57"/>
      <c r="CLY48" s="57"/>
      <c r="CLZ48" s="57"/>
      <c r="CMA48" s="57"/>
      <c r="CMB48" s="57"/>
      <c r="CMC48" s="57"/>
      <c r="CMD48" s="57"/>
      <c r="CME48" s="57"/>
      <c r="CMF48" s="57"/>
      <c r="CMG48" s="57"/>
      <c r="CMH48" s="57"/>
      <c r="CMI48" s="57"/>
      <c r="CMJ48" s="57"/>
      <c r="CMK48" s="57"/>
      <c r="CML48" s="57"/>
      <c r="CMM48" s="57"/>
      <c r="CMN48" s="56" t="str">
        <f t="shared" ref="CMN48" si="277">IFERROR(VLOOKUP(CML48,BASEPOE1,2,FALSE)," ")</f>
        <v xml:space="preserve"> </v>
      </c>
      <c r="CMO48" s="56"/>
      <c r="CMP48" s="57"/>
      <c r="CMQ48" s="390"/>
      <c r="CMR48" s="390">
        <f>+CMQ48+365</f>
        <v>365</v>
      </c>
      <c r="CMS48" s="57"/>
      <c r="CMT48" s="57"/>
      <c r="CMU48" s="57"/>
      <c r="CMV48" s="57"/>
      <c r="CMW48" s="57"/>
      <c r="CMX48" s="57"/>
      <c r="CMY48" s="57"/>
      <c r="CMZ48" s="57"/>
      <c r="CNA48" s="57"/>
      <c r="CNB48" s="57"/>
      <c r="CNC48" s="57"/>
      <c r="CND48" s="57"/>
      <c r="CNE48" s="57"/>
      <c r="CNF48" s="57"/>
      <c r="CNG48" s="57"/>
      <c r="CNH48" s="57"/>
      <c r="CNI48" s="57"/>
      <c r="CNJ48" s="57"/>
      <c r="CNK48" s="57"/>
      <c r="CNL48" s="57"/>
      <c r="CNM48" s="57"/>
      <c r="CNN48" s="57"/>
      <c r="CNO48" s="57"/>
      <c r="CNP48" s="57"/>
      <c r="CNQ48" s="57"/>
      <c r="CNR48" s="57"/>
      <c r="CNS48" s="57"/>
      <c r="CNT48" s="57"/>
      <c r="CNU48" s="57"/>
      <c r="CNV48" s="57"/>
      <c r="CNW48" s="57"/>
      <c r="CNX48" s="57"/>
      <c r="CNY48" s="57"/>
      <c r="CNZ48" s="57"/>
      <c r="COA48" s="57"/>
      <c r="COB48" s="57"/>
      <c r="COC48" s="57"/>
      <c r="COD48" s="57"/>
      <c r="COE48" s="57"/>
      <c r="COF48" s="56" t="str">
        <f t="shared" ref="COF48" si="278">IFERROR(VLOOKUP(COD48,BASEPOE1,2,FALSE)," ")</f>
        <v xml:space="preserve"> </v>
      </c>
      <c r="COG48" s="56"/>
      <c r="COH48" s="57"/>
      <c r="COI48" s="390"/>
      <c r="COJ48" s="390">
        <f>+COI48+365</f>
        <v>365</v>
      </c>
      <c r="COK48" s="57"/>
      <c r="COL48" s="57"/>
      <c r="COM48" s="57"/>
      <c r="CON48" s="57"/>
      <c r="COO48" s="57"/>
      <c r="COP48" s="57"/>
      <c r="COQ48" s="57"/>
      <c r="COR48" s="57"/>
      <c r="COS48" s="57"/>
      <c r="COT48" s="57"/>
      <c r="COU48" s="57"/>
      <c r="COV48" s="57"/>
      <c r="COW48" s="57"/>
      <c r="COX48" s="57"/>
      <c r="COY48" s="57"/>
      <c r="COZ48" s="57"/>
      <c r="CPA48" s="57"/>
      <c r="CPB48" s="57"/>
      <c r="CPC48" s="57"/>
      <c r="CPD48" s="57"/>
      <c r="CPE48" s="57"/>
      <c r="CPF48" s="57"/>
      <c r="CPG48" s="57"/>
      <c r="CPH48" s="57"/>
      <c r="CPI48" s="57"/>
      <c r="CPJ48" s="57"/>
      <c r="CPK48" s="57"/>
      <c r="CPL48" s="57"/>
      <c r="CPM48" s="57"/>
      <c r="CPN48" s="57"/>
      <c r="CPO48" s="57"/>
      <c r="CPP48" s="57"/>
      <c r="CPQ48" s="57"/>
      <c r="CPR48" s="57"/>
      <c r="CPS48" s="57"/>
      <c r="CPT48" s="57"/>
      <c r="CPU48" s="57"/>
      <c r="CPV48" s="57"/>
      <c r="CPW48" s="57"/>
      <c r="CPX48" s="56" t="str">
        <f t="shared" ref="CPX48" si="279">IFERROR(VLOOKUP(CPV48,BASEPOE1,2,FALSE)," ")</f>
        <v xml:space="preserve"> </v>
      </c>
      <c r="CPY48" s="56"/>
      <c r="CPZ48" s="57"/>
      <c r="CQA48" s="390"/>
      <c r="CQB48" s="390">
        <f>+CQA48+365</f>
        <v>365</v>
      </c>
      <c r="CQC48" s="57"/>
      <c r="CQD48" s="57"/>
      <c r="CQE48" s="57"/>
      <c r="CQF48" s="57"/>
      <c r="CQG48" s="57"/>
      <c r="CQH48" s="57"/>
      <c r="CQI48" s="57"/>
      <c r="CQJ48" s="57"/>
      <c r="CQK48" s="57"/>
      <c r="CQL48" s="57"/>
      <c r="CQM48" s="57"/>
      <c r="CQN48" s="57"/>
      <c r="CQO48" s="57"/>
      <c r="CQP48" s="57"/>
      <c r="CQQ48" s="57"/>
      <c r="CQR48" s="57"/>
      <c r="CQS48" s="57"/>
      <c r="CQT48" s="57"/>
      <c r="CQU48" s="57"/>
      <c r="CQV48" s="57"/>
      <c r="CQW48" s="57"/>
      <c r="CQX48" s="57"/>
      <c r="CQY48" s="57"/>
      <c r="CQZ48" s="57"/>
      <c r="CRA48" s="57"/>
      <c r="CRB48" s="57"/>
      <c r="CRC48" s="57"/>
      <c r="CRD48" s="57"/>
      <c r="CRE48" s="57"/>
      <c r="CRF48" s="57"/>
      <c r="CRG48" s="57"/>
      <c r="CRH48" s="57"/>
      <c r="CRI48" s="57"/>
      <c r="CRJ48" s="57"/>
      <c r="CRK48" s="57"/>
      <c r="CRL48" s="57"/>
      <c r="CRM48" s="57"/>
      <c r="CRN48" s="57"/>
      <c r="CRO48" s="57"/>
      <c r="CRP48" s="56" t="str">
        <f t="shared" ref="CRP48" si="280">IFERROR(VLOOKUP(CRN48,BASEPOE1,2,FALSE)," ")</f>
        <v xml:space="preserve"> </v>
      </c>
      <c r="CRQ48" s="56"/>
      <c r="CRR48" s="57"/>
      <c r="CRS48" s="390"/>
      <c r="CRT48" s="390">
        <f>+CRS48+365</f>
        <v>365</v>
      </c>
      <c r="CRU48" s="57"/>
      <c r="CRV48" s="57"/>
      <c r="CRW48" s="57"/>
      <c r="CRX48" s="57"/>
      <c r="CRY48" s="57"/>
      <c r="CRZ48" s="57"/>
      <c r="CSA48" s="57"/>
      <c r="CSB48" s="57"/>
      <c r="CSC48" s="57"/>
      <c r="CSD48" s="57"/>
      <c r="CSE48" s="57"/>
      <c r="CSF48" s="57"/>
      <c r="CSG48" s="57"/>
      <c r="CSH48" s="57"/>
      <c r="CSI48" s="57"/>
      <c r="CSJ48" s="57"/>
      <c r="CSK48" s="57"/>
      <c r="CSL48" s="57"/>
      <c r="CSM48" s="57"/>
      <c r="CSN48" s="57"/>
      <c r="CSO48" s="57"/>
      <c r="CSP48" s="57"/>
      <c r="CSQ48" s="57"/>
      <c r="CSR48" s="57"/>
      <c r="CSS48" s="57"/>
      <c r="CST48" s="57"/>
      <c r="CSU48" s="57"/>
      <c r="CSV48" s="57"/>
      <c r="CSW48" s="57"/>
      <c r="CSX48" s="57"/>
      <c r="CSY48" s="57"/>
      <c r="CSZ48" s="57"/>
      <c r="CTA48" s="57"/>
      <c r="CTB48" s="57"/>
      <c r="CTC48" s="57"/>
      <c r="CTD48" s="57"/>
      <c r="CTE48" s="57"/>
      <c r="CTF48" s="57"/>
      <c r="CTG48" s="57"/>
      <c r="CTH48" s="56" t="str">
        <f t="shared" ref="CTH48" si="281">IFERROR(VLOOKUP(CTF48,BASEPOE1,2,FALSE)," ")</f>
        <v xml:space="preserve"> </v>
      </c>
      <c r="CTI48" s="56"/>
      <c r="CTJ48" s="57"/>
      <c r="CTK48" s="390"/>
      <c r="CTL48" s="390">
        <f>+CTK48+365</f>
        <v>365</v>
      </c>
      <c r="CTM48" s="57"/>
      <c r="CTN48" s="57"/>
      <c r="CTO48" s="57"/>
      <c r="CTP48" s="57"/>
      <c r="CTQ48" s="57"/>
      <c r="CTR48" s="57"/>
      <c r="CTS48" s="57"/>
      <c r="CTT48" s="57"/>
      <c r="CTU48" s="57"/>
      <c r="CTV48" s="57"/>
      <c r="CTW48" s="57"/>
      <c r="CTX48" s="57"/>
      <c r="CTY48" s="57"/>
      <c r="CTZ48" s="57"/>
      <c r="CUA48" s="57"/>
      <c r="CUB48" s="57"/>
      <c r="CUC48" s="57"/>
      <c r="CUD48" s="57"/>
      <c r="CUE48" s="57"/>
      <c r="CUF48" s="57"/>
      <c r="CUG48" s="57"/>
      <c r="CUH48" s="57"/>
      <c r="CUI48" s="57"/>
      <c r="CUJ48" s="57"/>
      <c r="CUK48" s="57"/>
      <c r="CUL48" s="57"/>
      <c r="CUM48" s="57"/>
      <c r="CUN48" s="57"/>
      <c r="CUO48" s="57"/>
      <c r="CUP48" s="57"/>
      <c r="CUQ48" s="57"/>
      <c r="CUR48" s="57"/>
      <c r="CUS48" s="57"/>
      <c r="CUT48" s="57"/>
      <c r="CUU48" s="57"/>
      <c r="CUV48" s="57"/>
      <c r="CUW48" s="57"/>
      <c r="CUX48" s="57"/>
      <c r="CUY48" s="57"/>
      <c r="CUZ48" s="56" t="str">
        <f t="shared" ref="CUZ48" si="282">IFERROR(VLOOKUP(CUX48,BASEPOE1,2,FALSE)," ")</f>
        <v xml:space="preserve"> </v>
      </c>
      <c r="CVA48" s="56"/>
      <c r="CVB48" s="57"/>
      <c r="CVC48" s="390"/>
      <c r="CVD48" s="390">
        <f>+CVC48+365</f>
        <v>365</v>
      </c>
      <c r="CVE48" s="57"/>
      <c r="CVF48" s="57"/>
      <c r="CVG48" s="57"/>
      <c r="CVH48" s="57"/>
      <c r="CVI48" s="57"/>
      <c r="CVJ48" s="57"/>
      <c r="CVK48" s="57"/>
      <c r="CVL48" s="57"/>
      <c r="CVM48" s="57"/>
      <c r="CVN48" s="57"/>
      <c r="CVO48" s="57"/>
      <c r="CVP48" s="57"/>
      <c r="CVQ48" s="57"/>
      <c r="CVR48" s="57"/>
      <c r="CVS48" s="57"/>
      <c r="CVT48" s="57"/>
      <c r="CVU48" s="57"/>
      <c r="CVV48" s="57"/>
      <c r="CVW48" s="57"/>
      <c r="CVX48" s="57"/>
      <c r="CVY48" s="57"/>
      <c r="CVZ48" s="57"/>
      <c r="CWA48" s="57"/>
      <c r="CWB48" s="57"/>
      <c r="CWC48" s="57"/>
      <c r="CWD48" s="57"/>
      <c r="CWE48" s="57"/>
      <c r="CWF48" s="57"/>
      <c r="CWG48" s="57"/>
      <c r="CWH48" s="57"/>
      <c r="CWI48" s="57"/>
      <c r="CWJ48" s="57"/>
      <c r="CWK48" s="57"/>
      <c r="CWL48" s="57"/>
      <c r="CWM48" s="57"/>
      <c r="CWN48" s="57"/>
      <c r="CWO48" s="57"/>
      <c r="CWP48" s="57"/>
      <c r="CWQ48" s="57"/>
      <c r="CWR48" s="56" t="str">
        <f t="shared" ref="CWR48" si="283">IFERROR(VLOOKUP(CWP48,BASEPOE1,2,FALSE)," ")</f>
        <v xml:space="preserve"> </v>
      </c>
      <c r="CWS48" s="56"/>
      <c r="CWT48" s="57"/>
      <c r="CWU48" s="390"/>
      <c r="CWV48" s="390">
        <f>+CWU48+365</f>
        <v>365</v>
      </c>
      <c r="CWW48" s="57"/>
      <c r="CWX48" s="57"/>
      <c r="CWY48" s="57"/>
      <c r="CWZ48" s="57"/>
      <c r="CXA48" s="57"/>
      <c r="CXB48" s="57"/>
      <c r="CXC48" s="57"/>
      <c r="CXD48" s="57"/>
      <c r="CXE48" s="57"/>
      <c r="CXF48" s="57"/>
      <c r="CXG48" s="57"/>
      <c r="CXH48" s="57"/>
      <c r="CXI48" s="57"/>
      <c r="CXJ48" s="57"/>
      <c r="CXK48" s="57"/>
      <c r="CXL48" s="57"/>
      <c r="CXM48" s="57"/>
      <c r="CXN48" s="57"/>
      <c r="CXO48" s="57"/>
      <c r="CXP48" s="57"/>
      <c r="CXQ48" s="57"/>
      <c r="CXR48" s="57"/>
      <c r="CXS48" s="57"/>
      <c r="CXT48" s="57"/>
      <c r="CXU48" s="57"/>
      <c r="CXV48" s="57"/>
      <c r="CXW48" s="57"/>
      <c r="CXX48" s="57"/>
      <c r="CXY48" s="57"/>
      <c r="CXZ48" s="57"/>
      <c r="CYA48" s="57"/>
      <c r="CYB48" s="57"/>
      <c r="CYC48" s="57"/>
      <c r="CYD48" s="57"/>
      <c r="CYE48" s="57"/>
      <c r="CYF48" s="57"/>
      <c r="CYG48" s="57"/>
      <c r="CYH48" s="57"/>
      <c r="CYI48" s="57"/>
      <c r="CYJ48" s="56" t="str">
        <f t="shared" ref="CYJ48" si="284">IFERROR(VLOOKUP(CYH48,BASEPOE1,2,FALSE)," ")</f>
        <v xml:space="preserve"> </v>
      </c>
      <c r="CYK48" s="56"/>
      <c r="CYL48" s="57"/>
      <c r="CYM48" s="390"/>
      <c r="CYN48" s="390">
        <f>+CYM48+365</f>
        <v>365</v>
      </c>
      <c r="CYO48" s="57"/>
      <c r="CYP48" s="57"/>
      <c r="CYQ48" s="57"/>
      <c r="CYR48" s="57"/>
      <c r="CYS48" s="57"/>
      <c r="CYT48" s="57"/>
      <c r="CYU48" s="57"/>
      <c r="CYV48" s="57"/>
      <c r="CYW48" s="57"/>
      <c r="CYX48" s="57"/>
      <c r="CYY48" s="57"/>
      <c r="CYZ48" s="57"/>
      <c r="CZA48" s="57"/>
      <c r="CZB48" s="57"/>
      <c r="CZC48" s="57"/>
      <c r="CZD48" s="57"/>
      <c r="CZE48" s="57"/>
      <c r="CZF48" s="57"/>
      <c r="CZG48" s="57"/>
      <c r="CZH48" s="57"/>
      <c r="CZI48" s="57"/>
      <c r="CZJ48" s="57"/>
      <c r="CZK48" s="57"/>
      <c r="CZL48" s="57"/>
      <c r="CZM48" s="57"/>
      <c r="CZN48" s="57"/>
      <c r="CZO48" s="57"/>
      <c r="CZP48" s="57"/>
      <c r="CZQ48" s="57"/>
      <c r="CZR48" s="57"/>
      <c r="CZS48" s="57"/>
      <c r="CZT48" s="57"/>
      <c r="CZU48" s="57"/>
      <c r="CZV48" s="57"/>
      <c r="CZW48" s="57"/>
      <c r="CZX48" s="57"/>
      <c r="CZY48" s="57"/>
      <c r="CZZ48" s="57"/>
      <c r="DAA48" s="57"/>
      <c r="DAB48" s="56" t="str">
        <f t="shared" ref="DAB48" si="285">IFERROR(VLOOKUP(CZZ48,BASEPOE1,2,FALSE)," ")</f>
        <v xml:space="preserve"> </v>
      </c>
      <c r="DAC48" s="56"/>
      <c r="DAD48" s="57"/>
      <c r="DAE48" s="390"/>
      <c r="DAF48" s="390">
        <f>+DAE48+365</f>
        <v>365</v>
      </c>
      <c r="DAG48" s="57"/>
      <c r="DAH48" s="57"/>
      <c r="DAI48" s="57"/>
      <c r="DAJ48" s="57"/>
      <c r="DAK48" s="57"/>
      <c r="DAL48" s="57"/>
      <c r="DAM48" s="57"/>
      <c r="DAN48" s="57"/>
      <c r="DAO48" s="57"/>
      <c r="DAP48" s="57"/>
      <c r="DAQ48" s="57"/>
      <c r="DAR48" s="57"/>
      <c r="DAS48" s="57"/>
      <c r="DAT48" s="57"/>
      <c r="DAU48" s="57"/>
      <c r="DAV48" s="57"/>
      <c r="DAW48" s="57"/>
      <c r="DAX48" s="57"/>
      <c r="DAY48" s="57"/>
      <c r="DAZ48" s="57"/>
      <c r="DBA48" s="57"/>
      <c r="DBB48" s="57"/>
      <c r="DBC48" s="57"/>
      <c r="DBD48" s="57"/>
      <c r="DBE48" s="57"/>
      <c r="DBF48" s="57"/>
      <c r="DBG48" s="57"/>
      <c r="DBH48" s="57"/>
      <c r="DBI48" s="57"/>
      <c r="DBJ48" s="57"/>
      <c r="DBK48" s="57"/>
      <c r="DBL48" s="57"/>
      <c r="DBM48" s="57"/>
      <c r="DBN48" s="57"/>
      <c r="DBO48" s="57"/>
      <c r="DBP48" s="57"/>
      <c r="DBQ48" s="57"/>
      <c r="DBR48" s="57"/>
      <c r="DBS48" s="57"/>
      <c r="DBT48" s="56" t="str">
        <f t="shared" ref="DBT48" si="286">IFERROR(VLOOKUP(DBR48,BASEPOE1,2,FALSE)," ")</f>
        <v xml:space="preserve"> </v>
      </c>
      <c r="DBU48" s="56"/>
      <c r="DBV48" s="57"/>
      <c r="DBW48" s="390"/>
      <c r="DBX48" s="390">
        <f>+DBW48+365</f>
        <v>365</v>
      </c>
      <c r="DBY48" s="57"/>
      <c r="DBZ48" s="57"/>
      <c r="DCA48" s="57"/>
      <c r="DCB48" s="57"/>
      <c r="DCC48" s="57"/>
      <c r="DCD48" s="57"/>
      <c r="DCE48" s="57"/>
      <c r="DCF48" s="57"/>
      <c r="DCG48" s="57"/>
      <c r="DCH48" s="57"/>
      <c r="DCI48" s="57"/>
      <c r="DCJ48" s="57"/>
      <c r="DCK48" s="57"/>
      <c r="DCL48" s="57"/>
      <c r="DCM48" s="57"/>
      <c r="DCN48" s="57"/>
      <c r="DCO48" s="57"/>
      <c r="DCP48" s="57"/>
      <c r="DCQ48" s="57"/>
      <c r="DCR48" s="57"/>
      <c r="DCS48" s="57"/>
      <c r="DCT48" s="57"/>
      <c r="DCU48" s="57"/>
      <c r="DCV48" s="57"/>
      <c r="DCW48" s="57"/>
      <c r="DCX48" s="57"/>
      <c r="DCY48" s="57"/>
      <c r="DCZ48" s="57"/>
      <c r="DDA48" s="57"/>
      <c r="DDB48" s="57"/>
      <c r="DDC48" s="57"/>
      <c r="DDD48" s="57"/>
      <c r="DDE48" s="57"/>
      <c r="DDF48" s="57"/>
      <c r="DDG48" s="57"/>
      <c r="DDH48" s="57"/>
      <c r="DDI48" s="57"/>
      <c r="DDJ48" s="58"/>
      <c r="DDK48" s="57"/>
      <c r="DDL48" s="56"/>
      <c r="DDM48" s="57"/>
      <c r="DDN48" s="56"/>
      <c r="DDO48" s="56"/>
      <c r="DDP48" s="56"/>
      <c r="DDQ48" s="57"/>
      <c r="DDR48" s="57"/>
      <c r="DDS48" s="57"/>
      <c r="DDT48" s="57"/>
      <c r="DDU48" s="57"/>
      <c r="DDV48" s="57"/>
      <c r="DDW48" s="57"/>
      <c r="DDX48" s="57"/>
      <c r="DDY48" s="57"/>
      <c r="DDZ48" s="57"/>
      <c r="DEA48" s="57"/>
      <c r="DEB48" s="57"/>
      <c r="DEC48" s="57"/>
      <c r="DED48" s="57"/>
      <c r="DEE48" s="57"/>
      <c r="DEF48" s="57"/>
      <c r="DEG48" s="57"/>
      <c r="DEH48" s="57"/>
      <c r="DEI48" s="57"/>
      <c r="DEJ48" s="57"/>
      <c r="DEK48" s="57"/>
      <c r="DEL48" s="57"/>
      <c r="DEM48" s="57"/>
      <c r="DEN48" s="57"/>
      <c r="DEO48" s="57"/>
      <c r="DEP48" s="57"/>
      <c r="DEQ48" s="57"/>
      <c r="DER48" s="57"/>
      <c r="DES48" s="57"/>
      <c r="DET48" s="57"/>
      <c r="DEU48" s="57"/>
      <c r="DEV48" s="57"/>
      <c r="DEW48" s="57"/>
      <c r="DEX48" s="57"/>
      <c r="DEY48" s="57"/>
      <c r="DEZ48" s="57"/>
      <c r="DFA48" s="57"/>
      <c r="DFB48" s="58"/>
      <c r="DFC48" s="56"/>
      <c r="DFD48" s="57"/>
      <c r="DFE48" s="57"/>
      <c r="DFF48" s="57"/>
      <c r="DFG48" s="57"/>
      <c r="DFH48" s="57"/>
      <c r="DFI48" s="56"/>
      <c r="DFJ48" s="57"/>
      <c r="DFK48" s="57"/>
      <c r="DFL48" s="56"/>
      <c r="DFM48" s="57"/>
      <c r="DFN48" s="58"/>
      <c r="DFO48" s="56"/>
      <c r="DFP48" s="57"/>
      <c r="DFQ48" s="57"/>
      <c r="DFR48" s="57"/>
      <c r="DFS48" s="56"/>
      <c r="DFT48" s="57"/>
      <c r="DFU48" s="57"/>
      <c r="DFV48" s="56"/>
      <c r="DFW48" s="57"/>
      <c r="DFX48" s="58"/>
      <c r="DFY48" s="56"/>
      <c r="DFZ48" s="57"/>
      <c r="DGA48" s="57"/>
      <c r="DGB48" s="57"/>
      <c r="DGC48" s="56"/>
      <c r="DGD48" s="57"/>
      <c r="DGE48" s="57"/>
      <c r="DGF48" s="56"/>
      <c r="DGG48" s="57"/>
      <c r="DGH48" s="58"/>
      <c r="DGI48" s="56"/>
      <c r="DGJ48" s="57"/>
      <c r="DGK48" s="57"/>
      <c r="DGL48" s="57"/>
      <c r="DGM48" s="56"/>
      <c r="DGN48" s="57"/>
      <c r="DGO48" s="57"/>
      <c r="DGP48" s="56"/>
      <c r="DGQ48" s="57"/>
      <c r="DGR48" s="58"/>
      <c r="DGS48" s="56"/>
      <c r="DGT48" s="58"/>
      <c r="DGU48" s="57"/>
      <c r="DGV48" s="56"/>
      <c r="DGW48" s="57"/>
      <c r="DGX48" s="56"/>
      <c r="DGY48" s="56"/>
      <c r="DGZ48" s="56"/>
      <c r="DHA48" s="57"/>
      <c r="DHB48" s="57"/>
      <c r="DHC48" s="57"/>
      <c r="DHD48" s="57"/>
      <c r="DHE48" s="57"/>
      <c r="DHF48" s="57"/>
      <c r="DHG48" s="57"/>
      <c r="DHH48" s="57"/>
      <c r="DHI48" s="57"/>
      <c r="DHJ48" s="57"/>
      <c r="DHK48" s="57"/>
      <c r="DHL48" s="57"/>
      <c r="DHM48" s="57"/>
      <c r="DHN48" s="57"/>
      <c r="DHO48" s="57"/>
      <c r="DHP48" s="57"/>
      <c r="DHQ48" s="57"/>
      <c r="DHR48" s="57"/>
      <c r="DHS48" s="57"/>
      <c r="DHT48" s="57"/>
      <c r="DHU48" s="57"/>
      <c r="DHV48" s="57"/>
      <c r="DHW48" s="57"/>
      <c r="DHX48" s="57"/>
      <c r="DHY48" s="57"/>
      <c r="DHZ48" s="57"/>
      <c r="DIA48" s="57"/>
      <c r="DIB48" s="57"/>
      <c r="DIC48" s="57"/>
      <c r="DID48" s="57"/>
      <c r="DIE48" s="57"/>
      <c r="DIF48" s="57"/>
      <c r="DIG48" s="57"/>
      <c r="DIH48" s="57"/>
      <c r="DII48" s="57"/>
      <c r="DIJ48" s="57"/>
      <c r="DIK48" s="57"/>
      <c r="DIL48" s="58"/>
      <c r="DIM48" s="56"/>
      <c r="DIN48" s="57"/>
      <c r="DIO48" s="57"/>
      <c r="DIP48" s="57"/>
      <c r="DIQ48" s="57"/>
      <c r="DIR48" s="57"/>
      <c r="DIS48" s="56"/>
      <c r="DIT48" s="57"/>
      <c r="DIU48" s="57"/>
      <c r="DIV48" s="56"/>
      <c r="DIW48" s="57"/>
      <c r="DIX48" s="58"/>
      <c r="DIY48" s="56"/>
      <c r="DIZ48" s="57"/>
      <c r="DJA48" s="57"/>
      <c r="DJB48" s="57"/>
      <c r="DJC48" s="56"/>
      <c r="DJD48" s="57"/>
      <c r="DJE48" s="57"/>
      <c r="DJF48" s="56"/>
      <c r="DJG48" s="57"/>
      <c r="DJH48" s="58"/>
      <c r="DJI48" s="56"/>
      <c r="DJJ48" s="57"/>
      <c r="DJK48" s="57"/>
      <c r="DJL48" s="57"/>
      <c r="DJM48" s="56"/>
      <c r="DJN48" s="57"/>
      <c r="DJO48" s="57"/>
      <c r="DJP48" s="56"/>
      <c r="DJQ48" s="57"/>
      <c r="DJR48" s="58"/>
      <c r="DJS48" s="56"/>
      <c r="DJT48" s="57"/>
      <c r="DJU48" s="57"/>
      <c r="DJV48" s="57"/>
      <c r="DJW48" s="56"/>
      <c r="DJX48" s="57"/>
      <c r="DJY48" s="57"/>
      <c r="DJZ48" s="56"/>
      <c r="DKA48" s="57"/>
      <c r="DKB48" s="58"/>
      <c r="DKC48" s="56"/>
      <c r="DKD48" s="58"/>
      <c r="DKE48" s="57"/>
      <c r="DKF48" s="56"/>
      <c r="DKG48" s="57"/>
      <c r="DKH48" s="56"/>
      <c r="DKI48" s="56"/>
      <c r="DKJ48" s="56"/>
      <c r="DKK48" s="57"/>
      <c r="DKL48" s="57"/>
      <c r="DKM48" s="57"/>
      <c r="DKN48" s="57"/>
      <c r="DKO48" s="57"/>
      <c r="DKP48" s="57"/>
      <c r="DKQ48" s="57"/>
      <c r="DKR48" s="57"/>
      <c r="DKS48" s="57"/>
      <c r="DKT48" s="57"/>
      <c r="DKU48" s="57"/>
      <c r="DKV48" s="57"/>
      <c r="DKW48" s="57"/>
      <c r="DKX48" s="57"/>
      <c r="DKY48" s="57"/>
      <c r="DKZ48" s="57"/>
      <c r="DLA48" s="57"/>
      <c r="DLB48" s="57"/>
      <c r="DLC48" s="57"/>
      <c r="DLD48" s="57"/>
      <c r="DLE48" s="57"/>
      <c r="DLF48" s="57"/>
      <c r="DLG48" s="57"/>
      <c r="DLH48" s="57"/>
      <c r="DLI48" s="57"/>
      <c r="DLJ48" s="57"/>
      <c r="DLK48" s="57"/>
      <c r="DLL48" s="57"/>
      <c r="DLM48" s="57"/>
      <c r="DLN48" s="57"/>
      <c r="DLO48" s="57"/>
      <c r="DLP48" s="57"/>
      <c r="DLQ48" s="57"/>
      <c r="DLR48" s="57"/>
      <c r="DLS48" s="57"/>
      <c r="DLT48" s="57"/>
      <c r="DLU48" s="57"/>
      <c r="DLV48" s="58"/>
      <c r="DLW48" s="56"/>
      <c r="DLX48" s="57"/>
      <c r="DLY48" s="57"/>
      <c r="DLZ48" s="57"/>
      <c r="DMA48" s="57"/>
      <c r="DMB48" s="57"/>
      <c r="DMC48" s="56"/>
      <c r="DMD48" s="57"/>
      <c r="DME48" s="57"/>
      <c r="DMF48" s="56"/>
      <c r="DMG48" s="57"/>
      <c r="DMH48" s="58"/>
      <c r="DMI48" s="56"/>
      <c r="DMJ48" s="57"/>
      <c r="DMK48" s="57"/>
      <c r="DML48" s="57"/>
      <c r="DMM48" s="56"/>
      <c r="DMN48" s="57"/>
      <c r="DMO48" s="57"/>
      <c r="DMP48" s="56"/>
      <c r="DMQ48" s="57"/>
      <c r="DMR48" s="58"/>
      <c r="DMS48" s="56"/>
      <c r="DMT48" s="57"/>
      <c r="DMU48" s="57"/>
      <c r="DMV48" s="57"/>
      <c r="DMW48" s="56"/>
      <c r="DMX48" s="57"/>
      <c r="DMY48" s="57"/>
      <c r="DMZ48" s="56"/>
      <c r="DNA48" s="57"/>
      <c r="DNB48" s="58"/>
      <c r="DNC48" s="56"/>
      <c r="DND48" s="57"/>
      <c r="DNE48" s="57"/>
      <c r="DNF48" s="57"/>
      <c r="DNG48" s="56"/>
      <c r="DNH48" s="57"/>
      <c r="DNI48" s="57"/>
      <c r="DNJ48" s="56"/>
      <c r="DNK48" s="57"/>
      <c r="DNL48" s="58"/>
      <c r="DNM48" s="56"/>
      <c r="DNN48" s="58"/>
      <c r="DNO48" s="57"/>
      <c r="DNP48" s="56"/>
      <c r="DNQ48" s="57"/>
      <c r="DNR48" s="56"/>
      <c r="DNS48" s="56"/>
      <c r="DNT48" s="56"/>
      <c r="DNU48" s="57"/>
      <c r="DNV48" s="57"/>
      <c r="DNW48" s="57"/>
      <c r="DNX48" s="57"/>
      <c r="DNY48" s="57"/>
      <c r="DNZ48" s="57"/>
      <c r="DOA48" s="57"/>
      <c r="DOB48" s="57"/>
      <c r="DOC48" s="57"/>
      <c r="DOD48" s="57"/>
      <c r="DOE48" s="57"/>
      <c r="DOF48" s="57"/>
      <c r="DOG48" s="57"/>
      <c r="DOH48" s="57"/>
      <c r="DOI48" s="57"/>
      <c r="DOJ48" s="57"/>
      <c r="DOK48" s="57"/>
      <c r="DOL48" s="57"/>
      <c r="DOM48" s="57"/>
      <c r="DON48" s="57"/>
      <c r="DOO48" s="57"/>
      <c r="DOP48" s="57"/>
      <c r="DOQ48" s="57"/>
      <c r="DOR48" s="57"/>
      <c r="DOS48" s="57"/>
      <c r="DOT48" s="57"/>
      <c r="DOU48" s="57"/>
      <c r="DOV48" s="57"/>
      <c r="DOW48" s="57"/>
      <c r="DOX48" s="57"/>
      <c r="DOY48" s="57"/>
      <c r="DOZ48" s="57"/>
      <c r="DPA48" s="57"/>
      <c r="DPB48" s="57"/>
      <c r="DPC48" s="57"/>
      <c r="DPD48" s="57"/>
      <c r="DPE48" s="57"/>
      <c r="DPF48" s="58"/>
      <c r="DPG48" s="56"/>
      <c r="DPH48" s="57"/>
      <c r="DPI48" s="57"/>
      <c r="DPJ48" s="57"/>
      <c r="DPK48" s="57"/>
      <c r="DPL48" s="57"/>
      <c r="DPM48" s="56"/>
      <c r="DPN48" s="57"/>
      <c r="DPO48" s="57"/>
      <c r="DPP48" s="56"/>
      <c r="DPQ48" s="57"/>
      <c r="DPR48" s="58"/>
      <c r="DPS48" s="56"/>
      <c r="DPT48" s="57"/>
      <c r="DPU48" s="57"/>
      <c r="DPV48" s="57"/>
      <c r="DPW48" s="56"/>
      <c r="DPX48" s="57"/>
      <c r="DPY48" s="57"/>
      <c r="DPZ48" s="56"/>
      <c r="DQA48" s="57"/>
      <c r="DQB48" s="58"/>
      <c r="DQC48" s="56"/>
      <c r="DQD48" s="57"/>
      <c r="DQE48" s="57"/>
      <c r="DQF48" s="57"/>
      <c r="DQG48" s="56"/>
      <c r="DQH48" s="57"/>
      <c r="DQI48" s="57"/>
      <c r="DQJ48" s="56"/>
      <c r="DQK48" s="57"/>
      <c r="DQL48" s="58"/>
      <c r="DQM48" s="56"/>
      <c r="DQN48" s="57"/>
      <c r="DQO48" s="57"/>
      <c r="DQP48" s="57"/>
      <c r="DQQ48" s="56"/>
      <c r="DQR48" s="57"/>
      <c r="DQS48" s="57"/>
      <c r="DQT48" s="56"/>
      <c r="DQU48" s="57"/>
      <c r="DQV48" s="58"/>
      <c r="DQW48" s="56"/>
      <c r="DQX48" s="58"/>
      <c r="DQY48" s="57"/>
      <c r="DQZ48" s="56"/>
      <c r="DRA48" s="57"/>
      <c r="DRB48" s="56"/>
      <c r="DRC48" s="56"/>
      <c r="DRD48" s="56"/>
      <c r="DRE48" s="57"/>
      <c r="DRF48" s="57"/>
      <c r="DRG48" s="57"/>
      <c r="DRH48" s="57"/>
      <c r="DRI48" s="57"/>
      <c r="DRJ48" s="57"/>
      <c r="DRK48" s="57"/>
      <c r="DRL48" s="57"/>
      <c r="DRM48" s="57"/>
      <c r="DRN48" s="57"/>
      <c r="DRO48" s="57"/>
      <c r="DRP48" s="57"/>
      <c r="DRQ48" s="57"/>
      <c r="DRR48" s="57"/>
      <c r="DRS48" s="57"/>
      <c r="DRT48" s="57"/>
      <c r="DRU48" s="57"/>
      <c r="DRV48" s="57"/>
      <c r="DRW48" s="57"/>
      <c r="DRX48" s="57"/>
      <c r="DRY48" s="57"/>
      <c r="DRZ48" s="57"/>
      <c r="DSA48" s="57"/>
      <c r="DSB48" s="57"/>
      <c r="DSC48" s="57"/>
      <c r="DSD48" s="57"/>
      <c r="DSE48" s="57"/>
      <c r="DSF48" s="57"/>
      <c r="DSG48" s="57"/>
      <c r="DSH48" s="57"/>
      <c r="DSI48" s="57"/>
      <c r="DSJ48" s="57"/>
      <c r="DSK48" s="57"/>
      <c r="DSL48" s="57"/>
      <c r="DSM48" s="57"/>
      <c r="DSN48" s="57"/>
      <c r="DSO48" s="57"/>
      <c r="DSP48" s="58"/>
      <c r="DSQ48" s="56"/>
      <c r="DSR48" s="57"/>
      <c r="DSS48" s="57"/>
      <c r="DST48" s="57"/>
      <c r="DSU48" s="57"/>
      <c r="DSV48" s="57"/>
      <c r="DSW48" s="56"/>
      <c r="DSX48" s="57"/>
      <c r="DSY48" s="57"/>
      <c r="DSZ48" s="56"/>
      <c r="DTA48" s="57"/>
      <c r="DTB48" s="58"/>
      <c r="DTC48" s="56"/>
      <c r="DTD48" s="57"/>
      <c r="DTE48" s="57"/>
      <c r="DTF48" s="57"/>
      <c r="DTG48" s="56"/>
      <c r="DTH48" s="57"/>
      <c r="DTI48" s="57"/>
      <c r="DTJ48" s="56"/>
      <c r="DTK48" s="57"/>
      <c r="DTL48" s="58"/>
      <c r="DTM48" s="56"/>
      <c r="DTN48" s="57"/>
      <c r="DTO48" s="57"/>
      <c r="DTP48" s="57"/>
      <c r="DTQ48" s="56"/>
      <c r="DTR48" s="57"/>
      <c r="DTS48" s="57"/>
      <c r="DTT48" s="56"/>
      <c r="DTU48" s="57"/>
      <c r="DTV48" s="58"/>
      <c r="DTW48" s="56"/>
      <c r="DTX48" s="57"/>
      <c r="DTY48" s="57"/>
      <c r="DTZ48" s="57"/>
      <c r="DUA48" s="56"/>
      <c r="DUB48" s="57"/>
      <c r="DUC48" s="57"/>
      <c r="DUD48" s="56"/>
      <c r="DUE48" s="57"/>
      <c r="DUF48" s="58"/>
      <c r="DUG48" s="56"/>
      <c r="DUH48" s="58"/>
      <c r="DUI48" s="57"/>
      <c r="DUJ48" s="56"/>
      <c r="DUK48" s="57"/>
      <c r="DUL48" s="56"/>
      <c r="DUM48" s="56"/>
      <c r="DUN48" s="56"/>
      <c r="DUO48" s="57"/>
      <c r="DUP48" s="57"/>
      <c r="DUQ48" s="57"/>
      <c r="DUR48" s="57"/>
      <c r="DUS48" s="57"/>
      <c r="DUT48" s="57"/>
      <c r="DUU48" s="57"/>
      <c r="DUV48" s="57"/>
      <c r="DUW48" s="57"/>
      <c r="DUX48" s="57"/>
      <c r="DUY48" s="57"/>
      <c r="DUZ48" s="57"/>
      <c r="DVA48" s="57"/>
      <c r="DVB48" s="57"/>
      <c r="DVC48" s="57"/>
      <c r="DVD48" s="57"/>
      <c r="DVE48" s="57"/>
      <c r="DVF48" s="57"/>
      <c r="DVG48" s="57"/>
      <c r="DVH48" s="57"/>
      <c r="DVI48" s="57"/>
      <c r="DVJ48" s="57"/>
      <c r="DVK48" s="57"/>
      <c r="DVL48" s="57"/>
      <c r="DVM48" s="57"/>
      <c r="DVN48" s="57"/>
      <c r="DVO48" s="57"/>
      <c r="DVP48" s="57"/>
      <c r="DVQ48" s="57"/>
      <c r="DVR48" s="57"/>
      <c r="DVS48" s="57"/>
      <c r="DVT48" s="57"/>
      <c r="DVU48" s="57"/>
      <c r="DVV48" s="57"/>
      <c r="DVW48" s="57"/>
      <c r="DVX48" s="57"/>
      <c r="DVY48" s="57"/>
      <c r="DVZ48" s="58"/>
      <c r="DWA48" s="56"/>
      <c r="DWB48" s="57"/>
      <c r="DWC48" s="57"/>
      <c r="DWD48" s="57"/>
      <c r="DWE48" s="57"/>
      <c r="DWF48" s="57"/>
      <c r="DWG48" s="56"/>
      <c r="DWH48" s="57"/>
      <c r="DWI48" s="57"/>
      <c r="DWJ48" s="56"/>
      <c r="DWK48" s="57"/>
      <c r="DWL48" s="58"/>
      <c r="DWM48" s="56"/>
      <c r="DWN48" s="57"/>
      <c r="DWO48" s="57"/>
      <c r="DWP48" s="57"/>
      <c r="DWQ48" s="56"/>
      <c r="DWR48" s="57"/>
      <c r="DWS48" s="57"/>
      <c r="DWT48" s="56"/>
      <c r="DWU48" s="57"/>
      <c r="DWV48" s="58"/>
      <c r="DWW48" s="56"/>
      <c r="DWX48" s="57"/>
      <c r="DWY48" s="57"/>
      <c r="DWZ48" s="57"/>
      <c r="DXA48" s="56"/>
      <c r="DXB48" s="57"/>
      <c r="DXC48" s="57"/>
      <c r="DXD48" s="56"/>
      <c r="DXE48" s="57"/>
      <c r="DXF48" s="58"/>
      <c r="DXG48" s="56"/>
      <c r="DXH48" s="57"/>
      <c r="DXI48" s="57"/>
      <c r="DXJ48" s="57"/>
      <c r="DXK48" s="56"/>
      <c r="DXL48" s="57"/>
      <c r="DXM48" s="57"/>
      <c r="DXN48" s="56"/>
      <c r="DXO48" s="57"/>
      <c r="DXP48" s="58"/>
      <c r="DXQ48" s="56"/>
      <c r="DXR48" s="58"/>
      <c r="DXS48" s="57"/>
      <c r="DXT48" s="56"/>
      <c r="DXU48" s="57"/>
      <c r="DXV48" s="56"/>
      <c r="DXW48" s="56"/>
      <c r="DXX48" s="56"/>
      <c r="DXY48" s="57"/>
      <c r="DXZ48" s="57"/>
      <c r="DYA48" s="57"/>
      <c r="DYB48" s="57"/>
      <c r="DYC48" s="57"/>
      <c r="DYD48" s="57"/>
      <c r="DYE48" s="57"/>
      <c r="DYF48" s="57"/>
      <c r="DYG48" s="57"/>
      <c r="DYH48" s="57"/>
      <c r="DYI48" s="57"/>
      <c r="DYJ48" s="57"/>
      <c r="DYK48" s="57"/>
      <c r="DYL48" s="57"/>
      <c r="DYM48" s="57"/>
      <c r="DYN48" s="57"/>
      <c r="DYO48" s="57"/>
      <c r="DYP48" s="57"/>
      <c r="DYQ48" s="57"/>
      <c r="DYR48" s="57"/>
      <c r="DYS48" s="57"/>
      <c r="DYT48" s="57"/>
      <c r="DYU48" s="57"/>
      <c r="DYV48" s="57"/>
      <c r="DYW48" s="57"/>
      <c r="DYX48" s="57"/>
      <c r="DYY48" s="57"/>
      <c r="DYZ48" s="57"/>
      <c r="DZA48" s="57"/>
      <c r="DZB48" s="57"/>
      <c r="DZC48" s="57"/>
      <c r="DZD48" s="57"/>
      <c r="DZE48" s="57"/>
      <c r="DZF48" s="57"/>
      <c r="DZG48" s="57"/>
      <c r="DZH48" s="57"/>
      <c r="DZI48" s="57"/>
      <c r="DZJ48" s="58"/>
      <c r="DZK48" s="56"/>
      <c r="DZL48" s="57"/>
      <c r="DZM48" s="57"/>
      <c r="DZN48" s="57"/>
      <c r="DZO48" s="57"/>
      <c r="DZP48" s="57"/>
      <c r="DZQ48" s="56"/>
      <c r="DZR48" s="57"/>
      <c r="DZS48" s="57"/>
      <c r="DZT48" s="56"/>
      <c r="DZU48" s="57"/>
      <c r="DZV48" s="58"/>
      <c r="DZW48" s="56"/>
      <c r="DZX48" s="57"/>
      <c r="DZY48" s="57"/>
      <c r="DZZ48" s="57"/>
      <c r="EAA48" s="56"/>
      <c r="EAB48" s="57"/>
      <c r="EAC48" s="57"/>
      <c r="EAD48" s="56"/>
      <c r="EAE48" s="57"/>
      <c r="EAF48" s="58"/>
      <c r="EAG48" s="56"/>
      <c r="EAH48" s="57"/>
      <c r="EAI48" s="57"/>
      <c r="EAJ48" s="57"/>
      <c r="EAK48" s="56"/>
      <c r="EAL48" s="57"/>
      <c r="EAM48" s="57"/>
      <c r="EAN48" s="56"/>
      <c r="EAO48" s="57"/>
      <c r="EAP48" s="58"/>
      <c r="EAQ48" s="56"/>
      <c r="EAR48" s="57"/>
      <c r="EAS48" s="57"/>
      <c r="EAT48" s="57"/>
      <c r="EAU48" s="56"/>
      <c r="EAV48" s="57"/>
      <c r="EAW48" s="57"/>
      <c r="EAX48" s="56"/>
      <c r="EAY48" s="57"/>
      <c r="EAZ48" s="58"/>
      <c r="EBA48" s="56"/>
      <c r="EBB48" s="58"/>
      <c r="EBC48" s="57"/>
      <c r="EBD48" s="56"/>
      <c r="EBE48" s="57"/>
      <c r="EBF48" s="56"/>
      <c r="EBG48" s="56"/>
      <c r="EBH48" s="56"/>
      <c r="EBI48" s="57"/>
      <c r="EBJ48" s="57"/>
      <c r="EBK48" s="57"/>
      <c r="EBL48" s="57"/>
      <c r="EBM48" s="57"/>
      <c r="EBN48" s="57"/>
      <c r="EBO48" s="57"/>
      <c r="EBP48" s="57"/>
      <c r="EBQ48" s="57"/>
      <c r="EBR48" s="57"/>
      <c r="EBS48" s="57"/>
      <c r="EBT48" s="57"/>
      <c r="EBU48" s="57"/>
      <c r="EBV48" s="57"/>
      <c r="EBW48" s="57"/>
      <c r="EBX48" s="57"/>
      <c r="EBY48" s="57"/>
      <c r="EBZ48" s="57"/>
      <c r="ECA48" s="57"/>
      <c r="ECB48" s="57"/>
      <c r="ECC48" s="57"/>
      <c r="ECD48" s="57"/>
      <c r="ECE48" s="57"/>
      <c r="ECF48" s="57"/>
      <c r="ECG48" s="57"/>
      <c r="ECH48" s="57"/>
      <c r="ECI48" s="57"/>
      <c r="ECJ48" s="57"/>
      <c r="ECK48" s="57"/>
      <c r="ECL48" s="57"/>
      <c r="ECM48" s="57"/>
      <c r="ECN48" s="57"/>
      <c r="ECO48" s="57"/>
      <c r="ECP48" s="57"/>
      <c r="ECQ48" s="57"/>
      <c r="ECR48" s="57"/>
      <c r="ECS48" s="57"/>
      <c r="ECT48" s="58"/>
      <c r="ECU48" s="56"/>
      <c r="ECV48" s="57"/>
      <c r="ECW48" s="57"/>
      <c r="ECX48" s="57"/>
      <c r="ECY48" s="57"/>
      <c r="ECZ48" s="57"/>
      <c r="EDA48" s="56"/>
      <c r="EDB48" s="57"/>
      <c r="EDC48" s="57"/>
      <c r="EDD48" s="56"/>
      <c r="EDE48" s="57"/>
      <c r="EDF48" s="58"/>
      <c r="EDG48" s="56"/>
      <c r="EDH48" s="57"/>
      <c r="EDI48" s="57"/>
      <c r="EDJ48" s="57"/>
      <c r="EDK48" s="56"/>
      <c r="EDL48" s="57"/>
      <c r="EDM48" s="57"/>
      <c r="EDN48" s="56"/>
      <c r="EDO48" s="57"/>
      <c r="EDP48" s="58"/>
      <c r="EDQ48" s="56"/>
      <c r="EDR48" s="57"/>
      <c r="EDS48" s="57"/>
      <c r="EDT48" s="57"/>
      <c r="EDU48" s="56"/>
      <c r="EDV48" s="57"/>
      <c r="EDW48" s="57"/>
      <c r="EDX48" s="56"/>
      <c r="EDY48" s="57"/>
      <c r="EDZ48" s="58"/>
      <c r="EEA48" s="56"/>
      <c r="EEB48" s="57"/>
      <c r="EEC48" s="57"/>
      <c r="EED48" s="57"/>
      <c r="EEE48" s="56"/>
      <c r="EEF48" s="57"/>
      <c r="EEG48" s="57"/>
      <c r="EEH48" s="56"/>
      <c r="EEI48" s="57"/>
      <c r="EEJ48" s="58"/>
      <c r="EEK48" s="56"/>
      <c r="EEL48" s="58"/>
      <c r="EEM48" s="57"/>
      <c r="EEN48" s="56"/>
      <c r="EEO48" s="57"/>
      <c r="EEP48" s="56"/>
      <c r="EEQ48" s="56"/>
      <c r="EER48" s="56"/>
      <c r="EES48" s="57"/>
      <c r="EET48" s="57"/>
      <c r="EEU48" s="57"/>
      <c r="EEV48" s="57"/>
      <c r="EEW48" s="57"/>
      <c r="EEX48" s="57"/>
      <c r="EEY48" s="57"/>
      <c r="EEZ48" s="57"/>
      <c r="EFA48" s="57"/>
      <c r="EFB48" s="57"/>
      <c r="EFC48" s="57"/>
      <c r="EFD48" s="57"/>
      <c r="EFE48" s="57"/>
      <c r="EFF48" s="57"/>
      <c r="EFG48" s="57"/>
      <c r="EFH48" s="57"/>
      <c r="EFI48" s="57"/>
      <c r="EFJ48" s="57"/>
      <c r="EFK48" s="57"/>
      <c r="EFL48" s="57"/>
      <c r="EFM48" s="57"/>
      <c r="EFN48" s="57"/>
      <c r="EFO48" s="57"/>
      <c r="EFP48" s="57"/>
      <c r="EFQ48" s="57"/>
      <c r="EFR48" s="57"/>
      <c r="EFS48" s="57"/>
      <c r="EFT48" s="57"/>
      <c r="EFU48" s="57"/>
      <c r="EFV48" s="57"/>
      <c r="EFW48" s="57"/>
      <c r="EFX48" s="57"/>
      <c r="EFY48" s="57"/>
      <c r="EFZ48" s="57"/>
      <c r="EGA48" s="57"/>
      <c r="EGB48" s="57"/>
      <c r="EGC48" s="57"/>
      <c r="EGD48" s="58"/>
      <c r="EGE48" s="56"/>
      <c r="EGF48" s="57"/>
      <c r="EGG48" s="57"/>
      <c r="EGH48" s="57"/>
      <c r="EGI48" s="57"/>
      <c r="EGJ48" s="57"/>
      <c r="EGK48" s="56"/>
      <c r="EGL48" s="57"/>
      <c r="EGM48" s="57"/>
      <c r="EGN48" s="56"/>
      <c r="EGO48" s="57"/>
      <c r="EGP48" s="58"/>
      <c r="EGQ48" s="56"/>
      <c r="EGR48" s="57"/>
      <c r="EGS48" s="57"/>
      <c r="EGT48" s="57"/>
      <c r="EGU48" s="56"/>
      <c r="EGV48" s="57"/>
      <c r="EGW48" s="57"/>
      <c r="EGX48" s="56"/>
      <c r="EGY48" s="57"/>
      <c r="EGZ48" s="58"/>
      <c r="EHA48" s="56"/>
      <c r="EHB48" s="57"/>
      <c r="EHC48" s="57"/>
      <c r="EHD48" s="57"/>
      <c r="EHE48" s="56"/>
      <c r="EHF48" s="57"/>
      <c r="EHG48" s="57"/>
      <c r="EHH48" s="56"/>
      <c r="EHI48" s="57"/>
      <c r="EHJ48" s="58"/>
      <c r="EHK48" s="56"/>
      <c r="EHL48" s="57"/>
      <c r="EHM48" s="57"/>
      <c r="EHN48" s="57"/>
      <c r="EHO48" s="56"/>
      <c r="EHP48" s="57"/>
      <c r="EHQ48" s="57"/>
      <c r="EHR48" s="56"/>
      <c r="EHS48" s="57"/>
      <c r="EHT48" s="58"/>
      <c r="EHU48" s="56"/>
      <c r="EHV48" s="58"/>
      <c r="EHW48" s="57"/>
      <c r="EHX48" s="56"/>
      <c r="EHY48" s="57"/>
      <c r="EHZ48" s="56"/>
      <c r="EIA48" s="56"/>
      <c r="EIB48" s="56"/>
      <c r="EIC48" s="57"/>
      <c r="EID48" s="57"/>
      <c r="EIE48" s="57"/>
      <c r="EIF48" s="57"/>
      <c r="EIG48" s="57"/>
      <c r="EIH48" s="57"/>
      <c r="EII48" s="57"/>
      <c r="EIJ48" s="57"/>
      <c r="EIK48" s="57"/>
      <c r="EIL48" s="57"/>
      <c r="EIM48" s="57"/>
      <c r="EIN48" s="57"/>
      <c r="EIO48" s="57"/>
      <c r="EIP48" s="57"/>
      <c r="EIQ48" s="57"/>
      <c r="EIR48" s="57"/>
      <c r="EIS48" s="57"/>
      <c r="EIT48" s="57"/>
      <c r="EIU48" s="57"/>
      <c r="EIV48" s="57"/>
      <c r="EIW48" s="57"/>
      <c r="EIX48" s="57"/>
      <c r="EIY48" s="57"/>
      <c r="EIZ48" s="57"/>
      <c r="EJA48" s="57"/>
      <c r="EJB48" s="57"/>
      <c r="EJC48" s="57"/>
      <c r="EJD48" s="57"/>
      <c r="EJE48" s="57"/>
      <c r="EJF48" s="57"/>
      <c r="EJG48" s="57"/>
      <c r="EJH48" s="57"/>
      <c r="EJI48" s="57"/>
      <c r="EJJ48" s="57"/>
      <c r="EJK48" s="57"/>
      <c r="EJL48" s="57"/>
      <c r="EJM48" s="57"/>
      <c r="EJN48" s="58"/>
      <c r="EJO48" s="56"/>
      <c r="EJP48" s="57"/>
      <c r="EJQ48" s="57"/>
      <c r="EJR48" s="57"/>
      <c r="EJS48" s="57"/>
      <c r="EJT48" s="57"/>
      <c r="EJU48" s="56"/>
      <c r="EJV48" s="57"/>
      <c r="EJW48" s="57"/>
      <c r="EJX48" s="56"/>
      <c r="EJY48" s="57"/>
      <c r="EJZ48" s="58"/>
      <c r="EKA48" s="56"/>
      <c r="EKB48" s="57"/>
      <c r="EKC48" s="57"/>
      <c r="EKD48" s="57"/>
      <c r="EKE48" s="56"/>
      <c r="EKF48" s="57"/>
      <c r="EKG48" s="57"/>
      <c r="EKH48" s="56"/>
      <c r="EKI48" s="57"/>
      <c r="EKJ48" s="58"/>
      <c r="EKK48" s="56"/>
      <c r="EKL48" s="57"/>
      <c r="EKM48" s="57"/>
      <c r="EKN48" s="57"/>
      <c r="EKO48" s="56"/>
      <c r="EKP48" s="57"/>
      <c r="EKQ48" s="57"/>
      <c r="EKR48" s="56"/>
      <c r="EKS48" s="57"/>
      <c r="EKT48" s="58"/>
      <c r="EKU48" s="56"/>
      <c r="EKV48" s="57"/>
      <c r="EKW48" s="57"/>
      <c r="EKX48" s="57"/>
      <c r="EKY48" s="56"/>
      <c r="EKZ48" s="57"/>
      <c r="ELA48" s="57"/>
      <c r="ELB48" s="56"/>
      <c r="ELC48" s="57"/>
      <c r="ELD48" s="58"/>
      <c r="ELE48" s="56"/>
      <c r="ELF48" s="58"/>
      <c r="ELG48" s="57"/>
      <c r="ELH48" s="56"/>
      <c r="ELI48" s="57"/>
      <c r="ELJ48" s="56"/>
      <c r="ELK48" s="56"/>
      <c r="ELL48" s="56"/>
      <c r="ELM48" s="57"/>
      <c r="ELN48" s="57"/>
      <c r="ELO48" s="57"/>
      <c r="ELP48" s="57"/>
      <c r="ELQ48" s="57"/>
      <c r="ELR48" s="57"/>
      <c r="ELS48" s="57"/>
      <c r="ELT48" s="57"/>
      <c r="ELU48" s="57"/>
      <c r="ELV48" s="57"/>
      <c r="ELW48" s="57"/>
      <c r="ELX48" s="57"/>
      <c r="ELY48" s="57"/>
      <c r="ELZ48" s="57"/>
      <c r="EMA48" s="57"/>
      <c r="EMB48" s="57"/>
      <c r="EMC48" s="57"/>
      <c r="EMD48" s="57"/>
      <c r="EME48" s="57"/>
      <c r="EMF48" s="57"/>
      <c r="EMG48" s="57"/>
      <c r="EMH48" s="57"/>
      <c r="EMI48" s="57"/>
      <c r="EMJ48" s="57"/>
      <c r="EMK48" s="57"/>
      <c r="EML48" s="57"/>
      <c r="EMM48" s="57"/>
      <c r="EMN48" s="57"/>
      <c r="EMO48" s="57"/>
      <c r="EMP48" s="57"/>
      <c r="EMQ48" s="57"/>
      <c r="EMR48" s="57"/>
      <c r="EMS48" s="57"/>
      <c r="EMT48" s="57"/>
      <c r="EMU48" s="57"/>
      <c r="EMV48" s="57"/>
      <c r="EMW48" s="57"/>
      <c r="EMX48" s="58"/>
      <c r="EMY48" s="56"/>
      <c r="EMZ48" s="57"/>
      <c r="ENA48" s="57"/>
      <c r="ENB48" s="57"/>
      <c r="ENC48" s="57"/>
      <c r="END48" s="57"/>
      <c r="ENE48" s="56"/>
      <c r="ENF48" s="57"/>
      <c r="ENG48" s="57"/>
      <c r="ENH48" s="56"/>
      <c r="ENI48" s="57"/>
      <c r="ENJ48" s="58"/>
      <c r="ENK48" s="56"/>
      <c r="ENL48" s="57"/>
      <c r="ENM48" s="57"/>
      <c r="ENN48" s="57"/>
      <c r="ENO48" s="56"/>
      <c r="ENP48" s="57"/>
      <c r="ENQ48" s="57"/>
      <c r="ENR48" s="56"/>
      <c r="ENS48" s="57"/>
      <c r="ENT48" s="58"/>
      <c r="ENU48" s="56"/>
      <c r="ENV48" s="57"/>
      <c r="ENW48" s="57"/>
      <c r="ENX48" s="57"/>
      <c r="ENY48" s="56"/>
      <c r="ENZ48" s="57"/>
      <c r="EOA48" s="57"/>
      <c r="EOB48" s="56"/>
      <c r="EOC48" s="57"/>
      <c r="EOD48" s="58"/>
      <c r="EOE48" s="56"/>
      <c r="EOF48" s="57"/>
      <c r="EOG48" s="57"/>
      <c r="EOH48" s="57"/>
      <c r="EOI48" s="56"/>
      <c r="EOJ48" s="57"/>
      <c r="EOK48" s="57"/>
      <c r="EOL48" s="56"/>
      <c r="EOM48" s="57"/>
      <c r="EON48" s="58"/>
      <c r="EOO48" s="56"/>
    </row>
    <row r="49" spans="1:3785" x14ac:dyDescent="0.3">
      <c r="A49" s="27" t="s">
        <v>208</v>
      </c>
      <c r="B49" s="30"/>
      <c r="C49" s="29"/>
      <c r="D49" s="28" t="str">
        <f>IFERROR(VLOOKUP(B49,BASEPOE1,2,FALSE)," ")</f>
        <v xml:space="preserve"> </v>
      </c>
      <c r="E49" s="29"/>
      <c r="F49" s="28"/>
      <c r="G49" s="28"/>
      <c r="H49" s="28"/>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30"/>
      <c r="AU49" s="28"/>
      <c r="AV49" s="29"/>
      <c r="AW49" s="29"/>
      <c r="AX49" s="29"/>
      <c r="AY49" s="29"/>
      <c r="AZ49" s="29"/>
      <c r="BA49" s="28"/>
      <c r="BB49" s="29"/>
      <c r="BC49" s="29"/>
      <c r="BD49" s="28"/>
      <c r="BE49" s="29"/>
      <c r="BF49" s="30"/>
      <c r="BG49" s="28"/>
      <c r="BH49" s="29"/>
      <c r="BI49" s="29"/>
      <c r="BJ49" s="29"/>
      <c r="BK49" s="28"/>
      <c r="BL49" s="29"/>
      <c r="BM49" s="29"/>
      <c r="BN49" s="28"/>
      <c r="BO49" s="29"/>
      <c r="BP49" s="30"/>
      <c r="BQ49" s="28"/>
      <c r="BR49" s="29"/>
      <c r="BS49" s="29"/>
      <c r="BT49" s="29"/>
      <c r="BU49" s="28"/>
      <c r="BV49" s="29"/>
      <c r="BW49" s="29"/>
      <c r="BX49" s="28"/>
      <c r="BY49" s="29"/>
      <c r="BZ49" s="30"/>
      <c r="CA49" s="28"/>
      <c r="CB49" s="29"/>
      <c r="CC49" s="29"/>
      <c r="CD49" s="29"/>
      <c r="CE49" s="28"/>
      <c r="CF49" s="29"/>
      <c r="CG49" s="29"/>
      <c r="CH49" s="28"/>
      <c r="CI49" s="29"/>
      <c r="CJ49" s="30"/>
      <c r="CK49" s="28"/>
      <c r="CL49" s="29"/>
      <c r="CM49" s="29"/>
      <c r="CN49" s="29"/>
      <c r="CO49" s="28"/>
      <c r="CP49" s="29"/>
      <c r="CQ49" s="29"/>
      <c r="CR49" s="28"/>
      <c r="CS49" s="29"/>
      <c r="CT49" s="30"/>
      <c r="CU49" s="28"/>
      <c r="CV49" s="29"/>
      <c r="CW49" s="29"/>
      <c r="CX49" s="29"/>
      <c r="CY49" s="28"/>
      <c r="CZ49" s="29"/>
      <c r="DA49" s="29"/>
      <c r="DB49" s="28"/>
      <c r="DC49" s="29"/>
      <c r="DD49" s="30"/>
      <c r="DE49" s="28"/>
      <c r="DF49" s="29"/>
      <c r="DG49" s="29"/>
      <c r="DH49" s="29"/>
      <c r="DI49" s="28"/>
      <c r="DJ49" s="29"/>
      <c r="DK49" s="29"/>
      <c r="DL49" s="28"/>
      <c r="DM49" s="29"/>
      <c r="DN49" s="30"/>
      <c r="DO49" s="28"/>
      <c r="DP49" s="29"/>
      <c r="DQ49" s="29"/>
      <c r="DR49" s="29"/>
      <c r="DS49" s="28"/>
      <c r="DT49" s="29"/>
      <c r="DU49" s="29"/>
      <c r="DV49" s="28"/>
      <c r="DW49" s="29"/>
      <c r="DX49" s="30"/>
      <c r="DY49" s="28"/>
      <c r="DZ49" s="29"/>
      <c r="EA49" s="29"/>
      <c r="EB49" s="29"/>
      <c r="EC49" s="28"/>
      <c r="ED49" s="29"/>
      <c r="EE49" s="28"/>
      <c r="EF49" s="28"/>
      <c r="EG49" s="29"/>
      <c r="EH49" s="30"/>
      <c r="EI49" s="28"/>
      <c r="EJ49" s="29"/>
      <c r="EK49" s="29"/>
      <c r="EL49" s="29"/>
      <c r="EM49" s="28"/>
      <c r="EN49" s="29"/>
      <c r="EO49" s="33"/>
      <c r="EP49" s="28"/>
      <c r="EQ49" s="29"/>
      <c r="ER49" s="30"/>
      <c r="ES49" s="28"/>
      <c r="ET49" s="29"/>
      <c r="EU49" s="29"/>
      <c r="EV49" s="29"/>
      <c r="EW49" s="28"/>
      <c r="EX49" s="29"/>
      <c r="EY49" s="29"/>
      <c r="EZ49" s="28"/>
      <c r="FA49" s="29"/>
      <c r="FB49" s="30"/>
      <c r="FC49" s="28"/>
      <c r="FD49" s="29"/>
      <c r="FE49" s="29"/>
      <c r="FF49" s="29"/>
      <c r="FG49" s="28"/>
      <c r="FH49" s="29"/>
      <c r="FI49" s="29"/>
      <c r="FJ49" s="28"/>
      <c r="FK49" s="29"/>
      <c r="FL49" s="30"/>
      <c r="FM49" s="28"/>
      <c r="FN49" s="29"/>
      <c r="FO49" s="29"/>
      <c r="FP49" s="29"/>
      <c r="FQ49" s="28"/>
      <c r="FR49" s="29"/>
      <c r="FS49" s="29"/>
      <c r="FT49" s="28"/>
      <c r="FU49" s="29"/>
      <c r="FV49" s="30"/>
      <c r="FW49" s="28"/>
      <c r="FX49" s="29"/>
      <c r="FY49" s="29"/>
      <c r="FZ49" s="29"/>
      <c r="GA49" s="28"/>
      <c r="GB49" s="29"/>
      <c r="GC49" s="29"/>
      <c r="GD49" s="28"/>
      <c r="GE49" s="29"/>
      <c r="GF49" s="30"/>
      <c r="GG49" s="28"/>
      <c r="GH49" s="29"/>
      <c r="GI49" s="29"/>
      <c r="GJ49" s="29"/>
      <c r="GK49" s="28"/>
      <c r="GL49" s="29"/>
      <c r="GM49" s="29"/>
      <c r="GN49" s="28"/>
      <c r="GO49" s="29"/>
      <c r="GP49" s="30"/>
      <c r="GQ49" s="28"/>
      <c r="GR49" s="29"/>
      <c r="GS49" s="29"/>
      <c r="GT49" s="29"/>
      <c r="GU49" s="28"/>
      <c r="GV49" s="29"/>
      <c r="GW49" s="29"/>
      <c r="GX49" s="28"/>
      <c r="GY49" s="29"/>
      <c r="GZ49" s="30"/>
      <c r="HA49" s="28"/>
      <c r="HB49" s="29"/>
      <c r="HC49" s="29"/>
      <c r="HD49" s="29"/>
      <c r="HE49" s="28"/>
      <c r="HF49" s="29"/>
      <c r="HG49" s="29"/>
      <c r="HH49" s="28"/>
      <c r="HI49" s="29"/>
      <c r="HJ49" s="30"/>
      <c r="HK49" s="28"/>
      <c r="HL49" s="29"/>
      <c r="HM49" s="29"/>
      <c r="HN49" s="29"/>
      <c r="HO49" s="28"/>
      <c r="HP49" s="29"/>
      <c r="HQ49" s="29"/>
      <c r="HR49" s="28"/>
      <c r="HS49" s="29"/>
      <c r="HT49" s="30"/>
      <c r="HU49" s="28"/>
      <c r="HV49" s="29"/>
      <c r="HW49" s="29"/>
      <c r="HX49" s="29"/>
      <c r="HY49" s="28"/>
      <c r="HZ49" s="29"/>
      <c r="IA49" s="29"/>
      <c r="IB49" s="28"/>
      <c r="IC49" s="29"/>
      <c r="ID49" s="30"/>
      <c r="IE49" s="28"/>
      <c r="IF49" s="29"/>
      <c r="IG49" s="29"/>
      <c r="IH49" s="29"/>
      <c r="II49" s="28"/>
      <c r="IJ49" s="29"/>
      <c r="IK49" s="29"/>
      <c r="IL49" s="28"/>
      <c r="IM49" s="29"/>
      <c r="IN49" s="30"/>
      <c r="IO49" s="28"/>
      <c r="IP49" s="29"/>
      <c r="IQ49" s="29"/>
      <c r="IR49" s="29"/>
      <c r="IS49" s="28"/>
      <c r="IT49" s="29"/>
      <c r="IU49" s="29"/>
      <c r="IV49" s="28"/>
      <c r="IW49" s="29"/>
      <c r="IX49" s="30"/>
      <c r="IY49" s="28"/>
      <c r="IZ49" s="29"/>
      <c r="JA49" s="29"/>
      <c r="JB49" s="29"/>
      <c r="JC49" s="28"/>
      <c r="JD49" s="29"/>
      <c r="JE49" s="29"/>
      <c r="JF49" s="28"/>
      <c r="JG49" s="29"/>
      <c r="JH49" s="30"/>
      <c r="JI49" s="28"/>
      <c r="JJ49" s="29"/>
      <c r="JK49" s="29"/>
      <c r="JL49" s="29"/>
      <c r="JM49" s="28"/>
      <c r="JN49" s="29"/>
      <c r="JO49" s="29"/>
      <c r="JP49" s="28"/>
      <c r="JQ49" s="29"/>
      <c r="JR49" s="30"/>
      <c r="JS49" s="28"/>
      <c r="JT49" s="29"/>
      <c r="JU49" s="29"/>
      <c r="JV49" s="29"/>
      <c r="JW49" s="28"/>
      <c r="JX49" s="29"/>
      <c r="JY49" s="29"/>
      <c r="JZ49" s="28"/>
      <c r="KA49" s="29"/>
      <c r="KB49" s="30"/>
      <c r="KC49" s="28"/>
      <c r="KD49" s="29"/>
      <c r="KE49" s="29"/>
      <c r="KF49" s="29"/>
      <c r="KG49" s="28"/>
      <c r="KH49" s="29"/>
      <c r="KI49" s="29"/>
      <c r="KJ49" s="28"/>
      <c r="KK49" s="29"/>
      <c r="KL49" s="30"/>
      <c r="KM49" s="28"/>
      <c r="KN49" s="29"/>
      <c r="KO49" s="29"/>
      <c r="KP49" s="29"/>
      <c r="KQ49" s="28"/>
      <c r="KR49" s="29"/>
      <c r="KS49" s="29"/>
      <c r="KT49" s="28"/>
      <c r="KU49" s="29"/>
      <c r="KV49" s="30"/>
      <c r="KW49" s="28"/>
      <c r="KX49" s="29"/>
      <c r="KY49" s="29"/>
      <c r="KZ49" s="29"/>
      <c r="LA49" s="28"/>
      <c r="LB49" s="29"/>
      <c r="LC49" s="29"/>
      <c r="LD49" s="28"/>
      <c r="LE49" s="29"/>
      <c r="LF49" s="30"/>
      <c r="LG49" s="28"/>
      <c r="LH49" s="29"/>
      <c r="LI49" s="29"/>
      <c r="LJ49" s="29"/>
      <c r="LK49" s="28"/>
      <c r="LL49" s="29"/>
      <c r="LM49" s="29"/>
      <c r="LN49" s="28"/>
      <c r="LO49" s="29"/>
      <c r="LP49" s="30"/>
      <c r="LQ49" s="28"/>
      <c r="LR49" s="29"/>
      <c r="LS49" s="29"/>
      <c r="LT49" s="29"/>
      <c r="LU49" s="28"/>
      <c r="LV49" s="29"/>
      <c r="LW49" s="29"/>
      <c r="LX49" s="28"/>
      <c r="LY49" s="29"/>
      <c r="LZ49" s="30"/>
      <c r="MA49" s="28"/>
      <c r="MB49" s="29"/>
      <c r="MC49" s="29"/>
      <c r="MD49" s="29"/>
      <c r="ME49" s="28"/>
      <c r="MF49" s="29"/>
      <c r="MG49" s="29"/>
      <c r="MH49" s="28"/>
      <c r="MI49" s="29"/>
      <c r="MJ49" s="30"/>
      <c r="MK49" s="28"/>
      <c r="ML49" s="29"/>
      <c r="MM49" s="29"/>
      <c r="MN49" s="29"/>
      <c r="MO49" s="28"/>
      <c r="MP49" s="29"/>
      <c r="MQ49" s="29"/>
      <c r="MR49" s="28"/>
      <c r="MS49" s="29"/>
      <c r="MT49" s="30"/>
      <c r="MU49" s="28"/>
      <c r="MV49" s="29"/>
      <c r="MW49" s="29"/>
      <c r="MX49" s="29"/>
      <c r="MY49" s="28"/>
      <c r="MZ49" s="29"/>
      <c r="NA49" s="29"/>
      <c r="NB49" s="28"/>
      <c r="NC49" s="29"/>
      <c r="ND49" s="30"/>
      <c r="NE49" s="28"/>
      <c r="NF49" s="29"/>
      <c r="NG49" s="29"/>
      <c r="NH49" s="29"/>
      <c r="NI49" s="28"/>
      <c r="NJ49" s="29"/>
      <c r="NK49" s="29"/>
      <c r="NL49" s="28"/>
      <c r="NM49" s="29"/>
      <c r="NN49" s="30"/>
      <c r="NO49" s="28"/>
      <c r="NP49" s="29"/>
      <c r="NQ49" s="29"/>
      <c r="NR49" s="29"/>
      <c r="NS49" s="28"/>
      <c r="NT49" s="29"/>
      <c r="NU49" s="29"/>
      <c r="NV49" s="28"/>
      <c r="NW49" s="29"/>
      <c r="NX49" s="30"/>
      <c r="NY49" s="28"/>
      <c r="NZ49" s="29"/>
      <c r="OA49" s="29"/>
      <c r="OB49" s="29"/>
      <c r="OC49" s="28"/>
      <c r="OD49" s="29"/>
      <c r="OE49" s="29"/>
      <c r="OF49" s="30"/>
      <c r="OG49" s="30"/>
      <c r="OH49" s="30"/>
      <c r="OI49" s="28"/>
      <c r="OJ49" s="30"/>
      <c r="OK49" s="30"/>
      <c r="OL49" s="30"/>
      <c r="OM49" s="30"/>
      <c r="ON49" s="30"/>
      <c r="OO49" s="30"/>
      <c r="OP49" s="28"/>
      <c r="OQ49" s="29"/>
      <c r="OR49" s="30"/>
      <c r="OS49" s="28"/>
      <c r="OT49" s="29"/>
      <c r="OU49" s="29"/>
      <c r="OV49" s="29"/>
      <c r="OW49" s="28"/>
      <c r="OX49" s="29"/>
      <c r="OY49" s="29"/>
      <c r="OZ49" s="28"/>
      <c r="PA49" s="29"/>
      <c r="PB49" s="30"/>
      <c r="PC49" s="28"/>
      <c r="PD49" s="29"/>
      <c r="PE49" s="29"/>
      <c r="PF49" s="29"/>
      <c r="PG49" s="28"/>
      <c r="PH49" s="29"/>
      <c r="PI49" s="29"/>
      <c r="PJ49" s="28"/>
      <c r="PK49" s="29"/>
      <c r="PL49" s="30"/>
      <c r="PM49" s="28"/>
      <c r="PN49" s="29"/>
      <c r="PO49" s="29"/>
      <c r="PP49" s="29"/>
      <c r="PQ49" s="28"/>
      <c r="PR49" s="29"/>
      <c r="PS49" s="29"/>
      <c r="PT49" s="28"/>
      <c r="PU49" s="29"/>
      <c r="PV49" s="30"/>
      <c r="PW49" s="28"/>
      <c r="PX49" s="29"/>
      <c r="PY49" s="29"/>
      <c r="PZ49" s="29"/>
      <c r="QA49" s="28"/>
      <c r="QB49" s="29"/>
      <c r="QC49" s="29"/>
      <c r="QD49" s="28"/>
      <c r="QE49" s="29"/>
      <c r="QF49" s="30"/>
      <c r="QG49" s="28"/>
      <c r="QH49" s="29"/>
      <c r="QI49" s="29"/>
      <c r="QJ49" s="29"/>
      <c r="QK49" s="28"/>
      <c r="QL49" s="29"/>
      <c r="QM49" s="29"/>
      <c r="QN49" s="28"/>
      <c r="QO49" s="29"/>
      <c r="QP49" s="30"/>
      <c r="QQ49" s="28"/>
      <c r="QR49" s="29"/>
      <c r="QS49" s="29"/>
      <c r="QT49" s="29"/>
      <c r="QU49" s="28"/>
      <c r="QV49" s="29"/>
      <c r="QW49" s="29"/>
      <c r="QX49" s="28"/>
      <c r="QY49" s="29"/>
      <c r="QZ49" s="30"/>
      <c r="RA49" s="28"/>
      <c r="RB49" s="29"/>
      <c r="RC49" s="29"/>
      <c r="RD49" s="29"/>
      <c r="RE49" s="28"/>
      <c r="RF49" s="29"/>
      <c r="RG49" s="29"/>
      <c r="RH49" s="28"/>
      <c r="RI49" s="29"/>
      <c r="RJ49" s="30"/>
      <c r="RK49" s="28"/>
      <c r="RL49" s="29"/>
      <c r="RM49" s="29"/>
      <c r="RN49" s="29"/>
      <c r="RO49" s="28"/>
      <c r="RP49" s="29"/>
      <c r="RQ49" s="29"/>
      <c r="RR49" s="28"/>
      <c r="RS49" s="29"/>
      <c r="RT49" s="30"/>
      <c r="RU49" s="28"/>
      <c r="RV49" s="29"/>
      <c r="RW49" s="29"/>
      <c r="RX49" s="29"/>
      <c r="RY49" s="28"/>
      <c r="RZ49" s="29"/>
      <c r="SA49" s="29"/>
      <c r="SB49" s="28"/>
      <c r="SC49" s="29"/>
      <c r="SD49" s="30"/>
      <c r="SE49" s="28"/>
      <c r="SF49" s="29"/>
      <c r="SG49" s="29"/>
      <c r="SH49" s="29"/>
      <c r="SI49" s="28"/>
      <c r="SJ49" s="29"/>
      <c r="SK49" s="29"/>
      <c r="SL49" s="28"/>
      <c r="SM49" s="29"/>
      <c r="SN49" s="30"/>
      <c r="SO49" s="28"/>
      <c r="SP49" s="29"/>
      <c r="SQ49" s="29"/>
      <c r="SR49" s="29"/>
      <c r="SS49" s="28"/>
      <c r="ST49" s="29"/>
      <c r="SU49" s="29"/>
      <c r="SV49" s="28"/>
      <c r="SW49" s="29"/>
      <c r="SX49" s="30"/>
      <c r="SY49" s="28"/>
      <c r="SZ49" s="29"/>
      <c r="TA49" s="29"/>
      <c r="TB49" s="29"/>
      <c r="TC49" s="28"/>
      <c r="TD49" s="29"/>
      <c r="TE49" s="29"/>
      <c r="TF49" s="28"/>
      <c r="TG49" s="29"/>
      <c r="TH49" s="30"/>
      <c r="TI49" s="28"/>
      <c r="TJ49" s="29"/>
      <c r="TK49" s="29"/>
      <c r="TL49" s="29"/>
      <c r="TM49" s="28"/>
      <c r="TN49" s="29"/>
      <c r="TO49" s="29"/>
      <c r="TP49" s="28"/>
      <c r="TQ49" s="29"/>
      <c r="TR49" s="30"/>
      <c r="TS49" s="28"/>
      <c r="TT49" s="29"/>
      <c r="TU49" s="29"/>
      <c r="TV49" s="29"/>
      <c r="TW49" s="28"/>
      <c r="TX49" s="29"/>
      <c r="TY49" s="29"/>
      <c r="TZ49" s="28"/>
      <c r="UA49" s="29"/>
      <c r="UB49" s="30"/>
      <c r="UC49" s="28"/>
      <c r="UD49" s="29"/>
      <c r="UE49" s="29"/>
      <c r="UF49" s="29"/>
      <c r="UG49" s="28"/>
      <c r="UH49" s="29"/>
      <c r="UI49" s="29"/>
      <c r="UJ49" s="28"/>
      <c r="UK49" s="29"/>
      <c r="UL49" s="30"/>
      <c r="UM49" s="28"/>
      <c r="UN49" s="29"/>
      <c r="UO49" s="29"/>
      <c r="UP49" s="29"/>
      <c r="UQ49" s="28"/>
      <c r="UR49" s="29"/>
      <c r="US49" s="29"/>
      <c r="UT49" s="28"/>
      <c r="UU49" s="29"/>
      <c r="UV49" s="30"/>
      <c r="UW49" s="28"/>
      <c r="UX49" s="29"/>
      <c r="UY49" s="29"/>
      <c r="UZ49" s="29"/>
      <c r="VA49" s="28"/>
      <c r="VB49" s="29"/>
      <c r="VC49" s="29"/>
      <c r="VD49" s="28"/>
      <c r="VE49" s="29"/>
      <c r="VF49" s="30"/>
      <c r="VG49" s="28"/>
      <c r="VH49" s="29"/>
      <c r="VI49" s="29"/>
      <c r="VJ49" s="29"/>
      <c r="VK49" s="28"/>
      <c r="VL49" s="29"/>
      <c r="VM49" s="29"/>
      <c r="VN49" s="28"/>
      <c r="VO49" s="29"/>
      <c r="VP49" s="30"/>
      <c r="VQ49" s="28"/>
      <c r="VR49" s="29"/>
      <c r="VS49" s="29"/>
      <c r="VT49" s="29"/>
      <c r="VU49" s="28"/>
      <c r="VV49" s="29"/>
      <c r="VW49" s="29"/>
      <c r="VX49" s="28"/>
      <c r="VY49" s="29"/>
      <c r="VZ49" s="30"/>
      <c r="WA49" s="28"/>
      <c r="WB49" s="29"/>
      <c r="WC49" s="29"/>
      <c r="WD49" s="29"/>
      <c r="WE49" s="28"/>
      <c r="WF49" s="29"/>
      <c r="WG49" s="29"/>
      <c r="WH49" s="28"/>
      <c r="WI49" s="29"/>
      <c r="WJ49" s="30"/>
      <c r="WK49" s="28"/>
      <c r="WL49" s="29"/>
      <c r="WM49" s="29"/>
      <c r="WN49" s="29"/>
      <c r="WO49" s="28"/>
      <c r="WP49" s="29"/>
      <c r="WQ49" s="29"/>
      <c r="WR49" s="28"/>
      <c r="WS49" s="29"/>
      <c r="WT49" s="30"/>
      <c r="WU49" s="28"/>
      <c r="WV49" s="29"/>
      <c r="WW49" s="29"/>
      <c r="WX49" s="29"/>
      <c r="WY49" s="28"/>
      <c r="WZ49" s="29"/>
      <c r="XA49" s="29"/>
      <c r="XB49" s="28"/>
      <c r="XC49" s="29"/>
      <c r="XD49" s="30"/>
      <c r="XE49" s="28"/>
      <c r="XF49" s="29"/>
      <c r="XG49" s="29"/>
      <c r="XH49" s="29"/>
      <c r="XI49" s="28"/>
      <c r="XJ49" s="29"/>
      <c r="XK49" s="29"/>
      <c r="XL49" s="28"/>
      <c r="XM49" s="29"/>
      <c r="XN49" s="30"/>
      <c r="XO49" s="28"/>
      <c r="XP49" s="29"/>
      <c r="XQ49" s="29"/>
      <c r="XR49" s="29"/>
      <c r="XS49" s="28"/>
      <c r="XT49" s="29"/>
      <c r="XU49" s="29"/>
      <c r="XV49" s="28"/>
      <c r="XW49" s="29"/>
      <c r="XX49" s="30"/>
      <c r="XY49" s="28"/>
      <c r="XZ49" s="29"/>
      <c r="YA49" s="29"/>
      <c r="YB49" s="29"/>
      <c r="YC49" s="28"/>
      <c r="YD49" s="29"/>
      <c r="YE49" s="29"/>
      <c r="YF49" s="28"/>
      <c r="YG49" s="29"/>
      <c r="YH49" s="30"/>
      <c r="YI49" s="28"/>
      <c r="YJ49" s="29"/>
      <c r="YK49" s="29"/>
      <c r="YL49" s="29"/>
      <c r="YM49" s="28"/>
      <c r="YN49" s="29"/>
      <c r="YO49" s="29"/>
      <c r="YP49" s="28"/>
      <c r="YQ49" s="29"/>
      <c r="YR49" s="30"/>
      <c r="YS49" s="28"/>
      <c r="YT49" s="29"/>
      <c r="YU49" s="29"/>
      <c r="YV49" s="29"/>
      <c r="YW49" s="28"/>
      <c r="YX49" s="29"/>
      <c r="YY49" s="29"/>
      <c r="YZ49" s="28"/>
      <c r="ZA49" s="29"/>
      <c r="ZB49" s="30"/>
      <c r="ZC49" s="28"/>
      <c r="ZD49" s="29"/>
      <c r="ZE49" s="29"/>
      <c r="ZF49" s="29"/>
      <c r="ZG49" s="28"/>
      <c r="ZH49" s="29"/>
      <c r="ZI49" s="29"/>
      <c r="ZJ49" s="28"/>
      <c r="ZK49" s="29"/>
      <c r="ZL49" s="30"/>
      <c r="ZM49" s="28"/>
      <c r="ZN49" s="29"/>
      <c r="ZO49" s="29"/>
      <c r="ZP49" s="29"/>
      <c r="ZQ49" s="28"/>
      <c r="ZR49" s="29"/>
      <c r="ZS49" s="29"/>
      <c r="ZT49" s="28"/>
      <c r="ZU49" s="29"/>
      <c r="ZV49" s="30"/>
      <c r="ZW49" s="28"/>
      <c r="ZX49" s="29"/>
      <c r="ZY49" s="29"/>
      <c r="ZZ49" s="29"/>
      <c r="AAA49" s="28"/>
      <c r="AAB49" s="29"/>
      <c r="AAC49" s="29"/>
      <c r="AAD49" s="28"/>
      <c r="AAE49" s="29"/>
      <c r="AAF49" s="30"/>
      <c r="AAG49" s="28"/>
      <c r="AAH49" s="29"/>
      <c r="AAI49" s="29"/>
      <c r="AAJ49" s="29"/>
      <c r="AAK49" s="28"/>
      <c r="AAL49" s="29"/>
      <c r="AAM49" s="29"/>
      <c r="AAN49" s="28"/>
      <c r="AAO49" s="29"/>
      <c r="AAP49" s="30"/>
      <c r="AAQ49" s="28"/>
      <c r="AAR49" s="29"/>
      <c r="AAS49" s="29"/>
      <c r="AAT49" s="29"/>
      <c r="AAU49" s="28"/>
      <c r="AAV49" s="29"/>
      <c r="AAW49" s="29"/>
      <c r="AAX49" s="28"/>
      <c r="AAY49" s="29"/>
      <c r="AAZ49" s="30"/>
      <c r="ABA49" s="28"/>
      <c r="ABB49" s="29"/>
      <c r="ABC49" s="29"/>
      <c r="ABD49" s="29"/>
      <c r="ABE49" s="28"/>
      <c r="ABF49" s="29"/>
      <c r="ABG49" s="29"/>
      <c r="ABH49" s="28"/>
      <c r="ABI49" s="29"/>
      <c r="ABJ49" s="30"/>
      <c r="ABK49" s="28"/>
      <c r="ABL49" s="29"/>
      <c r="ABM49" s="29"/>
      <c r="ABN49" s="29"/>
      <c r="ABO49" s="28"/>
      <c r="ABP49" s="29"/>
      <c r="ABQ49" s="29"/>
      <c r="ABR49" s="28"/>
      <c r="ABS49" s="29"/>
      <c r="ABT49" s="30"/>
      <c r="ABU49" s="28"/>
      <c r="ABV49" s="29"/>
      <c r="ABW49" s="29"/>
      <c r="ABX49" s="29"/>
      <c r="ABY49" s="28"/>
      <c r="ABZ49" s="29"/>
      <c r="ACA49" s="29"/>
      <c r="ACB49" s="28"/>
      <c r="ACC49" s="29"/>
      <c r="ACD49" s="30"/>
      <c r="ACE49" s="28"/>
      <c r="ACF49" s="29"/>
      <c r="ACG49" s="29"/>
      <c r="ACH49" s="29"/>
      <c r="ACI49" s="28"/>
      <c r="ACJ49" s="29"/>
      <c r="ACK49" s="29"/>
      <c r="ACL49" s="28"/>
      <c r="ACM49" s="29"/>
      <c r="ACN49" s="30"/>
      <c r="ACO49" s="28"/>
      <c r="ACP49" s="29"/>
      <c r="ACQ49" s="29"/>
      <c r="ACR49" s="29"/>
      <c r="ACS49" s="28"/>
      <c r="ACT49" s="29"/>
      <c r="ACU49" s="29"/>
      <c r="ACV49" s="28"/>
      <c r="ACW49" s="29"/>
      <c r="ACX49" s="30"/>
      <c r="ACY49" s="28"/>
      <c r="ACZ49" s="29"/>
      <c r="ADA49" s="29"/>
      <c r="ADB49" s="29"/>
      <c r="ADC49" s="28"/>
      <c r="ADD49" s="29"/>
      <c r="ADE49" s="29"/>
      <c r="ADF49" s="28"/>
      <c r="ADG49" s="29"/>
      <c r="ADH49" s="30"/>
      <c r="ADI49" s="28"/>
      <c r="ADJ49" s="29"/>
      <c r="ADK49" s="29"/>
      <c r="ADL49" s="29"/>
      <c r="ADM49" s="28"/>
      <c r="ADN49" s="29"/>
      <c r="ADO49" s="29"/>
      <c r="ADP49" s="28"/>
      <c r="ADQ49" s="29"/>
      <c r="ADR49" s="30"/>
      <c r="ADS49" s="28"/>
      <c r="ADT49" s="29"/>
      <c r="ADU49" s="29"/>
      <c r="ADV49" s="29"/>
      <c r="ADW49" s="28"/>
      <c r="ADX49" s="29"/>
      <c r="ADY49" s="29"/>
      <c r="ADZ49" s="28"/>
      <c r="AEA49" s="29"/>
      <c r="AEB49" s="30"/>
      <c r="AEC49" s="28"/>
      <c r="AED49" s="29"/>
      <c r="AEE49" s="29"/>
      <c r="AEF49" s="29"/>
      <c r="AEG49" s="28"/>
      <c r="AEH49" s="29"/>
      <c r="AEI49" s="29"/>
      <c r="AEJ49" s="28"/>
      <c r="AEK49" s="29"/>
      <c r="AEL49" s="30"/>
      <c r="AEM49" s="28"/>
      <c r="AEN49" s="29"/>
      <c r="AEO49" s="29"/>
      <c r="AEP49" s="29"/>
      <c r="AEQ49" s="28"/>
      <c r="AER49" s="29"/>
      <c r="AES49" s="29"/>
      <c r="AET49" s="28"/>
      <c r="AEU49" s="29"/>
      <c r="AEV49" s="30"/>
      <c r="AEW49" s="28"/>
      <c r="AEX49" s="29"/>
      <c r="AEY49" s="29"/>
      <c r="AEZ49" s="29"/>
      <c r="AFA49" s="28"/>
      <c r="AFB49" s="29"/>
      <c r="AFC49" s="29"/>
      <c r="AFD49" s="28"/>
      <c r="AFE49" s="29"/>
      <c r="AFF49" s="30"/>
      <c r="AFG49" s="28"/>
      <c r="AFH49" s="29"/>
      <c r="AFI49" s="29"/>
      <c r="AFJ49" s="29"/>
      <c r="AFK49" s="28"/>
      <c r="AFL49" s="29"/>
      <c r="AFM49" s="29"/>
      <c r="AFN49" s="28"/>
      <c r="AFO49" s="29"/>
      <c r="AFP49" s="30"/>
      <c r="AFQ49" s="28"/>
      <c r="AFR49" s="29"/>
      <c r="AFS49" s="29"/>
      <c r="AFT49" s="29"/>
      <c r="AFU49" s="28"/>
      <c r="AFV49" s="29"/>
      <c r="AFW49" s="29"/>
      <c r="AFX49" s="28"/>
      <c r="AFY49" s="29"/>
      <c r="AFZ49" s="30"/>
      <c r="AGA49" s="28"/>
      <c r="AGB49" s="29"/>
      <c r="AGC49" s="29"/>
      <c r="AGD49" s="29"/>
      <c r="AGE49" s="28"/>
      <c r="AGF49" s="29"/>
      <c r="AGG49" s="29"/>
      <c r="AGH49" s="28"/>
      <c r="AGI49" s="29"/>
      <c r="AGJ49" s="30"/>
      <c r="AGK49" s="28"/>
      <c r="AGL49" s="29"/>
      <c r="AGM49" s="29"/>
      <c r="AGN49" s="29"/>
      <c r="AGO49" s="28"/>
      <c r="AGP49" s="29"/>
      <c r="AGQ49" s="29"/>
      <c r="AGR49" s="28"/>
      <c r="AGS49" s="29"/>
      <c r="AGT49" s="30"/>
      <c r="AGU49" s="28"/>
      <c r="AGV49" s="29"/>
      <c r="AGW49" s="29"/>
      <c r="AGX49" s="29"/>
      <c r="AGY49" s="28"/>
      <c r="AGZ49" s="29"/>
      <c r="AHA49" s="29"/>
      <c r="AHB49" s="28"/>
      <c r="AHC49" s="29"/>
      <c r="AHD49" s="30"/>
      <c r="AHE49" s="28"/>
      <c r="AHF49" s="29"/>
      <c r="AHG49" s="29"/>
      <c r="AHH49" s="29"/>
      <c r="AHI49" s="28"/>
      <c r="AHJ49" s="29"/>
      <c r="AHK49" s="29"/>
      <c r="AHL49" s="28"/>
      <c r="AHM49" s="29"/>
      <c r="AHN49" s="30"/>
      <c r="AHO49" s="28"/>
      <c r="AHP49" s="29"/>
      <c r="AHQ49" s="29"/>
      <c r="AHR49" s="29"/>
      <c r="AHS49" s="28"/>
      <c r="AHT49" s="29"/>
      <c r="AHU49" s="29"/>
      <c r="AHV49" s="28"/>
      <c r="AHW49" s="29"/>
      <c r="AHX49" s="30"/>
      <c r="AHY49" s="28"/>
      <c r="AHZ49" s="29"/>
      <c r="AIA49" s="29"/>
      <c r="AIB49" s="29"/>
      <c r="AIC49" s="28"/>
      <c r="AID49" s="29"/>
      <c r="AIE49" s="29"/>
      <c r="AIF49" s="28"/>
      <c r="AIG49" s="29"/>
      <c r="AIH49" s="30"/>
      <c r="AII49" s="28"/>
      <c r="AIJ49" s="29"/>
      <c r="AIK49" s="29"/>
      <c r="AIL49" s="29"/>
      <c r="AIM49" s="28"/>
      <c r="AIN49" s="29"/>
      <c r="AIO49" s="29"/>
      <c r="AIP49" s="28"/>
      <c r="AIQ49" s="29"/>
      <c r="AIR49" s="30"/>
      <c r="AIS49" s="28"/>
      <c r="AIT49" s="29"/>
      <c r="AIU49" s="29"/>
      <c r="AIV49" s="29"/>
      <c r="AIW49" s="28"/>
      <c r="AIX49" s="29"/>
      <c r="AIY49" s="29"/>
      <c r="AIZ49" s="28"/>
      <c r="AJA49" s="29"/>
      <c r="AJB49" s="30"/>
      <c r="AJC49" s="28"/>
      <c r="AJD49" s="29"/>
      <c r="AJE49" s="29"/>
      <c r="AJF49" s="29"/>
      <c r="AJG49" s="28"/>
      <c r="AJH49" s="29"/>
      <c r="AJI49" s="29"/>
      <c r="AJJ49" s="28"/>
      <c r="AJK49" s="29"/>
      <c r="AJL49" s="30"/>
      <c r="AJM49" s="28"/>
      <c r="AJN49" s="29"/>
      <c r="AJO49" s="29"/>
      <c r="AJP49" s="29"/>
      <c r="AJQ49" s="28"/>
      <c r="AJR49" s="29"/>
      <c r="AJS49" s="29"/>
      <c r="AJT49" s="28"/>
      <c r="AJU49" s="29"/>
      <c r="AJV49" s="30"/>
      <c r="AJW49" s="28"/>
      <c r="AJX49" s="29"/>
      <c r="AJY49" s="29"/>
      <c r="AJZ49" s="29"/>
      <c r="AKA49" s="28"/>
      <c r="AKB49" s="29"/>
      <c r="AKC49" s="29"/>
      <c r="AKD49" s="28"/>
      <c r="AKE49" s="29"/>
      <c r="AKF49" s="30"/>
      <c r="AKG49" s="28"/>
      <c r="AKH49" s="29"/>
      <c r="AKI49" s="29"/>
      <c r="AKJ49" s="29"/>
      <c r="AKK49" s="28"/>
      <c r="AKL49" s="29"/>
      <c r="AKM49" s="29"/>
      <c r="AKN49" s="28"/>
      <c r="AKO49" s="29"/>
      <c r="AKP49" s="30"/>
      <c r="AKQ49" s="28"/>
      <c r="AKR49" s="29"/>
      <c r="AKS49" s="29"/>
      <c r="AKT49" s="29"/>
      <c r="AKU49" s="28"/>
      <c r="AKV49" s="29"/>
      <c r="AKW49" s="29"/>
      <c r="AKX49" s="28"/>
      <c r="AKY49" s="29"/>
      <c r="AKZ49" s="30"/>
      <c r="ALA49" s="28"/>
      <c r="ALB49" s="29"/>
      <c r="ALC49" s="29"/>
      <c r="ALD49" s="29"/>
      <c r="ALE49" s="28"/>
      <c r="ALF49" s="29"/>
      <c r="ALG49" s="29"/>
      <c r="ALH49" s="29"/>
      <c r="ALI49" s="29"/>
      <c r="ALJ49" s="29"/>
      <c r="ALK49" s="28"/>
      <c r="ALL49" s="29"/>
      <c r="ALM49" s="29"/>
      <c r="ALN49" s="28"/>
      <c r="ALO49" s="29"/>
      <c r="ALP49" s="30"/>
      <c r="ALQ49" s="28"/>
      <c r="ALR49" s="29"/>
      <c r="ALS49" s="29"/>
      <c r="ALT49" s="29"/>
      <c r="ALU49" s="28"/>
      <c r="ALV49" s="29"/>
      <c r="ALW49" s="29"/>
      <c r="ALX49" s="28"/>
      <c r="ALY49" s="29"/>
      <c r="ALZ49" s="30"/>
      <c r="AMA49" s="28"/>
      <c r="AMB49" s="29"/>
      <c r="AMC49" s="29"/>
      <c r="AMD49" s="29"/>
      <c r="AME49" s="28"/>
      <c r="AMF49" s="29"/>
      <c r="AMG49" s="29"/>
      <c r="AMH49" s="29"/>
      <c r="AMI49" s="29"/>
      <c r="AMJ49" s="29"/>
      <c r="AMK49" s="28"/>
      <c r="AML49" s="29"/>
      <c r="AMM49" s="29"/>
      <c r="AMN49" s="28"/>
      <c r="AMO49" s="29"/>
      <c r="AMP49" s="30"/>
      <c r="AMQ49" s="28"/>
      <c r="AMR49" s="29"/>
      <c r="AMS49" s="29"/>
      <c r="AMT49" s="29"/>
      <c r="AMU49" s="28"/>
      <c r="AMV49" s="29"/>
      <c r="AMW49" s="29"/>
      <c r="AMX49" s="28"/>
      <c r="AMY49" s="29"/>
      <c r="AMZ49" s="30"/>
      <c r="ANA49" s="28"/>
      <c r="ANB49" s="29"/>
      <c r="ANC49" s="29"/>
      <c r="AND49" s="29"/>
      <c r="ANE49" s="28"/>
      <c r="ANF49" s="29"/>
      <c r="ANG49" s="29"/>
      <c r="ANH49" s="29"/>
      <c r="ANI49" s="29"/>
      <c r="ANJ49" s="29"/>
      <c r="ANK49" s="28"/>
      <c r="ANL49" s="29"/>
      <c r="ANM49" s="29"/>
      <c r="ANN49" s="28"/>
      <c r="ANO49" s="29"/>
      <c r="ANP49" s="30"/>
      <c r="ANQ49" s="28"/>
      <c r="ANR49" s="29"/>
      <c r="ANS49" s="29"/>
      <c r="ANT49" s="29"/>
      <c r="ANU49" s="28"/>
      <c r="ANV49" s="29"/>
      <c r="ANW49" s="29"/>
      <c r="ANX49" s="28"/>
      <c r="ANY49" s="29"/>
      <c r="ANZ49" s="30"/>
      <c r="AOA49" s="28"/>
      <c r="AOB49" s="29"/>
      <c r="AOC49" s="29"/>
      <c r="AOD49" s="29"/>
      <c r="AOE49" s="28"/>
      <c r="AOF49" s="29"/>
      <c r="AOG49" s="29"/>
      <c r="AOH49" s="29"/>
      <c r="AOI49" s="29"/>
      <c r="AOJ49" s="29"/>
      <c r="AOK49" s="28"/>
      <c r="AOL49" s="29"/>
      <c r="AOM49" s="29"/>
      <c r="AON49" s="28"/>
      <c r="AOO49" s="29"/>
      <c r="AOP49" s="30"/>
      <c r="AOQ49" s="28"/>
      <c r="AOR49" s="29"/>
      <c r="AOS49" s="29"/>
      <c r="AOT49" s="29"/>
      <c r="AOU49" s="28"/>
      <c r="AOV49" s="29"/>
      <c r="AOW49" s="29"/>
      <c r="AOX49" s="28"/>
      <c r="AOY49" s="29"/>
      <c r="AOZ49" s="30"/>
      <c r="APA49" s="28"/>
      <c r="APB49" s="29"/>
      <c r="APC49" s="29"/>
      <c r="APD49" s="29"/>
      <c r="APE49" s="28"/>
      <c r="APF49" s="29"/>
      <c r="APG49" s="29"/>
      <c r="APH49" s="29"/>
      <c r="API49" s="29"/>
      <c r="APJ49" s="29"/>
      <c r="APK49" s="28"/>
      <c r="APL49" s="29"/>
      <c r="APM49" s="29"/>
      <c r="APN49" s="28"/>
      <c r="APO49" s="29"/>
      <c r="APP49" s="30"/>
      <c r="APQ49" s="28"/>
      <c r="APR49" s="29"/>
      <c r="APS49" s="29"/>
      <c r="APT49" s="29"/>
      <c r="APU49" s="28"/>
      <c r="APV49" s="29"/>
      <c r="APW49" s="29"/>
      <c r="APX49" s="28"/>
      <c r="APY49" s="29"/>
      <c r="APZ49" s="30"/>
      <c r="AQA49" s="28"/>
      <c r="AQB49" s="29"/>
      <c r="AQC49" s="29"/>
      <c r="AQD49" s="29"/>
      <c r="AQE49" s="28"/>
      <c r="AQF49" s="29"/>
      <c r="AQG49" s="29"/>
      <c r="AQH49" s="29"/>
      <c r="AQI49" s="29"/>
      <c r="AQJ49" s="29"/>
      <c r="AQK49" s="28"/>
      <c r="AQL49" s="29"/>
      <c r="AQM49" s="29"/>
      <c r="AQN49" s="28"/>
      <c r="AQO49" s="29"/>
      <c r="AQP49" s="30"/>
      <c r="AQQ49" s="28"/>
      <c r="AQR49" s="29"/>
      <c r="AQS49" s="29"/>
      <c r="AQT49" s="29"/>
      <c r="AQU49" s="28"/>
      <c r="AQV49" s="29"/>
      <c r="AQW49" s="29"/>
      <c r="AQX49" s="28"/>
      <c r="AQY49" s="29"/>
      <c r="AQZ49" s="30"/>
      <c r="ARA49" s="28"/>
      <c r="ARB49" s="29"/>
      <c r="ARC49" s="29"/>
      <c r="ARD49" s="29"/>
      <c r="ARE49" s="28"/>
      <c r="ARF49" s="29"/>
      <c r="ARG49" s="29"/>
      <c r="ARH49" s="29"/>
      <c r="ARI49" s="29"/>
      <c r="ARJ49" s="29"/>
      <c r="ARK49" s="28"/>
      <c r="ARL49" s="29"/>
      <c r="ARM49" s="29"/>
      <c r="ARN49" s="28"/>
      <c r="ARO49" s="29"/>
      <c r="ARP49" s="30"/>
      <c r="ARQ49" s="28"/>
      <c r="ARR49" s="29"/>
      <c r="ARS49" s="29"/>
      <c r="ART49" s="29"/>
      <c r="ARU49" s="28"/>
      <c r="ARV49" s="29"/>
      <c r="ARW49" s="29"/>
      <c r="ARX49" s="28"/>
      <c r="ARY49" s="29"/>
      <c r="ARZ49" s="30"/>
      <c r="ASA49" s="28"/>
      <c r="ASB49" s="29"/>
      <c r="ASC49" s="29"/>
      <c r="ASD49" s="29"/>
      <c r="ASE49" s="28"/>
      <c r="ASF49" s="29"/>
      <c r="ASG49" s="29"/>
      <c r="ASH49" s="29"/>
      <c r="ASI49" s="29"/>
      <c r="ASJ49" s="29"/>
      <c r="ASK49" s="28"/>
      <c r="ASL49" s="29"/>
      <c r="ASM49" s="29"/>
      <c r="ASN49" s="28"/>
      <c r="ASO49" s="29"/>
      <c r="ASP49" s="30"/>
      <c r="ASQ49" s="28"/>
      <c r="ASR49" s="29"/>
      <c r="ASS49" s="29"/>
      <c r="AST49" s="29"/>
      <c r="ASU49" s="28"/>
      <c r="ASV49" s="29"/>
      <c r="ASW49" s="29"/>
      <c r="ASX49" s="28"/>
      <c r="ASY49" s="29"/>
      <c r="ASZ49" s="30"/>
      <c r="ATA49" s="28"/>
      <c r="ATB49" s="29"/>
      <c r="ATC49" s="29"/>
      <c r="ATD49" s="29"/>
      <c r="ATE49" s="28"/>
      <c r="ATF49" s="29"/>
      <c r="ATG49" s="29"/>
      <c r="ATH49" s="29"/>
      <c r="ATI49" s="29"/>
      <c r="ATJ49" s="29"/>
      <c r="ATK49" s="28"/>
      <c r="ATL49" s="29"/>
      <c r="ATM49" s="29"/>
      <c r="ATN49" s="28"/>
      <c r="ATO49" s="29"/>
      <c r="ATP49" s="30"/>
      <c r="ATQ49" s="28"/>
      <c r="ATR49" s="29"/>
      <c r="ATS49" s="29"/>
      <c r="ATT49" s="29"/>
      <c r="ATU49" s="28"/>
      <c r="ATV49" s="29"/>
      <c r="ATW49" s="29"/>
      <c r="ATX49" s="28"/>
      <c r="ATY49" s="29"/>
      <c r="ATZ49" s="30"/>
      <c r="AUA49" s="28"/>
      <c r="AUB49" s="29"/>
      <c r="AUC49" s="29"/>
      <c r="AUD49" s="29"/>
      <c r="AUE49" s="28"/>
      <c r="AUF49" s="29"/>
      <c r="AUG49" s="29"/>
      <c r="AUH49" s="29"/>
      <c r="AUI49" s="29"/>
      <c r="AUJ49" s="29"/>
      <c r="AUK49" s="28"/>
      <c r="AUL49" s="29"/>
      <c r="AUM49" s="29"/>
      <c r="AUN49" s="28"/>
      <c r="AUO49" s="29"/>
      <c r="AUP49" s="30"/>
      <c r="AUQ49" s="28"/>
      <c r="AUR49" s="29"/>
      <c r="AUS49" s="29"/>
      <c r="AUT49" s="29"/>
      <c r="AUU49" s="28"/>
      <c r="AUV49" s="29"/>
      <c r="AUW49" s="29"/>
      <c r="AUX49" s="28"/>
      <c r="AUY49" s="29"/>
      <c r="AUZ49" s="30"/>
      <c r="AVA49" s="28"/>
      <c r="AVB49" s="29"/>
      <c r="AVC49" s="29"/>
      <c r="AVD49" s="29"/>
      <c r="AVE49" s="28"/>
      <c r="AVF49" s="29"/>
      <c r="AVG49" s="29"/>
      <c r="AVH49" s="29"/>
      <c r="AVI49" s="29"/>
      <c r="AVJ49" s="29"/>
      <c r="AVK49" s="28"/>
      <c r="AVL49" s="29"/>
      <c r="AVM49" s="29"/>
      <c r="AVN49" s="28"/>
      <c r="AVO49" s="29"/>
      <c r="AVP49" s="30"/>
      <c r="AVQ49" s="28"/>
      <c r="AVR49" s="29"/>
      <c r="AVS49" s="29"/>
      <c r="AVT49" s="29"/>
      <c r="AVU49" s="28"/>
      <c r="AVV49" s="29"/>
      <c r="AVW49" s="29"/>
      <c r="AVX49" s="28"/>
      <c r="AVY49" s="29"/>
      <c r="AVZ49" s="30"/>
      <c r="AWA49" s="28"/>
      <c r="AWB49" s="29"/>
      <c r="AWC49" s="29"/>
      <c r="AWD49" s="29"/>
      <c r="AWE49" s="28"/>
      <c r="AWF49" s="29"/>
      <c r="AWG49" s="29"/>
      <c r="AWH49" s="29"/>
      <c r="AWI49" s="29"/>
      <c r="AWJ49" s="29"/>
      <c r="AWK49" s="28"/>
      <c r="AWL49" s="29"/>
      <c r="AWM49" s="29"/>
      <c r="AWN49" s="28"/>
      <c r="AWO49" s="29"/>
      <c r="AWP49" s="30"/>
      <c r="AWQ49" s="28"/>
      <c r="AWR49" s="29"/>
      <c r="AWS49" s="29"/>
      <c r="AWT49" s="29"/>
      <c r="AWU49" s="28"/>
      <c r="AWV49" s="29"/>
      <c r="AWW49" s="29"/>
      <c r="AWX49" s="28"/>
      <c r="AWY49" s="29"/>
      <c r="AWZ49" s="30"/>
      <c r="AXA49" s="28"/>
      <c r="AXB49" s="29"/>
      <c r="AXC49" s="29"/>
      <c r="AXD49" s="29"/>
      <c r="AXE49" s="28"/>
      <c r="AXF49" s="29"/>
      <c r="AXG49" s="29"/>
      <c r="AXH49" s="29"/>
      <c r="AXI49" s="29"/>
      <c r="AXJ49" s="29"/>
      <c r="AXK49" s="28"/>
      <c r="AXL49" s="29"/>
      <c r="AXM49" s="29"/>
      <c r="AXN49" s="28"/>
      <c r="AXO49" s="29"/>
      <c r="AXP49" s="30"/>
      <c r="AXQ49" s="28"/>
      <c r="AXR49" s="29"/>
      <c r="AXS49" s="29"/>
      <c r="AXT49" s="29"/>
      <c r="AXU49" s="28"/>
      <c r="AXV49" s="29"/>
      <c r="AXW49" s="29"/>
      <c r="AXX49" s="28"/>
      <c r="AXY49" s="29"/>
      <c r="AXZ49" s="30"/>
      <c r="AYA49" s="28"/>
      <c r="AYB49" s="29"/>
      <c r="AYC49" s="29"/>
      <c r="AYD49" s="29"/>
      <c r="AYE49" s="28"/>
      <c r="AYF49" s="29"/>
      <c r="AYG49" s="29"/>
      <c r="AYH49" s="29"/>
      <c r="AYI49" s="29"/>
      <c r="AYJ49" s="29"/>
      <c r="AYK49" s="28"/>
      <c r="AYL49" s="29"/>
      <c r="AYM49" s="29"/>
      <c r="AYN49" s="28"/>
      <c r="AYO49" s="29"/>
      <c r="AYP49" s="30"/>
      <c r="AYQ49" s="28"/>
      <c r="AYR49" s="29"/>
      <c r="AYS49" s="29"/>
      <c r="AYT49" s="29"/>
      <c r="AYU49" s="28"/>
      <c r="AYV49" s="29"/>
      <c r="AYW49" s="29"/>
      <c r="AYX49" s="28"/>
      <c r="AYY49" s="29"/>
      <c r="AYZ49" s="30"/>
      <c r="AZA49" s="28"/>
      <c r="AZB49" s="29"/>
      <c r="AZC49" s="29"/>
      <c r="AZD49" s="29"/>
      <c r="AZE49" s="28"/>
      <c r="AZF49" s="29"/>
      <c r="AZG49" s="29"/>
      <c r="AZH49" s="29"/>
      <c r="AZI49" s="29"/>
      <c r="AZJ49" s="29"/>
      <c r="AZK49" s="28"/>
      <c r="AZL49" s="29"/>
      <c r="AZM49" s="29"/>
      <c r="AZN49" s="28"/>
      <c r="AZO49" s="29"/>
      <c r="AZP49" s="30"/>
      <c r="AZQ49" s="28"/>
      <c r="AZR49" s="29"/>
      <c r="AZS49" s="29"/>
      <c r="AZT49" s="29"/>
      <c r="AZU49" s="28"/>
      <c r="AZV49" s="29"/>
      <c r="AZW49" s="29"/>
      <c r="AZX49" s="28"/>
      <c r="AZY49" s="29"/>
      <c r="AZZ49" s="30"/>
      <c r="BAA49" s="28"/>
      <c r="BAB49" s="29"/>
      <c r="BAC49" s="29"/>
      <c r="BAD49" s="29"/>
      <c r="BAE49" s="28"/>
      <c r="BAF49" s="29"/>
      <c r="BAG49" s="29"/>
      <c r="BAH49" s="29"/>
      <c r="BAI49" s="29"/>
      <c r="BAJ49" s="29"/>
      <c r="BAK49" s="28"/>
      <c r="BAL49" s="29"/>
      <c r="BAM49" s="29"/>
      <c r="BAN49" s="28"/>
      <c r="BAO49" s="29"/>
      <c r="BAP49" s="30"/>
      <c r="BAQ49" s="28"/>
      <c r="BAR49" s="29"/>
      <c r="BAS49" s="29"/>
      <c r="BAT49" s="29"/>
      <c r="BAU49" s="28"/>
      <c r="BAV49" s="29"/>
      <c r="BAW49" s="29"/>
      <c r="BAX49" s="28"/>
      <c r="BAY49" s="29"/>
      <c r="BAZ49" s="30"/>
      <c r="BBA49" s="28"/>
      <c r="BBB49" s="29"/>
      <c r="BBC49" s="29"/>
      <c r="BBD49" s="29"/>
      <c r="BBE49" s="28"/>
      <c r="BBF49" s="29"/>
      <c r="BBG49" s="29"/>
      <c r="BBH49" s="29"/>
      <c r="BBI49" s="29"/>
      <c r="BBJ49" s="29"/>
      <c r="BBK49" s="28"/>
      <c r="BBL49" s="29"/>
      <c r="BBM49" s="29"/>
      <c r="BBN49" s="28"/>
      <c r="BBO49" s="29"/>
      <c r="BBP49" s="30"/>
      <c r="BBQ49" s="28"/>
      <c r="BBR49" s="29"/>
      <c r="BBS49" s="29"/>
      <c r="BBT49" s="29"/>
      <c r="BBU49" s="28"/>
      <c r="BBV49" s="29"/>
      <c r="BBW49" s="29"/>
      <c r="BBX49" s="28"/>
      <c r="BBY49" s="29"/>
      <c r="BBZ49" s="30"/>
      <c r="BCA49" s="28"/>
      <c r="BCB49" s="29"/>
      <c r="BCC49" s="29"/>
      <c r="BCD49" s="29"/>
      <c r="BCE49" s="28"/>
      <c r="BCF49" s="29"/>
      <c r="BCG49" s="29"/>
      <c r="BCH49" s="29"/>
      <c r="BCI49" s="29"/>
      <c r="BCJ49" s="29"/>
      <c r="BCK49" s="28"/>
      <c r="BCL49" s="29"/>
      <c r="BCM49" s="29"/>
      <c r="BCN49" s="28"/>
      <c r="BCO49" s="29"/>
      <c r="BCP49" s="30"/>
      <c r="BCQ49" s="28"/>
      <c r="BCR49" s="29"/>
      <c r="BCS49" s="29"/>
      <c r="BCT49" s="29"/>
      <c r="BCU49" s="28"/>
      <c r="BCV49" s="29"/>
      <c r="BCW49" s="29"/>
      <c r="BCX49" s="28"/>
      <c r="BCY49" s="29"/>
      <c r="BCZ49" s="30"/>
      <c r="BDA49" s="28"/>
      <c r="BDB49" s="29"/>
      <c r="BDC49" s="29"/>
      <c r="BDD49" s="29"/>
      <c r="BDE49" s="28"/>
      <c r="BDF49" s="29"/>
      <c r="BDG49" s="29"/>
      <c r="BDH49" s="29"/>
      <c r="BDI49" s="29"/>
      <c r="BDJ49" s="29"/>
      <c r="BDK49" s="28"/>
      <c r="BDL49" s="29"/>
      <c r="BDM49" s="29"/>
      <c r="BDN49" s="28"/>
      <c r="BDO49" s="29"/>
      <c r="BDP49" s="30"/>
      <c r="BDQ49" s="28"/>
      <c r="BDR49" s="29"/>
      <c r="BDS49" s="29"/>
      <c r="BDT49" s="29"/>
      <c r="BDU49" s="28"/>
      <c r="BDV49" s="29"/>
      <c r="BDW49" s="29"/>
      <c r="BDX49" s="28"/>
      <c r="BDY49" s="29"/>
      <c r="BDZ49" s="30"/>
      <c r="BEA49" s="28"/>
      <c r="BEB49" s="29"/>
      <c r="BEC49" s="29"/>
      <c r="BED49" s="29"/>
      <c r="BEE49" s="28"/>
      <c r="BEF49" s="29"/>
      <c r="BEG49" s="29"/>
      <c r="BEH49" s="29"/>
      <c r="BEI49" s="29"/>
      <c r="BEJ49" s="29"/>
      <c r="BEK49" s="28"/>
      <c r="BEL49" s="29"/>
      <c r="BEM49" s="29"/>
      <c r="BEN49" s="28"/>
      <c r="BEO49" s="29"/>
      <c r="BEP49" s="30"/>
      <c r="BEQ49" s="28"/>
      <c r="BER49" s="29"/>
      <c r="BES49" s="29"/>
      <c r="BET49" s="29"/>
      <c r="BEU49" s="28"/>
      <c r="BEV49" s="29"/>
      <c r="BEW49" s="29"/>
      <c r="BEX49" s="28"/>
      <c r="BEY49" s="29"/>
      <c r="BEZ49" s="30"/>
      <c r="BFA49" s="28"/>
      <c r="BFB49" s="29"/>
      <c r="BFC49" s="29"/>
      <c r="BFD49" s="29"/>
      <c r="BFE49" s="28"/>
      <c r="BFF49" s="29"/>
      <c r="BFG49" s="29"/>
      <c r="BFH49" s="29"/>
      <c r="BFI49" s="29"/>
      <c r="BFJ49" s="29"/>
      <c r="BFK49" s="28"/>
      <c r="BFL49" s="29"/>
      <c r="BFM49" s="29"/>
      <c r="BFN49" s="28"/>
      <c r="BFO49" s="29"/>
      <c r="BFP49" s="30"/>
      <c r="BFQ49" s="28"/>
      <c r="BFR49" s="29"/>
      <c r="BFS49" s="29"/>
      <c r="BFT49" s="29"/>
      <c r="BFU49" s="28"/>
      <c r="BFV49" s="29"/>
      <c r="BFW49" s="29"/>
      <c r="BFX49" s="28"/>
      <c r="BFY49" s="29"/>
      <c r="BFZ49" s="30"/>
      <c r="BGA49" s="28"/>
      <c r="BGB49" s="29"/>
      <c r="BGC49" s="29"/>
      <c r="BGD49" s="29"/>
      <c r="BGE49" s="28"/>
      <c r="BGF49" s="29"/>
      <c r="BGG49" s="29"/>
      <c r="BGH49" s="29"/>
      <c r="BGI49" s="29"/>
      <c r="BGJ49" s="29"/>
      <c r="BGK49" s="28"/>
      <c r="BGL49" s="29"/>
      <c r="BGM49" s="29"/>
      <c r="BGN49" s="28"/>
      <c r="BGO49" s="29"/>
      <c r="BGP49" s="30"/>
      <c r="BGQ49" s="28"/>
      <c r="BGR49" s="29"/>
      <c r="BGS49" s="29"/>
      <c r="BGT49" s="29"/>
      <c r="BGU49" s="28"/>
      <c r="BGV49" s="29"/>
      <c r="BGW49" s="29"/>
      <c r="BGX49" s="28"/>
      <c r="BGY49" s="29"/>
      <c r="BGZ49" s="30"/>
      <c r="BHA49" s="28"/>
      <c r="BHB49" s="29"/>
      <c r="BHC49" s="29"/>
      <c r="BHD49" s="29"/>
      <c r="BHE49" s="28"/>
      <c r="BHF49" s="29"/>
      <c r="BHG49" s="29"/>
      <c r="BHH49" s="29"/>
      <c r="BHI49" s="29"/>
      <c r="BHJ49" s="29"/>
      <c r="BHK49" s="28"/>
      <c r="BHL49" s="29"/>
      <c r="BHM49" s="29"/>
      <c r="BHN49" s="28"/>
      <c r="BHO49" s="29"/>
      <c r="BHP49" s="30"/>
      <c r="BHQ49" s="28"/>
      <c r="BHR49" s="29"/>
      <c r="BHS49" s="29"/>
      <c r="BHT49" s="29"/>
      <c r="BHU49" s="28"/>
      <c r="BHV49" s="29"/>
      <c r="BHW49" s="29"/>
      <c r="BHX49" s="28"/>
      <c r="BHY49" s="29"/>
      <c r="BHZ49" s="30"/>
      <c r="BIA49" s="28"/>
      <c r="BIB49" s="29"/>
      <c r="BIC49" s="29"/>
      <c r="BID49" s="29"/>
      <c r="BIE49" s="28"/>
      <c r="BIF49" s="29"/>
      <c r="BIG49" s="29"/>
      <c r="BIH49" s="29"/>
      <c r="BII49" s="29"/>
      <c r="BIJ49" s="29"/>
      <c r="BIK49" s="28"/>
      <c r="BIL49" s="29"/>
      <c r="BIM49" s="29"/>
      <c r="BIN49" s="28"/>
      <c r="BIO49" s="29"/>
      <c r="BIP49" s="30"/>
      <c r="BIQ49" s="28"/>
      <c r="BIR49" s="29"/>
      <c r="BIS49" s="29"/>
      <c r="BIT49" s="29"/>
      <c r="BIU49" s="28"/>
      <c r="BIV49" s="29"/>
      <c r="BIW49" s="29"/>
      <c r="BIX49" s="28"/>
      <c r="BIY49" s="29"/>
      <c r="BIZ49" s="30"/>
      <c r="BJA49" s="28"/>
      <c r="BJB49" s="29"/>
      <c r="BJC49" s="29"/>
      <c r="BJD49" s="29"/>
      <c r="BJE49" s="28"/>
      <c r="BJF49" s="29"/>
      <c r="BJG49" s="29"/>
      <c r="BJH49" s="29"/>
      <c r="BJI49" s="29"/>
      <c r="BJJ49" s="29"/>
      <c r="BJK49" s="28"/>
      <c r="BJL49" s="29"/>
      <c r="BJM49" s="29"/>
      <c r="BJN49" s="28"/>
      <c r="BJO49" s="29"/>
      <c r="BJP49" s="30"/>
      <c r="BJQ49" s="28"/>
      <c r="BJR49" s="29"/>
      <c r="BJS49" s="29"/>
      <c r="BJT49" s="29"/>
      <c r="BJU49" s="28"/>
      <c r="BJV49" s="29"/>
      <c r="BJW49" s="29"/>
      <c r="BJX49" s="28"/>
      <c r="BJY49" s="29"/>
      <c r="BJZ49" s="30"/>
      <c r="BKA49" s="28"/>
      <c r="BKB49" s="29"/>
      <c r="BKC49" s="29"/>
      <c r="BKD49" s="29"/>
      <c r="BKE49" s="28"/>
      <c r="BKF49" s="29"/>
      <c r="BKG49" s="29"/>
      <c r="BKH49" s="29"/>
      <c r="BKI49" s="29"/>
      <c r="BKJ49" s="29"/>
      <c r="BKK49" s="28"/>
      <c r="BKL49" s="29"/>
      <c r="BKM49" s="29"/>
      <c r="BKN49" s="28"/>
      <c r="BKO49" s="29"/>
      <c r="BKP49" s="30"/>
      <c r="BKQ49" s="28"/>
      <c r="BKR49" s="29"/>
      <c r="BKS49" s="29"/>
      <c r="BKT49" s="29"/>
      <c r="BKU49" s="28"/>
      <c r="BKV49" s="29"/>
      <c r="BKW49" s="29"/>
      <c r="BKX49" s="28"/>
      <c r="BKY49" s="29"/>
      <c r="BKZ49" s="30"/>
      <c r="BLA49" s="28"/>
      <c r="BLB49" s="29"/>
      <c r="BLC49" s="29"/>
      <c r="BLD49" s="29"/>
      <c r="BLE49" s="28"/>
      <c r="BLF49" s="29"/>
      <c r="BLG49" s="29"/>
      <c r="BLH49" s="29"/>
      <c r="BLI49" s="29"/>
      <c r="BLJ49" s="29"/>
      <c r="BLK49" s="28"/>
      <c r="BLL49" s="29"/>
      <c r="BLM49" s="29"/>
      <c r="BLN49" s="28"/>
      <c r="BLO49" s="29"/>
      <c r="BLP49" s="30"/>
      <c r="BLQ49" s="28"/>
      <c r="BLR49" s="29"/>
      <c r="BLS49" s="29"/>
      <c r="BLT49" s="29"/>
      <c r="BLU49" s="28"/>
      <c r="BLV49" s="29"/>
      <c r="BLW49" s="29"/>
      <c r="BLX49" s="28"/>
      <c r="BLY49" s="29"/>
      <c r="BLZ49" s="30"/>
      <c r="BMA49" s="28"/>
      <c r="BMB49" s="29"/>
      <c r="BMC49" s="29"/>
      <c r="BMD49" s="29"/>
      <c r="BME49" s="28"/>
      <c r="BMF49" s="29"/>
      <c r="BMG49" s="29"/>
      <c r="BMH49" s="29"/>
      <c r="BMI49" s="29"/>
      <c r="BMJ49" s="29"/>
      <c r="BMK49" s="28"/>
      <c r="BML49" s="29"/>
      <c r="BMM49" s="29"/>
      <c r="BMN49" s="28"/>
      <c r="BMO49" s="29"/>
      <c r="BMP49" s="30"/>
      <c r="BMQ49" s="28"/>
      <c r="BMR49" s="29"/>
      <c r="BMS49" s="29"/>
      <c r="BMT49" s="29"/>
      <c r="BMU49" s="28"/>
      <c r="BMV49" s="29"/>
      <c r="BMW49" s="29"/>
      <c r="BMX49" s="28"/>
      <c r="BMY49" s="29"/>
      <c r="BMZ49" s="30"/>
      <c r="BNA49" s="28"/>
      <c r="BNB49" s="29"/>
      <c r="BNC49" s="29"/>
      <c r="BND49" s="29"/>
      <c r="BNE49" s="28"/>
      <c r="BNF49" s="29"/>
      <c r="BNG49" s="29"/>
      <c r="BNH49" s="29"/>
      <c r="BNI49" s="29"/>
      <c r="BNJ49" s="29"/>
      <c r="BNK49" s="28"/>
      <c r="BNL49" s="29"/>
      <c r="BNM49" s="29"/>
      <c r="BNN49" s="28"/>
      <c r="BNO49" s="29"/>
      <c r="BNP49" s="30"/>
      <c r="BNQ49" s="28"/>
      <c r="BNR49" s="29"/>
      <c r="BNS49" s="29"/>
      <c r="BNT49" s="29"/>
      <c r="BNU49" s="28"/>
      <c r="BNV49" s="29"/>
      <c r="BNW49" s="29"/>
      <c r="BNX49" s="28"/>
      <c r="BNY49" s="29"/>
      <c r="BNZ49" s="30"/>
      <c r="BOA49" s="28"/>
      <c r="BOB49" s="29"/>
      <c r="BOC49" s="29"/>
      <c r="BOD49" s="29"/>
      <c r="BOE49" s="28"/>
      <c r="BOF49" s="29"/>
      <c r="BOG49" s="29"/>
      <c r="BOH49" s="29"/>
      <c r="BOI49" s="29"/>
      <c r="BOJ49" s="29"/>
      <c r="BOK49" s="28"/>
      <c r="BOL49" s="29"/>
      <c r="BOM49" s="29"/>
      <c r="BON49" s="28"/>
      <c r="BOO49" s="29"/>
      <c r="BOP49" s="30"/>
      <c r="BOQ49" s="28"/>
      <c r="BOR49" s="29"/>
      <c r="BOS49" s="29"/>
      <c r="BOT49" s="29"/>
      <c r="BOU49" s="28"/>
      <c r="BOV49" s="29"/>
      <c r="BOW49" s="29"/>
      <c r="BOX49" s="28"/>
      <c r="BOY49" s="29"/>
      <c r="BOZ49" s="30"/>
      <c r="BPA49" s="28"/>
      <c r="BPB49" s="29"/>
      <c r="BPC49" s="29"/>
      <c r="BPD49" s="29"/>
      <c r="BPE49" s="28"/>
      <c r="BPF49" s="29"/>
      <c r="BPG49" s="29"/>
      <c r="BPH49" s="29"/>
      <c r="BPI49" s="29"/>
      <c r="BPJ49" s="29"/>
      <c r="BPK49" s="28"/>
      <c r="BPL49" s="29"/>
      <c r="BPM49" s="29"/>
      <c r="BPN49" s="28"/>
      <c r="BPO49" s="29"/>
      <c r="BPP49" s="30"/>
      <c r="BPQ49" s="28"/>
      <c r="BPR49" s="29"/>
      <c r="BPS49" s="29"/>
      <c r="BPT49" s="29"/>
      <c r="BPU49" s="28"/>
      <c r="BPV49" s="29"/>
      <c r="BPW49" s="29"/>
      <c r="BPX49" s="28"/>
      <c r="BPY49" s="29"/>
      <c r="BPZ49" s="30"/>
      <c r="BQA49" s="28"/>
      <c r="BQB49" s="29"/>
      <c r="BQC49" s="29"/>
      <c r="BQD49" s="29"/>
      <c r="BQE49" s="28"/>
      <c r="BQF49" s="29"/>
      <c r="BQG49" s="29"/>
      <c r="BQH49" s="29"/>
      <c r="BQI49" s="29"/>
      <c r="BQJ49" s="29"/>
      <c r="BQK49" s="28"/>
      <c r="BQL49" s="29"/>
      <c r="BQM49" s="29"/>
      <c r="BQN49" s="28"/>
      <c r="BQO49" s="29"/>
      <c r="BQP49" s="30"/>
      <c r="BQQ49" s="28"/>
      <c r="BQR49" s="29"/>
      <c r="BQS49" s="29"/>
      <c r="BQT49" s="29"/>
      <c r="BQU49" s="28"/>
      <c r="BQV49" s="29"/>
      <c r="BQW49" s="29"/>
      <c r="BQX49" s="28"/>
      <c r="BQY49" s="29"/>
      <c r="BQZ49" s="30"/>
      <c r="BRA49" s="28"/>
      <c r="BRB49" s="29"/>
      <c r="BRC49" s="29"/>
      <c r="BRD49" s="29"/>
      <c r="BRE49" s="28"/>
      <c r="BRF49" s="29"/>
      <c r="BRG49" s="29"/>
      <c r="BRH49" s="29"/>
      <c r="BRI49" s="29"/>
      <c r="BRJ49" s="29"/>
      <c r="BRK49" s="28"/>
      <c r="BRL49" s="29"/>
      <c r="BRM49" s="29"/>
      <c r="BRN49" s="28"/>
      <c r="BRO49" s="29"/>
      <c r="BRP49" s="30"/>
      <c r="BRQ49" s="28"/>
      <c r="BRR49" s="29"/>
      <c r="BRS49" s="29"/>
      <c r="BRT49" s="29"/>
      <c r="BRU49" s="28"/>
      <c r="BRV49" s="29"/>
      <c r="BRW49" s="29"/>
      <c r="BRX49" s="28"/>
      <c r="BRY49" s="29"/>
      <c r="BRZ49" s="30"/>
      <c r="BSA49" s="28"/>
      <c r="BSB49" s="29"/>
      <c r="BSC49" s="29"/>
      <c r="BSD49" s="29"/>
      <c r="BSE49" s="28"/>
      <c r="BSF49" s="29"/>
      <c r="BSG49" s="29"/>
      <c r="BSH49" s="29"/>
      <c r="BSI49" s="29"/>
      <c r="BSJ49" s="29"/>
      <c r="BSK49" s="28"/>
      <c r="BSL49" s="29"/>
      <c r="BSM49" s="29"/>
      <c r="BSN49" s="28"/>
      <c r="BSO49" s="29"/>
      <c r="BSP49" s="30"/>
      <c r="BSQ49" s="28"/>
      <c r="BSR49" s="29"/>
      <c r="BSS49" s="29"/>
      <c r="BST49" s="29"/>
      <c r="BSU49" s="28"/>
      <c r="BSV49" s="29"/>
      <c r="BSW49" s="29"/>
      <c r="BSX49" s="28"/>
      <c r="BSY49" s="29"/>
      <c r="BSZ49" s="30"/>
      <c r="BTA49" s="28"/>
      <c r="BTB49" s="29"/>
      <c r="BTC49" s="29"/>
      <c r="BTD49" s="29"/>
      <c r="BTE49" s="28"/>
      <c r="BTF49" s="29"/>
      <c r="BTG49" s="29"/>
      <c r="BTH49" s="29"/>
      <c r="BTI49" s="29"/>
      <c r="BTJ49" s="29"/>
      <c r="BTK49" s="28"/>
      <c r="BTL49" s="29"/>
      <c r="BTM49" s="29"/>
      <c r="BTN49" s="28"/>
      <c r="BTO49" s="29"/>
      <c r="BTP49" s="30"/>
      <c r="BTQ49" s="28"/>
      <c r="BTR49" s="29"/>
      <c r="BTS49" s="29"/>
      <c r="BTT49" s="29"/>
      <c r="BTU49" s="28"/>
      <c r="BTV49" s="29"/>
      <c r="BTW49" s="29"/>
      <c r="BTX49" s="28"/>
      <c r="BTY49" s="29"/>
      <c r="BTZ49" s="30"/>
      <c r="BUA49" s="28"/>
      <c r="BUB49" s="29"/>
      <c r="BUC49" s="29"/>
      <c r="BUD49" s="29"/>
      <c r="BUE49" s="28"/>
      <c r="BUF49" s="29"/>
      <c r="BUG49" s="29"/>
      <c r="BUH49" s="29"/>
      <c r="BUI49" s="29"/>
      <c r="BUJ49" s="29"/>
      <c r="BUK49" s="28"/>
      <c r="BUL49" s="29"/>
      <c r="BUM49" s="29"/>
      <c r="BUN49" s="28"/>
      <c r="BUO49" s="29"/>
      <c r="BUP49" s="30"/>
      <c r="BUQ49" s="28"/>
      <c r="BUR49" s="29"/>
      <c r="BUS49" s="29"/>
      <c r="BUT49" s="29"/>
      <c r="BUU49" s="28"/>
      <c r="BUV49" s="29"/>
      <c r="BUW49" s="29"/>
      <c r="BUX49" s="28"/>
      <c r="BUY49" s="29"/>
      <c r="BUZ49" s="30"/>
      <c r="BVA49" s="28"/>
      <c r="BVB49" s="29"/>
      <c r="BVC49" s="29"/>
      <c r="BVD49" s="29"/>
      <c r="BVE49" s="28"/>
      <c r="BVF49" s="29"/>
      <c r="BVG49" s="29"/>
      <c r="BVH49" s="29"/>
      <c r="BVI49" s="29"/>
      <c r="BVJ49" s="29"/>
      <c r="BVK49" s="28"/>
      <c r="BVL49" s="29"/>
      <c r="BVM49" s="29"/>
      <c r="BVN49" s="28"/>
      <c r="BVO49" s="29"/>
      <c r="BVP49" s="30"/>
      <c r="BVQ49" s="28"/>
      <c r="BVR49" s="29"/>
      <c r="BVS49" s="29"/>
      <c r="BVT49" s="29"/>
      <c r="BVU49" s="28"/>
      <c r="BVV49" s="29"/>
      <c r="BVW49" s="29"/>
      <c r="BVX49" s="28"/>
      <c r="BVY49" s="29"/>
      <c r="BVZ49" s="30"/>
      <c r="BWA49" s="28"/>
      <c r="BWB49" s="29"/>
      <c r="BWC49" s="29"/>
      <c r="BWD49" s="29"/>
      <c r="BWE49" s="28"/>
      <c r="BWF49" s="29"/>
      <c r="BWG49" s="29"/>
      <c r="BWH49" s="29"/>
      <c r="BWI49" s="29"/>
      <c r="BWJ49" s="29"/>
      <c r="BWK49" s="28"/>
      <c r="BWL49" s="29"/>
      <c r="BWM49" s="29"/>
      <c r="BWN49" s="28"/>
      <c r="BWO49" s="29"/>
      <c r="BWP49" s="30"/>
      <c r="BWQ49" s="28"/>
      <c r="BWR49" s="29"/>
      <c r="BWS49" s="29"/>
      <c r="BWT49" s="29"/>
      <c r="BWU49" s="28"/>
      <c r="BWV49" s="29"/>
      <c r="BWW49" s="29"/>
      <c r="BWX49" s="28"/>
      <c r="BWY49" s="29"/>
      <c r="BWZ49" s="30"/>
      <c r="BXA49" s="28"/>
      <c r="BXB49" s="29"/>
      <c r="BXC49" s="29"/>
      <c r="BXD49" s="29"/>
      <c r="BXE49" s="28"/>
      <c r="BXF49" s="29"/>
      <c r="BXG49" s="29"/>
      <c r="BXH49" s="29"/>
      <c r="BXI49" s="29"/>
      <c r="BXJ49" s="29"/>
      <c r="BXK49" s="28"/>
      <c r="BXL49" s="29"/>
      <c r="BXM49" s="29"/>
      <c r="BXN49" s="28"/>
      <c r="BXO49" s="29"/>
      <c r="BXP49" s="30"/>
      <c r="BXQ49" s="28"/>
      <c r="BXR49" s="29"/>
      <c r="BXS49" s="29"/>
      <c r="BXT49" s="29"/>
      <c r="BXU49" s="28"/>
      <c r="BXV49" s="29"/>
      <c r="BXW49" s="29"/>
      <c r="BXX49" s="28"/>
      <c r="BXY49" s="29"/>
      <c r="BXZ49" s="30"/>
      <c r="BYA49" s="28"/>
      <c r="BYB49" s="29"/>
      <c r="BYC49" s="29"/>
      <c r="BYD49" s="29"/>
      <c r="BYE49" s="28"/>
      <c r="BYF49" s="29"/>
      <c r="BYG49" s="29"/>
      <c r="BYH49" s="29"/>
      <c r="BYI49" s="29"/>
      <c r="BYJ49" s="29"/>
      <c r="BYK49" s="28"/>
      <c r="BYL49" s="29"/>
      <c r="BYM49" s="29"/>
      <c r="BYN49" s="28"/>
      <c r="BYO49" s="29"/>
      <c r="BYP49" s="30"/>
      <c r="BYQ49" s="28"/>
      <c r="BYR49" s="29"/>
      <c r="BYS49" s="29"/>
      <c r="BYT49" s="29"/>
      <c r="BYU49" s="28"/>
      <c r="BYV49" s="29"/>
      <c r="BYW49" s="29"/>
      <c r="BYX49" s="30"/>
      <c r="BYY49" s="29"/>
      <c r="BYZ49" s="28"/>
      <c r="BZA49" s="29"/>
      <c r="BZB49" s="28"/>
      <c r="BZC49" s="28"/>
      <c r="BZD49" s="28"/>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30"/>
      <c r="CAQ49" s="28"/>
      <c r="CAR49" s="29"/>
      <c r="CAS49" s="29"/>
      <c r="CAT49" s="29"/>
      <c r="CAU49" s="29"/>
      <c r="CAV49" s="29"/>
      <c r="CAW49" s="28"/>
      <c r="CAX49" s="29"/>
      <c r="CAY49" s="29"/>
      <c r="CAZ49" s="28"/>
      <c r="CBA49" s="29"/>
      <c r="CBB49" s="30"/>
      <c r="CBC49" s="28"/>
      <c r="CBD49" s="29"/>
      <c r="CBE49" s="29"/>
      <c r="CBF49" s="29"/>
      <c r="CBG49" s="28"/>
      <c r="CBH49" s="29"/>
      <c r="CBI49" s="29"/>
      <c r="CBJ49" s="28"/>
      <c r="CBK49" s="29"/>
      <c r="CBL49" s="30"/>
      <c r="CBM49" s="28"/>
      <c r="CBN49" s="29"/>
      <c r="CBO49" s="29"/>
      <c r="CBP49" s="29"/>
      <c r="CBQ49" s="28"/>
      <c r="CBR49" s="29"/>
      <c r="CBS49" s="29"/>
      <c r="CBT49" s="28"/>
      <c r="CBU49" s="29"/>
      <c r="CBV49" s="30"/>
      <c r="CBW49" s="28"/>
      <c r="CBX49" s="29"/>
      <c r="CBY49" s="29"/>
      <c r="CBZ49" s="29"/>
      <c r="CCA49" s="28"/>
      <c r="CCB49" s="29"/>
      <c r="CCC49" s="29"/>
      <c r="CCD49" s="28"/>
      <c r="CCE49" s="29"/>
      <c r="CCF49" s="30"/>
      <c r="CCG49" s="28"/>
      <c r="CCH49" s="30"/>
      <c r="CCI49" s="29"/>
      <c r="CCJ49" s="28"/>
      <c r="CCK49" s="29"/>
      <c r="CCL49" s="28"/>
      <c r="CCM49" s="28"/>
      <c r="CCN49" s="28"/>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30"/>
      <c r="CEA49" s="28"/>
      <c r="CEB49" s="29"/>
      <c r="CEC49" s="29"/>
      <c r="CED49" s="29"/>
      <c r="CEE49" s="29"/>
      <c r="CEF49" s="29"/>
      <c r="CEG49" s="28"/>
      <c r="CEH49" s="29"/>
      <c r="CEI49" s="29"/>
      <c r="CEJ49" s="28"/>
      <c r="CEK49" s="29"/>
      <c r="CEL49" s="30"/>
      <c r="CEM49" s="28"/>
      <c r="CEN49" s="29"/>
      <c r="CEO49" s="29"/>
      <c r="CEP49" s="29"/>
      <c r="CEQ49" s="28"/>
      <c r="CER49" s="29"/>
      <c r="CES49" s="29"/>
      <c r="CET49" s="28"/>
      <c r="CEU49" s="29"/>
      <c r="CEV49" s="30"/>
      <c r="CEW49" s="28"/>
      <c r="CEX49" s="29"/>
      <c r="CEY49" s="29"/>
      <c r="CEZ49" s="29"/>
      <c r="CFA49" s="28"/>
      <c r="CFB49" s="29"/>
      <c r="CFC49" s="29"/>
      <c r="CFD49" s="28"/>
      <c r="CFE49" s="29"/>
      <c r="CFF49" s="30"/>
      <c r="CFG49" s="28"/>
      <c r="CFH49" s="29"/>
      <c r="CFI49" s="29"/>
      <c r="CFJ49" s="29"/>
      <c r="CFK49" s="28"/>
      <c r="CFL49" s="29"/>
      <c r="CFM49" s="29"/>
      <c r="CFN49" s="28"/>
      <c r="CFO49" s="29"/>
      <c r="CFP49" s="30"/>
      <c r="CFQ49" s="28"/>
      <c r="CFR49" s="30"/>
      <c r="CFS49" s="29"/>
      <c r="CFT49" s="28"/>
      <c r="CFU49" s="29"/>
      <c r="CFV49" s="28"/>
      <c r="CFW49" s="28"/>
      <c r="CFX49" s="28"/>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30"/>
      <c r="CHK49" s="28"/>
      <c r="CHL49" s="29"/>
      <c r="CHM49" s="29"/>
      <c r="CHN49" s="29"/>
      <c r="CHO49" s="29"/>
      <c r="CHP49" s="29"/>
      <c r="CHQ49" s="28"/>
      <c r="CHR49" s="29"/>
      <c r="CHS49" s="29"/>
      <c r="CHT49" s="28"/>
      <c r="CHU49" s="29"/>
      <c r="CHV49" s="30"/>
      <c r="CHW49" s="28"/>
      <c r="CHX49" s="29"/>
      <c r="CHY49" s="29"/>
      <c r="CHZ49" s="29"/>
      <c r="CIA49" s="28"/>
      <c r="CIB49" s="29"/>
      <c r="CIC49" s="29"/>
      <c r="CID49" s="28"/>
      <c r="CIE49" s="29"/>
      <c r="CIF49" s="30"/>
      <c r="CIG49" s="28"/>
      <c r="CIH49" s="29"/>
      <c r="CII49" s="29"/>
      <c r="CIJ49" s="29"/>
      <c r="CIK49" s="28"/>
      <c r="CIL49" s="29"/>
      <c r="CIM49" s="29"/>
      <c r="CIN49" s="28"/>
      <c r="CIO49" s="29"/>
      <c r="CIP49" s="30"/>
      <c r="CIQ49" s="28"/>
      <c r="CIR49" s="29"/>
      <c r="CIS49" s="29"/>
      <c r="CIT49" s="29"/>
      <c r="CIU49" s="28"/>
      <c r="CIV49" s="29"/>
      <c r="CIW49" s="29"/>
      <c r="CIX49" s="28"/>
      <c r="CIY49" s="29"/>
      <c r="CIZ49" s="30"/>
      <c r="CJA49" s="28"/>
      <c r="CJB49" s="30"/>
      <c r="CJC49" s="29"/>
      <c r="CJD49" s="28"/>
      <c r="CJE49" s="29"/>
      <c r="CJF49" s="28"/>
      <c r="CJG49" s="28"/>
      <c r="CJH49" s="28"/>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30"/>
      <c r="CKU49" s="28"/>
      <c r="CKV49" s="29"/>
      <c r="CKW49" s="29"/>
      <c r="CKX49" s="29"/>
      <c r="CKY49" s="29"/>
      <c r="CKZ49" s="29"/>
      <c r="CLA49" s="28"/>
      <c r="CLB49" s="29"/>
      <c r="CLC49" s="29"/>
      <c r="CLD49" s="28"/>
      <c r="CLE49" s="29"/>
      <c r="CLF49" s="30"/>
      <c r="CLG49" s="28"/>
      <c r="CLH49" s="29"/>
      <c r="CLI49" s="29"/>
      <c r="CLJ49" s="29"/>
      <c r="CLK49" s="28"/>
      <c r="CLL49" s="29"/>
      <c r="CLM49" s="29"/>
      <c r="CLN49" s="28"/>
      <c r="CLO49" s="29"/>
      <c r="CLP49" s="30"/>
      <c r="CLQ49" s="28"/>
      <c r="CLR49" s="29"/>
      <c r="CLS49" s="29"/>
      <c r="CLT49" s="29"/>
      <c r="CLU49" s="28"/>
      <c r="CLV49" s="29"/>
      <c r="CLW49" s="29"/>
      <c r="CLX49" s="28"/>
      <c r="CLY49" s="29"/>
      <c r="CLZ49" s="30"/>
      <c r="CMA49" s="28"/>
      <c r="CMB49" s="29"/>
      <c r="CMC49" s="29"/>
      <c r="CMD49" s="29"/>
      <c r="CME49" s="28"/>
      <c r="CMF49" s="29"/>
      <c r="CMG49" s="29"/>
      <c r="CMH49" s="28"/>
      <c r="CMI49" s="29"/>
      <c r="CMJ49" s="30"/>
      <c r="CMK49" s="28"/>
      <c r="CML49" s="30"/>
      <c r="CMM49" s="29"/>
      <c r="CMN49" s="28"/>
      <c r="CMO49" s="29"/>
      <c r="CMP49" s="28"/>
      <c r="CMQ49" s="28"/>
      <c r="CMR49" s="28"/>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30"/>
      <c r="COE49" s="28"/>
      <c r="COF49" s="29"/>
      <c r="COG49" s="29"/>
      <c r="COH49" s="29"/>
      <c r="COI49" s="29"/>
      <c r="COJ49" s="29"/>
      <c r="COK49" s="28"/>
      <c r="COL49" s="29"/>
      <c r="COM49" s="29"/>
      <c r="CON49" s="28"/>
      <c r="COO49" s="29"/>
      <c r="COP49" s="30"/>
      <c r="COQ49" s="28"/>
      <c r="COR49" s="29"/>
      <c r="COS49" s="29"/>
      <c r="COT49" s="29"/>
      <c r="COU49" s="28"/>
      <c r="COV49" s="29"/>
      <c r="COW49" s="29"/>
      <c r="COX49" s="28"/>
      <c r="COY49" s="29"/>
      <c r="COZ49" s="30"/>
      <c r="CPA49" s="28"/>
      <c r="CPB49" s="29"/>
      <c r="CPC49" s="29"/>
      <c r="CPD49" s="29"/>
      <c r="CPE49" s="28"/>
      <c r="CPF49" s="29"/>
      <c r="CPG49" s="29"/>
      <c r="CPH49" s="28"/>
      <c r="CPI49" s="29"/>
      <c r="CPJ49" s="30"/>
      <c r="CPK49" s="28"/>
      <c r="CPL49" s="29"/>
      <c r="CPM49" s="29"/>
      <c r="CPN49" s="29"/>
      <c r="CPO49" s="28"/>
      <c r="CPP49" s="29"/>
      <c r="CPQ49" s="29"/>
      <c r="CPR49" s="28"/>
      <c r="CPS49" s="29"/>
      <c r="CPT49" s="30"/>
      <c r="CPU49" s="28"/>
      <c r="CPV49" s="30"/>
      <c r="CPW49" s="29"/>
      <c r="CPX49" s="28"/>
      <c r="CPY49" s="29"/>
      <c r="CPZ49" s="28"/>
      <c r="CQA49" s="28"/>
      <c r="CQB49" s="28"/>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30"/>
      <c r="CRO49" s="28"/>
      <c r="CRP49" s="29"/>
      <c r="CRQ49" s="29"/>
      <c r="CRR49" s="29"/>
      <c r="CRS49" s="29"/>
      <c r="CRT49" s="29"/>
      <c r="CRU49" s="28"/>
      <c r="CRV49" s="29"/>
      <c r="CRW49" s="29"/>
      <c r="CRX49" s="28"/>
      <c r="CRY49" s="29"/>
      <c r="CRZ49" s="30"/>
      <c r="CSA49" s="28"/>
      <c r="CSB49" s="29"/>
      <c r="CSC49" s="29"/>
      <c r="CSD49" s="29"/>
      <c r="CSE49" s="28"/>
      <c r="CSF49" s="29"/>
      <c r="CSG49" s="29"/>
      <c r="CSH49" s="28"/>
      <c r="CSI49" s="29"/>
      <c r="CSJ49" s="30"/>
      <c r="CSK49" s="28"/>
      <c r="CSL49" s="29"/>
      <c r="CSM49" s="29"/>
      <c r="CSN49" s="29"/>
      <c r="CSO49" s="28"/>
      <c r="CSP49" s="29"/>
      <c r="CSQ49" s="29"/>
      <c r="CSR49" s="28"/>
      <c r="CSS49" s="29"/>
      <c r="CST49" s="30"/>
      <c r="CSU49" s="28"/>
      <c r="CSV49" s="29"/>
      <c r="CSW49" s="29"/>
      <c r="CSX49" s="29"/>
      <c r="CSY49" s="28"/>
      <c r="CSZ49" s="29"/>
      <c r="CTA49" s="29"/>
      <c r="CTB49" s="28"/>
      <c r="CTC49" s="29"/>
      <c r="CTD49" s="30"/>
      <c r="CTE49" s="28"/>
      <c r="CTF49" s="30"/>
      <c r="CTG49" s="29"/>
      <c r="CTH49" s="28"/>
      <c r="CTI49" s="29"/>
      <c r="CTJ49" s="28"/>
      <c r="CTK49" s="28"/>
      <c r="CTL49" s="28"/>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30"/>
      <c r="CUY49" s="28"/>
      <c r="CUZ49" s="29"/>
      <c r="CVA49" s="29"/>
      <c r="CVB49" s="29"/>
      <c r="CVC49" s="29"/>
      <c r="CVD49" s="29"/>
      <c r="CVE49" s="28"/>
      <c r="CVF49" s="29"/>
      <c r="CVG49" s="29"/>
      <c r="CVH49" s="28"/>
      <c r="CVI49" s="29"/>
      <c r="CVJ49" s="30"/>
      <c r="CVK49" s="28"/>
      <c r="CVL49" s="29"/>
      <c r="CVM49" s="29"/>
      <c r="CVN49" s="29"/>
      <c r="CVO49" s="28"/>
      <c r="CVP49" s="29"/>
      <c r="CVQ49" s="29"/>
      <c r="CVR49" s="28"/>
      <c r="CVS49" s="29"/>
      <c r="CVT49" s="30"/>
      <c r="CVU49" s="28"/>
      <c r="CVV49" s="29"/>
      <c r="CVW49" s="29"/>
      <c r="CVX49" s="29"/>
      <c r="CVY49" s="28"/>
      <c r="CVZ49" s="29"/>
      <c r="CWA49" s="29"/>
      <c r="CWB49" s="28"/>
      <c r="CWC49" s="29"/>
      <c r="CWD49" s="30"/>
      <c r="CWE49" s="28"/>
      <c r="CWF49" s="29"/>
      <c r="CWG49" s="29"/>
      <c r="CWH49" s="29"/>
      <c r="CWI49" s="28"/>
      <c r="CWJ49" s="29"/>
      <c r="CWK49" s="29"/>
      <c r="CWL49" s="28"/>
      <c r="CWM49" s="29"/>
      <c r="CWN49" s="30"/>
      <c r="CWO49" s="28"/>
      <c r="CWP49" s="30"/>
      <c r="CWQ49" s="29"/>
      <c r="CWR49" s="28"/>
      <c r="CWS49" s="29"/>
      <c r="CWT49" s="28"/>
      <c r="CWU49" s="28"/>
      <c r="CWV49" s="28"/>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30"/>
      <c r="CYI49" s="28"/>
      <c r="CYJ49" s="29"/>
      <c r="CYK49" s="29"/>
      <c r="CYL49" s="29"/>
      <c r="CYM49" s="29"/>
      <c r="CYN49" s="29"/>
      <c r="CYO49" s="28"/>
      <c r="CYP49" s="29"/>
      <c r="CYQ49" s="29"/>
      <c r="CYR49" s="28"/>
      <c r="CYS49" s="29"/>
      <c r="CYT49" s="30"/>
      <c r="CYU49" s="28"/>
      <c r="CYV49" s="29"/>
      <c r="CYW49" s="29"/>
      <c r="CYX49" s="29"/>
      <c r="CYY49" s="28"/>
      <c r="CYZ49" s="29"/>
      <c r="CZA49" s="29"/>
      <c r="CZB49" s="28"/>
      <c r="CZC49" s="29"/>
      <c r="CZD49" s="30"/>
      <c r="CZE49" s="28"/>
      <c r="CZF49" s="29"/>
      <c r="CZG49" s="29"/>
      <c r="CZH49" s="29"/>
      <c r="CZI49" s="28"/>
      <c r="CZJ49" s="29"/>
      <c r="CZK49" s="29"/>
      <c r="CZL49" s="28"/>
      <c r="CZM49" s="29"/>
      <c r="CZN49" s="30"/>
      <c r="CZO49" s="28"/>
      <c r="CZP49" s="29"/>
      <c r="CZQ49" s="29"/>
      <c r="CZR49" s="29"/>
      <c r="CZS49" s="28"/>
      <c r="CZT49" s="29"/>
      <c r="CZU49" s="29"/>
      <c r="CZV49" s="28"/>
      <c r="CZW49" s="29"/>
      <c r="CZX49" s="30"/>
      <c r="CZY49" s="28"/>
      <c r="CZZ49" s="30"/>
      <c r="DAA49" s="29"/>
      <c r="DAB49" s="28"/>
      <c r="DAC49" s="29"/>
      <c r="DAD49" s="28"/>
      <c r="DAE49" s="28"/>
      <c r="DAF49" s="28"/>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30"/>
      <c r="DBS49" s="28"/>
      <c r="DBT49" s="29"/>
      <c r="DBU49" s="29"/>
      <c r="DBV49" s="29"/>
      <c r="DBW49" s="29"/>
      <c r="DBX49" s="29"/>
      <c r="DBY49" s="28"/>
      <c r="DBZ49" s="29"/>
      <c r="DCA49" s="29"/>
      <c r="DCB49" s="28"/>
      <c r="DCC49" s="29"/>
      <c r="DCD49" s="30"/>
      <c r="DCE49" s="28"/>
      <c r="DCF49" s="29"/>
      <c r="DCG49" s="29"/>
      <c r="DCH49" s="29"/>
      <c r="DCI49" s="28"/>
      <c r="DCJ49" s="29"/>
      <c r="DCK49" s="29"/>
      <c r="DCL49" s="28"/>
      <c r="DCM49" s="29"/>
      <c r="DCN49" s="30"/>
      <c r="DCO49" s="28"/>
      <c r="DCP49" s="29"/>
      <c r="DCQ49" s="29"/>
      <c r="DCR49" s="29"/>
      <c r="DCS49" s="28"/>
      <c r="DCT49" s="29"/>
      <c r="DCU49" s="29"/>
      <c r="DCV49" s="28"/>
      <c r="DCW49" s="29"/>
      <c r="DCX49" s="30"/>
      <c r="DCY49" s="28"/>
      <c r="DCZ49" s="29"/>
      <c r="DDA49" s="29"/>
      <c r="DDB49" s="29"/>
      <c r="DDC49" s="28"/>
      <c r="DDD49" s="29"/>
      <c r="DDE49" s="29"/>
      <c r="DDF49" s="28"/>
      <c r="DDG49" s="29"/>
      <c r="DDH49" s="30"/>
      <c r="DDI49" s="28"/>
      <c r="DDJ49" s="30"/>
      <c r="DDK49" s="29"/>
      <c r="DDL49" s="28"/>
      <c r="DDM49" s="29"/>
      <c r="DDN49" s="28"/>
      <c r="DDO49" s="28"/>
      <c r="DDP49" s="28"/>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30"/>
      <c r="DFC49" s="28"/>
      <c r="DFD49" s="29"/>
      <c r="DFE49" s="29"/>
      <c r="DFF49" s="29"/>
      <c r="DFG49" s="29"/>
      <c r="DFH49" s="29"/>
      <c r="DFI49" s="28"/>
      <c r="DFJ49" s="29"/>
      <c r="DFK49" s="29"/>
      <c r="DFL49" s="28"/>
      <c r="DFM49" s="29"/>
      <c r="DFN49" s="30"/>
      <c r="DFO49" s="28"/>
      <c r="DFP49" s="29"/>
      <c r="DFQ49" s="29"/>
      <c r="DFR49" s="29"/>
      <c r="DFS49" s="28"/>
      <c r="DFT49" s="29"/>
      <c r="DFU49" s="29"/>
      <c r="DFV49" s="28"/>
      <c r="DFW49" s="29"/>
      <c r="DFX49" s="30"/>
      <c r="DFY49" s="28"/>
      <c r="DFZ49" s="29"/>
      <c r="DGA49" s="29"/>
      <c r="DGB49" s="29"/>
      <c r="DGC49" s="28"/>
      <c r="DGD49" s="29"/>
      <c r="DGE49" s="29"/>
      <c r="DGF49" s="28"/>
      <c r="DGG49" s="29"/>
      <c r="DGH49" s="30"/>
      <c r="DGI49" s="28"/>
      <c r="DGJ49" s="29"/>
      <c r="DGK49" s="29"/>
      <c r="DGL49" s="29"/>
      <c r="DGM49" s="28"/>
      <c r="DGN49" s="29"/>
      <c r="DGO49" s="29"/>
      <c r="DGP49" s="28"/>
      <c r="DGQ49" s="29"/>
      <c r="DGR49" s="30"/>
      <c r="DGS49" s="28"/>
      <c r="DGT49" s="30"/>
      <c r="DGU49" s="29"/>
      <c r="DGV49" s="28"/>
      <c r="DGW49" s="29"/>
      <c r="DGX49" s="28"/>
      <c r="DGY49" s="28"/>
      <c r="DGZ49" s="28"/>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30"/>
      <c r="DIM49" s="28"/>
      <c r="DIN49" s="29"/>
      <c r="DIO49" s="29"/>
      <c r="DIP49" s="29"/>
      <c r="DIQ49" s="29"/>
      <c r="DIR49" s="29"/>
      <c r="DIS49" s="28"/>
      <c r="DIT49" s="29"/>
      <c r="DIU49" s="29"/>
      <c r="DIV49" s="28"/>
      <c r="DIW49" s="29"/>
      <c r="DIX49" s="30"/>
      <c r="DIY49" s="28"/>
      <c r="DIZ49" s="29"/>
      <c r="DJA49" s="29"/>
      <c r="DJB49" s="29"/>
      <c r="DJC49" s="28"/>
      <c r="DJD49" s="29"/>
      <c r="DJE49" s="29"/>
      <c r="DJF49" s="28"/>
      <c r="DJG49" s="29"/>
      <c r="DJH49" s="30"/>
      <c r="DJI49" s="28"/>
      <c r="DJJ49" s="29"/>
      <c r="DJK49" s="29"/>
      <c r="DJL49" s="29"/>
      <c r="DJM49" s="28"/>
      <c r="DJN49" s="29"/>
      <c r="DJO49" s="29"/>
      <c r="DJP49" s="28"/>
      <c r="DJQ49" s="29"/>
      <c r="DJR49" s="30"/>
      <c r="DJS49" s="28"/>
      <c r="DJT49" s="29"/>
      <c r="DJU49" s="29"/>
      <c r="DJV49" s="29"/>
      <c r="DJW49" s="28"/>
      <c r="DJX49" s="29"/>
      <c r="DJY49" s="29"/>
      <c r="DJZ49" s="28"/>
      <c r="DKA49" s="29"/>
      <c r="DKB49" s="30"/>
      <c r="DKC49" s="28"/>
      <c r="DKD49" s="30"/>
      <c r="DKE49" s="29"/>
      <c r="DKF49" s="28"/>
      <c r="DKG49" s="29"/>
      <c r="DKH49" s="28"/>
      <c r="DKI49" s="28"/>
      <c r="DKJ49" s="28"/>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30"/>
      <c r="DLW49" s="28"/>
      <c r="DLX49" s="29"/>
      <c r="DLY49" s="29"/>
      <c r="DLZ49" s="29"/>
      <c r="DMA49" s="29"/>
      <c r="DMB49" s="29"/>
      <c r="DMC49" s="28"/>
      <c r="DMD49" s="29"/>
      <c r="DME49" s="29"/>
      <c r="DMF49" s="28"/>
      <c r="DMG49" s="29"/>
      <c r="DMH49" s="30"/>
      <c r="DMI49" s="28"/>
      <c r="DMJ49" s="29"/>
      <c r="DMK49" s="29"/>
      <c r="DML49" s="29"/>
      <c r="DMM49" s="28"/>
      <c r="DMN49" s="29"/>
      <c r="DMO49" s="29"/>
      <c r="DMP49" s="28"/>
      <c r="DMQ49" s="29"/>
      <c r="DMR49" s="30"/>
      <c r="DMS49" s="28"/>
      <c r="DMT49" s="29"/>
      <c r="DMU49" s="29"/>
      <c r="DMV49" s="29"/>
      <c r="DMW49" s="28"/>
      <c r="DMX49" s="29"/>
      <c r="DMY49" s="29"/>
      <c r="DMZ49" s="28"/>
      <c r="DNA49" s="29"/>
      <c r="DNB49" s="30"/>
      <c r="DNC49" s="28"/>
      <c r="DND49" s="29"/>
      <c r="DNE49" s="29"/>
      <c r="DNF49" s="29"/>
      <c r="DNG49" s="28"/>
      <c r="DNH49" s="29"/>
      <c r="DNI49" s="29"/>
      <c r="DNJ49" s="28"/>
      <c r="DNK49" s="29"/>
      <c r="DNL49" s="30"/>
      <c r="DNM49" s="28"/>
      <c r="DNN49" s="30"/>
      <c r="DNO49" s="29"/>
      <c r="DNP49" s="28"/>
      <c r="DNQ49" s="29"/>
      <c r="DNR49" s="28"/>
      <c r="DNS49" s="28"/>
      <c r="DNT49" s="28"/>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30"/>
      <c r="DPG49" s="28"/>
      <c r="DPH49" s="29"/>
      <c r="DPI49" s="29"/>
      <c r="DPJ49" s="29"/>
      <c r="DPK49" s="29"/>
      <c r="DPL49" s="29"/>
      <c r="DPM49" s="28"/>
      <c r="DPN49" s="29"/>
      <c r="DPO49" s="29"/>
      <c r="DPP49" s="28"/>
      <c r="DPQ49" s="29"/>
      <c r="DPR49" s="30"/>
      <c r="DPS49" s="28"/>
      <c r="DPT49" s="29"/>
      <c r="DPU49" s="29"/>
      <c r="DPV49" s="29"/>
      <c r="DPW49" s="28"/>
      <c r="DPX49" s="29"/>
      <c r="DPY49" s="29"/>
      <c r="DPZ49" s="28"/>
      <c r="DQA49" s="29"/>
      <c r="DQB49" s="30"/>
      <c r="DQC49" s="28"/>
      <c r="DQD49" s="29"/>
      <c r="DQE49" s="29"/>
      <c r="DQF49" s="29"/>
      <c r="DQG49" s="28"/>
      <c r="DQH49" s="29"/>
      <c r="DQI49" s="29"/>
      <c r="DQJ49" s="28"/>
      <c r="DQK49" s="29"/>
      <c r="DQL49" s="30"/>
      <c r="DQM49" s="28"/>
      <c r="DQN49" s="29"/>
      <c r="DQO49" s="29"/>
      <c r="DQP49" s="29"/>
      <c r="DQQ49" s="28"/>
      <c r="DQR49" s="29"/>
      <c r="DQS49" s="29"/>
      <c r="DQT49" s="28"/>
      <c r="DQU49" s="29"/>
      <c r="DQV49" s="30"/>
      <c r="DQW49" s="28"/>
      <c r="DQX49" s="30"/>
      <c r="DQY49" s="29"/>
      <c r="DQZ49" s="28"/>
      <c r="DRA49" s="29"/>
      <c r="DRB49" s="28"/>
      <c r="DRC49" s="28"/>
      <c r="DRD49" s="28"/>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30"/>
      <c r="DSQ49" s="28"/>
      <c r="DSR49" s="29"/>
      <c r="DSS49" s="29"/>
      <c r="DST49" s="29"/>
      <c r="DSU49" s="29"/>
      <c r="DSV49" s="29"/>
      <c r="DSW49" s="28"/>
      <c r="DSX49" s="29"/>
      <c r="DSY49" s="29"/>
      <c r="DSZ49" s="28"/>
      <c r="DTA49" s="29"/>
      <c r="DTB49" s="30"/>
      <c r="DTC49" s="28"/>
      <c r="DTD49" s="29"/>
      <c r="DTE49" s="29"/>
      <c r="DTF49" s="29"/>
      <c r="DTG49" s="28"/>
      <c r="DTH49" s="29"/>
      <c r="DTI49" s="29"/>
      <c r="DTJ49" s="28"/>
      <c r="DTK49" s="29"/>
      <c r="DTL49" s="30"/>
      <c r="DTM49" s="28"/>
      <c r="DTN49" s="29"/>
      <c r="DTO49" s="29"/>
      <c r="DTP49" s="29"/>
      <c r="DTQ49" s="28"/>
      <c r="DTR49" s="29"/>
      <c r="DTS49" s="29"/>
      <c r="DTT49" s="28"/>
      <c r="DTU49" s="29"/>
      <c r="DTV49" s="30"/>
      <c r="DTW49" s="28"/>
      <c r="DTX49" s="29"/>
      <c r="DTY49" s="29"/>
      <c r="DTZ49" s="29"/>
      <c r="DUA49" s="28"/>
      <c r="DUB49" s="29"/>
      <c r="DUC49" s="29"/>
      <c r="DUD49" s="28"/>
      <c r="DUE49" s="29"/>
      <c r="DUF49" s="30"/>
      <c r="DUG49" s="28"/>
      <c r="DUH49" s="30"/>
      <c r="DUI49" s="29"/>
      <c r="DUJ49" s="28"/>
      <c r="DUK49" s="29"/>
      <c r="DUL49" s="28"/>
      <c r="DUM49" s="28"/>
      <c r="DUN49" s="28"/>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30"/>
      <c r="DWA49" s="28"/>
      <c r="DWB49" s="29"/>
      <c r="DWC49" s="29"/>
      <c r="DWD49" s="29"/>
      <c r="DWE49" s="29"/>
      <c r="DWF49" s="29"/>
      <c r="DWG49" s="28"/>
      <c r="DWH49" s="29"/>
      <c r="DWI49" s="29"/>
      <c r="DWJ49" s="28"/>
      <c r="DWK49" s="29"/>
      <c r="DWL49" s="30"/>
      <c r="DWM49" s="28"/>
      <c r="DWN49" s="29"/>
      <c r="DWO49" s="29"/>
      <c r="DWP49" s="29"/>
      <c r="DWQ49" s="28"/>
      <c r="DWR49" s="29"/>
      <c r="DWS49" s="29"/>
      <c r="DWT49" s="28"/>
      <c r="DWU49" s="29"/>
      <c r="DWV49" s="30"/>
      <c r="DWW49" s="28"/>
      <c r="DWX49" s="29"/>
      <c r="DWY49" s="29"/>
      <c r="DWZ49" s="29"/>
      <c r="DXA49" s="28"/>
      <c r="DXB49" s="29"/>
      <c r="DXC49" s="29"/>
      <c r="DXD49" s="28"/>
      <c r="DXE49" s="29"/>
      <c r="DXF49" s="30"/>
      <c r="DXG49" s="28"/>
      <c r="DXH49" s="29"/>
      <c r="DXI49" s="29"/>
      <c r="DXJ49" s="29"/>
      <c r="DXK49" s="28"/>
      <c r="DXL49" s="29"/>
      <c r="DXM49" s="29"/>
      <c r="DXN49" s="28"/>
      <c r="DXO49" s="29"/>
      <c r="DXP49" s="30"/>
      <c r="DXQ49" s="28"/>
      <c r="DXR49" s="30"/>
      <c r="DXS49" s="29"/>
      <c r="DXT49" s="28"/>
      <c r="DXU49" s="29"/>
      <c r="DXV49" s="28"/>
      <c r="DXW49" s="28"/>
      <c r="DXX49" s="28"/>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30"/>
      <c r="DZK49" s="28"/>
      <c r="DZL49" s="29"/>
      <c r="DZM49" s="29"/>
      <c r="DZN49" s="29"/>
      <c r="DZO49" s="29"/>
      <c r="DZP49" s="29"/>
      <c r="DZQ49" s="28"/>
      <c r="DZR49" s="29"/>
      <c r="DZS49" s="29"/>
      <c r="DZT49" s="28"/>
      <c r="DZU49" s="29"/>
      <c r="DZV49" s="30"/>
      <c r="DZW49" s="28"/>
      <c r="DZX49" s="29"/>
      <c r="DZY49" s="29"/>
      <c r="DZZ49" s="29"/>
      <c r="EAA49" s="28"/>
      <c r="EAB49" s="29"/>
      <c r="EAC49" s="29"/>
      <c r="EAD49" s="28"/>
      <c r="EAE49" s="29"/>
      <c r="EAF49" s="30"/>
      <c r="EAG49" s="28"/>
      <c r="EAH49" s="29"/>
      <c r="EAI49" s="29"/>
      <c r="EAJ49" s="29"/>
      <c r="EAK49" s="28"/>
      <c r="EAL49" s="29"/>
      <c r="EAM49" s="29"/>
      <c r="EAN49" s="28"/>
      <c r="EAO49" s="29"/>
      <c r="EAP49" s="30"/>
      <c r="EAQ49" s="28"/>
      <c r="EAR49" s="29"/>
      <c r="EAS49" s="29"/>
      <c r="EAT49" s="29"/>
      <c r="EAU49" s="28"/>
      <c r="EAV49" s="29"/>
      <c r="EAW49" s="29"/>
      <c r="EAX49" s="28"/>
      <c r="EAY49" s="29"/>
      <c r="EAZ49" s="30"/>
      <c r="EBA49" s="28"/>
      <c r="EBB49" s="30"/>
      <c r="EBC49" s="29"/>
      <c r="EBD49" s="28"/>
      <c r="EBE49" s="29"/>
      <c r="EBF49" s="28"/>
      <c r="EBG49" s="28"/>
      <c r="EBH49" s="28"/>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30"/>
      <c r="ECU49" s="28"/>
      <c r="ECV49" s="29"/>
      <c r="ECW49" s="29"/>
      <c r="ECX49" s="29"/>
      <c r="ECY49" s="29"/>
      <c r="ECZ49" s="29"/>
      <c r="EDA49" s="28"/>
      <c r="EDB49" s="29"/>
      <c r="EDC49" s="29"/>
      <c r="EDD49" s="28"/>
      <c r="EDE49" s="29"/>
      <c r="EDF49" s="30"/>
      <c r="EDG49" s="28"/>
      <c r="EDH49" s="29"/>
      <c r="EDI49" s="29"/>
      <c r="EDJ49" s="29"/>
      <c r="EDK49" s="28"/>
      <c r="EDL49" s="29"/>
      <c r="EDM49" s="29"/>
      <c r="EDN49" s="28"/>
      <c r="EDO49" s="29"/>
      <c r="EDP49" s="30"/>
      <c r="EDQ49" s="28"/>
      <c r="EDR49" s="29"/>
      <c r="EDS49" s="29"/>
      <c r="EDT49" s="29"/>
      <c r="EDU49" s="28"/>
      <c r="EDV49" s="29"/>
      <c r="EDW49" s="29"/>
      <c r="EDX49" s="28"/>
      <c r="EDY49" s="29"/>
      <c r="EDZ49" s="30"/>
      <c r="EEA49" s="28"/>
      <c r="EEB49" s="29"/>
      <c r="EEC49" s="29"/>
      <c r="EED49" s="29"/>
      <c r="EEE49" s="28"/>
      <c r="EEF49" s="29"/>
      <c r="EEG49" s="29"/>
      <c r="EEH49" s="28"/>
      <c r="EEI49" s="29"/>
      <c r="EEJ49" s="30"/>
      <c r="EEK49" s="28"/>
      <c r="EEL49" s="30"/>
      <c r="EEM49" s="29"/>
      <c r="EEN49" s="28"/>
      <c r="EEO49" s="29"/>
      <c r="EEP49" s="28"/>
      <c r="EEQ49" s="28"/>
      <c r="EER49" s="28"/>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30"/>
      <c r="EGE49" s="28"/>
      <c r="EGF49" s="29"/>
      <c r="EGG49" s="29"/>
      <c r="EGH49" s="29"/>
      <c r="EGI49" s="29"/>
      <c r="EGJ49" s="29"/>
      <c r="EGK49" s="28"/>
      <c r="EGL49" s="29"/>
      <c r="EGM49" s="29"/>
      <c r="EGN49" s="28"/>
      <c r="EGO49" s="29"/>
      <c r="EGP49" s="30"/>
      <c r="EGQ49" s="28"/>
      <c r="EGR49" s="29"/>
      <c r="EGS49" s="29"/>
      <c r="EGT49" s="29"/>
      <c r="EGU49" s="28"/>
      <c r="EGV49" s="29"/>
      <c r="EGW49" s="29"/>
      <c r="EGX49" s="28"/>
      <c r="EGY49" s="29"/>
      <c r="EGZ49" s="30"/>
      <c r="EHA49" s="28"/>
      <c r="EHB49" s="29"/>
      <c r="EHC49" s="29"/>
      <c r="EHD49" s="29"/>
      <c r="EHE49" s="28"/>
      <c r="EHF49" s="29"/>
      <c r="EHG49" s="29"/>
      <c r="EHH49" s="28"/>
      <c r="EHI49" s="29"/>
      <c r="EHJ49" s="30"/>
      <c r="EHK49" s="28"/>
      <c r="EHL49" s="29"/>
      <c r="EHM49" s="29"/>
      <c r="EHN49" s="29"/>
      <c r="EHO49" s="28"/>
      <c r="EHP49" s="29"/>
      <c r="EHQ49" s="29"/>
      <c r="EHR49" s="28"/>
      <c r="EHS49" s="29"/>
      <c r="EHT49" s="30"/>
      <c r="EHU49" s="28"/>
      <c r="EHV49" s="30"/>
      <c r="EHW49" s="29"/>
      <c r="EHX49" s="28"/>
      <c r="EHY49" s="29"/>
      <c r="EHZ49" s="28"/>
      <c r="EIA49" s="28"/>
      <c r="EIB49" s="28"/>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30"/>
      <c r="EJO49" s="28"/>
      <c r="EJP49" s="29"/>
      <c r="EJQ49" s="29"/>
      <c r="EJR49" s="29"/>
      <c r="EJS49" s="29"/>
      <c r="EJT49" s="29"/>
      <c r="EJU49" s="28"/>
      <c r="EJV49" s="29"/>
      <c r="EJW49" s="29"/>
      <c r="EJX49" s="28"/>
      <c r="EJY49" s="29"/>
      <c r="EJZ49" s="30"/>
      <c r="EKA49" s="28"/>
      <c r="EKB49" s="29"/>
      <c r="EKC49" s="29"/>
      <c r="EKD49" s="29"/>
      <c r="EKE49" s="28"/>
      <c r="EKF49" s="29"/>
      <c r="EKG49" s="29"/>
      <c r="EKH49" s="28"/>
      <c r="EKI49" s="29"/>
      <c r="EKJ49" s="30"/>
      <c r="EKK49" s="28"/>
      <c r="EKL49" s="29"/>
      <c r="EKM49" s="29"/>
      <c r="EKN49" s="29"/>
      <c r="EKO49" s="28"/>
      <c r="EKP49" s="29"/>
      <c r="EKQ49" s="29"/>
      <c r="EKR49" s="28"/>
      <c r="EKS49" s="29"/>
      <c r="EKT49" s="30"/>
      <c r="EKU49" s="28"/>
      <c r="EKV49" s="29"/>
      <c r="EKW49" s="29"/>
      <c r="EKX49" s="29"/>
      <c r="EKY49" s="28"/>
      <c r="EKZ49" s="29"/>
      <c r="ELA49" s="29"/>
      <c r="ELB49" s="28"/>
      <c r="ELC49" s="29"/>
      <c r="ELD49" s="30"/>
      <c r="ELE49" s="28"/>
      <c r="ELF49" s="30"/>
      <c r="ELG49" s="29"/>
      <c r="ELH49" s="28"/>
      <c r="ELI49" s="29"/>
      <c r="ELJ49" s="28"/>
      <c r="ELK49" s="28"/>
      <c r="ELL49" s="28"/>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30"/>
      <c r="EMY49" s="28"/>
      <c r="EMZ49" s="29"/>
      <c r="ENA49" s="29"/>
      <c r="ENB49" s="29"/>
      <c r="ENC49" s="29"/>
      <c r="END49" s="29"/>
      <c r="ENE49" s="28"/>
      <c r="ENF49" s="29"/>
      <c r="ENG49" s="29"/>
      <c r="ENH49" s="28"/>
      <c r="ENI49" s="29"/>
      <c r="ENJ49" s="30"/>
      <c r="ENK49" s="28"/>
      <c r="ENL49" s="29"/>
      <c r="ENM49" s="29"/>
      <c r="ENN49" s="29"/>
      <c r="ENO49" s="28"/>
      <c r="ENP49" s="29"/>
      <c r="ENQ49" s="29"/>
      <c r="ENR49" s="28"/>
      <c r="ENS49" s="29"/>
      <c r="ENT49" s="30"/>
      <c r="ENU49" s="28"/>
      <c r="ENV49" s="29"/>
      <c r="ENW49" s="29"/>
      <c r="ENX49" s="29"/>
      <c r="ENY49" s="28"/>
      <c r="ENZ49" s="29"/>
      <c r="EOA49" s="29"/>
      <c r="EOB49" s="28"/>
      <c r="EOC49" s="29"/>
      <c r="EOD49" s="30"/>
      <c r="EOE49" s="28"/>
      <c r="EOF49" s="29"/>
      <c r="EOG49" s="29"/>
      <c r="EOH49" s="29"/>
      <c r="EOI49" s="28"/>
      <c r="EOJ49" s="29"/>
      <c r="EOK49" s="29"/>
      <c r="EOL49" s="28"/>
      <c r="EOM49" s="29"/>
      <c r="EON49" s="30"/>
      <c r="EOO49" s="28" t="str">
        <f>IFERROR(VLOOKUP(EON49,BASEPOE1,2,FALSE)," ")</f>
        <v xml:space="preserve"> </v>
      </c>
    </row>
    <row r="50" spans="1:3785" x14ac:dyDescent="0.3">
      <c r="B50" s="1">
        <f>COUNTA(B3:B49)</f>
        <v>21</v>
      </c>
      <c r="F50" s="1"/>
      <c r="G50" s="1"/>
      <c r="H50" s="1"/>
      <c r="AT50" s="1">
        <f>COUNTA(AT3:AT49)</f>
        <v>16</v>
      </c>
      <c r="CL50" s="1">
        <f>COUNTA(CL3:CL49)</f>
        <v>12</v>
      </c>
      <c r="ED50" s="1">
        <f>COUNTA(ED3:ED49)</f>
        <v>9</v>
      </c>
      <c r="FV50" s="1">
        <f>COUNTA(FV3:FV49)</f>
        <v>8</v>
      </c>
      <c r="HN50" s="1">
        <f>COUNTA(HN3:HN49)</f>
        <v>7</v>
      </c>
      <c r="JF50" s="1">
        <f>COUNTA(JF3:JF49)</f>
        <v>5</v>
      </c>
      <c r="KX50" s="1">
        <f>COUNTA(KX3:KX49)</f>
        <v>3</v>
      </c>
      <c r="MP50" s="1">
        <f>COUNTA(MP3:MP49)</f>
        <v>3</v>
      </c>
      <c r="OH50" s="1">
        <f>COUNTA(OH3:OH49)</f>
        <v>2</v>
      </c>
      <c r="PZ50" s="1">
        <f>COUNTA(PZ3:PZ49)</f>
        <v>2</v>
      </c>
      <c r="RR50" s="1">
        <f>COUNTA(RR3:RR49)</f>
        <v>2</v>
      </c>
      <c r="TJ50" s="1">
        <f>COUNTA(TJ3:TJ49)</f>
        <v>2</v>
      </c>
      <c r="VB50" s="1">
        <f>COUNTA(VB3:VB49)</f>
        <v>2</v>
      </c>
      <c r="WT50" s="1">
        <f>COUNTA(WT3:WT49)</f>
        <v>2</v>
      </c>
      <c r="YL50" s="1">
        <f>COUNTA(YL3:YL49)</f>
        <v>2</v>
      </c>
      <c r="AAD50" s="1">
        <f>COUNTA(AAD3:AAD49)</f>
        <v>2</v>
      </c>
      <c r="ABV50" s="1">
        <f>COUNTA(ABV3:ABV49)</f>
        <v>2</v>
      </c>
      <c r="ADN50" s="1">
        <f>COUNTA(ADN3:ADN49)</f>
        <v>2</v>
      </c>
      <c r="AFF50" s="1">
        <f>COUNTA(AFF3:AFF49)</f>
        <v>1</v>
      </c>
      <c r="AGX50" s="1">
        <f>COUNTA(AGX3:AGX49)</f>
        <v>1</v>
      </c>
      <c r="AIP50" s="1">
        <f>COUNTA(AIP3:AIP49)</f>
        <v>1</v>
      </c>
      <c r="AKH50" s="1">
        <f>COUNTA(AKH3:AKH49)</f>
        <v>1</v>
      </c>
      <c r="ALZ50" s="1">
        <f>COUNTA(ALZ3:ALZ49)</f>
        <v>1</v>
      </c>
      <c r="ANR50" s="1">
        <f>COUNTA(ANR3:ANR49)</f>
        <v>1</v>
      </c>
      <c r="APJ50" s="1">
        <f>COUNTA(APJ3:APJ49)</f>
        <v>1</v>
      </c>
      <c r="ARB50" s="1">
        <f>COUNTA(ARB3:ARB49)</f>
        <v>1</v>
      </c>
      <c r="AST50" s="1">
        <f>COUNTA(AST3:AST49)</f>
        <v>1</v>
      </c>
      <c r="AUL50" s="1">
        <f>COUNTA(AUL3:AUL49)</f>
        <v>1</v>
      </c>
      <c r="AWD50" s="1">
        <f>COUNTA(AWD3:AWD49)</f>
        <v>1</v>
      </c>
      <c r="AXV50" s="1">
        <f>COUNTA(AXV3:AXV49)</f>
        <v>1</v>
      </c>
      <c r="AZN50" s="1">
        <f>COUNTA(AZN3:AZN49)</f>
        <v>1</v>
      </c>
      <c r="BBF50" s="1">
        <f>COUNTA(BBF3:BBF49)</f>
        <v>1</v>
      </c>
      <c r="BCX50" s="1">
        <f>COUNTA(BCX3:BCX49)</f>
        <v>1</v>
      </c>
      <c r="BEP50" s="1">
        <f>COUNTA(BEP3:BEP49)</f>
        <v>1</v>
      </c>
      <c r="BGH50" s="1">
        <f>COUNTA(BGH3:BGH49)</f>
        <v>1</v>
      </c>
      <c r="BHZ50" s="1">
        <f>COUNTA(BHZ3:BHZ49)</f>
        <v>1</v>
      </c>
      <c r="BJR50" s="1">
        <f>COUNTA(BJR3:BJR49)</f>
        <v>1</v>
      </c>
      <c r="BLJ50" s="1">
        <f>COUNTA(BLJ3:BLJ49)</f>
        <v>1</v>
      </c>
      <c r="BNB50" s="1">
        <f>COUNTA(BNB3:BNB49)</f>
        <v>0</v>
      </c>
      <c r="BOT50" s="1">
        <f>COUNTA(BOT3:BOT49)</f>
        <v>0</v>
      </c>
      <c r="BQL50" s="1">
        <f>COUNTA(BQL3:BQL49)</f>
        <v>0</v>
      </c>
      <c r="BSD50" s="1">
        <f>COUNTA(BSD3:BSD49)</f>
        <v>0</v>
      </c>
      <c r="BTV50" s="1">
        <f>COUNTA(BTV3:BTV49)</f>
        <v>0</v>
      </c>
      <c r="BVN50" s="1">
        <f>COUNTA(BVN3:BVN49)</f>
        <v>0</v>
      </c>
      <c r="BXF50" s="1">
        <f>COUNTA(BXF3:BXF49)</f>
        <v>0</v>
      </c>
      <c r="BYX50" s="1">
        <f>COUNTA(BYX3:BYX49)</f>
        <v>0</v>
      </c>
      <c r="CAP50" s="1">
        <f>COUNTA(CAP3:CAP49)</f>
        <v>0</v>
      </c>
      <c r="CCH50" s="1">
        <f>COUNTA(CCH3:CCH49)</f>
        <v>0</v>
      </c>
      <c r="CDZ50" s="1">
        <f>COUNTA(CDZ3:CDZ49)</f>
        <v>0</v>
      </c>
      <c r="CFR50" s="1">
        <f>COUNTA(CFR3:CFR49)</f>
        <v>0</v>
      </c>
      <c r="CHJ50" s="1">
        <f>COUNTA(CHJ3:CHJ49)</f>
        <v>0</v>
      </c>
      <c r="CJB50" s="1">
        <f>COUNTA(CJB3:CJB49)</f>
        <v>0</v>
      </c>
      <c r="CKT50" s="1">
        <f>COUNTA(CKT3:CKT49)</f>
        <v>0</v>
      </c>
      <c r="CML50" s="1">
        <f>COUNTA(CML3:CML49)</f>
        <v>0</v>
      </c>
      <c r="COD50" s="1">
        <f>COUNTA(COD3:COD49)</f>
        <v>0</v>
      </c>
      <c r="CPV50" s="1">
        <f>COUNTA(CPV3:CPV49)</f>
        <v>0</v>
      </c>
      <c r="CRN50" s="1">
        <f>COUNTA(CRN3:CRN49)</f>
        <v>0</v>
      </c>
      <c r="CTF50" s="1">
        <f>COUNTA(CTF3:CTF49)</f>
        <v>0</v>
      </c>
      <c r="CUX50" s="1">
        <f>COUNTA(CUX3:CUX49)</f>
        <v>0</v>
      </c>
      <c r="CWP50" s="1">
        <f>COUNTA(CWP3:CWP49)</f>
        <v>0</v>
      </c>
      <c r="CYH50" s="1">
        <f>COUNTA(CYH3:CYH49)</f>
        <v>0</v>
      </c>
      <c r="CZZ50" s="1">
        <f>COUNTA(CZZ3:CZZ49)</f>
        <v>0</v>
      </c>
      <c r="DBR50" s="1">
        <f>COUNTA(DBR3:DBR49)</f>
        <v>0</v>
      </c>
      <c r="DDJ50" s="1">
        <f>COUNTA(DDJ3:DDJ49)</f>
        <v>0</v>
      </c>
      <c r="DFB50" s="1">
        <f>COUNTA(DFB3:DFB49)</f>
        <v>0</v>
      </c>
      <c r="DGT50" s="1">
        <f>COUNTA(DGT3:DGT49)</f>
        <v>0</v>
      </c>
      <c r="DIL50" s="1">
        <f>COUNTA(DIL3:DIL49)</f>
        <v>0</v>
      </c>
      <c r="DKD50" s="1">
        <f>COUNTA(DKD3:DKD49)</f>
        <v>0</v>
      </c>
      <c r="DLV50" s="1">
        <f>COUNTA(DLV3:DLV49)</f>
        <v>0</v>
      </c>
      <c r="DNN50" s="1">
        <f>COUNTA(DNN3:DNN49)</f>
        <v>0</v>
      </c>
      <c r="DPF50" s="1">
        <f>COUNTA(DPF3:DPF49)</f>
        <v>0</v>
      </c>
      <c r="DQX50" s="1">
        <f>COUNTA(DQX3:DQX49)</f>
        <v>0</v>
      </c>
      <c r="DSP50" s="1">
        <f>COUNTA(DSP3:DSP49)</f>
        <v>0</v>
      </c>
      <c r="DUH50" s="1">
        <f>COUNTA(DUH3:DUH49)</f>
        <v>0</v>
      </c>
      <c r="DVZ50" s="1">
        <f>COUNTA(DVZ3:DVZ49)</f>
        <v>0</v>
      </c>
      <c r="DXR50" s="1">
        <f>COUNTA(DXR3:DXR49)</f>
        <v>0</v>
      </c>
      <c r="DZJ50" s="1">
        <f>COUNTA(DZJ3:DZJ49)</f>
        <v>0</v>
      </c>
      <c r="EBB50" s="1">
        <f>COUNTA(EBB3:EBB49)</f>
        <v>0</v>
      </c>
      <c r="ECT50" s="1">
        <f>COUNTA(ECT3:ECT49)</f>
        <v>0</v>
      </c>
      <c r="EEL50" s="1">
        <f>COUNTA(EEL3:EEL49)</f>
        <v>0</v>
      </c>
      <c r="EGD50" s="1">
        <f>COUNTA(EGD3:EGD49)</f>
        <v>0</v>
      </c>
      <c r="EHV50" s="1">
        <f>COUNTA(EHV3:EHV49)</f>
        <v>0</v>
      </c>
      <c r="EJN50" s="1">
        <f>COUNTA(EJN3:EJN49)</f>
        <v>0</v>
      </c>
      <c r="ELF50" s="1">
        <f>COUNTA(ELF3:ELF49)</f>
        <v>0</v>
      </c>
      <c r="EMX50" s="1">
        <f>COUNTA(EMX3:EMX49)</f>
        <v>0</v>
      </c>
    </row>
    <row r="52" spans="1:3785" x14ac:dyDescent="0.3">
      <c r="B52" s="411">
        <f>SUM(B50,AT50,CL50,ED50,FV50,HN50,JF50,KX50,MP50,OH50,PZ50,RR50,TJ50,VB50,WT50,YL50,AAD50,ABV50,ADN50,AFF50,AGX50,AIP50,AKH50,ALZ50,ANR50,APJ50,ARB50,AST50,AUL50,AWD50,AXV50,AZN50,BBF50,BCX50,BEP50,BGH50,BHZ50,BJR50,BLJ50,BNB50,BOT50,BQL50,BSD50,BTV50,BVN50,BXF50,BYX50,CAP50,CCH50,CDZ50,CFR50,CHJ50,CJB50,CKT50,CML50,COD50,CPV50,CRN50,CTF50,CUX50,CWP50,CYH50,CZZ50,DBR50,DDJ50,DFB50,DGT50,DIL50,DKD50,DLV50,DNN50,DPF50,DQX50,DSP50,DUH50,DVZ50,DXR50,DZJ50,EBB50,ECT50,EEL50,EGD50,EHV50,EJN50,ELF50,EMX50)</f>
        <v>124</v>
      </c>
    </row>
    <row r="53" spans="1:3785" x14ac:dyDescent="0.3">
      <c r="A53" s="411">
        <f>SUM(B50:EOO50)</f>
        <v>124</v>
      </c>
      <c r="B53" s="412" t="s">
        <v>1365</v>
      </c>
    </row>
  </sheetData>
  <sheetProtection algorithmName="SHA-512" hashValue="0KVAhDWRq7gkUraE2PKzfjx/oe3IwbM803AgZ1GiJ3qXLvfANh5PaX+HDW2TuGM+eb1PhtsZI9ec+kdSidDO/A==" saltValue="fHSgFRlQm/vciSI8csFMlQ==" spinCount="100000" sheet="1" objects="1" scenarios="1"/>
  <autoFilter ref="A2:ERY49" xr:uid="{4CD05148-0CEB-4B1A-A64F-8FE3E9FF2530}"/>
  <dataValidations count="76">
    <dataValidation type="list" allowBlank="1" showInputMessage="1" showErrorMessage="1" sqref="GI44" xr:uid="{E916C1BB-52E4-421C-A9E0-22A7329964AA}">
      <formula1>"SI, NO, CARTA PASANTE, CERTIFICADO, DOCUMENTO DE BACHILLERATO"</formula1>
    </dataValidation>
    <dataValidation type="list" allowBlank="1" showInputMessage="1" showErrorMessage="1" sqref="N44" xr:uid="{1EDEC8E0-C9AE-40E4-89FB-7A968B26024E}">
      <formula1>"Completos, Incompletos,FALTA FIRMA RL"</formula1>
    </dataValidation>
    <dataValidation type="list" allowBlank="1" showInputMessage="1" showErrorMessage="1" sqref="GH42 HZ42" xr:uid="{0A3C4159-19C4-4DA3-A0A7-9D44C6AD1E2E}">
      <formula1>"Completos, Incompletos, SIN FIRMA DE RL-FIRMADA MAL POR EL ESR COMO RL"</formula1>
    </dataValidation>
    <dataValidation type="list" allowBlank="1" showInputMessage="1" showErrorMessage="1" sqref="EU42" xr:uid="{CF030F6F-731D-4660-B229-4DB46197FCD6}">
      <formula1>"SI, NO, BORROSO"</formula1>
    </dataValidation>
    <dataValidation type="list" allowBlank="1" showInputMessage="1" showErrorMessage="1" sqref="CX42 EP42" xr:uid="{4D425D12-1F7F-43BF-9B88-D593D7E14537}">
      <formula1>"Completos, Incompletos, SIN FIRMA DE RL-SIN FIRMA Y CEDULA DE MEDICO-APENDICE C NO LLENO"</formula1>
    </dataValidation>
    <dataValidation type="list" allowBlank="1" showInputMessage="1" showErrorMessage="1" sqref="BJ42" xr:uid="{0A1EC6A7-1B27-4C92-83C4-EF214CCF808F}">
      <formula1>"SI, NO, INE SOLO POR UN LADO, LICENCIA DE CONDUCIR"</formula1>
    </dataValidation>
    <dataValidation type="list" allowBlank="1" showInputMessage="1" showErrorMessage="1" sqref="N42 YX42 BF42 XF42 VN42 TV42 JR42 LJ42 NB42 OT42 QL42 SD42 AHJ44 AFR44 BF44 EP44 CX44 GH44 JR44 LJ44 NB44 OT44 QL44 SD44 TV44 VN44 XF44 YX44 AAP44 ACH44 ADZ44 HZ44" xr:uid="{2A50369D-2ABC-4438-AF41-7AA03120AB95}">
      <formula1>"Completos, Incompletos, Apendice B no lleno-falta firma RL-lo firma el ESR, SIN FIRMA DE RL"</formula1>
    </dataValidation>
    <dataValidation type="list" allowBlank="1" showInputMessage="1" showErrorMessage="1" sqref="N40" xr:uid="{D4719402-8F83-453B-A0D1-450706811832}">
      <formula1>"Completos, Incompletos, Apendice B no lleno-falta firma RL-lo firma el ESR, VENCIDA"</formula1>
    </dataValidation>
    <dataValidation type="list" allowBlank="1" showInputMessage="1" showErrorMessage="1" sqref="BF38" xr:uid="{EEEC3137-DBEC-4174-99F8-3B176BB570DF}">
      <formula1>"Completos, Incompletos, Apendice B y C no llenos-falta firma RL-la firma el ESR CORREGIR"</formula1>
    </dataValidation>
    <dataValidation type="list" allowBlank="1" showInputMessage="1" showErrorMessage="1" sqref="N38 CX40 BF40" xr:uid="{80984ECC-1E1F-46FB-B524-A0F2A8200CFF}">
      <formula1>"Completos, Incompletos, Apendice B no lleno-falta firma RL-lo firma el ESR"</formula1>
    </dataValidation>
    <dataValidation type="list" allowBlank="1" showInputMessage="1" showErrorMessage="1" sqref="EM30" xr:uid="{96B9610C-DAA1-48DB-AF8A-FBC3785F2A16}">
      <formula1>"SI, NO, NO TRAE EL TITULO DEL ESTUDIO"</formula1>
    </dataValidation>
    <dataValidation type="list" allowBlank="1" showInputMessage="1" showErrorMessage="1" sqref="BF30 CX30 EO30" xr:uid="{35DB57C5-B2BE-4835-A49A-4A76434A9569}">
      <formula1>"Completos, Incompletos, Apendice B no llenos-falta firma RL-la firma el ESR CORREGIR"</formula1>
    </dataValidation>
    <dataValidation type="list" allowBlank="1" showInputMessage="1" showErrorMessage="1" sqref="NB35" xr:uid="{5FC34A8D-1D10-45BF-A601-BBEA824920FA}">
      <formula1>"Completo, Incompleto, En Proceso de Valoración, SIN FIRMA DE RL-SIN FECHA "</formula1>
    </dataValidation>
    <dataValidation type="list" allowBlank="1" showInputMessage="1" showErrorMessage="1" sqref="HZ35 JR35 LJ35" xr:uid="{1E7E9987-7C81-4872-8CC4-19693B16432A}">
      <formula1>"Completo, Incompleto, En Proceso de Valoración, SIN FIRMA DE RL"</formula1>
    </dataValidation>
    <dataValidation type="list" allowBlank="1" showInputMessage="1" showErrorMessage="1" sqref="GH35" xr:uid="{AF931481-0039-4D71-91E5-9F0DD8D82904}">
      <formula1>"Completo, Incompleto, En Proceso de Valoración, Completo (huellas no visibles)-falta firma del RL, VENCIDOS SIN FECHA- SIN FIRMA DE RL"</formula1>
    </dataValidation>
    <dataValidation type="list" allowBlank="1" showInputMessage="1" showErrorMessage="1" sqref="CX35 EP35" xr:uid="{1F76D377-1062-4326-A517-4E24A2503E92}">
      <formula1>"Completo, Incompleto, En Proceso de Valoración, FALTA FIRMA RL"</formula1>
    </dataValidation>
    <dataValidation type="list" allowBlank="1" showInputMessage="1" showErrorMessage="1" sqref="N28 BF28 CX28 N30 TV30 AJB30 EP30 GH30 HZ30 JR30 LJ30 NB30 OT30 QL30 SD30 VN30 XF30 YX30 AAP30 ACH30 ADZ30 AFR30 AHJ30 CX38" xr:uid="{6859F08F-7EB8-4891-B81F-DF520AB8CD3C}">
      <formula1>"Completos, Incompletos, Apendice ByC no llenos-Histotial aparte, falta firma RL"</formula1>
    </dataValidation>
    <dataValidation type="list" allowBlank="1" showInputMessage="1" showErrorMessage="1" sqref="BF31 BF35" xr:uid="{F5CBC81D-AC7D-43EC-8391-0C2A1791D5D3}">
      <formula1>"Completo, Incompleto, En Proceso de Valoración, Completo (huellas no visibles)-falta firma del RL, FALTA APENDICE B-NO TIENE- FIRMA RL"</formula1>
    </dataValidation>
    <dataValidation type="list" allowBlank="1" showInputMessage="1" showErrorMessage="1" sqref="N31 N35 AJB35 AHJ35 AFR35 ADZ35 ACH35 AAP35 YX35 XF35 OT35 QL35 SD35 TV35 VN35" xr:uid="{CA531B8A-E5C3-4F29-99B2-A3E196FA5B06}">
      <formula1>"Completo, Incompleto, En Proceso de Valoración, Completo (huellas no visibles)-falta firma del RL, FALTA APENDICE B-NO TIENE FIRMA RL-TACHON EN FECHA APEND A"</formula1>
    </dataValidation>
    <dataValidation type="list" allowBlank="1" showInputMessage="1" showErrorMessage="1" sqref="JT26" xr:uid="{D6F1DBFB-F46F-4D08-8EBC-5D7C4028F739}">
      <formula1>"SI, NO, CEDULA NO VISIBLE"</formula1>
    </dataValidation>
    <dataValidation type="list" allowBlank="1" showInputMessage="1" showErrorMessage="1" sqref="CY26" xr:uid="{872CA012-FEF9-4CB9-AC7E-BDE2E06E8458}">
      <formula1>"SI, NO, CARTA PASANTE, CERTIFICADO DE CALIFICACIONES"</formula1>
    </dataValidation>
    <dataValidation type="list" allowBlank="1" showInputMessage="1" showErrorMessage="1" sqref="BG26 O28 CY28 O30 BG30 CY30 EQ30 GI30 IA30 JS30 LK30 NC30 OU30 QM30 SE30 VO30 XG30 YY30 AAQ30 ACI30 AEA30 AFS30 AHK30 AJC30 TW30 O38 BG38 CY38 O40 BG40 CY40 O42 EQ42 BG42 CY42 GI42 IA42 JS42 LK42 NC42 OU42 QM42 SE42 TW42 VO42 XG42 YY42 O44 BG44 CY44 EQ44 AHK44 IA44 JS44 LK44 NC44 OU44 QM44 SE44 TW44 VO44 XG44 YY44 AAQ44 ACI44 AEA44 AFS44" xr:uid="{BEBD3B98-F2A1-402A-B9F3-F60FAC64B5CF}">
      <formula1>"SI, NO, CARTA PASANTE, CERTIFICADO"</formula1>
    </dataValidation>
    <dataValidation type="list" allowBlank="1" showInputMessage="1" showErrorMessage="1" sqref="BJ26" xr:uid="{DB83CE75-FA53-41FF-9922-77F419DF2277}">
      <formula1>"SI, NO,INE y CARTILLA MILITAR"</formula1>
    </dataValidation>
    <dataValidation type="list" allowBlank="1" showInputMessage="1" showErrorMessage="1" sqref="R26 R28 BJ28 DB28 ET28 GL28 ID28 JV28 LN28 NF28 OX28 QP28 SH28 R30 BJ30 DB30 ET30 GL30 ID30 JV30 LN30 NF30 OX30 QP30 SH30 VR30 XJ30 ZB30 AAT30 ACL30 AED30 AFV30 AHN30 AJF30 TZ30 R38 BJ38 DB38 R40 BJ40 DB40 R42 ET42 ZB42 DB42 GL42 ID42 JV42 LN42 NF42 OX42 QP42 SH42 TZ42 VR42 XJ42 R44 BJ44 DB44 ET44 GL44 ID44 JV44 LN44 NF44 OX44 QP44 SH44 TZ44 VR44 XJ44 ZB44 AAT44 ACL44 AED44 AFV44 AHN44" xr:uid="{2FAD7B82-1036-41C9-B2D9-4B1F667868B7}">
      <formula1>"SI, NO, INE SOLO POR UN LADO"</formula1>
    </dataValidation>
    <dataValidation type="list" allowBlank="1" showInputMessage="1" showErrorMessage="1" sqref="FT24 HL24 JD24:JE24 EB30:EC30 FT30 EB44" xr:uid="{BFA3112F-5AFA-4486-99FF-1CA0B7A64F45}">
      <formula1>"SI, NO, THSCAN, VACIS PORTAL"</formula1>
    </dataValidation>
    <dataValidation type="list" allowBlank="1" showInputMessage="1" showErrorMessage="1" sqref="CX24 EP24 GH24" xr:uid="{31ADB8D4-0B90-4012-8466-90F52B1C89BC}">
      <formula1>"Completos, Incompletos, Apendice ByC no llenos-HISTORIAL APARTE -falta firma RL, ES UN DICTAMEN MEDICO"</formula1>
    </dataValidation>
    <dataValidation type="list" allowBlank="1" showInputMessage="1" showErrorMessage="1" sqref="BB24 BD24" xr:uid="{91D6AA65-48E5-4B80-8356-815C842C0A95}">
      <formula1>"Completo, Incompleto, Vigente, Vencida, Vigente-error en nombre"</formula1>
    </dataValidation>
    <dataValidation type="list" allowBlank="1" showInputMessage="1" showErrorMessage="1" sqref="N24 N26 EP26 BF26 VN26 CX26 GH26 HZ26 LJ26 NB26 OT26 QL26 SD26 TV26 JR26 SD28 QL28 OT28 EP28 GH28 HZ28 JR28 LJ28 NB28" xr:uid="{FAFA36EA-0F3C-4231-9B66-EE782D91E421}">
      <formula1>"Completos, Incompletos, Apendice ByC no llenos-Histotial aparte, falta firma RL-VENCIDOS"</formula1>
    </dataValidation>
    <dataValidation type="list" allowBlank="1" showInputMessage="1" showErrorMessage="1" sqref="GH14" xr:uid="{93F6B3D6-3416-4F91-B91C-C1EC366F3EF7}">
      <formula1>"Completo, Incompleto, En Proceso de Valoración, NO TIENE FECHA, FIRMADO POR ESE Y NO POR RL"</formula1>
    </dataValidation>
    <dataValidation type="list" allowBlank="1" showInputMessage="1" showErrorMessage="1" sqref="CY14" xr:uid="{05377A2B-8722-4D23-B8DE-43D0A638C071}">
      <formula1>"SI, NO, CONSTANCIA DE CALIFICACIONES"</formula1>
    </dataValidation>
    <dataValidation type="list" allowBlank="1" showInputMessage="1" showErrorMessage="1" sqref="BF14 CX14" xr:uid="{5886B9EF-568E-4888-B162-375CA303DECF}">
      <formula1>"Completo, Incompleto, En Proceso de Valoración, APENDICES LLENOS PERO FIRMADOS X ESR, NO POR EL RL"</formula1>
    </dataValidation>
    <dataValidation type="list" allowBlank="1" showInputMessage="1" showErrorMessage="1" sqref="N14" xr:uid="{3B88DDA9-8463-4074-B756-B0829FE3A501}">
      <formula1>"Completos, Incompletos, Apendice ByC no llenos-falta firma RL"</formula1>
    </dataValidation>
    <dataValidation type="list" allowBlank="1" showInputMessage="1" showErrorMessage="1" sqref="N13" xr:uid="{DCC602EE-2223-4A11-A195-FE095E18A9E0}">
      <formula1>"Completos, Incompletos, Apendice ByC no llenos-c/historial aparte-falta firma RL, Completo-falta firma RL"</formula1>
    </dataValidation>
    <dataValidation type="list" allowBlank="1" showInputMessage="1" showErrorMessage="1" sqref="BF18" xr:uid="{27C2CC03-E6F3-4729-AE33-23D9FF6615BC}">
      <formula1>"Completo, Incompleto, En Proceso de Valoración, Completo -falta firma RL"</formula1>
    </dataValidation>
    <dataValidation type="list" allowBlank="1" showInputMessage="1" showErrorMessage="1" sqref="N18" xr:uid="{4BDD4E95-E0CA-4DEC-BAC1-B6BE0D01C331}">
      <formula1>"Completo, Incompleto, En Proceso de Valoración, Completo-falta firma RL"</formula1>
    </dataValidation>
    <dataValidation type="list" allowBlank="1" showInputMessage="1" showErrorMessage="1" sqref="BF19" xr:uid="{3C556B75-8CFE-46A4-8EF9-9A93D979E711}">
      <formula1>"Completo, Incompleto, En Proceso de Valoración, FALTA HISTORIAL (APENDICE C)-falta firma del RL, "</formula1>
    </dataValidation>
    <dataValidation type="list" allowBlank="1" showInputMessage="1" showErrorMessage="1" sqref="N19" xr:uid="{DDC631B2-88A0-461E-8DF6-6488D3701273}">
      <formula1>"Completo, Incompleto, En Proceso de Valoración, Completo (huellas no visibles)-falta firma del RL"</formula1>
    </dataValidation>
    <dataValidation type="list" allowBlank="1" showInputMessage="1" showErrorMessage="1" sqref="OU7" xr:uid="{FE151775-0979-4C83-80C5-10D9F7ECF7AC}">
      <formula1>"SI, NO, TITULO EN DERECHO"</formula1>
    </dataValidation>
    <dataValidation type="list" allowBlank="1" showInputMessage="1" showErrorMessage="1" sqref="LN7" xr:uid="{817BC336-E809-4F16-8E6D-CC7011299F36}">
      <formula1>"SI, NO, INE NO LEGIBLE"</formula1>
    </dataValidation>
    <dataValidation type="list" allowBlank="1" showInputMessage="1" showErrorMessage="1" sqref="XJ7" xr:uid="{D0481F92-5938-4FBE-BB41-E97E642312A4}">
      <formula1>"SI, NO, FOTO DE INE"</formula1>
    </dataValidation>
    <dataValidation type="list" allowBlank="1" showInputMessage="1" showErrorMessage="1" sqref="JS7" xr:uid="{6492B917-F0A1-4271-91D6-617224C3F960}">
      <formula1>"SI, NO, CONSTANCIA CALIF DE CIENCIAS SOC Y HUM"</formula1>
    </dataValidation>
    <dataValidation type="list" allowBlank="1" showInputMessage="1" showErrorMessage="1" sqref="IA7" xr:uid="{3C2FBDD7-4D24-467F-8B22-21BE41910E4D}">
      <formula1>"SI, NO, BACHILLERATO"</formula1>
    </dataValidation>
    <dataValidation type="list" allowBlank="1" showInputMessage="1" showErrorMessage="1" sqref="TR7 TT7 VJ7 VL7 XB7 XD7 YT7 YV7 AAL7 AAN7 ACD7 ACF7 ADV7 ADX7 GD35 GF35 HV35 HX35 JN35 JP35 LF35 LH35 MX35 MZ35" xr:uid="{82893531-A77C-4B3B-81B8-2C0BE89EAC4C}">
      <formula1>"Completo, Incompleto, En Proceso de Valoración, Vigente, VENCIDA"</formula1>
    </dataValidation>
    <dataValidation type="list" allowBlank="1" showInputMessage="1" showErrorMessage="1" sqref="J7 L7 J13 L13" xr:uid="{9C75A66B-9D9B-418A-852C-57EF99FB7AD2}">
      <formula1>"Completo, Incompleto, En Proceso de Valoración, Vigente, Vencida"</formula1>
    </dataValidation>
    <dataValidation type="list" allowBlank="1" showInputMessage="1" showErrorMessage="1" sqref="AUV7 AUT7 BB7 BD7 CT7 CV7 EL7 EN7 GD7 GF7 ATB7 ATD7 HV7 HX7 JN7 JP7 LF7 LH7 MX7 MZ7 OP7 OR7 QH7 QJ7 SB7 RZ7 ARJ7 ARL7 APR7 APT7 ANZ7 AOB7 AMH7 AMJ7 AKP7 AKR7 AIX7 AIZ7 AFN7 AFP7 AHF7 AHH7 BB19 BD19 J31 L31 BB31 BD31 J35 L35 AIX35 AIZ35 CT35 CV35 BB35 BD35 EN35 EL35 AHF35 AHH35 AFN35 AFP35 ADV35 ADX35 ACD35 ACF35 OP35 OR35 QH35 QJ35 RZ35 SB35 TR35 TT35 VJ35 VL35 XB35 XD35 YT35 YV35 AAL35 AAN35" xr:uid="{38ACB6C3-FDCC-4DF7-B71D-732F37DFF208}">
      <formula1>"Completo, Incompleto, En Proceso de Valoración, Vigente"</formula1>
    </dataValidation>
    <dataValidation type="list" allowBlank="1" showInputMessage="1" showErrorMessage="1" sqref="CY4" xr:uid="{642B392D-BD33-4A10-8C62-51DE8360530F}">
      <formula1>"SI, NO, CONSTANCIA DE CREDITOS"</formula1>
    </dataValidation>
    <dataValidation type="list" allowBlank="1" showInputMessage="1" showErrorMessage="1" sqref="CJ4 CJ18:CJ19" xr:uid="{F111B3AF-6F2A-41AF-93A5-4B9085BD8B70}">
      <formula1>"SI, NO, ASTROPHISICS"</formula1>
    </dataValidation>
    <dataValidation type="list" allowBlank="1" showInputMessage="1" showErrorMessage="1" sqref="N20 NB24 LJ24 JR24" xr:uid="{445E477E-DF43-46A0-BB7A-EF794E3DABDF}">
      <formula1>"Completos, Incompletos, Apendice ByC no llenos-c/historial aparte-falta firma RL, ES UN DICTAMEN MEDICO"</formula1>
    </dataValidation>
    <dataValidation type="list" allowBlank="1" showInputMessage="1" showErrorMessage="1" sqref="BKE48 BKE20" xr:uid="{003B0B29-7D6A-4329-8744-E877C42D2DDD}">
      <formula1>"SI, NO, CERTIFICADO TECNICO"</formula1>
    </dataValidation>
    <dataValidation type="list" allowBlank="1" showInputMessage="1" showErrorMessage="1" sqref="BIH48 BIJ48 BIH20 BIJ20" xr:uid="{BE26E037-6072-4A8A-B847-26995B343761}">
      <formula1>"Completo, Incompleto, Vigente-PERO DICE MASCULINO, Vencida"</formula1>
    </dataValidation>
    <dataValidation type="list" allowBlank="1" showInputMessage="1" showErrorMessage="1" sqref="BGU48 BGU20" xr:uid="{60E03F3F-6682-4EE9-BF4E-3A705C8E73BA}">
      <formula1>"SI, NO, CONSTANCIA DE BACHILLETATO"</formula1>
    </dataValidation>
    <dataValidation type="list" allowBlank="1" showInputMessage="1" showErrorMessage="1" sqref="BGX48 BGX20 ID7" xr:uid="{546CB3FA-355E-4013-AA73-C21B54F82F59}">
      <formula1>"SI, NO, INE CON FOTO NO LEGIBLE"</formula1>
    </dataValidation>
    <dataValidation type="list" allowBlank="1" showInputMessage="1" showErrorMessage="1" sqref="BEN48 BEN20" xr:uid="{C6D14618-111C-4F79-B1F8-2046FF74CC3D}">
      <formula1>"SI, NO, NUCTHECH FERRO, THSCAN"</formula1>
    </dataValidation>
    <dataValidation type="list" allowBlank="1" showInputMessage="1" showErrorMessage="1" sqref="BDN48 BDN20" xr:uid="{29B74CD2-ABD0-4683-AB78-A22FEDA2B6E8}">
      <formula1>"SI, NO,PASAPORTE"</formula1>
    </dataValidation>
    <dataValidation type="list" allowBlank="1" showInputMessage="1" showErrorMessage="1" sqref="BAA48 BAA20 O18 BG18 BG31 IA35" xr:uid="{2C0E47D9-7DAF-4A8B-9735-3C8A74B19278}">
      <formula1>"SI, NO, CERTIFICADO"</formula1>
    </dataValidation>
    <dataValidation type="list" allowBlank="1" showInputMessage="1" showErrorMessage="1" sqref="AYH48 AYH20" xr:uid="{07C16BF4-FE22-494E-B735-3C35D9107474}">
      <formula1>"Completos, Incompletos, Apendice ByC no llenos-c/historial aparte-falta firma RL-foto no legible, nombre mal"</formula1>
    </dataValidation>
    <dataValidation type="list" allowBlank="1" showInputMessage="1" showErrorMessage="1" sqref="AOE48 ARO48 AYI48 AOE20 ARO20 AYI20 O20 GI7 NC7 O24 BG24 CY24 EQ24 GI24 IA24 JS24 LK24 NC24 O26 GI26 TW26 VO26 EQ26 IA26 JS26 LK26 NC26 OU26 QM26 SE26 SE28 BG28 QM28 EQ28 GI28 IA28 JS28 LK28 NC28 OU28" xr:uid="{7F0C0014-73A5-415E-B295-B1B9ED68AA19}">
      <formula1>"SI, NO, CARTA PASANTE"</formula1>
    </dataValidation>
    <dataValidation type="list" allowBlank="1" showInputMessage="1" showErrorMessage="1" sqref="AMM48 AMM20 SE7" xr:uid="{3945D63D-A253-4DBB-BEEF-9BCAA82362E7}">
      <formula1>"SI, NO, CONSTANCIA"</formula1>
    </dataValidation>
    <dataValidation type="list" allowBlank="1" showInputMessage="1" showErrorMessage="1" sqref="AJC48 AJC20" xr:uid="{99CAE537-3CC3-4D26-92E1-63A41E7DA7B1}">
      <formula1>"SI, NO, NO ES TITULO ES CERTIFICADO"</formula1>
    </dataValidation>
    <dataValidation type="list" allowBlank="1" showInputMessage="1" showErrorMessage="1" sqref="AHK48 AHK20" xr:uid="{40BB6A52-8A66-41F4-B014-741190AB0EDE}">
      <formula1>"SI, NO, DOCUMENTO NO CLARO"</formula1>
    </dataValidation>
    <dataValidation type="list" allowBlank="1" showInputMessage="1" showErrorMessage="1" sqref="AEA48 AEA20" xr:uid="{721FF90C-3EC1-42A0-9E45-0F6C737127E1}">
      <formula1>"SI, NO, SOLO CERTIFICADO CON MATERIAS"</formula1>
    </dataValidation>
    <dataValidation type="list" allowBlank="1" showInputMessage="1" showErrorMessage="1" sqref="QM48 QM20" xr:uid="{EDC2C3FE-A70A-470F-8E6A-6223D29DB60A}">
      <formula1>"SI, NO, SOLO ES CONTANCIA"</formula1>
    </dataValidation>
    <dataValidation type="list" allowBlank="1" showInputMessage="1" showErrorMessage="1" sqref="OG48 OG20" xr:uid="{45B0B4E9-12E0-421B-B272-A73CC47554E0}">
      <formula1>"SI, NO, ICIS-THSCAN"</formula1>
    </dataValidation>
    <dataValidation type="list" allowBlank="1" showInputMessage="1" showErrorMessage="1" sqref="MN48 KV48 OF48 PX48 RP48 TH48 UZ48 WR48 YJ48 AAB48 ABT48 ADL48 AFD48 AGV48 ALX48 ANP48 APH48 AQZ48 ASR48 AUJ48 AZL48 BBD48 BGF48 BHX48 BLH48 MN20 KV20 OF20 PX20 RP20 TH20 UZ20 WR20 YJ20 AAB20 ABT20 ADL20 AFD20 AGV20 ALX20 ANP20 APH20 AQZ20 ASR20 AUJ20 AZL20 BBD20 BGF20 BHX20 BLH20" xr:uid="{A3032C47-FB73-4AFE-972E-DAD97CC4FB9F}">
      <formula1>"SI, NO, NUCTHECH FERRO, VACIS PORTAL"</formula1>
    </dataValidation>
    <dataValidation type="list" allowBlank="1" showInputMessage="1" showErrorMessage="1" sqref="EB48 JD48 AIN48 AWB48 AKF48 AXT48 DDH48 DBP48 BCV48 CZX48 CYF48 CWN48 BJP48 CUV48 BMZ48 BOR48 BQJ48 BSB48 BTT48 BVL48 BXD48 BYV48 CAN48 CCF48 CDX48 CFP48 CHH48 CIZ48 CKR48 CMJ48 COB48 CPT48 CRL48 CTD48 EB20 JD20 AIN20 AWB20 AKF20 AXT20 BCV20 BJP20 BMZ20 BOR20 BQJ20 BSB20 BTT20 BVL20 BXD20 BYV20" xr:uid="{A53FB922-D599-403F-AF16-DB9E51A2D607}">
      <formula1>"SI, NO, NUCTHECH FERRO"</formula1>
    </dataValidation>
    <dataValidation type="list" allowBlank="1" showInputMessage="1" showErrorMessage="1" sqref="BG48 BG20" xr:uid="{B690D140-BF19-4936-B2B8-77307006AB88}">
      <formula1>"SI, NO, ES OTRO DOCUMENTO (HIST ACADEMICO)"</formula1>
    </dataValidation>
    <dataValidation type="list" allowBlank="1" showInputMessage="1" showErrorMessage="1" sqref="HM48 BEO48 HM20 BEO20 EB7 FT7 HL7 UZ7 MN7 ADL7 PX7 AR13 FT14 AR31 CJ31 AKF35 CJ35 EB35 FT35 HL35 JD35 KV35 MN35 OF35 PX35 RP35 TH35 UZ35 WR35 YJ35 AAB35 ABT35 ADL35 AFD35 AGV35 AIN35 AR35" xr:uid="{FCC044A8-1FB7-4AB9-81AC-8C03305BAD7A}">
      <formula1>"SI, NO, VACIS PORTAL"</formula1>
    </dataValidation>
    <dataValidation type="list" allowBlank="1" showInputMessage="1" showErrorMessage="1" sqref="HL48 HL20" xr:uid="{3B17C2D9-1443-42C9-8D76-A38420C9D677}">
      <formula1>"SI, NO, ICSIS"</formula1>
    </dataValidation>
    <dataValidation type="list" allowBlank="1" showInputMessage="1" showErrorMessage="1" sqref="J48 L48 BB48 BD48 CT48 CV48 EL48 EN48 GD48 GF48 HV48 HX48 JN48 JP48 LF48 LH48 QH48 QJ48 MX48 MZ48 OP48 OR48 AUT48 AUV48 RZ48 SB48 VJ48 VL48 XB48 XD48 YT48 YV48 ACD48 ACF48 ADV48 ADX48 AFN48 AFP48 AHF48 AHH48 AIX48 AIZ48 AKP48 AKR48 AMH48 AMJ48 ANZ48 AOB48 APR48 APT48 ARJ48 ARL48 ATB48 ATD48 TR48 TT48 AAL48 AAN48 AWL48 AWN48 AYD48 AYF48 AZV48 AZX48 BBN48 BBP48 BDF48 BDH48 BEX48 BEZ48 BGP48 BGR48 DCB48 DBZ48 BJZ48 BKB48 BLR48 BLT48 BNJ48 BNL48 BPB48 BPD48 BQT48 BQV48 BSL48 BSN48 BUD48 BUF48 BVV48 BVX48 BXN48 BXP48 BZF48 BZH48 CAX48 CAZ48 CCP48 CCR48 CEH48 CEJ48 CFZ48 CGB48 CHR48 CHT48 CJJ48 CJL48 CLB48 CLD48 CMT48 CMV48 COL48 CON48 CQD48 CQF48 CRV48 CRX48 CTN48 CTP48 CVF48 CVH48 CWX48 CWZ48 CYP48 CYR48 DAH48 DAJ48 J20 L20 BB20 BD20 CT20 CV20 EL20 EN20 GD20 GF20 HV20 HX20 JN20 JP20 LF20 LH20 QH20 QJ20 MX20 MZ20 OP20 OR20 AUT20 AUV20 RZ20 SB20 VJ20 VL20 XB20 XD20 YT20 YV20 ACD20 ACF20 ADV20 ADX20 AFN20 AFP20 AHF20 AHH20 AIX20 AIZ20 AKP20 AKR20 AMH20 AMJ20 ANZ20 AOB20 APR20 APT20 ARJ20 ARL20 ATB20 ATD20 TR20 TT20 AAL20 AAN20 AWL20 AWN20 AYD20 AYF20 AZV20 AZX20 BBN20 BBP20 BDF20 BDH20 BEX20 BEZ20 BGP20 BGR20 BJZ20 BKB20 BLR20 BLT20 BNJ20 BNL20 BPB20 BPD20 BQT20 BQV20 BSL20 BSN20 BUD20 BUF20 BVV20 BVX20 BXN20 BXP20 BZF20 J4 L4 BB4 BD4 CT4 CV4 EL4 EN4 GD4 GF4 HV4 HX4 JN4 JP4 LF4 LH4 MX4 MZ4 OP4 OR4 QH4 QJ4 RZ4 SB4 TR4 TT4 BB18 BD18 J14 L14 BB14 BD14 CT14 CV14 EL14 EN14 GD14 GF14 HV14 HX14 JN14 JP14 J24 L24 MZ24 MX24 CT24 CV24 EL24 EN24 LF24 LH24 HV24 HX24 JN24 JP24 GD24 GF24 J26 L26 EL26 EN26 VJ26 VL26 BB26 BD26 CT26 CV26 GD26 GF26 HV26 HX26 LF26 LH26 MX26 MZ26 OP26 OR26 QH26 QJ26 RZ26 SB26 TR26 TT26 JN26 JP26 J28 L28 BB28 BD28 CT28 CV28 EL28 EN28 GD28 GF28 HV28 HX28 JN28 JP28 LF28 LH28 MX28 MZ28 OP28 OR28 QH28 QJ28 RZ28 SB28 J30 L30 BB30 BD30 CT30 CV30 EL30 EN30 GD30 GF30 HV30 HX30 JN30 JP30 LF30 LH30 MX30 MZ30 OP30 OR30 QH30 QJ30 RZ30 SB30 VJ30 VL30 XB30 XD30 YT30 YV30 AAL30 AAN30 ACD30 ACF30 ADV30 ADX30 AFN30 AFP30 AHF30 AHH30 AIX30 AIZ30 TR30 TT30 J38 L38 BB38 BD38 CT38 CV38 J40 L40 BB40 BD40 CT40 CV40 J42 L42 EL42 EN42 BB42 BD42 CT42 CV42 GD42 GF42 HV42 HX42 JN42 JP42 LF42 LH42 MX42 MZ42 OP42 OR42 QH42 QJ42 RZ42 SB42 TR42 TT42 VJ42 VL42 XB42 XD42 YT42 YV42 J44 L44 BB44 BD44 AHF44 AHH44 EL44 EN44 CT44 CV44 HV44 HX44 JN44 JP44 LF44 LH44 MX44 MZ44 OP44 OR44 QH44 QJ44 RZ44 SB44 TR44 TT44 VJ44 VL44 XB44 XD44 YT44 YV44 AAL44 AAN44 ACD44 ACF44 ADV44 ADX44 AFN44 AFP44 GD44 GF44" xr:uid="{1292DD30-AA47-4DE0-8D1B-F1C9B198968B}">
      <formula1>"Completo, Incompleto, Vigente, Vencida"</formula1>
    </dataValidation>
    <dataValidation type="list" allowBlank="1" showInputMessage="1" showErrorMessage="1" sqref="EQ48 EQ20 Z44 BR44 DJ44 FB44 GT44 IL44 KD44" xr:uid="{7D378EFD-8EE4-4F91-A008-C1B57A90E4B8}">
      <formula1>"SI, NO, ES OTRO DOCUMENTO"</formula1>
    </dataValidation>
    <dataValidation type="list" allowBlank="1" showInputMessage="1" showErrorMessage="1" sqref="AR48 CJ48 EC48 PY48 RQ48 TI48 VA48 WS48 YK48 AAC48 ABU48 BLI48 AR20 CJ20 EC20 PY20 RQ20 TI20 VA20 WS20 YK20 AAC20 ABU20 BLI20 JD7 OF7 ABT7 AR18 HL14 AR24 CJ24 EB24 OF24 MN24 KV24 AR26 HL26 EB26 CJ26 FT26 JD26 KV26 MN26 OF26 PX26 RP26 TH26 UZ26 WR26 CK31 AR28 CJ28 EB28 FT28 HL28 JD28 KV28 MN28 OF28 PX28 RP28 TH28 AR30 CJ30 UZ30 AKF30 HL30 JD30 KV30 MN30 OF30 PX30 RP30 TH30 WR30 YJ30 AAB30 ABT30 ADL30 AFD30 AGV30 AIN30 AR38 CJ38 EB38 AR40 CJ40 EB40 AR42 FT42 CJ42 EB42 HL42 JD42 KV42 MN42 OF42 PX42 RP42 TH42 UZ42 WR42 YJ42 AAB42 AR44 CJ44 AIN44 FT44 HL44 JD44 KV44 MN44 OF44 PX44 RP44 TH44 UZ44 WR44 YJ44 AAB44 ABT44 ADL44 AFD44 AGV44" xr:uid="{8DCA7E04-EC74-4EB3-8280-67B700EE4AE6}">
      <formula1>"SI, NO, THSCAN"</formula1>
    </dataValidation>
    <dataValidation type="list" allowBlank="1" showInputMessage="1" showErrorMessage="1" sqref="EP48 N48 BF48 CX48 GG48 HZ48 JR48 LJ48 QL48 NB48 OT48 AUX48 SD48 VN48 XF48 YX48 ACH48 ADZ48 AFR48 AHJ48 AJB48 AKT48 AML48 AOD48 APV48 ARN48 ATF48 TV48 AAP48 AWP48 DCD48 AZZ48 BBR48 BDJ48 BFB48 BGT48 BIL48 BKD48 BLV48 BNN48 BPF48 BQX48 BSP48 BUH48 BVZ48 BXR48 BZJ48 CBB48 CCT48 CEL48 CGD48 CHV48 CJN48 CLF48 CMX48 COP48 CQH48 CRZ48 CTR48 CVJ48 CXB48 CYT48 DAL48 EP20 BXR20 BF20 CX20 GG20 HZ20 JR20 LJ20 QL20 NB20 OT20 AUX20 SD20 VN20 XF20 YX20 ACH20 ADZ20 AFR20 AHJ20 AJB20 AKT20 AML20 AOD20 APV20 ARN20 ATF20 TV20 AAP20 AWP20 AZZ20 BBR20 BDJ20 BFB20 BGT20 BIL20 BKD20 BLV20 BNN20 BPF20 BQX20 BSP20 BUH20 BVZ20 N3 BF3 N7 CX7 EP7 GH7 BF7 HZ7 JR7 LJ7 NB7 OT7 QL7 SD7 TV7 VN7 XF7 YX7 AAP7 ACH7 ADZ7 N11 EP14 BF24 HZ24" xr:uid="{4E11AA4C-DE94-4357-BEF3-13A563C3C3B9}">
      <formula1>"Completos, Incompletos, Apendice ByC no llenos-c/historial aparte-falta firma RL"</formula1>
    </dataValidation>
    <dataValidation type="list" allowBlank="1" showInputMessage="1" showErrorMessage="1" sqref="CX15:CX19 CX6 CX8:CX13 CX21:CX23 CX25 CX27 CX31:CX34 CX29 CX36:CX37 CX39 CX41 CX43 CX45:CX47 CX49" xr:uid="{57818E0E-3FE4-4385-B810-6D77E0054C12}">
      <formula1>"Completo, Incompleto, En Proceso de Valoración; Sin firma RL"</formula1>
    </dataValidation>
    <dataValidation type="list" allowBlank="1" showInputMessage="1" showErrorMessage="1" sqref="DCM48 BYA48 CBK48 CEU48 CIE48 CLO48 COY48 CSI48 CVS48 CZC48 DEE3:DEE49 DHO3:DHO49 DKY3:DKY49 DOI3:DOI49 DRS3:DRS49 DVC3:DVC49 DYM3:DYM49 EBW3:EBW49 EFG3:EFG49 EIQ3:EIQ49 EMA3:EMA49 BO48 DG48 EY48 GQ48 II48 BME48 KA48 LS48 QU48 NK48 PC48 AVG48 UE48 SM48 VW48 XO48 ZG48 ACQ48 AEI48 AGA48 AHS48 AJK48 ALC48 AMU48 AOM48 AQE48 ARW48 ATO48 AWY48 BAI48 BCA48 BDS48 BFK48 BHC48 BIU48 AAY48 AYQ48 BKM48 BNW48 BPO48 BRG48 BSY48 BUQ48 BWI48 BZS3:BZS49 CDC3:CDC49 CGM3:CGM49 CJW3:CJW49 CNG3:CNG49 CQQ3:CQQ49 CUA3:CUA49 CXK3:CXK49 DAU3:DAU49 VW3 BYA20 BO18:BO20 DG20 EY20 GQ20 II20 BME20 KA20 LS20 QU20 NK20 PC20 AVG20 UE20 SM20 VW20 XO20 ZG20 ACQ20 AEI20 AGA20 AHS20 AJK20 ALC20 AMU20 AOM20 AQE20 ARW20 ATO20 AWY20 BAI20 BCA20 BDS20 BFK20 BHC20 BIU20 AAY20 AYQ20 BKM20 BNW20 BPO20 BRG20 BSY20 BUQ20 BWI20 UE3:UE4 BO3:BO5 DG3:DG5 EY3:EY5 GQ3:GQ5 II3:II5 KA3:KA4 LS3:LS4 NK3:NK4 PC3:PC4 QU3:QU4 SM3:SM4 AVG7 BO7 DG7 EY7 GQ7 II7 KA7 LS7 NK7 PC7 QU7 SM7 UE7 VW7 XO7 ZG7 AAY7 ACQ7 AEI7 AGA7 AHS7 AJK7 ALC7 AMU7 AOM7 AQE7 ARW7 ATO7 KA14 BO14 DG14 EY14 GQ14 II14 NK24 BO24 DG24 EY24 GQ24 II24 KA24 LS24 VW26 GQ26 DG26 BO26 EY26 II26 KA26 LS26 NK26 PC26 QU26 SM26 UE26 BO30:BO31 SM28 BO28 DG28 EY28 GQ28 II28 KA28 LS28 NK28 PC28 QU28 AJK35 BO35 DG35 EY35 GQ35 II35 KA35 LS35 NK35 PC35 QU35 SM35 UE35 VW35 XO35 ZG35 AAY35 ACQ35 AEI35 AGA35 AHS35 UE30 AJK30 DG30 EY30 GQ30 II30 KA30 LS30 NK30 PC30 QU30 SM30 VW30 XO30 ZG30 AAY30 ACQ30 AEI30 AGA30 AHS30 DG38 BO38 DG40 BO40 ZG42 EY42 BO42 DG42 GQ42 II42 KA42 LS42 NK42 PC42 QU42 SM42 UE42 VW42 XO42 W3:W49 BO44 DG44 EY44 GQ44 II44 KA44 LS44 NK44 PC44 QU44 SM44 UE44 VW44 XO44 ZG44 AAY44 ACQ44 AEI44 AGA44 AHS44" xr:uid="{89055E9F-2F0F-4DFA-A4B2-997A3F73835D}">
      <formula1>"Si, No, No Aplica"</formula1>
    </dataValidation>
    <dataValidation type="list" allowBlank="1" showInputMessage="1" showErrorMessage="1" sqref="GH48 L45:L47 BZH3:BZH47 BZJ3:BZJ47 BZF21:BZF47 CCR3:CCR47 CCT3:CCT47 DAH3:DAH47 CGB3:CGB47 CGD3:CGD47 CCP3:CCP47 CJL3:CJL47 CJN3:CJN47 CFZ3:CFZ47 CMV3:CMV47 CMX3:CMX47 CJJ3:CJJ47 CQF3:CQF47 CQH3:CQH47 CMT3:CMT47 CTP3:CTP47 CTR3:CTR47 CQD3:CQD47 CWZ3:CWZ47 CXB3:CXB47 CTN3:CTN47 DAJ3:DAJ47 DAL3:DAL47 CWX3:CWX47 DDR3:DDR49 DDT3:DDT49 DDV3:DDV49 DHB3:DHB49 DHD3:DHD49 DHF3:DHF49 DKL3:DKL49 DKN3:DKN49 DKP3:DKP49 DNV3:DNV49 DNX3:DNX49 DNZ3:DNZ49 DRF3:DRF49 DRH3:DRH49 DRJ3:DRJ49 DUP3:DUP49 DUR3:DUR49 DUT3:DUT49 DXZ3:DXZ49 DYB3:DYB49 DYD3:DYD49 EBJ3:EBJ49 EBL3:EBL49 EBN3:EBN49 EET3:EET49 EEV3:EEV49 EEX3:EEX49 EID3:EID49 EIF3:EIF49 EIH3:EIH49 ELN3:ELN49 ELP3:ELP49 ELR3:ELR49 BZF3:BZF19 VL3 GH20 HZ14 J3 L3 TV3:TV4 HX5 CX3:CX5 EP3:EP5 GH3:GH5 HZ3:HZ5 JR3:JR4 LJ3:LJ4 NB3:NB4 OT3:OT4 QL3:QL4 SD3:SD4 TR3 TT3 BB3 BD3 CT3 CV3 EL3 EN3 GD3 GF3 HV3 HX3 JN3 JP3 LF3 LH3 MX3 MZ3 OP3 OR3 QH3 QJ3 RZ3 SB3 VN3 VJ3 BF4:BF5 BB5 BD5 CT5 CV5 EL5 EN5 GD5 GF5 HV5 AUX7 J5:J6 L5:L6 ARN7 AFR7 N4:N6 ATF7 APV7 AOD7 AML7 AKT7 AJB7 AHJ7 N8:N10 JR14 L15:L19 N12 J8:J12 L8:L12 J15:J19 N15:N17 J21:J23 L21:L23 N21:N23 N25 J25 L25 N45:N47 L29 N29 J29 L27 J27 N27 L32:L34 J32:J34 N32:N34 N36:N37 L36:L37 J36:J37 J39 N39 L39 L41 J41 N41 N43 L43 J43 J45:J47 L49 BZH49 BZJ49 BZF49 CCR49 CCT49 DAH49 CGB49 CGD49 CCP49 CJL49 CJN49 CFZ49 CMV49 CMX49 CJJ49 CQF49 CQH49 CMT49 CTP49 CTR49 CQD49 CWZ49 CXB49 CTN49 DAJ49 DAL49 CWX49 N49 J49" xr:uid="{700358A4-161D-467A-9F53-50298BF452A1}">
      <formula1>"Completo, Incompleto, En Proceso de Valoración"</formula1>
    </dataValidation>
    <dataValidation type="list" allowBlank="1" showInputMessage="1" showErrorMessage="1" sqref="BNA48 BZI3:BZI49 BZK3:BZR49 BZT3:CAO47 BYB48:BYU48 CCQ3:CCQ49 CCS3:CCS49 CCU3:CDB49 CDD3:CDY47 CBL48:CCE48 CGA3:CGA49 CGC3:CGC49 CGE3:CGL49 CGN3:CHI47 CEV48:CFO48 CJK3:CJK49 CJM3:CJM49 CJO3:CJV49 CJX3:CKS47 CIF48:CIY48 CMU3:CMU49 CMW3:CMW49 CMY3:CNF49 CNH3:COC47 CLP48:CMI48 CQE3:CQE49 CQG3:CQG49 CQI3:CQP49 CQR3:CRM47 COZ48:CPS48 CTO3:CTO49 CTQ3:CTQ49 CTS3:CTZ49 CUB3:CUW47 CSJ48:CTC48 CWY3:CWY49 CXA3:CXA49 CXC3:CXJ49 CXL3:CYG47 CVT48:CWM48 DAI3:DAI49 DAK3:DAK49 DAM3:DAT49 DAV3:DBQ47 CZD48:CZW48 DDQ3:DDQ49 DDS3:DDS49 DDU3:DDU49 DDW3:DED49 DEF3:DFA49 DHA3:DHA49 DHC3:DHC49 DHE3:DHE49 DHG3:DHN49 DHP3:DIK49 DKK3:DKK49 DKM3:DKM49 DKO3:DKO49 DKQ3:DKX49 DKZ3:DLU49 DNU3:DNU49 DNW3:DNW49 DNY3:DNY49 DOA3:DOH49 DOJ3:DPE49 DRE3:DRE49 DRG3:DRG49 DRI3:DRI49 DRK3:DRR49 DRT3:DSO49 DUO3:DUO49 DUQ3:DUQ49 DUS3:DUS49 DUU3:DVB49 DVD3:DVY49 DXY3:DXY49 DYA3:DYA49 DYC3:DYC49 DYE3:DYL49 DYN3:DZI49 EBI3:EBI49 EBK3:EBK49 EBM3:EBM49 EBO3:EBV49 EBX3:ECS49 EES3:EES49 EEU3:EEU49 EEW3:EEW49 EEY3:EFF49 EFH3:EGC49 EIC3:EIC49 EIE3:EIE49 EIG3:EIG49 EII3:EIP49 EIR3:EJM49 ELM3:ELM49 ELO3:ELO49 ELQ3:ELQ49 ELS3:ELZ49 EMB3:EMW49 BA48 BC48 BE48 GR48:HK48 BH48:BN48 CS48 CU48 CW48 CY48:DF48 CK48 EK48 EM48 EO48 EZ48:FU48 GC48 GE48 ER48:EX48 GI48:GP48 HU48 HW48 HY48 IA48:IH48 DH48:EA48 BLQ48 BP48:CI48 IJ48:JC48 JE48 JO48 JQ48 JS48:JZ48 KB48:KU48 KW48 LI48 LK48:LR48 LT48:MM48 MO48 LE48 APU48 QK48 AAM48 QV48:RO48 QG48 NA48 NC48:NJ48 NL48:OE48 AVH48:AWA48 MW48 OS48 OU48:PB48 PD48:PW48 AUY48:AVF48 OO48 AOF48:AOL48 ATP48:AUI48 AWC48 AUS48 AUU48 TU48 TW48:UD48 UF48:UY48 TQ48 TS48 AOA48 SC48 SE48:SL48 QN48:QT48 RY48 AMG48 VM48 VO48:VV48 VX48:WQ48 VI48 ALY48 XE48 XG48:XN48 XP48:YI48 XA48 AJL48:AKE48 YW48 YY48:ZF48 ZH48:AAA48 YS48 ACE48 ACG48 ACI48:ACP48 ACR48:ADK48 ADM48 ADY48 SN48:TG48 AEJ48:AFC48 AFE48 ADU48 AFS48:AFZ48 AGB48:AGU48 AGW48 AFM48 AFO48 AHT48:AIM48 AIO48 AHE48 AHG48 AHI48 AKG48 AIW48 AIY48 AJA48 AHL48:AHR48 AKO48 AKQ48 AKS48 AKU48:ALB48 ALD48:ALW48 AMI48 AMK48 AJD48:AJJ48 AMV48:ANO48 ANQ48 AOC48 AMN48:AMT48 AON48:APG48 API48 ANY48 APW48:AQD48 AQF48:AQY48 ARA48 APQ48 APS48 ARX48:ASQ48 ASS48 ARI48 ARK48 ARM48 AUK48 ATA48 ATC48 ATE48 ATG48:ATN48 AWQ48:AWX48 AXU48 AWK48 AWM48 AWO48 BBE48 AZU48 AZW48 AZY48 BAJ48:BBC48 BCW48 BBM48 BBO48 BBQ48 BCB48:BCU48 BDO48:BDR48 BDE48 BDG48 BDI48 BDT48:BEM48 BGG48 BEW48 BEY48 BFA48 BFL48:BGE48 BHY48 BGO48 BGQ48 BGS48 BHD48:BHW48 BJQ48 BIG48 BGV48:BGW48 BIK48 BIV48:BJO48 BLS48 BLU48 BMF48:BMY48 JM48 LG48 QI48 MY48 OQ48 AUW48 SA48 VK48 XC48 YU48 ACC48 ADW48 AFQ48 AEB48:AEH48 AAO48 AAQ48:AAX48 AAZ48:ABS48 AAK48 ARP48:ARV48 AWZ48:AXS48 DCN48:DDG48 AZM48 AYC48 AYE48 AYG48 AYR48:AZK48 AYJ48:AYP48 BBS48:BBZ48 BAB48:BAH48 BFC48:BFJ48 BDK48:BDM48 BIM48:BIT48 BII48 BKF48:BKL48 BJY48 BKA48 BKC48 BKN48:BLG48 BLW48:BMD48 BNO48:BNV48 BOS48 BNI48 BNK48 BNM48 BNX48:BOQ48 BPG48:BPN48 BQK48 BPA48 BPC48 BPE48 BPP48:BQI48 BQY48:BRF48 BSC48 BQS48 BQU48 BQW48 BRH48:BSA48 BSQ48:BSX48 BTU48 BSK48 BSM48 BSO48 BSZ48:BTS48 BUI48:BUP48 BVM48 BUC48 BUE48 BUG48 BUR48:BVK48 BWA48:BWH48 BXE48 BVU48 BVW48 BVY48 BWJ48:BXC48 BXS48:BXZ48 BYW48 BXM48 BXO48 BXQ48 BGY48:BHB48 CAO48 BZT48:CAM48 CBC48:CBJ48 CCG48 CAW48 CAY48 CBA48 CCO3:CCO49 CDY48 CDD48:CDW48 CEM48:CET48 CFQ48 CEG48 CEI48 CEK48 CFY3:CFY49 CHI48 CGN48:CHG48 CHW48:CID48 CJA48 CHQ48 CHS48 CHU48 CJI3:CJI49 CKS48 CJX48:CKQ48 CLG48:CLN48 CMK48 CLA48 CLC48 CLE48 CMS3:CMS49 COC48 CNH48:COA48 COQ48:COX48 CPU48 COK48 COM48 COO48 CQC3:CQC49 CRM48 CQR48:CRK48 CSA48:CSH48 CTE48 CRU48 CRW48 CRY48 CTM3:CTM49 CUW48 CUB48:CUU48 CVK48:CVR48 CWO48 CVE48 CVG48 CVI48 CWW3:CWW49 CYG48 CXL48:CYE48 CYU48:CZB48 CZY48 CYO48 CYQ48 CYS48 DAG3:DAG49 DBQ48 DAV48:DBO48 DCE48:DCL48 DDI48 DBY48 DCA48 DCC48 BZE3:BZE49 BZG3:BZG49 BGY20:BHB20 BNA20 BYB20:BYU20 BA18:BA20 BC18:BC20 BE18:BE20 GR20:HK20 CS20 CU20 CW20 CY20:DF20 CK18:CK20 EK20 EM20 EO20 EZ20:FU20 GC20 GE20 ER20:EX20 GI20:GP20 HU20 HW20 HY20 IA20:IH20 DH20:EA20 BLQ20 IJ20:JC20 JE20 JO20 JQ20 JS20:JZ20 KB20:KU20 KW20 LI20 LK20:LR20 LT20:MM20 MO20 LE20 APU20 QK20 AAM20 QV20:RO20 QG20 NA20 NC20:NJ20 NL20:OE20 AVH20:AWA20 MW20 OS20 OU20:PB20 PD20:PW20 AUY20:AVF20 OO20 AOF20:AOL20 ATP20:AUI20 AWC20 AUS20 AUU20 TU20 TW20:UD20 UF20:UY20 TQ20 TS20 AOA20 SC20 SE20:SL20 QN20:QT20 RY20 AMG20 VM20 VO20:VV20 VX20:WQ20 VI20 ALY20 XE20 XG20:XN20 XP20:YI20 XA20 AJL20:AKE20 YW20 YY20:ZF20 ZH20:AAA20 YS20 ACE20 ACG20 ACI20:ACP20 ACR20:ADK20 ADM20 ADY20 SN20:TG20 AEJ20:AFC20 AFE20 ADU20 AFS20:AFZ20 AGB20:AGU20 AGW20 AFM20 AFO20 AHT20:AIM20 AIO20 AHE20 AHG20 AHI20 AKG20 AIW20 AIY20 AJA20 AHL20:AHR20 AKO20 AKQ20 AKS20 AKU20:ALB20 ALD20:ALW20 AMI20 AMK20 AJD20:AJJ20 AMV20:ANO20 ANQ20 AOC20 AMN20:AMT20 AON20:APG20 API20 ANY20 APW20:AQD20 AQF20:AQY20 ARA20 APQ20 APS20 ARX20:ASQ20 ASS20 ARI20 ARK20 ARM20 AUK20 ATA20 ATC20 ATE20 ATG20:ATN20 AWQ20:AWX20 AXU20 AWK20 AWM20 AWO20 BBE20 AZU20 AZW20 AZY20 BAJ20:BBC20 BCW20 BBM20 BBO20 BBQ20 BCB20:BCU20 BDO20:BDR20 BDE20 BDG20 BDI20 BDT20:BEM20 BGG20 BEW20 BEY20 BFA20 BFL20:BGE20 BHY20 BGO20 BGQ20 BGS20 BHD20:BHW20 BJQ20 BIG20 BGV20:BGW20 BIK20 BIV20:BJO20 BLS20 BLU20 BMF20:BMY20 JM20 LG20 QI20 MY20 OQ20 AUW20 SA20 VK20 XC20 YU20 ACC20 ADW20 AFQ20 AEB20:AEH20 AAO20 AAQ20:AAX20 AAZ20:ABS20 AAK20 ARP20:ARV20 AWZ20:AXS20 AZM20 AYC20 AYE20 AYG20 AYR20:AZK20 AYJ20:AYP20 BBS20:BBZ20 BAB20:BAH20 BFC20:BFJ20 BDK20:BDM20 BIM20:BIT20 BII20 BKF20:BKL20 BJY20 BKA20 BKC20 BKN20:BLG20 BLW20:BMD20 BNO20:BNV20 BOS20 BNI20 BNK20 BNM20 BNX20:BOQ20 BPG20:BPN20 BQK20 BPA20 BPC20 BPE20 BPP20:BQI20 BQY20:BRF20 BSC20 BQS20 BQU20 BQW20 BRH20:BSA20 BSQ20:BSX20 BTU20 BSK20 BSM20 BSO20 BSZ20:BTS20 BUI20:BUP20 BVM20 BUC20 BUE20 BUG20 BUR20:BVK20 BWA20:BWH20 BXE20 BVU20 BVW20 BVY20 BWJ20:BXC20 BXS20:BXZ20 BYW20 BXM20 BXO20 BXQ20 CY5:DF5 UF3:VA4 BC3:BC5 BA3:BA5 DH3:EC5 CW3:CW5 CU3:CU5 CS3:CS5 BP3:CK3 CK4 EO3:EO5 EM3:EM5 EK3:EK5 EQ3:EX5 CY3:DF3 GG3:GG5 GE3:GE5 GC3:GC5 GI3:GP5 EZ3:FU5 HY3:HY5 HW3:HW5 HU3:HU5 IA3:IH5 GR3:HM5 JQ3:JQ4 JO3:JO4 JM3:JM4 JS3:JZ4 IJ3:JE5 LI3:LI4 LG3:LG4 LE3:LE4 LK3:LR4 KB3:KW4 NA3:NA4 MY3:MY4 MW3:MW4 NC3:NJ4 LT3:MO4 OS3:OS4 OQ3:OQ4 OO3:OO4 OU3:PB4 NL3:OG4 QK3:QK4 QI3:QI4 QG3:QG4 QM3:QT4 PD3:PY4 SC3:SC4 SA3:SA4 RY3:RY4 SE3:SL4 QV3:RQ4 TU3:TU4 TS3:TS4 TQ3:TQ4 SN3:TI4 BP4:CI4 CZ4:DF4 TW3:UD4 BE3:BE5 VX3:WS3 VM3 VK3 VI3 VO3:VV3 BP5:CK5 BG3:BN5 SF7:SL7 BG7:BN7 BA7 BC7 BE7 BP7:CK7 CY7:DF7 CS7 CU7 CW7 SC7 EQ7:EX7 EK7 EM7 EO7 EC7 HM7 GC7 GE7 GG7 FU7 JE7 AUU7 AUW7 AVH7:AWC7 VM7 IE7:IH7 HU7 HW7 HY7 KB7:KW7 MO7 JM7 JO7 JQ7 YU7 LO7:LR7 LE7 LG7 LI7 ND7:NJ7 ACE7 MW7 MY7 NA7 OV7:PB7 QM7:QT7 OO7 OQ7 OS7 QV7:RQ7 ADY7 QG7 QI7 QK7 SN7:TI7 TW7:UD7 TQ7 TS7 TU7 GJ7:GP7 VO7:VV7 GR7:HK7 UF7:UY7 VA7 VX7:WS7 JT7:JZ7 IB7:IC7 XG7:XI7 XK7:XN7 XP7:YK7 YY7:ZF7 XE7 XA7 XC7 ZH7:AAC7 AAQ7:AAX7 NL7:OE7 AAZ7:ABS7 ABU7 OG7 ACI7:ACP7 AAO7 ACR7:ADK7 ADM7 AAK7 AEA7:AEH7 ACC7 PD7:PW7 PY7 AEJ7:AFE7 AFS7:AFZ7 AFM7 AFO7 AFQ7 AGB7:AGW7 AHK7:AHR7 AHE7 AHG7 AHI7 AHT7:AIO7 AJC7:AJJ7 AIW7 AIY7 AJA7 AJL7:AKG7 AKU7:ALB7 AKO7 AKQ7 AKS7 ALD7:ALY7 AMM7:AMT7 AMG7 AMI7 AMK7 AMV7:ANQ7 AOE7:AOL7 ANY7 AOA7 AOC7 AON7:API7 APW7:AQD7 APQ7 APS7 APU7 AQF7:ARA7 ARO7:ARV7 ARI7 ARK7 ARM7 ARX7:ASS7 ATG7:ATN7 ATA7 ATC7 ATE7 ATP7:AUK7 AUY7:AVF7 AUS7 RY7 SA7 DH7:EA7 EZ7:FS7 VI7 VK7 IJ7:JC7 YW7 YS7 LT7:MM7 LK7:LM7 AAM7 ACG7 ADW7 ADU7 O19 O14:O17 AR19 BG19 BP18:CI20 BH18:BN20 AR14:AR17 X3:AS12 O3:V13 HM14 BG14:BN14 BP14:CK14 BA14 BE14 BC14 JO14 DH14:EC14 CS14 CW14 CU14 EQ14:EX14 CZ14:DF14 EK14 EO14 EM14 GI14:GP14 FU14 GC14 GG14 GE14 IA14:IH14 IJ14:JE14 HU14 HY14 HW14 JS14:JZ14 KB14:KW14 JM14 JQ14 EZ14:FS14 GR14:HK14 O21:O23 AR21:AR23 GG24 BC24 BE24 BA24 BH24:BN24 CK24 BP24:CI24 CU24 CW24 CS24 CZ24:DF24 EC24 DH24:EA24 EM24 EO24 EK24 ER24:EX24 FU24 EZ24:FS24 ND24:NJ24 OG24 NL24:OE24 GJ24:GP24 HM24 GR24:HK24 HW24 HY24 HU24 IB24:IH24 GC24 IJ24:JC24 JO24 JQ24 JM24 JT24:JZ24 KW24 KB24:KU24 LG24 LI24 LE24 LL24:LR24 MO24 LT24:MM24 MY24 NA24 MW24 GE24 AR25 VK26 O25 GR26:HK26 HM26 GJ26:GP26 EK26 EO26 EM26 DH26:EA26 EC26 CZ26:DF26 R14:R25 BH26:BI26 BK26:BN26 BP26:CI26 CK26 BA26 BE26 BC26 EZ26:FS26 FU26 ER26:EX26 CS26 CW26 CU26 IJ26:JC26 JE26 IB26:IH26 GC26 GG26 GE26 KB26:KU26 KW26 JO26 HU26 HY26 HW26 LT26:MM26 MO26 LL26:LR26 LE26 LI26 LG26 NL26:OE26 OG26 ND26:NJ26 MW26 NA26 MY26 PD26:PW26 PY26 OV26:PB26 OO26 OS26 OQ26 QV26:RO26 RQ26 QN26:QT26 QG26 QK26 QI26 SN26:TG26 TI26 SF26:SL26 RY26 SC26 SA26 UF26:UY26 VA26 TX26:UD26 TQ26 TU26 TS26 VX26:WQ26 WS26 VP26:VV26 VI26 VM26 JU26:JZ26 JM26 JQ26 O45:O49 BH31:BN31 BE30:BE31 BC30:BC31 BP30:CI31 BA30:BA31 AR27 O27 R27 SI28:SL28 BP28:CI28 CK28 BA28 BE28 BC28 BH28:BI28 BK28:BN28 DH28:EA28 EC28 CS28 CW28 CU28 CZ28:DA28 DC28:DF28 EZ28:FS28 FU28 EK28 EO28 EM28 ER28:ES28 EU28:EX28 GR28:HK28 HM28 GC28 GG28 GE28 GJ28:GK28 GM28:GP28 IJ28:JC28 JE28 HU28 HY28 HW28 IB28:IC28 IE28:IH28 KB28:KU28 KW28 JM28 JQ28 JO28 JT28:JU28 JW28:JZ28 LT28:MM28 MO28 LE28 LI28 LG28 LL28:LM28 LO28:LR28 NL28:OE28 OG28 MW28 NA28 MY28 ND28:NE28 NG28:NJ28 PD28:PW28 PY28 OO28 OS28 OQ28 OV28:OW28 OY28:PB28 QV28:RO28 RQ28 QG28 QK28 QI28 QN28:QO28 QQ28:QT28 SN28:TG28 TI28 RY28 SC28 SA28 SF28:SG28 AR32:AR34 MW35 BG35:BN35 AIW35 AKG35 AJL35:AKE35 CK35 BP35:CI35 CY35:DF35 CU35 CW35 CS35 EC35 DH35:EA35 EQ35:EX35 BE35 BC35 BA35 FU35 EZ35:FS35 GI35:GP35 EK35 GG35 GC35 HM35 GR35:HK35 HW35 EM35 EO35 GE35 JE35 IJ35:JC35 JS35:JZ35 HY35 HU35 IB35:IH35 KW35 KB35:KU35 LK35:LR35 JO35 JQ35 JM35 MO35 LT35:MM35 NC35:NJ35 LG35 LI35 LE35 OG35 NL35:OE35 OU35:PB35 OQ35 OS35 OO35 PY35 PD35:PW35 QM35:QT35 QI35 QK35 QG35 RQ35 QV35:RO35 SE35:SL35 SA35 SC35 RY35 TI35 SN35:TG35 TW35:UD35 TS35 TU35 TQ35 VA35 UF35:UY35 VO35:VV35 VK35 VM35 VI35 WS35 VX35:WQ35 XG35:XN35 XC35 XE35 XA35 YK35 XP35:YI35 YY35:ZF35 YU35 YW35 YS35 AAC35 ZH35:AAA35 AAQ35:AAX35 AAM35 AAO35 AAK35 ABU35 AAZ35:ABS35 ACI35:ACP35 ACE35 ACG35 ACC35 ADM35 ACR35:ADK35 AEA35:AEH35 ADW35 ADY35 ADU35 AFE35 AEJ35:AFC35 AFS35:AFZ35 AFO35 AFQ35 AFM35 AGW35 AGB35:AGU35 AHK35:AHR35 AHG35 AHI35 AHE35 AIO35 AHT35:AIM35 AJC35:AJJ35 AIY35 AJA35 MY35 NA35 R29 O29 AR29 TQ30 AJG30:AJJ30 AJD30:AJE30 AIY30 AIW30 CK30 BH30:BI30 BK30:BN30 CW30 CU30 DH30:EA30 CS30 UA30:UD30 CZ30:DA30 DC30:DF30 VA30 TX30:TY30 EZ30:FS30 EK30 FU30 ER30:ES30 EU30:EX30 GG30 GE30 GR30:HK30 GC30 HM30 GJ30:GK30 GM30:GP30 HY30 HW30 IJ30:JC30 HU30 JE30 IB30:IC30 IE30:IH30 JQ30 JO30 KB30:KU30 JM30 KW30 JT30:JU30 JW30:JZ30 LI30 LG30 LT30:MM30 LE30 MO30 LL30:LM30 LO30:LR30 NA30 MY30 NL30:OE30 MW30 OG30 ND30:NE30 NG30:NJ30 OS30 OQ30 PD30:PW30 OO30 PY30 OV30:OW30 OY30:PB30 QK30 QI30 QV30:RO30 QG30 RQ30 QN30:QO30 QQ30:QT30 SC30 SA30 SN30:TG30 RY30 TI30 SF30:SG30 SI30:SL30 VX30:WQ30 WS30 VM30 VP30:VQ30 VS30:VV30 VK30 VI30 XP30:YI30 YK30 XE30 XH30:XI30 XK30:XN30 XC30 XA30 ZH30:AAA30 AAC30 YW30 YZ30:ZA30 ZC30:ZF30 YU30 YS30 AAZ30:ABS30 ABU30 AAO30 AAR30:AAS30 AAU30:AAX30 AAM30 AAK30 ACR30:ADK30 ADM30 ACG30 ACJ30:ACK30 ACM30:ACP30 ACE30 ACC30 AEJ30:AFC30 AFE30 ADY30 AEB30:AEC30 AEE30:AEH30 ADW30 ADU30 AGB30:AGU30 AGW30 AFQ30 AFT30:AFU30 AFW30:AFZ30 AFO30 AFM30 AHT30:AIM30 AIO30 AHI30 AHL30:AHM30 AHO30:AHR30 AHG30 AHE30 AJL30:AKE30 AKG30 AJA30 TU30 TS30 UF30:UY30 R31:R37 O31:O37 AR36:AR37 DH38:EA38 BA38 BC38 BK38:BN38 BH38:BI38 BE38 CK38 BP38:CI38 CS38 CU38 DC38:DF38 CZ38:DA38 CW38 EC38 AR39 R39 O39 CS40 BP40:CI40 CK40 BE40 BH40:BI40 BK40:BN40 BC40 BA40 DH40:EA40 EC40 CW40 CZ40:DA40 DC40:DF40 CU40 O41 R45:R49 AR41 R41 EV42:EX42 EK42 EM42 ZH42:AAA42 ER42:ES42 EO42 FU42 EZ42:FS42 BA42 BC42 BK42:BN42 BH42:BI42 BE42 CK42 BP42:CI42 CS42 CU42 DC42:DF42 CZ42:DA42 CW42 EC42 DH42:EA42 GC42 GE42 GM42:GP42 GJ42:GK42 GG42 HM42 GR42:HK42 HU42 HW42 IE42:IH42 IB42:IC42 HY42 JE42 IJ42:JC42 JM42 JO42 JW42:JZ42 JT42:JU42 JQ42 KW42 KB42:KU42 LE42 LG42 LO42:LR42 LL42:LM42 LI42 MO42 LT42:MM42 MW42 MY42 NG42:NJ42 ND42:NE42 NA42 OG42 NL42:OE42 OO42 OQ42 OY42:PB42 OV42:OW42 OS42 PY42 PD42:PW42 QG42 QI42 QQ42:QT42 QN42:QO42 QK42 RQ42 QV42:RO42 RY42 SA42 SI42:SL42 SF42:SG42 SC42 TI42 SN42:TG42 TQ42 TS42 UA42:UD42 TX42:TY42 TU42 VA42 UF42:UY42 VI42 VK42 VS42:VV42 VP42:VQ42 VM42 WS42 VX42:WQ42 XA42 XC42 XK42:XN42 XH42:XI42 XE42 YK42 XP42:YI42 YS42 YU42 ZC42:ZF42 YZ42:ZA42 YW42 AAC42 R43 AHE44 AS13:AS49 M3:M49 P14:Q49 S14:V49 K3:K49 I3:I49 O43 AR43 AR45:AR47 Z45:Z49 CK44 BE44 BH44:BI44 BK44:BN44 BC44 BA44 CW44 EC44 Z13:Z43 CZ44:DA44 DC44:DF44 BP44:BQ44 BS44:CI44 DK44:EA44 FU44 EO44 ER44:ES44 EU44:EX44 EM44 EK44 GE44 HM44 FC44:FS44 GJ44:GK44 GM44:GP44 EZ44:FA44 GG44 GU44:HK44 JE44 HY44 IB44:IC44 IE44:IH44 HW44 HU44 IM44:JC44 KW44 JQ44 JT44:JU44 JW44:JZ44 JO44 JM44 LT44:MM44 MO44 LI44 LL44:LM44 LO44:LR44 LG44 LE44 NL44:OE44 OG44 NA44 ND44:NE44 NG44:NJ44 MY44 MW44 PD44:PW44 PY44 OS44 OV44:OW44 OY44:PB44 OQ44 OO44 QV44:RO44 RQ44 QK44 QN44:QO44 QQ44:QT44 QI44 QG44 SN44:TG44 TI44 SC44 SF44:SG44 SI44:SL44 SA44 RY44 UF44:UY44 VA44 TU44 TX44:TY44 UA44:UD44 TS44 TQ44 VX44:WQ44 WS44 VM44 VP44:VQ44 VS44:VV44 VK44 VI44 XP44:YI44 YK44 XE44 XH44:XI44 XK44:XN44 XC44 XA44 ZH44:AAA44 AAC44 YW44 YZ44:ZA44 ZC44:ZF44 YU44 YS44 AAZ44:ABS44 ABU44 AAO44 AAR44:AAS44 AAU44:AAX44 AAM44 AAK44 ACR44:ADK44 ADM44 ACG44 ACJ44:ACK44 ACM44:ACP44 ACE44 ACC44 AEJ44:AFC44 AFE44 ADY44 AEB44:AEC44 AEE44:AEH44 ADW44 ADU44 AGB44:AGU44 AGW44 AFQ44 AFT44:AFU44 AFW44:AFZ44 AFO44 AFM44 AHT44:AIM44 AIO44 AHI44 AHL44:AHM44 AHO44:AHR44 AHG44 X13:Y49 AA13:AQ49 CS44 CU44 DH44:DI44 GC44 GR44:GS44 IJ44:IK44 KB44:KC44 KE44:KU44 BZT49:CAO49 CDD49:CDY49 CGN49:CHI49 CJX49:CKS49 CNH49:COC49 CQR49:CRM49 CUB49:CUW49 CXL49:CYG49 DAV49:DBQ49 AR49" xr:uid="{E048CF47-CF56-47B4-8462-EE8E65AF4236}">
      <formula1>"SI, NO"</formula1>
    </dataValidation>
  </dataValidations>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300F-0FFC-425C-BE83-30E124F2BF74}">
  <sheetPr codeName="Sheet4"/>
  <dimension ref="A1:N584"/>
  <sheetViews>
    <sheetView showGridLines="0" workbookViewId="0">
      <selection activeCell="A44" sqref="A44"/>
    </sheetView>
  </sheetViews>
  <sheetFormatPr defaultColWidth="8.88671875" defaultRowHeight="14.4" x14ac:dyDescent="0.3"/>
  <cols>
    <col min="1" max="1" width="14.88671875" style="416" bestFit="1" customWidth="1"/>
    <col min="2" max="2" width="53.5546875" style="417" customWidth="1"/>
    <col min="3" max="3" width="13.88671875" style="1" customWidth="1"/>
    <col min="4" max="4" width="14.33203125" style="2" customWidth="1"/>
    <col min="5" max="5" width="24.33203125" style="408" customWidth="1"/>
    <col min="6" max="6" width="7.5546875" style="408" customWidth="1"/>
    <col min="7" max="7" width="27.88671875" bestFit="1" customWidth="1"/>
    <col min="8" max="8" width="16.5546875" customWidth="1"/>
    <col min="11" max="11" width="10.6640625" bestFit="1" customWidth="1"/>
    <col min="12" max="12" width="24.6640625" style="8" customWidth="1"/>
    <col min="13" max="13" width="4.109375" customWidth="1"/>
    <col min="14" max="14" width="22.33203125" bestFit="1" customWidth="1"/>
    <col min="15" max="15" width="47.44140625" customWidth="1"/>
    <col min="16" max="16" width="14" customWidth="1"/>
    <col min="17" max="17" width="9" bestFit="1" customWidth="1"/>
    <col min="18" max="18" width="10.109375" bestFit="1" customWidth="1"/>
  </cols>
  <sheetData>
    <row r="1" spans="1:14" x14ac:dyDescent="0.3">
      <c r="A1" s="416" t="s">
        <v>84</v>
      </c>
      <c r="B1" s="407" t="s">
        <v>5586</v>
      </c>
      <c r="C1" s="407" t="s">
        <v>5587</v>
      </c>
      <c r="D1" s="407" t="s">
        <v>5588</v>
      </c>
      <c r="E1" s="407" t="s">
        <v>84</v>
      </c>
      <c r="F1" s="407"/>
      <c r="G1" s="405" t="s">
        <v>5589</v>
      </c>
      <c r="H1" s="406">
        <v>45729</v>
      </c>
      <c r="K1" s="383" t="s">
        <v>5588</v>
      </c>
      <c r="L1" s="384" t="s">
        <v>84</v>
      </c>
    </row>
    <row r="2" spans="1:14" x14ac:dyDescent="0.3">
      <c r="A2" s="416" t="s">
        <v>1366</v>
      </c>
      <c r="B2" s="417" t="s">
        <v>1367</v>
      </c>
      <c r="C2" s="417">
        <v>23058853</v>
      </c>
      <c r="D2" s="417" t="s">
        <v>5590</v>
      </c>
      <c r="E2" s="408" t="str">
        <f t="shared" ref="E2:E62" si="0">VLOOKUP(D2,ADUANAS1,2,FALSE)</f>
        <v>Ciudad Acuña, Coah.</v>
      </c>
      <c r="K2" s="378" t="s">
        <v>5590</v>
      </c>
      <c r="L2" s="379" t="s">
        <v>118</v>
      </c>
    </row>
    <row r="3" spans="1:14" x14ac:dyDescent="0.3">
      <c r="A3" s="416" t="s">
        <v>1369</v>
      </c>
      <c r="B3" s="417" t="s">
        <v>5591</v>
      </c>
      <c r="C3" s="417">
        <v>23108943</v>
      </c>
      <c r="D3" s="417" t="s">
        <v>5590</v>
      </c>
      <c r="E3" s="408" t="str">
        <f t="shared" si="0"/>
        <v>Ciudad Acuña, Coah.</v>
      </c>
      <c r="K3" s="378" t="s">
        <v>5592</v>
      </c>
      <c r="L3" s="380" t="s">
        <v>95</v>
      </c>
    </row>
    <row r="4" spans="1:14" x14ac:dyDescent="0.3">
      <c r="A4" s="416" t="s">
        <v>1376</v>
      </c>
      <c r="B4" s="417" t="s">
        <v>5593</v>
      </c>
      <c r="C4" s="417">
        <v>23069029</v>
      </c>
      <c r="D4" s="417" t="s">
        <v>5590</v>
      </c>
      <c r="E4" s="408" t="str">
        <f t="shared" si="0"/>
        <v>Ciudad Acuña, Coah.</v>
      </c>
      <c r="K4" s="378" t="s">
        <v>5594</v>
      </c>
      <c r="L4" s="379" t="s">
        <v>101</v>
      </c>
    </row>
    <row r="5" spans="1:14" x14ac:dyDescent="0.3">
      <c r="A5" s="418" t="s">
        <v>1459</v>
      </c>
      <c r="B5" s="419" t="s">
        <v>5595</v>
      </c>
      <c r="C5" s="419">
        <v>23140454</v>
      </c>
      <c r="D5" s="419" t="s">
        <v>5592</v>
      </c>
      <c r="E5" s="420" t="str">
        <f t="shared" si="0"/>
        <v>Agua Prieta</v>
      </c>
      <c r="K5" s="378" t="s">
        <v>5596</v>
      </c>
      <c r="L5" s="379" t="s">
        <v>106</v>
      </c>
      <c r="N5" t="s">
        <v>106</v>
      </c>
    </row>
    <row r="6" spans="1:14" x14ac:dyDescent="0.3">
      <c r="A6" s="418" t="s">
        <v>1463</v>
      </c>
      <c r="B6" s="419" t="s">
        <v>1464</v>
      </c>
      <c r="C6" s="419">
        <v>23143948</v>
      </c>
      <c r="D6" s="419" t="s">
        <v>5592</v>
      </c>
      <c r="E6" s="420" t="str">
        <f t="shared" si="0"/>
        <v>Agua Prieta</v>
      </c>
      <c r="K6" s="378" t="s">
        <v>5597</v>
      </c>
      <c r="L6" s="379" t="s">
        <v>110</v>
      </c>
      <c r="N6" t="s">
        <v>150</v>
      </c>
    </row>
    <row r="7" spans="1:14" x14ac:dyDescent="0.3">
      <c r="A7" s="418" t="s">
        <v>1465</v>
      </c>
      <c r="B7" s="419" t="s">
        <v>5598</v>
      </c>
      <c r="C7" s="419">
        <v>23139651</v>
      </c>
      <c r="D7" s="419" t="s">
        <v>5592</v>
      </c>
      <c r="E7" s="420" t="str">
        <f t="shared" si="0"/>
        <v>Agua Prieta</v>
      </c>
      <c r="K7" s="378" t="s">
        <v>5599</v>
      </c>
      <c r="L7" s="379" t="s">
        <v>114</v>
      </c>
      <c r="N7" t="s">
        <v>163</v>
      </c>
    </row>
    <row r="8" spans="1:14" x14ac:dyDescent="0.3">
      <c r="A8" s="416" t="s">
        <v>1545</v>
      </c>
      <c r="B8" s="417" t="s">
        <v>1546</v>
      </c>
      <c r="C8" s="417">
        <v>23148117</v>
      </c>
      <c r="D8" s="417" t="s">
        <v>5594</v>
      </c>
      <c r="E8" s="408" t="str">
        <f t="shared" si="0"/>
        <v>AICM</v>
      </c>
      <c r="K8" s="378" t="s">
        <v>5600</v>
      </c>
      <c r="L8" s="379" t="s">
        <v>122</v>
      </c>
      <c r="N8" t="s">
        <v>225</v>
      </c>
    </row>
    <row r="9" spans="1:14" x14ac:dyDescent="0.3">
      <c r="A9" s="416" t="s">
        <v>1547</v>
      </c>
      <c r="B9" s="417" t="s">
        <v>1548</v>
      </c>
      <c r="C9" s="417">
        <v>23145825</v>
      </c>
      <c r="D9" s="417" t="s">
        <v>5594</v>
      </c>
      <c r="E9" s="408" t="str">
        <f t="shared" si="0"/>
        <v>AICM</v>
      </c>
      <c r="K9" s="378" t="s">
        <v>5601</v>
      </c>
      <c r="L9" s="379" t="s">
        <v>126</v>
      </c>
      <c r="N9" t="s">
        <v>241</v>
      </c>
    </row>
    <row r="10" spans="1:14" x14ac:dyDescent="0.3">
      <c r="A10" s="416" t="s">
        <v>1549</v>
      </c>
      <c r="B10" s="417" t="s">
        <v>1550</v>
      </c>
      <c r="C10" s="417">
        <v>23194168</v>
      </c>
      <c r="D10" s="417" t="s">
        <v>5594</v>
      </c>
      <c r="E10" s="408" t="str">
        <f t="shared" si="0"/>
        <v>AICM</v>
      </c>
      <c r="K10" s="378" t="s">
        <v>5602</v>
      </c>
      <c r="L10" s="379" t="s">
        <v>130</v>
      </c>
      <c r="N10" t="s">
        <v>253</v>
      </c>
    </row>
    <row r="11" spans="1:14" x14ac:dyDescent="0.3">
      <c r="A11" s="416" t="s">
        <v>1551</v>
      </c>
      <c r="B11" s="417" t="s">
        <v>1552</v>
      </c>
      <c r="C11" s="417">
        <v>23138486</v>
      </c>
      <c r="D11" s="417" t="s">
        <v>5594</v>
      </c>
      <c r="E11" s="408" t="str">
        <f t="shared" si="0"/>
        <v>AICM</v>
      </c>
      <c r="K11" s="378" t="s">
        <v>5603</v>
      </c>
      <c r="L11" s="379" t="s">
        <v>117</v>
      </c>
    </row>
    <row r="12" spans="1:14" x14ac:dyDescent="0.3">
      <c r="A12" s="416" t="s">
        <v>1553</v>
      </c>
      <c r="B12" s="417" t="s">
        <v>1554</v>
      </c>
      <c r="C12" s="417">
        <v>23163290</v>
      </c>
      <c r="D12" s="417" t="s">
        <v>5594</v>
      </c>
      <c r="E12" s="408" t="str">
        <f t="shared" si="0"/>
        <v>AICM</v>
      </c>
      <c r="K12" s="378" t="s">
        <v>5604</v>
      </c>
      <c r="L12" s="379" t="s">
        <v>142</v>
      </c>
    </row>
    <row r="13" spans="1:14" x14ac:dyDescent="0.3">
      <c r="A13" s="416" t="s">
        <v>1555</v>
      </c>
      <c r="B13" s="417" t="s">
        <v>1556</v>
      </c>
      <c r="C13" s="417">
        <v>23148958</v>
      </c>
      <c r="D13" s="417" t="s">
        <v>5594</v>
      </c>
      <c r="E13" s="408" t="str">
        <f t="shared" si="0"/>
        <v>AICM</v>
      </c>
      <c r="K13" s="378" t="s">
        <v>5605</v>
      </c>
      <c r="L13" s="379" t="s">
        <v>146</v>
      </c>
    </row>
    <row r="14" spans="1:14" x14ac:dyDescent="0.3">
      <c r="A14" s="416" t="s">
        <v>1557</v>
      </c>
      <c r="B14" s="417" t="s">
        <v>1558</v>
      </c>
      <c r="C14" s="417">
        <v>23149844</v>
      </c>
      <c r="D14" s="417" t="s">
        <v>5594</v>
      </c>
      <c r="E14" s="408" t="str">
        <f t="shared" si="0"/>
        <v>AICM</v>
      </c>
      <c r="K14" s="378" t="s">
        <v>5606</v>
      </c>
      <c r="L14" s="379" t="s">
        <v>154</v>
      </c>
    </row>
    <row r="15" spans="1:14" x14ac:dyDescent="0.3">
      <c r="A15" s="416" t="s">
        <v>1559</v>
      </c>
      <c r="B15" s="417" t="s">
        <v>1560</v>
      </c>
      <c r="C15" s="417">
        <v>23146092</v>
      </c>
      <c r="D15" s="417" t="s">
        <v>5594</v>
      </c>
      <c r="E15" s="408" t="str">
        <f t="shared" si="0"/>
        <v>AICM</v>
      </c>
      <c r="K15" s="378" t="s">
        <v>5607</v>
      </c>
      <c r="L15" s="379" t="s">
        <v>158</v>
      </c>
    </row>
    <row r="16" spans="1:14" x14ac:dyDescent="0.3">
      <c r="A16" s="416" t="s">
        <v>1561</v>
      </c>
      <c r="B16" s="417" t="s">
        <v>1562</v>
      </c>
      <c r="C16" s="417">
        <v>23162961</v>
      </c>
      <c r="D16" s="417" t="s">
        <v>5594</v>
      </c>
      <c r="E16" s="408" t="str">
        <f t="shared" si="0"/>
        <v>AICM</v>
      </c>
      <c r="K16" s="378" t="s">
        <v>5608</v>
      </c>
      <c r="L16" s="379" t="s">
        <v>159</v>
      </c>
    </row>
    <row r="17" spans="1:12" x14ac:dyDescent="0.3">
      <c r="A17" s="416" t="s">
        <v>1563</v>
      </c>
      <c r="B17" s="417" t="s">
        <v>1564</v>
      </c>
      <c r="C17" s="417">
        <v>23149451</v>
      </c>
      <c r="D17" s="417" t="s">
        <v>5594</v>
      </c>
      <c r="E17" s="408" t="str">
        <f t="shared" si="0"/>
        <v>AICM</v>
      </c>
      <c r="K17" s="378" t="s">
        <v>5609</v>
      </c>
      <c r="L17" s="379" t="s">
        <v>134</v>
      </c>
    </row>
    <row r="18" spans="1:12" x14ac:dyDescent="0.3">
      <c r="A18" s="416" t="s">
        <v>1565</v>
      </c>
      <c r="B18" s="417" t="s">
        <v>1566</v>
      </c>
      <c r="C18" s="417">
        <v>23147564</v>
      </c>
      <c r="D18" s="417" t="s">
        <v>5594</v>
      </c>
      <c r="E18" s="408" t="str">
        <f t="shared" si="0"/>
        <v>AICM</v>
      </c>
      <c r="K18" s="378" t="s">
        <v>5610</v>
      </c>
      <c r="L18" s="379" t="s">
        <v>167</v>
      </c>
    </row>
    <row r="19" spans="1:12" x14ac:dyDescent="0.3">
      <c r="A19" s="416" t="s">
        <v>1567</v>
      </c>
      <c r="B19" s="417" t="s">
        <v>1568</v>
      </c>
      <c r="C19" s="417">
        <v>23150313</v>
      </c>
      <c r="D19" s="417" t="s">
        <v>5594</v>
      </c>
      <c r="E19" s="408" t="str">
        <f t="shared" si="0"/>
        <v>AICM</v>
      </c>
      <c r="K19" s="378" t="s">
        <v>5611</v>
      </c>
      <c r="L19" s="379" t="s">
        <v>138</v>
      </c>
    </row>
    <row r="20" spans="1:12" x14ac:dyDescent="0.3">
      <c r="A20" s="416" t="s">
        <v>1569</v>
      </c>
      <c r="B20" s="417" t="s">
        <v>5612</v>
      </c>
      <c r="C20" s="417">
        <v>23166072</v>
      </c>
      <c r="D20" s="417" t="s">
        <v>5594</v>
      </c>
      <c r="E20" s="408" t="str">
        <f t="shared" si="0"/>
        <v>AICM</v>
      </c>
      <c r="K20" s="378" t="s">
        <v>5613</v>
      </c>
      <c r="L20" s="379" t="s">
        <v>171</v>
      </c>
    </row>
    <row r="21" spans="1:12" x14ac:dyDescent="0.3">
      <c r="A21" s="416" t="s">
        <v>1571</v>
      </c>
      <c r="B21" s="417" t="s">
        <v>1572</v>
      </c>
      <c r="C21" s="417">
        <v>23139147</v>
      </c>
      <c r="D21" s="417" t="s">
        <v>5594</v>
      </c>
      <c r="E21" s="408" t="str">
        <f t="shared" si="0"/>
        <v>AICM</v>
      </c>
      <c r="K21" s="378" t="s">
        <v>5614</v>
      </c>
      <c r="L21" s="379" t="s">
        <v>175</v>
      </c>
    </row>
    <row r="22" spans="1:12" x14ac:dyDescent="0.3">
      <c r="A22" s="416" t="s">
        <v>1573</v>
      </c>
      <c r="B22" s="417" t="s">
        <v>1574</v>
      </c>
      <c r="C22" s="417">
        <v>23149328</v>
      </c>
      <c r="D22" s="417" t="s">
        <v>5594</v>
      </c>
      <c r="E22" s="408" t="str">
        <f t="shared" si="0"/>
        <v>AICM</v>
      </c>
      <c r="K22" s="378" t="s">
        <v>5615</v>
      </c>
      <c r="L22" s="379" t="s">
        <v>179</v>
      </c>
    </row>
    <row r="23" spans="1:12" x14ac:dyDescent="0.3">
      <c r="A23" s="418" t="s">
        <v>1640</v>
      </c>
      <c r="B23" s="419" t="s">
        <v>1641</v>
      </c>
      <c r="C23" s="419">
        <v>23202845</v>
      </c>
      <c r="D23" s="419" t="s">
        <v>5596</v>
      </c>
      <c r="E23" s="421" t="str">
        <f t="shared" si="0"/>
        <v>AIFA</v>
      </c>
      <c r="K23" s="378" t="s">
        <v>5616</v>
      </c>
      <c r="L23" s="379" t="s">
        <v>183</v>
      </c>
    </row>
    <row r="24" spans="1:12" x14ac:dyDescent="0.3">
      <c r="A24" s="418" t="s">
        <v>1642</v>
      </c>
      <c r="B24" s="419" t="s">
        <v>1643</v>
      </c>
      <c r="C24" s="419">
        <v>23007341</v>
      </c>
      <c r="D24" s="419" t="s">
        <v>5596</v>
      </c>
      <c r="E24" s="421" t="str">
        <f t="shared" si="0"/>
        <v>AIFA</v>
      </c>
      <c r="K24" s="378" t="s">
        <v>5617</v>
      </c>
      <c r="L24" s="379" t="s">
        <v>187</v>
      </c>
    </row>
    <row r="25" spans="1:12" x14ac:dyDescent="0.3">
      <c r="A25" s="418" t="s">
        <v>1644</v>
      </c>
      <c r="B25" s="419" t="s">
        <v>1645</v>
      </c>
      <c r="C25" s="419">
        <v>23204420</v>
      </c>
      <c r="D25" s="419" t="s">
        <v>5596</v>
      </c>
      <c r="E25" s="421" t="str">
        <f t="shared" si="0"/>
        <v>AIFA</v>
      </c>
      <c r="F25" s="409"/>
      <c r="K25" s="378" t="s">
        <v>5618</v>
      </c>
      <c r="L25" s="379" t="s">
        <v>192</v>
      </c>
    </row>
    <row r="26" spans="1:12" x14ac:dyDescent="0.3">
      <c r="A26" s="418" t="s">
        <v>1646</v>
      </c>
      <c r="B26" s="419" t="s">
        <v>1647</v>
      </c>
      <c r="C26" s="419">
        <v>23187991</v>
      </c>
      <c r="D26" s="419" t="s">
        <v>5596</v>
      </c>
      <c r="E26" s="421" t="str">
        <f t="shared" si="0"/>
        <v>AIFA</v>
      </c>
      <c r="F26" s="409"/>
      <c r="K26" s="378" t="s">
        <v>5619</v>
      </c>
      <c r="L26" s="379" t="s">
        <v>188</v>
      </c>
    </row>
    <row r="27" spans="1:12" x14ac:dyDescent="0.3">
      <c r="A27" s="418" t="s">
        <v>1648</v>
      </c>
      <c r="B27" s="419" t="s">
        <v>1649</v>
      </c>
      <c r="C27" s="419">
        <v>23153057</v>
      </c>
      <c r="D27" s="419" t="s">
        <v>5596</v>
      </c>
      <c r="E27" s="421" t="str">
        <f t="shared" si="0"/>
        <v>AIFA</v>
      </c>
      <c r="F27" s="409"/>
      <c r="K27" s="378" t="s">
        <v>5620</v>
      </c>
      <c r="L27" s="379" t="s">
        <v>196</v>
      </c>
    </row>
    <row r="28" spans="1:12" x14ac:dyDescent="0.3">
      <c r="A28" s="418" t="s">
        <v>1650</v>
      </c>
      <c r="B28" s="419" t="s">
        <v>1651</v>
      </c>
      <c r="C28" s="419">
        <v>23161339</v>
      </c>
      <c r="D28" s="419" t="s">
        <v>5596</v>
      </c>
      <c r="E28" s="421" t="str">
        <f t="shared" si="0"/>
        <v>AIFA</v>
      </c>
      <c r="F28" s="409"/>
      <c r="K28" s="378" t="s">
        <v>5621</v>
      </c>
      <c r="L28" s="379" t="s">
        <v>200</v>
      </c>
    </row>
    <row r="29" spans="1:12" x14ac:dyDescent="0.3">
      <c r="A29" s="418" t="s">
        <v>1652</v>
      </c>
      <c r="B29" s="419" t="s">
        <v>1653</v>
      </c>
      <c r="C29" s="419">
        <v>23138030</v>
      </c>
      <c r="D29" s="419" t="s">
        <v>5596</v>
      </c>
      <c r="E29" s="421" t="str">
        <f t="shared" si="0"/>
        <v>AIFA</v>
      </c>
      <c r="F29" s="409"/>
      <c r="K29" s="378" t="s">
        <v>5622</v>
      </c>
      <c r="L29" s="379" t="s">
        <v>208</v>
      </c>
    </row>
    <row r="30" spans="1:12" x14ac:dyDescent="0.3">
      <c r="A30" s="418" t="s">
        <v>1654</v>
      </c>
      <c r="B30" s="419" t="s">
        <v>1655</v>
      </c>
      <c r="C30" s="419">
        <v>23027318</v>
      </c>
      <c r="D30" s="419" t="s">
        <v>5596</v>
      </c>
      <c r="E30" s="421" t="str">
        <f t="shared" si="0"/>
        <v>AIFA</v>
      </c>
      <c r="F30" s="409"/>
      <c r="K30" s="378" t="s">
        <v>5623</v>
      </c>
      <c r="L30" s="379" t="s">
        <v>209</v>
      </c>
    </row>
    <row r="31" spans="1:12" x14ac:dyDescent="0.3">
      <c r="A31" s="418" t="s">
        <v>1656</v>
      </c>
      <c r="B31" s="419" t="s">
        <v>1657</v>
      </c>
      <c r="C31" s="419">
        <v>23158040</v>
      </c>
      <c r="D31" s="419" t="s">
        <v>5596</v>
      </c>
      <c r="E31" s="421" t="str">
        <f t="shared" si="0"/>
        <v>AIFA</v>
      </c>
      <c r="F31" s="409"/>
      <c r="K31" s="378" t="s">
        <v>5624</v>
      </c>
      <c r="L31" s="379" t="s">
        <v>211</v>
      </c>
    </row>
    <row r="32" spans="1:12" x14ac:dyDescent="0.3">
      <c r="A32" s="418" t="s">
        <v>1658</v>
      </c>
      <c r="B32" s="419" t="s">
        <v>1659</v>
      </c>
      <c r="C32" s="419">
        <v>23138595</v>
      </c>
      <c r="D32" s="419" t="s">
        <v>5596</v>
      </c>
      <c r="E32" s="421" t="str">
        <f t="shared" si="0"/>
        <v>AIFA</v>
      </c>
      <c r="F32" s="409"/>
      <c r="K32" s="378" t="s">
        <v>5625</v>
      </c>
      <c r="L32" s="379" t="s">
        <v>204</v>
      </c>
    </row>
    <row r="33" spans="1:12" x14ac:dyDescent="0.3">
      <c r="A33" s="418" t="s">
        <v>1660</v>
      </c>
      <c r="B33" s="419" t="s">
        <v>1661</v>
      </c>
      <c r="C33" s="419">
        <v>23162962</v>
      </c>
      <c r="D33" s="419" t="s">
        <v>5596</v>
      </c>
      <c r="E33" s="421" t="str">
        <f t="shared" si="0"/>
        <v>AIFA</v>
      </c>
      <c r="F33" s="409"/>
      <c r="K33" s="378" t="s">
        <v>5626</v>
      </c>
      <c r="L33" s="379" t="s">
        <v>212</v>
      </c>
    </row>
    <row r="34" spans="1:12" x14ac:dyDescent="0.3">
      <c r="A34" s="418" t="s">
        <v>1662</v>
      </c>
      <c r="B34" s="419" t="s">
        <v>1663</v>
      </c>
      <c r="C34" s="419">
        <v>23148952</v>
      </c>
      <c r="D34" s="419" t="s">
        <v>5596</v>
      </c>
      <c r="E34" s="421" t="str">
        <f t="shared" si="0"/>
        <v>AIFA</v>
      </c>
      <c r="F34" s="409"/>
      <c r="K34" s="378" t="s">
        <v>5627</v>
      </c>
      <c r="L34" s="379" t="s">
        <v>216</v>
      </c>
    </row>
    <row r="35" spans="1:12" x14ac:dyDescent="0.3">
      <c r="A35" s="418" t="s">
        <v>1664</v>
      </c>
      <c r="B35" s="419" t="s">
        <v>1665</v>
      </c>
      <c r="C35" s="419">
        <v>23078032</v>
      </c>
      <c r="D35" s="419" t="s">
        <v>5596</v>
      </c>
      <c r="E35" s="421" t="str">
        <f t="shared" si="0"/>
        <v>AIFA</v>
      </c>
      <c r="F35" s="409"/>
      <c r="K35" s="378" t="s">
        <v>5628</v>
      </c>
      <c r="L35" s="379" t="s">
        <v>221</v>
      </c>
    </row>
    <row r="36" spans="1:12" x14ac:dyDescent="0.3">
      <c r="A36" s="418" t="s">
        <v>1666</v>
      </c>
      <c r="B36" s="419" t="s">
        <v>1667</v>
      </c>
      <c r="C36" s="419">
        <v>23202283</v>
      </c>
      <c r="D36" s="419" t="s">
        <v>5596</v>
      </c>
      <c r="E36" s="421" t="str">
        <f t="shared" si="0"/>
        <v>AIFA</v>
      </c>
      <c r="F36" s="409"/>
      <c r="K36" s="378" t="s">
        <v>5629</v>
      </c>
      <c r="L36" s="379" t="s">
        <v>229</v>
      </c>
    </row>
    <row r="37" spans="1:12" x14ac:dyDescent="0.3">
      <c r="A37" s="418" t="s">
        <v>1668</v>
      </c>
      <c r="B37" s="419" t="s">
        <v>1669</v>
      </c>
      <c r="C37" s="419">
        <v>23202317</v>
      </c>
      <c r="D37" s="419" t="s">
        <v>5596</v>
      </c>
      <c r="E37" s="421" t="str">
        <f t="shared" si="0"/>
        <v>AIFA</v>
      </c>
      <c r="F37" s="409"/>
      <c r="K37" s="378" t="s">
        <v>5630</v>
      </c>
      <c r="L37" s="379" t="s">
        <v>225</v>
      </c>
    </row>
    <row r="38" spans="1:12" x14ac:dyDescent="0.3">
      <c r="A38" s="418" t="s">
        <v>1670</v>
      </c>
      <c r="B38" s="419" t="s">
        <v>1671</v>
      </c>
      <c r="C38" s="419">
        <v>23098959</v>
      </c>
      <c r="D38" s="419" t="s">
        <v>5596</v>
      </c>
      <c r="E38" s="421" t="str">
        <f t="shared" si="0"/>
        <v>AIFA</v>
      </c>
      <c r="F38" s="409"/>
      <c r="K38" s="378" t="s">
        <v>5631</v>
      </c>
      <c r="L38" s="379" t="s">
        <v>233</v>
      </c>
    </row>
    <row r="39" spans="1:12" x14ac:dyDescent="0.3">
      <c r="A39" s="418" t="s">
        <v>1672</v>
      </c>
      <c r="B39" s="419" t="s">
        <v>1673</v>
      </c>
      <c r="C39" s="419">
        <v>23097750</v>
      </c>
      <c r="D39" s="419" t="s">
        <v>5596</v>
      </c>
      <c r="E39" s="421" t="str">
        <f t="shared" si="0"/>
        <v>AIFA</v>
      </c>
      <c r="F39" s="409"/>
      <c r="K39" s="378" t="s">
        <v>5632</v>
      </c>
      <c r="L39" s="379" t="s">
        <v>237</v>
      </c>
    </row>
    <row r="40" spans="1:12" x14ac:dyDescent="0.3">
      <c r="A40" s="418" t="s">
        <v>1674</v>
      </c>
      <c r="B40" s="419" t="s">
        <v>1675</v>
      </c>
      <c r="C40" s="419">
        <v>23149028</v>
      </c>
      <c r="D40" s="419" t="s">
        <v>5596</v>
      </c>
      <c r="E40" s="421" t="str">
        <f t="shared" si="0"/>
        <v>AIFA</v>
      </c>
      <c r="F40" s="409"/>
      <c r="K40" s="378" t="s">
        <v>5633</v>
      </c>
      <c r="L40" s="379" t="s">
        <v>245</v>
      </c>
    </row>
    <row r="41" spans="1:12" x14ac:dyDescent="0.3">
      <c r="A41" s="418" t="s">
        <v>1676</v>
      </c>
      <c r="B41" s="419" t="s">
        <v>1677</v>
      </c>
      <c r="C41" s="419">
        <v>23202287</v>
      </c>
      <c r="D41" s="419" t="s">
        <v>5596</v>
      </c>
      <c r="E41" s="421" t="str">
        <f t="shared" si="0"/>
        <v>AIFA</v>
      </c>
      <c r="F41" s="409"/>
      <c r="K41" s="378" t="s">
        <v>5634</v>
      </c>
      <c r="L41" s="379" t="s">
        <v>249</v>
      </c>
    </row>
    <row r="42" spans="1:12" x14ac:dyDescent="0.3">
      <c r="A42" s="418" t="s">
        <v>1678</v>
      </c>
      <c r="B42" s="419" t="s">
        <v>1679</v>
      </c>
      <c r="C42" s="419">
        <v>23202799</v>
      </c>
      <c r="D42" s="419" t="s">
        <v>5596</v>
      </c>
      <c r="E42" s="421" t="str">
        <f t="shared" si="0"/>
        <v>AIFA</v>
      </c>
      <c r="F42" s="409"/>
      <c r="K42" s="378" t="s">
        <v>5635</v>
      </c>
      <c r="L42" s="379" t="s">
        <v>254</v>
      </c>
    </row>
    <row r="43" spans="1:12" x14ac:dyDescent="0.3">
      <c r="A43" s="418" t="s">
        <v>1680</v>
      </c>
      <c r="B43" s="419" t="s">
        <v>1681</v>
      </c>
      <c r="C43" s="419">
        <v>23140087</v>
      </c>
      <c r="D43" s="419" t="s">
        <v>5596</v>
      </c>
      <c r="E43" s="421" t="str">
        <f t="shared" si="0"/>
        <v>AIFA</v>
      </c>
      <c r="F43" s="409"/>
      <c r="K43" s="378" t="s">
        <v>5636</v>
      </c>
      <c r="L43" s="379" t="s">
        <v>3</v>
      </c>
    </row>
    <row r="44" spans="1:12" x14ac:dyDescent="0.3">
      <c r="A44" s="418" t="s">
        <v>1682</v>
      </c>
      <c r="B44" s="419" t="s">
        <v>1683</v>
      </c>
      <c r="C44" s="419">
        <v>23162340</v>
      </c>
      <c r="D44" s="419" t="s">
        <v>5596</v>
      </c>
      <c r="E44" s="421" t="str">
        <f t="shared" si="0"/>
        <v>AIFA</v>
      </c>
      <c r="F44" s="409"/>
      <c r="K44" s="378"/>
      <c r="L44" s="379"/>
    </row>
    <row r="45" spans="1:12" x14ac:dyDescent="0.3">
      <c r="A45" s="418" t="s">
        <v>1684</v>
      </c>
      <c r="B45" s="419" t="s">
        <v>1685</v>
      </c>
      <c r="C45" s="419">
        <v>23190999</v>
      </c>
      <c r="D45" s="419" t="s">
        <v>5596</v>
      </c>
      <c r="E45" s="421" t="str">
        <f t="shared" si="0"/>
        <v>AIFA</v>
      </c>
      <c r="F45" s="409"/>
      <c r="K45" s="378"/>
      <c r="L45" s="379"/>
    </row>
    <row r="46" spans="1:12" x14ac:dyDescent="0.3">
      <c r="A46" s="418" t="s">
        <v>1686</v>
      </c>
      <c r="B46" s="419" t="s">
        <v>1687</v>
      </c>
      <c r="C46" s="419">
        <v>23046530</v>
      </c>
      <c r="D46" s="419" t="s">
        <v>5596</v>
      </c>
      <c r="E46" s="421" t="str">
        <f t="shared" si="0"/>
        <v>AIFA</v>
      </c>
      <c r="F46" s="409"/>
      <c r="K46" s="378"/>
      <c r="L46" s="379"/>
    </row>
    <row r="47" spans="1:12" x14ac:dyDescent="0.3">
      <c r="A47" s="418" t="s">
        <v>1688</v>
      </c>
      <c r="B47" s="419" t="s">
        <v>1689</v>
      </c>
      <c r="C47" s="419">
        <v>23148654</v>
      </c>
      <c r="D47" s="419" t="s">
        <v>5596</v>
      </c>
      <c r="E47" s="421" t="str">
        <f t="shared" si="0"/>
        <v>AIFA</v>
      </c>
      <c r="F47" s="409"/>
      <c r="K47" s="378"/>
      <c r="L47" s="379"/>
    </row>
    <row r="48" spans="1:12" x14ac:dyDescent="0.3">
      <c r="A48" s="418" t="s">
        <v>1690</v>
      </c>
      <c r="B48" s="419" t="s">
        <v>1691</v>
      </c>
      <c r="C48" s="419">
        <v>23156596</v>
      </c>
      <c r="D48" s="419" t="s">
        <v>5596</v>
      </c>
      <c r="E48" s="421" t="str">
        <f t="shared" si="0"/>
        <v>AIFA</v>
      </c>
      <c r="F48" s="409"/>
      <c r="K48" s="378"/>
      <c r="L48" s="379"/>
    </row>
    <row r="49" spans="1:12" x14ac:dyDescent="0.3">
      <c r="A49" s="418" t="s">
        <v>1692</v>
      </c>
      <c r="B49" s="419" t="s">
        <v>1693</v>
      </c>
      <c r="C49" s="419">
        <v>23158834</v>
      </c>
      <c r="D49" s="419" t="s">
        <v>5596</v>
      </c>
      <c r="E49" s="421" t="str">
        <f t="shared" si="0"/>
        <v>AIFA</v>
      </c>
      <c r="F49" s="409"/>
      <c r="K49" s="378"/>
      <c r="L49" s="379"/>
    </row>
    <row r="50" spans="1:12" x14ac:dyDescent="0.3">
      <c r="A50" s="418" t="s">
        <v>1694</v>
      </c>
      <c r="B50" s="419" t="s">
        <v>1695</v>
      </c>
      <c r="C50" s="419">
        <v>23202592</v>
      </c>
      <c r="D50" s="419" t="s">
        <v>5596</v>
      </c>
      <c r="E50" s="421" t="str">
        <f t="shared" si="0"/>
        <v>AIFA</v>
      </c>
      <c r="F50" s="409"/>
      <c r="K50" s="378"/>
      <c r="L50" s="379"/>
    </row>
    <row r="51" spans="1:12" x14ac:dyDescent="0.3">
      <c r="A51" s="418" t="s">
        <v>1696</v>
      </c>
      <c r="B51" s="419" t="s">
        <v>1697</v>
      </c>
      <c r="C51" s="419">
        <v>23139075</v>
      </c>
      <c r="D51" s="419" t="s">
        <v>5596</v>
      </c>
      <c r="E51" s="421" t="str">
        <f t="shared" si="0"/>
        <v>AIFA</v>
      </c>
      <c r="F51" s="409"/>
      <c r="K51" s="378"/>
      <c r="L51" s="379" t="s">
        <v>150</v>
      </c>
    </row>
    <row r="52" spans="1:12" x14ac:dyDescent="0.3">
      <c r="A52" s="418" t="s">
        <v>1698</v>
      </c>
      <c r="B52" s="419" t="s">
        <v>1699</v>
      </c>
      <c r="C52" s="419">
        <v>23140459</v>
      </c>
      <c r="D52" s="419" t="s">
        <v>5596</v>
      </c>
      <c r="E52" s="421" t="str">
        <f t="shared" si="0"/>
        <v>AIFA</v>
      </c>
      <c r="F52" s="409"/>
      <c r="K52" s="378"/>
      <c r="L52" s="379" t="s">
        <v>163</v>
      </c>
    </row>
    <row r="53" spans="1:12" x14ac:dyDescent="0.3">
      <c r="A53" s="418" t="s">
        <v>1700</v>
      </c>
      <c r="B53" s="419" t="s">
        <v>1701</v>
      </c>
      <c r="C53" s="419">
        <v>23202711</v>
      </c>
      <c r="D53" s="419" t="s">
        <v>5596</v>
      </c>
      <c r="E53" s="421" t="str">
        <f t="shared" si="0"/>
        <v>AIFA</v>
      </c>
      <c r="F53" s="409"/>
      <c r="K53" s="378"/>
      <c r="L53" s="379" t="s">
        <v>225</v>
      </c>
    </row>
    <row r="54" spans="1:12" x14ac:dyDescent="0.3">
      <c r="A54" s="418" t="s">
        <v>1702</v>
      </c>
      <c r="B54" s="419" t="s">
        <v>1703</v>
      </c>
      <c r="C54" s="419">
        <v>23129474</v>
      </c>
      <c r="D54" s="419" t="s">
        <v>5596</v>
      </c>
      <c r="E54" s="421" t="str">
        <f t="shared" si="0"/>
        <v>AIFA</v>
      </c>
      <c r="F54" s="409"/>
      <c r="K54" s="378"/>
      <c r="L54" s="379" t="s">
        <v>241</v>
      </c>
    </row>
    <row r="55" spans="1:12" x14ac:dyDescent="0.3">
      <c r="A55" s="418" t="s">
        <v>1704</v>
      </c>
      <c r="B55" s="419" t="s">
        <v>1705</v>
      </c>
      <c r="C55" s="419">
        <v>23185247</v>
      </c>
      <c r="D55" s="419" t="s">
        <v>5596</v>
      </c>
      <c r="E55" s="421" t="str">
        <f t="shared" si="0"/>
        <v>AIFA</v>
      </c>
      <c r="F55" s="409"/>
      <c r="K55" s="378"/>
      <c r="L55" s="379"/>
    </row>
    <row r="56" spans="1:12" ht="15" thickBot="1" x14ac:dyDescent="0.35">
      <c r="A56" s="418" t="s">
        <v>1706</v>
      </c>
      <c r="B56" s="419" t="s">
        <v>1707</v>
      </c>
      <c r="C56" s="419">
        <v>23130650</v>
      </c>
      <c r="D56" s="419" t="s">
        <v>5596</v>
      </c>
      <c r="E56" s="421" t="str">
        <f t="shared" si="0"/>
        <v>AIFA</v>
      </c>
      <c r="F56" s="409"/>
      <c r="K56" s="381"/>
      <c r="L56" s="382"/>
    </row>
    <row r="57" spans="1:12" x14ac:dyDescent="0.3">
      <c r="A57" s="418" t="s">
        <v>1708</v>
      </c>
      <c r="B57" s="419" t="s">
        <v>1709</v>
      </c>
      <c r="C57" s="419">
        <v>23137431</v>
      </c>
      <c r="D57" s="419" t="s">
        <v>5596</v>
      </c>
      <c r="E57" s="421" t="str">
        <f t="shared" si="0"/>
        <v>AIFA</v>
      </c>
      <c r="F57" s="409"/>
    </row>
    <row r="58" spans="1:12" x14ac:dyDescent="0.3">
      <c r="A58" s="418" t="s">
        <v>1710</v>
      </c>
      <c r="B58" s="419" t="s">
        <v>1711</v>
      </c>
      <c r="C58" s="419">
        <v>23203003</v>
      </c>
      <c r="D58" s="419" t="s">
        <v>5596</v>
      </c>
      <c r="E58" s="421" t="str">
        <f t="shared" si="0"/>
        <v>AIFA</v>
      </c>
      <c r="F58" s="409"/>
    </row>
    <row r="59" spans="1:12" x14ac:dyDescent="0.3">
      <c r="A59" s="418" t="s">
        <v>1712</v>
      </c>
      <c r="B59" s="419" t="s">
        <v>1713</v>
      </c>
      <c r="C59" s="419">
        <v>23185221</v>
      </c>
      <c r="D59" s="419" t="s">
        <v>5596</v>
      </c>
      <c r="E59" s="421" t="str">
        <f t="shared" si="0"/>
        <v>AIFA</v>
      </c>
      <c r="F59" s="409"/>
    </row>
    <row r="60" spans="1:12" x14ac:dyDescent="0.3">
      <c r="A60" s="418" t="s">
        <v>1714</v>
      </c>
      <c r="B60" s="419" t="s">
        <v>1715</v>
      </c>
      <c r="C60" s="419">
        <v>23188717</v>
      </c>
      <c r="D60" s="419" t="s">
        <v>5596</v>
      </c>
      <c r="E60" s="421" t="str">
        <f t="shared" si="0"/>
        <v>AIFA</v>
      </c>
      <c r="F60" s="409"/>
    </row>
    <row r="61" spans="1:12" x14ac:dyDescent="0.3">
      <c r="A61" s="418" t="s">
        <v>1716</v>
      </c>
      <c r="B61" s="419" t="s">
        <v>1717</v>
      </c>
      <c r="C61" s="419">
        <v>23130023</v>
      </c>
      <c r="D61" s="419" t="s">
        <v>5596</v>
      </c>
      <c r="E61" s="421" t="str">
        <f t="shared" si="0"/>
        <v>AIFA</v>
      </c>
      <c r="F61" s="409"/>
    </row>
    <row r="62" spans="1:12" x14ac:dyDescent="0.3">
      <c r="A62" s="416" t="s">
        <v>1759</v>
      </c>
      <c r="B62" s="417" t="s">
        <v>1760</v>
      </c>
      <c r="C62" s="417">
        <v>23207761</v>
      </c>
      <c r="D62" s="417" t="s">
        <v>5597</v>
      </c>
      <c r="E62" s="409" t="str">
        <f t="shared" si="0"/>
        <v>Altamira, Tamps.</v>
      </c>
      <c r="F62" s="409"/>
    </row>
    <row r="63" spans="1:12" x14ac:dyDescent="0.3">
      <c r="A63" s="416" t="s">
        <v>1761</v>
      </c>
      <c r="B63" s="417" t="s">
        <v>1762</v>
      </c>
      <c r="C63" s="417">
        <v>23141267</v>
      </c>
      <c r="D63" s="417" t="s">
        <v>5597</v>
      </c>
      <c r="E63" s="409" t="str">
        <f t="shared" ref="E63:E95" si="1">VLOOKUP(D63,ADUANAS1,2,FALSE)</f>
        <v>Altamira, Tamps.</v>
      </c>
      <c r="F63" s="409"/>
    </row>
    <row r="64" spans="1:12" x14ac:dyDescent="0.3">
      <c r="A64" s="416" t="s">
        <v>1761</v>
      </c>
      <c r="B64" s="417" t="s">
        <v>1764</v>
      </c>
      <c r="C64" s="417">
        <v>23054926</v>
      </c>
      <c r="D64" s="417" t="s">
        <v>5597</v>
      </c>
      <c r="E64" s="409" t="str">
        <f t="shared" si="1"/>
        <v>Altamira, Tamps.</v>
      </c>
      <c r="F64" s="409"/>
    </row>
    <row r="65" spans="1:6" x14ac:dyDescent="0.3">
      <c r="A65" s="416" t="s">
        <v>1763</v>
      </c>
      <c r="B65" s="417" t="s">
        <v>5637</v>
      </c>
      <c r="C65" s="417">
        <v>23163029</v>
      </c>
      <c r="D65" s="417" t="s">
        <v>5597</v>
      </c>
      <c r="E65" s="409" t="str">
        <f t="shared" si="1"/>
        <v>Altamira, Tamps.</v>
      </c>
      <c r="F65" s="409"/>
    </row>
    <row r="66" spans="1:6" x14ac:dyDescent="0.3">
      <c r="A66" s="416" t="s">
        <v>1765</v>
      </c>
      <c r="B66" s="417" t="s">
        <v>1770</v>
      </c>
      <c r="C66" s="417">
        <v>23129480</v>
      </c>
      <c r="D66" s="417" t="s">
        <v>5597</v>
      </c>
      <c r="E66" s="409" t="str">
        <f t="shared" si="1"/>
        <v>Altamira, Tamps.</v>
      </c>
      <c r="F66" s="409"/>
    </row>
    <row r="67" spans="1:6" x14ac:dyDescent="0.3">
      <c r="A67" s="416" t="s">
        <v>1769</v>
      </c>
      <c r="B67" s="417" t="s">
        <v>5638</v>
      </c>
      <c r="C67" s="417">
        <v>23140083</v>
      </c>
      <c r="D67" s="417" t="s">
        <v>5597</v>
      </c>
      <c r="E67" s="409" t="str">
        <f t="shared" si="1"/>
        <v>Altamira, Tamps.</v>
      </c>
      <c r="F67" s="409"/>
    </row>
    <row r="68" spans="1:6" x14ac:dyDescent="0.3">
      <c r="A68" s="416" t="s">
        <v>1771</v>
      </c>
      <c r="B68" s="417" t="s">
        <v>5639</v>
      </c>
      <c r="C68" s="417">
        <v>23133842</v>
      </c>
      <c r="D68" s="417" t="s">
        <v>5597</v>
      </c>
      <c r="E68" s="409" t="str">
        <f t="shared" si="1"/>
        <v>Altamira, Tamps.</v>
      </c>
      <c r="F68" s="409"/>
    </row>
    <row r="69" spans="1:6" x14ac:dyDescent="0.3">
      <c r="A69" s="416" t="s">
        <v>1775</v>
      </c>
      <c r="B69" s="417" t="s">
        <v>1779</v>
      </c>
      <c r="C69" s="417">
        <v>23145221</v>
      </c>
      <c r="D69" s="417" t="s">
        <v>5597</v>
      </c>
      <c r="E69" s="409" t="str">
        <f t="shared" si="1"/>
        <v>Altamira, Tamps.</v>
      </c>
      <c r="F69" s="409"/>
    </row>
    <row r="70" spans="1:6" x14ac:dyDescent="0.3">
      <c r="A70" s="416" t="s">
        <v>1778</v>
      </c>
      <c r="B70" s="417" t="s">
        <v>5640</v>
      </c>
      <c r="C70" s="417">
        <v>23137029</v>
      </c>
      <c r="D70" s="417" t="s">
        <v>5597</v>
      </c>
      <c r="E70" s="409" t="str">
        <f t="shared" si="1"/>
        <v>Altamira, Tamps.</v>
      </c>
      <c r="F70" s="409"/>
    </row>
    <row r="71" spans="1:6" x14ac:dyDescent="0.3">
      <c r="A71" s="416" t="s">
        <v>1780</v>
      </c>
      <c r="B71" s="417" t="s">
        <v>5641</v>
      </c>
      <c r="C71" s="417">
        <v>23169335</v>
      </c>
      <c r="D71" s="417" t="s">
        <v>5597</v>
      </c>
      <c r="E71" s="409" t="str">
        <f t="shared" si="1"/>
        <v>Altamira, Tamps.</v>
      </c>
      <c r="F71" s="409"/>
    </row>
    <row r="72" spans="1:6" x14ac:dyDescent="0.3">
      <c r="A72" s="416" t="s">
        <v>1784</v>
      </c>
      <c r="B72" s="417" t="s">
        <v>5642</v>
      </c>
      <c r="C72" s="417">
        <v>23165489</v>
      </c>
      <c r="D72" s="417" t="s">
        <v>5597</v>
      </c>
      <c r="E72" s="409" t="str">
        <f t="shared" si="1"/>
        <v>Altamira, Tamps.</v>
      </c>
      <c r="F72" s="409"/>
    </row>
    <row r="73" spans="1:6" x14ac:dyDescent="0.3">
      <c r="A73" s="416" t="s">
        <v>1787</v>
      </c>
      <c r="B73" s="417" t="s">
        <v>5643</v>
      </c>
      <c r="C73" s="417">
        <v>23202532</v>
      </c>
      <c r="D73" s="417" t="s">
        <v>5597</v>
      </c>
      <c r="E73" s="409" t="str">
        <f t="shared" si="1"/>
        <v>Altamira, Tamps.</v>
      </c>
      <c r="F73" s="409"/>
    </row>
    <row r="74" spans="1:6" x14ac:dyDescent="0.3">
      <c r="A74" s="416" t="s">
        <v>1790</v>
      </c>
      <c r="B74" s="417" t="s">
        <v>5644</v>
      </c>
      <c r="C74" s="417">
        <v>23129905</v>
      </c>
      <c r="D74" s="417" t="s">
        <v>5597</v>
      </c>
      <c r="E74" s="409" t="str">
        <f t="shared" si="1"/>
        <v>Altamira, Tamps.</v>
      </c>
      <c r="F74" s="409"/>
    </row>
    <row r="75" spans="1:6" x14ac:dyDescent="0.3">
      <c r="A75" s="416" t="s">
        <v>1793</v>
      </c>
      <c r="B75" s="417" t="s">
        <v>1796</v>
      </c>
      <c r="C75" s="417">
        <v>23140082</v>
      </c>
      <c r="D75" s="417" t="s">
        <v>5597</v>
      </c>
      <c r="E75" s="409" t="str">
        <f t="shared" si="1"/>
        <v>Altamira, Tamps.</v>
      </c>
      <c r="F75" s="409"/>
    </row>
    <row r="76" spans="1:6" x14ac:dyDescent="0.3">
      <c r="A76" s="416" t="s">
        <v>1795</v>
      </c>
      <c r="B76" s="417" t="s">
        <v>5645</v>
      </c>
      <c r="C76" s="417">
        <v>23143941</v>
      </c>
      <c r="D76" s="417" t="s">
        <v>5597</v>
      </c>
      <c r="E76" s="409" t="str">
        <f t="shared" si="1"/>
        <v>Altamira, Tamps.</v>
      </c>
      <c r="F76" s="409"/>
    </row>
    <row r="77" spans="1:6" x14ac:dyDescent="0.3">
      <c r="A77" s="416" t="s">
        <v>1797</v>
      </c>
      <c r="B77" s="417" t="s">
        <v>5646</v>
      </c>
      <c r="C77" s="417">
        <v>23159509</v>
      </c>
      <c r="D77" s="417" t="s">
        <v>5597</v>
      </c>
      <c r="E77" s="409" t="str">
        <f t="shared" si="1"/>
        <v>Altamira, Tamps.</v>
      </c>
      <c r="F77" s="409"/>
    </row>
    <row r="78" spans="1:6" x14ac:dyDescent="0.3">
      <c r="A78" s="416" t="s">
        <v>1799</v>
      </c>
      <c r="B78" s="417" t="s">
        <v>1802</v>
      </c>
      <c r="C78" s="417">
        <v>23158474</v>
      </c>
      <c r="D78" s="417" t="s">
        <v>5597</v>
      </c>
      <c r="E78" s="409" t="str">
        <f t="shared" si="1"/>
        <v>Altamira, Tamps.</v>
      </c>
      <c r="F78" s="409"/>
    </row>
    <row r="79" spans="1:6" x14ac:dyDescent="0.3">
      <c r="A79" s="416" t="s">
        <v>1801</v>
      </c>
      <c r="B79" s="417" t="s">
        <v>1804</v>
      </c>
      <c r="C79" s="417">
        <v>23207378</v>
      </c>
      <c r="D79" s="417" t="s">
        <v>5597</v>
      </c>
      <c r="E79" s="409" t="str">
        <f t="shared" si="1"/>
        <v>Altamira, Tamps.</v>
      </c>
      <c r="F79" s="409"/>
    </row>
    <row r="80" spans="1:6" x14ac:dyDescent="0.3">
      <c r="A80" s="416" t="s">
        <v>1803</v>
      </c>
      <c r="B80" s="417" t="s">
        <v>1806</v>
      </c>
      <c r="C80" s="417">
        <v>23209538</v>
      </c>
      <c r="D80" s="417" t="s">
        <v>5597</v>
      </c>
      <c r="E80" s="409" t="str">
        <f t="shared" si="1"/>
        <v>Altamira, Tamps.</v>
      </c>
      <c r="F80" s="409"/>
    </row>
    <row r="81" spans="1:6" x14ac:dyDescent="0.3">
      <c r="A81" s="416" t="s">
        <v>1805</v>
      </c>
      <c r="B81" s="417" t="s">
        <v>5647</v>
      </c>
      <c r="C81" s="417">
        <v>23130843</v>
      </c>
      <c r="D81" s="417" t="s">
        <v>5597</v>
      </c>
      <c r="E81" s="409" t="str">
        <f t="shared" si="1"/>
        <v>Altamira, Tamps.</v>
      </c>
      <c r="F81" s="409"/>
    </row>
    <row r="82" spans="1:6" x14ac:dyDescent="0.3">
      <c r="A82" s="416" t="s">
        <v>1807</v>
      </c>
      <c r="B82" s="417" t="s">
        <v>5648</v>
      </c>
      <c r="C82" s="417">
        <v>23215973</v>
      </c>
      <c r="D82" s="417" t="s">
        <v>5597</v>
      </c>
      <c r="E82" s="409" t="str">
        <f t="shared" si="1"/>
        <v>Altamira, Tamps.</v>
      </c>
      <c r="F82" s="409"/>
    </row>
    <row r="83" spans="1:6" x14ac:dyDescent="0.3">
      <c r="A83" s="416" t="s">
        <v>1809</v>
      </c>
      <c r="B83" s="417" t="s">
        <v>5649</v>
      </c>
      <c r="C83" s="417">
        <v>23209190</v>
      </c>
      <c r="D83" s="417" t="s">
        <v>5597</v>
      </c>
      <c r="E83" s="409" t="str">
        <f t="shared" si="1"/>
        <v>Altamira, Tamps.</v>
      </c>
      <c r="F83" s="409"/>
    </row>
    <row r="84" spans="1:6" x14ac:dyDescent="0.3">
      <c r="A84" s="416" t="s">
        <v>1811</v>
      </c>
      <c r="B84" s="417" t="s">
        <v>5650</v>
      </c>
      <c r="C84" s="417">
        <v>23202622</v>
      </c>
      <c r="D84" s="417" t="s">
        <v>5597</v>
      </c>
      <c r="E84" s="409" t="str">
        <f t="shared" si="1"/>
        <v>Altamira, Tamps.</v>
      </c>
      <c r="F84" s="409"/>
    </row>
    <row r="85" spans="1:6" x14ac:dyDescent="0.3">
      <c r="A85" s="416" t="s">
        <v>1814</v>
      </c>
      <c r="B85" s="417" t="s">
        <v>5651</v>
      </c>
      <c r="C85" s="417">
        <v>23202261</v>
      </c>
      <c r="D85" s="417" t="s">
        <v>5597</v>
      </c>
      <c r="E85" s="409" t="str">
        <f t="shared" si="1"/>
        <v>Altamira, Tamps.</v>
      </c>
      <c r="F85" s="409"/>
    </row>
    <row r="86" spans="1:6" x14ac:dyDescent="0.3">
      <c r="A86" s="416" t="s">
        <v>1816</v>
      </c>
      <c r="B86" s="417" t="s">
        <v>5652</v>
      </c>
      <c r="C86" s="417">
        <v>23202751</v>
      </c>
      <c r="D86" s="417" t="s">
        <v>5597</v>
      </c>
      <c r="E86" s="409" t="str">
        <f t="shared" si="1"/>
        <v>Altamira, Tamps.</v>
      </c>
      <c r="F86" s="409"/>
    </row>
    <row r="87" spans="1:6" x14ac:dyDescent="0.3">
      <c r="A87" s="416" t="s">
        <v>1818</v>
      </c>
      <c r="B87" s="417" t="s">
        <v>5653</v>
      </c>
      <c r="C87" s="417">
        <v>23139790</v>
      </c>
      <c r="D87" s="417" t="s">
        <v>5597</v>
      </c>
      <c r="E87" s="409" t="str">
        <f t="shared" si="1"/>
        <v>Altamira, Tamps.</v>
      </c>
      <c r="F87" s="409"/>
    </row>
    <row r="88" spans="1:6" x14ac:dyDescent="0.3">
      <c r="A88" s="416" t="s">
        <v>1822</v>
      </c>
      <c r="B88" s="417" t="s">
        <v>5654</v>
      </c>
      <c r="C88" s="417">
        <v>23140582</v>
      </c>
      <c r="D88" s="417" t="s">
        <v>5597</v>
      </c>
      <c r="E88" s="409" t="str">
        <f t="shared" si="1"/>
        <v>Altamira, Tamps.</v>
      </c>
      <c r="F88" s="409"/>
    </row>
    <row r="89" spans="1:6" x14ac:dyDescent="0.3">
      <c r="A89" s="416" t="s">
        <v>1824</v>
      </c>
      <c r="B89" s="417" t="s">
        <v>1830</v>
      </c>
      <c r="C89" s="417">
        <v>23207550</v>
      </c>
      <c r="D89" s="417" t="s">
        <v>5597</v>
      </c>
      <c r="E89" s="409" t="str">
        <f t="shared" si="1"/>
        <v>Altamira, Tamps.</v>
      </c>
      <c r="F89" s="409"/>
    </row>
    <row r="90" spans="1:6" x14ac:dyDescent="0.3">
      <c r="A90" s="416" t="s">
        <v>1829</v>
      </c>
      <c r="B90" s="417" t="s">
        <v>5655</v>
      </c>
      <c r="C90" s="417">
        <v>23129901</v>
      </c>
      <c r="D90" s="417" t="s">
        <v>5597</v>
      </c>
      <c r="E90" s="409" t="str">
        <f t="shared" si="1"/>
        <v>Altamira, Tamps.</v>
      </c>
      <c r="F90" s="409"/>
    </row>
    <row r="91" spans="1:6" x14ac:dyDescent="0.3">
      <c r="A91" s="418" t="s">
        <v>1884</v>
      </c>
      <c r="B91" s="419" t="s">
        <v>1885</v>
      </c>
      <c r="C91" s="419">
        <v>22226550</v>
      </c>
      <c r="D91" s="419" t="s">
        <v>5599</v>
      </c>
      <c r="E91" s="421" t="str">
        <f t="shared" si="1"/>
        <v>Cancun, Q. Roo</v>
      </c>
      <c r="F91" s="409"/>
    </row>
    <row r="92" spans="1:6" x14ac:dyDescent="0.3">
      <c r="A92" s="418" t="s">
        <v>1886</v>
      </c>
      <c r="B92" s="419" t="s">
        <v>1887</v>
      </c>
      <c r="C92" s="419">
        <v>22219592</v>
      </c>
      <c r="D92" s="419" t="s">
        <v>5599</v>
      </c>
      <c r="E92" s="421" t="str">
        <f t="shared" si="1"/>
        <v>Cancun, Q. Roo</v>
      </c>
      <c r="F92" s="409"/>
    </row>
    <row r="93" spans="1:6" x14ac:dyDescent="0.3">
      <c r="A93" s="416" t="s">
        <v>1966</v>
      </c>
      <c r="B93" s="417" t="s">
        <v>1967</v>
      </c>
      <c r="C93" s="417">
        <v>23194437</v>
      </c>
      <c r="D93" s="417" t="s">
        <v>5601</v>
      </c>
      <c r="E93" s="409" t="str">
        <f t="shared" si="1"/>
        <v>Ciudad del Carmen</v>
      </c>
      <c r="F93" s="409"/>
    </row>
    <row r="94" spans="1:6" x14ac:dyDescent="0.3">
      <c r="A94" s="416" t="s">
        <v>1968</v>
      </c>
      <c r="B94" s="417" t="s">
        <v>1969</v>
      </c>
      <c r="C94" s="417">
        <v>23196464</v>
      </c>
      <c r="D94" s="417" t="s">
        <v>5601</v>
      </c>
      <c r="E94" s="409" t="str">
        <f t="shared" si="1"/>
        <v>Ciudad del Carmen</v>
      </c>
      <c r="F94" s="409"/>
    </row>
    <row r="95" spans="1:6" x14ac:dyDescent="0.3">
      <c r="A95" s="416" t="s">
        <v>1970</v>
      </c>
      <c r="B95" s="417" t="s">
        <v>1971</v>
      </c>
      <c r="C95" s="417">
        <v>23196603</v>
      </c>
      <c r="D95" s="417" t="s">
        <v>5601</v>
      </c>
      <c r="E95" s="409" t="str">
        <f t="shared" si="1"/>
        <v>Ciudad del Carmen</v>
      </c>
      <c r="F95" s="409"/>
    </row>
    <row r="96" spans="1:6" x14ac:dyDescent="0.3">
      <c r="A96" s="416" t="s">
        <v>1972</v>
      </c>
      <c r="B96" s="417" t="s">
        <v>1973</v>
      </c>
      <c r="C96" s="417">
        <v>23189718</v>
      </c>
      <c r="D96" s="417" t="s">
        <v>5601</v>
      </c>
      <c r="E96" s="409" t="str">
        <f t="shared" ref="E96:E110" si="2">VLOOKUP(D96,ADUANAS1,2,FALSE)</f>
        <v>Ciudad del Carmen</v>
      </c>
      <c r="F96" s="409"/>
    </row>
    <row r="97" spans="1:8" x14ac:dyDescent="0.3">
      <c r="A97" s="416" t="s">
        <v>1974</v>
      </c>
      <c r="B97" s="417" t="s">
        <v>1975</v>
      </c>
      <c r="C97" s="417">
        <v>23214796</v>
      </c>
      <c r="D97" s="417" t="s">
        <v>5601</v>
      </c>
      <c r="E97" s="409" t="str">
        <f t="shared" si="2"/>
        <v>Ciudad del Carmen</v>
      </c>
      <c r="F97" s="409"/>
    </row>
    <row r="98" spans="1:8" x14ac:dyDescent="0.3">
      <c r="A98" s="416" t="s">
        <v>1976</v>
      </c>
      <c r="B98" s="417" t="s">
        <v>1979</v>
      </c>
      <c r="C98" s="417">
        <v>23217008</v>
      </c>
      <c r="D98" s="417" t="s">
        <v>5601</v>
      </c>
      <c r="E98" s="409" t="str">
        <f t="shared" si="2"/>
        <v>Ciudad del Carmen</v>
      </c>
      <c r="F98" s="409"/>
    </row>
    <row r="99" spans="1:8" x14ac:dyDescent="0.3">
      <c r="A99" s="416" t="s">
        <v>1978</v>
      </c>
      <c r="B99" s="417" t="s">
        <v>1981</v>
      </c>
      <c r="C99" s="417">
        <v>23137563</v>
      </c>
      <c r="D99" s="417" t="s">
        <v>5601</v>
      </c>
      <c r="E99" s="409" t="str">
        <f t="shared" si="2"/>
        <v>Ciudad del Carmen</v>
      </c>
      <c r="F99" s="409"/>
    </row>
    <row r="100" spans="1:8" x14ac:dyDescent="0.3">
      <c r="A100" s="416" t="s">
        <v>1980</v>
      </c>
      <c r="B100" s="417" t="s">
        <v>1983</v>
      </c>
      <c r="C100" s="417">
        <v>23148470</v>
      </c>
      <c r="D100" s="417" t="s">
        <v>5601</v>
      </c>
      <c r="E100" s="409" t="str">
        <f t="shared" si="2"/>
        <v>Ciudad del Carmen</v>
      </c>
      <c r="F100" s="409"/>
    </row>
    <row r="101" spans="1:8" x14ac:dyDescent="0.3">
      <c r="A101" s="416" t="s">
        <v>1982</v>
      </c>
      <c r="B101" s="417" t="s">
        <v>1985</v>
      </c>
      <c r="C101" s="417">
        <v>23193547</v>
      </c>
      <c r="D101" s="417" t="s">
        <v>5601</v>
      </c>
      <c r="E101" s="409" t="str">
        <f t="shared" si="2"/>
        <v>Ciudad del Carmen</v>
      </c>
      <c r="F101" s="409"/>
    </row>
    <row r="102" spans="1:8" x14ac:dyDescent="0.3">
      <c r="A102" s="416" t="s">
        <v>1984</v>
      </c>
      <c r="B102" s="417" t="s">
        <v>1987</v>
      </c>
      <c r="C102" s="417">
        <v>23202013</v>
      </c>
      <c r="D102" s="417" t="s">
        <v>5601</v>
      </c>
      <c r="E102" s="409" t="str">
        <f t="shared" si="2"/>
        <v>Ciudad del Carmen</v>
      </c>
      <c r="F102" s="409"/>
    </row>
    <row r="103" spans="1:8" x14ac:dyDescent="0.3">
      <c r="A103" s="418" t="s">
        <v>2057</v>
      </c>
      <c r="B103" s="419" t="s">
        <v>5656</v>
      </c>
      <c r="C103" s="419">
        <v>23203538</v>
      </c>
      <c r="D103" s="419" t="s">
        <v>5603</v>
      </c>
      <c r="E103" s="421" t="str">
        <f t="shared" si="2"/>
        <v>Catazaja</v>
      </c>
      <c r="F103" s="409"/>
    </row>
    <row r="104" spans="1:8" x14ac:dyDescent="0.3">
      <c r="A104" s="418" t="s">
        <v>2060</v>
      </c>
      <c r="B104" s="419" t="s">
        <v>5657</v>
      </c>
      <c r="C104" s="419">
        <v>23202773</v>
      </c>
      <c r="D104" s="419" t="s">
        <v>5603</v>
      </c>
      <c r="E104" s="421" t="str">
        <f t="shared" si="2"/>
        <v>Catazaja</v>
      </c>
      <c r="F104" s="409"/>
    </row>
    <row r="105" spans="1:8" x14ac:dyDescent="0.3">
      <c r="A105" s="418" t="s">
        <v>2062</v>
      </c>
      <c r="B105" s="419" t="s">
        <v>5658</v>
      </c>
      <c r="C105" s="419">
        <v>23157160</v>
      </c>
      <c r="D105" s="419" t="s">
        <v>5603</v>
      </c>
      <c r="E105" s="421" t="str">
        <f t="shared" si="2"/>
        <v>Catazaja</v>
      </c>
      <c r="F105" s="409"/>
    </row>
    <row r="106" spans="1:8" x14ac:dyDescent="0.3">
      <c r="A106" s="418" t="s">
        <v>2065</v>
      </c>
      <c r="B106" s="419" t="s">
        <v>5659</v>
      </c>
      <c r="C106" s="419">
        <v>23223391</v>
      </c>
      <c r="D106" s="419" t="s">
        <v>5603</v>
      </c>
      <c r="E106" s="421" t="str">
        <f t="shared" si="2"/>
        <v>Catazaja</v>
      </c>
      <c r="F106" s="409"/>
    </row>
    <row r="107" spans="1:8" x14ac:dyDescent="0.3">
      <c r="A107" s="418" t="s">
        <v>2068</v>
      </c>
      <c r="B107" s="419" t="s">
        <v>5660</v>
      </c>
      <c r="C107" s="419">
        <v>23157156</v>
      </c>
      <c r="D107" s="419" t="s">
        <v>5603</v>
      </c>
      <c r="E107" s="421" t="str">
        <f t="shared" si="2"/>
        <v>Catazaja</v>
      </c>
      <c r="F107" s="409"/>
    </row>
    <row r="108" spans="1:8" x14ac:dyDescent="0.3">
      <c r="A108" s="416" t="s">
        <v>2145</v>
      </c>
      <c r="B108" s="417" t="s">
        <v>2146</v>
      </c>
      <c r="C108" s="417">
        <v>23213903</v>
      </c>
      <c r="D108" s="417" t="s">
        <v>5604</v>
      </c>
      <c r="E108" s="409" t="str">
        <f t="shared" si="2"/>
        <v>Coatzacoalcos, Ver.</v>
      </c>
      <c r="F108" s="409"/>
    </row>
    <row r="109" spans="1:8" x14ac:dyDescent="0.3">
      <c r="A109" s="416" t="s">
        <v>2147</v>
      </c>
      <c r="B109" s="417" t="s">
        <v>2148</v>
      </c>
      <c r="C109" s="417">
        <v>23210754</v>
      </c>
      <c r="D109" s="417" t="s">
        <v>5604</v>
      </c>
      <c r="E109" s="409" t="str">
        <f t="shared" si="2"/>
        <v>Coatzacoalcos, Ver.</v>
      </c>
      <c r="F109" s="409"/>
    </row>
    <row r="110" spans="1:8" x14ac:dyDescent="0.3">
      <c r="A110" s="416" t="s">
        <v>2149</v>
      </c>
      <c r="B110" s="417" t="s">
        <v>2150</v>
      </c>
      <c r="C110" s="417">
        <v>23149021</v>
      </c>
      <c r="D110" s="417" t="s">
        <v>5604</v>
      </c>
      <c r="E110" s="409" t="str">
        <f t="shared" si="2"/>
        <v>Coatzacoalcos, Ver.</v>
      </c>
      <c r="F110" s="409"/>
      <c r="G110" s="417"/>
      <c r="H110" s="417"/>
    </row>
    <row r="111" spans="1:8" x14ac:dyDescent="0.3">
      <c r="A111" s="416" t="s">
        <v>2151</v>
      </c>
      <c r="B111" s="417" t="s">
        <v>2152</v>
      </c>
      <c r="C111" s="417">
        <v>23210769</v>
      </c>
      <c r="D111" s="417" t="s">
        <v>5604</v>
      </c>
      <c r="E111" s="409" t="str">
        <f t="shared" ref="E111:E172" si="3">VLOOKUP(D111,ADUANAS1,2,FALSE)</f>
        <v>Coatzacoalcos, Ver.</v>
      </c>
      <c r="F111" s="409"/>
    </row>
    <row r="112" spans="1:8" x14ac:dyDescent="0.3">
      <c r="A112" s="416" t="s">
        <v>2153</v>
      </c>
      <c r="B112" s="417" t="s">
        <v>2154</v>
      </c>
      <c r="C112" s="417">
        <v>23151017</v>
      </c>
      <c r="D112" s="417" t="s">
        <v>5604</v>
      </c>
      <c r="E112" s="409" t="str">
        <f t="shared" si="3"/>
        <v>Coatzacoalcos, Ver.</v>
      </c>
      <c r="F112" s="409"/>
    </row>
    <row r="113" spans="1:6" x14ac:dyDescent="0.3">
      <c r="A113" s="416" t="s">
        <v>2155</v>
      </c>
      <c r="B113" s="417" t="s">
        <v>2156</v>
      </c>
      <c r="C113" s="417">
        <v>23207820</v>
      </c>
      <c r="D113" s="417" t="s">
        <v>5604</v>
      </c>
      <c r="E113" s="409" t="str">
        <f t="shared" si="3"/>
        <v>Coatzacoalcos, Ver.</v>
      </c>
      <c r="F113" s="409"/>
    </row>
    <row r="114" spans="1:6" x14ac:dyDescent="0.3">
      <c r="A114" s="416" t="s">
        <v>2157</v>
      </c>
      <c r="B114" s="417" t="s">
        <v>2158</v>
      </c>
      <c r="C114" s="417">
        <v>23149523</v>
      </c>
      <c r="D114" s="417" t="s">
        <v>5604</v>
      </c>
      <c r="E114" s="409" t="str">
        <f t="shared" si="3"/>
        <v>Coatzacoalcos, Ver.</v>
      </c>
      <c r="F114" s="409"/>
    </row>
    <row r="115" spans="1:6" x14ac:dyDescent="0.3">
      <c r="A115" s="416" t="s">
        <v>2159</v>
      </c>
      <c r="B115" s="417" t="s">
        <v>2160</v>
      </c>
      <c r="C115" s="417">
        <v>23209539</v>
      </c>
      <c r="D115" s="417" t="s">
        <v>5604</v>
      </c>
      <c r="E115" s="409" t="str">
        <f t="shared" si="3"/>
        <v>Coatzacoalcos, Ver.</v>
      </c>
      <c r="F115" s="409"/>
    </row>
    <row r="116" spans="1:6" x14ac:dyDescent="0.3">
      <c r="A116" s="416" t="s">
        <v>2161</v>
      </c>
      <c r="B116" s="417" t="s">
        <v>2162</v>
      </c>
      <c r="C116" s="417">
        <v>23207541</v>
      </c>
      <c r="D116" s="417" t="s">
        <v>5604</v>
      </c>
      <c r="E116" s="409" t="str">
        <f t="shared" si="3"/>
        <v>Coatzacoalcos, Ver.</v>
      </c>
      <c r="F116" s="409"/>
    </row>
    <row r="117" spans="1:6" x14ac:dyDescent="0.3">
      <c r="A117" s="416" t="s">
        <v>2163</v>
      </c>
      <c r="B117" s="417" t="s">
        <v>2164</v>
      </c>
      <c r="C117" s="417">
        <v>23157158</v>
      </c>
      <c r="D117" s="417" t="s">
        <v>5604</v>
      </c>
      <c r="E117" s="409" t="str">
        <f t="shared" si="3"/>
        <v>Coatzacoalcos, Ver.</v>
      </c>
      <c r="F117" s="409"/>
    </row>
    <row r="118" spans="1:6" x14ac:dyDescent="0.3">
      <c r="A118" s="416" t="s">
        <v>2165</v>
      </c>
      <c r="B118" s="417" t="s">
        <v>2166</v>
      </c>
      <c r="C118" s="417">
        <v>23210182</v>
      </c>
      <c r="D118" s="417" t="s">
        <v>5604</v>
      </c>
      <c r="E118" s="409" t="str">
        <f t="shared" si="3"/>
        <v>Coatzacoalcos, Ver.</v>
      </c>
      <c r="F118" s="409"/>
    </row>
    <row r="119" spans="1:6" x14ac:dyDescent="0.3">
      <c r="A119" s="416" t="s">
        <v>2167</v>
      </c>
      <c r="B119" s="417" t="s">
        <v>5661</v>
      </c>
      <c r="C119" s="417">
        <v>22226794</v>
      </c>
      <c r="D119" s="417" t="s">
        <v>5604</v>
      </c>
      <c r="E119" s="409" t="str">
        <f t="shared" si="3"/>
        <v>Coatzacoalcos, Ver.</v>
      </c>
      <c r="F119" s="409"/>
    </row>
    <row r="120" spans="1:6" x14ac:dyDescent="0.3">
      <c r="A120" s="416" t="s">
        <v>2169</v>
      </c>
      <c r="B120" s="417" t="s">
        <v>2172</v>
      </c>
      <c r="C120" s="417">
        <v>23207457</v>
      </c>
      <c r="D120" s="417" t="s">
        <v>5604</v>
      </c>
      <c r="E120" s="409" t="str">
        <f t="shared" si="3"/>
        <v>Coatzacoalcos, Ver.</v>
      </c>
      <c r="F120" s="409"/>
    </row>
    <row r="121" spans="1:6" x14ac:dyDescent="0.3">
      <c r="A121" s="416" t="s">
        <v>2171</v>
      </c>
      <c r="B121" s="417" t="s">
        <v>2174</v>
      </c>
      <c r="C121" s="417">
        <v>23147805</v>
      </c>
      <c r="D121" s="417" t="s">
        <v>5604</v>
      </c>
      <c r="E121" s="409" t="str">
        <f t="shared" si="3"/>
        <v>Coatzacoalcos, Ver.</v>
      </c>
      <c r="F121" s="409"/>
    </row>
    <row r="122" spans="1:6" x14ac:dyDescent="0.3">
      <c r="A122" s="416" t="s">
        <v>2173</v>
      </c>
      <c r="B122" s="417" t="s">
        <v>2176</v>
      </c>
      <c r="C122" s="417">
        <v>23148092</v>
      </c>
      <c r="D122" s="417" t="s">
        <v>5604</v>
      </c>
      <c r="E122" s="409" t="str">
        <f t="shared" si="3"/>
        <v>Coatzacoalcos, Ver.</v>
      </c>
      <c r="F122" s="409"/>
    </row>
    <row r="123" spans="1:6" x14ac:dyDescent="0.3">
      <c r="A123" s="416" t="s">
        <v>2175</v>
      </c>
      <c r="B123" s="417" t="s">
        <v>2180</v>
      </c>
      <c r="C123" s="417">
        <v>23149527</v>
      </c>
      <c r="D123" s="417" t="s">
        <v>5604</v>
      </c>
      <c r="E123" s="409" t="str">
        <f t="shared" si="3"/>
        <v>Coatzacoalcos, Ver.</v>
      </c>
      <c r="F123" s="409"/>
    </row>
    <row r="124" spans="1:6" x14ac:dyDescent="0.3">
      <c r="A124" s="418" t="s">
        <v>2243</v>
      </c>
      <c r="B124" s="419" t="s">
        <v>2244</v>
      </c>
      <c r="C124" s="419">
        <v>23066830</v>
      </c>
      <c r="D124" s="419" t="s">
        <v>5606</v>
      </c>
      <c r="E124" s="421" t="str">
        <f t="shared" si="3"/>
        <v>Ensenada, BCN</v>
      </c>
      <c r="F124" s="409"/>
    </row>
    <row r="125" spans="1:6" x14ac:dyDescent="0.3">
      <c r="A125" s="418" t="s">
        <v>2245</v>
      </c>
      <c r="B125" s="419" t="s">
        <v>2246</v>
      </c>
      <c r="C125" s="419">
        <v>23072068</v>
      </c>
      <c r="D125" s="419" t="s">
        <v>5606</v>
      </c>
      <c r="E125" s="421" t="str">
        <f t="shared" si="3"/>
        <v>Ensenada, BCN</v>
      </c>
      <c r="F125" s="409"/>
    </row>
    <row r="126" spans="1:6" x14ac:dyDescent="0.3">
      <c r="A126" s="418" t="s">
        <v>2247</v>
      </c>
      <c r="B126" s="419" t="s">
        <v>2248</v>
      </c>
      <c r="C126" s="419">
        <v>23087904</v>
      </c>
      <c r="D126" s="419" t="s">
        <v>5606</v>
      </c>
      <c r="E126" s="421" t="str">
        <f t="shared" si="3"/>
        <v>Ensenada, BCN</v>
      </c>
      <c r="F126" s="409"/>
    </row>
    <row r="127" spans="1:6" x14ac:dyDescent="0.3">
      <c r="A127" s="418" t="s">
        <v>2249</v>
      </c>
      <c r="B127" s="419" t="s">
        <v>2250</v>
      </c>
      <c r="C127" s="419">
        <v>23067285</v>
      </c>
      <c r="D127" s="419" t="s">
        <v>5606</v>
      </c>
      <c r="E127" s="421" t="str">
        <f t="shared" si="3"/>
        <v>Ensenada, BCN</v>
      </c>
      <c r="F127" s="409"/>
    </row>
    <row r="128" spans="1:6" x14ac:dyDescent="0.3">
      <c r="A128" s="418" t="s">
        <v>2251</v>
      </c>
      <c r="B128" s="419" t="s">
        <v>2252</v>
      </c>
      <c r="C128" s="419">
        <v>23054963</v>
      </c>
      <c r="D128" s="419" t="s">
        <v>5606</v>
      </c>
      <c r="E128" s="421" t="str">
        <f t="shared" si="3"/>
        <v>Ensenada, BCN</v>
      </c>
      <c r="F128" s="409"/>
    </row>
    <row r="129" spans="1:6" x14ac:dyDescent="0.3">
      <c r="A129" s="418" t="s">
        <v>2253</v>
      </c>
      <c r="B129" s="419" t="s">
        <v>2254</v>
      </c>
      <c r="C129" s="419">
        <v>23074552</v>
      </c>
      <c r="D129" s="419" t="s">
        <v>5606</v>
      </c>
      <c r="E129" s="421" t="str">
        <f t="shared" si="3"/>
        <v>Ensenada, BCN</v>
      </c>
      <c r="F129" s="409"/>
    </row>
    <row r="130" spans="1:6" x14ac:dyDescent="0.3">
      <c r="A130" s="418" t="s">
        <v>2255</v>
      </c>
      <c r="B130" s="419" t="s">
        <v>2256</v>
      </c>
      <c r="C130" s="419">
        <v>23086971</v>
      </c>
      <c r="D130" s="419" t="s">
        <v>5606</v>
      </c>
      <c r="E130" s="421" t="str">
        <f t="shared" si="3"/>
        <v>Ensenada, BCN</v>
      </c>
      <c r="F130" s="409"/>
    </row>
    <row r="131" spans="1:6" x14ac:dyDescent="0.3">
      <c r="A131" s="418" t="s">
        <v>2257</v>
      </c>
      <c r="B131" s="419" t="s">
        <v>2258</v>
      </c>
      <c r="C131" s="419">
        <v>23097107</v>
      </c>
      <c r="D131" s="419" t="s">
        <v>5606</v>
      </c>
      <c r="E131" s="421" t="str">
        <f t="shared" si="3"/>
        <v>Ensenada, BCN</v>
      </c>
      <c r="F131" s="409"/>
    </row>
    <row r="132" spans="1:6" x14ac:dyDescent="0.3">
      <c r="A132" s="418" t="s">
        <v>2259</v>
      </c>
      <c r="B132" s="419" t="s">
        <v>2260</v>
      </c>
      <c r="C132" s="419">
        <v>23093883</v>
      </c>
      <c r="D132" s="419" t="s">
        <v>5606</v>
      </c>
      <c r="E132" s="421" t="str">
        <f t="shared" si="3"/>
        <v>Ensenada, BCN</v>
      </c>
      <c r="F132" s="409"/>
    </row>
    <row r="133" spans="1:6" x14ac:dyDescent="0.3">
      <c r="A133" s="416" t="s">
        <v>2332</v>
      </c>
      <c r="B133" s="417" t="s">
        <v>2333</v>
      </c>
      <c r="C133" s="417">
        <v>20211843</v>
      </c>
      <c r="D133" s="417" t="s">
        <v>5607</v>
      </c>
      <c r="E133" s="409" t="str">
        <f t="shared" si="3"/>
        <v>Guadalajara, Jal</v>
      </c>
      <c r="F133" s="409"/>
    </row>
    <row r="134" spans="1:6" x14ac:dyDescent="0.3">
      <c r="A134" s="416" t="s">
        <v>2334</v>
      </c>
      <c r="B134" s="417" t="s">
        <v>2335</v>
      </c>
      <c r="C134" s="417">
        <v>22189056</v>
      </c>
      <c r="D134" s="417" t="s">
        <v>5607</v>
      </c>
      <c r="E134" s="409" t="str">
        <f t="shared" si="3"/>
        <v>Guadalajara, Jal</v>
      </c>
      <c r="F134" s="409"/>
    </row>
    <row r="135" spans="1:6" x14ac:dyDescent="0.3">
      <c r="A135" s="418" t="s">
        <v>2414</v>
      </c>
      <c r="B135" s="419" t="s">
        <v>2415</v>
      </c>
      <c r="C135" s="419">
        <v>22165688</v>
      </c>
      <c r="D135" s="419" t="s">
        <v>5608</v>
      </c>
      <c r="E135" s="421" t="str">
        <f t="shared" si="3"/>
        <v>Guaymas, Son.</v>
      </c>
      <c r="F135" s="409"/>
    </row>
    <row r="136" spans="1:6" x14ac:dyDescent="0.3">
      <c r="A136" s="418" t="s">
        <v>2416</v>
      </c>
      <c r="B136" s="419" t="s">
        <v>2417</v>
      </c>
      <c r="C136" s="419">
        <v>22172389</v>
      </c>
      <c r="D136" s="419" t="s">
        <v>5608</v>
      </c>
      <c r="E136" s="421" t="str">
        <f t="shared" si="3"/>
        <v>Guaymas, Son.</v>
      </c>
      <c r="F136" s="409"/>
    </row>
    <row r="137" spans="1:6" x14ac:dyDescent="0.3">
      <c r="A137" s="418" t="s">
        <v>2418</v>
      </c>
      <c r="B137" s="419" t="s">
        <v>2419</v>
      </c>
      <c r="C137" s="419">
        <v>22173123</v>
      </c>
      <c r="D137" s="419" t="s">
        <v>5608</v>
      </c>
      <c r="E137" s="421" t="str">
        <f t="shared" si="3"/>
        <v>Guaymas, Son.</v>
      </c>
      <c r="F137" s="409"/>
    </row>
    <row r="138" spans="1:6" x14ac:dyDescent="0.3">
      <c r="A138" s="418" t="s">
        <v>2420</v>
      </c>
      <c r="B138" s="419" t="s">
        <v>2421</v>
      </c>
      <c r="C138" s="419">
        <v>22170380</v>
      </c>
      <c r="D138" s="419" t="s">
        <v>5608</v>
      </c>
      <c r="E138" s="421" t="str">
        <f t="shared" si="3"/>
        <v>Guaymas, Son.</v>
      </c>
      <c r="F138" s="409"/>
    </row>
    <row r="139" spans="1:6" x14ac:dyDescent="0.3">
      <c r="A139" s="418" t="s">
        <v>2422</v>
      </c>
      <c r="B139" s="419" t="s">
        <v>2423</v>
      </c>
      <c r="C139" s="419">
        <v>22196725</v>
      </c>
      <c r="D139" s="419" t="s">
        <v>5608</v>
      </c>
      <c r="E139" s="421" t="str">
        <f t="shared" si="3"/>
        <v>Guaymas, Son.</v>
      </c>
      <c r="F139" s="409"/>
    </row>
    <row r="140" spans="1:6" x14ac:dyDescent="0.3">
      <c r="A140" s="416" t="s">
        <v>2579</v>
      </c>
      <c r="B140" s="417" t="s">
        <v>5662</v>
      </c>
      <c r="C140" s="417">
        <v>23215302</v>
      </c>
      <c r="D140" s="417" t="s">
        <v>5602</v>
      </c>
      <c r="E140" s="409" t="str">
        <f t="shared" si="3"/>
        <v>Ciudad Hidalgo, Chis.</v>
      </c>
      <c r="F140" s="409"/>
    </row>
    <row r="141" spans="1:6" x14ac:dyDescent="0.3">
      <c r="A141" s="416" t="s">
        <v>2583</v>
      </c>
      <c r="B141" s="417" t="s">
        <v>5663</v>
      </c>
      <c r="C141" s="417">
        <v>23138076</v>
      </c>
      <c r="D141" s="417" t="s">
        <v>5602</v>
      </c>
      <c r="E141" s="409" t="str">
        <f t="shared" si="3"/>
        <v>Ciudad Hidalgo, Chis.</v>
      </c>
      <c r="F141" s="409"/>
    </row>
    <row r="142" spans="1:6" x14ac:dyDescent="0.3">
      <c r="A142" s="418" t="s">
        <v>2664</v>
      </c>
      <c r="B142" s="419" t="s">
        <v>2665</v>
      </c>
      <c r="C142" s="419">
        <v>20215215</v>
      </c>
      <c r="D142" s="419" t="s">
        <v>5609</v>
      </c>
      <c r="E142" s="421" t="str">
        <f t="shared" si="3"/>
        <v>Ciudad Juárez, Chih.</v>
      </c>
      <c r="F142" s="409"/>
    </row>
    <row r="143" spans="1:6" x14ac:dyDescent="0.3">
      <c r="A143" s="418" t="s">
        <v>2666</v>
      </c>
      <c r="B143" s="419" t="s">
        <v>2667</v>
      </c>
      <c r="C143" s="419">
        <v>23032892</v>
      </c>
      <c r="D143" s="419" t="s">
        <v>5609</v>
      </c>
      <c r="E143" s="421" t="str">
        <f t="shared" si="3"/>
        <v>Ciudad Juárez, Chih.</v>
      </c>
      <c r="F143" s="409"/>
    </row>
    <row r="144" spans="1:6" x14ac:dyDescent="0.3">
      <c r="A144" s="418" t="s">
        <v>2668</v>
      </c>
      <c r="B144" s="419" t="s">
        <v>2669</v>
      </c>
      <c r="C144" s="419">
        <v>23028548</v>
      </c>
      <c r="D144" s="419" t="s">
        <v>5609</v>
      </c>
      <c r="E144" s="421" t="str">
        <f t="shared" si="3"/>
        <v>Ciudad Juárez, Chih.</v>
      </c>
      <c r="F144" s="409"/>
    </row>
    <row r="145" spans="1:6" x14ac:dyDescent="0.3">
      <c r="A145" s="418" t="s">
        <v>2670</v>
      </c>
      <c r="B145" s="419" t="s">
        <v>2671</v>
      </c>
      <c r="C145" s="419">
        <v>22224680</v>
      </c>
      <c r="D145" s="419" t="s">
        <v>5609</v>
      </c>
      <c r="E145" s="421" t="str">
        <f t="shared" si="3"/>
        <v>Ciudad Juárez, Chih.</v>
      </c>
      <c r="F145" s="409"/>
    </row>
    <row r="146" spans="1:6" x14ac:dyDescent="0.3">
      <c r="A146" s="418" t="s">
        <v>2672</v>
      </c>
      <c r="B146" s="419" t="s">
        <v>2673</v>
      </c>
      <c r="C146" s="419">
        <v>23197422</v>
      </c>
      <c r="D146" s="419" t="s">
        <v>5609</v>
      </c>
      <c r="E146" s="421" t="str">
        <f t="shared" si="3"/>
        <v>Ciudad Juárez, Chih.</v>
      </c>
      <c r="F146" s="409"/>
    </row>
    <row r="147" spans="1:6" x14ac:dyDescent="0.3">
      <c r="A147" s="418" t="s">
        <v>2674</v>
      </c>
      <c r="B147" s="419" t="s">
        <v>2675</v>
      </c>
      <c r="C147" s="419">
        <v>23161872</v>
      </c>
      <c r="D147" s="419" t="s">
        <v>5609</v>
      </c>
      <c r="E147" s="421" t="str">
        <f t="shared" si="3"/>
        <v>Ciudad Juárez, Chih.</v>
      </c>
      <c r="F147" s="409"/>
    </row>
    <row r="148" spans="1:6" x14ac:dyDescent="0.3">
      <c r="A148" s="418" t="s">
        <v>2676</v>
      </c>
      <c r="B148" s="419" t="s">
        <v>2677</v>
      </c>
      <c r="C148" s="419">
        <v>23092177</v>
      </c>
      <c r="D148" s="419" t="s">
        <v>5609</v>
      </c>
      <c r="E148" s="421" t="str">
        <f t="shared" si="3"/>
        <v>Ciudad Juárez, Chih.</v>
      </c>
      <c r="F148" s="409"/>
    </row>
    <row r="149" spans="1:6" x14ac:dyDescent="0.3">
      <c r="A149" s="418" t="s">
        <v>2678</v>
      </c>
      <c r="B149" s="419" t="s">
        <v>2679</v>
      </c>
      <c r="C149" s="419">
        <v>23013774</v>
      </c>
      <c r="D149" s="419" t="s">
        <v>5609</v>
      </c>
      <c r="E149" s="421" t="str">
        <f t="shared" si="3"/>
        <v>Ciudad Juárez, Chih.</v>
      </c>
      <c r="F149" s="409"/>
    </row>
    <row r="150" spans="1:6" x14ac:dyDescent="0.3">
      <c r="A150" s="418" t="s">
        <v>2680</v>
      </c>
      <c r="B150" s="419" t="s">
        <v>2681</v>
      </c>
      <c r="C150" s="419">
        <v>23012715</v>
      </c>
      <c r="D150" s="419" t="s">
        <v>5609</v>
      </c>
      <c r="E150" s="421" t="str">
        <f t="shared" si="3"/>
        <v>Ciudad Juárez, Chih.</v>
      </c>
      <c r="F150" s="409"/>
    </row>
    <row r="151" spans="1:6" x14ac:dyDescent="0.3">
      <c r="A151" s="418" t="s">
        <v>2682</v>
      </c>
      <c r="B151" s="419" t="s">
        <v>5664</v>
      </c>
      <c r="C151" s="419">
        <v>23198475</v>
      </c>
      <c r="D151" s="419" t="s">
        <v>5609</v>
      </c>
      <c r="E151" s="421" t="str">
        <f t="shared" si="3"/>
        <v>Ciudad Juárez, Chih.</v>
      </c>
      <c r="F151" s="409"/>
    </row>
    <row r="152" spans="1:6" x14ac:dyDescent="0.3">
      <c r="A152" s="418" t="s">
        <v>2685</v>
      </c>
      <c r="B152" s="419" t="s">
        <v>2686</v>
      </c>
      <c r="C152" s="419">
        <v>23163157</v>
      </c>
      <c r="D152" s="419" t="s">
        <v>5609</v>
      </c>
      <c r="E152" s="421" t="str">
        <f t="shared" si="3"/>
        <v>Ciudad Juárez, Chih.</v>
      </c>
      <c r="F152" s="409"/>
    </row>
    <row r="153" spans="1:6" x14ac:dyDescent="0.3">
      <c r="A153" s="418" t="s">
        <v>2687</v>
      </c>
      <c r="B153" s="419" t="s">
        <v>2688</v>
      </c>
      <c r="C153" s="419">
        <v>23162218</v>
      </c>
      <c r="D153" s="419" t="s">
        <v>5609</v>
      </c>
      <c r="E153" s="421" t="str">
        <f t="shared" si="3"/>
        <v>Ciudad Juárez, Chih.</v>
      </c>
      <c r="F153" s="409"/>
    </row>
    <row r="154" spans="1:6" x14ac:dyDescent="0.3">
      <c r="A154" s="418" t="s">
        <v>2689</v>
      </c>
      <c r="B154" s="419" t="s">
        <v>2690</v>
      </c>
      <c r="C154" s="419">
        <v>23163649</v>
      </c>
      <c r="D154" s="419" t="s">
        <v>5609</v>
      </c>
      <c r="E154" s="421" t="str">
        <f t="shared" si="3"/>
        <v>Ciudad Juárez, Chih.</v>
      </c>
      <c r="F154" s="409"/>
    </row>
    <row r="155" spans="1:6" x14ac:dyDescent="0.3">
      <c r="A155" s="418" t="s">
        <v>2691</v>
      </c>
      <c r="B155" s="419" t="s">
        <v>2692</v>
      </c>
      <c r="C155" s="419">
        <v>23030452</v>
      </c>
      <c r="D155" s="419" t="s">
        <v>5609</v>
      </c>
      <c r="E155" s="421" t="str">
        <f t="shared" si="3"/>
        <v>Ciudad Juárez, Chih.</v>
      </c>
      <c r="F155" s="409"/>
    </row>
    <row r="156" spans="1:6" x14ac:dyDescent="0.3">
      <c r="A156" s="418" t="s">
        <v>2693</v>
      </c>
      <c r="B156" s="419" t="s">
        <v>2694</v>
      </c>
      <c r="C156" s="419">
        <v>23013682</v>
      </c>
      <c r="D156" s="419" t="s">
        <v>5609</v>
      </c>
      <c r="E156" s="421" t="str">
        <f t="shared" si="3"/>
        <v>Ciudad Juárez, Chih.</v>
      </c>
      <c r="F156" s="409"/>
    </row>
    <row r="157" spans="1:6" x14ac:dyDescent="0.3">
      <c r="A157" s="418" t="s">
        <v>2695</v>
      </c>
      <c r="B157" s="419" t="s">
        <v>2698</v>
      </c>
      <c r="C157" s="419">
        <v>23032647</v>
      </c>
      <c r="D157" s="419" t="s">
        <v>5609</v>
      </c>
      <c r="E157" s="421" t="str">
        <f t="shared" si="3"/>
        <v>Ciudad Juárez, Chih.</v>
      </c>
      <c r="F157" s="409"/>
    </row>
    <row r="158" spans="1:6" x14ac:dyDescent="0.3">
      <c r="A158" s="418" t="s">
        <v>2697</v>
      </c>
      <c r="B158" s="419" t="s">
        <v>2700</v>
      </c>
      <c r="C158" s="419">
        <v>23029434</v>
      </c>
      <c r="D158" s="419" t="s">
        <v>5609</v>
      </c>
      <c r="E158" s="421" t="str">
        <f t="shared" si="3"/>
        <v>Ciudad Juárez, Chih.</v>
      </c>
      <c r="F158" s="409"/>
    </row>
    <row r="159" spans="1:6" x14ac:dyDescent="0.3">
      <c r="A159" s="418" t="s">
        <v>2699</v>
      </c>
      <c r="B159" s="419" t="s">
        <v>5665</v>
      </c>
      <c r="C159" s="419">
        <v>23147817</v>
      </c>
      <c r="D159" s="419" t="s">
        <v>5609</v>
      </c>
      <c r="E159" s="421" t="str">
        <f t="shared" si="3"/>
        <v>Ciudad Juárez, Chih.</v>
      </c>
      <c r="F159" s="409"/>
    </row>
    <row r="160" spans="1:6" x14ac:dyDescent="0.3">
      <c r="A160" s="418" t="s">
        <v>2701</v>
      </c>
      <c r="B160" s="419" t="s">
        <v>2705</v>
      </c>
      <c r="C160" s="419">
        <v>22186105</v>
      </c>
      <c r="D160" s="419" t="s">
        <v>5609</v>
      </c>
      <c r="E160" s="421" t="str">
        <f t="shared" si="3"/>
        <v>Ciudad Juárez, Chih.</v>
      </c>
      <c r="F160" s="409"/>
    </row>
    <row r="161" spans="1:6" x14ac:dyDescent="0.3">
      <c r="A161" s="418" t="s">
        <v>2704</v>
      </c>
      <c r="B161" s="419" t="s">
        <v>2707</v>
      </c>
      <c r="C161" s="419">
        <v>23030947</v>
      </c>
      <c r="D161" s="419" t="s">
        <v>5609</v>
      </c>
      <c r="E161" s="421" t="str">
        <f t="shared" si="3"/>
        <v>Ciudad Juárez, Chih.</v>
      </c>
      <c r="F161" s="409"/>
    </row>
    <row r="162" spans="1:6" x14ac:dyDescent="0.3">
      <c r="A162" s="418" t="s">
        <v>2706</v>
      </c>
      <c r="B162" s="419" t="s">
        <v>2709</v>
      </c>
      <c r="C162" s="419">
        <v>23095501</v>
      </c>
      <c r="D162" s="419" t="s">
        <v>5609</v>
      </c>
      <c r="E162" s="421" t="str">
        <f t="shared" si="3"/>
        <v>Ciudad Juárez, Chih.</v>
      </c>
      <c r="F162" s="409"/>
    </row>
    <row r="163" spans="1:6" x14ac:dyDescent="0.3">
      <c r="A163" s="418" t="s">
        <v>2708</v>
      </c>
      <c r="B163" s="419" t="s">
        <v>2711</v>
      </c>
      <c r="C163" s="419">
        <v>23011597</v>
      </c>
      <c r="D163" s="419" t="s">
        <v>5609</v>
      </c>
      <c r="E163" s="421" t="str">
        <f t="shared" si="3"/>
        <v>Ciudad Juárez, Chih.</v>
      </c>
      <c r="F163" s="409"/>
    </row>
    <row r="164" spans="1:6" x14ac:dyDescent="0.3">
      <c r="A164" s="418" t="s">
        <v>2710</v>
      </c>
      <c r="B164" s="419" t="s">
        <v>2713</v>
      </c>
      <c r="C164" s="419">
        <v>23147634</v>
      </c>
      <c r="D164" s="419" t="s">
        <v>5609</v>
      </c>
      <c r="E164" s="421" t="str">
        <f t="shared" si="3"/>
        <v>Ciudad Juárez, Chih.</v>
      </c>
      <c r="F164" s="409"/>
    </row>
    <row r="165" spans="1:6" x14ac:dyDescent="0.3">
      <c r="A165" s="418" t="s">
        <v>2712</v>
      </c>
      <c r="B165" s="419" t="s">
        <v>2715</v>
      </c>
      <c r="C165" s="419">
        <v>23016039</v>
      </c>
      <c r="D165" s="419" t="s">
        <v>5609</v>
      </c>
      <c r="E165" s="421" t="str">
        <f t="shared" si="3"/>
        <v>Ciudad Juárez, Chih.</v>
      </c>
      <c r="F165" s="409"/>
    </row>
    <row r="166" spans="1:6" x14ac:dyDescent="0.3">
      <c r="A166" s="416" t="s">
        <v>2934</v>
      </c>
      <c r="B166" s="417" t="s">
        <v>2937</v>
      </c>
      <c r="C166" s="417">
        <v>23147509</v>
      </c>
      <c r="D166" s="417" t="s">
        <v>5610</v>
      </c>
      <c r="E166" s="409" t="str">
        <f t="shared" si="3"/>
        <v>Lázaro Cárdenas, Mich.</v>
      </c>
      <c r="F166" s="409"/>
    </row>
    <row r="167" spans="1:6" x14ac:dyDescent="0.3">
      <c r="A167" s="416" t="s">
        <v>2936</v>
      </c>
      <c r="B167" s="417" t="s">
        <v>2939</v>
      </c>
      <c r="C167" s="417">
        <v>23176659</v>
      </c>
      <c r="D167" s="417" t="s">
        <v>5610</v>
      </c>
      <c r="E167" s="409" t="str">
        <f t="shared" si="3"/>
        <v>Lázaro Cárdenas, Mich.</v>
      </c>
      <c r="F167" s="409"/>
    </row>
    <row r="168" spans="1:6" x14ac:dyDescent="0.3">
      <c r="A168" s="416" t="s">
        <v>2938</v>
      </c>
      <c r="B168" s="417" t="s">
        <v>2941</v>
      </c>
      <c r="C168" s="417">
        <v>23094114</v>
      </c>
      <c r="D168" s="417" t="s">
        <v>5610</v>
      </c>
      <c r="E168" s="409" t="str">
        <f t="shared" si="3"/>
        <v>Lázaro Cárdenas, Mich.</v>
      </c>
      <c r="F168" s="409"/>
    </row>
    <row r="169" spans="1:6" ht="14.4" customHeight="1" x14ac:dyDescent="0.3">
      <c r="A169" s="416" t="s">
        <v>2940</v>
      </c>
      <c r="B169" s="417" t="s">
        <v>2943</v>
      </c>
      <c r="C169" s="417">
        <v>23147816</v>
      </c>
      <c r="D169" s="417" t="s">
        <v>5610</v>
      </c>
      <c r="E169" s="409" t="str">
        <f t="shared" si="3"/>
        <v>Lázaro Cárdenas, Mich.</v>
      </c>
      <c r="F169" s="409"/>
    </row>
    <row r="170" spans="1:6" x14ac:dyDescent="0.3">
      <c r="A170" s="416" t="s">
        <v>2942</v>
      </c>
      <c r="B170" s="417" t="s">
        <v>2945</v>
      </c>
      <c r="C170" s="417">
        <v>23147902</v>
      </c>
      <c r="D170" s="417" t="s">
        <v>5610</v>
      </c>
      <c r="E170" s="409" t="str">
        <f t="shared" si="3"/>
        <v>Lázaro Cárdenas, Mich.</v>
      </c>
      <c r="F170" s="409"/>
    </row>
    <row r="171" spans="1:6" x14ac:dyDescent="0.3">
      <c r="A171" s="416" t="s">
        <v>2944</v>
      </c>
      <c r="B171" s="417" t="s">
        <v>2949</v>
      </c>
      <c r="C171" s="417">
        <v>23198929</v>
      </c>
      <c r="D171" s="417" t="s">
        <v>5610</v>
      </c>
      <c r="E171" s="409" t="str">
        <f t="shared" si="3"/>
        <v>Lázaro Cárdenas, Mich.</v>
      </c>
      <c r="F171" s="409"/>
    </row>
    <row r="172" spans="1:6" x14ac:dyDescent="0.3">
      <c r="A172" s="416" t="s">
        <v>2946</v>
      </c>
      <c r="B172" s="417" t="s">
        <v>2951</v>
      </c>
      <c r="C172" s="417">
        <v>23156740</v>
      </c>
      <c r="D172" s="417" t="s">
        <v>5610</v>
      </c>
      <c r="E172" s="409" t="str">
        <f t="shared" si="3"/>
        <v>Lázaro Cárdenas, Mich.</v>
      </c>
      <c r="F172" s="409"/>
    </row>
    <row r="173" spans="1:6" x14ac:dyDescent="0.3">
      <c r="A173" s="416" t="s">
        <v>2948</v>
      </c>
      <c r="B173" s="417" t="s">
        <v>2953</v>
      </c>
      <c r="C173" s="417">
        <v>23156987</v>
      </c>
      <c r="D173" s="417" t="s">
        <v>5610</v>
      </c>
      <c r="E173" s="409" t="str">
        <f t="shared" ref="E173:E175" si="4">VLOOKUP(D173,ADUANAS1,2,FALSE)</f>
        <v>Lázaro Cárdenas, Mich.</v>
      </c>
      <c r="F173" s="409"/>
    </row>
    <row r="174" spans="1:6" x14ac:dyDescent="0.3">
      <c r="A174" s="416" t="s">
        <v>2950</v>
      </c>
      <c r="B174" s="417" t="s">
        <v>2955</v>
      </c>
      <c r="C174" s="417">
        <v>23148027</v>
      </c>
      <c r="D174" s="417" t="s">
        <v>5610</v>
      </c>
      <c r="E174" s="409" t="str">
        <f t="shared" si="4"/>
        <v>Lázaro Cárdenas, Mich.</v>
      </c>
      <c r="F174" s="409"/>
    </row>
    <row r="175" spans="1:6" x14ac:dyDescent="0.3">
      <c r="A175" s="416" t="s">
        <v>2952</v>
      </c>
      <c r="B175" s="417" t="s">
        <v>2957</v>
      </c>
      <c r="C175" s="417">
        <v>23185643</v>
      </c>
      <c r="D175" s="417" t="s">
        <v>5610</v>
      </c>
      <c r="E175" s="409" t="str">
        <f t="shared" si="4"/>
        <v>Lázaro Cárdenas, Mich.</v>
      </c>
      <c r="F175" s="409"/>
    </row>
    <row r="176" spans="1:6" x14ac:dyDescent="0.3">
      <c r="A176" s="416" t="s">
        <v>2954</v>
      </c>
      <c r="B176" s="417" t="s">
        <v>2959</v>
      </c>
      <c r="C176" s="417">
        <v>23210369</v>
      </c>
      <c r="D176" s="417" t="s">
        <v>5610</v>
      </c>
      <c r="E176" s="409" t="str">
        <f t="shared" ref="E176:E207" si="5">VLOOKUP(D176,ADUANAS1,2,FALSE)</f>
        <v>Lázaro Cárdenas, Mich.</v>
      </c>
      <c r="F176" s="409"/>
    </row>
    <row r="177" spans="1:6" x14ac:dyDescent="0.3">
      <c r="A177" s="416" t="s">
        <v>2956</v>
      </c>
      <c r="B177" s="417" t="s">
        <v>2961</v>
      </c>
      <c r="C177" s="417">
        <v>23215350</v>
      </c>
      <c r="D177" s="417" t="s">
        <v>5610</v>
      </c>
      <c r="E177" s="409" t="str">
        <f t="shared" si="5"/>
        <v>Lázaro Cárdenas, Mich.</v>
      </c>
      <c r="F177" s="409"/>
    </row>
    <row r="178" spans="1:6" x14ac:dyDescent="0.3">
      <c r="A178" s="416" t="s">
        <v>2958</v>
      </c>
      <c r="B178" s="417" t="s">
        <v>2963</v>
      </c>
      <c r="C178" s="417">
        <v>23197436</v>
      </c>
      <c r="D178" s="417" t="s">
        <v>5610</v>
      </c>
      <c r="E178" s="409" t="str">
        <f t="shared" si="5"/>
        <v>Lázaro Cárdenas, Mich.</v>
      </c>
      <c r="F178" s="409"/>
    </row>
    <row r="179" spans="1:6" x14ac:dyDescent="0.3">
      <c r="A179" s="416" t="s">
        <v>2960</v>
      </c>
      <c r="B179" s="417" t="s">
        <v>2965</v>
      </c>
      <c r="C179" s="417">
        <v>23215663</v>
      </c>
      <c r="D179" s="417" t="s">
        <v>5610</v>
      </c>
      <c r="E179" s="409" t="str">
        <f t="shared" si="5"/>
        <v>Lázaro Cárdenas, Mich.</v>
      </c>
      <c r="F179" s="409"/>
    </row>
    <row r="180" spans="1:6" x14ac:dyDescent="0.3">
      <c r="A180" s="416" t="s">
        <v>2962</v>
      </c>
      <c r="B180" s="417" t="s">
        <v>2967</v>
      </c>
      <c r="C180" s="417">
        <v>23057497</v>
      </c>
      <c r="D180" s="417" t="s">
        <v>5610</v>
      </c>
      <c r="E180" s="409" t="str">
        <f t="shared" si="5"/>
        <v>Lázaro Cárdenas, Mich.</v>
      </c>
      <c r="F180" s="409"/>
    </row>
    <row r="181" spans="1:6" x14ac:dyDescent="0.3">
      <c r="A181" s="416" t="s">
        <v>2964</v>
      </c>
      <c r="B181" s="417" t="s">
        <v>2969</v>
      </c>
      <c r="C181" s="417">
        <v>23149522</v>
      </c>
      <c r="D181" s="417" t="s">
        <v>5610</v>
      </c>
      <c r="E181" s="409" t="str">
        <f t="shared" si="5"/>
        <v>Lázaro Cárdenas, Mich.</v>
      </c>
      <c r="F181" s="409"/>
    </row>
    <row r="182" spans="1:6" x14ac:dyDescent="0.3">
      <c r="A182" s="416" t="s">
        <v>2966</v>
      </c>
      <c r="B182" s="417" t="s">
        <v>2971</v>
      </c>
      <c r="C182" s="417">
        <v>23155435</v>
      </c>
      <c r="D182" s="417" t="s">
        <v>5610</v>
      </c>
      <c r="E182" s="409" t="str">
        <f t="shared" si="5"/>
        <v>Lázaro Cárdenas, Mich.</v>
      </c>
      <c r="F182" s="409"/>
    </row>
    <row r="183" spans="1:6" x14ac:dyDescent="0.3">
      <c r="A183" s="416" t="s">
        <v>2968</v>
      </c>
      <c r="B183" s="417" t="s">
        <v>2973</v>
      </c>
      <c r="C183" s="417">
        <v>23157626</v>
      </c>
      <c r="D183" s="417" t="s">
        <v>5610</v>
      </c>
      <c r="E183" s="409" t="str">
        <f t="shared" si="5"/>
        <v>Lázaro Cárdenas, Mich.</v>
      </c>
      <c r="F183" s="409"/>
    </row>
    <row r="184" spans="1:6" x14ac:dyDescent="0.3">
      <c r="A184" s="416" t="s">
        <v>2970</v>
      </c>
      <c r="B184" s="417" t="s">
        <v>2975</v>
      </c>
      <c r="C184" s="417">
        <v>23139154</v>
      </c>
      <c r="D184" s="417" t="s">
        <v>5610</v>
      </c>
      <c r="E184" s="409" t="str">
        <f t="shared" si="5"/>
        <v>Lázaro Cárdenas, Mich.</v>
      </c>
      <c r="F184" s="409"/>
    </row>
    <row r="185" spans="1:6" x14ac:dyDescent="0.3">
      <c r="A185" s="416" t="s">
        <v>2972</v>
      </c>
      <c r="B185" s="417" t="s">
        <v>2977</v>
      </c>
      <c r="C185" s="417">
        <v>23187396</v>
      </c>
      <c r="D185" s="417" t="s">
        <v>5610</v>
      </c>
      <c r="E185" s="409" t="str">
        <f t="shared" si="5"/>
        <v>Lázaro Cárdenas, Mich.</v>
      </c>
      <c r="F185" s="409"/>
    </row>
    <row r="186" spans="1:6" x14ac:dyDescent="0.3">
      <c r="A186" s="416" t="s">
        <v>2974</v>
      </c>
      <c r="B186" s="417" t="s">
        <v>2979</v>
      </c>
      <c r="C186" s="417">
        <v>23214173</v>
      </c>
      <c r="D186" s="417" t="s">
        <v>5610</v>
      </c>
      <c r="E186" s="409" t="str">
        <f t="shared" si="5"/>
        <v>Lázaro Cárdenas, Mich.</v>
      </c>
      <c r="F186" s="409"/>
    </row>
    <row r="187" spans="1:6" x14ac:dyDescent="0.3">
      <c r="A187" s="416" t="s">
        <v>2976</v>
      </c>
      <c r="B187" s="417" t="s">
        <v>2981</v>
      </c>
      <c r="C187" s="417">
        <v>23157835</v>
      </c>
      <c r="D187" s="417" t="s">
        <v>5610</v>
      </c>
      <c r="E187" s="409" t="str">
        <f t="shared" si="5"/>
        <v>Lázaro Cárdenas, Mich.</v>
      </c>
      <c r="F187" s="409"/>
    </row>
    <row r="188" spans="1:6" x14ac:dyDescent="0.3">
      <c r="A188" s="416" t="s">
        <v>2978</v>
      </c>
      <c r="B188" s="417" t="s">
        <v>2983</v>
      </c>
      <c r="C188" s="417">
        <v>23167461</v>
      </c>
      <c r="D188" s="417" t="s">
        <v>5610</v>
      </c>
      <c r="E188" s="409" t="str">
        <f t="shared" si="5"/>
        <v>Lázaro Cárdenas, Mich.</v>
      </c>
      <c r="F188" s="409"/>
    </row>
    <row r="189" spans="1:6" x14ac:dyDescent="0.3">
      <c r="A189" s="416" t="s">
        <v>2980</v>
      </c>
      <c r="B189" s="417" t="s">
        <v>2985</v>
      </c>
      <c r="C189" s="417">
        <v>23147604</v>
      </c>
      <c r="D189" s="417" t="s">
        <v>5610</v>
      </c>
      <c r="E189" s="409" t="str">
        <f t="shared" si="5"/>
        <v>Lázaro Cárdenas, Mich.</v>
      </c>
      <c r="F189" s="409"/>
    </row>
    <row r="190" spans="1:6" x14ac:dyDescent="0.3">
      <c r="A190" s="416" t="s">
        <v>2982</v>
      </c>
      <c r="B190" s="417" t="s">
        <v>2989</v>
      </c>
      <c r="C190" s="417">
        <v>23148119</v>
      </c>
      <c r="D190" s="417" t="s">
        <v>5610</v>
      </c>
      <c r="E190" s="409" t="str">
        <f t="shared" si="5"/>
        <v>Lázaro Cárdenas, Mich.</v>
      </c>
      <c r="F190" s="409"/>
    </row>
    <row r="191" spans="1:6" x14ac:dyDescent="0.3">
      <c r="A191" s="416" t="s">
        <v>2984</v>
      </c>
      <c r="B191" s="417" t="s">
        <v>2991</v>
      </c>
      <c r="C191" s="417">
        <v>23217640</v>
      </c>
      <c r="D191" s="417" t="s">
        <v>5610</v>
      </c>
      <c r="E191" s="409" t="str">
        <f t="shared" si="5"/>
        <v>Lázaro Cárdenas, Mich.</v>
      </c>
      <c r="F191" s="409"/>
    </row>
    <row r="192" spans="1:6" x14ac:dyDescent="0.3">
      <c r="A192" s="416" t="s">
        <v>2986</v>
      </c>
      <c r="B192" s="417" t="s">
        <v>2993</v>
      </c>
      <c r="C192" s="417">
        <v>23150255</v>
      </c>
      <c r="D192" s="417" t="s">
        <v>5610</v>
      </c>
      <c r="E192" s="409" t="str">
        <f t="shared" si="5"/>
        <v>Lázaro Cárdenas, Mich.</v>
      </c>
      <c r="F192" s="409"/>
    </row>
    <row r="193" spans="1:6" x14ac:dyDescent="0.3">
      <c r="A193" s="416" t="s">
        <v>2988</v>
      </c>
      <c r="B193" s="417" t="s">
        <v>2995</v>
      </c>
      <c r="C193" s="417">
        <v>23095208</v>
      </c>
      <c r="D193" s="417" t="s">
        <v>5610</v>
      </c>
      <c r="E193" s="409" t="str">
        <f t="shared" si="5"/>
        <v>Lázaro Cárdenas, Mich.</v>
      </c>
      <c r="F193" s="409"/>
    </row>
    <row r="194" spans="1:6" x14ac:dyDescent="0.3">
      <c r="A194" s="416" t="s">
        <v>2990</v>
      </c>
      <c r="B194" s="417" t="s">
        <v>2997</v>
      </c>
      <c r="C194" s="417">
        <v>23214736</v>
      </c>
      <c r="D194" s="417" t="s">
        <v>5610</v>
      </c>
      <c r="E194" s="409" t="str">
        <f t="shared" si="5"/>
        <v>Lázaro Cárdenas, Mich.</v>
      </c>
      <c r="F194" s="409"/>
    </row>
    <row r="195" spans="1:6" x14ac:dyDescent="0.3">
      <c r="A195" s="416" t="s">
        <v>2992</v>
      </c>
      <c r="B195" s="417" t="s">
        <v>2999</v>
      </c>
      <c r="C195" s="417">
        <v>23155879</v>
      </c>
      <c r="D195" s="417" t="s">
        <v>5610</v>
      </c>
      <c r="E195" s="409" t="str">
        <f t="shared" si="5"/>
        <v>Lázaro Cárdenas, Mich.</v>
      </c>
      <c r="F195" s="409"/>
    </row>
    <row r="196" spans="1:6" x14ac:dyDescent="0.3">
      <c r="A196" s="418" t="s">
        <v>3047</v>
      </c>
      <c r="B196" s="419" t="s">
        <v>3048</v>
      </c>
      <c r="C196" s="419">
        <v>20090328</v>
      </c>
      <c r="D196" s="419" t="s">
        <v>5611</v>
      </c>
      <c r="E196" s="421" t="str">
        <f t="shared" si="5"/>
        <v>Ciudad Miguel Alemán</v>
      </c>
      <c r="F196" s="409"/>
    </row>
    <row r="197" spans="1:6" x14ac:dyDescent="0.3">
      <c r="A197" s="416" t="s">
        <v>3128</v>
      </c>
      <c r="B197" s="417" t="s">
        <v>3129</v>
      </c>
      <c r="C197" s="417">
        <v>23148036</v>
      </c>
      <c r="D197" s="417" t="s">
        <v>5613</v>
      </c>
      <c r="E197" s="409" t="str">
        <f t="shared" si="5"/>
        <v>Manzanillo</v>
      </c>
      <c r="F197" s="409"/>
    </row>
    <row r="198" spans="1:6" x14ac:dyDescent="0.3">
      <c r="A198" s="416" t="s">
        <v>3130</v>
      </c>
      <c r="B198" s="417" t="s">
        <v>3131</v>
      </c>
      <c r="C198" s="417">
        <v>23196936</v>
      </c>
      <c r="D198" s="417" t="s">
        <v>5613</v>
      </c>
      <c r="E198" s="409" t="str">
        <f t="shared" si="5"/>
        <v>Manzanillo</v>
      </c>
      <c r="F198" s="409"/>
    </row>
    <row r="199" spans="1:6" x14ac:dyDescent="0.3">
      <c r="A199" s="416" t="s">
        <v>3132</v>
      </c>
      <c r="B199" s="417" t="s">
        <v>3133</v>
      </c>
      <c r="C199" s="417">
        <v>23175750</v>
      </c>
      <c r="D199" s="417" t="s">
        <v>5613</v>
      </c>
      <c r="E199" s="409" t="str">
        <f t="shared" si="5"/>
        <v>Manzanillo</v>
      </c>
      <c r="F199" s="409"/>
    </row>
    <row r="200" spans="1:6" x14ac:dyDescent="0.3">
      <c r="A200" s="416" t="s">
        <v>3134</v>
      </c>
      <c r="B200" s="417" t="s">
        <v>3135</v>
      </c>
      <c r="C200" s="417">
        <v>23017713</v>
      </c>
      <c r="D200" s="417" t="s">
        <v>5613</v>
      </c>
      <c r="E200" s="409" t="str">
        <f t="shared" si="5"/>
        <v>Manzanillo</v>
      </c>
      <c r="F200" s="409"/>
    </row>
    <row r="201" spans="1:6" x14ac:dyDescent="0.3">
      <c r="A201" s="416" t="s">
        <v>3136</v>
      </c>
      <c r="B201" s="417" t="s">
        <v>3137</v>
      </c>
      <c r="C201" s="417">
        <v>23025898</v>
      </c>
      <c r="D201" s="417" t="s">
        <v>5613</v>
      </c>
      <c r="E201" s="409" t="str">
        <f t="shared" si="5"/>
        <v>Manzanillo</v>
      </c>
      <c r="F201" s="409"/>
    </row>
    <row r="202" spans="1:6" x14ac:dyDescent="0.3">
      <c r="A202" s="416" t="s">
        <v>3138</v>
      </c>
      <c r="B202" s="417" t="s">
        <v>3139</v>
      </c>
      <c r="C202" s="417">
        <v>23013608</v>
      </c>
      <c r="D202" s="417" t="s">
        <v>5613</v>
      </c>
      <c r="E202" s="409" t="str">
        <f t="shared" si="5"/>
        <v>Manzanillo</v>
      </c>
      <c r="F202" s="409"/>
    </row>
    <row r="203" spans="1:6" x14ac:dyDescent="0.3">
      <c r="A203" s="416" t="s">
        <v>3140</v>
      </c>
      <c r="B203" s="417" t="s">
        <v>3141</v>
      </c>
      <c r="C203" s="417">
        <v>23189672</v>
      </c>
      <c r="D203" s="417" t="s">
        <v>5613</v>
      </c>
      <c r="E203" s="409" t="str">
        <f t="shared" si="5"/>
        <v>Manzanillo</v>
      </c>
      <c r="F203" s="409"/>
    </row>
    <row r="204" spans="1:6" x14ac:dyDescent="0.3">
      <c r="A204" s="416" t="s">
        <v>3142</v>
      </c>
      <c r="B204" s="417" t="s">
        <v>3143</v>
      </c>
      <c r="C204" s="417">
        <v>23196931</v>
      </c>
      <c r="D204" s="417" t="s">
        <v>5613</v>
      </c>
      <c r="E204" s="409" t="str">
        <f t="shared" si="5"/>
        <v>Manzanillo</v>
      </c>
      <c r="F204" s="409"/>
    </row>
    <row r="205" spans="1:6" x14ac:dyDescent="0.3">
      <c r="A205" s="416" t="s">
        <v>3144</v>
      </c>
      <c r="B205" s="417" t="s">
        <v>3145</v>
      </c>
      <c r="C205" s="417">
        <v>23196934</v>
      </c>
      <c r="D205" s="417" t="s">
        <v>5613</v>
      </c>
      <c r="E205" s="409" t="str">
        <f t="shared" si="5"/>
        <v>Manzanillo</v>
      </c>
      <c r="F205" s="409"/>
    </row>
    <row r="206" spans="1:6" x14ac:dyDescent="0.3">
      <c r="A206" s="416" t="s">
        <v>3146</v>
      </c>
      <c r="B206" s="417" t="s">
        <v>3147</v>
      </c>
      <c r="C206" s="417">
        <v>23004765</v>
      </c>
      <c r="D206" s="417" t="s">
        <v>5613</v>
      </c>
      <c r="E206" s="409" t="str">
        <f t="shared" si="5"/>
        <v>Manzanillo</v>
      </c>
      <c r="F206" s="409"/>
    </row>
    <row r="207" spans="1:6" x14ac:dyDescent="0.3">
      <c r="A207" s="416" t="s">
        <v>3148</v>
      </c>
      <c r="B207" s="417" t="s">
        <v>3149</v>
      </c>
      <c r="C207" s="417">
        <v>23018758</v>
      </c>
      <c r="D207" s="417" t="s">
        <v>5613</v>
      </c>
      <c r="E207" s="409" t="str">
        <f t="shared" si="5"/>
        <v>Manzanillo</v>
      </c>
      <c r="F207" s="409"/>
    </row>
    <row r="208" spans="1:6" x14ac:dyDescent="0.3">
      <c r="A208" s="416" t="s">
        <v>3150</v>
      </c>
      <c r="B208" s="417" t="s">
        <v>3151</v>
      </c>
      <c r="C208" s="417">
        <v>23197118</v>
      </c>
      <c r="D208" s="417" t="s">
        <v>5613</v>
      </c>
      <c r="E208" s="409" t="str">
        <f t="shared" ref="E208:E238" si="6">VLOOKUP(D208,ADUANAS1,2,FALSE)</f>
        <v>Manzanillo</v>
      </c>
      <c r="F208" s="409"/>
    </row>
    <row r="209" spans="1:6" x14ac:dyDescent="0.3">
      <c r="A209" s="416" t="s">
        <v>3152</v>
      </c>
      <c r="B209" s="417" t="s">
        <v>3153</v>
      </c>
      <c r="C209" s="417">
        <v>23196935</v>
      </c>
      <c r="D209" s="417" t="s">
        <v>5613</v>
      </c>
      <c r="E209" s="409" t="str">
        <f t="shared" si="6"/>
        <v>Manzanillo</v>
      </c>
      <c r="F209" s="409"/>
    </row>
    <row r="210" spans="1:6" x14ac:dyDescent="0.3">
      <c r="A210" s="416" t="s">
        <v>3154</v>
      </c>
      <c r="B210" s="417" t="s">
        <v>3155</v>
      </c>
      <c r="C210" s="417">
        <v>23190778</v>
      </c>
      <c r="D210" s="417" t="s">
        <v>5613</v>
      </c>
      <c r="E210" s="409" t="str">
        <f t="shared" si="6"/>
        <v>Manzanillo</v>
      </c>
      <c r="F210" s="409"/>
    </row>
    <row r="211" spans="1:6" x14ac:dyDescent="0.3">
      <c r="A211" s="416" t="s">
        <v>3156</v>
      </c>
      <c r="B211" s="417" t="s">
        <v>3157</v>
      </c>
      <c r="C211" s="417">
        <v>23209021</v>
      </c>
      <c r="D211" s="417" t="s">
        <v>5613</v>
      </c>
      <c r="E211" s="409" t="str">
        <f t="shared" si="6"/>
        <v>Manzanillo</v>
      </c>
      <c r="F211" s="409"/>
    </row>
    <row r="212" spans="1:6" x14ac:dyDescent="0.3">
      <c r="A212" s="416" t="s">
        <v>3158</v>
      </c>
      <c r="B212" s="417" t="s">
        <v>3159</v>
      </c>
      <c r="C212" s="417">
        <v>23003245</v>
      </c>
      <c r="D212" s="417" t="s">
        <v>5613</v>
      </c>
      <c r="E212" s="409" t="str">
        <f t="shared" si="6"/>
        <v>Manzanillo</v>
      </c>
      <c r="F212" s="409"/>
    </row>
    <row r="213" spans="1:6" x14ac:dyDescent="0.3">
      <c r="A213" s="416" t="s">
        <v>3160</v>
      </c>
      <c r="B213" s="417" t="s">
        <v>3161</v>
      </c>
      <c r="C213" s="417">
        <v>23207592</v>
      </c>
      <c r="D213" s="417" t="s">
        <v>5613</v>
      </c>
      <c r="E213" s="409" t="str">
        <f t="shared" si="6"/>
        <v>Manzanillo</v>
      </c>
      <c r="F213" s="409"/>
    </row>
    <row r="214" spans="1:6" x14ac:dyDescent="0.3">
      <c r="A214" s="416" t="s">
        <v>3162</v>
      </c>
      <c r="B214" s="417" t="s">
        <v>3161</v>
      </c>
      <c r="C214" s="417">
        <v>23215315</v>
      </c>
      <c r="D214" s="417" t="s">
        <v>5613</v>
      </c>
      <c r="E214" s="409" t="str">
        <f t="shared" si="6"/>
        <v>Manzanillo</v>
      </c>
      <c r="F214" s="409"/>
    </row>
    <row r="215" spans="1:6" x14ac:dyDescent="0.3">
      <c r="A215" s="416" t="s">
        <v>3164</v>
      </c>
      <c r="B215" s="417" t="s">
        <v>3163</v>
      </c>
      <c r="C215" s="417">
        <v>23051290</v>
      </c>
      <c r="D215" s="417" t="s">
        <v>5613</v>
      </c>
      <c r="E215" s="409" t="str">
        <f t="shared" si="6"/>
        <v>Manzanillo</v>
      </c>
      <c r="F215" s="409"/>
    </row>
    <row r="216" spans="1:6" x14ac:dyDescent="0.3">
      <c r="A216" s="416" t="s">
        <v>3166</v>
      </c>
      <c r="B216" s="417" t="s">
        <v>3165</v>
      </c>
      <c r="C216" s="417">
        <v>23197335</v>
      </c>
      <c r="D216" s="417" t="s">
        <v>5613</v>
      </c>
      <c r="E216" s="409" t="str">
        <f t="shared" si="6"/>
        <v>Manzanillo</v>
      </c>
      <c r="F216" s="409"/>
    </row>
    <row r="217" spans="1:6" x14ac:dyDescent="0.3">
      <c r="A217" s="416" t="s">
        <v>3168</v>
      </c>
      <c r="B217" s="417" t="s">
        <v>3167</v>
      </c>
      <c r="C217" s="417">
        <v>23198208</v>
      </c>
      <c r="D217" s="417" t="s">
        <v>5613</v>
      </c>
      <c r="E217" s="409" t="str">
        <f t="shared" si="6"/>
        <v>Manzanillo</v>
      </c>
      <c r="F217" s="409"/>
    </row>
    <row r="218" spans="1:6" x14ac:dyDescent="0.3">
      <c r="A218" s="416" t="s">
        <v>3170</v>
      </c>
      <c r="B218" s="417" t="s">
        <v>3169</v>
      </c>
      <c r="C218" s="417">
        <v>23200660</v>
      </c>
      <c r="D218" s="417" t="s">
        <v>5613</v>
      </c>
      <c r="E218" s="409" t="str">
        <f t="shared" si="6"/>
        <v>Manzanillo</v>
      </c>
      <c r="F218" s="409"/>
    </row>
    <row r="219" spans="1:6" x14ac:dyDescent="0.3">
      <c r="A219" s="416" t="s">
        <v>3172</v>
      </c>
      <c r="B219" s="417" t="s">
        <v>3171</v>
      </c>
      <c r="C219" s="417">
        <v>23202863</v>
      </c>
      <c r="D219" s="417" t="s">
        <v>5613</v>
      </c>
      <c r="E219" s="409" t="str">
        <f t="shared" si="6"/>
        <v>Manzanillo</v>
      </c>
      <c r="F219" s="409"/>
    </row>
    <row r="220" spans="1:6" x14ac:dyDescent="0.3">
      <c r="A220" s="416" t="s">
        <v>3174</v>
      </c>
      <c r="B220" s="417" t="s">
        <v>3173</v>
      </c>
      <c r="C220" s="417">
        <v>23209234</v>
      </c>
      <c r="D220" s="417" t="s">
        <v>5613</v>
      </c>
      <c r="E220" s="409" t="str">
        <f t="shared" si="6"/>
        <v>Manzanillo</v>
      </c>
      <c r="F220" s="409"/>
    </row>
    <row r="221" spans="1:6" x14ac:dyDescent="0.3">
      <c r="A221" s="416" t="s">
        <v>3176</v>
      </c>
      <c r="B221" s="417" t="s">
        <v>3175</v>
      </c>
      <c r="C221" s="417">
        <v>23001067</v>
      </c>
      <c r="D221" s="417" t="s">
        <v>5613</v>
      </c>
      <c r="E221" s="409" t="str">
        <f t="shared" si="6"/>
        <v>Manzanillo</v>
      </c>
      <c r="F221" s="409"/>
    </row>
    <row r="222" spans="1:6" x14ac:dyDescent="0.3">
      <c r="A222" s="416" t="s">
        <v>3178</v>
      </c>
      <c r="B222" s="417" t="s">
        <v>3177</v>
      </c>
      <c r="C222" s="417">
        <v>23218083</v>
      </c>
      <c r="D222" s="417" t="s">
        <v>5613</v>
      </c>
      <c r="E222" s="409" t="str">
        <f t="shared" si="6"/>
        <v>Manzanillo</v>
      </c>
      <c r="F222" s="409"/>
    </row>
    <row r="223" spans="1:6" x14ac:dyDescent="0.3">
      <c r="A223" s="416" t="s">
        <v>3180</v>
      </c>
      <c r="B223" s="417" t="s">
        <v>3179</v>
      </c>
      <c r="C223" s="417">
        <v>23181564</v>
      </c>
      <c r="D223" s="417" t="s">
        <v>5613</v>
      </c>
      <c r="E223" s="409" t="str">
        <f t="shared" si="6"/>
        <v>Manzanillo</v>
      </c>
      <c r="F223" s="409"/>
    </row>
    <row r="224" spans="1:6" x14ac:dyDescent="0.3">
      <c r="A224" s="416" t="s">
        <v>3182</v>
      </c>
      <c r="B224" s="417" t="s">
        <v>3181</v>
      </c>
      <c r="C224" s="417">
        <v>22202247</v>
      </c>
      <c r="D224" s="417" t="s">
        <v>5613</v>
      </c>
      <c r="E224" s="409" t="str">
        <f t="shared" si="6"/>
        <v>Manzanillo</v>
      </c>
      <c r="F224" s="409"/>
    </row>
    <row r="225" spans="1:6" x14ac:dyDescent="0.3">
      <c r="A225" s="416" t="s">
        <v>3184</v>
      </c>
      <c r="B225" s="417" t="s">
        <v>3183</v>
      </c>
      <c r="C225" s="417">
        <v>23021021</v>
      </c>
      <c r="D225" s="417" t="s">
        <v>5613</v>
      </c>
      <c r="E225" s="409" t="str">
        <f t="shared" si="6"/>
        <v>Manzanillo</v>
      </c>
      <c r="F225" s="409"/>
    </row>
    <row r="226" spans="1:6" x14ac:dyDescent="0.3">
      <c r="A226" s="416" t="s">
        <v>3186</v>
      </c>
      <c r="B226" s="417" t="s">
        <v>3185</v>
      </c>
      <c r="C226" s="417">
        <v>23198209</v>
      </c>
      <c r="D226" s="417" t="s">
        <v>5613</v>
      </c>
      <c r="E226" s="409" t="str">
        <f t="shared" si="6"/>
        <v>Manzanillo</v>
      </c>
      <c r="F226" s="409"/>
    </row>
    <row r="227" spans="1:6" x14ac:dyDescent="0.3">
      <c r="A227" s="416" t="s">
        <v>3188</v>
      </c>
      <c r="B227" s="417" t="s">
        <v>3187</v>
      </c>
      <c r="C227" s="417">
        <v>23212994</v>
      </c>
      <c r="D227" s="417" t="s">
        <v>5613</v>
      </c>
      <c r="E227" s="409" t="str">
        <f t="shared" si="6"/>
        <v>Manzanillo</v>
      </c>
      <c r="F227" s="409"/>
    </row>
    <row r="228" spans="1:6" x14ac:dyDescent="0.3">
      <c r="A228" s="416" t="s">
        <v>3190</v>
      </c>
      <c r="B228" s="417" t="s">
        <v>3189</v>
      </c>
      <c r="C228" s="417">
        <v>23054703</v>
      </c>
      <c r="D228" s="417" t="s">
        <v>5613</v>
      </c>
      <c r="E228" s="409" t="str">
        <f t="shared" si="6"/>
        <v>Manzanillo</v>
      </c>
      <c r="F228" s="409"/>
    </row>
    <row r="229" spans="1:6" x14ac:dyDescent="0.3">
      <c r="A229" s="416" t="s">
        <v>3192</v>
      </c>
      <c r="B229" s="417" t="s">
        <v>3191</v>
      </c>
      <c r="C229" s="417">
        <v>23163350</v>
      </c>
      <c r="D229" s="417" t="s">
        <v>5613</v>
      </c>
      <c r="E229" s="409" t="str">
        <f t="shared" si="6"/>
        <v>Manzanillo</v>
      </c>
      <c r="F229" s="409"/>
    </row>
    <row r="230" spans="1:6" x14ac:dyDescent="0.3">
      <c r="A230" s="416" t="s">
        <v>3194</v>
      </c>
      <c r="B230" s="417" t="s">
        <v>3193</v>
      </c>
      <c r="C230" s="417">
        <v>23163160</v>
      </c>
      <c r="D230" s="417" t="s">
        <v>5613</v>
      </c>
      <c r="E230" s="409" t="str">
        <f t="shared" si="6"/>
        <v>Manzanillo</v>
      </c>
      <c r="F230" s="409"/>
    </row>
    <row r="231" spans="1:6" x14ac:dyDescent="0.3">
      <c r="A231" s="416" t="s">
        <v>3196</v>
      </c>
      <c r="B231" s="417" t="s">
        <v>3195</v>
      </c>
      <c r="C231" s="417">
        <v>23202830</v>
      </c>
      <c r="D231" s="417" t="s">
        <v>5613</v>
      </c>
      <c r="E231" s="409" t="str">
        <f t="shared" si="6"/>
        <v>Manzanillo</v>
      </c>
      <c r="F231" s="409"/>
    </row>
    <row r="232" spans="1:6" x14ac:dyDescent="0.3">
      <c r="A232" s="416" t="s">
        <v>3198</v>
      </c>
      <c r="B232" s="417" t="s">
        <v>3197</v>
      </c>
      <c r="C232" s="417">
        <v>23020828</v>
      </c>
      <c r="D232" s="417" t="s">
        <v>5613</v>
      </c>
      <c r="E232" s="409" t="str">
        <f t="shared" si="6"/>
        <v>Manzanillo</v>
      </c>
      <c r="F232" s="409"/>
    </row>
    <row r="233" spans="1:6" x14ac:dyDescent="0.3">
      <c r="A233" s="416" t="s">
        <v>3200</v>
      </c>
      <c r="B233" s="417" t="s">
        <v>3199</v>
      </c>
      <c r="C233" s="417">
        <v>23193129</v>
      </c>
      <c r="D233" s="417" t="s">
        <v>5613</v>
      </c>
      <c r="E233" s="409" t="str">
        <f t="shared" si="6"/>
        <v>Manzanillo</v>
      </c>
      <c r="F233" s="409"/>
    </row>
    <row r="234" spans="1:6" x14ac:dyDescent="0.3">
      <c r="A234" s="416" t="s">
        <v>3202</v>
      </c>
      <c r="B234" s="417" t="s">
        <v>3201</v>
      </c>
      <c r="C234" s="417">
        <v>23197425</v>
      </c>
      <c r="D234" s="417" t="s">
        <v>5613</v>
      </c>
      <c r="E234" s="409" t="str">
        <f t="shared" si="6"/>
        <v>Manzanillo</v>
      </c>
      <c r="F234" s="409"/>
    </row>
    <row r="235" spans="1:6" x14ac:dyDescent="0.3">
      <c r="A235" s="416" t="s">
        <v>3204</v>
      </c>
      <c r="B235" s="417" t="s">
        <v>3203</v>
      </c>
      <c r="C235" s="417">
        <v>23202263</v>
      </c>
      <c r="D235" s="417" t="s">
        <v>5613</v>
      </c>
      <c r="E235" s="409" t="str">
        <f t="shared" si="6"/>
        <v>Manzanillo</v>
      </c>
      <c r="F235" s="409"/>
    </row>
    <row r="236" spans="1:6" x14ac:dyDescent="0.3">
      <c r="A236" s="416" t="s">
        <v>3206</v>
      </c>
      <c r="B236" s="417" t="s">
        <v>3205</v>
      </c>
      <c r="C236" s="417">
        <v>23217802</v>
      </c>
      <c r="D236" s="417" t="s">
        <v>5613</v>
      </c>
      <c r="E236" s="409" t="str">
        <f t="shared" si="6"/>
        <v>Manzanillo</v>
      </c>
      <c r="F236" s="409"/>
    </row>
    <row r="237" spans="1:6" x14ac:dyDescent="0.3">
      <c r="A237" s="416" t="s">
        <v>3208</v>
      </c>
      <c r="B237" s="417" t="s">
        <v>3207</v>
      </c>
      <c r="C237" s="417">
        <v>23198478</v>
      </c>
      <c r="D237" s="417" t="s">
        <v>5613</v>
      </c>
      <c r="E237" s="409" t="str">
        <f t="shared" si="6"/>
        <v>Manzanillo</v>
      </c>
      <c r="F237" s="409"/>
    </row>
    <row r="238" spans="1:6" x14ac:dyDescent="0.3">
      <c r="A238" s="416" t="s">
        <v>3210</v>
      </c>
      <c r="B238" s="417" t="s">
        <v>3209</v>
      </c>
      <c r="C238" s="417">
        <v>23198348</v>
      </c>
      <c r="D238" s="417" t="s">
        <v>5613</v>
      </c>
      <c r="E238" s="409" t="str">
        <f t="shared" si="6"/>
        <v>Manzanillo</v>
      </c>
      <c r="F238" s="409"/>
    </row>
    <row r="239" spans="1:6" x14ac:dyDescent="0.3">
      <c r="A239" s="416" t="s">
        <v>3212</v>
      </c>
      <c r="B239" s="417" t="s">
        <v>3211</v>
      </c>
      <c r="C239" s="417">
        <v>23198265</v>
      </c>
      <c r="D239" s="417" t="s">
        <v>5613</v>
      </c>
      <c r="E239" s="409" t="str">
        <f t="shared" ref="E239:E295" si="7">VLOOKUP(D239,ADUANAS1,2,FALSE)</f>
        <v>Manzanillo</v>
      </c>
      <c r="F239" s="409"/>
    </row>
    <row r="240" spans="1:6" x14ac:dyDescent="0.3">
      <c r="A240" s="416" t="s">
        <v>3214</v>
      </c>
      <c r="B240" s="417" t="s">
        <v>3213</v>
      </c>
      <c r="C240" s="417">
        <v>23116466</v>
      </c>
      <c r="D240" s="417" t="s">
        <v>5613</v>
      </c>
      <c r="E240" s="409" t="str">
        <f t="shared" si="7"/>
        <v>Manzanillo</v>
      </c>
      <c r="F240" s="409"/>
    </row>
    <row r="241" spans="1:6" x14ac:dyDescent="0.3">
      <c r="A241" s="416" t="s">
        <v>3216</v>
      </c>
      <c r="B241" s="417" t="s">
        <v>3215</v>
      </c>
      <c r="C241" s="417">
        <v>23201367</v>
      </c>
      <c r="D241" s="417" t="s">
        <v>5613</v>
      </c>
      <c r="E241" s="409" t="str">
        <f t="shared" si="7"/>
        <v>Manzanillo</v>
      </c>
      <c r="F241" s="409"/>
    </row>
    <row r="242" spans="1:6" x14ac:dyDescent="0.3">
      <c r="A242" s="416" t="s">
        <v>3218</v>
      </c>
      <c r="B242" s="417" t="s">
        <v>3217</v>
      </c>
      <c r="C242" s="417">
        <v>23138643</v>
      </c>
      <c r="D242" s="417" t="s">
        <v>5613</v>
      </c>
      <c r="E242" s="409" t="str">
        <f t="shared" si="7"/>
        <v>Manzanillo</v>
      </c>
      <c r="F242" s="409"/>
    </row>
    <row r="243" spans="1:6" x14ac:dyDescent="0.3">
      <c r="A243" s="416" t="s">
        <v>3220</v>
      </c>
      <c r="B243" s="417" t="s">
        <v>3219</v>
      </c>
      <c r="C243" s="417">
        <v>23162179</v>
      </c>
      <c r="D243" s="417" t="s">
        <v>5613</v>
      </c>
      <c r="E243" s="409" t="str">
        <f t="shared" si="7"/>
        <v>Manzanillo</v>
      </c>
      <c r="F243" s="409"/>
    </row>
    <row r="244" spans="1:6" x14ac:dyDescent="0.3">
      <c r="A244" s="416" t="s">
        <v>3222</v>
      </c>
      <c r="B244" s="417" t="s">
        <v>3221</v>
      </c>
      <c r="C244" s="417">
        <v>23213095</v>
      </c>
      <c r="D244" s="417" t="s">
        <v>5613</v>
      </c>
      <c r="E244" s="409" t="str">
        <f t="shared" si="7"/>
        <v>Manzanillo</v>
      </c>
      <c r="F244" s="409"/>
    </row>
    <row r="245" spans="1:6" x14ac:dyDescent="0.3">
      <c r="A245" s="416" t="s">
        <v>3224</v>
      </c>
      <c r="B245" s="417" t="s">
        <v>3223</v>
      </c>
      <c r="C245" s="417">
        <v>23201361</v>
      </c>
      <c r="D245" s="417" t="s">
        <v>5613</v>
      </c>
      <c r="E245" s="409" t="str">
        <f t="shared" si="7"/>
        <v>Manzanillo</v>
      </c>
      <c r="F245" s="409"/>
    </row>
    <row r="246" spans="1:6" x14ac:dyDescent="0.3">
      <c r="A246" s="416" t="s">
        <v>3226</v>
      </c>
      <c r="B246" s="417" t="s">
        <v>3225</v>
      </c>
      <c r="C246" s="417">
        <v>23162963</v>
      </c>
      <c r="D246" s="417" t="s">
        <v>5613</v>
      </c>
      <c r="E246" s="409" t="str">
        <f t="shared" si="7"/>
        <v>Manzanillo</v>
      </c>
      <c r="F246" s="409"/>
    </row>
    <row r="247" spans="1:6" x14ac:dyDescent="0.3">
      <c r="A247" s="416" t="s">
        <v>3228</v>
      </c>
      <c r="B247" s="417" t="s">
        <v>3227</v>
      </c>
      <c r="C247" s="417">
        <v>23161873</v>
      </c>
      <c r="D247" s="417" t="s">
        <v>5613</v>
      </c>
      <c r="E247" s="409" t="str">
        <f t="shared" si="7"/>
        <v>Manzanillo</v>
      </c>
      <c r="F247" s="409"/>
    </row>
    <row r="248" spans="1:6" x14ac:dyDescent="0.3">
      <c r="A248" s="416" t="s">
        <v>3230</v>
      </c>
      <c r="B248" s="417" t="s">
        <v>3229</v>
      </c>
      <c r="C248" s="417">
        <v>23225422</v>
      </c>
      <c r="D248" s="417" t="s">
        <v>5613</v>
      </c>
      <c r="E248" s="409" t="str">
        <f t="shared" si="7"/>
        <v>Manzanillo</v>
      </c>
      <c r="F248" s="409"/>
    </row>
    <row r="249" spans="1:6" x14ac:dyDescent="0.3">
      <c r="A249" s="416" t="s">
        <v>3232</v>
      </c>
      <c r="B249" s="417" t="s">
        <v>3231</v>
      </c>
      <c r="C249" s="417">
        <v>23210522</v>
      </c>
      <c r="D249" s="417" t="s">
        <v>5613</v>
      </c>
      <c r="E249" s="409" t="str">
        <f t="shared" si="7"/>
        <v>Manzanillo</v>
      </c>
      <c r="F249" s="409"/>
    </row>
    <row r="250" spans="1:6" x14ac:dyDescent="0.3">
      <c r="A250" s="416" t="s">
        <v>3234</v>
      </c>
      <c r="B250" s="417" t="s">
        <v>3233</v>
      </c>
      <c r="C250" s="417">
        <v>23020811</v>
      </c>
      <c r="D250" s="417" t="s">
        <v>5613</v>
      </c>
      <c r="E250" s="409" t="str">
        <f t="shared" si="7"/>
        <v>Manzanillo</v>
      </c>
      <c r="F250" s="409"/>
    </row>
    <row r="251" spans="1:6" x14ac:dyDescent="0.3">
      <c r="A251" s="416" t="s">
        <v>3236</v>
      </c>
      <c r="B251" s="417" t="s">
        <v>3235</v>
      </c>
      <c r="C251" s="417">
        <v>23183079</v>
      </c>
      <c r="D251" s="417" t="s">
        <v>5613</v>
      </c>
      <c r="E251" s="409" t="str">
        <f t="shared" si="7"/>
        <v>Manzanillo</v>
      </c>
      <c r="F251" s="409"/>
    </row>
    <row r="252" spans="1:6" x14ac:dyDescent="0.3">
      <c r="A252" s="416" t="s">
        <v>3238</v>
      </c>
      <c r="B252" s="417" t="s">
        <v>3237</v>
      </c>
      <c r="C252" s="417">
        <v>23189680</v>
      </c>
      <c r="D252" s="417" t="s">
        <v>5613</v>
      </c>
      <c r="E252" s="409" t="str">
        <f t="shared" si="7"/>
        <v>Manzanillo</v>
      </c>
      <c r="F252" s="409"/>
    </row>
    <row r="253" spans="1:6" x14ac:dyDescent="0.3">
      <c r="A253" s="416" t="s">
        <v>3240</v>
      </c>
      <c r="B253" s="417" t="s">
        <v>3239</v>
      </c>
      <c r="C253" s="417">
        <v>23217987</v>
      </c>
      <c r="D253" s="417" t="s">
        <v>5613</v>
      </c>
      <c r="E253" s="409" t="str">
        <f t="shared" si="7"/>
        <v>Manzanillo</v>
      </c>
      <c r="F253" s="409"/>
    </row>
    <row r="254" spans="1:6" x14ac:dyDescent="0.3">
      <c r="A254" s="416" t="s">
        <v>3242</v>
      </c>
      <c r="B254" s="417" t="s">
        <v>3241</v>
      </c>
      <c r="C254" s="417">
        <v>23189251</v>
      </c>
      <c r="D254" s="417" t="s">
        <v>5613</v>
      </c>
      <c r="E254" s="409" t="str">
        <f t="shared" si="7"/>
        <v>Manzanillo</v>
      </c>
      <c r="F254" s="409"/>
    </row>
    <row r="255" spans="1:6" x14ac:dyDescent="0.3">
      <c r="A255" s="416" t="s">
        <v>3244</v>
      </c>
      <c r="B255" s="417" t="s">
        <v>3243</v>
      </c>
      <c r="C255" s="417">
        <v>23181231</v>
      </c>
      <c r="D255" s="417" t="s">
        <v>5613</v>
      </c>
      <c r="E255" s="409" t="str">
        <f t="shared" si="7"/>
        <v>Manzanillo</v>
      </c>
      <c r="F255" s="409"/>
    </row>
    <row r="256" spans="1:6" x14ac:dyDescent="0.3">
      <c r="A256" s="416" t="s">
        <v>3246</v>
      </c>
      <c r="B256" s="417" t="s">
        <v>3245</v>
      </c>
      <c r="C256" s="417">
        <v>23198474</v>
      </c>
      <c r="D256" s="417" t="s">
        <v>5613</v>
      </c>
      <c r="E256" s="409" t="str">
        <f t="shared" si="7"/>
        <v>Manzanillo</v>
      </c>
      <c r="F256" s="409"/>
    </row>
    <row r="257" spans="1:6" x14ac:dyDescent="0.3">
      <c r="A257" s="416" t="s">
        <v>3248</v>
      </c>
      <c r="B257" s="417" t="s">
        <v>3247</v>
      </c>
      <c r="C257" s="417">
        <v>23182587</v>
      </c>
      <c r="D257" s="417" t="s">
        <v>5613</v>
      </c>
      <c r="E257" s="409" t="str">
        <f t="shared" si="7"/>
        <v>Manzanillo</v>
      </c>
      <c r="F257" s="409"/>
    </row>
    <row r="258" spans="1:6" x14ac:dyDescent="0.3">
      <c r="A258" s="416" t="s">
        <v>3250</v>
      </c>
      <c r="B258" s="417" t="s">
        <v>3249</v>
      </c>
      <c r="C258" s="417">
        <v>23226024</v>
      </c>
      <c r="D258" s="417" t="s">
        <v>5613</v>
      </c>
      <c r="E258" s="409" t="str">
        <f t="shared" si="7"/>
        <v>Manzanillo</v>
      </c>
      <c r="F258" s="409"/>
    </row>
    <row r="259" spans="1:6" x14ac:dyDescent="0.3">
      <c r="A259" s="416" t="s">
        <v>3252</v>
      </c>
      <c r="B259" s="417" t="s">
        <v>3251</v>
      </c>
      <c r="C259" s="417">
        <v>23198993</v>
      </c>
      <c r="D259" s="417" t="s">
        <v>5613</v>
      </c>
      <c r="E259" s="409" t="str">
        <f t="shared" si="7"/>
        <v>Manzanillo</v>
      </c>
      <c r="F259" s="409"/>
    </row>
    <row r="260" spans="1:6" x14ac:dyDescent="0.3">
      <c r="A260" s="416" t="s">
        <v>3254</v>
      </c>
      <c r="B260" s="417" t="s">
        <v>3253</v>
      </c>
      <c r="C260" s="417">
        <v>23181588</v>
      </c>
      <c r="D260" s="417" t="s">
        <v>5613</v>
      </c>
      <c r="E260" s="409" t="str">
        <f t="shared" si="7"/>
        <v>Manzanillo</v>
      </c>
      <c r="F260" s="409"/>
    </row>
    <row r="261" spans="1:6" x14ac:dyDescent="0.3">
      <c r="A261" s="416" t="s">
        <v>3256</v>
      </c>
      <c r="B261" s="417" t="s">
        <v>3255</v>
      </c>
      <c r="C261" s="417">
        <v>23198972</v>
      </c>
      <c r="D261" s="417" t="s">
        <v>5613</v>
      </c>
      <c r="E261" s="409" t="str">
        <f t="shared" si="7"/>
        <v>Manzanillo</v>
      </c>
      <c r="F261" s="409"/>
    </row>
    <row r="262" spans="1:6" x14ac:dyDescent="0.3">
      <c r="A262" s="416" t="s">
        <v>3258</v>
      </c>
      <c r="B262" s="417" t="s">
        <v>3257</v>
      </c>
      <c r="C262" s="417">
        <v>23163282</v>
      </c>
      <c r="D262" s="417" t="s">
        <v>5613</v>
      </c>
      <c r="E262" s="409" t="str">
        <f t="shared" si="7"/>
        <v>Manzanillo</v>
      </c>
      <c r="F262" s="409"/>
    </row>
    <row r="263" spans="1:6" x14ac:dyDescent="0.3">
      <c r="A263" s="416" t="s">
        <v>3260</v>
      </c>
      <c r="B263" s="417" t="s">
        <v>3259</v>
      </c>
      <c r="C263" s="417">
        <v>23198472</v>
      </c>
      <c r="D263" s="417" t="s">
        <v>5613</v>
      </c>
      <c r="E263" s="409" t="str">
        <f t="shared" si="7"/>
        <v>Manzanillo</v>
      </c>
      <c r="F263" s="409"/>
    </row>
    <row r="264" spans="1:6" x14ac:dyDescent="0.3">
      <c r="A264" s="416" t="s">
        <v>3262</v>
      </c>
      <c r="B264" s="417" t="s">
        <v>3261</v>
      </c>
      <c r="C264" s="417">
        <v>23182232</v>
      </c>
      <c r="D264" s="417" t="s">
        <v>5613</v>
      </c>
      <c r="E264" s="409" t="str">
        <f t="shared" si="7"/>
        <v>Manzanillo</v>
      </c>
      <c r="F264" s="409"/>
    </row>
    <row r="265" spans="1:6" x14ac:dyDescent="0.3">
      <c r="A265" s="416" t="s">
        <v>3264</v>
      </c>
      <c r="B265" s="417" t="s">
        <v>3263</v>
      </c>
      <c r="C265" s="417">
        <v>23213328</v>
      </c>
      <c r="D265" s="417" t="s">
        <v>5613</v>
      </c>
      <c r="E265" s="409" t="str">
        <f t="shared" si="7"/>
        <v>Manzanillo</v>
      </c>
      <c r="F265" s="409"/>
    </row>
    <row r="266" spans="1:6" x14ac:dyDescent="0.3">
      <c r="A266" s="416" t="s">
        <v>3266</v>
      </c>
      <c r="B266" s="417" t="s">
        <v>3265</v>
      </c>
      <c r="C266" s="417">
        <v>23198450</v>
      </c>
      <c r="D266" s="417" t="s">
        <v>5613</v>
      </c>
      <c r="E266" s="409" t="str">
        <f t="shared" si="7"/>
        <v>Manzanillo</v>
      </c>
      <c r="F266" s="409"/>
    </row>
    <row r="267" spans="1:6" x14ac:dyDescent="0.3">
      <c r="A267" s="416" t="s">
        <v>3268</v>
      </c>
      <c r="B267" s="417" t="s">
        <v>3267</v>
      </c>
      <c r="C267" s="417">
        <v>23003694</v>
      </c>
      <c r="D267" s="417" t="s">
        <v>5613</v>
      </c>
      <c r="E267" s="409" t="str">
        <f t="shared" si="7"/>
        <v>Manzanillo</v>
      </c>
      <c r="F267" s="409"/>
    </row>
    <row r="268" spans="1:6" x14ac:dyDescent="0.3">
      <c r="A268" s="416" t="s">
        <v>3270</v>
      </c>
      <c r="B268" s="417" t="s">
        <v>3269</v>
      </c>
      <c r="C268" s="417">
        <v>23157514</v>
      </c>
      <c r="D268" s="417" t="s">
        <v>5613</v>
      </c>
      <c r="E268" s="409" t="str">
        <f t="shared" si="7"/>
        <v>Manzanillo</v>
      </c>
      <c r="F268" s="409"/>
    </row>
    <row r="269" spans="1:6" x14ac:dyDescent="0.3">
      <c r="A269" s="416" t="s">
        <v>3272</v>
      </c>
      <c r="B269" s="417" t="s">
        <v>3271</v>
      </c>
      <c r="C269" s="417">
        <v>23199000</v>
      </c>
      <c r="D269" s="417" t="s">
        <v>5613</v>
      </c>
      <c r="E269" s="409" t="str">
        <f t="shared" si="7"/>
        <v>Manzanillo</v>
      </c>
      <c r="F269" s="409"/>
    </row>
    <row r="270" spans="1:6" x14ac:dyDescent="0.3">
      <c r="A270" s="416" t="s">
        <v>3274</v>
      </c>
      <c r="B270" s="417" t="s">
        <v>3273</v>
      </c>
      <c r="C270" s="417">
        <v>23198207</v>
      </c>
      <c r="D270" s="417" t="s">
        <v>5613</v>
      </c>
      <c r="E270" s="409" t="str">
        <f t="shared" si="7"/>
        <v>Manzanillo</v>
      </c>
      <c r="F270" s="409"/>
    </row>
    <row r="271" spans="1:6" x14ac:dyDescent="0.3">
      <c r="A271" s="416" t="s">
        <v>3276</v>
      </c>
      <c r="B271" s="417" t="s">
        <v>3275</v>
      </c>
      <c r="C271" s="417">
        <v>23115582</v>
      </c>
      <c r="D271" s="417" t="s">
        <v>5613</v>
      </c>
      <c r="E271" s="409" t="str">
        <f t="shared" si="7"/>
        <v>Manzanillo</v>
      </c>
      <c r="F271" s="409"/>
    </row>
    <row r="272" spans="1:6" x14ac:dyDescent="0.3">
      <c r="A272" s="416" t="s">
        <v>3278</v>
      </c>
      <c r="B272" s="417" t="s">
        <v>3277</v>
      </c>
      <c r="C272" s="417">
        <v>23019373</v>
      </c>
      <c r="D272" s="417" t="s">
        <v>5613</v>
      </c>
      <c r="E272" s="409" t="str">
        <f t="shared" si="7"/>
        <v>Manzanillo</v>
      </c>
      <c r="F272" s="409"/>
    </row>
    <row r="273" spans="1:6" x14ac:dyDescent="0.3">
      <c r="A273" s="416" t="s">
        <v>3280</v>
      </c>
      <c r="B273" s="417" t="s">
        <v>3277</v>
      </c>
      <c r="C273" s="417">
        <v>23223105</v>
      </c>
      <c r="D273" s="417" t="s">
        <v>5613</v>
      </c>
      <c r="E273" s="409" t="str">
        <f t="shared" si="7"/>
        <v>Manzanillo</v>
      </c>
      <c r="F273" s="409"/>
    </row>
    <row r="274" spans="1:6" x14ac:dyDescent="0.3">
      <c r="A274" s="416" t="s">
        <v>3282</v>
      </c>
      <c r="B274" s="417" t="s">
        <v>3279</v>
      </c>
      <c r="C274" s="417">
        <v>23198262</v>
      </c>
      <c r="D274" s="417" t="s">
        <v>5613</v>
      </c>
      <c r="E274" s="409" t="str">
        <f t="shared" si="7"/>
        <v>Manzanillo</v>
      </c>
      <c r="F274" s="409"/>
    </row>
    <row r="275" spans="1:6" x14ac:dyDescent="0.3">
      <c r="A275" s="416" t="s">
        <v>3284</v>
      </c>
      <c r="B275" s="417" t="s">
        <v>3281</v>
      </c>
      <c r="C275" s="417">
        <v>23199409</v>
      </c>
      <c r="D275" s="417" t="s">
        <v>5613</v>
      </c>
      <c r="E275" s="409" t="str">
        <f t="shared" si="7"/>
        <v>Manzanillo</v>
      </c>
      <c r="F275" s="409"/>
    </row>
    <row r="276" spans="1:6" x14ac:dyDescent="0.3">
      <c r="A276" s="416" t="s">
        <v>3286</v>
      </c>
      <c r="B276" s="417" t="s">
        <v>3283</v>
      </c>
      <c r="C276" s="417">
        <v>23217156</v>
      </c>
      <c r="D276" s="417" t="s">
        <v>5613</v>
      </c>
      <c r="E276" s="409" t="str">
        <f t="shared" si="7"/>
        <v>Manzanillo</v>
      </c>
      <c r="F276" s="409"/>
    </row>
    <row r="277" spans="1:6" x14ac:dyDescent="0.3">
      <c r="A277" s="416" t="s">
        <v>3288</v>
      </c>
      <c r="B277" s="417" t="s">
        <v>3285</v>
      </c>
      <c r="C277" s="417">
        <v>23190354</v>
      </c>
      <c r="D277" s="417" t="s">
        <v>5613</v>
      </c>
      <c r="E277" s="409" t="str">
        <f t="shared" si="7"/>
        <v>Manzanillo</v>
      </c>
      <c r="F277" s="409"/>
    </row>
    <row r="278" spans="1:6" x14ac:dyDescent="0.3">
      <c r="A278" s="416" t="s">
        <v>3290</v>
      </c>
      <c r="B278" s="417" t="s">
        <v>3287</v>
      </c>
      <c r="C278" s="417">
        <v>23198930</v>
      </c>
      <c r="D278" s="417" t="s">
        <v>5613</v>
      </c>
      <c r="E278" s="409" t="str">
        <f t="shared" si="7"/>
        <v>Manzanillo</v>
      </c>
      <c r="F278" s="409"/>
    </row>
    <row r="279" spans="1:6" x14ac:dyDescent="0.3">
      <c r="A279" s="416" t="s">
        <v>3291</v>
      </c>
      <c r="B279" s="417" t="s">
        <v>3289</v>
      </c>
      <c r="C279" s="417">
        <v>23117562</v>
      </c>
      <c r="D279" s="417" t="s">
        <v>5613</v>
      </c>
      <c r="E279" s="409" t="str">
        <f t="shared" si="7"/>
        <v>Manzanillo</v>
      </c>
      <c r="F279" s="409"/>
    </row>
    <row r="280" spans="1:6" x14ac:dyDescent="0.3">
      <c r="A280" s="418" t="s">
        <v>3299</v>
      </c>
      <c r="B280" s="419" t="s">
        <v>5666</v>
      </c>
      <c r="C280" s="419">
        <v>23180324</v>
      </c>
      <c r="D280" s="419" t="s">
        <v>5614</v>
      </c>
      <c r="E280" s="421" t="str">
        <f t="shared" si="7"/>
        <v>Matamoros</v>
      </c>
      <c r="F280" s="409"/>
    </row>
    <row r="281" spans="1:6" x14ac:dyDescent="0.3">
      <c r="A281" s="418" t="s">
        <v>3302</v>
      </c>
      <c r="B281" s="419" t="s">
        <v>3303</v>
      </c>
      <c r="C281" s="419">
        <v>23188466</v>
      </c>
      <c r="D281" s="419" t="s">
        <v>5614</v>
      </c>
      <c r="E281" s="421" t="str">
        <f t="shared" si="7"/>
        <v>Matamoros</v>
      </c>
      <c r="F281" s="409"/>
    </row>
    <row r="282" spans="1:6" x14ac:dyDescent="0.3">
      <c r="A282" s="418" t="s">
        <v>3304</v>
      </c>
      <c r="B282" s="419" t="s">
        <v>5667</v>
      </c>
      <c r="C282" s="419">
        <v>23179749</v>
      </c>
      <c r="D282" s="419" t="s">
        <v>5614</v>
      </c>
      <c r="E282" s="421" t="str">
        <f t="shared" si="7"/>
        <v>Matamoros</v>
      </c>
      <c r="F282" s="409"/>
    </row>
    <row r="283" spans="1:6" x14ac:dyDescent="0.3">
      <c r="A283" s="418" t="s">
        <v>3307</v>
      </c>
      <c r="B283" s="419" t="s">
        <v>5668</v>
      </c>
      <c r="C283" s="419">
        <v>23195980</v>
      </c>
      <c r="D283" s="419" t="s">
        <v>5614</v>
      </c>
      <c r="E283" s="421" t="str">
        <f t="shared" si="7"/>
        <v>Matamoros</v>
      </c>
      <c r="F283" s="409"/>
    </row>
    <row r="284" spans="1:6" x14ac:dyDescent="0.3">
      <c r="A284" s="418" t="s">
        <v>3310</v>
      </c>
      <c r="B284" s="419" t="s">
        <v>3313</v>
      </c>
      <c r="C284" s="419">
        <v>23205448</v>
      </c>
      <c r="D284" s="419" t="s">
        <v>5614</v>
      </c>
      <c r="E284" s="421" t="str">
        <f t="shared" si="7"/>
        <v>Matamoros</v>
      </c>
      <c r="F284" s="409"/>
    </row>
    <row r="285" spans="1:6" x14ac:dyDescent="0.3">
      <c r="A285" s="418" t="s">
        <v>3312</v>
      </c>
      <c r="B285" s="419" t="s">
        <v>5669</v>
      </c>
      <c r="C285" s="419">
        <v>23212450</v>
      </c>
      <c r="D285" s="419" t="s">
        <v>5614</v>
      </c>
      <c r="E285" s="421" t="str">
        <f t="shared" si="7"/>
        <v>Matamoros</v>
      </c>
      <c r="F285" s="409"/>
    </row>
    <row r="286" spans="1:6" x14ac:dyDescent="0.3">
      <c r="A286" s="418" t="s">
        <v>3314</v>
      </c>
      <c r="B286" s="419" t="s">
        <v>3317</v>
      </c>
      <c r="C286" s="419">
        <v>23206959</v>
      </c>
      <c r="D286" s="419" t="s">
        <v>5614</v>
      </c>
      <c r="E286" s="421" t="str">
        <f t="shared" si="7"/>
        <v>Matamoros</v>
      </c>
      <c r="F286" s="409"/>
    </row>
    <row r="287" spans="1:6" x14ac:dyDescent="0.3">
      <c r="A287" s="418" t="s">
        <v>3316</v>
      </c>
      <c r="B287" s="419" t="s">
        <v>5670</v>
      </c>
      <c r="C287" s="419">
        <v>23149272</v>
      </c>
      <c r="D287" s="419" t="s">
        <v>5614</v>
      </c>
      <c r="E287" s="421" t="str">
        <f t="shared" si="7"/>
        <v>Matamoros</v>
      </c>
      <c r="F287" s="409"/>
    </row>
    <row r="288" spans="1:6" x14ac:dyDescent="0.3">
      <c r="A288" s="416" t="s">
        <v>3391</v>
      </c>
      <c r="B288" s="417" t="s">
        <v>3392</v>
      </c>
      <c r="C288" s="417">
        <v>23226336</v>
      </c>
      <c r="D288" s="417" t="s">
        <v>5615</v>
      </c>
      <c r="E288" s="409" t="str">
        <f t="shared" si="7"/>
        <v>Mazatlán</v>
      </c>
      <c r="F288" s="409"/>
    </row>
    <row r="289" spans="1:6" x14ac:dyDescent="0.3">
      <c r="A289" s="416" t="s">
        <v>3393</v>
      </c>
      <c r="B289" s="417" t="s">
        <v>3394</v>
      </c>
      <c r="C289" s="417">
        <v>23157238</v>
      </c>
      <c r="D289" s="417" t="s">
        <v>5615</v>
      </c>
      <c r="E289" s="409" t="str">
        <f t="shared" si="7"/>
        <v>Mazatlán</v>
      </c>
      <c r="F289" s="409"/>
    </row>
    <row r="290" spans="1:6" x14ac:dyDescent="0.3">
      <c r="A290" s="416" t="s">
        <v>3395</v>
      </c>
      <c r="B290" s="417" t="s">
        <v>1806</v>
      </c>
      <c r="C290" s="417">
        <v>23155536</v>
      </c>
      <c r="D290" s="417" t="s">
        <v>5615</v>
      </c>
      <c r="E290" s="409" t="str">
        <f t="shared" si="7"/>
        <v>Mazatlán</v>
      </c>
      <c r="F290" s="409"/>
    </row>
    <row r="291" spans="1:6" x14ac:dyDescent="0.3">
      <c r="A291" s="416" t="s">
        <v>3397</v>
      </c>
      <c r="B291" s="417" t="s">
        <v>3399</v>
      </c>
      <c r="C291" s="417">
        <v>23148118</v>
      </c>
      <c r="D291" s="417" t="s">
        <v>5615</v>
      </c>
      <c r="E291" s="409" t="str">
        <f t="shared" si="7"/>
        <v>Mazatlán</v>
      </c>
      <c r="F291" s="409"/>
    </row>
    <row r="292" spans="1:6" x14ac:dyDescent="0.3">
      <c r="A292" s="416" t="s">
        <v>3398</v>
      </c>
      <c r="B292" s="417" t="s">
        <v>3401</v>
      </c>
      <c r="C292" s="417">
        <v>23205261</v>
      </c>
      <c r="D292" s="417" t="s">
        <v>5615</v>
      </c>
      <c r="E292" s="409" t="str">
        <f t="shared" si="7"/>
        <v>Mazatlán</v>
      </c>
      <c r="F292" s="409"/>
    </row>
    <row r="293" spans="1:6" x14ac:dyDescent="0.3">
      <c r="A293" s="416" t="s">
        <v>3400</v>
      </c>
      <c r="B293" s="417" t="s">
        <v>3403</v>
      </c>
      <c r="C293" s="417">
        <v>23149026</v>
      </c>
      <c r="D293" s="417" t="s">
        <v>5615</v>
      </c>
      <c r="E293" s="409" t="str">
        <f t="shared" si="7"/>
        <v>Mazatlán</v>
      </c>
      <c r="F293" s="409"/>
    </row>
    <row r="294" spans="1:6" x14ac:dyDescent="0.3">
      <c r="A294" s="416" t="s">
        <v>3402</v>
      </c>
      <c r="B294" s="417" t="s">
        <v>3405</v>
      </c>
      <c r="C294" s="417">
        <v>23046630</v>
      </c>
      <c r="D294" s="417" t="s">
        <v>5615</v>
      </c>
      <c r="E294" s="409" t="str">
        <f t="shared" si="7"/>
        <v>Mazatlán</v>
      </c>
      <c r="F294" s="409"/>
    </row>
    <row r="295" spans="1:6" x14ac:dyDescent="0.3">
      <c r="A295" s="416" t="s">
        <v>3404</v>
      </c>
      <c r="B295" s="417" t="s">
        <v>3407</v>
      </c>
      <c r="C295" s="417">
        <v>23157966</v>
      </c>
      <c r="D295" s="417" t="s">
        <v>5615</v>
      </c>
      <c r="E295" s="409" t="str">
        <f t="shared" si="7"/>
        <v>Mazatlán</v>
      </c>
      <c r="F295" s="409"/>
    </row>
    <row r="296" spans="1:6" x14ac:dyDescent="0.3">
      <c r="A296" s="416" t="s">
        <v>3406</v>
      </c>
      <c r="B296" s="417" t="s">
        <v>3409</v>
      </c>
      <c r="C296" s="417">
        <v>23207916</v>
      </c>
      <c r="D296" s="417" t="s">
        <v>5615</v>
      </c>
      <c r="E296" s="409" t="str">
        <f t="shared" ref="E296:E359" si="8">VLOOKUP(D296,ADUANAS1,2,FALSE)</f>
        <v>Mazatlán</v>
      </c>
      <c r="F296" s="409"/>
    </row>
    <row r="297" spans="1:6" x14ac:dyDescent="0.3">
      <c r="A297" s="416" t="s">
        <v>3408</v>
      </c>
      <c r="B297" s="417" t="s">
        <v>3411</v>
      </c>
      <c r="C297" s="417">
        <v>23157955</v>
      </c>
      <c r="D297" s="417" t="s">
        <v>5615</v>
      </c>
      <c r="E297" s="409" t="str">
        <f t="shared" si="8"/>
        <v>Mazatlán</v>
      </c>
      <c r="F297" s="409"/>
    </row>
    <row r="298" spans="1:6" x14ac:dyDescent="0.3">
      <c r="A298" s="416" t="s">
        <v>3410</v>
      </c>
      <c r="B298" s="417" t="s">
        <v>3413</v>
      </c>
      <c r="C298" s="417">
        <v>23147504</v>
      </c>
      <c r="D298" s="417" t="s">
        <v>5615</v>
      </c>
      <c r="E298" s="409" t="str">
        <f t="shared" si="8"/>
        <v>Mazatlán</v>
      </c>
      <c r="F298" s="409"/>
    </row>
    <row r="299" spans="1:6" x14ac:dyDescent="0.3">
      <c r="A299" s="416" t="s">
        <v>3412</v>
      </c>
      <c r="B299" s="417" t="s">
        <v>3415</v>
      </c>
      <c r="C299" s="417">
        <v>23181853</v>
      </c>
      <c r="D299" s="417" t="s">
        <v>5615</v>
      </c>
      <c r="E299" s="409" t="str">
        <f t="shared" si="8"/>
        <v>Mazatlán</v>
      </c>
      <c r="F299" s="409"/>
    </row>
    <row r="300" spans="1:6" x14ac:dyDescent="0.3">
      <c r="A300" s="416" t="s">
        <v>3414</v>
      </c>
      <c r="B300" s="417" t="s">
        <v>3417</v>
      </c>
      <c r="C300" s="417">
        <v>23157333</v>
      </c>
      <c r="D300" s="417" t="s">
        <v>5615</v>
      </c>
      <c r="E300" s="409" t="str">
        <f t="shared" si="8"/>
        <v>Mazatlán</v>
      </c>
      <c r="F300" s="409"/>
    </row>
    <row r="301" spans="1:6" x14ac:dyDescent="0.3">
      <c r="A301" s="416" t="s">
        <v>3416</v>
      </c>
      <c r="B301" s="417" t="s">
        <v>3419</v>
      </c>
      <c r="C301" s="417">
        <v>23217978</v>
      </c>
      <c r="D301" s="417" t="s">
        <v>5615</v>
      </c>
      <c r="E301" s="409" t="str">
        <f t="shared" si="8"/>
        <v>Mazatlán</v>
      </c>
      <c r="F301" s="409"/>
    </row>
    <row r="302" spans="1:6" x14ac:dyDescent="0.3">
      <c r="A302" s="418" t="s">
        <v>3485</v>
      </c>
      <c r="B302" s="419" t="s">
        <v>5671</v>
      </c>
      <c r="C302" s="419">
        <v>23150403</v>
      </c>
      <c r="D302" s="419" t="s">
        <v>5616</v>
      </c>
      <c r="E302" s="421" t="str">
        <f t="shared" si="8"/>
        <v>Mexicali</v>
      </c>
      <c r="F302" s="409"/>
    </row>
    <row r="303" spans="1:6" x14ac:dyDescent="0.3">
      <c r="A303" s="418" t="s">
        <v>3489</v>
      </c>
      <c r="B303" s="419" t="s">
        <v>5672</v>
      </c>
      <c r="C303" s="419">
        <v>23204287</v>
      </c>
      <c r="D303" s="419" t="s">
        <v>5616</v>
      </c>
      <c r="E303" s="421" t="str">
        <f t="shared" si="8"/>
        <v>Mexicali</v>
      </c>
      <c r="F303" s="409"/>
    </row>
    <row r="304" spans="1:6" x14ac:dyDescent="0.3">
      <c r="A304" s="418" t="s">
        <v>3492</v>
      </c>
      <c r="B304" s="419" t="s">
        <v>3493</v>
      </c>
      <c r="C304" s="419">
        <v>23204235</v>
      </c>
      <c r="D304" s="419" t="s">
        <v>5616</v>
      </c>
      <c r="E304" s="421" t="str">
        <f t="shared" si="8"/>
        <v>Mexicali</v>
      </c>
      <c r="F304" s="409"/>
    </row>
    <row r="305" spans="1:6" x14ac:dyDescent="0.3">
      <c r="A305" s="418" t="s">
        <v>3494</v>
      </c>
      <c r="B305" s="419" t="s">
        <v>3495</v>
      </c>
      <c r="C305" s="419">
        <v>23162970</v>
      </c>
      <c r="D305" s="419" t="s">
        <v>5616</v>
      </c>
      <c r="E305" s="421" t="str">
        <f t="shared" si="8"/>
        <v>Mexicali</v>
      </c>
      <c r="F305" s="409"/>
    </row>
    <row r="306" spans="1:6" x14ac:dyDescent="0.3">
      <c r="A306" s="418" t="s">
        <v>3496</v>
      </c>
      <c r="B306" s="419" t="s">
        <v>3497</v>
      </c>
      <c r="C306" s="419">
        <v>22246911</v>
      </c>
      <c r="D306" s="419" t="s">
        <v>5616</v>
      </c>
      <c r="E306" s="421" t="str">
        <f t="shared" si="8"/>
        <v>Mexicali</v>
      </c>
      <c r="F306" s="409"/>
    </row>
    <row r="307" spans="1:6" x14ac:dyDescent="0.3">
      <c r="A307" s="418" t="s">
        <v>3498</v>
      </c>
      <c r="B307" s="419" t="s">
        <v>3499</v>
      </c>
      <c r="C307" s="419">
        <v>23138611</v>
      </c>
      <c r="D307" s="419" t="s">
        <v>5616</v>
      </c>
      <c r="E307" s="421" t="str">
        <f t="shared" si="8"/>
        <v>Mexicali</v>
      </c>
      <c r="F307" s="409"/>
    </row>
    <row r="308" spans="1:6" x14ac:dyDescent="0.3">
      <c r="A308" s="418" t="s">
        <v>3500</v>
      </c>
      <c r="B308" s="419" t="s">
        <v>5673</v>
      </c>
      <c r="C308" s="419">
        <v>23112545</v>
      </c>
      <c r="D308" s="419" t="s">
        <v>5616</v>
      </c>
      <c r="E308" s="421" t="str">
        <f t="shared" si="8"/>
        <v>Mexicali</v>
      </c>
      <c r="F308" s="409"/>
    </row>
    <row r="309" spans="1:6" x14ac:dyDescent="0.3">
      <c r="A309" s="418" t="s">
        <v>3503</v>
      </c>
      <c r="B309" s="419" t="s">
        <v>3504</v>
      </c>
      <c r="C309" s="419">
        <v>23163281</v>
      </c>
      <c r="D309" s="419" t="s">
        <v>5616</v>
      </c>
      <c r="E309" s="421" t="str">
        <f t="shared" si="8"/>
        <v>Mexicali</v>
      </c>
      <c r="F309" s="409"/>
    </row>
    <row r="310" spans="1:6" x14ac:dyDescent="0.3">
      <c r="A310" s="418" t="s">
        <v>3505</v>
      </c>
      <c r="B310" s="419" t="s">
        <v>3506</v>
      </c>
      <c r="C310" s="419">
        <v>23162213</v>
      </c>
      <c r="D310" s="419" t="s">
        <v>5616</v>
      </c>
      <c r="E310" s="421" t="str">
        <f t="shared" si="8"/>
        <v>Mexicali</v>
      </c>
      <c r="F310" s="409"/>
    </row>
    <row r="311" spans="1:6" x14ac:dyDescent="0.3">
      <c r="A311" s="418" t="s">
        <v>3507</v>
      </c>
      <c r="B311" s="419" t="s">
        <v>5674</v>
      </c>
      <c r="C311" s="419">
        <v>23108946</v>
      </c>
      <c r="D311" s="419" t="s">
        <v>5616</v>
      </c>
      <c r="E311" s="421" t="str">
        <f t="shared" si="8"/>
        <v>Mexicali</v>
      </c>
      <c r="F311" s="409"/>
    </row>
    <row r="312" spans="1:6" x14ac:dyDescent="0.3">
      <c r="A312" s="418" t="s">
        <v>3509</v>
      </c>
      <c r="B312" s="419" t="s">
        <v>5675</v>
      </c>
      <c r="C312" s="419">
        <v>23163284</v>
      </c>
      <c r="D312" s="419" t="s">
        <v>5616</v>
      </c>
      <c r="E312" s="421" t="str">
        <f t="shared" si="8"/>
        <v>Mexicali</v>
      </c>
      <c r="F312" s="409"/>
    </row>
    <row r="313" spans="1:6" x14ac:dyDescent="0.3">
      <c r="A313" s="418" t="s">
        <v>3512</v>
      </c>
      <c r="B313" s="419" t="s">
        <v>5676</v>
      </c>
      <c r="C313" s="419">
        <v>23205816</v>
      </c>
      <c r="D313" s="419" t="s">
        <v>5616</v>
      </c>
      <c r="E313" s="421" t="str">
        <f t="shared" si="8"/>
        <v>Mexicali</v>
      </c>
      <c r="F313" s="409"/>
    </row>
    <row r="314" spans="1:6" x14ac:dyDescent="0.3">
      <c r="A314" s="418" t="s">
        <v>3515</v>
      </c>
      <c r="B314" s="419" t="s">
        <v>5677</v>
      </c>
      <c r="C314" s="419">
        <v>23147543</v>
      </c>
      <c r="D314" s="419" t="s">
        <v>5616</v>
      </c>
      <c r="E314" s="421" t="str">
        <f t="shared" si="8"/>
        <v>Mexicali</v>
      </c>
      <c r="F314" s="409"/>
    </row>
    <row r="315" spans="1:6" x14ac:dyDescent="0.3">
      <c r="A315" s="416" t="s">
        <v>3584</v>
      </c>
      <c r="B315" s="417" t="s">
        <v>3585</v>
      </c>
      <c r="C315" s="417">
        <v>22146017</v>
      </c>
      <c r="D315" s="417" t="s">
        <v>5617</v>
      </c>
      <c r="E315" s="409" t="str">
        <f t="shared" si="8"/>
        <v>Naco</v>
      </c>
      <c r="F315" s="409"/>
    </row>
    <row r="316" spans="1:6" x14ac:dyDescent="0.3">
      <c r="A316" s="416" t="s">
        <v>3586</v>
      </c>
      <c r="B316" s="417" t="s">
        <v>3587</v>
      </c>
      <c r="C316" s="417">
        <v>22251283</v>
      </c>
      <c r="D316" s="417" t="s">
        <v>5617</v>
      </c>
      <c r="E316" s="409" t="str">
        <f t="shared" si="8"/>
        <v>Naco</v>
      </c>
      <c r="F316" s="409"/>
    </row>
    <row r="317" spans="1:6" x14ac:dyDescent="0.3">
      <c r="A317" s="416" t="s">
        <v>3588</v>
      </c>
      <c r="B317" s="417" t="s">
        <v>3589</v>
      </c>
      <c r="C317" s="417">
        <v>22251626</v>
      </c>
      <c r="D317" s="417" t="s">
        <v>5617</v>
      </c>
      <c r="E317" s="409" t="str">
        <f t="shared" si="8"/>
        <v>Naco</v>
      </c>
      <c r="F317" s="409"/>
    </row>
    <row r="318" spans="1:6" x14ac:dyDescent="0.3">
      <c r="A318" s="416" t="s">
        <v>3590</v>
      </c>
      <c r="B318" s="417" t="s">
        <v>3591</v>
      </c>
      <c r="C318" s="417">
        <v>22251630</v>
      </c>
      <c r="D318" s="417" t="s">
        <v>5617</v>
      </c>
      <c r="E318" s="409" t="str">
        <f t="shared" si="8"/>
        <v>Naco</v>
      </c>
      <c r="F318" s="409"/>
    </row>
    <row r="319" spans="1:6" x14ac:dyDescent="0.3">
      <c r="A319" s="416" t="s">
        <v>3592</v>
      </c>
      <c r="B319" s="417" t="s">
        <v>3593</v>
      </c>
      <c r="C319" s="417">
        <v>20179457</v>
      </c>
      <c r="D319" s="417" t="s">
        <v>5617</v>
      </c>
      <c r="E319" s="409" t="str">
        <f t="shared" si="8"/>
        <v>Naco</v>
      </c>
      <c r="F319" s="409"/>
    </row>
    <row r="320" spans="1:6" x14ac:dyDescent="0.3">
      <c r="A320" s="416" t="s">
        <v>3594</v>
      </c>
      <c r="B320" s="417" t="s">
        <v>3595</v>
      </c>
      <c r="C320" s="417">
        <v>20179452</v>
      </c>
      <c r="D320" s="417" t="s">
        <v>5617</v>
      </c>
      <c r="E320" s="409" t="str">
        <f t="shared" si="8"/>
        <v>Naco</v>
      </c>
      <c r="F320" s="409"/>
    </row>
    <row r="321" spans="1:6" x14ac:dyDescent="0.3">
      <c r="A321" s="416" t="s">
        <v>3596</v>
      </c>
      <c r="B321" s="417" t="s">
        <v>3597</v>
      </c>
      <c r="C321" s="417">
        <v>20164009</v>
      </c>
      <c r="D321" s="417" t="s">
        <v>5617</v>
      </c>
      <c r="E321" s="409" t="str">
        <f t="shared" si="8"/>
        <v>Naco</v>
      </c>
      <c r="F321" s="409"/>
    </row>
    <row r="322" spans="1:6" x14ac:dyDescent="0.3">
      <c r="A322" s="416" t="s">
        <v>3598</v>
      </c>
      <c r="B322" s="417" t="s">
        <v>3599</v>
      </c>
      <c r="C322" s="417">
        <v>20244990</v>
      </c>
      <c r="D322" s="417" t="s">
        <v>5617</v>
      </c>
      <c r="E322" s="409" t="str">
        <f t="shared" si="8"/>
        <v>Naco</v>
      </c>
      <c r="F322" s="409"/>
    </row>
    <row r="323" spans="1:6" x14ac:dyDescent="0.3">
      <c r="A323" s="418" t="s">
        <v>3672</v>
      </c>
      <c r="B323" s="419" t="s">
        <v>3673</v>
      </c>
      <c r="C323" s="419">
        <v>23092006</v>
      </c>
      <c r="D323" s="419" t="s">
        <v>5618</v>
      </c>
      <c r="E323" s="421" t="str">
        <f t="shared" si="8"/>
        <v>Nuevo Laredo</v>
      </c>
      <c r="F323" s="409"/>
    </row>
    <row r="324" spans="1:6" x14ac:dyDescent="0.3">
      <c r="A324" s="418" t="s">
        <v>3674</v>
      </c>
      <c r="B324" s="419" t="s">
        <v>3675</v>
      </c>
      <c r="C324" s="419">
        <v>23139080</v>
      </c>
      <c r="D324" s="419" t="s">
        <v>5618</v>
      </c>
      <c r="E324" s="421" t="str">
        <f t="shared" si="8"/>
        <v>Nuevo Laredo</v>
      </c>
      <c r="F324" s="409"/>
    </row>
    <row r="325" spans="1:6" x14ac:dyDescent="0.3">
      <c r="A325" s="418" t="s">
        <v>3676</v>
      </c>
      <c r="B325" s="419" t="s">
        <v>3677</v>
      </c>
      <c r="C325" s="419">
        <v>23095222</v>
      </c>
      <c r="D325" s="419" t="s">
        <v>5618</v>
      </c>
      <c r="E325" s="421" t="str">
        <f t="shared" si="8"/>
        <v>Nuevo Laredo</v>
      </c>
      <c r="F325" s="409"/>
    </row>
    <row r="326" spans="1:6" x14ac:dyDescent="0.3">
      <c r="A326" s="418" t="s">
        <v>3678</v>
      </c>
      <c r="B326" s="419" t="s">
        <v>3679</v>
      </c>
      <c r="C326" s="419">
        <v>23089278</v>
      </c>
      <c r="D326" s="419" t="s">
        <v>5618</v>
      </c>
      <c r="E326" s="421" t="str">
        <f t="shared" si="8"/>
        <v>Nuevo Laredo</v>
      </c>
      <c r="F326" s="409"/>
    </row>
    <row r="327" spans="1:6" x14ac:dyDescent="0.3">
      <c r="A327" s="418" t="s">
        <v>3680</v>
      </c>
      <c r="B327" s="419" t="s">
        <v>3681</v>
      </c>
      <c r="C327" s="419">
        <v>23096011</v>
      </c>
      <c r="D327" s="419" t="s">
        <v>5618</v>
      </c>
      <c r="E327" s="421" t="str">
        <f t="shared" si="8"/>
        <v>Nuevo Laredo</v>
      </c>
      <c r="F327" s="409"/>
    </row>
    <row r="328" spans="1:6" x14ac:dyDescent="0.3">
      <c r="A328" s="418" t="s">
        <v>3682</v>
      </c>
      <c r="B328" s="419" t="s">
        <v>3683</v>
      </c>
      <c r="C328" s="419">
        <v>23143108</v>
      </c>
      <c r="D328" s="419" t="s">
        <v>5618</v>
      </c>
      <c r="E328" s="421" t="str">
        <f t="shared" si="8"/>
        <v>Nuevo Laredo</v>
      </c>
      <c r="F328" s="409"/>
    </row>
    <row r="329" spans="1:6" x14ac:dyDescent="0.3">
      <c r="A329" s="418" t="s">
        <v>3684</v>
      </c>
      <c r="B329" s="419" t="s">
        <v>3685</v>
      </c>
      <c r="C329" s="419">
        <v>20241319</v>
      </c>
      <c r="D329" s="419" t="s">
        <v>5618</v>
      </c>
      <c r="E329" s="421" t="str">
        <f t="shared" si="8"/>
        <v>Nuevo Laredo</v>
      </c>
      <c r="F329" s="409"/>
    </row>
    <row r="330" spans="1:6" x14ac:dyDescent="0.3">
      <c r="A330" s="418" t="s">
        <v>3686</v>
      </c>
      <c r="B330" s="419" t="s">
        <v>3687</v>
      </c>
      <c r="C330" s="419">
        <v>23087864</v>
      </c>
      <c r="D330" s="419" t="s">
        <v>5618</v>
      </c>
      <c r="E330" s="421" t="str">
        <f t="shared" si="8"/>
        <v>Nuevo Laredo</v>
      </c>
      <c r="F330" s="409"/>
    </row>
    <row r="331" spans="1:6" x14ac:dyDescent="0.3">
      <c r="A331" s="418" t="s">
        <v>3688</v>
      </c>
      <c r="B331" s="419" t="s">
        <v>3689</v>
      </c>
      <c r="C331" s="419">
        <v>23092457</v>
      </c>
      <c r="D331" s="419" t="s">
        <v>5618</v>
      </c>
      <c r="E331" s="421" t="str">
        <f t="shared" si="8"/>
        <v>Nuevo Laredo</v>
      </c>
      <c r="F331" s="409"/>
    </row>
    <row r="332" spans="1:6" x14ac:dyDescent="0.3">
      <c r="A332" s="418" t="s">
        <v>3690</v>
      </c>
      <c r="B332" s="419" t="s">
        <v>3691</v>
      </c>
      <c r="C332" s="419">
        <v>23202301</v>
      </c>
      <c r="D332" s="419" t="s">
        <v>5618</v>
      </c>
      <c r="E332" s="421" t="str">
        <f t="shared" si="8"/>
        <v>Nuevo Laredo</v>
      </c>
      <c r="F332" s="409"/>
    </row>
    <row r="333" spans="1:6" x14ac:dyDescent="0.3">
      <c r="A333" s="418" t="s">
        <v>3692</v>
      </c>
      <c r="B333" s="419" t="s">
        <v>3693</v>
      </c>
      <c r="C333" s="419">
        <v>23202637</v>
      </c>
      <c r="D333" s="419" t="s">
        <v>5618</v>
      </c>
      <c r="E333" s="421" t="str">
        <f t="shared" si="8"/>
        <v>Nuevo Laredo</v>
      </c>
      <c r="F333" s="409"/>
    </row>
    <row r="334" spans="1:6" x14ac:dyDescent="0.3">
      <c r="A334" s="418" t="s">
        <v>3694</v>
      </c>
      <c r="B334" s="419" t="s">
        <v>5678</v>
      </c>
      <c r="C334" s="419">
        <v>22172049</v>
      </c>
      <c r="D334" s="419" t="s">
        <v>5618</v>
      </c>
      <c r="E334" s="421" t="str">
        <f t="shared" si="8"/>
        <v>Nuevo Laredo</v>
      </c>
      <c r="F334" s="409"/>
    </row>
    <row r="335" spans="1:6" x14ac:dyDescent="0.3">
      <c r="A335" s="418" t="s">
        <v>3697</v>
      </c>
      <c r="B335" s="419" t="s">
        <v>5678</v>
      </c>
      <c r="C335" s="419">
        <v>23036426</v>
      </c>
      <c r="D335" s="419" t="s">
        <v>5618</v>
      </c>
      <c r="E335" s="421" t="str">
        <f t="shared" si="8"/>
        <v>Nuevo Laredo</v>
      </c>
      <c r="F335" s="409"/>
    </row>
    <row r="336" spans="1:6" x14ac:dyDescent="0.3">
      <c r="A336" s="418" t="s">
        <v>3699</v>
      </c>
      <c r="B336" s="419" t="s">
        <v>3698</v>
      </c>
      <c r="C336" s="419">
        <v>23086982</v>
      </c>
      <c r="D336" s="419" t="s">
        <v>5618</v>
      </c>
      <c r="E336" s="421" t="str">
        <f t="shared" si="8"/>
        <v>Nuevo Laredo</v>
      </c>
      <c r="F336" s="409"/>
    </row>
    <row r="337" spans="1:6" x14ac:dyDescent="0.3">
      <c r="A337" s="418" t="s">
        <v>3701</v>
      </c>
      <c r="B337" s="419" t="s">
        <v>3700</v>
      </c>
      <c r="C337" s="419">
        <v>22203663</v>
      </c>
      <c r="D337" s="419" t="s">
        <v>5618</v>
      </c>
      <c r="E337" s="421" t="str">
        <f t="shared" si="8"/>
        <v>Nuevo Laredo</v>
      </c>
      <c r="F337" s="409"/>
    </row>
    <row r="338" spans="1:6" x14ac:dyDescent="0.3">
      <c r="A338" s="418" t="s">
        <v>3703</v>
      </c>
      <c r="B338" s="419" t="s">
        <v>3700</v>
      </c>
      <c r="C338" s="419">
        <v>23089935</v>
      </c>
      <c r="D338" s="419" t="s">
        <v>5618</v>
      </c>
      <c r="E338" s="421" t="str">
        <f t="shared" si="8"/>
        <v>Nuevo Laredo</v>
      </c>
      <c r="F338" s="409"/>
    </row>
    <row r="339" spans="1:6" x14ac:dyDescent="0.3">
      <c r="A339" s="418" t="s">
        <v>3705</v>
      </c>
      <c r="B339" s="419" t="s">
        <v>3702</v>
      </c>
      <c r="C339" s="419">
        <v>23198973</v>
      </c>
      <c r="D339" s="419" t="s">
        <v>5618</v>
      </c>
      <c r="E339" s="421" t="str">
        <f t="shared" si="8"/>
        <v>Nuevo Laredo</v>
      </c>
      <c r="F339" s="409"/>
    </row>
    <row r="340" spans="1:6" x14ac:dyDescent="0.3">
      <c r="A340" s="418" t="s">
        <v>3707</v>
      </c>
      <c r="B340" s="419" t="s">
        <v>3704</v>
      </c>
      <c r="C340" s="419">
        <v>23096018</v>
      </c>
      <c r="D340" s="419" t="s">
        <v>5618</v>
      </c>
      <c r="E340" s="421" t="str">
        <f t="shared" si="8"/>
        <v>Nuevo Laredo</v>
      </c>
      <c r="F340" s="409"/>
    </row>
    <row r="341" spans="1:6" x14ac:dyDescent="0.3">
      <c r="A341" s="418" t="s">
        <v>3709</v>
      </c>
      <c r="B341" s="419" t="s">
        <v>3706</v>
      </c>
      <c r="C341" s="419">
        <v>23095419</v>
      </c>
      <c r="D341" s="419" t="s">
        <v>5618</v>
      </c>
      <c r="E341" s="421" t="str">
        <f t="shared" si="8"/>
        <v>Nuevo Laredo</v>
      </c>
      <c r="F341" s="409"/>
    </row>
    <row r="342" spans="1:6" x14ac:dyDescent="0.3">
      <c r="A342" s="418" t="s">
        <v>3711</v>
      </c>
      <c r="B342" s="419" t="s">
        <v>3708</v>
      </c>
      <c r="C342" s="419">
        <v>23194284</v>
      </c>
      <c r="D342" s="419" t="s">
        <v>5618</v>
      </c>
      <c r="E342" s="421" t="str">
        <f t="shared" si="8"/>
        <v>Nuevo Laredo</v>
      </c>
      <c r="F342" s="409"/>
    </row>
    <row r="343" spans="1:6" x14ac:dyDescent="0.3">
      <c r="A343" s="418" t="s">
        <v>3713</v>
      </c>
      <c r="B343" s="419" t="s">
        <v>3710</v>
      </c>
      <c r="C343" s="419">
        <v>23198115</v>
      </c>
      <c r="D343" s="419" t="s">
        <v>5618</v>
      </c>
      <c r="E343" s="421" t="str">
        <f t="shared" si="8"/>
        <v>Nuevo Laredo</v>
      </c>
      <c r="F343" s="409"/>
    </row>
    <row r="344" spans="1:6" x14ac:dyDescent="0.3">
      <c r="A344" s="418" t="s">
        <v>3715</v>
      </c>
      <c r="B344" s="419" t="s">
        <v>3712</v>
      </c>
      <c r="C344" s="419">
        <v>23197457</v>
      </c>
      <c r="D344" s="419" t="s">
        <v>5618</v>
      </c>
      <c r="E344" s="421" t="str">
        <f t="shared" si="8"/>
        <v>Nuevo Laredo</v>
      </c>
      <c r="F344" s="409"/>
    </row>
    <row r="345" spans="1:6" x14ac:dyDescent="0.3">
      <c r="A345" s="418" t="s">
        <v>3717</v>
      </c>
      <c r="B345" s="419" t="s">
        <v>3714</v>
      </c>
      <c r="C345" s="419">
        <v>23202594</v>
      </c>
      <c r="D345" s="419" t="s">
        <v>5618</v>
      </c>
      <c r="E345" s="421" t="str">
        <f t="shared" si="8"/>
        <v>Nuevo Laredo</v>
      </c>
      <c r="F345" s="409"/>
    </row>
    <row r="346" spans="1:6" x14ac:dyDescent="0.3">
      <c r="A346" s="418" t="s">
        <v>3719</v>
      </c>
      <c r="B346" s="419" t="s">
        <v>3716</v>
      </c>
      <c r="C346" s="419">
        <v>23094001</v>
      </c>
      <c r="D346" s="419" t="s">
        <v>5618</v>
      </c>
      <c r="E346" s="421" t="str">
        <f t="shared" si="8"/>
        <v>Nuevo Laredo</v>
      </c>
      <c r="F346" s="409"/>
    </row>
    <row r="347" spans="1:6" x14ac:dyDescent="0.3">
      <c r="A347" s="418" t="s">
        <v>3721</v>
      </c>
      <c r="B347" s="419" t="s">
        <v>3718</v>
      </c>
      <c r="C347" s="419">
        <v>23091076</v>
      </c>
      <c r="D347" s="419" t="s">
        <v>5618</v>
      </c>
      <c r="E347" s="421" t="str">
        <f t="shared" si="8"/>
        <v>Nuevo Laredo</v>
      </c>
      <c r="F347" s="409"/>
    </row>
    <row r="348" spans="1:6" x14ac:dyDescent="0.3">
      <c r="A348" s="418" t="s">
        <v>3723</v>
      </c>
      <c r="B348" s="419" t="s">
        <v>3720</v>
      </c>
      <c r="C348" s="419">
        <v>23191034</v>
      </c>
      <c r="D348" s="419" t="s">
        <v>5618</v>
      </c>
      <c r="E348" s="421" t="str">
        <f t="shared" si="8"/>
        <v>Nuevo Laredo</v>
      </c>
      <c r="F348" s="409"/>
    </row>
    <row r="349" spans="1:6" x14ac:dyDescent="0.3">
      <c r="A349" s="418" t="s">
        <v>3725</v>
      </c>
      <c r="B349" s="419" t="s">
        <v>3722</v>
      </c>
      <c r="C349" s="419">
        <v>23157969</v>
      </c>
      <c r="D349" s="419" t="s">
        <v>5618</v>
      </c>
      <c r="E349" s="421" t="str">
        <f t="shared" si="8"/>
        <v>Nuevo Laredo</v>
      </c>
      <c r="F349" s="409"/>
    </row>
    <row r="350" spans="1:6" x14ac:dyDescent="0.3">
      <c r="A350" s="418" t="s">
        <v>3727</v>
      </c>
      <c r="B350" s="419" t="s">
        <v>3724</v>
      </c>
      <c r="C350" s="419">
        <v>23220833</v>
      </c>
      <c r="D350" s="419" t="s">
        <v>5618</v>
      </c>
      <c r="E350" s="421" t="str">
        <f t="shared" si="8"/>
        <v>Nuevo Laredo</v>
      </c>
      <c r="F350" s="409"/>
    </row>
    <row r="351" spans="1:6" x14ac:dyDescent="0.3">
      <c r="A351" s="418" t="s">
        <v>3729</v>
      </c>
      <c r="B351" s="419" t="s">
        <v>3726</v>
      </c>
      <c r="C351" s="419">
        <v>23092517</v>
      </c>
      <c r="D351" s="419" t="s">
        <v>5618</v>
      </c>
      <c r="E351" s="421" t="str">
        <f t="shared" si="8"/>
        <v>Nuevo Laredo</v>
      </c>
      <c r="F351" s="409"/>
    </row>
    <row r="352" spans="1:6" x14ac:dyDescent="0.3">
      <c r="A352" s="418" t="s">
        <v>3731</v>
      </c>
      <c r="B352" s="419" t="s">
        <v>3728</v>
      </c>
      <c r="C352" s="419">
        <v>23094883</v>
      </c>
      <c r="D352" s="419" t="s">
        <v>5618</v>
      </c>
      <c r="E352" s="421" t="str">
        <f t="shared" si="8"/>
        <v>Nuevo Laredo</v>
      </c>
      <c r="F352" s="409"/>
    </row>
    <row r="353" spans="1:6" x14ac:dyDescent="0.3">
      <c r="A353" s="418" t="s">
        <v>3733</v>
      </c>
      <c r="B353" s="419" t="s">
        <v>3730</v>
      </c>
      <c r="C353" s="419">
        <v>23124222</v>
      </c>
      <c r="D353" s="419" t="s">
        <v>5618</v>
      </c>
      <c r="E353" s="421" t="str">
        <f t="shared" si="8"/>
        <v>Nuevo Laredo</v>
      </c>
      <c r="F353" s="409"/>
    </row>
    <row r="354" spans="1:6" x14ac:dyDescent="0.3">
      <c r="A354" s="418" t="s">
        <v>3735</v>
      </c>
      <c r="B354" s="419" t="s">
        <v>3732</v>
      </c>
      <c r="C354" s="419">
        <v>23089746</v>
      </c>
      <c r="D354" s="419" t="s">
        <v>5618</v>
      </c>
      <c r="E354" s="421" t="str">
        <f t="shared" si="8"/>
        <v>Nuevo Laredo</v>
      </c>
      <c r="F354" s="409"/>
    </row>
    <row r="355" spans="1:6" x14ac:dyDescent="0.3">
      <c r="A355" s="418" t="s">
        <v>3737</v>
      </c>
      <c r="B355" s="419" t="s">
        <v>3734</v>
      </c>
      <c r="C355" s="419">
        <v>23198927</v>
      </c>
      <c r="D355" s="419" t="s">
        <v>5618</v>
      </c>
      <c r="E355" s="421" t="str">
        <f t="shared" si="8"/>
        <v>Nuevo Laredo</v>
      </c>
      <c r="F355" s="409"/>
    </row>
    <row r="356" spans="1:6" x14ac:dyDescent="0.3">
      <c r="A356" s="418" t="s">
        <v>3740</v>
      </c>
      <c r="B356" s="419" t="s">
        <v>3736</v>
      </c>
      <c r="C356" s="419">
        <v>23094396</v>
      </c>
      <c r="D356" s="419" t="s">
        <v>5618</v>
      </c>
      <c r="E356" s="421" t="str">
        <f t="shared" si="8"/>
        <v>Nuevo Laredo</v>
      </c>
      <c r="F356" s="409"/>
    </row>
    <row r="357" spans="1:6" x14ac:dyDescent="0.3">
      <c r="A357" s="418" t="s">
        <v>3742</v>
      </c>
      <c r="B357" s="419" t="s">
        <v>5679</v>
      </c>
      <c r="C357" s="419">
        <v>23196940</v>
      </c>
      <c r="D357" s="419" t="s">
        <v>5618</v>
      </c>
      <c r="E357" s="421" t="str">
        <f t="shared" si="8"/>
        <v>Nuevo Laredo</v>
      </c>
      <c r="F357" s="409"/>
    </row>
    <row r="358" spans="1:6" x14ac:dyDescent="0.3">
      <c r="A358" s="418" t="s">
        <v>3744</v>
      </c>
      <c r="B358" s="419" t="s">
        <v>3741</v>
      </c>
      <c r="C358" s="419">
        <v>23095457</v>
      </c>
      <c r="D358" s="419" t="s">
        <v>5618</v>
      </c>
      <c r="E358" s="421" t="str">
        <f t="shared" si="8"/>
        <v>Nuevo Laredo</v>
      </c>
      <c r="F358" s="409"/>
    </row>
    <row r="359" spans="1:6" x14ac:dyDescent="0.3">
      <c r="A359" s="418" t="s">
        <v>3746</v>
      </c>
      <c r="B359" s="419" t="s">
        <v>3743</v>
      </c>
      <c r="C359" s="419">
        <v>23094416</v>
      </c>
      <c r="D359" s="419" t="s">
        <v>5618</v>
      </c>
      <c r="E359" s="421" t="str">
        <f t="shared" si="8"/>
        <v>Nuevo Laredo</v>
      </c>
      <c r="F359" s="409"/>
    </row>
    <row r="360" spans="1:6" x14ac:dyDescent="0.3">
      <c r="A360" s="418" t="s">
        <v>3748</v>
      </c>
      <c r="B360" s="419" t="s">
        <v>3745</v>
      </c>
      <c r="C360" s="419">
        <v>23089277</v>
      </c>
      <c r="D360" s="419" t="s">
        <v>5618</v>
      </c>
      <c r="E360" s="421" t="str">
        <f t="shared" ref="E360:E423" si="9">VLOOKUP(D360,ADUANAS1,2,FALSE)</f>
        <v>Nuevo Laredo</v>
      </c>
      <c r="F360" s="409"/>
    </row>
    <row r="361" spans="1:6" x14ac:dyDescent="0.3">
      <c r="A361" s="418" t="s">
        <v>3750</v>
      </c>
      <c r="B361" s="419" t="s">
        <v>3747</v>
      </c>
      <c r="C361" s="419">
        <v>23189676</v>
      </c>
      <c r="D361" s="419" t="s">
        <v>5618</v>
      </c>
      <c r="E361" s="421" t="str">
        <f t="shared" si="9"/>
        <v>Nuevo Laredo</v>
      </c>
      <c r="F361" s="409"/>
    </row>
    <row r="362" spans="1:6" x14ac:dyDescent="0.3">
      <c r="A362" s="418" t="s">
        <v>3752</v>
      </c>
      <c r="B362" s="419" t="s">
        <v>3749</v>
      </c>
      <c r="C362" s="419">
        <v>23091072</v>
      </c>
      <c r="D362" s="419" t="s">
        <v>5618</v>
      </c>
      <c r="E362" s="421" t="str">
        <f t="shared" si="9"/>
        <v>Nuevo Laredo</v>
      </c>
      <c r="F362" s="409"/>
    </row>
    <row r="363" spans="1:6" x14ac:dyDescent="0.3">
      <c r="A363" s="418" t="s">
        <v>3754</v>
      </c>
      <c r="B363" s="419" t="s">
        <v>3751</v>
      </c>
      <c r="C363" s="419">
        <v>23086890</v>
      </c>
      <c r="D363" s="419" t="s">
        <v>5618</v>
      </c>
      <c r="E363" s="421" t="str">
        <f t="shared" si="9"/>
        <v>Nuevo Laredo</v>
      </c>
      <c r="F363" s="409"/>
    </row>
    <row r="364" spans="1:6" x14ac:dyDescent="0.3">
      <c r="A364" s="418" t="s">
        <v>3756</v>
      </c>
      <c r="B364" s="419" t="s">
        <v>3753</v>
      </c>
      <c r="C364" s="419">
        <v>23086887</v>
      </c>
      <c r="D364" s="419" t="s">
        <v>5618</v>
      </c>
      <c r="E364" s="421" t="str">
        <f t="shared" si="9"/>
        <v>Nuevo Laredo</v>
      </c>
      <c r="F364" s="409"/>
    </row>
    <row r="365" spans="1:6" x14ac:dyDescent="0.3">
      <c r="A365" s="418" t="s">
        <v>3758</v>
      </c>
      <c r="B365" s="419" t="s">
        <v>3755</v>
      </c>
      <c r="C365" s="419">
        <v>23096026</v>
      </c>
      <c r="D365" s="419" t="s">
        <v>5618</v>
      </c>
      <c r="E365" s="421" t="str">
        <f t="shared" si="9"/>
        <v>Nuevo Laredo</v>
      </c>
      <c r="F365" s="409"/>
    </row>
    <row r="366" spans="1:6" x14ac:dyDescent="0.3">
      <c r="A366" s="418" t="s">
        <v>3760</v>
      </c>
      <c r="B366" s="419" t="s">
        <v>3757</v>
      </c>
      <c r="C366" s="419">
        <v>23207721</v>
      </c>
      <c r="D366" s="419" t="s">
        <v>5618</v>
      </c>
      <c r="E366" s="421" t="str">
        <f t="shared" si="9"/>
        <v>Nuevo Laredo</v>
      </c>
      <c r="F366" s="409"/>
    </row>
    <row r="367" spans="1:6" x14ac:dyDescent="0.3">
      <c r="A367" s="418" t="s">
        <v>3762</v>
      </c>
      <c r="B367" s="419" t="s">
        <v>3759</v>
      </c>
      <c r="C367" s="419">
        <v>23096016</v>
      </c>
      <c r="D367" s="419" t="s">
        <v>5618</v>
      </c>
      <c r="E367" s="421" t="str">
        <f t="shared" si="9"/>
        <v>Nuevo Laredo</v>
      </c>
      <c r="F367" s="409"/>
    </row>
    <row r="368" spans="1:6" x14ac:dyDescent="0.3">
      <c r="A368" s="418" t="s">
        <v>3764</v>
      </c>
      <c r="B368" s="419" t="s">
        <v>3761</v>
      </c>
      <c r="C368" s="419">
        <v>23089744</v>
      </c>
      <c r="D368" s="419" t="s">
        <v>5618</v>
      </c>
      <c r="E368" s="421" t="str">
        <f t="shared" si="9"/>
        <v>Nuevo Laredo</v>
      </c>
      <c r="F368" s="409"/>
    </row>
    <row r="369" spans="1:6" x14ac:dyDescent="0.3">
      <c r="A369" s="418" t="s">
        <v>3765</v>
      </c>
      <c r="B369" s="419" t="s">
        <v>3763</v>
      </c>
      <c r="C369" s="419">
        <v>23194281</v>
      </c>
      <c r="D369" s="419" t="s">
        <v>5618</v>
      </c>
      <c r="E369" s="421" t="str">
        <f t="shared" si="9"/>
        <v>Nuevo Laredo</v>
      </c>
      <c r="F369" s="409"/>
    </row>
    <row r="370" spans="1:6" x14ac:dyDescent="0.3">
      <c r="A370" s="416" t="s">
        <v>3799</v>
      </c>
      <c r="B370" s="417" t="s">
        <v>3800</v>
      </c>
      <c r="C370" s="417">
        <v>23024116</v>
      </c>
      <c r="D370" s="417" t="s">
        <v>5619</v>
      </c>
      <c r="E370" s="409" t="str">
        <f t="shared" si="9"/>
        <v>Nogales, Son.</v>
      </c>
      <c r="F370" s="409"/>
    </row>
    <row r="371" spans="1:6" x14ac:dyDescent="0.3">
      <c r="A371" s="416" t="s">
        <v>3801</v>
      </c>
      <c r="B371" s="417" t="s">
        <v>3802</v>
      </c>
      <c r="C371" s="417">
        <v>23138646</v>
      </c>
      <c r="D371" s="417" t="s">
        <v>5619</v>
      </c>
      <c r="E371" s="409" t="str">
        <f t="shared" si="9"/>
        <v>Nogales, Son.</v>
      </c>
      <c r="F371" s="409"/>
    </row>
    <row r="372" spans="1:6" x14ac:dyDescent="0.3">
      <c r="A372" s="416" t="s">
        <v>3803</v>
      </c>
      <c r="B372" s="417" t="s">
        <v>3804</v>
      </c>
      <c r="C372" s="417">
        <v>23139016</v>
      </c>
      <c r="D372" s="417" t="s">
        <v>5619</v>
      </c>
      <c r="E372" s="409" t="str">
        <f t="shared" si="9"/>
        <v>Nogales, Son.</v>
      </c>
      <c r="F372" s="409"/>
    </row>
    <row r="373" spans="1:6" x14ac:dyDescent="0.3">
      <c r="A373" s="416" t="s">
        <v>3805</v>
      </c>
      <c r="B373" s="417" t="s">
        <v>3806</v>
      </c>
      <c r="C373" s="417">
        <v>23137992</v>
      </c>
      <c r="D373" s="417" t="s">
        <v>5619</v>
      </c>
      <c r="E373" s="409" t="str">
        <f t="shared" si="9"/>
        <v>Nogales, Son.</v>
      </c>
      <c r="F373" s="409"/>
    </row>
    <row r="374" spans="1:6" x14ac:dyDescent="0.3">
      <c r="A374" s="416" t="s">
        <v>3807</v>
      </c>
      <c r="B374" s="417" t="s">
        <v>3808</v>
      </c>
      <c r="C374" s="417">
        <v>23137773</v>
      </c>
      <c r="D374" s="417" t="s">
        <v>5619</v>
      </c>
      <c r="E374" s="409" t="str">
        <f t="shared" si="9"/>
        <v>Nogales, Son.</v>
      </c>
      <c r="F374" s="409"/>
    </row>
    <row r="375" spans="1:6" x14ac:dyDescent="0.3">
      <c r="A375" s="416" t="s">
        <v>3809</v>
      </c>
      <c r="B375" s="417" t="s">
        <v>3810</v>
      </c>
      <c r="C375" s="417">
        <v>23006133</v>
      </c>
      <c r="D375" s="417" t="s">
        <v>5619</v>
      </c>
      <c r="E375" s="409" t="str">
        <f t="shared" si="9"/>
        <v>Nogales, Son.</v>
      </c>
      <c r="F375" s="409"/>
    </row>
    <row r="376" spans="1:6" x14ac:dyDescent="0.3">
      <c r="A376" s="416" t="s">
        <v>3811</v>
      </c>
      <c r="B376" s="417" t="s">
        <v>3813</v>
      </c>
      <c r="C376" s="417">
        <v>23163648</v>
      </c>
      <c r="D376" s="417" t="s">
        <v>5619</v>
      </c>
      <c r="E376" s="409" t="str">
        <f t="shared" si="9"/>
        <v>Nogales, Son.</v>
      </c>
      <c r="F376" s="409"/>
    </row>
    <row r="377" spans="1:6" x14ac:dyDescent="0.3">
      <c r="A377" s="416" t="s">
        <v>3812</v>
      </c>
      <c r="B377" s="417" t="s">
        <v>3815</v>
      </c>
      <c r="C377" s="417">
        <v>23137790</v>
      </c>
      <c r="D377" s="417" t="s">
        <v>5619</v>
      </c>
      <c r="E377" s="409" t="str">
        <f t="shared" si="9"/>
        <v>Nogales, Son.</v>
      </c>
      <c r="F377" s="409"/>
    </row>
    <row r="378" spans="1:6" x14ac:dyDescent="0.3">
      <c r="A378" s="416" t="s">
        <v>3814</v>
      </c>
      <c r="B378" s="417" t="s">
        <v>3817</v>
      </c>
      <c r="C378" s="417">
        <v>23139410</v>
      </c>
      <c r="D378" s="417" t="s">
        <v>5619</v>
      </c>
      <c r="E378" s="409" t="str">
        <f t="shared" si="9"/>
        <v>Nogales, Son.</v>
      </c>
      <c r="F378" s="409"/>
    </row>
    <row r="379" spans="1:6" x14ac:dyDescent="0.3">
      <c r="A379" s="416" t="s">
        <v>3816</v>
      </c>
      <c r="B379" s="417" t="s">
        <v>3819</v>
      </c>
      <c r="C379" s="417">
        <v>23149643</v>
      </c>
      <c r="D379" s="417" t="s">
        <v>5619</v>
      </c>
      <c r="E379" s="409" t="str">
        <f t="shared" si="9"/>
        <v>Nogales, Son.</v>
      </c>
      <c r="F379" s="409"/>
    </row>
    <row r="380" spans="1:6" x14ac:dyDescent="0.3">
      <c r="A380" s="416" t="s">
        <v>3818</v>
      </c>
      <c r="B380" s="417" t="s">
        <v>3821</v>
      </c>
      <c r="C380" s="417">
        <v>23137448</v>
      </c>
      <c r="D380" s="417" t="s">
        <v>5619</v>
      </c>
      <c r="E380" s="409" t="str">
        <f t="shared" si="9"/>
        <v>Nogales, Son.</v>
      </c>
      <c r="F380" s="409"/>
    </row>
    <row r="381" spans="1:6" x14ac:dyDescent="0.3">
      <c r="A381" s="416" t="s">
        <v>3820</v>
      </c>
      <c r="B381" s="417" t="s">
        <v>3823</v>
      </c>
      <c r="C381" s="417">
        <v>23150036</v>
      </c>
      <c r="D381" s="417" t="s">
        <v>5619</v>
      </c>
      <c r="E381" s="409" t="str">
        <f t="shared" si="9"/>
        <v>Nogales, Son.</v>
      </c>
      <c r="F381" s="409"/>
    </row>
    <row r="382" spans="1:6" x14ac:dyDescent="0.3">
      <c r="A382" s="416" t="s">
        <v>3822</v>
      </c>
      <c r="B382" s="417" t="s">
        <v>3825</v>
      </c>
      <c r="C382" s="417">
        <v>23137520</v>
      </c>
      <c r="D382" s="417" t="s">
        <v>5619</v>
      </c>
      <c r="E382" s="409" t="str">
        <f t="shared" si="9"/>
        <v>Nogales, Son.</v>
      </c>
      <c r="F382" s="409"/>
    </row>
    <row r="383" spans="1:6" x14ac:dyDescent="0.3">
      <c r="A383" s="416" t="s">
        <v>3824</v>
      </c>
      <c r="B383" s="417" t="s">
        <v>3827</v>
      </c>
      <c r="C383" s="417">
        <v>23113753</v>
      </c>
      <c r="D383" s="417" t="s">
        <v>5619</v>
      </c>
      <c r="E383" s="409" t="str">
        <f t="shared" si="9"/>
        <v>Nogales, Son.</v>
      </c>
      <c r="F383" s="409"/>
    </row>
    <row r="384" spans="1:6" x14ac:dyDescent="0.3">
      <c r="A384" s="418" t="s">
        <v>3893</v>
      </c>
      <c r="B384" s="419" t="s">
        <v>5680</v>
      </c>
      <c r="C384" s="419">
        <v>23148299</v>
      </c>
      <c r="D384" s="419" t="s">
        <v>5620</v>
      </c>
      <c r="E384" s="421" t="str">
        <f t="shared" si="9"/>
        <v>Ojinaga</v>
      </c>
      <c r="F384" s="409"/>
    </row>
    <row r="385" spans="1:6" x14ac:dyDescent="0.3">
      <c r="A385" s="418" t="s">
        <v>3896</v>
      </c>
      <c r="B385" s="419" t="s">
        <v>5681</v>
      </c>
      <c r="C385" s="419">
        <v>23148988</v>
      </c>
      <c r="D385" s="419" t="s">
        <v>5620</v>
      </c>
      <c r="E385" s="421" t="str">
        <f t="shared" si="9"/>
        <v>Ojinaga</v>
      </c>
      <c r="F385" s="409"/>
    </row>
    <row r="386" spans="1:6" x14ac:dyDescent="0.3">
      <c r="A386" s="416" t="s">
        <v>3977</v>
      </c>
      <c r="B386" s="417" t="s">
        <v>3978</v>
      </c>
      <c r="C386" s="417">
        <v>20245681</v>
      </c>
      <c r="D386" s="417" t="s">
        <v>5621</v>
      </c>
      <c r="E386" s="409" t="str">
        <f t="shared" si="9"/>
        <v>Pantaco (Interior)</v>
      </c>
      <c r="F386" s="409"/>
    </row>
    <row r="387" spans="1:6" x14ac:dyDescent="0.3">
      <c r="A387" s="416" t="s">
        <v>3979</v>
      </c>
      <c r="B387" s="417" t="s">
        <v>3980</v>
      </c>
      <c r="C387" s="417">
        <v>22157414</v>
      </c>
      <c r="D387" s="417" t="s">
        <v>5621</v>
      </c>
      <c r="E387" s="409" t="str">
        <f t="shared" si="9"/>
        <v>Pantaco (Interior)</v>
      </c>
      <c r="F387" s="409"/>
    </row>
    <row r="388" spans="1:6" x14ac:dyDescent="0.3">
      <c r="A388" s="416" t="s">
        <v>3981</v>
      </c>
      <c r="B388" s="417" t="s">
        <v>3982</v>
      </c>
      <c r="C388" s="417">
        <v>20180654</v>
      </c>
      <c r="D388" s="417" t="s">
        <v>5621</v>
      </c>
      <c r="E388" s="409" t="str">
        <f t="shared" si="9"/>
        <v>Pantaco (Interior)</v>
      </c>
      <c r="F388" s="409"/>
    </row>
    <row r="389" spans="1:6" x14ac:dyDescent="0.3">
      <c r="A389" s="418" t="s">
        <v>4060</v>
      </c>
      <c r="B389" s="419" t="s">
        <v>5682</v>
      </c>
      <c r="C389" s="419">
        <v>23163641</v>
      </c>
      <c r="D389" s="419" t="s">
        <v>5622</v>
      </c>
      <c r="E389" s="421" t="str">
        <f t="shared" si="9"/>
        <v>Puerto Chiapas</v>
      </c>
      <c r="F389" s="409"/>
    </row>
    <row r="390" spans="1:6" x14ac:dyDescent="0.3">
      <c r="A390" s="418" t="s">
        <v>4064</v>
      </c>
      <c r="B390" s="419" t="s">
        <v>5683</v>
      </c>
      <c r="C390" s="419">
        <v>23157954</v>
      </c>
      <c r="D390" s="419" t="s">
        <v>5622</v>
      </c>
      <c r="E390" s="421" t="str">
        <f t="shared" si="9"/>
        <v>Puerto Chiapas</v>
      </c>
      <c r="F390" s="409"/>
    </row>
    <row r="391" spans="1:6" x14ac:dyDescent="0.3">
      <c r="A391" s="418" t="s">
        <v>4066</v>
      </c>
      <c r="B391" s="419" t="s">
        <v>5684</v>
      </c>
      <c r="C391" s="419">
        <v>23212166</v>
      </c>
      <c r="D391" s="419" t="s">
        <v>5622</v>
      </c>
      <c r="E391" s="421" t="str">
        <f t="shared" si="9"/>
        <v>Puerto Chiapas</v>
      </c>
      <c r="F391" s="409"/>
    </row>
    <row r="392" spans="1:6" x14ac:dyDescent="0.3">
      <c r="A392" s="418" t="s">
        <v>4068</v>
      </c>
      <c r="B392" s="419" t="s">
        <v>5685</v>
      </c>
      <c r="C392" s="419">
        <v>23163809</v>
      </c>
      <c r="D392" s="419" t="s">
        <v>5622</v>
      </c>
      <c r="E392" s="421" t="str">
        <f t="shared" si="9"/>
        <v>Puerto Chiapas</v>
      </c>
      <c r="F392" s="409"/>
    </row>
    <row r="393" spans="1:6" x14ac:dyDescent="0.3">
      <c r="A393" s="416" t="s">
        <v>4147</v>
      </c>
      <c r="B393" s="417" t="s">
        <v>4148</v>
      </c>
      <c r="C393" s="417">
        <v>22234271</v>
      </c>
      <c r="D393" s="417" t="s">
        <v>5623</v>
      </c>
      <c r="E393" s="409" t="str">
        <f t="shared" si="9"/>
        <v>Puerto Morelos</v>
      </c>
      <c r="F393" s="409"/>
    </row>
    <row r="394" spans="1:6" x14ac:dyDescent="0.3">
      <c r="A394" s="416" t="s">
        <v>4149</v>
      </c>
      <c r="B394" s="417" t="s">
        <v>4150</v>
      </c>
      <c r="C394" s="417">
        <v>23176120</v>
      </c>
      <c r="D394" s="417" t="s">
        <v>5623</v>
      </c>
      <c r="E394" s="409" t="str">
        <f t="shared" si="9"/>
        <v>Puerto Morelos</v>
      </c>
      <c r="F394" s="409"/>
    </row>
    <row r="395" spans="1:6" x14ac:dyDescent="0.3">
      <c r="A395" s="418" t="s">
        <v>4229</v>
      </c>
      <c r="B395" s="419" t="s">
        <v>4230</v>
      </c>
      <c r="C395" s="419">
        <v>22180768</v>
      </c>
      <c r="D395" s="419" t="s">
        <v>5624</v>
      </c>
      <c r="E395" s="421" t="str">
        <f t="shared" si="9"/>
        <v>Puerto Palomas</v>
      </c>
      <c r="F395" s="409"/>
    </row>
    <row r="396" spans="1:6" x14ac:dyDescent="0.3">
      <c r="A396" s="418" t="s">
        <v>4231</v>
      </c>
      <c r="B396" s="419" t="s">
        <v>4232</v>
      </c>
      <c r="C396" s="419">
        <v>22181357</v>
      </c>
      <c r="D396" s="419" t="s">
        <v>5624</v>
      </c>
      <c r="E396" s="421" t="str">
        <f t="shared" si="9"/>
        <v>Puerto Palomas</v>
      </c>
      <c r="F396" s="409"/>
    </row>
    <row r="397" spans="1:6" x14ac:dyDescent="0.3">
      <c r="A397" s="418" t="s">
        <v>4233</v>
      </c>
      <c r="B397" s="419" t="s">
        <v>4234</v>
      </c>
      <c r="C397" s="419">
        <v>22180728</v>
      </c>
      <c r="D397" s="419" t="s">
        <v>5624</v>
      </c>
      <c r="E397" s="421" t="str">
        <f t="shared" si="9"/>
        <v>Puerto Palomas</v>
      </c>
      <c r="F397" s="409"/>
    </row>
    <row r="398" spans="1:6" x14ac:dyDescent="0.3">
      <c r="A398" s="418" t="s">
        <v>4235</v>
      </c>
      <c r="B398" s="419" t="s">
        <v>4236</v>
      </c>
      <c r="C398" s="419">
        <v>22180763</v>
      </c>
      <c r="D398" s="419" t="s">
        <v>5624</v>
      </c>
      <c r="E398" s="421" t="str">
        <f t="shared" si="9"/>
        <v>Puerto Palomas</v>
      </c>
      <c r="F398" s="409"/>
    </row>
    <row r="399" spans="1:6" x14ac:dyDescent="0.3">
      <c r="A399" s="418" t="s">
        <v>4237</v>
      </c>
      <c r="B399" s="419" t="s">
        <v>4238</v>
      </c>
      <c r="C399" s="419">
        <v>22181428</v>
      </c>
      <c r="D399" s="419" t="s">
        <v>5624</v>
      </c>
      <c r="E399" s="421" t="str">
        <f t="shared" si="9"/>
        <v>Puerto Palomas</v>
      </c>
      <c r="F399" s="409"/>
    </row>
    <row r="400" spans="1:6" x14ac:dyDescent="0.3">
      <c r="A400" s="418" t="s">
        <v>4239</v>
      </c>
      <c r="B400" s="419" t="s">
        <v>4240</v>
      </c>
      <c r="C400" s="419">
        <v>22180759</v>
      </c>
      <c r="D400" s="419" t="s">
        <v>5624</v>
      </c>
      <c r="E400" s="421" t="str">
        <f t="shared" si="9"/>
        <v>Puerto Palomas</v>
      </c>
      <c r="F400" s="409"/>
    </row>
    <row r="401" spans="1:6" x14ac:dyDescent="0.3">
      <c r="A401" s="418" t="s">
        <v>4241</v>
      </c>
      <c r="B401" s="419" t="s">
        <v>4242</v>
      </c>
      <c r="C401" s="419">
        <v>22180758</v>
      </c>
      <c r="D401" s="419" t="s">
        <v>5624</v>
      </c>
      <c r="E401" s="421" t="str">
        <f t="shared" si="9"/>
        <v>Puerto Palomas</v>
      </c>
      <c r="F401" s="409"/>
    </row>
    <row r="402" spans="1:6" x14ac:dyDescent="0.3">
      <c r="A402" s="416" t="s">
        <v>4316</v>
      </c>
      <c r="B402" s="417" t="s">
        <v>4317</v>
      </c>
      <c r="C402" s="417">
        <v>23142251</v>
      </c>
      <c r="D402" s="417" t="s">
        <v>5625</v>
      </c>
      <c r="E402" s="409" t="str">
        <f t="shared" si="9"/>
        <v>Piedras Negras</v>
      </c>
      <c r="F402" s="409"/>
    </row>
    <row r="403" spans="1:6" x14ac:dyDescent="0.3">
      <c r="A403" s="416" t="s">
        <v>4318</v>
      </c>
      <c r="B403" s="417" t="s">
        <v>4319</v>
      </c>
      <c r="C403" s="417">
        <v>23162203</v>
      </c>
      <c r="D403" s="417" t="s">
        <v>5625</v>
      </c>
      <c r="E403" s="409" t="str">
        <f t="shared" si="9"/>
        <v>Piedras Negras</v>
      </c>
      <c r="F403" s="409"/>
    </row>
    <row r="404" spans="1:6" x14ac:dyDescent="0.3">
      <c r="A404" s="416" t="s">
        <v>4320</v>
      </c>
      <c r="B404" s="417" t="s">
        <v>4321</v>
      </c>
      <c r="C404" s="417">
        <v>23147609</v>
      </c>
      <c r="D404" s="417" t="s">
        <v>5625</v>
      </c>
      <c r="E404" s="409" t="str">
        <f t="shared" si="9"/>
        <v>Piedras Negras</v>
      </c>
      <c r="F404" s="409"/>
    </row>
    <row r="405" spans="1:6" x14ac:dyDescent="0.3">
      <c r="A405" s="416" t="s">
        <v>4322</v>
      </c>
      <c r="B405" s="417" t="s">
        <v>4323</v>
      </c>
      <c r="C405" s="417">
        <v>23139038</v>
      </c>
      <c r="D405" s="417" t="s">
        <v>5625</v>
      </c>
      <c r="E405" s="409" t="str">
        <f t="shared" si="9"/>
        <v>Piedras Negras</v>
      </c>
      <c r="F405" s="409"/>
    </row>
    <row r="406" spans="1:6" x14ac:dyDescent="0.3">
      <c r="A406" s="416" t="s">
        <v>4324</v>
      </c>
      <c r="B406" s="417" t="s">
        <v>4326</v>
      </c>
      <c r="C406" s="417">
        <v>23163285</v>
      </c>
      <c r="D406" s="417" t="s">
        <v>5625</v>
      </c>
      <c r="E406" s="409" t="str">
        <f t="shared" si="9"/>
        <v>Piedras Negras</v>
      </c>
      <c r="F406" s="409"/>
    </row>
    <row r="407" spans="1:6" x14ac:dyDescent="0.3">
      <c r="A407" s="416" t="s">
        <v>4328</v>
      </c>
      <c r="B407" s="417" t="s">
        <v>4330</v>
      </c>
      <c r="C407" s="417">
        <v>23143235</v>
      </c>
      <c r="D407" s="417" t="s">
        <v>5625</v>
      </c>
      <c r="E407" s="409" t="str">
        <f t="shared" si="9"/>
        <v>Piedras Negras</v>
      </c>
      <c r="F407" s="409"/>
    </row>
    <row r="408" spans="1:6" x14ac:dyDescent="0.3">
      <c r="A408" s="416" t="s">
        <v>4331</v>
      </c>
      <c r="B408" s="417" t="s">
        <v>4332</v>
      </c>
      <c r="C408" s="417">
        <v>23143942</v>
      </c>
      <c r="D408" s="417" t="s">
        <v>5625</v>
      </c>
      <c r="E408" s="409" t="str">
        <f t="shared" si="9"/>
        <v>Piedras Negras</v>
      </c>
      <c r="F408" s="409"/>
    </row>
    <row r="409" spans="1:6" x14ac:dyDescent="0.3">
      <c r="A409" s="416" t="s">
        <v>4333</v>
      </c>
      <c r="B409" s="417" t="s">
        <v>4334</v>
      </c>
      <c r="C409" s="417">
        <v>23182509</v>
      </c>
      <c r="D409" s="417" t="s">
        <v>5625</v>
      </c>
      <c r="E409" s="409" t="str">
        <f t="shared" si="9"/>
        <v>Piedras Negras</v>
      </c>
      <c r="F409" s="409"/>
    </row>
    <row r="410" spans="1:6" x14ac:dyDescent="0.3">
      <c r="A410" s="416" t="s">
        <v>4335</v>
      </c>
      <c r="B410" s="417" t="s">
        <v>4336</v>
      </c>
      <c r="C410" s="417">
        <v>23185649</v>
      </c>
      <c r="D410" s="417" t="s">
        <v>5625</v>
      </c>
      <c r="E410" s="409" t="str">
        <f t="shared" si="9"/>
        <v>Piedras Negras</v>
      </c>
      <c r="F410" s="409"/>
    </row>
    <row r="411" spans="1:6" x14ac:dyDescent="0.3">
      <c r="A411" s="416" t="s">
        <v>4337</v>
      </c>
      <c r="B411" s="417" t="s">
        <v>4339</v>
      </c>
      <c r="C411" s="417">
        <v>23105570</v>
      </c>
      <c r="D411" s="417" t="s">
        <v>5625</v>
      </c>
      <c r="E411" s="409" t="str">
        <f t="shared" si="9"/>
        <v>Piedras Negras</v>
      </c>
      <c r="F411" s="409"/>
    </row>
    <row r="412" spans="1:6" x14ac:dyDescent="0.3">
      <c r="A412" s="416" t="s">
        <v>4342</v>
      </c>
      <c r="B412" s="417" t="s">
        <v>4343</v>
      </c>
      <c r="C412" s="417">
        <v>23182886</v>
      </c>
      <c r="D412" s="417" t="s">
        <v>5625</v>
      </c>
      <c r="E412" s="409" t="str">
        <f t="shared" si="9"/>
        <v>Piedras Negras</v>
      </c>
      <c r="F412" s="409"/>
    </row>
    <row r="413" spans="1:6" x14ac:dyDescent="0.3">
      <c r="A413" s="416" t="s">
        <v>4344</v>
      </c>
      <c r="B413" s="417" t="s">
        <v>4346</v>
      </c>
      <c r="C413" s="417">
        <v>23143233</v>
      </c>
      <c r="D413" s="417" t="s">
        <v>5625</v>
      </c>
      <c r="E413" s="409" t="str">
        <f t="shared" si="9"/>
        <v>Piedras Negras</v>
      </c>
      <c r="F413" s="409"/>
    </row>
    <row r="414" spans="1:6" x14ac:dyDescent="0.3">
      <c r="A414" s="416" t="s">
        <v>4348</v>
      </c>
      <c r="B414" s="417" t="s">
        <v>4350</v>
      </c>
      <c r="C414" s="417">
        <v>22227436</v>
      </c>
      <c r="D414" s="417" t="s">
        <v>5625</v>
      </c>
      <c r="E414" s="409" t="str">
        <f t="shared" si="9"/>
        <v>Piedras Negras</v>
      </c>
      <c r="F414" s="409"/>
    </row>
    <row r="415" spans="1:6" x14ac:dyDescent="0.3">
      <c r="A415" s="416" t="s">
        <v>4351</v>
      </c>
      <c r="B415" s="417" t="s">
        <v>4352</v>
      </c>
      <c r="C415" s="417">
        <v>23030977</v>
      </c>
      <c r="D415" s="417" t="s">
        <v>5625</v>
      </c>
      <c r="E415" s="409" t="str">
        <f t="shared" si="9"/>
        <v>Piedras Negras</v>
      </c>
      <c r="F415" s="409"/>
    </row>
    <row r="416" spans="1:6" x14ac:dyDescent="0.3">
      <c r="A416" s="416" t="s">
        <v>4353</v>
      </c>
      <c r="B416" s="417" t="s">
        <v>4354</v>
      </c>
      <c r="C416" s="417">
        <v>23047735</v>
      </c>
      <c r="D416" s="417" t="s">
        <v>5625</v>
      </c>
      <c r="E416" s="409" t="str">
        <f t="shared" si="9"/>
        <v>Piedras Negras</v>
      </c>
      <c r="F416" s="409"/>
    </row>
    <row r="417" spans="1:6" x14ac:dyDescent="0.3">
      <c r="A417" s="416" t="s">
        <v>4355</v>
      </c>
      <c r="B417" s="417" t="s">
        <v>4357</v>
      </c>
      <c r="C417" s="417">
        <v>23158800</v>
      </c>
      <c r="D417" s="417" t="s">
        <v>5625</v>
      </c>
      <c r="E417" s="409" t="str">
        <f t="shared" si="9"/>
        <v>Piedras Negras</v>
      </c>
      <c r="F417" s="409"/>
    </row>
    <row r="418" spans="1:6" x14ac:dyDescent="0.3">
      <c r="A418" s="416" t="s">
        <v>4359</v>
      </c>
      <c r="B418" s="417" t="s">
        <v>4360</v>
      </c>
      <c r="C418" s="417">
        <v>23186659</v>
      </c>
      <c r="D418" s="417" t="s">
        <v>5625</v>
      </c>
      <c r="E418" s="409" t="str">
        <f t="shared" si="9"/>
        <v>Piedras Negras</v>
      </c>
      <c r="F418" s="409"/>
    </row>
    <row r="419" spans="1:6" x14ac:dyDescent="0.3">
      <c r="A419" s="416" t="s">
        <v>4361</v>
      </c>
      <c r="B419" s="417" t="s">
        <v>4363</v>
      </c>
      <c r="C419" s="417">
        <v>23139653</v>
      </c>
      <c r="D419" s="417" t="s">
        <v>5625</v>
      </c>
      <c r="E419" s="409" t="str">
        <f t="shared" si="9"/>
        <v>Piedras Negras</v>
      </c>
      <c r="F419" s="409"/>
    </row>
    <row r="420" spans="1:6" x14ac:dyDescent="0.3">
      <c r="A420" s="416" t="s">
        <v>4364</v>
      </c>
      <c r="B420" s="417" t="s">
        <v>4365</v>
      </c>
      <c r="C420" s="417">
        <v>23138362</v>
      </c>
      <c r="D420" s="417" t="s">
        <v>5625</v>
      </c>
      <c r="E420" s="409" t="str">
        <f t="shared" si="9"/>
        <v>Piedras Negras</v>
      </c>
      <c r="F420" s="409"/>
    </row>
    <row r="421" spans="1:6" x14ac:dyDescent="0.3">
      <c r="A421" s="416" t="s">
        <v>4366</v>
      </c>
      <c r="B421" s="417" t="s">
        <v>4367</v>
      </c>
      <c r="C421" s="417">
        <v>23047556</v>
      </c>
      <c r="D421" s="417" t="s">
        <v>5625</v>
      </c>
      <c r="E421" s="409" t="str">
        <f t="shared" si="9"/>
        <v>Piedras Negras</v>
      </c>
      <c r="F421" s="409"/>
    </row>
    <row r="422" spans="1:6" x14ac:dyDescent="0.3">
      <c r="A422" s="416" t="s">
        <v>4368</v>
      </c>
      <c r="B422" s="417" t="s">
        <v>4370</v>
      </c>
      <c r="C422" s="417">
        <v>23198263</v>
      </c>
      <c r="D422" s="417" t="s">
        <v>5625</v>
      </c>
      <c r="E422" s="409" t="str">
        <f t="shared" si="9"/>
        <v>Piedras Negras</v>
      </c>
      <c r="F422" s="409"/>
    </row>
    <row r="423" spans="1:6" x14ac:dyDescent="0.3">
      <c r="A423" s="416" t="s">
        <v>4371</v>
      </c>
      <c r="B423" s="417" t="s">
        <v>4373</v>
      </c>
      <c r="C423" s="417">
        <v>23202268</v>
      </c>
      <c r="D423" s="417" t="s">
        <v>5625</v>
      </c>
      <c r="E423" s="409" t="str">
        <f t="shared" si="9"/>
        <v>Piedras Negras</v>
      </c>
      <c r="F423" s="409"/>
    </row>
    <row r="424" spans="1:6" x14ac:dyDescent="0.3">
      <c r="A424" s="416" t="s">
        <v>4374</v>
      </c>
      <c r="B424" s="417" t="s">
        <v>4375</v>
      </c>
      <c r="C424" s="417">
        <v>23031170</v>
      </c>
      <c r="D424" s="417" t="s">
        <v>5625</v>
      </c>
      <c r="E424" s="409" t="str">
        <f t="shared" ref="E424:E487" si="10">VLOOKUP(D424,ADUANAS1,2,FALSE)</f>
        <v>Piedras Negras</v>
      </c>
      <c r="F424" s="409"/>
    </row>
    <row r="425" spans="1:6" x14ac:dyDescent="0.3">
      <c r="A425" s="418" t="s">
        <v>4433</v>
      </c>
      <c r="B425" s="419" t="s">
        <v>4434</v>
      </c>
      <c r="C425" s="419">
        <v>20251121</v>
      </c>
      <c r="D425" s="419" t="s">
        <v>5626</v>
      </c>
      <c r="E425" s="421" t="str">
        <f t="shared" si="10"/>
        <v>Puerto Progreso</v>
      </c>
      <c r="F425" s="409"/>
    </row>
    <row r="426" spans="1:6" x14ac:dyDescent="0.3">
      <c r="A426" s="418" t="s">
        <v>4435</v>
      </c>
      <c r="B426" s="419" t="s">
        <v>4436</v>
      </c>
      <c r="C426" s="419">
        <v>23177628</v>
      </c>
      <c r="D426" s="419" t="s">
        <v>5626</v>
      </c>
      <c r="E426" s="421" t="str">
        <f t="shared" si="10"/>
        <v>Puerto Progreso</v>
      </c>
      <c r="F426" s="409"/>
    </row>
    <row r="427" spans="1:6" x14ac:dyDescent="0.3">
      <c r="A427" s="418" t="s">
        <v>4437</v>
      </c>
      <c r="B427" s="419" t="s">
        <v>4438</v>
      </c>
      <c r="C427" s="419">
        <v>22149740</v>
      </c>
      <c r="D427" s="419" t="s">
        <v>5626</v>
      </c>
      <c r="E427" s="421" t="str">
        <f t="shared" si="10"/>
        <v>Puerto Progreso</v>
      </c>
      <c r="F427" s="409"/>
    </row>
    <row r="428" spans="1:6" x14ac:dyDescent="0.3">
      <c r="A428" s="418" t="s">
        <v>4439</v>
      </c>
      <c r="B428" s="419" t="s">
        <v>4440</v>
      </c>
      <c r="C428" s="419">
        <v>20240914</v>
      </c>
      <c r="D428" s="419" t="s">
        <v>5626</v>
      </c>
      <c r="E428" s="421" t="str">
        <f t="shared" si="10"/>
        <v>Puerto Progreso</v>
      </c>
      <c r="F428" s="409"/>
    </row>
    <row r="429" spans="1:6" x14ac:dyDescent="0.3">
      <c r="A429" s="416" t="s">
        <v>4518</v>
      </c>
      <c r="B429" s="417" t="s">
        <v>4519</v>
      </c>
      <c r="C429" s="417">
        <v>23008032</v>
      </c>
      <c r="D429" s="417" t="s">
        <v>5627</v>
      </c>
      <c r="E429" s="409" t="str">
        <f t="shared" si="10"/>
        <v>Reynosa, Tamps.</v>
      </c>
      <c r="F429" s="409"/>
    </row>
    <row r="430" spans="1:6" x14ac:dyDescent="0.3">
      <c r="A430" s="416" t="s">
        <v>4520</v>
      </c>
      <c r="B430" s="417" t="s">
        <v>4521</v>
      </c>
      <c r="C430" s="417">
        <v>23126524</v>
      </c>
      <c r="D430" s="417" t="s">
        <v>5627</v>
      </c>
      <c r="E430" s="409" t="str">
        <f t="shared" si="10"/>
        <v>Reynosa, Tamps.</v>
      </c>
      <c r="F430" s="409"/>
    </row>
    <row r="431" spans="1:6" x14ac:dyDescent="0.3">
      <c r="A431" s="416" t="s">
        <v>4522</v>
      </c>
      <c r="B431" s="417" t="s">
        <v>4523</v>
      </c>
      <c r="C431" s="417">
        <v>23005767</v>
      </c>
      <c r="D431" s="417" t="s">
        <v>5627</v>
      </c>
      <c r="E431" s="409" t="str">
        <f t="shared" si="10"/>
        <v>Reynosa, Tamps.</v>
      </c>
      <c r="F431" s="409"/>
    </row>
    <row r="432" spans="1:6" x14ac:dyDescent="0.3">
      <c r="A432" s="416" t="s">
        <v>4524</v>
      </c>
      <c r="B432" s="417" t="s">
        <v>4525</v>
      </c>
      <c r="C432" s="417">
        <v>23008798</v>
      </c>
      <c r="D432" s="417" t="s">
        <v>5627</v>
      </c>
      <c r="E432" s="409" t="str">
        <f t="shared" si="10"/>
        <v>Reynosa, Tamps.</v>
      </c>
      <c r="F432" s="409"/>
    </row>
    <row r="433" spans="1:6" x14ac:dyDescent="0.3">
      <c r="A433" s="416" t="s">
        <v>4526</v>
      </c>
      <c r="B433" s="417" t="s">
        <v>4527</v>
      </c>
      <c r="C433" s="417">
        <v>23094748</v>
      </c>
      <c r="D433" s="417" t="s">
        <v>5627</v>
      </c>
      <c r="E433" s="409" t="str">
        <f t="shared" si="10"/>
        <v>Reynosa, Tamps.</v>
      </c>
      <c r="F433" s="409"/>
    </row>
    <row r="434" spans="1:6" x14ac:dyDescent="0.3">
      <c r="A434" s="416" t="s">
        <v>4528</v>
      </c>
      <c r="B434" s="417" t="s">
        <v>4529</v>
      </c>
      <c r="C434" s="417">
        <v>23054736</v>
      </c>
      <c r="D434" s="417" t="s">
        <v>5627</v>
      </c>
      <c r="E434" s="409" t="str">
        <f t="shared" si="10"/>
        <v>Reynosa, Tamps.</v>
      </c>
      <c r="F434" s="409"/>
    </row>
    <row r="435" spans="1:6" x14ac:dyDescent="0.3">
      <c r="A435" s="416" t="s">
        <v>4530</v>
      </c>
      <c r="B435" s="417" t="s">
        <v>4531</v>
      </c>
      <c r="C435" s="417">
        <v>23004757</v>
      </c>
      <c r="D435" s="417" t="s">
        <v>5627</v>
      </c>
      <c r="E435" s="409" t="str">
        <f t="shared" si="10"/>
        <v>Reynosa, Tamps.</v>
      </c>
      <c r="F435" s="409"/>
    </row>
    <row r="436" spans="1:6" x14ac:dyDescent="0.3">
      <c r="A436" s="416" t="s">
        <v>4532</v>
      </c>
      <c r="B436" s="417" t="s">
        <v>4533</v>
      </c>
      <c r="C436" s="417">
        <v>23129724</v>
      </c>
      <c r="D436" s="417" t="s">
        <v>5627</v>
      </c>
      <c r="E436" s="409" t="str">
        <f t="shared" si="10"/>
        <v>Reynosa, Tamps.</v>
      </c>
      <c r="F436" s="409"/>
    </row>
    <row r="437" spans="1:6" x14ac:dyDescent="0.3">
      <c r="A437" s="416" t="s">
        <v>4534</v>
      </c>
      <c r="B437" s="417" t="s">
        <v>4535</v>
      </c>
      <c r="C437" s="417">
        <v>23122482</v>
      </c>
      <c r="D437" s="417" t="s">
        <v>5627</v>
      </c>
      <c r="E437" s="409" t="str">
        <f t="shared" si="10"/>
        <v>Reynosa, Tamps.</v>
      </c>
      <c r="F437" s="409"/>
    </row>
    <row r="438" spans="1:6" x14ac:dyDescent="0.3">
      <c r="A438" s="416" t="s">
        <v>4536</v>
      </c>
      <c r="B438" s="417" t="s">
        <v>4537</v>
      </c>
      <c r="C438" s="417">
        <v>23214573</v>
      </c>
      <c r="D438" s="417" t="s">
        <v>5627</v>
      </c>
      <c r="E438" s="409" t="str">
        <f t="shared" si="10"/>
        <v>Reynosa, Tamps.</v>
      </c>
      <c r="F438" s="409"/>
    </row>
    <row r="439" spans="1:6" x14ac:dyDescent="0.3">
      <c r="A439" s="416" t="s">
        <v>4538</v>
      </c>
      <c r="B439" s="417" t="s">
        <v>4539</v>
      </c>
      <c r="C439" s="417">
        <v>23000825</v>
      </c>
      <c r="D439" s="417" t="s">
        <v>5627</v>
      </c>
      <c r="E439" s="409" t="str">
        <f t="shared" si="10"/>
        <v>Reynosa, Tamps.</v>
      </c>
      <c r="F439" s="409"/>
    </row>
    <row r="440" spans="1:6" x14ac:dyDescent="0.3">
      <c r="A440" s="416" t="s">
        <v>4540</v>
      </c>
      <c r="B440" s="417" t="s">
        <v>4541</v>
      </c>
      <c r="C440" s="417">
        <v>23092936</v>
      </c>
      <c r="D440" s="417" t="s">
        <v>5627</v>
      </c>
      <c r="E440" s="409" t="str">
        <f t="shared" si="10"/>
        <v>Reynosa, Tamps.</v>
      </c>
      <c r="F440" s="409"/>
    </row>
    <row r="441" spans="1:6" x14ac:dyDescent="0.3">
      <c r="A441" s="416" t="s">
        <v>4542</v>
      </c>
      <c r="B441" s="417" t="s">
        <v>4543</v>
      </c>
      <c r="C441" s="417">
        <v>23000822</v>
      </c>
      <c r="D441" s="417" t="s">
        <v>5627</v>
      </c>
      <c r="E441" s="409" t="str">
        <f t="shared" si="10"/>
        <v>Reynosa, Tamps.</v>
      </c>
      <c r="F441" s="409"/>
    </row>
    <row r="442" spans="1:6" x14ac:dyDescent="0.3">
      <c r="A442" s="416" t="s">
        <v>4544</v>
      </c>
      <c r="B442" s="417" t="s">
        <v>4545</v>
      </c>
      <c r="C442" s="417">
        <v>23095479</v>
      </c>
      <c r="D442" s="417" t="s">
        <v>5627</v>
      </c>
      <c r="E442" s="409" t="str">
        <f t="shared" si="10"/>
        <v>Reynosa, Tamps.</v>
      </c>
      <c r="F442" s="409"/>
    </row>
    <row r="443" spans="1:6" x14ac:dyDescent="0.3">
      <c r="A443" s="418" t="s">
        <v>4612</v>
      </c>
      <c r="B443" s="419" t="s">
        <v>4616</v>
      </c>
      <c r="C443" s="419">
        <v>23197440</v>
      </c>
      <c r="D443" s="419" t="s">
        <v>5628</v>
      </c>
      <c r="E443" s="421" t="str">
        <f t="shared" si="10"/>
        <v>Salina Cruz</v>
      </c>
      <c r="F443" s="409"/>
    </row>
    <row r="444" spans="1:6" x14ac:dyDescent="0.3">
      <c r="A444" s="418" t="s">
        <v>4615</v>
      </c>
      <c r="B444" s="419" t="s">
        <v>4618</v>
      </c>
      <c r="C444" s="419">
        <v>23113168</v>
      </c>
      <c r="D444" s="419" t="s">
        <v>5628</v>
      </c>
      <c r="E444" s="421" t="str">
        <f t="shared" si="10"/>
        <v>Salina Cruz</v>
      </c>
      <c r="F444" s="409"/>
    </row>
    <row r="445" spans="1:6" x14ac:dyDescent="0.3">
      <c r="A445" s="418" t="s">
        <v>4617</v>
      </c>
      <c r="B445" s="419" t="s">
        <v>4620</v>
      </c>
      <c r="C445" s="419">
        <v>23162220</v>
      </c>
      <c r="D445" s="419" t="s">
        <v>5628</v>
      </c>
      <c r="E445" s="421" t="str">
        <f t="shared" si="10"/>
        <v>Salina Cruz</v>
      </c>
      <c r="F445" s="409"/>
    </row>
    <row r="446" spans="1:6" x14ac:dyDescent="0.3">
      <c r="A446" s="418" t="s">
        <v>4619</v>
      </c>
      <c r="B446" s="419" t="s">
        <v>5686</v>
      </c>
      <c r="C446" s="419">
        <v>23214118</v>
      </c>
      <c r="D446" s="419" t="s">
        <v>5628</v>
      </c>
      <c r="E446" s="421" t="str">
        <f t="shared" si="10"/>
        <v>Salina Cruz</v>
      </c>
      <c r="F446" s="409"/>
    </row>
    <row r="447" spans="1:6" x14ac:dyDescent="0.3">
      <c r="A447" s="418" t="s">
        <v>4621</v>
      </c>
      <c r="B447" s="419" t="s">
        <v>4625</v>
      </c>
      <c r="C447" s="419">
        <v>23198977</v>
      </c>
      <c r="D447" s="419" t="s">
        <v>5628</v>
      </c>
      <c r="E447" s="421" t="str">
        <f t="shared" si="10"/>
        <v>Salina Cruz</v>
      </c>
      <c r="F447" s="409"/>
    </row>
    <row r="448" spans="1:6" x14ac:dyDescent="0.3">
      <c r="A448" s="418" t="s">
        <v>4624</v>
      </c>
      <c r="B448" s="419" t="s">
        <v>4627</v>
      </c>
      <c r="C448" s="419">
        <v>23209537</v>
      </c>
      <c r="D448" s="419" t="s">
        <v>5628</v>
      </c>
      <c r="E448" s="421" t="str">
        <f t="shared" si="10"/>
        <v>Salina Cruz</v>
      </c>
      <c r="F448" s="409"/>
    </row>
    <row r="449" spans="1:6" x14ac:dyDescent="0.3">
      <c r="A449" s="418" t="s">
        <v>4626</v>
      </c>
      <c r="B449" s="419" t="s">
        <v>4629</v>
      </c>
      <c r="C449" s="419">
        <v>23207342</v>
      </c>
      <c r="D449" s="419" t="s">
        <v>5628</v>
      </c>
      <c r="E449" s="421" t="str">
        <f t="shared" si="10"/>
        <v>Salina Cruz</v>
      </c>
      <c r="F449" s="409"/>
    </row>
    <row r="450" spans="1:6" x14ac:dyDescent="0.3">
      <c r="A450" s="416" t="s">
        <v>5687</v>
      </c>
      <c r="B450" s="417" t="s">
        <v>4703</v>
      </c>
      <c r="C450" s="417">
        <v>23046628</v>
      </c>
      <c r="D450" s="417" t="s">
        <v>5630</v>
      </c>
      <c r="E450" s="409" t="str">
        <f t="shared" si="10"/>
        <v>San Luis Río Colorado</v>
      </c>
      <c r="F450" s="409"/>
    </row>
    <row r="451" spans="1:6" x14ac:dyDescent="0.3">
      <c r="A451" s="416" t="s">
        <v>5688</v>
      </c>
      <c r="B451" s="417" t="s">
        <v>4705</v>
      </c>
      <c r="C451" s="417">
        <v>23157331</v>
      </c>
      <c r="D451" s="417" t="s">
        <v>5630</v>
      </c>
      <c r="E451" s="409" t="str">
        <f t="shared" si="10"/>
        <v>San Luis Río Colorado</v>
      </c>
      <c r="F451" s="409"/>
    </row>
    <row r="452" spans="1:6" x14ac:dyDescent="0.3">
      <c r="A452" s="416" t="s">
        <v>5689</v>
      </c>
      <c r="B452" s="417" t="s">
        <v>4707</v>
      </c>
      <c r="C452" s="417">
        <v>23046627</v>
      </c>
      <c r="D452" s="417" t="s">
        <v>5630</v>
      </c>
      <c r="E452" s="409" t="str">
        <f t="shared" si="10"/>
        <v>San Luis Río Colorado</v>
      </c>
      <c r="F452" s="409"/>
    </row>
    <row r="453" spans="1:6" x14ac:dyDescent="0.3">
      <c r="A453" s="416" t="s">
        <v>5690</v>
      </c>
      <c r="B453" s="417" t="s">
        <v>4709</v>
      </c>
      <c r="C453" s="417">
        <v>23165959</v>
      </c>
      <c r="D453" s="417" t="s">
        <v>5630</v>
      </c>
      <c r="E453" s="409" t="str">
        <f t="shared" si="10"/>
        <v>San Luis Río Colorado</v>
      </c>
      <c r="F453" s="409"/>
    </row>
    <row r="454" spans="1:6" x14ac:dyDescent="0.3">
      <c r="A454" s="416" t="s">
        <v>5691</v>
      </c>
      <c r="B454" s="417" t="s">
        <v>4711</v>
      </c>
      <c r="C454" s="417">
        <v>23046075</v>
      </c>
      <c r="D454" s="417" t="s">
        <v>5630</v>
      </c>
      <c r="E454" s="409" t="str">
        <f t="shared" si="10"/>
        <v>San Luis Río Colorado</v>
      </c>
      <c r="F454" s="409"/>
    </row>
    <row r="455" spans="1:6" x14ac:dyDescent="0.3">
      <c r="A455" s="416" t="s">
        <v>5692</v>
      </c>
      <c r="B455" s="417" t="s">
        <v>4713</v>
      </c>
      <c r="C455" s="417">
        <v>23139071</v>
      </c>
      <c r="D455" s="417" t="s">
        <v>5630</v>
      </c>
      <c r="E455" s="409" t="str">
        <f t="shared" si="10"/>
        <v>San Luis Río Colorado</v>
      </c>
      <c r="F455" s="409"/>
    </row>
    <row r="456" spans="1:6" x14ac:dyDescent="0.3">
      <c r="A456" s="416" t="s">
        <v>5693</v>
      </c>
      <c r="B456" s="417" t="s">
        <v>4715</v>
      </c>
      <c r="C456" s="417">
        <v>23046622</v>
      </c>
      <c r="D456" s="417" t="s">
        <v>5630</v>
      </c>
      <c r="E456" s="409" t="str">
        <f t="shared" si="10"/>
        <v>San Luis Río Colorado</v>
      </c>
      <c r="F456" s="409"/>
    </row>
    <row r="457" spans="1:6" x14ac:dyDescent="0.3">
      <c r="A457" s="416" t="s">
        <v>5694</v>
      </c>
      <c r="B457" s="417" t="s">
        <v>4717</v>
      </c>
      <c r="C457" s="417">
        <v>23150032</v>
      </c>
      <c r="D457" s="417" t="s">
        <v>5630</v>
      </c>
      <c r="E457" s="409" t="str">
        <f t="shared" si="10"/>
        <v>San Luis Río Colorado</v>
      </c>
      <c r="F457" s="409"/>
    </row>
    <row r="458" spans="1:6" x14ac:dyDescent="0.3">
      <c r="A458" s="416" t="s">
        <v>5695</v>
      </c>
      <c r="B458" s="417" t="s">
        <v>4719</v>
      </c>
      <c r="C458" s="417">
        <v>23139404</v>
      </c>
      <c r="D458" s="417" t="s">
        <v>5630</v>
      </c>
      <c r="E458" s="409" t="str">
        <f t="shared" si="10"/>
        <v>San Luis Río Colorado</v>
      </c>
      <c r="F458" s="409"/>
    </row>
    <row r="459" spans="1:6" x14ac:dyDescent="0.3">
      <c r="A459" s="416" t="s">
        <v>5696</v>
      </c>
      <c r="B459" s="417" t="s">
        <v>4721</v>
      </c>
      <c r="C459" s="417">
        <v>23139077</v>
      </c>
      <c r="D459" s="417" t="s">
        <v>5630</v>
      </c>
      <c r="E459" s="409" t="str">
        <f t="shared" si="10"/>
        <v>San Luis Río Colorado</v>
      </c>
      <c r="F459" s="409"/>
    </row>
    <row r="460" spans="1:6" x14ac:dyDescent="0.3">
      <c r="A460" s="418" t="s">
        <v>4872</v>
      </c>
      <c r="B460" s="419" t="s">
        <v>4873</v>
      </c>
      <c r="C460" s="419">
        <v>23179908</v>
      </c>
      <c r="D460" s="419" t="s">
        <v>5631</v>
      </c>
      <c r="E460" s="421" t="str">
        <f t="shared" si="10"/>
        <v>Subteniente Lopez</v>
      </c>
      <c r="F460" s="409"/>
    </row>
    <row r="461" spans="1:6" x14ac:dyDescent="0.3">
      <c r="A461" s="418" t="s">
        <v>4874</v>
      </c>
      <c r="B461" s="419" t="s">
        <v>4875</v>
      </c>
      <c r="C461" s="419">
        <v>23182585</v>
      </c>
      <c r="D461" s="419" t="s">
        <v>5631</v>
      </c>
      <c r="E461" s="421" t="str">
        <f t="shared" si="10"/>
        <v>Subteniente Lopez</v>
      </c>
      <c r="F461" s="409"/>
    </row>
    <row r="462" spans="1:6" x14ac:dyDescent="0.3">
      <c r="A462" s="418" t="s">
        <v>4876</v>
      </c>
      <c r="B462" s="419" t="s">
        <v>4877</v>
      </c>
      <c r="C462" s="419">
        <v>23191873</v>
      </c>
      <c r="D462" s="419" t="s">
        <v>5631</v>
      </c>
      <c r="E462" s="421" t="str">
        <f t="shared" si="10"/>
        <v>Subteniente Lopez</v>
      </c>
      <c r="F462" s="409"/>
    </row>
    <row r="463" spans="1:6" x14ac:dyDescent="0.3">
      <c r="A463" s="418" t="s">
        <v>4878</v>
      </c>
      <c r="B463" s="419" t="s">
        <v>4879</v>
      </c>
      <c r="C463" s="419">
        <v>23197331</v>
      </c>
      <c r="D463" s="419" t="s">
        <v>5631</v>
      </c>
      <c r="E463" s="421" t="str">
        <f t="shared" si="10"/>
        <v>Subteniente Lopez</v>
      </c>
      <c r="F463" s="409"/>
    </row>
    <row r="464" spans="1:6" x14ac:dyDescent="0.3">
      <c r="A464" s="418" t="s">
        <v>4880</v>
      </c>
      <c r="B464" s="419" t="s">
        <v>4881</v>
      </c>
      <c r="C464" s="419">
        <v>23202860</v>
      </c>
      <c r="D464" s="419" t="s">
        <v>5631</v>
      </c>
      <c r="E464" s="421" t="str">
        <f t="shared" si="10"/>
        <v>Subteniente Lopez</v>
      </c>
      <c r="F464" s="409"/>
    </row>
    <row r="465" spans="1:6" x14ac:dyDescent="0.3">
      <c r="A465" s="418" t="s">
        <v>4882</v>
      </c>
      <c r="B465" s="419" t="s">
        <v>4883</v>
      </c>
      <c r="C465" s="419">
        <v>23188315</v>
      </c>
      <c r="D465" s="419" t="s">
        <v>5631</v>
      </c>
      <c r="E465" s="421" t="str">
        <f t="shared" si="10"/>
        <v>Subteniente Lopez</v>
      </c>
      <c r="F465" s="409"/>
    </row>
    <row r="466" spans="1:6" x14ac:dyDescent="0.3">
      <c r="A466" s="418" t="s">
        <v>4884</v>
      </c>
      <c r="B466" s="419" t="s">
        <v>4885</v>
      </c>
      <c r="C466" s="419">
        <v>23148976</v>
      </c>
      <c r="D466" s="419" t="s">
        <v>5631</v>
      </c>
      <c r="E466" s="421" t="str">
        <f t="shared" si="10"/>
        <v>Subteniente Lopez</v>
      </c>
      <c r="F466" s="409"/>
    </row>
    <row r="467" spans="1:6" x14ac:dyDescent="0.3">
      <c r="A467" s="418" t="s">
        <v>4886</v>
      </c>
      <c r="B467" s="419" t="s">
        <v>4887</v>
      </c>
      <c r="C467" s="419">
        <v>23198206</v>
      </c>
      <c r="D467" s="419" t="s">
        <v>5631</v>
      </c>
      <c r="E467" s="421" t="str">
        <f t="shared" si="10"/>
        <v>Subteniente Lopez</v>
      </c>
      <c r="F467" s="409"/>
    </row>
    <row r="468" spans="1:6" x14ac:dyDescent="0.3">
      <c r="A468" s="416" t="s">
        <v>4960</v>
      </c>
      <c r="B468" s="417" t="s">
        <v>5697</v>
      </c>
      <c r="C468" s="417">
        <v>23157904</v>
      </c>
      <c r="D468" s="417" t="s">
        <v>5632</v>
      </c>
      <c r="E468" s="409" t="str">
        <f t="shared" si="10"/>
        <v>Tampico</v>
      </c>
      <c r="F468" s="409"/>
    </row>
    <row r="469" spans="1:6" x14ac:dyDescent="0.3">
      <c r="A469" s="416" t="s">
        <v>4963</v>
      </c>
      <c r="B469" s="417" t="s">
        <v>5698</v>
      </c>
      <c r="C469" s="417">
        <v>23202224</v>
      </c>
      <c r="D469" s="417" t="s">
        <v>5632</v>
      </c>
      <c r="E469" s="409" t="str">
        <f t="shared" si="10"/>
        <v>Tampico</v>
      </c>
      <c r="F469" s="409"/>
    </row>
    <row r="470" spans="1:6" x14ac:dyDescent="0.3">
      <c r="A470" s="416" t="s">
        <v>4966</v>
      </c>
      <c r="B470" s="417" t="s">
        <v>4971</v>
      </c>
      <c r="C470" s="417">
        <v>23209535</v>
      </c>
      <c r="D470" s="417" t="s">
        <v>5632</v>
      </c>
      <c r="E470" s="409" t="str">
        <f t="shared" si="10"/>
        <v>Tampico</v>
      </c>
      <c r="F470" s="409"/>
    </row>
    <row r="471" spans="1:6" x14ac:dyDescent="0.3">
      <c r="A471" s="416" t="s">
        <v>4968</v>
      </c>
      <c r="B471" s="417" t="s">
        <v>5699</v>
      </c>
      <c r="C471" s="417">
        <v>23137390</v>
      </c>
      <c r="D471" s="417" t="s">
        <v>5632</v>
      </c>
      <c r="E471" s="409" t="str">
        <f t="shared" si="10"/>
        <v>Tampico</v>
      </c>
      <c r="F471" s="409"/>
    </row>
    <row r="472" spans="1:6" x14ac:dyDescent="0.3">
      <c r="A472" s="418" t="s">
        <v>5131</v>
      </c>
      <c r="B472" s="419" t="s">
        <v>5132</v>
      </c>
      <c r="C472" s="419">
        <v>23196741</v>
      </c>
      <c r="D472" s="419" t="s">
        <v>5633</v>
      </c>
      <c r="E472" s="421" t="str">
        <f t="shared" si="10"/>
        <v>Tijuana</v>
      </c>
      <c r="F472" s="409"/>
    </row>
    <row r="473" spans="1:6" x14ac:dyDescent="0.3">
      <c r="A473" s="418" t="s">
        <v>5133</v>
      </c>
      <c r="B473" s="419" t="s">
        <v>5134</v>
      </c>
      <c r="C473" s="419">
        <v>23194659</v>
      </c>
      <c r="D473" s="419" t="s">
        <v>5633</v>
      </c>
      <c r="E473" s="421" t="str">
        <f t="shared" si="10"/>
        <v>Tijuana</v>
      </c>
      <c r="F473" s="409"/>
    </row>
    <row r="474" spans="1:6" x14ac:dyDescent="0.3">
      <c r="A474" s="418" t="s">
        <v>5135</v>
      </c>
      <c r="B474" s="419" t="s">
        <v>5136</v>
      </c>
      <c r="C474" s="419">
        <v>23139660</v>
      </c>
      <c r="D474" s="419" t="s">
        <v>5633</v>
      </c>
      <c r="E474" s="421" t="str">
        <f t="shared" si="10"/>
        <v>Tijuana</v>
      </c>
      <c r="F474" s="409"/>
    </row>
    <row r="475" spans="1:6" x14ac:dyDescent="0.3">
      <c r="A475" s="418" t="s">
        <v>5137</v>
      </c>
      <c r="B475" s="419" t="s">
        <v>5138</v>
      </c>
      <c r="C475" s="419">
        <v>23193946</v>
      </c>
      <c r="D475" s="419" t="s">
        <v>5633</v>
      </c>
      <c r="E475" s="421" t="str">
        <f t="shared" si="10"/>
        <v>Tijuana</v>
      </c>
      <c r="F475" s="409"/>
    </row>
    <row r="476" spans="1:6" x14ac:dyDescent="0.3">
      <c r="A476" s="418" t="s">
        <v>5139</v>
      </c>
      <c r="B476" s="419" t="s">
        <v>5140</v>
      </c>
      <c r="C476" s="419">
        <v>23149327</v>
      </c>
      <c r="D476" s="419" t="s">
        <v>5633</v>
      </c>
      <c r="E476" s="421" t="str">
        <f t="shared" si="10"/>
        <v>Tijuana</v>
      </c>
      <c r="F476" s="409"/>
    </row>
    <row r="477" spans="1:6" x14ac:dyDescent="0.3">
      <c r="A477" s="418" t="s">
        <v>5141</v>
      </c>
      <c r="B477" s="419" t="s">
        <v>5700</v>
      </c>
      <c r="C477" s="419">
        <v>23054739</v>
      </c>
      <c r="D477" s="419" t="s">
        <v>5633</v>
      </c>
      <c r="E477" s="421" t="str">
        <f t="shared" si="10"/>
        <v>Tijuana</v>
      </c>
      <c r="F477" s="409"/>
    </row>
    <row r="478" spans="1:6" x14ac:dyDescent="0.3">
      <c r="A478" s="418" t="s">
        <v>5144</v>
      </c>
      <c r="B478" s="419" t="s">
        <v>5701</v>
      </c>
      <c r="C478" s="419">
        <v>23199219</v>
      </c>
      <c r="D478" s="419" t="s">
        <v>5633</v>
      </c>
      <c r="E478" s="421" t="str">
        <f t="shared" si="10"/>
        <v>Tijuana</v>
      </c>
      <c r="F478" s="409"/>
    </row>
    <row r="479" spans="1:6" x14ac:dyDescent="0.3">
      <c r="A479" s="418" t="s">
        <v>5146</v>
      </c>
      <c r="B479" s="419" t="s">
        <v>5702</v>
      </c>
      <c r="C479" s="419">
        <v>23208614</v>
      </c>
      <c r="D479" s="419" t="s">
        <v>5633</v>
      </c>
      <c r="E479" s="421" t="str">
        <f t="shared" si="10"/>
        <v>Tijuana</v>
      </c>
    </row>
    <row r="480" spans="1:6" x14ac:dyDescent="0.3">
      <c r="A480" s="418" t="s">
        <v>5148</v>
      </c>
      <c r="B480" s="419" t="s">
        <v>5149</v>
      </c>
      <c r="C480" s="419">
        <v>23192557</v>
      </c>
      <c r="D480" s="419" t="s">
        <v>5633</v>
      </c>
      <c r="E480" s="421" t="str">
        <f t="shared" si="10"/>
        <v>Tijuana</v>
      </c>
    </row>
    <row r="481" spans="1:6" x14ac:dyDescent="0.3">
      <c r="A481" s="418" t="s">
        <v>5150</v>
      </c>
      <c r="B481" s="419" t="s">
        <v>5151</v>
      </c>
      <c r="C481" s="419">
        <v>23195896</v>
      </c>
      <c r="D481" s="419" t="s">
        <v>5633</v>
      </c>
      <c r="E481" s="421" t="str">
        <f t="shared" si="10"/>
        <v>Tijuana</v>
      </c>
    </row>
    <row r="482" spans="1:6" x14ac:dyDescent="0.3">
      <c r="A482" s="418" t="s">
        <v>5152</v>
      </c>
      <c r="B482" s="419" t="s">
        <v>5153</v>
      </c>
      <c r="C482" s="419">
        <v>23054706</v>
      </c>
      <c r="D482" s="419" t="s">
        <v>5633</v>
      </c>
      <c r="E482" s="421" t="str">
        <f t="shared" si="10"/>
        <v>Tijuana</v>
      </c>
    </row>
    <row r="483" spans="1:6" x14ac:dyDescent="0.3">
      <c r="A483" s="418" t="s">
        <v>5154</v>
      </c>
      <c r="B483" s="419" t="s">
        <v>5155</v>
      </c>
      <c r="C483" s="419">
        <v>23199213</v>
      </c>
      <c r="D483" s="419" t="s">
        <v>5633</v>
      </c>
      <c r="E483" s="421" t="str">
        <f t="shared" si="10"/>
        <v>Tijuana</v>
      </c>
    </row>
    <row r="484" spans="1:6" x14ac:dyDescent="0.3">
      <c r="A484" s="418" t="s">
        <v>5156</v>
      </c>
      <c r="B484" s="419" t="s">
        <v>5157</v>
      </c>
      <c r="C484" s="419">
        <v>23196748</v>
      </c>
      <c r="D484" s="419" t="s">
        <v>5633</v>
      </c>
      <c r="E484" s="421" t="str">
        <f t="shared" si="10"/>
        <v>Tijuana</v>
      </c>
      <c r="F484" s="409"/>
    </row>
    <row r="485" spans="1:6" x14ac:dyDescent="0.3">
      <c r="A485" s="418" t="s">
        <v>5158</v>
      </c>
      <c r="B485" s="419" t="s">
        <v>5703</v>
      </c>
      <c r="C485" s="419">
        <v>23160775</v>
      </c>
      <c r="D485" s="419" t="s">
        <v>5633</v>
      </c>
      <c r="E485" s="421" t="str">
        <f t="shared" si="10"/>
        <v>Tijuana</v>
      </c>
      <c r="F485" s="409"/>
    </row>
    <row r="486" spans="1:6" x14ac:dyDescent="0.3">
      <c r="A486" s="418" t="s">
        <v>5161</v>
      </c>
      <c r="B486" s="419" t="s">
        <v>5704</v>
      </c>
      <c r="C486" s="419">
        <v>23140085</v>
      </c>
      <c r="D486" s="419" t="s">
        <v>5633</v>
      </c>
      <c r="E486" s="421" t="str">
        <f t="shared" si="10"/>
        <v>Tijuana</v>
      </c>
    </row>
    <row r="487" spans="1:6" x14ac:dyDescent="0.3">
      <c r="A487" s="418" t="s">
        <v>5163</v>
      </c>
      <c r="B487" s="419" t="s">
        <v>5164</v>
      </c>
      <c r="C487" s="419">
        <v>23192563</v>
      </c>
      <c r="D487" s="419" t="s">
        <v>5633</v>
      </c>
      <c r="E487" s="421" t="str">
        <f t="shared" si="10"/>
        <v>Tijuana</v>
      </c>
    </row>
    <row r="488" spans="1:6" x14ac:dyDescent="0.3">
      <c r="A488" s="418" t="s">
        <v>5165</v>
      </c>
      <c r="B488" s="419" t="s">
        <v>5166</v>
      </c>
      <c r="C488" s="419">
        <v>23193557</v>
      </c>
      <c r="D488" s="419" t="s">
        <v>5633</v>
      </c>
      <c r="E488" s="421" t="str">
        <f t="shared" ref="E488:E551" si="11">VLOOKUP(D488,ADUANAS1,2,FALSE)</f>
        <v>Tijuana</v>
      </c>
    </row>
    <row r="489" spans="1:6" x14ac:dyDescent="0.3">
      <c r="A489" s="418" t="s">
        <v>5167</v>
      </c>
      <c r="B489" s="419" t="s">
        <v>5168</v>
      </c>
      <c r="C489" s="419">
        <v>23149849</v>
      </c>
      <c r="D489" s="419" t="s">
        <v>5633</v>
      </c>
      <c r="E489" s="421" t="str">
        <f t="shared" si="11"/>
        <v>Tijuana</v>
      </c>
    </row>
    <row r="490" spans="1:6" x14ac:dyDescent="0.3">
      <c r="A490" s="418" t="s">
        <v>5169</v>
      </c>
      <c r="B490" s="419" t="s">
        <v>5170</v>
      </c>
      <c r="C490" s="419">
        <v>23199218</v>
      </c>
      <c r="D490" s="419" t="s">
        <v>5633</v>
      </c>
      <c r="E490" s="421" t="str">
        <f t="shared" si="11"/>
        <v>Tijuana</v>
      </c>
    </row>
    <row r="491" spans="1:6" x14ac:dyDescent="0.3">
      <c r="A491" s="418" t="s">
        <v>5171</v>
      </c>
      <c r="B491" s="419" t="s">
        <v>5172</v>
      </c>
      <c r="C491" s="419">
        <v>23190008</v>
      </c>
      <c r="D491" s="419" t="s">
        <v>5633</v>
      </c>
      <c r="E491" s="421" t="str">
        <f t="shared" si="11"/>
        <v>Tijuana</v>
      </c>
    </row>
    <row r="492" spans="1:6" x14ac:dyDescent="0.3">
      <c r="A492" s="418" t="s">
        <v>5173</v>
      </c>
      <c r="B492" s="419" t="s">
        <v>5174</v>
      </c>
      <c r="C492" s="419">
        <v>23193551</v>
      </c>
      <c r="D492" s="419" t="s">
        <v>5633</v>
      </c>
      <c r="E492" s="421" t="str">
        <f t="shared" si="11"/>
        <v>Tijuana</v>
      </c>
    </row>
    <row r="493" spans="1:6" x14ac:dyDescent="0.3">
      <c r="A493" s="418" t="s">
        <v>5175</v>
      </c>
      <c r="B493" s="419" t="s">
        <v>5176</v>
      </c>
      <c r="C493" s="419">
        <v>23198205</v>
      </c>
      <c r="D493" s="419" t="s">
        <v>5633</v>
      </c>
      <c r="E493" s="421" t="str">
        <f t="shared" si="11"/>
        <v>Tijuana</v>
      </c>
    </row>
    <row r="494" spans="1:6" x14ac:dyDescent="0.3">
      <c r="A494" s="418" t="s">
        <v>5177</v>
      </c>
      <c r="B494" s="419" t="s">
        <v>5178</v>
      </c>
      <c r="C494" s="419">
        <v>23199707</v>
      </c>
      <c r="D494" s="419" t="s">
        <v>5633</v>
      </c>
      <c r="E494" s="421" t="str">
        <f t="shared" si="11"/>
        <v>Tijuana</v>
      </c>
    </row>
    <row r="495" spans="1:6" x14ac:dyDescent="0.3">
      <c r="A495" s="418" t="s">
        <v>5179</v>
      </c>
      <c r="B495" s="419" t="s">
        <v>5705</v>
      </c>
      <c r="C495" s="419">
        <v>23140088</v>
      </c>
      <c r="D495" s="419" t="s">
        <v>5633</v>
      </c>
      <c r="E495" s="421" t="str">
        <f t="shared" si="11"/>
        <v>Tijuana</v>
      </c>
    </row>
    <row r="496" spans="1:6" x14ac:dyDescent="0.3">
      <c r="A496" s="418" t="s">
        <v>5181</v>
      </c>
      <c r="B496" s="419" t="s">
        <v>5706</v>
      </c>
      <c r="C496" s="419">
        <v>23054961</v>
      </c>
      <c r="D496" s="419" t="s">
        <v>5633</v>
      </c>
      <c r="E496" s="421" t="str">
        <f t="shared" si="11"/>
        <v>Tijuana</v>
      </c>
    </row>
    <row r="497" spans="1:5" x14ac:dyDescent="0.3">
      <c r="A497" s="418" t="s">
        <v>5183</v>
      </c>
      <c r="B497" s="419" t="s">
        <v>5184</v>
      </c>
      <c r="C497" s="419">
        <v>23157332</v>
      </c>
      <c r="D497" s="419" t="s">
        <v>5633</v>
      </c>
      <c r="E497" s="421" t="str">
        <f t="shared" si="11"/>
        <v>Tijuana</v>
      </c>
    </row>
    <row r="498" spans="1:5" x14ac:dyDescent="0.3">
      <c r="A498" s="418" t="s">
        <v>5185</v>
      </c>
      <c r="B498" s="419" t="s">
        <v>5186</v>
      </c>
      <c r="C498" s="419">
        <v>23194660</v>
      </c>
      <c r="D498" s="419" t="s">
        <v>5633</v>
      </c>
      <c r="E498" s="421" t="str">
        <f t="shared" si="11"/>
        <v>Tijuana</v>
      </c>
    </row>
    <row r="499" spans="1:5" x14ac:dyDescent="0.3">
      <c r="A499" s="418" t="s">
        <v>5187</v>
      </c>
      <c r="B499" s="419" t="s">
        <v>5188</v>
      </c>
      <c r="C499" s="419">
        <v>23194652</v>
      </c>
      <c r="D499" s="419" t="s">
        <v>5633</v>
      </c>
      <c r="E499" s="421" t="str">
        <f t="shared" si="11"/>
        <v>Tijuana</v>
      </c>
    </row>
    <row r="500" spans="1:5" x14ac:dyDescent="0.3">
      <c r="A500" s="418" t="s">
        <v>5189</v>
      </c>
      <c r="B500" s="419" t="s">
        <v>5190</v>
      </c>
      <c r="C500" s="419">
        <v>23195894</v>
      </c>
      <c r="D500" s="419" t="s">
        <v>5633</v>
      </c>
      <c r="E500" s="421" t="str">
        <f t="shared" si="11"/>
        <v>Tijuana</v>
      </c>
    </row>
    <row r="501" spans="1:5" x14ac:dyDescent="0.3">
      <c r="A501" s="418" t="s">
        <v>5191</v>
      </c>
      <c r="B501" s="419" t="s">
        <v>5192</v>
      </c>
      <c r="C501" s="419">
        <v>23122967</v>
      </c>
      <c r="D501" s="419" t="s">
        <v>5633</v>
      </c>
      <c r="E501" s="421" t="str">
        <f t="shared" si="11"/>
        <v>Tijuana</v>
      </c>
    </row>
    <row r="502" spans="1:5" x14ac:dyDescent="0.3">
      <c r="A502" s="418" t="s">
        <v>5193</v>
      </c>
      <c r="B502" s="419" t="s">
        <v>5194</v>
      </c>
      <c r="C502" s="419">
        <v>23054888</v>
      </c>
      <c r="D502" s="419" t="s">
        <v>5633</v>
      </c>
      <c r="E502" s="421" t="str">
        <f t="shared" si="11"/>
        <v>Tijuana</v>
      </c>
    </row>
    <row r="503" spans="1:5" x14ac:dyDescent="0.3">
      <c r="A503" s="416" t="s">
        <v>5244</v>
      </c>
      <c r="B503" s="417" t="s">
        <v>5245</v>
      </c>
      <c r="C503" s="417">
        <v>20278881</v>
      </c>
      <c r="D503" s="417" t="s">
        <v>5634</v>
      </c>
      <c r="E503" s="409" t="str">
        <f t="shared" si="11"/>
        <v>Toluca</v>
      </c>
    </row>
    <row r="504" spans="1:5" x14ac:dyDescent="0.3">
      <c r="A504" s="416" t="s">
        <v>5246</v>
      </c>
      <c r="B504" s="417" t="s">
        <v>5247</v>
      </c>
      <c r="C504" s="417">
        <v>22219273</v>
      </c>
      <c r="D504" s="417" t="s">
        <v>5634</v>
      </c>
      <c r="E504" s="409" t="str">
        <f t="shared" si="11"/>
        <v>Toluca</v>
      </c>
    </row>
    <row r="505" spans="1:5" x14ac:dyDescent="0.3">
      <c r="A505" s="418" t="s">
        <v>5326</v>
      </c>
      <c r="B505" s="419" t="s">
        <v>5327</v>
      </c>
      <c r="C505" s="419">
        <v>23226099</v>
      </c>
      <c r="D505" s="419" t="s">
        <v>5635</v>
      </c>
      <c r="E505" s="421" t="str">
        <f t="shared" si="11"/>
        <v>Tuxpan</v>
      </c>
    </row>
    <row r="506" spans="1:5" x14ac:dyDescent="0.3">
      <c r="A506" s="418" t="s">
        <v>5328</v>
      </c>
      <c r="B506" s="419" t="s">
        <v>5329</v>
      </c>
      <c r="C506" s="419">
        <v>23198928</v>
      </c>
      <c r="D506" s="419" t="s">
        <v>5635</v>
      </c>
      <c r="E506" s="421" t="str">
        <f t="shared" si="11"/>
        <v>Tuxpan</v>
      </c>
    </row>
    <row r="507" spans="1:5" x14ac:dyDescent="0.3">
      <c r="A507" s="418" t="s">
        <v>5330</v>
      </c>
      <c r="B507" s="419" t="s">
        <v>5331</v>
      </c>
      <c r="C507" s="419">
        <v>23112911</v>
      </c>
      <c r="D507" s="419" t="s">
        <v>5635</v>
      </c>
      <c r="E507" s="421" t="str">
        <f t="shared" si="11"/>
        <v>Tuxpan</v>
      </c>
    </row>
    <row r="508" spans="1:5" x14ac:dyDescent="0.3">
      <c r="A508" s="418" t="s">
        <v>5332</v>
      </c>
      <c r="B508" s="419" t="s">
        <v>5333</v>
      </c>
      <c r="C508" s="419">
        <v>23197427</v>
      </c>
      <c r="D508" s="419" t="s">
        <v>5635</v>
      </c>
      <c r="E508" s="421" t="str">
        <f t="shared" si="11"/>
        <v>Tuxpan</v>
      </c>
    </row>
    <row r="509" spans="1:5" x14ac:dyDescent="0.3">
      <c r="A509" s="418" t="s">
        <v>5334</v>
      </c>
      <c r="B509" s="419" t="s">
        <v>5335</v>
      </c>
      <c r="C509" s="419">
        <v>23111675</v>
      </c>
      <c r="D509" s="419" t="s">
        <v>5635</v>
      </c>
      <c r="E509" s="421" t="str">
        <f t="shared" si="11"/>
        <v>Tuxpan</v>
      </c>
    </row>
    <row r="510" spans="1:5" x14ac:dyDescent="0.3">
      <c r="A510" s="418" t="s">
        <v>5336</v>
      </c>
      <c r="B510" s="419" t="s">
        <v>5337</v>
      </c>
      <c r="C510" s="419">
        <v>23197426</v>
      </c>
      <c r="D510" s="419" t="s">
        <v>5635</v>
      </c>
      <c r="E510" s="421" t="str">
        <f t="shared" si="11"/>
        <v>Tuxpan</v>
      </c>
    </row>
    <row r="511" spans="1:5" x14ac:dyDescent="0.3">
      <c r="A511" s="418" t="s">
        <v>5338</v>
      </c>
      <c r="B511" s="419" t="s">
        <v>5339</v>
      </c>
      <c r="C511" s="419">
        <v>23148794</v>
      </c>
      <c r="D511" s="419" t="s">
        <v>5635</v>
      </c>
      <c r="E511" s="421" t="str">
        <f t="shared" si="11"/>
        <v>Tuxpan</v>
      </c>
    </row>
    <row r="512" spans="1:5" x14ac:dyDescent="0.3">
      <c r="A512" s="418" t="s">
        <v>5340</v>
      </c>
      <c r="B512" s="419" t="s">
        <v>5339</v>
      </c>
      <c r="C512" s="419">
        <v>23220898</v>
      </c>
      <c r="D512" s="419" t="s">
        <v>5635</v>
      </c>
      <c r="E512" s="421" t="str">
        <f t="shared" si="11"/>
        <v>Tuxpan</v>
      </c>
    </row>
    <row r="513" spans="1:5" x14ac:dyDescent="0.3">
      <c r="A513" s="418" t="s">
        <v>5342</v>
      </c>
      <c r="B513" s="419" t="s">
        <v>5341</v>
      </c>
      <c r="C513" s="419">
        <v>23148855</v>
      </c>
      <c r="D513" s="419" t="s">
        <v>5635</v>
      </c>
      <c r="E513" s="421" t="str">
        <f t="shared" si="11"/>
        <v>Tuxpan</v>
      </c>
    </row>
    <row r="514" spans="1:5" x14ac:dyDescent="0.3">
      <c r="A514" s="418" t="s">
        <v>5344</v>
      </c>
      <c r="B514" s="419" t="s">
        <v>5343</v>
      </c>
      <c r="C514" s="419">
        <v>23208479</v>
      </c>
      <c r="D514" s="419" t="s">
        <v>5635</v>
      </c>
      <c r="E514" s="421" t="str">
        <f t="shared" si="11"/>
        <v>Tuxpan</v>
      </c>
    </row>
    <row r="515" spans="1:5" x14ac:dyDescent="0.3">
      <c r="A515" s="418" t="s">
        <v>5346</v>
      </c>
      <c r="B515" s="419" t="s">
        <v>5345</v>
      </c>
      <c r="C515" s="419">
        <v>23150762</v>
      </c>
      <c r="D515" s="419" t="s">
        <v>5635</v>
      </c>
      <c r="E515" s="421" t="str">
        <f t="shared" si="11"/>
        <v>Tuxpan</v>
      </c>
    </row>
    <row r="516" spans="1:5" x14ac:dyDescent="0.3">
      <c r="A516" s="416" t="s">
        <v>5416</v>
      </c>
      <c r="B516" s="417" t="s">
        <v>5707</v>
      </c>
      <c r="C516" s="417">
        <v>23213817</v>
      </c>
      <c r="D516" s="417" t="s">
        <v>5636</v>
      </c>
      <c r="E516" s="409" t="str">
        <f t="shared" si="11"/>
        <v>Veracruz</v>
      </c>
    </row>
    <row r="517" spans="1:5" x14ac:dyDescent="0.3">
      <c r="A517" s="416" t="s">
        <v>5419</v>
      </c>
      <c r="B517" s="417" t="s">
        <v>5708</v>
      </c>
      <c r="C517" s="417">
        <v>23202670</v>
      </c>
      <c r="D517" s="417" t="s">
        <v>5636</v>
      </c>
      <c r="E517" s="409" t="str">
        <f t="shared" si="11"/>
        <v>Veracruz</v>
      </c>
    </row>
    <row r="518" spans="1:5" x14ac:dyDescent="0.3">
      <c r="A518" s="416" t="s">
        <v>5421</v>
      </c>
      <c r="B518" s="417" t="s">
        <v>5709</v>
      </c>
      <c r="C518" s="417">
        <v>23135361</v>
      </c>
      <c r="D518" s="417" t="s">
        <v>5636</v>
      </c>
      <c r="E518" s="409" t="str">
        <f t="shared" si="11"/>
        <v>Veracruz</v>
      </c>
    </row>
    <row r="519" spans="1:5" x14ac:dyDescent="0.3">
      <c r="A519" s="416" t="s">
        <v>5423</v>
      </c>
      <c r="B519" s="417" t="s">
        <v>5709</v>
      </c>
      <c r="C519" s="417">
        <v>23182510</v>
      </c>
      <c r="D519" s="417" t="s">
        <v>5636</v>
      </c>
      <c r="E519" s="409" t="str">
        <f t="shared" si="11"/>
        <v>Veracruz</v>
      </c>
    </row>
    <row r="520" spans="1:5" x14ac:dyDescent="0.3">
      <c r="A520" s="416" t="s">
        <v>5427</v>
      </c>
      <c r="B520" s="417" t="s">
        <v>5710</v>
      </c>
      <c r="C520" s="417">
        <v>23210526</v>
      </c>
      <c r="D520" s="417" t="s">
        <v>5636</v>
      </c>
      <c r="E520" s="409" t="str">
        <f t="shared" si="11"/>
        <v>Veracruz</v>
      </c>
    </row>
    <row r="521" spans="1:5" x14ac:dyDescent="0.3">
      <c r="A521" s="416" t="s">
        <v>5429</v>
      </c>
      <c r="B521" s="417" t="s">
        <v>5428</v>
      </c>
      <c r="C521" s="417">
        <v>23197431</v>
      </c>
      <c r="D521" s="417" t="s">
        <v>5636</v>
      </c>
      <c r="E521" s="409" t="str">
        <f t="shared" si="11"/>
        <v>Veracruz</v>
      </c>
    </row>
    <row r="522" spans="1:5" x14ac:dyDescent="0.3">
      <c r="A522" s="416" t="s">
        <v>5431</v>
      </c>
      <c r="B522" s="417" t="s">
        <v>5711</v>
      </c>
      <c r="C522" s="417">
        <v>23225091</v>
      </c>
      <c r="D522" s="417" t="s">
        <v>5636</v>
      </c>
      <c r="E522" s="409" t="str">
        <f t="shared" si="11"/>
        <v>Veracruz</v>
      </c>
    </row>
    <row r="523" spans="1:5" x14ac:dyDescent="0.3">
      <c r="A523" s="416" t="s">
        <v>5433</v>
      </c>
      <c r="B523" s="417" t="s">
        <v>5712</v>
      </c>
      <c r="C523" s="417">
        <v>23207594</v>
      </c>
      <c r="D523" s="417" t="s">
        <v>5636</v>
      </c>
      <c r="E523" s="409" t="str">
        <f t="shared" si="11"/>
        <v>Veracruz</v>
      </c>
    </row>
    <row r="524" spans="1:5" x14ac:dyDescent="0.3">
      <c r="A524" s="416" t="s">
        <v>5435</v>
      </c>
      <c r="B524" s="417" t="s">
        <v>5713</v>
      </c>
      <c r="C524" s="417">
        <v>23191910</v>
      </c>
      <c r="D524" s="417" t="s">
        <v>5636</v>
      </c>
      <c r="E524" s="409" t="str">
        <f t="shared" si="11"/>
        <v>Veracruz</v>
      </c>
    </row>
    <row r="525" spans="1:5" x14ac:dyDescent="0.3">
      <c r="A525" s="416" t="s">
        <v>5438</v>
      </c>
      <c r="B525" s="417" t="s">
        <v>5714</v>
      </c>
      <c r="C525" s="417">
        <v>23213096</v>
      </c>
      <c r="D525" s="417" t="s">
        <v>5636</v>
      </c>
      <c r="E525" s="409" t="str">
        <f t="shared" si="11"/>
        <v>Veracruz</v>
      </c>
    </row>
    <row r="526" spans="1:5" x14ac:dyDescent="0.3">
      <c r="A526" s="416" t="s">
        <v>5440</v>
      </c>
      <c r="B526" s="417" t="s">
        <v>5715</v>
      </c>
      <c r="C526" s="417">
        <v>23198978</v>
      </c>
      <c r="D526" s="417" t="s">
        <v>5636</v>
      </c>
      <c r="E526" s="409" t="str">
        <f t="shared" si="11"/>
        <v>Veracruz</v>
      </c>
    </row>
    <row r="527" spans="1:5" x14ac:dyDescent="0.3">
      <c r="A527" s="416" t="s">
        <v>5442</v>
      </c>
      <c r="B527" s="417" t="s">
        <v>5716</v>
      </c>
      <c r="C527" s="417">
        <v>23215974</v>
      </c>
      <c r="D527" s="417" t="s">
        <v>5636</v>
      </c>
      <c r="E527" s="409" t="str">
        <f t="shared" si="11"/>
        <v>Veracruz</v>
      </c>
    </row>
    <row r="528" spans="1:5" x14ac:dyDescent="0.3">
      <c r="A528" s="416" t="s">
        <v>5444</v>
      </c>
      <c r="B528" s="417" t="s">
        <v>5717</v>
      </c>
      <c r="C528" s="417">
        <v>23189252</v>
      </c>
      <c r="D528" s="417" t="s">
        <v>5636</v>
      </c>
      <c r="E528" s="409" t="str">
        <f t="shared" si="11"/>
        <v>Veracruz</v>
      </c>
    </row>
    <row r="529" spans="1:5" x14ac:dyDescent="0.3">
      <c r="A529" s="416" t="s">
        <v>5447</v>
      </c>
      <c r="B529" s="417" t="s">
        <v>5718</v>
      </c>
      <c r="C529" s="417">
        <v>23137776</v>
      </c>
      <c r="D529" s="417" t="s">
        <v>5636</v>
      </c>
      <c r="E529" s="409" t="str">
        <f t="shared" si="11"/>
        <v>Veracruz</v>
      </c>
    </row>
    <row r="530" spans="1:5" x14ac:dyDescent="0.3">
      <c r="A530" s="416" t="s">
        <v>5449</v>
      </c>
      <c r="B530" s="417" t="s">
        <v>5719</v>
      </c>
      <c r="C530" s="417">
        <v>23206188</v>
      </c>
      <c r="D530" s="417" t="s">
        <v>5636</v>
      </c>
      <c r="E530" s="409" t="str">
        <f t="shared" si="11"/>
        <v>Veracruz</v>
      </c>
    </row>
    <row r="531" spans="1:5" x14ac:dyDescent="0.3">
      <c r="A531" s="416" t="s">
        <v>5452</v>
      </c>
      <c r="B531" s="417" t="s">
        <v>5720</v>
      </c>
      <c r="C531" s="417">
        <v>23147847</v>
      </c>
      <c r="D531" s="417" t="s">
        <v>5636</v>
      </c>
      <c r="E531" s="409" t="str">
        <f t="shared" si="11"/>
        <v>Veracruz</v>
      </c>
    </row>
    <row r="532" spans="1:5" x14ac:dyDescent="0.3">
      <c r="A532" s="416" t="s">
        <v>5454</v>
      </c>
      <c r="B532" s="417" t="s">
        <v>5455</v>
      </c>
      <c r="C532" s="417">
        <v>23198751</v>
      </c>
      <c r="D532" s="417" t="s">
        <v>5636</v>
      </c>
      <c r="E532" s="409" t="str">
        <f t="shared" si="11"/>
        <v>Veracruz</v>
      </c>
    </row>
    <row r="533" spans="1:5" x14ac:dyDescent="0.3">
      <c r="A533" s="416" t="s">
        <v>5456</v>
      </c>
      <c r="B533" s="417" t="s">
        <v>5721</v>
      </c>
      <c r="C533" s="417">
        <v>23197332</v>
      </c>
      <c r="D533" s="417" t="s">
        <v>5636</v>
      </c>
      <c r="E533" s="409" t="str">
        <f t="shared" si="11"/>
        <v>Veracruz</v>
      </c>
    </row>
    <row r="534" spans="1:5" x14ac:dyDescent="0.3">
      <c r="A534" s="416" t="s">
        <v>5458</v>
      </c>
      <c r="B534" s="417" t="s">
        <v>5722</v>
      </c>
      <c r="C534" s="417">
        <v>23198838</v>
      </c>
      <c r="D534" s="417" t="s">
        <v>5636</v>
      </c>
      <c r="E534" s="409" t="str">
        <f t="shared" si="11"/>
        <v>Veracruz</v>
      </c>
    </row>
    <row r="535" spans="1:5" x14ac:dyDescent="0.3">
      <c r="A535" s="416" t="s">
        <v>5461</v>
      </c>
      <c r="B535" s="417" t="s">
        <v>5723</v>
      </c>
      <c r="C535" s="417">
        <v>23149830</v>
      </c>
      <c r="D535" s="417" t="s">
        <v>5636</v>
      </c>
      <c r="E535" s="409" t="str">
        <f t="shared" si="11"/>
        <v>Veracruz</v>
      </c>
    </row>
    <row r="536" spans="1:5" x14ac:dyDescent="0.3">
      <c r="A536" s="416" t="s">
        <v>5463</v>
      </c>
      <c r="B536" s="417" t="s">
        <v>5464</v>
      </c>
      <c r="C536" s="417">
        <v>23190648</v>
      </c>
      <c r="D536" s="417" t="s">
        <v>5636</v>
      </c>
      <c r="E536" s="409" t="str">
        <f t="shared" si="11"/>
        <v>Veracruz</v>
      </c>
    </row>
    <row r="537" spans="1:5" x14ac:dyDescent="0.3">
      <c r="A537" s="416" t="s">
        <v>5465</v>
      </c>
      <c r="B537" s="417" t="s">
        <v>5466</v>
      </c>
      <c r="C537" s="417">
        <v>23202721</v>
      </c>
      <c r="D537" s="417" t="s">
        <v>5636</v>
      </c>
      <c r="E537" s="409" t="str">
        <f t="shared" si="11"/>
        <v>Veracruz</v>
      </c>
    </row>
    <row r="538" spans="1:5" x14ac:dyDescent="0.3">
      <c r="A538" s="416" t="s">
        <v>5467</v>
      </c>
      <c r="B538" s="417" t="s">
        <v>5468</v>
      </c>
      <c r="C538" s="417">
        <v>23202222</v>
      </c>
      <c r="D538" s="417" t="s">
        <v>5636</v>
      </c>
      <c r="E538" s="409" t="str">
        <f t="shared" si="11"/>
        <v>Veracruz</v>
      </c>
    </row>
    <row r="539" spans="1:5" x14ac:dyDescent="0.3">
      <c r="A539" s="416" t="s">
        <v>5469</v>
      </c>
      <c r="B539" s="417" t="s">
        <v>5470</v>
      </c>
      <c r="C539" s="417">
        <v>23163247</v>
      </c>
      <c r="D539" s="417" t="s">
        <v>5636</v>
      </c>
      <c r="E539" s="409" t="str">
        <f t="shared" si="11"/>
        <v>Veracruz</v>
      </c>
    </row>
    <row r="540" spans="1:5" x14ac:dyDescent="0.3">
      <c r="A540" s="416" t="s">
        <v>5471</v>
      </c>
      <c r="B540" s="417" t="s">
        <v>5724</v>
      </c>
      <c r="C540" s="417">
        <v>23007348</v>
      </c>
      <c r="D540" s="417" t="s">
        <v>5636</v>
      </c>
      <c r="E540" s="409" t="str">
        <f t="shared" si="11"/>
        <v>Veracruz</v>
      </c>
    </row>
    <row r="541" spans="1:5" x14ac:dyDescent="0.3">
      <c r="A541" s="416" t="s">
        <v>5473</v>
      </c>
      <c r="B541" s="417" t="s">
        <v>5472</v>
      </c>
      <c r="C541" s="417">
        <v>23198924</v>
      </c>
      <c r="D541" s="417" t="s">
        <v>5636</v>
      </c>
      <c r="E541" s="409" t="str">
        <f t="shared" si="11"/>
        <v>Veracruz</v>
      </c>
    </row>
    <row r="542" spans="1:5" x14ac:dyDescent="0.3">
      <c r="A542" s="416" t="s">
        <v>5475</v>
      </c>
      <c r="B542" s="417" t="s">
        <v>5725</v>
      </c>
      <c r="C542" s="417">
        <v>23161875</v>
      </c>
      <c r="D542" s="417" t="s">
        <v>5636</v>
      </c>
      <c r="E542" s="409" t="str">
        <f t="shared" si="11"/>
        <v>Veracruz</v>
      </c>
    </row>
    <row r="543" spans="1:5" x14ac:dyDescent="0.3">
      <c r="A543" s="416" t="s">
        <v>5477</v>
      </c>
      <c r="B543" s="417" t="s">
        <v>5726</v>
      </c>
      <c r="C543" s="417">
        <v>23172204</v>
      </c>
      <c r="D543" s="417" t="s">
        <v>5636</v>
      </c>
      <c r="E543" s="409" t="str">
        <f t="shared" si="11"/>
        <v>Veracruz</v>
      </c>
    </row>
    <row r="544" spans="1:5" x14ac:dyDescent="0.3">
      <c r="A544" s="416" t="s">
        <v>5479</v>
      </c>
      <c r="B544" s="417" t="s">
        <v>5478</v>
      </c>
      <c r="C544" s="417">
        <v>23093924</v>
      </c>
      <c r="D544" s="417" t="s">
        <v>5636</v>
      </c>
      <c r="E544" s="409" t="str">
        <f t="shared" si="11"/>
        <v>Veracruz</v>
      </c>
    </row>
    <row r="545" spans="1:5" x14ac:dyDescent="0.3">
      <c r="A545" s="416" t="s">
        <v>5481</v>
      </c>
      <c r="B545" s="417" t="s">
        <v>5727</v>
      </c>
      <c r="C545" s="417">
        <v>23213187</v>
      </c>
      <c r="D545" s="417" t="s">
        <v>5636</v>
      </c>
      <c r="E545" s="409" t="str">
        <f t="shared" si="11"/>
        <v>Veracruz</v>
      </c>
    </row>
    <row r="546" spans="1:5" x14ac:dyDescent="0.3">
      <c r="A546" s="416" t="s">
        <v>5483</v>
      </c>
      <c r="B546" s="417" t="s">
        <v>5482</v>
      </c>
      <c r="C546" s="417">
        <v>23214621</v>
      </c>
      <c r="D546" s="417" t="s">
        <v>5636</v>
      </c>
      <c r="E546" s="409" t="str">
        <f t="shared" si="11"/>
        <v>Veracruz</v>
      </c>
    </row>
    <row r="547" spans="1:5" x14ac:dyDescent="0.3">
      <c r="A547" s="416" t="s">
        <v>5485</v>
      </c>
      <c r="B547" s="417" t="s">
        <v>5484</v>
      </c>
      <c r="C547" s="417">
        <v>23207723</v>
      </c>
      <c r="D547" s="417" t="s">
        <v>5636</v>
      </c>
      <c r="E547" s="409" t="str">
        <f t="shared" si="11"/>
        <v>Veracruz</v>
      </c>
    </row>
    <row r="548" spans="1:5" x14ac:dyDescent="0.3">
      <c r="A548" s="416" t="s">
        <v>5487</v>
      </c>
      <c r="B548" s="417" t="s">
        <v>5486</v>
      </c>
      <c r="C548" s="417">
        <v>23137415</v>
      </c>
      <c r="D548" s="417" t="s">
        <v>5636</v>
      </c>
      <c r="E548" s="409" t="str">
        <f t="shared" si="11"/>
        <v>Veracruz</v>
      </c>
    </row>
    <row r="549" spans="1:5" x14ac:dyDescent="0.3">
      <c r="A549" s="416" t="s">
        <v>5489</v>
      </c>
      <c r="B549" s="417" t="s">
        <v>5728</v>
      </c>
      <c r="C549" s="417">
        <v>23146082</v>
      </c>
      <c r="D549" s="417" t="s">
        <v>5636</v>
      </c>
      <c r="E549" s="409" t="str">
        <f t="shared" si="11"/>
        <v>Veracruz</v>
      </c>
    </row>
    <row r="550" spans="1:5" x14ac:dyDescent="0.3">
      <c r="A550" s="416" t="s">
        <v>5492</v>
      </c>
      <c r="B550" s="417" t="s">
        <v>5728</v>
      </c>
      <c r="C550" s="417">
        <v>23218269</v>
      </c>
      <c r="D550" s="417" t="s">
        <v>5636</v>
      </c>
      <c r="E550" s="409" t="str">
        <f t="shared" si="11"/>
        <v>Veracruz</v>
      </c>
    </row>
    <row r="551" spans="1:5" x14ac:dyDescent="0.3">
      <c r="A551" s="416" t="s">
        <v>5494</v>
      </c>
      <c r="B551" s="417" t="s">
        <v>5490</v>
      </c>
      <c r="C551" s="417">
        <v>23199706</v>
      </c>
      <c r="D551" s="417" t="s">
        <v>5636</v>
      </c>
      <c r="E551" s="409" t="str">
        <f t="shared" si="11"/>
        <v>Veracruz</v>
      </c>
    </row>
    <row r="552" spans="1:5" x14ac:dyDescent="0.3">
      <c r="A552" s="416" t="s">
        <v>5496</v>
      </c>
      <c r="B552" s="417" t="s">
        <v>5493</v>
      </c>
      <c r="C552" s="417">
        <v>23215625</v>
      </c>
      <c r="D552" s="417" t="s">
        <v>5636</v>
      </c>
      <c r="E552" s="409" t="str">
        <f t="shared" ref="E552:E582" si="12">VLOOKUP(D552,ADUANAS1,2,FALSE)</f>
        <v>Veracruz</v>
      </c>
    </row>
    <row r="553" spans="1:5" x14ac:dyDescent="0.3">
      <c r="A553" s="416" t="s">
        <v>5498</v>
      </c>
      <c r="B553" s="417" t="s">
        <v>5729</v>
      </c>
      <c r="C553" s="417">
        <v>23214513</v>
      </c>
      <c r="D553" s="417" t="s">
        <v>5636</v>
      </c>
      <c r="E553" s="409" t="str">
        <f t="shared" si="12"/>
        <v>Veracruz</v>
      </c>
    </row>
    <row r="554" spans="1:5" x14ac:dyDescent="0.3">
      <c r="A554" s="416" t="s">
        <v>5501</v>
      </c>
      <c r="B554" s="417" t="s">
        <v>5730</v>
      </c>
      <c r="C554" s="417">
        <v>23192524</v>
      </c>
      <c r="D554" s="417" t="s">
        <v>5636</v>
      </c>
      <c r="E554" s="409" t="str">
        <f t="shared" si="12"/>
        <v>Veracruz</v>
      </c>
    </row>
    <row r="555" spans="1:5" x14ac:dyDescent="0.3">
      <c r="A555" s="416" t="s">
        <v>5503</v>
      </c>
      <c r="B555" s="417" t="s">
        <v>5731</v>
      </c>
      <c r="C555" s="417">
        <v>23217227</v>
      </c>
      <c r="D555" s="417" t="s">
        <v>5636</v>
      </c>
      <c r="E555" s="409" t="str">
        <f t="shared" si="12"/>
        <v>Veracruz</v>
      </c>
    </row>
    <row r="556" spans="1:5" x14ac:dyDescent="0.3">
      <c r="A556" s="416" t="s">
        <v>5505</v>
      </c>
      <c r="B556" s="417" t="s">
        <v>5732</v>
      </c>
      <c r="C556" s="417">
        <v>23047707</v>
      </c>
      <c r="D556" s="417" t="s">
        <v>5636</v>
      </c>
      <c r="E556" s="409" t="str">
        <f t="shared" si="12"/>
        <v>Veracruz</v>
      </c>
    </row>
    <row r="557" spans="1:5" x14ac:dyDescent="0.3">
      <c r="A557" s="416" t="s">
        <v>5507</v>
      </c>
      <c r="B557" s="417" t="s">
        <v>5502</v>
      </c>
      <c r="C557" s="417">
        <v>23225088</v>
      </c>
      <c r="D557" s="417" t="s">
        <v>5636</v>
      </c>
      <c r="E557" s="409" t="str">
        <f t="shared" si="12"/>
        <v>Veracruz</v>
      </c>
    </row>
    <row r="558" spans="1:5" x14ac:dyDescent="0.3">
      <c r="A558" s="416" t="s">
        <v>5509</v>
      </c>
      <c r="B558" s="417" t="s">
        <v>5502</v>
      </c>
      <c r="C558" s="417">
        <v>23225087</v>
      </c>
      <c r="D558" s="417" t="s">
        <v>5636</v>
      </c>
      <c r="E558" s="409" t="str">
        <f t="shared" si="12"/>
        <v>Veracruz</v>
      </c>
    </row>
    <row r="559" spans="1:5" x14ac:dyDescent="0.3">
      <c r="A559" s="416" t="s">
        <v>5512</v>
      </c>
      <c r="B559" s="417" t="s">
        <v>5504</v>
      </c>
      <c r="C559" s="417">
        <v>23166805</v>
      </c>
      <c r="D559" s="417" t="s">
        <v>5636</v>
      </c>
      <c r="E559" s="409" t="str">
        <f t="shared" si="12"/>
        <v>Veracruz</v>
      </c>
    </row>
    <row r="560" spans="1:5" x14ac:dyDescent="0.3">
      <c r="A560" s="416" t="s">
        <v>5514</v>
      </c>
      <c r="B560" s="417" t="s">
        <v>5506</v>
      </c>
      <c r="C560" s="417">
        <v>23202337</v>
      </c>
      <c r="D560" s="417" t="s">
        <v>5636</v>
      </c>
      <c r="E560" s="409" t="str">
        <f t="shared" si="12"/>
        <v>Veracruz</v>
      </c>
    </row>
    <row r="561" spans="1:5" x14ac:dyDescent="0.3">
      <c r="A561" s="416" t="s">
        <v>5516</v>
      </c>
      <c r="B561" s="417" t="s">
        <v>5508</v>
      </c>
      <c r="C561" s="417">
        <v>23196938</v>
      </c>
      <c r="D561" s="417" t="s">
        <v>5636</v>
      </c>
      <c r="E561" s="409" t="str">
        <f t="shared" si="12"/>
        <v>Veracruz</v>
      </c>
    </row>
    <row r="562" spans="1:5" x14ac:dyDescent="0.3">
      <c r="A562" s="416" t="s">
        <v>5519</v>
      </c>
      <c r="B562" s="417" t="s">
        <v>5733</v>
      </c>
      <c r="C562" s="417">
        <v>23033070</v>
      </c>
      <c r="D562" s="417" t="s">
        <v>5636</v>
      </c>
      <c r="E562" s="409" t="str">
        <f t="shared" si="12"/>
        <v>Veracruz</v>
      </c>
    </row>
    <row r="563" spans="1:5" x14ac:dyDescent="0.3">
      <c r="A563" s="416" t="s">
        <v>5521</v>
      </c>
      <c r="B563" s="417" t="s">
        <v>5734</v>
      </c>
      <c r="C563" s="417">
        <v>23223923</v>
      </c>
      <c r="D563" s="417" t="s">
        <v>5636</v>
      </c>
      <c r="E563" s="409" t="str">
        <f t="shared" si="12"/>
        <v>Veracruz</v>
      </c>
    </row>
    <row r="564" spans="1:5" x14ac:dyDescent="0.3">
      <c r="A564" s="416" t="s">
        <v>5524</v>
      </c>
      <c r="B564" s="417" t="s">
        <v>5734</v>
      </c>
      <c r="C564" s="417">
        <v>23223924</v>
      </c>
      <c r="D564" s="417" t="s">
        <v>5636</v>
      </c>
      <c r="E564" s="409" t="str">
        <f t="shared" si="12"/>
        <v>Veracruz</v>
      </c>
    </row>
    <row r="565" spans="1:5" x14ac:dyDescent="0.3">
      <c r="A565" s="416" t="s">
        <v>5526</v>
      </c>
      <c r="B565" s="417" t="s">
        <v>5515</v>
      </c>
      <c r="C565" s="417">
        <v>23163250</v>
      </c>
      <c r="D565" s="417" t="s">
        <v>5636</v>
      </c>
      <c r="E565" s="409" t="str">
        <f t="shared" si="12"/>
        <v>Veracruz</v>
      </c>
    </row>
    <row r="566" spans="1:5" x14ac:dyDescent="0.3">
      <c r="A566" s="416" t="s">
        <v>5528</v>
      </c>
      <c r="B566" s="417" t="s">
        <v>5517</v>
      </c>
      <c r="C566" s="417">
        <v>23149521</v>
      </c>
      <c r="D566" s="417" t="s">
        <v>5636</v>
      </c>
      <c r="E566" s="409" t="str">
        <f t="shared" si="12"/>
        <v>Veracruz</v>
      </c>
    </row>
    <row r="567" spans="1:5" x14ac:dyDescent="0.3">
      <c r="A567" s="416" t="s">
        <v>5531</v>
      </c>
      <c r="B567" s="417" t="s">
        <v>5517</v>
      </c>
      <c r="C567" s="417">
        <v>23226029</v>
      </c>
      <c r="D567" s="417" t="s">
        <v>5636</v>
      </c>
      <c r="E567" s="409" t="str">
        <f t="shared" si="12"/>
        <v>Veracruz</v>
      </c>
    </row>
    <row r="568" spans="1:5" x14ac:dyDescent="0.3">
      <c r="A568" s="416" t="s">
        <v>5534</v>
      </c>
      <c r="B568" s="417" t="s">
        <v>5520</v>
      </c>
      <c r="C568" s="417">
        <v>23157833</v>
      </c>
      <c r="D568" s="417" t="s">
        <v>5636</v>
      </c>
      <c r="E568" s="409" t="str">
        <f t="shared" si="12"/>
        <v>Veracruz</v>
      </c>
    </row>
    <row r="569" spans="1:5" x14ac:dyDescent="0.3">
      <c r="A569" s="416" t="s">
        <v>5537</v>
      </c>
      <c r="B569" s="417" t="s">
        <v>5735</v>
      </c>
      <c r="C569" s="417">
        <v>23146503</v>
      </c>
      <c r="D569" s="417" t="s">
        <v>5636</v>
      </c>
      <c r="E569" s="409" t="str">
        <f t="shared" si="12"/>
        <v>Veracruz</v>
      </c>
    </row>
    <row r="570" spans="1:5" x14ac:dyDescent="0.3">
      <c r="A570" s="416" t="s">
        <v>5539</v>
      </c>
      <c r="B570" s="417" t="s">
        <v>5736</v>
      </c>
      <c r="C570" s="417">
        <v>23201362</v>
      </c>
      <c r="D570" s="417" t="s">
        <v>5636</v>
      </c>
      <c r="E570" s="409" t="str">
        <f t="shared" si="12"/>
        <v>Veracruz</v>
      </c>
    </row>
    <row r="571" spans="1:5" x14ac:dyDescent="0.3">
      <c r="A571" s="416" t="s">
        <v>5541</v>
      </c>
      <c r="B571" s="417" t="s">
        <v>5527</v>
      </c>
      <c r="C571" s="417">
        <v>23094900</v>
      </c>
      <c r="D571" s="417" t="s">
        <v>5636</v>
      </c>
      <c r="E571" s="409" t="str">
        <f t="shared" si="12"/>
        <v>Veracruz</v>
      </c>
    </row>
    <row r="572" spans="1:5" x14ac:dyDescent="0.3">
      <c r="A572" s="416" t="s">
        <v>5543</v>
      </c>
      <c r="B572" s="417" t="s">
        <v>5737</v>
      </c>
      <c r="C572" s="417">
        <v>23166013</v>
      </c>
      <c r="D572" s="417" t="s">
        <v>5636</v>
      </c>
      <c r="E572" s="409" t="str">
        <f t="shared" si="12"/>
        <v>Veracruz</v>
      </c>
    </row>
    <row r="573" spans="1:5" x14ac:dyDescent="0.3">
      <c r="A573" s="416" t="s">
        <v>5546</v>
      </c>
      <c r="B573" s="417" t="s">
        <v>5738</v>
      </c>
      <c r="C573" s="417">
        <v>22199855</v>
      </c>
      <c r="D573" s="417" t="s">
        <v>5636</v>
      </c>
      <c r="E573" s="409" t="str">
        <f t="shared" si="12"/>
        <v>Veracruz</v>
      </c>
    </row>
    <row r="574" spans="1:5" x14ac:dyDescent="0.3">
      <c r="A574" s="416" t="s">
        <v>5548</v>
      </c>
      <c r="B574" s="417" t="s">
        <v>5535</v>
      </c>
      <c r="C574" s="417">
        <v>23148135</v>
      </c>
      <c r="D574" s="417" t="s">
        <v>5636</v>
      </c>
      <c r="E574" s="409" t="str">
        <f t="shared" si="12"/>
        <v>Veracruz</v>
      </c>
    </row>
    <row r="575" spans="1:5" x14ac:dyDescent="0.3">
      <c r="A575" s="416" t="s">
        <v>5550</v>
      </c>
      <c r="B575" s="417" t="s">
        <v>5535</v>
      </c>
      <c r="C575" s="417">
        <v>23217973</v>
      </c>
      <c r="D575" s="417" t="s">
        <v>5636</v>
      </c>
      <c r="E575" s="409" t="str">
        <f t="shared" si="12"/>
        <v>Veracruz</v>
      </c>
    </row>
    <row r="576" spans="1:5" x14ac:dyDescent="0.3">
      <c r="A576" s="416" t="s">
        <v>5552</v>
      </c>
      <c r="B576" s="417" t="s">
        <v>5538</v>
      </c>
      <c r="C576" s="417">
        <v>23202768</v>
      </c>
      <c r="D576" s="417" t="s">
        <v>5636</v>
      </c>
      <c r="E576" s="409" t="str">
        <f t="shared" si="12"/>
        <v>Veracruz</v>
      </c>
    </row>
    <row r="577" spans="1:5" x14ac:dyDescent="0.3">
      <c r="A577" s="416" t="s">
        <v>5553</v>
      </c>
      <c r="B577" s="417" t="s">
        <v>5739</v>
      </c>
      <c r="C577" s="417">
        <v>23061321</v>
      </c>
      <c r="D577" s="417" t="s">
        <v>5636</v>
      </c>
      <c r="E577" s="409" t="str">
        <f t="shared" si="12"/>
        <v>Veracruz</v>
      </c>
    </row>
    <row r="578" spans="1:5" x14ac:dyDescent="0.3">
      <c r="A578" s="416" t="s">
        <v>5554</v>
      </c>
      <c r="B578" s="417" t="s">
        <v>5740</v>
      </c>
      <c r="C578" s="417">
        <v>23203297</v>
      </c>
      <c r="D578" s="417" t="s">
        <v>5636</v>
      </c>
      <c r="E578" s="409" t="str">
        <f t="shared" si="12"/>
        <v>Veracruz</v>
      </c>
    </row>
    <row r="579" spans="1:5" x14ac:dyDescent="0.3">
      <c r="A579" s="416" t="s">
        <v>5555</v>
      </c>
      <c r="B579" s="417" t="s">
        <v>5741</v>
      </c>
      <c r="C579" s="417">
        <v>23191879</v>
      </c>
      <c r="D579" s="417" t="s">
        <v>5636</v>
      </c>
      <c r="E579" s="409" t="str">
        <f t="shared" si="12"/>
        <v>Veracruz</v>
      </c>
    </row>
    <row r="580" spans="1:5" x14ac:dyDescent="0.3">
      <c r="A580" s="416" t="s">
        <v>5556</v>
      </c>
      <c r="B580" s="417" t="s">
        <v>5547</v>
      </c>
      <c r="C580" s="417">
        <v>23190868</v>
      </c>
      <c r="D580" s="417" t="s">
        <v>5636</v>
      </c>
      <c r="E580" s="409" t="str">
        <f t="shared" si="12"/>
        <v>Veracruz</v>
      </c>
    </row>
    <row r="581" spans="1:5" x14ac:dyDescent="0.3">
      <c r="A581" s="416" t="s">
        <v>5557</v>
      </c>
      <c r="B581" s="417" t="s">
        <v>5742</v>
      </c>
      <c r="C581" s="417">
        <v>23207667</v>
      </c>
      <c r="D581" s="417" t="s">
        <v>5636</v>
      </c>
      <c r="E581" s="409" t="str">
        <f t="shared" si="12"/>
        <v>Veracruz</v>
      </c>
    </row>
    <row r="582" spans="1:5" x14ac:dyDescent="0.3">
      <c r="A582" s="416" t="s">
        <v>5558</v>
      </c>
      <c r="B582" s="417" t="s">
        <v>5551</v>
      </c>
      <c r="C582" s="417">
        <v>23206391</v>
      </c>
      <c r="D582" s="417" t="s">
        <v>5636</v>
      </c>
      <c r="E582" s="409" t="str">
        <f t="shared" si="12"/>
        <v>Veracruz</v>
      </c>
    </row>
    <row r="583" spans="1:5" x14ac:dyDescent="0.3">
      <c r="C583" s="417"/>
      <c r="D583" s="417"/>
    </row>
    <row r="584" spans="1:5" x14ac:dyDescent="0.3">
      <c r="C584" s="417"/>
      <c r="D584" s="417"/>
    </row>
  </sheetData>
  <sheetProtection algorithmName="SHA-512" hashValue="UyRe34YE8ggBbO2SInGw90foDgTNQZu/5Q3LlDSipOWFYm/0Mkh13L9DrsAm8Wkvz5InfASoA/U8nISMZOgKDQ==" saltValue="l1CxvllWfjeibAPs1oGm/A==" spinCount="100000" sheet="1" objects="1" scenarios="1"/>
  <autoFilter ref="B1:E501" xr:uid="{1641300F-0FFC-425C-BE83-30E124F2BF74}"/>
  <sortState xmlns:xlrd2="http://schemas.microsoft.com/office/spreadsheetml/2017/richdata2" ref="B2:D474">
    <sortCondition ref="D2:D474"/>
  </sortState>
  <phoneticPr fontId="2" type="noConversion"/>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9a6c301-2e6f-409a-a19b-dc7b537ae21a">
      <Terms xmlns="http://schemas.microsoft.com/office/infopath/2007/PartnerControls"/>
    </lcf76f155ced4ddcb4097134ff3c332f>
    <TaxCatchAll xmlns="893c088b-c2ef-4676-9bee-aa1d6e75a675" xsi:nil="true"/>
    <SharedWithUsers xmlns="893c088b-c2ef-4676-9bee-aa1d6e75a675">
      <UserInfo>
        <DisplayName>Maricarmen García</DisplayName>
        <AccountId>9</AccountId>
        <AccountType/>
      </UserInfo>
    </SharedWithUsers>
  </documentManagement>
</p:properties>
</file>

<file path=customXml/item2.xml>��< ? x m l   v e r s i o n = " 1 . 0 "   e n c o d i n g = " u t f - 1 6 " ? > < D a t a M a s h u p   x m l n s = " h t t p : / / s c h e m a s . m i c r o s o f t . c o m / D a t a M a s h u p " > A A A A A B M D A A B Q S w M E F A A C A A g A z n t Z V y n y K j a j A A A A 9 w A A A B I A H A B D b 2 5 m a W c v U G F j a 2 F n Z S 5 4 b W w g o h g A K K A U A A A A A A A A A A A A A A A A A A A A A A A A A A A A h Y + 9 D o I w G E V f h X S n f z o o + S i D q y Q m J s a 1 K R U a o B h a L O / m 4 C P 5 C m I U d X O 8 5 5 7 h 3 v v 1 B t n Y N t F F 9 8 5 0 N k U M U x R p q 7 r C 2 D J F g z / F K 5 Q J 2 E l V y 1 J H k 2 x d M r o i R Z X 3 5 4 S Q E A I O C 9 z 1 J e G U M n L M t 3 t V 6 V a i j 2 z + y 7 G x z k u r N B J w e I 0 R H D P O M K c c U y A z h N z Y r z D 1 9 N n + Q N g M j R 9 6 L b S L l 2 w N Z M 5 A 3 i f E A 1 B L A w Q U A A I A C A D O e 1 l 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n t Z V y i K R 7 g O A A A A E Q A A A B M A H A B G b 3 J t d W x h c y 9 T Z W N 0 a W 9 u M S 5 t I K I Y A C i g F A A A A A A A A A A A A A A A A A A A A A A A A A A A A C t O T S 7 J z M 9 T C I b Q h t Y A U E s B A i 0 A F A A C A A g A z n t Z V y n y K j a j A A A A 9 w A A A B I A A A A A A A A A A A A A A A A A A A A A A E N v b m Z p Z y 9 Q Y W N r Y W d l L n h t b F B L A Q I t A B Q A A g A I A M 5 7 W V c P y u m r p A A A A O k A A A A T A A A A A A A A A A A A A A A A A O 8 A A A B b Q 2 9 u d G V u d F 9 U e X B l c 1 0 u e G 1 s U E s B A i 0 A F A A C A A g A z n t Z 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h m f K G C H x t L u k l y e i L j S c k A A A A A A g A A A A A A A 2 Y A A M A A A A A Q A A A A p 6 u P i q Q 5 s M v T F g w U Y A Q O R g A A A A A E g A A A o A A A A B A A A A A h v J O S 3 Y d H G y n q O T R T p a 6 4 U A A A A L t h c 3 M W S p 5 V P N o X P g d 2 w b O J 1 C Q H 2 6 T 7 a k b q c R 4 m 3 L l f 6 Y A r h r m K e u g 1 K j W F w T E f u S G h t / l T D 9 I F h N K v Q X 2 K V Q K K B L E 3 G v b Y c J p P p H i 5 w 1 7 u F A A A A P h 3 n A r n K 5 O P d M Q 4 L a y N 7 t c S x p l v < / 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96B259C3B8821C4088D086BFFA3F9FF7" ma:contentTypeVersion="15" ma:contentTypeDescription="Create a new document." ma:contentTypeScope="" ma:versionID="c5b6b7ec55aad0b33a7d3cd9e22d0d16">
  <xsd:schema xmlns:xsd="http://www.w3.org/2001/XMLSchema" xmlns:xs="http://www.w3.org/2001/XMLSchema" xmlns:p="http://schemas.microsoft.com/office/2006/metadata/properties" xmlns:ns2="29a6c301-2e6f-409a-a19b-dc7b537ae21a" xmlns:ns3="893c088b-c2ef-4676-9bee-aa1d6e75a675" targetNamespace="http://schemas.microsoft.com/office/2006/metadata/properties" ma:root="true" ma:fieldsID="0d58d7551e23817e73986b46d72c2927" ns2:_="" ns3:_="">
    <xsd:import namespace="29a6c301-2e6f-409a-a19b-dc7b537ae21a"/>
    <xsd:import namespace="893c088b-c2ef-4676-9bee-aa1d6e75a67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element ref="ns2:MediaLengthInSeconds"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6c301-2e6f-409a-a19b-dc7b537ae2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1a152a2-46f1-4633-9e60-d9d6f094ede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3c088b-c2ef-4676-9bee-aa1d6e75a67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f6a43cd-dd8b-459c-b1f7-d72facc46ace}" ma:internalName="TaxCatchAll" ma:showField="CatchAllData" ma:web="893c088b-c2ef-4676-9bee-aa1d6e75a675">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1711D2-91E9-41BD-B85D-0F19101F3608}">
  <ds:schemaRefs>
    <ds:schemaRef ds:uri="http://purl.org/dc/elements/1.1/"/>
    <ds:schemaRef ds:uri="29a6c301-2e6f-409a-a19b-dc7b537ae21a"/>
    <ds:schemaRef ds:uri="http://schemas.microsoft.com/office/2006/metadata/properties"/>
    <ds:schemaRef ds:uri="http://schemas.microsoft.com/office/2006/documentManagement/types"/>
    <ds:schemaRef ds:uri="893c088b-c2ef-4676-9bee-aa1d6e75a675"/>
    <ds:schemaRef ds:uri="http://schemas.microsoft.com/office/infopath/2007/PartnerControls"/>
    <ds:schemaRef ds:uri="http://www.w3.org/XML/1998/namespace"/>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65734963-8628-48E0-8F75-213C176B24A7}">
  <ds:schemaRefs>
    <ds:schemaRef ds:uri="http://schemas.microsoft.com/DataMashup"/>
  </ds:schemaRefs>
</ds:datastoreItem>
</file>

<file path=customXml/itemProps3.xml><?xml version="1.0" encoding="utf-8"?>
<ds:datastoreItem xmlns:ds="http://schemas.openxmlformats.org/officeDocument/2006/customXml" ds:itemID="{A4E3C692-8B76-4D66-B631-77326A43B752}">
  <ds:schemaRefs>
    <ds:schemaRef ds:uri="http://schemas.microsoft.com/sharepoint/v3/contenttype/forms"/>
  </ds:schemaRefs>
</ds:datastoreItem>
</file>

<file path=customXml/itemProps4.xml><?xml version="1.0" encoding="utf-8"?>
<ds:datastoreItem xmlns:ds="http://schemas.openxmlformats.org/officeDocument/2006/customXml" ds:itemID="{1C938DBE-98F0-4FAB-B098-4CBCA0D920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a6c301-2e6f-409a-a19b-dc7b537ae21a"/>
    <ds:schemaRef ds:uri="893c088b-c2ef-4676-9bee-aa1d6e75a6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ca912ff-64f4-4d25-bf79-65e64764cf15}" enabled="1" method="Standard" siteId="{8e37def4-5f01-4057-b7a1-fc15c444cb8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BUSQUEDA</vt:lpstr>
      <vt:lpstr>LICENCIAS</vt:lpstr>
      <vt:lpstr>EQUIPOS</vt:lpstr>
      <vt:lpstr>GAMMA</vt:lpstr>
      <vt:lpstr>DETECTORES</vt:lpstr>
      <vt:lpstr>BASEPOE-2</vt:lpstr>
      <vt:lpstr>REG y VAL POE - AESR - ESR</vt:lpstr>
      <vt:lpstr>BASEPOE-2 BACKUP</vt:lpstr>
      <vt:lpstr>POE CON DOSIMETRIA</vt:lpstr>
      <vt:lpstr>EQUIPOS!ADUANA</vt:lpstr>
      <vt:lpstr>GAMMA!ADUANA</vt:lpstr>
      <vt:lpstr>ADUANA</vt:lpstr>
      <vt:lpstr>ADUANAS1</vt:lpstr>
      <vt:lpstr>BASEDET1</vt:lpstr>
      <vt:lpstr>BASEPOE1</vt:lpstr>
      <vt:lpstr>'BASEPOE-2'!BASEPOE2</vt:lpstr>
      <vt:lpstr>'BASEPOE-2 BACKUP'!BASEPOE2</vt:lpstr>
      <vt:lpstr>BASEPOE2</vt:lpstr>
      <vt:lpstr>'BASEPOE-2 BACKUP'!BASEPOE3</vt:lpstr>
      <vt:lpstr>BASEPOE3</vt:lpstr>
      <vt:lpstr>BASEPOEMIR1</vt:lpstr>
      <vt:lpstr>EQRX1</vt:lpstr>
      <vt:lpstr>FTSGM1</vt:lpstr>
      <vt:lpstr>EQUIPOS!LICENCIAS1</vt:lpstr>
      <vt:lpstr>GAMMA!LICENCIAS1</vt:lpstr>
      <vt:lpstr>LICENCIAS1</vt:lpstr>
      <vt:lpstr>TIPODET1</vt:lpstr>
    </vt:vector>
  </TitlesOfParts>
  <Manager/>
  <Company>OSI Systems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Julio Cesar Aceves Cisneros</dc:creator>
  <cp:keywords/>
  <dc:description/>
  <cp:lastModifiedBy>Julio Cesar Aceves Cisneros</cp:lastModifiedBy>
  <cp:revision/>
  <dcterms:created xsi:type="dcterms:W3CDTF">2023-10-23T15:57:58Z</dcterms:created>
  <dcterms:modified xsi:type="dcterms:W3CDTF">2025-05-08T19:35:04Z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0x01010096B259C3B8821C4088D086BFFA3F9FF7</vt:lpwstr>
  </property>
  <property fmtid="{D5CDD505-2E9C-101B-9397-08002B2CF9AE}" pid="3" name="MediaServiceImageTags">
    <vt:lpwstr/>
  </property>
</Properties>
</file>